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mc:AlternateContent xmlns:mc="http://schemas.openxmlformats.org/markup-compatibility/2006">
    <mc:Choice Requires="x15">
      <x15ac:absPath xmlns:x15ac="http://schemas.microsoft.com/office/spreadsheetml/2010/11/ac" url="https://loteriadelaciudadgobar-my.sharepoint.com/personal/calvarez_loteriadelaciudad_gob_ar/Documents/Escritorio/Scorimg/"/>
    </mc:Choice>
  </mc:AlternateContent>
  <xr:revisionPtr revIDLastSave="51234" documentId="8_{913BEB78-CCFD-45CB-97F9-EE06242F5C4F}" xr6:coauthVersionLast="47" xr6:coauthVersionMax="47" xr10:uidLastSave="{F85E0AD7-0D89-4E16-B2D1-ADBAA1989D73}"/>
  <bookViews>
    <workbookView xWindow="-108" yWindow="-108" windowWidth="23256" windowHeight="13896" firstSheet="11" activeTab="12" xr2:uid="{00000000-000D-0000-FFFF-FFFF00000000}"/>
  </bookViews>
  <sheets>
    <sheet name="VENTAS" sheetId="1" r:id="rId1"/>
    <sheet name="LOTO" sheetId="2" r:id="rId2"/>
    <sheet name="COMPLIANCE" sheetId="3" r:id="rId3"/>
    <sheet name="ASESORES" sheetId="4" r:id="rId4"/>
    <sheet name="DIGITAL" sheetId="5" r:id="rId5"/>
    <sheet name="CLIENTE" sheetId="6" r:id="rId6"/>
    <sheet name="MEDIDAS DIGITAL Y CLIENTE" sheetId="7" r:id="rId7"/>
    <sheet name="POWERBI_DAX" sheetId="13" r:id="rId8"/>
    <sheet name="PARAMS_MODELO" sheetId="9" r:id="rId9"/>
    <sheet name="PIVOT_HIST" sheetId="14" r:id="rId10"/>
    <sheet name="HIST_SCORE" sheetId="11" r:id="rId11"/>
    <sheet name="SNAPSHOT_ACTUAL" sheetId="12" r:id="rId12"/>
    <sheet name="CALCULOS_AGENCIA" sheetId="10" r:id="rId13"/>
    <sheet name="DASH_EJECUTIVO" sheetId="18" r:id="rId14"/>
    <sheet name="GRAF_EJECUTIVO" sheetId="15" r:id="rId15"/>
    <sheet name="FICHA_AGENCIA" sheetId="17" r:id="rId16"/>
  </sheets>
  <definedNames>
    <definedName name="_xlnm._FilterDatabase" localSheetId="12" hidden="1">CALCULOS_AGENCIA!$A$1:$AV$1194</definedName>
    <definedName name="_xlnm._FilterDatabase" localSheetId="10" hidden="1">HIST_SCORE!$A$1:$G$7159</definedName>
    <definedName name="_xleta.AVERAGE" hidden="1" xlm="1">#NAME?</definedName>
    <definedName name="_xleta.MAX" hidden="1" xlm="1">#NAME?</definedName>
    <definedName name="_xleta.MEDIAN" hidden="1" xlm="1">#NAME?</definedName>
    <definedName name="_xleta.MIN" hidden="1" xlm="1">#NAME?</definedName>
    <definedName name="_xleta.N" hidden="1" xlm="1">#NAME?</definedName>
    <definedName name="_xleta.SUMIFS" hidden="1" xlm="1">#NAME?</definedName>
    <definedName name="_xleta.T" hidden="1" xlm="1">#NAME?</definedName>
    <definedName name="_xlpm.act" hidden="1" xlm="1">#NAME?</definedName>
    <definedName name="_xlpm.ajcli" hidden="1" xlm="1">#NAME?</definedName>
    <definedName name="_xlpm.ajmov" hidden="1" xlm="1">#NAME?</definedName>
    <definedName name="_xlpm.ant" hidden="1" xlm="1">#NAME?</definedName>
    <definedName name="_xlpm.c" hidden="1" xlm="1">#NAME?</definedName>
    <definedName name="_xlpm.cD" hidden="1" xlm="1">#NAME?</definedName>
    <definedName name="_xlpm.cli" hidden="1" xlm="1">#NAME?</definedName>
    <definedName name="_xlpm.cnt" hidden="1" xlm="1">#NAME?</definedName>
    <definedName name="_xlpm.cO" hidden="1" xlm="1">#NAME?</definedName>
    <definedName name="_xlpm.coef" hidden="1" xlm="1">#NAME?</definedName>
    <definedName name="_xlpm.corte" hidden="1" xlm="1">#NAME?</definedName>
    <definedName name="_xlpm.cortes" hidden="1" xlm="1">#NAME?</definedName>
    <definedName name="_xlpm.corteU" hidden="1" xlm="1">#NAME?</definedName>
    <definedName name="_xlpm.cP" hidden="1" xlm="1">#NAME?</definedName>
    <definedName name="_xlpm.cPl" hidden="1" xlm="1">#NAME?</definedName>
    <definedName name="_xlpm.d" hidden="1" xlm="1">#NAME?</definedName>
    <definedName name="_xlpm.deltaR" hidden="1" xlm="1">#NAME?</definedName>
    <definedName name="_xlpm.dist" hidden="1" xlm="1">#NAME?</definedName>
    <definedName name="_xlpm.dmax" hidden="1" xlm="1">#NAME?</definedName>
    <definedName name="_xlpm.dmin" hidden="1" xlm="1">#NAME?</definedName>
    <definedName name="_xlpm.f" hidden="1" xlm="1">#NAME?</definedName>
    <definedName name="_xlpm.fmax" hidden="1" xlm="1">#NAME?</definedName>
    <definedName name="_xlpm.fmin" hidden="1" xlm="1">#NAME?</definedName>
    <definedName name="_xlpm.g" hidden="1" xlm="1">#NAME?</definedName>
    <definedName name="_xlpm.gmax" hidden="1" xlm="1">#NAME?</definedName>
    <definedName name="_xlpm.gmin" hidden="1" xlm="1">#NAME?</definedName>
    <definedName name="_xlpm.h" hidden="1" xlm="1">#NAME?</definedName>
    <definedName name="_xlpm.hc" hidden="1" xlm="1">#NAME?</definedName>
    <definedName name="_xlpm.hd" hidden="1" xlm="1">#NAME?</definedName>
    <definedName name="_xlpm.hl" hidden="1" xlm="1">#NAME?</definedName>
    <definedName name="_xlpm.hmax" hidden="1" xlm="1">#NAME?</definedName>
    <definedName name="_xlpm.hmin" hidden="1" xlm="1">#NAME?</definedName>
    <definedName name="_xlpm.hv" hidden="1" xlm="1">#NAME?</definedName>
    <definedName name="_xlpm.impC" hidden="1" xlm="1">#NAME?</definedName>
    <definedName name="_xlpm.impCli" hidden="1" xlm="1">#NAME?</definedName>
    <definedName name="_xlpm.impD" hidden="1" xlm="1">#NAME?</definedName>
    <definedName name="_xlpm.impL" hidden="1" xlm="1">#NAME?</definedName>
    <definedName name="_xlpm.impV" hidden="1" xlm="1">#NAME?</definedName>
    <definedName name="_xlpm.l" hidden="1" xlm="1">#NAME?</definedName>
    <definedName name="_xlpm.minVent" hidden="1" xlm="1">#NAME?</definedName>
    <definedName name="_xlpm.mx" hidden="1" xlm="1">#NAME?</definedName>
    <definedName name="_xlpm.n" hidden="1" xlm="1">#NAME?</definedName>
    <definedName name="_xlpm.nd" hidden="1" xlm="1">#NAME?</definedName>
    <definedName name="_xlpm.nf" hidden="1" xlm="1">#NAME?</definedName>
    <definedName name="_xlpm.ng" hidden="1" xlm="1">#NAME?</definedName>
    <definedName name="_xlpm.nh" hidden="1" xlm="1">#NAME?</definedName>
    <definedName name="_xlpm.o" hidden="1" xlm="1">#NAME?</definedName>
    <definedName name="_xlpm.orden" hidden="1" xlm="1">#NAME?</definedName>
    <definedName name="_xlpm.ordenada" hidden="1" xlm="1">#NAME?</definedName>
    <definedName name="_xlpm.p" hidden="1" xlm="1">#NAME?</definedName>
    <definedName name="_xlpm.pal" hidden="1" xlm="1">#NAME?</definedName>
    <definedName name="_xlpm.per" hidden="1" xlm="1">#NAME?</definedName>
    <definedName name="_xlpm.piso" hidden="1" xlm="1">#NAME?</definedName>
    <definedName name="_xlpm.prev" hidden="1" xlm="1">#NAME?</definedName>
    <definedName name="_xlpm.prior" hidden="1" xlm="1">#NAME?</definedName>
    <definedName name="_xlpm.prob" hidden="1" xlm="1">#NAME?</definedName>
    <definedName name="_xlpm.prog" hidden="1" xlm="1">#NAME?</definedName>
    <definedName name="_xlpm.reqR" hidden="1" xlm="1">#NAME?</definedName>
    <definedName name="_xlpm.subV" hidden="1" xlm="1">#NAME?</definedName>
    <definedName name="_xlpm.t" hidden="1" xlm="1">#NAME?</definedName>
    <definedName name="_xlpm.ta" hidden="1" xlm="1">#NAME?</definedName>
    <definedName name="_xlpm.tab" hidden="1" xlm="1">#NAME?</definedName>
    <definedName name="_xlpm.tabl" hidden="1" xlm="1">#NAME?</definedName>
    <definedName name="_xlpm.tabla" hidden="1" xlm="1">#NAME?</definedName>
    <definedName name="_xlpm.tObj" hidden="1" xlm="1">#NAME?</definedName>
    <definedName name="_xlpm.ult" hidden="1" xlm="1">#NAME?</definedName>
    <definedName name="_xlpm.v" hidden="1" xlm="1">#NAME?</definedName>
    <definedName name="_xlpm.ventas" hidden="1" xlm="1">#NAME?</definedName>
  </definedNames>
  <calcPr calcId="191029"/>
  <pivotCaches>
    <pivotCache cacheId="0" r:id="rId1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2" i="18" l="1"/>
  <c r="C6" i="18"/>
  <c r="B7" i="17"/>
  <c r="F3" i="14" a="1"/>
  <c r="F3" i="14" s="1"/>
  <c r="F4" i="14" a="1"/>
  <c r="F4" i="14" s="1"/>
  <c r="F5" i="14" a="1"/>
  <c r="F5" i="14" s="1"/>
  <c r="F6" i="14" a="1"/>
  <c r="F6" i="14" s="1"/>
  <c r="F7" i="14" a="1"/>
  <c r="F7" i="14" s="1"/>
  <c r="F2" i="14" a="1"/>
  <c r="F2" i="14" s="1"/>
  <c r="E3" i="14" a="1"/>
  <c r="E3" i="14" s="1"/>
  <c r="E4" i="14" a="1"/>
  <c r="E4" i="14" s="1"/>
  <c r="E5" i="14" a="1"/>
  <c r="E5" i="14" s="1"/>
  <c r="E6" i="14" a="1"/>
  <c r="E6" i="14" s="1"/>
  <c r="E7" i="14" a="1"/>
  <c r="E7" i="14" s="1"/>
  <c r="E2" i="14" a="1"/>
  <c r="E2" i="14" s="1"/>
  <c r="D3" i="14" a="1"/>
  <c r="D3" i="14" s="1"/>
  <c r="D4" i="14" a="1"/>
  <c r="D4" i="14" s="1"/>
  <c r="D5" i="14" a="1"/>
  <c r="D5" i="14" s="1"/>
  <c r="D6" i="14" a="1"/>
  <c r="D6" i="14" s="1"/>
  <c r="D7" i="14" a="1"/>
  <c r="D7" i="14" s="1"/>
  <c r="D2" i="14" a="1"/>
  <c r="D2" i="14" s="1"/>
  <c r="C3" i="14" a="1"/>
  <c r="C3" i="14" s="1"/>
  <c r="C4" i="14" a="1"/>
  <c r="C4" i="14" s="1"/>
  <c r="C5" i="14" a="1"/>
  <c r="C5" i="14" s="1"/>
  <c r="C6" i="14" a="1"/>
  <c r="C6" i="14" s="1"/>
  <c r="C7" i="14" a="1"/>
  <c r="C7" i="14" s="1"/>
  <c r="C2" i="14" a="1"/>
  <c r="C2" i="14" s="1"/>
  <c r="B45" i="9" l="1"/>
  <c r="B47" i="9"/>
  <c r="B46" i="9"/>
  <c r="B48" i="9"/>
  <c r="K3" i="6"/>
  <c r="K4" i="6"/>
  <c r="K5" i="6"/>
  <c r="K6" i="6"/>
  <c r="K7" i="6"/>
  <c r="K8" i="6"/>
  <c r="K9" i="6"/>
  <c r="K10" i="6"/>
  <c r="K11" i="6"/>
  <c r="K12" i="6"/>
  <c r="K13" i="6"/>
  <c r="K14" i="6"/>
  <c r="K15" i="6"/>
  <c r="K16" i="6"/>
  <c r="K17" i="6"/>
  <c r="K18" i="6"/>
  <c r="K19" i="6"/>
  <c r="K20" i="6"/>
  <c r="K21" i="6"/>
  <c r="K22" i="6"/>
  <c r="K23" i="6"/>
  <c r="K24" i="6"/>
  <c r="K25" i="6"/>
  <c r="K26" i="6"/>
  <c r="K27" i="6"/>
  <c r="K28" i="6"/>
  <c r="K29" i="6"/>
  <c r="K30" i="6"/>
  <c r="K31" i="6"/>
  <c r="K32" i="6"/>
  <c r="K33" i="6"/>
  <c r="K34" i="6"/>
  <c r="K35" i="6"/>
  <c r="K36" i="6"/>
  <c r="K37" i="6"/>
  <c r="K38" i="6"/>
  <c r="K39" i="6"/>
  <c r="K40" i="6"/>
  <c r="K41" i="6"/>
  <c r="K42" i="6"/>
  <c r="K43" i="6"/>
  <c r="K44" i="6"/>
  <c r="K45" i="6"/>
  <c r="K46" i="6"/>
  <c r="K47" i="6"/>
  <c r="K48" i="6"/>
  <c r="K49" i="6"/>
  <c r="K50" i="6"/>
  <c r="K51" i="6"/>
  <c r="K52" i="6"/>
  <c r="K53" i="6"/>
  <c r="K54" i="6"/>
  <c r="K55" i="6"/>
  <c r="K56" i="6"/>
  <c r="K57" i="6"/>
  <c r="K58" i="6"/>
  <c r="K59" i="6"/>
  <c r="K60" i="6"/>
  <c r="K61" i="6"/>
  <c r="K62" i="6"/>
  <c r="K63" i="6"/>
  <c r="K64" i="6"/>
  <c r="K65" i="6"/>
  <c r="K66" i="6"/>
  <c r="K67" i="6"/>
  <c r="K68" i="6"/>
  <c r="K69" i="6"/>
  <c r="K70" i="6"/>
  <c r="K71" i="6"/>
  <c r="K72" i="6"/>
  <c r="K73" i="6"/>
  <c r="K74" i="6"/>
  <c r="K75" i="6"/>
  <c r="K76" i="6"/>
  <c r="K77" i="6"/>
  <c r="K78" i="6"/>
  <c r="K79" i="6"/>
  <c r="K80" i="6"/>
  <c r="K81" i="6"/>
  <c r="K82" i="6"/>
  <c r="K83" i="6"/>
  <c r="K84" i="6"/>
  <c r="K85" i="6"/>
  <c r="K86" i="6"/>
  <c r="K87" i="6"/>
  <c r="K88" i="6"/>
  <c r="K89" i="6"/>
  <c r="K90" i="6"/>
  <c r="K91" i="6"/>
  <c r="K92" i="6"/>
  <c r="K93" i="6"/>
  <c r="K94" i="6"/>
  <c r="K95" i="6"/>
  <c r="K96" i="6"/>
  <c r="K97" i="6"/>
  <c r="K98" i="6"/>
  <c r="K99" i="6"/>
  <c r="K100" i="6"/>
  <c r="K101" i="6"/>
  <c r="K102" i="6"/>
  <c r="K103" i="6"/>
  <c r="K104" i="6"/>
  <c r="K105" i="6"/>
  <c r="K106" i="6"/>
  <c r="K107" i="6"/>
  <c r="K108" i="6"/>
  <c r="K109" i="6"/>
  <c r="K110" i="6"/>
  <c r="K111" i="6"/>
  <c r="K112" i="6"/>
  <c r="K113" i="6"/>
  <c r="K114" i="6"/>
  <c r="K115" i="6"/>
  <c r="K116" i="6"/>
  <c r="K117" i="6"/>
  <c r="K118" i="6"/>
  <c r="K119" i="6"/>
  <c r="K120" i="6"/>
  <c r="K121" i="6"/>
  <c r="K122" i="6"/>
  <c r="K123" i="6"/>
  <c r="K124" i="6"/>
  <c r="K125" i="6"/>
  <c r="K126" i="6"/>
  <c r="K127" i="6"/>
  <c r="K128" i="6"/>
  <c r="K129" i="6"/>
  <c r="K130" i="6"/>
  <c r="K131" i="6"/>
  <c r="K132" i="6"/>
  <c r="K133" i="6"/>
  <c r="K134" i="6"/>
  <c r="K135" i="6"/>
  <c r="K136" i="6"/>
  <c r="K137" i="6"/>
  <c r="K138" i="6"/>
  <c r="K139" i="6"/>
  <c r="K140" i="6"/>
  <c r="K141" i="6"/>
  <c r="K142" i="6"/>
  <c r="K143" i="6"/>
  <c r="K144" i="6"/>
  <c r="K145" i="6"/>
  <c r="K146" i="6"/>
  <c r="K147" i="6"/>
  <c r="K148" i="6"/>
  <c r="K149" i="6"/>
  <c r="K150" i="6"/>
  <c r="K151" i="6"/>
  <c r="K152" i="6"/>
  <c r="K153" i="6"/>
  <c r="K154" i="6"/>
  <c r="K155" i="6"/>
  <c r="K156" i="6"/>
  <c r="K157" i="6"/>
  <c r="K158" i="6"/>
  <c r="K159" i="6"/>
  <c r="K160" i="6"/>
  <c r="K161" i="6"/>
  <c r="K162" i="6"/>
  <c r="K163" i="6"/>
  <c r="K164" i="6"/>
  <c r="K165" i="6"/>
  <c r="K166" i="6"/>
  <c r="K167" i="6"/>
  <c r="K168" i="6"/>
  <c r="K169" i="6"/>
  <c r="K170" i="6"/>
  <c r="K171" i="6"/>
  <c r="K172" i="6"/>
  <c r="K173" i="6"/>
  <c r="K174" i="6"/>
  <c r="K175" i="6"/>
  <c r="K176" i="6"/>
  <c r="K177" i="6"/>
  <c r="K178" i="6"/>
  <c r="K179" i="6"/>
  <c r="K180" i="6"/>
  <c r="K181" i="6"/>
  <c r="K182" i="6"/>
  <c r="K183" i="6"/>
  <c r="K184" i="6"/>
  <c r="K185" i="6"/>
  <c r="K186" i="6"/>
  <c r="K187" i="6"/>
  <c r="K188" i="6"/>
  <c r="K189" i="6"/>
  <c r="K190" i="6"/>
  <c r="K191" i="6"/>
  <c r="K192" i="6"/>
  <c r="K193" i="6"/>
  <c r="K194" i="6"/>
  <c r="K195" i="6"/>
  <c r="K196" i="6"/>
  <c r="K197" i="6"/>
  <c r="K198" i="6"/>
  <c r="K199" i="6"/>
  <c r="K200" i="6"/>
  <c r="K201" i="6"/>
  <c r="K202" i="6"/>
  <c r="K203" i="6"/>
  <c r="K204" i="6"/>
  <c r="K205" i="6"/>
  <c r="K206" i="6"/>
  <c r="K207" i="6"/>
  <c r="K208" i="6"/>
  <c r="K209" i="6"/>
  <c r="K210" i="6"/>
  <c r="K211" i="6"/>
  <c r="K212" i="6"/>
  <c r="K213" i="6"/>
  <c r="K214" i="6"/>
  <c r="K215" i="6"/>
  <c r="K216" i="6"/>
  <c r="K217" i="6"/>
  <c r="K218" i="6"/>
  <c r="K219" i="6"/>
  <c r="K220" i="6"/>
  <c r="K221" i="6"/>
  <c r="K222" i="6"/>
  <c r="K223" i="6"/>
  <c r="K224" i="6"/>
  <c r="K225" i="6"/>
  <c r="K226" i="6"/>
  <c r="K227" i="6"/>
  <c r="K228" i="6"/>
  <c r="K229" i="6"/>
  <c r="K230" i="6"/>
  <c r="K231" i="6"/>
  <c r="K232" i="6"/>
  <c r="K233" i="6"/>
  <c r="K234" i="6"/>
  <c r="K235" i="6"/>
  <c r="K236" i="6"/>
  <c r="K237" i="6"/>
  <c r="K238" i="6"/>
  <c r="K239" i="6"/>
  <c r="K240" i="6"/>
  <c r="K241" i="6"/>
  <c r="K242" i="6"/>
  <c r="K243" i="6"/>
  <c r="K244" i="6"/>
  <c r="K245" i="6"/>
  <c r="K246" i="6"/>
  <c r="K247" i="6"/>
  <c r="K248" i="6"/>
  <c r="K249" i="6"/>
  <c r="K250" i="6"/>
  <c r="K251" i="6"/>
  <c r="K252" i="6"/>
  <c r="K253" i="6"/>
  <c r="K254" i="6"/>
  <c r="K255" i="6"/>
  <c r="K256" i="6"/>
  <c r="K257" i="6"/>
  <c r="K258" i="6"/>
  <c r="K259" i="6"/>
  <c r="K260" i="6"/>
  <c r="K261" i="6"/>
  <c r="K262" i="6"/>
  <c r="K263" i="6"/>
  <c r="K264" i="6"/>
  <c r="K265" i="6"/>
  <c r="K266" i="6"/>
  <c r="K267" i="6"/>
  <c r="K268" i="6"/>
  <c r="K269" i="6"/>
  <c r="K270" i="6"/>
  <c r="K271" i="6"/>
  <c r="K272" i="6"/>
  <c r="K273" i="6"/>
  <c r="K274" i="6"/>
  <c r="K275" i="6"/>
  <c r="K276" i="6"/>
  <c r="K277" i="6"/>
  <c r="K278" i="6"/>
  <c r="K279" i="6"/>
  <c r="K280" i="6"/>
  <c r="K281" i="6"/>
  <c r="K282" i="6"/>
  <c r="K283" i="6"/>
  <c r="K284" i="6"/>
  <c r="K285" i="6"/>
  <c r="K286" i="6"/>
  <c r="K287" i="6"/>
  <c r="K288" i="6"/>
  <c r="K289" i="6"/>
  <c r="K290" i="6"/>
  <c r="K291" i="6"/>
  <c r="K292" i="6"/>
  <c r="K293" i="6"/>
  <c r="K294" i="6"/>
  <c r="K295" i="6"/>
  <c r="K296" i="6"/>
  <c r="K297" i="6"/>
  <c r="K298" i="6"/>
  <c r="K299" i="6"/>
  <c r="K300" i="6"/>
  <c r="K301" i="6"/>
  <c r="K302" i="6"/>
  <c r="K303" i="6"/>
  <c r="K304" i="6"/>
  <c r="K305" i="6"/>
  <c r="K306" i="6"/>
  <c r="K307" i="6"/>
  <c r="K308" i="6"/>
  <c r="K309" i="6"/>
  <c r="K310" i="6"/>
  <c r="K311" i="6"/>
  <c r="K312" i="6"/>
  <c r="K313" i="6"/>
  <c r="K314" i="6"/>
  <c r="K315" i="6"/>
  <c r="K316" i="6"/>
  <c r="K317" i="6"/>
  <c r="K318" i="6"/>
  <c r="K319" i="6"/>
  <c r="K320" i="6"/>
  <c r="K321" i="6"/>
  <c r="K322" i="6"/>
  <c r="K323" i="6"/>
  <c r="K324" i="6"/>
  <c r="K325" i="6"/>
  <c r="K326" i="6"/>
  <c r="K327" i="6"/>
  <c r="K328" i="6"/>
  <c r="K329" i="6"/>
  <c r="K330" i="6"/>
  <c r="K331" i="6"/>
  <c r="K332" i="6"/>
  <c r="K333" i="6"/>
  <c r="K334" i="6"/>
  <c r="K335" i="6"/>
  <c r="K336" i="6"/>
  <c r="K337" i="6"/>
  <c r="K338" i="6"/>
  <c r="K339" i="6"/>
  <c r="K340" i="6"/>
  <c r="K341" i="6"/>
  <c r="K342" i="6"/>
  <c r="K343" i="6"/>
  <c r="K344" i="6"/>
  <c r="K345" i="6"/>
  <c r="K346" i="6"/>
  <c r="K347" i="6"/>
  <c r="K348" i="6"/>
  <c r="K349" i="6"/>
  <c r="K350" i="6"/>
  <c r="K351" i="6"/>
  <c r="K352" i="6"/>
  <c r="K353" i="6"/>
  <c r="K354" i="6"/>
  <c r="K355" i="6"/>
  <c r="K356" i="6"/>
  <c r="K357" i="6"/>
  <c r="K358" i="6"/>
  <c r="K359" i="6"/>
  <c r="K360" i="6"/>
  <c r="K361" i="6"/>
  <c r="K362" i="6"/>
  <c r="K363" i="6"/>
  <c r="K364" i="6"/>
  <c r="K365" i="6"/>
  <c r="K366" i="6"/>
  <c r="K367" i="6"/>
  <c r="K368" i="6"/>
  <c r="K369" i="6"/>
  <c r="K370" i="6"/>
  <c r="K371" i="6"/>
  <c r="K372" i="6"/>
  <c r="K373" i="6"/>
  <c r="K374" i="6"/>
  <c r="K375" i="6"/>
  <c r="K376" i="6"/>
  <c r="K377" i="6"/>
  <c r="K378" i="6"/>
  <c r="K379" i="6"/>
  <c r="K380" i="6"/>
  <c r="K381" i="6"/>
  <c r="K382" i="6"/>
  <c r="K383" i="6"/>
  <c r="K384" i="6"/>
  <c r="K385" i="6"/>
  <c r="K386" i="6"/>
  <c r="K387" i="6"/>
  <c r="K388" i="6"/>
  <c r="K389" i="6"/>
  <c r="K390" i="6"/>
  <c r="K391" i="6"/>
  <c r="K392" i="6"/>
  <c r="K393" i="6"/>
  <c r="K394" i="6"/>
  <c r="K395" i="6"/>
  <c r="K396" i="6"/>
  <c r="K397" i="6"/>
  <c r="K398" i="6"/>
  <c r="K399" i="6"/>
  <c r="K400" i="6"/>
  <c r="K401" i="6"/>
  <c r="K402" i="6"/>
  <c r="K403" i="6"/>
  <c r="K404" i="6"/>
  <c r="K405" i="6"/>
  <c r="K406" i="6"/>
  <c r="K407" i="6"/>
  <c r="K408" i="6"/>
  <c r="K409" i="6"/>
  <c r="K410"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K501" i="6"/>
  <c r="K502" i="6"/>
  <c r="K503" i="6"/>
  <c r="K504" i="6"/>
  <c r="K505" i="6"/>
  <c r="K506" i="6"/>
  <c r="K507" i="6"/>
  <c r="K508" i="6"/>
  <c r="K509" i="6"/>
  <c r="K510" i="6"/>
  <c r="K511" i="6"/>
  <c r="K512" i="6"/>
  <c r="K513" i="6"/>
  <c r="K514" i="6"/>
  <c r="K515" i="6"/>
  <c r="K516" i="6"/>
  <c r="K517" i="6"/>
  <c r="K518" i="6"/>
  <c r="K519" i="6"/>
  <c r="K520" i="6"/>
  <c r="K521" i="6"/>
  <c r="K522" i="6"/>
  <c r="K523" i="6"/>
  <c r="K524" i="6"/>
  <c r="K525" i="6"/>
  <c r="K526" i="6"/>
  <c r="K527" i="6"/>
  <c r="K528" i="6"/>
  <c r="K529" i="6"/>
  <c r="K530" i="6"/>
  <c r="K531" i="6"/>
  <c r="K532" i="6"/>
  <c r="K533" i="6"/>
  <c r="K534" i="6"/>
  <c r="K535" i="6"/>
  <c r="K536" i="6"/>
  <c r="K537" i="6"/>
  <c r="K538" i="6"/>
  <c r="K539" i="6"/>
  <c r="K540" i="6"/>
  <c r="K541" i="6"/>
  <c r="K542" i="6"/>
  <c r="K543" i="6"/>
  <c r="K544" i="6"/>
  <c r="K545" i="6"/>
  <c r="K546" i="6"/>
  <c r="K547" i="6"/>
  <c r="K548" i="6"/>
  <c r="K549" i="6"/>
  <c r="K550" i="6"/>
  <c r="K551" i="6"/>
  <c r="K552" i="6"/>
  <c r="K553" i="6"/>
  <c r="K554" i="6"/>
  <c r="K555" i="6"/>
  <c r="K556" i="6"/>
  <c r="K557" i="6"/>
  <c r="K558" i="6"/>
  <c r="K559" i="6"/>
  <c r="K560" i="6"/>
  <c r="K561" i="6"/>
  <c r="K562" i="6"/>
  <c r="K563" i="6"/>
  <c r="K564" i="6"/>
  <c r="K565" i="6"/>
  <c r="K566" i="6"/>
  <c r="K567" i="6"/>
  <c r="K568" i="6"/>
  <c r="K569" i="6"/>
  <c r="K570" i="6"/>
  <c r="K571" i="6"/>
  <c r="K572" i="6"/>
  <c r="K573" i="6"/>
  <c r="K574" i="6"/>
  <c r="K575" i="6"/>
  <c r="K576" i="6"/>
  <c r="K577" i="6"/>
  <c r="K578" i="6"/>
  <c r="K579" i="6"/>
  <c r="K580" i="6"/>
  <c r="K581" i="6"/>
  <c r="K582" i="6"/>
  <c r="K583" i="6"/>
  <c r="K584" i="6"/>
  <c r="K585" i="6"/>
  <c r="K586" i="6"/>
  <c r="K587" i="6"/>
  <c r="K588" i="6"/>
  <c r="K589" i="6"/>
  <c r="K590" i="6"/>
  <c r="K591" i="6"/>
  <c r="K592" i="6"/>
  <c r="K593" i="6"/>
  <c r="K594" i="6"/>
  <c r="K595" i="6"/>
  <c r="K596" i="6"/>
  <c r="K597" i="6"/>
  <c r="K598" i="6"/>
  <c r="K599" i="6"/>
  <c r="K600" i="6"/>
  <c r="K601" i="6"/>
  <c r="K602" i="6"/>
  <c r="K603" i="6"/>
  <c r="K604" i="6"/>
  <c r="K605" i="6"/>
  <c r="K606" i="6"/>
  <c r="K607" i="6"/>
  <c r="K608" i="6"/>
  <c r="K609" i="6"/>
  <c r="K610" i="6"/>
  <c r="K611" i="6"/>
  <c r="K612" i="6"/>
  <c r="K613" i="6"/>
  <c r="K614" i="6"/>
  <c r="K615" i="6"/>
  <c r="K616" i="6"/>
  <c r="K617" i="6"/>
  <c r="K618" i="6"/>
  <c r="K619" i="6"/>
  <c r="K620" i="6"/>
  <c r="K621" i="6"/>
  <c r="K622" i="6"/>
  <c r="K623" i="6"/>
  <c r="K624" i="6"/>
  <c r="K625" i="6"/>
  <c r="K626" i="6"/>
  <c r="K627" i="6"/>
  <c r="K628" i="6"/>
  <c r="K629" i="6"/>
  <c r="K630" i="6"/>
  <c r="K631" i="6"/>
  <c r="K632" i="6"/>
  <c r="K633" i="6"/>
  <c r="K634" i="6"/>
  <c r="K635" i="6"/>
  <c r="K636" i="6"/>
  <c r="K637" i="6"/>
  <c r="K638" i="6"/>
  <c r="K639" i="6"/>
  <c r="K640" i="6"/>
  <c r="K641" i="6"/>
  <c r="K642" i="6"/>
  <c r="K643" i="6"/>
  <c r="K644" i="6"/>
  <c r="K645" i="6"/>
  <c r="K646" i="6"/>
  <c r="K647" i="6"/>
  <c r="K648" i="6"/>
  <c r="K649" i="6"/>
  <c r="K650" i="6"/>
  <c r="K651" i="6"/>
  <c r="K652" i="6"/>
  <c r="K653" i="6"/>
  <c r="K654" i="6"/>
  <c r="K655" i="6"/>
  <c r="K656" i="6"/>
  <c r="K657" i="6"/>
  <c r="K658" i="6"/>
  <c r="K659" i="6"/>
  <c r="K660" i="6"/>
  <c r="K661" i="6"/>
  <c r="K662" i="6"/>
  <c r="K663" i="6"/>
  <c r="K664" i="6"/>
  <c r="K665" i="6"/>
  <c r="K666" i="6"/>
  <c r="K667" i="6"/>
  <c r="K668" i="6"/>
  <c r="K669" i="6"/>
  <c r="K670" i="6"/>
  <c r="K671" i="6"/>
  <c r="K672" i="6"/>
  <c r="K673" i="6"/>
  <c r="K674" i="6"/>
  <c r="K675" i="6"/>
  <c r="K676" i="6"/>
  <c r="K677" i="6"/>
  <c r="K678" i="6"/>
  <c r="K679" i="6"/>
  <c r="K680" i="6"/>
  <c r="K681" i="6"/>
  <c r="K682" i="6"/>
  <c r="K683" i="6"/>
  <c r="K684" i="6"/>
  <c r="K685" i="6"/>
  <c r="K686" i="6"/>
  <c r="K687" i="6"/>
  <c r="K688" i="6"/>
  <c r="K689" i="6"/>
  <c r="K690" i="6"/>
  <c r="K691" i="6"/>
  <c r="K692" i="6"/>
  <c r="K693" i="6"/>
  <c r="K694" i="6"/>
  <c r="K695" i="6"/>
  <c r="K696" i="6"/>
  <c r="K697" i="6"/>
  <c r="K698" i="6"/>
  <c r="K699" i="6"/>
  <c r="K700" i="6"/>
  <c r="K701" i="6"/>
  <c r="K702" i="6"/>
  <c r="K703" i="6"/>
  <c r="K704" i="6"/>
  <c r="K705" i="6"/>
  <c r="K706" i="6"/>
  <c r="K707" i="6"/>
  <c r="K708" i="6"/>
  <c r="K709" i="6"/>
  <c r="K710" i="6"/>
  <c r="K711" i="6"/>
  <c r="K712" i="6"/>
  <c r="K713" i="6"/>
  <c r="K714" i="6"/>
  <c r="K715" i="6"/>
  <c r="K716" i="6"/>
  <c r="K717" i="6"/>
  <c r="K718" i="6"/>
  <c r="K719" i="6"/>
  <c r="K720" i="6"/>
  <c r="K721" i="6"/>
  <c r="K722" i="6"/>
  <c r="K723" i="6"/>
  <c r="K724" i="6"/>
  <c r="K725" i="6"/>
  <c r="K726" i="6"/>
  <c r="K727" i="6"/>
  <c r="K728" i="6"/>
  <c r="K729" i="6"/>
  <c r="K730" i="6"/>
  <c r="K731" i="6"/>
  <c r="K732" i="6"/>
  <c r="K733" i="6"/>
  <c r="K734" i="6"/>
  <c r="K735" i="6"/>
  <c r="K736" i="6"/>
  <c r="K737" i="6"/>
  <c r="K738" i="6"/>
  <c r="K739" i="6"/>
  <c r="K740" i="6"/>
  <c r="K741" i="6"/>
  <c r="K742" i="6"/>
  <c r="K743" i="6"/>
  <c r="K744" i="6"/>
  <c r="K745" i="6"/>
  <c r="K746" i="6"/>
  <c r="K747" i="6"/>
  <c r="K748" i="6"/>
  <c r="K749" i="6"/>
  <c r="K750" i="6"/>
  <c r="K751" i="6"/>
  <c r="K752" i="6"/>
  <c r="K753" i="6"/>
  <c r="K754" i="6"/>
  <c r="K755" i="6"/>
  <c r="K756" i="6"/>
  <c r="K757" i="6"/>
  <c r="K758" i="6"/>
  <c r="K759" i="6"/>
  <c r="K760" i="6"/>
  <c r="K761" i="6"/>
  <c r="K762" i="6"/>
  <c r="K763" i="6"/>
  <c r="K764" i="6"/>
  <c r="K765" i="6"/>
  <c r="K766" i="6"/>
  <c r="K767" i="6"/>
  <c r="K768" i="6"/>
  <c r="K769" i="6"/>
  <c r="K770" i="6"/>
  <c r="K771" i="6"/>
  <c r="K772" i="6"/>
  <c r="K773" i="6"/>
  <c r="K774" i="6"/>
  <c r="K775" i="6"/>
  <c r="K776" i="6"/>
  <c r="K777" i="6"/>
  <c r="K778" i="6"/>
  <c r="K779" i="6"/>
  <c r="K780" i="6"/>
  <c r="K781" i="6"/>
  <c r="K782" i="6"/>
  <c r="K783" i="6"/>
  <c r="K784" i="6"/>
  <c r="K785" i="6"/>
  <c r="K786" i="6"/>
  <c r="K787" i="6"/>
  <c r="K788" i="6"/>
  <c r="K789" i="6"/>
  <c r="K790" i="6"/>
  <c r="K791" i="6"/>
  <c r="K792" i="6"/>
  <c r="K793" i="6"/>
  <c r="K794" i="6"/>
  <c r="K795" i="6"/>
  <c r="K796" i="6"/>
  <c r="K797" i="6"/>
  <c r="K798" i="6"/>
  <c r="K799" i="6"/>
  <c r="K800" i="6"/>
  <c r="K801" i="6"/>
  <c r="K802" i="6"/>
  <c r="K803" i="6"/>
  <c r="K804" i="6"/>
  <c r="K805" i="6"/>
  <c r="K806" i="6"/>
  <c r="K807" i="6"/>
  <c r="K808" i="6"/>
  <c r="K809" i="6"/>
  <c r="K810" i="6"/>
  <c r="K811" i="6"/>
  <c r="K812" i="6"/>
  <c r="K813" i="6"/>
  <c r="K814" i="6"/>
  <c r="K815" i="6"/>
  <c r="K816" i="6"/>
  <c r="K817" i="6"/>
  <c r="K818" i="6"/>
  <c r="K819" i="6"/>
  <c r="K820" i="6"/>
  <c r="K821" i="6"/>
  <c r="K822" i="6"/>
  <c r="K823" i="6"/>
  <c r="K824" i="6"/>
  <c r="K825" i="6"/>
  <c r="K826" i="6"/>
  <c r="K827" i="6"/>
  <c r="K828" i="6"/>
  <c r="K829" i="6"/>
  <c r="K830" i="6"/>
  <c r="K831" i="6"/>
  <c r="K832" i="6"/>
  <c r="K833" i="6"/>
  <c r="K834" i="6"/>
  <c r="K835" i="6"/>
  <c r="K836" i="6"/>
  <c r="K837" i="6"/>
  <c r="K838" i="6"/>
  <c r="K839" i="6"/>
  <c r="K840" i="6"/>
  <c r="K841" i="6"/>
  <c r="K842" i="6"/>
  <c r="K843" i="6"/>
  <c r="K844" i="6"/>
  <c r="K845" i="6"/>
  <c r="K846" i="6"/>
  <c r="K847" i="6"/>
  <c r="K848" i="6"/>
  <c r="K849" i="6"/>
  <c r="K850" i="6"/>
  <c r="K851" i="6"/>
  <c r="K852" i="6"/>
  <c r="K853" i="6"/>
  <c r="K854" i="6"/>
  <c r="K855" i="6"/>
  <c r="K856" i="6"/>
  <c r="K857" i="6"/>
  <c r="K858" i="6"/>
  <c r="K859" i="6"/>
  <c r="K860" i="6"/>
  <c r="K861" i="6"/>
  <c r="K862" i="6"/>
  <c r="K863" i="6"/>
  <c r="K864" i="6"/>
  <c r="K865" i="6"/>
  <c r="K866" i="6"/>
  <c r="K867" i="6"/>
  <c r="K868" i="6"/>
  <c r="K869" i="6"/>
  <c r="K870" i="6"/>
  <c r="K871" i="6"/>
  <c r="K872" i="6"/>
  <c r="K873" i="6"/>
  <c r="K874" i="6"/>
  <c r="K875" i="6"/>
  <c r="K876" i="6"/>
  <c r="K877" i="6"/>
  <c r="K878" i="6"/>
  <c r="K879" i="6"/>
  <c r="K880" i="6"/>
  <c r="K881" i="6"/>
  <c r="K882" i="6"/>
  <c r="K883" i="6"/>
  <c r="K884" i="6"/>
  <c r="K885" i="6"/>
  <c r="K886" i="6"/>
  <c r="K887" i="6"/>
  <c r="K888" i="6"/>
  <c r="K889" i="6"/>
  <c r="K890" i="6"/>
  <c r="K891" i="6"/>
  <c r="K892" i="6"/>
  <c r="K893" i="6"/>
  <c r="K894" i="6"/>
  <c r="K895" i="6"/>
  <c r="K896" i="6"/>
  <c r="K897" i="6"/>
  <c r="K898" i="6"/>
  <c r="K899" i="6"/>
  <c r="K900" i="6"/>
  <c r="K901" i="6"/>
  <c r="K902" i="6"/>
  <c r="K903" i="6"/>
  <c r="K904" i="6"/>
  <c r="K905" i="6"/>
  <c r="K906" i="6"/>
  <c r="K907" i="6"/>
  <c r="K908" i="6"/>
  <c r="K909" i="6"/>
  <c r="K910" i="6"/>
  <c r="K911" i="6"/>
  <c r="K912" i="6"/>
  <c r="K913" i="6"/>
  <c r="K914" i="6"/>
  <c r="K915" i="6"/>
  <c r="K916" i="6"/>
  <c r="K917" i="6"/>
  <c r="K918" i="6"/>
  <c r="K919" i="6"/>
  <c r="K920" i="6"/>
  <c r="K921" i="6"/>
  <c r="K922" i="6"/>
  <c r="K923" i="6"/>
  <c r="K924" i="6"/>
  <c r="K925" i="6"/>
  <c r="K926" i="6"/>
  <c r="K927" i="6"/>
  <c r="K928" i="6"/>
  <c r="K929" i="6"/>
  <c r="K930" i="6"/>
  <c r="K931" i="6"/>
  <c r="K932" i="6"/>
  <c r="K933" i="6"/>
  <c r="K934" i="6"/>
  <c r="K935" i="6"/>
  <c r="K936" i="6"/>
  <c r="K937" i="6"/>
  <c r="K938" i="6"/>
  <c r="K939" i="6"/>
  <c r="K940" i="6"/>
  <c r="K941" i="6"/>
  <c r="K942" i="6"/>
  <c r="K943" i="6"/>
  <c r="K944" i="6"/>
  <c r="K945" i="6"/>
  <c r="K946" i="6"/>
  <c r="K947" i="6"/>
  <c r="K948" i="6"/>
  <c r="K949" i="6"/>
  <c r="K950" i="6"/>
  <c r="K951" i="6"/>
  <c r="K952" i="6"/>
  <c r="K953" i="6"/>
  <c r="K954" i="6"/>
  <c r="K955" i="6"/>
  <c r="K956" i="6"/>
  <c r="K957" i="6"/>
  <c r="K958" i="6"/>
  <c r="K959" i="6"/>
  <c r="K960" i="6"/>
  <c r="K961" i="6"/>
  <c r="K962" i="6"/>
  <c r="K963" i="6"/>
  <c r="K964" i="6"/>
  <c r="K965" i="6"/>
  <c r="K966" i="6"/>
  <c r="K967" i="6"/>
  <c r="K968" i="6"/>
  <c r="K969" i="6"/>
  <c r="K970" i="6"/>
  <c r="K971" i="6"/>
  <c r="K972" i="6"/>
  <c r="K973" i="6"/>
  <c r="K974" i="6"/>
  <c r="K975" i="6"/>
  <c r="K976" i="6"/>
  <c r="K977" i="6"/>
  <c r="K978" i="6"/>
  <c r="K979" i="6"/>
  <c r="K980" i="6"/>
  <c r="K981" i="6"/>
  <c r="K982" i="6"/>
  <c r="K983" i="6"/>
  <c r="K984" i="6"/>
  <c r="K985" i="6"/>
  <c r="K986" i="6"/>
  <c r="K987" i="6"/>
  <c r="K988" i="6"/>
  <c r="K989" i="6"/>
  <c r="K990" i="6"/>
  <c r="K991" i="6"/>
  <c r="K992" i="6"/>
  <c r="K993" i="6"/>
  <c r="K994" i="6"/>
  <c r="K995" i="6"/>
  <c r="K996" i="6"/>
  <c r="K997" i="6"/>
  <c r="K998" i="6"/>
  <c r="K999" i="6"/>
  <c r="K1000" i="6"/>
  <c r="K1001" i="6"/>
  <c r="K1002" i="6"/>
  <c r="K1003" i="6"/>
  <c r="K1004" i="6"/>
  <c r="K1005" i="6"/>
  <c r="K1006" i="6"/>
  <c r="K1007" i="6"/>
  <c r="K1008" i="6"/>
  <c r="K1009" i="6"/>
  <c r="K1010" i="6"/>
  <c r="K1011" i="6"/>
  <c r="K1012" i="6"/>
  <c r="K1013" i="6"/>
  <c r="K1014" i="6"/>
  <c r="K1015" i="6"/>
  <c r="K1016" i="6"/>
  <c r="K1017" i="6"/>
  <c r="K1018" i="6"/>
  <c r="K1019" i="6"/>
  <c r="K1020" i="6"/>
  <c r="K1021" i="6"/>
  <c r="K1022" i="6"/>
  <c r="K1023" i="6"/>
  <c r="K1024" i="6"/>
  <c r="K1025" i="6"/>
  <c r="K1026" i="6"/>
  <c r="K1027" i="6"/>
  <c r="K1028" i="6"/>
  <c r="K1029" i="6"/>
  <c r="K1030" i="6"/>
  <c r="K1031" i="6"/>
  <c r="K1032" i="6"/>
  <c r="K1033" i="6"/>
  <c r="K1034" i="6"/>
  <c r="K1035" i="6"/>
  <c r="K1036" i="6"/>
  <c r="K1037" i="6"/>
  <c r="K1038" i="6"/>
  <c r="K1039" i="6"/>
  <c r="K1040" i="6"/>
  <c r="K1041" i="6"/>
  <c r="K1042" i="6"/>
  <c r="K1043" i="6"/>
  <c r="K1044" i="6"/>
  <c r="K1045" i="6"/>
  <c r="K1046" i="6"/>
  <c r="K1047" i="6"/>
  <c r="K1048" i="6"/>
  <c r="K1049" i="6"/>
  <c r="K1050" i="6"/>
  <c r="K1051" i="6"/>
  <c r="K1052" i="6"/>
  <c r="K1053" i="6"/>
  <c r="K1054" i="6"/>
  <c r="K1055" i="6"/>
  <c r="K1056" i="6"/>
  <c r="K1057" i="6"/>
  <c r="K1058" i="6"/>
  <c r="K1059" i="6"/>
  <c r="K1060" i="6"/>
  <c r="K1061" i="6"/>
  <c r="K1062" i="6"/>
  <c r="K1063" i="6"/>
  <c r="K1064" i="6"/>
  <c r="K1065" i="6"/>
  <c r="K1066" i="6"/>
  <c r="K1067" i="6"/>
  <c r="K1068" i="6"/>
  <c r="K1069" i="6"/>
  <c r="K1070" i="6"/>
  <c r="K1071" i="6"/>
  <c r="K1072" i="6"/>
  <c r="K1073" i="6"/>
  <c r="K1074" i="6"/>
  <c r="K1075" i="6"/>
  <c r="K1076" i="6"/>
  <c r="K1077" i="6"/>
  <c r="K1078" i="6"/>
  <c r="K1079" i="6"/>
  <c r="K1080" i="6"/>
  <c r="K1081" i="6"/>
  <c r="K1082" i="6"/>
  <c r="K1083" i="6"/>
  <c r="K1084" i="6"/>
  <c r="K1085" i="6"/>
  <c r="K1086" i="6"/>
  <c r="K1087" i="6"/>
  <c r="K1088" i="6"/>
  <c r="K1089" i="6"/>
  <c r="K1090" i="6"/>
  <c r="K1091" i="6"/>
  <c r="K1092" i="6"/>
  <c r="K1093" i="6"/>
  <c r="K1094" i="6"/>
  <c r="K1095" i="6"/>
  <c r="K1096" i="6"/>
  <c r="K1097" i="6"/>
  <c r="K1098" i="6"/>
  <c r="K1099" i="6"/>
  <c r="K1100" i="6"/>
  <c r="K1101" i="6"/>
  <c r="K1102" i="6"/>
  <c r="K1103" i="6"/>
  <c r="K1104" i="6"/>
  <c r="K1105" i="6"/>
  <c r="K1106" i="6"/>
  <c r="K1107" i="6"/>
  <c r="K1108" i="6"/>
  <c r="K1109" i="6"/>
  <c r="K1110" i="6"/>
  <c r="K1111" i="6"/>
  <c r="K1112" i="6"/>
  <c r="K1113" i="6"/>
  <c r="K1114" i="6"/>
  <c r="K1115" i="6"/>
  <c r="K1116" i="6"/>
  <c r="K1117" i="6"/>
  <c r="K1118" i="6"/>
  <c r="K1119" i="6"/>
  <c r="K1120" i="6"/>
  <c r="K1121" i="6"/>
  <c r="K1122" i="6"/>
  <c r="K1123" i="6"/>
  <c r="K1124" i="6"/>
  <c r="K1125" i="6"/>
  <c r="K1126" i="6"/>
  <c r="K1127" i="6"/>
  <c r="K1128" i="6"/>
  <c r="K1129" i="6"/>
  <c r="K1130" i="6"/>
  <c r="K1131" i="6"/>
  <c r="K1132" i="6"/>
  <c r="K1133" i="6"/>
  <c r="K1134" i="6"/>
  <c r="K1135" i="6"/>
  <c r="K1136" i="6"/>
  <c r="K1137" i="6"/>
  <c r="K1138" i="6"/>
  <c r="K1139" i="6"/>
  <c r="K1140" i="6"/>
  <c r="K1141" i="6"/>
  <c r="K1142" i="6"/>
  <c r="K1143" i="6"/>
  <c r="K1144" i="6"/>
  <c r="K1145" i="6"/>
  <c r="K1146" i="6"/>
  <c r="K1147" i="6"/>
  <c r="K1148" i="6"/>
  <c r="K1149" i="6"/>
  <c r="K1150" i="6"/>
  <c r="K1151" i="6"/>
  <c r="K1152" i="6"/>
  <c r="K1153" i="6"/>
  <c r="K1154" i="6"/>
  <c r="K1155" i="6"/>
  <c r="K1156" i="6"/>
  <c r="K1157" i="6"/>
  <c r="K1158" i="6"/>
  <c r="K1159" i="6"/>
  <c r="K1160" i="6"/>
  <c r="K1161" i="6"/>
  <c r="K1162" i="6"/>
  <c r="K1163" i="6"/>
  <c r="K1164" i="6"/>
  <c r="K1165" i="6"/>
  <c r="K1166" i="6"/>
  <c r="K1167" i="6"/>
  <c r="K1168" i="6"/>
  <c r="K1169" i="6"/>
  <c r="K1170" i="6"/>
  <c r="K1171" i="6"/>
  <c r="K1172" i="6"/>
  <c r="K1173" i="6"/>
  <c r="K1174" i="6"/>
  <c r="K1175" i="6"/>
  <c r="K1176" i="6"/>
  <c r="K1177" i="6"/>
  <c r="K1178" i="6"/>
  <c r="K1179" i="6"/>
  <c r="K1180" i="6"/>
  <c r="K1181" i="6"/>
  <c r="K1182" i="6"/>
  <c r="K1183" i="6"/>
  <c r="K1184" i="6"/>
  <c r="K1185" i="6"/>
  <c r="K1186" i="6"/>
  <c r="K1187" i="6"/>
  <c r="K1188" i="6"/>
  <c r="K1189" i="6"/>
  <c r="K1190" i="6"/>
  <c r="K1191" i="6"/>
  <c r="K1192" i="6"/>
  <c r="K1193" i="6"/>
  <c r="K1194" i="6"/>
  <c r="K2" i="6"/>
  <c r="I4" i="6"/>
  <c r="I5" i="6"/>
  <c r="I6" i="6"/>
  <c r="I7" i="6"/>
  <c r="I8" i="6"/>
  <c r="I9" i="6"/>
  <c r="I10" i="6"/>
  <c r="I11" i="6"/>
  <c r="I12" i="6"/>
  <c r="I13" i="6"/>
  <c r="I14" i="6"/>
  <c r="I15" i="6"/>
  <c r="I16" i="6"/>
  <c r="I17" i="6"/>
  <c r="I18" i="6"/>
  <c r="I19" i="6"/>
  <c r="I20" i="6"/>
  <c r="I21" i="6"/>
  <c r="I22" i="6"/>
  <c r="I23" i="6"/>
  <c r="I24" i="6"/>
  <c r="I25" i="6"/>
  <c r="I26" i="6"/>
  <c r="I27" i="6"/>
  <c r="I28" i="6"/>
  <c r="I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96" i="6"/>
  <c r="I97" i="6"/>
  <c r="I98" i="6"/>
  <c r="I99" i="6"/>
  <c r="I100" i="6"/>
  <c r="I101" i="6"/>
  <c r="I102" i="6"/>
  <c r="I103" i="6"/>
  <c r="I104" i="6"/>
  <c r="I105" i="6"/>
  <c r="I106" i="6"/>
  <c r="I107" i="6"/>
  <c r="I108" i="6"/>
  <c r="I109" i="6"/>
  <c r="I110" i="6"/>
  <c r="I111" i="6"/>
  <c r="I112" i="6"/>
  <c r="I113" i="6"/>
  <c r="I114" i="6"/>
  <c r="I115" i="6"/>
  <c r="I116" i="6"/>
  <c r="I117" i="6"/>
  <c r="I118" i="6"/>
  <c r="I119" i="6"/>
  <c r="I120" i="6"/>
  <c r="I121" i="6"/>
  <c r="I122" i="6"/>
  <c r="I123" i="6"/>
  <c r="I124" i="6"/>
  <c r="I125" i="6"/>
  <c r="I126" i="6"/>
  <c r="I127" i="6"/>
  <c r="I128" i="6"/>
  <c r="I129" i="6"/>
  <c r="I130" i="6"/>
  <c r="I131" i="6"/>
  <c r="I132" i="6"/>
  <c r="I133" i="6"/>
  <c r="I134" i="6"/>
  <c r="I135" i="6"/>
  <c r="I136" i="6"/>
  <c r="I137" i="6"/>
  <c r="I138" i="6"/>
  <c r="I139" i="6"/>
  <c r="I140" i="6"/>
  <c r="I141" i="6"/>
  <c r="I142" i="6"/>
  <c r="I143" i="6"/>
  <c r="I144" i="6"/>
  <c r="I145" i="6"/>
  <c r="I146" i="6"/>
  <c r="I147" i="6"/>
  <c r="I148" i="6"/>
  <c r="I149" i="6"/>
  <c r="I150" i="6"/>
  <c r="I151" i="6"/>
  <c r="I152" i="6"/>
  <c r="I153" i="6"/>
  <c r="I154" i="6"/>
  <c r="I155" i="6"/>
  <c r="I156" i="6"/>
  <c r="I157" i="6"/>
  <c r="I158" i="6"/>
  <c r="I159" i="6"/>
  <c r="I160" i="6"/>
  <c r="I161" i="6"/>
  <c r="I162" i="6"/>
  <c r="I163" i="6"/>
  <c r="I164" i="6"/>
  <c r="I165"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I198" i="6"/>
  <c r="I199" i="6"/>
  <c r="I200" i="6"/>
  <c r="I201"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I234" i="6"/>
  <c r="I235" i="6"/>
  <c r="I236" i="6"/>
  <c r="I237" i="6"/>
  <c r="I238" i="6"/>
  <c r="I239" i="6"/>
  <c r="I240" i="6"/>
  <c r="I241" i="6"/>
  <c r="I242" i="6"/>
  <c r="I243" i="6"/>
  <c r="I244" i="6"/>
  <c r="I245" i="6"/>
  <c r="I246" i="6"/>
  <c r="I247" i="6"/>
  <c r="I248" i="6"/>
  <c r="I249" i="6"/>
  <c r="I250" i="6"/>
  <c r="I251" i="6"/>
  <c r="I252" i="6"/>
  <c r="I253" i="6"/>
  <c r="I254" i="6"/>
  <c r="I255" i="6"/>
  <c r="I256" i="6"/>
  <c r="I257" i="6"/>
  <c r="I258" i="6"/>
  <c r="I259" i="6"/>
  <c r="I260" i="6"/>
  <c r="I261" i="6"/>
  <c r="I262" i="6"/>
  <c r="I263" i="6"/>
  <c r="I264" i="6"/>
  <c r="I265" i="6"/>
  <c r="I266" i="6"/>
  <c r="I267" i="6"/>
  <c r="I268" i="6"/>
  <c r="I269" i="6"/>
  <c r="I270" i="6"/>
  <c r="I271" i="6"/>
  <c r="I272" i="6"/>
  <c r="I273" i="6"/>
  <c r="I274" i="6"/>
  <c r="I275" i="6"/>
  <c r="I276" i="6"/>
  <c r="I277" i="6"/>
  <c r="I278" i="6"/>
  <c r="I279" i="6"/>
  <c r="I280" i="6"/>
  <c r="I281" i="6"/>
  <c r="I282" i="6"/>
  <c r="I283" i="6"/>
  <c r="I284" i="6"/>
  <c r="I285" i="6"/>
  <c r="I286" i="6"/>
  <c r="I287" i="6"/>
  <c r="I288" i="6"/>
  <c r="I289" i="6"/>
  <c r="I290" i="6"/>
  <c r="I291" i="6"/>
  <c r="I292" i="6"/>
  <c r="I293" i="6"/>
  <c r="I294" i="6"/>
  <c r="I295" i="6"/>
  <c r="I296" i="6"/>
  <c r="I297" i="6"/>
  <c r="I298" i="6"/>
  <c r="I299" i="6"/>
  <c r="I300" i="6"/>
  <c r="I301" i="6"/>
  <c r="I302" i="6"/>
  <c r="I303" i="6"/>
  <c r="I304" i="6"/>
  <c r="I305" i="6"/>
  <c r="I306" i="6"/>
  <c r="I307" i="6"/>
  <c r="I308" i="6"/>
  <c r="I309" i="6"/>
  <c r="I310" i="6"/>
  <c r="I311" i="6"/>
  <c r="I312" i="6"/>
  <c r="I313" i="6"/>
  <c r="I314" i="6"/>
  <c r="I315" i="6"/>
  <c r="I316" i="6"/>
  <c r="I317" i="6"/>
  <c r="I318" i="6"/>
  <c r="I319" i="6"/>
  <c r="I320" i="6"/>
  <c r="I321" i="6"/>
  <c r="I322" i="6"/>
  <c r="I323" i="6"/>
  <c r="I324" i="6"/>
  <c r="I325" i="6"/>
  <c r="I326" i="6"/>
  <c r="I327" i="6"/>
  <c r="I328" i="6"/>
  <c r="I329" i="6"/>
  <c r="I330" i="6"/>
  <c r="I331" i="6"/>
  <c r="I332" i="6"/>
  <c r="I333" i="6"/>
  <c r="I334" i="6"/>
  <c r="I335" i="6"/>
  <c r="I336" i="6"/>
  <c r="I337" i="6"/>
  <c r="I338" i="6"/>
  <c r="I339" i="6"/>
  <c r="I340" i="6"/>
  <c r="I341" i="6"/>
  <c r="I342" i="6"/>
  <c r="I343" i="6"/>
  <c r="I344" i="6"/>
  <c r="I345" i="6"/>
  <c r="I346" i="6"/>
  <c r="I347" i="6"/>
  <c r="I348" i="6"/>
  <c r="I349" i="6"/>
  <c r="I350" i="6"/>
  <c r="I351" i="6"/>
  <c r="I352" i="6"/>
  <c r="I353" i="6"/>
  <c r="I354" i="6"/>
  <c r="I355" i="6"/>
  <c r="I356" i="6"/>
  <c r="I357" i="6"/>
  <c r="I358" i="6"/>
  <c r="I359" i="6"/>
  <c r="I360" i="6"/>
  <c r="I361" i="6"/>
  <c r="I362" i="6"/>
  <c r="I363" i="6"/>
  <c r="I364" i="6"/>
  <c r="I365" i="6"/>
  <c r="I366" i="6"/>
  <c r="I367" i="6"/>
  <c r="I368" i="6"/>
  <c r="I369" i="6"/>
  <c r="I370" i="6"/>
  <c r="I371" i="6"/>
  <c r="I372" i="6"/>
  <c r="I373" i="6"/>
  <c r="I374" i="6"/>
  <c r="I375" i="6"/>
  <c r="I376" i="6"/>
  <c r="I377" i="6"/>
  <c r="I378" i="6"/>
  <c r="I379" i="6"/>
  <c r="I380" i="6"/>
  <c r="I381" i="6"/>
  <c r="I382" i="6"/>
  <c r="I383" i="6"/>
  <c r="I384" i="6"/>
  <c r="I385" i="6"/>
  <c r="I386" i="6"/>
  <c r="I387" i="6"/>
  <c r="I388" i="6"/>
  <c r="I389" i="6"/>
  <c r="I390" i="6"/>
  <c r="I391" i="6"/>
  <c r="I392" i="6"/>
  <c r="I393" i="6"/>
  <c r="I394" i="6"/>
  <c r="I395" i="6"/>
  <c r="I396" i="6"/>
  <c r="I397" i="6"/>
  <c r="I398" i="6"/>
  <c r="I399" i="6"/>
  <c r="I400" i="6"/>
  <c r="I401" i="6"/>
  <c r="I402" i="6"/>
  <c r="I403" i="6"/>
  <c r="I404" i="6"/>
  <c r="I405" i="6"/>
  <c r="I406" i="6"/>
  <c r="I407" i="6"/>
  <c r="I408" i="6"/>
  <c r="I409" i="6"/>
  <c r="I410" i="6"/>
  <c r="I411" i="6"/>
  <c r="I412" i="6"/>
  <c r="I413" i="6"/>
  <c r="I414" i="6"/>
  <c r="I415" i="6"/>
  <c r="I416" i="6"/>
  <c r="I417" i="6"/>
  <c r="I418" i="6"/>
  <c r="I419" i="6"/>
  <c r="I420" i="6"/>
  <c r="I421" i="6"/>
  <c r="I422" i="6"/>
  <c r="I423" i="6"/>
  <c r="I424" i="6"/>
  <c r="I425" i="6"/>
  <c r="I426" i="6"/>
  <c r="I427" i="6"/>
  <c r="I428" i="6"/>
  <c r="I429" i="6"/>
  <c r="I430" i="6"/>
  <c r="I431" i="6"/>
  <c r="I432" i="6"/>
  <c r="I433" i="6"/>
  <c r="I434" i="6"/>
  <c r="I435" i="6"/>
  <c r="I436" i="6"/>
  <c r="I437" i="6"/>
  <c r="I438" i="6"/>
  <c r="I439" i="6"/>
  <c r="I440" i="6"/>
  <c r="I441" i="6"/>
  <c r="I442" i="6"/>
  <c r="I443" i="6"/>
  <c r="I444" i="6"/>
  <c r="I445" i="6"/>
  <c r="I446" i="6"/>
  <c r="I447" i="6"/>
  <c r="I448" i="6"/>
  <c r="I449" i="6"/>
  <c r="I450" i="6"/>
  <c r="I451" i="6"/>
  <c r="I452" i="6"/>
  <c r="I453" i="6"/>
  <c r="I454" i="6"/>
  <c r="I455" i="6"/>
  <c r="I456" i="6"/>
  <c r="I457" i="6"/>
  <c r="I458" i="6"/>
  <c r="I459" i="6"/>
  <c r="I460" i="6"/>
  <c r="I461" i="6"/>
  <c r="I462" i="6"/>
  <c r="I463" i="6"/>
  <c r="I464" i="6"/>
  <c r="I465" i="6"/>
  <c r="I466" i="6"/>
  <c r="I467" i="6"/>
  <c r="I468" i="6"/>
  <c r="I469" i="6"/>
  <c r="I470" i="6"/>
  <c r="I471" i="6"/>
  <c r="I472" i="6"/>
  <c r="I473" i="6"/>
  <c r="I474" i="6"/>
  <c r="I475" i="6"/>
  <c r="I476" i="6"/>
  <c r="I477" i="6"/>
  <c r="I478" i="6"/>
  <c r="I479" i="6"/>
  <c r="I480" i="6"/>
  <c r="I481" i="6"/>
  <c r="I482" i="6"/>
  <c r="I483" i="6"/>
  <c r="I484" i="6"/>
  <c r="I485" i="6"/>
  <c r="I486" i="6"/>
  <c r="I487" i="6"/>
  <c r="I488" i="6"/>
  <c r="I489" i="6"/>
  <c r="I490" i="6"/>
  <c r="I491" i="6"/>
  <c r="I492" i="6"/>
  <c r="I493" i="6"/>
  <c r="I494" i="6"/>
  <c r="I495" i="6"/>
  <c r="I496" i="6"/>
  <c r="I497" i="6"/>
  <c r="I498" i="6"/>
  <c r="I499" i="6"/>
  <c r="I500" i="6"/>
  <c r="I501" i="6"/>
  <c r="I502" i="6"/>
  <c r="I503" i="6"/>
  <c r="I504" i="6"/>
  <c r="I505" i="6"/>
  <c r="I506" i="6"/>
  <c r="I507" i="6"/>
  <c r="I508" i="6"/>
  <c r="I509" i="6"/>
  <c r="I510" i="6"/>
  <c r="I511" i="6"/>
  <c r="I512" i="6"/>
  <c r="I513" i="6"/>
  <c r="I514" i="6"/>
  <c r="I515" i="6"/>
  <c r="I516" i="6"/>
  <c r="I517" i="6"/>
  <c r="I518" i="6"/>
  <c r="I519" i="6"/>
  <c r="I520" i="6"/>
  <c r="I521" i="6"/>
  <c r="I522" i="6"/>
  <c r="I523" i="6"/>
  <c r="I524" i="6"/>
  <c r="I525" i="6"/>
  <c r="I526" i="6"/>
  <c r="I527" i="6"/>
  <c r="I528" i="6"/>
  <c r="I529" i="6"/>
  <c r="I530" i="6"/>
  <c r="I531" i="6"/>
  <c r="I532" i="6"/>
  <c r="I533" i="6"/>
  <c r="I534" i="6"/>
  <c r="I535" i="6"/>
  <c r="I536" i="6"/>
  <c r="I537" i="6"/>
  <c r="I538" i="6"/>
  <c r="I539" i="6"/>
  <c r="I540" i="6"/>
  <c r="I541" i="6"/>
  <c r="I542" i="6"/>
  <c r="I543" i="6"/>
  <c r="I544" i="6"/>
  <c r="I545" i="6"/>
  <c r="I546" i="6"/>
  <c r="I547" i="6"/>
  <c r="I548" i="6"/>
  <c r="I549" i="6"/>
  <c r="I550" i="6"/>
  <c r="I551" i="6"/>
  <c r="I552" i="6"/>
  <c r="I553" i="6"/>
  <c r="I554" i="6"/>
  <c r="I555" i="6"/>
  <c r="I556" i="6"/>
  <c r="I557" i="6"/>
  <c r="I558" i="6"/>
  <c r="I559" i="6"/>
  <c r="I560" i="6"/>
  <c r="I561" i="6"/>
  <c r="I562" i="6"/>
  <c r="I563" i="6"/>
  <c r="I564" i="6"/>
  <c r="I565" i="6"/>
  <c r="I566" i="6"/>
  <c r="I567" i="6"/>
  <c r="I568" i="6"/>
  <c r="I569" i="6"/>
  <c r="I570" i="6"/>
  <c r="I571" i="6"/>
  <c r="I572" i="6"/>
  <c r="I573" i="6"/>
  <c r="I574" i="6"/>
  <c r="I575" i="6"/>
  <c r="I576" i="6"/>
  <c r="I577" i="6"/>
  <c r="I578" i="6"/>
  <c r="I579" i="6"/>
  <c r="I580" i="6"/>
  <c r="I581" i="6"/>
  <c r="I582" i="6"/>
  <c r="I583" i="6"/>
  <c r="I584" i="6"/>
  <c r="I585" i="6"/>
  <c r="I586" i="6"/>
  <c r="I587" i="6"/>
  <c r="I588" i="6"/>
  <c r="I589" i="6"/>
  <c r="I590" i="6"/>
  <c r="I591" i="6"/>
  <c r="I592" i="6"/>
  <c r="I593" i="6"/>
  <c r="I594" i="6"/>
  <c r="I595" i="6"/>
  <c r="I596" i="6"/>
  <c r="I597" i="6"/>
  <c r="I598" i="6"/>
  <c r="I599" i="6"/>
  <c r="I600" i="6"/>
  <c r="I601" i="6"/>
  <c r="I602" i="6"/>
  <c r="I603" i="6"/>
  <c r="I604" i="6"/>
  <c r="I605" i="6"/>
  <c r="I606" i="6"/>
  <c r="I607" i="6"/>
  <c r="I608" i="6"/>
  <c r="I609" i="6"/>
  <c r="I610" i="6"/>
  <c r="I611" i="6"/>
  <c r="I612" i="6"/>
  <c r="I613" i="6"/>
  <c r="I614" i="6"/>
  <c r="I615" i="6"/>
  <c r="I616" i="6"/>
  <c r="I617" i="6"/>
  <c r="I618" i="6"/>
  <c r="I619" i="6"/>
  <c r="I620" i="6"/>
  <c r="I621" i="6"/>
  <c r="I622" i="6"/>
  <c r="I623" i="6"/>
  <c r="I624" i="6"/>
  <c r="I625" i="6"/>
  <c r="I626" i="6"/>
  <c r="I627" i="6"/>
  <c r="I628" i="6"/>
  <c r="I629" i="6"/>
  <c r="I630" i="6"/>
  <c r="I631" i="6"/>
  <c r="I632" i="6"/>
  <c r="I633" i="6"/>
  <c r="I634" i="6"/>
  <c r="I635" i="6"/>
  <c r="I636" i="6"/>
  <c r="I637" i="6"/>
  <c r="I638" i="6"/>
  <c r="I639" i="6"/>
  <c r="I640" i="6"/>
  <c r="I641" i="6"/>
  <c r="I642" i="6"/>
  <c r="I643" i="6"/>
  <c r="I644" i="6"/>
  <c r="I645" i="6"/>
  <c r="I646" i="6"/>
  <c r="I647" i="6"/>
  <c r="I648" i="6"/>
  <c r="I649" i="6"/>
  <c r="I650" i="6"/>
  <c r="I651" i="6"/>
  <c r="I652" i="6"/>
  <c r="I653" i="6"/>
  <c r="I654" i="6"/>
  <c r="I655" i="6"/>
  <c r="I656" i="6"/>
  <c r="I657" i="6"/>
  <c r="I658" i="6"/>
  <c r="I659" i="6"/>
  <c r="I660" i="6"/>
  <c r="I661" i="6"/>
  <c r="I662" i="6"/>
  <c r="I663" i="6"/>
  <c r="I664" i="6"/>
  <c r="I665" i="6"/>
  <c r="I666" i="6"/>
  <c r="I667" i="6"/>
  <c r="I668" i="6"/>
  <c r="I669" i="6"/>
  <c r="I670" i="6"/>
  <c r="I671" i="6"/>
  <c r="I672" i="6"/>
  <c r="I673" i="6"/>
  <c r="I674" i="6"/>
  <c r="I675" i="6"/>
  <c r="I676" i="6"/>
  <c r="I677" i="6"/>
  <c r="I678" i="6"/>
  <c r="I679" i="6"/>
  <c r="I680" i="6"/>
  <c r="I681" i="6"/>
  <c r="I682" i="6"/>
  <c r="I683" i="6"/>
  <c r="I684" i="6"/>
  <c r="I685" i="6"/>
  <c r="I686" i="6"/>
  <c r="I687" i="6"/>
  <c r="I688" i="6"/>
  <c r="I689" i="6"/>
  <c r="I690" i="6"/>
  <c r="I691" i="6"/>
  <c r="I692" i="6"/>
  <c r="I693" i="6"/>
  <c r="I694" i="6"/>
  <c r="I695" i="6"/>
  <c r="I696" i="6"/>
  <c r="I697" i="6"/>
  <c r="I698" i="6"/>
  <c r="I699" i="6"/>
  <c r="I700" i="6"/>
  <c r="I701" i="6"/>
  <c r="I702" i="6"/>
  <c r="I703" i="6"/>
  <c r="I704" i="6"/>
  <c r="I705" i="6"/>
  <c r="I706" i="6"/>
  <c r="I707" i="6"/>
  <c r="I708" i="6"/>
  <c r="I709" i="6"/>
  <c r="I710" i="6"/>
  <c r="I711" i="6"/>
  <c r="I712" i="6"/>
  <c r="I713" i="6"/>
  <c r="I714" i="6"/>
  <c r="I715" i="6"/>
  <c r="I716" i="6"/>
  <c r="I717" i="6"/>
  <c r="I718" i="6"/>
  <c r="I719" i="6"/>
  <c r="I720" i="6"/>
  <c r="I721" i="6"/>
  <c r="I722" i="6"/>
  <c r="I723" i="6"/>
  <c r="I724" i="6"/>
  <c r="I725" i="6"/>
  <c r="I726" i="6"/>
  <c r="I727" i="6"/>
  <c r="I728" i="6"/>
  <c r="I729" i="6"/>
  <c r="I730" i="6"/>
  <c r="I731" i="6"/>
  <c r="I732" i="6"/>
  <c r="I733" i="6"/>
  <c r="I734" i="6"/>
  <c r="I735" i="6"/>
  <c r="I736" i="6"/>
  <c r="I737" i="6"/>
  <c r="I738" i="6"/>
  <c r="I739" i="6"/>
  <c r="I740" i="6"/>
  <c r="I741" i="6"/>
  <c r="I742" i="6"/>
  <c r="I743" i="6"/>
  <c r="I744" i="6"/>
  <c r="I745" i="6"/>
  <c r="I746" i="6"/>
  <c r="I747" i="6"/>
  <c r="I748" i="6"/>
  <c r="I749" i="6"/>
  <c r="I750" i="6"/>
  <c r="I751" i="6"/>
  <c r="I752" i="6"/>
  <c r="I753" i="6"/>
  <c r="I754" i="6"/>
  <c r="I755" i="6"/>
  <c r="I756" i="6"/>
  <c r="I757" i="6"/>
  <c r="I758" i="6"/>
  <c r="I759" i="6"/>
  <c r="I760" i="6"/>
  <c r="I761" i="6"/>
  <c r="I762" i="6"/>
  <c r="I763" i="6"/>
  <c r="I764" i="6"/>
  <c r="I765" i="6"/>
  <c r="I766" i="6"/>
  <c r="I767" i="6"/>
  <c r="I768" i="6"/>
  <c r="I769" i="6"/>
  <c r="I770" i="6"/>
  <c r="I771" i="6"/>
  <c r="I772" i="6"/>
  <c r="I773" i="6"/>
  <c r="I774" i="6"/>
  <c r="I775" i="6"/>
  <c r="I776" i="6"/>
  <c r="I777" i="6"/>
  <c r="I778" i="6"/>
  <c r="I779" i="6"/>
  <c r="I780" i="6"/>
  <c r="I781" i="6"/>
  <c r="I782" i="6"/>
  <c r="I783" i="6"/>
  <c r="I784" i="6"/>
  <c r="I785" i="6"/>
  <c r="I786" i="6"/>
  <c r="I787" i="6"/>
  <c r="I788" i="6"/>
  <c r="I789" i="6"/>
  <c r="I790" i="6"/>
  <c r="I791" i="6"/>
  <c r="I792" i="6"/>
  <c r="I793" i="6"/>
  <c r="I794" i="6"/>
  <c r="I795" i="6"/>
  <c r="I796" i="6"/>
  <c r="I797" i="6"/>
  <c r="I798" i="6"/>
  <c r="I799" i="6"/>
  <c r="I800" i="6"/>
  <c r="I801" i="6"/>
  <c r="I802" i="6"/>
  <c r="I803" i="6"/>
  <c r="I804" i="6"/>
  <c r="I805" i="6"/>
  <c r="I806" i="6"/>
  <c r="I807" i="6"/>
  <c r="I808" i="6"/>
  <c r="I809" i="6"/>
  <c r="I810" i="6"/>
  <c r="I811" i="6"/>
  <c r="I812" i="6"/>
  <c r="I813" i="6"/>
  <c r="I814" i="6"/>
  <c r="I815" i="6"/>
  <c r="I816" i="6"/>
  <c r="I817" i="6"/>
  <c r="I818" i="6"/>
  <c r="I819" i="6"/>
  <c r="I820" i="6"/>
  <c r="I821" i="6"/>
  <c r="I822" i="6"/>
  <c r="I823" i="6"/>
  <c r="I824" i="6"/>
  <c r="I825" i="6"/>
  <c r="I826" i="6"/>
  <c r="I827" i="6"/>
  <c r="I828" i="6"/>
  <c r="I829" i="6"/>
  <c r="I830" i="6"/>
  <c r="I831" i="6"/>
  <c r="I832" i="6"/>
  <c r="I833" i="6"/>
  <c r="I834" i="6"/>
  <c r="I835" i="6"/>
  <c r="I836" i="6"/>
  <c r="I837" i="6"/>
  <c r="I838" i="6"/>
  <c r="I839" i="6"/>
  <c r="I840" i="6"/>
  <c r="I841" i="6"/>
  <c r="I842" i="6"/>
  <c r="I843" i="6"/>
  <c r="I844" i="6"/>
  <c r="I845" i="6"/>
  <c r="I846" i="6"/>
  <c r="I847" i="6"/>
  <c r="I848" i="6"/>
  <c r="I849" i="6"/>
  <c r="I850" i="6"/>
  <c r="I851" i="6"/>
  <c r="I852" i="6"/>
  <c r="I853" i="6"/>
  <c r="I854" i="6"/>
  <c r="I855" i="6"/>
  <c r="I856" i="6"/>
  <c r="I857" i="6"/>
  <c r="I858" i="6"/>
  <c r="I859" i="6"/>
  <c r="I860" i="6"/>
  <c r="I861" i="6"/>
  <c r="I862" i="6"/>
  <c r="I863" i="6"/>
  <c r="I864" i="6"/>
  <c r="I865" i="6"/>
  <c r="I866" i="6"/>
  <c r="I867" i="6"/>
  <c r="I868" i="6"/>
  <c r="I869" i="6"/>
  <c r="I870" i="6"/>
  <c r="I871" i="6"/>
  <c r="I872" i="6"/>
  <c r="I873" i="6"/>
  <c r="I874" i="6"/>
  <c r="I875" i="6"/>
  <c r="I876" i="6"/>
  <c r="I877" i="6"/>
  <c r="I878" i="6"/>
  <c r="I879" i="6"/>
  <c r="I880" i="6"/>
  <c r="I881" i="6"/>
  <c r="I882" i="6"/>
  <c r="I883" i="6"/>
  <c r="I884" i="6"/>
  <c r="I885" i="6"/>
  <c r="I886" i="6"/>
  <c r="I887" i="6"/>
  <c r="I888" i="6"/>
  <c r="I889" i="6"/>
  <c r="I890" i="6"/>
  <c r="I891" i="6"/>
  <c r="I892" i="6"/>
  <c r="I893" i="6"/>
  <c r="I894" i="6"/>
  <c r="I895" i="6"/>
  <c r="I896" i="6"/>
  <c r="I897" i="6"/>
  <c r="I898" i="6"/>
  <c r="I899" i="6"/>
  <c r="I900" i="6"/>
  <c r="I901" i="6"/>
  <c r="I902" i="6"/>
  <c r="I903" i="6"/>
  <c r="I904" i="6"/>
  <c r="I905" i="6"/>
  <c r="I906" i="6"/>
  <c r="I907" i="6"/>
  <c r="I908" i="6"/>
  <c r="I909" i="6"/>
  <c r="I910" i="6"/>
  <c r="I911" i="6"/>
  <c r="I912" i="6"/>
  <c r="I913" i="6"/>
  <c r="I914" i="6"/>
  <c r="I915" i="6"/>
  <c r="I916" i="6"/>
  <c r="I917" i="6"/>
  <c r="I918" i="6"/>
  <c r="I919" i="6"/>
  <c r="I920" i="6"/>
  <c r="I921" i="6"/>
  <c r="I922" i="6"/>
  <c r="I923" i="6"/>
  <c r="I924" i="6"/>
  <c r="I925" i="6"/>
  <c r="I926" i="6"/>
  <c r="I927" i="6"/>
  <c r="I928" i="6"/>
  <c r="I929" i="6"/>
  <c r="I930" i="6"/>
  <c r="I931" i="6"/>
  <c r="I932" i="6"/>
  <c r="I933" i="6"/>
  <c r="I934" i="6"/>
  <c r="I935" i="6"/>
  <c r="I936" i="6"/>
  <c r="I937" i="6"/>
  <c r="I938" i="6"/>
  <c r="I939" i="6"/>
  <c r="I940" i="6"/>
  <c r="I941" i="6"/>
  <c r="I942" i="6"/>
  <c r="I943" i="6"/>
  <c r="I944" i="6"/>
  <c r="I945" i="6"/>
  <c r="I946" i="6"/>
  <c r="I947" i="6"/>
  <c r="I948" i="6"/>
  <c r="I949" i="6"/>
  <c r="I950" i="6"/>
  <c r="I951" i="6"/>
  <c r="I952" i="6"/>
  <c r="I953" i="6"/>
  <c r="I954" i="6"/>
  <c r="I955" i="6"/>
  <c r="I956" i="6"/>
  <c r="I957" i="6"/>
  <c r="I958" i="6"/>
  <c r="I959" i="6"/>
  <c r="I960" i="6"/>
  <c r="I961" i="6"/>
  <c r="I962" i="6"/>
  <c r="I963" i="6"/>
  <c r="I964" i="6"/>
  <c r="I965" i="6"/>
  <c r="I966" i="6"/>
  <c r="I967" i="6"/>
  <c r="I968" i="6"/>
  <c r="I969" i="6"/>
  <c r="I970" i="6"/>
  <c r="I971" i="6"/>
  <c r="I972" i="6"/>
  <c r="I973" i="6"/>
  <c r="I974" i="6"/>
  <c r="I975" i="6"/>
  <c r="I976" i="6"/>
  <c r="I977" i="6"/>
  <c r="I978" i="6"/>
  <c r="I979" i="6"/>
  <c r="I980" i="6"/>
  <c r="I981" i="6"/>
  <c r="I982" i="6"/>
  <c r="I983" i="6"/>
  <c r="I984" i="6"/>
  <c r="I985" i="6"/>
  <c r="I986" i="6"/>
  <c r="I987" i="6"/>
  <c r="I988" i="6"/>
  <c r="I989" i="6"/>
  <c r="I990" i="6"/>
  <c r="I991" i="6"/>
  <c r="I992" i="6"/>
  <c r="I993" i="6"/>
  <c r="I994" i="6"/>
  <c r="I995" i="6"/>
  <c r="I996" i="6"/>
  <c r="I997" i="6"/>
  <c r="I998" i="6"/>
  <c r="I999" i="6"/>
  <c r="I1000" i="6"/>
  <c r="I1001" i="6"/>
  <c r="I1002" i="6"/>
  <c r="I1003" i="6"/>
  <c r="I1004" i="6"/>
  <c r="I1005" i="6"/>
  <c r="I1006" i="6"/>
  <c r="I1007" i="6"/>
  <c r="I1008" i="6"/>
  <c r="I1009" i="6"/>
  <c r="I1010" i="6"/>
  <c r="I1011" i="6"/>
  <c r="I1012" i="6"/>
  <c r="I1013" i="6"/>
  <c r="I1014" i="6"/>
  <c r="I1015" i="6"/>
  <c r="I1016" i="6"/>
  <c r="I1017" i="6"/>
  <c r="I1018" i="6"/>
  <c r="I1019" i="6"/>
  <c r="I1020" i="6"/>
  <c r="I1021" i="6"/>
  <c r="I1022" i="6"/>
  <c r="I1023" i="6"/>
  <c r="I1024" i="6"/>
  <c r="I1025" i="6"/>
  <c r="I1026" i="6"/>
  <c r="I1027" i="6"/>
  <c r="I1028" i="6"/>
  <c r="I1029" i="6"/>
  <c r="I1030" i="6"/>
  <c r="I1031" i="6"/>
  <c r="I1032" i="6"/>
  <c r="I1033" i="6"/>
  <c r="I1034" i="6"/>
  <c r="I1035" i="6"/>
  <c r="I1036" i="6"/>
  <c r="I1037" i="6"/>
  <c r="I1038" i="6"/>
  <c r="I1039" i="6"/>
  <c r="I1040" i="6"/>
  <c r="I1041" i="6"/>
  <c r="I1042" i="6"/>
  <c r="I1043" i="6"/>
  <c r="I1044" i="6"/>
  <c r="I1045" i="6"/>
  <c r="I1046" i="6"/>
  <c r="I1047" i="6"/>
  <c r="I1048" i="6"/>
  <c r="I1049" i="6"/>
  <c r="I1050" i="6"/>
  <c r="I1051" i="6"/>
  <c r="I1052" i="6"/>
  <c r="I1053" i="6"/>
  <c r="I1054" i="6"/>
  <c r="I1055" i="6"/>
  <c r="I1056" i="6"/>
  <c r="I1057" i="6"/>
  <c r="I1058" i="6"/>
  <c r="I1059" i="6"/>
  <c r="I1060" i="6"/>
  <c r="I1061" i="6"/>
  <c r="I1062" i="6"/>
  <c r="I1063" i="6"/>
  <c r="I1064" i="6"/>
  <c r="I1065" i="6"/>
  <c r="I1066" i="6"/>
  <c r="I1067" i="6"/>
  <c r="I1068" i="6"/>
  <c r="I1069" i="6"/>
  <c r="I1070" i="6"/>
  <c r="I1071" i="6"/>
  <c r="I1072" i="6"/>
  <c r="I1073" i="6"/>
  <c r="I1074" i="6"/>
  <c r="I1075" i="6"/>
  <c r="I1076" i="6"/>
  <c r="I1077" i="6"/>
  <c r="I1078" i="6"/>
  <c r="I1079" i="6"/>
  <c r="I1080" i="6"/>
  <c r="I1081" i="6"/>
  <c r="I1082" i="6"/>
  <c r="I1083" i="6"/>
  <c r="I1084" i="6"/>
  <c r="I1085" i="6"/>
  <c r="I1086" i="6"/>
  <c r="I1087" i="6"/>
  <c r="I1088" i="6"/>
  <c r="I1089" i="6"/>
  <c r="I1090" i="6"/>
  <c r="I1091" i="6"/>
  <c r="I1092" i="6"/>
  <c r="I1093" i="6"/>
  <c r="I1094" i="6"/>
  <c r="I1095" i="6"/>
  <c r="I1096" i="6"/>
  <c r="I1097" i="6"/>
  <c r="I1098" i="6"/>
  <c r="I1099" i="6"/>
  <c r="I1100" i="6"/>
  <c r="I1101" i="6"/>
  <c r="I1102" i="6"/>
  <c r="I1103" i="6"/>
  <c r="I1104" i="6"/>
  <c r="I1105" i="6"/>
  <c r="I1106" i="6"/>
  <c r="I1107" i="6"/>
  <c r="I1108" i="6"/>
  <c r="I1109" i="6"/>
  <c r="I1110" i="6"/>
  <c r="I1111" i="6"/>
  <c r="I1112" i="6"/>
  <c r="I1113" i="6"/>
  <c r="I1114" i="6"/>
  <c r="I1115" i="6"/>
  <c r="I1116" i="6"/>
  <c r="I1117" i="6"/>
  <c r="I1118" i="6"/>
  <c r="I1119" i="6"/>
  <c r="I1120" i="6"/>
  <c r="I1121" i="6"/>
  <c r="I1122" i="6"/>
  <c r="I1123" i="6"/>
  <c r="I1124" i="6"/>
  <c r="I1125" i="6"/>
  <c r="I1126" i="6"/>
  <c r="I1127" i="6"/>
  <c r="I1128" i="6"/>
  <c r="I1129" i="6"/>
  <c r="I1130" i="6"/>
  <c r="I1131" i="6"/>
  <c r="I1132" i="6"/>
  <c r="I1133" i="6"/>
  <c r="I1134" i="6"/>
  <c r="I1135" i="6"/>
  <c r="I1136" i="6"/>
  <c r="I1137" i="6"/>
  <c r="I1138" i="6"/>
  <c r="I1139" i="6"/>
  <c r="I1140" i="6"/>
  <c r="I1141" i="6"/>
  <c r="I1142" i="6"/>
  <c r="I1143" i="6"/>
  <c r="I1144" i="6"/>
  <c r="I1145" i="6"/>
  <c r="I1146" i="6"/>
  <c r="I1147" i="6"/>
  <c r="I1148" i="6"/>
  <c r="I1149" i="6"/>
  <c r="I1150" i="6"/>
  <c r="I1151" i="6"/>
  <c r="I1152" i="6"/>
  <c r="I1153" i="6"/>
  <c r="I1154" i="6"/>
  <c r="I1155" i="6"/>
  <c r="I1156" i="6"/>
  <c r="I1157" i="6"/>
  <c r="I1158" i="6"/>
  <c r="I1159" i="6"/>
  <c r="I1160" i="6"/>
  <c r="I1161" i="6"/>
  <c r="I1162" i="6"/>
  <c r="I1163" i="6"/>
  <c r="I1164" i="6"/>
  <c r="I1165" i="6"/>
  <c r="I1166" i="6"/>
  <c r="I1167" i="6"/>
  <c r="I1168" i="6"/>
  <c r="I1169" i="6"/>
  <c r="I1170" i="6"/>
  <c r="I1171" i="6"/>
  <c r="I1172" i="6"/>
  <c r="I1173" i="6"/>
  <c r="I1174" i="6"/>
  <c r="I1175" i="6"/>
  <c r="I1176" i="6"/>
  <c r="I1177" i="6"/>
  <c r="I1178" i="6"/>
  <c r="I1179" i="6"/>
  <c r="I1180" i="6"/>
  <c r="I1181" i="6"/>
  <c r="I1182" i="6"/>
  <c r="I1183" i="6"/>
  <c r="I1184" i="6"/>
  <c r="I1185" i="6"/>
  <c r="I1186" i="6"/>
  <c r="I1187" i="6"/>
  <c r="I1188" i="6"/>
  <c r="I1189" i="6"/>
  <c r="I1190" i="6"/>
  <c r="I1191" i="6"/>
  <c r="I1192" i="6"/>
  <c r="I1193" i="6"/>
  <c r="I1194" i="6"/>
  <c r="I3" i="6"/>
  <c r="I2" i="6"/>
  <c r="F1194" i="12" l="1"/>
  <c r="B1194" i="12"/>
  <c r="F1193" i="12"/>
  <c r="B1193" i="12"/>
  <c r="F1192" i="12"/>
  <c r="B1192" i="12"/>
  <c r="F1191" i="12"/>
  <c r="B1191" i="12"/>
  <c r="F1190" i="12"/>
  <c r="B1190" i="12"/>
  <c r="F1189" i="12"/>
  <c r="B1189" i="12"/>
  <c r="F1188" i="12"/>
  <c r="B1188" i="12"/>
  <c r="F1187" i="12"/>
  <c r="B1187" i="12"/>
  <c r="F1186" i="12"/>
  <c r="B1186" i="12"/>
  <c r="F1185" i="12"/>
  <c r="B1185" i="12"/>
  <c r="F1184" i="12"/>
  <c r="B1184" i="12"/>
  <c r="F1183" i="12"/>
  <c r="B1183" i="12"/>
  <c r="F1182" i="12"/>
  <c r="B1182" i="12"/>
  <c r="F1181" i="12"/>
  <c r="B1181" i="12"/>
  <c r="F1180" i="12"/>
  <c r="B1180" i="12"/>
  <c r="F1179" i="12"/>
  <c r="B1179" i="12"/>
  <c r="F1178" i="12"/>
  <c r="B1178" i="12"/>
  <c r="F1177" i="12"/>
  <c r="B1177" i="12"/>
  <c r="F1176" i="12"/>
  <c r="B1176" i="12"/>
  <c r="F1175" i="12"/>
  <c r="B1175" i="12"/>
  <c r="F1174" i="12"/>
  <c r="B1174" i="12"/>
  <c r="F1173" i="12"/>
  <c r="B1173" i="12"/>
  <c r="F1172" i="12"/>
  <c r="B1172" i="12"/>
  <c r="F1171" i="12"/>
  <c r="B1171" i="12"/>
  <c r="F1170" i="12"/>
  <c r="B1170" i="12"/>
  <c r="F1169" i="12"/>
  <c r="B1169" i="12"/>
  <c r="F1168" i="12"/>
  <c r="B1168" i="12"/>
  <c r="F1167" i="12"/>
  <c r="B1167" i="12"/>
  <c r="F1166" i="12"/>
  <c r="B1166" i="12"/>
  <c r="F1165" i="12"/>
  <c r="B1165" i="12"/>
  <c r="F1164" i="12"/>
  <c r="B1164" i="12"/>
  <c r="F1163" i="12"/>
  <c r="B1163" i="12"/>
  <c r="F1162" i="12"/>
  <c r="B1162" i="12"/>
  <c r="F1161" i="12"/>
  <c r="B1161" i="12"/>
  <c r="F1160" i="12"/>
  <c r="B1160" i="12"/>
  <c r="F1159" i="12"/>
  <c r="B1159" i="12"/>
  <c r="F1158" i="12"/>
  <c r="B1158" i="12"/>
  <c r="F1157" i="12"/>
  <c r="B1157" i="12"/>
  <c r="F1156" i="12"/>
  <c r="B1156" i="12"/>
  <c r="F1155" i="12"/>
  <c r="B1155" i="12"/>
  <c r="F1154" i="12"/>
  <c r="B1154" i="12"/>
  <c r="F1153" i="12"/>
  <c r="B1153" i="12"/>
  <c r="F1152" i="12"/>
  <c r="B1152" i="12"/>
  <c r="F1151" i="12"/>
  <c r="B1151" i="12"/>
  <c r="F1150" i="12"/>
  <c r="B1150" i="12"/>
  <c r="F1149" i="12"/>
  <c r="B1149" i="12"/>
  <c r="F1148" i="12"/>
  <c r="B1148" i="12"/>
  <c r="F1147" i="12"/>
  <c r="B1147" i="12"/>
  <c r="F1146" i="12"/>
  <c r="B1146" i="12"/>
  <c r="F1145" i="12"/>
  <c r="B1145" i="12"/>
  <c r="F1144" i="12"/>
  <c r="B1144" i="12"/>
  <c r="F1143" i="12"/>
  <c r="B1143" i="12"/>
  <c r="F1142" i="12"/>
  <c r="B1142" i="12"/>
  <c r="F1141" i="12"/>
  <c r="B1141" i="12"/>
  <c r="F1140" i="12"/>
  <c r="B1140" i="12"/>
  <c r="F1139" i="12"/>
  <c r="B1139" i="12"/>
  <c r="F1138" i="12"/>
  <c r="B1138" i="12"/>
  <c r="F1137" i="12"/>
  <c r="B1137" i="12"/>
  <c r="F1136" i="12"/>
  <c r="B1136" i="12"/>
  <c r="F1135" i="12"/>
  <c r="B1135" i="12"/>
  <c r="F1134" i="12"/>
  <c r="B1134" i="12"/>
  <c r="F1133" i="12"/>
  <c r="B1133" i="12"/>
  <c r="F1132" i="12"/>
  <c r="B1132" i="12"/>
  <c r="F1131" i="12"/>
  <c r="B1131" i="12"/>
  <c r="F1130" i="12"/>
  <c r="B1130" i="12"/>
  <c r="F1129" i="12"/>
  <c r="B1129" i="12"/>
  <c r="F1128" i="12"/>
  <c r="B1128" i="12"/>
  <c r="F1127" i="12"/>
  <c r="B1127" i="12"/>
  <c r="F1126" i="12"/>
  <c r="B1126" i="12"/>
  <c r="F1125" i="12"/>
  <c r="B1125" i="12"/>
  <c r="F1124" i="12"/>
  <c r="B1124" i="12"/>
  <c r="F1123" i="12"/>
  <c r="B1123" i="12"/>
  <c r="F1122" i="12"/>
  <c r="B1122" i="12"/>
  <c r="F1121" i="12"/>
  <c r="B1121" i="12"/>
  <c r="F1120" i="12"/>
  <c r="B1120" i="12"/>
  <c r="F1119" i="12"/>
  <c r="B1119" i="12"/>
  <c r="F1118" i="12"/>
  <c r="B1118" i="12"/>
  <c r="F1117" i="12"/>
  <c r="B1117" i="12"/>
  <c r="F1116" i="12"/>
  <c r="B1116" i="12"/>
  <c r="F1115" i="12"/>
  <c r="B1115" i="12"/>
  <c r="F1114" i="12"/>
  <c r="B1114" i="12"/>
  <c r="F1113" i="12"/>
  <c r="B1113" i="12"/>
  <c r="F1112" i="12"/>
  <c r="B1112" i="12"/>
  <c r="F1111" i="12"/>
  <c r="B1111" i="12"/>
  <c r="F1110" i="12"/>
  <c r="B1110" i="12"/>
  <c r="F1109" i="12"/>
  <c r="B1109" i="12"/>
  <c r="F1108" i="12"/>
  <c r="B1108" i="12"/>
  <c r="F1107" i="12"/>
  <c r="B1107" i="12"/>
  <c r="F1106" i="12"/>
  <c r="B1106" i="12"/>
  <c r="F1105" i="12"/>
  <c r="B1105" i="12"/>
  <c r="F1104" i="12"/>
  <c r="B1104" i="12"/>
  <c r="F1103" i="12"/>
  <c r="B1103" i="12"/>
  <c r="F1102" i="12"/>
  <c r="B1102" i="12"/>
  <c r="F1101" i="12"/>
  <c r="B1101" i="12"/>
  <c r="F1100" i="12"/>
  <c r="B1100" i="12"/>
  <c r="F1099" i="12"/>
  <c r="B1099" i="12"/>
  <c r="F1098" i="12"/>
  <c r="B1098" i="12"/>
  <c r="F1097" i="12"/>
  <c r="B1097" i="12"/>
  <c r="F1096" i="12"/>
  <c r="B1096" i="12"/>
  <c r="F1095" i="12"/>
  <c r="B1095" i="12"/>
  <c r="F1094" i="12"/>
  <c r="B1094" i="12"/>
  <c r="F1093" i="12"/>
  <c r="B1093" i="12"/>
  <c r="F1092" i="12"/>
  <c r="B1092" i="12"/>
  <c r="F1091" i="12"/>
  <c r="B1091" i="12"/>
  <c r="F1090" i="12"/>
  <c r="B1090" i="12"/>
  <c r="F1089" i="12"/>
  <c r="B1089" i="12"/>
  <c r="F1088" i="12"/>
  <c r="B1088" i="12"/>
  <c r="F1087" i="12"/>
  <c r="B1087" i="12"/>
  <c r="F1086" i="12"/>
  <c r="B1086" i="12"/>
  <c r="F1085" i="12"/>
  <c r="B1085" i="12"/>
  <c r="F1084" i="12"/>
  <c r="B1084" i="12"/>
  <c r="F1083" i="12"/>
  <c r="B1083" i="12"/>
  <c r="F1082" i="12"/>
  <c r="B1082" i="12"/>
  <c r="F1081" i="12"/>
  <c r="B1081" i="12"/>
  <c r="F1080" i="12"/>
  <c r="B1080" i="12"/>
  <c r="F1079" i="12"/>
  <c r="B1079" i="12"/>
  <c r="F1078" i="12"/>
  <c r="B1078" i="12"/>
  <c r="F1077" i="12"/>
  <c r="B1077" i="12"/>
  <c r="F1076" i="12"/>
  <c r="B1076" i="12"/>
  <c r="F1075" i="12"/>
  <c r="B1075" i="12"/>
  <c r="F1074" i="12"/>
  <c r="B1074" i="12"/>
  <c r="F1073" i="12"/>
  <c r="B1073" i="12"/>
  <c r="F1072" i="12"/>
  <c r="B1072" i="12"/>
  <c r="F1071" i="12"/>
  <c r="B1071" i="12"/>
  <c r="F1070" i="12"/>
  <c r="B1070" i="12"/>
  <c r="F1069" i="12"/>
  <c r="B1069" i="12"/>
  <c r="F1068" i="12"/>
  <c r="B1068" i="12"/>
  <c r="F1067" i="12"/>
  <c r="B1067" i="12"/>
  <c r="F1066" i="12"/>
  <c r="B1066" i="12"/>
  <c r="F1065" i="12"/>
  <c r="B1065" i="12"/>
  <c r="F1064" i="12"/>
  <c r="B1064" i="12"/>
  <c r="F1063" i="12"/>
  <c r="B1063" i="12"/>
  <c r="F1062" i="12"/>
  <c r="B1062" i="12"/>
  <c r="F1061" i="12"/>
  <c r="B1061" i="12"/>
  <c r="F1060" i="12"/>
  <c r="B1060" i="12"/>
  <c r="F1059" i="12"/>
  <c r="B1059" i="12"/>
  <c r="F1058" i="12"/>
  <c r="B1058" i="12"/>
  <c r="F1057" i="12"/>
  <c r="B1057" i="12"/>
  <c r="F1056" i="12"/>
  <c r="B1056" i="12"/>
  <c r="F1055" i="12"/>
  <c r="B1055" i="12"/>
  <c r="F1054" i="12"/>
  <c r="B1054" i="12"/>
  <c r="F1053" i="12"/>
  <c r="B1053" i="12"/>
  <c r="F1052" i="12"/>
  <c r="B1052" i="12"/>
  <c r="F1051" i="12"/>
  <c r="B1051" i="12"/>
  <c r="F1050" i="12"/>
  <c r="B1050" i="12"/>
  <c r="F1049" i="12"/>
  <c r="B1049" i="12"/>
  <c r="F1048" i="12"/>
  <c r="B1048" i="12"/>
  <c r="F1047" i="12"/>
  <c r="B1047" i="12"/>
  <c r="F1046" i="12"/>
  <c r="B1046" i="12"/>
  <c r="F1045" i="12"/>
  <c r="B1045" i="12"/>
  <c r="F1044" i="12"/>
  <c r="B1044" i="12"/>
  <c r="F1043" i="12"/>
  <c r="B1043" i="12"/>
  <c r="F1042" i="12"/>
  <c r="B1042" i="12"/>
  <c r="F1041" i="12"/>
  <c r="B1041" i="12"/>
  <c r="F1040" i="12"/>
  <c r="B1040" i="12"/>
  <c r="F1039" i="12"/>
  <c r="B1039" i="12"/>
  <c r="F1038" i="12"/>
  <c r="B1038" i="12"/>
  <c r="F1037" i="12"/>
  <c r="B1037" i="12"/>
  <c r="F1036" i="12"/>
  <c r="B1036" i="12"/>
  <c r="F1035" i="12"/>
  <c r="B1035" i="12"/>
  <c r="F1034" i="12"/>
  <c r="B1034" i="12"/>
  <c r="F1033" i="12"/>
  <c r="B1033" i="12"/>
  <c r="F1032" i="12"/>
  <c r="B1032" i="12"/>
  <c r="F1031" i="12"/>
  <c r="B1031" i="12"/>
  <c r="F1030" i="12"/>
  <c r="B1030" i="12"/>
  <c r="F1029" i="12"/>
  <c r="B1029" i="12"/>
  <c r="F1028" i="12"/>
  <c r="B1028" i="12"/>
  <c r="F1027" i="12"/>
  <c r="B1027" i="12"/>
  <c r="F1026" i="12"/>
  <c r="B1026" i="12"/>
  <c r="F1025" i="12"/>
  <c r="B1025" i="12"/>
  <c r="F1024" i="12"/>
  <c r="B1024" i="12"/>
  <c r="F1023" i="12"/>
  <c r="B1023" i="12"/>
  <c r="F1022" i="12"/>
  <c r="B1022" i="12"/>
  <c r="F1021" i="12"/>
  <c r="B1021" i="12"/>
  <c r="F1020" i="12"/>
  <c r="B1020" i="12"/>
  <c r="F1019" i="12"/>
  <c r="B1019" i="12"/>
  <c r="F1018" i="12"/>
  <c r="B1018" i="12"/>
  <c r="F1017" i="12"/>
  <c r="B1017" i="12"/>
  <c r="F1016" i="12"/>
  <c r="B1016" i="12"/>
  <c r="F1015" i="12"/>
  <c r="B1015" i="12"/>
  <c r="F1014" i="12"/>
  <c r="B1014" i="12"/>
  <c r="F1013" i="12"/>
  <c r="B1013" i="12"/>
  <c r="F1012" i="12"/>
  <c r="B1012" i="12"/>
  <c r="F1011" i="12"/>
  <c r="B1011" i="12"/>
  <c r="F1010" i="12"/>
  <c r="B1010" i="12"/>
  <c r="F1009" i="12"/>
  <c r="B1009" i="12"/>
  <c r="F1008" i="12"/>
  <c r="B1008" i="12"/>
  <c r="F1007" i="12"/>
  <c r="B1007" i="12"/>
  <c r="F1006" i="12"/>
  <c r="B1006" i="12"/>
  <c r="F1005" i="12"/>
  <c r="B1005" i="12"/>
  <c r="F1004" i="12"/>
  <c r="B1004" i="12"/>
  <c r="F1003" i="12"/>
  <c r="B1003" i="12"/>
  <c r="F1002" i="12"/>
  <c r="B1002" i="12"/>
  <c r="F1001" i="12"/>
  <c r="B1001" i="12"/>
  <c r="F1000" i="12"/>
  <c r="B1000" i="12"/>
  <c r="F999" i="12"/>
  <c r="B999" i="12"/>
  <c r="F998" i="12"/>
  <c r="B998" i="12"/>
  <c r="F997" i="12"/>
  <c r="B997" i="12"/>
  <c r="F996" i="12"/>
  <c r="B996" i="12"/>
  <c r="F995" i="12"/>
  <c r="B995" i="12"/>
  <c r="F994" i="12"/>
  <c r="B994" i="12"/>
  <c r="F993" i="12"/>
  <c r="B993" i="12"/>
  <c r="F992" i="12"/>
  <c r="B992" i="12"/>
  <c r="F991" i="12"/>
  <c r="B991" i="12"/>
  <c r="F990" i="12"/>
  <c r="B990" i="12"/>
  <c r="F989" i="12"/>
  <c r="B989" i="12"/>
  <c r="F988" i="12"/>
  <c r="B988" i="12"/>
  <c r="F987" i="12"/>
  <c r="B987" i="12"/>
  <c r="F986" i="12"/>
  <c r="B986" i="12"/>
  <c r="F985" i="12"/>
  <c r="B985" i="12"/>
  <c r="F984" i="12"/>
  <c r="B984" i="12"/>
  <c r="F983" i="12"/>
  <c r="B983" i="12"/>
  <c r="F982" i="12"/>
  <c r="B982" i="12"/>
  <c r="F981" i="12"/>
  <c r="B981" i="12"/>
  <c r="F980" i="12"/>
  <c r="B980" i="12"/>
  <c r="F979" i="12"/>
  <c r="B979" i="12"/>
  <c r="F978" i="12"/>
  <c r="B978" i="12"/>
  <c r="F977" i="12"/>
  <c r="B977" i="12"/>
  <c r="F976" i="12"/>
  <c r="B976" i="12"/>
  <c r="F975" i="12"/>
  <c r="B975" i="12"/>
  <c r="F974" i="12"/>
  <c r="B974" i="12"/>
  <c r="F973" i="12"/>
  <c r="B973" i="12"/>
  <c r="F972" i="12"/>
  <c r="B972" i="12"/>
  <c r="F971" i="12"/>
  <c r="B971" i="12"/>
  <c r="F970" i="12"/>
  <c r="B970" i="12"/>
  <c r="F969" i="12"/>
  <c r="B969" i="12"/>
  <c r="F968" i="12"/>
  <c r="B968" i="12"/>
  <c r="F967" i="12"/>
  <c r="B967" i="12"/>
  <c r="F966" i="12"/>
  <c r="B966" i="12"/>
  <c r="F965" i="12"/>
  <c r="B965" i="12"/>
  <c r="F964" i="12"/>
  <c r="B964" i="12"/>
  <c r="F963" i="12"/>
  <c r="B963" i="12"/>
  <c r="F962" i="12"/>
  <c r="B962" i="12"/>
  <c r="F961" i="12"/>
  <c r="B961" i="12"/>
  <c r="F960" i="12"/>
  <c r="B960" i="12"/>
  <c r="F959" i="12"/>
  <c r="B959" i="12"/>
  <c r="F958" i="12"/>
  <c r="B958" i="12"/>
  <c r="F957" i="12"/>
  <c r="B957" i="12"/>
  <c r="F956" i="12"/>
  <c r="B956" i="12"/>
  <c r="F955" i="12"/>
  <c r="B955" i="12"/>
  <c r="F954" i="12"/>
  <c r="B954" i="12"/>
  <c r="F953" i="12"/>
  <c r="B953" i="12"/>
  <c r="F952" i="12"/>
  <c r="B952" i="12"/>
  <c r="F951" i="12"/>
  <c r="B951" i="12"/>
  <c r="F950" i="12"/>
  <c r="B950" i="12"/>
  <c r="F949" i="12"/>
  <c r="B949" i="12"/>
  <c r="F948" i="12"/>
  <c r="B948" i="12"/>
  <c r="F947" i="12"/>
  <c r="B947" i="12"/>
  <c r="F946" i="12"/>
  <c r="B946" i="12"/>
  <c r="F945" i="12"/>
  <c r="B945" i="12"/>
  <c r="F944" i="12"/>
  <c r="B944" i="12"/>
  <c r="F943" i="12"/>
  <c r="B943" i="12"/>
  <c r="F942" i="12"/>
  <c r="B942" i="12"/>
  <c r="F941" i="12"/>
  <c r="B941" i="12"/>
  <c r="F940" i="12"/>
  <c r="B940" i="12"/>
  <c r="F939" i="12"/>
  <c r="B939" i="12"/>
  <c r="F938" i="12"/>
  <c r="B938" i="12"/>
  <c r="F937" i="12"/>
  <c r="B937" i="12"/>
  <c r="F936" i="12"/>
  <c r="B936" i="12"/>
  <c r="F935" i="12"/>
  <c r="B935" i="12"/>
  <c r="F934" i="12"/>
  <c r="B934" i="12"/>
  <c r="F933" i="12"/>
  <c r="B933" i="12"/>
  <c r="F932" i="12"/>
  <c r="B932" i="12"/>
  <c r="F931" i="12"/>
  <c r="B931" i="12"/>
  <c r="F930" i="12"/>
  <c r="B930" i="12"/>
  <c r="F929" i="12"/>
  <c r="B929" i="12"/>
  <c r="F928" i="12"/>
  <c r="B928" i="12"/>
  <c r="F927" i="12"/>
  <c r="B927" i="12"/>
  <c r="F926" i="12"/>
  <c r="B926" i="12"/>
  <c r="F925" i="12"/>
  <c r="B925" i="12"/>
  <c r="F924" i="12"/>
  <c r="B924" i="12"/>
  <c r="F923" i="12"/>
  <c r="B923" i="12"/>
  <c r="F922" i="12"/>
  <c r="B922" i="12"/>
  <c r="F921" i="12"/>
  <c r="B921" i="12"/>
  <c r="F920" i="12"/>
  <c r="B920" i="12"/>
  <c r="F919" i="12"/>
  <c r="B919" i="12"/>
  <c r="F918" i="12"/>
  <c r="B918" i="12"/>
  <c r="F917" i="12"/>
  <c r="B917" i="12"/>
  <c r="F916" i="12"/>
  <c r="B916" i="12"/>
  <c r="F915" i="12"/>
  <c r="B915" i="12"/>
  <c r="F914" i="12"/>
  <c r="B914" i="12"/>
  <c r="F913" i="12"/>
  <c r="B913" i="12"/>
  <c r="F912" i="12"/>
  <c r="B912" i="12"/>
  <c r="F911" i="12"/>
  <c r="B911" i="12"/>
  <c r="F910" i="12"/>
  <c r="B910" i="12"/>
  <c r="F909" i="12"/>
  <c r="B909" i="12"/>
  <c r="F908" i="12"/>
  <c r="B908" i="12"/>
  <c r="F907" i="12"/>
  <c r="B907" i="12"/>
  <c r="F906" i="12"/>
  <c r="B906" i="12"/>
  <c r="F905" i="12"/>
  <c r="B905" i="12"/>
  <c r="F904" i="12"/>
  <c r="B904" i="12"/>
  <c r="F903" i="12"/>
  <c r="B903" i="12"/>
  <c r="F902" i="12"/>
  <c r="B902" i="12"/>
  <c r="F901" i="12"/>
  <c r="B901" i="12"/>
  <c r="F900" i="12"/>
  <c r="B900" i="12"/>
  <c r="F899" i="12"/>
  <c r="B899" i="12"/>
  <c r="F898" i="12"/>
  <c r="B898" i="12"/>
  <c r="F897" i="12"/>
  <c r="B897" i="12"/>
  <c r="F896" i="12"/>
  <c r="B896" i="12"/>
  <c r="F895" i="12"/>
  <c r="B895" i="12"/>
  <c r="F894" i="12"/>
  <c r="B894" i="12"/>
  <c r="F893" i="12"/>
  <c r="B893" i="12"/>
  <c r="F892" i="12"/>
  <c r="B892" i="12"/>
  <c r="F891" i="12"/>
  <c r="B891" i="12"/>
  <c r="F890" i="12"/>
  <c r="B890" i="12"/>
  <c r="F889" i="12"/>
  <c r="B889" i="12"/>
  <c r="F888" i="12"/>
  <c r="B888" i="12"/>
  <c r="F887" i="12"/>
  <c r="B887" i="12"/>
  <c r="F886" i="12"/>
  <c r="B886" i="12"/>
  <c r="F885" i="12"/>
  <c r="B885" i="12"/>
  <c r="F884" i="12"/>
  <c r="B884" i="12"/>
  <c r="F883" i="12"/>
  <c r="B883" i="12"/>
  <c r="F882" i="12"/>
  <c r="B882" i="12"/>
  <c r="F881" i="12"/>
  <c r="B881" i="12"/>
  <c r="F880" i="12"/>
  <c r="B880" i="12"/>
  <c r="F879" i="12"/>
  <c r="B879" i="12"/>
  <c r="F878" i="12"/>
  <c r="B878" i="12"/>
  <c r="F877" i="12"/>
  <c r="B877" i="12"/>
  <c r="F876" i="12"/>
  <c r="B876" i="12"/>
  <c r="F875" i="12"/>
  <c r="B875" i="12"/>
  <c r="F874" i="12"/>
  <c r="B874" i="12"/>
  <c r="F873" i="12"/>
  <c r="B873" i="12"/>
  <c r="F872" i="12"/>
  <c r="B872" i="12"/>
  <c r="F871" i="12"/>
  <c r="B871" i="12"/>
  <c r="F870" i="12"/>
  <c r="B870" i="12"/>
  <c r="F869" i="12"/>
  <c r="B869" i="12"/>
  <c r="F868" i="12"/>
  <c r="B868" i="12"/>
  <c r="F867" i="12"/>
  <c r="B867" i="12"/>
  <c r="F866" i="12"/>
  <c r="B866" i="12"/>
  <c r="F865" i="12"/>
  <c r="B865" i="12"/>
  <c r="F864" i="12"/>
  <c r="B864" i="12"/>
  <c r="F863" i="12"/>
  <c r="B863" i="12"/>
  <c r="F862" i="12"/>
  <c r="B862" i="12"/>
  <c r="F861" i="12"/>
  <c r="B861" i="12"/>
  <c r="F860" i="12"/>
  <c r="B860" i="12"/>
  <c r="F859" i="12"/>
  <c r="B859" i="12"/>
  <c r="F858" i="12"/>
  <c r="B858" i="12"/>
  <c r="F857" i="12"/>
  <c r="B857" i="12"/>
  <c r="F856" i="12"/>
  <c r="B856" i="12"/>
  <c r="F855" i="12"/>
  <c r="B855" i="12"/>
  <c r="F854" i="12"/>
  <c r="B854" i="12"/>
  <c r="F853" i="12"/>
  <c r="B853" i="12"/>
  <c r="F852" i="12"/>
  <c r="B852" i="12"/>
  <c r="F851" i="12"/>
  <c r="B851" i="12"/>
  <c r="F850" i="12"/>
  <c r="B850" i="12"/>
  <c r="F849" i="12"/>
  <c r="B849" i="12"/>
  <c r="F848" i="12"/>
  <c r="B848" i="12"/>
  <c r="F847" i="12"/>
  <c r="B847" i="12"/>
  <c r="F846" i="12"/>
  <c r="B846" i="12"/>
  <c r="F845" i="12"/>
  <c r="B845" i="12"/>
  <c r="F844" i="12"/>
  <c r="B844" i="12"/>
  <c r="F843" i="12"/>
  <c r="B843" i="12"/>
  <c r="F842" i="12"/>
  <c r="B842" i="12"/>
  <c r="F841" i="12"/>
  <c r="B841" i="12"/>
  <c r="F840" i="12"/>
  <c r="B840" i="12"/>
  <c r="F839" i="12"/>
  <c r="B839" i="12"/>
  <c r="F838" i="12"/>
  <c r="B838" i="12"/>
  <c r="F837" i="12"/>
  <c r="B837" i="12"/>
  <c r="F836" i="12"/>
  <c r="B836" i="12"/>
  <c r="F835" i="12"/>
  <c r="B835" i="12"/>
  <c r="F834" i="12"/>
  <c r="B834" i="12"/>
  <c r="F833" i="12"/>
  <c r="B833" i="12"/>
  <c r="F832" i="12"/>
  <c r="B832" i="12"/>
  <c r="F831" i="12"/>
  <c r="B831" i="12"/>
  <c r="F830" i="12"/>
  <c r="B830" i="12"/>
  <c r="F829" i="12"/>
  <c r="B829" i="12"/>
  <c r="F828" i="12"/>
  <c r="B828" i="12"/>
  <c r="F827" i="12"/>
  <c r="B827" i="12"/>
  <c r="F826" i="12"/>
  <c r="B826" i="12"/>
  <c r="F825" i="12"/>
  <c r="B825" i="12"/>
  <c r="F824" i="12"/>
  <c r="B824" i="12"/>
  <c r="F823" i="12"/>
  <c r="B823" i="12"/>
  <c r="F822" i="12"/>
  <c r="B822" i="12"/>
  <c r="F821" i="12"/>
  <c r="B821" i="12"/>
  <c r="F820" i="12"/>
  <c r="B820" i="12"/>
  <c r="F819" i="12"/>
  <c r="B819" i="12"/>
  <c r="F818" i="12"/>
  <c r="B818" i="12"/>
  <c r="F817" i="12"/>
  <c r="B817" i="12"/>
  <c r="F816" i="12"/>
  <c r="B816" i="12"/>
  <c r="F815" i="12"/>
  <c r="B815" i="12"/>
  <c r="F814" i="12"/>
  <c r="B814" i="12"/>
  <c r="F813" i="12"/>
  <c r="B813" i="12"/>
  <c r="F812" i="12"/>
  <c r="B812" i="12"/>
  <c r="F811" i="12"/>
  <c r="B811" i="12"/>
  <c r="F810" i="12"/>
  <c r="B810" i="12"/>
  <c r="F809" i="12"/>
  <c r="B809" i="12"/>
  <c r="F808" i="12"/>
  <c r="B808" i="12"/>
  <c r="F807" i="12"/>
  <c r="B807" i="12"/>
  <c r="F806" i="12"/>
  <c r="B806" i="12"/>
  <c r="F805" i="12"/>
  <c r="B805" i="12"/>
  <c r="F804" i="12"/>
  <c r="B804" i="12"/>
  <c r="F803" i="12"/>
  <c r="B803" i="12"/>
  <c r="F802" i="12"/>
  <c r="B802" i="12"/>
  <c r="F801" i="12"/>
  <c r="B801" i="12"/>
  <c r="F800" i="12"/>
  <c r="B800" i="12"/>
  <c r="F799" i="12"/>
  <c r="B799" i="12"/>
  <c r="F798" i="12"/>
  <c r="B798" i="12"/>
  <c r="F797" i="12"/>
  <c r="B797" i="12"/>
  <c r="F796" i="12"/>
  <c r="B796" i="12"/>
  <c r="F795" i="12"/>
  <c r="B795" i="12"/>
  <c r="F794" i="12"/>
  <c r="B794" i="12"/>
  <c r="F793" i="12"/>
  <c r="B793" i="12"/>
  <c r="F792" i="12"/>
  <c r="B792" i="12"/>
  <c r="F791" i="12"/>
  <c r="B791" i="12"/>
  <c r="F790" i="12"/>
  <c r="B790" i="12"/>
  <c r="F789" i="12"/>
  <c r="B789" i="12"/>
  <c r="F788" i="12"/>
  <c r="B788" i="12"/>
  <c r="F787" i="12"/>
  <c r="B787" i="12"/>
  <c r="F786" i="12"/>
  <c r="B786" i="12"/>
  <c r="F785" i="12"/>
  <c r="B785" i="12"/>
  <c r="F784" i="12"/>
  <c r="B784" i="12"/>
  <c r="F783" i="12"/>
  <c r="B783" i="12"/>
  <c r="F782" i="12"/>
  <c r="B782" i="12"/>
  <c r="F781" i="12"/>
  <c r="B781" i="12"/>
  <c r="F780" i="12"/>
  <c r="B780" i="12"/>
  <c r="F779" i="12"/>
  <c r="B779" i="12"/>
  <c r="F778" i="12"/>
  <c r="B778" i="12"/>
  <c r="F777" i="12"/>
  <c r="B777" i="12"/>
  <c r="F776" i="12"/>
  <c r="B776" i="12"/>
  <c r="F775" i="12"/>
  <c r="B775" i="12"/>
  <c r="F774" i="12"/>
  <c r="B774" i="12"/>
  <c r="F773" i="12"/>
  <c r="B773" i="12"/>
  <c r="F772" i="12"/>
  <c r="B772" i="12"/>
  <c r="F771" i="12"/>
  <c r="B771" i="12"/>
  <c r="F770" i="12"/>
  <c r="B770" i="12"/>
  <c r="F769" i="12"/>
  <c r="B769" i="12"/>
  <c r="F768" i="12"/>
  <c r="B768" i="12"/>
  <c r="F767" i="12"/>
  <c r="B767" i="12"/>
  <c r="F766" i="12"/>
  <c r="B766" i="12"/>
  <c r="F765" i="12"/>
  <c r="B765" i="12"/>
  <c r="F764" i="12"/>
  <c r="B764" i="12"/>
  <c r="F763" i="12"/>
  <c r="B763" i="12"/>
  <c r="F762" i="12"/>
  <c r="B762" i="12"/>
  <c r="F761" i="12"/>
  <c r="B761" i="12"/>
  <c r="F760" i="12"/>
  <c r="B760" i="12"/>
  <c r="F759" i="12"/>
  <c r="B759" i="12"/>
  <c r="F758" i="12"/>
  <c r="B758" i="12"/>
  <c r="F757" i="12"/>
  <c r="B757" i="12"/>
  <c r="F756" i="12"/>
  <c r="B756" i="12"/>
  <c r="F755" i="12"/>
  <c r="B755" i="12"/>
  <c r="F754" i="12"/>
  <c r="B754" i="12"/>
  <c r="F753" i="12"/>
  <c r="B753" i="12"/>
  <c r="F752" i="12"/>
  <c r="B752" i="12"/>
  <c r="F751" i="12"/>
  <c r="B751" i="12"/>
  <c r="F750" i="12"/>
  <c r="B750" i="12"/>
  <c r="F749" i="12"/>
  <c r="B749" i="12"/>
  <c r="F748" i="12"/>
  <c r="B748" i="12"/>
  <c r="F747" i="12"/>
  <c r="B747" i="12"/>
  <c r="F746" i="12"/>
  <c r="B746" i="12"/>
  <c r="F745" i="12"/>
  <c r="B745" i="12"/>
  <c r="F744" i="12"/>
  <c r="B744" i="12"/>
  <c r="F743" i="12"/>
  <c r="B743" i="12"/>
  <c r="F742" i="12"/>
  <c r="B742" i="12"/>
  <c r="F741" i="12"/>
  <c r="B741" i="12"/>
  <c r="F740" i="12"/>
  <c r="B740" i="12"/>
  <c r="F739" i="12"/>
  <c r="B739" i="12"/>
  <c r="F738" i="12"/>
  <c r="B738" i="12"/>
  <c r="F737" i="12"/>
  <c r="B737" i="12"/>
  <c r="F736" i="12"/>
  <c r="B736" i="12"/>
  <c r="F735" i="12"/>
  <c r="B735" i="12"/>
  <c r="F734" i="12"/>
  <c r="B734" i="12"/>
  <c r="F733" i="12"/>
  <c r="B733" i="12"/>
  <c r="F732" i="12"/>
  <c r="B732" i="12"/>
  <c r="F731" i="12"/>
  <c r="B731" i="12"/>
  <c r="F730" i="12"/>
  <c r="B730" i="12"/>
  <c r="F729" i="12"/>
  <c r="B729" i="12"/>
  <c r="F728" i="12"/>
  <c r="B728" i="12"/>
  <c r="F727" i="12"/>
  <c r="B727" i="12"/>
  <c r="F726" i="12"/>
  <c r="B726" i="12"/>
  <c r="F725" i="12"/>
  <c r="B725" i="12"/>
  <c r="F724" i="12"/>
  <c r="B724" i="12"/>
  <c r="F723" i="12"/>
  <c r="B723" i="12"/>
  <c r="F722" i="12"/>
  <c r="B722" i="12"/>
  <c r="F721" i="12"/>
  <c r="B721" i="12"/>
  <c r="F720" i="12"/>
  <c r="B720" i="12"/>
  <c r="F719" i="12"/>
  <c r="B719" i="12"/>
  <c r="F718" i="12"/>
  <c r="B718" i="12"/>
  <c r="F717" i="12"/>
  <c r="B717" i="12"/>
  <c r="F716" i="12"/>
  <c r="B716" i="12"/>
  <c r="F715" i="12"/>
  <c r="B715" i="12"/>
  <c r="F714" i="12"/>
  <c r="B714" i="12"/>
  <c r="F713" i="12"/>
  <c r="B713" i="12"/>
  <c r="F712" i="12"/>
  <c r="B712" i="12"/>
  <c r="F711" i="12"/>
  <c r="B711" i="12"/>
  <c r="F710" i="12"/>
  <c r="B710" i="12"/>
  <c r="F709" i="12"/>
  <c r="B709" i="12"/>
  <c r="F708" i="12"/>
  <c r="B708" i="12"/>
  <c r="F707" i="12"/>
  <c r="B707" i="12"/>
  <c r="F706" i="12"/>
  <c r="B706" i="12"/>
  <c r="F705" i="12"/>
  <c r="B705" i="12"/>
  <c r="F704" i="12"/>
  <c r="B704" i="12"/>
  <c r="F703" i="12"/>
  <c r="B703" i="12"/>
  <c r="F702" i="12"/>
  <c r="B702" i="12"/>
  <c r="F701" i="12"/>
  <c r="B701" i="12"/>
  <c r="F700" i="12"/>
  <c r="B700" i="12"/>
  <c r="F699" i="12"/>
  <c r="B699" i="12"/>
  <c r="F698" i="12"/>
  <c r="B698" i="12"/>
  <c r="F697" i="12"/>
  <c r="B697" i="12"/>
  <c r="F696" i="12"/>
  <c r="B696" i="12"/>
  <c r="F695" i="12"/>
  <c r="B695" i="12"/>
  <c r="F694" i="12"/>
  <c r="B694" i="12"/>
  <c r="F693" i="12"/>
  <c r="B693" i="12"/>
  <c r="F692" i="12"/>
  <c r="B692" i="12"/>
  <c r="F691" i="12"/>
  <c r="B691" i="12"/>
  <c r="F690" i="12"/>
  <c r="B690" i="12"/>
  <c r="F689" i="12"/>
  <c r="B689" i="12"/>
  <c r="F688" i="12"/>
  <c r="B688" i="12"/>
  <c r="F687" i="12"/>
  <c r="B687" i="12"/>
  <c r="F686" i="12"/>
  <c r="B686" i="12"/>
  <c r="F685" i="12"/>
  <c r="B685" i="12"/>
  <c r="F684" i="12"/>
  <c r="B684" i="12"/>
  <c r="F683" i="12"/>
  <c r="B683" i="12"/>
  <c r="F682" i="12"/>
  <c r="B682" i="12"/>
  <c r="F681" i="12"/>
  <c r="B681" i="12"/>
  <c r="F680" i="12"/>
  <c r="B680" i="12"/>
  <c r="F679" i="12"/>
  <c r="B679" i="12"/>
  <c r="F678" i="12"/>
  <c r="B678" i="12"/>
  <c r="F677" i="12"/>
  <c r="B677" i="12"/>
  <c r="F676" i="12"/>
  <c r="B676" i="12"/>
  <c r="F675" i="12"/>
  <c r="B675" i="12"/>
  <c r="F674" i="12"/>
  <c r="B674" i="12"/>
  <c r="F673" i="12"/>
  <c r="B673" i="12"/>
  <c r="F672" i="12"/>
  <c r="B672" i="12"/>
  <c r="F671" i="12"/>
  <c r="B671" i="12"/>
  <c r="F670" i="12"/>
  <c r="B670" i="12"/>
  <c r="F669" i="12"/>
  <c r="B669" i="12"/>
  <c r="F668" i="12"/>
  <c r="B668" i="12"/>
  <c r="F667" i="12"/>
  <c r="B667" i="12"/>
  <c r="F666" i="12"/>
  <c r="B666" i="12"/>
  <c r="F665" i="12"/>
  <c r="B665" i="12"/>
  <c r="F664" i="12"/>
  <c r="B664" i="12"/>
  <c r="F663" i="12"/>
  <c r="B663" i="12"/>
  <c r="F662" i="12"/>
  <c r="B662" i="12"/>
  <c r="F661" i="12"/>
  <c r="B661" i="12"/>
  <c r="F660" i="12"/>
  <c r="B660" i="12"/>
  <c r="F659" i="12"/>
  <c r="B659" i="12"/>
  <c r="F658" i="12"/>
  <c r="B658" i="12"/>
  <c r="F657" i="12"/>
  <c r="B657" i="12"/>
  <c r="F656" i="12"/>
  <c r="B656" i="12"/>
  <c r="F655" i="12"/>
  <c r="B655" i="12"/>
  <c r="F654" i="12"/>
  <c r="B654" i="12"/>
  <c r="F653" i="12"/>
  <c r="B653" i="12"/>
  <c r="F652" i="12"/>
  <c r="B652" i="12"/>
  <c r="F651" i="12"/>
  <c r="B651" i="12"/>
  <c r="F650" i="12"/>
  <c r="B650" i="12"/>
  <c r="F649" i="12"/>
  <c r="B649" i="12"/>
  <c r="F648" i="12"/>
  <c r="B648" i="12"/>
  <c r="F647" i="12"/>
  <c r="B647" i="12"/>
  <c r="F646" i="12"/>
  <c r="B646" i="12"/>
  <c r="F645" i="12"/>
  <c r="B645" i="12"/>
  <c r="F644" i="12"/>
  <c r="B644" i="12"/>
  <c r="F643" i="12"/>
  <c r="B643" i="12"/>
  <c r="F642" i="12"/>
  <c r="B642" i="12"/>
  <c r="F641" i="12"/>
  <c r="B641" i="12"/>
  <c r="F640" i="12"/>
  <c r="B640" i="12"/>
  <c r="F639" i="12"/>
  <c r="B639" i="12"/>
  <c r="F638" i="12"/>
  <c r="B638" i="12"/>
  <c r="F637" i="12"/>
  <c r="B637" i="12"/>
  <c r="F636" i="12"/>
  <c r="B636" i="12"/>
  <c r="F635" i="12"/>
  <c r="B635" i="12"/>
  <c r="F634" i="12"/>
  <c r="B634" i="12"/>
  <c r="F633" i="12"/>
  <c r="B633" i="12"/>
  <c r="F632" i="12"/>
  <c r="B632" i="12"/>
  <c r="F631" i="12"/>
  <c r="B631" i="12"/>
  <c r="F630" i="12"/>
  <c r="B630" i="12"/>
  <c r="F629" i="12"/>
  <c r="B629" i="12"/>
  <c r="F628" i="12"/>
  <c r="B628" i="12"/>
  <c r="F627" i="12"/>
  <c r="B627" i="12"/>
  <c r="F626" i="12"/>
  <c r="B626" i="12"/>
  <c r="F625" i="12"/>
  <c r="B625" i="12"/>
  <c r="F624" i="12"/>
  <c r="B624" i="12"/>
  <c r="F623" i="12"/>
  <c r="B623" i="12"/>
  <c r="F622" i="12"/>
  <c r="B622" i="12"/>
  <c r="F621" i="12"/>
  <c r="B621" i="12"/>
  <c r="F620" i="12"/>
  <c r="B620" i="12"/>
  <c r="F619" i="12"/>
  <c r="B619" i="12"/>
  <c r="F618" i="12"/>
  <c r="B618" i="12"/>
  <c r="F617" i="12"/>
  <c r="B617" i="12"/>
  <c r="F616" i="12"/>
  <c r="B616" i="12"/>
  <c r="F615" i="12"/>
  <c r="B615" i="12"/>
  <c r="F614" i="12"/>
  <c r="B614" i="12"/>
  <c r="F613" i="12"/>
  <c r="B613" i="12"/>
  <c r="F612" i="12"/>
  <c r="B612" i="12"/>
  <c r="F611" i="12"/>
  <c r="B611" i="12"/>
  <c r="F610" i="12"/>
  <c r="B610" i="12"/>
  <c r="F609" i="12"/>
  <c r="B609" i="12"/>
  <c r="F608" i="12"/>
  <c r="B608" i="12"/>
  <c r="F607" i="12"/>
  <c r="B607" i="12"/>
  <c r="F606" i="12"/>
  <c r="B606" i="12"/>
  <c r="F605" i="12"/>
  <c r="B605" i="12"/>
  <c r="F604" i="12"/>
  <c r="B604" i="12"/>
  <c r="F603" i="12"/>
  <c r="B603" i="12"/>
  <c r="F602" i="12"/>
  <c r="B602" i="12"/>
  <c r="F601" i="12"/>
  <c r="B601" i="12"/>
  <c r="F600" i="12"/>
  <c r="B600" i="12"/>
  <c r="F599" i="12"/>
  <c r="B599" i="12"/>
  <c r="F598" i="12"/>
  <c r="B598" i="12"/>
  <c r="F597" i="12"/>
  <c r="B597" i="12"/>
  <c r="F596" i="12"/>
  <c r="B596" i="12"/>
  <c r="F595" i="12"/>
  <c r="B595" i="12"/>
  <c r="F594" i="12"/>
  <c r="B594" i="12"/>
  <c r="F593" i="12"/>
  <c r="B593" i="12"/>
  <c r="F592" i="12"/>
  <c r="B592" i="12"/>
  <c r="F591" i="12"/>
  <c r="B591" i="12"/>
  <c r="F590" i="12"/>
  <c r="B590" i="12"/>
  <c r="F589" i="12"/>
  <c r="B589" i="12"/>
  <c r="F588" i="12"/>
  <c r="B588" i="12"/>
  <c r="F587" i="12"/>
  <c r="B587" i="12"/>
  <c r="F586" i="12"/>
  <c r="B586" i="12"/>
  <c r="F585" i="12"/>
  <c r="B585" i="12"/>
  <c r="F584" i="12"/>
  <c r="B584" i="12"/>
  <c r="F583" i="12"/>
  <c r="B583" i="12"/>
  <c r="F582" i="12"/>
  <c r="B582" i="12"/>
  <c r="F581" i="12"/>
  <c r="B581" i="12"/>
  <c r="F580" i="12"/>
  <c r="B580" i="12"/>
  <c r="F579" i="12"/>
  <c r="B579" i="12"/>
  <c r="F578" i="12"/>
  <c r="B578" i="12"/>
  <c r="F577" i="12"/>
  <c r="B577" i="12"/>
  <c r="F576" i="12"/>
  <c r="B576" i="12"/>
  <c r="F575" i="12"/>
  <c r="B575" i="12"/>
  <c r="F574" i="12"/>
  <c r="B574" i="12"/>
  <c r="F573" i="12"/>
  <c r="B573" i="12"/>
  <c r="F572" i="12"/>
  <c r="B572" i="12"/>
  <c r="F571" i="12"/>
  <c r="B571" i="12"/>
  <c r="F570" i="12"/>
  <c r="B570" i="12"/>
  <c r="F569" i="12"/>
  <c r="B569" i="12"/>
  <c r="F568" i="12"/>
  <c r="B568" i="12"/>
  <c r="F567" i="12"/>
  <c r="B567" i="12"/>
  <c r="F566" i="12"/>
  <c r="B566" i="12"/>
  <c r="F565" i="12"/>
  <c r="B565" i="12"/>
  <c r="F564" i="12"/>
  <c r="B564" i="12"/>
  <c r="F563" i="12"/>
  <c r="B563" i="12"/>
  <c r="F562" i="12"/>
  <c r="B562" i="12"/>
  <c r="F561" i="12"/>
  <c r="B561" i="12"/>
  <c r="F560" i="12"/>
  <c r="B560" i="12"/>
  <c r="F559" i="12"/>
  <c r="B559" i="12"/>
  <c r="F558" i="12"/>
  <c r="B558" i="12"/>
  <c r="F557" i="12"/>
  <c r="B557" i="12"/>
  <c r="F556" i="12"/>
  <c r="B556" i="12"/>
  <c r="F555" i="12"/>
  <c r="B555" i="12"/>
  <c r="F554" i="12"/>
  <c r="B554" i="12"/>
  <c r="F553" i="12"/>
  <c r="B553" i="12"/>
  <c r="F552" i="12"/>
  <c r="B552" i="12"/>
  <c r="F551" i="12"/>
  <c r="B551" i="12"/>
  <c r="F550" i="12"/>
  <c r="B550" i="12"/>
  <c r="F549" i="12"/>
  <c r="B549" i="12"/>
  <c r="F548" i="12"/>
  <c r="B548" i="12"/>
  <c r="F547" i="12"/>
  <c r="B547" i="12"/>
  <c r="F546" i="12"/>
  <c r="B546" i="12"/>
  <c r="F545" i="12"/>
  <c r="B545" i="12"/>
  <c r="F544" i="12"/>
  <c r="B544" i="12"/>
  <c r="F543" i="12"/>
  <c r="B543" i="12"/>
  <c r="F542" i="12"/>
  <c r="B542" i="12"/>
  <c r="F541" i="12"/>
  <c r="B541" i="12"/>
  <c r="F540" i="12"/>
  <c r="B540" i="12"/>
  <c r="F539" i="12"/>
  <c r="B539" i="12"/>
  <c r="F538" i="12"/>
  <c r="B538" i="12"/>
  <c r="F537" i="12"/>
  <c r="B537" i="12"/>
  <c r="F536" i="12"/>
  <c r="B536" i="12"/>
  <c r="F535" i="12"/>
  <c r="B535" i="12"/>
  <c r="F534" i="12"/>
  <c r="B534" i="12"/>
  <c r="F533" i="12"/>
  <c r="B533" i="12"/>
  <c r="F532" i="12"/>
  <c r="B532" i="12"/>
  <c r="F531" i="12"/>
  <c r="B531" i="12"/>
  <c r="F530" i="12"/>
  <c r="B530" i="12"/>
  <c r="F529" i="12"/>
  <c r="B529" i="12"/>
  <c r="F528" i="12"/>
  <c r="B528" i="12"/>
  <c r="F527" i="12"/>
  <c r="B527" i="12"/>
  <c r="F526" i="12"/>
  <c r="B526" i="12"/>
  <c r="F525" i="12"/>
  <c r="B525" i="12"/>
  <c r="F524" i="12"/>
  <c r="B524" i="12"/>
  <c r="F523" i="12"/>
  <c r="B523" i="12"/>
  <c r="F522" i="12"/>
  <c r="B522" i="12"/>
  <c r="F521" i="12"/>
  <c r="B521" i="12"/>
  <c r="F520" i="12"/>
  <c r="B520" i="12"/>
  <c r="F519" i="12"/>
  <c r="B519" i="12"/>
  <c r="F518" i="12"/>
  <c r="B518" i="12"/>
  <c r="F517" i="12"/>
  <c r="B517" i="12"/>
  <c r="F516" i="12"/>
  <c r="B516" i="12"/>
  <c r="F515" i="12"/>
  <c r="B515" i="12"/>
  <c r="F514" i="12"/>
  <c r="B514" i="12"/>
  <c r="F513" i="12"/>
  <c r="B513" i="12"/>
  <c r="F512" i="12"/>
  <c r="B512" i="12"/>
  <c r="F511" i="12"/>
  <c r="B511" i="12"/>
  <c r="F510" i="12"/>
  <c r="B510" i="12"/>
  <c r="F509" i="12"/>
  <c r="B509" i="12"/>
  <c r="F508" i="12"/>
  <c r="B508" i="12"/>
  <c r="F507" i="12"/>
  <c r="B507" i="12"/>
  <c r="F506" i="12"/>
  <c r="B506" i="12"/>
  <c r="F505" i="12"/>
  <c r="B505" i="12"/>
  <c r="F504" i="12"/>
  <c r="B504" i="12"/>
  <c r="F503" i="12"/>
  <c r="B503" i="12"/>
  <c r="F502" i="12"/>
  <c r="B502" i="12"/>
  <c r="F501" i="12"/>
  <c r="B501" i="12"/>
  <c r="F500" i="12"/>
  <c r="B500" i="12"/>
  <c r="F499" i="12"/>
  <c r="B499" i="12"/>
  <c r="F498" i="12"/>
  <c r="B498" i="12"/>
  <c r="F497" i="12"/>
  <c r="B497" i="12"/>
  <c r="F496" i="12"/>
  <c r="B496" i="12"/>
  <c r="F495" i="12"/>
  <c r="B495" i="12"/>
  <c r="F494" i="12"/>
  <c r="B494" i="12"/>
  <c r="F493" i="12"/>
  <c r="B493" i="12"/>
  <c r="F492" i="12"/>
  <c r="B492" i="12"/>
  <c r="F491" i="12"/>
  <c r="B491" i="12"/>
  <c r="F490" i="12"/>
  <c r="B490" i="12"/>
  <c r="F489" i="12"/>
  <c r="B489" i="12"/>
  <c r="F488" i="12"/>
  <c r="B488" i="12"/>
  <c r="F487" i="12"/>
  <c r="B487" i="12"/>
  <c r="F486" i="12"/>
  <c r="B486" i="12"/>
  <c r="F485" i="12"/>
  <c r="B485" i="12"/>
  <c r="F484" i="12"/>
  <c r="B484" i="12"/>
  <c r="F483" i="12"/>
  <c r="B483" i="12"/>
  <c r="F482" i="12"/>
  <c r="B482" i="12"/>
  <c r="F481" i="12"/>
  <c r="B481" i="12"/>
  <c r="F480" i="12"/>
  <c r="B480" i="12"/>
  <c r="F479" i="12"/>
  <c r="B479" i="12"/>
  <c r="F478" i="12"/>
  <c r="B478" i="12"/>
  <c r="F477" i="12"/>
  <c r="B477" i="12"/>
  <c r="F476" i="12"/>
  <c r="B476" i="12"/>
  <c r="F475" i="12"/>
  <c r="B475" i="12"/>
  <c r="F474" i="12"/>
  <c r="B474" i="12"/>
  <c r="F473" i="12"/>
  <c r="B473" i="12"/>
  <c r="F472" i="12"/>
  <c r="B472" i="12"/>
  <c r="F471" i="12"/>
  <c r="B471" i="12"/>
  <c r="F470" i="12"/>
  <c r="B470" i="12"/>
  <c r="F469" i="12"/>
  <c r="B469" i="12"/>
  <c r="F468" i="12"/>
  <c r="B468" i="12"/>
  <c r="F467" i="12"/>
  <c r="B467" i="12"/>
  <c r="F466" i="12"/>
  <c r="B466" i="12"/>
  <c r="F465" i="12"/>
  <c r="B465" i="12"/>
  <c r="F464" i="12"/>
  <c r="B464" i="12"/>
  <c r="F463" i="12"/>
  <c r="B463" i="12"/>
  <c r="F462" i="12"/>
  <c r="B462" i="12"/>
  <c r="F461" i="12"/>
  <c r="B461" i="12"/>
  <c r="F460" i="12"/>
  <c r="B460" i="12"/>
  <c r="F459" i="12"/>
  <c r="B459" i="12"/>
  <c r="F458" i="12"/>
  <c r="B458" i="12"/>
  <c r="F457" i="12"/>
  <c r="B457" i="12"/>
  <c r="F456" i="12"/>
  <c r="B456" i="12"/>
  <c r="F455" i="12"/>
  <c r="B455" i="12"/>
  <c r="F454" i="12"/>
  <c r="B454" i="12"/>
  <c r="F453" i="12"/>
  <c r="B453" i="12"/>
  <c r="F452" i="12"/>
  <c r="B452" i="12"/>
  <c r="F451" i="12"/>
  <c r="B451" i="12"/>
  <c r="F450" i="12"/>
  <c r="B450" i="12"/>
  <c r="F449" i="12"/>
  <c r="B449" i="12"/>
  <c r="F448" i="12"/>
  <c r="B448" i="12"/>
  <c r="F447" i="12"/>
  <c r="B447" i="12"/>
  <c r="F446" i="12"/>
  <c r="B446" i="12"/>
  <c r="F445" i="12"/>
  <c r="B445" i="12"/>
  <c r="F444" i="12"/>
  <c r="B444" i="12"/>
  <c r="F443" i="12"/>
  <c r="B443" i="12"/>
  <c r="F442" i="12"/>
  <c r="B442" i="12"/>
  <c r="F441" i="12"/>
  <c r="B441" i="12"/>
  <c r="F440" i="12"/>
  <c r="B440" i="12"/>
  <c r="F439" i="12"/>
  <c r="B439" i="12"/>
  <c r="F438" i="12"/>
  <c r="B438" i="12"/>
  <c r="F437" i="12"/>
  <c r="B437" i="12"/>
  <c r="F436" i="12"/>
  <c r="B436" i="12"/>
  <c r="F435" i="12"/>
  <c r="B435" i="12"/>
  <c r="F434" i="12"/>
  <c r="B434" i="12"/>
  <c r="F433" i="12"/>
  <c r="B433" i="12"/>
  <c r="F432" i="12"/>
  <c r="B432" i="12"/>
  <c r="F431" i="12"/>
  <c r="B431" i="12"/>
  <c r="F430" i="12"/>
  <c r="B430" i="12"/>
  <c r="F429" i="12"/>
  <c r="B429" i="12"/>
  <c r="F428" i="12"/>
  <c r="B428" i="12"/>
  <c r="F427" i="12"/>
  <c r="B427" i="12"/>
  <c r="F426" i="12"/>
  <c r="B426" i="12"/>
  <c r="F425" i="12"/>
  <c r="B425" i="12"/>
  <c r="F424" i="12"/>
  <c r="B424" i="12"/>
  <c r="F423" i="12"/>
  <c r="B423" i="12"/>
  <c r="F422" i="12"/>
  <c r="B422" i="12"/>
  <c r="F421" i="12"/>
  <c r="B421" i="12"/>
  <c r="F420" i="12"/>
  <c r="B420" i="12"/>
  <c r="F419" i="12"/>
  <c r="B419" i="12"/>
  <c r="F418" i="12"/>
  <c r="B418" i="12"/>
  <c r="F417" i="12"/>
  <c r="B417" i="12"/>
  <c r="F416" i="12"/>
  <c r="B416" i="12"/>
  <c r="F415" i="12"/>
  <c r="B415" i="12"/>
  <c r="F414" i="12"/>
  <c r="B414" i="12"/>
  <c r="F413" i="12"/>
  <c r="B413" i="12"/>
  <c r="F412" i="12"/>
  <c r="B412" i="12"/>
  <c r="F411" i="12"/>
  <c r="B411" i="12"/>
  <c r="F410" i="12"/>
  <c r="B410" i="12"/>
  <c r="F409" i="12"/>
  <c r="B409" i="12"/>
  <c r="F408" i="12"/>
  <c r="B408" i="12"/>
  <c r="F407" i="12"/>
  <c r="B407" i="12"/>
  <c r="F406" i="12"/>
  <c r="B406" i="12"/>
  <c r="F405" i="12"/>
  <c r="B405" i="12"/>
  <c r="F404" i="12"/>
  <c r="B404" i="12"/>
  <c r="F403" i="12"/>
  <c r="B403" i="12"/>
  <c r="F402" i="12"/>
  <c r="B402" i="12"/>
  <c r="F401" i="12"/>
  <c r="B401" i="12"/>
  <c r="F400" i="12"/>
  <c r="B400" i="12"/>
  <c r="F399" i="12"/>
  <c r="B399" i="12"/>
  <c r="F398" i="12"/>
  <c r="B398" i="12"/>
  <c r="F397" i="12"/>
  <c r="B397" i="12"/>
  <c r="F396" i="12"/>
  <c r="B396" i="12"/>
  <c r="F395" i="12"/>
  <c r="B395" i="12"/>
  <c r="F394" i="12"/>
  <c r="B394" i="12"/>
  <c r="F393" i="12"/>
  <c r="B393" i="12"/>
  <c r="F392" i="12"/>
  <c r="B392" i="12"/>
  <c r="F391" i="12"/>
  <c r="B391" i="12"/>
  <c r="F390" i="12"/>
  <c r="B390" i="12"/>
  <c r="F389" i="12"/>
  <c r="B389" i="12"/>
  <c r="F388" i="12"/>
  <c r="B388" i="12"/>
  <c r="F387" i="12"/>
  <c r="B387" i="12"/>
  <c r="F386" i="12"/>
  <c r="B386" i="12"/>
  <c r="F385" i="12"/>
  <c r="B385" i="12"/>
  <c r="F384" i="12"/>
  <c r="B384" i="12"/>
  <c r="F383" i="12"/>
  <c r="B383" i="12"/>
  <c r="F382" i="12"/>
  <c r="B382" i="12"/>
  <c r="F381" i="12"/>
  <c r="B381" i="12"/>
  <c r="F380" i="12"/>
  <c r="B380" i="12"/>
  <c r="F379" i="12"/>
  <c r="B379" i="12"/>
  <c r="F378" i="12"/>
  <c r="B378" i="12"/>
  <c r="F377" i="12"/>
  <c r="B377" i="12"/>
  <c r="F376" i="12"/>
  <c r="B376" i="12"/>
  <c r="F375" i="12"/>
  <c r="B375" i="12"/>
  <c r="F374" i="12"/>
  <c r="B374" i="12"/>
  <c r="F373" i="12"/>
  <c r="B373" i="12"/>
  <c r="F372" i="12"/>
  <c r="B372" i="12"/>
  <c r="F371" i="12"/>
  <c r="B371" i="12"/>
  <c r="F370" i="12"/>
  <c r="B370" i="12"/>
  <c r="F369" i="12"/>
  <c r="B369" i="12"/>
  <c r="F368" i="12"/>
  <c r="B368" i="12"/>
  <c r="F367" i="12"/>
  <c r="B367" i="12"/>
  <c r="F366" i="12"/>
  <c r="B366" i="12"/>
  <c r="F365" i="12"/>
  <c r="B365" i="12"/>
  <c r="F364" i="12"/>
  <c r="B364" i="12"/>
  <c r="F363" i="12"/>
  <c r="B363" i="12"/>
  <c r="F362" i="12"/>
  <c r="B362" i="12"/>
  <c r="F361" i="12"/>
  <c r="B361" i="12"/>
  <c r="F360" i="12"/>
  <c r="B360" i="12"/>
  <c r="F359" i="12"/>
  <c r="B359" i="12"/>
  <c r="F358" i="12"/>
  <c r="B358" i="12"/>
  <c r="F357" i="12"/>
  <c r="B357" i="12"/>
  <c r="F356" i="12"/>
  <c r="B356" i="12"/>
  <c r="F355" i="12"/>
  <c r="B355" i="12"/>
  <c r="F354" i="12"/>
  <c r="B354" i="12"/>
  <c r="F353" i="12"/>
  <c r="B353" i="12"/>
  <c r="F352" i="12"/>
  <c r="B352" i="12"/>
  <c r="F351" i="12"/>
  <c r="B351" i="12"/>
  <c r="F350" i="12"/>
  <c r="B350" i="12"/>
  <c r="F349" i="12"/>
  <c r="B349" i="12"/>
  <c r="F348" i="12"/>
  <c r="B348" i="12"/>
  <c r="F347" i="12"/>
  <c r="B347" i="12"/>
  <c r="F346" i="12"/>
  <c r="B346" i="12"/>
  <c r="F345" i="12"/>
  <c r="B345" i="12"/>
  <c r="F344" i="12"/>
  <c r="B344" i="12"/>
  <c r="F343" i="12"/>
  <c r="B343" i="12"/>
  <c r="F342" i="12"/>
  <c r="B342" i="12"/>
  <c r="F341" i="12"/>
  <c r="B341" i="12"/>
  <c r="F340" i="12"/>
  <c r="B340" i="12"/>
  <c r="F339" i="12"/>
  <c r="B339" i="12"/>
  <c r="F338" i="12"/>
  <c r="B338" i="12"/>
  <c r="F337" i="12"/>
  <c r="B337" i="12"/>
  <c r="F336" i="12"/>
  <c r="B336" i="12"/>
  <c r="F335" i="12"/>
  <c r="B335" i="12"/>
  <c r="F334" i="12"/>
  <c r="B334" i="12"/>
  <c r="F333" i="12"/>
  <c r="B333" i="12"/>
  <c r="F332" i="12"/>
  <c r="B332" i="12"/>
  <c r="F331" i="12"/>
  <c r="B331" i="12"/>
  <c r="F330" i="12"/>
  <c r="B330" i="12"/>
  <c r="F329" i="12"/>
  <c r="B329" i="12"/>
  <c r="F328" i="12"/>
  <c r="B328" i="12"/>
  <c r="F327" i="12"/>
  <c r="B327" i="12"/>
  <c r="F326" i="12"/>
  <c r="B326" i="12"/>
  <c r="F325" i="12"/>
  <c r="B325" i="12"/>
  <c r="F324" i="12"/>
  <c r="B324" i="12"/>
  <c r="F323" i="12"/>
  <c r="B323" i="12"/>
  <c r="F322" i="12"/>
  <c r="B322" i="12"/>
  <c r="F321" i="12"/>
  <c r="B321" i="12"/>
  <c r="F320" i="12"/>
  <c r="B320" i="12"/>
  <c r="F319" i="12"/>
  <c r="B319" i="12"/>
  <c r="F318" i="12"/>
  <c r="B318" i="12"/>
  <c r="F317" i="12"/>
  <c r="B317" i="12"/>
  <c r="F316" i="12"/>
  <c r="B316" i="12"/>
  <c r="F315" i="12"/>
  <c r="B315" i="12"/>
  <c r="F314" i="12"/>
  <c r="B314" i="12"/>
  <c r="F313" i="12"/>
  <c r="B313" i="12"/>
  <c r="F312" i="12"/>
  <c r="B312" i="12"/>
  <c r="F311" i="12"/>
  <c r="B311" i="12"/>
  <c r="F310" i="12"/>
  <c r="B310" i="12"/>
  <c r="F309" i="12"/>
  <c r="B309" i="12"/>
  <c r="F308" i="12"/>
  <c r="B308" i="12"/>
  <c r="F307" i="12"/>
  <c r="B307" i="12"/>
  <c r="F306" i="12"/>
  <c r="B306" i="12"/>
  <c r="F305" i="12"/>
  <c r="B305" i="12"/>
  <c r="F304" i="12"/>
  <c r="B304" i="12"/>
  <c r="F303" i="12"/>
  <c r="B303" i="12"/>
  <c r="F302" i="12"/>
  <c r="B302" i="12"/>
  <c r="F301" i="12"/>
  <c r="B301" i="12"/>
  <c r="F300" i="12"/>
  <c r="B300" i="12"/>
  <c r="F299" i="12"/>
  <c r="B299" i="12"/>
  <c r="F298" i="12"/>
  <c r="B298" i="12"/>
  <c r="F297" i="12"/>
  <c r="B297" i="12"/>
  <c r="F296" i="12"/>
  <c r="B296" i="12"/>
  <c r="F295" i="12"/>
  <c r="B295" i="12"/>
  <c r="F294" i="12"/>
  <c r="B294" i="12"/>
  <c r="F293" i="12"/>
  <c r="B293" i="12"/>
  <c r="F292" i="12"/>
  <c r="B292" i="12"/>
  <c r="F291" i="12"/>
  <c r="B291" i="12"/>
  <c r="F290" i="12"/>
  <c r="B290" i="12"/>
  <c r="F289" i="12"/>
  <c r="B289" i="12"/>
  <c r="F288" i="12"/>
  <c r="B288" i="12"/>
  <c r="F287" i="12"/>
  <c r="B287" i="12"/>
  <c r="F286" i="12"/>
  <c r="B286" i="12"/>
  <c r="F285" i="12"/>
  <c r="B285" i="12"/>
  <c r="F284" i="12"/>
  <c r="B284" i="12"/>
  <c r="F283" i="12"/>
  <c r="B283" i="12"/>
  <c r="F282" i="12"/>
  <c r="B282" i="12"/>
  <c r="F281" i="12"/>
  <c r="B281" i="12"/>
  <c r="F280" i="12"/>
  <c r="B280" i="12"/>
  <c r="F279" i="12"/>
  <c r="B279" i="12"/>
  <c r="F278" i="12"/>
  <c r="B278" i="12"/>
  <c r="F277" i="12"/>
  <c r="B277" i="12"/>
  <c r="F276" i="12"/>
  <c r="B276" i="12"/>
  <c r="F275" i="12"/>
  <c r="B275" i="12"/>
  <c r="F274" i="12"/>
  <c r="B274" i="12"/>
  <c r="F273" i="12"/>
  <c r="B273" i="12"/>
  <c r="F272" i="12"/>
  <c r="B272" i="12"/>
  <c r="F271" i="12"/>
  <c r="B271" i="12"/>
  <c r="F270" i="12"/>
  <c r="B270" i="12"/>
  <c r="F269" i="12"/>
  <c r="B269" i="12"/>
  <c r="F268" i="12"/>
  <c r="B268" i="12"/>
  <c r="F267" i="12"/>
  <c r="B267" i="12"/>
  <c r="F266" i="12"/>
  <c r="B266" i="12"/>
  <c r="F265" i="12"/>
  <c r="B265" i="12"/>
  <c r="F264" i="12"/>
  <c r="B264" i="12"/>
  <c r="F263" i="12"/>
  <c r="B263" i="12"/>
  <c r="F262" i="12"/>
  <c r="B262" i="12"/>
  <c r="F261" i="12"/>
  <c r="B261" i="12"/>
  <c r="F260" i="12"/>
  <c r="B260" i="12"/>
  <c r="F259" i="12"/>
  <c r="B259" i="12"/>
  <c r="F258" i="12"/>
  <c r="B258" i="12"/>
  <c r="F257" i="12"/>
  <c r="B257" i="12"/>
  <c r="F256" i="12"/>
  <c r="B256" i="12"/>
  <c r="F255" i="12"/>
  <c r="B255" i="12"/>
  <c r="F254" i="12"/>
  <c r="B254" i="12"/>
  <c r="F253" i="12"/>
  <c r="B253" i="12"/>
  <c r="F252" i="12"/>
  <c r="B252" i="12"/>
  <c r="F251" i="12"/>
  <c r="B251" i="12"/>
  <c r="F250" i="12"/>
  <c r="B250" i="12"/>
  <c r="F249" i="12"/>
  <c r="B249" i="12"/>
  <c r="F248" i="12"/>
  <c r="B248" i="12"/>
  <c r="F247" i="12"/>
  <c r="B247" i="12"/>
  <c r="F246" i="12"/>
  <c r="B246" i="12"/>
  <c r="F245" i="12"/>
  <c r="B245" i="12"/>
  <c r="F244" i="12"/>
  <c r="B244" i="12"/>
  <c r="F243" i="12"/>
  <c r="B243" i="12"/>
  <c r="F242" i="12"/>
  <c r="B242" i="12"/>
  <c r="F241" i="12"/>
  <c r="B241" i="12"/>
  <c r="F240" i="12"/>
  <c r="B240" i="12"/>
  <c r="F239" i="12"/>
  <c r="B239" i="12"/>
  <c r="F238" i="12"/>
  <c r="B238" i="12"/>
  <c r="F237" i="12"/>
  <c r="B237" i="12"/>
  <c r="F236" i="12"/>
  <c r="B236" i="12"/>
  <c r="F235" i="12"/>
  <c r="B235" i="12"/>
  <c r="F234" i="12"/>
  <c r="B234" i="12"/>
  <c r="F233" i="12"/>
  <c r="B233" i="12"/>
  <c r="F232" i="12"/>
  <c r="B232" i="12"/>
  <c r="F231" i="12"/>
  <c r="B231" i="12"/>
  <c r="F230" i="12"/>
  <c r="B230" i="12"/>
  <c r="F229" i="12"/>
  <c r="B229" i="12"/>
  <c r="F228" i="12"/>
  <c r="B228" i="12"/>
  <c r="F227" i="12"/>
  <c r="B227" i="12"/>
  <c r="F226" i="12"/>
  <c r="B226" i="12"/>
  <c r="F225" i="12"/>
  <c r="B225" i="12"/>
  <c r="F224" i="12"/>
  <c r="B224" i="12"/>
  <c r="F223" i="12"/>
  <c r="B223" i="12"/>
  <c r="F222" i="12"/>
  <c r="B222" i="12"/>
  <c r="F221" i="12"/>
  <c r="B221" i="12"/>
  <c r="F220" i="12"/>
  <c r="B220" i="12"/>
  <c r="F219" i="12"/>
  <c r="B219" i="12"/>
  <c r="F218" i="12"/>
  <c r="B218" i="12"/>
  <c r="F217" i="12"/>
  <c r="B217" i="12"/>
  <c r="F216" i="12"/>
  <c r="B216" i="12"/>
  <c r="F215" i="12"/>
  <c r="B215" i="12"/>
  <c r="F214" i="12"/>
  <c r="B214" i="12"/>
  <c r="F213" i="12"/>
  <c r="B213" i="12"/>
  <c r="F212" i="12"/>
  <c r="B212" i="12"/>
  <c r="F211" i="12"/>
  <c r="B211" i="12"/>
  <c r="F210" i="12"/>
  <c r="B210" i="12"/>
  <c r="F209" i="12"/>
  <c r="B209" i="12"/>
  <c r="F208" i="12"/>
  <c r="B208" i="12"/>
  <c r="F207" i="12"/>
  <c r="B207" i="12"/>
  <c r="F206" i="12"/>
  <c r="B206" i="12"/>
  <c r="F205" i="12"/>
  <c r="B205" i="12"/>
  <c r="F204" i="12"/>
  <c r="B204" i="12"/>
  <c r="F203" i="12"/>
  <c r="B203" i="12"/>
  <c r="F202" i="12"/>
  <c r="B202" i="12"/>
  <c r="F201" i="12"/>
  <c r="B201" i="12"/>
  <c r="F200" i="12"/>
  <c r="B200" i="12"/>
  <c r="F199" i="12"/>
  <c r="B199" i="12"/>
  <c r="F198" i="12"/>
  <c r="B198" i="12"/>
  <c r="F197" i="12"/>
  <c r="B197" i="12"/>
  <c r="F196" i="12"/>
  <c r="B196" i="12"/>
  <c r="F195" i="12"/>
  <c r="B195" i="12"/>
  <c r="F194" i="12"/>
  <c r="B194" i="12"/>
  <c r="F193" i="12"/>
  <c r="B193" i="12"/>
  <c r="F192" i="12"/>
  <c r="B192" i="12"/>
  <c r="F191" i="12"/>
  <c r="B191" i="12"/>
  <c r="F190" i="12"/>
  <c r="B190" i="12"/>
  <c r="F189" i="12"/>
  <c r="B189" i="12"/>
  <c r="F188" i="12"/>
  <c r="B188" i="12"/>
  <c r="F187" i="12"/>
  <c r="B187" i="12"/>
  <c r="F186" i="12"/>
  <c r="B186" i="12"/>
  <c r="F185" i="12"/>
  <c r="B185" i="12"/>
  <c r="F184" i="12"/>
  <c r="B184" i="12"/>
  <c r="F183" i="12"/>
  <c r="B183" i="12"/>
  <c r="F182" i="12"/>
  <c r="B182" i="12"/>
  <c r="F181" i="12"/>
  <c r="B181" i="12"/>
  <c r="F180" i="12"/>
  <c r="B180" i="12"/>
  <c r="F179" i="12"/>
  <c r="B179" i="12"/>
  <c r="F178" i="12"/>
  <c r="B178" i="12"/>
  <c r="F177" i="12"/>
  <c r="B177" i="12"/>
  <c r="F176" i="12"/>
  <c r="B176" i="12"/>
  <c r="F175" i="12"/>
  <c r="B175" i="12"/>
  <c r="F174" i="12"/>
  <c r="B174" i="12"/>
  <c r="F173" i="12"/>
  <c r="B173" i="12"/>
  <c r="F172" i="12"/>
  <c r="B172" i="12"/>
  <c r="F171" i="12"/>
  <c r="B171" i="12"/>
  <c r="F170" i="12"/>
  <c r="B170" i="12"/>
  <c r="F169" i="12"/>
  <c r="B169" i="12"/>
  <c r="F168" i="12"/>
  <c r="B168" i="12"/>
  <c r="F167" i="12"/>
  <c r="B167" i="12"/>
  <c r="F166" i="12"/>
  <c r="B166" i="12"/>
  <c r="F165" i="12"/>
  <c r="B165" i="12"/>
  <c r="F164" i="12"/>
  <c r="B164" i="12"/>
  <c r="F163" i="12"/>
  <c r="B163" i="12"/>
  <c r="F162" i="12"/>
  <c r="B162" i="12"/>
  <c r="F161" i="12"/>
  <c r="B161" i="12"/>
  <c r="F160" i="12"/>
  <c r="B160" i="12"/>
  <c r="F159" i="12"/>
  <c r="B159" i="12"/>
  <c r="F158" i="12"/>
  <c r="B158" i="12"/>
  <c r="F157" i="12"/>
  <c r="B157" i="12"/>
  <c r="F156" i="12"/>
  <c r="B156" i="12"/>
  <c r="F155" i="12"/>
  <c r="B155" i="12"/>
  <c r="F154" i="12"/>
  <c r="B154" i="12"/>
  <c r="F153" i="12"/>
  <c r="B153" i="12"/>
  <c r="F152" i="12"/>
  <c r="B152" i="12"/>
  <c r="F151" i="12"/>
  <c r="B151" i="12"/>
  <c r="F150" i="12"/>
  <c r="B150" i="12"/>
  <c r="F149" i="12"/>
  <c r="B149" i="12"/>
  <c r="F148" i="12"/>
  <c r="B148" i="12"/>
  <c r="F147" i="12"/>
  <c r="B147" i="12"/>
  <c r="F146" i="12"/>
  <c r="B146" i="12"/>
  <c r="F145" i="12"/>
  <c r="B145" i="12"/>
  <c r="F144" i="12"/>
  <c r="B144" i="12"/>
  <c r="F143" i="12"/>
  <c r="B143" i="12"/>
  <c r="F142" i="12"/>
  <c r="B142" i="12"/>
  <c r="F141" i="12"/>
  <c r="B141" i="12"/>
  <c r="F140" i="12"/>
  <c r="B140" i="12"/>
  <c r="F139" i="12"/>
  <c r="B139" i="12"/>
  <c r="F138" i="12"/>
  <c r="B138" i="12"/>
  <c r="F137" i="12"/>
  <c r="B137" i="12"/>
  <c r="F136" i="12"/>
  <c r="B136" i="12"/>
  <c r="F135" i="12"/>
  <c r="B135" i="12"/>
  <c r="F134" i="12"/>
  <c r="B134" i="12"/>
  <c r="F133" i="12"/>
  <c r="B133" i="12"/>
  <c r="F132" i="12"/>
  <c r="B132" i="12"/>
  <c r="F131" i="12"/>
  <c r="B131" i="12"/>
  <c r="F130" i="12"/>
  <c r="B130" i="12"/>
  <c r="F129" i="12"/>
  <c r="B129" i="12"/>
  <c r="F128" i="12"/>
  <c r="B128" i="12"/>
  <c r="F127" i="12"/>
  <c r="B127" i="12"/>
  <c r="F126" i="12"/>
  <c r="B126" i="12"/>
  <c r="F125" i="12"/>
  <c r="B125" i="12"/>
  <c r="F124" i="12"/>
  <c r="B124" i="12"/>
  <c r="F123" i="12"/>
  <c r="B123" i="12"/>
  <c r="F122" i="12"/>
  <c r="B122" i="12"/>
  <c r="F121" i="12"/>
  <c r="B121" i="12"/>
  <c r="F120" i="12"/>
  <c r="B120" i="12"/>
  <c r="F119" i="12"/>
  <c r="B119" i="12"/>
  <c r="F118" i="12"/>
  <c r="B118" i="12"/>
  <c r="F117" i="12"/>
  <c r="B117" i="12"/>
  <c r="F116" i="12"/>
  <c r="B116" i="12"/>
  <c r="F115" i="12"/>
  <c r="B115" i="12"/>
  <c r="F114" i="12"/>
  <c r="B114" i="12"/>
  <c r="F113" i="12"/>
  <c r="B113" i="12"/>
  <c r="F112" i="12"/>
  <c r="B112" i="12"/>
  <c r="F111" i="12"/>
  <c r="B111" i="12"/>
  <c r="F110" i="12"/>
  <c r="B110" i="12"/>
  <c r="F109" i="12"/>
  <c r="B109" i="12"/>
  <c r="F108" i="12"/>
  <c r="B108" i="12"/>
  <c r="F107" i="12"/>
  <c r="B107" i="12"/>
  <c r="F106" i="12"/>
  <c r="B106" i="12"/>
  <c r="F105" i="12"/>
  <c r="B105" i="12"/>
  <c r="F104" i="12"/>
  <c r="B104" i="12"/>
  <c r="F103" i="12"/>
  <c r="B103" i="12"/>
  <c r="F102" i="12"/>
  <c r="B102" i="12"/>
  <c r="F101" i="12"/>
  <c r="B101" i="12"/>
  <c r="F100" i="12"/>
  <c r="B100" i="12"/>
  <c r="F99" i="12"/>
  <c r="B99" i="12"/>
  <c r="F98" i="12"/>
  <c r="B98" i="12"/>
  <c r="F97" i="12"/>
  <c r="B97" i="12"/>
  <c r="F96" i="12"/>
  <c r="B96" i="12"/>
  <c r="F95" i="12"/>
  <c r="B95" i="12"/>
  <c r="F94" i="12"/>
  <c r="B94" i="12"/>
  <c r="F93" i="12"/>
  <c r="B93" i="12"/>
  <c r="F92" i="12"/>
  <c r="B92" i="12"/>
  <c r="F91" i="12"/>
  <c r="B91" i="12"/>
  <c r="F90" i="12"/>
  <c r="B90" i="12"/>
  <c r="F89" i="12"/>
  <c r="B89" i="12"/>
  <c r="F88" i="12"/>
  <c r="B88" i="12"/>
  <c r="F87" i="12"/>
  <c r="B87" i="12"/>
  <c r="F86" i="12"/>
  <c r="B86" i="12"/>
  <c r="F85" i="12"/>
  <c r="B85" i="12"/>
  <c r="F84" i="12"/>
  <c r="B84" i="12"/>
  <c r="F83" i="12"/>
  <c r="B83" i="12"/>
  <c r="F82" i="12"/>
  <c r="B82" i="12"/>
  <c r="F81" i="12"/>
  <c r="B81" i="12"/>
  <c r="F80" i="12"/>
  <c r="B80" i="12"/>
  <c r="F79" i="12"/>
  <c r="B79" i="12"/>
  <c r="F78" i="12"/>
  <c r="B78" i="12"/>
  <c r="F77" i="12"/>
  <c r="B77" i="12"/>
  <c r="F76" i="12"/>
  <c r="B76" i="12"/>
  <c r="F75" i="12"/>
  <c r="B75" i="12"/>
  <c r="F74" i="12"/>
  <c r="B74" i="12"/>
  <c r="F73" i="12"/>
  <c r="B73" i="12"/>
  <c r="F72" i="12"/>
  <c r="B72" i="12"/>
  <c r="F71" i="12"/>
  <c r="B71" i="12"/>
  <c r="F70" i="12"/>
  <c r="B70" i="12"/>
  <c r="F69" i="12"/>
  <c r="B69" i="12"/>
  <c r="F68" i="12"/>
  <c r="B68" i="12"/>
  <c r="F67" i="12"/>
  <c r="B67" i="12"/>
  <c r="F66" i="12"/>
  <c r="B66" i="12"/>
  <c r="F65" i="12"/>
  <c r="B65" i="12"/>
  <c r="F64" i="12"/>
  <c r="B64" i="12"/>
  <c r="F63" i="12"/>
  <c r="B63" i="12"/>
  <c r="F62" i="12"/>
  <c r="B62" i="12"/>
  <c r="F61" i="12"/>
  <c r="B61" i="12"/>
  <c r="F60" i="12"/>
  <c r="B60" i="12"/>
  <c r="F59" i="12"/>
  <c r="B59" i="12"/>
  <c r="F58" i="12"/>
  <c r="B58" i="12"/>
  <c r="F57" i="12"/>
  <c r="B57" i="12"/>
  <c r="F56" i="12"/>
  <c r="B56" i="12"/>
  <c r="F55" i="12"/>
  <c r="B55" i="12"/>
  <c r="F54" i="12"/>
  <c r="B54" i="12"/>
  <c r="F53" i="12"/>
  <c r="B53" i="12"/>
  <c r="F52" i="12"/>
  <c r="B52" i="12"/>
  <c r="F51" i="12"/>
  <c r="B51" i="12"/>
  <c r="F50" i="12"/>
  <c r="B50" i="12"/>
  <c r="F49" i="12"/>
  <c r="B49" i="12"/>
  <c r="F48" i="12"/>
  <c r="B48" i="12"/>
  <c r="F47" i="12"/>
  <c r="B47" i="12"/>
  <c r="F46" i="12"/>
  <c r="B46" i="12"/>
  <c r="F45" i="12"/>
  <c r="B45" i="12"/>
  <c r="F44" i="12"/>
  <c r="B44" i="12"/>
  <c r="F43" i="12"/>
  <c r="B43" i="12"/>
  <c r="F42" i="12"/>
  <c r="B42" i="12"/>
  <c r="F41" i="12"/>
  <c r="B41" i="12"/>
  <c r="F40" i="12"/>
  <c r="B40" i="12"/>
  <c r="F39" i="12"/>
  <c r="B39" i="12"/>
  <c r="F38" i="12"/>
  <c r="B38" i="12"/>
  <c r="F37" i="12"/>
  <c r="B37" i="12"/>
  <c r="F36" i="12"/>
  <c r="B36" i="12"/>
  <c r="F35" i="12"/>
  <c r="B35" i="12"/>
  <c r="F34" i="12"/>
  <c r="B34" i="12"/>
  <c r="F33" i="12"/>
  <c r="B33" i="12"/>
  <c r="F32" i="12"/>
  <c r="B32" i="12"/>
  <c r="F31" i="12"/>
  <c r="B31" i="12"/>
  <c r="F30" i="12"/>
  <c r="B30" i="12"/>
  <c r="F29" i="12"/>
  <c r="B29" i="12"/>
  <c r="F28" i="12"/>
  <c r="B28" i="12"/>
  <c r="F27" i="12"/>
  <c r="B27" i="12"/>
  <c r="F26" i="12"/>
  <c r="B26" i="12"/>
  <c r="F25" i="12"/>
  <c r="B25" i="12"/>
  <c r="F24" i="12"/>
  <c r="B24" i="12"/>
  <c r="F23" i="12"/>
  <c r="B23" i="12"/>
  <c r="F22" i="12"/>
  <c r="B22" i="12"/>
  <c r="F21" i="12"/>
  <c r="B21" i="12"/>
  <c r="F20" i="12"/>
  <c r="B20" i="12"/>
  <c r="F19" i="12"/>
  <c r="B19" i="12"/>
  <c r="F18" i="12"/>
  <c r="B18" i="12"/>
  <c r="F17" i="12"/>
  <c r="B17" i="12"/>
  <c r="F16" i="12"/>
  <c r="B16" i="12"/>
  <c r="F15" i="12"/>
  <c r="B15" i="12"/>
  <c r="F14" i="12"/>
  <c r="B14" i="12"/>
  <c r="F13" i="12"/>
  <c r="B13" i="12"/>
  <c r="F12" i="12"/>
  <c r="B12" i="12"/>
  <c r="F11" i="12"/>
  <c r="B11" i="12"/>
  <c r="F10" i="12"/>
  <c r="B10" i="12"/>
  <c r="F9" i="12"/>
  <c r="B9" i="12"/>
  <c r="F8" i="12"/>
  <c r="B8" i="12"/>
  <c r="F7" i="12"/>
  <c r="B7" i="12"/>
  <c r="F6" i="12"/>
  <c r="B6" i="12"/>
  <c r="F5" i="12"/>
  <c r="B5" i="12"/>
  <c r="F4" i="12"/>
  <c r="B4" i="12"/>
  <c r="F3" i="12"/>
  <c r="B3" i="12"/>
  <c r="F2" i="12"/>
  <c r="B2" i="12"/>
  <c r="P1194" i="10"/>
  <c r="Q1194" i="10" s="1"/>
  <c r="N1194" i="10"/>
  <c r="O1194" i="10" s="1"/>
  <c r="K1194" i="10"/>
  <c r="D1194" i="10"/>
  <c r="C1194" i="10"/>
  <c r="P1193" i="10"/>
  <c r="Q1193" i="10" s="1"/>
  <c r="N1193" i="10"/>
  <c r="O1193" i="10" s="1"/>
  <c r="K1193" i="10"/>
  <c r="D1193" i="10"/>
  <c r="C1193" i="10"/>
  <c r="P1192" i="10"/>
  <c r="Q1192" i="10" s="1"/>
  <c r="N1192" i="10"/>
  <c r="O1192" i="10" s="1"/>
  <c r="K1192" i="10"/>
  <c r="D1192" i="10"/>
  <c r="C1192" i="10"/>
  <c r="P1191" i="10"/>
  <c r="Q1191" i="10" s="1"/>
  <c r="N1191" i="10"/>
  <c r="O1191" i="10" s="1"/>
  <c r="K1191" i="10"/>
  <c r="D1191" i="10"/>
  <c r="C1191" i="10"/>
  <c r="P1190" i="10"/>
  <c r="Q1190" i="10" s="1"/>
  <c r="K1190" i="10"/>
  <c r="D1190" i="10"/>
  <c r="C1190" i="10"/>
  <c r="P1189" i="10"/>
  <c r="Q1189" i="10" s="1"/>
  <c r="N1189" i="10"/>
  <c r="O1189" i="10" s="1"/>
  <c r="K1189" i="10"/>
  <c r="D1189" i="10"/>
  <c r="C1189" i="10"/>
  <c r="P1188" i="10"/>
  <c r="Q1188" i="10" s="1"/>
  <c r="N1188" i="10"/>
  <c r="O1188" i="10" s="1"/>
  <c r="K1188" i="10"/>
  <c r="D1188" i="10"/>
  <c r="C1188" i="10"/>
  <c r="P1187" i="10"/>
  <c r="Q1187" i="10" s="1"/>
  <c r="N1187" i="10"/>
  <c r="O1187" i="10" s="1"/>
  <c r="K1187" i="10"/>
  <c r="D1187" i="10"/>
  <c r="C1187" i="10"/>
  <c r="P1186" i="10"/>
  <c r="Q1186" i="10" s="1"/>
  <c r="N1186" i="10"/>
  <c r="O1186" i="10" s="1"/>
  <c r="K1186" i="10"/>
  <c r="D1186" i="10"/>
  <c r="C1186" i="10"/>
  <c r="P1185" i="10"/>
  <c r="Q1185" i="10" s="1"/>
  <c r="K1185" i="10"/>
  <c r="D1185" i="10"/>
  <c r="C1185" i="10"/>
  <c r="P1184" i="10"/>
  <c r="Q1184" i="10" s="1"/>
  <c r="K1184" i="10"/>
  <c r="D1184" i="10"/>
  <c r="C1184" i="10"/>
  <c r="P1183" i="10"/>
  <c r="Q1183" i="10" s="1"/>
  <c r="N1183" i="10"/>
  <c r="O1183" i="10" s="1"/>
  <c r="K1183" i="10"/>
  <c r="D1183" i="10"/>
  <c r="C1183" i="10"/>
  <c r="P1182" i="10"/>
  <c r="Q1182" i="10" s="1"/>
  <c r="N1182" i="10"/>
  <c r="O1182" i="10" s="1"/>
  <c r="K1182" i="10"/>
  <c r="D1182" i="10"/>
  <c r="C1182" i="10"/>
  <c r="P1181" i="10"/>
  <c r="Q1181" i="10" s="1"/>
  <c r="N1181" i="10"/>
  <c r="O1181" i="10" s="1"/>
  <c r="K1181" i="10"/>
  <c r="D1181" i="10"/>
  <c r="C1181" i="10"/>
  <c r="P1180" i="10"/>
  <c r="Q1180" i="10" s="1"/>
  <c r="N1180" i="10"/>
  <c r="O1180" i="10" s="1"/>
  <c r="K1180" i="10"/>
  <c r="D1180" i="10"/>
  <c r="C1180" i="10"/>
  <c r="P1179" i="10"/>
  <c r="Q1179" i="10" s="1"/>
  <c r="N1179" i="10"/>
  <c r="O1179" i="10" s="1"/>
  <c r="K1179" i="10"/>
  <c r="D1179" i="10"/>
  <c r="C1179" i="10"/>
  <c r="P1178" i="10"/>
  <c r="Q1178" i="10" s="1"/>
  <c r="N1178" i="10"/>
  <c r="O1178" i="10" s="1"/>
  <c r="K1178" i="10"/>
  <c r="D1178" i="10"/>
  <c r="C1178" i="10"/>
  <c r="P1177" i="10"/>
  <c r="Q1177" i="10" s="1"/>
  <c r="N1177" i="10"/>
  <c r="O1177" i="10" s="1"/>
  <c r="K1177" i="10"/>
  <c r="D1177" i="10"/>
  <c r="C1177" i="10"/>
  <c r="P1176" i="10"/>
  <c r="Q1176" i="10" s="1"/>
  <c r="N1176" i="10"/>
  <c r="O1176" i="10" s="1"/>
  <c r="K1176" i="10"/>
  <c r="D1176" i="10"/>
  <c r="C1176" i="10"/>
  <c r="P1175" i="10"/>
  <c r="Q1175" i="10" s="1"/>
  <c r="N1175" i="10"/>
  <c r="O1175" i="10" s="1"/>
  <c r="K1175" i="10"/>
  <c r="D1175" i="10"/>
  <c r="C1175" i="10"/>
  <c r="P1174" i="10"/>
  <c r="Q1174" i="10" s="1"/>
  <c r="K1174" i="10"/>
  <c r="D1174" i="10"/>
  <c r="C1174" i="10"/>
  <c r="P1173" i="10"/>
  <c r="Q1173" i="10" s="1"/>
  <c r="N1173" i="10"/>
  <c r="O1173" i="10" s="1"/>
  <c r="K1173" i="10"/>
  <c r="D1173" i="10"/>
  <c r="C1173" i="10"/>
  <c r="P1172" i="10"/>
  <c r="Q1172" i="10" s="1"/>
  <c r="N1172" i="10"/>
  <c r="O1172" i="10" s="1"/>
  <c r="K1172" i="10"/>
  <c r="D1172" i="10"/>
  <c r="C1172" i="10"/>
  <c r="P1171" i="10"/>
  <c r="Q1171" i="10" s="1"/>
  <c r="N1171" i="10"/>
  <c r="O1171" i="10" s="1"/>
  <c r="K1171" i="10"/>
  <c r="D1171" i="10"/>
  <c r="C1171" i="10"/>
  <c r="P1170" i="10"/>
  <c r="Q1170" i="10" s="1"/>
  <c r="N1170" i="10"/>
  <c r="O1170" i="10" s="1"/>
  <c r="K1170" i="10"/>
  <c r="D1170" i="10"/>
  <c r="C1170" i="10"/>
  <c r="P1169" i="10"/>
  <c r="Q1169" i="10" s="1"/>
  <c r="N1169" i="10"/>
  <c r="O1169" i="10" s="1"/>
  <c r="K1169" i="10"/>
  <c r="D1169" i="10"/>
  <c r="C1169" i="10"/>
  <c r="P1168" i="10"/>
  <c r="Q1168" i="10" s="1"/>
  <c r="N1168" i="10"/>
  <c r="O1168" i="10" s="1"/>
  <c r="K1168" i="10"/>
  <c r="D1168" i="10"/>
  <c r="C1168" i="10"/>
  <c r="P1167" i="10"/>
  <c r="Q1167" i="10" s="1"/>
  <c r="N1167" i="10"/>
  <c r="O1167" i="10" s="1"/>
  <c r="K1167" i="10"/>
  <c r="D1167" i="10"/>
  <c r="C1167" i="10"/>
  <c r="P1166" i="10"/>
  <c r="Q1166" i="10" s="1"/>
  <c r="N1166" i="10"/>
  <c r="O1166" i="10" s="1"/>
  <c r="K1166" i="10"/>
  <c r="D1166" i="10"/>
  <c r="C1166" i="10"/>
  <c r="P1165" i="10"/>
  <c r="Q1165" i="10" s="1"/>
  <c r="N1165" i="10"/>
  <c r="O1165" i="10" s="1"/>
  <c r="K1165" i="10"/>
  <c r="D1165" i="10"/>
  <c r="C1165" i="10"/>
  <c r="P1164" i="10"/>
  <c r="Q1164" i="10" s="1"/>
  <c r="N1164" i="10"/>
  <c r="O1164" i="10" s="1"/>
  <c r="K1164" i="10"/>
  <c r="D1164" i="10"/>
  <c r="C1164" i="10"/>
  <c r="P1163" i="10"/>
  <c r="Q1163" i="10" s="1"/>
  <c r="N1163" i="10"/>
  <c r="O1163" i="10" s="1"/>
  <c r="K1163" i="10"/>
  <c r="D1163" i="10"/>
  <c r="C1163" i="10"/>
  <c r="P1162" i="10"/>
  <c r="Q1162" i="10" s="1"/>
  <c r="K1162" i="10"/>
  <c r="D1162" i="10"/>
  <c r="C1162" i="10"/>
  <c r="P1161" i="10"/>
  <c r="Q1161" i="10" s="1"/>
  <c r="N1161" i="10"/>
  <c r="O1161" i="10" s="1"/>
  <c r="K1161" i="10"/>
  <c r="D1161" i="10"/>
  <c r="C1161" i="10"/>
  <c r="P1160" i="10"/>
  <c r="Q1160" i="10" s="1"/>
  <c r="N1160" i="10"/>
  <c r="O1160" i="10" s="1"/>
  <c r="K1160" i="10"/>
  <c r="D1160" i="10"/>
  <c r="C1160" i="10"/>
  <c r="P1159" i="10"/>
  <c r="Q1159" i="10" s="1"/>
  <c r="N1159" i="10"/>
  <c r="O1159" i="10" s="1"/>
  <c r="K1159" i="10"/>
  <c r="D1159" i="10"/>
  <c r="C1159" i="10"/>
  <c r="P1158" i="10"/>
  <c r="Q1158" i="10" s="1"/>
  <c r="N1158" i="10"/>
  <c r="O1158" i="10" s="1"/>
  <c r="K1158" i="10"/>
  <c r="D1158" i="10"/>
  <c r="C1158" i="10"/>
  <c r="P1157" i="10"/>
  <c r="Q1157" i="10" s="1"/>
  <c r="N1157" i="10"/>
  <c r="O1157" i="10" s="1"/>
  <c r="K1157" i="10"/>
  <c r="D1157" i="10"/>
  <c r="C1157" i="10"/>
  <c r="P1156" i="10"/>
  <c r="Q1156" i="10" s="1"/>
  <c r="N1156" i="10"/>
  <c r="O1156" i="10" s="1"/>
  <c r="K1156" i="10"/>
  <c r="D1156" i="10"/>
  <c r="C1156" i="10"/>
  <c r="P1155" i="10"/>
  <c r="Q1155" i="10" s="1"/>
  <c r="N1155" i="10"/>
  <c r="O1155" i="10" s="1"/>
  <c r="K1155" i="10"/>
  <c r="D1155" i="10"/>
  <c r="C1155" i="10"/>
  <c r="P1154" i="10"/>
  <c r="Q1154" i="10" s="1"/>
  <c r="K1154" i="10"/>
  <c r="D1154" i="10"/>
  <c r="C1154" i="10"/>
  <c r="P1153" i="10"/>
  <c r="Q1153" i="10" s="1"/>
  <c r="K1153" i="10"/>
  <c r="D1153" i="10"/>
  <c r="C1153" i="10"/>
  <c r="P1152" i="10"/>
  <c r="Q1152" i="10" s="1"/>
  <c r="N1152" i="10"/>
  <c r="O1152" i="10" s="1"/>
  <c r="K1152" i="10"/>
  <c r="D1152" i="10"/>
  <c r="C1152" i="10"/>
  <c r="P1151" i="10"/>
  <c r="Q1151" i="10" s="1"/>
  <c r="N1151" i="10"/>
  <c r="O1151" i="10" s="1"/>
  <c r="K1151" i="10"/>
  <c r="D1151" i="10"/>
  <c r="C1151" i="10"/>
  <c r="P1150" i="10"/>
  <c r="Q1150" i="10" s="1"/>
  <c r="N1150" i="10"/>
  <c r="O1150" i="10" s="1"/>
  <c r="K1150" i="10"/>
  <c r="D1150" i="10"/>
  <c r="C1150" i="10"/>
  <c r="P1149" i="10"/>
  <c r="Q1149" i="10" s="1"/>
  <c r="N1149" i="10"/>
  <c r="O1149" i="10" s="1"/>
  <c r="K1149" i="10"/>
  <c r="D1149" i="10"/>
  <c r="C1149" i="10"/>
  <c r="P1148" i="10"/>
  <c r="Q1148" i="10" s="1"/>
  <c r="N1148" i="10"/>
  <c r="O1148" i="10" s="1"/>
  <c r="K1148" i="10"/>
  <c r="D1148" i="10"/>
  <c r="C1148" i="10"/>
  <c r="P1147" i="10"/>
  <c r="Q1147" i="10" s="1"/>
  <c r="N1147" i="10"/>
  <c r="O1147" i="10" s="1"/>
  <c r="K1147" i="10"/>
  <c r="D1147" i="10"/>
  <c r="C1147" i="10"/>
  <c r="P1146" i="10"/>
  <c r="Q1146" i="10" s="1"/>
  <c r="N1146" i="10"/>
  <c r="O1146" i="10" s="1"/>
  <c r="K1146" i="10"/>
  <c r="D1146" i="10"/>
  <c r="C1146" i="10"/>
  <c r="P1145" i="10"/>
  <c r="Q1145" i="10" s="1"/>
  <c r="N1145" i="10"/>
  <c r="O1145" i="10" s="1"/>
  <c r="K1145" i="10"/>
  <c r="D1145" i="10"/>
  <c r="C1145" i="10"/>
  <c r="P1144" i="10"/>
  <c r="Q1144" i="10" s="1"/>
  <c r="K1144" i="10"/>
  <c r="D1144" i="10"/>
  <c r="C1144" i="10"/>
  <c r="P1143" i="10"/>
  <c r="Q1143" i="10" s="1"/>
  <c r="N1143" i="10"/>
  <c r="O1143" i="10" s="1"/>
  <c r="K1143" i="10"/>
  <c r="D1143" i="10"/>
  <c r="C1143" i="10"/>
  <c r="P1142" i="10"/>
  <c r="Q1142" i="10" s="1"/>
  <c r="K1142" i="10"/>
  <c r="D1142" i="10"/>
  <c r="C1142" i="10"/>
  <c r="P1141" i="10"/>
  <c r="Q1141" i="10" s="1"/>
  <c r="N1141" i="10"/>
  <c r="O1141" i="10" s="1"/>
  <c r="K1141" i="10"/>
  <c r="D1141" i="10"/>
  <c r="C1141" i="10"/>
  <c r="P1140" i="10"/>
  <c r="Q1140" i="10" s="1"/>
  <c r="N1140" i="10"/>
  <c r="O1140" i="10" s="1"/>
  <c r="K1140" i="10"/>
  <c r="D1140" i="10"/>
  <c r="C1140" i="10"/>
  <c r="P1139" i="10"/>
  <c r="Q1139" i="10" s="1"/>
  <c r="N1139" i="10"/>
  <c r="O1139" i="10" s="1"/>
  <c r="K1139" i="10"/>
  <c r="D1139" i="10"/>
  <c r="C1139" i="10"/>
  <c r="P1138" i="10"/>
  <c r="Q1138" i="10" s="1"/>
  <c r="N1138" i="10"/>
  <c r="O1138" i="10" s="1"/>
  <c r="K1138" i="10"/>
  <c r="D1138" i="10"/>
  <c r="C1138" i="10"/>
  <c r="P1137" i="10"/>
  <c r="Q1137" i="10" s="1"/>
  <c r="N1137" i="10"/>
  <c r="O1137" i="10" s="1"/>
  <c r="K1137" i="10"/>
  <c r="D1137" i="10"/>
  <c r="C1137" i="10"/>
  <c r="P1136" i="10"/>
  <c r="Q1136" i="10" s="1"/>
  <c r="K1136" i="10"/>
  <c r="D1136" i="10"/>
  <c r="C1136" i="10"/>
  <c r="P1135" i="10"/>
  <c r="Q1135" i="10" s="1"/>
  <c r="N1135" i="10"/>
  <c r="O1135" i="10" s="1"/>
  <c r="K1135" i="10"/>
  <c r="D1135" i="10"/>
  <c r="C1135" i="10"/>
  <c r="P1134" i="10"/>
  <c r="Q1134" i="10" s="1"/>
  <c r="N1134" i="10"/>
  <c r="O1134" i="10" s="1"/>
  <c r="K1134" i="10"/>
  <c r="D1134" i="10"/>
  <c r="C1134" i="10"/>
  <c r="P1133" i="10"/>
  <c r="Q1133" i="10" s="1"/>
  <c r="N1133" i="10"/>
  <c r="O1133" i="10" s="1"/>
  <c r="K1133" i="10"/>
  <c r="D1133" i="10"/>
  <c r="C1133" i="10"/>
  <c r="P1132" i="10"/>
  <c r="Q1132" i="10" s="1"/>
  <c r="K1132" i="10"/>
  <c r="D1132" i="10"/>
  <c r="C1132" i="10"/>
  <c r="P1131" i="10"/>
  <c r="Q1131" i="10" s="1"/>
  <c r="K1131" i="10"/>
  <c r="D1131" i="10"/>
  <c r="C1131" i="10"/>
  <c r="P1130" i="10"/>
  <c r="Q1130" i="10" s="1"/>
  <c r="N1130" i="10"/>
  <c r="O1130" i="10" s="1"/>
  <c r="K1130" i="10"/>
  <c r="D1130" i="10"/>
  <c r="C1130" i="10"/>
  <c r="P1129" i="10"/>
  <c r="Q1129" i="10" s="1"/>
  <c r="N1129" i="10"/>
  <c r="O1129" i="10" s="1"/>
  <c r="K1129" i="10"/>
  <c r="D1129" i="10"/>
  <c r="C1129" i="10"/>
  <c r="P1128" i="10"/>
  <c r="Q1128" i="10" s="1"/>
  <c r="N1128" i="10"/>
  <c r="O1128" i="10" s="1"/>
  <c r="K1128" i="10"/>
  <c r="D1128" i="10"/>
  <c r="C1128" i="10"/>
  <c r="P1127" i="10"/>
  <c r="Q1127" i="10" s="1"/>
  <c r="N1127" i="10"/>
  <c r="O1127" i="10" s="1"/>
  <c r="K1127" i="10"/>
  <c r="D1127" i="10"/>
  <c r="C1127" i="10"/>
  <c r="P1126" i="10"/>
  <c r="Q1126" i="10" s="1"/>
  <c r="N1126" i="10"/>
  <c r="O1126" i="10" s="1"/>
  <c r="K1126" i="10"/>
  <c r="D1126" i="10"/>
  <c r="C1126" i="10"/>
  <c r="P1125" i="10"/>
  <c r="Q1125" i="10" s="1"/>
  <c r="K1125" i="10"/>
  <c r="D1125" i="10"/>
  <c r="C1125" i="10"/>
  <c r="P1124" i="10"/>
  <c r="Q1124" i="10" s="1"/>
  <c r="N1124" i="10"/>
  <c r="O1124" i="10" s="1"/>
  <c r="K1124" i="10"/>
  <c r="D1124" i="10"/>
  <c r="C1124" i="10"/>
  <c r="P1123" i="10"/>
  <c r="Q1123" i="10" s="1"/>
  <c r="N1123" i="10"/>
  <c r="O1123" i="10" s="1"/>
  <c r="K1123" i="10"/>
  <c r="D1123" i="10"/>
  <c r="C1123" i="10"/>
  <c r="P1122" i="10"/>
  <c r="Q1122" i="10" s="1"/>
  <c r="K1122" i="10"/>
  <c r="D1122" i="10"/>
  <c r="C1122" i="10"/>
  <c r="P1121" i="10"/>
  <c r="Q1121" i="10" s="1"/>
  <c r="N1121" i="10"/>
  <c r="O1121" i="10" s="1"/>
  <c r="K1121" i="10"/>
  <c r="D1121" i="10"/>
  <c r="C1121" i="10"/>
  <c r="P1120" i="10"/>
  <c r="Q1120" i="10" s="1"/>
  <c r="N1120" i="10"/>
  <c r="O1120" i="10" s="1"/>
  <c r="K1120" i="10"/>
  <c r="D1120" i="10"/>
  <c r="C1120" i="10"/>
  <c r="P1119" i="10"/>
  <c r="Q1119" i="10" s="1"/>
  <c r="K1119" i="10"/>
  <c r="D1119" i="10"/>
  <c r="C1119" i="10"/>
  <c r="P1118" i="10"/>
  <c r="Q1118" i="10" s="1"/>
  <c r="N1118" i="10"/>
  <c r="O1118" i="10" s="1"/>
  <c r="K1118" i="10"/>
  <c r="D1118" i="10"/>
  <c r="C1118" i="10"/>
  <c r="P1117" i="10"/>
  <c r="Q1117" i="10" s="1"/>
  <c r="N1117" i="10"/>
  <c r="O1117" i="10" s="1"/>
  <c r="K1117" i="10"/>
  <c r="D1117" i="10"/>
  <c r="C1117" i="10"/>
  <c r="P1116" i="10"/>
  <c r="Q1116" i="10" s="1"/>
  <c r="N1116" i="10"/>
  <c r="O1116" i="10" s="1"/>
  <c r="K1116" i="10"/>
  <c r="D1116" i="10"/>
  <c r="C1116" i="10"/>
  <c r="P1115" i="10"/>
  <c r="Q1115" i="10" s="1"/>
  <c r="N1115" i="10"/>
  <c r="O1115" i="10" s="1"/>
  <c r="K1115" i="10"/>
  <c r="D1115" i="10"/>
  <c r="C1115" i="10"/>
  <c r="P1114" i="10"/>
  <c r="Q1114" i="10" s="1"/>
  <c r="N1114" i="10"/>
  <c r="O1114" i="10" s="1"/>
  <c r="K1114" i="10"/>
  <c r="D1114" i="10"/>
  <c r="C1114" i="10"/>
  <c r="P1113" i="10"/>
  <c r="Q1113" i="10" s="1"/>
  <c r="N1113" i="10"/>
  <c r="O1113" i="10" s="1"/>
  <c r="K1113" i="10"/>
  <c r="D1113" i="10"/>
  <c r="C1113" i="10"/>
  <c r="P1112" i="10"/>
  <c r="Q1112" i="10" s="1"/>
  <c r="N1112" i="10"/>
  <c r="O1112" i="10" s="1"/>
  <c r="K1112" i="10"/>
  <c r="D1112" i="10"/>
  <c r="C1112" i="10"/>
  <c r="P1111" i="10"/>
  <c r="Q1111" i="10" s="1"/>
  <c r="N1111" i="10"/>
  <c r="O1111" i="10" s="1"/>
  <c r="K1111" i="10"/>
  <c r="D1111" i="10"/>
  <c r="C1111" i="10"/>
  <c r="P1110" i="10"/>
  <c r="Q1110" i="10" s="1"/>
  <c r="N1110" i="10"/>
  <c r="O1110" i="10" s="1"/>
  <c r="K1110" i="10"/>
  <c r="D1110" i="10"/>
  <c r="C1110" i="10"/>
  <c r="P1109" i="10"/>
  <c r="Q1109" i="10" s="1"/>
  <c r="N1109" i="10"/>
  <c r="O1109" i="10" s="1"/>
  <c r="K1109" i="10"/>
  <c r="D1109" i="10"/>
  <c r="C1109" i="10"/>
  <c r="P1108" i="10"/>
  <c r="Q1108" i="10" s="1"/>
  <c r="N1108" i="10"/>
  <c r="O1108" i="10" s="1"/>
  <c r="K1108" i="10"/>
  <c r="D1108" i="10"/>
  <c r="C1108" i="10"/>
  <c r="P1107" i="10"/>
  <c r="Q1107" i="10" s="1"/>
  <c r="K1107" i="10"/>
  <c r="D1107" i="10"/>
  <c r="C1107" i="10"/>
  <c r="P1106" i="10"/>
  <c r="Q1106" i="10" s="1"/>
  <c r="N1106" i="10"/>
  <c r="O1106" i="10" s="1"/>
  <c r="K1106" i="10"/>
  <c r="D1106" i="10"/>
  <c r="C1106" i="10"/>
  <c r="P1105" i="10"/>
  <c r="Q1105" i="10" s="1"/>
  <c r="N1105" i="10"/>
  <c r="O1105" i="10" s="1"/>
  <c r="K1105" i="10"/>
  <c r="D1105" i="10"/>
  <c r="C1105" i="10"/>
  <c r="P1104" i="10"/>
  <c r="Q1104" i="10" s="1"/>
  <c r="N1104" i="10"/>
  <c r="O1104" i="10" s="1"/>
  <c r="K1104" i="10"/>
  <c r="D1104" i="10"/>
  <c r="C1104" i="10"/>
  <c r="P1103" i="10"/>
  <c r="Q1103" i="10" s="1"/>
  <c r="K1103" i="10"/>
  <c r="D1103" i="10"/>
  <c r="C1103" i="10"/>
  <c r="P1102" i="10"/>
  <c r="Q1102" i="10" s="1"/>
  <c r="N1102" i="10"/>
  <c r="O1102" i="10" s="1"/>
  <c r="K1102" i="10"/>
  <c r="D1102" i="10"/>
  <c r="C1102" i="10"/>
  <c r="P1101" i="10"/>
  <c r="Q1101" i="10" s="1"/>
  <c r="N1101" i="10"/>
  <c r="O1101" i="10" s="1"/>
  <c r="K1101" i="10"/>
  <c r="D1101" i="10"/>
  <c r="C1101" i="10"/>
  <c r="P1100" i="10"/>
  <c r="Q1100" i="10" s="1"/>
  <c r="N1100" i="10"/>
  <c r="O1100" i="10" s="1"/>
  <c r="K1100" i="10"/>
  <c r="D1100" i="10"/>
  <c r="C1100" i="10"/>
  <c r="P1099" i="10"/>
  <c r="Q1099" i="10" s="1"/>
  <c r="N1099" i="10"/>
  <c r="O1099" i="10" s="1"/>
  <c r="K1099" i="10"/>
  <c r="D1099" i="10"/>
  <c r="C1099" i="10"/>
  <c r="P1098" i="10"/>
  <c r="Q1098" i="10" s="1"/>
  <c r="N1098" i="10"/>
  <c r="O1098" i="10" s="1"/>
  <c r="K1098" i="10"/>
  <c r="D1098" i="10"/>
  <c r="C1098" i="10"/>
  <c r="P1097" i="10"/>
  <c r="Q1097" i="10" s="1"/>
  <c r="N1097" i="10"/>
  <c r="O1097" i="10" s="1"/>
  <c r="K1097" i="10"/>
  <c r="D1097" i="10"/>
  <c r="C1097" i="10"/>
  <c r="P1096" i="10"/>
  <c r="Q1096" i="10" s="1"/>
  <c r="N1096" i="10"/>
  <c r="O1096" i="10" s="1"/>
  <c r="K1096" i="10"/>
  <c r="D1096" i="10"/>
  <c r="C1096" i="10"/>
  <c r="P1095" i="10"/>
  <c r="Q1095" i="10" s="1"/>
  <c r="N1095" i="10"/>
  <c r="O1095" i="10" s="1"/>
  <c r="K1095" i="10"/>
  <c r="D1095" i="10"/>
  <c r="C1095" i="10"/>
  <c r="P1094" i="10"/>
  <c r="Q1094" i="10" s="1"/>
  <c r="N1094" i="10"/>
  <c r="O1094" i="10" s="1"/>
  <c r="K1094" i="10"/>
  <c r="D1094" i="10"/>
  <c r="C1094" i="10"/>
  <c r="P1093" i="10"/>
  <c r="Q1093" i="10" s="1"/>
  <c r="N1093" i="10"/>
  <c r="O1093" i="10" s="1"/>
  <c r="K1093" i="10"/>
  <c r="D1093" i="10"/>
  <c r="C1093" i="10"/>
  <c r="P1092" i="10"/>
  <c r="Q1092" i="10" s="1"/>
  <c r="N1092" i="10"/>
  <c r="O1092" i="10" s="1"/>
  <c r="K1092" i="10"/>
  <c r="D1092" i="10"/>
  <c r="C1092" i="10"/>
  <c r="P1091" i="10"/>
  <c r="Q1091" i="10" s="1"/>
  <c r="N1091" i="10"/>
  <c r="O1091" i="10" s="1"/>
  <c r="K1091" i="10"/>
  <c r="D1091" i="10"/>
  <c r="C1091" i="10"/>
  <c r="P1090" i="10"/>
  <c r="Q1090" i="10" s="1"/>
  <c r="N1090" i="10"/>
  <c r="O1090" i="10" s="1"/>
  <c r="K1090" i="10"/>
  <c r="D1090" i="10"/>
  <c r="C1090" i="10"/>
  <c r="P1089" i="10"/>
  <c r="Q1089" i="10" s="1"/>
  <c r="N1089" i="10"/>
  <c r="O1089" i="10" s="1"/>
  <c r="K1089" i="10"/>
  <c r="D1089" i="10"/>
  <c r="C1089" i="10"/>
  <c r="P1088" i="10"/>
  <c r="Q1088" i="10" s="1"/>
  <c r="N1088" i="10"/>
  <c r="O1088" i="10" s="1"/>
  <c r="K1088" i="10"/>
  <c r="D1088" i="10"/>
  <c r="C1088" i="10"/>
  <c r="P1087" i="10"/>
  <c r="Q1087" i="10" s="1"/>
  <c r="N1087" i="10"/>
  <c r="O1087" i="10" s="1"/>
  <c r="K1087" i="10"/>
  <c r="D1087" i="10"/>
  <c r="C1087" i="10"/>
  <c r="P1086" i="10"/>
  <c r="Q1086" i="10" s="1"/>
  <c r="N1086" i="10"/>
  <c r="O1086" i="10" s="1"/>
  <c r="K1086" i="10"/>
  <c r="D1086" i="10"/>
  <c r="C1086" i="10"/>
  <c r="P1085" i="10"/>
  <c r="Q1085" i="10" s="1"/>
  <c r="N1085" i="10"/>
  <c r="O1085" i="10" s="1"/>
  <c r="K1085" i="10"/>
  <c r="D1085" i="10"/>
  <c r="C1085" i="10"/>
  <c r="P1084" i="10"/>
  <c r="Q1084" i="10" s="1"/>
  <c r="N1084" i="10"/>
  <c r="O1084" i="10" s="1"/>
  <c r="K1084" i="10"/>
  <c r="D1084" i="10"/>
  <c r="C1084" i="10"/>
  <c r="P1083" i="10"/>
  <c r="Q1083" i="10" s="1"/>
  <c r="N1083" i="10"/>
  <c r="O1083" i="10" s="1"/>
  <c r="K1083" i="10"/>
  <c r="D1083" i="10"/>
  <c r="C1083" i="10"/>
  <c r="P1082" i="10"/>
  <c r="Q1082" i="10" s="1"/>
  <c r="N1082" i="10"/>
  <c r="O1082" i="10" s="1"/>
  <c r="K1082" i="10"/>
  <c r="D1082" i="10"/>
  <c r="C1082" i="10"/>
  <c r="P1081" i="10"/>
  <c r="Q1081" i="10" s="1"/>
  <c r="K1081" i="10"/>
  <c r="D1081" i="10"/>
  <c r="C1081" i="10"/>
  <c r="P1080" i="10"/>
  <c r="Q1080" i="10" s="1"/>
  <c r="N1080" i="10"/>
  <c r="O1080" i="10" s="1"/>
  <c r="K1080" i="10"/>
  <c r="D1080" i="10"/>
  <c r="C1080" i="10"/>
  <c r="P1079" i="10"/>
  <c r="Q1079" i="10" s="1"/>
  <c r="N1079" i="10"/>
  <c r="O1079" i="10" s="1"/>
  <c r="K1079" i="10"/>
  <c r="D1079" i="10"/>
  <c r="C1079" i="10"/>
  <c r="P1078" i="10"/>
  <c r="Q1078" i="10" s="1"/>
  <c r="N1078" i="10"/>
  <c r="O1078" i="10" s="1"/>
  <c r="K1078" i="10"/>
  <c r="D1078" i="10"/>
  <c r="C1078" i="10"/>
  <c r="P1077" i="10"/>
  <c r="Q1077" i="10" s="1"/>
  <c r="N1077" i="10"/>
  <c r="O1077" i="10" s="1"/>
  <c r="K1077" i="10"/>
  <c r="D1077" i="10"/>
  <c r="C1077" i="10"/>
  <c r="P1076" i="10"/>
  <c r="Q1076" i="10" s="1"/>
  <c r="N1076" i="10"/>
  <c r="O1076" i="10" s="1"/>
  <c r="K1076" i="10"/>
  <c r="D1076" i="10"/>
  <c r="C1076" i="10"/>
  <c r="P1075" i="10"/>
  <c r="Q1075" i="10" s="1"/>
  <c r="N1075" i="10"/>
  <c r="O1075" i="10" s="1"/>
  <c r="K1075" i="10"/>
  <c r="D1075" i="10"/>
  <c r="C1075" i="10"/>
  <c r="P1074" i="10"/>
  <c r="Q1074" i="10" s="1"/>
  <c r="N1074" i="10"/>
  <c r="O1074" i="10" s="1"/>
  <c r="K1074" i="10"/>
  <c r="D1074" i="10"/>
  <c r="C1074" i="10"/>
  <c r="P1073" i="10"/>
  <c r="Q1073" i="10" s="1"/>
  <c r="N1073" i="10"/>
  <c r="O1073" i="10" s="1"/>
  <c r="K1073" i="10"/>
  <c r="D1073" i="10"/>
  <c r="C1073" i="10"/>
  <c r="P1072" i="10"/>
  <c r="Q1072" i="10" s="1"/>
  <c r="N1072" i="10"/>
  <c r="O1072" i="10" s="1"/>
  <c r="K1072" i="10"/>
  <c r="D1072" i="10"/>
  <c r="C1072" i="10"/>
  <c r="P1071" i="10"/>
  <c r="Q1071" i="10" s="1"/>
  <c r="N1071" i="10"/>
  <c r="O1071" i="10" s="1"/>
  <c r="K1071" i="10"/>
  <c r="D1071" i="10"/>
  <c r="C1071" i="10"/>
  <c r="P1070" i="10"/>
  <c r="Q1070" i="10" s="1"/>
  <c r="N1070" i="10"/>
  <c r="O1070" i="10" s="1"/>
  <c r="K1070" i="10"/>
  <c r="D1070" i="10"/>
  <c r="C1070" i="10"/>
  <c r="P1069" i="10"/>
  <c r="Q1069" i="10" s="1"/>
  <c r="N1069" i="10"/>
  <c r="O1069" i="10" s="1"/>
  <c r="K1069" i="10"/>
  <c r="D1069" i="10"/>
  <c r="C1069" i="10"/>
  <c r="P1068" i="10"/>
  <c r="Q1068" i="10" s="1"/>
  <c r="N1068" i="10"/>
  <c r="O1068" i="10" s="1"/>
  <c r="K1068" i="10"/>
  <c r="D1068" i="10"/>
  <c r="C1068" i="10"/>
  <c r="P1067" i="10"/>
  <c r="Q1067" i="10" s="1"/>
  <c r="N1067" i="10"/>
  <c r="O1067" i="10" s="1"/>
  <c r="K1067" i="10"/>
  <c r="D1067" i="10"/>
  <c r="C1067" i="10"/>
  <c r="P1066" i="10"/>
  <c r="Q1066" i="10" s="1"/>
  <c r="N1066" i="10"/>
  <c r="O1066" i="10" s="1"/>
  <c r="K1066" i="10"/>
  <c r="D1066" i="10"/>
  <c r="C1066" i="10"/>
  <c r="P1065" i="10"/>
  <c r="Q1065" i="10" s="1"/>
  <c r="N1065" i="10"/>
  <c r="O1065" i="10" s="1"/>
  <c r="K1065" i="10"/>
  <c r="D1065" i="10"/>
  <c r="C1065" i="10"/>
  <c r="P1064" i="10"/>
  <c r="Q1064" i="10" s="1"/>
  <c r="N1064" i="10"/>
  <c r="O1064" i="10" s="1"/>
  <c r="K1064" i="10"/>
  <c r="D1064" i="10"/>
  <c r="C1064" i="10"/>
  <c r="P1063" i="10"/>
  <c r="Q1063" i="10" s="1"/>
  <c r="N1063" i="10"/>
  <c r="O1063" i="10" s="1"/>
  <c r="K1063" i="10"/>
  <c r="D1063" i="10"/>
  <c r="C1063" i="10"/>
  <c r="P1062" i="10"/>
  <c r="Q1062" i="10" s="1"/>
  <c r="N1062" i="10"/>
  <c r="O1062" i="10" s="1"/>
  <c r="K1062" i="10"/>
  <c r="D1062" i="10"/>
  <c r="C1062" i="10"/>
  <c r="P1061" i="10"/>
  <c r="Q1061" i="10" s="1"/>
  <c r="K1061" i="10"/>
  <c r="D1061" i="10"/>
  <c r="C1061" i="10"/>
  <c r="P1060" i="10"/>
  <c r="Q1060" i="10" s="1"/>
  <c r="N1060" i="10"/>
  <c r="O1060" i="10" s="1"/>
  <c r="K1060" i="10"/>
  <c r="D1060" i="10"/>
  <c r="C1060" i="10"/>
  <c r="P1059" i="10"/>
  <c r="Q1059" i="10" s="1"/>
  <c r="N1059" i="10"/>
  <c r="O1059" i="10" s="1"/>
  <c r="K1059" i="10"/>
  <c r="D1059" i="10"/>
  <c r="C1059" i="10"/>
  <c r="P1058" i="10"/>
  <c r="Q1058" i="10" s="1"/>
  <c r="K1058" i="10"/>
  <c r="D1058" i="10"/>
  <c r="C1058" i="10"/>
  <c r="P1057" i="10"/>
  <c r="Q1057" i="10" s="1"/>
  <c r="K1057" i="10"/>
  <c r="D1057" i="10"/>
  <c r="C1057" i="10"/>
  <c r="P1056" i="10"/>
  <c r="Q1056" i="10" s="1"/>
  <c r="N1056" i="10"/>
  <c r="O1056" i="10" s="1"/>
  <c r="K1056" i="10"/>
  <c r="D1056" i="10"/>
  <c r="C1056" i="10"/>
  <c r="P1055" i="10"/>
  <c r="Q1055" i="10" s="1"/>
  <c r="N1055" i="10"/>
  <c r="O1055" i="10" s="1"/>
  <c r="K1055" i="10"/>
  <c r="D1055" i="10"/>
  <c r="C1055" i="10"/>
  <c r="P1054" i="10"/>
  <c r="Q1054" i="10" s="1"/>
  <c r="N1054" i="10"/>
  <c r="O1054" i="10" s="1"/>
  <c r="K1054" i="10"/>
  <c r="D1054" i="10"/>
  <c r="C1054" i="10"/>
  <c r="P1053" i="10"/>
  <c r="Q1053" i="10" s="1"/>
  <c r="N1053" i="10"/>
  <c r="O1053" i="10" s="1"/>
  <c r="K1053" i="10"/>
  <c r="D1053" i="10"/>
  <c r="C1053" i="10"/>
  <c r="P1052" i="10"/>
  <c r="Q1052" i="10" s="1"/>
  <c r="N1052" i="10"/>
  <c r="O1052" i="10" s="1"/>
  <c r="K1052" i="10"/>
  <c r="D1052" i="10"/>
  <c r="C1052" i="10"/>
  <c r="P1051" i="10"/>
  <c r="Q1051" i="10" s="1"/>
  <c r="N1051" i="10"/>
  <c r="O1051" i="10" s="1"/>
  <c r="K1051" i="10"/>
  <c r="D1051" i="10"/>
  <c r="C1051" i="10"/>
  <c r="P1050" i="10"/>
  <c r="Q1050" i="10" s="1"/>
  <c r="N1050" i="10"/>
  <c r="O1050" i="10" s="1"/>
  <c r="K1050" i="10"/>
  <c r="D1050" i="10"/>
  <c r="C1050" i="10"/>
  <c r="P1049" i="10"/>
  <c r="Q1049" i="10" s="1"/>
  <c r="N1049" i="10"/>
  <c r="O1049" i="10" s="1"/>
  <c r="K1049" i="10"/>
  <c r="D1049" i="10"/>
  <c r="C1049" i="10"/>
  <c r="P1048" i="10"/>
  <c r="Q1048" i="10" s="1"/>
  <c r="N1048" i="10"/>
  <c r="O1048" i="10" s="1"/>
  <c r="K1048" i="10"/>
  <c r="D1048" i="10"/>
  <c r="C1048" i="10"/>
  <c r="P1047" i="10"/>
  <c r="Q1047" i="10" s="1"/>
  <c r="N1047" i="10"/>
  <c r="O1047" i="10" s="1"/>
  <c r="K1047" i="10"/>
  <c r="D1047" i="10"/>
  <c r="C1047" i="10"/>
  <c r="P1046" i="10"/>
  <c r="Q1046" i="10" s="1"/>
  <c r="N1046" i="10"/>
  <c r="O1046" i="10" s="1"/>
  <c r="K1046" i="10"/>
  <c r="D1046" i="10"/>
  <c r="C1046" i="10"/>
  <c r="P1045" i="10"/>
  <c r="Q1045" i="10" s="1"/>
  <c r="N1045" i="10"/>
  <c r="O1045" i="10" s="1"/>
  <c r="K1045" i="10"/>
  <c r="D1045" i="10"/>
  <c r="C1045" i="10"/>
  <c r="P1044" i="10"/>
  <c r="Q1044" i="10" s="1"/>
  <c r="N1044" i="10"/>
  <c r="O1044" i="10" s="1"/>
  <c r="K1044" i="10"/>
  <c r="D1044" i="10"/>
  <c r="C1044" i="10"/>
  <c r="P1043" i="10"/>
  <c r="Q1043" i="10" s="1"/>
  <c r="N1043" i="10"/>
  <c r="O1043" i="10" s="1"/>
  <c r="K1043" i="10"/>
  <c r="D1043" i="10"/>
  <c r="C1043" i="10"/>
  <c r="P1042" i="10"/>
  <c r="Q1042" i="10" s="1"/>
  <c r="K1042" i="10"/>
  <c r="D1042" i="10"/>
  <c r="C1042" i="10"/>
  <c r="P1041" i="10"/>
  <c r="Q1041" i="10" s="1"/>
  <c r="N1041" i="10"/>
  <c r="O1041" i="10" s="1"/>
  <c r="K1041" i="10"/>
  <c r="D1041" i="10"/>
  <c r="C1041" i="10"/>
  <c r="P1040" i="10"/>
  <c r="Q1040" i="10" s="1"/>
  <c r="N1040" i="10"/>
  <c r="O1040" i="10" s="1"/>
  <c r="K1040" i="10"/>
  <c r="D1040" i="10"/>
  <c r="C1040" i="10"/>
  <c r="P1039" i="10"/>
  <c r="Q1039" i="10" s="1"/>
  <c r="N1039" i="10"/>
  <c r="O1039" i="10" s="1"/>
  <c r="K1039" i="10"/>
  <c r="D1039" i="10"/>
  <c r="C1039" i="10"/>
  <c r="P1038" i="10"/>
  <c r="Q1038" i="10" s="1"/>
  <c r="K1038" i="10"/>
  <c r="D1038" i="10"/>
  <c r="C1038" i="10"/>
  <c r="P1037" i="10"/>
  <c r="Q1037" i="10" s="1"/>
  <c r="N1037" i="10"/>
  <c r="O1037" i="10" s="1"/>
  <c r="K1037" i="10"/>
  <c r="D1037" i="10"/>
  <c r="C1037" i="10"/>
  <c r="P1036" i="10"/>
  <c r="Q1036" i="10" s="1"/>
  <c r="N1036" i="10"/>
  <c r="O1036" i="10" s="1"/>
  <c r="K1036" i="10"/>
  <c r="D1036" i="10"/>
  <c r="C1036" i="10"/>
  <c r="P1035" i="10"/>
  <c r="Q1035" i="10" s="1"/>
  <c r="N1035" i="10"/>
  <c r="O1035" i="10" s="1"/>
  <c r="K1035" i="10"/>
  <c r="D1035" i="10"/>
  <c r="C1035" i="10"/>
  <c r="P1034" i="10"/>
  <c r="Q1034" i="10" s="1"/>
  <c r="N1034" i="10"/>
  <c r="O1034" i="10" s="1"/>
  <c r="K1034" i="10"/>
  <c r="D1034" i="10"/>
  <c r="C1034" i="10"/>
  <c r="P1033" i="10"/>
  <c r="Q1033" i="10" s="1"/>
  <c r="N1033" i="10"/>
  <c r="O1033" i="10" s="1"/>
  <c r="K1033" i="10"/>
  <c r="D1033" i="10"/>
  <c r="C1033" i="10"/>
  <c r="P1032" i="10"/>
  <c r="Q1032" i="10" s="1"/>
  <c r="N1032" i="10"/>
  <c r="O1032" i="10" s="1"/>
  <c r="K1032" i="10"/>
  <c r="D1032" i="10"/>
  <c r="C1032" i="10"/>
  <c r="P1031" i="10"/>
  <c r="Q1031" i="10" s="1"/>
  <c r="K1031" i="10"/>
  <c r="D1031" i="10"/>
  <c r="C1031" i="10"/>
  <c r="P1030" i="10"/>
  <c r="Q1030" i="10" s="1"/>
  <c r="N1030" i="10"/>
  <c r="O1030" i="10" s="1"/>
  <c r="K1030" i="10"/>
  <c r="D1030" i="10"/>
  <c r="C1030" i="10"/>
  <c r="P1029" i="10"/>
  <c r="Q1029" i="10" s="1"/>
  <c r="N1029" i="10"/>
  <c r="O1029" i="10" s="1"/>
  <c r="K1029" i="10"/>
  <c r="D1029" i="10"/>
  <c r="C1029" i="10"/>
  <c r="P1028" i="10"/>
  <c r="Q1028" i="10" s="1"/>
  <c r="K1028" i="10"/>
  <c r="D1028" i="10"/>
  <c r="C1028" i="10"/>
  <c r="P1027" i="10"/>
  <c r="Q1027" i="10" s="1"/>
  <c r="N1027" i="10"/>
  <c r="O1027" i="10" s="1"/>
  <c r="K1027" i="10"/>
  <c r="D1027" i="10"/>
  <c r="C1027" i="10"/>
  <c r="P1026" i="10"/>
  <c r="Q1026" i="10" s="1"/>
  <c r="N1026" i="10"/>
  <c r="O1026" i="10" s="1"/>
  <c r="K1026" i="10"/>
  <c r="D1026" i="10"/>
  <c r="C1026" i="10"/>
  <c r="P1025" i="10"/>
  <c r="Q1025" i="10" s="1"/>
  <c r="K1025" i="10"/>
  <c r="D1025" i="10"/>
  <c r="C1025" i="10"/>
  <c r="P1024" i="10"/>
  <c r="Q1024" i="10" s="1"/>
  <c r="N1024" i="10"/>
  <c r="O1024" i="10" s="1"/>
  <c r="K1024" i="10"/>
  <c r="D1024" i="10"/>
  <c r="C1024" i="10"/>
  <c r="P1023" i="10"/>
  <c r="Q1023" i="10" s="1"/>
  <c r="N1023" i="10"/>
  <c r="O1023" i="10" s="1"/>
  <c r="K1023" i="10"/>
  <c r="D1023" i="10"/>
  <c r="C1023" i="10"/>
  <c r="P1022" i="10"/>
  <c r="Q1022" i="10" s="1"/>
  <c r="N1022" i="10"/>
  <c r="O1022" i="10" s="1"/>
  <c r="K1022" i="10"/>
  <c r="D1022" i="10"/>
  <c r="C1022" i="10"/>
  <c r="P1021" i="10"/>
  <c r="Q1021" i="10" s="1"/>
  <c r="K1021" i="10"/>
  <c r="D1021" i="10"/>
  <c r="C1021" i="10"/>
  <c r="P1020" i="10"/>
  <c r="Q1020" i="10" s="1"/>
  <c r="N1020" i="10"/>
  <c r="O1020" i="10" s="1"/>
  <c r="K1020" i="10"/>
  <c r="D1020" i="10"/>
  <c r="C1020" i="10"/>
  <c r="P1019" i="10"/>
  <c r="Q1019" i="10" s="1"/>
  <c r="N1019" i="10"/>
  <c r="O1019" i="10" s="1"/>
  <c r="K1019" i="10"/>
  <c r="D1019" i="10"/>
  <c r="C1019" i="10"/>
  <c r="P1018" i="10"/>
  <c r="Q1018" i="10" s="1"/>
  <c r="N1018" i="10"/>
  <c r="O1018" i="10" s="1"/>
  <c r="K1018" i="10"/>
  <c r="D1018" i="10"/>
  <c r="C1018" i="10"/>
  <c r="P1017" i="10"/>
  <c r="Q1017" i="10" s="1"/>
  <c r="N1017" i="10"/>
  <c r="O1017" i="10" s="1"/>
  <c r="K1017" i="10"/>
  <c r="D1017" i="10"/>
  <c r="C1017" i="10"/>
  <c r="P1016" i="10"/>
  <c r="Q1016" i="10" s="1"/>
  <c r="N1016" i="10"/>
  <c r="O1016" i="10" s="1"/>
  <c r="K1016" i="10"/>
  <c r="D1016" i="10"/>
  <c r="C1016" i="10"/>
  <c r="P1015" i="10"/>
  <c r="Q1015" i="10" s="1"/>
  <c r="N1015" i="10"/>
  <c r="O1015" i="10" s="1"/>
  <c r="K1015" i="10"/>
  <c r="D1015" i="10"/>
  <c r="C1015" i="10"/>
  <c r="P1014" i="10"/>
  <c r="Q1014" i="10" s="1"/>
  <c r="N1014" i="10"/>
  <c r="O1014" i="10" s="1"/>
  <c r="K1014" i="10"/>
  <c r="D1014" i="10"/>
  <c r="C1014" i="10"/>
  <c r="P1013" i="10"/>
  <c r="Q1013" i="10" s="1"/>
  <c r="N1013" i="10"/>
  <c r="O1013" i="10" s="1"/>
  <c r="K1013" i="10"/>
  <c r="D1013" i="10"/>
  <c r="C1013" i="10"/>
  <c r="P1012" i="10"/>
  <c r="Q1012" i="10" s="1"/>
  <c r="N1012" i="10"/>
  <c r="O1012" i="10" s="1"/>
  <c r="K1012" i="10"/>
  <c r="D1012" i="10"/>
  <c r="C1012" i="10"/>
  <c r="P1011" i="10"/>
  <c r="Q1011" i="10" s="1"/>
  <c r="N1011" i="10"/>
  <c r="O1011" i="10" s="1"/>
  <c r="K1011" i="10"/>
  <c r="D1011" i="10"/>
  <c r="C1011" i="10"/>
  <c r="P1010" i="10"/>
  <c r="Q1010" i="10" s="1"/>
  <c r="N1010" i="10"/>
  <c r="O1010" i="10" s="1"/>
  <c r="K1010" i="10"/>
  <c r="D1010" i="10"/>
  <c r="C1010" i="10"/>
  <c r="P1009" i="10"/>
  <c r="Q1009" i="10" s="1"/>
  <c r="N1009" i="10"/>
  <c r="O1009" i="10" s="1"/>
  <c r="K1009" i="10"/>
  <c r="D1009" i="10"/>
  <c r="C1009" i="10"/>
  <c r="P1008" i="10"/>
  <c r="Q1008" i="10" s="1"/>
  <c r="K1008" i="10"/>
  <c r="D1008" i="10"/>
  <c r="C1008" i="10"/>
  <c r="P1007" i="10"/>
  <c r="Q1007" i="10" s="1"/>
  <c r="N1007" i="10"/>
  <c r="O1007" i="10" s="1"/>
  <c r="K1007" i="10"/>
  <c r="D1007" i="10"/>
  <c r="C1007" i="10"/>
  <c r="P1006" i="10"/>
  <c r="Q1006" i="10" s="1"/>
  <c r="N1006" i="10"/>
  <c r="O1006" i="10" s="1"/>
  <c r="K1006" i="10"/>
  <c r="D1006" i="10"/>
  <c r="C1006" i="10"/>
  <c r="P1005" i="10"/>
  <c r="Q1005" i="10" s="1"/>
  <c r="N1005" i="10"/>
  <c r="O1005" i="10" s="1"/>
  <c r="K1005" i="10"/>
  <c r="D1005" i="10"/>
  <c r="C1005" i="10"/>
  <c r="P1004" i="10"/>
  <c r="Q1004" i="10" s="1"/>
  <c r="N1004" i="10"/>
  <c r="O1004" i="10" s="1"/>
  <c r="K1004" i="10"/>
  <c r="D1004" i="10"/>
  <c r="C1004" i="10"/>
  <c r="P1003" i="10"/>
  <c r="Q1003" i="10" s="1"/>
  <c r="N1003" i="10"/>
  <c r="O1003" i="10" s="1"/>
  <c r="K1003" i="10"/>
  <c r="D1003" i="10"/>
  <c r="C1003" i="10"/>
  <c r="P1002" i="10"/>
  <c r="Q1002" i="10" s="1"/>
  <c r="N1002" i="10"/>
  <c r="O1002" i="10" s="1"/>
  <c r="K1002" i="10"/>
  <c r="D1002" i="10"/>
  <c r="C1002" i="10"/>
  <c r="P1001" i="10"/>
  <c r="Q1001" i="10" s="1"/>
  <c r="N1001" i="10"/>
  <c r="O1001" i="10" s="1"/>
  <c r="K1001" i="10"/>
  <c r="D1001" i="10"/>
  <c r="C1001" i="10"/>
  <c r="P1000" i="10"/>
  <c r="Q1000" i="10" s="1"/>
  <c r="N1000" i="10"/>
  <c r="O1000" i="10" s="1"/>
  <c r="K1000" i="10"/>
  <c r="D1000" i="10"/>
  <c r="C1000" i="10"/>
  <c r="P999" i="10"/>
  <c r="Q999" i="10" s="1"/>
  <c r="N999" i="10"/>
  <c r="O999" i="10" s="1"/>
  <c r="K999" i="10"/>
  <c r="D999" i="10"/>
  <c r="C999" i="10"/>
  <c r="P998" i="10"/>
  <c r="Q998" i="10" s="1"/>
  <c r="N998" i="10"/>
  <c r="O998" i="10" s="1"/>
  <c r="K998" i="10"/>
  <c r="D998" i="10"/>
  <c r="C998" i="10"/>
  <c r="P997" i="10"/>
  <c r="Q997" i="10" s="1"/>
  <c r="N997" i="10"/>
  <c r="O997" i="10" s="1"/>
  <c r="K997" i="10"/>
  <c r="D997" i="10"/>
  <c r="C997" i="10"/>
  <c r="P996" i="10"/>
  <c r="Q996" i="10" s="1"/>
  <c r="N996" i="10"/>
  <c r="O996" i="10" s="1"/>
  <c r="K996" i="10"/>
  <c r="D996" i="10"/>
  <c r="C996" i="10"/>
  <c r="P995" i="10"/>
  <c r="Q995" i="10" s="1"/>
  <c r="K995" i="10"/>
  <c r="D995" i="10"/>
  <c r="C995" i="10"/>
  <c r="P994" i="10"/>
  <c r="Q994" i="10" s="1"/>
  <c r="K994" i="10"/>
  <c r="D994" i="10"/>
  <c r="C994" i="10"/>
  <c r="P993" i="10"/>
  <c r="Q993" i="10" s="1"/>
  <c r="K993" i="10"/>
  <c r="D993" i="10"/>
  <c r="C993" i="10"/>
  <c r="P992" i="10"/>
  <c r="Q992" i="10" s="1"/>
  <c r="K992" i="10"/>
  <c r="D992" i="10"/>
  <c r="C992" i="10"/>
  <c r="P991" i="10"/>
  <c r="Q991" i="10" s="1"/>
  <c r="N991" i="10"/>
  <c r="O991" i="10" s="1"/>
  <c r="K991" i="10"/>
  <c r="D991" i="10"/>
  <c r="C991" i="10"/>
  <c r="P990" i="10"/>
  <c r="Q990" i="10" s="1"/>
  <c r="K990" i="10"/>
  <c r="D990" i="10"/>
  <c r="C990" i="10"/>
  <c r="P989" i="10"/>
  <c r="Q989" i="10" s="1"/>
  <c r="K989" i="10"/>
  <c r="D989" i="10"/>
  <c r="C989" i="10"/>
  <c r="P988" i="10"/>
  <c r="Q988" i="10" s="1"/>
  <c r="K988" i="10"/>
  <c r="D988" i="10"/>
  <c r="C988" i="10"/>
  <c r="P987" i="10"/>
  <c r="Q987" i="10" s="1"/>
  <c r="K987" i="10"/>
  <c r="D987" i="10"/>
  <c r="C987" i="10"/>
  <c r="P986" i="10"/>
  <c r="Q986" i="10" s="1"/>
  <c r="N986" i="10"/>
  <c r="O986" i="10" s="1"/>
  <c r="K986" i="10"/>
  <c r="D986" i="10"/>
  <c r="C986" i="10"/>
  <c r="P985" i="10"/>
  <c r="Q985" i="10" s="1"/>
  <c r="K985" i="10"/>
  <c r="D985" i="10"/>
  <c r="C985" i="10"/>
  <c r="P984" i="10"/>
  <c r="Q984" i="10" s="1"/>
  <c r="N984" i="10"/>
  <c r="O984" i="10" s="1"/>
  <c r="K984" i="10"/>
  <c r="D984" i="10"/>
  <c r="C984" i="10"/>
  <c r="P983" i="10"/>
  <c r="Q983" i="10" s="1"/>
  <c r="N983" i="10"/>
  <c r="O983" i="10" s="1"/>
  <c r="K983" i="10"/>
  <c r="D983" i="10"/>
  <c r="C983" i="10"/>
  <c r="P982" i="10"/>
  <c r="Q982" i="10" s="1"/>
  <c r="N982" i="10"/>
  <c r="O982" i="10" s="1"/>
  <c r="K982" i="10"/>
  <c r="D982" i="10"/>
  <c r="C982" i="10"/>
  <c r="P981" i="10"/>
  <c r="Q981" i="10" s="1"/>
  <c r="N981" i="10"/>
  <c r="O981" i="10" s="1"/>
  <c r="K981" i="10"/>
  <c r="D981" i="10"/>
  <c r="C981" i="10"/>
  <c r="P980" i="10"/>
  <c r="Q980" i="10" s="1"/>
  <c r="K980" i="10"/>
  <c r="D980" i="10"/>
  <c r="C980" i="10"/>
  <c r="P979" i="10"/>
  <c r="Q979" i="10" s="1"/>
  <c r="K979" i="10"/>
  <c r="D979" i="10"/>
  <c r="C979" i="10"/>
  <c r="P978" i="10"/>
  <c r="Q978" i="10" s="1"/>
  <c r="K978" i="10"/>
  <c r="D978" i="10"/>
  <c r="C978" i="10"/>
  <c r="P977" i="10"/>
  <c r="Q977" i="10" s="1"/>
  <c r="N977" i="10"/>
  <c r="O977" i="10" s="1"/>
  <c r="K977" i="10"/>
  <c r="D977" i="10"/>
  <c r="C977" i="10"/>
  <c r="P976" i="10"/>
  <c r="Q976" i="10" s="1"/>
  <c r="K976" i="10"/>
  <c r="D976" i="10"/>
  <c r="C976" i="10"/>
  <c r="P975" i="10"/>
  <c r="Q975" i="10" s="1"/>
  <c r="N975" i="10"/>
  <c r="O975" i="10" s="1"/>
  <c r="K975" i="10"/>
  <c r="D975" i="10"/>
  <c r="C975" i="10"/>
  <c r="P974" i="10"/>
  <c r="Q974" i="10" s="1"/>
  <c r="K974" i="10"/>
  <c r="D974" i="10"/>
  <c r="C974" i="10"/>
  <c r="P973" i="10"/>
  <c r="Q973" i="10" s="1"/>
  <c r="N973" i="10"/>
  <c r="O973" i="10" s="1"/>
  <c r="K973" i="10"/>
  <c r="D973" i="10"/>
  <c r="C973" i="10"/>
  <c r="P972" i="10"/>
  <c r="Q972" i="10" s="1"/>
  <c r="N972" i="10"/>
  <c r="O972" i="10" s="1"/>
  <c r="K972" i="10"/>
  <c r="D972" i="10"/>
  <c r="C972" i="10"/>
  <c r="P971" i="10"/>
  <c r="Q971" i="10" s="1"/>
  <c r="K971" i="10"/>
  <c r="D971" i="10"/>
  <c r="C971" i="10"/>
  <c r="P970" i="10"/>
  <c r="Q970" i="10" s="1"/>
  <c r="N970" i="10"/>
  <c r="O970" i="10" s="1"/>
  <c r="K970" i="10"/>
  <c r="D970" i="10"/>
  <c r="C970" i="10"/>
  <c r="P969" i="10"/>
  <c r="Q969" i="10" s="1"/>
  <c r="K969" i="10"/>
  <c r="D969" i="10"/>
  <c r="C969" i="10"/>
  <c r="P968" i="10"/>
  <c r="Q968" i="10" s="1"/>
  <c r="N968" i="10"/>
  <c r="O968" i="10" s="1"/>
  <c r="K968" i="10"/>
  <c r="D968" i="10"/>
  <c r="C968" i="10"/>
  <c r="P967" i="10"/>
  <c r="Q967" i="10" s="1"/>
  <c r="K967" i="10"/>
  <c r="D967" i="10"/>
  <c r="C967" i="10"/>
  <c r="P966" i="10"/>
  <c r="Q966" i="10" s="1"/>
  <c r="K966" i="10"/>
  <c r="D966" i="10"/>
  <c r="C966" i="10"/>
  <c r="P965" i="10"/>
  <c r="Q965" i="10" s="1"/>
  <c r="N965" i="10"/>
  <c r="O965" i="10" s="1"/>
  <c r="K965" i="10"/>
  <c r="D965" i="10"/>
  <c r="C965" i="10"/>
  <c r="P964" i="10"/>
  <c r="Q964" i="10" s="1"/>
  <c r="K964" i="10"/>
  <c r="D964" i="10"/>
  <c r="C964" i="10"/>
  <c r="P963" i="10"/>
  <c r="Q963" i="10" s="1"/>
  <c r="K963" i="10"/>
  <c r="D963" i="10"/>
  <c r="C963" i="10"/>
  <c r="P962" i="10"/>
  <c r="Q962" i="10" s="1"/>
  <c r="N962" i="10"/>
  <c r="O962" i="10" s="1"/>
  <c r="K962" i="10"/>
  <c r="D962" i="10"/>
  <c r="C962" i="10"/>
  <c r="P961" i="10"/>
  <c r="Q961" i="10" s="1"/>
  <c r="K961" i="10"/>
  <c r="D961" i="10"/>
  <c r="C961" i="10"/>
  <c r="P960" i="10"/>
  <c r="Q960" i="10" s="1"/>
  <c r="N960" i="10"/>
  <c r="O960" i="10" s="1"/>
  <c r="K960" i="10"/>
  <c r="D960" i="10"/>
  <c r="C960" i="10"/>
  <c r="P959" i="10"/>
  <c r="Q959" i="10" s="1"/>
  <c r="N959" i="10"/>
  <c r="O959" i="10" s="1"/>
  <c r="K959" i="10"/>
  <c r="D959" i="10"/>
  <c r="C959" i="10"/>
  <c r="P958" i="10"/>
  <c r="Q958" i="10" s="1"/>
  <c r="K958" i="10"/>
  <c r="D958" i="10"/>
  <c r="C958" i="10"/>
  <c r="P957" i="10"/>
  <c r="Q957" i="10" s="1"/>
  <c r="K957" i="10"/>
  <c r="D957" i="10"/>
  <c r="C957" i="10"/>
  <c r="P956" i="10"/>
  <c r="Q956" i="10" s="1"/>
  <c r="K956" i="10"/>
  <c r="D956" i="10"/>
  <c r="C956" i="10"/>
  <c r="P955" i="10"/>
  <c r="Q955" i="10" s="1"/>
  <c r="K955" i="10"/>
  <c r="D955" i="10"/>
  <c r="C955" i="10"/>
  <c r="P954" i="10"/>
  <c r="Q954" i="10" s="1"/>
  <c r="K954" i="10"/>
  <c r="D954" i="10"/>
  <c r="C954" i="10"/>
  <c r="P953" i="10"/>
  <c r="Q953" i="10" s="1"/>
  <c r="N953" i="10"/>
  <c r="O953" i="10" s="1"/>
  <c r="K953" i="10"/>
  <c r="D953" i="10"/>
  <c r="C953" i="10"/>
  <c r="P952" i="10"/>
  <c r="Q952" i="10" s="1"/>
  <c r="N952" i="10"/>
  <c r="O952" i="10" s="1"/>
  <c r="K952" i="10"/>
  <c r="D952" i="10"/>
  <c r="C952" i="10"/>
  <c r="P951" i="10"/>
  <c r="Q951" i="10" s="1"/>
  <c r="K951" i="10"/>
  <c r="D951" i="10"/>
  <c r="C951" i="10"/>
  <c r="P950" i="10"/>
  <c r="Q950" i="10" s="1"/>
  <c r="N950" i="10"/>
  <c r="O950" i="10" s="1"/>
  <c r="K950" i="10"/>
  <c r="D950" i="10"/>
  <c r="C950" i="10"/>
  <c r="P949" i="10"/>
  <c r="Q949" i="10" s="1"/>
  <c r="N949" i="10"/>
  <c r="O949" i="10" s="1"/>
  <c r="K949" i="10"/>
  <c r="D949" i="10"/>
  <c r="C949" i="10"/>
  <c r="P948" i="10"/>
  <c r="Q948" i="10" s="1"/>
  <c r="N948" i="10"/>
  <c r="O948" i="10" s="1"/>
  <c r="K948" i="10"/>
  <c r="D948" i="10"/>
  <c r="C948" i="10"/>
  <c r="P947" i="10"/>
  <c r="Q947" i="10" s="1"/>
  <c r="N947" i="10"/>
  <c r="O947" i="10" s="1"/>
  <c r="K947" i="10"/>
  <c r="D947" i="10"/>
  <c r="C947" i="10"/>
  <c r="P946" i="10"/>
  <c r="Q946" i="10" s="1"/>
  <c r="N946" i="10"/>
  <c r="O946" i="10" s="1"/>
  <c r="K946" i="10"/>
  <c r="D946" i="10"/>
  <c r="C946" i="10"/>
  <c r="P945" i="10"/>
  <c r="Q945" i="10" s="1"/>
  <c r="K945" i="10"/>
  <c r="D945" i="10"/>
  <c r="C945" i="10"/>
  <c r="P944" i="10"/>
  <c r="Q944" i="10" s="1"/>
  <c r="K944" i="10"/>
  <c r="D944" i="10"/>
  <c r="C944" i="10"/>
  <c r="P943" i="10"/>
  <c r="Q943" i="10" s="1"/>
  <c r="K943" i="10"/>
  <c r="D943" i="10"/>
  <c r="C943" i="10"/>
  <c r="P942" i="10"/>
  <c r="Q942" i="10" s="1"/>
  <c r="K942" i="10"/>
  <c r="D942" i="10"/>
  <c r="C942" i="10"/>
  <c r="P941" i="10"/>
  <c r="Q941" i="10" s="1"/>
  <c r="N941" i="10"/>
  <c r="O941" i="10" s="1"/>
  <c r="K941" i="10"/>
  <c r="D941" i="10"/>
  <c r="C941" i="10"/>
  <c r="P940" i="10"/>
  <c r="Q940" i="10" s="1"/>
  <c r="N940" i="10"/>
  <c r="O940" i="10" s="1"/>
  <c r="K940" i="10"/>
  <c r="D940" i="10"/>
  <c r="C940" i="10"/>
  <c r="P939" i="10"/>
  <c r="Q939" i="10" s="1"/>
  <c r="K939" i="10"/>
  <c r="D939" i="10"/>
  <c r="C939" i="10"/>
  <c r="P938" i="10"/>
  <c r="Q938" i="10" s="1"/>
  <c r="N938" i="10"/>
  <c r="O938" i="10" s="1"/>
  <c r="K938" i="10"/>
  <c r="D938" i="10"/>
  <c r="C938" i="10"/>
  <c r="P937" i="10"/>
  <c r="Q937" i="10" s="1"/>
  <c r="K937" i="10"/>
  <c r="D937" i="10"/>
  <c r="C937" i="10"/>
  <c r="P936" i="10"/>
  <c r="Q936" i="10" s="1"/>
  <c r="N936" i="10"/>
  <c r="O936" i="10" s="1"/>
  <c r="K936" i="10"/>
  <c r="D936" i="10"/>
  <c r="C936" i="10"/>
  <c r="P935" i="10"/>
  <c r="Q935" i="10" s="1"/>
  <c r="K935" i="10"/>
  <c r="D935" i="10"/>
  <c r="C935" i="10"/>
  <c r="P934" i="10"/>
  <c r="Q934" i="10" s="1"/>
  <c r="K934" i="10"/>
  <c r="D934" i="10"/>
  <c r="C934" i="10"/>
  <c r="P933" i="10"/>
  <c r="Q933" i="10" s="1"/>
  <c r="N933" i="10"/>
  <c r="O933" i="10" s="1"/>
  <c r="K933" i="10"/>
  <c r="D933" i="10"/>
  <c r="C933" i="10"/>
  <c r="P932" i="10"/>
  <c r="Q932" i="10" s="1"/>
  <c r="N932" i="10"/>
  <c r="O932" i="10" s="1"/>
  <c r="K932" i="10"/>
  <c r="D932" i="10"/>
  <c r="C932" i="10"/>
  <c r="P931" i="10"/>
  <c r="Q931" i="10" s="1"/>
  <c r="K931" i="10"/>
  <c r="D931" i="10"/>
  <c r="C931" i="10"/>
  <c r="P930" i="10"/>
  <c r="Q930" i="10" s="1"/>
  <c r="N930" i="10"/>
  <c r="O930" i="10" s="1"/>
  <c r="K930" i="10"/>
  <c r="D930" i="10"/>
  <c r="C930" i="10"/>
  <c r="P929" i="10"/>
  <c r="Q929" i="10" s="1"/>
  <c r="K929" i="10"/>
  <c r="D929" i="10"/>
  <c r="C929" i="10"/>
  <c r="P928" i="10"/>
  <c r="Q928" i="10" s="1"/>
  <c r="K928" i="10"/>
  <c r="D928" i="10"/>
  <c r="C928" i="10"/>
  <c r="P927" i="10"/>
  <c r="Q927" i="10" s="1"/>
  <c r="K927" i="10"/>
  <c r="D927" i="10"/>
  <c r="C927" i="10"/>
  <c r="P926" i="10"/>
  <c r="Q926" i="10" s="1"/>
  <c r="K926" i="10"/>
  <c r="D926" i="10"/>
  <c r="C926" i="10"/>
  <c r="P925" i="10"/>
  <c r="Q925" i="10" s="1"/>
  <c r="K925" i="10"/>
  <c r="D925" i="10"/>
  <c r="C925" i="10"/>
  <c r="P924" i="10"/>
  <c r="Q924" i="10" s="1"/>
  <c r="K924" i="10"/>
  <c r="D924" i="10"/>
  <c r="C924" i="10"/>
  <c r="P923" i="10"/>
  <c r="Q923" i="10" s="1"/>
  <c r="N923" i="10"/>
  <c r="O923" i="10" s="1"/>
  <c r="K923" i="10"/>
  <c r="D923" i="10"/>
  <c r="C923" i="10"/>
  <c r="P922" i="10"/>
  <c r="Q922" i="10" s="1"/>
  <c r="N922" i="10"/>
  <c r="O922" i="10" s="1"/>
  <c r="K922" i="10"/>
  <c r="D922" i="10"/>
  <c r="C922" i="10"/>
  <c r="P921" i="10"/>
  <c r="Q921" i="10" s="1"/>
  <c r="K921" i="10"/>
  <c r="D921" i="10"/>
  <c r="C921" i="10"/>
  <c r="P920" i="10"/>
  <c r="Q920" i="10" s="1"/>
  <c r="K920" i="10"/>
  <c r="D920" i="10"/>
  <c r="C920" i="10"/>
  <c r="P919" i="10"/>
  <c r="Q919" i="10" s="1"/>
  <c r="K919" i="10"/>
  <c r="D919" i="10"/>
  <c r="C919" i="10"/>
  <c r="P918" i="10"/>
  <c r="Q918" i="10" s="1"/>
  <c r="N918" i="10"/>
  <c r="O918" i="10" s="1"/>
  <c r="K918" i="10"/>
  <c r="D918" i="10"/>
  <c r="C918" i="10"/>
  <c r="P917" i="10"/>
  <c r="Q917" i="10" s="1"/>
  <c r="K917" i="10"/>
  <c r="D917" i="10"/>
  <c r="C917" i="10"/>
  <c r="P916" i="10"/>
  <c r="Q916" i="10" s="1"/>
  <c r="K916" i="10"/>
  <c r="D916" i="10"/>
  <c r="C916" i="10"/>
  <c r="P915" i="10"/>
  <c r="Q915" i="10" s="1"/>
  <c r="N915" i="10"/>
  <c r="O915" i="10" s="1"/>
  <c r="K915" i="10"/>
  <c r="D915" i="10"/>
  <c r="C915" i="10"/>
  <c r="P914" i="10"/>
  <c r="Q914" i="10" s="1"/>
  <c r="K914" i="10"/>
  <c r="D914" i="10"/>
  <c r="C914" i="10"/>
  <c r="P913" i="10"/>
  <c r="Q913" i="10" s="1"/>
  <c r="K913" i="10"/>
  <c r="D913" i="10"/>
  <c r="C913" i="10"/>
  <c r="P912" i="10"/>
  <c r="Q912" i="10" s="1"/>
  <c r="N912" i="10"/>
  <c r="O912" i="10" s="1"/>
  <c r="K912" i="10"/>
  <c r="D912" i="10"/>
  <c r="C912" i="10"/>
  <c r="P911" i="10"/>
  <c r="Q911" i="10" s="1"/>
  <c r="K911" i="10"/>
  <c r="D911" i="10"/>
  <c r="C911" i="10"/>
  <c r="P910" i="10"/>
  <c r="Q910" i="10" s="1"/>
  <c r="N910" i="10"/>
  <c r="O910" i="10" s="1"/>
  <c r="K910" i="10"/>
  <c r="D910" i="10"/>
  <c r="C910" i="10"/>
  <c r="P909" i="10"/>
  <c r="Q909" i="10" s="1"/>
  <c r="N909" i="10"/>
  <c r="O909" i="10" s="1"/>
  <c r="K909" i="10"/>
  <c r="D909" i="10"/>
  <c r="C909" i="10"/>
  <c r="P908" i="10"/>
  <c r="Q908" i="10" s="1"/>
  <c r="N908" i="10"/>
  <c r="O908" i="10" s="1"/>
  <c r="K908" i="10"/>
  <c r="D908" i="10"/>
  <c r="C908" i="10"/>
  <c r="P907" i="10"/>
  <c r="Q907" i="10" s="1"/>
  <c r="N907" i="10"/>
  <c r="O907" i="10" s="1"/>
  <c r="K907" i="10"/>
  <c r="D907" i="10"/>
  <c r="C907" i="10"/>
  <c r="P906" i="10"/>
  <c r="Q906" i="10" s="1"/>
  <c r="K906" i="10"/>
  <c r="D906" i="10"/>
  <c r="C906" i="10"/>
  <c r="P905" i="10"/>
  <c r="Q905" i="10" s="1"/>
  <c r="K905" i="10"/>
  <c r="D905" i="10"/>
  <c r="C905" i="10"/>
  <c r="P904" i="10"/>
  <c r="Q904" i="10" s="1"/>
  <c r="K904" i="10"/>
  <c r="D904" i="10"/>
  <c r="C904" i="10"/>
  <c r="P903" i="10"/>
  <c r="Q903" i="10" s="1"/>
  <c r="N903" i="10"/>
  <c r="O903" i="10" s="1"/>
  <c r="K903" i="10"/>
  <c r="D903" i="10"/>
  <c r="C903" i="10"/>
  <c r="P902" i="10"/>
  <c r="Q902" i="10" s="1"/>
  <c r="K902" i="10"/>
  <c r="D902" i="10"/>
  <c r="C902" i="10"/>
  <c r="P901" i="10"/>
  <c r="Q901" i="10" s="1"/>
  <c r="N901" i="10"/>
  <c r="O901" i="10" s="1"/>
  <c r="K901" i="10"/>
  <c r="D901" i="10"/>
  <c r="C901" i="10"/>
  <c r="P900" i="10"/>
  <c r="Q900" i="10" s="1"/>
  <c r="N900" i="10"/>
  <c r="O900" i="10" s="1"/>
  <c r="K900" i="10"/>
  <c r="D900" i="10"/>
  <c r="C900" i="10"/>
  <c r="P899" i="10"/>
  <c r="Q899" i="10" s="1"/>
  <c r="N899" i="10"/>
  <c r="O899" i="10" s="1"/>
  <c r="K899" i="10"/>
  <c r="D899" i="10"/>
  <c r="C899" i="10"/>
  <c r="P898" i="10"/>
  <c r="Q898" i="10" s="1"/>
  <c r="N898" i="10"/>
  <c r="O898" i="10" s="1"/>
  <c r="K898" i="10"/>
  <c r="D898" i="10"/>
  <c r="C898" i="10"/>
  <c r="P897" i="10"/>
  <c r="Q897" i="10" s="1"/>
  <c r="K897" i="10"/>
  <c r="D897" i="10"/>
  <c r="C897" i="10"/>
  <c r="P896" i="10"/>
  <c r="Q896" i="10" s="1"/>
  <c r="K896" i="10"/>
  <c r="D896" i="10"/>
  <c r="C896" i="10"/>
  <c r="P895" i="10"/>
  <c r="Q895" i="10" s="1"/>
  <c r="K895" i="10"/>
  <c r="D895" i="10"/>
  <c r="C895" i="10"/>
  <c r="P894" i="10"/>
  <c r="Q894" i="10" s="1"/>
  <c r="K894" i="10"/>
  <c r="D894" i="10"/>
  <c r="C894" i="10"/>
  <c r="P893" i="10"/>
  <c r="Q893" i="10" s="1"/>
  <c r="N893" i="10"/>
  <c r="O893" i="10" s="1"/>
  <c r="K893" i="10"/>
  <c r="D893" i="10"/>
  <c r="C893" i="10"/>
  <c r="P892" i="10"/>
  <c r="Q892" i="10" s="1"/>
  <c r="K892" i="10"/>
  <c r="D892" i="10"/>
  <c r="C892" i="10"/>
  <c r="P891" i="10"/>
  <c r="Q891" i="10" s="1"/>
  <c r="N891" i="10"/>
  <c r="O891" i="10" s="1"/>
  <c r="K891" i="10"/>
  <c r="D891" i="10"/>
  <c r="C891" i="10"/>
  <c r="P890" i="10"/>
  <c r="Q890" i="10" s="1"/>
  <c r="K890" i="10"/>
  <c r="D890" i="10"/>
  <c r="C890" i="10"/>
  <c r="P889" i="10"/>
  <c r="Q889" i="10" s="1"/>
  <c r="N889" i="10"/>
  <c r="O889" i="10" s="1"/>
  <c r="K889" i="10"/>
  <c r="D889" i="10"/>
  <c r="C889" i="10"/>
  <c r="P888" i="10"/>
  <c r="Q888" i="10" s="1"/>
  <c r="N888" i="10"/>
  <c r="O888" i="10" s="1"/>
  <c r="K888" i="10"/>
  <c r="D888" i="10"/>
  <c r="C888" i="10"/>
  <c r="P887" i="10"/>
  <c r="Q887" i="10" s="1"/>
  <c r="K887" i="10"/>
  <c r="D887" i="10"/>
  <c r="C887" i="10"/>
  <c r="P886" i="10"/>
  <c r="Q886" i="10" s="1"/>
  <c r="K886" i="10"/>
  <c r="D886" i="10"/>
  <c r="C886" i="10"/>
  <c r="P885" i="10"/>
  <c r="Q885" i="10" s="1"/>
  <c r="K885" i="10"/>
  <c r="D885" i="10"/>
  <c r="C885" i="10"/>
  <c r="P884" i="10"/>
  <c r="Q884" i="10" s="1"/>
  <c r="K884" i="10"/>
  <c r="D884" i="10"/>
  <c r="C884" i="10"/>
  <c r="P883" i="10"/>
  <c r="Q883" i="10" s="1"/>
  <c r="K883" i="10"/>
  <c r="D883" i="10"/>
  <c r="C883" i="10"/>
  <c r="P882" i="10"/>
  <c r="Q882" i="10" s="1"/>
  <c r="K882" i="10"/>
  <c r="D882" i="10"/>
  <c r="C882" i="10"/>
  <c r="P881" i="10"/>
  <c r="Q881" i="10" s="1"/>
  <c r="N881" i="10"/>
  <c r="O881" i="10" s="1"/>
  <c r="K881" i="10"/>
  <c r="D881" i="10"/>
  <c r="C881" i="10"/>
  <c r="P880" i="10"/>
  <c r="Q880" i="10" s="1"/>
  <c r="K880" i="10"/>
  <c r="D880" i="10"/>
  <c r="C880" i="10"/>
  <c r="P879" i="10"/>
  <c r="Q879" i="10" s="1"/>
  <c r="N879" i="10"/>
  <c r="O879" i="10" s="1"/>
  <c r="K879" i="10"/>
  <c r="D879" i="10"/>
  <c r="C879" i="10"/>
  <c r="P878" i="10"/>
  <c r="Q878" i="10" s="1"/>
  <c r="N878" i="10"/>
  <c r="O878" i="10" s="1"/>
  <c r="K878" i="10"/>
  <c r="D878" i="10"/>
  <c r="C878" i="10"/>
  <c r="P877" i="10"/>
  <c r="Q877" i="10" s="1"/>
  <c r="K877" i="10"/>
  <c r="D877" i="10"/>
  <c r="C877" i="10"/>
  <c r="P876" i="10"/>
  <c r="Q876" i="10" s="1"/>
  <c r="N876" i="10"/>
  <c r="O876" i="10" s="1"/>
  <c r="K876" i="10"/>
  <c r="D876" i="10"/>
  <c r="C876" i="10"/>
  <c r="P875" i="10"/>
  <c r="Q875" i="10" s="1"/>
  <c r="K875" i="10"/>
  <c r="D875" i="10"/>
  <c r="C875" i="10"/>
  <c r="P874" i="10"/>
  <c r="Q874" i="10" s="1"/>
  <c r="N874" i="10"/>
  <c r="O874" i="10" s="1"/>
  <c r="K874" i="10"/>
  <c r="D874" i="10"/>
  <c r="C874" i="10"/>
  <c r="P873" i="10"/>
  <c r="Q873" i="10" s="1"/>
  <c r="K873" i="10"/>
  <c r="D873" i="10"/>
  <c r="C873" i="10"/>
  <c r="P872" i="10"/>
  <c r="Q872" i="10" s="1"/>
  <c r="N872" i="10"/>
  <c r="O872" i="10" s="1"/>
  <c r="K872" i="10"/>
  <c r="D872" i="10"/>
  <c r="C872" i="10"/>
  <c r="P871" i="10"/>
  <c r="Q871" i="10" s="1"/>
  <c r="N871" i="10"/>
  <c r="O871" i="10" s="1"/>
  <c r="K871" i="10"/>
  <c r="D871" i="10"/>
  <c r="C871" i="10"/>
  <c r="P870" i="10"/>
  <c r="Q870" i="10" s="1"/>
  <c r="K870" i="10"/>
  <c r="D870" i="10"/>
  <c r="C870" i="10"/>
  <c r="P869" i="10"/>
  <c r="Q869" i="10" s="1"/>
  <c r="N869" i="10"/>
  <c r="O869" i="10" s="1"/>
  <c r="K869" i="10"/>
  <c r="D869" i="10"/>
  <c r="C869" i="10"/>
  <c r="P868" i="10"/>
  <c r="Q868" i="10" s="1"/>
  <c r="N868" i="10"/>
  <c r="O868" i="10" s="1"/>
  <c r="K868" i="10"/>
  <c r="D868" i="10"/>
  <c r="C868" i="10"/>
  <c r="P867" i="10"/>
  <c r="Q867" i="10" s="1"/>
  <c r="N867" i="10"/>
  <c r="O867" i="10" s="1"/>
  <c r="K867" i="10"/>
  <c r="D867" i="10"/>
  <c r="C867" i="10"/>
  <c r="P866" i="10"/>
  <c r="Q866" i="10" s="1"/>
  <c r="K866" i="10"/>
  <c r="D866" i="10"/>
  <c r="C866" i="10"/>
  <c r="P865" i="10"/>
  <c r="Q865" i="10" s="1"/>
  <c r="N865" i="10"/>
  <c r="O865" i="10" s="1"/>
  <c r="K865" i="10"/>
  <c r="D865" i="10"/>
  <c r="C865" i="10"/>
  <c r="P864" i="10"/>
  <c r="Q864" i="10" s="1"/>
  <c r="K864" i="10"/>
  <c r="D864" i="10"/>
  <c r="C864" i="10"/>
  <c r="P863" i="10"/>
  <c r="Q863" i="10" s="1"/>
  <c r="N863" i="10"/>
  <c r="O863" i="10" s="1"/>
  <c r="K863" i="10"/>
  <c r="D863" i="10"/>
  <c r="C863" i="10"/>
  <c r="P862" i="10"/>
  <c r="Q862" i="10" s="1"/>
  <c r="K862" i="10"/>
  <c r="D862" i="10"/>
  <c r="C862" i="10"/>
  <c r="P861" i="10"/>
  <c r="Q861" i="10" s="1"/>
  <c r="N861" i="10"/>
  <c r="O861" i="10" s="1"/>
  <c r="K861" i="10"/>
  <c r="D861" i="10"/>
  <c r="C861" i="10"/>
  <c r="P860" i="10"/>
  <c r="Q860" i="10" s="1"/>
  <c r="N860" i="10"/>
  <c r="O860" i="10" s="1"/>
  <c r="K860" i="10"/>
  <c r="D860" i="10"/>
  <c r="C860" i="10"/>
  <c r="P859" i="10"/>
  <c r="Q859" i="10" s="1"/>
  <c r="N859" i="10"/>
  <c r="O859" i="10" s="1"/>
  <c r="K859" i="10"/>
  <c r="D859" i="10"/>
  <c r="C859" i="10"/>
  <c r="P858" i="10"/>
  <c r="Q858" i="10" s="1"/>
  <c r="K858" i="10"/>
  <c r="D858" i="10"/>
  <c r="C858" i="10"/>
  <c r="P857" i="10"/>
  <c r="Q857" i="10" s="1"/>
  <c r="K857" i="10"/>
  <c r="D857" i="10"/>
  <c r="C857" i="10"/>
  <c r="P856" i="10"/>
  <c r="Q856" i="10" s="1"/>
  <c r="N856" i="10"/>
  <c r="O856" i="10" s="1"/>
  <c r="K856" i="10"/>
  <c r="D856" i="10"/>
  <c r="C856" i="10"/>
  <c r="P855" i="10"/>
  <c r="Q855" i="10" s="1"/>
  <c r="N855" i="10"/>
  <c r="O855" i="10" s="1"/>
  <c r="K855" i="10"/>
  <c r="D855" i="10"/>
  <c r="C855" i="10"/>
  <c r="P854" i="10"/>
  <c r="Q854" i="10" s="1"/>
  <c r="K854" i="10"/>
  <c r="D854" i="10"/>
  <c r="C854" i="10"/>
  <c r="P853" i="10"/>
  <c r="Q853" i="10" s="1"/>
  <c r="N853" i="10"/>
  <c r="O853" i="10" s="1"/>
  <c r="K853" i="10"/>
  <c r="D853" i="10"/>
  <c r="C853" i="10"/>
  <c r="P852" i="10"/>
  <c r="Q852" i="10" s="1"/>
  <c r="K852" i="10"/>
  <c r="D852" i="10"/>
  <c r="C852" i="10"/>
  <c r="P851" i="10"/>
  <c r="Q851" i="10" s="1"/>
  <c r="N851" i="10"/>
  <c r="O851" i="10" s="1"/>
  <c r="K851" i="10"/>
  <c r="D851" i="10"/>
  <c r="C851" i="10"/>
  <c r="P850" i="10"/>
  <c r="Q850" i="10" s="1"/>
  <c r="N850" i="10"/>
  <c r="O850" i="10" s="1"/>
  <c r="K850" i="10"/>
  <c r="D850" i="10"/>
  <c r="C850" i="10"/>
  <c r="P849" i="10"/>
  <c r="Q849" i="10" s="1"/>
  <c r="N849" i="10"/>
  <c r="O849" i="10" s="1"/>
  <c r="K849" i="10"/>
  <c r="D849" i="10"/>
  <c r="C849" i="10"/>
  <c r="P848" i="10"/>
  <c r="Q848" i="10" s="1"/>
  <c r="N848" i="10"/>
  <c r="O848" i="10" s="1"/>
  <c r="K848" i="10"/>
  <c r="D848" i="10"/>
  <c r="C848" i="10"/>
  <c r="P847" i="10"/>
  <c r="Q847" i="10" s="1"/>
  <c r="N847" i="10"/>
  <c r="O847" i="10" s="1"/>
  <c r="K847" i="10"/>
  <c r="D847" i="10"/>
  <c r="C847" i="10"/>
  <c r="P846" i="10"/>
  <c r="Q846" i="10" s="1"/>
  <c r="K846" i="10"/>
  <c r="D846" i="10"/>
  <c r="C846" i="10"/>
  <c r="P845" i="10"/>
  <c r="Q845" i="10" s="1"/>
  <c r="N845" i="10"/>
  <c r="O845" i="10" s="1"/>
  <c r="K845" i="10"/>
  <c r="D845" i="10"/>
  <c r="C845" i="10"/>
  <c r="P844" i="10"/>
  <c r="Q844" i="10" s="1"/>
  <c r="K844" i="10"/>
  <c r="D844" i="10"/>
  <c r="C844" i="10"/>
  <c r="P843" i="10"/>
  <c r="Q843" i="10" s="1"/>
  <c r="K843" i="10"/>
  <c r="D843" i="10"/>
  <c r="C843" i="10"/>
  <c r="P842" i="10"/>
  <c r="Q842" i="10" s="1"/>
  <c r="K842" i="10"/>
  <c r="D842" i="10"/>
  <c r="C842" i="10"/>
  <c r="P841" i="10"/>
  <c r="Q841" i="10" s="1"/>
  <c r="N841" i="10"/>
  <c r="O841" i="10" s="1"/>
  <c r="K841" i="10"/>
  <c r="D841" i="10"/>
  <c r="C841" i="10"/>
  <c r="P840" i="10"/>
  <c r="Q840" i="10" s="1"/>
  <c r="N840" i="10"/>
  <c r="O840" i="10" s="1"/>
  <c r="K840" i="10"/>
  <c r="D840" i="10"/>
  <c r="C840" i="10"/>
  <c r="P839" i="10"/>
  <c r="Q839" i="10" s="1"/>
  <c r="N839" i="10"/>
  <c r="O839" i="10" s="1"/>
  <c r="K839" i="10"/>
  <c r="D839" i="10"/>
  <c r="C839" i="10"/>
  <c r="P838" i="10"/>
  <c r="Q838" i="10" s="1"/>
  <c r="N838" i="10"/>
  <c r="O838" i="10" s="1"/>
  <c r="K838" i="10"/>
  <c r="D838" i="10"/>
  <c r="C838" i="10"/>
  <c r="P837" i="10"/>
  <c r="Q837" i="10" s="1"/>
  <c r="N837" i="10"/>
  <c r="O837" i="10" s="1"/>
  <c r="K837" i="10"/>
  <c r="D837" i="10"/>
  <c r="C837" i="10"/>
  <c r="P836" i="10"/>
  <c r="Q836" i="10" s="1"/>
  <c r="K836" i="10"/>
  <c r="D836" i="10"/>
  <c r="C836" i="10"/>
  <c r="P835" i="10"/>
  <c r="Q835" i="10" s="1"/>
  <c r="N835" i="10"/>
  <c r="O835" i="10" s="1"/>
  <c r="K835" i="10"/>
  <c r="D835" i="10"/>
  <c r="C835" i="10"/>
  <c r="P834" i="10"/>
  <c r="Q834" i="10" s="1"/>
  <c r="K834" i="10"/>
  <c r="D834" i="10"/>
  <c r="C834" i="10"/>
  <c r="P833" i="10"/>
  <c r="Q833" i="10" s="1"/>
  <c r="K833" i="10"/>
  <c r="D833" i="10"/>
  <c r="C833" i="10"/>
  <c r="P832" i="10"/>
  <c r="Q832" i="10" s="1"/>
  <c r="K832" i="10"/>
  <c r="D832" i="10"/>
  <c r="C832" i="10"/>
  <c r="P831" i="10"/>
  <c r="Q831" i="10" s="1"/>
  <c r="N831" i="10"/>
  <c r="O831" i="10" s="1"/>
  <c r="K831" i="10"/>
  <c r="D831" i="10"/>
  <c r="C831" i="10"/>
  <c r="P830" i="10"/>
  <c r="Q830" i="10" s="1"/>
  <c r="N830" i="10"/>
  <c r="O830" i="10" s="1"/>
  <c r="K830" i="10"/>
  <c r="D830" i="10"/>
  <c r="C830" i="10"/>
  <c r="P829" i="10"/>
  <c r="Q829" i="10" s="1"/>
  <c r="N829" i="10"/>
  <c r="O829" i="10" s="1"/>
  <c r="K829" i="10"/>
  <c r="D829" i="10"/>
  <c r="C829" i="10"/>
  <c r="P828" i="10"/>
  <c r="Q828" i="10" s="1"/>
  <c r="N828" i="10"/>
  <c r="O828" i="10" s="1"/>
  <c r="K828" i="10"/>
  <c r="D828" i="10"/>
  <c r="C828" i="10"/>
  <c r="P827" i="10"/>
  <c r="Q827" i="10" s="1"/>
  <c r="K827" i="10"/>
  <c r="D827" i="10"/>
  <c r="C827" i="10"/>
  <c r="P826" i="10"/>
  <c r="Q826" i="10" s="1"/>
  <c r="K826" i="10"/>
  <c r="D826" i="10"/>
  <c r="C826" i="10"/>
  <c r="P825" i="10"/>
  <c r="Q825" i="10" s="1"/>
  <c r="N825" i="10"/>
  <c r="O825" i="10" s="1"/>
  <c r="K825" i="10"/>
  <c r="D825" i="10"/>
  <c r="C825" i="10"/>
  <c r="P824" i="10"/>
  <c r="Q824" i="10" s="1"/>
  <c r="N824" i="10"/>
  <c r="O824" i="10" s="1"/>
  <c r="K824" i="10"/>
  <c r="D824" i="10"/>
  <c r="C824" i="10"/>
  <c r="P823" i="10"/>
  <c r="Q823" i="10" s="1"/>
  <c r="K823" i="10"/>
  <c r="D823" i="10"/>
  <c r="C823" i="10"/>
  <c r="P822" i="10"/>
  <c r="Q822" i="10" s="1"/>
  <c r="K822" i="10"/>
  <c r="D822" i="10"/>
  <c r="C822" i="10"/>
  <c r="P821" i="10"/>
  <c r="Q821" i="10" s="1"/>
  <c r="N821" i="10"/>
  <c r="O821" i="10" s="1"/>
  <c r="K821" i="10"/>
  <c r="D821" i="10"/>
  <c r="C821" i="10"/>
  <c r="P820" i="10"/>
  <c r="Q820" i="10" s="1"/>
  <c r="N820" i="10"/>
  <c r="O820" i="10" s="1"/>
  <c r="K820" i="10"/>
  <c r="D820" i="10"/>
  <c r="C820" i="10"/>
  <c r="P819" i="10"/>
  <c r="Q819" i="10" s="1"/>
  <c r="N819" i="10"/>
  <c r="O819" i="10" s="1"/>
  <c r="K819" i="10"/>
  <c r="D819" i="10"/>
  <c r="C819" i="10"/>
  <c r="P818" i="10"/>
  <c r="Q818" i="10" s="1"/>
  <c r="K818" i="10"/>
  <c r="D818" i="10"/>
  <c r="C818" i="10"/>
  <c r="P817" i="10"/>
  <c r="Q817" i="10" s="1"/>
  <c r="N817" i="10"/>
  <c r="O817" i="10" s="1"/>
  <c r="K817" i="10"/>
  <c r="D817" i="10"/>
  <c r="C817" i="10"/>
  <c r="P816" i="10"/>
  <c r="Q816" i="10" s="1"/>
  <c r="N816" i="10"/>
  <c r="O816" i="10" s="1"/>
  <c r="K816" i="10"/>
  <c r="D816" i="10"/>
  <c r="C816" i="10"/>
  <c r="P815" i="10"/>
  <c r="Q815" i="10" s="1"/>
  <c r="K815" i="10"/>
  <c r="D815" i="10"/>
  <c r="C815" i="10"/>
  <c r="P814" i="10"/>
  <c r="Q814" i="10" s="1"/>
  <c r="K814" i="10"/>
  <c r="D814" i="10"/>
  <c r="C814" i="10"/>
  <c r="P813" i="10"/>
  <c r="Q813" i="10" s="1"/>
  <c r="N813" i="10"/>
  <c r="O813" i="10" s="1"/>
  <c r="K813" i="10"/>
  <c r="D813" i="10"/>
  <c r="C813" i="10"/>
  <c r="P812" i="10"/>
  <c r="Q812" i="10" s="1"/>
  <c r="N812" i="10"/>
  <c r="O812" i="10" s="1"/>
  <c r="K812" i="10"/>
  <c r="D812" i="10"/>
  <c r="C812" i="10"/>
  <c r="P811" i="10"/>
  <c r="Q811" i="10" s="1"/>
  <c r="N811" i="10"/>
  <c r="O811" i="10" s="1"/>
  <c r="K811" i="10"/>
  <c r="D811" i="10"/>
  <c r="C811" i="10"/>
  <c r="P810" i="10"/>
  <c r="Q810" i="10" s="1"/>
  <c r="N810" i="10"/>
  <c r="O810" i="10" s="1"/>
  <c r="K810" i="10"/>
  <c r="D810" i="10"/>
  <c r="C810" i="10"/>
  <c r="P809" i="10"/>
  <c r="Q809" i="10" s="1"/>
  <c r="N809" i="10"/>
  <c r="O809" i="10" s="1"/>
  <c r="K809" i="10"/>
  <c r="D809" i="10"/>
  <c r="C809" i="10"/>
  <c r="P808" i="10"/>
  <c r="Q808" i="10" s="1"/>
  <c r="N808" i="10"/>
  <c r="O808" i="10" s="1"/>
  <c r="K808" i="10"/>
  <c r="D808" i="10"/>
  <c r="C808" i="10"/>
  <c r="P807" i="10"/>
  <c r="Q807" i="10" s="1"/>
  <c r="N807" i="10"/>
  <c r="O807" i="10" s="1"/>
  <c r="K807" i="10"/>
  <c r="D807" i="10"/>
  <c r="C807" i="10"/>
  <c r="P806" i="10"/>
  <c r="Q806" i="10" s="1"/>
  <c r="N806" i="10"/>
  <c r="O806" i="10" s="1"/>
  <c r="K806" i="10"/>
  <c r="D806" i="10"/>
  <c r="C806" i="10"/>
  <c r="P805" i="10"/>
  <c r="Q805" i="10" s="1"/>
  <c r="K805" i="10"/>
  <c r="D805" i="10"/>
  <c r="C805" i="10"/>
  <c r="P804" i="10"/>
  <c r="Q804" i="10" s="1"/>
  <c r="K804" i="10"/>
  <c r="D804" i="10"/>
  <c r="C804" i="10"/>
  <c r="P803" i="10"/>
  <c r="Q803" i="10" s="1"/>
  <c r="N803" i="10"/>
  <c r="O803" i="10" s="1"/>
  <c r="K803" i="10"/>
  <c r="D803" i="10"/>
  <c r="C803" i="10"/>
  <c r="P802" i="10"/>
  <c r="Q802" i="10" s="1"/>
  <c r="N802" i="10"/>
  <c r="O802" i="10" s="1"/>
  <c r="K802" i="10"/>
  <c r="D802" i="10"/>
  <c r="C802" i="10"/>
  <c r="P801" i="10"/>
  <c r="Q801" i="10" s="1"/>
  <c r="N801" i="10"/>
  <c r="O801" i="10" s="1"/>
  <c r="K801" i="10"/>
  <c r="D801" i="10"/>
  <c r="C801" i="10"/>
  <c r="P800" i="10"/>
  <c r="Q800" i="10" s="1"/>
  <c r="N800" i="10"/>
  <c r="O800" i="10" s="1"/>
  <c r="K800" i="10"/>
  <c r="D800" i="10"/>
  <c r="C800" i="10"/>
  <c r="P799" i="10"/>
  <c r="Q799" i="10" s="1"/>
  <c r="K799" i="10"/>
  <c r="D799" i="10"/>
  <c r="C799" i="10"/>
  <c r="P798" i="10"/>
  <c r="Q798" i="10" s="1"/>
  <c r="K798" i="10"/>
  <c r="D798" i="10"/>
  <c r="C798" i="10"/>
  <c r="P797" i="10"/>
  <c r="Q797" i="10" s="1"/>
  <c r="N797" i="10"/>
  <c r="O797" i="10" s="1"/>
  <c r="K797" i="10"/>
  <c r="D797" i="10"/>
  <c r="C797" i="10"/>
  <c r="P796" i="10"/>
  <c r="Q796" i="10" s="1"/>
  <c r="K796" i="10"/>
  <c r="D796" i="10"/>
  <c r="C796" i="10"/>
  <c r="P795" i="10"/>
  <c r="Q795" i="10" s="1"/>
  <c r="K795" i="10"/>
  <c r="D795" i="10"/>
  <c r="C795" i="10"/>
  <c r="P794" i="10"/>
  <c r="Q794" i="10" s="1"/>
  <c r="N794" i="10"/>
  <c r="O794" i="10" s="1"/>
  <c r="K794" i="10"/>
  <c r="D794" i="10"/>
  <c r="C794" i="10"/>
  <c r="P793" i="10"/>
  <c r="Q793" i="10" s="1"/>
  <c r="N793" i="10"/>
  <c r="O793" i="10" s="1"/>
  <c r="K793" i="10"/>
  <c r="D793" i="10"/>
  <c r="C793" i="10"/>
  <c r="P792" i="10"/>
  <c r="Q792" i="10" s="1"/>
  <c r="N792" i="10"/>
  <c r="O792" i="10" s="1"/>
  <c r="K792" i="10"/>
  <c r="D792" i="10"/>
  <c r="C792" i="10"/>
  <c r="P791" i="10"/>
  <c r="Q791" i="10" s="1"/>
  <c r="K791" i="10"/>
  <c r="D791" i="10"/>
  <c r="C791" i="10"/>
  <c r="P790" i="10"/>
  <c r="Q790" i="10" s="1"/>
  <c r="N790" i="10"/>
  <c r="O790" i="10" s="1"/>
  <c r="K790" i="10"/>
  <c r="D790" i="10"/>
  <c r="C790" i="10"/>
  <c r="P789" i="10"/>
  <c r="Q789" i="10" s="1"/>
  <c r="N789" i="10"/>
  <c r="O789" i="10" s="1"/>
  <c r="K789" i="10"/>
  <c r="D789" i="10"/>
  <c r="C789" i="10"/>
  <c r="P788" i="10"/>
  <c r="Q788" i="10" s="1"/>
  <c r="N788" i="10"/>
  <c r="O788" i="10" s="1"/>
  <c r="K788" i="10"/>
  <c r="D788" i="10"/>
  <c r="C788" i="10"/>
  <c r="P787" i="10"/>
  <c r="Q787" i="10" s="1"/>
  <c r="K787" i="10"/>
  <c r="D787" i="10"/>
  <c r="C787" i="10"/>
  <c r="P786" i="10"/>
  <c r="Q786" i="10" s="1"/>
  <c r="N786" i="10"/>
  <c r="O786" i="10" s="1"/>
  <c r="K786" i="10"/>
  <c r="D786" i="10"/>
  <c r="C786" i="10"/>
  <c r="P785" i="10"/>
  <c r="Q785" i="10" s="1"/>
  <c r="K785" i="10"/>
  <c r="D785" i="10"/>
  <c r="C785" i="10"/>
  <c r="P784" i="10"/>
  <c r="Q784" i="10" s="1"/>
  <c r="N784" i="10"/>
  <c r="O784" i="10" s="1"/>
  <c r="K784" i="10"/>
  <c r="D784" i="10"/>
  <c r="C784" i="10"/>
  <c r="P783" i="10"/>
  <c r="Q783" i="10" s="1"/>
  <c r="N783" i="10"/>
  <c r="O783" i="10" s="1"/>
  <c r="K783" i="10"/>
  <c r="D783" i="10"/>
  <c r="C783" i="10"/>
  <c r="P782" i="10"/>
  <c r="Q782" i="10" s="1"/>
  <c r="N782" i="10"/>
  <c r="O782" i="10" s="1"/>
  <c r="K782" i="10"/>
  <c r="D782" i="10"/>
  <c r="C782" i="10"/>
  <c r="P781" i="10"/>
  <c r="Q781" i="10" s="1"/>
  <c r="N781" i="10"/>
  <c r="O781" i="10" s="1"/>
  <c r="K781" i="10"/>
  <c r="D781" i="10"/>
  <c r="C781" i="10"/>
  <c r="P780" i="10"/>
  <c r="Q780" i="10" s="1"/>
  <c r="K780" i="10"/>
  <c r="D780" i="10"/>
  <c r="C780" i="10"/>
  <c r="P779" i="10"/>
  <c r="Q779" i="10" s="1"/>
  <c r="N779" i="10"/>
  <c r="O779" i="10" s="1"/>
  <c r="K779" i="10"/>
  <c r="D779" i="10"/>
  <c r="C779" i="10"/>
  <c r="P778" i="10"/>
  <c r="Q778" i="10" s="1"/>
  <c r="K778" i="10"/>
  <c r="D778" i="10"/>
  <c r="C778" i="10"/>
  <c r="P777" i="10"/>
  <c r="Q777" i="10" s="1"/>
  <c r="N777" i="10"/>
  <c r="O777" i="10" s="1"/>
  <c r="K777" i="10"/>
  <c r="D777" i="10"/>
  <c r="C777" i="10"/>
  <c r="P776" i="10"/>
  <c r="Q776" i="10" s="1"/>
  <c r="N776" i="10"/>
  <c r="O776" i="10" s="1"/>
  <c r="K776" i="10"/>
  <c r="D776" i="10"/>
  <c r="C776" i="10"/>
  <c r="P775" i="10"/>
  <c r="Q775" i="10" s="1"/>
  <c r="K775" i="10"/>
  <c r="D775" i="10"/>
  <c r="C775" i="10"/>
  <c r="P774" i="10"/>
  <c r="Q774" i="10" s="1"/>
  <c r="N774" i="10"/>
  <c r="O774" i="10" s="1"/>
  <c r="K774" i="10"/>
  <c r="D774" i="10"/>
  <c r="C774" i="10"/>
  <c r="P773" i="10"/>
  <c r="Q773" i="10" s="1"/>
  <c r="N773" i="10"/>
  <c r="O773" i="10" s="1"/>
  <c r="K773" i="10"/>
  <c r="D773" i="10"/>
  <c r="C773" i="10"/>
  <c r="P772" i="10"/>
  <c r="Q772" i="10" s="1"/>
  <c r="K772" i="10"/>
  <c r="D772" i="10"/>
  <c r="C772" i="10"/>
  <c r="P771" i="10"/>
  <c r="Q771" i="10" s="1"/>
  <c r="N771" i="10"/>
  <c r="O771" i="10" s="1"/>
  <c r="K771" i="10"/>
  <c r="D771" i="10"/>
  <c r="C771" i="10"/>
  <c r="P770" i="10"/>
  <c r="Q770" i="10" s="1"/>
  <c r="K770" i="10"/>
  <c r="D770" i="10"/>
  <c r="C770" i="10"/>
  <c r="P769" i="10"/>
  <c r="Q769" i="10" s="1"/>
  <c r="N769" i="10"/>
  <c r="O769" i="10" s="1"/>
  <c r="K769" i="10"/>
  <c r="D769" i="10"/>
  <c r="C769" i="10"/>
  <c r="P768" i="10"/>
  <c r="Q768" i="10" s="1"/>
  <c r="N768" i="10"/>
  <c r="O768" i="10" s="1"/>
  <c r="K768" i="10"/>
  <c r="D768" i="10"/>
  <c r="C768" i="10"/>
  <c r="P767" i="10"/>
  <c r="Q767" i="10" s="1"/>
  <c r="N767" i="10"/>
  <c r="O767" i="10" s="1"/>
  <c r="K767" i="10"/>
  <c r="D767" i="10"/>
  <c r="C767" i="10"/>
  <c r="P766" i="10"/>
  <c r="Q766" i="10" s="1"/>
  <c r="N766" i="10"/>
  <c r="O766" i="10" s="1"/>
  <c r="K766" i="10"/>
  <c r="D766" i="10"/>
  <c r="C766" i="10"/>
  <c r="P765" i="10"/>
  <c r="Q765" i="10" s="1"/>
  <c r="K765" i="10"/>
  <c r="D765" i="10"/>
  <c r="C765" i="10"/>
  <c r="P764" i="10"/>
  <c r="Q764" i="10" s="1"/>
  <c r="K764" i="10"/>
  <c r="D764" i="10"/>
  <c r="C764" i="10"/>
  <c r="P763" i="10"/>
  <c r="Q763" i="10" s="1"/>
  <c r="N763" i="10"/>
  <c r="O763" i="10" s="1"/>
  <c r="K763" i="10"/>
  <c r="D763" i="10"/>
  <c r="C763" i="10"/>
  <c r="P762" i="10"/>
  <c r="Q762" i="10" s="1"/>
  <c r="K762" i="10"/>
  <c r="D762" i="10"/>
  <c r="C762" i="10"/>
  <c r="P761" i="10"/>
  <c r="Q761" i="10" s="1"/>
  <c r="N761" i="10"/>
  <c r="O761" i="10" s="1"/>
  <c r="K761" i="10"/>
  <c r="D761" i="10"/>
  <c r="C761" i="10"/>
  <c r="P760" i="10"/>
  <c r="Q760" i="10" s="1"/>
  <c r="K760" i="10"/>
  <c r="D760" i="10"/>
  <c r="C760" i="10"/>
  <c r="P759" i="10"/>
  <c r="Q759" i="10" s="1"/>
  <c r="N759" i="10"/>
  <c r="O759" i="10" s="1"/>
  <c r="K759" i="10"/>
  <c r="D759" i="10"/>
  <c r="C759" i="10"/>
  <c r="P758" i="10"/>
  <c r="Q758" i="10" s="1"/>
  <c r="N758" i="10"/>
  <c r="O758" i="10" s="1"/>
  <c r="K758" i="10"/>
  <c r="D758" i="10"/>
  <c r="C758" i="10"/>
  <c r="P757" i="10"/>
  <c r="Q757" i="10" s="1"/>
  <c r="N757" i="10"/>
  <c r="O757" i="10" s="1"/>
  <c r="K757" i="10"/>
  <c r="D757" i="10"/>
  <c r="C757" i="10"/>
  <c r="P756" i="10"/>
  <c r="Q756" i="10" s="1"/>
  <c r="N756" i="10"/>
  <c r="O756" i="10" s="1"/>
  <c r="K756" i="10"/>
  <c r="D756" i="10"/>
  <c r="C756" i="10"/>
  <c r="P755" i="10"/>
  <c r="Q755" i="10" s="1"/>
  <c r="K755" i="10"/>
  <c r="D755" i="10"/>
  <c r="C755" i="10"/>
  <c r="P754" i="10"/>
  <c r="Q754" i="10" s="1"/>
  <c r="N754" i="10"/>
  <c r="O754" i="10" s="1"/>
  <c r="K754" i="10"/>
  <c r="D754" i="10"/>
  <c r="C754" i="10"/>
  <c r="P753" i="10"/>
  <c r="Q753" i="10" s="1"/>
  <c r="K753" i="10"/>
  <c r="D753" i="10"/>
  <c r="C753" i="10"/>
  <c r="P752" i="10"/>
  <c r="Q752" i="10" s="1"/>
  <c r="N752" i="10"/>
  <c r="O752" i="10" s="1"/>
  <c r="K752" i="10"/>
  <c r="D752" i="10"/>
  <c r="C752" i="10"/>
  <c r="P751" i="10"/>
  <c r="Q751" i="10" s="1"/>
  <c r="N751" i="10"/>
  <c r="O751" i="10" s="1"/>
  <c r="K751" i="10"/>
  <c r="D751" i="10"/>
  <c r="C751" i="10"/>
  <c r="P750" i="10"/>
  <c r="Q750" i="10" s="1"/>
  <c r="N750" i="10"/>
  <c r="O750" i="10" s="1"/>
  <c r="K750" i="10"/>
  <c r="D750" i="10"/>
  <c r="C750" i="10"/>
  <c r="P749" i="10"/>
  <c r="Q749" i="10" s="1"/>
  <c r="N749" i="10"/>
  <c r="O749" i="10" s="1"/>
  <c r="K749" i="10"/>
  <c r="D749" i="10"/>
  <c r="C749" i="10"/>
  <c r="P748" i="10"/>
  <c r="Q748" i="10" s="1"/>
  <c r="N748" i="10"/>
  <c r="O748" i="10" s="1"/>
  <c r="K748" i="10"/>
  <c r="D748" i="10"/>
  <c r="C748" i="10"/>
  <c r="P747" i="10"/>
  <c r="Q747" i="10" s="1"/>
  <c r="N747" i="10"/>
  <c r="O747" i="10" s="1"/>
  <c r="K747" i="10"/>
  <c r="D747" i="10"/>
  <c r="C747" i="10"/>
  <c r="P746" i="10"/>
  <c r="Q746" i="10" s="1"/>
  <c r="N746" i="10"/>
  <c r="O746" i="10" s="1"/>
  <c r="K746" i="10"/>
  <c r="D746" i="10"/>
  <c r="C746" i="10"/>
  <c r="P745" i="10"/>
  <c r="Q745" i="10" s="1"/>
  <c r="N745" i="10"/>
  <c r="O745" i="10" s="1"/>
  <c r="K745" i="10"/>
  <c r="D745" i="10"/>
  <c r="C745" i="10"/>
  <c r="P744" i="10"/>
  <c r="Q744" i="10" s="1"/>
  <c r="N744" i="10"/>
  <c r="O744" i="10" s="1"/>
  <c r="K744" i="10"/>
  <c r="D744" i="10"/>
  <c r="C744" i="10"/>
  <c r="P743" i="10"/>
  <c r="Q743" i="10" s="1"/>
  <c r="N743" i="10"/>
  <c r="O743" i="10" s="1"/>
  <c r="K743" i="10"/>
  <c r="D743" i="10"/>
  <c r="C743" i="10"/>
  <c r="P742" i="10"/>
  <c r="Q742" i="10" s="1"/>
  <c r="N742" i="10"/>
  <c r="O742" i="10" s="1"/>
  <c r="K742" i="10"/>
  <c r="D742" i="10"/>
  <c r="C742" i="10"/>
  <c r="P741" i="10"/>
  <c r="Q741" i="10" s="1"/>
  <c r="N741" i="10"/>
  <c r="O741" i="10" s="1"/>
  <c r="K741" i="10"/>
  <c r="D741" i="10"/>
  <c r="C741" i="10"/>
  <c r="P740" i="10"/>
  <c r="Q740" i="10" s="1"/>
  <c r="N740" i="10"/>
  <c r="O740" i="10" s="1"/>
  <c r="K740" i="10"/>
  <c r="D740" i="10"/>
  <c r="C740" i="10"/>
  <c r="P739" i="10"/>
  <c r="Q739" i="10" s="1"/>
  <c r="K739" i="10"/>
  <c r="D739" i="10"/>
  <c r="C739" i="10"/>
  <c r="P738" i="10"/>
  <c r="Q738" i="10" s="1"/>
  <c r="K738" i="10"/>
  <c r="D738" i="10"/>
  <c r="C738" i="10"/>
  <c r="P737" i="10"/>
  <c r="Q737" i="10" s="1"/>
  <c r="K737" i="10"/>
  <c r="D737" i="10"/>
  <c r="C737" i="10"/>
  <c r="P736" i="10"/>
  <c r="Q736" i="10" s="1"/>
  <c r="N736" i="10"/>
  <c r="O736" i="10" s="1"/>
  <c r="K736" i="10"/>
  <c r="D736" i="10"/>
  <c r="C736" i="10"/>
  <c r="P735" i="10"/>
  <c r="Q735" i="10" s="1"/>
  <c r="N735" i="10"/>
  <c r="O735" i="10" s="1"/>
  <c r="K735" i="10"/>
  <c r="D735" i="10"/>
  <c r="C735" i="10"/>
  <c r="P734" i="10"/>
  <c r="Q734" i="10" s="1"/>
  <c r="K734" i="10"/>
  <c r="D734" i="10"/>
  <c r="C734" i="10"/>
  <c r="P733" i="10"/>
  <c r="Q733" i="10" s="1"/>
  <c r="K733" i="10"/>
  <c r="D733" i="10"/>
  <c r="C733" i="10"/>
  <c r="P732" i="10"/>
  <c r="Q732" i="10" s="1"/>
  <c r="N732" i="10"/>
  <c r="O732" i="10" s="1"/>
  <c r="K732" i="10"/>
  <c r="D732" i="10"/>
  <c r="C732" i="10"/>
  <c r="P731" i="10"/>
  <c r="Q731" i="10" s="1"/>
  <c r="N731" i="10"/>
  <c r="O731" i="10" s="1"/>
  <c r="K731" i="10"/>
  <c r="D731" i="10"/>
  <c r="C731" i="10"/>
  <c r="P730" i="10"/>
  <c r="Q730" i="10" s="1"/>
  <c r="K730" i="10"/>
  <c r="D730" i="10"/>
  <c r="C730" i="10"/>
  <c r="P729" i="10"/>
  <c r="Q729" i="10" s="1"/>
  <c r="K729" i="10"/>
  <c r="D729" i="10"/>
  <c r="C729" i="10"/>
  <c r="P728" i="10"/>
  <c r="Q728" i="10" s="1"/>
  <c r="N728" i="10"/>
  <c r="O728" i="10" s="1"/>
  <c r="K728" i="10"/>
  <c r="D728" i="10"/>
  <c r="C728" i="10"/>
  <c r="P727" i="10"/>
  <c r="Q727" i="10" s="1"/>
  <c r="N727" i="10"/>
  <c r="O727" i="10" s="1"/>
  <c r="K727" i="10"/>
  <c r="D727" i="10"/>
  <c r="C727" i="10"/>
  <c r="P726" i="10"/>
  <c r="Q726" i="10" s="1"/>
  <c r="N726" i="10"/>
  <c r="O726" i="10" s="1"/>
  <c r="K726" i="10"/>
  <c r="D726" i="10"/>
  <c r="C726" i="10"/>
  <c r="P725" i="10"/>
  <c r="Q725" i="10" s="1"/>
  <c r="K725" i="10"/>
  <c r="D725" i="10"/>
  <c r="C725" i="10"/>
  <c r="P724" i="10"/>
  <c r="Q724" i="10" s="1"/>
  <c r="N724" i="10"/>
  <c r="O724" i="10" s="1"/>
  <c r="K724" i="10"/>
  <c r="D724" i="10"/>
  <c r="C724" i="10"/>
  <c r="P723" i="10"/>
  <c r="Q723" i="10" s="1"/>
  <c r="N723" i="10"/>
  <c r="O723" i="10" s="1"/>
  <c r="K723" i="10"/>
  <c r="D723" i="10"/>
  <c r="C723" i="10"/>
  <c r="P722" i="10"/>
  <c r="Q722" i="10" s="1"/>
  <c r="N722" i="10"/>
  <c r="O722" i="10" s="1"/>
  <c r="K722" i="10"/>
  <c r="D722" i="10"/>
  <c r="C722" i="10"/>
  <c r="P721" i="10"/>
  <c r="Q721" i="10" s="1"/>
  <c r="N721" i="10"/>
  <c r="O721" i="10" s="1"/>
  <c r="K721" i="10"/>
  <c r="D721" i="10"/>
  <c r="C721" i="10"/>
  <c r="P720" i="10"/>
  <c r="Q720" i="10" s="1"/>
  <c r="N720" i="10"/>
  <c r="O720" i="10" s="1"/>
  <c r="K720" i="10"/>
  <c r="D720" i="10"/>
  <c r="C720" i="10"/>
  <c r="P719" i="10"/>
  <c r="Q719" i="10" s="1"/>
  <c r="K719" i="10"/>
  <c r="D719" i="10"/>
  <c r="C719" i="10"/>
  <c r="P718" i="10"/>
  <c r="Q718" i="10" s="1"/>
  <c r="K718" i="10"/>
  <c r="D718" i="10"/>
  <c r="C718" i="10"/>
  <c r="P717" i="10"/>
  <c r="Q717" i="10" s="1"/>
  <c r="K717" i="10"/>
  <c r="D717" i="10"/>
  <c r="C717" i="10"/>
  <c r="P716" i="10"/>
  <c r="Q716" i="10" s="1"/>
  <c r="N716" i="10"/>
  <c r="O716" i="10" s="1"/>
  <c r="K716" i="10"/>
  <c r="D716" i="10"/>
  <c r="C716" i="10"/>
  <c r="P715" i="10"/>
  <c r="Q715" i="10" s="1"/>
  <c r="N715" i="10"/>
  <c r="O715" i="10" s="1"/>
  <c r="K715" i="10"/>
  <c r="D715" i="10"/>
  <c r="C715" i="10"/>
  <c r="P714" i="10"/>
  <c r="Q714" i="10" s="1"/>
  <c r="K714" i="10"/>
  <c r="D714" i="10"/>
  <c r="C714" i="10"/>
  <c r="P713" i="10"/>
  <c r="Q713" i="10" s="1"/>
  <c r="N713" i="10"/>
  <c r="O713" i="10" s="1"/>
  <c r="K713" i="10"/>
  <c r="D713" i="10"/>
  <c r="C713" i="10"/>
  <c r="P712" i="10"/>
  <c r="Q712" i="10" s="1"/>
  <c r="N712" i="10"/>
  <c r="O712" i="10" s="1"/>
  <c r="K712" i="10"/>
  <c r="D712" i="10"/>
  <c r="C712" i="10"/>
  <c r="P711" i="10"/>
  <c r="Q711" i="10" s="1"/>
  <c r="N711" i="10"/>
  <c r="O711" i="10" s="1"/>
  <c r="K711" i="10"/>
  <c r="D711" i="10"/>
  <c r="C711" i="10"/>
  <c r="P710" i="10"/>
  <c r="Q710" i="10" s="1"/>
  <c r="N710" i="10"/>
  <c r="O710" i="10" s="1"/>
  <c r="K710" i="10"/>
  <c r="D710" i="10"/>
  <c r="C710" i="10"/>
  <c r="P709" i="10"/>
  <c r="Q709" i="10" s="1"/>
  <c r="N709" i="10"/>
  <c r="O709" i="10" s="1"/>
  <c r="K709" i="10"/>
  <c r="D709" i="10"/>
  <c r="C709" i="10"/>
  <c r="P708" i="10"/>
  <c r="Q708" i="10" s="1"/>
  <c r="N708" i="10"/>
  <c r="O708" i="10" s="1"/>
  <c r="K708" i="10"/>
  <c r="D708" i="10"/>
  <c r="C708" i="10"/>
  <c r="P707" i="10"/>
  <c r="Q707" i="10" s="1"/>
  <c r="N707" i="10"/>
  <c r="O707" i="10" s="1"/>
  <c r="K707" i="10"/>
  <c r="D707" i="10"/>
  <c r="C707" i="10"/>
  <c r="P706" i="10"/>
  <c r="Q706" i="10" s="1"/>
  <c r="N706" i="10"/>
  <c r="O706" i="10" s="1"/>
  <c r="K706" i="10"/>
  <c r="D706" i="10"/>
  <c r="C706" i="10"/>
  <c r="P705" i="10"/>
  <c r="Q705" i="10" s="1"/>
  <c r="K705" i="10"/>
  <c r="D705" i="10"/>
  <c r="C705" i="10"/>
  <c r="P704" i="10"/>
  <c r="Q704" i="10" s="1"/>
  <c r="N704" i="10"/>
  <c r="O704" i="10" s="1"/>
  <c r="K704" i="10"/>
  <c r="D704" i="10"/>
  <c r="C704" i="10"/>
  <c r="P703" i="10"/>
  <c r="Q703" i="10" s="1"/>
  <c r="N703" i="10"/>
  <c r="O703" i="10" s="1"/>
  <c r="K703" i="10"/>
  <c r="D703" i="10"/>
  <c r="C703" i="10"/>
  <c r="P702" i="10"/>
  <c r="Q702" i="10" s="1"/>
  <c r="N702" i="10"/>
  <c r="O702" i="10" s="1"/>
  <c r="K702" i="10"/>
  <c r="D702" i="10"/>
  <c r="C702" i="10"/>
  <c r="P701" i="10"/>
  <c r="Q701" i="10" s="1"/>
  <c r="N701" i="10"/>
  <c r="O701" i="10" s="1"/>
  <c r="K701" i="10"/>
  <c r="D701" i="10"/>
  <c r="C701" i="10"/>
  <c r="P700" i="10"/>
  <c r="Q700" i="10" s="1"/>
  <c r="N700" i="10"/>
  <c r="O700" i="10" s="1"/>
  <c r="K700" i="10"/>
  <c r="D700" i="10"/>
  <c r="C700" i="10"/>
  <c r="P699" i="10"/>
  <c r="Q699" i="10" s="1"/>
  <c r="N699" i="10"/>
  <c r="O699" i="10" s="1"/>
  <c r="K699" i="10"/>
  <c r="D699" i="10"/>
  <c r="C699" i="10"/>
  <c r="P698" i="10"/>
  <c r="Q698" i="10" s="1"/>
  <c r="K698" i="10"/>
  <c r="D698" i="10"/>
  <c r="C698" i="10"/>
  <c r="P697" i="10"/>
  <c r="Q697" i="10" s="1"/>
  <c r="K697" i="10"/>
  <c r="D697" i="10"/>
  <c r="C697" i="10"/>
  <c r="P696" i="10"/>
  <c r="Q696" i="10" s="1"/>
  <c r="N696" i="10"/>
  <c r="O696" i="10" s="1"/>
  <c r="K696" i="10"/>
  <c r="D696" i="10"/>
  <c r="C696" i="10"/>
  <c r="P695" i="10"/>
  <c r="Q695" i="10" s="1"/>
  <c r="N695" i="10"/>
  <c r="O695" i="10" s="1"/>
  <c r="K695" i="10"/>
  <c r="D695" i="10"/>
  <c r="C695" i="10"/>
  <c r="P694" i="10"/>
  <c r="Q694" i="10" s="1"/>
  <c r="K694" i="10"/>
  <c r="D694" i="10"/>
  <c r="C694" i="10"/>
  <c r="P693" i="10"/>
  <c r="Q693" i="10" s="1"/>
  <c r="N693" i="10"/>
  <c r="O693" i="10" s="1"/>
  <c r="K693" i="10"/>
  <c r="D693" i="10"/>
  <c r="C693" i="10"/>
  <c r="P692" i="10"/>
  <c r="Q692" i="10" s="1"/>
  <c r="K692" i="10"/>
  <c r="D692" i="10"/>
  <c r="C692" i="10"/>
  <c r="P691" i="10"/>
  <c r="Q691" i="10" s="1"/>
  <c r="K691" i="10"/>
  <c r="D691" i="10"/>
  <c r="C691" i="10"/>
  <c r="P690" i="10"/>
  <c r="Q690" i="10" s="1"/>
  <c r="N690" i="10"/>
  <c r="O690" i="10" s="1"/>
  <c r="K690" i="10"/>
  <c r="D690" i="10"/>
  <c r="C690" i="10"/>
  <c r="P689" i="10"/>
  <c r="Q689" i="10" s="1"/>
  <c r="N689" i="10"/>
  <c r="O689" i="10" s="1"/>
  <c r="K689" i="10"/>
  <c r="D689" i="10"/>
  <c r="C689" i="10"/>
  <c r="P688" i="10"/>
  <c r="Q688" i="10" s="1"/>
  <c r="N688" i="10"/>
  <c r="O688" i="10" s="1"/>
  <c r="K688" i="10"/>
  <c r="D688" i="10"/>
  <c r="C688" i="10"/>
  <c r="P687" i="10"/>
  <c r="Q687" i="10" s="1"/>
  <c r="N687" i="10"/>
  <c r="O687" i="10" s="1"/>
  <c r="K687" i="10"/>
  <c r="D687" i="10"/>
  <c r="C687" i="10"/>
  <c r="P686" i="10"/>
  <c r="Q686" i="10" s="1"/>
  <c r="N686" i="10"/>
  <c r="O686" i="10" s="1"/>
  <c r="K686" i="10"/>
  <c r="D686" i="10"/>
  <c r="C686" i="10"/>
  <c r="P685" i="10"/>
  <c r="Q685" i="10" s="1"/>
  <c r="K685" i="10"/>
  <c r="D685" i="10"/>
  <c r="C685" i="10"/>
  <c r="P684" i="10"/>
  <c r="Q684" i="10" s="1"/>
  <c r="N684" i="10"/>
  <c r="O684" i="10" s="1"/>
  <c r="K684" i="10"/>
  <c r="D684" i="10"/>
  <c r="C684" i="10"/>
  <c r="P683" i="10"/>
  <c r="Q683" i="10" s="1"/>
  <c r="N683" i="10"/>
  <c r="O683" i="10" s="1"/>
  <c r="K683" i="10"/>
  <c r="D683" i="10"/>
  <c r="C683" i="10"/>
  <c r="P682" i="10"/>
  <c r="Q682" i="10" s="1"/>
  <c r="K682" i="10"/>
  <c r="D682" i="10"/>
  <c r="C682" i="10"/>
  <c r="P681" i="10"/>
  <c r="Q681" i="10" s="1"/>
  <c r="N681" i="10"/>
  <c r="O681" i="10" s="1"/>
  <c r="K681" i="10"/>
  <c r="D681" i="10"/>
  <c r="C681" i="10"/>
  <c r="P680" i="10"/>
  <c r="Q680" i="10" s="1"/>
  <c r="N680" i="10"/>
  <c r="O680" i="10" s="1"/>
  <c r="K680" i="10"/>
  <c r="D680" i="10"/>
  <c r="C680" i="10"/>
  <c r="P679" i="10"/>
  <c r="Q679" i="10" s="1"/>
  <c r="N679" i="10"/>
  <c r="O679" i="10" s="1"/>
  <c r="K679" i="10"/>
  <c r="D679" i="10"/>
  <c r="C679" i="10"/>
  <c r="P678" i="10"/>
  <c r="Q678" i="10" s="1"/>
  <c r="N678" i="10"/>
  <c r="O678" i="10" s="1"/>
  <c r="K678" i="10"/>
  <c r="D678" i="10"/>
  <c r="C678" i="10"/>
  <c r="P677" i="10"/>
  <c r="Q677" i="10" s="1"/>
  <c r="N677" i="10"/>
  <c r="O677" i="10" s="1"/>
  <c r="K677" i="10"/>
  <c r="D677" i="10"/>
  <c r="C677" i="10"/>
  <c r="P676" i="10"/>
  <c r="Q676" i="10" s="1"/>
  <c r="N676" i="10"/>
  <c r="O676" i="10" s="1"/>
  <c r="K676" i="10"/>
  <c r="D676" i="10"/>
  <c r="C676" i="10"/>
  <c r="P675" i="10"/>
  <c r="Q675" i="10" s="1"/>
  <c r="N675" i="10"/>
  <c r="O675" i="10" s="1"/>
  <c r="K675" i="10"/>
  <c r="D675" i="10"/>
  <c r="C675" i="10"/>
  <c r="P674" i="10"/>
  <c r="Q674" i="10" s="1"/>
  <c r="N674" i="10"/>
  <c r="O674" i="10" s="1"/>
  <c r="K674" i="10"/>
  <c r="D674" i="10"/>
  <c r="C674" i="10"/>
  <c r="P673" i="10"/>
  <c r="Q673" i="10" s="1"/>
  <c r="K673" i="10"/>
  <c r="D673" i="10"/>
  <c r="C673" i="10"/>
  <c r="P672" i="10"/>
  <c r="Q672" i="10" s="1"/>
  <c r="N672" i="10"/>
  <c r="O672" i="10" s="1"/>
  <c r="K672" i="10"/>
  <c r="D672" i="10"/>
  <c r="C672" i="10"/>
  <c r="P671" i="10"/>
  <c r="Q671" i="10" s="1"/>
  <c r="N671" i="10"/>
  <c r="O671" i="10" s="1"/>
  <c r="K671" i="10"/>
  <c r="D671" i="10"/>
  <c r="C671" i="10"/>
  <c r="P670" i="10"/>
  <c r="Q670" i="10" s="1"/>
  <c r="N670" i="10"/>
  <c r="O670" i="10" s="1"/>
  <c r="K670" i="10"/>
  <c r="D670" i="10"/>
  <c r="C670" i="10"/>
  <c r="P669" i="10"/>
  <c r="Q669" i="10" s="1"/>
  <c r="N669" i="10"/>
  <c r="O669" i="10" s="1"/>
  <c r="K669" i="10"/>
  <c r="D669" i="10"/>
  <c r="C669" i="10"/>
  <c r="P668" i="10"/>
  <c r="Q668" i="10" s="1"/>
  <c r="K668" i="10"/>
  <c r="D668" i="10"/>
  <c r="C668" i="10"/>
  <c r="P667" i="10"/>
  <c r="Q667" i="10" s="1"/>
  <c r="N667" i="10"/>
  <c r="O667" i="10" s="1"/>
  <c r="K667" i="10"/>
  <c r="D667" i="10"/>
  <c r="C667" i="10"/>
  <c r="P666" i="10"/>
  <c r="Q666" i="10" s="1"/>
  <c r="N666" i="10"/>
  <c r="O666" i="10" s="1"/>
  <c r="K666" i="10"/>
  <c r="D666" i="10"/>
  <c r="C666" i="10"/>
  <c r="P665" i="10"/>
  <c r="Q665" i="10" s="1"/>
  <c r="K665" i="10"/>
  <c r="D665" i="10"/>
  <c r="C665" i="10"/>
  <c r="P664" i="10"/>
  <c r="Q664" i="10" s="1"/>
  <c r="N664" i="10"/>
  <c r="O664" i="10" s="1"/>
  <c r="K664" i="10"/>
  <c r="D664" i="10"/>
  <c r="C664" i="10"/>
  <c r="P663" i="10"/>
  <c r="Q663" i="10" s="1"/>
  <c r="K663" i="10"/>
  <c r="D663" i="10"/>
  <c r="C663" i="10"/>
  <c r="P662" i="10"/>
  <c r="Q662" i="10" s="1"/>
  <c r="K662" i="10"/>
  <c r="D662" i="10"/>
  <c r="C662" i="10"/>
  <c r="P661" i="10"/>
  <c r="Q661" i="10" s="1"/>
  <c r="N661" i="10"/>
  <c r="O661" i="10" s="1"/>
  <c r="K661" i="10"/>
  <c r="D661" i="10"/>
  <c r="C661" i="10"/>
  <c r="P660" i="10"/>
  <c r="Q660" i="10" s="1"/>
  <c r="N660" i="10"/>
  <c r="O660" i="10" s="1"/>
  <c r="K660" i="10"/>
  <c r="D660" i="10"/>
  <c r="C660" i="10"/>
  <c r="P659" i="10"/>
  <c r="Q659" i="10" s="1"/>
  <c r="N659" i="10"/>
  <c r="O659" i="10" s="1"/>
  <c r="K659" i="10"/>
  <c r="D659" i="10"/>
  <c r="C659" i="10"/>
  <c r="P658" i="10"/>
  <c r="Q658" i="10" s="1"/>
  <c r="N658" i="10"/>
  <c r="O658" i="10" s="1"/>
  <c r="K658" i="10"/>
  <c r="D658" i="10"/>
  <c r="C658" i="10"/>
  <c r="P657" i="10"/>
  <c r="Q657" i="10" s="1"/>
  <c r="K657" i="10"/>
  <c r="D657" i="10"/>
  <c r="C657" i="10"/>
  <c r="P656" i="10"/>
  <c r="Q656" i="10" s="1"/>
  <c r="N656" i="10"/>
  <c r="O656" i="10" s="1"/>
  <c r="K656" i="10"/>
  <c r="D656" i="10"/>
  <c r="C656" i="10"/>
  <c r="P655" i="10"/>
  <c r="Q655" i="10" s="1"/>
  <c r="N655" i="10"/>
  <c r="O655" i="10" s="1"/>
  <c r="K655" i="10"/>
  <c r="D655" i="10"/>
  <c r="C655" i="10"/>
  <c r="P654" i="10"/>
  <c r="Q654" i="10" s="1"/>
  <c r="N654" i="10"/>
  <c r="O654" i="10" s="1"/>
  <c r="K654" i="10"/>
  <c r="D654" i="10"/>
  <c r="C654" i="10"/>
  <c r="P653" i="10"/>
  <c r="Q653" i="10" s="1"/>
  <c r="N653" i="10"/>
  <c r="O653" i="10" s="1"/>
  <c r="K653" i="10"/>
  <c r="D653" i="10"/>
  <c r="C653" i="10"/>
  <c r="P652" i="10"/>
  <c r="Q652" i="10" s="1"/>
  <c r="K652" i="10"/>
  <c r="D652" i="10"/>
  <c r="C652" i="10"/>
  <c r="P651" i="10"/>
  <c r="Q651" i="10" s="1"/>
  <c r="N651" i="10"/>
  <c r="O651" i="10" s="1"/>
  <c r="K651" i="10"/>
  <c r="D651" i="10"/>
  <c r="C651" i="10"/>
  <c r="P650" i="10"/>
  <c r="Q650" i="10" s="1"/>
  <c r="N650" i="10"/>
  <c r="O650" i="10" s="1"/>
  <c r="K650" i="10"/>
  <c r="D650" i="10"/>
  <c r="C650" i="10"/>
  <c r="P649" i="10"/>
  <c r="Q649" i="10" s="1"/>
  <c r="K649" i="10"/>
  <c r="D649" i="10"/>
  <c r="C649" i="10"/>
  <c r="P648" i="10"/>
  <c r="Q648" i="10" s="1"/>
  <c r="N648" i="10"/>
  <c r="O648" i="10" s="1"/>
  <c r="K648" i="10"/>
  <c r="D648" i="10"/>
  <c r="C648" i="10"/>
  <c r="P647" i="10"/>
  <c r="Q647" i="10" s="1"/>
  <c r="K647" i="10"/>
  <c r="D647" i="10"/>
  <c r="C647" i="10"/>
  <c r="P646" i="10"/>
  <c r="Q646" i="10" s="1"/>
  <c r="N646" i="10"/>
  <c r="O646" i="10" s="1"/>
  <c r="K646" i="10"/>
  <c r="D646" i="10"/>
  <c r="C646" i="10"/>
  <c r="P645" i="10"/>
  <c r="Q645" i="10" s="1"/>
  <c r="K645" i="10"/>
  <c r="D645" i="10"/>
  <c r="C645" i="10"/>
  <c r="P644" i="10"/>
  <c r="Q644" i="10" s="1"/>
  <c r="N644" i="10"/>
  <c r="O644" i="10" s="1"/>
  <c r="K644" i="10"/>
  <c r="D644" i="10"/>
  <c r="C644" i="10"/>
  <c r="P643" i="10"/>
  <c r="Q643" i="10" s="1"/>
  <c r="K643" i="10"/>
  <c r="D643" i="10"/>
  <c r="C643" i="10"/>
  <c r="P642" i="10"/>
  <c r="Q642" i="10" s="1"/>
  <c r="N642" i="10"/>
  <c r="O642" i="10" s="1"/>
  <c r="K642" i="10"/>
  <c r="D642" i="10"/>
  <c r="C642" i="10"/>
  <c r="P641" i="10"/>
  <c r="Q641" i="10" s="1"/>
  <c r="K641" i="10"/>
  <c r="D641" i="10"/>
  <c r="C641" i="10"/>
  <c r="P640" i="10"/>
  <c r="Q640" i="10" s="1"/>
  <c r="N640" i="10"/>
  <c r="O640" i="10" s="1"/>
  <c r="K640" i="10"/>
  <c r="D640" i="10"/>
  <c r="C640" i="10"/>
  <c r="P639" i="10"/>
  <c r="Q639" i="10" s="1"/>
  <c r="N639" i="10"/>
  <c r="O639" i="10" s="1"/>
  <c r="K639" i="10"/>
  <c r="D639" i="10"/>
  <c r="C639" i="10"/>
  <c r="P638" i="10"/>
  <c r="Q638" i="10" s="1"/>
  <c r="N638" i="10"/>
  <c r="O638" i="10" s="1"/>
  <c r="K638" i="10"/>
  <c r="D638" i="10"/>
  <c r="C638" i="10"/>
  <c r="P637" i="10"/>
  <c r="Q637" i="10" s="1"/>
  <c r="K637" i="10"/>
  <c r="D637" i="10"/>
  <c r="C637" i="10"/>
  <c r="P636" i="10"/>
  <c r="Q636" i="10" s="1"/>
  <c r="N636" i="10"/>
  <c r="O636" i="10" s="1"/>
  <c r="K636" i="10"/>
  <c r="D636" i="10"/>
  <c r="C636" i="10"/>
  <c r="P635" i="10"/>
  <c r="Q635" i="10" s="1"/>
  <c r="N635" i="10"/>
  <c r="O635" i="10" s="1"/>
  <c r="K635" i="10"/>
  <c r="D635" i="10"/>
  <c r="C635" i="10"/>
  <c r="P634" i="10"/>
  <c r="Q634" i="10" s="1"/>
  <c r="N634" i="10"/>
  <c r="O634" i="10" s="1"/>
  <c r="K634" i="10"/>
  <c r="D634" i="10"/>
  <c r="C634" i="10"/>
  <c r="P633" i="10"/>
  <c r="Q633" i="10" s="1"/>
  <c r="K633" i="10"/>
  <c r="D633" i="10"/>
  <c r="C633" i="10"/>
  <c r="P632" i="10"/>
  <c r="Q632" i="10" s="1"/>
  <c r="N632" i="10"/>
  <c r="O632" i="10" s="1"/>
  <c r="K632" i="10"/>
  <c r="D632" i="10"/>
  <c r="C632" i="10"/>
  <c r="P631" i="10"/>
  <c r="Q631" i="10" s="1"/>
  <c r="K631" i="10"/>
  <c r="D631" i="10"/>
  <c r="C631" i="10"/>
  <c r="P630" i="10"/>
  <c r="Q630" i="10" s="1"/>
  <c r="N630" i="10"/>
  <c r="O630" i="10" s="1"/>
  <c r="K630" i="10"/>
  <c r="D630" i="10"/>
  <c r="C630" i="10"/>
  <c r="P629" i="10"/>
  <c r="Q629" i="10" s="1"/>
  <c r="N629" i="10"/>
  <c r="O629" i="10" s="1"/>
  <c r="K629" i="10"/>
  <c r="D629" i="10"/>
  <c r="C629" i="10"/>
  <c r="P628" i="10"/>
  <c r="Q628" i="10" s="1"/>
  <c r="K628" i="10"/>
  <c r="D628" i="10"/>
  <c r="C628" i="10"/>
  <c r="P627" i="10"/>
  <c r="Q627" i="10" s="1"/>
  <c r="N627" i="10"/>
  <c r="O627" i="10" s="1"/>
  <c r="K627" i="10"/>
  <c r="D627" i="10"/>
  <c r="C627" i="10"/>
  <c r="P626" i="10"/>
  <c r="Q626" i="10" s="1"/>
  <c r="N626" i="10"/>
  <c r="O626" i="10" s="1"/>
  <c r="K626" i="10"/>
  <c r="D626" i="10"/>
  <c r="C626" i="10"/>
  <c r="P625" i="10"/>
  <c r="Q625" i="10" s="1"/>
  <c r="N625" i="10"/>
  <c r="O625" i="10" s="1"/>
  <c r="K625" i="10"/>
  <c r="D625" i="10"/>
  <c r="C625" i="10"/>
  <c r="P624" i="10"/>
  <c r="Q624" i="10" s="1"/>
  <c r="N624" i="10"/>
  <c r="O624" i="10" s="1"/>
  <c r="K624" i="10"/>
  <c r="D624" i="10"/>
  <c r="C624" i="10"/>
  <c r="P623" i="10"/>
  <c r="Q623" i="10" s="1"/>
  <c r="K623" i="10"/>
  <c r="D623" i="10"/>
  <c r="C623" i="10"/>
  <c r="P622" i="10"/>
  <c r="Q622" i="10" s="1"/>
  <c r="N622" i="10"/>
  <c r="O622" i="10" s="1"/>
  <c r="K622" i="10"/>
  <c r="D622" i="10"/>
  <c r="C622" i="10"/>
  <c r="P621" i="10"/>
  <c r="Q621" i="10" s="1"/>
  <c r="K621" i="10"/>
  <c r="D621" i="10"/>
  <c r="C621" i="10"/>
  <c r="P620" i="10"/>
  <c r="Q620" i="10" s="1"/>
  <c r="N620" i="10"/>
  <c r="O620" i="10" s="1"/>
  <c r="K620" i="10"/>
  <c r="D620" i="10"/>
  <c r="C620" i="10"/>
  <c r="P619" i="10"/>
  <c r="Q619" i="10" s="1"/>
  <c r="K619" i="10"/>
  <c r="D619" i="10"/>
  <c r="C619" i="10"/>
  <c r="P618" i="10"/>
  <c r="Q618" i="10" s="1"/>
  <c r="N618" i="10"/>
  <c r="O618" i="10" s="1"/>
  <c r="K618" i="10"/>
  <c r="D618" i="10"/>
  <c r="C618" i="10"/>
  <c r="P617" i="10"/>
  <c r="Q617" i="10" s="1"/>
  <c r="N617" i="10"/>
  <c r="O617" i="10" s="1"/>
  <c r="K617" i="10"/>
  <c r="D617" i="10"/>
  <c r="C617" i="10"/>
  <c r="P616" i="10"/>
  <c r="Q616" i="10" s="1"/>
  <c r="N616" i="10"/>
  <c r="O616" i="10" s="1"/>
  <c r="K616" i="10"/>
  <c r="D616" i="10"/>
  <c r="C616" i="10"/>
  <c r="P615" i="10"/>
  <c r="Q615" i="10" s="1"/>
  <c r="K615" i="10"/>
  <c r="D615" i="10"/>
  <c r="C615" i="10"/>
  <c r="P614" i="10"/>
  <c r="Q614" i="10" s="1"/>
  <c r="K614" i="10"/>
  <c r="D614" i="10"/>
  <c r="C614" i="10"/>
  <c r="P613" i="10"/>
  <c r="Q613" i="10" s="1"/>
  <c r="N613" i="10"/>
  <c r="O613" i="10" s="1"/>
  <c r="K613" i="10"/>
  <c r="D613" i="10"/>
  <c r="C613" i="10"/>
  <c r="P612" i="10"/>
  <c r="Q612" i="10" s="1"/>
  <c r="N612" i="10"/>
  <c r="O612" i="10" s="1"/>
  <c r="K612" i="10"/>
  <c r="D612" i="10"/>
  <c r="C612" i="10"/>
  <c r="P611" i="10"/>
  <c r="Q611" i="10" s="1"/>
  <c r="N611" i="10"/>
  <c r="O611" i="10" s="1"/>
  <c r="K611" i="10"/>
  <c r="D611" i="10"/>
  <c r="C611" i="10"/>
  <c r="P610" i="10"/>
  <c r="Q610" i="10" s="1"/>
  <c r="N610" i="10"/>
  <c r="O610" i="10" s="1"/>
  <c r="K610" i="10"/>
  <c r="D610" i="10"/>
  <c r="C610" i="10"/>
  <c r="P609" i="10"/>
  <c r="Q609" i="10" s="1"/>
  <c r="K609" i="10"/>
  <c r="D609" i="10"/>
  <c r="C609" i="10"/>
  <c r="P608" i="10"/>
  <c r="Q608" i="10" s="1"/>
  <c r="N608" i="10"/>
  <c r="O608" i="10" s="1"/>
  <c r="K608" i="10"/>
  <c r="D608" i="10"/>
  <c r="C608" i="10"/>
  <c r="P607" i="10"/>
  <c r="Q607" i="10" s="1"/>
  <c r="N607" i="10"/>
  <c r="O607" i="10" s="1"/>
  <c r="K607" i="10"/>
  <c r="D607" i="10"/>
  <c r="C607" i="10"/>
  <c r="P606" i="10"/>
  <c r="Q606" i="10" s="1"/>
  <c r="K606" i="10"/>
  <c r="D606" i="10"/>
  <c r="C606" i="10"/>
  <c r="P605" i="10"/>
  <c r="Q605" i="10" s="1"/>
  <c r="N605" i="10"/>
  <c r="O605" i="10" s="1"/>
  <c r="K605" i="10"/>
  <c r="D605" i="10"/>
  <c r="C605" i="10"/>
  <c r="P604" i="10"/>
  <c r="Q604" i="10" s="1"/>
  <c r="N604" i="10"/>
  <c r="O604" i="10" s="1"/>
  <c r="K604" i="10"/>
  <c r="D604" i="10"/>
  <c r="C604" i="10"/>
  <c r="P603" i="10"/>
  <c r="Q603" i="10" s="1"/>
  <c r="N603" i="10"/>
  <c r="O603" i="10" s="1"/>
  <c r="K603" i="10"/>
  <c r="D603" i="10"/>
  <c r="C603" i="10"/>
  <c r="P602" i="10"/>
  <c r="Q602" i="10" s="1"/>
  <c r="N602" i="10"/>
  <c r="O602" i="10" s="1"/>
  <c r="K602" i="10"/>
  <c r="D602" i="10"/>
  <c r="C602" i="10"/>
  <c r="P601" i="10"/>
  <c r="Q601" i="10" s="1"/>
  <c r="K601" i="10"/>
  <c r="D601" i="10"/>
  <c r="C601" i="10"/>
  <c r="P600" i="10"/>
  <c r="Q600" i="10" s="1"/>
  <c r="N600" i="10"/>
  <c r="O600" i="10" s="1"/>
  <c r="K600" i="10"/>
  <c r="D600" i="10"/>
  <c r="C600" i="10"/>
  <c r="P599" i="10"/>
  <c r="Q599" i="10" s="1"/>
  <c r="N599" i="10"/>
  <c r="O599" i="10" s="1"/>
  <c r="K599" i="10"/>
  <c r="D599" i="10"/>
  <c r="C599" i="10"/>
  <c r="P598" i="10"/>
  <c r="Q598" i="10" s="1"/>
  <c r="N598" i="10"/>
  <c r="O598" i="10" s="1"/>
  <c r="K598" i="10"/>
  <c r="D598" i="10"/>
  <c r="C598" i="10"/>
  <c r="P597" i="10"/>
  <c r="Q597" i="10" s="1"/>
  <c r="N597" i="10"/>
  <c r="O597" i="10" s="1"/>
  <c r="K597" i="10"/>
  <c r="D597" i="10"/>
  <c r="C597" i="10"/>
  <c r="P596" i="10"/>
  <c r="Q596" i="10" s="1"/>
  <c r="N596" i="10"/>
  <c r="O596" i="10" s="1"/>
  <c r="K596" i="10"/>
  <c r="D596" i="10"/>
  <c r="C596" i="10"/>
  <c r="P595" i="10"/>
  <c r="Q595" i="10" s="1"/>
  <c r="K595" i="10"/>
  <c r="D595" i="10"/>
  <c r="C595" i="10"/>
  <c r="P594" i="10"/>
  <c r="Q594" i="10" s="1"/>
  <c r="N594" i="10"/>
  <c r="O594" i="10" s="1"/>
  <c r="K594" i="10"/>
  <c r="D594" i="10"/>
  <c r="C594" i="10"/>
  <c r="P593" i="10"/>
  <c r="Q593" i="10" s="1"/>
  <c r="N593" i="10"/>
  <c r="O593" i="10" s="1"/>
  <c r="K593" i="10"/>
  <c r="D593" i="10"/>
  <c r="C593" i="10"/>
  <c r="P592" i="10"/>
  <c r="Q592" i="10" s="1"/>
  <c r="K592" i="10"/>
  <c r="D592" i="10"/>
  <c r="C592" i="10"/>
  <c r="P591" i="10"/>
  <c r="Q591" i="10" s="1"/>
  <c r="N591" i="10"/>
  <c r="O591" i="10" s="1"/>
  <c r="K591" i="10"/>
  <c r="D591" i="10"/>
  <c r="C591" i="10"/>
  <c r="P590" i="10"/>
  <c r="Q590" i="10" s="1"/>
  <c r="N590" i="10"/>
  <c r="O590" i="10" s="1"/>
  <c r="K590" i="10"/>
  <c r="D590" i="10"/>
  <c r="C590" i="10"/>
  <c r="P589" i="10"/>
  <c r="Q589" i="10" s="1"/>
  <c r="K589" i="10"/>
  <c r="D589" i="10"/>
  <c r="C589" i="10"/>
  <c r="P588" i="10"/>
  <c r="Q588" i="10" s="1"/>
  <c r="N588" i="10"/>
  <c r="O588" i="10" s="1"/>
  <c r="K588" i="10"/>
  <c r="D588" i="10"/>
  <c r="C588" i="10"/>
  <c r="P587" i="10"/>
  <c r="Q587" i="10" s="1"/>
  <c r="N587" i="10"/>
  <c r="O587" i="10" s="1"/>
  <c r="K587" i="10"/>
  <c r="D587" i="10"/>
  <c r="C587" i="10"/>
  <c r="P586" i="10"/>
  <c r="Q586" i="10" s="1"/>
  <c r="N586" i="10"/>
  <c r="O586" i="10" s="1"/>
  <c r="K586" i="10"/>
  <c r="D586" i="10"/>
  <c r="C586" i="10"/>
  <c r="P585" i="10"/>
  <c r="Q585" i="10" s="1"/>
  <c r="N585" i="10"/>
  <c r="O585" i="10" s="1"/>
  <c r="K585" i="10"/>
  <c r="D585" i="10"/>
  <c r="C585" i="10"/>
  <c r="P584" i="10"/>
  <c r="Q584" i="10" s="1"/>
  <c r="K584" i="10"/>
  <c r="D584" i="10"/>
  <c r="C584" i="10"/>
  <c r="P583" i="10"/>
  <c r="Q583" i="10" s="1"/>
  <c r="N583" i="10"/>
  <c r="O583" i="10" s="1"/>
  <c r="K583" i="10"/>
  <c r="D583" i="10"/>
  <c r="C583" i="10"/>
  <c r="P582" i="10"/>
  <c r="Q582" i="10" s="1"/>
  <c r="N582" i="10"/>
  <c r="O582" i="10" s="1"/>
  <c r="K582" i="10"/>
  <c r="D582" i="10"/>
  <c r="C582" i="10"/>
  <c r="P581" i="10"/>
  <c r="Q581" i="10" s="1"/>
  <c r="N581" i="10"/>
  <c r="O581" i="10" s="1"/>
  <c r="K581" i="10"/>
  <c r="D581" i="10"/>
  <c r="C581" i="10"/>
  <c r="P580" i="10"/>
  <c r="Q580" i="10" s="1"/>
  <c r="K580" i="10"/>
  <c r="D580" i="10"/>
  <c r="C580" i="10"/>
  <c r="P579" i="10"/>
  <c r="Q579" i="10" s="1"/>
  <c r="K579" i="10"/>
  <c r="D579" i="10"/>
  <c r="C579" i="10"/>
  <c r="P578" i="10"/>
  <c r="Q578" i="10" s="1"/>
  <c r="K578" i="10"/>
  <c r="D578" i="10"/>
  <c r="C578" i="10"/>
  <c r="P577" i="10"/>
  <c r="Q577" i="10" s="1"/>
  <c r="N577" i="10"/>
  <c r="O577" i="10" s="1"/>
  <c r="K577" i="10"/>
  <c r="D577" i="10"/>
  <c r="C577" i="10"/>
  <c r="P576" i="10"/>
  <c r="Q576" i="10" s="1"/>
  <c r="K576" i="10"/>
  <c r="D576" i="10"/>
  <c r="C576" i="10"/>
  <c r="P575" i="10"/>
  <c r="Q575" i="10" s="1"/>
  <c r="N575" i="10"/>
  <c r="O575" i="10" s="1"/>
  <c r="K575" i="10"/>
  <c r="D575" i="10"/>
  <c r="C575" i="10"/>
  <c r="P574" i="10"/>
  <c r="Q574" i="10" s="1"/>
  <c r="K574" i="10"/>
  <c r="D574" i="10"/>
  <c r="C574" i="10"/>
  <c r="P573" i="10"/>
  <c r="Q573" i="10" s="1"/>
  <c r="N573" i="10"/>
  <c r="O573" i="10" s="1"/>
  <c r="K573" i="10"/>
  <c r="D573" i="10"/>
  <c r="C573" i="10"/>
  <c r="P572" i="10"/>
  <c r="Q572" i="10" s="1"/>
  <c r="N572" i="10"/>
  <c r="O572" i="10" s="1"/>
  <c r="K572" i="10"/>
  <c r="D572" i="10"/>
  <c r="C572" i="10"/>
  <c r="P571" i="10"/>
  <c r="Q571" i="10" s="1"/>
  <c r="N571" i="10"/>
  <c r="O571" i="10" s="1"/>
  <c r="K571" i="10"/>
  <c r="D571" i="10"/>
  <c r="C571" i="10"/>
  <c r="P570" i="10"/>
  <c r="Q570" i="10" s="1"/>
  <c r="N570" i="10"/>
  <c r="O570" i="10" s="1"/>
  <c r="K570" i="10"/>
  <c r="D570" i="10"/>
  <c r="C570" i="10"/>
  <c r="P569" i="10"/>
  <c r="Q569" i="10" s="1"/>
  <c r="N569" i="10"/>
  <c r="O569" i="10" s="1"/>
  <c r="K569" i="10"/>
  <c r="D569" i="10"/>
  <c r="C569" i="10"/>
  <c r="P568" i="10"/>
  <c r="Q568" i="10" s="1"/>
  <c r="K568" i="10"/>
  <c r="D568" i="10"/>
  <c r="C568" i="10"/>
  <c r="P567" i="10"/>
  <c r="Q567" i="10" s="1"/>
  <c r="N567" i="10"/>
  <c r="O567" i="10" s="1"/>
  <c r="K567" i="10"/>
  <c r="D567" i="10"/>
  <c r="C567" i="10"/>
  <c r="P566" i="10"/>
  <c r="Q566" i="10" s="1"/>
  <c r="N566" i="10"/>
  <c r="O566" i="10" s="1"/>
  <c r="K566" i="10"/>
  <c r="D566" i="10"/>
  <c r="C566" i="10"/>
  <c r="P565" i="10"/>
  <c r="Q565" i="10" s="1"/>
  <c r="N565" i="10"/>
  <c r="O565" i="10" s="1"/>
  <c r="K565" i="10"/>
  <c r="D565" i="10"/>
  <c r="C565" i="10"/>
  <c r="P564" i="10"/>
  <c r="Q564" i="10" s="1"/>
  <c r="N564" i="10"/>
  <c r="O564" i="10" s="1"/>
  <c r="K564" i="10"/>
  <c r="D564" i="10"/>
  <c r="C564" i="10"/>
  <c r="P563" i="10"/>
  <c r="Q563" i="10" s="1"/>
  <c r="N563" i="10"/>
  <c r="O563" i="10" s="1"/>
  <c r="K563" i="10"/>
  <c r="D563" i="10"/>
  <c r="C563" i="10"/>
  <c r="P562" i="10"/>
  <c r="Q562" i="10" s="1"/>
  <c r="K562" i="10"/>
  <c r="D562" i="10"/>
  <c r="C562" i="10"/>
  <c r="P561" i="10"/>
  <c r="Q561" i="10" s="1"/>
  <c r="N561" i="10"/>
  <c r="O561" i="10" s="1"/>
  <c r="K561" i="10"/>
  <c r="D561" i="10"/>
  <c r="C561" i="10"/>
  <c r="P560" i="10"/>
  <c r="Q560" i="10" s="1"/>
  <c r="K560" i="10"/>
  <c r="D560" i="10"/>
  <c r="C560" i="10"/>
  <c r="P559" i="10"/>
  <c r="Q559" i="10" s="1"/>
  <c r="N559" i="10"/>
  <c r="O559" i="10" s="1"/>
  <c r="K559" i="10"/>
  <c r="D559" i="10"/>
  <c r="C559" i="10"/>
  <c r="P558" i="10"/>
  <c r="Q558" i="10" s="1"/>
  <c r="K558" i="10"/>
  <c r="D558" i="10"/>
  <c r="C558" i="10"/>
  <c r="P557" i="10"/>
  <c r="Q557" i="10" s="1"/>
  <c r="K557" i="10"/>
  <c r="D557" i="10"/>
  <c r="C557" i="10"/>
  <c r="P556" i="10"/>
  <c r="Q556" i="10" s="1"/>
  <c r="K556" i="10"/>
  <c r="D556" i="10"/>
  <c r="C556" i="10"/>
  <c r="P555" i="10"/>
  <c r="Q555" i="10" s="1"/>
  <c r="N555" i="10"/>
  <c r="O555" i="10" s="1"/>
  <c r="K555" i="10"/>
  <c r="D555" i="10"/>
  <c r="C555" i="10"/>
  <c r="P554" i="10"/>
  <c r="Q554" i="10" s="1"/>
  <c r="N554" i="10"/>
  <c r="O554" i="10" s="1"/>
  <c r="K554" i="10"/>
  <c r="D554" i="10"/>
  <c r="C554" i="10"/>
  <c r="P553" i="10"/>
  <c r="Q553" i="10" s="1"/>
  <c r="N553" i="10"/>
  <c r="O553" i="10" s="1"/>
  <c r="K553" i="10"/>
  <c r="D553" i="10"/>
  <c r="C553" i="10"/>
  <c r="P552" i="10"/>
  <c r="Q552" i="10" s="1"/>
  <c r="N552" i="10"/>
  <c r="O552" i="10" s="1"/>
  <c r="K552" i="10"/>
  <c r="D552" i="10"/>
  <c r="C552" i="10"/>
  <c r="P551" i="10"/>
  <c r="Q551" i="10" s="1"/>
  <c r="N551" i="10"/>
  <c r="O551" i="10" s="1"/>
  <c r="K551" i="10"/>
  <c r="D551" i="10"/>
  <c r="C551" i="10"/>
  <c r="P550" i="10"/>
  <c r="Q550" i="10" s="1"/>
  <c r="N550" i="10"/>
  <c r="O550" i="10" s="1"/>
  <c r="K550" i="10"/>
  <c r="D550" i="10"/>
  <c r="C550" i="10"/>
  <c r="P549" i="10"/>
  <c r="Q549" i="10" s="1"/>
  <c r="N549" i="10"/>
  <c r="O549" i="10" s="1"/>
  <c r="K549" i="10"/>
  <c r="D549" i="10"/>
  <c r="C549" i="10"/>
  <c r="P548" i="10"/>
  <c r="Q548" i="10" s="1"/>
  <c r="N548" i="10"/>
  <c r="O548" i="10" s="1"/>
  <c r="K548" i="10"/>
  <c r="D548" i="10"/>
  <c r="C548" i="10"/>
  <c r="P547" i="10"/>
  <c r="Q547" i="10" s="1"/>
  <c r="N547" i="10"/>
  <c r="O547" i="10" s="1"/>
  <c r="K547" i="10"/>
  <c r="D547" i="10"/>
  <c r="C547" i="10"/>
  <c r="P546" i="10"/>
  <c r="Q546" i="10" s="1"/>
  <c r="K546" i="10"/>
  <c r="D546" i="10"/>
  <c r="C546" i="10"/>
  <c r="P545" i="10"/>
  <c r="Q545" i="10" s="1"/>
  <c r="N545" i="10"/>
  <c r="O545" i="10" s="1"/>
  <c r="K545" i="10"/>
  <c r="D545" i="10"/>
  <c r="C545" i="10"/>
  <c r="P544" i="10"/>
  <c r="Q544" i="10" s="1"/>
  <c r="K544" i="10"/>
  <c r="D544" i="10"/>
  <c r="C544" i="10"/>
  <c r="P543" i="10"/>
  <c r="Q543" i="10" s="1"/>
  <c r="K543" i="10"/>
  <c r="D543" i="10"/>
  <c r="C543" i="10"/>
  <c r="P542" i="10"/>
  <c r="Q542" i="10" s="1"/>
  <c r="N542" i="10"/>
  <c r="O542" i="10" s="1"/>
  <c r="K542" i="10"/>
  <c r="D542" i="10"/>
  <c r="C542" i="10"/>
  <c r="P541" i="10"/>
  <c r="Q541" i="10" s="1"/>
  <c r="K541" i="10"/>
  <c r="D541" i="10"/>
  <c r="C541" i="10"/>
  <c r="P540" i="10"/>
  <c r="Q540" i="10" s="1"/>
  <c r="N540" i="10"/>
  <c r="O540" i="10" s="1"/>
  <c r="K540" i="10"/>
  <c r="D540" i="10"/>
  <c r="C540" i="10"/>
  <c r="P539" i="10"/>
  <c r="Q539" i="10" s="1"/>
  <c r="N539" i="10"/>
  <c r="O539" i="10" s="1"/>
  <c r="K539" i="10"/>
  <c r="D539" i="10"/>
  <c r="C539" i="10"/>
  <c r="P538" i="10"/>
  <c r="Q538" i="10" s="1"/>
  <c r="K538" i="10"/>
  <c r="D538" i="10"/>
  <c r="C538" i="10"/>
  <c r="P537" i="10"/>
  <c r="Q537" i="10" s="1"/>
  <c r="N537" i="10"/>
  <c r="O537" i="10" s="1"/>
  <c r="K537" i="10"/>
  <c r="D537" i="10"/>
  <c r="C537" i="10"/>
  <c r="P536" i="10"/>
  <c r="Q536" i="10" s="1"/>
  <c r="N536" i="10"/>
  <c r="O536" i="10" s="1"/>
  <c r="K536" i="10"/>
  <c r="D536" i="10"/>
  <c r="C536" i="10"/>
  <c r="P535" i="10"/>
  <c r="Q535" i="10" s="1"/>
  <c r="K535" i="10"/>
  <c r="D535" i="10"/>
  <c r="C535" i="10"/>
  <c r="P534" i="10"/>
  <c r="Q534" i="10" s="1"/>
  <c r="N534" i="10"/>
  <c r="O534" i="10" s="1"/>
  <c r="K534" i="10"/>
  <c r="D534" i="10"/>
  <c r="C534" i="10"/>
  <c r="P533" i="10"/>
  <c r="Q533" i="10" s="1"/>
  <c r="K533" i="10"/>
  <c r="D533" i="10"/>
  <c r="C533" i="10"/>
  <c r="P532" i="10"/>
  <c r="Q532" i="10" s="1"/>
  <c r="K532" i="10"/>
  <c r="D532" i="10"/>
  <c r="C532" i="10"/>
  <c r="P531" i="10"/>
  <c r="Q531" i="10" s="1"/>
  <c r="K531" i="10"/>
  <c r="D531" i="10"/>
  <c r="C531" i="10"/>
  <c r="P530" i="10"/>
  <c r="Q530" i="10" s="1"/>
  <c r="N530" i="10"/>
  <c r="O530" i="10" s="1"/>
  <c r="K530" i="10"/>
  <c r="D530" i="10"/>
  <c r="C530" i="10"/>
  <c r="P529" i="10"/>
  <c r="Q529" i="10" s="1"/>
  <c r="N529" i="10"/>
  <c r="O529" i="10" s="1"/>
  <c r="K529" i="10"/>
  <c r="D529" i="10"/>
  <c r="C529" i="10"/>
  <c r="P528" i="10"/>
  <c r="Q528" i="10" s="1"/>
  <c r="N528" i="10"/>
  <c r="O528" i="10" s="1"/>
  <c r="K528" i="10"/>
  <c r="D528" i="10"/>
  <c r="C528" i="10"/>
  <c r="P527" i="10"/>
  <c r="Q527" i="10" s="1"/>
  <c r="K527" i="10"/>
  <c r="D527" i="10"/>
  <c r="C527" i="10"/>
  <c r="P526" i="10"/>
  <c r="Q526" i="10" s="1"/>
  <c r="K526" i="10"/>
  <c r="D526" i="10"/>
  <c r="C526" i="10"/>
  <c r="P525" i="10"/>
  <c r="Q525" i="10" s="1"/>
  <c r="N525" i="10"/>
  <c r="O525" i="10" s="1"/>
  <c r="K525" i="10"/>
  <c r="D525" i="10"/>
  <c r="C525" i="10"/>
  <c r="P524" i="10"/>
  <c r="Q524" i="10" s="1"/>
  <c r="N524" i="10"/>
  <c r="O524" i="10" s="1"/>
  <c r="K524" i="10"/>
  <c r="D524" i="10"/>
  <c r="C524" i="10"/>
  <c r="P523" i="10"/>
  <c r="Q523" i="10" s="1"/>
  <c r="N523" i="10"/>
  <c r="O523" i="10" s="1"/>
  <c r="K523" i="10"/>
  <c r="D523" i="10"/>
  <c r="C523" i="10"/>
  <c r="P522" i="10"/>
  <c r="Q522" i="10" s="1"/>
  <c r="K522" i="10"/>
  <c r="D522" i="10"/>
  <c r="C522" i="10"/>
  <c r="P521" i="10"/>
  <c r="Q521" i="10" s="1"/>
  <c r="N521" i="10"/>
  <c r="O521" i="10" s="1"/>
  <c r="K521" i="10"/>
  <c r="D521" i="10"/>
  <c r="C521" i="10"/>
  <c r="P520" i="10"/>
  <c r="Q520" i="10" s="1"/>
  <c r="N520" i="10"/>
  <c r="O520" i="10" s="1"/>
  <c r="K520" i="10"/>
  <c r="D520" i="10"/>
  <c r="C520" i="10"/>
  <c r="P519" i="10"/>
  <c r="Q519" i="10" s="1"/>
  <c r="K519" i="10"/>
  <c r="D519" i="10"/>
  <c r="C519" i="10"/>
  <c r="P518" i="10"/>
  <c r="Q518" i="10" s="1"/>
  <c r="N518" i="10"/>
  <c r="O518" i="10" s="1"/>
  <c r="K518" i="10"/>
  <c r="D518" i="10"/>
  <c r="C518" i="10"/>
  <c r="P517" i="10"/>
  <c r="Q517" i="10" s="1"/>
  <c r="N517" i="10"/>
  <c r="O517" i="10" s="1"/>
  <c r="K517" i="10"/>
  <c r="D517" i="10"/>
  <c r="C517" i="10"/>
  <c r="P516" i="10"/>
  <c r="Q516" i="10" s="1"/>
  <c r="N516" i="10"/>
  <c r="O516" i="10" s="1"/>
  <c r="K516" i="10"/>
  <c r="D516" i="10"/>
  <c r="C516" i="10"/>
  <c r="P515" i="10"/>
  <c r="Q515" i="10" s="1"/>
  <c r="K515" i="10"/>
  <c r="D515" i="10"/>
  <c r="C515" i="10"/>
  <c r="P514" i="10"/>
  <c r="Q514" i="10" s="1"/>
  <c r="N514" i="10"/>
  <c r="O514" i="10" s="1"/>
  <c r="K514" i="10"/>
  <c r="D514" i="10"/>
  <c r="C514" i="10"/>
  <c r="P513" i="10"/>
  <c r="Q513" i="10" s="1"/>
  <c r="K513" i="10"/>
  <c r="D513" i="10"/>
  <c r="C513" i="10"/>
  <c r="P512" i="10"/>
  <c r="Q512" i="10" s="1"/>
  <c r="N512" i="10"/>
  <c r="O512" i="10" s="1"/>
  <c r="K512" i="10"/>
  <c r="D512" i="10"/>
  <c r="C512" i="10"/>
  <c r="P511" i="10"/>
  <c r="Q511" i="10" s="1"/>
  <c r="K511" i="10"/>
  <c r="D511" i="10"/>
  <c r="C511" i="10"/>
  <c r="P510" i="10"/>
  <c r="Q510" i="10" s="1"/>
  <c r="N510" i="10"/>
  <c r="O510" i="10" s="1"/>
  <c r="K510" i="10"/>
  <c r="D510" i="10"/>
  <c r="C510" i="10"/>
  <c r="P509" i="10"/>
  <c r="Q509" i="10" s="1"/>
  <c r="N509" i="10"/>
  <c r="O509" i="10" s="1"/>
  <c r="K509" i="10"/>
  <c r="D509" i="10"/>
  <c r="C509" i="10"/>
  <c r="P508" i="10"/>
  <c r="Q508" i="10" s="1"/>
  <c r="N508" i="10"/>
  <c r="O508" i="10" s="1"/>
  <c r="K508" i="10"/>
  <c r="D508" i="10"/>
  <c r="C508" i="10"/>
  <c r="P507" i="10"/>
  <c r="Q507" i="10" s="1"/>
  <c r="K507" i="10"/>
  <c r="D507" i="10"/>
  <c r="C507" i="10"/>
  <c r="P506" i="10"/>
  <c r="Q506" i="10" s="1"/>
  <c r="N506" i="10"/>
  <c r="O506" i="10" s="1"/>
  <c r="K506" i="10"/>
  <c r="D506" i="10"/>
  <c r="C506" i="10"/>
  <c r="P505" i="10"/>
  <c r="Q505" i="10" s="1"/>
  <c r="N505" i="10"/>
  <c r="O505" i="10" s="1"/>
  <c r="K505" i="10"/>
  <c r="D505" i="10"/>
  <c r="C505" i="10"/>
  <c r="P504" i="10"/>
  <c r="Q504" i="10" s="1"/>
  <c r="N504" i="10"/>
  <c r="O504" i="10" s="1"/>
  <c r="K504" i="10"/>
  <c r="D504" i="10"/>
  <c r="C504" i="10"/>
  <c r="P503" i="10"/>
  <c r="Q503" i="10" s="1"/>
  <c r="K503" i="10"/>
  <c r="D503" i="10"/>
  <c r="C503" i="10"/>
  <c r="P502" i="10"/>
  <c r="Q502" i="10" s="1"/>
  <c r="N502" i="10"/>
  <c r="O502" i="10" s="1"/>
  <c r="K502" i="10"/>
  <c r="D502" i="10"/>
  <c r="C502" i="10"/>
  <c r="P501" i="10"/>
  <c r="Q501" i="10" s="1"/>
  <c r="K501" i="10"/>
  <c r="D501" i="10"/>
  <c r="C501" i="10"/>
  <c r="P500" i="10"/>
  <c r="Q500" i="10" s="1"/>
  <c r="N500" i="10"/>
  <c r="O500" i="10" s="1"/>
  <c r="K500" i="10"/>
  <c r="D500" i="10"/>
  <c r="C500" i="10"/>
  <c r="P499" i="10"/>
  <c r="Q499" i="10" s="1"/>
  <c r="N499" i="10"/>
  <c r="O499" i="10" s="1"/>
  <c r="K499" i="10"/>
  <c r="D499" i="10"/>
  <c r="C499" i="10"/>
  <c r="P498" i="10"/>
  <c r="Q498" i="10" s="1"/>
  <c r="N498" i="10"/>
  <c r="O498" i="10" s="1"/>
  <c r="K498" i="10"/>
  <c r="D498" i="10"/>
  <c r="C498" i="10"/>
  <c r="P497" i="10"/>
  <c r="Q497" i="10" s="1"/>
  <c r="N497" i="10"/>
  <c r="O497" i="10" s="1"/>
  <c r="K497" i="10"/>
  <c r="D497" i="10"/>
  <c r="C497" i="10"/>
  <c r="P496" i="10"/>
  <c r="Q496" i="10" s="1"/>
  <c r="N496" i="10"/>
  <c r="O496" i="10" s="1"/>
  <c r="K496" i="10"/>
  <c r="D496" i="10"/>
  <c r="C496" i="10"/>
  <c r="P495" i="10"/>
  <c r="Q495" i="10" s="1"/>
  <c r="N495" i="10"/>
  <c r="O495" i="10" s="1"/>
  <c r="K495" i="10"/>
  <c r="D495" i="10"/>
  <c r="C495" i="10"/>
  <c r="P494" i="10"/>
  <c r="Q494" i="10" s="1"/>
  <c r="N494" i="10"/>
  <c r="O494" i="10" s="1"/>
  <c r="K494" i="10"/>
  <c r="D494" i="10"/>
  <c r="C494" i="10"/>
  <c r="P493" i="10"/>
  <c r="Q493" i="10" s="1"/>
  <c r="N493" i="10"/>
  <c r="O493" i="10" s="1"/>
  <c r="K493" i="10"/>
  <c r="D493" i="10"/>
  <c r="C493" i="10"/>
  <c r="P492" i="10"/>
  <c r="Q492" i="10" s="1"/>
  <c r="N492" i="10"/>
  <c r="O492" i="10" s="1"/>
  <c r="K492" i="10"/>
  <c r="D492" i="10"/>
  <c r="C492" i="10"/>
  <c r="P491" i="10"/>
  <c r="Q491" i="10" s="1"/>
  <c r="N491" i="10"/>
  <c r="O491" i="10" s="1"/>
  <c r="K491" i="10"/>
  <c r="D491" i="10"/>
  <c r="C491" i="10"/>
  <c r="P490" i="10"/>
  <c r="Q490" i="10" s="1"/>
  <c r="N490" i="10"/>
  <c r="O490" i="10" s="1"/>
  <c r="K490" i="10"/>
  <c r="D490" i="10"/>
  <c r="C490" i="10"/>
  <c r="P489" i="10"/>
  <c r="Q489" i="10" s="1"/>
  <c r="N489" i="10"/>
  <c r="O489" i="10" s="1"/>
  <c r="K489" i="10"/>
  <c r="D489" i="10"/>
  <c r="C489" i="10"/>
  <c r="P488" i="10"/>
  <c r="Q488" i="10" s="1"/>
  <c r="N488" i="10"/>
  <c r="O488" i="10" s="1"/>
  <c r="K488" i="10"/>
  <c r="D488" i="10"/>
  <c r="C488" i="10"/>
  <c r="P487" i="10"/>
  <c r="Q487" i="10" s="1"/>
  <c r="N487" i="10"/>
  <c r="O487" i="10" s="1"/>
  <c r="K487" i="10"/>
  <c r="D487" i="10"/>
  <c r="C487" i="10"/>
  <c r="P486" i="10"/>
  <c r="Q486" i="10" s="1"/>
  <c r="N486" i="10"/>
  <c r="O486" i="10" s="1"/>
  <c r="K486" i="10"/>
  <c r="D486" i="10"/>
  <c r="C486" i="10"/>
  <c r="P485" i="10"/>
  <c r="Q485" i="10" s="1"/>
  <c r="N485" i="10"/>
  <c r="O485" i="10" s="1"/>
  <c r="K485" i="10"/>
  <c r="D485" i="10"/>
  <c r="C485" i="10"/>
  <c r="P484" i="10"/>
  <c r="Q484" i="10" s="1"/>
  <c r="K484" i="10"/>
  <c r="D484" i="10"/>
  <c r="C484" i="10"/>
  <c r="P483" i="10"/>
  <c r="Q483" i="10" s="1"/>
  <c r="N483" i="10"/>
  <c r="O483" i="10" s="1"/>
  <c r="K483" i="10"/>
  <c r="D483" i="10"/>
  <c r="C483" i="10"/>
  <c r="P482" i="10"/>
  <c r="Q482" i="10" s="1"/>
  <c r="K482" i="10"/>
  <c r="D482" i="10"/>
  <c r="C482" i="10"/>
  <c r="P481" i="10"/>
  <c r="Q481" i="10" s="1"/>
  <c r="N481" i="10"/>
  <c r="O481" i="10" s="1"/>
  <c r="K481" i="10"/>
  <c r="D481" i="10"/>
  <c r="C481" i="10"/>
  <c r="P480" i="10"/>
  <c r="Q480" i="10" s="1"/>
  <c r="N480" i="10"/>
  <c r="O480" i="10" s="1"/>
  <c r="K480" i="10"/>
  <c r="D480" i="10"/>
  <c r="C480" i="10"/>
  <c r="P479" i="10"/>
  <c r="Q479" i="10" s="1"/>
  <c r="N479" i="10"/>
  <c r="O479" i="10" s="1"/>
  <c r="K479" i="10"/>
  <c r="D479" i="10"/>
  <c r="C479" i="10"/>
  <c r="P478" i="10"/>
  <c r="Q478" i="10" s="1"/>
  <c r="N478" i="10"/>
  <c r="O478" i="10" s="1"/>
  <c r="K478" i="10"/>
  <c r="D478" i="10"/>
  <c r="C478" i="10"/>
  <c r="P477" i="10"/>
  <c r="Q477" i="10" s="1"/>
  <c r="K477" i="10"/>
  <c r="D477" i="10"/>
  <c r="C477" i="10"/>
  <c r="P476" i="10"/>
  <c r="Q476" i="10" s="1"/>
  <c r="N476" i="10"/>
  <c r="O476" i="10" s="1"/>
  <c r="K476" i="10"/>
  <c r="D476" i="10"/>
  <c r="C476" i="10"/>
  <c r="P475" i="10"/>
  <c r="Q475" i="10" s="1"/>
  <c r="N475" i="10"/>
  <c r="O475" i="10" s="1"/>
  <c r="K475" i="10"/>
  <c r="D475" i="10"/>
  <c r="C475" i="10"/>
  <c r="P474" i="10"/>
  <c r="Q474" i="10" s="1"/>
  <c r="N474" i="10"/>
  <c r="O474" i="10" s="1"/>
  <c r="K474" i="10"/>
  <c r="D474" i="10"/>
  <c r="C474" i="10"/>
  <c r="P473" i="10"/>
  <c r="Q473" i="10" s="1"/>
  <c r="K473" i="10"/>
  <c r="D473" i="10"/>
  <c r="C473" i="10"/>
  <c r="P472" i="10"/>
  <c r="Q472" i="10" s="1"/>
  <c r="N472" i="10"/>
  <c r="O472" i="10" s="1"/>
  <c r="K472" i="10"/>
  <c r="D472" i="10"/>
  <c r="C472" i="10"/>
  <c r="P471" i="10"/>
  <c r="Q471" i="10" s="1"/>
  <c r="K471" i="10"/>
  <c r="D471" i="10"/>
  <c r="C471" i="10"/>
  <c r="P470" i="10"/>
  <c r="Q470" i="10" s="1"/>
  <c r="N470" i="10"/>
  <c r="O470" i="10" s="1"/>
  <c r="K470" i="10"/>
  <c r="D470" i="10"/>
  <c r="C470" i="10"/>
  <c r="P469" i="10"/>
  <c r="Q469" i="10" s="1"/>
  <c r="N469" i="10"/>
  <c r="O469" i="10" s="1"/>
  <c r="K469" i="10"/>
  <c r="D469" i="10"/>
  <c r="C469" i="10"/>
  <c r="P468" i="10"/>
  <c r="Q468" i="10" s="1"/>
  <c r="K468" i="10"/>
  <c r="D468" i="10"/>
  <c r="C468" i="10"/>
  <c r="P467" i="10"/>
  <c r="Q467" i="10" s="1"/>
  <c r="K467" i="10"/>
  <c r="D467" i="10"/>
  <c r="C467" i="10"/>
  <c r="P466" i="10"/>
  <c r="Q466" i="10" s="1"/>
  <c r="N466" i="10"/>
  <c r="O466" i="10" s="1"/>
  <c r="K466" i="10"/>
  <c r="D466" i="10"/>
  <c r="C466" i="10"/>
  <c r="P465" i="10"/>
  <c r="Q465" i="10" s="1"/>
  <c r="N465" i="10"/>
  <c r="O465" i="10" s="1"/>
  <c r="K465" i="10"/>
  <c r="D465" i="10"/>
  <c r="C465" i="10"/>
  <c r="P464" i="10"/>
  <c r="Q464" i="10" s="1"/>
  <c r="K464" i="10"/>
  <c r="D464" i="10"/>
  <c r="C464" i="10"/>
  <c r="P463" i="10"/>
  <c r="Q463" i="10" s="1"/>
  <c r="N463" i="10"/>
  <c r="O463" i="10" s="1"/>
  <c r="K463" i="10"/>
  <c r="D463" i="10"/>
  <c r="C463" i="10"/>
  <c r="P462" i="10"/>
  <c r="Q462" i="10" s="1"/>
  <c r="N462" i="10"/>
  <c r="O462" i="10" s="1"/>
  <c r="K462" i="10"/>
  <c r="D462" i="10"/>
  <c r="C462" i="10"/>
  <c r="P461" i="10"/>
  <c r="Q461" i="10" s="1"/>
  <c r="K461" i="10"/>
  <c r="D461" i="10"/>
  <c r="C461" i="10"/>
  <c r="P460" i="10"/>
  <c r="Q460" i="10" s="1"/>
  <c r="N460" i="10"/>
  <c r="O460" i="10" s="1"/>
  <c r="K460" i="10"/>
  <c r="D460" i="10"/>
  <c r="C460" i="10"/>
  <c r="P459" i="10"/>
  <c r="Q459" i="10" s="1"/>
  <c r="K459" i="10"/>
  <c r="D459" i="10"/>
  <c r="C459" i="10"/>
  <c r="P458" i="10"/>
  <c r="Q458" i="10" s="1"/>
  <c r="N458" i="10"/>
  <c r="O458" i="10" s="1"/>
  <c r="K458" i="10"/>
  <c r="D458" i="10"/>
  <c r="C458" i="10"/>
  <c r="P457" i="10"/>
  <c r="Q457" i="10" s="1"/>
  <c r="N457" i="10"/>
  <c r="O457" i="10" s="1"/>
  <c r="K457" i="10"/>
  <c r="D457" i="10"/>
  <c r="C457" i="10"/>
  <c r="P456" i="10"/>
  <c r="Q456" i="10" s="1"/>
  <c r="N456" i="10"/>
  <c r="O456" i="10" s="1"/>
  <c r="K456" i="10"/>
  <c r="D456" i="10"/>
  <c r="C456" i="10"/>
  <c r="P455" i="10"/>
  <c r="Q455" i="10" s="1"/>
  <c r="N455" i="10"/>
  <c r="O455" i="10" s="1"/>
  <c r="K455" i="10"/>
  <c r="D455" i="10"/>
  <c r="C455" i="10"/>
  <c r="P454" i="10"/>
  <c r="Q454" i="10" s="1"/>
  <c r="N454" i="10"/>
  <c r="O454" i="10" s="1"/>
  <c r="K454" i="10"/>
  <c r="D454" i="10"/>
  <c r="C454" i="10"/>
  <c r="P453" i="10"/>
  <c r="Q453" i="10" s="1"/>
  <c r="N453" i="10"/>
  <c r="O453" i="10" s="1"/>
  <c r="K453" i="10"/>
  <c r="D453" i="10"/>
  <c r="C453" i="10"/>
  <c r="P452" i="10"/>
  <c r="Q452" i="10" s="1"/>
  <c r="N452" i="10"/>
  <c r="O452" i="10" s="1"/>
  <c r="K452" i="10"/>
  <c r="D452" i="10"/>
  <c r="C452" i="10"/>
  <c r="P451" i="10"/>
  <c r="Q451" i="10" s="1"/>
  <c r="N451" i="10"/>
  <c r="O451" i="10" s="1"/>
  <c r="K451" i="10"/>
  <c r="D451" i="10"/>
  <c r="C451" i="10"/>
  <c r="P450" i="10"/>
  <c r="Q450" i="10" s="1"/>
  <c r="N450" i="10"/>
  <c r="O450" i="10" s="1"/>
  <c r="K450" i="10"/>
  <c r="D450" i="10"/>
  <c r="C450" i="10"/>
  <c r="P449" i="10"/>
  <c r="Q449" i="10" s="1"/>
  <c r="N449" i="10"/>
  <c r="O449" i="10" s="1"/>
  <c r="K449" i="10"/>
  <c r="D449" i="10"/>
  <c r="C449" i="10"/>
  <c r="P448" i="10"/>
  <c r="Q448" i="10" s="1"/>
  <c r="K448" i="10"/>
  <c r="D448" i="10"/>
  <c r="C448" i="10"/>
  <c r="P447" i="10"/>
  <c r="Q447" i="10" s="1"/>
  <c r="N447" i="10"/>
  <c r="O447" i="10" s="1"/>
  <c r="K447" i="10"/>
  <c r="D447" i="10"/>
  <c r="C447" i="10"/>
  <c r="P446" i="10"/>
  <c r="Q446" i="10" s="1"/>
  <c r="N446" i="10"/>
  <c r="O446" i="10" s="1"/>
  <c r="K446" i="10"/>
  <c r="D446" i="10"/>
  <c r="C446" i="10"/>
  <c r="P445" i="10"/>
  <c r="Q445" i="10" s="1"/>
  <c r="N445" i="10"/>
  <c r="O445" i="10" s="1"/>
  <c r="K445" i="10"/>
  <c r="D445" i="10"/>
  <c r="C445" i="10"/>
  <c r="P444" i="10"/>
  <c r="Q444" i="10" s="1"/>
  <c r="N444" i="10"/>
  <c r="O444" i="10" s="1"/>
  <c r="K444" i="10"/>
  <c r="D444" i="10"/>
  <c r="C444" i="10"/>
  <c r="P443" i="10"/>
  <c r="Q443" i="10" s="1"/>
  <c r="N443" i="10"/>
  <c r="O443" i="10" s="1"/>
  <c r="K443" i="10"/>
  <c r="D443" i="10"/>
  <c r="C443" i="10"/>
  <c r="P442" i="10"/>
  <c r="Q442" i="10" s="1"/>
  <c r="N442" i="10"/>
  <c r="O442" i="10" s="1"/>
  <c r="K442" i="10"/>
  <c r="D442" i="10"/>
  <c r="C442" i="10"/>
  <c r="P441" i="10"/>
  <c r="Q441" i="10" s="1"/>
  <c r="K441" i="10"/>
  <c r="D441" i="10"/>
  <c r="C441" i="10"/>
  <c r="P440" i="10"/>
  <c r="Q440" i="10" s="1"/>
  <c r="N440" i="10"/>
  <c r="O440" i="10" s="1"/>
  <c r="K440" i="10"/>
  <c r="D440" i="10"/>
  <c r="C440" i="10"/>
  <c r="P439" i="10"/>
  <c r="Q439" i="10" s="1"/>
  <c r="N439" i="10"/>
  <c r="O439" i="10" s="1"/>
  <c r="K439" i="10"/>
  <c r="D439" i="10"/>
  <c r="C439" i="10"/>
  <c r="P438" i="10"/>
  <c r="Q438" i="10" s="1"/>
  <c r="N438" i="10"/>
  <c r="O438" i="10" s="1"/>
  <c r="K438" i="10"/>
  <c r="D438" i="10"/>
  <c r="C438" i="10"/>
  <c r="P437" i="10"/>
  <c r="Q437" i="10" s="1"/>
  <c r="N437" i="10"/>
  <c r="O437" i="10" s="1"/>
  <c r="K437" i="10"/>
  <c r="D437" i="10"/>
  <c r="C437" i="10"/>
  <c r="P436" i="10"/>
  <c r="Q436" i="10" s="1"/>
  <c r="K436" i="10"/>
  <c r="D436" i="10"/>
  <c r="C436" i="10"/>
  <c r="P435" i="10"/>
  <c r="Q435" i="10" s="1"/>
  <c r="N435" i="10"/>
  <c r="O435" i="10" s="1"/>
  <c r="K435" i="10"/>
  <c r="D435" i="10"/>
  <c r="C435" i="10"/>
  <c r="P434" i="10"/>
  <c r="Q434" i="10" s="1"/>
  <c r="N434" i="10"/>
  <c r="O434" i="10" s="1"/>
  <c r="K434" i="10"/>
  <c r="D434" i="10"/>
  <c r="C434" i="10"/>
  <c r="P433" i="10"/>
  <c r="Q433" i="10" s="1"/>
  <c r="N433" i="10"/>
  <c r="O433" i="10" s="1"/>
  <c r="K433" i="10"/>
  <c r="D433" i="10"/>
  <c r="C433" i="10"/>
  <c r="P432" i="10"/>
  <c r="Q432" i="10" s="1"/>
  <c r="N432" i="10"/>
  <c r="O432" i="10" s="1"/>
  <c r="K432" i="10"/>
  <c r="D432" i="10"/>
  <c r="C432" i="10"/>
  <c r="P431" i="10"/>
  <c r="Q431" i="10" s="1"/>
  <c r="N431" i="10"/>
  <c r="O431" i="10" s="1"/>
  <c r="K431" i="10"/>
  <c r="D431" i="10"/>
  <c r="C431" i="10"/>
  <c r="P430" i="10"/>
  <c r="Q430" i="10" s="1"/>
  <c r="K430" i="10"/>
  <c r="D430" i="10"/>
  <c r="C430" i="10"/>
  <c r="P429" i="10"/>
  <c r="Q429" i="10" s="1"/>
  <c r="N429" i="10"/>
  <c r="O429" i="10" s="1"/>
  <c r="K429" i="10"/>
  <c r="D429" i="10"/>
  <c r="C429" i="10"/>
  <c r="P428" i="10"/>
  <c r="Q428" i="10" s="1"/>
  <c r="N428" i="10"/>
  <c r="O428" i="10" s="1"/>
  <c r="K428" i="10"/>
  <c r="D428" i="10"/>
  <c r="C428" i="10"/>
  <c r="P427" i="10"/>
  <c r="Q427" i="10" s="1"/>
  <c r="N427" i="10"/>
  <c r="O427" i="10" s="1"/>
  <c r="K427" i="10"/>
  <c r="D427" i="10"/>
  <c r="C427" i="10"/>
  <c r="P426" i="10"/>
  <c r="Q426" i="10" s="1"/>
  <c r="K426" i="10"/>
  <c r="D426" i="10"/>
  <c r="C426" i="10"/>
  <c r="P425" i="10"/>
  <c r="Q425" i="10" s="1"/>
  <c r="K425" i="10"/>
  <c r="D425" i="10"/>
  <c r="C425" i="10"/>
  <c r="P424" i="10"/>
  <c r="Q424" i="10" s="1"/>
  <c r="K424" i="10"/>
  <c r="D424" i="10"/>
  <c r="C424" i="10"/>
  <c r="P423" i="10"/>
  <c r="Q423" i="10" s="1"/>
  <c r="N423" i="10"/>
  <c r="O423" i="10" s="1"/>
  <c r="K423" i="10"/>
  <c r="D423" i="10"/>
  <c r="C423" i="10"/>
  <c r="P422" i="10"/>
  <c r="Q422" i="10" s="1"/>
  <c r="K422" i="10"/>
  <c r="D422" i="10"/>
  <c r="C422" i="10"/>
  <c r="P421" i="10"/>
  <c r="Q421" i="10" s="1"/>
  <c r="N421" i="10"/>
  <c r="O421" i="10" s="1"/>
  <c r="K421" i="10"/>
  <c r="D421" i="10"/>
  <c r="C421" i="10"/>
  <c r="P420" i="10"/>
  <c r="Q420" i="10" s="1"/>
  <c r="N420" i="10"/>
  <c r="O420" i="10" s="1"/>
  <c r="K420" i="10"/>
  <c r="D420" i="10"/>
  <c r="C420" i="10"/>
  <c r="P419" i="10"/>
  <c r="Q419" i="10" s="1"/>
  <c r="N419" i="10"/>
  <c r="O419" i="10" s="1"/>
  <c r="K419" i="10"/>
  <c r="D419" i="10"/>
  <c r="C419" i="10"/>
  <c r="P418" i="10"/>
  <c r="Q418" i="10" s="1"/>
  <c r="N418" i="10"/>
  <c r="O418" i="10" s="1"/>
  <c r="K418" i="10"/>
  <c r="D418" i="10"/>
  <c r="C418" i="10"/>
  <c r="P417" i="10"/>
  <c r="Q417" i="10" s="1"/>
  <c r="N417" i="10"/>
  <c r="O417" i="10" s="1"/>
  <c r="K417" i="10"/>
  <c r="D417" i="10"/>
  <c r="C417" i="10"/>
  <c r="P416" i="10"/>
  <c r="Q416" i="10" s="1"/>
  <c r="N416" i="10"/>
  <c r="O416" i="10" s="1"/>
  <c r="K416" i="10"/>
  <c r="D416" i="10"/>
  <c r="C416" i="10"/>
  <c r="P415" i="10"/>
  <c r="Q415" i="10" s="1"/>
  <c r="N415" i="10"/>
  <c r="O415" i="10" s="1"/>
  <c r="K415" i="10"/>
  <c r="D415" i="10"/>
  <c r="C415" i="10"/>
  <c r="P414" i="10"/>
  <c r="Q414" i="10" s="1"/>
  <c r="K414" i="10"/>
  <c r="D414" i="10"/>
  <c r="C414" i="10"/>
  <c r="P413" i="10"/>
  <c r="Q413" i="10" s="1"/>
  <c r="N413" i="10"/>
  <c r="O413" i="10" s="1"/>
  <c r="K413" i="10"/>
  <c r="D413" i="10"/>
  <c r="C413" i="10"/>
  <c r="P412" i="10"/>
  <c r="Q412" i="10" s="1"/>
  <c r="N412" i="10"/>
  <c r="O412" i="10" s="1"/>
  <c r="K412" i="10"/>
  <c r="D412" i="10"/>
  <c r="C412" i="10"/>
  <c r="P411" i="10"/>
  <c r="Q411" i="10" s="1"/>
  <c r="N411" i="10"/>
  <c r="O411" i="10" s="1"/>
  <c r="K411" i="10"/>
  <c r="D411" i="10"/>
  <c r="C411" i="10"/>
  <c r="P410" i="10"/>
  <c r="Q410" i="10" s="1"/>
  <c r="K410" i="10"/>
  <c r="D410" i="10"/>
  <c r="C410" i="10"/>
  <c r="P409" i="10"/>
  <c r="Q409" i="10" s="1"/>
  <c r="N409" i="10"/>
  <c r="O409" i="10" s="1"/>
  <c r="K409" i="10"/>
  <c r="D409" i="10"/>
  <c r="C409" i="10"/>
  <c r="P408" i="10"/>
  <c r="Q408" i="10" s="1"/>
  <c r="K408" i="10"/>
  <c r="D408" i="10"/>
  <c r="C408" i="10"/>
  <c r="P407" i="10"/>
  <c r="Q407" i="10" s="1"/>
  <c r="N407" i="10"/>
  <c r="O407" i="10" s="1"/>
  <c r="K407" i="10"/>
  <c r="D407" i="10"/>
  <c r="C407" i="10"/>
  <c r="P406" i="10"/>
  <c r="Q406" i="10" s="1"/>
  <c r="N406" i="10"/>
  <c r="O406" i="10" s="1"/>
  <c r="K406" i="10"/>
  <c r="D406" i="10"/>
  <c r="C406" i="10"/>
  <c r="P405" i="10"/>
  <c r="Q405" i="10" s="1"/>
  <c r="N405" i="10"/>
  <c r="O405" i="10" s="1"/>
  <c r="K405" i="10"/>
  <c r="D405" i="10"/>
  <c r="C405" i="10"/>
  <c r="P404" i="10"/>
  <c r="Q404" i="10" s="1"/>
  <c r="K404" i="10"/>
  <c r="D404" i="10"/>
  <c r="C404" i="10"/>
  <c r="P403" i="10"/>
  <c r="Q403" i="10" s="1"/>
  <c r="N403" i="10"/>
  <c r="O403" i="10" s="1"/>
  <c r="K403" i="10"/>
  <c r="D403" i="10"/>
  <c r="C403" i="10"/>
  <c r="P402" i="10"/>
  <c r="Q402" i="10" s="1"/>
  <c r="N402" i="10"/>
  <c r="O402" i="10" s="1"/>
  <c r="K402" i="10"/>
  <c r="D402" i="10"/>
  <c r="C402" i="10"/>
  <c r="P401" i="10"/>
  <c r="Q401" i="10" s="1"/>
  <c r="N401" i="10"/>
  <c r="O401" i="10" s="1"/>
  <c r="K401" i="10"/>
  <c r="D401" i="10"/>
  <c r="C401" i="10"/>
  <c r="P400" i="10"/>
  <c r="Q400" i="10" s="1"/>
  <c r="N400" i="10"/>
  <c r="O400" i="10" s="1"/>
  <c r="K400" i="10"/>
  <c r="D400" i="10"/>
  <c r="C400" i="10"/>
  <c r="P399" i="10"/>
  <c r="Q399" i="10" s="1"/>
  <c r="N399" i="10"/>
  <c r="O399" i="10" s="1"/>
  <c r="K399" i="10"/>
  <c r="D399" i="10"/>
  <c r="C399" i="10"/>
  <c r="P398" i="10"/>
  <c r="Q398" i="10" s="1"/>
  <c r="N398" i="10"/>
  <c r="O398" i="10" s="1"/>
  <c r="K398" i="10"/>
  <c r="D398" i="10"/>
  <c r="C398" i="10"/>
  <c r="P397" i="10"/>
  <c r="Q397" i="10" s="1"/>
  <c r="N397" i="10"/>
  <c r="O397" i="10" s="1"/>
  <c r="K397" i="10"/>
  <c r="D397" i="10"/>
  <c r="C397" i="10"/>
  <c r="P396" i="10"/>
  <c r="Q396" i="10" s="1"/>
  <c r="N396" i="10"/>
  <c r="O396" i="10" s="1"/>
  <c r="K396" i="10"/>
  <c r="D396" i="10"/>
  <c r="C396" i="10"/>
  <c r="P395" i="10"/>
  <c r="Q395" i="10" s="1"/>
  <c r="K395" i="10"/>
  <c r="D395" i="10"/>
  <c r="C395" i="10"/>
  <c r="P394" i="10"/>
  <c r="Q394" i="10" s="1"/>
  <c r="N394" i="10"/>
  <c r="O394" i="10" s="1"/>
  <c r="K394" i="10"/>
  <c r="D394" i="10"/>
  <c r="C394" i="10"/>
  <c r="P393" i="10"/>
  <c r="Q393" i="10" s="1"/>
  <c r="K393" i="10"/>
  <c r="D393" i="10"/>
  <c r="C393" i="10"/>
  <c r="P392" i="10"/>
  <c r="Q392" i="10" s="1"/>
  <c r="N392" i="10"/>
  <c r="O392" i="10" s="1"/>
  <c r="K392" i="10"/>
  <c r="D392" i="10"/>
  <c r="C392" i="10"/>
  <c r="P391" i="10"/>
  <c r="Q391" i="10" s="1"/>
  <c r="N391" i="10"/>
  <c r="O391" i="10" s="1"/>
  <c r="K391" i="10"/>
  <c r="D391" i="10"/>
  <c r="C391" i="10"/>
  <c r="P390" i="10"/>
  <c r="Q390" i="10" s="1"/>
  <c r="N390" i="10"/>
  <c r="O390" i="10" s="1"/>
  <c r="K390" i="10"/>
  <c r="D390" i="10"/>
  <c r="C390" i="10"/>
  <c r="P389" i="10"/>
  <c r="Q389" i="10" s="1"/>
  <c r="N389" i="10"/>
  <c r="O389" i="10" s="1"/>
  <c r="K389" i="10"/>
  <c r="D389" i="10"/>
  <c r="C389" i="10"/>
  <c r="P388" i="10"/>
  <c r="Q388" i="10" s="1"/>
  <c r="N388" i="10"/>
  <c r="O388" i="10" s="1"/>
  <c r="K388" i="10"/>
  <c r="D388" i="10"/>
  <c r="C388" i="10"/>
  <c r="P387" i="10"/>
  <c r="Q387" i="10" s="1"/>
  <c r="K387" i="10"/>
  <c r="D387" i="10"/>
  <c r="C387" i="10"/>
  <c r="P386" i="10"/>
  <c r="Q386" i="10" s="1"/>
  <c r="N386" i="10"/>
  <c r="O386" i="10" s="1"/>
  <c r="K386" i="10"/>
  <c r="D386" i="10"/>
  <c r="C386" i="10"/>
  <c r="P385" i="10"/>
  <c r="Q385" i="10" s="1"/>
  <c r="N385" i="10"/>
  <c r="O385" i="10" s="1"/>
  <c r="K385" i="10"/>
  <c r="D385" i="10"/>
  <c r="C385" i="10"/>
  <c r="P384" i="10"/>
  <c r="Q384" i="10" s="1"/>
  <c r="N384" i="10"/>
  <c r="O384" i="10" s="1"/>
  <c r="K384" i="10"/>
  <c r="D384" i="10"/>
  <c r="C384" i="10"/>
  <c r="P383" i="10"/>
  <c r="Q383" i="10" s="1"/>
  <c r="N383" i="10"/>
  <c r="O383" i="10" s="1"/>
  <c r="K383" i="10"/>
  <c r="D383" i="10"/>
  <c r="C383" i="10"/>
  <c r="P382" i="10"/>
  <c r="Q382" i="10" s="1"/>
  <c r="N382" i="10"/>
  <c r="O382" i="10" s="1"/>
  <c r="K382" i="10"/>
  <c r="D382" i="10"/>
  <c r="C382" i="10"/>
  <c r="P381" i="10"/>
  <c r="Q381" i="10" s="1"/>
  <c r="N381" i="10"/>
  <c r="O381" i="10" s="1"/>
  <c r="K381" i="10"/>
  <c r="D381" i="10"/>
  <c r="C381" i="10"/>
  <c r="P380" i="10"/>
  <c r="Q380" i="10" s="1"/>
  <c r="N380" i="10"/>
  <c r="O380" i="10" s="1"/>
  <c r="K380" i="10"/>
  <c r="D380" i="10"/>
  <c r="C380" i="10"/>
  <c r="P379" i="10"/>
  <c r="Q379" i="10" s="1"/>
  <c r="N379" i="10"/>
  <c r="O379" i="10" s="1"/>
  <c r="K379" i="10"/>
  <c r="D379" i="10"/>
  <c r="C379" i="10"/>
  <c r="P378" i="10"/>
  <c r="Q378" i="10" s="1"/>
  <c r="K378" i="10"/>
  <c r="D378" i="10"/>
  <c r="C378" i="10"/>
  <c r="P377" i="10"/>
  <c r="Q377" i="10" s="1"/>
  <c r="N377" i="10"/>
  <c r="O377" i="10" s="1"/>
  <c r="K377" i="10"/>
  <c r="D377" i="10"/>
  <c r="C377" i="10"/>
  <c r="P376" i="10"/>
  <c r="Q376" i="10" s="1"/>
  <c r="N376" i="10"/>
  <c r="O376" i="10" s="1"/>
  <c r="K376" i="10"/>
  <c r="D376" i="10"/>
  <c r="C376" i="10"/>
  <c r="P375" i="10"/>
  <c r="Q375" i="10" s="1"/>
  <c r="N375" i="10"/>
  <c r="O375" i="10" s="1"/>
  <c r="K375" i="10"/>
  <c r="D375" i="10"/>
  <c r="C375" i="10"/>
  <c r="P374" i="10"/>
  <c r="Q374" i="10" s="1"/>
  <c r="K374" i="10"/>
  <c r="D374" i="10"/>
  <c r="C374" i="10"/>
  <c r="P373" i="10"/>
  <c r="Q373" i="10" s="1"/>
  <c r="K373" i="10"/>
  <c r="D373" i="10"/>
  <c r="C373" i="10"/>
  <c r="P372" i="10"/>
  <c r="Q372" i="10" s="1"/>
  <c r="N372" i="10"/>
  <c r="O372" i="10" s="1"/>
  <c r="K372" i="10"/>
  <c r="D372" i="10"/>
  <c r="C372" i="10"/>
  <c r="P371" i="10"/>
  <c r="Q371" i="10" s="1"/>
  <c r="N371" i="10"/>
  <c r="O371" i="10" s="1"/>
  <c r="K371" i="10"/>
  <c r="D371" i="10"/>
  <c r="C371" i="10"/>
  <c r="P370" i="10"/>
  <c r="Q370" i="10" s="1"/>
  <c r="N370" i="10"/>
  <c r="O370" i="10" s="1"/>
  <c r="K370" i="10"/>
  <c r="D370" i="10"/>
  <c r="C370" i="10"/>
  <c r="P369" i="10"/>
  <c r="Q369" i="10" s="1"/>
  <c r="N369" i="10"/>
  <c r="O369" i="10" s="1"/>
  <c r="K369" i="10"/>
  <c r="D369" i="10"/>
  <c r="C369" i="10"/>
  <c r="P368" i="10"/>
  <c r="Q368" i="10" s="1"/>
  <c r="N368" i="10"/>
  <c r="O368" i="10" s="1"/>
  <c r="K368" i="10"/>
  <c r="D368" i="10"/>
  <c r="C368" i="10"/>
  <c r="P367" i="10"/>
  <c r="Q367" i="10" s="1"/>
  <c r="N367" i="10"/>
  <c r="O367" i="10" s="1"/>
  <c r="K367" i="10"/>
  <c r="D367" i="10"/>
  <c r="C367" i="10"/>
  <c r="P366" i="10"/>
  <c r="Q366" i="10" s="1"/>
  <c r="K366" i="10"/>
  <c r="D366" i="10"/>
  <c r="C366" i="10"/>
  <c r="P365" i="10"/>
  <c r="Q365" i="10" s="1"/>
  <c r="N365" i="10"/>
  <c r="O365" i="10" s="1"/>
  <c r="K365" i="10"/>
  <c r="D365" i="10"/>
  <c r="C365" i="10"/>
  <c r="P364" i="10"/>
  <c r="Q364" i="10" s="1"/>
  <c r="N364" i="10"/>
  <c r="O364" i="10" s="1"/>
  <c r="K364" i="10"/>
  <c r="D364" i="10"/>
  <c r="C364" i="10"/>
  <c r="P363" i="10"/>
  <c r="Q363" i="10" s="1"/>
  <c r="N363" i="10"/>
  <c r="O363" i="10" s="1"/>
  <c r="K363" i="10"/>
  <c r="D363" i="10"/>
  <c r="C363" i="10"/>
  <c r="P362" i="10"/>
  <c r="Q362" i="10" s="1"/>
  <c r="N362" i="10"/>
  <c r="O362" i="10" s="1"/>
  <c r="K362" i="10"/>
  <c r="D362" i="10"/>
  <c r="C362" i="10"/>
  <c r="P361" i="10"/>
  <c r="Q361" i="10" s="1"/>
  <c r="N361" i="10"/>
  <c r="O361" i="10" s="1"/>
  <c r="K361" i="10"/>
  <c r="D361" i="10"/>
  <c r="C361" i="10"/>
  <c r="P360" i="10"/>
  <c r="Q360" i="10" s="1"/>
  <c r="N360" i="10"/>
  <c r="O360" i="10" s="1"/>
  <c r="K360" i="10"/>
  <c r="D360" i="10"/>
  <c r="C360" i="10"/>
  <c r="P359" i="10"/>
  <c r="Q359" i="10" s="1"/>
  <c r="K359" i="10"/>
  <c r="D359" i="10"/>
  <c r="C359" i="10"/>
  <c r="P358" i="10"/>
  <c r="Q358" i="10" s="1"/>
  <c r="N358" i="10"/>
  <c r="O358" i="10" s="1"/>
  <c r="K358" i="10"/>
  <c r="D358" i="10"/>
  <c r="C358" i="10"/>
  <c r="P357" i="10"/>
  <c r="Q357" i="10" s="1"/>
  <c r="N357" i="10"/>
  <c r="O357" i="10" s="1"/>
  <c r="K357" i="10"/>
  <c r="D357" i="10"/>
  <c r="C357" i="10"/>
  <c r="P356" i="10"/>
  <c r="Q356" i="10" s="1"/>
  <c r="K356" i="10"/>
  <c r="D356" i="10"/>
  <c r="C356" i="10"/>
  <c r="P355" i="10"/>
  <c r="Q355" i="10" s="1"/>
  <c r="N355" i="10"/>
  <c r="O355" i="10" s="1"/>
  <c r="K355" i="10"/>
  <c r="D355" i="10"/>
  <c r="C355" i="10"/>
  <c r="P354" i="10"/>
  <c r="Q354" i="10" s="1"/>
  <c r="N354" i="10"/>
  <c r="O354" i="10" s="1"/>
  <c r="K354" i="10"/>
  <c r="D354" i="10"/>
  <c r="C354" i="10"/>
  <c r="P353" i="10"/>
  <c r="Q353" i="10" s="1"/>
  <c r="N353" i="10"/>
  <c r="O353" i="10" s="1"/>
  <c r="K353" i="10"/>
  <c r="D353" i="10"/>
  <c r="C353" i="10"/>
  <c r="P352" i="10"/>
  <c r="Q352" i="10" s="1"/>
  <c r="N352" i="10"/>
  <c r="O352" i="10" s="1"/>
  <c r="K352" i="10"/>
  <c r="D352" i="10"/>
  <c r="C352" i="10"/>
  <c r="P351" i="10"/>
  <c r="Q351" i="10" s="1"/>
  <c r="N351" i="10"/>
  <c r="O351" i="10" s="1"/>
  <c r="K351" i="10"/>
  <c r="D351" i="10"/>
  <c r="C351" i="10"/>
  <c r="P350" i="10"/>
  <c r="Q350" i="10" s="1"/>
  <c r="N350" i="10"/>
  <c r="O350" i="10" s="1"/>
  <c r="K350" i="10"/>
  <c r="D350" i="10"/>
  <c r="C350" i="10"/>
  <c r="P349" i="10"/>
  <c r="Q349" i="10" s="1"/>
  <c r="N349" i="10"/>
  <c r="O349" i="10" s="1"/>
  <c r="K349" i="10"/>
  <c r="D349" i="10"/>
  <c r="C349" i="10"/>
  <c r="P348" i="10"/>
  <c r="Q348" i="10" s="1"/>
  <c r="N348" i="10"/>
  <c r="O348" i="10" s="1"/>
  <c r="K348" i="10"/>
  <c r="D348" i="10"/>
  <c r="C348" i="10"/>
  <c r="P347" i="10"/>
  <c r="Q347" i="10" s="1"/>
  <c r="N347" i="10"/>
  <c r="O347" i="10" s="1"/>
  <c r="K347" i="10"/>
  <c r="D347" i="10"/>
  <c r="C347" i="10"/>
  <c r="P346" i="10"/>
  <c r="Q346" i="10" s="1"/>
  <c r="N346" i="10"/>
  <c r="O346" i="10" s="1"/>
  <c r="K346" i="10"/>
  <c r="D346" i="10"/>
  <c r="C346" i="10"/>
  <c r="P345" i="10"/>
  <c r="Q345" i="10" s="1"/>
  <c r="N345" i="10"/>
  <c r="O345" i="10" s="1"/>
  <c r="K345" i="10"/>
  <c r="D345" i="10"/>
  <c r="C345" i="10"/>
  <c r="P344" i="10"/>
  <c r="Q344" i="10" s="1"/>
  <c r="N344" i="10"/>
  <c r="O344" i="10" s="1"/>
  <c r="K344" i="10"/>
  <c r="D344" i="10"/>
  <c r="C344" i="10"/>
  <c r="P343" i="10"/>
  <c r="Q343" i="10" s="1"/>
  <c r="N343" i="10"/>
  <c r="O343" i="10" s="1"/>
  <c r="K343" i="10"/>
  <c r="D343" i="10"/>
  <c r="C343" i="10"/>
  <c r="P342" i="10"/>
  <c r="Q342" i="10" s="1"/>
  <c r="N342" i="10"/>
  <c r="O342" i="10" s="1"/>
  <c r="K342" i="10"/>
  <c r="D342" i="10"/>
  <c r="C342" i="10"/>
  <c r="P341" i="10"/>
  <c r="Q341" i="10" s="1"/>
  <c r="N341" i="10"/>
  <c r="O341" i="10" s="1"/>
  <c r="K341" i="10"/>
  <c r="D341" i="10"/>
  <c r="C341" i="10"/>
  <c r="P340" i="10"/>
  <c r="Q340" i="10" s="1"/>
  <c r="N340" i="10"/>
  <c r="O340" i="10" s="1"/>
  <c r="K340" i="10"/>
  <c r="D340" i="10"/>
  <c r="C340" i="10"/>
  <c r="P339" i="10"/>
  <c r="Q339" i="10" s="1"/>
  <c r="N339" i="10"/>
  <c r="O339" i="10" s="1"/>
  <c r="K339" i="10"/>
  <c r="D339" i="10"/>
  <c r="C339" i="10"/>
  <c r="P338" i="10"/>
  <c r="Q338" i="10" s="1"/>
  <c r="N338" i="10"/>
  <c r="O338" i="10" s="1"/>
  <c r="K338" i="10"/>
  <c r="D338" i="10"/>
  <c r="C338" i="10"/>
  <c r="P337" i="10"/>
  <c r="Q337" i="10" s="1"/>
  <c r="K337" i="10"/>
  <c r="D337" i="10"/>
  <c r="C337" i="10"/>
  <c r="P336" i="10"/>
  <c r="Q336" i="10" s="1"/>
  <c r="N336" i="10"/>
  <c r="O336" i="10" s="1"/>
  <c r="K336" i="10"/>
  <c r="D336" i="10"/>
  <c r="C336" i="10"/>
  <c r="P335" i="10"/>
  <c r="Q335" i="10" s="1"/>
  <c r="N335" i="10"/>
  <c r="O335" i="10" s="1"/>
  <c r="K335" i="10"/>
  <c r="D335" i="10"/>
  <c r="C335" i="10"/>
  <c r="P334" i="10"/>
  <c r="Q334" i="10" s="1"/>
  <c r="N334" i="10"/>
  <c r="O334" i="10" s="1"/>
  <c r="K334" i="10"/>
  <c r="D334" i="10"/>
  <c r="C334" i="10"/>
  <c r="P333" i="10"/>
  <c r="Q333" i="10" s="1"/>
  <c r="N333" i="10"/>
  <c r="O333" i="10" s="1"/>
  <c r="K333" i="10"/>
  <c r="D333" i="10"/>
  <c r="C333" i="10"/>
  <c r="P332" i="10"/>
  <c r="Q332" i="10" s="1"/>
  <c r="N332" i="10"/>
  <c r="O332" i="10" s="1"/>
  <c r="K332" i="10"/>
  <c r="D332" i="10"/>
  <c r="C332" i="10"/>
  <c r="P331" i="10"/>
  <c r="Q331" i="10" s="1"/>
  <c r="N331" i="10"/>
  <c r="O331" i="10" s="1"/>
  <c r="K331" i="10"/>
  <c r="D331" i="10"/>
  <c r="C331" i="10"/>
  <c r="P330" i="10"/>
  <c r="Q330" i="10" s="1"/>
  <c r="N330" i="10"/>
  <c r="O330" i="10" s="1"/>
  <c r="K330" i="10"/>
  <c r="D330" i="10"/>
  <c r="C330" i="10"/>
  <c r="P329" i="10"/>
  <c r="Q329" i="10" s="1"/>
  <c r="N329" i="10"/>
  <c r="O329" i="10" s="1"/>
  <c r="K329" i="10"/>
  <c r="D329" i="10"/>
  <c r="C329" i="10"/>
  <c r="P328" i="10"/>
  <c r="Q328" i="10" s="1"/>
  <c r="N328" i="10"/>
  <c r="O328" i="10" s="1"/>
  <c r="K328" i="10"/>
  <c r="D328" i="10"/>
  <c r="C328" i="10"/>
  <c r="P327" i="10"/>
  <c r="Q327" i="10" s="1"/>
  <c r="N327" i="10"/>
  <c r="O327" i="10" s="1"/>
  <c r="K327" i="10"/>
  <c r="D327" i="10"/>
  <c r="C327" i="10"/>
  <c r="P326" i="10"/>
  <c r="Q326" i="10" s="1"/>
  <c r="N326" i="10"/>
  <c r="O326" i="10" s="1"/>
  <c r="K326" i="10"/>
  <c r="D326" i="10"/>
  <c r="C326" i="10"/>
  <c r="P325" i="10"/>
  <c r="Q325" i="10" s="1"/>
  <c r="N325" i="10"/>
  <c r="O325" i="10" s="1"/>
  <c r="K325" i="10"/>
  <c r="D325" i="10"/>
  <c r="C325" i="10"/>
  <c r="P324" i="10"/>
  <c r="Q324" i="10" s="1"/>
  <c r="N324" i="10"/>
  <c r="O324" i="10" s="1"/>
  <c r="K324" i="10"/>
  <c r="D324" i="10"/>
  <c r="C324" i="10"/>
  <c r="P323" i="10"/>
  <c r="Q323" i="10" s="1"/>
  <c r="N323" i="10"/>
  <c r="O323" i="10" s="1"/>
  <c r="K323" i="10"/>
  <c r="D323" i="10"/>
  <c r="C323" i="10"/>
  <c r="P322" i="10"/>
  <c r="Q322" i="10" s="1"/>
  <c r="N322" i="10"/>
  <c r="O322" i="10" s="1"/>
  <c r="K322" i="10"/>
  <c r="D322" i="10"/>
  <c r="C322" i="10"/>
  <c r="P321" i="10"/>
  <c r="Q321" i="10" s="1"/>
  <c r="N321" i="10"/>
  <c r="O321" i="10" s="1"/>
  <c r="K321" i="10"/>
  <c r="D321" i="10"/>
  <c r="C321" i="10"/>
  <c r="P320" i="10"/>
  <c r="Q320" i="10" s="1"/>
  <c r="N320" i="10"/>
  <c r="O320" i="10" s="1"/>
  <c r="K320" i="10"/>
  <c r="D320" i="10"/>
  <c r="C320" i="10"/>
  <c r="P319" i="10"/>
  <c r="Q319" i="10" s="1"/>
  <c r="N319" i="10"/>
  <c r="O319" i="10" s="1"/>
  <c r="K319" i="10"/>
  <c r="D319" i="10"/>
  <c r="C319" i="10"/>
  <c r="P318" i="10"/>
  <c r="Q318" i="10" s="1"/>
  <c r="N318" i="10"/>
  <c r="O318" i="10" s="1"/>
  <c r="K318" i="10"/>
  <c r="D318" i="10"/>
  <c r="C318" i="10"/>
  <c r="P317" i="10"/>
  <c r="Q317" i="10" s="1"/>
  <c r="N317" i="10"/>
  <c r="O317" i="10" s="1"/>
  <c r="K317" i="10"/>
  <c r="D317" i="10"/>
  <c r="C317" i="10"/>
  <c r="P316" i="10"/>
  <c r="Q316" i="10" s="1"/>
  <c r="N316" i="10"/>
  <c r="O316" i="10" s="1"/>
  <c r="K316" i="10"/>
  <c r="D316" i="10"/>
  <c r="C316" i="10"/>
  <c r="P315" i="10"/>
  <c r="Q315" i="10" s="1"/>
  <c r="N315" i="10"/>
  <c r="O315" i="10" s="1"/>
  <c r="K315" i="10"/>
  <c r="D315" i="10"/>
  <c r="C315" i="10"/>
  <c r="P314" i="10"/>
  <c r="Q314" i="10" s="1"/>
  <c r="N314" i="10"/>
  <c r="O314" i="10" s="1"/>
  <c r="K314" i="10"/>
  <c r="D314" i="10"/>
  <c r="C314" i="10"/>
  <c r="P313" i="10"/>
  <c r="Q313" i="10" s="1"/>
  <c r="K313" i="10"/>
  <c r="D313" i="10"/>
  <c r="C313" i="10"/>
  <c r="P312" i="10"/>
  <c r="Q312" i="10" s="1"/>
  <c r="N312" i="10"/>
  <c r="O312" i="10" s="1"/>
  <c r="K312" i="10"/>
  <c r="D312" i="10"/>
  <c r="C312" i="10"/>
  <c r="P311" i="10"/>
  <c r="Q311" i="10" s="1"/>
  <c r="N311" i="10"/>
  <c r="O311" i="10" s="1"/>
  <c r="K311" i="10"/>
  <c r="D311" i="10"/>
  <c r="C311" i="10"/>
  <c r="P310" i="10"/>
  <c r="Q310" i="10" s="1"/>
  <c r="N310" i="10"/>
  <c r="O310" i="10" s="1"/>
  <c r="K310" i="10"/>
  <c r="D310" i="10"/>
  <c r="C310" i="10"/>
  <c r="P309" i="10"/>
  <c r="Q309" i="10" s="1"/>
  <c r="N309" i="10"/>
  <c r="O309" i="10" s="1"/>
  <c r="K309" i="10"/>
  <c r="D309" i="10"/>
  <c r="C309" i="10"/>
  <c r="P308" i="10"/>
  <c r="Q308" i="10" s="1"/>
  <c r="N308" i="10"/>
  <c r="O308" i="10" s="1"/>
  <c r="K308" i="10"/>
  <c r="D308" i="10"/>
  <c r="C308" i="10"/>
  <c r="P307" i="10"/>
  <c r="Q307" i="10" s="1"/>
  <c r="N307" i="10"/>
  <c r="O307" i="10" s="1"/>
  <c r="K307" i="10"/>
  <c r="D307" i="10"/>
  <c r="C307" i="10"/>
  <c r="P306" i="10"/>
  <c r="Q306" i="10" s="1"/>
  <c r="K306" i="10"/>
  <c r="D306" i="10"/>
  <c r="C306" i="10"/>
  <c r="P305" i="10"/>
  <c r="Q305" i="10" s="1"/>
  <c r="N305" i="10"/>
  <c r="O305" i="10" s="1"/>
  <c r="K305" i="10"/>
  <c r="D305" i="10"/>
  <c r="C305" i="10"/>
  <c r="P304" i="10"/>
  <c r="Q304" i="10" s="1"/>
  <c r="N304" i="10"/>
  <c r="O304" i="10" s="1"/>
  <c r="K304" i="10"/>
  <c r="D304" i="10"/>
  <c r="C304" i="10"/>
  <c r="P303" i="10"/>
  <c r="Q303" i="10" s="1"/>
  <c r="N303" i="10"/>
  <c r="O303" i="10" s="1"/>
  <c r="K303" i="10"/>
  <c r="D303" i="10"/>
  <c r="C303" i="10"/>
  <c r="P302" i="10"/>
  <c r="Q302" i="10" s="1"/>
  <c r="N302" i="10"/>
  <c r="O302" i="10" s="1"/>
  <c r="K302" i="10"/>
  <c r="D302" i="10"/>
  <c r="C302" i="10"/>
  <c r="P301" i="10"/>
  <c r="Q301" i="10" s="1"/>
  <c r="N301" i="10"/>
  <c r="O301" i="10" s="1"/>
  <c r="K301" i="10"/>
  <c r="D301" i="10"/>
  <c r="C301" i="10"/>
  <c r="P300" i="10"/>
  <c r="Q300" i="10" s="1"/>
  <c r="N300" i="10"/>
  <c r="O300" i="10" s="1"/>
  <c r="K300" i="10"/>
  <c r="D300" i="10"/>
  <c r="C300" i="10"/>
  <c r="P299" i="10"/>
  <c r="Q299" i="10" s="1"/>
  <c r="N299" i="10"/>
  <c r="O299" i="10" s="1"/>
  <c r="K299" i="10"/>
  <c r="D299" i="10"/>
  <c r="C299" i="10"/>
  <c r="P298" i="10"/>
  <c r="Q298" i="10" s="1"/>
  <c r="K298" i="10"/>
  <c r="D298" i="10"/>
  <c r="C298" i="10"/>
  <c r="P297" i="10"/>
  <c r="Q297" i="10" s="1"/>
  <c r="N297" i="10"/>
  <c r="O297" i="10" s="1"/>
  <c r="K297" i="10"/>
  <c r="D297" i="10"/>
  <c r="C297" i="10"/>
  <c r="P296" i="10"/>
  <c r="Q296" i="10" s="1"/>
  <c r="K296" i="10"/>
  <c r="D296" i="10"/>
  <c r="C296" i="10"/>
  <c r="P295" i="10"/>
  <c r="Q295" i="10" s="1"/>
  <c r="K295" i="10"/>
  <c r="D295" i="10"/>
  <c r="C295" i="10"/>
  <c r="P294" i="10"/>
  <c r="Q294" i="10" s="1"/>
  <c r="N294" i="10"/>
  <c r="O294" i="10" s="1"/>
  <c r="K294" i="10"/>
  <c r="D294" i="10"/>
  <c r="C294" i="10"/>
  <c r="P293" i="10"/>
  <c r="Q293" i="10" s="1"/>
  <c r="N293" i="10"/>
  <c r="O293" i="10" s="1"/>
  <c r="K293" i="10"/>
  <c r="D293" i="10"/>
  <c r="C293" i="10"/>
  <c r="P292" i="10"/>
  <c r="Q292" i="10" s="1"/>
  <c r="K292" i="10"/>
  <c r="D292" i="10"/>
  <c r="C292" i="10"/>
  <c r="P291" i="10"/>
  <c r="Q291" i="10" s="1"/>
  <c r="N291" i="10"/>
  <c r="O291" i="10" s="1"/>
  <c r="K291" i="10"/>
  <c r="D291" i="10"/>
  <c r="C291" i="10"/>
  <c r="P290" i="10"/>
  <c r="Q290" i="10" s="1"/>
  <c r="N290" i="10"/>
  <c r="O290" i="10" s="1"/>
  <c r="K290" i="10"/>
  <c r="D290" i="10"/>
  <c r="C290" i="10"/>
  <c r="P289" i="10"/>
  <c r="Q289" i="10" s="1"/>
  <c r="N289" i="10"/>
  <c r="O289" i="10" s="1"/>
  <c r="K289" i="10"/>
  <c r="D289" i="10"/>
  <c r="C289" i="10"/>
  <c r="P288" i="10"/>
  <c r="Q288" i="10" s="1"/>
  <c r="N288" i="10"/>
  <c r="O288" i="10" s="1"/>
  <c r="K288" i="10"/>
  <c r="D288" i="10"/>
  <c r="C288" i="10"/>
  <c r="P287" i="10"/>
  <c r="Q287" i="10" s="1"/>
  <c r="K287" i="10"/>
  <c r="D287" i="10"/>
  <c r="C287" i="10"/>
  <c r="P286" i="10"/>
  <c r="Q286" i="10" s="1"/>
  <c r="N286" i="10"/>
  <c r="O286" i="10" s="1"/>
  <c r="K286" i="10"/>
  <c r="D286" i="10"/>
  <c r="C286" i="10"/>
  <c r="P285" i="10"/>
  <c r="Q285" i="10" s="1"/>
  <c r="K285" i="10"/>
  <c r="D285" i="10"/>
  <c r="C285" i="10"/>
  <c r="P284" i="10"/>
  <c r="Q284" i="10" s="1"/>
  <c r="N284" i="10"/>
  <c r="O284" i="10" s="1"/>
  <c r="K284" i="10"/>
  <c r="D284" i="10"/>
  <c r="C284" i="10"/>
  <c r="P283" i="10"/>
  <c r="Q283" i="10" s="1"/>
  <c r="N283" i="10"/>
  <c r="O283" i="10" s="1"/>
  <c r="K283" i="10"/>
  <c r="D283" i="10"/>
  <c r="C283" i="10"/>
  <c r="P282" i="10"/>
  <c r="Q282" i="10" s="1"/>
  <c r="N282" i="10"/>
  <c r="O282" i="10" s="1"/>
  <c r="K282" i="10"/>
  <c r="D282" i="10"/>
  <c r="C282" i="10"/>
  <c r="P281" i="10"/>
  <c r="Q281" i="10" s="1"/>
  <c r="K281" i="10"/>
  <c r="D281" i="10"/>
  <c r="C281" i="10"/>
  <c r="P280" i="10"/>
  <c r="Q280" i="10" s="1"/>
  <c r="N280" i="10"/>
  <c r="O280" i="10" s="1"/>
  <c r="K280" i="10"/>
  <c r="D280" i="10"/>
  <c r="C280" i="10"/>
  <c r="P279" i="10"/>
  <c r="Q279" i="10" s="1"/>
  <c r="N279" i="10"/>
  <c r="O279" i="10" s="1"/>
  <c r="K279" i="10"/>
  <c r="D279" i="10"/>
  <c r="C279" i="10"/>
  <c r="P278" i="10"/>
  <c r="Q278" i="10" s="1"/>
  <c r="K278" i="10"/>
  <c r="D278" i="10"/>
  <c r="C278" i="10"/>
  <c r="P277" i="10"/>
  <c r="Q277" i="10" s="1"/>
  <c r="N277" i="10"/>
  <c r="O277" i="10" s="1"/>
  <c r="K277" i="10"/>
  <c r="D277" i="10"/>
  <c r="C277" i="10"/>
  <c r="P276" i="10"/>
  <c r="Q276" i="10" s="1"/>
  <c r="N276" i="10"/>
  <c r="O276" i="10" s="1"/>
  <c r="K276" i="10"/>
  <c r="D276" i="10"/>
  <c r="C276" i="10"/>
  <c r="P275" i="10"/>
  <c r="Q275" i="10" s="1"/>
  <c r="N275" i="10"/>
  <c r="O275" i="10" s="1"/>
  <c r="K275" i="10"/>
  <c r="D275" i="10"/>
  <c r="C275" i="10"/>
  <c r="P274" i="10"/>
  <c r="Q274" i="10" s="1"/>
  <c r="N274" i="10"/>
  <c r="O274" i="10" s="1"/>
  <c r="K274" i="10"/>
  <c r="D274" i="10"/>
  <c r="C274" i="10"/>
  <c r="P273" i="10"/>
  <c r="Q273" i="10" s="1"/>
  <c r="N273" i="10"/>
  <c r="O273" i="10" s="1"/>
  <c r="K273" i="10"/>
  <c r="D273" i="10"/>
  <c r="C273" i="10"/>
  <c r="P272" i="10"/>
  <c r="Q272" i="10" s="1"/>
  <c r="N272" i="10"/>
  <c r="O272" i="10" s="1"/>
  <c r="K272" i="10"/>
  <c r="D272" i="10"/>
  <c r="C272" i="10"/>
  <c r="P271" i="10"/>
  <c r="Q271" i="10" s="1"/>
  <c r="K271" i="10"/>
  <c r="D271" i="10"/>
  <c r="C271" i="10"/>
  <c r="P270" i="10"/>
  <c r="Q270" i="10" s="1"/>
  <c r="K270" i="10"/>
  <c r="D270" i="10"/>
  <c r="C270" i="10"/>
  <c r="P269" i="10"/>
  <c r="Q269" i="10" s="1"/>
  <c r="N269" i="10"/>
  <c r="O269" i="10" s="1"/>
  <c r="K269" i="10"/>
  <c r="D269" i="10"/>
  <c r="C269" i="10"/>
  <c r="P268" i="10"/>
  <c r="Q268" i="10" s="1"/>
  <c r="N268" i="10"/>
  <c r="O268" i="10" s="1"/>
  <c r="K268" i="10"/>
  <c r="D268" i="10"/>
  <c r="C268" i="10"/>
  <c r="P267" i="10"/>
  <c r="Q267" i="10" s="1"/>
  <c r="N267" i="10"/>
  <c r="O267" i="10" s="1"/>
  <c r="K267" i="10"/>
  <c r="D267" i="10"/>
  <c r="C267" i="10"/>
  <c r="P266" i="10"/>
  <c r="Q266" i="10" s="1"/>
  <c r="N266" i="10"/>
  <c r="O266" i="10" s="1"/>
  <c r="K266" i="10"/>
  <c r="D266" i="10"/>
  <c r="C266" i="10"/>
  <c r="P265" i="10"/>
  <c r="Q265" i="10" s="1"/>
  <c r="N265" i="10"/>
  <c r="O265" i="10" s="1"/>
  <c r="K265" i="10"/>
  <c r="D265" i="10"/>
  <c r="C265" i="10"/>
  <c r="P264" i="10"/>
  <c r="Q264" i="10" s="1"/>
  <c r="K264" i="10"/>
  <c r="D264" i="10"/>
  <c r="C264" i="10"/>
  <c r="P263" i="10"/>
  <c r="Q263" i="10" s="1"/>
  <c r="K263" i="10"/>
  <c r="D263" i="10"/>
  <c r="C263" i="10"/>
  <c r="P262" i="10"/>
  <c r="Q262" i="10" s="1"/>
  <c r="K262" i="10"/>
  <c r="D262" i="10"/>
  <c r="C262" i="10"/>
  <c r="P261" i="10"/>
  <c r="Q261" i="10" s="1"/>
  <c r="N261" i="10"/>
  <c r="O261" i="10" s="1"/>
  <c r="K261" i="10"/>
  <c r="D261" i="10"/>
  <c r="C261" i="10"/>
  <c r="P260" i="10"/>
  <c r="Q260" i="10" s="1"/>
  <c r="N260" i="10"/>
  <c r="O260" i="10" s="1"/>
  <c r="K260" i="10"/>
  <c r="D260" i="10"/>
  <c r="C260" i="10"/>
  <c r="P259" i="10"/>
  <c r="Q259" i="10" s="1"/>
  <c r="N259" i="10"/>
  <c r="O259" i="10" s="1"/>
  <c r="K259" i="10"/>
  <c r="D259" i="10"/>
  <c r="C259" i="10"/>
  <c r="P258" i="10"/>
  <c r="Q258" i="10" s="1"/>
  <c r="N258" i="10"/>
  <c r="O258" i="10" s="1"/>
  <c r="K258" i="10"/>
  <c r="D258" i="10"/>
  <c r="C258" i="10"/>
  <c r="P257" i="10"/>
  <c r="Q257" i="10" s="1"/>
  <c r="K257" i="10"/>
  <c r="D257" i="10"/>
  <c r="C257" i="10"/>
  <c r="P256" i="10"/>
  <c r="Q256" i="10" s="1"/>
  <c r="K256" i="10"/>
  <c r="D256" i="10"/>
  <c r="C256" i="10"/>
  <c r="P255" i="10"/>
  <c r="Q255" i="10" s="1"/>
  <c r="N255" i="10"/>
  <c r="O255" i="10" s="1"/>
  <c r="K255" i="10"/>
  <c r="D255" i="10"/>
  <c r="C255" i="10"/>
  <c r="P254" i="10"/>
  <c r="Q254" i="10" s="1"/>
  <c r="K254" i="10"/>
  <c r="D254" i="10"/>
  <c r="C254" i="10"/>
  <c r="P253" i="10"/>
  <c r="Q253" i="10" s="1"/>
  <c r="N253" i="10"/>
  <c r="O253" i="10" s="1"/>
  <c r="K253" i="10"/>
  <c r="D253" i="10"/>
  <c r="C253" i="10"/>
  <c r="P252" i="10"/>
  <c r="Q252" i="10" s="1"/>
  <c r="N252" i="10"/>
  <c r="O252" i="10" s="1"/>
  <c r="K252" i="10"/>
  <c r="D252" i="10"/>
  <c r="C252" i="10"/>
  <c r="P251" i="10"/>
  <c r="Q251" i="10" s="1"/>
  <c r="N251" i="10"/>
  <c r="O251" i="10" s="1"/>
  <c r="K251" i="10"/>
  <c r="D251" i="10"/>
  <c r="C251" i="10"/>
  <c r="P250" i="10"/>
  <c r="Q250" i="10" s="1"/>
  <c r="K250" i="10"/>
  <c r="D250" i="10"/>
  <c r="C250" i="10"/>
  <c r="P249" i="10"/>
  <c r="Q249" i="10" s="1"/>
  <c r="N249" i="10"/>
  <c r="O249" i="10" s="1"/>
  <c r="K249" i="10"/>
  <c r="D249" i="10"/>
  <c r="C249" i="10"/>
  <c r="P248" i="10"/>
  <c r="Q248" i="10" s="1"/>
  <c r="K248" i="10"/>
  <c r="D248" i="10"/>
  <c r="C248" i="10"/>
  <c r="P247" i="10"/>
  <c r="Q247" i="10" s="1"/>
  <c r="N247" i="10"/>
  <c r="O247" i="10" s="1"/>
  <c r="K247" i="10"/>
  <c r="D247" i="10"/>
  <c r="C247" i="10"/>
  <c r="P246" i="10"/>
  <c r="Q246" i="10" s="1"/>
  <c r="N246" i="10"/>
  <c r="O246" i="10" s="1"/>
  <c r="K246" i="10"/>
  <c r="D246" i="10"/>
  <c r="C246" i="10"/>
  <c r="P245" i="10"/>
  <c r="Q245" i="10" s="1"/>
  <c r="N245" i="10"/>
  <c r="O245" i="10" s="1"/>
  <c r="K245" i="10"/>
  <c r="D245" i="10"/>
  <c r="C245" i="10"/>
  <c r="P244" i="10"/>
  <c r="Q244" i="10" s="1"/>
  <c r="N244" i="10"/>
  <c r="O244" i="10" s="1"/>
  <c r="K244" i="10"/>
  <c r="D244" i="10"/>
  <c r="C244" i="10"/>
  <c r="P243" i="10"/>
  <c r="Q243" i="10" s="1"/>
  <c r="N243" i="10"/>
  <c r="O243" i="10" s="1"/>
  <c r="K243" i="10"/>
  <c r="D243" i="10"/>
  <c r="C243" i="10"/>
  <c r="P242" i="10"/>
  <c r="Q242" i="10" s="1"/>
  <c r="N242" i="10"/>
  <c r="O242" i="10" s="1"/>
  <c r="K242" i="10"/>
  <c r="D242" i="10"/>
  <c r="C242" i="10"/>
  <c r="P241" i="10"/>
  <c r="Q241" i="10" s="1"/>
  <c r="N241" i="10"/>
  <c r="O241" i="10" s="1"/>
  <c r="K241" i="10"/>
  <c r="D241" i="10"/>
  <c r="C241" i="10"/>
  <c r="P240" i="10"/>
  <c r="Q240" i="10" s="1"/>
  <c r="N240" i="10"/>
  <c r="O240" i="10" s="1"/>
  <c r="K240" i="10"/>
  <c r="D240" i="10"/>
  <c r="C240" i="10"/>
  <c r="P239" i="10"/>
  <c r="Q239" i="10" s="1"/>
  <c r="K239" i="10"/>
  <c r="D239" i="10"/>
  <c r="C239" i="10"/>
  <c r="P238" i="10"/>
  <c r="Q238" i="10" s="1"/>
  <c r="K238" i="10"/>
  <c r="D238" i="10"/>
  <c r="C238" i="10"/>
  <c r="P237" i="10"/>
  <c r="Q237" i="10" s="1"/>
  <c r="K237" i="10"/>
  <c r="D237" i="10"/>
  <c r="C237" i="10"/>
  <c r="P236" i="10"/>
  <c r="Q236" i="10" s="1"/>
  <c r="N236" i="10"/>
  <c r="O236" i="10" s="1"/>
  <c r="K236" i="10"/>
  <c r="D236" i="10"/>
  <c r="C236" i="10"/>
  <c r="P235" i="10"/>
  <c r="Q235" i="10" s="1"/>
  <c r="N235" i="10"/>
  <c r="O235" i="10" s="1"/>
  <c r="K235" i="10"/>
  <c r="D235" i="10"/>
  <c r="C235" i="10"/>
  <c r="P234" i="10"/>
  <c r="Q234" i="10" s="1"/>
  <c r="N234" i="10"/>
  <c r="O234" i="10" s="1"/>
  <c r="K234" i="10"/>
  <c r="D234" i="10"/>
  <c r="C234" i="10"/>
  <c r="P233" i="10"/>
  <c r="Q233" i="10" s="1"/>
  <c r="N233" i="10"/>
  <c r="O233" i="10" s="1"/>
  <c r="K233" i="10"/>
  <c r="D233" i="10"/>
  <c r="C233" i="10"/>
  <c r="P232" i="10"/>
  <c r="Q232" i="10" s="1"/>
  <c r="K232" i="10"/>
  <c r="D232" i="10"/>
  <c r="C232" i="10"/>
  <c r="P231" i="10"/>
  <c r="Q231" i="10" s="1"/>
  <c r="N231" i="10"/>
  <c r="O231" i="10" s="1"/>
  <c r="K231" i="10"/>
  <c r="D231" i="10"/>
  <c r="C231" i="10"/>
  <c r="P230" i="10"/>
  <c r="Q230" i="10" s="1"/>
  <c r="N230" i="10"/>
  <c r="O230" i="10" s="1"/>
  <c r="K230" i="10"/>
  <c r="D230" i="10"/>
  <c r="C230" i="10"/>
  <c r="P229" i="10"/>
  <c r="Q229" i="10" s="1"/>
  <c r="N229" i="10"/>
  <c r="O229" i="10" s="1"/>
  <c r="K229" i="10"/>
  <c r="D229" i="10"/>
  <c r="C229" i="10"/>
  <c r="P228" i="10"/>
  <c r="Q228" i="10" s="1"/>
  <c r="K228" i="10"/>
  <c r="D228" i="10"/>
  <c r="C228" i="10"/>
  <c r="P227" i="10"/>
  <c r="Q227" i="10" s="1"/>
  <c r="N227" i="10"/>
  <c r="O227" i="10" s="1"/>
  <c r="K227" i="10"/>
  <c r="D227" i="10"/>
  <c r="C227" i="10"/>
  <c r="P226" i="10"/>
  <c r="Q226" i="10" s="1"/>
  <c r="N226" i="10"/>
  <c r="O226" i="10" s="1"/>
  <c r="K226" i="10"/>
  <c r="D226" i="10"/>
  <c r="C226" i="10"/>
  <c r="P225" i="10"/>
  <c r="Q225" i="10" s="1"/>
  <c r="N225" i="10"/>
  <c r="O225" i="10" s="1"/>
  <c r="K225" i="10"/>
  <c r="D225" i="10"/>
  <c r="C225" i="10"/>
  <c r="P224" i="10"/>
  <c r="Q224" i="10" s="1"/>
  <c r="N224" i="10"/>
  <c r="O224" i="10" s="1"/>
  <c r="K224" i="10"/>
  <c r="D224" i="10"/>
  <c r="C224" i="10"/>
  <c r="P223" i="10"/>
  <c r="Q223" i="10" s="1"/>
  <c r="N223" i="10"/>
  <c r="O223" i="10" s="1"/>
  <c r="K223" i="10"/>
  <c r="D223" i="10"/>
  <c r="C223" i="10"/>
  <c r="P222" i="10"/>
  <c r="Q222" i="10" s="1"/>
  <c r="N222" i="10"/>
  <c r="O222" i="10" s="1"/>
  <c r="K222" i="10"/>
  <c r="D222" i="10"/>
  <c r="C222" i="10"/>
  <c r="P221" i="10"/>
  <c r="Q221" i="10" s="1"/>
  <c r="N221" i="10"/>
  <c r="O221" i="10" s="1"/>
  <c r="K221" i="10"/>
  <c r="D221" i="10"/>
  <c r="C221" i="10"/>
  <c r="P220" i="10"/>
  <c r="Q220" i="10" s="1"/>
  <c r="N220" i="10"/>
  <c r="O220" i="10" s="1"/>
  <c r="K220" i="10"/>
  <c r="D220" i="10"/>
  <c r="C220" i="10"/>
  <c r="P219" i="10"/>
  <c r="Q219" i="10" s="1"/>
  <c r="N219" i="10"/>
  <c r="O219" i="10" s="1"/>
  <c r="K219" i="10"/>
  <c r="D219" i="10"/>
  <c r="C219" i="10"/>
  <c r="P218" i="10"/>
  <c r="Q218" i="10" s="1"/>
  <c r="N218" i="10"/>
  <c r="O218" i="10" s="1"/>
  <c r="K218" i="10"/>
  <c r="D218" i="10"/>
  <c r="C218" i="10"/>
  <c r="P217" i="10"/>
  <c r="Q217" i="10" s="1"/>
  <c r="K217" i="10"/>
  <c r="D217" i="10"/>
  <c r="C217" i="10"/>
  <c r="P216" i="10"/>
  <c r="Q216" i="10" s="1"/>
  <c r="N216" i="10"/>
  <c r="O216" i="10" s="1"/>
  <c r="K216" i="10"/>
  <c r="D216" i="10"/>
  <c r="C216" i="10"/>
  <c r="P215" i="10"/>
  <c r="Q215" i="10" s="1"/>
  <c r="N215" i="10"/>
  <c r="O215" i="10" s="1"/>
  <c r="K215" i="10"/>
  <c r="D215" i="10"/>
  <c r="C215" i="10"/>
  <c r="P214" i="10"/>
  <c r="Q214" i="10" s="1"/>
  <c r="N214" i="10"/>
  <c r="O214" i="10" s="1"/>
  <c r="K214" i="10"/>
  <c r="D214" i="10"/>
  <c r="C214" i="10"/>
  <c r="P213" i="10"/>
  <c r="Q213" i="10" s="1"/>
  <c r="N213" i="10"/>
  <c r="O213" i="10" s="1"/>
  <c r="K213" i="10"/>
  <c r="D213" i="10"/>
  <c r="C213" i="10"/>
  <c r="P212" i="10"/>
  <c r="Q212" i="10" s="1"/>
  <c r="N212" i="10"/>
  <c r="O212" i="10" s="1"/>
  <c r="K212" i="10"/>
  <c r="D212" i="10"/>
  <c r="C212" i="10"/>
  <c r="P211" i="10"/>
  <c r="Q211" i="10" s="1"/>
  <c r="N211" i="10"/>
  <c r="O211" i="10" s="1"/>
  <c r="K211" i="10"/>
  <c r="D211" i="10"/>
  <c r="C211" i="10"/>
  <c r="P210" i="10"/>
  <c r="Q210" i="10" s="1"/>
  <c r="N210" i="10"/>
  <c r="O210" i="10" s="1"/>
  <c r="K210" i="10"/>
  <c r="D210" i="10"/>
  <c r="C210" i="10"/>
  <c r="P209" i="10"/>
  <c r="Q209" i="10" s="1"/>
  <c r="N209" i="10"/>
  <c r="O209" i="10" s="1"/>
  <c r="K209" i="10"/>
  <c r="D209" i="10"/>
  <c r="C209" i="10"/>
  <c r="P208" i="10"/>
  <c r="Q208" i="10" s="1"/>
  <c r="N208" i="10"/>
  <c r="O208" i="10" s="1"/>
  <c r="K208" i="10"/>
  <c r="D208" i="10"/>
  <c r="C208" i="10"/>
  <c r="P207" i="10"/>
  <c r="Q207" i="10" s="1"/>
  <c r="N207" i="10"/>
  <c r="O207" i="10" s="1"/>
  <c r="K207" i="10"/>
  <c r="D207" i="10"/>
  <c r="C207" i="10"/>
  <c r="P206" i="10"/>
  <c r="Q206" i="10" s="1"/>
  <c r="N206" i="10"/>
  <c r="O206" i="10" s="1"/>
  <c r="K206" i="10"/>
  <c r="D206" i="10"/>
  <c r="C206" i="10"/>
  <c r="P205" i="10"/>
  <c r="Q205" i="10" s="1"/>
  <c r="N205" i="10"/>
  <c r="O205" i="10" s="1"/>
  <c r="K205" i="10"/>
  <c r="D205" i="10"/>
  <c r="C205" i="10"/>
  <c r="P204" i="10"/>
  <c r="Q204" i="10" s="1"/>
  <c r="K204" i="10"/>
  <c r="D204" i="10"/>
  <c r="C204" i="10"/>
  <c r="P203" i="10"/>
  <c r="Q203" i="10" s="1"/>
  <c r="N203" i="10"/>
  <c r="O203" i="10" s="1"/>
  <c r="K203" i="10"/>
  <c r="D203" i="10"/>
  <c r="C203" i="10"/>
  <c r="P202" i="10"/>
  <c r="Q202" i="10" s="1"/>
  <c r="N202" i="10"/>
  <c r="O202" i="10" s="1"/>
  <c r="K202" i="10"/>
  <c r="D202" i="10"/>
  <c r="C202" i="10"/>
  <c r="P201" i="10"/>
  <c r="Q201" i="10" s="1"/>
  <c r="K201" i="10"/>
  <c r="D201" i="10"/>
  <c r="C201" i="10"/>
  <c r="P200" i="10"/>
  <c r="Q200" i="10" s="1"/>
  <c r="N200" i="10"/>
  <c r="O200" i="10" s="1"/>
  <c r="K200" i="10"/>
  <c r="D200" i="10"/>
  <c r="C200" i="10"/>
  <c r="P199" i="10"/>
  <c r="Q199" i="10" s="1"/>
  <c r="N199" i="10"/>
  <c r="O199" i="10" s="1"/>
  <c r="K199" i="10"/>
  <c r="D199" i="10"/>
  <c r="C199" i="10"/>
  <c r="P198" i="10"/>
  <c r="Q198" i="10" s="1"/>
  <c r="N198" i="10"/>
  <c r="O198" i="10" s="1"/>
  <c r="K198" i="10"/>
  <c r="D198" i="10"/>
  <c r="C198" i="10"/>
  <c r="P197" i="10"/>
  <c r="Q197" i="10" s="1"/>
  <c r="N197" i="10"/>
  <c r="O197" i="10" s="1"/>
  <c r="K197" i="10"/>
  <c r="D197" i="10"/>
  <c r="C197" i="10"/>
  <c r="P196" i="10"/>
  <c r="Q196" i="10" s="1"/>
  <c r="N196" i="10"/>
  <c r="O196" i="10" s="1"/>
  <c r="K196" i="10"/>
  <c r="D196" i="10"/>
  <c r="C196" i="10"/>
  <c r="P195" i="10"/>
  <c r="Q195" i="10" s="1"/>
  <c r="K195" i="10"/>
  <c r="D195" i="10"/>
  <c r="C195" i="10"/>
  <c r="P194" i="10"/>
  <c r="Q194" i="10" s="1"/>
  <c r="N194" i="10"/>
  <c r="O194" i="10" s="1"/>
  <c r="K194" i="10"/>
  <c r="D194" i="10"/>
  <c r="C194" i="10"/>
  <c r="P193" i="10"/>
  <c r="Q193" i="10" s="1"/>
  <c r="N193" i="10"/>
  <c r="O193" i="10" s="1"/>
  <c r="K193" i="10"/>
  <c r="D193" i="10"/>
  <c r="C193" i="10"/>
  <c r="P192" i="10"/>
  <c r="Q192" i="10" s="1"/>
  <c r="N192" i="10"/>
  <c r="O192" i="10" s="1"/>
  <c r="K192" i="10"/>
  <c r="D192" i="10"/>
  <c r="C192" i="10"/>
  <c r="P191" i="10"/>
  <c r="Q191" i="10" s="1"/>
  <c r="N191" i="10"/>
  <c r="O191" i="10" s="1"/>
  <c r="K191" i="10"/>
  <c r="D191" i="10"/>
  <c r="C191" i="10"/>
  <c r="P190" i="10"/>
  <c r="Q190" i="10" s="1"/>
  <c r="N190" i="10"/>
  <c r="O190" i="10" s="1"/>
  <c r="K190" i="10"/>
  <c r="D190" i="10"/>
  <c r="C190" i="10"/>
  <c r="P189" i="10"/>
  <c r="Q189" i="10" s="1"/>
  <c r="N189" i="10"/>
  <c r="O189" i="10" s="1"/>
  <c r="K189" i="10"/>
  <c r="D189" i="10"/>
  <c r="C189" i="10"/>
  <c r="P188" i="10"/>
  <c r="Q188" i="10" s="1"/>
  <c r="N188" i="10"/>
  <c r="O188" i="10" s="1"/>
  <c r="K188" i="10"/>
  <c r="D188" i="10"/>
  <c r="C188" i="10"/>
  <c r="P187" i="10"/>
  <c r="Q187" i="10" s="1"/>
  <c r="N187" i="10"/>
  <c r="O187" i="10" s="1"/>
  <c r="K187" i="10"/>
  <c r="D187" i="10"/>
  <c r="C187" i="10"/>
  <c r="P186" i="10"/>
  <c r="Q186" i="10" s="1"/>
  <c r="N186" i="10"/>
  <c r="O186" i="10" s="1"/>
  <c r="K186" i="10"/>
  <c r="D186" i="10"/>
  <c r="C186" i="10"/>
  <c r="P185" i="10"/>
  <c r="Q185" i="10" s="1"/>
  <c r="N185" i="10"/>
  <c r="O185" i="10" s="1"/>
  <c r="K185" i="10"/>
  <c r="D185" i="10"/>
  <c r="C185" i="10"/>
  <c r="P184" i="10"/>
  <c r="Q184" i="10" s="1"/>
  <c r="N184" i="10"/>
  <c r="O184" i="10" s="1"/>
  <c r="K184" i="10"/>
  <c r="D184" i="10"/>
  <c r="C184" i="10"/>
  <c r="P183" i="10"/>
  <c r="Q183" i="10" s="1"/>
  <c r="N183" i="10"/>
  <c r="O183" i="10" s="1"/>
  <c r="K183" i="10"/>
  <c r="D183" i="10"/>
  <c r="C183" i="10"/>
  <c r="P182" i="10"/>
  <c r="Q182" i="10" s="1"/>
  <c r="N182" i="10"/>
  <c r="O182" i="10" s="1"/>
  <c r="K182" i="10"/>
  <c r="D182" i="10"/>
  <c r="C182" i="10"/>
  <c r="P181" i="10"/>
  <c r="Q181" i="10" s="1"/>
  <c r="N181" i="10"/>
  <c r="O181" i="10" s="1"/>
  <c r="K181" i="10"/>
  <c r="D181" i="10"/>
  <c r="C181" i="10"/>
  <c r="P180" i="10"/>
  <c r="Q180" i="10" s="1"/>
  <c r="N180" i="10"/>
  <c r="O180" i="10" s="1"/>
  <c r="K180" i="10"/>
  <c r="D180" i="10"/>
  <c r="C180" i="10"/>
  <c r="P179" i="10"/>
  <c r="Q179" i="10" s="1"/>
  <c r="N179" i="10"/>
  <c r="O179" i="10" s="1"/>
  <c r="K179" i="10"/>
  <c r="D179" i="10"/>
  <c r="C179" i="10"/>
  <c r="P178" i="10"/>
  <c r="Q178" i="10" s="1"/>
  <c r="N178" i="10"/>
  <c r="O178" i="10" s="1"/>
  <c r="K178" i="10"/>
  <c r="D178" i="10"/>
  <c r="C178" i="10"/>
  <c r="P177" i="10"/>
  <c r="Q177" i="10" s="1"/>
  <c r="N177" i="10"/>
  <c r="O177" i="10" s="1"/>
  <c r="K177" i="10"/>
  <c r="D177" i="10"/>
  <c r="C177" i="10"/>
  <c r="P176" i="10"/>
  <c r="Q176" i="10" s="1"/>
  <c r="N176" i="10"/>
  <c r="O176" i="10" s="1"/>
  <c r="K176" i="10"/>
  <c r="D176" i="10"/>
  <c r="C176" i="10"/>
  <c r="P175" i="10"/>
  <c r="Q175" i="10" s="1"/>
  <c r="K175" i="10"/>
  <c r="D175" i="10"/>
  <c r="C175" i="10"/>
  <c r="P174" i="10"/>
  <c r="Q174" i="10" s="1"/>
  <c r="N174" i="10"/>
  <c r="O174" i="10" s="1"/>
  <c r="K174" i="10"/>
  <c r="D174" i="10"/>
  <c r="C174" i="10"/>
  <c r="P173" i="10"/>
  <c r="Q173" i="10" s="1"/>
  <c r="K173" i="10"/>
  <c r="D173" i="10"/>
  <c r="C173" i="10"/>
  <c r="P172" i="10"/>
  <c r="Q172" i="10" s="1"/>
  <c r="N172" i="10"/>
  <c r="O172" i="10" s="1"/>
  <c r="K172" i="10"/>
  <c r="D172" i="10"/>
  <c r="C172" i="10"/>
  <c r="P171" i="10"/>
  <c r="Q171" i="10" s="1"/>
  <c r="N171" i="10"/>
  <c r="O171" i="10" s="1"/>
  <c r="K171" i="10"/>
  <c r="D171" i="10"/>
  <c r="C171" i="10"/>
  <c r="P170" i="10"/>
  <c r="Q170" i="10" s="1"/>
  <c r="N170" i="10"/>
  <c r="O170" i="10" s="1"/>
  <c r="K170" i="10"/>
  <c r="D170" i="10"/>
  <c r="C170" i="10"/>
  <c r="P169" i="10"/>
  <c r="Q169" i="10" s="1"/>
  <c r="N169" i="10"/>
  <c r="O169" i="10" s="1"/>
  <c r="K169" i="10"/>
  <c r="D169" i="10"/>
  <c r="C169" i="10"/>
  <c r="P168" i="10"/>
  <c r="Q168" i="10" s="1"/>
  <c r="N168" i="10"/>
  <c r="O168" i="10" s="1"/>
  <c r="K168" i="10"/>
  <c r="D168" i="10"/>
  <c r="C168" i="10"/>
  <c r="P167" i="10"/>
  <c r="Q167" i="10" s="1"/>
  <c r="K167" i="10"/>
  <c r="D167" i="10"/>
  <c r="C167" i="10"/>
  <c r="P166" i="10"/>
  <c r="Q166" i="10" s="1"/>
  <c r="N166" i="10"/>
  <c r="O166" i="10" s="1"/>
  <c r="K166" i="10"/>
  <c r="D166" i="10"/>
  <c r="C166" i="10"/>
  <c r="P165" i="10"/>
  <c r="Q165" i="10" s="1"/>
  <c r="N165" i="10"/>
  <c r="O165" i="10" s="1"/>
  <c r="K165" i="10"/>
  <c r="D165" i="10"/>
  <c r="C165" i="10"/>
  <c r="P164" i="10"/>
  <c r="Q164" i="10" s="1"/>
  <c r="N164" i="10"/>
  <c r="O164" i="10" s="1"/>
  <c r="K164" i="10"/>
  <c r="D164" i="10"/>
  <c r="C164" i="10"/>
  <c r="P163" i="10"/>
  <c r="Q163" i="10" s="1"/>
  <c r="N163" i="10"/>
  <c r="O163" i="10" s="1"/>
  <c r="K163" i="10"/>
  <c r="D163" i="10"/>
  <c r="C163" i="10"/>
  <c r="P162" i="10"/>
  <c r="Q162" i="10" s="1"/>
  <c r="K162" i="10"/>
  <c r="D162" i="10"/>
  <c r="C162" i="10"/>
  <c r="P161" i="10"/>
  <c r="Q161" i="10" s="1"/>
  <c r="N161" i="10"/>
  <c r="O161" i="10" s="1"/>
  <c r="K161" i="10"/>
  <c r="D161" i="10"/>
  <c r="C161" i="10"/>
  <c r="P160" i="10"/>
  <c r="Q160" i="10" s="1"/>
  <c r="N160" i="10"/>
  <c r="O160" i="10" s="1"/>
  <c r="K160" i="10"/>
  <c r="D160" i="10"/>
  <c r="C160" i="10"/>
  <c r="P159" i="10"/>
  <c r="Q159" i="10" s="1"/>
  <c r="K159" i="10"/>
  <c r="D159" i="10"/>
  <c r="C159" i="10"/>
  <c r="P158" i="10"/>
  <c r="Q158" i="10" s="1"/>
  <c r="N158" i="10"/>
  <c r="O158" i="10" s="1"/>
  <c r="K158" i="10"/>
  <c r="D158" i="10"/>
  <c r="C158" i="10"/>
  <c r="P157" i="10"/>
  <c r="Q157" i="10" s="1"/>
  <c r="N157" i="10"/>
  <c r="O157" i="10" s="1"/>
  <c r="K157" i="10"/>
  <c r="D157" i="10"/>
  <c r="C157" i="10"/>
  <c r="P156" i="10"/>
  <c r="Q156" i="10" s="1"/>
  <c r="K156" i="10"/>
  <c r="D156" i="10"/>
  <c r="C156" i="10"/>
  <c r="P155" i="10"/>
  <c r="Q155" i="10" s="1"/>
  <c r="N155" i="10"/>
  <c r="O155" i="10" s="1"/>
  <c r="K155" i="10"/>
  <c r="D155" i="10"/>
  <c r="C155" i="10"/>
  <c r="P154" i="10"/>
  <c r="Q154" i="10" s="1"/>
  <c r="K154" i="10"/>
  <c r="D154" i="10"/>
  <c r="C154" i="10"/>
  <c r="P153" i="10"/>
  <c r="Q153" i="10" s="1"/>
  <c r="N153" i="10"/>
  <c r="O153" i="10" s="1"/>
  <c r="K153" i="10"/>
  <c r="D153" i="10"/>
  <c r="C153" i="10"/>
  <c r="P152" i="10"/>
  <c r="Q152" i="10" s="1"/>
  <c r="N152" i="10"/>
  <c r="O152" i="10" s="1"/>
  <c r="K152" i="10"/>
  <c r="D152" i="10"/>
  <c r="C152" i="10"/>
  <c r="P151" i="10"/>
  <c r="Q151" i="10" s="1"/>
  <c r="N151" i="10"/>
  <c r="O151" i="10" s="1"/>
  <c r="K151" i="10"/>
  <c r="D151" i="10"/>
  <c r="C151" i="10"/>
  <c r="P150" i="10"/>
  <c r="Q150" i="10" s="1"/>
  <c r="N150" i="10"/>
  <c r="O150" i="10" s="1"/>
  <c r="K150" i="10"/>
  <c r="D150" i="10"/>
  <c r="C150" i="10"/>
  <c r="P149" i="10"/>
  <c r="Q149" i="10" s="1"/>
  <c r="K149" i="10"/>
  <c r="D149" i="10"/>
  <c r="C149" i="10"/>
  <c r="P148" i="10"/>
  <c r="Q148" i="10" s="1"/>
  <c r="N148" i="10"/>
  <c r="O148" i="10" s="1"/>
  <c r="K148" i="10"/>
  <c r="D148" i="10"/>
  <c r="C148" i="10"/>
  <c r="P147" i="10"/>
  <c r="Q147" i="10" s="1"/>
  <c r="N147" i="10"/>
  <c r="O147" i="10" s="1"/>
  <c r="K147" i="10"/>
  <c r="D147" i="10"/>
  <c r="C147" i="10"/>
  <c r="P146" i="10"/>
  <c r="Q146" i="10" s="1"/>
  <c r="K146" i="10"/>
  <c r="D146" i="10"/>
  <c r="C146" i="10"/>
  <c r="P145" i="10"/>
  <c r="Q145" i="10" s="1"/>
  <c r="N145" i="10"/>
  <c r="O145" i="10" s="1"/>
  <c r="K145" i="10"/>
  <c r="D145" i="10"/>
  <c r="C145" i="10"/>
  <c r="P144" i="10"/>
  <c r="Q144" i="10" s="1"/>
  <c r="N144" i="10"/>
  <c r="O144" i="10" s="1"/>
  <c r="K144" i="10"/>
  <c r="D144" i="10"/>
  <c r="C144" i="10"/>
  <c r="P143" i="10"/>
  <c r="Q143" i="10" s="1"/>
  <c r="N143" i="10"/>
  <c r="O143" i="10" s="1"/>
  <c r="K143" i="10"/>
  <c r="D143" i="10"/>
  <c r="C143" i="10"/>
  <c r="P142" i="10"/>
  <c r="Q142" i="10" s="1"/>
  <c r="K142" i="10"/>
  <c r="D142" i="10"/>
  <c r="C142" i="10"/>
  <c r="P141" i="10"/>
  <c r="Q141" i="10" s="1"/>
  <c r="K141" i="10"/>
  <c r="D141" i="10"/>
  <c r="C141" i="10"/>
  <c r="P140" i="10"/>
  <c r="Q140" i="10" s="1"/>
  <c r="N140" i="10"/>
  <c r="O140" i="10" s="1"/>
  <c r="K140" i="10"/>
  <c r="D140" i="10"/>
  <c r="C140" i="10"/>
  <c r="P139" i="10"/>
  <c r="Q139" i="10" s="1"/>
  <c r="N139" i="10"/>
  <c r="O139" i="10" s="1"/>
  <c r="K139" i="10"/>
  <c r="D139" i="10"/>
  <c r="C139" i="10"/>
  <c r="P138" i="10"/>
  <c r="Q138" i="10" s="1"/>
  <c r="N138" i="10"/>
  <c r="O138" i="10" s="1"/>
  <c r="K138" i="10"/>
  <c r="D138" i="10"/>
  <c r="C138" i="10"/>
  <c r="P137" i="10"/>
  <c r="Q137" i="10" s="1"/>
  <c r="N137" i="10"/>
  <c r="O137" i="10" s="1"/>
  <c r="K137" i="10"/>
  <c r="D137" i="10"/>
  <c r="C137" i="10"/>
  <c r="P136" i="10"/>
  <c r="Q136" i="10" s="1"/>
  <c r="N136" i="10"/>
  <c r="O136" i="10" s="1"/>
  <c r="K136" i="10"/>
  <c r="D136" i="10"/>
  <c r="C136" i="10"/>
  <c r="P135" i="10"/>
  <c r="Q135" i="10" s="1"/>
  <c r="N135" i="10"/>
  <c r="O135" i="10" s="1"/>
  <c r="K135" i="10"/>
  <c r="D135" i="10"/>
  <c r="C135" i="10"/>
  <c r="P134" i="10"/>
  <c r="Q134" i="10" s="1"/>
  <c r="N134" i="10"/>
  <c r="O134" i="10" s="1"/>
  <c r="K134" i="10"/>
  <c r="D134" i="10"/>
  <c r="C134" i="10"/>
  <c r="P133" i="10"/>
  <c r="Q133" i="10" s="1"/>
  <c r="K133" i="10"/>
  <c r="D133" i="10"/>
  <c r="C133" i="10"/>
  <c r="P132" i="10"/>
  <c r="Q132" i="10" s="1"/>
  <c r="N132" i="10"/>
  <c r="O132" i="10" s="1"/>
  <c r="K132" i="10"/>
  <c r="D132" i="10"/>
  <c r="C132" i="10"/>
  <c r="P131" i="10"/>
  <c r="Q131" i="10" s="1"/>
  <c r="N131" i="10"/>
  <c r="O131" i="10" s="1"/>
  <c r="K131" i="10"/>
  <c r="D131" i="10"/>
  <c r="C131" i="10"/>
  <c r="P130" i="10"/>
  <c r="Q130" i="10" s="1"/>
  <c r="N130" i="10"/>
  <c r="O130" i="10" s="1"/>
  <c r="K130" i="10"/>
  <c r="D130" i="10"/>
  <c r="C130" i="10"/>
  <c r="P129" i="10"/>
  <c r="Q129" i="10" s="1"/>
  <c r="N129" i="10"/>
  <c r="O129" i="10" s="1"/>
  <c r="K129" i="10"/>
  <c r="D129" i="10"/>
  <c r="C129" i="10"/>
  <c r="P128" i="10"/>
  <c r="Q128" i="10" s="1"/>
  <c r="K128" i="10"/>
  <c r="D128" i="10"/>
  <c r="C128" i="10"/>
  <c r="P127" i="10"/>
  <c r="Q127" i="10" s="1"/>
  <c r="N127" i="10"/>
  <c r="O127" i="10" s="1"/>
  <c r="K127" i="10"/>
  <c r="D127" i="10"/>
  <c r="C127" i="10"/>
  <c r="P126" i="10"/>
  <c r="Q126" i="10" s="1"/>
  <c r="N126" i="10"/>
  <c r="O126" i="10" s="1"/>
  <c r="K126" i="10"/>
  <c r="D126" i="10"/>
  <c r="C126" i="10"/>
  <c r="P125" i="10"/>
  <c r="Q125" i="10" s="1"/>
  <c r="N125" i="10"/>
  <c r="O125" i="10" s="1"/>
  <c r="K125" i="10"/>
  <c r="D125" i="10"/>
  <c r="C125" i="10"/>
  <c r="P124" i="10"/>
  <c r="Q124" i="10" s="1"/>
  <c r="N124" i="10"/>
  <c r="O124" i="10" s="1"/>
  <c r="K124" i="10"/>
  <c r="D124" i="10"/>
  <c r="C124" i="10"/>
  <c r="P123" i="10"/>
  <c r="Q123" i="10" s="1"/>
  <c r="N123" i="10"/>
  <c r="O123" i="10" s="1"/>
  <c r="K123" i="10"/>
  <c r="D123" i="10"/>
  <c r="C123" i="10"/>
  <c r="P122" i="10"/>
  <c r="Q122" i="10" s="1"/>
  <c r="N122" i="10"/>
  <c r="O122" i="10" s="1"/>
  <c r="K122" i="10"/>
  <c r="D122" i="10"/>
  <c r="C122" i="10"/>
  <c r="P121" i="10"/>
  <c r="Q121" i="10" s="1"/>
  <c r="K121" i="10"/>
  <c r="D121" i="10"/>
  <c r="C121" i="10"/>
  <c r="P120" i="10"/>
  <c r="Q120" i="10" s="1"/>
  <c r="N120" i="10"/>
  <c r="O120" i="10" s="1"/>
  <c r="K120" i="10"/>
  <c r="D120" i="10"/>
  <c r="C120" i="10"/>
  <c r="P119" i="10"/>
  <c r="Q119" i="10" s="1"/>
  <c r="N119" i="10"/>
  <c r="O119" i="10" s="1"/>
  <c r="K119" i="10"/>
  <c r="D119" i="10"/>
  <c r="C119" i="10"/>
  <c r="P118" i="10"/>
  <c r="Q118" i="10" s="1"/>
  <c r="N118" i="10"/>
  <c r="O118" i="10" s="1"/>
  <c r="K118" i="10"/>
  <c r="D118" i="10"/>
  <c r="C118" i="10"/>
  <c r="P117" i="10"/>
  <c r="Q117" i="10" s="1"/>
  <c r="N117" i="10"/>
  <c r="O117" i="10" s="1"/>
  <c r="K117" i="10"/>
  <c r="D117" i="10"/>
  <c r="C117" i="10"/>
  <c r="P116" i="10"/>
  <c r="Q116" i="10" s="1"/>
  <c r="N116" i="10"/>
  <c r="O116" i="10" s="1"/>
  <c r="K116" i="10"/>
  <c r="D116" i="10"/>
  <c r="C116" i="10"/>
  <c r="P115" i="10"/>
  <c r="Q115" i="10" s="1"/>
  <c r="N115" i="10"/>
  <c r="O115" i="10" s="1"/>
  <c r="K115" i="10"/>
  <c r="D115" i="10"/>
  <c r="C115" i="10"/>
  <c r="P114" i="10"/>
  <c r="Q114" i="10" s="1"/>
  <c r="N114" i="10"/>
  <c r="O114" i="10" s="1"/>
  <c r="K114" i="10"/>
  <c r="D114" i="10"/>
  <c r="C114" i="10"/>
  <c r="P113" i="10"/>
  <c r="Q113" i="10" s="1"/>
  <c r="N113" i="10"/>
  <c r="O113" i="10" s="1"/>
  <c r="K113" i="10"/>
  <c r="D113" i="10"/>
  <c r="C113" i="10"/>
  <c r="P112" i="10"/>
  <c r="Q112" i="10" s="1"/>
  <c r="K112" i="10"/>
  <c r="D112" i="10"/>
  <c r="C112" i="10"/>
  <c r="P111" i="10"/>
  <c r="Q111" i="10" s="1"/>
  <c r="N111" i="10"/>
  <c r="O111" i="10" s="1"/>
  <c r="K111" i="10"/>
  <c r="D111" i="10"/>
  <c r="C111" i="10"/>
  <c r="P110" i="10"/>
  <c r="Q110" i="10" s="1"/>
  <c r="N110" i="10"/>
  <c r="O110" i="10" s="1"/>
  <c r="K110" i="10"/>
  <c r="D110" i="10"/>
  <c r="C110" i="10"/>
  <c r="P109" i="10"/>
  <c r="Q109" i="10" s="1"/>
  <c r="N109" i="10"/>
  <c r="O109" i="10" s="1"/>
  <c r="K109" i="10"/>
  <c r="D109" i="10"/>
  <c r="C109" i="10"/>
  <c r="P108" i="10"/>
  <c r="Q108" i="10" s="1"/>
  <c r="N108" i="10"/>
  <c r="O108" i="10" s="1"/>
  <c r="K108" i="10"/>
  <c r="D108" i="10"/>
  <c r="C108" i="10"/>
  <c r="P107" i="10"/>
  <c r="Q107" i="10" s="1"/>
  <c r="N107" i="10"/>
  <c r="O107" i="10" s="1"/>
  <c r="K107" i="10"/>
  <c r="D107" i="10"/>
  <c r="C107" i="10"/>
  <c r="P106" i="10"/>
  <c r="Q106" i="10" s="1"/>
  <c r="N106" i="10"/>
  <c r="O106" i="10" s="1"/>
  <c r="K106" i="10"/>
  <c r="D106" i="10"/>
  <c r="C106" i="10"/>
  <c r="P105" i="10"/>
  <c r="Q105" i="10" s="1"/>
  <c r="N105" i="10"/>
  <c r="O105" i="10" s="1"/>
  <c r="K105" i="10"/>
  <c r="D105" i="10"/>
  <c r="C105" i="10"/>
  <c r="P104" i="10"/>
  <c r="Q104" i="10" s="1"/>
  <c r="N104" i="10"/>
  <c r="O104" i="10" s="1"/>
  <c r="K104" i="10"/>
  <c r="D104" i="10"/>
  <c r="C104" i="10"/>
  <c r="P103" i="10"/>
  <c r="Q103" i="10" s="1"/>
  <c r="N103" i="10"/>
  <c r="O103" i="10" s="1"/>
  <c r="K103" i="10"/>
  <c r="D103" i="10"/>
  <c r="C103" i="10"/>
  <c r="P102" i="10"/>
  <c r="Q102" i="10" s="1"/>
  <c r="N102" i="10"/>
  <c r="O102" i="10" s="1"/>
  <c r="K102" i="10"/>
  <c r="D102" i="10"/>
  <c r="C102" i="10"/>
  <c r="P101" i="10"/>
  <c r="Q101" i="10" s="1"/>
  <c r="N101" i="10"/>
  <c r="O101" i="10" s="1"/>
  <c r="K101" i="10"/>
  <c r="D101" i="10"/>
  <c r="C101" i="10"/>
  <c r="P100" i="10"/>
  <c r="Q100" i="10" s="1"/>
  <c r="K100" i="10"/>
  <c r="D100" i="10"/>
  <c r="C100" i="10"/>
  <c r="P99" i="10"/>
  <c r="Q99" i="10" s="1"/>
  <c r="N99" i="10"/>
  <c r="O99" i="10" s="1"/>
  <c r="K99" i="10"/>
  <c r="D99" i="10"/>
  <c r="C99" i="10"/>
  <c r="P98" i="10"/>
  <c r="Q98" i="10" s="1"/>
  <c r="N98" i="10"/>
  <c r="O98" i="10" s="1"/>
  <c r="K98" i="10"/>
  <c r="D98" i="10"/>
  <c r="C98" i="10"/>
  <c r="P97" i="10"/>
  <c r="Q97" i="10" s="1"/>
  <c r="K97" i="10"/>
  <c r="D97" i="10"/>
  <c r="C97" i="10"/>
  <c r="P96" i="10"/>
  <c r="Q96" i="10" s="1"/>
  <c r="N96" i="10"/>
  <c r="O96" i="10" s="1"/>
  <c r="K96" i="10"/>
  <c r="D96" i="10"/>
  <c r="C96" i="10"/>
  <c r="P95" i="10"/>
  <c r="Q95" i="10" s="1"/>
  <c r="N95" i="10"/>
  <c r="O95" i="10" s="1"/>
  <c r="K95" i="10"/>
  <c r="D95" i="10"/>
  <c r="C95" i="10"/>
  <c r="P94" i="10"/>
  <c r="Q94" i="10" s="1"/>
  <c r="N94" i="10"/>
  <c r="O94" i="10" s="1"/>
  <c r="K94" i="10"/>
  <c r="D94" i="10"/>
  <c r="C94" i="10"/>
  <c r="P93" i="10"/>
  <c r="Q93" i="10" s="1"/>
  <c r="K93" i="10"/>
  <c r="D93" i="10"/>
  <c r="C93" i="10"/>
  <c r="P92" i="10"/>
  <c r="Q92" i="10" s="1"/>
  <c r="K92" i="10"/>
  <c r="D92" i="10"/>
  <c r="C92" i="10"/>
  <c r="P91" i="10"/>
  <c r="Q91" i="10" s="1"/>
  <c r="N91" i="10"/>
  <c r="O91" i="10" s="1"/>
  <c r="K91" i="10"/>
  <c r="D91" i="10"/>
  <c r="C91" i="10"/>
  <c r="P90" i="10"/>
  <c r="Q90" i="10" s="1"/>
  <c r="K90" i="10"/>
  <c r="D90" i="10"/>
  <c r="C90" i="10"/>
  <c r="P89" i="10"/>
  <c r="Q89" i="10" s="1"/>
  <c r="N89" i="10"/>
  <c r="O89" i="10" s="1"/>
  <c r="K89" i="10"/>
  <c r="D89" i="10"/>
  <c r="C89" i="10"/>
  <c r="P88" i="10"/>
  <c r="Q88" i="10" s="1"/>
  <c r="N88" i="10"/>
  <c r="O88" i="10" s="1"/>
  <c r="K88" i="10"/>
  <c r="D88" i="10"/>
  <c r="C88" i="10"/>
  <c r="P87" i="10"/>
  <c r="Q87" i="10" s="1"/>
  <c r="N87" i="10"/>
  <c r="O87" i="10" s="1"/>
  <c r="K87" i="10"/>
  <c r="D87" i="10"/>
  <c r="C87" i="10"/>
  <c r="P86" i="10"/>
  <c r="Q86" i="10" s="1"/>
  <c r="N86" i="10"/>
  <c r="O86" i="10" s="1"/>
  <c r="K86" i="10"/>
  <c r="D86" i="10"/>
  <c r="C86" i="10"/>
  <c r="P85" i="10"/>
  <c r="Q85" i="10" s="1"/>
  <c r="N85" i="10"/>
  <c r="O85" i="10" s="1"/>
  <c r="K85" i="10"/>
  <c r="D85" i="10"/>
  <c r="C85" i="10"/>
  <c r="P84" i="10"/>
  <c r="Q84" i="10" s="1"/>
  <c r="K84" i="10"/>
  <c r="D84" i="10"/>
  <c r="C84" i="10"/>
  <c r="P83" i="10"/>
  <c r="Q83" i="10" s="1"/>
  <c r="N83" i="10"/>
  <c r="O83" i="10" s="1"/>
  <c r="K83" i="10"/>
  <c r="D83" i="10"/>
  <c r="C83" i="10"/>
  <c r="P82" i="10"/>
  <c r="Q82" i="10" s="1"/>
  <c r="K82" i="10"/>
  <c r="D82" i="10"/>
  <c r="C82" i="10"/>
  <c r="P81" i="10"/>
  <c r="Q81" i="10" s="1"/>
  <c r="N81" i="10"/>
  <c r="O81" i="10" s="1"/>
  <c r="K81" i="10"/>
  <c r="D81" i="10"/>
  <c r="C81" i="10"/>
  <c r="P80" i="10"/>
  <c r="Q80" i="10" s="1"/>
  <c r="K80" i="10"/>
  <c r="D80" i="10"/>
  <c r="C80" i="10"/>
  <c r="P79" i="10"/>
  <c r="Q79" i="10" s="1"/>
  <c r="N79" i="10"/>
  <c r="O79" i="10" s="1"/>
  <c r="K79" i="10"/>
  <c r="D79" i="10"/>
  <c r="C79" i="10"/>
  <c r="P78" i="10"/>
  <c r="Q78" i="10" s="1"/>
  <c r="N78" i="10"/>
  <c r="O78" i="10" s="1"/>
  <c r="K78" i="10"/>
  <c r="D78" i="10"/>
  <c r="C78" i="10"/>
  <c r="P77" i="10"/>
  <c r="Q77" i="10" s="1"/>
  <c r="N77" i="10"/>
  <c r="O77" i="10" s="1"/>
  <c r="K77" i="10"/>
  <c r="D77" i="10"/>
  <c r="C77" i="10"/>
  <c r="P76" i="10"/>
  <c r="Q76" i="10" s="1"/>
  <c r="N76" i="10"/>
  <c r="O76" i="10" s="1"/>
  <c r="K76" i="10"/>
  <c r="D76" i="10"/>
  <c r="C76" i="10"/>
  <c r="P75" i="10"/>
  <c r="Q75" i="10" s="1"/>
  <c r="N75" i="10"/>
  <c r="O75" i="10" s="1"/>
  <c r="K75" i="10"/>
  <c r="D75" i="10"/>
  <c r="C75" i="10"/>
  <c r="P74" i="10"/>
  <c r="Q74" i="10" s="1"/>
  <c r="N74" i="10"/>
  <c r="O74" i="10" s="1"/>
  <c r="K74" i="10"/>
  <c r="D74" i="10"/>
  <c r="C74" i="10"/>
  <c r="P73" i="10"/>
  <c r="Q73" i="10" s="1"/>
  <c r="N73" i="10"/>
  <c r="O73" i="10" s="1"/>
  <c r="K73" i="10"/>
  <c r="D73" i="10"/>
  <c r="C73" i="10"/>
  <c r="P72" i="10"/>
  <c r="Q72" i="10" s="1"/>
  <c r="N72" i="10"/>
  <c r="O72" i="10" s="1"/>
  <c r="K72" i="10"/>
  <c r="D72" i="10"/>
  <c r="C72" i="10"/>
  <c r="P71" i="10"/>
  <c r="Q71" i="10" s="1"/>
  <c r="N71" i="10"/>
  <c r="O71" i="10" s="1"/>
  <c r="K71" i="10"/>
  <c r="D71" i="10"/>
  <c r="C71" i="10"/>
  <c r="P70" i="10"/>
  <c r="Q70" i="10" s="1"/>
  <c r="N70" i="10"/>
  <c r="O70" i="10" s="1"/>
  <c r="K70" i="10"/>
  <c r="D70" i="10"/>
  <c r="C70" i="10"/>
  <c r="P69" i="10"/>
  <c r="Q69" i="10" s="1"/>
  <c r="N69" i="10"/>
  <c r="O69" i="10" s="1"/>
  <c r="K69" i="10"/>
  <c r="D69" i="10"/>
  <c r="C69" i="10"/>
  <c r="P68" i="10"/>
  <c r="Q68" i="10" s="1"/>
  <c r="N68" i="10"/>
  <c r="O68" i="10" s="1"/>
  <c r="K68" i="10"/>
  <c r="D68" i="10"/>
  <c r="C68" i="10"/>
  <c r="P67" i="10"/>
  <c r="Q67" i="10" s="1"/>
  <c r="N67" i="10"/>
  <c r="O67" i="10" s="1"/>
  <c r="K67" i="10"/>
  <c r="D67" i="10"/>
  <c r="C67" i="10"/>
  <c r="P66" i="10"/>
  <c r="Q66" i="10" s="1"/>
  <c r="K66" i="10"/>
  <c r="D66" i="10"/>
  <c r="C66" i="10"/>
  <c r="P65" i="10"/>
  <c r="Q65" i="10" s="1"/>
  <c r="N65" i="10"/>
  <c r="O65" i="10" s="1"/>
  <c r="K65" i="10"/>
  <c r="D65" i="10"/>
  <c r="C65" i="10"/>
  <c r="P64" i="10"/>
  <c r="Q64" i="10" s="1"/>
  <c r="N64" i="10"/>
  <c r="O64" i="10" s="1"/>
  <c r="K64" i="10"/>
  <c r="D64" i="10"/>
  <c r="C64" i="10"/>
  <c r="P63" i="10"/>
  <c r="Q63" i="10" s="1"/>
  <c r="N63" i="10"/>
  <c r="O63" i="10" s="1"/>
  <c r="K63" i="10"/>
  <c r="D63" i="10"/>
  <c r="C63" i="10"/>
  <c r="P62" i="10"/>
  <c r="Q62" i="10" s="1"/>
  <c r="N62" i="10"/>
  <c r="O62" i="10" s="1"/>
  <c r="K62" i="10"/>
  <c r="D62" i="10"/>
  <c r="C62" i="10"/>
  <c r="P61" i="10"/>
  <c r="Q61" i="10" s="1"/>
  <c r="N61" i="10"/>
  <c r="O61" i="10" s="1"/>
  <c r="K61" i="10"/>
  <c r="D61" i="10"/>
  <c r="C61" i="10"/>
  <c r="P60" i="10"/>
  <c r="Q60" i="10" s="1"/>
  <c r="N60" i="10"/>
  <c r="O60" i="10" s="1"/>
  <c r="K60" i="10"/>
  <c r="D60" i="10"/>
  <c r="C60" i="10"/>
  <c r="P59" i="10"/>
  <c r="Q59" i="10" s="1"/>
  <c r="N59" i="10"/>
  <c r="O59" i="10" s="1"/>
  <c r="K59" i="10"/>
  <c r="D59" i="10"/>
  <c r="C59" i="10"/>
  <c r="P58" i="10"/>
  <c r="Q58" i="10" s="1"/>
  <c r="K58" i="10"/>
  <c r="D58" i="10"/>
  <c r="C58" i="10"/>
  <c r="P57" i="10"/>
  <c r="Q57" i="10" s="1"/>
  <c r="N57" i="10"/>
  <c r="O57" i="10" s="1"/>
  <c r="K57" i="10"/>
  <c r="D57" i="10"/>
  <c r="C57" i="10"/>
  <c r="P56" i="10"/>
  <c r="Q56" i="10" s="1"/>
  <c r="N56" i="10"/>
  <c r="O56" i="10" s="1"/>
  <c r="K56" i="10"/>
  <c r="D56" i="10"/>
  <c r="C56" i="10"/>
  <c r="P55" i="10"/>
  <c r="Q55" i="10" s="1"/>
  <c r="N55" i="10"/>
  <c r="O55" i="10" s="1"/>
  <c r="K55" i="10"/>
  <c r="D55" i="10"/>
  <c r="C55" i="10"/>
  <c r="P54" i="10"/>
  <c r="Q54" i="10" s="1"/>
  <c r="N54" i="10"/>
  <c r="O54" i="10" s="1"/>
  <c r="K54" i="10"/>
  <c r="D54" i="10"/>
  <c r="C54" i="10"/>
  <c r="P53" i="10"/>
  <c r="Q53" i="10" s="1"/>
  <c r="N53" i="10"/>
  <c r="O53" i="10" s="1"/>
  <c r="K53" i="10"/>
  <c r="D53" i="10"/>
  <c r="C53" i="10"/>
  <c r="P52" i="10"/>
  <c r="Q52" i="10" s="1"/>
  <c r="N52" i="10"/>
  <c r="O52" i="10" s="1"/>
  <c r="K52" i="10"/>
  <c r="D52" i="10"/>
  <c r="C52" i="10"/>
  <c r="P51" i="10"/>
  <c r="Q51" i="10" s="1"/>
  <c r="N51" i="10"/>
  <c r="O51" i="10" s="1"/>
  <c r="K51" i="10"/>
  <c r="D51" i="10"/>
  <c r="C51" i="10"/>
  <c r="P50" i="10"/>
  <c r="Q50" i="10" s="1"/>
  <c r="K50" i="10"/>
  <c r="D50" i="10"/>
  <c r="C50" i="10"/>
  <c r="P49" i="10"/>
  <c r="Q49" i="10" s="1"/>
  <c r="N49" i="10"/>
  <c r="O49" i="10" s="1"/>
  <c r="K49" i="10"/>
  <c r="D49" i="10"/>
  <c r="C49" i="10"/>
  <c r="P48" i="10"/>
  <c r="Q48" i="10" s="1"/>
  <c r="N48" i="10"/>
  <c r="O48" i="10" s="1"/>
  <c r="K48" i="10"/>
  <c r="D48" i="10"/>
  <c r="C48" i="10"/>
  <c r="P47" i="10"/>
  <c r="Q47" i="10" s="1"/>
  <c r="N47" i="10"/>
  <c r="O47" i="10" s="1"/>
  <c r="K47" i="10"/>
  <c r="D47" i="10"/>
  <c r="C47" i="10"/>
  <c r="P46" i="10"/>
  <c r="Q46" i="10" s="1"/>
  <c r="N46" i="10"/>
  <c r="O46" i="10" s="1"/>
  <c r="K46" i="10"/>
  <c r="D46" i="10"/>
  <c r="C46" i="10"/>
  <c r="P45" i="10"/>
  <c r="Q45" i="10" s="1"/>
  <c r="N45" i="10"/>
  <c r="O45" i="10" s="1"/>
  <c r="K45" i="10"/>
  <c r="D45" i="10"/>
  <c r="C45" i="10"/>
  <c r="P44" i="10"/>
  <c r="Q44" i="10" s="1"/>
  <c r="N44" i="10"/>
  <c r="O44" i="10" s="1"/>
  <c r="K44" i="10"/>
  <c r="D44" i="10"/>
  <c r="C44" i="10"/>
  <c r="P43" i="10"/>
  <c r="Q43" i="10" s="1"/>
  <c r="N43" i="10"/>
  <c r="O43" i="10" s="1"/>
  <c r="K43" i="10"/>
  <c r="D43" i="10"/>
  <c r="C43" i="10"/>
  <c r="P42" i="10"/>
  <c r="Q42" i="10" s="1"/>
  <c r="N42" i="10"/>
  <c r="O42" i="10" s="1"/>
  <c r="K42" i="10"/>
  <c r="D42" i="10"/>
  <c r="C42" i="10"/>
  <c r="P41" i="10"/>
  <c r="Q41" i="10" s="1"/>
  <c r="N41" i="10"/>
  <c r="O41" i="10" s="1"/>
  <c r="K41" i="10"/>
  <c r="D41" i="10"/>
  <c r="C41" i="10"/>
  <c r="P40" i="10"/>
  <c r="Q40" i="10" s="1"/>
  <c r="N40" i="10"/>
  <c r="O40" i="10" s="1"/>
  <c r="K40" i="10"/>
  <c r="D40" i="10"/>
  <c r="C40" i="10"/>
  <c r="P39" i="10"/>
  <c r="Q39" i="10" s="1"/>
  <c r="N39" i="10"/>
  <c r="O39" i="10" s="1"/>
  <c r="K39" i="10"/>
  <c r="D39" i="10"/>
  <c r="C39" i="10"/>
  <c r="P38" i="10"/>
  <c r="Q38" i="10" s="1"/>
  <c r="N38" i="10"/>
  <c r="O38" i="10" s="1"/>
  <c r="K38" i="10"/>
  <c r="D38" i="10"/>
  <c r="C38" i="10"/>
  <c r="P37" i="10"/>
  <c r="Q37" i="10" s="1"/>
  <c r="N37" i="10"/>
  <c r="O37" i="10" s="1"/>
  <c r="K37" i="10"/>
  <c r="D37" i="10"/>
  <c r="C37" i="10"/>
  <c r="P36" i="10"/>
  <c r="Q36" i="10" s="1"/>
  <c r="N36" i="10"/>
  <c r="O36" i="10" s="1"/>
  <c r="K36" i="10"/>
  <c r="D36" i="10"/>
  <c r="C36" i="10"/>
  <c r="P35" i="10"/>
  <c r="Q35" i="10" s="1"/>
  <c r="N35" i="10"/>
  <c r="O35" i="10" s="1"/>
  <c r="K35" i="10"/>
  <c r="D35" i="10"/>
  <c r="C35" i="10"/>
  <c r="P34" i="10"/>
  <c r="Q34" i="10" s="1"/>
  <c r="N34" i="10"/>
  <c r="O34" i="10" s="1"/>
  <c r="K34" i="10"/>
  <c r="D34" i="10"/>
  <c r="C34" i="10"/>
  <c r="P33" i="10"/>
  <c r="Q33" i="10" s="1"/>
  <c r="K33" i="10"/>
  <c r="D33" i="10"/>
  <c r="C33" i="10"/>
  <c r="P32" i="10"/>
  <c r="Q32" i="10" s="1"/>
  <c r="N32" i="10"/>
  <c r="O32" i="10" s="1"/>
  <c r="K32" i="10"/>
  <c r="D32" i="10"/>
  <c r="C32" i="10"/>
  <c r="P31" i="10"/>
  <c r="Q31" i="10" s="1"/>
  <c r="N31" i="10"/>
  <c r="O31" i="10" s="1"/>
  <c r="K31" i="10"/>
  <c r="D31" i="10"/>
  <c r="C31" i="10"/>
  <c r="P30" i="10"/>
  <c r="Q30" i="10" s="1"/>
  <c r="N30" i="10"/>
  <c r="O30" i="10" s="1"/>
  <c r="K30" i="10"/>
  <c r="D30" i="10"/>
  <c r="C30" i="10"/>
  <c r="P29" i="10"/>
  <c r="Q29" i="10" s="1"/>
  <c r="N29" i="10"/>
  <c r="O29" i="10" s="1"/>
  <c r="K29" i="10"/>
  <c r="D29" i="10"/>
  <c r="C29" i="10"/>
  <c r="P28" i="10"/>
  <c r="Q28" i="10" s="1"/>
  <c r="N28" i="10"/>
  <c r="O28" i="10" s="1"/>
  <c r="K28" i="10"/>
  <c r="D28" i="10"/>
  <c r="C28" i="10"/>
  <c r="P27" i="10"/>
  <c r="Q27" i="10" s="1"/>
  <c r="N27" i="10"/>
  <c r="O27" i="10" s="1"/>
  <c r="K27" i="10"/>
  <c r="D27" i="10"/>
  <c r="C27" i="10"/>
  <c r="P26" i="10"/>
  <c r="Q26" i="10" s="1"/>
  <c r="N26" i="10"/>
  <c r="O26" i="10" s="1"/>
  <c r="K26" i="10"/>
  <c r="D26" i="10"/>
  <c r="C26" i="10"/>
  <c r="P25" i="10"/>
  <c r="Q25" i="10" s="1"/>
  <c r="K25" i="10"/>
  <c r="D25" i="10"/>
  <c r="C25" i="10"/>
  <c r="P24" i="10"/>
  <c r="Q24" i="10" s="1"/>
  <c r="N24" i="10"/>
  <c r="O24" i="10" s="1"/>
  <c r="K24" i="10"/>
  <c r="D24" i="10"/>
  <c r="C24" i="10"/>
  <c r="P23" i="10"/>
  <c r="Q23" i="10" s="1"/>
  <c r="N23" i="10"/>
  <c r="O23" i="10" s="1"/>
  <c r="K23" i="10"/>
  <c r="D23" i="10"/>
  <c r="C23" i="10"/>
  <c r="P22" i="10"/>
  <c r="Q22" i="10" s="1"/>
  <c r="N22" i="10"/>
  <c r="O22" i="10" s="1"/>
  <c r="K22" i="10"/>
  <c r="D22" i="10"/>
  <c r="C22" i="10"/>
  <c r="P21" i="10"/>
  <c r="Q21" i="10" s="1"/>
  <c r="N21" i="10"/>
  <c r="O21" i="10" s="1"/>
  <c r="K21" i="10"/>
  <c r="D21" i="10"/>
  <c r="C21" i="10"/>
  <c r="P20" i="10"/>
  <c r="Q20" i="10" s="1"/>
  <c r="N20" i="10"/>
  <c r="O20" i="10" s="1"/>
  <c r="K20" i="10"/>
  <c r="D20" i="10"/>
  <c r="C20" i="10"/>
  <c r="P19" i="10"/>
  <c r="Q19" i="10" s="1"/>
  <c r="N19" i="10"/>
  <c r="O19" i="10" s="1"/>
  <c r="K19" i="10"/>
  <c r="D19" i="10"/>
  <c r="C19" i="10"/>
  <c r="P18" i="10"/>
  <c r="Q18" i="10" s="1"/>
  <c r="N18" i="10"/>
  <c r="O18" i="10" s="1"/>
  <c r="K18" i="10"/>
  <c r="D18" i="10"/>
  <c r="C18" i="10"/>
  <c r="P17" i="10"/>
  <c r="Q17" i="10" s="1"/>
  <c r="N17" i="10"/>
  <c r="O17" i="10" s="1"/>
  <c r="K17" i="10"/>
  <c r="D17" i="10"/>
  <c r="C17" i="10"/>
  <c r="P16" i="10"/>
  <c r="Q16" i="10" s="1"/>
  <c r="N16" i="10"/>
  <c r="O16" i="10" s="1"/>
  <c r="K16" i="10"/>
  <c r="D16" i="10"/>
  <c r="C16" i="10"/>
  <c r="P15" i="10"/>
  <c r="Q15" i="10" s="1"/>
  <c r="N15" i="10"/>
  <c r="O15" i="10" s="1"/>
  <c r="K15" i="10"/>
  <c r="D15" i="10"/>
  <c r="C15" i="10"/>
  <c r="P14" i="10"/>
  <c r="Q14" i="10" s="1"/>
  <c r="N14" i="10"/>
  <c r="O14" i="10" s="1"/>
  <c r="K14" i="10"/>
  <c r="D14" i="10"/>
  <c r="C14" i="10"/>
  <c r="P13" i="10"/>
  <c r="Q13" i="10" s="1"/>
  <c r="N13" i="10"/>
  <c r="O13" i="10" s="1"/>
  <c r="K13" i="10"/>
  <c r="D13" i="10"/>
  <c r="C13" i="10"/>
  <c r="P12" i="10"/>
  <c r="Q12" i="10" s="1"/>
  <c r="K12" i="10"/>
  <c r="D12" i="10"/>
  <c r="C12" i="10"/>
  <c r="P11" i="10"/>
  <c r="Q11" i="10" s="1"/>
  <c r="N11" i="10"/>
  <c r="O11" i="10" s="1"/>
  <c r="K11" i="10"/>
  <c r="D11" i="10"/>
  <c r="C11" i="10"/>
  <c r="P10" i="10"/>
  <c r="Q10" i="10" s="1"/>
  <c r="N10" i="10"/>
  <c r="O10" i="10" s="1"/>
  <c r="K10" i="10"/>
  <c r="D10" i="10"/>
  <c r="C10" i="10"/>
  <c r="P9" i="10"/>
  <c r="Q9" i="10" s="1"/>
  <c r="K9" i="10"/>
  <c r="D9" i="10"/>
  <c r="C9" i="10"/>
  <c r="P8" i="10"/>
  <c r="Q8" i="10" s="1"/>
  <c r="N8" i="10"/>
  <c r="O8" i="10" s="1"/>
  <c r="K8" i="10"/>
  <c r="D8" i="10"/>
  <c r="C8" i="10"/>
  <c r="P7" i="10"/>
  <c r="Q7" i="10" s="1"/>
  <c r="N7" i="10"/>
  <c r="O7" i="10" s="1"/>
  <c r="K7" i="10"/>
  <c r="D7" i="10"/>
  <c r="C7" i="10"/>
  <c r="P6" i="10"/>
  <c r="Q6" i="10" s="1"/>
  <c r="N6" i="10"/>
  <c r="O6" i="10" s="1"/>
  <c r="K6" i="10"/>
  <c r="D6" i="10"/>
  <c r="C6" i="10"/>
  <c r="P5" i="10"/>
  <c r="Q5" i="10" s="1"/>
  <c r="K5" i="10"/>
  <c r="D5" i="10"/>
  <c r="C5" i="10"/>
  <c r="P4" i="10"/>
  <c r="Q4" i="10" s="1"/>
  <c r="K4" i="10"/>
  <c r="D4" i="10"/>
  <c r="C4" i="10"/>
  <c r="P3" i="10"/>
  <c r="Q3" i="10" s="1"/>
  <c r="N3" i="10"/>
  <c r="O3" i="10" s="1"/>
  <c r="K3" i="10"/>
  <c r="D3" i="10"/>
  <c r="C3" i="10"/>
  <c r="P2" i="10"/>
  <c r="Q2" i="10" s="1"/>
  <c r="N2" i="10"/>
  <c r="O2" i="10" s="1"/>
  <c r="K2" i="10"/>
  <c r="D2" i="10"/>
  <c r="C2" i="10"/>
  <c r="B4" i="9"/>
  <c r="B3" i="9"/>
  <c r="B2" i="18" s="1"/>
  <c r="G1194" i="6"/>
  <c r="D1194" i="6"/>
  <c r="E1194" i="6" s="1"/>
  <c r="G1193" i="6"/>
  <c r="D1193" i="6"/>
  <c r="E1193" i="6" s="1"/>
  <c r="G1192" i="6"/>
  <c r="D1192" i="6"/>
  <c r="E1192" i="6" s="1"/>
  <c r="G1191" i="6"/>
  <c r="D1191" i="6"/>
  <c r="E1191" i="6" s="1"/>
  <c r="G1190" i="6"/>
  <c r="D1190" i="6"/>
  <c r="E1190" i="6" s="1"/>
  <c r="G1189" i="6"/>
  <c r="D1189" i="6"/>
  <c r="E1189" i="6" s="1"/>
  <c r="G1188" i="6"/>
  <c r="D1188" i="6"/>
  <c r="E1188" i="6" s="1"/>
  <c r="G1187" i="6"/>
  <c r="D1187" i="6"/>
  <c r="E1187" i="6" s="1"/>
  <c r="G1186" i="6"/>
  <c r="D1186" i="6"/>
  <c r="E1186" i="6" s="1"/>
  <c r="G1185" i="6"/>
  <c r="D1185" i="6"/>
  <c r="E1185" i="6" s="1"/>
  <c r="G1184" i="6"/>
  <c r="D1184" i="6"/>
  <c r="E1184" i="6" s="1"/>
  <c r="G1183" i="6"/>
  <c r="D1183" i="6"/>
  <c r="E1183" i="6" s="1"/>
  <c r="G1182" i="6"/>
  <c r="D1182" i="6"/>
  <c r="E1182" i="6" s="1"/>
  <c r="G1181" i="6"/>
  <c r="D1181" i="6"/>
  <c r="E1181" i="6" s="1"/>
  <c r="G1180" i="6"/>
  <c r="D1180" i="6"/>
  <c r="E1180" i="6" s="1"/>
  <c r="G1179" i="6"/>
  <c r="D1179" i="6"/>
  <c r="E1179" i="6" s="1"/>
  <c r="G1178" i="6"/>
  <c r="D1178" i="6"/>
  <c r="E1178" i="6" s="1"/>
  <c r="G1177" i="6"/>
  <c r="D1177" i="6"/>
  <c r="E1177" i="6" s="1"/>
  <c r="G1176" i="6"/>
  <c r="D1176" i="6"/>
  <c r="E1176" i="6" s="1"/>
  <c r="G1175" i="6"/>
  <c r="D1175" i="6"/>
  <c r="E1175" i="6" s="1"/>
  <c r="G1174" i="6"/>
  <c r="D1174" i="6"/>
  <c r="E1174" i="6" s="1"/>
  <c r="G1173" i="6"/>
  <c r="D1173" i="6"/>
  <c r="E1173" i="6" s="1"/>
  <c r="G1172" i="6"/>
  <c r="D1172" i="6"/>
  <c r="E1172" i="6" s="1"/>
  <c r="G1171" i="6"/>
  <c r="D1171" i="6"/>
  <c r="E1171" i="6" s="1"/>
  <c r="G1170" i="6"/>
  <c r="D1170" i="6"/>
  <c r="E1170" i="6" s="1"/>
  <c r="G1169" i="6"/>
  <c r="D1169" i="6"/>
  <c r="E1169" i="6" s="1"/>
  <c r="G1168" i="6"/>
  <c r="D1168" i="6"/>
  <c r="E1168" i="6" s="1"/>
  <c r="G1167" i="6"/>
  <c r="D1167" i="6"/>
  <c r="E1167" i="6" s="1"/>
  <c r="G1166" i="6"/>
  <c r="D1166" i="6"/>
  <c r="E1166" i="6" s="1"/>
  <c r="G1165" i="6"/>
  <c r="D1165" i="6"/>
  <c r="E1165" i="6" s="1"/>
  <c r="G1164" i="6"/>
  <c r="D1164" i="6"/>
  <c r="E1164" i="6" s="1"/>
  <c r="G1163" i="6"/>
  <c r="D1163" i="6"/>
  <c r="E1163" i="6" s="1"/>
  <c r="G1162" i="6"/>
  <c r="D1162" i="6"/>
  <c r="E1162" i="6" s="1"/>
  <c r="G1161" i="6"/>
  <c r="D1161" i="6"/>
  <c r="G1160" i="6"/>
  <c r="D1160" i="6"/>
  <c r="E1160" i="6" s="1"/>
  <c r="G1159" i="6"/>
  <c r="D1159" i="6"/>
  <c r="E1159" i="6" s="1"/>
  <c r="G1158" i="6"/>
  <c r="D1158" i="6"/>
  <c r="E1158" i="6" s="1"/>
  <c r="G1157" i="6"/>
  <c r="D1157" i="6"/>
  <c r="E1157" i="6" s="1"/>
  <c r="G1156" i="6"/>
  <c r="D1156" i="6"/>
  <c r="E1156" i="6" s="1"/>
  <c r="G1155" i="6"/>
  <c r="D1155" i="6"/>
  <c r="E1155" i="6" s="1"/>
  <c r="G1154" i="6"/>
  <c r="D1154" i="6"/>
  <c r="E1154" i="6" s="1"/>
  <c r="G1153" i="6"/>
  <c r="D1153" i="6"/>
  <c r="E1153" i="6" s="1"/>
  <c r="G1152" i="6"/>
  <c r="D1152" i="6"/>
  <c r="E1152" i="6" s="1"/>
  <c r="G1151" i="6"/>
  <c r="D1151" i="6"/>
  <c r="E1151" i="6" s="1"/>
  <c r="G1150" i="6"/>
  <c r="D1150" i="6"/>
  <c r="E1150" i="6" s="1"/>
  <c r="G1149" i="6"/>
  <c r="D1149" i="6"/>
  <c r="E1149" i="6" s="1"/>
  <c r="G1148" i="6"/>
  <c r="D1148" i="6"/>
  <c r="E1148" i="6" s="1"/>
  <c r="G1147" i="6"/>
  <c r="D1147" i="6"/>
  <c r="E1147" i="6" s="1"/>
  <c r="G1146" i="6"/>
  <c r="D1146" i="6"/>
  <c r="E1146" i="6" s="1"/>
  <c r="G1145" i="6"/>
  <c r="D1145" i="6"/>
  <c r="E1145" i="6" s="1"/>
  <c r="G1144" i="6"/>
  <c r="D1144" i="6"/>
  <c r="E1144" i="6" s="1"/>
  <c r="G1143" i="6"/>
  <c r="D1143" i="6"/>
  <c r="E1143" i="6" s="1"/>
  <c r="G1142" i="6"/>
  <c r="D1142" i="6"/>
  <c r="E1142" i="6" s="1"/>
  <c r="G1141" i="6"/>
  <c r="D1141" i="6"/>
  <c r="E1141" i="6" s="1"/>
  <c r="G1140" i="6"/>
  <c r="D1140" i="6"/>
  <c r="E1140" i="6" s="1"/>
  <c r="G1139" i="6"/>
  <c r="D1139" i="6"/>
  <c r="E1139" i="6" s="1"/>
  <c r="G1138" i="6"/>
  <c r="D1138" i="6"/>
  <c r="E1138" i="6" s="1"/>
  <c r="G1137" i="6"/>
  <c r="D1137" i="6"/>
  <c r="E1137" i="6" s="1"/>
  <c r="G1136" i="6"/>
  <c r="D1136" i="6"/>
  <c r="E1136" i="6" s="1"/>
  <c r="G1135" i="6"/>
  <c r="D1135" i="6"/>
  <c r="E1135" i="6" s="1"/>
  <c r="G1134" i="6"/>
  <c r="D1134" i="6"/>
  <c r="E1134" i="6" s="1"/>
  <c r="G1133" i="6"/>
  <c r="D1133" i="6"/>
  <c r="E1133" i="6" s="1"/>
  <c r="G1132" i="6"/>
  <c r="D1132" i="6"/>
  <c r="E1132" i="6" s="1"/>
  <c r="G1131" i="6"/>
  <c r="D1131" i="6"/>
  <c r="E1131" i="6" s="1"/>
  <c r="G1130" i="6"/>
  <c r="D1130" i="6"/>
  <c r="E1130" i="6" s="1"/>
  <c r="G1129" i="6"/>
  <c r="D1129" i="6"/>
  <c r="E1129" i="6" s="1"/>
  <c r="G1128" i="6"/>
  <c r="D1128" i="6"/>
  <c r="E1128" i="6" s="1"/>
  <c r="G1127" i="6"/>
  <c r="D1127" i="6"/>
  <c r="E1127" i="6" s="1"/>
  <c r="G1126" i="6"/>
  <c r="D1126" i="6"/>
  <c r="E1126" i="6" s="1"/>
  <c r="G1125" i="6"/>
  <c r="D1125" i="6"/>
  <c r="E1125" i="6" s="1"/>
  <c r="G1124" i="6"/>
  <c r="D1124" i="6"/>
  <c r="E1124" i="6" s="1"/>
  <c r="G1123" i="6"/>
  <c r="D1123" i="6"/>
  <c r="E1123" i="6" s="1"/>
  <c r="G1122" i="6"/>
  <c r="D1122" i="6"/>
  <c r="E1122" i="6" s="1"/>
  <c r="G1121" i="6"/>
  <c r="D1121" i="6"/>
  <c r="E1121" i="6" s="1"/>
  <c r="G1120" i="6"/>
  <c r="D1120" i="6"/>
  <c r="E1120" i="6" s="1"/>
  <c r="G1119" i="6"/>
  <c r="D1119" i="6"/>
  <c r="E1119" i="6" s="1"/>
  <c r="G1118" i="6"/>
  <c r="D1118" i="6"/>
  <c r="E1118" i="6" s="1"/>
  <c r="G1117" i="6"/>
  <c r="D1117" i="6"/>
  <c r="E1117" i="6" s="1"/>
  <c r="G1116" i="6"/>
  <c r="D1116" i="6"/>
  <c r="E1116" i="6" s="1"/>
  <c r="G1115" i="6"/>
  <c r="D1115" i="6"/>
  <c r="E1115" i="6" s="1"/>
  <c r="G1114" i="6"/>
  <c r="D1114" i="6"/>
  <c r="E1114" i="6" s="1"/>
  <c r="G1113" i="6"/>
  <c r="D1113" i="6"/>
  <c r="E1113" i="6" s="1"/>
  <c r="G1112" i="6"/>
  <c r="D1112" i="6"/>
  <c r="E1112" i="6" s="1"/>
  <c r="G1111" i="6"/>
  <c r="D1111" i="6"/>
  <c r="E1111" i="6" s="1"/>
  <c r="G1110" i="6"/>
  <c r="D1110" i="6"/>
  <c r="E1110" i="6" s="1"/>
  <c r="G1109" i="6"/>
  <c r="D1109" i="6"/>
  <c r="E1109" i="6" s="1"/>
  <c r="G1108" i="6"/>
  <c r="D1108" i="6"/>
  <c r="E1108" i="6" s="1"/>
  <c r="G1107" i="6"/>
  <c r="D1107" i="6"/>
  <c r="E1107" i="6" s="1"/>
  <c r="G1106" i="6"/>
  <c r="D1106" i="6"/>
  <c r="E1106" i="6" s="1"/>
  <c r="G1105" i="6"/>
  <c r="D1105" i="6"/>
  <c r="E1105" i="6" s="1"/>
  <c r="G1104" i="6"/>
  <c r="D1104" i="6"/>
  <c r="E1104" i="6" s="1"/>
  <c r="G1103" i="6"/>
  <c r="D1103" i="6"/>
  <c r="E1103" i="6" s="1"/>
  <c r="G1102" i="6"/>
  <c r="D1102" i="6"/>
  <c r="E1102" i="6" s="1"/>
  <c r="G1101" i="6"/>
  <c r="D1101" i="6"/>
  <c r="E1101" i="6" s="1"/>
  <c r="G1100" i="6"/>
  <c r="D1100" i="6"/>
  <c r="E1100" i="6" s="1"/>
  <c r="G1099" i="6"/>
  <c r="D1099" i="6"/>
  <c r="E1099" i="6" s="1"/>
  <c r="G1098" i="6"/>
  <c r="D1098" i="6"/>
  <c r="E1098" i="6" s="1"/>
  <c r="G1097" i="6"/>
  <c r="D1097" i="6"/>
  <c r="E1097" i="6" s="1"/>
  <c r="G1096" i="6"/>
  <c r="D1096" i="6"/>
  <c r="E1096" i="6" s="1"/>
  <c r="G1095" i="6"/>
  <c r="D1095" i="6"/>
  <c r="E1095" i="6" s="1"/>
  <c r="G1094" i="6"/>
  <c r="D1094" i="6"/>
  <c r="E1094" i="6" s="1"/>
  <c r="G1093" i="6"/>
  <c r="D1093" i="6"/>
  <c r="E1093" i="6" s="1"/>
  <c r="G1092" i="6"/>
  <c r="D1092" i="6"/>
  <c r="E1092" i="6" s="1"/>
  <c r="G1091" i="6"/>
  <c r="D1091" i="6"/>
  <c r="G1090" i="6"/>
  <c r="D1090" i="6"/>
  <c r="E1090" i="6" s="1"/>
  <c r="G1089" i="6"/>
  <c r="D1089" i="6"/>
  <c r="E1089" i="6" s="1"/>
  <c r="G1088" i="6"/>
  <c r="D1088" i="6"/>
  <c r="E1088" i="6" s="1"/>
  <c r="G1087" i="6"/>
  <c r="D1087" i="6"/>
  <c r="E1087" i="6" s="1"/>
  <c r="G1086" i="6"/>
  <c r="D1086" i="6"/>
  <c r="E1086" i="6" s="1"/>
  <c r="G1085" i="6"/>
  <c r="D1085" i="6"/>
  <c r="E1085" i="6" s="1"/>
  <c r="G1084" i="6"/>
  <c r="D1084" i="6"/>
  <c r="E1084" i="6" s="1"/>
  <c r="G1083" i="6"/>
  <c r="D1083" i="6"/>
  <c r="E1083" i="6" s="1"/>
  <c r="G1082" i="6"/>
  <c r="D1082" i="6"/>
  <c r="G1081" i="6"/>
  <c r="D1081" i="6"/>
  <c r="E1081" i="6" s="1"/>
  <c r="G1080" i="6"/>
  <c r="D1080" i="6"/>
  <c r="E1080" i="6" s="1"/>
  <c r="G1079" i="6"/>
  <c r="D1079" i="6"/>
  <c r="E1079" i="6" s="1"/>
  <c r="G1078" i="6"/>
  <c r="D1078" i="6"/>
  <c r="E1078" i="6" s="1"/>
  <c r="G1077" i="6"/>
  <c r="D1077" i="6"/>
  <c r="E1077" i="6" s="1"/>
  <c r="G1076" i="6"/>
  <c r="D1076" i="6"/>
  <c r="E1076" i="6" s="1"/>
  <c r="G1075" i="6"/>
  <c r="D1075" i="6"/>
  <c r="E1075" i="6" s="1"/>
  <c r="G1074" i="6"/>
  <c r="D1074" i="6"/>
  <c r="E1074" i="6" s="1"/>
  <c r="G1073" i="6"/>
  <c r="D1073" i="6"/>
  <c r="E1073" i="6" s="1"/>
  <c r="G1072" i="6"/>
  <c r="D1072" i="6"/>
  <c r="E1072" i="6" s="1"/>
  <c r="G1071" i="6"/>
  <c r="D1071" i="6"/>
  <c r="E1071" i="6" s="1"/>
  <c r="G1070" i="6"/>
  <c r="D1070" i="6"/>
  <c r="E1070" i="6" s="1"/>
  <c r="G1069" i="6"/>
  <c r="D1069" i="6"/>
  <c r="E1069" i="6" s="1"/>
  <c r="G1068" i="6"/>
  <c r="D1068" i="6"/>
  <c r="E1068" i="6" s="1"/>
  <c r="G1067" i="6"/>
  <c r="D1067" i="6"/>
  <c r="E1067" i="6" s="1"/>
  <c r="G1066" i="6"/>
  <c r="D1066" i="6"/>
  <c r="E1066" i="6" s="1"/>
  <c r="G1065" i="6"/>
  <c r="D1065" i="6"/>
  <c r="E1065" i="6" s="1"/>
  <c r="G1064" i="6"/>
  <c r="D1064" i="6"/>
  <c r="E1064" i="6" s="1"/>
  <c r="G1063" i="6"/>
  <c r="D1063" i="6"/>
  <c r="E1063" i="6" s="1"/>
  <c r="G1062" i="6"/>
  <c r="D1062" i="6"/>
  <c r="E1062" i="6" s="1"/>
  <c r="G1061" i="6"/>
  <c r="D1061" i="6"/>
  <c r="E1061" i="6" s="1"/>
  <c r="G1060" i="6"/>
  <c r="D1060" i="6"/>
  <c r="E1060" i="6" s="1"/>
  <c r="G1059" i="6"/>
  <c r="D1059" i="6"/>
  <c r="E1059" i="6" s="1"/>
  <c r="G1058" i="6"/>
  <c r="D1058" i="6"/>
  <c r="E1058" i="6" s="1"/>
  <c r="G1057" i="6"/>
  <c r="D1057" i="6"/>
  <c r="E1057" i="6" s="1"/>
  <c r="G1056" i="6"/>
  <c r="D1056" i="6"/>
  <c r="E1056" i="6" s="1"/>
  <c r="G1055" i="6"/>
  <c r="D1055" i="6"/>
  <c r="E1055" i="6" s="1"/>
  <c r="G1054" i="6"/>
  <c r="D1054" i="6"/>
  <c r="E1054" i="6" s="1"/>
  <c r="G1053" i="6"/>
  <c r="D1053" i="6"/>
  <c r="E1053" i="6" s="1"/>
  <c r="G1052" i="6"/>
  <c r="D1052" i="6"/>
  <c r="E1052" i="6" s="1"/>
  <c r="G1051" i="6"/>
  <c r="D1051" i="6"/>
  <c r="E1051" i="6" s="1"/>
  <c r="G1050" i="6"/>
  <c r="D1050" i="6"/>
  <c r="E1050" i="6" s="1"/>
  <c r="G1049" i="6"/>
  <c r="D1049" i="6"/>
  <c r="G1048" i="6"/>
  <c r="D1048" i="6"/>
  <c r="E1048" i="6" s="1"/>
  <c r="G1047" i="6"/>
  <c r="D1047" i="6"/>
  <c r="E1047" i="6" s="1"/>
  <c r="G1046" i="6"/>
  <c r="D1046" i="6"/>
  <c r="E1046" i="6" s="1"/>
  <c r="G1045" i="6"/>
  <c r="D1045" i="6"/>
  <c r="E1045" i="6" s="1"/>
  <c r="G1044" i="6"/>
  <c r="D1044" i="6"/>
  <c r="E1044" i="6" s="1"/>
  <c r="G1043" i="6"/>
  <c r="D1043" i="6"/>
  <c r="E1043" i="6" s="1"/>
  <c r="G1042" i="6"/>
  <c r="D1042" i="6"/>
  <c r="E1042" i="6" s="1"/>
  <c r="G1041" i="6"/>
  <c r="D1041" i="6"/>
  <c r="E1041" i="6" s="1"/>
  <c r="G1040" i="6"/>
  <c r="D1040" i="6"/>
  <c r="G1039" i="6"/>
  <c r="D1039" i="6"/>
  <c r="E1039" i="6" s="1"/>
  <c r="G1038" i="6"/>
  <c r="D1038" i="6"/>
  <c r="E1038" i="6" s="1"/>
  <c r="G1037" i="6"/>
  <c r="D1037" i="6"/>
  <c r="E1037" i="6" s="1"/>
  <c r="G1036" i="6"/>
  <c r="D1036" i="6"/>
  <c r="E1036" i="6" s="1"/>
  <c r="G1035" i="6"/>
  <c r="D1035" i="6"/>
  <c r="E1035" i="6" s="1"/>
  <c r="G1034" i="6"/>
  <c r="D1034" i="6"/>
  <c r="E1034" i="6" s="1"/>
  <c r="G1033" i="6"/>
  <c r="D1033" i="6"/>
  <c r="E1033" i="6" s="1"/>
  <c r="G1032" i="6"/>
  <c r="D1032" i="6"/>
  <c r="E1032" i="6" s="1"/>
  <c r="G1031" i="6"/>
  <c r="D1031" i="6"/>
  <c r="E1031" i="6" s="1"/>
  <c r="G1030" i="6"/>
  <c r="D1030" i="6"/>
  <c r="E1030" i="6" s="1"/>
  <c r="G1029" i="6"/>
  <c r="D1029" i="6"/>
  <c r="E1029" i="6" s="1"/>
  <c r="G1028" i="6"/>
  <c r="D1028" i="6"/>
  <c r="E1028" i="6" s="1"/>
  <c r="G1027" i="6"/>
  <c r="D1027" i="6"/>
  <c r="E1027" i="6" s="1"/>
  <c r="G1026" i="6"/>
  <c r="D1026" i="6"/>
  <c r="E1026" i="6" s="1"/>
  <c r="G1025" i="6"/>
  <c r="D1025" i="6"/>
  <c r="E1025" i="6" s="1"/>
  <c r="G1024" i="6"/>
  <c r="D1024" i="6"/>
  <c r="E1024" i="6" s="1"/>
  <c r="G1023" i="6"/>
  <c r="D1023" i="6"/>
  <c r="E1023" i="6" s="1"/>
  <c r="G1022" i="6"/>
  <c r="D1022" i="6"/>
  <c r="E1022" i="6" s="1"/>
  <c r="G1021" i="6"/>
  <c r="D1021" i="6"/>
  <c r="E1021" i="6" s="1"/>
  <c r="G1020" i="6"/>
  <c r="D1020" i="6"/>
  <c r="E1020" i="6" s="1"/>
  <c r="G1019" i="6"/>
  <c r="D1019" i="6"/>
  <c r="E1019" i="6" s="1"/>
  <c r="G1018" i="6"/>
  <c r="D1018" i="6"/>
  <c r="E1018" i="6" s="1"/>
  <c r="G1017" i="6"/>
  <c r="D1017" i="6"/>
  <c r="E1017" i="6" s="1"/>
  <c r="G1016" i="6"/>
  <c r="D1016" i="6"/>
  <c r="E1016" i="6" s="1"/>
  <c r="G1015" i="6"/>
  <c r="D1015" i="6"/>
  <c r="E1015" i="6" s="1"/>
  <c r="G1014" i="6"/>
  <c r="D1014" i="6"/>
  <c r="E1014" i="6" s="1"/>
  <c r="G1013" i="6"/>
  <c r="D1013" i="6"/>
  <c r="E1013" i="6" s="1"/>
  <c r="G1012" i="6"/>
  <c r="D1012" i="6"/>
  <c r="E1012" i="6" s="1"/>
  <c r="G1011" i="6"/>
  <c r="D1011" i="6"/>
  <c r="E1011" i="6" s="1"/>
  <c r="G1010" i="6"/>
  <c r="D1010" i="6"/>
  <c r="E1010" i="6" s="1"/>
  <c r="G1009" i="6"/>
  <c r="D1009" i="6"/>
  <c r="E1009" i="6" s="1"/>
  <c r="G1008" i="6"/>
  <c r="D1008" i="6"/>
  <c r="E1008" i="6" s="1"/>
  <c r="G1007" i="6"/>
  <c r="D1007" i="6"/>
  <c r="E1007" i="6" s="1"/>
  <c r="G1006" i="6"/>
  <c r="D1006" i="6"/>
  <c r="E1006" i="6" s="1"/>
  <c r="G1005" i="6"/>
  <c r="D1005" i="6"/>
  <c r="E1005" i="6" s="1"/>
  <c r="G1004" i="6"/>
  <c r="D1004" i="6"/>
  <c r="E1004" i="6" s="1"/>
  <c r="G1003" i="6"/>
  <c r="D1003" i="6"/>
  <c r="E1003" i="6" s="1"/>
  <c r="G1002" i="6"/>
  <c r="D1002" i="6"/>
  <c r="E1002" i="6" s="1"/>
  <c r="G1001" i="6"/>
  <c r="D1001" i="6"/>
  <c r="E1001" i="6" s="1"/>
  <c r="G1000" i="6"/>
  <c r="D1000" i="6"/>
  <c r="E1000" i="6" s="1"/>
  <c r="G999" i="6"/>
  <c r="D999" i="6"/>
  <c r="E999" i="6" s="1"/>
  <c r="G998" i="6"/>
  <c r="D998" i="6"/>
  <c r="E998" i="6" s="1"/>
  <c r="G997" i="6"/>
  <c r="D997" i="6"/>
  <c r="E997" i="6" s="1"/>
  <c r="G996" i="6"/>
  <c r="D996" i="6"/>
  <c r="E996" i="6" s="1"/>
  <c r="G995" i="6"/>
  <c r="D995" i="6"/>
  <c r="E995" i="6" s="1"/>
  <c r="G994" i="6"/>
  <c r="D994" i="6"/>
  <c r="E994" i="6" s="1"/>
  <c r="G993" i="6"/>
  <c r="D993" i="6"/>
  <c r="E993" i="6" s="1"/>
  <c r="G992" i="6"/>
  <c r="D992" i="6"/>
  <c r="E992" i="6" s="1"/>
  <c r="G991" i="6"/>
  <c r="D991" i="6"/>
  <c r="E991" i="6" s="1"/>
  <c r="G990" i="6"/>
  <c r="D990" i="6"/>
  <c r="E990" i="6" s="1"/>
  <c r="G989" i="6"/>
  <c r="D989" i="6"/>
  <c r="E989" i="6" s="1"/>
  <c r="G988" i="6"/>
  <c r="D988" i="6"/>
  <c r="E988" i="6" s="1"/>
  <c r="G987" i="6"/>
  <c r="D987" i="6"/>
  <c r="E987" i="6" s="1"/>
  <c r="G986" i="6"/>
  <c r="D986" i="6"/>
  <c r="E986" i="6" s="1"/>
  <c r="G985" i="6"/>
  <c r="D985" i="6"/>
  <c r="E985" i="6" s="1"/>
  <c r="G984" i="6"/>
  <c r="D984" i="6"/>
  <c r="E984" i="6" s="1"/>
  <c r="G983" i="6"/>
  <c r="D983" i="6"/>
  <c r="E983" i="6" s="1"/>
  <c r="G982" i="6"/>
  <c r="D982" i="6"/>
  <c r="E982" i="6" s="1"/>
  <c r="G981" i="6"/>
  <c r="D981" i="6"/>
  <c r="E981" i="6" s="1"/>
  <c r="G980" i="6"/>
  <c r="D980" i="6"/>
  <c r="E980" i="6" s="1"/>
  <c r="G979" i="6"/>
  <c r="D979" i="6"/>
  <c r="E979" i="6" s="1"/>
  <c r="G978" i="6"/>
  <c r="D978" i="6"/>
  <c r="E978" i="6" s="1"/>
  <c r="G977" i="6"/>
  <c r="D977" i="6"/>
  <c r="E977" i="6" s="1"/>
  <c r="G976" i="6"/>
  <c r="D976" i="6"/>
  <c r="E976" i="6" s="1"/>
  <c r="G975" i="6"/>
  <c r="D975" i="6"/>
  <c r="E975" i="6" s="1"/>
  <c r="G974" i="6"/>
  <c r="D974" i="6"/>
  <c r="E974" i="6" s="1"/>
  <c r="G973" i="6"/>
  <c r="D973" i="6"/>
  <c r="E973" i="6" s="1"/>
  <c r="G972" i="6"/>
  <c r="D972" i="6"/>
  <c r="E972" i="6" s="1"/>
  <c r="G971" i="6"/>
  <c r="D971" i="6"/>
  <c r="E971" i="6" s="1"/>
  <c r="G970" i="6"/>
  <c r="D970" i="6"/>
  <c r="E970" i="6" s="1"/>
  <c r="G969" i="6"/>
  <c r="D969" i="6"/>
  <c r="E969" i="6" s="1"/>
  <c r="G968" i="6"/>
  <c r="D968" i="6"/>
  <c r="E968" i="6" s="1"/>
  <c r="G967" i="6"/>
  <c r="D967" i="6"/>
  <c r="E967" i="6" s="1"/>
  <c r="G966" i="6"/>
  <c r="D966" i="6"/>
  <c r="E966" i="6" s="1"/>
  <c r="G965" i="6"/>
  <c r="D965" i="6"/>
  <c r="E965" i="6" s="1"/>
  <c r="G964" i="6"/>
  <c r="D964" i="6"/>
  <c r="E964" i="6" s="1"/>
  <c r="G963" i="6"/>
  <c r="D963" i="6"/>
  <c r="E963" i="6" s="1"/>
  <c r="G962" i="6"/>
  <c r="D962" i="6"/>
  <c r="E962" i="6" s="1"/>
  <c r="G961" i="6"/>
  <c r="D961" i="6"/>
  <c r="G960" i="6"/>
  <c r="D960" i="6"/>
  <c r="E960" i="6" s="1"/>
  <c r="G959" i="6"/>
  <c r="D959" i="6"/>
  <c r="E959" i="6" s="1"/>
  <c r="G958" i="6"/>
  <c r="D958" i="6"/>
  <c r="E958" i="6" s="1"/>
  <c r="G957" i="6"/>
  <c r="D957" i="6"/>
  <c r="E957" i="6" s="1"/>
  <c r="G956" i="6"/>
  <c r="D956" i="6"/>
  <c r="E956" i="6" s="1"/>
  <c r="G955" i="6"/>
  <c r="D955" i="6"/>
  <c r="E955" i="6" s="1"/>
  <c r="G954" i="6"/>
  <c r="D954" i="6"/>
  <c r="E954" i="6" s="1"/>
  <c r="G953" i="6"/>
  <c r="D953" i="6"/>
  <c r="E953" i="6" s="1"/>
  <c r="G952" i="6"/>
  <c r="D952" i="6"/>
  <c r="E952" i="6" s="1"/>
  <c r="G951" i="6"/>
  <c r="D951" i="6"/>
  <c r="E951" i="6" s="1"/>
  <c r="G950" i="6"/>
  <c r="D950" i="6"/>
  <c r="E950" i="6" s="1"/>
  <c r="G949" i="6"/>
  <c r="D949" i="6"/>
  <c r="E949" i="6" s="1"/>
  <c r="G948" i="6"/>
  <c r="D948" i="6"/>
  <c r="E948" i="6" s="1"/>
  <c r="G947" i="6"/>
  <c r="D947" i="6"/>
  <c r="E947" i="6" s="1"/>
  <c r="G946" i="6"/>
  <c r="D946" i="6"/>
  <c r="E946" i="6" s="1"/>
  <c r="G945" i="6"/>
  <c r="D945" i="6"/>
  <c r="E945" i="6" s="1"/>
  <c r="G944" i="6"/>
  <c r="D944" i="6"/>
  <c r="E944" i="6" s="1"/>
  <c r="G943" i="6"/>
  <c r="D943" i="6"/>
  <c r="E943" i="6" s="1"/>
  <c r="G942" i="6"/>
  <c r="D942" i="6"/>
  <c r="E942" i="6" s="1"/>
  <c r="G941" i="6"/>
  <c r="D941" i="6"/>
  <c r="G940" i="6"/>
  <c r="D940" i="6"/>
  <c r="E940" i="6" s="1"/>
  <c r="G939" i="6"/>
  <c r="D939" i="6"/>
  <c r="E939" i="6" s="1"/>
  <c r="G938" i="6"/>
  <c r="D938" i="6"/>
  <c r="E938" i="6" s="1"/>
  <c r="G937" i="6"/>
  <c r="D937" i="6"/>
  <c r="E937" i="6" s="1"/>
  <c r="G936" i="6"/>
  <c r="D936" i="6"/>
  <c r="E936" i="6" s="1"/>
  <c r="G935" i="6"/>
  <c r="D935" i="6"/>
  <c r="E935" i="6" s="1"/>
  <c r="G934" i="6"/>
  <c r="D934" i="6"/>
  <c r="E934" i="6" s="1"/>
  <c r="G933" i="6"/>
  <c r="D933" i="6"/>
  <c r="E933" i="6" s="1"/>
  <c r="G932" i="6"/>
  <c r="D932" i="6"/>
  <c r="E932" i="6" s="1"/>
  <c r="G931" i="6"/>
  <c r="D931" i="6"/>
  <c r="E931" i="6" s="1"/>
  <c r="G930" i="6"/>
  <c r="D930" i="6"/>
  <c r="E930" i="6" s="1"/>
  <c r="G929" i="6"/>
  <c r="D929" i="6"/>
  <c r="E929" i="6" s="1"/>
  <c r="G928" i="6"/>
  <c r="D928" i="6"/>
  <c r="E928" i="6" s="1"/>
  <c r="G927" i="6"/>
  <c r="D927" i="6"/>
  <c r="E927" i="6" s="1"/>
  <c r="G926" i="6"/>
  <c r="D926" i="6"/>
  <c r="E926" i="6" s="1"/>
  <c r="G925" i="6"/>
  <c r="D925" i="6"/>
  <c r="E925" i="6" s="1"/>
  <c r="G924" i="6"/>
  <c r="D924" i="6"/>
  <c r="E924" i="6" s="1"/>
  <c r="G923" i="6"/>
  <c r="D923" i="6"/>
  <c r="E923" i="6" s="1"/>
  <c r="G922" i="6"/>
  <c r="D922" i="6"/>
  <c r="E922" i="6" s="1"/>
  <c r="G921" i="6"/>
  <c r="D921" i="6"/>
  <c r="E921" i="6" s="1"/>
  <c r="G920" i="6"/>
  <c r="D920" i="6"/>
  <c r="E920" i="6" s="1"/>
  <c r="G919" i="6"/>
  <c r="D919" i="6"/>
  <c r="E919" i="6" s="1"/>
  <c r="G918" i="6"/>
  <c r="D918" i="6"/>
  <c r="E918" i="6" s="1"/>
  <c r="G917" i="6"/>
  <c r="D917" i="6"/>
  <c r="E917" i="6" s="1"/>
  <c r="G916" i="6"/>
  <c r="D916" i="6"/>
  <c r="E916" i="6" s="1"/>
  <c r="G915" i="6"/>
  <c r="D915" i="6"/>
  <c r="E915" i="6" s="1"/>
  <c r="G914" i="6"/>
  <c r="D914" i="6"/>
  <c r="E914" i="6" s="1"/>
  <c r="G913" i="6"/>
  <c r="D913" i="6"/>
  <c r="E913" i="6" s="1"/>
  <c r="G912" i="6"/>
  <c r="D912" i="6"/>
  <c r="E912" i="6" s="1"/>
  <c r="G911" i="6"/>
  <c r="D911" i="6"/>
  <c r="E911" i="6" s="1"/>
  <c r="G910" i="6"/>
  <c r="D910" i="6"/>
  <c r="E910" i="6" s="1"/>
  <c r="G909" i="6"/>
  <c r="D909" i="6"/>
  <c r="E909" i="6" s="1"/>
  <c r="G908" i="6"/>
  <c r="D908" i="6"/>
  <c r="E908" i="6" s="1"/>
  <c r="G907" i="6"/>
  <c r="D907" i="6"/>
  <c r="E907" i="6" s="1"/>
  <c r="G906" i="6"/>
  <c r="D906" i="6"/>
  <c r="E906" i="6" s="1"/>
  <c r="G905" i="6"/>
  <c r="D905" i="6"/>
  <c r="E905" i="6" s="1"/>
  <c r="G904" i="6"/>
  <c r="D904" i="6"/>
  <c r="E904" i="6" s="1"/>
  <c r="G903" i="6"/>
  <c r="D903" i="6"/>
  <c r="E903" i="6" s="1"/>
  <c r="G902" i="6"/>
  <c r="D902" i="6"/>
  <c r="E902" i="6" s="1"/>
  <c r="G901" i="6"/>
  <c r="D901" i="6"/>
  <c r="E901" i="6" s="1"/>
  <c r="G900" i="6"/>
  <c r="D900" i="6"/>
  <c r="E900" i="6" s="1"/>
  <c r="G899" i="6"/>
  <c r="D899" i="6"/>
  <c r="E899" i="6" s="1"/>
  <c r="G898" i="6"/>
  <c r="D898" i="6"/>
  <c r="E898" i="6" s="1"/>
  <c r="G897" i="6"/>
  <c r="D897" i="6"/>
  <c r="E897" i="6" s="1"/>
  <c r="G896" i="6"/>
  <c r="D896" i="6"/>
  <c r="E896" i="6" s="1"/>
  <c r="G895" i="6"/>
  <c r="D895" i="6"/>
  <c r="E895" i="6" s="1"/>
  <c r="G894" i="6"/>
  <c r="D894" i="6"/>
  <c r="E894" i="6" s="1"/>
  <c r="G893" i="6"/>
  <c r="D893" i="6"/>
  <c r="E893" i="6" s="1"/>
  <c r="G892" i="6"/>
  <c r="D892" i="6"/>
  <c r="E892" i="6" s="1"/>
  <c r="G891" i="6"/>
  <c r="D891" i="6"/>
  <c r="E891" i="6" s="1"/>
  <c r="G890" i="6"/>
  <c r="D890" i="6"/>
  <c r="E890" i="6" s="1"/>
  <c r="G889" i="6"/>
  <c r="D889" i="6"/>
  <c r="E889" i="6" s="1"/>
  <c r="G888" i="6"/>
  <c r="D888" i="6"/>
  <c r="E888" i="6" s="1"/>
  <c r="G887" i="6"/>
  <c r="D887" i="6"/>
  <c r="E887" i="6" s="1"/>
  <c r="G886" i="6"/>
  <c r="D886" i="6"/>
  <c r="E886" i="6" s="1"/>
  <c r="G885" i="6"/>
  <c r="D885" i="6"/>
  <c r="E885" i="6" s="1"/>
  <c r="G884" i="6"/>
  <c r="D884" i="6"/>
  <c r="E884" i="6" s="1"/>
  <c r="G883" i="6"/>
  <c r="D883" i="6"/>
  <c r="E883" i="6" s="1"/>
  <c r="G882" i="6"/>
  <c r="D882" i="6"/>
  <c r="E882" i="6" s="1"/>
  <c r="G881" i="6"/>
  <c r="D881" i="6"/>
  <c r="E881" i="6" s="1"/>
  <c r="G880" i="6"/>
  <c r="D880" i="6"/>
  <c r="E880" i="6" s="1"/>
  <c r="G879" i="6"/>
  <c r="D879" i="6"/>
  <c r="E879" i="6" s="1"/>
  <c r="G878" i="6"/>
  <c r="D878" i="6"/>
  <c r="E878" i="6" s="1"/>
  <c r="G877" i="6"/>
  <c r="D877" i="6"/>
  <c r="E877" i="6" s="1"/>
  <c r="G876" i="6"/>
  <c r="D876" i="6"/>
  <c r="E876" i="6" s="1"/>
  <c r="G875" i="6"/>
  <c r="D875" i="6"/>
  <c r="E875" i="6" s="1"/>
  <c r="G874" i="6"/>
  <c r="D874" i="6"/>
  <c r="E874" i="6" s="1"/>
  <c r="G873" i="6"/>
  <c r="D873" i="6"/>
  <c r="E873" i="6" s="1"/>
  <c r="G872" i="6"/>
  <c r="D872" i="6"/>
  <c r="E872" i="6" s="1"/>
  <c r="G871" i="6"/>
  <c r="D871" i="6"/>
  <c r="E871" i="6" s="1"/>
  <c r="G870" i="6"/>
  <c r="D870" i="6"/>
  <c r="E870" i="6" s="1"/>
  <c r="G869" i="6"/>
  <c r="D869" i="6"/>
  <c r="E869" i="6" s="1"/>
  <c r="G868" i="6"/>
  <c r="D868" i="6"/>
  <c r="G867" i="6"/>
  <c r="D867" i="6"/>
  <c r="E867" i="6" s="1"/>
  <c r="G866" i="6"/>
  <c r="D866" i="6"/>
  <c r="E866" i="6" s="1"/>
  <c r="G865" i="6"/>
  <c r="D865" i="6"/>
  <c r="E865" i="6" s="1"/>
  <c r="G864" i="6"/>
  <c r="D864" i="6"/>
  <c r="E864" i="6" s="1"/>
  <c r="G863" i="6"/>
  <c r="D863" i="6"/>
  <c r="E863" i="6" s="1"/>
  <c r="G862" i="6"/>
  <c r="D862" i="6"/>
  <c r="E862" i="6" s="1"/>
  <c r="G861" i="6"/>
  <c r="D861" i="6"/>
  <c r="E861" i="6" s="1"/>
  <c r="G860" i="6"/>
  <c r="D860" i="6"/>
  <c r="G859" i="6"/>
  <c r="D859" i="6"/>
  <c r="E859" i="6" s="1"/>
  <c r="G858" i="6"/>
  <c r="D858" i="6"/>
  <c r="E858" i="6" s="1"/>
  <c r="G857" i="6"/>
  <c r="D857" i="6"/>
  <c r="E857" i="6" s="1"/>
  <c r="G856" i="6"/>
  <c r="D856" i="6"/>
  <c r="E856" i="6" s="1"/>
  <c r="G855" i="6"/>
  <c r="D855" i="6"/>
  <c r="E855" i="6" s="1"/>
  <c r="G854" i="6"/>
  <c r="D854" i="6"/>
  <c r="E854" i="6" s="1"/>
  <c r="G853" i="6"/>
  <c r="D853" i="6"/>
  <c r="E853" i="6" s="1"/>
  <c r="G852" i="6"/>
  <c r="D852" i="6"/>
  <c r="E852" i="6" s="1"/>
  <c r="G851" i="6"/>
  <c r="D851" i="6"/>
  <c r="E851" i="6" s="1"/>
  <c r="G850" i="6"/>
  <c r="D850" i="6"/>
  <c r="E850" i="6" s="1"/>
  <c r="G849" i="6"/>
  <c r="D849" i="6"/>
  <c r="E849" i="6" s="1"/>
  <c r="G848" i="6"/>
  <c r="D848" i="6"/>
  <c r="E848" i="6" s="1"/>
  <c r="G847" i="6"/>
  <c r="D847" i="6"/>
  <c r="E847" i="6" s="1"/>
  <c r="G846" i="6"/>
  <c r="D846" i="6"/>
  <c r="E846" i="6" s="1"/>
  <c r="G845" i="6"/>
  <c r="D845" i="6"/>
  <c r="E845" i="6" s="1"/>
  <c r="G844" i="6"/>
  <c r="D844" i="6"/>
  <c r="E844" i="6" s="1"/>
  <c r="G843" i="6"/>
  <c r="D843" i="6"/>
  <c r="E843" i="6" s="1"/>
  <c r="G842" i="6"/>
  <c r="D842" i="6"/>
  <c r="E842" i="6" s="1"/>
  <c r="G841" i="6"/>
  <c r="D841" i="6"/>
  <c r="E841" i="6" s="1"/>
  <c r="G840" i="6"/>
  <c r="D840" i="6"/>
  <c r="E840" i="6" s="1"/>
  <c r="G839" i="6"/>
  <c r="D839" i="6"/>
  <c r="E839" i="6" s="1"/>
  <c r="G838" i="6"/>
  <c r="D838" i="6"/>
  <c r="E838" i="6" s="1"/>
  <c r="G837" i="6"/>
  <c r="D837" i="6"/>
  <c r="E837" i="6" s="1"/>
  <c r="G836" i="6"/>
  <c r="D836" i="6"/>
  <c r="E836" i="6" s="1"/>
  <c r="G835" i="6"/>
  <c r="D835" i="6"/>
  <c r="E835" i="6" s="1"/>
  <c r="G834" i="6"/>
  <c r="D834" i="6"/>
  <c r="E834" i="6" s="1"/>
  <c r="G833" i="6"/>
  <c r="D833" i="6"/>
  <c r="E833" i="6" s="1"/>
  <c r="G832" i="6"/>
  <c r="D832" i="6"/>
  <c r="E832" i="6" s="1"/>
  <c r="G831" i="6"/>
  <c r="D831" i="6"/>
  <c r="E831" i="6" s="1"/>
  <c r="G830" i="6"/>
  <c r="D830" i="6"/>
  <c r="E830" i="6" s="1"/>
  <c r="G829" i="6"/>
  <c r="D829" i="6"/>
  <c r="E829" i="6" s="1"/>
  <c r="G828" i="6"/>
  <c r="D828" i="6"/>
  <c r="E828" i="6" s="1"/>
  <c r="G827" i="6"/>
  <c r="D827" i="6"/>
  <c r="E827" i="6" s="1"/>
  <c r="G826" i="6"/>
  <c r="D826" i="6"/>
  <c r="E826" i="6" s="1"/>
  <c r="G825" i="6"/>
  <c r="D825" i="6"/>
  <c r="G824" i="6"/>
  <c r="D824" i="6"/>
  <c r="E824" i="6" s="1"/>
  <c r="G823" i="6"/>
  <c r="D823" i="6"/>
  <c r="E823" i="6" s="1"/>
  <c r="G822" i="6"/>
  <c r="D822" i="6"/>
  <c r="E822" i="6" s="1"/>
  <c r="G821" i="6"/>
  <c r="D821" i="6"/>
  <c r="E821" i="6" s="1"/>
  <c r="G820" i="6"/>
  <c r="D820" i="6"/>
  <c r="E820" i="6" s="1"/>
  <c r="G819" i="6"/>
  <c r="D819" i="6"/>
  <c r="E819" i="6" s="1"/>
  <c r="G818" i="6"/>
  <c r="D818" i="6"/>
  <c r="E818" i="6" s="1"/>
  <c r="G817" i="6"/>
  <c r="D817" i="6"/>
  <c r="E817" i="6" s="1"/>
  <c r="G816" i="6"/>
  <c r="D816" i="6"/>
  <c r="E816" i="6" s="1"/>
  <c r="G815" i="6"/>
  <c r="D815" i="6"/>
  <c r="E815" i="6" s="1"/>
  <c r="G814" i="6"/>
  <c r="D814" i="6"/>
  <c r="E814" i="6" s="1"/>
  <c r="G813" i="6"/>
  <c r="D813" i="6"/>
  <c r="E813" i="6" s="1"/>
  <c r="G812" i="6"/>
  <c r="D812" i="6"/>
  <c r="E812" i="6" s="1"/>
  <c r="G811" i="6"/>
  <c r="D811" i="6"/>
  <c r="E811" i="6" s="1"/>
  <c r="G810" i="6"/>
  <c r="D810" i="6"/>
  <c r="E810" i="6" s="1"/>
  <c r="G809" i="6"/>
  <c r="D809" i="6"/>
  <c r="E809" i="6" s="1"/>
  <c r="G808" i="6"/>
  <c r="D808" i="6"/>
  <c r="E808" i="6" s="1"/>
  <c r="G807" i="6"/>
  <c r="D807" i="6"/>
  <c r="E807" i="6" s="1"/>
  <c r="G806" i="6"/>
  <c r="D806" i="6"/>
  <c r="E806" i="6" s="1"/>
  <c r="G805" i="6"/>
  <c r="D805" i="6"/>
  <c r="E805" i="6" s="1"/>
  <c r="G804" i="6"/>
  <c r="D804" i="6"/>
  <c r="E804" i="6" s="1"/>
  <c r="G803" i="6"/>
  <c r="D803" i="6"/>
  <c r="E803" i="6" s="1"/>
  <c r="G802" i="6"/>
  <c r="D802" i="6"/>
  <c r="E802" i="6" s="1"/>
  <c r="G801" i="6"/>
  <c r="D801" i="6"/>
  <c r="E801" i="6" s="1"/>
  <c r="G800" i="6"/>
  <c r="D800" i="6"/>
  <c r="E800" i="6" s="1"/>
  <c r="G799" i="6"/>
  <c r="D799" i="6"/>
  <c r="G798" i="6"/>
  <c r="D798" i="6"/>
  <c r="E798" i="6" s="1"/>
  <c r="G797" i="6"/>
  <c r="D797" i="6"/>
  <c r="E797" i="6" s="1"/>
  <c r="G796" i="6"/>
  <c r="D796" i="6"/>
  <c r="E796" i="6" s="1"/>
  <c r="G795" i="6"/>
  <c r="D795" i="6"/>
  <c r="E795" i="6" s="1"/>
  <c r="G794" i="6"/>
  <c r="D794" i="6"/>
  <c r="E794" i="6" s="1"/>
  <c r="G793" i="6"/>
  <c r="D793" i="6"/>
  <c r="E793" i="6" s="1"/>
  <c r="G792" i="6"/>
  <c r="D792" i="6"/>
  <c r="E792" i="6" s="1"/>
  <c r="G791" i="6"/>
  <c r="D791" i="6"/>
  <c r="E791" i="6" s="1"/>
  <c r="G790" i="6"/>
  <c r="D790" i="6"/>
  <c r="E790" i="6" s="1"/>
  <c r="G789" i="6"/>
  <c r="D789" i="6"/>
  <c r="E789" i="6" s="1"/>
  <c r="G788" i="6"/>
  <c r="D788" i="6"/>
  <c r="E788" i="6" s="1"/>
  <c r="G787" i="6"/>
  <c r="D787" i="6"/>
  <c r="E787" i="6" s="1"/>
  <c r="G786" i="6"/>
  <c r="D786" i="6"/>
  <c r="E786" i="6" s="1"/>
  <c r="G785" i="6"/>
  <c r="D785" i="6"/>
  <c r="E785" i="6" s="1"/>
  <c r="G784" i="6"/>
  <c r="D784" i="6"/>
  <c r="G783" i="6"/>
  <c r="D783" i="6"/>
  <c r="E783" i="6" s="1"/>
  <c r="G782" i="6"/>
  <c r="D782" i="6"/>
  <c r="E782" i="6" s="1"/>
  <c r="G781" i="6"/>
  <c r="D781" i="6"/>
  <c r="E781" i="6" s="1"/>
  <c r="G780" i="6"/>
  <c r="D780" i="6"/>
  <c r="E780" i="6" s="1"/>
  <c r="G779" i="6"/>
  <c r="D779" i="6"/>
  <c r="E779" i="6" s="1"/>
  <c r="G778" i="6"/>
  <c r="D778" i="6"/>
  <c r="E778" i="6" s="1"/>
  <c r="G777" i="6"/>
  <c r="D777" i="6"/>
  <c r="E777" i="6" s="1"/>
  <c r="G776" i="6"/>
  <c r="D776" i="6"/>
  <c r="G775" i="6"/>
  <c r="D775" i="6"/>
  <c r="G774" i="6"/>
  <c r="D774" i="6"/>
  <c r="E774" i="6" s="1"/>
  <c r="G773" i="6"/>
  <c r="D773" i="6"/>
  <c r="E773" i="6" s="1"/>
  <c r="G772" i="6"/>
  <c r="D772" i="6"/>
  <c r="E772" i="6" s="1"/>
  <c r="G771" i="6"/>
  <c r="D771" i="6"/>
  <c r="E771" i="6" s="1"/>
  <c r="G770" i="6"/>
  <c r="D770" i="6"/>
  <c r="E770" i="6" s="1"/>
  <c r="G769" i="6"/>
  <c r="D769" i="6"/>
  <c r="E769" i="6" s="1"/>
  <c r="G768" i="6"/>
  <c r="D768" i="6"/>
  <c r="E768" i="6" s="1"/>
  <c r="G767" i="6"/>
  <c r="D767" i="6"/>
  <c r="E767" i="6" s="1"/>
  <c r="G766" i="6"/>
  <c r="D766" i="6"/>
  <c r="E766" i="6" s="1"/>
  <c r="G765" i="6"/>
  <c r="D765" i="6"/>
  <c r="E765" i="6" s="1"/>
  <c r="G764" i="6"/>
  <c r="D764" i="6"/>
  <c r="E764" i="6" s="1"/>
  <c r="G763" i="6"/>
  <c r="D763" i="6"/>
  <c r="E763" i="6" s="1"/>
  <c r="G762" i="6"/>
  <c r="D762" i="6"/>
  <c r="E762" i="6" s="1"/>
  <c r="G761" i="6"/>
  <c r="D761" i="6"/>
  <c r="E761" i="6" s="1"/>
  <c r="G760" i="6"/>
  <c r="D760" i="6"/>
  <c r="G759" i="6"/>
  <c r="D759" i="6"/>
  <c r="E759" i="6" s="1"/>
  <c r="G758" i="6"/>
  <c r="D758" i="6"/>
  <c r="E758" i="6" s="1"/>
  <c r="G757" i="6"/>
  <c r="D757" i="6"/>
  <c r="E757" i="6" s="1"/>
  <c r="G756" i="6"/>
  <c r="D756" i="6"/>
  <c r="E756" i="6" s="1"/>
  <c r="G755" i="6"/>
  <c r="D755" i="6"/>
  <c r="E755" i="6" s="1"/>
  <c r="G754" i="6"/>
  <c r="D754" i="6"/>
  <c r="E754" i="6" s="1"/>
  <c r="G753" i="6"/>
  <c r="D753" i="6"/>
  <c r="E753" i="6" s="1"/>
  <c r="G752" i="6"/>
  <c r="D752" i="6"/>
  <c r="E752" i="6" s="1"/>
  <c r="G751" i="6"/>
  <c r="D751" i="6"/>
  <c r="E751" i="6" s="1"/>
  <c r="G750" i="6"/>
  <c r="D750" i="6"/>
  <c r="G749" i="6"/>
  <c r="D749" i="6"/>
  <c r="E749" i="6" s="1"/>
  <c r="G748" i="6"/>
  <c r="D748" i="6"/>
  <c r="E748" i="6" s="1"/>
  <c r="G747" i="6"/>
  <c r="D747" i="6"/>
  <c r="E747" i="6" s="1"/>
  <c r="G746" i="6"/>
  <c r="D746" i="6"/>
  <c r="G745" i="6"/>
  <c r="D745" i="6"/>
  <c r="E745" i="6" s="1"/>
  <c r="G744" i="6"/>
  <c r="D744" i="6"/>
  <c r="E744" i="6" s="1"/>
  <c r="G743" i="6"/>
  <c r="D743" i="6"/>
  <c r="E743" i="6" s="1"/>
  <c r="G742" i="6"/>
  <c r="D742" i="6"/>
  <c r="E742" i="6" s="1"/>
  <c r="G741" i="6"/>
  <c r="D741" i="6"/>
  <c r="E741" i="6" s="1"/>
  <c r="G740" i="6"/>
  <c r="D740" i="6"/>
  <c r="E740" i="6" s="1"/>
  <c r="G739" i="6"/>
  <c r="D739" i="6"/>
  <c r="E739" i="6" s="1"/>
  <c r="G738" i="6"/>
  <c r="D738" i="6"/>
  <c r="E738" i="6" s="1"/>
  <c r="G737" i="6"/>
  <c r="D737" i="6"/>
  <c r="E737" i="6" s="1"/>
  <c r="G736" i="6"/>
  <c r="D736" i="6"/>
  <c r="E736" i="6" s="1"/>
  <c r="G735" i="6"/>
  <c r="D735" i="6"/>
  <c r="E735" i="6" s="1"/>
  <c r="G734" i="6"/>
  <c r="D734" i="6"/>
  <c r="E734" i="6" s="1"/>
  <c r="G733" i="6"/>
  <c r="D733" i="6"/>
  <c r="E733" i="6" s="1"/>
  <c r="G732" i="6"/>
  <c r="D732" i="6"/>
  <c r="E732" i="6" s="1"/>
  <c r="G731" i="6"/>
  <c r="D731" i="6"/>
  <c r="E731" i="6" s="1"/>
  <c r="G730" i="6"/>
  <c r="D730" i="6"/>
  <c r="E730" i="6" s="1"/>
  <c r="G729" i="6"/>
  <c r="D729" i="6"/>
  <c r="E729" i="6" s="1"/>
  <c r="G728" i="6"/>
  <c r="D728" i="6"/>
  <c r="E728" i="6" s="1"/>
  <c r="G727" i="6"/>
  <c r="D727" i="6"/>
  <c r="E727" i="6" s="1"/>
  <c r="G726" i="6"/>
  <c r="D726" i="6"/>
  <c r="E726" i="6" s="1"/>
  <c r="G725" i="6"/>
  <c r="D725" i="6"/>
  <c r="E725" i="6" s="1"/>
  <c r="G724" i="6"/>
  <c r="D724" i="6"/>
  <c r="E724" i="6" s="1"/>
  <c r="G723" i="6"/>
  <c r="D723" i="6"/>
  <c r="E723" i="6" s="1"/>
  <c r="G722" i="6"/>
  <c r="D722" i="6"/>
  <c r="E722" i="6" s="1"/>
  <c r="G721" i="6"/>
  <c r="D721" i="6"/>
  <c r="E721" i="6" s="1"/>
  <c r="G720" i="6"/>
  <c r="D720" i="6"/>
  <c r="E720" i="6" s="1"/>
  <c r="G719" i="6"/>
  <c r="D719" i="6"/>
  <c r="E719" i="6" s="1"/>
  <c r="G718" i="6"/>
  <c r="D718" i="6"/>
  <c r="E718" i="6" s="1"/>
  <c r="G717" i="6"/>
  <c r="D717" i="6"/>
  <c r="E717" i="6" s="1"/>
  <c r="G716" i="6"/>
  <c r="D716" i="6"/>
  <c r="E716" i="6" s="1"/>
  <c r="G715" i="6"/>
  <c r="D715" i="6"/>
  <c r="E715" i="6" s="1"/>
  <c r="G714" i="6"/>
  <c r="D714" i="6"/>
  <c r="E714" i="6" s="1"/>
  <c r="G713" i="6"/>
  <c r="D713" i="6"/>
  <c r="E713" i="6" s="1"/>
  <c r="G712" i="6"/>
  <c r="D712" i="6"/>
  <c r="E712" i="6" s="1"/>
  <c r="G711" i="6"/>
  <c r="D711" i="6"/>
  <c r="E711" i="6" s="1"/>
  <c r="G710" i="6"/>
  <c r="D710" i="6"/>
  <c r="E710" i="6" s="1"/>
  <c r="G709" i="6"/>
  <c r="D709" i="6"/>
  <c r="E709" i="6" s="1"/>
  <c r="G708" i="6"/>
  <c r="D708" i="6"/>
  <c r="E708" i="6" s="1"/>
  <c r="G707" i="6"/>
  <c r="D707" i="6"/>
  <c r="E707" i="6" s="1"/>
  <c r="G706" i="6"/>
  <c r="D706" i="6"/>
  <c r="E706" i="6" s="1"/>
  <c r="G705" i="6"/>
  <c r="D705" i="6"/>
  <c r="E705" i="6" s="1"/>
  <c r="G704" i="6"/>
  <c r="D704" i="6"/>
  <c r="E704" i="6" s="1"/>
  <c r="G703" i="6"/>
  <c r="D703" i="6"/>
  <c r="E703" i="6" s="1"/>
  <c r="G702" i="6"/>
  <c r="D702" i="6"/>
  <c r="E702" i="6" s="1"/>
  <c r="G701" i="6"/>
  <c r="D701" i="6"/>
  <c r="E701" i="6" s="1"/>
  <c r="G700" i="6"/>
  <c r="D700" i="6"/>
  <c r="E700" i="6" s="1"/>
  <c r="G699" i="6"/>
  <c r="D699" i="6"/>
  <c r="E699" i="6" s="1"/>
  <c r="G698" i="6"/>
  <c r="D698" i="6"/>
  <c r="E698" i="6" s="1"/>
  <c r="G697" i="6"/>
  <c r="D697" i="6"/>
  <c r="E697" i="6" s="1"/>
  <c r="G696" i="6"/>
  <c r="D696" i="6"/>
  <c r="E696" i="6" s="1"/>
  <c r="G695" i="6"/>
  <c r="D695" i="6"/>
  <c r="E695" i="6" s="1"/>
  <c r="G694" i="6"/>
  <c r="D694" i="6"/>
  <c r="E694" i="6" s="1"/>
  <c r="G693" i="6"/>
  <c r="D693" i="6"/>
  <c r="E693" i="6" s="1"/>
  <c r="G692" i="6"/>
  <c r="D692" i="6"/>
  <c r="E692" i="6" s="1"/>
  <c r="G691" i="6"/>
  <c r="D691" i="6"/>
  <c r="E691" i="6" s="1"/>
  <c r="G690" i="6"/>
  <c r="D690" i="6"/>
  <c r="E690" i="6" s="1"/>
  <c r="G689" i="6"/>
  <c r="D689" i="6"/>
  <c r="E689" i="6" s="1"/>
  <c r="G688" i="6"/>
  <c r="D688" i="6"/>
  <c r="G687" i="6"/>
  <c r="D687" i="6"/>
  <c r="E687" i="6" s="1"/>
  <c r="G686" i="6"/>
  <c r="D686" i="6"/>
  <c r="E686" i="6" s="1"/>
  <c r="G685" i="6"/>
  <c r="D685" i="6"/>
  <c r="E685" i="6" s="1"/>
  <c r="G684" i="6"/>
  <c r="D684" i="6"/>
  <c r="E684" i="6" s="1"/>
  <c r="G683" i="6"/>
  <c r="D683" i="6"/>
  <c r="E683" i="6" s="1"/>
  <c r="G682" i="6"/>
  <c r="D682" i="6"/>
  <c r="E682" i="6" s="1"/>
  <c r="G681" i="6"/>
  <c r="D681" i="6"/>
  <c r="E681" i="6" s="1"/>
  <c r="G680" i="6"/>
  <c r="D680" i="6"/>
  <c r="E680" i="6" s="1"/>
  <c r="G679" i="6"/>
  <c r="D679" i="6"/>
  <c r="E679" i="6" s="1"/>
  <c r="G678" i="6"/>
  <c r="D678" i="6"/>
  <c r="E678" i="6" s="1"/>
  <c r="G677" i="6"/>
  <c r="D677" i="6"/>
  <c r="E677" i="6" s="1"/>
  <c r="G676" i="6"/>
  <c r="D676" i="6"/>
  <c r="E676" i="6" s="1"/>
  <c r="G675" i="6"/>
  <c r="D675" i="6"/>
  <c r="E675" i="6" s="1"/>
  <c r="G674" i="6"/>
  <c r="D674" i="6"/>
  <c r="E674" i="6" s="1"/>
  <c r="G673" i="6"/>
  <c r="D673" i="6"/>
  <c r="E673" i="6" s="1"/>
  <c r="G672" i="6"/>
  <c r="D672" i="6"/>
  <c r="E672" i="6" s="1"/>
  <c r="G671" i="6"/>
  <c r="D671" i="6"/>
  <c r="E671" i="6" s="1"/>
  <c r="G670" i="6"/>
  <c r="D670" i="6"/>
  <c r="G669" i="6"/>
  <c r="D669" i="6"/>
  <c r="E669" i="6" s="1"/>
  <c r="G668" i="6"/>
  <c r="D668" i="6"/>
  <c r="E668" i="6" s="1"/>
  <c r="G667" i="6"/>
  <c r="D667" i="6"/>
  <c r="E667" i="6" s="1"/>
  <c r="G666" i="6"/>
  <c r="D666" i="6"/>
  <c r="G665" i="6"/>
  <c r="D665" i="6"/>
  <c r="E665" i="6" s="1"/>
  <c r="G664" i="6"/>
  <c r="D664" i="6"/>
  <c r="E664" i="6" s="1"/>
  <c r="G663" i="6"/>
  <c r="D663" i="6"/>
  <c r="E663" i="6" s="1"/>
  <c r="G662" i="6"/>
  <c r="D662" i="6"/>
  <c r="E662" i="6" s="1"/>
  <c r="G661" i="6"/>
  <c r="D661" i="6"/>
  <c r="E661" i="6" s="1"/>
  <c r="G660" i="6"/>
  <c r="D660" i="6"/>
  <c r="E660" i="6" s="1"/>
  <c r="G659" i="6"/>
  <c r="D659" i="6"/>
  <c r="E659" i="6" s="1"/>
  <c r="G658" i="6"/>
  <c r="D658" i="6"/>
  <c r="E658" i="6" s="1"/>
  <c r="G657" i="6"/>
  <c r="D657" i="6"/>
  <c r="E657" i="6" s="1"/>
  <c r="G656" i="6"/>
  <c r="D656" i="6"/>
  <c r="E656" i="6" s="1"/>
  <c r="G655" i="6"/>
  <c r="D655" i="6"/>
  <c r="E655" i="6" s="1"/>
  <c r="G654" i="6"/>
  <c r="D654" i="6"/>
  <c r="E654" i="6" s="1"/>
  <c r="G653" i="6"/>
  <c r="D653" i="6"/>
  <c r="E653" i="6" s="1"/>
  <c r="G652" i="6"/>
  <c r="D652" i="6"/>
  <c r="E652" i="6" s="1"/>
  <c r="G651" i="6"/>
  <c r="D651" i="6"/>
  <c r="E651" i="6" s="1"/>
  <c r="G650" i="6"/>
  <c r="D650" i="6"/>
  <c r="E650" i="6" s="1"/>
  <c r="G649" i="6"/>
  <c r="D649" i="6"/>
  <c r="G648" i="6"/>
  <c r="D648" i="6"/>
  <c r="E648" i="6" s="1"/>
  <c r="G647" i="6"/>
  <c r="D647" i="6"/>
  <c r="E647" i="6" s="1"/>
  <c r="G646" i="6"/>
  <c r="D646" i="6"/>
  <c r="E646" i="6" s="1"/>
  <c r="G645" i="6"/>
  <c r="D645" i="6"/>
  <c r="E645" i="6" s="1"/>
  <c r="G644" i="6"/>
  <c r="D644" i="6"/>
  <c r="E644" i="6" s="1"/>
  <c r="G643" i="6"/>
  <c r="D643" i="6"/>
  <c r="E643" i="6" s="1"/>
  <c r="G642" i="6"/>
  <c r="D642" i="6"/>
  <c r="E642" i="6" s="1"/>
  <c r="G641" i="6"/>
  <c r="D641" i="6"/>
  <c r="E641" i="6" s="1"/>
  <c r="G640" i="6"/>
  <c r="D640" i="6"/>
  <c r="E640" i="6" s="1"/>
  <c r="G639" i="6"/>
  <c r="D639" i="6"/>
  <c r="E639" i="6" s="1"/>
  <c r="G638" i="6"/>
  <c r="D638" i="6"/>
  <c r="E638" i="6" s="1"/>
  <c r="G637" i="6"/>
  <c r="D637" i="6"/>
  <c r="E637" i="6" s="1"/>
  <c r="G636" i="6"/>
  <c r="D636" i="6"/>
  <c r="E636" i="6" s="1"/>
  <c r="G635" i="6"/>
  <c r="D635" i="6"/>
  <c r="G634" i="6"/>
  <c r="D634" i="6"/>
  <c r="E634" i="6" s="1"/>
  <c r="G633" i="6"/>
  <c r="D633" i="6"/>
  <c r="E633" i="6" s="1"/>
  <c r="G632" i="6"/>
  <c r="D632" i="6"/>
  <c r="E632" i="6" s="1"/>
  <c r="G631" i="6"/>
  <c r="D631" i="6"/>
  <c r="E631" i="6" s="1"/>
  <c r="G630" i="6"/>
  <c r="D630" i="6"/>
  <c r="E630" i="6" s="1"/>
  <c r="G629" i="6"/>
  <c r="D629" i="6"/>
  <c r="E629" i="6" s="1"/>
  <c r="G628" i="6"/>
  <c r="D628" i="6"/>
  <c r="E628" i="6" s="1"/>
  <c r="G627" i="6"/>
  <c r="D627" i="6"/>
  <c r="E627" i="6" s="1"/>
  <c r="G626" i="6"/>
  <c r="D626" i="6"/>
  <c r="E626" i="6" s="1"/>
  <c r="G625" i="6"/>
  <c r="D625" i="6"/>
  <c r="E625" i="6" s="1"/>
  <c r="G624" i="6"/>
  <c r="D624" i="6"/>
  <c r="E624" i="6" s="1"/>
  <c r="G623" i="6"/>
  <c r="D623" i="6"/>
  <c r="E623" i="6" s="1"/>
  <c r="G622" i="6"/>
  <c r="D622" i="6"/>
  <c r="E622" i="6" s="1"/>
  <c r="G621" i="6"/>
  <c r="D621" i="6"/>
  <c r="G620" i="6"/>
  <c r="D620" i="6"/>
  <c r="E620" i="6" s="1"/>
  <c r="G619" i="6"/>
  <c r="D619" i="6"/>
  <c r="E619" i="6" s="1"/>
  <c r="G618" i="6"/>
  <c r="D618" i="6"/>
  <c r="E618" i="6" s="1"/>
  <c r="G617" i="6"/>
  <c r="D617" i="6"/>
  <c r="E617" i="6" s="1"/>
  <c r="G616" i="6"/>
  <c r="D616" i="6"/>
  <c r="E616" i="6" s="1"/>
  <c r="G615" i="6"/>
  <c r="D615" i="6"/>
  <c r="E615" i="6" s="1"/>
  <c r="G614" i="6"/>
  <c r="D614" i="6"/>
  <c r="E614" i="6" s="1"/>
  <c r="G613" i="6"/>
  <c r="D613" i="6"/>
  <c r="E613" i="6" s="1"/>
  <c r="G612" i="6"/>
  <c r="D612" i="6"/>
  <c r="G611" i="6"/>
  <c r="D611" i="6"/>
  <c r="E611" i="6" s="1"/>
  <c r="G610" i="6"/>
  <c r="D610" i="6"/>
  <c r="E610" i="6" s="1"/>
  <c r="G609" i="6"/>
  <c r="D609" i="6"/>
  <c r="E609" i="6" s="1"/>
  <c r="G608" i="6"/>
  <c r="D608" i="6"/>
  <c r="E608" i="6" s="1"/>
  <c r="G607" i="6"/>
  <c r="D607" i="6"/>
  <c r="E607" i="6" s="1"/>
  <c r="G606" i="6"/>
  <c r="D606" i="6"/>
  <c r="E606" i="6" s="1"/>
  <c r="G605" i="6"/>
  <c r="D605" i="6"/>
  <c r="E605" i="6" s="1"/>
  <c r="G604" i="6"/>
  <c r="D604" i="6"/>
  <c r="E604" i="6" s="1"/>
  <c r="G603" i="6"/>
  <c r="D603" i="6"/>
  <c r="E603" i="6" s="1"/>
  <c r="G602" i="6"/>
  <c r="D602" i="6"/>
  <c r="E602" i="6" s="1"/>
  <c r="G601" i="6"/>
  <c r="D601" i="6"/>
  <c r="E601" i="6" s="1"/>
  <c r="G600" i="6"/>
  <c r="D600" i="6"/>
  <c r="G599" i="6"/>
  <c r="D599" i="6"/>
  <c r="E599" i="6" s="1"/>
  <c r="G598" i="6"/>
  <c r="D598" i="6"/>
  <c r="E598" i="6" s="1"/>
  <c r="G597" i="6"/>
  <c r="D597" i="6"/>
  <c r="E597" i="6" s="1"/>
  <c r="G596" i="6"/>
  <c r="D596" i="6"/>
  <c r="G595" i="6"/>
  <c r="D595" i="6"/>
  <c r="E595" i="6" s="1"/>
  <c r="G594" i="6"/>
  <c r="D594" i="6"/>
  <c r="E594" i="6" s="1"/>
  <c r="G593" i="6"/>
  <c r="D593" i="6"/>
  <c r="G592" i="6"/>
  <c r="D592" i="6"/>
  <c r="E592" i="6" s="1"/>
  <c r="G591" i="6"/>
  <c r="D591" i="6"/>
  <c r="E591" i="6" s="1"/>
  <c r="G590" i="6"/>
  <c r="D590" i="6"/>
  <c r="E590" i="6" s="1"/>
  <c r="G589" i="6"/>
  <c r="D589" i="6"/>
  <c r="E589" i="6" s="1"/>
  <c r="G588" i="6"/>
  <c r="D588" i="6"/>
  <c r="E588" i="6" s="1"/>
  <c r="G587" i="6"/>
  <c r="D587" i="6"/>
  <c r="E587" i="6" s="1"/>
  <c r="G586" i="6"/>
  <c r="D586" i="6"/>
  <c r="E586" i="6" s="1"/>
  <c r="G585" i="6"/>
  <c r="D585" i="6"/>
  <c r="E585" i="6" s="1"/>
  <c r="G584" i="6"/>
  <c r="D584" i="6"/>
  <c r="E584" i="6" s="1"/>
  <c r="G583" i="6"/>
  <c r="D583" i="6"/>
  <c r="E583" i="6" s="1"/>
  <c r="G582" i="6"/>
  <c r="D582" i="6"/>
  <c r="E582" i="6" s="1"/>
  <c r="G581" i="6"/>
  <c r="D581" i="6"/>
  <c r="E581" i="6" s="1"/>
  <c r="G580" i="6"/>
  <c r="D580" i="6"/>
  <c r="E580" i="6" s="1"/>
  <c r="G579" i="6"/>
  <c r="D579" i="6"/>
  <c r="E579" i="6" s="1"/>
  <c r="G578" i="6"/>
  <c r="D578" i="6"/>
  <c r="E578" i="6" s="1"/>
  <c r="G577" i="6"/>
  <c r="D577" i="6"/>
  <c r="E577" i="6" s="1"/>
  <c r="G576" i="6"/>
  <c r="D576" i="6"/>
  <c r="E576" i="6" s="1"/>
  <c r="G575" i="6"/>
  <c r="D575" i="6"/>
  <c r="E575" i="6" s="1"/>
  <c r="G574" i="6"/>
  <c r="D574" i="6"/>
  <c r="E574" i="6" s="1"/>
  <c r="G573" i="6"/>
  <c r="D573" i="6"/>
  <c r="E573" i="6" s="1"/>
  <c r="G572" i="6"/>
  <c r="D572" i="6"/>
  <c r="E572" i="6" s="1"/>
  <c r="G571" i="6"/>
  <c r="D571" i="6"/>
  <c r="E571" i="6" s="1"/>
  <c r="G570" i="6"/>
  <c r="D570" i="6"/>
  <c r="E570" i="6" s="1"/>
  <c r="G569" i="6"/>
  <c r="D569" i="6"/>
  <c r="E569" i="6" s="1"/>
  <c r="G568" i="6"/>
  <c r="D568" i="6"/>
  <c r="E568" i="6" s="1"/>
  <c r="G567" i="6"/>
  <c r="D567" i="6"/>
  <c r="E567" i="6" s="1"/>
  <c r="G566" i="6"/>
  <c r="D566" i="6"/>
  <c r="E566" i="6" s="1"/>
  <c r="G565" i="6"/>
  <c r="D565" i="6"/>
  <c r="E565" i="6" s="1"/>
  <c r="G564" i="6"/>
  <c r="D564" i="6"/>
  <c r="E564" i="6" s="1"/>
  <c r="G563" i="6"/>
  <c r="D563" i="6"/>
  <c r="E563" i="6" s="1"/>
  <c r="G562" i="6"/>
  <c r="D562" i="6"/>
  <c r="E562" i="6" s="1"/>
  <c r="G561" i="6"/>
  <c r="D561" i="6"/>
  <c r="E561" i="6" s="1"/>
  <c r="G560" i="6"/>
  <c r="D560" i="6"/>
  <c r="E560" i="6" s="1"/>
  <c r="G559" i="6"/>
  <c r="D559" i="6"/>
  <c r="E559" i="6" s="1"/>
  <c r="G558" i="6"/>
  <c r="D558" i="6"/>
  <c r="E558" i="6" s="1"/>
  <c r="G557" i="6"/>
  <c r="D557" i="6"/>
  <c r="E557" i="6" s="1"/>
  <c r="G556" i="6"/>
  <c r="D556" i="6"/>
  <c r="G555" i="6"/>
  <c r="D555" i="6"/>
  <c r="E555" i="6" s="1"/>
  <c r="G554" i="6"/>
  <c r="D554" i="6"/>
  <c r="E554" i="6" s="1"/>
  <c r="G553" i="6"/>
  <c r="D553" i="6"/>
  <c r="E553" i="6" s="1"/>
  <c r="G552" i="6"/>
  <c r="D552" i="6"/>
  <c r="E552" i="6" s="1"/>
  <c r="G551" i="6"/>
  <c r="D551" i="6"/>
  <c r="E551" i="6" s="1"/>
  <c r="G550" i="6"/>
  <c r="D550" i="6"/>
  <c r="E550" i="6" s="1"/>
  <c r="G549" i="6"/>
  <c r="D549" i="6"/>
  <c r="E549" i="6" s="1"/>
  <c r="G548" i="6"/>
  <c r="D548" i="6"/>
  <c r="E548" i="6" s="1"/>
  <c r="G547" i="6"/>
  <c r="D547" i="6"/>
  <c r="E547" i="6" s="1"/>
  <c r="G546" i="6"/>
  <c r="D546" i="6"/>
  <c r="E546" i="6" s="1"/>
  <c r="G545" i="6"/>
  <c r="D545" i="6"/>
  <c r="E545" i="6" s="1"/>
  <c r="G544" i="6"/>
  <c r="D544" i="6"/>
  <c r="E544" i="6" s="1"/>
  <c r="G543" i="6"/>
  <c r="D543" i="6"/>
  <c r="E543" i="6" s="1"/>
  <c r="G542" i="6"/>
  <c r="D542" i="6"/>
  <c r="E542" i="6" s="1"/>
  <c r="G541" i="6"/>
  <c r="D541" i="6"/>
  <c r="E541" i="6" s="1"/>
  <c r="G540" i="6"/>
  <c r="D540" i="6"/>
  <c r="E540" i="6" s="1"/>
  <c r="G539" i="6"/>
  <c r="D539" i="6"/>
  <c r="E539" i="6" s="1"/>
  <c r="G538" i="6"/>
  <c r="D538" i="6"/>
  <c r="E538" i="6" s="1"/>
  <c r="G537" i="6"/>
  <c r="D537" i="6"/>
  <c r="E537" i="6" s="1"/>
  <c r="G536" i="6"/>
  <c r="D536" i="6"/>
  <c r="E536" i="6" s="1"/>
  <c r="G535" i="6"/>
  <c r="D535" i="6"/>
  <c r="E535" i="6" s="1"/>
  <c r="G534" i="6"/>
  <c r="D534" i="6"/>
  <c r="E534" i="6" s="1"/>
  <c r="G533" i="6"/>
  <c r="D533" i="6"/>
  <c r="E533" i="6" s="1"/>
  <c r="G532" i="6"/>
  <c r="D532" i="6"/>
  <c r="E532" i="6" s="1"/>
  <c r="G531" i="6"/>
  <c r="D531" i="6"/>
  <c r="E531" i="6" s="1"/>
  <c r="G530" i="6"/>
  <c r="D530" i="6"/>
  <c r="E530" i="6" s="1"/>
  <c r="G529" i="6"/>
  <c r="D529" i="6"/>
  <c r="E529" i="6" s="1"/>
  <c r="G528" i="6"/>
  <c r="D528" i="6"/>
  <c r="E528" i="6" s="1"/>
  <c r="G527" i="6"/>
  <c r="D527" i="6"/>
  <c r="E527" i="6" s="1"/>
  <c r="G526" i="6"/>
  <c r="D526" i="6"/>
  <c r="E526" i="6" s="1"/>
  <c r="G525" i="6"/>
  <c r="D525" i="6"/>
  <c r="E525" i="6" s="1"/>
  <c r="G524" i="6"/>
  <c r="D524" i="6"/>
  <c r="E524" i="6" s="1"/>
  <c r="G523" i="6"/>
  <c r="D523" i="6"/>
  <c r="E523" i="6" s="1"/>
  <c r="G522" i="6"/>
  <c r="D522" i="6"/>
  <c r="E522" i="6" s="1"/>
  <c r="G521" i="6"/>
  <c r="D521" i="6"/>
  <c r="E521" i="6" s="1"/>
  <c r="G520" i="6"/>
  <c r="D520" i="6"/>
  <c r="E520" i="6" s="1"/>
  <c r="G519" i="6"/>
  <c r="D519" i="6"/>
  <c r="E519" i="6" s="1"/>
  <c r="G518" i="6"/>
  <c r="D518" i="6"/>
  <c r="E518" i="6" s="1"/>
  <c r="G517" i="6"/>
  <c r="D517" i="6"/>
  <c r="E517" i="6" s="1"/>
  <c r="G516" i="6"/>
  <c r="D516" i="6"/>
  <c r="E516" i="6" s="1"/>
  <c r="G515" i="6"/>
  <c r="D515" i="6"/>
  <c r="E515" i="6" s="1"/>
  <c r="G514" i="6"/>
  <c r="D514" i="6"/>
  <c r="E514" i="6" s="1"/>
  <c r="G513" i="6"/>
  <c r="D513" i="6"/>
  <c r="E513" i="6" s="1"/>
  <c r="G512" i="6"/>
  <c r="D512" i="6"/>
  <c r="E512" i="6" s="1"/>
  <c r="G511" i="6"/>
  <c r="D511" i="6"/>
  <c r="E511" i="6" s="1"/>
  <c r="G510" i="6"/>
  <c r="D510" i="6"/>
  <c r="E510" i="6" s="1"/>
  <c r="G509" i="6"/>
  <c r="D509" i="6"/>
  <c r="E509" i="6" s="1"/>
  <c r="G508" i="6"/>
  <c r="D508" i="6"/>
  <c r="E508" i="6" s="1"/>
  <c r="G507" i="6"/>
  <c r="D507" i="6"/>
  <c r="E507" i="6" s="1"/>
  <c r="G506" i="6"/>
  <c r="D506" i="6"/>
  <c r="E506" i="6" s="1"/>
  <c r="G505" i="6"/>
  <c r="D505" i="6"/>
  <c r="G504" i="6"/>
  <c r="D504" i="6"/>
  <c r="E504" i="6" s="1"/>
  <c r="G503" i="6"/>
  <c r="D503" i="6"/>
  <c r="E503" i="6" s="1"/>
  <c r="G502" i="6"/>
  <c r="D502" i="6"/>
  <c r="E502" i="6" s="1"/>
  <c r="G501" i="6"/>
  <c r="D501" i="6"/>
  <c r="E501" i="6" s="1"/>
  <c r="G500" i="6"/>
  <c r="D500" i="6"/>
  <c r="E500" i="6" s="1"/>
  <c r="G499" i="6"/>
  <c r="D499" i="6"/>
  <c r="E499" i="6" s="1"/>
  <c r="G498" i="6"/>
  <c r="D498" i="6"/>
  <c r="E498" i="6" s="1"/>
  <c r="G497" i="6"/>
  <c r="D497" i="6"/>
  <c r="G496" i="6"/>
  <c r="D496" i="6"/>
  <c r="E496" i="6" s="1"/>
  <c r="G495" i="6"/>
  <c r="D495" i="6"/>
  <c r="E495" i="6" s="1"/>
  <c r="G494" i="6"/>
  <c r="D494" i="6"/>
  <c r="E494" i="6" s="1"/>
  <c r="G493" i="6"/>
  <c r="D493" i="6"/>
  <c r="E493" i="6" s="1"/>
  <c r="G492" i="6"/>
  <c r="D492" i="6"/>
  <c r="E492" i="6" s="1"/>
  <c r="G491" i="6"/>
  <c r="D491" i="6"/>
  <c r="E491" i="6" s="1"/>
  <c r="G490" i="6"/>
  <c r="D490" i="6"/>
  <c r="E490" i="6" s="1"/>
  <c r="G489" i="6"/>
  <c r="D489" i="6"/>
  <c r="E489" i="6" s="1"/>
  <c r="G488" i="6"/>
  <c r="D488" i="6"/>
  <c r="E488" i="6" s="1"/>
  <c r="G487" i="6"/>
  <c r="D487" i="6"/>
  <c r="E487" i="6" s="1"/>
  <c r="G486" i="6"/>
  <c r="D486" i="6"/>
  <c r="E486" i="6" s="1"/>
  <c r="G485" i="6"/>
  <c r="D485" i="6"/>
  <c r="E485" i="6" s="1"/>
  <c r="G484" i="6"/>
  <c r="D484" i="6"/>
  <c r="E484" i="6" s="1"/>
  <c r="G483" i="6"/>
  <c r="D483" i="6"/>
  <c r="E483" i="6" s="1"/>
  <c r="G482" i="6"/>
  <c r="D482" i="6"/>
  <c r="E482" i="6" s="1"/>
  <c r="G481" i="6"/>
  <c r="D481" i="6"/>
  <c r="E481" i="6" s="1"/>
  <c r="G480" i="6"/>
  <c r="D480" i="6"/>
  <c r="E480" i="6" s="1"/>
  <c r="G479" i="6"/>
  <c r="D479" i="6"/>
  <c r="E479" i="6" s="1"/>
  <c r="G478" i="6"/>
  <c r="D478" i="6"/>
  <c r="E478" i="6" s="1"/>
  <c r="G477" i="6"/>
  <c r="D477" i="6"/>
  <c r="E477" i="6" s="1"/>
  <c r="G476" i="6"/>
  <c r="D476" i="6"/>
  <c r="E476" i="6" s="1"/>
  <c r="G475" i="6"/>
  <c r="D475" i="6"/>
  <c r="E475" i="6" s="1"/>
  <c r="G474" i="6"/>
  <c r="D474" i="6"/>
  <c r="E474" i="6" s="1"/>
  <c r="G473" i="6"/>
  <c r="D473" i="6"/>
  <c r="E473" i="6" s="1"/>
  <c r="G472" i="6"/>
  <c r="D472" i="6"/>
  <c r="E472" i="6" s="1"/>
  <c r="G471" i="6"/>
  <c r="D471" i="6"/>
  <c r="E471" i="6" s="1"/>
  <c r="G470" i="6"/>
  <c r="D470" i="6"/>
  <c r="E470" i="6" s="1"/>
  <c r="G469" i="6"/>
  <c r="D469" i="6"/>
  <c r="E469" i="6" s="1"/>
  <c r="G468" i="6"/>
  <c r="D468" i="6"/>
  <c r="E468" i="6" s="1"/>
  <c r="G467" i="6"/>
  <c r="D467" i="6"/>
  <c r="E467" i="6" s="1"/>
  <c r="G466" i="6"/>
  <c r="D466" i="6"/>
  <c r="E466" i="6" s="1"/>
  <c r="G465" i="6"/>
  <c r="D465" i="6"/>
  <c r="E465" i="6" s="1"/>
  <c r="G464" i="6"/>
  <c r="D464" i="6"/>
  <c r="G463" i="6"/>
  <c r="D463" i="6"/>
  <c r="E463" i="6" s="1"/>
  <c r="G462" i="6"/>
  <c r="D462" i="6"/>
  <c r="E462" i="6" s="1"/>
  <c r="G461" i="6"/>
  <c r="D461" i="6"/>
  <c r="E461" i="6" s="1"/>
  <c r="G460" i="6"/>
  <c r="D460" i="6"/>
  <c r="E460" i="6" s="1"/>
  <c r="G459" i="6"/>
  <c r="D459" i="6"/>
  <c r="E459" i="6" s="1"/>
  <c r="G458" i="6"/>
  <c r="D458" i="6"/>
  <c r="E458" i="6" s="1"/>
  <c r="G457" i="6"/>
  <c r="D457" i="6"/>
  <c r="E457" i="6" s="1"/>
  <c r="G456" i="6"/>
  <c r="D456" i="6"/>
  <c r="E456" i="6" s="1"/>
  <c r="G455" i="6"/>
  <c r="D455" i="6"/>
  <c r="E455" i="6" s="1"/>
  <c r="G454" i="6"/>
  <c r="D454" i="6"/>
  <c r="E454" i="6" s="1"/>
  <c r="G453" i="6"/>
  <c r="D453" i="6"/>
  <c r="E453" i="6" s="1"/>
  <c r="G452" i="6"/>
  <c r="D452" i="6"/>
  <c r="E452" i="6" s="1"/>
  <c r="G451" i="6"/>
  <c r="D451" i="6"/>
  <c r="E451" i="6" s="1"/>
  <c r="G450" i="6"/>
  <c r="D450" i="6"/>
  <c r="E450" i="6" s="1"/>
  <c r="G449" i="6"/>
  <c r="D449" i="6"/>
  <c r="E449" i="6" s="1"/>
  <c r="G448" i="6"/>
  <c r="D448" i="6"/>
  <c r="E448" i="6" s="1"/>
  <c r="G447" i="6"/>
  <c r="D447" i="6"/>
  <c r="E447" i="6" s="1"/>
  <c r="G446" i="6"/>
  <c r="D446" i="6"/>
  <c r="E446" i="6" s="1"/>
  <c r="G445" i="6"/>
  <c r="D445" i="6"/>
  <c r="E445" i="6" s="1"/>
  <c r="G444" i="6"/>
  <c r="D444" i="6"/>
  <c r="E444" i="6" s="1"/>
  <c r="G443" i="6"/>
  <c r="D443" i="6"/>
  <c r="E443" i="6" s="1"/>
  <c r="G442" i="6"/>
  <c r="D442" i="6"/>
  <c r="E442" i="6" s="1"/>
  <c r="G441" i="6"/>
  <c r="D441" i="6"/>
  <c r="E441" i="6" s="1"/>
  <c r="G440" i="6"/>
  <c r="D440" i="6"/>
  <c r="E440" i="6" s="1"/>
  <c r="G439" i="6"/>
  <c r="D439" i="6"/>
  <c r="E439" i="6" s="1"/>
  <c r="G438" i="6"/>
  <c r="D438" i="6"/>
  <c r="E438" i="6" s="1"/>
  <c r="G437" i="6"/>
  <c r="D437" i="6"/>
  <c r="E437" i="6" s="1"/>
  <c r="G436" i="6"/>
  <c r="D436" i="6"/>
  <c r="E436" i="6" s="1"/>
  <c r="G435" i="6"/>
  <c r="D435" i="6"/>
  <c r="E435" i="6" s="1"/>
  <c r="G434" i="6"/>
  <c r="D434" i="6"/>
  <c r="E434" i="6" s="1"/>
  <c r="G433" i="6"/>
  <c r="D433" i="6"/>
  <c r="E433" i="6" s="1"/>
  <c r="G432" i="6"/>
  <c r="D432" i="6"/>
  <c r="E432" i="6" s="1"/>
  <c r="G431" i="6"/>
  <c r="D431" i="6"/>
  <c r="E431" i="6" s="1"/>
  <c r="G430" i="6"/>
  <c r="D430" i="6"/>
  <c r="E430" i="6" s="1"/>
  <c r="G429" i="6"/>
  <c r="D429" i="6"/>
  <c r="E429" i="6" s="1"/>
  <c r="G428" i="6"/>
  <c r="D428" i="6"/>
  <c r="E428" i="6" s="1"/>
  <c r="G427" i="6"/>
  <c r="D427" i="6"/>
  <c r="E427" i="6" s="1"/>
  <c r="G426" i="6"/>
  <c r="D426" i="6"/>
  <c r="E426" i="6" s="1"/>
  <c r="G425" i="6"/>
  <c r="D425" i="6"/>
  <c r="E425" i="6" s="1"/>
  <c r="G424" i="6"/>
  <c r="D424" i="6"/>
  <c r="E424" i="6" s="1"/>
  <c r="G423" i="6"/>
  <c r="D423" i="6"/>
  <c r="E423" i="6" s="1"/>
  <c r="G422" i="6"/>
  <c r="D422" i="6"/>
  <c r="E422" i="6" s="1"/>
  <c r="G421" i="6"/>
  <c r="D421" i="6"/>
  <c r="E421" i="6" s="1"/>
  <c r="G420" i="6"/>
  <c r="D420" i="6"/>
  <c r="E420" i="6" s="1"/>
  <c r="G419" i="6"/>
  <c r="D419" i="6"/>
  <c r="E419" i="6" s="1"/>
  <c r="G418" i="6"/>
  <c r="D418" i="6"/>
  <c r="E418" i="6" s="1"/>
  <c r="G417" i="6"/>
  <c r="D417" i="6"/>
  <c r="E417" i="6" s="1"/>
  <c r="G416" i="6"/>
  <c r="D416" i="6"/>
  <c r="G415" i="6"/>
  <c r="D415" i="6"/>
  <c r="E415" i="6" s="1"/>
  <c r="G414" i="6"/>
  <c r="D414" i="6"/>
  <c r="E414" i="6" s="1"/>
  <c r="G413" i="6"/>
  <c r="D413" i="6"/>
  <c r="E413" i="6" s="1"/>
  <c r="G412" i="6"/>
  <c r="D412" i="6"/>
  <c r="E412" i="6" s="1"/>
  <c r="G411" i="6"/>
  <c r="D411" i="6"/>
  <c r="E411" i="6" s="1"/>
  <c r="G410" i="6"/>
  <c r="D410" i="6"/>
  <c r="E410" i="6" s="1"/>
  <c r="G409" i="6"/>
  <c r="D409" i="6"/>
  <c r="E409" i="6" s="1"/>
  <c r="G408" i="6"/>
  <c r="D408" i="6"/>
  <c r="E408" i="6" s="1"/>
  <c r="G407" i="6"/>
  <c r="D407" i="6"/>
  <c r="E407" i="6" s="1"/>
  <c r="G406" i="6"/>
  <c r="D406" i="6"/>
  <c r="E406" i="6" s="1"/>
  <c r="G405" i="6"/>
  <c r="D405" i="6"/>
  <c r="E405" i="6" s="1"/>
  <c r="G404" i="6"/>
  <c r="D404" i="6"/>
  <c r="E404" i="6" s="1"/>
  <c r="G403" i="6"/>
  <c r="D403" i="6"/>
  <c r="E403" i="6" s="1"/>
  <c r="G402" i="6"/>
  <c r="D402" i="6"/>
  <c r="E402" i="6" s="1"/>
  <c r="G401" i="6"/>
  <c r="D401" i="6"/>
  <c r="E401" i="6" s="1"/>
  <c r="G400" i="6"/>
  <c r="D400" i="6"/>
  <c r="E400" i="6" s="1"/>
  <c r="G399" i="6"/>
  <c r="D399" i="6"/>
  <c r="E399" i="6" s="1"/>
  <c r="G398" i="6"/>
  <c r="D398" i="6"/>
  <c r="E398" i="6" s="1"/>
  <c r="G397" i="6"/>
  <c r="D397" i="6"/>
  <c r="E397" i="6" s="1"/>
  <c r="G396" i="6"/>
  <c r="D396" i="6"/>
  <c r="E396" i="6" s="1"/>
  <c r="G395" i="6"/>
  <c r="D395" i="6"/>
  <c r="E395" i="6" s="1"/>
  <c r="G394" i="6"/>
  <c r="D394" i="6"/>
  <c r="E394" i="6" s="1"/>
  <c r="G393" i="6"/>
  <c r="D393" i="6"/>
  <c r="E393" i="6" s="1"/>
  <c r="G392" i="6"/>
  <c r="D392" i="6"/>
  <c r="E392" i="6" s="1"/>
  <c r="G391" i="6"/>
  <c r="D391" i="6"/>
  <c r="E391" i="6" s="1"/>
  <c r="G390" i="6"/>
  <c r="D390" i="6"/>
  <c r="E390" i="6" s="1"/>
  <c r="G389" i="6"/>
  <c r="D389" i="6"/>
  <c r="E389" i="6" s="1"/>
  <c r="G388" i="6"/>
  <c r="D388" i="6"/>
  <c r="E388" i="6" s="1"/>
  <c r="G387" i="6"/>
  <c r="D387" i="6"/>
  <c r="E387" i="6" s="1"/>
  <c r="G386" i="6"/>
  <c r="D386" i="6"/>
  <c r="E386" i="6" s="1"/>
  <c r="G385" i="6"/>
  <c r="D385" i="6"/>
  <c r="E385" i="6" s="1"/>
  <c r="G384" i="6"/>
  <c r="D384" i="6"/>
  <c r="E384" i="6" s="1"/>
  <c r="G383" i="6"/>
  <c r="D383" i="6"/>
  <c r="E383" i="6" s="1"/>
  <c r="G382" i="6"/>
  <c r="D382" i="6"/>
  <c r="E382" i="6" s="1"/>
  <c r="G381" i="6"/>
  <c r="D381" i="6"/>
  <c r="E381" i="6" s="1"/>
  <c r="G380" i="6"/>
  <c r="D380" i="6"/>
  <c r="E380" i="6" s="1"/>
  <c r="G379" i="6"/>
  <c r="D379" i="6"/>
  <c r="E379" i="6" s="1"/>
  <c r="G378" i="6"/>
  <c r="D378" i="6"/>
  <c r="E378" i="6" s="1"/>
  <c r="G377" i="6"/>
  <c r="D377" i="6"/>
  <c r="E377" i="6" s="1"/>
  <c r="G376" i="6"/>
  <c r="D376" i="6"/>
  <c r="E376" i="6" s="1"/>
  <c r="G375" i="6"/>
  <c r="D375" i="6"/>
  <c r="E375" i="6" s="1"/>
  <c r="G374" i="6"/>
  <c r="D374" i="6"/>
  <c r="E374" i="6" s="1"/>
  <c r="G373" i="6"/>
  <c r="D373" i="6"/>
  <c r="E373" i="6" s="1"/>
  <c r="G372" i="6"/>
  <c r="D372" i="6"/>
  <c r="E372" i="6" s="1"/>
  <c r="G371" i="6"/>
  <c r="D371" i="6"/>
  <c r="E371" i="6" s="1"/>
  <c r="G370" i="6"/>
  <c r="D370" i="6"/>
  <c r="E370" i="6" s="1"/>
  <c r="G369" i="6"/>
  <c r="D369" i="6"/>
  <c r="E369" i="6" s="1"/>
  <c r="G368" i="6"/>
  <c r="D368" i="6"/>
  <c r="E368" i="6" s="1"/>
  <c r="G367" i="6"/>
  <c r="D367" i="6"/>
  <c r="E367" i="6" s="1"/>
  <c r="G366" i="6"/>
  <c r="D366" i="6"/>
  <c r="E366" i="6" s="1"/>
  <c r="G365" i="6"/>
  <c r="D365" i="6"/>
  <c r="E365" i="6" s="1"/>
  <c r="G364" i="6"/>
  <c r="D364" i="6"/>
  <c r="E364" i="6" s="1"/>
  <c r="G363" i="6"/>
  <c r="D363" i="6"/>
  <c r="E363" i="6" s="1"/>
  <c r="G362" i="6"/>
  <c r="D362" i="6"/>
  <c r="E362" i="6" s="1"/>
  <c r="G361" i="6"/>
  <c r="D361" i="6"/>
  <c r="E361" i="6" s="1"/>
  <c r="G360" i="6"/>
  <c r="D360" i="6"/>
  <c r="G359" i="6"/>
  <c r="D359" i="6"/>
  <c r="E359" i="6" s="1"/>
  <c r="G358" i="6"/>
  <c r="D358" i="6"/>
  <c r="E358" i="6" s="1"/>
  <c r="G357" i="6"/>
  <c r="D357" i="6"/>
  <c r="E357" i="6" s="1"/>
  <c r="G356" i="6"/>
  <c r="D356" i="6"/>
  <c r="E356" i="6" s="1"/>
  <c r="G355" i="6"/>
  <c r="D355" i="6"/>
  <c r="E355" i="6" s="1"/>
  <c r="G354" i="6"/>
  <c r="D354" i="6"/>
  <c r="E354" i="6" s="1"/>
  <c r="G353" i="6"/>
  <c r="D353" i="6"/>
  <c r="E353" i="6" s="1"/>
  <c r="G352" i="6"/>
  <c r="D352" i="6"/>
  <c r="E352" i="6" s="1"/>
  <c r="G351" i="6"/>
  <c r="D351" i="6"/>
  <c r="E351" i="6" s="1"/>
  <c r="G350" i="6"/>
  <c r="D350" i="6"/>
  <c r="E350" i="6" s="1"/>
  <c r="G349" i="6"/>
  <c r="D349" i="6"/>
  <c r="E349" i="6" s="1"/>
  <c r="G348" i="6"/>
  <c r="D348" i="6"/>
  <c r="E348" i="6" s="1"/>
  <c r="G347" i="6"/>
  <c r="D347" i="6"/>
  <c r="E347" i="6" s="1"/>
  <c r="G346" i="6"/>
  <c r="D346" i="6"/>
  <c r="E346" i="6" s="1"/>
  <c r="G345" i="6"/>
  <c r="D345" i="6"/>
  <c r="E345" i="6" s="1"/>
  <c r="G344" i="6"/>
  <c r="D344" i="6"/>
  <c r="E344" i="6" s="1"/>
  <c r="G343" i="6"/>
  <c r="D343" i="6"/>
  <c r="E343" i="6" s="1"/>
  <c r="G342" i="6"/>
  <c r="D342" i="6"/>
  <c r="E342" i="6" s="1"/>
  <c r="G341" i="6"/>
  <c r="D341" i="6"/>
  <c r="E341" i="6" s="1"/>
  <c r="G340" i="6"/>
  <c r="D340" i="6"/>
  <c r="E340" i="6" s="1"/>
  <c r="G339" i="6"/>
  <c r="D339" i="6"/>
  <c r="E339" i="6" s="1"/>
  <c r="G338" i="6"/>
  <c r="D338" i="6"/>
  <c r="E338" i="6" s="1"/>
  <c r="G337" i="6"/>
  <c r="D337" i="6"/>
  <c r="E337" i="6" s="1"/>
  <c r="G336" i="6"/>
  <c r="D336" i="6"/>
  <c r="E336" i="6" s="1"/>
  <c r="G335" i="6"/>
  <c r="D335" i="6"/>
  <c r="E335" i="6" s="1"/>
  <c r="G334" i="6"/>
  <c r="D334" i="6"/>
  <c r="E334" i="6" s="1"/>
  <c r="G333" i="6"/>
  <c r="D333" i="6"/>
  <c r="E333" i="6" s="1"/>
  <c r="G332" i="6"/>
  <c r="D332" i="6"/>
  <c r="E332" i="6" s="1"/>
  <c r="G331" i="6"/>
  <c r="D331" i="6"/>
  <c r="E331" i="6" s="1"/>
  <c r="G330" i="6"/>
  <c r="D330" i="6"/>
  <c r="E330" i="6" s="1"/>
  <c r="G329" i="6"/>
  <c r="D329" i="6"/>
  <c r="E329" i="6" s="1"/>
  <c r="G328" i="6"/>
  <c r="D328" i="6"/>
  <c r="E328" i="6" s="1"/>
  <c r="G327" i="6"/>
  <c r="D327" i="6"/>
  <c r="E327" i="6" s="1"/>
  <c r="G326" i="6"/>
  <c r="D326" i="6"/>
  <c r="E326" i="6" s="1"/>
  <c r="G325" i="6"/>
  <c r="D325" i="6"/>
  <c r="E325" i="6" s="1"/>
  <c r="G324" i="6"/>
  <c r="D324" i="6"/>
  <c r="E324" i="6" s="1"/>
  <c r="G323" i="6"/>
  <c r="D323" i="6"/>
  <c r="E323" i="6" s="1"/>
  <c r="G322" i="6"/>
  <c r="D322" i="6"/>
  <c r="E322" i="6" s="1"/>
  <c r="G321" i="6"/>
  <c r="D321" i="6"/>
  <c r="E321" i="6" s="1"/>
  <c r="G320" i="6"/>
  <c r="D320" i="6"/>
  <c r="E320" i="6" s="1"/>
  <c r="G319" i="6"/>
  <c r="D319" i="6"/>
  <c r="E319" i="6" s="1"/>
  <c r="G318" i="6"/>
  <c r="D318" i="6"/>
  <c r="E318" i="6" s="1"/>
  <c r="G317" i="6"/>
  <c r="D317" i="6"/>
  <c r="E317" i="6" s="1"/>
  <c r="G316" i="6"/>
  <c r="D316" i="6"/>
  <c r="E316" i="6" s="1"/>
  <c r="G315" i="6"/>
  <c r="D315" i="6"/>
  <c r="E315" i="6" s="1"/>
  <c r="G314" i="6"/>
  <c r="D314" i="6"/>
  <c r="E314" i="6" s="1"/>
  <c r="G313" i="6"/>
  <c r="D313" i="6"/>
  <c r="E313" i="6" s="1"/>
  <c r="G312" i="6"/>
  <c r="D312" i="6"/>
  <c r="E312" i="6" s="1"/>
  <c r="G311" i="6"/>
  <c r="D311" i="6"/>
  <c r="E311" i="6" s="1"/>
  <c r="G310" i="6"/>
  <c r="D310" i="6"/>
  <c r="E310" i="6" s="1"/>
  <c r="G309" i="6"/>
  <c r="D309" i="6"/>
  <c r="E309" i="6" s="1"/>
  <c r="G308" i="6"/>
  <c r="D308" i="6"/>
  <c r="E308" i="6" s="1"/>
  <c r="G307" i="6"/>
  <c r="D307" i="6"/>
  <c r="E307" i="6" s="1"/>
  <c r="G306" i="6"/>
  <c r="D306" i="6"/>
  <c r="E306" i="6" s="1"/>
  <c r="G305" i="6"/>
  <c r="D305" i="6"/>
  <c r="G304" i="6"/>
  <c r="D304" i="6"/>
  <c r="E304" i="6" s="1"/>
  <c r="G303" i="6"/>
  <c r="D303" i="6"/>
  <c r="E303" i="6" s="1"/>
  <c r="G302" i="6"/>
  <c r="D302" i="6"/>
  <c r="E302" i="6" s="1"/>
  <c r="G301" i="6"/>
  <c r="D301" i="6"/>
  <c r="E301" i="6" s="1"/>
  <c r="G300" i="6"/>
  <c r="D300" i="6"/>
  <c r="E300" i="6" s="1"/>
  <c r="G299" i="6"/>
  <c r="D299" i="6"/>
  <c r="E299" i="6" s="1"/>
  <c r="G298" i="6"/>
  <c r="D298" i="6"/>
  <c r="E298" i="6" s="1"/>
  <c r="G297" i="6"/>
  <c r="D297" i="6"/>
  <c r="E297" i="6" s="1"/>
  <c r="G296" i="6"/>
  <c r="D296" i="6"/>
  <c r="E296" i="6" s="1"/>
  <c r="G295" i="6"/>
  <c r="D295" i="6"/>
  <c r="E295" i="6" s="1"/>
  <c r="G294" i="6"/>
  <c r="D294" i="6"/>
  <c r="E294" i="6" s="1"/>
  <c r="G293" i="6"/>
  <c r="D293" i="6"/>
  <c r="E293" i="6" s="1"/>
  <c r="G292" i="6"/>
  <c r="D292" i="6"/>
  <c r="E292" i="6" s="1"/>
  <c r="G291" i="6"/>
  <c r="D291" i="6"/>
  <c r="E291" i="6" s="1"/>
  <c r="G290" i="6"/>
  <c r="D290" i="6"/>
  <c r="E290" i="6" s="1"/>
  <c r="G289" i="6"/>
  <c r="D289" i="6"/>
  <c r="E289" i="6" s="1"/>
  <c r="G288" i="6"/>
  <c r="D288" i="6"/>
  <c r="E288" i="6" s="1"/>
  <c r="G287" i="6"/>
  <c r="D287" i="6"/>
  <c r="E287" i="6" s="1"/>
  <c r="G286" i="6"/>
  <c r="D286" i="6"/>
  <c r="E286" i="6" s="1"/>
  <c r="G285" i="6"/>
  <c r="D285" i="6"/>
  <c r="E285" i="6" s="1"/>
  <c r="G284" i="6"/>
  <c r="D284" i="6"/>
  <c r="E284" i="6" s="1"/>
  <c r="G283" i="6"/>
  <c r="D283" i="6"/>
  <c r="E283" i="6" s="1"/>
  <c r="G282" i="6"/>
  <c r="D282" i="6"/>
  <c r="E282" i="6" s="1"/>
  <c r="G281" i="6"/>
  <c r="D281" i="6"/>
  <c r="E281" i="6" s="1"/>
  <c r="G280" i="6"/>
  <c r="D280" i="6"/>
  <c r="E280" i="6" s="1"/>
  <c r="G279" i="6"/>
  <c r="D279" i="6"/>
  <c r="E279" i="6" s="1"/>
  <c r="G278" i="6"/>
  <c r="D278" i="6"/>
  <c r="E278" i="6" s="1"/>
  <c r="G277" i="6"/>
  <c r="D277" i="6"/>
  <c r="E277" i="6" s="1"/>
  <c r="G276" i="6"/>
  <c r="D276" i="6"/>
  <c r="E276" i="6" s="1"/>
  <c r="G275" i="6"/>
  <c r="D275" i="6"/>
  <c r="E275" i="6" s="1"/>
  <c r="G274" i="6"/>
  <c r="D274" i="6"/>
  <c r="E274" i="6" s="1"/>
  <c r="G273" i="6"/>
  <c r="D273" i="6"/>
  <c r="G272" i="6"/>
  <c r="D272" i="6"/>
  <c r="E272" i="6" s="1"/>
  <c r="G271" i="6"/>
  <c r="D271" i="6"/>
  <c r="E271" i="6" s="1"/>
  <c r="G270" i="6"/>
  <c r="D270" i="6"/>
  <c r="E270" i="6" s="1"/>
  <c r="G269" i="6"/>
  <c r="D269" i="6"/>
  <c r="G268" i="6"/>
  <c r="D268" i="6"/>
  <c r="G267" i="6"/>
  <c r="D267" i="6"/>
  <c r="E267" i="6" s="1"/>
  <c r="G266" i="6"/>
  <c r="D266" i="6"/>
  <c r="E266" i="6" s="1"/>
  <c r="G265" i="6"/>
  <c r="D265" i="6"/>
  <c r="E265" i="6" s="1"/>
  <c r="G264" i="6"/>
  <c r="D264" i="6"/>
  <c r="E264" i="6" s="1"/>
  <c r="G263" i="6"/>
  <c r="D263" i="6"/>
  <c r="E263" i="6" s="1"/>
  <c r="G262" i="6"/>
  <c r="D262" i="6"/>
  <c r="E262" i="6" s="1"/>
  <c r="G261" i="6"/>
  <c r="D261" i="6"/>
  <c r="E261" i="6" s="1"/>
  <c r="G260" i="6"/>
  <c r="D260" i="6"/>
  <c r="E260" i="6" s="1"/>
  <c r="G259" i="6"/>
  <c r="D259" i="6"/>
  <c r="E259" i="6" s="1"/>
  <c r="G258" i="6"/>
  <c r="D258" i="6"/>
  <c r="E258" i="6" s="1"/>
  <c r="G257" i="6"/>
  <c r="D257" i="6"/>
  <c r="E257" i="6" s="1"/>
  <c r="G256" i="6"/>
  <c r="D256" i="6"/>
  <c r="E256" i="6" s="1"/>
  <c r="G255" i="6"/>
  <c r="D255" i="6"/>
  <c r="E255" i="6" s="1"/>
  <c r="G254" i="6"/>
  <c r="D254" i="6"/>
  <c r="E254" i="6" s="1"/>
  <c r="G253" i="6"/>
  <c r="D253" i="6"/>
  <c r="E253" i="6" s="1"/>
  <c r="G252" i="6"/>
  <c r="D252" i="6"/>
  <c r="E252" i="6" s="1"/>
  <c r="G251" i="6"/>
  <c r="D251" i="6"/>
  <c r="E251" i="6" s="1"/>
  <c r="G250" i="6"/>
  <c r="D250" i="6"/>
  <c r="E250" i="6" s="1"/>
  <c r="G249" i="6"/>
  <c r="D249" i="6"/>
  <c r="E249" i="6" s="1"/>
  <c r="G248" i="6"/>
  <c r="D248" i="6"/>
  <c r="E248" i="6" s="1"/>
  <c r="G247" i="6"/>
  <c r="D247" i="6"/>
  <c r="E247" i="6" s="1"/>
  <c r="G246" i="6"/>
  <c r="D246" i="6"/>
  <c r="E246" i="6" s="1"/>
  <c r="G245" i="6"/>
  <c r="D245" i="6"/>
  <c r="E245" i="6" s="1"/>
  <c r="G244" i="6"/>
  <c r="D244" i="6"/>
  <c r="E244" i="6" s="1"/>
  <c r="G243" i="6"/>
  <c r="D243" i="6"/>
  <c r="E243" i="6" s="1"/>
  <c r="G242" i="6"/>
  <c r="D242" i="6"/>
  <c r="E242" i="6" s="1"/>
  <c r="G241" i="6"/>
  <c r="D241" i="6"/>
  <c r="E241" i="6" s="1"/>
  <c r="G240" i="6"/>
  <c r="D240" i="6"/>
  <c r="E240" i="6" s="1"/>
  <c r="G239" i="6"/>
  <c r="D239" i="6"/>
  <c r="E239" i="6" s="1"/>
  <c r="G238" i="6"/>
  <c r="D238" i="6"/>
  <c r="E238" i="6" s="1"/>
  <c r="G237" i="6"/>
  <c r="D237" i="6"/>
  <c r="E237" i="6" s="1"/>
  <c r="G236" i="6"/>
  <c r="D236" i="6"/>
  <c r="E236" i="6" s="1"/>
  <c r="G235" i="6"/>
  <c r="D235" i="6"/>
  <c r="E235" i="6" s="1"/>
  <c r="G234" i="6"/>
  <c r="D234" i="6"/>
  <c r="E234" i="6" s="1"/>
  <c r="G233" i="6"/>
  <c r="D233" i="6"/>
  <c r="E233" i="6" s="1"/>
  <c r="G232" i="6"/>
  <c r="D232" i="6"/>
  <c r="E232" i="6" s="1"/>
  <c r="G231" i="6"/>
  <c r="D231" i="6"/>
  <c r="G230" i="6"/>
  <c r="D230" i="6"/>
  <c r="E230" i="6" s="1"/>
  <c r="G229" i="6"/>
  <c r="D229" i="6"/>
  <c r="E229" i="6" s="1"/>
  <c r="G228" i="6"/>
  <c r="D228" i="6"/>
  <c r="E228" i="6" s="1"/>
  <c r="G227" i="6"/>
  <c r="D227" i="6"/>
  <c r="E227" i="6" s="1"/>
  <c r="G226" i="6"/>
  <c r="D226" i="6"/>
  <c r="E226" i="6" s="1"/>
  <c r="G225" i="6"/>
  <c r="D225" i="6"/>
  <c r="E225" i="6" s="1"/>
  <c r="G224" i="6"/>
  <c r="D224" i="6"/>
  <c r="E224" i="6" s="1"/>
  <c r="G223" i="6"/>
  <c r="D223" i="6"/>
  <c r="E223" i="6" s="1"/>
  <c r="G222" i="6"/>
  <c r="D222" i="6"/>
  <c r="E222" i="6" s="1"/>
  <c r="G221" i="6"/>
  <c r="D221" i="6"/>
  <c r="E221" i="6" s="1"/>
  <c r="G220" i="6"/>
  <c r="D220" i="6"/>
  <c r="E220" i="6" s="1"/>
  <c r="G219" i="6"/>
  <c r="D219" i="6"/>
  <c r="E219" i="6" s="1"/>
  <c r="G218" i="6"/>
  <c r="D218" i="6"/>
  <c r="E218" i="6" s="1"/>
  <c r="G217" i="6"/>
  <c r="D217" i="6"/>
  <c r="E217" i="6" s="1"/>
  <c r="G216" i="6"/>
  <c r="D216" i="6"/>
  <c r="E216" i="6" s="1"/>
  <c r="G215" i="6"/>
  <c r="D215" i="6"/>
  <c r="G214" i="6"/>
  <c r="D214" i="6"/>
  <c r="E214" i="6" s="1"/>
  <c r="G213" i="6"/>
  <c r="D213" i="6"/>
  <c r="E213" i="6" s="1"/>
  <c r="G212" i="6"/>
  <c r="D212" i="6"/>
  <c r="E212" i="6" s="1"/>
  <c r="G211" i="6"/>
  <c r="D211" i="6"/>
  <c r="E211" i="6" s="1"/>
  <c r="G210" i="6"/>
  <c r="D210" i="6"/>
  <c r="E210" i="6" s="1"/>
  <c r="G209" i="6"/>
  <c r="D209" i="6"/>
  <c r="E209" i="6" s="1"/>
  <c r="G208" i="6"/>
  <c r="D208" i="6"/>
  <c r="E208" i="6" s="1"/>
  <c r="G207" i="6"/>
  <c r="D207" i="6"/>
  <c r="E207" i="6" s="1"/>
  <c r="G206" i="6"/>
  <c r="D206" i="6"/>
  <c r="E206" i="6" s="1"/>
  <c r="G205" i="6"/>
  <c r="D205" i="6"/>
  <c r="E205" i="6" s="1"/>
  <c r="G204" i="6"/>
  <c r="D204" i="6"/>
  <c r="E204" i="6" s="1"/>
  <c r="G203" i="6"/>
  <c r="D203" i="6"/>
  <c r="E203" i="6" s="1"/>
  <c r="G202" i="6"/>
  <c r="D202" i="6"/>
  <c r="E202" i="6" s="1"/>
  <c r="G201" i="6"/>
  <c r="D201" i="6"/>
  <c r="E201" i="6" s="1"/>
  <c r="G200" i="6"/>
  <c r="D200" i="6"/>
  <c r="E200" i="6" s="1"/>
  <c r="G199" i="6"/>
  <c r="D199" i="6"/>
  <c r="G198" i="6"/>
  <c r="D198" i="6"/>
  <c r="E198" i="6" s="1"/>
  <c r="G197" i="6"/>
  <c r="D197" i="6"/>
  <c r="E197" i="6" s="1"/>
  <c r="G196" i="6"/>
  <c r="D196" i="6"/>
  <c r="E196" i="6" s="1"/>
  <c r="G195" i="6"/>
  <c r="D195" i="6"/>
  <c r="E195" i="6" s="1"/>
  <c r="G194" i="6"/>
  <c r="D194" i="6"/>
  <c r="E194" i="6" s="1"/>
  <c r="G193" i="6"/>
  <c r="D193" i="6"/>
  <c r="E193" i="6" s="1"/>
  <c r="G192" i="6"/>
  <c r="D192" i="6"/>
  <c r="E192" i="6" s="1"/>
  <c r="G191" i="6"/>
  <c r="D191" i="6"/>
  <c r="E191" i="6" s="1"/>
  <c r="G190" i="6"/>
  <c r="D190" i="6"/>
  <c r="E190" i="6" s="1"/>
  <c r="G189" i="6"/>
  <c r="D189" i="6"/>
  <c r="E189" i="6" s="1"/>
  <c r="G188" i="6"/>
  <c r="D188" i="6"/>
  <c r="E188" i="6" s="1"/>
  <c r="G187" i="6"/>
  <c r="D187" i="6"/>
  <c r="E187" i="6" s="1"/>
  <c r="G186" i="6"/>
  <c r="D186" i="6"/>
  <c r="E186" i="6" s="1"/>
  <c r="G185" i="6"/>
  <c r="D185" i="6"/>
  <c r="E185" i="6" s="1"/>
  <c r="G184" i="6"/>
  <c r="D184" i="6"/>
  <c r="E184" i="6" s="1"/>
  <c r="G183" i="6"/>
  <c r="D183" i="6"/>
  <c r="E183" i="6" s="1"/>
  <c r="G182" i="6"/>
  <c r="D182" i="6"/>
  <c r="E182" i="6" s="1"/>
  <c r="G181" i="6"/>
  <c r="D181" i="6"/>
  <c r="E181" i="6" s="1"/>
  <c r="G180" i="6"/>
  <c r="D180" i="6"/>
  <c r="E180" i="6" s="1"/>
  <c r="G179" i="6"/>
  <c r="D179" i="6"/>
  <c r="E179" i="6" s="1"/>
  <c r="G178" i="6"/>
  <c r="D178" i="6"/>
  <c r="E178" i="6" s="1"/>
  <c r="G177" i="6"/>
  <c r="D177" i="6"/>
  <c r="E177" i="6" s="1"/>
  <c r="G176" i="6"/>
  <c r="D176" i="6"/>
  <c r="E176" i="6" s="1"/>
  <c r="G175" i="6"/>
  <c r="D175" i="6"/>
  <c r="G174" i="6"/>
  <c r="D174" i="6"/>
  <c r="E174" i="6" s="1"/>
  <c r="G173" i="6"/>
  <c r="D173" i="6"/>
  <c r="E173" i="6" s="1"/>
  <c r="G172" i="6"/>
  <c r="D172" i="6"/>
  <c r="E172" i="6" s="1"/>
  <c r="G171" i="6"/>
  <c r="D171" i="6"/>
  <c r="E171" i="6" s="1"/>
  <c r="G170" i="6"/>
  <c r="D170" i="6"/>
  <c r="E170" i="6" s="1"/>
  <c r="G169" i="6"/>
  <c r="D169" i="6"/>
  <c r="E169" i="6" s="1"/>
  <c r="G168" i="6"/>
  <c r="D168" i="6"/>
  <c r="E168" i="6" s="1"/>
  <c r="G167" i="6"/>
  <c r="D167" i="6"/>
  <c r="E167" i="6" s="1"/>
  <c r="G166" i="6"/>
  <c r="D166" i="6"/>
  <c r="E166" i="6" s="1"/>
  <c r="G165" i="6"/>
  <c r="D165" i="6"/>
  <c r="E165" i="6" s="1"/>
  <c r="G164" i="6"/>
  <c r="D164" i="6"/>
  <c r="E164" i="6" s="1"/>
  <c r="G163" i="6"/>
  <c r="D163" i="6"/>
  <c r="E163" i="6" s="1"/>
  <c r="G162" i="6"/>
  <c r="D162" i="6"/>
  <c r="E162" i="6" s="1"/>
  <c r="G161" i="6"/>
  <c r="D161" i="6"/>
  <c r="E161" i="6" s="1"/>
  <c r="G160" i="6"/>
  <c r="D160" i="6"/>
  <c r="E160" i="6" s="1"/>
  <c r="G159" i="6"/>
  <c r="D159" i="6"/>
  <c r="E159" i="6" s="1"/>
  <c r="G158" i="6"/>
  <c r="D158" i="6"/>
  <c r="E158" i="6" s="1"/>
  <c r="G157" i="6"/>
  <c r="D157" i="6"/>
  <c r="E157" i="6" s="1"/>
  <c r="G156" i="6"/>
  <c r="D156" i="6"/>
  <c r="E156" i="6" s="1"/>
  <c r="G155" i="6"/>
  <c r="D155" i="6"/>
  <c r="E155" i="6" s="1"/>
  <c r="G154" i="6"/>
  <c r="D154" i="6"/>
  <c r="E154" i="6" s="1"/>
  <c r="G153" i="6"/>
  <c r="D153" i="6"/>
  <c r="E153" i="6" s="1"/>
  <c r="G152" i="6"/>
  <c r="D152" i="6"/>
  <c r="E152" i="6" s="1"/>
  <c r="G151" i="6"/>
  <c r="D151" i="6"/>
  <c r="E151" i="6" s="1"/>
  <c r="G150" i="6"/>
  <c r="D150" i="6"/>
  <c r="E150" i="6" s="1"/>
  <c r="G149" i="6"/>
  <c r="D149" i="6"/>
  <c r="E149" i="6" s="1"/>
  <c r="G148" i="6"/>
  <c r="D148" i="6"/>
  <c r="E148" i="6" s="1"/>
  <c r="G147" i="6"/>
  <c r="D147" i="6"/>
  <c r="E147" i="6" s="1"/>
  <c r="G146" i="6"/>
  <c r="D146" i="6"/>
  <c r="E146" i="6" s="1"/>
  <c r="G145" i="6"/>
  <c r="D145" i="6"/>
  <c r="E145" i="6" s="1"/>
  <c r="G144" i="6"/>
  <c r="D144" i="6"/>
  <c r="E144" i="6" s="1"/>
  <c r="G143" i="6"/>
  <c r="D143" i="6"/>
  <c r="E143" i="6" s="1"/>
  <c r="G142" i="6"/>
  <c r="D142" i="6"/>
  <c r="E142" i="6" s="1"/>
  <c r="G141" i="6"/>
  <c r="D141" i="6"/>
  <c r="E141" i="6" s="1"/>
  <c r="G140" i="6"/>
  <c r="D140" i="6"/>
  <c r="E140" i="6" s="1"/>
  <c r="G139" i="6"/>
  <c r="D139" i="6"/>
  <c r="E139" i="6" s="1"/>
  <c r="G138" i="6"/>
  <c r="D138" i="6"/>
  <c r="E138" i="6" s="1"/>
  <c r="G137" i="6"/>
  <c r="D137" i="6"/>
  <c r="E137" i="6" s="1"/>
  <c r="G136" i="6"/>
  <c r="D136" i="6"/>
  <c r="E136" i="6" s="1"/>
  <c r="G135" i="6"/>
  <c r="D135" i="6"/>
  <c r="E135" i="6" s="1"/>
  <c r="G134" i="6"/>
  <c r="D134" i="6"/>
  <c r="E134" i="6" s="1"/>
  <c r="G133" i="6"/>
  <c r="D133" i="6"/>
  <c r="E133" i="6" s="1"/>
  <c r="G132" i="6"/>
  <c r="D132" i="6"/>
  <c r="E132" i="6" s="1"/>
  <c r="G131" i="6"/>
  <c r="D131" i="6"/>
  <c r="E131" i="6" s="1"/>
  <c r="G130" i="6"/>
  <c r="D130" i="6"/>
  <c r="E130" i="6" s="1"/>
  <c r="G129" i="6"/>
  <c r="D129" i="6"/>
  <c r="E129" i="6" s="1"/>
  <c r="G128" i="6"/>
  <c r="D128" i="6"/>
  <c r="G127" i="6"/>
  <c r="D127" i="6"/>
  <c r="E127" i="6" s="1"/>
  <c r="G126" i="6"/>
  <c r="D126" i="6"/>
  <c r="E126" i="6" s="1"/>
  <c r="G125" i="6"/>
  <c r="D125" i="6"/>
  <c r="E125" i="6" s="1"/>
  <c r="G124" i="6"/>
  <c r="D124" i="6"/>
  <c r="E124" i="6" s="1"/>
  <c r="G123" i="6"/>
  <c r="D123" i="6"/>
  <c r="E123" i="6" s="1"/>
  <c r="G122" i="6"/>
  <c r="D122" i="6"/>
  <c r="E122" i="6" s="1"/>
  <c r="G121" i="6"/>
  <c r="D121" i="6"/>
  <c r="E121" i="6" s="1"/>
  <c r="G120" i="6"/>
  <c r="D120" i="6"/>
  <c r="E120" i="6" s="1"/>
  <c r="G119" i="6"/>
  <c r="D119" i="6"/>
  <c r="E119" i="6" s="1"/>
  <c r="G118" i="6"/>
  <c r="D118" i="6"/>
  <c r="E118" i="6" s="1"/>
  <c r="G117" i="6"/>
  <c r="D117" i="6"/>
  <c r="E117" i="6" s="1"/>
  <c r="G116" i="6"/>
  <c r="D116" i="6"/>
  <c r="E116" i="6" s="1"/>
  <c r="G115" i="6"/>
  <c r="D115" i="6"/>
  <c r="E115" i="6" s="1"/>
  <c r="G114" i="6"/>
  <c r="D114" i="6"/>
  <c r="E114" i="6" s="1"/>
  <c r="G113" i="6"/>
  <c r="D113" i="6"/>
  <c r="E113" i="6" s="1"/>
  <c r="G112" i="6"/>
  <c r="D112" i="6"/>
  <c r="E112" i="6" s="1"/>
  <c r="G111" i="6"/>
  <c r="D111" i="6"/>
  <c r="E111" i="6" s="1"/>
  <c r="G110" i="6"/>
  <c r="D110" i="6"/>
  <c r="E110" i="6" s="1"/>
  <c r="G109" i="6"/>
  <c r="D109" i="6"/>
  <c r="G108" i="6"/>
  <c r="D108" i="6"/>
  <c r="E108" i="6" s="1"/>
  <c r="G107" i="6"/>
  <c r="D107" i="6"/>
  <c r="E107" i="6" s="1"/>
  <c r="G106" i="6"/>
  <c r="D106" i="6"/>
  <c r="E106" i="6" s="1"/>
  <c r="G105" i="6"/>
  <c r="D105" i="6"/>
  <c r="E105" i="6" s="1"/>
  <c r="G104" i="6"/>
  <c r="D104" i="6"/>
  <c r="G103" i="6"/>
  <c r="D103" i="6"/>
  <c r="E103" i="6" s="1"/>
  <c r="G102" i="6"/>
  <c r="D102" i="6"/>
  <c r="E102" i="6" s="1"/>
  <c r="G101" i="6"/>
  <c r="D101" i="6"/>
  <c r="G100" i="6"/>
  <c r="D100" i="6"/>
  <c r="E100" i="6" s="1"/>
  <c r="G99" i="6"/>
  <c r="D99" i="6"/>
  <c r="E99" i="6" s="1"/>
  <c r="G98" i="6"/>
  <c r="D98" i="6"/>
  <c r="E98" i="6" s="1"/>
  <c r="G97" i="6"/>
  <c r="D97" i="6"/>
  <c r="E97" i="6" s="1"/>
  <c r="G96" i="6"/>
  <c r="D96" i="6"/>
  <c r="E96" i="6" s="1"/>
  <c r="G95" i="6"/>
  <c r="D95" i="6"/>
  <c r="E95" i="6" s="1"/>
  <c r="G94" i="6"/>
  <c r="D94" i="6"/>
  <c r="E94" i="6" s="1"/>
  <c r="G93" i="6"/>
  <c r="D93" i="6"/>
  <c r="E93" i="6" s="1"/>
  <c r="G92" i="6"/>
  <c r="D92" i="6"/>
  <c r="E92" i="6" s="1"/>
  <c r="G91" i="6"/>
  <c r="D91" i="6"/>
  <c r="E91" i="6" s="1"/>
  <c r="G90" i="6"/>
  <c r="D90" i="6"/>
  <c r="E90" i="6" s="1"/>
  <c r="G89" i="6"/>
  <c r="D89" i="6"/>
  <c r="E89" i="6" s="1"/>
  <c r="G88" i="6"/>
  <c r="D88" i="6"/>
  <c r="E88" i="6" s="1"/>
  <c r="G87" i="6"/>
  <c r="D87" i="6"/>
  <c r="E87" i="6" s="1"/>
  <c r="G86" i="6"/>
  <c r="D86" i="6"/>
  <c r="E86" i="6" s="1"/>
  <c r="G85" i="6"/>
  <c r="D85" i="6"/>
  <c r="E85" i="6" s="1"/>
  <c r="G84" i="6"/>
  <c r="D84" i="6"/>
  <c r="E84" i="6" s="1"/>
  <c r="G83" i="6"/>
  <c r="D83" i="6"/>
  <c r="E83" i="6" s="1"/>
  <c r="G82" i="6"/>
  <c r="D82" i="6"/>
  <c r="E82" i="6" s="1"/>
  <c r="G81" i="6"/>
  <c r="D81" i="6"/>
  <c r="E81" i="6" s="1"/>
  <c r="G80" i="6"/>
  <c r="D80" i="6"/>
  <c r="E80" i="6" s="1"/>
  <c r="G79" i="6"/>
  <c r="D79" i="6"/>
  <c r="E79" i="6" s="1"/>
  <c r="G78" i="6"/>
  <c r="D78" i="6"/>
  <c r="E78" i="6" s="1"/>
  <c r="G77" i="6"/>
  <c r="D77" i="6"/>
  <c r="G76" i="6"/>
  <c r="D76" i="6"/>
  <c r="E76" i="6" s="1"/>
  <c r="G75" i="6"/>
  <c r="D75" i="6"/>
  <c r="E75" i="6" s="1"/>
  <c r="G74" i="6"/>
  <c r="D74" i="6"/>
  <c r="E74" i="6" s="1"/>
  <c r="G73" i="6"/>
  <c r="D73" i="6"/>
  <c r="E73" i="6" s="1"/>
  <c r="G72" i="6"/>
  <c r="D72" i="6"/>
  <c r="E72" i="6" s="1"/>
  <c r="G71" i="6"/>
  <c r="D71" i="6"/>
  <c r="E71" i="6" s="1"/>
  <c r="G70" i="6"/>
  <c r="D70" i="6"/>
  <c r="E70" i="6" s="1"/>
  <c r="G69" i="6"/>
  <c r="D69" i="6"/>
  <c r="E69" i="6" s="1"/>
  <c r="G68" i="6"/>
  <c r="D68" i="6"/>
  <c r="E68" i="6" s="1"/>
  <c r="G67" i="6"/>
  <c r="D67" i="6"/>
  <c r="E67" i="6" s="1"/>
  <c r="G66" i="6"/>
  <c r="D66" i="6"/>
  <c r="E66" i="6" s="1"/>
  <c r="G65" i="6"/>
  <c r="D65" i="6"/>
  <c r="G64" i="6"/>
  <c r="D64" i="6"/>
  <c r="E64" i="6" s="1"/>
  <c r="G63" i="6"/>
  <c r="D63" i="6"/>
  <c r="E63" i="6" s="1"/>
  <c r="G62" i="6"/>
  <c r="D62" i="6"/>
  <c r="G61" i="6"/>
  <c r="D61" i="6"/>
  <c r="E61" i="6" s="1"/>
  <c r="G60" i="6"/>
  <c r="D60" i="6"/>
  <c r="E60" i="6" s="1"/>
  <c r="G59" i="6"/>
  <c r="D59" i="6"/>
  <c r="E59" i="6" s="1"/>
  <c r="G58" i="6"/>
  <c r="D58" i="6"/>
  <c r="E58" i="6" s="1"/>
  <c r="G57" i="6"/>
  <c r="D57" i="6"/>
  <c r="E57" i="6" s="1"/>
  <c r="G56" i="6"/>
  <c r="D56" i="6"/>
  <c r="E56" i="6" s="1"/>
  <c r="G55" i="6"/>
  <c r="D55" i="6"/>
  <c r="E55" i="6" s="1"/>
  <c r="G54" i="6"/>
  <c r="D54" i="6"/>
  <c r="E54" i="6" s="1"/>
  <c r="G53" i="6"/>
  <c r="D53" i="6"/>
  <c r="E53" i="6" s="1"/>
  <c r="G52" i="6"/>
  <c r="D52" i="6"/>
  <c r="E52" i="6" s="1"/>
  <c r="G51" i="6"/>
  <c r="D51" i="6"/>
  <c r="E51" i="6" s="1"/>
  <c r="G50" i="6"/>
  <c r="D50" i="6"/>
  <c r="E50" i="6" s="1"/>
  <c r="G49" i="6"/>
  <c r="D49" i="6"/>
  <c r="E49" i="6" s="1"/>
  <c r="G48" i="6"/>
  <c r="D48" i="6"/>
  <c r="E48" i="6" s="1"/>
  <c r="G47" i="6"/>
  <c r="D47" i="6"/>
  <c r="E47" i="6" s="1"/>
  <c r="G46" i="6"/>
  <c r="D46" i="6"/>
  <c r="E46" i="6" s="1"/>
  <c r="G45" i="6"/>
  <c r="D45" i="6"/>
  <c r="E45" i="6" s="1"/>
  <c r="G44" i="6"/>
  <c r="D44" i="6"/>
  <c r="G43" i="6"/>
  <c r="D43" i="6"/>
  <c r="E43" i="6" s="1"/>
  <c r="G42" i="6"/>
  <c r="D42" i="6"/>
  <c r="E42" i="6" s="1"/>
  <c r="G41" i="6"/>
  <c r="D41" i="6"/>
  <c r="E41" i="6" s="1"/>
  <c r="G40" i="6"/>
  <c r="D40" i="6"/>
  <c r="E40" i="6" s="1"/>
  <c r="G39" i="6"/>
  <c r="D39" i="6"/>
  <c r="E39" i="6" s="1"/>
  <c r="G38" i="6"/>
  <c r="D38" i="6"/>
  <c r="E38" i="6" s="1"/>
  <c r="G37" i="6"/>
  <c r="D37" i="6"/>
  <c r="E37" i="6" s="1"/>
  <c r="G36" i="6"/>
  <c r="D36" i="6"/>
  <c r="E36" i="6" s="1"/>
  <c r="G35" i="6"/>
  <c r="D35" i="6"/>
  <c r="E35" i="6" s="1"/>
  <c r="G34" i="6"/>
  <c r="D34" i="6"/>
  <c r="E34" i="6" s="1"/>
  <c r="G33" i="6"/>
  <c r="D33" i="6"/>
  <c r="E33" i="6" s="1"/>
  <c r="G32" i="6"/>
  <c r="D32" i="6"/>
  <c r="E32" i="6" s="1"/>
  <c r="G31" i="6"/>
  <c r="D31" i="6"/>
  <c r="E31" i="6" s="1"/>
  <c r="G30" i="6"/>
  <c r="D30" i="6"/>
  <c r="E30" i="6" s="1"/>
  <c r="G29" i="6"/>
  <c r="D29" i="6"/>
  <c r="E29" i="6" s="1"/>
  <c r="G28" i="6"/>
  <c r="D28" i="6"/>
  <c r="E28" i="6" s="1"/>
  <c r="G27" i="6"/>
  <c r="D27" i="6"/>
  <c r="E27" i="6" s="1"/>
  <c r="G26" i="6"/>
  <c r="D26" i="6"/>
  <c r="E26" i="6" s="1"/>
  <c r="G25" i="6"/>
  <c r="D25" i="6"/>
  <c r="E25" i="6" s="1"/>
  <c r="G24" i="6"/>
  <c r="D24" i="6"/>
  <c r="E24" i="6" s="1"/>
  <c r="G23" i="6"/>
  <c r="D23" i="6"/>
  <c r="E23" i="6" s="1"/>
  <c r="G22" i="6"/>
  <c r="D22" i="6"/>
  <c r="E22" i="6" s="1"/>
  <c r="G21" i="6"/>
  <c r="D21" i="6"/>
  <c r="E21" i="6" s="1"/>
  <c r="G20" i="6"/>
  <c r="D20" i="6"/>
  <c r="E20" i="6" s="1"/>
  <c r="G19" i="6"/>
  <c r="D19" i="6"/>
  <c r="E19" i="6" s="1"/>
  <c r="G18" i="6"/>
  <c r="D18" i="6"/>
  <c r="E18" i="6" s="1"/>
  <c r="G17" i="6"/>
  <c r="D17" i="6"/>
  <c r="E17" i="6" s="1"/>
  <c r="G16" i="6"/>
  <c r="D16" i="6"/>
  <c r="E16" i="6" s="1"/>
  <c r="G15" i="6"/>
  <c r="D15" i="6"/>
  <c r="E15" i="6" s="1"/>
  <c r="G14" i="6"/>
  <c r="D14" i="6"/>
  <c r="E14" i="6" s="1"/>
  <c r="G13" i="6"/>
  <c r="D13" i="6"/>
  <c r="E13" i="6" s="1"/>
  <c r="G12" i="6"/>
  <c r="D12" i="6"/>
  <c r="E12" i="6" s="1"/>
  <c r="G11" i="6"/>
  <c r="D11" i="6"/>
  <c r="E11" i="6" s="1"/>
  <c r="G10" i="6"/>
  <c r="D10" i="6"/>
  <c r="E10" i="6" s="1"/>
  <c r="G9" i="6"/>
  <c r="D9" i="6"/>
  <c r="E9" i="6" s="1"/>
  <c r="G8" i="6"/>
  <c r="D8" i="6"/>
  <c r="E8" i="6" s="1"/>
  <c r="G7" i="6"/>
  <c r="D7" i="6"/>
  <c r="E7" i="6" s="1"/>
  <c r="G6" i="6"/>
  <c r="D6" i="6"/>
  <c r="E6" i="6" s="1"/>
  <c r="G5" i="6"/>
  <c r="D5" i="6"/>
  <c r="E5" i="6" s="1"/>
  <c r="G4" i="6"/>
  <c r="D4" i="6"/>
  <c r="E4" i="6" s="1"/>
  <c r="G3" i="6"/>
  <c r="D3" i="6"/>
  <c r="E3" i="6" s="1"/>
  <c r="G2" i="6"/>
  <c r="D2" i="6"/>
  <c r="I1194" i="5"/>
  <c r="E1194" i="5"/>
  <c r="I1193" i="5"/>
  <c r="E1193" i="5"/>
  <c r="I1192" i="5"/>
  <c r="E1192" i="5"/>
  <c r="I1191" i="5"/>
  <c r="E1191" i="5"/>
  <c r="I1190" i="5"/>
  <c r="E1190" i="5"/>
  <c r="I1189" i="5"/>
  <c r="E1189" i="5"/>
  <c r="I1188" i="5"/>
  <c r="E1188" i="5"/>
  <c r="I1187" i="5"/>
  <c r="E1187" i="5"/>
  <c r="I1186" i="5"/>
  <c r="E1186" i="5"/>
  <c r="I1185" i="5"/>
  <c r="E1185" i="5"/>
  <c r="I1184" i="5"/>
  <c r="E1184" i="5"/>
  <c r="I1183" i="5"/>
  <c r="E1183" i="5"/>
  <c r="I1182" i="5"/>
  <c r="E1182" i="5"/>
  <c r="I1181" i="5"/>
  <c r="E1181" i="5"/>
  <c r="I1180" i="5"/>
  <c r="E1180" i="5"/>
  <c r="I1179" i="5"/>
  <c r="E1179" i="5"/>
  <c r="I1178" i="5"/>
  <c r="E1178" i="5"/>
  <c r="I1177" i="5"/>
  <c r="E1177" i="5"/>
  <c r="I1176" i="5"/>
  <c r="E1176" i="5"/>
  <c r="I1175" i="5"/>
  <c r="E1175" i="5"/>
  <c r="I1174" i="5"/>
  <c r="E1174" i="5"/>
  <c r="I1173" i="5"/>
  <c r="E1173" i="5"/>
  <c r="I1172" i="5"/>
  <c r="E1172" i="5"/>
  <c r="I1171" i="5"/>
  <c r="E1171" i="5"/>
  <c r="I1170" i="5"/>
  <c r="E1170" i="5"/>
  <c r="I1169" i="5"/>
  <c r="E1169" i="5"/>
  <c r="I1168" i="5"/>
  <c r="E1168" i="5"/>
  <c r="I1167" i="5"/>
  <c r="E1167" i="5"/>
  <c r="I1166" i="5"/>
  <c r="E1166" i="5"/>
  <c r="I1165" i="5"/>
  <c r="E1165" i="5"/>
  <c r="I1164" i="5"/>
  <c r="E1164" i="5"/>
  <c r="I1163" i="5"/>
  <c r="E1163" i="5"/>
  <c r="I1162" i="5"/>
  <c r="E1162" i="5"/>
  <c r="I1161" i="5"/>
  <c r="E1161" i="5"/>
  <c r="I1160" i="5"/>
  <c r="E1160" i="5"/>
  <c r="I1159" i="5"/>
  <c r="E1159" i="5"/>
  <c r="I1158" i="5"/>
  <c r="E1158" i="5"/>
  <c r="I1157" i="5"/>
  <c r="E1157" i="5"/>
  <c r="I1156" i="5"/>
  <c r="E1156" i="5"/>
  <c r="I1155" i="5"/>
  <c r="E1155" i="5"/>
  <c r="I1154" i="5"/>
  <c r="E1154" i="5"/>
  <c r="I1153" i="5"/>
  <c r="E1153" i="5"/>
  <c r="I1152" i="5"/>
  <c r="E1152" i="5"/>
  <c r="I1151" i="5"/>
  <c r="E1151" i="5"/>
  <c r="I1150" i="5"/>
  <c r="E1150" i="5"/>
  <c r="I1149" i="5"/>
  <c r="E1149" i="5"/>
  <c r="I1148" i="5"/>
  <c r="E1148" i="5"/>
  <c r="I1147" i="5"/>
  <c r="E1147" i="5"/>
  <c r="I1146" i="5"/>
  <c r="E1146" i="5"/>
  <c r="I1145" i="5"/>
  <c r="E1145" i="5"/>
  <c r="I1144" i="5"/>
  <c r="E1144" i="5"/>
  <c r="I1143" i="5"/>
  <c r="E1143" i="5"/>
  <c r="I1142" i="5"/>
  <c r="E1142" i="5"/>
  <c r="I1141" i="5"/>
  <c r="E1141" i="5"/>
  <c r="I1140" i="5"/>
  <c r="E1140" i="5"/>
  <c r="I1139" i="5"/>
  <c r="E1139" i="5"/>
  <c r="I1138" i="5"/>
  <c r="E1138" i="5"/>
  <c r="I1137" i="5"/>
  <c r="E1137" i="5"/>
  <c r="I1136" i="5"/>
  <c r="E1136" i="5"/>
  <c r="I1135" i="5"/>
  <c r="E1135" i="5"/>
  <c r="I1134" i="5"/>
  <c r="E1134" i="5"/>
  <c r="I1133" i="5"/>
  <c r="E1133" i="5"/>
  <c r="I1132" i="5"/>
  <c r="E1132" i="5"/>
  <c r="I1131" i="5"/>
  <c r="E1131" i="5"/>
  <c r="I1130" i="5"/>
  <c r="E1130" i="5"/>
  <c r="I1129" i="5"/>
  <c r="E1129" i="5"/>
  <c r="I1128" i="5"/>
  <c r="E1128" i="5"/>
  <c r="I1127" i="5"/>
  <c r="E1127" i="5"/>
  <c r="I1126" i="5"/>
  <c r="E1126" i="5"/>
  <c r="I1125" i="5"/>
  <c r="E1125" i="5"/>
  <c r="I1124" i="5"/>
  <c r="E1124" i="5"/>
  <c r="I1123" i="5"/>
  <c r="E1123" i="5"/>
  <c r="I1122" i="5"/>
  <c r="E1122" i="5"/>
  <c r="I1121" i="5"/>
  <c r="E1121" i="5"/>
  <c r="I1120" i="5"/>
  <c r="E1120" i="5"/>
  <c r="I1119" i="5"/>
  <c r="E1119" i="5"/>
  <c r="I1118" i="5"/>
  <c r="E1118" i="5"/>
  <c r="I1117" i="5"/>
  <c r="E1117" i="5"/>
  <c r="I1116" i="5"/>
  <c r="E1116" i="5"/>
  <c r="I1115" i="5"/>
  <c r="E1115" i="5"/>
  <c r="I1114" i="5"/>
  <c r="E1114" i="5"/>
  <c r="I1113" i="5"/>
  <c r="E1113" i="5"/>
  <c r="I1112" i="5"/>
  <c r="E1112" i="5"/>
  <c r="I1111" i="5"/>
  <c r="E1111" i="5"/>
  <c r="I1110" i="5"/>
  <c r="E1110" i="5"/>
  <c r="I1109" i="5"/>
  <c r="E1109" i="5"/>
  <c r="I1108" i="5"/>
  <c r="E1108" i="5"/>
  <c r="I1107" i="5"/>
  <c r="E1107" i="5"/>
  <c r="I1106" i="5"/>
  <c r="E1106" i="5"/>
  <c r="I1105" i="5"/>
  <c r="E1105" i="5"/>
  <c r="I1104" i="5"/>
  <c r="E1104" i="5"/>
  <c r="I1103" i="5"/>
  <c r="E1103" i="5"/>
  <c r="I1102" i="5"/>
  <c r="E1102" i="5"/>
  <c r="I1101" i="5"/>
  <c r="E1101" i="5"/>
  <c r="I1100" i="5"/>
  <c r="E1100" i="5"/>
  <c r="I1099" i="5"/>
  <c r="E1099" i="5"/>
  <c r="I1098" i="5"/>
  <c r="E1098" i="5"/>
  <c r="I1097" i="5"/>
  <c r="E1097" i="5"/>
  <c r="I1096" i="5"/>
  <c r="E1096" i="5"/>
  <c r="I1095" i="5"/>
  <c r="E1095" i="5"/>
  <c r="I1094" i="5"/>
  <c r="E1094" i="5"/>
  <c r="I1093" i="5"/>
  <c r="E1093" i="5"/>
  <c r="I1092" i="5"/>
  <c r="E1092" i="5"/>
  <c r="I1091" i="5"/>
  <c r="E1091" i="5"/>
  <c r="I1090" i="5"/>
  <c r="E1090" i="5"/>
  <c r="I1089" i="5"/>
  <c r="E1089" i="5"/>
  <c r="I1088" i="5"/>
  <c r="E1088" i="5"/>
  <c r="I1087" i="5"/>
  <c r="E1087" i="5"/>
  <c r="I1086" i="5"/>
  <c r="E1086" i="5"/>
  <c r="I1085" i="5"/>
  <c r="E1085" i="5"/>
  <c r="I1084" i="5"/>
  <c r="E1084" i="5"/>
  <c r="I1083" i="5"/>
  <c r="E1083" i="5"/>
  <c r="I1082" i="5"/>
  <c r="E1082" i="5"/>
  <c r="I1081" i="5"/>
  <c r="E1081" i="5"/>
  <c r="I1080" i="5"/>
  <c r="E1080" i="5"/>
  <c r="I1079" i="5"/>
  <c r="E1079" i="5"/>
  <c r="I1078" i="5"/>
  <c r="E1078" i="5"/>
  <c r="I1077" i="5"/>
  <c r="E1077" i="5"/>
  <c r="I1076" i="5"/>
  <c r="E1076" i="5"/>
  <c r="I1075" i="5"/>
  <c r="E1075" i="5"/>
  <c r="I1074" i="5"/>
  <c r="E1074" i="5"/>
  <c r="I1073" i="5"/>
  <c r="E1073" i="5"/>
  <c r="I1072" i="5"/>
  <c r="E1072" i="5"/>
  <c r="I1071" i="5"/>
  <c r="E1071" i="5"/>
  <c r="I1070" i="5"/>
  <c r="E1070" i="5"/>
  <c r="I1069" i="5"/>
  <c r="E1069" i="5"/>
  <c r="I1068" i="5"/>
  <c r="E1068" i="5"/>
  <c r="I1067" i="5"/>
  <c r="E1067" i="5"/>
  <c r="I1066" i="5"/>
  <c r="E1066" i="5"/>
  <c r="I1065" i="5"/>
  <c r="E1065" i="5"/>
  <c r="I1064" i="5"/>
  <c r="E1064" i="5"/>
  <c r="I1063" i="5"/>
  <c r="E1063" i="5"/>
  <c r="I1062" i="5"/>
  <c r="E1062" i="5"/>
  <c r="I1061" i="5"/>
  <c r="E1061" i="5"/>
  <c r="I1060" i="5"/>
  <c r="E1060" i="5"/>
  <c r="I1059" i="5"/>
  <c r="E1059" i="5"/>
  <c r="I1058" i="5"/>
  <c r="E1058" i="5"/>
  <c r="I1057" i="5"/>
  <c r="E1057" i="5"/>
  <c r="I1056" i="5"/>
  <c r="E1056" i="5"/>
  <c r="I1055" i="5"/>
  <c r="E1055" i="5"/>
  <c r="I1054" i="5"/>
  <c r="E1054" i="5"/>
  <c r="I1053" i="5"/>
  <c r="E1053" i="5"/>
  <c r="I1052" i="5"/>
  <c r="E1052" i="5"/>
  <c r="I1051" i="5"/>
  <c r="E1051" i="5"/>
  <c r="I1050" i="5"/>
  <c r="E1050" i="5"/>
  <c r="I1049" i="5"/>
  <c r="E1049" i="5"/>
  <c r="I1048" i="5"/>
  <c r="E1048" i="5"/>
  <c r="I1047" i="5"/>
  <c r="E1047" i="5"/>
  <c r="I1046" i="5"/>
  <c r="E1046" i="5"/>
  <c r="I1045" i="5"/>
  <c r="E1045" i="5"/>
  <c r="I1044" i="5"/>
  <c r="E1044" i="5"/>
  <c r="I1043" i="5"/>
  <c r="E1043" i="5"/>
  <c r="I1042" i="5"/>
  <c r="E1042" i="5"/>
  <c r="I1041" i="5"/>
  <c r="E1041" i="5"/>
  <c r="I1040" i="5"/>
  <c r="E1040" i="5"/>
  <c r="I1039" i="5"/>
  <c r="E1039" i="5"/>
  <c r="I1038" i="5"/>
  <c r="E1038" i="5"/>
  <c r="I1037" i="5"/>
  <c r="E1037" i="5"/>
  <c r="I1036" i="5"/>
  <c r="E1036" i="5"/>
  <c r="I1035" i="5"/>
  <c r="E1035" i="5"/>
  <c r="I1034" i="5"/>
  <c r="E1034" i="5"/>
  <c r="I1033" i="5"/>
  <c r="E1033" i="5"/>
  <c r="I1032" i="5"/>
  <c r="E1032" i="5"/>
  <c r="I1031" i="5"/>
  <c r="E1031" i="5"/>
  <c r="I1030" i="5"/>
  <c r="E1030" i="5"/>
  <c r="I1029" i="5"/>
  <c r="E1029" i="5"/>
  <c r="I1028" i="5"/>
  <c r="E1028" i="5"/>
  <c r="I1027" i="5"/>
  <c r="E1027" i="5"/>
  <c r="I1026" i="5"/>
  <c r="E1026" i="5"/>
  <c r="I1025" i="5"/>
  <c r="E1025" i="5"/>
  <c r="I1024" i="5"/>
  <c r="E1024" i="5"/>
  <c r="I1023" i="5"/>
  <c r="E1023" i="5"/>
  <c r="I1022" i="5"/>
  <c r="E1022" i="5"/>
  <c r="I1021" i="5"/>
  <c r="E1021" i="5"/>
  <c r="I1020" i="5"/>
  <c r="E1020" i="5"/>
  <c r="I1019" i="5"/>
  <c r="E1019" i="5"/>
  <c r="I1018" i="5"/>
  <c r="E1018" i="5"/>
  <c r="I1017" i="5"/>
  <c r="E1017" i="5"/>
  <c r="I1016" i="5"/>
  <c r="E1016" i="5"/>
  <c r="I1015" i="5"/>
  <c r="E1015" i="5"/>
  <c r="I1014" i="5"/>
  <c r="E1014" i="5"/>
  <c r="I1013" i="5"/>
  <c r="E1013" i="5"/>
  <c r="I1012" i="5"/>
  <c r="E1012" i="5"/>
  <c r="I1011" i="5"/>
  <c r="E1011" i="5"/>
  <c r="I1010" i="5"/>
  <c r="E1010" i="5"/>
  <c r="I1009" i="5"/>
  <c r="E1009" i="5"/>
  <c r="I1008" i="5"/>
  <c r="E1008" i="5"/>
  <c r="I1007" i="5"/>
  <c r="E1007" i="5"/>
  <c r="I1006" i="5"/>
  <c r="E1006" i="5"/>
  <c r="I1005" i="5"/>
  <c r="E1005" i="5"/>
  <c r="I1004" i="5"/>
  <c r="E1004" i="5"/>
  <c r="I1003" i="5"/>
  <c r="E1003" i="5"/>
  <c r="I1002" i="5"/>
  <c r="E1002" i="5"/>
  <c r="I1001" i="5"/>
  <c r="E1001" i="5"/>
  <c r="I1000" i="5"/>
  <c r="E1000" i="5"/>
  <c r="I999" i="5"/>
  <c r="E999" i="5"/>
  <c r="I998" i="5"/>
  <c r="E998" i="5"/>
  <c r="I997" i="5"/>
  <c r="E997" i="5"/>
  <c r="I996" i="5"/>
  <c r="E996" i="5"/>
  <c r="I995" i="5"/>
  <c r="E995" i="5"/>
  <c r="I994" i="5"/>
  <c r="E994" i="5"/>
  <c r="I993" i="5"/>
  <c r="E993" i="5"/>
  <c r="I992" i="5"/>
  <c r="E992" i="5"/>
  <c r="I991" i="5"/>
  <c r="E991" i="5"/>
  <c r="I990" i="5"/>
  <c r="E990" i="5"/>
  <c r="I989" i="5"/>
  <c r="E989" i="5"/>
  <c r="I988" i="5"/>
  <c r="E988" i="5"/>
  <c r="I987" i="5"/>
  <c r="E987" i="5"/>
  <c r="I986" i="5"/>
  <c r="E986" i="5"/>
  <c r="I985" i="5"/>
  <c r="E985" i="5"/>
  <c r="I984" i="5"/>
  <c r="E984" i="5"/>
  <c r="I983" i="5"/>
  <c r="E983" i="5"/>
  <c r="I982" i="5"/>
  <c r="E982" i="5"/>
  <c r="I981" i="5"/>
  <c r="E981" i="5"/>
  <c r="I980" i="5"/>
  <c r="E980" i="5"/>
  <c r="I979" i="5"/>
  <c r="E979" i="5"/>
  <c r="I978" i="5"/>
  <c r="E978" i="5"/>
  <c r="I977" i="5"/>
  <c r="E977" i="5"/>
  <c r="I976" i="5"/>
  <c r="E976" i="5"/>
  <c r="I975" i="5"/>
  <c r="E975" i="5"/>
  <c r="I974" i="5"/>
  <c r="E974" i="5"/>
  <c r="I973" i="5"/>
  <c r="E973" i="5"/>
  <c r="I972" i="5"/>
  <c r="E972" i="5"/>
  <c r="I971" i="5"/>
  <c r="E971" i="5"/>
  <c r="I970" i="5"/>
  <c r="E970" i="5"/>
  <c r="I969" i="5"/>
  <c r="E969" i="5"/>
  <c r="I968" i="5"/>
  <c r="E968" i="5"/>
  <c r="I967" i="5"/>
  <c r="E967" i="5"/>
  <c r="I966" i="5"/>
  <c r="E966" i="5"/>
  <c r="I965" i="5"/>
  <c r="E965" i="5"/>
  <c r="I964" i="5"/>
  <c r="E964" i="5"/>
  <c r="I963" i="5"/>
  <c r="E963" i="5"/>
  <c r="I962" i="5"/>
  <c r="E962" i="5"/>
  <c r="I961" i="5"/>
  <c r="E961" i="5"/>
  <c r="I960" i="5"/>
  <c r="E960" i="5"/>
  <c r="I959" i="5"/>
  <c r="E959" i="5"/>
  <c r="I958" i="5"/>
  <c r="E958" i="5"/>
  <c r="I957" i="5"/>
  <c r="E957" i="5"/>
  <c r="I956" i="5"/>
  <c r="E956" i="5"/>
  <c r="I955" i="5"/>
  <c r="E955" i="5"/>
  <c r="I954" i="5"/>
  <c r="E954" i="5"/>
  <c r="I953" i="5"/>
  <c r="E953" i="5"/>
  <c r="I952" i="5"/>
  <c r="E952" i="5"/>
  <c r="I951" i="5"/>
  <c r="E951" i="5"/>
  <c r="I950" i="5"/>
  <c r="E950" i="5"/>
  <c r="I949" i="5"/>
  <c r="E949" i="5"/>
  <c r="I948" i="5"/>
  <c r="E948" i="5"/>
  <c r="I947" i="5"/>
  <c r="E947" i="5"/>
  <c r="I946" i="5"/>
  <c r="E946" i="5"/>
  <c r="I945" i="5"/>
  <c r="E945" i="5"/>
  <c r="I944" i="5"/>
  <c r="E944" i="5"/>
  <c r="I943" i="5"/>
  <c r="E943" i="5"/>
  <c r="I942" i="5"/>
  <c r="E942" i="5"/>
  <c r="I941" i="5"/>
  <c r="E941" i="5"/>
  <c r="I940" i="5"/>
  <c r="E940" i="5"/>
  <c r="I939" i="5"/>
  <c r="E939" i="5"/>
  <c r="I938" i="5"/>
  <c r="E938" i="5"/>
  <c r="I937" i="5"/>
  <c r="E937" i="5"/>
  <c r="I936" i="5"/>
  <c r="E936" i="5"/>
  <c r="I935" i="5"/>
  <c r="E935" i="5"/>
  <c r="I934" i="5"/>
  <c r="E934" i="5"/>
  <c r="I933" i="5"/>
  <c r="E933" i="5"/>
  <c r="I932" i="5"/>
  <c r="E932" i="5"/>
  <c r="I931" i="5"/>
  <c r="E931" i="5"/>
  <c r="I930" i="5"/>
  <c r="E930" i="5"/>
  <c r="I929" i="5"/>
  <c r="E929" i="5"/>
  <c r="I928" i="5"/>
  <c r="E928" i="5"/>
  <c r="I927" i="5"/>
  <c r="E927" i="5"/>
  <c r="I926" i="5"/>
  <c r="E926" i="5"/>
  <c r="I925" i="5"/>
  <c r="E925" i="5"/>
  <c r="I924" i="5"/>
  <c r="E924" i="5"/>
  <c r="I923" i="5"/>
  <c r="E923" i="5"/>
  <c r="I922" i="5"/>
  <c r="E922" i="5"/>
  <c r="I921" i="5"/>
  <c r="E921" i="5"/>
  <c r="I920" i="5"/>
  <c r="E920" i="5"/>
  <c r="I919" i="5"/>
  <c r="E919" i="5"/>
  <c r="I918" i="5"/>
  <c r="E918" i="5"/>
  <c r="I917" i="5"/>
  <c r="E917" i="5"/>
  <c r="I916" i="5"/>
  <c r="E916" i="5"/>
  <c r="I915" i="5"/>
  <c r="E915" i="5"/>
  <c r="I914" i="5"/>
  <c r="E914" i="5"/>
  <c r="I913" i="5"/>
  <c r="E913" i="5"/>
  <c r="I912" i="5"/>
  <c r="E912" i="5"/>
  <c r="I911" i="5"/>
  <c r="E911" i="5"/>
  <c r="I910" i="5"/>
  <c r="E910" i="5"/>
  <c r="I909" i="5"/>
  <c r="E909" i="5"/>
  <c r="I908" i="5"/>
  <c r="E908" i="5"/>
  <c r="I907" i="5"/>
  <c r="E907" i="5"/>
  <c r="I906" i="5"/>
  <c r="E906" i="5"/>
  <c r="I905" i="5"/>
  <c r="E905" i="5"/>
  <c r="I904" i="5"/>
  <c r="E904" i="5"/>
  <c r="I903" i="5"/>
  <c r="E903" i="5"/>
  <c r="I902" i="5"/>
  <c r="E902" i="5"/>
  <c r="I901" i="5"/>
  <c r="E901" i="5"/>
  <c r="I900" i="5"/>
  <c r="E900" i="5"/>
  <c r="I899" i="5"/>
  <c r="E899" i="5"/>
  <c r="I898" i="5"/>
  <c r="E898" i="5"/>
  <c r="I897" i="5"/>
  <c r="E897" i="5"/>
  <c r="I896" i="5"/>
  <c r="E896" i="5"/>
  <c r="I895" i="5"/>
  <c r="E895" i="5"/>
  <c r="I894" i="5"/>
  <c r="E894" i="5"/>
  <c r="I893" i="5"/>
  <c r="E893" i="5"/>
  <c r="I892" i="5"/>
  <c r="E892" i="5"/>
  <c r="I891" i="5"/>
  <c r="E891" i="5"/>
  <c r="I890" i="5"/>
  <c r="E890" i="5"/>
  <c r="I889" i="5"/>
  <c r="E889" i="5"/>
  <c r="I888" i="5"/>
  <c r="E888" i="5"/>
  <c r="I887" i="5"/>
  <c r="E887" i="5"/>
  <c r="I886" i="5"/>
  <c r="E886" i="5"/>
  <c r="I885" i="5"/>
  <c r="E885" i="5"/>
  <c r="I884" i="5"/>
  <c r="E884" i="5"/>
  <c r="I883" i="5"/>
  <c r="E883" i="5"/>
  <c r="I882" i="5"/>
  <c r="E882" i="5"/>
  <c r="I881" i="5"/>
  <c r="E881" i="5"/>
  <c r="I880" i="5"/>
  <c r="E880" i="5"/>
  <c r="I879" i="5"/>
  <c r="E879" i="5"/>
  <c r="I878" i="5"/>
  <c r="E878" i="5"/>
  <c r="I877" i="5"/>
  <c r="E877" i="5"/>
  <c r="I876" i="5"/>
  <c r="E876" i="5"/>
  <c r="I875" i="5"/>
  <c r="E875" i="5"/>
  <c r="I874" i="5"/>
  <c r="E874" i="5"/>
  <c r="I873" i="5"/>
  <c r="E873" i="5"/>
  <c r="I872" i="5"/>
  <c r="E872" i="5"/>
  <c r="I871" i="5"/>
  <c r="E871" i="5"/>
  <c r="I870" i="5"/>
  <c r="E870" i="5"/>
  <c r="I869" i="5"/>
  <c r="E869" i="5"/>
  <c r="I868" i="5"/>
  <c r="E868" i="5"/>
  <c r="I867" i="5"/>
  <c r="E867" i="5"/>
  <c r="I866" i="5"/>
  <c r="E866" i="5"/>
  <c r="I865" i="5"/>
  <c r="E865" i="5"/>
  <c r="I864" i="5"/>
  <c r="E864" i="5"/>
  <c r="I863" i="5"/>
  <c r="E863" i="5"/>
  <c r="I862" i="5"/>
  <c r="E862" i="5"/>
  <c r="I861" i="5"/>
  <c r="E861" i="5"/>
  <c r="I860" i="5"/>
  <c r="E860" i="5"/>
  <c r="I859" i="5"/>
  <c r="E859" i="5"/>
  <c r="I858" i="5"/>
  <c r="E858" i="5"/>
  <c r="I857" i="5"/>
  <c r="E857" i="5"/>
  <c r="I856" i="5"/>
  <c r="E856" i="5"/>
  <c r="I855" i="5"/>
  <c r="E855" i="5"/>
  <c r="I854" i="5"/>
  <c r="E854" i="5"/>
  <c r="I853" i="5"/>
  <c r="E853" i="5"/>
  <c r="I852" i="5"/>
  <c r="E852" i="5"/>
  <c r="I851" i="5"/>
  <c r="E851" i="5"/>
  <c r="I850" i="5"/>
  <c r="E850" i="5"/>
  <c r="I849" i="5"/>
  <c r="E849" i="5"/>
  <c r="I848" i="5"/>
  <c r="E848" i="5"/>
  <c r="I847" i="5"/>
  <c r="E847" i="5"/>
  <c r="I846" i="5"/>
  <c r="E846" i="5"/>
  <c r="I845" i="5"/>
  <c r="E845" i="5"/>
  <c r="I844" i="5"/>
  <c r="E844" i="5"/>
  <c r="I843" i="5"/>
  <c r="E843" i="5"/>
  <c r="I842" i="5"/>
  <c r="E842" i="5"/>
  <c r="I841" i="5"/>
  <c r="E841" i="5"/>
  <c r="I840" i="5"/>
  <c r="E840" i="5"/>
  <c r="I839" i="5"/>
  <c r="E839" i="5"/>
  <c r="I838" i="5"/>
  <c r="E838" i="5"/>
  <c r="I837" i="5"/>
  <c r="E837" i="5"/>
  <c r="I836" i="5"/>
  <c r="E836" i="5"/>
  <c r="I835" i="5"/>
  <c r="E835" i="5"/>
  <c r="I834" i="5"/>
  <c r="E834" i="5"/>
  <c r="I833" i="5"/>
  <c r="E833" i="5"/>
  <c r="I832" i="5"/>
  <c r="E832" i="5"/>
  <c r="I831" i="5"/>
  <c r="E831" i="5"/>
  <c r="I830" i="5"/>
  <c r="E830" i="5"/>
  <c r="I829" i="5"/>
  <c r="E829" i="5"/>
  <c r="I828" i="5"/>
  <c r="E828" i="5"/>
  <c r="I827" i="5"/>
  <c r="E827" i="5"/>
  <c r="I826" i="5"/>
  <c r="E826" i="5"/>
  <c r="I825" i="5"/>
  <c r="E825" i="5"/>
  <c r="I824" i="5"/>
  <c r="E824" i="5"/>
  <c r="I823" i="5"/>
  <c r="E823" i="5"/>
  <c r="I822" i="5"/>
  <c r="E822" i="5"/>
  <c r="I821" i="5"/>
  <c r="E821" i="5"/>
  <c r="I820" i="5"/>
  <c r="E820" i="5"/>
  <c r="I819" i="5"/>
  <c r="E819" i="5"/>
  <c r="I818" i="5"/>
  <c r="E818" i="5"/>
  <c r="I817" i="5"/>
  <c r="E817" i="5"/>
  <c r="I816" i="5"/>
  <c r="E816" i="5"/>
  <c r="I815" i="5"/>
  <c r="E815" i="5"/>
  <c r="I814" i="5"/>
  <c r="E814" i="5"/>
  <c r="I813" i="5"/>
  <c r="E813" i="5"/>
  <c r="I812" i="5"/>
  <c r="E812" i="5"/>
  <c r="I811" i="5"/>
  <c r="E811" i="5"/>
  <c r="I810" i="5"/>
  <c r="E810" i="5"/>
  <c r="I809" i="5"/>
  <c r="E809" i="5"/>
  <c r="I808" i="5"/>
  <c r="E808" i="5"/>
  <c r="I807" i="5"/>
  <c r="E807" i="5"/>
  <c r="I806" i="5"/>
  <c r="E806" i="5"/>
  <c r="I805" i="5"/>
  <c r="E805" i="5"/>
  <c r="I804" i="5"/>
  <c r="E804" i="5"/>
  <c r="I803" i="5"/>
  <c r="E803" i="5"/>
  <c r="I802" i="5"/>
  <c r="E802" i="5"/>
  <c r="I801" i="5"/>
  <c r="E801" i="5"/>
  <c r="I800" i="5"/>
  <c r="E800" i="5"/>
  <c r="I799" i="5"/>
  <c r="E799" i="5"/>
  <c r="I798" i="5"/>
  <c r="E798" i="5"/>
  <c r="I797" i="5"/>
  <c r="E797" i="5"/>
  <c r="I796" i="5"/>
  <c r="E796" i="5"/>
  <c r="I795" i="5"/>
  <c r="E795" i="5"/>
  <c r="I794" i="5"/>
  <c r="E794" i="5"/>
  <c r="I793" i="5"/>
  <c r="E793" i="5"/>
  <c r="I792" i="5"/>
  <c r="E792" i="5"/>
  <c r="I791" i="5"/>
  <c r="E791" i="5"/>
  <c r="I790" i="5"/>
  <c r="E790" i="5"/>
  <c r="I789" i="5"/>
  <c r="E789" i="5"/>
  <c r="I788" i="5"/>
  <c r="E788" i="5"/>
  <c r="I787" i="5"/>
  <c r="E787" i="5"/>
  <c r="I786" i="5"/>
  <c r="E786" i="5"/>
  <c r="I785" i="5"/>
  <c r="E785" i="5"/>
  <c r="I784" i="5"/>
  <c r="E784" i="5"/>
  <c r="I783" i="5"/>
  <c r="E783" i="5"/>
  <c r="I782" i="5"/>
  <c r="E782" i="5"/>
  <c r="I781" i="5"/>
  <c r="E781" i="5"/>
  <c r="I780" i="5"/>
  <c r="E780" i="5"/>
  <c r="I779" i="5"/>
  <c r="E779" i="5"/>
  <c r="I778" i="5"/>
  <c r="E778" i="5"/>
  <c r="I777" i="5"/>
  <c r="E777" i="5"/>
  <c r="I776" i="5"/>
  <c r="E776" i="5"/>
  <c r="I775" i="5"/>
  <c r="E775" i="5"/>
  <c r="I774" i="5"/>
  <c r="E774" i="5"/>
  <c r="I773" i="5"/>
  <c r="E773" i="5"/>
  <c r="I772" i="5"/>
  <c r="E772" i="5"/>
  <c r="I771" i="5"/>
  <c r="E771" i="5"/>
  <c r="I770" i="5"/>
  <c r="E770" i="5"/>
  <c r="I769" i="5"/>
  <c r="E769" i="5"/>
  <c r="I768" i="5"/>
  <c r="E768" i="5"/>
  <c r="I767" i="5"/>
  <c r="E767" i="5"/>
  <c r="I766" i="5"/>
  <c r="E766" i="5"/>
  <c r="I765" i="5"/>
  <c r="E765" i="5"/>
  <c r="I764" i="5"/>
  <c r="E764" i="5"/>
  <c r="I763" i="5"/>
  <c r="E763" i="5"/>
  <c r="I762" i="5"/>
  <c r="E762" i="5"/>
  <c r="I761" i="5"/>
  <c r="E761" i="5"/>
  <c r="I760" i="5"/>
  <c r="E760" i="5"/>
  <c r="I759" i="5"/>
  <c r="E759" i="5"/>
  <c r="I758" i="5"/>
  <c r="E758" i="5"/>
  <c r="I757" i="5"/>
  <c r="E757" i="5"/>
  <c r="I756" i="5"/>
  <c r="E756" i="5"/>
  <c r="I755" i="5"/>
  <c r="E755" i="5"/>
  <c r="I754" i="5"/>
  <c r="E754" i="5"/>
  <c r="I753" i="5"/>
  <c r="E753" i="5"/>
  <c r="I752" i="5"/>
  <c r="E752" i="5"/>
  <c r="I751" i="5"/>
  <c r="E751" i="5"/>
  <c r="I750" i="5"/>
  <c r="E750" i="5"/>
  <c r="I749" i="5"/>
  <c r="E749" i="5"/>
  <c r="I748" i="5"/>
  <c r="E748" i="5"/>
  <c r="I747" i="5"/>
  <c r="E747" i="5"/>
  <c r="I746" i="5"/>
  <c r="E746" i="5"/>
  <c r="I745" i="5"/>
  <c r="E745" i="5"/>
  <c r="I744" i="5"/>
  <c r="E744" i="5"/>
  <c r="I743" i="5"/>
  <c r="E743" i="5"/>
  <c r="I742" i="5"/>
  <c r="E742" i="5"/>
  <c r="I741" i="5"/>
  <c r="E741" i="5"/>
  <c r="I740" i="5"/>
  <c r="E740" i="5"/>
  <c r="I739" i="5"/>
  <c r="E739" i="5"/>
  <c r="I738" i="5"/>
  <c r="E738" i="5"/>
  <c r="I737" i="5"/>
  <c r="E737" i="5"/>
  <c r="I736" i="5"/>
  <c r="E736" i="5"/>
  <c r="I735" i="5"/>
  <c r="E735" i="5"/>
  <c r="I734" i="5"/>
  <c r="E734" i="5"/>
  <c r="I733" i="5"/>
  <c r="E733" i="5"/>
  <c r="I732" i="5"/>
  <c r="E732" i="5"/>
  <c r="I731" i="5"/>
  <c r="E731" i="5"/>
  <c r="I730" i="5"/>
  <c r="E730" i="5"/>
  <c r="I729" i="5"/>
  <c r="E729" i="5"/>
  <c r="I728" i="5"/>
  <c r="E728" i="5"/>
  <c r="I727" i="5"/>
  <c r="E727" i="5"/>
  <c r="I726" i="5"/>
  <c r="E726" i="5"/>
  <c r="I725" i="5"/>
  <c r="E725" i="5"/>
  <c r="I724" i="5"/>
  <c r="E724" i="5"/>
  <c r="I723" i="5"/>
  <c r="E723" i="5"/>
  <c r="I722" i="5"/>
  <c r="E722" i="5"/>
  <c r="I721" i="5"/>
  <c r="E721" i="5"/>
  <c r="I720" i="5"/>
  <c r="E720" i="5"/>
  <c r="I719" i="5"/>
  <c r="E719" i="5"/>
  <c r="I718" i="5"/>
  <c r="E718" i="5"/>
  <c r="I717" i="5"/>
  <c r="E717" i="5"/>
  <c r="I716" i="5"/>
  <c r="E716" i="5"/>
  <c r="I715" i="5"/>
  <c r="E715" i="5"/>
  <c r="I714" i="5"/>
  <c r="E714" i="5"/>
  <c r="I713" i="5"/>
  <c r="E713" i="5"/>
  <c r="I712" i="5"/>
  <c r="E712" i="5"/>
  <c r="I711" i="5"/>
  <c r="E711" i="5"/>
  <c r="I710" i="5"/>
  <c r="E710" i="5"/>
  <c r="I709" i="5"/>
  <c r="E709" i="5"/>
  <c r="I708" i="5"/>
  <c r="E708" i="5"/>
  <c r="I707" i="5"/>
  <c r="E707" i="5"/>
  <c r="I706" i="5"/>
  <c r="E706" i="5"/>
  <c r="I705" i="5"/>
  <c r="E705" i="5"/>
  <c r="I704" i="5"/>
  <c r="E704" i="5"/>
  <c r="I703" i="5"/>
  <c r="E703" i="5"/>
  <c r="I702" i="5"/>
  <c r="E702" i="5"/>
  <c r="I701" i="5"/>
  <c r="E701" i="5"/>
  <c r="I700" i="5"/>
  <c r="E700" i="5"/>
  <c r="I699" i="5"/>
  <c r="E699" i="5"/>
  <c r="I698" i="5"/>
  <c r="E698" i="5"/>
  <c r="I697" i="5"/>
  <c r="E697" i="5"/>
  <c r="I696" i="5"/>
  <c r="E696" i="5"/>
  <c r="I695" i="5"/>
  <c r="E695" i="5"/>
  <c r="I694" i="5"/>
  <c r="E694" i="5"/>
  <c r="I693" i="5"/>
  <c r="E693" i="5"/>
  <c r="I692" i="5"/>
  <c r="E692" i="5"/>
  <c r="I691" i="5"/>
  <c r="E691" i="5"/>
  <c r="I690" i="5"/>
  <c r="E690" i="5"/>
  <c r="I689" i="5"/>
  <c r="E689" i="5"/>
  <c r="I688" i="5"/>
  <c r="E688" i="5"/>
  <c r="I687" i="5"/>
  <c r="E687" i="5"/>
  <c r="I686" i="5"/>
  <c r="E686" i="5"/>
  <c r="I685" i="5"/>
  <c r="E685" i="5"/>
  <c r="I684" i="5"/>
  <c r="E684" i="5"/>
  <c r="I683" i="5"/>
  <c r="E683" i="5"/>
  <c r="I682" i="5"/>
  <c r="E682" i="5"/>
  <c r="I681" i="5"/>
  <c r="E681" i="5"/>
  <c r="I680" i="5"/>
  <c r="E680" i="5"/>
  <c r="I679" i="5"/>
  <c r="E679" i="5"/>
  <c r="I678" i="5"/>
  <c r="E678" i="5"/>
  <c r="I677" i="5"/>
  <c r="E677" i="5"/>
  <c r="I676" i="5"/>
  <c r="E676" i="5"/>
  <c r="I675" i="5"/>
  <c r="E675" i="5"/>
  <c r="I674" i="5"/>
  <c r="E674" i="5"/>
  <c r="I673" i="5"/>
  <c r="E673" i="5"/>
  <c r="I672" i="5"/>
  <c r="E672" i="5"/>
  <c r="I671" i="5"/>
  <c r="E671" i="5"/>
  <c r="I670" i="5"/>
  <c r="E670" i="5"/>
  <c r="I669" i="5"/>
  <c r="E669" i="5"/>
  <c r="I668" i="5"/>
  <c r="E668" i="5"/>
  <c r="I667" i="5"/>
  <c r="E667" i="5"/>
  <c r="I666" i="5"/>
  <c r="E666" i="5"/>
  <c r="I665" i="5"/>
  <c r="E665" i="5"/>
  <c r="I664" i="5"/>
  <c r="E664" i="5"/>
  <c r="I663" i="5"/>
  <c r="E663" i="5"/>
  <c r="I662" i="5"/>
  <c r="E662" i="5"/>
  <c r="I661" i="5"/>
  <c r="E661" i="5"/>
  <c r="I660" i="5"/>
  <c r="E660" i="5"/>
  <c r="I659" i="5"/>
  <c r="E659" i="5"/>
  <c r="I658" i="5"/>
  <c r="E658" i="5"/>
  <c r="I657" i="5"/>
  <c r="E657" i="5"/>
  <c r="I656" i="5"/>
  <c r="E656" i="5"/>
  <c r="I655" i="5"/>
  <c r="E655" i="5"/>
  <c r="I654" i="5"/>
  <c r="E654" i="5"/>
  <c r="I653" i="5"/>
  <c r="E653" i="5"/>
  <c r="I652" i="5"/>
  <c r="E652" i="5"/>
  <c r="I651" i="5"/>
  <c r="E651" i="5"/>
  <c r="I650" i="5"/>
  <c r="E650" i="5"/>
  <c r="I649" i="5"/>
  <c r="E649" i="5"/>
  <c r="I648" i="5"/>
  <c r="E648" i="5"/>
  <c r="I647" i="5"/>
  <c r="E647" i="5"/>
  <c r="I646" i="5"/>
  <c r="E646" i="5"/>
  <c r="I645" i="5"/>
  <c r="E645" i="5"/>
  <c r="I644" i="5"/>
  <c r="E644" i="5"/>
  <c r="I643" i="5"/>
  <c r="E643" i="5"/>
  <c r="I642" i="5"/>
  <c r="E642" i="5"/>
  <c r="I641" i="5"/>
  <c r="E641" i="5"/>
  <c r="I640" i="5"/>
  <c r="E640" i="5"/>
  <c r="I639" i="5"/>
  <c r="E639" i="5"/>
  <c r="I638" i="5"/>
  <c r="E638" i="5"/>
  <c r="I637" i="5"/>
  <c r="E637" i="5"/>
  <c r="I636" i="5"/>
  <c r="E636" i="5"/>
  <c r="I635" i="5"/>
  <c r="E635" i="5"/>
  <c r="I634" i="5"/>
  <c r="E634" i="5"/>
  <c r="I633" i="5"/>
  <c r="E633" i="5"/>
  <c r="I632" i="5"/>
  <c r="E632" i="5"/>
  <c r="I631" i="5"/>
  <c r="E631" i="5"/>
  <c r="I630" i="5"/>
  <c r="E630" i="5"/>
  <c r="I629" i="5"/>
  <c r="E629" i="5"/>
  <c r="I628" i="5"/>
  <c r="E628" i="5"/>
  <c r="I627" i="5"/>
  <c r="E627" i="5"/>
  <c r="I626" i="5"/>
  <c r="E626" i="5"/>
  <c r="I625" i="5"/>
  <c r="E625" i="5"/>
  <c r="I624" i="5"/>
  <c r="E624" i="5"/>
  <c r="I623" i="5"/>
  <c r="E623" i="5"/>
  <c r="I622" i="5"/>
  <c r="E622" i="5"/>
  <c r="I621" i="5"/>
  <c r="E621" i="5"/>
  <c r="I620" i="5"/>
  <c r="E620" i="5"/>
  <c r="I619" i="5"/>
  <c r="E619" i="5"/>
  <c r="I618" i="5"/>
  <c r="E618" i="5"/>
  <c r="I617" i="5"/>
  <c r="E617" i="5"/>
  <c r="I616" i="5"/>
  <c r="E616" i="5"/>
  <c r="I615" i="5"/>
  <c r="E615" i="5"/>
  <c r="I614" i="5"/>
  <c r="E614" i="5"/>
  <c r="I613" i="5"/>
  <c r="E613" i="5"/>
  <c r="I612" i="5"/>
  <c r="E612" i="5"/>
  <c r="I611" i="5"/>
  <c r="E611" i="5"/>
  <c r="I610" i="5"/>
  <c r="E610" i="5"/>
  <c r="I609" i="5"/>
  <c r="E609" i="5"/>
  <c r="I608" i="5"/>
  <c r="E608" i="5"/>
  <c r="I607" i="5"/>
  <c r="E607" i="5"/>
  <c r="I606" i="5"/>
  <c r="E606" i="5"/>
  <c r="I605" i="5"/>
  <c r="E605" i="5"/>
  <c r="I604" i="5"/>
  <c r="E604" i="5"/>
  <c r="I603" i="5"/>
  <c r="E603" i="5"/>
  <c r="I602" i="5"/>
  <c r="E602" i="5"/>
  <c r="I601" i="5"/>
  <c r="E601" i="5"/>
  <c r="I600" i="5"/>
  <c r="E600" i="5"/>
  <c r="I599" i="5"/>
  <c r="E599" i="5"/>
  <c r="I598" i="5"/>
  <c r="E598" i="5"/>
  <c r="I597" i="5"/>
  <c r="E597" i="5"/>
  <c r="I596" i="5"/>
  <c r="E596" i="5"/>
  <c r="I595" i="5"/>
  <c r="E595" i="5"/>
  <c r="I594" i="5"/>
  <c r="E594" i="5"/>
  <c r="I593" i="5"/>
  <c r="E593" i="5"/>
  <c r="I592" i="5"/>
  <c r="E592" i="5"/>
  <c r="I591" i="5"/>
  <c r="E591" i="5"/>
  <c r="I590" i="5"/>
  <c r="E590" i="5"/>
  <c r="I589" i="5"/>
  <c r="E589" i="5"/>
  <c r="I588" i="5"/>
  <c r="E588" i="5"/>
  <c r="I587" i="5"/>
  <c r="E587" i="5"/>
  <c r="I586" i="5"/>
  <c r="E586" i="5"/>
  <c r="I585" i="5"/>
  <c r="E585" i="5"/>
  <c r="I584" i="5"/>
  <c r="E584" i="5"/>
  <c r="I583" i="5"/>
  <c r="E583" i="5"/>
  <c r="I582" i="5"/>
  <c r="E582" i="5"/>
  <c r="I581" i="5"/>
  <c r="E581" i="5"/>
  <c r="I580" i="5"/>
  <c r="E580" i="5"/>
  <c r="I579" i="5"/>
  <c r="E579" i="5"/>
  <c r="I578" i="5"/>
  <c r="E578" i="5"/>
  <c r="I577" i="5"/>
  <c r="E577" i="5"/>
  <c r="I576" i="5"/>
  <c r="E576" i="5"/>
  <c r="I575" i="5"/>
  <c r="E575" i="5"/>
  <c r="I574" i="5"/>
  <c r="E574" i="5"/>
  <c r="I573" i="5"/>
  <c r="E573" i="5"/>
  <c r="I572" i="5"/>
  <c r="E572" i="5"/>
  <c r="I571" i="5"/>
  <c r="E571" i="5"/>
  <c r="I570" i="5"/>
  <c r="E570" i="5"/>
  <c r="I569" i="5"/>
  <c r="E569" i="5"/>
  <c r="I568" i="5"/>
  <c r="E568" i="5"/>
  <c r="I567" i="5"/>
  <c r="E567" i="5"/>
  <c r="I566" i="5"/>
  <c r="E566" i="5"/>
  <c r="I565" i="5"/>
  <c r="E565" i="5"/>
  <c r="I564" i="5"/>
  <c r="E564" i="5"/>
  <c r="I563" i="5"/>
  <c r="E563" i="5"/>
  <c r="I562" i="5"/>
  <c r="E562" i="5"/>
  <c r="I561" i="5"/>
  <c r="E561" i="5"/>
  <c r="I560" i="5"/>
  <c r="E560" i="5"/>
  <c r="I559" i="5"/>
  <c r="E559" i="5"/>
  <c r="I558" i="5"/>
  <c r="E558" i="5"/>
  <c r="I557" i="5"/>
  <c r="E557" i="5"/>
  <c r="I556" i="5"/>
  <c r="E556" i="5"/>
  <c r="I555" i="5"/>
  <c r="E555" i="5"/>
  <c r="I554" i="5"/>
  <c r="E554" i="5"/>
  <c r="I553" i="5"/>
  <c r="E553" i="5"/>
  <c r="I552" i="5"/>
  <c r="E552" i="5"/>
  <c r="I551" i="5"/>
  <c r="E551" i="5"/>
  <c r="I550" i="5"/>
  <c r="E550" i="5"/>
  <c r="I549" i="5"/>
  <c r="E549" i="5"/>
  <c r="I548" i="5"/>
  <c r="E548" i="5"/>
  <c r="I547" i="5"/>
  <c r="E547" i="5"/>
  <c r="I546" i="5"/>
  <c r="E546" i="5"/>
  <c r="I545" i="5"/>
  <c r="E545" i="5"/>
  <c r="I544" i="5"/>
  <c r="E544" i="5"/>
  <c r="I543" i="5"/>
  <c r="E543" i="5"/>
  <c r="I542" i="5"/>
  <c r="E542" i="5"/>
  <c r="I541" i="5"/>
  <c r="E541" i="5"/>
  <c r="I540" i="5"/>
  <c r="E540" i="5"/>
  <c r="I539" i="5"/>
  <c r="E539" i="5"/>
  <c r="I538" i="5"/>
  <c r="E538" i="5"/>
  <c r="I537" i="5"/>
  <c r="E537" i="5"/>
  <c r="I536" i="5"/>
  <c r="E536" i="5"/>
  <c r="I535" i="5"/>
  <c r="E535" i="5"/>
  <c r="I534" i="5"/>
  <c r="E534" i="5"/>
  <c r="I533" i="5"/>
  <c r="E533" i="5"/>
  <c r="I532" i="5"/>
  <c r="E532" i="5"/>
  <c r="I531" i="5"/>
  <c r="E531" i="5"/>
  <c r="I530" i="5"/>
  <c r="E530" i="5"/>
  <c r="I529" i="5"/>
  <c r="E529" i="5"/>
  <c r="I528" i="5"/>
  <c r="E528" i="5"/>
  <c r="I527" i="5"/>
  <c r="E527" i="5"/>
  <c r="I526" i="5"/>
  <c r="E526" i="5"/>
  <c r="I525" i="5"/>
  <c r="E525" i="5"/>
  <c r="I524" i="5"/>
  <c r="E524" i="5"/>
  <c r="I523" i="5"/>
  <c r="E523" i="5"/>
  <c r="I522" i="5"/>
  <c r="E522" i="5"/>
  <c r="I521" i="5"/>
  <c r="E521" i="5"/>
  <c r="I520" i="5"/>
  <c r="E520" i="5"/>
  <c r="I519" i="5"/>
  <c r="E519" i="5"/>
  <c r="I518" i="5"/>
  <c r="E518" i="5"/>
  <c r="I517" i="5"/>
  <c r="E517" i="5"/>
  <c r="I516" i="5"/>
  <c r="E516" i="5"/>
  <c r="I515" i="5"/>
  <c r="E515" i="5"/>
  <c r="I514" i="5"/>
  <c r="E514" i="5"/>
  <c r="I513" i="5"/>
  <c r="E513" i="5"/>
  <c r="I512" i="5"/>
  <c r="E512" i="5"/>
  <c r="I511" i="5"/>
  <c r="E511" i="5"/>
  <c r="I510" i="5"/>
  <c r="E510" i="5"/>
  <c r="I509" i="5"/>
  <c r="E509" i="5"/>
  <c r="I508" i="5"/>
  <c r="E508" i="5"/>
  <c r="I507" i="5"/>
  <c r="E507" i="5"/>
  <c r="I506" i="5"/>
  <c r="E506" i="5"/>
  <c r="I505" i="5"/>
  <c r="E505" i="5"/>
  <c r="I504" i="5"/>
  <c r="E504" i="5"/>
  <c r="I503" i="5"/>
  <c r="E503" i="5"/>
  <c r="I502" i="5"/>
  <c r="E502" i="5"/>
  <c r="I501" i="5"/>
  <c r="E501" i="5"/>
  <c r="I500" i="5"/>
  <c r="E500" i="5"/>
  <c r="I499" i="5"/>
  <c r="E499" i="5"/>
  <c r="I498" i="5"/>
  <c r="E498" i="5"/>
  <c r="I497" i="5"/>
  <c r="E497" i="5"/>
  <c r="I496" i="5"/>
  <c r="E496" i="5"/>
  <c r="I495" i="5"/>
  <c r="E495" i="5"/>
  <c r="I494" i="5"/>
  <c r="E494" i="5"/>
  <c r="I493" i="5"/>
  <c r="E493" i="5"/>
  <c r="I492" i="5"/>
  <c r="E492" i="5"/>
  <c r="I491" i="5"/>
  <c r="E491" i="5"/>
  <c r="I490" i="5"/>
  <c r="E490" i="5"/>
  <c r="I489" i="5"/>
  <c r="E489" i="5"/>
  <c r="I488" i="5"/>
  <c r="E488" i="5"/>
  <c r="I487" i="5"/>
  <c r="E487" i="5"/>
  <c r="I486" i="5"/>
  <c r="E486" i="5"/>
  <c r="I485" i="5"/>
  <c r="E485" i="5"/>
  <c r="I484" i="5"/>
  <c r="E484" i="5"/>
  <c r="I483" i="5"/>
  <c r="E483" i="5"/>
  <c r="I482" i="5"/>
  <c r="E482" i="5"/>
  <c r="I481" i="5"/>
  <c r="E481" i="5"/>
  <c r="I480" i="5"/>
  <c r="E480" i="5"/>
  <c r="I479" i="5"/>
  <c r="E479" i="5"/>
  <c r="I478" i="5"/>
  <c r="E478" i="5"/>
  <c r="I477" i="5"/>
  <c r="E477" i="5"/>
  <c r="I476" i="5"/>
  <c r="E476" i="5"/>
  <c r="I475" i="5"/>
  <c r="E475" i="5"/>
  <c r="I474" i="5"/>
  <c r="E474" i="5"/>
  <c r="I473" i="5"/>
  <c r="E473" i="5"/>
  <c r="I472" i="5"/>
  <c r="E472" i="5"/>
  <c r="I471" i="5"/>
  <c r="E471" i="5"/>
  <c r="I470" i="5"/>
  <c r="E470" i="5"/>
  <c r="I469" i="5"/>
  <c r="E469" i="5"/>
  <c r="I468" i="5"/>
  <c r="E468" i="5"/>
  <c r="I467" i="5"/>
  <c r="E467" i="5"/>
  <c r="I466" i="5"/>
  <c r="E466" i="5"/>
  <c r="I465" i="5"/>
  <c r="E465" i="5"/>
  <c r="I464" i="5"/>
  <c r="E464" i="5"/>
  <c r="I463" i="5"/>
  <c r="E463" i="5"/>
  <c r="I462" i="5"/>
  <c r="E462" i="5"/>
  <c r="I461" i="5"/>
  <c r="E461" i="5"/>
  <c r="I460" i="5"/>
  <c r="E460" i="5"/>
  <c r="I459" i="5"/>
  <c r="E459" i="5"/>
  <c r="I458" i="5"/>
  <c r="E458" i="5"/>
  <c r="I457" i="5"/>
  <c r="E457" i="5"/>
  <c r="I456" i="5"/>
  <c r="E456" i="5"/>
  <c r="I455" i="5"/>
  <c r="E455" i="5"/>
  <c r="I454" i="5"/>
  <c r="E454" i="5"/>
  <c r="I453" i="5"/>
  <c r="E453" i="5"/>
  <c r="I452" i="5"/>
  <c r="E452" i="5"/>
  <c r="I451" i="5"/>
  <c r="E451" i="5"/>
  <c r="I450" i="5"/>
  <c r="E450" i="5"/>
  <c r="I449" i="5"/>
  <c r="E449" i="5"/>
  <c r="I448" i="5"/>
  <c r="E448" i="5"/>
  <c r="I447" i="5"/>
  <c r="E447" i="5"/>
  <c r="I446" i="5"/>
  <c r="E446" i="5"/>
  <c r="I445" i="5"/>
  <c r="E445" i="5"/>
  <c r="I444" i="5"/>
  <c r="E444" i="5"/>
  <c r="I443" i="5"/>
  <c r="E443" i="5"/>
  <c r="I442" i="5"/>
  <c r="E442" i="5"/>
  <c r="I441" i="5"/>
  <c r="E441" i="5"/>
  <c r="I440" i="5"/>
  <c r="E440" i="5"/>
  <c r="I439" i="5"/>
  <c r="E439" i="5"/>
  <c r="I438" i="5"/>
  <c r="E438" i="5"/>
  <c r="I437" i="5"/>
  <c r="E437" i="5"/>
  <c r="I436" i="5"/>
  <c r="E436" i="5"/>
  <c r="I435" i="5"/>
  <c r="E435" i="5"/>
  <c r="I434" i="5"/>
  <c r="E434" i="5"/>
  <c r="I433" i="5"/>
  <c r="E433" i="5"/>
  <c r="I432" i="5"/>
  <c r="E432" i="5"/>
  <c r="I431" i="5"/>
  <c r="E431" i="5"/>
  <c r="I430" i="5"/>
  <c r="E430" i="5"/>
  <c r="I429" i="5"/>
  <c r="E429" i="5"/>
  <c r="I428" i="5"/>
  <c r="E428" i="5"/>
  <c r="I427" i="5"/>
  <c r="E427" i="5"/>
  <c r="I426" i="5"/>
  <c r="E426" i="5"/>
  <c r="I425" i="5"/>
  <c r="E425" i="5"/>
  <c r="I424" i="5"/>
  <c r="E424" i="5"/>
  <c r="I423" i="5"/>
  <c r="E423" i="5"/>
  <c r="I422" i="5"/>
  <c r="E422" i="5"/>
  <c r="I421" i="5"/>
  <c r="E421" i="5"/>
  <c r="I420" i="5"/>
  <c r="E420" i="5"/>
  <c r="I419" i="5"/>
  <c r="E419" i="5"/>
  <c r="I418" i="5"/>
  <c r="E418" i="5"/>
  <c r="I417" i="5"/>
  <c r="E417" i="5"/>
  <c r="I416" i="5"/>
  <c r="E416" i="5"/>
  <c r="I415" i="5"/>
  <c r="E415" i="5"/>
  <c r="I414" i="5"/>
  <c r="E414" i="5"/>
  <c r="I413" i="5"/>
  <c r="E413" i="5"/>
  <c r="I412" i="5"/>
  <c r="E412" i="5"/>
  <c r="I411" i="5"/>
  <c r="E411" i="5"/>
  <c r="I410" i="5"/>
  <c r="E410" i="5"/>
  <c r="I409" i="5"/>
  <c r="E409" i="5"/>
  <c r="I408" i="5"/>
  <c r="E408" i="5"/>
  <c r="I407" i="5"/>
  <c r="E407" i="5"/>
  <c r="I406" i="5"/>
  <c r="E406" i="5"/>
  <c r="I405" i="5"/>
  <c r="E405" i="5"/>
  <c r="I404" i="5"/>
  <c r="E404" i="5"/>
  <c r="I403" i="5"/>
  <c r="E403" i="5"/>
  <c r="I402" i="5"/>
  <c r="E402" i="5"/>
  <c r="I401" i="5"/>
  <c r="E401" i="5"/>
  <c r="I400" i="5"/>
  <c r="E400" i="5"/>
  <c r="I399" i="5"/>
  <c r="E399" i="5"/>
  <c r="I398" i="5"/>
  <c r="E398" i="5"/>
  <c r="I397" i="5"/>
  <c r="E397" i="5"/>
  <c r="I396" i="5"/>
  <c r="E396" i="5"/>
  <c r="I395" i="5"/>
  <c r="E395" i="5"/>
  <c r="I394" i="5"/>
  <c r="E394" i="5"/>
  <c r="I393" i="5"/>
  <c r="E393" i="5"/>
  <c r="I392" i="5"/>
  <c r="E392" i="5"/>
  <c r="I391" i="5"/>
  <c r="E391" i="5"/>
  <c r="I390" i="5"/>
  <c r="E390" i="5"/>
  <c r="I389" i="5"/>
  <c r="E389" i="5"/>
  <c r="I388" i="5"/>
  <c r="E388" i="5"/>
  <c r="I387" i="5"/>
  <c r="E387" i="5"/>
  <c r="I386" i="5"/>
  <c r="E386" i="5"/>
  <c r="I385" i="5"/>
  <c r="E385" i="5"/>
  <c r="I384" i="5"/>
  <c r="E384" i="5"/>
  <c r="I383" i="5"/>
  <c r="E383" i="5"/>
  <c r="I382" i="5"/>
  <c r="E382" i="5"/>
  <c r="I381" i="5"/>
  <c r="E381" i="5"/>
  <c r="I380" i="5"/>
  <c r="E380" i="5"/>
  <c r="I379" i="5"/>
  <c r="E379" i="5"/>
  <c r="I378" i="5"/>
  <c r="E378" i="5"/>
  <c r="I377" i="5"/>
  <c r="E377" i="5"/>
  <c r="I376" i="5"/>
  <c r="E376" i="5"/>
  <c r="I375" i="5"/>
  <c r="E375" i="5"/>
  <c r="I374" i="5"/>
  <c r="E374" i="5"/>
  <c r="I373" i="5"/>
  <c r="E373" i="5"/>
  <c r="I372" i="5"/>
  <c r="E372" i="5"/>
  <c r="I371" i="5"/>
  <c r="E371" i="5"/>
  <c r="I370" i="5"/>
  <c r="E370" i="5"/>
  <c r="I369" i="5"/>
  <c r="E369" i="5"/>
  <c r="I368" i="5"/>
  <c r="E368" i="5"/>
  <c r="I367" i="5"/>
  <c r="E367" i="5"/>
  <c r="I366" i="5"/>
  <c r="E366" i="5"/>
  <c r="I365" i="5"/>
  <c r="E365" i="5"/>
  <c r="I364" i="5"/>
  <c r="E364" i="5"/>
  <c r="I363" i="5"/>
  <c r="E363" i="5"/>
  <c r="I362" i="5"/>
  <c r="E362" i="5"/>
  <c r="I361" i="5"/>
  <c r="E361" i="5"/>
  <c r="I360" i="5"/>
  <c r="E360" i="5"/>
  <c r="I359" i="5"/>
  <c r="E359" i="5"/>
  <c r="I358" i="5"/>
  <c r="E358" i="5"/>
  <c r="I357" i="5"/>
  <c r="E357" i="5"/>
  <c r="I356" i="5"/>
  <c r="E356" i="5"/>
  <c r="I355" i="5"/>
  <c r="E355" i="5"/>
  <c r="I354" i="5"/>
  <c r="E354" i="5"/>
  <c r="I353" i="5"/>
  <c r="E353" i="5"/>
  <c r="I352" i="5"/>
  <c r="E352" i="5"/>
  <c r="I351" i="5"/>
  <c r="E351" i="5"/>
  <c r="I350" i="5"/>
  <c r="E350" i="5"/>
  <c r="I349" i="5"/>
  <c r="E349" i="5"/>
  <c r="I348" i="5"/>
  <c r="E348" i="5"/>
  <c r="I347" i="5"/>
  <c r="E347" i="5"/>
  <c r="I346" i="5"/>
  <c r="E346" i="5"/>
  <c r="I345" i="5"/>
  <c r="E345" i="5"/>
  <c r="I344" i="5"/>
  <c r="E344" i="5"/>
  <c r="I343" i="5"/>
  <c r="E343" i="5"/>
  <c r="I342" i="5"/>
  <c r="E342" i="5"/>
  <c r="I341" i="5"/>
  <c r="E341" i="5"/>
  <c r="I340" i="5"/>
  <c r="E340" i="5"/>
  <c r="I339" i="5"/>
  <c r="E339" i="5"/>
  <c r="I338" i="5"/>
  <c r="E338" i="5"/>
  <c r="I337" i="5"/>
  <c r="E337" i="5"/>
  <c r="I336" i="5"/>
  <c r="E336" i="5"/>
  <c r="I335" i="5"/>
  <c r="E335" i="5"/>
  <c r="I334" i="5"/>
  <c r="E334" i="5"/>
  <c r="I333" i="5"/>
  <c r="E333" i="5"/>
  <c r="I332" i="5"/>
  <c r="E332" i="5"/>
  <c r="I331" i="5"/>
  <c r="E331" i="5"/>
  <c r="I330" i="5"/>
  <c r="E330" i="5"/>
  <c r="I329" i="5"/>
  <c r="E329" i="5"/>
  <c r="I328" i="5"/>
  <c r="E328" i="5"/>
  <c r="I327" i="5"/>
  <c r="E327" i="5"/>
  <c r="I326" i="5"/>
  <c r="E326" i="5"/>
  <c r="I325" i="5"/>
  <c r="E325" i="5"/>
  <c r="I324" i="5"/>
  <c r="E324" i="5"/>
  <c r="I323" i="5"/>
  <c r="E323" i="5"/>
  <c r="I322" i="5"/>
  <c r="E322" i="5"/>
  <c r="I321" i="5"/>
  <c r="E321" i="5"/>
  <c r="I320" i="5"/>
  <c r="E320" i="5"/>
  <c r="I319" i="5"/>
  <c r="E319" i="5"/>
  <c r="I318" i="5"/>
  <c r="E318" i="5"/>
  <c r="I317" i="5"/>
  <c r="E317" i="5"/>
  <c r="I316" i="5"/>
  <c r="E316" i="5"/>
  <c r="I315" i="5"/>
  <c r="E315" i="5"/>
  <c r="I314" i="5"/>
  <c r="E314" i="5"/>
  <c r="I313" i="5"/>
  <c r="E313" i="5"/>
  <c r="I312" i="5"/>
  <c r="E312" i="5"/>
  <c r="I311" i="5"/>
  <c r="E311" i="5"/>
  <c r="I310" i="5"/>
  <c r="E310" i="5"/>
  <c r="I309" i="5"/>
  <c r="E309" i="5"/>
  <c r="I308" i="5"/>
  <c r="E308" i="5"/>
  <c r="I307" i="5"/>
  <c r="E307" i="5"/>
  <c r="I306" i="5"/>
  <c r="E306" i="5"/>
  <c r="I305" i="5"/>
  <c r="E305" i="5"/>
  <c r="I304" i="5"/>
  <c r="E304" i="5"/>
  <c r="I303" i="5"/>
  <c r="E303" i="5"/>
  <c r="I302" i="5"/>
  <c r="E302" i="5"/>
  <c r="I301" i="5"/>
  <c r="E301" i="5"/>
  <c r="I300" i="5"/>
  <c r="E300" i="5"/>
  <c r="I299" i="5"/>
  <c r="E299" i="5"/>
  <c r="I298" i="5"/>
  <c r="E298" i="5"/>
  <c r="I297" i="5"/>
  <c r="E297" i="5"/>
  <c r="I296" i="5"/>
  <c r="E296" i="5"/>
  <c r="I295" i="5"/>
  <c r="E295" i="5"/>
  <c r="I294" i="5"/>
  <c r="E294" i="5"/>
  <c r="I293" i="5"/>
  <c r="E293" i="5"/>
  <c r="I292" i="5"/>
  <c r="E292" i="5"/>
  <c r="I291" i="5"/>
  <c r="E291" i="5"/>
  <c r="I290" i="5"/>
  <c r="E290" i="5"/>
  <c r="I289" i="5"/>
  <c r="E289" i="5"/>
  <c r="I288" i="5"/>
  <c r="E288" i="5"/>
  <c r="I287" i="5"/>
  <c r="E287" i="5"/>
  <c r="I286" i="5"/>
  <c r="E286" i="5"/>
  <c r="I285" i="5"/>
  <c r="E285" i="5"/>
  <c r="I284" i="5"/>
  <c r="E284" i="5"/>
  <c r="I283" i="5"/>
  <c r="E283" i="5"/>
  <c r="I282" i="5"/>
  <c r="E282" i="5"/>
  <c r="I281" i="5"/>
  <c r="E281" i="5"/>
  <c r="I280" i="5"/>
  <c r="E280" i="5"/>
  <c r="I279" i="5"/>
  <c r="E279" i="5"/>
  <c r="I278" i="5"/>
  <c r="E278" i="5"/>
  <c r="I277" i="5"/>
  <c r="E277" i="5"/>
  <c r="I276" i="5"/>
  <c r="E276" i="5"/>
  <c r="I275" i="5"/>
  <c r="E275" i="5"/>
  <c r="I274" i="5"/>
  <c r="E274" i="5"/>
  <c r="I273" i="5"/>
  <c r="E273" i="5"/>
  <c r="I272" i="5"/>
  <c r="E272" i="5"/>
  <c r="I271" i="5"/>
  <c r="E271" i="5"/>
  <c r="I270" i="5"/>
  <c r="E270" i="5"/>
  <c r="I269" i="5"/>
  <c r="E269" i="5"/>
  <c r="I268" i="5"/>
  <c r="E268" i="5"/>
  <c r="I267" i="5"/>
  <c r="E267" i="5"/>
  <c r="I266" i="5"/>
  <c r="E266" i="5"/>
  <c r="I265" i="5"/>
  <c r="E265" i="5"/>
  <c r="I264" i="5"/>
  <c r="E264" i="5"/>
  <c r="I263" i="5"/>
  <c r="E263" i="5"/>
  <c r="I262" i="5"/>
  <c r="E262" i="5"/>
  <c r="I261" i="5"/>
  <c r="E261" i="5"/>
  <c r="I260" i="5"/>
  <c r="E260" i="5"/>
  <c r="I259" i="5"/>
  <c r="E259" i="5"/>
  <c r="I258" i="5"/>
  <c r="E258" i="5"/>
  <c r="I257" i="5"/>
  <c r="E257" i="5"/>
  <c r="I256" i="5"/>
  <c r="E256" i="5"/>
  <c r="I255" i="5"/>
  <c r="E255" i="5"/>
  <c r="I254" i="5"/>
  <c r="E254" i="5"/>
  <c r="I253" i="5"/>
  <c r="E253" i="5"/>
  <c r="I252" i="5"/>
  <c r="E252" i="5"/>
  <c r="I251" i="5"/>
  <c r="E251" i="5"/>
  <c r="I250" i="5"/>
  <c r="E250" i="5"/>
  <c r="I249" i="5"/>
  <c r="E249" i="5"/>
  <c r="I248" i="5"/>
  <c r="E248" i="5"/>
  <c r="I247" i="5"/>
  <c r="E247" i="5"/>
  <c r="I246" i="5"/>
  <c r="E246" i="5"/>
  <c r="I245" i="5"/>
  <c r="E245" i="5"/>
  <c r="I244" i="5"/>
  <c r="E244" i="5"/>
  <c r="I243" i="5"/>
  <c r="E243" i="5"/>
  <c r="I242" i="5"/>
  <c r="E242" i="5"/>
  <c r="I241" i="5"/>
  <c r="E241" i="5"/>
  <c r="I240" i="5"/>
  <c r="E240" i="5"/>
  <c r="I239" i="5"/>
  <c r="E239" i="5"/>
  <c r="I238" i="5"/>
  <c r="E238" i="5"/>
  <c r="I237" i="5"/>
  <c r="E237" i="5"/>
  <c r="I236" i="5"/>
  <c r="E236" i="5"/>
  <c r="I235" i="5"/>
  <c r="E235" i="5"/>
  <c r="I234" i="5"/>
  <c r="E234" i="5"/>
  <c r="I233" i="5"/>
  <c r="E233" i="5"/>
  <c r="I232" i="5"/>
  <c r="E232" i="5"/>
  <c r="I231" i="5"/>
  <c r="E231" i="5"/>
  <c r="I230" i="5"/>
  <c r="E230" i="5"/>
  <c r="I229" i="5"/>
  <c r="E229" i="5"/>
  <c r="I228" i="5"/>
  <c r="E228" i="5"/>
  <c r="I227" i="5"/>
  <c r="E227" i="5"/>
  <c r="I226" i="5"/>
  <c r="E226" i="5"/>
  <c r="I225" i="5"/>
  <c r="E225" i="5"/>
  <c r="I224" i="5"/>
  <c r="E224" i="5"/>
  <c r="I223" i="5"/>
  <c r="E223" i="5"/>
  <c r="I222" i="5"/>
  <c r="E222" i="5"/>
  <c r="I221" i="5"/>
  <c r="E221" i="5"/>
  <c r="I220" i="5"/>
  <c r="E220" i="5"/>
  <c r="I219" i="5"/>
  <c r="E219" i="5"/>
  <c r="I218" i="5"/>
  <c r="E218" i="5"/>
  <c r="I217" i="5"/>
  <c r="E217" i="5"/>
  <c r="I216" i="5"/>
  <c r="E216" i="5"/>
  <c r="I215" i="5"/>
  <c r="E215" i="5"/>
  <c r="I214" i="5"/>
  <c r="E214" i="5"/>
  <c r="I213" i="5"/>
  <c r="E213" i="5"/>
  <c r="I212" i="5"/>
  <c r="E212" i="5"/>
  <c r="I211" i="5"/>
  <c r="E211" i="5"/>
  <c r="I210" i="5"/>
  <c r="E210" i="5"/>
  <c r="I209" i="5"/>
  <c r="E209" i="5"/>
  <c r="I208" i="5"/>
  <c r="E208" i="5"/>
  <c r="I207" i="5"/>
  <c r="E207" i="5"/>
  <c r="I206" i="5"/>
  <c r="E206" i="5"/>
  <c r="I205" i="5"/>
  <c r="E205" i="5"/>
  <c r="I204" i="5"/>
  <c r="E204" i="5"/>
  <c r="I203" i="5"/>
  <c r="E203" i="5"/>
  <c r="I202" i="5"/>
  <c r="E202" i="5"/>
  <c r="I201" i="5"/>
  <c r="E201" i="5"/>
  <c r="I200" i="5"/>
  <c r="E200" i="5"/>
  <c r="I199" i="5"/>
  <c r="E199" i="5"/>
  <c r="I198" i="5"/>
  <c r="E198" i="5"/>
  <c r="I197" i="5"/>
  <c r="E197" i="5"/>
  <c r="I196" i="5"/>
  <c r="E196" i="5"/>
  <c r="I195" i="5"/>
  <c r="E195" i="5"/>
  <c r="I194" i="5"/>
  <c r="E194" i="5"/>
  <c r="I193" i="5"/>
  <c r="E193" i="5"/>
  <c r="I192" i="5"/>
  <c r="E192" i="5"/>
  <c r="I191" i="5"/>
  <c r="E191" i="5"/>
  <c r="I190" i="5"/>
  <c r="E190" i="5"/>
  <c r="I189" i="5"/>
  <c r="E189" i="5"/>
  <c r="I188" i="5"/>
  <c r="E188" i="5"/>
  <c r="I187" i="5"/>
  <c r="E187" i="5"/>
  <c r="I186" i="5"/>
  <c r="E186" i="5"/>
  <c r="I185" i="5"/>
  <c r="E185" i="5"/>
  <c r="I184" i="5"/>
  <c r="E184" i="5"/>
  <c r="I183" i="5"/>
  <c r="E183" i="5"/>
  <c r="I182" i="5"/>
  <c r="E182" i="5"/>
  <c r="I181" i="5"/>
  <c r="E181" i="5"/>
  <c r="I180" i="5"/>
  <c r="E180" i="5"/>
  <c r="I179" i="5"/>
  <c r="E179" i="5"/>
  <c r="I178" i="5"/>
  <c r="E178" i="5"/>
  <c r="I177" i="5"/>
  <c r="E177" i="5"/>
  <c r="I176" i="5"/>
  <c r="E176" i="5"/>
  <c r="I175" i="5"/>
  <c r="E175" i="5"/>
  <c r="I174" i="5"/>
  <c r="E174" i="5"/>
  <c r="I173" i="5"/>
  <c r="E173" i="5"/>
  <c r="I172" i="5"/>
  <c r="E172" i="5"/>
  <c r="I171" i="5"/>
  <c r="E171" i="5"/>
  <c r="I170" i="5"/>
  <c r="E170" i="5"/>
  <c r="I169" i="5"/>
  <c r="E169" i="5"/>
  <c r="I168" i="5"/>
  <c r="E168" i="5"/>
  <c r="I167" i="5"/>
  <c r="E167" i="5"/>
  <c r="I166" i="5"/>
  <c r="E166" i="5"/>
  <c r="I165" i="5"/>
  <c r="E165" i="5"/>
  <c r="I164" i="5"/>
  <c r="E164" i="5"/>
  <c r="I163" i="5"/>
  <c r="E163" i="5"/>
  <c r="I162" i="5"/>
  <c r="E162" i="5"/>
  <c r="I161" i="5"/>
  <c r="E161" i="5"/>
  <c r="I160" i="5"/>
  <c r="E160" i="5"/>
  <c r="I159" i="5"/>
  <c r="E159" i="5"/>
  <c r="I158" i="5"/>
  <c r="E158" i="5"/>
  <c r="I157" i="5"/>
  <c r="E157" i="5"/>
  <c r="I156" i="5"/>
  <c r="E156" i="5"/>
  <c r="I155" i="5"/>
  <c r="E155" i="5"/>
  <c r="I154" i="5"/>
  <c r="E154" i="5"/>
  <c r="I153" i="5"/>
  <c r="E153" i="5"/>
  <c r="I152" i="5"/>
  <c r="E152" i="5"/>
  <c r="I151" i="5"/>
  <c r="E151" i="5"/>
  <c r="I150" i="5"/>
  <c r="E150" i="5"/>
  <c r="I149" i="5"/>
  <c r="E149" i="5"/>
  <c r="I148" i="5"/>
  <c r="E148" i="5"/>
  <c r="I147" i="5"/>
  <c r="E147" i="5"/>
  <c r="I146" i="5"/>
  <c r="E146" i="5"/>
  <c r="I145" i="5"/>
  <c r="E145" i="5"/>
  <c r="I144" i="5"/>
  <c r="E144" i="5"/>
  <c r="I143" i="5"/>
  <c r="E143" i="5"/>
  <c r="I142" i="5"/>
  <c r="E142" i="5"/>
  <c r="I141" i="5"/>
  <c r="E141" i="5"/>
  <c r="I140" i="5"/>
  <c r="E140" i="5"/>
  <c r="I139" i="5"/>
  <c r="E139" i="5"/>
  <c r="I138" i="5"/>
  <c r="E138" i="5"/>
  <c r="I137" i="5"/>
  <c r="E137" i="5"/>
  <c r="I136" i="5"/>
  <c r="E136" i="5"/>
  <c r="I135" i="5"/>
  <c r="E135" i="5"/>
  <c r="I134" i="5"/>
  <c r="E134" i="5"/>
  <c r="I133" i="5"/>
  <c r="E133" i="5"/>
  <c r="I132" i="5"/>
  <c r="E132" i="5"/>
  <c r="I131" i="5"/>
  <c r="E131" i="5"/>
  <c r="I130" i="5"/>
  <c r="E130" i="5"/>
  <c r="I129" i="5"/>
  <c r="E129" i="5"/>
  <c r="I128" i="5"/>
  <c r="E128" i="5"/>
  <c r="I127" i="5"/>
  <c r="E127" i="5"/>
  <c r="I126" i="5"/>
  <c r="E126" i="5"/>
  <c r="I125" i="5"/>
  <c r="E125" i="5"/>
  <c r="I124" i="5"/>
  <c r="E124" i="5"/>
  <c r="I123" i="5"/>
  <c r="E123" i="5"/>
  <c r="I122" i="5"/>
  <c r="E122" i="5"/>
  <c r="I121" i="5"/>
  <c r="E121" i="5"/>
  <c r="I120" i="5"/>
  <c r="E120" i="5"/>
  <c r="I119" i="5"/>
  <c r="E119" i="5"/>
  <c r="I118" i="5"/>
  <c r="E118" i="5"/>
  <c r="I117" i="5"/>
  <c r="E117" i="5"/>
  <c r="I116" i="5"/>
  <c r="E116" i="5"/>
  <c r="I115" i="5"/>
  <c r="E115" i="5"/>
  <c r="I114" i="5"/>
  <c r="E114" i="5"/>
  <c r="I113" i="5"/>
  <c r="E113" i="5"/>
  <c r="I112" i="5"/>
  <c r="E112" i="5"/>
  <c r="I111" i="5"/>
  <c r="E111" i="5"/>
  <c r="I110" i="5"/>
  <c r="E110" i="5"/>
  <c r="I109" i="5"/>
  <c r="E109" i="5"/>
  <c r="I108" i="5"/>
  <c r="E108" i="5"/>
  <c r="I107" i="5"/>
  <c r="E107" i="5"/>
  <c r="I106" i="5"/>
  <c r="E106" i="5"/>
  <c r="I105" i="5"/>
  <c r="E105" i="5"/>
  <c r="I104" i="5"/>
  <c r="E104" i="5"/>
  <c r="I103" i="5"/>
  <c r="E103" i="5"/>
  <c r="I102" i="5"/>
  <c r="E102" i="5"/>
  <c r="I101" i="5"/>
  <c r="E101" i="5"/>
  <c r="I100" i="5"/>
  <c r="E100" i="5"/>
  <c r="I99" i="5"/>
  <c r="E99" i="5"/>
  <c r="I98" i="5"/>
  <c r="E98" i="5"/>
  <c r="I97" i="5"/>
  <c r="E97" i="5"/>
  <c r="I96" i="5"/>
  <c r="E96" i="5"/>
  <c r="I95" i="5"/>
  <c r="E95" i="5"/>
  <c r="I94" i="5"/>
  <c r="E94" i="5"/>
  <c r="I93" i="5"/>
  <c r="E93" i="5"/>
  <c r="I92" i="5"/>
  <c r="E92" i="5"/>
  <c r="I91" i="5"/>
  <c r="E91" i="5"/>
  <c r="I90" i="5"/>
  <c r="E90" i="5"/>
  <c r="I89" i="5"/>
  <c r="E89" i="5"/>
  <c r="I88" i="5"/>
  <c r="E88" i="5"/>
  <c r="I87" i="5"/>
  <c r="E87" i="5"/>
  <c r="I86" i="5"/>
  <c r="E86" i="5"/>
  <c r="I85" i="5"/>
  <c r="E85" i="5"/>
  <c r="I84" i="5"/>
  <c r="E84" i="5"/>
  <c r="I83" i="5"/>
  <c r="E83" i="5"/>
  <c r="I82" i="5"/>
  <c r="E82" i="5"/>
  <c r="I81" i="5"/>
  <c r="E81" i="5"/>
  <c r="I80" i="5"/>
  <c r="E80" i="5"/>
  <c r="I79" i="5"/>
  <c r="E79" i="5"/>
  <c r="I78" i="5"/>
  <c r="E78" i="5"/>
  <c r="I77" i="5"/>
  <c r="E77" i="5"/>
  <c r="I76" i="5"/>
  <c r="E76" i="5"/>
  <c r="I75" i="5"/>
  <c r="E75" i="5"/>
  <c r="I74" i="5"/>
  <c r="E74" i="5"/>
  <c r="I73" i="5"/>
  <c r="E73" i="5"/>
  <c r="I72" i="5"/>
  <c r="E72" i="5"/>
  <c r="I71" i="5"/>
  <c r="E71" i="5"/>
  <c r="I70" i="5"/>
  <c r="E70" i="5"/>
  <c r="I69" i="5"/>
  <c r="E69" i="5"/>
  <c r="I68" i="5"/>
  <c r="E68" i="5"/>
  <c r="I67" i="5"/>
  <c r="E67" i="5"/>
  <c r="I66" i="5"/>
  <c r="E66" i="5"/>
  <c r="I65" i="5"/>
  <c r="E65" i="5"/>
  <c r="I64" i="5"/>
  <c r="E64" i="5"/>
  <c r="I63" i="5"/>
  <c r="E63" i="5"/>
  <c r="I62" i="5"/>
  <c r="E62" i="5"/>
  <c r="I61" i="5"/>
  <c r="E61" i="5"/>
  <c r="I60" i="5"/>
  <c r="E60" i="5"/>
  <c r="I59" i="5"/>
  <c r="E59" i="5"/>
  <c r="I58" i="5"/>
  <c r="E58" i="5"/>
  <c r="I57" i="5"/>
  <c r="E57" i="5"/>
  <c r="I56" i="5"/>
  <c r="E56" i="5"/>
  <c r="I55" i="5"/>
  <c r="E55" i="5"/>
  <c r="I54" i="5"/>
  <c r="E54" i="5"/>
  <c r="I53" i="5"/>
  <c r="E53" i="5"/>
  <c r="I52" i="5"/>
  <c r="E52" i="5"/>
  <c r="I51" i="5"/>
  <c r="E51" i="5"/>
  <c r="I50" i="5"/>
  <c r="E50" i="5"/>
  <c r="I49" i="5"/>
  <c r="E49" i="5"/>
  <c r="I48" i="5"/>
  <c r="E48" i="5"/>
  <c r="I47" i="5"/>
  <c r="E47" i="5"/>
  <c r="I46" i="5"/>
  <c r="E46" i="5"/>
  <c r="I45" i="5"/>
  <c r="E45" i="5"/>
  <c r="I44" i="5"/>
  <c r="E44" i="5"/>
  <c r="I43" i="5"/>
  <c r="E43" i="5"/>
  <c r="I42" i="5"/>
  <c r="E42" i="5"/>
  <c r="I41" i="5"/>
  <c r="E41" i="5"/>
  <c r="I40" i="5"/>
  <c r="E40" i="5"/>
  <c r="I39" i="5"/>
  <c r="E39" i="5"/>
  <c r="I38" i="5"/>
  <c r="E38" i="5"/>
  <c r="I37" i="5"/>
  <c r="E37" i="5"/>
  <c r="I36" i="5"/>
  <c r="E36" i="5"/>
  <c r="I35" i="5"/>
  <c r="E35" i="5"/>
  <c r="I34" i="5"/>
  <c r="E34" i="5"/>
  <c r="I33" i="5"/>
  <c r="E33" i="5"/>
  <c r="I32" i="5"/>
  <c r="E32" i="5"/>
  <c r="I31" i="5"/>
  <c r="E31" i="5"/>
  <c r="I30" i="5"/>
  <c r="E30" i="5"/>
  <c r="I29" i="5"/>
  <c r="E29" i="5"/>
  <c r="I28" i="5"/>
  <c r="E28" i="5"/>
  <c r="I27" i="5"/>
  <c r="E27" i="5"/>
  <c r="I26" i="5"/>
  <c r="E26" i="5"/>
  <c r="I25" i="5"/>
  <c r="E25" i="5"/>
  <c r="I24" i="5"/>
  <c r="E24" i="5"/>
  <c r="I23" i="5"/>
  <c r="E23" i="5"/>
  <c r="I22" i="5"/>
  <c r="E22" i="5"/>
  <c r="I21" i="5"/>
  <c r="E21" i="5"/>
  <c r="I20" i="5"/>
  <c r="E20" i="5"/>
  <c r="I19" i="5"/>
  <c r="E19" i="5"/>
  <c r="I18" i="5"/>
  <c r="E18" i="5"/>
  <c r="I17" i="5"/>
  <c r="E17" i="5"/>
  <c r="I16" i="5"/>
  <c r="E16" i="5"/>
  <c r="I15" i="5"/>
  <c r="E15" i="5"/>
  <c r="I14" i="5"/>
  <c r="E14" i="5"/>
  <c r="I13" i="5"/>
  <c r="E13" i="5"/>
  <c r="I12" i="5"/>
  <c r="E12" i="5"/>
  <c r="I11" i="5"/>
  <c r="E11" i="5"/>
  <c r="I10" i="5"/>
  <c r="E10" i="5"/>
  <c r="I9" i="5"/>
  <c r="E9" i="5"/>
  <c r="I8" i="5"/>
  <c r="E8" i="5"/>
  <c r="I7" i="5"/>
  <c r="E7" i="5"/>
  <c r="I6" i="5"/>
  <c r="E6" i="5"/>
  <c r="I5" i="5"/>
  <c r="E5" i="5"/>
  <c r="I4" i="5"/>
  <c r="E4" i="5"/>
  <c r="I3" i="5"/>
  <c r="E3" i="5"/>
  <c r="I2" i="5"/>
  <c r="E2" i="5"/>
  <c r="F314" i="3"/>
  <c r="N595" i="10" s="1"/>
  <c r="O595" i="10" s="1"/>
  <c r="F313" i="3"/>
  <c r="N141" i="10" s="1"/>
  <c r="O141" i="10" s="1"/>
  <c r="F312" i="3"/>
  <c r="N12" i="10" s="1"/>
  <c r="O12" i="10" s="1"/>
  <c r="F311" i="3"/>
  <c r="N969" i="10" s="1"/>
  <c r="O969" i="10" s="1"/>
  <c r="F310" i="3"/>
  <c r="N854" i="10" s="1"/>
  <c r="O854" i="10" s="1"/>
  <c r="F309" i="3"/>
  <c r="N601" i="10" s="1"/>
  <c r="O601" i="10" s="1"/>
  <c r="F308" i="3"/>
  <c r="N378" i="10" s="1"/>
  <c r="O378" i="10" s="1"/>
  <c r="F307" i="3"/>
  <c r="N914" i="10" s="1"/>
  <c r="O914" i="10" s="1"/>
  <c r="F306" i="3"/>
  <c r="N739" i="10" s="1"/>
  <c r="O739" i="10" s="1"/>
  <c r="F305" i="3"/>
  <c r="N762" i="10" s="1"/>
  <c r="O762" i="10" s="1"/>
  <c r="F304" i="3"/>
  <c r="N833" i="10" s="1"/>
  <c r="O833" i="10" s="1"/>
  <c r="F303" i="3"/>
  <c r="N799" i="10" s="1"/>
  <c r="O799" i="10" s="1"/>
  <c r="F302" i="3"/>
  <c r="N271" i="10" s="1"/>
  <c r="O271" i="10" s="1"/>
  <c r="F301" i="3"/>
  <c r="N560" i="10" s="1"/>
  <c r="O560" i="10" s="1"/>
  <c r="F300" i="3"/>
  <c r="N934" i="10" s="1"/>
  <c r="O934" i="10" s="1"/>
  <c r="F299" i="3"/>
  <c r="N870" i="10" s="1"/>
  <c r="O870" i="10" s="1"/>
  <c r="F298" i="3"/>
  <c r="N1162" i="10" s="1"/>
  <c r="O1162" i="10" s="1"/>
  <c r="F297" i="3"/>
  <c r="N827" i="10" s="1"/>
  <c r="O827" i="10" s="1"/>
  <c r="F296" i="3"/>
  <c r="N464" i="10" s="1"/>
  <c r="O464" i="10" s="1"/>
  <c r="F295" i="3"/>
  <c r="N778" i="10" s="1"/>
  <c r="O778" i="10" s="1"/>
  <c r="F294" i="3"/>
  <c r="N614" i="10" s="1"/>
  <c r="O614" i="10" s="1"/>
  <c r="F293" i="3"/>
  <c r="N971" i="10" s="1"/>
  <c r="O971" i="10" s="1"/>
  <c r="F292" i="3"/>
  <c r="N1154" i="10" s="1"/>
  <c r="O1154" i="10" s="1"/>
  <c r="F291" i="3"/>
  <c r="N885" i="10" s="1"/>
  <c r="O885" i="10" s="1"/>
  <c r="F290" i="3"/>
  <c r="N541" i="10" s="1"/>
  <c r="O541" i="10" s="1"/>
  <c r="F289" i="3"/>
  <c r="N880" i="10" s="1"/>
  <c r="O880" i="10" s="1"/>
  <c r="F288" i="3"/>
  <c r="N1144" i="10" s="1"/>
  <c r="O1144" i="10" s="1"/>
  <c r="F287" i="3"/>
  <c r="N905" i="10" s="1"/>
  <c r="O905" i="10" s="1"/>
  <c r="F286" i="3"/>
  <c r="N886" i="10" s="1"/>
  <c r="O886" i="10" s="1"/>
  <c r="F285" i="3"/>
  <c r="N100" i="10" s="1"/>
  <c r="O100" i="10" s="1"/>
  <c r="F284" i="3"/>
  <c r="N1131" i="10" s="1"/>
  <c r="O1131" i="10" s="1"/>
  <c r="F283" i="3"/>
  <c r="N796" i="10" s="1"/>
  <c r="O796" i="10" s="1"/>
  <c r="F282" i="3"/>
  <c r="N473" i="10" s="1"/>
  <c r="O473" i="10" s="1"/>
  <c r="F281" i="3"/>
  <c r="N507" i="10" s="1"/>
  <c r="O507" i="10" s="1"/>
  <c r="F280" i="3"/>
  <c r="N714" i="10" s="1"/>
  <c r="O714" i="10" s="1"/>
  <c r="F279" i="3"/>
  <c r="N846" i="10" s="1"/>
  <c r="O846" i="10" s="1"/>
  <c r="F278" i="3"/>
  <c r="N1125" i="10" s="1"/>
  <c r="O1125" i="10" s="1"/>
  <c r="F277" i="3"/>
  <c r="N204" i="10" s="1"/>
  <c r="O204" i="10" s="1"/>
  <c r="F276" i="3"/>
  <c r="N843" i="10" s="1"/>
  <c r="O843" i="10" s="1"/>
  <c r="F275" i="3"/>
  <c r="N641" i="10" s="1"/>
  <c r="O641" i="10" s="1"/>
  <c r="F274" i="3"/>
  <c r="N989" i="10" s="1"/>
  <c r="O989" i="10" s="1"/>
  <c r="F273" i="3"/>
  <c r="N814" i="10" s="1"/>
  <c r="O814" i="10" s="1"/>
  <c r="F272" i="3"/>
  <c r="N501" i="10" s="1"/>
  <c r="O501" i="10" s="1"/>
  <c r="F271" i="3"/>
  <c r="N373" i="10" s="1"/>
  <c r="O373" i="10" s="1"/>
  <c r="F270" i="3"/>
  <c r="N410" i="10" s="1"/>
  <c r="O410" i="10" s="1"/>
  <c r="F269" i="3"/>
  <c r="N755" i="10" s="1"/>
  <c r="O755" i="10" s="1"/>
  <c r="F268" i="3"/>
  <c r="N162" i="10" s="1"/>
  <c r="O162" i="10" s="1"/>
  <c r="F267" i="3"/>
  <c r="N894" i="10" s="1"/>
  <c r="O894" i="10" s="1"/>
  <c r="F266" i="3"/>
  <c r="N954" i="10" s="1"/>
  <c r="O954" i="10" s="1"/>
  <c r="F265" i="3"/>
  <c r="N295" i="10" s="1"/>
  <c r="O295" i="10" s="1"/>
  <c r="F264" i="3"/>
  <c r="N798" i="10" s="1"/>
  <c r="O798" i="10" s="1"/>
  <c r="F263" i="3"/>
  <c r="N974" i="10" s="1"/>
  <c r="O974" i="10" s="1"/>
  <c r="F262" i="3"/>
  <c r="N580" i="10" s="1"/>
  <c r="O580" i="10" s="1"/>
  <c r="F261" i="3"/>
  <c r="N911" i="10" s="1"/>
  <c r="O911" i="10" s="1"/>
  <c r="F260" i="3"/>
  <c r="N631" i="10" s="1"/>
  <c r="O631" i="10" s="1"/>
  <c r="F259" i="3"/>
  <c r="N201" i="10" s="1"/>
  <c r="O201" i="10" s="1"/>
  <c r="F258" i="3"/>
  <c r="N237" i="10" s="1"/>
  <c r="O237" i="10" s="1"/>
  <c r="F257" i="3"/>
  <c r="N543" i="10" s="1"/>
  <c r="O543" i="10" s="1"/>
  <c r="F256" i="3"/>
  <c r="N917" i="10" s="1"/>
  <c r="O917" i="10" s="1"/>
  <c r="F255" i="3"/>
  <c r="N584" i="10" s="1"/>
  <c r="O584" i="10" s="1"/>
  <c r="F254" i="3"/>
  <c r="N785" i="10" s="1"/>
  <c r="O785" i="10" s="1"/>
  <c r="F253" i="3"/>
  <c r="N285" i="10" s="1"/>
  <c r="O285" i="10" s="1"/>
  <c r="F252" i="3"/>
  <c r="N97" i="10" s="1"/>
  <c r="O97" i="10" s="1"/>
  <c r="F251" i="3"/>
  <c r="N698" i="10" s="1"/>
  <c r="O698" i="10" s="1"/>
  <c r="F250" i="3"/>
  <c r="N826" i="10" s="1"/>
  <c r="O826" i="10" s="1"/>
  <c r="F249" i="3"/>
  <c r="N964" i="10" s="1"/>
  <c r="O964" i="10" s="1"/>
  <c r="F248" i="3"/>
  <c r="N823" i="10" s="1"/>
  <c r="O823" i="10" s="1"/>
  <c r="F247" i="3"/>
  <c r="N606" i="10" s="1"/>
  <c r="O606" i="10" s="1"/>
  <c r="F246" i="3"/>
  <c r="N725" i="10" s="1"/>
  <c r="O725" i="10" s="1"/>
  <c r="F245" i="3"/>
  <c r="N966" i="10" s="1"/>
  <c r="O966" i="10" s="1"/>
  <c r="F244" i="3"/>
  <c r="N804" i="10" s="1"/>
  <c r="O804" i="10" s="1"/>
  <c r="F243" i="3"/>
  <c r="N448" i="10" s="1"/>
  <c r="O448" i="10" s="1"/>
  <c r="F242" i="3"/>
  <c r="N436" i="10" s="1"/>
  <c r="O436" i="10" s="1"/>
  <c r="F241" i="3"/>
  <c r="N546" i="10" s="1"/>
  <c r="O546" i="10" s="1"/>
  <c r="F240" i="3"/>
  <c r="N1061" i="10" s="1"/>
  <c r="O1061" i="10" s="1"/>
  <c r="F239" i="3"/>
  <c r="N1057" i="10" s="1"/>
  <c r="O1057" i="10" s="1"/>
  <c r="F238" i="3"/>
  <c r="N942" i="10" s="1"/>
  <c r="O942" i="10" s="1"/>
  <c r="F237" i="3"/>
  <c r="N980" i="10" s="1"/>
  <c r="O980" i="10" s="1"/>
  <c r="F236" i="3"/>
  <c r="N682" i="10" s="1"/>
  <c r="O682" i="10" s="1"/>
  <c r="F235" i="3"/>
  <c r="N738" i="10" s="1"/>
  <c r="O738" i="10" s="1"/>
  <c r="F234" i="3"/>
  <c r="N864" i="10" s="1"/>
  <c r="O864" i="10" s="1"/>
  <c r="F233" i="3"/>
  <c r="N579" i="10" s="1"/>
  <c r="O579" i="10" s="1"/>
  <c r="F232" i="3"/>
  <c r="N890" i="10" s="1"/>
  <c r="O890" i="10" s="1"/>
  <c r="F231" i="3"/>
  <c r="N609" i="10" s="1"/>
  <c r="O609" i="10" s="1"/>
  <c r="F230" i="3"/>
  <c r="N652" i="10" s="1"/>
  <c r="O652" i="10" s="1"/>
  <c r="F229" i="3"/>
  <c r="N772" i="10" s="1"/>
  <c r="O772" i="10" s="1"/>
  <c r="F228" i="3"/>
  <c r="N988" i="10" s="1"/>
  <c r="O988" i="10" s="1"/>
  <c r="F227" i="3"/>
  <c r="N576" i="10" s="1"/>
  <c r="O576" i="10" s="1"/>
  <c r="F226" i="3"/>
  <c r="N937" i="10" s="1"/>
  <c r="O937" i="10" s="1"/>
  <c r="F225" i="3"/>
  <c r="N927" i="10" s="1"/>
  <c r="O927" i="10" s="1"/>
  <c r="F224" i="3"/>
  <c r="N852" i="10" s="1"/>
  <c r="O852" i="10" s="1"/>
  <c r="F223" i="3"/>
  <c r="N84" i="10" s="1"/>
  <c r="O84" i="10" s="1"/>
  <c r="F222" i="3"/>
  <c r="N987" i="10" s="1"/>
  <c r="O987" i="10" s="1"/>
  <c r="F221" i="3"/>
  <c r="N990" i="10" s="1"/>
  <c r="O990" i="10" s="1"/>
  <c r="F220" i="3"/>
  <c r="N955" i="10" s="1"/>
  <c r="O955" i="10" s="1"/>
  <c r="F219" i="3"/>
  <c r="N532" i="10" s="1"/>
  <c r="O532" i="10" s="1"/>
  <c r="F218" i="3"/>
  <c r="N760" i="10" s="1"/>
  <c r="O760" i="10" s="1"/>
  <c r="F217" i="3"/>
  <c r="N765" i="10" s="1"/>
  <c r="O765" i="10" s="1"/>
  <c r="F216" i="3"/>
  <c r="N770" i="10" s="1"/>
  <c r="O770" i="10" s="1"/>
  <c r="F215" i="3"/>
  <c r="N637" i="10" s="1"/>
  <c r="O637" i="10" s="1"/>
  <c r="F214" i="3"/>
  <c r="N844" i="10" s="1"/>
  <c r="O844" i="10" s="1"/>
  <c r="F213" i="3"/>
  <c r="N359" i="10" s="1"/>
  <c r="O359" i="10" s="1"/>
  <c r="F212" i="3"/>
  <c r="N842" i="10" s="1"/>
  <c r="O842" i="10" s="1"/>
  <c r="F211" i="3"/>
  <c r="N873" i="10" s="1"/>
  <c r="O873" i="10" s="1"/>
  <c r="F210" i="3"/>
  <c r="N535" i="10" s="1"/>
  <c r="O535" i="10" s="1"/>
  <c r="F209" i="3"/>
  <c r="N929" i="10" s="1"/>
  <c r="O929" i="10" s="1"/>
  <c r="F208" i="3"/>
  <c r="N939" i="10" s="1"/>
  <c r="O939" i="10" s="1"/>
  <c r="F207" i="3"/>
  <c r="N951" i="10" s="1"/>
  <c r="O951" i="10" s="1"/>
  <c r="F206" i="3"/>
  <c r="N531" i="10" s="1"/>
  <c r="O531" i="10" s="1"/>
  <c r="F205" i="3"/>
  <c r="N967" i="10" s="1"/>
  <c r="O967" i="10" s="1"/>
  <c r="F204" i="3"/>
  <c r="N306" i="10" s="1"/>
  <c r="O306" i="10" s="1"/>
  <c r="F203" i="3"/>
  <c r="N633" i="10" s="1"/>
  <c r="O633" i="10" s="1"/>
  <c r="F202" i="3"/>
  <c r="N913" i="10" s="1"/>
  <c r="O913" i="10" s="1"/>
  <c r="F201" i="3"/>
  <c r="N836" i="10" s="1"/>
  <c r="O836" i="10" s="1"/>
  <c r="F200" i="3"/>
  <c r="N33" i="10" s="1"/>
  <c r="O33" i="10" s="1"/>
  <c r="F199" i="3"/>
  <c r="N919" i="10" s="1"/>
  <c r="O919" i="10" s="1"/>
  <c r="F198" i="3"/>
  <c r="N994" i="10" s="1"/>
  <c r="O994" i="10" s="1"/>
  <c r="F197" i="3"/>
  <c r="N764" i="10" s="1"/>
  <c r="O764" i="10" s="1"/>
  <c r="F196" i="3"/>
  <c r="N883" i="10" s="1"/>
  <c r="O883" i="10" s="1"/>
  <c r="F195" i="3"/>
  <c r="N892" i="10" s="1"/>
  <c r="O892" i="10" s="1"/>
  <c r="F194" i="3"/>
  <c r="N926" i="10" s="1"/>
  <c r="O926" i="10" s="1"/>
  <c r="F193" i="3"/>
  <c r="N578" i="10" s="1"/>
  <c r="O578" i="10" s="1"/>
  <c r="F192" i="3"/>
  <c r="N112" i="10" s="1"/>
  <c r="O112" i="10" s="1"/>
  <c r="F191" i="3"/>
  <c r="N482" i="10" s="1"/>
  <c r="O482" i="10" s="1"/>
  <c r="F190" i="3"/>
  <c r="N142" i="10" s="1"/>
  <c r="O142" i="10" s="1"/>
  <c r="F189" i="3"/>
  <c r="N254" i="10" s="1"/>
  <c r="O254" i="10" s="1"/>
  <c r="F188" i="3"/>
  <c r="N484" i="10" s="1"/>
  <c r="O484" i="10" s="1"/>
  <c r="F187" i="3"/>
  <c r="N217" i="10" s="1"/>
  <c r="O217" i="10" s="1"/>
  <c r="F186" i="3"/>
  <c r="N621" i="10" s="1"/>
  <c r="O621" i="10" s="1"/>
  <c r="F185" i="3"/>
  <c r="N58" i="10" s="1"/>
  <c r="O58" i="10" s="1"/>
  <c r="F184" i="3"/>
  <c r="N173" i="10" s="1"/>
  <c r="O173" i="10" s="1"/>
  <c r="F183" i="3"/>
  <c r="N337" i="10" s="1"/>
  <c r="O337" i="10" s="1"/>
  <c r="F182" i="3"/>
  <c r="N730" i="10" s="1"/>
  <c r="O730" i="10" s="1"/>
  <c r="F181" i="3"/>
  <c r="N50" i="10" s="1"/>
  <c r="O50" i="10" s="1"/>
  <c r="F180" i="3"/>
  <c r="N976" i="10" s="1"/>
  <c r="O976" i="10" s="1"/>
  <c r="F179" i="3"/>
  <c r="N717" i="10" s="1"/>
  <c r="O717" i="10" s="1"/>
  <c r="F178" i="3"/>
  <c r="N248" i="10" s="1"/>
  <c r="O248" i="10" s="1"/>
  <c r="F177" i="3"/>
  <c r="N775" i="10" s="1"/>
  <c r="O775" i="10" s="1"/>
  <c r="F176" i="3"/>
  <c r="N262" i="10" s="1"/>
  <c r="O262" i="10" s="1"/>
  <c r="F175" i="3"/>
  <c r="N395" i="10" s="1"/>
  <c r="O395" i="10" s="1"/>
  <c r="F174" i="3"/>
  <c r="N992" i="10" s="1"/>
  <c r="O992" i="10" s="1"/>
  <c r="F173" i="3"/>
  <c r="N404" i="10" s="1"/>
  <c r="O404" i="10" s="1"/>
  <c r="F172" i="3"/>
  <c r="N979" i="10" s="1"/>
  <c r="O979" i="10" s="1"/>
  <c r="F171" i="3"/>
  <c r="F170" i="3"/>
  <c r="N250" i="10" s="1"/>
  <c r="O250" i="10" s="1"/>
  <c r="F169" i="3"/>
  <c r="N522" i="10" s="1"/>
  <c r="O522" i="10" s="1"/>
  <c r="F168" i="3"/>
  <c r="N515" i="10" s="1"/>
  <c r="O515" i="10" s="1"/>
  <c r="F167" i="3"/>
  <c r="N592" i="10" s="1"/>
  <c r="O592" i="10" s="1"/>
  <c r="F166" i="3"/>
  <c r="N430" i="10" s="1"/>
  <c r="O430" i="10" s="1"/>
  <c r="F165" i="3"/>
  <c r="N957" i="10" s="1"/>
  <c r="O957" i="10" s="1"/>
  <c r="F164" i="3"/>
  <c r="N292" i="10" s="1"/>
  <c r="O292" i="10" s="1"/>
  <c r="F163" i="3"/>
  <c r="N424" i="10" s="1"/>
  <c r="O424" i="10" s="1"/>
  <c r="F162" i="3"/>
  <c r="N619" i="10" s="1"/>
  <c r="O619" i="10" s="1"/>
  <c r="F161" i="3"/>
  <c r="N832" i="10" s="1"/>
  <c r="O832" i="10" s="1"/>
  <c r="F160" i="3"/>
  <c r="N25" i="10" s="1"/>
  <c r="O25" i="10" s="1"/>
  <c r="F159" i="3"/>
  <c r="N471" i="10" s="1"/>
  <c r="O471" i="10" s="1"/>
  <c r="F158" i="3"/>
  <c r="N519" i="10" s="1"/>
  <c r="O519" i="10" s="1"/>
  <c r="F157" i="3"/>
  <c r="N93" i="10" s="1"/>
  <c r="O93" i="10" s="1"/>
  <c r="F156" i="3"/>
  <c r="N167" i="10" s="1"/>
  <c r="O167" i="10" s="1"/>
  <c r="F155" i="3"/>
  <c r="N1122" i="10" s="1"/>
  <c r="O1122" i="10" s="1"/>
  <c r="F154" i="3"/>
  <c r="N1119" i="10" s="1"/>
  <c r="O1119" i="10" s="1"/>
  <c r="F153" i="3"/>
  <c r="N544" i="10" s="1"/>
  <c r="O544" i="10" s="1"/>
  <c r="F152" i="3"/>
  <c r="N511" i="10" s="1"/>
  <c r="O511" i="10" s="1"/>
  <c r="F151" i="3"/>
  <c r="N862" i="10" s="1"/>
  <c r="O862" i="10" s="1"/>
  <c r="F150" i="3"/>
  <c r="N80" i="10" s="1"/>
  <c r="O80" i="10" s="1"/>
  <c r="F149" i="3"/>
  <c r="N718" i="10" s="1"/>
  <c r="O718" i="10" s="1"/>
  <c r="F148" i="3"/>
  <c r="N281" i="10" s="1"/>
  <c r="O281" i="10" s="1"/>
  <c r="F147" i="3"/>
  <c r="N920" i="10" s="1"/>
  <c r="O920" i="10" s="1"/>
  <c r="F146" i="3"/>
  <c r="N795" i="10" s="1"/>
  <c r="O795" i="10" s="1"/>
  <c r="F145" i="3"/>
  <c r="N1132" i="10" s="1"/>
  <c r="O1132" i="10" s="1"/>
  <c r="F144" i="3"/>
  <c r="N121" i="10" s="1"/>
  <c r="O121" i="10" s="1"/>
  <c r="F143" i="3"/>
  <c r="N668" i="10" s="1"/>
  <c r="O668" i="10" s="1"/>
  <c r="F142" i="3"/>
  <c r="N426" i="10" s="1"/>
  <c r="O426" i="10" s="1"/>
  <c r="F141" i="3"/>
  <c r="N928" i="10" s="1"/>
  <c r="O928" i="10" s="1"/>
  <c r="F140" i="3"/>
  <c r="N1142" i="10" s="1"/>
  <c r="O1142" i="10" s="1"/>
  <c r="F139" i="3"/>
  <c r="N1107" i="10" s="1"/>
  <c r="O1107" i="10" s="1"/>
  <c r="F138" i="3"/>
  <c r="N9" i="10" s="1"/>
  <c r="O9" i="10" s="1"/>
  <c r="F137" i="3"/>
  <c r="N393" i="10" s="1"/>
  <c r="O393" i="10" s="1"/>
  <c r="F136" i="3"/>
  <c r="N834" i="10" s="1"/>
  <c r="O834" i="10" s="1"/>
  <c r="F135" i="3"/>
  <c r="N239" i="10" s="1"/>
  <c r="O239" i="10" s="1"/>
  <c r="F134" i="3"/>
  <c r="N623" i="10" s="1"/>
  <c r="O623" i="10" s="1"/>
  <c r="F133" i="3"/>
  <c r="N477" i="10" s="1"/>
  <c r="O477" i="10" s="1"/>
  <c r="F132" i="3"/>
  <c r="N228" i="10" s="1"/>
  <c r="O228" i="10" s="1"/>
  <c r="F131" i="3"/>
  <c r="N737" i="10" s="1"/>
  <c r="O737" i="10" s="1"/>
  <c r="F130" i="3"/>
  <c r="N645" i="10" s="1"/>
  <c r="O645" i="10" s="1"/>
  <c r="F129" i="3"/>
  <c r="N90" i="10" s="1"/>
  <c r="O90" i="10" s="1"/>
  <c r="F128" i="3"/>
  <c r="N1058" i="10" s="1"/>
  <c r="O1058" i="10" s="1"/>
  <c r="F127" i="3"/>
  <c r="N459" i="10" s="1"/>
  <c r="O459" i="10" s="1"/>
  <c r="F126" i="3"/>
  <c r="N685" i="10" s="1"/>
  <c r="O685" i="10" s="1"/>
  <c r="F125" i="3"/>
  <c r="N287" i="10" s="1"/>
  <c r="O287" i="10" s="1"/>
  <c r="F124" i="3"/>
  <c r="N615" i="10" s="1"/>
  <c r="O615" i="10" s="1"/>
  <c r="F123" i="3"/>
  <c r="N1025" i="10" s="1"/>
  <c r="O1025" i="10" s="1"/>
  <c r="F122" i="3"/>
  <c r="N374" i="10" s="1"/>
  <c r="O374" i="10" s="1"/>
  <c r="F121" i="3"/>
  <c r="N156" i="10" s="1"/>
  <c r="O156" i="10" s="1"/>
  <c r="F120" i="3"/>
  <c r="N662" i="10" s="1"/>
  <c r="O662" i="10" s="1"/>
  <c r="F119" i="3"/>
  <c r="N503" i="10" s="1"/>
  <c r="O503" i="10" s="1"/>
  <c r="F118" i="3"/>
  <c r="N1042" i="10" s="1"/>
  <c r="O1042" i="10" s="1"/>
  <c r="F117" i="3"/>
  <c r="N719" i="10" s="1"/>
  <c r="O719" i="10" s="1"/>
  <c r="F116" i="3"/>
  <c r="N858" i="10" s="1"/>
  <c r="O858" i="10" s="1"/>
  <c r="F115" i="3"/>
  <c r="N882" i="10" s="1"/>
  <c r="O882" i="10" s="1"/>
  <c r="F114" i="3"/>
  <c r="N461" i="10" s="1"/>
  <c r="O461" i="10" s="1"/>
  <c r="F113" i="3"/>
  <c r="N649" i="10" s="1"/>
  <c r="O649" i="10" s="1"/>
  <c r="F112" i="3"/>
  <c r="N931" i="10" s="1"/>
  <c r="O931" i="10" s="1"/>
  <c r="F111" i="3"/>
  <c r="N425" i="10" s="1"/>
  <c r="O425" i="10" s="1"/>
  <c r="F110" i="3"/>
  <c r="N414" i="10" s="1"/>
  <c r="O414" i="10" s="1"/>
  <c r="F109" i="3"/>
  <c r="N897" i="10" s="1"/>
  <c r="O897" i="10" s="1"/>
  <c r="F108" i="3"/>
  <c r="N568" i="10" s="1"/>
  <c r="O568" i="10" s="1"/>
  <c r="F107" i="3"/>
  <c r="N1038" i="10" s="1"/>
  <c r="O1038" i="10" s="1"/>
  <c r="F106" i="3"/>
  <c r="N734" i="10" s="1"/>
  <c r="O734" i="10" s="1"/>
  <c r="F105" i="3"/>
  <c r="N995" i="10" s="1"/>
  <c r="O995" i="10" s="1"/>
  <c r="F104" i="3"/>
  <c r="N558" i="10" s="1"/>
  <c r="O558" i="10" s="1"/>
  <c r="F103" i="3"/>
  <c r="N154" i="10" s="1"/>
  <c r="O154" i="10" s="1"/>
  <c r="F102" i="3"/>
  <c r="N82" i="10" s="1"/>
  <c r="O82" i="10" s="1"/>
  <c r="F101" i="3"/>
  <c r="N387" i="10" s="1"/>
  <c r="O387" i="10" s="1"/>
  <c r="F100" i="3"/>
  <c r="N657" i="10" s="1"/>
  <c r="O657" i="10" s="1"/>
  <c r="F99" i="3"/>
  <c r="N705" i="10" s="1"/>
  <c r="O705" i="10" s="1"/>
  <c r="F98" i="3"/>
  <c r="N1081" i="10" s="1"/>
  <c r="O1081" i="10" s="1"/>
  <c r="F97" i="3"/>
  <c r="N589" i="10" s="1"/>
  <c r="O589" i="10" s="1"/>
  <c r="F96" i="3"/>
  <c r="N195" i="10" s="1"/>
  <c r="O195" i="10" s="1"/>
  <c r="F95" i="3"/>
  <c r="N647" i="10" s="1"/>
  <c r="O647" i="10" s="1"/>
  <c r="F94" i="3"/>
  <c r="N921" i="10" s="1"/>
  <c r="O921" i="10" s="1"/>
  <c r="F93" i="3"/>
  <c r="N694" i="10" s="1"/>
  <c r="O694" i="10" s="1"/>
  <c r="F92" i="3"/>
  <c r="N753" i="10" s="1"/>
  <c r="O753" i="10" s="1"/>
  <c r="F91" i="3"/>
  <c r="N298" i="10" s="1"/>
  <c r="O298" i="10" s="1"/>
  <c r="F90" i="3"/>
  <c r="N146" i="10" s="1"/>
  <c r="O146" i="10" s="1"/>
  <c r="F89" i="3"/>
  <c r="N958" i="10" s="1"/>
  <c r="O958" i="10" s="1"/>
  <c r="F88" i="3"/>
  <c r="N896" i="10" s="1"/>
  <c r="O896" i="10" s="1"/>
  <c r="F87" i="3"/>
  <c r="N818" i="10" s="1"/>
  <c r="O818" i="10" s="1"/>
  <c r="F86" i="3"/>
  <c r="N556" i="10" s="1"/>
  <c r="O556" i="10" s="1"/>
  <c r="F85" i="3"/>
  <c r="N978" i="10" s="1"/>
  <c r="O978" i="10" s="1"/>
  <c r="F84" i="3"/>
  <c r="N149" i="10" s="1"/>
  <c r="O149" i="10" s="1"/>
  <c r="F83" i="3"/>
  <c r="N232" i="10" s="1"/>
  <c r="O232" i="10" s="1"/>
  <c r="F82" i="3"/>
  <c r="N1153" i="10" s="1"/>
  <c r="O1153" i="10" s="1"/>
  <c r="F81" i="3"/>
  <c r="N665" i="10" s="1"/>
  <c r="O665" i="10" s="1"/>
  <c r="F80" i="3"/>
  <c r="N904" i="10" s="1"/>
  <c r="O904" i="10" s="1"/>
  <c r="F79" i="3"/>
  <c r="N906" i="10" s="1"/>
  <c r="O906" i="10" s="1"/>
  <c r="F78" i="3"/>
  <c r="N422" i="10" s="1"/>
  <c r="O422" i="10" s="1"/>
  <c r="F77" i="3"/>
  <c r="N238" i="10" s="1"/>
  <c r="O238" i="10" s="1"/>
  <c r="F76" i="3"/>
  <c r="N780" i="10" s="1"/>
  <c r="O780" i="10" s="1"/>
  <c r="F75" i="3"/>
  <c r="N270" i="10" s="1"/>
  <c r="O270" i="10" s="1"/>
  <c r="F74" i="3"/>
  <c r="N467" i="10" s="1"/>
  <c r="O467" i="10" s="1"/>
  <c r="F73" i="3"/>
  <c r="N805" i="10" s="1"/>
  <c r="O805" i="10" s="1"/>
  <c r="F72" i="3"/>
  <c r="N673" i="10" s="1"/>
  <c r="O673" i="10" s="1"/>
  <c r="F71" i="3"/>
  <c r="N574" i="10" s="1"/>
  <c r="O574" i="10" s="1"/>
  <c r="F70" i="3"/>
  <c r="N408" i="10" s="1"/>
  <c r="O408" i="10" s="1"/>
  <c r="F69" i="3"/>
  <c r="N628" i="10" s="1"/>
  <c r="O628" i="10" s="1"/>
  <c r="F68" i="3"/>
  <c r="N924" i="10" s="1"/>
  <c r="O924" i="10" s="1"/>
  <c r="F67" i="3"/>
  <c r="N92" i="10" s="1"/>
  <c r="O92" i="10" s="1"/>
  <c r="F66" i="3"/>
  <c r="N557" i="10" s="1"/>
  <c r="O557" i="10" s="1"/>
  <c r="F65" i="3"/>
  <c r="N733" i="10" s="1"/>
  <c r="O733" i="10" s="1"/>
  <c r="F64" i="3"/>
  <c r="N961" i="10" s="1"/>
  <c r="O961" i="10" s="1"/>
  <c r="F63" i="3"/>
  <c r="N441" i="10" s="1"/>
  <c r="O441" i="10" s="1"/>
  <c r="F62" i="3"/>
  <c r="N884" i="10" s="1"/>
  <c r="O884" i="10" s="1"/>
  <c r="F61" i="3"/>
  <c r="N278" i="10" s="1"/>
  <c r="O278" i="10" s="1"/>
  <c r="F60" i="3"/>
  <c r="N468" i="10" s="1"/>
  <c r="O468" i="10" s="1"/>
  <c r="F59" i="3"/>
  <c r="N538" i="10" s="1"/>
  <c r="O538" i="10" s="1"/>
  <c r="F58" i="3"/>
  <c r="N1184" i="10" s="1"/>
  <c r="O1184" i="10" s="1"/>
  <c r="F57" i="3"/>
  <c r="N985" i="10" s="1"/>
  <c r="O985" i="10" s="1"/>
  <c r="F56" i="3"/>
  <c r="N857" i="10" s="1"/>
  <c r="O857" i="10" s="1"/>
  <c r="F55" i="3"/>
  <c r="N697" i="10" s="1"/>
  <c r="O697" i="10" s="1"/>
  <c r="F54" i="3"/>
  <c r="N729" i="10" s="1"/>
  <c r="O729" i="10" s="1"/>
  <c r="F53" i="3"/>
  <c r="N787" i="10" s="1"/>
  <c r="O787" i="10" s="1"/>
  <c r="F52" i="3"/>
  <c r="N66" i="10" s="1"/>
  <c r="O66" i="10" s="1"/>
  <c r="F51" i="3"/>
  <c r="N366" i="10" s="1"/>
  <c r="O366" i="10" s="1"/>
  <c r="F50" i="3"/>
  <c r="N1185" i="10" s="1"/>
  <c r="O1185" i="10" s="1"/>
  <c r="F49" i="3"/>
  <c r="N159" i="10" s="1"/>
  <c r="O159" i="10" s="1"/>
  <c r="F48" i="3"/>
  <c r="N128" i="10" s="1"/>
  <c r="O128" i="10" s="1"/>
  <c r="F47" i="3"/>
  <c r="N935" i="10" s="1"/>
  <c r="O935" i="10" s="1"/>
  <c r="F46" i="3"/>
  <c r="N562" i="10" s="1"/>
  <c r="O562" i="10" s="1"/>
  <c r="F45" i="3"/>
  <c r="N887" i="10" s="1"/>
  <c r="O887" i="10" s="1"/>
  <c r="F44" i="3"/>
  <c r="N692" i="10" s="1"/>
  <c r="O692" i="10" s="1"/>
  <c r="F43" i="3"/>
  <c r="N963" i="10" s="1"/>
  <c r="O963" i="10" s="1"/>
  <c r="F42" i="3"/>
  <c r="N263" i="10" s="1"/>
  <c r="O263" i="10" s="1"/>
  <c r="F41" i="3"/>
  <c r="N296" i="10" s="1"/>
  <c r="O296" i="10" s="1"/>
  <c r="F40" i="3"/>
  <c r="N943" i="10" s="1"/>
  <c r="O943" i="10" s="1"/>
  <c r="F39" i="3"/>
  <c r="N877" i="10" s="1"/>
  <c r="O877" i="10" s="1"/>
  <c r="F38" i="3"/>
  <c r="N866" i="10" s="1"/>
  <c r="O866" i="10" s="1"/>
  <c r="F37" i="3"/>
  <c r="N643" i="10" s="1"/>
  <c r="O643" i="10" s="1"/>
  <c r="F36" i="3"/>
  <c r="N691" i="10" s="1"/>
  <c r="O691" i="10" s="1"/>
  <c r="F35" i="3"/>
  <c r="N256" i="10" s="1"/>
  <c r="O256" i="10" s="1"/>
  <c r="F34" i="3"/>
  <c r="N133" i="10" s="1"/>
  <c r="O133" i="10" s="1"/>
  <c r="F33" i="3"/>
  <c r="N526" i="10" s="1"/>
  <c r="O526" i="10" s="1"/>
  <c r="F32" i="3"/>
  <c r="N815" i="10" s="1"/>
  <c r="O815" i="10" s="1"/>
  <c r="F31" i="3"/>
  <c r="N175" i="10" s="1"/>
  <c r="O175" i="10" s="1"/>
  <c r="F30" i="3"/>
  <c r="N257" i="10" s="1"/>
  <c r="O257" i="10" s="1"/>
  <c r="F29" i="3"/>
  <c r="N513" i="10" s="1"/>
  <c r="O513" i="10" s="1"/>
  <c r="F28" i="3"/>
  <c r="N5" i="10" s="1"/>
  <c r="O5" i="10" s="1"/>
  <c r="F27" i="3"/>
  <c r="N533" i="10" s="1"/>
  <c r="O533" i="10" s="1"/>
  <c r="F26" i="3"/>
  <c r="N4" i="10" s="1"/>
  <c r="O4" i="10" s="1"/>
  <c r="F25" i="3"/>
  <c r="N875" i="10" s="1"/>
  <c r="O875" i="10" s="1"/>
  <c r="F24" i="3"/>
  <c r="N663" i="10" s="1"/>
  <c r="O663" i="10" s="1"/>
  <c r="F23" i="3"/>
  <c r="N527" i="10" s="1"/>
  <c r="O527" i="10" s="1"/>
  <c r="F22" i="3"/>
  <c r="N822" i="10" s="1"/>
  <c r="O822" i="10" s="1"/>
  <c r="F21" i="3"/>
  <c r="N1103" i="10" s="1"/>
  <c r="O1103" i="10" s="1"/>
  <c r="F20" i="3"/>
  <c r="N956" i="10" s="1"/>
  <c r="O956" i="10" s="1"/>
  <c r="F19" i="3"/>
  <c r="N993" i="10" s="1"/>
  <c r="O993" i="10" s="1"/>
  <c r="F18" i="3"/>
  <c r="N1031" i="10" s="1"/>
  <c r="O1031" i="10" s="1"/>
  <c r="F17" i="3"/>
  <c r="N944" i="10" s="1"/>
  <c r="O944" i="10" s="1"/>
  <c r="F16" i="3"/>
  <c r="N313" i="10" s="1"/>
  <c r="O313" i="10" s="1"/>
  <c r="F15" i="3"/>
  <c r="N1021" i="10" s="1"/>
  <c r="O1021" i="10" s="1"/>
  <c r="F14" i="3"/>
  <c r="N945" i="10" s="1"/>
  <c r="O945" i="10" s="1"/>
  <c r="F13" i="3"/>
  <c r="N895" i="10" s="1"/>
  <c r="O895" i="10" s="1"/>
  <c r="F12" i="3"/>
  <c r="N791" i="10" s="1"/>
  <c r="O791" i="10" s="1"/>
  <c r="F11" i="3"/>
  <c r="N356" i="10" s="1"/>
  <c r="O356" i="10" s="1"/>
  <c r="F10" i="3"/>
  <c r="N902" i="10" s="1"/>
  <c r="O902" i="10" s="1"/>
  <c r="F9" i="3"/>
  <c r="N925" i="10" s="1"/>
  <c r="O925" i="10" s="1"/>
  <c r="F8" i="3"/>
  <c r="N1136" i="10" s="1"/>
  <c r="O1136" i="10" s="1"/>
  <c r="F7" i="3"/>
  <c r="N264" i="10" s="1"/>
  <c r="O264" i="10" s="1"/>
  <c r="F6" i="3"/>
  <c r="N916" i="10" s="1"/>
  <c r="O916" i="10" s="1"/>
  <c r="F5" i="3"/>
  <c r="N1008" i="10" s="1"/>
  <c r="O1008" i="10" s="1"/>
  <c r="F4" i="3"/>
  <c r="N1028" i="10" s="1"/>
  <c r="O1028" i="10" s="1"/>
  <c r="F3" i="3"/>
  <c r="N1190" i="10" s="1"/>
  <c r="O1190" i="10" s="1"/>
  <c r="F2" i="3"/>
  <c r="N1174" i="10" s="1"/>
  <c r="O1174" i="10" s="1"/>
  <c r="H1201" i="2"/>
  <c r="G1201" i="2"/>
  <c r="F1201" i="2"/>
  <c r="E1201" i="2"/>
  <c r="D1201" i="2"/>
  <c r="C1201" i="2"/>
  <c r="B1163" i="2"/>
  <c r="B1128" i="2"/>
  <c r="B1104" i="2"/>
  <c r="B1040" i="2"/>
  <c r="B994" i="2"/>
  <c r="B992" i="2"/>
  <c r="H1195" i="1"/>
  <c r="G1195" i="1"/>
  <c r="F1195" i="1"/>
  <c r="E1195" i="1"/>
  <c r="D1195" i="1"/>
  <c r="J1195" i="1" s="1"/>
  <c r="C1195" i="1"/>
  <c r="N1194" i="1"/>
  <c r="K1194" i="1"/>
  <c r="J1194" i="1"/>
  <c r="M1194" i="1" s="1"/>
  <c r="I1194" i="1"/>
  <c r="L1194" i="1" s="1"/>
  <c r="B1194" i="1"/>
  <c r="K1193" i="1"/>
  <c r="N1193" i="1" s="1"/>
  <c r="J1193" i="1"/>
  <c r="M1193" i="1" s="1"/>
  <c r="I1193" i="1"/>
  <c r="L1193" i="1" s="1"/>
  <c r="B1193" i="1"/>
  <c r="B1193" i="10" s="1"/>
  <c r="K1192" i="1"/>
  <c r="N1192" i="1" s="1"/>
  <c r="J1192" i="1"/>
  <c r="M1192" i="1" s="1"/>
  <c r="I1192" i="1"/>
  <c r="L1192" i="1" s="1"/>
  <c r="B1192" i="1"/>
  <c r="K1191" i="1"/>
  <c r="N1191" i="1" s="1"/>
  <c r="J1191" i="1"/>
  <c r="M1191" i="1" s="1"/>
  <c r="I1191" i="1"/>
  <c r="L1191" i="1" s="1"/>
  <c r="B1191" i="1"/>
  <c r="K1190" i="1"/>
  <c r="N1190" i="1" s="1"/>
  <c r="J1190" i="1"/>
  <c r="M1190" i="1" s="1"/>
  <c r="I1190" i="1"/>
  <c r="L1190" i="1" s="1"/>
  <c r="B1190" i="1"/>
  <c r="B1190" i="10" s="1"/>
  <c r="K1189" i="1"/>
  <c r="N1189" i="1" s="1"/>
  <c r="J1189" i="1"/>
  <c r="M1189" i="1" s="1"/>
  <c r="I1189" i="1"/>
  <c r="L1189" i="1" s="1"/>
  <c r="B1189" i="1"/>
  <c r="K1188" i="1"/>
  <c r="N1188" i="1" s="1"/>
  <c r="J1188" i="1"/>
  <c r="M1188" i="1" s="1"/>
  <c r="I1188" i="1"/>
  <c r="L1188" i="1" s="1"/>
  <c r="B1188" i="1"/>
  <c r="K1187" i="1"/>
  <c r="N1187" i="1" s="1"/>
  <c r="J1187" i="1"/>
  <c r="M1187" i="1" s="1"/>
  <c r="I1187" i="1"/>
  <c r="L1187" i="1" s="1"/>
  <c r="B1187" i="1"/>
  <c r="B1187" i="10" s="1"/>
  <c r="K1186" i="1"/>
  <c r="N1186" i="1" s="1"/>
  <c r="J1186" i="1"/>
  <c r="M1186" i="1" s="1"/>
  <c r="I1186" i="1"/>
  <c r="L1186" i="1" s="1"/>
  <c r="B1186" i="1"/>
  <c r="B1186" i="10" s="1"/>
  <c r="K1185" i="1"/>
  <c r="N1185" i="1" s="1"/>
  <c r="J1185" i="1"/>
  <c r="M1185" i="1" s="1"/>
  <c r="I1185" i="1"/>
  <c r="L1185" i="1" s="1"/>
  <c r="B1185" i="1"/>
  <c r="K1184" i="1"/>
  <c r="N1184" i="1" s="1"/>
  <c r="J1184" i="1"/>
  <c r="M1184" i="1" s="1"/>
  <c r="I1184" i="1"/>
  <c r="L1184" i="1" s="1"/>
  <c r="B1184" i="1"/>
  <c r="K1183" i="1"/>
  <c r="N1183" i="1" s="1"/>
  <c r="J1183" i="1"/>
  <c r="M1183" i="1" s="1"/>
  <c r="I1183" i="1"/>
  <c r="L1183" i="1" s="1"/>
  <c r="B1183" i="1"/>
  <c r="B1183" i="10" s="1"/>
  <c r="L1182" i="1"/>
  <c r="K1182" i="1"/>
  <c r="N1182" i="1" s="1"/>
  <c r="J1182" i="1"/>
  <c r="M1182" i="1" s="1"/>
  <c r="I1182" i="1"/>
  <c r="B1182" i="1"/>
  <c r="K1181" i="1"/>
  <c r="N1181" i="1" s="1"/>
  <c r="J1181" i="1"/>
  <c r="M1181" i="1" s="1"/>
  <c r="I1181" i="1"/>
  <c r="L1181" i="1" s="1"/>
  <c r="B1181" i="1"/>
  <c r="K1180" i="1"/>
  <c r="N1180" i="1" s="1"/>
  <c r="J1180" i="1"/>
  <c r="M1180" i="1" s="1"/>
  <c r="I1180" i="1"/>
  <c r="L1180" i="1" s="1"/>
  <c r="B1180" i="1"/>
  <c r="B1180" i="10" s="1"/>
  <c r="K1179" i="1"/>
  <c r="N1179" i="1" s="1"/>
  <c r="J1179" i="1"/>
  <c r="M1179" i="1" s="1"/>
  <c r="I1179" i="1"/>
  <c r="L1179" i="1" s="1"/>
  <c r="B1179" i="1"/>
  <c r="B1179" i="10" s="1"/>
  <c r="K1178" i="1"/>
  <c r="N1178" i="1" s="1"/>
  <c r="J1178" i="1"/>
  <c r="M1178" i="1" s="1"/>
  <c r="I1178" i="1"/>
  <c r="L1178" i="1" s="1"/>
  <c r="B1178" i="1"/>
  <c r="K1177" i="1"/>
  <c r="N1177" i="1" s="1"/>
  <c r="J1177" i="1"/>
  <c r="M1177" i="1" s="1"/>
  <c r="I1177" i="1"/>
  <c r="L1177" i="1" s="1"/>
  <c r="B1177" i="1"/>
  <c r="B1177" i="10" s="1"/>
  <c r="K1176" i="1"/>
  <c r="N1176" i="1" s="1"/>
  <c r="J1176" i="1"/>
  <c r="M1176" i="1" s="1"/>
  <c r="I1176" i="1"/>
  <c r="L1176" i="1" s="1"/>
  <c r="B1176" i="1"/>
  <c r="B1176" i="10" s="1"/>
  <c r="K1175" i="1"/>
  <c r="N1175" i="1" s="1"/>
  <c r="J1175" i="1"/>
  <c r="M1175" i="1" s="1"/>
  <c r="I1175" i="1"/>
  <c r="L1175" i="1" s="1"/>
  <c r="B1175" i="1"/>
  <c r="K1174" i="1"/>
  <c r="N1174" i="1" s="1"/>
  <c r="J1174" i="1"/>
  <c r="M1174" i="1" s="1"/>
  <c r="I1174" i="1"/>
  <c r="L1174" i="1" s="1"/>
  <c r="B1174" i="1"/>
  <c r="B1174" i="10" s="1"/>
  <c r="N1173" i="1"/>
  <c r="K1173" i="1"/>
  <c r="J1173" i="1"/>
  <c r="M1173" i="1" s="1"/>
  <c r="I1173" i="1"/>
  <c r="L1173" i="1" s="1"/>
  <c r="B1173" i="1"/>
  <c r="K1172" i="1"/>
  <c r="N1172" i="1" s="1"/>
  <c r="J1172" i="1"/>
  <c r="M1172" i="1" s="1"/>
  <c r="I1172" i="1"/>
  <c r="L1172" i="1" s="1"/>
  <c r="B1172" i="1"/>
  <c r="K1171" i="1"/>
  <c r="N1171" i="1" s="1"/>
  <c r="J1171" i="1"/>
  <c r="M1171" i="1" s="1"/>
  <c r="I1171" i="1"/>
  <c r="L1171" i="1" s="1"/>
  <c r="B1171" i="1"/>
  <c r="N1170" i="1"/>
  <c r="K1170" i="1"/>
  <c r="J1170" i="1"/>
  <c r="M1170" i="1" s="1"/>
  <c r="I1170" i="1"/>
  <c r="L1170" i="1" s="1"/>
  <c r="B1170" i="1"/>
  <c r="B1170" i="10" s="1"/>
  <c r="K1169" i="1"/>
  <c r="N1169" i="1" s="1"/>
  <c r="J1169" i="1"/>
  <c r="M1169" i="1" s="1"/>
  <c r="I1169" i="1"/>
  <c r="L1169" i="1" s="1"/>
  <c r="B1169" i="1"/>
  <c r="B1169" i="10" s="1"/>
  <c r="K1168" i="1"/>
  <c r="N1168" i="1" s="1"/>
  <c r="J1168" i="1"/>
  <c r="M1168" i="1" s="1"/>
  <c r="I1168" i="1"/>
  <c r="L1168" i="1" s="1"/>
  <c r="B1168" i="1"/>
  <c r="K1167" i="1"/>
  <c r="N1167" i="1" s="1"/>
  <c r="J1167" i="1"/>
  <c r="M1167" i="1" s="1"/>
  <c r="I1167" i="1"/>
  <c r="L1167" i="1" s="1"/>
  <c r="B1167" i="1"/>
  <c r="K1166" i="1"/>
  <c r="N1166" i="1" s="1"/>
  <c r="J1166" i="1"/>
  <c r="M1166" i="1" s="1"/>
  <c r="I1166" i="1"/>
  <c r="L1166" i="1" s="1"/>
  <c r="B1166" i="1"/>
  <c r="K1165" i="1"/>
  <c r="N1165" i="1" s="1"/>
  <c r="J1165" i="1"/>
  <c r="M1165" i="1" s="1"/>
  <c r="I1165" i="1"/>
  <c r="L1165" i="1" s="1"/>
  <c r="B1165" i="1"/>
  <c r="K1164" i="1"/>
  <c r="N1164" i="1" s="1"/>
  <c r="J1164" i="1"/>
  <c r="M1164" i="1" s="1"/>
  <c r="I1164" i="1"/>
  <c r="L1164" i="1" s="1"/>
  <c r="B1164" i="1"/>
  <c r="K1163" i="1"/>
  <c r="N1163" i="1" s="1"/>
  <c r="J1163" i="1"/>
  <c r="M1163" i="1" s="1"/>
  <c r="I1163" i="1"/>
  <c r="L1163" i="1" s="1"/>
  <c r="B1163" i="1"/>
  <c r="K1162" i="1"/>
  <c r="N1162" i="1" s="1"/>
  <c r="J1162" i="1"/>
  <c r="M1162" i="1" s="1"/>
  <c r="I1162" i="1"/>
  <c r="L1162" i="1" s="1"/>
  <c r="B1162" i="1"/>
  <c r="B1162" i="10" s="1"/>
  <c r="K1161" i="1"/>
  <c r="N1161" i="1" s="1"/>
  <c r="J1161" i="1"/>
  <c r="M1161" i="1" s="1"/>
  <c r="I1161" i="1"/>
  <c r="L1161" i="1" s="1"/>
  <c r="B1161" i="1"/>
  <c r="K1160" i="1"/>
  <c r="N1160" i="1" s="1"/>
  <c r="J1160" i="1"/>
  <c r="M1160" i="1" s="1"/>
  <c r="I1160" i="1"/>
  <c r="L1160" i="1" s="1"/>
  <c r="B1160" i="1"/>
  <c r="B1160" i="10" s="1"/>
  <c r="L1159" i="1"/>
  <c r="K1159" i="1"/>
  <c r="N1159" i="1" s="1"/>
  <c r="J1159" i="1"/>
  <c r="M1159" i="1" s="1"/>
  <c r="I1159" i="1"/>
  <c r="B1159" i="1"/>
  <c r="B1159" i="10" s="1"/>
  <c r="K1158" i="1"/>
  <c r="N1158" i="1" s="1"/>
  <c r="J1158" i="1"/>
  <c r="M1158" i="1" s="1"/>
  <c r="I1158" i="1"/>
  <c r="L1158" i="1" s="1"/>
  <c r="B1158" i="1"/>
  <c r="N1157" i="1"/>
  <c r="L1157" i="1"/>
  <c r="K1157" i="1"/>
  <c r="J1157" i="1"/>
  <c r="M1157" i="1" s="1"/>
  <c r="I1157" i="1"/>
  <c r="B1157" i="1"/>
  <c r="N1156" i="1"/>
  <c r="K1156" i="1"/>
  <c r="J1156" i="1"/>
  <c r="M1156" i="1" s="1"/>
  <c r="I1156" i="1"/>
  <c r="L1156" i="1" s="1"/>
  <c r="B1156" i="1"/>
  <c r="K1155" i="1"/>
  <c r="N1155" i="1" s="1"/>
  <c r="J1155" i="1"/>
  <c r="M1155" i="1" s="1"/>
  <c r="I1155" i="1"/>
  <c r="L1155" i="1" s="1"/>
  <c r="B1155" i="1"/>
  <c r="B1155" i="10" s="1"/>
  <c r="K1154" i="1"/>
  <c r="N1154" i="1" s="1"/>
  <c r="J1154" i="1"/>
  <c r="M1154" i="1" s="1"/>
  <c r="I1154" i="1"/>
  <c r="L1154" i="1" s="1"/>
  <c r="B1154" i="1"/>
  <c r="K1153" i="1"/>
  <c r="N1153" i="1" s="1"/>
  <c r="J1153" i="1"/>
  <c r="M1153" i="1" s="1"/>
  <c r="I1153" i="1"/>
  <c r="L1153" i="1" s="1"/>
  <c r="B1153" i="1"/>
  <c r="K1152" i="1"/>
  <c r="N1152" i="1" s="1"/>
  <c r="J1152" i="1"/>
  <c r="M1152" i="1" s="1"/>
  <c r="I1152" i="1"/>
  <c r="L1152" i="1" s="1"/>
  <c r="B1152" i="1"/>
  <c r="K1151" i="1"/>
  <c r="N1151" i="1" s="1"/>
  <c r="J1151" i="1"/>
  <c r="M1151" i="1" s="1"/>
  <c r="I1151" i="1"/>
  <c r="L1151" i="1" s="1"/>
  <c r="B1151" i="1"/>
  <c r="B1151" i="10" s="1"/>
  <c r="K1150" i="1"/>
  <c r="N1150" i="1" s="1"/>
  <c r="J1150" i="1"/>
  <c r="M1150" i="1" s="1"/>
  <c r="I1150" i="1"/>
  <c r="L1150" i="1" s="1"/>
  <c r="B1150" i="1"/>
  <c r="K1149" i="1"/>
  <c r="N1149" i="1" s="1"/>
  <c r="J1149" i="1"/>
  <c r="M1149" i="1" s="1"/>
  <c r="I1149" i="1"/>
  <c r="L1149" i="1" s="1"/>
  <c r="B1149" i="1"/>
  <c r="B1149" i="10" s="1"/>
  <c r="M1148" i="1"/>
  <c r="K1148" i="1"/>
  <c r="N1148" i="1" s="1"/>
  <c r="J1148" i="1"/>
  <c r="I1148" i="1"/>
  <c r="L1148" i="1" s="1"/>
  <c r="B1148" i="1"/>
  <c r="B1148" i="10" s="1"/>
  <c r="K1147" i="1"/>
  <c r="N1147" i="1" s="1"/>
  <c r="J1147" i="1"/>
  <c r="M1147" i="1" s="1"/>
  <c r="I1147" i="1"/>
  <c r="L1147" i="1" s="1"/>
  <c r="B1147" i="1"/>
  <c r="N1146" i="1"/>
  <c r="K1146" i="1"/>
  <c r="J1146" i="1"/>
  <c r="M1146" i="1" s="1"/>
  <c r="I1146" i="1"/>
  <c r="L1146" i="1" s="1"/>
  <c r="B1146" i="1"/>
  <c r="M1145" i="1"/>
  <c r="K1145" i="1"/>
  <c r="N1145" i="1" s="1"/>
  <c r="J1145" i="1"/>
  <c r="I1145" i="1"/>
  <c r="L1145" i="1" s="1"/>
  <c r="B1145" i="1"/>
  <c r="B1145" i="10" s="1"/>
  <c r="K1144" i="1"/>
  <c r="N1144" i="1" s="1"/>
  <c r="J1144" i="1"/>
  <c r="M1144" i="1" s="1"/>
  <c r="I1144" i="1"/>
  <c r="L1144" i="1" s="1"/>
  <c r="B1144" i="1"/>
  <c r="B1144" i="10" s="1"/>
  <c r="K1143" i="1"/>
  <c r="N1143" i="1" s="1"/>
  <c r="J1143" i="1"/>
  <c r="M1143" i="1" s="1"/>
  <c r="I1143" i="1"/>
  <c r="L1143" i="1" s="1"/>
  <c r="B1143" i="1"/>
  <c r="K1142" i="1"/>
  <c r="N1142" i="1" s="1"/>
  <c r="J1142" i="1"/>
  <c r="M1142" i="1" s="1"/>
  <c r="I1142" i="1"/>
  <c r="L1142" i="1" s="1"/>
  <c r="B1142" i="1"/>
  <c r="K1141" i="1"/>
  <c r="N1141" i="1" s="1"/>
  <c r="J1141" i="1"/>
  <c r="M1141" i="1" s="1"/>
  <c r="I1141" i="1"/>
  <c r="L1141" i="1" s="1"/>
  <c r="B1141" i="1"/>
  <c r="K1140" i="1"/>
  <c r="N1140" i="1" s="1"/>
  <c r="J1140" i="1"/>
  <c r="M1140" i="1" s="1"/>
  <c r="I1140" i="1"/>
  <c r="L1140" i="1" s="1"/>
  <c r="B1140" i="1"/>
  <c r="K1139" i="1"/>
  <c r="N1139" i="1" s="1"/>
  <c r="J1139" i="1"/>
  <c r="M1139" i="1" s="1"/>
  <c r="I1139" i="1"/>
  <c r="L1139" i="1" s="1"/>
  <c r="B1139" i="1"/>
  <c r="N1138" i="1"/>
  <c r="L1138" i="1"/>
  <c r="K1138" i="1"/>
  <c r="J1138" i="1"/>
  <c r="M1138" i="1" s="1"/>
  <c r="I1138" i="1"/>
  <c r="B1138" i="1"/>
  <c r="K1137" i="1"/>
  <c r="N1137" i="1" s="1"/>
  <c r="J1137" i="1"/>
  <c r="M1137" i="1" s="1"/>
  <c r="I1137" i="1"/>
  <c r="L1137" i="1" s="1"/>
  <c r="B1137" i="1"/>
  <c r="K1136" i="1"/>
  <c r="N1136" i="1" s="1"/>
  <c r="J1136" i="1"/>
  <c r="M1136" i="1" s="1"/>
  <c r="I1136" i="1"/>
  <c r="L1136" i="1" s="1"/>
  <c r="B1136" i="1"/>
  <c r="K1135" i="1"/>
  <c r="N1135" i="1" s="1"/>
  <c r="J1135" i="1"/>
  <c r="M1135" i="1" s="1"/>
  <c r="I1135" i="1"/>
  <c r="L1135" i="1" s="1"/>
  <c r="B1135" i="1"/>
  <c r="K1134" i="1"/>
  <c r="N1134" i="1" s="1"/>
  <c r="J1134" i="1"/>
  <c r="M1134" i="1" s="1"/>
  <c r="I1134" i="1"/>
  <c r="L1134" i="1" s="1"/>
  <c r="B1134" i="1"/>
  <c r="L1133" i="1"/>
  <c r="K1133" i="1"/>
  <c r="N1133" i="1" s="1"/>
  <c r="J1133" i="1"/>
  <c r="M1133" i="1" s="1"/>
  <c r="I1133" i="1"/>
  <c r="B1133" i="1"/>
  <c r="K1132" i="1"/>
  <c r="N1132" i="1" s="1"/>
  <c r="J1132" i="1"/>
  <c r="M1132" i="1" s="1"/>
  <c r="I1132" i="1"/>
  <c r="L1132" i="1" s="1"/>
  <c r="B1132" i="1"/>
  <c r="K1131" i="1"/>
  <c r="N1131" i="1" s="1"/>
  <c r="J1131" i="1"/>
  <c r="M1131" i="1" s="1"/>
  <c r="I1131" i="1"/>
  <c r="L1131" i="1" s="1"/>
  <c r="B1131" i="1"/>
  <c r="K1130" i="1"/>
  <c r="N1130" i="1" s="1"/>
  <c r="J1130" i="1"/>
  <c r="M1130" i="1" s="1"/>
  <c r="I1130" i="1"/>
  <c r="L1130" i="1" s="1"/>
  <c r="B1130" i="1"/>
  <c r="K1129" i="1"/>
  <c r="N1129" i="1" s="1"/>
  <c r="J1129" i="1"/>
  <c r="M1129" i="1" s="1"/>
  <c r="I1129" i="1"/>
  <c r="L1129" i="1" s="1"/>
  <c r="B1129" i="1"/>
  <c r="K1128" i="1"/>
  <c r="N1128" i="1" s="1"/>
  <c r="J1128" i="1"/>
  <c r="M1128" i="1" s="1"/>
  <c r="I1128" i="1"/>
  <c r="L1128" i="1" s="1"/>
  <c r="B1128" i="1"/>
  <c r="K1127" i="1"/>
  <c r="N1127" i="1" s="1"/>
  <c r="J1127" i="1"/>
  <c r="M1127" i="1" s="1"/>
  <c r="I1127" i="1"/>
  <c r="L1127" i="1" s="1"/>
  <c r="B1127" i="1"/>
  <c r="K1126" i="1"/>
  <c r="N1126" i="1" s="1"/>
  <c r="J1126" i="1"/>
  <c r="M1126" i="1" s="1"/>
  <c r="I1126" i="1"/>
  <c r="L1126" i="1" s="1"/>
  <c r="B1126" i="1"/>
  <c r="K1125" i="1"/>
  <c r="N1125" i="1" s="1"/>
  <c r="J1125" i="1"/>
  <c r="M1125" i="1" s="1"/>
  <c r="I1125" i="1"/>
  <c r="L1125" i="1" s="1"/>
  <c r="B1125" i="1"/>
  <c r="K1124" i="1"/>
  <c r="N1124" i="1" s="1"/>
  <c r="J1124" i="1"/>
  <c r="M1124" i="1" s="1"/>
  <c r="I1124" i="1"/>
  <c r="L1124" i="1" s="1"/>
  <c r="B1124" i="1"/>
  <c r="K1123" i="1"/>
  <c r="N1123" i="1" s="1"/>
  <c r="J1123" i="1"/>
  <c r="M1123" i="1" s="1"/>
  <c r="I1123" i="1"/>
  <c r="L1123" i="1" s="1"/>
  <c r="B1123" i="1"/>
  <c r="B1123" i="10" s="1"/>
  <c r="K1122" i="1"/>
  <c r="N1122" i="1" s="1"/>
  <c r="J1122" i="1"/>
  <c r="M1122" i="1" s="1"/>
  <c r="I1122" i="1"/>
  <c r="L1122" i="1" s="1"/>
  <c r="B1122" i="1"/>
  <c r="B1122" i="10" s="1"/>
  <c r="K1121" i="1"/>
  <c r="N1121" i="1" s="1"/>
  <c r="J1121" i="1"/>
  <c r="M1121" i="1" s="1"/>
  <c r="I1121" i="1"/>
  <c r="L1121" i="1" s="1"/>
  <c r="B1121" i="1"/>
  <c r="K1120" i="1"/>
  <c r="N1120" i="1" s="1"/>
  <c r="J1120" i="1"/>
  <c r="M1120" i="1" s="1"/>
  <c r="I1120" i="1"/>
  <c r="L1120" i="1" s="1"/>
  <c r="B1120" i="1"/>
  <c r="K1119" i="1"/>
  <c r="N1119" i="1" s="1"/>
  <c r="J1119" i="1"/>
  <c r="M1119" i="1" s="1"/>
  <c r="I1119" i="1"/>
  <c r="L1119" i="1" s="1"/>
  <c r="B1119" i="1"/>
  <c r="K1118" i="1"/>
  <c r="N1118" i="1" s="1"/>
  <c r="J1118" i="1"/>
  <c r="M1118" i="1" s="1"/>
  <c r="I1118" i="1"/>
  <c r="L1118" i="1" s="1"/>
  <c r="B1118" i="1"/>
  <c r="K1117" i="1"/>
  <c r="N1117" i="1" s="1"/>
  <c r="J1117" i="1"/>
  <c r="M1117" i="1" s="1"/>
  <c r="I1117" i="1"/>
  <c r="L1117" i="1" s="1"/>
  <c r="B1117" i="1"/>
  <c r="L1116" i="1"/>
  <c r="K1116" i="1"/>
  <c r="N1116" i="1" s="1"/>
  <c r="J1116" i="1"/>
  <c r="M1116" i="1" s="1"/>
  <c r="I1116" i="1"/>
  <c r="B1116" i="1"/>
  <c r="B1116" i="10" s="1"/>
  <c r="K1115" i="1"/>
  <c r="N1115" i="1" s="1"/>
  <c r="J1115" i="1"/>
  <c r="M1115" i="1" s="1"/>
  <c r="I1115" i="1"/>
  <c r="L1115" i="1" s="1"/>
  <c r="B1115" i="1"/>
  <c r="K1114" i="1"/>
  <c r="N1114" i="1" s="1"/>
  <c r="J1114" i="1"/>
  <c r="M1114" i="1" s="1"/>
  <c r="I1114" i="1"/>
  <c r="L1114" i="1" s="1"/>
  <c r="B1114" i="1"/>
  <c r="K1113" i="1"/>
  <c r="N1113" i="1" s="1"/>
  <c r="J1113" i="1"/>
  <c r="M1113" i="1" s="1"/>
  <c r="I1113" i="1"/>
  <c r="L1113" i="1" s="1"/>
  <c r="B1113" i="1"/>
  <c r="B1113" i="10" s="1"/>
  <c r="K1112" i="1"/>
  <c r="N1112" i="1" s="1"/>
  <c r="J1112" i="1"/>
  <c r="M1112" i="1" s="1"/>
  <c r="I1112" i="1"/>
  <c r="L1112" i="1" s="1"/>
  <c r="B1112" i="1"/>
  <c r="B1112" i="10" s="1"/>
  <c r="L1111" i="1"/>
  <c r="K1111" i="1"/>
  <c r="N1111" i="1" s="1"/>
  <c r="J1111" i="1"/>
  <c r="M1111" i="1" s="1"/>
  <c r="I1111" i="1"/>
  <c r="B1111" i="1"/>
  <c r="B1111" i="10" s="1"/>
  <c r="N1110" i="1"/>
  <c r="K1110" i="1"/>
  <c r="J1110" i="1"/>
  <c r="M1110" i="1" s="1"/>
  <c r="I1110" i="1"/>
  <c r="L1110" i="1" s="1"/>
  <c r="B1110" i="1"/>
  <c r="K1109" i="1"/>
  <c r="N1109" i="1" s="1"/>
  <c r="J1109" i="1"/>
  <c r="M1109" i="1" s="1"/>
  <c r="I1109" i="1"/>
  <c r="L1109" i="1" s="1"/>
  <c r="B1109" i="1"/>
  <c r="K1108" i="1"/>
  <c r="N1108" i="1" s="1"/>
  <c r="J1108" i="1"/>
  <c r="M1108" i="1" s="1"/>
  <c r="I1108" i="1"/>
  <c r="L1108" i="1" s="1"/>
  <c r="B1108" i="1"/>
  <c r="B1108" i="10" s="1"/>
  <c r="K1107" i="1"/>
  <c r="N1107" i="1" s="1"/>
  <c r="J1107" i="1"/>
  <c r="M1107" i="1" s="1"/>
  <c r="I1107" i="1"/>
  <c r="L1107" i="1" s="1"/>
  <c r="B1107" i="1"/>
  <c r="K1106" i="1"/>
  <c r="N1106" i="1" s="1"/>
  <c r="J1106" i="1"/>
  <c r="M1106" i="1" s="1"/>
  <c r="I1106" i="1"/>
  <c r="L1106" i="1" s="1"/>
  <c r="B1106" i="1"/>
  <c r="K1105" i="1"/>
  <c r="N1105" i="1" s="1"/>
  <c r="J1105" i="1"/>
  <c r="M1105" i="1" s="1"/>
  <c r="I1105" i="1"/>
  <c r="L1105" i="1" s="1"/>
  <c r="B1105" i="1"/>
  <c r="K1104" i="1"/>
  <c r="N1104" i="1" s="1"/>
  <c r="J1104" i="1"/>
  <c r="M1104" i="1" s="1"/>
  <c r="I1104" i="1"/>
  <c r="L1104" i="1" s="1"/>
  <c r="B1104" i="1"/>
  <c r="K1103" i="1"/>
  <c r="N1103" i="1" s="1"/>
  <c r="J1103" i="1"/>
  <c r="M1103" i="1" s="1"/>
  <c r="I1103" i="1"/>
  <c r="L1103" i="1" s="1"/>
  <c r="B1103" i="1"/>
  <c r="N1102" i="1"/>
  <c r="K1102" i="1"/>
  <c r="J1102" i="1"/>
  <c r="M1102" i="1" s="1"/>
  <c r="I1102" i="1"/>
  <c r="L1102" i="1" s="1"/>
  <c r="B1102" i="1"/>
  <c r="K1101" i="1"/>
  <c r="N1101" i="1" s="1"/>
  <c r="J1101" i="1"/>
  <c r="M1101" i="1" s="1"/>
  <c r="I1101" i="1"/>
  <c r="L1101" i="1" s="1"/>
  <c r="B1101" i="1"/>
  <c r="K1100" i="1"/>
  <c r="N1100" i="1" s="1"/>
  <c r="J1100" i="1"/>
  <c r="M1100" i="1" s="1"/>
  <c r="I1100" i="1"/>
  <c r="L1100" i="1" s="1"/>
  <c r="B1100" i="1"/>
  <c r="K1099" i="1"/>
  <c r="N1099" i="1" s="1"/>
  <c r="J1099" i="1"/>
  <c r="M1099" i="1" s="1"/>
  <c r="I1099" i="1"/>
  <c r="L1099" i="1" s="1"/>
  <c r="B1099" i="1"/>
  <c r="B1099" i="10" s="1"/>
  <c r="K1098" i="1"/>
  <c r="N1098" i="1" s="1"/>
  <c r="J1098" i="1"/>
  <c r="M1098" i="1" s="1"/>
  <c r="I1098" i="1"/>
  <c r="L1098" i="1" s="1"/>
  <c r="B1098" i="1"/>
  <c r="B1098" i="10" s="1"/>
  <c r="L1097" i="1"/>
  <c r="K1097" i="1"/>
  <c r="N1097" i="1" s="1"/>
  <c r="J1097" i="1"/>
  <c r="M1097" i="1" s="1"/>
  <c r="I1097" i="1"/>
  <c r="B1097" i="1"/>
  <c r="K1096" i="1"/>
  <c r="N1096" i="1" s="1"/>
  <c r="J1096" i="1"/>
  <c r="M1096" i="1" s="1"/>
  <c r="I1096" i="1"/>
  <c r="L1096" i="1" s="1"/>
  <c r="B1096" i="1"/>
  <c r="K1095" i="1"/>
  <c r="N1095" i="1" s="1"/>
  <c r="J1095" i="1"/>
  <c r="M1095" i="1" s="1"/>
  <c r="I1095" i="1"/>
  <c r="L1095" i="1" s="1"/>
  <c r="B1095" i="1"/>
  <c r="K1094" i="1"/>
  <c r="N1094" i="1" s="1"/>
  <c r="J1094" i="1"/>
  <c r="M1094" i="1" s="1"/>
  <c r="I1094" i="1"/>
  <c r="L1094" i="1" s="1"/>
  <c r="B1094" i="1"/>
  <c r="B1094" i="10" s="1"/>
  <c r="K1093" i="1"/>
  <c r="N1093" i="1" s="1"/>
  <c r="J1093" i="1"/>
  <c r="M1093" i="1" s="1"/>
  <c r="I1093" i="1"/>
  <c r="L1093" i="1" s="1"/>
  <c r="B1093" i="1"/>
  <c r="K1092" i="1"/>
  <c r="N1092" i="1" s="1"/>
  <c r="J1092" i="1"/>
  <c r="M1092" i="1" s="1"/>
  <c r="I1092" i="1"/>
  <c r="L1092" i="1" s="1"/>
  <c r="B1092" i="1"/>
  <c r="K1091" i="1"/>
  <c r="N1091" i="1" s="1"/>
  <c r="J1091" i="1"/>
  <c r="M1091" i="1" s="1"/>
  <c r="I1091" i="1"/>
  <c r="L1091" i="1" s="1"/>
  <c r="B1091" i="1"/>
  <c r="K1090" i="1"/>
  <c r="N1090" i="1" s="1"/>
  <c r="J1090" i="1"/>
  <c r="M1090" i="1" s="1"/>
  <c r="I1090" i="1"/>
  <c r="L1090" i="1" s="1"/>
  <c r="B1090" i="1"/>
  <c r="L1089" i="1"/>
  <c r="K1089" i="1"/>
  <c r="N1089" i="1" s="1"/>
  <c r="J1089" i="1"/>
  <c r="M1089" i="1" s="1"/>
  <c r="I1089" i="1"/>
  <c r="B1089" i="1"/>
  <c r="K1088" i="1"/>
  <c r="N1088" i="1" s="1"/>
  <c r="J1088" i="1"/>
  <c r="M1088" i="1" s="1"/>
  <c r="I1088" i="1"/>
  <c r="L1088" i="1" s="1"/>
  <c r="B1088" i="1"/>
  <c r="K1087" i="1"/>
  <c r="N1087" i="1" s="1"/>
  <c r="J1087" i="1"/>
  <c r="M1087" i="1" s="1"/>
  <c r="I1087" i="1"/>
  <c r="L1087" i="1" s="1"/>
  <c r="B1087" i="1"/>
  <c r="K1086" i="1"/>
  <c r="N1086" i="1" s="1"/>
  <c r="J1086" i="1"/>
  <c r="M1086" i="1" s="1"/>
  <c r="I1086" i="1"/>
  <c r="L1086" i="1" s="1"/>
  <c r="B1086" i="1"/>
  <c r="N1085" i="1"/>
  <c r="K1085" i="1"/>
  <c r="J1085" i="1"/>
  <c r="M1085" i="1" s="1"/>
  <c r="I1085" i="1"/>
  <c r="L1085" i="1" s="1"/>
  <c r="B1085" i="1"/>
  <c r="B1085" i="10" s="1"/>
  <c r="K1084" i="1"/>
  <c r="N1084" i="1" s="1"/>
  <c r="J1084" i="1"/>
  <c r="M1084" i="1" s="1"/>
  <c r="I1084" i="1"/>
  <c r="L1084" i="1" s="1"/>
  <c r="B1084" i="1"/>
  <c r="K1083" i="1"/>
  <c r="N1083" i="1" s="1"/>
  <c r="J1083" i="1"/>
  <c r="M1083" i="1" s="1"/>
  <c r="I1083" i="1"/>
  <c r="L1083" i="1" s="1"/>
  <c r="B1083" i="1"/>
  <c r="N1082" i="1"/>
  <c r="K1082" i="1"/>
  <c r="J1082" i="1"/>
  <c r="M1082" i="1" s="1"/>
  <c r="I1082" i="1"/>
  <c r="L1082" i="1" s="1"/>
  <c r="B1082" i="1"/>
  <c r="K1081" i="1"/>
  <c r="N1081" i="1" s="1"/>
  <c r="J1081" i="1"/>
  <c r="M1081" i="1" s="1"/>
  <c r="I1081" i="1"/>
  <c r="L1081" i="1" s="1"/>
  <c r="B1081" i="1"/>
  <c r="K1080" i="1"/>
  <c r="N1080" i="1" s="1"/>
  <c r="J1080" i="1"/>
  <c r="M1080" i="1" s="1"/>
  <c r="I1080" i="1"/>
  <c r="L1080" i="1" s="1"/>
  <c r="B1080" i="1"/>
  <c r="B1080" i="10" s="1"/>
  <c r="K1079" i="1"/>
  <c r="N1079" i="1" s="1"/>
  <c r="J1079" i="1"/>
  <c r="M1079" i="1" s="1"/>
  <c r="I1079" i="1"/>
  <c r="L1079" i="1" s="1"/>
  <c r="B1079" i="1"/>
  <c r="K1078" i="1"/>
  <c r="N1078" i="1" s="1"/>
  <c r="J1078" i="1"/>
  <c r="M1078" i="1" s="1"/>
  <c r="I1078" i="1"/>
  <c r="L1078" i="1" s="1"/>
  <c r="B1078" i="1"/>
  <c r="B1078" i="10" s="1"/>
  <c r="K1077" i="1"/>
  <c r="N1077" i="1" s="1"/>
  <c r="J1077" i="1"/>
  <c r="M1077" i="1" s="1"/>
  <c r="I1077" i="1"/>
  <c r="L1077" i="1" s="1"/>
  <c r="B1077" i="1"/>
  <c r="K1076" i="1"/>
  <c r="N1076" i="1" s="1"/>
  <c r="J1076" i="1"/>
  <c r="M1076" i="1" s="1"/>
  <c r="I1076" i="1"/>
  <c r="L1076" i="1" s="1"/>
  <c r="B1076" i="1"/>
  <c r="K1075" i="1"/>
  <c r="N1075" i="1" s="1"/>
  <c r="J1075" i="1"/>
  <c r="M1075" i="1" s="1"/>
  <c r="I1075" i="1"/>
  <c r="L1075" i="1" s="1"/>
  <c r="B1075" i="1"/>
  <c r="M1074" i="1"/>
  <c r="K1074" i="1"/>
  <c r="N1074" i="1" s="1"/>
  <c r="J1074" i="1"/>
  <c r="I1074" i="1"/>
  <c r="L1074" i="1" s="1"/>
  <c r="B1074" i="1"/>
  <c r="K1073" i="1"/>
  <c r="N1073" i="1" s="1"/>
  <c r="J1073" i="1"/>
  <c r="M1073" i="1" s="1"/>
  <c r="I1073" i="1"/>
  <c r="L1073" i="1" s="1"/>
  <c r="B1073" i="1"/>
  <c r="K1072" i="1"/>
  <c r="N1072" i="1" s="1"/>
  <c r="J1072" i="1"/>
  <c r="M1072" i="1" s="1"/>
  <c r="I1072" i="1"/>
  <c r="L1072" i="1" s="1"/>
  <c r="B1072" i="1"/>
  <c r="K1071" i="1"/>
  <c r="N1071" i="1" s="1"/>
  <c r="J1071" i="1"/>
  <c r="M1071" i="1" s="1"/>
  <c r="I1071" i="1"/>
  <c r="L1071" i="1" s="1"/>
  <c r="B1071" i="1"/>
  <c r="K1070" i="1"/>
  <c r="N1070" i="1" s="1"/>
  <c r="J1070" i="1"/>
  <c r="M1070" i="1" s="1"/>
  <c r="I1070" i="1"/>
  <c r="L1070" i="1" s="1"/>
  <c r="B1070" i="1"/>
  <c r="B1070" i="10" s="1"/>
  <c r="K1069" i="1"/>
  <c r="N1069" i="1" s="1"/>
  <c r="J1069" i="1"/>
  <c r="M1069" i="1" s="1"/>
  <c r="I1069" i="1"/>
  <c r="L1069" i="1" s="1"/>
  <c r="B1069" i="1"/>
  <c r="K1068" i="1"/>
  <c r="N1068" i="1" s="1"/>
  <c r="J1068" i="1"/>
  <c r="M1068" i="1" s="1"/>
  <c r="I1068" i="1"/>
  <c r="L1068" i="1" s="1"/>
  <c r="B1068" i="1"/>
  <c r="K1067" i="1"/>
  <c r="N1067" i="1" s="1"/>
  <c r="J1067" i="1"/>
  <c r="M1067" i="1" s="1"/>
  <c r="I1067" i="1"/>
  <c r="L1067" i="1" s="1"/>
  <c r="B1067" i="1"/>
  <c r="K1066" i="1"/>
  <c r="N1066" i="1" s="1"/>
  <c r="J1066" i="1"/>
  <c r="M1066" i="1" s="1"/>
  <c r="I1066" i="1"/>
  <c r="L1066" i="1" s="1"/>
  <c r="B1066" i="1"/>
  <c r="K1065" i="1"/>
  <c r="N1065" i="1" s="1"/>
  <c r="J1065" i="1"/>
  <c r="M1065" i="1" s="1"/>
  <c r="I1065" i="1"/>
  <c r="L1065" i="1" s="1"/>
  <c r="B1065" i="1"/>
  <c r="K1064" i="1"/>
  <c r="N1064" i="1" s="1"/>
  <c r="J1064" i="1"/>
  <c r="M1064" i="1" s="1"/>
  <c r="I1064" i="1"/>
  <c r="L1064" i="1" s="1"/>
  <c r="B1064" i="1"/>
  <c r="K1063" i="1"/>
  <c r="N1063" i="1" s="1"/>
  <c r="J1063" i="1"/>
  <c r="M1063" i="1" s="1"/>
  <c r="I1063" i="1"/>
  <c r="L1063" i="1" s="1"/>
  <c r="B1063" i="1"/>
  <c r="K1062" i="1"/>
  <c r="N1062" i="1" s="1"/>
  <c r="J1062" i="1"/>
  <c r="M1062" i="1" s="1"/>
  <c r="I1062" i="1"/>
  <c r="L1062" i="1" s="1"/>
  <c r="B1062" i="1"/>
  <c r="B1062" i="10" s="1"/>
  <c r="N1061" i="1"/>
  <c r="K1061" i="1"/>
  <c r="J1061" i="1"/>
  <c r="M1061" i="1" s="1"/>
  <c r="I1061" i="1"/>
  <c r="L1061" i="1" s="1"/>
  <c r="B1061" i="1"/>
  <c r="K1060" i="1"/>
  <c r="N1060" i="1" s="1"/>
  <c r="J1060" i="1"/>
  <c r="M1060" i="1" s="1"/>
  <c r="I1060" i="1"/>
  <c r="L1060" i="1" s="1"/>
  <c r="B1060" i="1"/>
  <c r="K1059" i="1"/>
  <c r="N1059" i="1" s="1"/>
  <c r="J1059" i="1"/>
  <c r="M1059" i="1" s="1"/>
  <c r="I1059" i="1"/>
  <c r="L1059" i="1" s="1"/>
  <c r="B1059" i="1"/>
  <c r="B1059" i="10" s="1"/>
  <c r="K1058" i="1"/>
  <c r="N1058" i="1" s="1"/>
  <c r="J1058" i="1"/>
  <c r="M1058" i="1" s="1"/>
  <c r="I1058" i="1"/>
  <c r="L1058" i="1" s="1"/>
  <c r="B1058" i="1"/>
  <c r="N1057" i="1"/>
  <c r="K1057" i="1"/>
  <c r="J1057" i="1"/>
  <c r="M1057" i="1" s="1"/>
  <c r="I1057" i="1"/>
  <c r="L1057" i="1" s="1"/>
  <c r="B1057" i="1"/>
  <c r="M1056" i="1"/>
  <c r="K1056" i="1"/>
  <c r="N1056" i="1" s="1"/>
  <c r="J1056" i="1"/>
  <c r="I1056" i="1"/>
  <c r="L1056" i="1" s="1"/>
  <c r="B1056" i="1"/>
  <c r="K1055" i="1"/>
  <c r="N1055" i="1" s="1"/>
  <c r="J1055" i="1"/>
  <c r="M1055" i="1" s="1"/>
  <c r="I1055" i="1"/>
  <c r="L1055" i="1" s="1"/>
  <c r="B1055" i="1"/>
  <c r="K1054" i="1"/>
  <c r="N1054" i="1" s="1"/>
  <c r="J1054" i="1"/>
  <c r="M1054" i="1" s="1"/>
  <c r="I1054" i="1"/>
  <c r="L1054" i="1" s="1"/>
  <c r="B1054" i="1"/>
  <c r="K1053" i="1"/>
  <c r="N1053" i="1" s="1"/>
  <c r="J1053" i="1"/>
  <c r="M1053" i="1" s="1"/>
  <c r="I1053" i="1"/>
  <c r="L1053" i="1" s="1"/>
  <c r="B1053" i="1"/>
  <c r="B1053" i="10" s="1"/>
  <c r="K1052" i="1"/>
  <c r="N1052" i="1" s="1"/>
  <c r="J1052" i="1"/>
  <c r="M1052" i="1" s="1"/>
  <c r="I1052" i="1"/>
  <c r="L1052" i="1" s="1"/>
  <c r="B1052" i="1"/>
  <c r="N1051" i="1"/>
  <c r="K1051" i="1"/>
  <c r="J1051" i="1"/>
  <c r="M1051" i="1" s="1"/>
  <c r="I1051" i="1"/>
  <c r="L1051" i="1" s="1"/>
  <c r="B1051" i="1"/>
  <c r="K1050" i="1"/>
  <c r="N1050" i="1" s="1"/>
  <c r="J1050" i="1"/>
  <c r="M1050" i="1" s="1"/>
  <c r="I1050" i="1"/>
  <c r="L1050" i="1" s="1"/>
  <c r="B1050" i="1"/>
  <c r="K1049" i="1"/>
  <c r="N1049" i="1" s="1"/>
  <c r="J1049" i="1"/>
  <c r="M1049" i="1" s="1"/>
  <c r="I1049" i="1"/>
  <c r="L1049" i="1" s="1"/>
  <c r="B1049" i="1"/>
  <c r="L1048" i="1"/>
  <c r="K1048" i="1"/>
  <c r="N1048" i="1" s="1"/>
  <c r="J1048" i="1"/>
  <c r="M1048" i="1" s="1"/>
  <c r="I1048" i="1"/>
  <c r="B1048" i="1"/>
  <c r="K1047" i="1"/>
  <c r="N1047" i="1" s="1"/>
  <c r="J1047" i="1"/>
  <c r="M1047" i="1" s="1"/>
  <c r="I1047" i="1"/>
  <c r="L1047" i="1" s="1"/>
  <c r="B1047" i="1"/>
  <c r="K1046" i="1"/>
  <c r="N1046" i="1" s="1"/>
  <c r="J1046" i="1"/>
  <c r="M1046" i="1" s="1"/>
  <c r="I1046" i="1"/>
  <c r="L1046" i="1" s="1"/>
  <c r="B1046" i="1"/>
  <c r="K1045" i="1"/>
  <c r="N1045" i="1" s="1"/>
  <c r="J1045" i="1"/>
  <c r="M1045" i="1" s="1"/>
  <c r="I1045" i="1"/>
  <c r="L1045" i="1" s="1"/>
  <c r="B1045" i="1"/>
  <c r="K1044" i="1"/>
  <c r="N1044" i="1" s="1"/>
  <c r="J1044" i="1"/>
  <c r="M1044" i="1" s="1"/>
  <c r="I1044" i="1"/>
  <c r="L1044" i="1" s="1"/>
  <c r="B1044" i="1"/>
  <c r="L1043" i="1"/>
  <c r="K1043" i="1"/>
  <c r="N1043" i="1" s="1"/>
  <c r="J1043" i="1"/>
  <c r="M1043" i="1" s="1"/>
  <c r="I1043" i="1"/>
  <c r="B1043" i="1"/>
  <c r="K1042" i="1"/>
  <c r="N1042" i="1" s="1"/>
  <c r="J1042" i="1"/>
  <c r="M1042" i="1" s="1"/>
  <c r="I1042" i="1"/>
  <c r="L1042" i="1" s="1"/>
  <c r="B1042" i="1"/>
  <c r="K1041" i="1"/>
  <c r="N1041" i="1" s="1"/>
  <c r="J1041" i="1"/>
  <c r="M1041" i="1" s="1"/>
  <c r="I1041" i="1"/>
  <c r="L1041" i="1" s="1"/>
  <c r="B1041" i="1"/>
  <c r="B1041" i="10" s="1"/>
  <c r="L1040" i="1"/>
  <c r="K1040" i="1"/>
  <c r="N1040" i="1" s="1"/>
  <c r="J1040" i="1"/>
  <c r="M1040" i="1" s="1"/>
  <c r="I1040" i="1"/>
  <c r="B1040" i="1"/>
  <c r="L1039" i="1"/>
  <c r="K1039" i="1"/>
  <c r="N1039" i="1" s="1"/>
  <c r="J1039" i="1"/>
  <c r="M1039" i="1" s="1"/>
  <c r="I1039" i="1"/>
  <c r="B1039" i="1"/>
  <c r="K1038" i="1"/>
  <c r="N1038" i="1" s="1"/>
  <c r="J1038" i="1"/>
  <c r="M1038" i="1" s="1"/>
  <c r="I1038" i="1"/>
  <c r="L1038" i="1" s="1"/>
  <c r="B1038" i="1"/>
  <c r="N1037" i="1"/>
  <c r="M1037" i="1"/>
  <c r="K1037" i="1"/>
  <c r="J1037" i="1"/>
  <c r="I1037" i="1"/>
  <c r="L1037" i="1" s="1"/>
  <c r="B1037" i="1"/>
  <c r="M1036" i="1"/>
  <c r="K1036" i="1"/>
  <c r="N1036" i="1" s="1"/>
  <c r="J1036" i="1"/>
  <c r="I1036" i="1"/>
  <c r="L1036" i="1" s="1"/>
  <c r="B1036" i="1"/>
  <c r="K1035" i="1"/>
  <c r="N1035" i="1" s="1"/>
  <c r="J1035" i="1"/>
  <c r="M1035" i="1" s="1"/>
  <c r="I1035" i="1"/>
  <c r="L1035" i="1" s="1"/>
  <c r="B1035" i="1"/>
  <c r="K1034" i="1"/>
  <c r="N1034" i="1" s="1"/>
  <c r="J1034" i="1"/>
  <c r="M1034" i="1" s="1"/>
  <c r="I1034" i="1"/>
  <c r="L1034" i="1" s="1"/>
  <c r="B1034" i="1"/>
  <c r="B1034" i="10" s="1"/>
  <c r="M1033" i="1"/>
  <c r="L1033" i="1"/>
  <c r="K1033" i="1"/>
  <c r="N1033" i="1" s="1"/>
  <c r="J1033" i="1"/>
  <c r="I1033" i="1"/>
  <c r="B1033" i="1"/>
  <c r="K1032" i="1"/>
  <c r="N1032" i="1" s="1"/>
  <c r="J1032" i="1"/>
  <c r="M1032" i="1" s="1"/>
  <c r="I1032" i="1"/>
  <c r="L1032" i="1" s="1"/>
  <c r="B1032" i="1"/>
  <c r="K1031" i="1"/>
  <c r="N1031" i="1" s="1"/>
  <c r="J1031" i="1"/>
  <c r="M1031" i="1" s="1"/>
  <c r="I1031" i="1"/>
  <c r="L1031" i="1" s="1"/>
  <c r="B1031" i="1"/>
  <c r="K1030" i="1"/>
  <c r="N1030" i="1" s="1"/>
  <c r="J1030" i="1"/>
  <c r="M1030" i="1" s="1"/>
  <c r="I1030" i="1"/>
  <c r="L1030" i="1" s="1"/>
  <c r="B1030" i="1"/>
  <c r="K1029" i="1"/>
  <c r="N1029" i="1" s="1"/>
  <c r="J1029" i="1"/>
  <c r="M1029" i="1" s="1"/>
  <c r="I1029" i="1"/>
  <c r="L1029" i="1" s="1"/>
  <c r="B1029" i="1"/>
  <c r="K1028" i="1"/>
  <c r="N1028" i="1" s="1"/>
  <c r="J1028" i="1"/>
  <c r="M1028" i="1" s="1"/>
  <c r="I1028" i="1"/>
  <c r="L1028" i="1" s="1"/>
  <c r="B1028" i="1"/>
  <c r="N1027" i="1"/>
  <c r="K1027" i="1"/>
  <c r="J1027" i="1"/>
  <c r="M1027" i="1" s="1"/>
  <c r="I1027" i="1"/>
  <c r="L1027" i="1" s="1"/>
  <c r="B1027" i="1"/>
  <c r="K1026" i="1"/>
  <c r="N1026" i="1" s="1"/>
  <c r="J1026" i="1"/>
  <c r="M1026" i="1" s="1"/>
  <c r="I1026" i="1"/>
  <c r="L1026" i="1" s="1"/>
  <c r="B1026" i="1"/>
  <c r="K1025" i="1"/>
  <c r="N1025" i="1" s="1"/>
  <c r="J1025" i="1"/>
  <c r="M1025" i="1" s="1"/>
  <c r="I1025" i="1"/>
  <c r="L1025" i="1" s="1"/>
  <c r="B1025" i="1"/>
  <c r="K1024" i="1"/>
  <c r="N1024" i="1" s="1"/>
  <c r="J1024" i="1"/>
  <c r="M1024" i="1" s="1"/>
  <c r="I1024" i="1"/>
  <c r="L1024" i="1" s="1"/>
  <c r="B1024" i="1"/>
  <c r="B1024" i="10" s="1"/>
  <c r="K1023" i="1"/>
  <c r="N1023" i="1" s="1"/>
  <c r="J1023" i="1"/>
  <c r="M1023" i="1" s="1"/>
  <c r="I1023" i="1"/>
  <c r="L1023" i="1" s="1"/>
  <c r="B1023" i="1"/>
  <c r="K1022" i="1"/>
  <c r="N1022" i="1" s="1"/>
  <c r="J1022" i="1"/>
  <c r="M1022" i="1" s="1"/>
  <c r="I1022" i="1"/>
  <c r="L1022" i="1" s="1"/>
  <c r="B1022" i="1"/>
  <c r="K1021" i="1"/>
  <c r="N1021" i="1" s="1"/>
  <c r="J1021" i="1"/>
  <c r="M1021" i="1" s="1"/>
  <c r="I1021" i="1"/>
  <c r="L1021" i="1" s="1"/>
  <c r="B1021" i="1"/>
  <c r="K1020" i="1"/>
  <c r="N1020" i="1" s="1"/>
  <c r="J1020" i="1"/>
  <c r="M1020" i="1" s="1"/>
  <c r="I1020" i="1"/>
  <c r="L1020" i="1" s="1"/>
  <c r="B1020" i="1"/>
  <c r="B1020" i="10" s="1"/>
  <c r="L1019" i="1"/>
  <c r="K1019" i="1"/>
  <c r="N1019" i="1" s="1"/>
  <c r="J1019" i="1"/>
  <c r="M1019" i="1" s="1"/>
  <c r="I1019" i="1"/>
  <c r="B1019" i="1"/>
  <c r="K1018" i="1"/>
  <c r="N1018" i="1" s="1"/>
  <c r="J1018" i="1"/>
  <c r="M1018" i="1" s="1"/>
  <c r="I1018" i="1"/>
  <c r="L1018" i="1" s="1"/>
  <c r="B1018" i="1"/>
  <c r="B1018" i="10" s="1"/>
  <c r="K1017" i="1"/>
  <c r="N1017" i="1" s="1"/>
  <c r="J1017" i="1"/>
  <c r="M1017" i="1" s="1"/>
  <c r="I1017" i="1"/>
  <c r="L1017" i="1" s="1"/>
  <c r="B1017" i="1"/>
  <c r="K1016" i="1"/>
  <c r="N1016" i="1" s="1"/>
  <c r="J1016" i="1"/>
  <c r="M1016" i="1" s="1"/>
  <c r="I1016" i="1"/>
  <c r="L1016" i="1" s="1"/>
  <c r="B1016" i="1"/>
  <c r="B1016" i="10" s="1"/>
  <c r="K1015" i="1"/>
  <c r="N1015" i="1" s="1"/>
  <c r="J1015" i="1"/>
  <c r="M1015" i="1" s="1"/>
  <c r="I1015" i="1"/>
  <c r="L1015" i="1" s="1"/>
  <c r="B1015" i="1"/>
  <c r="K1014" i="1"/>
  <c r="N1014" i="1" s="1"/>
  <c r="J1014" i="1"/>
  <c r="M1014" i="1" s="1"/>
  <c r="I1014" i="1"/>
  <c r="L1014" i="1" s="1"/>
  <c r="B1014" i="1"/>
  <c r="K1013" i="1"/>
  <c r="N1013" i="1" s="1"/>
  <c r="J1013" i="1"/>
  <c r="M1013" i="1" s="1"/>
  <c r="I1013" i="1"/>
  <c r="L1013" i="1" s="1"/>
  <c r="B1013" i="1"/>
  <c r="N1012" i="1"/>
  <c r="L1012" i="1"/>
  <c r="K1012" i="1"/>
  <c r="J1012" i="1"/>
  <c r="M1012" i="1" s="1"/>
  <c r="I1012" i="1"/>
  <c r="B1012" i="1"/>
  <c r="K1011" i="1"/>
  <c r="N1011" i="1" s="1"/>
  <c r="J1011" i="1"/>
  <c r="M1011" i="1" s="1"/>
  <c r="I1011" i="1"/>
  <c r="L1011" i="1" s="1"/>
  <c r="B1011" i="1"/>
  <c r="K1010" i="1"/>
  <c r="N1010" i="1" s="1"/>
  <c r="J1010" i="1"/>
  <c r="M1010" i="1" s="1"/>
  <c r="I1010" i="1"/>
  <c r="L1010" i="1" s="1"/>
  <c r="B1010" i="1"/>
  <c r="B1010" i="10" s="1"/>
  <c r="M1009" i="1"/>
  <c r="K1009" i="1"/>
  <c r="N1009" i="1" s="1"/>
  <c r="J1009" i="1"/>
  <c r="I1009" i="1"/>
  <c r="L1009" i="1" s="1"/>
  <c r="B1009" i="1"/>
  <c r="K1008" i="1"/>
  <c r="N1008" i="1" s="1"/>
  <c r="J1008" i="1"/>
  <c r="M1008" i="1" s="1"/>
  <c r="I1008" i="1"/>
  <c r="L1008" i="1" s="1"/>
  <c r="B1008" i="1"/>
  <c r="K1007" i="1"/>
  <c r="N1007" i="1" s="1"/>
  <c r="J1007" i="1"/>
  <c r="M1007" i="1" s="1"/>
  <c r="I1007" i="1"/>
  <c r="L1007" i="1" s="1"/>
  <c r="B1007" i="1"/>
  <c r="K1006" i="1"/>
  <c r="N1006" i="1" s="1"/>
  <c r="J1006" i="1"/>
  <c r="M1006" i="1" s="1"/>
  <c r="I1006" i="1"/>
  <c r="L1006" i="1" s="1"/>
  <c r="B1006" i="1"/>
  <c r="K1005" i="1"/>
  <c r="N1005" i="1" s="1"/>
  <c r="J1005" i="1"/>
  <c r="M1005" i="1" s="1"/>
  <c r="I1005" i="1"/>
  <c r="L1005" i="1" s="1"/>
  <c r="B1005" i="1"/>
  <c r="K1004" i="1"/>
  <c r="N1004" i="1" s="1"/>
  <c r="J1004" i="1"/>
  <c r="M1004" i="1" s="1"/>
  <c r="I1004" i="1"/>
  <c r="L1004" i="1" s="1"/>
  <c r="B1004" i="1"/>
  <c r="K1003" i="1"/>
  <c r="N1003" i="1" s="1"/>
  <c r="J1003" i="1"/>
  <c r="M1003" i="1" s="1"/>
  <c r="I1003" i="1"/>
  <c r="L1003" i="1" s="1"/>
  <c r="B1003" i="1"/>
  <c r="B1003" i="10" s="1"/>
  <c r="L1002" i="1"/>
  <c r="K1002" i="1"/>
  <c r="N1002" i="1" s="1"/>
  <c r="J1002" i="1"/>
  <c r="M1002" i="1" s="1"/>
  <c r="I1002" i="1"/>
  <c r="B1002" i="1"/>
  <c r="M1001" i="1"/>
  <c r="K1001" i="1"/>
  <c r="N1001" i="1" s="1"/>
  <c r="J1001" i="1"/>
  <c r="I1001" i="1"/>
  <c r="L1001" i="1" s="1"/>
  <c r="B1001" i="1"/>
  <c r="K1000" i="1"/>
  <c r="N1000" i="1" s="1"/>
  <c r="J1000" i="1"/>
  <c r="M1000" i="1" s="1"/>
  <c r="I1000" i="1"/>
  <c r="L1000" i="1" s="1"/>
  <c r="B1000" i="1"/>
  <c r="B1000" i="10" s="1"/>
  <c r="K999" i="1"/>
  <c r="N999" i="1" s="1"/>
  <c r="J999" i="1"/>
  <c r="M999" i="1" s="1"/>
  <c r="I999" i="1"/>
  <c r="L999" i="1" s="1"/>
  <c r="B999" i="1"/>
  <c r="L998" i="1"/>
  <c r="K998" i="1"/>
  <c r="N998" i="1" s="1"/>
  <c r="J998" i="1"/>
  <c r="M998" i="1" s="1"/>
  <c r="I998" i="1"/>
  <c r="B998" i="1"/>
  <c r="B998" i="10" s="1"/>
  <c r="K997" i="1"/>
  <c r="N997" i="1" s="1"/>
  <c r="J997" i="1"/>
  <c r="M997" i="1" s="1"/>
  <c r="I997" i="1"/>
  <c r="L997" i="1" s="1"/>
  <c r="B997" i="1"/>
  <c r="K996" i="1"/>
  <c r="N996" i="1" s="1"/>
  <c r="J996" i="1"/>
  <c r="M996" i="1" s="1"/>
  <c r="I996" i="1"/>
  <c r="L996" i="1" s="1"/>
  <c r="B996" i="1"/>
  <c r="K995" i="1"/>
  <c r="N995" i="1" s="1"/>
  <c r="J995" i="1"/>
  <c r="M995" i="1" s="1"/>
  <c r="I995" i="1"/>
  <c r="L995" i="1" s="1"/>
  <c r="B995" i="1"/>
  <c r="M994" i="1"/>
  <c r="K994" i="1"/>
  <c r="N994" i="1" s="1"/>
  <c r="J994" i="1"/>
  <c r="I994" i="1"/>
  <c r="L994" i="1" s="1"/>
  <c r="B994" i="1"/>
  <c r="B994" i="10" s="1"/>
  <c r="M993" i="1"/>
  <c r="K993" i="1"/>
  <c r="N993" i="1" s="1"/>
  <c r="J993" i="1"/>
  <c r="I993" i="1"/>
  <c r="L993" i="1" s="1"/>
  <c r="B993" i="1"/>
  <c r="K992" i="1"/>
  <c r="N992" i="1" s="1"/>
  <c r="J992" i="1"/>
  <c r="M992" i="1" s="1"/>
  <c r="I992" i="1"/>
  <c r="L992" i="1" s="1"/>
  <c r="B992" i="1"/>
  <c r="K991" i="1"/>
  <c r="N991" i="1" s="1"/>
  <c r="J991" i="1"/>
  <c r="M991" i="1" s="1"/>
  <c r="I991" i="1"/>
  <c r="L991" i="1" s="1"/>
  <c r="B991" i="1"/>
  <c r="B991" i="10" s="1"/>
  <c r="K990" i="1"/>
  <c r="N990" i="1" s="1"/>
  <c r="J990" i="1"/>
  <c r="M990" i="1" s="1"/>
  <c r="I990" i="1"/>
  <c r="L990" i="1" s="1"/>
  <c r="B990" i="1"/>
  <c r="K989" i="1"/>
  <c r="N989" i="1" s="1"/>
  <c r="J989" i="1"/>
  <c r="M989" i="1" s="1"/>
  <c r="I989" i="1"/>
  <c r="L989" i="1" s="1"/>
  <c r="B989" i="1"/>
  <c r="K988" i="1"/>
  <c r="N988" i="1" s="1"/>
  <c r="J988" i="1"/>
  <c r="M988" i="1" s="1"/>
  <c r="I988" i="1"/>
  <c r="L988" i="1" s="1"/>
  <c r="B988" i="1"/>
  <c r="N987" i="1"/>
  <c r="K987" i="1"/>
  <c r="J987" i="1"/>
  <c r="M987" i="1" s="1"/>
  <c r="I987" i="1"/>
  <c r="L987" i="1" s="1"/>
  <c r="B987" i="1"/>
  <c r="K986" i="1"/>
  <c r="N986" i="1" s="1"/>
  <c r="J986" i="1"/>
  <c r="M986" i="1" s="1"/>
  <c r="I986" i="1"/>
  <c r="L986" i="1" s="1"/>
  <c r="B986" i="1"/>
  <c r="K985" i="1"/>
  <c r="N985" i="1" s="1"/>
  <c r="J985" i="1"/>
  <c r="M985" i="1" s="1"/>
  <c r="I985" i="1"/>
  <c r="L985" i="1" s="1"/>
  <c r="B985" i="1"/>
  <c r="K984" i="1"/>
  <c r="N984" i="1" s="1"/>
  <c r="J984" i="1"/>
  <c r="M984" i="1" s="1"/>
  <c r="I984" i="1"/>
  <c r="L984" i="1" s="1"/>
  <c r="B984" i="1"/>
  <c r="B984" i="10" s="1"/>
  <c r="K983" i="1"/>
  <c r="N983" i="1" s="1"/>
  <c r="J983" i="1"/>
  <c r="M983" i="1" s="1"/>
  <c r="I983" i="1"/>
  <c r="L983" i="1" s="1"/>
  <c r="B983" i="1"/>
  <c r="B983" i="10" s="1"/>
  <c r="K982" i="1"/>
  <c r="N982" i="1" s="1"/>
  <c r="J982" i="1"/>
  <c r="M982" i="1" s="1"/>
  <c r="I982" i="1"/>
  <c r="L982" i="1" s="1"/>
  <c r="B982" i="1"/>
  <c r="B982" i="10" s="1"/>
  <c r="K981" i="1"/>
  <c r="N981" i="1" s="1"/>
  <c r="J981" i="1"/>
  <c r="M981" i="1" s="1"/>
  <c r="I981" i="1"/>
  <c r="L981" i="1" s="1"/>
  <c r="B981" i="1"/>
  <c r="K980" i="1"/>
  <c r="N980" i="1" s="1"/>
  <c r="J980" i="1"/>
  <c r="M980" i="1" s="1"/>
  <c r="I980" i="1"/>
  <c r="L980" i="1" s="1"/>
  <c r="B980" i="1"/>
  <c r="B980" i="10" s="1"/>
  <c r="L979" i="1"/>
  <c r="K979" i="1"/>
  <c r="N979" i="1" s="1"/>
  <c r="J979" i="1"/>
  <c r="M979" i="1" s="1"/>
  <c r="I979" i="1"/>
  <c r="B979" i="1"/>
  <c r="K978" i="1"/>
  <c r="N978" i="1" s="1"/>
  <c r="J978" i="1"/>
  <c r="M978" i="1" s="1"/>
  <c r="I978" i="1"/>
  <c r="L978" i="1" s="1"/>
  <c r="B978" i="1"/>
  <c r="M977" i="1"/>
  <c r="K977" i="1"/>
  <c r="N977" i="1" s="1"/>
  <c r="J977" i="1"/>
  <c r="I977" i="1"/>
  <c r="L977" i="1" s="1"/>
  <c r="B977" i="1"/>
  <c r="K976" i="1"/>
  <c r="N976" i="1" s="1"/>
  <c r="J976" i="1"/>
  <c r="M976" i="1" s="1"/>
  <c r="I976" i="1"/>
  <c r="L976" i="1" s="1"/>
  <c r="B976" i="1"/>
  <c r="K975" i="1"/>
  <c r="N975" i="1" s="1"/>
  <c r="J975" i="1"/>
  <c r="M975" i="1" s="1"/>
  <c r="I975" i="1"/>
  <c r="L975" i="1" s="1"/>
  <c r="B975" i="1"/>
  <c r="B975" i="10" s="1"/>
  <c r="K974" i="1"/>
  <c r="N974" i="1" s="1"/>
  <c r="J974" i="1"/>
  <c r="M974" i="1" s="1"/>
  <c r="I974" i="1"/>
  <c r="L974" i="1" s="1"/>
  <c r="B974" i="1"/>
  <c r="N973" i="1"/>
  <c r="K973" i="1"/>
  <c r="J973" i="1"/>
  <c r="M973" i="1" s="1"/>
  <c r="I973" i="1"/>
  <c r="L973" i="1" s="1"/>
  <c r="B973" i="1"/>
  <c r="B973" i="10" s="1"/>
  <c r="K972" i="1"/>
  <c r="N972" i="1" s="1"/>
  <c r="J972" i="1"/>
  <c r="M972" i="1" s="1"/>
  <c r="I972" i="1"/>
  <c r="L972" i="1" s="1"/>
  <c r="B972" i="1"/>
  <c r="B972" i="10" s="1"/>
  <c r="K971" i="1"/>
  <c r="N971" i="1" s="1"/>
  <c r="J971" i="1"/>
  <c r="M971" i="1" s="1"/>
  <c r="I971" i="1"/>
  <c r="L971" i="1" s="1"/>
  <c r="B971" i="1"/>
  <c r="K970" i="1"/>
  <c r="N970" i="1" s="1"/>
  <c r="J970" i="1"/>
  <c r="M970" i="1" s="1"/>
  <c r="I970" i="1"/>
  <c r="L970" i="1" s="1"/>
  <c r="B970" i="1"/>
  <c r="K969" i="1"/>
  <c r="N969" i="1" s="1"/>
  <c r="J969" i="1"/>
  <c r="M969" i="1" s="1"/>
  <c r="I969" i="1"/>
  <c r="L969" i="1" s="1"/>
  <c r="B969" i="1"/>
  <c r="K968" i="1"/>
  <c r="N968" i="1" s="1"/>
  <c r="J968" i="1"/>
  <c r="M968" i="1" s="1"/>
  <c r="I968" i="1"/>
  <c r="L968" i="1" s="1"/>
  <c r="B968" i="1"/>
  <c r="K967" i="1"/>
  <c r="N967" i="1" s="1"/>
  <c r="J967" i="1"/>
  <c r="M967" i="1" s="1"/>
  <c r="I967" i="1"/>
  <c r="L967" i="1" s="1"/>
  <c r="B967" i="1"/>
  <c r="K966" i="1"/>
  <c r="N966" i="1" s="1"/>
  <c r="J966" i="1"/>
  <c r="M966" i="1" s="1"/>
  <c r="I966" i="1"/>
  <c r="L966" i="1" s="1"/>
  <c r="B966" i="1"/>
  <c r="K965" i="1"/>
  <c r="N965" i="1" s="1"/>
  <c r="J965" i="1"/>
  <c r="M965" i="1" s="1"/>
  <c r="I965" i="1"/>
  <c r="L965" i="1" s="1"/>
  <c r="B965" i="1"/>
  <c r="N964" i="1"/>
  <c r="K964" i="1"/>
  <c r="J964" i="1"/>
  <c r="M964" i="1" s="1"/>
  <c r="I964" i="1"/>
  <c r="L964" i="1" s="1"/>
  <c r="B964" i="1"/>
  <c r="K963" i="1"/>
  <c r="N963" i="1" s="1"/>
  <c r="J963" i="1"/>
  <c r="M963" i="1" s="1"/>
  <c r="I963" i="1"/>
  <c r="L963" i="1" s="1"/>
  <c r="B963" i="1"/>
  <c r="B963" i="10" s="1"/>
  <c r="K962" i="1"/>
  <c r="N962" i="1" s="1"/>
  <c r="J962" i="1"/>
  <c r="M962" i="1" s="1"/>
  <c r="I962" i="1"/>
  <c r="L962" i="1" s="1"/>
  <c r="B962" i="1"/>
  <c r="K961" i="1"/>
  <c r="N961" i="1" s="1"/>
  <c r="J961" i="1"/>
  <c r="M961" i="1" s="1"/>
  <c r="I961" i="1"/>
  <c r="L961" i="1" s="1"/>
  <c r="B961" i="1"/>
  <c r="N960" i="1"/>
  <c r="M960" i="1"/>
  <c r="L960" i="1"/>
  <c r="K960" i="1"/>
  <c r="J960" i="1"/>
  <c r="I960" i="1"/>
  <c r="B960" i="1"/>
  <c r="K959" i="1"/>
  <c r="N959" i="1" s="1"/>
  <c r="J959" i="1"/>
  <c r="M959" i="1" s="1"/>
  <c r="I959" i="1"/>
  <c r="L959" i="1" s="1"/>
  <c r="B959" i="1"/>
  <c r="K958" i="1"/>
  <c r="N958" i="1" s="1"/>
  <c r="J958" i="1"/>
  <c r="M958" i="1" s="1"/>
  <c r="I958" i="1"/>
  <c r="L958" i="1" s="1"/>
  <c r="B958" i="1"/>
  <c r="N957" i="1"/>
  <c r="L957" i="1"/>
  <c r="K957" i="1"/>
  <c r="J957" i="1"/>
  <c r="M957" i="1" s="1"/>
  <c r="I957" i="1"/>
  <c r="B957" i="1"/>
  <c r="B957" i="10" s="1"/>
  <c r="L956" i="1"/>
  <c r="K956" i="1"/>
  <c r="N956" i="1" s="1"/>
  <c r="J956" i="1"/>
  <c r="M956" i="1" s="1"/>
  <c r="I956" i="1"/>
  <c r="B956" i="1"/>
  <c r="B956" i="10" s="1"/>
  <c r="N955" i="1"/>
  <c r="K955" i="1"/>
  <c r="J955" i="1"/>
  <c r="M955" i="1" s="1"/>
  <c r="I955" i="1"/>
  <c r="L955" i="1" s="1"/>
  <c r="B955" i="1"/>
  <c r="K954" i="1"/>
  <c r="N954" i="1" s="1"/>
  <c r="J954" i="1"/>
  <c r="M954" i="1" s="1"/>
  <c r="I954" i="1"/>
  <c r="L954" i="1" s="1"/>
  <c r="B954" i="1"/>
  <c r="K953" i="1"/>
  <c r="N953" i="1" s="1"/>
  <c r="J953" i="1"/>
  <c r="M953" i="1" s="1"/>
  <c r="I953" i="1"/>
  <c r="L953" i="1" s="1"/>
  <c r="B953" i="1"/>
  <c r="K952" i="1"/>
  <c r="N952" i="1" s="1"/>
  <c r="J952" i="1"/>
  <c r="M952" i="1" s="1"/>
  <c r="I952" i="1"/>
  <c r="L952" i="1" s="1"/>
  <c r="B952" i="1"/>
  <c r="K951" i="1"/>
  <c r="N951" i="1" s="1"/>
  <c r="J951" i="1"/>
  <c r="M951" i="1" s="1"/>
  <c r="I951" i="1"/>
  <c r="L951" i="1" s="1"/>
  <c r="B951" i="1"/>
  <c r="K950" i="1"/>
  <c r="N950" i="1" s="1"/>
  <c r="J950" i="1"/>
  <c r="M950" i="1" s="1"/>
  <c r="I950" i="1"/>
  <c r="L950" i="1" s="1"/>
  <c r="B950" i="1"/>
  <c r="B950" i="10" s="1"/>
  <c r="L949" i="1"/>
  <c r="K949" i="1"/>
  <c r="N949" i="1" s="1"/>
  <c r="J949" i="1"/>
  <c r="M949" i="1" s="1"/>
  <c r="I949" i="1"/>
  <c r="B949" i="1"/>
  <c r="K948" i="1"/>
  <c r="N948" i="1" s="1"/>
  <c r="J948" i="1"/>
  <c r="M948" i="1" s="1"/>
  <c r="I948" i="1"/>
  <c r="L948" i="1" s="1"/>
  <c r="B948" i="1"/>
  <c r="K947" i="1"/>
  <c r="N947" i="1" s="1"/>
  <c r="J947" i="1"/>
  <c r="M947" i="1" s="1"/>
  <c r="I947" i="1"/>
  <c r="L947" i="1" s="1"/>
  <c r="B947" i="1"/>
  <c r="K946" i="1"/>
  <c r="N946" i="1" s="1"/>
  <c r="J946" i="1"/>
  <c r="M946" i="1" s="1"/>
  <c r="I946" i="1"/>
  <c r="L946" i="1" s="1"/>
  <c r="B946" i="1"/>
  <c r="K945" i="1"/>
  <c r="N945" i="1" s="1"/>
  <c r="J945" i="1"/>
  <c r="M945" i="1" s="1"/>
  <c r="I945" i="1"/>
  <c r="L945" i="1" s="1"/>
  <c r="B945" i="1"/>
  <c r="B945" i="10" s="1"/>
  <c r="L944" i="1"/>
  <c r="K944" i="1"/>
  <c r="N944" i="1" s="1"/>
  <c r="J944" i="1"/>
  <c r="M944" i="1" s="1"/>
  <c r="I944" i="1"/>
  <c r="B944" i="1"/>
  <c r="K943" i="1"/>
  <c r="N943" i="1" s="1"/>
  <c r="J943" i="1"/>
  <c r="M943" i="1" s="1"/>
  <c r="I943" i="1"/>
  <c r="L943" i="1" s="1"/>
  <c r="B943" i="1"/>
  <c r="K942" i="1"/>
  <c r="N942" i="1" s="1"/>
  <c r="J942" i="1"/>
  <c r="M942" i="1" s="1"/>
  <c r="I942" i="1"/>
  <c r="L942" i="1" s="1"/>
  <c r="B942" i="1"/>
  <c r="K941" i="1"/>
  <c r="N941" i="1" s="1"/>
  <c r="J941" i="1"/>
  <c r="M941" i="1" s="1"/>
  <c r="I941" i="1"/>
  <c r="L941" i="1" s="1"/>
  <c r="B941" i="1"/>
  <c r="K940" i="1"/>
  <c r="N940" i="1" s="1"/>
  <c r="J940" i="1"/>
  <c r="M940" i="1" s="1"/>
  <c r="I940" i="1"/>
  <c r="L940" i="1" s="1"/>
  <c r="B940" i="1"/>
  <c r="K939" i="1"/>
  <c r="N939" i="1" s="1"/>
  <c r="J939" i="1"/>
  <c r="M939" i="1" s="1"/>
  <c r="I939" i="1"/>
  <c r="L939" i="1" s="1"/>
  <c r="B939" i="1"/>
  <c r="B939" i="10" s="1"/>
  <c r="K938" i="1"/>
  <c r="N938" i="1" s="1"/>
  <c r="J938" i="1"/>
  <c r="M938" i="1" s="1"/>
  <c r="I938" i="1"/>
  <c r="L938" i="1" s="1"/>
  <c r="B938" i="1"/>
  <c r="K937" i="1"/>
  <c r="N937" i="1" s="1"/>
  <c r="J937" i="1"/>
  <c r="M937" i="1" s="1"/>
  <c r="I937" i="1"/>
  <c r="L937" i="1" s="1"/>
  <c r="B937" i="1"/>
  <c r="B937" i="10" s="1"/>
  <c r="K936" i="1"/>
  <c r="N936" i="1" s="1"/>
  <c r="J936" i="1"/>
  <c r="M936" i="1" s="1"/>
  <c r="I936" i="1"/>
  <c r="L936" i="1" s="1"/>
  <c r="B936" i="1"/>
  <c r="L935" i="1"/>
  <c r="K935" i="1"/>
  <c r="N935" i="1" s="1"/>
  <c r="J935" i="1"/>
  <c r="M935" i="1" s="1"/>
  <c r="I935" i="1"/>
  <c r="B935" i="1"/>
  <c r="K934" i="1"/>
  <c r="N934" i="1" s="1"/>
  <c r="J934" i="1"/>
  <c r="M934" i="1" s="1"/>
  <c r="I934" i="1"/>
  <c r="L934" i="1" s="1"/>
  <c r="B934" i="1"/>
  <c r="B934" i="10" s="1"/>
  <c r="K933" i="1"/>
  <c r="N933" i="1" s="1"/>
  <c r="J933" i="1"/>
  <c r="M933" i="1" s="1"/>
  <c r="I933" i="1"/>
  <c r="L933" i="1" s="1"/>
  <c r="B933" i="1"/>
  <c r="M932" i="1"/>
  <c r="L932" i="1"/>
  <c r="K932" i="1"/>
  <c r="N932" i="1" s="1"/>
  <c r="J932" i="1"/>
  <c r="I932" i="1"/>
  <c r="B932" i="1"/>
  <c r="B932" i="10" s="1"/>
  <c r="K931" i="1"/>
  <c r="N931" i="1" s="1"/>
  <c r="J931" i="1"/>
  <c r="M931" i="1" s="1"/>
  <c r="I931" i="1"/>
  <c r="L931" i="1" s="1"/>
  <c r="B931" i="1"/>
  <c r="K930" i="1"/>
  <c r="N930" i="1" s="1"/>
  <c r="J930" i="1"/>
  <c r="M930" i="1" s="1"/>
  <c r="I930" i="1"/>
  <c r="L930" i="1" s="1"/>
  <c r="B930" i="1"/>
  <c r="K929" i="1"/>
  <c r="N929" i="1" s="1"/>
  <c r="J929" i="1"/>
  <c r="M929" i="1" s="1"/>
  <c r="I929" i="1"/>
  <c r="L929" i="1" s="1"/>
  <c r="B929" i="1"/>
  <c r="K928" i="1"/>
  <c r="N928" i="1" s="1"/>
  <c r="J928" i="1"/>
  <c r="M928" i="1" s="1"/>
  <c r="I928" i="1"/>
  <c r="L928" i="1" s="1"/>
  <c r="B928" i="1"/>
  <c r="K927" i="1"/>
  <c r="N927" i="1" s="1"/>
  <c r="J927" i="1"/>
  <c r="M927" i="1" s="1"/>
  <c r="I927" i="1"/>
  <c r="L927" i="1" s="1"/>
  <c r="B927" i="1"/>
  <c r="M926" i="1"/>
  <c r="K926" i="1"/>
  <c r="N926" i="1" s="1"/>
  <c r="J926" i="1"/>
  <c r="I926" i="1"/>
  <c r="L926" i="1" s="1"/>
  <c r="B926" i="1"/>
  <c r="B926" i="10" s="1"/>
  <c r="K925" i="1"/>
  <c r="N925" i="1" s="1"/>
  <c r="J925" i="1"/>
  <c r="M925" i="1" s="1"/>
  <c r="I925" i="1"/>
  <c r="L925" i="1" s="1"/>
  <c r="B925" i="1"/>
  <c r="K924" i="1"/>
  <c r="N924" i="1" s="1"/>
  <c r="J924" i="1"/>
  <c r="M924" i="1" s="1"/>
  <c r="I924" i="1"/>
  <c r="L924" i="1" s="1"/>
  <c r="B924" i="1"/>
  <c r="B924" i="10" s="1"/>
  <c r="L923" i="1"/>
  <c r="K923" i="1"/>
  <c r="N923" i="1" s="1"/>
  <c r="J923" i="1"/>
  <c r="M923" i="1" s="1"/>
  <c r="I923" i="1"/>
  <c r="B923" i="1"/>
  <c r="B923" i="10" s="1"/>
  <c r="L922" i="1"/>
  <c r="K922" i="1"/>
  <c r="N922" i="1" s="1"/>
  <c r="J922" i="1"/>
  <c r="M922" i="1" s="1"/>
  <c r="I922" i="1"/>
  <c r="B922" i="1"/>
  <c r="K921" i="1"/>
  <c r="N921" i="1" s="1"/>
  <c r="J921" i="1"/>
  <c r="M921" i="1" s="1"/>
  <c r="I921" i="1"/>
  <c r="L921" i="1" s="1"/>
  <c r="B921" i="1"/>
  <c r="K920" i="1"/>
  <c r="N920" i="1" s="1"/>
  <c r="J920" i="1"/>
  <c r="M920" i="1" s="1"/>
  <c r="I920" i="1"/>
  <c r="L920" i="1" s="1"/>
  <c r="B920" i="1"/>
  <c r="K919" i="1"/>
  <c r="N919" i="1" s="1"/>
  <c r="J919" i="1"/>
  <c r="M919" i="1" s="1"/>
  <c r="I919" i="1"/>
  <c r="L919" i="1" s="1"/>
  <c r="B919" i="1"/>
  <c r="B919" i="10" s="1"/>
  <c r="K918" i="1"/>
  <c r="N918" i="1" s="1"/>
  <c r="J918" i="1"/>
  <c r="M918" i="1" s="1"/>
  <c r="I918" i="1"/>
  <c r="L918" i="1" s="1"/>
  <c r="B918" i="1"/>
  <c r="K917" i="1"/>
  <c r="N917" i="1" s="1"/>
  <c r="J917" i="1"/>
  <c r="M917" i="1" s="1"/>
  <c r="I917" i="1"/>
  <c r="L917" i="1" s="1"/>
  <c r="B917" i="1"/>
  <c r="B917" i="10" s="1"/>
  <c r="M916" i="1"/>
  <c r="K916" i="1"/>
  <c r="N916" i="1" s="1"/>
  <c r="J916" i="1"/>
  <c r="I916" i="1"/>
  <c r="L916" i="1" s="1"/>
  <c r="B916" i="1"/>
  <c r="K915" i="1"/>
  <c r="N915" i="1" s="1"/>
  <c r="J915" i="1"/>
  <c r="M915" i="1" s="1"/>
  <c r="I915" i="1"/>
  <c r="L915" i="1" s="1"/>
  <c r="B915" i="1"/>
  <c r="K914" i="1"/>
  <c r="N914" i="1" s="1"/>
  <c r="J914" i="1"/>
  <c r="M914" i="1" s="1"/>
  <c r="I914" i="1"/>
  <c r="L914" i="1" s="1"/>
  <c r="B914" i="1"/>
  <c r="K913" i="1"/>
  <c r="N913" i="1" s="1"/>
  <c r="J913" i="1"/>
  <c r="M913" i="1" s="1"/>
  <c r="I913" i="1"/>
  <c r="L913" i="1" s="1"/>
  <c r="B913" i="1"/>
  <c r="K912" i="1"/>
  <c r="N912" i="1" s="1"/>
  <c r="J912" i="1"/>
  <c r="M912" i="1" s="1"/>
  <c r="I912" i="1"/>
  <c r="L912" i="1" s="1"/>
  <c r="B912" i="1"/>
  <c r="K911" i="1"/>
  <c r="N911" i="1" s="1"/>
  <c r="J911" i="1"/>
  <c r="M911" i="1" s="1"/>
  <c r="I911" i="1"/>
  <c r="L911" i="1" s="1"/>
  <c r="B911" i="1"/>
  <c r="K910" i="1"/>
  <c r="N910" i="1" s="1"/>
  <c r="J910" i="1"/>
  <c r="M910" i="1" s="1"/>
  <c r="I910" i="1"/>
  <c r="L910" i="1" s="1"/>
  <c r="B910" i="1"/>
  <c r="B910" i="10" s="1"/>
  <c r="K909" i="1"/>
  <c r="N909" i="1" s="1"/>
  <c r="J909" i="1"/>
  <c r="M909" i="1" s="1"/>
  <c r="I909" i="1"/>
  <c r="L909" i="1" s="1"/>
  <c r="B909" i="1"/>
  <c r="K908" i="1"/>
  <c r="N908" i="1" s="1"/>
  <c r="J908" i="1"/>
  <c r="M908" i="1" s="1"/>
  <c r="I908" i="1"/>
  <c r="L908" i="1" s="1"/>
  <c r="B908" i="1"/>
  <c r="K907" i="1"/>
  <c r="N907" i="1" s="1"/>
  <c r="J907" i="1"/>
  <c r="M907" i="1" s="1"/>
  <c r="I907" i="1"/>
  <c r="L907" i="1" s="1"/>
  <c r="B907" i="1"/>
  <c r="K906" i="1"/>
  <c r="N906" i="1" s="1"/>
  <c r="J906" i="1"/>
  <c r="M906" i="1" s="1"/>
  <c r="I906" i="1"/>
  <c r="L906" i="1" s="1"/>
  <c r="B906" i="1"/>
  <c r="B906" i="10" s="1"/>
  <c r="N905" i="1"/>
  <c r="K905" i="1"/>
  <c r="J905" i="1"/>
  <c r="M905" i="1" s="1"/>
  <c r="I905" i="1"/>
  <c r="L905" i="1" s="1"/>
  <c r="B905" i="1"/>
  <c r="B905" i="10" s="1"/>
  <c r="K904" i="1"/>
  <c r="N904" i="1" s="1"/>
  <c r="J904" i="1"/>
  <c r="M904" i="1" s="1"/>
  <c r="I904" i="1"/>
  <c r="L904" i="1" s="1"/>
  <c r="B904" i="1"/>
  <c r="K903" i="1"/>
  <c r="N903" i="1" s="1"/>
  <c r="J903" i="1"/>
  <c r="M903" i="1" s="1"/>
  <c r="I903" i="1"/>
  <c r="L903" i="1" s="1"/>
  <c r="B903" i="1"/>
  <c r="M902" i="1"/>
  <c r="K902" i="1"/>
  <c r="N902" i="1" s="1"/>
  <c r="J902" i="1"/>
  <c r="I902" i="1"/>
  <c r="L902" i="1" s="1"/>
  <c r="B902" i="1"/>
  <c r="K901" i="1"/>
  <c r="N901" i="1" s="1"/>
  <c r="J901" i="1"/>
  <c r="M901" i="1" s="1"/>
  <c r="I901" i="1"/>
  <c r="L901" i="1" s="1"/>
  <c r="B901" i="1"/>
  <c r="K900" i="1"/>
  <c r="N900" i="1" s="1"/>
  <c r="J900" i="1"/>
  <c r="M900" i="1" s="1"/>
  <c r="I900" i="1"/>
  <c r="L900" i="1" s="1"/>
  <c r="B900" i="1"/>
  <c r="K899" i="1"/>
  <c r="N899" i="1" s="1"/>
  <c r="J899" i="1"/>
  <c r="M899" i="1" s="1"/>
  <c r="I899" i="1"/>
  <c r="L899" i="1" s="1"/>
  <c r="B899" i="1"/>
  <c r="K898" i="1"/>
  <c r="N898" i="1" s="1"/>
  <c r="J898" i="1"/>
  <c r="M898" i="1" s="1"/>
  <c r="I898" i="1"/>
  <c r="L898" i="1" s="1"/>
  <c r="B898" i="1"/>
  <c r="K897" i="1"/>
  <c r="N897" i="1" s="1"/>
  <c r="J897" i="1"/>
  <c r="M897" i="1" s="1"/>
  <c r="I897" i="1"/>
  <c r="L897" i="1" s="1"/>
  <c r="B897" i="1"/>
  <c r="B897" i="10" s="1"/>
  <c r="K896" i="1"/>
  <c r="N896" i="1" s="1"/>
  <c r="J896" i="1"/>
  <c r="M896" i="1" s="1"/>
  <c r="I896" i="1"/>
  <c r="L896" i="1" s="1"/>
  <c r="B896" i="1"/>
  <c r="N895" i="1"/>
  <c r="M895" i="1"/>
  <c r="L895" i="1"/>
  <c r="K895" i="1"/>
  <c r="J895" i="1"/>
  <c r="I895" i="1"/>
  <c r="B895" i="1"/>
  <c r="K894" i="1"/>
  <c r="N894" i="1" s="1"/>
  <c r="J894" i="1"/>
  <c r="M894" i="1" s="1"/>
  <c r="I894" i="1"/>
  <c r="L894" i="1" s="1"/>
  <c r="B894" i="1"/>
  <c r="L893" i="1"/>
  <c r="K893" i="1"/>
  <c r="N893" i="1" s="1"/>
  <c r="J893" i="1"/>
  <c r="M893" i="1" s="1"/>
  <c r="I893" i="1"/>
  <c r="B893" i="1"/>
  <c r="K892" i="1"/>
  <c r="N892" i="1" s="1"/>
  <c r="J892" i="1"/>
  <c r="M892" i="1" s="1"/>
  <c r="I892" i="1"/>
  <c r="L892" i="1" s="1"/>
  <c r="B892" i="1"/>
  <c r="K891" i="1"/>
  <c r="N891" i="1" s="1"/>
  <c r="J891" i="1"/>
  <c r="M891" i="1" s="1"/>
  <c r="I891" i="1"/>
  <c r="L891" i="1" s="1"/>
  <c r="B891" i="1"/>
  <c r="M890" i="1"/>
  <c r="K890" i="1"/>
  <c r="N890" i="1" s="1"/>
  <c r="J890" i="1"/>
  <c r="I890" i="1"/>
  <c r="L890" i="1" s="1"/>
  <c r="B890" i="1"/>
  <c r="N889" i="1"/>
  <c r="L889" i="1"/>
  <c r="K889" i="1"/>
  <c r="J889" i="1"/>
  <c r="M889" i="1" s="1"/>
  <c r="I889" i="1"/>
  <c r="B889" i="1"/>
  <c r="M888" i="1"/>
  <c r="K888" i="1"/>
  <c r="N888" i="1" s="1"/>
  <c r="J888" i="1"/>
  <c r="I888" i="1"/>
  <c r="L888" i="1" s="1"/>
  <c r="B888" i="1"/>
  <c r="K887" i="1"/>
  <c r="N887" i="1" s="1"/>
  <c r="J887" i="1"/>
  <c r="M887" i="1" s="1"/>
  <c r="I887" i="1"/>
  <c r="L887" i="1" s="1"/>
  <c r="B887" i="1"/>
  <c r="K886" i="1"/>
  <c r="N886" i="1" s="1"/>
  <c r="J886" i="1"/>
  <c r="M886" i="1" s="1"/>
  <c r="I886" i="1"/>
  <c r="L886" i="1" s="1"/>
  <c r="B886" i="1"/>
  <c r="K885" i="1"/>
  <c r="N885" i="1" s="1"/>
  <c r="J885" i="1"/>
  <c r="M885" i="1" s="1"/>
  <c r="I885" i="1"/>
  <c r="L885" i="1" s="1"/>
  <c r="B885" i="1"/>
  <c r="N884" i="1"/>
  <c r="K884" i="1"/>
  <c r="J884" i="1"/>
  <c r="M884" i="1" s="1"/>
  <c r="I884" i="1"/>
  <c r="L884" i="1" s="1"/>
  <c r="B884" i="1"/>
  <c r="L883" i="1"/>
  <c r="K883" i="1"/>
  <c r="N883" i="1" s="1"/>
  <c r="J883" i="1"/>
  <c r="M883" i="1" s="1"/>
  <c r="I883" i="1"/>
  <c r="B883" i="1"/>
  <c r="K882" i="1"/>
  <c r="N882" i="1" s="1"/>
  <c r="J882" i="1"/>
  <c r="M882" i="1" s="1"/>
  <c r="I882" i="1"/>
  <c r="L882" i="1" s="1"/>
  <c r="B882" i="1"/>
  <c r="B882" i="10" s="1"/>
  <c r="K881" i="1"/>
  <c r="N881" i="1" s="1"/>
  <c r="J881" i="1"/>
  <c r="M881" i="1" s="1"/>
  <c r="I881" i="1"/>
  <c r="L881" i="1" s="1"/>
  <c r="B881" i="1"/>
  <c r="K880" i="1"/>
  <c r="N880" i="1" s="1"/>
  <c r="J880" i="1"/>
  <c r="M880" i="1" s="1"/>
  <c r="I880" i="1"/>
  <c r="L880" i="1" s="1"/>
  <c r="B880" i="1"/>
  <c r="K879" i="1"/>
  <c r="N879" i="1" s="1"/>
  <c r="J879" i="1"/>
  <c r="M879" i="1" s="1"/>
  <c r="I879" i="1"/>
  <c r="L879" i="1" s="1"/>
  <c r="B879" i="1"/>
  <c r="N878" i="1"/>
  <c r="M878" i="1"/>
  <c r="K878" i="1"/>
  <c r="J878" i="1"/>
  <c r="I878" i="1"/>
  <c r="L878" i="1" s="1"/>
  <c r="B878" i="1"/>
  <c r="K877" i="1"/>
  <c r="N877" i="1" s="1"/>
  <c r="J877" i="1"/>
  <c r="M877" i="1" s="1"/>
  <c r="I877" i="1"/>
  <c r="L877" i="1" s="1"/>
  <c r="B877" i="1"/>
  <c r="B877" i="10" s="1"/>
  <c r="K876" i="1"/>
  <c r="N876" i="1" s="1"/>
  <c r="J876" i="1"/>
  <c r="M876" i="1" s="1"/>
  <c r="I876" i="1"/>
  <c r="L876" i="1" s="1"/>
  <c r="B876" i="1"/>
  <c r="K875" i="1"/>
  <c r="N875" i="1" s="1"/>
  <c r="J875" i="1"/>
  <c r="M875" i="1" s="1"/>
  <c r="I875" i="1"/>
  <c r="L875" i="1" s="1"/>
  <c r="B875" i="1"/>
  <c r="K874" i="1"/>
  <c r="N874" i="1" s="1"/>
  <c r="J874" i="1"/>
  <c r="M874" i="1" s="1"/>
  <c r="I874" i="1"/>
  <c r="L874" i="1" s="1"/>
  <c r="B874" i="1"/>
  <c r="K873" i="1"/>
  <c r="N873" i="1" s="1"/>
  <c r="J873" i="1"/>
  <c r="M873" i="1" s="1"/>
  <c r="I873" i="1"/>
  <c r="L873" i="1" s="1"/>
  <c r="B873" i="1"/>
  <c r="N872" i="1"/>
  <c r="K872" i="1"/>
  <c r="J872" i="1"/>
  <c r="M872" i="1" s="1"/>
  <c r="I872" i="1"/>
  <c r="L872" i="1" s="1"/>
  <c r="B872" i="1"/>
  <c r="K871" i="1"/>
  <c r="N871" i="1" s="1"/>
  <c r="J871" i="1"/>
  <c r="M871" i="1" s="1"/>
  <c r="I871" i="1"/>
  <c r="L871" i="1" s="1"/>
  <c r="B871" i="1"/>
  <c r="K870" i="1"/>
  <c r="N870" i="1" s="1"/>
  <c r="J870" i="1"/>
  <c r="M870" i="1" s="1"/>
  <c r="I870" i="1"/>
  <c r="L870" i="1" s="1"/>
  <c r="B870" i="1"/>
  <c r="K869" i="1"/>
  <c r="N869" i="1" s="1"/>
  <c r="J869" i="1"/>
  <c r="M869" i="1" s="1"/>
  <c r="I869" i="1"/>
  <c r="L869" i="1" s="1"/>
  <c r="B869" i="1"/>
  <c r="K868" i="1"/>
  <c r="N868" i="1" s="1"/>
  <c r="J868" i="1"/>
  <c r="M868" i="1" s="1"/>
  <c r="I868" i="1"/>
  <c r="L868" i="1" s="1"/>
  <c r="B868" i="1"/>
  <c r="K867" i="1"/>
  <c r="N867" i="1" s="1"/>
  <c r="J867" i="1"/>
  <c r="M867" i="1" s="1"/>
  <c r="I867" i="1"/>
  <c r="L867" i="1" s="1"/>
  <c r="B867" i="1"/>
  <c r="K866" i="1"/>
  <c r="N866" i="1" s="1"/>
  <c r="J866" i="1"/>
  <c r="M866" i="1" s="1"/>
  <c r="I866" i="1"/>
  <c r="L866" i="1" s="1"/>
  <c r="B866" i="1"/>
  <c r="K865" i="1"/>
  <c r="N865" i="1" s="1"/>
  <c r="J865" i="1"/>
  <c r="M865" i="1" s="1"/>
  <c r="I865" i="1"/>
  <c r="L865" i="1" s="1"/>
  <c r="B865" i="1"/>
  <c r="K864" i="1"/>
  <c r="N864" i="1" s="1"/>
  <c r="J864" i="1"/>
  <c r="M864" i="1" s="1"/>
  <c r="I864" i="1"/>
  <c r="L864" i="1" s="1"/>
  <c r="B864" i="1"/>
  <c r="K863" i="1"/>
  <c r="N863" i="1" s="1"/>
  <c r="J863" i="1"/>
  <c r="M863" i="1" s="1"/>
  <c r="I863" i="1"/>
  <c r="L863" i="1" s="1"/>
  <c r="B863" i="1"/>
  <c r="B863" i="10" s="1"/>
  <c r="M862" i="1"/>
  <c r="L862" i="1"/>
  <c r="K862" i="1"/>
  <c r="N862" i="1" s="1"/>
  <c r="J862" i="1"/>
  <c r="I862" i="1"/>
  <c r="B862" i="1"/>
  <c r="K861" i="1"/>
  <c r="N861" i="1" s="1"/>
  <c r="J861" i="1"/>
  <c r="M861" i="1" s="1"/>
  <c r="I861" i="1"/>
  <c r="L861" i="1" s="1"/>
  <c r="B861" i="1"/>
  <c r="K860" i="1"/>
  <c r="N860" i="1" s="1"/>
  <c r="J860" i="1"/>
  <c r="M860" i="1" s="1"/>
  <c r="I860" i="1"/>
  <c r="L860" i="1" s="1"/>
  <c r="B860" i="1"/>
  <c r="L859" i="1"/>
  <c r="K859" i="1"/>
  <c r="N859" i="1" s="1"/>
  <c r="J859" i="1"/>
  <c r="M859" i="1" s="1"/>
  <c r="I859" i="1"/>
  <c r="B859" i="1"/>
  <c r="K858" i="1"/>
  <c r="N858" i="1" s="1"/>
  <c r="J858" i="1"/>
  <c r="M858" i="1" s="1"/>
  <c r="I858" i="1"/>
  <c r="L858" i="1" s="1"/>
  <c r="B858" i="1"/>
  <c r="N857" i="1"/>
  <c r="K857" i="1"/>
  <c r="J857" i="1"/>
  <c r="M857" i="1" s="1"/>
  <c r="I857" i="1"/>
  <c r="L857" i="1" s="1"/>
  <c r="B857" i="1"/>
  <c r="K856" i="1"/>
  <c r="N856" i="1" s="1"/>
  <c r="J856" i="1"/>
  <c r="M856" i="1" s="1"/>
  <c r="I856" i="1"/>
  <c r="L856" i="1" s="1"/>
  <c r="B856" i="1"/>
  <c r="K855" i="1"/>
  <c r="N855" i="1" s="1"/>
  <c r="J855" i="1"/>
  <c r="M855" i="1" s="1"/>
  <c r="I855" i="1"/>
  <c r="L855" i="1" s="1"/>
  <c r="B855" i="1"/>
  <c r="K854" i="1"/>
  <c r="N854" i="1" s="1"/>
  <c r="J854" i="1"/>
  <c r="M854" i="1" s="1"/>
  <c r="I854" i="1"/>
  <c r="L854" i="1" s="1"/>
  <c r="B854" i="1"/>
  <c r="K853" i="1"/>
  <c r="N853" i="1" s="1"/>
  <c r="J853" i="1"/>
  <c r="M853" i="1" s="1"/>
  <c r="I853" i="1"/>
  <c r="L853" i="1" s="1"/>
  <c r="B853" i="1"/>
  <c r="K852" i="1"/>
  <c r="N852" i="1" s="1"/>
  <c r="J852" i="1"/>
  <c r="M852" i="1" s="1"/>
  <c r="I852" i="1"/>
  <c r="L852" i="1" s="1"/>
  <c r="B852" i="1"/>
  <c r="K851" i="1"/>
  <c r="N851" i="1" s="1"/>
  <c r="J851" i="1"/>
  <c r="M851" i="1" s="1"/>
  <c r="I851" i="1"/>
  <c r="L851" i="1" s="1"/>
  <c r="B851" i="1"/>
  <c r="K850" i="1"/>
  <c r="N850" i="1" s="1"/>
  <c r="J850" i="1"/>
  <c r="M850" i="1" s="1"/>
  <c r="I850" i="1"/>
  <c r="L850" i="1" s="1"/>
  <c r="B850" i="1"/>
  <c r="K849" i="1"/>
  <c r="N849" i="1" s="1"/>
  <c r="J849" i="1"/>
  <c r="M849" i="1" s="1"/>
  <c r="I849" i="1"/>
  <c r="L849" i="1" s="1"/>
  <c r="B849" i="1"/>
  <c r="K848" i="1"/>
  <c r="N848" i="1" s="1"/>
  <c r="J848" i="1"/>
  <c r="M848" i="1" s="1"/>
  <c r="I848" i="1"/>
  <c r="L848" i="1" s="1"/>
  <c r="B848" i="1"/>
  <c r="K847" i="1"/>
  <c r="N847" i="1" s="1"/>
  <c r="J847" i="1"/>
  <c r="M847" i="1" s="1"/>
  <c r="I847" i="1"/>
  <c r="L847" i="1" s="1"/>
  <c r="B847" i="1"/>
  <c r="M846" i="1"/>
  <c r="K846" i="1"/>
  <c r="N846" i="1" s="1"/>
  <c r="J846" i="1"/>
  <c r="I846" i="1"/>
  <c r="L846" i="1" s="1"/>
  <c r="B846" i="1"/>
  <c r="K845" i="1"/>
  <c r="N845" i="1" s="1"/>
  <c r="J845" i="1"/>
  <c r="M845" i="1" s="1"/>
  <c r="I845" i="1"/>
  <c r="L845" i="1" s="1"/>
  <c r="B845" i="1"/>
  <c r="K844" i="1"/>
  <c r="N844" i="1" s="1"/>
  <c r="J844" i="1"/>
  <c r="M844" i="1" s="1"/>
  <c r="I844" i="1"/>
  <c r="L844" i="1" s="1"/>
  <c r="B844" i="1"/>
  <c r="K843" i="1"/>
  <c r="N843" i="1" s="1"/>
  <c r="J843" i="1"/>
  <c r="M843" i="1" s="1"/>
  <c r="I843" i="1"/>
  <c r="L843" i="1" s="1"/>
  <c r="B843" i="1"/>
  <c r="K842" i="1"/>
  <c r="N842" i="1" s="1"/>
  <c r="J842" i="1"/>
  <c r="M842" i="1" s="1"/>
  <c r="I842" i="1"/>
  <c r="L842" i="1" s="1"/>
  <c r="B842" i="1"/>
  <c r="K841" i="1"/>
  <c r="N841" i="1" s="1"/>
  <c r="J841" i="1"/>
  <c r="M841" i="1" s="1"/>
  <c r="I841" i="1"/>
  <c r="L841" i="1" s="1"/>
  <c r="B841" i="1"/>
  <c r="B841" i="10" s="1"/>
  <c r="K840" i="1"/>
  <c r="N840" i="1" s="1"/>
  <c r="J840" i="1"/>
  <c r="M840" i="1" s="1"/>
  <c r="I840" i="1"/>
  <c r="L840" i="1" s="1"/>
  <c r="B840" i="1"/>
  <c r="K839" i="1"/>
  <c r="N839" i="1" s="1"/>
  <c r="J839" i="1"/>
  <c r="M839" i="1" s="1"/>
  <c r="I839" i="1"/>
  <c r="L839" i="1" s="1"/>
  <c r="B839" i="1"/>
  <c r="B839" i="10" s="1"/>
  <c r="K838" i="1"/>
  <c r="N838" i="1" s="1"/>
  <c r="J838" i="1"/>
  <c r="M838" i="1" s="1"/>
  <c r="I838" i="1"/>
  <c r="L838" i="1" s="1"/>
  <c r="B838" i="1"/>
  <c r="K837" i="1"/>
  <c r="N837" i="1" s="1"/>
  <c r="J837" i="1"/>
  <c r="M837" i="1" s="1"/>
  <c r="I837" i="1"/>
  <c r="L837" i="1" s="1"/>
  <c r="B837" i="1"/>
  <c r="K836" i="1"/>
  <c r="N836" i="1" s="1"/>
  <c r="J836" i="1"/>
  <c r="M836" i="1" s="1"/>
  <c r="I836" i="1"/>
  <c r="L836" i="1" s="1"/>
  <c r="B836" i="1"/>
  <c r="K835" i="1"/>
  <c r="N835" i="1" s="1"/>
  <c r="J835" i="1"/>
  <c r="M835" i="1" s="1"/>
  <c r="I835" i="1"/>
  <c r="L835" i="1" s="1"/>
  <c r="B835" i="1"/>
  <c r="L834" i="1"/>
  <c r="K834" i="1"/>
  <c r="N834" i="1" s="1"/>
  <c r="J834" i="1"/>
  <c r="M834" i="1" s="1"/>
  <c r="I834" i="1"/>
  <c r="B834" i="1"/>
  <c r="L833" i="1"/>
  <c r="K833" i="1"/>
  <c r="N833" i="1" s="1"/>
  <c r="J833" i="1"/>
  <c r="M833" i="1" s="1"/>
  <c r="I833" i="1"/>
  <c r="B833" i="1"/>
  <c r="K832" i="1"/>
  <c r="N832" i="1" s="1"/>
  <c r="J832" i="1"/>
  <c r="M832" i="1" s="1"/>
  <c r="I832" i="1"/>
  <c r="L832" i="1" s="1"/>
  <c r="B832" i="1"/>
  <c r="K831" i="1"/>
  <c r="N831" i="1" s="1"/>
  <c r="J831" i="1"/>
  <c r="M831" i="1" s="1"/>
  <c r="I831" i="1"/>
  <c r="L831" i="1" s="1"/>
  <c r="B831" i="1"/>
  <c r="K830" i="1"/>
  <c r="N830" i="1" s="1"/>
  <c r="J830" i="1"/>
  <c r="M830" i="1" s="1"/>
  <c r="I830" i="1"/>
  <c r="L830" i="1" s="1"/>
  <c r="B830" i="1"/>
  <c r="K829" i="1"/>
  <c r="N829" i="1" s="1"/>
  <c r="J829" i="1"/>
  <c r="M829" i="1" s="1"/>
  <c r="I829" i="1"/>
  <c r="L829" i="1" s="1"/>
  <c r="B829" i="1"/>
  <c r="K828" i="1"/>
  <c r="N828" i="1" s="1"/>
  <c r="J828" i="1"/>
  <c r="M828" i="1" s="1"/>
  <c r="I828" i="1"/>
  <c r="L828" i="1" s="1"/>
  <c r="B828" i="1"/>
  <c r="K827" i="1"/>
  <c r="N827" i="1" s="1"/>
  <c r="J827" i="1"/>
  <c r="M827" i="1" s="1"/>
  <c r="I827" i="1"/>
  <c r="L827" i="1" s="1"/>
  <c r="B827" i="1"/>
  <c r="K826" i="1"/>
  <c r="N826" i="1" s="1"/>
  <c r="J826" i="1"/>
  <c r="M826" i="1" s="1"/>
  <c r="I826" i="1"/>
  <c r="L826" i="1" s="1"/>
  <c r="B826" i="1"/>
  <c r="K825" i="1"/>
  <c r="N825" i="1" s="1"/>
  <c r="J825" i="1"/>
  <c r="M825" i="1" s="1"/>
  <c r="I825" i="1"/>
  <c r="L825" i="1" s="1"/>
  <c r="B825" i="1"/>
  <c r="K824" i="1"/>
  <c r="N824" i="1" s="1"/>
  <c r="J824" i="1"/>
  <c r="M824" i="1" s="1"/>
  <c r="I824" i="1"/>
  <c r="L824" i="1" s="1"/>
  <c r="B824" i="1"/>
  <c r="K823" i="1"/>
  <c r="N823" i="1" s="1"/>
  <c r="J823" i="1"/>
  <c r="M823" i="1" s="1"/>
  <c r="I823" i="1"/>
  <c r="L823" i="1" s="1"/>
  <c r="B823" i="1"/>
  <c r="K822" i="1"/>
  <c r="N822" i="1" s="1"/>
  <c r="J822" i="1"/>
  <c r="M822" i="1" s="1"/>
  <c r="I822" i="1"/>
  <c r="L822" i="1" s="1"/>
  <c r="B822" i="1"/>
  <c r="B822" i="10" s="1"/>
  <c r="K821" i="1"/>
  <c r="N821" i="1" s="1"/>
  <c r="J821" i="1"/>
  <c r="M821" i="1" s="1"/>
  <c r="I821" i="1"/>
  <c r="L821" i="1" s="1"/>
  <c r="B821" i="1"/>
  <c r="K820" i="1"/>
  <c r="N820" i="1" s="1"/>
  <c r="J820" i="1"/>
  <c r="M820" i="1" s="1"/>
  <c r="I820" i="1"/>
  <c r="L820" i="1" s="1"/>
  <c r="B820" i="1"/>
  <c r="K819" i="1"/>
  <c r="N819" i="1" s="1"/>
  <c r="J819" i="1"/>
  <c r="M819" i="1" s="1"/>
  <c r="I819" i="1"/>
  <c r="L819" i="1" s="1"/>
  <c r="B819" i="1"/>
  <c r="K818" i="1"/>
  <c r="N818" i="1" s="1"/>
  <c r="J818" i="1"/>
  <c r="M818" i="1" s="1"/>
  <c r="I818" i="1"/>
  <c r="L818" i="1" s="1"/>
  <c r="B818" i="1"/>
  <c r="L817" i="1"/>
  <c r="K817" i="1"/>
  <c r="N817" i="1" s="1"/>
  <c r="J817" i="1"/>
  <c r="M817" i="1" s="1"/>
  <c r="I817" i="1"/>
  <c r="B817" i="1"/>
  <c r="K816" i="1"/>
  <c r="N816" i="1" s="1"/>
  <c r="J816" i="1"/>
  <c r="M816" i="1" s="1"/>
  <c r="I816" i="1"/>
  <c r="L816" i="1" s="1"/>
  <c r="B816" i="1"/>
  <c r="K815" i="1"/>
  <c r="N815" i="1" s="1"/>
  <c r="J815" i="1"/>
  <c r="M815" i="1" s="1"/>
  <c r="I815" i="1"/>
  <c r="L815" i="1" s="1"/>
  <c r="B815" i="1"/>
  <c r="B815" i="10" s="1"/>
  <c r="M814" i="1"/>
  <c r="K814" i="1"/>
  <c r="N814" i="1" s="1"/>
  <c r="J814" i="1"/>
  <c r="I814" i="1"/>
  <c r="L814" i="1" s="1"/>
  <c r="B814" i="1"/>
  <c r="K813" i="1"/>
  <c r="N813" i="1" s="1"/>
  <c r="J813" i="1"/>
  <c r="M813" i="1" s="1"/>
  <c r="I813" i="1"/>
  <c r="L813" i="1" s="1"/>
  <c r="B813" i="1"/>
  <c r="K812" i="1"/>
  <c r="N812" i="1" s="1"/>
  <c r="J812" i="1"/>
  <c r="M812" i="1" s="1"/>
  <c r="I812" i="1"/>
  <c r="L812" i="1" s="1"/>
  <c r="B812" i="1"/>
  <c r="K811" i="1"/>
  <c r="N811" i="1" s="1"/>
  <c r="J811" i="1"/>
  <c r="M811" i="1" s="1"/>
  <c r="I811" i="1"/>
  <c r="L811" i="1" s="1"/>
  <c r="B811" i="1"/>
  <c r="K810" i="1"/>
  <c r="N810" i="1" s="1"/>
  <c r="J810" i="1"/>
  <c r="M810" i="1" s="1"/>
  <c r="I810" i="1"/>
  <c r="L810" i="1" s="1"/>
  <c r="B810" i="1"/>
  <c r="K809" i="1"/>
  <c r="N809" i="1" s="1"/>
  <c r="J809" i="1"/>
  <c r="M809" i="1" s="1"/>
  <c r="I809" i="1"/>
  <c r="L809" i="1" s="1"/>
  <c r="B809" i="1"/>
  <c r="N808" i="1"/>
  <c r="L808" i="1"/>
  <c r="K808" i="1"/>
  <c r="J808" i="1"/>
  <c r="M808" i="1" s="1"/>
  <c r="I808" i="1"/>
  <c r="B808" i="1"/>
  <c r="N807" i="1"/>
  <c r="L807" i="1"/>
  <c r="K807" i="1"/>
  <c r="J807" i="1"/>
  <c r="M807" i="1" s="1"/>
  <c r="I807" i="1"/>
  <c r="B807" i="1"/>
  <c r="K806" i="1"/>
  <c r="N806" i="1" s="1"/>
  <c r="J806" i="1"/>
  <c r="M806" i="1" s="1"/>
  <c r="I806" i="1"/>
  <c r="L806" i="1" s="1"/>
  <c r="B806" i="1"/>
  <c r="K805" i="1"/>
  <c r="N805" i="1" s="1"/>
  <c r="J805" i="1"/>
  <c r="M805" i="1" s="1"/>
  <c r="I805" i="1"/>
  <c r="L805" i="1" s="1"/>
  <c r="B805" i="1"/>
  <c r="K804" i="1"/>
  <c r="N804" i="1" s="1"/>
  <c r="J804" i="1"/>
  <c r="M804" i="1" s="1"/>
  <c r="I804" i="1"/>
  <c r="L804" i="1" s="1"/>
  <c r="B804" i="1"/>
  <c r="K803" i="1"/>
  <c r="N803" i="1" s="1"/>
  <c r="J803" i="1"/>
  <c r="M803" i="1" s="1"/>
  <c r="I803" i="1"/>
  <c r="L803" i="1" s="1"/>
  <c r="B803" i="1"/>
  <c r="K802" i="1"/>
  <c r="N802" i="1" s="1"/>
  <c r="J802" i="1"/>
  <c r="M802" i="1" s="1"/>
  <c r="I802" i="1"/>
  <c r="L802" i="1" s="1"/>
  <c r="B802" i="1"/>
  <c r="K801" i="1"/>
  <c r="N801" i="1" s="1"/>
  <c r="J801" i="1"/>
  <c r="M801" i="1" s="1"/>
  <c r="I801" i="1"/>
  <c r="L801" i="1" s="1"/>
  <c r="B801" i="1"/>
  <c r="B801" i="10" s="1"/>
  <c r="K800" i="1"/>
  <c r="N800" i="1" s="1"/>
  <c r="J800" i="1"/>
  <c r="M800" i="1" s="1"/>
  <c r="I800" i="1"/>
  <c r="L800" i="1" s="1"/>
  <c r="B800" i="1"/>
  <c r="K799" i="1"/>
  <c r="N799" i="1" s="1"/>
  <c r="J799" i="1"/>
  <c r="M799" i="1" s="1"/>
  <c r="I799" i="1"/>
  <c r="L799" i="1" s="1"/>
  <c r="B799" i="1"/>
  <c r="M798" i="1"/>
  <c r="K798" i="1"/>
  <c r="N798" i="1" s="1"/>
  <c r="J798" i="1"/>
  <c r="I798" i="1"/>
  <c r="L798" i="1" s="1"/>
  <c r="B798" i="1"/>
  <c r="K797" i="1"/>
  <c r="N797" i="1" s="1"/>
  <c r="J797" i="1"/>
  <c r="M797" i="1" s="1"/>
  <c r="I797" i="1"/>
  <c r="L797" i="1" s="1"/>
  <c r="B797" i="1"/>
  <c r="K796" i="1"/>
  <c r="N796" i="1" s="1"/>
  <c r="J796" i="1"/>
  <c r="M796" i="1" s="1"/>
  <c r="I796" i="1"/>
  <c r="L796" i="1" s="1"/>
  <c r="B796" i="1"/>
  <c r="K795" i="1"/>
  <c r="N795" i="1" s="1"/>
  <c r="J795" i="1"/>
  <c r="M795" i="1" s="1"/>
  <c r="I795" i="1"/>
  <c r="L795" i="1" s="1"/>
  <c r="B795" i="1"/>
  <c r="B795" i="10" s="1"/>
  <c r="K794" i="1"/>
  <c r="N794" i="1" s="1"/>
  <c r="J794" i="1"/>
  <c r="M794" i="1" s="1"/>
  <c r="I794" i="1"/>
  <c r="L794" i="1" s="1"/>
  <c r="B794" i="1"/>
  <c r="M793" i="1"/>
  <c r="L793" i="1"/>
  <c r="K793" i="1"/>
  <c r="N793" i="1" s="1"/>
  <c r="J793" i="1"/>
  <c r="I793" i="1"/>
  <c r="B793" i="1"/>
  <c r="N792" i="1"/>
  <c r="K792" i="1"/>
  <c r="J792" i="1"/>
  <c r="M792" i="1" s="1"/>
  <c r="I792" i="1"/>
  <c r="L792" i="1" s="1"/>
  <c r="B792" i="1"/>
  <c r="K791" i="1"/>
  <c r="N791" i="1" s="1"/>
  <c r="J791" i="1"/>
  <c r="M791" i="1" s="1"/>
  <c r="I791" i="1"/>
  <c r="L791" i="1" s="1"/>
  <c r="B791" i="1"/>
  <c r="N790" i="1"/>
  <c r="K790" i="1"/>
  <c r="J790" i="1"/>
  <c r="M790" i="1" s="1"/>
  <c r="I790" i="1"/>
  <c r="L790" i="1" s="1"/>
  <c r="B790" i="1"/>
  <c r="K789" i="1"/>
  <c r="N789" i="1" s="1"/>
  <c r="J789" i="1"/>
  <c r="M789" i="1" s="1"/>
  <c r="I789" i="1"/>
  <c r="L789" i="1" s="1"/>
  <c r="B789" i="1"/>
  <c r="L788" i="1"/>
  <c r="K788" i="1"/>
  <c r="N788" i="1" s="1"/>
  <c r="J788" i="1"/>
  <c r="M788" i="1" s="1"/>
  <c r="I788" i="1"/>
  <c r="B788" i="1"/>
  <c r="L787" i="1"/>
  <c r="K787" i="1"/>
  <c r="N787" i="1" s="1"/>
  <c r="J787" i="1"/>
  <c r="M787" i="1" s="1"/>
  <c r="I787" i="1"/>
  <c r="B787" i="1"/>
  <c r="K786" i="1"/>
  <c r="N786" i="1" s="1"/>
  <c r="J786" i="1"/>
  <c r="M786" i="1" s="1"/>
  <c r="I786" i="1"/>
  <c r="L786" i="1" s="1"/>
  <c r="B786" i="1"/>
  <c r="B786" i="10" s="1"/>
  <c r="K785" i="1"/>
  <c r="N785" i="1" s="1"/>
  <c r="J785" i="1"/>
  <c r="M785" i="1" s="1"/>
  <c r="I785" i="1"/>
  <c r="L785" i="1" s="1"/>
  <c r="B785" i="1"/>
  <c r="K784" i="1"/>
  <c r="N784" i="1" s="1"/>
  <c r="J784" i="1"/>
  <c r="M784" i="1" s="1"/>
  <c r="I784" i="1"/>
  <c r="L784" i="1" s="1"/>
  <c r="B784" i="1"/>
  <c r="M783" i="1"/>
  <c r="K783" i="1"/>
  <c r="N783" i="1" s="1"/>
  <c r="J783" i="1"/>
  <c r="I783" i="1"/>
  <c r="L783" i="1" s="1"/>
  <c r="B783" i="1"/>
  <c r="L782" i="1"/>
  <c r="K782" i="1"/>
  <c r="N782" i="1" s="1"/>
  <c r="J782" i="1"/>
  <c r="M782" i="1" s="1"/>
  <c r="I782" i="1"/>
  <c r="B782" i="1"/>
  <c r="K781" i="1"/>
  <c r="N781" i="1" s="1"/>
  <c r="J781" i="1"/>
  <c r="M781" i="1" s="1"/>
  <c r="I781" i="1"/>
  <c r="L781" i="1" s="1"/>
  <c r="B781" i="1"/>
  <c r="K780" i="1"/>
  <c r="N780" i="1" s="1"/>
  <c r="J780" i="1"/>
  <c r="M780" i="1" s="1"/>
  <c r="I780" i="1"/>
  <c r="L780" i="1" s="1"/>
  <c r="B780" i="1"/>
  <c r="K779" i="1"/>
  <c r="N779" i="1" s="1"/>
  <c r="J779" i="1"/>
  <c r="M779" i="1" s="1"/>
  <c r="I779" i="1"/>
  <c r="L779" i="1" s="1"/>
  <c r="B779" i="1"/>
  <c r="K778" i="1"/>
  <c r="N778" i="1" s="1"/>
  <c r="J778" i="1"/>
  <c r="M778" i="1" s="1"/>
  <c r="I778" i="1"/>
  <c r="L778" i="1" s="1"/>
  <c r="B778" i="1"/>
  <c r="K777" i="1"/>
  <c r="N777" i="1" s="1"/>
  <c r="J777" i="1"/>
  <c r="M777" i="1" s="1"/>
  <c r="I777" i="1"/>
  <c r="L777" i="1" s="1"/>
  <c r="B777" i="1"/>
  <c r="M776" i="1"/>
  <c r="K776" i="1"/>
  <c r="N776" i="1" s="1"/>
  <c r="J776" i="1"/>
  <c r="I776" i="1"/>
  <c r="L776" i="1" s="1"/>
  <c r="B776" i="1"/>
  <c r="K775" i="1"/>
  <c r="N775" i="1" s="1"/>
  <c r="J775" i="1"/>
  <c r="M775" i="1" s="1"/>
  <c r="I775" i="1"/>
  <c r="L775" i="1" s="1"/>
  <c r="B775" i="1"/>
  <c r="B775" i="10" s="1"/>
  <c r="K774" i="1"/>
  <c r="N774" i="1" s="1"/>
  <c r="J774" i="1"/>
  <c r="M774" i="1" s="1"/>
  <c r="I774" i="1"/>
  <c r="L774" i="1" s="1"/>
  <c r="B774" i="1"/>
  <c r="K773" i="1"/>
  <c r="N773" i="1" s="1"/>
  <c r="J773" i="1"/>
  <c r="M773" i="1" s="1"/>
  <c r="I773" i="1"/>
  <c r="L773" i="1" s="1"/>
  <c r="B773" i="1"/>
  <c r="B773" i="10" s="1"/>
  <c r="N772" i="1"/>
  <c r="M772" i="1"/>
  <c r="K772" i="1"/>
  <c r="J772" i="1"/>
  <c r="I772" i="1"/>
  <c r="L772" i="1" s="1"/>
  <c r="B772" i="1"/>
  <c r="B772" i="10" s="1"/>
  <c r="K771" i="1"/>
  <c r="N771" i="1" s="1"/>
  <c r="J771" i="1"/>
  <c r="M771" i="1" s="1"/>
  <c r="I771" i="1"/>
  <c r="L771" i="1" s="1"/>
  <c r="B771" i="1"/>
  <c r="K770" i="1"/>
  <c r="N770" i="1" s="1"/>
  <c r="J770" i="1"/>
  <c r="M770" i="1" s="1"/>
  <c r="I770" i="1"/>
  <c r="L770" i="1" s="1"/>
  <c r="B770" i="1"/>
  <c r="N769" i="1"/>
  <c r="K769" i="1"/>
  <c r="J769" i="1"/>
  <c r="M769" i="1" s="1"/>
  <c r="I769" i="1"/>
  <c r="L769" i="1" s="1"/>
  <c r="B769" i="1"/>
  <c r="K768" i="1"/>
  <c r="N768" i="1" s="1"/>
  <c r="J768" i="1"/>
  <c r="M768" i="1" s="1"/>
  <c r="I768" i="1"/>
  <c r="L768" i="1" s="1"/>
  <c r="B768" i="1"/>
  <c r="B768" i="10" s="1"/>
  <c r="K767" i="1"/>
  <c r="N767" i="1" s="1"/>
  <c r="J767" i="1"/>
  <c r="M767" i="1" s="1"/>
  <c r="I767" i="1"/>
  <c r="L767" i="1" s="1"/>
  <c r="B767" i="1"/>
  <c r="K766" i="1"/>
  <c r="N766" i="1" s="1"/>
  <c r="J766" i="1"/>
  <c r="M766" i="1" s="1"/>
  <c r="I766" i="1"/>
  <c r="L766" i="1" s="1"/>
  <c r="B766" i="1"/>
  <c r="B766" i="10" s="1"/>
  <c r="K765" i="1"/>
  <c r="N765" i="1" s="1"/>
  <c r="J765" i="1"/>
  <c r="M765" i="1" s="1"/>
  <c r="I765" i="1"/>
  <c r="L765" i="1" s="1"/>
  <c r="B765" i="1"/>
  <c r="M764" i="1"/>
  <c r="K764" i="1"/>
  <c r="N764" i="1" s="1"/>
  <c r="J764" i="1"/>
  <c r="I764" i="1"/>
  <c r="L764" i="1" s="1"/>
  <c r="B764" i="1"/>
  <c r="M763" i="1"/>
  <c r="K763" i="1"/>
  <c r="N763" i="1" s="1"/>
  <c r="J763" i="1"/>
  <c r="I763" i="1"/>
  <c r="L763" i="1" s="1"/>
  <c r="B763" i="1"/>
  <c r="L762" i="1"/>
  <c r="K762" i="1"/>
  <c r="N762" i="1" s="1"/>
  <c r="J762" i="1"/>
  <c r="M762" i="1" s="1"/>
  <c r="I762" i="1"/>
  <c r="B762" i="1"/>
  <c r="N761" i="1"/>
  <c r="K761" i="1"/>
  <c r="J761" i="1"/>
  <c r="M761" i="1" s="1"/>
  <c r="I761" i="1"/>
  <c r="L761" i="1" s="1"/>
  <c r="B761" i="1"/>
  <c r="B761" i="10" s="1"/>
  <c r="K760" i="1"/>
  <c r="N760" i="1" s="1"/>
  <c r="J760" i="1"/>
  <c r="M760" i="1" s="1"/>
  <c r="I760" i="1"/>
  <c r="L760" i="1" s="1"/>
  <c r="B760" i="1"/>
  <c r="K759" i="1"/>
  <c r="N759" i="1" s="1"/>
  <c r="J759" i="1"/>
  <c r="M759" i="1" s="1"/>
  <c r="I759" i="1"/>
  <c r="L759" i="1" s="1"/>
  <c r="B759" i="1"/>
  <c r="K758" i="1"/>
  <c r="N758" i="1" s="1"/>
  <c r="J758" i="1"/>
  <c r="M758" i="1" s="1"/>
  <c r="I758" i="1"/>
  <c r="L758" i="1" s="1"/>
  <c r="B758" i="1"/>
  <c r="K757" i="1"/>
  <c r="N757" i="1" s="1"/>
  <c r="J757" i="1"/>
  <c r="M757" i="1" s="1"/>
  <c r="I757" i="1"/>
  <c r="L757" i="1" s="1"/>
  <c r="B757" i="1"/>
  <c r="K756" i="1"/>
  <c r="N756" i="1" s="1"/>
  <c r="J756" i="1"/>
  <c r="M756" i="1" s="1"/>
  <c r="I756" i="1"/>
  <c r="L756" i="1" s="1"/>
  <c r="B756" i="1"/>
  <c r="N755" i="1"/>
  <c r="K755" i="1"/>
  <c r="J755" i="1"/>
  <c r="M755" i="1" s="1"/>
  <c r="I755" i="1"/>
  <c r="L755" i="1" s="1"/>
  <c r="B755" i="1"/>
  <c r="K754" i="1"/>
  <c r="N754" i="1" s="1"/>
  <c r="J754" i="1"/>
  <c r="M754" i="1" s="1"/>
  <c r="I754" i="1"/>
  <c r="L754" i="1" s="1"/>
  <c r="B754" i="1"/>
  <c r="K753" i="1"/>
  <c r="N753" i="1" s="1"/>
  <c r="J753" i="1"/>
  <c r="M753" i="1" s="1"/>
  <c r="I753" i="1"/>
  <c r="L753" i="1" s="1"/>
  <c r="B753" i="1"/>
  <c r="K752" i="1"/>
  <c r="N752" i="1" s="1"/>
  <c r="J752" i="1"/>
  <c r="M752" i="1" s="1"/>
  <c r="I752" i="1"/>
  <c r="L752" i="1" s="1"/>
  <c r="B752" i="1"/>
  <c r="B752" i="10" s="1"/>
  <c r="M751" i="1"/>
  <c r="L751" i="1"/>
  <c r="K751" i="1"/>
  <c r="N751" i="1" s="1"/>
  <c r="J751" i="1"/>
  <c r="I751" i="1"/>
  <c r="B751" i="1"/>
  <c r="K750" i="1"/>
  <c r="N750" i="1" s="1"/>
  <c r="J750" i="1"/>
  <c r="M750" i="1" s="1"/>
  <c r="I750" i="1"/>
  <c r="L750" i="1" s="1"/>
  <c r="B750" i="1"/>
  <c r="M749" i="1"/>
  <c r="K749" i="1"/>
  <c r="N749" i="1" s="1"/>
  <c r="J749" i="1"/>
  <c r="I749" i="1"/>
  <c r="L749" i="1" s="1"/>
  <c r="B749" i="1"/>
  <c r="K748" i="1"/>
  <c r="N748" i="1" s="1"/>
  <c r="J748" i="1"/>
  <c r="M748" i="1" s="1"/>
  <c r="I748" i="1"/>
  <c r="L748" i="1" s="1"/>
  <c r="B748" i="1"/>
  <c r="K747" i="1"/>
  <c r="N747" i="1" s="1"/>
  <c r="J747" i="1"/>
  <c r="M747" i="1" s="1"/>
  <c r="I747" i="1"/>
  <c r="L747" i="1" s="1"/>
  <c r="B747" i="1"/>
  <c r="N746" i="1"/>
  <c r="M746" i="1"/>
  <c r="K746" i="1"/>
  <c r="J746" i="1"/>
  <c r="I746" i="1"/>
  <c r="L746" i="1" s="1"/>
  <c r="B746" i="1"/>
  <c r="K745" i="1"/>
  <c r="N745" i="1" s="1"/>
  <c r="J745" i="1"/>
  <c r="M745" i="1" s="1"/>
  <c r="I745" i="1"/>
  <c r="L745" i="1" s="1"/>
  <c r="B745" i="1"/>
  <c r="K744" i="1"/>
  <c r="N744" i="1" s="1"/>
  <c r="J744" i="1"/>
  <c r="M744" i="1" s="1"/>
  <c r="I744" i="1"/>
  <c r="L744" i="1" s="1"/>
  <c r="B744" i="1"/>
  <c r="K743" i="1"/>
  <c r="N743" i="1" s="1"/>
  <c r="J743" i="1"/>
  <c r="M743" i="1" s="1"/>
  <c r="I743" i="1"/>
  <c r="L743" i="1" s="1"/>
  <c r="B743" i="1"/>
  <c r="L742" i="1"/>
  <c r="K742" i="1"/>
  <c r="N742" i="1" s="1"/>
  <c r="J742" i="1"/>
  <c r="M742" i="1" s="1"/>
  <c r="I742" i="1"/>
  <c r="B742" i="1"/>
  <c r="N741" i="1"/>
  <c r="L741" i="1"/>
  <c r="K741" i="1"/>
  <c r="J741" i="1"/>
  <c r="M741" i="1" s="1"/>
  <c r="I741" i="1"/>
  <c r="B741" i="1"/>
  <c r="K740" i="1"/>
  <c r="N740" i="1" s="1"/>
  <c r="J740" i="1"/>
  <c r="M740" i="1" s="1"/>
  <c r="I740" i="1"/>
  <c r="L740" i="1" s="1"/>
  <c r="B740" i="1"/>
  <c r="K739" i="1"/>
  <c r="N739" i="1" s="1"/>
  <c r="J739" i="1"/>
  <c r="M739" i="1" s="1"/>
  <c r="I739" i="1"/>
  <c r="L739" i="1" s="1"/>
  <c r="B739" i="1"/>
  <c r="K738" i="1"/>
  <c r="N738" i="1" s="1"/>
  <c r="J738" i="1"/>
  <c r="M738" i="1" s="1"/>
  <c r="I738" i="1"/>
  <c r="L738" i="1" s="1"/>
  <c r="B738" i="1"/>
  <c r="K737" i="1"/>
  <c r="N737" i="1" s="1"/>
  <c r="J737" i="1"/>
  <c r="M737" i="1" s="1"/>
  <c r="I737" i="1"/>
  <c r="L737" i="1" s="1"/>
  <c r="B737" i="1"/>
  <c r="K736" i="1"/>
  <c r="N736" i="1" s="1"/>
  <c r="J736" i="1"/>
  <c r="M736" i="1" s="1"/>
  <c r="I736" i="1"/>
  <c r="L736" i="1" s="1"/>
  <c r="B736" i="1"/>
  <c r="L735" i="1"/>
  <c r="K735" i="1"/>
  <c r="N735" i="1" s="1"/>
  <c r="J735" i="1"/>
  <c r="M735" i="1" s="1"/>
  <c r="I735" i="1"/>
  <c r="B735" i="1"/>
  <c r="N734" i="1"/>
  <c r="K734" i="1"/>
  <c r="J734" i="1"/>
  <c r="M734" i="1" s="1"/>
  <c r="I734" i="1"/>
  <c r="L734" i="1" s="1"/>
  <c r="B734" i="1"/>
  <c r="K733" i="1"/>
  <c r="N733" i="1" s="1"/>
  <c r="J733" i="1"/>
  <c r="M733" i="1" s="1"/>
  <c r="I733" i="1"/>
  <c r="L733" i="1" s="1"/>
  <c r="B733" i="1"/>
  <c r="K732" i="1"/>
  <c r="N732" i="1" s="1"/>
  <c r="J732" i="1"/>
  <c r="M732" i="1" s="1"/>
  <c r="I732" i="1"/>
  <c r="L732" i="1" s="1"/>
  <c r="B732" i="1"/>
  <c r="K731" i="1"/>
  <c r="N731" i="1" s="1"/>
  <c r="J731" i="1"/>
  <c r="M731" i="1" s="1"/>
  <c r="I731" i="1"/>
  <c r="L731" i="1" s="1"/>
  <c r="B731" i="1"/>
  <c r="K730" i="1"/>
  <c r="N730" i="1" s="1"/>
  <c r="J730" i="1"/>
  <c r="M730" i="1" s="1"/>
  <c r="I730" i="1"/>
  <c r="L730" i="1" s="1"/>
  <c r="B730" i="1"/>
  <c r="B730" i="10" s="1"/>
  <c r="K729" i="1"/>
  <c r="N729" i="1" s="1"/>
  <c r="J729" i="1"/>
  <c r="M729" i="1" s="1"/>
  <c r="I729" i="1"/>
  <c r="L729" i="1" s="1"/>
  <c r="B729" i="1"/>
  <c r="L728" i="1"/>
  <c r="K728" i="1"/>
  <c r="N728" i="1" s="1"/>
  <c r="J728" i="1"/>
  <c r="M728" i="1" s="1"/>
  <c r="I728" i="1"/>
  <c r="B728" i="1"/>
  <c r="K727" i="1"/>
  <c r="N727" i="1" s="1"/>
  <c r="J727" i="1"/>
  <c r="M727" i="1" s="1"/>
  <c r="I727" i="1"/>
  <c r="L727" i="1" s="1"/>
  <c r="B727" i="1"/>
  <c r="K726" i="1"/>
  <c r="N726" i="1" s="1"/>
  <c r="J726" i="1"/>
  <c r="M726" i="1" s="1"/>
  <c r="I726" i="1"/>
  <c r="L726" i="1" s="1"/>
  <c r="B726" i="1"/>
  <c r="K725" i="1"/>
  <c r="N725" i="1" s="1"/>
  <c r="J725" i="1"/>
  <c r="M725" i="1" s="1"/>
  <c r="I725" i="1"/>
  <c r="L725" i="1" s="1"/>
  <c r="B725" i="1"/>
  <c r="K724" i="1"/>
  <c r="N724" i="1" s="1"/>
  <c r="J724" i="1"/>
  <c r="M724" i="1" s="1"/>
  <c r="I724" i="1"/>
  <c r="L724" i="1" s="1"/>
  <c r="B724" i="1"/>
  <c r="K723" i="1"/>
  <c r="N723" i="1" s="1"/>
  <c r="J723" i="1"/>
  <c r="M723" i="1" s="1"/>
  <c r="I723" i="1"/>
  <c r="L723" i="1" s="1"/>
  <c r="B723" i="1"/>
  <c r="M722" i="1"/>
  <c r="K722" i="1"/>
  <c r="N722" i="1" s="1"/>
  <c r="J722" i="1"/>
  <c r="I722" i="1"/>
  <c r="L722" i="1" s="1"/>
  <c r="B722" i="1"/>
  <c r="K721" i="1"/>
  <c r="N721" i="1" s="1"/>
  <c r="J721" i="1"/>
  <c r="M721" i="1" s="1"/>
  <c r="I721" i="1"/>
  <c r="L721" i="1" s="1"/>
  <c r="B721" i="1"/>
  <c r="K720" i="1"/>
  <c r="N720" i="1" s="1"/>
  <c r="J720" i="1"/>
  <c r="M720" i="1" s="1"/>
  <c r="I720" i="1"/>
  <c r="L720" i="1" s="1"/>
  <c r="B720" i="1"/>
  <c r="M719" i="1"/>
  <c r="K719" i="1"/>
  <c r="N719" i="1" s="1"/>
  <c r="J719" i="1"/>
  <c r="I719" i="1"/>
  <c r="L719" i="1" s="1"/>
  <c r="B719" i="1"/>
  <c r="B719" i="10" s="1"/>
  <c r="K718" i="1"/>
  <c r="N718" i="1" s="1"/>
  <c r="J718" i="1"/>
  <c r="M718" i="1" s="1"/>
  <c r="I718" i="1"/>
  <c r="L718" i="1" s="1"/>
  <c r="B718" i="1"/>
  <c r="B718" i="10" s="1"/>
  <c r="K717" i="1"/>
  <c r="N717" i="1" s="1"/>
  <c r="J717" i="1"/>
  <c r="M717" i="1" s="1"/>
  <c r="I717" i="1"/>
  <c r="L717" i="1" s="1"/>
  <c r="B717" i="1"/>
  <c r="L716" i="1"/>
  <c r="K716" i="1"/>
  <c r="N716" i="1" s="1"/>
  <c r="J716" i="1"/>
  <c r="M716" i="1" s="1"/>
  <c r="I716" i="1"/>
  <c r="B716" i="1"/>
  <c r="B716" i="10" s="1"/>
  <c r="K715" i="1"/>
  <c r="N715" i="1" s="1"/>
  <c r="J715" i="1"/>
  <c r="M715" i="1" s="1"/>
  <c r="I715" i="1"/>
  <c r="L715" i="1" s="1"/>
  <c r="B715" i="1"/>
  <c r="B715" i="10" s="1"/>
  <c r="M714" i="1"/>
  <c r="K714" i="1"/>
  <c r="N714" i="1" s="1"/>
  <c r="J714" i="1"/>
  <c r="I714" i="1"/>
  <c r="L714" i="1" s="1"/>
  <c r="B714" i="1"/>
  <c r="K713" i="1"/>
  <c r="N713" i="1" s="1"/>
  <c r="J713" i="1"/>
  <c r="M713" i="1" s="1"/>
  <c r="I713" i="1"/>
  <c r="L713" i="1" s="1"/>
  <c r="B713" i="1"/>
  <c r="K712" i="1"/>
  <c r="N712" i="1" s="1"/>
  <c r="J712" i="1"/>
  <c r="M712" i="1" s="1"/>
  <c r="I712" i="1"/>
  <c r="L712" i="1" s="1"/>
  <c r="B712" i="1"/>
  <c r="B712" i="10" s="1"/>
  <c r="M711" i="1"/>
  <c r="K711" i="1"/>
  <c r="N711" i="1" s="1"/>
  <c r="J711" i="1"/>
  <c r="I711" i="1"/>
  <c r="L711" i="1" s="1"/>
  <c r="B711" i="1"/>
  <c r="K710" i="1"/>
  <c r="N710" i="1" s="1"/>
  <c r="J710" i="1"/>
  <c r="M710" i="1" s="1"/>
  <c r="I710" i="1"/>
  <c r="L710" i="1" s="1"/>
  <c r="B710" i="1"/>
  <c r="K709" i="1"/>
  <c r="N709" i="1" s="1"/>
  <c r="J709" i="1"/>
  <c r="M709" i="1" s="1"/>
  <c r="I709" i="1"/>
  <c r="L709" i="1" s="1"/>
  <c r="B709" i="1"/>
  <c r="B709" i="10" s="1"/>
  <c r="K708" i="1"/>
  <c r="N708" i="1" s="1"/>
  <c r="J708" i="1"/>
  <c r="M708" i="1" s="1"/>
  <c r="I708" i="1"/>
  <c r="L708" i="1" s="1"/>
  <c r="B708" i="1"/>
  <c r="L707" i="1"/>
  <c r="K707" i="1"/>
  <c r="N707" i="1" s="1"/>
  <c r="J707" i="1"/>
  <c r="M707" i="1" s="1"/>
  <c r="I707" i="1"/>
  <c r="B707" i="1"/>
  <c r="K706" i="1"/>
  <c r="N706" i="1" s="1"/>
  <c r="J706" i="1"/>
  <c r="M706" i="1" s="1"/>
  <c r="I706" i="1"/>
  <c r="L706" i="1" s="1"/>
  <c r="B706" i="1"/>
  <c r="K705" i="1"/>
  <c r="N705" i="1" s="1"/>
  <c r="J705" i="1"/>
  <c r="M705" i="1" s="1"/>
  <c r="I705" i="1"/>
  <c r="L705" i="1" s="1"/>
  <c r="B705" i="1"/>
  <c r="K704" i="1"/>
  <c r="N704" i="1" s="1"/>
  <c r="J704" i="1"/>
  <c r="M704" i="1" s="1"/>
  <c r="I704" i="1"/>
  <c r="L704" i="1" s="1"/>
  <c r="B704" i="1"/>
  <c r="K703" i="1"/>
  <c r="N703" i="1" s="1"/>
  <c r="J703" i="1"/>
  <c r="M703" i="1" s="1"/>
  <c r="I703" i="1"/>
  <c r="L703" i="1" s="1"/>
  <c r="B703" i="1"/>
  <c r="B703" i="10" s="1"/>
  <c r="K702" i="1"/>
  <c r="N702" i="1" s="1"/>
  <c r="J702" i="1"/>
  <c r="M702" i="1" s="1"/>
  <c r="I702" i="1"/>
  <c r="L702" i="1" s="1"/>
  <c r="B702" i="1"/>
  <c r="B702" i="10" s="1"/>
  <c r="K701" i="1"/>
  <c r="N701" i="1" s="1"/>
  <c r="J701" i="1"/>
  <c r="M701" i="1" s="1"/>
  <c r="I701" i="1"/>
  <c r="L701" i="1" s="1"/>
  <c r="B701" i="1"/>
  <c r="K700" i="1"/>
  <c r="N700" i="1" s="1"/>
  <c r="J700" i="1"/>
  <c r="M700" i="1" s="1"/>
  <c r="I700" i="1"/>
  <c r="L700" i="1" s="1"/>
  <c r="B700" i="1"/>
  <c r="M699" i="1"/>
  <c r="K699" i="1"/>
  <c r="N699" i="1" s="1"/>
  <c r="J699" i="1"/>
  <c r="I699" i="1"/>
  <c r="L699" i="1" s="1"/>
  <c r="B699" i="1"/>
  <c r="K698" i="1"/>
  <c r="N698" i="1" s="1"/>
  <c r="J698" i="1"/>
  <c r="M698" i="1" s="1"/>
  <c r="I698" i="1"/>
  <c r="L698" i="1" s="1"/>
  <c r="B698" i="1"/>
  <c r="K697" i="1"/>
  <c r="N697" i="1" s="1"/>
  <c r="J697" i="1"/>
  <c r="M697" i="1" s="1"/>
  <c r="I697" i="1"/>
  <c r="L697" i="1" s="1"/>
  <c r="B697" i="1"/>
  <c r="B697" i="10" s="1"/>
  <c r="K696" i="1"/>
  <c r="N696" i="1" s="1"/>
  <c r="J696" i="1"/>
  <c r="M696" i="1" s="1"/>
  <c r="I696" i="1"/>
  <c r="L696" i="1" s="1"/>
  <c r="B696" i="1"/>
  <c r="K695" i="1"/>
  <c r="N695" i="1" s="1"/>
  <c r="J695" i="1"/>
  <c r="M695" i="1" s="1"/>
  <c r="I695" i="1"/>
  <c r="L695" i="1" s="1"/>
  <c r="B695" i="1"/>
  <c r="B695" i="10" s="1"/>
  <c r="K694" i="1"/>
  <c r="N694" i="1" s="1"/>
  <c r="J694" i="1"/>
  <c r="M694" i="1" s="1"/>
  <c r="I694" i="1"/>
  <c r="L694" i="1" s="1"/>
  <c r="B694" i="1"/>
  <c r="K693" i="1"/>
  <c r="N693" i="1" s="1"/>
  <c r="J693" i="1"/>
  <c r="M693" i="1" s="1"/>
  <c r="I693" i="1"/>
  <c r="L693" i="1" s="1"/>
  <c r="B693" i="1"/>
  <c r="B693" i="10" s="1"/>
  <c r="M692" i="1"/>
  <c r="K692" i="1"/>
  <c r="N692" i="1" s="1"/>
  <c r="J692" i="1"/>
  <c r="I692" i="1"/>
  <c r="L692" i="1" s="1"/>
  <c r="B692" i="1"/>
  <c r="K691" i="1"/>
  <c r="N691" i="1" s="1"/>
  <c r="J691" i="1"/>
  <c r="M691" i="1" s="1"/>
  <c r="I691" i="1"/>
  <c r="L691" i="1" s="1"/>
  <c r="B691" i="1"/>
  <c r="K690" i="1"/>
  <c r="N690" i="1" s="1"/>
  <c r="J690" i="1"/>
  <c r="M690" i="1" s="1"/>
  <c r="I690" i="1"/>
  <c r="L690" i="1" s="1"/>
  <c r="B690" i="1"/>
  <c r="K689" i="1"/>
  <c r="N689" i="1" s="1"/>
  <c r="J689" i="1"/>
  <c r="M689" i="1" s="1"/>
  <c r="I689" i="1"/>
  <c r="L689" i="1" s="1"/>
  <c r="B689" i="1"/>
  <c r="K688" i="1"/>
  <c r="N688" i="1" s="1"/>
  <c r="J688" i="1"/>
  <c r="M688" i="1" s="1"/>
  <c r="I688" i="1"/>
  <c r="L688" i="1" s="1"/>
  <c r="B688" i="1"/>
  <c r="B688" i="10" s="1"/>
  <c r="K687" i="1"/>
  <c r="N687" i="1" s="1"/>
  <c r="J687" i="1"/>
  <c r="M687" i="1" s="1"/>
  <c r="I687" i="1"/>
  <c r="L687" i="1" s="1"/>
  <c r="B687" i="1"/>
  <c r="K686" i="1"/>
  <c r="N686" i="1" s="1"/>
  <c r="J686" i="1"/>
  <c r="M686" i="1" s="1"/>
  <c r="I686" i="1"/>
  <c r="L686" i="1" s="1"/>
  <c r="B686" i="1"/>
  <c r="M685" i="1"/>
  <c r="K685" i="1"/>
  <c r="N685" i="1" s="1"/>
  <c r="J685" i="1"/>
  <c r="I685" i="1"/>
  <c r="L685" i="1" s="1"/>
  <c r="B685" i="1"/>
  <c r="M684" i="1"/>
  <c r="K684" i="1"/>
  <c r="N684" i="1" s="1"/>
  <c r="J684" i="1"/>
  <c r="I684" i="1"/>
  <c r="L684" i="1" s="1"/>
  <c r="B684" i="1"/>
  <c r="K683" i="1"/>
  <c r="N683" i="1" s="1"/>
  <c r="J683" i="1"/>
  <c r="M683" i="1" s="1"/>
  <c r="I683" i="1"/>
  <c r="L683" i="1" s="1"/>
  <c r="B683" i="1"/>
  <c r="K682" i="1"/>
  <c r="N682" i="1" s="1"/>
  <c r="J682" i="1"/>
  <c r="M682" i="1" s="1"/>
  <c r="I682" i="1"/>
  <c r="L682" i="1" s="1"/>
  <c r="B682" i="1"/>
  <c r="K681" i="1"/>
  <c r="N681" i="1" s="1"/>
  <c r="J681" i="1"/>
  <c r="M681" i="1" s="1"/>
  <c r="I681" i="1"/>
  <c r="L681" i="1" s="1"/>
  <c r="B681" i="1"/>
  <c r="K680" i="1"/>
  <c r="N680" i="1" s="1"/>
  <c r="J680" i="1"/>
  <c r="M680" i="1" s="1"/>
  <c r="I680" i="1"/>
  <c r="L680" i="1" s="1"/>
  <c r="B680" i="1"/>
  <c r="K679" i="1"/>
  <c r="N679" i="1" s="1"/>
  <c r="J679" i="1"/>
  <c r="M679" i="1" s="1"/>
  <c r="I679" i="1"/>
  <c r="L679" i="1" s="1"/>
  <c r="B679" i="1"/>
  <c r="K678" i="1"/>
  <c r="N678" i="1" s="1"/>
  <c r="J678" i="1"/>
  <c r="M678" i="1" s="1"/>
  <c r="I678" i="1"/>
  <c r="L678" i="1" s="1"/>
  <c r="B678" i="1"/>
  <c r="K677" i="1"/>
  <c r="N677" i="1" s="1"/>
  <c r="J677" i="1"/>
  <c r="M677" i="1" s="1"/>
  <c r="I677" i="1"/>
  <c r="L677" i="1" s="1"/>
  <c r="B677" i="1"/>
  <c r="K676" i="1"/>
  <c r="N676" i="1" s="1"/>
  <c r="J676" i="1"/>
  <c r="M676" i="1" s="1"/>
  <c r="I676" i="1"/>
  <c r="L676" i="1" s="1"/>
  <c r="B676" i="1"/>
  <c r="K675" i="1"/>
  <c r="N675" i="1" s="1"/>
  <c r="J675" i="1"/>
  <c r="M675" i="1" s="1"/>
  <c r="I675" i="1"/>
  <c r="L675" i="1" s="1"/>
  <c r="B675" i="1"/>
  <c r="M674" i="1"/>
  <c r="K674" i="1"/>
  <c r="N674" i="1" s="1"/>
  <c r="J674" i="1"/>
  <c r="I674" i="1"/>
  <c r="L674" i="1" s="1"/>
  <c r="B674" i="1"/>
  <c r="K673" i="1"/>
  <c r="N673" i="1" s="1"/>
  <c r="J673" i="1"/>
  <c r="M673" i="1" s="1"/>
  <c r="I673" i="1"/>
  <c r="L673" i="1" s="1"/>
  <c r="B673" i="1"/>
  <c r="K672" i="1"/>
  <c r="N672" i="1" s="1"/>
  <c r="J672" i="1"/>
  <c r="M672" i="1" s="1"/>
  <c r="I672" i="1"/>
  <c r="L672" i="1" s="1"/>
  <c r="B672" i="1"/>
  <c r="M671" i="1"/>
  <c r="K671" i="1"/>
  <c r="N671" i="1" s="1"/>
  <c r="J671" i="1"/>
  <c r="I671" i="1"/>
  <c r="L671" i="1" s="1"/>
  <c r="B671" i="1"/>
  <c r="N670" i="1"/>
  <c r="M670" i="1"/>
  <c r="K670" i="1"/>
  <c r="J670" i="1"/>
  <c r="I670" i="1"/>
  <c r="L670" i="1" s="1"/>
  <c r="B670" i="1"/>
  <c r="N669" i="1"/>
  <c r="K669" i="1"/>
  <c r="J669" i="1"/>
  <c r="M669" i="1" s="1"/>
  <c r="I669" i="1"/>
  <c r="L669" i="1" s="1"/>
  <c r="B669" i="1"/>
  <c r="K668" i="1"/>
  <c r="N668" i="1" s="1"/>
  <c r="J668" i="1"/>
  <c r="M668" i="1" s="1"/>
  <c r="I668" i="1"/>
  <c r="L668" i="1" s="1"/>
  <c r="B668" i="1"/>
  <c r="K667" i="1"/>
  <c r="N667" i="1" s="1"/>
  <c r="J667" i="1"/>
  <c r="M667" i="1" s="1"/>
  <c r="I667" i="1"/>
  <c r="L667" i="1" s="1"/>
  <c r="B667" i="1"/>
  <c r="B667" i="10" s="1"/>
  <c r="L666" i="1"/>
  <c r="K666" i="1"/>
  <c r="N666" i="1" s="1"/>
  <c r="J666" i="1"/>
  <c r="M666" i="1" s="1"/>
  <c r="I666" i="1"/>
  <c r="B666" i="1"/>
  <c r="K665" i="1"/>
  <c r="N665" i="1" s="1"/>
  <c r="J665" i="1"/>
  <c r="M665" i="1" s="1"/>
  <c r="I665" i="1"/>
  <c r="L665" i="1" s="1"/>
  <c r="B665" i="1"/>
  <c r="K664" i="1"/>
  <c r="N664" i="1" s="1"/>
  <c r="J664" i="1"/>
  <c r="M664" i="1" s="1"/>
  <c r="I664" i="1"/>
  <c r="L664" i="1" s="1"/>
  <c r="B664" i="1"/>
  <c r="K663" i="1"/>
  <c r="N663" i="1" s="1"/>
  <c r="J663" i="1"/>
  <c r="M663" i="1" s="1"/>
  <c r="I663" i="1"/>
  <c r="L663" i="1" s="1"/>
  <c r="B663" i="1"/>
  <c r="K662" i="1"/>
  <c r="N662" i="1" s="1"/>
  <c r="J662" i="1"/>
  <c r="M662" i="1" s="1"/>
  <c r="I662" i="1"/>
  <c r="L662" i="1" s="1"/>
  <c r="B662" i="1"/>
  <c r="K661" i="1"/>
  <c r="N661" i="1" s="1"/>
  <c r="J661" i="1"/>
  <c r="M661" i="1" s="1"/>
  <c r="I661" i="1"/>
  <c r="L661" i="1" s="1"/>
  <c r="B661" i="1"/>
  <c r="K660" i="1"/>
  <c r="N660" i="1" s="1"/>
  <c r="J660" i="1"/>
  <c r="M660" i="1" s="1"/>
  <c r="I660" i="1"/>
  <c r="L660" i="1" s="1"/>
  <c r="B660" i="1"/>
  <c r="L659" i="1"/>
  <c r="K659" i="1"/>
  <c r="N659" i="1" s="1"/>
  <c r="J659" i="1"/>
  <c r="M659" i="1" s="1"/>
  <c r="I659" i="1"/>
  <c r="B659" i="1"/>
  <c r="M658" i="1"/>
  <c r="K658" i="1"/>
  <c r="N658" i="1" s="1"/>
  <c r="J658" i="1"/>
  <c r="I658" i="1"/>
  <c r="L658" i="1" s="1"/>
  <c r="B658" i="1"/>
  <c r="N657" i="1"/>
  <c r="K657" i="1"/>
  <c r="J657" i="1"/>
  <c r="M657" i="1" s="1"/>
  <c r="I657" i="1"/>
  <c r="L657" i="1" s="1"/>
  <c r="B657" i="1"/>
  <c r="M656" i="1"/>
  <c r="K656" i="1"/>
  <c r="N656" i="1" s="1"/>
  <c r="J656" i="1"/>
  <c r="I656" i="1"/>
  <c r="L656" i="1" s="1"/>
  <c r="B656" i="1"/>
  <c r="K655" i="1"/>
  <c r="N655" i="1" s="1"/>
  <c r="J655" i="1"/>
  <c r="M655" i="1" s="1"/>
  <c r="I655" i="1"/>
  <c r="L655" i="1" s="1"/>
  <c r="B655" i="1"/>
  <c r="K654" i="1"/>
  <c r="N654" i="1" s="1"/>
  <c r="J654" i="1"/>
  <c r="M654" i="1" s="1"/>
  <c r="I654" i="1"/>
  <c r="L654" i="1" s="1"/>
  <c r="B654" i="1"/>
  <c r="B654" i="10" s="1"/>
  <c r="N653" i="1"/>
  <c r="K653" i="1"/>
  <c r="J653" i="1"/>
  <c r="M653" i="1" s="1"/>
  <c r="I653" i="1"/>
  <c r="L653" i="1" s="1"/>
  <c r="B653" i="1"/>
  <c r="K652" i="1"/>
  <c r="N652" i="1" s="1"/>
  <c r="J652" i="1"/>
  <c r="M652" i="1" s="1"/>
  <c r="I652" i="1"/>
  <c r="L652" i="1" s="1"/>
  <c r="B652" i="1"/>
  <c r="K651" i="1"/>
  <c r="N651" i="1" s="1"/>
  <c r="J651" i="1"/>
  <c r="M651" i="1" s="1"/>
  <c r="I651" i="1"/>
  <c r="L651" i="1" s="1"/>
  <c r="B651" i="1"/>
  <c r="K650" i="1"/>
  <c r="N650" i="1" s="1"/>
  <c r="J650" i="1"/>
  <c r="M650" i="1" s="1"/>
  <c r="I650" i="1"/>
  <c r="L650" i="1" s="1"/>
  <c r="B650" i="1"/>
  <c r="K649" i="1"/>
  <c r="N649" i="1" s="1"/>
  <c r="J649" i="1"/>
  <c r="M649" i="1" s="1"/>
  <c r="I649" i="1"/>
  <c r="L649" i="1" s="1"/>
  <c r="B649" i="1"/>
  <c r="K648" i="1"/>
  <c r="N648" i="1" s="1"/>
  <c r="J648" i="1"/>
  <c r="M648" i="1" s="1"/>
  <c r="I648" i="1"/>
  <c r="L648" i="1" s="1"/>
  <c r="B648" i="1"/>
  <c r="K647" i="1"/>
  <c r="N647" i="1" s="1"/>
  <c r="J647" i="1"/>
  <c r="M647" i="1" s="1"/>
  <c r="I647" i="1"/>
  <c r="L647" i="1" s="1"/>
  <c r="B647" i="1"/>
  <c r="K646" i="1"/>
  <c r="N646" i="1" s="1"/>
  <c r="J646" i="1"/>
  <c r="M646" i="1" s="1"/>
  <c r="I646" i="1"/>
  <c r="L646" i="1" s="1"/>
  <c r="B646" i="1"/>
  <c r="K645" i="1"/>
  <c r="N645" i="1" s="1"/>
  <c r="J645" i="1"/>
  <c r="M645" i="1" s="1"/>
  <c r="I645" i="1"/>
  <c r="L645" i="1" s="1"/>
  <c r="B645" i="1"/>
  <c r="K644" i="1"/>
  <c r="N644" i="1" s="1"/>
  <c r="J644" i="1"/>
  <c r="M644" i="1" s="1"/>
  <c r="I644" i="1"/>
  <c r="L644" i="1" s="1"/>
  <c r="B644" i="1"/>
  <c r="K643" i="1"/>
  <c r="N643" i="1" s="1"/>
  <c r="J643" i="1"/>
  <c r="M643" i="1" s="1"/>
  <c r="I643" i="1"/>
  <c r="L643" i="1" s="1"/>
  <c r="B643" i="1"/>
  <c r="K642" i="1"/>
  <c r="N642" i="1" s="1"/>
  <c r="J642" i="1"/>
  <c r="M642" i="1" s="1"/>
  <c r="I642" i="1"/>
  <c r="L642" i="1" s="1"/>
  <c r="B642" i="1"/>
  <c r="K641" i="1"/>
  <c r="N641" i="1" s="1"/>
  <c r="J641" i="1"/>
  <c r="M641" i="1" s="1"/>
  <c r="I641" i="1"/>
  <c r="L641" i="1" s="1"/>
  <c r="B641" i="1"/>
  <c r="K640" i="1"/>
  <c r="N640" i="1" s="1"/>
  <c r="J640" i="1"/>
  <c r="M640" i="1" s="1"/>
  <c r="I640" i="1"/>
  <c r="L640" i="1" s="1"/>
  <c r="B640" i="1"/>
  <c r="K639" i="1"/>
  <c r="N639" i="1" s="1"/>
  <c r="J639" i="1"/>
  <c r="M639" i="1" s="1"/>
  <c r="I639" i="1"/>
  <c r="L639" i="1" s="1"/>
  <c r="B639" i="1"/>
  <c r="K638" i="1"/>
  <c r="N638" i="1" s="1"/>
  <c r="J638" i="1"/>
  <c r="M638" i="1" s="1"/>
  <c r="I638" i="1"/>
  <c r="L638" i="1" s="1"/>
  <c r="B638" i="1"/>
  <c r="K637" i="1"/>
  <c r="N637" i="1" s="1"/>
  <c r="J637" i="1"/>
  <c r="M637" i="1" s="1"/>
  <c r="I637" i="1"/>
  <c r="L637" i="1" s="1"/>
  <c r="B637" i="1"/>
  <c r="B637" i="10" s="1"/>
  <c r="N636" i="1"/>
  <c r="K636" i="1"/>
  <c r="J636" i="1"/>
  <c r="M636" i="1" s="1"/>
  <c r="I636" i="1"/>
  <c r="L636" i="1" s="1"/>
  <c r="B636" i="1"/>
  <c r="L635" i="1"/>
  <c r="K635" i="1"/>
  <c r="N635" i="1" s="1"/>
  <c r="J635" i="1"/>
  <c r="M635" i="1" s="1"/>
  <c r="I635" i="1"/>
  <c r="B635" i="1"/>
  <c r="K634" i="1"/>
  <c r="N634" i="1" s="1"/>
  <c r="J634" i="1"/>
  <c r="M634" i="1" s="1"/>
  <c r="I634" i="1"/>
  <c r="L634" i="1" s="1"/>
  <c r="B634" i="1"/>
  <c r="K633" i="1"/>
  <c r="N633" i="1" s="1"/>
  <c r="J633" i="1"/>
  <c r="M633" i="1" s="1"/>
  <c r="I633" i="1"/>
  <c r="L633" i="1" s="1"/>
  <c r="B633" i="1"/>
  <c r="B633" i="10" s="1"/>
  <c r="K632" i="1"/>
  <c r="N632" i="1" s="1"/>
  <c r="J632" i="1"/>
  <c r="M632" i="1" s="1"/>
  <c r="I632" i="1"/>
  <c r="L632" i="1" s="1"/>
  <c r="B632" i="1"/>
  <c r="B632" i="10" s="1"/>
  <c r="K631" i="1"/>
  <c r="N631" i="1" s="1"/>
  <c r="J631" i="1"/>
  <c r="M631" i="1" s="1"/>
  <c r="I631" i="1"/>
  <c r="L631" i="1" s="1"/>
  <c r="B631" i="1"/>
  <c r="M630" i="1"/>
  <c r="K630" i="1"/>
  <c r="N630" i="1" s="1"/>
  <c r="J630" i="1"/>
  <c r="I630" i="1"/>
  <c r="L630" i="1" s="1"/>
  <c r="B630" i="1"/>
  <c r="K629" i="1"/>
  <c r="N629" i="1" s="1"/>
  <c r="J629" i="1"/>
  <c r="M629" i="1" s="1"/>
  <c r="I629" i="1"/>
  <c r="L629" i="1" s="1"/>
  <c r="B629" i="1"/>
  <c r="K628" i="1"/>
  <c r="N628" i="1" s="1"/>
  <c r="J628" i="1"/>
  <c r="M628" i="1" s="1"/>
  <c r="I628" i="1"/>
  <c r="L628" i="1" s="1"/>
  <c r="B628" i="1"/>
  <c r="K627" i="1"/>
  <c r="N627" i="1" s="1"/>
  <c r="J627" i="1"/>
  <c r="M627" i="1" s="1"/>
  <c r="I627" i="1"/>
  <c r="L627" i="1" s="1"/>
  <c r="B627" i="1"/>
  <c r="K626" i="1"/>
  <c r="N626" i="1" s="1"/>
  <c r="J626" i="1"/>
  <c r="M626" i="1" s="1"/>
  <c r="I626" i="1"/>
  <c r="L626" i="1" s="1"/>
  <c r="B626" i="1"/>
  <c r="K625" i="1"/>
  <c r="N625" i="1" s="1"/>
  <c r="J625" i="1"/>
  <c r="M625" i="1" s="1"/>
  <c r="I625" i="1"/>
  <c r="L625" i="1" s="1"/>
  <c r="B625" i="1"/>
  <c r="B625" i="10" s="1"/>
  <c r="K624" i="1"/>
  <c r="N624" i="1" s="1"/>
  <c r="J624" i="1"/>
  <c r="M624" i="1" s="1"/>
  <c r="I624" i="1"/>
  <c r="L624" i="1" s="1"/>
  <c r="B624" i="1"/>
  <c r="K623" i="1"/>
  <c r="N623" i="1" s="1"/>
  <c r="J623" i="1"/>
  <c r="M623" i="1" s="1"/>
  <c r="I623" i="1"/>
  <c r="L623" i="1" s="1"/>
  <c r="B623" i="1"/>
  <c r="K622" i="1"/>
  <c r="N622" i="1" s="1"/>
  <c r="J622" i="1"/>
  <c r="M622" i="1" s="1"/>
  <c r="I622" i="1"/>
  <c r="L622" i="1" s="1"/>
  <c r="B622" i="1"/>
  <c r="K621" i="1"/>
  <c r="N621" i="1" s="1"/>
  <c r="J621" i="1"/>
  <c r="M621" i="1" s="1"/>
  <c r="I621" i="1"/>
  <c r="L621" i="1" s="1"/>
  <c r="B621" i="1"/>
  <c r="K620" i="1"/>
  <c r="N620" i="1" s="1"/>
  <c r="J620" i="1"/>
  <c r="M620" i="1" s="1"/>
  <c r="I620" i="1"/>
  <c r="L620" i="1" s="1"/>
  <c r="B620" i="1"/>
  <c r="K619" i="1"/>
  <c r="N619" i="1" s="1"/>
  <c r="J619" i="1"/>
  <c r="M619" i="1" s="1"/>
  <c r="I619" i="1"/>
  <c r="L619" i="1" s="1"/>
  <c r="B619" i="1"/>
  <c r="B619" i="10" s="1"/>
  <c r="K618" i="1"/>
  <c r="N618" i="1" s="1"/>
  <c r="J618" i="1"/>
  <c r="M618" i="1" s="1"/>
  <c r="I618" i="1"/>
  <c r="L618" i="1" s="1"/>
  <c r="B618" i="1"/>
  <c r="B618" i="10" s="1"/>
  <c r="K617" i="1"/>
  <c r="N617" i="1" s="1"/>
  <c r="J617" i="1"/>
  <c r="M617" i="1" s="1"/>
  <c r="I617" i="1"/>
  <c r="L617" i="1" s="1"/>
  <c r="B617" i="1"/>
  <c r="K616" i="1"/>
  <c r="N616" i="1" s="1"/>
  <c r="J616" i="1"/>
  <c r="M616" i="1" s="1"/>
  <c r="I616" i="1"/>
  <c r="L616" i="1" s="1"/>
  <c r="B616" i="1"/>
  <c r="K615" i="1"/>
  <c r="N615" i="1" s="1"/>
  <c r="J615" i="1"/>
  <c r="M615" i="1" s="1"/>
  <c r="I615" i="1"/>
  <c r="L615" i="1" s="1"/>
  <c r="B615" i="1"/>
  <c r="K614" i="1"/>
  <c r="N614" i="1" s="1"/>
  <c r="J614" i="1"/>
  <c r="M614" i="1" s="1"/>
  <c r="I614" i="1"/>
  <c r="L614" i="1" s="1"/>
  <c r="B614" i="1"/>
  <c r="K613" i="1"/>
  <c r="N613" i="1" s="1"/>
  <c r="J613" i="1"/>
  <c r="M613" i="1" s="1"/>
  <c r="I613" i="1"/>
  <c r="L613" i="1" s="1"/>
  <c r="B613" i="1"/>
  <c r="K612" i="1"/>
  <c r="N612" i="1" s="1"/>
  <c r="J612" i="1"/>
  <c r="M612" i="1" s="1"/>
  <c r="I612" i="1"/>
  <c r="L612" i="1" s="1"/>
  <c r="B612" i="1"/>
  <c r="B612" i="10" s="1"/>
  <c r="K611" i="1"/>
  <c r="N611" i="1" s="1"/>
  <c r="J611" i="1"/>
  <c r="M611" i="1" s="1"/>
  <c r="I611" i="1"/>
  <c r="L611" i="1" s="1"/>
  <c r="B611" i="1"/>
  <c r="B611" i="10" s="1"/>
  <c r="K610" i="1"/>
  <c r="N610" i="1" s="1"/>
  <c r="J610" i="1"/>
  <c r="M610" i="1" s="1"/>
  <c r="I610" i="1"/>
  <c r="L610" i="1" s="1"/>
  <c r="B610" i="1"/>
  <c r="M609" i="1"/>
  <c r="K609" i="1"/>
  <c r="N609" i="1" s="1"/>
  <c r="J609" i="1"/>
  <c r="I609" i="1"/>
  <c r="L609" i="1" s="1"/>
  <c r="B609" i="1"/>
  <c r="K608" i="1"/>
  <c r="N608" i="1" s="1"/>
  <c r="J608" i="1"/>
  <c r="M608" i="1" s="1"/>
  <c r="I608" i="1"/>
  <c r="L608" i="1" s="1"/>
  <c r="B608" i="1"/>
  <c r="K607" i="1"/>
  <c r="N607" i="1" s="1"/>
  <c r="J607" i="1"/>
  <c r="M607" i="1" s="1"/>
  <c r="I607" i="1"/>
  <c r="L607" i="1" s="1"/>
  <c r="B607" i="1"/>
  <c r="M606" i="1"/>
  <c r="K606" i="1"/>
  <c r="N606" i="1" s="1"/>
  <c r="J606" i="1"/>
  <c r="I606" i="1"/>
  <c r="L606" i="1" s="1"/>
  <c r="B606" i="1"/>
  <c r="K605" i="1"/>
  <c r="N605" i="1" s="1"/>
  <c r="J605" i="1"/>
  <c r="M605" i="1" s="1"/>
  <c r="I605" i="1"/>
  <c r="L605" i="1" s="1"/>
  <c r="B605" i="1"/>
  <c r="B605" i="10" s="1"/>
  <c r="K604" i="1"/>
  <c r="N604" i="1" s="1"/>
  <c r="J604" i="1"/>
  <c r="M604" i="1" s="1"/>
  <c r="I604" i="1"/>
  <c r="L604" i="1" s="1"/>
  <c r="B604" i="1"/>
  <c r="L603" i="1"/>
  <c r="K603" i="1"/>
  <c r="N603" i="1" s="1"/>
  <c r="J603" i="1"/>
  <c r="M603" i="1" s="1"/>
  <c r="I603" i="1"/>
  <c r="B603" i="1"/>
  <c r="K602" i="1"/>
  <c r="N602" i="1" s="1"/>
  <c r="J602" i="1"/>
  <c r="M602" i="1" s="1"/>
  <c r="I602" i="1"/>
  <c r="L602" i="1" s="1"/>
  <c r="B602" i="1"/>
  <c r="K601" i="1"/>
  <c r="N601" i="1" s="1"/>
  <c r="J601" i="1"/>
  <c r="M601" i="1" s="1"/>
  <c r="I601" i="1"/>
  <c r="L601" i="1" s="1"/>
  <c r="B601" i="1"/>
  <c r="K600" i="1"/>
  <c r="N600" i="1" s="1"/>
  <c r="J600" i="1"/>
  <c r="M600" i="1" s="1"/>
  <c r="I600" i="1"/>
  <c r="L600" i="1" s="1"/>
  <c r="B600" i="1"/>
  <c r="K599" i="1"/>
  <c r="N599" i="1" s="1"/>
  <c r="J599" i="1"/>
  <c r="M599" i="1" s="1"/>
  <c r="I599" i="1"/>
  <c r="L599" i="1" s="1"/>
  <c r="B599" i="1"/>
  <c r="K598" i="1"/>
  <c r="N598" i="1" s="1"/>
  <c r="J598" i="1"/>
  <c r="M598" i="1" s="1"/>
  <c r="I598" i="1"/>
  <c r="L598" i="1" s="1"/>
  <c r="B598" i="1"/>
  <c r="K597" i="1"/>
  <c r="N597" i="1" s="1"/>
  <c r="J597" i="1"/>
  <c r="M597" i="1" s="1"/>
  <c r="I597" i="1"/>
  <c r="L597" i="1" s="1"/>
  <c r="B597" i="1"/>
  <c r="B597" i="10" s="1"/>
  <c r="K596" i="1"/>
  <c r="N596" i="1" s="1"/>
  <c r="J596" i="1"/>
  <c r="M596" i="1" s="1"/>
  <c r="I596" i="1"/>
  <c r="L596" i="1" s="1"/>
  <c r="B596" i="1"/>
  <c r="K595" i="1"/>
  <c r="N595" i="1" s="1"/>
  <c r="J595" i="1"/>
  <c r="M595" i="1" s="1"/>
  <c r="I595" i="1"/>
  <c r="L595" i="1" s="1"/>
  <c r="B595" i="1"/>
  <c r="L594" i="1"/>
  <c r="K594" i="1"/>
  <c r="N594" i="1" s="1"/>
  <c r="J594" i="1"/>
  <c r="M594" i="1" s="1"/>
  <c r="I594" i="1"/>
  <c r="B594" i="1"/>
  <c r="K593" i="1"/>
  <c r="N593" i="1" s="1"/>
  <c r="J593" i="1"/>
  <c r="M593" i="1" s="1"/>
  <c r="I593" i="1"/>
  <c r="L593" i="1" s="1"/>
  <c r="B593" i="1"/>
  <c r="K592" i="1"/>
  <c r="N592" i="1" s="1"/>
  <c r="J592" i="1"/>
  <c r="M592" i="1" s="1"/>
  <c r="I592" i="1"/>
  <c r="L592" i="1" s="1"/>
  <c r="B592" i="1"/>
  <c r="K591" i="1"/>
  <c r="N591" i="1" s="1"/>
  <c r="J591" i="1"/>
  <c r="M591" i="1" s="1"/>
  <c r="I591" i="1"/>
  <c r="L591" i="1" s="1"/>
  <c r="B591" i="1"/>
  <c r="K590" i="1"/>
  <c r="N590" i="1" s="1"/>
  <c r="J590" i="1"/>
  <c r="M590" i="1" s="1"/>
  <c r="I590" i="1"/>
  <c r="L590" i="1" s="1"/>
  <c r="B590" i="1"/>
  <c r="B590" i="10" s="1"/>
  <c r="K589" i="1"/>
  <c r="N589" i="1" s="1"/>
  <c r="J589" i="1"/>
  <c r="M589" i="1" s="1"/>
  <c r="I589" i="1"/>
  <c r="L589" i="1" s="1"/>
  <c r="B589" i="1"/>
  <c r="K588" i="1"/>
  <c r="N588" i="1" s="1"/>
  <c r="J588" i="1"/>
  <c r="M588" i="1" s="1"/>
  <c r="I588" i="1"/>
  <c r="L588" i="1" s="1"/>
  <c r="B588" i="1"/>
  <c r="N587" i="1"/>
  <c r="K587" i="1"/>
  <c r="J587" i="1"/>
  <c r="M587" i="1" s="1"/>
  <c r="I587" i="1"/>
  <c r="L587" i="1" s="1"/>
  <c r="B587" i="1"/>
  <c r="B587" i="10" s="1"/>
  <c r="K586" i="1"/>
  <c r="N586" i="1" s="1"/>
  <c r="J586" i="1"/>
  <c r="M586" i="1" s="1"/>
  <c r="I586" i="1"/>
  <c r="L586" i="1" s="1"/>
  <c r="B586" i="1"/>
  <c r="K585" i="1"/>
  <c r="N585" i="1" s="1"/>
  <c r="J585" i="1"/>
  <c r="M585" i="1" s="1"/>
  <c r="I585" i="1"/>
  <c r="L585" i="1" s="1"/>
  <c r="B585" i="1"/>
  <c r="K584" i="1"/>
  <c r="N584" i="1" s="1"/>
  <c r="J584" i="1"/>
  <c r="M584" i="1" s="1"/>
  <c r="I584" i="1"/>
  <c r="L584" i="1" s="1"/>
  <c r="B584" i="1"/>
  <c r="B584" i="10" s="1"/>
  <c r="K583" i="1"/>
  <c r="N583" i="1" s="1"/>
  <c r="J583" i="1"/>
  <c r="M583" i="1" s="1"/>
  <c r="I583" i="1"/>
  <c r="L583" i="1" s="1"/>
  <c r="B583" i="1"/>
  <c r="K582" i="1"/>
  <c r="N582" i="1" s="1"/>
  <c r="J582" i="1"/>
  <c r="M582" i="1" s="1"/>
  <c r="I582" i="1"/>
  <c r="L582" i="1" s="1"/>
  <c r="B582" i="1"/>
  <c r="K581" i="1"/>
  <c r="N581" i="1" s="1"/>
  <c r="J581" i="1"/>
  <c r="M581" i="1" s="1"/>
  <c r="I581" i="1"/>
  <c r="L581" i="1" s="1"/>
  <c r="B581" i="1"/>
  <c r="K580" i="1"/>
  <c r="N580" i="1" s="1"/>
  <c r="J580" i="1"/>
  <c r="M580" i="1" s="1"/>
  <c r="I580" i="1"/>
  <c r="L580" i="1" s="1"/>
  <c r="B580" i="1"/>
  <c r="B580" i="10" s="1"/>
  <c r="K579" i="1"/>
  <c r="N579" i="1" s="1"/>
  <c r="J579" i="1"/>
  <c r="M579" i="1" s="1"/>
  <c r="I579" i="1"/>
  <c r="L579" i="1" s="1"/>
  <c r="B579" i="1"/>
  <c r="K578" i="1"/>
  <c r="N578" i="1" s="1"/>
  <c r="J578" i="1"/>
  <c r="M578" i="1" s="1"/>
  <c r="I578" i="1"/>
  <c r="L578" i="1" s="1"/>
  <c r="B578" i="1"/>
  <c r="K577" i="1"/>
  <c r="N577" i="1" s="1"/>
  <c r="J577" i="1"/>
  <c r="M577" i="1" s="1"/>
  <c r="I577" i="1"/>
  <c r="L577" i="1" s="1"/>
  <c r="B577" i="1"/>
  <c r="B577" i="10" s="1"/>
  <c r="K576" i="1"/>
  <c r="N576" i="1" s="1"/>
  <c r="J576" i="1"/>
  <c r="M576" i="1" s="1"/>
  <c r="I576" i="1"/>
  <c r="L576" i="1" s="1"/>
  <c r="B576" i="1"/>
  <c r="B576" i="10" s="1"/>
  <c r="K575" i="1"/>
  <c r="N575" i="1" s="1"/>
  <c r="J575" i="1"/>
  <c r="M575" i="1" s="1"/>
  <c r="I575" i="1"/>
  <c r="L575" i="1" s="1"/>
  <c r="B575" i="1"/>
  <c r="K574" i="1"/>
  <c r="N574" i="1" s="1"/>
  <c r="J574" i="1"/>
  <c r="M574" i="1" s="1"/>
  <c r="I574" i="1"/>
  <c r="L574" i="1" s="1"/>
  <c r="B574" i="1"/>
  <c r="L573" i="1"/>
  <c r="K573" i="1"/>
  <c r="N573" i="1" s="1"/>
  <c r="J573" i="1"/>
  <c r="M573" i="1" s="1"/>
  <c r="I573" i="1"/>
  <c r="B573" i="1"/>
  <c r="K572" i="1"/>
  <c r="N572" i="1" s="1"/>
  <c r="J572" i="1"/>
  <c r="M572" i="1" s="1"/>
  <c r="I572" i="1"/>
  <c r="L572" i="1" s="1"/>
  <c r="B572" i="1"/>
  <c r="K571" i="1"/>
  <c r="N571" i="1" s="1"/>
  <c r="J571" i="1"/>
  <c r="M571" i="1" s="1"/>
  <c r="I571" i="1"/>
  <c r="L571" i="1" s="1"/>
  <c r="B571" i="1"/>
  <c r="K570" i="1"/>
  <c r="N570" i="1" s="1"/>
  <c r="J570" i="1"/>
  <c r="M570" i="1" s="1"/>
  <c r="I570" i="1"/>
  <c r="L570" i="1" s="1"/>
  <c r="B570" i="1"/>
  <c r="B570" i="10" s="1"/>
  <c r="K569" i="1"/>
  <c r="N569" i="1" s="1"/>
  <c r="J569" i="1"/>
  <c r="M569" i="1" s="1"/>
  <c r="I569" i="1"/>
  <c r="L569" i="1" s="1"/>
  <c r="B569" i="1"/>
  <c r="B569" i="10" s="1"/>
  <c r="K568" i="1"/>
  <c r="N568" i="1" s="1"/>
  <c r="J568" i="1"/>
  <c r="M568" i="1" s="1"/>
  <c r="I568" i="1"/>
  <c r="L568" i="1" s="1"/>
  <c r="B568" i="1"/>
  <c r="K567" i="1"/>
  <c r="N567" i="1" s="1"/>
  <c r="J567" i="1"/>
  <c r="M567" i="1" s="1"/>
  <c r="I567" i="1"/>
  <c r="L567" i="1" s="1"/>
  <c r="B567" i="1"/>
  <c r="K566" i="1"/>
  <c r="N566" i="1" s="1"/>
  <c r="J566" i="1"/>
  <c r="M566" i="1" s="1"/>
  <c r="I566" i="1"/>
  <c r="L566" i="1" s="1"/>
  <c r="B566" i="1"/>
  <c r="M565" i="1"/>
  <c r="L565" i="1"/>
  <c r="K565" i="1"/>
  <c r="N565" i="1" s="1"/>
  <c r="J565" i="1"/>
  <c r="I565" i="1"/>
  <c r="B565" i="1"/>
  <c r="M564" i="1"/>
  <c r="K564" i="1"/>
  <c r="N564" i="1" s="1"/>
  <c r="J564" i="1"/>
  <c r="I564" i="1"/>
  <c r="L564" i="1" s="1"/>
  <c r="B564" i="1"/>
  <c r="K563" i="1"/>
  <c r="N563" i="1" s="1"/>
  <c r="J563" i="1"/>
  <c r="M563" i="1" s="1"/>
  <c r="I563" i="1"/>
  <c r="L563" i="1" s="1"/>
  <c r="B563" i="1"/>
  <c r="K562" i="1"/>
  <c r="N562" i="1" s="1"/>
  <c r="J562" i="1"/>
  <c r="M562" i="1" s="1"/>
  <c r="I562" i="1"/>
  <c r="L562" i="1" s="1"/>
  <c r="B562" i="1"/>
  <c r="L561" i="1"/>
  <c r="K561" i="1"/>
  <c r="N561" i="1" s="1"/>
  <c r="J561" i="1"/>
  <c r="M561" i="1" s="1"/>
  <c r="I561" i="1"/>
  <c r="B561" i="1"/>
  <c r="K560" i="1"/>
  <c r="N560" i="1" s="1"/>
  <c r="J560" i="1"/>
  <c r="M560" i="1" s="1"/>
  <c r="I560" i="1"/>
  <c r="L560" i="1" s="1"/>
  <c r="B560" i="1"/>
  <c r="B560" i="10" s="1"/>
  <c r="M559" i="1"/>
  <c r="K559" i="1"/>
  <c r="N559" i="1" s="1"/>
  <c r="J559" i="1"/>
  <c r="I559" i="1"/>
  <c r="L559" i="1" s="1"/>
  <c r="B559" i="1"/>
  <c r="N558" i="1"/>
  <c r="K558" i="1"/>
  <c r="J558" i="1"/>
  <c r="M558" i="1" s="1"/>
  <c r="I558" i="1"/>
  <c r="L558" i="1" s="1"/>
  <c r="B558" i="1"/>
  <c r="K557" i="1"/>
  <c r="N557" i="1" s="1"/>
  <c r="J557" i="1"/>
  <c r="M557" i="1" s="1"/>
  <c r="I557" i="1"/>
  <c r="L557" i="1" s="1"/>
  <c r="B557" i="1"/>
  <c r="M556" i="1"/>
  <c r="K556" i="1"/>
  <c r="N556" i="1" s="1"/>
  <c r="J556" i="1"/>
  <c r="I556" i="1"/>
  <c r="L556" i="1" s="1"/>
  <c r="B556" i="1"/>
  <c r="M555" i="1"/>
  <c r="K555" i="1"/>
  <c r="N555" i="1" s="1"/>
  <c r="J555" i="1"/>
  <c r="I555" i="1"/>
  <c r="L555" i="1" s="1"/>
  <c r="B555" i="1"/>
  <c r="B555" i="10" s="1"/>
  <c r="K554" i="1"/>
  <c r="N554" i="1" s="1"/>
  <c r="J554" i="1"/>
  <c r="M554" i="1" s="1"/>
  <c r="I554" i="1"/>
  <c r="L554" i="1" s="1"/>
  <c r="B554" i="1"/>
  <c r="K553" i="1"/>
  <c r="N553" i="1" s="1"/>
  <c r="J553" i="1"/>
  <c r="M553" i="1" s="1"/>
  <c r="I553" i="1"/>
  <c r="L553" i="1" s="1"/>
  <c r="B553" i="1"/>
  <c r="N552" i="1"/>
  <c r="M552" i="1"/>
  <c r="K552" i="1"/>
  <c r="J552" i="1"/>
  <c r="I552" i="1"/>
  <c r="L552" i="1" s="1"/>
  <c r="B552" i="1"/>
  <c r="K551" i="1"/>
  <c r="N551" i="1" s="1"/>
  <c r="J551" i="1"/>
  <c r="M551" i="1" s="1"/>
  <c r="I551" i="1"/>
  <c r="L551" i="1" s="1"/>
  <c r="B551" i="1"/>
  <c r="K550" i="1"/>
  <c r="N550" i="1" s="1"/>
  <c r="J550" i="1"/>
  <c r="M550" i="1" s="1"/>
  <c r="I550" i="1"/>
  <c r="L550" i="1" s="1"/>
  <c r="B550" i="1"/>
  <c r="K549" i="1"/>
  <c r="N549" i="1" s="1"/>
  <c r="J549" i="1"/>
  <c r="M549" i="1" s="1"/>
  <c r="I549" i="1"/>
  <c r="L549" i="1" s="1"/>
  <c r="B549" i="1"/>
  <c r="N548" i="1"/>
  <c r="K548" i="1"/>
  <c r="J548" i="1"/>
  <c r="M548" i="1" s="1"/>
  <c r="I548" i="1"/>
  <c r="L548" i="1" s="1"/>
  <c r="B548" i="1"/>
  <c r="K547" i="1"/>
  <c r="N547" i="1" s="1"/>
  <c r="J547" i="1"/>
  <c r="M547" i="1" s="1"/>
  <c r="I547" i="1"/>
  <c r="L547" i="1" s="1"/>
  <c r="B547" i="1"/>
  <c r="K546" i="1"/>
  <c r="N546" i="1" s="1"/>
  <c r="J546" i="1"/>
  <c r="M546" i="1" s="1"/>
  <c r="I546" i="1"/>
  <c r="L546" i="1" s="1"/>
  <c r="B546" i="1"/>
  <c r="M545" i="1"/>
  <c r="K545" i="1"/>
  <c r="N545" i="1" s="1"/>
  <c r="J545" i="1"/>
  <c r="I545" i="1"/>
  <c r="L545" i="1" s="1"/>
  <c r="B545" i="1"/>
  <c r="K544" i="1"/>
  <c r="N544" i="1" s="1"/>
  <c r="J544" i="1"/>
  <c r="M544" i="1" s="1"/>
  <c r="I544" i="1"/>
  <c r="L544" i="1" s="1"/>
  <c r="B544" i="1"/>
  <c r="B544" i="10" s="1"/>
  <c r="K543" i="1"/>
  <c r="N543" i="1" s="1"/>
  <c r="J543" i="1"/>
  <c r="M543" i="1" s="1"/>
  <c r="I543" i="1"/>
  <c r="L543" i="1" s="1"/>
  <c r="B543" i="1"/>
  <c r="K542" i="1"/>
  <c r="N542" i="1" s="1"/>
  <c r="J542" i="1"/>
  <c r="M542" i="1" s="1"/>
  <c r="I542" i="1"/>
  <c r="L542" i="1" s="1"/>
  <c r="B542" i="1"/>
  <c r="K541" i="1"/>
  <c r="N541" i="1" s="1"/>
  <c r="J541" i="1"/>
  <c r="M541" i="1" s="1"/>
  <c r="I541" i="1"/>
  <c r="L541" i="1" s="1"/>
  <c r="B541" i="1"/>
  <c r="K540" i="1"/>
  <c r="N540" i="1" s="1"/>
  <c r="J540" i="1"/>
  <c r="M540" i="1" s="1"/>
  <c r="I540" i="1"/>
  <c r="L540" i="1" s="1"/>
  <c r="B540" i="1"/>
  <c r="M539" i="1"/>
  <c r="K539" i="1"/>
  <c r="N539" i="1" s="1"/>
  <c r="J539" i="1"/>
  <c r="I539" i="1"/>
  <c r="L539" i="1" s="1"/>
  <c r="B539" i="1"/>
  <c r="B539" i="10" s="1"/>
  <c r="K538" i="1"/>
  <c r="N538" i="1" s="1"/>
  <c r="J538" i="1"/>
  <c r="M538" i="1" s="1"/>
  <c r="I538" i="1"/>
  <c r="L538" i="1" s="1"/>
  <c r="B538" i="1"/>
  <c r="L537" i="1"/>
  <c r="K537" i="1"/>
  <c r="N537" i="1" s="1"/>
  <c r="J537" i="1"/>
  <c r="M537" i="1" s="1"/>
  <c r="I537" i="1"/>
  <c r="B537" i="1"/>
  <c r="K536" i="1"/>
  <c r="N536" i="1" s="1"/>
  <c r="J536" i="1"/>
  <c r="M536" i="1" s="1"/>
  <c r="I536" i="1"/>
  <c r="L536" i="1" s="1"/>
  <c r="B536" i="1"/>
  <c r="K535" i="1"/>
  <c r="N535" i="1" s="1"/>
  <c r="J535" i="1"/>
  <c r="M535" i="1" s="1"/>
  <c r="I535" i="1"/>
  <c r="L535" i="1" s="1"/>
  <c r="B535" i="1"/>
  <c r="M534" i="1"/>
  <c r="K534" i="1"/>
  <c r="N534" i="1" s="1"/>
  <c r="J534" i="1"/>
  <c r="I534" i="1"/>
  <c r="L534" i="1" s="1"/>
  <c r="B534" i="1"/>
  <c r="K533" i="1"/>
  <c r="N533" i="1" s="1"/>
  <c r="J533" i="1"/>
  <c r="M533" i="1" s="1"/>
  <c r="I533" i="1"/>
  <c r="L533" i="1" s="1"/>
  <c r="B533" i="1"/>
  <c r="K532" i="1"/>
  <c r="N532" i="1" s="1"/>
  <c r="J532" i="1"/>
  <c r="M532" i="1" s="1"/>
  <c r="I532" i="1"/>
  <c r="L532" i="1" s="1"/>
  <c r="B532" i="1"/>
  <c r="N531" i="1"/>
  <c r="K531" i="1"/>
  <c r="J531" i="1"/>
  <c r="M531" i="1" s="1"/>
  <c r="I531" i="1"/>
  <c r="L531" i="1" s="1"/>
  <c r="B531" i="1"/>
  <c r="K530" i="1"/>
  <c r="N530" i="1" s="1"/>
  <c r="J530" i="1"/>
  <c r="M530" i="1" s="1"/>
  <c r="I530" i="1"/>
  <c r="L530" i="1" s="1"/>
  <c r="B530" i="1"/>
  <c r="N529" i="1"/>
  <c r="K529" i="1"/>
  <c r="J529" i="1"/>
  <c r="M529" i="1" s="1"/>
  <c r="I529" i="1"/>
  <c r="L529" i="1" s="1"/>
  <c r="B529" i="1"/>
  <c r="B529" i="10" s="1"/>
  <c r="K528" i="1"/>
  <c r="N528" i="1" s="1"/>
  <c r="J528" i="1"/>
  <c r="M528" i="1" s="1"/>
  <c r="I528" i="1"/>
  <c r="L528" i="1" s="1"/>
  <c r="B528" i="1"/>
  <c r="K527" i="1"/>
  <c r="N527" i="1" s="1"/>
  <c r="J527" i="1"/>
  <c r="M527" i="1" s="1"/>
  <c r="I527" i="1"/>
  <c r="L527" i="1" s="1"/>
  <c r="B527" i="1"/>
  <c r="B527" i="10" s="1"/>
  <c r="K526" i="1"/>
  <c r="N526" i="1" s="1"/>
  <c r="J526" i="1"/>
  <c r="M526" i="1" s="1"/>
  <c r="I526" i="1"/>
  <c r="L526" i="1" s="1"/>
  <c r="B526" i="1"/>
  <c r="K525" i="1"/>
  <c r="N525" i="1" s="1"/>
  <c r="J525" i="1"/>
  <c r="M525" i="1" s="1"/>
  <c r="I525" i="1"/>
  <c r="L525" i="1" s="1"/>
  <c r="B525" i="1"/>
  <c r="N524" i="1"/>
  <c r="L524" i="1"/>
  <c r="K524" i="1"/>
  <c r="J524" i="1"/>
  <c r="M524" i="1" s="1"/>
  <c r="I524" i="1"/>
  <c r="B524" i="1"/>
  <c r="B524" i="10" s="1"/>
  <c r="K523" i="1"/>
  <c r="N523" i="1" s="1"/>
  <c r="J523" i="1"/>
  <c r="M523" i="1" s="1"/>
  <c r="I523" i="1"/>
  <c r="L523" i="1" s="1"/>
  <c r="B523" i="1"/>
  <c r="K522" i="1"/>
  <c r="N522" i="1" s="1"/>
  <c r="J522" i="1"/>
  <c r="M522" i="1" s="1"/>
  <c r="I522" i="1"/>
  <c r="L522" i="1" s="1"/>
  <c r="B522" i="1"/>
  <c r="K521" i="1"/>
  <c r="N521" i="1" s="1"/>
  <c r="J521" i="1"/>
  <c r="M521" i="1" s="1"/>
  <c r="I521" i="1"/>
  <c r="L521" i="1" s="1"/>
  <c r="B521" i="1"/>
  <c r="K520" i="1"/>
  <c r="N520" i="1" s="1"/>
  <c r="J520" i="1"/>
  <c r="M520" i="1" s="1"/>
  <c r="I520" i="1"/>
  <c r="L520" i="1" s="1"/>
  <c r="B520" i="1"/>
  <c r="K519" i="1"/>
  <c r="N519" i="1" s="1"/>
  <c r="J519" i="1"/>
  <c r="M519" i="1" s="1"/>
  <c r="I519" i="1"/>
  <c r="L519" i="1" s="1"/>
  <c r="B519" i="1"/>
  <c r="M518" i="1"/>
  <c r="K518" i="1"/>
  <c r="N518" i="1" s="1"/>
  <c r="J518" i="1"/>
  <c r="I518" i="1"/>
  <c r="L518" i="1" s="1"/>
  <c r="B518" i="1"/>
  <c r="K517" i="1"/>
  <c r="N517" i="1" s="1"/>
  <c r="J517" i="1"/>
  <c r="M517" i="1" s="1"/>
  <c r="I517" i="1"/>
  <c r="L517" i="1" s="1"/>
  <c r="B517" i="1"/>
  <c r="M516" i="1"/>
  <c r="K516" i="1"/>
  <c r="N516" i="1" s="1"/>
  <c r="J516" i="1"/>
  <c r="I516" i="1"/>
  <c r="L516" i="1" s="1"/>
  <c r="B516" i="1"/>
  <c r="K515" i="1"/>
  <c r="N515" i="1" s="1"/>
  <c r="J515" i="1"/>
  <c r="M515" i="1" s="1"/>
  <c r="I515" i="1"/>
  <c r="L515" i="1" s="1"/>
  <c r="B515" i="1"/>
  <c r="K514" i="1"/>
  <c r="N514" i="1" s="1"/>
  <c r="J514" i="1"/>
  <c r="M514" i="1" s="1"/>
  <c r="I514" i="1"/>
  <c r="L514" i="1" s="1"/>
  <c r="B514" i="1"/>
  <c r="N513" i="1"/>
  <c r="K513" i="1"/>
  <c r="J513" i="1"/>
  <c r="M513" i="1" s="1"/>
  <c r="I513" i="1"/>
  <c r="L513" i="1" s="1"/>
  <c r="B513" i="1"/>
  <c r="B513" i="10" s="1"/>
  <c r="K512" i="1"/>
  <c r="N512" i="1" s="1"/>
  <c r="J512" i="1"/>
  <c r="M512" i="1" s="1"/>
  <c r="I512" i="1"/>
  <c r="L512" i="1" s="1"/>
  <c r="B512" i="1"/>
  <c r="M511" i="1"/>
  <c r="K511" i="1"/>
  <c r="N511" i="1" s="1"/>
  <c r="J511" i="1"/>
  <c r="I511" i="1"/>
  <c r="L511" i="1" s="1"/>
  <c r="B511" i="1"/>
  <c r="K510" i="1"/>
  <c r="N510" i="1" s="1"/>
  <c r="J510" i="1"/>
  <c r="M510" i="1" s="1"/>
  <c r="I510" i="1"/>
  <c r="L510" i="1" s="1"/>
  <c r="B510" i="1"/>
  <c r="B510" i="10" s="1"/>
  <c r="K509" i="1"/>
  <c r="N509" i="1" s="1"/>
  <c r="J509" i="1"/>
  <c r="M509" i="1" s="1"/>
  <c r="I509" i="1"/>
  <c r="L509" i="1" s="1"/>
  <c r="B509" i="1"/>
  <c r="K508" i="1"/>
  <c r="N508" i="1" s="1"/>
  <c r="J508" i="1"/>
  <c r="M508" i="1" s="1"/>
  <c r="I508" i="1"/>
  <c r="L508" i="1" s="1"/>
  <c r="B508" i="1"/>
  <c r="N507" i="1"/>
  <c r="K507" i="1"/>
  <c r="J507" i="1"/>
  <c r="M507" i="1" s="1"/>
  <c r="I507" i="1"/>
  <c r="L507" i="1" s="1"/>
  <c r="B507" i="1"/>
  <c r="B507" i="10" s="1"/>
  <c r="L506" i="1"/>
  <c r="K506" i="1"/>
  <c r="N506" i="1" s="1"/>
  <c r="J506" i="1"/>
  <c r="M506" i="1" s="1"/>
  <c r="I506" i="1"/>
  <c r="B506" i="1"/>
  <c r="K505" i="1"/>
  <c r="N505" i="1" s="1"/>
  <c r="J505" i="1"/>
  <c r="M505" i="1" s="1"/>
  <c r="I505" i="1"/>
  <c r="L505" i="1" s="1"/>
  <c r="B505" i="1"/>
  <c r="K504" i="1"/>
  <c r="N504" i="1" s="1"/>
  <c r="J504" i="1"/>
  <c r="M504" i="1" s="1"/>
  <c r="I504" i="1"/>
  <c r="L504" i="1" s="1"/>
  <c r="B504" i="1"/>
  <c r="L503" i="1"/>
  <c r="K503" i="1"/>
  <c r="N503" i="1" s="1"/>
  <c r="J503" i="1"/>
  <c r="M503" i="1" s="1"/>
  <c r="I503" i="1"/>
  <c r="B503" i="1"/>
  <c r="L502" i="1"/>
  <c r="K502" i="1"/>
  <c r="N502" i="1" s="1"/>
  <c r="J502" i="1"/>
  <c r="M502" i="1" s="1"/>
  <c r="I502" i="1"/>
  <c r="B502" i="1"/>
  <c r="K501" i="1"/>
  <c r="N501" i="1" s="1"/>
  <c r="J501" i="1"/>
  <c r="M501" i="1" s="1"/>
  <c r="I501" i="1"/>
  <c r="L501" i="1" s="1"/>
  <c r="B501" i="1"/>
  <c r="M500" i="1"/>
  <c r="K500" i="1"/>
  <c r="N500" i="1" s="1"/>
  <c r="J500" i="1"/>
  <c r="I500" i="1"/>
  <c r="L500" i="1" s="1"/>
  <c r="B500" i="1"/>
  <c r="B500" i="10" s="1"/>
  <c r="M499" i="1"/>
  <c r="K499" i="1"/>
  <c r="N499" i="1" s="1"/>
  <c r="J499" i="1"/>
  <c r="I499" i="1"/>
  <c r="L499" i="1" s="1"/>
  <c r="B499" i="1"/>
  <c r="M498" i="1"/>
  <c r="K498" i="1"/>
  <c r="N498" i="1" s="1"/>
  <c r="J498" i="1"/>
  <c r="I498" i="1"/>
  <c r="L498" i="1" s="1"/>
  <c r="B498" i="1"/>
  <c r="K497" i="1"/>
  <c r="N497" i="1" s="1"/>
  <c r="J497" i="1"/>
  <c r="M497" i="1" s="1"/>
  <c r="I497" i="1"/>
  <c r="L497" i="1" s="1"/>
  <c r="B497" i="1"/>
  <c r="N496" i="1"/>
  <c r="L496" i="1"/>
  <c r="K496" i="1"/>
  <c r="J496" i="1"/>
  <c r="M496" i="1" s="1"/>
  <c r="I496" i="1"/>
  <c r="B496" i="1"/>
  <c r="K495" i="1"/>
  <c r="N495" i="1" s="1"/>
  <c r="J495" i="1"/>
  <c r="M495" i="1" s="1"/>
  <c r="I495" i="1"/>
  <c r="L495" i="1" s="1"/>
  <c r="B495" i="1"/>
  <c r="B495" i="10" s="1"/>
  <c r="K494" i="1"/>
  <c r="N494" i="1" s="1"/>
  <c r="J494" i="1"/>
  <c r="M494" i="1" s="1"/>
  <c r="I494" i="1"/>
  <c r="L494" i="1" s="1"/>
  <c r="B494" i="1"/>
  <c r="K493" i="1"/>
  <c r="N493" i="1" s="1"/>
  <c r="J493" i="1"/>
  <c r="M493" i="1" s="1"/>
  <c r="I493" i="1"/>
  <c r="L493" i="1" s="1"/>
  <c r="B493" i="1"/>
  <c r="K492" i="1"/>
  <c r="N492" i="1" s="1"/>
  <c r="J492" i="1"/>
  <c r="M492" i="1" s="1"/>
  <c r="I492" i="1"/>
  <c r="L492" i="1" s="1"/>
  <c r="B492" i="1"/>
  <c r="B492" i="10" s="1"/>
  <c r="K491" i="1"/>
  <c r="N491" i="1" s="1"/>
  <c r="J491" i="1"/>
  <c r="M491" i="1" s="1"/>
  <c r="I491" i="1"/>
  <c r="L491" i="1" s="1"/>
  <c r="B491" i="1"/>
  <c r="K490" i="1"/>
  <c r="N490" i="1" s="1"/>
  <c r="J490" i="1"/>
  <c r="M490" i="1" s="1"/>
  <c r="I490" i="1"/>
  <c r="L490" i="1" s="1"/>
  <c r="B490" i="1"/>
  <c r="M489" i="1"/>
  <c r="L489" i="1"/>
  <c r="K489" i="1"/>
  <c r="N489" i="1" s="1"/>
  <c r="J489" i="1"/>
  <c r="I489" i="1"/>
  <c r="B489" i="1"/>
  <c r="L488" i="1"/>
  <c r="K488" i="1"/>
  <c r="N488" i="1" s="1"/>
  <c r="J488" i="1"/>
  <c r="M488" i="1" s="1"/>
  <c r="I488" i="1"/>
  <c r="B488" i="1"/>
  <c r="K487" i="1"/>
  <c r="N487" i="1" s="1"/>
  <c r="J487" i="1"/>
  <c r="M487" i="1" s="1"/>
  <c r="I487" i="1"/>
  <c r="L487" i="1" s="1"/>
  <c r="B487" i="1"/>
  <c r="K486" i="1"/>
  <c r="N486" i="1" s="1"/>
  <c r="J486" i="1"/>
  <c r="M486" i="1" s="1"/>
  <c r="I486" i="1"/>
  <c r="L486" i="1" s="1"/>
  <c r="B486" i="1"/>
  <c r="B486" i="10" s="1"/>
  <c r="K485" i="1"/>
  <c r="N485" i="1" s="1"/>
  <c r="J485" i="1"/>
  <c r="M485" i="1" s="1"/>
  <c r="I485" i="1"/>
  <c r="L485" i="1" s="1"/>
  <c r="B485" i="1"/>
  <c r="B485" i="10" s="1"/>
  <c r="K484" i="1"/>
  <c r="N484" i="1" s="1"/>
  <c r="J484" i="1"/>
  <c r="M484" i="1" s="1"/>
  <c r="I484" i="1"/>
  <c r="L484" i="1" s="1"/>
  <c r="B484" i="1"/>
  <c r="K483" i="1"/>
  <c r="N483" i="1" s="1"/>
  <c r="J483" i="1"/>
  <c r="M483" i="1" s="1"/>
  <c r="I483" i="1"/>
  <c r="L483" i="1" s="1"/>
  <c r="B483" i="1"/>
  <c r="K482" i="1"/>
  <c r="N482" i="1" s="1"/>
  <c r="J482" i="1"/>
  <c r="M482" i="1" s="1"/>
  <c r="I482" i="1"/>
  <c r="L482" i="1" s="1"/>
  <c r="B482" i="1"/>
  <c r="K481" i="1"/>
  <c r="N481" i="1" s="1"/>
  <c r="J481" i="1"/>
  <c r="M481" i="1" s="1"/>
  <c r="I481" i="1"/>
  <c r="L481" i="1" s="1"/>
  <c r="B481" i="1"/>
  <c r="K480" i="1"/>
  <c r="N480" i="1" s="1"/>
  <c r="J480" i="1"/>
  <c r="M480" i="1" s="1"/>
  <c r="I480" i="1"/>
  <c r="L480" i="1" s="1"/>
  <c r="B480" i="1"/>
  <c r="M479" i="1"/>
  <c r="K479" i="1"/>
  <c r="N479" i="1" s="1"/>
  <c r="J479" i="1"/>
  <c r="I479" i="1"/>
  <c r="L479" i="1" s="1"/>
  <c r="B479" i="1"/>
  <c r="B479" i="10" s="1"/>
  <c r="K478" i="1"/>
  <c r="N478" i="1" s="1"/>
  <c r="J478" i="1"/>
  <c r="M478" i="1" s="1"/>
  <c r="I478" i="1"/>
  <c r="L478" i="1" s="1"/>
  <c r="B478" i="1"/>
  <c r="K477" i="1"/>
  <c r="N477" i="1" s="1"/>
  <c r="J477" i="1"/>
  <c r="M477" i="1" s="1"/>
  <c r="I477" i="1"/>
  <c r="L477" i="1" s="1"/>
  <c r="B477" i="1"/>
  <c r="M476" i="1"/>
  <c r="K476" i="1"/>
  <c r="N476" i="1" s="1"/>
  <c r="J476" i="1"/>
  <c r="I476" i="1"/>
  <c r="L476" i="1" s="1"/>
  <c r="B476" i="1"/>
  <c r="L475" i="1"/>
  <c r="K475" i="1"/>
  <c r="N475" i="1" s="1"/>
  <c r="J475" i="1"/>
  <c r="M475" i="1" s="1"/>
  <c r="I475" i="1"/>
  <c r="B475" i="1"/>
  <c r="K474" i="1"/>
  <c r="N474" i="1" s="1"/>
  <c r="J474" i="1"/>
  <c r="M474" i="1" s="1"/>
  <c r="I474" i="1"/>
  <c r="L474" i="1" s="1"/>
  <c r="B474" i="1"/>
  <c r="K473" i="1"/>
  <c r="N473" i="1" s="1"/>
  <c r="J473" i="1"/>
  <c r="M473" i="1" s="1"/>
  <c r="I473" i="1"/>
  <c r="L473" i="1" s="1"/>
  <c r="B473" i="1"/>
  <c r="K472" i="1"/>
  <c r="N472" i="1" s="1"/>
  <c r="J472" i="1"/>
  <c r="M472" i="1" s="1"/>
  <c r="I472" i="1"/>
  <c r="L472" i="1" s="1"/>
  <c r="B472" i="1"/>
  <c r="B472" i="10" s="1"/>
  <c r="K471" i="1"/>
  <c r="N471" i="1" s="1"/>
  <c r="J471" i="1"/>
  <c r="M471" i="1" s="1"/>
  <c r="I471" i="1"/>
  <c r="L471" i="1" s="1"/>
  <c r="B471" i="1"/>
  <c r="B471" i="10" s="1"/>
  <c r="M470" i="1"/>
  <c r="K470" i="1"/>
  <c r="N470" i="1" s="1"/>
  <c r="J470" i="1"/>
  <c r="I470" i="1"/>
  <c r="L470" i="1" s="1"/>
  <c r="B470" i="1"/>
  <c r="K469" i="1"/>
  <c r="N469" i="1" s="1"/>
  <c r="J469" i="1"/>
  <c r="M469" i="1" s="1"/>
  <c r="I469" i="1"/>
  <c r="L469" i="1" s="1"/>
  <c r="B469" i="1"/>
  <c r="L468" i="1"/>
  <c r="K468" i="1"/>
  <c r="N468" i="1" s="1"/>
  <c r="J468" i="1"/>
  <c r="M468" i="1" s="1"/>
  <c r="I468" i="1"/>
  <c r="B468" i="1"/>
  <c r="K467" i="1"/>
  <c r="N467" i="1" s="1"/>
  <c r="J467" i="1"/>
  <c r="M467" i="1" s="1"/>
  <c r="I467" i="1"/>
  <c r="L467" i="1" s="1"/>
  <c r="B467" i="1"/>
  <c r="K466" i="1"/>
  <c r="N466" i="1" s="1"/>
  <c r="J466" i="1"/>
  <c r="M466" i="1" s="1"/>
  <c r="I466" i="1"/>
  <c r="L466" i="1" s="1"/>
  <c r="B466" i="1"/>
  <c r="K465" i="1"/>
  <c r="N465" i="1" s="1"/>
  <c r="J465" i="1"/>
  <c r="M465" i="1" s="1"/>
  <c r="I465" i="1"/>
  <c r="L465" i="1" s="1"/>
  <c r="B465" i="1"/>
  <c r="K464" i="1"/>
  <c r="N464" i="1" s="1"/>
  <c r="J464" i="1"/>
  <c r="M464" i="1" s="1"/>
  <c r="I464" i="1"/>
  <c r="L464" i="1" s="1"/>
  <c r="B464" i="1"/>
  <c r="K463" i="1"/>
  <c r="N463" i="1" s="1"/>
  <c r="J463" i="1"/>
  <c r="M463" i="1" s="1"/>
  <c r="I463" i="1"/>
  <c r="L463" i="1" s="1"/>
  <c r="B463" i="1"/>
  <c r="K462" i="1"/>
  <c r="N462" i="1" s="1"/>
  <c r="J462" i="1"/>
  <c r="M462" i="1" s="1"/>
  <c r="I462" i="1"/>
  <c r="L462" i="1" s="1"/>
  <c r="B462" i="1"/>
  <c r="K461" i="1"/>
  <c r="N461" i="1" s="1"/>
  <c r="J461" i="1"/>
  <c r="M461" i="1" s="1"/>
  <c r="I461" i="1"/>
  <c r="L461" i="1" s="1"/>
  <c r="B461" i="1"/>
  <c r="K460" i="1"/>
  <c r="N460" i="1" s="1"/>
  <c r="J460" i="1"/>
  <c r="M460" i="1" s="1"/>
  <c r="I460" i="1"/>
  <c r="L460" i="1" s="1"/>
  <c r="B460" i="1"/>
  <c r="K459" i="1"/>
  <c r="N459" i="1" s="1"/>
  <c r="J459" i="1"/>
  <c r="M459" i="1" s="1"/>
  <c r="I459" i="1"/>
  <c r="L459" i="1" s="1"/>
  <c r="B459" i="1"/>
  <c r="B459" i="10" s="1"/>
  <c r="M458" i="1"/>
  <c r="K458" i="1"/>
  <c r="N458" i="1" s="1"/>
  <c r="J458" i="1"/>
  <c r="I458" i="1"/>
  <c r="L458" i="1" s="1"/>
  <c r="B458" i="1"/>
  <c r="N457" i="1"/>
  <c r="K457" i="1"/>
  <c r="J457" i="1"/>
  <c r="M457" i="1" s="1"/>
  <c r="I457" i="1"/>
  <c r="L457" i="1" s="1"/>
  <c r="B457" i="1"/>
  <c r="K456" i="1"/>
  <c r="N456" i="1" s="1"/>
  <c r="J456" i="1"/>
  <c r="M456" i="1" s="1"/>
  <c r="I456" i="1"/>
  <c r="L456" i="1" s="1"/>
  <c r="B456" i="1"/>
  <c r="M455" i="1"/>
  <c r="K455" i="1"/>
  <c r="N455" i="1" s="1"/>
  <c r="J455" i="1"/>
  <c r="I455" i="1"/>
  <c r="L455" i="1" s="1"/>
  <c r="B455" i="1"/>
  <c r="M454" i="1"/>
  <c r="K454" i="1"/>
  <c r="N454" i="1" s="1"/>
  <c r="J454" i="1"/>
  <c r="I454" i="1"/>
  <c r="L454" i="1" s="1"/>
  <c r="B454" i="1"/>
  <c r="K453" i="1"/>
  <c r="N453" i="1" s="1"/>
  <c r="J453" i="1"/>
  <c r="M453" i="1" s="1"/>
  <c r="I453" i="1"/>
  <c r="L453" i="1" s="1"/>
  <c r="B453" i="1"/>
  <c r="M452" i="1"/>
  <c r="K452" i="1"/>
  <c r="N452" i="1" s="1"/>
  <c r="J452" i="1"/>
  <c r="I452" i="1"/>
  <c r="L452" i="1" s="1"/>
  <c r="B452" i="1"/>
  <c r="B452" i="10" s="1"/>
  <c r="M451" i="1"/>
  <c r="K451" i="1"/>
  <c r="N451" i="1" s="1"/>
  <c r="J451" i="1"/>
  <c r="I451" i="1"/>
  <c r="L451" i="1" s="1"/>
  <c r="B451" i="1"/>
  <c r="K450" i="1"/>
  <c r="N450" i="1" s="1"/>
  <c r="J450" i="1"/>
  <c r="M450" i="1" s="1"/>
  <c r="I450" i="1"/>
  <c r="L450" i="1" s="1"/>
  <c r="B450" i="1"/>
  <c r="K449" i="1"/>
  <c r="N449" i="1" s="1"/>
  <c r="J449" i="1"/>
  <c r="M449" i="1" s="1"/>
  <c r="I449" i="1"/>
  <c r="L449" i="1" s="1"/>
  <c r="B449" i="1"/>
  <c r="M448" i="1"/>
  <c r="K448" i="1"/>
  <c r="N448" i="1" s="1"/>
  <c r="J448" i="1"/>
  <c r="I448" i="1"/>
  <c r="L448" i="1" s="1"/>
  <c r="B448" i="1"/>
  <c r="N447" i="1"/>
  <c r="L447" i="1"/>
  <c r="K447" i="1"/>
  <c r="J447" i="1"/>
  <c r="M447" i="1" s="1"/>
  <c r="I447" i="1"/>
  <c r="B447" i="1"/>
  <c r="B447" i="10" s="1"/>
  <c r="K446" i="1"/>
  <c r="N446" i="1" s="1"/>
  <c r="J446" i="1"/>
  <c r="M446" i="1" s="1"/>
  <c r="I446" i="1"/>
  <c r="L446" i="1" s="1"/>
  <c r="B446" i="1"/>
  <c r="K445" i="1"/>
  <c r="N445" i="1" s="1"/>
  <c r="J445" i="1"/>
  <c r="M445" i="1" s="1"/>
  <c r="I445" i="1"/>
  <c r="L445" i="1" s="1"/>
  <c r="B445" i="1"/>
  <c r="N444" i="1"/>
  <c r="M444" i="1"/>
  <c r="K444" i="1"/>
  <c r="J444" i="1"/>
  <c r="I444" i="1"/>
  <c r="L444" i="1" s="1"/>
  <c r="B444" i="1"/>
  <c r="B444" i="10" s="1"/>
  <c r="N443" i="1"/>
  <c r="K443" i="1"/>
  <c r="J443" i="1"/>
  <c r="M443" i="1" s="1"/>
  <c r="I443" i="1"/>
  <c r="L443" i="1" s="1"/>
  <c r="B443" i="1"/>
  <c r="K442" i="1"/>
  <c r="N442" i="1" s="1"/>
  <c r="J442" i="1"/>
  <c r="M442" i="1" s="1"/>
  <c r="I442" i="1"/>
  <c r="L442" i="1" s="1"/>
  <c r="B442" i="1"/>
  <c r="M441" i="1"/>
  <c r="K441" i="1"/>
  <c r="N441" i="1" s="1"/>
  <c r="J441" i="1"/>
  <c r="I441" i="1"/>
  <c r="L441" i="1" s="1"/>
  <c r="B441" i="1"/>
  <c r="N440" i="1"/>
  <c r="L440" i="1"/>
  <c r="K440" i="1"/>
  <c r="J440" i="1"/>
  <c r="M440" i="1" s="1"/>
  <c r="I440" i="1"/>
  <c r="B440" i="1"/>
  <c r="L439" i="1"/>
  <c r="K439" i="1"/>
  <c r="N439" i="1" s="1"/>
  <c r="J439" i="1"/>
  <c r="M439" i="1" s="1"/>
  <c r="I439" i="1"/>
  <c r="B439" i="1"/>
  <c r="K438" i="1"/>
  <c r="N438" i="1" s="1"/>
  <c r="J438" i="1"/>
  <c r="M438" i="1" s="1"/>
  <c r="I438" i="1"/>
  <c r="L438" i="1" s="1"/>
  <c r="B438" i="1"/>
  <c r="K437" i="1"/>
  <c r="N437" i="1" s="1"/>
  <c r="J437" i="1"/>
  <c r="M437" i="1" s="1"/>
  <c r="I437" i="1"/>
  <c r="L437" i="1" s="1"/>
  <c r="B437" i="1"/>
  <c r="K436" i="1"/>
  <c r="N436" i="1" s="1"/>
  <c r="J436" i="1"/>
  <c r="M436" i="1" s="1"/>
  <c r="I436" i="1"/>
  <c r="L436" i="1" s="1"/>
  <c r="B436" i="1"/>
  <c r="K435" i="1"/>
  <c r="N435" i="1" s="1"/>
  <c r="J435" i="1"/>
  <c r="M435" i="1" s="1"/>
  <c r="I435" i="1"/>
  <c r="L435" i="1" s="1"/>
  <c r="B435" i="1"/>
  <c r="K434" i="1"/>
  <c r="N434" i="1" s="1"/>
  <c r="J434" i="1"/>
  <c r="M434" i="1" s="1"/>
  <c r="I434" i="1"/>
  <c r="L434" i="1" s="1"/>
  <c r="B434" i="1"/>
  <c r="K433" i="1"/>
  <c r="N433" i="1" s="1"/>
  <c r="J433" i="1"/>
  <c r="M433" i="1" s="1"/>
  <c r="I433" i="1"/>
  <c r="L433" i="1" s="1"/>
  <c r="B433" i="1"/>
  <c r="K432" i="1"/>
  <c r="N432" i="1" s="1"/>
  <c r="J432" i="1"/>
  <c r="M432" i="1" s="1"/>
  <c r="I432" i="1"/>
  <c r="L432" i="1" s="1"/>
  <c r="B432" i="1"/>
  <c r="K431" i="1"/>
  <c r="N431" i="1" s="1"/>
  <c r="J431" i="1"/>
  <c r="M431" i="1" s="1"/>
  <c r="I431" i="1"/>
  <c r="L431" i="1" s="1"/>
  <c r="B431" i="1"/>
  <c r="K430" i="1"/>
  <c r="N430" i="1" s="1"/>
  <c r="J430" i="1"/>
  <c r="M430" i="1" s="1"/>
  <c r="I430" i="1"/>
  <c r="L430" i="1" s="1"/>
  <c r="B430" i="1"/>
  <c r="K429" i="1"/>
  <c r="N429" i="1" s="1"/>
  <c r="J429" i="1"/>
  <c r="M429" i="1" s="1"/>
  <c r="I429" i="1"/>
  <c r="L429" i="1" s="1"/>
  <c r="B429" i="1"/>
  <c r="M428" i="1"/>
  <c r="K428" i="1"/>
  <c r="N428" i="1" s="1"/>
  <c r="J428" i="1"/>
  <c r="I428" i="1"/>
  <c r="L428" i="1" s="1"/>
  <c r="B428" i="1"/>
  <c r="K427" i="1"/>
  <c r="N427" i="1" s="1"/>
  <c r="J427" i="1"/>
  <c r="M427" i="1" s="1"/>
  <c r="I427" i="1"/>
  <c r="L427" i="1" s="1"/>
  <c r="B427" i="1"/>
  <c r="K426" i="1"/>
  <c r="N426" i="1" s="1"/>
  <c r="J426" i="1"/>
  <c r="M426" i="1" s="1"/>
  <c r="I426" i="1"/>
  <c r="L426" i="1" s="1"/>
  <c r="B426" i="1"/>
  <c r="K425" i="1"/>
  <c r="N425" i="1" s="1"/>
  <c r="J425" i="1"/>
  <c r="M425" i="1" s="1"/>
  <c r="I425" i="1"/>
  <c r="L425" i="1" s="1"/>
  <c r="B425" i="1"/>
  <c r="K424" i="1"/>
  <c r="N424" i="1" s="1"/>
  <c r="J424" i="1"/>
  <c r="M424" i="1" s="1"/>
  <c r="I424" i="1"/>
  <c r="L424" i="1" s="1"/>
  <c r="B424" i="1"/>
  <c r="K423" i="1"/>
  <c r="N423" i="1" s="1"/>
  <c r="J423" i="1"/>
  <c r="M423" i="1" s="1"/>
  <c r="I423" i="1"/>
  <c r="L423" i="1" s="1"/>
  <c r="B423" i="1"/>
  <c r="K422" i="1"/>
  <c r="N422" i="1" s="1"/>
  <c r="J422" i="1"/>
  <c r="M422" i="1" s="1"/>
  <c r="I422" i="1"/>
  <c r="L422" i="1" s="1"/>
  <c r="B422" i="1"/>
  <c r="M421" i="1"/>
  <c r="K421" i="1"/>
  <c r="N421" i="1" s="1"/>
  <c r="J421" i="1"/>
  <c r="I421" i="1"/>
  <c r="L421" i="1" s="1"/>
  <c r="B421" i="1"/>
  <c r="B421" i="10" s="1"/>
  <c r="K420" i="1"/>
  <c r="N420" i="1" s="1"/>
  <c r="J420" i="1"/>
  <c r="M420" i="1" s="1"/>
  <c r="I420" i="1"/>
  <c r="L420" i="1" s="1"/>
  <c r="B420" i="1"/>
  <c r="K419" i="1"/>
  <c r="N419" i="1" s="1"/>
  <c r="J419" i="1"/>
  <c r="M419" i="1" s="1"/>
  <c r="I419" i="1"/>
  <c r="L419" i="1" s="1"/>
  <c r="B419" i="1"/>
  <c r="K418" i="1"/>
  <c r="N418" i="1" s="1"/>
  <c r="J418" i="1"/>
  <c r="M418" i="1" s="1"/>
  <c r="I418" i="1"/>
  <c r="L418" i="1" s="1"/>
  <c r="B418" i="1"/>
  <c r="K417" i="1"/>
  <c r="N417" i="1" s="1"/>
  <c r="J417" i="1"/>
  <c r="M417" i="1" s="1"/>
  <c r="I417" i="1"/>
  <c r="L417" i="1" s="1"/>
  <c r="B417" i="1"/>
  <c r="N416" i="1"/>
  <c r="K416" i="1"/>
  <c r="J416" i="1"/>
  <c r="M416" i="1" s="1"/>
  <c r="I416" i="1"/>
  <c r="L416" i="1" s="1"/>
  <c r="B416" i="1"/>
  <c r="K415" i="1"/>
  <c r="N415" i="1" s="1"/>
  <c r="J415" i="1"/>
  <c r="M415" i="1" s="1"/>
  <c r="I415" i="1"/>
  <c r="L415" i="1" s="1"/>
  <c r="B415" i="1"/>
  <c r="K414" i="1"/>
  <c r="N414" i="1" s="1"/>
  <c r="J414" i="1"/>
  <c r="M414" i="1" s="1"/>
  <c r="I414" i="1"/>
  <c r="L414" i="1" s="1"/>
  <c r="B414" i="1"/>
  <c r="B414" i="10" s="1"/>
  <c r="K413" i="1"/>
  <c r="N413" i="1" s="1"/>
  <c r="J413" i="1"/>
  <c r="M413" i="1" s="1"/>
  <c r="I413" i="1"/>
  <c r="L413" i="1" s="1"/>
  <c r="B413" i="1"/>
  <c r="M412" i="1"/>
  <c r="L412" i="1"/>
  <c r="K412" i="1"/>
  <c r="N412" i="1" s="1"/>
  <c r="J412" i="1"/>
  <c r="I412" i="1"/>
  <c r="B412" i="1"/>
  <c r="K411" i="1"/>
  <c r="N411" i="1" s="1"/>
  <c r="J411" i="1"/>
  <c r="M411" i="1" s="1"/>
  <c r="I411" i="1"/>
  <c r="L411" i="1" s="1"/>
  <c r="B411" i="1"/>
  <c r="K410" i="1"/>
  <c r="N410" i="1" s="1"/>
  <c r="J410" i="1"/>
  <c r="M410" i="1" s="1"/>
  <c r="I410" i="1"/>
  <c r="L410" i="1" s="1"/>
  <c r="B410" i="1"/>
  <c r="K409" i="1"/>
  <c r="N409" i="1" s="1"/>
  <c r="J409" i="1"/>
  <c r="M409" i="1" s="1"/>
  <c r="I409" i="1"/>
  <c r="L409" i="1" s="1"/>
  <c r="B409" i="1"/>
  <c r="B409" i="10" s="1"/>
  <c r="L408" i="1"/>
  <c r="K408" i="1"/>
  <c r="N408" i="1" s="1"/>
  <c r="J408" i="1"/>
  <c r="M408" i="1" s="1"/>
  <c r="I408" i="1"/>
  <c r="B408" i="1"/>
  <c r="K407" i="1"/>
  <c r="N407" i="1" s="1"/>
  <c r="J407" i="1"/>
  <c r="M407" i="1" s="1"/>
  <c r="I407" i="1"/>
  <c r="L407" i="1" s="1"/>
  <c r="B407" i="1"/>
  <c r="M406" i="1"/>
  <c r="K406" i="1"/>
  <c r="N406" i="1" s="1"/>
  <c r="J406" i="1"/>
  <c r="I406" i="1"/>
  <c r="L406" i="1" s="1"/>
  <c r="B406" i="1"/>
  <c r="K405" i="1"/>
  <c r="N405" i="1" s="1"/>
  <c r="J405" i="1"/>
  <c r="M405" i="1" s="1"/>
  <c r="I405" i="1"/>
  <c r="L405" i="1" s="1"/>
  <c r="B405" i="1"/>
  <c r="K404" i="1"/>
  <c r="N404" i="1" s="1"/>
  <c r="J404" i="1"/>
  <c r="M404" i="1" s="1"/>
  <c r="I404" i="1"/>
  <c r="L404" i="1" s="1"/>
  <c r="B404" i="1"/>
  <c r="K403" i="1"/>
  <c r="N403" i="1" s="1"/>
  <c r="J403" i="1"/>
  <c r="M403" i="1" s="1"/>
  <c r="I403" i="1"/>
  <c r="L403" i="1" s="1"/>
  <c r="B403" i="1"/>
  <c r="K402" i="1"/>
  <c r="N402" i="1" s="1"/>
  <c r="J402" i="1"/>
  <c r="M402" i="1" s="1"/>
  <c r="I402" i="1"/>
  <c r="L402" i="1" s="1"/>
  <c r="B402" i="1"/>
  <c r="B402" i="10" s="1"/>
  <c r="K401" i="1"/>
  <c r="N401" i="1" s="1"/>
  <c r="J401" i="1"/>
  <c r="M401" i="1" s="1"/>
  <c r="I401" i="1"/>
  <c r="L401" i="1" s="1"/>
  <c r="B401" i="1"/>
  <c r="K400" i="1"/>
  <c r="N400" i="1" s="1"/>
  <c r="J400" i="1"/>
  <c r="M400" i="1" s="1"/>
  <c r="I400" i="1"/>
  <c r="L400" i="1" s="1"/>
  <c r="B400" i="1"/>
  <c r="K399" i="1"/>
  <c r="N399" i="1" s="1"/>
  <c r="J399" i="1"/>
  <c r="M399" i="1" s="1"/>
  <c r="I399" i="1"/>
  <c r="L399" i="1" s="1"/>
  <c r="B399" i="1"/>
  <c r="K398" i="1"/>
  <c r="N398" i="1" s="1"/>
  <c r="J398" i="1"/>
  <c r="M398" i="1" s="1"/>
  <c r="I398" i="1"/>
  <c r="L398" i="1" s="1"/>
  <c r="B398" i="1"/>
  <c r="K397" i="1"/>
  <c r="N397" i="1" s="1"/>
  <c r="J397" i="1"/>
  <c r="M397" i="1" s="1"/>
  <c r="I397" i="1"/>
  <c r="L397" i="1" s="1"/>
  <c r="B397" i="1"/>
  <c r="K396" i="1"/>
  <c r="N396" i="1" s="1"/>
  <c r="J396" i="1"/>
  <c r="M396" i="1" s="1"/>
  <c r="I396" i="1"/>
  <c r="L396" i="1" s="1"/>
  <c r="B396" i="1"/>
  <c r="K395" i="1"/>
  <c r="N395" i="1" s="1"/>
  <c r="J395" i="1"/>
  <c r="M395" i="1" s="1"/>
  <c r="I395" i="1"/>
  <c r="L395" i="1" s="1"/>
  <c r="B395" i="1"/>
  <c r="K394" i="1"/>
  <c r="N394" i="1" s="1"/>
  <c r="J394" i="1"/>
  <c r="M394" i="1" s="1"/>
  <c r="I394" i="1"/>
  <c r="L394" i="1" s="1"/>
  <c r="B394" i="1"/>
  <c r="L393" i="1"/>
  <c r="K393" i="1"/>
  <c r="N393" i="1" s="1"/>
  <c r="J393" i="1"/>
  <c r="M393" i="1" s="1"/>
  <c r="I393" i="1"/>
  <c r="B393" i="1"/>
  <c r="M392" i="1"/>
  <c r="K392" i="1"/>
  <c r="N392" i="1" s="1"/>
  <c r="J392" i="1"/>
  <c r="I392" i="1"/>
  <c r="L392" i="1" s="1"/>
  <c r="B392" i="1"/>
  <c r="K391" i="1"/>
  <c r="N391" i="1" s="1"/>
  <c r="J391" i="1"/>
  <c r="M391" i="1" s="1"/>
  <c r="I391" i="1"/>
  <c r="L391" i="1" s="1"/>
  <c r="B391" i="1"/>
  <c r="K390" i="1"/>
  <c r="N390" i="1" s="1"/>
  <c r="J390" i="1"/>
  <c r="M390" i="1" s="1"/>
  <c r="I390" i="1"/>
  <c r="L390" i="1" s="1"/>
  <c r="B390" i="1"/>
  <c r="K389" i="1"/>
  <c r="N389" i="1" s="1"/>
  <c r="J389" i="1"/>
  <c r="M389" i="1" s="1"/>
  <c r="I389" i="1"/>
  <c r="L389" i="1" s="1"/>
  <c r="B389" i="1"/>
  <c r="K388" i="1"/>
  <c r="N388" i="1" s="1"/>
  <c r="J388" i="1"/>
  <c r="M388" i="1" s="1"/>
  <c r="I388" i="1"/>
  <c r="L388" i="1" s="1"/>
  <c r="B388" i="1"/>
  <c r="K387" i="1"/>
  <c r="N387" i="1" s="1"/>
  <c r="J387" i="1"/>
  <c r="M387" i="1" s="1"/>
  <c r="I387" i="1"/>
  <c r="L387" i="1" s="1"/>
  <c r="B387" i="1"/>
  <c r="K386" i="1"/>
  <c r="N386" i="1" s="1"/>
  <c r="J386" i="1"/>
  <c r="M386" i="1" s="1"/>
  <c r="I386" i="1"/>
  <c r="L386" i="1" s="1"/>
  <c r="B386" i="1"/>
  <c r="M385" i="1"/>
  <c r="K385" i="1"/>
  <c r="N385" i="1" s="1"/>
  <c r="J385" i="1"/>
  <c r="I385" i="1"/>
  <c r="L385" i="1" s="1"/>
  <c r="B385" i="1"/>
  <c r="K384" i="1"/>
  <c r="N384" i="1" s="1"/>
  <c r="J384" i="1"/>
  <c r="M384" i="1" s="1"/>
  <c r="I384" i="1"/>
  <c r="L384" i="1" s="1"/>
  <c r="B384" i="1"/>
  <c r="L383" i="1"/>
  <c r="K383" i="1"/>
  <c r="N383" i="1" s="1"/>
  <c r="J383" i="1"/>
  <c r="M383" i="1" s="1"/>
  <c r="I383" i="1"/>
  <c r="B383" i="1"/>
  <c r="K382" i="1"/>
  <c r="N382" i="1" s="1"/>
  <c r="J382" i="1"/>
  <c r="M382" i="1" s="1"/>
  <c r="I382" i="1"/>
  <c r="L382" i="1" s="1"/>
  <c r="B382" i="1"/>
  <c r="K381" i="1"/>
  <c r="N381" i="1" s="1"/>
  <c r="J381" i="1"/>
  <c r="M381" i="1" s="1"/>
  <c r="I381" i="1"/>
  <c r="L381" i="1" s="1"/>
  <c r="B381" i="1"/>
  <c r="K380" i="1"/>
  <c r="N380" i="1" s="1"/>
  <c r="J380" i="1"/>
  <c r="M380" i="1" s="1"/>
  <c r="I380" i="1"/>
  <c r="L380" i="1" s="1"/>
  <c r="B380" i="1"/>
  <c r="K379" i="1"/>
  <c r="N379" i="1" s="1"/>
  <c r="J379" i="1"/>
  <c r="M379" i="1" s="1"/>
  <c r="I379" i="1"/>
  <c r="L379" i="1" s="1"/>
  <c r="B379" i="1"/>
  <c r="K378" i="1"/>
  <c r="N378" i="1" s="1"/>
  <c r="J378" i="1"/>
  <c r="M378" i="1" s="1"/>
  <c r="I378" i="1"/>
  <c r="L378" i="1" s="1"/>
  <c r="B378" i="1"/>
  <c r="L377" i="1"/>
  <c r="K377" i="1"/>
  <c r="N377" i="1" s="1"/>
  <c r="J377" i="1"/>
  <c r="M377" i="1" s="1"/>
  <c r="I377" i="1"/>
  <c r="B377" i="1"/>
  <c r="K376" i="1"/>
  <c r="N376" i="1" s="1"/>
  <c r="J376" i="1"/>
  <c r="M376" i="1" s="1"/>
  <c r="I376" i="1"/>
  <c r="L376" i="1" s="1"/>
  <c r="B376" i="1"/>
  <c r="K375" i="1"/>
  <c r="N375" i="1" s="1"/>
  <c r="J375" i="1"/>
  <c r="M375" i="1" s="1"/>
  <c r="I375" i="1"/>
  <c r="L375" i="1" s="1"/>
  <c r="B375" i="1"/>
  <c r="K374" i="1"/>
  <c r="N374" i="1" s="1"/>
  <c r="J374" i="1"/>
  <c r="M374" i="1" s="1"/>
  <c r="I374" i="1"/>
  <c r="L374" i="1" s="1"/>
  <c r="B374" i="1"/>
  <c r="B374" i="10" s="1"/>
  <c r="K373" i="1"/>
  <c r="N373" i="1" s="1"/>
  <c r="J373" i="1"/>
  <c r="M373" i="1" s="1"/>
  <c r="I373" i="1"/>
  <c r="L373" i="1" s="1"/>
  <c r="B373" i="1"/>
  <c r="K372" i="1"/>
  <c r="N372" i="1" s="1"/>
  <c r="J372" i="1"/>
  <c r="M372" i="1" s="1"/>
  <c r="I372" i="1"/>
  <c r="L372" i="1" s="1"/>
  <c r="B372" i="1"/>
  <c r="K371" i="1"/>
  <c r="N371" i="1" s="1"/>
  <c r="J371" i="1"/>
  <c r="M371" i="1" s="1"/>
  <c r="I371" i="1"/>
  <c r="L371" i="1" s="1"/>
  <c r="B371" i="1"/>
  <c r="M370" i="1"/>
  <c r="K370" i="1"/>
  <c r="N370" i="1" s="1"/>
  <c r="J370" i="1"/>
  <c r="I370" i="1"/>
  <c r="L370" i="1" s="1"/>
  <c r="B370" i="1"/>
  <c r="K369" i="1"/>
  <c r="N369" i="1" s="1"/>
  <c r="J369" i="1"/>
  <c r="M369" i="1" s="1"/>
  <c r="I369" i="1"/>
  <c r="L369" i="1" s="1"/>
  <c r="B369" i="1"/>
  <c r="B369" i="10" s="1"/>
  <c r="K368" i="1"/>
  <c r="N368" i="1" s="1"/>
  <c r="J368" i="1"/>
  <c r="M368" i="1" s="1"/>
  <c r="I368" i="1"/>
  <c r="L368" i="1" s="1"/>
  <c r="B368" i="1"/>
  <c r="K367" i="1"/>
  <c r="N367" i="1" s="1"/>
  <c r="J367" i="1"/>
  <c r="M367" i="1" s="1"/>
  <c r="I367" i="1"/>
  <c r="L367" i="1" s="1"/>
  <c r="B367" i="1"/>
  <c r="K366" i="1"/>
  <c r="N366" i="1" s="1"/>
  <c r="J366" i="1"/>
  <c r="M366" i="1" s="1"/>
  <c r="I366" i="1"/>
  <c r="L366" i="1" s="1"/>
  <c r="B366" i="1"/>
  <c r="B366" i="10" s="1"/>
  <c r="L365" i="1"/>
  <c r="K365" i="1"/>
  <c r="N365" i="1" s="1"/>
  <c r="J365" i="1"/>
  <c r="M365" i="1" s="1"/>
  <c r="I365" i="1"/>
  <c r="B365" i="1"/>
  <c r="L364" i="1"/>
  <c r="K364" i="1"/>
  <c r="N364" i="1" s="1"/>
  <c r="J364" i="1"/>
  <c r="M364" i="1" s="1"/>
  <c r="I364" i="1"/>
  <c r="B364" i="1"/>
  <c r="K363" i="1"/>
  <c r="N363" i="1" s="1"/>
  <c r="J363" i="1"/>
  <c r="M363" i="1" s="1"/>
  <c r="I363" i="1"/>
  <c r="L363" i="1" s="1"/>
  <c r="B363" i="1"/>
  <c r="B363" i="10" s="1"/>
  <c r="K362" i="1"/>
  <c r="N362" i="1" s="1"/>
  <c r="J362" i="1"/>
  <c r="M362" i="1" s="1"/>
  <c r="I362" i="1"/>
  <c r="L362" i="1" s="1"/>
  <c r="B362" i="1"/>
  <c r="M361" i="1"/>
  <c r="K361" i="1"/>
  <c r="N361" i="1" s="1"/>
  <c r="J361" i="1"/>
  <c r="I361" i="1"/>
  <c r="L361" i="1" s="1"/>
  <c r="B361" i="1"/>
  <c r="B361" i="10" s="1"/>
  <c r="K360" i="1"/>
  <c r="N360" i="1" s="1"/>
  <c r="J360" i="1"/>
  <c r="M360" i="1" s="1"/>
  <c r="I360" i="1"/>
  <c r="L360" i="1" s="1"/>
  <c r="B360" i="1"/>
  <c r="L359" i="1"/>
  <c r="K359" i="1"/>
  <c r="N359" i="1" s="1"/>
  <c r="J359" i="1"/>
  <c r="M359" i="1" s="1"/>
  <c r="I359" i="1"/>
  <c r="B359" i="1"/>
  <c r="B359" i="10" s="1"/>
  <c r="K358" i="1"/>
  <c r="N358" i="1" s="1"/>
  <c r="J358" i="1"/>
  <c r="M358" i="1" s="1"/>
  <c r="I358" i="1"/>
  <c r="L358" i="1" s="1"/>
  <c r="B358" i="1"/>
  <c r="K357" i="1"/>
  <c r="N357" i="1" s="1"/>
  <c r="J357" i="1"/>
  <c r="M357" i="1" s="1"/>
  <c r="I357" i="1"/>
  <c r="L357" i="1" s="1"/>
  <c r="B357" i="1"/>
  <c r="L356" i="1"/>
  <c r="K356" i="1"/>
  <c r="N356" i="1" s="1"/>
  <c r="J356" i="1"/>
  <c r="M356" i="1" s="1"/>
  <c r="I356" i="1"/>
  <c r="B356" i="1"/>
  <c r="K355" i="1"/>
  <c r="N355" i="1" s="1"/>
  <c r="J355" i="1"/>
  <c r="M355" i="1" s="1"/>
  <c r="I355" i="1"/>
  <c r="L355" i="1" s="1"/>
  <c r="B355" i="1"/>
  <c r="K354" i="1"/>
  <c r="N354" i="1" s="1"/>
  <c r="J354" i="1"/>
  <c r="M354" i="1" s="1"/>
  <c r="I354" i="1"/>
  <c r="L354" i="1" s="1"/>
  <c r="B354" i="1"/>
  <c r="K353" i="1"/>
  <c r="N353" i="1" s="1"/>
  <c r="J353" i="1"/>
  <c r="M353" i="1" s="1"/>
  <c r="I353" i="1"/>
  <c r="L353" i="1" s="1"/>
  <c r="B353" i="1"/>
  <c r="B353" i="10" s="1"/>
  <c r="K352" i="1"/>
  <c r="N352" i="1" s="1"/>
  <c r="J352" i="1"/>
  <c r="M352" i="1" s="1"/>
  <c r="I352" i="1"/>
  <c r="L352" i="1" s="1"/>
  <c r="B352" i="1"/>
  <c r="M351" i="1"/>
  <c r="K351" i="1"/>
  <c r="N351" i="1" s="1"/>
  <c r="J351" i="1"/>
  <c r="I351" i="1"/>
  <c r="L351" i="1" s="1"/>
  <c r="B351" i="1"/>
  <c r="K350" i="1"/>
  <c r="N350" i="1" s="1"/>
  <c r="J350" i="1"/>
  <c r="M350" i="1" s="1"/>
  <c r="I350" i="1"/>
  <c r="L350" i="1" s="1"/>
  <c r="B350" i="1"/>
  <c r="K349" i="1"/>
  <c r="N349" i="1" s="1"/>
  <c r="J349" i="1"/>
  <c r="M349" i="1" s="1"/>
  <c r="I349" i="1"/>
  <c r="L349" i="1" s="1"/>
  <c r="B349" i="1"/>
  <c r="K348" i="1"/>
  <c r="N348" i="1" s="1"/>
  <c r="J348" i="1"/>
  <c r="M348" i="1" s="1"/>
  <c r="I348" i="1"/>
  <c r="L348" i="1" s="1"/>
  <c r="B348" i="1"/>
  <c r="K347" i="1"/>
  <c r="N347" i="1" s="1"/>
  <c r="J347" i="1"/>
  <c r="M347" i="1" s="1"/>
  <c r="I347" i="1"/>
  <c r="L347" i="1" s="1"/>
  <c r="B347" i="1"/>
  <c r="K346" i="1"/>
  <c r="N346" i="1" s="1"/>
  <c r="J346" i="1"/>
  <c r="M346" i="1" s="1"/>
  <c r="I346" i="1"/>
  <c r="L346" i="1" s="1"/>
  <c r="B346" i="1"/>
  <c r="K345" i="1"/>
  <c r="N345" i="1" s="1"/>
  <c r="J345" i="1"/>
  <c r="M345" i="1" s="1"/>
  <c r="I345" i="1"/>
  <c r="L345" i="1" s="1"/>
  <c r="B345" i="1"/>
  <c r="B345" i="10" s="1"/>
  <c r="K344" i="1"/>
  <c r="N344" i="1" s="1"/>
  <c r="J344" i="1"/>
  <c r="M344" i="1" s="1"/>
  <c r="I344" i="1"/>
  <c r="L344" i="1" s="1"/>
  <c r="B344" i="1"/>
  <c r="M343" i="1"/>
  <c r="K343" i="1"/>
  <c r="N343" i="1" s="1"/>
  <c r="J343" i="1"/>
  <c r="I343" i="1"/>
  <c r="L343" i="1" s="1"/>
  <c r="B343" i="1"/>
  <c r="K342" i="1"/>
  <c r="N342" i="1" s="1"/>
  <c r="J342" i="1"/>
  <c r="M342" i="1" s="1"/>
  <c r="I342" i="1"/>
  <c r="L342" i="1" s="1"/>
  <c r="B342" i="1"/>
  <c r="K341" i="1"/>
  <c r="N341" i="1" s="1"/>
  <c r="J341" i="1"/>
  <c r="M341" i="1" s="1"/>
  <c r="I341" i="1"/>
  <c r="L341" i="1" s="1"/>
  <c r="B341" i="1"/>
  <c r="K340" i="1"/>
  <c r="N340" i="1" s="1"/>
  <c r="J340" i="1"/>
  <c r="M340" i="1" s="1"/>
  <c r="I340" i="1"/>
  <c r="L340" i="1" s="1"/>
  <c r="B340" i="1"/>
  <c r="K339" i="1"/>
  <c r="N339" i="1" s="1"/>
  <c r="J339" i="1"/>
  <c r="M339" i="1" s="1"/>
  <c r="I339" i="1"/>
  <c r="L339" i="1" s="1"/>
  <c r="B339" i="1"/>
  <c r="K338" i="1"/>
  <c r="N338" i="1" s="1"/>
  <c r="J338" i="1"/>
  <c r="M338" i="1" s="1"/>
  <c r="I338" i="1"/>
  <c r="L338" i="1" s="1"/>
  <c r="B338" i="1"/>
  <c r="B338" i="10" s="1"/>
  <c r="K337" i="1"/>
  <c r="N337" i="1" s="1"/>
  <c r="J337" i="1"/>
  <c r="M337" i="1" s="1"/>
  <c r="I337" i="1"/>
  <c r="L337" i="1" s="1"/>
  <c r="B337" i="1"/>
  <c r="K336" i="1"/>
  <c r="N336" i="1" s="1"/>
  <c r="J336" i="1"/>
  <c r="M336" i="1" s="1"/>
  <c r="I336" i="1"/>
  <c r="L336" i="1" s="1"/>
  <c r="B336" i="1"/>
  <c r="M335" i="1"/>
  <c r="K335" i="1"/>
  <c r="N335" i="1" s="1"/>
  <c r="J335" i="1"/>
  <c r="I335" i="1"/>
  <c r="L335" i="1" s="1"/>
  <c r="B335" i="1"/>
  <c r="K334" i="1"/>
  <c r="N334" i="1" s="1"/>
  <c r="J334" i="1"/>
  <c r="M334" i="1" s="1"/>
  <c r="I334" i="1"/>
  <c r="L334" i="1" s="1"/>
  <c r="B334" i="1"/>
  <c r="B334" i="10" s="1"/>
  <c r="K333" i="1"/>
  <c r="N333" i="1" s="1"/>
  <c r="J333" i="1"/>
  <c r="M333" i="1" s="1"/>
  <c r="I333" i="1"/>
  <c r="L333" i="1" s="1"/>
  <c r="B333" i="1"/>
  <c r="K332" i="1"/>
  <c r="N332" i="1" s="1"/>
  <c r="J332" i="1"/>
  <c r="M332" i="1" s="1"/>
  <c r="I332" i="1"/>
  <c r="L332" i="1" s="1"/>
  <c r="B332" i="1"/>
  <c r="K331" i="1"/>
  <c r="N331" i="1" s="1"/>
  <c r="J331" i="1"/>
  <c r="M331" i="1" s="1"/>
  <c r="I331" i="1"/>
  <c r="L331" i="1" s="1"/>
  <c r="B331" i="1"/>
  <c r="K330" i="1"/>
  <c r="N330" i="1" s="1"/>
  <c r="J330" i="1"/>
  <c r="M330" i="1" s="1"/>
  <c r="I330" i="1"/>
  <c r="L330" i="1" s="1"/>
  <c r="B330" i="1"/>
  <c r="M329" i="1"/>
  <c r="K329" i="1"/>
  <c r="N329" i="1" s="1"/>
  <c r="J329" i="1"/>
  <c r="I329" i="1"/>
  <c r="L329" i="1" s="1"/>
  <c r="B329" i="1"/>
  <c r="K328" i="1"/>
  <c r="N328" i="1" s="1"/>
  <c r="J328" i="1"/>
  <c r="M328" i="1" s="1"/>
  <c r="I328" i="1"/>
  <c r="L328" i="1" s="1"/>
  <c r="B328" i="1"/>
  <c r="K327" i="1"/>
  <c r="N327" i="1" s="1"/>
  <c r="J327" i="1"/>
  <c r="M327" i="1" s="1"/>
  <c r="I327" i="1"/>
  <c r="L327" i="1" s="1"/>
  <c r="B327" i="1"/>
  <c r="K326" i="1"/>
  <c r="N326" i="1" s="1"/>
  <c r="J326" i="1"/>
  <c r="M326" i="1" s="1"/>
  <c r="I326" i="1"/>
  <c r="L326" i="1" s="1"/>
  <c r="B326" i="1"/>
  <c r="K325" i="1"/>
  <c r="N325" i="1" s="1"/>
  <c r="J325" i="1"/>
  <c r="M325" i="1" s="1"/>
  <c r="I325" i="1"/>
  <c r="L325" i="1" s="1"/>
  <c r="B325" i="1"/>
  <c r="L324" i="1"/>
  <c r="K324" i="1"/>
  <c r="N324" i="1" s="1"/>
  <c r="J324" i="1"/>
  <c r="M324" i="1" s="1"/>
  <c r="I324" i="1"/>
  <c r="B324" i="1"/>
  <c r="K323" i="1"/>
  <c r="N323" i="1" s="1"/>
  <c r="J323" i="1"/>
  <c r="M323" i="1" s="1"/>
  <c r="I323" i="1"/>
  <c r="L323" i="1" s="1"/>
  <c r="B323" i="1"/>
  <c r="B323" i="10" s="1"/>
  <c r="M322" i="1"/>
  <c r="K322" i="1"/>
  <c r="N322" i="1" s="1"/>
  <c r="J322" i="1"/>
  <c r="I322" i="1"/>
  <c r="L322" i="1" s="1"/>
  <c r="B322" i="1"/>
  <c r="M321" i="1"/>
  <c r="K321" i="1"/>
  <c r="N321" i="1" s="1"/>
  <c r="J321" i="1"/>
  <c r="I321" i="1"/>
  <c r="L321" i="1" s="1"/>
  <c r="B321" i="1"/>
  <c r="K320" i="1"/>
  <c r="N320" i="1" s="1"/>
  <c r="J320" i="1"/>
  <c r="M320" i="1" s="1"/>
  <c r="I320" i="1"/>
  <c r="L320" i="1" s="1"/>
  <c r="B320" i="1"/>
  <c r="K319" i="1"/>
  <c r="N319" i="1" s="1"/>
  <c r="J319" i="1"/>
  <c r="M319" i="1" s="1"/>
  <c r="I319" i="1"/>
  <c r="L319" i="1" s="1"/>
  <c r="B319" i="1"/>
  <c r="K318" i="1"/>
  <c r="N318" i="1" s="1"/>
  <c r="J318" i="1"/>
  <c r="M318" i="1" s="1"/>
  <c r="I318" i="1"/>
  <c r="L318" i="1" s="1"/>
  <c r="B318" i="1"/>
  <c r="N317" i="1"/>
  <c r="K317" i="1"/>
  <c r="J317" i="1"/>
  <c r="M317" i="1" s="1"/>
  <c r="I317" i="1"/>
  <c r="L317" i="1" s="1"/>
  <c r="B317" i="1"/>
  <c r="K316" i="1"/>
  <c r="N316" i="1" s="1"/>
  <c r="J316" i="1"/>
  <c r="M316" i="1" s="1"/>
  <c r="I316" i="1"/>
  <c r="L316" i="1" s="1"/>
  <c r="B316" i="1"/>
  <c r="L315" i="1"/>
  <c r="K315" i="1"/>
  <c r="N315" i="1" s="1"/>
  <c r="J315" i="1"/>
  <c r="M315" i="1" s="1"/>
  <c r="I315" i="1"/>
  <c r="B315" i="1"/>
  <c r="K314" i="1"/>
  <c r="N314" i="1" s="1"/>
  <c r="J314" i="1"/>
  <c r="M314" i="1" s="1"/>
  <c r="I314" i="1"/>
  <c r="L314" i="1" s="1"/>
  <c r="B314" i="1"/>
  <c r="B314" i="10" s="1"/>
  <c r="N313" i="1"/>
  <c r="K313" i="1"/>
  <c r="J313" i="1"/>
  <c r="M313" i="1" s="1"/>
  <c r="I313" i="1"/>
  <c r="L313" i="1" s="1"/>
  <c r="B313" i="1"/>
  <c r="B313" i="10" s="1"/>
  <c r="M312" i="1"/>
  <c r="K312" i="1"/>
  <c r="N312" i="1" s="1"/>
  <c r="J312" i="1"/>
  <c r="I312" i="1"/>
  <c r="L312" i="1" s="1"/>
  <c r="B312" i="1"/>
  <c r="K311" i="1"/>
  <c r="N311" i="1" s="1"/>
  <c r="J311" i="1"/>
  <c r="M311" i="1" s="1"/>
  <c r="I311" i="1"/>
  <c r="L311" i="1" s="1"/>
  <c r="B311" i="1"/>
  <c r="B311" i="10" s="1"/>
  <c r="K310" i="1"/>
  <c r="N310" i="1" s="1"/>
  <c r="J310" i="1"/>
  <c r="M310" i="1" s="1"/>
  <c r="I310" i="1"/>
  <c r="L310" i="1" s="1"/>
  <c r="B310" i="1"/>
  <c r="B310" i="10" s="1"/>
  <c r="K309" i="1"/>
  <c r="N309" i="1" s="1"/>
  <c r="J309" i="1"/>
  <c r="M309" i="1" s="1"/>
  <c r="I309" i="1"/>
  <c r="L309" i="1" s="1"/>
  <c r="B309" i="1"/>
  <c r="B309" i="10" s="1"/>
  <c r="K308" i="1"/>
  <c r="N308" i="1" s="1"/>
  <c r="J308" i="1"/>
  <c r="M308" i="1" s="1"/>
  <c r="I308" i="1"/>
  <c r="L308" i="1" s="1"/>
  <c r="B308" i="1"/>
  <c r="K307" i="1"/>
  <c r="N307" i="1" s="1"/>
  <c r="J307" i="1"/>
  <c r="M307" i="1" s="1"/>
  <c r="I307" i="1"/>
  <c r="L307" i="1" s="1"/>
  <c r="B307" i="1"/>
  <c r="K306" i="1"/>
  <c r="N306" i="1" s="1"/>
  <c r="J306" i="1"/>
  <c r="M306" i="1" s="1"/>
  <c r="I306" i="1"/>
  <c r="L306" i="1" s="1"/>
  <c r="B306" i="1"/>
  <c r="K305" i="1"/>
  <c r="N305" i="1" s="1"/>
  <c r="J305" i="1"/>
  <c r="M305" i="1" s="1"/>
  <c r="I305" i="1"/>
  <c r="L305" i="1" s="1"/>
  <c r="B305" i="1"/>
  <c r="M304" i="1"/>
  <c r="K304" i="1"/>
  <c r="N304" i="1" s="1"/>
  <c r="J304" i="1"/>
  <c r="I304" i="1"/>
  <c r="L304" i="1" s="1"/>
  <c r="B304" i="1"/>
  <c r="B304" i="10" s="1"/>
  <c r="K303" i="1"/>
  <c r="N303" i="1" s="1"/>
  <c r="J303" i="1"/>
  <c r="M303" i="1" s="1"/>
  <c r="I303" i="1"/>
  <c r="L303" i="1" s="1"/>
  <c r="B303" i="1"/>
  <c r="K302" i="1"/>
  <c r="N302" i="1" s="1"/>
  <c r="J302" i="1"/>
  <c r="M302" i="1" s="1"/>
  <c r="I302" i="1"/>
  <c r="L302" i="1" s="1"/>
  <c r="B302" i="1"/>
  <c r="K301" i="1"/>
  <c r="N301" i="1" s="1"/>
  <c r="J301" i="1"/>
  <c r="M301" i="1" s="1"/>
  <c r="I301" i="1"/>
  <c r="L301" i="1" s="1"/>
  <c r="B301" i="1"/>
  <c r="K300" i="1"/>
  <c r="N300" i="1" s="1"/>
  <c r="J300" i="1"/>
  <c r="M300" i="1" s="1"/>
  <c r="I300" i="1"/>
  <c r="L300" i="1" s="1"/>
  <c r="B300" i="1"/>
  <c r="K299" i="1"/>
  <c r="N299" i="1" s="1"/>
  <c r="J299" i="1"/>
  <c r="M299" i="1" s="1"/>
  <c r="I299" i="1"/>
  <c r="L299" i="1" s="1"/>
  <c r="B299" i="1"/>
  <c r="K298" i="1"/>
  <c r="N298" i="1" s="1"/>
  <c r="J298" i="1"/>
  <c r="M298" i="1" s="1"/>
  <c r="I298" i="1"/>
  <c r="L298" i="1" s="1"/>
  <c r="B298" i="1"/>
  <c r="M297" i="1"/>
  <c r="K297" i="1"/>
  <c r="N297" i="1" s="1"/>
  <c r="J297" i="1"/>
  <c r="I297" i="1"/>
  <c r="L297" i="1" s="1"/>
  <c r="B297" i="1"/>
  <c r="K296" i="1"/>
  <c r="N296" i="1" s="1"/>
  <c r="J296" i="1"/>
  <c r="M296" i="1" s="1"/>
  <c r="I296" i="1"/>
  <c r="L296" i="1" s="1"/>
  <c r="B296" i="1"/>
  <c r="B296" i="10" s="1"/>
  <c r="K295" i="1"/>
  <c r="N295" i="1" s="1"/>
  <c r="J295" i="1"/>
  <c r="M295" i="1" s="1"/>
  <c r="I295" i="1"/>
  <c r="L295" i="1" s="1"/>
  <c r="B295" i="1"/>
  <c r="M294" i="1"/>
  <c r="K294" i="1"/>
  <c r="N294" i="1" s="1"/>
  <c r="J294" i="1"/>
  <c r="I294" i="1"/>
  <c r="L294" i="1" s="1"/>
  <c r="B294" i="1"/>
  <c r="K293" i="1"/>
  <c r="N293" i="1" s="1"/>
  <c r="J293" i="1"/>
  <c r="M293" i="1" s="1"/>
  <c r="I293" i="1"/>
  <c r="L293" i="1" s="1"/>
  <c r="B293" i="1"/>
  <c r="K292" i="1"/>
  <c r="N292" i="1" s="1"/>
  <c r="J292" i="1"/>
  <c r="M292" i="1" s="1"/>
  <c r="I292" i="1"/>
  <c r="L292" i="1" s="1"/>
  <c r="B292" i="1"/>
  <c r="K291" i="1"/>
  <c r="N291" i="1" s="1"/>
  <c r="J291" i="1"/>
  <c r="M291" i="1" s="1"/>
  <c r="I291" i="1"/>
  <c r="L291" i="1" s="1"/>
  <c r="B291" i="1"/>
  <c r="K290" i="1"/>
  <c r="N290" i="1" s="1"/>
  <c r="J290" i="1"/>
  <c r="M290" i="1" s="1"/>
  <c r="I290" i="1"/>
  <c r="L290" i="1" s="1"/>
  <c r="B290" i="1"/>
  <c r="K289" i="1"/>
  <c r="N289" i="1" s="1"/>
  <c r="J289" i="1"/>
  <c r="M289" i="1" s="1"/>
  <c r="I289" i="1"/>
  <c r="L289" i="1" s="1"/>
  <c r="B289" i="1"/>
  <c r="K288" i="1"/>
  <c r="N288" i="1" s="1"/>
  <c r="J288" i="1"/>
  <c r="M288" i="1" s="1"/>
  <c r="I288" i="1"/>
  <c r="L288" i="1" s="1"/>
  <c r="B288" i="1"/>
  <c r="K287" i="1"/>
  <c r="N287" i="1" s="1"/>
  <c r="J287" i="1"/>
  <c r="M287" i="1" s="1"/>
  <c r="I287" i="1"/>
  <c r="L287" i="1" s="1"/>
  <c r="B287" i="1"/>
  <c r="K286" i="1"/>
  <c r="N286" i="1" s="1"/>
  <c r="J286" i="1"/>
  <c r="M286" i="1" s="1"/>
  <c r="I286" i="1"/>
  <c r="L286" i="1" s="1"/>
  <c r="B286" i="1"/>
  <c r="K285" i="1"/>
  <c r="N285" i="1" s="1"/>
  <c r="J285" i="1"/>
  <c r="M285" i="1" s="1"/>
  <c r="I285" i="1"/>
  <c r="L285" i="1" s="1"/>
  <c r="B285" i="1"/>
  <c r="K284" i="1"/>
  <c r="N284" i="1" s="1"/>
  <c r="J284" i="1"/>
  <c r="M284" i="1" s="1"/>
  <c r="I284" i="1"/>
  <c r="L284" i="1" s="1"/>
  <c r="B284" i="1"/>
  <c r="K283" i="1"/>
  <c r="N283" i="1" s="1"/>
  <c r="J283" i="1"/>
  <c r="M283" i="1" s="1"/>
  <c r="I283" i="1"/>
  <c r="L283" i="1" s="1"/>
  <c r="B283" i="1"/>
  <c r="B283" i="10" s="1"/>
  <c r="L282" i="1"/>
  <c r="K282" i="1"/>
  <c r="N282" i="1" s="1"/>
  <c r="J282" i="1"/>
  <c r="M282" i="1" s="1"/>
  <c r="I282" i="1"/>
  <c r="B282" i="1"/>
  <c r="K281" i="1"/>
  <c r="N281" i="1" s="1"/>
  <c r="J281" i="1"/>
  <c r="M281" i="1" s="1"/>
  <c r="I281" i="1"/>
  <c r="L281" i="1" s="1"/>
  <c r="B281" i="1"/>
  <c r="B281" i="10" s="1"/>
  <c r="K280" i="1"/>
  <c r="N280" i="1" s="1"/>
  <c r="J280" i="1"/>
  <c r="M280" i="1" s="1"/>
  <c r="I280" i="1"/>
  <c r="L280" i="1" s="1"/>
  <c r="B280" i="1"/>
  <c r="K279" i="1"/>
  <c r="N279" i="1" s="1"/>
  <c r="J279" i="1"/>
  <c r="M279" i="1" s="1"/>
  <c r="I279" i="1"/>
  <c r="L279" i="1" s="1"/>
  <c r="B279" i="1"/>
  <c r="B279" i="10" s="1"/>
  <c r="K278" i="1"/>
  <c r="N278" i="1" s="1"/>
  <c r="J278" i="1"/>
  <c r="M278" i="1" s="1"/>
  <c r="I278" i="1"/>
  <c r="L278" i="1" s="1"/>
  <c r="B278" i="1"/>
  <c r="K277" i="1"/>
  <c r="N277" i="1" s="1"/>
  <c r="J277" i="1"/>
  <c r="M277" i="1" s="1"/>
  <c r="I277" i="1"/>
  <c r="L277" i="1" s="1"/>
  <c r="B277" i="1"/>
  <c r="K276" i="1"/>
  <c r="N276" i="1" s="1"/>
  <c r="J276" i="1"/>
  <c r="M276" i="1" s="1"/>
  <c r="I276" i="1"/>
  <c r="L276" i="1" s="1"/>
  <c r="B276" i="1"/>
  <c r="K275" i="1"/>
  <c r="N275" i="1" s="1"/>
  <c r="J275" i="1"/>
  <c r="M275" i="1" s="1"/>
  <c r="I275" i="1"/>
  <c r="L275" i="1" s="1"/>
  <c r="B275" i="1"/>
  <c r="M274" i="1"/>
  <c r="K274" i="1"/>
  <c r="N274" i="1" s="1"/>
  <c r="J274" i="1"/>
  <c r="I274" i="1"/>
  <c r="L274" i="1" s="1"/>
  <c r="B274" i="1"/>
  <c r="K273" i="1"/>
  <c r="N273" i="1" s="1"/>
  <c r="J273" i="1"/>
  <c r="M273" i="1" s="1"/>
  <c r="I273" i="1"/>
  <c r="L273" i="1" s="1"/>
  <c r="B273" i="1"/>
  <c r="N272" i="1"/>
  <c r="M272" i="1"/>
  <c r="K272" i="1"/>
  <c r="J272" i="1"/>
  <c r="I272" i="1"/>
  <c r="L272" i="1" s="1"/>
  <c r="B272" i="1"/>
  <c r="K271" i="1"/>
  <c r="N271" i="1" s="1"/>
  <c r="J271" i="1"/>
  <c r="M271" i="1" s="1"/>
  <c r="I271" i="1"/>
  <c r="L271" i="1" s="1"/>
  <c r="B271" i="1"/>
  <c r="K270" i="1"/>
  <c r="N270" i="1" s="1"/>
  <c r="J270" i="1"/>
  <c r="M270" i="1" s="1"/>
  <c r="I270" i="1"/>
  <c r="L270" i="1" s="1"/>
  <c r="B270" i="1"/>
  <c r="K269" i="1"/>
  <c r="N269" i="1" s="1"/>
  <c r="J269" i="1"/>
  <c r="M269" i="1" s="1"/>
  <c r="I269" i="1"/>
  <c r="L269" i="1" s="1"/>
  <c r="B269" i="1"/>
  <c r="K268" i="1"/>
  <c r="N268" i="1" s="1"/>
  <c r="J268" i="1"/>
  <c r="M268" i="1" s="1"/>
  <c r="I268" i="1"/>
  <c r="L268" i="1" s="1"/>
  <c r="B268" i="1"/>
  <c r="K267" i="1"/>
  <c r="N267" i="1" s="1"/>
  <c r="J267" i="1"/>
  <c r="M267" i="1" s="1"/>
  <c r="I267" i="1"/>
  <c r="L267" i="1" s="1"/>
  <c r="B267" i="1"/>
  <c r="M266" i="1"/>
  <c r="K266" i="1"/>
  <c r="N266" i="1" s="1"/>
  <c r="J266" i="1"/>
  <c r="I266" i="1"/>
  <c r="L266" i="1" s="1"/>
  <c r="B266" i="1"/>
  <c r="K265" i="1"/>
  <c r="N265" i="1" s="1"/>
  <c r="J265" i="1"/>
  <c r="M265" i="1" s="1"/>
  <c r="I265" i="1"/>
  <c r="L265" i="1" s="1"/>
  <c r="B265" i="1"/>
  <c r="N264" i="1"/>
  <c r="M264" i="1"/>
  <c r="K264" i="1"/>
  <c r="J264" i="1"/>
  <c r="I264" i="1"/>
  <c r="L264" i="1" s="1"/>
  <c r="B264" i="1"/>
  <c r="K263" i="1"/>
  <c r="N263" i="1" s="1"/>
  <c r="J263" i="1"/>
  <c r="M263" i="1" s="1"/>
  <c r="I263" i="1"/>
  <c r="L263" i="1" s="1"/>
  <c r="B263" i="1"/>
  <c r="K262" i="1"/>
  <c r="N262" i="1" s="1"/>
  <c r="J262" i="1"/>
  <c r="M262" i="1" s="1"/>
  <c r="I262" i="1"/>
  <c r="L262" i="1" s="1"/>
  <c r="B262" i="1"/>
  <c r="B262" i="10" s="1"/>
  <c r="N261" i="1"/>
  <c r="K261" i="1"/>
  <c r="J261" i="1"/>
  <c r="M261" i="1" s="1"/>
  <c r="I261" i="1"/>
  <c r="L261" i="1" s="1"/>
  <c r="B261" i="1"/>
  <c r="K260" i="1"/>
  <c r="N260" i="1" s="1"/>
  <c r="J260" i="1"/>
  <c r="M260" i="1" s="1"/>
  <c r="I260" i="1"/>
  <c r="L260" i="1" s="1"/>
  <c r="B260" i="1"/>
  <c r="K259" i="1"/>
  <c r="N259" i="1" s="1"/>
  <c r="J259" i="1"/>
  <c r="M259" i="1" s="1"/>
  <c r="I259" i="1"/>
  <c r="L259" i="1" s="1"/>
  <c r="B259" i="1"/>
  <c r="K258" i="1"/>
  <c r="N258" i="1" s="1"/>
  <c r="J258" i="1"/>
  <c r="M258" i="1" s="1"/>
  <c r="I258" i="1"/>
  <c r="L258" i="1" s="1"/>
  <c r="B258" i="1"/>
  <c r="L257" i="1"/>
  <c r="K257" i="1"/>
  <c r="N257" i="1" s="1"/>
  <c r="J257" i="1"/>
  <c r="M257" i="1" s="1"/>
  <c r="I257" i="1"/>
  <c r="B257" i="1"/>
  <c r="K256" i="1"/>
  <c r="N256" i="1" s="1"/>
  <c r="J256" i="1"/>
  <c r="M256" i="1" s="1"/>
  <c r="I256" i="1"/>
  <c r="L256" i="1" s="1"/>
  <c r="B256" i="1"/>
  <c r="K255" i="1"/>
  <c r="N255" i="1" s="1"/>
  <c r="J255" i="1"/>
  <c r="M255" i="1" s="1"/>
  <c r="I255" i="1"/>
  <c r="L255" i="1" s="1"/>
  <c r="B255" i="1"/>
  <c r="B255" i="10" s="1"/>
  <c r="K254" i="1"/>
  <c r="N254" i="1" s="1"/>
  <c r="J254" i="1"/>
  <c r="M254" i="1" s="1"/>
  <c r="I254" i="1"/>
  <c r="L254" i="1" s="1"/>
  <c r="B254" i="1"/>
  <c r="B254" i="10" s="1"/>
  <c r="K253" i="1"/>
  <c r="N253" i="1" s="1"/>
  <c r="J253" i="1"/>
  <c r="M253" i="1" s="1"/>
  <c r="I253" i="1"/>
  <c r="L253" i="1" s="1"/>
  <c r="B253" i="1"/>
  <c r="K252" i="1"/>
  <c r="N252" i="1" s="1"/>
  <c r="J252" i="1"/>
  <c r="M252" i="1" s="1"/>
  <c r="I252" i="1"/>
  <c r="L252" i="1" s="1"/>
  <c r="B252" i="1"/>
  <c r="K251" i="1"/>
  <c r="N251" i="1" s="1"/>
  <c r="J251" i="1"/>
  <c r="M251" i="1" s="1"/>
  <c r="I251" i="1"/>
  <c r="L251" i="1" s="1"/>
  <c r="B251" i="1"/>
  <c r="K250" i="1"/>
  <c r="N250" i="1" s="1"/>
  <c r="J250" i="1"/>
  <c r="M250" i="1" s="1"/>
  <c r="I250" i="1"/>
  <c r="L250" i="1" s="1"/>
  <c r="B250" i="1"/>
  <c r="K249" i="1"/>
  <c r="N249" i="1" s="1"/>
  <c r="J249" i="1"/>
  <c r="M249" i="1" s="1"/>
  <c r="I249" i="1"/>
  <c r="L249" i="1" s="1"/>
  <c r="B249" i="1"/>
  <c r="K248" i="1"/>
  <c r="N248" i="1" s="1"/>
  <c r="J248" i="1"/>
  <c r="M248" i="1" s="1"/>
  <c r="I248" i="1"/>
  <c r="L248" i="1" s="1"/>
  <c r="B248" i="1"/>
  <c r="B248" i="10" s="1"/>
  <c r="K247" i="1"/>
  <c r="N247" i="1" s="1"/>
  <c r="J247" i="1"/>
  <c r="M247" i="1" s="1"/>
  <c r="I247" i="1"/>
  <c r="L247" i="1" s="1"/>
  <c r="B247" i="1"/>
  <c r="B247" i="10" s="1"/>
  <c r="K246" i="1"/>
  <c r="N246" i="1" s="1"/>
  <c r="J246" i="1"/>
  <c r="M246" i="1" s="1"/>
  <c r="I246" i="1"/>
  <c r="L246" i="1" s="1"/>
  <c r="B246" i="1"/>
  <c r="K245" i="1"/>
  <c r="N245" i="1" s="1"/>
  <c r="J245" i="1"/>
  <c r="M245" i="1" s="1"/>
  <c r="I245" i="1"/>
  <c r="L245" i="1" s="1"/>
  <c r="B245" i="1"/>
  <c r="N244" i="1"/>
  <c r="K244" i="1"/>
  <c r="J244" i="1"/>
  <c r="M244" i="1" s="1"/>
  <c r="I244" i="1"/>
  <c r="L244" i="1" s="1"/>
  <c r="B244" i="1"/>
  <c r="K243" i="1"/>
  <c r="N243" i="1" s="1"/>
  <c r="J243" i="1"/>
  <c r="M243" i="1" s="1"/>
  <c r="I243" i="1"/>
  <c r="L243" i="1" s="1"/>
  <c r="B243" i="1"/>
  <c r="K242" i="1"/>
  <c r="N242" i="1" s="1"/>
  <c r="J242" i="1"/>
  <c r="M242" i="1" s="1"/>
  <c r="I242" i="1"/>
  <c r="L242" i="1" s="1"/>
  <c r="B242" i="1"/>
  <c r="K241" i="1"/>
  <c r="N241" i="1" s="1"/>
  <c r="J241" i="1"/>
  <c r="M241" i="1" s="1"/>
  <c r="I241" i="1"/>
  <c r="L241" i="1" s="1"/>
  <c r="B241" i="1"/>
  <c r="B241" i="10" s="1"/>
  <c r="N240" i="1"/>
  <c r="M240" i="1"/>
  <c r="K240" i="1"/>
  <c r="J240" i="1"/>
  <c r="I240" i="1"/>
  <c r="L240" i="1" s="1"/>
  <c r="B240" i="1"/>
  <c r="K239" i="1"/>
  <c r="N239" i="1" s="1"/>
  <c r="J239" i="1"/>
  <c r="M239" i="1" s="1"/>
  <c r="I239" i="1"/>
  <c r="L239" i="1" s="1"/>
  <c r="B239" i="1"/>
  <c r="M238" i="1"/>
  <c r="K238" i="1"/>
  <c r="N238" i="1" s="1"/>
  <c r="J238" i="1"/>
  <c r="I238" i="1"/>
  <c r="L238" i="1" s="1"/>
  <c r="B238" i="1"/>
  <c r="N237" i="1"/>
  <c r="K237" i="1"/>
  <c r="J237" i="1"/>
  <c r="M237" i="1" s="1"/>
  <c r="I237" i="1"/>
  <c r="L237" i="1" s="1"/>
  <c r="B237" i="1"/>
  <c r="K236" i="1"/>
  <c r="N236" i="1" s="1"/>
  <c r="J236" i="1"/>
  <c r="M236" i="1" s="1"/>
  <c r="I236" i="1"/>
  <c r="L236" i="1" s="1"/>
  <c r="B236" i="1"/>
  <c r="K235" i="1"/>
  <c r="N235" i="1" s="1"/>
  <c r="J235" i="1"/>
  <c r="M235" i="1" s="1"/>
  <c r="I235" i="1"/>
  <c r="L235" i="1" s="1"/>
  <c r="B235" i="1"/>
  <c r="K234" i="1"/>
  <c r="N234" i="1" s="1"/>
  <c r="J234" i="1"/>
  <c r="M234" i="1" s="1"/>
  <c r="I234" i="1"/>
  <c r="L234" i="1" s="1"/>
  <c r="B234" i="1"/>
  <c r="B234" i="10" s="1"/>
  <c r="K233" i="1"/>
  <c r="N233" i="1" s="1"/>
  <c r="J233" i="1"/>
  <c r="M233" i="1" s="1"/>
  <c r="I233" i="1"/>
  <c r="L233" i="1" s="1"/>
  <c r="B233" i="1"/>
  <c r="B233" i="10" s="1"/>
  <c r="M232" i="1"/>
  <c r="K232" i="1"/>
  <c r="N232" i="1" s="1"/>
  <c r="J232" i="1"/>
  <c r="I232" i="1"/>
  <c r="L232" i="1" s="1"/>
  <c r="B232" i="1"/>
  <c r="K231" i="1"/>
  <c r="N231" i="1" s="1"/>
  <c r="J231" i="1"/>
  <c r="M231" i="1" s="1"/>
  <c r="I231" i="1"/>
  <c r="L231" i="1" s="1"/>
  <c r="B231" i="1"/>
  <c r="K230" i="1"/>
  <c r="N230" i="1" s="1"/>
  <c r="J230" i="1"/>
  <c r="M230" i="1" s="1"/>
  <c r="I230" i="1"/>
  <c r="L230" i="1" s="1"/>
  <c r="B230" i="1"/>
  <c r="K229" i="1"/>
  <c r="N229" i="1" s="1"/>
  <c r="J229" i="1"/>
  <c r="M229" i="1" s="1"/>
  <c r="I229" i="1"/>
  <c r="L229" i="1" s="1"/>
  <c r="B229" i="1"/>
  <c r="K228" i="1"/>
  <c r="N228" i="1" s="1"/>
  <c r="J228" i="1"/>
  <c r="M228" i="1" s="1"/>
  <c r="I228" i="1"/>
  <c r="L228" i="1" s="1"/>
  <c r="B228" i="1"/>
  <c r="K227" i="1"/>
  <c r="N227" i="1" s="1"/>
  <c r="J227" i="1"/>
  <c r="M227" i="1" s="1"/>
  <c r="I227" i="1"/>
  <c r="L227" i="1" s="1"/>
  <c r="B227" i="1"/>
  <c r="B227" i="10" s="1"/>
  <c r="K226" i="1"/>
  <c r="N226" i="1" s="1"/>
  <c r="J226" i="1"/>
  <c r="M226" i="1" s="1"/>
  <c r="I226" i="1"/>
  <c r="L226" i="1" s="1"/>
  <c r="B226" i="1"/>
  <c r="B226" i="10" s="1"/>
  <c r="M225" i="1"/>
  <c r="K225" i="1"/>
  <c r="N225" i="1" s="1"/>
  <c r="J225" i="1"/>
  <c r="I225" i="1"/>
  <c r="L225" i="1" s="1"/>
  <c r="B225" i="1"/>
  <c r="M224" i="1"/>
  <c r="K224" i="1"/>
  <c r="N224" i="1" s="1"/>
  <c r="J224" i="1"/>
  <c r="I224" i="1"/>
  <c r="L224" i="1" s="1"/>
  <c r="B224" i="1"/>
  <c r="N223" i="1"/>
  <c r="M223" i="1"/>
  <c r="K223" i="1"/>
  <c r="J223" i="1"/>
  <c r="I223" i="1"/>
  <c r="L223" i="1" s="1"/>
  <c r="B223" i="1"/>
  <c r="K222" i="1"/>
  <c r="N222" i="1" s="1"/>
  <c r="J222" i="1"/>
  <c r="M222" i="1" s="1"/>
  <c r="I222" i="1"/>
  <c r="L222" i="1" s="1"/>
  <c r="B222" i="1"/>
  <c r="K221" i="1"/>
  <c r="N221" i="1" s="1"/>
  <c r="J221" i="1"/>
  <c r="M221" i="1" s="1"/>
  <c r="I221" i="1"/>
  <c r="L221" i="1" s="1"/>
  <c r="B221" i="1"/>
  <c r="K220" i="1"/>
  <c r="N220" i="1" s="1"/>
  <c r="J220" i="1"/>
  <c r="M220" i="1" s="1"/>
  <c r="I220" i="1"/>
  <c r="L220" i="1" s="1"/>
  <c r="B220" i="1"/>
  <c r="K219" i="1"/>
  <c r="N219" i="1" s="1"/>
  <c r="J219" i="1"/>
  <c r="M219" i="1" s="1"/>
  <c r="I219" i="1"/>
  <c r="L219" i="1" s="1"/>
  <c r="B219" i="1"/>
  <c r="K218" i="1"/>
  <c r="N218" i="1" s="1"/>
  <c r="J218" i="1"/>
  <c r="M218" i="1" s="1"/>
  <c r="I218" i="1"/>
  <c r="L218" i="1" s="1"/>
  <c r="B218" i="1"/>
  <c r="L217" i="1"/>
  <c r="K217" i="1"/>
  <c r="N217" i="1" s="1"/>
  <c r="J217" i="1"/>
  <c r="M217" i="1" s="1"/>
  <c r="I217" i="1"/>
  <c r="B217" i="1"/>
  <c r="K216" i="1"/>
  <c r="N216" i="1" s="1"/>
  <c r="J216" i="1"/>
  <c r="M216" i="1" s="1"/>
  <c r="I216" i="1"/>
  <c r="L216" i="1" s="1"/>
  <c r="B216" i="1"/>
  <c r="K215" i="1"/>
  <c r="N215" i="1" s="1"/>
  <c r="J215" i="1"/>
  <c r="M215" i="1" s="1"/>
  <c r="I215" i="1"/>
  <c r="L215" i="1" s="1"/>
  <c r="B215" i="1"/>
  <c r="K214" i="1"/>
  <c r="N214" i="1" s="1"/>
  <c r="J214" i="1"/>
  <c r="M214" i="1" s="1"/>
  <c r="I214" i="1"/>
  <c r="L214" i="1" s="1"/>
  <c r="B214" i="1"/>
  <c r="K213" i="1"/>
  <c r="N213" i="1" s="1"/>
  <c r="J213" i="1"/>
  <c r="M213" i="1" s="1"/>
  <c r="I213" i="1"/>
  <c r="L213" i="1" s="1"/>
  <c r="B213" i="1"/>
  <c r="K212" i="1"/>
  <c r="N212" i="1" s="1"/>
  <c r="J212" i="1"/>
  <c r="M212" i="1" s="1"/>
  <c r="I212" i="1"/>
  <c r="L212" i="1" s="1"/>
  <c r="B212" i="1"/>
  <c r="K211" i="1"/>
  <c r="N211" i="1" s="1"/>
  <c r="J211" i="1"/>
  <c r="M211" i="1" s="1"/>
  <c r="I211" i="1"/>
  <c r="L211" i="1" s="1"/>
  <c r="B211" i="1"/>
  <c r="B211" i="10" s="1"/>
  <c r="K210" i="1"/>
  <c r="N210" i="1" s="1"/>
  <c r="J210" i="1"/>
  <c r="M210" i="1" s="1"/>
  <c r="I210" i="1"/>
  <c r="L210" i="1" s="1"/>
  <c r="B210" i="1"/>
  <c r="K209" i="1"/>
  <c r="N209" i="1" s="1"/>
  <c r="J209" i="1"/>
  <c r="M209" i="1" s="1"/>
  <c r="I209" i="1"/>
  <c r="L209" i="1" s="1"/>
  <c r="B209" i="1"/>
  <c r="K208" i="1"/>
  <c r="N208" i="1" s="1"/>
  <c r="J208" i="1"/>
  <c r="M208" i="1" s="1"/>
  <c r="I208" i="1"/>
  <c r="L208" i="1" s="1"/>
  <c r="B208" i="1"/>
  <c r="K207" i="1"/>
  <c r="N207" i="1" s="1"/>
  <c r="J207" i="1"/>
  <c r="M207" i="1" s="1"/>
  <c r="I207" i="1"/>
  <c r="L207" i="1" s="1"/>
  <c r="B207" i="1"/>
  <c r="K206" i="1"/>
  <c r="N206" i="1" s="1"/>
  <c r="J206" i="1"/>
  <c r="M206" i="1" s="1"/>
  <c r="I206" i="1"/>
  <c r="L206" i="1" s="1"/>
  <c r="B206" i="1"/>
  <c r="K205" i="1"/>
  <c r="N205" i="1" s="1"/>
  <c r="J205" i="1"/>
  <c r="M205" i="1" s="1"/>
  <c r="I205" i="1"/>
  <c r="L205" i="1" s="1"/>
  <c r="B205" i="1"/>
  <c r="B205" i="10" s="1"/>
  <c r="K204" i="1"/>
  <c r="N204" i="1" s="1"/>
  <c r="J204" i="1"/>
  <c r="M204" i="1" s="1"/>
  <c r="I204" i="1"/>
  <c r="L204" i="1" s="1"/>
  <c r="B204" i="1"/>
  <c r="K203" i="1"/>
  <c r="N203" i="1" s="1"/>
  <c r="J203" i="1"/>
  <c r="M203" i="1" s="1"/>
  <c r="I203" i="1"/>
  <c r="L203" i="1" s="1"/>
  <c r="B203" i="1"/>
  <c r="K202" i="1"/>
  <c r="N202" i="1" s="1"/>
  <c r="J202" i="1"/>
  <c r="M202" i="1" s="1"/>
  <c r="I202" i="1"/>
  <c r="L202" i="1" s="1"/>
  <c r="B202" i="1"/>
  <c r="K201" i="1"/>
  <c r="N201" i="1" s="1"/>
  <c r="J201" i="1"/>
  <c r="M201" i="1" s="1"/>
  <c r="I201" i="1"/>
  <c r="L201" i="1" s="1"/>
  <c r="B201" i="1"/>
  <c r="N200" i="1"/>
  <c r="K200" i="1"/>
  <c r="J200" i="1"/>
  <c r="M200" i="1" s="1"/>
  <c r="I200" i="1"/>
  <c r="L200" i="1" s="1"/>
  <c r="B200" i="1"/>
  <c r="K199" i="1"/>
  <c r="N199" i="1" s="1"/>
  <c r="J199" i="1"/>
  <c r="M199" i="1" s="1"/>
  <c r="I199" i="1"/>
  <c r="L199" i="1" s="1"/>
  <c r="B199" i="1"/>
  <c r="K198" i="1"/>
  <c r="N198" i="1" s="1"/>
  <c r="J198" i="1"/>
  <c r="M198" i="1" s="1"/>
  <c r="I198" i="1"/>
  <c r="L198" i="1" s="1"/>
  <c r="B198" i="1"/>
  <c r="K197" i="1"/>
  <c r="N197" i="1" s="1"/>
  <c r="J197" i="1"/>
  <c r="M197" i="1" s="1"/>
  <c r="I197" i="1"/>
  <c r="L197" i="1" s="1"/>
  <c r="B197" i="1"/>
  <c r="M196" i="1"/>
  <c r="K196" i="1"/>
  <c r="N196" i="1" s="1"/>
  <c r="J196" i="1"/>
  <c r="I196" i="1"/>
  <c r="L196" i="1" s="1"/>
  <c r="B196" i="1"/>
  <c r="N195" i="1"/>
  <c r="M195" i="1"/>
  <c r="K195" i="1"/>
  <c r="J195" i="1"/>
  <c r="I195" i="1"/>
  <c r="L195" i="1" s="1"/>
  <c r="B195" i="1"/>
  <c r="K194" i="1"/>
  <c r="N194" i="1" s="1"/>
  <c r="J194" i="1"/>
  <c r="M194" i="1" s="1"/>
  <c r="I194" i="1"/>
  <c r="L194" i="1" s="1"/>
  <c r="B194" i="1"/>
  <c r="K193" i="1"/>
  <c r="N193" i="1" s="1"/>
  <c r="J193" i="1"/>
  <c r="M193" i="1" s="1"/>
  <c r="I193" i="1"/>
  <c r="L193" i="1" s="1"/>
  <c r="B193" i="1"/>
  <c r="M192" i="1"/>
  <c r="K192" i="1"/>
  <c r="N192" i="1" s="1"/>
  <c r="J192" i="1"/>
  <c r="I192" i="1"/>
  <c r="L192" i="1" s="1"/>
  <c r="B192" i="1"/>
  <c r="K191" i="1"/>
  <c r="N191" i="1" s="1"/>
  <c r="J191" i="1"/>
  <c r="M191" i="1" s="1"/>
  <c r="I191" i="1"/>
  <c r="L191" i="1" s="1"/>
  <c r="B191" i="1"/>
  <c r="B191" i="10" s="1"/>
  <c r="K190" i="1"/>
  <c r="N190" i="1" s="1"/>
  <c r="J190" i="1"/>
  <c r="M190" i="1" s="1"/>
  <c r="I190" i="1"/>
  <c r="L190" i="1" s="1"/>
  <c r="B190" i="1"/>
  <c r="K189" i="1"/>
  <c r="N189" i="1" s="1"/>
  <c r="J189" i="1"/>
  <c r="M189" i="1" s="1"/>
  <c r="I189" i="1"/>
  <c r="L189" i="1" s="1"/>
  <c r="B189" i="1"/>
  <c r="B189" i="10" s="1"/>
  <c r="K188" i="1"/>
  <c r="N188" i="1" s="1"/>
  <c r="J188" i="1"/>
  <c r="M188" i="1" s="1"/>
  <c r="I188" i="1"/>
  <c r="L188" i="1" s="1"/>
  <c r="B188" i="1"/>
  <c r="K187" i="1"/>
  <c r="N187" i="1" s="1"/>
  <c r="J187" i="1"/>
  <c r="M187" i="1" s="1"/>
  <c r="I187" i="1"/>
  <c r="L187" i="1" s="1"/>
  <c r="B187" i="1"/>
  <c r="K186" i="1"/>
  <c r="N186" i="1" s="1"/>
  <c r="J186" i="1"/>
  <c r="M186" i="1" s="1"/>
  <c r="I186" i="1"/>
  <c r="L186" i="1" s="1"/>
  <c r="B186" i="1"/>
  <c r="N185" i="1"/>
  <c r="K185" i="1"/>
  <c r="J185" i="1"/>
  <c r="M185" i="1" s="1"/>
  <c r="I185" i="1"/>
  <c r="L185" i="1" s="1"/>
  <c r="B185" i="1"/>
  <c r="M184" i="1"/>
  <c r="K184" i="1"/>
  <c r="N184" i="1" s="1"/>
  <c r="J184" i="1"/>
  <c r="I184" i="1"/>
  <c r="L184" i="1" s="1"/>
  <c r="B184" i="1"/>
  <c r="B184" i="10" s="1"/>
  <c r="K183" i="1"/>
  <c r="N183" i="1" s="1"/>
  <c r="J183" i="1"/>
  <c r="M183" i="1" s="1"/>
  <c r="I183" i="1"/>
  <c r="L183" i="1" s="1"/>
  <c r="B183" i="1"/>
  <c r="K182" i="1"/>
  <c r="N182" i="1" s="1"/>
  <c r="J182" i="1"/>
  <c r="M182" i="1" s="1"/>
  <c r="I182" i="1"/>
  <c r="L182" i="1" s="1"/>
  <c r="B182" i="1"/>
  <c r="K181" i="1"/>
  <c r="N181" i="1" s="1"/>
  <c r="J181" i="1"/>
  <c r="M181" i="1" s="1"/>
  <c r="I181" i="1"/>
  <c r="L181" i="1" s="1"/>
  <c r="B181" i="1"/>
  <c r="K180" i="1"/>
  <c r="N180" i="1" s="1"/>
  <c r="J180" i="1"/>
  <c r="M180" i="1" s="1"/>
  <c r="I180" i="1"/>
  <c r="L180" i="1" s="1"/>
  <c r="B180" i="1"/>
  <c r="K179" i="1"/>
  <c r="N179" i="1" s="1"/>
  <c r="J179" i="1"/>
  <c r="M179" i="1" s="1"/>
  <c r="I179" i="1"/>
  <c r="L179" i="1" s="1"/>
  <c r="B179" i="1"/>
  <c r="K178" i="1"/>
  <c r="N178" i="1" s="1"/>
  <c r="J178" i="1"/>
  <c r="M178" i="1" s="1"/>
  <c r="I178" i="1"/>
  <c r="L178" i="1" s="1"/>
  <c r="B178" i="1"/>
  <c r="K177" i="1"/>
  <c r="N177" i="1" s="1"/>
  <c r="J177" i="1"/>
  <c r="M177" i="1" s="1"/>
  <c r="I177" i="1"/>
  <c r="L177" i="1" s="1"/>
  <c r="B177" i="1"/>
  <c r="K176" i="1"/>
  <c r="N176" i="1" s="1"/>
  <c r="J176" i="1"/>
  <c r="M176" i="1" s="1"/>
  <c r="I176" i="1"/>
  <c r="L176" i="1" s="1"/>
  <c r="B176" i="1"/>
  <c r="M175" i="1"/>
  <c r="K175" i="1"/>
  <c r="N175" i="1" s="1"/>
  <c r="J175" i="1"/>
  <c r="I175" i="1"/>
  <c r="L175" i="1" s="1"/>
  <c r="B175" i="1"/>
  <c r="K174" i="1"/>
  <c r="N174" i="1" s="1"/>
  <c r="J174" i="1"/>
  <c r="M174" i="1" s="1"/>
  <c r="I174" i="1"/>
  <c r="L174" i="1" s="1"/>
  <c r="B174" i="1"/>
  <c r="K173" i="1"/>
  <c r="N173" i="1" s="1"/>
  <c r="J173" i="1"/>
  <c r="M173" i="1" s="1"/>
  <c r="I173" i="1"/>
  <c r="L173" i="1" s="1"/>
  <c r="B173" i="1"/>
  <c r="B173" i="10" s="1"/>
  <c r="K172" i="1"/>
  <c r="N172" i="1" s="1"/>
  <c r="J172" i="1"/>
  <c r="M172" i="1" s="1"/>
  <c r="I172" i="1"/>
  <c r="L172" i="1" s="1"/>
  <c r="B172" i="1"/>
  <c r="K171" i="1"/>
  <c r="N171" i="1" s="1"/>
  <c r="J171" i="1"/>
  <c r="M171" i="1" s="1"/>
  <c r="I171" i="1"/>
  <c r="L171" i="1" s="1"/>
  <c r="B171" i="1"/>
  <c r="K170" i="1"/>
  <c r="N170" i="1" s="1"/>
  <c r="J170" i="1"/>
  <c r="M170" i="1" s="1"/>
  <c r="I170" i="1"/>
  <c r="L170" i="1" s="1"/>
  <c r="B170" i="1"/>
  <c r="B170" i="10" s="1"/>
  <c r="L169" i="1"/>
  <c r="K169" i="1"/>
  <c r="N169" i="1" s="1"/>
  <c r="J169" i="1"/>
  <c r="M169" i="1" s="1"/>
  <c r="I169" i="1"/>
  <c r="B169" i="1"/>
  <c r="K168" i="1"/>
  <c r="N168" i="1" s="1"/>
  <c r="J168" i="1"/>
  <c r="M168" i="1" s="1"/>
  <c r="I168" i="1"/>
  <c r="L168" i="1" s="1"/>
  <c r="B168" i="1"/>
  <c r="K167" i="1"/>
  <c r="N167" i="1" s="1"/>
  <c r="J167" i="1"/>
  <c r="M167" i="1" s="1"/>
  <c r="I167" i="1"/>
  <c r="L167" i="1" s="1"/>
  <c r="B167" i="1"/>
  <c r="L166" i="1"/>
  <c r="K166" i="1"/>
  <c r="N166" i="1" s="1"/>
  <c r="J166" i="1"/>
  <c r="M166" i="1" s="1"/>
  <c r="I166" i="1"/>
  <c r="B166" i="1"/>
  <c r="K165" i="1"/>
  <c r="N165" i="1" s="1"/>
  <c r="J165" i="1"/>
  <c r="M165" i="1" s="1"/>
  <c r="I165" i="1"/>
  <c r="L165" i="1" s="1"/>
  <c r="B165" i="1"/>
  <c r="K164" i="1"/>
  <c r="N164" i="1" s="1"/>
  <c r="J164" i="1"/>
  <c r="M164" i="1" s="1"/>
  <c r="I164" i="1"/>
  <c r="L164" i="1" s="1"/>
  <c r="B164" i="1"/>
  <c r="K163" i="1"/>
  <c r="N163" i="1" s="1"/>
  <c r="J163" i="1"/>
  <c r="M163" i="1" s="1"/>
  <c r="I163" i="1"/>
  <c r="L163" i="1" s="1"/>
  <c r="B163" i="1"/>
  <c r="B163" i="10" s="1"/>
  <c r="K162" i="1"/>
  <c r="N162" i="1" s="1"/>
  <c r="J162" i="1"/>
  <c r="M162" i="1" s="1"/>
  <c r="I162" i="1"/>
  <c r="L162" i="1" s="1"/>
  <c r="B162" i="1"/>
  <c r="B162" i="10" s="1"/>
  <c r="K161" i="1"/>
  <c r="N161" i="1" s="1"/>
  <c r="J161" i="1"/>
  <c r="M161" i="1" s="1"/>
  <c r="I161" i="1"/>
  <c r="L161" i="1" s="1"/>
  <c r="B161" i="1"/>
  <c r="K160" i="1"/>
  <c r="N160" i="1" s="1"/>
  <c r="J160" i="1"/>
  <c r="M160" i="1" s="1"/>
  <c r="I160" i="1"/>
  <c r="L160" i="1" s="1"/>
  <c r="B160" i="1"/>
  <c r="K159" i="1"/>
  <c r="N159" i="1" s="1"/>
  <c r="J159" i="1"/>
  <c r="M159" i="1" s="1"/>
  <c r="I159" i="1"/>
  <c r="L159" i="1" s="1"/>
  <c r="B159" i="1"/>
  <c r="K158" i="1"/>
  <c r="N158" i="1" s="1"/>
  <c r="J158" i="1"/>
  <c r="M158" i="1" s="1"/>
  <c r="I158" i="1"/>
  <c r="L158" i="1" s="1"/>
  <c r="B158" i="1"/>
  <c r="K157" i="1"/>
  <c r="N157" i="1" s="1"/>
  <c r="J157" i="1"/>
  <c r="M157" i="1" s="1"/>
  <c r="I157" i="1"/>
  <c r="L157" i="1" s="1"/>
  <c r="B157" i="1"/>
  <c r="B157" i="10" s="1"/>
  <c r="K156" i="1"/>
  <c r="N156" i="1" s="1"/>
  <c r="J156" i="1"/>
  <c r="M156" i="1" s="1"/>
  <c r="I156" i="1"/>
  <c r="L156" i="1" s="1"/>
  <c r="B156" i="1"/>
  <c r="B156" i="10" s="1"/>
  <c r="K155" i="1"/>
  <c r="N155" i="1" s="1"/>
  <c r="J155" i="1"/>
  <c r="M155" i="1" s="1"/>
  <c r="I155" i="1"/>
  <c r="L155" i="1" s="1"/>
  <c r="B155" i="1"/>
  <c r="B155" i="10" s="1"/>
  <c r="K154" i="1"/>
  <c r="N154" i="1" s="1"/>
  <c r="J154" i="1"/>
  <c r="M154" i="1" s="1"/>
  <c r="I154" i="1"/>
  <c r="L154" i="1" s="1"/>
  <c r="B154" i="1"/>
  <c r="K153" i="1"/>
  <c r="N153" i="1" s="1"/>
  <c r="J153" i="1"/>
  <c r="M153" i="1" s="1"/>
  <c r="I153" i="1"/>
  <c r="L153" i="1" s="1"/>
  <c r="B153" i="1"/>
  <c r="K152" i="1"/>
  <c r="N152" i="1" s="1"/>
  <c r="J152" i="1"/>
  <c r="M152" i="1" s="1"/>
  <c r="I152" i="1"/>
  <c r="L152" i="1" s="1"/>
  <c r="B152" i="1"/>
  <c r="K151" i="1"/>
  <c r="N151" i="1" s="1"/>
  <c r="J151" i="1"/>
  <c r="M151" i="1" s="1"/>
  <c r="I151" i="1"/>
  <c r="L151" i="1" s="1"/>
  <c r="B151" i="1"/>
  <c r="K150" i="1"/>
  <c r="N150" i="1" s="1"/>
  <c r="J150" i="1"/>
  <c r="M150" i="1" s="1"/>
  <c r="I150" i="1"/>
  <c r="L150" i="1" s="1"/>
  <c r="B150" i="1"/>
  <c r="B150" i="10" s="1"/>
  <c r="K149" i="1"/>
  <c r="N149" i="1" s="1"/>
  <c r="J149" i="1"/>
  <c r="M149" i="1" s="1"/>
  <c r="I149" i="1"/>
  <c r="L149" i="1" s="1"/>
  <c r="B149" i="1"/>
  <c r="K148" i="1"/>
  <c r="N148" i="1" s="1"/>
  <c r="J148" i="1"/>
  <c r="M148" i="1" s="1"/>
  <c r="I148" i="1"/>
  <c r="L148" i="1" s="1"/>
  <c r="B148" i="1"/>
  <c r="K147" i="1"/>
  <c r="N147" i="1" s="1"/>
  <c r="J147" i="1"/>
  <c r="M147" i="1" s="1"/>
  <c r="I147" i="1"/>
  <c r="L147" i="1" s="1"/>
  <c r="B147" i="1"/>
  <c r="K146" i="1"/>
  <c r="N146" i="1" s="1"/>
  <c r="J146" i="1"/>
  <c r="M146" i="1" s="1"/>
  <c r="I146" i="1"/>
  <c r="L146" i="1" s="1"/>
  <c r="B146" i="1"/>
  <c r="L145" i="1"/>
  <c r="K145" i="1"/>
  <c r="N145" i="1" s="1"/>
  <c r="J145" i="1"/>
  <c r="M145" i="1" s="1"/>
  <c r="I145" i="1"/>
  <c r="B145" i="1"/>
  <c r="K144" i="1"/>
  <c r="N144" i="1" s="1"/>
  <c r="J144" i="1"/>
  <c r="M144" i="1" s="1"/>
  <c r="I144" i="1"/>
  <c r="L144" i="1" s="1"/>
  <c r="B144" i="1"/>
  <c r="K143" i="1"/>
  <c r="N143" i="1" s="1"/>
  <c r="J143" i="1"/>
  <c r="M143" i="1" s="1"/>
  <c r="I143" i="1"/>
  <c r="L143" i="1" s="1"/>
  <c r="B143" i="1"/>
  <c r="K142" i="1"/>
  <c r="N142" i="1" s="1"/>
  <c r="J142" i="1"/>
  <c r="M142" i="1" s="1"/>
  <c r="I142" i="1"/>
  <c r="L142" i="1" s="1"/>
  <c r="B142" i="1"/>
  <c r="K141" i="1"/>
  <c r="N141" i="1" s="1"/>
  <c r="J141" i="1"/>
  <c r="M141" i="1" s="1"/>
  <c r="I141" i="1"/>
  <c r="L141" i="1" s="1"/>
  <c r="B141" i="1"/>
  <c r="M140" i="1"/>
  <c r="K140" i="1"/>
  <c r="N140" i="1" s="1"/>
  <c r="J140" i="1"/>
  <c r="I140" i="1"/>
  <c r="L140" i="1" s="1"/>
  <c r="B140" i="1"/>
  <c r="K139" i="1"/>
  <c r="N139" i="1" s="1"/>
  <c r="J139" i="1"/>
  <c r="M139" i="1" s="1"/>
  <c r="I139" i="1"/>
  <c r="L139" i="1" s="1"/>
  <c r="B139" i="1"/>
  <c r="K138" i="1"/>
  <c r="N138" i="1" s="1"/>
  <c r="J138" i="1"/>
  <c r="M138" i="1" s="1"/>
  <c r="I138" i="1"/>
  <c r="L138" i="1" s="1"/>
  <c r="B138" i="1"/>
  <c r="K137" i="1"/>
  <c r="N137" i="1" s="1"/>
  <c r="J137" i="1"/>
  <c r="M137" i="1" s="1"/>
  <c r="I137" i="1"/>
  <c r="L137" i="1" s="1"/>
  <c r="B137" i="1"/>
  <c r="K136" i="1"/>
  <c r="N136" i="1" s="1"/>
  <c r="J136" i="1"/>
  <c r="M136" i="1" s="1"/>
  <c r="I136" i="1"/>
  <c r="L136" i="1" s="1"/>
  <c r="B136" i="1"/>
  <c r="B136" i="10" s="1"/>
  <c r="K135" i="1"/>
  <c r="N135" i="1" s="1"/>
  <c r="J135" i="1"/>
  <c r="M135" i="1" s="1"/>
  <c r="I135" i="1"/>
  <c r="L135" i="1" s="1"/>
  <c r="B135" i="1"/>
  <c r="K134" i="1"/>
  <c r="N134" i="1" s="1"/>
  <c r="J134" i="1"/>
  <c r="M134" i="1" s="1"/>
  <c r="I134" i="1"/>
  <c r="L134" i="1" s="1"/>
  <c r="B134" i="1"/>
  <c r="K133" i="1"/>
  <c r="N133" i="1" s="1"/>
  <c r="J133" i="1"/>
  <c r="M133" i="1" s="1"/>
  <c r="I133" i="1"/>
  <c r="L133" i="1" s="1"/>
  <c r="B133" i="1"/>
  <c r="K132" i="1"/>
  <c r="N132" i="1" s="1"/>
  <c r="J132" i="1"/>
  <c r="M132" i="1" s="1"/>
  <c r="I132" i="1"/>
  <c r="L132" i="1" s="1"/>
  <c r="B132" i="1"/>
  <c r="K131" i="1"/>
  <c r="N131" i="1" s="1"/>
  <c r="J131" i="1"/>
  <c r="M131" i="1" s="1"/>
  <c r="I131" i="1"/>
  <c r="L131" i="1" s="1"/>
  <c r="B131" i="1"/>
  <c r="K130" i="1"/>
  <c r="N130" i="1" s="1"/>
  <c r="J130" i="1"/>
  <c r="M130" i="1" s="1"/>
  <c r="I130" i="1"/>
  <c r="L130" i="1" s="1"/>
  <c r="B130" i="1"/>
  <c r="K129" i="1"/>
  <c r="N129" i="1" s="1"/>
  <c r="J129" i="1"/>
  <c r="M129" i="1" s="1"/>
  <c r="I129" i="1"/>
  <c r="L129" i="1" s="1"/>
  <c r="B129" i="1"/>
  <c r="K128" i="1"/>
  <c r="N128" i="1" s="1"/>
  <c r="J128" i="1"/>
  <c r="M128" i="1" s="1"/>
  <c r="I128" i="1"/>
  <c r="L128" i="1" s="1"/>
  <c r="B128" i="1"/>
  <c r="K127" i="1"/>
  <c r="N127" i="1" s="1"/>
  <c r="J127" i="1"/>
  <c r="M127" i="1" s="1"/>
  <c r="I127" i="1"/>
  <c r="L127" i="1" s="1"/>
  <c r="B127" i="1"/>
  <c r="M126" i="1"/>
  <c r="L126" i="1"/>
  <c r="K126" i="1"/>
  <c r="N126" i="1" s="1"/>
  <c r="J126" i="1"/>
  <c r="I126" i="1"/>
  <c r="B126" i="1"/>
  <c r="K125" i="1"/>
  <c r="N125" i="1" s="1"/>
  <c r="J125" i="1"/>
  <c r="M125" i="1" s="1"/>
  <c r="I125" i="1"/>
  <c r="L125" i="1" s="1"/>
  <c r="B125" i="1"/>
  <c r="L124" i="1"/>
  <c r="K124" i="1"/>
  <c r="N124" i="1" s="1"/>
  <c r="J124" i="1"/>
  <c r="M124" i="1" s="1"/>
  <c r="I124" i="1"/>
  <c r="B124" i="1"/>
  <c r="K123" i="1"/>
  <c r="N123" i="1" s="1"/>
  <c r="J123" i="1"/>
  <c r="M123" i="1" s="1"/>
  <c r="I123" i="1"/>
  <c r="L123" i="1" s="1"/>
  <c r="B123" i="1"/>
  <c r="B123" i="10" s="1"/>
  <c r="K122" i="1"/>
  <c r="N122" i="1" s="1"/>
  <c r="J122" i="1"/>
  <c r="M122" i="1" s="1"/>
  <c r="I122" i="1"/>
  <c r="L122" i="1" s="1"/>
  <c r="B122" i="1"/>
  <c r="K121" i="1"/>
  <c r="N121" i="1" s="1"/>
  <c r="J121" i="1"/>
  <c r="M121" i="1" s="1"/>
  <c r="I121" i="1"/>
  <c r="L121" i="1" s="1"/>
  <c r="B121" i="1"/>
  <c r="K120" i="1"/>
  <c r="N120" i="1" s="1"/>
  <c r="J120" i="1"/>
  <c r="M120" i="1" s="1"/>
  <c r="I120" i="1"/>
  <c r="L120" i="1" s="1"/>
  <c r="B120" i="1"/>
  <c r="K119" i="1"/>
  <c r="N119" i="1" s="1"/>
  <c r="J119" i="1"/>
  <c r="M119" i="1" s="1"/>
  <c r="I119" i="1"/>
  <c r="L119" i="1" s="1"/>
  <c r="B119" i="1"/>
  <c r="K118" i="1"/>
  <c r="N118" i="1" s="1"/>
  <c r="J118" i="1"/>
  <c r="M118" i="1" s="1"/>
  <c r="I118" i="1"/>
  <c r="L118" i="1" s="1"/>
  <c r="B118" i="1"/>
  <c r="B118" i="10" s="1"/>
  <c r="K117" i="1"/>
  <c r="N117" i="1" s="1"/>
  <c r="J117" i="1"/>
  <c r="M117" i="1" s="1"/>
  <c r="I117" i="1"/>
  <c r="L117" i="1" s="1"/>
  <c r="B117" i="1"/>
  <c r="K116" i="1"/>
  <c r="N116" i="1" s="1"/>
  <c r="J116" i="1"/>
  <c r="M116" i="1" s="1"/>
  <c r="I116" i="1"/>
  <c r="L116" i="1" s="1"/>
  <c r="B116" i="1"/>
  <c r="K115" i="1"/>
  <c r="N115" i="1" s="1"/>
  <c r="J115" i="1"/>
  <c r="M115" i="1" s="1"/>
  <c r="I115" i="1"/>
  <c r="L115" i="1" s="1"/>
  <c r="B115" i="1"/>
  <c r="B115" i="10" s="1"/>
  <c r="K114" i="1"/>
  <c r="N114" i="1" s="1"/>
  <c r="J114" i="1"/>
  <c r="M114" i="1" s="1"/>
  <c r="I114" i="1"/>
  <c r="L114" i="1" s="1"/>
  <c r="B114" i="1"/>
  <c r="K113" i="1"/>
  <c r="N113" i="1" s="1"/>
  <c r="J113" i="1"/>
  <c r="M113" i="1" s="1"/>
  <c r="I113" i="1"/>
  <c r="L113" i="1" s="1"/>
  <c r="B113" i="1"/>
  <c r="K112" i="1"/>
  <c r="N112" i="1" s="1"/>
  <c r="J112" i="1"/>
  <c r="M112" i="1" s="1"/>
  <c r="I112" i="1"/>
  <c r="L112" i="1" s="1"/>
  <c r="B112" i="1"/>
  <c r="K111" i="1"/>
  <c r="N111" i="1" s="1"/>
  <c r="J111" i="1"/>
  <c r="M111" i="1" s="1"/>
  <c r="I111" i="1"/>
  <c r="L111" i="1" s="1"/>
  <c r="B111" i="1"/>
  <c r="N110" i="1"/>
  <c r="M110" i="1"/>
  <c r="K110" i="1"/>
  <c r="J110" i="1"/>
  <c r="I110" i="1"/>
  <c r="L110" i="1" s="1"/>
  <c r="B110" i="1"/>
  <c r="K109" i="1"/>
  <c r="N109" i="1" s="1"/>
  <c r="J109" i="1"/>
  <c r="M109" i="1" s="1"/>
  <c r="I109" i="1"/>
  <c r="L109" i="1" s="1"/>
  <c r="B109" i="1"/>
  <c r="K108" i="1"/>
  <c r="N108" i="1" s="1"/>
  <c r="J108" i="1"/>
  <c r="M108" i="1" s="1"/>
  <c r="I108" i="1"/>
  <c r="L108" i="1" s="1"/>
  <c r="B108" i="1"/>
  <c r="N107" i="1"/>
  <c r="K107" i="1"/>
  <c r="J107" i="1"/>
  <c r="M107" i="1" s="1"/>
  <c r="I107" i="1"/>
  <c r="L107" i="1" s="1"/>
  <c r="B107" i="1"/>
  <c r="B107" i="10" s="1"/>
  <c r="K106" i="1"/>
  <c r="N106" i="1" s="1"/>
  <c r="J106" i="1"/>
  <c r="M106" i="1" s="1"/>
  <c r="I106" i="1"/>
  <c r="L106" i="1" s="1"/>
  <c r="B106" i="1"/>
  <c r="K105" i="1"/>
  <c r="N105" i="1" s="1"/>
  <c r="J105" i="1"/>
  <c r="M105" i="1" s="1"/>
  <c r="I105" i="1"/>
  <c r="L105" i="1" s="1"/>
  <c r="B105" i="1"/>
  <c r="K104" i="1"/>
  <c r="N104" i="1" s="1"/>
  <c r="J104" i="1"/>
  <c r="M104" i="1" s="1"/>
  <c r="I104" i="1"/>
  <c r="L104" i="1" s="1"/>
  <c r="B104" i="1"/>
  <c r="K103" i="1"/>
  <c r="N103" i="1" s="1"/>
  <c r="J103" i="1"/>
  <c r="M103" i="1" s="1"/>
  <c r="I103" i="1"/>
  <c r="L103" i="1" s="1"/>
  <c r="B103" i="1"/>
  <c r="K102" i="1"/>
  <c r="N102" i="1" s="1"/>
  <c r="J102" i="1"/>
  <c r="M102" i="1" s="1"/>
  <c r="I102" i="1"/>
  <c r="L102" i="1" s="1"/>
  <c r="B102" i="1"/>
  <c r="B102" i="10" s="1"/>
  <c r="K101" i="1"/>
  <c r="N101" i="1" s="1"/>
  <c r="J101" i="1"/>
  <c r="M101" i="1" s="1"/>
  <c r="I101" i="1"/>
  <c r="L101" i="1" s="1"/>
  <c r="B101" i="1"/>
  <c r="K100" i="1"/>
  <c r="N100" i="1" s="1"/>
  <c r="J100" i="1"/>
  <c r="M100" i="1" s="1"/>
  <c r="I100" i="1"/>
  <c r="L100" i="1" s="1"/>
  <c r="B100" i="1"/>
  <c r="K99" i="1"/>
  <c r="N99" i="1" s="1"/>
  <c r="J99" i="1"/>
  <c r="M99" i="1" s="1"/>
  <c r="I99" i="1"/>
  <c r="L99" i="1" s="1"/>
  <c r="B99" i="1"/>
  <c r="K98" i="1"/>
  <c r="N98" i="1" s="1"/>
  <c r="J98" i="1"/>
  <c r="M98" i="1" s="1"/>
  <c r="I98" i="1"/>
  <c r="L98" i="1" s="1"/>
  <c r="B98" i="1"/>
  <c r="B98" i="10" s="1"/>
  <c r="N97" i="1"/>
  <c r="K97" i="1"/>
  <c r="J97" i="1"/>
  <c r="M97" i="1" s="1"/>
  <c r="I97" i="1"/>
  <c r="L97" i="1" s="1"/>
  <c r="B97" i="1"/>
  <c r="K96" i="1"/>
  <c r="N96" i="1" s="1"/>
  <c r="J96" i="1"/>
  <c r="M96" i="1" s="1"/>
  <c r="I96" i="1"/>
  <c r="L96" i="1" s="1"/>
  <c r="B96" i="1"/>
  <c r="L95" i="1"/>
  <c r="K95" i="1"/>
  <c r="N95" i="1" s="1"/>
  <c r="J95" i="1"/>
  <c r="M95" i="1" s="1"/>
  <c r="I95" i="1"/>
  <c r="B95" i="1"/>
  <c r="K94" i="1"/>
  <c r="N94" i="1" s="1"/>
  <c r="J94" i="1"/>
  <c r="M94" i="1" s="1"/>
  <c r="I94" i="1"/>
  <c r="L94" i="1" s="1"/>
  <c r="B94" i="1"/>
  <c r="K93" i="1"/>
  <c r="N93" i="1" s="1"/>
  <c r="J93" i="1"/>
  <c r="M93" i="1" s="1"/>
  <c r="I93" i="1"/>
  <c r="L93" i="1" s="1"/>
  <c r="B93" i="1"/>
  <c r="B93" i="10" s="1"/>
  <c r="K92" i="1"/>
  <c r="N92" i="1" s="1"/>
  <c r="J92" i="1"/>
  <c r="M92" i="1" s="1"/>
  <c r="I92" i="1"/>
  <c r="L92" i="1" s="1"/>
  <c r="B92" i="1"/>
  <c r="K91" i="1"/>
  <c r="N91" i="1" s="1"/>
  <c r="J91" i="1"/>
  <c r="M91" i="1" s="1"/>
  <c r="I91" i="1"/>
  <c r="L91" i="1" s="1"/>
  <c r="B91" i="1"/>
  <c r="K90" i="1"/>
  <c r="N90" i="1" s="1"/>
  <c r="J90" i="1"/>
  <c r="M90" i="1" s="1"/>
  <c r="I90" i="1"/>
  <c r="L90" i="1" s="1"/>
  <c r="B90" i="1"/>
  <c r="K89" i="1"/>
  <c r="N89" i="1" s="1"/>
  <c r="J89" i="1"/>
  <c r="M89" i="1" s="1"/>
  <c r="I89" i="1"/>
  <c r="L89" i="1" s="1"/>
  <c r="B89" i="1"/>
  <c r="K88" i="1"/>
  <c r="N88" i="1" s="1"/>
  <c r="J88" i="1"/>
  <c r="M88" i="1" s="1"/>
  <c r="I88" i="1"/>
  <c r="L88" i="1" s="1"/>
  <c r="B88" i="1"/>
  <c r="K87" i="1"/>
  <c r="N87" i="1" s="1"/>
  <c r="J87" i="1"/>
  <c r="M87" i="1" s="1"/>
  <c r="I87" i="1"/>
  <c r="L87" i="1" s="1"/>
  <c r="B87" i="1"/>
  <c r="K86" i="1"/>
  <c r="N86" i="1" s="1"/>
  <c r="J86" i="1"/>
  <c r="M86" i="1" s="1"/>
  <c r="I86" i="1"/>
  <c r="L86" i="1" s="1"/>
  <c r="B86" i="1"/>
  <c r="B86" i="10" s="1"/>
  <c r="M85" i="1"/>
  <c r="K85" i="1"/>
  <c r="N85" i="1" s="1"/>
  <c r="J85" i="1"/>
  <c r="I85" i="1"/>
  <c r="L85" i="1" s="1"/>
  <c r="B85" i="1"/>
  <c r="K84" i="1"/>
  <c r="N84" i="1" s="1"/>
  <c r="J84" i="1"/>
  <c r="M84" i="1" s="1"/>
  <c r="I84" i="1"/>
  <c r="L84" i="1" s="1"/>
  <c r="B84" i="1"/>
  <c r="K83" i="1"/>
  <c r="N83" i="1" s="1"/>
  <c r="J83" i="1"/>
  <c r="M83" i="1" s="1"/>
  <c r="I83" i="1"/>
  <c r="L83" i="1" s="1"/>
  <c r="B83" i="1"/>
  <c r="M82" i="1"/>
  <c r="L82" i="1"/>
  <c r="K82" i="1"/>
  <c r="N82" i="1" s="1"/>
  <c r="J82" i="1"/>
  <c r="I82" i="1"/>
  <c r="B82" i="1"/>
  <c r="K81" i="1"/>
  <c r="N81" i="1" s="1"/>
  <c r="J81" i="1"/>
  <c r="M81" i="1" s="1"/>
  <c r="I81" i="1"/>
  <c r="L81" i="1" s="1"/>
  <c r="B81" i="1"/>
  <c r="B81" i="10" s="1"/>
  <c r="K80" i="1"/>
  <c r="N80" i="1" s="1"/>
  <c r="J80" i="1"/>
  <c r="M80" i="1" s="1"/>
  <c r="I80" i="1"/>
  <c r="L80" i="1" s="1"/>
  <c r="B80" i="1"/>
  <c r="B80" i="10" s="1"/>
  <c r="K79" i="1"/>
  <c r="N79" i="1" s="1"/>
  <c r="J79" i="1"/>
  <c r="M79" i="1" s="1"/>
  <c r="I79" i="1"/>
  <c r="L79" i="1" s="1"/>
  <c r="B79" i="1"/>
  <c r="K78" i="1"/>
  <c r="N78" i="1" s="1"/>
  <c r="J78" i="1"/>
  <c r="M78" i="1" s="1"/>
  <c r="I78" i="1"/>
  <c r="L78" i="1" s="1"/>
  <c r="B78" i="1"/>
  <c r="N77" i="1"/>
  <c r="K77" i="1"/>
  <c r="J77" i="1"/>
  <c r="M77" i="1" s="1"/>
  <c r="I77" i="1"/>
  <c r="L77" i="1" s="1"/>
  <c r="B77" i="1"/>
  <c r="B77" i="10" s="1"/>
  <c r="K76" i="1"/>
  <c r="N76" i="1" s="1"/>
  <c r="J76" i="1"/>
  <c r="M76" i="1" s="1"/>
  <c r="I76" i="1"/>
  <c r="L76" i="1" s="1"/>
  <c r="B76" i="1"/>
  <c r="K75" i="1"/>
  <c r="N75" i="1" s="1"/>
  <c r="J75" i="1"/>
  <c r="M75" i="1" s="1"/>
  <c r="I75" i="1"/>
  <c r="L75" i="1" s="1"/>
  <c r="B75" i="1"/>
  <c r="N74" i="1"/>
  <c r="K74" i="1"/>
  <c r="J74" i="1"/>
  <c r="M74" i="1" s="1"/>
  <c r="I74" i="1"/>
  <c r="L74" i="1" s="1"/>
  <c r="B74" i="1"/>
  <c r="K73" i="1"/>
  <c r="N73" i="1" s="1"/>
  <c r="J73" i="1"/>
  <c r="M73" i="1" s="1"/>
  <c r="I73" i="1"/>
  <c r="L73" i="1" s="1"/>
  <c r="B73" i="1"/>
  <c r="K72" i="1"/>
  <c r="N72" i="1" s="1"/>
  <c r="J72" i="1"/>
  <c r="M72" i="1" s="1"/>
  <c r="I72" i="1"/>
  <c r="L72" i="1" s="1"/>
  <c r="B72" i="1"/>
  <c r="B72" i="10" s="1"/>
  <c r="K71" i="1"/>
  <c r="N71" i="1" s="1"/>
  <c r="J71" i="1"/>
  <c r="M71" i="1" s="1"/>
  <c r="I71" i="1"/>
  <c r="L71" i="1" s="1"/>
  <c r="B71" i="1"/>
  <c r="L70" i="1"/>
  <c r="K70" i="1"/>
  <c r="N70" i="1" s="1"/>
  <c r="J70" i="1"/>
  <c r="M70" i="1" s="1"/>
  <c r="I70" i="1"/>
  <c r="B70" i="1"/>
  <c r="K69" i="1"/>
  <c r="N69" i="1" s="1"/>
  <c r="J69" i="1"/>
  <c r="M69" i="1" s="1"/>
  <c r="I69" i="1"/>
  <c r="L69" i="1" s="1"/>
  <c r="B69" i="1"/>
  <c r="L68" i="1"/>
  <c r="K68" i="1"/>
  <c r="N68" i="1" s="1"/>
  <c r="J68" i="1"/>
  <c r="M68" i="1" s="1"/>
  <c r="I68" i="1"/>
  <c r="B68" i="1"/>
  <c r="M67" i="1"/>
  <c r="K67" i="1"/>
  <c r="N67" i="1" s="1"/>
  <c r="J67" i="1"/>
  <c r="I67" i="1"/>
  <c r="L67" i="1" s="1"/>
  <c r="B67" i="1"/>
  <c r="K66" i="1"/>
  <c r="N66" i="1" s="1"/>
  <c r="J66" i="1"/>
  <c r="M66" i="1" s="1"/>
  <c r="I66" i="1"/>
  <c r="L66" i="1" s="1"/>
  <c r="B66" i="1"/>
  <c r="L65" i="1"/>
  <c r="K65" i="1"/>
  <c r="N65" i="1" s="1"/>
  <c r="J65" i="1"/>
  <c r="M65" i="1" s="1"/>
  <c r="I65" i="1"/>
  <c r="B65" i="1"/>
  <c r="K64" i="1"/>
  <c r="N64" i="1" s="1"/>
  <c r="J64" i="1"/>
  <c r="M64" i="1" s="1"/>
  <c r="I64" i="1"/>
  <c r="L64" i="1" s="1"/>
  <c r="B64" i="1"/>
  <c r="K63" i="1"/>
  <c r="N63" i="1" s="1"/>
  <c r="J63" i="1"/>
  <c r="M63" i="1" s="1"/>
  <c r="I63" i="1"/>
  <c r="L63" i="1" s="1"/>
  <c r="B63" i="1"/>
  <c r="K62" i="1"/>
  <c r="N62" i="1" s="1"/>
  <c r="J62" i="1"/>
  <c r="M62" i="1" s="1"/>
  <c r="I62" i="1"/>
  <c r="L62" i="1" s="1"/>
  <c r="B62" i="1"/>
  <c r="K61" i="1"/>
  <c r="N61" i="1" s="1"/>
  <c r="J61" i="1"/>
  <c r="M61" i="1" s="1"/>
  <c r="I61" i="1"/>
  <c r="L61" i="1" s="1"/>
  <c r="B61" i="1"/>
  <c r="K60" i="1"/>
  <c r="N60" i="1" s="1"/>
  <c r="J60" i="1"/>
  <c r="M60" i="1" s="1"/>
  <c r="I60" i="1"/>
  <c r="L60" i="1" s="1"/>
  <c r="B60" i="1"/>
  <c r="K59" i="1"/>
  <c r="N59" i="1" s="1"/>
  <c r="J59" i="1"/>
  <c r="M59" i="1" s="1"/>
  <c r="I59" i="1"/>
  <c r="L59" i="1" s="1"/>
  <c r="B59" i="1"/>
  <c r="L58" i="1"/>
  <c r="K58" i="1"/>
  <c r="N58" i="1" s="1"/>
  <c r="J58" i="1"/>
  <c r="M58" i="1" s="1"/>
  <c r="I58" i="1"/>
  <c r="B58" i="1"/>
  <c r="K57" i="1"/>
  <c r="N57" i="1" s="1"/>
  <c r="J57" i="1"/>
  <c r="M57" i="1" s="1"/>
  <c r="I57" i="1"/>
  <c r="L57" i="1" s="1"/>
  <c r="B57" i="1"/>
  <c r="K56" i="1"/>
  <c r="N56" i="1" s="1"/>
  <c r="J56" i="1"/>
  <c r="M56" i="1" s="1"/>
  <c r="I56" i="1"/>
  <c r="L56" i="1" s="1"/>
  <c r="B56" i="1"/>
  <c r="K55" i="1"/>
  <c r="N55" i="1" s="1"/>
  <c r="J55" i="1"/>
  <c r="M55" i="1" s="1"/>
  <c r="I55" i="1"/>
  <c r="L55" i="1" s="1"/>
  <c r="B55" i="1"/>
  <c r="K54" i="1"/>
  <c r="N54" i="1" s="1"/>
  <c r="J54" i="1"/>
  <c r="M54" i="1" s="1"/>
  <c r="I54" i="1"/>
  <c r="L54" i="1" s="1"/>
  <c r="B54" i="1"/>
  <c r="K53" i="1"/>
  <c r="N53" i="1" s="1"/>
  <c r="J53" i="1"/>
  <c r="M53" i="1" s="1"/>
  <c r="I53" i="1"/>
  <c r="L53" i="1" s="1"/>
  <c r="B53" i="1"/>
  <c r="M52" i="1"/>
  <c r="K52" i="1"/>
  <c r="N52" i="1" s="1"/>
  <c r="J52" i="1"/>
  <c r="I52" i="1"/>
  <c r="L52" i="1" s="1"/>
  <c r="B52" i="1"/>
  <c r="K51" i="1"/>
  <c r="N51" i="1" s="1"/>
  <c r="J51" i="1"/>
  <c r="M51" i="1" s="1"/>
  <c r="I51" i="1"/>
  <c r="L51" i="1" s="1"/>
  <c r="B51" i="1"/>
  <c r="K50" i="1"/>
  <c r="N50" i="1" s="1"/>
  <c r="J50" i="1"/>
  <c r="M50" i="1" s="1"/>
  <c r="I50" i="1"/>
  <c r="L50" i="1" s="1"/>
  <c r="B50" i="1"/>
  <c r="K49" i="1"/>
  <c r="N49" i="1" s="1"/>
  <c r="J49" i="1"/>
  <c r="M49" i="1" s="1"/>
  <c r="I49" i="1"/>
  <c r="L49" i="1" s="1"/>
  <c r="B49" i="1"/>
  <c r="K48" i="1"/>
  <c r="N48" i="1" s="1"/>
  <c r="J48" i="1"/>
  <c r="M48" i="1" s="1"/>
  <c r="I48" i="1"/>
  <c r="L48" i="1" s="1"/>
  <c r="B48" i="1"/>
  <c r="K47" i="1"/>
  <c r="N47" i="1" s="1"/>
  <c r="J47" i="1"/>
  <c r="M47" i="1" s="1"/>
  <c r="I47" i="1"/>
  <c r="L47" i="1" s="1"/>
  <c r="B47" i="1"/>
  <c r="K46" i="1"/>
  <c r="N46" i="1" s="1"/>
  <c r="J46" i="1"/>
  <c r="M46" i="1" s="1"/>
  <c r="I46" i="1"/>
  <c r="L46" i="1" s="1"/>
  <c r="B46" i="1"/>
  <c r="K45" i="1"/>
  <c r="N45" i="1" s="1"/>
  <c r="J45" i="1"/>
  <c r="M45" i="1" s="1"/>
  <c r="I45" i="1"/>
  <c r="L45" i="1" s="1"/>
  <c r="B45" i="1"/>
  <c r="K44" i="1"/>
  <c r="N44" i="1" s="1"/>
  <c r="J44" i="1"/>
  <c r="M44" i="1" s="1"/>
  <c r="I44" i="1"/>
  <c r="L44" i="1" s="1"/>
  <c r="B44" i="1"/>
  <c r="K43" i="1"/>
  <c r="N43" i="1" s="1"/>
  <c r="J43" i="1"/>
  <c r="M43" i="1" s="1"/>
  <c r="I43" i="1"/>
  <c r="L43" i="1" s="1"/>
  <c r="B43" i="1"/>
  <c r="M42" i="1"/>
  <c r="L42" i="1"/>
  <c r="K42" i="1"/>
  <c r="N42" i="1" s="1"/>
  <c r="J42" i="1"/>
  <c r="I42" i="1"/>
  <c r="B42" i="1"/>
  <c r="K41" i="1"/>
  <c r="N41" i="1" s="1"/>
  <c r="J41" i="1"/>
  <c r="M41" i="1" s="1"/>
  <c r="I41" i="1"/>
  <c r="L41" i="1" s="1"/>
  <c r="B41" i="1"/>
  <c r="K40" i="1"/>
  <c r="N40" i="1" s="1"/>
  <c r="J40" i="1"/>
  <c r="M40" i="1" s="1"/>
  <c r="I40" i="1"/>
  <c r="L40" i="1" s="1"/>
  <c r="B40" i="1"/>
  <c r="K39" i="1"/>
  <c r="N39" i="1" s="1"/>
  <c r="J39" i="1"/>
  <c r="M39" i="1" s="1"/>
  <c r="I39" i="1"/>
  <c r="L39" i="1" s="1"/>
  <c r="B39" i="1"/>
  <c r="K38" i="1"/>
  <c r="N38" i="1" s="1"/>
  <c r="J38" i="1"/>
  <c r="M38" i="1" s="1"/>
  <c r="I38" i="1"/>
  <c r="L38" i="1" s="1"/>
  <c r="B38" i="1"/>
  <c r="K37" i="1"/>
  <c r="N37" i="1" s="1"/>
  <c r="J37" i="1"/>
  <c r="M37" i="1" s="1"/>
  <c r="I37" i="1"/>
  <c r="L37" i="1" s="1"/>
  <c r="B37" i="1"/>
  <c r="K36" i="1"/>
  <c r="N36" i="1" s="1"/>
  <c r="J36" i="1"/>
  <c r="M36" i="1" s="1"/>
  <c r="I36" i="1"/>
  <c r="L36" i="1" s="1"/>
  <c r="B36" i="1"/>
  <c r="K35" i="1"/>
  <c r="N35" i="1" s="1"/>
  <c r="J35" i="1"/>
  <c r="M35" i="1" s="1"/>
  <c r="I35" i="1"/>
  <c r="L35" i="1" s="1"/>
  <c r="B35" i="1"/>
  <c r="K34" i="1"/>
  <c r="N34" i="1" s="1"/>
  <c r="J34" i="1"/>
  <c r="M34" i="1" s="1"/>
  <c r="I34" i="1"/>
  <c r="L34" i="1" s="1"/>
  <c r="B34" i="1"/>
  <c r="L33" i="1"/>
  <c r="K33" i="1"/>
  <c r="N33" i="1" s="1"/>
  <c r="J33" i="1"/>
  <c r="M33" i="1" s="1"/>
  <c r="I33" i="1"/>
  <c r="B33" i="1"/>
  <c r="B33" i="10" s="1"/>
  <c r="K32" i="1"/>
  <c r="N32" i="1" s="1"/>
  <c r="J32" i="1"/>
  <c r="M32" i="1" s="1"/>
  <c r="I32" i="1"/>
  <c r="L32" i="1" s="1"/>
  <c r="B32" i="1"/>
  <c r="K31" i="1"/>
  <c r="N31" i="1" s="1"/>
  <c r="J31" i="1"/>
  <c r="M31" i="1" s="1"/>
  <c r="I31" i="1"/>
  <c r="L31" i="1" s="1"/>
  <c r="B31" i="1"/>
  <c r="K30" i="1"/>
  <c r="N30" i="1" s="1"/>
  <c r="J30" i="1"/>
  <c r="M30" i="1" s="1"/>
  <c r="I30" i="1"/>
  <c r="L30" i="1" s="1"/>
  <c r="B30" i="1"/>
  <c r="K29" i="1"/>
  <c r="N29" i="1" s="1"/>
  <c r="J29" i="1"/>
  <c r="M29" i="1" s="1"/>
  <c r="I29" i="1"/>
  <c r="L29" i="1" s="1"/>
  <c r="B29" i="1"/>
  <c r="K28" i="1"/>
  <c r="N28" i="1" s="1"/>
  <c r="J28" i="1"/>
  <c r="M28" i="1" s="1"/>
  <c r="I28" i="1"/>
  <c r="L28" i="1" s="1"/>
  <c r="B28" i="1"/>
  <c r="K27" i="1"/>
  <c r="N27" i="1" s="1"/>
  <c r="J27" i="1"/>
  <c r="M27" i="1" s="1"/>
  <c r="I27" i="1"/>
  <c r="L27" i="1" s="1"/>
  <c r="B27" i="1"/>
  <c r="K26" i="1"/>
  <c r="N26" i="1" s="1"/>
  <c r="J26" i="1"/>
  <c r="M26" i="1" s="1"/>
  <c r="I26" i="1"/>
  <c r="L26" i="1" s="1"/>
  <c r="B26" i="1"/>
  <c r="K25" i="1"/>
  <c r="N25" i="1" s="1"/>
  <c r="J25" i="1"/>
  <c r="M25" i="1" s="1"/>
  <c r="I25" i="1"/>
  <c r="L25" i="1" s="1"/>
  <c r="B25" i="1"/>
  <c r="K24" i="1"/>
  <c r="N24" i="1" s="1"/>
  <c r="J24" i="1"/>
  <c r="M24" i="1" s="1"/>
  <c r="I24" i="1"/>
  <c r="L24" i="1" s="1"/>
  <c r="B24" i="1"/>
  <c r="K23" i="1"/>
  <c r="N23" i="1" s="1"/>
  <c r="J23" i="1"/>
  <c r="M23" i="1" s="1"/>
  <c r="I23" i="1"/>
  <c r="L23" i="1" s="1"/>
  <c r="B23" i="1"/>
  <c r="K22" i="1"/>
  <c r="N22" i="1" s="1"/>
  <c r="J22" i="1"/>
  <c r="M22" i="1" s="1"/>
  <c r="I22" i="1"/>
  <c r="L22" i="1" s="1"/>
  <c r="B22" i="1"/>
  <c r="M21" i="1"/>
  <c r="K21" i="1"/>
  <c r="N21" i="1" s="1"/>
  <c r="J21" i="1"/>
  <c r="I21" i="1"/>
  <c r="L21" i="1" s="1"/>
  <c r="B21" i="1"/>
  <c r="L20" i="1"/>
  <c r="K20" i="1"/>
  <c r="N20" i="1" s="1"/>
  <c r="J20" i="1"/>
  <c r="M20" i="1" s="1"/>
  <c r="I20" i="1"/>
  <c r="B20" i="1"/>
  <c r="K19" i="1"/>
  <c r="N19" i="1" s="1"/>
  <c r="J19" i="1"/>
  <c r="M19" i="1" s="1"/>
  <c r="I19" i="1"/>
  <c r="L19" i="1" s="1"/>
  <c r="B19" i="1"/>
  <c r="B19" i="10" s="1"/>
  <c r="K18" i="1"/>
  <c r="N18" i="1" s="1"/>
  <c r="J18" i="1"/>
  <c r="M18" i="1" s="1"/>
  <c r="I18" i="1"/>
  <c r="L18" i="1" s="1"/>
  <c r="B18" i="1"/>
  <c r="K17" i="1"/>
  <c r="N17" i="1" s="1"/>
  <c r="J17" i="1"/>
  <c r="M17" i="1" s="1"/>
  <c r="I17" i="1"/>
  <c r="L17" i="1" s="1"/>
  <c r="B17" i="1"/>
  <c r="K16" i="1"/>
  <c r="N16" i="1" s="1"/>
  <c r="J16" i="1"/>
  <c r="M16" i="1" s="1"/>
  <c r="I16" i="1"/>
  <c r="L16" i="1" s="1"/>
  <c r="B16" i="1"/>
  <c r="K15" i="1"/>
  <c r="N15" i="1" s="1"/>
  <c r="J15" i="1"/>
  <c r="M15" i="1" s="1"/>
  <c r="I15" i="1"/>
  <c r="L15" i="1" s="1"/>
  <c r="B15" i="1"/>
  <c r="K14" i="1"/>
  <c r="N14" i="1" s="1"/>
  <c r="J14" i="1"/>
  <c r="M14" i="1" s="1"/>
  <c r="I14" i="1"/>
  <c r="L14" i="1" s="1"/>
  <c r="B14" i="1"/>
  <c r="K13" i="1"/>
  <c r="N13" i="1" s="1"/>
  <c r="J13" i="1"/>
  <c r="M13" i="1" s="1"/>
  <c r="I13" i="1"/>
  <c r="L13" i="1" s="1"/>
  <c r="B13" i="1"/>
  <c r="N12" i="1"/>
  <c r="K12" i="1"/>
  <c r="J12" i="1"/>
  <c r="M12" i="1" s="1"/>
  <c r="I12" i="1"/>
  <c r="L12" i="1" s="1"/>
  <c r="B12" i="1"/>
  <c r="K11" i="1"/>
  <c r="N11" i="1" s="1"/>
  <c r="J11" i="1"/>
  <c r="M11" i="1" s="1"/>
  <c r="I11" i="1"/>
  <c r="L11" i="1" s="1"/>
  <c r="B11" i="1"/>
  <c r="K10" i="1"/>
  <c r="N10" i="1" s="1"/>
  <c r="J10" i="1"/>
  <c r="M10" i="1" s="1"/>
  <c r="I10" i="1"/>
  <c r="L10" i="1" s="1"/>
  <c r="B10" i="1"/>
  <c r="B10" i="10" s="1"/>
  <c r="K9" i="1"/>
  <c r="N9" i="1" s="1"/>
  <c r="J9" i="1"/>
  <c r="M9" i="1" s="1"/>
  <c r="I9" i="1"/>
  <c r="L9" i="1" s="1"/>
  <c r="B9" i="1"/>
  <c r="K8" i="1"/>
  <c r="N8" i="1" s="1"/>
  <c r="J8" i="1"/>
  <c r="M8" i="1" s="1"/>
  <c r="I8" i="1"/>
  <c r="L8" i="1" s="1"/>
  <c r="B8" i="1"/>
  <c r="L7" i="1"/>
  <c r="K7" i="1"/>
  <c r="N7" i="1" s="1"/>
  <c r="J7" i="1"/>
  <c r="M7" i="1" s="1"/>
  <c r="I7" i="1"/>
  <c r="B7" i="1"/>
  <c r="K6" i="1"/>
  <c r="N6" i="1" s="1"/>
  <c r="J6" i="1"/>
  <c r="M6" i="1" s="1"/>
  <c r="I6" i="1"/>
  <c r="L6" i="1" s="1"/>
  <c r="B6" i="1"/>
  <c r="K5" i="1"/>
  <c r="N5" i="1" s="1"/>
  <c r="J5" i="1"/>
  <c r="M5" i="1" s="1"/>
  <c r="I5" i="1"/>
  <c r="L5" i="1" s="1"/>
  <c r="B5" i="1"/>
  <c r="N4" i="1"/>
  <c r="K4" i="1"/>
  <c r="J4" i="1"/>
  <c r="M4" i="1" s="1"/>
  <c r="I4" i="1"/>
  <c r="L4" i="1" s="1"/>
  <c r="B4" i="1"/>
  <c r="K3" i="1"/>
  <c r="N3" i="1" s="1"/>
  <c r="J3" i="1"/>
  <c r="M3" i="1" s="1"/>
  <c r="I3" i="1"/>
  <c r="L3" i="1" s="1"/>
  <c r="B3" i="1"/>
  <c r="K2" i="1"/>
  <c r="N2" i="1" s="1"/>
  <c r="J2" i="1"/>
  <c r="M2" i="1" s="1"/>
  <c r="I2" i="1"/>
  <c r="L2" i="1" s="1"/>
  <c r="B2" i="1"/>
  <c r="B2" i="10" s="1"/>
  <c r="AB393" i="10" l="1"/>
  <c r="B3" i="18"/>
  <c r="L102" i="6"/>
  <c r="M102" i="6" s="1"/>
  <c r="S102" i="10" s="1"/>
  <c r="L130" i="6"/>
  <c r="M130" i="6" s="1"/>
  <c r="S130" i="10" s="1"/>
  <c r="L158" i="6"/>
  <c r="M158" i="6" s="1"/>
  <c r="S158" i="10" s="1"/>
  <c r="L270" i="6"/>
  <c r="M270" i="6" s="1"/>
  <c r="S270" i="10" s="1"/>
  <c r="L711" i="6"/>
  <c r="M711" i="6" s="1"/>
  <c r="S711" i="10" s="1"/>
  <c r="L781" i="6"/>
  <c r="M781" i="6" s="1"/>
  <c r="S781" i="10" s="1"/>
  <c r="L837" i="6"/>
  <c r="M837" i="6" s="1"/>
  <c r="S837" i="10" s="1"/>
  <c r="AR493" i="10"/>
  <c r="AR299" i="10"/>
  <c r="AR1146" i="10"/>
  <c r="B1126" i="2"/>
  <c r="B974" i="2"/>
  <c r="B1168" i="2"/>
  <c r="AQ225" i="10"/>
  <c r="AQ512" i="10"/>
  <c r="AQ41" i="10"/>
  <c r="AQ228" i="10"/>
  <c r="AQ105" i="10"/>
  <c r="AQ125" i="10"/>
  <c r="AQ301" i="10"/>
  <c r="AQ213" i="10"/>
  <c r="AQ476" i="10"/>
  <c r="AQ578" i="10"/>
  <c r="AQ284" i="10"/>
  <c r="B1022" i="2"/>
  <c r="B861" i="10"/>
  <c r="B898" i="2"/>
  <c r="B858" i="10"/>
  <c r="B772" i="2"/>
  <c r="B1054" i="10"/>
  <c r="B1053" i="2"/>
  <c r="B396" i="10"/>
  <c r="B260" i="2"/>
  <c r="B1192" i="10"/>
  <c r="B1198" i="2"/>
  <c r="I1195" i="1"/>
  <c r="B486" i="2"/>
  <c r="B640" i="2"/>
  <c r="P171" i="1"/>
  <c r="P120" i="1"/>
  <c r="P178" i="1"/>
  <c r="O16" i="1"/>
  <c r="B122" i="10"/>
  <c r="B401" i="2"/>
  <c r="B523" i="10"/>
  <c r="B679" i="2"/>
  <c r="B665" i="10"/>
  <c r="B980" i="2"/>
  <c r="O91" i="1"/>
  <c r="B158" i="10"/>
  <c r="B173" i="2"/>
  <c r="B199" i="10"/>
  <c r="B268" i="2"/>
  <c r="B204" i="10"/>
  <c r="B748" i="2"/>
  <c r="B222" i="10"/>
  <c r="B102" i="2"/>
  <c r="B387" i="10"/>
  <c r="B462" i="2"/>
  <c r="B401" i="10"/>
  <c r="B583" i="2"/>
  <c r="P443" i="1"/>
  <c r="B494" i="10"/>
  <c r="B340" i="2"/>
  <c r="B660" i="10"/>
  <c r="B560" i="2"/>
  <c r="B690" i="10"/>
  <c r="B787" i="2"/>
  <c r="P34" i="1"/>
  <c r="P64" i="1"/>
  <c r="B128" i="10"/>
  <c r="B281" i="2"/>
  <c r="B261" i="10"/>
  <c r="B361" i="2"/>
  <c r="B276" i="10"/>
  <c r="B294" i="2"/>
  <c r="B422" i="10"/>
  <c r="B403" i="2"/>
  <c r="B430" i="10"/>
  <c r="B51" i="2"/>
  <c r="B542" i="10"/>
  <c r="B442" i="2"/>
  <c r="B582" i="10"/>
  <c r="B546" i="2"/>
  <c r="B737" i="10"/>
  <c r="B649" i="2"/>
  <c r="B894" i="10"/>
  <c r="B737" i="2"/>
  <c r="B1057" i="10"/>
  <c r="B1056" i="2"/>
  <c r="B1104" i="10"/>
  <c r="B1107" i="2"/>
  <c r="B202" i="2"/>
  <c r="O904" i="1"/>
  <c r="B1035" i="10"/>
  <c r="B1033" i="2"/>
  <c r="B1072" i="10"/>
  <c r="B1072" i="2"/>
  <c r="B1075" i="10"/>
  <c r="B1075" i="2"/>
  <c r="B1016" i="2"/>
  <c r="B121" i="10"/>
  <c r="B205" i="2"/>
  <c r="B835" i="10"/>
  <c r="B493" i="2"/>
  <c r="B857" i="10"/>
  <c r="B738" i="2"/>
  <c r="B114" i="10"/>
  <c r="B6" i="2"/>
  <c r="B178" i="10"/>
  <c r="B766" i="2"/>
  <c r="B268" i="10"/>
  <c r="B67" i="2"/>
  <c r="B426" i="2"/>
  <c r="B565" i="10"/>
  <c r="B374" i="2"/>
  <c r="B538" i="10"/>
  <c r="B660" i="2"/>
  <c r="B865" i="10"/>
  <c r="B927" i="2"/>
  <c r="B1005" i="10"/>
  <c r="B1003" i="2"/>
  <c r="B395" i="10"/>
  <c r="B170" i="2"/>
  <c r="B120" i="10"/>
  <c r="B133" i="2"/>
  <c r="B325" i="10"/>
  <c r="B591" i="2"/>
  <c r="B668" i="10"/>
  <c r="B470" i="2"/>
  <c r="B202" i="10"/>
  <c r="B263" i="2"/>
  <c r="B212" i="10"/>
  <c r="B438" i="2"/>
  <c r="B289" i="10"/>
  <c r="B207" i="2"/>
  <c r="B449" i="10"/>
  <c r="B581" i="2"/>
  <c r="B825" i="10"/>
  <c r="B764" i="2"/>
  <c r="O166" i="1"/>
  <c r="B164" i="10"/>
  <c r="B252" i="2"/>
  <c r="B169" i="10"/>
  <c r="B14" i="2"/>
  <c r="B197" i="10"/>
  <c r="B255" i="2"/>
  <c r="Q227" i="1"/>
  <c r="B269" i="10"/>
  <c r="B298" i="2"/>
  <c r="B305" i="10"/>
  <c r="B366" i="2"/>
  <c r="B626" i="10"/>
  <c r="B793" i="2"/>
  <c r="B674" i="10"/>
  <c r="B392" i="2"/>
  <c r="B724" i="10"/>
  <c r="B627" i="2"/>
  <c r="B809" i="10"/>
  <c r="B847" i="2"/>
  <c r="B812" i="10"/>
  <c r="B803" i="2"/>
  <c r="B817" i="10"/>
  <c r="B842" i="2"/>
  <c r="B828" i="10"/>
  <c r="B874" i="2"/>
  <c r="B918" i="10"/>
  <c r="B890" i="2"/>
  <c r="B1004" i="10"/>
  <c r="B1002" i="2"/>
  <c r="B1154" i="10"/>
  <c r="B1159" i="2"/>
  <c r="B472" i="2"/>
  <c r="B91" i="10"/>
  <c r="B231" i="2"/>
  <c r="B181" i="10"/>
  <c r="B440" i="2"/>
  <c r="B464" i="10"/>
  <c r="B988" i="2"/>
  <c r="B339" i="10"/>
  <c r="B594" i="2"/>
  <c r="B639" i="10"/>
  <c r="B668" i="2"/>
  <c r="B793" i="10"/>
  <c r="B456" i="2"/>
  <c r="B331" i="10"/>
  <c r="B388" i="2"/>
  <c r="B457" i="10"/>
  <c r="B372" i="2"/>
  <c r="B604" i="10"/>
  <c r="B540" i="2"/>
  <c r="B682" i="10"/>
  <c r="B465" i="2"/>
  <c r="B751" i="10"/>
  <c r="B750" i="2"/>
  <c r="B30" i="10"/>
  <c r="B692" i="2"/>
  <c r="Q47" i="1"/>
  <c r="B143" i="10"/>
  <c r="B52" i="2"/>
  <c r="B185" i="10"/>
  <c r="B316" i="2"/>
  <c r="B215" i="10"/>
  <c r="B154" i="2"/>
  <c r="B257" i="10"/>
  <c r="B504" i="2"/>
  <c r="B354" i="10"/>
  <c r="B128" i="2"/>
  <c r="B367" i="10"/>
  <c r="B230" i="2"/>
  <c r="B621" i="10"/>
  <c r="B663" i="2"/>
  <c r="B708" i="10"/>
  <c r="B522" i="2"/>
  <c r="B780" i="10"/>
  <c r="B654" i="2"/>
  <c r="B850" i="10"/>
  <c r="B795" i="2"/>
  <c r="B1052" i="2"/>
  <c r="P39" i="1"/>
  <c r="Q59" i="1"/>
  <c r="B551" i="10"/>
  <c r="B869" i="2"/>
  <c r="B623" i="10"/>
  <c r="B467" i="2"/>
  <c r="B192" i="10"/>
  <c r="B330" i="2"/>
  <c r="B297" i="10"/>
  <c r="B164" i="2"/>
  <c r="O966" i="1"/>
  <c r="O146" i="1"/>
  <c r="B272" i="10"/>
  <c r="B314" i="2"/>
  <c r="B415" i="10"/>
  <c r="B72" i="2"/>
  <c r="B506" i="10"/>
  <c r="B346" i="2"/>
  <c r="B549" i="10"/>
  <c r="B162" i="2"/>
  <c r="B583" i="10"/>
  <c r="B453" i="2"/>
  <c r="B591" i="10"/>
  <c r="B417" i="2"/>
  <c r="B599" i="10"/>
  <c r="B408" i="2"/>
  <c r="B759" i="10"/>
  <c r="B396" i="2"/>
  <c r="B823" i="10"/>
  <c r="B788" i="2"/>
  <c r="B884" i="10"/>
  <c r="B856" i="2"/>
  <c r="B1082" i="10"/>
  <c r="B1082" i="2"/>
  <c r="B1088" i="10"/>
  <c r="B1089" i="2"/>
  <c r="B1166" i="10"/>
  <c r="B1172" i="2"/>
  <c r="B557" i="2"/>
  <c r="B58" i="10"/>
  <c r="B319" i="2"/>
  <c r="B346" i="10"/>
  <c r="B216" i="2"/>
  <c r="Q521" i="1"/>
  <c r="B640" i="10"/>
  <c r="B761" i="2"/>
  <c r="B643" i="10"/>
  <c r="B308" i="2"/>
  <c r="B744" i="10"/>
  <c r="B823" i="2"/>
  <c r="B1073" i="10"/>
  <c r="B1073" i="2"/>
  <c r="B1140" i="10"/>
  <c r="B1145" i="2"/>
  <c r="B108" i="10"/>
  <c r="B364" i="2"/>
  <c r="P197" i="1"/>
  <c r="B208" i="10"/>
  <c r="B274" i="2"/>
  <c r="B242" i="10"/>
  <c r="B50" i="2"/>
  <c r="P259" i="1"/>
  <c r="B287" i="10"/>
  <c r="B831" i="2"/>
  <c r="B306" i="10"/>
  <c r="B541" i="2"/>
  <c r="O343" i="1"/>
  <c r="B450" i="10"/>
  <c r="B736" i="2"/>
  <c r="B557" i="10"/>
  <c r="B608" i="2"/>
  <c r="B725" i="10"/>
  <c r="B382" i="2"/>
  <c r="B1117" i="10"/>
  <c r="B1121" i="2"/>
  <c r="B644" i="2"/>
  <c r="B83" i="10"/>
  <c r="B353" i="2"/>
  <c r="B132" i="10"/>
  <c r="B226" i="2"/>
  <c r="B135" i="10"/>
  <c r="B798" i="2"/>
  <c r="O190" i="1"/>
  <c r="B198" i="10"/>
  <c r="B282" i="2"/>
  <c r="B275" i="10"/>
  <c r="B175" i="2"/>
  <c r="B290" i="10"/>
  <c r="B411" i="2"/>
  <c r="B352" i="10"/>
  <c r="B168" i="2"/>
  <c r="B429" i="10"/>
  <c r="B708" i="2"/>
  <c r="B437" i="10"/>
  <c r="B262" i="2"/>
  <c r="B445" i="10"/>
  <c r="B515" i="2"/>
  <c r="B728" i="10"/>
  <c r="B326" i="2"/>
  <c r="B868" i="10"/>
  <c r="B689" i="2"/>
  <c r="B890" i="10"/>
  <c r="B806" i="2"/>
  <c r="B720" i="2"/>
  <c r="B282" i="10"/>
  <c r="B328" i="2"/>
  <c r="B355" i="10"/>
  <c r="B313" i="2"/>
  <c r="B1011" i="10"/>
  <c r="B1009" i="2"/>
  <c r="B1065" i="10"/>
  <c r="B1064" i="2"/>
  <c r="B240" i="10"/>
  <c r="B454" i="2"/>
  <c r="B779" i="10"/>
  <c r="B780" i="2"/>
  <c r="B852" i="10"/>
  <c r="B777" i="2"/>
  <c r="B869" i="10"/>
  <c r="B759" i="2"/>
  <c r="B935" i="10"/>
  <c r="B784" i="2"/>
  <c r="B959" i="10"/>
  <c r="B828" i="2"/>
  <c r="B1032" i="10"/>
  <c r="B1030" i="2"/>
  <c r="B1040" i="10"/>
  <c r="B1038" i="2"/>
  <c r="B1101" i="10"/>
  <c r="B1103" i="2"/>
  <c r="B134" i="2"/>
  <c r="Q92" i="1"/>
  <c r="B149" i="10"/>
  <c r="B186" i="2"/>
  <c r="B318" i="10"/>
  <c r="B549" i="2"/>
  <c r="B541" i="10"/>
  <c r="B84" i="2"/>
  <c r="B649" i="10"/>
  <c r="B91" i="2"/>
  <c r="B689" i="10"/>
  <c r="B731" i="2"/>
  <c r="B997" i="10"/>
  <c r="B995" i="2"/>
  <c r="B1106" i="10"/>
  <c r="B1109" i="2"/>
  <c r="B403" i="10"/>
  <c r="B345" i="2"/>
  <c r="B477" i="10"/>
  <c r="B303" i="2"/>
  <c r="B678" i="10"/>
  <c r="B631" i="2"/>
  <c r="B981" i="10"/>
  <c r="B991" i="2"/>
  <c r="B1051" i="10"/>
  <c r="B1050" i="2"/>
  <c r="B1083" i="10"/>
  <c r="B1083" i="2"/>
  <c r="B1086" i="10"/>
  <c r="B1086" i="2"/>
  <c r="P1082" i="1"/>
  <c r="B443" i="10"/>
  <c r="B258" i="2"/>
  <c r="B499" i="10"/>
  <c r="B247" i="2"/>
  <c r="B641" i="10"/>
  <c r="B588" i="2"/>
  <c r="B726" i="10"/>
  <c r="B385" i="2"/>
  <c r="B827" i="10"/>
  <c r="B840" i="2"/>
  <c r="B833" i="10"/>
  <c r="B821" i="2"/>
  <c r="B948" i="10"/>
  <c r="B652" i="2"/>
  <c r="B972" i="2"/>
  <c r="B94" i="10"/>
  <c r="B101" i="2"/>
  <c r="B206" i="10"/>
  <c r="B192" i="2"/>
  <c r="B891" i="10"/>
  <c r="B944" i="2"/>
  <c r="B1121" i="10"/>
  <c r="B1125" i="2"/>
  <c r="B1147" i="10"/>
  <c r="B1152" i="2"/>
  <c r="B1191" i="10"/>
  <c r="B1197" i="2"/>
  <c r="B200" i="2"/>
  <c r="B958" i="10"/>
  <c r="B919" i="2"/>
  <c r="B1025" i="10"/>
  <c r="B1023" i="2"/>
  <c r="B1066" i="10"/>
  <c r="B1066" i="2"/>
  <c r="B1107" i="10"/>
  <c r="B1110" i="2"/>
  <c r="B1189" i="10"/>
  <c r="B1195" i="2"/>
  <c r="B716" i="2"/>
  <c r="B1061" i="10"/>
  <c r="B1060" i="2"/>
  <c r="P372" i="1"/>
  <c r="B380" i="10"/>
  <c r="B459" i="2"/>
  <c r="B435" i="10"/>
  <c r="B938" i="2"/>
  <c r="B528" i="10"/>
  <c r="B323" i="2"/>
  <c r="B696" i="10"/>
  <c r="B686" i="2"/>
  <c r="B816" i="10"/>
  <c r="B907" i="2"/>
  <c r="B843" i="10"/>
  <c r="B337" i="2"/>
  <c r="B873" i="10"/>
  <c r="B800" i="2"/>
  <c r="B927" i="10"/>
  <c r="B926" i="2"/>
  <c r="B944" i="10"/>
  <c r="B942" i="2"/>
  <c r="B986" i="10"/>
  <c r="B983" i="2"/>
  <c r="B1028" i="10"/>
  <c r="B1026" i="2"/>
  <c r="B1046" i="10"/>
  <c r="B1045" i="2"/>
  <c r="B1056" i="10"/>
  <c r="B1055" i="2"/>
  <c r="B1069" i="10"/>
  <c r="B1069" i="2"/>
  <c r="B1084" i="10"/>
  <c r="B1084" i="2"/>
  <c r="B1092" i="10"/>
  <c r="B1093" i="2"/>
  <c r="B1110" i="10"/>
  <c r="B1113" i="2"/>
  <c r="B1132" i="10"/>
  <c r="B1137" i="2"/>
  <c r="B784" i="10"/>
  <c r="B742" i="2"/>
  <c r="B893" i="10"/>
  <c r="B848" i="2"/>
  <c r="B961" i="10"/>
  <c r="B932" i="2"/>
  <c r="B1135" i="10"/>
  <c r="B1140" i="2"/>
  <c r="B1138" i="10"/>
  <c r="B1143" i="2"/>
  <c r="B329" i="10"/>
  <c r="B144" i="2"/>
  <c r="B493" i="10"/>
  <c r="B542" i="2"/>
  <c r="B521" i="10"/>
  <c r="B734" i="2"/>
  <c r="B592" i="10"/>
  <c r="B528" i="2"/>
  <c r="B656" i="10"/>
  <c r="B639" i="2"/>
  <c r="B762" i="10"/>
  <c r="B624" i="2"/>
  <c r="B846" i="10"/>
  <c r="B883" i="2"/>
  <c r="B915" i="10"/>
  <c r="B929" i="2"/>
  <c r="B1026" i="10"/>
  <c r="B1024" i="2"/>
  <c r="B1095" i="10"/>
  <c r="B1096" i="2"/>
  <c r="B1130" i="10"/>
  <c r="B1135" i="2"/>
  <c r="B1184" i="10"/>
  <c r="B1190" i="2"/>
  <c r="B317" i="10"/>
  <c r="B215" i="2"/>
  <c r="B332" i="10"/>
  <c r="B862" i="2"/>
  <c r="B436" i="10"/>
  <c r="B178" i="2"/>
  <c r="B451" i="10"/>
  <c r="B225" i="2"/>
  <c r="B562" i="10"/>
  <c r="B332" i="2"/>
  <c r="B646" i="10"/>
  <c r="B579" i="2"/>
  <c r="B717" i="10"/>
  <c r="B448" i="2"/>
  <c r="B765" i="10"/>
  <c r="B935" i="2"/>
  <c r="B770" i="10"/>
  <c r="B884" i="2"/>
  <c r="B866" i="10"/>
  <c r="B300" i="2"/>
  <c r="B964" i="10"/>
  <c r="B910" i="2"/>
  <c r="B1007" i="10"/>
  <c r="B1005" i="2"/>
  <c r="B1044" i="10"/>
  <c r="B1043" i="2"/>
  <c r="B1047" i="10"/>
  <c r="B1046" i="2"/>
  <c r="B1103" i="10"/>
  <c r="B1106" i="2"/>
  <c r="B1118" i="10"/>
  <c r="B1122" i="2"/>
  <c r="B1133" i="10"/>
  <c r="B1138" i="2"/>
  <c r="B1146" i="10"/>
  <c r="B1151" i="2"/>
  <c r="B435" i="2"/>
  <c r="B906" i="2"/>
  <c r="B1127" i="2"/>
  <c r="B381" i="10"/>
  <c r="B242" i="2"/>
  <c r="B394" i="10"/>
  <c r="B538" i="2"/>
  <c r="B514" i="10"/>
  <c r="B146" i="2"/>
  <c r="B598" i="10"/>
  <c r="B887" i="2"/>
  <c r="B710" i="10"/>
  <c r="B547" i="2"/>
  <c r="B758" i="10"/>
  <c r="B709" i="2"/>
  <c r="B808" i="10"/>
  <c r="B957" i="2"/>
  <c r="B1013" i="10"/>
  <c r="B1011" i="2"/>
  <c r="B1042" i="10"/>
  <c r="B1041" i="2"/>
  <c r="B554" i="2"/>
  <c r="B1176" i="2"/>
  <c r="B1182" i="2"/>
  <c r="B1185" i="2"/>
  <c r="B1186" i="2"/>
  <c r="B1196" i="2"/>
  <c r="B5" i="9"/>
  <c r="B1153" i="2"/>
  <c r="B1154" i="2"/>
  <c r="B1199" i="2"/>
  <c r="L780" i="6"/>
  <c r="M780" i="6" s="1"/>
  <c r="S780" i="10" s="1"/>
  <c r="L906" i="6"/>
  <c r="M906" i="6" s="1"/>
  <c r="S906" i="10" s="1"/>
  <c r="L934" i="6"/>
  <c r="M934" i="6" s="1"/>
  <c r="S934" i="10" s="1"/>
  <c r="L1081" i="6"/>
  <c r="M1081" i="6" s="1"/>
  <c r="S1081" i="10" s="1"/>
  <c r="L1165" i="6"/>
  <c r="M1165" i="6" s="1"/>
  <c r="S1165" i="10" s="1"/>
  <c r="AB37" i="10"/>
  <c r="L41" i="6"/>
  <c r="M41" i="6" s="1"/>
  <c r="S41" i="10" s="1"/>
  <c r="L146" i="6"/>
  <c r="M146" i="6" s="1"/>
  <c r="S146" i="10" s="1"/>
  <c r="L657" i="6"/>
  <c r="M657" i="6" s="1"/>
  <c r="S657" i="10" s="1"/>
  <c r="L68" i="6"/>
  <c r="M68" i="6" s="1"/>
  <c r="S68" i="10" s="1"/>
  <c r="L425" i="6"/>
  <c r="M425" i="6" s="1"/>
  <c r="S425" i="10" s="1"/>
  <c r="L1153" i="6"/>
  <c r="M1153" i="6" s="1"/>
  <c r="S1153" i="10" s="1"/>
  <c r="L387" i="6"/>
  <c r="M387" i="6" s="1"/>
  <c r="S387" i="10" s="1"/>
  <c r="L429" i="6"/>
  <c r="M429" i="6" s="1"/>
  <c r="S429" i="10" s="1"/>
  <c r="L639" i="6"/>
  <c r="M639" i="6" s="1"/>
  <c r="S639" i="10" s="1"/>
  <c r="L1087" i="6"/>
  <c r="M1087" i="6" s="1"/>
  <c r="S1087" i="10" s="1"/>
  <c r="L213" i="6"/>
  <c r="M213" i="6" s="1"/>
  <c r="S213" i="10" s="1"/>
  <c r="L818" i="6"/>
  <c r="M818" i="6" s="1"/>
  <c r="S818" i="10" s="1"/>
  <c r="L867" i="6"/>
  <c r="M867" i="6" s="1"/>
  <c r="S867" i="10" s="1"/>
  <c r="L874" i="6"/>
  <c r="M874" i="6" s="1"/>
  <c r="S874" i="10" s="1"/>
  <c r="L881" i="6"/>
  <c r="M881" i="6" s="1"/>
  <c r="S881" i="10" s="1"/>
  <c r="L105" i="6"/>
  <c r="M105" i="6" s="1"/>
  <c r="S105" i="10" s="1"/>
  <c r="L301" i="6"/>
  <c r="M301" i="6" s="1"/>
  <c r="S301" i="10" s="1"/>
  <c r="L560" i="6"/>
  <c r="M560" i="6" s="1"/>
  <c r="S560" i="10" s="1"/>
  <c r="L616" i="6"/>
  <c r="M616" i="6" s="1"/>
  <c r="S616" i="10" s="1"/>
  <c r="L658" i="6"/>
  <c r="M658" i="6" s="1"/>
  <c r="S658" i="10" s="1"/>
  <c r="L686" i="6"/>
  <c r="M686" i="6" s="1"/>
  <c r="S686" i="10" s="1"/>
  <c r="L1015" i="6"/>
  <c r="M1015" i="6" s="1"/>
  <c r="S1015" i="10" s="1"/>
  <c r="L190" i="6"/>
  <c r="M190" i="6" s="1"/>
  <c r="S190" i="10" s="1"/>
  <c r="L288" i="6"/>
  <c r="M288" i="6" s="1"/>
  <c r="S288" i="10" s="1"/>
  <c r="L785" i="6"/>
  <c r="M785" i="6" s="1"/>
  <c r="S785" i="10" s="1"/>
  <c r="L792" i="6"/>
  <c r="M792" i="6" s="1"/>
  <c r="S792" i="10" s="1"/>
  <c r="L1149" i="6"/>
  <c r="M1149" i="6" s="1"/>
  <c r="S1149" i="10" s="1"/>
  <c r="L47" i="6"/>
  <c r="M47" i="6" s="1"/>
  <c r="S47" i="10" s="1"/>
  <c r="L124" i="6"/>
  <c r="M124" i="6" s="1"/>
  <c r="S124" i="10" s="1"/>
  <c r="L578" i="6"/>
  <c r="M578" i="6" s="1"/>
  <c r="S578" i="10" s="1"/>
  <c r="L592" i="6"/>
  <c r="M592" i="6" s="1"/>
  <c r="S592" i="10" s="1"/>
  <c r="L648" i="6"/>
  <c r="M648" i="6" s="1"/>
  <c r="S648" i="10" s="1"/>
  <c r="L1123" i="6"/>
  <c r="M1123" i="6" s="1"/>
  <c r="S1123" i="10" s="1"/>
  <c r="L1151" i="6"/>
  <c r="M1151" i="6" s="1"/>
  <c r="S1151" i="10" s="1"/>
  <c r="L754" i="6"/>
  <c r="M754" i="6" s="1"/>
  <c r="S754" i="10" s="1"/>
  <c r="L1019" i="6"/>
  <c r="M1019" i="6" s="1"/>
  <c r="S1019" i="10" s="1"/>
  <c r="L83" i="6"/>
  <c r="M83" i="6" s="1"/>
  <c r="S83" i="10" s="1"/>
  <c r="L1157" i="6"/>
  <c r="M1157" i="6" s="1"/>
  <c r="S1157" i="10" s="1"/>
  <c r="L999" i="6"/>
  <c r="M999" i="6" s="1"/>
  <c r="S999" i="10" s="1"/>
  <c r="L675" i="6"/>
  <c r="M675" i="6" s="1"/>
  <c r="S675" i="10" s="1"/>
  <c r="L1039" i="6"/>
  <c r="M1039" i="6" s="1"/>
  <c r="S1039" i="10" s="1"/>
  <c r="L55" i="6"/>
  <c r="M55" i="6" s="1"/>
  <c r="S55" i="10" s="1"/>
  <c r="L831" i="6"/>
  <c r="M831" i="6" s="1"/>
  <c r="S831" i="10" s="1"/>
  <c r="L985" i="6"/>
  <c r="M985" i="6" s="1"/>
  <c r="S985" i="10" s="1"/>
  <c r="L7" i="6"/>
  <c r="M7" i="6" s="1"/>
  <c r="S7" i="10" s="1"/>
  <c r="L21" i="6"/>
  <c r="M21" i="6" s="1"/>
  <c r="S21" i="10" s="1"/>
  <c r="L35" i="6"/>
  <c r="M35" i="6" s="1"/>
  <c r="S35" i="10" s="1"/>
  <c r="L391" i="6"/>
  <c r="M391" i="6" s="1"/>
  <c r="S391" i="10" s="1"/>
  <c r="L419" i="6"/>
  <c r="M419" i="6" s="1"/>
  <c r="S419" i="10" s="1"/>
  <c r="L433" i="6"/>
  <c r="M433" i="6" s="1"/>
  <c r="S433" i="10" s="1"/>
  <c r="L447" i="6"/>
  <c r="M447" i="6" s="1"/>
  <c r="S447" i="10" s="1"/>
  <c r="L475" i="6"/>
  <c r="M475" i="6" s="1"/>
  <c r="S475" i="10" s="1"/>
  <c r="L503" i="6"/>
  <c r="M503" i="6" s="1"/>
  <c r="S503" i="10" s="1"/>
  <c r="L531" i="6"/>
  <c r="M531" i="6" s="1"/>
  <c r="S531" i="10" s="1"/>
  <c r="L545" i="6"/>
  <c r="M545" i="6" s="1"/>
  <c r="S545" i="10" s="1"/>
  <c r="L552" i="6"/>
  <c r="M552" i="6" s="1"/>
  <c r="S552" i="10" s="1"/>
  <c r="L811" i="6"/>
  <c r="M811" i="6" s="1"/>
  <c r="S811" i="10" s="1"/>
  <c r="L322" i="6"/>
  <c r="M322" i="6" s="1"/>
  <c r="S322" i="10" s="1"/>
  <c r="L420" i="6"/>
  <c r="M420" i="6" s="1"/>
  <c r="S420" i="10" s="1"/>
  <c r="L281" i="6"/>
  <c r="M281" i="6" s="1"/>
  <c r="S281" i="10" s="1"/>
  <c r="L392" i="6"/>
  <c r="M392" i="6" s="1"/>
  <c r="S392" i="10" s="1"/>
  <c r="L144" i="6"/>
  <c r="M144" i="6" s="1"/>
  <c r="S144" i="10" s="1"/>
  <c r="L647" i="6"/>
  <c r="M647" i="6" s="1"/>
  <c r="S647" i="10" s="1"/>
  <c r="L703" i="6"/>
  <c r="M703" i="6" s="1"/>
  <c r="S703" i="10" s="1"/>
  <c r="L337" i="6"/>
  <c r="M337" i="6" s="1"/>
  <c r="S337" i="10" s="1"/>
  <c r="L379" i="6"/>
  <c r="M379" i="6" s="1"/>
  <c r="S379" i="10" s="1"/>
  <c r="L308" i="6"/>
  <c r="M308" i="6" s="1"/>
  <c r="S308" i="10" s="1"/>
  <c r="L323" i="6"/>
  <c r="M323" i="6" s="1"/>
  <c r="S323" i="10" s="1"/>
  <c r="L330" i="6"/>
  <c r="M330" i="6" s="1"/>
  <c r="S330" i="10" s="1"/>
  <c r="L351" i="6"/>
  <c r="M351" i="6" s="1"/>
  <c r="S351" i="10" s="1"/>
  <c r="L365" i="6"/>
  <c r="M365" i="6" s="1"/>
  <c r="S365" i="10" s="1"/>
  <c r="L715" i="6"/>
  <c r="M715" i="6" s="1"/>
  <c r="S715" i="10" s="1"/>
  <c r="L1169" i="6"/>
  <c r="M1169" i="6" s="1"/>
  <c r="S1169" i="10" s="1"/>
  <c r="L136" i="6"/>
  <c r="M136" i="6" s="1"/>
  <c r="S136" i="10" s="1"/>
  <c r="L751" i="6"/>
  <c r="M751" i="6" s="1"/>
  <c r="S751" i="10" s="1"/>
  <c r="L649" i="6"/>
  <c r="M649" i="6" s="1"/>
  <c r="S649" i="10" s="1"/>
  <c r="E649" i="6"/>
  <c r="E101" i="6"/>
  <c r="L101" i="6" s="1"/>
  <c r="L168" i="6"/>
  <c r="M168" i="6" s="1"/>
  <c r="S168" i="10" s="1"/>
  <c r="L320" i="6"/>
  <c r="M320" i="6" s="1"/>
  <c r="S320" i="10" s="1"/>
  <c r="L39" i="6"/>
  <c r="M39" i="6" s="1"/>
  <c r="S39" i="10" s="1"/>
  <c r="L210" i="6"/>
  <c r="M210" i="6" s="1"/>
  <c r="L376" i="6"/>
  <c r="M376" i="6" s="1"/>
  <c r="L493" i="6"/>
  <c r="M493" i="6" s="1"/>
  <c r="S493" i="10" s="1"/>
  <c r="L521" i="6"/>
  <c r="M521" i="6" s="1"/>
  <c r="S521" i="10" s="1"/>
  <c r="E666" i="6"/>
  <c r="L666" i="6" s="1"/>
  <c r="L857" i="6"/>
  <c r="M857" i="6" s="1"/>
  <c r="L871" i="6"/>
  <c r="M871" i="6" s="1"/>
  <c r="L885" i="6"/>
  <c r="M885" i="6" s="1"/>
  <c r="L1003" i="6"/>
  <c r="M1003" i="6" s="1"/>
  <c r="S1003" i="10" s="1"/>
  <c r="L60" i="6"/>
  <c r="M60" i="6" s="1"/>
  <c r="L142" i="6"/>
  <c r="M142" i="6" s="1"/>
  <c r="S142" i="10" s="1"/>
  <c r="L169" i="6"/>
  <c r="M169" i="6" s="1"/>
  <c r="L183" i="6"/>
  <c r="M183" i="6" s="1"/>
  <c r="S183" i="10" s="1"/>
  <c r="L280" i="6"/>
  <c r="M280" i="6" s="1"/>
  <c r="L307" i="6"/>
  <c r="M307" i="6" s="1"/>
  <c r="S307" i="10" s="1"/>
  <c r="L411" i="6"/>
  <c r="M411" i="6" s="1"/>
  <c r="S411" i="10" s="1"/>
  <c r="L563" i="6"/>
  <c r="M563" i="6" s="1"/>
  <c r="S563" i="10" s="1"/>
  <c r="L591" i="6"/>
  <c r="M591" i="6" s="1"/>
  <c r="S591" i="10" s="1"/>
  <c r="L721" i="6"/>
  <c r="M721" i="6" s="1"/>
  <c r="S721" i="10" s="1"/>
  <c r="L735" i="6"/>
  <c r="M735" i="6" s="1"/>
  <c r="L789" i="6"/>
  <c r="M789" i="6" s="1"/>
  <c r="S789" i="10" s="1"/>
  <c r="L913" i="6"/>
  <c r="M913" i="6" s="1"/>
  <c r="E941" i="6"/>
  <c r="L941" i="6" s="1"/>
  <c r="L1093" i="6"/>
  <c r="M1093" i="6" s="1"/>
  <c r="S1093" i="10" s="1"/>
  <c r="L128" i="6"/>
  <c r="M128" i="6" s="1"/>
  <c r="S128" i="10" s="1"/>
  <c r="E128" i="6"/>
  <c r="L141" i="6"/>
  <c r="M141" i="6" s="1"/>
  <c r="S141" i="10" s="1"/>
  <c r="L182" i="6"/>
  <c r="M182" i="6" s="1"/>
  <c r="S182" i="10" s="1"/>
  <c r="E231" i="6"/>
  <c r="L231" i="6" s="1"/>
  <c r="L279" i="6"/>
  <c r="M279" i="6" s="1"/>
  <c r="S279" i="10" s="1"/>
  <c r="L396" i="6"/>
  <c r="M396" i="6" s="1"/>
  <c r="S396" i="10" s="1"/>
  <c r="L556" i="6"/>
  <c r="M556" i="6" s="1"/>
  <c r="E556" i="6"/>
  <c r="L576" i="6"/>
  <c r="M576" i="6" s="1"/>
  <c r="L734" i="6"/>
  <c r="M734" i="6" s="1"/>
  <c r="L11" i="6"/>
  <c r="M11" i="6" s="1"/>
  <c r="L25" i="6"/>
  <c r="M25" i="6" s="1"/>
  <c r="S25" i="10" s="1"/>
  <c r="L155" i="6"/>
  <c r="M155" i="6" s="1"/>
  <c r="L196" i="6"/>
  <c r="M196" i="6" s="1"/>
  <c r="S196" i="10" s="1"/>
  <c r="L224" i="6"/>
  <c r="M224" i="6" s="1"/>
  <c r="S224" i="10" s="1"/>
  <c r="L238" i="6"/>
  <c r="M238" i="6" s="1"/>
  <c r="S238" i="10" s="1"/>
  <c r="L252" i="6"/>
  <c r="M252" i="6" s="1"/>
  <c r="S252" i="10" s="1"/>
  <c r="L266" i="6"/>
  <c r="M266" i="6" s="1"/>
  <c r="S266" i="10" s="1"/>
  <c r="E273" i="6"/>
  <c r="L273" i="6" s="1"/>
  <c r="L355" i="6"/>
  <c r="M355" i="6" s="1"/>
  <c r="S355" i="10" s="1"/>
  <c r="L383" i="6"/>
  <c r="M383" i="6" s="1"/>
  <c r="S383" i="10" s="1"/>
  <c r="L437" i="6"/>
  <c r="M437" i="6" s="1"/>
  <c r="S437" i="10" s="1"/>
  <c r="L465" i="6"/>
  <c r="M465" i="6" s="1"/>
  <c r="S465" i="10" s="1"/>
  <c r="L528" i="6"/>
  <c r="M528" i="6" s="1"/>
  <c r="S528" i="10" s="1"/>
  <c r="E612" i="6"/>
  <c r="L612" i="6" s="1"/>
  <c r="L755" i="6"/>
  <c r="M755" i="6" s="1"/>
  <c r="S755" i="10" s="1"/>
  <c r="L850" i="6"/>
  <c r="M850" i="6" s="1"/>
  <c r="S850" i="10" s="1"/>
  <c r="L899" i="6"/>
  <c r="M899" i="6" s="1"/>
  <c r="L88" i="6"/>
  <c r="M88" i="6" s="1"/>
  <c r="S88" i="10" s="1"/>
  <c r="L197" i="6"/>
  <c r="M197" i="6" s="1"/>
  <c r="S197" i="10" s="1"/>
  <c r="L211" i="6"/>
  <c r="M211" i="6" s="1"/>
  <c r="S211" i="10" s="1"/>
  <c r="L225" i="6"/>
  <c r="M225" i="6" s="1"/>
  <c r="S225" i="10" s="1"/>
  <c r="L239" i="6"/>
  <c r="M239" i="6" s="1"/>
  <c r="L253" i="6"/>
  <c r="M253" i="6" s="1"/>
  <c r="S253" i="10" s="1"/>
  <c r="L267" i="6"/>
  <c r="M267" i="6" s="1"/>
  <c r="S267" i="10" s="1"/>
  <c r="L335" i="6"/>
  <c r="M335" i="6" s="1"/>
  <c r="L363" i="6"/>
  <c r="M363" i="6" s="1"/>
  <c r="L452" i="6"/>
  <c r="M452" i="6" s="1"/>
  <c r="L459" i="6"/>
  <c r="M459" i="6" s="1"/>
  <c r="L508" i="6"/>
  <c r="M508" i="6" s="1"/>
  <c r="S508" i="10" s="1"/>
  <c r="L536" i="6"/>
  <c r="M536" i="6" s="1"/>
  <c r="L619" i="6"/>
  <c r="M619" i="6" s="1"/>
  <c r="E750" i="6"/>
  <c r="L750" i="6" s="1"/>
  <c r="L763" i="6"/>
  <c r="M763" i="6" s="1"/>
  <c r="S763" i="10" s="1"/>
  <c r="L777" i="6"/>
  <c r="M777" i="6" s="1"/>
  <c r="S777" i="10" s="1"/>
  <c r="L803" i="6"/>
  <c r="M803" i="6" s="1"/>
  <c r="L844" i="6"/>
  <c r="M844" i="6" s="1"/>
  <c r="S844" i="10" s="1"/>
  <c r="L858" i="6"/>
  <c r="M858" i="6" s="1"/>
  <c r="S858" i="10" s="1"/>
  <c r="L900" i="6"/>
  <c r="M900" i="6" s="1"/>
  <c r="L948" i="6"/>
  <c r="M948" i="6" s="1"/>
  <c r="S948" i="10" s="1"/>
  <c r="L962" i="6"/>
  <c r="M962" i="6" s="1"/>
  <c r="L990" i="6"/>
  <c r="M990" i="6" s="1"/>
  <c r="L1004" i="6"/>
  <c r="M1004" i="6" s="1"/>
  <c r="L1011" i="6"/>
  <c r="M1011" i="6" s="1"/>
  <c r="L200" i="6"/>
  <c r="M200" i="6" s="1"/>
  <c r="L167" i="6"/>
  <c r="M167" i="6" s="1"/>
  <c r="S167" i="10" s="1"/>
  <c r="L113" i="6"/>
  <c r="M113" i="6" s="1"/>
  <c r="S113" i="10" s="1"/>
  <c r="E175" i="6"/>
  <c r="L175" i="6" s="1"/>
  <c r="L195" i="6"/>
  <c r="M195" i="6" s="1"/>
  <c r="L375" i="6"/>
  <c r="M375" i="6" s="1"/>
  <c r="S375" i="10" s="1"/>
  <c r="L741" i="6"/>
  <c r="M741" i="6" s="1"/>
  <c r="S741" i="10" s="1"/>
  <c r="L815" i="6"/>
  <c r="M815" i="6" s="1"/>
  <c r="L109" i="6"/>
  <c r="M109" i="6" s="1"/>
  <c r="E109" i="6"/>
  <c r="L268" i="6"/>
  <c r="M268" i="6" s="1"/>
  <c r="E268" i="6"/>
  <c r="E688" i="6"/>
  <c r="L688" i="6" s="1"/>
  <c r="E62" i="6"/>
  <c r="L62" i="6" s="1"/>
  <c r="L116" i="6"/>
  <c r="M116" i="6" s="1"/>
  <c r="S116" i="10" s="1"/>
  <c r="L123" i="6"/>
  <c r="M123" i="6" s="1"/>
  <c r="S123" i="10" s="1"/>
  <c r="L157" i="6"/>
  <c r="M157" i="6" s="1"/>
  <c r="L198" i="6"/>
  <c r="M198" i="6" s="1"/>
  <c r="S198" i="10" s="1"/>
  <c r="L295" i="6"/>
  <c r="M295" i="6" s="1"/>
  <c r="S295" i="10" s="1"/>
  <c r="L350" i="6"/>
  <c r="M350" i="6" s="1"/>
  <c r="S350" i="10" s="1"/>
  <c r="L364" i="6"/>
  <c r="M364" i="6" s="1"/>
  <c r="L378" i="6"/>
  <c r="M378" i="6" s="1"/>
  <c r="S378" i="10" s="1"/>
  <c r="L439" i="6"/>
  <c r="M439" i="6" s="1"/>
  <c r="L495" i="6"/>
  <c r="M495" i="6" s="1"/>
  <c r="S495" i="10" s="1"/>
  <c r="E593" i="6"/>
  <c r="L593" i="6" s="1"/>
  <c r="E600" i="6"/>
  <c r="L600" i="6" s="1"/>
  <c r="L620" i="6"/>
  <c r="M620" i="6" s="1"/>
  <c r="L764" i="6"/>
  <c r="M764" i="6" s="1"/>
  <c r="S764" i="10" s="1"/>
  <c r="L825" i="6"/>
  <c r="M825" i="6" s="1"/>
  <c r="E825" i="6"/>
  <c r="L845" i="6"/>
  <c r="M845" i="6" s="1"/>
  <c r="S845" i="10" s="1"/>
  <c r="L859" i="6"/>
  <c r="M859" i="6" s="1"/>
  <c r="L873" i="6"/>
  <c r="M873" i="6" s="1"/>
  <c r="L887" i="6"/>
  <c r="M887" i="6" s="1"/>
  <c r="S887" i="10" s="1"/>
  <c r="L1040" i="6"/>
  <c r="M1040" i="6" s="1"/>
  <c r="E1040" i="6"/>
  <c r="E104" i="6"/>
  <c r="L104" i="6" s="1"/>
  <c r="L42" i="6"/>
  <c r="M42" i="6" s="1"/>
  <c r="S42" i="10" s="1"/>
  <c r="L56" i="6"/>
  <c r="M56" i="6" s="1"/>
  <c r="E77" i="6"/>
  <c r="L77" i="6" s="1"/>
  <c r="L172" i="6"/>
  <c r="M172" i="6" s="1"/>
  <c r="L179" i="6"/>
  <c r="M179" i="6" s="1"/>
  <c r="S179" i="10" s="1"/>
  <c r="L393" i="6"/>
  <c r="M393" i="6" s="1"/>
  <c r="S393" i="10" s="1"/>
  <c r="L407" i="6"/>
  <c r="M407" i="6" s="1"/>
  <c r="L421" i="6"/>
  <c r="M421" i="6" s="1"/>
  <c r="E497" i="6"/>
  <c r="L497" i="6" s="1"/>
  <c r="M497" i="6" s="1"/>
  <c r="S497" i="10" s="1"/>
  <c r="L566" i="6"/>
  <c r="M566" i="6" s="1"/>
  <c r="S566" i="10" s="1"/>
  <c r="L573" i="6"/>
  <c r="M573" i="6" s="1"/>
  <c r="S573" i="10" s="1"/>
  <c r="L580" i="6"/>
  <c r="M580" i="6" s="1"/>
  <c r="L608" i="6"/>
  <c r="M608" i="6" s="1"/>
  <c r="S608" i="10" s="1"/>
  <c r="L662" i="6"/>
  <c r="M662" i="6" s="1"/>
  <c r="S662" i="10" s="1"/>
  <c r="L752" i="6"/>
  <c r="M752" i="6" s="1"/>
  <c r="S752" i="10" s="1"/>
  <c r="E799" i="6"/>
  <c r="L799" i="6" s="1"/>
  <c r="L868" i="6"/>
  <c r="M868" i="6" s="1"/>
  <c r="E868" i="6"/>
  <c r="L923" i="6"/>
  <c r="M923" i="6" s="1"/>
  <c r="L1041" i="6"/>
  <c r="M1041" i="6" s="1"/>
  <c r="L1103" i="6"/>
  <c r="M1103" i="6" s="1"/>
  <c r="S1103" i="10" s="1"/>
  <c r="L1117" i="6"/>
  <c r="M1117" i="6" s="1"/>
  <c r="L1131" i="6"/>
  <c r="M1131" i="6" s="1"/>
  <c r="S1131" i="10" s="1"/>
  <c r="L70" i="6"/>
  <c r="M70" i="6" s="1"/>
  <c r="L84" i="6"/>
  <c r="M84" i="6" s="1"/>
  <c r="L98" i="6"/>
  <c r="M98" i="6" s="1"/>
  <c r="S98" i="10" s="1"/>
  <c r="L111" i="6"/>
  <c r="M111" i="6" s="1"/>
  <c r="S111" i="10" s="1"/>
  <c r="L228" i="6"/>
  <c r="M228" i="6" s="1"/>
  <c r="S228" i="10" s="1"/>
  <c r="L235" i="6"/>
  <c r="M235" i="6" s="1"/>
  <c r="S235" i="10" s="1"/>
  <c r="L256" i="6"/>
  <c r="M256" i="6" s="1"/>
  <c r="L338" i="6"/>
  <c r="M338" i="6" s="1"/>
  <c r="L448" i="6"/>
  <c r="M448" i="6" s="1"/>
  <c r="L476" i="6"/>
  <c r="M476" i="6" s="1"/>
  <c r="S476" i="10" s="1"/>
  <c r="L490" i="6"/>
  <c r="M490" i="6" s="1"/>
  <c r="L504" i="6"/>
  <c r="M504" i="6" s="1"/>
  <c r="S504" i="10" s="1"/>
  <c r="L532" i="6"/>
  <c r="M532" i="6" s="1"/>
  <c r="L636" i="6"/>
  <c r="M636" i="6" s="1"/>
  <c r="S636" i="10" s="1"/>
  <c r="E670" i="6"/>
  <c r="L670" i="6" s="1"/>
  <c r="E746" i="6"/>
  <c r="L746" i="6" s="1"/>
  <c r="L766" i="6"/>
  <c r="M766" i="6" s="1"/>
  <c r="S766" i="10" s="1"/>
  <c r="L875" i="6"/>
  <c r="M875" i="6" s="1"/>
  <c r="S875" i="10" s="1"/>
  <c r="L889" i="6"/>
  <c r="M889" i="6" s="1"/>
  <c r="L1049" i="6"/>
  <c r="M1049" i="6" s="1"/>
  <c r="S1049" i="10" s="1"/>
  <c r="E1049" i="6"/>
  <c r="L1083" i="6"/>
  <c r="M1083" i="6" s="1"/>
  <c r="S1083" i="10" s="1"/>
  <c r="L2" i="6"/>
  <c r="M2" i="6" s="1"/>
  <c r="E2" i="6"/>
  <c r="L43" i="6"/>
  <c r="M43" i="6" s="1"/>
  <c r="S43" i="10" s="1"/>
  <c r="L57" i="6"/>
  <c r="M57" i="6" s="1"/>
  <c r="S57" i="10" s="1"/>
  <c r="L139" i="6"/>
  <c r="M139" i="6" s="1"/>
  <c r="L180" i="6"/>
  <c r="M180" i="6" s="1"/>
  <c r="L187" i="6"/>
  <c r="M187" i="6" s="1"/>
  <c r="S187" i="10" s="1"/>
  <c r="E215" i="6"/>
  <c r="L215" i="6" s="1"/>
  <c r="L284" i="6"/>
  <c r="M284" i="6" s="1"/>
  <c r="S284" i="10" s="1"/>
  <c r="L325" i="6"/>
  <c r="M325" i="6" s="1"/>
  <c r="S325" i="10" s="1"/>
  <c r="L360" i="6"/>
  <c r="M360" i="6" s="1"/>
  <c r="S360" i="10" s="1"/>
  <c r="E360" i="6"/>
  <c r="L394" i="6"/>
  <c r="M394" i="6" s="1"/>
  <c r="L505" i="6"/>
  <c r="M505" i="6" s="1"/>
  <c r="E505" i="6"/>
  <c r="L643" i="6"/>
  <c r="M643" i="6" s="1"/>
  <c r="S643" i="10" s="1"/>
  <c r="E760" i="6"/>
  <c r="L760" i="6" s="1"/>
  <c r="L917" i="6"/>
  <c r="M917" i="6" s="1"/>
  <c r="L931" i="6"/>
  <c r="M931" i="6" s="1"/>
  <c r="S931" i="10" s="1"/>
  <c r="L1035" i="6"/>
  <c r="M1035" i="6" s="1"/>
  <c r="S1035" i="10" s="1"/>
  <c r="L1063" i="6"/>
  <c r="M1063" i="6" s="1"/>
  <c r="S1063" i="10" s="1"/>
  <c r="L1077" i="6"/>
  <c r="M1077" i="6" s="1"/>
  <c r="S1077" i="10" s="1"/>
  <c r="L1179" i="6"/>
  <c r="M1179" i="6" s="1"/>
  <c r="L9" i="6"/>
  <c r="M9" i="6" s="1"/>
  <c r="S9" i="10" s="1"/>
  <c r="L23" i="6"/>
  <c r="M23" i="6" s="1"/>
  <c r="S23" i="10" s="1"/>
  <c r="L37" i="6"/>
  <c r="M37" i="6" s="1"/>
  <c r="S37" i="10" s="1"/>
  <c r="L44" i="6"/>
  <c r="M44" i="6" s="1"/>
  <c r="E44" i="6"/>
  <c r="L65" i="6"/>
  <c r="M65" i="6" s="1"/>
  <c r="E65" i="6"/>
  <c r="L71" i="6"/>
  <c r="M71" i="6" s="1"/>
  <c r="L85" i="6"/>
  <c r="M85" i="6" s="1"/>
  <c r="S85" i="10" s="1"/>
  <c r="L99" i="6"/>
  <c r="M99" i="6" s="1"/>
  <c r="S99" i="10" s="1"/>
  <c r="L112" i="6"/>
  <c r="M112" i="6" s="1"/>
  <c r="S112" i="10" s="1"/>
  <c r="L126" i="6"/>
  <c r="M126" i="6" s="1"/>
  <c r="S126" i="10" s="1"/>
  <c r="L243" i="6"/>
  <c r="M243" i="6" s="1"/>
  <c r="S243" i="10" s="1"/>
  <c r="L264" i="6"/>
  <c r="M264" i="6" s="1"/>
  <c r="L305" i="6"/>
  <c r="M305" i="6" s="1"/>
  <c r="S305" i="10" s="1"/>
  <c r="E305" i="6"/>
  <c r="L332" i="6"/>
  <c r="M332" i="6" s="1"/>
  <c r="S332" i="10" s="1"/>
  <c r="L353" i="6"/>
  <c r="M353" i="6" s="1"/>
  <c r="E416" i="6"/>
  <c r="L416" i="6" s="1"/>
  <c r="L435" i="6"/>
  <c r="M435" i="6" s="1"/>
  <c r="L449" i="6"/>
  <c r="M449" i="6" s="1"/>
  <c r="S449" i="10" s="1"/>
  <c r="L463" i="6"/>
  <c r="M463" i="6" s="1"/>
  <c r="S463" i="10" s="1"/>
  <c r="L477" i="6"/>
  <c r="M477" i="6" s="1"/>
  <c r="S477" i="10" s="1"/>
  <c r="L491" i="6"/>
  <c r="M491" i="6" s="1"/>
  <c r="S491" i="10" s="1"/>
  <c r="L519" i="6"/>
  <c r="M519" i="6" s="1"/>
  <c r="S519" i="10" s="1"/>
  <c r="E596" i="6"/>
  <c r="L596" i="6" s="1"/>
  <c r="L807" i="6"/>
  <c r="M807" i="6" s="1"/>
  <c r="S807" i="10" s="1"/>
  <c r="L862" i="6"/>
  <c r="M862" i="6" s="1"/>
  <c r="S862" i="10" s="1"/>
  <c r="L876" i="6"/>
  <c r="M876" i="6" s="1"/>
  <c r="S876" i="10" s="1"/>
  <c r="L883" i="6"/>
  <c r="M883" i="6" s="1"/>
  <c r="L904" i="6"/>
  <c r="M904" i="6" s="1"/>
  <c r="S904" i="10" s="1"/>
  <c r="L945" i="6"/>
  <c r="M945" i="6" s="1"/>
  <c r="L959" i="6"/>
  <c r="M959" i="6" s="1"/>
  <c r="L973" i="6"/>
  <c r="M973" i="6" s="1"/>
  <c r="L1091" i="6"/>
  <c r="M1091" i="6" s="1"/>
  <c r="E1091" i="6"/>
  <c r="L319" i="6"/>
  <c r="M319" i="6" s="1"/>
  <c r="S319" i="10" s="1"/>
  <c r="E464" i="6"/>
  <c r="L464" i="6" s="1"/>
  <c r="L664" i="6"/>
  <c r="M664" i="6" s="1"/>
  <c r="L671" i="6"/>
  <c r="M671" i="6" s="1"/>
  <c r="S671" i="10" s="1"/>
  <c r="L685" i="6"/>
  <c r="M685" i="6" s="1"/>
  <c r="S685" i="10" s="1"/>
  <c r="L726" i="6"/>
  <c r="M726" i="6" s="1"/>
  <c r="L733" i="6"/>
  <c r="M733" i="6" s="1"/>
  <c r="E775" i="6"/>
  <c r="L775" i="6" s="1"/>
  <c r="L918" i="6"/>
  <c r="M918" i="6" s="1"/>
  <c r="S918" i="10" s="1"/>
  <c r="L932" i="6"/>
  <c r="M932" i="6" s="1"/>
  <c r="L1071" i="6"/>
  <c r="M1071" i="6" s="1"/>
  <c r="L1105" i="6"/>
  <c r="M1105" i="6" s="1"/>
  <c r="L1133" i="6"/>
  <c r="M1133" i="6" s="1"/>
  <c r="S1133" i="10" s="1"/>
  <c r="L127" i="6"/>
  <c r="M127" i="6" s="1"/>
  <c r="S127" i="10" s="1"/>
  <c r="L154" i="6"/>
  <c r="M154" i="6" s="1"/>
  <c r="S154" i="10" s="1"/>
  <c r="L223" i="6"/>
  <c r="M223" i="6" s="1"/>
  <c r="S223" i="10" s="1"/>
  <c r="L251" i="6"/>
  <c r="M251" i="6" s="1"/>
  <c r="S251" i="10" s="1"/>
  <c r="L340" i="6"/>
  <c r="M340" i="6" s="1"/>
  <c r="S340" i="10" s="1"/>
  <c r="L368" i="6"/>
  <c r="M368" i="6" s="1"/>
  <c r="S368" i="10" s="1"/>
  <c r="L478" i="6"/>
  <c r="M478" i="6" s="1"/>
  <c r="L506" i="6"/>
  <c r="M506" i="6" s="1"/>
  <c r="S506" i="10" s="1"/>
  <c r="L541" i="6"/>
  <c r="M541" i="6" s="1"/>
  <c r="S541" i="10" s="1"/>
  <c r="L548" i="6"/>
  <c r="M548" i="6" s="1"/>
  <c r="S548" i="10" s="1"/>
  <c r="L692" i="6"/>
  <c r="M692" i="6" s="1"/>
  <c r="L699" i="6"/>
  <c r="M699" i="6" s="1"/>
  <c r="L794" i="6"/>
  <c r="M794" i="6" s="1"/>
  <c r="L808" i="6"/>
  <c r="M808" i="6" s="1"/>
  <c r="S808" i="10" s="1"/>
  <c r="L863" i="6"/>
  <c r="M863" i="6" s="1"/>
  <c r="S863" i="10" s="1"/>
  <c r="L870" i="6"/>
  <c r="M870" i="6" s="1"/>
  <c r="S870" i="10" s="1"/>
  <c r="L884" i="6"/>
  <c r="M884" i="6" s="1"/>
  <c r="S884" i="10" s="1"/>
  <c r="L939" i="6"/>
  <c r="M939" i="6" s="1"/>
  <c r="S939" i="10" s="1"/>
  <c r="L946" i="6"/>
  <c r="M946" i="6" s="1"/>
  <c r="S946" i="10" s="1"/>
  <c r="L960" i="6"/>
  <c r="M960" i="6" s="1"/>
  <c r="S960" i="10" s="1"/>
  <c r="L1085" i="6"/>
  <c r="M1085" i="6" s="1"/>
  <c r="L748" i="6"/>
  <c r="M748" i="6" s="1"/>
  <c r="S748" i="10" s="1"/>
  <c r="L776" i="6"/>
  <c r="M776" i="6" s="1"/>
  <c r="E776" i="6"/>
  <c r="L822" i="6"/>
  <c r="M822" i="6" s="1"/>
  <c r="L829" i="6"/>
  <c r="M829" i="6" s="1"/>
  <c r="L836" i="6"/>
  <c r="M836" i="6" s="1"/>
  <c r="L926" i="6"/>
  <c r="M926" i="6" s="1"/>
  <c r="S926" i="10" s="1"/>
  <c r="E961" i="6"/>
  <c r="L961" i="6" s="1"/>
  <c r="L1113" i="6"/>
  <c r="M1113" i="6" s="1"/>
  <c r="L1141" i="6"/>
  <c r="M1141" i="6" s="1"/>
  <c r="S1141" i="10" s="1"/>
  <c r="E1161" i="6"/>
  <c r="L1161" i="6" s="1"/>
  <c r="L784" i="6"/>
  <c r="M784" i="6" s="1"/>
  <c r="E784" i="6"/>
  <c r="L199" i="6"/>
  <c r="M199" i="6" s="1"/>
  <c r="S199" i="10" s="1"/>
  <c r="E199" i="6"/>
  <c r="E269" i="6"/>
  <c r="L269" i="6" s="1"/>
  <c r="E621" i="6"/>
  <c r="L621" i="6" s="1"/>
  <c r="E635" i="6"/>
  <c r="L635" i="6" s="1"/>
  <c r="L860" i="6"/>
  <c r="M860" i="6" s="1"/>
  <c r="E860" i="6"/>
  <c r="E1082" i="6"/>
  <c r="L1082" i="6" s="1"/>
  <c r="L986" i="6"/>
  <c r="M986" i="6" s="1"/>
  <c r="L1051" i="6"/>
  <c r="M1051" i="6" s="1"/>
  <c r="S1051" i="10" s="1"/>
  <c r="L1055" i="6"/>
  <c r="M1055" i="6" s="1"/>
  <c r="S1055" i="10" s="1"/>
  <c r="L1090" i="6"/>
  <c r="M1090" i="6" s="1"/>
  <c r="L1139" i="6"/>
  <c r="M1139" i="6" s="1"/>
  <c r="S1139" i="10" s="1"/>
  <c r="L1143" i="6"/>
  <c r="M1143" i="6" s="1"/>
  <c r="S1143" i="10" s="1"/>
  <c r="L1147" i="6"/>
  <c r="M1147" i="6" s="1"/>
  <c r="S1147" i="10" s="1"/>
  <c r="L389" i="6"/>
  <c r="M389" i="6" s="1"/>
  <c r="L622" i="6"/>
  <c r="M622" i="6" s="1"/>
  <c r="S622" i="10" s="1"/>
  <c r="L630" i="6"/>
  <c r="M630" i="6" s="1"/>
  <c r="S630" i="10" s="1"/>
  <c r="L663" i="6"/>
  <c r="M663" i="6" s="1"/>
  <c r="S663" i="10" s="1"/>
  <c r="L667" i="6"/>
  <c r="M667" i="6" s="1"/>
  <c r="S667" i="10" s="1"/>
  <c r="L683" i="6"/>
  <c r="M683" i="6" s="1"/>
  <c r="S683" i="10" s="1"/>
  <c r="L696" i="6"/>
  <c r="M696" i="6" s="1"/>
  <c r="S696" i="10" s="1"/>
  <c r="L700" i="6"/>
  <c r="M700" i="6" s="1"/>
  <c r="L954" i="6"/>
  <c r="M954" i="6" s="1"/>
  <c r="S954" i="10" s="1"/>
  <c r="L1014" i="6"/>
  <c r="M1014" i="6" s="1"/>
  <c r="S1014" i="10" s="1"/>
  <c r="L1027" i="6"/>
  <c r="M1027" i="6" s="1"/>
  <c r="L1067" i="6"/>
  <c r="M1067" i="6" s="1"/>
  <c r="S1067" i="10" s="1"/>
  <c r="L1111" i="6"/>
  <c r="M1111" i="6" s="1"/>
  <c r="L512" i="6"/>
  <c r="M512" i="6" s="1"/>
  <c r="S512" i="10" s="1"/>
  <c r="L847" i="6"/>
  <c r="M847" i="6" s="1"/>
  <c r="S847" i="10" s="1"/>
  <c r="L851" i="6"/>
  <c r="M851" i="6" s="1"/>
  <c r="L1136" i="6"/>
  <c r="M1136" i="6" s="1"/>
  <c r="S1136" i="10" s="1"/>
  <c r="L1148" i="6"/>
  <c r="M1148" i="6" s="1"/>
  <c r="L274" i="6"/>
  <c r="M274" i="6" s="1"/>
  <c r="L431" i="6"/>
  <c r="M431" i="6" s="1"/>
  <c r="S431" i="10" s="1"/>
  <c r="L782" i="6"/>
  <c r="M782" i="6" s="1"/>
  <c r="L839" i="6"/>
  <c r="M839" i="6" s="1"/>
  <c r="S839" i="10" s="1"/>
  <c r="L896" i="6"/>
  <c r="M896" i="6" s="1"/>
  <c r="S896" i="10" s="1"/>
  <c r="L1076" i="6"/>
  <c r="M1076" i="6" s="1"/>
  <c r="S1076" i="10" s="1"/>
  <c r="L1168" i="6"/>
  <c r="M1168" i="6" s="1"/>
  <c r="S1168" i="10" s="1"/>
  <c r="L603" i="6"/>
  <c r="M603" i="6" s="1"/>
  <c r="S603" i="10" s="1"/>
  <c r="L747" i="6"/>
  <c r="M747" i="6" s="1"/>
  <c r="L424" i="6"/>
  <c r="M424" i="6" s="1"/>
  <c r="S424" i="10" s="1"/>
  <c r="L428" i="6"/>
  <c r="M428" i="6" s="1"/>
  <c r="S428" i="10" s="1"/>
  <c r="L816" i="6"/>
  <c r="M816" i="6" s="1"/>
  <c r="S816" i="10" s="1"/>
  <c r="L828" i="6"/>
  <c r="M828" i="6" s="1"/>
  <c r="S828" i="10" s="1"/>
  <c r="L853" i="6"/>
  <c r="M853" i="6" s="1"/>
  <c r="S853" i="10" s="1"/>
  <c r="L1005" i="6"/>
  <c r="M1005" i="6" s="1"/>
  <c r="S1005" i="10" s="1"/>
  <c r="L1009" i="6"/>
  <c r="M1009" i="6" s="1"/>
  <c r="S1009" i="10" s="1"/>
  <c r="L1142" i="6"/>
  <c r="M1142" i="6" s="1"/>
  <c r="S1142" i="10" s="1"/>
  <c r="L1177" i="6"/>
  <c r="M1177" i="6" s="1"/>
  <c r="L72" i="6"/>
  <c r="M72" i="6" s="1"/>
  <c r="S72" i="10" s="1"/>
  <c r="L80" i="6"/>
  <c r="M80" i="6" s="1"/>
  <c r="L261" i="6"/>
  <c r="M261" i="6" s="1"/>
  <c r="S261" i="10" s="1"/>
  <c r="L289" i="6"/>
  <c r="M289" i="6" s="1"/>
  <c r="S289" i="10" s="1"/>
  <c r="L293" i="6"/>
  <c r="M293" i="6" s="1"/>
  <c r="S293" i="10" s="1"/>
  <c r="L317" i="6"/>
  <c r="M317" i="6" s="1"/>
  <c r="S317" i="10" s="1"/>
  <c r="L357" i="6"/>
  <c r="M357" i="6" s="1"/>
  <c r="L461" i="6"/>
  <c r="M461" i="6" s="1"/>
  <c r="L534" i="6"/>
  <c r="M534" i="6" s="1"/>
  <c r="S534" i="10" s="1"/>
  <c r="L539" i="6"/>
  <c r="M539" i="6" s="1"/>
  <c r="L731" i="6"/>
  <c r="M731" i="6" s="1"/>
  <c r="L976" i="6"/>
  <c r="M976" i="6" s="1"/>
  <c r="S976" i="10" s="1"/>
  <c r="L988" i="6"/>
  <c r="M988" i="6" s="1"/>
  <c r="S988" i="10" s="1"/>
  <c r="L1012" i="6"/>
  <c r="M1012" i="6" s="1"/>
  <c r="L1020" i="6"/>
  <c r="M1020" i="6" s="1"/>
  <c r="S1020" i="10" s="1"/>
  <c r="L1029" i="6"/>
  <c r="M1029" i="6" s="1"/>
  <c r="S1029" i="10" s="1"/>
  <c r="L1092" i="6"/>
  <c r="M1092" i="6" s="1"/>
  <c r="S1092" i="10" s="1"/>
  <c r="L1104" i="6"/>
  <c r="M1104" i="6" s="1"/>
  <c r="G532" i="10"/>
  <c r="L236" i="6"/>
  <c r="M236" i="6" s="1"/>
  <c r="S236" i="10" s="1"/>
  <c r="AB53" i="10"/>
  <c r="L49" i="6"/>
  <c r="M49" i="6" s="1"/>
  <c r="S49" i="10" s="1"/>
  <c r="L61" i="6"/>
  <c r="M61" i="6" s="1"/>
  <c r="S61" i="10" s="1"/>
  <c r="L145" i="6"/>
  <c r="M145" i="6" s="1"/>
  <c r="L450" i="6"/>
  <c r="M450" i="6" s="1"/>
  <c r="L605" i="6"/>
  <c r="M605" i="6" s="1"/>
  <c r="L772" i="6"/>
  <c r="M772" i="6" s="1"/>
  <c r="S772" i="10" s="1"/>
  <c r="L930" i="6"/>
  <c r="M930" i="6" s="1"/>
  <c r="L1013" i="6"/>
  <c r="M1013" i="6" s="1"/>
  <c r="S1013" i="10" s="1"/>
  <c r="L1017" i="6"/>
  <c r="M1017" i="6" s="1"/>
  <c r="L1026" i="6"/>
  <c r="M1026" i="6" s="1"/>
  <c r="L1030" i="6"/>
  <c r="M1030" i="6" s="1"/>
  <c r="L1118" i="6"/>
  <c r="M1118" i="6" s="1"/>
  <c r="L1146" i="6"/>
  <c r="M1146" i="6" s="1"/>
  <c r="S1146" i="10" s="1"/>
  <c r="L1150" i="6"/>
  <c r="M1150" i="6" s="1"/>
  <c r="S1150" i="10" s="1"/>
  <c r="L1158" i="6"/>
  <c r="M1158" i="6" s="1"/>
  <c r="S1158" i="10" s="1"/>
  <c r="W1189" i="10" a="1"/>
  <c r="W1189" i="10" s="1"/>
  <c r="L73" i="6"/>
  <c r="M73" i="6" s="1"/>
  <c r="S73" i="10" s="1"/>
  <c r="L100" i="6"/>
  <c r="M100" i="6" s="1"/>
  <c r="S100" i="10" s="1"/>
  <c r="L131" i="6"/>
  <c r="M131" i="6" s="1"/>
  <c r="S131" i="10" s="1"/>
  <c r="L135" i="6"/>
  <c r="M135" i="6" s="1"/>
  <c r="S135" i="10" s="1"/>
  <c r="L159" i="6"/>
  <c r="M159" i="6" s="1"/>
  <c r="L255" i="6"/>
  <c r="M255" i="6" s="1"/>
  <c r="S255" i="10" s="1"/>
  <c r="L259" i="6"/>
  <c r="M259" i="6" s="1"/>
  <c r="N270" i="6"/>
  <c r="T270" i="10" s="1"/>
  <c r="L361" i="6"/>
  <c r="M361" i="6" s="1"/>
  <c r="L529" i="6"/>
  <c r="M529" i="6" s="1"/>
  <c r="L597" i="6"/>
  <c r="M597" i="6" s="1"/>
  <c r="S597" i="10" s="1"/>
  <c r="L601" i="6"/>
  <c r="M601" i="6" s="1"/>
  <c r="S601" i="10" s="1"/>
  <c r="L687" i="6"/>
  <c r="M687" i="6" s="1"/>
  <c r="L719" i="6"/>
  <c r="M719" i="6" s="1"/>
  <c r="S719" i="10" s="1"/>
  <c r="L723" i="6"/>
  <c r="M723" i="6" s="1"/>
  <c r="L727" i="6"/>
  <c r="M727" i="6" s="1"/>
  <c r="S727" i="10" s="1"/>
  <c r="L804" i="6"/>
  <c r="M804" i="6" s="1"/>
  <c r="S804" i="10" s="1"/>
  <c r="L852" i="6"/>
  <c r="M852" i="6" s="1"/>
  <c r="L879" i="6"/>
  <c r="M879" i="6" s="1"/>
  <c r="L998" i="6"/>
  <c r="M998" i="6" s="1"/>
  <c r="S998" i="10" s="1"/>
  <c r="L1002" i="6"/>
  <c r="M1002" i="6" s="1"/>
  <c r="S1002" i="10" s="1"/>
  <c r="L1089" i="6"/>
  <c r="M1089" i="6" s="1"/>
  <c r="S1089" i="10" s="1"/>
  <c r="L1129" i="6"/>
  <c r="M1129" i="6" s="1"/>
  <c r="S1129" i="10" s="1"/>
  <c r="L1176" i="6"/>
  <c r="M1176" i="6" s="1"/>
  <c r="S1176" i="10" s="1"/>
  <c r="AB4" i="10"/>
  <c r="AB59" i="10"/>
  <c r="AB317" i="10"/>
  <c r="L5" i="6"/>
  <c r="M5" i="6" s="1"/>
  <c r="S5" i="10" s="1"/>
  <c r="L13" i="6"/>
  <c r="M13" i="6" s="1"/>
  <c r="L58" i="6"/>
  <c r="M58" i="6" s="1"/>
  <c r="L369" i="6"/>
  <c r="M369" i="6" s="1"/>
  <c r="L494" i="6"/>
  <c r="M494" i="6" s="1"/>
  <c r="S494" i="10" s="1"/>
  <c r="L498" i="6"/>
  <c r="M498" i="6" s="1"/>
  <c r="S498" i="10" s="1"/>
  <c r="L618" i="6"/>
  <c r="M618" i="6" s="1"/>
  <c r="S618" i="10" s="1"/>
  <c r="L651" i="6"/>
  <c r="M651" i="6" s="1"/>
  <c r="S651" i="10" s="1"/>
  <c r="L655" i="6"/>
  <c r="M655" i="6" s="1"/>
  <c r="S655" i="10" s="1"/>
  <c r="L659" i="6"/>
  <c r="M659" i="6" s="1"/>
  <c r="S659" i="10" s="1"/>
  <c r="L708" i="6"/>
  <c r="M708" i="6" s="1"/>
  <c r="S708" i="10" s="1"/>
  <c r="L732" i="6"/>
  <c r="M732" i="6" s="1"/>
  <c r="L800" i="6"/>
  <c r="M800" i="6" s="1"/>
  <c r="S800" i="10" s="1"/>
  <c r="L812" i="6"/>
  <c r="M812" i="6" s="1"/>
  <c r="S812" i="10" s="1"/>
  <c r="L832" i="6"/>
  <c r="M832" i="6" s="1"/>
  <c r="S832" i="10" s="1"/>
  <c r="L888" i="6"/>
  <c r="M888" i="6" s="1"/>
  <c r="L919" i="6"/>
  <c r="M919" i="6" s="1"/>
  <c r="S919" i="10" s="1"/>
  <c r="L943" i="6"/>
  <c r="M943" i="6" s="1"/>
  <c r="L1031" i="6"/>
  <c r="M1031" i="6" s="1"/>
  <c r="L1078" i="6"/>
  <c r="M1078" i="6" s="1"/>
  <c r="S1078" i="10" s="1"/>
  <c r="L1101" i="6"/>
  <c r="M1101" i="6" s="1"/>
  <c r="S1101" i="10" s="1"/>
  <c r="AB18" i="10"/>
  <c r="AB46" i="10"/>
  <c r="L156" i="6"/>
  <c r="M156" i="6" s="1"/>
  <c r="S156" i="10" s="1"/>
  <c r="L177" i="6"/>
  <c r="M177" i="6" s="1"/>
  <c r="S177" i="10" s="1"/>
  <c r="L233" i="6"/>
  <c r="M233" i="6" s="1"/>
  <c r="L299" i="6"/>
  <c r="M299" i="6" s="1"/>
  <c r="S299" i="10" s="1"/>
  <c r="L326" i="6"/>
  <c r="M326" i="6" s="1"/>
  <c r="L362" i="6"/>
  <c r="M362" i="6" s="1"/>
  <c r="S362" i="10" s="1"/>
  <c r="L558" i="6"/>
  <c r="M558" i="6" s="1"/>
  <c r="S558" i="10" s="1"/>
  <c r="L562" i="6"/>
  <c r="M562" i="6" s="1"/>
  <c r="L594" i="6"/>
  <c r="M594" i="6" s="1"/>
  <c r="L668" i="6"/>
  <c r="M668" i="6" s="1"/>
  <c r="L761" i="6"/>
  <c r="M761" i="6" s="1"/>
  <c r="S761" i="10" s="1"/>
  <c r="L820" i="6"/>
  <c r="M820" i="6" s="1"/>
  <c r="L849" i="6"/>
  <c r="M849" i="6" s="1"/>
  <c r="AB38" i="10"/>
  <c r="L51" i="6"/>
  <c r="M51" i="6" s="1"/>
  <c r="L59" i="6"/>
  <c r="M59" i="6" s="1"/>
  <c r="S59" i="10" s="1"/>
  <c r="L121" i="6"/>
  <c r="M121" i="6" s="1"/>
  <c r="S121" i="10" s="1"/>
  <c r="L193" i="6"/>
  <c r="M193" i="6" s="1"/>
  <c r="L303" i="6"/>
  <c r="M303" i="6" s="1"/>
  <c r="L311" i="6"/>
  <c r="M311" i="6" s="1"/>
  <c r="S311" i="10" s="1"/>
  <c r="L354" i="6"/>
  <c r="M354" i="6" s="1"/>
  <c r="L370" i="6"/>
  <c r="M370" i="6" s="1"/>
  <c r="S370" i="10" s="1"/>
  <c r="L522" i="6"/>
  <c r="M522" i="6" s="1"/>
  <c r="L590" i="6"/>
  <c r="M590" i="6" s="1"/>
  <c r="S590" i="10" s="1"/>
  <c r="L623" i="6"/>
  <c r="M623" i="6" s="1"/>
  <c r="L627" i="6"/>
  <c r="M627" i="6" s="1"/>
  <c r="L652" i="6"/>
  <c r="M652" i="6" s="1"/>
  <c r="S652" i="10" s="1"/>
  <c r="L656" i="6"/>
  <c r="M656" i="6" s="1"/>
  <c r="L753" i="6"/>
  <c r="M753" i="6" s="1"/>
  <c r="L809" i="6"/>
  <c r="M809" i="6" s="1"/>
  <c r="S809" i="10" s="1"/>
  <c r="L813" i="6"/>
  <c r="M813" i="6" s="1"/>
  <c r="S813" i="10" s="1"/>
  <c r="L817" i="6"/>
  <c r="M817" i="6" s="1"/>
  <c r="S817" i="10" s="1"/>
  <c r="L869" i="6"/>
  <c r="M869" i="6" s="1"/>
  <c r="S869" i="10" s="1"/>
  <c r="L908" i="6"/>
  <c r="M908" i="6" s="1"/>
  <c r="L975" i="6"/>
  <c r="M975" i="6" s="1"/>
  <c r="S975" i="10" s="1"/>
  <c r="L995" i="6"/>
  <c r="M995" i="6" s="1"/>
  <c r="L1079" i="6"/>
  <c r="M1079" i="6" s="1"/>
  <c r="L1094" i="6"/>
  <c r="M1094" i="6" s="1"/>
  <c r="L1106" i="6"/>
  <c r="M1106" i="6" s="1"/>
  <c r="S1106" i="10" s="1"/>
  <c r="AB19" i="10"/>
  <c r="AB33" i="10"/>
  <c r="AB49" i="10"/>
  <c r="AB57" i="10"/>
  <c r="AB181" i="10"/>
  <c r="L426" i="6"/>
  <c r="M426" i="6" s="1"/>
  <c r="L434" i="6"/>
  <c r="M434" i="6" s="1"/>
  <c r="L438" i="6"/>
  <c r="M438" i="6" s="1"/>
  <c r="S438" i="10" s="1"/>
  <c r="L442" i="6"/>
  <c r="M442" i="6" s="1"/>
  <c r="S442" i="10" s="1"/>
  <c r="L462" i="6"/>
  <c r="M462" i="6" s="1"/>
  <c r="L466" i="6"/>
  <c r="M466" i="6" s="1"/>
  <c r="S466" i="10" s="1"/>
  <c r="L607" i="6"/>
  <c r="M607" i="6" s="1"/>
  <c r="S607" i="10" s="1"/>
  <c r="L611" i="6"/>
  <c r="M611" i="6" s="1"/>
  <c r="L644" i="6"/>
  <c r="M644" i="6" s="1"/>
  <c r="S644" i="10" s="1"/>
  <c r="L693" i="6"/>
  <c r="M693" i="6" s="1"/>
  <c r="L713" i="6"/>
  <c r="M713" i="6" s="1"/>
  <c r="S713" i="10" s="1"/>
  <c r="L940" i="6"/>
  <c r="M940" i="6" s="1"/>
  <c r="S940" i="10" s="1"/>
  <c r="L1028" i="6"/>
  <c r="M1028" i="6" s="1"/>
  <c r="S1028" i="10" s="1"/>
  <c r="L1170" i="6"/>
  <c r="M1170" i="6" s="1"/>
  <c r="S1170" i="10" s="1"/>
  <c r="AB52" i="10"/>
  <c r="AB71" i="10"/>
  <c r="L64" i="6"/>
  <c r="M64" i="6" s="1"/>
  <c r="S64" i="10" s="1"/>
  <c r="L149" i="6"/>
  <c r="M149" i="6" s="1"/>
  <c r="S149" i="10" s="1"/>
  <c r="L153" i="6"/>
  <c r="M153" i="6" s="1"/>
  <c r="S153" i="10" s="1"/>
  <c r="L174" i="6"/>
  <c r="M174" i="6" s="1"/>
  <c r="L230" i="6"/>
  <c r="M230" i="6" s="1"/>
  <c r="S230" i="10" s="1"/>
  <c r="L296" i="6"/>
  <c r="M296" i="6" s="1"/>
  <c r="L304" i="6"/>
  <c r="M304" i="6" s="1"/>
  <c r="S304" i="10" s="1"/>
  <c r="L312" i="6"/>
  <c r="M312" i="6" s="1"/>
  <c r="S312" i="10" s="1"/>
  <c r="L339" i="6"/>
  <c r="M339" i="6" s="1"/>
  <c r="L511" i="6"/>
  <c r="M511" i="6" s="1"/>
  <c r="S511" i="10" s="1"/>
  <c r="L515" i="6"/>
  <c r="M515" i="6" s="1"/>
  <c r="S515" i="10" s="1"/>
  <c r="L555" i="6"/>
  <c r="M555" i="6" s="1"/>
  <c r="S555" i="10" s="1"/>
  <c r="L575" i="6"/>
  <c r="M575" i="6" s="1"/>
  <c r="S575" i="10" s="1"/>
  <c r="L595" i="6"/>
  <c r="M595" i="6" s="1"/>
  <c r="S595" i="10" s="1"/>
  <c r="L599" i="6"/>
  <c r="M599" i="6" s="1"/>
  <c r="S599" i="10" s="1"/>
  <c r="L624" i="6"/>
  <c r="M624" i="6" s="1"/>
  <c r="L628" i="6"/>
  <c r="M628" i="6" s="1"/>
  <c r="L653" i="6"/>
  <c r="M653" i="6" s="1"/>
  <c r="S653" i="10" s="1"/>
  <c r="L661" i="6"/>
  <c r="M661" i="6" s="1"/>
  <c r="L972" i="6"/>
  <c r="M972" i="6" s="1"/>
  <c r="L1048" i="6"/>
  <c r="M1048" i="6" s="1"/>
  <c r="S1048" i="10" s="1"/>
  <c r="AB28" i="10"/>
  <c r="AB224" i="10"/>
  <c r="G423" i="10"/>
  <c r="AB69" i="10"/>
  <c r="AB92" i="10"/>
  <c r="AB135" i="10"/>
  <c r="AB213" i="10"/>
  <c r="L285" i="6"/>
  <c r="M285" i="6" s="1"/>
  <c r="S285" i="10" s="1"/>
  <c r="L399" i="6"/>
  <c r="M399" i="6" s="1"/>
  <c r="L403" i="6"/>
  <c r="M403" i="6" s="1"/>
  <c r="S403" i="10" s="1"/>
  <c r="L423" i="6"/>
  <c r="M423" i="6" s="1"/>
  <c r="L604" i="6"/>
  <c r="M604" i="6" s="1"/>
  <c r="L730" i="6"/>
  <c r="M730" i="6" s="1"/>
  <c r="L786" i="6"/>
  <c r="M786" i="6" s="1"/>
  <c r="S786" i="10" s="1"/>
  <c r="L826" i="6"/>
  <c r="M826" i="6" s="1"/>
  <c r="S826" i="10" s="1"/>
  <c r="L838" i="6"/>
  <c r="M838" i="6" s="1"/>
  <c r="S838" i="10" s="1"/>
  <c r="L957" i="6"/>
  <c r="M957" i="6" s="1"/>
  <c r="L1016" i="6"/>
  <c r="M1016" i="6" s="1"/>
  <c r="L1061" i="6"/>
  <c r="M1061" i="6" s="1"/>
  <c r="S1061" i="10" s="1"/>
  <c r="L1120" i="6"/>
  <c r="M1120" i="6" s="1"/>
  <c r="S1120" i="10" s="1"/>
  <c r="L1124" i="6"/>
  <c r="M1124" i="6" s="1"/>
  <c r="L1171" i="6"/>
  <c r="M1171" i="6" s="1"/>
  <c r="S1171" i="10" s="1"/>
  <c r="L1191" i="6"/>
  <c r="M1191" i="6" s="1"/>
  <c r="AB95" i="10"/>
  <c r="N493" i="6"/>
  <c r="T493" i="10" s="1"/>
  <c r="AQ493" i="10" s="1"/>
  <c r="AB432" i="10"/>
  <c r="L152" i="6"/>
  <c r="M152" i="6" s="1"/>
  <c r="S152" i="10" s="1"/>
  <c r="L165" i="6"/>
  <c r="M165" i="6" s="1"/>
  <c r="S165" i="10" s="1"/>
  <c r="L184" i="6"/>
  <c r="M184" i="6" s="1"/>
  <c r="S184" i="10" s="1"/>
  <c r="L203" i="6"/>
  <c r="M203" i="6" s="1"/>
  <c r="S203" i="10" s="1"/>
  <c r="L242" i="6"/>
  <c r="M242" i="6" s="1"/>
  <c r="L277" i="6"/>
  <c r="M277" i="6" s="1"/>
  <c r="S277" i="10" s="1"/>
  <c r="L398" i="6"/>
  <c r="M398" i="6" s="1"/>
  <c r="S398" i="10" s="1"/>
  <c r="L410" i="6"/>
  <c r="M410" i="6" s="1"/>
  <c r="S410" i="10" s="1"/>
  <c r="L445" i="6"/>
  <c r="M445" i="6" s="1"/>
  <c r="L469" i="6"/>
  <c r="M469" i="6" s="1"/>
  <c r="L485" i="6"/>
  <c r="M485" i="6" s="1"/>
  <c r="S485" i="10" s="1"/>
  <c r="L489" i="6"/>
  <c r="M489" i="6" s="1"/>
  <c r="S489" i="10" s="1"/>
  <c r="L500" i="6"/>
  <c r="M500" i="6" s="1"/>
  <c r="L574" i="6"/>
  <c r="M574" i="6" s="1"/>
  <c r="S574" i="10" s="1"/>
  <c r="L674" i="6"/>
  <c r="M674" i="6" s="1"/>
  <c r="S674" i="10" s="1"/>
  <c r="L695" i="6"/>
  <c r="M695" i="6" s="1"/>
  <c r="S695" i="10" s="1"/>
  <c r="L738" i="6"/>
  <c r="M738" i="6" s="1"/>
  <c r="L770" i="6"/>
  <c r="M770" i="6" s="1"/>
  <c r="L774" i="6"/>
  <c r="M774" i="6" s="1"/>
  <c r="L802" i="6"/>
  <c r="M802" i="6" s="1"/>
  <c r="S802" i="10" s="1"/>
  <c r="L824" i="6"/>
  <c r="M824" i="6" s="1"/>
  <c r="S824" i="10" s="1"/>
  <c r="L872" i="6"/>
  <c r="M872" i="6" s="1"/>
  <c r="L925" i="6"/>
  <c r="M925" i="6" s="1"/>
  <c r="L929" i="6"/>
  <c r="M929" i="6" s="1"/>
  <c r="S929" i="10" s="1"/>
  <c r="L963" i="6"/>
  <c r="M963" i="6" s="1"/>
  <c r="L967" i="6"/>
  <c r="M967" i="6" s="1"/>
  <c r="L979" i="6"/>
  <c r="M979" i="6" s="1"/>
  <c r="L991" i="6"/>
  <c r="M991" i="6" s="1"/>
  <c r="L1070" i="6"/>
  <c r="M1070" i="6" s="1"/>
  <c r="S1070" i="10" s="1"/>
  <c r="L1132" i="6"/>
  <c r="M1132" i="6" s="1"/>
  <c r="S1132" i="10" s="1"/>
  <c r="L1187" i="6"/>
  <c r="M1187" i="6" s="1"/>
  <c r="S1187" i="10" s="1"/>
  <c r="AB22" i="10"/>
  <c r="AB41" i="10"/>
  <c r="AB54" i="10"/>
  <c r="AB84" i="10"/>
  <c r="AB331" i="10"/>
  <c r="AB345" i="10"/>
  <c r="N433" i="6"/>
  <c r="T433" i="10" s="1"/>
  <c r="L542" i="6"/>
  <c r="M542" i="6" s="1"/>
  <c r="L550" i="6"/>
  <c r="M550" i="6" s="1"/>
  <c r="AB76" i="10"/>
  <c r="AB144" i="10"/>
  <c r="AB256" i="10"/>
  <c r="L96" i="6"/>
  <c r="M96" i="6" s="1"/>
  <c r="L626" i="6"/>
  <c r="M626" i="6" s="1"/>
  <c r="S626" i="10" s="1"/>
  <c r="L204" i="6"/>
  <c r="M204" i="6" s="1"/>
  <c r="S204" i="10" s="1"/>
  <c r="L216" i="6"/>
  <c r="M216" i="6" s="1"/>
  <c r="S216" i="10" s="1"/>
  <c r="L220" i="6"/>
  <c r="M220" i="6" s="1"/>
  <c r="S220" i="10" s="1"/>
  <c r="L247" i="6"/>
  <c r="M247" i="6" s="1"/>
  <c r="S247" i="10" s="1"/>
  <c r="L263" i="6"/>
  <c r="M263" i="6" s="1"/>
  <c r="S263" i="10" s="1"/>
  <c r="L454" i="6"/>
  <c r="M454" i="6" s="1"/>
  <c r="S454" i="10" s="1"/>
  <c r="L520" i="6"/>
  <c r="M520" i="6" s="1"/>
  <c r="S520" i="10" s="1"/>
  <c r="L543" i="6"/>
  <c r="M543" i="6" s="1"/>
  <c r="S543" i="10" s="1"/>
  <c r="L547" i="6"/>
  <c r="M547" i="6" s="1"/>
  <c r="L571" i="6"/>
  <c r="M571" i="6" s="1"/>
  <c r="S571" i="10" s="1"/>
  <c r="L598" i="6"/>
  <c r="M598" i="6" s="1"/>
  <c r="S598" i="10" s="1"/>
  <c r="L606" i="6"/>
  <c r="M606" i="6" s="1"/>
  <c r="S606" i="10" s="1"/>
  <c r="L615" i="6"/>
  <c r="M615" i="6" s="1"/>
  <c r="S615" i="10" s="1"/>
  <c r="L631" i="6"/>
  <c r="M631" i="6" s="1"/>
  <c r="L767" i="6"/>
  <c r="M767" i="6" s="1"/>
  <c r="S767" i="10" s="1"/>
  <c r="L771" i="6"/>
  <c r="M771" i="6" s="1"/>
  <c r="S771" i="10" s="1"/>
  <c r="L779" i="6"/>
  <c r="M779" i="6" s="1"/>
  <c r="S779" i="10" s="1"/>
  <c r="L903" i="6"/>
  <c r="M903" i="6" s="1"/>
  <c r="S903" i="10" s="1"/>
  <c r="L911" i="6"/>
  <c r="M911" i="6" s="1"/>
  <c r="L915" i="6"/>
  <c r="M915" i="6" s="1"/>
  <c r="L949" i="6"/>
  <c r="M949" i="6" s="1"/>
  <c r="L953" i="6"/>
  <c r="M953" i="6" s="1"/>
  <c r="L968" i="6"/>
  <c r="M968" i="6" s="1"/>
  <c r="L992" i="6"/>
  <c r="M992" i="6" s="1"/>
  <c r="S992" i="10" s="1"/>
  <c r="L1033" i="6"/>
  <c r="M1033" i="6" s="1"/>
  <c r="L1043" i="6"/>
  <c r="M1043" i="6" s="1"/>
  <c r="S1043" i="10" s="1"/>
  <c r="L1056" i="6"/>
  <c r="M1056" i="6" s="1"/>
  <c r="L1060" i="6"/>
  <c r="M1060" i="6" s="1"/>
  <c r="S1060" i="10" s="1"/>
  <c r="AB133" i="10"/>
  <c r="L140" i="6"/>
  <c r="M140" i="6" s="1"/>
  <c r="S140" i="10" s="1"/>
  <c r="L201" i="6"/>
  <c r="M201" i="6" s="1"/>
  <c r="S201" i="10" s="1"/>
  <c r="L385" i="6"/>
  <c r="M385" i="6" s="1"/>
  <c r="S385" i="10" s="1"/>
  <c r="L400" i="6"/>
  <c r="M400" i="6" s="1"/>
  <c r="S400" i="10" s="1"/>
  <c r="L443" i="6"/>
  <c r="M443" i="6" s="1"/>
  <c r="L455" i="6"/>
  <c r="M455" i="6" s="1"/>
  <c r="S455" i="10" s="1"/>
  <c r="L471" i="6"/>
  <c r="M471" i="6" s="1"/>
  <c r="L525" i="6"/>
  <c r="M525" i="6" s="1"/>
  <c r="S525" i="10" s="1"/>
  <c r="L544" i="6"/>
  <c r="M544" i="6" s="1"/>
  <c r="S544" i="10" s="1"/>
  <c r="L572" i="6"/>
  <c r="M572" i="6" s="1"/>
  <c r="S572" i="10" s="1"/>
  <c r="L584" i="6"/>
  <c r="M584" i="6" s="1"/>
  <c r="S584" i="10" s="1"/>
  <c r="L701" i="6"/>
  <c r="M701" i="6" s="1"/>
  <c r="L705" i="6"/>
  <c r="M705" i="6" s="1"/>
  <c r="S705" i="10" s="1"/>
  <c r="L724" i="6"/>
  <c r="M724" i="6" s="1"/>
  <c r="L744" i="6"/>
  <c r="M744" i="6" s="1"/>
  <c r="S744" i="10" s="1"/>
  <c r="L912" i="6"/>
  <c r="M912" i="6" s="1"/>
  <c r="S912" i="10" s="1"/>
  <c r="L950" i="6"/>
  <c r="M950" i="6" s="1"/>
  <c r="S950" i="10" s="1"/>
  <c r="L958" i="6"/>
  <c r="M958" i="6" s="1"/>
  <c r="S958" i="10" s="1"/>
  <c r="L965" i="6"/>
  <c r="M965" i="6" s="1"/>
  <c r="L969" i="6"/>
  <c r="M969" i="6" s="1"/>
  <c r="L981" i="6"/>
  <c r="M981" i="6" s="1"/>
  <c r="L1115" i="6"/>
  <c r="M1115" i="6" s="1"/>
  <c r="S1115" i="10" s="1"/>
  <c r="L1181" i="6"/>
  <c r="M1181" i="6" s="1"/>
  <c r="L1185" i="6"/>
  <c r="M1185" i="6" s="1"/>
  <c r="S1185" i="10" s="1"/>
  <c r="L1189" i="6"/>
  <c r="M1189" i="6" s="1"/>
  <c r="S1189" i="10" s="1"/>
  <c r="AB7" i="10"/>
  <c r="AB58" i="10"/>
  <c r="AB88" i="10"/>
  <c r="L336" i="6"/>
  <c r="M336" i="6" s="1"/>
  <c r="S336" i="10" s="1"/>
  <c r="AB208" i="10"/>
  <c r="L404" i="6"/>
  <c r="M404" i="6" s="1"/>
  <c r="S404" i="10" s="1"/>
  <c r="AB2" i="10"/>
  <c r="AB114" i="10"/>
  <c r="AB194" i="10"/>
  <c r="N105" i="6"/>
  <c r="T105" i="10" s="1"/>
  <c r="AR105" i="10" s="1"/>
  <c r="AB16" i="10"/>
  <c r="AB48" i="10"/>
  <c r="AB80" i="10"/>
  <c r="N213" i="6"/>
  <c r="T213" i="10" s="1"/>
  <c r="AR213" i="10" s="1"/>
  <c r="L237" i="6"/>
  <c r="M237" i="6" s="1"/>
  <c r="S237" i="10" s="1"/>
  <c r="L409" i="6"/>
  <c r="M409" i="6" s="1"/>
  <c r="S409" i="10" s="1"/>
  <c r="L472" i="6"/>
  <c r="M472" i="6" s="1"/>
  <c r="S472" i="10" s="1"/>
  <c r="L510" i="6"/>
  <c r="M510" i="6" s="1"/>
  <c r="S510" i="10" s="1"/>
  <c r="L518" i="6"/>
  <c r="M518" i="6" s="1"/>
  <c r="L533" i="6"/>
  <c r="M533" i="6" s="1"/>
  <c r="L537" i="6"/>
  <c r="M537" i="6" s="1"/>
  <c r="S537" i="10" s="1"/>
  <c r="L549" i="6"/>
  <c r="M549" i="6" s="1"/>
  <c r="L557" i="6"/>
  <c r="M557" i="6" s="1"/>
  <c r="L561" i="6"/>
  <c r="M561" i="6" s="1"/>
  <c r="S561" i="10" s="1"/>
  <c r="L565" i="6"/>
  <c r="M565" i="6" s="1"/>
  <c r="L569" i="6"/>
  <c r="M569" i="6" s="1"/>
  <c r="L637" i="6"/>
  <c r="M637" i="6" s="1"/>
  <c r="S637" i="10" s="1"/>
  <c r="L641" i="6"/>
  <c r="M641" i="6" s="1"/>
  <c r="L673" i="6"/>
  <c r="M673" i="6" s="1"/>
  <c r="S673" i="10" s="1"/>
  <c r="L677" i="6"/>
  <c r="M677" i="6" s="1"/>
  <c r="S677" i="10" s="1"/>
  <c r="L698" i="6"/>
  <c r="M698" i="6" s="1"/>
  <c r="S698" i="10" s="1"/>
  <c r="L702" i="6"/>
  <c r="M702" i="6" s="1"/>
  <c r="L706" i="6"/>
  <c r="M706" i="6" s="1"/>
  <c r="S706" i="10" s="1"/>
  <c r="L717" i="6"/>
  <c r="M717" i="6" s="1"/>
  <c r="L725" i="6"/>
  <c r="M725" i="6" s="1"/>
  <c r="L729" i="6"/>
  <c r="M729" i="6" s="1"/>
  <c r="S729" i="10" s="1"/>
  <c r="L745" i="6"/>
  <c r="M745" i="6" s="1"/>
  <c r="L749" i="6"/>
  <c r="M749" i="6" s="1"/>
  <c r="S749" i="10" s="1"/>
  <c r="L765" i="6"/>
  <c r="M765" i="6" s="1"/>
  <c r="L805" i="6"/>
  <c r="M805" i="6" s="1"/>
  <c r="L856" i="6"/>
  <c r="M856" i="6" s="1"/>
  <c r="S856" i="10" s="1"/>
  <c r="L901" i="6"/>
  <c r="M901" i="6" s="1"/>
  <c r="L1069" i="6"/>
  <c r="M1069" i="6" s="1"/>
  <c r="S1069" i="10" s="1"/>
  <c r="L1084" i="6"/>
  <c r="M1084" i="6" s="1"/>
  <c r="L1095" i="6"/>
  <c r="M1095" i="6" s="1"/>
  <c r="S1095" i="10" s="1"/>
  <c r="L1135" i="6"/>
  <c r="M1135" i="6" s="1"/>
  <c r="S1135" i="10" s="1"/>
  <c r="L1155" i="6"/>
  <c r="M1155" i="6" s="1"/>
  <c r="S1155" i="10" s="1"/>
  <c r="L1159" i="6"/>
  <c r="M1159" i="6" s="1"/>
  <c r="L1163" i="6"/>
  <c r="M1163" i="6" s="1"/>
  <c r="S1163" i="10" s="1"/>
  <c r="L1190" i="6"/>
  <c r="M1190" i="6" s="1"/>
  <c r="S1190" i="10" s="1"/>
  <c r="L1194" i="6"/>
  <c r="M1194" i="6" s="1"/>
  <c r="AB103" i="10"/>
  <c r="AB186" i="10"/>
  <c r="J107" i="5"/>
  <c r="L17" i="6"/>
  <c r="M17" i="6" s="1"/>
  <c r="S17" i="10" s="1"/>
  <c r="L95" i="6"/>
  <c r="M95" i="6" s="1"/>
  <c r="S95" i="10" s="1"/>
  <c r="L125" i="6"/>
  <c r="M125" i="6" s="1"/>
  <c r="S125" i="10" s="1"/>
  <c r="L314" i="6"/>
  <c r="M314" i="6" s="1"/>
  <c r="S314" i="10" s="1"/>
  <c r="L321" i="6"/>
  <c r="M321" i="6" s="1"/>
  <c r="L401" i="6"/>
  <c r="M401" i="6" s="1"/>
  <c r="S401" i="10" s="1"/>
  <c r="L405" i="6"/>
  <c r="M405" i="6" s="1"/>
  <c r="S405" i="10" s="1"/>
  <c r="L417" i="6"/>
  <c r="M417" i="6" s="1"/>
  <c r="L444" i="6"/>
  <c r="M444" i="6" s="1"/>
  <c r="S444" i="10" s="1"/>
  <c r="L480" i="6"/>
  <c r="M480" i="6" s="1"/>
  <c r="L577" i="6"/>
  <c r="M577" i="6" s="1"/>
  <c r="L585" i="6"/>
  <c r="M585" i="6" s="1"/>
  <c r="S585" i="10" s="1"/>
  <c r="L625" i="6"/>
  <c r="M625" i="6" s="1"/>
  <c r="L629" i="6"/>
  <c r="M629" i="6" s="1"/>
  <c r="S629" i="10" s="1"/>
  <c r="L694" i="6"/>
  <c r="M694" i="6" s="1"/>
  <c r="L793" i="6"/>
  <c r="M793" i="6" s="1"/>
  <c r="L801" i="6"/>
  <c r="M801" i="6" s="1"/>
  <c r="S801" i="10" s="1"/>
  <c r="L893" i="6"/>
  <c r="M893" i="6" s="1"/>
  <c r="L944" i="6"/>
  <c r="M944" i="6" s="1"/>
  <c r="S944" i="10" s="1"/>
  <c r="L951" i="6"/>
  <c r="M951" i="6" s="1"/>
  <c r="S951" i="10" s="1"/>
  <c r="L955" i="6"/>
  <c r="M955" i="6" s="1"/>
  <c r="S955" i="10" s="1"/>
  <c r="L978" i="6"/>
  <c r="M978" i="6" s="1"/>
  <c r="S978" i="10" s="1"/>
  <c r="L1054" i="6"/>
  <c r="M1054" i="6" s="1"/>
  <c r="L1167" i="6"/>
  <c r="M1167" i="6" s="1"/>
  <c r="AB64" i="10"/>
  <c r="AB200" i="10"/>
  <c r="N284" i="6"/>
  <c r="T284" i="10" s="1"/>
  <c r="AR284" i="10" s="1"/>
  <c r="N168" i="6"/>
  <c r="T168" i="10" s="1"/>
  <c r="N113" i="6"/>
  <c r="T113" i="10" s="1"/>
  <c r="N225" i="6"/>
  <c r="T225" i="10" s="1"/>
  <c r="AR225" i="10" s="1"/>
  <c r="N47" i="6"/>
  <c r="T47" i="10" s="1"/>
  <c r="N255" i="6"/>
  <c r="T255" i="10" s="1"/>
  <c r="L30" i="6"/>
  <c r="M30" i="6" s="1"/>
  <c r="S30" i="10" s="1"/>
  <c r="L92" i="6"/>
  <c r="M92" i="6" s="1"/>
  <c r="S92" i="10" s="1"/>
  <c r="L103" i="6"/>
  <c r="M103" i="6" s="1"/>
  <c r="S103" i="10" s="1"/>
  <c r="L117" i="6"/>
  <c r="M117" i="6" s="1"/>
  <c r="L208" i="6"/>
  <c r="M208" i="6" s="1"/>
  <c r="S208" i="10" s="1"/>
  <c r="L212" i="6"/>
  <c r="M212" i="6" s="1"/>
  <c r="L227" i="6"/>
  <c r="M227" i="6" s="1"/>
  <c r="S227" i="10" s="1"/>
  <c r="L241" i="6"/>
  <c r="M241" i="6" s="1"/>
  <c r="S241" i="10" s="1"/>
  <c r="L248" i="6"/>
  <c r="M248" i="6" s="1"/>
  <c r="S248" i="10" s="1"/>
  <c r="L329" i="6"/>
  <c r="M329" i="6" s="1"/>
  <c r="L402" i="6"/>
  <c r="M402" i="6" s="1"/>
  <c r="L406" i="6"/>
  <c r="M406" i="6" s="1"/>
  <c r="L432" i="6"/>
  <c r="M432" i="6" s="1"/>
  <c r="L436" i="6"/>
  <c r="M436" i="6" s="1"/>
  <c r="S436" i="10" s="1"/>
  <c r="L553" i="6"/>
  <c r="M553" i="6" s="1"/>
  <c r="L564" i="6"/>
  <c r="M564" i="6" s="1"/>
  <c r="S564" i="10" s="1"/>
  <c r="L632" i="6"/>
  <c r="M632" i="6" s="1"/>
  <c r="S632" i="10" s="1"/>
  <c r="L684" i="6"/>
  <c r="M684" i="6" s="1"/>
  <c r="L739" i="6"/>
  <c r="M739" i="6" s="1"/>
  <c r="L743" i="6"/>
  <c r="M743" i="6" s="1"/>
  <c r="L810" i="6"/>
  <c r="M810" i="6" s="1"/>
  <c r="L814" i="6"/>
  <c r="M814" i="6" s="1"/>
  <c r="S814" i="10" s="1"/>
  <c r="L982" i="6"/>
  <c r="M982" i="6" s="1"/>
  <c r="S982" i="10" s="1"/>
  <c r="J724" i="5"/>
  <c r="N365" i="6"/>
  <c r="T365" i="10" s="1"/>
  <c r="N521" i="6"/>
  <c r="T521" i="10" s="1"/>
  <c r="N41" i="6"/>
  <c r="T41" i="10" s="1"/>
  <c r="AR41" i="10" s="1"/>
  <c r="L74" i="6"/>
  <c r="M74" i="6" s="1"/>
  <c r="S74" i="10" s="1"/>
  <c r="L78" i="6"/>
  <c r="M78" i="6" s="1"/>
  <c r="L114" i="6"/>
  <c r="M114" i="6" s="1"/>
  <c r="S114" i="10" s="1"/>
  <c r="L205" i="6"/>
  <c r="M205" i="6" s="1"/>
  <c r="L209" i="6"/>
  <c r="M209" i="6" s="1"/>
  <c r="S209" i="10" s="1"/>
  <c r="N288" i="6"/>
  <c r="T288" i="10" s="1"/>
  <c r="L292" i="6"/>
  <c r="M292" i="6" s="1"/>
  <c r="N299" i="6"/>
  <c r="T299" i="10" s="1"/>
  <c r="AQ299" i="10" s="1"/>
  <c r="L367" i="6"/>
  <c r="M367" i="6" s="1"/>
  <c r="S367" i="10" s="1"/>
  <c r="L581" i="6"/>
  <c r="M581" i="6" s="1"/>
  <c r="S581" i="10" s="1"/>
  <c r="L689" i="6"/>
  <c r="M689" i="6" s="1"/>
  <c r="S689" i="10" s="1"/>
  <c r="L704" i="6"/>
  <c r="M704" i="6" s="1"/>
  <c r="S704" i="10" s="1"/>
  <c r="L712" i="6"/>
  <c r="M712" i="6" s="1"/>
  <c r="L716" i="6"/>
  <c r="M716" i="6" s="1"/>
  <c r="L720" i="6"/>
  <c r="M720" i="6" s="1"/>
  <c r="S720" i="10" s="1"/>
  <c r="L728" i="6"/>
  <c r="M728" i="6" s="1"/>
  <c r="L791" i="6"/>
  <c r="M791" i="6" s="1"/>
  <c r="S791" i="10" s="1"/>
  <c r="L902" i="6"/>
  <c r="M902" i="6" s="1"/>
  <c r="L971" i="6"/>
  <c r="M971" i="6" s="1"/>
  <c r="N1146" i="6"/>
  <c r="T1146" i="10" s="1"/>
  <c r="AQ1146" i="10" s="1"/>
  <c r="L82" i="6"/>
  <c r="M82" i="6" s="1"/>
  <c r="L89" i="6"/>
  <c r="M89" i="6" s="1"/>
  <c r="S89" i="10" s="1"/>
  <c r="L107" i="6"/>
  <c r="M107" i="6" s="1"/>
  <c r="L202" i="6"/>
  <c r="M202" i="6" s="1"/>
  <c r="L260" i="6"/>
  <c r="M260" i="6" s="1"/>
  <c r="S260" i="10" s="1"/>
  <c r="L681" i="6"/>
  <c r="M681" i="6" s="1"/>
  <c r="L697" i="6"/>
  <c r="M697" i="6" s="1"/>
  <c r="L783" i="6"/>
  <c r="M783" i="6" s="1"/>
  <c r="L846" i="6"/>
  <c r="M846" i="6" s="1"/>
  <c r="S846" i="10" s="1"/>
  <c r="L956" i="6"/>
  <c r="M956" i="6" s="1"/>
  <c r="S956" i="10" s="1"/>
  <c r="J79" i="5"/>
  <c r="N243" i="6"/>
  <c r="T243" i="10" s="1"/>
  <c r="L488" i="6"/>
  <c r="M488" i="6" s="1"/>
  <c r="S488" i="10" s="1"/>
  <c r="L3" i="6"/>
  <c r="M3" i="6" s="1"/>
  <c r="L15" i="6"/>
  <c r="M15" i="6" s="1"/>
  <c r="L27" i="6"/>
  <c r="M27" i="6" s="1"/>
  <c r="L53" i="6"/>
  <c r="M53" i="6" s="1"/>
  <c r="L86" i="6"/>
  <c r="M86" i="6" s="1"/>
  <c r="L93" i="6"/>
  <c r="M93" i="6" s="1"/>
  <c r="S93" i="10" s="1"/>
  <c r="L97" i="6"/>
  <c r="M97" i="6" s="1"/>
  <c r="S97" i="10" s="1"/>
  <c r="N128" i="6"/>
  <c r="T128" i="10" s="1"/>
  <c r="L170" i="6"/>
  <c r="M170" i="6" s="1"/>
  <c r="S170" i="10" s="1"/>
  <c r="L181" i="6"/>
  <c r="M181" i="6" s="1"/>
  <c r="S181" i="10" s="1"/>
  <c r="L192" i="6"/>
  <c r="M192" i="6" s="1"/>
  <c r="S192" i="10" s="1"/>
  <c r="L206" i="6"/>
  <c r="M206" i="6" s="1"/>
  <c r="L487" i="6"/>
  <c r="M487" i="6" s="1"/>
  <c r="S487" i="10" s="1"/>
  <c r="L582" i="6"/>
  <c r="M582" i="6" s="1"/>
  <c r="S582" i="10" s="1"/>
  <c r="L589" i="6"/>
  <c r="M589" i="6" s="1"/>
  <c r="L650" i="6"/>
  <c r="M650" i="6" s="1"/>
  <c r="L834" i="6"/>
  <c r="M834" i="6" s="1"/>
  <c r="N125" i="6"/>
  <c r="T125" i="10" s="1"/>
  <c r="AR125" i="10" s="1"/>
  <c r="N512" i="6"/>
  <c r="T512" i="10" s="1"/>
  <c r="AR512" i="10" s="1"/>
  <c r="L46" i="6"/>
  <c r="M46" i="6" s="1"/>
  <c r="S46" i="10" s="1"/>
  <c r="L75" i="6"/>
  <c r="M75" i="6" s="1"/>
  <c r="L79" i="6"/>
  <c r="M79" i="6" s="1"/>
  <c r="L137" i="6"/>
  <c r="M137" i="6" s="1"/>
  <c r="L163" i="6"/>
  <c r="M163" i="6" s="1"/>
  <c r="L257" i="6"/>
  <c r="M257" i="6" s="1"/>
  <c r="S257" i="10" s="1"/>
  <c r="L345" i="6"/>
  <c r="M345" i="6" s="1"/>
  <c r="S345" i="10" s="1"/>
  <c r="L349" i="6"/>
  <c r="M349" i="6" s="1"/>
  <c r="S349" i="10" s="1"/>
  <c r="L483" i="6"/>
  <c r="M483" i="6" s="1"/>
  <c r="S483" i="10" s="1"/>
  <c r="L559" i="6"/>
  <c r="M559" i="6" s="1"/>
  <c r="S559" i="10" s="1"/>
  <c r="L638" i="6"/>
  <c r="M638" i="6" s="1"/>
  <c r="L642" i="6"/>
  <c r="M642" i="6" s="1"/>
  <c r="L646" i="6"/>
  <c r="M646" i="6" s="1"/>
  <c r="S646" i="10" s="1"/>
  <c r="L819" i="6"/>
  <c r="M819" i="6" s="1"/>
  <c r="S819" i="10" s="1"/>
  <c r="L996" i="6"/>
  <c r="M996" i="6" s="1"/>
  <c r="L1007" i="6"/>
  <c r="M1007" i="6" s="1"/>
  <c r="L1032" i="6"/>
  <c r="M1032" i="6" s="1"/>
  <c r="N301" i="6"/>
  <c r="T301" i="10" s="1"/>
  <c r="AR301" i="10" s="1"/>
  <c r="N578" i="6"/>
  <c r="T578" i="10" s="1"/>
  <c r="AR578" i="10" s="1"/>
  <c r="L16" i="6"/>
  <c r="M16" i="6" s="1"/>
  <c r="L50" i="6"/>
  <c r="M50" i="6" s="1"/>
  <c r="L87" i="6"/>
  <c r="M87" i="6" s="1"/>
  <c r="S87" i="10" s="1"/>
  <c r="L171" i="6"/>
  <c r="M171" i="6" s="1"/>
  <c r="S171" i="10" s="1"/>
  <c r="L185" i="6"/>
  <c r="M185" i="6" s="1"/>
  <c r="L189" i="6"/>
  <c r="M189" i="6" s="1"/>
  <c r="S189" i="10" s="1"/>
  <c r="N228" i="6"/>
  <c r="T228" i="10" s="1"/>
  <c r="AR228" i="10" s="1"/>
  <c r="L294" i="6"/>
  <c r="M294" i="6" s="1"/>
  <c r="L327" i="6"/>
  <c r="M327" i="6" s="1"/>
  <c r="S327" i="10" s="1"/>
  <c r="L331" i="6"/>
  <c r="M331" i="6" s="1"/>
  <c r="L509" i="6"/>
  <c r="M509" i="6" s="1"/>
  <c r="L517" i="6"/>
  <c r="M517" i="6" s="1"/>
  <c r="S517" i="10" s="1"/>
  <c r="L796" i="6"/>
  <c r="M796" i="6" s="1"/>
  <c r="S796" i="10" s="1"/>
  <c r="L33" i="6"/>
  <c r="M33" i="6" s="1"/>
  <c r="S33" i="10" s="1"/>
  <c r="L76" i="6"/>
  <c r="M76" i="6" s="1"/>
  <c r="S76" i="10" s="1"/>
  <c r="L164" i="6"/>
  <c r="M164" i="6" s="1"/>
  <c r="L254" i="6"/>
  <c r="M254" i="6" s="1"/>
  <c r="L258" i="6"/>
  <c r="M258" i="6" s="1"/>
  <c r="S258" i="10" s="1"/>
  <c r="L276" i="6"/>
  <c r="M276" i="6" s="1"/>
  <c r="L287" i="6"/>
  <c r="M287" i="6" s="1"/>
  <c r="S287" i="10" s="1"/>
  <c r="L309" i="6"/>
  <c r="M309" i="6" s="1"/>
  <c r="S309" i="10" s="1"/>
  <c r="L313" i="6"/>
  <c r="M313" i="6" s="1"/>
  <c r="S313" i="10" s="1"/>
  <c r="L473" i="6"/>
  <c r="M473" i="6" s="1"/>
  <c r="N476" i="6"/>
  <c r="T476" i="10" s="1"/>
  <c r="AR476" i="10" s="1"/>
  <c r="L567" i="6"/>
  <c r="M567" i="6" s="1"/>
  <c r="S567" i="10" s="1"/>
  <c r="L579" i="6"/>
  <c r="M579" i="6" s="1"/>
  <c r="L769" i="6"/>
  <c r="M769" i="6" s="1"/>
  <c r="L773" i="6"/>
  <c r="M773" i="6" s="1"/>
  <c r="S773" i="10" s="1"/>
  <c r="L1121" i="6"/>
  <c r="M1121" i="6" s="1"/>
  <c r="S1121" i="10" s="1"/>
  <c r="L501" i="6"/>
  <c r="M501" i="6" s="1"/>
  <c r="S501" i="10" s="1"/>
  <c r="L523" i="6"/>
  <c r="M523" i="6" s="1"/>
  <c r="S523" i="10" s="1"/>
  <c r="L527" i="6"/>
  <c r="M527" i="6" s="1"/>
  <c r="S527" i="10" s="1"/>
  <c r="L538" i="6"/>
  <c r="M538" i="6" s="1"/>
  <c r="L634" i="6"/>
  <c r="M634" i="6" s="1"/>
  <c r="L654" i="6"/>
  <c r="M654" i="6" s="1"/>
  <c r="L678" i="6"/>
  <c r="M678" i="6" s="1"/>
  <c r="L709" i="6"/>
  <c r="M709" i="6" s="1"/>
  <c r="L736" i="6"/>
  <c r="M736" i="6" s="1"/>
  <c r="S736" i="10" s="1"/>
  <c r="L740" i="6"/>
  <c r="M740" i="6" s="1"/>
  <c r="S740" i="10" s="1"/>
  <c r="L759" i="6"/>
  <c r="M759" i="6" s="1"/>
  <c r="S759" i="10" s="1"/>
  <c r="L790" i="6"/>
  <c r="M790" i="6" s="1"/>
  <c r="L797" i="6"/>
  <c r="M797" i="6" s="1"/>
  <c r="L835" i="6"/>
  <c r="M835" i="6" s="1"/>
  <c r="L855" i="6"/>
  <c r="M855" i="6" s="1"/>
  <c r="S855" i="10" s="1"/>
  <c r="L866" i="6"/>
  <c r="M866" i="6" s="1"/>
  <c r="S866" i="10" s="1"/>
  <c r="L886" i="6"/>
  <c r="M886" i="6" s="1"/>
  <c r="S886" i="10" s="1"/>
  <c r="L897" i="6"/>
  <c r="M897" i="6" s="1"/>
  <c r="L916" i="6"/>
  <c r="M916" i="6" s="1"/>
  <c r="L983" i="6"/>
  <c r="M983" i="6" s="1"/>
  <c r="S983" i="10" s="1"/>
  <c r="L1122" i="6"/>
  <c r="M1122" i="6" s="1"/>
  <c r="L1174" i="6"/>
  <c r="M1174" i="6" s="1"/>
  <c r="S1174" i="10" s="1"/>
  <c r="L1178" i="6"/>
  <c r="M1178" i="6" s="1"/>
  <c r="S1178" i="10" s="1"/>
  <c r="AB12" i="10"/>
  <c r="AB32" i="10"/>
  <c r="AB42" i="10"/>
  <c r="AB87" i="10"/>
  <c r="AB400" i="10"/>
  <c r="AB62" i="10"/>
  <c r="AB67" i="10"/>
  <c r="AB74" i="10"/>
  <c r="AB79" i="10"/>
  <c r="AB112" i="10"/>
  <c r="AB131" i="10"/>
  <c r="AB139" i="10"/>
  <c r="AB156" i="10"/>
  <c r="AB173" i="10"/>
  <c r="AB203" i="10"/>
  <c r="L1050" i="6"/>
  <c r="M1050" i="6" s="1"/>
  <c r="L1062" i="6"/>
  <c r="M1062" i="6" s="1"/>
  <c r="S1062" i="10" s="1"/>
  <c r="L1107" i="6"/>
  <c r="M1107" i="6" s="1"/>
  <c r="AB15" i="10"/>
  <c r="AB40" i="10"/>
  <c r="AB45" i="10"/>
  <c r="AB50" i="10"/>
  <c r="AB236" i="10"/>
  <c r="L682" i="6"/>
  <c r="M682" i="6" s="1"/>
  <c r="L690" i="6"/>
  <c r="M690" i="6" s="1"/>
  <c r="AB10" i="10"/>
  <c r="AB20" i="10"/>
  <c r="AB25" i="10"/>
  <c r="AB30" i="10"/>
  <c r="AB55" i="10"/>
  <c r="AB72" i="10"/>
  <c r="AB148" i="10"/>
  <c r="AB165" i="10"/>
  <c r="AB251" i="10"/>
  <c r="L29" i="6"/>
  <c r="M29" i="6" s="1"/>
  <c r="L40" i="6"/>
  <c r="M40" i="6" s="1"/>
  <c r="S40" i="10" s="1"/>
  <c r="L69" i="6"/>
  <c r="M69" i="6" s="1"/>
  <c r="S69" i="10" s="1"/>
  <c r="L90" i="6"/>
  <c r="M90" i="6" s="1"/>
  <c r="L108" i="6"/>
  <c r="M108" i="6" s="1"/>
  <c r="L115" i="6"/>
  <c r="M115" i="6" s="1"/>
  <c r="S115" i="10" s="1"/>
  <c r="L118" i="6"/>
  <c r="M118" i="6" s="1"/>
  <c r="S118" i="10" s="1"/>
  <c r="L143" i="6"/>
  <c r="M143" i="6" s="1"/>
  <c r="S143" i="10" s="1"/>
  <c r="L161" i="6"/>
  <c r="M161" i="6" s="1"/>
  <c r="L186" i="6"/>
  <c r="M186" i="6" s="1"/>
  <c r="L249" i="6"/>
  <c r="M249" i="6" s="1"/>
  <c r="S249" i="10" s="1"/>
  <c r="L278" i="6"/>
  <c r="M278" i="6" s="1"/>
  <c r="S278" i="10" s="1"/>
  <c r="L310" i="6"/>
  <c r="M310" i="6" s="1"/>
  <c r="L343" i="6"/>
  <c r="M343" i="6" s="1"/>
  <c r="S343" i="10" s="1"/>
  <c r="L347" i="6"/>
  <c r="M347" i="6" s="1"/>
  <c r="L382" i="6"/>
  <c r="M382" i="6" s="1"/>
  <c r="S382" i="10" s="1"/>
  <c r="L440" i="6"/>
  <c r="M440" i="6" s="1"/>
  <c r="S440" i="10" s="1"/>
  <c r="L451" i="6"/>
  <c r="M451" i="6" s="1"/>
  <c r="S451" i="10" s="1"/>
  <c r="L513" i="6"/>
  <c r="M513" i="6" s="1"/>
  <c r="L551" i="6"/>
  <c r="M551" i="6" s="1"/>
  <c r="L588" i="6"/>
  <c r="M588" i="6" s="1"/>
  <c r="S588" i="10" s="1"/>
  <c r="L640" i="6"/>
  <c r="M640" i="6" s="1"/>
  <c r="S640" i="10" s="1"/>
  <c r="L679" i="6"/>
  <c r="M679" i="6" s="1"/>
  <c r="S679" i="10" s="1"/>
  <c r="L691" i="6"/>
  <c r="M691" i="6" s="1"/>
  <c r="S691" i="10" s="1"/>
  <c r="L880" i="6"/>
  <c r="M880" i="6" s="1"/>
  <c r="L894" i="6"/>
  <c r="M894" i="6" s="1"/>
  <c r="L905" i="6"/>
  <c r="M905" i="6" s="1"/>
  <c r="S905" i="10" s="1"/>
  <c r="L909" i="6"/>
  <c r="M909" i="6" s="1"/>
  <c r="S909" i="10" s="1"/>
  <c r="L935" i="6"/>
  <c r="M935" i="6" s="1"/>
  <c r="L980" i="6"/>
  <c r="M980" i="6" s="1"/>
  <c r="L1000" i="6"/>
  <c r="M1000" i="6" s="1"/>
  <c r="L1023" i="6"/>
  <c r="M1023" i="6" s="1"/>
  <c r="S1023" i="10" s="1"/>
  <c r="L1059" i="6"/>
  <c r="M1059" i="6" s="1"/>
  <c r="L1073" i="6"/>
  <c r="M1073" i="6" s="1"/>
  <c r="L1088" i="6"/>
  <c r="M1088" i="6" s="1"/>
  <c r="S1088" i="10" s="1"/>
  <c r="L1099" i="6"/>
  <c r="M1099" i="6" s="1"/>
  <c r="L1119" i="6"/>
  <c r="M1119" i="6" s="1"/>
  <c r="S1119" i="10" s="1"/>
  <c r="L1175" i="6"/>
  <c r="M1175" i="6" s="1"/>
  <c r="AB5" i="10"/>
  <c r="AB60" i="10"/>
  <c r="AB201" i="10"/>
  <c r="AB228" i="10"/>
  <c r="AB70" i="10"/>
  <c r="AB154" i="10"/>
  <c r="AB193" i="10"/>
  <c r="AB209" i="10"/>
  <c r="AB278" i="10"/>
  <c r="AB99" i="10"/>
  <c r="AB118" i="10"/>
  <c r="AB299" i="10"/>
  <c r="G1013" i="10"/>
  <c r="L91" i="6"/>
  <c r="M91" i="6" s="1"/>
  <c r="S91" i="10" s="1"/>
  <c r="L129" i="6"/>
  <c r="M129" i="6" s="1"/>
  <c r="L162" i="6"/>
  <c r="M162" i="6" s="1"/>
  <c r="S162" i="10" s="1"/>
  <c r="L166" i="6"/>
  <c r="M166" i="6" s="1"/>
  <c r="S166" i="10" s="1"/>
  <c r="L214" i="6"/>
  <c r="M214" i="6" s="1"/>
  <c r="S214" i="10" s="1"/>
  <c r="L222" i="6"/>
  <c r="M222" i="6" s="1"/>
  <c r="L246" i="6"/>
  <c r="M246" i="6" s="1"/>
  <c r="S246" i="10" s="1"/>
  <c r="L271" i="6"/>
  <c r="M271" i="6" s="1"/>
  <c r="S271" i="10" s="1"/>
  <c r="L275" i="6"/>
  <c r="M275" i="6" s="1"/>
  <c r="L282" i="6"/>
  <c r="M282" i="6" s="1"/>
  <c r="S282" i="10" s="1"/>
  <c r="L300" i="6"/>
  <c r="M300" i="6" s="1"/>
  <c r="L315" i="6"/>
  <c r="M315" i="6" s="1"/>
  <c r="S315" i="10" s="1"/>
  <c r="L333" i="6"/>
  <c r="M333" i="6" s="1"/>
  <c r="S333" i="10" s="1"/>
  <c r="L373" i="6"/>
  <c r="M373" i="6" s="1"/>
  <c r="L386" i="6"/>
  <c r="M386" i="6" s="1"/>
  <c r="S386" i="10" s="1"/>
  <c r="L481" i="6"/>
  <c r="M481" i="6" s="1"/>
  <c r="S481" i="10" s="1"/>
  <c r="L492" i="6"/>
  <c r="M492" i="6" s="1"/>
  <c r="L499" i="6"/>
  <c r="M499" i="6" s="1"/>
  <c r="L514" i="6"/>
  <c r="M514" i="6" s="1"/>
  <c r="S514" i="10" s="1"/>
  <c r="L540" i="6"/>
  <c r="M540" i="6" s="1"/>
  <c r="L570" i="6"/>
  <c r="M570" i="6" s="1"/>
  <c r="S570" i="10" s="1"/>
  <c r="L707" i="6"/>
  <c r="M707" i="6" s="1"/>
  <c r="S707" i="10" s="1"/>
  <c r="L757" i="6"/>
  <c r="M757" i="6" s="1"/>
  <c r="S757" i="10" s="1"/>
  <c r="L768" i="6"/>
  <c r="M768" i="6" s="1"/>
  <c r="L795" i="6"/>
  <c r="M795" i="6" s="1"/>
  <c r="L833" i="6"/>
  <c r="M833" i="6" s="1"/>
  <c r="S833" i="10" s="1"/>
  <c r="L841" i="6"/>
  <c r="M841" i="6" s="1"/>
  <c r="L861" i="6"/>
  <c r="M861" i="6" s="1"/>
  <c r="S861" i="10" s="1"/>
  <c r="L864" i="6"/>
  <c r="M864" i="6" s="1"/>
  <c r="L877" i="6"/>
  <c r="M877" i="6" s="1"/>
  <c r="S877" i="10" s="1"/>
  <c r="L891" i="6"/>
  <c r="M891" i="6" s="1"/>
  <c r="S891" i="10" s="1"/>
  <c r="L895" i="6"/>
  <c r="M895" i="6" s="1"/>
  <c r="L914" i="6"/>
  <c r="M914" i="6" s="1"/>
  <c r="L921" i="6"/>
  <c r="M921" i="6" s="1"/>
  <c r="L928" i="6"/>
  <c r="M928" i="6" s="1"/>
  <c r="S928" i="10" s="1"/>
  <c r="L936" i="6"/>
  <c r="M936" i="6" s="1"/>
  <c r="S936" i="10" s="1"/>
  <c r="L947" i="6"/>
  <c r="M947" i="6" s="1"/>
  <c r="L977" i="6"/>
  <c r="M977" i="6" s="1"/>
  <c r="S977" i="10" s="1"/>
  <c r="L1036" i="6"/>
  <c r="M1036" i="6" s="1"/>
  <c r="L1047" i="6"/>
  <c r="M1047" i="6" s="1"/>
  <c r="S1047" i="10" s="1"/>
  <c r="L1096" i="6"/>
  <c r="M1096" i="6" s="1"/>
  <c r="S1096" i="10" s="1"/>
  <c r="L1100" i="6"/>
  <c r="M1100" i="6" s="1"/>
  <c r="S1100" i="10" s="1"/>
  <c r="L1112" i="6"/>
  <c r="M1112" i="6" s="1"/>
  <c r="S1112" i="10" s="1"/>
  <c r="L1116" i="6"/>
  <c r="M1116" i="6" s="1"/>
  <c r="S1116" i="10" s="1"/>
  <c r="L1127" i="6"/>
  <c r="M1127" i="6" s="1"/>
  <c r="S1127" i="10" s="1"/>
  <c r="L1183" i="6"/>
  <c r="M1183" i="6" s="1"/>
  <c r="AB3" i="10"/>
  <c r="AB8" i="10"/>
  <c r="AB23" i="10"/>
  <c r="AB36" i="10"/>
  <c r="AB63" i="10"/>
  <c r="AB68" i="10"/>
  <c r="AB75" i="10"/>
  <c r="AB83" i="10"/>
  <c r="AB91" i="10"/>
  <c r="AB207" i="10"/>
  <c r="AB212" i="10"/>
  <c r="W217" i="10" a="1"/>
  <c r="W217" i="10" s="1"/>
  <c r="W256" i="10" a="1"/>
  <c r="W256" i="10" s="1"/>
  <c r="W286" i="10" a="1"/>
  <c r="W286" i="10" s="1"/>
  <c r="W312" i="10" a="1"/>
  <c r="W312" i="10" s="1"/>
  <c r="W328" i="10" a="1"/>
  <c r="W328" i="10" s="1"/>
  <c r="W341" i="10" a="1"/>
  <c r="W341" i="10" s="1"/>
  <c r="W355" i="10" a="1"/>
  <c r="W355" i="10" s="1"/>
  <c r="W369" i="10" a="1"/>
  <c r="W369" i="10" s="1"/>
  <c r="W383" i="10" a="1"/>
  <c r="W383" i="10" s="1"/>
  <c r="W396" i="10" a="1"/>
  <c r="W396" i="10" s="1"/>
  <c r="W409" i="10" a="1"/>
  <c r="W409" i="10" s="1"/>
  <c r="W422" i="10" a="1"/>
  <c r="W422" i="10" s="1"/>
  <c r="W436" i="10" a="1"/>
  <c r="W436" i="10" s="1"/>
  <c r="W449" i="10" a="1"/>
  <c r="W449" i="10" s="1"/>
  <c r="W463" i="10" a="1"/>
  <c r="W463" i="10" s="1"/>
  <c r="W477" i="10" a="1"/>
  <c r="W477" i="10" s="1"/>
  <c r="W491" i="10" a="1"/>
  <c r="W491" i="10" s="1"/>
  <c r="W503" i="10" a="1"/>
  <c r="W503" i="10" s="1"/>
  <c r="W516" i="10" a="1"/>
  <c r="W516" i="10" s="1"/>
  <c r="W528" i="10" a="1"/>
  <c r="W528" i="10" s="1"/>
  <c r="W554" i="10" a="1"/>
  <c r="W554" i="10" s="1"/>
  <c r="W568" i="10" a="1"/>
  <c r="W568" i="10" s="1"/>
  <c r="W581" i="10" a="1"/>
  <c r="W581" i="10" s="1"/>
  <c r="W594" i="10" a="1"/>
  <c r="W594" i="10" s="1"/>
  <c r="W607" i="10" a="1"/>
  <c r="W607" i="10" s="1"/>
  <c r="W620" i="10" a="1"/>
  <c r="W620" i="10" s="1"/>
  <c r="W634" i="10" a="1"/>
  <c r="W634" i="10" s="1"/>
  <c r="W648" i="10" a="1"/>
  <c r="W648" i="10" s="1"/>
  <c r="W662" i="10" a="1"/>
  <c r="W662" i="10" s="1"/>
  <c r="W674" i="10" a="1"/>
  <c r="W674" i="10" s="1"/>
  <c r="W688" i="10" a="1"/>
  <c r="W688" i="10" s="1"/>
  <c r="W702" i="10" a="1"/>
  <c r="W702" i="10" s="1"/>
  <c r="W716" i="10" a="1"/>
  <c r="W716" i="10" s="1"/>
  <c r="W730" i="10" a="1"/>
  <c r="W730" i="10" s="1"/>
  <c r="W744" i="10" a="1"/>
  <c r="W744" i="10" s="1"/>
  <c r="W757" i="10" a="1"/>
  <c r="W757" i="10" s="1"/>
  <c r="W771" i="10" a="1"/>
  <c r="W771" i="10" s="1"/>
  <c r="W785" i="10" a="1"/>
  <c r="W785" i="10" s="1"/>
  <c r="W798" i="10" a="1"/>
  <c r="W798" i="10" s="1"/>
  <c r="W812" i="10" a="1"/>
  <c r="W812" i="10" s="1"/>
  <c r="W826" i="10" a="1"/>
  <c r="W826" i="10" s="1"/>
  <c r="W840" i="10" a="1"/>
  <c r="W840" i="10" s="1"/>
  <c r="W854" i="10" a="1"/>
  <c r="W854" i="10" s="1"/>
  <c r="W867" i="10" a="1"/>
  <c r="W867" i="10" s="1"/>
  <c r="W881" i="10" a="1"/>
  <c r="W881" i="10" s="1"/>
  <c r="W895" i="10" a="1"/>
  <c r="W895" i="10" s="1"/>
  <c r="W909" i="10" a="1"/>
  <c r="W909" i="10" s="1"/>
  <c r="W923" i="10" a="1"/>
  <c r="W923" i="10" s="1"/>
  <c r="W936" i="10" a="1"/>
  <c r="W936" i="10" s="1"/>
  <c r="W221" i="10" a="1"/>
  <c r="W221" i="10" s="1"/>
  <c r="W258" i="10" a="1"/>
  <c r="W258" i="10" s="1"/>
  <c r="W287" i="10" a="1"/>
  <c r="W287" i="10" s="1"/>
  <c r="W313" i="10" a="1"/>
  <c r="W313" i="10" s="1"/>
  <c r="W329" i="10" a="1"/>
  <c r="W329" i="10" s="1"/>
  <c r="W342" i="10" a="1"/>
  <c r="W342" i="10" s="1"/>
  <c r="W356" i="10" a="1"/>
  <c r="W356" i="10" s="1"/>
  <c r="W370" i="10" a="1"/>
  <c r="W370" i="10" s="1"/>
  <c r="W384" i="10" a="1"/>
  <c r="W384" i="10" s="1"/>
  <c r="W397" i="10" a="1"/>
  <c r="W397" i="10" s="1"/>
  <c r="W410" i="10" a="1"/>
  <c r="W410" i="10" s="1"/>
  <c r="W423" i="10" a="1"/>
  <c r="W423" i="10" s="1"/>
  <c r="W437" i="10" a="1"/>
  <c r="W437" i="10" s="1"/>
  <c r="W450" i="10" a="1"/>
  <c r="W450" i="10" s="1"/>
  <c r="W464" i="10" a="1"/>
  <c r="W464" i="10" s="1"/>
  <c r="W478" i="10" a="1"/>
  <c r="W478" i="10" s="1"/>
  <c r="W492" i="10" a="1"/>
  <c r="W492" i="10" s="1"/>
  <c r="W504" i="10" a="1"/>
  <c r="W504" i="10" s="1"/>
  <c r="W517" i="10" a="1"/>
  <c r="W517" i="10" s="1"/>
  <c r="W529" i="10" a="1"/>
  <c r="W529" i="10" s="1"/>
  <c r="W541" i="10" a="1"/>
  <c r="W541" i="10" s="1"/>
  <c r="W555" i="10" a="1"/>
  <c r="W555" i="10" s="1"/>
  <c r="W569" i="10" a="1"/>
  <c r="W569" i="10" s="1"/>
  <c r="W582" i="10" a="1"/>
  <c r="W582" i="10" s="1"/>
  <c r="W595" i="10" a="1"/>
  <c r="W595" i="10" s="1"/>
  <c r="W608" i="10" a="1"/>
  <c r="W608" i="10" s="1"/>
  <c r="W621" i="10" a="1"/>
  <c r="W621" i="10" s="1"/>
  <c r="W635" i="10" a="1"/>
  <c r="W635" i="10" s="1"/>
  <c r="W649" i="10" a="1"/>
  <c r="W649" i="10" s="1"/>
  <c r="W663" i="10" a="1"/>
  <c r="W663" i="10" s="1"/>
  <c r="W675" i="10" a="1"/>
  <c r="W675" i="10" s="1"/>
  <c r="W689" i="10" a="1"/>
  <c r="W689" i="10" s="1"/>
  <c r="W703" i="10" a="1"/>
  <c r="W703" i="10" s="1"/>
  <c r="W717" i="10" a="1"/>
  <c r="W717" i="10" s="1"/>
  <c r="W731" i="10" a="1"/>
  <c r="W731" i="10" s="1"/>
  <c r="W745" i="10" a="1"/>
  <c r="W745" i="10" s="1"/>
  <c r="W758" i="10" a="1"/>
  <c r="W758" i="10" s="1"/>
  <c r="W772" i="10" a="1"/>
  <c r="W772" i="10" s="1"/>
  <c r="W786" i="10" a="1"/>
  <c r="W786" i="10" s="1"/>
  <c r="W799" i="10" a="1"/>
  <c r="W799" i="10" s="1"/>
  <c r="W813" i="10" a="1"/>
  <c r="W813" i="10" s="1"/>
  <c r="W827" i="10" a="1"/>
  <c r="W827" i="10" s="1"/>
  <c r="W841" i="10" a="1"/>
  <c r="W841" i="10" s="1"/>
  <c r="W855" i="10" a="1"/>
  <c r="W855" i="10" s="1"/>
  <c r="W868" i="10" a="1"/>
  <c r="W868" i="10" s="1"/>
  <c r="W882" i="10" a="1"/>
  <c r="W882" i="10" s="1"/>
  <c r="W896" i="10" a="1"/>
  <c r="W896" i="10" s="1"/>
  <c r="W910" i="10" a="1"/>
  <c r="W910" i="10" s="1"/>
  <c r="W937" i="10" a="1"/>
  <c r="W937" i="10" s="1"/>
  <c r="W951" i="10" a="1"/>
  <c r="W951" i="10" s="1"/>
  <c r="W965" i="10" a="1"/>
  <c r="W965" i="10" s="1"/>
  <c r="W222" i="10" a="1"/>
  <c r="W222" i="10" s="1"/>
  <c r="W259" i="10" a="1"/>
  <c r="W259" i="10" s="1"/>
  <c r="W290" i="10" a="1"/>
  <c r="W290" i="10" s="1"/>
  <c r="W314" i="10" a="1"/>
  <c r="W314" i="10" s="1"/>
  <c r="W330" i="10" a="1"/>
  <c r="W330" i="10" s="1"/>
  <c r="W343" i="10" a="1"/>
  <c r="W343" i="10" s="1"/>
  <c r="W357" i="10" a="1"/>
  <c r="W357" i="10" s="1"/>
  <c r="W371" i="10" a="1"/>
  <c r="W371" i="10" s="1"/>
  <c r="W398" i="10" a="1"/>
  <c r="W398" i="10" s="1"/>
  <c r="W411" i="10" a="1"/>
  <c r="W411" i="10" s="1"/>
  <c r="W424" i="10" a="1"/>
  <c r="W424" i="10" s="1"/>
  <c r="W438" i="10" a="1"/>
  <c r="W438" i="10" s="1"/>
  <c r="W451" i="10" a="1"/>
  <c r="W451" i="10" s="1"/>
  <c r="W465" i="10" a="1"/>
  <c r="W465" i="10" s="1"/>
  <c r="W479" i="10" a="1"/>
  <c r="W479" i="10" s="1"/>
  <c r="W493" i="10" a="1"/>
  <c r="W493" i="10" s="1"/>
  <c r="W518" i="10" a="1"/>
  <c r="W518" i="10" s="1"/>
  <c r="W530" i="10" a="1"/>
  <c r="W530" i="10" s="1"/>
  <c r="W542" i="10" a="1"/>
  <c r="W542" i="10" s="1"/>
  <c r="W556" i="10" a="1"/>
  <c r="W556" i="10" s="1"/>
  <c r="W570" i="10" a="1"/>
  <c r="W570" i="10" s="1"/>
  <c r="W583" i="10" a="1"/>
  <c r="W583" i="10" s="1"/>
  <c r="W596" i="10" a="1"/>
  <c r="W596" i="10" s="1"/>
  <c r="W609" i="10" a="1"/>
  <c r="W609" i="10" s="1"/>
  <c r="W622" i="10" a="1"/>
  <c r="W622" i="10" s="1"/>
  <c r="W636" i="10" a="1"/>
  <c r="W636" i="10" s="1"/>
  <c r="W650" i="10" a="1"/>
  <c r="W650" i="10" s="1"/>
  <c r="W676" i="10" a="1"/>
  <c r="W676" i="10" s="1"/>
  <c r="W690" i="10" a="1"/>
  <c r="W690" i="10" s="1"/>
  <c r="W704" i="10" a="1"/>
  <c r="W704" i="10" s="1"/>
  <c r="W718" i="10" a="1"/>
  <c r="W718" i="10" s="1"/>
  <c r="W732" i="10" a="1"/>
  <c r="W732" i="10" s="1"/>
  <c r="W746" i="10" a="1"/>
  <c r="W746" i="10" s="1"/>
  <c r="W759" i="10" a="1"/>
  <c r="W759" i="10" s="1"/>
  <c r="W773" i="10" a="1"/>
  <c r="W773" i="10" s="1"/>
  <c r="W787" i="10" a="1"/>
  <c r="W787" i="10" s="1"/>
  <c r="W800" i="10" a="1"/>
  <c r="W800" i="10" s="1"/>
  <c r="W814" i="10" a="1"/>
  <c r="W814" i="10" s="1"/>
  <c r="W828" i="10" a="1"/>
  <c r="W828" i="10" s="1"/>
  <c r="W842" i="10" a="1"/>
  <c r="W842" i="10" s="1"/>
  <c r="W856" i="10" a="1"/>
  <c r="W856" i="10" s="1"/>
  <c r="W869" i="10" a="1"/>
  <c r="W869" i="10" s="1"/>
  <c r="W883" i="10" a="1"/>
  <c r="W883" i="10" s="1"/>
  <c r="W897" i="10" a="1"/>
  <c r="W897" i="10" s="1"/>
  <c r="W911" i="10" a="1"/>
  <c r="W911" i="10" s="1"/>
  <c r="W924" i="10" a="1"/>
  <c r="W924" i="10" s="1"/>
  <c r="W938" i="10" a="1"/>
  <c r="W938" i="10" s="1"/>
  <c r="W952" i="10" a="1"/>
  <c r="W952" i="10" s="1"/>
  <c r="W966" i="10" a="1"/>
  <c r="W966" i="10" s="1"/>
  <c r="W980" i="10" a="1"/>
  <c r="W980" i="10" s="1"/>
  <c r="W994" i="10" a="1"/>
  <c r="W994" i="10" s="1"/>
  <c r="W223" i="10" a="1"/>
  <c r="W223" i="10" s="1"/>
  <c r="W262" i="10" a="1"/>
  <c r="W262" i="10" s="1"/>
  <c r="W291" i="10" a="1"/>
  <c r="W291" i="10" s="1"/>
  <c r="W315" i="10" a="1"/>
  <c r="W315" i="10" s="1"/>
  <c r="W331" i="10" a="1"/>
  <c r="W331" i="10" s="1"/>
  <c r="W344" i="10" a="1"/>
  <c r="W344" i="10" s="1"/>
  <c r="W358" i="10" a="1"/>
  <c r="W358" i="10" s="1"/>
  <c r="W372" i="10" a="1"/>
  <c r="W372" i="10" s="1"/>
  <c r="W385" i="10" a="1"/>
  <c r="W385" i="10" s="1"/>
  <c r="W399" i="10" a="1"/>
  <c r="W399" i="10" s="1"/>
  <c r="W412" i="10" a="1"/>
  <c r="W412" i="10" s="1"/>
  <c r="W425" i="10" a="1"/>
  <c r="W425" i="10" s="1"/>
  <c r="W439" i="10" a="1"/>
  <c r="W439" i="10" s="1"/>
  <c r="W452" i="10" a="1"/>
  <c r="W452" i="10" s="1"/>
  <c r="W466" i="10" a="1"/>
  <c r="W466" i="10" s="1"/>
  <c r="W480" i="10" a="1"/>
  <c r="W480" i="10" s="1"/>
  <c r="W494" i="10" a="1"/>
  <c r="W494" i="10" s="1"/>
  <c r="W505" i="10" a="1"/>
  <c r="W505" i="10" s="1"/>
  <c r="W519" i="10" a="1"/>
  <c r="W519" i="10" s="1"/>
  <c r="W531" i="10" a="1"/>
  <c r="W531" i="10" s="1"/>
  <c r="W543" i="10" a="1"/>
  <c r="W543" i="10" s="1"/>
  <c r="W557" i="10" a="1"/>
  <c r="W557" i="10" s="1"/>
  <c r="W571" i="10" a="1"/>
  <c r="W571" i="10" s="1"/>
  <c r="W584" i="10" a="1"/>
  <c r="W584" i="10" s="1"/>
  <c r="W597" i="10" a="1"/>
  <c r="W597" i="10" s="1"/>
  <c r="W610" i="10" a="1"/>
  <c r="W610" i="10" s="1"/>
  <c r="W623" i="10" a="1"/>
  <c r="W623" i="10" s="1"/>
  <c r="W637" i="10" a="1"/>
  <c r="W637" i="10" s="1"/>
  <c r="W651" i="10" a="1"/>
  <c r="W651" i="10" s="1"/>
  <c r="W664" i="10" a="1"/>
  <c r="W664" i="10" s="1"/>
  <c r="W677" i="10" a="1"/>
  <c r="W677" i="10" s="1"/>
  <c r="W691" i="10" a="1"/>
  <c r="W691" i="10" s="1"/>
  <c r="W705" i="10" a="1"/>
  <c r="W705" i="10" s="1"/>
  <c r="W719" i="10" a="1"/>
  <c r="W719" i="10" s="1"/>
  <c r="W733" i="10" a="1"/>
  <c r="W733" i="10" s="1"/>
  <c r="W747" i="10" a="1"/>
  <c r="W747" i="10" s="1"/>
  <c r="W760" i="10" a="1"/>
  <c r="W760" i="10" s="1"/>
  <c r="W774" i="10" a="1"/>
  <c r="W774" i="10" s="1"/>
  <c r="W788" i="10" a="1"/>
  <c r="W788" i="10" s="1"/>
  <c r="W801" i="10" a="1"/>
  <c r="W801" i="10" s="1"/>
  <c r="W815" i="10" a="1"/>
  <c r="W815" i="10" s="1"/>
  <c r="W829" i="10" a="1"/>
  <c r="W829" i="10" s="1"/>
  <c r="W843" i="10" a="1"/>
  <c r="W843" i="10" s="1"/>
  <c r="W857" i="10" a="1"/>
  <c r="W857" i="10" s="1"/>
  <c r="W870" i="10" a="1"/>
  <c r="W870" i="10" s="1"/>
  <c r="W884" i="10" a="1"/>
  <c r="W884" i="10" s="1"/>
  <c r="W898" i="10" a="1"/>
  <c r="W898" i="10" s="1"/>
  <c r="W912" i="10" a="1"/>
  <c r="W912" i="10" s="1"/>
  <c r="W925" i="10" a="1"/>
  <c r="W925" i="10" s="1"/>
  <c r="W939" i="10" a="1"/>
  <c r="W939" i="10" s="1"/>
  <c r="W953" i="10" a="1"/>
  <c r="W953" i="10" s="1"/>
  <c r="W967" i="10" a="1"/>
  <c r="W967" i="10" s="1"/>
  <c r="W981" i="10" a="1"/>
  <c r="W981" i="10" s="1"/>
  <c r="W995" i="10" a="1"/>
  <c r="W995" i="10" s="1"/>
  <c r="W1009" i="10" a="1"/>
  <c r="W1009" i="10" s="1"/>
  <c r="W1022" i="10" a="1"/>
  <c r="W1022" i="10" s="1"/>
  <c r="W1036" i="10" a="1"/>
  <c r="W1036" i="10" s="1"/>
  <c r="W1050" i="10" a="1"/>
  <c r="W1050" i="10" s="1"/>
  <c r="W1063" i="10" a="1"/>
  <c r="W1063" i="10" s="1"/>
  <c r="W1077" i="10" a="1"/>
  <c r="W1077" i="10" s="1"/>
  <c r="W1091" i="10" a="1"/>
  <c r="W1091" i="10" s="1"/>
  <c r="W1105" i="10" a="1"/>
  <c r="W1105" i="10" s="1"/>
  <c r="W1119" i="10" a="1"/>
  <c r="W1119" i="10" s="1"/>
  <c r="W1133" i="10" a="1"/>
  <c r="W1133" i="10" s="1"/>
  <c r="W231" i="10" a="1"/>
  <c r="W231" i="10" s="1"/>
  <c r="W263" i="10" a="1"/>
  <c r="W263" i="10" s="1"/>
  <c r="W292" i="10" a="1"/>
  <c r="W292" i="10" s="1"/>
  <c r="W318" i="10" a="1"/>
  <c r="W318" i="10" s="1"/>
  <c r="W332" i="10" a="1"/>
  <c r="W332" i="10" s="1"/>
  <c r="W345" i="10" a="1"/>
  <c r="W345" i="10" s="1"/>
  <c r="W359" i="10" a="1"/>
  <c r="W359" i="10" s="1"/>
  <c r="W373" i="10" a="1"/>
  <c r="W373" i="10" s="1"/>
  <c r="W386" i="10" a="1"/>
  <c r="W386" i="10" s="1"/>
  <c r="W400" i="10" a="1"/>
  <c r="W400" i="10" s="1"/>
  <c r="W413" i="10" a="1"/>
  <c r="W413" i="10" s="1"/>
  <c r="W426" i="10" a="1"/>
  <c r="W426" i="10" s="1"/>
  <c r="W440" i="10" a="1"/>
  <c r="W440" i="10" s="1"/>
  <c r="W453" i="10" a="1"/>
  <c r="W453" i="10" s="1"/>
  <c r="W467" i="10" a="1"/>
  <c r="W467" i="10" s="1"/>
  <c r="W481" i="10" a="1"/>
  <c r="W481" i="10" s="1"/>
  <c r="W495" i="10" a="1"/>
  <c r="W495" i="10" s="1"/>
  <c r="W506" i="10" a="1"/>
  <c r="W506" i="10" s="1"/>
  <c r="W520" i="10" a="1"/>
  <c r="W520" i="10" s="1"/>
  <c r="W532" i="10" a="1"/>
  <c r="W532" i="10" s="1"/>
  <c r="W544" i="10" a="1"/>
  <c r="W544" i="10" s="1"/>
  <c r="W558" i="10" a="1"/>
  <c r="W558" i="10" s="1"/>
  <c r="W572" i="10" a="1"/>
  <c r="W572" i="10" s="1"/>
  <c r="W585" i="10" a="1"/>
  <c r="W585" i="10" s="1"/>
  <c r="W598" i="10" a="1"/>
  <c r="W598" i="10" s="1"/>
  <c r="W624" i="10" a="1"/>
  <c r="W624" i="10" s="1"/>
  <c r="W638" i="10" a="1"/>
  <c r="W638" i="10" s="1"/>
  <c r="W652" i="10" a="1"/>
  <c r="W652" i="10" s="1"/>
  <c r="W678" i="10" a="1"/>
  <c r="W678" i="10" s="1"/>
  <c r="W692" i="10" a="1"/>
  <c r="W692" i="10" s="1"/>
  <c r="W706" i="10" a="1"/>
  <c r="W706" i="10" s="1"/>
  <c r="W720" i="10" a="1"/>
  <c r="W720" i="10" s="1"/>
  <c r="W734" i="10" a="1"/>
  <c r="W734" i="10" s="1"/>
  <c r="W748" i="10" a="1"/>
  <c r="W748" i="10" s="1"/>
  <c r="W761" i="10" a="1"/>
  <c r="W761" i="10" s="1"/>
  <c r="W775" i="10" a="1"/>
  <c r="W775" i="10" s="1"/>
  <c r="W789" i="10" a="1"/>
  <c r="W789" i="10" s="1"/>
  <c r="W802" i="10" a="1"/>
  <c r="W802" i="10" s="1"/>
  <c r="W816" i="10" a="1"/>
  <c r="W816" i="10" s="1"/>
  <c r="W830" i="10" a="1"/>
  <c r="W830" i="10" s="1"/>
  <c r="W844" i="10" a="1"/>
  <c r="W844" i="10" s="1"/>
  <c r="W858" i="10" a="1"/>
  <c r="W858" i="10" s="1"/>
  <c r="W871" i="10" a="1"/>
  <c r="W871" i="10" s="1"/>
  <c r="W885" i="10" a="1"/>
  <c r="W885" i="10" s="1"/>
  <c r="W899" i="10" a="1"/>
  <c r="W899" i="10" s="1"/>
  <c r="W913" i="10" a="1"/>
  <c r="W913" i="10" s="1"/>
  <c r="W926" i="10" a="1"/>
  <c r="W926" i="10" s="1"/>
  <c r="W940" i="10" a="1"/>
  <c r="W940" i="10" s="1"/>
  <c r="W954" i="10" a="1"/>
  <c r="W954" i="10" s="1"/>
  <c r="W968" i="10" a="1"/>
  <c r="W968" i="10" s="1"/>
  <c r="W982" i="10" a="1"/>
  <c r="W982" i="10" s="1"/>
  <c r="W996" i="10" a="1"/>
  <c r="W996" i="10" s="1"/>
  <c r="W1010" i="10" a="1"/>
  <c r="W1010" i="10" s="1"/>
  <c r="W1023" i="10" a="1"/>
  <c r="W1023" i="10" s="1"/>
  <c r="W1037" i="10" a="1"/>
  <c r="W1037" i="10" s="1"/>
  <c r="W1051" i="10" a="1"/>
  <c r="W1051" i="10" s="1"/>
  <c r="W1064" i="10" a="1"/>
  <c r="W1064" i="10" s="1"/>
  <c r="W1078" i="10" a="1"/>
  <c r="W1078" i="10" s="1"/>
  <c r="W1092" i="10" a="1"/>
  <c r="W1092" i="10" s="1"/>
  <c r="W1106" i="10" a="1"/>
  <c r="W1106" i="10" s="1"/>
  <c r="W1120" i="10" a="1"/>
  <c r="W1120" i="10" s="1"/>
  <c r="W1134" i="10" a="1"/>
  <c r="W1134" i="10" s="1"/>
  <c r="W1148" i="10" a="1"/>
  <c r="W1148" i="10" s="1"/>
  <c r="W1162" i="10" a="1"/>
  <c r="W1162" i="10" s="1"/>
  <c r="W1176" i="10" a="1"/>
  <c r="W1176" i="10" s="1"/>
  <c r="W235" i="10" a="1"/>
  <c r="W235" i="10" s="1"/>
  <c r="W264" i="10" a="1"/>
  <c r="W264" i="10" s="1"/>
  <c r="W298" i="10" a="1"/>
  <c r="W298" i="10" s="1"/>
  <c r="W319" i="10" a="1"/>
  <c r="W319" i="10" s="1"/>
  <c r="W333" i="10" a="1"/>
  <c r="W333" i="10" s="1"/>
  <c r="W346" i="10" a="1"/>
  <c r="W346" i="10" s="1"/>
  <c r="W360" i="10" a="1"/>
  <c r="W360" i="10" s="1"/>
  <c r="W374" i="10" a="1"/>
  <c r="W374" i="10" s="1"/>
  <c r="W387" i="10" a="1"/>
  <c r="W387" i="10" s="1"/>
  <c r="W401" i="10" a="1"/>
  <c r="W401" i="10" s="1"/>
  <c r="W414" i="10" a="1"/>
  <c r="W414" i="10" s="1"/>
  <c r="W427" i="10" a="1"/>
  <c r="W427" i="10" s="1"/>
  <c r="W441" i="10" a="1"/>
  <c r="W441" i="10" s="1"/>
  <c r="W454" i="10" a="1"/>
  <c r="W454" i="10" s="1"/>
  <c r="W468" i="10" a="1"/>
  <c r="W468" i="10" s="1"/>
  <c r="W482" i="10" a="1"/>
  <c r="W482" i="10" s="1"/>
  <c r="W496" i="10" a="1"/>
  <c r="W496" i="10" s="1"/>
  <c r="W507" i="10" a="1"/>
  <c r="W507" i="10" s="1"/>
  <c r="W533" i="10" a="1"/>
  <c r="W533" i="10" s="1"/>
  <c r="W545" i="10" a="1"/>
  <c r="W545" i="10" s="1"/>
  <c r="W559" i="10" a="1"/>
  <c r="W559" i="10" s="1"/>
  <c r="W573" i="10" a="1"/>
  <c r="W573" i="10" s="1"/>
  <c r="W599" i="10" a="1"/>
  <c r="W599" i="10" s="1"/>
  <c r="W611" i="10" a="1"/>
  <c r="W611" i="10" s="1"/>
  <c r="W625" i="10" a="1"/>
  <c r="W625" i="10" s="1"/>
  <c r="W639" i="10" a="1"/>
  <c r="W639" i="10" s="1"/>
  <c r="W653" i="10" a="1"/>
  <c r="W653" i="10" s="1"/>
  <c r="W665" i="10" a="1"/>
  <c r="W665" i="10" s="1"/>
  <c r="W679" i="10" a="1"/>
  <c r="W679" i="10" s="1"/>
  <c r="W693" i="10" a="1"/>
  <c r="W693" i="10" s="1"/>
  <c r="W707" i="10" a="1"/>
  <c r="W707" i="10" s="1"/>
  <c r="W721" i="10" a="1"/>
  <c r="W721" i="10" s="1"/>
  <c r="W735" i="10" a="1"/>
  <c r="W735" i="10" s="1"/>
  <c r="W749" i="10" a="1"/>
  <c r="W749" i="10" s="1"/>
  <c r="W762" i="10" a="1"/>
  <c r="W762" i="10" s="1"/>
  <c r="W776" i="10" a="1"/>
  <c r="W776" i="10" s="1"/>
  <c r="W803" i="10" a="1"/>
  <c r="W803" i="10" s="1"/>
  <c r="W817" i="10" a="1"/>
  <c r="W817" i="10" s="1"/>
  <c r="W831" i="10" a="1"/>
  <c r="W831" i="10" s="1"/>
  <c r="W845" i="10" a="1"/>
  <c r="W845" i="10" s="1"/>
  <c r="W859" i="10" a="1"/>
  <c r="W859" i="10" s="1"/>
  <c r="W872" i="10" a="1"/>
  <c r="W872" i="10" s="1"/>
  <c r="W886" i="10" a="1"/>
  <c r="W886" i="10" s="1"/>
  <c r="W900" i="10" a="1"/>
  <c r="W900" i="10" s="1"/>
  <c r="W914" i="10" a="1"/>
  <c r="W914" i="10" s="1"/>
  <c r="W927" i="10" a="1"/>
  <c r="W927" i="10" s="1"/>
  <c r="W941" i="10" a="1"/>
  <c r="W941" i="10" s="1"/>
  <c r="W955" i="10" a="1"/>
  <c r="W955" i="10" s="1"/>
  <c r="W969" i="10" a="1"/>
  <c r="W969" i="10" s="1"/>
  <c r="W983" i="10" a="1"/>
  <c r="W983" i="10" s="1"/>
  <c r="W997" i="10" a="1"/>
  <c r="W997" i="10" s="1"/>
  <c r="W236" i="10" a="1"/>
  <c r="W236" i="10" s="1"/>
  <c r="W270" i="10" a="1"/>
  <c r="W270" i="10" s="1"/>
  <c r="W299" i="10" a="1"/>
  <c r="W299" i="10" s="1"/>
  <c r="W320" i="10" a="1"/>
  <c r="W320" i="10" s="1"/>
  <c r="W334" i="10" a="1"/>
  <c r="W334" i="10" s="1"/>
  <c r="W347" i="10" a="1"/>
  <c r="W347" i="10" s="1"/>
  <c r="W361" i="10" a="1"/>
  <c r="W361" i="10" s="1"/>
  <c r="W375" i="10" a="1"/>
  <c r="W375" i="10" s="1"/>
  <c r="W388" i="10" a="1"/>
  <c r="W388" i="10" s="1"/>
  <c r="W402" i="10" a="1"/>
  <c r="W402" i="10" s="1"/>
  <c r="W415" i="10" a="1"/>
  <c r="W415" i="10" s="1"/>
  <c r="W428" i="10" a="1"/>
  <c r="W428" i="10" s="1"/>
  <c r="W442" i="10" a="1"/>
  <c r="W442" i="10" s="1"/>
  <c r="W455" i="10" a="1"/>
  <c r="W455" i="10" s="1"/>
  <c r="W469" i="10" a="1"/>
  <c r="W469" i="10" s="1"/>
  <c r="W483" i="10" a="1"/>
  <c r="W483" i="10" s="1"/>
  <c r="W497" i="10" a="1"/>
  <c r="W497" i="10" s="1"/>
  <c r="W508" i="10" a="1"/>
  <c r="W508" i="10" s="1"/>
  <c r="W521" i="10" a="1"/>
  <c r="W521" i="10" s="1"/>
  <c r="W534" i="10" a="1"/>
  <c r="W534" i="10" s="1"/>
  <c r="W546" i="10" a="1"/>
  <c r="W546" i="10" s="1"/>
  <c r="W560" i="10" a="1"/>
  <c r="W560" i="10" s="1"/>
  <c r="W574" i="10" a="1"/>
  <c r="W574" i="10" s="1"/>
  <c r="W586" i="10" a="1"/>
  <c r="W586" i="10" s="1"/>
  <c r="W600" i="10" a="1"/>
  <c r="W600" i="10" s="1"/>
  <c r="W612" i="10" a="1"/>
  <c r="W612" i="10" s="1"/>
  <c r="W626" i="10" a="1"/>
  <c r="W626" i="10" s="1"/>
  <c r="W640" i="10" a="1"/>
  <c r="W640" i="10" s="1"/>
  <c r="W654" i="10" a="1"/>
  <c r="W654" i="10" s="1"/>
  <c r="W666" i="10" a="1"/>
  <c r="W666" i="10" s="1"/>
  <c r="W680" i="10" a="1"/>
  <c r="W680" i="10" s="1"/>
  <c r="W694" i="10" a="1"/>
  <c r="W694" i="10" s="1"/>
  <c r="W708" i="10" a="1"/>
  <c r="W708" i="10" s="1"/>
  <c r="W722" i="10" a="1"/>
  <c r="W722" i="10" s="1"/>
  <c r="W736" i="10" a="1"/>
  <c r="W736" i="10" s="1"/>
  <c r="W763" i="10" a="1"/>
  <c r="W763" i="10" s="1"/>
  <c r="W777" i="10" a="1"/>
  <c r="W777" i="10" s="1"/>
  <c r="W790" i="10" a="1"/>
  <c r="W790" i="10" s="1"/>
  <c r="W804" i="10" a="1"/>
  <c r="W804" i="10" s="1"/>
  <c r="W818" i="10" a="1"/>
  <c r="W818" i="10" s="1"/>
  <c r="W832" i="10" a="1"/>
  <c r="W832" i="10" s="1"/>
  <c r="W846" i="10" a="1"/>
  <c r="W846" i="10" s="1"/>
  <c r="W860" i="10" a="1"/>
  <c r="W860" i="10" s="1"/>
  <c r="W873" i="10" a="1"/>
  <c r="W873" i="10" s="1"/>
  <c r="W887" i="10" a="1"/>
  <c r="W887" i="10" s="1"/>
  <c r="W901" i="10" a="1"/>
  <c r="W901" i="10" s="1"/>
  <c r="W915" i="10" a="1"/>
  <c r="W915" i="10" s="1"/>
  <c r="W928" i="10" a="1"/>
  <c r="W928" i="10" s="1"/>
  <c r="W942" i="10" a="1"/>
  <c r="W942" i="10" s="1"/>
  <c r="W956" i="10" a="1"/>
  <c r="W956" i="10" s="1"/>
  <c r="W970" i="10" a="1"/>
  <c r="W970" i="10" s="1"/>
  <c r="W237" i="10" a="1"/>
  <c r="W237" i="10" s="1"/>
  <c r="W272" i="10" a="1"/>
  <c r="W272" i="10" s="1"/>
  <c r="W300" i="10" a="1"/>
  <c r="W300" i="10" s="1"/>
  <c r="W321" i="10" a="1"/>
  <c r="W321" i="10" s="1"/>
  <c r="W348" i="10" a="1"/>
  <c r="W348" i="10" s="1"/>
  <c r="W362" i="10" a="1"/>
  <c r="W362" i="10" s="1"/>
  <c r="W376" i="10" a="1"/>
  <c r="W376" i="10" s="1"/>
  <c r="W389" i="10" a="1"/>
  <c r="W389" i="10" s="1"/>
  <c r="W403" i="10" a="1"/>
  <c r="W403" i="10" s="1"/>
  <c r="W416" i="10" a="1"/>
  <c r="W416" i="10" s="1"/>
  <c r="W429" i="10" a="1"/>
  <c r="W429" i="10" s="1"/>
  <c r="W443" i="10" a="1"/>
  <c r="W443" i="10" s="1"/>
  <c r="W456" i="10" a="1"/>
  <c r="W456" i="10" s="1"/>
  <c r="W470" i="10" a="1"/>
  <c r="W470" i="10" s="1"/>
  <c r="W484" i="10" a="1"/>
  <c r="W484" i="10" s="1"/>
  <c r="W498" i="10" a="1"/>
  <c r="W498" i="10" s="1"/>
  <c r="W509" i="10" a="1"/>
  <c r="W509" i="10" s="1"/>
  <c r="W522" i="10" a="1"/>
  <c r="W522" i="10" s="1"/>
  <c r="W547" i="10" a="1"/>
  <c r="W547" i="10" s="1"/>
  <c r="W561" i="10" a="1"/>
  <c r="W561" i="10" s="1"/>
  <c r="W587" i="10" a="1"/>
  <c r="W587" i="10" s="1"/>
  <c r="W601" i="10" a="1"/>
  <c r="W601" i="10" s="1"/>
  <c r="W613" i="10" a="1"/>
  <c r="W613" i="10" s="1"/>
  <c r="W627" i="10" a="1"/>
  <c r="W627" i="10" s="1"/>
  <c r="W641" i="10" a="1"/>
  <c r="W641" i="10" s="1"/>
  <c r="W655" i="10" a="1"/>
  <c r="W655" i="10" s="1"/>
  <c r="W667" i="10" a="1"/>
  <c r="W667" i="10" s="1"/>
  <c r="W681" i="10" a="1"/>
  <c r="W681" i="10" s="1"/>
  <c r="W695" i="10" a="1"/>
  <c r="W695" i="10" s="1"/>
  <c r="W709" i="10" a="1"/>
  <c r="W709" i="10" s="1"/>
  <c r="W723" i="10" a="1"/>
  <c r="W723" i="10" s="1"/>
  <c r="W737" i="10" a="1"/>
  <c r="W737" i="10" s="1"/>
  <c r="W750" i="10" a="1"/>
  <c r="W750" i="10" s="1"/>
  <c r="W764" i="10" a="1"/>
  <c r="W764" i="10" s="1"/>
  <c r="W778" i="10" a="1"/>
  <c r="W778" i="10" s="1"/>
  <c r="W791" i="10" a="1"/>
  <c r="W791" i="10" s="1"/>
  <c r="W805" i="10" a="1"/>
  <c r="W805" i="10" s="1"/>
  <c r="W819" i="10" a="1"/>
  <c r="W819" i="10" s="1"/>
  <c r="W833" i="10" a="1"/>
  <c r="W833" i="10" s="1"/>
  <c r="W847" i="10" a="1"/>
  <c r="W847" i="10" s="1"/>
  <c r="W861" i="10" a="1"/>
  <c r="W861" i="10" s="1"/>
  <c r="W874" i="10" a="1"/>
  <c r="W874" i="10" s="1"/>
  <c r="W888" i="10" a="1"/>
  <c r="W888" i="10" s="1"/>
  <c r="W902" i="10" a="1"/>
  <c r="W902" i="10" s="1"/>
  <c r="W916" i="10" a="1"/>
  <c r="W916" i="10" s="1"/>
  <c r="W929" i="10" a="1"/>
  <c r="W929" i="10" s="1"/>
  <c r="W943" i="10" a="1"/>
  <c r="W943" i="10" s="1"/>
  <c r="W957" i="10" a="1"/>
  <c r="W957" i="10" s="1"/>
  <c r="W242" i="10" a="1"/>
  <c r="W242" i="10" s="1"/>
  <c r="W273" i="10" a="1"/>
  <c r="W273" i="10" s="1"/>
  <c r="W301" i="10" a="1"/>
  <c r="W301" i="10" s="1"/>
  <c r="W322" i="10" a="1"/>
  <c r="W322" i="10" s="1"/>
  <c r="W335" i="10" a="1"/>
  <c r="W335" i="10" s="1"/>
  <c r="W349" i="10" a="1"/>
  <c r="W349" i="10" s="1"/>
  <c r="W363" i="10" a="1"/>
  <c r="W363" i="10" s="1"/>
  <c r="W377" i="10" a="1"/>
  <c r="W377" i="10" s="1"/>
  <c r="W390" i="10" a="1"/>
  <c r="W390" i="10" s="1"/>
  <c r="W404" i="10" a="1"/>
  <c r="W404" i="10" s="1"/>
  <c r="W417" i="10" a="1"/>
  <c r="W417" i="10" s="1"/>
  <c r="W430" i="10" a="1"/>
  <c r="W430" i="10" s="1"/>
  <c r="W444" i="10" a="1"/>
  <c r="W444" i="10" s="1"/>
  <c r="W457" i="10" a="1"/>
  <c r="W457" i="10" s="1"/>
  <c r="W471" i="10" a="1"/>
  <c r="W471" i="10" s="1"/>
  <c r="W485" i="10" a="1"/>
  <c r="W485" i="10" s="1"/>
  <c r="W510" i="10" a="1"/>
  <c r="W510" i="10" s="1"/>
  <c r="W523" i="10" a="1"/>
  <c r="W523" i="10" s="1"/>
  <c r="W535" i="10" a="1"/>
  <c r="W535" i="10" s="1"/>
  <c r="W548" i="10" a="1"/>
  <c r="W548" i="10" s="1"/>
  <c r="W562" i="10" a="1"/>
  <c r="W562" i="10" s="1"/>
  <c r="W575" i="10" a="1"/>
  <c r="W575" i="10" s="1"/>
  <c r="W588" i="10" a="1"/>
  <c r="W588" i="10" s="1"/>
  <c r="W602" i="10" a="1"/>
  <c r="W602" i="10" s="1"/>
  <c r="W614" i="10" a="1"/>
  <c r="W614" i="10" s="1"/>
  <c r="W628" i="10" a="1"/>
  <c r="W628" i="10" s="1"/>
  <c r="W642" i="10" a="1"/>
  <c r="W642" i="10" s="1"/>
  <c r="W656" i="10" a="1"/>
  <c r="W656" i="10" s="1"/>
  <c r="W668" i="10" a="1"/>
  <c r="W668" i="10" s="1"/>
  <c r="W682" i="10" a="1"/>
  <c r="W682" i="10" s="1"/>
  <c r="W696" i="10" a="1"/>
  <c r="W696" i="10" s="1"/>
  <c r="W710" i="10" a="1"/>
  <c r="W710" i="10" s="1"/>
  <c r="W724" i="10" a="1"/>
  <c r="W724" i="10" s="1"/>
  <c r="W738" i="10" a="1"/>
  <c r="W738" i="10" s="1"/>
  <c r="W751" i="10" a="1"/>
  <c r="W751" i="10" s="1"/>
  <c r="W765" i="10" a="1"/>
  <c r="W765" i="10" s="1"/>
  <c r="W779" i="10" a="1"/>
  <c r="W779" i="10" s="1"/>
  <c r="W792" i="10" a="1"/>
  <c r="W792" i="10" s="1"/>
  <c r="W806" i="10" a="1"/>
  <c r="W806" i="10" s="1"/>
  <c r="W820" i="10" a="1"/>
  <c r="W820" i="10" s="1"/>
  <c r="W834" i="10" a="1"/>
  <c r="W834" i="10" s="1"/>
  <c r="W848" i="10" a="1"/>
  <c r="W848" i="10" s="1"/>
  <c r="W862" i="10" a="1"/>
  <c r="W862" i="10" s="1"/>
  <c r="W875" i="10" a="1"/>
  <c r="W875" i="10" s="1"/>
  <c r="W889" i="10" a="1"/>
  <c r="W889" i="10" s="1"/>
  <c r="W903" i="10" a="1"/>
  <c r="W903" i="10" s="1"/>
  <c r="W917" i="10" a="1"/>
  <c r="W917" i="10" s="1"/>
  <c r="W930" i="10" a="1"/>
  <c r="W930" i="10" s="1"/>
  <c r="W944" i="10" a="1"/>
  <c r="W944" i="10" s="1"/>
  <c r="W958" i="10" a="1"/>
  <c r="W958" i="10" s="1"/>
  <c r="W972" i="10" a="1"/>
  <c r="W972" i="10" s="1"/>
  <c r="W986" i="10" a="1"/>
  <c r="W986" i="10" s="1"/>
  <c r="W1000" i="10" a="1"/>
  <c r="W1000" i="10" s="1"/>
  <c r="W1014" i="10" a="1"/>
  <c r="W1014" i="10" s="1"/>
  <c r="W1027" i="10" a="1"/>
  <c r="W1027" i="10" s="1"/>
  <c r="W1041" i="10" a="1"/>
  <c r="W1041" i="10" s="1"/>
  <c r="W1055" i="10" a="1"/>
  <c r="W1055" i="10" s="1"/>
  <c r="W1068" i="10" a="1"/>
  <c r="W1068" i="10" s="1"/>
  <c r="W1082" i="10" a="1"/>
  <c r="W1082" i="10" s="1"/>
  <c r="W1096" i="10" a="1"/>
  <c r="W1096" i="10" s="1"/>
  <c r="W1110" i="10" a="1"/>
  <c r="W1110" i="10" s="1"/>
  <c r="W1124" i="10" a="1"/>
  <c r="W1124" i="10" s="1"/>
  <c r="W1138" i="10" a="1"/>
  <c r="W1138" i="10" s="1"/>
  <c r="W1152" i="10" a="1"/>
  <c r="W1152" i="10" s="1"/>
  <c r="W1166" i="10" a="1"/>
  <c r="W1166" i="10" s="1"/>
  <c r="W1180" i="10" a="1"/>
  <c r="W1180" i="10" s="1"/>
  <c r="W1194" i="10" a="1"/>
  <c r="W1194" i="10" s="1"/>
  <c r="W244" i="10" a="1"/>
  <c r="W244" i="10" s="1"/>
  <c r="W276" i="10" a="1"/>
  <c r="W276" i="10" s="1"/>
  <c r="W304" i="10" a="1"/>
  <c r="W304" i="10" s="1"/>
  <c r="W323" i="10" a="1"/>
  <c r="W323" i="10" s="1"/>
  <c r="W336" i="10" a="1"/>
  <c r="W336" i="10" s="1"/>
  <c r="W350" i="10" a="1"/>
  <c r="W350" i="10" s="1"/>
  <c r="W364" i="10" a="1"/>
  <c r="W364" i="10" s="1"/>
  <c r="W378" i="10" a="1"/>
  <c r="W378" i="10" s="1"/>
  <c r="W391" i="10" a="1"/>
  <c r="W391" i="10" s="1"/>
  <c r="W431" i="10" a="1"/>
  <c r="W431" i="10" s="1"/>
  <c r="W445" i="10" a="1"/>
  <c r="W445" i="10" s="1"/>
  <c r="W458" i="10" a="1"/>
  <c r="W458" i="10" s="1"/>
  <c r="W472" i="10" a="1"/>
  <c r="W472" i="10" s="1"/>
  <c r="W486" i="10" a="1"/>
  <c r="W486" i="10" s="1"/>
  <c r="W499" i="10" a="1"/>
  <c r="W499" i="10" s="1"/>
  <c r="W511" i="10" a="1"/>
  <c r="W511" i="10" s="1"/>
  <c r="W524" i="10" a="1"/>
  <c r="W524" i="10" s="1"/>
  <c r="W536" i="10" a="1"/>
  <c r="W536" i="10" s="1"/>
  <c r="W549" i="10" a="1"/>
  <c r="W549" i="10" s="1"/>
  <c r="W563" i="10" a="1"/>
  <c r="W563" i="10" s="1"/>
  <c r="W576" i="10" a="1"/>
  <c r="W576" i="10" s="1"/>
  <c r="W589" i="10" a="1"/>
  <c r="W589" i="10" s="1"/>
  <c r="W603" i="10" a="1"/>
  <c r="W603" i="10" s="1"/>
  <c r="W615" i="10" a="1"/>
  <c r="W615" i="10" s="1"/>
  <c r="W629" i="10" a="1"/>
  <c r="W629" i="10" s="1"/>
  <c r="W643" i="10" a="1"/>
  <c r="W643" i="10" s="1"/>
  <c r="W657" i="10" a="1"/>
  <c r="W657" i="10" s="1"/>
  <c r="W669" i="10" a="1"/>
  <c r="W669" i="10" s="1"/>
  <c r="W683" i="10" a="1"/>
  <c r="W683" i="10" s="1"/>
  <c r="W697" i="10" a="1"/>
  <c r="W697" i="10" s="1"/>
  <c r="W711" i="10" a="1"/>
  <c r="W711" i="10" s="1"/>
  <c r="W725" i="10" a="1"/>
  <c r="W725" i="10" s="1"/>
  <c r="W739" i="10" a="1"/>
  <c r="W739" i="10" s="1"/>
  <c r="W752" i="10" a="1"/>
  <c r="W752" i="10" s="1"/>
  <c r="W766" i="10" a="1"/>
  <c r="W766" i="10" s="1"/>
  <c r="W780" i="10" a="1"/>
  <c r="W780" i="10" s="1"/>
  <c r="W793" i="10" a="1"/>
  <c r="W793" i="10" s="1"/>
  <c r="W807" i="10" a="1"/>
  <c r="W807" i="10" s="1"/>
  <c r="W821" i="10" a="1"/>
  <c r="W821" i="10" s="1"/>
  <c r="W835" i="10" a="1"/>
  <c r="W835" i="10" s="1"/>
  <c r="W849" i="10" a="1"/>
  <c r="W849" i="10" s="1"/>
  <c r="W876" i="10" a="1"/>
  <c r="W876" i="10" s="1"/>
  <c r="W890" i="10" a="1"/>
  <c r="W890" i="10" s="1"/>
  <c r="W904" i="10" a="1"/>
  <c r="W904" i="10" s="1"/>
  <c r="W918" i="10" a="1"/>
  <c r="W918" i="10" s="1"/>
  <c r="W931" i="10" a="1"/>
  <c r="W931" i="10" s="1"/>
  <c r="W945" i="10" a="1"/>
  <c r="W945" i="10" s="1"/>
  <c r="W959" i="10" a="1"/>
  <c r="W959" i="10" s="1"/>
  <c r="W973" i="10" a="1"/>
  <c r="W973" i="10" s="1"/>
  <c r="W987" i="10" a="1"/>
  <c r="W987" i="10" s="1"/>
  <c r="W1001" i="10" a="1"/>
  <c r="W1001" i="10" s="1"/>
  <c r="W1015" i="10" a="1"/>
  <c r="W1015" i="10" s="1"/>
  <c r="W1028" i="10" a="1"/>
  <c r="W1028" i="10" s="1"/>
  <c r="W1042" i="10" a="1"/>
  <c r="W1042" i="10" s="1"/>
  <c r="W1056" i="10" a="1"/>
  <c r="W1056" i="10" s="1"/>
  <c r="W1069" i="10" a="1"/>
  <c r="W1069" i="10" s="1"/>
  <c r="W1083" i="10" a="1"/>
  <c r="W1083" i="10" s="1"/>
  <c r="W1097" i="10" a="1"/>
  <c r="W1097" i="10" s="1"/>
  <c r="W1111" i="10" a="1"/>
  <c r="W1111" i="10" s="1"/>
  <c r="W1125" i="10" a="1"/>
  <c r="W1125" i="10" s="1"/>
  <c r="W1139" i="10" a="1"/>
  <c r="W1139" i="10" s="1"/>
  <c r="W1153" i="10" a="1"/>
  <c r="W1153" i="10" s="1"/>
  <c r="W1167" i="10" a="1"/>
  <c r="W1167" i="10" s="1"/>
  <c r="W1181" i="10" a="1"/>
  <c r="W1181" i="10" s="1"/>
  <c r="W245" i="10" a="1"/>
  <c r="W245" i="10" s="1"/>
  <c r="W277" i="10" a="1"/>
  <c r="W277" i="10" s="1"/>
  <c r="W305" i="10" a="1"/>
  <c r="W305" i="10" s="1"/>
  <c r="W324" i="10" a="1"/>
  <c r="W324" i="10" s="1"/>
  <c r="W337" i="10" a="1"/>
  <c r="W337" i="10" s="1"/>
  <c r="W351" i="10" a="1"/>
  <c r="W351" i="10" s="1"/>
  <c r="W365" i="10" a="1"/>
  <c r="W365" i="10" s="1"/>
  <c r="W379" i="10" a="1"/>
  <c r="W379" i="10" s="1"/>
  <c r="W392" i="10" a="1"/>
  <c r="W392" i="10" s="1"/>
  <c r="W405" i="10" a="1"/>
  <c r="W405" i="10" s="1"/>
  <c r="W418" i="10" a="1"/>
  <c r="W418" i="10" s="1"/>
  <c r="W432" i="10" a="1"/>
  <c r="W432" i="10" s="1"/>
  <c r="W459" i="10" a="1"/>
  <c r="W459" i="10" s="1"/>
  <c r="W473" i="10" a="1"/>
  <c r="W473" i="10" s="1"/>
  <c r="W487" i="10" a="1"/>
  <c r="W487" i="10" s="1"/>
  <c r="W512" i="10" a="1"/>
  <c r="W512" i="10" s="1"/>
  <c r="W525" i="10" a="1"/>
  <c r="W525" i="10" s="1"/>
  <c r="W537" i="10" a="1"/>
  <c r="W537" i="10" s="1"/>
  <c r="W550" i="10" a="1"/>
  <c r="W550" i="10" s="1"/>
  <c r="W564" i="10" a="1"/>
  <c r="W564" i="10" s="1"/>
  <c r="W577" i="10" a="1"/>
  <c r="W577" i="10" s="1"/>
  <c r="W590" i="10" a="1"/>
  <c r="W590" i="10" s="1"/>
  <c r="W604" i="10" a="1"/>
  <c r="W604" i="10" s="1"/>
  <c r="W616" i="10" a="1"/>
  <c r="W616" i="10" s="1"/>
  <c r="W630" i="10" a="1"/>
  <c r="W630" i="10" s="1"/>
  <c r="W644" i="10" a="1"/>
  <c r="W644" i="10" s="1"/>
  <c r="W658" i="10" a="1"/>
  <c r="W658" i="10" s="1"/>
  <c r="W670" i="10" a="1"/>
  <c r="W670" i="10" s="1"/>
  <c r="W684" i="10" a="1"/>
  <c r="W684" i="10" s="1"/>
  <c r="W698" i="10" a="1"/>
  <c r="W698" i="10" s="1"/>
  <c r="W712" i="10" a="1"/>
  <c r="W712" i="10" s="1"/>
  <c r="W726" i="10" a="1"/>
  <c r="W726" i="10" s="1"/>
  <c r="W740" i="10" a="1"/>
  <c r="W740" i="10" s="1"/>
  <c r="W753" i="10" a="1"/>
  <c r="W753" i="10" s="1"/>
  <c r="W767" i="10" a="1"/>
  <c r="W767" i="10" s="1"/>
  <c r="W781" i="10" a="1"/>
  <c r="W781" i="10" s="1"/>
  <c r="W794" i="10" a="1"/>
  <c r="W794" i="10" s="1"/>
  <c r="W808" i="10" a="1"/>
  <c r="W808" i="10" s="1"/>
  <c r="W822" i="10" a="1"/>
  <c r="W822" i="10" s="1"/>
  <c r="W836" i="10" a="1"/>
  <c r="W836" i="10" s="1"/>
  <c r="W850" i="10" a="1"/>
  <c r="W850" i="10" s="1"/>
  <c r="W863" i="10" a="1"/>
  <c r="W863" i="10" s="1"/>
  <c r="W877" i="10" a="1"/>
  <c r="W877" i="10" s="1"/>
  <c r="W891" i="10" a="1"/>
  <c r="W891" i="10" s="1"/>
  <c r="W905" i="10" a="1"/>
  <c r="W905" i="10" s="1"/>
  <c r="W919" i="10" a="1"/>
  <c r="W919" i="10" s="1"/>
  <c r="W932" i="10" a="1"/>
  <c r="W932" i="10" s="1"/>
  <c r="W946" i="10" a="1"/>
  <c r="W946" i="10" s="1"/>
  <c r="W960" i="10" a="1"/>
  <c r="W960" i="10" s="1"/>
  <c r="W974" i="10" a="1"/>
  <c r="W974" i="10" s="1"/>
  <c r="W988" i="10" a="1"/>
  <c r="W988" i="10" s="1"/>
  <c r="W1002" i="10" a="1"/>
  <c r="W1002" i="10" s="1"/>
  <c r="W1016" i="10" a="1"/>
  <c r="W1016" i="10" s="1"/>
  <c r="W1029" i="10" a="1"/>
  <c r="W1029" i="10" s="1"/>
  <c r="W1043" i="10" a="1"/>
  <c r="W1043" i="10" s="1"/>
  <c r="W1057" i="10" a="1"/>
  <c r="W1057" i="10" s="1"/>
  <c r="W1070" i="10" a="1"/>
  <c r="W1070" i="10" s="1"/>
  <c r="W1084" i="10" a="1"/>
  <c r="W1084" i="10" s="1"/>
  <c r="W1098" i="10" a="1"/>
  <c r="W1098" i="10" s="1"/>
  <c r="W1112" i="10" a="1"/>
  <c r="W1112" i="10" s="1"/>
  <c r="W1126" i="10" a="1"/>
  <c r="W1126" i="10" s="1"/>
  <c r="W1140" i="10" a="1"/>
  <c r="W1140" i="10" s="1"/>
  <c r="W1154" i="10" a="1"/>
  <c r="W1154" i="10" s="1"/>
  <c r="W248" i="10" a="1"/>
  <c r="W248" i="10" s="1"/>
  <c r="W278" i="10" a="1"/>
  <c r="W278" i="10" s="1"/>
  <c r="W306" i="10" a="1"/>
  <c r="W306" i="10" s="1"/>
  <c r="W325" i="10" a="1"/>
  <c r="W325" i="10" s="1"/>
  <c r="W338" i="10" a="1"/>
  <c r="W338" i="10" s="1"/>
  <c r="W352" i="10" a="1"/>
  <c r="W352" i="10" s="1"/>
  <c r="W366" i="10" a="1"/>
  <c r="W366" i="10" s="1"/>
  <c r="W380" i="10" a="1"/>
  <c r="W380" i="10" s="1"/>
  <c r="W393" i="10" a="1"/>
  <c r="W393" i="10" s="1"/>
  <c r="W406" i="10" a="1"/>
  <c r="W406" i="10" s="1"/>
  <c r="W419" i="10" a="1"/>
  <c r="W419" i="10" s="1"/>
  <c r="W433" i="10" a="1"/>
  <c r="W433" i="10" s="1"/>
  <c r="W446" i="10" a="1"/>
  <c r="W446" i="10" s="1"/>
  <c r="W460" i="10" a="1"/>
  <c r="W460" i="10" s="1"/>
  <c r="W474" i="10" a="1"/>
  <c r="W474" i="10" s="1"/>
  <c r="W488" i="10" a="1"/>
  <c r="W488" i="10" s="1"/>
  <c r="W500" i="10" a="1"/>
  <c r="W500" i="10" s="1"/>
  <c r="W513" i="10" a="1"/>
  <c r="W513" i="10" s="1"/>
  <c r="W538" i="10" a="1"/>
  <c r="W538" i="10" s="1"/>
  <c r="W551" i="10" a="1"/>
  <c r="W551" i="10" s="1"/>
  <c r="W565" i="10" a="1"/>
  <c r="W565" i="10" s="1"/>
  <c r="W578" i="10" a="1"/>
  <c r="W578" i="10" s="1"/>
  <c r="W591" i="10" a="1"/>
  <c r="W591" i="10" s="1"/>
  <c r="W605" i="10" a="1"/>
  <c r="W605" i="10" s="1"/>
  <c r="W617" i="10" a="1"/>
  <c r="W617" i="10" s="1"/>
  <c r="W631" i="10" a="1"/>
  <c r="W631" i="10" s="1"/>
  <c r="W645" i="10" a="1"/>
  <c r="W645" i="10" s="1"/>
  <c r="W659" i="10" a="1"/>
  <c r="W659" i="10" s="1"/>
  <c r="W671" i="10" a="1"/>
  <c r="W671" i="10" s="1"/>
  <c r="W685" i="10" a="1"/>
  <c r="W685" i="10" s="1"/>
  <c r="W699" i="10" a="1"/>
  <c r="W699" i="10" s="1"/>
  <c r="W713" i="10" a="1"/>
  <c r="W713" i="10" s="1"/>
  <c r="W727" i="10" a="1"/>
  <c r="W727" i="10" s="1"/>
  <c r="W741" i="10" a="1"/>
  <c r="W741" i="10" s="1"/>
  <c r="W754" i="10" a="1"/>
  <c r="W754" i="10" s="1"/>
  <c r="W768" i="10" a="1"/>
  <c r="W768" i="10" s="1"/>
  <c r="W782" i="10" a="1"/>
  <c r="W782" i="10" s="1"/>
  <c r="W795" i="10" a="1"/>
  <c r="W795" i="10" s="1"/>
  <c r="W809" i="10" a="1"/>
  <c r="W809" i="10" s="1"/>
  <c r="W823" i="10" a="1"/>
  <c r="W823" i="10" s="1"/>
  <c r="W837" i="10" a="1"/>
  <c r="W837" i="10" s="1"/>
  <c r="W851" i="10" a="1"/>
  <c r="W851" i="10" s="1"/>
  <c r="W864" i="10" a="1"/>
  <c r="W864" i="10" s="1"/>
  <c r="W878" i="10" a="1"/>
  <c r="W878" i="10" s="1"/>
  <c r="W892" i="10" a="1"/>
  <c r="W892" i="10" s="1"/>
  <c r="W906" i="10" a="1"/>
  <c r="W906" i="10" s="1"/>
  <c r="W920" i="10" a="1"/>
  <c r="W920" i="10" s="1"/>
  <c r="W933" i="10" a="1"/>
  <c r="W933" i="10" s="1"/>
  <c r="W947" i="10" a="1"/>
  <c r="W947" i="10" s="1"/>
  <c r="W961" i="10" a="1"/>
  <c r="W961" i="10" s="1"/>
  <c r="W975" i="10" a="1"/>
  <c r="W975" i="10" s="1"/>
  <c r="W989" i="10" a="1"/>
  <c r="W989" i="10" s="1"/>
  <c r="W1003" i="10" a="1"/>
  <c r="W1003" i="10" s="1"/>
  <c r="W1017" i="10" a="1"/>
  <c r="W1017" i="10" s="1"/>
  <c r="W1030" i="10" a="1"/>
  <c r="W1030" i="10" s="1"/>
  <c r="W1044" i="10" a="1"/>
  <c r="W1044" i="10" s="1"/>
  <c r="W1058" i="10" a="1"/>
  <c r="W1058" i="10" s="1"/>
  <c r="W1071" i="10" a="1"/>
  <c r="W1071" i="10" s="1"/>
  <c r="W1085" i="10" a="1"/>
  <c r="W1085" i="10" s="1"/>
  <c r="W1099" i="10" a="1"/>
  <c r="W1099" i="10" s="1"/>
  <c r="W1113" i="10" a="1"/>
  <c r="W1113" i="10" s="1"/>
  <c r="W1127" i="10" a="1"/>
  <c r="W1127" i="10" s="1"/>
  <c r="W1141" i="10" a="1"/>
  <c r="W1141" i="10" s="1"/>
  <c r="W1155" i="10" a="1"/>
  <c r="W1155" i="10" s="1"/>
  <c r="W208" i="10" a="1"/>
  <c r="W208" i="10" s="1"/>
  <c r="W249" i="10" a="1"/>
  <c r="W249" i="10" s="1"/>
  <c r="W284" i="10" a="1"/>
  <c r="W284" i="10" s="1"/>
  <c r="W307" i="10" a="1"/>
  <c r="W307" i="10" s="1"/>
  <c r="W326" i="10" a="1"/>
  <c r="W326" i="10" s="1"/>
  <c r="W339" i="10" a="1"/>
  <c r="W339" i="10" s="1"/>
  <c r="W353" i="10" a="1"/>
  <c r="W353" i="10" s="1"/>
  <c r="W367" i="10" a="1"/>
  <c r="W367" i="10" s="1"/>
  <c r="W381" i="10" a="1"/>
  <c r="W381" i="10" s="1"/>
  <c r="W394" i="10" a="1"/>
  <c r="W394" i="10" s="1"/>
  <c r="W407" i="10" a="1"/>
  <c r="W407" i="10" s="1"/>
  <c r="W420" i="10" a="1"/>
  <c r="W420" i="10" s="1"/>
  <c r="W434" i="10" a="1"/>
  <c r="W434" i="10" s="1"/>
  <c r="W447" i="10" a="1"/>
  <c r="W447" i="10" s="1"/>
  <c r="W461" i="10" a="1"/>
  <c r="W461" i="10" s="1"/>
  <c r="W475" i="10" a="1"/>
  <c r="W475" i="10" s="1"/>
  <c r="W489" i="10" a="1"/>
  <c r="W489" i="10" s="1"/>
  <c r="W501" i="10" a="1"/>
  <c r="W501" i="10" s="1"/>
  <c r="W514" i="10" a="1"/>
  <c r="W514" i="10" s="1"/>
  <c r="W526" i="10" a="1"/>
  <c r="W526" i="10" s="1"/>
  <c r="W539" i="10" a="1"/>
  <c r="W539" i="10" s="1"/>
  <c r="W552" i="10" a="1"/>
  <c r="W552" i="10" s="1"/>
  <c r="W566" i="10" a="1"/>
  <c r="W566" i="10" s="1"/>
  <c r="W579" i="10" a="1"/>
  <c r="W579" i="10" s="1"/>
  <c r="W592" i="10" a="1"/>
  <c r="W592" i="10" s="1"/>
  <c r="W606" i="10" a="1"/>
  <c r="W606" i="10" s="1"/>
  <c r="W618" i="10" a="1"/>
  <c r="W618" i="10" s="1"/>
  <c r="W632" i="10" a="1"/>
  <c r="W632" i="10" s="1"/>
  <c r="W646" i="10" a="1"/>
  <c r="W646" i="10" s="1"/>
  <c r="W660" i="10" a="1"/>
  <c r="W660" i="10" s="1"/>
  <c r="W672" i="10" a="1"/>
  <c r="W672" i="10" s="1"/>
  <c r="W686" i="10" a="1"/>
  <c r="W686" i="10" s="1"/>
  <c r="W700" i="10" a="1"/>
  <c r="W700" i="10" s="1"/>
  <c r="W714" i="10" a="1"/>
  <c r="W714" i="10" s="1"/>
  <c r="W728" i="10" a="1"/>
  <c r="W728" i="10" s="1"/>
  <c r="W742" i="10" a="1"/>
  <c r="W742" i="10" s="1"/>
  <c r="W755" i="10" a="1"/>
  <c r="W755" i="10" s="1"/>
  <c r="W769" i="10" a="1"/>
  <c r="W769" i="10" s="1"/>
  <c r="W783" i="10" a="1"/>
  <c r="W783" i="10" s="1"/>
  <c r="W796" i="10" a="1"/>
  <c r="W796" i="10" s="1"/>
  <c r="W810" i="10" a="1"/>
  <c r="W810" i="10" s="1"/>
  <c r="W824" i="10" a="1"/>
  <c r="W824" i="10" s="1"/>
  <c r="W838" i="10" a="1"/>
  <c r="W838" i="10" s="1"/>
  <c r="W852" i="10" a="1"/>
  <c r="W852" i="10" s="1"/>
  <c r="W865" i="10" a="1"/>
  <c r="W865" i="10" s="1"/>
  <c r="W879" i="10" a="1"/>
  <c r="W879" i="10" s="1"/>
  <c r="W893" i="10" a="1"/>
  <c r="W893" i="10" s="1"/>
  <c r="W907" i="10" a="1"/>
  <c r="W907" i="10" s="1"/>
  <c r="W921" i="10" a="1"/>
  <c r="W921" i="10" s="1"/>
  <c r="W934" i="10" a="1"/>
  <c r="W934" i="10" s="1"/>
  <c r="W948" i="10" a="1"/>
  <c r="W948" i="10" s="1"/>
  <c r="W962" i="10" a="1"/>
  <c r="W962" i="10" s="1"/>
  <c r="W976" i="10" a="1"/>
  <c r="W976" i="10" s="1"/>
  <c r="W990" i="10" a="1"/>
  <c r="W990" i="10" s="1"/>
  <c r="W1004" i="10" a="1"/>
  <c r="W1004" i="10" s="1"/>
  <c r="W1018" i="10" a="1"/>
  <c r="W1018" i="10" s="1"/>
  <c r="W1031" i="10" a="1"/>
  <c r="W1031" i="10" s="1"/>
  <c r="W1045" i="10" a="1"/>
  <c r="W1045" i="10" s="1"/>
  <c r="W1072" i="10" a="1"/>
  <c r="W1072" i="10" s="1"/>
  <c r="W1086" i="10" a="1"/>
  <c r="W1086" i="10" s="1"/>
  <c r="W1100" i="10" a="1"/>
  <c r="W1100" i="10" s="1"/>
  <c r="W1114" i="10" a="1"/>
  <c r="W1114" i="10" s="1"/>
  <c r="W1128" i="10" a="1"/>
  <c r="W1128" i="10" s="1"/>
  <c r="W1142" i="10" a="1"/>
  <c r="W1142" i="10" s="1"/>
  <c r="W1156" i="10" a="1"/>
  <c r="W1156" i="10" s="1"/>
  <c r="W1170" i="10" a="1"/>
  <c r="W1170" i="10" s="1"/>
  <c r="W1184" i="10" a="1"/>
  <c r="W1184" i="10" s="1"/>
  <c r="AB44" i="10"/>
  <c r="W210" i="10" a="1"/>
  <c r="W210" i="10" s="1"/>
  <c r="W250" i="10" a="1"/>
  <c r="W250" i="10" s="1"/>
  <c r="W285" i="10" a="1"/>
  <c r="W285" i="10" s="1"/>
  <c r="W308" i="10" a="1"/>
  <c r="W308" i="10" s="1"/>
  <c r="W327" i="10" a="1"/>
  <c r="W327" i="10" s="1"/>
  <c r="W340" i="10" a="1"/>
  <c r="W340" i="10" s="1"/>
  <c r="W354" i="10" a="1"/>
  <c r="W354" i="10" s="1"/>
  <c r="W368" i="10" a="1"/>
  <c r="W368" i="10" s="1"/>
  <c r="W382" i="10" a="1"/>
  <c r="W382" i="10" s="1"/>
  <c r="W395" i="10" a="1"/>
  <c r="W395" i="10" s="1"/>
  <c r="W408" i="10" a="1"/>
  <c r="W408" i="10" s="1"/>
  <c r="W421" i="10" a="1"/>
  <c r="W421" i="10" s="1"/>
  <c r="W435" i="10" a="1"/>
  <c r="W435" i="10" s="1"/>
  <c r="W448" i="10" a="1"/>
  <c r="W448" i="10" s="1"/>
  <c r="W462" i="10" a="1"/>
  <c r="W462" i="10" s="1"/>
  <c r="W476" i="10" a="1"/>
  <c r="W476" i="10" s="1"/>
  <c r="W490" i="10" a="1"/>
  <c r="W490" i="10" s="1"/>
  <c r="W502" i="10" a="1"/>
  <c r="W502" i="10" s="1"/>
  <c r="W515" i="10" a="1"/>
  <c r="W515" i="10" s="1"/>
  <c r="W527" i="10" a="1"/>
  <c r="W527" i="10" s="1"/>
  <c r="W540" i="10" a="1"/>
  <c r="W540" i="10" s="1"/>
  <c r="W553" i="10" a="1"/>
  <c r="W553" i="10" s="1"/>
  <c r="W567" i="10" a="1"/>
  <c r="W567" i="10" s="1"/>
  <c r="W580" i="10" a="1"/>
  <c r="W580" i="10" s="1"/>
  <c r="W593" i="10" a="1"/>
  <c r="W593" i="10" s="1"/>
  <c r="W619" i="10" a="1"/>
  <c r="W619" i="10" s="1"/>
  <c r="W633" i="10" a="1"/>
  <c r="W633" i="10" s="1"/>
  <c r="W647" i="10" a="1"/>
  <c r="W647" i="10" s="1"/>
  <c r="W661" i="10" a="1"/>
  <c r="W661" i="10" s="1"/>
  <c r="W673" i="10" a="1"/>
  <c r="W673" i="10" s="1"/>
  <c r="W687" i="10" a="1"/>
  <c r="W687" i="10" s="1"/>
  <c r="W701" i="10" a="1"/>
  <c r="W701" i="10" s="1"/>
  <c r="W715" i="10" a="1"/>
  <c r="W715" i="10" s="1"/>
  <c r="W729" i="10" a="1"/>
  <c r="W729" i="10" s="1"/>
  <c r="W743" i="10" a="1"/>
  <c r="W743" i="10" s="1"/>
  <c r="W756" i="10" a="1"/>
  <c r="W756" i="10" s="1"/>
  <c r="W770" i="10" a="1"/>
  <c r="W770" i="10" s="1"/>
  <c r="W784" i="10" a="1"/>
  <c r="W784" i="10" s="1"/>
  <c r="W797" i="10" a="1"/>
  <c r="W797" i="10" s="1"/>
  <c r="W811" i="10" a="1"/>
  <c r="W811" i="10" s="1"/>
  <c r="W825" i="10" a="1"/>
  <c r="W825" i="10" s="1"/>
  <c r="W839" i="10" a="1"/>
  <c r="W839" i="10" s="1"/>
  <c r="W853" i="10" a="1"/>
  <c r="W853" i="10" s="1"/>
  <c r="W866" i="10" a="1"/>
  <c r="W866" i="10" s="1"/>
  <c r="W880" i="10" a="1"/>
  <c r="W880" i="10" s="1"/>
  <c r="W894" i="10" a="1"/>
  <c r="W894" i="10" s="1"/>
  <c r="W908" i="10" a="1"/>
  <c r="W908" i="10" s="1"/>
  <c r="W922" i="10" a="1"/>
  <c r="W922" i="10" s="1"/>
  <c r="W935" i="10" a="1"/>
  <c r="W935" i="10" s="1"/>
  <c r="W949" i="10" a="1"/>
  <c r="W949" i="10" s="1"/>
  <c r="W963" i="10" a="1"/>
  <c r="W963" i="10" s="1"/>
  <c r="W977" i="10" a="1"/>
  <c r="W977" i="10" s="1"/>
  <c r="W991" i="10" a="1"/>
  <c r="W991" i="10" s="1"/>
  <c r="W1005" i="10" a="1"/>
  <c r="W1005" i="10" s="1"/>
  <c r="W1019" i="10" a="1"/>
  <c r="W1019" i="10" s="1"/>
  <c r="W1032" i="10" a="1"/>
  <c r="W1032" i="10" s="1"/>
  <c r="W1046" i="10" a="1"/>
  <c r="W1046" i="10" s="1"/>
  <c r="W1059" i="10" a="1"/>
  <c r="W1059" i="10" s="1"/>
  <c r="W1073" i="10" a="1"/>
  <c r="W1073" i="10" s="1"/>
  <c r="W1087" i="10" a="1"/>
  <c r="W1087" i="10" s="1"/>
  <c r="W1101" i="10" a="1"/>
  <c r="W1101" i="10" s="1"/>
  <c r="W1115" i="10" a="1"/>
  <c r="W1115" i="10" s="1"/>
  <c r="W1129" i="10" a="1"/>
  <c r="W1129" i="10" s="1"/>
  <c r="W1143" i="10" a="1"/>
  <c r="W1143" i="10" s="1"/>
  <c r="W1157" i="10" a="1"/>
  <c r="W1157" i="10" s="1"/>
  <c r="W1171" i="10" a="1"/>
  <c r="W1171" i="10" s="1"/>
  <c r="W1185" i="10" a="1"/>
  <c r="W1185" i="10" s="1"/>
  <c r="W971" i="10" a="1"/>
  <c r="W971" i="10" s="1"/>
  <c r="W1013" i="10" a="1"/>
  <c r="W1013" i="10" s="1"/>
  <c r="W1048" i="10" a="1"/>
  <c r="W1048" i="10" s="1"/>
  <c r="W1079" i="10" a="1"/>
  <c r="W1079" i="10" s="1"/>
  <c r="W1109" i="10" a="1"/>
  <c r="W1109" i="10" s="1"/>
  <c r="W1145" i="10" a="1"/>
  <c r="W1145" i="10" s="1"/>
  <c r="W1169" i="10" a="1"/>
  <c r="W1169" i="10" s="1"/>
  <c r="W1190" i="10" a="1"/>
  <c r="W1190" i="10" s="1"/>
  <c r="W978" i="10" a="1"/>
  <c r="W978" i="10" s="1"/>
  <c r="W1020" i="10" a="1"/>
  <c r="W1020" i="10" s="1"/>
  <c r="W1049" i="10" a="1"/>
  <c r="W1049" i="10" s="1"/>
  <c r="W1080" i="10" a="1"/>
  <c r="W1080" i="10" s="1"/>
  <c r="W1116" i="10" a="1"/>
  <c r="W1116" i="10" s="1"/>
  <c r="W1146" i="10" a="1"/>
  <c r="W1146" i="10" s="1"/>
  <c r="W1172" i="10" a="1"/>
  <c r="W1172" i="10" s="1"/>
  <c r="W1191" i="10" a="1"/>
  <c r="W1191" i="10" s="1"/>
  <c r="W979" i="10" a="1"/>
  <c r="W979" i="10" s="1"/>
  <c r="W1021" i="10" a="1"/>
  <c r="W1021" i="10" s="1"/>
  <c r="W1052" i="10" a="1"/>
  <c r="W1052" i="10" s="1"/>
  <c r="W1081" i="10" a="1"/>
  <c r="W1081" i="10" s="1"/>
  <c r="W1117" i="10" a="1"/>
  <c r="W1117" i="10" s="1"/>
  <c r="W1147" i="10" a="1"/>
  <c r="W1147" i="10" s="1"/>
  <c r="W1173" i="10" a="1"/>
  <c r="W1173" i="10" s="1"/>
  <c r="W984" i="10" a="1"/>
  <c r="W984" i="10" s="1"/>
  <c r="W1053" i="10" a="1"/>
  <c r="W1053" i="10" s="1"/>
  <c r="W1088" i="10" a="1"/>
  <c r="W1088" i="10" s="1"/>
  <c r="W1118" i="10" a="1"/>
  <c r="W1118" i="10" s="1"/>
  <c r="W1149" i="10" a="1"/>
  <c r="W1149" i="10" s="1"/>
  <c r="W1174" i="10" a="1"/>
  <c r="W1174" i="10" s="1"/>
  <c r="W1193" i="10" a="1"/>
  <c r="W1193" i="10" s="1"/>
  <c r="W985" i="10" a="1"/>
  <c r="W985" i="10" s="1"/>
  <c r="W1024" i="10" a="1"/>
  <c r="W1024" i="10" s="1"/>
  <c r="W1054" i="10" a="1"/>
  <c r="W1054" i="10" s="1"/>
  <c r="W1089" i="10" a="1"/>
  <c r="W1089" i="10" s="1"/>
  <c r="W1121" i="10" a="1"/>
  <c r="W1121" i="10" s="1"/>
  <c r="W1150" i="10" a="1"/>
  <c r="W1150" i="10" s="1"/>
  <c r="W1175" i="10" a="1"/>
  <c r="W1175" i="10" s="1"/>
  <c r="W2" i="10" a="1"/>
  <c r="W2" i="10" s="1"/>
  <c r="W992" i="10" a="1"/>
  <c r="W992" i="10" s="1"/>
  <c r="W1025" i="10" a="1"/>
  <c r="W1025" i="10" s="1"/>
  <c r="W1060" i="10" a="1"/>
  <c r="W1060" i="10" s="1"/>
  <c r="W1090" i="10" a="1"/>
  <c r="W1090" i="10" s="1"/>
  <c r="W1122" i="10" a="1"/>
  <c r="W1122" i="10" s="1"/>
  <c r="W1151" i="10" a="1"/>
  <c r="W1151" i="10" s="1"/>
  <c r="W1177" i="10" a="1"/>
  <c r="W1177" i="10" s="1"/>
  <c r="W993" i="10" a="1"/>
  <c r="W993" i="10" s="1"/>
  <c r="W1026" i="10" a="1"/>
  <c r="W1026" i="10" s="1"/>
  <c r="W1061" i="10" a="1"/>
  <c r="W1061" i="10" s="1"/>
  <c r="W1093" i="10" a="1"/>
  <c r="W1093" i="10" s="1"/>
  <c r="W1123" i="10" a="1"/>
  <c r="W1123" i="10" s="1"/>
  <c r="W1158" i="10" a="1"/>
  <c r="W1158" i="10" s="1"/>
  <c r="W1178" i="10" a="1"/>
  <c r="W1178" i="10" s="1"/>
  <c r="W998" i="10" a="1"/>
  <c r="W998" i="10" s="1"/>
  <c r="W1033" i="10" a="1"/>
  <c r="W1033" i="10" s="1"/>
  <c r="W1062" i="10" a="1"/>
  <c r="W1062" i="10" s="1"/>
  <c r="W1094" i="10" a="1"/>
  <c r="W1094" i="10" s="1"/>
  <c r="W1130" i="10" a="1"/>
  <c r="W1130" i="10" s="1"/>
  <c r="W1159" i="10" a="1"/>
  <c r="W1159" i="10" s="1"/>
  <c r="W1179" i="10" a="1"/>
  <c r="W1179" i="10" s="1"/>
  <c r="AB34" i="10"/>
  <c r="AB29" i="10"/>
  <c r="AB24" i="10"/>
  <c r="AB17" i="10"/>
  <c r="W999" i="10" a="1"/>
  <c r="W999" i="10" s="1"/>
  <c r="W1034" i="10" a="1"/>
  <c r="W1034" i="10" s="1"/>
  <c r="W1065" i="10" a="1"/>
  <c r="W1065" i="10" s="1"/>
  <c r="W1095" i="10" a="1"/>
  <c r="W1095" i="10" s="1"/>
  <c r="W1131" i="10" a="1"/>
  <c r="W1131" i="10" s="1"/>
  <c r="W1160" i="10" a="1"/>
  <c r="W1160" i="10" s="1"/>
  <c r="W1182" i="10" a="1"/>
  <c r="W1182" i="10" s="1"/>
  <c r="W1006" i="10" a="1"/>
  <c r="W1006" i="10" s="1"/>
  <c r="W1035" i="10" a="1"/>
  <c r="W1035" i="10" s="1"/>
  <c r="W1066" i="10" a="1"/>
  <c r="W1066" i="10" s="1"/>
  <c r="W1102" i="10" a="1"/>
  <c r="W1102" i="10" s="1"/>
  <c r="W1132" i="10" a="1"/>
  <c r="W1132" i="10" s="1"/>
  <c r="W1161" i="10" a="1"/>
  <c r="W1161" i="10" s="1"/>
  <c r="W1183" i="10" a="1"/>
  <c r="W1183" i="10" s="1"/>
  <c r="W1007" i="10" a="1"/>
  <c r="W1007" i="10" s="1"/>
  <c r="W1038" i="10" a="1"/>
  <c r="W1038" i="10" s="1"/>
  <c r="W1067" i="10" a="1"/>
  <c r="W1067" i="10" s="1"/>
  <c r="W1103" i="10" a="1"/>
  <c r="W1103" i="10" s="1"/>
  <c r="W1135" i="10" a="1"/>
  <c r="W1135" i="10" s="1"/>
  <c r="W1163" i="10" a="1"/>
  <c r="W1163" i="10" s="1"/>
  <c r="W1186" i="10" a="1"/>
  <c r="W1186" i="10" s="1"/>
  <c r="W1008" i="10" a="1"/>
  <c r="W1008" i="10" s="1"/>
  <c r="W1039" i="10" a="1"/>
  <c r="W1039" i="10" s="1"/>
  <c r="W1074" i="10" a="1"/>
  <c r="W1074" i="10" s="1"/>
  <c r="W1104" i="10" a="1"/>
  <c r="W1104" i="10" s="1"/>
  <c r="W1136" i="10" a="1"/>
  <c r="W1136" i="10" s="1"/>
  <c r="W1164" i="10" a="1"/>
  <c r="W1164" i="10" s="1"/>
  <c r="W1187" i="10" a="1"/>
  <c r="W1187" i="10" s="1"/>
  <c r="W950" i="10" a="1"/>
  <c r="W950" i="10" s="1"/>
  <c r="W1011" i="10" a="1"/>
  <c r="W1011" i="10" s="1"/>
  <c r="W1040" i="10" a="1"/>
  <c r="W1040" i="10" s="1"/>
  <c r="W1075" i="10" a="1"/>
  <c r="W1075" i="10" s="1"/>
  <c r="W1107" i="10" a="1"/>
  <c r="W1107" i="10" s="1"/>
  <c r="W1137" i="10" a="1"/>
  <c r="W1137" i="10" s="1"/>
  <c r="W1165" i="10" a="1"/>
  <c r="W1165" i="10" s="1"/>
  <c r="W964" i="10" a="1"/>
  <c r="W964" i="10" s="1"/>
  <c r="W1012" i="10" a="1"/>
  <c r="W1012" i="10" s="1"/>
  <c r="W1047" i="10" a="1"/>
  <c r="W1047" i="10" s="1"/>
  <c r="W1076" i="10" a="1"/>
  <c r="W1076" i="10" s="1"/>
  <c r="W1108" i="10" a="1"/>
  <c r="W1108" i="10" s="1"/>
  <c r="W1144" i="10" a="1"/>
  <c r="W1144" i="10" s="1"/>
  <c r="W1168" i="10" a="1"/>
  <c r="W1168" i="10" s="1"/>
  <c r="W1192" i="10" a="1"/>
  <c r="W1192" i="10" s="1"/>
  <c r="AB14" i="10"/>
  <c r="AB9" i="10"/>
  <c r="W1188" i="10" a="1"/>
  <c r="W1188" i="10" s="1"/>
  <c r="AB11" i="10"/>
  <c r="AB21" i="10"/>
  <c r="AB26" i="10"/>
  <c r="AB56" i="10"/>
  <c r="AB66" i="10"/>
  <c r="AB73" i="10"/>
  <c r="AB97" i="10"/>
  <c r="AB116" i="10"/>
  <c r="AB127" i="10"/>
  <c r="AB152" i="10"/>
  <c r="AB169" i="10"/>
  <c r="L19" i="6"/>
  <c r="M19" i="6" s="1"/>
  <c r="L134" i="6"/>
  <c r="M134" i="6" s="1"/>
  <c r="S134" i="10" s="1"/>
  <c r="L173" i="6"/>
  <c r="M173" i="6" s="1"/>
  <c r="L191" i="6"/>
  <c r="M191" i="6" s="1"/>
  <c r="L219" i="6"/>
  <c r="M219" i="6" s="1"/>
  <c r="L226" i="6"/>
  <c r="M226" i="6" s="1"/>
  <c r="L229" i="6"/>
  <c r="M229" i="6" s="1"/>
  <c r="S229" i="10" s="1"/>
  <c r="L240" i="6"/>
  <c r="M240" i="6" s="1"/>
  <c r="S240" i="10" s="1"/>
  <c r="L265" i="6"/>
  <c r="M265" i="6" s="1"/>
  <c r="S265" i="10" s="1"/>
  <c r="L272" i="6"/>
  <c r="M272" i="6" s="1"/>
  <c r="S272" i="10" s="1"/>
  <c r="L283" i="6"/>
  <c r="M283" i="6" s="1"/>
  <c r="S283" i="10" s="1"/>
  <c r="L286" i="6"/>
  <c r="M286" i="6" s="1"/>
  <c r="S286" i="10" s="1"/>
  <c r="L297" i="6"/>
  <c r="M297" i="6" s="1"/>
  <c r="S297" i="10" s="1"/>
  <c r="L348" i="6"/>
  <c r="M348" i="6" s="1"/>
  <c r="L352" i="6"/>
  <c r="M352" i="6" s="1"/>
  <c r="S352" i="10" s="1"/>
  <c r="L377" i="6"/>
  <c r="M377" i="6" s="1"/>
  <c r="S377" i="10" s="1"/>
  <c r="L412" i="6"/>
  <c r="M412" i="6" s="1"/>
  <c r="L456" i="6"/>
  <c r="M456" i="6" s="1"/>
  <c r="L467" i="6"/>
  <c r="M467" i="6" s="1"/>
  <c r="S467" i="10" s="1"/>
  <c r="L482" i="6"/>
  <c r="M482" i="6" s="1"/>
  <c r="S482" i="10" s="1"/>
  <c r="L496" i="6"/>
  <c r="M496" i="6" s="1"/>
  <c r="S496" i="10" s="1"/>
  <c r="L507" i="6"/>
  <c r="M507" i="6" s="1"/>
  <c r="S507" i="10" s="1"/>
  <c r="L526" i="6"/>
  <c r="M526" i="6" s="1"/>
  <c r="L665" i="6"/>
  <c r="M665" i="6" s="1"/>
  <c r="L669" i="6"/>
  <c r="M669" i="6" s="1"/>
  <c r="S669" i="10" s="1"/>
  <c r="L676" i="6"/>
  <c r="M676" i="6" s="1"/>
  <c r="S676" i="10" s="1"/>
  <c r="L758" i="6"/>
  <c r="M758" i="6" s="1"/>
  <c r="L762" i="6"/>
  <c r="M762" i="6" s="1"/>
  <c r="L830" i="6"/>
  <c r="M830" i="6" s="1"/>
  <c r="S830" i="10" s="1"/>
  <c r="L842" i="6"/>
  <c r="M842" i="6" s="1"/>
  <c r="S842" i="10" s="1"/>
  <c r="L865" i="6"/>
  <c r="M865" i="6" s="1"/>
  <c r="L974" i="6"/>
  <c r="M974" i="6" s="1"/>
  <c r="S974" i="10" s="1"/>
  <c r="L993" i="6"/>
  <c r="M993" i="6" s="1"/>
  <c r="L1025" i="6"/>
  <c r="M1025" i="6" s="1"/>
  <c r="L1128" i="6"/>
  <c r="M1128" i="6" s="1"/>
  <c r="S1128" i="10" s="1"/>
  <c r="L1162" i="6"/>
  <c r="M1162" i="6" s="1"/>
  <c r="L1166" i="6"/>
  <c r="M1166" i="6" s="1"/>
  <c r="S1166" i="10" s="1"/>
  <c r="L1173" i="6"/>
  <c r="M1173" i="6" s="1"/>
  <c r="L1184" i="6"/>
  <c r="M1184" i="6" s="1"/>
  <c r="L1188" i="6"/>
  <c r="M1188" i="6" s="1"/>
  <c r="S1188" i="10" s="1"/>
  <c r="L31" i="6"/>
  <c r="M31" i="6" s="1"/>
  <c r="L45" i="6"/>
  <c r="M45" i="6" s="1"/>
  <c r="L52" i="6"/>
  <c r="M52" i="6" s="1"/>
  <c r="S52" i="10" s="1"/>
  <c r="L63" i="6"/>
  <c r="M63" i="6" s="1"/>
  <c r="L67" i="6"/>
  <c r="M67" i="6" s="1"/>
  <c r="L81" i="6"/>
  <c r="M81" i="6" s="1"/>
  <c r="S81" i="10" s="1"/>
  <c r="L119" i="6"/>
  <c r="M119" i="6" s="1"/>
  <c r="L133" i="6"/>
  <c r="M133" i="6" s="1"/>
  <c r="L147" i="6"/>
  <c r="M147" i="6" s="1"/>
  <c r="L151" i="6"/>
  <c r="M151" i="6" s="1"/>
  <c r="L207" i="6"/>
  <c r="M207" i="6" s="1"/>
  <c r="S207" i="10" s="1"/>
  <c r="L217" i="6"/>
  <c r="M217" i="6" s="1"/>
  <c r="S217" i="10" s="1"/>
  <c r="L221" i="6"/>
  <c r="M221" i="6" s="1"/>
  <c r="L245" i="6"/>
  <c r="M245" i="6" s="1"/>
  <c r="S245" i="10" s="1"/>
  <c r="L324" i="6"/>
  <c r="M324" i="6" s="1"/>
  <c r="L342" i="6"/>
  <c r="M342" i="6" s="1"/>
  <c r="S342" i="10" s="1"/>
  <c r="L346" i="6"/>
  <c r="M346" i="6" s="1"/>
  <c r="S346" i="10" s="1"/>
  <c r="L371" i="6"/>
  <c r="M371" i="6" s="1"/>
  <c r="L381" i="6"/>
  <c r="M381" i="6" s="1"/>
  <c r="L388" i="6"/>
  <c r="M388" i="6" s="1"/>
  <c r="L395" i="6"/>
  <c r="M395" i="6" s="1"/>
  <c r="S395" i="10" s="1"/>
  <c r="L413" i="6"/>
  <c r="M413" i="6" s="1"/>
  <c r="S413" i="10" s="1"/>
  <c r="L446" i="6"/>
  <c r="M446" i="6" s="1"/>
  <c r="S446" i="10" s="1"/>
  <c r="L453" i="6"/>
  <c r="M453" i="6" s="1"/>
  <c r="S453" i="10" s="1"/>
  <c r="L457" i="6"/>
  <c r="M457" i="6" s="1"/>
  <c r="S457" i="10" s="1"/>
  <c r="L460" i="6"/>
  <c r="M460" i="6" s="1"/>
  <c r="L479" i="6"/>
  <c r="M479" i="6" s="1"/>
  <c r="S479" i="10" s="1"/>
  <c r="L530" i="6"/>
  <c r="M530" i="6" s="1"/>
  <c r="S530" i="10" s="1"/>
  <c r="L568" i="6"/>
  <c r="M568" i="6" s="1"/>
  <c r="S568" i="10" s="1"/>
  <c r="L586" i="6"/>
  <c r="M586" i="6" s="1"/>
  <c r="L609" i="6"/>
  <c r="M609" i="6" s="1"/>
  <c r="S609" i="10" s="1"/>
  <c r="L613" i="6"/>
  <c r="M613" i="6" s="1"/>
  <c r="L617" i="6"/>
  <c r="M617" i="6" s="1"/>
  <c r="S617" i="10" s="1"/>
  <c r="L633" i="6"/>
  <c r="M633" i="6" s="1"/>
  <c r="S633" i="10" s="1"/>
  <c r="L680" i="6"/>
  <c r="M680" i="6" s="1"/>
  <c r="S680" i="10" s="1"/>
  <c r="L710" i="6"/>
  <c r="M710" i="6" s="1"/>
  <c r="L718" i="6"/>
  <c r="M718" i="6" s="1"/>
  <c r="S718" i="10" s="1"/>
  <c r="L722" i="6"/>
  <c r="M722" i="6" s="1"/>
  <c r="L787" i="6"/>
  <c r="M787" i="6" s="1"/>
  <c r="S787" i="10" s="1"/>
  <c r="L821" i="6"/>
  <c r="M821" i="6" s="1"/>
  <c r="L840" i="6"/>
  <c r="M840" i="6" s="1"/>
  <c r="S840" i="10" s="1"/>
  <c r="L890" i="6"/>
  <c r="M890" i="6" s="1"/>
  <c r="S890" i="10" s="1"/>
  <c r="L898" i="6"/>
  <c r="M898" i="6" s="1"/>
  <c r="L920" i="6"/>
  <c r="M920" i="6" s="1"/>
  <c r="S920" i="10" s="1"/>
  <c r="L927" i="6"/>
  <c r="M927" i="6" s="1"/>
  <c r="S927" i="10" s="1"/>
  <c r="L964" i="6"/>
  <c r="M964" i="6" s="1"/>
  <c r="L987" i="6"/>
  <c r="M987" i="6" s="1"/>
  <c r="L1006" i="6"/>
  <c r="M1006" i="6" s="1"/>
  <c r="S1006" i="10" s="1"/>
  <c r="L1022" i="6"/>
  <c r="M1022" i="6" s="1"/>
  <c r="L1045" i="6"/>
  <c r="M1045" i="6" s="1"/>
  <c r="L1065" i="6"/>
  <c r="M1065" i="6" s="1"/>
  <c r="L1110" i="6"/>
  <c r="M1110" i="6" s="1"/>
  <c r="S1110" i="10" s="1"/>
  <c r="L1114" i="6"/>
  <c r="M1114" i="6" s="1"/>
  <c r="S1114" i="10" s="1"/>
  <c r="L1125" i="6"/>
  <c r="M1125" i="6" s="1"/>
  <c r="L1140" i="6"/>
  <c r="M1140" i="6" s="1"/>
  <c r="L1144" i="6"/>
  <c r="M1144" i="6" s="1"/>
  <c r="S1144" i="10" s="1"/>
  <c r="L1193" i="6"/>
  <c r="M1193" i="6" s="1"/>
  <c r="S1193" i="10" s="1"/>
  <c r="L291" i="6"/>
  <c r="M291" i="6" s="1"/>
  <c r="L298" i="6"/>
  <c r="M298" i="6" s="1"/>
  <c r="S298" i="10" s="1"/>
  <c r="L341" i="6"/>
  <c r="M341" i="6" s="1"/>
  <c r="S341" i="10" s="1"/>
  <c r="L359" i="6"/>
  <c r="M359" i="6" s="1"/>
  <c r="L366" i="6"/>
  <c r="M366" i="6" s="1"/>
  <c r="L380" i="6"/>
  <c r="M380" i="6" s="1"/>
  <c r="S380" i="10" s="1"/>
  <c r="L397" i="6"/>
  <c r="M397" i="6" s="1"/>
  <c r="S397" i="10" s="1"/>
  <c r="L408" i="6"/>
  <c r="M408" i="6" s="1"/>
  <c r="S408" i="10" s="1"/>
  <c r="L415" i="6"/>
  <c r="M415" i="6" s="1"/>
  <c r="S415" i="10" s="1"/>
  <c r="L422" i="6"/>
  <c r="M422" i="6" s="1"/>
  <c r="S422" i="10" s="1"/>
  <c r="L427" i="6"/>
  <c r="M427" i="6" s="1"/>
  <c r="S427" i="10" s="1"/>
  <c r="L441" i="6"/>
  <c r="M441" i="6" s="1"/>
  <c r="S441" i="10" s="1"/>
  <c r="L474" i="6"/>
  <c r="M474" i="6" s="1"/>
  <c r="S474" i="10" s="1"/>
  <c r="L484" i="6"/>
  <c r="M484" i="6" s="1"/>
  <c r="S484" i="10" s="1"/>
  <c r="L516" i="6"/>
  <c r="M516" i="6" s="1"/>
  <c r="L524" i="6"/>
  <c r="M524" i="6" s="1"/>
  <c r="S524" i="10" s="1"/>
  <c r="L535" i="6"/>
  <c r="M535" i="6" s="1"/>
  <c r="L546" i="6"/>
  <c r="M546" i="6" s="1"/>
  <c r="L554" i="6"/>
  <c r="M554" i="6" s="1"/>
  <c r="S554" i="10" s="1"/>
  <c r="L583" i="6"/>
  <c r="M583" i="6" s="1"/>
  <c r="L587" i="6"/>
  <c r="M587" i="6" s="1"/>
  <c r="S587" i="10" s="1"/>
  <c r="L602" i="6"/>
  <c r="M602" i="6" s="1"/>
  <c r="L610" i="6"/>
  <c r="M610" i="6" s="1"/>
  <c r="S610" i="10" s="1"/>
  <c r="L614" i="6"/>
  <c r="M614" i="6" s="1"/>
  <c r="S614" i="10" s="1"/>
  <c r="L645" i="6"/>
  <c r="M645" i="6" s="1"/>
  <c r="S645" i="10" s="1"/>
  <c r="L672" i="6"/>
  <c r="M672" i="6" s="1"/>
  <c r="L714" i="6"/>
  <c r="M714" i="6" s="1"/>
  <c r="S714" i="10" s="1"/>
  <c r="L737" i="6"/>
  <c r="M737" i="6" s="1"/>
  <c r="L756" i="6"/>
  <c r="M756" i="6" s="1"/>
  <c r="S756" i="10" s="1"/>
  <c r="L778" i="6"/>
  <c r="M778" i="6" s="1"/>
  <c r="L823" i="6"/>
  <c r="M823" i="6" s="1"/>
  <c r="S823" i="10" s="1"/>
  <c r="L827" i="6"/>
  <c r="M827" i="6" s="1"/>
  <c r="L843" i="6"/>
  <c r="M843" i="6" s="1"/>
  <c r="S843" i="10" s="1"/>
  <c r="L878" i="6"/>
  <c r="M878" i="6" s="1"/>
  <c r="L882" i="6"/>
  <c r="M882" i="6" s="1"/>
  <c r="S882" i="10" s="1"/>
  <c r="L892" i="6"/>
  <c r="M892" i="6" s="1"/>
  <c r="S892" i="10" s="1"/>
  <c r="L907" i="6"/>
  <c r="M907" i="6" s="1"/>
  <c r="L922" i="6"/>
  <c r="M922" i="6" s="1"/>
  <c r="S922" i="10" s="1"/>
  <c r="L933" i="6"/>
  <c r="M933" i="6" s="1"/>
  <c r="S933" i="10" s="1"/>
  <c r="L937" i="6"/>
  <c r="M937" i="6" s="1"/>
  <c r="S937" i="10" s="1"/>
  <c r="L966" i="6"/>
  <c r="M966" i="6" s="1"/>
  <c r="S966" i="10" s="1"/>
  <c r="L970" i="6"/>
  <c r="M970" i="6" s="1"/>
  <c r="L989" i="6"/>
  <c r="M989" i="6" s="1"/>
  <c r="S989" i="10" s="1"/>
  <c r="L997" i="6"/>
  <c r="M997" i="6" s="1"/>
  <c r="S997" i="10" s="1"/>
  <c r="L1001" i="6"/>
  <c r="M1001" i="6" s="1"/>
  <c r="L1008" i="6"/>
  <c r="M1008" i="6" s="1"/>
  <c r="L1108" i="6"/>
  <c r="M1108" i="6" s="1"/>
  <c r="S1108" i="10" s="1"/>
  <c r="L1130" i="6"/>
  <c r="M1130" i="6" s="1"/>
  <c r="L1137" i="6"/>
  <c r="M1137" i="6" s="1"/>
  <c r="L1145" i="6"/>
  <c r="M1145" i="6" s="1"/>
  <c r="S1145" i="10" s="1"/>
  <c r="L1152" i="6"/>
  <c r="M1152" i="6" s="1"/>
  <c r="L1156" i="6"/>
  <c r="M1156" i="6" s="1"/>
  <c r="L1021" i="6"/>
  <c r="M1021" i="6" s="1"/>
  <c r="S1021" i="10" s="1"/>
  <c r="L1034" i="6"/>
  <c r="M1034" i="6" s="1"/>
  <c r="S1034" i="10" s="1"/>
  <c r="L1037" i="6"/>
  <c r="M1037" i="6" s="1"/>
  <c r="S1037" i="10" s="1"/>
  <c r="L1044" i="6"/>
  <c r="M1044" i="6" s="1"/>
  <c r="L1053" i="6"/>
  <c r="M1053" i="6" s="1"/>
  <c r="L1057" i="6"/>
  <c r="M1057" i="6" s="1"/>
  <c r="S1057" i="10" s="1"/>
  <c r="L1068" i="6"/>
  <c r="M1068" i="6" s="1"/>
  <c r="S1068" i="10" s="1"/>
  <c r="L1075" i="6"/>
  <c r="M1075" i="6" s="1"/>
  <c r="L1097" i="6"/>
  <c r="M1097" i="6" s="1"/>
  <c r="S1097" i="10" s="1"/>
  <c r="L1109" i="6"/>
  <c r="M1109" i="6" s="1"/>
  <c r="L1138" i="6"/>
  <c r="M1138" i="6" s="1"/>
  <c r="S1138" i="10" s="1"/>
  <c r="L1182" i="6"/>
  <c r="M1182" i="6" s="1"/>
  <c r="S1182" i="10" s="1"/>
  <c r="N5" i="6"/>
  <c r="T5" i="10" s="1"/>
  <c r="N7" i="6"/>
  <c r="T7" i="10" s="1"/>
  <c r="N9" i="6"/>
  <c r="T9" i="10" s="1"/>
  <c r="N17" i="6"/>
  <c r="T17" i="10" s="1"/>
  <c r="N21" i="6"/>
  <c r="T21" i="10" s="1"/>
  <c r="N23" i="6"/>
  <c r="T23" i="10" s="1"/>
  <c r="N25" i="6"/>
  <c r="T25" i="10" s="1"/>
  <c r="AR25" i="10" s="1"/>
  <c r="N35" i="6"/>
  <c r="T35" i="10" s="1"/>
  <c r="AQ35" i="10" s="1"/>
  <c r="N37" i="6"/>
  <c r="T37" i="10" s="1"/>
  <c r="N39" i="6"/>
  <c r="T39" i="10" s="1"/>
  <c r="AR39" i="10" s="1"/>
  <c r="N40" i="6"/>
  <c r="T40" i="10" s="1"/>
  <c r="AR40" i="10" s="1"/>
  <c r="N42" i="6"/>
  <c r="T42" i="10" s="1"/>
  <c r="AR42" i="10" s="1"/>
  <c r="N43" i="6"/>
  <c r="T43" i="10" s="1"/>
  <c r="AR43" i="10" s="1"/>
  <c r="N55" i="6"/>
  <c r="T55" i="10" s="1"/>
  <c r="AQ55" i="10" s="1"/>
  <c r="N57" i="6"/>
  <c r="T57" i="10" s="1"/>
  <c r="N61" i="6"/>
  <c r="T61" i="10" s="1"/>
  <c r="AR61" i="10" s="1"/>
  <c r="N68" i="6"/>
  <c r="T68" i="10" s="1"/>
  <c r="AR68" i="10" s="1"/>
  <c r="N72" i="6"/>
  <c r="T72" i="10" s="1"/>
  <c r="N83" i="6"/>
  <c r="T83" i="10" s="1"/>
  <c r="N85" i="6"/>
  <c r="T85" i="10" s="1"/>
  <c r="AR85" i="10" s="1"/>
  <c r="N88" i="6"/>
  <c r="T88" i="10" s="1"/>
  <c r="N89" i="6"/>
  <c r="T89" i="10" s="1"/>
  <c r="AQ89" i="10" s="1"/>
  <c r="N98" i="6"/>
  <c r="T98" i="10" s="1"/>
  <c r="N99" i="6"/>
  <c r="T99" i="10" s="1"/>
  <c r="N102" i="6"/>
  <c r="T102" i="10" s="1"/>
  <c r="N111" i="6"/>
  <c r="T111" i="10" s="1"/>
  <c r="AR111" i="10" s="1"/>
  <c r="N112" i="6"/>
  <c r="T112" i="10" s="1"/>
  <c r="N116" i="6"/>
  <c r="T116" i="10" s="1"/>
  <c r="AQ116" i="10" s="1"/>
  <c r="N121" i="6"/>
  <c r="T121" i="10" s="1"/>
  <c r="N123" i="6"/>
  <c r="T123" i="10" s="1"/>
  <c r="AR123" i="10" s="1"/>
  <c r="N124" i="6"/>
  <c r="T124" i="10" s="1"/>
  <c r="AR124" i="10" s="1"/>
  <c r="N126" i="6"/>
  <c r="T126" i="10" s="1"/>
  <c r="AR126" i="10" s="1"/>
  <c r="N127" i="6"/>
  <c r="T127" i="10" s="1"/>
  <c r="AR127" i="10" s="1"/>
  <c r="N130" i="6"/>
  <c r="T130" i="10" s="1"/>
  <c r="AR130" i="10" s="1"/>
  <c r="N136" i="6"/>
  <c r="T136" i="10" s="1"/>
  <c r="N141" i="6"/>
  <c r="T141" i="10" s="1"/>
  <c r="N142" i="6"/>
  <c r="T142" i="10" s="1"/>
  <c r="N144" i="6"/>
  <c r="T144" i="10" s="1"/>
  <c r="AQ144" i="10" s="1"/>
  <c r="N146" i="6"/>
  <c r="T146" i="10" s="1"/>
  <c r="AQ146" i="10" s="1"/>
  <c r="N152" i="6"/>
  <c r="T152" i="10" s="1"/>
  <c r="AR152" i="10" s="1"/>
  <c r="N154" i="6"/>
  <c r="T154" i="10" s="1"/>
  <c r="AR154" i="10" s="1"/>
  <c r="N158" i="6"/>
  <c r="T158" i="10" s="1"/>
  <c r="AR158" i="10" s="1"/>
  <c r="N165" i="6"/>
  <c r="T165" i="10" s="1"/>
  <c r="AQ165" i="10" s="1"/>
  <c r="N167" i="6"/>
  <c r="T167" i="10" s="1"/>
  <c r="N177" i="6"/>
  <c r="T177" i="10" s="1"/>
  <c r="N179" i="6"/>
  <c r="T179" i="10" s="1"/>
  <c r="AR179" i="10" s="1"/>
  <c r="N182" i="6"/>
  <c r="T182" i="10" s="1"/>
  <c r="N183" i="6"/>
  <c r="T183" i="10" s="1"/>
  <c r="N187" i="6"/>
  <c r="T187" i="10" s="1"/>
  <c r="AR187" i="10" s="1"/>
  <c r="N190" i="6"/>
  <c r="T190" i="10" s="1"/>
  <c r="AR190" i="10" s="1"/>
  <c r="N196" i="6"/>
  <c r="T196" i="10" s="1"/>
  <c r="AR196" i="10" s="1"/>
  <c r="N197" i="6"/>
  <c r="T197" i="10" s="1"/>
  <c r="N198" i="6"/>
  <c r="T198" i="10" s="1"/>
  <c r="AR198" i="10" s="1"/>
  <c r="N203" i="6"/>
  <c r="T203" i="10" s="1"/>
  <c r="N208" i="6"/>
  <c r="T208" i="10" s="1"/>
  <c r="AR208" i="10" s="1"/>
  <c r="N211" i="6"/>
  <c r="T211" i="10" s="1"/>
  <c r="N223" i="6"/>
  <c r="T223" i="10" s="1"/>
  <c r="AR223" i="10" s="1"/>
  <c r="N224" i="6"/>
  <c r="T224" i="10" s="1"/>
  <c r="N235" i="6"/>
  <c r="T235" i="10" s="1"/>
  <c r="AR235" i="10" s="1"/>
  <c r="N236" i="6"/>
  <c r="T236" i="10" s="1"/>
  <c r="AR236" i="10" s="1"/>
  <c r="N238" i="6"/>
  <c r="T238" i="10" s="1"/>
  <c r="N246" i="6"/>
  <c r="T246" i="10" s="1"/>
  <c r="N247" i="6"/>
  <c r="T247" i="10" s="1"/>
  <c r="AQ247" i="10" s="1"/>
  <c r="N251" i="6"/>
  <c r="T251" i="10" s="1"/>
  <c r="AR251" i="10" s="1"/>
  <c r="N252" i="6"/>
  <c r="T252" i="10" s="1"/>
  <c r="N253" i="6"/>
  <c r="T253" i="10" s="1"/>
  <c r="AR253" i="10" s="1"/>
  <c r="N257" i="6"/>
  <c r="T257" i="10" s="1"/>
  <c r="AR257" i="10" s="1"/>
  <c r="N261" i="6"/>
  <c r="T261" i="10" s="1"/>
  <c r="N266" i="6"/>
  <c r="T266" i="10" s="1"/>
  <c r="AR266" i="10" s="1"/>
  <c r="N267" i="6"/>
  <c r="T267" i="10" s="1"/>
  <c r="AR267" i="10" s="1"/>
  <c r="N279" i="6"/>
  <c r="T279" i="10" s="1"/>
  <c r="AR279" i="10" s="1"/>
  <c r="N281" i="6"/>
  <c r="T281" i="10" s="1"/>
  <c r="N282" i="6"/>
  <c r="T282" i="10" s="1"/>
  <c r="AR282" i="10" s="1"/>
  <c r="N285" i="6"/>
  <c r="T285" i="10" s="1"/>
  <c r="N289" i="6"/>
  <c r="T289" i="10" s="1"/>
  <c r="AR289" i="10" s="1"/>
  <c r="N295" i="6"/>
  <c r="T295" i="10" s="1"/>
  <c r="N304" i="6"/>
  <c r="T304" i="10" s="1"/>
  <c r="AR304" i="10" s="1"/>
  <c r="N305" i="6"/>
  <c r="T305" i="10" s="1"/>
  <c r="N307" i="6"/>
  <c r="T307" i="10" s="1"/>
  <c r="N308" i="6"/>
  <c r="T308" i="10" s="1"/>
  <c r="N312" i="6"/>
  <c r="T312" i="10" s="1"/>
  <c r="N313" i="6"/>
  <c r="T313" i="10" s="1"/>
  <c r="AR313" i="10" s="1"/>
  <c r="N317" i="6"/>
  <c r="T317" i="10" s="1"/>
  <c r="AR317" i="10" s="1"/>
  <c r="N319" i="6"/>
  <c r="T319" i="10" s="1"/>
  <c r="AR319" i="10" s="1"/>
  <c r="N320" i="6"/>
  <c r="T320" i="10" s="1"/>
  <c r="AR320" i="10" s="1"/>
  <c r="N322" i="6"/>
  <c r="T322" i="10" s="1"/>
  <c r="AQ322" i="10" s="1"/>
  <c r="N323" i="6"/>
  <c r="T323" i="10" s="1"/>
  <c r="N330" i="6"/>
  <c r="T330" i="10" s="1"/>
  <c r="N332" i="6"/>
  <c r="T332" i="10" s="1"/>
  <c r="N337" i="6"/>
  <c r="T337" i="10" s="1"/>
  <c r="AR337" i="10" s="1"/>
  <c r="N340" i="6"/>
  <c r="T340" i="10" s="1"/>
  <c r="N350" i="6"/>
  <c r="T350" i="10" s="1"/>
  <c r="AR350" i="10" s="1"/>
  <c r="N351" i="6"/>
  <c r="T351" i="10" s="1"/>
  <c r="AQ351" i="10" s="1"/>
  <c r="N360" i="6"/>
  <c r="T360" i="10" s="1"/>
  <c r="N368" i="6"/>
  <c r="T368" i="10" s="1"/>
  <c r="N375" i="6"/>
  <c r="T375" i="10" s="1"/>
  <c r="N378" i="6"/>
  <c r="T378" i="10" s="1"/>
  <c r="N379" i="6"/>
  <c r="T379" i="10" s="1"/>
  <c r="AR379" i="10" s="1"/>
  <c r="N383" i="6"/>
  <c r="T383" i="10" s="1"/>
  <c r="N387" i="6"/>
  <c r="T387" i="10" s="1"/>
  <c r="AR387" i="10" s="1"/>
  <c r="N391" i="6"/>
  <c r="T391" i="10" s="1"/>
  <c r="N392" i="6"/>
  <c r="T392" i="10" s="1"/>
  <c r="AR392" i="10" s="1"/>
  <c r="N393" i="6"/>
  <c r="T393" i="10" s="1"/>
  <c r="AQ393" i="10" s="1"/>
  <c r="N396" i="6"/>
  <c r="T396" i="10" s="1"/>
  <c r="N398" i="6"/>
  <c r="T398" i="10" s="1"/>
  <c r="N405" i="6"/>
  <c r="T405" i="10" s="1"/>
  <c r="AR405" i="10" s="1"/>
  <c r="N411" i="6"/>
  <c r="T411" i="10" s="1"/>
  <c r="AQ411" i="10" s="1"/>
  <c r="N419" i="6"/>
  <c r="T419" i="10" s="1"/>
  <c r="AR419" i="10" s="1"/>
  <c r="N420" i="6"/>
  <c r="T420" i="10" s="1"/>
  <c r="AQ420" i="10" s="1"/>
  <c r="N424" i="6"/>
  <c r="T424" i="10" s="1"/>
  <c r="N425" i="6"/>
  <c r="T425" i="10" s="1"/>
  <c r="N429" i="6"/>
  <c r="T429" i="10" s="1"/>
  <c r="AR429" i="10" s="1"/>
  <c r="N436" i="6"/>
  <c r="T436" i="10" s="1"/>
  <c r="N437" i="6"/>
  <c r="T437" i="10" s="1"/>
  <c r="AR437" i="10" s="1"/>
  <c r="N440" i="6"/>
  <c r="T440" i="10" s="1"/>
  <c r="AR440" i="10" s="1"/>
  <c r="N447" i="6"/>
  <c r="T447" i="10" s="1"/>
  <c r="N449" i="6"/>
  <c r="T449" i="10" s="1"/>
  <c r="AQ449" i="10" s="1"/>
  <c r="N463" i="6"/>
  <c r="T463" i="10" s="1"/>
  <c r="AR463" i="10" s="1"/>
  <c r="N465" i="6"/>
  <c r="T465" i="10" s="1"/>
  <c r="N472" i="6"/>
  <c r="T472" i="10" s="1"/>
  <c r="N475" i="6"/>
  <c r="T475" i="10" s="1"/>
  <c r="N477" i="6"/>
  <c r="T477" i="10" s="1"/>
  <c r="AR477" i="10" s="1"/>
  <c r="N481" i="6"/>
  <c r="T481" i="10" s="1"/>
  <c r="AR481" i="10" s="1"/>
  <c r="N488" i="6"/>
  <c r="T488" i="10" s="1"/>
  <c r="N491" i="6"/>
  <c r="T491" i="10" s="1"/>
  <c r="N494" i="6"/>
  <c r="T494" i="10" s="1"/>
  <c r="N495" i="6"/>
  <c r="T495" i="10" s="1"/>
  <c r="AR495" i="10" s="1"/>
  <c r="N498" i="6"/>
  <c r="T498" i="10" s="1"/>
  <c r="N501" i="6"/>
  <c r="T501" i="10" s="1"/>
  <c r="AQ501" i="10" s="1"/>
  <c r="N503" i="6"/>
  <c r="T503" i="10" s="1"/>
  <c r="N504" i="6"/>
  <c r="T504" i="10" s="1"/>
  <c r="AQ504" i="10" s="1"/>
  <c r="N506" i="6"/>
  <c r="T506" i="10" s="1"/>
  <c r="N508" i="6"/>
  <c r="T508" i="10" s="1"/>
  <c r="AR508" i="10" s="1"/>
  <c r="N511" i="6"/>
  <c r="T511" i="10" s="1"/>
  <c r="N517" i="6"/>
  <c r="T517" i="10" s="1"/>
  <c r="AR517" i="10" s="1"/>
  <c r="N519" i="6"/>
  <c r="T519" i="10" s="1"/>
  <c r="N527" i="6"/>
  <c r="T527" i="10" s="1"/>
  <c r="AR527" i="10" s="1"/>
  <c r="N528" i="6"/>
  <c r="T528" i="10" s="1"/>
  <c r="N531" i="6"/>
  <c r="T531" i="10" s="1"/>
  <c r="AR531" i="10" s="1"/>
  <c r="N534" i="6"/>
  <c r="T534" i="10" s="1"/>
  <c r="N541" i="6"/>
  <c r="T541" i="10" s="1"/>
  <c r="AR541" i="10" s="1"/>
  <c r="N544" i="6"/>
  <c r="T544" i="10" s="1"/>
  <c r="AR544" i="10" s="1"/>
  <c r="N545" i="6"/>
  <c r="T545" i="10" s="1"/>
  <c r="N548" i="6"/>
  <c r="T548" i="10" s="1"/>
  <c r="N552" i="6"/>
  <c r="T552" i="10" s="1"/>
  <c r="AQ552" i="10" s="1"/>
  <c r="N555" i="6"/>
  <c r="T555" i="10" s="1"/>
  <c r="AR555" i="10" s="1"/>
  <c r="N560" i="6"/>
  <c r="T560" i="10" s="1"/>
  <c r="N563" i="6"/>
  <c r="T563" i="10" s="1"/>
  <c r="N566" i="6"/>
  <c r="T566" i="10" s="1"/>
  <c r="N567" i="6"/>
  <c r="T567" i="10" s="1"/>
  <c r="AR567" i="10" s="1"/>
  <c r="N570" i="6"/>
  <c r="T570" i="10" s="1"/>
  <c r="N571" i="6"/>
  <c r="T571" i="10" s="1"/>
  <c r="AR571" i="10" s="1"/>
  <c r="N573" i="6"/>
  <c r="T573" i="10" s="1"/>
  <c r="AR573" i="10" s="1"/>
  <c r="N581" i="6"/>
  <c r="T581" i="10" s="1"/>
  <c r="N590" i="6"/>
  <c r="T590" i="10" s="1"/>
  <c r="AR590" i="10" s="1"/>
  <c r="N591" i="6"/>
  <c r="T591" i="10" s="1"/>
  <c r="N592" i="6"/>
  <c r="T592" i="10" s="1"/>
  <c r="N595" i="6"/>
  <c r="T595" i="10" s="1"/>
  <c r="AR595" i="10" s="1"/>
  <c r="N597" i="6"/>
  <c r="T597" i="10" s="1"/>
  <c r="N598" i="6"/>
  <c r="T598" i="10" s="1"/>
  <c r="AR598" i="10" s="1"/>
  <c r="N608" i="6"/>
  <c r="T608" i="10" s="1"/>
  <c r="AQ608" i="10" s="1"/>
  <c r="N616" i="6"/>
  <c r="T616" i="10" s="1"/>
  <c r="AR616" i="10" s="1"/>
  <c r="N618" i="6"/>
  <c r="T618" i="10" s="1"/>
  <c r="N626" i="6"/>
  <c r="T626" i="10" s="1"/>
  <c r="N629" i="6"/>
  <c r="T629" i="10" s="1"/>
  <c r="N630" i="6"/>
  <c r="T630" i="10" s="1"/>
  <c r="AR630" i="10" s="1"/>
  <c r="N636" i="6"/>
  <c r="T636" i="10" s="1"/>
  <c r="N639" i="6"/>
  <c r="T639" i="10" s="1"/>
  <c r="AR639" i="10" s="1"/>
  <c r="N643" i="6"/>
  <c r="T643" i="10" s="1"/>
  <c r="AR643" i="10" s="1"/>
  <c r="N644" i="6"/>
  <c r="T644" i="10" s="1"/>
  <c r="N647" i="6"/>
  <c r="T647" i="10" s="1"/>
  <c r="AR647" i="10" s="1"/>
  <c r="N648" i="6"/>
  <c r="T648" i="10" s="1"/>
  <c r="AR648" i="10" s="1"/>
  <c r="N649" i="6"/>
  <c r="T649" i="10" s="1"/>
  <c r="AQ649" i="10" s="1"/>
  <c r="N651" i="6"/>
  <c r="T651" i="10" s="1"/>
  <c r="AR651" i="10" s="1"/>
  <c r="N655" i="6"/>
  <c r="T655" i="10" s="1"/>
  <c r="AR655" i="10" s="1"/>
  <c r="N657" i="6"/>
  <c r="T657" i="10" s="1"/>
  <c r="N658" i="6"/>
  <c r="T658" i="10" s="1"/>
  <c r="AR658" i="10" s="1"/>
  <c r="N662" i="6"/>
  <c r="T662" i="10" s="1"/>
  <c r="AQ662" i="10" s="1"/>
  <c r="N671" i="6"/>
  <c r="T671" i="10" s="1"/>
  <c r="AQ671" i="10" s="1"/>
  <c r="N673" i="6"/>
  <c r="T673" i="10" s="1"/>
  <c r="N674" i="6"/>
  <c r="T674" i="10" s="1"/>
  <c r="AR674" i="10" s="1"/>
  <c r="N675" i="6"/>
  <c r="T675" i="10" s="1"/>
  <c r="AR675" i="10" s="1"/>
  <c r="N679" i="6"/>
  <c r="T679" i="10" s="1"/>
  <c r="AR679" i="10" s="1"/>
  <c r="N685" i="6"/>
  <c r="T685" i="10" s="1"/>
  <c r="N686" i="6"/>
  <c r="T686" i="10" s="1"/>
  <c r="AR686" i="10" s="1"/>
  <c r="N689" i="6"/>
  <c r="T689" i="10" s="1"/>
  <c r="N695" i="6"/>
  <c r="T695" i="10" s="1"/>
  <c r="AR695" i="10" s="1"/>
  <c r="N703" i="6"/>
  <c r="T703" i="10" s="1"/>
  <c r="AR703" i="10" s="1"/>
  <c r="N708" i="6"/>
  <c r="T708" i="10" s="1"/>
  <c r="AR708" i="10" s="1"/>
  <c r="N711" i="6"/>
  <c r="T711" i="10" s="1"/>
  <c r="AR711" i="10" s="1"/>
  <c r="N715" i="6"/>
  <c r="T715" i="10" s="1"/>
  <c r="N719" i="6"/>
  <c r="T719" i="10" s="1"/>
  <c r="N720" i="6"/>
  <c r="T720" i="10" s="1"/>
  <c r="AR720" i="10" s="1"/>
  <c r="N721" i="6"/>
  <c r="T721" i="10" s="1"/>
  <c r="N740" i="6"/>
  <c r="T740" i="10" s="1"/>
  <c r="AR740" i="10" s="1"/>
  <c r="N741" i="6"/>
  <c r="T741" i="10" s="1"/>
  <c r="AR741" i="10" s="1"/>
  <c r="N748" i="6"/>
  <c r="T748" i="10" s="1"/>
  <c r="N751" i="6"/>
  <c r="T751" i="10" s="1"/>
  <c r="N752" i="6"/>
  <c r="T752" i="10" s="1"/>
  <c r="N754" i="6"/>
  <c r="T754" i="10" s="1"/>
  <c r="N755" i="6"/>
  <c r="T755" i="10" s="1"/>
  <c r="N757" i="6"/>
  <c r="T757" i="10" s="1"/>
  <c r="N761" i="6"/>
  <c r="T761" i="10" s="1"/>
  <c r="N763" i="6"/>
  <c r="T763" i="10" s="1"/>
  <c r="N764" i="6"/>
  <c r="T764" i="10" s="1"/>
  <c r="AR764" i="10" s="1"/>
  <c r="N766" i="6"/>
  <c r="T766" i="10" s="1"/>
  <c r="N767" i="6"/>
  <c r="T767" i="10" s="1"/>
  <c r="AQ767" i="10" s="1"/>
  <c r="N777" i="6"/>
  <c r="T777" i="10" s="1"/>
  <c r="AR777" i="10" s="1"/>
  <c r="N780" i="6"/>
  <c r="T780" i="10" s="1"/>
  <c r="AR780" i="10" s="1"/>
  <c r="N781" i="6"/>
  <c r="T781" i="10" s="1"/>
  <c r="N785" i="6"/>
  <c r="T785" i="10" s="1"/>
  <c r="AR785" i="10" s="1"/>
  <c r="N786" i="6"/>
  <c r="T786" i="10" s="1"/>
  <c r="AR786" i="10" s="1"/>
  <c r="N789" i="6"/>
  <c r="T789" i="10" s="1"/>
  <c r="AR789" i="10" s="1"/>
  <c r="N792" i="6"/>
  <c r="T792" i="10" s="1"/>
  <c r="N796" i="6"/>
  <c r="T796" i="10" s="1"/>
  <c r="N800" i="6"/>
  <c r="T800" i="10" s="1"/>
  <c r="AR800" i="10" s="1"/>
  <c r="N807" i="6"/>
  <c r="T807" i="10" s="1"/>
  <c r="N808" i="6"/>
  <c r="T808" i="10" s="1"/>
  <c r="AR808" i="10" s="1"/>
  <c r="N811" i="6"/>
  <c r="T811" i="10" s="1"/>
  <c r="AR811" i="10" s="1"/>
  <c r="N812" i="6"/>
  <c r="T812" i="10" s="1"/>
  <c r="N813" i="6"/>
  <c r="T813" i="10" s="1"/>
  <c r="N814" i="6"/>
  <c r="T814" i="10" s="1"/>
  <c r="N818" i="6"/>
  <c r="T818" i="10" s="1"/>
  <c r="AR818" i="10" s="1"/>
  <c r="N824" i="6"/>
  <c r="T824" i="10" s="1"/>
  <c r="AR824" i="10" s="1"/>
  <c r="N826" i="6"/>
  <c r="T826" i="10" s="1"/>
  <c r="N828" i="6"/>
  <c r="T828" i="10" s="1"/>
  <c r="N831" i="6"/>
  <c r="T831" i="10" s="1"/>
  <c r="AR831" i="10" s="1"/>
  <c r="N837" i="6"/>
  <c r="T837" i="10" s="1"/>
  <c r="AR837" i="10" s="1"/>
  <c r="N839" i="6"/>
  <c r="T839" i="10" s="1"/>
  <c r="AQ839" i="10" s="1"/>
  <c r="N844" i="6"/>
  <c r="T844" i="10" s="1"/>
  <c r="AQ844" i="10" s="1"/>
  <c r="N845" i="6"/>
  <c r="T845" i="10" s="1"/>
  <c r="N850" i="6"/>
  <c r="T850" i="10" s="1"/>
  <c r="N858" i="6"/>
  <c r="T858" i="10" s="1"/>
  <c r="N861" i="6"/>
  <c r="T861" i="10" s="1"/>
  <c r="AR861" i="10" s="1"/>
  <c r="N862" i="6"/>
  <c r="T862" i="10" s="1"/>
  <c r="AR862" i="10" s="1"/>
  <c r="N863" i="6"/>
  <c r="T863" i="10" s="1"/>
  <c r="AR863" i="10" s="1"/>
  <c r="N867" i="6"/>
  <c r="T867" i="10" s="1"/>
  <c r="N870" i="6"/>
  <c r="T870" i="10" s="1"/>
  <c r="AR870" i="10" s="1"/>
  <c r="N874" i="6"/>
  <c r="T874" i="10" s="1"/>
  <c r="N875" i="6"/>
  <c r="T875" i="10" s="1"/>
  <c r="AR875" i="10" s="1"/>
  <c r="N881" i="6"/>
  <c r="T881" i="10" s="1"/>
  <c r="AR881" i="10" s="1"/>
  <c r="N884" i="6"/>
  <c r="T884" i="10" s="1"/>
  <c r="N886" i="6"/>
  <c r="T886" i="10" s="1"/>
  <c r="AR886" i="10" s="1"/>
  <c r="N887" i="6"/>
  <c r="T887" i="10" s="1"/>
  <c r="AQ887" i="10" s="1"/>
  <c r="N896" i="6"/>
  <c r="T896" i="10" s="1"/>
  <c r="N904" i="6"/>
  <c r="T904" i="10" s="1"/>
  <c r="N906" i="6"/>
  <c r="T906" i="10" s="1"/>
  <c r="AR906" i="10" s="1"/>
  <c r="N909" i="6"/>
  <c r="T909" i="10" s="1"/>
  <c r="N918" i="6"/>
  <c r="T918" i="10" s="1"/>
  <c r="N926" i="6"/>
  <c r="T926" i="10" s="1"/>
  <c r="N928" i="6"/>
  <c r="T928" i="10" s="1"/>
  <c r="AR928" i="10" s="1"/>
  <c r="N931" i="6"/>
  <c r="T931" i="10" s="1"/>
  <c r="AR931" i="10" s="1"/>
  <c r="N934" i="6"/>
  <c r="T934" i="10" s="1"/>
  <c r="N939" i="6"/>
  <c r="T939" i="10" s="1"/>
  <c r="N940" i="6"/>
  <c r="T940" i="10" s="1"/>
  <c r="AR940" i="10" s="1"/>
  <c r="N946" i="6"/>
  <c r="T946" i="10" s="1"/>
  <c r="AQ946" i="10" s="1"/>
  <c r="N948" i="6"/>
  <c r="T948" i="10" s="1"/>
  <c r="AR948" i="10" s="1"/>
  <c r="N951" i="6"/>
  <c r="T951" i="10" s="1"/>
  <c r="AR951" i="10" s="1"/>
  <c r="N954" i="6"/>
  <c r="T954" i="10" s="1"/>
  <c r="AR954" i="10" s="1"/>
  <c r="N958" i="6"/>
  <c r="T958" i="10" s="1"/>
  <c r="AR958" i="10" s="1"/>
  <c r="N960" i="6"/>
  <c r="T960" i="10" s="1"/>
  <c r="N977" i="6"/>
  <c r="T977" i="10" s="1"/>
  <c r="AR977" i="10" s="1"/>
  <c r="N978" i="6"/>
  <c r="T978" i="10" s="1"/>
  <c r="N985" i="6"/>
  <c r="T985" i="10" s="1"/>
  <c r="N992" i="6"/>
  <c r="T992" i="10" s="1"/>
  <c r="AR992" i="10" s="1"/>
  <c r="N998" i="6"/>
  <c r="T998" i="10" s="1"/>
  <c r="N999" i="6"/>
  <c r="T999" i="10" s="1"/>
  <c r="N1002" i="6"/>
  <c r="T1002" i="10" s="1"/>
  <c r="AR1002" i="10" s="1"/>
  <c r="N1003" i="6"/>
  <c r="T1003" i="10" s="1"/>
  <c r="N1013" i="6"/>
  <c r="T1013" i="10" s="1"/>
  <c r="N1014" i="6"/>
  <c r="T1014" i="10" s="1"/>
  <c r="AQ1014" i="10" s="1"/>
  <c r="N1015" i="6"/>
  <c r="T1015" i="10" s="1"/>
  <c r="N1019" i="6"/>
  <c r="T1019" i="10" s="1"/>
  <c r="AR1019" i="10" s="1"/>
  <c r="N1020" i="6"/>
  <c r="T1020" i="10" s="1"/>
  <c r="N1023" i="6"/>
  <c r="T1023" i="10" s="1"/>
  <c r="N1029" i="6"/>
  <c r="T1029" i="10" s="1"/>
  <c r="N1035" i="6"/>
  <c r="T1035" i="10" s="1"/>
  <c r="AR1035" i="10" s="1"/>
  <c r="N1039" i="6"/>
  <c r="T1039" i="10" s="1"/>
  <c r="AR1039" i="10" s="1"/>
  <c r="N1043" i="6"/>
  <c r="T1043" i="10" s="1"/>
  <c r="N1048" i="6"/>
  <c r="T1048" i="10" s="1"/>
  <c r="N1049" i="6"/>
  <c r="T1049" i="10" s="1"/>
  <c r="AQ1049" i="10" s="1"/>
  <c r="N1051" i="6"/>
  <c r="T1051" i="10" s="1"/>
  <c r="AR1051" i="10" s="1"/>
  <c r="N1055" i="6"/>
  <c r="T1055" i="10" s="1"/>
  <c r="AR1055" i="10" s="1"/>
  <c r="N1060" i="6"/>
  <c r="T1060" i="10" s="1"/>
  <c r="AR1060" i="10" s="1"/>
  <c r="N1063" i="6"/>
  <c r="T1063" i="10" s="1"/>
  <c r="AR1063" i="10" s="1"/>
  <c r="N1067" i="6"/>
  <c r="T1067" i="10" s="1"/>
  <c r="AR1067" i="10" s="1"/>
  <c r="N1069" i="6"/>
  <c r="T1069" i="10" s="1"/>
  <c r="N1070" i="6"/>
  <c r="T1070" i="10" s="1"/>
  <c r="N1076" i="6"/>
  <c r="T1076" i="10" s="1"/>
  <c r="N1077" i="6"/>
  <c r="T1077" i="10" s="1"/>
  <c r="N1078" i="6"/>
  <c r="T1078" i="10" s="1"/>
  <c r="AQ1078" i="10" s="1"/>
  <c r="N1081" i="6"/>
  <c r="T1081" i="10" s="1"/>
  <c r="N1083" i="6"/>
  <c r="T1083" i="10" s="1"/>
  <c r="AQ1083" i="10" s="1"/>
  <c r="N1087" i="6"/>
  <c r="T1087" i="10" s="1"/>
  <c r="AR1087" i="10" s="1"/>
  <c r="N1089" i="6"/>
  <c r="T1089" i="10" s="1"/>
  <c r="N1092" i="6"/>
  <c r="T1092" i="10" s="1"/>
  <c r="AQ1092" i="10" s="1"/>
  <c r="N1093" i="6"/>
  <c r="T1093" i="10" s="1"/>
  <c r="AR1093" i="10" s="1"/>
  <c r="N1100" i="6"/>
  <c r="T1100" i="10" s="1"/>
  <c r="AR1100" i="10" s="1"/>
  <c r="N1101" i="6"/>
  <c r="T1101" i="10" s="1"/>
  <c r="AQ1101" i="10" s="1"/>
  <c r="N1103" i="6"/>
  <c r="T1103" i="10" s="1"/>
  <c r="AR1103" i="10" s="1"/>
  <c r="N1106" i="6"/>
  <c r="T1106" i="10" s="1"/>
  <c r="AR1106" i="10" s="1"/>
  <c r="N1116" i="6"/>
  <c r="T1116" i="10" s="1"/>
  <c r="AR1116" i="10" s="1"/>
  <c r="N1119" i="6"/>
  <c r="T1119" i="10" s="1"/>
  <c r="N1120" i="6"/>
  <c r="T1120" i="10" s="1"/>
  <c r="AQ1120" i="10" s="1"/>
  <c r="N1123" i="6"/>
  <c r="T1123" i="10" s="1"/>
  <c r="N1129" i="6"/>
  <c r="T1129" i="10" s="1"/>
  <c r="AR1129" i="10" s="1"/>
  <c r="N1131" i="6"/>
  <c r="T1131" i="10" s="1"/>
  <c r="N1132" i="6"/>
  <c r="T1132" i="10" s="1"/>
  <c r="AR1132" i="10" s="1"/>
  <c r="N1133" i="6"/>
  <c r="T1133" i="10" s="1"/>
  <c r="AR1133" i="10" s="1"/>
  <c r="N1135" i="6"/>
  <c r="T1135" i="10" s="1"/>
  <c r="AR1135" i="10" s="1"/>
  <c r="N1136" i="6"/>
  <c r="T1136" i="10" s="1"/>
  <c r="AR1136" i="10" s="1"/>
  <c r="N1139" i="6"/>
  <c r="T1139" i="10" s="1"/>
  <c r="AR1139" i="10" s="1"/>
  <c r="N1141" i="6"/>
  <c r="T1141" i="10" s="1"/>
  <c r="AR1141" i="10" s="1"/>
  <c r="N1147" i="6"/>
  <c r="T1147" i="10" s="1"/>
  <c r="N1149" i="6"/>
  <c r="T1149" i="10" s="1"/>
  <c r="N1150" i="6"/>
  <c r="T1150" i="10" s="1"/>
  <c r="N1151" i="6"/>
  <c r="T1151" i="10" s="1"/>
  <c r="AR1151" i="10" s="1"/>
  <c r="N1153" i="6"/>
  <c r="T1153" i="10" s="1"/>
  <c r="AQ1153" i="10" s="1"/>
  <c r="N1157" i="6"/>
  <c r="T1157" i="10" s="1"/>
  <c r="AR1157" i="10" s="1"/>
  <c r="N1165" i="6"/>
  <c r="T1165" i="10" s="1"/>
  <c r="N1168" i="6"/>
  <c r="T1168" i="10" s="1"/>
  <c r="AQ1168" i="10" s="1"/>
  <c r="N1169" i="6"/>
  <c r="T1169" i="10" s="1"/>
  <c r="AR1169" i="10" s="1"/>
  <c r="N1171" i="6"/>
  <c r="T1171" i="10" s="1"/>
  <c r="AR1171" i="10" s="1"/>
  <c r="N1185" i="6"/>
  <c r="T1185" i="10" s="1"/>
  <c r="N1189" i="6"/>
  <c r="T1189" i="10" s="1"/>
  <c r="V1" i="10"/>
  <c r="AA1" i="10"/>
  <c r="W8" i="10" a="1"/>
  <c r="W8" i="10" s="1"/>
  <c r="W22" i="10" a="1"/>
  <c r="W22" i="10" s="1"/>
  <c r="W36" i="10" a="1"/>
  <c r="W36" i="10" s="1"/>
  <c r="W50" i="10" a="1"/>
  <c r="W50" i="10" s="1"/>
  <c r="W64" i="10" a="1"/>
  <c r="W64" i="10" s="1"/>
  <c r="W78" i="10" a="1"/>
  <c r="W78" i="10" s="1"/>
  <c r="W92" i="10" a="1"/>
  <c r="W92" i="10" s="1"/>
  <c r="W106" i="10" a="1"/>
  <c r="W106" i="10" s="1"/>
  <c r="W120" i="10" a="1"/>
  <c r="W120" i="10" s="1"/>
  <c r="W133" i="10" a="1"/>
  <c r="W133" i="10" s="1"/>
  <c r="W160" i="10" a="1"/>
  <c r="W160" i="10" s="1"/>
  <c r="W174" i="10" a="1"/>
  <c r="W174" i="10" s="1"/>
  <c r="W188" i="10" a="1"/>
  <c r="W188" i="10" s="1"/>
  <c r="W202" i="10" a="1"/>
  <c r="W202" i="10" s="1"/>
  <c r="W215" i="10" a="1"/>
  <c r="W215" i="10" s="1"/>
  <c r="W229" i="10" a="1"/>
  <c r="W229" i="10" s="1"/>
  <c r="W9" i="10" a="1"/>
  <c r="W9" i="10" s="1"/>
  <c r="W23" i="10" a="1"/>
  <c r="W23" i="10" s="1"/>
  <c r="W37" i="10" a="1"/>
  <c r="W37" i="10" s="1"/>
  <c r="W51" i="10" a="1"/>
  <c r="W51" i="10" s="1"/>
  <c r="W65" i="10" a="1"/>
  <c r="W65" i="10" s="1"/>
  <c r="W79" i="10" a="1"/>
  <c r="W79" i="10" s="1"/>
  <c r="W93" i="10" a="1"/>
  <c r="W93" i="10" s="1"/>
  <c r="W107" i="10" a="1"/>
  <c r="W107" i="10" s="1"/>
  <c r="W121" i="10" a="1"/>
  <c r="W121" i="10" s="1"/>
  <c r="W134" i="10" a="1"/>
  <c r="W134" i="10" s="1"/>
  <c r="W147" i="10" a="1"/>
  <c r="W147" i="10" s="1"/>
  <c r="W161" i="10" a="1"/>
  <c r="W161" i="10" s="1"/>
  <c r="W175" i="10" a="1"/>
  <c r="W175" i="10" s="1"/>
  <c r="W189" i="10" a="1"/>
  <c r="W189" i="10" s="1"/>
  <c r="W203" i="10" a="1"/>
  <c r="W203" i="10" s="1"/>
  <c r="W216" i="10" a="1"/>
  <c r="W216" i="10" s="1"/>
  <c r="W230" i="10" a="1"/>
  <c r="W230" i="10" s="1"/>
  <c r="W243" i="10" a="1"/>
  <c r="W243" i="10" s="1"/>
  <c r="W257" i="10" a="1"/>
  <c r="W257" i="10" s="1"/>
  <c r="W271" i="10" a="1"/>
  <c r="W271" i="10" s="1"/>
  <c r="W10" i="10" a="1"/>
  <c r="W10" i="10" s="1"/>
  <c r="W24" i="10" a="1"/>
  <c r="W24" i="10" s="1"/>
  <c r="W38" i="10" a="1"/>
  <c r="W38" i="10" s="1"/>
  <c r="W52" i="10" a="1"/>
  <c r="W52" i="10" s="1"/>
  <c r="W66" i="10" a="1"/>
  <c r="W66" i="10" s="1"/>
  <c r="W80" i="10" a="1"/>
  <c r="W80" i="10" s="1"/>
  <c r="W94" i="10" a="1"/>
  <c r="W94" i="10" s="1"/>
  <c r="W108" i="10" a="1"/>
  <c r="W108" i="10" s="1"/>
  <c r="W122" i="10" a="1"/>
  <c r="W122" i="10" s="1"/>
  <c r="W135" i="10" a="1"/>
  <c r="W135" i="10" s="1"/>
  <c r="W148" i="10" a="1"/>
  <c r="W148" i="10" s="1"/>
  <c r="W162" i="10" a="1"/>
  <c r="W162" i="10" s="1"/>
  <c r="W176" i="10" a="1"/>
  <c r="W176" i="10" s="1"/>
  <c r="W190" i="10" a="1"/>
  <c r="W190" i="10" s="1"/>
  <c r="W204" i="10" a="1"/>
  <c r="W204" i="10" s="1"/>
  <c r="W11" i="10" a="1"/>
  <c r="W11" i="10" s="1"/>
  <c r="W25" i="10" a="1"/>
  <c r="W25" i="10" s="1"/>
  <c r="W39" i="10" a="1"/>
  <c r="W39" i="10" s="1"/>
  <c r="W53" i="10" a="1"/>
  <c r="W53" i="10" s="1"/>
  <c r="W67" i="10" a="1"/>
  <c r="W67" i="10" s="1"/>
  <c r="W81" i="10" a="1"/>
  <c r="W81" i="10" s="1"/>
  <c r="W95" i="10" a="1"/>
  <c r="W95" i="10" s="1"/>
  <c r="W109" i="10" a="1"/>
  <c r="W109" i="10" s="1"/>
  <c r="W123" i="10" a="1"/>
  <c r="W123" i="10" s="1"/>
  <c r="W136" i="10" a="1"/>
  <c r="W136" i="10" s="1"/>
  <c r="W149" i="10" a="1"/>
  <c r="W149" i="10" s="1"/>
  <c r="W163" i="10" a="1"/>
  <c r="W163" i="10" s="1"/>
  <c r="W177" i="10" a="1"/>
  <c r="W177" i="10" s="1"/>
  <c r="W191" i="10" a="1"/>
  <c r="W191" i="10" s="1"/>
  <c r="W205" i="10" a="1"/>
  <c r="W205" i="10" s="1"/>
  <c r="W218" i="10" a="1"/>
  <c r="W218" i="10" s="1"/>
  <c r="W232" i="10" a="1"/>
  <c r="W232" i="10" s="1"/>
  <c r="W12" i="10" a="1"/>
  <c r="W12" i="10" s="1"/>
  <c r="W26" i="10" a="1"/>
  <c r="W26" i="10" s="1"/>
  <c r="W40" i="10" a="1"/>
  <c r="W40" i="10" s="1"/>
  <c r="W54" i="10" a="1"/>
  <c r="W54" i="10" s="1"/>
  <c r="W68" i="10" a="1"/>
  <c r="W68" i="10" s="1"/>
  <c r="W82" i="10" a="1"/>
  <c r="W82" i="10" s="1"/>
  <c r="W96" i="10" a="1"/>
  <c r="W96" i="10" s="1"/>
  <c r="W110" i="10" a="1"/>
  <c r="W110" i="10" s="1"/>
  <c r="W124" i="10" a="1"/>
  <c r="W124" i="10" s="1"/>
  <c r="W137" i="10" a="1"/>
  <c r="W137" i="10" s="1"/>
  <c r="W150" i="10" a="1"/>
  <c r="W150" i="10" s="1"/>
  <c r="W164" i="10" a="1"/>
  <c r="W164" i="10" s="1"/>
  <c r="W178" i="10" a="1"/>
  <c r="W178" i="10" s="1"/>
  <c r="W192" i="10" a="1"/>
  <c r="W192" i="10" s="1"/>
  <c r="W206" i="10" a="1"/>
  <c r="W206" i="10" s="1"/>
  <c r="W219" i="10" a="1"/>
  <c r="W219" i="10" s="1"/>
  <c r="W233" i="10" a="1"/>
  <c r="W233" i="10" s="1"/>
  <c r="W246" i="10" a="1"/>
  <c r="W246" i="10" s="1"/>
  <c r="W260" i="10" a="1"/>
  <c r="W260" i="10" s="1"/>
  <c r="W274" i="10" a="1"/>
  <c r="W274" i="10" s="1"/>
  <c r="W288" i="10" a="1"/>
  <c r="W288" i="10" s="1"/>
  <c r="W302" i="10" a="1"/>
  <c r="W302" i="10" s="1"/>
  <c r="W316" i="10" a="1"/>
  <c r="W316" i="10" s="1"/>
  <c r="AB1" i="10"/>
  <c r="W13" i="10" a="1"/>
  <c r="W13" i="10" s="1"/>
  <c r="W27" i="10" a="1"/>
  <c r="W27" i="10" s="1"/>
  <c r="W41" i="10" a="1"/>
  <c r="W41" i="10" s="1"/>
  <c r="W55" i="10" a="1"/>
  <c r="W55" i="10" s="1"/>
  <c r="W69" i="10" a="1"/>
  <c r="W69" i="10" s="1"/>
  <c r="W83" i="10" a="1"/>
  <c r="W83" i="10" s="1"/>
  <c r="W97" i="10" a="1"/>
  <c r="W97" i="10" s="1"/>
  <c r="W111" i="10" a="1"/>
  <c r="W111" i="10" s="1"/>
  <c r="W125" i="10" a="1"/>
  <c r="W125" i="10" s="1"/>
  <c r="W138" i="10" a="1"/>
  <c r="W138" i="10" s="1"/>
  <c r="W151" i="10" a="1"/>
  <c r="W151" i="10" s="1"/>
  <c r="W165" i="10" a="1"/>
  <c r="W165" i="10" s="1"/>
  <c r="W179" i="10" a="1"/>
  <c r="W179" i="10" s="1"/>
  <c r="W193" i="10" a="1"/>
  <c r="W193" i="10" s="1"/>
  <c r="W207" i="10" a="1"/>
  <c r="W207" i="10" s="1"/>
  <c r="W220" i="10" a="1"/>
  <c r="W220" i="10" s="1"/>
  <c r="W234" i="10" a="1"/>
  <c r="W234" i="10" s="1"/>
  <c r="W247" i="10" a="1"/>
  <c r="W247" i="10" s="1"/>
  <c r="W261" i="10" a="1"/>
  <c r="W261" i="10" s="1"/>
  <c r="W275" i="10" a="1"/>
  <c r="W275" i="10" s="1"/>
  <c r="W289" i="10" a="1"/>
  <c r="W289" i="10" s="1"/>
  <c r="W303" i="10" a="1"/>
  <c r="W303" i="10" s="1"/>
  <c r="W317" i="10" a="1"/>
  <c r="W317" i="10" s="1"/>
  <c r="W14" i="10" a="1"/>
  <c r="W14" i="10" s="1"/>
  <c r="W28" i="10" a="1"/>
  <c r="W28" i="10" s="1"/>
  <c r="W42" i="10" a="1"/>
  <c r="W42" i="10" s="1"/>
  <c r="W56" i="10" a="1"/>
  <c r="W56" i="10" s="1"/>
  <c r="W70" i="10" a="1"/>
  <c r="W70" i="10" s="1"/>
  <c r="W84" i="10" a="1"/>
  <c r="W84" i="10" s="1"/>
  <c r="W98" i="10" a="1"/>
  <c r="W98" i="10" s="1"/>
  <c r="W112" i="10" a="1"/>
  <c r="W112" i="10" s="1"/>
  <c r="W126" i="10" a="1"/>
  <c r="W126" i="10" s="1"/>
  <c r="W139" i="10" a="1"/>
  <c r="W139" i="10" s="1"/>
  <c r="W152" i="10" a="1"/>
  <c r="W152" i="10" s="1"/>
  <c r="W166" i="10" a="1"/>
  <c r="W166" i="10" s="1"/>
  <c r="W180" i="10" a="1"/>
  <c r="W180" i="10" s="1"/>
  <c r="W194" i="10" a="1"/>
  <c r="W194" i="10" s="1"/>
  <c r="Y1" i="10"/>
  <c r="W15" i="10" a="1"/>
  <c r="W15" i="10" s="1"/>
  <c r="W29" i="10" a="1"/>
  <c r="W29" i="10" s="1"/>
  <c r="W43" i="10" a="1"/>
  <c r="W43" i="10" s="1"/>
  <c r="W57" i="10" a="1"/>
  <c r="W57" i="10" s="1"/>
  <c r="W71" i="10" a="1"/>
  <c r="W71" i="10" s="1"/>
  <c r="W85" i="10" a="1"/>
  <c r="W85" i="10" s="1"/>
  <c r="W99" i="10" a="1"/>
  <c r="W99" i="10" s="1"/>
  <c r="W113" i="10" a="1"/>
  <c r="W113" i="10" s="1"/>
  <c r="W127" i="10" a="1"/>
  <c r="W127" i="10" s="1"/>
  <c r="W140" i="10" a="1"/>
  <c r="W140" i="10" s="1"/>
  <c r="W153" i="10" a="1"/>
  <c r="W153" i="10" s="1"/>
  <c r="W167" i="10" a="1"/>
  <c r="W167" i="10" s="1"/>
  <c r="W181" i="10" a="1"/>
  <c r="W181" i="10" s="1"/>
  <c r="W195" i="10" a="1"/>
  <c r="W195" i="10" s="1"/>
  <c r="W209" i="10" a="1"/>
  <c r="W209" i="10" s="1"/>
  <c r="W1" i="10"/>
  <c r="W16" i="10" a="1"/>
  <c r="W16" i="10" s="1"/>
  <c r="W30" i="10" a="1"/>
  <c r="W30" i="10" s="1"/>
  <c r="W44" i="10" a="1"/>
  <c r="W44" i="10" s="1"/>
  <c r="W58" i="10" a="1"/>
  <c r="W58" i="10" s="1"/>
  <c r="W72" i="10" a="1"/>
  <c r="W72" i="10" s="1"/>
  <c r="W86" i="10" a="1"/>
  <c r="W86" i="10" s="1"/>
  <c r="W100" i="10" a="1"/>
  <c r="W100" i="10" s="1"/>
  <c r="W114" i="10" a="1"/>
  <c r="W114" i="10" s="1"/>
  <c r="W128" i="10" a="1"/>
  <c r="W128" i="10" s="1"/>
  <c r="W141" i="10" a="1"/>
  <c r="W141" i="10" s="1"/>
  <c r="W154" i="10" a="1"/>
  <c r="W154" i="10" s="1"/>
  <c r="W168" i="10" a="1"/>
  <c r="W168" i="10" s="1"/>
  <c r="W182" i="10" a="1"/>
  <c r="W182" i="10" s="1"/>
  <c r="W196" i="10" a="1"/>
  <c r="W196" i="10" s="1"/>
  <c r="W3" i="10" a="1"/>
  <c r="W3" i="10" s="1"/>
  <c r="W17" i="10" a="1"/>
  <c r="W17" i="10" s="1"/>
  <c r="W31" i="10" a="1"/>
  <c r="W31" i="10" s="1"/>
  <c r="W45" i="10" a="1"/>
  <c r="W45" i="10" s="1"/>
  <c r="W59" i="10" a="1"/>
  <c r="W59" i="10" s="1"/>
  <c r="W73" i="10" a="1"/>
  <c r="W73" i="10" s="1"/>
  <c r="W87" i="10" a="1"/>
  <c r="W87" i="10" s="1"/>
  <c r="W101" i="10" a="1"/>
  <c r="W101" i="10" s="1"/>
  <c r="W115" i="10" a="1"/>
  <c r="W115" i="10" s="1"/>
  <c r="W129" i="10" a="1"/>
  <c r="W129" i="10" s="1"/>
  <c r="W142" i="10" a="1"/>
  <c r="W142" i="10" s="1"/>
  <c r="W155" i="10" a="1"/>
  <c r="W155" i="10" s="1"/>
  <c r="W169" i="10" a="1"/>
  <c r="W169" i="10" s="1"/>
  <c r="W183" i="10" a="1"/>
  <c r="W183" i="10" s="1"/>
  <c r="W197" i="10" a="1"/>
  <c r="W197" i="10" s="1"/>
  <c r="W211" i="10" a="1"/>
  <c r="W211" i="10" s="1"/>
  <c r="W224" i="10" a="1"/>
  <c r="W224" i="10" s="1"/>
  <c r="W238" i="10" a="1"/>
  <c r="W238" i="10" s="1"/>
  <c r="W251" i="10" a="1"/>
  <c r="W251" i="10" s="1"/>
  <c r="W265" i="10" a="1"/>
  <c r="W265" i="10" s="1"/>
  <c r="W279" i="10" a="1"/>
  <c r="W279" i="10" s="1"/>
  <c r="W293" i="10" a="1"/>
  <c r="W293" i="10" s="1"/>
  <c r="W4" i="10" a="1"/>
  <c r="W4" i="10" s="1"/>
  <c r="W18" i="10" a="1"/>
  <c r="W18" i="10" s="1"/>
  <c r="W32" i="10" a="1"/>
  <c r="W32" i="10" s="1"/>
  <c r="W46" i="10" a="1"/>
  <c r="W46" i="10" s="1"/>
  <c r="W60" i="10" a="1"/>
  <c r="W60" i="10" s="1"/>
  <c r="W74" i="10" a="1"/>
  <c r="W74" i="10" s="1"/>
  <c r="W88" i="10" a="1"/>
  <c r="W88" i="10" s="1"/>
  <c r="W102" i="10" a="1"/>
  <c r="W102" i="10" s="1"/>
  <c r="W116" i="10" a="1"/>
  <c r="W116" i="10" s="1"/>
  <c r="W130" i="10" a="1"/>
  <c r="W130" i="10" s="1"/>
  <c r="W143" i="10" a="1"/>
  <c r="W143" i="10" s="1"/>
  <c r="W156" i="10" a="1"/>
  <c r="W156" i="10" s="1"/>
  <c r="W170" i="10" a="1"/>
  <c r="W170" i="10" s="1"/>
  <c r="W184" i="10" a="1"/>
  <c r="W184" i="10" s="1"/>
  <c r="W198" i="10" a="1"/>
  <c r="W198" i="10" s="1"/>
  <c r="W212" i="10" a="1"/>
  <c r="W212" i="10" s="1"/>
  <c r="W225" i="10" a="1"/>
  <c r="W225" i="10" s="1"/>
  <c r="W252" i="10" a="1"/>
  <c r="W252" i="10" s="1"/>
  <c r="W266" i="10" a="1"/>
  <c r="W266" i="10" s="1"/>
  <c r="W280" i="10" a="1"/>
  <c r="W280" i="10" s="1"/>
  <c r="W294" i="10" a="1"/>
  <c r="W294" i="10" s="1"/>
  <c r="W5" i="10" a="1"/>
  <c r="W5" i="10" s="1"/>
  <c r="W19" i="10" a="1"/>
  <c r="W19" i="10" s="1"/>
  <c r="W33" i="10" a="1"/>
  <c r="W33" i="10" s="1"/>
  <c r="W47" i="10" a="1"/>
  <c r="W47" i="10" s="1"/>
  <c r="W61" i="10" a="1"/>
  <c r="W61" i="10" s="1"/>
  <c r="W75" i="10" a="1"/>
  <c r="W75" i="10" s="1"/>
  <c r="W89" i="10" a="1"/>
  <c r="W89" i="10" s="1"/>
  <c r="W103" i="10" a="1"/>
  <c r="W103" i="10" s="1"/>
  <c r="W117" i="10" a="1"/>
  <c r="W117" i="10" s="1"/>
  <c r="W131" i="10" a="1"/>
  <c r="W131" i="10" s="1"/>
  <c r="W144" i="10" a="1"/>
  <c r="W144" i="10" s="1"/>
  <c r="W157" i="10" a="1"/>
  <c r="W157" i="10" s="1"/>
  <c r="W171" i="10" a="1"/>
  <c r="W171" i="10" s="1"/>
  <c r="W185" i="10" a="1"/>
  <c r="W185" i="10" s="1"/>
  <c r="W199" i="10" a="1"/>
  <c r="W199" i="10" s="1"/>
  <c r="W213" i="10" a="1"/>
  <c r="W213" i="10" s="1"/>
  <c r="W226" i="10" a="1"/>
  <c r="W226" i="10" s="1"/>
  <c r="W239" i="10" a="1"/>
  <c r="W239" i="10" s="1"/>
  <c r="W253" i="10" a="1"/>
  <c r="W253" i="10" s="1"/>
  <c r="W267" i="10" a="1"/>
  <c r="W267" i="10" s="1"/>
  <c r="W281" i="10" a="1"/>
  <c r="W281" i="10" s="1"/>
  <c r="W295" i="10" a="1"/>
  <c r="W295" i="10" s="1"/>
  <c r="W309" i="10" a="1"/>
  <c r="W309" i="10" s="1"/>
  <c r="W6" i="10" a="1"/>
  <c r="W6" i="10" s="1"/>
  <c r="W20" i="10" a="1"/>
  <c r="W20" i="10" s="1"/>
  <c r="W34" i="10" a="1"/>
  <c r="W34" i="10" s="1"/>
  <c r="W48" i="10" a="1"/>
  <c r="W48" i="10" s="1"/>
  <c r="W62" i="10" a="1"/>
  <c r="W62" i="10" s="1"/>
  <c r="W76" i="10" a="1"/>
  <c r="W76" i="10" s="1"/>
  <c r="W90" i="10" a="1"/>
  <c r="W90" i="10" s="1"/>
  <c r="W104" i="10" a="1"/>
  <c r="W104" i="10" s="1"/>
  <c r="W118" i="10" a="1"/>
  <c r="W118" i="10" s="1"/>
  <c r="W145" i="10" a="1"/>
  <c r="W145" i="10" s="1"/>
  <c r="W158" i="10" a="1"/>
  <c r="W158" i="10" s="1"/>
  <c r="W172" i="10" a="1"/>
  <c r="W172" i="10" s="1"/>
  <c r="W186" i="10" a="1"/>
  <c r="W186" i="10" s="1"/>
  <c r="W200" i="10" a="1"/>
  <c r="W200" i="10" s="1"/>
  <c r="W214" i="10" a="1"/>
  <c r="W214" i="10" s="1"/>
  <c r="W227" i="10" a="1"/>
  <c r="W227" i="10" s="1"/>
  <c r="W240" i="10" a="1"/>
  <c r="W240" i="10" s="1"/>
  <c r="W254" i="10" a="1"/>
  <c r="W254" i="10" s="1"/>
  <c r="W268" i="10" a="1"/>
  <c r="W268" i="10" s="1"/>
  <c r="W282" i="10" a="1"/>
  <c r="W282" i="10" s="1"/>
  <c r="W296" i="10" a="1"/>
  <c r="W296" i="10" s="1"/>
  <c r="W310" i="10" a="1"/>
  <c r="W310" i="10" s="1"/>
  <c r="W7" i="10" a="1"/>
  <c r="W7" i="10" s="1"/>
  <c r="W21" i="10" a="1"/>
  <c r="W21" i="10" s="1"/>
  <c r="W35" i="10" a="1"/>
  <c r="W35" i="10" s="1"/>
  <c r="W49" i="10" a="1"/>
  <c r="W49" i="10" s="1"/>
  <c r="W63" i="10" a="1"/>
  <c r="W63" i="10" s="1"/>
  <c r="W77" i="10" a="1"/>
  <c r="W77" i="10" s="1"/>
  <c r="W91" i="10" a="1"/>
  <c r="W91" i="10" s="1"/>
  <c r="W105" i="10" a="1"/>
  <c r="W105" i="10" s="1"/>
  <c r="W119" i="10" a="1"/>
  <c r="W119" i="10" s="1"/>
  <c r="W132" i="10" a="1"/>
  <c r="W132" i="10" s="1"/>
  <c r="W146" i="10" a="1"/>
  <c r="W146" i="10" s="1"/>
  <c r="W159" i="10" a="1"/>
  <c r="W159" i="10" s="1"/>
  <c r="W173" i="10" a="1"/>
  <c r="W173" i="10" s="1"/>
  <c r="W187" i="10" a="1"/>
  <c r="W187" i="10" s="1"/>
  <c r="W201" i="10" a="1"/>
  <c r="W201" i="10" s="1"/>
  <c r="W228" i="10" a="1"/>
  <c r="W228" i="10" s="1"/>
  <c r="W241" i="10" a="1"/>
  <c r="W241" i="10" s="1"/>
  <c r="W255" i="10" a="1"/>
  <c r="W255" i="10" s="1"/>
  <c r="W269" i="10" a="1"/>
  <c r="W269" i="10" s="1"/>
  <c r="W283" i="10" a="1"/>
  <c r="W283" i="10" s="1"/>
  <c r="W297" i="10" a="1"/>
  <c r="W297" i="10" s="1"/>
  <c r="W311" i="10" a="1"/>
  <c r="W311" i="10" s="1"/>
  <c r="E97" i="10"/>
  <c r="L926" i="10"/>
  <c r="M926" i="10" s="1"/>
  <c r="L64" i="10"/>
  <c r="M64" i="10" s="1"/>
  <c r="G192" i="10"/>
  <c r="G309" i="10"/>
  <c r="G458" i="10"/>
  <c r="G345" i="10"/>
  <c r="L681" i="10"/>
  <c r="M681" i="10" s="1"/>
  <c r="L693" i="10"/>
  <c r="M693" i="10" s="1"/>
  <c r="G846" i="10"/>
  <c r="E369" i="10"/>
  <c r="F369" i="10" s="1"/>
  <c r="E503" i="10"/>
  <c r="I503" i="10" s="1"/>
  <c r="J503" i="10" s="1"/>
  <c r="E509" i="10"/>
  <c r="G546" i="10"/>
  <c r="E1030" i="10"/>
  <c r="I1030" i="10" s="1"/>
  <c r="J1030" i="10" s="1"/>
  <c r="E1059" i="10"/>
  <c r="E142" i="10"/>
  <c r="I142" i="10" s="1"/>
  <c r="J142" i="10" s="1"/>
  <c r="G6" i="10"/>
  <c r="G159" i="10"/>
  <c r="G162" i="10"/>
  <c r="L339" i="10"/>
  <c r="M339" i="10" s="1"/>
  <c r="E402" i="10"/>
  <c r="E85" i="10"/>
  <c r="I85" i="10" s="1"/>
  <c r="J85" i="10" s="1"/>
  <c r="E151" i="10"/>
  <c r="F151" i="10" s="1"/>
  <c r="L602" i="10"/>
  <c r="M602" i="10" s="1"/>
  <c r="G113" i="10"/>
  <c r="E1067" i="10"/>
  <c r="L142" i="10"/>
  <c r="M142" i="10" s="1"/>
  <c r="G1088" i="10"/>
  <c r="L300" i="10"/>
  <c r="M300" i="10" s="1"/>
  <c r="L14" i="10"/>
  <c r="M14" i="10" s="1"/>
  <c r="L159" i="10"/>
  <c r="M159" i="10" s="1"/>
  <c r="L162" i="10"/>
  <c r="M162" i="10" s="1"/>
  <c r="L222" i="10"/>
  <c r="M222" i="10" s="1"/>
  <c r="E453" i="10"/>
  <c r="E539" i="10"/>
  <c r="F539" i="10" s="1"/>
  <c r="L616" i="10"/>
  <c r="M616" i="10" s="1"/>
  <c r="L622" i="10"/>
  <c r="M622" i="10" s="1"/>
  <c r="G816" i="10"/>
  <c r="G825" i="10"/>
  <c r="L828" i="10"/>
  <c r="M828" i="10" s="1"/>
  <c r="L837" i="10"/>
  <c r="M837" i="10" s="1"/>
  <c r="L58" i="10"/>
  <c r="M58" i="10" s="1"/>
  <c r="G433" i="10"/>
  <c r="G956" i="10"/>
  <c r="E316" i="10"/>
  <c r="F316" i="10" s="1"/>
  <c r="L605" i="10"/>
  <c r="M605" i="10" s="1"/>
  <c r="L356" i="10"/>
  <c r="M356" i="10" s="1"/>
  <c r="G634" i="10"/>
  <c r="L352" i="10"/>
  <c r="M352" i="10" s="1"/>
  <c r="E358" i="10"/>
  <c r="I358" i="10" s="1"/>
  <c r="J358" i="10" s="1"/>
  <c r="E361" i="10"/>
  <c r="G141" i="10"/>
  <c r="G194" i="10"/>
  <c r="E215" i="10"/>
  <c r="L284" i="10"/>
  <c r="M284" i="10" s="1"/>
  <c r="L814" i="10"/>
  <c r="M814" i="10" s="1"/>
  <c r="G1127" i="10"/>
  <c r="E970" i="10"/>
  <c r="G385" i="10"/>
  <c r="L731" i="10"/>
  <c r="M731" i="10" s="1"/>
  <c r="L737" i="10"/>
  <c r="M737" i="10" s="1"/>
  <c r="G767" i="10"/>
  <c r="E77" i="10"/>
  <c r="L153" i="10"/>
  <c r="M153" i="10" s="1"/>
  <c r="L367" i="10"/>
  <c r="M367" i="10" s="1"/>
  <c r="L1063" i="10"/>
  <c r="M1063" i="10" s="1"/>
  <c r="E88" i="10"/>
  <c r="I88" i="10" s="1"/>
  <c r="J88" i="10" s="1"/>
  <c r="E96" i="10"/>
  <c r="G99" i="10"/>
  <c r="L104" i="10"/>
  <c r="M104" i="10" s="1"/>
  <c r="L115" i="10"/>
  <c r="M115" i="10" s="1"/>
  <c r="L165" i="10"/>
  <c r="M165" i="10" s="1"/>
  <c r="L216" i="10"/>
  <c r="M216" i="10" s="1"/>
  <c r="E331" i="10"/>
  <c r="F331" i="10" s="1"/>
  <c r="L422" i="10"/>
  <c r="M422" i="10" s="1"/>
  <c r="G434" i="10"/>
  <c r="E498" i="10"/>
  <c r="L594" i="10"/>
  <c r="M594" i="10" s="1"/>
  <c r="G1129" i="10"/>
  <c r="L270" i="10"/>
  <c r="M270" i="10" s="1"/>
  <c r="G143" i="10"/>
  <c r="E417" i="10"/>
  <c r="L440" i="10"/>
  <c r="M440" i="10" s="1"/>
  <c r="E116" i="10"/>
  <c r="E146" i="10"/>
  <c r="G185" i="10"/>
  <c r="G201" i="10"/>
  <c r="L348" i="10"/>
  <c r="M348" i="10" s="1"/>
  <c r="E559" i="10"/>
  <c r="I559" i="10" s="1"/>
  <c r="J559" i="10" s="1"/>
  <c r="L1092" i="10"/>
  <c r="M1092" i="10" s="1"/>
  <c r="L1103" i="10"/>
  <c r="M1103" i="10" s="1"/>
  <c r="E226" i="10"/>
  <c r="F226" i="10" s="1"/>
  <c r="L725" i="10"/>
  <c r="M725" i="10" s="1"/>
  <c r="L1127" i="10"/>
  <c r="M1127" i="10" s="1"/>
  <c r="L574" i="10"/>
  <c r="M574" i="10" s="1"/>
  <c r="L1139" i="10"/>
  <c r="M1139" i="10" s="1"/>
  <c r="E616" i="10"/>
  <c r="G622" i="10"/>
  <c r="G732" i="10"/>
  <c r="L879" i="10"/>
  <c r="M879" i="10" s="1"/>
  <c r="L936" i="10"/>
  <c r="M936" i="10" s="1"/>
  <c r="L1036" i="10"/>
  <c r="M1036" i="10" s="1"/>
  <c r="L1053" i="10"/>
  <c r="M1053" i="10" s="1"/>
  <c r="G1065" i="10"/>
  <c r="E1154" i="10"/>
  <c r="F1154" i="10" s="1"/>
  <c r="L40" i="10"/>
  <c r="M40" i="10" s="1"/>
  <c r="E139" i="10"/>
  <c r="E319" i="10"/>
  <c r="I319" i="10" s="1"/>
  <c r="J319" i="10" s="1"/>
  <c r="E717" i="10"/>
  <c r="I717" i="10" s="1"/>
  <c r="J717" i="10" s="1"/>
  <c r="E780" i="10"/>
  <c r="G792" i="10"/>
  <c r="E949" i="10"/>
  <c r="L977" i="10"/>
  <c r="M977" i="10" s="1"/>
  <c r="G98" i="10"/>
  <c r="E128" i="10"/>
  <c r="I128" i="10" s="1"/>
  <c r="J128" i="10" s="1"/>
  <c r="L106" i="10"/>
  <c r="M106" i="10" s="1"/>
  <c r="G332" i="10"/>
  <c r="L580" i="10"/>
  <c r="M580" i="10" s="1"/>
  <c r="L811" i="10"/>
  <c r="M811" i="10" s="1"/>
  <c r="G1100" i="10"/>
  <c r="L928" i="10"/>
  <c r="M928" i="10" s="1"/>
  <c r="E1046" i="10"/>
  <c r="I1046" i="10" s="1"/>
  <c r="J1046" i="10" s="1"/>
  <c r="L205" i="10"/>
  <c r="M205" i="10" s="1"/>
  <c r="G327" i="10"/>
  <c r="L389" i="10"/>
  <c r="M389" i="10" s="1"/>
  <c r="L403" i="10"/>
  <c r="M403" i="10" s="1"/>
  <c r="L226" i="10"/>
  <c r="M226" i="10" s="1"/>
  <c r="G126" i="10"/>
  <c r="E167" i="10"/>
  <c r="I167" i="10" s="1"/>
  <c r="J167" i="10" s="1"/>
  <c r="L287" i="10"/>
  <c r="M287" i="10" s="1"/>
  <c r="L296" i="10"/>
  <c r="M296" i="10" s="1"/>
  <c r="E636" i="10"/>
  <c r="L1129" i="10"/>
  <c r="M1129" i="10" s="1"/>
  <c r="E1164" i="10"/>
  <c r="G900" i="10"/>
  <c r="E150" i="10"/>
  <c r="I150" i="10" s="1"/>
  <c r="J150" i="10" s="1"/>
  <c r="G338" i="10"/>
  <c r="G272" i="10"/>
  <c r="E940" i="10"/>
  <c r="L69" i="10"/>
  <c r="M69" i="10" s="1"/>
  <c r="G74" i="10"/>
  <c r="L340" i="10"/>
  <c r="M340" i="10" s="1"/>
  <c r="E351" i="10"/>
  <c r="F351" i="10" s="1"/>
  <c r="G360" i="10"/>
  <c r="G371" i="10"/>
  <c r="L374" i="10"/>
  <c r="M374" i="10" s="1"/>
  <c r="G380" i="10"/>
  <c r="L408" i="10"/>
  <c r="M408" i="10" s="1"/>
  <c r="L516" i="10"/>
  <c r="M516" i="10" s="1"/>
  <c r="G555" i="10"/>
  <c r="G781" i="10"/>
  <c r="G850" i="10"/>
  <c r="G990" i="10"/>
  <c r="L993" i="10"/>
  <c r="M993" i="10" s="1"/>
  <c r="G1166" i="10"/>
  <c r="G38" i="10"/>
  <c r="L62" i="10"/>
  <c r="M62" i="10" s="1"/>
  <c r="L92" i="10"/>
  <c r="M92" i="10" s="1"/>
  <c r="G106" i="10"/>
  <c r="L206" i="10"/>
  <c r="M206" i="10" s="1"/>
  <c r="G236" i="10"/>
  <c r="G408" i="10"/>
  <c r="G426" i="10"/>
  <c r="L480" i="10"/>
  <c r="M480" i="10" s="1"/>
  <c r="L568" i="10"/>
  <c r="M568" i="10" s="1"/>
  <c r="G574" i="10"/>
  <c r="E772" i="10"/>
  <c r="E784" i="10"/>
  <c r="G790" i="10"/>
  <c r="L840" i="10"/>
  <c r="M840" i="10" s="1"/>
  <c r="L843" i="10"/>
  <c r="M843" i="10" s="1"/>
  <c r="G889" i="10"/>
  <c r="E1044" i="10"/>
  <c r="I1044" i="10" s="1"/>
  <c r="J1044" i="10" s="1"/>
  <c r="G1174" i="10"/>
  <c r="G72" i="10"/>
  <c r="L265" i="10"/>
  <c r="M265" i="10" s="1"/>
  <c r="L31" i="10"/>
  <c r="M31" i="10" s="1"/>
  <c r="G46" i="10"/>
  <c r="G63" i="10"/>
  <c r="E107" i="10"/>
  <c r="G147" i="10"/>
  <c r="E191" i="10"/>
  <c r="L245" i="10"/>
  <c r="M245" i="10" s="1"/>
  <c r="E251" i="10"/>
  <c r="G300" i="10"/>
  <c r="L341" i="10"/>
  <c r="M341" i="10" s="1"/>
  <c r="E412" i="10"/>
  <c r="L560" i="10"/>
  <c r="M560" i="10" s="1"/>
  <c r="E622" i="10"/>
  <c r="E634" i="10"/>
  <c r="I634" i="10" s="1"/>
  <c r="J634" i="10" s="1"/>
  <c r="G655" i="10"/>
  <c r="G658" i="10"/>
  <c r="E705" i="10"/>
  <c r="I705" i="10" s="1"/>
  <c r="J705" i="10" s="1"/>
  <c r="E708" i="10"/>
  <c r="L838" i="10"/>
  <c r="M838" i="10" s="1"/>
  <c r="G862" i="10"/>
  <c r="G921" i="10"/>
  <c r="E959" i="10"/>
  <c r="E1016" i="10"/>
  <c r="I1016" i="10" s="1"/>
  <c r="J1016" i="10" s="1"/>
  <c r="E1039" i="10"/>
  <c r="L1172" i="10"/>
  <c r="M1172" i="10" s="1"/>
  <c r="L34" i="10"/>
  <c r="M34" i="10" s="1"/>
  <c r="L126" i="10"/>
  <c r="M126" i="10" s="1"/>
  <c r="L355" i="10"/>
  <c r="M355" i="10" s="1"/>
  <c r="L427" i="10"/>
  <c r="M427" i="10" s="1"/>
  <c r="L937" i="10"/>
  <c r="M937" i="10" s="1"/>
  <c r="L128" i="10"/>
  <c r="M128" i="10" s="1"/>
  <c r="E22" i="10"/>
  <c r="E118" i="10"/>
  <c r="L172" i="10"/>
  <c r="M172" i="10" s="1"/>
  <c r="L183" i="10"/>
  <c r="M183" i="10" s="1"/>
  <c r="L234" i="10"/>
  <c r="M234" i="10" s="1"/>
  <c r="G257" i="10"/>
  <c r="E260" i="10"/>
  <c r="E266" i="10"/>
  <c r="E280" i="10"/>
  <c r="E306" i="10"/>
  <c r="E323" i="10"/>
  <c r="I323" i="10" s="1"/>
  <c r="J323" i="10" s="1"/>
  <c r="E347" i="10"/>
  <c r="L619" i="10"/>
  <c r="M619" i="10" s="1"/>
  <c r="L658" i="10"/>
  <c r="M658" i="10" s="1"/>
  <c r="L785" i="10"/>
  <c r="M785" i="10" s="1"/>
  <c r="L981" i="10"/>
  <c r="M981" i="10" s="1"/>
  <c r="L1161" i="10"/>
  <c r="M1161" i="10" s="1"/>
  <c r="L91" i="10"/>
  <c r="M91" i="10" s="1"/>
  <c r="E94" i="10"/>
  <c r="L164" i="10"/>
  <c r="M164" i="10" s="1"/>
  <c r="L178" i="10"/>
  <c r="M178" i="10" s="1"/>
  <c r="G243" i="10"/>
  <c r="L257" i="10"/>
  <c r="M257" i="10" s="1"/>
  <c r="L263" i="10"/>
  <c r="M263" i="10" s="1"/>
  <c r="L266" i="10"/>
  <c r="M266" i="10" s="1"/>
  <c r="L424" i="10"/>
  <c r="M424" i="10" s="1"/>
  <c r="E464" i="10"/>
  <c r="G476" i="10"/>
  <c r="G513" i="10"/>
  <c r="L534" i="10"/>
  <c r="M534" i="10" s="1"/>
  <c r="G582" i="10"/>
  <c r="L673" i="10"/>
  <c r="M673" i="10" s="1"/>
  <c r="L700" i="10"/>
  <c r="M700" i="10" s="1"/>
  <c r="E900" i="10"/>
  <c r="L947" i="10"/>
  <c r="M947" i="10" s="1"/>
  <c r="L1079" i="10"/>
  <c r="M1079" i="10" s="1"/>
  <c r="L1164" i="10"/>
  <c r="M1164" i="10" s="1"/>
  <c r="G1181" i="10"/>
  <c r="L149" i="10"/>
  <c r="M149" i="10" s="1"/>
  <c r="L322" i="10"/>
  <c r="M322" i="10" s="1"/>
  <c r="L627" i="10"/>
  <c r="M627" i="10" s="1"/>
  <c r="L174" i="10"/>
  <c r="M174" i="10" s="1"/>
  <c r="L256" i="10"/>
  <c r="M256" i="10" s="1"/>
  <c r="L279" i="10"/>
  <c r="M279" i="10" s="1"/>
  <c r="E199" i="10"/>
  <c r="L214" i="10"/>
  <c r="M214" i="10" s="1"/>
  <c r="E271" i="10"/>
  <c r="L746" i="10"/>
  <c r="M746" i="10" s="1"/>
  <c r="L793" i="10"/>
  <c r="M793" i="10" s="1"/>
  <c r="G145" i="10"/>
  <c r="L181" i="10"/>
  <c r="M181" i="10" s="1"/>
  <c r="L237" i="10"/>
  <c r="M237" i="10" s="1"/>
  <c r="E410" i="10"/>
  <c r="I410" i="10" s="1"/>
  <c r="J410" i="10" s="1"/>
  <c r="L597" i="10"/>
  <c r="M597" i="10" s="1"/>
  <c r="G650" i="10"/>
  <c r="E709" i="10"/>
  <c r="I709" i="10" s="1"/>
  <c r="J709" i="10" s="1"/>
  <c r="G869" i="10"/>
  <c r="L900" i="10"/>
  <c r="M900" i="10" s="1"/>
  <c r="G994" i="10"/>
  <c r="G1148" i="10"/>
  <c r="E1173" i="10"/>
  <c r="L253" i="10"/>
  <c r="M253" i="10" s="1"/>
  <c r="G601" i="10"/>
  <c r="L645" i="10"/>
  <c r="M645" i="10" s="1"/>
  <c r="G1186" i="10"/>
  <c r="E478" i="10"/>
  <c r="E566" i="10"/>
  <c r="F566" i="10" s="1"/>
  <c r="E835" i="10"/>
  <c r="G25" i="10"/>
  <c r="G108" i="10"/>
  <c r="L229" i="10"/>
  <c r="M229" i="10" s="1"/>
  <c r="L249" i="10"/>
  <c r="M249" i="10" s="1"/>
  <c r="E252" i="10"/>
  <c r="E255" i="10"/>
  <c r="G284" i="10"/>
  <c r="G334" i="10"/>
  <c r="L353" i="10"/>
  <c r="M353" i="10" s="1"/>
  <c r="L410" i="10"/>
  <c r="M410" i="10" s="1"/>
  <c r="E488" i="10"/>
  <c r="E623" i="10"/>
  <c r="L635" i="10"/>
  <c r="M635" i="10" s="1"/>
  <c r="G647" i="10"/>
  <c r="L650" i="10"/>
  <c r="M650" i="10" s="1"/>
  <c r="L653" i="10"/>
  <c r="M653" i="10" s="1"/>
  <c r="E677" i="10"/>
  <c r="L709" i="10"/>
  <c r="M709" i="10" s="1"/>
  <c r="E739" i="10"/>
  <c r="L762" i="10"/>
  <c r="M762" i="10" s="1"/>
  <c r="L812" i="10"/>
  <c r="M812" i="10" s="1"/>
  <c r="L818" i="10"/>
  <c r="M818" i="10" s="1"/>
  <c r="L860" i="10"/>
  <c r="M860" i="10" s="1"/>
  <c r="E1017" i="10"/>
  <c r="E1080" i="10"/>
  <c r="L1091" i="10"/>
  <c r="M1091" i="10" s="1"/>
  <c r="L1119" i="10"/>
  <c r="M1119" i="10" s="1"/>
  <c r="L1125" i="10"/>
  <c r="M1125" i="10" s="1"/>
  <c r="L1173" i="10"/>
  <c r="M1173" i="10" s="1"/>
  <c r="L332" i="10"/>
  <c r="M332" i="10" s="1"/>
  <c r="E793" i="10"/>
  <c r="L177" i="10"/>
  <c r="M177" i="10" s="1"/>
  <c r="G262" i="10"/>
  <c r="L417" i="10"/>
  <c r="M417" i="10" s="1"/>
  <c r="G725" i="10"/>
  <c r="G746" i="10"/>
  <c r="L141" i="10"/>
  <c r="M141" i="10" s="1"/>
  <c r="L196" i="10"/>
  <c r="M196" i="10" s="1"/>
  <c r="L262" i="10"/>
  <c r="M262" i="10" s="1"/>
  <c r="E527" i="10"/>
  <c r="E914" i="10"/>
  <c r="F914" i="10" s="1"/>
  <c r="L1004" i="10"/>
  <c r="M1004" i="10" s="1"/>
  <c r="G84" i="10"/>
  <c r="E87" i="10"/>
  <c r="I87" i="10" s="1"/>
  <c r="J87" i="10" s="1"/>
  <c r="L89" i="10"/>
  <c r="M89" i="10" s="1"/>
  <c r="L111" i="10"/>
  <c r="M111" i="10" s="1"/>
  <c r="L135" i="10"/>
  <c r="M135" i="10" s="1"/>
  <c r="L140" i="10"/>
  <c r="M140" i="10" s="1"/>
  <c r="G198" i="10"/>
  <c r="L241" i="10"/>
  <c r="M241" i="10" s="1"/>
  <c r="G293" i="10"/>
  <c r="L399" i="10"/>
  <c r="M399" i="10" s="1"/>
  <c r="E422" i="10"/>
  <c r="L499" i="10"/>
  <c r="M499" i="10" s="1"/>
  <c r="L538" i="10"/>
  <c r="M538" i="10" s="1"/>
  <c r="L541" i="10"/>
  <c r="M541" i="10" s="1"/>
  <c r="E840" i="10"/>
  <c r="G904" i="10"/>
  <c r="L1003" i="10"/>
  <c r="M1003" i="10" s="1"/>
  <c r="E1029" i="10"/>
  <c r="E1032" i="10"/>
  <c r="L1049" i="10"/>
  <c r="M1049" i="10" s="1"/>
  <c r="L1080" i="10"/>
  <c r="M1080" i="10" s="1"/>
  <c r="E1114" i="10"/>
  <c r="I1114" i="10" s="1"/>
  <c r="J1114" i="10" s="1"/>
  <c r="G1120" i="10"/>
  <c r="E1185" i="10"/>
  <c r="E117" i="10"/>
  <c r="G133" i="10"/>
  <c r="G220" i="10"/>
  <c r="E312" i="10"/>
  <c r="G320" i="10"/>
  <c r="E354" i="10"/>
  <c r="F354" i="10" s="1"/>
  <c r="L448" i="10"/>
  <c r="M448" i="10" s="1"/>
  <c r="L458" i="10"/>
  <c r="M458" i="10" s="1"/>
  <c r="G464" i="10"/>
  <c r="L478" i="10"/>
  <c r="M478" i="10" s="1"/>
  <c r="G492" i="10"/>
  <c r="L514" i="10"/>
  <c r="M514" i="10" s="1"/>
  <c r="L517" i="10"/>
  <c r="M517" i="10" s="1"/>
  <c r="L552" i="10"/>
  <c r="M552" i="10" s="1"/>
  <c r="L581" i="10"/>
  <c r="M581" i="10" s="1"/>
  <c r="E587" i="10"/>
  <c r="G595" i="10"/>
  <c r="E617" i="10"/>
  <c r="L656" i="10"/>
  <c r="M656" i="10" s="1"/>
  <c r="L694" i="10"/>
  <c r="M694" i="10" s="1"/>
  <c r="E744" i="10"/>
  <c r="G858" i="10"/>
  <c r="G906" i="10"/>
  <c r="G970" i="10"/>
  <c r="E1035" i="10"/>
  <c r="G1117" i="10"/>
  <c r="L1145" i="10"/>
  <c r="M1145" i="10" s="1"/>
  <c r="G1188" i="10"/>
  <c r="G42" i="10"/>
  <c r="L33" i="10"/>
  <c r="M33" i="10" s="1"/>
  <c r="L52" i="10"/>
  <c r="M52" i="10" s="1"/>
  <c r="L102" i="10"/>
  <c r="M102" i="10" s="1"/>
  <c r="E136" i="10"/>
  <c r="L146" i="10"/>
  <c r="M146" i="10" s="1"/>
  <c r="G152" i="10"/>
  <c r="L197" i="10"/>
  <c r="M197" i="10" s="1"/>
  <c r="L202" i="10"/>
  <c r="M202" i="10" s="1"/>
  <c r="L236" i="10"/>
  <c r="M236" i="10" s="1"/>
  <c r="G250" i="10"/>
  <c r="E328" i="10"/>
  <c r="L412" i="10"/>
  <c r="M412" i="10" s="1"/>
  <c r="L423" i="10"/>
  <c r="M423" i="10" s="1"/>
  <c r="G432" i="10"/>
  <c r="E476" i="10"/>
  <c r="G484" i="10"/>
  <c r="E500" i="10"/>
  <c r="L625" i="10"/>
  <c r="M625" i="10" s="1"/>
  <c r="E674" i="10"/>
  <c r="F674" i="10" s="1"/>
  <c r="L767" i="10"/>
  <c r="M767" i="10" s="1"/>
  <c r="G770" i="10"/>
  <c r="E906" i="10"/>
  <c r="L921" i="10"/>
  <c r="M921" i="10" s="1"/>
  <c r="E943" i="10"/>
  <c r="E1071" i="10"/>
  <c r="G1123" i="10"/>
  <c r="L1134" i="10"/>
  <c r="M1134" i="10" s="1"/>
  <c r="L1137" i="10"/>
  <c r="M1137" i="10" s="1"/>
  <c r="E184" i="10"/>
  <c r="G636" i="10"/>
  <c r="G855" i="10"/>
  <c r="E301" i="10"/>
  <c r="F301" i="10" s="1"/>
  <c r="L312" i="10"/>
  <c r="M312" i="10" s="1"/>
  <c r="L320" i="10"/>
  <c r="M320" i="10" s="1"/>
  <c r="E376" i="10"/>
  <c r="E393" i="10"/>
  <c r="G404" i="10"/>
  <c r="E418" i="10"/>
  <c r="L512" i="10"/>
  <c r="M512" i="10" s="1"/>
  <c r="L523" i="10"/>
  <c r="M523" i="10" s="1"/>
  <c r="E538" i="10"/>
  <c r="G628" i="10"/>
  <c r="G651" i="10"/>
  <c r="L665" i="10"/>
  <c r="M665" i="10" s="1"/>
  <c r="L903" i="10"/>
  <c r="M903" i="10" s="1"/>
  <c r="L1013" i="10"/>
  <c r="M1013" i="10" s="1"/>
  <c r="L1126" i="10"/>
  <c r="M1126" i="10" s="1"/>
  <c r="L395" i="10"/>
  <c r="M395" i="10" s="1"/>
  <c r="L549" i="10"/>
  <c r="M549" i="10" s="1"/>
  <c r="G844" i="10"/>
  <c r="L1029" i="10"/>
  <c r="M1029" i="10" s="1"/>
  <c r="G1109" i="10"/>
  <c r="L80" i="10"/>
  <c r="M80" i="10" s="1"/>
  <c r="G10" i="10"/>
  <c r="E38" i="10"/>
  <c r="G57" i="10"/>
  <c r="E62" i="10"/>
  <c r="L120" i="10"/>
  <c r="M120" i="10" s="1"/>
  <c r="L155" i="10"/>
  <c r="M155" i="10" s="1"/>
  <c r="G169" i="10"/>
  <c r="L190" i="10"/>
  <c r="M190" i="10" s="1"/>
  <c r="L360" i="10"/>
  <c r="M360" i="10" s="1"/>
  <c r="L376" i="10"/>
  <c r="M376" i="10" s="1"/>
  <c r="L396" i="10"/>
  <c r="M396" i="10" s="1"/>
  <c r="L404" i="10"/>
  <c r="M404" i="10" s="1"/>
  <c r="G418" i="10"/>
  <c r="L454" i="10"/>
  <c r="M454" i="10" s="1"/>
  <c r="G465" i="10"/>
  <c r="L476" i="10"/>
  <c r="M476" i="10" s="1"/>
  <c r="L490" i="10"/>
  <c r="M490" i="10" s="1"/>
  <c r="G538" i="10"/>
  <c r="L544" i="10"/>
  <c r="M544" i="10" s="1"/>
  <c r="G553" i="10"/>
  <c r="L555" i="10"/>
  <c r="M555" i="10" s="1"/>
  <c r="L631" i="10"/>
  <c r="M631" i="10" s="1"/>
  <c r="L634" i="10"/>
  <c r="M634" i="10" s="1"/>
  <c r="L677" i="10"/>
  <c r="M677" i="10" s="1"/>
  <c r="E680" i="10"/>
  <c r="E837" i="10"/>
  <c r="G865" i="10"/>
  <c r="L1005" i="10"/>
  <c r="M1005" i="10" s="1"/>
  <c r="G1041" i="10"/>
  <c r="L1052" i="10"/>
  <c r="M1052" i="10" s="1"/>
  <c r="L1074" i="10"/>
  <c r="M1074" i="10" s="1"/>
  <c r="E1107" i="10"/>
  <c r="L1167" i="10"/>
  <c r="M1167" i="10" s="1"/>
  <c r="L1170" i="10"/>
  <c r="M1170" i="10" s="1"/>
  <c r="E1178" i="10"/>
  <c r="L914" i="10"/>
  <c r="M914" i="10" s="1"/>
  <c r="G1145" i="10"/>
  <c r="E100" i="10"/>
  <c r="E108" i="10"/>
  <c r="G134" i="10"/>
  <c r="G161" i="10"/>
  <c r="G180" i="10"/>
  <c r="L193" i="10"/>
  <c r="M193" i="10" s="1"/>
  <c r="L273" i="10"/>
  <c r="M273" i="10" s="1"/>
  <c r="G310" i="10"/>
  <c r="G1173" i="10"/>
  <c r="G252" i="10"/>
  <c r="E441" i="10"/>
  <c r="L462" i="10"/>
  <c r="M462" i="10" s="1"/>
  <c r="G468" i="10"/>
  <c r="E482" i="10"/>
  <c r="G485" i="10"/>
  <c r="E493" i="10"/>
  <c r="E573" i="10"/>
  <c r="E615" i="10"/>
  <c r="L640" i="10"/>
  <c r="M640" i="10" s="1"/>
  <c r="E724" i="10"/>
  <c r="L756" i="10"/>
  <c r="M756" i="10" s="1"/>
  <c r="E774" i="10"/>
  <c r="G808" i="10"/>
  <c r="L819" i="10"/>
  <c r="M819" i="10" s="1"/>
  <c r="L825" i="10"/>
  <c r="M825" i="10" s="1"/>
  <c r="G886" i="10"/>
  <c r="L1055" i="10"/>
  <c r="M1055" i="10" s="1"/>
  <c r="L1069" i="10"/>
  <c r="M1069" i="10" s="1"/>
  <c r="L1077" i="10"/>
  <c r="M1077" i="10" s="1"/>
  <c r="L1088" i="10"/>
  <c r="M1088" i="10" s="1"/>
  <c r="L1096" i="10"/>
  <c r="M1096" i="10" s="1"/>
  <c r="L230" i="10"/>
  <c r="M230" i="10" s="1"/>
  <c r="L525" i="10"/>
  <c r="M525" i="10" s="1"/>
  <c r="E26" i="10"/>
  <c r="E8" i="10"/>
  <c r="L50" i="10"/>
  <c r="M50" i="10" s="1"/>
  <c r="E53" i="10"/>
  <c r="G79" i="10"/>
  <c r="L100" i="10"/>
  <c r="M100" i="10" s="1"/>
  <c r="G129" i="10"/>
  <c r="G142" i="10"/>
  <c r="E153" i="10"/>
  <c r="F153" i="10" s="1"/>
  <c r="E164" i="10"/>
  <c r="L180" i="10"/>
  <c r="M180" i="10" s="1"/>
  <c r="E198" i="10"/>
  <c r="L221" i="10"/>
  <c r="M221" i="10" s="1"/>
  <c r="G229" i="10"/>
  <c r="L240" i="10"/>
  <c r="M240" i="10" s="1"/>
  <c r="G259" i="10"/>
  <c r="E262" i="10"/>
  <c r="E276" i="10"/>
  <c r="E345" i="10"/>
  <c r="I345" i="10" s="1"/>
  <c r="J345" i="10" s="1"/>
  <c r="G350" i="10"/>
  <c r="L363" i="10"/>
  <c r="M363" i="10" s="1"/>
  <c r="E391" i="10"/>
  <c r="F391" i="10" s="1"/>
  <c r="L468" i="10"/>
  <c r="M468" i="10" s="1"/>
  <c r="L471" i="10"/>
  <c r="M471" i="10" s="1"/>
  <c r="G496" i="10"/>
  <c r="L559" i="10"/>
  <c r="M559" i="10" s="1"/>
  <c r="G591" i="10"/>
  <c r="G626" i="10"/>
  <c r="G635" i="10"/>
  <c r="L646" i="10"/>
  <c r="M646" i="10" s="1"/>
  <c r="E649" i="10"/>
  <c r="L715" i="10"/>
  <c r="M715" i="10" s="1"/>
  <c r="L718" i="10"/>
  <c r="M718" i="10" s="1"/>
  <c r="G733" i="10"/>
  <c r="L745" i="10"/>
  <c r="M745" i="10" s="1"/>
  <c r="L753" i="10"/>
  <c r="M753" i="10" s="1"/>
  <c r="L802" i="10"/>
  <c r="M802" i="10" s="1"/>
  <c r="G851" i="10"/>
  <c r="G877" i="10"/>
  <c r="E935" i="10"/>
  <c r="L968" i="10"/>
  <c r="M968" i="10" s="1"/>
  <c r="E971" i="10"/>
  <c r="I971" i="10" s="1"/>
  <c r="J971" i="10" s="1"/>
  <c r="G977" i="10"/>
  <c r="L980" i="10"/>
  <c r="M980" i="10" s="1"/>
  <c r="L1163" i="10"/>
  <c r="M1163" i="10" s="1"/>
  <c r="L138" i="10"/>
  <c r="M138" i="10" s="1"/>
  <c r="L409" i="10"/>
  <c r="M409" i="10" s="1"/>
  <c r="L531" i="10"/>
  <c r="M531" i="10" s="1"/>
  <c r="L41" i="10"/>
  <c r="M41" i="10" s="1"/>
  <c r="L60" i="10"/>
  <c r="M60" i="10" s="1"/>
  <c r="L108" i="10"/>
  <c r="M108" i="10" s="1"/>
  <c r="G305" i="10"/>
  <c r="L482" i="10"/>
  <c r="M482" i="10" s="1"/>
  <c r="G935" i="10"/>
  <c r="L941" i="10"/>
  <c r="M941" i="10" s="1"/>
  <c r="E950" i="10"/>
  <c r="F950" i="10" s="1"/>
  <c r="L965" i="10"/>
  <c r="M965" i="10" s="1"/>
  <c r="G998" i="10"/>
  <c r="E6" i="10"/>
  <c r="L13" i="10"/>
  <c r="M13" i="10" s="1"/>
  <c r="E25" i="10"/>
  <c r="I25" i="10" s="1"/>
  <c r="J25" i="10" s="1"/>
  <c r="L350" i="10"/>
  <c r="M350" i="10" s="1"/>
  <c r="L433" i="10"/>
  <c r="M433" i="10" s="1"/>
  <c r="G447" i="10"/>
  <c r="E450" i="10"/>
  <c r="G491" i="10"/>
  <c r="L496" i="10"/>
  <c r="M496" i="10" s="1"/>
  <c r="E513" i="10"/>
  <c r="L556" i="10"/>
  <c r="M556" i="10" s="1"/>
  <c r="L562" i="10"/>
  <c r="M562" i="10" s="1"/>
  <c r="L565" i="10"/>
  <c r="M565" i="10" s="1"/>
  <c r="G696" i="10"/>
  <c r="L699" i="10"/>
  <c r="M699" i="10" s="1"/>
  <c r="L786" i="10"/>
  <c r="M786" i="10" s="1"/>
  <c r="G1006" i="10"/>
  <c r="G1045" i="10"/>
  <c r="G1108" i="10"/>
  <c r="G306" i="10"/>
  <c r="L370" i="10"/>
  <c r="M370" i="10" s="1"/>
  <c r="E235" i="10"/>
  <c r="L305" i="10"/>
  <c r="M305" i="10" s="1"/>
  <c r="E308" i="10"/>
  <c r="G353" i="10"/>
  <c r="G364" i="10"/>
  <c r="E389" i="10"/>
  <c r="G450" i="10"/>
  <c r="L460" i="10"/>
  <c r="M460" i="10" s="1"/>
  <c r="G499" i="10"/>
  <c r="E583" i="10"/>
  <c r="I583" i="10" s="1"/>
  <c r="J583" i="10" s="1"/>
  <c r="G616" i="10"/>
  <c r="L624" i="10"/>
  <c r="M624" i="10" s="1"/>
  <c r="L638" i="10"/>
  <c r="M638" i="10" s="1"/>
  <c r="G644" i="10"/>
  <c r="E647" i="10"/>
  <c r="L794" i="10"/>
  <c r="M794" i="10" s="1"/>
  <c r="L800" i="10"/>
  <c r="M800" i="10" s="1"/>
  <c r="E803" i="10"/>
  <c r="L806" i="10"/>
  <c r="M806" i="10" s="1"/>
  <c r="E832" i="10"/>
  <c r="L846" i="10"/>
  <c r="M846" i="10" s="1"/>
  <c r="L854" i="10"/>
  <c r="M854" i="10" s="1"/>
  <c r="G890" i="10"/>
  <c r="G893" i="10"/>
  <c r="L956" i="10"/>
  <c r="M956" i="10" s="1"/>
  <c r="E1048" i="10"/>
  <c r="I1048" i="10" s="1"/>
  <c r="J1048" i="10" s="1"/>
  <c r="L1108" i="10"/>
  <c r="M1108" i="10" s="1"/>
  <c r="E1116" i="10"/>
  <c r="E1119" i="10"/>
  <c r="L1184" i="10"/>
  <c r="M1184" i="10" s="1"/>
  <c r="G1187" i="10"/>
  <c r="L49" i="10"/>
  <c r="M49" i="10" s="1"/>
  <c r="L99" i="10"/>
  <c r="M99" i="10" s="1"/>
  <c r="E4" i="10"/>
  <c r="L6" i="10"/>
  <c r="M6" i="10" s="1"/>
  <c r="G23" i="10"/>
  <c r="L25" i="10"/>
  <c r="M25" i="10" s="1"/>
  <c r="G30" i="10"/>
  <c r="G37" i="10"/>
  <c r="L39" i="10"/>
  <c r="M39" i="10" s="1"/>
  <c r="G70" i="10"/>
  <c r="E143" i="10"/>
  <c r="L151" i="10"/>
  <c r="M151" i="10" s="1"/>
  <c r="G181" i="10"/>
  <c r="E194" i="10"/>
  <c r="G249" i="10"/>
  <c r="G274" i="10"/>
  <c r="L291" i="10"/>
  <c r="M291" i="10" s="1"/>
  <c r="L294" i="10"/>
  <c r="M294" i="10" s="1"/>
  <c r="G322" i="10"/>
  <c r="G392" i="10"/>
  <c r="L483" i="10"/>
  <c r="M483" i="10" s="1"/>
  <c r="L513" i="10"/>
  <c r="M513" i="10" s="1"/>
  <c r="E534" i="10"/>
  <c r="I534" i="10" s="1"/>
  <c r="J534" i="10" s="1"/>
  <c r="L835" i="10"/>
  <c r="M835" i="10" s="1"/>
  <c r="L948" i="10"/>
  <c r="M948" i="10" s="1"/>
  <c r="E1166" i="10"/>
  <c r="L130" i="10"/>
  <c r="M130" i="10" s="1"/>
  <c r="L398" i="10"/>
  <c r="M398" i="10" s="1"/>
  <c r="G440" i="10"/>
  <c r="L852" i="10"/>
  <c r="M852" i="10" s="1"/>
  <c r="G9" i="10"/>
  <c r="L85" i="10"/>
  <c r="M85" i="10" s="1"/>
  <c r="E93" i="10"/>
  <c r="L109" i="10"/>
  <c r="M109" i="10" s="1"/>
  <c r="G112" i="10"/>
  <c r="E130" i="10"/>
  <c r="L375" i="10"/>
  <c r="M375" i="10" s="1"/>
  <c r="G395" i="10"/>
  <c r="G398" i="10"/>
  <c r="G478" i="10"/>
  <c r="E489" i="10"/>
  <c r="G600" i="10"/>
  <c r="G787" i="10"/>
  <c r="L849" i="10"/>
  <c r="M849" i="10" s="1"/>
  <c r="E852" i="10"/>
  <c r="L875" i="10"/>
  <c r="M875" i="10" s="1"/>
  <c r="E936" i="10"/>
  <c r="E948" i="10"/>
  <c r="F948" i="10" s="1"/>
  <c r="G1023" i="10"/>
  <c r="E1037" i="10"/>
  <c r="G66" i="10"/>
  <c r="E24" i="10"/>
  <c r="I24" i="10" s="1"/>
  <c r="J24" i="10" s="1"/>
  <c r="L95" i="10"/>
  <c r="M95" i="10" s="1"/>
  <c r="E162" i="10"/>
  <c r="G174" i="10"/>
  <c r="E203" i="10"/>
  <c r="E217" i="10"/>
  <c r="E220" i="10"/>
  <c r="G230" i="10"/>
  <c r="L232" i="10"/>
  <c r="M232" i="10" s="1"/>
  <c r="L261" i="10"/>
  <c r="M261" i="10" s="1"/>
  <c r="G266" i="10"/>
  <c r="L276" i="10"/>
  <c r="M276" i="10" s="1"/>
  <c r="L290" i="10"/>
  <c r="M290" i="10" s="1"/>
  <c r="E293" i="10"/>
  <c r="G304" i="10"/>
  <c r="L324" i="10"/>
  <c r="M324" i="10" s="1"/>
  <c r="G569" i="10"/>
  <c r="E569" i="10"/>
  <c r="L705" i="10"/>
  <c r="M705" i="10" s="1"/>
  <c r="G754" i="10"/>
  <c r="E754" i="10"/>
  <c r="E898" i="10"/>
  <c r="G969" i="10"/>
  <c r="E969" i="10"/>
  <c r="L157" i="10"/>
  <c r="M157" i="10" s="1"/>
  <c r="L220" i="10"/>
  <c r="M220" i="10" s="1"/>
  <c r="E256" i="10"/>
  <c r="G256" i="10"/>
  <c r="G329" i="10"/>
  <c r="E420" i="10"/>
  <c r="L589" i="10"/>
  <c r="M589" i="10" s="1"/>
  <c r="G172" i="10"/>
  <c r="L2" i="10"/>
  <c r="M2" i="10" s="1"/>
  <c r="L4" i="10"/>
  <c r="M4" i="10" s="1"/>
  <c r="L16" i="10"/>
  <c r="M16" i="10" s="1"/>
  <c r="L70" i="10"/>
  <c r="M70" i="10" s="1"/>
  <c r="G91" i="10"/>
  <c r="L93" i="10"/>
  <c r="M93" i="10" s="1"/>
  <c r="E98" i="10"/>
  <c r="E112" i="10"/>
  <c r="G119" i="10"/>
  <c r="L145" i="10"/>
  <c r="M145" i="10" s="1"/>
  <c r="E148" i="10"/>
  <c r="I148" i="10" s="1"/>
  <c r="J148" i="10" s="1"/>
  <c r="E182" i="10"/>
  <c r="L184" i="10"/>
  <c r="M184" i="10" s="1"/>
  <c r="G195" i="10"/>
  <c r="L215" i="10"/>
  <c r="M215" i="10" s="1"/>
  <c r="E236" i="10"/>
  <c r="L238" i="10"/>
  <c r="M238" i="10" s="1"/>
  <c r="E272" i="10"/>
  <c r="L288" i="10"/>
  <c r="M288" i="10" s="1"/>
  <c r="G291" i="10"/>
  <c r="L315" i="10"/>
  <c r="M315" i="10" s="1"/>
  <c r="E334" i="10"/>
  <c r="G352" i="10"/>
  <c r="L354" i="10"/>
  <c r="M354" i="10" s="1"/>
  <c r="G378" i="10"/>
  <c r="E381" i="10"/>
  <c r="E511" i="10"/>
  <c r="L527" i="10"/>
  <c r="M527" i="10" s="1"/>
  <c r="E590" i="10"/>
  <c r="G590" i="10"/>
  <c r="L1076" i="10"/>
  <c r="M1076" i="10" s="1"/>
  <c r="E9" i="10"/>
  <c r="L29" i="10"/>
  <c r="M29" i="10" s="1"/>
  <c r="G49" i="10"/>
  <c r="L53" i="10"/>
  <c r="M53" i="10" s="1"/>
  <c r="L107" i="10"/>
  <c r="M107" i="10" s="1"/>
  <c r="G110" i="10"/>
  <c r="L112" i="10"/>
  <c r="M112" i="10" s="1"/>
  <c r="L119" i="10"/>
  <c r="M119" i="10" s="1"/>
  <c r="L129" i="10"/>
  <c r="M129" i="10" s="1"/>
  <c r="G139" i="10"/>
  <c r="L143" i="10"/>
  <c r="M143" i="10" s="1"/>
  <c r="G148" i="10"/>
  <c r="E165" i="10"/>
  <c r="G175" i="10"/>
  <c r="G182" i="10"/>
  <c r="L191" i="10"/>
  <c r="M191" i="10" s="1"/>
  <c r="E195" i="10"/>
  <c r="L201" i="10"/>
  <c r="M201" i="10" s="1"/>
  <c r="L272" i="10"/>
  <c r="M272" i="10" s="1"/>
  <c r="L277" i="10"/>
  <c r="M277" i="10" s="1"/>
  <c r="L302" i="10"/>
  <c r="M302" i="10" s="1"/>
  <c r="G318" i="10"/>
  <c r="L327" i="10"/>
  <c r="M327" i="10" s="1"/>
  <c r="E352" i="10"/>
  <c r="E368" i="10"/>
  <c r="L381" i="10"/>
  <c r="M381" i="10" s="1"/>
  <c r="G394" i="10"/>
  <c r="L394" i="10"/>
  <c r="M394" i="10" s="1"/>
  <c r="G429" i="10"/>
  <c r="E460" i="10"/>
  <c r="E463" i="10"/>
  <c r="G500" i="10"/>
  <c r="G511" i="10"/>
  <c r="L548" i="10"/>
  <c r="M548" i="10" s="1"/>
  <c r="G624" i="10"/>
  <c r="G726" i="10"/>
  <c r="L735" i="10"/>
  <c r="M735" i="10" s="1"/>
  <c r="G755" i="10"/>
  <c r="G949" i="10"/>
  <c r="L949" i="10"/>
  <c r="M949" i="10" s="1"/>
  <c r="L44" i="10"/>
  <c r="M44" i="10" s="1"/>
  <c r="E307" i="10"/>
  <c r="F307" i="10" s="1"/>
  <c r="G7" i="10"/>
  <c r="L148" i="10"/>
  <c r="M148" i="10" s="1"/>
  <c r="G165" i="10"/>
  <c r="G199" i="10"/>
  <c r="E629" i="10"/>
  <c r="G629" i="10"/>
  <c r="G45" i="10"/>
  <c r="G60" i="10"/>
  <c r="E67" i="10"/>
  <c r="L98" i="10"/>
  <c r="M98" i="10" s="1"/>
  <c r="L110" i="10"/>
  <c r="M110" i="10" s="1"/>
  <c r="L134" i="10"/>
  <c r="M134" i="10" s="1"/>
  <c r="E161" i="10"/>
  <c r="L170" i="10"/>
  <c r="M170" i="10" s="1"/>
  <c r="E178" i="10"/>
  <c r="G178" i="10"/>
  <c r="E244" i="10"/>
  <c r="L254" i="10"/>
  <c r="M254" i="10" s="1"/>
  <c r="G265" i="10"/>
  <c r="G270" i="10"/>
  <c r="G308" i="10"/>
  <c r="L310" i="10"/>
  <c r="M310" i="10" s="1"/>
  <c r="L318" i="10"/>
  <c r="M318" i="10" s="1"/>
  <c r="E340" i="10"/>
  <c r="L384" i="10"/>
  <c r="M384" i="10" s="1"/>
  <c r="G402" i="10"/>
  <c r="E413" i="10"/>
  <c r="E432" i="10"/>
  <c r="G493" i="10"/>
  <c r="E506" i="10"/>
  <c r="G506" i="10"/>
  <c r="G559" i="10"/>
  <c r="L576" i="10"/>
  <c r="M576" i="10" s="1"/>
  <c r="G576" i="10"/>
  <c r="G718" i="10"/>
  <c r="L721" i="10"/>
  <c r="M721" i="10" s="1"/>
  <c r="G1024" i="10"/>
  <c r="L225" i="10"/>
  <c r="M225" i="10" s="1"/>
  <c r="E238" i="10"/>
  <c r="G524" i="10"/>
  <c r="G2" i="10"/>
  <c r="L18" i="10"/>
  <c r="M18" i="10" s="1"/>
  <c r="G81" i="10"/>
  <c r="G167" i="10"/>
  <c r="G191" i="10"/>
  <c r="E201" i="10"/>
  <c r="G391" i="10"/>
  <c r="G415" i="10"/>
  <c r="G436" i="10"/>
  <c r="L84" i="10"/>
  <c r="M84" i="10" s="1"/>
  <c r="L96" i="10"/>
  <c r="M96" i="10" s="1"/>
  <c r="G168" i="10"/>
  <c r="E168" i="10"/>
  <c r="G44" i="10"/>
  <c r="L481" i="10"/>
  <c r="M481" i="10" s="1"/>
  <c r="G527" i="10"/>
  <c r="L584" i="10"/>
  <c r="M584" i="10" s="1"/>
  <c r="L898" i="10"/>
  <c r="M898" i="10" s="1"/>
  <c r="L349" i="10"/>
  <c r="M349" i="10" s="1"/>
  <c r="E439" i="10"/>
  <c r="E871" i="10"/>
  <c r="G58" i="10"/>
  <c r="G17" i="10"/>
  <c r="L19" i="10"/>
  <c r="M19" i="10" s="1"/>
  <c r="L23" i="10"/>
  <c r="M23" i="10" s="1"/>
  <c r="G54" i="10"/>
  <c r="G67" i="10"/>
  <c r="L71" i="10"/>
  <c r="M71" i="10" s="1"/>
  <c r="L77" i="10"/>
  <c r="M77" i="10" s="1"/>
  <c r="E113" i="10"/>
  <c r="E120" i="10"/>
  <c r="G130" i="10"/>
  <c r="E137" i="10"/>
  <c r="L161" i="10"/>
  <c r="M161" i="10" s="1"/>
  <c r="L168" i="10"/>
  <c r="M168" i="10" s="1"/>
  <c r="E185" i="10"/>
  <c r="E200" i="10"/>
  <c r="G321" i="10"/>
  <c r="E321" i="10"/>
  <c r="G633" i="10"/>
  <c r="E633" i="10"/>
  <c r="E192" i="10"/>
  <c r="L200" i="10"/>
  <c r="M200" i="10" s="1"/>
  <c r="L242" i="10"/>
  <c r="M242" i="10" s="1"/>
  <c r="L255" i="10"/>
  <c r="M255" i="10" s="1"/>
  <c r="G273" i="10"/>
  <c r="L278" i="10"/>
  <c r="M278" i="10" s="1"/>
  <c r="L292" i="10"/>
  <c r="M292" i="10" s="1"/>
  <c r="L308" i="10"/>
  <c r="M308" i="10" s="1"/>
  <c r="E338" i="10"/>
  <c r="G369" i="10"/>
  <c r="L453" i="10"/>
  <c r="M453" i="10" s="1"/>
  <c r="L491" i="10"/>
  <c r="M491" i="10" s="1"/>
  <c r="G617" i="10"/>
  <c r="E841" i="10"/>
  <c r="G902" i="10"/>
  <c r="E902" i="10"/>
  <c r="L1132" i="10"/>
  <c r="M1132" i="10" s="1"/>
  <c r="L3" i="10"/>
  <c r="M3" i="10" s="1"/>
  <c r="G15" i="10"/>
  <c r="L32" i="10"/>
  <c r="M32" i="10" s="1"/>
  <c r="E52" i="10"/>
  <c r="L54" i="10"/>
  <c r="M54" i="10" s="1"/>
  <c r="L65" i="10"/>
  <c r="M65" i="10" s="1"/>
  <c r="G149" i="10"/>
  <c r="G164" i="10"/>
  <c r="G222" i="10"/>
  <c r="E28" i="10"/>
  <c r="G52" i="10"/>
  <c r="G128" i="10"/>
  <c r="E140" i="10"/>
  <c r="E181" i="10"/>
  <c r="L185" i="10"/>
  <c r="M185" i="10" s="1"/>
  <c r="L194" i="10"/>
  <c r="M194" i="10" s="1"/>
  <c r="L198" i="10"/>
  <c r="M198" i="10" s="1"/>
  <c r="E222" i="10"/>
  <c r="G232" i="10"/>
  <c r="E240" i="10"/>
  <c r="G245" i="10"/>
  <c r="L250" i="10"/>
  <c r="M250" i="10" s="1"/>
  <c r="G276" i="10"/>
  <c r="L298" i="10"/>
  <c r="M298" i="10" s="1"/>
  <c r="G388" i="10"/>
  <c r="E435" i="10"/>
  <c r="G435" i="10"/>
  <c r="L446" i="10"/>
  <c r="M446" i="10" s="1"/>
  <c r="L486" i="10"/>
  <c r="M486" i="10" s="1"/>
  <c r="G594" i="10"/>
  <c r="G607" i="10"/>
  <c r="E610" i="10"/>
  <c r="F610" i="10" s="1"/>
  <c r="L676" i="10"/>
  <c r="M676" i="10" s="1"/>
  <c r="L710" i="10"/>
  <c r="M710" i="10" s="1"/>
  <c r="E1001" i="10"/>
  <c r="F1001" i="10" s="1"/>
  <c r="G1001" i="10"/>
  <c r="E1009" i="10"/>
  <c r="G1009" i="10"/>
  <c r="L121" i="10"/>
  <c r="M121" i="10" s="1"/>
  <c r="G238" i="10"/>
  <c r="E285" i="10"/>
  <c r="E327" i="10"/>
  <c r="G545" i="10"/>
  <c r="E545" i="10"/>
  <c r="L8" i="10"/>
  <c r="M8" i="10" s="1"/>
  <c r="L28" i="10"/>
  <c r="M28" i="10" s="1"/>
  <c r="E95" i="10"/>
  <c r="L166" i="10"/>
  <c r="M166" i="10" s="1"/>
  <c r="E428" i="10"/>
  <c r="L532" i="10"/>
  <c r="M532" i="10" s="1"/>
  <c r="G581" i="10"/>
  <c r="L607" i="10"/>
  <c r="M607" i="10" s="1"/>
  <c r="L682" i="10"/>
  <c r="M682" i="10" s="1"/>
  <c r="G682" i="10"/>
  <c r="E694" i="10"/>
  <c r="E799" i="10"/>
  <c r="E942" i="10"/>
  <c r="G942" i="10"/>
  <c r="L942" i="10"/>
  <c r="M942" i="10" s="1"/>
  <c r="L963" i="10"/>
  <c r="M963" i="10" s="1"/>
  <c r="G963" i="10"/>
  <c r="L969" i="10"/>
  <c r="M969" i="10" s="1"/>
  <c r="L1001" i="10"/>
  <c r="M1001" i="10" s="1"/>
  <c r="L1006" i="10"/>
  <c r="M1006" i="10" s="1"/>
  <c r="L1118" i="10"/>
  <c r="M1118" i="10" s="1"/>
  <c r="E1124" i="10"/>
  <c r="G1124" i="10"/>
  <c r="G914" i="10"/>
  <c r="L984" i="10"/>
  <c r="M984" i="10" s="1"/>
  <c r="G1004" i="10"/>
  <c r="E1022" i="10"/>
  <c r="G1022" i="10"/>
  <c r="L1111" i="10"/>
  <c r="M1111" i="10" s="1"/>
  <c r="L1124" i="10"/>
  <c r="M1124" i="10" s="1"/>
  <c r="L1071" i="10"/>
  <c r="M1071" i="10" s="1"/>
  <c r="L333" i="10"/>
  <c r="M333" i="10" s="1"/>
  <c r="L343" i="10"/>
  <c r="M343" i="10" s="1"/>
  <c r="L401" i="10"/>
  <c r="M401" i="10" s="1"/>
  <c r="L406" i="10"/>
  <c r="M406" i="10" s="1"/>
  <c r="E447" i="10"/>
  <c r="E454" i="10"/>
  <c r="G461" i="10"/>
  <c r="L466" i="10"/>
  <c r="M466" i="10" s="1"/>
  <c r="L489" i="10"/>
  <c r="M489" i="10" s="1"/>
  <c r="L498" i="10"/>
  <c r="M498" i="10" s="1"/>
  <c r="G504" i="10"/>
  <c r="G509" i="10"/>
  <c r="E517" i="10"/>
  <c r="G541" i="10"/>
  <c r="L546" i="10"/>
  <c r="M546" i="10" s="1"/>
  <c r="G549" i="10"/>
  <c r="L554" i="10"/>
  <c r="M554" i="10" s="1"/>
  <c r="G565" i="10"/>
  <c r="E579" i="10"/>
  <c r="L668" i="10"/>
  <c r="M668" i="10" s="1"/>
  <c r="L671" i="10"/>
  <c r="M671" i="10" s="1"/>
  <c r="L674" i="10"/>
  <c r="M674" i="10" s="1"/>
  <c r="G703" i="10"/>
  <c r="G822" i="10"/>
  <c r="L866" i="10"/>
  <c r="M866" i="10" s="1"/>
  <c r="L889" i="10"/>
  <c r="M889" i="10" s="1"/>
  <c r="L917" i="10"/>
  <c r="M917" i="10" s="1"/>
  <c r="L927" i="10"/>
  <c r="M927" i="10" s="1"/>
  <c r="L930" i="10"/>
  <c r="M930" i="10" s="1"/>
  <c r="L999" i="10"/>
  <c r="M999" i="10" s="1"/>
  <c r="L1022" i="10"/>
  <c r="M1022" i="10" s="1"/>
  <c r="L1176" i="10"/>
  <c r="M1176" i="10" s="1"/>
  <c r="G348" i="10"/>
  <c r="L382" i="10"/>
  <c r="M382" i="10" s="1"/>
  <c r="L432" i="10"/>
  <c r="M432" i="10" s="1"/>
  <c r="L434" i="10"/>
  <c r="M434" i="10" s="1"/>
  <c r="E472" i="10"/>
  <c r="E475" i="10"/>
  <c r="L501" i="10"/>
  <c r="M501" i="10" s="1"/>
  <c r="L504" i="10"/>
  <c r="M504" i="10" s="1"/>
  <c r="L587" i="10"/>
  <c r="M587" i="10" s="1"/>
  <c r="L598" i="10"/>
  <c r="M598" i="10" s="1"/>
  <c r="G603" i="10"/>
  <c r="L611" i="10"/>
  <c r="M611" i="10" s="1"/>
  <c r="E660" i="10"/>
  <c r="I660" i="10" s="1"/>
  <c r="J660" i="10" s="1"/>
  <c r="L680" i="10"/>
  <c r="M680" i="10" s="1"/>
  <c r="L683" i="10"/>
  <c r="M683" i="10" s="1"/>
  <c r="L703" i="10"/>
  <c r="M703" i="10" s="1"/>
  <c r="L708" i="10"/>
  <c r="M708" i="10" s="1"/>
  <c r="L727" i="10"/>
  <c r="M727" i="10" s="1"/>
  <c r="L730" i="10"/>
  <c r="M730" i="10" s="1"/>
  <c r="G753" i="10"/>
  <c r="G845" i="10"/>
  <c r="G872" i="10"/>
  <c r="E893" i="10"/>
  <c r="L964" i="10"/>
  <c r="M964" i="10" s="1"/>
  <c r="L967" i="10"/>
  <c r="M967" i="10" s="1"/>
  <c r="L970" i="10"/>
  <c r="M970" i="10" s="1"/>
  <c r="L1050" i="10"/>
  <c r="M1050" i="10" s="1"/>
  <c r="G228" i="10"/>
  <c r="G313" i="10"/>
  <c r="L447" i="10"/>
  <c r="M447" i="10" s="1"/>
  <c r="L484" i="10"/>
  <c r="M484" i="10" s="1"/>
  <c r="E985" i="10"/>
  <c r="E994" i="10"/>
  <c r="G1067" i="10"/>
  <c r="G1179" i="10"/>
  <c r="L195" i="10"/>
  <c r="M195" i="10" s="1"/>
  <c r="G221" i="10"/>
  <c r="L228" i="10"/>
  <c r="M228" i="10" s="1"/>
  <c r="G251" i="10"/>
  <c r="E278" i="10"/>
  <c r="L283" i="10"/>
  <c r="M283" i="10" s="1"/>
  <c r="L293" i="10"/>
  <c r="M293" i="10" s="1"/>
  <c r="E313" i="10"/>
  <c r="G316" i="10"/>
  <c r="G339" i="10"/>
  <c r="E344" i="10"/>
  <c r="L346" i="10"/>
  <c r="M346" i="10" s="1"/>
  <c r="G363" i="10"/>
  <c r="E380" i="10"/>
  <c r="L392" i="10"/>
  <c r="M392" i="10" s="1"/>
  <c r="E407" i="10"/>
  <c r="F407" i="10" s="1"/>
  <c r="L452" i="10"/>
  <c r="M452" i="10" s="1"/>
  <c r="L459" i="10"/>
  <c r="M459" i="10" s="1"/>
  <c r="L475" i="10"/>
  <c r="M475" i="10" s="1"/>
  <c r="L487" i="10"/>
  <c r="M487" i="10" s="1"/>
  <c r="E492" i="10"/>
  <c r="E499" i="10"/>
  <c r="G520" i="10"/>
  <c r="G528" i="10"/>
  <c r="G539" i="10"/>
  <c r="G542" i="10"/>
  <c r="G563" i="10"/>
  <c r="E650" i="10"/>
  <c r="L652" i="10"/>
  <c r="M652" i="10" s="1"/>
  <c r="L660" i="10"/>
  <c r="M660" i="10" s="1"/>
  <c r="L663" i="10"/>
  <c r="M663" i="10" s="1"/>
  <c r="G820" i="10"/>
  <c r="L845" i="10"/>
  <c r="M845" i="10" s="1"/>
  <c r="G848" i="10"/>
  <c r="L858" i="10"/>
  <c r="M858" i="10" s="1"/>
  <c r="G867" i="10"/>
  <c r="L887" i="10"/>
  <c r="M887" i="10" s="1"/>
  <c r="E890" i="10"/>
  <c r="L918" i="10"/>
  <c r="M918" i="10" s="1"/>
  <c r="E928" i="10"/>
  <c r="F928" i="10" s="1"/>
  <c r="L464" i="10"/>
  <c r="M464" i="10" s="1"/>
  <c r="G510" i="10"/>
  <c r="E523" i="10"/>
  <c r="L528" i="10"/>
  <c r="M528" i="10" s="1"/>
  <c r="L539" i="10"/>
  <c r="M539" i="10" s="1"/>
  <c r="L748" i="10"/>
  <c r="M748" i="10" s="1"/>
  <c r="E751" i="10"/>
  <c r="I751" i="10" s="1"/>
  <c r="J751" i="10" s="1"/>
  <c r="G788" i="10"/>
  <c r="E815" i="10"/>
  <c r="E823" i="10"/>
  <c r="F823" i="10" s="1"/>
  <c r="L842" i="10"/>
  <c r="M842" i="10" s="1"/>
  <c r="E848" i="10"/>
  <c r="L890" i="10"/>
  <c r="M890" i="10" s="1"/>
  <c r="G928" i="10"/>
  <c r="G1107" i="10"/>
  <c r="L1153" i="10"/>
  <c r="M1153" i="10" s="1"/>
  <c r="G214" i="10"/>
  <c r="E234" i="10"/>
  <c r="G241" i="10"/>
  <c r="L246" i="10"/>
  <c r="M246" i="10" s="1"/>
  <c r="L334" i="10"/>
  <c r="M334" i="10" s="1"/>
  <c r="E356" i="10"/>
  <c r="F356" i="10" s="1"/>
  <c r="L361" i="10"/>
  <c r="M361" i="10" s="1"/>
  <c r="E366" i="10"/>
  <c r="L388" i="10"/>
  <c r="M388" i="10" s="1"/>
  <c r="L402" i="10"/>
  <c r="M402" i="10" s="1"/>
  <c r="L428" i="10"/>
  <c r="M428" i="10" s="1"/>
  <c r="L431" i="10"/>
  <c r="M431" i="10" s="1"/>
  <c r="E448" i="10"/>
  <c r="L470" i="10"/>
  <c r="M470" i="10" s="1"/>
  <c r="L485" i="10"/>
  <c r="M485" i="10" s="1"/>
  <c r="L510" i="10"/>
  <c r="M510" i="10" s="1"/>
  <c r="L601" i="10"/>
  <c r="M601" i="10" s="1"/>
  <c r="L626" i="10"/>
  <c r="M626" i="10" s="1"/>
  <c r="E664" i="10"/>
  <c r="G777" i="10"/>
  <c r="L788" i="10"/>
  <c r="M788" i="10" s="1"/>
  <c r="L798" i="10"/>
  <c r="M798" i="10" s="1"/>
  <c r="G840" i="10"/>
  <c r="L870" i="10"/>
  <c r="M870" i="10" s="1"/>
  <c r="L1018" i="10"/>
  <c r="M1018" i="10" s="1"/>
  <c r="E1040" i="10"/>
  <c r="I1040" i="10" s="1"/>
  <c r="J1040" i="10" s="1"/>
  <c r="L1083" i="10"/>
  <c r="M1083" i="10" s="1"/>
  <c r="G294" i="10"/>
  <c r="L304" i="10"/>
  <c r="M304" i="10" s="1"/>
  <c r="G314" i="10"/>
  <c r="L319" i="10"/>
  <c r="M319" i="10" s="1"/>
  <c r="E326" i="10"/>
  <c r="L337" i="10"/>
  <c r="M337" i="10" s="1"/>
  <c r="G356" i="10"/>
  <c r="G366" i="10"/>
  <c r="L368" i="10"/>
  <c r="M368" i="10" s="1"/>
  <c r="L373" i="10"/>
  <c r="M373" i="10" s="1"/>
  <c r="E405" i="10"/>
  <c r="L438" i="10"/>
  <c r="M438" i="10" s="1"/>
  <c r="G443" i="10"/>
  <c r="E446" i="10"/>
  <c r="G448" i="10"/>
  <c r="L450" i="10"/>
  <c r="M450" i="10" s="1"/>
  <c r="E455" i="10"/>
  <c r="L612" i="10"/>
  <c r="M612" i="10" s="1"/>
  <c r="L629" i="10"/>
  <c r="M629" i="10" s="1"/>
  <c r="G637" i="10"/>
  <c r="G640" i="10"/>
  <c r="L664" i="10"/>
  <c r="M664" i="10" s="1"/>
  <c r="L766" i="10"/>
  <c r="M766" i="10" s="1"/>
  <c r="G786" i="10"/>
  <c r="L804" i="10"/>
  <c r="M804" i="10" s="1"/>
  <c r="E865" i="10"/>
  <c r="G894" i="10"/>
  <c r="E932" i="10"/>
  <c r="E947" i="10"/>
  <c r="E995" i="10"/>
  <c r="G995" i="10"/>
  <c r="L1043" i="10"/>
  <c r="M1043" i="10" s="1"/>
  <c r="G1140" i="10"/>
  <c r="G1165" i="10"/>
  <c r="E1165" i="10"/>
  <c r="I1165" i="10" s="1"/>
  <c r="J1165" i="10" s="1"/>
  <c r="L1166" i="10"/>
  <c r="M1166" i="10" s="1"/>
  <c r="G983" i="10"/>
  <c r="L994" i="10"/>
  <c r="M994" i="10" s="1"/>
  <c r="G1002" i="10"/>
  <c r="G1017" i="10"/>
  <c r="L1033" i="10"/>
  <c r="M1033" i="10" s="1"/>
  <c r="G1046" i="10"/>
  <c r="L1059" i="10"/>
  <c r="M1059" i="10" s="1"/>
  <c r="E1094" i="10"/>
  <c r="E1099" i="10"/>
  <c r="L1116" i="10"/>
  <c r="M1116" i="10" s="1"/>
  <c r="L1140" i="10"/>
  <c r="M1140" i="10" s="1"/>
  <c r="L1146" i="10"/>
  <c r="M1146" i="10" s="1"/>
  <c r="L1159" i="10"/>
  <c r="M1159" i="10" s="1"/>
  <c r="E1172" i="10"/>
  <c r="G1177" i="10"/>
  <c r="L613" i="10"/>
  <c r="M613" i="10" s="1"/>
  <c r="E638" i="10"/>
  <c r="L667" i="10"/>
  <c r="M667" i="10" s="1"/>
  <c r="L716" i="10"/>
  <c r="M716" i="10" s="1"/>
  <c r="L724" i="10"/>
  <c r="M724" i="10" s="1"/>
  <c r="G736" i="10"/>
  <c r="L739" i="10"/>
  <c r="M739" i="10" s="1"/>
  <c r="G745" i="10"/>
  <c r="L755" i="10"/>
  <c r="M755" i="10" s="1"/>
  <c r="G761" i="10"/>
  <c r="L781" i="10"/>
  <c r="M781" i="10" s="1"/>
  <c r="E813" i="10"/>
  <c r="I813" i="10" s="1"/>
  <c r="J813" i="10" s="1"/>
  <c r="E821" i="10"/>
  <c r="E859" i="10"/>
  <c r="L896" i="10"/>
  <c r="M896" i="10" s="1"/>
  <c r="L901" i="10"/>
  <c r="M901" i="10" s="1"/>
  <c r="E904" i="10"/>
  <c r="L933" i="10"/>
  <c r="M933" i="10" s="1"/>
  <c r="L960" i="10"/>
  <c r="M960" i="10" s="1"/>
  <c r="L983" i="10"/>
  <c r="M983" i="10" s="1"/>
  <c r="E1015" i="10"/>
  <c r="G1054" i="10"/>
  <c r="E1065" i="10"/>
  <c r="G1094" i="10"/>
  <c r="G1119" i="10"/>
  <c r="L1138" i="10"/>
  <c r="M1138" i="10" s="1"/>
  <c r="L1154" i="10"/>
  <c r="M1154" i="10" s="1"/>
  <c r="L1015" i="10"/>
  <c r="M1015" i="10" s="1"/>
  <c r="L1067" i="10"/>
  <c r="M1067" i="10" s="1"/>
  <c r="L1087" i="10"/>
  <c r="M1087" i="10" s="1"/>
  <c r="L1094" i="10"/>
  <c r="M1094" i="10" s="1"/>
  <c r="G1163" i="10"/>
  <c r="L972" i="10"/>
  <c r="M972" i="10" s="1"/>
  <c r="L992" i="10"/>
  <c r="M992" i="10" s="1"/>
  <c r="E1013" i="10"/>
  <c r="L1028" i="10"/>
  <c r="M1028" i="10" s="1"/>
  <c r="G1031" i="10"/>
  <c r="G1070" i="10"/>
  <c r="E555" i="10"/>
  <c r="I555" i="10" s="1"/>
  <c r="J555" i="10" s="1"/>
  <c r="L590" i="10"/>
  <c r="M590" i="10" s="1"/>
  <c r="L603" i="10"/>
  <c r="M603" i="10" s="1"/>
  <c r="L633" i="10"/>
  <c r="M633" i="10" s="1"/>
  <c r="L651" i="10"/>
  <c r="M651" i="10" s="1"/>
  <c r="L711" i="10"/>
  <c r="M711" i="10" s="1"/>
  <c r="E792" i="10"/>
  <c r="G797" i="10"/>
  <c r="G800" i="10"/>
  <c r="E811" i="10"/>
  <c r="E844" i="10"/>
  <c r="E849" i="10"/>
  <c r="L873" i="10"/>
  <c r="M873" i="10" s="1"/>
  <c r="E897" i="10"/>
  <c r="F897" i="10" s="1"/>
  <c r="L907" i="10"/>
  <c r="M907" i="10" s="1"/>
  <c r="L945" i="10"/>
  <c r="M945" i="10" s="1"/>
  <c r="G948" i="10"/>
  <c r="G967" i="10"/>
  <c r="E984" i="10"/>
  <c r="L995" i="10"/>
  <c r="M995" i="10" s="1"/>
  <c r="L1075" i="10"/>
  <c r="M1075" i="10" s="1"/>
  <c r="G1082" i="10"/>
  <c r="L1110" i="10"/>
  <c r="M1110" i="10" s="1"/>
  <c r="G1115" i="10"/>
  <c r="G1125" i="10"/>
  <c r="L1128" i="10"/>
  <c r="M1128" i="10" s="1"/>
  <c r="G1152" i="10"/>
  <c r="E1180" i="10"/>
  <c r="G1029" i="10"/>
  <c r="G1068" i="10"/>
  <c r="E1085" i="10"/>
  <c r="G1034" i="10"/>
  <c r="L1039" i="10"/>
  <c r="M1039" i="10" s="1"/>
  <c r="L1100" i="10"/>
  <c r="M1100" i="10" s="1"/>
  <c r="E1103" i="10"/>
  <c r="E1108" i="10"/>
  <c r="G1158" i="10"/>
  <c r="L518" i="10"/>
  <c r="M518" i="10" s="1"/>
  <c r="L545" i="10"/>
  <c r="M545" i="10" s="1"/>
  <c r="G548" i="10"/>
  <c r="L553" i="10"/>
  <c r="M553" i="10" s="1"/>
  <c r="L569" i="10"/>
  <c r="M569" i="10" s="1"/>
  <c r="L588" i="10"/>
  <c r="M588" i="10" s="1"/>
  <c r="L596" i="10"/>
  <c r="M596" i="10" s="1"/>
  <c r="G599" i="10"/>
  <c r="L636" i="10"/>
  <c r="M636" i="10" s="1"/>
  <c r="G645" i="10"/>
  <c r="L647" i="10"/>
  <c r="M647" i="10" s="1"/>
  <c r="G768" i="10"/>
  <c r="E790" i="10"/>
  <c r="L841" i="10"/>
  <c r="M841" i="10" s="1"/>
  <c r="L844" i="10"/>
  <c r="M844" i="10" s="1"/>
  <c r="E857" i="10"/>
  <c r="L871" i="10"/>
  <c r="M871" i="10" s="1"/>
  <c r="E886" i="10"/>
  <c r="L905" i="10"/>
  <c r="M905" i="10" s="1"/>
  <c r="G959" i="10"/>
  <c r="L990" i="10"/>
  <c r="M990" i="10" s="1"/>
  <c r="G1042" i="10"/>
  <c r="G1066" i="10"/>
  <c r="E1098" i="10"/>
  <c r="E1134" i="10"/>
  <c r="E1158" i="10"/>
  <c r="L1183" i="10"/>
  <c r="M1183" i="10" s="1"/>
  <c r="G1194" i="10"/>
  <c r="L1189" i="10"/>
  <c r="M1189" i="10" s="1"/>
  <c r="E1192" i="10"/>
  <c r="E1193" i="10"/>
  <c r="F1193" i="10" s="1"/>
  <c r="G8" i="10"/>
  <c r="E14" i="10"/>
  <c r="L17" i="10"/>
  <c r="M17" i="10" s="1"/>
  <c r="G28" i="10"/>
  <c r="L76" i="10"/>
  <c r="M76" i="10" s="1"/>
  <c r="E209" i="10"/>
  <c r="L209" i="10"/>
  <c r="M209" i="10" s="1"/>
  <c r="G209" i="10"/>
  <c r="L59" i="10"/>
  <c r="M59" i="10" s="1"/>
  <c r="E59" i="10"/>
  <c r="L55" i="10"/>
  <c r="M55" i="10" s="1"/>
  <c r="G59" i="10"/>
  <c r="G105" i="10"/>
  <c r="E105" i="10"/>
  <c r="E127" i="10"/>
  <c r="L127" i="10"/>
  <c r="M127" i="10" s="1"/>
  <c r="G127" i="10"/>
  <c r="E219" i="10"/>
  <c r="F219" i="10" s="1"/>
  <c r="G588" i="10"/>
  <c r="E588" i="10"/>
  <c r="G16" i="10"/>
  <c r="L26" i="10"/>
  <c r="M26" i="10" s="1"/>
  <c r="G34" i="10"/>
  <c r="E34" i="10"/>
  <c r="E81" i="10"/>
  <c r="L105" i="10"/>
  <c r="M105" i="10" s="1"/>
  <c r="G115" i="10"/>
  <c r="E115" i="10"/>
  <c r="E157" i="10"/>
  <c r="F157" i="10" s="1"/>
  <c r="G157" i="10"/>
  <c r="G200" i="10"/>
  <c r="L5" i="10"/>
  <c r="M5" i="10" s="1"/>
  <c r="L10" i="10"/>
  <c r="M10" i="10" s="1"/>
  <c r="L12" i="10"/>
  <c r="M12" i="10" s="1"/>
  <c r="E42" i="10"/>
  <c r="G188" i="10"/>
  <c r="E188" i="10"/>
  <c r="G359" i="10"/>
  <c r="E359" i="10"/>
  <c r="G614" i="10"/>
  <c r="L614" i="10"/>
  <c r="M614" i="10" s="1"/>
  <c r="E817" i="10"/>
  <c r="G817" i="10"/>
  <c r="E73" i="10"/>
  <c r="G73" i="10"/>
  <c r="L81" i="10"/>
  <c r="M81" i="10" s="1"/>
  <c r="E46" i="10"/>
  <c r="E123" i="10"/>
  <c r="L123" i="10"/>
  <c r="M123" i="10" s="1"/>
  <c r="G123" i="10"/>
  <c r="E335" i="10"/>
  <c r="G335" i="10"/>
  <c r="L335" i="10"/>
  <c r="M335" i="10" s="1"/>
  <c r="L795" i="10"/>
  <c r="M795" i="10" s="1"/>
  <c r="G795" i="10"/>
  <c r="G798" i="10"/>
  <c r="E798" i="10"/>
  <c r="G740" i="10"/>
  <c r="E740" i="10"/>
  <c r="E2" i="10"/>
  <c r="E10" i="10"/>
  <c r="G14" i="10"/>
  <c r="E16" i="10"/>
  <c r="G26" i="10"/>
  <c r="L9" i="10"/>
  <c r="M9" i="10" s="1"/>
  <c r="L42" i="10"/>
  <c r="M42" i="10" s="1"/>
  <c r="E58" i="10"/>
  <c r="G88" i="10"/>
  <c r="L113" i="10"/>
  <c r="M113" i="10" s="1"/>
  <c r="G193" i="10"/>
  <c r="E193" i="10"/>
  <c r="I193" i="10" s="1"/>
  <c r="J193" i="10" s="1"/>
  <c r="G132" i="10"/>
  <c r="L132" i="10"/>
  <c r="M132" i="10" s="1"/>
  <c r="E295" i="10"/>
  <c r="I295" i="10" s="1"/>
  <c r="J295" i="10" s="1"/>
  <c r="G295" i="10"/>
  <c r="G4" i="10"/>
  <c r="G13" i="10"/>
  <c r="L27" i="10"/>
  <c r="M27" i="10" s="1"/>
  <c r="E35" i="10"/>
  <c r="L46" i="10"/>
  <c r="M46" i="10" s="1"/>
  <c r="E60" i="10"/>
  <c r="E132" i="10"/>
  <c r="L144" i="10"/>
  <c r="M144" i="10" s="1"/>
  <c r="E144" i="10"/>
  <c r="G93" i="10"/>
  <c r="G144" i="10"/>
  <c r="E3" i="10"/>
  <c r="I3" i="10" s="1"/>
  <c r="J3" i="10" s="1"/>
  <c r="L11" i="10"/>
  <c r="M11" i="10" s="1"/>
  <c r="E17" i="10"/>
  <c r="G29" i="10"/>
  <c r="G33" i="10"/>
  <c r="E213" i="10"/>
  <c r="L213" i="10"/>
  <c r="M213" i="10" s="1"/>
  <c r="G213" i="10"/>
  <c r="G377" i="10"/>
  <c r="L377" i="10"/>
  <c r="M377" i="10" s="1"/>
  <c r="E430" i="10"/>
  <c r="G430" i="10"/>
  <c r="L430" i="10"/>
  <c r="M430" i="10" s="1"/>
  <c r="G775" i="10"/>
  <c r="E775" i="10"/>
  <c r="I775" i="10" s="1"/>
  <c r="J775" i="10" s="1"/>
  <c r="G3" i="10"/>
  <c r="L37" i="10"/>
  <c r="M37" i="10" s="1"/>
  <c r="G39" i="10"/>
  <c r="E49" i="10"/>
  <c r="E187" i="10"/>
  <c r="G187" i="10"/>
  <c r="L233" i="10"/>
  <c r="M233" i="10" s="1"/>
  <c r="G552" i="10"/>
  <c r="E552" i="10"/>
  <c r="L72" i="10"/>
  <c r="M72" i="10" s="1"/>
  <c r="G85" i="10"/>
  <c r="G140" i="10"/>
  <c r="L187" i="10"/>
  <c r="M187" i="10" s="1"/>
  <c r="L147" i="10"/>
  <c r="M147" i="10" s="1"/>
  <c r="E233" i="10"/>
  <c r="I233" i="10" s="1"/>
  <c r="J233" i="10" s="1"/>
  <c r="E333" i="10"/>
  <c r="E375" i="10"/>
  <c r="F375" i="10" s="1"/>
  <c r="G416" i="10"/>
  <c r="E567" i="10"/>
  <c r="G567" i="10"/>
  <c r="G785" i="10"/>
  <c r="E785" i="10"/>
  <c r="G828" i="10"/>
  <c r="E828" i="10"/>
  <c r="L87" i="10"/>
  <c r="M87" i="10" s="1"/>
  <c r="G125" i="10"/>
  <c r="G136" i="10"/>
  <c r="E169" i="10"/>
  <c r="E176" i="10"/>
  <c r="I176" i="10" s="1"/>
  <c r="J176" i="10" s="1"/>
  <c r="G227" i="10"/>
  <c r="E248" i="10"/>
  <c r="L260" i="10"/>
  <c r="M260" i="10" s="1"/>
  <c r="L271" i="10"/>
  <c r="M271" i="10" s="1"/>
  <c r="L275" i="10"/>
  <c r="M275" i="10" s="1"/>
  <c r="E287" i="10"/>
  <c r="L289" i="10"/>
  <c r="M289" i="10" s="1"/>
  <c r="E302" i="10"/>
  <c r="L306" i="10"/>
  <c r="M306" i="10" s="1"/>
  <c r="E315" i="10"/>
  <c r="L416" i="10"/>
  <c r="M416" i="10" s="1"/>
  <c r="L445" i="10"/>
  <c r="M445" i="10" s="1"/>
  <c r="E465" i="10"/>
  <c r="I465" i="10" s="1"/>
  <c r="J465" i="10" s="1"/>
  <c r="G467" i="10"/>
  <c r="E467" i="10"/>
  <c r="G481" i="10"/>
  <c r="L511" i="10"/>
  <c r="M511" i="10" s="1"/>
  <c r="L567" i="10"/>
  <c r="M567" i="10" s="1"/>
  <c r="E657" i="10"/>
  <c r="G689" i="10"/>
  <c r="L697" i="10"/>
  <c r="M697" i="10" s="1"/>
  <c r="G888" i="10"/>
  <c r="E1058" i="10"/>
  <c r="G1058" i="10"/>
  <c r="E1115" i="10"/>
  <c r="L136" i="10"/>
  <c r="M136" i="10" s="1"/>
  <c r="G176" i="10"/>
  <c r="E221" i="10"/>
  <c r="I221" i="10" s="1"/>
  <c r="J221" i="10" s="1"/>
  <c r="E225" i="10"/>
  <c r="E227" i="10"/>
  <c r="F227" i="10" s="1"/>
  <c r="E229" i="10"/>
  <c r="G237" i="10"/>
  <c r="G246" i="10"/>
  <c r="G248" i="10"/>
  <c r="E265" i="10"/>
  <c r="G287" i="10"/>
  <c r="E300" i="10"/>
  <c r="L321" i="10"/>
  <c r="M321" i="10" s="1"/>
  <c r="G570" i="10"/>
  <c r="L575" i="10"/>
  <c r="M575" i="10" s="1"/>
  <c r="E595" i="10"/>
  <c r="G621" i="10"/>
  <c r="E621" i="10"/>
  <c r="G630" i="10"/>
  <c r="L630" i="10"/>
  <c r="M630" i="10" s="1"/>
  <c r="E630" i="10"/>
  <c r="E689" i="10"/>
  <c r="F689" i="10" s="1"/>
  <c r="E915" i="10"/>
  <c r="G915" i="10"/>
  <c r="E1002" i="10"/>
  <c r="E30" i="10"/>
  <c r="G32" i="10"/>
  <c r="E36" i="10"/>
  <c r="L45" i="10"/>
  <c r="M45" i="10" s="1"/>
  <c r="E54" i="10"/>
  <c r="I54" i="10" s="1"/>
  <c r="J54" i="10" s="1"/>
  <c r="E80" i="10"/>
  <c r="I80" i="10" s="1"/>
  <c r="J80" i="10" s="1"/>
  <c r="G95" i="10"/>
  <c r="L125" i="10"/>
  <c r="M125" i="10" s="1"/>
  <c r="E129" i="10"/>
  <c r="L169" i="10"/>
  <c r="M169" i="10" s="1"/>
  <c r="L227" i="10"/>
  <c r="M227" i="10" s="1"/>
  <c r="L248" i="10"/>
  <c r="M248" i="10" s="1"/>
  <c r="G298" i="10"/>
  <c r="G307" i="10"/>
  <c r="G311" i="10"/>
  <c r="G405" i="10"/>
  <c r="E436" i="10"/>
  <c r="E443" i="10"/>
  <c r="E461" i="10"/>
  <c r="L488" i="10"/>
  <c r="M488" i="10" s="1"/>
  <c r="E548" i="10"/>
  <c r="L573" i="10"/>
  <c r="M573" i="10" s="1"/>
  <c r="G573" i="10"/>
  <c r="G623" i="10"/>
  <c r="L648" i="10"/>
  <c r="M648" i="10" s="1"/>
  <c r="G684" i="10"/>
  <c r="G687" i="10"/>
  <c r="L689" i="10"/>
  <c r="M689" i="10" s="1"/>
  <c r="L773" i="10"/>
  <c r="M773" i="10" s="1"/>
  <c r="G773" i="10"/>
  <c r="E812" i="10"/>
  <c r="G812" i="10"/>
  <c r="G823" i="10"/>
  <c r="G826" i="10"/>
  <c r="E826" i="10"/>
  <c r="E863" i="10"/>
  <c r="G863" i="10"/>
  <c r="L868" i="10"/>
  <c r="M868" i="10" s="1"/>
  <c r="L915" i="10"/>
  <c r="M915" i="10" s="1"/>
  <c r="E986" i="10"/>
  <c r="G986" i="10"/>
  <c r="G40" i="10"/>
  <c r="G43" i="10"/>
  <c r="E45" i="10"/>
  <c r="E68" i="10"/>
  <c r="G80" i="10"/>
  <c r="E84" i="10"/>
  <c r="G87" i="10"/>
  <c r="E89" i="10"/>
  <c r="L176" i="10"/>
  <c r="M176" i="10" s="1"/>
  <c r="E342" i="10"/>
  <c r="L436" i="10"/>
  <c r="M436" i="10" s="1"/>
  <c r="G475" i="10"/>
  <c r="L595" i="10"/>
  <c r="M595" i="10" s="1"/>
  <c r="L621" i="10"/>
  <c r="M621" i="10" s="1"/>
  <c r="L623" i="10"/>
  <c r="M623" i="10" s="1"/>
  <c r="L684" i="10"/>
  <c r="M684" i="10" s="1"/>
  <c r="L770" i="10"/>
  <c r="M770" i="10" s="1"/>
  <c r="E1106" i="10"/>
  <c r="G1106" i="10"/>
  <c r="L1106" i="10"/>
  <c r="M1106" i="10" s="1"/>
  <c r="G203" i="10"/>
  <c r="G217" i="10"/>
  <c r="G244" i="10"/>
  <c r="G283" i="10"/>
  <c r="E290" i="10"/>
  <c r="L307" i="10"/>
  <c r="M307" i="10" s="1"/>
  <c r="E309" i="10"/>
  <c r="G324" i="10"/>
  <c r="G342" i="10"/>
  <c r="G346" i="10"/>
  <c r="G387" i="10"/>
  <c r="E387" i="10"/>
  <c r="L405" i="10"/>
  <c r="M405" i="10" s="1"/>
  <c r="G441" i="10"/>
  <c r="L456" i="10"/>
  <c r="M456" i="10" s="1"/>
  <c r="E507" i="10"/>
  <c r="E524" i="10"/>
  <c r="E541" i="10"/>
  <c r="E628" i="10"/>
  <c r="E641" i="10"/>
  <c r="G641" i="10"/>
  <c r="L759" i="10"/>
  <c r="M759" i="10" s="1"/>
  <c r="G759" i="10"/>
  <c r="E759" i="10"/>
  <c r="G68" i="10"/>
  <c r="L79" i="10"/>
  <c r="M79" i="10" s="1"/>
  <c r="L82" i="10"/>
  <c r="M82" i="10" s="1"/>
  <c r="E110" i="10"/>
  <c r="L117" i="10"/>
  <c r="M117" i="10" s="1"/>
  <c r="L139" i="10"/>
  <c r="M139" i="10" s="1"/>
  <c r="L203" i="10"/>
  <c r="M203" i="10" s="1"/>
  <c r="L217" i="10"/>
  <c r="M217" i="10" s="1"/>
  <c r="G234" i="10"/>
  <c r="L244" i="10"/>
  <c r="M244" i="10" s="1"/>
  <c r="E274" i="10"/>
  <c r="E283" i="10"/>
  <c r="L285" i="10"/>
  <c r="M285" i="10" s="1"/>
  <c r="G288" i="10"/>
  <c r="G290" i="10"/>
  <c r="G296" i="10"/>
  <c r="E320" i="10"/>
  <c r="F320" i="10" s="1"/>
  <c r="E324" i="10"/>
  <c r="I324" i="10" s="1"/>
  <c r="J324" i="10" s="1"/>
  <c r="L326" i="10"/>
  <c r="M326" i="10" s="1"/>
  <c r="L330" i="10"/>
  <c r="M330" i="10" s="1"/>
  <c r="E332" i="10"/>
  <c r="L338" i="10"/>
  <c r="M338" i="10" s="1"/>
  <c r="L387" i="10"/>
  <c r="M387" i="10" s="1"/>
  <c r="G390" i="10"/>
  <c r="E431" i="10"/>
  <c r="L441" i="10"/>
  <c r="M441" i="10" s="1"/>
  <c r="L461" i="10"/>
  <c r="M461" i="10" s="1"/>
  <c r="L473" i="10"/>
  <c r="M473" i="10" s="1"/>
  <c r="G507" i="10"/>
  <c r="L563" i="10"/>
  <c r="M563" i="10" s="1"/>
  <c r="L615" i="10"/>
  <c r="M615" i="10" s="1"/>
  <c r="G615" i="10"/>
  <c r="L628" i="10"/>
  <c r="M628" i="10" s="1"/>
  <c r="L641" i="10"/>
  <c r="M641" i="10" s="1"/>
  <c r="E682" i="10"/>
  <c r="E858" i="10"/>
  <c r="L863" i="10"/>
  <c r="M863" i="10" s="1"/>
  <c r="E913" i="10"/>
  <c r="G913" i="10"/>
  <c r="L68" i="10"/>
  <c r="M68" i="10" s="1"/>
  <c r="L73" i="10"/>
  <c r="M73" i="10" s="1"/>
  <c r="G77" i="10"/>
  <c r="E79" i="10"/>
  <c r="G92" i="10"/>
  <c r="G102" i="10"/>
  <c r="G104" i="10"/>
  <c r="E145" i="10"/>
  <c r="I145" i="10" s="1"/>
  <c r="J145" i="10" s="1"/>
  <c r="E166" i="10"/>
  <c r="L188" i="10"/>
  <c r="M188" i="10" s="1"/>
  <c r="L199" i="10"/>
  <c r="M199" i="10" s="1"/>
  <c r="L313" i="10"/>
  <c r="M313" i="10" s="1"/>
  <c r="L342" i="10"/>
  <c r="M342" i="10" s="1"/>
  <c r="E424" i="10"/>
  <c r="L524" i="10"/>
  <c r="M524" i="10" s="1"/>
  <c r="G566" i="10"/>
  <c r="L566" i="10"/>
  <c r="M566" i="10" s="1"/>
  <c r="E810" i="10"/>
  <c r="G810" i="10"/>
  <c r="G934" i="10"/>
  <c r="E934" i="10"/>
  <c r="E177" i="10"/>
  <c r="I177" i="10" s="1"/>
  <c r="J177" i="10" s="1"/>
  <c r="E678" i="10"/>
  <c r="G678" i="10"/>
  <c r="L38" i="10"/>
  <c r="M38" i="10" s="1"/>
  <c r="L51" i="10"/>
  <c r="M51" i="10" s="1"/>
  <c r="G53" i="10"/>
  <c r="L61" i="10"/>
  <c r="M61" i="10" s="1"/>
  <c r="E63" i="10"/>
  <c r="G65" i="10"/>
  <c r="E72" i="10"/>
  <c r="L116" i="10"/>
  <c r="M116" i="10" s="1"/>
  <c r="G120" i="10"/>
  <c r="L133" i="10"/>
  <c r="M133" i="10" s="1"/>
  <c r="E170" i="10"/>
  <c r="G183" i="10"/>
  <c r="L210" i="10"/>
  <c r="M210" i="10" s="1"/>
  <c r="E228" i="10"/>
  <c r="E230" i="10"/>
  <c r="E232" i="10"/>
  <c r="L286" i="10"/>
  <c r="M286" i="10" s="1"/>
  <c r="L316" i="10"/>
  <c r="M316" i="10" s="1"/>
  <c r="E388" i="10"/>
  <c r="G399" i="10"/>
  <c r="L415" i="10"/>
  <c r="M415" i="10" s="1"/>
  <c r="G422" i="10"/>
  <c r="E427" i="10"/>
  <c r="G427" i="10"/>
  <c r="E429" i="10"/>
  <c r="I429" i="10" s="1"/>
  <c r="J429" i="10" s="1"/>
  <c r="E462" i="10"/>
  <c r="I462" i="10" s="1"/>
  <c r="J462" i="10" s="1"/>
  <c r="G462" i="10"/>
  <c r="E471" i="10"/>
  <c r="G471" i="10"/>
  <c r="G482" i="10"/>
  <c r="G498" i="10"/>
  <c r="L503" i="10"/>
  <c r="M503" i="10" s="1"/>
  <c r="G503" i="10"/>
  <c r="L582" i="10"/>
  <c r="M582" i="10" s="1"/>
  <c r="G587" i="10"/>
  <c r="L754" i="10"/>
  <c r="M754" i="10" s="1"/>
  <c r="L946" i="10"/>
  <c r="M946" i="10" s="1"/>
  <c r="E147" i="10"/>
  <c r="G151" i="10"/>
  <c r="G155" i="10"/>
  <c r="L179" i="10"/>
  <c r="M179" i="10" s="1"/>
  <c r="E214" i="10"/>
  <c r="G397" i="10"/>
  <c r="E397" i="10"/>
  <c r="G457" i="10"/>
  <c r="E457" i="10"/>
  <c r="E760" i="10"/>
  <c r="G760" i="10"/>
  <c r="L268" i="10"/>
  <c r="M268" i="10" s="1"/>
  <c r="G279" i="10"/>
  <c r="L281" i="10"/>
  <c r="M281" i="10" s="1"/>
  <c r="E409" i="10"/>
  <c r="G413" i="10"/>
  <c r="G455" i="10"/>
  <c r="G469" i="10"/>
  <c r="L469" i="10"/>
  <c r="M469" i="10" s="1"/>
  <c r="E520" i="10"/>
  <c r="E525" i="10"/>
  <c r="G525" i="10"/>
  <c r="G530" i="10"/>
  <c r="L561" i="10"/>
  <c r="M561" i="10" s="1"/>
  <c r="G577" i="10"/>
  <c r="E580" i="10"/>
  <c r="L654" i="10"/>
  <c r="M654" i="10" s="1"/>
  <c r="E654" i="10"/>
  <c r="L733" i="10"/>
  <c r="M733" i="10" s="1"/>
  <c r="G747" i="10"/>
  <c r="L752" i="10"/>
  <c r="M752" i="10" s="1"/>
  <c r="G752" i="10"/>
  <c r="E752" i="10"/>
  <c r="L830" i="10"/>
  <c r="M830" i="10" s="1"/>
  <c r="L943" i="10"/>
  <c r="M943" i="10" s="1"/>
  <c r="E76" i="10"/>
  <c r="L88" i="10"/>
  <c r="M88" i="10" s="1"/>
  <c r="G116" i="10"/>
  <c r="E138" i="10"/>
  <c r="G153" i="10"/>
  <c r="E159" i="10"/>
  <c r="L175" i="10"/>
  <c r="M175" i="10" s="1"/>
  <c r="L189" i="10"/>
  <c r="M189" i="10" s="1"/>
  <c r="G216" i="10"/>
  <c r="E243" i="10"/>
  <c r="F243" i="10" s="1"/>
  <c r="L252" i="10"/>
  <c r="M252" i="10" s="1"/>
  <c r="L264" i="10"/>
  <c r="M264" i="10" s="1"/>
  <c r="G277" i="10"/>
  <c r="E291" i="10"/>
  <c r="E304" i="10"/>
  <c r="E310" i="10"/>
  <c r="G323" i="10"/>
  <c r="G331" i="10"/>
  <c r="E341" i="10"/>
  <c r="G341" i="10"/>
  <c r="E349" i="10"/>
  <c r="G349" i="10"/>
  <c r="G361" i="10"/>
  <c r="E363" i="10"/>
  <c r="I363" i="10" s="1"/>
  <c r="J363" i="10" s="1"/>
  <c r="L365" i="10"/>
  <c r="M365" i="10" s="1"/>
  <c r="G409" i="10"/>
  <c r="G411" i="10"/>
  <c r="G420" i="10"/>
  <c r="L455" i="10"/>
  <c r="M455" i="10" s="1"/>
  <c r="E469" i="10"/>
  <c r="L494" i="10"/>
  <c r="M494" i="10" s="1"/>
  <c r="L520" i="10"/>
  <c r="M520" i="10" s="1"/>
  <c r="E530" i="10"/>
  <c r="G535" i="10"/>
  <c r="G556" i="10"/>
  <c r="G572" i="10"/>
  <c r="E572" i="10"/>
  <c r="I572" i="10" s="1"/>
  <c r="J572" i="10" s="1"/>
  <c r="L577" i="10"/>
  <c r="M577" i="10" s="1"/>
  <c r="G580" i="10"/>
  <c r="G609" i="10"/>
  <c r="G654" i="10"/>
  <c r="E747" i="10"/>
  <c r="L836" i="10"/>
  <c r="M836" i="10" s="1"/>
  <c r="L935" i="10"/>
  <c r="M935" i="10" s="1"/>
  <c r="L959" i="10"/>
  <c r="M959" i="10" s="1"/>
  <c r="E962" i="10"/>
  <c r="G962" i="10"/>
  <c r="E978" i="10"/>
  <c r="G989" i="10"/>
  <c r="E989" i="10"/>
  <c r="L1002" i="10"/>
  <c r="M1002" i="10" s="1"/>
  <c r="G1014" i="10"/>
  <c r="E1014" i="10"/>
  <c r="G1044" i="10"/>
  <c r="L1046" i="10"/>
  <c r="M1046" i="10" s="1"/>
  <c r="G1099" i="10"/>
  <c r="L1115" i="10"/>
  <c r="M1115" i="10" s="1"/>
  <c r="G1012" i="10"/>
  <c r="L1012" i="10"/>
  <c r="M1012" i="10" s="1"/>
  <c r="L1058" i="10"/>
  <c r="M1058" i="10" s="1"/>
  <c r="G1072" i="10"/>
  <c r="E1072" i="10"/>
  <c r="G1138" i="10"/>
  <c r="E1138" i="10"/>
  <c r="G347" i="10"/>
  <c r="L366" i="10"/>
  <c r="M366" i="10" s="1"/>
  <c r="G401" i="10"/>
  <c r="E403" i="10"/>
  <c r="F403" i="10" s="1"/>
  <c r="G412" i="10"/>
  <c r="E414" i="10"/>
  <c r="L420" i="10"/>
  <c r="M420" i="10" s="1"/>
  <c r="L429" i="10"/>
  <c r="M429" i="10" s="1"/>
  <c r="L439" i="10"/>
  <c r="M439" i="10" s="1"/>
  <c r="L465" i="10"/>
  <c r="M465" i="10" s="1"/>
  <c r="E479" i="10"/>
  <c r="L492" i="10"/>
  <c r="M492" i="10" s="1"/>
  <c r="E518" i="10"/>
  <c r="G518" i="10"/>
  <c r="G589" i="10"/>
  <c r="L591" i="10"/>
  <c r="M591" i="10" s="1"/>
  <c r="E600" i="10"/>
  <c r="E642" i="10"/>
  <c r="E713" i="10"/>
  <c r="G713" i="10"/>
  <c r="L740" i="10"/>
  <c r="M740" i="10" s="1"/>
  <c r="L760" i="10"/>
  <c r="M760" i="10" s="1"/>
  <c r="G763" i="10"/>
  <c r="G776" i="10"/>
  <c r="L776" i="10"/>
  <c r="M776" i="10" s="1"/>
  <c r="L823" i="10"/>
  <c r="M823" i="10" s="1"/>
  <c r="L834" i="10"/>
  <c r="M834" i="10" s="1"/>
  <c r="E856" i="10"/>
  <c r="F856" i="10" s="1"/>
  <c r="G856" i="10"/>
  <c r="E880" i="10"/>
  <c r="F880" i="10" s="1"/>
  <c r="E899" i="10"/>
  <c r="E1012" i="10"/>
  <c r="E1023" i="10"/>
  <c r="G1030" i="10"/>
  <c r="E1070" i="10"/>
  <c r="L1072" i="10"/>
  <c r="M1072" i="10" s="1"/>
  <c r="L1099" i="10"/>
  <c r="M1099" i="10" s="1"/>
  <c r="G1133" i="10"/>
  <c r="L1133" i="10"/>
  <c r="M1133" i="10" s="1"/>
  <c r="L443" i="10"/>
  <c r="M443" i="10" s="1"/>
  <c r="G477" i="10"/>
  <c r="E609" i="10"/>
  <c r="F609" i="10" s="1"/>
  <c r="E637" i="10"/>
  <c r="G642" i="10"/>
  <c r="E671" i="10"/>
  <c r="F671" i="10" s="1"/>
  <c r="E688" i="10"/>
  <c r="L688" i="10"/>
  <c r="M688" i="10" s="1"/>
  <c r="G690" i="10"/>
  <c r="G847" i="10"/>
  <c r="G880" i="10"/>
  <c r="E920" i="10"/>
  <c r="G1028" i="10"/>
  <c r="E1028" i="10"/>
  <c r="G1037" i="10"/>
  <c r="E1097" i="10"/>
  <c r="E1123" i="10"/>
  <c r="F1123" i="10" s="1"/>
  <c r="E1133" i="10"/>
  <c r="I1133" i="10" s="1"/>
  <c r="J1133" i="10" s="1"/>
  <c r="E1159" i="10"/>
  <c r="I1159" i="10" s="1"/>
  <c r="J1159" i="10" s="1"/>
  <c r="E1187" i="10"/>
  <c r="L347" i="10"/>
  <c r="M347" i="10" s="1"/>
  <c r="G367" i="10"/>
  <c r="E373" i="10"/>
  <c r="G384" i="10"/>
  <c r="L414" i="10"/>
  <c r="M414" i="10" s="1"/>
  <c r="E423" i="10"/>
  <c r="G425" i="10"/>
  <c r="E433" i="10"/>
  <c r="G474" i="10"/>
  <c r="L477" i="10"/>
  <c r="M477" i="10" s="1"/>
  <c r="E483" i="10"/>
  <c r="E485" i="10"/>
  <c r="I485" i="10" s="1"/>
  <c r="J485" i="10" s="1"/>
  <c r="G489" i="10"/>
  <c r="E491" i="10"/>
  <c r="E531" i="10"/>
  <c r="L542" i="10"/>
  <c r="M542" i="10" s="1"/>
  <c r="E562" i="10"/>
  <c r="E581" i="10"/>
  <c r="G583" i="10"/>
  <c r="E594" i="10"/>
  <c r="L600" i="10"/>
  <c r="M600" i="10" s="1"/>
  <c r="L642" i="10"/>
  <c r="M642" i="10" s="1"/>
  <c r="G674" i="10"/>
  <c r="G676" i="10"/>
  <c r="L713" i="10"/>
  <c r="M713" i="10" s="1"/>
  <c r="E726" i="10"/>
  <c r="F726" i="10" s="1"/>
  <c r="L763" i="10"/>
  <c r="M763" i="10" s="1"/>
  <c r="E768" i="10"/>
  <c r="E847" i="10"/>
  <c r="E851" i="10"/>
  <c r="L880" i="10"/>
  <c r="M880" i="10" s="1"/>
  <c r="E891" i="10"/>
  <c r="G891" i="10"/>
  <c r="L982" i="10"/>
  <c r="M982" i="10" s="1"/>
  <c r="G982" i="10"/>
  <c r="E982" i="10"/>
  <c r="L998" i="10"/>
  <c r="M998" i="10" s="1"/>
  <c r="G1003" i="10"/>
  <c r="E1003" i="10"/>
  <c r="L1023" i="10"/>
  <c r="M1023" i="10" s="1"/>
  <c r="L1026" i="10"/>
  <c r="M1026" i="10" s="1"/>
  <c r="E1026" i="10"/>
  <c r="G1035" i="10"/>
  <c r="L1037" i="10"/>
  <c r="M1037" i="10" s="1"/>
  <c r="E1088" i="10"/>
  <c r="L1090" i="10"/>
  <c r="M1090" i="10" s="1"/>
  <c r="L1097" i="10"/>
  <c r="M1097" i="10" s="1"/>
  <c r="L1123" i="10"/>
  <c r="M1123" i="10" s="1"/>
  <c r="E371" i="10"/>
  <c r="G373" i="10"/>
  <c r="L391" i="10"/>
  <c r="M391" i="10" s="1"/>
  <c r="E440" i="10"/>
  <c r="F440" i="10" s="1"/>
  <c r="G454" i="10"/>
  <c r="E474" i="10"/>
  <c r="I474" i="10" s="1"/>
  <c r="J474" i="10" s="1"/>
  <c r="G483" i="10"/>
  <c r="E510" i="10"/>
  <c r="G531" i="10"/>
  <c r="L540" i="10"/>
  <c r="M540" i="10" s="1"/>
  <c r="G562" i="10"/>
  <c r="E576" i="10"/>
  <c r="L620" i="10"/>
  <c r="M620" i="10" s="1"/>
  <c r="G688" i="10"/>
  <c r="E753" i="10"/>
  <c r="G766" i="10"/>
  <c r="L768" i="10"/>
  <c r="M768" i="10" s="1"/>
  <c r="E824" i="10"/>
  <c r="E854" i="10"/>
  <c r="G854" i="10"/>
  <c r="L891" i="10"/>
  <c r="M891" i="10" s="1"/>
  <c r="G920" i="10"/>
  <c r="G926" i="10"/>
  <c r="G993" i="10"/>
  <c r="G1026" i="10"/>
  <c r="L1035" i="10"/>
  <c r="M1035" i="10" s="1"/>
  <c r="L1054" i="10"/>
  <c r="M1054" i="10" s="1"/>
  <c r="E1086" i="10"/>
  <c r="G1116" i="10"/>
  <c r="G1131" i="10"/>
  <c r="E1131" i="10"/>
  <c r="E1149" i="10"/>
  <c r="G1149" i="10"/>
  <c r="L1149" i="10"/>
  <c r="M1149" i="10" s="1"/>
  <c r="G1159" i="10"/>
  <c r="E382" i="10"/>
  <c r="L397" i="10"/>
  <c r="M397" i="10" s="1"/>
  <c r="E421" i="10"/>
  <c r="E468" i="10"/>
  <c r="L583" i="10"/>
  <c r="M583" i="10" s="1"/>
  <c r="L637" i="10"/>
  <c r="M637" i="10" s="1"/>
  <c r="L666" i="10"/>
  <c r="M666" i="10" s="1"/>
  <c r="G709" i="10"/>
  <c r="G724" i="10"/>
  <c r="E761" i="10"/>
  <c r="E787" i="10"/>
  <c r="G819" i="10"/>
  <c r="E819" i="10"/>
  <c r="I819" i="10" s="1"/>
  <c r="J819" i="10" s="1"/>
  <c r="G824" i="10"/>
  <c r="E963" i="10"/>
  <c r="E996" i="10"/>
  <c r="F996" i="10" s="1"/>
  <c r="G996" i="10"/>
  <c r="L1086" i="10"/>
  <c r="M1086" i="10" s="1"/>
  <c r="G1086" i="10"/>
  <c r="L1187" i="10"/>
  <c r="M1187" i="10" s="1"/>
  <c r="G980" i="10"/>
  <c r="E980" i="10"/>
  <c r="L369" i="10"/>
  <c r="M369" i="10" s="1"/>
  <c r="G374" i="10"/>
  <c r="G376" i="10"/>
  <c r="E378" i="10"/>
  <c r="L380" i="10"/>
  <c r="M380" i="10" s="1"/>
  <c r="G389" i="10"/>
  <c r="G406" i="10"/>
  <c r="L435" i="10"/>
  <c r="M435" i="10" s="1"/>
  <c r="L442" i="10"/>
  <c r="M442" i="10" s="1"/>
  <c r="E456" i="10"/>
  <c r="E458" i="10"/>
  <c r="G470" i="10"/>
  <c r="L493" i="10"/>
  <c r="M493" i="10" s="1"/>
  <c r="G502" i="10"/>
  <c r="E504" i="10"/>
  <c r="G517" i="10"/>
  <c r="G534" i="10"/>
  <c r="L558" i="10"/>
  <c r="M558" i="10" s="1"/>
  <c r="E574" i="10"/>
  <c r="L618" i="10"/>
  <c r="M618" i="10" s="1"/>
  <c r="L777" i="10"/>
  <c r="M777" i="10" s="1"/>
  <c r="G905" i="10"/>
  <c r="E905" i="10"/>
  <c r="G918" i="10"/>
  <c r="L958" i="10"/>
  <c r="M958" i="10" s="1"/>
  <c r="G1015" i="10"/>
  <c r="G1043" i="10"/>
  <c r="E1043" i="10"/>
  <c r="E1050" i="10"/>
  <c r="G1050" i="10"/>
  <c r="E1084" i="10"/>
  <c r="G1084" i="10"/>
  <c r="L1114" i="10"/>
  <c r="M1114" i="10" s="1"/>
  <c r="E1152" i="10"/>
  <c r="I1152" i="10" s="1"/>
  <c r="J1152" i="10" s="1"/>
  <c r="G1172" i="10"/>
  <c r="E1183" i="10"/>
  <c r="G1190" i="10"/>
  <c r="E1190" i="10"/>
  <c r="L1024" i="10"/>
  <c r="M1024" i="10" s="1"/>
  <c r="G1027" i="10"/>
  <c r="L1152" i="10"/>
  <c r="M1152" i="10" s="1"/>
  <c r="E1179" i="10"/>
  <c r="E956" i="10"/>
  <c r="L988" i="10"/>
  <c r="M988" i="10" s="1"/>
  <c r="E1020" i="10"/>
  <c r="G1020" i="10"/>
  <c r="E1027" i="10"/>
  <c r="L1060" i="10"/>
  <c r="M1060" i="10" s="1"/>
  <c r="L1065" i="10"/>
  <c r="M1065" i="10" s="1"/>
  <c r="G1103" i="10"/>
  <c r="E1117" i="10"/>
  <c r="E1148" i="10"/>
  <c r="G1150" i="10"/>
  <c r="L1177" i="10"/>
  <c r="M1177" i="10" s="1"/>
  <c r="E1186" i="10"/>
  <c r="L329" i="10"/>
  <c r="M329" i="10" s="1"/>
  <c r="E343" i="10"/>
  <c r="L345" i="10"/>
  <c r="M345" i="10" s="1"/>
  <c r="G355" i="10"/>
  <c r="E357" i="10"/>
  <c r="L359" i="10"/>
  <c r="M359" i="10" s="1"/>
  <c r="G370" i="10"/>
  <c r="G381" i="10"/>
  <c r="E385" i="10"/>
  <c r="E396" i="10"/>
  <c r="E398" i="10"/>
  <c r="E404" i="10"/>
  <c r="G417" i="10"/>
  <c r="L421" i="10"/>
  <c r="M421" i="10" s="1"/>
  <c r="L426" i="10"/>
  <c r="M426" i="10" s="1"/>
  <c r="L457" i="10"/>
  <c r="M457" i="10" s="1"/>
  <c r="L463" i="10"/>
  <c r="M463" i="10" s="1"/>
  <c r="E484" i="10"/>
  <c r="I484" i="10" s="1"/>
  <c r="J484" i="10" s="1"/>
  <c r="E486" i="10"/>
  <c r="E532" i="10"/>
  <c r="L547" i="10"/>
  <c r="M547" i="10" s="1"/>
  <c r="E553" i="10"/>
  <c r="G584" i="10"/>
  <c r="G596" i="10"/>
  <c r="G602" i="10"/>
  <c r="L606" i="10"/>
  <c r="M606" i="10" s="1"/>
  <c r="G648" i="10"/>
  <c r="E652" i="10"/>
  <c r="L678" i="10"/>
  <c r="M678" i="10" s="1"/>
  <c r="E734" i="10"/>
  <c r="G756" i="10"/>
  <c r="L775" i="10"/>
  <c r="M775" i="10" s="1"/>
  <c r="L787" i="10"/>
  <c r="M787" i="10" s="1"/>
  <c r="L861" i="10"/>
  <c r="M861" i="10" s="1"/>
  <c r="G871" i="10"/>
  <c r="E910" i="10"/>
  <c r="F910" i="10" s="1"/>
  <c r="L920" i="10"/>
  <c r="M920" i="10" s="1"/>
  <c r="G941" i="10"/>
  <c r="G974" i="10"/>
  <c r="G1005" i="10"/>
  <c r="L1009" i="10"/>
  <c r="M1009" i="10" s="1"/>
  <c r="L1041" i="10"/>
  <c r="M1041" i="10" s="1"/>
  <c r="L1056" i="10"/>
  <c r="M1056" i="10" s="1"/>
  <c r="G1076" i="10"/>
  <c r="E1076" i="10"/>
  <c r="L1101" i="10"/>
  <c r="M1101" i="10" s="1"/>
  <c r="E1110" i="10"/>
  <c r="G1110" i="10"/>
  <c r="E1144" i="10"/>
  <c r="I1144" i="10" s="1"/>
  <c r="J1144" i="10" s="1"/>
  <c r="L1175" i="10"/>
  <c r="M1175" i="10" s="1"/>
  <c r="L1179" i="10"/>
  <c r="M1179" i="10" s="1"/>
  <c r="L1181" i="10"/>
  <c r="M1181" i="10" s="1"/>
  <c r="G1192" i="10"/>
  <c r="L719" i="10"/>
  <c r="M719" i="10" s="1"/>
  <c r="L726" i="10"/>
  <c r="M726" i="10" s="1"/>
  <c r="L743" i="10"/>
  <c r="M743" i="10" s="1"/>
  <c r="L747" i="10"/>
  <c r="M747" i="10" s="1"/>
  <c r="L761" i="10"/>
  <c r="M761" i="10" s="1"/>
  <c r="L790" i="10"/>
  <c r="M790" i="10" s="1"/>
  <c r="G803" i="10"/>
  <c r="G806" i="10"/>
  <c r="G815" i="10"/>
  <c r="L817" i="10"/>
  <c r="M817" i="10" s="1"/>
  <c r="L864" i="10"/>
  <c r="M864" i="10" s="1"/>
  <c r="L874" i="10"/>
  <c r="M874" i="10" s="1"/>
  <c r="G879" i="10"/>
  <c r="E879" i="10"/>
  <c r="E894" i="10"/>
  <c r="E921" i="10"/>
  <c r="L939" i="10"/>
  <c r="M939" i="10" s="1"/>
  <c r="L951" i="10"/>
  <c r="M951" i="10" s="1"/>
  <c r="E954" i="10"/>
  <c r="G997" i="10"/>
  <c r="G1016" i="10"/>
  <c r="L1020" i="10"/>
  <c r="M1020" i="10" s="1"/>
  <c r="L1044" i="10"/>
  <c r="M1044" i="10" s="1"/>
  <c r="E1102" i="10"/>
  <c r="I1102" i="10" s="1"/>
  <c r="J1102" i="10" s="1"/>
  <c r="L1117" i="10"/>
  <c r="M1117" i="10" s="1"/>
  <c r="E1147" i="10"/>
  <c r="L1160" i="10"/>
  <c r="M1160" i="10" s="1"/>
  <c r="L1165" i="10"/>
  <c r="M1165" i="10" s="1"/>
  <c r="L1186" i="10"/>
  <c r="M1186" i="10" s="1"/>
  <c r="L729" i="10"/>
  <c r="M729" i="10" s="1"/>
  <c r="L732" i="10"/>
  <c r="M732" i="10" s="1"/>
  <c r="L810" i="10"/>
  <c r="M810" i="10" s="1"/>
  <c r="L869" i="10"/>
  <c r="M869" i="10" s="1"/>
  <c r="L962" i="10"/>
  <c r="M962" i="10" s="1"/>
  <c r="L989" i="10"/>
  <c r="M989" i="10" s="1"/>
  <c r="G992" i="10"/>
  <c r="L1032" i="10"/>
  <c r="M1032" i="10" s="1"/>
  <c r="G1096" i="10"/>
  <c r="L1102" i="10"/>
  <c r="M1102" i="10" s="1"/>
  <c r="L506" i="10"/>
  <c r="M506" i="10" s="1"/>
  <c r="L535" i="10"/>
  <c r="M535" i="10" s="1"/>
  <c r="E560" i="10"/>
  <c r="L570" i="10"/>
  <c r="M570" i="10" s="1"/>
  <c r="G597" i="10"/>
  <c r="G612" i="10"/>
  <c r="E631" i="10"/>
  <c r="L659" i="10"/>
  <c r="M659" i="10" s="1"/>
  <c r="G670" i="10"/>
  <c r="E670" i="10"/>
  <c r="E699" i="10"/>
  <c r="F699" i="10" s="1"/>
  <c r="L701" i="10"/>
  <c r="M701" i="10" s="1"/>
  <c r="G710" i="10"/>
  <c r="L712" i="10"/>
  <c r="M712" i="10" s="1"/>
  <c r="G774" i="10"/>
  <c r="G784" i="10"/>
  <c r="E808" i="10"/>
  <c r="L815" i="10"/>
  <c r="M815" i="10" s="1"/>
  <c r="E822" i="10"/>
  <c r="G832" i="10"/>
  <c r="G852" i="10"/>
  <c r="G857" i="10"/>
  <c r="L867" i="10"/>
  <c r="M867" i="10" s="1"/>
  <c r="E872" i="10"/>
  <c r="E877" i="10"/>
  <c r="G887" i="10"/>
  <c r="L1014" i="10"/>
  <c r="M1014" i="10" s="1"/>
  <c r="L1016" i="10"/>
  <c r="M1016" i="10" s="1"/>
  <c r="E1034" i="10"/>
  <c r="F1034" i="10" s="1"/>
  <c r="E1042" i="10"/>
  <c r="G1055" i="10"/>
  <c r="E1055" i="10"/>
  <c r="E1127" i="10"/>
  <c r="L1131" i="10"/>
  <c r="M1131" i="10" s="1"/>
  <c r="L1158" i="10"/>
  <c r="M1158" i="10" s="1"/>
  <c r="G1170" i="10"/>
  <c r="G1184" i="10"/>
  <c r="L1188" i="10"/>
  <c r="M1188" i="10" s="1"/>
  <c r="L1190" i="10"/>
  <c r="M1190" i="10" s="1"/>
  <c r="L533" i="10"/>
  <c r="M533" i="10" s="1"/>
  <c r="E546" i="10"/>
  <c r="I546" i="10" s="1"/>
  <c r="J546" i="10" s="1"/>
  <c r="G560" i="10"/>
  <c r="E597" i="10"/>
  <c r="E601" i="10"/>
  <c r="E612" i="10"/>
  <c r="E624" i="10"/>
  <c r="G649" i="10"/>
  <c r="L657" i="10"/>
  <c r="M657" i="10" s="1"/>
  <c r="L670" i="10"/>
  <c r="M670" i="10" s="1"/>
  <c r="G699" i="10"/>
  <c r="E710" i="10"/>
  <c r="E767" i="10"/>
  <c r="G769" i="10"/>
  <c r="L774" i="10"/>
  <c r="M774" i="10" s="1"/>
  <c r="L784" i="10"/>
  <c r="M784" i="10" s="1"/>
  <c r="L808" i="10"/>
  <c r="M808" i="10" s="1"/>
  <c r="G837" i="10"/>
  <c r="L894" i="10"/>
  <c r="M894" i="10" s="1"/>
  <c r="E925" i="10"/>
  <c r="G925" i="10"/>
  <c r="L1042" i="10"/>
  <c r="M1042" i="10" s="1"/>
  <c r="G1051" i="10"/>
  <c r="G1053" i="10"/>
  <c r="E1053" i="10"/>
  <c r="E1077" i="10"/>
  <c r="E1100" i="10"/>
  <c r="E1140" i="10"/>
  <c r="E1145" i="10"/>
  <c r="F1145" i="10" s="1"/>
  <c r="E1176" i="10"/>
  <c r="I1176" i="10" s="1"/>
  <c r="J1176" i="10" s="1"/>
  <c r="G1180" i="10"/>
  <c r="G723" i="10"/>
  <c r="G762" i="10"/>
  <c r="L769" i="10"/>
  <c r="M769" i="10" s="1"/>
  <c r="G782" i="10"/>
  <c r="G791" i="10"/>
  <c r="L822" i="10"/>
  <c r="M822" i="10" s="1"/>
  <c r="L832" i="10"/>
  <c r="M832" i="10" s="1"/>
  <c r="G841" i="10"/>
  <c r="L855" i="10"/>
  <c r="M855" i="10" s="1"/>
  <c r="L857" i="10"/>
  <c r="M857" i="10" s="1"/>
  <c r="L877" i="10"/>
  <c r="M877" i="10" s="1"/>
  <c r="L882" i="10"/>
  <c r="M882" i="10" s="1"/>
  <c r="L885" i="10"/>
  <c r="M885" i="10" s="1"/>
  <c r="L906" i="10"/>
  <c r="M906" i="10" s="1"/>
  <c r="L911" i="10"/>
  <c r="M911" i="10" s="1"/>
  <c r="L916" i="10"/>
  <c r="M916" i="10" s="1"/>
  <c r="E922" i="10"/>
  <c r="G922" i="10"/>
  <c r="G952" i="10"/>
  <c r="L987" i="10"/>
  <c r="M987" i="10" s="1"/>
  <c r="E1006" i="10"/>
  <c r="L1030" i="10"/>
  <c r="M1030" i="10" s="1"/>
  <c r="L1034" i="10"/>
  <c r="M1034" i="10" s="1"/>
  <c r="L1040" i="10"/>
  <c r="M1040" i="10" s="1"/>
  <c r="E1051" i="10"/>
  <c r="E1092" i="10"/>
  <c r="G1092" i="10"/>
  <c r="L1168" i="10"/>
  <c r="M1168" i="10" s="1"/>
  <c r="L655" i="10"/>
  <c r="M655" i="10" s="1"/>
  <c r="L690" i="10"/>
  <c r="M690" i="10" s="1"/>
  <c r="L782" i="10"/>
  <c r="M782" i="10" s="1"/>
  <c r="L791" i="10"/>
  <c r="M791" i="10" s="1"/>
  <c r="L797" i="10"/>
  <c r="M797" i="10" s="1"/>
  <c r="G839" i="10"/>
  <c r="E846" i="10"/>
  <c r="G859" i="10"/>
  <c r="L883" i="10"/>
  <c r="M883" i="10" s="1"/>
  <c r="L895" i="10"/>
  <c r="M895" i="10" s="1"/>
  <c r="G898" i="10"/>
  <c r="L909" i="10"/>
  <c r="M909" i="10" s="1"/>
  <c r="L922" i="10"/>
  <c r="M922" i="10" s="1"/>
  <c r="G945" i="10"/>
  <c r="L971" i="10"/>
  <c r="M971" i="10" s="1"/>
  <c r="L974" i="10"/>
  <c r="M974" i="10" s="1"/>
  <c r="E977" i="10"/>
  <c r="L1017" i="10"/>
  <c r="M1017" i="10" s="1"/>
  <c r="L1027" i="10"/>
  <c r="M1027" i="10" s="1"/>
  <c r="E1031" i="10"/>
  <c r="L1064" i="10"/>
  <c r="M1064" i="10" s="1"/>
  <c r="L1121" i="10"/>
  <c r="M1121" i="10" s="1"/>
  <c r="G1137" i="10"/>
  <c r="G1146" i="10"/>
  <c r="L1148" i="10"/>
  <c r="M1148" i="10" s="1"/>
  <c r="L1180" i="10"/>
  <c r="M1180" i="10" s="1"/>
  <c r="L821" i="10"/>
  <c r="M821" i="10" s="1"/>
  <c r="L839" i="10"/>
  <c r="M839" i="10" s="1"/>
  <c r="L851" i="10"/>
  <c r="M851" i="10" s="1"/>
  <c r="L865" i="10"/>
  <c r="M865" i="10" s="1"/>
  <c r="G896" i="10"/>
  <c r="L934" i="10"/>
  <c r="M934" i="10" s="1"/>
  <c r="G966" i="10"/>
  <c r="L985" i="10"/>
  <c r="M985" i="10" s="1"/>
  <c r="G988" i="10"/>
  <c r="L1031" i="10"/>
  <c r="M1031" i="10" s="1"/>
  <c r="G1039" i="10"/>
  <c r="L1047" i="10"/>
  <c r="M1047" i="10" s="1"/>
  <c r="L1051" i="10"/>
  <c r="M1051" i="10" s="1"/>
  <c r="L1066" i="10"/>
  <c r="M1066" i="10" s="1"/>
  <c r="L1068" i="10"/>
  <c r="M1068" i="10" s="1"/>
  <c r="L1084" i="10"/>
  <c r="M1084" i="10" s="1"/>
  <c r="G1105" i="10"/>
  <c r="L1122" i="10"/>
  <c r="M1122" i="10" s="1"/>
  <c r="L1144" i="10"/>
  <c r="M1144" i="10" s="1"/>
  <c r="L1155" i="10"/>
  <c r="M1155" i="10" s="1"/>
  <c r="L1174" i="10"/>
  <c r="M1174" i="10" s="1"/>
  <c r="G1193" i="10"/>
  <c r="L599" i="10"/>
  <c r="M599" i="10" s="1"/>
  <c r="G605" i="10"/>
  <c r="L609" i="10"/>
  <c r="M609" i="10" s="1"/>
  <c r="G627" i="10"/>
  <c r="L643" i="10"/>
  <c r="M643" i="10" s="1"/>
  <c r="G646" i="10"/>
  <c r="G677" i="10"/>
  <c r="E703" i="10"/>
  <c r="G705" i="10"/>
  <c r="E711" i="10"/>
  <c r="G739" i="10"/>
  <c r="E746" i="10"/>
  <c r="E781" i="10"/>
  <c r="E802" i="10"/>
  <c r="G804" i="10"/>
  <c r="L816" i="10"/>
  <c r="M816" i="10" s="1"/>
  <c r="L826" i="10"/>
  <c r="M826" i="10" s="1"/>
  <c r="E850" i="10"/>
  <c r="L856" i="10"/>
  <c r="M856" i="10" s="1"/>
  <c r="L872" i="10"/>
  <c r="M872" i="10" s="1"/>
  <c r="G875" i="10"/>
  <c r="L886" i="10"/>
  <c r="M886" i="10" s="1"/>
  <c r="E889" i="10"/>
  <c r="F889" i="10" s="1"/>
  <c r="L893" i="10"/>
  <c r="M893" i="10" s="1"/>
  <c r="L904" i="10"/>
  <c r="M904" i="10" s="1"/>
  <c r="L913" i="10"/>
  <c r="M913" i="10" s="1"/>
  <c r="L952" i="10"/>
  <c r="M952" i="10" s="1"/>
  <c r="G955" i="10"/>
  <c r="L991" i="10"/>
  <c r="M991" i="10" s="1"/>
  <c r="L996" i="10"/>
  <c r="M996" i="10" s="1"/>
  <c r="G1018" i="10"/>
  <c r="L1048" i="10"/>
  <c r="M1048" i="10" s="1"/>
  <c r="L1062" i="10"/>
  <c r="M1062" i="10" s="1"/>
  <c r="L1070" i="10"/>
  <c r="M1070" i="10" s="1"/>
  <c r="L1078" i="10"/>
  <c r="M1078" i="10" s="1"/>
  <c r="E1090" i="10"/>
  <c r="I1090" i="10" s="1"/>
  <c r="J1090" i="10" s="1"/>
  <c r="G1098" i="10"/>
  <c r="G1142" i="10"/>
  <c r="L1192" i="10"/>
  <c r="M1192" i="10" s="1"/>
  <c r="Q676" i="1"/>
  <c r="Q626" i="1"/>
  <c r="Q242" i="1"/>
  <c r="Q395" i="1"/>
  <c r="Q382" i="1"/>
  <c r="Q39" i="1"/>
  <c r="Q199" i="1"/>
  <c r="O13" i="1"/>
  <c r="O1120" i="1"/>
  <c r="Q21" i="1"/>
  <c r="Q31" i="1"/>
  <c r="O43" i="1"/>
  <c r="B65" i="10"/>
  <c r="B224" i="2"/>
  <c r="Q69" i="1"/>
  <c r="Q74" i="1"/>
  <c r="P7" i="1"/>
  <c r="P21" i="1"/>
  <c r="O26" i="1"/>
  <c r="P29" i="1"/>
  <c r="P31" i="1"/>
  <c r="O34" i="1"/>
  <c r="P53" i="1"/>
  <c r="P60" i="1"/>
  <c r="Q67" i="1"/>
  <c r="B70" i="10"/>
  <c r="B17" i="2"/>
  <c r="B27" i="2"/>
  <c r="B75" i="10"/>
  <c r="P81" i="1"/>
  <c r="O83" i="1"/>
  <c r="P108" i="1"/>
  <c r="Q110" i="1"/>
  <c r="Q120" i="1"/>
  <c r="Q125" i="1"/>
  <c r="O133" i="1"/>
  <c r="O139" i="1"/>
  <c r="O144" i="1"/>
  <c r="O149" i="1"/>
  <c r="Q151" i="1"/>
  <c r="P161" i="1"/>
  <c r="P168" i="1"/>
  <c r="P173" i="1"/>
  <c r="O181" i="1"/>
  <c r="P192" i="1"/>
  <c r="Q197" i="1"/>
  <c r="B207" i="10"/>
  <c r="B131" i="2"/>
  <c r="O211" i="1"/>
  <c r="Q231" i="1"/>
  <c r="O239" i="1"/>
  <c r="Q259" i="1"/>
  <c r="O264" i="1"/>
  <c r="O278" i="1"/>
  <c r="O288" i="1"/>
  <c r="P296" i="1"/>
  <c r="O317" i="1"/>
  <c r="Q326" i="1"/>
  <c r="Q331" i="1"/>
  <c r="O340" i="1"/>
  <c r="P345" i="1"/>
  <c r="O368" i="1"/>
  <c r="Q377" i="1"/>
  <c r="Q390" i="1"/>
  <c r="P395" i="1"/>
  <c r="P407" i="1"/>
  <c r="P409" i="1"/>
  <c r="O419" i="1"/>
  <c r="P436" i="1"/>
  <c r="O448" i="1"/>
  <c r="P458" i="1"/>
  <c r="Q493" i="1"/>
  <c r="O496" i="1"/>
  <c r="Q501" i="1"/>
  <c r="O506" i="1"/>
  <c r="P510" i="1"/>
  <c r="Q535" i="1"/>
  <c r="Q606" i="1"/>
  <c r="O611" i="1"/>
  <c r="Q632" i="1"/>
  <c r="O643" i="1"/>
  <c r="P647" i="1"/>
  <c r="O653" i="1"/>
  <c r="Q684" i="1"/>
  <c r="O707" i="1"/>
  <c r="Q717" i="1"/>
  <c r="Q720" i="1"/>
  <c r="O730" i="1"/>
  <c r="B741" i="10"/>
  <c r="B414" i="2"/>
  <c r="P752" i="1"/>
  <c r="O764" i="1"/>
  <c r="O772" i="1"/>
  <c r="O801" i="1"/>
  <c r="Q813" i="1"/>
  <c r="P833" i="1"/>
  <c r="Q893" i="1"/>
  <c r="B928" i="10"/>
  <c r="B779" i="2"/>
  <c r="P930" i="1"/>
  <c r="Q983" i="1"/>
  <c r="P998" i="1"/>
  <c r="Q1127" i="1"/>
  <c r="O1135" i="1"/>
  <c r="O159" i="1"/>
  <c r="P1041" i="1"/>
  <c r="P1029" i="1"/>
  <c r="P629" i="1"/>
  <c r="P594" i="1"/>
  <c r="P777" i="1"/>
  <c r="P1181" i="1"/>
  <c r="P935" i="1"/>
  <c r="P886" i="1"/>
  <c r="P713" i="1"/>
  <c r="P671" i="1"/>
  <c r="P370" i="1"/>
  <c r="P328" i="1"/>
  <c r="P230" i="1"/>
  <c r="P90" i="1"/>
  <c r="P1160" i="1"/>
  <c r="P1158" i="1"/>
  <c r="P1139" i="1"/>
  <c r="P1113" i="1"/>
  <c r="P1094" i="1"/>
  <c r="P992" i="1"/>
  <c r="P927" i="1"/>
  <c r="P783" i="1"/>
  <c r="P748" i="1"/>
  <c r="P672" i="1"/>
  <c r="P657" i="1"/>
  <c r="P1014" i="1"/>
  <c r="P936" i="1"/>
  <c r="P916" i="1"/>
  <c r="P887" i="1"/>
  <c r="P878" i="1"/>
  <c r="P796" i="1"/>
  <c r="P566" i="1"/>
  <c r="P524" i="1"/>
  <c r="P244" i="1"/>
  <c r="P182" i="1"/>
  <c r="P1188" i="1"/>
  <c r="P1186" i="1"/>
  <c r="P1110" i="1"/>
  <c r="P848" i="1"/>
  <c r="P818" i="1"/>
  <c r="P729" i="1"/>
  <c r="P517" i="1"/>
  <c r="P475" i="1"/>
  <c r="P386" i="1"/>
  <c r="P239" i="1"/>
  <c r="P216" i="1"/>
  <c r="P1183" i="1"/>
  <c r="P1084" i="1"/>
  <c r="P876" i="1"/>
  <c r="P824" i="1"/>
  <c r="P654" i="1"/>
  <c r="P650" i="1"/>
  <c r="P563" i="1"/>
  <c r="P433" i="1"/>
  <c r="P335" i="1"/>
  <c r="P293" i="1"/>
  <c r="P559" i="1"/>
  <c r="P385" i="1"/>
  <c r="P337" i="1"/>
  <c r="P287" i="1"/>
  <c r="P251" i="1"/>
  <c r="P195" i="1"/>
  <c r="P406" i="1"/>
  <c r="P329" i="1"/>
  <c r="P511" i="1"/>
  <c r="P465" i="1"/>
  <c r="P379" i="1"/>
  <c r="P356" i="1"/>
  <c r="P314" i="1"/>
  <c r="P176" i="1"/>
  <c r="P72" i="1"/>
  <c r="P9" i="1"/>
  <c r="P763" i="1"/>
  <c r="P755" i="1"/>
  <c r="P727" i="1"/>
  <c r="P659" i="1"/>
  <c r="P574" i="1"/>
  <c r="P526" i="1"/>
  <c r="P484" i="1"/>
  <c r="P444" i="1"/>
  <c r="P440" i="1"/>
  <c r="P421" i="1"/>
  <c r="P325" i="1"/>
  <c r="P321" i="1"/>
  <c r="P224" i="1"/>
  <c r="P211" i="1"/>
  <c r="P4" i="1"/>
  <c r="P984" i="1"/>
  <c r="P938" i="1"/>
  <c r="P764" i="1"/>
  <c r="P758" i="1"/>
  <c r="P1175" i="1"/>
  <c r="P1166" i="1"/>
  <c r="P1086" i="1"/>
  <c r="P1074" i="1"/>
  <c r="P1055" i="1"/>
  <c r="P922" i="1"/>
  <c r="P868" i="1"/>
  <c r="P822" i="1"/>
  <c r="P463" i="1"/>
  <c r="P115" i="1"/>
  <c r="P797" i="1"/>
  <c r="P664" i="1"/>
  <c r="P939" i="1"/>
  <c r="P910" i="1"/>
  <c r="P831" i="1"/>
  <c r="P744" i="1"/>
  <c r="P721" i="1"/>
  <c r="P717" i="1"/>
  <c r="P580" i="1"/>
  <c r="P532" i="1"/>
  <c r="P496" i="1"/>
  <c r="P482" i="1"/>
  <c r="P454" i="1"/>
  <c r="P427" i="1"/>
  <c r="P295" i="1"/>
  <c r="P134" i="1"/>
  <c r="P62" i="1"/>
  <c r="P50" i="1"/>
  <c r="P37" i="1"/>
  <c r="P32" i="1"/>
  <c r="P553" i="1"/>
  <c r="P191" i="1"/>
  <c r="P167" i="1"/>
  <c r="P104" i="1"/>
  <c r="P40" i="1"/>
  <c r="P759" i="1"/>
  <c r="P715" i="1"/>
  <c r="P617" i="1"/>
  <c r="P279" i="1"/>
  <c r="P273" i="1"/>
  <c r="P241" i="1"/>
  <c r="P232" i="1"/>
  <c r="P189" i="1"/>
  <c r="P154" i="1"/>
  <c r="P84" i="1"/>
  <c r="P77" i="1"/>
  <c r="P27" i="1"/>
  <c r="P12" i="1"/>
  <c r="P190" i="1"/>
  <c r="P959" i="1"/>
  <c r="P957" i="1"/>
  <c r="P920" i="1"/>
  <c r="P918" i="1"/>
  <c r="P912" i="1"/>
  <c r="P884" i="1"/>
  <c r="P853" i="1"/>
  <c r="P840" i="1"/>
  <c r="P810" i="1"/>
  <c r="P751" i="1"/>
  <c r="P1189" i="1"/>
  <c r="P1177" i="1"/>
  <c r="P1124" i="1"/>
  <c r="P1012" i="1"/>
  <c r="P955" i="1"/>
  <c r="P943" i="1"/>
  <c r="P905" i="1"/>
  <c r="P901" i="1"/>
  <c r="P863" i="1"/>
  <c r="P1191" i="1"/>
  <c r="P1132" i="1"/>
  <c r="P1115" i="1"/>
  <c r="P1063" i="1"/>
  <c r="P974" i="1"/>
  <c r="P967" i="1"/>
  <c r="P965" i="1"/>
  <c r="P861" i="1"/>
  <c r="P846" i="1"/>
  <c r="P804" i="1"/>
  <c r="P749" i="1"/>
  <c r="P741" i="1"/>
  <c r="P692" i="1"/>
  <c r="P679" i="1"/>
  <c r="P623" i="1"/>
  <c r="P570" i="1"/>
  <c r="P507" i="1"/>
  <c r="P461" i="1"/>
  <c r="P423" i="1"/>
  <c r="P415" i="1"/>
  <c r="P398" i="1"/>
  <c r="P352" i="1"/>
  <c r="P344" i="1"/>
  <c r="P342" i="1"/>
  <c r="P269" i="1"/>
  <c r="P209" i="1"/>
  <c r="P202" i="1"/>
  <c r="P82" i="1"/>
  <c r="P65" i="1"/>
  <c r="P48" i="1"/>
  <c r="P791" i="1"/>
  <c r="P643" i="1"/>
  <c r="P615" i="1"/>
  <c r="P587" i="1"/>
  <c r="P568" i="1"/>
  <c r="P545" i="1"/>
  <c r="P518" i="1"/>
  <c r="P503" i="1"/>
  <c r="P476" i="1"/>
  <c r="P402" i="1"/>
  <c r="P310" i="1"/>
  <c r="P304" i="1"/>
  <c r="P267" i="1"/>
  <c r="P265" i="1"/>
  <c r="P237" i="1"/>
  <c r="P181" i="1"/>
  <c r="P174" i="1"/>
  <c r="P113" i="1"/>
  <c r="P43" i="1"/>
  <c r="P462" i="1"/>
  <c r="P374" i="1"/>
  <c r="P146" i="1"/>
  <c r="P1103" i="1"/>
  <c r="P1101" i="1"/>
  <c r="P1099" i="1"/>
  <c r="P1065" i="1"/>
  <c r="P1019" i="1"/>
  <c r="P1000" i="1"/>
  <c r="P996" i="1"/>
  <c r="P903" i="1"/>
  <c r="P834" i="1"/>
  <c r="P779" i="1"/>
  <c r="P1184" i="1"/>
  <c r="P1079" i="1"/>
  <c r="P1077" i="1"/>
  <c r="P1067" i="1"/>
  <c r="P769" i="1"/>
  <c r="P687" i="1"/>
  <c r="P685" i="1"/>
  <c r="P549" i="1"/>
  <c r="P499" i="1"/>
  <c r="P470" i="1"/>
  <c r="P434" i="1"/>
  <c r="P367" i="1"/>
  <c r="P336" i="1"/>
  <c r="P300" i="1"/>
  <c r="P286" i="1"/>
  <c r="P139" i="1"/>
  <c r="P2" i="1"/>
  <c r="P378" i="1"/>
  <c r="P280" i="1"/>
  <c r="P105" i="1"/>
  <c r="P96" i="1"/>
  <c r="P49" i="1"/>
  <c r="P925" i="1"/>
  <c r="P883" i="1"/>
  <c r="P860" i="1"/>
  <c r="P839" i="1"/>
  <c r="P809" i="1"/>
  <c r="P646" i="1"/>
  <c r="P552" i="1"/>
  <c r="P525" i="1"/>
  <c r="P426" i="1"/>
  <c r="P175" i="1"/>
  <c r="P1136" i="1"/>
  <c r="P946" i="1"/>
  <c r="P875" i="1"/>
  <c r="P869" i="1"/>
  <c r="P830" i="1"/>
  <c r="P745" i="1"/>
  <c r="P315" i="1"/>
  <c r="P710" i="1"/>
  <c r="P706" i="1"/>
  <c r="P601" i="1"/>
  <c r="P581" i="1"/>
  <c r="P531" i="1"/>
  <c r="P489" i="1"/>
  <c r="P472" i="1"/>
  <c r="P384" i="1"/>
  <c r="P363" i="1"/>
  <c r="P359" i="1"/>
  <c r="P28" i="1"/>
  <c r="P5" i="1"/>
  <c r="P734" i="1"/>
  <c r="P728" i="1"/>
  <c r="P483" i="1"/>
  <c r="P1127" i="1"/>
  <c r="P1096" i="1"/>
  <c r="P858" i="1"/>
  <c r="P210" i="1"/>
  <c r="P142" i="1"/>
  <c r="P66" i="1"/>
  <c r="P1142" i="1"/>
  <c r="P1054" i="1"/>
  <c r="P1006" i="1"/>
  <c r="P913" i="1"/>
  <c r="P533" i="1"/>
  <c r="P514" i="1"/>
  <c r="P468" i="1"/>
  <c r="P1163" i="1"/>
  <c r="P1131" i="1"/>
  <c r="P932" i="1"/>
  <c r="P921" i="1"/>
  <c r="P919" i="1"/>
  <c r="P856" i="1"/>
  <c r="P799" i="1"/>
  <c r="P491" i="1"/>
  <c r="P447" i="1"/>
  <c r="P231" i="1"/>
  <c r="P129" i="1"/>
  <c r="P13" i="1"/>
  <c r="P1146" i="1"/>
  <c r="P1125" i="1"/>
  <c r="P1112" i="1"/>
  <c r="P803" i="1"/>
  <c r="P776" i="1"/>
  <c r="P405" i="1"/>
  <c r="P155" i="1"/>
  <c r="P1080" i="1"/>
  <c r="P1072" i="1"/>
  <c r="P1066" i="1"/>
  <c r="P1008" i="1"/>
  <c r="P1003" i="1"/>
  <c r="P993" i="1"/>
  <c r="P968" i="1"/>
  <c r="P790" i="1"/>
  <c r="P766" i="1"/>
  <c r="P699" i="1"/>
  <c r="P680" i="1"/>
  <c r="P632" i="1"/>
  <c r="P622" i="1"/>
  <c r="P610" i="1"/>
  <c r="P567" i="1"/>
  <c r="P538" i="1"/>
  <c r="P521" i="1"/>
  <c r="P506" i="1"/>
  <c r="P412" i="1"/>
  <c r="O46" i="1"/>
  <c r="P106" i="1"/>
  <c r="O118" i="1"/>
  <c r="B124" i="10"/>
  <c r="B521" i="2"/>
  <c r="B137" i="10"/>
  <c r="B129" i="2"/>
  <c r="O140" i="1"/>
  <c r="O142" i="1"/>
  <c r="P147" i="1"/>
  <c r="P164" i="1"/>
  <c r="O172" i="1"/>
  <c r="P179" i="1"/>
  <c r="Q186" i="1"/>
  <c r="P188" i="1"/>
  <c r="P198" i="1"/>
  <c r="O240" i="1"/>
  <c r="O250" i="1"/>
  <c r="Q257" i="1"/>
  <c r="P262" i="1"/>
  <c r="O274" i="1"/>
  <c r="O294" i="1"/>
  <c r="O299" i="1"/>
  <c r="B302" i="10"/>
  <c r="B221" i="2"/>
  <c r="O313" i="1"/>
  <c r="O315" i="1"/>
  <c r="O324" i="1"/>
  <c r="Q327" i="1"/>
  <c r="Q332" i="1"/>
  <c r="O338" i="1"/>
  <c r="Q357" i="1"/>
  <c r="O364" i="1"/>
  <c r="Q378" i="1"/>
  <c r="O385" i="1"/>
  <c r="P393" i="1"/>
  <c r="Q410" i="1"/>
  <c r="B442" i="10"/>
  <c r="B297" i="2"/>
  <c r="P466" i="1"/>
  <c r="Q468" i="1"/>
  <c r="P481" i="1"/>
  <c r="O491" i="1"/>
  <c r="Q494" i="1"/>
  <c r="O516" i="1"/>
  <c r="O533" i="1"/>
  <c r="Q536" i="1"/>
  <c r="O547" i="1"/>
  <c r="O554" i="1"/>
  <c r="Q566" i="1"/>
  <c r="Q599" i="1"/>
  <c r="P607" i="1"/>
  <c r="Q628" i="1"/>
  <c r="O636" i="1"/>
  <c r="O660" i="1"/>
  <c r="O685" i="1"/>
  <c r="P695" i="1"/>
  <c r="P698" i="1"/>
  <c r="Q718" i="1"/>
  <c r="B749" i="10"/>
  <c r="B517" i="2"/>
  <c r="Q760" i="1"/>
  <c r="B819" i="10"/>
  <c r="B641" i="2"/>
  <c r="P823" i="1"/>
  <c r="O829" i="1"/>
  <c r="O847" i="1"/>
  <c r="P862" i="1"/>
  <c r="P870" i="1"/>
  <c r="Q877" i="1"/>
  <c r="P940" i="1"/>
  <c r="Q1032" i="1"/>
  <c r="P1058" i="1"/>
  <c r="O1071" i="1"/>
  <c r="O58" i="1"/>
  <c r="P86" i="1"/>
  <c r="O539" i="1"/>
  <c r="P989" i="1"/>
  <c r="O1020" i="1"/>
  <c r="P1076" i="1"/>
  <c r="O1096" i="1"/>
  <c r="O1109" i="1"/>
  <c r="Q1163" i="1"/>
  <c r="O1193" i="1"/>
  <c r="Q62" i="1"/>
  <c r="Q81" i="1"/>
  <c r="Q130" i="1"/>
  <c r="Q144" i="1"/>
  <c r="O154" i="1"/>
  <c r="Q166" i="1"/>
  <c r="P288" i="1"/>
  <c r="O303" i="1"/>
  <c r="Q370" i="1"/>
  <c r="O414" i="1"/>
  <c r="Q451" i="1"/>
  <c r="Q483" i="1"/>
  <c r="P513" i="1"/>
  <c r="O538" i="1"/>
  <c r="Q573" i="1"/>
  <c r="P653" i="1"/>
  <c r="Q664" i="1"/>
  <c r="P743" i="1"/>
  <c r="Q748" i="1"/>
  <c r="Q767" i="1"/>
  <c r="Q925" i="1"/>
  <c r="Q947" i="1"/>
  <c r="P995" i="1"/>
  <c r="Q1016" i="1"/>
  <c r="O1045" i="1"/>
  <c r="P36" i="1"/>
  <c r="P58" i="1"/>
  <c r="P67" i="1"/>
  <c r="P75" i="1"/>
  <c r="P91" i="1"/>
  <c r="B109" i="10"/>
  <c r="B80" i="2"/>
  <c r="Q149" i="1"/>
  <c r="P186" i="1"/>
  <c r="P250" i="1"/>
  <c r="P276" i="1"/>
  <c r="O306" i="1"/>
  <c r="Q337" i="1"/>
  <c r="Q345" i="1"/>
  <c r="P366" i="1"/>
  <c r="O407" i="1"/>
  <c r="O412" i="1"/>
  <c r="Q424" i="1"/>
  <c r="P451" i="1"/>
  <c r="O456" i="1"/>
  <c r="O468" i="1"/>
  <c r="Q496" i="1"/>
  <c r="P541" i="1"/>
  <c r="P556" i="1"/>
  <c r="P573" i="1"/>
  <c r="P591" i="1"/>
  <c r="B663" i="10"/>
  <c r="B497" i="2"/>
  <c r="P738" i="1"/>
  <c r="O770" i="1"/>
  <c r="P836" i="1"/>
  <c r="Q849" i="1"/>
  <c r="P867" i="1"/>
  <c r="P952" i="1"/>
  <c r="P986" i="1"/>
  <c r="O1025" i="1"/>
  <c r="B1081" i="10"/>
  <c r="B1081" i="2"/>
  <c r="P22" i="1"/>
  <c r="P41" i="1"/>
  <c r="P51" i="1"/>
  <c r="P79" i="1"/>
  <c r="O109" i="1"/>
  <c r="Q123" i="1"/>
  <c r="Q136" i="1"/>
  <c r="Q164" i="1"/>
  <c r="O174" i="1"/>
  <c r="Q207" i="1"/>
  <c r="P219" i="1"/>
  <c r="Q234" i="1"/>
  <c r="Q250" i="1"/>
  <c r="P257" i="1"/>
  <c r="Q262" i="1"/>
  <c r="O267" i="1"/>
  <c r="O272" i="1"/>
  <c r="Q283" i="1"/>
  <c r="Q291" i="1"/>
  <c r="O301" i="1"/>
  <c r="O348" i="1"/>
  <c r="P403" i="1"/>
  <c r="O454" i="1"/>
  <c r="Q533" i="1"/>
  <c r="Q586" i="1"/>
  <c r="P599" i="1"/>
  <c r="O674" i="1"/>
  <c r="P726" i="1"/>
  <c r="P816" i="1"/>
  <c r="P933" i="1"/>
  <c r="O1121" i="1"/>
  <c r="P1165" i="1"/>
  <c r="P17" i="1"/>
  <c r="O44" i="1"/>
  <c r="P63" i="1"/>
  <c r="Q96" i="1"/>
  <c r="Q101" i="1"/>
  <c r="Q582" i="1"/>
  <c r="Q12" i="1"/>
  <c r="O25" i="1"/>
  <c r="O30" i="1"/>
  <c r="B35" i="10"/>
  <c r="B127" i="2"/>
  <c r="P73" i="1"/>
  <c r="Q99" i="1"/>
  <c r="O134" i="1"/>
  <c r="P150" i="1"/>
  <c r="O186" i="1"/>
  <c r="O212" i="1"/>
  <c r="Q232" i="1"/>
  <c r="P255" i="1"/>
  <c r="Q286" i="1"/>
  <c r="P313" i="1"/>
  <c r="Q324" i="1"/>
  <c r="P343" i="1"/>
  <c r="B413" i="10"/>
  <c r="B626" i="2"/>
  <c r="O439" i="1"/>
  <c r="Q449" i="1"/>
  <c r="Q454" i="1"/>
  <c r="Q474" i="1"/>
  <c r="O502" i="1"/>
  <c r="P547" i="1"/>
  <c r="O562" i="1"/>
  <c r="O589" i="1"/>
  <c r="P616" i="1"/>
  <c r="O624" i="1"/>
  <c r="O687" i="1"/>
  <c r="Q703" i="1"/>
  <c r="Q768" i="1"/>
  <c r="B785" i="10"/>
  <c r="B952" i="2"/>
  <c r="P792" i="1"/>
  <c r="O832" i="1"/>
  <c r="P845" i="1"/>
  <c r="O868" i="1"/>
  <c r="P892" i="1"/>
  <c r="Q945" i="1"/>
  <c r="Q964" i="1"/>
  <c r="Q991" i="1"/>
  <c r="O1148" i="1"/>
  <c r="O5" i="1"/>
  <c r="O550" i="1"/>
  <c r="O546" i="1"/>
  <c r="O504" i="1"/>
  <c r="O443" i="1"/>
  <c r="Q17" i="1"/>
  <c r="P25" i="1"/>
  <c r="P30" i="1"/>
  <c r="O56" i="1"/>
  <c r="O63" i="1"/>
  <c r="Q68" i="1"/>
  <c r="Q73" i="1"/>
  <c r="O89" i="1"/>
  <c r="P92" i="1"/>
  <c r="Q94" i="1"/>
  <c r="O99" i="1"/>
  <c r="Q116" i="1"/>
  <c r="O121" i="1"/>
  <c r="P124" i="1"/>
  <c r="P137" i="1"/>
  <c r="P157" i="1"/>
  <c r="P162" i="1"/>
  <c r="O184" i="1"/>
  <c r="O205" i="1"/>
  <c r="P217" i="1"/>
  <c r="P220" i="1"/>
  <c r="P253" i="1"/>
  <c r="Q255" i="1"/>
  <c r="O263" i="1"/>
  <c r="P270" i="1"/>
  <c r="P281" i="1"/>
  <c r="P284" i="1"/>
  <c r="O300" i="1"/>
  <c r="Q311" i="1"/>
  <c r="O322" i="1"/>
  <c r="P330" i="1"/>
  <c r="Q341" i="1"/>
  <c r="O351" i="1"/>
  <c r="P355" i="1"/>
  <c r="P371" i="1"/>
  <c r="O376" i="1"/>
  <c r="Q388" i="1"/>
  <c r="Q396" i="1"/>
  <c r="P401" i="1"/>
  <c r="O403" i="1"/>
  <c r="Q429" i="1"/>
  <c r="P442" i="1"/>
  <c r="P457" i="1"/>
  <c r="O469" i="1"/>
  <c r="Q471" i="1"/>
  <c r="Q484" i="1"/>
  <c r="O489" i="1"/>
  <c r="O514" i="1"/>
  <c r="O531" i="1"/>
  <c r="O534" i="1"/>
  <c r="P562" i="1"/>
  <c r="Q576" i="1"/>
  <c r="P589" i="1"/>
  <c r="P597" i="1"/>
  <c r="O602" i="1"/>
  <c r="O651" i="1"/>
  <c r="O680" i="1"/>
  <c r="P703" i="1"/>
  <c r="O708" i="1"/>
  <c r="Q713" i="1"/>
  <c r="B727" i="10"/>
  <c r="B327" i="2"/>
  <c r="P770" i="1"/>
  <c r="O778" i="1"/>
  <c r="Q782" i="1"/>
  <c r="O785" i="1"/>
  <c r="O807" i="1"/>
  <c r="P814" i="1"/>
  <c r="Q821" i="1"/>
  <c r="P826" i="1"/>
  <c r="P832" i="1"/>
  <c r="O875" i="1"/>
  <c r="O887" i="1"/>
  <c r="P906" i="1"/>
  <c r="O931" i="1"/>
  <c r="P948" i="1"/>
  <c r="O962" i="1"/>
  <c r="Q1006" i="1"/>
  <c r="B1031" i="10"/>
  <c r="B1029" i="2"/>
  <c r="O1056" i="1"/>
  <c r="O1079" i="1"/>
  <c r="Q1094" i="1"/>
  <c r="B22" i="10"/>
  <c r="B10" i="2"/>
  <c r="Q24" i="1"/>
  <c r="O98" i="1"/>
  <c r="O103" i="1"/>
  <c r="O113" i="1"/>
  <c r="O173" i="1"/>
  <c r="O207" i="1"/>
  <c r="Q214" i="1"/>
  <c r="O219" i="1"/>
  <c r="Q226" i="1"/>
  <c r="O237" i="1"/>
  <c r="O244" i="1"/>
  <c r="O247" i="1"/>
  <c r="O266" i="1"/>
  <c r="Q276" i="1"/>
  <c r="Q278" i="1"/>
  <c r="P340" i="1"/>
  <c r="Q368" i="1"/>
  <c r="O380" i="1"/>
  <c r="Q426" i="1"/>
  <c r="Q431" i="1"/>
  <c r="Q473" i="1"/>
  <c r="O499" i="1"/>
  <c r="O508" i="1"/>
  <c r="O518" i="1"/>
  <c r="O591" i="1"/>
  <c r="P608" i="1"/>
  <c r="Q621" i="1"/>
  <c r="Q657" i="1"/>
  <c r="Q689" i="1"/>
  <c r="Q697" i="1"/>
  <c r="O710" i="1"/>
  <c r="P852" i="1"/>
  <c r="P954" i="1"/>
  <c r="Q959" i="1"/>
  <c r="O1014" i="1"/>
  <c r="P1120" i="1"/>
  <c r="P14" i="1"/>
  <c r="P118" i="1"/>
  <c r="Q288" i="1"/>
  <c r="O17" i="1"/>
  <c r="P24" i="1"/>
  <c r="Q36" i="1"/>
  <c r="Q46" i="1"/>
  <c r="P56" i="1"/>
  <c r="P101" i="1"/>
  <c r="P133" i="1"/>
  <c r="Q142" i="1"/>
  <c r="P169" i="1"/>
  <c r="O188" i="1"/>
  <c r="O198" i="1"/>
  <c r="O229" i="1"/>
  <c r="B265" i="10"/>
  <c r="B302" i="2"/>
  <c r="B294" i="10"/>
  <c r="B843" i="2"/>
  <c r="O345" i="1"/>
  <c r="Q366" i="1"/>
  <c r="Q380" i="1"/>
  <c r="O415" i="1"/>
  <c r="O513" i="1"/>
  <c r="O544" i="1"/>
  <c r="O561" i="1"/>
  <c r="P583" i="1"/>
  <c r="Q591" i="1"/>
  <c r="O609" i="1"/>
  <c r="P630" i="1"/>
  <c r="P638" i="1"/>
  <c r="P648" i="1"/>
  <c r="Q710" i="1"/>
  <c r="Q775" i="1"/>
  <c r="P1037" i="1"/>
  <c r="P1053" i="1"/>
  <c r="P1123" i="1"/>
  <c r="O1130" i="1"/>
  <c r="Q1185" i="1"/>
  <c r="P10" i="1"/>
  <c r="P19" i="1"/>
  <c r="Q34" i="1"/>
  <c r="Q41" i="1"/>
  <c r="P89" i="1"/>
  <c r="P128" i="1"/>
  <c r="Q373" i="1"/>
  <c r="Q325" i="1"/>
  <c r="Q321" i="1"/>
  <c r="Q279" i="1"/>
  <c r="Q115" i="1"/>
  <c r="Q731" i="1"/>
  <c r="Q611" i="1"/>
  <c r="Q480" i="1"/>
  <c r="Q375" i="1"/>
  <c r="Q317" i="1"/>
  <c r="Q193" i="1"/>
  <c r="Q102" i="1"/>
  <c r="Q60" i="1"/>
  <c r="Q48" i="1"/>
  <c r="Q864" i="1"/>
  <c r="Q837" i="1"/>
  <c r="Q772" i="1"/>
  <c r="Q750" i="1"/>
  <c r="Q579" i="1"/>
  <c r="Q443" i="1"/>
  <c r="Q184" i="1"/>
  <c r="Q419" i="1"/>
  <c r="Q383" i="1"/>
  <c r="Q202" i="1"/>
  <c r="Q65" i="1"/>
  <c r="Q667" i="1"/>
  <c r="Q659" i="1"/>
  <c r="Q526" i="1"/>
  <c r="Q463" i="1"/>
  <c r="Q444" i="1"/>
  <c r="Q358" i="1"/>
  <c r="Q258" i="1"/>
  <c r="Q211" i="1"/>
  <c r="Q4" i="1"/>
  <c r="Q733" i="1"/>
  <c r="Q669" i="1"/>
  <c r="Q625" i="1"/>
  <c r="Q478" i="1"/>
  <c r="Q415" i="1"/>
  <c r="Q163" i="1"/>
  <c r="Q753" i="1"/>
  <c r="Q673" i="1"/>
  <c r="Q562" i="1"/>
  <c r="Q549" i="1"/>
  <c r="Q547" i="1"/>
  <c r="Q541" i="1"/>
  <c r="Q459" i="1"/>
  <c r="Q442" i="1"/>
  <c r="Q438" i="1"/>
  <c r="Q436" i="1"/>
  <c r="Q400" i="1"/>
  <c r="Q394" i="1"/>
  <c r="Q367" i="1"/>
  <c r="Q319" i="1"/>
  <c r="Q302" i="1"/>
  <c r="Q300" i="1"/>
  <c r="Q296" i="1"/>
  <c r="Q277" i="1"/>
  <c r="Q254" i="1"/>
  <c r="Q198" i="1"/>
  <c r="Q183" i="1"/>
  <c r="Q150" i="1"/>
  <c r="Q139" i="1"/>
  <c r="Q122" i="1"/>
  <c r="Q107" i="1"/>
  <c r="Q53" i="1"/>
  <c r="Q25" i="1"/>
  <c r="Q2" i="1"/>
  <c r="Q836" i="1"/>
  <c r="Q817" i="1"/>
  <c r="Q787" i="1"/>
  <c r="Q773" i="1"/>
  <c r="Q769" i="1"/>
  <c r="Q1062" i="1"/>
  <c r="Q1047" i="1"/>
  <c r="Q674" i="1"/>
  <c r="Q5" i="1"/>
  <c r="Q954" i="1"/>
  <c r="Q904" i="1"/>
  <c r="Q668" i="1"/>
  <c r="Q127" i="1"/>
  <c r="Q847" i="1"/>
  <c r="Q762" i="1"/>
  <c r="Q355" i="1"/>
  <c r="Q114" i="1"/>
  <c r="Q8" i="1"/>
  <c r="Q816" i="1"/>
  <c r="Q740" i="1"/>
  <c r="Q738" i="1"/>
  <c r="Q732" i="1"/>
  <c r="Q726" i="1"/>
  <c r="Q691" i="1"/>
  <c r="Q662" i="1"/>
  <c r="Q654" i="1"/>
  <c r="Q548" i="1"/>
  <c r="Q534" i="1"/>
  <c r="Q519" i="1"/>
  <c r="Q517" i="1"/>
  <c r="Q477" i="1"/>
  <c r="Q475" i="1"/>
  <c r="Q414" i="1"/>
  <c r="Q401" i="1"/>
  <c r="Q10" i="1"/>
  <c r="P15" i="1"/>
  <c r="Q27" i="1"/>
  <c r="O32" i="1"/>
  <c r="Q56" i="1"/>
  <c r="P68" i="1"/>
  <c r="P94" i="1"/>
  <c r="Q109" i="1"/>
  <c r="Q131" i="1"/>
  <c r="O162" i="1"/>
  <c r="Q200" i="1"/>
  <c r="P274" i="1"/>
  <c r="O302" i="1"/>
  <c r="Q335" i="1"/>
  <c r="O357" i="1"/>
  <c r="Q405" i="1"/>
  <c r="Q432" i="1"/>
  <c r="Q437" i="1"/>
  <c r="O442" i="1"/>
  <c r="B505" i="10"/>
  <c r="B112" i="2"/>
  <c r="P550" i="1"/>
  <c r="Q581" i="1"/>
  <c r="P641" i="1"/>
  <c r="P3" i="1"/>
  <c r="Q15" i="1"/>
  <c r="P20" i="1"/>
  <c r="O23" i="1"/>
  <c r="P35" i="1"/>
  <c r="P44" i="1"/>
  <c r="O49" i="1"/>
  <c r="O68" i="1"/>
  <c r="P80" i="1"/>
  <c r="Q89" i="1"/>
  <c r="P97" i="1"/>
  <c r="Q104" i="1"/>
  <c r="P116" i="1"/>
  <c r="O119" i="1"/>
  <c r="Q124" i="1"/>
  <c r="Q134" i="1"/>
  <c r="Q137" i="1"/>
  <c r="P148" i="1"/>
  <c r="Q157" i="1"/>
  <c r="P160" i="1"/>
  <c r="Q162" i="1"/>
  <c r="P184" i="1"/>
  <c r="O196" i="1"/>
  <c r="Q208" i="1"/>
  <c r="Q220" i="1"/>
  <c r="O223" i="1"/>
  <c r="P235" i="1"/>
  <c r="P240" i="1"/>
  <c r="P248" i="1"/>
  <c r="B256" i="10"/>
  <c r="B859" i="2"/>
  <c r="P260" i="1"/>
  <c r="Q272" i="1"/>
  <c r="P289" i="1"/>
  <c r="P311" i="1"/>
  <c r="Q320" i="1"/>
  <c r="P322" i="1"/>
  <c r="O355" i="1"/>
  <c r="P376" i="1"/>
  <c r="O386" i="1"/>
  <c r="P422" i="1"/>
  <c r="B438" i="10"/>
  <c r="B725" i="2"/>
  <c r="O464" i="1"/>
  <c r="Q479" i="1"/>
  <c r="O497" i="1"/>
  <c r="P519" i="1"/>
  <c r="Q552" i="1"/>
  <c r="Q569" i="1"/>
  <c r="Q592" i="1"/>
  <c r="P602" i="1"/>
  <c r="O605" i="1"/>
  <c r="O617" i="1"/>
  <c r="P639" i="1"/>
  <c r="P658" i="1"/>
  <c r="P665" i="1"/>
  <c r="P670" i="1"/>
  <c r="O706" i="1"/>
  <c r="Q780" i="1"/>
  <c r="O860" i="1"/>
  <c r="O873" i="1"/>
  <c r="Q899" i="1"/>
  <c r="Q948" i="1"/>
  <c r="O965" i="1"/>
  <c r="O984" i="1"/>
  <c r="P1001" i="1"/>
  <c r="P1046" i="1"/>
  <c r="O1116" i="1"/>
  <c r="Q1141" i="1"/>
  <c r="Q596" i="1"/>
  <c r="Q3" i="1"/>
  <c r="O8" i="1"/>
  <c r="Q20" i="1"/>
  <c r="Q49" i="1"/>
  <c r="P87" i="1"/>
  <c r="O100" i="1"/>
  <c r="P107" i="1"/>
  <c r="Q121" i="1"/>
  <c r="B141" i="10"/>
  <c r="B179" i="2"/>
  <c r="Q148" i="1"/>
  <c r="Q160" i="1"/>
  <c r="P170" i="1"/>
  <c r="O218" i="1"/>
  <c r="O225" i="1"/>
  <c r="O230" i="1"/>
  <c r="Q235" i="1"/>
  <c r="O243" i="1"/>
  <c r="Q248" i="1"/>
  <c r="O253" i="1"/>
  <c r="Q263" i="1"/>
  <c r="O270" i="1"/>
  <c r="P272" i="1"/>
  <c r="Q284" i="1"/>
  <c r="Q289" i="1"/>
  <c r="Q297" i="1"/>
  <c r="O320" i="1"/>
  <c r="B488" i="2"/>
  <c r="B336" i="10"/>
  <c r="Q346" i="1"/>
  <c r="P353" i="1"/>
  <c r="P360" i="1"/>
  <c r="P365" i="1"/>
  <c r="O394" i="1"/>
  <c r="P408" i="1"/>
  <c r="P411" i="1"/>
  <c r="Q422" i="1"/>
  <c r="O472" i="1"/>
  <c r="P477" i="1"/>
  <c r="Q487" i="1"/>
  <c r="Q514" i="1"/>
  <c r="P537" i="1"/>
  <c r="Q542" i="1"/>
  <c r="O545" i="1"/>
  <c r="Q550" i="1"/>
  <c r="O579" i="1"/>
  <c r="Q584" i="1"/>
  <c r="Q597" i="1"/>
  <c r="P673" i="1"/>
  <c r="Q729" i="1"/>
  <c r="P736" i="1"/>
  <c r="O758" i="1"/>
  <c r="P805" i="1"/>
  <c r="O841" i="1"/>
  <c r="Q843" i="1"/>
  <c r="Q880" i="1"/>
  <c r="Q885" i="1"/>
  <c r="P909" i="1"/>
  <c r="P914" i="1"/>
  <c r="O936" i="1"/>
  <c r="O953" i="1"/>
  <c r="P982" i="1"/>
  <c r="P1023" i="1"/>
  <c r="B1067" i="10"/>
  <c r="B1067" i="2"/>
  <c r="P1114" i="1"/>
  <c r="O11" i="1"/>
  <c r="O61" i="1"/>
  <c r="Q80" i="1"/>
  <c r="P6" i="1"/>
  <c r="P8" i="1"/>
  <c r="Q13" i="1"/>
  <c r="P18" i="1"/>
  <c r="O20" i="1"/>
  <c r="Q37" i="1"/>
  <c r="Q42" i="1"/>
  <c r="Q54" i="1"/>
  <c r="P61" i="1"/>
  <c r="O66" i="1"/>
  <c r="O97" i="1"/>
  <c r="P100" i="1"/>
  <c r="O114" i="1"/>
  <c r="Q129" i="1"/>
  <c r="O135" i="1"/>
  <c r="O141" i="1"/>
  <c r="P143" i="1"/>
  <c r="O160" i="1"/>
  <c r="O163" i="1"/>
  <c r="P177" i="1"/>
  <c r="O182" i="1"/>
  <c r="P203" i="1"/>
  <c r="O210" i="1"/>
  <c r="P218" i="1"/>
  <c r="P225" i="1"/>
  <c r="P256" i="1"/>
  <c r="B271" i="10"/>
  <c r="B562" i="2"/>
  <c r="O295" i="1"/>
  <c r="O305" i="1"/>
  <c r="O309" i="1"/>
  <c r="P318" i="1"/>
  <c r="Q333" i="1"/>
  <c r="O336" i="1"/>
  <c r="B342" i="10"/>
  <c r="B324" i="2"/>
  <c r="P351" i="1"/>
  <c r="Q353" i="1"/>
  <c r="Q365" i="1"/>
  <c r="Q386" i="1"/>
  <c r="P389" i="1"/>
  <c r="Q391" i="1"/>
  <c r="P394" i="1"/>
  <c r="P397" i="1"/>
  <c r="P420" i="1"/>
  <c r="P430" i="1"/>
  <c r="Q435" i="1"/>
  <c r="P438" i="1"/>
  <c r="Q445" i="1"/>
  <c r="Q447" i="1"/>
  <c r="P450" i="1"/>
  <c r="P460" i="1"/>
  <c r="O467" i="1"/>
  <c r="P469" i="1"/>
  <c r="Q482" i="1"/>
  <c r="P487" i="1"/>
  <c r="O495" i="1"/>
  <c r="O510" i="1"/>
  <c r="Q524" i="1"/>
  <c r="Q529" i="1"/>
  <c r="Q537" i="1"/>
  <c r="P548" i="1"/>
  <c r="O600" i="1"/>
  <c r="Q605" i="1"/>
  <c r="O615" i="1"/>
  <c r="O632" i="1"/>
  <c r="P634" i="1"/>
  <c r="P636" i="1"/>
  <c r="O646" i="1"/>
  <c r="Q680" i="1"/>
  <c r="P683" i="1"/>
  <c r="O693" i="1"/>
  <c r="Q711" i="1"/>
  <c r="O719" i="1"/>
  <c r="Q724" i="1"/>
  <c r="O791" i="1"/>
  <c r="P800" i="1"/>
  <c r="Q805" i="1"/>
  <c r="Q812" i="1"/>
  <c r="O822" i="1"/>
  <c r="O885" i="1"/>
  <c r="P1020" i="1"/>
  <c r="Q1061" i="1"/>
  <c r="Q1112" i="1"/>
  <c r="P23" i="1"/>
  <c r="P26" i="1"/>
  <c r="O28" i="1"/>
  <c r="P33" i="1"/>
  <c r="O47" i="1"/>
  <c r="Q52" i="1"/>
  <c r="O54" i="1"/>
  <c r="P59" i="1"/>
  <c r="Q64" i="1"/>
  <c r="Q66" i="1"/>
  <c r="P69" i="1"/>
  <c r="P71" i="1"/>
  <c r="P74" i="1"/>
  <c r="P78" i="1"/>
  <c r="P114" i="1"/>
  <c r="P119" i="1"/>
  <c r="O125" i="1"/>
  <c r="P141" i="1"/>
  <c r="O155" i="1"/>
  <c r="P163" i="1"/>
  <c r="O208" i="1"/>
  <c r="Q230" i="1"/>
  <c r="Q243" i="1"/>
  <c r="O290" i="1"/>
  <c r="O307" i="1"/>
  <c r="B319" i="10"/>
  <c r="B196" i="2"/>
  <c r="Q328" i="1"/>
  <c r="O342" i="1"/>
  <c r="Q351" i="1"/>
  <c r="O365" i="1"/>
  <c r="Q374" i="1"/>
  <c r="Q389" i="1"/>
  <c r="P391" i="1"/>
  <c r="O411" i="1"/>
  <c r="O420" i="1"/>
  <c r="Q430" i="1"/>
  <c r="P445" i="1"/>
  <c r="O455" i="1"/>
  <c r="Q472" i="1"/>
  <c r="P500" i="1"/>
  <c r="O503" i="1"/>
  <c r="O515" i="1"/>
  <c r="O520" i="1"/>
  <c r="O527" i="1"/>
  <c r="O543" i="1"/>
  <c r="P555" i="1"/>
  <c r="B568" i="10"/>
  <c r="B687" i="2"/>
  <c r="Q577" i="1"/>
  <c r="P605" i="1"/>
  <c r="P612" i="1"/>
  <c r="O625" i="1"/>
  <c r="Q634" i="1"/>
  <c r="B655" i="10"/>
  <c r="B271" i="2"/>
  <c r="P668" i="1"/>
  <c r="Q696" i="1"/>
  <c r="O714" i="1"/>
  <c r="Q716" i="1"/>
  <c r="O747" i="1"/>
  <c r="P756" i="1"/>
  <c r="O779" i="1"/>
  <c r="O835" i="1"/>
  <c r="Q936" i="1"/>
  <c r="O946" i="1"/>
  <c r="O978" i="1"/>
  <c r="O1000" i="1"/>
  <c r="O1044" i="1"/>
  <c r="Q1186" i="1"/>
  <c r="Q578" i="1"/>
  <c r="P138" i="1"/>
  <c r="B183" i="10"/>
  <c r="B421" i="2"/>
  <c r="Q218" i="1"/>
  <c r="P261" i="1"/>
  <c r="P305" i="1"/>
  <c r="O316" i="1"/>
  <c r="O498" i="1"/>
  <c r="P42" i="1"/>
  <c r="O81" i="1"/>
  <c r="O93" i="1"/>
  <c r="O180" i="1"/>
  <c r="Q187" i="1"/>
  <c r="P201" i="1"/>
  <c r="Q213" i="1"/>
  <c r="P485" i="1"/>
  <c r="P540" i="1"/>
  <c r="Q620" i="1"/>
  <c r="B733" i="10"/>
  <c r="B507" i="2"/>
  <c r="P737" i="1"/>
  <c r="P740" i="1"/>
  <c r="P786" i="1"/>
  <c r="Q839" i="1"/>
  <c r="O856" i="1"/>
  <c r="P895" i="1"/>
  <c r="O970" i="1"/>
  <c r="P1129" i="1"/>
  <c r="O1139" i="1"/>
  <c r="P1144" i="1"/>
  <c r="Q1089" i="1"/>
  <c r="Q7" i="1"/>
  <c r="Q88" i="1"/>
  <c r="B17" i="10"/>
  <c r="B5" i="2"/>
  <c r="Q19" i="1"/>
  <c r="O22" i="1"/>
  <c r="O29" i="1"/>
  <c r="P46" i="1"/>
  <c r="P70" i="1"/>
  <c r="B82" i="10"/>
  <c r="B339" i="2"/>
  <c r="P103" i="1"/>
  <c r="P136" i="1"/>
  <c r="Q159" i="1"/>
  <c r="Q171" i="1"/>
  <c r="Q181" i="1"/>
  <c r="Q229" i="1"/>
  <c r="P247" i="1"/>
  <c r="B267" i="10"/>
  <c r="B64" i="2"/>
  <c r="P303" i="1"/>
  <c r="O332" i="1"/>
  <c r="Q340" i="1"/>
  <c r="O359" i="1"/>
  <c r="Q387" i="1"/>
  <c r="O410" i="1"/>
  <c r="O434" i="1"/>
  <c r="O463" i="1"/>
  <c r="O476" i="1"/>
  <c r="Q506" i="1"/>
  <c r="Q523" i="1"/>
  <c r="Q561" i="1"/>
  <c r="Q571" i="1"/>
  <c r="P604" i="1"/>
  <c r="Q618" i="1"/>
  <c r="Q640" i="1"/>
  <c r="O750" i="1"/>
  <c r="P811" i="1"/>
  <c r="Q852" i="1"/>
  <c r="P864" i="1"/>
  <c r="P923" i="1"/>
  <c r="O942" i="1"/>
  <c r="B1009" i="10"/>
  <c r="B1007" i="2"/>
  <c r="O1042" i="1"/>
  <c r="Q1125" i="1"/>
  <c r="Q492" i="1"/>
  <c r="O6" i="1"/>
  <c r="P11" i="1"/>
  <c r="Q18" i="1"/>
  <c r="O21" i="1"/>
  <c r="Q23" i="1"/>
  <c r="Q33" i="1"/>
  <c r="P45" i="1"/>
  <c r="P52" i="1"/>
  <c r="O57" i="1"/>
  <c r="O71" i="1"/>
  <c r="Q76" i="1"/>
  <c r="P85" i="1"/>
  <c r="Q117" i="1"/>
  <c r="P122" i="1"/>
  <c r="Q132" i="1"/>
  <c r="Q146" i="1"/>
  <c r="O161" i="1"/>
  <c r="O175" i="1"/>
  <c r="O183" i="1"/>
  <c r="P194" i="1"/>
  <c r="B209" i="10"/>
  <c r="B229" i="2"/>
  <c r="O216" i="1"/>
  <c r="Q223" i="1"/>
  <c r="O233" i="1"/>
  <c r="P236" i="1"/>
  <c r="O238" i="1"/>
  <c r="P246" i="1"/>
  <c r="Q251" i="1"/>
  <c r="P254" i="1"/>
  <c r="Q268" i="1"/>
  <c r="Q275" i="1"/>
  <c r="O282" i="1"/>
  <c r="P298" i="1"/>
  <c r="P307" i="1"/>
  <c r="O310" i="1"/>
  <c r="P316" i="1"/>
  <c r="O319" i="1"/>
  <c r="O349" i="1"/>
  <c r="O363" i="1"/>
  <c r="O384" i="1"/>
  <c r="O387" i="1"/>
  <c r="O397" i="1"/>
  <c r="O409" i="1"/>
  <c r="O436" i="1"/>
  <c r="O462" i="1"/>
  <c r="O470" i="1"/>
  <c r="O478" i="1"/>
  <c r="O512" i="1"/>
  <c r="O560" i="1"/>
  <c r="O568" i="1"/>
  <c r="P585" i="1"/>
  <c r="O610" i="1"/>
  <c r="Q622" i="1"/>
  <c r="O644" i="1"/>
  <c r="O650" i="1"/>
  <c r="O681" i="1"/>
  <c r="B692" i="10"/>
  <c r="B420" i="2"/>
  <c r="B7" i="10"/>
  <c r="B93" i="2"/>
  <c r="Q11" i="1"/>
  <c r="O18" i="1"/>
  <c r="O33" i="1"/>
  <c r="P38" i="1"/>
  <c r="B43" i="10"/>
  <c r="B15" i="2"/>
  <c r="Q45" i="1"/>
  <c r="O55" i="1"/>
  <c r="B60" i="10"/>
  <c r="B248" i="2"/>
  <c r="O76" i="1"/>
  <c r="Q85" i="1"/>
  <c r="O90" i="1"/>
  <c r="P93" i="1"/>
  <c r="Q105" i="1"/>
  <c r="P112" i="1"/>
  <c r="O120" i="1"/>
  <c r="P127" i="1"/>
  <c r="P135" i="1"/>
  <c r="O138" i="1"/>
  <c r="P144" i="1"/>
  <c r="P149" i="1"/>
  <c r="O153" i="1"/>
  <c r="Q158" i="1"/>
  <c r="Q168" i="1"/>
  <c r="Q180" i="1"/>
  <c r="Q194" i="1"/>
  <c r="P199" i="1"/>
  <c r="Q201" i="1"/>
  <c r="Q206" i="1"/>
  <c r="P223" i="1"/>
  <c r="P233" i="1"/>
  <c r="Q236" i="1"/>
  <c r="P238" i="1"/>
  <c r="Q241" i="1"/>
  <c r="B252" i="10"/>
  <c r="B199" i="2"/>
  <c r="O268" i="1"/>
  <c r="Q280" i="1"/>
  <c r="Q290" i="1"/>
  <c r="O293" i="1"/>
  <c r="Q316" i="1"/>
  <c r="O331" i="1"/>
  <c r="Q339" i="1"/>
  <c r="Q347" i="1"/>
  <c r="P349" i="1"/>
  <c r="O366" i="1"/>
  <c r="Q372" i="1"/>
  <c r="O392" i="1"/>
  <c r="Q397" i="1"/>
  <c r="O399" i="1"/>
  <c r="Q418" i="1"/>
  <c r="O453" i="1"/>
  <c r="Q485" i="1"/>
  <c r="Q498" i="1"/>
  <c r="O501" i="1"/>
  <c r="Q515" i="1"/>
  <c r="Q527" i="1"/>
  <c r="Q543" i="1"/>
  <c r="O558" i="1"/>
  <c r="Q563" i="1"/>
  <c r="B566" i="10"/>
  <c r="B783" i="2"/>
  <c r="O575" i="1"/>
  <c r="O582" i="1"/>
  <c r="P590" i="1"/>
  <c r="O595" i="1"/>
  <c r="O603" i="1"/>
  <c r="O606" i="1"/>
  <c r="Q610" i="1"/>
  <c r="O642" i="1"/>
  <c r="O652" i="1"/>
  <c r="O666" i="1"/>
  <c r="Q671" i="1"/>
  <c r="O692" i="1"/>
  <c r="O702" i="1"/>
  <c r="P709" i="1"/>
  <c r="P722" i="1"/>
  <c r="B755" i="10"/>
  <c r="B592" i="2"/>
  <c r="Q759" i="1"/>
  <c r="P771" i="1"/>
  <c r="Q776" i="1"/>
  <c r="O803" i="1"/>
  <c r="O808" i="1"/>
  <c r="O815" i="1"/>
  <c r="Q861" i="1"/>
  <c r="Q881" i="1"/>
  <c r="O883" i="1"/>
  <c r="O922" i="1"/>
  <c r="B976" i="10"/>
  <c r="B955" i="2"/>
  <c r="P981" i="1"/>
  <c r="Q1054" i="1"/>
  <c r="O1085" i="1"/>
  <c r="P1137" i="1"/>
  <c r="Q6" i="1"/>
  <c r="B12" i="10"/>
  <c r="B613" i="2"/>
  <c r="Q26" i="1"/>
  <c r="Q38" i="1"/>
  <c r="O48" i="1"/>
  <c r="O53" i="1"/>
  <c r="Q57" i="1"/>
  <c r="Q83" i="1"/>
  <c r="Q90" i="1"/>
  <c r="P98" i="1"/>
  <c r="O110" i="1"/>
  <c r="O112" i="1"/>
  <c r="P125" i="1"/>
  <c r="O127" i="1"/>
  <c r="B133" i="10"/>
  <c r="B691" i="2"/>
  <c r="B139" i="10"/>
  <c r="B198" i="2"/>
  <c r="O151" i="1"/>
  <c r="P153" i="1"/>
  <c r="Q192" i="1"/>
  <c r="Q204" i="1"/>
  <c r="Q216" i="1"/>
  <c r="Q221" i="1"/>
  <c r="O246" i="1"/>
  <c r="O280" i="1"/>
  <c r="Q282" i="1"/>
  <c r="Q314" i="1"/>
  <c r="P323" i="1"/>
  <c r="B340" i="10"/>
  <c r="B310" i="2"/>
  <c r="B348" i="10"/>
  <c r="B123" i="2"/>
  <c r="Q361" i="1"/>
  <c r="Q363" i="1"/>
  <c r="B398" i="10"/>
  <c r="B451" i="2"/>
  <c r="P416" i="1"/>
  <c r="P428" i="1"/>
  <c r="Q458" i="1"/>
  <c r="B461" i="10"/>
  <c r="B727" i="2"/>
  <c r="P493" i="1"/>
  <c r="P501" i="1"/>
  <c r="Q510" i="1"/>
  <c r="O540" i="1"/>
  <c r="B564" i="10"/>
  <c r="B176" i="2"/>
  <c r="P575" i="1"/>
  <c r="O580" i="1"/>
  <c r="Q585" i="1"/>
  <c r="O593" i="1"/>
  <c r="P598" i="1"/>
  <c r="Q601" i="1"/>
  <c r="P678" i="1"/>
  <c r="O686" i="1"/>
  <c r="O689" i="1"/>
  <c r="P702" i="1"/>
  <c r="Q745" i="1"/>
  <c r="Q781" i="1"/>
  <c r="O789" i="1"/>
  <c r="O837" i="1"/>
  <c r="Q854" i="1"/>
  <c r="Q869" i="1"/>
  <c r="B879" i="10"/>
  <c r="B901" i="2"/>
  <c r="P900" i="1"/>
  <c r="Q934" i="1"/>
  <c r="Q956" i="1"/>
  <c r="Q961" i="1"/>
  <c r="O976" i="1"/>
  <c r="O1050" i="1"/>
  <c r="P1098" i="1"/>
  <c r="Q403" i="1"/>
  <c r="Q416" i="1"/>
  <c r="O422" i="1"/>
  <c r="O430" i="1"/>
  <c r="Q439" i="1"/>
  <c r="P441" i="1"/>
  <c r="O447" i="1"/>
  <c r="Q453" i="1"/>
  <c r="Q460" i="1"/>
  <c r="Q466" i="1"/>
  <c r="P479" i="1"/>
  <c r="O493" i="1"/>
  <c r="Q495" i="1"/>
  <c r="Q508" i="1"/>
  <c r="P523" i="1"/>
  <c r="Q525" i="1"/>
  <c r="Q565" i="1"/>
  <c r="P569" i="1"/>
  <c r="P577" i="1"/>
  <c r="P579" i="1"/>
  <c r="B593" i="10"/>
  <c r="B873" i="2"/>
  <c r="B595" i="10"/>
  <c r="B805" i="2"/>
  <c r="B603" i="10"/>
  <c r="B343" i="2"/>
  <c r="Q608" i="1"/>
  <c r="Q612" i="1"/>
  <c r="B615" i="10"/>
  <c r="B949" i="2"/>
  <c r="O616" i="1"/>
  <c r="O618" i="1"/>
  <c r="P624" i="1"/>
  <c r="P628" i="1"/>
  <c r="P644" i="1"/>
  <c r="Q646" i="1"/>
  <c r="B651" i="10"/>
  <c r="B790" i="2"/>
  <c r="Q656" i="1"/>
  <c r="O658" i="1"/>
  <c r="Q672" i="1"/>
  <c r="O676" i="1"/>
  <c r="Q682" i="1"/>
  <c r="B687" i="10"/>
  <c r="B605" i="2"/>
  <c r="P693" i="1"/>
  <c r="Q695" i="1"/>
  <c r="P724" i="1"/>
  <c r="O734" i="1"/>
  <c r="O736" i="1"/>
  <c r="P750" i="1"/>
  <c r="Q752" i="1"/>
  <c r="O754" i="1"/>
  <c r="P760" i="1"/>
  <c r="O762" i="1"/>
  <c r="P782" i="1"/>
  <c r="B787" i="10"/>
  <c r="B501" i="2"/>
  <c r="O788" i="1"/>
  <c r="Q792" i="1"/>
  <c r="O818" i="1"/>
  <c r="P827" i="1"/>
  <c r="O845" i="1"/>
  <c r="P849" i="1"/>
  <c r="Q856" i="1"/>
  <c r="O864" i="1"/>
  <c r="Q866" i="1"/>
  <c r="B871" i="10"/>
  <c r="B885" i="2"/>
  <c r="O878" i="1"/>
  <c r="P881" i="1"/>
  <c r="Q889" i="1"/>
  <c r="O892" i="1"/>
  <c r="B896" i="10"/>
  <c r="B897" i="2"/>
  <c r="Q900" i="1"/>
  <c r="O906" i="1"/>
  <c r="O909" i="1"/>
  <c r="P911" i="1"/>
  <c r="Q927" i="1"/>
  <c r="O930" i="1"/>
  <c r="O932" i="1"/>
  <c r="O938" i="1"/>
  <c r="P950" i="1"/>
  <c r="P962" i="1"/>
  <c r="Q966" i="1"/>
  <c r="Q975" i="1"/>
  <c r="P980" i="1"/>
  <c r="Q982" i="1"/>
  <c r="Q984" i="1"/>
  <c r="B987" i="10"/>
  <c r="B953" i="2"/>
  <c r="O989" i="1"/>
  <c r="O995" i="1"/>
  <c r="O999" i="1"/>
  <c r="Q1001" i="1"/>
  <c r="P1011" i="1"/>
  <c r="B1014" i="10"/>
  <c r="B1012" i="2"/>
  <c r="O1018" i="1"/>
  <c r="O1023" i="1"/>
  <c r="O1028" i="1"/>
  <c r="O1032" i="1"/>
  <c r="Q1034" i="1"/>
  <c r="P1060" i="1"/>
  <c r="Q1064" i="1"/>
  <c r="Q1068" i="1"/>
  <c r="P1070" i="1"/>
  <c r="B1077" i="10"/>
  <c r="B1077" i="2"/>
  <c r="B1079" i="10"/>
  <c r="B1079" i="2"/>
  <c r="O1082" i="1"/>
  <c r="Q1100" i="1"/>
  <c r="Q1102" i="1"/>
  <c r="O1105" i="1"/>
  <c r="Q1107" i="1"/>
  <c r="Q1114" i="1"/>
  <c r="O1118" i="1"/>
  <c r="O1131" i="1"/>
  <c r="Q1133" i="1"/>
  <c r="Q1144" i="1"/>
  <c r="O1146" i="1"/>
  <c r="Q1148" i="1"/>
  <c r="P1151" i="1"/>
  <c r="Q1153" i="1"/>
  <c r="Q1158" i="1"/>
  <c r="Q1160" i="1"/>
  <c r="Q1169" i="1"/>
  <c r="Q1171" i="1"/>
  <c r="O1173" i="1"/>
  <c r="O1176" i="1"/>
  <c r="O1181" i="1"/>
  <c r="Q1192" i="1"/>
  <c r="B48" i="2"/>
  <c r="B94" i="2"/>
  <c r="B165" i="2"/>
  <c r="B578" i="2"/>
  <c r="B682" i="2"/>
  <c r="B961" i="2"/>
  <c r="J6" i="5"/>
  <c r="J133" i="5"/>
  <c r="J71" i="5"/>
  <c r="J65" i="5"/>
  <c r="J53" i="5"/>
  <c r="J15" i="5"/>
  <c r="J165" i="5"/>
  <c r="J109" i="5"/>
  <c r="J114" i="5"/>
  <c r="J70" i="5"/>
  <c r="J14" i="5"/>
  <c r="J386" i="5"/>
  <c r="J225" i="5"/>
  <c r="J175" i="5"/>
  <c r="J344" i="5"/>
  <c r="J331" i="5"/>
  <c r="J276" i="5"/>
  <c r="J230" i="5"/>
  <c r="J207" i="5"/>
  <c r="J13" i="5"/>
  <c r="J130" i="5"/>
  <c r="J43" i="5"/>
  <c r="J23" i="5"/>
  <c r="J229" i="5"/>
  <c r="J168" i="5"/>
  <c r="J100" i="5"/>
  <c r="J112" i="5"/>
  <c r="J273" i="5"/>
  <c r="J233" i="5"/>
  <c r="J172" i="5"/>
  <c r="J86" i="5"/>
  <c r="J167" i="5"/>
  <c r="J228" i="5"/>
  <c r="J284" i="5"/>
  <c r="J487" i="5"/>
  <c r="J709" i="5"/>
  <c r="B126" i="10"/>
  <c r="B477" i="2"/>
  <c r="O150" i="1"/>
  <c r="O261" i="1"/>
  <c r="B321" i="10"/>
  <c r="B305" i="2"/>
  <c r="O326" i="1"/>
  <c r="B350" i="10"/>
  <c r="B623" i="2"/>
  <c r="O388" i="1"/>
  <c r="P432" i="1"/>
  <c r="P449" i="1"/>
  <c r="P464" i="1"/>
  <c r="Q489" i="1"/>
  <c r="P527" i="1"/>
  <c r="P543" i="1"/>
  <c r="Q556" i="1"/>
  <c r="B631" i="10"/>
  <c r="B622" i="2"/>
  <c r="B645" i="10"/>
  <c r="B684" i="2"/>
  <c r="B679" i="10"/>
  <c r="B632" i="2"/>
  <c r="P689" i="1"/>
  <c r="O720" i="1"/>
  <c r="O728" i="1"/>
  <c r="O743" i="1"/>
  <c r="O760" i="1"/>
  <c r="O782" i="1"/>
  <c r="Q823" i="1"/>
  <c r="B903" i="10"/>
  <c r="B896" i="2"/>
  <c r="P917" i="1"/>
  <c r="B974" i="10"/>
  <c r="B916" i="2"/>
  <c r="P987" i="1"/>
  <c r="B1017" i="10"/>
  <c r="B1015" i="2"/>
  <c r="O1035" i="1"/>
  <c r="Q1105" i="1"/>
  <c r="B1115" i="10"/>
  <c r="B1119" i="2"/>
  <c r="O1142" i="1"/>
  <c r="O1188" i="1"/>
  <c r="J425" i="5"/>
  <c r="J1136" i="5"/>
  <c r="B32" i="10"/>
  <c r="B19" i="2"/>
  <c r="B84" i="10"/>
  <c r="B582" i="2"/>
  <c r="O107" i="1"/>
  <c r="Q155" i="1"/>
  <c r="B176" i="10"/>
  <c r="B728" i="2"/>
  <c r="O194" i="1"/>
  <c r="O200" i="1"/>
  <c r="B224" i="10"/>
  <c r="B425" i="2"/>
  <c r="Q240" i="1"/>
  <c r="P263" i="1"/>
  <c r="B312" i="10"/>
  <c r="B34" i="2"/>
  <c r="B463" i="10"/>
  <c r="B429" i="2"/>
  <c r="B480" i="10"/>
  <c r="B912" i="2"/>
  <c r="O485" i="1"/>
  <c r="P505" i="1"/>
  <c r="P535" i="1"/>
  <c r="B553" i="10"/>
  <c r="B269" i="2"/>
  <c r="B574" i="10"/>
  <c r="B931" i="2"/>
  <c r="B578" i="10"/>
  <c r="B637" i="2"/>
  <c r="B629" i="10"/>
  <c r="B150" i="2"/>
  <c r="B669" i="10"/>
  <c r="B359" i="2"/>
  <c r="O670" i="1"/>
  <c r="O718" i="1"/>
  <c r="O737" i="1"/>
  <c r="O753" i="1"/>
  <c r="B763" i="10"/>
  <c r="B499" i="2"/>
  <c r="P785" i="1"/>
  <c r="B798" i="10"/>
  <c r="B449" i="2"/>
  <c r="B804" i="10"/>
  <c r="B441" i="2"/>
  <c r="Q809" i="1"/>
  <c r="Q811" i="1"/>
  <c r="O813" i="1"/>
  <c r="P817" i="1"/>
  <c r="Q825" i="1"/>
  <c r="Q827" i="1"/>
  <c r="O830" i="1"/>
  <c r="Q832" i="1"/>
  <c r="O846" i="1"/>
  <c r="B859" i="10"/>
  <c r="B676" i="2"/>
  <c r="Q883" i="1"/>
  <c r="O911" i="1"/>
  <c r="O913" i="1"/>
  <c r="Q915" i="1"/>
  <c r="Q917" i="1"/>
  <c r="O923" i="1"/>
  <c r="P934" i="1"/>
  <c r="Q938" i="1"/>
  <c r="Q942" i="1"/>
  <c r="O944" i="1"/>
  <c r="Q946" i="1"/>
  <c r="Q950" i="1"/>
  <c r="P958" i="1"/>
  <c r="Q960" i="1"/>
  <c r="Q978" i="1"/>
  <c r="B985" i="10"/>
  <c r="B984" i="2"/>
  <c r="O992" i="1"/>
  <c r="O996" i="1"/>
  <c r="P1004" i="1"/>
  <c r="B1012" i="10"/>
  <c r="B1010" i="2"/>
  <c r="P1031" i="1"/>
  <c r="P1035" i="1"/>
  <c r="Q1045" i="1"/>
  <c r="Q1050" i="1"/>
  <c r="Q1060" i="1"/>
  <c r="P1105" i="1"/>
  <c r="P1108" i="1"/>
  <c r="P1119" i="1"/>
  <c r="Q1142" i="1"/>
  <c r="P1154" i="1"/>
  <c r="Q1165" i="1"/>
  <c r="P1174" i="1"/>
  <c r="P1176" i="1"/>
  <c r="O1186" i="1"/>
  <c r="B266" i="2"/>
  <c r="B412" i="2"/>
  <c r="B647" i="2"/>
  <c r="J128" i="5"/>
  <c r="J149" i="5"/>
  <c r="J156" i="5"/>
  <c r="J162" i="5"/>
  <c r="J223" i="5"/>
  <c r="J669" i="5"/>
  <c r="J683" i="5"/>
  <c r="J690" i="5"/>
  <c r="J1046" i="5"/>
  <c r="J1060" i="5"/>
  <c r="J1087" i="5"/>
  <c r="J1115" i="5"/>
  <c r="O105" i="1"/>
  <c r="J19" i="5"/>
  <c r="B9" i="10"/>
  <c r="B174" i="2"/>
  <c r="Q61" i="1"/>
  <c r="Q133" i="1"/>
  <c r="B167" i="10"/>
  <c r="B74" i="2"/>
  <c r="B273" i="10"/>
  <c r="B116" i="2"/>
  <c r="O284" i="1"/>
  <c r="O400" i="1"/>
  <c r="O449" i="1"/>
  <c r="Q651" i="1"/>
  <c r="O722" i="1"/>
  <c r="O1006" i="1"/>
  <c r="Q1193" i="1"/>
  <c r="Q1173" i="1"/>
  <c r="Q1170" i="1"/>
  <c r="Q1167" i="1"/>
  <c r="Q1087" i="1"/>
  <c r="Q1135" i="1"/>
  <c r="Q1037" i="1"/>
  <c r="Q939" i="1"/>
  <c r="Q841" i="1"/>
  <c r="Q1109" i="1"/>
  <c r="Q970" i="1"/>
  <c r="Q933" i="1"/>
  <c r="Q793" i="1"/>
  <c r="Q953" i="1"/>
  <c r="Q1150" i="1"/>
  <c r="Q1013" i="1"/>
  <c r="Q1011" i="1"/>
  <c r="Q989" i="1"/>
  <c r="Q973" i="1"/>
  <c r="Q971" i="1"/>
  <c r="Q666" i="1"/>
  <c r="Q624" i="1"/>
  <c r="Q604" i="1"/>
  <c r="Q323" i="1"/>
  <c r="Q281" i="1"/>
  <c r="Q261" i="1"/>
  <c r="Q872" i="1"/>
  <c r="Q926" i="1"/>
  <c r="Q835" i="1"/>
  <c r="Q1115" i="1"/>
  <c r="Q967" i="1"/>
  <c r="Q800" i="1"/>
  <c r="Q617" i="1"/>
  <c r="Q575" i="1"/>
  <c r="Q555" i="1"/>
  <c r="Q274" i="1"/>
  <c r="Q225" i="1"/>
  <c r="Q1121" i="1"/>
  <c r="Q1092" i="1"/>
  <c r="Q1030" i="1"/>
  <c r="Q990" i="1"/>
  <c r="Q891" i="1"/>
  <c r="Q878" i="1"/>
  <c r="Q815" i="1"/>
  <c r="Q808" i="1"/>
  <c r="Q796" i="1"/>
  <c r="Q660" i="1"/>
  <c r="Q1024" i="1"/>
  <c r="Q834" i="1"/>
  <c r="Q771" i="1"/>
  <c r="Q751" i="1"/>
  <c r="Q470" i="1"/>
  <c r="Q428" i="1"/>
  <c r="Q408" i="1"/>
  <c r="Q876" i="1"/>
  <c r="Q764" i="1"/>
  <c r="Q722" i="1"/>
  <c r="Q702" i="1"/>
  <c r="Q687" i="1"/>
  <c r="Q603" i="1"/>
  <c r="Q593" i="1"/>
  <c r="Q551" i="1"/>
  <c r="Q421" i="1"/>
  <c r="Q379" i="1"/>
  <c r="Q359" i="1"/>
  <c r="Q344" i="1"/>
  <c r="Q190" i="1"/>
  <c r="O7" i="1"/>
  <c r="O15" i="1"/>
  <c r="B37" i="10"/>
  <c r="B71" i="2"/>
  <c r="B50" i="10"/>
  <c r="B526" i="2"/>
  <c r="P55" i="1"/>
  <c r="B67" i="10"/>
  <c r="B132" i="2"/>
  <c r="Q82" i="1"/>
  <c r="P102" i="1"/>
  <c r="O143" i="1"/>
  <c r="O185" i="1"/>
  <c r="Q222" i="1"/>
  <c r="B251" i="10"/>
  <c r="B264" i="2"/>
  <c r="O254" i="1"/>
  <c r="O265" i="1"/>
  <c r="P292" i="1"/>
  <c r="Q330" i="1"/>
  <c r="B358" i="10"/>
  <c r="B141" i="2"/>
  <c r="Q411" i="1"/>
  <c r="O432" i="1"/>
  <c r="B484" i="10"/>
  <c r="B416" i="2"/>
  <c r="P497" i="1"/>
  <c r="O537" i="1"/>
  <c r="B559" i="10"/>
  <c r="B835" i="2"/>
  <c r="O570" i="1"/>
  <c r="O587" i="1"/>
  <c r="O619" i="1"/>
  <c r="B671" i="10"/>
  <c r="B701" i="2"/>
  <c r="Q685" i="1"/>
  <c r="O704" i="1"/>
  <c r="P714" i="1"/>
  <c r="O725" i="1"/>
  <c r="Q743" i="1"/>
  <c r="O795" i="1"/>
  <c r="B800" i="10"/>
  <c r="B733" i="2"/>
  <c r="P815" i="1"/>
  <c r="O825" i="1"/>
  <c r="O834" i="1"/>
  <c r="P844" i="1"/>
  <c r="P850" i="1"/>
  <c r="B853" i="10"/>
  <c r="B714" i="2"/>
  <c r="B855" i="10"/>
  <c r="B775" i="2"/>
  <c r="Q867" i="1"/>
  <c r="O871" i="1"/>
  <c r="Q873" i="1"/>
  <c r="O877" i="1"/>
  <c r="Q879" i="1"/>
  <c r="O882" i="1"/>
  <c r="B886" i="10"/>
  <c r="B899" i="2"/>
  <c r="Q892" i="1"/>
  <c r="O894" i="1"/>
  <c r="Q898" i="1"/>
  <c r="Q911" i="1"/>
  <c r="O915" i="1"/>
  <c r="B920" i="10"/>
  <c r="B816" i="2"/>
  <c r="Q921" i="1"/>
  <c r="O926" i="1"/>
  <c r="Q928" i="1"/>
  <c r="Q932" i="1"/>
  <c r="Q940" i="1"/>
  <c r="Q969" i="1"/>
  <c r="Q976" i="1"/>
  <c r="B990" i="10"/>
  <c r="B987" i="2"/>
  <c r="P1002" i="1"/>
  <c r="Q1023" i="1"/>
  <c r="Q1028" i="1"/>
  <c r="O1038" i="1"/>
  <c r="P1050" i="1"/>
  <c r="Q1052" i="1"/>
  <c r="P1056" i="1"/>
  <c r="Q1058" i="1"/>
  <c r="O1063" i="1"/>
  <c r="Q1067" i="1"/>
  <c r="Q1085" i="1"/>
  <c r="B1090" i="10"/>
  <c r="B1091" i="2"/>
  <c r="O1092" i="1"/>
  <c r="O1095" i="1"/>
  <c r="Q1108" i="1"/>
  <c r="Q1110" i="1"/>
  <c r="Q1119" i="1"/>
  <c r="O1138" i="1"/>
  <c r="O1140" i="1"/>
  <c r="P1149" i="1"/>
  <c r="B1152" i="10"/>
  <c r="B1157" i="2"/>
  <c r="Q1156" i="1"/>
  <c r="B1168" i="10"/>
  <c r="B1174" i="2"/>
  <c r="O1170" i="1"/>
  <c r="Q1174" i="1"/>
  <c r="Q1179" i="1"/>
  <c r="B56" i="2"/>
  <c r="B228" i="2"/>
  <c r="B702" i="2"/>
  <c r="B982" i="2"/>
  <c r="J662" i="5"/>
  <c r="J676" i="5"/>
  <c r="J948" i="5"/>
  <c r="O10" i="1"/>
  <c r="O51" i="1"/>
  <c r="Q98" i="1"/>
  <c r="B113" i="10"/>
  <c r="B188" i="2"/>
  <c r="O122" i="1"/>
  <c r="O203" i="1"/>
  <c r="Q292" i="1"/>
  <c r="P306" i="1"/>
  <c r="Q334" i="1"/>
  <c r="P348" i="1"/>
  <c r="P357" i="1"/>
  <c r="O378" i="1"/>
  <c r="B419" i="10"/>
  <c r="B638" i="2"/>
  <c r="O428" i="1"/>
  <c r="O466" i="1"/>
  <c r="B522" i="10"/>
  <c r="B753" i="2"/>
  <c r="Q531" i="1"/>
  <c r="Q589" i="1"/>
  <c r="B609" i="10"/>
  <c r="B378" i="2"/>
  <c r="B659" i="10"/>
  <c r="B548" i="2"/>
  <c r="O696" i="1"/>
  <c r="P716" i="1"/>
  <c r="O739" i="1"/>
  <c r="O756" i="1"/>
  <c r="B781" i="10"/>
  <c r="B525" i="2"/>
  <c r="Q807" i="1"/>
  <c r="Q830" i="1"/>
  <c r="B844" i="10"/>
  <c r="B969" i="2"/>
  <c r="O867" i="1"/>
  <c r="Q919" i="1"/>
  <c r="B992" i="10"/>
  <c r="B1098" i="2"/>
  <c r="B1033" i="10"/>
  <c r="B1031" i="2"/>
  <c r="O1060" i="1"/>
  <c r="P1092" i="1"/>
  <c r="B1124" i="10"/>
  <c r="B1129" i="2"/>
  <c r="J1101" i="5"/>
  <c r="J1149" i="5"/>
  <c r="O38" i="1"/>
  <c r="O131" i="1"/>
  <c r="P205" i="1"/>
  <c r="B228" i="10"/>
  <c r="B321" i="2"/>
  <c r="B243" i="10"/>
  <c r="B732" i="2"/>
  <c r="Q294" i="1"/>
  <c r="O352" i="1"/>
  <c r="B377" i="10"/>
  <c r="B233" i="2"/>
  <c r="P396" i="1"/>
  <c r="Q434" i="1"/>
  <c r="B454" i="10"/>
  <c r="B338" i="2"/>
  <c r="O457" i="1"/>
  <c r="B467" i="10"/>
  <c r="B237" i="2"/>
  <c r="P474" i="1"/>
  <c r="B496" i="10"/>
  <c r="B279" i="2"/>
  <c r="B511" i="10"/>
  <c r="B697" i="2"/>
  <c r="P520" i="1"/>
  <c r="B526" i="10"/>
  <c r="B536" i="2"/>
  <c r="O597" i="1"/>
  <c r="O631" i="1"/>
  <c r="O641" i="1"/>
  <c r="O673" i="1"/>
  <c r="P704" i="1"/>
  <c r="P739" i="1"/>
  <c r="Q747" i="1"/>
  <c r="Q758" i="1"/>
  <c r="P767" i="1"/>
  <c r="Q795" i="1"/>
  <c r="B14" i="10"/>
  <c r="B23" i="2"/>
  <c r="B24" i="10"/>
  <c r="B2" i="2"/>
  <c r="Q44" i="1"/>
  <c r="Q51" i="1"/>
  <c r="B62" i="10"/>
  <c r="B422" i="2"/>
  <c r="Q78" i="1"/>
  <c r="Q91" i="1"/>
  <c r="B106" i="10"/>
  <c r="B62" i="2"/>
  <c r="P111" i="1"/>
  <c r="P131" i="1"/>
  <c r="Q135" i="1"/>
  <c r="P145" i="1"/>
  <c r="O170" i="1"/>
  <c r="Q177" i="1"/>
  <c r="O179" i="1"/>
  <c r="P187" i="1"/>
  <c r="B193" i="10"/>
  <c r="B211" i="2"/>
  <c r="B232" i="10"/>
  <c r="B333" i="2"/>
  <c r="B260" i="10"/>
  <c r="B280" i="2"/>
  <c r="O269" i="1"/>
  <c r="P277" i="1"/>
  <c r="P290" i="1"/>
  <c r="P294" i="1"/>
  <c r="B327" i="10"/>
  <c r="B796" i="2"/>
  <c r="P332" i="1"/>
  <c r="P334" i="1"/>
  <c r="O346" i="1"/>
  <c r="O371" i="1"/>
  <c r="B379" i="10"/>
  <c r="B590" i="2"/>
  <c r="P390" i="1"/>
  <c r="B406" i="10"/>
  <c r="B191" i="2"/>
  <c r="O444" i="1"/>
  <c r="P455" i="1"/>
  <c r="P459" i="1"/>
  <c r="Q476" i="1"/>
  <c r="B482" i="10"/>
  <c r="B763" i="2"/>
  <c r="Q491" i="1"/>
  <c r="Q505" i="1"/>
  <c r="P509" i="1"/>
  <c r="Q512" i="1"/>
  <c r="P516" i="1"/>
  <c r="P522" i="1"/>
  <c r="Q539" i="1"/>
  <c r="P560" i="1"/>
  <c r="Q572" i="1"/>
  <c r="O578" i="1"/>
  <c r="O583" i="1"/>
  <c r="P627" i="1"/>
  <c r="P631" i="1"/>
  <c r="Q635" i="1"/>
  <c r="O649" i="1"/>
  <c r="Q683" i="1"/>
  <c r="Q700" i="1"/>
  <c r="P708" i="1"/>
  <c r="O712" i="1"/>
  <c r="O716" i="1"/>
  <c r="Q730" i="1"/>
  <c r="O773" i="1"/>
  <c r="O2" i="1"/>
  <c r="B29" i="10"/>
  <c r="B53" i="2"/>
  <c r="O60" i="1"/>
  <c r="O70" i="1"/>
  <c r="B74" i="10"/>
  <c r="B695" i="2"/>
  <c r="B79" i="10"/>
  <c r="B11" i="2"/>
  <c r="B88" i="10"/>
  <c r="B65" i="2"/>
  <c r="B97" i="10"/>
  <c r="B575" i="2"/>
  <c r="Q113" i="1"/>
  <c r="Q118" i="1"/>
  <c r="B130" i="10"/>
  <c r="B42" i="2"/>
  <c r="O137" i="1"/>
  <c r="Q154" i="1"/>
  <c r="B160" i="10"/>
  <c r="B120" i="2"/>
  <c r="P172" i="1"/>
  <c r="Q179" i="1"/>
  <c r="O193" i="1"/>
  <c r="B195" i="10"/>
  <c r="B153" i="2"/>
  <c r="O209" i="1"/>
  <c r="Q212" i="1"/>
  <c r="O232" i="1"/>
  <c r="Q237" i="1"/>
  <c r="O241" i="1"/>
  <c r="Q246" i="1"/>
  <c r="P252" i="1"/>
  <c r="O271" i="1"/>
  <c r="B285" i="10"/>
  <c r="B693" i="2"/>
  <c r="O292" i="1"/>
  <c r="O296" i="1"/>
  <c r="P302" i="1"/>
  <c r="Q304" i="1"/>
  <c r="Q308" i="1"/>
  <c r="P319" i="1"/>
  <c r="O334" i="1"/>
  <c r="P338" i="1"/>
  <c r="P346" i="1"/>
  <c r="Q350" i="1"/>
  <c r="P375" i="1"/>
  <c r="Q392" i="1"/>
  <c r="O398" i="1"/>
  <c r="Q404" i="1"/>
  <c r="Q407" i="1"/>
  <c r="O423" i="1"/>
  <c r="B431" i="10"/>
  <c r="B97" i="2"/>
  <c r="B448" i="10"/>
  <c r="B159" i="2"/>
  <c r="O461" i="1"/>
  <c r="Q464" i="1"/>
  <c r="O474" i="1"/>
  <c r="P480" i="1"/>
  <c r="B490" i="10"/>
  <c r="B275" i="2"/>
  <c r="Q499" i="1"/>
  <c r="Q503" i="1"/>
  <c r="Q516" i="1"/>
  <c r="B532" i="10"/>
  <c r="B774" i="2"/>
  <c r="Q545" i="1"/>
  <c r="P564" i="1"/>
  <c r="O566" i="1"/>
  <c r="P578" i="1"/>
  <c r="P593" i="1"/>
  <c r="O599" i="1"/>
  <c r="P603" i="1"/>
  <c r="Q613" i="1"/>
  <c r="P619" i="1"/>
  <c r="O621" i="1"/>
  <c r="Q623" i="1"/>
  <c r="Q637" i="1"/>
  <c r="Q649" i="1"/>
  <c r="P651" i="1"/>
  <c r="P655" i="1"/>
  <c r="O657" i="1"/>
  <c r="P667" i="1"/>
  <c r="P669" i="1"/>
  <c r="Q677" i="1"/>
  <c r="Q679" i="1"/>
  <c r="P696" i="1"/>
  <c r="O698" i="1"/>
  <c r="O700" i="1"/>
  <c r="Q706" i="1"/>
  <c r="P712" i="1"/>
  <c r="B721" i="10"/>
  <c r="B710" i="2"/>
  <c r="P725" i="1"/>
  <c r="O741" i="1"/>
  <c r="P747" i="1"/>
  <c r="P757" i="1"/>
  <c r="P773" i="1"/>
  <c r="B796" i="10"/>
  <c r="B483" i="2"/>
  <c r="P802" i="1"/>
  <c r="P808" i="1"/>
  <c r="O819" i="1"/>
  <c r="O823" i="1"/>
  <c r="B826" i="10"/>
  <c r="B685" i="2"/>
  <c r="O828" i="1"/>
  <c r="P871" i="1"/>
  <c r="O888" i="1"/>
  <c r="O890" i="1"/>
  <c r="Q894" i="1"/>
  <c r="P896" i="1"/>
  <c r="P898" i="1"/>
  <c r="P907" i="1"/>
  <c r="Q913" i="1"/>
  <c r="B933" i="10"/>
  <c r="B854" i="2"/>
  <c r="B941" i="10"/>
  <c r="B839" i="2"/>
  <c r="B943" i="10"/>
  <c r="B876" i="2"/>
  <c r="P953" i="1"/>
  <c r="O969" i="1"/>
  <c r="O990" i="1"/>
  <c r="O1004" i="1"/>
  <c r="P1038" i="1"/>
  <c r="Q1040" i="1"/>
  <c r="P1043" i="1"/>
  <c r="O1073" i="1"/>
  <c r="O1077" i="1"/>
  <c r="O1081" i="1"/>
  <c r="O1090" i="1"/>
  <c r="B1093" i="10"/>
  <c r="B1094" i="2"/>
  <c r="O1106" i="1"/>
  <c r="Q1117" i="1"/>
  <c r="Q1140" i="1"/>
  <c r="O1177" i="1"/>
  <c r="B369" i="2"/>
  <c r="B424" i="2"/>
  <c r="B650" i="2"/>
  <c r="B758" i="2"/>
  <c r="B1116" i="2"/>
  <c r="J42" i="5"/>
  <c r="J48" i="5"/>
  <c r="J55" i="5"/>
  <c r="J62" i="5"/>
  <c r="J942" i="5"/>
  <c r="B1134" i="10"/>
  <c r="B1139" i="2"/>
  <c r="O1136" i="1"/>
  <c r="Q1146" i="1"/>
  <c r="P1156" i="1"/>
  <c r="P1167" i="1"/>
  <c r="Q1188" i="1"/>
  <c r="Q1190" i="1"/>
  <c r="B4" i="10"/>
  <c r="B87" i="2"/>
  <c r="B40" i="10"/>
  <c r="B597" i="2"/>
  <c r="P109" i="1"/>
  <c r="B154" i="10"/>
  <c r="B206" i="2"/>
  <c r="B165" i="10"/>
  <c r="B190" i="2"/>
  <c r="B187" i="10"/>
  <c r="B711" i="2"/>
  <c r="P207" i="1"/>
  <c r="B308" i="10"/>
  <c r="B430" i="2"/>
  <c r="Q313" i="1"/>
  <c r="O396" i="1"/>
  <c r="O535" i="1"/>
  <c r="O581" i="1"/>
  <c r="O601" i="1"/>
  <c r="P660" i="1"/>
  <c r="Q670" i="1"/>
  <c r="B753" i="10"/>
  <c r="B858" i="2"/>
  <c r="O767" i="1"/>
  <c r="P787" i="1"/>
  <c r="Q799" i="1"/>
  <c r="P825" i="1"/>
  <c r="P873" i="1"/>
  <c r="Q906" i="1"/>
  <c r="Q923" i="1"/>
  <c r="P971" i="1"/>
  <c r="O981" i="1"/>
  <c r="B1021" i="10"/>
  <c r="B1019" i="2"/>
  <c r="P1040" i="1"/>
  <c r="Q1129" i="1"/>
  <c r="O1151" i="1"/>
  <c r="O1169" i="1"/>
  <c r="Q1181" i="1"/>
  <c r="J1122" i="5"/>
  <c r="B57" i="10"/>
  <c r="B157" i="2"/>
  <c r="Q71" i="1"/>
  <c r="O80" i="1"/>
  <c r="P183" i="1"/>
  <c r="Q233" i="1"/>
  <c r="O277" i="1"/>
  <c r="O286" i="1"/>
  <c r="Q336" i="1"/>
  <c r="B356" i="10"/>
  <c r="B137" i="2"/>
  <c r="O361" i="1"/>
  <c r="O367" i="1"/>
  <c r="B375" i="10"/>
  <c r="B317" i="2"/>
  <c r="P388" i="1"/>
  <c r="Q409" i="1"/>
  <c r="B446" i="10"/>
  <c r="B341" i="2"/>
  <c r="O481" i="1"/>
  <c r="Q554" i="1"/>
  <c r="O4" i="1"/>
  <c r="B6" i="10"/>
  <c r="B182" i="2"/>
  <c r="B21" i="10"/>
  <c r="B75" i="2"/>
  <c r="B42" i="10"/>
  <c r="B21" i="2"/>
  <c r="B52" i="10"/>
  <c r="B309" i="2"/>
  <c r="Q58" i="1"/>
  <c r="O75" i="1"/>
  <c r="O77" i="1"/>
  <c r="Q84" i="1"/>
  <c r="Q95" i="1"/>
  <c r="B99" i="10"/>
  <c r="B143" i="2"/>
  <c r="B119" i="10"/>
  <c r="B283" i="2"/>
  <c r="B134" i="10"/>
  <c r="B532" i="2"/>
  <c r="Q143" i="1"/>
  <c r="O158" i="1"/>
  <c r="P165" i="1"/>
  <c r="Q170" i="1"/>
  <c r="B180" i="10"/>
  <c r="B79" i="2"/>
  <c r="P200" i="1"/>
  <c r="Q205" i="1"/>
  <c r="P222" i="1"/>
  <c r="Q224" i="1"/>
  <c r="P226" i="1"/>
  <c r="Q244" i="1"/>
  <c r="O252" i="1"/>
  <c r="B264" i="10"/>
  <c r="B915" i="2"/>
  <c r="Q265" i="1"/>
  <c r="P275" i="1"/>
  <c r="O279" i="1"/>
  <c r="B291" i="10"/>
  <c r="B344" i="2"/>
  <c r="B293" i="10"/>
  <c r="B439" i="2"/>
  <c r="B295" i="10"/>
  <c r="B78" i="2"/>
  <c r="Q298" i="1"/>
  <c r="Q306" i="1"/>
  <c r="B316" i="10"/>
  <c r="B599" i="2"/>
  <c r="P317" i="1"/>
  <c r="O321" i="1"/>
  <c r="O325" i="1"/>
  <c r="B333" i="10"/>
  <c r="B232" i="2"/>
  <c r="B335" i="10"/>
  <c r="B455" i="2"/>
  <c r="Q342" i="1"/>
  <c r="Q348" i="1"/>
  <c r="P354" i="1"/>
  <c r="P358" i="1"/>
  <c r="P362" i="1"/>
  <c r="B364" i="10"/>
  <c r="B409" i="2"/>
  <c r="O369" i="1"/>
  <c r="O381" i="1"/>
  <c r="O390" i="1"/>
  <c r="P400" i="1"/>
  <c r="B410" i="10"/>
  <c r="B291" i="2"/>
  <c r="B412" i="10"/>
  <c r="B513" i="2"/>
  <c r="P413" i="1"/>
  <c r="P417" i="1"/>
  <c r="P425" i="1"/>
  <c r="O431" i="1"/>
  <c r="B433" i="10"/>
  <c r="B565" i="2"/>
  <c r="O440" i="1"/>
  <c r="Q446" i="1"/>
  <c r="B456" i="10"/>
  <c r="B171" i="2"/>
  <c r="Q457" i="1"/>
  <c r="O459" i="1"/>
  <c r="B473" i="10"/>
  <c r="B296" i="2"/>
  <c r="O486" i="1"/>
  <c r="Q488" i="1"/>
  <c r="O505" i="1"/>
  <c r="O509" i="1"/>
  <c r="B515" i="10"/>
  <c r="B360" i="2"/>
  <c r="O528" i="1"/>
  <c r="Q530" i="1"/>
  <c r="B536" i="10"/>
  <c r="B564" i="2"/>
  <c r="P539" i="1"/>
  <c r="O541" i="1"/>
  <c r="B561" i="10"/>
  <c r="B464" i="2"/>
  <c r="Q564" i="1"/>
  <c r="P572" i="1"/>
  <c r="Q574" i="1"/>
  <c r="Q583" i="1"/>
  <c r="B586" i="10"/>
  <c r="B838" i="2"/>
  <c r="Q587" i="1"/>
  <c r="B602" i="10"/>
  <c r="B723" i="2"/>
  <c r="Q607" i="1"/>
  <c r="P611" i="1"/>
  <c r="P613" i="1"/>
  <c r="Q619" i="1"/>
  <c r="O623" i="1"/>
  <c r="Q631" i="1"/>
  <c r="P633" i="1"/>
  <c r="P635" i="1"/>
  <c r="P637" i="1"/>
  <c r="O639" i="1"/>
  <c r="P645" i="1"/>
  <c r="Q647" i="1"/>
  <c r="B650" i="10"/>
  <c r="B393" i="2"/>
  <c r="Q653" i="1"/>
  <c r="Q655" i="1"/>
  <c r="O661" i="1"/>
  <c r="O690" i="1"/>
  <c r="Q692" i="1"/>
  <c r="O694" i="1"/>
  <c r="Q698" i="1"/>
  <c r="P700" i="1"/>
  <c r="B707" i="10"/>
  <c r="B706" i="2"/>
  <c r="B711" i="10"/>
  <c r="B921" i="2"/>
  <c r="Q712" i="1"/>
  <c r="O715" i="1"/>
  <c r="O731" i="1"/>
  <c r="Q739" i="1"/>
  <c r="P753" i="1"/>
  <c r="O771" i="1"/>
  <c r="Q777" i="1"/>
  <c r="P781" i="1"/>
  <c r="Q785" i="1"/>
  <c r="O787" i="1"/>
  <c r="O793" i="1"/>
  <c r="P806" i="1"/>
  <c r="O812" i="1"/>
  <c r="O817" i="1"/>
  <c r="P819" i="1"/>
  <c r="P828" i="1"/>
  <c r="B831" i="10"/>
  <c r="B866" i="2"/>
  <c r="P842" i="1"/>
  <c r="Q850" i="1"/>
  <c r="P857" i="1"/>
  <c r="Q871" i="1"/>
  <c r="Q875" i="1"/>
  <c r="P890" i="1"/>
  <c r="B895" i="10"/>
  <c r="B986" i="2"/>
  <c r="Q931" i="1"/>
  <c r="P951" i="1"/>
  <c r="P961" i="1"/>
  <c r="O963" i="1"/>
  <c r="P969" i="1"/>
  <c r="O974" i="1"/>
  <c r="P979" i="1"/>
  <c r="B988" i="10"/>
  <c r="B962" i="2"/>
  <c r="Q992" i="1"/>
  <c r="P994" i="1"/>
  <c r="Q998" i="1"/>
  <c r="O1002" i="1"/>
  <c r="Q1004" i="1"/>
  <c r="O1019" i="1"/>
  <c r="O1021" i="1"/>
  <c r="O1024" i="1"/>
  <c r="P1026" i="1"/>
  <c r="O1029" i="1"/>
  <c r="O1036" i="1"/>
  <c r="Q1043" i="1"/>
  <c r="B1055" i="10"/>
  <c r="B1054" i="2"/>
  <c r="Q1073" i="1"/>
  <c r="O1075" i="1"/>
  <c r="Q1083" i="1"/>
  <c r="O1093" i="1"/>
  <c r="O1099" i="1"/>
  <c r="B1109" i="10"/>
  <c r="B1112" i="2"/>
  <c r="B1120" i="10"/>
  <c r="B1124" i="2"/>
  <c r="Q1134" i="1"/>
  <c r="Q1136" i="1"/>
  <c r="Q1138" i="1"/>
  <c r="B1141" i="10"/>
  <c r="B1146" i="2"/>
  <c r="Q1154" i="1"/>
  <c r="P1161" i="1"/>
  <c r="Q1172" i="1"/>
  <c r="B1175" i="10"/>
  <c r="B1181" i="2"/>
  <c r="Q1182" i="1"/>
  <c r="B66" i="2"/>
  <c r="B130" i="2"/>
  <c r="J1180" i="5"/>
  <c r="J8" i="5"/>
  <c r="J35" i="5"/>
  <c r="J75" i="5"/>
  <c r="J82" i="5"/>
  <c r="J88" i="5"/>
  <c r="J95" i="5"/>
  <c r="J322" i="5"/>
  <c r="B701" i="10"/>
  <c r="B391" i="2"/>
  <c r="O709" i="1"/>
  <c r="Q725" i="1"/>
  <c r="P731" i="1"/>
  <c r="Q735" i="1"/>
  <c r="O744" i="1"/>
  <c r="O751" i="1"/>
  <c r="Q755" i="1"/>
  <c r="O761" i="1"/>
  <c r="O765" i="1"/>
  <c r="O775" i="1"/>
  <c r="O777" i="1"/>
  <c r="O783" i="1"/>
  <c r="P793" i="1"/>
  <c r="O804" i="1"/>
  <c r="Q819" i="1"/>
  <c r="Q828" i="1"/>
  <c r="O831" i="1"/>
  <c r="O838" i="1"/>
  <c r="Q842" i="1"/>
  <c r="O844" i="1"/>
  <c r="Q846" i="1"/>
  <c r="Q848" i="1"/>
  <c r="Q863" i="1"/>
  <c r="O865" i="1"/>
  <c r="P882" i="1"/>
  <c r="Q888" i="1"/>
  <c r="Q896" i="1"/>
  <c r="O899" i="1"/>
  <c r="O905" i="1"/>
  <c r="O910" i="1"/>
  <c r="Q924" i="1"/>
  <c r="P926" i="1"/>
  <c r="B929" i="10"/>
  <c r="B868" i="2"/>
  <c r="P937" i="1"/>
  <c r="Q965" i="1"/>
  <c r="Q981" i="1"/>
  <c r="O985" i="1"/>
  <c r="B993" i="10"/>
  <c r="B1115" i="2"/>
  <c r="O994" i="1"/>
  <c r="O998" i="1"/>
  <c r="Q1002" i="1"/>
  <c r="O1012" i="1"/>
  <c r="P1015" i="1"/>
  <c r="P1017" i="1"/>
  <c r="Q1021" i="1"/>
  <c r="Q1031" i="1"/>
  <c r="Q1038" i="1"/>
  <c r="P1051" i="1"/>
  <c r="B1068" i="10"/>
  <c r="B1068" i="2"/>
  <c r="O1069" i="1"/>
  <c r="Q1071" i="1"/>
  <c r="B1074" i="10"/>
  <c r="B1074" i="2"/>
  <c r="B1076" i="10"/>
  <c r="B1076" i="2"/>
  <c r="Q1079" i="1"/>
  <c r="Q1081" i="1"/>
  <c r="O1083" i="1"/>
  <c r="Q1090" i="1"/>
  <c r="O1113" i="1"/>
  <c r="P1117" i="1"/>
  <c r="Q1132" i="1"/>
  <c r="B1137" i="10"/>
  <c r="B1142" i="2"/>
  <c r="O1147" i="1"/>
  <c r="B1150" i="10"/>
  <c r="B1155" i="2"/>
  <c r="Q1152" i="1"/>
  <c r="P1170" i="1"/>
  <c r="O1182" i="1"/>
  <c r="O1189" i="1"/>
  <c r="B1194" i="10"/>
  <c r="B1200" i="2"/>
  <c r="B239" i="2"/>
  <c r="B604" i="2"/>
  <c r="J123" i="5"/>
  <c r="J212" i="5"/>
  <c r="J301" i="5"/>
  <c r="J629" i="5"/>
  <c r="J818" i="5"/>
  <c r="J832" i="5"/>
  <c r="J846" i="5"/>
  <c r="Q28" i="1"/>
  <c r="B111" i="10"/>
  <c r="B245" i="2"/>
  <c r="O168" i="1"/>
  <c r="B344" i="10"/>
  <c r="B502" i="2"/>
  <c r="Q704" i="1"/>
  <c r="Q930" i="1"/>
  <c r="J33" i="5"/>
  <c r="Q14" i="1"/>
  <c r="B16" i="10"/>
  <c r="B121" i="2"/>
  <c r="B34" i="10"/>
  <c r="B7" i="2"/>
  <c r="Q35" i="1"/>
  <c r="B39" i="10"/>
  <c r="B864" i="2"/>
  <c r="O52" i="1"/>
  <c r="B59" i="10"/>
  <c r="B38" i="2"/>
  <c r="B64" i="10"/>
  <c r="B92" i="2"/>
  <c r="O65" i="1"/>
  <c r="B69" i="10"/>
  <c r="B145" i="2"/>
  <c r="Q70" i="1"/>
  <c r="O82" i="1"/>
  <c r="O84" i="1"/>
  <c r="P88" i="1"/>
  <c r="B111" i="2"/>
  <c r="B90" i="10"/>
  <c r="B92" i="10"/>
  <c r="B384" i="2"/>
  <c r="Q93" i="1"/>
  <c r="B110" i="10"/>
  <c r="B16" i="2"/>
  <c r="Q111" i="1"/>
  <c r="P126" i="1"/>
  <c r="O145" i="1"/>
  <c r="Q147" i="1"/>
  <c r="P152" i="1"/>
  <c r="P158" i="1"/>
  <c r="O165" i="1"/>
  <c r="O178" i="1"/>
  <c r="P185" i="1"/>
  <c r="O191" i="1"/>
  <c r="O197" i="1"/>
  <c r="O202" i="1"/>
  <c r="Q209" i="1"/>
  <c r="O213" i="1"/>
  <c r="O222" i="1"/>
  <c r="O228" i="1"/>
  <c r="B245" i="10"/>
  <c r="B530" i="2"/>
  <c r="B253" i="10"/>
  <c r="B443" i="2"/>
  <c r="O256" i="1"/>
  <c r="Q260" i="1"/>
  <c r="O262" i="1"/>
  <c r="Q269" i="1"/>
  <c r="Q271" i="1"/>
  <c r="O283" i="1"/>
  <c r="B299" i="10"/>
  <c r="B977" i="2"/>
  <c r="B307" i="10"/>
  <c r="B331" i="2"/>
  <c r="P308" i="1"/>
  <c r="P312" i="1"/>
  <c r="O314" i="1"/>
  <c r="O329" i="1"/>
  <c r="B337" i="10"/>
  <c r="B43" i="2"/>
  <c r="O344" i="1"/>
  <c r="B349" i="10"/>
  <c r="B103" i="2"/>
  <c r="P350" i="1"/>
  <c r="Q352" i="1"/>
  <c r="O354" i="1"/>
  <c r="O356" i="1"/>
  <c r="P369" i="1"/>
  <c r="P373" i="1"/>
  <c r="O377" i="1"/>
  <c r="P381" i="1"/>
  <c r="P383" i="1"/>
  <c r="B389" i="10"/>
  <c r="B722" i="2"/>
  <c r="P392" i="1"/>
  <c r="B397" i="10"/>
  <c r="B794" i="2"/>
  <c r="Q398" i="1"/>
  <c r="P404" i="1"/>
  <c r="O413" i="1"/>
  <c r="Q417" i="1"/>
  <c r="Q423" i="1"/>
  <c r="O425" i="1"/>
  <c r="Q427" i="1"/>
  <c r="P431" i="1"/>
  <c r="Q461" i="1"/>
  <c r="O465" i="1"/>
  <c r="O473" i="1"/>
  <c r="B475" i="10"/>
  <c r="B643" i="2"/>
  <c r="O494" i="1"/>
  <c r="Q507" i="1"/>
  <c r="Q509" i="1"/>
  <c r="B517" i="10"/>
  <c r="B476" i="2"/>
  <c r="O522" i="1"/>
  <c r="O524" i="1"/>
  <c r="O536" i="1"/>
  <c r="B540" i="10"/>
  <c r="B471" i="2"/>
  <c r="P551" i="1"/>
  <c r="O564" i="1"/>
  <c r="Q570" i="1"/>
  <c r="O572" i="1"/>
  <c r="P582" i="1"/>
  <c r="B594" i="10"/>
  <c r="B491" i="2"/>
  <c r="B596" i="10"/>
  <c r="B810" i="2"/>
  <c r="B606" i="10"/>
  <c r="B770" i="2"/>
  <c r="O607" i="1"/>
  <c r="P609" i="1"/>
  <c r="O613" i="1"/>
  <c r="B620" i="10"/>
  <c r="B110" i="2"/>
  <c r="B622" i="10"/>
  <c r="B694" i="2"/>
  <c r="O627" i="1"/>
  <c r="O629" i="1"/>
  <c r="Q633" i="1"/>
  <c r="O635" i="1"/>
  <c r="O637" i="1"/>
  <c r="Q641" i="1"/>
  <c r="O645" i="1"/>
  <c r="O655" i="1"/>
  <c r="P661" i="1"/>
  <c r="Q663" i="1"/>
  <c r="P675" i="1"/>
  <c r="P677" i="1"/>
  <c r="O679" i="1"/>
  <c r="P681" i="1"/>
  <c r="P690" i="1"/>
  <c r="P694" i="1"/>
  <c r="B699" i="10"/>
  <c r="B830" i="2"/>
  <c r="P705" i="1"/>
  <c r="B713" i="10"/>
  <c r="B808" i="2"/>
  <c r="Q727" i="1"/>
  <c r="B740" i="10"/>
  <c r="B925" i="2"/>
  <c r="Q741" i="1"/>
  <c r="O749" i="1"/>
  <c r="O757" i="1"/>
  <c r="P963" i="1"/>
  <c r="B3" i="10"/>
  <c r="B356" i="2"/>
  <c r="B8" i="10"/>
  <c r="B4" i="2"/>
  <c r="O12" i="1"/>
  <c r="O19" i="1"/>
  <c r="Q22" i="1"/>
  <c r="O27" i="1"/>
  <c r="Q30" i="1"/>
  <c r="O35" i="1"/>
  <c r="Q43" i="1"/>
  <c r="B47" i="10"/>
  <c r="B619" i="2"/>
  <c r="Q55" i="1"/>
  <c r="P57" i="1"/>
  <c r="O59" i="1"/>
  <c r="O67" i="1"/>
  <c r="Q75" i="1"/>
  <c r="Q77" i="1"/>
  <c r="P95" i="1"/>
  <c r="P99" i="1"/>
  <c r="B101" i="10"/>
  <c r="B177" i="2"/>
  <c r="O102" i="1"/>
  <c r="O111" i="1"/>
  <c r="B125" i="10"/>
  <c r="B246" i="2"/>
  <c r="O126" i="1"/>
  <c r="B140" i="10"/>
  <c r="B220" i="2"/>
  <c r="Q141" i="1"/>
  <c r="Q145" i="1"/>
  <c r="B151" i="10"/>
  <c r="B58" i="2"/>
  <c r="Q152" i="1"/>
  <c r="Q165" i="1"/>
  <c r="O171" i="1"/>
  <c r="Q172" i="1"/>
  <c r="Q174" i="1"/>
  <c r="P180" i="1"/>
  <c r="B182" i="10"/>
  <c r="B81" i="2"/>
  <c r="Q185" i="1"/>
  <c r="O189" i="1"/>
  <c r="P193" i="1"/>
  <c r="O206" i="1"/>
  <c r="P213" i="1"/>
  <c r="B223" i="10"/>
  <c r="B365" i="2"/>
  <c r="O224" i="1"/>
  <c r="O226" i="1"/>
  <c r="Q228" i="1"/>
  <c r="Q239" i="1"/>
  <c r="P243" i="1"/>
  <c r="O245" i="1"/>
  <c r="Q256" i="1"/>
  <c r="B266" i="10"/>
  <c r="B519" i="2"/>
  <c r="Q267" i="1"/>
  <c r="O273" i="1"/>
  <c r="O275" i="1"/>
  <c r="B278" i="10"/>
  <c r="B98" i="2"/>
  <c r="O281" i="1"/>
  <c r="P283" i="1"/>
  <c r="O287" i="1"/>
  <c r="B301" i="10"/>
  <c r="B450" i="2"/>
  <c r="O308" i="1"/>
  <c r="Q310" i="1"/>
  <c r="Q312" i="1"/>
  <c r="B320" i="10"/>
  <c r="B113" i="2"/>
  <c r="O323" i="1"/>
  <c r="P333" i="1"/>
  <c r="Q338" i="1"/>
  <c r="O350" i="1"/>
  <c r="Q354" i="1"/>
  <c r="O362" i="1"/>
  <c r="B368" i="10"/>
  <c r="B418" i="2"/>
  <c r="Q369" i="1"/>
  <c r="O375" i="1"/>
  <c r="O383" i="1"/>
  <c r="Q385" i="1"/>
  <c r="O389" i="1"/>
  <c r="B391" i="10"/>
  <c r="B527" i="2"/>
  <c r="B393" i="10"/>
  <c r="B904" i="2"/>
  <c r="Q402" i="1"/>
  <c r="O404" i="1"/>
  <c r="O417" i="1"/>
  <c r="O421" i="1"/>
  <c r="Q425" i="1"/>
  <c r="Q440" i="1"/>
  <c r="P446" i="1"/>
  <c r="Q452" i="1"/>
  <c r="O458" i="1"/>
  <c r="P473" i="1"/>
  <c r="O480" i="1"/>
  <c r="O482" i="1"/>
  <c r="O484" i="1"/>
  <c r="P488" i="1"/>
  <c r="Q490" i="1"/>
  <c r="P494" i="1"/>
  <c r="O500" i="1"/>
  <c r="P502" i="1"/>
  <c r="B504" i="10"/>
  <c r="B394" i="2"/>
  <c r="Q520" i="1"/>
  <c r="Q522" i="1"/>
  <c r="O526" i="1"/>
  <c r="P530" i="1"/>
  <c r="Q532" i="1"/>
  <c r="P544" i="1"/>
  <c r="B546" i="10"/>
  <c r="B674" i="2"/>
  <c r="O551" i="1"/>
  <c r="Q557" i="1"/>
  <c r="P561" i="1"/>
  <c r="Q568" i="1"/>
  <c r="B573" i="10"/>
  <c r="B765" i="2"/>
  <c r="O574" i="1"/>
  <c r="O576" i="1"/>
  <c r="O584" i="1"/>
  <c r="O592" i="1"/>
  <c r="O596" i="1"/>
  <c r="P600" i="1"/>
  <c r="B608" i="10"/>
  <c r="B551" i="2"/>
  <c r="B610" i="10"/>
  <c r="B700" i="2"/>
  <c r="B614" i="10"/>
  <c r="B657" i="2"/>
  <c r="Q615" i="1"/>
  <c r="O620" i="1"/>
  <c r="Q627" i="1"/>
  <c r="B634" i="10"/>
  <c r="B139" i="2"/>
  <c r="B636" i="10"/>
  <c r="B669" i="2"/>
  <c r="B638" i="10"/>
  <c r="B756" i="2"/>
  <c r="Q639" i="1"/>
  <c r="Q643" i="1"/>
  <c r="Q645" i="1"/>
  <c r="O659" i="1"/>
  <c r="Q661" i="1"/>
  <c r="O663" i="1"/>
  <c r="O665" i="1"/>
  <c r="O669" i="1"/>
  <c r="O671" i="1"/>
  <c r="Q675" i="1"/>
  <c r="O677" i="1"/>
  <c r="Q681" i="1"/>
  <c r="Q690" i="1"/>
  <c r="Q694" i="1"/>
  <c r="Q705" i="1"/>
  <c r="Q719" i="1"/>
  <c r="Q721" i="1"/>
  <c r="O727" i="1"/>
  <c r="O733" i="1"/>
  <c r="O735" i="1"/>
  <c r="Q737" i="1"/>
  <c r="O755" i="1"/>
  <c r="Q757" i="1"/>
  <c r="O763" i="1"/>
  <c r="P765" i="1"/>
  <c r="B774" i="10"/>
  <c r="B813" i="2"/>
  <c r="Q779" i="1"/>
  <c r="O786" i="1"/>
  <c r="B788" i="10"/>
  <c r="B704" i="2"/>
  <c r="Q789" i="1"/>
  <c r="B792" i="10"/>
  <c r="B661" i="2"/>
  <c r="O800" i="1"/>
  <c r="O802" i="1"/>
  <c r="B818" i="10"/>
  <c r="B877" i="2"/>
  <c r="Q826" i="1"/>
  <c r="B837" i="10"/>
  <c r="B895" i="2"/>
  <c r="Q840" i="1"/>
  <c r="O842" i="1"/>
  <c r="Q844" i="1"/>
  <c r="O848" i="1"/>
  <c r="O855" i="1"/>
  <c r="O857" i="1"/>
  <c r="O859" i="1"/>
  <c r="P865" i="1"/>
  <c r="P874" i="1"/>
  <c r="O880" i="1"/>
  <c r="B883" i="10"/>
  <c r="B834" i="2"/>
  <c r="O884" i="1"/>
  <c r="P888" i="1"/>
  <c r="P899" i="1"/>
  <c r="O901" i="1"/>
  <c r="Q903" i="1"/>
  <c r="Q905" i="1"/>
  <c r="Q907" i="1"/>
  <c r="O918" i="1"/>
  <c r="P931" i="1"/>
  <c r="Q937" i="1"/>
  <c r="O959" i="1"/>
  <c r="O961" i="1"/>
  <c r="P972" i="1"/>
  <c r="Q985" i="1"/>
  <c r="P990" i="1"/>
  <c r="B1001" i="10"/>
  <c r="B999" i="2"/>
  <c r="Q1007" i="1"/>
  <c r="Q1017" i="1"/>
  <c r="Q1019" i="1"/>
  <c r="B1027" i="10"/>
  <c r="B1025" i="2"/>
  <c r="Q1029" i="1"/>
  <c r="Q1033" i="1"/>
  <c r="Q1069" i="1"/>
  <c r="Q1095" i="1"/>
  <c r="O1097" i="1"/>
  <c r="B1100" i="10"/>
  <c r="B1102" i="2"/>
  <c r="Q1101" i="1"/>
  <c r="P1106" i="1"/>
  <c r="Q1111" i="1"/>
  <c r="Q1113" i="1"/>
  <c r="Q1124" i="1"/>
  <c r="Q1126" i="1"/>
  <c r="O1128" i="1"/>
  <c r="P1130" i="1"/>
  <c r="P1145" i="1"/>
  <c r="O1150" i="1"/>
  <c r="Q1159" i="1"/>
  <c r="O1168" i="1"/>
  <c r="B9" i="2"/>
  <c r="B70" i="2"/>
  <c r="B290" i="2"/>
  <c r="B329" i="2"/>
  <c r="B658" i="2"/>
  <c r="B819" i="2"/>
  <c r="B1058" i="2"/>
  <c r="J29" i="5"/>
  <c r="J198" i="5"/>
  <c r="J609" i="5"/>
  <c r="B776" i="10"/>
  <c r="B745" i="2"/>
  <c r="Q783" i="1"/>
  <c r="O796" i="1"/>
  <c r="Q798" i="1"/>
  <c r="Q802" i="1"/>
  <c r="B805" i="10"/>
  <c r="B482" i="2"/>
  <c r="O810" i="1"/>
  <c r="P812" i="1"/>
  <c r="Q838" i="1"/>
  <c r="O840" i="1"/>
  <c r="B845" i="10"/>
  <c r="B951" i="2"/>
  <c r="B849" i="10"/>
  <c r="B556" i="2"/>
  <c r="P851" i="1"/>
  <c r="O853" i="1"/>
  <c r="P855" i="1"/>
  <c r="Q857" i="1"/>
  <c r="Q859" i="1"/>
  <c r="Q874" i="1"/>
  <c r="P880" i="1"/>
  <c r="Q886" i="1"/>
  <c r="O891" i="1"/>
  <c r="B904" i="10"/>
  <c r="B602" i="2"/>
  <c r="B908" i="10"/>
  <c r="B863" i="2"/>
  <c r="Q910" i="1"/>
  <c r="O916" i="1"/>
  <c r="O920" i="1"/>
  <c r="P924" i="1"/>
  <c r="P929" i="1"/>
  <c r="O937" i="1"/>
  <c r="O957" i="1"/>
  <c r="Q963" i="1"/>
  <c r="P970" i="1"/>
  <c r="O997" i="1"/>
  <c r="P1005" i="1"/>
  <c r="P1007" i="1"/>
  <c r="P1010" i="1"/>
  <c r="O1027" i="1"/>
  <c r="Q1041" i="1"/>
  <c r="B1049" i="10"/>
  <c r="B1048" i="2"/>
  <c r="O1051" i="1"/>
  <c r="O1066" i="1"/>
  <c r="O1084" i="1"/>
  <c r="B1096" i="10"/>
  <c r="B1097" i="2"/>
  <c r="O1111" i="1"/>
  <c r="P1122" i="1"/>
  <c r="O1126" i="1"/>
  <c r="Q1128" i="1"/>
  <c r="P1155" i="1"/>
  <c r="P1168" i="1"/>
  <c r="P1185" i="1"/>
  <c r="Q1187" i="1"/>
  <c r="B244" i="2"/>
  <c r="B490" i="2"/>
  <c r="B620" i="2"/>
  <c r="B721" i="2"/>
  <c r="J9" i="5"/>
  <c r="J63" i="5"/>
  <c r="J117" i="5"/>
  <c r="J178" i="5"/>
  <c r="J267" i="5"/>
  <c r="J700" i="5"/>
  <c r="B706" i="10"/>
  <c r="B428" i="2"/>
  <c r="Q715" i="1"/>
  <c r="P719" i="1"/>
  <c r="O721" i="1"/>
  <c r="P723" i="1"/>
  <c r="B732" i="10"/>
  <c r="B833" i="2"/>
  <c r="B734" i="10"/>
  <c r="B719" i="2"/>
  <c r="O738" i="1"/>
  <c r="P754" i="1"/>
  <c r="B760" i="10"/>
  <c r="B767" i="2"/>
  <c r="B764" i="10"/>
  <c r="B909" i="2"/>
  <c r="P774" i="1"/>
  <c r="O780" i="1"/>
  <c r="O794" i="1"/>
  <c r="B797" i="10"/>
  <c r="B180" i="2"/>
  <c r="O798" i="1"/>
  <c r="B803" i="10"/>
  <c r="B747" i="2"/>
  <c r="O806" i="1"/>
  <c r="P820" i="1"/>
  <c r="O826" i="1"/>
  <c r="P829" i="1"/>
  <c r="P835" i="1"/>
  <c r="Q851" i="1"/>
  <c r="Q855" i="1"/>
  <c r="B860" i="10"/>
  <c r="B646" i="2"/>
  <c r="Q865" i="1"/>
  <c r="O886" i="1"/>
  <c r="P891" i="1"/>
  <c r="B902" i="10"/>
  <c r="B943" i="2"/>
  <c r="O908" i="1"/>
  <c r="O914" i="1"/>
  <c r="Q922" i="1"/>
  <c r="O924" i="1"/>
  <c r="O939" i="1"/>
  <c r="P941" i="1"/>
  <c r="Q943" i="1"/>
  <c r="O945" i="1"/>
  <c r="O947" i="1"/>
  <c r="P949" i="1"/>
  <c r="O951" i="1"/>
  <c r="O972" i="1"/>
  <c r="O988" i="1"/>
  <c r="Q1005" i="1"/>
  <c r="P1022" i="1"/>
  <c r="P1027" i="1"/>
  <c r="Q1036" i="1"/>
  <c r="O1041" i="1"/>
  <c r="O1049" i="1"/>
  <c r="Q1053" i="1"/>
  <c r="O1057" i="1"/>
  <c r="O1061" i="1"/>
  <c r="O1064" i="1"/>
  <c r="O1088" i="1"/>
  <c r="P1091" i="1"/>
  <c r="O1098" i="1"/>
  <c r="O1107" i="1"/>
  <c r="B1125" i="10"/>
  <c r="B1130" i="2"/>
  <c r="B1127" i="10"/>
  <c r="B1132" i="2"/>
  <c r="B1129" i="10"/>
  <c r="B1134" i="2"/>
  <c r="O1141" i="1"/>
  <c r="Q1143" i="1"/>
  <c r="B1153" i="10"/>
  <c r="B1158" i="2"/>
  <c r="Q1157" i="1"/>
  <c r="Q1162" i="1"/>
  <c r="P1164" i="1"/>
  <c r="Q1168" i="1"/>
  <c r="B1178" i="10"/>
  <c r="B1184" i="2"/>
  <c r="O1180" i="1"/>
  <c r="B18" i="2"/>
  <c r="B724" i="2"/>
  <c r="B1100" i="2"/>
  <c r="B1165" i="2"/>
  <c r="J504" i="5"/>
  <c r="J57" i="5"/>
  <c r="J131" i="5"/>
  <c r="J547" i="5"/>
  <c r="J589" i="5"/>
  <c r="Q87" i="1"/>
  <c r="O148" i="1"/>
  <c r="P361" i="1"/>
  <c r="B440" i="10"/>
  <c r="B612" i="2"/>
  <c r="O523" i="1"/>
  <c r="P666" i="1"/>
  <c r="Q801" i="1"/>
  <c r="Q32" i="1"/>
  <c r="B44" i="10"/>
  <c r="B8" i="2"/>
  <c r="B56" i="10"/>
  <c r="B284" i="2"/>
  <c r="O74" i="1"/>
  <c r="O101" i="1"/>
  <c r="B112" i="10"/>
  <c r="B45" i="2"/>
  <c r="Q119" i="1"/>
  <c r="O128" i="1"/>
  <c r="O167" i="1"/>
  <c r="Q178" i="1"/>
  <c r="B210" i="10"/>
  <c r="B776" i="2"/>
  <c r="B229" i="10"/>
  <c r="B114" i="2"/>
  <c r="O255" i="1"/>
  <c r="O297" i="1"/>
  <c r="Q356" i="1"/>
  <c r="B370" i="10"/>
  <c r="B265" i="2"/>
  <c r="Q381" i="1"/>
  <c r="O395" i="1"/>
  <c r="O401" i="1"/>
  <c r="B424" i="10"/>
  <c r="B398" i="2"/>
  <c r="P435" i="1"/>
  <c r="Q450" i="1"/>
  <c r="B462" i="10"/>
  <c r="B460" i="2"/>
  <c r="P471" i="1"/>
  <c r="O488" i="1"/>
  <c r="B508" i="10"/>
  <c r="B741" i="2"/>
  <c r="O511" i="1"/>
  <c r="P528" i="1"/>
  <c r="O548" i="1"/>
  <c r="O553" i="1"/>
  <c r="B579" i="10"/>
  <c r="B584" i="2"/>
  <c r="O588" i="1"/>
  <c r="P596" i="1"/>
  <c r="B616" i="10"/>
  <c r="B789" i="2"/>
  <c r="Q629" i="1"/>
  <c r="B644" i="10"/>
  <c r="B469" i="2"/>
  <c r="B662" i="10"/>
  <c r="B846" i="2"/>
  <c r="B691" i="10"/>
  <c r="B552" i="2"/>
  <c r="P701" i="1"/>
  <c r="O729" i="1"/>
  <c r="Q765" i="1"/>
  <c r="O774" i="1"/>
  <c r="O14" i="1"/>
  <c r="O31" i="1"/>
  <c r="O50" i="1"/>
  <c r="O62" i="1"/>
  <c r="B78" i="10"/>
  <c r="B107" i="2"/>
  <c r="Q97" i="1"/>
  <c r="Q106" i="1"/>
  <c r="P123" i="1"/>
  <c r="Q138" i="1"/>
  <c r="O147" i="1"/>
  <c r="B153" i="10"/>
  <c r="B204" i="2"/>
  <c r="Q156" i="1"/>
  <c r="B190" i="10"/>
  <c r="B492" i="2"/>
  <c r="B203" i="10"/>
  <c r="B785" i="2"/>
  <c r="Q245" i="1"/>
  <c r="P249" i="1"/>
  <c r="P285" i="1"/>
  <c r="Q299" i="1"/>
  <c r="P331" i="1"/>
  <c r="O347" i="1"/>
  <c r="O353" i="1"/>
  <c r="Q360" i="1"/>
  <c r="O372" i="1"/>
  <c r="B382" i="10"/>
  <c r="B461" i="2"/>
  <c r="O406" i="1"/>
  <c r="P410" i="1"/>
  <c r="B420" i="10"/>
  <c r="B367" i="2"/>
  <c r="O424" i="1"/>
  <c r="O427" i="1"/>
  <c r="O433" i="1"/>
  <c r="B441" i="10"/>
  <c r="B948" i="2"/>
  <c r="O450" i="1"/>
  <c r="B489" i="10"/>
  <c r="B616" i="2"/>
  <c r="O521" i="1"/>
  <c r="B531" i="10"/>
  <c r="B254" i="2"/>
  <c r="O532" i="1"/>
  <c r="P536" i="1"/>
  <c r="P542" i="1"/>
  <c r="O557" i="1"/>
  <c r="Q559" i="1"/>
  <c r="O567" i="1"/>
  <c r="P642" i="1"/>
  <c r="O648" i="1"/>
  <c r="Q652" i="1"/>
  <c r="O662" i="1"/>
  <c r="B670" i="10"/>
  <c r="B463" i="2"/>
  <c r="O695" i="1"/>
  <c r="B5" i="10"/>
  <c r="B86" i="2"/>
  <c r="Q9" i="1"/>
  <c r="B28" i="10"/>
  <c r="B100" i="2"/>
  <c r="Q29" i="1"/>
  <c r="O39" i="1"/>
  <c r="Q40" i="1"/>
  <c r="O64" i="1"/>
  <c r="Q72" i="1"/>
  <c r="P76" i="1"/>
  <c r="Q79" i="1"/>
  <c r="P83" i="1"/>
  <c r="O85" i="1"/>
  <c r="O86" i="1"/>
  <c r="O92" i="1"/>
  <c r="O106" i="1"/>
  <c r="B116" i="10"/>
  <c r="B83" i="2"/>
  <c r="O117" i="1"/>
  <c r="Q128" i="1"/>
  <c r="O130" i="1"/>
  <c r="O132" i="1"/>
  <c r="Q140" i="1"/>
  <c r="O156" i="1"/>
  <c r="O164" i="1"/>
  <c r="P166" i="1"/>
  <c r="Q167" i="1"/>
  <c r="Q169" i="1"/>
  <c r="Q176" i="1"/>
  <c r="Q182" i="1"/>
  <c r="Q195" i="1"/>
  <c r="P206" i="1"/>
  <c r="O217" i="1"/>
  <c r="Q238" i="1"/>
  <c r="P245" i="1"/>
  <c r="O249" i="1"/>
  <c r="O289" i="1"/>
  <c r="Q305" i="1"/>
  <c r="O327" i="1"/>
  <c r="O337" i="1"/>
  <c r="P347" i="1"/>
  <c r="P364" i="1"/>
  <c r="O416" i="1"/>
  <c r="P424" i="1"/>
  <c r="B432" i="10"/>
  <c r="B444" i="2"/>
  <c r="O435" i="1"/>
  <c r="O441" i="1"/>
  <c r="P456" i="1"/>
  <c r="B466" i="10"/>
  <c r="B559" i="2"/>
  <c r="B468" i="10"/>
  <c r="B466" i="2"/>
  <c r="O471" i="1"/>
  <c r="O475" i="1"/>
  <c r="O479" i="1"/>
  <c r="B487" i="10"/>
  <c r="B358" i="2"/>
  <c r="B491" i="10"/>
  <c r="B357" i="2"/>
  <c r="P498" i="1"/>
  <c r="Q504" i="1"/>
  <c r="B512" i="10"/>
  <c r="B934" i="2"/>
  <c r="O517" i="1"/>
  <c r="B525" i="10"/>
  <c r="B520" i="2"/>
  <c r="P534" i="1"/>
  <c r="Q546" i="1"/>
  <c r="B554" i="10"/>
  <c r="B718" i="2"/>
  <c r="O555" i="1"/>
  <c r="O559" i="1"/>
  <c r="P571" i="1"/>
  <c r="P586" i="1"/>
  <c r="Q588" i="1"/>
  <c r="O590" i="1"/>
  <c r="P592" i="1"/>
  <c r="O594" i="1"/>
  <c r="Q598" i="1"/>
  <c r="O604" i="1"/>
  <c r="O612" i="1"/>
  <c r="Q614" i="1"/>
  <c r="O622" i="1"/>
  <c r="O626" i="1"/>
  <c r="O630" i="1"/>
  <c r="Q642" i="1"/>
  <c r="Q650" i="1"/>
  <c r="O682" i="1"/>
  <c r="P684" i="1"/>
  <c r="P688" i="1"/>
  <c r="P691" i="1"/>
  <c r="O697" i="1"/>
  <c r="O699" i="1"/>
  <c r="O701" i="1"/>
  <c r="P707" i="1"/>
  <c r="O713" i="1"/>
  <c r="Q723" i="1"/>
  <c r="O732" i="1"/>
  <c r="P746" i="1"/>
  <c r="O748" i="1"/>
  <c r="O766" i="1"/>
  <c r="P768" i="1"/>
  <c r="P778" i="1"/>
  <c r="O784" i="1"/>
  <c r="P794" i="1"/>
  <c r="O797" i="1"/>
  <c r="B799" i="10"/>
  <c r="B965" i="2"/>
  <c r="B811" i="10"/>
  <c r="B715" i="2"/>
  <c r="Q814" i="1"/>
  <c r="O824" i="1"/>
  <c r="Q829" i="1"/>
  <c r="Q833" i="1"/>
  <c r="P843" i="1"/>
  <c r="B854" i="10"/>
  <c r="B814" i="2"/>
  <c r="B856" i="10"/>
  <c r="B615" i="2"/>
  <c r="O872" i="1"/>
  <c r="B875" i="10"/>
  <c r="B930" i="2"/>
  <c r="O876" i="1"/>
  <c r="Q884" i="1"/>
  <c r="P889" i="1"/>
  <c r="P908" i="1"/>
  <c r="B913" i="10"/>
  <c r="B940" i="2"/>
  <c r="Q916" i="1"/>
  <c r="B921" i="10"/>
  <c r="B506" i="2"/>
  <c r="O929" i="1"/>
  <c r="Q941" i="1"/>
  <c r="P947" i="1"/>
  <c r="Q949" i="1"/>
  <c r="O954" i="1"/>
  <c r="Q957" i="1"/>
  <c r="P975" i="1"/>
  <c r="O980" i="1"/>
  <c r="O1010" i="1"/>
  <c r="O1013" i="1"/>
  <c r="P1025" i="1"/>
  <c r="O1030" i="1"/>
  <c r="P1049" i="1"/>
  <c r="Q1051" i="1"/>
  <c r="Q1055" i="1"/>
  <c r="Q1057" i="1"/>
  <c r="Q1059" i="1"/>
  <c r="Q1086" i="1"/>
  <c r="Q1088" i="1"/>
  <c r="Q1093" i="1"/>
  <c r="O1123" i="1"/>
  <c r="P1133" i="1"/>
  <c r="O1153" i="1"/>
  <c r="B1158" i="10"/>
  <c r="B1164" i="2"/>
  <c r="P1162" i="1"/>
  <c r="Q1166" i="1"/>
  <c r="P1171" i="1"/>
  <c r="Q1175" i="1"/>
  <c r="Q1183" i="1"/>
  <c r="P1187" i="1"/>
  <c r="B30" i="2"/>
  <c r="B996" i="2"/>
  <c r="B1101" i="2"/>
  <c r="J241" i="5"/>
  <c r="J248" i="5"/>
  <c r="J255" i="5"/>
  <c r="J262" i="5"/>
  <c r="J548" i="5"/>
  <c r="O1149" i="1"/>
  <c r="O1187" i="1"/>
  <c r="O1161" i="1"/>
  <c r="O1158" i="1"/>
  <c r="O1055" i="1"/>
  <c r="O1103" i="1"/>
  <c r="O1005" i="1"/>
  <c r="O907" i="1"/>
  <c r="O809" i="1"/>
  <c r="O1058" i="1"/>
  <c r="O979" i="1"/>
  <c r="O949" i="1"/>
  <c r="O903" i="1"/>
  <c r="O851" i="1"/>
  <c r="O1145" i="1"/>
  <c r="O1009" i="1"/>
  <c r="O960" i="1"/>
  <c r="O941" i="1"/>
  <c r="O1047" i="1"/>
  <c r="O874" i="1"/>
  <c r="O123" i="1"/>
  <c r="O971" i="1"/>
  <c r="O881" i="1"/>
  <c r="O1117" i="1"/>
  <c r="O1039" i="1"/>
  <c r="O1183" i="1"/>
  <c r="O1162" i="1"/>
  <c r="O900" i="1"/>
  <c r="O866" i="1"/>
  <c r="O852" i="1"/>
  <c r="O836" i="1"/>
  <c r="O768" i="1"/>
  <c r="O726" i="1"/>
  <c r="O684" i="1"/>
  <c r="O843" i="1"/>
  <c r="O187" i="1"/>
  <c r="O1167" i="1"/>
  <c r="O1155" i="1"/>
  <c r="O1001" i="1"/>
  <c r="O925" i="1"/>
  <c r="O896" i="1"/>
  <c r="O862" i="1"/>
  <c r="O571" i="1"/>
  <c r="O529" i="1"/>
  <c r="O73" i="1"/>
  <c r="P159" i="1"/>
  <c r="P212" i="1"/>
  <c r="P380" i="1"/>
  <c r="P512" i="1"/>
  <c r="P730" i="1"/>
  <c r="B195" i="2"/>
  <c r="B18" i="10"/>
  <c r="Q50" i="1"/>
  <c r="B76" i="10"/>
  <c r="B155" i="2"/>
  <c r="O79" i="1"/>
  <c r="O88" i="1"/>
  <c r="O108" i="1"/>
  <c r="P121" i="1"/>
  <c r="P130" i="1"/>
  <c r="P156" i="1"/>
  <c r="B175" i="10"/>
  <c r="B55" i="2"/>
  <c r="B188" i="10"/>
  <c r="B22" i="2"/>
  <c r="O199" i="1"/>
  <c r="O221" i="1"/>
  <c r="Q329" i="1"/>
  <c r="B399" i="10"/>
  <c r="B318" i="2"/>
  <c r="B722" i="10"/>
  <c r="B553" i="2"/>
  <c r="P732" i="1"/>
  <c r="Q742" i="1"/>
  <c r="Q744" i="1"/>
  <c r="Q746" i="1"/>
  <c r="O752" i="1"/>
  <c r="Q778" i="1"/>
  <c r="O792" i="1"/>
  <c r="O799" i="1"/>
  <c r="B813" i="10"/>
  <c r="B287" i="2"/>
  <c r="O820" i="1"/>
  <c r="Q824" i="1"/>
  <c r="Q831" i="1"/>
  <c r="O833" i="1"/>
  <c r="Q870" i="1"/>
  <c r="P872" i="1"/>
  <c r="O893" i="1"/>
  <c r="O897" i="1"/>
  <c r="Q908" i="1"/>
  <c r="Q914" i="1"/>
  <c r="Q935" i="1"/>
  <c r="O952" i="1"/>
  <c r="Q968" i="1"/>
  <c r="O973" i="1"/>
  <c r="O1003" i="1"/>
  <c r="B1006" i="10"/>
  <c r="B1004" i="2"/>
  <c r="P1013" i="1"/>
  <c r="O1016" i="1"/>
  <c r="Q1018" i="1"/>
  <c r="Q1022" i="1"/>
  <c r="O1037" i="1"/>
  <c r="B1052" i="10"/>
  <c r="B1051" i="2"/>
  <c r="B1058" i="10"/>
  <c r="B1057" i="2"/>
  <c r="B1060" i="10"/>
  <c r="B1059" i="2"/>
  <c r="O1072" i="1"/>
  <c r="P1078" i="1"/>
  <c r="O1080" i="1"/>
  <c r="Q1116" i="1"/>
  <c r="P1153" i="1"/>
  <c r="Q1155" i="1"/>
  <c r="B1163" i="10"/>
  <c r="B1169" i="2"/>
  <c r="P1173" i="1"/>
  <c r="P1194" i="1"/>
  <c r="B32" i="2"/>
  <c r="B88" i="2"/>
  <c r="B212" i="2"/>
  <c r="B510" i="2"/>
  <c r="B673" i="2"/>
  <c r="B891" i="2"/>
  <c r="B946" i="2"/>
  <c r="O41" i="1"/>
  <c r="B55" i="10"/>
  <c r="B49" i="2"/>
  <c r="O78" i="1"/>
  <c r="O96" i="1"/>
  <c r="Q103" i="1"/>
  <c r="B145" i="10"/>
  <c r="B109" i="2"/>
  <c r="Q161" i="1"/>
  <c r="B174" i="10"/>
  <c r="B500" i="2"/>
  <c r="O177" i="1"/>
  <c r="Q196" i="1"/>
  <c r="O259" i="1"/>
  <c r="B277" i="10"/>
  <c r="B104" i="2"/>
  <c r="O298" i="1"/>
  <c r="O328" i="1"/>
  <c r="Q384" i="1"/>
  <c r="B417" i="10"/>
  <c r="B690" i="2"/>
  <c r="Q481" i="1"/>
  <c r="O549" i="1"/>
  <c r="Q558" i="1"/>
  <c r="B627" i="10"/>
  <c r="B197" i="2"/>
  <c r="O628" i="1"/>
  <c r="P649" i="1"/>
  <c r="B673" i="10"/>
  <c r="B533" i="2"/>
  <c r="O683" i="1"/>
  <c r="Q708" i="1"/>
  <c r="Q734" i="1"/>
  <c r="P795" i="1"/>
  <c r="O805" i="1"/>
  <c r="P821" i="1"/>
  <c r="O827" i="1"/>
  <c r="O854" i="1"/>
  <c r="Q862" i="1"/>
  <c r="O898" i="1"/>
  <c r="P915" i="1"/>
  <c r="O921" i="1"/>
  <c r="Q944" i="1"/>
  <c r="Q952" i="1"/>
  <c r="O958" i="1"/>
  <c r="O9" i="1"/>
  <c r="B31" i="10"/>
  <c r="B494" i="2"/>
  <c r="B36" i="10"/>
  <c r="B404" i="2"/>
  <c r="O40" i="1"/>
  <c r="O45" i="1"/>
  <c r="O72" i="1"/>
  <c r="O95" i="1"/>
  <c r="O104" i="1"/>
  <c r="P117" i="1"/>
  <c r="B127" i="10"/>
  <c r="B125" i="2"/>
  <c r="P132" i="1"/>
  <c r="B146" i="10"/>
  <c r="B105" i="2"/>
  <c r="O152" i="1"/>
  <c r="B166" i="10"/>
  <c r="B29" i="2"/>
  <c r="O169" i="1"/>
  <c r="O176" i="1"/>
  <c r="B186" i="10"/>
  <c r="B286" i="2"/>
  <c r="Q191" i="1"/>
  <c r="O195" i="1"/>
  <c r="P204" i="1"/>
  <c r="Q249" i="1"/>
  <c r="O258" i="1"/>
  <c r="B270" i="10"/>
  <c r="B655" i="2"/>
  <c r="P299" i="1"/>
  <c r="O312" i="1"/>
  <c r="P327" i="1"/>
  <c r="O358" i="1"/>
  <c r="Q362" i="1"/>
  <c r="B372" i="10"/>
  <c r="B194" i="2"/>
  <c r="O373" i="1"/>
  <c r="O379" i="1"/>
  <c r="B405" i="10"/>
  <c r="B688" i="2"/>
  <c r="B418" i="10"/>
  <c r="B119" i="2"/>
  <c r="B426" i="10"/>
  <c r="B544" i="2"/>
  <c r="O429" i="1"/>
  <c r="O437" i="1"/>
  <c r="O446" i="1"/>
  <c r="P452" i="1"/>
  <c r="Q456" i="1"/>
  <c r="Q465" i="1"/>
  <c r="Q467" i="1"/>
  <c r="O477" i="1"/>
  <c r="P486" i="1"/>
  <c r="P490" i="1"/>
  <c r="P492" i="1"/>
  <c r="O519" i="1"/>
  <c r="O530" i="1"/>
  <c r="O542" i="1"/>
  <c r="B552" i="10"/>
  <c r="B576" i="2"/>
  <c r="P557" i="1"/>
  <c r="O563" i="1"/>
  <c r="B567" i="10"/>
  <c r="B253" i="2"/>
  <c r="B571" i="10"/>
  <c r="B473" i="2"/>
  <c r="Q580" i="1"/>
  <c r="P584" i="1"/>
  <c r="Q600" i="1"/>
  <c r="P620" i="1"/>
  <c r="B628" i="10"/>
  <c r="B304" i="2"/>
  <c r="O638" i="1"/>
  <c r="P652" i="1"/>
  <c r="B658" i="10"/>
  <c r="B478" i="2"/>
  <c r="B664" i="10"/>
  <c r="B484" i="2"/>
  <c r="O667" i="1"/>
  <c r="B676" i="10"/>
  <c r="B635" i="2"/>
  <c r="B680" i="10"/>
  <c r="B707" i="2"/>
  <c r="P697" i="1"/>
  <c r="O705" i="1"/>
  <c r="O723" i="1"/>
  <c r="P735" i="1"/>
  <c r="B750" i="10"/>
  <c r="B406" i="2"/>
  <c r="Q761" i="1"/>
  <c r="O37" i="1"/>
  <c r="O42" i="1"/>
  <c r="P47" i="1"/>
  <c r="B66" i="10"/>
  <c r="B355" i="2"/>
  <c r="B85" i="10"/>
  <c r="B25" i="2"/>
  <c r="Q86" i="1"/>
  <c r="B96" i="10"/>
  <c r="B257" i="2"/>
  <c r="B278" i="2"/>
  <c r="B103" i="10"/>
  <c r="B194" i="10"/>
  <c r="B77" i="2"/>
  <c r="O204" i="1"/>
  <c r="P215" i="1"/>
  <c r="P234" i="1"/>
  <c r="Q247" i="1"/>
  <c r="Q253" i="1"/>
  <c r="O260" i="1"/>
  <c r="Q287" i="1"/>
  <c r="P291" i="1"/>
  <c r="O335" i="1"/>
  <c r="O339" i="1"/>
  <c r="B384" i="10"/>
  <c r="B568" i="2"/>
  <c r="O408" i="1"/>
  <c r="P414" i="1"/>
  <c r="O452" i="1"/>
  <c r="Q486" i="1"/>
  <c r="O490" i="1"/>
  <c r="Q500" i="1"/>
  <c r="P515" i="1"/>
  <c r="Q528" i="1"/>
  <c r="Q540" i="1"/>
  <c r="Q215" i="1"/>
  <c r="P229" i="1"/>
  <c r="O236" i="1"/>
  <c r="O251" i="1"/>
  <c r="B259" i="10"/>
  <c r="B381" i="2"/>
  <c r="P264" i="1"/>
  <c r="Q285" i="1"/>
  <c r="P309" i="1"/>
  <c r="O318" i="1"/>
  <c r="B326" i="10"/>
  <c r="B148" i="2"/>
  <c r="O333" i="1"/>
  <c r="P339" i="1"/>
  <c r="P341" i="1"/>
  <c r="B357" i="10"/>
  <c r="B370" i="2"/>
  <c r="B378" i="10"/>
  <c r="B518" i="2"/>
  <c r="O382" i="1"/>
  <c r="P387" i="1"/>
  <c r="Q393" i="1"/>
  <c r="O492" i="1"/>
  <c r="O3" i="1"/>
  <c r="B15" i="10"/>
  <c r="B20" i="2"/>
  <c r="P16" i="1"/>
  <c r="B20" i="10"/>
  <c r="B210" i="2"/>
  <c r="B41" i="10"/>
  <c r="B3" i="2"/>
  <c r="B51" i="10"/>
  <c r="B76" i="2"/>
  <c r="O69" i="1"/>
  <c r="B73" i="10"/>
  <c r="B189" i="2"/>
  <c r="B89" i="10"/>
  <c r="B122" i="2"/>
  <c r="B105" i="10"/>
  <c r="B307" i="2"/>
  <c r="P110" i="1"/>
  <c r="Q112" i="1"/>
  <c r="P140" i="1"/>
  <c r="P151" i="1"/>
  <c r="Q173" i="1"/>
  <c r="B179" i="10"/>
  <c r="B183" i="2"/>
  <c r="Q188" i="1"/>
  <c r="O192" i="1"/>
  <c r="P208" i="1"/>
  <c r="B214" i="10"/>
  <c r="B95" i="2"/>
  <c r="O215" i="1"/>
  <c r="Q219" i="1"/>
  <c r="P221" i="1"/>
  <c r="O227" i="1"/>
  <c r="O242" i="1"/>
  <c r="B246" i="10"/>
  <c r="B508" i="2"/>
  <c r="B250" i="10"/>
  <c r="B405" i="2"/>
  <c r="Q264" i="1"/>
  <c r="Q270" i="1"/>
  <c r="O276" i="1"/>
  <c r="B284" i="10"/>
  <c r="B387" i="2"/>
  <c r="O285" i="1"/>
  <c r="Q293" i="1"/>
  <c r="Q295" i="1"/>
  <c r="P297" i="1"/>
  <c r="Q309" i="1"/>
  <c r="B315" i="10"/>
  <c r="B241" i="2"/>
  <c r="B328" i="10"/>
  <c r="B193" i="2"/>
  <c r="B330" i="10"/>
  <c r="B427" i="2"/>
  <c r="O341" i="1"/>
  <c r="Q343" i="1"/>
  <c r="P368" i="1"/>
  <c r="O374" i="1"/>
  <c r="P382" i="1"/>
  <c r="O391" i="1"/>
  <c r="O393" i="1"/>
  <c r="Q399" i="1"/>
  <c r="B407" i="10"/>
  <c r="B570" i="2"/>
  <c r="Q412" i="1"/>
  <c r="Q433" i="1"/>
  <c r="P437" i="1"/>
  <c r="O445" i="1"/>
  <c r="O460" i="1"/>
  <c r="B474" i="10"/>
  <c r="B208" i="2"/>
  <c r="B483" i="10"/>
  <c r="B350" i="2"/>
  <c r="Q502" i="1"/>
  <c r="O525" i="1"/>
  <c r="B537" i="10"/>
  <c r="B683" i="2"/>
  <c r="Q538" i="1"/>
  <c r="Q544" i="1"/>
  <c r="O565" i="1"/>
  <c r="O573" i="1"/>
  <c r="P588" i="1"/>
  <c r="B601" i="10"/>
  <c r="B672" i="2"/>
  <c r="O608" i="1"/>
  <c r="O614" i="1"/>
  <c r="P618" i="1"/>
  <c r="P626" i="1"/>
  <c r="Q648" i="1"/>
  <c r="O656" i="1"/>
  <c r="O668" i="1"/>
  <c r="O672" i="1"/>
  <c r="Q678" i="1"/>
  <c r="P682" i="1"/>
  <c r="P686" i="1"/>
  <c r="Q688" i="1"/>
  <c r="Q693" i="1"/>
  <c r="Q701" i="1"/>
  <c r="O711" i="1"/>
  <c r="Q16" i="1"/>
  <c r="B363" i="2"/>
  <c r="B25" i="10"/>
  <c r="O36" i="1"/>
  <c r="B38" i="10"/>
  <c r="B61" i="2"/>
  <c r="B46" i="10"/>
  <c r="B24" i="2"/>
  <c r="B53" i="10"/>
  <c r="B389" i="2"/>
  <c r="P54" i="1"/>
  <c r="B63" i="10"/>
  <c r="B395" i="2"/>
  <c r="B87" i="10"/>
  <c r="B59" i="2"/>
  <c r="Q108" i="1"/>
  <c r="O129" i="1"/>
  <c r="B131" i="10"/>
  <c r="B57" i="2"/>
  <c r="Q153" i="1"/>
  <c r="B161" i="10"/>
  <c r="B40" i="2"/>
  <c r="B196" i="10"/>
  <c r="B235" i="2"/>
  <c r="O201" i="1"/>
  <c r="Q203" i="1"/>
  <c r="O214" i="1"/>
  <c r="B216" i="10"/>
  <c r="B933" i="2"/>
  <c r="P227" i="1"/>
  <c r="O231" i="1"/>
  <c r="O235" i="1"/>
  <c r="B237" i="10"/>
  <c r="B479" i="2"/>
  <c r="P242" i="1"/>
  <c r="O257" i="1"/>
  <c r="B263" i="10"/>
  <c r="B149" i="2"/>
  <c r="P266" i="1"/>
  <c r="P268" i="1"/>
  <c r="P278" i="1"/>
  <c r="B349" i="2"/>
  <c r="B286" i="10"/>
  <c r="B288" i="10"/>
  <c r="B219" i="2"/>
  <c r="B300" i="10"/>
  <c r="B878" i="2"/>
  <c r="P301" i="1"/>
  <c r="Q303" i="1"/>
  <c r="Q307" i="1"/>
  <c r="Q318" i="1"/>
  <c r="P324" i="1"/>
  <c r="P326" i="1"/>
  <c r="O330" i="1"/>
  <c r="Q349" i="1"/>
  <c r="B365" i="10"/>
  <c r="B410" i="2"/>
  <c r="O370" i="1"/>
  <c r="Q376" i="1"/>
  <c r="B390" i="10"/>
  <c r="B656" i="2"/>
  <c r="O405" i="1"/>
  <c r="O418" i="1"/>
  <c r="O426" i="1"/>
  <c r="P439" i="1"/>
  <c r="Q441" i="1"/>
  <c r="P453" i="1"/>
  <c r="B455" i="10"/>
  <c r="B163" i="2"/>
  <c r="O483" i="1"/>
  <c r="P495" i="1"/>
  <c r="B497" i="10"/>
  <c r="B376" i="2"/>
  <c r="B503" i="10"/>
  <c r="B432" i="2"/>
  <c r="P504" i="1"/>
  <c r="P508" i="1"/>
  <c r="Q513" i="1"/>
  <c r="B516" i="10"/>
  <c r="B598" i="2"/>
  <c r="P529" i="1"/>
  <c r="B545" i="10"/>
  <c r="B573" i="2"/>
  <c r="O552" i="1"/>
  <c r="P554" i="1"/>
  <c r="P558" i="1"/>
  <c r="P565" i="1"/>
  <c r="O569" i="1"/>
  <c r="O577" i="1"/>
  <c r="B585" i="10"/>
  <c r="B505" i="2"/>
  <c r="O586" i="1"/>
  <c r="B589" i="10"/>
  <c r="B844" i="2"/>
  <c r="Q590" i="1"/>
  <c r="Q594" i="1"/>
  <c r="Q630" i="1"/>
  <c r="Q638" i="1"/>
  <c r="P640" i="1"/>
  <c r="P656" i="1"/>
  <c r="P662" i="1"/>
  <c r="P674" i="1"/>
  <c r="O678" i="1"/>
  <c r="B685" i="10"/>
  <c r="B379" i="2"/>
  <c r="O688" i="1"/>
  <c r="O691" i="1"/>
  <c r="Q699" i="1"/>
  <c r="Q709" i="1"/>
  <c r="O724" i="1"/>
  <c r="Q736" i="1"/>
  <c r="O740" i="1"/>
  <c r="O742" i="1"/>
  <c r="O746" i="1"/>
  <c r="Q754" i="1"/>
  <c r="Q766" i="1"/>
  <c r="B769" i="10"/>
  <c r="B543" i="2"/>
  <c r="Q774" i="1"/>
  <c r="O776" i="1"/>
  <c r="P780" i="1"/>
  <c r="Q784" i="1"/>
  <c r="Q786" i="1"/>
  <c r="Q788" i="1"/>
  <c r="Q790" i="1"/>
  <c r="Q794" i="1"/>
  <c r="P801" i="1"/>
  <c r="P807" i="1"/>
  <c r="Q818" i="1"/>
  <c r="Q820" i="1"/>
  <c r="B830" i="10"/>
  <c r="B791" i="2"/>
  <c r="B832" i="10"/>
  <c r="B966" i="2"/>
  <c r="O849" i="1"/>
  <c r="P854" i="1"/>
  <c r="Q858" i="1"/>
  <c r="Q868" i="1"/>
  <c r="B892" i="10"/>
  <c r="B886" i="2"/>
  <c r="Q902" i="1"/>
  <c r="O917" i="1"/>
  <c r="O927" i="1"/>
  <c r="B930" i="10"/>
  <c r="B893" i="2"/>
  <c r="O935" i="1"/>
  <c r="P944" i="1"/>
  <c r="Q962" i="1"/>
  <c r="P966" i="1"/>
  <c r="P973" i="1"/>
  <c r="O977" i="1"/>
  <c r="B989" i="10"/>
  <c r="B989" i="2"/>
  <c r="O991" i="1"/>
  <c r="Q993" i="1"/>
  <c r="Q995" i="1"/>
  <c r="Q997" i="1"/>
  <c r="O1011" i="1"/>
  <c r="P1016" i="1"/>
  <c r="P1039" i="1"/>
  <c r="O1052" i="1"/>
  <c r="O1062" i="1"/>
  <c r="O1068" i="1"/>
  <c r="O1070" i="1"/>
  <c r="Q1074" i="1"/>
  <c r="Q1076" i="1"/>
  <c r="O1078" i="1"/>
  <c r="Q1080" i="1"/>
  <c r="Q1082" i="1"/>
  <c r="O1094" i="1"/>
  <c r="O1102" i="1"/>
  <c r="B1105" i="10"/>
  <c r="B1108" i="2"/>
  <c r="O1114" i="1"/>
  <c r="O1137" i="1"/>
  <c r="Q1139" i="1"/>
  <c r="P1169" i="1"/>
  <c r="O1171" i="1"/>
  <c r="Q1178" i="1"/>
  <c r="B1181" i="10"/>
  <c r="B1187" i="2"/>
  <c r="O1192" i="1"/>
  <c r="Q1194" i="1"/>
  <c r="B35" i="2"/>
  <c r="B512" i="2"/>
  <c r="J39" i="5"/>
  <c r="J78" i="5"/>
  <c r="J85" i="5"/>
  <c r="J695" i="5"/>
  <c r="J99" i="5"/>
  <c r="J184" i="5"/>
  <c r="J438" i="5"/>
  <c r="J472" i="5"/>
  <c r="J486" i="5"/>
  <c r="J493" i="5"/>
  <c r="J595" i="5"/>
  <c r="J615" i="5"/>
  <c r="J635" i="5"/>
  <c r="J737" i="5"/>
  <c r="J831" i="5"/>
  <c r="J838" i="5"/>
  <c r="J845" i="5"/>
  <c r="J1135" i="5"/>
  <c r="J1162" i="5"/>
  <c r="Q210" i="1"/>
  <c r="B225" i="10"/>
  <c r="B136" i="2"/>
  <c r="P228" i="1"/>
  <c r="B531" i="2"/>
  <c r="B230" i="10"/>
  <c r="B238" i="10"/>
  <c r="B407" i="2"/>
  <c r="B274" i="10"/>
  <c r="B222" i="2"/>
  <c r="O311" i="1"/>
  <c r="B343" i="10"/>
  <c r="B37" i="2"/>
  <c r="B385" i="10"/>
  <c r="B312" i="2"/>
  <c r="O402" i="1"/>
  <c r="P418" i="1"/>
  <c r="B427" i="10"/>
  <c r="B423" i="2"/>
  <c r="B439" i="10"/>
  <c r="B535" i="2"/>
  <c r="B469" i="10"/>
  <c r="B888" i="2"/>
  <c r="B481" i="10"/>
  <c r="B209" i="2"/>
  <c r="B498" i="10"/>
  <c r="B634" i="2"/>
  <c r="B533" i="10"/>
  <c r="B633" i="2"/>
  <c r="P546" i="1"/>
  <c r="Q553" i="1"/>
  <c r="B575" i="10"/>
  <c r="B625" i="2"/>
  <c r="P576" i="1"/>
  <c r="O585" i="1"/>
  <c r="Q595" i="1"/>
  <c r="B617" i="10"/>
  <c r="B818" i="2"/>
  <c r="O654" i="1"/>
  <c r="B686" i="10"/>
  <c r="B680" i="2"/>
  <c r="O745" i="1"/>
  <c r="P761" i="1"/>
  <c r="B782" i="10"/>
  <c r="B744" i="2"/>
  <c r="B789" i="10"/>
  <c r="B889" i="2"/>
  <c r="B791" i="10"/>
  <c r="B865" i="2"/>
  <c r="Q806" i="1"/>
  <c r="B814" i="10"/>
  <c r="B677" i="2"/>
  <c r="B838" i="10"/>
  <c r="B900" i="2"/>
  <c r="B840" i="10"/>
  <c r="B726" i="2"/>
  <c r="P841" i="1"/>
  <c r="B847" i="10"/>
  <c r="B705" i="2"/>
  <c r="P859" i="1"/>
  <c r="O861" i="1"/>
  <c r="P866" i="1"/>
  <c r="B870" i="10"/>
  <c r="B812" i="2"/>
  <c r="Q882" i="1"/>
  <c r="Q887" i="1"/>
  <c r="O889" i="1"/>
  <c r="B942" i="10"/>
  <c r="B954" i="2"/>
  <c r="B946" i="10"/>
  <c r="B928" i="2"/>
  <c r="P960" i="1"/>
  <c r="B965" i="10"/>
  <c r="B971" i="2"/>
  <c r="Q972" i="1"/>
  <c r="P978" i="1"/>
  <c r="O986" i="1"/>
  <c r="Q1003" i="1"/>
  <c r="O1008" i="1"/>
  <c r="Q1010" i="1"/>
  <c r="Q1014" i="1"/>
  <c r="O1022" i="1"/>
  <c r="P1024" i="1"/>
  <c r="P1028" i="1"/>
  <c r="O1040" i="1"/>
  <c r="Q1046" i="1"/>
  <c r="P1048" i="1"/>
  <c r="P1064" i="1"/>
  <c r="P1068" i="1"/>
  <c r="O1074" i="1"/>
  <c r="O1076" i="1"/>
  <c r="O1086" i="1"/>
  <c r="O1104" i="1"/>
  <c r="Q1106" i="1"/>
  <c r="O1108" i="1"/>
  <c r="P1116" i="1"/>
  <c r="Q1118" i="1"/>
  <c r="O1127" i="1"/>
  <c r="B1164" i="10"/>
  <c r="B1170" i="2"/>
  <c r="Q1184" i="1"/>
  <c r="B960" i="2"/>
  <c r="B1117" i="2"/>
  <c r="J56" i="5"/>
  <c r="J74" i="5"/>
  <c r="J173" i="5"/>
  <c r="J218" i="5"/>
  <c r="J295" i="5"/>
  <c r="J309" i="5"/>
  <c r="J349" i="5"/>
  <c r="J412" i="5"/>
  <c r="J426" i="5"/>
  <c r="J603" i="5"/>
  <c r="J663" i="5"/>
  <c r="J805" i="5"/>
  <c r="J825" i="5"/>
  <c r="J1074" i="5"/>
  <c r="J1088" i="5"/>
  <c r="J1102" i="5"/>
  <c r="J150" i="5"/>
  <c r="J242" i="5"/>
  <c r="J249" i="5"/>
  <c r="J357" i="5"/>
  <c r="J364" i="5"/>
  <c r="J371" i="5"/>
  <c r="J405" i="5"/>
  <c r="J419" i="5"/>
  <c r="J542" i="5"/>
  <c r="J718" i="5"/>
  <c r="J725" i="5"/>
  <c r="J812" i="5"/>
  <c r="J930" i="5"/>
  <c r="J1019" i="5"/>
  <c r="J1047" i="5"/>
  <c r="J157" i="5"/>
  <c r="J193" i="5"/>
  <c r="B23" i="10"/>
  <c r="B118" i="2"/>
  <c r="O24" i="1"/>
  <c r="B26" i="10"/>
  <c r="B301" i="2"/>
  <c r="B13" i="2"/>
  <c r="B61" i="10"/>
  <c r="B95" i="10"/>
  <c r="B12" i="2"/>
  <c r="O116" i="1"/>
  <c r="O124" i="1"/>
  <c r="O136" i="1"/>
  <c r="B138" i="10"/>
  <c r="B664" i="2"/>
  <c r="B148" i="10"/>
  <c r="B63" i="2"/>
  <c r="B168" i="10"/>
  <c r="B550" i="2"/>
  <c r="Q189" i="1"/>
  <c r="B201" i="10"/>
  <c r="B311" i="2"/>
  <c r="B217" i="10"/>
  <c r="B452" i="2"/>
  <c r="O220" i="1"/>
  <c r="B235" i="10"/>
  <c r="B681" i="2"/>
  <c r="O248" i="1"/>
  <c r="B258" i="10"/>
  <c r="B117" i="2"/>
  <c r="P282" i="1"/>
  <c r="O291" i="1"/>
  <c r="Q301" i="1"/>
  <c r="O360" i="1"/>
  <c r="B392" i="10"/>
  <c r="B386" i="2"/>
  <c r="B434" i="10"/>
  <c r="B567" i="2"/>
  <c r="O451" i="1"/>
  <c r="P467" i="1"/>
  <c r="B476" i="10"/>
  <c r="B529" i="2"/>
  <c r="B488" i="10"/>
  <c r="B487" i="2"/>
  <c r="B518" i="10"/>
  <c r="B636" i="2"/>
  <c r="B530" i="10"/>
  <c r="B373" i="2"/>
  <c r="B547" i="10"/>
  <c r="B621" i="2"/>
  <c r="B572" i="10"/>
  <c r="B243" i="2"/>
  <c r="P595" i="1"/>
  <c r="Q602" i="1"/>
  <c r="B624" i="10"/>
  <c r="B792" i="2"/>
  <c r="P625" i="1"/>
  <c r="O634" i="1"/>
  <c r="Q644" i="1"/>
  <c r="B666" i="10"/>
  <c r="B881" i="2"/>
  <c r="O703" i="1"/>
  <c r="B735" i="10"/>
  <c r="B185" i="2"/>
  <c r="B777" i="10"/>
  <c r="B601" i="2"/>
  <c r="Q803" i="1"/>
  <c r="B807" i="10"/>
  <c r="B140" i="2"/>
  <c r="Q845" i="1"/>
  <c r="P847" i="1"/>
  <c r="O902" i="1"/>
  <c r="Q909" i="1"/>
  <c r="Q920" i="1"/>
  <c r="Q929" i="1"/>
  <c r="P942" i="1"/>
  <c r="O967" i="1"/>
  <c r="B969" i="10"/>
  <c r="B918" i="2"/>
  <c r="O982" i="1"/>
  <c r="Q986" i="1"/>
  <c r="P988" i="1"/>
  <c r="Q994" i="1"/>
  <c r="Q1008" i="1"/>
  <c r="Q1026" i="1"/>
  <c r="B1039" i="10"/>
  <c r="B1037" i="2"/>
  <c r="Q1042" i="1"/>
  <c r="Q1044" i="1"/>
  <c r="O1048" i="1"/>
  <c r="P1062" i="1"/>
  <c r="P1088" i="1"/>
  <c r="P1102" i="1"/>
  <c r="B1119" i="10"/>
  <c r="B1123" i="2"/>
  <c r="P1121" i="1"/>
  <c r="Q1137" i="1"/>
  <c r="B1143" i="10"/>
  <c r="B1148" i="2"/>
  <c r="P1147" i="1"/>
  <c r="B1172" i="10"/>
  <c r="B1178" i="2"/>
  <c r="B963" i="2"/>
  <c r="B998" i="2"/>
  <c r="J18" i="5"/>
  <c r="J94" i="5"/>
  <c r="J119" i="5"/>
  <c r="J137" i="5"/>
  <c r="J163" i="5"/>
  <c r="J224" i="5"/>
  <c r="J350" i="5"/>
  <c r="J392" i="5"/>
  <c r="J413" i="5"/>
  <c r="J543" i="5"/>
  <c r="J711" i="5"/>
  <c r="J916" i="5"/>
  <c r="J1026" i="5"/>
  <c r="O664" i="1"/>
  <c r="P676" i="1"/>
  <c r="B683" i="10"/>
  <c r="B218" i="2"/>
  <c r="Q686" i="1"/>
  <c r="B700" i="10"/>
  <c r="B648" i="2"/>
  <c r="P711" i="1"/>
  <c r="P718" i="1"/>
  <c r="B720" i="10"/>
  <c r="B630" i="2"/>
  <c r="Q728" i="1"/>
  <c r="P733" i="1"/>
  <c r="B742" i="10"/>
  <c r="B872" i="2"/>
  <c r="B757" i="10"/>
  <c r="B503" i="2"/>
  <c r="B767" i="10"/>
  <c r="B653" i="2"/>
  <c r="Q770" i="1"/>
  <c r="P775" i="1"/>
  <c r="Q791" i="1"/>
  <c r="P798" i="1"/>
  <c r="Q810" i="1"/>
  <c r="B821" i="10"/>
  <c r="B678" i="2"/>
  <c r="B842" i="10"/>
  <c r="B667" i="2"/>
  <c r="B851" i="10"/>
  <c r="B861" i="2"/>
  <c r="B874" i="10"/>
  <c r="B875" i="2"/>
  <c r="P877" i="1"/>
  <c r="B881" i="10"/>
  <c r="B771" i="2"/>
  <c r="P893" i="1"/>
  <c r="O895" i="1"/>
  <c r="P902" i="1"/>
  <c r="Q918" i="1"/>
  <c r="O933" i="1"/>
  <c r="B952" i="10"/>
  <c r="B967" i="2"/>
  <c r="O955" i="1"/>
  <c r="B971" i="10"/>
  <c r="B905" i="2"/>
  <c r="Q974" i="1"/>
  <c r="B979" i="10"/>
  <c r="B976" i="2"/>
  <c r="Q988" i="1"/>
  <c r="Q996" i="1"/>
  <c r="B1015" i="10"/>
  <c r="B1013" i="2"/>
  <c r="P1018" i="1"/>
  <c r="B1029" i="10"/>
  <c r="B1027" i="2"/>
  <c r="P1032" i="1"/>
  <c r="O1034" i="1"/>
  <c r="O1054" i="1"/>
  <c r="Q1056" i="1"/>
  <c r="Q1066" i="1"/>
  <c r="Q1070" i="1"/>
  <c r="Q1084" i="1"/>
  <c r="O1100" i="1"/>
  <c r="Q1104" i="1"/>
  <c r="P1109" i="1"/>
  <c r="P1111" i="1"/>
  <c r="O1125" i="1"/>
  <c r="O1129" i="1"/>
  <c r="O1133" i="1"/>
  <c r="O1156" i="1"/>
  <c r="Q1164" i="1"/>
  <c r="Q1176" i="1"/>
  <c r="Q1180" i="1"/>
  <c r="B509" i="2"/>
  <c r="B837" i="2"/>
  <c r="J24" i="5"/>
  <c r="J38" i="5"/>
  <c r="J51" i="5"/>
  <c r="J113" i="5"/>
  <c r="J125" i="5"/>
  <c r="J219" i="5"/>
  <c r="J337" i="5"/>
  <c r="J365" i="5"/>
  <c r="J399" i="5"/>
  <c r="J509" i="5"/>
  <c r="J597" i="5"/>
  <c r="J800" i="5"/>
  <c r="J875" i="5"/>
  <c r="J896" i="5"/>
  <c r="J903" i="5"/>
  <c r="J910" i="5"/>
  <c r="J201" i="5"/>
  <c r="J214" i="5"/>
  <c r="J351" i="5"/>
  <c r="J454" i="5"/>
  <c r="J475" i="5"/>
  <c r="J537" i="5"/>
  <c r="J598" i="5"/>
  <c r="J651" i="5"/>
  <c r="J705" i="5"/>
  <c r="J719" i="5"/>
  <c r="J767" i="5"/>
  <c r="J788" i="5"/>
  <c r="J794" i="5"/>
  <c r="J883" i="5"/>
  <c r="J52" i="5"/>
  <c r="J188" i="5"/>
  <c r="J332" i="5"/>
  <c r="J462" i="5"/>
  <c r="J469" i="5"/>
  <c r="J517" i="5"/>
  <c r="J531" i="5"/>
  <c r="J645" i="5"/>
  <c r="J760" i="5"/>
  <c r="J774" i="5"/>
  <c r="J781" i="5"/>
  <c r="J862" i="5"/>
  <c r="J869" i="5"/>
  <c r="J897" i="5"/>
  <c r="J911" i="5"/>
  <c r="B1087" i="10"/>
  <c r="B1087" i="2"/>
  <c r="P1107" i="1"/>
  <c r="B1126" i="10"/>
  <c r="B1131" i="2"/>
  <c r="B1128" i="10"/>
  <c r="B1133" i="2"/>
  <c r="Q1131" i="1"/>
  <c r="O1134" i="1"/>
  <c r="B1136" i="10"/>
  <c r="B1141" i="2"/>
  <c r="P1143" i="1"/>
  <c r="Q1145" i="1"/>
  <c r="P1150" i="1"/>
  <c r="O1154" i="1"/>
  <c r="B1165" i="10"/>
  <c r="B1171" i="2"/>
  <c r="O1174" i="1"/>
  <c r="P1179" i="1"/>
  <c r="O1185" i="1"/>
  <c r="Q1189" i="1"/>
  <c r="Q1191" i="1"/>
  <c r="B607" i="2"/>
  <c r="B729" i="2"/>
  <c r="J46" i="5"/>
  <c r="J89" i="5"/>
  <c r="J120" i="5"/>
  <c r="J170" i="5"/>
  <c r="J195" i="5"/>
  <c r="J202" i="5"/>
  <c r="J215" i="5"/>
  <c r="J220" i="5"/>
  <c r="J429" i="5"/>
  <c r="J455" i="5"/>
  <c r="J518" i="5"/>
  <c r="J592" i="5"/>
  <c r="J659" i="5"/>
  <c r="J77" i="5"/>
  <c r="J83" i="5"/>
  <c r="J146" i="5"/>
  <c r="J160" i="5"/>
  <c r="J189" i="5"/>
  <c r="J272" i="5"/>
  <c r="J443" i="5"/>
  <c r="J449" i="5"/>
  <c r="J511" i="5"/>
  <c r="J525" i="5"/>
  <c r="J565" i="5"/>
  <c r="J579" i="5"/>
  <c r="J599" i="5"/>
  <c r="J863" i="5"/>
  <c r="J994" i="5"/>
  <c r="J1001" i="5"/>
  <c r="B54" i="10"/>
  <c r="B555" i="2"/>
  <c r="O115" i="1"/>
  <c r="B117" i="10"/>
  <c r="B89" i="2"/>
  <c r="B147" i="10"/>
  <c r="B90" i="2"/>
  <c r="B152" i="10"/>
  <c r="B106" i="2"/>
  <c r="B172" i="10"/>
  <c r="B739" i="2"/>
  <c r="Q175" i="1"/>
  <c r="P196" i="1"/>
  <c r="P214" i="1"/>
  <c r="B221" i="10"/>
  <c r="B402" i="2"/>
  <c r="B239" i="10"/>
  <c r="B261" i="2"/>
  <c r="B244" i="10"/>
  <c r="B458" i="2"/>
  <c r="P271" i="1"/>
  <c r="B280" i="10"/>
  <c r="B606" i="2"/>
  <c r="B292" i="10"/>
  <c r="B251" i="2"/>
  <c r="B322" i="10"/>
  <c r="B413" i="2"/>
  <c r="B351" i="10"/>
  <c r="B315" i="2"/>
  <c r="B376" i="10"/>
  <c r="B380" i="2"/>
  <c r="B386" i="10"/>
  <c r="B609" i="2"/>
  <c r="P399" i="1"/>
  <c r="Q406" i="1"/>
  <c r="B428" i="10"/>
  <c r="B250" i="2"/>
  <c r="P429" i="1"/>
  <c r="O438" i="1"/>
  <c r="Q448" i="1"/>
  <c r="B470" i="10"/>
  <c r="B665" i="2"/>
  <c r="O507" i="1"/>
  <c r="B581" i="10"/>
  <c r="B214" i="2"/>
  <c r="O598" i="1"/>
  <c r="P614" i="1"/>
  <c r="B635" i="10"/>
  <c r="B172" i="2"/>
  <c r="B677" i="10"/>
  <c r="B351" i="2"/>
  <c r="B694" i="10"/>
  <c r="B390" i="2"/>
  <c r="B729" i="10"/>
  <c r="B855" i="2"/>
  <c r="P742" i="1"/>
  <c r="Q749" i="1"/>
  <c r="B771" i="10"/>
  <c r="B474" i="2"/>
  <c r="P772" i="1"/>
  <c r="O781" i="1"/>
  <c r="O816" i="1"/>
  <c r="B834" i="10"/>
  <c r="B651" i="2"/>
  <c r="O839" i="1"/>
  <c r="B848" i="10"/>
  <c r="B871" i="2"/>
  <c r="O858" i="1"/>
  <c r="B864" i="10"/>
  <c r="B880" i="2"/>
  <c r="O869" i="1"/>
  <c r="B878" i="10"/>
  <c r="B743" i="2"/>
  <c r="O879" i="1"/>
  <c r="B885" i="10"/>
  <c r="B945" i="2"/>
  <c r="Q890" i="1"/>
  <c r="Q897" i="1"/>
  <c r="Q901" i="1"/>
  <c r="B914" i="10"/>
  <c r="B947" i="2"/>
  <c r="O928" i="1"/>
  <c r="O943" i="1"/>
  <c r="B949" i="10"/>
  <c r="B852" i="2"/>
  <c r="P956" i="1"/>
  <c r="B962" i="10"/>
  <c r="B879" i="2"/>
  <c r="Q977" i="1"/>
  <c r="P997" i="1"/>
  <c r="B999" i="10"/>
  <c r="B997" i="2"/>
  <c r="Q1025" i="1"/>
  <c r="Q1027" i="1"/>
  <c r="O1031" i="1"/>
  <c r="Q1035" i="1"/>
  <c r="O1043" i="1"/>
  <c r="P1045" i="1"/>
  <c r="P1047" i="1"/>
  <c r="P1061" i="1"/>
  <c r="P1069" i="1"/>
  <c r="P1071" i="1"/>
  <c r="P1087" i="1"/>
  <c r="P1089" i="1"/>
  <c r="O1091" i="1"/>
  <c r="P1097" i="1"/>
  <c r="Q1099" i="1"/>
  <c r="O1112" i="1"/>
  <c r="O1122" i="1"/>
  <c r="P1128" i="1"/>
  <c r="O1152" i="1"/>
  <c r="B1161" i="10"/>
  <c r="B1167" i="2"/>
  <c r="O1163" i="1"/>
  <c r="O1175" i="1"/>
  <c r="O1179" i="1"/>
  <c r="B36" i="2"/>
  <c r="B610" i="2"/>
  <c r="B809" i="2"/>
  <c r="B850" i="2"/>
  <c r="J643" i="5"/>
  <c r="J638" i="5"/>
  <c r="J582" i="5"/>
  <c r="J786" i="5"/>
  <c r="J761" i="5"/>
  <c r="J756" i="5"/>
  <c r="J751" i="5"/>
  <c r="J706" i="5"/>
  <c r="J701" i="5"/>
  <c r="J890" i="5"/>
  <c r="J764" i="5"/>
  <c r="J1126" i="5"/>
  <c r="J1094" i="5"/>
  <c r="J1078" i="5"/>
  <c r="J1079" i="5"/>
  <c r="J1005" i="5"/>
  <c r="J947" i="5"/>
  <c r="J704" i="5"/>
  <c r="J639" i="5"/>
  <c r="J607" i="5"/>
  <c r="J564" i="5"/>
  <c r="J541" i="5"/>
  <c r="J473" i="5"/>
  <c r="J417" i="5"/>
  <c r="J330" i="5"/>
  <c r="J293" i="5"/>
  <c r="J141" i="5"/>
  <c r="J4" i="5"/>
  <c r="J66" i="5"/>
  <c r="J958" i="5"/>
  <c r="J915" i="5"/>
  <c r="J867" i="5"/>
  <c r="J855" i="5"/>
  <c r="J804" i="5"/>
  <c r="J687" i="5"/>
  <c r="J644" i="5"/>
  <c r="J596" i="5"/>
  <c r="J546" i="5"/>
  <c r="J484" i="5"/>
  <c r="J447" i="5"/>
  <c r="J319" i="5"/>
  <c r="J239" i="5"/>
  <c r="J176" i="5"/>
  <c r="J108" i="5"/>
  <c r="J102" i="5"/>
  <c r="J1010" i="5"/>
  <c r="J952" i="5"/>
  <c r="J940" i="5"/>
  <c r="J849" i="5"/>
  <c r="J785" i="5"/>
  <c r="J734" i="5"/>
  <c r="J654" i="5"/>
  <c r="J649" i="5"/>
  <c r="J601" i="5"/>
  <c r="J551" i="5"/>
  <c r="J528" i="5"/>
  <c r="J496" i="5"/>
  <c r="J478" i="5"/>
  <c r="J389" i="5"/>
  <c r="J384" i="5"/>
  <c r="J379" i="5"/>
  <c r="J374" i="5"/>
  <c r="J324" i="5"/>
  <c r="J1029" i="5"/>
  <c r="J1004" i="5"/>
  <c r="J860" i="5"/>
  <c r="J752" i="5"/>
  <c r="J606" i="5"/>
  <c r="J540" i="5"/>
  <c r="J452" i="5"/>
  <c r="J428" i="5"/>
  <c r="J422" i="5"/>
  <c r="J329" i="5"/>
  <c r="J281" i="5"/>
  <c r="J181" i="5"/>
  <c r="J140" i="5"/>
  <c r="J118" i="5"/>
  <c r="J76" i="5"/>
  <c r="J1015" i="5"/>
  <c r="J957" i="5"/>
  <c r="J872" i="5"/>
  <c r="J854" i="5"/>
  <c r="J727" i="5"/>
  <c r="J697" i="5"/>
  <c r="J545" i="5"/>
  <c r="J483" i="5"/>
  <c r="J318" i="5"/>
  <c r="J286" i="5"/>
  <c r="J1009" i="5"/>
  <c r="J932" i="5"/>
  <c r="J827" i="5"/>
  <c r="J757" i="5"/>
  <c r="J739" i="5"/>
  <c r="J702" i="5"/>
  <c r="J550" i="5"/>
  <c r="J527" i="5"/>
  <c r="J477" i="5"/>
  <c r="J388" i="5"/>
  <c r="J383" i="5"/>
  <c r="J378" i="5"/>
  <c r="J373" i="5"/>
  <c r="J323" i="5"/>
  <c r="J291" i="5"/>
  <c r="J275" i="5"/>
  <c r="J217" i="5"/>
  <c r="J186" i="5"/>
  <c r="J1192" i="5"/>
  <c r="J859" i="5"/>
  <c r="J707" i="5"/>
  <c r="J664" i="5"/>
  <c r="J439" i="5"/>
  <c r="J427" i="5"/>
  <c r="J328" i="5"/>
  <c r="J280" i="5"/>
  <c r="J1144" i="5"/>
  <c r="J1014" i="5"/>
  <c r="J807" i="5"/>
  <c r="J762" i="5"/>
  <c r="J696" i="5"/>
  <c r="J652" i="5"/>
  <c r="J636" i="5"/>
  <c r="J594" i="5"/>
  <c r="J494" i="5"/>
  <c r="J482" i="5"/>
  <c r="J317" i="5"/>
  <c r="J285" i="5"/>
  <c r="J263" i="5"/>
  <c r="J237" i="5"/>
  <c r="J231" i="5"/>
  <c r="J226" i="5"/>
  <c r="J221" i="5"/>
  <c r="J197" i="5"/>
  <c r="J174" i="5"/>
  <c r="J169" i="5"/>
  <c r="J164" i="5"/>
  <c r="J64" i="5"/>
  <c r="J47" i="5"/>
  <c r="J41" i="5"/>
  <c r="J28" i="5"/>
  <c r="J7" i="5"/>
  <c r="J1130" i="5"/>
  <c r="J931" i="5"/>
  <c r="J795" i="5"/>
  <c r="J750" i="5"/>
  <c r="J744" i="5"/>
  <c r="J641" i="5"/>
  <c r="J604" i="5"/>
  <c r="J554" i="5"/>
  <c r="J499" i="5"/>
  <c r="J444" i="5"/>
  <c r="J377" i="5"/>
  <c r="J372" i="5"/>
  <c r="J290" i="5"/>
  <c r="J274" i="5"/>
  <c r="J121" i="5"/>
  <c r="J69" i="5"/>
  <c r="J58" i="5"/>
  <c r="J924" i="5"/>
  <c r="J657" i="5"/>
  <c r="J646" i="5"/>
  <c r="J279" i="5"/>
  <c r="J268" i="5"/>
  <c r="J126" i="5"/>
  <c r="J21" i="5"/>
  <c r="J16" i="5"/>
  <c r="J11" i="5"/>
  <c r="J979" i="5"/>
  <c r="J953" i="5"/>
  <c r="J850" i="5"/>
  <c r="J817" i="5"/>
  <c r="J799" i="5"/>
  <c r="J729" i="5"/>
  <c r="J699" i="5"/>
  <c r="J694" i="5"/>
  <c r="J650" i="5"/>
  <c r="J634" i="5"/>
  <c r="J602" i="5"/>
  <c r="J552" i="5"/>
  <c r="J536" i="5"/>
  <c r="J497" i="5"/>
  <c r="J442" i="5"/>
  <c r="J385" i="5"/>
  <c r="J380" i="5"/>
  <c r="J375" i="5"/>
  <c r="J288" i="5"/>
  <c r="J20" i="5"/>
  <c r="J104" i="5"/>
  <c r="J139" i="5"/>
  <c r="J238" i="5"/>
  <c r="J266" i="5"/>
  <c r="J327" i="5"/>
  <c r="J580" i="5"/>
  <c r="J640" i="5"/>
  <c r="J714" i="5"/>
  <c r="J755" i="5"/>
  <c r="J980" i="5"/>
  <c r="B652" i="10"/>
  <c r="B675" i="2"/>
  <c r="B736" i="10"/>
  <c r="B807" i="2"/>
  <c r="P788" i="1"/>
  <c r="Q804" i="1"/>
  <c r="P813" i="1"/>
  <c r="Q860" i="1"/>
  <c r="B887" i="10"/>
  <c r="B670" i="2"/>
  <c r="Q912" i="1"/>
  <c r="B951" i="10"/>
  <c r="B939" i="2"/>
  <c r="O964" i="1"/>
  <c r="P1073" i="1"/>
  <c r="B1188" i="10"/>
  <c r="B1194" i="2"/>
  <c r="J27" i="5"/>
  <c r="J60" i="5"/>
  <c r="J84" i="5"/>
  <c r="J116" i="5"/>
  <c r="J177" i="5"/>
  <c r="J253" i="5"/>
  <c r="J382" i="5"/>
  <c r="J553" i="5"/>
  <c r="J559" i="5"/>
  <c r="J566" i="5"/>
  <c r="J587" i="5"/>
  <c r="J743" i="5"/>
  <c r="J749" i="5"/>
  <c r="J858" i="5"/>
  <c r="J960" i="5"/>
  <c r="P606" i="1"/>
  <c r="B613" i="10"/>
  <c r="B322" i="2"/>
  <c r="P621" i="1"/>
  <c r="O633" i="1"/>
  <c r="Q636" i="1"/>
  <c r="O640" i="1"/>
  <c r="B642" i="10"/>
  <c r="B342" i="2"/>
  <c r="B657" i="10"/>
  <c r="B755" i="2"/>
  <c r="O675" i="1"/>
  <c r="B704" i="10"/>
  <c r="B415" i="2"/>
  <c r="O717" i="1"/>
  <c r="B748" i="10"/>
  <c r="B600" i="2"/>
  <c r="B756" i="10"/>
  <c r="B617" i="2"/>
  <c r="O759" i="1"/>
  <c r="O769" i="1"/>
  <c r="B783" i="10"/>
  <c r="B400" i="2"/>
  <c r="P784" i="1"/>
  <c r="O790" i="1"/>
  <c r="B806" i="10"/>
  <c r="B867" i="2"/>
  <c r="P879" i="1"/>
  <c r="B916" i="10"/>
  <c r="B801" i="2"/>
  <c r="P928" i="1"/>
  <c r="B931" i="10"/>
  <c r="B917" i="2"/>
  <c r="B960" i="10"/>
  <c r="B786" i="2"/>
  <c r="O975" i="1"/>
  <c r="Q979" i="1"/>
  <c r="O987" i="1"/>
  <c r="P991" i="1"/>
  <c r="O993" i="1"/>
  <c r="O1007" i="1"/>
  <c r="P1009" i="1"/>
  <c r="Q1015" i="1"/>
  <c r="P1021" i="1"/>
  <c r="P1057" i="1"/>
  <c r="P1059" i="1"/>
  <c r="Q1063" i="1"/>
  <c r="Q1075" i="1"/>
  <c r="Q1077" i="1"/>
  <c r="Q1097" i="1"/>
  <c r="Q1103" i="1"/>
  <c r="O1124" i="1"/>
  <c r="O1132" i="1"/>
  <c r="O1144" i="1"/>
  <c r="Q1177" i="1"/>
  <c r="B1182" i="10"/>
  <c r="B1188" i="2"/>
  <c r="O1190" i="1"/>
  <c r="B160" i="2"/>
  <c r="J91" i="5"/>
  <c r="J183" i="5"/>
  <c r="P1083" i="1"/>
  <c r="P985" i="1"/>
  <c r="P1190" i="1"/>
  <c r="P1090" i="1"/>
  <c r="P1052" i="1"/>
  <c r="P1159" i="1"/>
  <c r="P1118" i="1"/>
  <c r="P1036" i="1"/>
  <c r="P1034" i="1"/>
  <c r="P838" i="1"/>
  <c r="P789" i="1"/>
  <c r="P1180" i="1"/>
  <c r="P1104" i="1"/>
  <c r="P1033" i="1"/>
  <c r="P894" i="1"/>
  <c r="P837" i="1"/>
  <c r="P1172" i="1"/>
  <c r="P1085" i="1"/>
  <c r="P1044" i="1"/>
  <c r="P976" i="1"/>
  <c r="P897" i="1"/>
  <c r="B13" i="10"/>
  <c r="B31" i="2"/>
  <c r="B45" i="10"/>
  <c r="B44" i="2"/>
  <c r="B48" i="10"/>
  <c r="B73" i="2"/>
  <c r="Q63" i="1"/>
  <c r="O94" i="1"/>
  <c r="Q100" i="1"/>
  <c r="O157" i="1"/>
  <c r="B159" i="10"/>
  <c r="B60" i="2"/>
  <c r="B218" i="10"/>
  <c r="B589" i="2"/>
  <c r="B335" i="2"/>
  <c r="B231" i="10"/>
  <c r="O234" i="1"/>
  <c r="B236" i="10"/>
  <c r="B184" i="2"/>
  <c r="Q252" i="1"/>
  <c r="P258" i="1"/>
  <c r="O304" i="1"/>
  <c r="P320" i="1"/>
  <c r="B341" i="10"/>
  <c r="B334" i="2"/>
  <c r="B371" i="10"/>
  <c r="B457" i="2"/>
  <c r="P377" i="1"/>
  <c r="B383" i="10"/>
  <c r="B240" i="2"/>
  <c r="B400" i="10"/>
  <c r="B158" i="2"/>
  <c r="P419" i="1"/>
  <c r="B425" i="10"/>
  <c r="B480" i="2"/>
  <c r="P448" i="1"/>
  <c r="Q455" i="1"/>
  <c r="P478" i="1"/>
  <c r="O487" i="1"/>
  <c r="Q497" i="1"/>
  <c r="B519" i="10"/>
  <c r="B368" i="2"/>
  <c r="O556" i="1"/>
  <c r="B588" i="10"/>
  <c r="B201" i="2"/>
  <c r="B630" i="10"/>
  <c r="B614" i="2"/>
  <c r="O647" i="1"/>
  <c r="P663" i="1"/>
  <c r="B672" i="10"/>
  <c r="B757" i="2"/>
  <c r="B684" i="10"/>
  <c r="B752" i="2"/>
  <c r="B714" i="10"/>
  <c r="B496" i="2"/>
  <c r="P720" i="1"/>
  <c r="B743" i="10"/>
  <c r="B671" i="2"/>
  <c r="P762" i="1"/>
  <c r="B778" i="10"/>
  <c r="B804" i="2"/>
  <c r="B794" i="10"/>
  <c r="B735" i="2"/>
  <c r="Q797" i="1"/>
  <c r="O811" i="1"/>
  <c r="B836" i="10"/>
  <c r="B832" i="2"/>
  <c r="B880" i="10"/>
  <c r="B760" i="2"/>
  <c r="P885" i="1"/>
  <c r="B889" i="10"/>
  <c r="B817" i="2"/>
  <c r="B898" i="10"/>
  <c r="B781" i="2"/>
  <c r="B900" i="10"/>
  <c r="B826" i="2"/>
  <c r="B909" i="10"/>
  <c r="B849" i="2"/>
  <c r="O912" i="1"/>
  <c r="O934" i="1"/>
  <c r="B936" i="10"/>
  <c r="B973" i="2"/>
  <c r="O956" i="1"/>
  <c r="P964" i="1"/>
  <c r="P977" i="1"/>
  <c r="O983" i="1"/>
  <c r="Q987" i="1"/>
  <c r="P999" i="1"/>
  <c r="Q1009" i="1"/>
  <c r="B1030" i="10"/>
  <c r="B1028" i="2"/>
  <c r="O1033" i="1"/>
  <c r="B1036" i="10"/>
  <c r="B1034" i="2"/>
  <c r="B1038" i="10"/>
  <c r="B1036" i="2"/>
  <c r="Q1065" i="1"/>
  <c r="O1087" i="1"/>
  <c r="O1089" i="1"/>
  <c r="P1093" i="1"/>
  <c r="P1095" i="1"/>
  <c r="O1101" i="1"/>
  <c r="Q1120" i="1"/>
  <c r="Q1122" i="1"/>
  <c r="Q1130" i="1"/>
  <c r="P1134" i="1"/>
  <c r="P1140" i="1"/>
  <c r="P1148" i="1"/>
  <c r="P1152" i="1"/>
  <c r="P1157" i="1"/>
  <c r="O1184" i="1"/>
  <c r="P1192" i="1"/>
  <c r="B46" i="2"/>
  <c r="B276" i="2"/>
  <c r="B618" i="2"/>
  <c r="B857" i="2"/>
  <c r="J10" i="5"/>
  <c r="J54" i="5"/>
  <c r="J105" i="5"/>
  <c r="J354" i="5"/>
  <c r="J430" i="5"/>
  <c r="J622" i="5"/>
  <c r="J1155" i="5"/>
  <c r="J294" i="5"/>
  <c r="J308" i="5"/>
  <c r="J315" i="5"/>
  <c r="J326" i="5"/>
  <c r="J356" i="5"/>
  <c r="J398" i="5"/>
  <c r="J411" i="5"/>
  <c r="J468" i="5"/>
  <c r="J474" i="5"/>
  <c r="J480" i="5"/>
  <c r="J492" i="5"/>
  <c r="J524" i="5"/>
  <c r="J530" i="5"/>
  <c r="J572" i="5"/>
  <c r="J586" i="5"/>
  <c r="J608" i="5"/>
  <c r="J621" i="5"/>
  <c r="J668" i="5"/>
  <c r="J675" i="5"/>
  <c r="J682" i="5"/>
  <c r="J710" i="5"/>
  <c r="J766" i="5"/>
  <c r="J780" i="5"/>
  <c r="J868" i="5"/>
  <c r="J966" i="5"/>
  <c r="J986" i="5"/>
  <c r="J1000" i="5"/>
  <c r="J1012" i="5"/>
  <c r="J1018" i="5"/>
  <c r="J1038" i="5"/>
  <c r="J1045" i="5"/>
  <c r="J1121" i="5"/>
  <c r="J1175" i="5"/>
  <c r="B862" i="10"/>
  <c r="B571" i="2"/>
  <c r="O863" i="1"/>
  <c r="O870" i="1"/>
  <c r="P904" i="1"/>
  <c r="B940" i="10"/>
  <c r="B902" i="2"/>
  <c r="P945" i="1"/>
  <c r="B947" i="10"/>
  <c r="B824" i="2"/>
  <c r="B968" i="10"/>
  <c r="B979" i="2"/>
  <c r="Q980" i="1"/>
  <c r="B1002" i="10"/>
  <c r="B1000" i="2"/>
  <c r="B1019" i="10"/>
  <c r="B1017" i="2"/>
  <c r="Q1020" i="1"/>
  <c r="P1030" i="1"/>
  <c r="B1043" i="10"/>
  <c r="B1042" i="2"/>
  <c r="Q1048" i="1"/>
  <c r="O1065" i="1"/>
  <c r="O1067" i="1"/>
  <c r="B1097" i="10"/>
  <c r="B1099" i="2"/>
  <c r="O1110" i="1"/>
  <c r="O1119" i="1"/>
  <c r="Q1149" i="1"/>
  <c r="Q1151" i="1"/>
  <c r="B1167" i="10"/>
  <c r="B1173" i="2"/>
  <c r="B1185" i="10"/>
  <c r="B1191" i="2"/>
  <c r="O1191" i="1"/>
  <c r="P1193" i="1"/>
  <c r="B85" i="2"/>
  <c r="B666" i="2"/>
  <c r="B1193" i="2"/>
  <c r="J93" i="5"/>
  <c r="J132" i="5"/>
  <c r="J144" i="5"/>
  <c r="J151" i="5"/>
  <c r="J158" i="5"/>
  <c r="J203" i="5"/>
  <c r="J209" i="5"/>
  <c r="J216" i="5"/>
  <c r="J256" i="5"/>
  <c r="J296" i="5"/>
  <c r="J303" i="5"/>
  <c r="J310" i="5"/>
  <c r="J339" i="5"/>
  <c r="J345" i="5"/>
  <c r="J352" i="5"/>
  <c r="J393" i="5"/>
  <c r="J406" i="5"/>
  <c r="J420" i="5"/>
  <c r="J463" i="5"/>
  <c r="J519" i="5"/>
  <c r="J532" i="5"/>
  <c r="J538" i="5"/>
  <c r="J560" i="5"/>
  <c r="J567" i="5"/>
  <c r="J581" i="5"/>
  <c r="J616" i="5"/>
  <c r="J670" i="5"/>
  <c r="J684" i="5"/>
  <c r="J738" i="5"/>
  <c r="J775" i="5"/>
  <c r="J813" i="5"/>
  <c r="J819" i="5"/>
  <c r="J870" i="5"/>
  <c r="J905" i="5"/>
  <c r="J961" i="5"/>
  <c r="J995" i="5"/>
  <c r="J1020" i="5"/>
  <c r="J1040" i="5"/>
  <c r="J1068" i="5"/>
  <c r="J1082" i="5"/>
  <c r="J1116" i="5"/>
  <c r="J1157" i="5"/>
  <c r="J1177" i="5"/>
  <c r="L470" i="6"/>
  <c r="M470" i="6" s="1"/>
  <c r="S470" i="10" s="1"/>
  <c r="Q273" i="1"/>
  <c r="Q322" i="1"/>
  <c r="B362" i="10"/>
  <c r="B126" i="2"/>
  <c r="Q371" i="1"/>
  <c r="B411" i="10"/>
  <c r="B851" i="2"/>
  <c r="Q420" i="1"/>
  <c r="B460" i="10"/>
  <c r="B572" i="2"/>
  <c r="Q469" i="1"/>
  <c r="B501" i="10"/>
  <c r="B431" i="2"/>
  <c r="B509" i="10"/>
  <c r="B489" i="2"/>
  <c r="Q518" i="1"/>
  <c r="B550" i="10"/>
  <c r="B397" i="2"/>
  <c r="B558" i="10"/>
  <c r="B903" i="2"/>
  <c r="Q567" i="1"/>
  <c r="B607" i="10"/>
  <c r="B516" i="2"/>
  <c r="Q616" i="1"/>
  <c r="B648" i="10"/>
  <c r="B524" i="2"/>
  <c r="Q665" i="1"/>
  <c r="B705" i="10"/>
  <c r="B712" i="2"/>
  <c r="Q714" i="1"/>
  <c r="B746" i="10"/>
  <c r="B782" i="2"/>
  <c r="B754" i="10"/>
  <c r="B437" i="2"/>
  <c r="Q763" i="1"/>
  <c r="B802" i="10"/>
  <c r="B574" i="2"/>
  <c r="B810" i="10"/>
  <c r="B475" i="2"/>
  <c r="B867" i="10"/>
  <c r="B698" i="2"/>
  <c r="B872" i="10"/>
  <c r="B924" i="2"/>
  <c r="B901" i="10"/>
  <c r="B746" i="2"/>
  <c r="B911" i="10"/>
  <c r="B841" i="2"/>
  <c r="O940" i="1"/>
  <c r="O950" i="1"/>
  <c r="B954" i="10"/>
  <c r="B959" i="2"/>
  <c r="Q955" i="1"/>
  <c r="O968" i="1"/>
  <c r="B970" i="10"/>
  <c r="B975" i="2"/>
  <c r="B995" i="10"/>
  <c r="B1065" i="2"/>
  <c r="Q1000" i="1"/>
  <c r="O1015" i="1"/>
  <c r="O1026" i="1"/>
  <c r="Q1039" i="1"/>
  <c r="B1045" i="10"/>
  <c r="B1044" i="2"/>
  <c r="O1059" i="1"/>
  <c r="B1071" i="10"/>
  <c r="B1071" i="2"/>
  <c r="Q1072" i="1"/>
  <c r="Q1078" i="1"/>
  <c r="Q1091" i="1"/>
  <c r="Q1123" i="1"/>
  <c r="B1131" i="10"/>
  <c r="B1136" i="2"/>
  <c r="P1138" i="1"/>
  <c r="O1157" i="1"/>
  <c r="O1159" i="1"/>
  <c r="Q1161" i="1"/>
  <c r="O1165" i="1"/>
  <c r="B1171" i="10"/>
  <c r="B1177" i="2"/>
  <c r="B1173" i="10"/>
  <c r="B1179" i="2"/>
  <c r="I1164" i="10"/>
  <c r="J1164" i="10" s="1"/>
  <c r="I443" i="10"/>
  <c r="J443" i="10" s="1"/>
  <c r="B845" i="2"/>
  <c r="J34" i="5"/>
  <c r="J80" i="5"/>
  <c r="J87" i="5"/>
  <c r="J127" i="5"/>
  <c r="J179" i="5"/>
  <c r="J210" i="5"/>
  <c r="J243" i="5"/>
  <c r="J250" i="5"/>
  <c r="J257" i="5"/>
  <c r="J269" i="5"/>
  <c r="J359" i="5"/>
  <c r="J366" i="5"/>
  <c r="J407" i="5"/>
  <c r="J432" i="5"/>
  <c r="J450" i="5"/>
  <c r="J574" i="5"/>
  <c r="J617" i="5"/>
  <c r="J630" i="5"/>
  <c r="J658" i="5"/>
  <c r="J677" i="5"/>
  <c r="J732" i="5"/>
  <c r="J833" i="5"/>
  <c r="J840" i="5"/>
  <c r="J847" i="5"/>
  <c r="J864" i="5"/>
  <c r="J891" i="5"/>
  <c r="J898" i="5"/>
  <c r="J925" i="5"/>
  <c r="J944" i="5"/>
  <c r="J956" i="5"/>
  <c r="J968" i="5"/>
  <c r="J975" i="5"/>
  <c r="J1096" i="5"/>
  <c r="L218" i="6"/>
  <c r="M218" i="6" s="1"/>
  <c r="S218" i="10" s="1"/>
  <c r="J59" i="5"/>
  <c r="J81" i="5"/>
  <c r="J122" i="5"/>
  <c r="J145" i="5"/>
  <c r="J152" i="5"/>
  <c r="J159" i="5"/>
  <c r="J192" i="5"/>
  <c r="J297" i="5"/>
  <c r="J304" i="5"/>
  <c r="J311" i="5"/>
  <c r="J346" i="5"/>
  <c r="J353" i="5"/>
  <c r="J394" i="5"/>
  <c r="J421" i="5"/>
  <c r="J457" i="5"/>
  <c r="J464" i="5"/>
  <c r="J506" i="5"/>
  <c r="J513" i="5"/>
  <c r="J533" i="5"/>
  <c r="J561" i="5"/>
  <c r="J575" i="5"/>
  <c r="J678" i="5"/>
  <c r="J713" i="5"/>
  <c r="J769" i="5"/>
  <c r="J776" i="5"/>
  <c r="J783" i="5"/>
  <c r="J790" i="5"/>
  <c r="J802" i="5"/>
  <c r="J878" i="5"/>
  <c r="J885" i="5"/>
  <c r="J906" i="5"/>
  <c r="J989" i="5"/>
  <c r="J996" i="5"/>
  <c r="J1055" i="5"/>
  <c r="J1083" i="5"/>
  <c r="J211" i="5"/>
  <c r="J244" i="5"/>
  <c r="J258" i="5"/>
  <c r="J264" i="5"/>
  <c r="J270" i="5"/>
  <c r="J334" i="5"/>
  <c r="J340" i="5"/>
  <c r="J347" i="5"/>
  <c r="J360" i="5"/>
  <c r="J367" i="5"/>
  <c r="J408" i="5"/>
  <c r="J415" i="5"/>
  <c r="J445" i="5"/>
  <c r="J520" i="5"/>
  <c r="J555" i="5"/>
  <c r="J562" i="5"/>
  <c r="J625" i="5"/>
  <c r="J631" i="5"/>
  <c r="J648" i="5"/>
  <c r="J653" i="5"/>
  <c r="J671" i="5"/>
  <c r="J685" i="5"/>
  <c r="J733" i="5"/>
  <c r="J763" i="5"/>
  <c r="J777" i="5"/>
  <c r="J808" i="5"/>
  <c r="J814" i="5"/>
  <c r="J841" i="5"/>
  <c r="J865" i="5"/>
  <c r="J892" i="5"/>
  <c r="J919" i="5"/>
  <c r="J945" i="5"/>
  <c r="J976" i="5"/>
  <c r="J1021" i="5"/>
  <c r="J1042" i="5"/>
  <c r="J1056" i="5"/>
  <c r="J1070" i="5"/>
  <c r="J1111" i="5"/>
  <c r="J1131" i="5"/>
  <c r="J205" i="5"/>
  <c r="J251" i="5"/>
  <c r="J298" i="5"/>
  <c r="J305" i="5"/>
  <c r="J312" i="5"/>
  <c r="J395" i="5"/>
  <c r="J401" i="5"/>
  <c r="J458" i="5"/>
  <c r="J465" i="5"/>
  <c r="J514" i="5"/>
  <c r="J521" i="5"/>
  <c r="J534" i="5"/>
  <c r="J576" i="5"/>
  <c r="J611" i="5"/>
  <c r="J679" i="5"/>
  <c r="J692" i="5"/>
  <c r="J720" i="5"/>
  <c r="J746" i="5"/>
  <c r="J770" i="5"/>
  <c r="J791" i="5"/>
  <c r="J803" i="5"/>
  <c r="J821" i="5"/>
  <c r="J920" i="5"/>
  <c r="J926" i="5"/>
  <c r="J970" i="5"/>
  <c r="J990" i="5"/>
  <c r="J1063" i="5"/>
  <c r="J1084" i="5"/>
  <c r="J1097" i="5"/>
  <c r="J1152" i="5"/>
  <c r="J245" i="5"/>
  <c r="J252" i="5"/>
  <c r="J259" i="5"/>
  <c r="J271" i="5"/>
  <c r="J341" i="5"/>
  <c r="J348" i="5"/>
  <c r="J361" i="5"/>
  <c r="J368" i="5"/>
  <c r="J402" i="5"/>
  <c r="J409" i="5"/>
  <c r="J416" i="5"/>
  <c r="J434" i="5"/>
  <c r="J440" i="5"/>
  <c r="J489" i="5"/>
  <c r="J501" i="5"/>
  <c r="J508" i="5"/>
  <c r="J556" i="5"/>
  <c r="J563" i="5"/>
  <c r="J569" i="5"/>
  <c r="J612" i="5"/>
  <c r="J619" i="5"/>
  <c r="J626" i="5"/>
  <c r="J665" i="5"/>
  <c r="J672" i="5"/>
  <c r="J758" i="5"/>
  <c r="J822" i="5"/>
  <c r="J835" i="5"/>
  <c r="J842" i="5"/>
  <c r="J879" i="5"/>
  <c r="J886" i="5"/>
  <c r="J893" i="5"/>
  <c r="J900" i="5"/>
  <c r="J1057" i="5"/>
  <c r="J1098" i="5"/>
  <c r="J1112" i="5"/>
  <c r="J30" i="5"/>
  <c r="J37" i="5"/>
  <c r="J49" i="5"/>
  <c r="J61" i="5"/>
  <c r="J147" i="5"/>
  <c r="J154" i="5"/>
  <c r="J161" i="5"/>
  <c r="J187" i="5"/>
  <c r="J199" i="5"/>
  <c r="J206" i="5"/>
  <c r="J287" i="5"/>
  <c r="J299" i="5"/>
  <c r="J306" i="5"/>
  <c r="J313" i="5"/>
  <c r="J335" i="5"/>
  <c r="J342" i="5"/>
  <c r="J459" i="5"/>
  <c r="J490" i="5"/>
  <c r="J522" i="5"/>
  <c r="J557" i="5"/>
  <c r="J570" i="5"/>
  <c r="J577" i="5"/>
  <c r="J584" i="5"/>
  <c r="J590" i="5"/>
  <c r="J673" i="5"/>
  <c r="J693" i="5"/>
  <c r="J721" i="5"/>
  <c r="J728" i="5"/>
  <c r="J747" i="5"/>
  <c r="J771" i="5"/>
  <c r="J798" i="5"/>
  <c r="J809" i="5"/>
  <c r="J921" i="5"/>
  <c r="J964" i="5"/>
  <c r="J971" i="5"/>
  <c r="J984" i="5"/>
  <c r="J991" i="5"/>
  <c r="J998" i="5"/>
  <c r="J1050" i="5"/>
  <c r="J1085" i="5"/>
  <c r="J282" i="5"/>
  <c r="J336" i="5"/>
  <c r="J362" i="5"/>
  <c r="J369" i="5"/>
  <c r="J396" i="5"/>
  <c r="J403" i="5"/>
  <c r="J435" i="5"/>
  <c r="J453" i="5"/>
  <c r="J515" i="5"/>
  <c r="J627" i="5"/>
  <c r="J660" i="5"/>
  <c r="J715" i="5"/>
  <c r="J753" i="5"/>
  <c r="J772" i="5"/>
  <c r="J779" i="5"/>
  <c r="J836" i="5"/>
  <c r="J843" i="5"/>
  <c r="J873" i="5"/>
  <c r="J887" i="5"/>
  <c r="J901" i="5"/>
  <c r="J934" i="5"/>
  <c r="J1037" i="5"/>
  <c r="J1051" i="5"/>
  <c r="J1065" i="5"/>
  <c r="J1092" i="5"/>
  <c r="J1099" i="5"/>
  <c r="J1106" i="5"/>
  <c r="J1181" i="5"/>
  <c r="J72" i="5"/>
  <c r="J135" i="5"/>
  <c r="J155" i="5"/>
  <c r="J182" i="5"/>
  <c r="J200" i="5"/>
  <c r="J277" i="5"/>
  <c r="J314" i="5"/>
  <c r="J343" i="5"/>
  <c r="J355" i="5"/>
  <c r="J410" i="5"/>
  <c r="J460" i="5"/>
  <c r="J467" i="5"/>
  <c r="J479" i="5"/>
  <c r="J516" i="5"/>
  <c r="J523" i="5"/>
  <c r="J529" i="5"/>
  <c r="J558" i="5"/>
  <c r="J571" i="5"/>
  <c r="J578" i="5"/>
  <c r="J585" i="5"/>
  <c r="J620" i="5"/>
  <c r="J674" i="5"/>
  <c r="J681" i="5"/>
  <c r="J741" i="5"/>
  <c r="J748" i="5"/>
  <c r="J765" i="5"/>
  <c r="J793" i="5"/>
  <c r="J922" i="5"/>
  <c r="J972" i="5"/>
  <c r="J985" i="5"/>
  <c r="J999" i="5"/>
  <c r="J1024" i="5"/>
  <c r="B11" i="10"/>
  <c r="B47" i="2"/>
  <c r="B27" i="10"/>
  <c r="B217" i="2"/>
  <c r="B49" i="10"/>
  <c r="B28" i="2"/>
  <c r="B433" i="2"/>
  <c r="B68" i="10"/>
  <c r="B71" i="10"/>
  <c r="B213" i="2"/>
  <c r="O87" i="1"/>
  <c r="B104" i="10"/>
  <c r="B41" i="2"/>
  <c r="Q126" i="1"/>
  <c r="B144" i="10"/>
  <c r="B138" i="2"/>
  <c r="B200" i="10"/>
  <c r="B481" i="2"/>
  <c r="Q217" i="1"/>
  <c r="B249" i="10"/>
  <c r="B371" i="2"/>
  <c r="Q266" i="1"/>
  <c r="B298" i="10"/>
  <c r="B142" i="2"/>
  <c r="Q315" i="1"/>
  <c r="B347" i="10"/>
  <c r="B815" i="2"/>
  <c r="Q364" i="1"/>
  <c r="B404" i="10"/>
  <c r="B561" i="2"/>
  <c r="Q413" i="1"/>
  <c r="B453" i="10"/>
  <c r="B295" i="2"/>
  <c r="Q462" i="1"/>
  <c r="B502" i="10"/>
  <c r="B267" i="2"/>
  <c r="Q511" i="1"/>
  <c r="B543" i="10"/>
  <c r="B348" i="2"/>
  <c r="Q560" i="1"/>
  <c r="B600" i="10"/>
  <c r="B713" i="2"/>
  <c r="Q609" i="1"/>
  <c r="Q658" i="1"/>
  <c r="B698" i="10"/>
  <c r="B769" i="2"/>
  <c r="Q707" i="1"/>
  <c r="B739" i="10"/>
  <c r="B659" i="2"/>
  <c r="B747" i="10"/>
  <c r="B306" i="2"/>
  <c r="Q756" i="1"/>
  <c r="O814" i="1"/>
  <c r="Q822" i="1"/>
  <c r="B829" i="10"/>
  <c r="B730" i="2"/>
  <c r="O850" i="1"/>
  <c r="B876" i="10"/>
  <c r="B797" i="2"/>
  <c r="Q895" i="1"/>
  <c r="B912" i="10"/>
  <c r="B911" i="2"/>
  <c r="B938" i="10"/>
  <c r="B923" i="2"/>
  <c r="O948" i="1"/>
  <c r="B955" i="10"/>
  <c r="B941" i="2"/>
  <c r="Q958" i="1"/>
  <c r="B978" i="10"/>
  <c r="B978" i="2"/>
  <c r="P983" i="1"/>
  <c r="Q999" i="1"/>
  <c r="Q1012" i="1"/>
  <c r="B1022" i="10"/>
  <c r="B1020" i="2"/>
  <c r="P1042" i="1"/>
  <c r="O1046" i="1"/>
  <c r="B1050" i="10"/>
  <c r="B1049" i="2"/>
  <c r="O1053" i="1"/>
  <c r="P1075" i="1"/>
  <c r="P1081" i="1"/>
  <c r="B1091" i="10"/>
  <c r="B1092" i="2"/>
  <c r="Q1096" i="1"/>
  <c r="Q1098" i="1"/>
  <c r="P1100" i="1"/>
  <c r="P1126" i="1"/>
  <c r="P1135" i="1"/>
  <c r="P1141" i="1"/>
  <c r="O1143" i="1"/>
  <c r="O1160" i="1"/>
  <c r="O1166" i="1"/>
  <c r="O1172" i="1"/>
  <c r="O1178" i="1"/>
  <c r="P1182" i="1"/>
  <c r="O1194" i="1"/>
  <c r="B234" i="2"/>
  <c r="B1180" i="2"/>
  <c r="J25" i="5"/>
  <c r="J32" i="5"/>
  <c r="J67" i="5"/>
  <c r="J90" i="5"/>
  <c r="J97" i="5"/>
  <c r="J136" i="5"/>
  <c r="J234" i="5"/>
  <c r="J247" i="5"/>
  <c r="J254" i="5"/>
  <c r="J261" i="5"/>
  <c r="J300" i="5"/>
  <c r="J307" i="5"/>
  <c r="J370" i="5"/>
  <c r="J404" i="5"/>
  <c r="J424" i="5"/>
  <c r="J436" i="5"/>
  <c r="J448" i="5"/>
  <c r="J491" i="5"/>
  <c r="J503" i="5"/>
  <c r="J614" i="5"/>
  <c r="J655" i="5"/>
  <c r="J667" i="5"/>
  <c r="J688" i="5"/>
  <c r="J716" i="5"/>
  <c r="J723" i="5"/>
  <c r="J742" i="5"/>
  <c r="J830" i="5"/>
  <c r="J837" i="5"/>
  <c r="J844" i="5"/>
  <c r="J874" i="5"/>
  <c r="J888" i="5"/>
  <c r="J895" i="5"/>
  <c r="J902" i="5"/>
  <c r="J935" i="5"/>
  <c r="J965" i="5"/>
  <c r="J1052" i="5"/>
  <c r="J1093" i="5"/>
  <c r="J1107" i="5"/>
  <c r="L358" i="6"/>
  <c r="M358" i="6" s="1"/>
  <c r="S358" i="10" s="1"/>
  <c r="B802" i="2"/>
  <c r="B1150" i="2"/>
  <c r="J3" i="5"/>
  <c r="J68" i="5"/>
  <c r="J73" i="5"/>
  <c r="J92" i="5"/>
  <c r="J98" i="5"/>
  <c r="J138" i="5"/>
  <c r="J148" i="5"/>
  <c r="J153" i="5"/>
  <c r="J278" i="5"/>
  <c r="J283" i="5"/>
  <c r="J333" i="5"/>
  <c r="J358" i="5"/>
  <c r="J363" i="5"/>
  <c r="J433" i="5"/>
  <c r="J539" i="5"/>
  <c r="J544" i="5"/>
  <c r="J549" i="5"/>
  <c r="J568" i="5"/>
  <c r="J573" i="5"/>
  <c r="J613" i="5"/>
  <c r="J618" i="5"/>
  <c r="J623" i="5"/>
  <c r="J689" i="5"/>
  <c r="J754" i="5"/>
  <c r="J759" i="5"/>
  <c r="J778" i="5"/>
  <c r="J784" i="5"/>
  <c r="J824" i="5"/>
  <c r="J834" i="5"/>
  <c r="J839" i="5"/>
  <c r="J904" i="5"/>
  <c r="J962" i="5"/>
  <c r="J1120" i="5"/>
  <c r="J1132" i="5"/>
  <c r="J1158" i="5"/>
  <c r="J1164" i="5"/>
  <c r="J1182" i="5"/>
  <c r="L106" i="6"/>
  <c r="M106" i="6" s="1"/>
  <c r="S106" i="10" s="1"/>
  <c r="L194" i="6"/>
  <c r="M194" i="6" s="1"/>
  <c r="S194" i="10" s="1"/>
  <c r="L302" i="6"/>
  <c r="M302" i="6" s="1"/>
  <c r="S302" i="10" s="1"/>
  <c r="L390" i="6"/>
  <c r="M390" i="6" s="1"/>
  <c r="S390" i="10" s="1"/>
  <c r="L418" i="6"/>
  <c r="M418" i="6" s="1"/>
  <c r="S418" i="10" s="1"/>
  <c r="L468" i="6"/>
  <c r="M468" i="6" s="1"/>
  <c r="S468" i="10" s="1"/>
  <c r="L942" i="6"/>
  <c r="M942" i="6" s="1"/>
  <c r="S942" i="10" s="1"/>
  <c r="J1032" i="5"/>
  <c r="J1073" i="5"/>
  <c r="J1143" i="5"/>
  <c r="J1148" i="5"/>
  <c r="J1153" i="5"/>
  <c r="J1165" i="5"/>
  <c r="J1183" i="5"/>
  <c r="J735" i="5"/>
  <c r="J740" i="5"/>
  <c r="J745" i="5"/>
  <c r="J937" i="5"/>
  <c r="J969" i="5"/>
  <c r="J974" i="5"/>
  <c r="J1043" i="5"/>
  <c r="J1089" i="5"/>
  <c r="J1127" i="5"/>
  <c r="J1138" i="5"/>
  <c r="J1159" i="5"/>
  <c r="J1171" i="5"/>
  <c r="J1189" i="5"/>
  <c r="L110" i="6"/>
  <c r="M110" i="6" s="1"/>
  <c r="S110" i="10" s="1"/>
  <c r="L306" i="6"/>
  <c r="M306" i="6" s="1"/>
  <c r="S306" i="10" s="1"/>
  <c r="B100" i="10"/>
  <c r="B152" i="2"/>
  <c r="B142" i="10"/>
  <c r="B362" i="2"/>
  <c r="B54" i="2"/>
  <c r="B177" i="10"/>
  <c r="B219" i="10"/>
  <c r="B181" i="2"/>
  <c r="B236" i="2"/>
  <c r="B303" i="10"/>
  <c r="B324" i="10"/>
  <c r="B558" i="2"/>
  <c r="B373" i="10"/>
  <c r="B82" i="2"/>
  <c r="B408" i="10"/>
  <c r="B292" i="2"/>
  <c r="B478" i="10"/>
  <c r="B642" i="2"/>
  <c r="B520" i="10"/>
  <c r="B699" i="2"/>
  <c r="B534" i="10"/>
  <c r="B124" i="2"/>
  <c r="B548" i="10"/>
  <c r="B320" i="2"/>
  <c r="B653" i="10"/>
  <c r="B587" i="2"/>
  <c r="B681" i="10"/>
  <c r="B223" i="2"/>
  <c r="B723" i="10"/>
  <c r="B754" i="2"/>
  <c r="B824" i="10"/>
  <c r="B836" i="2"/>
  <c r="B922" i="10"/>
  <c r="B853" i="2"/>
  <c r="B925" i="10"/>
  <c r="B968" i="2"/>
  <c r="B966" i="10"/>
  <c r="B936" i="2"/>
  <c r="B1023" i="10"/>
  <c r="B1021" i="2"/>
  <c r="B1064" i="10"/>
  <c r="B1063" i="2"/>
  <c r="B1102" i="10"/>
  <c r="B1105" i="2"/>
  <c r="B135" i="2"/>
  <c r="B151" i="2"/>
  <c r="B169" i="2"/>
  <c r="B249" i="2"/>
  <c r="B299" i="2"/>
  <c r="B347" i="2"/>
  <c r="B445" i="2"/>
  <c r="B495" i="2"/>
  <c r="B511" i="2"/>
  <c r="B577" i="2"/>
  <c r="B593" i="2"/>
  <c r="B773" i="2"/>
  <c r="B822" i="2"/>
  <c r="B892" i="2"/>
  <c r="B981" i="2"/>
  <c r="B1014" i="2"/>
  <c r="B1032" i="2"/>
  <c r="B1085" i="2"/>
  <c r="B1120" i="2"/>
  <c r="J44" i="5"/>
  <c r="J124" i="5"/>
  <c r="J129" i="5"/>
  <c r="J194" i="5"/>
  <c r="J204" i="5"/>
  <c r="J289" i="5"/>
  <c r="J414" i="5"/>
  <c r="J495" i="5"/>
  <c r="J535" i="5"/>
  <c r="J600" i="5"/>
  <c r="J605" i="5"/>
  <c r="J624" i="5"/>
  <c r="J730" i="5"/>
  <c r="J810" i="5"/>
  <c r="J815" i="5"/>
  <c r="J880" i="5"/>
  <c r="J927" i="5"/>
  <c r="J938" i="5"/>
  <c r="J963" i="5"/>
  <c r="J1033" i="5"/>
  <c r="J1058" i="5"/>
  <c r="J1100" i="5"/>
  <c r="J1105" i="5"/>
  <c r="J1110" i="5"/>
  <c r="J1133" i="5"/>
  <c r="J1160" i="5"/>
  <c r="J1172" i="5"/>
  <c r="L6" i="6"/>
  <c r="M6" i="6" s="1"/>
  <c r="S6" i="10" s="1"/>
  <c r="L20" i="6"/>
  <c r="M20" i="6" s="1"/>
  <c r="S20" i="10" s="1"/>
  <c r="L34" i="6"/>
  <c r="M34" i="6" s="1"/>
  <c r="S34" i="10" s="1"/>
  <c r="L122" i="6"/>
  <c r="M122" i="6" s="1"/>
  <c r="S122" i="10" s="1"/>
  <c r="L176" i="6"/>
  <c r="M176" i="6" s="1"/>
  <c r="S176" i="10" s="1"/>
  <c r="L188" i="6"/>
  <c r="M188" i="6" s="1"/>
  <c r="S188" i="10" s="1"/>
  <c r="L318" i="6"/>
  <c r="M318" i="6" s="1"/>
  <c r="S318" i="10" s="1"/>
  <c r="L372" i="6"/>
  <c r="M372" i="6" s="1"/>
  <c r="S372" i="10" s="1"/>
  <c r="L384" i="6"/>
  <c r="M384" i="6" s="1"/>
  <c r="S384" i="10" s="1"/>
  <c r="B953" i="10"/>
  <c r="B820" i="2"/>
  <c r="B1048" i="10"/>
  <c r="B1047" i="2"/>
  <c r="B1089" i="10"/>
  <c r="B1090" i="2"/>
  <c r="B39" i="2"/>
  <c r="B187" i="2"/>
  <c r="B203" i="2"/>
  <c r="B285" i="2"/>
  <c r="B383" i="2"/>
  <c r="B399" i="2"/>
  <c r="B563" i="2"/>
  <c r="B595" i="2"/>
  <c r="B611" i="2"/>
  <c r="B645" i="2"/>
  <c r="B860" i="2"/>
  <c r="B913" i="2"/>
  <c r="B1070" i="2"/>
  <c r="J5" i="5"/>
  <c r="J45" i="5"/>
  <c r="J110" i="5"/>
  <c r="J115" i="5"/>
  <c r="J134" i="5"/>
  <c r="J240" i="5"/>
  <c r="J320" i="5"/>
  <c r="J325" i="5"/>
  <c r="J390" i="5"/>
  <c r="J400" i="5"/>
  <c r="J485" i="5"/>
  <c r="J500" i="5"/>
  <c r="J505" i="5"/>
  <c r="J510" i="5"/>
  <c r="J610" i="5"/>
  <c r="J691" i="5"/>
  <c r="J731" i="5"/>
  <c r="J796" i="5"/>
  <c r="J801" i="5"/>
  <c r="J820" i="5"/>
  <c r="J917" i="5"/>
  <c r="J928" i="5"/>
  <c r="J933" i="5"/>
  <c r="J1006" i="5"/>
  <c r="J1027" i="5"/>
  <c r="J1034" i="5"/>
  <c r="J1044" i="5"/>
  <c r="J1049" i="5"/>
  <c r="J1054" i="5"/>
  <c r="J1080" i="5"/>
  <c r="J1173" i="5"/>
  <c r="J1190" i="5"/>
  <c r="L10" i="6"/>
  <c r="M10" i="6" s="1"/>
  <c r="S10" i="10" s="1"/>
  <c r="L24" i="6"/>
  <c r="M24" i="6" s="1"/>
  <c r="S24" i="10" s="1"/>
  <c r="L38" i="6"/>
  <c r="M38" i="6" s="1"/>
  <c r="S38" i="10" s="1"/>
  <c r="L234" i="6"/>
  <c r="M234" i="6" s="1"/>
  <c r="S234" i="10" s="1"/>
  <c r="B820" i="10"/>
  <c r="B740" i="2"/>
  <c r="O821" i="1"/>
  <c r="Q853" i="1"/>
  <c r="B899" i="10"/>
  <c r="B768" i="2"/>
  <c r="O919" i="1"/>
  <c r="Q951" i="1"/>
  <c r="O1017" i="1"/>
  <c r="Q1049" i="1"/>
  <c r="B1114" i="10"/>
  <c r="B1118" i="2"/>
  <c r="O1115" i="1"/>
  <c r="Q1147" i="1"/>
  <c r="O1164" i="1"/>
  <c r="B156" i="2"/>
  <c r="B238" i="2"/>
  <c r="B270" i="2"/>
  <c r="B336" i="2"/>
  <c r="B352" i="2"/>
  <c r="B434" i="2"/>
  <c r="B498" i="2"/>
  <c r="B514" i="2"/>
  <c r="B580" i="2"/>
  <c r="B596" i="2"/>
  <c r="B662" i="2"/>
  <c r="B827" i="2"/>
  <c r="B914" i="2"/>
  <c r="B985" i="2"/>
  <c r="B1001" i="2"/>
  <c r="B1018" i="2"/>
  <c r="B1088" i="2"/>
  <c r="B1156" i="2"/>
  <c r="B1192" i="2"/>
  <c r="J40" i="5"/>
  <c r="J50" i="5"/>
  <c r="J180" i="5"/>
  <c r="J185" i="5"/>
  <c r="J235" i="5"/>
  <c r="J260" i="5"/>
  <c r="J265" i="5"/>
  <c r="J441" i="5"/>
  <c r="J446" i="5"/>
  <c r="J451" i="5"/>
  <c r="J470" i="5"/>
  <c r="J591" i="5"/>
  <c r="J656" i="5"/>
  <c r="J661" i="5"/>
  <c r="J680" i="5"/>
  <c r="J686" i="5"/>
  <c r="J726" i="5"/>
  <c r="J736" i="5"/>
  <c r="J866" i="5"/>
  <c r="J871" i="5"/>
  <c r="J912" i="5"/>
  <c r="J1028" i="5"/>
  <c r="J1059" i="5"/>
  <c r="J1064" i="5"/>
  <c r="J1069" i="5"/>
  <c r="J1075" i="5"/>
  <c r="J1091" i="5"/>
  <c r="J1117" i="5"/>
  <c r="J1123" i="5"/>
  <c r="J1129" i="5"/>
  <c r="J1191" i="5"/>
  <c r="L138" i="6"/>
  <c r="M138" i="6" s="1"/>
  <c r="S138" i="10" s="1"/>
  <c r="L334" i="6"/>
  <c r="M334" i="6" s="1"/>
  <c r="S334" i="10" s="1"/>
  <c r="L848" i="6"/>
  <c r="M848" i="6" s="1"/>
  <c r="S848" i="10" s="1"/>
  <c r="L984" i="6"/>
  <c r="M984" i="6" s="1"/>
  <c r="S984" i="10" s="1"/>
  <c r="J806" i="5"/>
  <c r="J811" i="5"/>
  <c r="J816" i="5"/>
  <c r="J826" i="5"/>
  <c r="J851" i="5"/>
  <c r="J856" i="5"/>
  <c r="J861" i="5"/>
  <c r="J881" i="5"/>
  <c r="J907" i="5"/>
  <c r="J923" i="5"/>
  <c r="J939" i="5"/>
  <c r="J949" i="5"/>
  <c r="J954" i="5"/>
  <c r="J959" i="5"/>
  <c r="J981" i="5"/>
  <c r="J987" i="5"/>
  <c r="J992" i="5"/>
  <c r="J997" i="5"/>
  <c r="J1016" i="5"/>
  <c r="J1022" i="5"/>
  <c r="J1081" i="5"/>
  <c r="J1140" i="5"/>
  <c r="J1145" i="5"/>
  <c r="J1150" i="5"/>
  <c r="J1161" i="5"/>
  <c r="J1167" i="5"/>
  <c r="J1185" i="5"/>
  <c r="L14" i="6"/>
  <c r="M14" i="6" s="1"/>
  <c r="S14" i="10" s="1"/>
  <c r="L28" i="6"/>
  <c r="M28" i="6" s="1"/>
  <c r="S28" i="10" s="1"/>
  <c r="L150" i="6"/>
  <c r="M150" i="6" s="1"/>
  <c r="S150" i="10" s="1"/>
  <c r="B1063" i="10"/>
  <c r="B1062" i="2"/>
  <c r="B1139" i="10"/>
  <c r="B1144" i="2"/>
  <c r="B1142" i="10"/>
  <c r="B1147" i="2"/>
  <c r="B1157" i="10"/>
  <c r="B1162" i="2"/>
  <c r="B108" i="2"/>
  <c r="B256" i="2"/>
  <c r="B272" i="2"/>
  <c r="B288" i="2"/>
  <c r="B354" i="2"/>
  <c r="B436" i="2"/>
  <c r="B468" i="2"/>
  <c r="B534" i="2"/>
  <c r="B566" i="2"/>
  <c r="B696" i="2"/>
  <c r="B762" i="2"/>
  <c r="B778" i="2"/>
  <c r="B829" i="2"/>
  <c r="B882" i="2"/>
  <c r="B970" i="2"/>
  <c r="B1039" i="2"/>
  <c r="J101" i="5"/>
  <c r="J166" i="5"/>
  <c r="J171" i="5"/>
  <c r="J190" i="5"/>
  <c r="J196" i="5"/>
  <c r="J236" i="5"/>
  <c r="J246" i="5"/>
  <c r="J376" i="5"/>
  <c r="J381" i="5"/>
  <c r="J431" i="5"/>
  <c r="J456" i="5"/>
  <c r="J461" i="5"/>
  <c r="J466" i="5"/>
  <c r="J637" i="5"/>
  <c r="J642" i="5"/>
  <c r="J647" i="5"/>
  <c r="J666" i="5"/>
  <c r="J787" i="5"/>
  <c r="J852" i="5"/>
  <c r="J857" i="5"/>
  <c r="J876" i="5"/>
  <c r="J882" i="5"/>
  <c r="J913" i="5"/>
  <c r="J950" i="5"/>
  <c r="J955" i="5"/>
  <c r="J982" i="5"/>
  <c r="J1023" i="5"/>
  <c r="J1118" i="5"/>
  <c r="J1141" i="5"/>
  <c r="J1146" i="5"/>
  <c r="J1186" i="5"/>
  <c r="L54" i="6"/>
  <c r="M54" i="6" s="1"/>
  <c r="S54" i="10" s="1"/>
  <c r="L250" i="6"/>
  <c r="M250" i="6" s="1"/>
  <c r="S250" i="10" s="1"/>
  <c r="L502" i="6"/>
  <c r="M502" i="6" s="1"/>
  <c r="S502" i="10" s="1"/>
  <c r="L1010" i="6"/>
  <c r="M1010" i="6" s="1"/>
  <c r="S1010" i="10" s="1"/>
  <c r="P1178" i="1"/>
  <c r="B273" i="2"/>
  <c r="B289" i="2"/>
  <c r="B485" i="2"/>
  <c r="J26" i="5"/>
  <c r="J31" i="5"/>
  <c r="J96" i="5"/>
  <c r="J106" i="5"/>
  <c r="J111" i="5"/>
  <c r="J191" i="5"/>
  <c r="J316" i="5"/>
  <c r="J321" i="5"/>
  <c r="J391" i="5"/>
  <c r="J397" i="5"/>
  <c r="J437" i="5"/>
  <c r="J471" i="5"/>
  <c r="J476" i="5"/>
  <c r="J481" i="5"/>
  <c r="J502" i="5"/>
  <c r="J507" i="5"/>
  <c r="J526" i="5"/>
  <c r="J632" i="5"/>
  <c r="J712" i="5"/>
  <c r="J717" i="5"/>
  <c r="J782" i="5"/>
  <c r="J792" i="5"/>
  <c r="J797" i="5"/>
  <c r="J877" i="5"/>
  <c r="J908" i="5"/>
  <c r="J929" i="5"/>
  <c r="J977" i="5"/>
  <c r="J1002" i="5"/>
  <c r="J1007" i="5"/>
  <c r="J1017" i="5"/>
  <c r="J1035" i="5"/>
  <c r="J1041" i="5"/>
  <c r="J1124" i="5"/>
  <c r="J1156" i="5"/>
  <c r="J1168" i="5"/>
  <c r="L4" i="6"/>
  <c r="M4" i="6" s="1"/>
  <c r="S4" i="10" s="1"/>
  <c r="L18" i="6"/>
  <c r="M18" i="6" s="1"/>
  <c r="S18" i="10" s="1"/>
  <c r="L32" i="6"/>
  <c r="M32" i="6" s="1"/>
  <c r="S32" i="10" s="1"/>
  <c r="L66" i="6"/>
  <c r="M66" i="6" s="1"/>
  <c r="S66" i="10" s="1"/>
  <c r="L120" i="6"/>
  <c r="M120" i="6" s="1"/>
  <c r="S120" i="10" s="1"/>
  <c r="L132" i="6"/>
  <c r="M132" i="6" s="1"/>
  <c r="S132" i="10" s="1"/>
  <c r="L262" i="6"/>
  <c r="M262" i="6" s="1"/>
  <c r="S262" i="10" s="1"/>
  <c r="L316" i="6"/>
  <c r="M316" i="6" s="1"/>
  <c r="S316" i="10" s="1"/>
  <c r="L328" i="6"/>
  <c r="M328" i="6" s="1"/>
  <c r="S328" i="10" s="1"/>
  <c r="L486" i="6"/>
  <c r="M486" i="6" s="1"/>
  <c r="S486" i="10" s="1"/>
  <c r="B977" i="10"/>
  <c r="B964" i="2"/>
  <c r="B996" i="10"/>
  <c r="B993" i="2"/>
  <c r="B1037" i="10"/>
  <c r="B1035" i="2"/>
  <c r="B161" i="2"/>
  <c r="B227" i="2"/>
  <c r="B259" i="2"/>
  <c r="B325" i="2"/>
  <c r="B537" i="2"/>
  <c r="B569" i="2"/>
  <c r="B585" i="2"/>
  <c r="B603" i="2"/>
  <c r="B717" i="2"/>
  <c r="B749" i="2"/>
  <c r="B799" i="2"/>
  <c r="B920" i="2"/>
  <c r="B956" i="2"/>
  <c r="B990" i="2"/>
  <c r="B1008" i="2"/>
  <c r="B1078" i="2"/>
  <c r="B1095" i="2"/>
  <c r="B1111" i="2"/>
  <c r="J1176" i="5"/>
  <c r="J1166" i="5"/>
  <c r="J1086" i="5"/>
  <c r="J1030" i="5"/>
  <c r="J1170" i="5"/>
  <c r="J1114" i="5"/>
  <c r="J1154" i="5"/>
  <c r="J1184" i="5"/>
  <c r="J1128" i="5"/>
  <c r="J918" i="5"/>
  <c r="J1072" i="5"/>
  <c r="J12" i="5"/>
  <c r="J17" i="5"/>
  <c r="J36" i="5"/>
  <c r="J142" i="5"/>
  <c r="J222" i="5"/>
  <c r="J227" i="5"/>
  <c r="J292" i="5"/>
  <c r="J302" i="5"/>
  <c r="J387" i="5"/>
  <c r="J512" i="5"/>
  <c r="J593" i="5"/>
  <c r="J633" i="5"/>
  <c r="J698" i="5"/>
  <c r="J703" i="5"/>
  <c r="J722" i="5"/>
  <c r="J828" i="5"/>
  <c r="J941" i="5"/>
  <c r="J978" i="5"/>
  <c r="J988" i="5"/>
  <c r="J993" i="5"/>
  <c r="J1113" i="5"/>
  <c r="J1119" i="5"/>
  <c r="J1169" i="5"/>
  <c r="J1193" i="5"/>
  <c r="L8" i="6"/>
  <c r="M8" i="6" s="1"/>
  <c r="S8" i="10" s="1"/>
  <c r="L22" i="6"/>
  <c r="M22" i="6" s="1"/>
  <c r="S22" i="10" s="1"/>
  <c r="L36" i="6"/>
  <c r="M36" i="6" s="1"/>
  <c r="S36" i="10" s="1"/>
  <c r="L48" i="6"/>
  <c r="M48" i="6" s="1"/>
  <c r="S48" i="10" s="1"/>
  <c r="L178" i="6"/>
  <c r="M178" i="6" s="1"/>
  <c r="S178" i="10" s="1"/>
  <c r="L232" i="6"/>
  <c r="M232" i="6" s="1"/>
  <c r="S232" i="10" s="1"/>
  <c r="L244" i="6"/>
  <c r="M244" i="6" s="1"/>
  <c r="S244" i="10" s="1"/>
  <c r="L374" i="6"/>
  <c r="M374" i="6" s="1"/>
  <c r="S374" i="10" s="1"/>
  <c r="L458" i="6"/>
  <c r="M458" i="6" s="1"/>
  <c r="S458" i="10" s="1"/>
  <c r="L660" i="6"/>
  <c r="M660" i="6" s="1"/>
  <c r="S660" i="10" s="1"/>
  <c r="L806" i="6"/>
  <c r="M806" i="6" s="1"/>
  <c r="S806" i="10" s="1"/>
  <c r="L1018" i="6"/>
  <c r="M1018" i="6" s="1"/>
  <c r="S1018" i="10" s="1"/>
  <c r="J588" i="5"/>
  <c r="J628" i="5"/>
  <c r="J768" i="5"/>
  <c r="J773" i="5"/>
  <c r="J823" i="5"/>
  <c r="J848" i="5"/>
  <c r="J853" i="5"/>
  <c r="J889" i="5"/>
  <c r="J894" i="5"/>
  <c r="J914" i="5"/>
  <c r="J946" i="5"/>
  <c r="J951" i="5"/>
  <c r="J967" i="5"/>
  <c r="J1003" i="5"/>
  <c r="J1008" i="5"/>
  <c r="J1013" i="5"/>
  <c r="J1061" i="5"/>
  <c r="J1066" i="5"/>
  <c r="J1071" i="5"/>
  <c r="J1077" i="5"/>
  <c r="J1103" i="5"/>
  <c r="J1108" i="5"/>
  <c r="J1125" i="5"/>
  <c r="J1137" i="5"/>
  <c r="J1142" i="5"/>
  <c r="J1147" i="5"/>
  <c r="J1163" i="5"/>
  <c r="J1187" i="5"/>
  <c r="L414" i="6"/>
  <c r="M414" i="6" s="1"/>
  <c r="S414" i="10" s="1"/>
  <c r="B129" i="10"/>
  <c r="B419" i="2"/>
  <c r="B26" i="2"/>
  <c r="B171" i="10"/>
  <c r="B213" i="10"/>
  <c r="B293" i="2"/>
  <c r="B220" i="10"/>
  <c r="B628" i="2"/>
  <c r="B360" i="10"/>
  <c r="B69" i="2"/>
  <c r="B388" i="10"/>
  <c r="B377" i="2"/>
  <c r="B416" i="10"/>
  <c r="B96" i="2"/>
  <c r="B423" i="10"/>
  <c r="B68" i="2"/>
  <c r="B458" i="10"/>
  <c r="B166" i="2"/>
  <c r="B465" i="10"/>
  <c r="B870" i="2"/>
  <c r="B535" i="10"/>
  <c r="B447" i="2"/>
  <c r="B556" i="10"/>
  <c r="B545" i="2"/>
  <c r="B563" i="10"/>
  <c r="B167" i="2"/>
  <c r="B647" i="10"/>
  <c r="B950" i="2"/>
  <c r="B661" i="10"/>
  <c r="B586" i="2"/>
  <c r="B675" i="10"/>
  <c r="B937" i="2"/>
  <c r="B731" i="10"/>
  <c r="B908" i="2"/>
  <c r="B738" i="10"/>
  <c r="B629" i="2"/>
  <c r="B745" i="10"/>
  <c r="B825" i="2"/>
  <c r="B790" i="10"/>
  <c r="B446" i="2"/>
  <c r="B888" i="10"/>
  <c r="B922" i="2"/>
  <c r="B907" i="10"/>
  <c r="B811" i="2"/>
  <c r="B967" i="10"/>
  <c r="B894" i="2"/>
  <c r="B1008" i="10"/>
  <c r="B1006" i="2"/>
  <c r="B1156" i="10"/>
  <c r="B1161" i="2"/>
  <c r="K1195" i="1"/>
  <c r="B33" i="2"/>
  <c r="B99" i="2"/>
  <c r="B115" i="2"/>
  <c r="B147" i="2"/>
  <c r="B277" i="2"/>
  <c r="B375" i="2"/>
  <c r="B523" i="2"/>
  <c r="B539" i="2"/>
  <c r="B703" i="2"/>
  <c r="B751" i="2"/>
  <c r="B958" i="2"/>
  <c r="B1061" i="2"/>
  <c r="B1080" i="2"/>
  <c r="B1114" i="2"/>
  <c r="B1149" i="2"/>
  <c r="B1166" i="2"/>
  <c r="B1183" i="2"/>
  <c r="J2" i="5"/>
  <c r="J22" i="5"/>
  <c r="J103" i="5"/>
  <c r="J143" i="5"/>
  <c r="J208" i="5"/>
  <c r="J213" i="5"/>
  <c r="J232" i="5"/>
  <c r="J338" i="5"/>
  <c r="J418" i="5"/>
  <c r="J423" i="5"/>
  <c r="J488" i="5"/>
  <c r="J498" i="5"/>
  <c r="J583" i="5"/>
  <c r="J708" i="5"/>
  <c r="J789" i="5"/>
  <c r="J829" i="5"/>
  <c r="J884" i="5"/>
  <c r="J909" i="5"/>
  <c r="J936" i="5"/>
  <c r="J973" i="5"/>
  <c r="J1025" i="5"/>
  <c r="J1031" i="5"/>
  <c r="J1062" i="5"/>
  <c r="J1067" i="5"/>
  <c r="J1188" i="5"/>
  <c r="J1194" i="5"/>
  <c r="L12" i="6"/>
  <c r="M12" i="6" s="1"/>
  <c r="S12" i="10" s="1"/>
  <c r="L26" i="6"/>
  <c r="M26" i="6" s="1"/>
  <c r="S26" i="10" s="1"/>
  <c r="L94" i="6"/>
  <c r="M94" i="6" s="1"/>
  <c r="S94" i="10" s="1"/>
  <c r="L148" i="6"/>
  <c r="M148" i="6" s="1"/>
  <c r="S148" i="10" s="1"/>
  <c r="L160" i="6"/>
  <c r="M160" i="6" s="1"/>
  <c r="S160" i="10" s="1"/>
  <c r="L290" i="6"/>
  <c r="M290" i="6" s="1"/>
  <c r="S290" i="10" s="1"/>
  <c r="L344" i="6"/>
  <c r="M344" i="6" s="1"/>
  <c r="S344" i="10" s="1"/>
  <c r="L356" i="6"/>
  <c r="M356" i="6" s="1"/>
  <c r="S356" i="10" s="1"/>
  <c r="L430" i="6"/>
  <c r="M430" i="6" s="1"/>
  <c r="S430" i="10" s="1"/>
  <c r="L788" i="6"/>
  <c r="M788" i="6" s="1"/>
  <c r="S788" i="10" s="1"/>
  <c r="L1186" i="6"/>
  <c r="M1186" i="6" s="1"/>
  <c r="S1186" i="10" s="1"/>
  <c r="L798" i="6"/>
  <c r="M798" i="6" s="1"/>
  <c r="S798" i="10" s="1"/>
  <c r="L994" i="6"/>
  <c r="M994" i="6" s="1"/>
  <c r="S994" i="10" s="1"/>
  <c r="L1024" i="6"/>
  <c r="M1024" i="6" s="1"/>
  <c r="S1024" i="10" s="1"/>
  <c r="L1038" i="6"/>
  <c r="M1038" i="6" s="1"/>
  <c r="S1038" i="10" s="1"/>
  <c r="L1046" i="6"/>
  <c r="M1046" i="6" s="1"/>
  <c r="S1046" i="10" s="1"/>
  <c r="L1058" i="6"/>
  <c r="M1058" i="6" s="1"/>
  <c r="S1058" i="10" s="1"/>
  <c r="L1160" i="6"/>
  <c r="M1160" i="6" s="1"/>
  <c r="S1160" i="10" s="1"/>
  <c r="J943" i="5"/>
  <c r="J983" i="5"/>
  <c r="J1048" i="5"/>
  <c r="J1053" i="5"/>
  <c r="J1178" i="5"/>
  <c r="L742" i="6"/>
  <c r="M742" i="6" s="1"/>
  <c r="S742" i="10" s="1"/>
  <c r="L924" i="6"/>
  <c r="M924" i="6" s="1"/>
  <c r="S924" i="10" s="1"/>
  <c r="L1064" i="6"/>
  <c r="M1064" i="6" s="1"/>
  <c r="S1064" i="10" s="1"/>
  <c r="L1072" i="6"/>
  <c r="M1072" i="6" s="1"/>
  <c r="S1072" i="10" s="1"/>
  <c r="L1126" i="6"/>
  <c r="M1126" i="6" s="1"/>
  <c r="S1126" i="10" s="1"/>
  <c r="L1164" i="6"/>
  <c r="M1164" i="6" s="1"/>
  <c r="S1164" i="10" s="1"/>
  <c r="J1139" i="5"/>
  <c r="J1179" i="5"/>
  <c r="J899" i="5"/>
  <c r="J1039" i="5"/>
  <c r="J1104" i="5"/>
  <c r="J1109" i="5"/>
  <c r="J1134" i="5"/>
  <c r="J1174" i="5"/>
  <c r="L854" i="6"/>
  <c r="M854" i="6" s="1"/>
  <c r="S854" i="10" s="1"/>
  <c r="L1098" i="6"/>
  <c r="M1098" i="6" s="1"/>
  <c r="S1098" i="10" s="1"/>
  <c r="E11" i="10"/>
  <c r="G11" i="10"/>
  <c r="J1090" i="5"/>
  <c r="J1095" i="5"/>
  <c r="L938" i="6"/>
  <c r="M938" i="6" s="1"/>
  <c r="S938" i="10" s="1"/>
  <c r="L1042" i="6"/>
  <c r="M1042" i="6" s="1"/>
  <c r="S1042" i="10" s="1"/>
  <c r="J1151" i="5"/>
  <c r="J1011" i="5"/>
  <c r="J1036" i="5"/>
  <c r="J1076" i="5"/>
  <c r="L910" i="6"/>
  <c r="M910" i="6" s="1"/>
  <c r="S910" i="10" s="1"/>
  <c r="L1080" i="6"/>
  <c r="M1080" i="6" s="1"/>
  <c r="S1080" i="10" s="1"/>
  <c r="L1102" i="6"/>
  <c r="M1102" i="6" s="1"/>
  <c r="S1102" i="10" s="1"/>
  <c r="G22" i="10"/>
  <c r="L22" i="10"/>
  <c r="M22" i="10" s="1"/>
  <c r="L952" i="6"/>
  <c r="M952" i="6" s="1"/>
  <c r="S952" i="10" s="1"/>
  <c r="L1052" i="6"/>
  <c r="M1052" i="6" s="1"/>
  <c r="S1052" i="10" s="1"/>
  <c r="L1066" i="6"/>
  <c r="M1066" i="6" s="1"/>
  <c r="S1066" i="10" s="1"/>
  <c r="L1074" i="6"/>
  <c r="M1074" i="6" s="1"/>
  <c r="S1074" i="10" s="1"/>
  <c r="L1086" i="6"/>
  <c r="M1086" i="6" s="1"/>
  <c r="S1086" i="10" s="1"/>
  <c r="L1134" i="6"/>
  <c r="M1134" i="6" s="1"/>
  <c r="S1134" i="10" s="1"/>
  <c r="L1154" i="6"/>
  <c r="M1154" i="6" s="1"/>
  <c r="S1154" i="10" s="1"/>
  <c r="L1172" i="6"/>
  <c r="M1172" i="6" s="1"/>
  <c r="S1172" i="10" s="1"/>
  <c r="L1180" i="6"/>
  <c r="M1180" i="6" s="1"/>
  <c r="S1180" i="10" s="1"/>
  <c r="L1192" i="6"/>
  <c r="M1192" i="6" s="1"/>
  <c r="S1192" i="10" s="1"/>
  <c r="L24" i="10"/>
  <c r="M24" i="10" s="1"/>
  <c r="G24" i="10"/>
  <c r="G35" i="10"/>
  <c r="G56" i="10"/>
  <c r="E56" i="10"/>
  <c r="E75" i="10"/>
  <c r="L75" i="10"/>
  <c r="M75" i="10" s="1"/>
  <c r="E21" i="10"/>
  <c r="G21" i="10"/>
  <c r="G75" i="10"/>
  <c r="G86" i="10"/>
  <c r="E86" i="10"/>
  <c r="E7" i="10"/>
  <c r="L7" i="10"/>
  <c r="M7" i="10" s="1"/>
  <c r="G20" i="10"/>
  <c r="E20" i="10"/>
  <c r="L21" i="10"/>
  <c r="M21" i="10" s="1"/>
  <c r="L20" i="10"/>
  <c r="M20" i="10" s="1"/>
  <c r="E47" i="10"/>
  <c r="G47" i="10"/>
  <c r="L101" i="10"/>
  <c r="M101" i="10" s="1"/>
  <c r="G101" i="10"/>
  <c r="E173" i="10"/>
  <c r="G173" i="10"/>
  <c r="E50" i="10"/>
  <c r="G50" i="10"/>
  <c r="G71" i="10"/>
  <c r="E71" i="10"/>
  <c r="E101" i="10"/>
  <c r="G5" i="10"/>
  <c r="E18" i="10"/>
  <c r="G18" i="10"/>
  <c r="E32" i="10"/>
  <c r="L47" i="10"/>
  <c r="M47" i="10" s="1"/>
  <c r="L154" i="10"/>
  <c r="M154" i="10" s="1"/>
  <c r="G154" i="10"/>
  <c r="E5" i="10"/>
  <c r="E154" i="10"/>
  <c r="E131" i="10"/>
  <c r="G131" i="10"/>
  <c r="L86" i="10"/>
  <c r="M86" i="10" s="1"/>
  <c r="L67" i="10"/>
  <c r="M67" i="10" s="1"/>
  <c r="G27" i="10"/>
  <c r="E27" i="10"/>
  <c r="L74" i="10"/>
  <c r="M74" i="10" s="1"/>
  <c r="E74" i="10"/>
  <c r="L94" i="10"/>
  <c r="M94" i="10" s="1"/>
  <c r="G94" i="10"/>
  <c r="G48" i="10"/>
  <c r="L48" i="10"/>
  <c r="M48" i="10" s="1"/>
  <c r="E103" i="10"/>
  <c r="G103" i="10"/>
  <c r="L231" i="10"/>
  <c r="M231" i="10" s="1"/>
  <c r="G231" i="10"/>
  <c r="E13" i="10"/>
  <c r="E15" i="10"/>
  <c r="L35" i="10"/>
  <c r="M35" i="10" s="1"/>
  <c r="E43" i="10"/>
  <c r="E48" i="10"/>
  <c r="G51" i="10"/>
  <c r="E51" i="10"/>
  <c r="G83" i="10"/>
  <c r="L83" i="10"/>
  <c r="M83" i="10" s="1"/>
  <c r="E231" i="10"/>
  <c r="G36" i="10"/>
  <c r="G41" i="10"/>
  <c r="E41" i="10"/>
  <c r="E83" i="10"/>
  <c r="L56" i="10"/>
  <c r="M56" i="10" s="1"/>
  <c r="E57" i="10"/>
  <c r="G135" i="10"/>
  <c r="E135" i="10"/>
  <c r="L137" i="10"/>
  <c r="M137" i="10" s="1"/>
  <c r="G137" i="10"/>
  <c r="L150" i="10"/>
  <c r="M150" i="10" s="1"/>
  <c r="G150" i="10"/>
  <c r="L78" i="10"/>
  <c r="M78" i="10" s="1"/>
  <c r="G78" i="10"/>
  <c r="E78" i="10"/>
  <c r="E64" i="10"/>
  <c r="G64" i="10"/>
  <c r="G12" i="10"/>
  <c r="G19" i="10"/>
  <c r="E19" i="10"/>
  <c r="E23" i="10"/>
  <c r="G31" i="10"/>
  <c r="E31" i="10"/>
  <c r="L36" i="10"/>
  <c r="M36" i="10" s="1"/>
  <c r="E37" i="10"/>
  <c r="E39" i="10"/>
  <c r="L43" i="10"/>
  <c r="M43" i="10" s="1"/>
  <c r="E44" i="10"/>
  <c r="E12" i="10"/>
  <c r="L15" i="10"/>
  <c r="M15" i="10" s="1"/>
  <c r="L30" i="10"/>
  <c r="M30" i="10" s="1"/>
  <c r="L57" i="10"/>
  <c r="M57" i="10" s="1"/>
  <c r="G55" i="10"/>
  <c r="E55" i="10"/>
  <c r="L66" i="10"/>
  <c r="M66" i="10" s="1"/>
  <c r="E66" i="10"/>
  <c r="E99" i="10"/>
  <c r="G114" i="10"/>
  <c r="L114" i="10"/>
  <c r="M114" i="10" s="1"/>
  <c r="E114" i="10"/>
  <c r="E29" i="10"/>
  <c r="E40" i="10"/>
  <c r="E91" i="10"/>
  <c r="G122" i="10"/>
  <c r="E122" i="10"/>
  <c r="E133" i="10"/>
  <c r="G163" i="10"/>
  <c r="L163" i="10"/>
  <c r="M163" i="10" s="1"/>
  <c r="L186" i="10"/>
  <c r="M186" i="10" s="1"/>
  <c r="G186" i="10"/>
  <c r="L63" i="10"/>
  <c r="M63" i="10" s="1"/>
  <c r="E70" i="10"/>
  <c r="G97" i="10"/>
  <c r="L97" i="10"/>
  <c r="M97" i="10" s="1"/>
  <c r="G118" i="10"/>
  <c r="L118" i="10"/>
  <c r="M118" i="10" s="1"/>
  <c r="L122" i="10"/>
  <c r="M122" i="10" s="1"/>
  <c r="E163" i="10"/>
  <c r="E175" i="10"/>
  <c r="E186" i="10"/>
  <c r="G282" i="10"/>
  <c r="E282" i="10"/>
  <c r="L224" i="10"/>
  <c r="M224" i="10" s="1"/>
  <c r="G224" i="10"/>
  <c r="E224" i="10"/>
  <c r="G269" i="10"/>
  <c r="E269" i="10"/>
  <c r="L297" i="10"/>
  <c r="M297" i="10" s="1"/>
  <c r="G297" i="10"/>
  <c r="E367" i="10"/>
  <c r="L158" i="10"/>
  <c r="M158" i="10" s="1"/>
  <c r="G158" i="10"/>
  <c r="E158" i="10"/>
  <c r="E218" i="10"/>
  <c r="G218" i="10"/>
  <c r="G258" i="10"/>
  <c r="E258" i="10"/>
  <c r="L269" i="10"/>
  <c r="M269" i="10" s="1"/>
  <c r="E297" i="10"/>
  <c r="G90" i="10"/>
  <c r="L90" i="10"/>
  <c r="M90" i="10" s="1"/>
  <c r="E90" i="10"/>
  <c r="L171" i="10"/>
  <c r="M171" i="10" s="1"/>
  <c r="G171" i="10"/>
  <c r="E204" i="10"/>
  <c r="G204" i="10"/>
  <c r="L258" i="10"/>
  <c r="M258" i="10" s="1"/>
  <c r="L301" i="10"/>
  <c r="M301" i="10" s="1"/>
  <c r="G301" i="10"/>
  <c r="E171" i="10"/>
  <c r="L218" i="10"/>
  <c r="M218" i="10" s="1"/>
  <c r="G208" i="10"/>
  <c r="E239" i="10"/>
  <c r="G239" i="10"/>
  <c r="E152" i="10"/>
  <c r="G160" i="10"/>
  <c r="L160" i="10"/>
  <c r="M160" i="10" s="1"/>
  <c r="E160" i="10"/>
  <c r="E208" i="10"/>
  <c r="L223" i="10"/>
  <c r="M223" i="10" s="1"/>
  <c r="G223" i="10"/>
  <c r="E223" i="10"/>
  <c r="AB161" i="10"/>
  <c r="AB163" i="10"/>
  <c r="AB167" i="10"/>
  <c r="G189" i="10"/>
  <c r="E189" i="10"/>
  <c r="G190" i="10"/>
  <c r="E190" i="10"/>
  <c r="AB204" i="10"/>
  <c r="AB205" i="10"/>
  <c r="G219" i="10"/>
  <c r="L219" i="10"/>
  <c r="M219" i="10" s="1"/>
  <c r="AB244" i="10"/>
  <c r="AB248" i="10"/>
  <c r="AB252" i="10"/>
  <c r="AB276" i="10"/>
  <c r="L280" i="10"/>
  <c r="M280" i="10" s="1"/>
  <c r="G280" i="10"/>
  <c r="AB303" i="10"/>
  <c r="AB323" i="10"/>
  <c r="AB364" i="10"/>
  <c r="AB371" i="10"/>
  <c r="G379" i="10"/>
  <c r="E379" i="10"/>
  <c r="G333" i="10"/>
  <c r="E336" i="10"/>
  <c r="G336" i="10"/>
  <c r="E82" i="10"/>
  <c r="AB105" i="10"/>
  <c r="AB107" i="10"/>
  <c r="G111" i="10"/>
  <c r="AB120" i="10"/>
  <c r="E124" i="10"/>
  <c r="AB124" i="10"/>
  <c r="AB137" i="10"/>
  <c r="G156" i="10"/>
  <c r="AB160" i="10"/>
  <c r="AB175" i="10"/>
  <c r="AB177" i="10"/>
  <c r="AB187" i="10"/>
  <c r="L192" i="10"/>
  <c r="M192" i="10" s="1"/>
  <c r="AB195" i="10"/>
  <c r="L207" i="10"/>
  <c r="M207" i="10" s="1"/>
  <c r="G207" i="10"/>
  <c r="G212" i="10"/>
  <c r="AB255" i="10"/>
  <c r="AB259" i="10"/>
  <c r="AB267" i="10"/>
  <c r="AB295" i="10"/>
  <c r="G303" i="10"/>
  <c r="AB311" i="10"/>
  <c r="AB328" i="10"/>
  <c r="E355" i="10"/>
  <c r="E374" i="10"/>
  <c r="B1160" i="2"/>
  <c r="A1190" i="12"/>
  <c r="A1183" i="12"/>
  <c r="A1176" i="12"/>
  <c r="A1169" i="12"/>
  <c r="A1162" i="12"/>
  <c r="A1155" i="12"/>
  <c r="A1148" i="12"/>
  <c r="A1141" i="12"/>
  <c r="A1134" i="12"/>
  <c r="A1127" i="12"/>
  <c r="A1120" i="12"/>
  <c r="A1113" i="12"/>
  <c r="A1106" i="12"/>
  <c r="A1099" i="12"/>
  <c r="A1092" i="12"/>
  <c r="A1085" i="12"/>
  <c r="A1078" i="12"/>
  <c r="A1071" i="12"/>
  <c r="A1064" i="12"/>
  <c r="A1057" i="12"/>
  <c r="A1050" i="12"/>
  <c r="A1043" i="12"/>
  <c r="A1036" i="12"/>
  <c r="A1029" i="12"/>
  <c r="A1022" i="12"/>
  <c r="A1015" i="12"/>
  <c r="A1008" i="12"/>
  <c r="A1001" i="12"/>
  <c r="A1191" i="12"/>
  <c r="A1184" i="12"/>
  <c r="A1177" i="12"/>
  <c r="A1170" i="12"/>
  <c r="A1163" i="12"/>
  <c r="A1156" i="12"/>
  <c r="A1149" i="12"/>
  <c r="A1142" i="12"/>
  <c r="A1135" i="12"/>
  <c r="A1128" i="12"/>
  <c r="A1121" i="12"/>
  <c r="A1114" i="12"/>
  <c r="A1107" i="12"/>
  <c r="A1100" i="12"/>
  <c r="A1093" i="12"/>
  <c r="A1086" i="12"/>
  <c r="A1079" i="12"/>
  <c r="A1072" i="12"/>
  <c r="A1065" i="12"/>
  <c r="A1058" i="12"/>
  <c r="A1051" i="12"/>
  <c r="A1044" i="12"/>
  <c r="A1037" i="12"/>
  <c r="A1030" i="12"/>
  <c r="A1023" i="12"/>
  <c r="A1016" i="12"/>
  <c r="A1009" i="12"/>
  <c r="A1002" i="12"/>
  <c r="A1189" i="12"/>
  <c r="A1180" i="12"/>
  <c r="A1174" i="12"/>
  <c r="A1165" i="12"/>
  <c r="A1150" i="12"/>
  <c r="A1097" i="12"/>
  <c r="A1048" i="12"/>
  <c r="A999" i="12"/>
  <c r="A994" i="12"/>
  <c r="A987" i="12"/>
  <c r="A980" i="12"/>
  <c r="A973" i="12"/>
  <c r="A966" i="12"/>
  <c r="A959" i="12"/>
  <c r="A952" i="12"/>
  <c r="A945" i="12"/>
  <c r="A938" i="12"/>
  <c r="A931" i="12"/>
  <c r="A924" i="12"/>
  <c r="A917" i="12"/>
  <c r="A910" i="12"/>
  <c r="A903" i="12"/>
  <c r="A896" i="12"/>
  <c r="A889" i="12"/>
  <c r="A882" i="12"/>
  <c r="A1168" i="12"/>
  <c r="A1159" i="12"/>
  <c r="A1153" i="12"/>
  <c r="A1144" i="12"/>
  <c r="A1129" i="12"/>
  <c r="A1091" i="12"/>
  <c r="A1088" i="12"/>
  <c r="A1068" i="12"/>
  <c r="A1059" i="12"/>
  <c r="A1042" i="12"/>
  <c r="A1039" i="12"/>
  <c r="A1019" i="12"/>
  <c r="A1010" i="12"/>
  <c r="A1147" i="12"/>
  <c r="A1138" i="12"/>
  <c r="A1132" i="12"/>
  <c r="A1123" i="12"/>
  <c r="A1108" i="12"/>
  <c r="A1062" i="12"/>
  <c r="A1013" i="12"/>
  <c r="A996" i="12"/>
  <c r="A989" i="12"/>
  <c r="A982" i="12"/>
  <c r="A975" i="12"/>
  <c r="A968" i="12"/>
  <c r="A961" i="12"/>
  <c r="A954" i="12"/>
  <c r="A947" i="12"/>
  <c r="A940" i="12"/>
  <c r="A933" i="12"/>
  <c r="A926" i="12"/>
  <c r="A919" i="12"/>
  <c r="A912" i="12"/>
  <c r="A905" i="12"/>
  <c r="A898" i="12"/>
  <c r="A891" i="12"/>
  <c r="A884" i="12"/>
  <c r="A1185" i="12"/>
  <c r="A1126" i="12"/>
  <c r="A1117" i="12"/>
  <c r="A1111" i="12"/>
  <c r="A1102" i="12"/>
  <c r="A1082" i="12"/>
  <c r="A1073" i="12"/>
  <c r="A1056" i="12"/>
  <c r="A1053" i="12"/>
  <c r="A1033" i="12"/>
  <c r="A1024" i="12"/>
  <c r="A1007" i="12"/>
  <c r="A1004" i="12"/>
  <c r="A1194" i="12"/>
  <c r="A1188" i="12"/>
  <c r="A1179" i="12"/>
  <c r="A1164" i="12"/>
  <c r="A1105" i="12"/>
  <c r="A1076" i="12"/>
  <c r="A1027" i="12"/>
  <c r="A991" i="12"/>
  <c r="A984" i="12"/>
  <c r="A977" i="12"/>
  <c r="A970" i="12"/>
  <c r="A963" i="12"/>
  <c r="A956" i="12"/>
  <c r="A1193" i="12"/>
  <c r="A1178" i="12"/>
  <c r="A1119" i="12"/>
  <c r="A1110" i="12"/>
  <c r="A1104" i="12"/>
  <c r="A1055" i="12"/>
  <c r="A1006" i="12"/>
  <c r="A995" i="12"/>
  <c r="A988" i="12"/>
  <c r="A981" i="12"/>
  <c r="A974" i="12"/>
  <c r="A967" i="12"/>
  <c r="A960" i="12"/>
  <c r="A953" i="12"/>
  <c r="A946" i="12"/>
  <c r="A939" i="12"/>
  <c r="A932" i="12"/>
  <c r="A925" i="12"/>
  <c r="A918" i="12"/>
  <c r="A911" i="12"/>
  <c r="A904" i="12"/>
  <c r="A897" i="12"/>
  <c r="A890" i="12"/>
  <c r="A883" i="12"/>
  <c r="A1187" i="12"/>
  <c r="A1181" i="12"/>
  <c r="A1172" i="12"/>
  <c r="A1157" i="12"/>
  <c r="A1098" i="12"/>
  <c r="A1095" i="12"/>
  <c r="A1075" i="12"/>
  <c r="A1066" i="12"/>
  <c r="A1049" i="12"/>
  <c r="A1046" i="12"/>
  <c r="A1026" i="12"/>
  <c r="A1017" i="12"/>
  <c r="A1166" i="12"/>
  <c r="A1094" i="12"/>
  <c r="A1090" i="12"/>
  <c r="A1070" i="12"/>
  <c r="A1054" i="12"/>
  <c r="A1018" i="12"/>
  <c r="A1014" i="12"/>
  <c r="A964" i="12"/>
  <c r="A935" i="12"/>
  <c r="A923" i="12"/>
  <c r="A1186" i="12"/>
  <c r="A1182" i="12"/>
  <c r="A1140" i="12"/>
  <c r="A998" i="12"/>
  <c r="A957" i="12"/>
  <c r="A941" i="12"/>
  <c r="A929" i="12"/>
  <c r="A892" i="12"/>
  <c r="A886" i="12"/>
  <c r="A873" i="12"/>
  <c r="A866" i="12"/>
  <c r="A859" i="12"/>
  <c r="A852" i="12"/>
  <c r="A845" i="12"/>
  <c r="A838" i="12"/>
  <c r="A831" i="12"/>
  <c r="A824" i="12"/>
  <c r="A817" i="12"/>
  <c r="A810" i="12"/>
  <c r="A803" i="12"/>
  <c r="A796" i="12"/>
  <c r="A789" i="12"/>
  <c r="A782" i="12"/>
  <c r="A775" i="12"/>
  <c r="A768" i="12"/>
  <c r="A761" i="12"/>
  <c r="A754" i="12"/>
  <c r="A747" i="12"/>
  <c r="A740" i="12"/>
  <c r="A733" i="12"/>
  <c r="A1131" i="12"/>
  <c r="A1122" i="12"/>
  <c r="A1118" i="12"/>
  <c r="A1081" i="12"/>
  <c r="A1025" i="12"/>
  <c r="A944" i="12"/>
  <c r="A907" i="12"/>
  <c r="A895" i="12"/>
  <c r="A1173" i="12"/>
  <c r="A1161" i="12"/>
  <c r="A1101" i="12"/>
  <c r="A1089" i="12"/>
  <c r="A1077" i="12"/>
  <c r="A1045" i="12"/>
  <c r="A1041" i="12"/>
  <c r="A1021" i="12"/>
  <c r="A1005" i="12"/>
  <c r="A950" i="12"/>
  <c r="A913" i="12"/>
  <c r="A901" i="12"/>
  <c r="A880" i="12"/>
  <c r="A875" i="12"/>
  <c r="A868" i="12"/>
  <c r="A861" i="12"/>
  <c r="A854" i="12"/>
  <c r="A847" i="12"/>
  <c r="A840" i="12"/>
  <c r="A833" i="12"/>
  <c r="A826" i="12"/>
  <c r="A819" i="12"/>
  <c r="A812" i="12"/>
  <c r="A805" i="12"/>
  <c r="A798" i="12"/>
  <c r="A1152" i="12"/>
  <c r="A1130" i="12"/>
  <c r="A1109" i="12"/>
  <c r="A1080" i="12"/>
  <c r="A1032" i="12"/>
  <c r="A997" i="12"/>
  <c r="A990" i="12"/>
  <c r="A983" i="12"/>
  <c r="A976" i="12"/>
  <c r="A934" i="12"/>
  <c r="A922" i="12"/>
  <c r="A877" i="12"/>
  <c r="A870" i="12"/>
  <c r="A863" i="12"/>
  <c r="A1160" i="12"/>
  <c r="A1084" i="12"/>
  <c r="A1052" i="12"/>
  <c r="A1040" i="12"/>
  <c r="A1028" i="12"/>
  <c r="A969" i="12"/>
  <c r="A949" i="12"/>
  <c r="A937" i="12"/>
  <c r="A900" i="12"/>
  <c r="A888" i="12"/>
  <c r="A1192" i="12"/>
  <c r="A1151" i="12"/>
  <c r="A1116" i="12"/>
  <c r="A1031" i="12"/>
  <c r="A1000" i="12"/>
  <c r="A972" i="12"/>
  <c r="A955" i="12"/>
  <c r="A921" i="12"/>
  <c r="A909" i="12"/>
  <c r="A1125" i="12"/>
  <c r="A948" i="12"/>
  <c r="A936" i="12"/>
  <c r="A885" i="12"/>
  <c r="A881" i="12"/>
  <c r="A871" i="12"/>
  <c r="A837" i="12"/>
  <c r="A834" i="12"/>
  <c r="A828" i="12"/>
  <c r="A825" i="12"/>
  <c r="A808" i="12"/>
  <c r="A802" i="12"/>
  <c r="A788" i="12"/>
  <c r="A752" i="12"/>
  <c r="A739" i="12"/>
  <c r="A1146" i="12"/>
  <c r="A1136" i="12"/>
  <c r="A1083" i="12"/>
  <c r="A1063" i="12"/>
  <c r="A1012" i="12"/>
  <c r="A993" i="12"/>
  <c r="A979" i="12"/>
  <c r="A867" i="12"/>
  <c r="A843" i="12"/>
  <c r="A799" i="12"/>
  <c r="A793" i="12"/>
  <c r="A762" i="12"/>
  <c r="A757" i="12"/>
  <c r="A749" i="12"/>
  <c r="A744" i="12"/>
  <c r="A726" i="12"/>
  <c r="A719" i="12"/>
  <c r="A712" i="12"/>
  <c r="A705" i="12"/>
  <c r="A698" i="12"/>
  <c r="A691" i="12"/>
  <c r="A684" i="12"/>
  <c r="A677" i="12"/>
  <c r="A670" i="12"/>
  <c r="A663" i="12"/>
  <c r="A656" i="12"/>
  <c r="A649" i="12"/>
  <c r="A642" i="12"/>
  <c r="A635" i="12"/>
  <c r="A628" i="12"/>
  <c r="A621" i="12"/>
  <c r="A614" i="12"/>
  <c r="A607" i="12"/>
  <c r="A600" i="12"/>
  <c r="A593" i="12"/>
  <c r="A586" i="12"/>
  <c r="A579" i="12"/>
  <c r="A1167" i="12"/>
  <c r="A927" i="12"/>
  <c r="A914" i="12"/>
  <c r="A864" i="12"/>
  <c r="A822" i="12"/>
  <c r="A816" i="12"/>
  <c r="A780" i="12"/>
  <c r="A767" i="12"/>
  <c r="A731" i="12"/>
  <c r="A1067" i="12"/>
  <c r="A1047" i="12"/>
  <c r="A965" i="12"/>
  <c r="A943" i="12"/>
  <c r="A860" i="12"/>
  <c r="A813" i="12"/>
  <c r="A807" i="12"/>
  <c r="A790" i="12"/>
  <c r="A785" i="12"/>
  <c r="A777" i="12"/>
  <c r="A772" i="12"/>
  <c r="A741" i="12"/>
  <c r="A736" i="12"/>
  <c r="A728" i="12"/>
  <c r="A721" i="12"/>
  <c r="A714" i="12"/>
  <c r="A707" i="12"/>
  <c r="A700" i="12"/>
  <c r="A693" i="12"/>
  <c r="A686" i="12"/>
  <c r="A679" i="12"/>
  <c r="A672" i="12"/>
  <c r="A665" i="12"/>
  <c r="A658" i="12"/>
  <c r="A651" i="12"/>
  <c r="A644" i="12"/>
  <c r="A637" i="12"/>
  <c r="A630" i="12"/>
  <c r="A623" i="12"/>
  <c r="A616" i="12"/>
  <c r="A609" i="12"/>
  <c r="A602" i="12"/>
  <c r="A595" i="12"/>
  <c r="A588" i="12"/>
  <c r="A581" i="12"/>
  <c r="A574" i="12"/>
  <c r="A1171" i="12"/>
  <c r="A992" i="12"/>
  <c r="A978" i="12"/>
  <c r="A951" i="12"/>
  <c r="A942" i="12"/>
  <c r="A908" i="12"/>
  <c r="A879" i="12"/>
  <c r="A836" i="12"/>
  <c r="A818" i="12"/>
  <c r="A801" i="12"/>
  <c r="A795" i="12"/>
  <c r="A787" i="12"/>
  <c r="A774" i="12"/>
  <c r="A738" i="12"/>
  <c r="A1143" i="12"/>
  <c r="A916" i="12"/>
  <c r="A862" i="12"/>
  <c r="A844" i="12"/>
  <c r="A841" i="12"/>
  <c r="A835" i="12"/>
  <c r="A832" i="12"/>
  <c r="A806" i="12"/>
  <c r="A800" i="12"/>
  <c r="A776" i="12"/>
  <c r="A771" i="12"/>
  <c r="A763" i="12"/>
  <c r="A758" i="12"/>
  <c r="A727" i="12"/>
  <c r="A720" i="12"/>
  <c r="A713" i="12"/>
  <c r="A706" i="12"/>
  <c r="A699" i="12"/>
  <c r="A692" i="12"/>
  <c r="A685" i="12"/>
  <c r="A678" i="12"/>
  <c r="A671" i="12"/>
  <c r="A664" i="12"/>
  <c r="A1175" i="12"/>
  <c r="A1154" i="12"/>
  <c r="A1060" i="12"/>
  <c r="A920" i="12"/>
  <c r="A894" i="12"/>
  <c r="A865" i="12"/>
  <c r="A850" i="12"/>
  <c r="A823" i="12"/>
  <c r="A797" i="12"/>
  <c r="A781" i="12"/>
  <c r="A745" i="12"/>
  <c r="A732" i="12"/>
  <c r="A1115" i="12"/>
  <c r="A1103" i="12"/>
  <c r="A899" i="12"/>
  <c r="A856" i="12"/>
  <c r="A848" i="12"/>
  <c r="A839" i="12"/>
  <c r="A815" i="12"/>
  <c r="A794" i="12"/>
  <c r="A786" i="12"/>
  <c r="A730" i="12"/>
  <c r="A716" i="12"/>
  <c r="A696" i="12"/>
  <c r="A669" i="12"/>
  <c r="A641" i="12"/>
  <c r="A632" i="12"/>
  <c r="A629" i="12"/>
  <c r="A566" i="12"/>
  <c r="A559" i="12"/>
  <c r="A552" i="12"/>
  <c r="A545" i="12"/>
  <c r="A538" i="12"/>
  <c r="A531" i="12"/>
  <c r="A524" i="12"/>
  <c r="A517" i="12"/>
  <c r="A510" i="12"/>
  <c r="A503" i="12"/>
  <c r="A496" i="12"/>
  <c r="A1145" i="12"/>
  <c r="A1139" i="12"/>
  <c r="A1133" i="12"/>
  <c r="A1096" i="12"/>
  <c r="A1003" i="12"/>
  <c r="A986" i="12"/>
  <c r="A930" i="12"/>
  <c r="A915" i="12"/>
  <c r="A878" i="12"/>
  <c r="A869" i="12"/>
  <c r="A709" i="12"/>
  <c r="A689" i="12"/>
  <c r="A662" i="12"/>
  <c r="A659" i="12"/>
  <c r="A647" i="12"/>
  <c r="A638" i="12"/>
  <c r="A620" i="12"/>
  <c r="A611" i="12"/>
  <c r="A608" i="12"/>
  <c r="A573" i="12"/>
  <c r="A1038" i="12"/>
  <c r="A1020" i="12"/>
  <c r="A893" i="12"/>
  <c r="A778" i="12"/>
  <c r="A770" i="12"/>
  <c r="A759" i="12"/>
  <c r="A737" i="12"/>
  <c r="A702" i="12"/>
  <c r="A682" i="12"/>
  <c r="A626" i="12"/>
  <c r="A617" i="12"/>
  <c r="A599" i="12"/>
  <c r="A590" i="12"/>
  <c r="A587" i="12"/>
  <c r="A568" i="12"/>
  <c r="A561" i="12"/>
  <c r="A554" i="12"/>
  <c r="A547" i="12"/>
  <c r="A540" i="12"/>
  <c r="A533" i="12"/>
  <c r="A526" i="12"/>
  <c r="A519" i="12"/>
  <c r="A512" i="12"/>
  <c r="A505" i="12"/>
  <c r="A498" i="12"/>
  <c r="A491" i="12"/>
  <c r="A484" i="12"/>
  <c r="A477" i="12"/>
  <c r="A470" i="12"/>
  <c r="A463" i="12"/>
  <c r="A456" i="12"/>
  <c r="A958" i="12"/>
  <c r="A830" i="12"/>
  <c r="A814" i="12"/>
  <c r="A695" i="12"/>
  <c r="A675" i="12"/>
  <c r="A605" i="12"/>
  <c r="A596" i="12"/>
  <c r="A1137" i="12"/>
  <c r="A962" i="12"/>
  <c r="A902" i="12"/>
  <c r="A887" i="12"/>
  <c r="A876" i="12"/>
  <c r="A846" i="12"/>
  <c r="A821" i="12"/>
  <c r="A773" i="12"/>
  <c r="A725" i="12"/>
  <c r="A708" i="12"/>
  <c r="A674" i="12"/>
  <c r="A661" i="12"/>
  <c r="A640" i="12"/>
  <c r="A631" i="12"/>
  <c r="A613" i="12"/>
  <c r="A604" i="12"/>
  <c r="A601" i="12"/>
  <c r="A565" i="12"/>
  <c r="A558" i="12"/>
  <c r="A551" i="12"/>
  <c r="A544" i="12"/>
  <c r="A537" i="12"/>
  <c r="A530" i="12"/>
  <c r="A523" i="12"/>
  <c r="A516" i="12"/>
  <c r="A509" i="12"/>
  <c r="A1035" i="12"/>
  <c r="A1011" i="12"/>
  <c r="A743" i="12"/>
  <c r="A735" i="12"/>
  <c r="A704" i="12"/>
  <c r="A687" i="12"/>
  <c r="A660" i="12"/>
  <c r="A657" i="12"/>
  <c r="A648" i="12"/>
  <c r="A639" i="12"/>
  <c r="A636" i="12"/>
  <c r="A1087" i="12"/>
  <c r="A971" i="12"/>
  <c r="A791" i="12"/>
  <c r="A750" i="12"/>
  <c r="A746" i="12"/>
  <c r="A724" i="12"/>
  <c r="A697" i="12"/>
  <c r="A680" i="12"/>
  <c r="A654" i="12"/>
  <c r="A645" i="12"/>
  <c r="A627" i="12"/>
  <c r="A618" i="12"/>
  <c r="A615" i="12"/>
  <c r="A577" i="12"/>
  <c r="A569" i="12"/>
  <c r="A562" i="12"/>
  <c r="A555" i="12"/>
  <c r="A548" i="12"/>
  <c r="A541" i="12"/>
  <c r="A1074" i="12"/>
  <c r="A872" i="12"/>
  <c r="A851" i="12"/>
  <c r="A820" i="12"/>
  <c r="A784" i="12"/>
  <c r="A764" i="12"/>
  <c r="A760" i="12"/>
  <c r="A722" i="12"/>
  <c r="A703" i="12"/>
  <c r="A690" i="12"/>
  <c r="A667" i="12"/>
  <c r="A650" i="12"/>
  <c r="A610" i="12"/>
  <c r="A606" i="12"/>
  <c r="A597" i="12"/>
  <c r="A528" i="12"/>
  <c r="A525" i="12"/>
  <c r="A522" i="12"/>
  <c r="A495" i="12"/>
  <c r="A487" i="12"/>
  <c r="A482" i="12"/>
  <c r="A447" i="12"/>
  <c r="A440" i="12"/>
  <c r="A755" i="12"/>
  <c r="A717" i="12"/>
  <c r="A694" i="12"/>
  <c r="A676" i="12"/>
  <c r="A625" i="12"/>
  <c r="A589" i="12"/>
  <c r="A506" i="12"/>
  <c r="A492" i="12"/>
  <c r="A855" i="12"/>
  <c r="A829" i="12"/>
  <c r="A584" i="12"/>
  <c r="A580" i="12"/>
  <c r="A576" i="12"/>
  <c r="A534" i="12"/>
  <c r="A500" i="12"/>
  <c r="A479" i="12"/>
  <c r="A474" i="12"/>
  <c r="A469" i="12"/>
  <c r="A464" i="12"/>
  <c r="A459" i="12"/>
  <c r="A454" i="12"/>
  <c r="A449" i="12"/>
  <c r="A442" i="12"/>
  <c r="A435" i="12"/>
  <c r="A428" i="12"/>
  <c r="A421" i="12"/>
  <c r="A414" i="12"/>
  <c r="A407" i="12"/>
  <c r="A400" i="12"/>
  <c r="A393" i="12"/>
  <c r="A386" i="12"/>
  <c r="A379" i="12"/>
  <c r="A372" i="12"/>
  <c r="A365" i="12"/>
  <c r="A358" i="12"/>
  <c r="A351" i="12"/>
  <c r="A344" i="12"/>
  <c r="A337" i="12"/>
  <c r="A330" i="12"/>
  <c r="A323" i="12"/>
  <c r="A316" i="12"/>
  <c r="A309" i="12"/>
  <c r="A302" i="12"/>
  <c r="A295" i="12"/>
  <c r="A288" i="12"/>
  <c r="A281" i="12"/>
  <c r="A274" i="12"/>
  <c r="A267" i="12"/>
  <c r="A260" i="12"/>
  <c r="A253" i="12"/>
  <c r="A246" i="12"/>
  <c r="A239" i="12"/>
  <c r="A232" i="12"/>
  <c r="A225" i="12"/>
  <c r="A218" i="12"/>
  <c r="A211" i="12"/>
  <c r="A204" i="12"/>
  <c r="A197" i="12"/>
  <c r="A190" i="12"/>
  <c r="A183" i="12"/>
  <c r="A906" i="12"/>
  <c r="A783" i="12"/>
  <c r="A666" i="12"/>
  <c r="A633" i="12"/>
  <c r="A521" i="12"/>
  <c r="A518" i="12"/>
  <c r="A515" i="12"/>
  <c r="A489" i="12"/>
  <c r="A1112" i="12"/>
  <c r="A1061" i="12"/>
  <c r="A985" i="12"/>
  <c r="A734" i="12"/>
  <c r="A583" i="12"/>
  <c r="A575" i="12"/>
  <c r="A572" i="12"/>
  <c r="A527" i="12"/>
  <c r="A486" i="12"/>
  <c r="A481" i="12"/>
  <c r="A476" i="12"/>
  <c r="A471" i="12"/>
  <c r="A466" i="12"/>
  <c r="A461" i="12"/>
  <c r="A928" i="12"/>
  <c r="A858" i="12"/>
  <c r="A853" i="12"/>
  <c r="A766" i="12"/>
  <c r="A591" i="12"/>
  <c r="A571" i="12"/>
  <c r="A564" i="12"/>
  <c r="A557" i="12"/>
  <c r="A550" i="12"/>
  <c r="A543" i="12"/>
  <c r="A536" i="12"/>
  <c r="A520" i="12"/>
  <c r="A499" i="12"/>
  <c r="A488" i="12"/>
  <c r="A483" i="12"/>
  <c r="A478" i="12"/>
  <c r="A473" i="12"/>
  <c r="A468" i="12"/>
  <c r="A1034" i="12"/>
  <c r="A874" i="12"/>
  <c r="A842" i="12"/>
  <c r="A742" i="12"/>
  <c r="A673" i="12"/>
  <c r="A643" i="12"/>
  <c r="A603" i="12"/>
  <c r="A582" i="12"/>
  <c r="A578" i="12"/>
  <c r="A507" i="12"/>
  <c r="A493" i="12"/>
  <c r="A769" i="12"/>
  <c r="A729" i="12"/>
  <c r="A653" i="12"/>
  <c r="A594" i="12"/>
  <c r="A546" i="12"/>
  <c r="A502" i="12"/>
  <c r="A427" i="12"/>
  <c r="A827" i="12"/>
  <c r="A723" i="12"/>
  <c r="A701" i="12"/>
  <c r="A563" i="12"/>
  <c r="A494" i="12"/>
  <c r="A490" i="12"/>
  <c r="A446" i="12"/>
  <c r="A424" i="12"/>
  <c r="A857" i="12"/>
  <c r="A751" i="12"/>
  <c r="A652" i="12"/>
  <c r="A711" i="12"/>
  <c r="A683" i="12"/>
  <c r="A567" i="12"/>
  <c r="A549" i="12"/>
  <c r="A513" i="12"/>
  <c r="A497" i="12"/>
  <c r="A455" i="12"/>
  <c r="A429" i="12"/>
  <c r="A413" i="12"/>
  <c r="A397" i="12"/>
  <c r="A384" i="12"/>
  <c r="A368" i="12"/>
  <c r="A360" i="12"/>
  <c r="A331" i="12"/>
  <c r="A318" i="12"/>
  <c r="A313" i="12"/>
  <c r="A308" i="12"/>
  <c r="A303" i="12"/>
  <c r="A298" i="12"/>
  <c r="A293" i="12"/>
  <c r="A220" i="12"/>
  <c r="A779" i="12"/>
  <c r="A710" i="12"/>
  <c r="A508" i="12"/>
  <c r="A504" i="12"/>
  <c r="A465" i="12"/>
  <c r="A448" i="12"/>
  <c r="A439" i="12"/>
  <c r="A431" i="12"/>
  <c r="A423" i="12"/>
  <c r="A394" i="12"/>
  <c r="A378" i="12"/>
  <c r="A362" i="12"/>
  <c r="A349" i="12"/>
  <c r="A333" i="12"/>
  <c r="A325" i="12"/>
  <c r="A320" i="12"/>
  <c r="A315" i="12"/>
  <c r="A310" i="12"/>
  <c r="A305" i="12"/>
  <c r="A300" i="12"/>
  <c r="A849" i="12"/>
  <c r="A715" i="12"/>
  <c r="A655" i="12"/>
  <c r="A570" i="12"/>
  <c r="A539" i="12"/>
  <c r="A681" i="12"/>
  <c r="A634" i="12"/>
  <c r="A619" i="12"/>
  <c r="A480" i="12"/>
  <c r="A436" i="12"/>
  <c r="A809" i="12"/>
  <c r="A556" i="12"/>
  <c r="A425" i="12"/>
  <c r="A381" i="12"/>
  <c r="A375" i="12"/>
  <c r="A352" i="12"/>
  <c r="A346" i="12"/>
  <c r="A343" i="12"/>
  <c r="A314" i="12"/>
  <c r="A311" i="12"/>
  <c r="A272" i="12"/>
  <c r="A264" i="12"/>
  <c r="A233" i="12"/>
  <c r="A192" i="12"/>
  <c r="A187" i="12"/>
  <c r="A182" i="12"/>
  <c r="A177" i="12"/>
  <c r="A170" i="12"/>
  <c r="A163" i="12"/>
  <c r="A156" i="12"/>
  <c r="A149" i="12"/>
  <c r="A142" i="12"/>
  <c r="A135" i="12"/>
  <c r="A128" i="12"/>
  <c r="A121" i="12"/>
  <c r="A114" i="12"/>
  <c r="A107" i="12"/>
  <c r="A100" i="12"/>
  <c r="A472" i="12"/>
  <c r="A432" i="12"/>
  <c r="A401" i="12"/>
  <c r="A369" i="12"/>
  <c r="A340" i="12"/>
  <c r="A299" i="12"/>
  <c r="A285" i="12"/>
  <c r="A277" i="12"/>
  <c r="A269" i="12"/>
  <c r="A251" i="12"/>
  <c r="A238" i="12"/>
  <c r="A217" i="12"/>
  <c r="A212" i="12"/>
  <c r="A207" i="12"/>
  <c r="A202" i="12"/>
  <c r="A756" i="12"/>
  <c r="A668" i="12"/>
  <c r="A511" i="12"/>
  <c r="A501" i="12"/>
  <c r="A458" i="12"/>
  <c r="A450" i="12"/>
  <c r="A395" i="12"/>
  <c r="A392" i="12"/>
  <c r="A366" i="12"/>
  <c r="A357" i="12"/>
  <c r="A334" i="12"/>
  <c r="A328" i="12"/>
  <c r="A296" i="12"/>
  <c r="A256" i="12"/>
  <c r="A243" i="12"/>
  <c r="A230" i="12"/>
  <c r="A222" i="12"/>
  <c r="A172" i="12"/>
  <c r="A165" i="12"/>
  <c r="A158" i="12"/>
  <c r="A151" i="12"/>
  <c r="A144" i="12"/>
  <c r="A137" i="12"/>
  <c r="A130" i="12"/>
  <c r="A123" i="12"/>
  <c r="A116" i="12"/>
  <c r="A109" i="12"/>
  <c r="A102" i="12"/>
  <c r="A95" i="12"/>
  <c r="A88" i="12"/>
  <c r="A81" i="12"/>
  <c r="A74" i="12"/>
  <c r="A67" i="12"/>
  <c r="A60" i="12"/>
  <c r="A53" i="12"/>
  <c r="A46" i="12"/>
  <c r="A39" i="12"/>
  <c r="A32" i="12"/>
  <c r="A25" i="12"/>
  <c r="A18" i="12"/>
  <c r="A11" i="12"/>
  <c r="A4" i="12"/>
  <c r="A475" i="12"/>
  <c r="A445" i="12"/>
  <c r="A403" i="12"/>
  <c r="A380" i="12"/>
  <c r="A377" i="12"/>
  <c r="A374" i="12"/>
  <c r="A307" i="12"/>
  <c r="A304" i="12"/>
  <c r="A287" i="12"/>
  <c r="A279" i="12"/>
  <c r="A271" i="12"/>
  <c r="A258" i="12"/>
  <c r="A245" i="12"/>
  <c r="A612" i="12"/>
  <c r="A514" i="12"/>
  <c r="A452" i="12"/>
  <c r="A444" i="12"/>
  <c r="A437" i="12"/>
  <c r="A417" i="12"/>
  <c r="A385" i="12"/>
  <c r="A356" i="12"/>
  <c r="A353" i="12"/>
  <c r="A273" i="12"/>
  <c r="A247" i="12"/>
  <c r="A234" i="12"/>
  <c r="A221" i="12"/>
  <c r="A178" i="12"/>
  <c r="A171" i="12"/>
  <c r="A164" i="12"/>
  <c r="A157" i="12"/>
  <c r="A150" i="12"/>
  <c r="A143" i="12"/>
  <c r="A811" i="12"/>
  <c r="A792" i="12"/>
  <c r="A765" i="12"/>
  <c r="A753" i="12"/>
  <c r="A553" i="12"/>
  <c r="A430" i="12"/>
  <c r="A408" i="12"/>
  <c r="A402" i="12"/>
  <c r="A382" i="12"/>
  <c r="A376" i="12"/>
  <c r="A350" i="12"/>
  <c r="A347" i="12"/>
  <c r="A341" i="12"/>
  <c r="A321" i="12"/>
  <c r="A312" i="12"/>
  <c r="A289" i="12"/>
  <c r="A265" i="12"/>
  <c r="A252" i="12"/>
  <c r="A226" i="12"/>
  <c r="A213" i="12"/>
  <c r="A208" i="12"/>
  <c r="A203" i="12"/>
  <c r="A198" i="12"/>
  <c r="A193" i="12"/>
  <c r="A188" i="12"/>
  <c r="A585" i="12"/>
  <c r="A535" i="12"/>
  <c r="A529" i="12"/>
  <c r="A451" i="12"/>
  <c r="A419" i="12"/>
  <c r="A339" i="12"/>
  <c r="A335" i="12"/>
  <c r="A326" i="12"/>
  <c r="A322" i="12"/>
  <c r="A263" i="12"/>
  <c r="A249" i="12"/>
  <c r="A210" i="12"/>
  <c r="A186" i="12"/>
  <c r="A179" i="12"/>
  <c r="A146" i="12"/>
  <c r="A140" i="12"/>
  <c r="A131" i="12"/>
  <c r="A125" i="12"/>
  <c r="A91" i="12"/>
  <c r="A75" i="12"/>
  <c r="A70" i="12"/>
  <c r="A62" i="12"/>
  <c r="A57" i="12"/>
  <c r="A560" i="12"/>
  <c r="A399" i="12"/>
  <c r="A390" i="12"/>
  <c r="A284" i="12"/>
  <c r="A266" i="12"/>
  <c r="A259" i="12"/>
  <c r="A241" i="12"/>
  <c r="A227" i="12"/>
  <c r="A224" i="12"/>
  <c r="A189" i="12"/>
  <c r="A169" i="12"/>
  <c r="A159" i="12"/>
  <c r="A122" i="12"/>
  <c r="A105" i="12"/>
  <c r="A99" i="12"/>
  <c r="A80" i="12"/>
  <c r="A44" i="12"/>
  <c r="A31" i="12"/>
  <c r="A718" i="12"/>
  <c r="A460" i="12"/>
  <c r="A441" i="12"/>
  <c r="A370" i="12"/>
  <c r="A342" i="12"/>
  <c r="A291" i="12"/>
  <c r="A255" i="12"/>
  <c r="A199" i="12"/>
  <c r="A196" i="12"/>
  <c r="A96" i="12"/>
  <c r="A54" i="12"/>
  <c r="A49" i="12"/>
  <c r="A41" i="12"/>
  <c r="A36" i="12"/>
  <c r="A5" i="12"/>
  <c r="A622" i="12"/>
  <c r="A418" i="12"/>
  <c r="A410" i="12"/>
  <c r="A406" i="12"/>
  <c r="A338" i="12"/>
  <c r="A329" i="12"/>
  <c r="A280" i="12"/>
  <c r="A262" i="12"/>
  <c r="A248" i="12"/>
  <c r="A209" i="12"/>
  <c r="A206" i="12"/>
  <c r="A185" i="12"/>
  <c r="A175" i="12"/>
  <c r="A162" i="12"/>
  <c r="A152" i="12"/>
  <c r="A139" i="12"/>
  <c r="A136" i="12"/>
  <c r="A119" i="12"/>
  <c r="A113" i="12"/>
  <c r="A93" i="12"/>
  <c r="A85" i="12"/>
  <c r="A72" i="12"/>
  <c r="A59" i="12"/>
  <c r="A23" i="12"/>
  <c r="A10" i="12"/>
  <c r="A646" i="12"/>
  <c r="A409" i="12"/>
  <c r="A345" i="12"/>
  <c r="A294" i="12"/>
  <c r="A195" i="12"/>
  <c r="A174" i="12"/>
  <c r="A124" i="12"/>
  <c r="A118" i="12"/>
  <c r="A87" i="12"/>
  <c r="A61" i="12"/>
  <c r="A56" i="12"/>
  <c r="A48" i="12"/>
  <c r="A43" i="12"/>
  <c r="A12" i="12"/>
  <c r="A7" i="12"/>
  <c r="A420" i="12"/>
  <c r="A297" i="12"/>
  <c r="A201" i="12"/>
  <c r="A194" i="12"/>
  <c r="A154" i="12"/>
  <c r="A141" i="12"/>
  <c r="A129" i="12"/>
  <c r="A112" i="12"/>
  <c r="A106" i="12"/>
  <c r="A84" i="12"/>
  <c r="A58" i="12"/>
  <c r="A45" i="12"/>
  <c r="A9" i="12"/>
  <c r="A438" i="12"/>
  <c r="A416" i="12"/>
  <c r="A412" i="12"/>
  <c r="A396" i="12"/>
  <c r="A359" i="12"/>
  <c r="A355" i="12"/>
  <c r="A336" i="12"/>
  <c r="A327" i="12"/>
  <c r="A319" i="12"/>
  <c r="A301" i="12"/>
  <c r="A278" i="12"/>
  <c r="A250" i="12"/>
  <c r="A180" i="12"/>
  <c r="A160" i="12"/>
  <c r="A103" i="12"/>
  <c r="A97" i="12"/>
  <c r="A89" i="12"/>
  <c r="A68" i="12"/>
  <c r="A63" i="12"/>
  <c r="A55" i="12"/>
  <c r="A50" i="12"/>
  <c r="A19" i="12"/>
  <c r="A14" i="12"/>
  <c r="A6" i="12"/>
  <c r="A364" i="12"/>
  <c r="A276" i="12"/>
  <c r="A244" i="12"/>
  <c r="A184" i="12"/>
  <c r="A153" i="12"/>
  <c r="A98" i="12"/>
  <c r="A94" i="12"/>
  <c r="A90" i="12"/>
  <c r="A82" i="12"/>
  <c r="A40" i="12"/>
  <c r="A33" i="12"/>
  <c r="A30" i="12"/>
  <c r="A443" i="12"/>
  <c r="A404" i="12"/>
  <c r="A373" i="12"/>
  <c r="A354" i="12"/>
  <c r="A324" i="12"/>
  <c r="A216" i="12"/>
  <c r="A166" i="12"/>
  <c r="A161" i="12"/>
  <c r="A148" i="12"/>
  <c r="A101" i="12"/>
  <c r="A86" i="12"/>
  <c r="A51" i="12"/>
  <c r="A26" i="12"/>
  <c r="A16" i="12"/>
  <c r="A592" i="12"/>
  <c r="A388" i="12"/>
  <c r="A257" i="12"/>
  <c r="A78" i="12"/>
  <c r="A47" i="12"/>
  <c r="A1069" i="12"/>
  <c r="A598" i="12"/>
  <c r="A453" i="12"/>
  <c r="A383" i="12"/>
  <c r="A363" i="12"/>
  <c r="A275" i="12"/>
  <c r="A134" i="12"/>
  <c r="A126" i="12"/>
  <c r="A29" i="12"/>
  <c r="A22" i="12"/>
  <c r="A8" i="12"/>
  <c r="A1124" i="12"/>
  <c r="A624" i="12"/>
  <c r="A398" i="12"/>
  <c r="A348" i="12"/>
  <c r="A317" i="12"/>
  <c r="A229" i="12"/>
  <c r="A215" i="12"/>
  <c r="A147" i="12"/>
  <c r="A138" i="12"/>
  <c r="A117" i="12"/>
  <c r="A104" i="12"/>
  <c r="A15" i="12"/>
  <c r="A1158" i="12"/>
  <c r="A292" i="12"/>
  <c r="A270" i="12"/>
  <c r="A261" i="12"/>
  <c r="A242" i="12"/>
  <c r="A219" i="12"/>
  <c r="A173" i="12"/>
  <c r="A108" i="12"/>
  <c r="A77" i="12"/>
  <c r="A66" i="12"/>
  <c r="A422" i="12"/>
  <c r="A391" i="12"/>
  <c r="A371" i="12"/>
  <c r="A361" i="12"/>
  <c r="A168" i="12"/>
  <c r="A155" i="12"/>
  <c r="A76" i="12"/>
  <c r="A21" i="12"/>
  <c r="A3" i="12"/>
  <c r="A462" i="12"/>
  <c r="A411" i="12"/>
  <c r="A223" i="12"/>
  <c r="A145" i="12"/>
  <c r="A132" i="12"/>
  <c r="A120" i="12"/>
  <c r="A111" i="12"/>
  <c r="A65" i="12"/>
  <c r="A24" i="12"/>
  <c r="A467" i="12"/>
  <c r="A433" i="12"/>
  <c r="A282" i="12"/>
  <c r="A236" i="12"/>
  <c r="A181" i="12"/>
  <c r="A34" i="12"/>
  <c r="A27" i="12"/>
  <c r="A457" i="12"/>
  <c r="A214" i="12"/>
  <c r="A688" i="12"/>
  <c r="A332" i="12"/>
  <c r="A13" i="12"/>
  <c r="A542" i="12"/>
  <c r="A405" i="12"/>
  <c r="A290" i="12"/>
  <c r="A237" i="12"/>
  <c r="A191" i="12"/>
  <c r="A79" i="12"/>
  <c r="A73" i="12"/>
  <c r="A42" i="12"/>
  <c r="A37" i="12"/>
  <c r="A254" i="12"/>
  <c r="A231" i="12"/>
  <c r="A133" i="12"/>
  <c r="A52" i="12"/>
  <c r="A17" i="12"/>
  <c r="A2" i="12"/>
  <c r="A804" i="12"/>
  <c r="A167" i="12"/>
  <c r="A83" i="12"/>
  <c r="A748" i="12"/>
  <c r="A367" i="12"/>
  <c r="A283" i="12"/>
  <c r="A110" i="12"/>
  <c r="A389" i="12"/>
  <c r="A240" i="12"/>
  <c r="A205" i="12"/>
  <c r="A71" i="12"/>
  <c r="A532" i="12"/>
  <c r="A434" i="12"/>
  <c r="A415" i="12"/>
  <c r="A92" i="12"/>
  <c r="A20" i="12"/>
  <c r="A485" i="12"/>
  <c r="A228" i="12"/>
  <c r="A176" i="12"/>
  <c r="A387" i="12"/>
  <c r="A235" i="12"/>
  <c r="A268" i="12"/>
  <c r="A69" i="12"/>
  <c r="A38" i="12"/>
  <c r="A426" i="12"/>
  <c r="A115" i="12"/>
  <c r="A200" i="12"/>
  <c r="A306" i="12"/>
  <c r="A286" i="12"/>
  <c r="A127" i="12"/>
  <c r="A64" i="12"/>
  <c r="A28" i="12"/>
  <c r="A35" i="12"/>
  <c r="AB6" i="10"/>
  <c r="AB13" i="10"/>
  <c r="AB47" i="10"/>
  <c r="AB51" i="10"/>
  <c r="G62" i="10"/>
  <c r="AB90" i="10"/>
  <c r="AB94" i="10"/>
  <c r="G107" i="10"/>
  <c r="E109" i="10"/>
  <c r="E111" i="10"/>
  <c r="AB111" i="10"/>
  <c r="E126" i="10"/>
  <c r="E141" i="10"/>
  <c r="E156" i="10"/>
  <c r="AB158" i="10"/>
  <c r="G177" i="10"/>
  <c r="E179" i="10"/>
  <c r="E207" i="10"/>
  <c r="E212" i="10"/>
  <c r="L239" i="10"/>
  <c r="M239" i="10" s="1"/>
  <c r="AB247" i="10"/>
  <c r="G264" i="10"/>
  <c r="E264" i="10"/>
  <c r="E303" i="10"/>
  <c r="B1175" i="2"/>
  <c r="B1189" i="2"/>
  <c r="AB1191" i="10"/>
  <c r="AB1194" i="10"/>
  <c r="AB1192" i="10"/>
  <c r="AB1188" i="10"/>
  <c r="AB1181" i="10"/>
  <c r="AB1174" i="10"/>
  <c r="AB1167" i="10"/>
  <c r="AB1182" i="10"/>
  <c r="AB1175" i="10"/>
  <c r="AB1168" i="10"/>
  <c r="AB1161" i="10"/>
  <c r="AB1154" i="10"/>
  <c r="AB1189" i="10"/>
  <c r="AB1183" i="10"/>
  <c r="AB1176" i="10"/>
  <c r="AB1193" i="10"/>
  <c r="AB1185" i="10"/>
  <c r="AB1178" i="10"/>
  <c r="AB1186" i="10"/>
  <c r="AB1179" i="10"/>
  <c r="AB1172" i="10"/>
  <c r="AB1165" i="10"/>
  <c r="AB1163" i="10"/>
  <c r="AB1142" i="10"/>
  <c r="AB1170" i="10"/>
  <c r="AB1159" i="10"/>
  <c r="AB1153" i="10"/>
  <c r="AB1150" i="10"/>
  <c r="AB1146" i="10"/>
  <c r="AB1184" i="10"/>
  <c r="AB1187" i="10"/>
  <c r="AB1169" i="10"/>
  <c r="AB1162" i="10"/>
  <c r="AB1143" i="10"/>
  <c r="AB1151" i="10"/>
  <c r="AB1147" i="10"/>
  <c r="AB1190" i="10"/>
  <c r="AB1180" i="10"/>
  <c r="AB1158" i="10"/>
  <c r="AB1152" i="10"/>
  <c r="AB1177" i="10"/>
  <c r="AB1140" i="10"/>
  <c r="AB1133" i="10"/>
  <c r="AB1149" i="10"/>
  <c r="AB1145" i="10"/>
  <c r="AB1155" i="10"/>
  <c r="AB1137" i="10"/>
  <c r="AB1119" i="10"/>
  <c r="AB1112" i="10"/>
  <c r="AB1105" i="10"/>
  <c r="AB1098" i="10"/>
  <c r="AB1129" i="10"/>
  <c r="AB1125" i="10"/>
  <c r="AB1120" i="10"/>
  <c r="AB1121" i="10"/>
  <c r="AB1156" i="10"/>
  <c r="AB1138" i="10"/>
  <c r="AB1136" i="10"/>
  <c r="AB1130" i="10"/>
  <c r="AB1166" i="10"/>
  <c r="AB1160" i="10"/>
  <c r="AB1148" i="10"/>
  <c r="AB1135" i="10"/>
  <c r="AB1128" i="10"/>
  <c r="AB1124" i="10"/>
  <c r="AB1157" i="10"/>
  <c r="AB1171" i="10"/>
  <c r="AB1144" i="10"/>
  <c r="AB1114" i="10"/>
  <c r="AB1104" i="10"/>
  <c r="AB1102" i="10"/>
  <c r="AB1097" i="10"/>
  <c r="AB1164" i="10"/>
  <c r="AB1116" i="10"/>
  <c r="AB1100" i="10"/>
  <c r="AB1079" i="10"/>
  <c r="AB1075" i="10"/>
  <c r="AB1127" i="10"/>
  <c r="AB1126" i="10"/>
  <c r="AB1095" i="10"/>
  <c r="AB1111" i="10"/>
  <c r="AB1109" i="10"/>
  <c r="AB1118" i="10"/>
  <c r="AB1115" i="10"/>
  <c r="AB1101" i="10"/>
  <c r="AB1096" i="10"/>
  <c r="AB1085" i="10"/>
  <c r="AB1081" i="10"/>
  <c r="AB1077" i="10"/>
  <c r="AB1073" i="10"/>
  <c r="AB1117" i="10"/>
  <c r="AB1099" i="10"/>
  <c r="AB1093" i="10"/>
  <c r="AB1089" i="10"/>
  <c r="AB1122" i="10"/>
  <c r="AB1108" i="10"/>
  <c r="AB1106" i="10"/>
  <c r="AB1082" i="10"/>
  <c r="AB1078" i="10"/>
  <c r="AB1043" i="10"/>
  <c r="AB1037" i="10"/>
  <c r="AB1030" i="10"/>
  <c r="AB1051" i="10"/>
  <c r="AB1047" i="10"/>
  <c r="AB1173" i="10"/>
  <c r="AB1123" i="10"/>
  <c r="AB1094" i="10"/>
  <c r="AB1141" i="10"/>
  <c r="AB1110" i="10"/>
  <c r="AB1087" i="10"/>
  <c r="AB1044" i="10"/>
  <c r="AB1039" i="10"/>
  <c r="AB1032" i="10"/>
  <c r="AB1025" i="10"/>
  <c r="AB1139" i="10"/>
  <c r="AB1064" i="10"/>
  <c r="AB1060" i="10"/>
  <c r="AB1056" i="10"/>
  <c r="AB1052" i="10"/>
  <c r="AB1048" i="10"/>
  <c r="AB1092" i="10"/>
  <c r="AB1086" i="10"/>
  <c r="AB1080" i="10"/>
  <c r="AB1071" i="10"/>
  <c r="AB1134" i="10"/>
  <c r="AB1103" i="10"/>
  <c r="AB1091" i="10"/>
  <c r="AB1066" i="10"/>
  <c r="AB1061" i="10"/>
  <c r="AB1053" i="10"/>
  <c r="AB1046" i="10"/>
  <c r="AB1035" i="10"/>
  <c r="AB1131" i="10"/>
  <c r="AB1070" i="10"/>
  <c r="AB1065" i="10"/>
  <c r="AB1107" i="10"/>
  <c r="AB1084" i="10"/>
  <c r="AB1083" i="10"/>
  <c r="AB1049" i="10"/>
  <c r="AB1088" i="10"/>
  <c r="AB1069" i="10"/>
  <c r="AB1055" i="10"/>
  <c r="AB1045" i="10"/>
  <c r="AB1113" i="10"/>
  <c r="AB1090" i="10"/>
  <c r="AB1062" i="10"/>
  <c r="AB1057" i="10"/>
  <c r="AB1050" i="10"/>
  <c r="AB1040" i="10"/>
  <c r="AB1031" i="10"/>
  <c r="AB1024" i="10"/>
  <c r="AB1016" i="10"/>
  <c r="AB1009" i="10"/>
  <c r="AB1036" i="10"/>
  <c r="AB1015" i="10"/>
  <c r="AB1012" i="10"/>
  <c r="AB979" i="10"/>
  <c r="AB972" i="10"/>
  <c r="AB965" i="10"/>
  <c r="AB958" i="10"/>
  <c r="AB951" i="10"/>
  <c r="AB944" i="10"/>
  <c r="AB937" i="10"/>
  <c r="AB930" i="10"/>
  <c r="AB923" i="10"/>
  <c r="AB916" i="10"/>
  <c r="AB909" i="10"/>
  <c r="AB902" i="10"/>
  <c r="AB895" i="10"/>
  <c r="AB888" i="10"/>
  <c r="AB881" i="10"/>
  <c r="AB874" i="10"/>
  <c r="AB867" i="10"/>
  <c r="AB860" i="10"/>
  <c r="AB853" i="10"/>
  <c r="AB846" i="10"/>
  <c r="AB987" i="10"/>
  <c r="AB983" i="10"/>
  <c r="AB1072" i="10"/>
  <c r="AB1041" i="10"/>
  <c r="AB1018" i="10"/>
  <c r="AB1007" i="10"/>
  <c r="AB1003" i="10"/>
  <c r="AB999" i="10"/>
  <c r="AB1042" i="10"/>
  <c r="AB1028" i="10"/>
  <c r="AB1023" i="10"/>
  <c r="AB1010" i="10"/>
  <c r="AB1067" i="10"/>
  <c r="AB1068" i="10"/>
  <c r="AB1059" i="10"/>
  <c r="AB1058" i="10"/>
  <c r="AB1074" i="10"/>
  <c r="AB1027" i="10"/>
  <c r="AB1019" i="10"/>
  <c r="AB1008" i="10"/>
  <c r="AB1132" i="10"/>
  <c r="AB1038" i="10"/>
  <c r="AB1014" i="10"/>
  <c r="AB993" i="10"/>
  <c r="AB989" i="10"/>
  <c r="AB985" i="10"/>
  <c r="AB981" i="10"/>
  <c r="AB976" i="10"/>
  <c r="AB969" i="10"/>
  <c r="AB962" i="10"/>
  <c r="AB1029" i="10"/>
  <c r="AB1006" i="10"/>
  <c r="AB1002" i="10"/>
  <c r="AB998" i="10"/>
  <c r="AB975" i="10"/>
  <c r="AB959" i="10"/>
  <c r="AB956" i="10"/>
  <c r="AB1020" i="10"/>
  <c r="AB995" i="10"/>
  <c r="AB978" i="10"/>
  <c r="AB1033" i="10"/>
  <c r="AB1005" i="10"/>
  <c r="AB994" i="10"/>
  <c r="AB968" i="10"/>
  <c r="AB1034" i="10"/>
  <c r="AB1022" i="10"/>
  <c r="AB1021" i="10"/>
  <c r="AB1017" i="10"/>
  <c r="AB977" i="10"/>
  <c r="AB974" i="10"/>
  <c r="AB1004" i="10"/>
  <c r="AB988" i="10"/>
  <c r="AB961" i="10"/>
  <c r="AB943" i="10"/>
  <c r="AB917" i="10"/>
  <c r="AB911" i="10"/>
  <c r="AB891" i="10"/>
  <c r="AB887" i="10"/>
  <c r="AB883" i="10"/>
  <c r="AB992" i="10"/>
  <c r="AB980" i="10"/>
  <c r="AB970" i="10"/>
  <c r="AB967" i="10"/>
  <c r="AB1063" i="10"/>
  <c r="AB1076" i="10"/>
  <c r="AB1054" i="10"/>
  <c r="AB997" i="10"/>
  <c r="AB948" i="10"/>
  <c r="AB920" i="10"/>
  <c r="AB898" i="10"/>
  <c r="AB872" i="10"/>
  <c r="AB858" i="10"/>
  <c r="AB852" i="10"/>
  <c r="AB849" i="10"/>
  <c r="AB964" i="10"/>
  <c r="AB955" i="10"/>
  <c r="AB942" i="10"/>
  <c r="AB938" i="10"/>
  <c r="AB934" i="10"/>
  <c r="AB925" i="10"/>
  <c r="AB913" i="10"/>
  <c r="AB896" i="10"/>
  <c r="AB889" i="10"/>
  <c r="AB875" i="10"/>
  <c r="AB855" i="10"/>
  <c r="AB843" i="10"/>
  <c r="AB915" i="10"/>
  <c r="AB894" i="10"/>
  <c r="AB892" i="10"/>
  <c r="AB864" i="10"/>
  <c r="AB861" i="10"/>
  <c r="AB953" i="10"/>
  <c r="AB947" i="10"/>
  <c r="AB922" i="10"/>
  <c r="AB885" i="10"/>
  <c r="AB878" i="10"/>
  <c r="AB966" i="10"/>
  <c r="AB954" i="10"/>
  <c r="AB952" i="10"/>
  <c r="AB933" i="10"/>
  <c r="AB870" i="10"/>
  <c r="AB1026" i="10"/>
  <c r="AB982" i="10"/>
  <c r="AB971" i="10"/>
  <c r="AB946" i="10"/>
  <c r="AB941" i="10"/>
  <c r="AB907" i="10"/>
  <c r="AB873" i="10"/>
  <c r="AB856" i="10"/>
  <c r="AB1011" i="10"/>
  <c r="AB950" i="10"/>
  <c r="AB936" i="10"/>
  <c r="AB932" i="10"/>
  <c r="AB921" i="10"/>
  <c r="AB914" i="10"/>
  <c r="AB886" i="10"/>
  <c r="AB879" i="10"/>
  <c r="AB1000" i="10"/>
  <c r="AB940" i="10"/>
  <c r="AB929" i="10"/>
  <c r="AB910" i="10"/>
  <c r="AB935" i="10"/>
  <c r="AB926" i="10"/>
  <c r="AB1013" i="10"/>
  <c r="AB1001" i="10"/>
  <c r="AB960" i="10"/>
  <c r="AB901" i="10"/>
  <c r="AB837" i="10"/>
  <c r="AB833" i="10"/>
  <c r="AB829" i="10"/>
  <c r="AB825" i="10"/>
  <c r="AB821" i="10"/>
  <c r="AB788" i="10"/>
  <c r="AB991" i="10"/>
  <c r="AB908" i="10"/>
  <c r="AB963" i="10"/>
  <c r="AB927" i="10"/>
  <c r="AB893" i="10"/>
  <c r="AB871" i="10"/>
  <c r="AB865" i="10"/>
  <c r="AB838" i="10"/>
  <c r="AB834" i="10"/>
  <c r="AB795" i="10"/>
  <c r="AB790" i="10"/>
  <c r="AB783" i="10"/>
  <c r="AB924" i="10"/>
  <c r="AB912" i="10"/>
  <c r="AB903" i="10"/>
  <c r="AB869" i="10"/>
  <c r="AB866" i="10"/>
  <c r="AB862" i="10"/>
  <c r="AB857" i="10"/>
  <c r="AB848" i="10"/>
  <c r="AB823" i="10"/>
  <c r="AB819" i="10"/>
  <c r="AB815" i="10"/>
  <c r="AB811" i="10"/>
  <c r="AB986" i="10"/>
  <c r="AB990" i="10"/>
  <c r="AB877" i="10"/>
  <c r="AB841" i="10"/>
  <c r="AB984" i="10"/>
  <c r="AB945" i="10"/>
  <c r="AB973" i="10"/>
  <c r="AB957" i="10"/>
  <c r="AB949" i="10"/>
  <c r="AB900" i="10"/>
  <c r="AB882" i="10"/>
  <c r="AB868" i="10"/>
  <c r="AB835" i="10"/>
  <c r="AB824" i="10"/>
  <c r="AB822" i="10"/>
  <c r="AB905" i="10"/>
  <c r="AB840" i="10"/>
  <c r="AB826" i="10"/>
  <c r="AB776" i="10"/>
  <c r="AB769" i="10"/>
  <c r="AB762" i="10"/>
  <c r="AB755" i="10"/>
  <c r="AB748" i="10"/>
  <c r="AB741" i="10"/>
  <c r="AB734" i="10"/>
  <c r="AB727" i="10"/>
  <c r="AB897" i="10"/>
  <c r="AB851" i="10"/>
  <c r="AB817" i="10"/>
  <c r="AB810" i="10"/>
  <c r="AB808" i="10"/>
  <c r="AB806" i="10"/>
  <c r="AB802" i="10"/>
  <c r="AB782" i="10"/>
  <c r="AB850" i="10"/>
  <c r="AB830" i="10"/>
  <c r="AB828" i="10"/>
  <c r="AB804" i="10"/>
  <c r="AB793" i="10"/>
  <c r="AB785" i="10"/>
  <c r="AB777" i="10"/>
  <c r="AB770" i="10"/>
  <c r="AB763" i="10"/>
  <c r="AB756" i="10"/>
  <c r="AB749" i="10"/>
  <c r="AB742" i="10"/>
  <c r="AB735" i="10"/>
  <c r="AB918" i="10"/>
  <c r="AB812" i="10"/>
  <c r="AB800" i="10"/>
  <c r="AB798" i="10"/>
  <c r="AB906" i="10"/>
  <c r="AB847" i="10"/>
  <c r="AB839" i="10"/>
  <c r="AB791" i="10"/>
  <c r="AB778" i="10"/>
  <c r="AB771" i="10"/>
  <c r="AB764" i="10"/>
  <c r="AB757" i="10"/>
  <c r="AB996" i="10"/>
  <c r="AB928" i="10"/>
  <c r="AB880" i="10"/>
  <c r="AB876" i="10"/>
  <c r="AB832" i="10"/>
  <c r="AB816" i="10"/>
  <c r="AB814" i="10"/>
  <c r="AB796" i="10"/>
  <c r="AB844" i="10"/>
  <c r="AB786" i="10"/>
  <c r="AB779" i="10"/>
  <c r="AB772" i="10"/>
  <c r="AB765" i="10"/>
  <c r="AB758" i="10"/>
  <c r="AB836" i="10"/>
  <c r="AB809" i="10"/>
  <c r="AB794" i="10"/>
  <c r="AB789" i="10"/>
  <c r="AB939" i="10"/>
  <c r="AB899" i="10"/>
  <c r="AB854" i="10"/>
  <c r="AB931" i="10"/>
  <c r="AB780" i="10"/>
  <c r="AB761" i="10"/>
  <c r="AB723" i="10"/>
  <c r="AB700" i="10"/>
  <c r="AB696" i="10"/>
  <c r="AB677" i="10"/>
  <c r="AB781" i="10"/>
  <c r="AB736" i="10"/>
  <c r="AB721" i="10"/>
  <c r="AB717" i="10"/>
  <c r="AB807" i="10"/>
  <c r="AB745" i="10"/>
  <c r="AB730" i="10"/>
  <c r="AB725" i="10"/>
  <c r="AB803" i="10"/>
  <c r="AB774" i="10"/>
  <c r="AB773" i="10"/>
  <c r="AB740" i="10"/>
  <c r="AB820" i="10"/>
  <c r="AB890" i="10"/>
  <c r="AB884" i="10"/>
  <c r="AB842" i="10"/>
  <c r="AB797" i="10"/>
  <c r="AB752" i="10"/>
  <c r="AB705" i="10"/>
  <c r="AB680" i="10"/>
  <c r="AB678" i="10"/>
  <c r="AB845" i="10"/>
  <c r="AB792" i="10"/>
  <c r="AB784" i="10"/>
  <c r="AB744" i="10"/>
  <c r="AB724" i="10"/>
  <c r="AB701" i="10"/>
  <c r="AB699" i="10"/>
  <c r="AB676" i="10"/>
  <c r="AB674" i="10"/>
  <c r="AB653" i="10"/>
  <c r="AB904" i="10"/>
  <c r="AB863" i="10"/>
  <c r="AB859" i="10"/>
  <c r="AB813" i="10"/>
  <c r="AB831" i="10"/>
  <c r="AB799" i="10"/>
  <c r="AB768" i="10"/>
  <c r="AB750" i="10"/>
  <c r="AB731" i="10"/>
  <c r="AB718" i="10"/>
  <c r="AB716" i="10"/>
  <c r="AB693" i="10"/>
  <c r="AB689" i="10"/>
  <c r="AB670" i="10"/>
  <c r="AB656" i="10"/>
  <c r="AB648" i="10"/>
  <c r="AB801" i="10"/>
  <c r="AB738" i="10"/>
  <c r="AB733" i="10"/>
  <c r="AB712" i="10"/>
  <c r="AB702" i="10"/>
  <c r="AB686" i="10"/>
  <c r="AB685" i="10"/>
  <c r="AB663" i="10"/>
  <c r="AB662" i="10"/>
  <c r="AB636" i="10"/>
  <c r="AB629" i="10"/>
  <c r="AB622" i="10"/>
  <c r="AB615" i="10"/>
  <c r="AB608" i="10"/>
  <c r="AB601" i="10"/>
  <c r="AB722" i="10"/>
  <c r="AB706" i="10"/>
  <c r="AB697" i="10"/>
  <c r="AB691" i="10"/>
  <c r="AB643" i="10"/>
  <c r="AB827" i="10"/>
  <c r="AB818" i="10"/>
  <c r="AB767" i="10"/>
  <c r="AB753" i="10"/>
  <c r="AB743" i="10"/>
  <c r="AB728" i="10"/>
  <c r="AB720" i="10"/>
  <c r="AB711" i="10"/>
  <c r="AB710" i="10"/>
  <c r="AB669" i="10"/>
  <c r="AB775" i="10"/>
  <c r="AB729" i="10"/>
  <c r="AB668" i="10"/>
  <c r="AB646" i="10"/>
  <c r="AB919" i="10"/>
  <c r="AB759" i="10"/>
  <c r="AB754" i="10"/>
  <c r="AB719" i="10"/>
  <c r="AB690" i="10"/>
  <c r="AB684" i="10"/>
  <c r="AB739" i="10"/>
  <c r="AB695" i="10"/>
  <c r="AB683" i="10"/>
  <c r="AB639" i="10"/>
  <c r="AB632" i="10"/>
  <c r="AB625" i="10"/>
  <c r="AB618" i="10"/>
  <c r="AB611" i="10"/>
  <c r="AB604" i="10"/>
  <c r="AB787" i="10"/>
  <c r="AB672" i="10"/>
  <c r="AB666" i="10"/>
  <c r="AB660" i="10"/>
  <c r="AB650" i="10"/>
  <c r="AB715" i="10"/>
  <c r="AB714" i="10"/>
  <c r="AB704" i="10"/>
  <c r="AB688" i="10"/>
  <c r="AB682" i="10"/>
  <c r="AB708" i="10"/>
  <c r="AB694" i="10"/>
  <c r="AB665" i="10"/>
  <c r="AB751" i="10"/>
  <c r="AB692" i="10"/>
  <c r="AB610" i="10"/>
  <c r="AB596" i="10"/>
  <c r="AB589" i="10"/>
  <c r="AB582" i="10"/>
  <c r="AB575" i="10"/>
  <c r="AB568" i="10"/>
  <c r="AB561" i="10"/>
  <c r="AB554" i="10"/>
  <c r="AB547" i="10"/>
  <c r="AB540" i="10"/>
  <c r="AB533" i="10"/>
  <c r="AB526" i="10"/>
  <c r="AB519" i="10"/>
  <c r="AB512" i="10"/>
  <c r="AB505" i="10"/>
  <c r="AB498" i="10"/>
  <c r="AB491" i="10"/>
  <c r="AB484" i="10"/>
  <c r="AB477" i="10"/>
  <c r="AB470" i="10"/>
  <c r="AB463" i="10"/>
  <c r="AB456" i="10"/>
  <c r="AB449" i="10"/>
  <c r="AB442" i="10"/>
  <c r="AB435" i="10"/>
  <c r="AB709" i="10"/>
  <c r="AB617" i="10"/>
  <c r="AB747" i="10"/>
  <c r="AB737" i="10"/>
  <c r="AB713" i="10"/>
  <c r="AB687" i="10"/>
  <c r="AB675" i="10"/>
  <c r="AB654" i="10"/>
  <c r="AB624" i="10"/>
  <c r="AB612" i="10"/>
  <c r="AB597" i="10"/>
  <c r="AB590" i="10"/>
  <c r="AB583" i="10"/>
  <c r="AB576" i="10"/>
  <c r="AB569" i="10"/>
  <c r="AB562" i="10"/>
  <c r="AB555" i="10"/>
  <c r="AB548" i="10"/>
  <c r="AB541" i="10"/>
  <c r="AB534" i="10"/>
  <c r="AB527" i="10"/>
  <c r="AB520" i="10"/>
  <c r="AB513" i="10"/>
  <c r="AB506" i="10"/>
  <c r="AB698" i="10"/>
  <c r="AB671" i="10"/>
  <c r="AB638" i="10"/>
  <c r="AB631" i="10"/>
  <c r="AB619" i="10"/>
  <c r="AB607" i="10"/>
  <c r="AB605" i="10"/>
  <c r="AB681" i="10"/>
  <c r="AB644" i="10"/>
  <c r="AB642" i="10"/>
  <c r="AB626" i="10"/>
  <c r="AB614" i="10"/>
  <c r="AB603" i="10"/>
  <c r="AB591" i="10"/>
  <c r="AB584" i="10"/>
  <c r="AB577" i="10"/>
  <c r="AB703" i="10"/>
  <c r="AB655" i="10"/>
  <c r="AB633" i="10"/>
  <c r="AB621" i="10"/>
  <c r="AB609" i="10"/>
  <c r="AB598" i="10"/>
  <c r="AB647" i="10"/>
  <c r="AB645" i="10"/>
  <c r="AB641" i="10"/>
  <c r="AB635" i="10"/>
  <c r="AB628" i="10"/>
  <c r="AB616" i="10"/>
  <c r="AB592" i="10"/>
  <c r="AB585" i="10"/>
  <c r="AB578" i="10"/>
  <c r="AB571" i="10"/>
  <c r="AB564" i="10"/>
  <c r="AB557" i="10"/>
  <c r="AB550" i="10"/>
  <c r="AB543" i="10"/>
  <c r="AB536" i="10"/>
  <c r="AB529" i="10"/>
  <c r="AB522" i="10"/>
  <c r="AB515" i="10"/>
  <c r="AB508" i="10"/>
  <c r="AB501" i="10"/>
  <c r="AB494" i="10"/>
  <c r="AB487" i="10"/>
  <c r="AB480" i="10"/>
  <c r="AB473" i="10"/>
  <c r="AB466" i="10"/>
  <c r="AB459" i="10"/>
  <c r="AB452" i="10"/>
  <c r="AB445" i="10"/>
  <c r="AB438" i="10"/>
  <c r="AB760" i="10"/>
  <c r="AB726" i="10"/>
  <c r="AB658" i="10"/>
  <c r="AB657" i="10"/>
  <c r="AB623" i="10"/>
  <c r="AB679" i="10"/>
  <c r="AB659" i="10"/>
  <c r="AB637" i="10"/>
  <c r="AB630" i="10"/>
  <c r="AB599" i="10"/>
  <c r="AB593" i="10"/>
  <c r="AB586" i="10"/>
  <c r="AB579" i="10"/>
  <c r="AB572" i="10"/>
  <c r="AB565" i="10"/>
  <c r="AB558" i="10"/>
  <c r="AB551" i="10"/>
  <c r="AB544" i="10"/>
  <c r="AB537" i="10"/>
  <c r="AB530" i="10"/>
  <c r="AB523" i="10"/>
  <c r="AB746" i="10"/>
  <c r="AB732" i="10"/>
  <c r="AB613" i="10"/>
  <c r="AB606" i="10"/>
  <c r="AB661" i="10"/>
  <c r="AB651" i="10"/>
  <c r="AB620" i="10"/>
  <c r="AB602" i="10"/>
  <c r="AB595" i="10"/>
  <c r="AB588" i="10"/>
  <c r="AB587" i="10"/>
  <c r="AB556" i="10"/>
  <c r="AB539" i="10"/>
  <c r="AB538" i="10"/>
  <c r="AB521" i="10"/>
  <c r="AB485" i="10"/>
  <c r="AB462" i="10"/>
  <c r="AB460" i="10"/>
  <c r="AB455" i="10"/>
  <c r="AB453" i="10"/>
  <c r="AB446" i="10"/>
  <c r="AB439" i="10"/>
  <c r="AB707" i="10"/>
  <c r="AB664" i="10"/>
  <c r="AB634" i="10"/>
  <c r="AB580" i="10"/>
  <c r="AB573" i="10"/>
  <c r="AB518" i="10"/>
  <c r="AB478" i="10"/>
  <c r="AB471" i="10"/>
  <c r="AB448" i="10"/>
  <c r="AB441" i="10"/>
  <c r="AB433" i="10"/>
  <c r="AB429" i="10"/>
  <c r="AB422" i="10"/>
  <c r="AB581" i="10"/>
  <c r="AB542" i="10"/>
  <c r="AB525" i="10"/>
  <c r="AB524" i="10"/>
  <c r="AB517" i="10"/>
  <c r="AB504" i="10"/>
  <c r="AB496" i="10"/>
  <c r="AB464" i="10"/>
  <c r="AB457" i="10"/>
  <c r="AB574" i="10"/>
  <c r="AB489" i="10"/>
  <c r="AB450" i="10"/>
  <c r="AB443" i="10"/>
  <c r="AB436" i="10"/>
  <c r="AB430" i="10"/>
  <c r="AB423" i="10"/>
  <c r="AB416" i="10"/>
  <c r="AB409" i="10"/>
  <c r="AB805" i="10"/>
  <c r="AB559" i="10"/>
  <c r="AB514" i="10"/>
  <c r="AB510" i="10"/>
  <c r="AB482" i="10"/>
  <c r="AB652" i="10"/>
  <c r="AB528" i="10"/>
  <c r="AB516" i="10"/>
  <c r="AB511" i="10"/>
  <c r="AB503" i="10"/>
  <c r="AB475" i="10"/>
  <c r="AB468" i="10"/>
  <c r="AB424" i="10"/>
  <c r="AB649" i="10"/>
  <c r="AB640" i="10"/>
  <c r="AB560" i="10"/>
  <c r="AB545" i="10"/>
  <c r="AB461" i="10"/>
  <c r="AB454" i="10"/>
  <c r="AB447" i="10"/>
  <c r="AB440" i="10"/>
  <c r="AB627" i="10"/>
  <c r="AB531" i="10"/>
  <c r="AB509" i="10"/>
  <c r="AB500" i="10"/>
  <c r="AB434" i="10"/>
  <c r="AB431" i="10"/>
  <c r="AB425" i="10"/>
  <c r="AB418" i="10"/>
  <c r="AB411" i="10"/>
  <c r="AB404" i="10"/>
  <c r="AB397" i="10"/>
  <c r="AB390" i="10"/>
  <c r="AB383" i="10"/>
  <c r="AB376" i="10"/>
  <c r="AB369" i="10"/>
  <c r="AB362" i="10"/>
  <c r="AB355" i="10"/>
  <c r="AB348" i="10"/>
  <c r="AB341" i="10"/>
  <c r="AB334" i="10"/>
  <c r="AB563" i="10"/>
  <c r="AB546" i="10"/>
  <c r="AB493" i="10"/>
  <c r="AB667" i="10"/>
  <c r="AB532" i="10"/>
  <c r="AB507" i="10"/>
  <c r="AB486" i="10"/>
  <c r="AB426" i="10"/>
  <c r="AB419" i="10"/>
  <c r="AB412" i="10"/>
  <c r="AB405" i="10"/>
  <c r="AB398" i="10"/>
  <c r="AB391" i="10"/>
  <c r="AB384" i="10"/>
  <c r="AB377" i="10"/>
  <c r="AB370" i="10"/>
  <c r="AB363" i="10"/>
  <c r="AB356" i="10"/>
  <c r="AB349" i="10"/>
  <c r="AB342" i="10"/>
  <c r="AB335" i="10"/>
  <c r="AB570" i="10"/>
  <c r="AB492" i="10"/>
  <c r="AB476" i="10"/>
  <c r="AB474" i="10"/>
  <c r="AB469" i="10"/>
  <c r="AB467" i="10"/>
  <c r="AB483" i="10"/>
  <c r="AB479" i="10"/>
  <c r="AB413" i="10"/>
  <c r="AB385" i="10"/>
  <c r="AB378" i="10"/>
  <c r="AB366" i="10"/>
  <c r="AB354" i="10"/>
  <c r="AB347" i="10"/>
  <c r="AB340" i="10"/>
  <c r="AB329" i="10"/>
  <c r="AB321" i="10"/>
  <c r="AB552" i="10"/>
  <c r="AB392" i="10"/>
  <c r="AB380" i="10"/>
  <c r="AB373" i="10"/>
  <c r="AB361" i="10"/>
  <c r="AB499" i="10"/>
  <c r="AB417" i="10"/>
  <c r="AB406" i="10"/>
  <c r="AB399" i="10"/>
  <c r="AB387" i="10"/>
  <c r="AB368" i="10"/>
  <c r="AB600" i="10"/>
  <c r="AB472" i="10"/>
  <c r="AB401" i="10"/>
  <c r="AB394" i="10"/>
  <c r="AB382" i="10"/>
  <c r="AB375" i="10"/>
  <c r="AB490" i="10"/>
  <c r="AB408" i="10"/>
  <c r="AB389" i="10"/>
  <c r="AB332" i="10"/>
  <c r="AB327" i="10"/>
  <c r="AB316" i="10"/>
  <c r="AB553" i="10"/>
  <c r="AB403" i="10"/>
  <c r="AB396" i="10"/>
  <c r="AB766" i="10"/>
  <c r="AB502" i="10"/>
  <c r="AB465" i="10"/>
  <c r="AB458" i="10"/>
  <c r="AB444" i="10"/>
  <c r="AB427" i="10"/>
  <c r="AB360" i="10"/>
  <c r="AB358" i="10"/>
  <c r="AB351" i="10"/>
  <c r="AB344" i="10"/>
  <c r="AB337" i="10"/>
  <c r="AB330" i="10"/>
  <c r="AB322" i="10"/>
  <c r="AB314" i="10"/>
  <c r="AB566" i="10"/>
  <c r="AB535" i="10"/>
  <c r="AB497" i="10"/>
  <c r="AB367" i="10"/>
  <c r="AB365" i="10"/>
  <c r="AB325" i="10"/>
  <c r="AB307" i="10"/>
  <c r="AB300" i="10"/>
  <c r="AB293" i="10"/>
  <c r="AB286" i="10"/>
  <c r="AB279" i="10"/>
  <c r="AB272" i="10"/>
  <c r="AB594" i="10"/>
  <c r="AB451" i="10"/>
  <c r="AB381" i="10"/>
  <c r="AB414" i="10"/>
  <c r="AB488" i="10"/>
  <c r="AB420" i="10"/>
  <c r="AB352" i="10"/>
  <c r="AB336" i="10"/>
  <c r="AB333" i="10"/>
  <c r="AB313" i="10"/>
  <c r="AB310" i="10"/>
  <c r="AB306" i="10"/>
  <c r="AB304" i="10"/>
  <c r="AB289" i="10"/>
  <c r="AB229" i="10"/>
  <c r="AB225" i="10"/>
  <c r="AB379" i="10"/>
  <c r="AB285" i="10"/>
  <c r="AB283" i="10"/>
  <c r="AB260" i="10"/>
  <c r="AB249" i="10"/>
  <c r="AB245" i="10"/>
  <c r="AB241" i="10"/>
  <c r="AB237" i="10"/>
  <c r="AB233" i="10"/>
  <c r="AB196" i="10"/>
  <c r="AB189" i="10"/>
  <c r="AB182" i="10"/>
  <c r="AB481" i="10"/>
  <c r="AB395" i="10"/>
  <c r="AB339" i="10"/>
  <c r="AB302" i="10"/>
  <c r="AB298" i="10"/>
  <c r="AB268" i="10"/>
  <c r="AB263" i="10"/>
  <c r="AB257" i="10"/>
  <c r="AB253" i="10"/>
  <c r="AB214" i="10"/>
  <c r="AB210" i="10"/>
  <c r="AB206" i="10"/>
  <c r="AB202" i="10"/>
  <c r="AB673" i="10"/>
  <c r="AB402" i="10"/>
  <c r="AB320" i="10"/>
  <c r="AB294" i="10"/>
  <c r="AB281" i="10"/>
  <c r="AB277" i="10"/>
  <c r="AB266" i="10"/>
  <c r="AB222" i="10"/>
  <c r="AB218" i="10"/>
  <c r="AB197" i="10"/>
  <c r="AB190" i="10"/>
  <c r="AB183" i="10"/>
  <c r="AB357" i="10"/>
  <c r="AB338" i="10"/>
  <c r="AB315" i="10"/>
  <c r="AB312" i="10"/>
  <c r="AB242" i="10"/>
  <c r="AB238" i="10"/>
  <c r="AB234" i="10"/>
  <c r="AB230" i="10"/>
  <c r="AB226" i="10"/>
  <c r="AB415" i="10"/>
  <c r="AB326" i="10"/>
  <c r="AB319" i="10"/>
  <c r="AB296" i="10"/>
  <c r="AB292" i="10"/>
  <c r="AB290" i="10"/>
  <c r="AB273" i="10"/>
  <c r="AB250" i="10"/>
  <c r="AB246" i="10"/>
  <c r="AB305" i="10"/>
  <c r="AB275" i="10"/>
  <c r="AB258" i="10"/>
  <c r="AB254" i="10"/>
  <c r="AB215" i="10"/>
  <c r="AB211" i="10"/>
  <c r="AB549" i="10"/>
  <c r="AB421" i="10"/>
  <c r="AB359" i="10"/>
  <c r="AB346" i="10"/>
  <c r="AB309" i="10"/>
  <c r="AB288" i="10"/>
  <c r="AB284" i="10"/>
  <c r="AB271" i="10"/>
  <c r="AB269" i="10"/>
  <c r="AB261" i="10"/>
  <c r="AB235" i="10"/>
  <c r="AB231" i="10"/>
  <c r="AB227" i="10"/>
  <c r="AB223" i="10"/>
  <c r="AB219" i="10"/>
  <c r="AB199" i="10"/>
  <c r="AB192" i="10"/>
  <c r="AB185" i="10"/>
  <c r="AB178" i="10"/>
  <c r="AB171" i="10"/>
  <c r="AB164" i="10"/>
  <c r="AB157" i="10"/>
  <c r="AB150" i="10"/>
  <c r="AB143" i="10"/>
  <c r="AB136" i="10"/>
  <c r="AB129" i="10"/>
  <c r="AB122" i="10"/>
  <c r="AB115" i="10"/>
  <c r="AB108" i="10"/>
  <c r="AB101" i="10"/>
  <c r="AB428" i="10"/>
  <c r="AB386" i="10"/>
  <c r="AB343" i="10"/>
  <c r="AB301" i="10"/>
  <c r="AB264" i="10"/>
  <c r="AB243" i="10"/>
  <c r="AB239" i="10"/>
  <c r="AB567" i="10"/>
  <c r="AB407" i="10"/>
  <c r="AB388" i="10"/>
  <c r="AB374" i="10"/>
  <c r="AB350" i="10"/>
  <c r="AB287" i="10"/>
  <c r="AB274" i="10"/>
  <c r="AB270" i="10"/>
  <c r="AB265" i="10"/>
  <c r="AB27" i="10"/>
  <c r="AB31" i="10"/>
  <c r="AB35" i="10"/>
  <c r="AB39" i="10"/>
  <c r="AB43" i="10"/>
  <c r="G82" i="10"/>
  <c r="AB82" i="10"/>
  <c r="AB86" i="10"/>
  <c r="AB109" i="10"/>
  <c r="G124" i="10"/>
  <c r="AB126" i="10"/>
  <c r="AB128" i="10"/>
  <c r="L131" i="10"/>
  <c r="M131" i="10" s="1"/>
  <c r="AB141" i="10"/>
  <c r="AB145" i="10"/>
  <c r="L167" i="10"/>
  <c r="M167" i="10" s="1"/>
  <c r="AB179" i="10"/>
  <c r="AB188" i="10"/>
  <c r="G202" i="10"/>
  <c r="E202" i="10"/>
  <c r="G206" i="10"/>
  <c r="E206" i="10"/>
  <c r="AB232" i="10"/>
  <c r="L235" i="10"/>
  <c r="M235" i="10" s="1"/>
  <c r="G235" i="10"/>
  <c r="AB262" i="10"/>
  <c r="L282" i="10"/>
  <c r="M282" i="10" s="1"/>
  <c r="L303" i="10"/>
  <c r="M303" i="10" s="1"/>
  <c r="G357" i="10"/>
  <c r="AB495" i="10"/>
  <c r="AB78" i="10"/>
  <c r="AB96" i="10"/>
  <c r="G109" i="10"/>
  <c r="AB132" i="10"/>
  <c r="AB147" i="10"/>
  <c r="AB149" i="10"/>
  <c r="L152" i="10"/>
  <c r="M152" i="10" s="1"/>
  <c r="AB162" i="10"/>
  <c r="AB166" i="10"/>
  <c r="G179" i="10"/>
  <c r="L204" i="10"/>
  <c r="M204" i="10" s="1"/>
  <c r="L208" i="10"/>
  <c r="M208" i="10" s="1"/>
  <c r="G210" i="10"/>
  <c r="E210" i="10"/>
  <c r="E211" i="10"/>
  <c r="G211" i="10"/>
  <c r="AB353" i="10"/>
  <c r="L357" i="10"/>
  <c r="M357" i="10" s="1"/>
  <c r="G69" i="10"/>
  <c r="AB98" i="10"/>
  <c r="AB100" i="10"/>
  <c r="L103" i="10"/>
  <c r="M103" i="10" s="1"/>
  <c r="AB113" i="10"/>
  <c r="AB117" i="10"/>
  <c r="AB130" i="10"/>
  <c r="AB153" i="10"/>
  <c r="AB168" i="10"/>
  <c r="AB170" i="10"/>
  <c r="L173" i="10"/>
  <c r="M173" i="10" s="1"/>
  <c r="AB184" i="10"/>
  <c r="AB216" i="10"/>
  <c r="AB217" i="10"/>
  <c r="E267" i="10"/>
  <c r="G267" i="10"/>
  <c r="AB280" i="10"/>
  <c r="AB291" i="10"/>
  <c r="G317" i="10"/>
  <c r="L317" i="10"/>
  <c r="M317" i="10" s="1"/>
  <c r="AB372" i="10"/>
  <c r="AB410" i="10"/>
  <c r="E61" i="10"/>
  <c r="E65" i="10"/>
  <c r="E69" i="10"/>
  <c r="G89" i="10"/>
  <c r="AB89" i="10"/>
  <c r="AB93" i="10"/>
  <c r="G96" i="10"/>
  <c r="G100" i="10"/>
  <c r="E102" i="10"/>
  <c r="E104" i="10"/>
  <c r="AB104" i="10"/>
  <c r="E119" i="10"/>
  <c r="E134" i="10"/>
  <c r="E149" i="10"/>
  <c r="AB151" i="10"/>
  <c r="G166" i="10"/>
  <c r="G170" i="10"/>
  <c r="E172" i="10"/>
  <c r="E174" i="10"/>
  <c r="AB174" i="10"/>
  <c r="AB198" i="10"/>
  <c r="L211" i="10"/>
  <c r="M211" i="10" s="1"/>
  <c r="AB240" i="10"/>
  <c r="G247" i="10"/>
  <c r="E259" i="10"/>
  <c r="E317" i="10"/>
  <c r="G354" i="10"/>
  <c r="G526" i="10"/>
  <c r="E526" i="10"/>
  <c r="L526" i="10"/>
  <c r="M526" i="10" s="1"/>
  <c r="AB77" i="10"/>
  <c r="AB81" i="10"/>
  <c r="AB85" i="10"/>
  <c r="E92" i="10"/>
  <c r="AB102" i="10"/>
  <c r="G117" i="10"/>
  <c r="AB119" i="10"/>
  <c r="AB121" i="10"/>
  <c r="L124" i="10"/>
  <c r="M124" i="10" s="1"/>
  <c r="AB134" i="10"/>
  <c r="AB138" i="10"/>
  <c r="E155" i="10"/>
  <c r="L156" i="10"/>
  <c r="M156" i="10" s="1"/>
  <c r="AB172" i="10"/>
  <c r="E183" i="10"/>
  <c r="AB191" i="10"/>
  <c r="L212" i="10"/>
  <c r="M212" i="10" s="1"/>
  <c r="G215" i="10"/>
  <c r="E216" i="10"/>
  <c r="L243" i="10"/>
  <c r="M243" i="10" s="1"/>
  <c r="E247" i="10"/>
  <c r="G255" i="10"/>
  <c r="L267" i="10"/>
  <c r="M267" i="10" s="1"/>
  <c r="G299" i="10"/>
  <c r="E299" i="10"/>
  <c r="AB437" i="10"/>
  <c r="E33" i="10"/>
  <c r="G61" i="10"/>
  <c r="AB61" i="10"/>
  <c r="AB65" i="10"/>
  <c r="G76" i="10"/>
  <c r="E106" i="10"/>
  <c r="G121" i="10"/>
  <c r="E125" i="10"/>
  <c r="AB125" i="10"/>
  <c r="AB155" i="10"/>
  <c r="AB159" i="10"/>
  <c r="AB180" i="10"/>
  <c r="L182" i="10"/>
  <c r="M182" i="10" s="1"/>
  <c r="G196" i="10"/>
  <c r="E196" i="10"/>
  <c r="AB220" i="10"/>
  <c r="AB221" i="10"/>
  <c r="L251" i="10"/>
  <c r="M251" i="10" s="1"/>
  <c r="G278" i="10"/>
  <c r="AB282" i="10"/>
  <c r="AB297" i="10"/>
  <c r="L299" i="10"/>
  <c r="M299" i="10" s="1"/>
  <c r="G337" i="10"/>
  <c r="E337" i="10"/>
  <c r="E395" i="10"/>
  <c r="AB106" i="10"/>
  <c r="AB110" i="10"/>
  <c r="E121" i="10"/>
  <c r="AB123" i="10"/>
  <c r="G138" i="10"/>
  <c r="AB140" i="10"/>
  <c r="AB142" i="10"/>
  <c r="G146" i="10"/>
  <c r="AB146" i="10"/>
  <c r="AB176" i="10"/>
  <c r="E180" i="10"/>
  <c r="G184" i="10"/>
  <c r="G197" i="10"/>
  <c r="E197" i="10"/>
  <c r="L247" i="10"/>
  <c r="M247" i="10" s="1"/>
  <c r="L259" i="10"/>
  <c r="M259" i="10" s="1"/>
  <c r="AB308" i="10"/>
  <c r="AB318" i="10"/>
  <c r="AB324" i="10"/>
  <c r="L328" i="10"/>
  <c r="M328" i="10" s="1"/>
  <c r="G328" i="10"/>
  <c r="G254" i="10"/>
  <c r="G261" i="10"/>
  <c r="E284" i="10"/>
  <c r="E451" i="10"/>
  <c r="G451" i="10"/>
  <c r="E242" i="10"/>
  <c r="E246" i="10"/>
  <c r="E250" i="10"/>
  <c r="E254" i="10"/>
  <c r="E261" i="10"/>
  <c r="L274" i="10"/>
  <c r="M274" i="10" s="1"/>
  <c r="G275" i="10"/>
  <c r="E286" i="10"/>
  <c r="E288" i="10"/>
  <c r="E305" i="10"/>
  <c r="E314" i="10"/>
  <c r="E350" i="10"/>
  <c r="G414" i="10"/>
  <c r="G226" i="10"/>
  <c r="G271" i="10"/>
  <c r="E273" i="10"/>
  <c r="E275" i="10"/>
  <c r="E364" i="10"/>
  <c r="G372" i="10"/>
  <c r="E372" i="10"/>
  <c r="G407" i="10"/>
  <c r="G242" i="10"/>
  <c r="G286" i="10"/>
  <c r="L295" i="10"/>
  <c r="M295" i="10" s="1"/>
  <c r="L331" i="10"/>
  <c r="M331" i="10" s="1"/>
  <c r="L383" i="10"/>
  <c r="M383" i="10" s="1"/>
  <c r="G383" i="10"/>
  <c r="L419" i="10"/>
  <c r="M419" i="10" s="1"/>
  <c r="G419" i="10"/>
  <c r="E249" i="10"/>
  <c r="E253" i="10"/>
  <c r="E257" i="10"/>
  <c r="E263" i="10"/>
  <c r="E277" i="10"/>
  <c r="G292" i="10"/>
  <c r="E294" i="10"/>
  <c r="E296" i="10"/>
  <c r="L323" i="10"/>
  <c r="M323" i="10" s="1"/>
  <c r="E325" i="10"/>
  <c r="G325" i="10"/>
  <c r="E348" i="10"/>
  <c r="E383" i="10"/>
  <c r="G400" i="10"/>
  <c r="E419" i="10"/>
  <c r="E425" i="10"/>
  <c r="E444" i="10"/>
  <c r="G444" i="10"/>
  <c r="E502" i="10"/>
  <c r="L593" i="10"/>
  <c r="M593" i="10" s="1"/>
  <c r="G593" i="10"/>
  <c r="E593" i="10"/>
  <c r="G233" i="10"/>
  <c r="E237" i="10"/>
  <c r="E241" i="10"/>
  <c r="E245" i="10"/>
  <c r="G268" i="10"/>
  <c r="E279" i="10"/>
  <c r="E281" i="10"/>
  <c r="E292" i="10"/>
  <c r="E298" i="10"/>
  <c r="G312" i="10"/>
  <c r="G362" i="10"/>
  <c r="E362" i="10"/>
  <c r="E400" i="10"/>
  <c r="L425" i="10"/>
  <c r="M425" i="10" s="1"/>
  <c r="L502" i="10"/>
  <c r="M502" i="10" s="1"/>
  <c r="G253" i="10"/>
  <c r="G263" i="10"/>
  <c r="E268" i="10"/>
  <c r="L314" i="10"/>
  <c r="M314" i="10" s="1"/>
  <c r="G386" i="10"/>
  <c r="E386" i="10"/>
  <c r="E390" i="10"/>
  <c r="G537" i="10"/>
  <c r="L537" i="10"/>
  <c r="M537" i="10" s="1"/>
  <c r="G205" i="10"/>
  <c r="G281" i="10"/>
  <c r="G289" i="10"/>
  <c r="G315" i="10"/>
  <c r="L362" i="10"/>
  <c r="M362" i="10" s="1"/>
  <c r="E490" i="10"/>
  <c r="E537" i="10"/>
  <c r="E205" i="10"/>
  <c r="G225" i="10"/>
  <c r="G240" i="10"/>
  <c r="G260" i="10"/>
  <c r="E270" i="10"/>
  <c r="G285" i="10"/>
  <c r="E289" i="10"/>
  <c r="G302" i="10"/>
  <c r="L309" i="10"/>
  <c r="M309" i="10" s="1"/>
  <c r="L325" i="10"/>
  <c r="M325" i="10" s="1"/>
  <c r="G340" i="10"/>
  <c r="G343" i="10"/>
  <c r="L390" i="10"/>
  <c r="M390" i="10" s="1"/>
  <c r="G393" i="10"/>
  <c r="G490" i="10"/>
  <c r="G540" i="10"/>
  <c r="E540" i="10"/>
  <c r="G639" i="10"/>
  <c r="E639" i="10"/>
  <c r="L639" i="10"/>
  <c r="M639" i="10" s="1"/>
  <c r="L378" i="10"/>
  <c r="M378" i="10" s="1"/>
  <c r="L385" i="10"/>
  <c r="M385" i="10" s="1"/>
  <c r="G424" i="10"/>
  <c r="G505" i="10"/>
  <c r="E505" i="10"/>
  <c r="G691" i="10"/>
  <c r="E691" i="10"/>
  <c r="L691" i="10"/>
  <c r="M691" i="10" s="1"/>
  <c r="E311" i="10"/>
  <c r="E322" i="10"/>
  <c r="G330" i="10"/>
  <c r="E360" i="10"/>
  <c r="G365" i="10"/>
  <c r="L371" i="10"/>
  <c r="M371" i="10" s="1"/>
  <c r="L413" i="10"/>
  <c r="M413" i="10" s="1"/>
  <c r="L418" i="10"/>
  <c r="M418" i="10" s="1"/>
  <c r="L586" i="10"/>
  <c r="M586" i="10" s="1"/>
  <c r="G586" i="10"/>
  <c r="E586" i="10"/>
  <c r="G613" i="10"/>
  <c r="E613" i="10"/>
  <c r="G319" i="10"/>
  <c r="E330" i="10"/>
  <c r="E339" i="10"/>
  <c r="G344" i="10"/>
  <c r="E346" i="10"/>
  <c r="G351" i="10"/>
  <c r="E353" i="10"/>
  <c r="G358" i="10"/>
  <c r="L364" i="10"/>
  <c r="M364" i="10" s="1"/>
  <c r="E365" i="10"/>
  <c r="G410" i="10"/>
  <c r="E415" i="10"/>
  <c r="G421" i="10"/>
  <c r="G442" i="10"/>
  <c r="E442" i="10"/>
  <c r="L505" i="10"/>
  <c r="M505" i="10" s="1"/>
  <c r="G620" i="10"/>
  <c r="E620" i="10"/>
  <c r="L400" i="10"/>
  <c r="M400" i="10" s="1"/>
  <c r="L407" i="10"/>
  <c r="M407" i="10" s="1"/>
  <c r="L522" i="10"/>
  <c r="M522" i="10" s="1"/>
  <c r="G522" i="10"/>
  <c r="E522" i="10"/>
  <c r="L336" i="10"/>
  <c r="M336" i="10" s="1"/>
  <c r="E377" i="10"/>
  <c r="E384" i="10"/>
  <c r="L393" i="10"/>
  <c r="M393" i="10" s="1"/>
  <c r="E394" i="10"/>
  <c r="E401" i="10"/>
  <c r="E408" i="10"/>
  <c r="G449" i="10"/>
  <c r="E449" i="10"/>
  <c r="G456" i="10"/>
  <c r="G495" i="10"/>
  <c r="L495" i="10"/>
  <c r="M495" i="10" s="1"/>
  <c r="E495" i="10"/>
  <c r="E370" i="10"/>
  <c r="L379" i="10"/>
  <c r="M379" i="10" s="1"/>
  <c r="L386" i="10"/>
  <c r="M386" i="10" s="1"/>
  <c r="G396" i="10"/>
  <c r="G403" i="10"/>
  <c r="E411" i="10"/>
  <c r="E416" i="10"/>
  <c r="G428" i="10"/>
  <c r="L449" i="10"/>
  <c r="M449" i="10" s="1"/>
  <c r="G463" i="10"/>
  <c r="E481" i="10"/>
  <c r="G488" i="10"/>
  <c r="L543" i="10"/>
  <c r="M543" i="10" s="1"/>
  <c r="G543" i="10"/>
  <c r="E543" i="10"/>
  <c r="E602" i="10"/>
  <c r="L372" i="10"/>
  <c r="M372" i="10" s="1"/>
  <c r="E437" i="10"/>
  <c r="G437" i="10"/>
  <c r="G519" i="10"/>
  <c r="E519" i="10"/>
  <c r="L557" i="10"/>
  <c r="M557" i="10" s="1"/>
  <c r="G557" i="10"/>
  <c r="E557" i="10"/>
  <c r="G681" i="10"/>
  <c r="E681" i="10"/>
  <c r="E318" i="10"/>
  <c r="E329" i="10"/>
  <c r="G375" i="10"/>
  <c r="G382" i="10"/>
  <c r="E399" i="10"/>
  <c r="E406" i="10"/>
  <c r="E426" i="10"/>
  <c r="L497" i="10"/>
  <c r="M497" i="10" s="1"/>
  <c r="G497" i="10"/>
  <c r="G514" i="10"/>
  <c r="E514" i="10"/>
  <c r="L519" i="10"/>
  <c r="M519" i="10" s="1"/>
  <c r="G551" i="10"/>
  <c r="L551" i="10"/>
  <c r="M551" i="10" s="1"/>
  <c r="E551" i="10"/>
  <c r="G606" i="10"/>
  <c r="E606" i="10"/>
  <c r="L311" i="10"/>
  <c r="M311" i="10" s="1"/>
  <c r="G326" i="10"/>
  <c r="L344" i="10"/>
  <c r="M344" i="10" s="1"/>
  <c r="L351" i="10"/>
  <c r="M351" i="10" s="1"/>
  <c r="L358" i="10"/>
  <c r="M358" i="10" s="1"/>
  <c r="G368" i="10"/>
  <c r="E392" i="10"/>
  <c r="L411" i="10"/>
  <c r="M411" i="10" s="1"/>
  <c r="E497" i="10"/>
  <c r="G575" i="10"/>
  <c r="E575" i="10"/>
  <c r="G598" i="10"/>
  <c r="E598" i="10"/>
  <c r="G643" i="10"/>
  <c r="E643" i="10"/>
  <c r="E706" i="10"/>
  <c r="G706" i="10"/>
  <c r="G431" i="10"/>
  <c r="G571" i="10"/>
  <c r="E571" i="10"/>
  <c r="L572" i="10"/>
  <c r="M572" i="10" s="1"/>
  <c r="L579" i="10"/>
  <c r="M579" i="10" s="1"/>
  <c r="G579" i="10"/>
  <c r="L467" i="10"/>
  <c r="M467" i="10" s="1"/>
  <c r="L474" i="10"/>
  <c r="M474" i="10" s="1"/>
  <c r="G521" i="10"/>
  <c r="E521" i="10"/>
  <c r="L536" i="10"/>
  <c r="M536" i="10" s="1"/>
  <c r="G536" i="10"/>
  <c r="E536" i="10"/>
  <c r="G554" i="10"/>
  <c r="E554" i="10"/>
  <c r="L608" i="10"/>
  <c r="M608" i="10" s="1"/>
  <c r="G608" i="10"/>
  <c r="E434" i="10"/>
  <c r="E470" i="10"/>
  <c r="G472" i="10"/>
  <c r="E477" i="10"/>
  <c r="G479" i="10"/>
  <c r="E565" i="10"/>
  <c r="L571" i="10"/>
  <c r="M571" i="10" s="1"/>
  <c r="E608" i="10"/>
  <c r="G486" i="10"/>
  <c r="L521" i="10"/>
  <c r="M521" i="10" s="1"/>
  <c r="L550" i="10"/>
  <c r="M550" i="10" s="1"/>
  <c r="G550" i="10"/>
  <c r="E550" i="10"/>
  <c r="G568" i="10"/>
  <c r="E568" i="10"/>
  <c r="L437" i="10"/>
  <c r="M437" i="10" s="1"/>
  <c r="G438" i="10"/>
  <c r="E438" i="10"/>
  <c r="L444" i="10"/>
  <c r="M444" i="10" s="1"/>
  <c r="G445" i="10"/>
  <c r="E445" i="10"/>
  <c r="L451" i="10"/>
  <c r="M451" i="10" s="1"/>
  <c r="G452" i="10"/>
  <c r="E452" i="10"/>
  <c r="L508" i="10"/>
  <c r="M508" i="10" s="1"/>
  <c r="G508" i="10"/>
  <c r="E508" i="10"/>
  <c r="G533" i="10"/>
  <c r="E533" i="10"/>
  <c r="G459" i="10"/>
  <c r="E459" i="10"/>
  <c r="G466" i="10"/>
  <c r="E466" i="10"/>
  <c r="G547" i="10"/>
  <c r="E547" i="10"/>
  <c r="G564" i="10"/>
  <c r="E564" i="10"/>
  <c r="G585" i="10"/>
  <c r="E585" i="10"/>
  <c r="E662" i="10"/>
  <c r="L662" i="10"/>
  <c r="M662" i="10" s="1"/>
  <c r="G662" i="10"/>
  <c r="E720" i="10"/>
  <c r="G720" i="10"/>
  <c r="L720" i="10"/>
  <c r="M720" i="10" s="1"/>
  <c r="L472" i="10"/>
  <c r="M472" i="10" s="1"/>
  <c r="G473" i="10"/>
  <c r="E473" i="10"/>
  <c r="L479" i="10"/>
  <c r="M479" i="10" s="1"/>
  <c r="G480" i="10"/>
  <c r="E480" i="10"/>
  <c r="E496" i="10"/>
  <c r="G516" i="10"/>
  <c r="G544" i="10"/>
  <c r="L585" i="10"/>
  <c r="M585" i="10" s="1"/>
  <c r="L592" i="10"/>
  <c r="M592" i="10" s="1"/>
  <c r="G592" i="10"/>
  <c r="E592" i="10"/>
  <c r="E604" i="10"/>
  <c r="L604" i="10"/>
  <c r="M604" i="10" s="1"/>
  <c r="G604" i="10"/>
  <c r="G487" i="10"/>
  <c r="E487" i="10"/>
  <c r="L507" i="10"/>
  <c r="M507" i="10" s="1"/>
  <c r="E516" i="10"/>
  <c r="E544" i="10"/>
  <c r="G561" i="10"/>
  <c r="E561" i="10"/>
  <c r="L564" i="10"/>
  <c r="M564" i="10" s="1"/>
  <c r="L578" i="10"/>
  <c r="M578" i="10" s="1"/>
  <c r="G578" i="10"/>
  <c r="E578" i="10"/>
  <c r="E599" i="10"/>
  <c r="E627" i="10"/>
  <c r="G632" i="10"/>
  <c r="E632" i="10"/>
  <c r="L632" i="10"/>
  <c r="M632" i="10" s="1"/>
  <c r="G494" i="10"/>
  <c r="E494" i="10"/>
  <c r="L529" i="10"/>
  <c r="M529" i="10" s="1"/>
  <c r="G529" i="10"/>
  <c r="E529" i="10"/>
  <c r="L530" i="10"/>
  <c r="M530" i="10" s="1"/>
  <c r="G558" i="10"/>
  <c r="E669" i="10"/>
  <c r="G669" i="10"/>
  <c r="E702" i="10"/>
  <c r="L702" i="10"/>
  <c r="M702" i="10" s="1"/>
  <c r="G702" i="10"/>
  <c r="G439" i="10"/>
  <c r="G446" i="10"/>
  <c r="G453" i="10"/>
  <c r="G460" i="10"/>
  <c r="L500" i="10"/>
  <c r="M500" i="10" s="1"/>
  <c r="G501" i="10"/>
  <c r="E501" i="10"/>
  <c r="L509" i="10"/>
  <c r="M509" i="10" s="1"/>
  <c r="G512" i="10"/>
  <c r="E512" i="10"/>
  <c r="L515" i="10"/>
  <c r="M515" i="10" s="1"/>
  <c r="G515" i="10"/>
  <c r="E515" i="10"/>
  <c r="G523" i="10"/>
  <c r="E558" i="10"/>
  <c r="G610" i="10"/>
  <c r="E685" i="10"/>
  <c r="G685" i="10"/>
  <c r="L685" i="10"/>
  <c r="M685" i="10" s="1"/>
  <c r="E697" i="10"/>
  <c r="G697" i="10"/>
  <c r="G625" i="10"/>
  <c r="E625" i="10"/>
  <c r="E675" i="10"/>
  <c r="L675" i="10"/>
  <c r="M675" i="10" s="1"/>
  <c r="G675" i="10"/>
  <c r="G722" i="10"/>
  <c r="E722" i="10"/>
  <c r="L617" i="10"/>
  <c r="M617" i="10" s="1"/>
  <c r="G618" i="10"/>
  <c r="E618" i="10"/>
  <c r="G653" i="10"/>
  <c r="E653" i="10"/>
  <c r="E528" i="10"/>
  <c r="E535" i="10"/>
  <c r="E542" i="10"/>
  <c r="E549" i="10"/>
  <c r="E556" i="10"/>
  <c r="E563" i="10"/>
  <c r="E570" i="10"/>
  <c r="E577" i="10"/>
  <c r="E584" i="10"/>
  <c r="E591" i="10"/>
  <c r="L610" i="10"/>
  <c r="M610" i="10" s="1"/>
  <c r="G611" i="10"/>
  <c r="E611" i="10"/>
  <c r="E640" i="10"/>
  <c r="G749" i="10"/>
  <c r="E749" i="10"/>
  <c r="L749" i="10"/>
  <c r="M749" i="10" s="1"/>
  <c r="E635" i="10"/>
  <c r="L669" i="10"/>
  <c r="M669" i="10" s="1"/>
  <c r="G698" i="10"/>
  <c r="E698" i="10"/>
  <c r="L698" i="10"/>
  <c r="M698" i="10" s="1"/>
  <c r="G712" i="10"/>
  <c r="E712" i="10"/>
  <c r="L772" i="10"/>
  <c r="M772" i="10" s="1"/>
  <c r="G772" i="10"/>
  <c r="G686" i="10"/>
  <c r="E686" i="10"/>
  <c r="E692" i="10"/>
  <c r="G692" i="10"/>
  <c r="E582" i="10"/>
  <c r="E589" i="10"/>
  <c r="E596" i="10"/>
  <c r="E603" i="10"/>
  <c r="E605" i="10"/>
  <c r="E607" i="10"/>
  <c r="E614" i="10"/>
  <c r="G619" i="10"/>
  <c r="E626" i="10"/>
  <c r="G667" i="10"/>
  <c r="E667" i="10"/>
  <c r="L686" i="10"/>
  <c r="M686" i="10" s="1"/>
  <c r="E723" i="10"/>
  <c r="E619" i="10"/>
  <c r="G663" i="10"/>
  <c r="E663" i="10"/>
  <c r="L692" i="10"/>
  <c r="M692" i="10" s="1"/>
  <c r="E704" i="10"/>
  <c r="G704" i="10"/>
  <c r="G707" i="10"/>
  <c r="E707" i="10"/>
  <c r="L707" i="10"/>
  <c r="M707" i="10" s="1"/>
  <c r="G711" i="10"/>
  <c r="G631" i="10"/>
  <c r="G638" i="10"/>
  <c r="E645" i="10"/>
  <c r="E646" i="10"/>
  <c r="G672" i="10"/>
  <c r="E672" i="10"/>
  <c r="L672" i="10"/>
  <c r="M672" i="10" s="1"/>
  <c r="G807" i="10"/>
  <c r="L807" i="10"/>
  <c r="M807" i="10" s="1"/>
  <c r="E807" i="10"/>
  <c r="L780" i="10"/>
  <c r="M780" i="10" s="1"/>
  <c r="G780" i="10"/>
  <c r="G652" i="10"/>
  <c r="E655" i="10"/>
  <c r="L696" i="10"/>
  <c r="M696" i="10" s="1"/>
  <c r="G728" i="10"/>
  <c r="E728" i="10"/>
  <c r="L728" i="10"/>
  <c r="M728" i="10" s="1"/>
  <c r="L706" i="10"/>
  <c r="M706" i="10" s="1"/>
  <c r="L738" i="10"/>
  <c r="M738" i="10" s="1"/>
  <c r="E738" i="10"/>
  <c r="G742" i="10"/>
  <c r="E742" i="10"/>
  <c r="E644" i="10"/>
  <c r="L649" i="10"/>
  <c r="M649" i="10" s="1"/>
  <c r="G659" i="10"/>
  <c r="E687" i="10"/>
  <c r="L722" i="10"/>
  <c r="M722" i="10" s="1"/>
  <c r="G734" i="10"/>
  <c r="G738" i="10"/>
  <c r="G748" i="10"/>
  <c r="E748" i="10"/>
  <c r="G764" i="10"/>
  <c r="E764" i="10"/>
  <c r="G892" i="10"/>
  <c r="E892" i="10"/>
  <c r="L892" i="10"/>
  <c r="M892" i="10" s="1"/>
  <c r="G656" i="10"/>
  <c r="E656" i="10"/>
  <c r="E659" i="10"/>
  <c r="G660" i="10"/>
  <c r="G664" i="10"/>
  <c r="G665" i="10"/>
  <c r="E665" i="10"/>
  <c r="G671" i="10"/>
  <c r="G694" i="10"/>
  <c r="G708" i="10"/>
  <c r="E733" i="10"/>
  <c r="L734" i="10"/>
  <c r="M734" i="10" s="1"/>
  <c r="L742" i="10"/>
  <c r="M742" i="10" s="1"/>
  <c r="L764" i="10"/>
  <c r="M764" i="10" s="1"/>
  <c r="G783" i="10"/>
  <c r="E783" i="10"/>
  <c r="L796" i="10"/>
  <c r="M796" i="10" s="1"/>
  <c r="G796" i="10"/>
  <c r="E796" i="10"/>
  <c r="G829" i="10"/>
  <c r="E829" i="10"/>
  <c r="G714" i="10"/>
  <c r="E714" i="10"/>
  <c r="E727" i="10"/>
  <c r="G727" i="10"/>
  <c r="E741" i="10"/>
  <c r="G741" i="10"/>
  <c r="G833" i="10"/>
  <c r="E833" i="10"/>
  <c r="L687" i="10"/>
  <c r="M687" i="10" s="1"/>
  <c r="G695" i="10"/>
  <c r="E695" i="10"/>
  <c r="G715" i="10"/>
  <c r="E737" i="10"/>
  <c r="L758" i="10"/>
  <c r="M758" i="10" s="1"/>
  <c r="G758" i="10"/>
  <c r="E758" i="10"/>
  <c r="E648" i="10"/>
  <c r="G666" i="10"/>
  <c r="E666" i="10"/>
  <c r="E683" i="10"/>
  <c r="E715" i="10"/>
  <c r="E716" i="10"/>
  <c r="G717" i="10"/>
  <c r="L717" i="10"/>
  <c r="M717" i="10" s="1"/>
  <c r="E731" i="10"/>
  <c r="G737" i="10"/>
  <c r="L741" i="10"/>
  <c r="M741" i="10" s="1"/>
  <c r="G673" i="10"/>
  <c r="E673" i="10"/>
  <c r="L714" i="10"/>
  <c r="M714" i="10" s="1"/>
  <c r="G716" i="10"/>
  <c r="G731" i="10"/>
  <c r="G657" i="10"/>
  <c r="L661" i="10"/>
  <c r="M661" i="10" s="1"/>
  <c r="E661" i="10"/>
  <c r="G683" i="10"/>
  <c r="E690" i="10"/>
  <c r="E696" i="10"/>
  <c r="E736" i="10"/>
  <c r="G750" i="10"/>
  <c r="E750" i="10"/>
  <c r="L644" i="10"/>
  <c r="M644" i="10" s="1"/>
  <c r="E651" i="10"/>
  <c r="G661" i="10"/>
  <c r="G668" i="10"/>
  <c r="E668" i="10"/>
  <c r="G679" i="10"/>
  <c r="E679" i="10"/>
  <c r="L679" i="10"/>
  <c r="M679" i="10" s="1"/>
  <c r="E684" i="10"/>
  <c r="L695" i="10"/>
  <c r="M695" i="10" s="1"/>
  <c r="L704" i="10"/>
  <c r="M704" i="10" s="1"/>
  <c r="G719" i="10"/>
  <c r="E719" i="10"/>
  <c r="G730" i="10"/>
  <c r="E801" i="10"/>
  <c r="L801" i="10"/>
  <c r="M801" i="10" s="1"/>
  <c r="G801" i="10"/>
  <c r="E820" i="10"/>
  <c r="L820" i="10"/>
  <c r="M820" i="10" s="1"/>
  <c r="G693" i="10"/>
  <c r="E693" i="10"/>
  <c r="E718" i="10"/>
  <c r="L723" i="10"/>
  <c r="M723" i="10" s="1"/>
  <c r="L736" i="10"/>
  <c r="M736" i="10" s="1"/>
  <c r="L789" i="10"/>
  <c r="M789" i="10" s="1"/>
  <c r="G789" i="10"/>
  <c r="E789" i="10"/>
  <c r="G811" i="10"/>
  <c r="L779" i="10"/>
  <c r="M779" i="10" s="1"/>
  <c r="G779" i="10"/>
  <c r="L829" i="10"/>
  <c r="M829" i="10" s="1"/>
  <c r="E676" i="10"/>
  <c r="G701" i="10"/>
  <c r="G729" i="10"/>
  <c r="G771" i="10"/>
  <c r="E771" i="10"/>
  <c r="E779" i="10"/>
  <c r="E658" i="10"/>
  <c r="G680" i="10"/>
  <c r="E701" i="10"/>
  <c r="E729" i="10"/>
  <c r="G743" i="10"/>
  <c r="E743" i="10"/>
  <c r="L744" i="10"/>
  <c r="M744" i="10" s="1"/>
  <c r="G744" i="10"/>
  <c r="L751" i="10"/>
  <c r="M751" i="10" s="1"/>
  <c r="G751" i="10"/>
  <c r="E766" i="10"/>
  <c r="L771" i="10"/>
  <c r="M771" i="10" s="1"/>
  <c r="G794" i="10"/>
  <c r="E794" i="10"/>
  <c r="G818" i="10"/>
  <c r="E818" i="10"/>
  <c r="G860" i="10"/>
  <c r="E860" i="10"/>
  <c r="E805" i="10"/>
  <c r="L805" i="10"/>
  <c r="M805" i="10" s="1"/>
  <c r="G805" i="10"/>
  <c r="L833" i="10"/>
  <c r="M833" i="10" s="1"/>
  <c r="L831" i="10"/>
  <c r="M831" i="10" s="1"/>
  <c r="G831" i="10"/>
  <c r="E732" i="10"/>
  <c r="G757" i="10"/>
  <c r="E757" i="10"/>
  <c r="L765" i="10"/>
  <c r="M765" i="10" s="1"/>
  <c r="G765" i="10"/>
  <c r="G778" i="10"/>
  <c r="E778" i="10"/>
  <c r="E786" i="10"/>
  <c r="L809" i="10"/>
  <c r="M809" i="10" s="1"/>
  <c r="G809" i="10"/>
  <c r="G813" i="10"/>
  <c r="E831" i="10"/>
  <c r="G836" i="10"/>
  <c r="E836" i="10"/>
  <c r="E730" i="10"/>
  <c r="G735" i="10"/>
  <c r="E735" i="10"/>
  <c r="E745" i="10"/>
  <c r="L750" i="10"/>
  <c r="M750" i="10" s="1"/>
  <c r="L757" i="10"/>
  <c r="M757" i="10" s="1"/>
  <c r="E765" i="10"/>
  <c r="L778" i="10"/>
  <c r="M778" i="10" s="1"/>
  <c r="E809" i="10"/>
  <c r="G721" i="10"/>
  <c r="E721" i="10"/>
  <c r="E725" i="10"/>
  <c r="E773" i="10"/>
  <c r="G700" i="10"/>
  <c r="E700" i="10"/>
  <c r="G799" i="10"/>
  <c r="L813" i="10"/>
  <c r="M813" i="10" s="1"/>
  <c r="E908" i="10"/>
  <c r="L908" i="10"/>
  <c r="M908" i="10" s="1"/>
  <c r="G908" i="10"/>
  <c r="G866" i="10"/>
  <c r="E866" i="10"/>
  <c r="E876" i="10"/>
  <c r="G876" i="10"/>
  <c r="L902" i="10"/>
  <c r="M902" i="10" s="1"/>
  <c r="G903" i="10"/>
  <c r="E903" i="10"/>
  <c r="G961" i="10"/>
  <c r="E961" i="10"/>
  <c r="L961" i="10"/>
  <c r="M961" i="10" s="1"/>
  <c r="L824" i="10"/>
  <c r="M824" i="10" s="1"/>
  <c r="E827" i="10"/>
  <c r="G838" i="10"/>
  <c r="E838" i="10"/>
  <c r="E816" i="10"/>
  <c r="E825" i="10"/>
  <c r="G868" i="10"/>
  <c r="G882" i="10"/>
  <c r="E882" i="10"/>
  <c r="L888" i="10"/>
  <c r="M888" i="10" s="1"/>
  <c r="E888" i="10"/>
  <c r="G938" i="10"/>
  <c r="E938" i="10"/>
  <c r="E756" i="10"/>
  <c r="E763" i="10"/>
  <c r="E770" i="10"/>
  <c r="E777" i="10"/>
  <c r="E791" i="10"/>
  <c r="L792" i="10"/>
  <c r="M792" i="10" s="1"/>
  <c r="L799" i="10"/>
  <c r="M799" i="10" s="1"/>
  <c r="G821" i="10"/>
  <c r="G827" i="10"/>
  <c r="E755" i="10"/>
  <c r="E762" i="10"/>
  <c r="E769" i="10"/>
  <c r="E776" i="10"/>
  <c r="E800" i="10"/>
  <c r="L803" i="10"/>
  <c r="M803" i="10" s="1"/>
  <c r="G814" i="10"/>
  <c r="E814" i="10"/>
  <c r="G843" i="10"/>
  <c r="E843" i="10"/>
  <c r="E845" i="10"/>
  <c r="L884" i="10"/>
  <c r="M884" i="10" s="1"/>
  <c r="G884" i="10"/>
  <c r="E884" i="10"/>
  <c r="G910" i="10"/>
  <c r="G927" i="10"/>
  <c r="E927" i="10"/>
  <c r="G944" i="10"/>
  <c r="E944" i="10"/>
  <c r="L944" i="10"/>
  <c r="M944" i="10" s="1"/>
  <c r="E782" i="10"/>
  <c r="L783" i="10"/>
  <c r="M783" i="10" s="1"/>
  <c r="E788" i="10"/>
  <c r="E804" i="10"/>
  <c r="L827" i="10"/>
  <c r="M827" i="10" s="1"/>
  <c r="G830" i="10"/>
  <c r="E830" i="10"/>
  <c r="E839" i="10"/>
  <c r="G907" i="10"/>
  <c r="E907" i="10"/>
  <c r="L910" i="10"/>
  <c r="M910" i="10" s="1"/>
  <c r="G976" i="10"/>
  <c r="E976" i="10"/>
  <c r="E795" i="10"/>
  <c r="G802" i="10"/>
  <c r="E797" i="10"/>
  <c r="G835" i="10"/>
  <c r="E853" i="10"/>
  <c r="G853" i="10"/>
  <c r="G924" i="10"/>
  <c r="L924" i="10"/>
  <c r="M924" i="10" s="1"/>
  <c r="E924" i="10"/>
  <c r="L938" i="10"/>
  <c r="M938" i="10" s="1"/>
  <c r="E953" i="10"/>
  <c r="G953" i="10"/>
  <c r="L850" i="10"/>
  <c r="M850" i="10" s="1"/>
  <c r="G901" i="10"/>
  <c r="E901" i="10"/>
  <c r="L953" i="10"/>
  <c r="M953" i="10" s="1"/>
  <c r="E955" i="10"/>
  <c r="E834" i="10"/>
  <c r="L919" i="10"/>
  <c r="M919" i="10" s="1"/>
  <c r="G919" i="10"/>
  <c r="E929" i="10"/>
  <c r="L929" i="10"/>
  <c r="M929" i="10" s="1"/>
  <c r="G929" i="10"/>
  <c r="G975" i="10"/>
  <c r="L975" i="10"/>
  <c r="M975" i="10" s="1"/>
  <c r="E806" i="10"/>
  <c r="G834" i="10"/>
  <c r="L847" i="10"/>
  <c r="M847" i="10" s="1"/>
  <c r="G897" i="10"/>
  <c r="E919" i="10"/>
  <c r="E975" i="10"/>
  <c r="G874" i="10"/>
  <c r="G878" i="10"/>
  <c r="E878" i="10"/>
  <c r="E895" i="10"/>
  <c r="G931" i="10"/>
  <c r="L853" i="10"/>
  <c r="M853" i="10" s="1"/>
  <c r="E862" i="10"/>
  <c r="E868" i="10"/>
  <c r="E874" i="10"/>
  <c r="E881" i="10"/>
  <c r="G881" i="10"/>
  <c r="G895" i="10"/>
  <c r="L912" i="10"/>
  <c r="M912" i="10" s="1"/>
  <c r="E912" i="10"/>
  <c r="E931" i="10"/>
  <c r="E966" i="10"/>
  <c r="G1007" i="10"/>
  <c r="L1007" i="10"/>
  <c r="M1007" i="10" s="1"/>
  <c r="E1007" i="10"/>
  <c r="G793" i="10"/>
  <c r="G842" i="10"/>
  <c r="L848" i="10"/>
  <c r="M848" i="10" s="1"/>
  <c r="G864" i="10"/>
  <c r="E864" i="10"/>
  <c r="G870" i="10"/>
  <c r="E870" i="10"/>
  <c r="G873" i="10"/>
  <c r="E873" i="10"/>
  <c r="L878" i="10"/>
  <c r="M878" i="10" s="1"/>
  <c r="L881" i="10"/>
  <c r="M881" i="10" s="1"/>
  <c r="G912" i="10"/>
  <c r="E918" i="10"/>
  <c r="L931" i="10"/>
  <c r="M931" i="10" s="1"/>
  <c r="G1010" i="10"/>
  <c r="L1010" i="10"/>
  <c r="M1010" i="10" s="1"/>
  <c r="E1010" i="10"/>
  <c r="G923" i="10"/>
  <c r="E923" i="10"/>
  <c r="E939" i="10"/>
  <c r="G939" i="10"/>
  <c r="L976" i="10"/>
  <c r="M976" i="10" s="1"/>
  <c r="E997" i="10"/>
  <c r="L997" i="10"/>
  <c r="M997" i="10" s="1"/>
  <c r="E916" i="10"/>
  <c r="E926" i="10"/>
  <c r="L966" i="10"/>
  <c r="M966" i="10" s="1"/>
  <c r="G899" i="10"/>
  <c r="G916" i="10"/>
  <c r="G932" i="10"/>
  <c r="G940" i="10"/>
  <c r="G943" i="10"/>
  <c r="L955" i="10"/>
  <c r="M955" i="10" s="1"/>
  <c r="E960" i="10"/>
  <c r="G960" i="10"/>
  <c r="E964" i="10"/>
  <c r="G964" i="10"/>
  <c r="E957" i="10"/>
  <c r="G957" i="10"/>
  <c r="G883" i="10"/>
  <c r="L923" i="10"/>
  <c r="M923" i="10" s="1"/>
  <c r="G973" i="10"/>
  <c r="E973" i="10"/>
  <c r="G979" i="10"/>
  <c r="E979" i="10"/>
  <c r="G1095" i="10"/>
  <c r="L1095" i="10"/>
  <c r="M1095" i="10" s="1"/>
  <c r="E883" i="10"/>
  <c r="G885" i="10"/>
  <c r="E909" i="10"/>
  <c r="G917" i="10"/>
  <c r="E917" i="10"/>
  <c r="G933" i="10"/>
  <c r="E1095" i="10"/>
  <c r="E855" i="10"/>
  <c r="E861" i="10"/>
  <c r="L862" i="10"/>
  <c r="M862" i="10" s="1"/>
  <c r="E867" i="10"/>
  <c r="E885" i="10"/>
  <c r="L897" i="10"/>
  <c r="M897" i="10" s="1"/>
  <c r="G911" i="10"/>
  <c r="L932" i="10"/>
  <c r="M932" i="10" s="1"/>
  <c r="E933" i="10"/>
  <c r="G936" i="10"/>
  <c r="E941" i="10"/>
  <c r="G950" i="10"/>
  <c r="G972" i="10"/>
  <c r="E972" i="10"/>
  <c r="L973" i="10"/>
  <c r="M973" i="10" s="1"/>
  <c r="L979" i="10"/>
  <c r="M979" i="10" s="1"/>
  <c r="E1011" i="10"/>
  <c r="G1011" i="10"/>
  <c r="E842" i="10"/>
  <c r="G849" i="10"/>
  <c r="E875" i="10"/>
  <c r="L876" i="10"/>
  <c r="M876" i="10" s="1"/>
  <c r="E896" i="10"/>
  <c r="G909" i="10"/>
  <c r="E911" i="10"/>
  <c r="G930" i="10"/>
  <c r="E930" i="10"/>
  <c r="G937" i="10"/>
  <c r="E937" i="10"/>
  <c r="L940" i="10"/>
  <c r="M940" i="10" s="1"/>
  <c r="E945" i="10"/>
  <c r="E946" i="10"/>
  <c r="G946" i="10"/>
  <c r="G947" i="10"/>
  <c r="L957" i="10"/>
  <c r="M957" i="10" s="1"/>
  <c r="G978" i="10"/>
  <c r="L1008" i="10"/>
  <c r="M1008" i="10" s="1"/>
  <c r="E1008" i="10"/>
  <c r="G1008" i="10"/>
  <c r="L859" i="10"/>
  <c r="M859" i="10" s="1"/>
  <c r="G861" i="10"/>
  <c r="L899" i="10"/>
  <c r="M899" i="10" s="1"/>
  <c r="E869" i="10"/>
  <c r="E887" i="10"/>
  <c r="L950" i="10"/>
  <c r="M950" i="10" s="1"/>
  <c r="E952" i="10"/>
  <c r="G954" i="10"/>
  <c r="L954" i="10"/>
  <c r="M954" i="10" s="1"/>
  <c r="G1033" i="10"/>
  <c r="E1033" i="10"/>
  <c r="L978" i="10"/>
  <c r="M978" i="10" s="1"/>
  <c r="G999" i="10"/>
  <c r="L1000" i="10"/>
  <c r="M1000" i="10" s="1"/>
  <c r="E1000" i="10"/>
  <c r="E1038" i="10"/>
  <c r="L1038" i="10"/>
  <c r="M1038" i="10" s="1"/>
  <c r="G1038" i="10"/>
  <c r="L925" i="10"/>
  <c r="M925" i="10" s="1"/>
  <c r="E967" i="10"/>
  <c r="G987" i="10"/>
  <c r="E987" i="10"/>
  <c r="G991" i="10"/>
  <c r="E991" i="10"/>
  <c r="E999" i="10"/>
  <c r="G1000" i="10"/>
  <c r="L1011" i="10"/>
  <c r="M1011" i="10" s="1"/>
  <c r="L1057" i="10"/>
  <c r="M1057" i="10" s="1"/>
  <c r="E1057" i="10"/>
  <c r="E974" i="10"/>
  <c r="G981" i="10"/>
  <c r="E988" i="10"/>
  <c r="E992" i="10"/>
  <c r="E1036" i="10"/>
  <c r="G1057" i="10"/>
  <c r="G958" i="10"/>
  <c r="E958" i="10"/>
  <c r="G968" i="10"/>
  <c r="E981" i="10"/>
  <c r="E993" i="10"/>
  <c r="G1036" i="10"/>
  <c r="E1047" i="10"/>
  <c r="G1047" i="10"/>
  <c r="G965" i="10"/>
  <c r="E965" i="10"/>
  <c r="E968" i="10"/>
  <c r="G1019" i="10"/>
  <c r="L1019" i="10"/>
  <c r="M1019" i="10" s="1"/>
  <c r="E1019" i="10"/>
  <c r="G1081" i="10"/>
  <c r="E1081" i="10"/>
  <c r="G951" i="10"/>
  <c r="E951" i="10"/>
  <c r="G971" i="10"/>
  <c r="G985" i="10"/>
  <c r="E1005" i="10"/>
  <c r="G1025" i="10"/>
  <c r="E1025" i="10"/>
  <c r="L1021" i="10"/>
  <c r="M1021" i="10" s="1"/>
  <c r="L1025" i="10"/>
  <c r="M1025" i="10" s="1"/>
  <c r="E1004" i="10"/>
  <c r="E1087" i="10"/>
  <c r="G1087" i="10"/>
  <c r="G984" i="10"/>
  <c r="L986" i="10"/>
  <c r="M986" i="10" s="1"/>
  <c r="G1056" i="10"/>
  <c r="E1056" i="10"/>
  <c r="E1063" i="10"/>
  <c r="G1063" i="10"/>
  <c r="E1082" i="10"/>
  <c r="L1082" i="10"/>
  <c r="M1082" i="10" s="1"/>
  <c r="E1021" i="10"/>
  <c r="E1061" i="10"/>
  <c r="L1061" i="10"/>
  <c r="M1061" i="10" s="1"/>
  <c r="G1061" i="10"/>
  <c r="E983" i="10"/>
  <c r="E1018" i="10"/>
  <c r="G1021" i="10"/>
  <c r="E1078" i="10"/>
  <c r="G1078" i="10"/>
  <c r="E990" i="10"/>
  <c r="E998" i="10"/>
  <c r="G1040" i="10"/>
  <c r="E1041" i="10"/>
  <c r="L1045" i="10"/>
  <c r="M1045" i="10" s="1"/>
  <c r="E1045" i="10"/>
  <c r="G1074" i="10"/>
  <c r="E1074" i="10"/>
  <c r="E1024" i="10"/>
  <c r="E1066" i="10"/>
  <c r="G1071" i="10"/>
  <c r="G1121" i="10"/>
  <c r="E1121" i="10"/>
  <c r="G1112" i="10"/>
  <c r="E1112" i="10"/>
  <c r="G1032" i="10"/>
  <c r="L1112" i="10"/>
  <c r="M1112" i="10" s="1"/>
  <c r="G1073" i="10"/>
  <c r="E1073" i="10"/>
  <c r="G1069" i="10"/>
  <c r="G1079" i="10"/>
  <c r="L1081" i="10"/>
  <c r="M1081" i="10" s="1"/>
  <c r="G1093" i="10"/>
  <c r="E1093" i="10"/>
  <c r="E1109" i="10"/>
  <c r="E1049" i="10"/>
  <c r="G1052" i="10"/>
  <c r="E1052" i="10"/>
  <c r="G1059" i="10"/>
  <c r="E1064" i="10"/>
  <c r="E1068" i="10"/>
  <c r="E1069" i="10"/>
  <c r="L1073" i="10"/>
  <c r="M1073" i="10" s="1"/>
  <c r="G1130" i="10"/>
  <c r="E1130" i="10"/>
  <c r="G1060" i="10"/>
  <c r="E1060" i="10"/>
  <c r="G1064" i="10"/>
  <c r="L1093" i="10"/>
  <c r="M1093" i="10" s="1"/>
  <c r="G1049" i="10"/>
  <c r="E1089" i="10"/>
  <c r="G1089" i="10"/>
  <c r="L1109" i="10"/>
  <c r="M1109" i="10" s="1"/>
  <c r="E1120" i="10"/>
  <c r="L1120" i="10"/>
  <c r="M1120" i="10" s="1"/>
  <c r="E1141" i="10"/>
  <c r="G1141" i="10"/>
  <c r="G1048" i="10"/>
  <c r="L1098" i="10"/>
  <c r="M1098" i="10" s="1"/>
  <c r="E1075" i="10"/>
  <c r="G1075" i="10"/>
  <c r="E1091" i="10"/>
  <c r="E1113" i="10"/>
  <c r="L1113" i="10"/>
  <c r="M1113" i="10" s="1"/>
  <c r="G1113" i="10"/>
  <c r="G1122" i="10"/>
  <c r="E1122" i="10"/>
  <c r="G1077" i="10"/>
  <c r="L1085" i="10"/>
  <c r="M1085" i="10" s="1"/>
  <c r="G1085" i="10"/>
  <c r="L1089" i="10"/>
  <c r="M1089" i="10" s="1"/>
  <c r="G1091" i="10"/>
  <c r="E1105" i="10"/>
  <c r="L1105" i="10"/>
  <c r="M1105" i="10" s="1"/>
  <c r="G1080" i="10"/>
  <c r="G1062" i="10"/>
  <c r="E1054" i="10"/>
  <c r="E1062" i="10"/>
  <c r="G1101" i="10"/>
  <c r="E1101" i="10"/>
  <c r="G1102" i="10"/>
  <c r="G1111" i="10"/>
  <c r="E1111" i="10"/>
  <c r="G1155" i="10"/>
  <c r="E1155" i="10"/>
  <c r="G1104" i="10"/>
  <c r="E1104" i="10"/>
  <c r="G1128" i="10"/>
  <c r="E1129" i="10"/>
  <c r="L1130" i="10"/>
  <c r="M1130" i="10" s="1"/>
  <c r="E1096" i="10"/>
  <c r="G1136" i="10"/>
  <c r="E1136" i="10"/>
  <c r="G1135" i="10"/>
  <c r="E1135" i="10"/>
  <c r="L1135" i="10"/>
  <c r="M1135" i="10" s="1"/>
  <c r="L1104" i="10"/>
  <c r="M1104" i="10" s="1"/>
  <c r="L1136" i="10"/>
  <c r="M1136" i="10" s="1"/>
  <c r="G1083" i="10"/>
  <c r="L1141" i="10"/>
  <c r="M1141" i="10" s="1"/>
  <c r="G1151" i="10"/>
  <c r="E1151" i="10"/>
  <c r="E1079" i="10"/>
  <c r="E1083" i="10"/>
  <c r="G1118" i="10"/>
  <c r="G1090" i="10"/>
  <c r="G1126" i="10"/>
  <c r="G1143" i="10"/>
  <c r="L1143" i="10"/>
  <c r="M1143" i="10" s="1"/>
  <c r="E1143" i="10"/>
  <c r="G1097" i="10"/>
  <c r="L1107" i="10"/>
  <c r="M1107" i="10" s="1"/>
  <c r="G1114" i="10"/>
  <c r="E1126" i="10"/>
  <c r="E1132" i="10"/>
  <c r="G1132" i="10"/>
  <c r="L1156" i="10"/>
  <c r="M1156" i="10" s="1"/>
  <c r="E1156" i="10"/>
  <c r="G1156" i="10"/>
  <c r="G1147" i="10"/>
  <c r="G1154" i="10"/>
  <c r="G1144" i="10"/>
  <c r="G1182" i="10"/>
  <c r="E1182" i="10"/>
  <c r="E1125" i="10"/>
  <c r="L1147" i="10"/>
  <c r="M1147" i="10" s="1"/>
  <c r="L1151" i="10"/>
  <c r="M1151" i="10" s="1"/>
  <c r="L1182" i="10"/>
  <c r="M1182" i="10" s="1"/>
  <c r="E1194" i="10"/>
  <c r="G1157" i="10"/>
  <c r="E1157" i="10"/>
  <c r="L1157" i="10"/>
  <c r="M1157" i="10" s="1"/>
  <c r="G1162" i="10"/>
  <c r="E1162" i="10"/>
  <c r="L1162" i="10"/>
  <c r="M1162" i="10" s="1"/>
  <c r="E1118" i="10"/>
  <c r="E1128" i="10"/>
  <c r="E1137" i="10"/>
  <c r="E1139" i="10"/>
  <c r="G1171" i="10"/>
  <c r="E1171" i="10"/>
  <c r="G1134" i="10"/>
  <c r="G1139" i="10"/>
  <c r="L1171" i="10"/>
  <c r="M1171" i="10" s="1"/>
  <c r="G1191" i="10"/>
  <c r="L1191" i="10"/>
  <c r="M1191" i="10" s="1"/>
  <c r="E1191" i="10"/>
  <c r="L1142" i="10"/>
  <c r="M1142" i="10" s="1"/>
  <c r="L1150" i="10"/>
  <c r="M1150" i="10" s="1"/>
  <c r="G1164" i="10"/>
  <c r="L1194" i="10"/>
  <c r="M1194" i="10" s="1"/>
  <c r="G1160" i="10"/>
  <c r="E1160" i="10"/>
  <c r="L1178" i="10"/>
  <c r="M1178" i="10" s="1"/>
  <c r="G1178" i="10"/>
  <c r="G1161" i="10"/>
  <c r="E1161" i="10"/>
  <c r="E1142" i="10"/>
  <c r="E1146" i="10"/>
  <c r="E1150" i="10"/>
  <c r="G1175" i="10"/>
  <c r="E1175" i="10"/>
  <c r="G1189" i="10"/>
  <c r="E1189" i="10"/>
  <c r="E1153" i="10"/>
  <c r="G1168" i="10"/>
  <c r="E1168" i="10"/>
  <c r="L1169" i="10"/>
  <c r="M1169" i="10" s="1"/>
  <c r="G1169" i="10"/>
  <c r="G1153" i="10"/>
  <c r="G1167" i="10"/>
  <c r="E1167" i="10"/>
  <c r="E1169" i="10"/>
  <c r="L1185" i="10"/>
  <c r="M1185" i="10" s="1"/>
  <c r="G1185" i="10"/>
  <c r="E1163" i="10"/>
  <c r="E1170" i="10"/>
  <c r="E1177" i="10"/>
  <c r="E1184" i="10"/>
  <c r="G1176" i="10"/>
  <c r="G1183" i="10"/>
  <c r="E1174" i="10"/>
  <c r="E1181" i="10"/>
  <c r="E1188" i="10"/>
  <c r="L1193" i="10"/>
  <c r="M1193" i="10" s="1"/>
  <c r="I2" i="10" l="1"/>
  <c r="J2" i="10" s="1"/>
  <c r="D6" i="18"/>
  <c r="K10" i="18" a="1"/>
  <c r="K10" i="18" s="1"/>
  <c r="K12" i="18" a="1"/>
  <c r="K12" i="18" s="1"/>
  <c r="K13" i="18" a="1"/>
  <c r="K13" i="18" s="1"/>
  <c r="K11" i="18" a="1"/>
  <c r="K11" i="18" s="1"/>
  <c r="K9" i="18" a="1"/>
  <c r="K9" i="18" s="1"/>
  <c r="J14" i="18" s="1"/>
  <c r="AQ196" i="10"/>
  <c r="AQ405" i="10"/>
  <c r="AQ429" i="10"/>
  <c r="AQ571" i="10"/>
  <c r="AQ437" i="10"/>
  <c r="AQ780" i="10"/>
  <c r="AQ1055" i="10"/>
  <c r="AQ527" i="10"/>
  <c r="AQ648" i="10"/>
  <c r="AQ863" i="10"/>
  <c r="AQ320" i="10"/>
  <c r="AQ208" i="10"/>
  <c r="AR839" i="10"/>
  <c r="AR1049" i="10"/>
  <c r="AR552" i="10"/>
  <c r="AQ179" i="10"/>
  <c r="AQ158" i="10"/>
  <c r="AQ350" i="10"/>
  <c r="AQ379" i="10"/>
  <c r="AQ419" i="10"/>
  <c r="AQ1171" i="10"/>
  <c r="AQ1035" i="10"/>
  <c r="AQ741" i="10"/>
  <c r="AQ573" i="10"/>
  <c r="AQ567" i="10"/>
  <c r="AQ282" i="10"/>
  <c r="AQ544" i="10"/>
  <c r="AR504" i="10"/>
  <c r="AR116" i="10"/>
  <c r="AQ126" i="10"/>
  <c r="AQ85" i="10"/>
  <c r="AQ319" i="10"/>
  <c r="AQ266" i="10"/>
  <c r="AQ1133" i="10"/>
  <c r="AQ811" i="10"/>
  <c r="AQ111" i="10"/>
  <c r="AQ555" i="10"/>
  <c r="AQ279" i="10"/>
  <c r="AR501" i="10"/>
  <c r="AR55" i="10"/>
  <c r="N933" i="6"/>
  <c r="T933" i="10" s="1"/>
  <c r="AR933" i="10" s="1"/>
  <c r="AQ68" i="10"/>
  <c r="AQ39" i="10"/>
  <c r="AQ251" i="10"/>
  <c r="AQ187" i="10"/>
  <c r="AQ289" i="10"/>
  <c r="AQ1067" i="10"/>
  <c r="AQ130" i="10"/>
  <c r="AQ1136" i="10"/>
  <c r="AQ235" i="10"/>
  <c r="AQ495" i="10"/>
  <c r="AQ124" i="10"/>
  <c r="AR1168" i="10"/>
  <c r="AR1014" i="10"/>
  <c r="AQ1063" i="10"/>
  <c r="AQ951" i="10"/>
  <c r="AQ1051" i="10"/>
  <c r="AQ236" i="10"/>
  <c r="AQ152" i="10"/>
  <c r="AQ253" i="10"/>
  <c r="AQ881" i="10"/>
  <c r="AQ127" i="10"/>
  <c r="AQ1116" i="10"/>
  <c r="AQ61" i="10"/>
  <c r="AQ43" i="10"/>
  <c r="AR1101" i="10"/>
  <c r="AR89" i="10"/>
  <c r="AQ1060" i="10"/>
  <c r="AQ1019" i="10"/>
  <c r="AQ1157" i="10"/>
  <c r="AQ740" i="10"/>
  <c r="AQ785" i="10"/>
  <c r="AQ1039" i="10"/>
  <c r="AQ590" i="10"/>
  <c r="AQ764" i="10"/>
  <c r="AR1078" i="10"/>
  <c r="AR649" i="10"/>
  <c r="AR844" i="10"/>
  <c r="AQ940" i="10"/>
  <c r="AQ862" i="10"/>
  <c r="AQ1002" i="10"/>
  <c r="AQ190" i="10"/>
  <c r="AQ1151" i="10"/>
  <c r="AQ695" i="10"/>
  <c r="AQ257" i="10"/>
  <c r="AQ440" i="10"/>
  <c r="AQ870" i="10"/>
  <c r="AQ317" i="10"/>
  <c r="AQ337" i="10"/>
  <c r="AR946" i="10"/>
  <c r="AR411" i="10"/>
  <c r="AR165" i="10"/>
  <c r="AQ831" i="10"/>
  <c r="AQ647" i="10"/>
  <c r="AQ711" i="10"/>
  <c r="AQ123" i="10"/>
  <c r="AQ1093" i="10"/>
  <c r="AQ595" i="10"/>
  <c r="AQ686" i="10"/>
  <c r="AQ313" i="10"/>
  <c r="AQ198" i="10"/>
  <c r="AQ1132" i="10"/>
  <c r="AQ40" i="10"/>
  <c r="AQ928" i="10"/>
  <c r="AR887" i="10"/>
  <c r="AQ789" i="10"/>
  <c r="AQ875" i="10"/>
  <c r="AQ658" i="10"/>
  <c r="AQ42" i="10"/>
  <c r="AQ824" i="10"/>
  <c r="AQ886" i="10"/>
  <c r="AQ392" i="10"/>
  <c r="AQ304" i="10"/>
  <c r="AQ477" i="10"/>
  <c r="AQ154" i="10"/>
  <c r="AQ954" i="10"/>
  <c r="AQ1141" i="10"/>
  <c r="AR1153" i="10"/>
  <c r="AR35" i="10"/>
  <c r="AQ786" i="10"/>
  <c r="AQ1169" i="10"/>
  <c r="AQ655" i="10"/>
  <c r="AQ541" i="10"/>
  <c r="AQ675" i="10"/>
  <c r="AQ223" i="10"/>
  <c r="AQ1135" i="10"/>
  <c r="AQ1103" i="10"/>
  <c r="AQ958" i="10"/>
  <c r="AQ931" i="10"/>
  <c r="AQ1106" i="10"/>
  <c r="AR767" i="10"/>
  <c r="AR1092" i="10"/>
  <c r="AR420" i="10"/>
  <c r="AQ777" i="10"/>
  <c r="AQ616" i="10"/>
  <c r="AQ531" i="10"/>
  <c r="AQ639" i="10"/>
  <c r="AQ992" i="10"/>
  <c r="AQ1100" i="10"/>
  <c r="AQ1129" i="10"/>
  <c r="AQ808" i="10"/>
  <c r="AQ267" i="10"/>
  <c r="AR671" i="10"/>
  <c r="AR449" i="10"/>
  <c r="AR322" i="10"/>
  <c r="AQ861" i="10"/>
  <c r="AQ517" i="10"/>
  <c r="AQ977" i="10"/>
  <c r="AQ630" i="10"/>
  <c r="AQ25" i="10"/>
  <c r="AQ387" i="10"/>
  <c r="AQ948" i="10"/>
  <c r="AQ1139" i="10"/>
  <c r="AQ674" i="10"/>
  <c r="AQ703" i="10"/>
  <c r="AR662" i="10"/>
  <c r="AR146" i="10"/>
  <c r="AR144" i="10"/>
  <c r="AQ720" i="10"/>
  <c r="AQ508" i="10"/>
  <c r="AQ837" i="10"/>
  <c r="AQ481" i="10"/>
  <c r="AQ818" i="10"/>
  <c r="AQ906" i="10"/>
  <c r="AQ800" i="10"/>
  <c r="AQ679" i="10"/>
  <c r="AR247" i="10"/>
  <c r="AR608" i="10"/>
  <c r="AR393" i="10"/>
  <c r="AR1120" i="10"/>
  <c r="AQ598" i="10"/>
  <c r="AQ708" i="10"/>
  <c r="AQ463" i="10"/>
  <c r="AQ643" i="10"/>
  <c r="AQ651" i="10"/>
  <c r="AQ1087" i="10"/>
  <c r="AR351" i="10"/>
  <c r="AR1083" i="10"/>
  <c r="AR1189" i="10"/>
  <c r="AQ1189" i="10"/>
  <c r="AR1185" i="10"/>
  <c r="AQ1185" i="10"/>
  <c r="AQ1165" i="10"/>
  <c r="AR1165" i="10"/>
  <c r="AR1150" i="10"/>
  <c r="AQ1150" i="10"/>
  <c r="AQ1149" i="10"/>
  <c r="AR1149" i="10"/>
  <c r="AR1147" i="10"/>
  <c r="AQ1147" i="10"/>
  <c r="AQ1131" i="10"/>
  <c r="AR1131" i="10"/>
  <c r="AR1123" i="10"/>
  <c r="AQ1123" i="10"/>
  <c r="AR1119" i="10"/>
  <c r="AQ1119" i="10"/>
  <c r="AR1089" i="10"/>
  <c r="AQ1089" i="10"/>
  <c r="AQ1081" i="10"/>
  <c r="AR1081" i="10"/>
  <c r="AR1077" i="10"/>
  <c r="AQ1077" i="10"/>
  <c r="AR1076" i="10"/>
  <c r="AQ1076" i="10"/>
  <c r="AR1070" i="10"/>
  <c r="AQ1070" i="10"/>
  <c r="AR1069" i="10"/>
  <c r="AQ1069" i="10"/>
  <c r="AR1048" i="10"/>
  <c r="AQ1048" i="10"/>
  <c r="AR1043" i="10"/>
  <c r="AQ1043" i="10"/>
  <c r="AR1029" i="10"/>
  <c r="AQ1029" i="10"/>
  <c r="AR1023" i="10"/>
  <c r="AQ1023" i="10"/>
  <c r="AR1020" i="10"/>
  <c r="AQ1020" i="10"/>
  <c r="AR1015" i="10"/>
  <c r="AQ1015" i="10"/>
  <c r="AR1013" i="10"/>
  <c r="AQ1013" i="10"/>
  <c r="AQ1003" i="10"/>
  <c r="AR1003" i="10"/>
  <c r="AQ999" i="10"/>
  <c r="AR999" i="10"/>
  <c r="AR998" i="10"/>
  <c r="AQ998" i="10"/>
  <c r="AR985" i="10"/>
  <c r="AQ985" i="10"/>
  <c r="AR978" i="10"/>
  <c r="AQ978" i="10"/>
  <c r="AR960" i="10"/>
  <c r="AQ960" i="10"/>
  <c r="AR939" i="10"/>
  <c r="AQ939" i="10"/>
  <c r="AR934" i="10"/>
  <c r="AQ934" i="10"/>
  <c r="AR926" i="10"/>
  <c r="AQ926" i="10"/>
  <c r="AR918" i="10"/>
  <c r="AQ918" i="10"/>
  <c r="AQ909" i="10"/>
  <c r="AR909" i="10"/>
  <c r="AR904" i="10"/>
  <c r="AQ904" i="10"/>
  <c r="AR896" i="10"/>
  <c r="AQ896" i="10"/>
  <c r="AR884" i="10"/>
  <c r="AQ884" i="10"/>
  <c r="AR874" i="10"/>
  <c r="AQ874" i="10"/>
  <c r="AR867" i="10"/>
  <c r="AQ867" i="10"/>
  <c r="AR858" i="10"/>
  <c r="AQ858" i="10"/>
  <c r="AR850" i="10"/>
  <c r="AQ850" i="10"/>
  <c r="AR845" i="10"/>
  <c r="AQ845" i="10"/>
  <c r="AR828" i="10"/>
  <c r="AQ828" i="10"/>
  <c r="AR826" i="10"/>
  <c r="AQ826" i="10"/>
  <c r="AR814" i="10"/>
  <c r="AQ814" i="10"/>
  <c r="AR813" i="10"/>
  <c r="AQ813" i="10"/>
  <c r="AR812" i="10"/>
  <c r="AQ812" i="10"/>
  <c r="AQ807" i="10"/>
  <c r="AR807" i="10"/>
  <c r="AR796" i="10"/>
  <c r="AQ796" i="10"/>
  <c r="AQ792" i="10"/>
  <c r="AR792" i="10"/>
  <c r="AR781" i="10"/>
  <c r="AQ781" i="10"/>
  <c r="AR766" i="10"/>
  <c r="AQ766" i="10"/>
  <c r="AR763" i="10"/>
  <c r="AQ763" i="10"/>
  <c r="AR761" i="10"/>
  <c r="AQ761" i="10"/>
  <c r="AR757" i="10"/>
  <c r="AQ757" i="10"/>
  <c r="AR755" i="10"/>
  <c r="AQ755" i="10"/>
  <c r="AR754" i="10"/>
  <c r="AQ754" i="10"/>
  <c r="AR752" i="10"/>
  <c r="AQ752" i="10"/>
  <c r="AR751" i="10"/>
  <c r="AQ751" i="10"/>
  <c r="AR748" i="10"/>
  <c r="AQ748" i="10"/>
  <c r="AQ721" i="10"/>
  <c r="AR721" i="10"/>
  <c r="AQ719" i="10"/>
  <c r="AR719" i="10"/>
  <c r="AR715" i="10"/>
  <c r="AQ715" i="10"/>
  <c r="AR689" i="10"/>
  <c r="AQ689" i="10"/>
  <c r="AQ685" i="10"/>
  <c r="AR685" i="10"/>
  <c r="AR673" i="10"/>
  <c r="AQ673" i="10"/>
  <c r="AR657" i="10"/>
  <c r="AQ657" i="10"/>
  <c r="AR644" i="10"/>
  <c r="AQ644" i="10"/>
  <c r="AR636" i="10"/>
  <c r="AQ636" i="10"/>
  <c r="AR629" i="10"/>
  <c r="AQ629" i="10"/>
  <c r="AR626" i="10"/>
  <c r="AQ626" i="10"/>
  <c r="AR618" i="10"/>
  <c r="AQ618" i="10"/>
  <c r="AR597" i="10"/>
  <c r="AQ597" i="10"/>
  <c r="AR592" i="10"/>
  <c r="AQ592" i="10"/>
  <c r="AR591" i="10"/>
  <c r="AQ591" i="10"/>
  <c r="AR581" i="10"/>
  <c r="AQ581" i="10"/>
  <c r="AR570" i="10"/>
  <c r="AQ570" i="10"/>
  <c r="AR566" i="10"/>
  <c r="AQ566" i="10"/>
  <c r="AQ563" i="10"/>
  <c r="AR563" i="10"/>
  <c r="AR560" i="10"/>
  <c r="AQ560" i="10"/>
  <c r="AQ548" i="10"/>
  <c r="AR548" i="10"/>
  <c r="AR545" i="10"/>
  <c r="AQ545" i="10"/>
  <c r="AR534" i="10"/>
  <c r="AQ534" i="10"/>
  <c r="AR528" i="10"/>
  <c r="AQ528" i="10"/>
  <c r="AQ519" i="10"/>
  <c r="AR519" i="10"/>
  <c r="AQ511" i="10"/>
  <c r="AR511" i="10"/>
  <c r="AR506" i="10"/>
  <c r="AQ506" i="10"/>
  <c r="AR503" i="10"/>
  <c r="AQ503" i="10"/>
  <c r="AR498" i="10"/>
  <c r="AQ498" i="10"/>
  <c r="AR494" i="10"/>
  <c r="AQ494" i="10"/>
  <c r="AR491" i="10"/>
  <c r="AQ491" i="10"/>
  <c r="AR488" i="10"/>
  <c r="AQ488" i="10"/>
  <c r="AR475" i="10"/>
  <c r="AQ475" i="10"/>
  <c r="AR472" i="10"/>
  <c r="AQ472" i="10"/>
  <c r="AR465" i="10"/>
  <c r="AQ465" i="10"/>
  <c r="AR447" i="10"/>
  <c r="AQ447" i="10"/>
  <c r="AR436" i="10"/>
  <c r="AQ436" i="10"/>
  <c r="AR425" i="10"/>
  <c r="AQ425" i="10"/>
  <c r="AR424" i="10"/>
  <c r="AQ424" i="10"/>
  <c r="AR398" i="10"/>
  <c r="AQ398" i="10"/>
  <c r="AR396" i="10"/>
  <c r="AQ396" i="10"/>
  <c r="AQ391" i="10"/>
  <c r="AR391" i="10"/>
  <c r="AQ383" i="10"/>
  <c r="AR383" i="10"/>
  <c r="AR378" i="10"/>
  <c r="AQ378" i="10"/>
  <c r="AR375" i="10"/>
  <c r="AQ375" i="10"/>
  <c r="AR368" i="10"/>
  <c r="AQ368" i="10"/>
  <c r="AR360" i="10"/>
  <c r="AQ360" i="10"/>
  <c r="AR340" i="10"/>
  <c r="AQ340" i="10"/>
  <c r="AR332" i="10"/>
  <c r="AQ332" i="10"/>
  <c r="AR330" i="10"/>
  <c r="AQ330" i="10"/>
  <c r="AR323" i="10"/>
  <c r="AQ323" i="10"/>
  <c r="AR312" i="10"/>
  <c r="AQ312" i="10"/>
  <c r="AR308" i="10"/>
  <c r="AQ308" i="10"/>
  <c r="AR307" i="10"/>
  <c r="AQ307" i="10"/>
  <c r="AR305" i="10"/>
  <c r="AQ305" i="10"/>
  <c r="AQ295" i="10"/>
  <c r="AR295" i="10"/>
  <c r="AQ285" i="10"/>
  <c r="AR285" i="10"/>
  <c r="AR281" i="10"/>
  <c r="AQ281" i="10"/>
  <c r="AR261" i="10"/>
  <c r="AQ261" i="10"/>
  <c r="AR252" i="10"/>
  <c r="AQ252" i="10"/>
  <c r="AQ246" i="10"/>
  <c r="AR246" i="10"/>
  <c r="AR238" i="10"/>
  <c r="AQ238" i="10"/>
  <c r="AR224" i="10"/>
  <c r="AQ224" i="10"/>
  <c r="AR211" i="10"/>
  <c r="AQ211" i="10"/>
  <c r="AR203" i="10"/>
  <c r="AQ203" i="10"/>
  <c r="AR197" i="10"/>
  <c r="AQ197" i="10"/>
  <c r="AR183" i="10"/>
  <c r="AQ183" i="10"/>
  <c r="AQ182" i="10"/>
  <c r="AR182" i="10"/>
  <c r="AR177" i="10"/>
  <c r="AQ177" i="10"/>
  <c r="AQ167" i="10"/>
  <c r="AR167" i="10"/>
  <c r="AR142" i="10"/>
  <c r="AQ142" i="10"/>
  <c r="AR141" i="10"/>
  <c r="AQ141" i="10"/>
  <c r="AR136" i="10"/>
  <c r="AQ136" i="10"/>
  <c r="AR121" i="10"/>
  <c r="AQ121" i="10"/>
  <c r="AQ112" i="10"/>
  <c r="AR112" i="10"/>
  <c r="AR102" i="10"/>
  <c r="AQ102" i="10"/>
  <c r="AR99" i="10"/>
  <c r="AQ99" i="10"/>
  <c r="AR98" i="10"/>
  <c r="AQ98" i="10"/>
  <c r="AR88" i="10"/>
  <c r="AQ88" i="10"/>
  <c r="AR83" i="10"/>
  <c r="AQ83" i="10"/>
  <c r="AR72" i="10"/>
  <c r="AQ72" i="10"/>
  <c r="AR57" i="10"/>
  <c r="AQ57" i="10"/>
  <c r="AQ37" i="10"/>
  <c r="AR37" i="10"/>
  <c r="AR23" i="10"/>
  <c r="AQ23" i="10"/>
  <c r="AR21" i="10"/>
  <c r="AQ21" i="10"/>
  <c r="AR17" i="10"/>
  <c r="AQ17" i="10"/>
  <c r="AR9" i="10"/>
  <c r="AQ9" i="10"/>
  <c r="AR7" i="10"/>
  <c r="AQ7" i="10"/>
  <c r="AR5" i="10"/>
  <c r="AQ5" i="10"/>
  <c r="AQ128" i="10"/>
  <c r="AR128" i="10"/>
  <c r="AR243" i="10"/>
  <c r="AQ243" i="10"/>
  <c r="AR288" i="10"/>
  <c r="AQ288" i="10"/>
  <c r="AQ521" i="10"/>
  <c r="AR521" i="10"/>
  <c r="AQ365" i="10"/>
  <c r="AR365" i="10"/>
  <c r="AR255" i="10"/>
  <c r="AQ255" i="10"/>
  <c r="AR47" i="10"/>
  <c r="AQ47" i="10"/>
  <c r="AR113" i="10"/>
  <c r="AQ113" i="10"/>
  <c r="AQ168" i="10"/>
  <c r="AR168" i="10"/>
  <c r="AR433" i="10"/>
  <c r="AQ433" i="10"/>
  <c r="AR270" i="10"/>
  <c r="AQ270" i="10"/>
  <c r="I597" i="10"/>
  <c r="J597" i="10" s="1"/>
  <c r="I1183" i="10"/>
  <c r="J1183" i="10" s="1"/>
  <c r="I847" i="10"/>
  <c r="J847" i="10" s="1"/>
  <c r="I531" i="10"/>
  <c r="J531" i="10" s="1"/>
  <c r="I688" i="10"/>
  <c r="J688" i="10" s="1"/>
  <c r="I752" i="10"/>
  <c r="J752" i="10" s="1"/>
  <c r="I214" i="10"/>
  <c r="J214" i="10" s="1"/>
  <c r="I332" i="10"/>
  <c r="J332" i="10" s="1"/>
  <c r="I524" i="10"/>
  <c r="J524" i="10" s="1"/>
  <c r="I248" i="10"/>
  <c r="J248" i="10" s="1"/>
  <c r="I447" i="10"/>
  <c r="J447" i="10" s="1"/>
  <c r="I235" i="10"/>
  <c r="J235" i="10" s="1"/>
  <c r="I164" i="10"/>
  <c r="J164" i="10" s="1"/>
  <c r="I1029" i="10"/>
  <c r="J1029" i="10" s="1"/>
  <c r="I940" i="10"/>
  <c r="J940" i="10" s="1"/>
  <c r="I616" i="10"/>
  <c r="J616" i="10" s="1"/>
  <c r="I507" i="10"/>
  <c r="J507" i="10" s="1"/>
  <c r="I46" i="10"/>
  <c r="J46" i="10" s="1"/>
  <c r="I1085" i="10"/>
  <c r="J1085" i="10" s="1"/>
  <c r="I821" i="10"/>
  <c r="J821" i="10" s="1"/>
  <c r="I182" i="10"/>
  <c r="J182" i="10" s="1"/>
  <c r="I677" i="10"/>
  <c r="J677" i="10" s="1"/>
  <c r="I417" i="10"/>
  <c r="J417" i="10" s="1"/>
  <c r="I1067" i="10"/>
  <c r="J1067" i="10" s="1"/>
  <c r="I509" i="10"/>
  <c r="J509" i="10" s="1"/>
  <c r="I1140" i="10"/>
  <c r="J1140" i="10" s="1"/>
  <c r="I877" i="10"/>
  <c r="J877" i="10" s="1"/>
  <c r="I1110" i="10"/>
  <c r="J1110" i="10" s="1"/>
  <c r="I378" i="10"/>
  <c r="J378" i="10" s="1"/>
  <c r="I854" i="10"/>
  <c r="J854" i="10" s="1"/>
  <c r="I1003" i="10"/>
  <c r="J1003" i="10" s="1"/>
  <c r="I483" i="10"/>
  <c r="J483" i="10" s="1"/>
  <c r="I147" i="10"/>
  <c r="J147" i="10" s="1"/>
  <c r="I240" i="10"/>
  <c r="J240" i="10" s="1"/>
  <c r="I338" i="10"/>
  <c r="J338" i="10" s="1"/>
  <c r="I256" i="10"/>
  <c r="J256" i="10" s="1"/>
  <c r="I441" i="10"/>
  <c r="J441" i="10" s="1"/>
  <c r="I500" i="10"/>
  <c r="J500" i="10" s="1"/>
  <c r="I617" i="10"/>
  <c r="J617" i="10" s="1"/>
  <c r="I835" i="10"/>
  <c r="J835" i="10" s="1"/>
  <c r="I347" i="10"/>
  <c r="J347" i="10" s="1"/>
  <c r="I139" i="10"/>
  <c r="J139" i="10" s="1"/>
  <c r="I361" i="10"/>
  <c r="J361" i="10" s="1"/>
  <c r="I1076" i="10"/>
  <c r="J1076" i="10" s="1"/>
  <c r="I439" i="10"/>
  <c r="J439" i="10" s="1"/>
  <c r="I201" i="10"/>
  <c r="J201" i="10" s="1"/>
  <c r="I98" i="10"/>
  <c r="J98" i="10" s="1"/>
  <c r="I276" i="10"/>
  <c r="J276" i="10" s="1"/>
  <c r="I53" i="10"/>
  <c r="J53" i="10" s="1"/>
  <c r="I1107" i="10"/>
  <c r="J1107" i="10" s="1"/>
  <c r="I476" i="10"/>
  <c r="J476" i="10" s="1"/>
  <c r="I587" i="10"/>
  <c r="J587" i="10" s="1"/>
  <c r="I527" i="10"/>
  <c r="J527" i="10" s="1"/>
  <c r="I623" i="10"/>
  <c r="J623" i="10" s="1"/>
  <c r="I478" i="10"/>
  <c r="J478" i="10" s="1"/>
  <c r="I306" i="10"/>
  <c r="J306" i="10" s="1"/>
  <c r="I622" i="10"/>
  <c r="J622" i="10" s="1"/>
  <c r="I77" i="10"/>
  <c r="J77" i="10" s="1"/>
  <c r="I402" i="10"/>
  <c r="J402" i="10" s="1"/>
  <c r="AP931" i="10"/>
  <c r="F177" i="10"/>
  <c r="I594" i="10"/>
  <c r="J594" i="10" s="1"/>
  <c r="I359" i="10"/>
  <c r="J359" i="10" s="1"/>
  <c r="I1039" i="10"/>
  <c r="J1039" i="10" s="1"/>
  <c r="AP378" i="10"/>
  <c r="AP826" i="10"/>
  <c r="AP867" i="10"/>
  <c r="AP463" i="10"/>
  <c r="AP391" i="10"/>
  <c r="AP998" i="10"/>
  <c r="AP754" i="10"/>
  <c r="AP116" i="10"/>
  <c r="AP1151" i="10"/>
  <c r="AP47" i="10"/>
  <c r="AP1120" i="10"/>
  <c r="AP695" i="10"/>
  <c r="AP267" i="10"/>
  <c r="AP741" i="10"/>
  <c r="AP1089" i="10"/>
  <c r="AP792" i="10"/>
  <c r="AP282" i="10"/>
  <c r="AP1147" i="10"/>
  <c r="AP796" i="10"/>
  <c r="AP649" i="10"/>
  <c r="AP124" i="10"/>
  <c r="AP182" i="10"/>
  <c r="AP21" i="10"/>
  <c r="AP780" i="10"/>
  <c r="AP472" i="10"/>
  <c r="AP1141" i="10"/>
  <c r="AP208" i="10"/>
  <c r="AP757" i="10"/>
  <c r="AP247" i="10"/>
  <c r="AP578" i="10"/>
  <c r="AP1169" i="10"/>
  <c r="AP789" i="10"/>
  <c r="AP592" i="10"/>
  <c r="AP954" i="10"/>
  <c r="AP850" i="10"/>
  <c r="AP608" i="10"/>
  <c r="AP57" i="10"/>
  <c r="AP495" i="10"/>
  <c r="AP639" i="10"/>
  <c r="AP301" i="10"/>
  <c r="AP884" i="10"/>
  <c r="AP571" i="10"/>
  <c r="AP881" i="10"/>
  <c r="AP317" i="10"/>
  <c r="AP383" i="10"/>
  <c r="AP1136" i="10"/>
  <c r="AP1150" i="10"/>
  <c r="AP1048" i="10"/>
  <c r="AP1101" i="10"/>
  <c r="AP477" i="10"/>
  <c r="AP281" i="10"/>
  <c r="AP946" i="10"/>
  <c r="AP563" i="10"/>
  <c r="AP755" i="10"/>
  <c r="AP1116" i="10"/>
  <c r="AP1043" i="10"/>
  <c r="AP319" i="10"/>
  <c r="AP228" i="10"/>
  <c r="AP598" i="10"/>
  <c r="AP308" i="10"/>
  <c r="AP168" i="10"/>
  <c r="AP544" i="10"/>
  <c r="AP1119" i="10"/>
  <c r="AP266" i="10"/>
  <c r="AP40" i="10"/>
  <c r="AP616" i="10"/>
  <c r="AP1135" i="10"/>
  <c r="AP720" i="10"/>
  <c r="AP519" i="10"/>
  <c r="AP235" i="10"/>
  <c r="AP299" i="10"/>
  <c r="AP243" i="10"/>
  <c r="AP211" i="10"/>
  <c r="AP904" i="10"/>
  <c r="AP1165" i="10"/>
  <c r="AP313" i="10"/>
  <c r="AP863" i="10"/>
  <c r="AP387" i="10"/>
  <c r="AP436" i="10"/>
  <c r="AP567" i="10"/>
  <c r="AP647" i="10"/>
  <c r="AP1100" i="10"/>
  <c r="AP630" i="10"/>
  <c r="AP511" i="10"/>
  <c r="AP123" i="10"/>
  <c r="AP1039" i="10"/>
  <c r="AP655" i="10"/>
  <c r="AP506" i="10"/>
  <c r="AP874" i="10"/>
  <c r="AP203" i="10"/>
  <c r="AP573" i="10"/>
  <c r="AP125" i="10"/>
  <c r="AP1093" i="10"/>
  <c r="AP831" i="10"/>
  <c r="AP751" i="10"/>
  <c r="AP351" i="10"/>
  <c r="AP393" i="10"/>
  <c r="AP323" i="10"/>
  <c r="AP295" i="10"/>
  <c r="AP886" i="10"/>
  <c r="AP839" i="10"/>
  <c r="AP1168" i="10"/>
  <c r="AP906" i="10"/>
  <c r="AP808" i="10"/>
  <c r="AP777" i="10"/>
  <c r="AP365" i="10"/>
  <c r="AP252" i="10"/>
  <c r="AP179" i="10"/>
  <c r="AP330" i="10"/>
  <c r="AP37" i="10"/>
  <c r="AP858" i="10"/>
  <c r="AP491" i="10"/>
  <c r="AP23" i="10"/>
  <c r="AP948" i="10"/>
  <c r="AP1069" i="10"/>
  <c r="AP360" i="10"/>
  <c r="AP320" i="10"/>
  <c r="AP767" i="10"/>
  <c r="AP1003" i="10"/>
  <c r="AP89" i="10"/>
  <c r="AP785" i="10"/>
  <c r="AP1139" i="10"/>
  <c r="AP828" i="10"/>
  <c r="AP508" i="10"/>
  <c r="AP158" i="10"/>
  <c r="AP223" i="10"/>
  <c r="AP1185" i="10"/>
  <c r="AP1157" i="10"/>
  <c r="AP1070" i="10"/>
  <c r="AP909" i="10"/>
  <c r="AP861" i="10"/>
  <c r="AP1149" i="10"/>
  <c r="AP1023" i="10"/>
  <c r="AP1002" i="10"/>
  <c r="AP1106" i="10"/>
  <c r="AP17" i="10"/>
  <c r="AP781" i="10"/>
  <c r="AP1146" i="10"/>
  <c r="AP337" i="10"/>
  <c r="AP845" i="10"/>
  <c r="AP475" i="10"/>
  <c r="AP999" i="10"/>
  <c r="AP112" i="10"/>
  <c r="AP375" i="10"/>
  <c r="AP39" i="10"/>
  <c r="AP433" i="10"/>
  <c r="AP41" i="10"/>
  <c r="AP555" i="10"/>
  <c r="AP1013" i="10"/>
  <c r="AP270" i="10"/>
  <c r="AP1063" i="10"/>
  <c r="AP662" i="10"/>
  <c r="AP425" i="10"/>
  <c r="AP251" i="10"/>
  <c r="AP1019" i="10"/>
  <c r="AP862" i="10"/>
  <c r="AP686" i="10"/>
  <c r="AP685" i="10"/>
  <c r="AP521" i="10"/>
  <c r="AP1171" i="10"/>
  <c r="AP1081" i="10"/>
  <c r="AP940" i="10"/>
  <c r="AP644" i="10"/>
  <c r="AP379" i="10"/>
  <c r="AP167" i="10"/>
  <c r="AP43" i="10"/>
  <c r="AP83" i="10"/>
  <c r="AP154" i="10"/>
  <c r="AP643" i="10"/>
  <c r="AP1051" i="10"/>
  <c r="AP1020" i="10"/>
  <c r="AP405" i="10"/>
  <c r="AP136" i="10"/>
  <c r="AP187" i="10"/>
  <c r="AP127" i="10"/>
  <c r="AP629" i="10"/>
  <c r="AP626" i="10"/>
  <c r="AP246" i="10"/>
  <c r="AP748" i="10"/>
  <c r="AP548" i="10"/>
  <c r="AP350" i="10"/>
  <c r="AP531" i="10"/>
  <c r="AP102" i="10"/>
  <c r="AP541" i="10"/>
  <c r="AP597" i="10"/>
  <c r="AP322" i="10"/>
  <c r="AP424" i="10"/>
  <c r="AP928" i="10"/>
  <c r="AP761" i="10"/>
  <c r="AP1133" i="10"/>
  <c r="AP566" i="10"/>
  <c r="AP72" i="10"/>
  <c r="AP144" i="10"/>
  <c r="AP113" i="10"/>
  <c r="AP951" i="10"/>
  <c r="AP465" i="10"/>
  <c r="AP285" i="10"/>
  <c r="AP689" i="10"/>
  <c r="AP985" i="10"/>
  <c r="AP657" i="10"/>
  <c r="AP1131" i="10"/>
  <c r="AP939" i="10"/>
  <c r="AP493" i="10"/>
  <c r="AP1123" i="10"/>
  <c r="AP494" i="10"/>
  <c r="AP68" i="10"/>
  <c r="AP289" i="10"/>
  <c r="AP55" i="10"/>
  <c r="AP960" i="10"/>
  <c r="AP1083" i="10"/>
  <c r="AP498" i="10"/>
  <c r="AP255" i="10"/>
  <c r="AP224" i="10"/>
  <c r="AP35" i="10"/>
  <c r="AP429" i="10"/>
  <c r="AP88" i="10"/>
  <c r="AP503" i="10"/>
  <c r="AP61" i="10"/>
  <c r="AP595" i="10"/>
  <c r="AP42" i="10"/>
  <c r="AP1132" i="10"/>
  <c r="AP1076" i="10"/>
  <c r="AP238" i="10"/>
  <c r="AP99" i="10"/>
  <c r="AP512" i="10"/>
  <c r="AP818" i="10"/>
  <c r="AP253" i="10"/>
  <c r="AP978" i="10"/>
  <c r="AP824" i="10"/>
  <c r="AP813" i="10"/>
  <c r="AP679" i="10"/>
  <c r="AP764" i="10"/>
  <c r="AP807" i="10"/>
  <c r="AP675" i="10"/>
  <c r="AP437" i="10"/>
  <c r="AP411" i="10"/>
  <c r="AP449" i="10"/>
  <c r="AP419" i="10"/>
  <c r="AP152" i="10"/>
  <c r="AP7" i="10"/>
  <c r="AP934" i="10"/>
  <c r="AP570" i="10"/>
  <c r="AP719" i="10"/>
  <c r="AP958" i="10"/>
  <c r="AP1035" i="10"/>
  <c r="AP740" i="10"/>
  <c r="AP420" i="10"/>
  <c r="AP307" i="10"/>
  <c r="AP648" i="10"/>
  <c r="AP213" i="10"/>
  <c r="AP9" i="10"/>
  <c r="AP918" i="10"/>
  <c r="AP674" i="10"/>
  <c r="AP481" i="10"/>
  <c r="AP812" i="10"/>
  <c r="AP340" i="10"/>
  <c r="AP165" i="10"/>
  <c r="AP517" i="10"/>
  <c r="AP141" i="10"/>
  <c r="AP1078" i="10"/>
  <c r="AP1014" i="10"/>
  <c r="AP1060" i="10"/>
  <c r="AP618" i="10"/>
  <c r="AP763" i="10"/>
  <c r="AP591" i="10"/>
  <c r="AP752" i="10"/>
  <c r="AP488" i="10"/>
  <c r="AP5" i="10"/>
  <c r="AP711" i="10"/>
  <c r="AP1087" i="10"/>
  <c r="AP870" i="10"/>
  <c r="AP708" i="10"/>
  <c r="AP671" i="10"/>
  <c r="AP398" i="10"/>
  <c r="AP800" i="10"/>
  <c r="AP1029" i="10"/>
  <c r="AP236" i="10"/>
  <c r="AP1049" i="10"/>
  <c r="AP673" i="10"/>
  <c r="AP183" i="10"/>
  <c r="AP977" i="10"/>
  <c r="AP926" i="10"/>
  <c r="AP651" i="10"/>
  <c r="AP1067" i="10"/>
  <c r="AP896" i="10"/>
  <c r="AP887" i="10"/>
  <c r="AP447" i="10"/>
  <c r="AP703" i="10"/>
  <c r="AP121" i="10"/>
  <c r="AP527" i="10"/>
  <c r="AP130" i="10"/>
  <c r="AP305" i="10"/>
  <c r="AP396" i="10"/>
  <c r="AP814" i="10"/>
  <c r="AP636" i="10"/>
  <c r="AP1015" i="10"/>
  <c r="AP766" i="10"/>
  <c r="AP368" i="10"/>
  <c r="AP225" i="10"/>
  <c r="AP98" i="10"/>
  <c r="AP1077" i="10"/>
  <c r="AP197" i="10"/>
  <c r="AP111" i="10"/>
  <c r="AP177" i="10"/>
  <c r="AP279" i="10"/>
  <c r="AP534" i="10"/>
  <c r="AP440" i="10"/>
  <c r="AP284" i="10"/>
  <c r="AP837" i="10"/>
  <c r="AP142" i="10"/>
  <c r="AP590" i="10"/>
  <c r="AP721" i="10"/>
  <c r="AP1055" i="10"/>
  <c r="AP190" i="10"/>
  <c r="AP312" i="10"/>
  <c r="AP146" i="10"/>
  <c r="AP332" i="10"/>
  <c r="AP658" i="10"/>
  <c r="AP128" i="10"/>
  <c r="AP528" i="10"/>
  <c r="AP25" i="10"/>
  <c r="AP786" i="10"/>
  <c r="AP715" i="10"/>
  <c r="AP126" i="10"/>
  <c r="AP1129" i="10"/>
  <c r="AP811" i="10"/>
  <c r="AP1103" i="10"/>
  <c r="AP545" i="10"/>
  <c r="AP304" i="10"/>
  <c r="AP392" i="10"/>
  <c r="AP504" i="10"/>
  <c r="AP198" i="10"/>
  <c r="AP261" i="10"/>
  <c r="AP581" i="10"/>
  <c r="AP257" i="10"/>
  <c r="AP560" i="10"/>
  <c r="AP1092" i="10"/>
  <c r="AP105" i="10"/>
  <c r="AP1189" i="10"/>
  <c r="AP844" i="10"/>
  <c r="AP992" i="10"/>
  <c r="AP1153" i="10"/>
  <c r="AP501" i="10"/>
  <c r="AP288" i="10"/>
  <c r="AP875" i="10"/>
  <c r="AP85" i="10"/>
  <c r="AP476" i="10"/>
  <c r="AP552" i="10"/>
  <c r="AP196" i="10"/>
  <c r="N842" i="6"/>
  <c r="T842" i="10" s="1"/>
  <c r="N341" i="6"/>
  <c r="T341" i="10" s="1"/>
  <c r="N453" i="6"/>
  <c r="T453" i="10" s="1"/>
  <c r="AP453" i="10" s="1"/>
  <c r="I226" i="10"/>
  <c r="J226" i="10" s="1"/>
  <c r="F358" i="10"/>
  <c r="N1068" i="6"/>
  <c r="T1068" i="10" s="1"/>
  <c r="AP1068" i="10" s="1"/>
  <c r="N1057" i="6"/>
  <c r="T1057" i="10" s="1"/>
  <c r="AP1057" i="10" s="1"/>
  <c r="I1123" i="10"/>
  <c r="J1123" i="10" s="1"/>
  <c r="F660" i="10"/>
  <c r="I1154" i="10"/>
  <c r="J1154" i="10" s="1"/>
  <c r="F214" i="10"/>
  <c r="I403" i="10"/>
  <c r="J403" i="10" s="1"/>
  <c r="I351" i="10"/>
  <c r="J351" i="10" s="1"/>
  <c r="I566" i="10"/>
  <c r="J566" i="10" s="1"/>
  <c r="I356" i="10"/>
  <c r="J356" i="10" s="1"/>
  <c r="I219" i="10"/>
  <c r="J219" i="10" s="1"/>
  <c r="N823" i="6"/>
  <c r="T823" i="10" s="1"/>
  <c r="I699" i="10"/>
  <c r="J699" i="10" s="1"/>
  <c r="F323" i="10"/>
  <c r="I914" i="10"/>
  <c r="J914" i="10" s="1"/>
  <c r="I1001" i="10"/>
  <c r="J1001" i="10" s="1"/>
  <c r="I856" i="10"/>
  <c r="J856" i="10" s="1"/>
  <c r="F139" i="10"/>
  <c r="N346" i="6"/>
  <c r="T346" i="10" s="1"/>
  <c r="AP346" i="10" s="1"/>
  <c r="N1097" i="6"/>
  <c r="T1097" i="10" s="1"/>
  <c r="F819" i="10"/>
  <c r="F1046" i="10"/>
  <c r="F483" i="10"/>
  <c r="F345" i="10"/>
  <c r="F835" i="10"/>
  <c r="N843" i="6"/>
  <c r="T843" i="10" s="1"/>
  <c r="AP843" i="10" s="1"/>
  <c r="N524" i="6"/>
  <c r="T524" i="10" s="1"/>
  <c r="AP524" i="10" s="1"/>
  <c r="I1145" i="10"/>
  <c r="J1145" i="10" s="1"/>
  <c r="F1003" i="10"/>
  <c r="I897" i="10"/>
  <c r="J897" i="10" s="1"/>
  <c r="F150" i="10"/>
  <c r="N609" i="6"/>
  <c r="T609" i="10" s="1"/>
  <c r="AP609" i="10" s="1"/>
  <c r="N997" i="6"/>
  <c r="T997" i="10" s="1"/>
  <c r="AP997" i="10" s="1"/>
  <c r="F877" i="10"/>
  <c r="F634" i="10"/>
  <c r="I369" i="10"/>
  <c r="J369" i="10" s="1"/>
  <c r="N830" i="6"/>
  <c r="T830" i="10" s="1"/>
  <c r="AP830" i="10" s="1"/>
  <c r="N507" i="6"/>
  <c r="T507" i="10" s="1"/>
  <c r="AP507" i="10" s="1"/>
  <c r="N467" i="6"/>
  <c r="T467" i="10" s="1"/>
  <c r="AP467" i="10" s="1"/>
  <c r="N415" i="6"/>
  <c r="T415" i="10" s="1"/>
  <c r="AP415" i="10" s="1"/>
  <c r="N52" i="6"/>
  <c r="T52" i="10" s="1"/>
  <c r="I151" i="10"/>
  <c r="J151" i="10" s="1"/>
  <c r="N927" i="6"/>
  <c r="T927" i="10" s="1"/>
  <c r="AP927" i="10" s="1"/>
  <c r="N352" i="6"/>
  <c r="T352" i="10" s="1"/>
  <c r="AP352" i="10" s="1"/>
  <c r="N1109" i="6"/>
  <c r="T1109" i="10" s="1"/>
  <c r="S1109" i="10"/>
  <c r="N1075" i="6"/>
  <c r="T1075" i="10" s="1"/>
  <c r="AP1075" i="10" s="1"/>
  <c r="S1075" i="10"/>
  <c r="N1053" i="6"/>
  <c r="T1053" i="10" s="1"/>
  <c r="AP1053" i="10" s="1"/>
  <c r="S1053" i="10"/>
  <c r="N1044" i="6"/>
  <c r="T1044" i="10" s="1"/>
  <c r="AP1044" i="10" s="1"/>
  <c r="S1044" i="10"/>
  <c r="N1156" i="6"/>
  <c r="T1156" i="10" s="1"/>
  <c r="S1156" i="10"/>
  <c r="N1152" i="6"/>
  <c r="T1152" i="10" s="1"/>
  <c r="S1152" i="10"/>
  <c r="N1137" i="6"/>
  <c r="T1137" i="10" s="1"/>
  <c r="S1137" i="10"/>
  <c r="N1130" i="6"/>
  <c r="T1130" i="10" s="1"/>
  <c r="AP1130" i="10" s="1"/>
  <c r="S1130" i="10"/>
  <c r="N1008" i="6"/>
  <c r="T1008" i="10" s="1"/>
  <c r="AP1008" i="10" s="1"/>
  <c r="S1008" i="10"/>
  <c r="N1001" i="6"/>
  <c r="T1001" i="10" s="1"/>
  <c r="AP1001" i="10" s="1"/>
  <c r="S1001" i="10"/>
  <c r="N970" i="6"/>
  <c r="T970" i="10" s="1"/>
  <c r="S970" i="10"/>
  <c r="N907" i="6"/>
  <c r="T907" i="10" s="1"/>
  <c r="S907" i="10"/>
  <c r="N878" i="6"/>
  <c r="T878" i="10" s="1"/>
  <c r="S878" i="10"/>
  <c r="N827" i="6"/>
  <c r="T827" i="10" s="1"/>
  <c r="AP827" i="10" s="1"/>
  <c r="S827" i="10"/>
  <c r="N778" i="6"/>
  <c r="T778" i="10" s="1"/>
  <c r="AP778" i="10" s="1"/>
  <c r="S778" i="10"/>
  <c r="N737" i="6"/>
  <c r="T737" i="10" s="1"/>
  <c r="AP737" i="10" s="1"/>
  <c r="S737" i="10"/>
  <c r="N672" i="6"/>
  <c r="T672" i="10" s="1"/>
  <c r="AP672" i="10" s="1"/>
  <c r="S672" i="10"/>
  <c r="N602" i="6"/>
  <c r="T602" i="10" s="1"/>
  <c r="S602" i="10"/>
  <c r="N583" i="6"/>
  <c r="T583" i="10" s="1"/>
  <c r="AP583" i="10" s="1"/>
  <c r="S583" i="10"/>
  <c r="N546" i="6"/>
  <c r="T546" i="10" s="1"/>
  <c r="AP546" i="10" s="1"/>
  <c r="S546" i="10"/>
  <c r="N535" i="6"/>
  <c r="T535" i="10" s="1"/>
  <c r="AP535" i="10" s="1"/>
  <c r="S535" i="10"/>
  <c r="N516" i="6"/>
  <c r="T516" i="10" s="1"/>
  <c r="AP516" i="10" s="1"/>
  <c r="S516" i="10"/>
  <c r="N366" i="6"/>
  <c r="T366" i="10" s="1"/>
  <c r="AP366" i="10" s="1"/>
  <c r="S366" i="10"/>
  <c r="N359" i="6"/>
  <c r="T359" i="10" s="1"/>
  <c r="AP359" i="10" s="1"/>
  <c r="S359" i="10"/>
  <c r="N291" i="6"/>
  <c r="T291" i="10" s="1"/>
  <c r="AP291" i="10" s="1"/>
  <c r="S291" i="10"/>
  <c r="N1140" i="6"/>
  <c r="T1140" i="10" s="1"/>
  <c r="AP1140" i="10" s="1"/>
  <c r="S1140" i="10"/>
  <c r="N1125" i="6"/>
  <c r="T1125" i="10" s="1"/>
  <c r="AP1125" i="10" s="1"/>
  <c r="S1125" i="10"/>
  <c r="N1065" i="6"/>
  <c r="T1065" i="10" s="1"/>
  <c r="S1065" i="10"/>
  <c r="N1045" i="6"/>
  <c r="T1045" i="10" s="1"/>
  <c r="S1045" i="10"/>
  <c r="N1022" i="6"/>
  <c r="T1022" i="10" s="1"/>
  <c r="AP1022" i="10" s="1"/>
  <c r="S1022" i="10"/>
  <c r="N987" i="6"/>
  <c r="T987" i="10" s="1"/>
  <c r="AP987" i="10" s="1"/>
  <c r="S987" i="10"/>
  <c r="N964" i="6"/>
  <c r="T964" i="10" s="1"/>
  <c r="S964" i="10"/>
  <c r="N898" i="6"/>
  <c r="T898" i="10" s="1"/>
  <c r="S898" i="10"/>
  <c r="N821" i="6"/>
  <c r="T821" i="10" s="1"/>
  <c r="AP821" i="10" s="1"/>
  <c r="S821" i="10"/>
  <c r="N722" i="6"/>
  <c r="T722" i="10" s="1"/>
  <c r="AP722" i="10" s="1"/>
  <c r="S722" i="10"/>
  <c r="N710" i="6"/>
  <c r="T710" i="10" s="1"/>
  <c r="AP710" i="10" s="1"/>
  <c r="S710" i="10"/>
  <c r="N613" i="6"/>
  <c r="T613" i="10" s="1"/>
  <c r="AP613" i="10" s="1"/>
  <c r="S613" i="10"/>
  <c r="N586" i="6"/>
  <c r="T586" i="10" s="1"/>
  <c r="AP586" i="10" s="1"/>
  <c r="S586" i="10"/>
  <c r="N460" i="6"/>
  <c r="T460" i="10" s="1"/>
  <c r="AP460" i="10" s="1"/>
  <c r="S460" i="10"/>
  <c r="N388" i="6"/>
  <c r="T388" i="10" s="1"/>
  <c r="S388" i="10"/>
  <c r="N381" i="6"/>
  <c r="T381" i="10" s="1"/>
  <c r="AP381" i="10" s="1"/>
  <c r="S381" i="10"/>
  <c r="N371" i="6"/>
  <c r="T371" i="10" s="1"/>
  <c r="AP371" i="10" s="1"/>
  <c r="S371" i="10"/>
  <c r="N324" i="6"/>
  <c r="T324" i="10" s="1"/>
  <c r="AP324" i="10" s="1"/>
  <c r="S324" i="10"/>
  <c r="N221" i="6"/>
  <c r="T221" i="10" s="1"/>
  <c r="AP221" i="10" s="1"/>
  <c r="S221" i="10"/>
  <c r="N151" i="6"/>
  <c r="T151" i="10" s="1"/>
  <c r="AP151" i="10" s="1"/>
  <c r="S151" i="10"/>
  <c r="N147" i="6"/>
  <c r="T147" i="10" s="1"/>
  <c r="AP147" i="10" s="1"/>
  <c r="S147" i="10"/>
  <c r="N133" i="6"/>
  <c r="T133" i="10" s="1"/>
  <c r="S133" i="10"/>
  <c r="N119" i="6"/>
  <c r="T119" i="10" s="1"/>
  <c r="AP119" i="10" s="1"/>
  <c r="S119" i="10"/>
  <c r="N67" i="6"/>
  <c r="T67" i="10" s="1"/>
  <c r="S67" i="10"/>
  <c r="N63" i="6"/>
  <c r="T63" i="10" s="1"/>
  <c r="AP63" i="10" s="1"/>
  <c r="S63" i="10"/>
  <c r="N45" i="6"/>
  <c r="T45" i="10" s="1"/>
  <c r="AP45" i="10" s="1"/>
  <c r="S45" i="10"/>
  <c r="N31" i="6"/>
  <c r="T31" i="10" s="1"/>
  <c r="AP31" i="10" s="1"/>
  <c r="S31" i="10"/>
  <c r="N1184" i="6"/>
  <c r="T1184" i="10" s="1"/>
  <c r="S1184" i="10"/>
  <c r="N1173" i="6"/>
  <c r="T1173" i="10" s="1"/>
  <c r="S1173" i="10"/>
  <c r="N1162" i="6"/>
  <c r="T1162" i="10" s="1"/>
  <c r="S1162" i="10"/>
  <c r="N1025" i="6"/>
  <c r="T1025" i="10" s="1"/>
  <c r="AP1025" i="10" s="1"/>
  <c r="S1025" i="10"/>
  <c r="N993" i="6"/>
  <c r="T993" i="10" s="1"/>
  <c r="AP993" i="10" s="1"/>
  <c r="S993" i="10"/>
  <c r="N865" i="6"/>
  <c r="T865" i="10" s="1"/>
  <c r="AP865" i="10" s="1"/>
  <c r="S865" i="10"/>
  <c r="N762" i="6"/>
  <c r="T762" i="10" s="1"/>
  <c r="S762" i="10"/>
  <c r="N758" i="6"/>
  <c r="T758" i="10" s="1"/>
  <c r="AP758" i="10" s="1"/>
  <c r="S758" i="10"/>
  <c r="N665" i="6"/>
  <c r="T665" i="10" s="1"/>
  <c r="AP665" i="10" s="1"/>
  <c r="S665" i="10"/>
  <c r="N526" i="6"/>
  <c r="T526" i="10" s="1"/>
  <c r="AP526" i="10" s="1"/>
  <c r="S526" i="10"/>
  <c r="N456" i="6"/>
  <c r="T456" i="10" s="1"/>
  <c r="AP456" i="10" s="1"/>
  <c r="S456" i="10"/>
  <c r="N412" i="6"/>
  <c r="T412" i="10" s="1"/>
  <c r="AP412" i="10" s="1"/>
  <c r="S412" i="10"/>
  <c r="N348" i="6"/>
  <c r="T348" i="10" s="1"/>
  <c r="AP348" i="10" s="1"/>
  <c r="S348" i="10"/>
  <c r="N226" i="6"/>
  <c r="T226" i="10" s="1"/>
  <c r="AP226" i="10" s="1"/>
  <c r="S226" i="10"/>
  <c r="N219" i="6"/>
  <c r="T219" i="10" s="1"/>
  <c r="S219" i="10"/>
  <c r="N191" i="6"/>
  <c r="T191" i="10" s="1"/>
  <c r="AP191" i="10" s="1"/>
  <c r="S191" i="10"/>
  <c r="N173" i="6"/>
  <c r="T173" i="10" s="1"/>
  <c r="S173" i="10"/>
  <c r="N19" i="6"/>
  <c r="T19" i="10" s="1"/>
  <c r="S19" i="10"/>
  <c r="N1183" i="6"/>
  <c r="T1183" i="10" s="1"/>
  <c r="S1183" i="10"/>
  <c r="N1036" i="6"/>
  <c r="T1036" i="10" s="1"/>
  <c r="AP1036" i="10" s="1"/>
  <c r="S1036" i="10"/>
  <c r="N947" i="6"/>
  <c r="T947" i="10" s="1"/>
  <c r="S947" i="10"/>
  <c r="N921" i="6"/>
  <c r="T921" i="10" s="1"/>
  <c r="AP921" i="10" s="1"/>
  <c r="S921" i="10"/>
  <c r="N914" i="6"/>
  <c r="T914" i="10" s="1"/>
  <c r="AP914" i="10" s="1"/>
  <c r="S914" i="10"/>
  <c r="N895" i="6"/>
  <c r="T895" i="10" s="1"/>
  <c r="AP895" i="10" s="1"/>
  <c r="S895" i="10"/>
  <c r="N864" i="6"/>
  <c r="T864" i="10" s="1"/>
  <c r="AP864" i="10" s="1"/>
  <c r="S864" i="10"/>
  <c r="N841" i="6"/>
  <c r="T841" i="10" s="1"/>
  <c r="AP841" i="10" s="1"/>
  <c r="S841" i="10"/>
  <c r="N795" i="6"/>
  <c r="T795" i="10" s="1"/>
  <c r="AP795" i="10" s="1"/>
  <c r="S795" i="10"/>
  <c r="N768" i="6"/>
  <c r="T768" i="10" s="1"/>
  <c r="S768" i="10"/>
  <c r="N540" i="6"/>
  <c r="T540" i="10" s="1"/>
  <c r="AP540" i="10" s="1"/>
  <c r="S540" i="10"/>
  <c r="N499" i="6"/>
  <c r="T499" i="10" s="1"/>
  <c r="AP499" i="10" s="1"/>
  <c r="S499" i="10"/>
  <c r="N492" i="6"/>
  <c r="T492" i="10" s="1"/>
  <c r="AP492" i="10" s="1"/>
  <c r="S492" i="10"/>
  <c r="N373" i="6"/>
  <c r="T373" i="10" s="1"/>
  <c r="AP373" i="10" s="1"/>
  <c r="S373" i="10"/>
  <c r="N300" i="6"/>
  <c r="T300" i="10" s="1"/>
  <c r="AP300" i="10" s="1"/>
  <c r="S300" i="10"/>
  <c r="N275" i="6"/>
  <c r="T275" i="10" s="1"/>
  <c r="AP275" i="10" s="1"/>
  <c r="S275" i="10"/>
  <c r="N222" i="6"/>
  <c r="T222" i="10" s="1"/>
  <c r="AP222" i="10" s="1"/>
  <c r="S222" i="10"/>
  <c r="N129" i="6"/>
  <c r="T129" i="10" s="1"/>
  <c r="S129" i="10"/>
  <c r="N1175" i="6"/>
  <c r="T1175" i="10" s="1"/>
  <c r="AP1175" i="10" s="1"/>
  <c r="S1175" i="10"/>
  <c r="N1099" i="6"/>
  <c r="T1099" i="10" s="1"/>
  <c r="AP1099" i="10" s="1"/>
  <c r="S1099" i="10"/>
  <c r="N1073" i="6"/>
  <c r="T1073" i="10" s="1"/>
  <c r="AP1073" i="10" s="1"/>
  <c r="S1073" i="10"/>
  <c r="N1059" i="6"/>
  <c r="T1059" i="10" s="1"/>
  <c r="AP1059" i="10" s="1"/>
  <c r="S1059" i="10"/>
  <c r="N1000" i="6"/>
  <c r="T1000" i="10" s="1"/>
  <c r="AP1000" i="10" s="1"/>
  <c r="S1000" i="10"/>
  <c r="N980" i="6"/>
  <c r="T980" i="10" s="1"/>
  <c r="S980" i="10"/>
  <c r="N935" i="6"/>
  <c r="T935" i="10" s="1"/>
  <c r="AP935" i="10" s="1"/>
  <c r="S935" i="10"/>
  <c r="N894" i="6"/>
  <c r="T894" i="10" s="1"/>
  <c r="AP894" i="10" s="1"/>
  <c r="S894" i="10"/>
  <c r="N880" i="6"/>
  <c r="T880" i="10" s="1"/>
  <c r="S880" i="10"/>
  <c r="N551" i="6"/>
  <c r="T551" i="10" s="1"/>
  <c r="S551" i="10"/>
  <c r="N513" i="6"/>
  <c r="T513" i="10" s="1"/>
  <c r="AP513" i="10" s="1"/>
  <c r="S513" i="10"/>
  <c r="N347" i="6"/>
  <c r="T347" i="10" s="1"/>
  <c r="AP347" i="10" s="1"/>
  <c r="S347" i="10"/>
  <c r="N310" i="6"/>
  <c r="T310" i="10" s="1"/>
  <c r="AP310" i="10" s="1"/>
  <c r="S310" i="10"/>
  <c r="N186" i="6"/>
  <c r="T186" i="10" s="1"/>
  <c r="AP186" i="10" s="1"/>
  <c r="S186" i="10"/>
  <c r="N161" i="6"/>
  <c r="T161" i="10" s="1"/>
  <c r="AP161" i="10" s="1"/>
  <c r="S161" i="10"/>
  <c r="N108" i="6"/>
  <c r="T108" i="10" s="1"/>
  <c r="AP108" i="10" s="1"/>
  <c r="S108" i="10"/>
  <c r="N90" i="6"/>
  <c r="T90" i="10" s="1"/>
  <c r="S90" i="10"/>
  <c r="N29" i="6"/>
  <c r="T29" i="10" s="1"/>
  <c r="AP29" i="10" s="1"/>
  <c r="S29" i="10"/>
  <c r="N690" i="6"/>
  <c r="T690" i="10" s="1"/>
  <c r="S690" i="10"/>
  <c r="N682" i="6"/>
  <c r="T682" i="10" s="1"/>
  <c r="AP682" i="10" s="1"/>
  <c r="S682" i="10"/>
  <c r="N1107" i="6"/>
  <c r="T1107" i="10" s="1"/>
  <c r="AP1107" i="10" s="1"/>
  <c r="S1107" i="10"/>
  <c r="N1050" i="6"/>
  <c r="T1050" i="10" s="1"/>
  <c r="S1050" i="10"/>
  <c r="N1122" i="6"/>
  <c r="T1122" i="10" s="1"/>
  <c r="AP1122" i="10" s="1"/>
  <c r="S1122" i="10"/>
  <c r="N916" i="6"/>
  <c r="T916" i="10" s="1"/>
  <c r="S916" i="10"/>
  <c r="N897" i="6"/>
  <c r="T897" i="10" s="1"/>
  <c r="S897" i="10"/>
  <c r="N835" i="6"/>
  <c r="T835" i="10" s="1"/>
  <c r="AP835" i="10" s="1"/>
  <c r="S835" i="10"/>
  <c r="N797" i="6"/>
  <c r="T797" i="10" s="1"/>
  <c r="S797" i="10"/>
  <c r="N790" i="6"/>
  <c r="T790" i="10" s="1"/>
  <c r="AP790" i="10" s="1"/>
  <c r="S790" i="10"/>
  <c r="N709" i="6"/>
  <c r="T709" i="10" s="1"/>
  <c r="AP709" i="10" s="1"/>
  <c r="S709" i="10"/>
  <c r="N678" i="6"/>
  <c r="T678" i="10" s="1"/>
  <c r="AP678" i="10" s="1"/>
  <c r="S678" i="10"/>
  <c r="N654" i="6"/>
  <c r="T654" i="10" s="1"/>
  <c r="S654" i="10"/>
  <c r="N634" i="6"/>
  <c r="T634" i="10" s="1"/>
  <c r="AP634" i="10" s="1"/>
  <c r="S634" i="10"/>
  <c r="N538" i="6"/>
  <c r="T538" i="10" s="1"/>
  <c r="AP538" i="10" s="1"/>
  <c r="S538" i="10"/>
  <c r="N769" i="6"/>
  <c r="T769" i="10" s="1"/>
  <c r="AP769" i="10" s="1"/>
  <c r="S769" i="10"/>
  <c r="N579" i="6"/>
  <c r="T579" i="10" s="1"/>
  <c r="S579" i="10"/>
  <c r="N473" i="6"/>
  <c r="T473" i="10" s="1"/>
  <c r="AP473" i="10" s="1"/>
  <c r="S473" i="10"/>
  <c r="N276" i="6"/>
  <c r="T276" i="10" s="1"/>
  <c r="AP276" i="10" s="1"/>
  <c r="S276" i="10"/>
  <c r="N254" i="6"/>
  <c r="T254" i="10" s="1"/>
  <c r="S254" i="10"/>
  <c r="N164" i="6"/>
  <c r="T164" i="10" s="1"/>
  <c r="AP164" i="10" s="1"/>
  <c r="S164" i="10"/>
  <c r="N509" i="6"/>
  <c r="T509" i="10" s="1"/>
  <c r="AP509" i="10" s="1"/>
  <c r="S509" i="10"/>
  <c r="N331" i="6"/>
  <c r="T331" i="10" s="1"/>
  <c r="AP331" i="10" s="1"/>
  <c r="S331" i="10"/>
  <c r="N294" i="6"/>
  <c r="T294" i="10" s="1"/>
  <c r="AP294" i="10" s="1"/>
  <c r="S294" i="10"/>
  <c r="N185" i="6"/>
  <c r="T185" i="10" s="1"/>
  <c r="S185" i="10"/>
  <c r="N50" i="6"/>
  <c r="T50" i="10" s="1"/>
  <c r="AP50" i="10" s="1"/>
  <c r="S50" i="10"/>
  <c r="N16" i="6"/>
  <c r="T16" i="10" s="1"/>
  <c r="S16" i="10"/>
  <c r="N1032" i="6"/>
  <c r="T1032" i="10" s="1"/>
  <c r="AP1032" i="10" s="1"/>
  <c r="S1032" i="10"/>
  <c r="N1007" i="6"/>
  <c r="T1007" i="10" s="1"/>
  <c r="S1007" i="10"/>
  <c r="N996" i="6"/>
  <c r="T996" i="10" s="1"/>
  <c r="AP996" i="10" s="1"/>
  <c r="S996" i="10"/>
  <c r="N642" i="6"/>
  <c r="T642" i="10" s="1"/>
  <c r="AP642" i="10" s="1"/>
  <c r="S642" i="10"/>
  <c r="N638" i="6"/>
  <c r="T638" i="10" s="1"/>
  <c r="AP638" i="10" s="1"/>
  <c r="S638" i="10"/>
  <c r="N163" i="6"/>
  <c r="T163" i="10" s="1"/>
  <c r="S163" i="10"/>
  <c r="N137" i="6"/>
  <c r="T137" i="10" s="1"/>
  <c r="S137" i="10"/>
  <c r="N79" i="6"/>
  <c r="T79" i="10" s="1"/>
  <c r="AP79" i="10" s="1"/>
  <c r="S79" i="10"/>
  <c r="N75" i="6"/>
  <c r="T75" i="10" s="1"/>
  <c r="AP75" i="10" s="1"/>
  <c r="S75" i="10"/>
  <c r="N834" i="6"/>
  <c r="T834" i="10" s="1"/>
  <c r="AP834" i="10" s="1"/>
  <c r="S834" i="10"/>
  <c r="N650" i="6"/>
  <c r="T650" i="10" s="1"/>
  <c r="AP650" i="10" s="1"/>
  <c r="S650" i="10"/>
  <c r="N589" i="6"/>
  <c r="T589" i="10" s="1"/>
  <c r="AP589" i="10" s="1"/>
  <c r="S589" i="10"/>
  <c r="N206" i="6"/>
  <c r="T206" i="10" s="1"/>
  <c r="S206" i="10"/>
  <c r="N86" i="6"/>
  <c r="T86" i="10" s="1"/>
  <c r="AP86" i="10" s="1"/>
  <c r="S86" i="10"/>
  <c r="N53" i="6"/>
  <c r="T53" i="10" s="1"/>
  <c r="S53" i="10"/>
  <c r="N27" i="6"/>
  <c r="T27" i="10" s="1"/>
  <c r="AP27" i="10" s="1"/>
  <c r="S27" i="10"/>
  <c r="N15" i="6"/>
  <c r="T15" i="10" s="1"/>
  <c r="AP15" i="10" s="1"/>
  <c r="S15" i="10"/>
  <c r="N3" i="6"/>
  <c r="T3" i="10" s="1"/>
  <c r="S3" i="10"/>
  <c r="N783" i="6"/>
  <c r="T783" i="10" s="1"/>
  <c r="S783" i="10"/>
  <c r="N697" i="6"/>
  <c r="T697" i="10" s="1"/>
  <c r="AP697" i="10" s="1"/>
  <c r="S697" i="10"/>
  <c r="N681" i="6"/>
  <c r="T681" i="10" s="1"/>
  <c r="S681" i="10"/>
  <c r="N202" i="6"/>
  <c r="T202" i="10" s="1"/>
  <c r="AP202" i="10" s="1"/>
  <c r="S202" i="10"/>
  <c r="N107" i="6"/>
  <c r="T107" i="10" s="1"/>
  <c r="S107" i="10"/>
  <c r="N82" i="6"/>
  <c r="T82" i="10" s="1"/>
  <c r="AP82" i="10" s="1"/>
  <c r="S82" i="10"/>
  <c r="N971" i="6"/>
  <c r="T971" i="10" s="1"/>
  <c r="AP971" i="10" s="1"/>
  <c r="S971" i="10"/>
  <c r="N902" i="6"/>
  <c r="T902" i="10" s="1"/>
  <c r="AP902" i="10" s="1"/>
  <c r="S902" i="10"/>
  <c r="N728" i="6"/>
  <c r="T728" i="10" s="1"/>
  <c r="S728" i="10"/>
  <c r="N716" i="6"/>
  <c r="T716" i="10" s="1"/>
  <c r="S716" i="10"/>
  <c r="N712" i="6"/>
  <c r="T712" i="10" s="1"/>
  <c r="AP712" i="10" s="1"/>
  <c r="S712" i="10"/>
  <c r="N292" i="6"/>
  <c r="T292" i="10" s="1"/>
  <c r="AP292" i="10" s="1"/>
  <c r="S292" i="10"/>
  <c r="N205" i="6"/>
  <c r="T205" i="10" s="1"/>
  <c r="AP205" i="10" s="1"/>
  <c r="S205" i="10"/>
  <c r="N78" i="6"/>
  <c r="T78" i="10" s="1"/>
  <c r="S78" i="10"/>
  <c r="N810" i="6"/>
  <c r="T810" i="10" s="1"/>
  <c r="AP810" i="10" s="1"/>
  <c r="S810" i="10"/>
  <c r="N743" i="6"/>
  <c r="T743" i="10" s="1"/>
  <c r="S743" i="10"/>
  <c r="N739" i="6"/>
  <c r="T739" i="10" s="1"/>
  <c r="AP739" i="10" s="1"/>
  <c r="S739" i="10"/>
  <c r="N684" i="6"/>
  <c r="T684" i="10" s="1"/>
  <c r="AP684" i="10" s="1"/>
  <c r="S684" i="10"/>
  <c r="N553" i="6"/>
  <c r="T553" i="10" s="1"/>
  <c r="AP553" i="10" s="1"/>
  <c r="S553" i="10"/>
  <c r="N432" i="6"/>
  <c r="T432" i="10" s="1"/>
  <c r="AP432" i="10" s="1"/>
  <c r="S432" i="10"/>
  <c r="N406" i="6"/>
  <c r="T406" i="10" s="1"/>
  <c r="AP406" i="10" s="1"/>
  <c r="S406" i="10"/>
  <c r="N402" i="6"/>
  <c r="T402" i="10" s="1"/>
  <c r="S402" i="10"/>
  <c r="N329" i="6"/>
  <c r="T329" i="10" s="1"/>
  <c r="AP329" i="10" s="1"/>
  <c r="S329" i="10"/>
  <c r="N212" i="6"/>
  <c r="T212" i="10" s="1"/>
  <c r="AP212" i="10" s="1"/>
  <c r="S212" i="10"/>
  <c r="N117" i="6"/>
  <c r="T117" i="10" s="1"/>
  <c r="AP117" i="10" s="1"/>
  <c r="S117" i="10"/>
  <c r="N1167" i="6"/>
  <c r="T1167" i="10" s="1"/>
  <c r="AP1167" i="10" s="1"/>
  <c r="S1167" i="10"/>
  <c r="N1054" i="6"/>
  <c r="T1054" i="10" s="1"/>
  <c r="AP1054" i="10" s="1"/>
  <c r="S1054" i="10"/>
  <c r="N893" i="6"/>
  <c r="T893" i="10" s="1"/>
  <c r="AP893" i="10" s="1"/>
  <c r="S893" i="10"/>
  <c r="N793" i="6"/>
  <c r="T793" i="10" s="1"/>
  <c r="S793" i="10"/>
  <c r="N694" i="6"/>
  <c r="T694" i="10" s="1"/>
  <c r="S694" i="10"/>
  <c r="N625" i="6"/>
  <c r="T625" i="10" s="1"/>
  <c r="AP625" i="10" s="1"/>
  <c r="S625" i="10"/>
  <c r="N577" i="6"/>
  <c r="T577" i="10" s="1"/>
  <c r="AP577" i="10" s="1"/>
  <c r="S577" i="10"/>
  <c r="N480" i="6"/>
  <c r="T480" i="10" s="1"/>
  <c r="AP480" i="10" s="1"/>
  <c r="S480" i="10"/>
  <c r="N417" i="6"/>
  <c r="T417" i="10" s="1"/>
  <c r="AP417" i="10" s="1"/>
  <c r="S417" i="10"/>
  <c r="N321" i="6"/>
  <c r="T321" i="10" s="1"/>
  <c r="S321" i="10"/>
  <c r="N1194" i="6"/>
  <c r="T1194" i="10" s="1"/>
  <c r="AP1194" i="10" s="1"/>
  <c r="S1194" i="10"/>
  <c r="N1159" i="6"/>
  <c r="T1159" i="10" s="1"/>
  <c r="S1159" i="10"/>
  <c r="N1084" i="6"/>
  <c r="T1084" i="10" s="1"/>
  <c r="AP1084" i="10" s="1"/>
  <c r="S1084" i="10"/>
  <c r="N901" i="6"/>
  <c r="T901" i="10" s="1"/>
  <c r="S901" i="10"/>
  <c r="N805" i="6"/>
  <c r="T805" i="10" s="1"/>
  <c r="AP805" i="10" s="1"/>
  <c r="S805" i="10"/>
  <c r="N765" i="6"/>
  <c r="T765" i="10" s="1"/>
  <c r="S765" i="10"/>
  <c r="N745" i="6"/>
  <c r="T745" i="10" s="1"/>
  <c r="S745" i="10"/>
  <c r="N725" i="6"/>
  <c r="T725" i="10" s="1"/>
  <c r="AP725" i="10" s="1"/>
  <c r="S725" i="10"/>
  <c r="N717" i="6"/>
  <c r="T717" i="10" s="1"/>
  <c r="S717" i="10"/>
  <c r="N702" i="6"/>
  <c r="T702" i="10" s="1"/>
  <c r="AP702" i="10" s="1"/>
  <c r="S702" i="10"/>
  <c r="N641" i="6"/>
  <c r="T641" i="10" s="1"/>
  <c r="AP641" i="10" s="1"/>
  <c r="S641" i="10"/>
  <c r="N569" i="6"/>
  <c r="T569" i="10" s="1"/>
  <c r="AP569" i="10" s="1"/>
  <c r="S569" i="10"/>
  <c r="N565" i="6"/>
  <c r="T565" i="10" s="1"/>
  <c r="AP565" i="10" s="1"/>
  <c r="S565" i="10"/>
  <c r="N557" i="6"/>
  <c r="T557" i="10" s="1"/>
  <c r="AP557" i="10" s="1"/>
  <c r="S557" i="10"/>
  <c r="N549" i="6"/>
  <c r="T549" i="10" s="1"/>
  <c r="AP549" i="10" s="1"/>
  <c r="S549" i="10"/>
  <c r="N533" i="6"/>
  <c r="T533" i="10" s="1"/>
  <c r="AP533" i="10" s="1"/>
  <c r="S533" i="10"/>
  <c r="N518" i="6"/>
  <c r="T518" i="10" s="1"/>
  <c r="S518" i="10"/>
  <c r="N1181" i="6"/>
  <c r="T1181" i="10" s="1"/>
  <c r="AP1181" i="10" s="1"/>
  <c r="S1181" i="10"/>
  <c r="N981" i="6"/>
  <c r="T981" i="10" s="1"/>
  <c r="AP981" i="10" s="1"/>
  <c r="S981" i="10"/>
  <c r="N969" i="6"/>
  <c r="T969" i="10" s="1"/>
  <c r="S969" i="10"/>
  <c r="N965" i="6"/>
  <c r="T965" i="10" s="1"/>
  <c r="AP965" i="10" s="1"/>
  <c r="S965" i="10"/>
  <c r="N724" i="6"/>
  <c r="T724" i="10" s="1"/>
  <c r="AP724" i="10" s="1"/>
  <c r="S724" i="10"/>
  <c r="N701" i="6"/>
  <c r="T701" i="10" s="1"/>
  <c r="S701" i="10"/>
  <c r="N471" i="6"/>
  <c r="T471" i="10" s="1"/>
  <c r="S471" i="10"/>
  <c r="N443" i="6"/>
  <c r="T443" i="10" s="1"/>
  <c r="AP443" i="10" s="1"/>
  <c r="S443" i="10"/>
  <c r="N1056" i="6"/>
  <c r="T1056" i="10" s="1"/>
  <c r="AP1056" i="10" s="1"/>
  <c r="S1056" i="10"/>
  <c r="N1033" i="6"/>
  <c r="T1033" i="10" s="1"/>
  <c r="S1033" i="10"/>
  <c r="N968" i="6"/>
  <c r="T968" i="10" s="1"/>
  <c r="S968" i="10"/>
  <c r="N953" i="6"/>
  <c r="T953" i="10" s="1"/>
  <c r="S953" i="10"/>
  <c r="N949" i="6"/>
  <c r="T949" i="10" s="1"/>
  <c r="S949" i="10"/>
  <c r="N915" i="6"/>
  <c r="T915" i="10" s="1"/>
  <c r="AP915" i="10" s="1"/>
  <c r="S915" i="10"/>
  <c r="N911" i="6"/>
  <c r="T911" i="10" s="1"/>
  <c r="AP911" i="10" s="1"/>
  <c r="S911" i="10"/>
  <c r="N631" i="6"/>
  <c r="T631" i="10" s="1"/>
  <c r="S631" i="10"/>
  <c r="N547" i="6"/>
  <c r="T547" i="10" s="1"/>
  <c r="AP547" i="10" s="1"/>
  <c r="S547" i="10"/>
  <c r="N96" i="6"/>
  <c r="T96" i="10" s="1"/>
  <c r="AP96" i="10" s="1"/>
  <c r="S96" i="10"/>
  <c r="N550" i="6"/>
  <c r="T550" i="10" s="1"/>
  <c r="S550" i="10"/>
  <c r="N542" i="6"/>
  <c r="T542" i="10" s="1"/>
  <c r="AP542" i="10" s="1"/>
  <c r="S542" i="10"/>
  <c r="N991" i="6"/>
  <c r="T991" i="10" s="1"/>
  <c r="AP991" i="10" s="1"/>
  <c r="S991" i="10"/>
  <c r="N979" i="6"/>
  <c r="T979" i="10" s="1"/>
  <c r="AP979" i="10" s="1"/>
  <c r="S979" i="10"/>
  <c r="N967" i="6"/>
  <c r="T967" i="10" s="1"/>
  <c r="AP967" i="10" s="1"/>
  <c r="S967" i="10"/>
  <c r="N963" i="6"/>
  <c r="T963" i="10" s="1"/>
  <c r="AP963" i="10" s="1"/>
  <c r="S963" i="10"/>
  <c r="N925" i="6"/>
  <c r="T925" i="10" s="1"/>
  <c r="AP925" i="10" s="1"/>
  <c r="S925" i="10"/>
  <c r="N872" i="6"/>
  <c r="T872" i="10" s="1"/>
  <c r="AP872" i="10" s="1"/>
  <c r="S872" i="10"/>
  <c r="N774" i="6"/>
  <c r="T774" i="10" s="1"/>
  <c r="S774" i="10"/>
  <c r="N770" i="6"/>
  <c r="T770" i="10" s="1"/>
  <c r="AP770" i="10" s="1"/>
  <c r="S770" i="10"/>
  <c r="N738" i="6"/>
  <c r="T738" i="10" s="1"/>
  <c r="AP738" i="10" s="1"/>
  <c r="S738" i="10"/>
  <c r="N500" i="6"/>
  <c r="T500" i="10" s="1"/>
  <c r="AP500" i="10" s="1"/>
  <c r="S500" i="10"/>
  <c r="N469" i="6"/>
  <c r="T469" i="10" s="1"/>
  <c r="AP469" i="10" s="1"/>
  <c r="S469" i="10"/>
  <c r="N445" i="6"/>
  <c r="T445" i="10" s="1"/>
  <c r="AP445" i="10" s="1"/>
  <c r="S445" i="10"/>
  <c r="N242" i="6"/>
  <c r="T242" i="10" s="1"/>
  <c r="AP242" i="10" s="1"/>
  <c r="S242" i="10"/>
  <c r="N1191" i="6"/>
  <c r="T1191" i="10" s="1"/>
  <c r="S1191" i="10"/>
  <c r="N1124" i="6"/>
  <c r="T1124" i="10" s="1"/>
  <c r="S1124" i="10"/>
  <c r="N1016" i="6"/>
  <c r="T1016" i="10" s="1"/>
  <c r="AP1016" i="10" s="1"/>
  <c r="S1016" i="10"/>
  <c r="N957" i="6"/>
  <c r="T957" i="10" s="1"/>
  <c r="AP957" i="10" s="1"/>
  <c r="S957" i="10"/>
  <c r="N730" i="6"/>
  <c r="T730" i="10" s="1"/>
  <c r="AP730" i="10" s="1"/>
  <c r="S730" i="10"/>
  <c r="N604" i="6"/>
  <c r="T604" i="10" s="1"/>
  <c r="S604" i="10"/>
  <c r="N423" i="6"/>
  <c r="T423" i="10" s="1"/>
  <c r="S423" i="10"/>
  <c r="N399" i="6"/>
  <c r="T399" i="10" s="1"/>
  <c r="S399" i="10"/>
  <c r="N972" i="6"/>
  <c r="T972" i="10" s="1"/>
  <c r="AP972" i="10" s="1"/>
  <c r="S972" i="10"/>
  <c r="N661" i="6"/>
  <c r="T661" i="10" s="1"/>
  <c r="AP661" i="10" s="1"/>
  <c r="S661" i="10"/>
  <c r="N628" i="6"/>
  <c r="T628" i="10" s="1"/>
  <c r="AP628" i="10" s="1"/>
  <c r="S628" i="10"/>
  <c r="N624" i="6"/>
  <c r="T624" i="10" s="1"/>
  <c r="AP624" i="10" s="1"/>
  <c r="S624" i="10"/>
  <c r="N339" i="6"/>
  <c r="T339" i="10" s="1"/>
  <c r="S339" i="10"/>
  <c r="N296" i="6"/>
  <c r="T296" i="10" s="1"/>
  <c r="AP296" i="10" s="1"/>
  <c r="S296" i="10"/>
  <c r="N174" i="6"/>
  <c r="T174" i="10" s="1"/>
  <c r="S174" i="10"/>
  <c r="N693" i="6"/>
  <c r="T693" i="10" s="1"/>
  <c r="AP693" i="10" s="1"/>
  <c r="S693" i="10"/>
  <c r="N611" i="6"/>
  <c r="T611" i="10" s="1"/>
  <c r="AP611" i="10" s="1"/>
  <c r="S611" i="10"/>
  <c r="N462" i="6"/>
  <c r="T462" i="10" s="1"/>
  <c r="AP462" i="10" s="1"/>
  <c r="S462" i="10"/>
  <c r="N434" i="6"/>
  <c r="T434" i="10" s="1"/>
  <c r="AP434" i="10" s="1"/>
  <c r="S434" i="10"/>
  <c r="N426" i="6"/>
  <c r="T426" i="10" s="1"/>
  <c r="AP426" i="10" s="1"/>
  <c r="S426" i="10"/>
  <c r="N1094" i="6"/>
  <c r="T1094" i="10" s="1"/>
  <c r="AP1094" i="10" s="1"/>
  <c r="S1094" i="10"/>
  <c r="N1079" i="6"/>
  <c r="T1079" i="10" s="1"/>
  <c r="S1079" i="10"/>
  <c r="N995" i="6"/>
  <c r="T995" i="10" s="1"/>
  <c r="S995" i="10"/>
  <c r="N908" i="6"/>
  <c r="T908" i="10" s="1"/>
  <c r="AP908" i="10" s="1"/>
  <c r="S908" i="10"/>
  <c r="N753" i="6"/>
  <c r="T753" i="10" s="1"/>
  <c r="AP753" i="10" s="1"/>
  <c r="S753" i="10"/>
  <c r="N656" i="6"/>
  <c r="T656" i="10" s="1"/>
  <c r="AP656" i="10" s="1"/>
  <c r="S656" i="10"/>
  <c r="N627" i="6"/>
  <c r="T627" i="10" s="1"/>
  <c r="AP627" i="10" s="1"/>
  <c r="S627" i="10"/>
  <c r="N623" i="6"/>
  <c r="T623" i="10" s="1"/>
  <c r="AP623" i="10" s="1"/>
  <c r="S623" i="10"/>
  <c r="N522" i="6"/>
  <c r="T522" i="10" s="1"/>
  <c r="AP522" i="10" s="1"/>
  <c r="S522" i="10"/>
  <c r="N354" i="6"/>
  <c r="T354" i="10" s="1"/>
  <c r="S354" i="10"/>
  <c r="N303" i="6"/>
  <c r="T303" i="10" s="1"/>
  <c r="AP303" i="10" s="1"/>
  <c r="S303" i="10"/>
  <c r="N193" i="6"/>
  <c r="T193" i="10" s="1"/>
  <c r="AP193" i="10" s="1"/>
  <c r="S193" i="10"/>
  <c r="N51" i="6"/>
  <c r="T51" i="10" s="1"/>
  <c r="AP51" i="10" s="1"/>
  <c r="S51" i="10"/>
  <c r="N849" i="6"/>
  <c r="T849" i="10" s="1"/>
  <c r="S849" i="10"/>
  <c r="N820" i="6"/>
  <c r="T820" i="10" s="1"/>
  <c r="AP820" i="10" s="1"/>
  <c r="S820" i="10"/>
  <c r="N668" i="6"/>
  <c r="T668" i="10" s="1"/>
  <c r="S668" i="10"/>
  <c r="N594" i="6"/>
  <c r="T594" i="10" s="1"/>
  <c r="AP594" i="10" s="1"/>
  <c r="S594" i="10"/>
  <c r="N562" i="6"/>
  <c r="T562" i="10" s="1"/>
  <c r="AP562" i="10" s="1"/>
  <c r="S562" i="10"/>
  <c r="N326" i="6"/>
  <c r="T326" i="10" s="1"/>
  <c r="AP326" i="10" s="1"/>
  <c r="S326" i="10"/>
  <c r="N233" i="6"/>
  <c r="T233" i="10" s="1"/>
  <c r="AP233" i="10" s="1"/>
  <c r="S233" i="10"/>
  <c r="N1031" i="6"/>
  <c r="T1031" i="10" s="1"/>
  <c r="AP1031" i="10" s="1"/>
  <c r="S1031" i="10"/>
  <c r="N943" i="6"/>
  <c r="T943" i="10" s="1"/>
  <c r="AP943" i="10" s="1"/>
  <c r="S943" i="10"/>
  <c r="N888" i="6"/>
  <c r="T888" i="10" s="1"/>
  <c r="AP888" i="10" s="1"/>
  <c r="S888" i="10"/>
  <c r="N732" i="6"/>
  <c r="T732" i="10" s="1"/>
  <c r="AP732" i="10" s="1"/>
  <c r="S732" i="10"/>
  <c r="N369" i="6"/>
  <c r="T369" i="10" s="1"/>
  <c r="AP369" i="10" s="1"/>
  <c r="S369" i="10"/>
  <c r="N58" i="6"/>
  <c r="T58" i="10" s="1"/>
  <c r="AP58" i="10" s="1"/>
  <c r="S58" i="10"/>
  <c r="N13" i="6"/>
  <c r="T13" i="10" s="1"/>
  <c r="AP13" i="10" s="1"/>
  <c r="S13" i="10"/>
  <c r="N879" i="6"/>
  <c r="T879" i="10" s="1"/>
  <c r="AP879" i="10" s="1"/>
  <c r="S879" i="10"/>
  <c r="N852" i="6"/>
  <c r="T852" i="10" s="1"/>
  <c r="AP852" i="10" s="1"/>
  <c r="S852" i="10"/>
  <c r="N723" i="6"/>
  <c r="T723" i="10" s="1"/>
  <c r="S723" i="10"/>
  <c r="N687" i="6"/>
  <c r="T687" i="10" s="1"/>
  <c r="S687" i="10"/>
  <c r="N529" i="6"/>
  <c r="T529" i="10" s="1"/>
  <c r="S529" i="10"/>
  <c r="N361" i="6"/>
  <c r="T361" i="10" s="1"/>
  <c r="S361" i="10"/>
  <c r="N259" i="6"/>
  <c r="T259" i="10" s="1"/>
  <c r="S259" i="10"/>
  <c r="N159" i="6"/>
  <c r="T159" i="10" s="1"/>
  <c r="AP159" i="10" s="1"/>
  <c r="S159" i="10"/>
  <c r="N1118" i="6"/>
  <c r="T1118" i="10" s="1"/>
  <c r="S1118" i="10"/>
  <c r="N1030" i="6"/>
  <c r="T1030" i="10" s="1"/>
  <c r="S1030" i="10"/>
  <c r="N1026" i="6"/>
  <c r="T1026" i="10" s="1"/>
  <c r="AP1026" i="10" s="1"/>
  <c r="S1026" i="10"/>
  <c r="N1017" i="6"/>
  <c r="T1017" i="10" s="1"/>
  <c r="AP1017" i="10" s="1"/>
  <c r="S1017" i="10"/>
  <c r="N930" i="6"/>
  <c r="T930" i="10" s="1"/>
  <c r="AP930" i="10" s="1"/>
  <c r="S930" i="10"/>
  <c r="N605" i="6"/>
  <c r="T605" i="10" s="1"/>
  <c r="AP605" i="10" s="1"/>
  <c r="S605" i="10"/>
  <c r="N450" i="6"/>
  <c r="T450" i="10" s="1"/>
  <c r="AP450" i="10" s="1"/>
  <c r="S450" i="10"/>
  <c r="N145" i="6"/>
  <c r="T145" i="10" s="1"/>
  <c r="AP145" i="10" s="1"/>
  <c r="S145" i="10"/>
  <c r="N1104" i="6"/>
  <c r="T1104" i="10" s="1"/>
  <c r="S1104" i="10"/>
  <c r="N1012" i="6"/>
  <c r="T1012" i="10" s="1"/>
  <c r="S1012" i="10"/>
  <c r="N731" i="6"/>
  <c r="T731" i="10" s="1"/>
  <c r="AP731" i="10" s="1"/>
  <c r="S731" i="10"/>
  <c r="N539" i="6"/>
  <c r="T539" i="10" s="1"/>
  <c r="S539" i="10"/>
  <c r="N461" i="6"/>
  <c r="T461" i="10" s="1"/>
  <c r="AP461" i="10" s="1"/>
  <c r="S461" i="10"/>
  <c r="N357" i="6"/>
  <c r="T357" i="10" s="1"/>
  <c r="AP357" i="10" s="1"/>
  <c r="S357" i="10"/>
  <c r="N80" i="6"/>
  <c r="T80" i="10" s="1"/>
  <c r="AP80" i="10" s="1"/>
  <c r="S80" i="10"/>
  <c r="N1177" i="6"/>
  <c r="T1177" i="10" s="1"/>
  <c r="S1177" i="10"/>
  <c r="N747" i="6"/>
  <c r="T747" i="10" s="1"/>
  <c r="S747" i="10"/>
  <c r="N782" i="6"/>
  <c r="T782" i="10" s="1"/>
  <c r="AP782" i="10" s="1"/>
  <c r="S782" i="10"/>
  <c r="N274" i="6"/>
  <c r="T274" i="10" s="1"/>
  <c r="AP274" i="10" s="1"/>
  <c r="S274" i="10"/>
  <c r="N1148" i="6"/>
  <c r="T1148" i="10" s="1"/>
  <c r="AP1148" i="10" s="1"/>
  <c r="S1148" i="10"/>
  <c r="N851" i="6"/>
  <c r="T851" i="10" s="1"/>
  <c r="AP851" i="10" s="1"/>
  <c r="S851" i="10"/>
  <c r="N1111" i="6"/>
  <c r="T1111" i="10" s="1"/>
  <c r="S1111" i="10"/>
  <c r="N1027" i="6"/>
  <c r="T1027" i="10" s="1"/>
  <c r="AP1027" i="10" s="1"/>
  <c r="S1027" i="10"/>
  <c r="N700" i="6"/>
  <c r="T700" i="10" s="1"/>
  <c r="AP700" i="10" s="1"/>
  <c r="S700" i="10"/>
  <c r="N389" i="6"/>
  <c r="T389" i="10" s="1"/>
  <c r="AP389" i="10" s="1"/>
  <c r="S389" i="10"/>
  <c r="N1090" i="6"/>
  <c r="T1090" i="10" s="1"/>
  <c r="AP1090" i="10" s="1"/>
  <c r="S1090" i="10"/>
  <c r="N986" i="6"/>
  <c r="T986" i="10" s="1"/>
  <c r="AP986" i="10" s="1"/>
  <c r="S986" i="10"/>
  <c r="N860" i="6"/>
  <c r="T860" i="10" s="1"/>
  <c r="S860" i="10"/>
  <c r="N784" i="6"/>
  <c r="T784" i="10" s="1"/>
  <c r="S784" i="10"/>
  <c r="N1113" i="6"/>
  <c r="T1113" i="10" s="1"/>
  <c r="S1113" i="10"/>
  <c r="N836" i="6"/>
  <c r="T836" i="10" s="1"/>
  <c r="S836" i="10"/>
  <c r="N829" i="6"/>
  <c r="T829" i="10" s="1"/>
  <c r="AP829" i="10" s="1"/>
  <c r="S829" i="10"/>
  <c r="N822" i="6"/>
  <c r="T822" i="10" s="1"/>
  <c r="AP822" i="10" s="1"/>
  <c r="S822" i="10"/>
  <c r="N776" i="6"/>
  <c r="T776" i="10" s="1"/>
  <c r="S776" i="10"/>
  <c r="N1085" i="6"/>
  <c r="T1085" i="10" s="1"/>
  <c r="S1085" i="10"/>
  <c r="N794" i="6"/>
  <c r="T794" i="10" s="1"/>
  <c r="AP794" i="10" s="1"/>
  <c r="S794" i="10"/>
  <c r="N699" i="6"/>
  <c r="T699" i="10" s="1"/>
  <c r="AP699" i="10" s="1"/>
  <c r="S699" i="10"/>
  <c r="N692" i="6"/>
  <c r="T692" i="10" s="1"/>
  <c r="S692" i="10"/>
  <c r="N478" i="6"/>
  <c r="T478" i="10" s="1"/>
  <c r="AP478" i="10" s="1"/>
  <c r="S478" i="10"/>
  <c r="N1105" i="6"/>
  <c r="T1105" i="10" s="1"/>
  <c r="AP1105" i="10" s="1"/>
  <c r="S1105" i="10"/>
  <c r="N1071" i="6"/>
  <c r="T1071" i="10" s="1"/>
  <c r="AP1071" i="10" s="1"/>
  <c r="S1071" i="10"/>
  <c r="N932" i="6"/>
  <c r="T932" i="10" s="1"/>
  <c r="AP932" i="10" s="1"/>
  <c r="S932" i="10"/>
  <c r="N733" i="6"/>
  <c r="T733" i="10" s="1"/>
  <c r="S733" i="10"/>
  <c r="N726" i="6"/>
  <c r="T726" i="10" s="1"/>
  <c r="S726" i="10"/>
  <c r="N664" i="6"/>
  <c r="T664" i="10" s="1"/>
  <c r="S664" i="10"/>
  <c r="N1091" i="6"/>
  <c r="T1091" i="10" s="1"/>
  <c r="AP1091" i="10" s="1"/>
  <c r="S1091" i="10"/>
  <c r="N973" i="6"/>
  <c r="T973" i="10" s="1"/>
  <c r="AP973" i="10" s="1"/>
  <c r="S973" i="10"/>
  <c r="N959" i="6"/>
  <c r="T959" i="10" s="1"/>
  <c r="AP959" i="10" s="1"/>
  <c r="S959" i="10"/>
  <c r="N945" i="6"/>
  <c r="T945" i="10" s="1"/>
  <c r="AP945" i="10" s="1"/>
  <c r="S945" i="10"/>
  <c r="N883" i="6"/>
  <c r="T883" i="10" s="1"/>
  <c r="S883" i="10"/>
  <c r="N435" i="6"/>
  <c r="T435" i="10" s="1"/>
  <c r="S435" i="10"/>
  <c r="N353" i="6"/>
  <c r="T353" i="10" s="1"/>
  <c r="S353" i="10"/>
  <c r="N264" i="6"/>
  <c r="T264" i="10" s="1"/>
  <c r="AP264" i="10" s="1"/>
  <c r="S264" i="10"/>
  <c r="N71" i="6"/>
  <c r="T71" i="10" s="1"/>
  <c r="AP71" i="10" s="1"/>
  <c r="S71" i="10"/>
  <c r="N65" i="6"/>
  <c r="T65" i="10" s="1"/>
  <c r="S65" i="10"/>
  <c r="N44" i="6"/>
  <c r="T44" i="10" s="1"/>
  <c r="S44" i="10"/>
  <c r="N1179" i="6"/>
  <c r="T1179" i="10" s="1"/>
  <c r="AP1179" i="10" s="1"/>
  <c r="S1179" i="10"/>
  <c r="N917" i="6"/>
  <c r="T917" i="10" s="1"/>
  <c r="S917" i="10"/>
  <c r="N505" i="6"/>
  <c r="T505" i="10" s="1"/>
  <c r="S505" i="10"/>
  <c r="N394" i="6"/>
  <c r="T394" i="10" s="1"/>
  <c r="AP394" i="10" s="1"/>
  <c r="S394" i="10"/>
  <c r="N180" i="6"/>
  <c r="T180" i="10" s="1"/>
  <c r="AP180" i="10" s="1"/>
  <c r="S180" i="10"/>
  <c r="N139" i="6"/>
  <c r="T139" i="10" s="1"/>
  <c r="AP139" i="10" s="1"/>
  <c r="S139" i="10"/>
  <c r="N2" i="6"/>
  <c r="T2" i="10" s="1"/>
  <c r="AP2" i="10" s="1"/>
  <c r="S2" i="10"/>
  <c r="N889" i="6"/>
  <c r="T889" i="10" s="1"/>
  <c r="S889" i="10"/>
  <c r="N532" i="6"/>
  <c r="T532" i="10" s="1"/>
  <c r="AP532" i="10" s="1"/>
  <c r="S532" i="10"/>
  <c r="N490" i="6"/>
  <c r="T490" i="10" s="1"/>
  <c r="AP490" i="10" s="1"/>
  <c r="S490" i="10"/>
  <c r="N448" i="6"/>
  <c r="T448" i="10" s="1"/>
  <c r="AP448" i="10" s="1"/>
  <c r="S448" i="10"/>
  <c r="N338" i="6"/>
  <c r="T338" i="10" s="1"/>
  <c r="AP338" i="10" s="1"/>
  <c r="S338" i="10"/>
  <c r="N256" i="6"/>
  <c r="T256" i="10" s="1"/>
  <c r="AP256" i="10" s="1"/>
  <c r="S256" i="10"/>
  <c r="N84" i="6"/>
  <c r="T84" i="10" s="1"/>
  <c r="AP84" i="10" s="1"/>
  <c r="S84" i="10"/>
  <c r="N70" i="6"/>
  <c r="T70" i="10" s="1"/>
  <c r="AP70" i="10" s="1"/>
  <c r="S70" i="10"/>
  <c r="N1117" i="6"/>
  <c r="T1117" i="10" s="1"/>
  <c r="AP1117" i="10" s="1"/>
  <c r="S1117" i="10"/>
  <c r="N1041" i="6"/>
  <c r="T1041" i="10" s="1"/>
  <c r="AP1041" i="10" s="1"/>
  <c r="S1041" i="10"/>
  <c r="N923" i="6"/>
  <c r="T923" i="10" s="1"/>
  <c r="AP923" i="10" s="1"/>
  <c r="S923" i="10"/>
  <c r="N868" i="6"/>
  <c r="T868" i="10" s="1"/>
  <c r="AP868" i="10" s="1"/>
  <c r="S868" i="10"/>
  <c r="N580" i="6"/>
  <c r="T580" i="10" s="1"/>
  <c r="S580" i="10"/>
  <c r="N421" i="6"/>
  <c r="T421" i="10" s="1"/>
  <c r="S421" i="10"/>
  <c r="N407" i="6"/>
  <c r="T407" i="10" s="1"/>
  <c r="S407" i="10"/>
  <c r="N172" i="6"/>
  <c r="T172" i="10" s="1"/>
  <c r="S172" i="10"/>
  <c r="N56" i="6"/>
  <c r="T56" i="10" s="1"/>
  <c r="S56" i="10"/>
  <c r="N1040" i="6"/>
  <c r="T1040" i="10" s="1"/>
  <c r="AP1040" i="10" s="1"/>
  <c r="S1040" i="10"/>
  <c r="N873" i="6"/>
  <c r="T873" i="10" s="1"/>
  <c r="AP873" i="10" s="1"/>
  <c r="S873" i="10"/>
  <c r="N859" i="6"/>
  <c r="T859" i="10" s="1"/>
  <c r="S859" i="10"/>
  <c r="N825" i="6"/>
  <c r="T825" i="10" s="1"/>
  <c r="AP825" i="10" s="1"/>
  <c r="S825" i="10"/>
  <c r="N620" i="6"/>
  <c r="T620" i="10" s="1"/>
  <c r="AP620" i="10" s="1"/>
  <c r="S620" i="10"/>
  <c r="N439" i="6"/>
  <c r="T439" i="10" s="1"/>
  <c r="S439" i="10"/>
  <c r="N364" i="6"/>
  <c r="T364" i="10" s="1"/>
  <c r="S364" i="10"/>
  <c r="N157" i="6"/>
  <c r="T157" i="10" s="1"/>
  <c r="AP157" i="10" s="1"/>
  <c r="S157" i="10"/>
  <c r="N268" i="6"/>
  <c r="T268" i="10" s="1"/>
  <c r="AP268" i="10" s="1"/>
  <c r="S268" i="10"/>
  <c r="N109" i="6"/>
  <c r="T109" i="10" s="1"/>
  <c r="AP109" i="10" s="1"/>
  <c r="S109" i="10"/>
  <c r="N815" i="6"/>
  <c r="T815" i="10" s="1"/>
  <c r="AP815" i="10" s="1"/>
  <c r="S815" i="10"/>
  <c r="N195" i="6"/>
  <c r="T195" i="10" s="1"/>
  <c r="AP195" i="10" s="1"/>
  <c r="S195" i="10"/>
  <c r="N200" i="6"/>
  <c r="T200" i="10" s="1"/>
  <c r="AP200" i="10" s="1"/>
  <c r="S200" i="10"/>
  <c r="N1011" i="6"/>
  <c r="T1011" i="10" s="1"/>
  <c r="S1011" i="10"/>
  <c r="N1004" i="6"/>
  <c r="T1004" i="10" s="1"/>
  <c r="AP1004" i="10" s="1"/>
  <c r="S1004" i="10"/>
  <c r="N990" i="6"/>
  <c r="T990" i="10" s="1"/>
  <c r="AP990" i="10" s="1"/>
  <c r="S990" i="10"/>
  <c r="N962" i="6"/>
  <c r="T962" i="10" s="1"/>
  <c r="AP962" i="10" s="1"/>
  <c r="S962" i="10"/>
  <c r="N900" i="6"/>
  <c r="T900" i="10" s="1"/>
  <c r="AP900" i="10" s="1"/>
  <c r="S900" i="10"/>
  <c r="N803" i="6"/>
  <c r="T803" i="10" s="1"/>
  <c r="AP803" i="10" s="1"/>
  <c r="S803" i="10"/>
  <c r="N619" i="6"/>
  <c r="T619" i="10" s="1"/>
  <c r="AP619" i="10" s="1"/>
  <c r="S619" i="10"/>
  <c r="N536" i="6"/>
  <c r="T536" i="10" s="1"/>
  <c r="AP536" i="10" s="1"/>
  <c r="S536" i="10"/>
  <c r="N459" i="6"/>
  <c r="T459" i="10" s="1"/>
  <c r="AP459" i="10" s="1"/>
  <c r="S459" i="10"/>
  <c r="N452" i="6"/>
  <c r="T452" i="10" s="1"/>
  <c r="S452" i="10"/>
  <c r="N363" i="6"/>
  <c r="T363" i="10" s="1"/>
  <c r="S363" i="10"/>
  <c r="N335" i="6"/>
  <c r="T335" i="10" s="1"/>
  <c r="S335" i="10"/>
  <c r="N239" i="6"/>
  <c r="T239" i="10" s="1"/>
  <c r="S239" i="10"/>
  <c r="N899" i="6"/>
  <c r="T899" i="10" s="1"/>
  <c r="S899" i="10"/>
  <c r="N155" i="6"/>
  <c r="T155" i="10" s="1"/>
  <c r="S155" i="10"/>
  <c r="N11" i="6"/>
  <c r="T11" i="10" s="1"/>
  <c r="AP11" i="10" s="1"/>
  <c r="S11" i="10"/>
  <c r="N734" i="6"/>
  <c r="T734" i="10" s="1"/>
  <c r="AP734" i="10" s="1"/>
  <c r="S734" i="10"/>
  <c r="N576" i="6"/>
  <c r="T576" i="10" s="1"/>
  <c r="AP576" i="10" s="1"/>
  <c r="S576" i="10"/>
  <c r="N556" i="6"/>
  <c r="T556" i="10" s="1"/>
  <c r="AP556" i="10" s="1"/>
  <c r="S556" i="10"/>
  <c r="N913" i="6"/>
  <c r="T913" i="10" s="1"/>
  <c r="AP913" i="10" s="1"/>
  <c r="S913" i="10"/>
  <c r="N735" i="6"/>
  <c r="T735" i="10" s="1"/>
  <c r="S735" i="10"/>
  <c r="N280" i="6"/>
  <c r="T280" i="10" s="1"/>
  <c r="AP280" i="10" s="1"/>
  <c r="S280" i="10"/>
  <c r="N169" i="6"/>
  <c r="T169" i="10" s="1"/>
  <c r="AP169" i="10" s="1"/>
  <c r="S169" i="10"/>
  <c r="N60" i="6"/>
  <c r="T60" i="10" s="1"/>
  <c r="AP60" i="10" s="1"/>
  <c r="S60" i="10"/>
  <c r="N885" i="6"/>
  <c r="T885" i="10" s="1"/>
  <c r="S885" i="10"/>
  <c r="N871" i="6"/>
  <c r="T871" i="10" s="1"/>
  <c r="S871" i="10"/>
  <c r="N857" i="6"/>
  <c r="T857" i="10" s="1"/>
  <c r="AP857" i="10" s="1"/>
  <c r="S857" i="10"/>
  <c r="N376" i="6"/>
  <c r="T376" i="10" s="1"/>
  <c r="AP376" i="10" s="1"/>
  <c r="S376" i="10"/>
  <c r="N210" i="6"/>
  <c r="T210" i="10" s="1"/>
  <c r="S210" i="10"/>
  <c r="N370" i="6"/>
  <c r="T370" i="10" s="1"/>
  <c r="AP370" i="10" s="1"/>
  <c r="N1115" i="6"/>
  <c r="T1115" i="10" s="1"/>
  <c r="AP1115" i="10" s="1"/>
  <c r="N561" i="6"/>
  <c r="T561" i="10" s="1"/>
  <c r="AP561" i="10" s="1"/>
  <c r="N520" i="6"/>
  <c r="T520" i="10" s="1"/>
  <c r="N653" i="6"/>
  <c r="T653" i="10" s="1"/>
  <c r="AP653" i="10" s="1"/>
  <c r="N903" i="6"/>
  <c r="T903" i="10" s="1"/>
  <c r="AP903" i="10" s="1"/>
  <c r="N271" i="6"/>
  <c r="T271" i="10" s="1"/>
  <c r="N632" i="6"/>
  <c r="T632" i="10" s="1"/>
  <c r="N298" i="6"/>
  <c r="T298" i="10" s="1"/>
  <c r="N1193" i="6"/>
  <c r="T1193" i="10" s="1"/>
  <c r="N248" i="6"/>
  <c r="T248" i="10" s="1"/>
  <c r="AP248" i="10" s="1"/>
  <c r="M635" i="6"/>
  <c r="M799" i="6"/>
  <c r="M593" i="6"/>
  <c r="M621" i="6"/>
  <c r="M666" i="6"/>
  <c r="M269" i="6"/>
  <c r="M775" i="6"/>
  <c r="M104" i="6"/>
  <c r="M600" i="6"/>
  <c r="M215" i="6"/>
  <c r="M746" i="6"/>
  <c r="M231" i="6"/>
  <c r="M596" i="6"/>
  <c r="M670" i="6"/>
  <c r="M612" i="6"/>
  <c r="M1161" i="6"/>
  <c r="N497" i="6"/>
  <c r="T497" i="10" s="1"/>
  <c r="AP497" i="10" s="1"/>
  <c r="M175" i="6"/>
  <c r="M77" i="6"/>
  <c r="M273" i="6"/>
  <c r="M464" i="6"/>
  <c r="M750" i="6"/>
  <c r="M688" i="6"/>
  <c r="M416" i="6"/>
  <c r="M101" i="6"/>
  <c r="M961" i="6"/>
  <c r="M760" i="6"/>
  <c r="M1082" i="6"/>
  <c r="M62" i="6"/>
  <c r="M941" i="6"/>
  <c r="N1182" i="6"/>
  <c r="T1182" i="10" s="1"/>
  <c r="AP1182" i="10" s="1"/>
  <c r="N355" i="6"/>
  <c r="T355" i="10" s="1"/>
  <c r="AP355" i="10" s="1"/>
  <c r="N955" i="6"/>
  <c r="T955" i="10" s="1"/>
  <c r="AP955" i="10" s="1"/>
  <c r="N833" i="6"/>
  <c r="T833" i="10" s="1"/>
  <c r="N134" i="6"/>
  <c r="T134" i="10" s="1"/>
  <c r="AP134" i="10" s="1"/>
  <c r="N30" i="6"/>
  <c r="T30" i="10" s="1"/>
  <c r="AP30" i="10" s="1"/>
  <c r="N1145" i="6"/>
  <c r="T1145" i="10" s="1"/>
  <c r="AP1145" i="10" s="1"/>
  <c r="N327" i="6"/>
  <c r="T327" i="10" s="1"/>
  <c r="AP327" i="10" s="1"/>
  <c r="N876" i="6"/>
  <c r="T876" i="10" s="1"/>
  <c r="AP876" i="10" s="1"/>
  <c r="N515" i="6"/>
  <c r="T515" i="10" s="1"/>
  <c r="AP515" i="10" s="1"/>
  <c r="N487" i="6"/>
  <c r="T487" i="10" s="1"/>
  <c r="N309" i="6"/>
  <c r="T309" i="10" s="1"/>
  <c r="AP309" i="10" s="1"/>
  <c r="N114" i="6"/>
  <c r="T114" i="10" s="1"/>
  <c r="AP114" i="10" s="1"/>
  <c r="N1155" i="6"/>
  <c r="T1155" i="10" s="1"/>
  <c r="AP1155" i="10" s="1"/>
  <c r="N1047" i="6"/>
  <c r="T1047" i="10" s="1"/>
  <c r="AP1047" i="10" s="1"/>
  <c r="N950" i="6"/>
  <c r="T950" i="10" s="1"/>
  <c r="AP950" i="10" s="1"/>
  <c r="N736" i="6"/>
  <c r="T736" i="10" s="1"/>
  <c r="N707" i="6"/>
  <c r="T707" i="10" s="1"/>
  <c r="AP707" i="10" s="1"/>
  <c r="N483" i="6"/>
  <c r="T483" i="10" s="1"/>
  <c r="AP483" i="10" s="1"/>
  <c r="N704" i="6"/>
  <c r="T704" i="10" s="1"/>
  <c r="AP704" i="10" s="1"/>
  <c r="N1176" i="6"/>
  <c r="T1176" i="10" s="1"/>
  <c r="AP1176" i="10" s="1"/>
  <c r="N989" i="6"/>
  <c r="T989" i="10" s="1"/>
  <c r="AP989" i="10" s="1"/>
  <c r="N936" i="6"/>
  <c r="T936" i="10" s="1"/>
  <c r="AP936" i="10" s="1"/>
  <c r="N663" i="6"/>
  <c r="T663" i="10" s="1"/>
  <c r="N574" i="6"/>
  <c r="T574" i="10" s="1"/>
  <c r="AP574" i="10" s="1"/>
  <c r="N397" i="6"/>
  <c r="T397" i="10" s="1"/>
  <c r="AP397" i="10" s="1"/>
  <c r="N325" i="6"/>
  <c r="T325" i="10" s="1"/>
  <c r="AP325" i="10" s="1"/>
  <c r="N73" i="6"/>
  <c r="T73" i="10" s="1"/>
  <c r="AP73" i="10" s="1"/>
  <c r="N603" i="6"/>
  <c r="T603" i="10" s="1"/>
  <c r="AP603" i="10" s="1"/>
  <c r="N95" i="6"/>
  <c r="T95" i="10" s="1"/>
  <c r="AP95" i="10" s="1"/>
  <c r="N791" i="6"/>
  <c r="T791" i="10" s="1"/>
  <c r="N659" i="6"/>
  <c r="T659" i="10" s="1"/>
  <c r="AP659" i="10" s="1"/>
  <c r="N588" i="6"/>
  <c r="T588" i="10" s="1"/>
  <c r="AP588" i="10" s="1"/>
  <c r="N287" i="6"/>
  <c r="T287" i="10" s="1"/>
  <c r="AP287" i="10" s="1"/>
  <c r="N156" i="6"/>
  <c r="T156" i="10" s="1"/>
  <c r="AP156" i="10" s="1"/>
  <c r="N718" i="6"/>
  <c r="T718" i="10" s="1"/>
  <c r="N343" i="6"/>
  <c r="T343" i="10" s="1"/>
  <c r="N199" i="6"/>
  <c r="T199" i="10" s="1"/>
  <c r="N866" i="6"/>
  <c r="T866" i="10" s="1"/>
  <c r="N342" i="6"/>
  <c r="T342" i="10" s="1"/>
  <c r="AP342" i="10" s="1"/>
  <c r="N1190" i="6"/>
  <c r="T1190" i="10" s="1"/>
  <c r="AP1190" i="10" s="1"/>
  <c r="N537" i="6"/>
  <c r="T537" i="10" s="1"/>
  <c r="AP537" i="10" s="1"/>
  <c r="N455" i="6"/>
  <c r="T455" i="10" s="1"/>
  <c r="AP455" i="10" s="1"/>
  <c r="N444" i="6"/>
  <c r="T444" i="10" s="1"/>
  <c r="AP444" i="10" s="1"/>
  <c r="N1158" i="6"/>
  <c r="T1158" i="10" s="1"/>
  <c r="AP1158" i="10" s="1"/>
  <c r="N404" i="6"/>
  <c r="T404" i="10" s="1"/>
  <c r="AP404" i="10" s="1"/>
  <c r="N956" i="6"/>
  <c r="T956" i="10" s="1"/>
  <c r="AP956" i="10" s="1"/>
  <c r="N855" i="6"/>
  <c r="T855" i="10" s="1"/>
  <c r="AP855" i="10" s="1"/>
  <c r="N607" i="6"/>
  <c r="T607" i="10" s="1"/>
  <c r="N564" i="6"/>
  <c r="T564" i="10" s="1"/>
  <c r="N983" i="6"/>
  <c r="T983" i="10" s="1"/>
  <c r="AP983" i="10" s="1"/>
  <c r="N882" i="6"/>
  <c r="T882" i="10" s="1"/>
  <c r="AP882" i="10" s="1"/>
  <c r="N606" i="6"/>
  <c r="T606" i="10" s="1"/>
  <c r="N572" i="6"/>
  <c r="T572" i="10" s="1"/>
  <c r="AP572" i="10" s="1"/>
  <c r="N315" i="6"/>
  <c r="T315" i="10" s="1"/>
  <c r="AP315" i="10" s="1"/>
  <c r="N263" i="6"/>
  <c r="T263" i="10" s="1"/>
  <c r="AP263" i="10" s="1"/>
  <c r="N149" i="6"/>
  <c r="T149" i="10" s="1"/>
  <c r="AP149" i="10" s="1"/>
  <c r="N466" i="6"/>
  <c r="T466" i="10" s="1"/>
  <c r="AP466" i="10" s="1"/>
  <c r="N543" i="6"/>
  <c r="T543" i="10" s="1"/>
  <c r="AP543" i="10" s="1"/>
  <c r="N454" i="6"/>
  <c r="T454" i="10" s="1"/>
  <c r="AP454" i="10" s="1"/>
  <c r="N614" i="6"/>
  <c r="T614" i="10" s="1"/>
  <c r="AP614" i="10" s="1"/>
  <c r="N81" i="6"/>
  <c r="T81" i="10" s="1"/>
  <c r="AP81" i="10" s="1"/>
  <c r="N428" i="6"/>
  <c r="T428" i="10" s="1"/>
  <c r="AP428" i="10" s="1"/>
  <c r="N1163" i="6"/>
  <c r="T1163" i="10" s="1"/>
  <c r="N922" i="6"/>
  <c r="T922" i="10" s="1"/>
  <c r="AP922" i="10" s="1"/>
  <c r="N744" i="6"/>
  <c r="T744" i="10" s="1"/>
  <c r="AP744" i="10" s="1"/>
  <c r="N523" i="6"/>
  <c r="T523" i="10" s="1"/>
  <c r="N514" i="6"/>
  <c r="T514" i="10" s="1"/>
  <c r="N297" i="6"/>
  <c r="T297" i="10" s="1"/>
  <c r="AP297" i="10" s="1"/>
  <c r="N230" i="6"/>
  <c r="T230" i="10" s="1"/>
  <c r="N729" i="6"/>
  <c r="T729" i="10" s="1"/>
  <c r="AP729" i="10" s="1"/>
  <c r="N1138" i="6"/>
  <c r="T1138" i="10" s="1"/>
  <c r="AP1138" i="10" s="1"/>
  <c r="N1006" i="6"/>
  <c r="T1006" i="10" s="1"/>
  <c r="AP1006" i="10" s="1"/>
  <c r="N804" i="6"/>
  <c r="T804" i="10" s="1"/>
  <c r="AP804" i="10" s="1"/>
  <c r="N241" i="6"/>
  <c r="T241" i="10" s="1"/>
  <c r="N489" i="6"/>
  <c r="T489" i="10" s="1"/>
  <c r="AP489" i="10" s="1"/>
  <c r="N192" i="6"/>
  <c r="T192" i="10" s="1"/>
  <c r="AP192" i="10" s="1"/>
  <c r="N400" i="6"/>
  <c r="T400" i="10" s="1"/>
  <c r="AP400" i="10" s="1"/>
  <c r="N847" i="6"/>
  <c r="T847" i="10" s="1"/>
  <c r="N633" i="6"/>
  <c r="T633" i="10" s="1"/>
  <c r="AP633" i="10" s="1"/>
  <c r="N345" i="6"/>
  <c r="T345" i="10" s="1"/>
  <c r="AP345" i="10" s="1"/>
  <c r="N1021" i="6"/>
  <c r="T1021" i="10" s="1"/>
  <c r="AP1021" i="10" s="1"/>
  <c r="N427" i="6"/>
  <c r="T427" i="10" s="1"/>
  <c r="AP427" i="10" s="1"/>
  <c r="N217" i="6"/>
  <c r="T217" i="10" s="1"/>
  <c r="AP217" i="10" s="1"/>
  <c r="N272" i="6"/>
  <c r="T272" i="10" s="1"/>
  <c r="AP272" i="10" s="1"/>
  <c r="N877" i="6"/>
  <c r="T877" i="10" s="1"/>
  <c r="AP877" i="10" s="1"/>
  <c r="N249" i="6"/>
  <c r="T249" i="10" s="1"/>
  <c r="AP249" i="10" s="1"/>
  <c r="N1062" i="6"/>
  <c r="T1062" i="10" s="1"/>
  <c r="AP1062" i="10" s="1"/>
  <c r="N76" i="6"/>
  <c r="T76" i="10" s="1"/>
  <c r="AP76" i="10" s="1"/>
  <c r="N646" i="6"/>
  <c r="T646" i="10" s="1"/>
  <c r="N49" i="6"/>
  <c r="T49" i="10" s="1"/>
  <c r="N485" i="6"/>
  <c r="T485" i="10" s="1"/>
  <c r="AP485" i="10" s="1"/>
  <c r="N403" i="6"/>
  <c r="T403" i="10" s="1"/>
  <c r="N153" i="6"/>
  <c r="T153" i="10" s="1"/>
  <c r="N975" i="6"/>
  <c r="T975" i="10" s="1"/>
  <c r="AP975" i="10" s="1"/>
  <c r="N558" i="6"/>
  <c r="T558" i="10" s="1"/>
  <c r="AP558" i="10" s="1"/>
  <c r="N727" i="6"/>
  <c r="T727" i="10" s="1"/>
  <c r="AP727" i="10" s="1"/>
  <c r="N100" i="6"/>
  <c r="T100" i="10" s="1"/>
  <c r="AP100" i="10" s="1"/>
  <c r="N1005" i="6"/>
  <c r="T1005" i="10" s="1"/>
  <c r="AP1005" i="10" s="1"/>
  <c r="N912" i="6"/>
  <c r="T912" i="10" s="1"/>
  <c r="AP912" i="10" s="1"/>
  <c r="N201" i="6"/>
  <c r="T201" i="10" s="1"/>
  <c r="AP201" i="10" s="1"/>
  <c r="N929" i="6"/>
  <c r="T929" i="10" s="1"/>
  <c r="AP929" i="10" s="1"/>
  <c r="N442" i="6"/>
  <c r="T442" i="10" s="1"/>
  <c r="AP442" i="10" s="1"/>
  <c r="N311" i="6"/>
  <c r="T311" i="10" s="1"/>
  <c r="AP311" i="10" s="1"/>
  <c r="N362" i="6"/>
  <c r="T362" i="10" s="1"/>
  <c r="AP362" i="10" s="1"/>
  <c r="N832" i="6"/>
  <c r="T832" i="10" s="1"/>
  <c r="N683" i="6"/>
  <c r="T683" i="10" s="1"/>
  <c r="AP683" i="10" s="1"/>
  <c r="N645" i="6"/>
  <c r="T645" i="10" s="1"/>
  <c r="AP645" i="10" s="1"/>
  <c r="N988" i="6"/>
  <c r="T988" i="10" s="1"/>
  <c r="N773" i="6"/>
  <c r="T773" i="10" s="1"/>
  <c r="AP773" i="10" s="1"/>
  <c r="N422" i="6"/>
  <c r="T422" i="10" s="1"/>
  <c r="AP422" i="10" s="1"/>
  <c r="N1114" i="6"/>
  <c r="T1114" i="10" s="1"/>
  <c r="N457" i="6"/>
  <c r="T457" i="10" s="1"/>
  <c r="AP457" i="10" s="1"/>
  <c r="N207" i="6"/>
  <c r="T207" i="10" s="1"/>
  <c r="AP207" i="10" s="1"/>
  <c r="N386" i="6"/>
  <c r="T386" i="10" s="1"/>
  <c r="AP386" i="10" s="1"/>
  <c r="N91" i="6"/>
  <c r="T91" i="10" s="1"/>
  <c r="AP91" i="10" s="1"/>
  <c r="N691" i="6"/>
  <c r="T691" i="10" s="1"/>
  <c r="N33" i="6"/>
  <c r="T33" i="10" s="1"/>
  <c r="AP33" i="10" s="1"/>
  <c r="N1112" i="6"/>
  <c r="T1112" i="10" s="1"/>
  <c r="AP1112" i="10" s="1"/>
  <c r="N93" i="6"/>
  <c r="T93" i="10" s="1"/>
  <c r="AP93" i="10" s="1"/>
  <c r="N944" i="6"/>
  <c r="T944" i="10" s="1"/>
  <c r="AP944" i="10" s="1"/>
  <c r="N1095" i="6"/>
  <c r="T1095" i="10" s="1"/>
  <c r="N698" i="6"/>
  <c r="T698" i="10" s="1"/>
  <c r="AP698" i="10" s="1"/>
  <c r="N336" i="6"/>
  <c r="T336" i="10" s="1"/>
  <c r="N779" i="6"/>
  <c r="T779" i="10" s="1"/>
  <c r="N220" i="6"/>
  <c r="T220" i="10" s="1"/>
  <c r="AP220" i="10" s="1"/>
  <c r="N599" i="6"/>
  <c r="T599" i="10" s="1"/>
  <c r="AP599" i="10" s="1"/>
  <c r="N869" i="6"/>
  <c r="T869" i="10" s="1"/>
  <c r="AP869" i="10" s="1"/>
  <c r="N1128" i="6"/>
  <c r="T1128" i="10" s="1"/>
  <c r="AP1128" i="10" s="1"/>
  <c r="N1178" i="6"/>
  <c r="T1178" i="10" s="1"/>
  <c r="AP1178" i="10" s="1"/>
  <c r="N1142" i="6"/>
  <c r="T1142" i="10" s="1"/>
  <c r="AP1142" i="10" s="1"/>
  <c r="N446" i="6"/>
  <c r="T446" i="10" s="1"/>
  <c r="AP446" i="10" s="1"/>
  <c r="N408" i="6"/>
  <c r="T408" i="10" s="1"/>
  <c r="N601" i="6"/>
  <c r="T601" i="10" s="1"/>
  <c r="N976" i="6"/>
  <c r="T976" i="10" s="1"/>
  <c r="N966" i="6"/>
  <c r="T966" i="10" s="1"/>
  <c r="AP966" i="10" s="1"/>
  <c r="N622" i="6"/>
  <c r="T622" i="10" s="1"/>
  <c r="N166" i="6"/>
  <c r="T166" i="10" s="1"/>
  <c r="N802" i="6"/>
  <c r="T802" i="10" s="1"/>
  <c r="N277" i="6"/>
  <c r="T277" i="10" s="1"/>
  <c r="N1061" i="6"/>
  <c r="T1061" i="10" s="1"/>
  <c r="AP1061" i="10" s="1"/>
  <c r="N1170" i="6"/>
  <c r="T1170" i="10" s="1"/>
  <c r="AP1170" i="10" s="1"/>
  <c r="N809" i="6"/>
  <c r="T809" i="10" s="1"/>
  <c r="AP809" i="10" s="1"/>
  <c r="N59" i="6"/>
  <c r="T59" i="10" s="1"/>
  <c r="AP59" i="10" s="1"/>
  <c r="N772" i="6"/>
  <c r="T772" i="10" s="1"/>
  <c r="AP772" i="10" s="1"/>
  <c r="N135" i="6"/>
  <c r="T135" i="10" s="1"/>
  <c r="AP135" i="10" s="1"/>
  <c r="N431" i="6"/>
  <c r="T431" i="10" s="1"/>
  <c r="N840" i="6"/>
  <c r="T840" i="10" s="1"/>
  <c r="AP840" i="10" s="1"/>
  <c r="N131" i="6"/>
  <c r="T131" i="10" s="1"/>
  <c r="N677" i="6"/>
  <c r="T677" i="10" s="1"/>
  <c r="AP677" i="10" s="1"/>
  <c r="N584" i="6"/>
  <c r="T584" i="10" s="1"/>
  <c r="AP584" i="10" s="1"/>
  <c r="N615" i="6"/>
  <c r="T615" i="10" s="1"/>
  <c r="AP615" i="10" s="1"/>
  <c r="N1009" i="6"/>
  <c r="T1009" i="10" s="1"/>
  <c r="AP1009" i="10" s="1"/>
  <c r="N892" i="6"/>
  <c r="T892" i="10" s="1"/>
  <c r="AP892" i="10" s="1"/>
  <c r="N819" i="6"/>
  <c r="T819" i="10" s="1"/>
  <c r="AP819" i="10" s="1"/>
  <c r="N787" i="6"/>
  <c r="T787" i="10" s="1"/>
  <c r="N333" i="6"/>
  <c r="T333" i="10" s="1"/>
  <c r="AP333" i="10" s="1"/>
  <c r="N474" i="6"/>
  <c r="T474" i="10" s="1"/>
  <c r="AP474" i="10" s="1"/>
  <c r="N890" i="6"/>
  <c r="T890" i="10" s="1"/>
  <c r="AP890" i="10" s="1"/>
  <c r="N1188" i="6"/>
  <c r="T1188" i="10" s="1"/>
  <c r="AP1188" i="10" s="1"/>
  <c r="N286" i="6"/>
  <c r="T286" i="10" s="1"/>
  <c r="N905" i="6"/>
  <c r="T905" i="10" s="1"/>
  <c r="AP905" i="10" s="1"/>
  <c r="N696" i="6"/>
  <c r="T696" i="10" s="1"/>
  <c r="AP696" i="10" s="1"/>
  <c r="N496" i="6"/>
  <c r="T496" i="10" s="1"/>
  <c r="AP496" i="10" s="1"/>
  <c r="N640" i="6"/>
  <c r="T640" i="10" s="1"/>
  <c r="N559" i="6"/>
  <c r="T559" i="10" s="1"/>
  <c r="AP559" i="10" s="1"/>
  <c r="N1127" i="6"/>
  <c r="T1127" i="10" s="1"/>
  <c r="N856" i="6"/>
  <c r="T856" i="10" s="1"/>
  <c r="AP856" i="10" s="1"/>
  <c r="N759" i="6"/>
  <c r="T759" i="10" s="1"/>
  <c r="AP759" i="10" s="1"/>
  <c r="N982" i="6"/>
  <c r="T982" i="10" s="1"/>
  <c r="AP982" i="10" s="1"/>
  <c r="N816" i="6"/>
  <c r="T816" i="10" s="1"/>
  <c r="AP816" i="10" s="1"/>
  <c r="N937" i="6"/>
  <c r="T937" i="10" s="1"/>
  <c r="AP937" i="10" s="1"/>
  <c r="N667" i="6"/>
  <c r="T667" i="10" s="1"/>
  <c r="N637" i="6"/>
  <c r="T637" i="10" s="1"/>
  <c r="AP637" i="10" s="1"/>
  <c r="N140" i="6"/>
  <c r="T140" i="10" s="1"/>
  <c r="AP140" i="10" s="1"/>
  <c r="N714" i="6"/>
  <c r="T714" i="10" s="1"/>
  <c r="N1144" i="6"/>
  <c r="T1144" i="10" s="1"/>
  <c r="AP1144" i="10" s="1"/>
  <c r="N530" i="6"/>
  <c r="T530" i="10" s="1"/>
  <c r="N676" i="6"/>
  <c r="T676" i="10" s="1"/>
  <c r="N1121" i="6"/>
  <c r="T1121" i="10" s="1"/>
  <c r="N46" i="6"/>
  <c r="T46" i="10" s="1"/>
  <c r="N170" i="6"/>
  <c r="T170" i="10" s="1"/>
  <c r="N846" i="6"/>
  <c r="T846" i="10" s="1"/>
  <c r="AP846" i="10" s="1"/>
  <c r="N669" i="6"/>
  <c r="T669" i="10" s="1"/>
  <c r="AP669" i="10" s="1"/>
  <c r="N891" i="6"/>
  <c r="T891" i="10" s="1"/>
  <c r="AP891" i="10" s="1"/>
  <c r="N162" i="6"/>
  <c r="T162" i="10" s="1"/>
  <c r="AP162" i="10" s="1"/>
  <c r="N278" i="6"/>
  <c r="T278" i="10" s="1"/>
  <c r="AP278" i="10" s="1"/>
  <c r="N919" i="6"/>
  <c r="T919" i="10" s="1"/>
  <c r="AP919" i="10" s="1"/>
  <c r="N229" i="6"/>
  <c r="T229" i="10" s="1"/>
  <c r="N1096" i="6"/>
  <c r="T1096" i="10" s="1"/>
  <c r="N409" i="6"/>
  <c r="T409" i="10" s="1"/>
  <c r="AP409" i="10" s="1"/>
  <c r="N771" i="6"/>
  <c r="T771" i="10" s="1"/>
  <c r="N1037" i="6"/>
  <c r="T1037" i="10" s="1"/>
  <c r="AP1037" i="10" s="1"/>
  <c r="N216" i="6"/>
  <c r="T216" i="10" s="1"/>
  <c r="N1034" i="6"/>
  <c r="T1034" i="10" s="1"/>
  <c r="N510" i="6"/>
  <c r="T510" i="10" s="1"/>
  <c r="N401" i="6"/>
  <c r="T401" i="10" s="1"/>
  <c r="AP401" i="10" s="1"/>
  <c r="N237" i="6"/>
  <c r="T237" i="10" s="1"/>
  <c r="AP237" i="10" s="1"/>
  <c r="N293" i="6"/>
  <c r="T293" i="10" s="1"/>
  <c r="AP293" i="10" s="1"/>
  <c r="N652" i="6"/>
  <c r="T652" i="10" s="1"/>
  <c r="AP652" i="10" s="1"/>
  <c r="N204" i="6"/>
  <c r="T204" i="10" s="1"/>
  <c r="AP204" i="10" s="1"/>
  <c r="N1187" i="6"/>
  <c r="T1187" i="10" s="1"/>
  <c r="AP1187" i="10" s="1"/>
  <c r="N1143" i="6"/>
  <c r="T1143" i="10" s="1"/>
  <c r="AP1143" i="10" s="1"/>
  <c r="N1088" i="6"/>
  <c r="T1088" i="10" s="1"/>
  <c r="AP1088" i="10" s="1"/>
  <c r="N1028" i="6"/>
  <c r="T1028" i="10" s="1"/>
  <c r="N974" i="6"/>
  <c r="T974" i="10" s="1"/>
  <c r="N853" i="6"/>
  <c r="T853" i="10" s="1"/>
  <c r="AP853" i="10" s="1"/>
  <c r="N838" i="6"/>
  <c r="T838" i="10" s="1"/>
  <c r="AP838" i="10" s="1"/>
  <c r="N817" i="6"/>
  <c r="T817" i="10" s="1"/>
  <c r="N801" i="6"/>
  <c r="T801" i="10" s="1"/>
  <c r="N749" i="6"/>
  <c r="T749" i="10" s="1"/>
  <c r="AP749" i="10" s="1"/>
  <c r="N713" i="6"/>
  <c r="T713" i="10" s="1"/>
  <c r="AP713" i="10" s="1"/>
  <c r="N705" i="6"/>
  <c r="T705" i="10" s="1"/>
  <c r="AP705" i="10" s="1"/>
  <c r="I354" i="10"/>
  <c r="J354" i="10" s="1"/>
  <c r="F447" i="10"/>
  <c r="I243" i="10"/>
  <c r="J243" i="10" s="1"/>
  <c r="F1165" i="10"/>
  <c r="I391" i="10"/>
  <c r="J391" i="10" s="1"/>
  <c r="H442" i="10"/>
  <c r="H360" i="10"/>
  <c r="I880" i="10"/>
  <c r="J880" i="10" s="1"/>
  <c r="H681" i="10"/>
  <c r="H619" i="10"/>
  <c r="H1081" i="10"/>
  <c r="H927" i="10"/>
  <c r="H514" i="10"/>
  <c r="H370" i="10"/>
  <c r="H1111" i="10"/>
  <c r="H1087" i="10"/>
  <c r="H926" i="10"/>
  <c r="H731" i="10"/>
  <c r="H737" i="10"/>
  <c r="H829" i="10"/>
  <c r="H665" i="10"/>
  <c r="H466" i="10"/>
  <c r="H608" i="10"/>
  <c r="H481" i="10"/>
  <c r="H377" i="10"/>
  <c r="H29" i="10"/>
  <c r="H12" i="10"/>
  <c r="H64" i="10"/>
  <c r="H403" i="10"/>
  <c r="H214" i="10"/>
  <c r="H447" i="10"/>
  <c r="R447" i="10" s="1"/>
  <c r="H909" i="10"/>
  <c r="H957" i="10"/>
  <c r="H916" i="10"/>
  <c r="H779" i="10"/>
  <c r="H696" i="10"/>
  <c r="H604" i="10"/>
  <c r="H536" i="10"/>
  <c r="H706" i="10"/>
  <c r="H297" i="10"/>
  <c r="H224" i="10"/>
  <c r="H114" i="10"/>
  <c r="H27" i="10"/>
  <c r="H589" i="10"/>
  <c r="H563" i="10"/>
  <c r="H571" i="10"/>
  <c r="H392" i="10"/>
  <c r="H268" i="10"/>
  <c r="H245" i="10"/>
  <c r="H249" i="10"/>
  <c r="H364" i="10"/>
  <c r="H286" i="10"/>
  <c r="H180" i="10"/>
  <c r="H207" i="10"/>
  <c r="H189" i="10"/>
  <c r="H1000" i="10"/>
  <c r="H582" i="10"/>
  <c r="H473" i="10"/>
  <c r="H639" i="10"/>
  <c r="H241" i="10"/>
  <c r="H275" i="10"/>
  <c r="H1136" i="10"/>
  <c r="H999" i="10"/>
  <c r="H1033" i="10"/>
  <c r="H771" i="10"/>
  <c r="H690" i="10"/>
  <c r="H686" i="10"/>
  <c r="H592" i="10"/>
  <c r="H459" i="10"/>
  <c r="H119" i="10"/>
  <c r="H223" i="10"/>
  <c r="H15" i="10"/>
  <c r="H18" i="10"/>
  <c r="H1064" i="10"/>
  <c r="H1041" i="10"/>
  <c r="H1021" i="10"/>
  <c r="H1036" i="10"/>
  <c r="H991" i="10"/>
  <c r="H875" i="10"/>
  <c r="H883" i="10"/>
  <c r="H964" i="10"/>
  <c r="H773" i="10"/>
  <c r="H687" i="10"/>
  <c r="H640" i="10"/>
  <c r="H653" i="10"/>
  <c r="H501" i="10"/>
  <c r="H246" i="10"/>
  <c r="H126" i="10"/>
  <c r="H82" i="10"/>
  <c r="H258" i="10"/>
  <c r="H1174" i="10"/>
  <c r="H1101" i="10"/>
  <c r="H1025" i="10"/>
  <c r="H876" i="10"/>
  <c r="H725" i="10"/>
  <c r="H831" i="10"/>
  <c r="H715" i="10"/>
  <c r="H659" i="10"/>
  <c r="H611" i="10"/>
  <c r="H529" i="10"/>
  <c r="H561" i="10"/>
  <c r="I539" i="10"/>
  <c r="J539" i="10" s="1"/>
  <c r="H502" i="10"/>
  <c r="H296" i="10"/>
  <c r="H242" i="10"/>
  <c r="H106" i="10"/>
  <c r="H78" i="10"/>
  <c r="H1167" i="10"/>
  <c r="H1146" i="10"/>
  <c r="H983" i="10"/>
  <c r="H911" i="10"/>
  <c r="H941" i="10"/>
  <c r="H918" i="10"/>
  <c r="H1007" i="10"/>
  <c r="H806" i="10"/>
  <c r="H901" i="10"/>
  <c r="H853" i="10"/>
  <c r="H728" i="10"/>
  <c r="H645" i="10"/>
  <c r="H445" i="10"/>
  <c r="H554" i="10"/>
  <c r="H557" i="10"/>
  <c r="H384" i="10"/>
  <c r="H1079" i="10"/>
  <c r="H1062" i="10"/>
  <c r="H1089" i="10"/>
  <c r="H1052" i="10"/>
  <c r="H998" i="10"/>
  <c r="H968" i="10"/>
  <c r="H992" i="10"/>
  <c r="H987" i="10"/>
  <c r="H842" i="10"/>
  <c r="H885" i="10"/>
  <c r="H845" i="10"/>
  <c r="H679" i="10"/>
  <c r="H783" i="10"/>
  <c r="H618" i="10"/>
  <c r="H205" i="10"/>
  <c r="H294" i="10"/>
  <c r="H303" i="10"/>
  <c r="H1189" i="10"/>
  <c r="H1137" i="10"/>
  <c r="H1126" i="10"/>
  <c r="H1113" i="10"/>
  <c r="H1049" i="10"/>
  <c r="H791" i="10"/>
  <c r="H838" i="10"/>
  <c r="H809" i="10"/>
  <c r="H284" i="10"/>
  <c r="H6" i="10"/>
  <c r="H1191" i="10"/>
  <c r="H1184" i="10"/>
  <c r="H1153" i="10"/>
  <c r="H1160" i="10"/>
  <c r="H1139" i="10"/>
  <c r="H1132" i="10"/>
  <c r="H1151" i="10"/>
  <c r="H1054" i="10"/>
  <c r="H1112" i="10"/>
  <c r="H990" i="10"/>
  <c r="H1082" i="10"/>
  <c r="H965" i="10"/>
  <c r="H988" i="10"/>
  <c r="H843" i="10"/>
  <c r="H644" i="10"/>
  <c r="H807" i="10"/>
  <c r="H92" i="10"/>
  <c r="H1154" i="10"/>
  <c r="R1154" i="10" s="1"/>
  <c r="H539" i="10"/>
  <c r="H1177" i="10"/>
  <c r="H1170" i="10"/>
  <c r="H1128" i="10"/>
  <c r="H1129" i="10"/>
  <c r="H782" i="10"/>
  <c r="H777" i="10"/>
  <c r="H786" i="10"/>
  <c r="H892" i="10"/>
  <c r="H281" i="10"/>
  <c r="H419" i="10"/>
  <c r="H263" i="10"/>
  <c r="H314" i="10"/>
  <c r="H197" i="10"/>
  <c r="H174" i="10"/>
  <c r="H981" i="10"/>
  <c r="H723" i="10"/>
  <c r="H383" i="10"/>
  <c r="H1163" i="10"/>
  <c r="H1175" i="10"/>
  <c r="H1118" i="10"/>
  <c r="H1125" i="10"/>
  <c r="H869" i="10"/>
  <c r="H937" i="10"/>
  <c r="H855" i="10"/>
  <c r="H881" i="10"/>
  <c r="H919" i="10"/>
  <c r="H834" i="10"/>
  <c r="H339" i="10"/>
  <c r="H279" i="10"/>
  <c r="H257" i="10"/>
  <c r="H372" i="10"/>
  <c r="H305" i="10"/>
  <c r="H395" i="10"/>
  <c r="H196" i="10"/>
  <c r="H33" i="10"/>
  <c r="H183" i="10"/>
  <c r="H1104" i="10"/>
  <c r="H1105" i="10"/>
  <c r="H1075" i="10"/>
  <c r="H874" i="10"/>
  <c r="H955" i="10"/>
  <c r="H632" i="10"/>
  <c r="H394" i="10"/>
  <c r="H330" i="10"/>
  <c r="H253" i="10"/>
  <c r="H288" i="10"/>
  <c r="H212" i="10"/>
  <c r="H367" i="10"/>
  <c r="H91" i="10"/>
  <c r="H351" i="10"/>
  <c r="H889" i="10"/>
  <c r="I889" i="10"/>
  <c r="J889" i="10" s="1"/>
  <c r="H1034" i="10"/>
  <c r="I1034" i="10"/>
  <c r="J1034" i="10" s="1"/>
  <c r="H847" i="10"/>
  <c r="F847" i="10"/>
  <c r="H332" i="10"/>
  <c r="F332" i="10"/>
  <c r="H859" i="10"/>
  <c r="F859" i="10"/>
  <c r="I859" i="10"/>
  <c r="J859" i="10" s="1"/>
  <c r="H823" i="10"/>
  <c r="I823" i="10"/>
  <c r="J823" i="10" s="1"/>
  <c r="H1119" i="10"/>
  <c r="I1119" i="10"/>
  <c r="J1119" i="10" s="1"/>
  <c r="F1119" i="10"/>
  <c r="H647" i="10"/>
  <c r="I647" i="10"/>
  <c r="J647" i="10" s="1"/>
  <c r="F647" i="10"/>
  <c r="H62" i="10"/>
  <c r="F62" i="10"/>
  <c r="I62" i="10"/>
  <c r="J62" i="10" s="1"/>
  <c r="H376" i="10"/>
  <c r="I376" i="10"/>
  <c r="J376" i="10" s="1"/>
  <c r="F376" i="10"/>
  <c r="H900" i="10"/>
  <c r="I900" i="10"/>
  <c r="J900" i="10" s="1"/>
  <c r="F900" i="10"/>
  <c r="H940" i="10"/>
  <c r="F940" i="10"/>
  <c r="H498" i="10"/>
  <c r="F498" i="10"/>
  <c r="I498" i="10"/>
  <c r="J498" i="10" s="1"/>
  <c r="H509" i="10"/>
  <c r="F509" i="10"/>
  <c r="H1182" i="10"/>
  <c r="H1091" i="10"/>
  <c r="H1121" i="10"/>
  <c r="H895" i="10"/>
  <c r="H929" i="10"/>
  <c r="H953" i="10"/>
  <c r="H762" i="10"/>
  <c r="H938" i="10"/>
  <c r="H961" i="10"/>
  <c r="H745" i="10"/>
  <c r="H860" i="10"/>
  <c r="H729" i="10"/>
  <c r="H801" i="10"/>
  <c r="H651" i="10"/>
  <c r="H648" i="10"/>
  <c r="H741" i="10"/>
  <c r="H712" i="10"/>
  <c r="H685" i="10"/>
  <c r="H720" i="10"/>
  <c r="H438" i="10"/>
  <c r="H643" i="10"/>
  <c r="H519" i="10"/>
  <c r="H322" i="10"/>
  <c r="H289" i="10"/>
  <c r="H69" i="10"/>
  <c r="H111" i="10"/>
  <c r="H374" i="10"/>
  <c r="H336" i="10"/>
  <c r="H66" i="10"/>
  <c r="H37" i="10"/>
  <c r="H83" i="10"/>
  <c r="H13" i="10"/>
  <c r="H20" i="10"/>
  <c r="H11" i="10"/>
  <c r="H17" i="10"/>
  <c r="H10" i="10"/>
  <c r="H1169" i="10"/>
  <c r="H1150" i="10"/>
  <c r="H1162" i="10"/>
  <c r="H1143" i="10"/>
  <c r="H939" i="10"/>
  <c r="H870" i="10"/>
  <c r="H912" i="10"/>
  <c r="H733" i="10"/>
  <c r="H764" i="10"/>
  <c r="H738" i="10"/>
  <c r="H663" i="10"/>
  <c r="H607" i="10"/>
  <c r="H591" i="10"/>
  <c r="H565" i="10"/>
  <c r="H495" i="10"/>
  <c r="H415" i="10"/>
  <c r="H613" i="10"/>
  <c r="H311" i="10"/>
  <c r="H65" i="10"/>
  <c r="H101" i="10"/>
  <c r="H976" i="10"/>
  <c r="H888" i="10"/>
  <c r="H903" i="10"/>
  <c r="H818" i="10"/>
  <c r="H789" i="10"/>
  <c r="H719" i="10"/>
  <c r="H750" i="10"/>
  <c r="H727" i="10"/>
  <c r="H672" i="10"/>
  <c r="H605" i="10"/>
  <c r="H584" i="10"/>
  <c r="H722" i="10"/>
  <c r="H558" i="10"/>
  <c r="H494" i="10"/>
  <c r="H544" i="10"/>
  <c r="H533" i="10"/>
  <c r="H521" i="10"/>
  <c r="H598" i="10"/>
  <c r="H426" i="10"/>
  <c r="H522" i="10"/>
  <c r="H61" i="10"/>
  <c r="H158" i="10"/>
  <c r="H175" i="10"/>
  <c r="H133" i="10"/>
  <c r="H55" i="10"/>
  <c r="H31" i="10"/>
  <c r="H41" i="10"/>
  <c r="H71" i="10"/>
  <c r="H951" i="10"/>
  <c r="H1057" i="10"/>
  <c r="H864" i="10"/>
  <c r="H804" i="10"/>
  <c r="H730" i="10"/>
  <c r="H732" i="10"/>
  <c r="H714" i="10"/>
  <c r="H603" i="10"/>
  <c r="H698" i="10"/>
  <c r="H577" i="10"/>
  <c r="H516" i="10"/>
  <c r="H662" i="10"/>
  <c r="H568" i="10"/>
  <c r="H317" i="10"/>
  <c r="H149" i="10"/>
  <c r="H163" i="10"/>
  <c r="H122" i="10"/>
  <c r="H1130" i="10"/>
  <c r="H1024" i="10"/>
  <c r="H1038" i="10"/>
  <c r="H930" i="10"/>
  <c r="H1010" i="10"/>
  <c r="H975" i="10"/>
  <c r="H924" i="10"/>
  <c r="H788" i="10"/>
  <c r="H882" i="10"/>
  <c r="H836" i="10"/>
  <c r="H794" i="10"/>
  <c r="H658" i="10"/>
  <c r="H736" i="10"/>
  <c r="H748" i="10"/>
  <c r="H646" i="10"/>
  <c r="H596" i="10"/>
  <c r="H570" i="10"/>
  <c r="H585" i="10"/>
  <c r="H125" i="10"/>
  <c r="H247" i="10"/>
  <c r="H259" i="10"/>
  <c r="H134" i="10"/>
  <c r="H190" i="10"/>
  <c r="H152" i="10"/>
  <c r="H204" i="10"/>
  <c r="H1168" i="10"/>
  <c r="H1156" i="10"/>
  <c r="H1069" i="10"/>
  <c r="H1073" i="10"/>
  <c r="H1045" i="10"/>
  <c r="H1004" i="10"/>
  <c r="H1019" i="10"/>
  <c r="H958" i="10"/>
  <c r="H1008" i="10"/>
  <c r="H917" i="10"/>
  <c r="H868" i="10"/>
  <c r="H825" i="10"/>
  <c r="H866" i="10"/>
  <c r="H721" i="10"/>
  <c r="H766" i="10"/>
  <c r="H718" i="10"/>
  <c r="H684" i="10"/>
  <c r="H796" i="10"/>
  <c r="H329" i="10"/>
  <c r="H408" i="10"/>
  <c r="H505" i="10"/>
  <c r="H537" i="10"/>
  <c r="H390" i="10"/>
  <c r="H298" i="10"/>
  <c r="H444" i="10"/>
  <c r="H350" i="10"/>
  <c r="H216" i="10"/>
  <c r="H104" i="10"/>
  <c r="H179" i="10"/>
  <c r="H124" i="10"/>
  <c r="H5" i="10"/>
  <c r="H173" i="10"/>
  <c r="H1120" i="10"/>
  <c r="H1068" i="10"/>
  <c r="H1061" i="10"/>
  <c r="H896" i="10"/>
  <c r="H933" i="10"/>
  <c r="H862" i="10"/>
  <c r="H907" i="10"/>
  <c r="H944" i="10"/>
  <c r="H814" i="10"/>
  <c r="H816" i="10"/>
  <c r="H693" i="10"/>
  <c r="H661" i="10"/>
  <c r="H716" i="10"/>
  <c r="H695" i="10"/>
  <c r="H452" i="10"/>
  <c r="H318" i="10"/>
  <c r="H543" i="10"/>
  <c r="H401" i="10"/>
  <c r="H620" i="10"/>
  <c r="H346" i="10"/>
  <c r="H490" i="10"/>
  <c r="H386" i="10"/>
  <c r="H292" i="10"/>
  <c r="H425" i="10"/>
  <c r="H277" i="10"/>
  <c r="H451" i="10"/>
  <c r="H121" i="10"/>
  <c r="H102" i="10"/>
  <c r="H40" i="10"/>
  <c r="H51" i="10"/>
  <c r="H21" i="10"/>
  <c r="H9" i="10"/>
  <c r="H4" i="10"/>
  <c r="H1147" i="10"/>
  <c r="I1147" i="10"/>
  <c r="J1147" i="10" s="1"/>
  <c r="F1147" i="10"/>
  <c r="H996" i="10"/>
  <c r="I996" i="10"/>
  <c r="J996" i="10" s="1"/>
  <c r="H752" i="10"/>
  <c r="F752" i="10"/>
  <c r="H227" i="10"/>
  <c r="I227" i="10"/>
  <c r="J227" i="10" s="1"/>
  <c r="H366" i="10"/>
  <c r="I366" i="10"/>
  <c r="J366" i="10" s="1"/>
  <c r="F366" i="10"/>
  <c r="H579" i="10"/>
  <c r="I579" i="10"/>
  <c r="J579" i="10" s="1"/>
  <c r="F579" i="10"/>
  <c r="H948" i="10"/>
  <c r="I948" i="10"/>
  <c r="J948" i="10" s="1"/>
  <c r="H184" i="10"/>
  <c r="I184" i="10"/>
  <c r="J184" i="10" s="1"/>
  <c r="F184" i="10"/>
  <c r="H622" i="10"/>
  <c r="F622" i="10"/>
  <c r="H772" i="10"/>
  <c r="I772" i="10"/>
  <c r="J772" i="10" s="1"/>
  <c r="F772" i="10"/>
  <c r="H77" i="10"/>
  <c r="F77" i="10"/>
  <c r="H316" i="10"/>
  <c r="I316" i="10"/>
  <c r="J316" i="10" s="1"/>
  <c r="H667" i="10"/>
  <c r="H635" i="10"/>
  <c r="H515" i="10"/>
  <c r="H496" i="10"/>
  <c r="H477" i="10"/>
  <c r="H606" i="10"/>
  <c r="H416" i="10"/>
  <c r="H586" i="10"/>
  <c r="H23" i="10"/>
  <c r="H7" i="10"/>
  <c r="H880" i="10"/>
  <c r="H177" i="10"/>
  <c r="H1165" i="10"/>
  <c r="H660" i="10"/>
  <c r="H391" i="10"/>
  <c r="H369" i="10"/>
  <c r="H1063" i="10"/>
  <c r="H952" i="10"/>
  <c r="H800" i="10"/>
  <c r="H827" i="10"/>
  <c r="H765" i="10"/>
  <c r="H820" i="10"/>
  <c r="H683" i="10"/>
  <c r="H656" i="10"/>
  <c r="H625" i="10"/>
  <c r="H480" i="10"/>
  <c r="H550" i="10"/>
  <c r="H270" i="10"/>
  <c r="H261" i="10"/>
  <c r="H206" i="10"/>
  <c r="H90" i="10"/>
  <c r="H231" i="10"/>
  <c r="H1161" i="10"/>
  <c r="H1157" i="10"/>
  <c r="H1135" i="10"/>
  <c r="H1155" i="10"/>
  <c r="H1060" i="10"/>
  <c r="H1093" i="10"/>
  <c r="H1078" i="10"/>
  <c r="H1056" i="10"/>
  <c r="H974" i="10"/>
  <c r="H945" i="10"/>
  <c r="H1011" i="10"/>
  <c r="H960" i="10"/>
  <c r="H873" i="10"/>
  <c r="H931" i="10"/>
  <c r="H797" i="10"/>
  <c r="H839" i="10"/>
  <c r="H776" i="10"/>
  <c r="H763" i="10"/>
  <c r="H743" i="10"/>
  <c r="H666" i="10"/>
  <c r="H707" i="10"/>
  <c r="H749" i="10"/>
  <c r="H542" i="10"/>
  <c r="H599" i="10"/>
  <c r="H449" i="10"/>
  <c r="H400" i="10"/>
  <c r="H325" i="10"/>
  <c r="H254" i="10"/>
  <c r="H299" i="10"/>
  <c r="H155" i="10"/>
  <c r="H526" i="10"/>
  <c r="H211" i="10"/>
  <c r="H156" i="10"/>
  <c r="H269" i="10"/>
  <c r="H131" i="10"/>
  <c r="H50" i="10"/>
  <c r="H655" i="10"/>
  <c r="H692" i="10"/>
  <c r="H556" i="10"/>
  <c r="H675" i="10"/>
  <c r="H487" i="10"/>
  <c r="H508" i="10"/>
  <c r="H575" i="10"/>
  <c r="H406" i="10"/>
  <c r="H365" i="10"/>
  <c r="H691" i="10"/>
  <c r="H172" i="10"/>
  <c r="H103" i="10"/>
  <c r="H243" i="10"/>
  <c r="H219" i="10"/>
  <c r="H356" i="10"/>
  <c r="H354" i="10"/>
  <c r="H1142" i="10"/>
  <c r="H1109" i="10"/>
  <c r="H1005" i="10"/>
  <c r="H967" i="10"/>
  <c r="H946" i="10"/>
  <c r="H867" i="10"/>
  <c r="H997" i="10"/>
  <c r="H966" i="10"/>
  <c r="H770" i="10"/>
  <c r="H908" i="10"/>
  <c r="H778" i="10"/>
  <c r="H676" i="10"/>
  <c r="H668" i="10"/>
  <c r="H833" i="10"/>
  <c r="H549" i="10"/>
  <c r="H702" i="10"/>
  <c r="H627" i="10"/>
  <c r="H564" i="10"/>
  <c r="H540" i="10"/>
  <c r="H593" i="10"/>
  <c r="H239" i="10"/>
  <c r="H19" i="10"/>
  <c r="H86" i="10"/>
  <c r="H1188" i="10"/>
  <c r="H1181" i="10"/>
  <c r="H1066" i="10"/>
  <c r="H1047" i="10"/>
  <c r="H887" i="10"/>
  <c r="H861" i="10"/>
  <c r="H979" i="10"/>
  <c r="H830" i="10"/>
  <c r="H884" i="10"/>
  <c r="H769" i="10"/>
  <c r="H756" i="10"/>
  <c r="H805" i="10"/>
  <c r="H626" i="10"/>
  <c r="H535" i="10"/>
  <c r="H512" i="10"/>
  <c r="H669" i="10"/>
  <c r="H434" i="10"/>
  <c r="H497" i="10"/>
  <c r="H551" i="10"/>
  <c r="H602" i="10"/>
  <c r="H353" i="10"/>
  <c r="H362" i="10"/>
  <c r="H250" i="10"/>
  <c r="H267" i="10"/>
  <c r="H210" i="10"/>
  <c r="H202" i="10"/>
  <c r="H141" i="10"/>
  <c r="H70" i="10"/>
  <c r="H154" i="10"/>
  <c r="H8" i="10"/>
  <c r="H221" i="10"/>
  <c r="F221" i="10"/>
  <c r="H248" i="10"/>
  <c r="F248" i="10"/>
  <c r="H375" i="10"/>
  <c r="I375" i="10"/>
  <c r="J375" i="10" s="1"/>
  <c r="H2" i="10"/>
  <c r="F2" i="10"/>
  <c r="H610" i="10"/>
  <c r="I610" i="10"/>
  <c r="J610" i="10" s="1"/>
  <c r="H674" i="10"/>
  <c r="I674" i="10"/>
  <c r="J674" i="10" s="1"/>
  <c r="H264" i="10"/>
  <c r="H109" i="10"/>
  <c r="H355" i="10"/>
  <c r="H171" i="10"/>
  <c r="H282" i="10"/>
  <c r="H44" i="10"/>
  <c r="H135" i="10"/>
  <c r="H48" i="10"/>
  <c r="H1145" i="10"/>
  <c r="H819" i="10"/>
  <c r="H3" i="10"/>
  <c r="H1001" i="10"/>
  <c r="H150" i="10"/>
  <c r="H1046" i="10"/>
  <c r="H151" i="10"/>
  <c r="H379" i="10"/>
  <c r="H208" i="10"/>
  <c r="H43" i="10"/>
  <c r="H74" i="10"/>
  <c r="H75" i="10"/>
  <c r="H877" i="10"/>
  <c r="H699" i="10"/>
  <c r="H1003" i="10"/>
  <c r="H483" i="10"/>
  <c r="H1123" i="10"/>
  <c r="H609" i="10"/>
  <c r="H856" i="10"/>
  <c r="H320" i="10"/>
  <c r="H14" i="10"/>
  <c r="H897" i="10"/>
  <c r="H617" i="10"/>
  <c r="H835" i="10"/>
  <c r="H139" i="10"/>
  <c r="H1171" i="10"/>
  <c r="H1194" i="10"/>
  <c r="H1083" i="10"/>
  <c r="H1096" i="10"/>
  <c r="H1122" i="10"/>
  <c r="H1141" i="10"/>
  <c r="H1074" i="10"/>
  <c r="H1018" i="10"/>
  <c r="H993" i="10"/>
  <c r="H972" i="10"/>
  <c r="H1095" i="10"/>
  <c r="H973" i="10"/>
  <c r="H923" i="10"/>
  <c r="H878" i="10"/>
  <c r="H795" i="10"/>
  <c r="H755" i="10"/>
  <c r="H700" i="10"/>
  <c r="H735" i="10"/>
  <c r="H757" i="10"/>
  <c r="H701" i="10"/>
  <c r="H673" i="10"/>
  <c r="H758" i="10"/>
  <c r="H742" i="10"/>
  <c r="H704" i="10"/>
  <c r="H614" i="10"/>
  <c r="H528" i="10"/>
  <c r="H697" i="10"/>
  <c r="H578" i="10"/>
  <c r="H547" i="10"/>
  <c r="H470" i="10"/>
  <c r="I609" i="10"/>
  <c r="J609" i="10" s="1"/>
  <c r="H399" i="10"/>
  <c r="H437" i="10"/>
  <c r="H411" i="10"/>
  <c r="F617" i="10"/>
  <c r="H237" i="10"/>
  <c r="H348" i="10"/>
  <c r="H273" i="10"/>
  <c r="H337" i="10"/>
  <c r="I320" i="10"/>
  <c r="J320" i="10" s="1"/>
  <c r="H160" i="10"/>
  <c r="H218" i="10"/>
  <c r="H186" i="10"/>
  <c r="H99" i="10"/>
  <c r="H39" i="10"/>
  <c r="H57" i="10"/>
  <c r="H32" i="10"/>
  <c r="H47" i="10"/>
  <c r="H56" i="10"/>
  <c r="H345" i="10"/>
  <c r="H914" i="10"/>
  <c r="H566" i="10"/>
  <c r="H323" i="10"/>
  <c r="H634" i="10"/>
  <c r="H226" i="10"/>
  <c r="H358" i="10"/>
  <c r="R358" i="10" s="1"/>
  <c r="F1090" i="10"/>
  <c r="H1090" i="10"/>
  <c r="I850" i="10"/>
  <c r="J850" i="10" s="1"/>
  <c r="H850" i="10"/>
  <c r="F802" i="10"/>
  <c r="H802" i="10"/>
  <c r="F781" i="10"/>
  <c r="H781" i="10"/>
  <c r="F746" i="10"/>
  <c r="H746" i="10"/>
  <c r="F711" i="10"/>
  <c r="H711" i="10"/>
  <c r="F703" i="10"/>
  <c r="H703" i="10"/>
  <c r="F1031" i="10"/>
  <c r="H1031" i="10"/>
  <c r="F977" i="10"/>
  <c r="H977" i="10"/>
  <c r="F846" i="10"/>
  <c r="H846" i="10"/>
  <c r="F1092" i="10"/>
  <c r="H1092" i="10"/>
  <c r="F1051" i="10"/>
  <c r="H1051" i="10"/>
  <c r="F1006" i="10"/>
  <c r="H1006" i="10"/>
  <c r="F922" i="10"/>
  <c r="H922" i="10"/>
  <c r="F1176" i="10"/>
  <c r="H1176" i="10"/>
  <c r="F1140" i="10"/>
  <c r="H1140" i="10"/>
  <c r="F1100" i="10"/>
  <c r="H1100" i="10"/>
  <c r="I1077" i="10"/>
  <c r="J1077" i="10" s="1"/>
  <c r="H1077" i="10"/>
  <c r="F1053" i="10"/>
  <c r="H1053" i="10"/>
  <c r="I925" i="10"/>
  <c r="J925" i="10" s="1"/>
  <c r="H925" i="10"/>
  <c r="F767" i="10"/>
  <c r="H767" i="10"/>
  <c r="I710" i="10"/>
  <c r="J710" i="10" s="1"/>
  <c r="H710" i="10"/>
  <c r="F624" i="10"/>
  <c r="H624" i="10"/>
  <c r="I612" i="10"/>
  <c r="J612" i="10" s="1"/>
  <c r="H612" i="10"/>
  <c r="F601" i="10"/>
  <c r="H601" i="10"/>
  <c r="F597" i="10"/>
  <c r="H597" i="10"/>
  <c r="F546" i="10"/>
  <c r="H546" i="10"/>
  <c r="F1127" i="10"/>
  <c r="H1127" i="10"/>
  <c r="F1055" i="10"/>
  <c r="H1055" i="10"/>
  <c r="F1042" i="10"/>
  <c r="H1042" i="10"/>
  <c r="F872" i="10"/>
  <c r="H872" i="10"/>
  <c r="I822" i="10"/>
  <c r="J822" i="10" s="1"/>
  <c r="H822" i="10"/>
  <c r="F808" i="10"/>
  <c r="H808" i="10"/>
  <c r="F670" i="10"/>
  <c r="H670" i="10"/>
  <c r="F631" i="10"/>
  <c r="H631" i="10"/>
  <c r="F560" i="10"/>
  <c r="H560" i="10"/>
  <c r="F1102" i="10"/>
  <c r="H1102" i="10"/>
  <c r="F954" i="10"/>
  <c r="H954" i="10"/>
  <c r="F921" i="10"/>
  <c r="H921" i="10"/>
  <c r="F894" i="10"/>
  <c r="H894" i="10"/>
  <c r="I879" i="10"/>
  <c r="J879" i="10" s="1"/>
  <c r="H879" i="10"/>
  <c r="F1144" i="10"/>
  <c r="H1144" i="10"/>
  <c r="F1110" i="10"/>
  <c r="H1110" i="10"/>
  <c r="F1076" i="10"/>
  <c r="H1076" i="10"/>
  <c r="I910" i="10"/>
  <c r="J910" i="10" s="1"/>
  <c r="H910" i="10"/>
  <c r="F734" i="10"/>
  <c r="H734" i="10"/>
  <c r="F652" i="10"/>
  <c r="H652" i="10"/>
  <c r="F553" i="10"/>
  <c r="H553" i="10"/>
  <c r="F532" i="10"/>
  <c r="H532" i="10"/>
  <c r="F486" i="10"/>
  <c r="H486" i="10"/>
  <c r="F484" i="10"/>
  <c r="H484" i="10"/>
  <c r="I404" i="10"/>
  <c r="J404" i="10" s="1"/>
  <c r="H404" i="10"/>
  <c r="I398" i="10"/>
  <c r="J398" i="10" s="1"/>
  <c r="H398" i="10"/>
  <c r="F396" i="10"/>
  <c r="H396" i="10"/>
  <c r="F385" i="10"/>
  <c r="H385" i="10"/>
  <c r="F357" i="10"/>
  <c r="H357" i="10"/>
  <c r="F343" i="10"/>
  <c r="H343" i="10"/>
  <c r="I1186" i="10"/>
  <c r="J1186" i="10" s="1"/>
  <c r="H1186" i="10"/>
  <c r="I1148" i="10"/>
  <c r="J1148" i="10" s="1"/>
  <c r="H1148" i="10"/>
  <c r="F1117" i="10"/>
  <c r="H1117" i="10"/>
  <c r="F1027" i="10"/>
  <c r="H1027" i="10"/>
  <c r="F1020" i="10"/>
  <c r="H1020" i="10"/>
  <c r="F956" i="10"/>
  <c r="H956" i="10"/>
  <c r="F1179" i="10"/>
  <c r="H1179" i="10"/>
  <c r="F1190" i="10"/>
  <c r="H1190" i="10"/>
  <c r="F1183" i="10"/>
  <c r="H1183" i="10"/>
  <c r="F1152" i="10"/>
  <c r="H1152" i="10"/>
  <c r="F1084" i="10"/>
  <c r="H1084" i="10"/>
  <c r="F1050" i="10"/>
  <c r="H1050" i="10"/>
  <c r="F1043" i="10"/>
  <c r="H1043" i="10"/>
  <c r="F905" i="10"/>
  <c r="H905" i="10"/>
  <c r="F574" i="10"/>
  <c r="H574" i="10"/>
  <c r="F504" i="10"/>
  <c r="H504" i="10"/>
  <c r="F458" i="10"/>
  <c r="H458" i="10"/>
  <c r="I456" i="10"/>
  <c r="J456" i="10" s="1"/>
  <c r="H456" i="10"/>
  <c r="F378" i="10"/>
  <c r="H378" i="10"/>
  <c r="F980" i="10"/>
  <c r="H980" i="10"/>
  <c r="F963" i="10"/>
  <c r="H963" i="10"/>
  <c r="F787" i="10"/>
  <c r="H787" i="10"/>
  <c r="F761" i="10"/>
  <c r="H761" i="10"/>
  <c r="I468" i="10"/>
  <c r="J468" i="10" s="1"/>
  <c r="H468" i="10"/>
  <c r="F421" i="10"/>
  <c r="H421" i="10"/>
  <c r="F382" i="10"/>
  <c r="H382" i="10"/>
  <c r="I1149" i="10"/>
  <c r="J1149" i="10" s="1"/>
  <c r="H1149" i="10"/>
  <c r="F1131" i="10"/>
  <c r="H1131" i="10"/>
  <c r="I1086" i="10"/>
  <c r="J1086" i="10" s="1"/>
  <c r="H1086" i="10"/>
  <c r="F854" i="10"/>
  <c r="H854" i="10"/>
  <c r="F824" i="10"/>
  <c r="H824" i="10"/>
  <c r="F753" i="10"/>
  <c r="H753" i="10"/>
  <c r="F576" i="10"/>
  <c r="H576" i="10"/>
  <c r="F510" i="10"/>
  <c r="H510" i="10"/>
  <c r="F474" i="10"/>
  <c r="H474" i="10"/>
  <c r="I440" i="10"/>
  <c r="J440" i="10" s="1"/>
  <c r="H440" i="10"/>
  <c r="F371" i="10"/>
  <c r="H371" i="10"/>
  <c r="F1088" i="10"/>
  <c r="H1088" i="10"/>
  <c r="I1026" i="10"/>
  <c r="J1026" i="10" s="1"/>
  <c r="H1026" i="10"/>
  <c r="I982" i="10"/>
  <c r="J982" i="10" s="1"/>
  <c r="H982" i="10"/>
  <c r="F891" i="10"/>
  <c r="H891" i="10"/>
  <c r="F851" i="10"/>
  <c r="H851" i="10"/>
  <c r="F768" i="10"/>
  <c r="H768" i="10"/>
  <c r="I726" i="10"/>
  <c r="J726" i="10" s="1"/>
  <c r="H726" i="10"/>
  <c r="F594" i="10"/>
  <c r="H594" i="10"/>
  <c r="F581" i="10"/>
  <c r="H581" i="10"/>
  <c r="F562" i="10"/>
  <c r="H562" i="10"/>
  <c r="F531" i="10"/>
  <c r="H531" i="10"/>
  <c r="F491" i="10"/>
  <c r="H491" i="10"/>
  <c r="F485" i="10"/>
  <c r="H485" i="10"/>
  <c r="F433" i="10"/>
  <c r="H433" i="10"/>
  <c r="I423" i="10"/>
  <c r="J423" i="10" s="1"/>
  <c r="H423" i="10"/>
  <c r="F373" i="10"/>
  <c r="H373" i="10"/>
  <c r="F1187" i="10"/>
  <c r="H1187" i="10"/>
  <c r="F1159" i="10"/>
  <c r="H1159" i="10"/>
  <c r="F1133" i="10"/>
  <c r="H1133" i="10"/>
  <c r="F1097" i="10"/>
  <c r="H1097" i="10"/>
  <c r="F1028" i="10"/>
  <c r="H1028" i="10"/>
  <c r="F920" i="10"/>
  <c r="H920" i="10"/>
  <c r="F688" i="10"/>
  <c r="H688" i="10"/>
  <c r="I671" i="10"/>
  <c r="J671" i="10" s="1"/>
  <c r="H671" i="10"/>
  <c r="F637" i="10"/>
  <c r="H637" i="10"/>
  <c r="F1070" i="10"/>
  <c r="H1070" i="10"/>
  <c r="I1023" i="10"/>
  <c r="J1023" i="10" s="1"/>
  <c r="H1023" i="10"/>
  <c r="F1012" i="10"/>
  <c r="H1012" i="10"/>
  <c r="F899" i="10"/>
  <c r="H899" i="10"/>
  <c r="F713" i="10"/>
  <c r="H713" i="10"/>
  <c r="F642" i="10"/>
  <c r="H642" i="10"/>
  <c r="F600" i="10"/>
  <c r="H600" i="10"/>
  <c r="F518" i="10"/>
  <c r="H518" i="10"/>
  <c r="F479" i="10"/>
  <c r="H479" i="10"/>
  <c r="F414" i="10"/>
  <c r="H414" i="10"/>
  <c r="F1138" i="10"/>
  <c r="H1138" i="10"/>
  <c r="I1072" i="10"/>
  <c r="J1072" i="10" s="1"/>
  <c r="H1072" i="10"/>
  <c r="F1014" i="10"/>
  <c r="H1014" i="10"/>
  <c r="F989" i="10"/>
  <c r="H989" i="10"/>
  <c r="F978" i="10"/>
  <c r="H978" i="10"/>
  <c r="F962" i="10"/>
  <c r="H962" i="10"/>
  <c r="F747" i="10"/>
  <c r="H747" i="10"/>
  <c r="F572" i="10"/>
  <c r="H572" i="10"/>
  <c r="I530" i="10"/>
  <c r="J530" i="10" s="1"/>
  <c r="H530" i="10"/>
  <c r="F469" i="10"/>
  <c r="H469" i="10"/>
  <c r="F363" i="10"/>
  <c r="H363" i="10"/>
  <c r="F349" i="10"/>
  <c r="H349" i="10"/>
  <c r="I341" i="10"/>
  <c r="J341" i="10" s="1"/>
  <c r="H341" i="10"/>
  <c r="F310" i="10"/>
  <c r="H310" i="10"/>
  <c r="I304" i="10"/>
  <c r="J304" i="10" s="1"/>
  <c r="H304" i="10"/>
  <c r="F291" i="10"/>
  <c r="H291" i="10"/>
  <c r="F159" i="10"/>
  <c r="H159" i="10"/>
  <c r="F138" i="10"/>
  <c r="H138" i="10"/>
  <c r="F76" i="10"/>
  <c r="H76" i="10"/>
  <c r="I654" i="10"/>
  <c r="J654" i="10" s="1"/>
  <c r="H654" i="10"/>
  <c r="F580" i="10"/>
  <c r="H580" i="10"/>
  <c r="F525" i="10"/>
  <c r="H525" i="10"/>
  <c r="F520" i="10"/>
  <c r="H520" i="10"/>
  <c r="F409" i="10"/>
  <c r="H409" i="10"/>
  <c r="I760" i="10"/>
  <c r="J760" i="10" s="1"/>
  <c r="H760" i="10"/>
  <c r="F457" i="10"/>
  <c r="H457" i="10"/>
  <c r="F397" i="10"/>
  <c r="H397" i="10"/>
  <c r="F147" i="10"/>
  <c r="H147" i="10"/>
  <c r="F471" i="10"/>
  <c r="H471" i="10"/>
  <c r="F462" i="10"/>
  <c r="H462" i="10"/>
  <c r="F429" i="10"/>
  <c r="H429" i="10"/>
  <c r="F427" i="10"/>
  <c r="H427" i="10"/>
  <c r="I388" i="10"/>
  <c r="J388" i="10" s="1"/>
  <c r="H388" i="10"/>
  <c r="F232" i="10"/>
  <c r="H232" i="10"/>
  <c r="I230" i="10"/>
  <c r="J230" i="10" s="1"/>
  <c r="H230" i="10"/>
  <c r="I228" i="10"/>
  <c r="J228" i="10" s="1"/>
  <c r="H228" i="10"/>
  <c r="F170" i="10"/>
  <c r="H170" i="10"/>
  <c r="F72" i="10"/>
  <c r="H72" i="10"/>
  <c r="I63" i="10"/>
  <c r="J63" i="10" s="1"/>
  <c r="H63" i="10"/>
  <c r="F678" i="10"/>
  <c r="H678" i="10"/>
  <c r="I934" i="10"/>
  <c r="J934" i="10" s="1"/>
  <c r="H934" i="10"/>
  <c r="I810" i="10"/>
  <c r="J810" i="10" s="1"/>
  <c r="H810" i="10"/>
  <c r="F424" i="10"/>
  <c r="H424" i="10"/>
  <c r="F166" i="10"/>
  <c r="H166" i="10"/>
  <c r="F145" i="10"/>
  <c r="H145" i="10"/>
  <c r="F79" i="10"/>
  <c r="H79" i="10"/>
  <c r="F913" i="10"/>
  <c r="H913" i="10"/>
  <c r="F858" i="10"/>
  <c r="H858" i="10"/>
  <c r="F682" i="10"/>
  <c r="H682" i="10"/>
  <c r="F431" i="10"/>
  <c r="H431" i="10"/>
  <c r="F324" i="10"/>
  <c r="H324" i="10"/>
  <c r="F283" i="10"/>
  <c r="H283" i="10"/>
  <c r="F274" i="10"/>
  <c r="H274" i="10"/>
  <c r="F110" i="10"/>
  <c r="H110" i="10"/>
  <c r="I759" i="10"/>
  <c r="J759" i="10" s="1"/>
  <c r="H759" i="10"/>
  <c r="I641" i="10"/>
  <c r="J641" i="10" s="1"/>
  <c r="H641" i="10"/>
  <c r="F628" i="10"/>
  <c r="H628" i="10"/>
  <c r="F541" i="10"/>
  <c r="H541" i="10"/>
  <c r="F524" i="10"/>
  <c r="H524" i="10"/>
  <c r="F507" i="10"/>
  <c r="H507" i="10"/>
  <c r="I387" i="10"/>
  <c r="J387" i="10" s="1"/>
  <c r="H387" i="10"/>
  <c r="F309" i="10"/>
  <c r="H309" i="10"/>
  <c r="I290" i="10"/>
  <c r="J290" i="10" s="1"/>
  <c r="H290" i="10"/>
  <c r="I1106" i="10"/>
  <c r="J1106" i="10" s="1"/>
  <c r="H1106" i="10"/>
  <c r="F342" i="10"/>
  <c r="H342" i="10"/>
  <c r="F89" i="10"/>
  <c r="H89" i="10"/>
  <c r="I84" i="10"/>
  <c r="J84" i="10" s="1"/>
  <c r="H84" i="10"/>
  <c r="F68" i="10"/>
  <c r="H68" i="10"/>
  <c r="F45" i="10"/>
  <c r="H45" i="10"/>
  <c r="I986" i="10"/>
  <c r="J986" i="10" s="1"/>
  <c r="H986" i="10"/>
  <c r="F863" i="10"/>
  <c r="H863" i="10"/>
  <c r="F826" i="10"/>
  <c r="H826" i="10"/>
  <c r="I812" i="10"/>
  <c r="J812" i="10" s="1"/>
  <c r="H812" i="10"/>
  <c r="F548" i="10"/>
  <c r="H548" i="10"/>
  <c r="I461" i="10"/>
  <c r="J461" i="10" s="1"/>
  <c r="H461" i="10"/>
  <c r="F443" i="10"/>
  <c r="H443" i="10"/>
  <c r="I436" i="10"/>
  <c r="J436" i="10" s="1"/>
  <c r="H436" i="10"/>
  <c r="I129" i="10"/>
  <c r="J129" i="10" s="1"/>
  <c r="H129" i="10"/>
  <c r="F80" i="10"/>
  <c r="H80" i="10"/>
  <c r="F54" i="10"/>
  <c r="H54" i="10"/>
  <c r="I36" i="10"/>
  <c r="J36" i="10" s="1"/>
  <c r="H36" i="10"/>
  <c r="I30" i="10"/>
  <c r="J30" i="10" s="1"/>
  <c r="H30" i="10"/>
  <c r="F1002" i="10"/>
  <c r="H1002" i="10"/>
  <c r="I915" i="10"/>
  <c r="J915" i="10" s="1"/>
  <c r="H915" i="10"/>
  <c r="I689" i="10"/>
  <c r="J689" i="10" s="1"/>
  <c r="H689" i="10"/>
  <c r="F630" i="10"/>
  <c r="H630" i="10"/>
  <c r="F621" i="10"/>
  <c r="H621" i="10"/>
  <c r="F595" i="10"/>
  <c r="H595" i="10"/>
  <c r="I300" i="10"/>
  <c r="J300" i="10" s="1"/>
  <c r="H300" i="10"/>
  <c r="I265" i="10"/>
  <c r="J265" i="10" s="1"/>
  <c r="H265" i="10"/>
  <c r="F229" i="10"/>
  <c r="H229" i="10"/>
  <c r="F225" i="10"/>
  <c r="H225" i="10"/>
  <c r="I1115" i="10"/>
  <c r="J1115" i="10" s="1"/>
  <c r="H1115" i="10"/>
  <c r="F1058" i="10"/>
  <c r="H1058" i="10"/>
  <c r="F657" i="10"/>
  <c r="H657" i="10"/>
  <c r="F467" i="10"/>
  <c r="H467" i="10"/>
  <c r="F465" i="10"/>
  <c r="H465" i="10"/>
  <c r="F315" i="10"/>
  <c r="H315" i="10"/>
  <c r="F302" i="10"/>
  <c r="H302" i="10"/>
  <c r="F287" i="10"/>
  <c r="H287" i="10"/>
  <c r="F176" i="10"/>
  <c r="H176" i="10"/>
  <c r="I169" i="10"/>
  <c r="J169" i="10" s="1"/>
  <c r="H169" i="10"/>
  <c r="F828" i="10"/>
  <c r="H828" i="10"/>
  <c r="F785" i="10"/>
  <c r="H785" i="10"/>
  <c r="F567" i="10"/>
  <c r="H567" i="10"/>
  <c r="I333" i="10"/>
  <c r="J333" i="10" s="1"/>
  <c r="H333" i="10"/>
  <c r="F233" i="10"/>
  <c r="H233" i="10"/>
  <c r="I552" i="10"/>
  <c r="J552" i="10" s="1"/>
  <c r="H552" i="10"/>
  <c r="F187" i="10"/>
  <c r="H187" i="10"/>
  <c r="I49" i="10"/>
  <c r="J49" i="10" s="1"/>
  <c r="H49" i="10"/>
  <c r="F775" i="10"/>
  <c r="H775" i="10"/>
  <c r="F430" i="10"/>
  <c r="H430" i="10"/>
  <c r="I213" i="10"/>
  <c r="J213" i="10" s="1"/>
  <c r="H213" i="10"/>
  <c r="F144" i="10"/>
  <c r="H144" i="10"/>
  <c r="F132" i="10"/>
  <c r="H132" i="10"/>
  <c r="F60" i="10"/>
  <c r="H60" i="10"/>
  <c r="I35" i="10"/>
  <c r="J35" i="10" s="1"/>
  <c r="H35" i="10"/>
  <c r="F295" i="10"/>
  <c r="H295" i="10"/>
  <c r="F193" i="10"/>
  <c r="H193" i="10"/>
  <c r="F58" i="10"/>
  <c r="H58" i="10"/>
  <c r="F16" i="10"/>
  <c r="H16" i="10"/>
  <c r="F740" i="10"/>
  <c r="H740" i="10"/>
  <c r="F798" i="10"/>
  <c r="H798" i="10"/>
  <c r="I335" i="10"/>
  <c r="J335" i="10" s="1"/>
  <c r="H335" i="10"/>
  <c r="F123" i="10"/>
  <c r="H123" i="10"/>
  <c r="F46" i="10"/>
  <c r="H46" i="10"/>
  <c r="I73" i="10"/>
  <c r="J73" i="10" s="1"/>
  <c r="H73" i="10"/>
  <c r="F817" i="10"/>
  <c r="H817" i="10"/>
  <c r="F359" i="10"/>
  <c r="H359" i="10"/>
  <c r="F188" i="10"/>
  <c r="H188" i="10"/>
  <c r="F42" i="10"/>
  <c r="H42" i="10"/>
  <c r="I157" i="10"/>
  <c r="J157" i="10" s="1"/>
  <c r="H157" i="10"/>
  <c r="F115" i="10"/>
  <c r="H115" i="10"/>
  <c r="F81" i="10"/>
  <c r="H81" i="10"/>
  <c r="F34" i="10"/>
  <c r="H34" i="10"/>
  <c r="F588" i="10"/>
  <c r="H588" i="10"/>
  <c r="F127" i="10"/>
  <c r="H127" i="10"/>
  <c r="I105" i="10"/>
  <c r="J105" i="10" s="1"/>
  <c r="H105" i="10"/>
  <c r="F59" i="10"/>
  <c r="H59" i="10"/>
  <c r="F209" i="10"/>
  <c r="H209" i="10"/>
  <c r="I1193" i="10"/>
  <c r="J1193" i="10" s="1"/>
  <c r="H1193" i="10"/>
  <c r="F1192" i="10"/>
  <c r="H1192" i="10"/>
  <c r="F1158" i="10"/>
  <c r="H1158" i="10"/>
  <c r="F1134" i="10"/>
  <c r="H1134" i="10"/>
  <c r="I1098" i="10"/>
  <c r="J1098" i="10" s="1"/>
  <c r="H1098" i="10"/>
  <c r="F886" i="10"/>
  <c r="H886" i="10"/>
  <c r="F857" i="10"/>
  <c r="H857" i="10"/>
  <c r="F790" i="10"/>
  <c r="H790" i="10"/>
  <c r="F1108" i="10"/>
  <c r="H1108" i="10"/>
  <c r="F1103" i="10"/>
  <c r="H1103" i="10"/>
  <c r="F1085" i="10"/>
  <c r="H1085" i="10"/>
  <c r="F1180" i="10"/>
  <c r="H1180" i="10"/>
  <c r="F984" i="10"/>
  <c r="H984" i="10"/>
  <c r="F849" i="10"/>
  <c r="H849" i="10"/>
  <c r="F844" i="10"/>
  <c r="H844" i="10"/>
  <c r="I811" i="10"/>
  <c r="J811" i="10" s="1"/>
  <c r="H811" i="10"/>
  <c r="F792" i="10"/>
  <c r="H792" i="10"/>
  <c r="F555" i="10"/>
  <c r="H555" i="10"/>
  <c r="I1013" i="10"/>
  <c r="J1013" i="10" s="1"/>
  <c r="H1013" i="10"/>
  <c r="I1065" i="10"/>
  <c r="J1065" i="10" s="1"/>
  <c r="H1065" i="10"/>
  <c r="F1015" i="10"/>
  <c r="H1015" i="10"/>
  <c r="I904" i="10"/>
  <c r="J904" i="10" s="1"/>
  <c r="H904" i="10"/>
  <c r="F821" i="10"/>
  <c r="H821" i="10"/>
  <c r="F813" i="10"/>
  <c r="H813" i="10"/>
  <c r="F638" i="10"/>
  <c r="H638" i="10"/>
  <c r="F1172" i="10"/>
  <c r="H1172" i="10"/>
  <c r="F1099" i="10"/>
  <c r="H1099" i="10"/>
  <c r="F1094" i="10"/>
  <c r="H1094" i="10"/>
  <c r="I995" i="10"/>
  <c r="J995" i="10" s="1"/>
  <c r="H995" i="10"/>
  <c r="F947" i="10"/>
  <c r="H947" i="10"/>
  <c r="F932" i="10"/>
  <c r="H932" i="10"/>
  <c r="I865" i="10"/>
  <c r="J865" i="10" s="1"/>
  <c r="H865" i="10"/>
  <c r="F455" i="10"/>
  <c r="H455" i="10"/>
  <c r="I446" i="10"/>
  <c r="J446" i="10" s="1"/>
  <c r="H446" i="10"/>
  <c r="I405" i="10"/>
  <c r="J405" i="10" s="1"/>
  <c r="H405" i="10"/>
  <c r="F326" i="10"/>
  <c r="H326" i="10"/>
  <c r="F1040" i="10"/>
  <c r="H1040" i="10"/>
  <c r="I664" i="10"/>
  <c r="J664" i="10" s="1"/>
  <c r="H664" i="10"/>
  <c r="F448" i="10"/>
  <c r="H448" i="10"/>
  <c r="I234" i="10"/>
  <c r="J234" i="10" s="1"/>
  <c r="H234" i="10"/>
  <c r="F848" i="10"/>
  <c r="H848" i="10"/>
  <c r="F815" i="10"/>
  <c r="H815" i="10"/>
  <c r="F751" i="10"/>
  <c r="H751" i="10"/>
  <c r="F523" i="10"/>
  <c r="H523" i="10"/>
  <c r="I928" i="10"/>
  <c r="J928" i="10" s="1"/>
  <c r="H928" i="10"/>
  <c r="F890" i="10"/>
  <c r="H890" i="10"/>
  <c r="F650" i="10"/>
  <c r="H650" i="10"/>
  <c r="I499" i="10"/>
  <c r="J499" i="10" s="1"/>
  <c r="H499" i="10"/>
  <c r="I492" i="10"/>
  <c r="J492" i="10" s="1"/>
  <c r="H492" i="10"/>
  <c r="I407" i="10"/>
  <c r="J407" i="10" s="1"/>
  <c r="H407" i="10"/>
  <c r="I380" i="10"/>
  <c r="J380" i="10" s="1"/>
  <c r="H380" i="10"/>
  <c r="F344" i="10"/>
  <c r="H344" i="10"/>
  <c r="F313" i="10"/>
  <c r="H313" i="10"/>
  <c r="F278" i="10"/>
  <c r="H278" i="10"/>
  <c r="F994" i="10"/>
  <c r="H994" i="10"/>
  <c r="F985" i="10"/>
  <c r="H985" i="10"/>
  <c r="I893" i="10"/>
  <c r="J893" i="10" s="1"/>
  <c r="H893" i="10"/>
  <c r="I475" i="10"/>
  <c r="J475" i="10" s="1"/>
  <c r="H475" i="10"/>
  <c r="F472" i="10"/>
  <c r="H472" i="10"/>
  <c r="F517" i="10"/>
  <c r="H517" i="10"/>
  <c r="I454" i="10"/>
  <c r="J454" i="10" s="1"/>
  <c r="H454" i="10"/>
  <c r="F1022" i="10"/>
  <c r="H1022" i="10"/>
  <c r="F1124" i="10"/>
  <c r="H1124" i="10"/>
  <c r="F942" i="10"/>
  <c r="H942" i="10"/>
  <c r="I799" i="10"/>
  <c r="J799" i="10" s="1"/>
  <c r="H799" i="10"/>
  <c r="I694" i="10"/>
  <c r="J694" i="10" s="1"/>
  <c r="H694" i="10"/>
  <c r="F428" i="10"/>
  <c r="H428" i="10"/>
  <c r="F95" i="10"/>
  <c r="H95" i="10"/>
  <c r="F545" i="10"/>
  <c r="H545" i="10"/>
  <c r="I327" i="10"/>
  <c r="J327" i="10" s="1"/>
  <c r="H327" i="10"/>
  <c r="F285" i="10"/>
  <c r="H285" i="10"/>
  <c r="F1009" i="10"/>
  <c r="H1009" i="10"/>
  <c r="F435" i="10"/>
  <c r="H435" i="10"/>
  <c r="F240" i="10"/>
  <c r="H240" i="10"/>
  <c r="I222" i="10"/>
  <c r="J222" i="10" s="1"/>
  <c r="H222" i="10"/>
  <c r="F181" i="10"/>
  <c r="H181" i="10"/>
  <c r="F140" i="10"/>
  <c r="H140" i="10"/>
  <c r="F28" i="10"/>
  <c r="H28" i="10"/>
  <c r="F52" i="10"/>
  <c r="H52" i="10"/>
  <c r="I902" i="10"/>
  <c r="J902" i="10" s="1"/>
  <c r="H902" i="10"/>
  <c r="F841" i="10"/>
  <c r="H841" i="10"/>
  <c r="F338" i="10"/>
  <c r="H338" i="10"/>
  <c r="F192" i="10"/>
  <c r="H192" i="10"/>
  <c r="I633" i="10"/>
  <c r="J633" i="10" s="1"/>
  <c r="H633" i="10"/>
  <c r="F321" i="10"/>
  <c r="H321" i="10"/>
  <c r="I200" i="10"/>
  <c r="J200" i="10" s="1"/>
  <c r="H200" i="10"/>
  <c r="F185" i="10"/>
  <c r="H185" i="10"/>
  <c r="I137" i="10"/>
  <c r="J137" i="10" s="1"/>
  <c r="H137" i="10"/>
  <c r="I120" i="10"/>
  <c r="J120" i="10" s="1"/>
  <c r="H120" i="10"/>
  <c r="F113" i="10"/>
  <c r="H113" i="10"/>
  <c r="I871" i="10"/>
  <c r="J871" i="10" s="1"/>
  <c r="H871" i="10"/>
  <c r="F439" i="10"/>
  <c r="H439" i="10"/>
  <c r="F168" i="10"/>
  <c r="H168" i="10"/>
  <c r="F201" i="10"/>
  <c r="H201" i="10"/>
  <c r="F238" i="10"/>
  <c r="H238" i="10"/>
  <c r="I506" i="10"/>
  <c r="J506" i="10" s="1"/>
  <c r="H506" i="10"/>
  <c r="F432" i="10"/>
  <c r="H432" i="10"/>
  <c r="F413" i="10"/>
  <c r="H413" i="10"/>
  <c r="F340" i="10"/>
  <c r="H340" i="10"/>
  <c r="F244" i="10"/>
  <c r="H244" i="10"/>
  <c r="I178" i="10"/>
  <c r="J178" i="10" s="1"/>
  <c r="H178" i="10"/>
  <c r="I161" i="10"/>
  <c r="J161" i="10" s="1"/>
  <c r="H161" i="10"/>
  <c r="F67" i="10"/>
  <c r="H67" i="10"/>
  <c r="F629" i="10"/>
  <c r="H629" i="10"/>
  <c r="I307" i="10"/>
  <c r="J307" i="10" s="1"/>
  <c r="H307" i="10"/>
  <c r="I463" i="10"/>
  <c r="J463" i="10" s="1"/>
  <c r="H463" i="10"/>
  <c r="F460" i="10"/>
  <c r="H460" i="10"/>
  <c r="F368" i="10"/>
  <c r="H368" i="10"/>
  <c r="I352" i="10"/>
  <c r="J352" i="10" s="1"/>
  <c r="H352" i="10"/>
  <c r="F195" i="10"/>
  <c r="H195" i="10"/>
  <c r="I165" i="10"/>
  <c r="J165" i="10" s="1"/>
  <c r="H165" i="10"/>
  <c r="F590" i="10"/>
  <c r="H590" i="10"/>
  <c r="F511" i="10"/>
  <c r="H511" i="10"/>
  <c r="I381" i="10"/>
  <c r="J381" i="10" s="1"/>
  <c r="H381" i="10"/>
  <c r="I334" i="10"/>
  <c r="J334" i="10" s="1"/>
  <c r="H334" i="10"/>
  <c r="F272" i="10"/>
  <c r="H272" i="10"/>
  <c r="F236" i="10"/>
  <c r="H236" i="10"/>
  <c r="F182" i="10"/>
  <c r="H182" i="10"/>
  <c r="F148" i="10"/>
  <c r="H148" i="10"/>
  <c r="F112" i="10"/>
  <c r="H112" i="10"/>
  <c r="F98" i="10"/>
  <c r="H98" i="10"/>
  <c r="F420" i="10"/>
  <c r="H420" i="10"/>
  <c r="F256" i="10"/>
  <c r="H256" i="10"/>
  <c r="I969" i="10"/>
  <c r="J969" i="10" s="1"/>
  <c r="H969" i="10"/>
  <c r="F898" i="10"/>
  <c r="H898" i="10"/>
  <c r="F754" i="10"/>
  <c r="H754" i="10"/>
  <c r="F569" i="10"/>
  <c r="H569" i="10"/>
  <c r="F293" i="10"/>
  <c r="H293" i="10"/>
  <c r="F220" i="10"/>
  <c r="H220" i="10"/>
  <c r="F217" i="10"/>
  <c r="H217" i="10"/>
  <c r="I203" i="10"/>
  <c r="J203" i="10" s="1"/>
  <c r="H203" i="10"/>
  <c r="F162" i="10"/>
  <c r="H162" i="10"/>
  <c r="F24" i="10"/>
  <c r="H24" i="10"/>
  <c r="F1037" i="10"/>
  <c r="H1037" i="10"/>
  <c r="F936" i="10"/>
  <c r="H936" i="10"/>
  <c r="F852" i="10"/>
  <c r="H852" i="10"/>
  <c r="I489" i="10"/>
  <c r="J489" i="10" s="1"/>
  <c r="H489" i="10"/>
  <c r="F130" i="10"/>
  <c r="H130" i="10"/>
  <c r="F93" i="10"/>
  <c r="H93" i="10"/>
  <c r="F1166" i="10"/>
  <c r="H1166" i="10"/>
  <c r="F534" i="10"/>
  <c r="H534" i="10"/>
  <c r="F194" i="10"/>
  <c r="H194" i="10"/>
  <c r="I143" i="10"/>
  <c r="J143" i="10" s="1"/>
  <c r="H143" i="10"/>
  <c r="F1116" i="10"/>
  <c r="H1116" i="10"/>
  <c r="F1048" i="10"/>
  <c r="H1048" i="10"/>
  <c r="I832" i="10"/>
  <c r="J832" i="10" s="1"/>
  <c r="H832" i="10"/>
  <c r="I803" i="10"/>
  <c r="J803" i="10" s="1"/>
  <c r="H803" i="10"/>
  <c r="F583" i="10"/>
  <c r="H583" i="10"/>
  <c r="F389" i="10"/>
  <c r="H389" i="10"/>
  <c r="F308" i="10"/>
  <c r="H308" i="10"/>
  <c r="F235" i="10"/>
  <c r="H235" i="10"/>
  <c r="F513" i="10"/>
  <c r="H513" i="10"/>
  <c r="F450" i="10"/>
  <c r="H450" i="10"/>
  <c r="F25" i="10"/>
  <c r="H25" i="10"/>
  <c r="I950" i="10"/>
  <c r="J950" i="10" s="1"/>
  <c r="H950" i="10"/>
  <c r="F971" i="10"/>
  <c r="H971" i="10"/>
  <c r="F935" i="10"/>
  <c r="H935" i="10"/>
  <c r="F649" i="10"/>
  <c r="H649" i="10"/>
  <c r="F276" i="10"/>
  <c r="H276" i="10"/>
  <c r="F262" i="10"/>
  <c r="H262" i="10"/>
  <c r="I198" i="10"/>
  <c r="J198" i="10" s="1"/>
  <c r="H198" i="10"/>
  <c r="F164" i="10"/>
  <c r="H164" i="10"/>
  <c r="I153" i="10"/>
  <c r="J153" i="10" s="1"/>
  <c r="H153" i="10"/>
  <c r="F53" i="10"/>
  <c r="H53" i="10"/>
  <c r="F26" i="10"/>
  <c r="H26" i="10"/>
  <c r="F774" i="10"/>
  <c r="H774" i="10"/>
  <c r="F724" i="10"/>
  <c r="H724" i="10"/>
  <c r="F615" i="10"/>
  <c r="H615" i="10"/>
  <c r="F573" i="10"/>
  <c r="H573" i="10"/>
  <c r="F493" i="10"/>
  <c r="H493" i="10"/>
  <c r="F482" i="10"/>
  <c r="H482" i="10"/>
  <c r="F441" i="10"/>
  <c r="H441" i="10"/>
  <c r="I108" i="10"/>
  <c r="J108" i="10" s="1"/>
  <c r="H108" i="10"/>
  <c r="F100" i="10"/>
  <c r="H100" i="10"/>
  <c r="F1178" i="10"/>
  <c r="H1178" i="10"/>
  <c r="F1107" i="10"/>
  <c r="H1107" i="10"/>
  <c r="F837" i="10"/>
  <c r="H837" i="10"/>
  <c r="F680" i="10"/>
  <c r="H680" i="10"/>
  <c r="I38" i="10"/>
  <c r="J38" i="10" s="1"/>
  <c r="H38" i="10"/>
  <c r="F538" i="10"/>
  <c r="H538" i="10"/>
  <c r="I418" i="10"/>
  <c r="J418" i="10" s="1"/>
  <c r="H418" i="10"/>
  <c r="I393" i="10"/>
  <c r="J393" i="10" s="1"/>
  <c r="H393" i="10"/>
  <c r="I301" i="10"/>
  <c r="J301" i="10" s="1"/>
  <c r="H301" i="10"/>
  <c r="I1071" i="10"/>
  <c r="J1071" i="10" s="1"/>
  <c r="H1071" i="10"/>
  <c r="F943" i="10"/>
  <c r="H943" i="10"/>
  <c r="I906" i="10"/>
  <c r="J906" i="10" s="1"/>
  <c r="H906" i="10"/>
  <c r="F500" i="10"/>
  <c r="H500" i="10"/>
  <c r="F476" i="10"/>
  <c r="H476" i="10"/>
  <c r="F328" i="10"/>
  <c r="H328" i="10"/>
  <c r="I136" i="10"/>
  <c r="J136" i="10" s="1"/>
  <c r="H136" i="10"/>
  <c r="F1035" i="10"/>
  <c r="H1035" i="10"/>
  <c r="I744" i="10"/>
  <c r="J744" i="10" s="1"/>
  <c r="H744" i="10"/>
  <c r="F587" i="10"/>
  <c r="H587" i="10"/>
  <c r="F312" i="10"/>
  <c r="H312" i="10"/>
  <c r="F117" i="10"/>
  <c r="H117" i="10"/>
  <c r="F1185" i="10"/>
  <c r="H1185" i="10"/>
  <c r="F1114" i="10"/>
  <c r="H1114" i="10"/>
  <c r="F1032" i="10"/>
  <c r="H1032" i="10"/>
  <c r="F1029" i="10"/>
  <c r="H1029" i="10"/>
  <c r="F840" i="10"/>
  <c r="H840" i="10"/>
  <c r="I422" i="10"/>
  <c r="J422" i="10" s="1"/>
  <c r="H422" i="10"/>
  <c r="F87" i="10"/>
  <c r="H87" i="10"/>
  <c r="F527" i="10"/>
  <c r="H527" i="10"/>
  <c r="F793" i="10"/>
  <c r="H793" i="10"/>
  <c r="I1080" i="10"/>
  <c r="J1080" i="10" s="1"/>
  <c r="H1080" i="10"/>
  <c r="I1017" i="10"/>
  <c r="J1017" i="10" s="1"/>
  <c r="H1017" i="10"/>
  <c r="I739" i="10"/>
  <c r="J739" i="10" s="1"/>
  <c r="H739" i="10"/>
  <c r="F677" i="10"/>
  <c r="H677" i="10"/>
  <c r="F623" i="10"/>
  <c r="H623" i="10"/>
  <c r="I488" i="10"/>
  <c r="J488" i="10" s="1"/>
  <c r="H488" i="10"/>
  <c r="I255" i="10"/>
  <c r="J255" i="10" s="1"/>
  <c r="H255" i="10"/>
  <c r="F252" i="10"/>
  <c r="H252" i="10"/>
  <c r="F478" i="10"/>
  <c r="H478" i="10"/>
  <c r="F1173" i="10"/>
  <c r="H1173" i="10"/>
  <c r="F709" i="10"/>
  <c r="H709" i="10"/>
  <c r="F410" i="10"/>
  <c r="H410" i="10"/>
  <c r="F271" i="10"/>
  <c r="H271" i="10"/>
  <c r="F199" i="10"/>
  <c r="H199" i="10"/>
  <c r="F464" i="10"/>
  <c r="H464" i="10"/>
  <c r="I94" i="10"/>
  <c r="J94" i="10" s="1"/>
  <c r="H94" i="10"/>
  <c r="F347" i="10"/>
  <c r="H347" i="10"/>
  <c r="F306" i="10"/>
  <c r="H306" i="10"/>
  <c r="F280" i="10"/>
  <c r="H280" i="10"/>
  <c r="I266" i="10"/>
  <c r="J266" i="10" s="1"/>
  <c r="H266" i="10"/>
  <c r="F260" i="10"/>
  <c r="H260" i="10"/>
  <c r="F118" i="10"/>
  <c r="H118" i="10"/>
  <c r="I22" i="10"/>
  <c r="J22" i="10" s="1"/>
  <c r="H22" i="10"/>
  <c r="F1039" i="10"/>
  <c r="H1039" i="10"/>
  <c r="F1016" i="10"/>
  <c r="H1016" i="10"/>
  <c r="I959" i="10"/>
  <c r="J959" i="10" s="1"/>
  <c r="H959" i="10"/>
  <c r="I708" i="10"/>
  <c r="J708" i="10" s="1"/>
  <c r="H708" i="10"/>
  <c r="F705" i="10"/>
  <c r="H705" i="10"/>
  <c r="F412" i="10"/>
  <c r="H412" i="10"/>
  <c r="F251" i="10"/>
  <c r="H251" i="10"/>
  <c r="I191" i="10"/>
  <c r="J191" i="10" s="1"/>
  <c r="H191" i="10"/>
  <c r="F107" i="10"/>
  <c r="H107" i="10"/>
  <c r="F1044" i="10"/>
  <c r="H1044" i="10"/>
  <c r="I784" i="10"/>
  <c r="J784" i="10" s="1"/>
  <c r="H784" i="10"/>
  <c r="F1164" i="10"/>
  <c r="H1164" i="10"/>
  <c r="F636" i="10"/>
  <c r="H636" i="10"/>
  <c r="F167" i="10"/>
  <c r="H167" i="10"/>
  <c r="F128" i="10"/>
  <c r="H128" i="10"/>
  <c r="F949" i="10"/>
  <c r="H949" i="10"/>
  <c r="I780" i="10"/>
  <c r="J780" i="10" s="1"/>
  <c r="H780" i="10"/>
  <c r="F717" i="10"/>
  <c r="H717" i="10"/>
  <c r="F319" i="10"/>
  <c r="H319" i="10"/>
  <c r="F616" i="10"/>
  <c r="H616" i="10"/>
  <c r="F559" i="10"/>
  <c r="H559" i="10"/>
  <c r="F146" i="10"/>
  <c r="H146" i="10"/>
  <c r="F116" i="10"/>
  <c r="H116" i="10"/>
  <c r="F417" i="10"/>
  <c r="H417" i="10"/>
  <c r="I331" i="10"/>
  <c r="J331" i="10" s="1"/>
  <c r="H331" i="10"/>
  <c r="F96" i="10"/>
  <c r="H96" i="10"/>
  <c r="F88" i="10"/>
  <c r="H88" i="10"/>
  <c r="F970" i="10"/>
  <c r="H970" i="10"/>
  <c r="I215" i="10"/>
  <c r="J215" i="10" s="1"/>
  <c r="H215" i="10"/>
  <c r="F361" i="10"/>
  <c r="H361" i="10"/>
  <c r="F453" i="10"/>
  <c r="H453" i="10"/>
  <c r="F1067" i="10"/>
  <c r="H1067" i="10"/>
  <c r="F85" i="10"/>
  <c r="H85" i="10"/>
  <c r="F402" i="10"/>
  <c r="H402" i="10"/>
  <c r="F142" i="10"/>
  <c r="H142" i="10"/>
  <c r="F1059" i="10"/>
  <c r="H1059" i="10"/>
  <c r="F1030" i="10"/>
  <c r="H1030" i="10"/>
  <c r="F503" i="10"/>
  <c r="H503" i="10"/>
  <c r="I97" i="10"/>
  <c r="J97" i="10" s="1"/>
  <c r="H97" i="10"/>
  <c r="F904" i="10"/>
  <c r="I841" i="10"/>
  <c r="J841" i="10" s="1"/>
  <c r="I1059" i="10"/>
  <c r="J1059" i="10" s="1"/>
  <c r="I458" i="10"/>
  <c r="J458" i="10" s="1"/>
  <c r="I615" i="10"/>
  <c r="J615" i="10" s="1"/>
  <c r="I970" i="10"/>
  <c r="J970" i="10" s="1"/>
  <c r="I984" i="10"/>
  <c r="J984" i="10" s="1"/>
  <c r="F633" i="10"/>
  <c r="F97" i="10"/>
  <c r="N575" i="6"/>
  <c r="T575" i="10" s="1"/>
  <c r="AP575" i="10" s="1"/>
  <c r="N64" i="6"/>
  <c r="T64" i="10" s="1"/>
  <c r="N438" i="6"/>
  <c r="T438" i="10" s="1"/>
  <c r="N585" i="6"/>
  <c r="T585" i="10" s="1"/>
  <c r="N314" i="6"/>
  <c r="T314" i="10" s="1"/>
  <c r="AP314" i="10" s="1"/>
  <c r="N706" i="6"/>
  <c r="T706" i="10" s="1"/>
  <c r="AP706" i="10" s="1"/>
  <c r="N525" i="6"/>
  <c r="T525" i="10" s="1"/>
  <c r="N385" i="6"/>
  <c r="T385" i="10" s="1"/>
  <c r="N410" i="6"/>
  <c r="T410" i="10" s="1"/>
  <c r="AP410" i="10" s="1"/>
  <c r="N184" i="6"/>
  <c r="T184" i="10" s="1"/>
  <c r="N1108" i="6"/>
  <c r="T1108" i="10" s="1"/>
  <c r="N756" i="6"/>
  <c r="T756" i="10" s="1"/>
  <c r="N610" i="6"/>
  <c r="T610" i="10" s="1"/>
  <c r="AP610" i="10" s="1"/>
  <c r="N587" i="6"/>
  <c r="T587" i="10" s="1"/>
  <c r="AP587" i="10" s="1"/>
  <c r="N554" i="6"/>
  <c r="T554" i="10" s="1"/>
  <c r="AP554" i="10" s="1"/>
  <c r="N484" i="6"/>
  <c r="T484" i="10" s="1"/>
  <c r="N441" i="6"/>
  <c r="T441" i="10" s="1"/>
  <c r="N380" i="6"/>
  <c r="T380" i="10" s="1"/>
  <c r="N1110" i="6"/>
  <c r="T1110" i="10" s="1"/>
  <c r="N920" i="6"/>
  <c r="T920" i="10" s="1"/>
  <c r="N680" i="6"/>
  <c r="T680" i="10" s="1"/>
  <c r="N617" i="6"/>
  <c r="T617" i="10" s="1"/>
  <c r="AP617" i="10" s="1"/>
  <c r="N568" i="6"/>
  <c r="T568" i="10" s="1"/>
  <c r="N479" i="6"/>
  <c r="T479" i="10" s="1"/>
  <c r="N413" i="6"/>
  <c r="T413" i="10" s="1"/>
  <c r="N395" i="6"/>
  <c r="T395" i="10" s="1"/>
  <c r="N245" i="6"/>
  <c r="T245" i="10" s="1"/>
  <c r="N1166" i="6"/>
  <c r="T1166" i="10" s="1"/>
  <c r="AP1166" i="10" s="1"/>
  <c r="N482" i="6"/>
  <c r="T482" i="10" s="1"/>
  <c r="AP482" i="10" s="1"/>
  <c r="N377" i="6"/>
  <c r="T377" i="10" s="1"/>
  <c r="N283" i="6"/>
  <c r="T283" i="10" s="1"/>
  <c r="N265" i="6"/>
  <c r="T265" i="10" s="1"/>
  <c r="N240" i="6"/>
  <c r="T240" i="10" s="1"/>
  <c r="AP240" i="10" s="1"/>
  <c r="N214" i="6"/>
  <c r="T214" i="10" s="1"/>
  <c r="AP214" i="10" s="1"/>
  <c r="N451" i="6"/>
  <c r="T451" i="10" s="1"/>
  <c r="N382" i="6"/>
  <c r="T382" i="10" s="1"/>
  <c r="N143" i="6"/>
  <c r="T143" i="10" s="1"/>
  <c r="N118" i="6"/>
  <c r="T118" i="10" s="1"/>
  <c r="AP118" i="10" s="1"/>
  <c r="N115" i="6"/>
  <c r="T115" i="10" s="1"/>
  <c r="AP115" i="10" s="1"/>
  <c r="N69" i="6"/>
  <c r="T69" i="10" s="1"/>
  <c r="N1174" i="6"/>
  <c r="T1174" i="10" s="1"/>
  <c r="AP1174" i="10" s="1"/>
  <c r="N258" i="6"/>
  <c r="T258" i="10" s="1"/>
  <c r="AP258" i="10" s="1"/>
  <c r="N189" i="6"/>
  <c r="T189" i="10" s="1"/>
  <c r="AP189" i="10" s="1"/>
  <c r="N171" i="6"/>
  <c r="T171" i="10" s="1"/>
  <c r="N87" i="6"/>
  <c r="T87" i="10" s="1"/>
  <c r="AP87" i="10" s="1"/>
  <c r="N349" i="6"/>
  <c r="T349" i="10" s="1"/>
  <c r="N582" i="6"/>
  <c r="T582" i="10" s="1"/>
  <c r="AP582" i="10" s="1"/>
  <c r="N181" i="6"/>
  <c r="T181" i="10" s="1"/>
  <c r="N97" i="6"/>
  <c r="T97" i="10" s="1"/>
  <c r="N260" i="6"/>
  <c r="T260" i="10" s="1"/>
  <c r="N367" i="6"/>
  <c r="T367" i="10" s="1"/>
  <c r="AP367" i="10" s="1"/>
  <c r="N209" i="6"/>
  <c r="T209" i="10" s="1"/>
  <c r="AP209" i="10" s="1"/>
  <c r="N74" i="6"/>
  <c r="T74" i="10" s="1"/>
  <c r="AP74" i="10" s="1"/>
  <c r="N227" i="6"/>
  <c r="T227" i="10" s="1"/>
  <c r="AP227" i="10" s="1"/>
  <c r="N103" i="6"/>
  <c r="T103" i="10" s="1"/>
  <c r="N92" i="6"/>
  <c r="T92" i="10" s="1"/>
  <c r="N1192" i="6"/>
  <c r="T1192" i="10" s="1"/>
  <c r="N1180" i="6"/>
  <c r="T1180" i="10" s="1"/>
  <c r="AP1180" i="10" s="1"/>
  <c r="N1172" i="6"/>
  <c r="T1172" i="10" s="1"/>
  <c r="N1154" i="6"/>
  <c r="T1154" i="10" s="1"/>
  <c r="AP1154" i="10" s="1"/>
  <c r="N1134" i="6"/>
  <c r="T1134" i="10" s="1"/>
  <c r="AP1134" i="10" s="1"/>
  <c r="N1086" i="6"/>
  <c r="T1086" i="10" s="1"/>
  <c r="N1074" i="6"/>
  <c r="T1074" i="10" s="1"/>
  <c r="N1066" i="6"/>
  <c r="T1066" i="10" s="1"/>
  <c r="N1052" i="6"/>
  <c r="T1052" i="10" s="1"/>
  <c r="AP1052" i="10" s="1"/>
  <c r="N952" i="6"/>
  <c r="T952" i="10" s="1"/>
  <c r="N1102" i="6"/>
  <c r="T1102" i="10" s="1"/>
  <c r="N1080" i="6"/>
  <c r="T1080" i="10" s="1"/>
  <c r="AP1080" i="10" s="1"/>
  <c r="N910" i="6"/>
  <c r="T910" i="10" s="1"/>
  <c r="N1042" i="6"/>
  <c r="T1042" i="10" s="1"/>
  <c r="N938" i="6"/>
  <c r="T938" i="10" s="1"/>
  <c r="AP938" i="10" s="1"/>
  <c r="N1098" i="6"/>
  <c r="T1098" i="10" s="1"/>
  <c r="N854" i="6"/>
  <c r="T854" i="10" s="1"/>
  <c r="N1164" i="6"/>
  <c r="T1164" i="10" s="1"/>
  <c r="AP1164" i="10" s="1"/>
  <c r="N1126" i="6"/>
  <c r="T1126" i="10" s="1"/>
  <c r="AP1126" i="10" s="1"/>
  <c r="N1072" i="6"/>
  <c r="T1072" i="10" s="1"/>
  <c r="N1064" i="6"/>
  <c r="T1064" i="10" s="1"/>
  <c r="AP1064" i="10" s="1"/>
  <c r="N924" i="6"/>
  <c r="T924" i="10" s="1"/>
  <c r="N742" i="6"/>
  <c r="T742" i="10" s="1"/>
  <c r="AP742" i="10" s="1"/>
  <c r="N1160" i="6"/>
  <c r="T1160" i="10" s="1"/>
  <c r="N1058" i="6"/>
  <c r="T1058" i="10" s="1"/>
  <c r="AP1058" i="10" s="1"/>
  <c r="N1046" i="6"/>
  <c r="T1046" i="10" s="1"/>
  <c r="AP1046" i="10" s="1"/>
  <c r="N1038" i="6"/>
  <c r="T1038" i="10" s="1"/>
  <c r="N1024" i="6"/>
  <c r="T1024" i="10" s="1"/>
  <c r="AP1024" i="10" s="1"/>
  <c r="N994" i="6"/>
  <c r="T994" i="10" s="1"/>
  <c r="N798" i="6"/>
  <c r="T798" i="10" s="1"/>
  <c r="AP798" i="10" s="1"/>
  <c r="N1186" i="6"/>
  <c r="T1186" i="10" s="1"/>
  <c r="N788" i="6"/>
  <c r="T788" i="10" s="1"/>
  <c r="N430" i="6"/>
  <c r="T430" i="10" s="1"/>
  <c r="N356" i="6"/>
  <c r="T356" i="10" s="1"/>
  <c r="N344" i="6"/>
  <c r="T344" i="10" s="1"/>
  <c r="AP344" i="10" s="1"/>
  <c r="N290" i="6"/>
  <c r="T290" i="10" s="1"/>
  <c r="AP290" i="10" s="1"/>
  <c r="N160" i="6"/>
  <c r="T160" i="10" s="1"/>
  <c r="AP160" i="10" s="1"/>
  <c r="N148" i="6"/>
  <c r="T148" i="10" s="1"/>
  <c r="AP148" i="10" s="1"/>
  <c r="N94" i="6"/>
  <c r="T94" i="10" s="1"/>
  <c r="N26" i="6"/>
  <c r="T26" i="10" s="1"/>
  <c r="AP26" i="10" s="1"/>
  <c r="N12" i="6"/>
  <c r="T12" i="10" s="1"/>
  <c r="AP12" i="10" s="1"/>
  <c r="N414" i="6"/>
  <c r="T414" i="10" s="1"/>
  <c r="AP414" i="10" s="1"/>
  <c r="N1018" i="6"/>
  <c r="T1018" i="10" s="1"/>
  <c r="AP1018" i="10" s="1"/>
  <c r="N806" i="6"/>
  <c r="T806" i="10" s="1"/>
  <c r="N660" i="6"/>
  <c r="T660" i="10" s="1"/>
  <c r="AP660" i="10" s="1"/>
  <c r="N458" i="6"/>
  <c r="T458" i="10" s="1"/>
  <c r="N374" i="6"/>
  <c r="T374" i="10" s="1"/>
  <c r="N244" i="6"/>
  <c r="T244" i="10" s="1"/>
  <c r="N232" i="6"/>
  <c r="T232" i="10" s="1"/>
  <c r="AP232" i="10" s="1"/>
  <c r="N178" i="6"/>
  <c r="T178" i="10" s="1"/>
  <c r="AP178" i="10" s="1"/>
  <c r="N48" i="6"/>
  <c r="T48" i="10" s="1"/>
  <c r="AP48" i="10" s="1"/>
  <c r="N36" i="6"/>
  <c r="T36" i="10" s="1"/>
  <c r="AP36" i="10" s="1"/>
  <c r="N22" i="6"/>
  <c r="T22" i="10" s="1"/>
  <c r="N8" i="6"/>
  <c r="T8" i="10" s="1"/>
  <c r="AP8" i="10" s="1"/>
  <c r="N486" i="6"/>
  <c r="T486" i="10" s="1"/>
  <c r="N328" i="6"/>
  <c r="T328" i="10" s="1"/>
  <c r="AP328" i="10" s="1"/>
  <c r="N316" i="6"/>
  <c r="T316" i="10" s="1"/>
  <c r="N262" i="6"/>
  <c r="T262" i="10" s="1"/>
  <c r="N132" i="6"/>
  <c r="T132" i="10" s="1"/>
  <c r="AP132" i="10" s="1"/>
  <c r="N120" i="6"/>
  <c r="T120" i="10" s="1"/>
  <c r="N66" i="6"/>
  <c r="T66" i="10" s="1"/>
  <c r="N32" i="6"/>
  <c r="T32" i="10" s="1"/>
  <c r="N18" i="6"/>
  <c r="T18" i="10" s="1"/>
  <c r="AP18" i="10" s="1"/>
  <c r="N4" i="6"/>
  <c r="T4" i="10" s="1"/>
  <c r="AP4" i="10" s="1"/>
  <c r="N1010" i="6"/>
  <c r="T1010" i="10" s="1"/>
  <c r="AP1010" i="10" s="1"/>
  <c r="N502" i="6"/>
  <c r="T502" i="10" s="1"/>
  <c r="AP502" i="10" s="1"/>
  <c r="N250" i="6"/>
  <c r="T250" i="10" s="1"/>
  <c r="N54" i="6"/>
  <c r="T54" i="10" s="1"/>
  <c r="AP54" i="10" s="1"/>
  <c r="N150" i="6"/>
  <c r="T150" i="10" s="1"/>
  <c r="AP150" i="10" s="1"/>
  <c r="N28" i="6"/>
  <c r="T28" i="10" s="1"/>
  <c r="AP28" i="10" s="1"/>
  <c r="N14" i="6"/>
  <c r="T14" i="10" s="1"/>
  <c r="AP14" i="10" s="1"/>
  <c r="N984" i="6"/>
  <c r="T984" i="10" s="1"/>
  <c r="AP984" i="10" s="1"/>
  <c r="N848" i="6"/>
  <c r="T848" i="10" s="1"/>
  <c r="AP848" i="10" s="1"/>
  <c r="N334" i="6"/>
  <c r="T334" i="10" s="1"/>
  <c r="N138" i="6"/>
  <c r="T138" i="10" s="1"/>
  <c r="AP138" i="10" s="1"/>
  <c r="N234" i="6"/>
  <c r="T234" i="10" s="1"/>
  <c r="AP234" i="10" s="1"/>
  <c r="N38" i="6"/>
  <c r="T38" i="10" s="1"/>
  <c r="N24" i="6"/>
  <c r="T24" i="10" s="1"/>
  <c r="N10" i="6"/>
  <c r="T10" i="10" s="1"/>
  <c r="AP10" i="10" s="1"/>
  <c r="N384" i="6"/>
  <c r="T384" i="10" s="1"/>
  <c r="AP384" i="10" s="1"/>
  <c r="N372" i="6"/>
  <c r="T372" i="10" s="1"/>
  <c r="N318" i="6"/>
  <c r="T318" i="10" s="1"/>
  <c r="AP318" i="10" s="1"/>
  <c r="N188" i="6"/>
  <c r="T188" i="10" s="1"/>
  <c r="AP188" i="10" s="1"/>
  <c r="N176" i="6"/>
  <c r="T176" i="10" s="1"/>
  <c r="N122" i="6"/>
  <c r="T122" i="10" s="1"/>
  <c r="AP122" i="10" s="1"/>
  <c r="N34" i="6"/>
  <c r="T34" i="10" s="1"/>
  <c r="AP34" i="10" s="1"/>
  <c r="N20" i="6"/>
  <c r="T20" i="10" s="1"/>
  <c r="N6" i="6"/>
  <c r="T6" i="10" s="1"/>
  <c r="AP6" i="10" s="1"/>
  <c r="N306" i="6"/>
  <c r="T306" i="10" s="1"/>
  <c r="N110" i="6"/>
  <c r="T110" i="10" s="1"/>
  <c r="N942" i="6"/>
  <c r="T942" i="10" s="1"/>
  <c r="N468" i="6"/>
  <c r="T468" i="10" s="1"/>
  <c r="AP468" i="10" s="1"/>
  <c r="N418" i="6"/>
  <c r="T418" i="10" s="1"/>
  <c r="AP418" i="10" s="1"/>
  <c r="N390" i="6"/>
  <c r="T390" i="10" s="1"/>
  <c r="N302" i="6"/>
  <c r="T302" i="10" s="1"/>
  <c r="N194" i="6"/>
  <c r="T194" i="10" s="1"/>
  <c r="N106" i="6"/>
  <c r="T106" i="10" s="1"/>
  <c r="N358" i="6"/>
  <c r="T358" i="10" s="1"/>
  <c r="AP358" i="10" s="1"/>
  <c r="N218" i="6"/>
  <c r="T218" i="10" s="1"/>
  <c r="N470" i="6"/>
  <c r="T470" i="10" s="1"/>
  <c r="I1124" i="10"/>
  <c r="J1124" i="10" s="1"/>
  <c r="I116" i="10"/>
  <c r="J116" i="10" s="1"/>
  <c r="I1166" i="10"/>
  <c r="J1166" i="10" s="1"/>
  <c r="F1023" i="10"/>
  <c r="I851" i="10"/>
  <c r="J851" i="10" s="1"/>
  <c r="F906" i="10"/>
  <c r="F393" i="10"/>
  <c r="F499" i="10"/>
  <c r="I680" i="10"/>
  <c r="J680" i="10" s="1"/>
  <c r="I1042" i="10"/>
  <c r="J1042" i="10" s="1"/>
  <c r="I905" i="10"/>
  <c r="J905" i="10" s="1"/>
  <c r="F739" i="10"/>
  <c r="I541" i="10"/>
  <c r="J541" i="10" s="1"/>
  <c r="I168" i="10"/>
  <c r="J168" i="10" s="1"/>
  <c r="I713" i="10"/>
  <c r="J713" i="10" s="1"/>
  <c r="I396" i="10"/>
  <c r="J396" i="10" s="1"/>
  <c r="F352" i="10"/>
  <c r="F489" i="10"/>
  <c r="I601" i="10"/>
  <c r="J601" i="10" s="1"/>
  <c r="F1098" i="10"/>
  <c r="I569" i="10"/>
  <c r="J569" i="10" s="1"/>
  <c r="I711" i="10"/>
  <c r="J711" i="10" s="1"/>
  <c r="I682" i="10"/>
  <c r="J682" i="10" s="1"/>
  <c r="I1032" i="10"/>
  <c r="J1032" i="10" s="1"/>
  <c r="I520" i="10"/>
  <c r="J520" i="10" s="1"/>
  <c r="F454" i="10"/>
  <c r="I949" i="10"/>
  <c r="J949" i="10" s="1"/>
  <c r="F784" i="10"/>
  <c r="I936" i="10"/>
  <c r="J936" i="10" s="1"/>
  <c r="I453" i="10"/>
  <c r="J453" i="10" s="1"/>
  <c r="I302" i="10"/>
  <c r="J302" i="10" s="1"/>
  <c r="I60" i="10"/>
  <c r="J60" i="10" s="1"/>
  <c r="I657" i="10"/>
  <c r="J657" i="10" s="1"/>
  <c r="I985" i="10"/>
  <c r="J985" i="10" s="1"/>
  <c r="F902" i="10"/>
  <c r="I344" i="10"/>
  <c r="J344" i="10" s="1"/>
  <c r="I140" i="10"/>
  <c r="J140" i="10" s="1"/>
  <c r="F94" i="10"/>
  <c r="I746" i="10"/>
  <c r="J746" i="10" s="1"/>
  <c r="I271" i="10"/>
  <c r="J271" i="10" s="1"/>
  <c r="I413" i="10"/>
  <c r="J413" i="10" s="1"/>
  <c r="I1158" i="10"/>
  <c r="J1158" i="10" s="1"/>
  <c r="F335" i="10"/>
  <c r="I1173" i="10"/>
  <c r="J1173" i="10" s="1"/>
  <c r="F641" i="10"/>
  <c r="F865" i="10"/>
  <c r="I913" i="10"/>
  <c r="J913" i="10" s="1"/>
  <c r="F803" i="10"/>
  <c r="I922" i="10"/>
  <c r="J922" i="10" s="1"/>
  <c r="I251" i="10"/>
  <c r="J251" i="10" s="1"/>
  <c r="I935" i="10"/>
  <c r="J935" i="10" s="1"/>
  <c r="I894" i="10"/>
  <c r="J894" i="10" s="1"/>
  <c r="I792" i="10"/>
  <c r="J792" i="10" s="1"/>
  <c r="I1070" i="10"/>
  <c r="J1070" i="10" s="1"/>
  <c r="F959" i="10"/>
  <c r="I1055" i="10"/>
  <c r="J1055" i="10" s="1"/>
  <c r="I1103" i="10"/>
  <c r="J1103" i="10" s="1"/>
  <c r="F694" i="10"/>
  <c r="I1035" i="10"/>
  <c r="J1035" i="10" s="1"/>
  <c r="F17" i="10"/>
  <c r="F3" i="10"/>
  <c r="I16" i="10"/>
  <c r="J16" i="10" s="1"/>
  <c r="F10" i="10"/>
  <c r="F14" i="10"/>
  <c r="I9" i="10"/>
  <c r="J9" i="10" s="1"/>
  <c r="F4" i="10"/>
  <c r="I6" i="10"/>
  <c r="J6" i="10" s="1"/>
  <c r="F8" i="10"/>
  <c r="F143" i="10"/>
  <c r="I793" i="10"/>
  <c r="J793" i="10" s="1"/>
  <c r="I1116" i="10"/>
  <c r="J1116" i="10" s="1"/>
  <c r="I107" i="10"/>
  <c r="J107" i="10" s="1"/>
  <c r="F6" i="10"/>
  <c r="I768" i="10"/>
  <c r="J768" i="10" s="1"/>
  <c r="I621" i="10"/>
  <c r="J621" i="10" s="1"/>
  <c r="F780" i="10"/>
  <c r="F744" i="10"/>
  <c r="I510" i="10"/>
  <c r="J510" i="10" s="1"/>
  <c r="I96" i="10"/>
  <c r="J96" i="10" s="1"/>
  <c r="I1187" i="10"/>
  <c r="J1187" i="10" s="1"/>
  <c r="I553" i="10"/>
  <c r="J553" i="10" s="1"/>
  <c r="I899" i="10"/>
  <c r="J899" i="10" s="1"/>
  <c r="I815" i="10"/>
  <c r="J815" i="10" s="1"/>
  <c r="I482" i="10"/>
  <c r="J482" i="10" s="1"/>
  <c r="I467" i="10"/>
  <c r="J467" i="10" s="1"/>
  <c r="I382" i="10"/>
  <c r="J382" i="10" s="1"/>
  <c r="F1026" i="10"/>
  <c r="I678" i="10"/>
  <c r="J678" i="10" s="1"/>
  <c r="F492" i="10"/>
  <c r="I450" i="10"/>
  <c r="J450" i="10" s="1"/>
  <c r="I963" i="10"/>
  <c r="J963" i="10" s="1"/>
  <c r="I420" i="10"/>
  <c r="J420" i="10" s="1"/>
  <c r="I67" i="10"/>
  <c r="J67" i="10" s="1"/>
  <c r="I10" i="10"/>
  <c r="J10" i="10" s="1"/>
  <c r="I1015" i="10"/>
  <c r="J1015" i="10" s="1"/>
  <c r="I703" i="10"/>
  <c r="J703" i="10" s="1"/>
  <c r="F708" i="10"/>
  <c r="F423" i="10"/>
  <c r="I600" i="10"/>
  <c r="J600" i="10" s="1"/>
  <c r="I225" i="10"/>
  <c r="J225" i="10" s="1"/>
  <c r="I1009" i="10"/>
  <c r="J1009" i="10" s="1"/>
  <c r="F22" i="10"/>
  <c r="I166" i="10"/>
  <c r="J166" i="10" s="1"/>
  <c r="I826" i="10"/>
  <c r="J826" i="10" s="1"/>
  <c r="I1172" i="10"/>
  <c r="J1172" i="10" s="1"/>
  <c r="I1014" i="10"/>
  <c r="J1014" i="10" s="1"/>
  <c r="I491" i="10"/>
  <c r="J491" i="10" s="1"/>
  <c r="F381" i="10"/>
  <c r="F215" i="10"/>
  <c r="F333" i="10"/>
  <c r="I146" i="10"/>
  <c r="J146" i="10" s="1"/>
  <c r="I321" i="10"/>
  <c r="J321" i="10" s="1"/>
  <c r="I89" i="10"/>
  <c r="J89" i="10" s="1"/>
  <c r="I548" i="10"/>
  <c r="J548" i="10" s="1"/>
  <c r="I17" i="10"/>
  <c r="J17" i="10" s="1"/>
  <c r="I262" i="10"/>
  <c r="J262" i="10" s="1"/>
  <c r="I93" i="10"/>
  <c r="J93" i="10" s="1"/>
  <c r="I195" i="10"/>
  <c r="J195" i="10" s="1"/>
  <c r="I1185" i="10"/>
  <c r="J1185" i="10" s="1"/>
  <c r="F1017" i="10"/>
  <c r="I649" i="10"/>
  <c r="J649" i="10" s="1"/>
  <c r="F488" i="10"/>
  <c r="F137" i="10"/>
  <c r="I1094" i="10"/>
  <c r="J1094" i="10" s="1"/>
  <c r="F388" i="10"/>
  <c r="I774" i="10"/>
  <c r="J774" i="10" s="1"/>
  <c r="F969" i="10"/>
  <c r="I81" i="10"/>
  <c r="J81" i="10" s="1"/>
  <c r="F9" i="10"/>
  <c r="F266" i="10"/>
  <c r="I852" i="10"/>
  <c r="J852" i="10" s="1"/>
  <c r="I954" i="10"/>
  <c r="J954" i="10" s="1"/>
  <c r="F422" i="10"/>
  <c r="I117" i="10"/>
  <c r="J117" i="10" s="1"/>
  <c r="I260" i="10"/>
  <c r="J260" i="10" s="1"/>
  <c r="I412" i="10"/>
  <c r="J412" i="10" s="1"/>
  <c r="I844" i="10"/>
  <c r="J844" i="10" s="1"/>
  <c r="I523" i="10"/>
  <c r="J523" i="10" s="1"/>
  <c r="I857" i="10"/>
  <c r="J857" i="10" s="1"/>
  <c r="I1192" i="10"/>
  <c r="J1192" i="10" s="1"/>
  <c r="I636" i="10"/>
  <c r="J636" i="10" s="1"/>
  <c r="F1013" i="10"/>
  <c r="F995" i="10"/>
  <c r="F463" i="10"/>
  <c r="I244" i="10"/>
  <c r="J244" i="10" s="1"/>
  <c r="F1080" i="10"/>
  <c r="F759" i="10"/>
  <c r="I280" i="10"/>
  <c r="J280" i="10" s="1"/>
  <c r="I162" i="10"/>
  <c r="J162" i="10" s="1"/>
  <c r="I890" i="10"/>
  <c r="J890" i="10" s="1"/>
  <c r="I562" i="10"/>
  <c r="J562" i="10" s="1"/>
  <c r="I414" i="10"/>
  <c r="J414" i="10" s="1"/>
  <c r="I642" i="10"/>
  <c r="J642" i="10" s="1"/>
  <c r="F398" i="10"/>
  <c r="I340" i="10"/>
  <c r="J340" i="10" s="1"/>
  <c r="F405" i="10"/>
  <c r="I808" i="10"/>
  <c r="J808" i="10" s="1"/>
  <c r="F612" i="10"/>
  <c r="F1148" i="10"/>
  <c r="I123" i="10"/>
  <c r="J123" i="10" s="1"/>
  <c r="I435" i="10"/>
  <c r="J435" i="10" s="1"/>
  <c r="I118" i="10"/>
  <c r="J118" i="10" s="1"/>
  <c r="F213" i="10"/>
  <c r="I238" i="10"/>
  <c r="J238" i="10" s="1"/>
  <c r="F198" i="10"/>
  <c r="I170" i="10"/>
  <c r="J170" i="10" s="1"/>
  <c r="I595" i="10"/>
  <c r="J595" i="10" s="1"/>
  <c r="I199" i="10"/>
  <c r="J199" i="10" s="1"/>
  <c r="I229" i="10"/>
  <c r="J229" i="10" s="1"/>
  <c r="I192" i="10"/>
  <c r="J192" i="10" s="1"/>
  <c r="F108" i="10"/>
  <c r="I42" i="10"/>
  <c r="J42" i="10" s="1"/>
  <c r="I837" i="10"/>
  <c r="J837" i="10" s="1"/>
  <c r="F934" i="10"/>
  <c r="I628" i="10"/>
  <c r="J628" i="10" s="1"/>
  <c r="I532" i="10"/>
  <c r="J532" i="10" s="1"/>
  <c r="I1190" i="10"/>
  <c r="J1190" i="10" s="1"/>
  <c r="F230" i="10"/>
  <c r="F84" i="10"/>
  <c r="I14" i="10"/>
  <c r="J14" i="10" s="1"/>
  <c r="I342" i="10"/>
  <c r="J342" i="10" s="1"/>
  <c r="I187" i="10"/>
  <c r="J187" i="10" s="1"/>
  <c r="I486" i="10"/>
  <c r="J486" i="10" s="1"/>
  <c r="I747" i="10"/>
  <c r="J747" i="10" s="1"/>
  <c r="I357" i="10"/>
  <c r="J357" i="10" s="1"/>
  <c r="I232" i="10"/>
  <c r="J232" i="10" s="1"/>
  <c r="I368" i="10"/>
  <c r="J368" i="10" s="1"/>
  <c r="I560" i="10"/>
  <c r="J560" i="10" s="1"/>
  <c r="I567" i="10"/>
  <c r="J567" i="10" s="1"/>
  <c r="I1012" i="10"/>
  <c r="J1012" i="10" s="1"/>
  <c r="F129" i="10"/>
  <c r="F49" i="10"/>
  <c r="I638" i="10"/>
  <c r="J638" i="10" s="1"/>
  <c r="I840" i="10"/>
  <c r="J840" i="10" s="1"/>
  <c r="F203" i="10"/>
  <c r="I185" i="10"/>
  <c r="J185" i="10" s="1"/>
  <c r="F136" i="10"/>
  <c r="I385" i="10"/>
  <c r="J385" i="10" s="1"/>
  <c r="I525" i="10"/>
  <c r="J525" i="10" s="1"/>
  <c r="I493" i="10"/>
  <c r="J493" i="10" s="1"/>
  <c r="I1037" i="10"/>
  <c r="J1037" i="10" s="1"/>
  <c r="I1180" i="10"/>
  <c r="J1180" i="10" s="1"/>
  <c r="I1092" i="10"/>
  <c r="J1092" i="10" s="1"/>
  <c r="F879" i="10"/>
  <c r="F461" i="10"/>
  <c r="I373" i="10"/>
  <c r="J373" i="10" s="1"/>
  <c r="F255" i="10"/>
  <c r="F73" i="10"/>
  <c r="I278" i="10"/>
  <c r="J278" i="10" s="1"/>
  <c r="F200" i="10"/>
  <c r="F191" i="10"/>
  <c r="I421" i="10"/>
  <c r="J421" i="10" s="1"/>
  <c r="I740" i="10"/>
  <c r="J740" i="10" s="1"/>
  <c r="I863" i="10"/>
  <c r="J863" i="10" s="1"/>
  <c r="I513" i="10"/>
  <c r="J513" i="10" s="1"/>
  <c r="I397" i="10"/>
  <c r="J397" i="10" s="1"/>
  <c r="I312" i="10"/>
  <c r="J312" i="10" s="1"/>
  <c r="F228" i="10"/>
  <c r="I130" i="10"/>
  <c r="J130" i="10" s="1"/>
  <c r="I110" i="10"/>
  <c r="J110" i="10" s="1"/>
  <c r="I209" i="10"/>
  <c r="J209" i="10" s="1"/>
  <c r="I326" i="10"/>
  <c r="J326" i="10" s="1"/>
  <c r="I464" i="10"/>
  <c r="J464" i="10" s="1"/>
  <c r="I858" i="10"/>
  <c r="J858" i="10" s="1"/>
  <c r="I1051" i="10"/>
  <c r="J1051" i="10" s="1"/>
  <c r="I590" i="10"/>
  <c r="J590" i="10" s="1"/>
  <c r="I1027" i="10"/>
  <c r="J1027" i="10" s="1"/>
  <c r="F468" i="10"/>
  <c r="I100" i="10"/>
  <c r="J100" i="10" s="1"/>
  <c r="I409" i="10"/>
  <c r="J409" i="10" s="1"/>
  <c r="I471" i="10"/>
  <c r="J471" i="10" s="1"/>
  <c r="I989" i="10"/>
  <c r="J989" i="10" s="1"/>
  <c r="I1138" i="10"/>
  <c r="J1138" i="10" s="1"/>
  <c r="I308" i="10"/>
  <c r="J308" i="10" s="1"/>
  <c r="I1134" i="10"/>
  <c r="J1134" i="10" s="1"/>
  <c r="I848" i="10"/>
  <c r="J848" i="10" s="1"/>
  <c r="F925" i="10"/>
  <c r="F664" i="10"/>
  <c r="I574" i="10"/>
  <c r="J574" i="10" s="1"/>
  <c r="F456" i="10"/>
  <c r="I293" i="10"/>
  <c r="J293" i="10" s="1"/>
  <c r="F290" i="10"/>
  <c r="I28" i="10"/>
  <c r="J28" i="10" s="1"/>
  <c r="I252" i="10"/>
  <c r="J252" i="10" s="1"/>
  <c r="I630" i="10"/>
  <c r="J630" i="10" s="1"/>
  <c r="I977" i="10"/>
  <c r="J977" i="10" s="1"/>
  <c r="I1117" i="10"/>
  <c r="J1117" i="10" s="1"/>
  <c r="I1178" i="10"/>
  <c r="J1178" i="10" s="1"/>
  <c r="I573" i="10"/>
  <c r="J573" i="10" s="1"/>
  <c r="I428" i="10"/>
  <c r="J428" i="10" s="1"/>
  <c r="I291" i="10"/>
  <c r="J291" i="10" s="1"/>
  <c r="F169" i="10"/>
  <c r="I194" i="10"/>
  <c r="J194" i="10" s="1"/>
  <c r="I511" i="10"/>
  <c r="J511" i="10" s="1"/>
  <c r="I637" i="10"/>
  <c r="J637" i="10" s="1"/>
  <c r="I313" i="10"/>
  <c r="J313" i="10" s="1"/>
  <c r="I588" i="10"/>
  <c r="J588" i="10" s="1"/>
  <c r="I1088" i="10"/>
  <c r="J1088" i="10" s="1"/>
  <c r="I283" i="10"/>
  <c r="J283" i="10" s="1"/>
  <c r="F418" i="10"/>
  <c r="I1022" i="10"/>
  <c r="J1022" i="10" s="1"/>
  <c r="I424" i="10"/>
  <c r="J424" i="10" s="1"/>
  <c r="F986" i="10"/>
  <c r="F832" i="10"/>
  <c r="I538" i="10"/>
  <c r="J538" i="10" s="1"/>
  <c r="I432" i="10"/>
  <c r="J432" i="10" s="1"/>
  <c r="I898" i="10"/>
  <c r="J898" i="10" s="1"/>
  <c r="I921" i="10"/>
  <c r="J921" i="10" s="1"/>
  <c r="F811" i="10"/>
  <c r="F446" i="10"/>
  <c r="F552" i="10"/>
  <c r="F799" i="10"/>
  <c r="F506" i="10"/>
  <c r="I652" i="10"/>
  <c r="J652" i="10" s="1"/>
  <c r="I328" i="10"/>
  <c r="J328" i="10" s="1"/>
  <c r="F120" i="10"/>
  <c r="I4" i="10"/>
  <c r="J4" i="10" s="1"/>
  <c r="I920" i="10"/>
  <c r="J920" i="10" s="1"/>
  <c r="F1186" i="10"/>
  <c r="I942" i="10"/>
  <c r="J942" i="10" s="1"/>
  <c r="I785" i="10"/>
  <c r="J785" i="10" s="1"/>
  <c r="I650" i="10"/>
  <c r="J650" i="10" s="1"/>
  <c r="I891" i="10"/>
  <c r="J891" i="10" s="1"/>
  <c r="F38" i="10"/>
  <c r="F475" i="10"/>
  <c r="I181" i="10"/>
  <c r="J181" i="10" s="1"/>
  <c r="F63" i="10"/>
  <c r="I448" i="10"/>
  <c r="J448" i="10" s="1"/>
  <c r="F1086" i="10"/>
  <c r="I113" i="10"/>
  <c r="J113" i="10" s="1"/>
  <c r="I1031" i="10"/>
  <c r="J1031" i="10" s="1"/>
  <c r="I217" i="10"/>
  <c r="J217" i="10" s="1"/>
  <c r="I947" i="10"/>
  <c r="J947" i="10" s="1"/>
  <c r="I1127" i="10"/>
  <c r="J1127" i="10" s="1"/>
  <c r="F915" i="10"/>
  <c r="I724" i="10"/>
  <c r="J724" i="10" s="1"/>
  <c r="I545" i="10"/>
  <c r="J545" i="10" s="1"/>
  <c r="I1006" i="10"/>
  <c r="J1006" i="10" s="1"/>
  <c r="F760" i="10"/>
  <c r="I781" i="10"/>
  <c r="J781" i="10" s="1"/>
  <c r="I272" i="10"/>
  <c r="J272" i="10" s="1"/>
  <c r="F178" i="10"/>
  <c r="I8" i="10"/>
  <c r="J8" i="10" s="1"/>
  <c r="I26" i="10"/>
  <c r="J26" i="10" s="1"/>
  <c r="I431" i="10"/>
  <c r="J431" i="10" s="1"/>
  <c r="I1108" i="10"/>
  <c r="J1108" i="10" s="1"/>
  <c r="I932" i="10"/>
  <c r="J932" i="10" s="1"/>
  <c r="I460" i="10"/>
  <c r="J460" i="10" s="1"/>
  <c r="F265" i="10"/>
  <c r="F165" i="10"/>
  <c r="I58" i="10"/>
  <c r="J58" i="10" s="1"/>
  <c r="I371" i="10"/>
  <c r="J371" i="10" s="1"/>
  <c r="I943" i="10"/>
  <c r="J943" i="10" s="1"/>
  <c r="I980" i="10"/>
  <c r="J980" i="10" s="1"/>
  <c r="F380" i="10"/>
  <c r="F1071" i="10"/>
  <c r="I389" i="10"/>
  <c r="J389" i="10" s="1"/>
  <c r="I802" i="10"/>
  <c r="J802" i="10" s="1"/>
  <c r="I34" i="10"/>
  <c r="J34" i="10" s="1"/>
  <c r="I220" i="10"/>
  <c r="J220" i="10" s="1"/>
  <c r="I59" i="10"/>
  <c r="J59" i="10" s="1"/>
  <c r="I68" i="10"/>
  <c r="J68" i="10" s="1"/>
  <c r="I754" i="10"/>
  <c r="J754" i="10" s="1"/>
  <c r="I767" i="10"/>
  <c r="J767" i="10" s="1"/>
  <c r="I1131" i="10"/>
  <c r="J1131" i="10" s="1"/>
  <c r="F436" i="10"/>
  <c r="F654" i="10"/>
  <c r="F327" i="10"/>
  <c r="I95" i="10"/>
  <c r="J95" i="10" s="1"/>
  <c r="I310" i="10"/>
  <c r="J310" i="10" s="1"/>
  <c r="I236" i="10"/>
  <c r="J236" i="10" s="1"/>
  <c r="I315" i="10"/>
  <c r="J315" i="10" s="1"/>
  <c r="I427" i="10"/>
  <c r="J427" i="10" s="1"/>
  <c r="I1097" i="10"/>
  <c r="J1097" i="10" s="1"/>
  <c r="I45" i="10"/>
  <c r="J45" i="10" s="1"/>
  <c r="I127" i="10"/>
  <c r="J127" i="10" s="1"/>
  <c r="I670" i="10"/>
  <c r="J670" i="10" s="1"/>
  <c r="I1100" i="10"/>
  <c r="J1100" i="10" s="1"/>
  <c r="I1020" i="10"/>
  <c r="J1020" i="10" s="1"/>
  <c r="F893" i="10"/>
  <c r="F810" i="10"/>
  <c r="I849" i="10"/>
  <c r="J849" i="10" s="1"/>
  <c r="F850" i="10"/>
  <c r="I159" i="10"/>
  <c r="J159" i="10" s="1"/>
  <c r="I274" i="10"/>
  <c r="J274" i="10" s="1"/>
  <c r="I624" i="10"/>
  <c r="J624" i="10" s="1"/>
  <c r="I872" i="10"/>
  <c r="J872" i="10" s="1"/>
  <c r="I994" i="10"/>
  <c r="J994" i="10" s="1"/>
  <c r="I144" i="10"/>
  <c r="J144" i="10" s="1"/>
  <c r="F1149" i="10"/>
  <c r="F1077" i="10"/>
  <c r="F812" i="10"/>
  <c r="F387" i="10"/>
  <c r="I349" i="10"/>
  <c r="J349" i="10" s="1"/>
  <c r="F334" i="10"/>
  <c r="F105" i="10"/>
  <c r="F36" i="10"/>
  <c r="I287" i="10"/>
  <c r="J287" i="10" s="1"/>
  <c r="I457" i="10"/>
  <c r="J457" i="10" s="1"/>
  <c r="I886" i="10"/>
  <c r="J886" i="10" s="1"/>
  <c r="I1084" i="10"/>
  <c r="J1084" i="10" s="1"/>
  <c r="F1065" i="10"/>
  <c r="F822" i="10"/>
  <c r="F234" i="10"/>
  <c r="I115" i="10"/>
  <c r="J115" i="10" s="1"/>
  <c r="I576" i="10"/>
  <c r="J576" i="10" s="1"/>
  <c r="F404" i="10"/>
  <c r="I188" i="10"/>
  <c r="J188" i="10" s="1"/>
  <c r="F1115" i="10"/>
  <c r="I472" i="10"/>
  <c r="J472" i="10" s="1"/>
  <c r="F222" i="10"/>
  <c r="I76" i="10"/>
  <c r="J76" i="10" s="1"/>
  <c r="I790" i="10"/>
  <c r="J790" i="10" s="1"/>
  <c r="I798" i="10"/>
  <c r="J798" i="10" s="1"/>
  <c r="I817" i="10"/>
  <c r="J817" i="10" s="1"/>
  <c r="F35" i="10"/>
  <c r="I469" i="10"/>
  <c r="J469" i="10" s="1"/>
  <c r="I761" i="10"/>
  <c r="J761" i="10" s="1"/>
  <c r="I79" i="10"/>
  <c r="J79" i="10" s="1"/>
  <c r="I581" i="10"/>
  <c r="J581" i="10" s="1"/>
  <c r="I824" i="10"/>
  <c r="J824" i="10" s="1"/>
  <c r="F1106" i="10"/>
  <c r="I517" i="10"/>
  <c r="J517" i="10" s="1"/>
  <c r="I978" i="10"/>
  <c r="J978" i="10" s="1"/>
  <c r="F304" i="10"/>
  <c r="F161" i="10"/>
  <c r="I52" i="10"/>
  <c r="J52" i="10" s="1"/>
  <c r="I285" i="10"/>
  <c r="J285" i="10" s="1"/>
  <c r="I309" i="10"/>
  <c r="J309" i="10" s="1"/>
  <c r="I112" i="10"/>
  <c r="J112" i="10" s="1"/>
  <c r="F1072" i="10"/>
  <c r="F710" i="10"/>
  <c r="I518" i="10"/>
  <c r="J518" i="10" s="1"/>
  <c r="F871" i="10"/>
  <c r="I455" i="10"/>
  <c r="J455" i="10" s="1"/>
  <c r="I1099" i="10"/>
  <c r="J1099" i="10" s="1"/>
  <c r="I629" i="10"/>
  <c r="J629" i="10" s="1"/>
  <c r="I787" i="10"/>
  <c r="J787" i="10" s="1"/>
  <c r="I343" i="10"/>
  <c r="J343" i="10" s="1"/>
  <c r="F341" i="10"/>
  <c r="I734" i="10"/>
  <c r="J734" i="10" s="1"/>
  <c r="F530" i="10"/>
  <c r="I430" i="10"/>
  <c r="J430" i="10" s="1"/>
  <c r="I504" i="10"/>
  <c r="J504" i="10" s="1"/>
  <c r="I1043" i="10"/>
  <c r="J1043" i="10" s="1"/>
  <c r="F982" i="10"/>
  <c r="I132" i="10"/>
  <c r="J132" i="10" s="1"/>
  <c r="I138" i="10"/>
  <c r="J138" i="10" s="1"/>
  <c r="I828" i="10"/>
  <c r="J828" i="10" s="1"/>
  <c r="I1058" i="10"/>
  <c r="J1058" i="10" s="1"/>
  <c r="I631" i="10"/>
  <c r="J631" i="10" s="1"/>
  <c r="I1179" i="10"/>
  <c r="J1179" i="10" s="1"/>
  <c r="I580" i="10"/>
  <c r="J580" i="10" s="1"/>
  <c r="I1053" i="10"/>
  <c r="J1053" i="10" s="1"/>
  <c r="I962" i="10"/>
  <c r="J962" i="10" s="1"/>
  <c r="I1050" i="10"/>
  <c r="J1050" i="10" s="1"/>
  <c r="I846" i="10"/>
  <c r="J846" i="10" s="1"/>
  <c r="F30" i="10"/>
  <c r="I72" i="10"/>
  <c r="J72" i="10" s="1"/>
  <c r="I1028" i="10"/>
  <c r="J1028" i="10" s="1"/>
  <c r="I479" i="10"/>
  <c r="J479" i="10" s="1"/>
  <c r="I753" i="10"/>
  <c r="J753" i="10" s="1"/>
  <c r="F300" i="10"/>
  <c r="I1002" i="10"/>
  <c r="J1002" i="10" s="1"/>
  <c r="I433" i="10"/>
  <c r="J433" i="10" s="1"/>
  <c r="I956" i="10"/>
  <c r="J956" i="10" s="1"/>
  <c r="I716" i="10"/>
  <c r="J716" i="10" s="1"/>
  <c r="F716" i="10"/>
  <c r="I748" i="10"/>
  <c r="J748" i="10" s="1"/>
  <c r="F748" i="10"/>
  <c r="I348" i="10"/>
  <c r="J348" i="10" s="1"/>
  <c r="F348" i="10"/>
  <c r="I830" i="10"/>
  <c r="J830" i="10" s="1"/>
  <c r="F830" i="10"/>
  <c r="I1121" i="10"/>
  <c r="J1121" i="10" s="1"/>
  <c r="F1121" i="10"/>
  <c r="I771" i="10"/>
  <c r="J771" i="10" s="1"/>
  <c r="F771" i="10"/>
  <c r="I712" i="10"/>
  <c r="J712" i="10" s="1"/>
  <c r="F712" i="10"/>
  <c r="I960" i="10"/>
  <c r="J960" i="10" s="1"/>
  <c r="F960" i="10"/>
  <c r="I1150" i="10"/>
  <c r="J1150" i="10" s="1"/>
  <c r="F1150" i="10"/>
  <c r="I1056" i="10"/>
  <c r="J1056" i="10" s="1"/>
  <c r="F1056" i="10"/>
  <c r="F526" i="10"/>
  <c r="I526" i="10"/>
  <c r="J526" i="10" s="1"/>
  <c r="I174" i="10"/>
  <c r="J174" i="10" s="1"/>
  <c r="F174" i="10"/>
  <c r="F65" i="10"/>
  <c r="I65" i="10"/>
  <c r="J65" i="10" s="1"/>
  <c r="I210" i="10"/>
  <c r="J210" i="10" s="1"/>
  <c r="F210" i="10"/>
  <c r="I208" i="10"/>
  <c r="J208" i="10" s="1"/>
  <c r="F208" i="10"/>
  <c r="I173" i="10"/>
  <c r="J173" i="10" s="1"/>
  <c r="F173" i="10"/>
  <c r="I1126" i="10"/>
  <c r="J1126" i="10" s="1"/>
  <c r="F1126" i="10"/>
  <c r="I1136" i="10"/>
  <c r="J1136" i="10" s="1"/>
  <c r="F1136" i="10"/>
  <c r="I1177" i="10"/>
  <c r="J1177" i="10" s="1"/>
  <c r="F1177" i="10"/>
  <c r="I1168" i="10"/>
  <c r="J1168" i="10" s="1"/>
  <c r="F1168" i="10"/>
  <c r="I1182" i="10"/>
  <c r="J1182" i="10" s="1"/>
  <c r="F1182" i="10"/>
  <c r="F1111" i="10"/>
  <c r="I1111" i="10"/>
  <c r="J1111" i="10" s="1"/>
  <c r="I1075" i="10"/>
  <c r="J1075" i="10" s="1"/>
  <c r="F1075" i="10"/>
  <c r="I1120" i="10"/>
  <c r="J1120" i="10" s="1"/>
  <c r="F1120" i="10"/>
  <c r="I1069" i="10"/>
  <c r="J1069" i="10" s="1"/>
  <c r="F1069" i="10"/>
  <c r="I1112" i="10"/>
  <c r="J1112" i="10" s="1"/>
  <c r="F1112" i="10"/>
  <c r="F1024" i="10"/>
  <c r="I1024" i="10"/>
  <c r="J1024" i="10" s="1"/>
  <c r="I1021" i="10"/>
  <c r="J1021" i="10" s="1"/>
  <c r="F1021" i="10"/>
  <c r="F1019" i="10"/>
  <c r="I1019" i="10"/>
  <c r="J1019" i="10" s="1"/>
  <c r="I1038" i="10"/>
  <c r="J1038" i="10" s="1"/>
  <c r="F1038" i="10"/>
  <c r="I952" i="10"/>
  <c r="J952" i="10" s="1"/>
  <c r="F952" i="10"/>
  <c r="F855" i="10"/>
  <c r="I855" i="10"/>
  <c r="J855" i="10" s="1"/>
  <c r="I883" i="10"/>
  <c r="J883" i="10" s="1"/>
  <c r="F883" i="10"/>
  <c r="I1007" i="10"/>
  <c r="J1007" i="10" s="1"/>
  <c r="F1007" i="10"/>
  <c r="I927" i="10"/>
  <c r="J927" i="10" s="1"/>
  <c r="F927" i="10"/>
  <c r="F903" i="10"/>
  <c r="I903" i="10"/>
  <c r="J903" i="10" s="1"/>
  <c r="I765" i="10"/>
  <c r="J765" i="10" s="1"/>
  <c r="F765" i="10"/>
  <c r="I693" i="10"/>
  <c r="J693" i="10" s="1"/>
  <c r="F693" i="10"/>
  <c r="I668" i="10"/>
  <c r="J668" i="10" s="1"/>
  <c r="F668" i="10"/>
  <c r="F690" i="10"/>
  <c r="I690" i="10"/>
  <c r="J690" i="10" s="1"/>
  <c r="I807" i="10"/>
  <c r="J807" i="10" s="1"/>
  <c r="F807" i="10"/>
  <c r="I626" i="10"/>
  <c r="J626" i="10" s="1"/>
  <c r="F626" i="10"/>
  <c r="I556" i="10"/>
  <c r="J556" i="10" s="1"/>
  <c r="F556" i="10"/>
  <c r="I625" i="10"/>
  <c r="J625" i="10" s="1"/>
  <c r="F625" i="10"/>
  <c r="I544" i="10"/>
  <c r="J544" i="10" s="1"/>
  <c r="F544" i="10"/>
  <c r="F547" i="10"/>
  <c r="I547" i="10"/>
  <c r="J547" i="10" s="1"/>
  <c r="I602" i="10"/>
  <c r="J602" i="10" s="1"/>
  <c r="F602" i="10"/>
  <c r="I370" i="10"/>
  <c r="J370" i="10" s="1"/>
  <c r="F370" i="10"/>
  <c r="I339" i="10"/>
  <c r="J339" i="10" s="1"/>
  <c r="F339" i="10"/>
  <c r="I249" i="10"/>
  <c r="J249" i="10" s="1"/>
  <c r="F249" i="10"/>
  <c r="F102" i="10"/>
  <c r="I102" i="10"/>
  <c r="J102" i="10" s="1"/>
  <c r="I152" i="10"/>
  <c r="J152" i="10" s="1"/>
  <c r="F152" i="10"/>
  <c r="I367" i="10"/>
  <c r="J367" i="10" s="1"/>
  <c r="F367" i="10"/>
  <c r="I282" i="10"/>
  <c r="J282" i="10" s="1"/>
  <c r="F282" i="10"/>
  <c r="F44" i="10"/>
  <c r="I44" i="10"/>
  <c r="J44" i="10" s="1"/>
  <c r="I47" i="10"/>
  <c r="J47" i="10" s="1"/>
  <c r="F47" i="10"/>
  <c r="I21" i="10"/>
  <c r="J21" i="10" s="1"/>
  <c r="F21" i="10"/>
  <c r="I70" i="10"/>
  <c r="J70" i="10" s="1"/>
  <c r="F70" i="10"/>
  <c r="F1008" i="10"/>
  <c r="I1008" i="10"/>
  <c r="J1008" i="10" s="1"/>
  <c r="I183" i="10"/>
  <c r="J183" i="10" s="1"/>
  <c r="F183" i="10"/>
  <c r="I549" i="10"/>
  <c r="J549" i="10" s="1"/>
  <c r="F549" i="10"/>
  <c r="I516" i="10"/>
  <c r="J516" i="10" s="1"/>
  <c r="F516" i="10"/>
  <c r="F5" i="10"/>
  <c r="I5" i="10"/>
  <c r="J5" i="10" s="1"/>
  <c r="I1194" i="10"/>
  <c r="J1194" i="10" s="1"/>
  <c r="F1194" i="10"/>
  <c r="F1087" i="10"/>
  <c r="I1087" i="10"/>
  <c r="J1087" i="10" s="1"/>
  <c r="I269" i="10"/>
  <c r="J269" i="10" s="1"/>
  <c r="F269" i="10"/>
  <c r="F37" i="10"/>
  <c r="I37" i="10"/>
  <c r="J37" i="10" s="1"/>
  <c r="I1189" i="10"/>
  <c r="J1189" i="10" s="1"/>
  <c r="F1189" i="10"/>
  <c r="I1191" i="10"/>
  <c r="J1191" i="10" s="1"/>
  <c r="F1191" i="10"/>
  <c r="F1128" i="10"/>
  <c r="I1128" i="10"/>
  <c r="J1128" i="10" s="1"/>
  <c r="I1156" i="10"/>
  <c r="J1156" i="10" s="1"/>
  <c r="F1156" i="10"/>
  <c r="I1089" i="10"/>
  <c r="J1089" i="10" s="1"/>
  <c r="F1089" i="10"/>
  <c r="F1004" i="10"/>
  <c r="I1004" i="10"/>
  <c r="J1004" i="10" s="1"/>
  <c r="I992" i="10"/>
  <c r="J992" i="10" s="1"/>
  <c r="F992" i="10"/>
  <c r="I999" i="10"/>
  <c r="J999" i="10" s="1"/>
  <c r="F999" i="10"/>
  <c r="I941" i="10"/>
  <c r="J941" i="10" s="1"/>
  <c r="F941" i="10"/>
  <c r="I979" i="10"/>
  <c r="J979" i="10" s="1"/>
  <c r="F979" i="10"/>
  <c r="I923" i="10"/>
  <c r="J923" i="10" s="1"/>
  <c r="F923" i="10"/>
  <c r="F975" i="10"/>
  <c r="I975" i="10"/>
  <c r="J975" i="10" s="1"/>
  <c r="I800" i="10"/>
  <c r="J800" i="10" s="1"/>
  <c r="F800" i="10"/>
  <c r="I735" i="10"/>
  <c r="J735" i="10" s="1"/>
  <c r="F735" i="10"/>
  <c r="I778" i="10"/>
  <c r="J778" i="10" s="1"/>
  <c r="F778" i="10"/>
  <c r="I683" i="10"/>
  <c r="J683" i="10" s="1"/>
  <c r="F683" i="10"/>
  <c r="I737" i="10"/>
  <c r="J737" i="10" s="1"/>
  <c r="F737" i="10"/>
  <c r="I723" i="10"/>
  <c r="J723" i="10" s="1"/>
  <c r="F723" i="10"/>
  <c r="F607" i="10"/>
  <c r="I607" i="10"/>
  <c r="J607" i="10" s="1"/>
  <c r="I528" i="10"/>
  <c r="J528" i="10" s="1"/>
  <c r="F528" i="10"/>
  <c r="F697" i="10"/>
  <c r="I697" i="10"/>
  <c r="J697" i="10" s="1"/>
  <c r="I515" i="10"/>
  <c r="J515" i="10" s="1"/>
  <c r="F515" i="10"/>
  <c r="I604" i="10"/>
  <c r="J604" i="10" s="1"/>
  <c r="F604" i="10"/>
  <c r="I496" i="10"/>
  <c r="J496" i="10" s="1"/>
  <c r="F496" i="10"/>
  <c r="F643" i="10"/>
  <c r="I643" i="10"/>
  <c r="J643" i="10" s="1"/>
  <c r="F329" i="10"/>
  <c r="I329" i="10"/>
  <c r="J329" i="10" s="1"/>
  <c r="I322" i="10"/>
  <c r="J322" i="10" s="1"/>
  <c r="F322" i="10"/>
  <c r="I505" i="10"/>
  <c r="J505" i="10" s="1"/>
  <c r="F505" i="10"/>
  <c r="I390" i="10"/>
  <c r="J390" i="10" s="1"/>
  <c r="F390" i="10"/>
  <c r="I279" i="10"/>
  <c r="J279" i="10" s="1"/>
  <c r="F279" i="10"/>
  <c r="I425" i="10"/>
  <c r="J425" i="10" s="1"/>
  <c r="F425" i="10"/>
  <c r="I325" i="10"/>
  <c r="J325" i="10" s="1"/>
  <c r="F325" i="10"/>
  <c r="I372" i="10"/>
  <c r="J372" i="10" s="1"/>
  <c r="F372" i="10"/>
  <c r="I305" i="10"/>
  <c r="J305" i="10" s="1"/>
  <c r="F305" i="10"/>
  <c r="I196" i="10"/>
  <c r="J196" i="10" s="1"/>
  <c r="F196" i="10"/>
  <c r="F92" i="10"/>
  <c r="I92" i="10"/>
  <c r="J92" i="10" s="1"/>
  <c r="I189" i="10"/>
  <c r="J189" i="10" s="1"/>
  <c r="F189" i="10"/>
  <c r="I171" i="10"/>
  <c r="J171" i="10" s="1"/>
  <c r="F171" i="10"/>
  <c r="I186" i="10"/>
  <c r="J186" i="10" s="1"/>
  <c r="F186" i="10"/>
  <c r="I74" i="10"/>
  <c r="J74" i="10" s="1"/>
  <c r="F74" i="10"/>
  <c r="I71" i="10"/>
  <c r="J71" i="10" s="1"/>
  <c r="F71" i="10"/>
  <c r="I75" i="10"/>
  <c r="J75" i="10" s="1"/>
  <c r="F75" i="10"/>
  <c r="I179" i="10"/>
  <c r="J179" i="10" s="1"/>
  <c r="F179" i="10"/>
  <c r="I82" i="10"/>
  <c r="J82" i="10" s="1"/>
  <c r="F82" i="10"/>
  <c r="F1018" i="10"/>
  <c r="I1018" i="10"/>
  <c r="J1018" i="10" s="1"/>
  <c r="F887" i="10"/>
  <c r="I887" i="10"/>
  <c r="J887" i="10" s="1"/>
  <c r="I779" i="10"/>
  <c r="J779" i="10" s="1"/>
  <c r="F779" i="10"/>
  <c r="F614" i="10"/>
  <c r="I614" i="10"/>
  <c r="J614" i="10" s="1"/>
  <c r="I205" i="10"/>
  <c r="J205" i="10" s="1"/>
  <c r="F205" i="10"/>
  <c r="F292" i="10"/>
  <c r="I292" i="10"/>
  <c r="J292" i="10" s="1"/>
  <c r="I33" i="10"/>
  <c r="J33" i="10" s="1"/>
  <c r="F33" i="10"/>
  <c r="I204" i="10"/>
  <c r="J204" i="10" s="1"/>
  <c r="F204" i="10"/>
  <c r="I258" i="10"/>
  <c r="J258" i="10" s="1"/>
  <c r="F258" i="10"/>
  <c r="I99" i="10"/>
  <c r="J99" i="10" s="1"/>
  <c r="F99" i="10"/>
  <c r="I83" i="10"/>
  <c r="J83" i="10" s="1"/>
  <c r="F83" i="10"/>
  <c r="F1118" i="10"/>
  <c r="I1118" i="10"/>
  <c r="J1118" i="10" s="1"/>
  <c r="I1062" i="10"/>
  <c r="J1062" i="10" s="1"/>
  <c r="F1062" i="10"/>
  <c r="I1130" i="10"/>
  <c r="J1130" i="10" s="1"/>
  <c r="F1130" i="10"/>
  <c r="I1052" i="10"/>
  <c r="J1052" i="10" s="1"/>
  <c r="F1052" i="10"/>
  <c r="I1045" i="10"/>
  <c r="J1045" i="10" s="1"/>
  <c r="F1045" i="10"/>
  <c r="I988" i="10"/>
  <c r="J988" i="10" s="1"/>
  <c r="F988" i="10"/>
  <c r="I991" i="10"/>
  <c r="J991" i="10" s="1"/>
  <c r="F991" i="10"/>
  <c r="F875" i="10"/>
  <c r="I875" i="10"/>
  <c r="J875" i="10" s="1"/>
  <c r="F964" i="10"/>
  <c r="I964" i="10"/>
  <c r="J964" i="10" s="1"/>
  <c r="I966" i="10"/>
  <c r="J966" i="10" s="1"/>
  <c r="F966" i="10"/>
  <c r="I881" i="10"/>
  <c r="J881" i="10" s="1"/>
  <c r="F881" i="10"/>
  <c r="I924" i="10"/>
  <c r="J924" i="10" s="1"/>
  <c r="F924" i="10"/>
  <c r="F908" i="10"/>
  <c r="I908" i="10"/>
  <c r="J908" i="10" s="1"/>
  <c r="I773" i="10"/>
  <c r="J773" i="10" s="1"/>
  <c r="F773" i="10"/>
  <c r="I729" i="10"/>
  <c r="J729" i="10" s="1"/>
  <c r="F729" i="10"/>
  <c r="F719" i="10"/>
  <c r="I719" i="10"/>
  <c r="J719" i="10" s="1"/>
  <c r="I666" i="10"/>
  <c r="J666" i="10" s="1"/>
  <c r="F666" i="10"/>
  <c r="I727" i="10"/>
  <c r="J727" i="10" s="1"/>
  <c r="F727" i="10"/>
  <c r="I742" i="10"/>
  <c r="J742" i="10" s="1"/>
  <c r="F742" i="10"/>
  <c r="I605" i="10"/>
  <c r="J605" i="10" s="1"/>
  <c r="F605" i="10"/>
  <c r="I640" i="10"/>
  <c r="J640" i="10" s="1"/>
  <c r="F640" i="10"/>
  <c r="I702" i="10"/>
  <c r="J702" i="10" s="1"/>
  <c r="F702" i="10"/>
  <c r="I487" i="10"/>
  <c r="J487" i="10" s="1"/>
  <c r="F487" i="10"/>
  <c r="I592" i="10"/>
  <c r="J592" i="10" s="1"/>
  <c r="F592" i="10"/>
  <c r="I662" i="10"/>
  <c r="J662" i="10" s="1"/>
  <c r="F662" i="10"/>
  <c r="I565" i="10"/>
  <c r="J565" i="10" s="1"/>
  <c r="F565" i="10"/>
  <c r="F554" i="10"/>
  <c r="I554" i="10"/>
  <c r="J554" i="10" s="1"/>
  <c r="F392" i="10"/>
  <c r="I392" i="10"/>
  <c r="J392" i="10" s="1"/>
  <c r="I551" i="10"/>
  <c r="J551" i="10" s="1"/>
  <c r="F551" i="10"/>
  <c r="F318" i="10"/>
  <c r="I318" i="10"/>
  <c r="J318" i="10" s="1"/>
  <c r="I543" i="10"/>
  <c r="J543" i="10" s="1"/>
  <c r="F543" i="10"/>
  <c r="I415" i="10"/>
  <c r="J415" i="10" s="1"/>
  <c r="F415" i="10"/>
  <c r="F311" i="10"/>
  <c r="I311" i="10"/>
  <c r="J311" i="10" s="1"/>
  <c r="I537" i="10"/>
  <c r="J537" i="10" s="1"/>
  <c r="F537" i="10"/>
  <c r="I386" i="10"/>
  <c r="J386" i="10" s="1"/>
  <c r="F386" i="10"/>
  <c r="I419" i="10"/>
  <c r="J419" i="10" s="1"/>
  <c r="F419" i="10"/>
  <c r="I288" i="10"/>
  <c r="J288" i="10" s="1"/>
  <c r="F288" i="10"/>
  <c r="F125" i="10"/>
  <c r="I125" i="10"/>
  <c r="J125" i="10" s="1"/>
  <c r="F155" i="10"/>
  <c r="I155" i="10"/>
  <c r="J155" i="10" s="1"/>
  <c r="F149" i="10"/>
  <c r="I149" i="10"/>
  <c r="J149" i="10" s="1"/>
  <c r="F156" i="10"/>
  <c r="I156" i="10"/>
  <c r="J156" i="10" s="1"/>
  <c r="I224" i="10"/>
  <c r="J224" i="10" s="1"/>
  <c r="F224" i="10"/>
  <c r="I175" i="10"/>
  <c r="J175" i="10" s="1"/>
  <c r="F175" i="10"/>
  <c r="F31" i="10"/>
  <c r="I31" i="10"/>
  <c r="J31" i="10" s="1"/>
  <c r="I41" i="10"/>
  <c r="J41" i="10" s="1"/>
  <c r="F41" i="10"/>
  <c r="I51" i="10"/>
  <c r="J51" i="10" s="1"/>
  <c r="F51" i="10"/>
  <c r="I131" i="10"/>
  <c r="J131" i="10" s="1"/>
  <c r="F131" i="10"/>
  <c r="F298" i="10"/>
  <c r="I298" i="10"/>
  <c r="J298" i="10" s="1"/>
  <c r="F795" i="10"/>
  <c r="I795" i="10"/>
  <c r="J795" i="10" s="1"/>
  <c r="F661" i="10"/>
  <c r="I661" i="10"/>
  <c r="J661" i="10" s="1"/>
  <c r="I715" i="10"/>
  <c r="J715" i="10" s="1"/>
  <c r="F715" i="10"/>
  <c r="I627" i="10"/>
  <c r="J627" i="10" s="1"/>
  <c r="F627" i="10"/>
  <c r="I720" i="10"/>
  <c r="J720" i="10" s="1"/>
  <c r="F720" i="10"/>
  <c r="I449" i="10"/>
  <c r="J449" i="10" s="1"/>
  <c r="F449" i="10"/>
  <c r="I377" i="10"/>
  <c r="J377" i="10" s="1"/>
  <c r="F377" i="10"/>
  <c r="I360" i="10"/>
  <c r="J360" i="10" s="1"/>
  <c r="F360" i="10"/>
  <c r="I639" i="10"/>
  <c r="J639" i="10" s="1"/>
  <c r="F639" i="10"/>
  <c r="F451" i="10"/>
  <c r="I451" i="10"/>
  <c r="J451" i="10" s="1"/>
  <c r="I976" i="10"/>
  <c r="J976" i="10" s="1"/>
  <c r="F976" i="10"/>
  <c r="I745" i="10"/>
  <c r="J745" i="10" s="1"/>
  <c r="F745" i="10"/>
  <c r="I529" i="10"/>
  <c r="J529" i="10" s="1"/>
  <c r="F529" i="10"/>
  <c r="F444" i="10"/>
  <c r="I444" i="10"/>
  <c r="J444" i="10" s="1"/>
  <c r="F314" i="10"/>
  <c r="I314" i="10"/>
  <c r="J314" i="10" s="1"/>
  <c r="I1073" i="10"/>
  <c r="J1073" i="10" s="1"/>
  <c r="F1073" i="10"/>
  <c r="I951" i="10"/>
  <c r="J951" i="10" s="1"/>
  <c r="F951" i="10"/>
  <c r="I973" i="10"/>
  <c r="J973" i="10" s="1"/>
  <c r="F973" i="10"/>
  <c r="I864" i="10"/>
  <c r="J864" i="10" s="1"/>
  <c r="F864" i="10"/>
  <c r="F804" i="10"/>
  <c r="I804" i="10"/>
  <c r="J804" i="10" s="1"/>
  <c r="I776" i="10"/>
  <c r="J776" i="10" s="1"/>
  <c r="F776" i="10"/>
  <c r="F725" i="10"/>
  <c r="I725" i="10"/>
  <c r="J725" i="10" s="1"/>
  <c r="I730" i="10"/>
  <c r="J730" i="10" s="1"/>
  <c r="F730" i="10"/>
  <c r="F818" i="10"/>
  <c r="I818" i="10"/>
  <c r="J818" i="10" s="1"/>
  <c r="I701" i="10"/>
  <c r="J701" i="10" s="1"/>
  <c r="F701" i="10"/>
  <c r="I714" i="10"/>
  <c r="J714" i="10" s="1"/>
  <c r="F714" i="10"/>
  <c r="F672" i="10"/>
  <c r="I672" i="10"/>
  <c r="J672" i="10" s="1"/>
  <c r="F603" i="10"/>
  <c r="I603" i="10"/>
  <c r="J603" i="10" s="1"/>
  <c r="I611" i="10"/>
  <c r="J611" i="10" s="1"/>
  <c r="F611" i="10"/>
  <c r="I223" i="10"/>
  <c r="J223" i="10" s="1"/>
  <c r="F223" i="10"/>
  <c r="F163" i="10"/>
  <c r="I163" i="10"/>
  <c r="J163" i="10" s="1"/>
  <c r="I66" i="10"/>
  <c r="J66" i="10" s="1"/>
  <c r="F66" i="10"/>
  <c r="I972" i="10"/>
  <c r="J972" i="10" s="1"/>
  <c r="F972" i="10"/>
  <c r="I838" i="10"/>
  <c r="J838" i="10" s="1"/>
  <c r="F838" i="10"/>
  <c r="I644" i="10"/>
  <c r="J644" i="10" s="1"/>
  <c r="F644" i="10"/>
  <c r="I606" i="10"/>
  <c r="J606" i="10" s="1"/>
  <c r="F606" i="10"/>
  <c r="I1005" i="10"/>
  <c r="J1005" i="10" s="1"/>
  <c r="F1005" i="10"/>
  <c r="I741" i="10"/>
  <c r="J741" i="10" s="1"/>
  <c r="F741" i="10"/>
  <c r="I1129" i="10"/>
  <c r="J1129" i="10" s="1"/>
  <c r="F1129" i="10"/>
  <c r="I1054" i="10"/>
  <c r="J1054" i="10" s="1"/>
  <c r="F1054" i="10"/>
  <c r="I1078" i="10"/>
  <c r="J1078" i="10" s="1"/>
  <c r="F1078" i="10"/>
  <c r="I993" i="10"/>
  <c r="J993" i="10" s="1"/>
  <c r="F993" i="10"/>
  <c r="I933" i="10"/>
  <c r="J933" i="10" s="1"/>
  <c r="F933" i="10"/>
  <c r="I874" i="10"/>
  <c r="J874" i="10" s="1"/>
  <c r="F874" i="10"/>
  <c r="I834" i="10"/>
  <c r="J834" i="10" s="1"/>
  <c r="F834" i="10"/>
  <c r="I698" i="10"/>
  <c r="J698" i="10" s="1"/>
  <c r="F698" i="10"/>
  <c r="I599" i="10"/>
  <c r="J599" i="10" s="1"/>
  <c r="F599" i="10"/>
  <c r="I598" i="10"/>
  <c r="J598" i="10" s="1"/>
  <c r="F598" i="10"/>
  <c r="I681" i="10"/>
  <c r="J681" i="10" s="1"/>
  <c r="F681" i="10"/>
  <c r="I416" i="10"/>
  <c r="J416" i="10" s="1"/>
  <c r="F416" i="10"/>
  <c r="I296" i="10"/>
  <c r="J296" i="10" s="1"/>
  <c r="F296" i="10"/>
  <c r="I364" i="10"/>
  <c r="J364" i="10" s="1"/>
  <c r="F364" i="10"/>
  <c r="I286" i="10"/>
  <c r="J286" i="10" s="1"/>
  <c r="F286" i="10"/>
  <c r="I395" i="10"/>
  <c r="J395" i="10" s="1"/>
  <c r="F395" i="10"/>
  <c r="I206" i="10"/>
  <c r="J206" i="10" s="1"/>
  <c r="F206" i="10"/>
  <c r="I303" i="10"/>
  <c r="J303" i="10" s="1"/>
  <c r="F303" i="10"/>
  <c r="I124" i="10"/>
  <c r="J124" i="10" s="1"/>
  <c r="F124" i="10"/>
  <c r="F1188" i="10"/>
  <c r="I1188" i="10"/>
  <c r="J1188" i="10" s="1"/>
  <c r="I1169" i="10"/>
  <c r="J1169" i="10" s="1"/>
  <c r="F1169" i="10"/>
  <c r="I1175" i="10"/>
  <c r="J1175" i="10" s="1"/>
  <c r="F1175" i="10"/>
  <c r="I1049" i="10"/>
  <c r="J1049" i="10" s="1"/>
  <c r="F1049" i="10"/>
  <c r="I1041" i="10"/>
  <c r="J1041" i="10" s="1"/>
  <c r="F1041" i="10"/>
  <c r="I1082" i="10"/>
  <c r="J1082" i="10" s="1"/>
  <c r="F1082" i="10"/>
  <c r="I1057" i="10"/>
  <c r="J1057" i="10" s="1"/>
  <c r="F1057" i="10"/>
  <c r="I987" i="10"/>
  <c r="J987" i="10" s="1"/>
  <c r="F987" i="10"/>
  <c r="F842" i="10"/>
  <c r="I842" i="10"/>
  <c r="J842" i="10" s="1"/>
  <c r="I868" i="10"/>
  <c r="J868" i="10" s="1"/>
  <c r="F868" i="10"/>
  <c r="F895" i="10"/>
  <c r="I895" i="10"/>
  <c r="J895" i="10" s="1"/>
  <c r="F797" i="10"/>
  <c r="I797" i="10"/>
  <c r="J797" i="10" s="1"/>
  <c r="I769" i="10"/>
  <c r="J769" i="10" s="1"/>
  <c r="F769" i="10"/>
  <c r="I791" i="10"/>
  <c r="J791" i="10" s="1"/>
  <c r="F791" i="10"/>
  <c r="F961" i="10"/>
  <c r="I961" i="10"/>
  <c r="J961" i="10" s="1"/>
  <c r="F721" i="10"/>
  <c r="I721" i="10"/>
  <c r="J721" i="10" s="1"/>
  <c r="F789" i="10"/>
  <c r="I789" i="10"/>
  <c r="J789" i="10" s="1"/>
  <c r="I820" i="10"/>
  <c r="J820" i="10" s="1"/>
  <c r="F820" i="10"/>
  <c r="F733" i="10"/>
  <c r="I733" i="10"/>
  <c r="J733" i="10" s="1"/>
  <c r="I892" i="10"/>
  <c r="J892" i="10" s="1"/>
  <c r="F892" i="10"/>
  <c r="I738" i="10"/>
  <c r="J738" i="10" s="1"/>
  <c r="F738" i="10"/>
  <c r="I655" i="10"/>
  <c r="J655" i="10" s="1"/>
  <c r="F655" i="10"/>
  <c r="I707" i="10"/>
  <c r="J707" i="10" s="1"/>
  <c r="F707" i="10"/>
  <c r="I667" i="10"/>
  <c r="J667" i="10" s="1"/>
  <c r="F667" i="10"/>
  <c r="I722" i="10"/>
  <c r="J722" i="10" s="1"/>
  <c r="F722" i="10"/>
  <c r="F512" i="10"/>
  <c r="I512" i="10"/>
  <c r="J512" i="10" s="1"/>
  <c r="F494" i="10"/>
  <c r="I494" i="10"/>
  <c r="J494" i="10" s="1"/>
  <c r="I578" i="10"/>
  <c r="J578" i="10" s="1"/>
  <c r="F578" i="10"/>
  <c r="I480" i="10"/>
  <c r="J480" i="10" s="1"/>
  <c r="F480" i="10"/>
  <c r="I536" i="10"/>
  <c r="J536" i="10" s="1"/>
  <c r="F536" i="10"/>
  <c r="F437" i="10"/>
  <c r="I437" i="10"/>
  <c r="J437" i="10" s="1"/>
  <c r="I411" i="10"/>
  <c r="J411" i="10" s="1"/>
  <c r="F411" i="10"/>
  <c r="I522" i="10"/>
  <c r="J522" i="10" s="1"/>
  <c r="F522" i="10"/>
  <c r="I620" i="10"/>
  <c r="J620" i="10" s="1"/>
  <c r="F620" i="10"/>
  <c r="I365" i="10"/>
  <c r="J365" i="10" s="1"/>
  <c r="F365" i="10"/>
  <c r="I691" i="10"/>
  <c r="J691" i="10" s="1"/>
  <c r="F691" i="10"/>
  <c r="F245" i="10"/>
  <c r="I245" i="10"/>
  <c r="J245" i="10" s="1"/>
  <c r="I294" i="10"/>
  <c r="J294" i="10" s="1"/>
  <c r="F294" i="10"/>
  <c r="F134" i="10"/>
  <c r="I134" i="10"/>
  <c r="J134" i="10" s="1"/>
  <c r="I141" i="10"/>
  <c r="J141" i="10" s="1"/>
  <c r="F141" i="10"/>
  <c r="I40" i="10"/>
  <c r="J40" i="10" s="1"/>
  <c r="F40" i="10"/>
  <c r="F23" i="10"/>
  <c r="I23" i="10"/>
  <c r="J23" i="10" s="1"/>
  <c r="F64" i="10"/>
  <c r="I64" i="10"/>
  <c r="J64" i="10" s="1"/>
  <c r="I78" i="10"/>
  <c r="J78" i="10" s="1"/>
  <c r="F78" i="10"/>
  <c r="I57" i="10"/>
  <c r="J57" i="10" s="1"/>
  <c r="F57" i="10"/>
  <c r="I48" i="10"/>
  <c r="J48" i="10" s="1"/>
  <c r="F48" i="10"/>
  <c r="F27" i="10"/>
  <c r="I27" i="10"/>
  <c r="J27" i="10" s="1"/>
  <c r="I50" i="10"/>
  <c r="J50" i="10" s="1"/>
  <c r="F50" i="10"/>
  <c r="I20" i="10"/>
  <c r="J20" i="10" s="1"/>
  <c r="F20" i="10"/>
  <c r="I1068" i="10"/>
  <c r="J1068" i="10" s="1"/>
  <c r="F1068" i="10"/>
  <c r="I1074" i="10"/>
  <c r="J1074" i="10" s="1"/>
  <c r="F1074" i="10"/>
  <c r="I1047" i="10"/>
  <c r="J1047" i="10" s="1"/>
  <c r="F1047" i="10"/>
  <c r="F911" i="10"/>
  <c r="I911" i="10"/>
  <c r="J911" i="10" s="1"/>
  <c r="F497" i="10"/>
  <c r="I497" i="10"/>
  <c r="J497" i="10" s="1"/>
  <c r="I384" i="10"/>
  <c r="J384" i="10" s="1"/>
  <c r="F384" i="10"/>
  <c r="I330" i="10"/>
  <c r="J330" i="10" s="1"/>
  <c r="F330" i="10"/>
  <c r="I1137" i="10"/>
  <c r="J1137" i="10" s="1"/>
  <c r="F1137" i="10"/>
  <c r="I247" i="10"/>
  <c r="J247" i="10" s="1"/>
  <c r="F247" i="10"/>
  <c r="I126" i="10"/>
  <c r="J126" i="10" s="1"/>
  <c r="F126" i="10"/>
  <c r="I239" i="10"/>
  <c r="J239" i="10" s="1"/>
  <c r="F239" i="10"/>
  <c r="I218" i="10"/>
  <c r="J218" i="10" s="1"/>
  <c r="F218" i="10"/>
  <c r="I29" i="10"/>
  <c r="J29" i="10" s="1"/>
  <c r="F29" i="10"/>
  <c r="I55" i="10"/>
  <c r="J55" i="10" s="1"/>
  <c r="F55" i="10"/>
  <c r="F19" i="10"/>
  <c r="I19" i="10"/>
  <c r="J19" i="10" s="1"/>
  <c r="I231" i="10"/>
  <c r="J231" i="10" s="1"/>
  <c r="F231" i="10"/>
  <c r="I43" i="10"/>
  <c r="J43" i="10" s="1"/>
  <c r="F43" i="10"/>
  <c r="I86" i="10"/>
  <c r="J86" i="10" s="1"/>
  <c r="F86" i="10"/>
  <c r="I56" i="10"/>
  <c r="J56" i="10" s="1"/>
  <c r="F56" i="10"/>
  <c r="F873" i="10"/>
  <c r="I873" i="10"/>
  <c r="J873" i="10" s="1"/>
  <c r="I438" i="10"/>
  <c r="J438" i="10" s="1"/>
  <c r="F438" i="10"/>
  <c r="I502" i="10"/>
  <c r="J502" i="10" s="1"/>
  <c r="F502" i="10"/>
  <c r="I190" i="10"/>
  <c r="J190" i="10" s="1"/>
  <c r="F190" i="10"/>
  <c r="I91" i="10"/>
  <c r="J91" i="10" s="1"/>
  <c r="F91" i="10"/>
  <c r="F12" i="10"/>
  <c r="I12" i="10"/>
  <c r="J12" i="10" s="1"/>
  <c r="F1181" i="10"/>
  <c r="I1181" i="10"/>
  <c r="J1181" i="10" s="1"/>
  <c r="I1162" i="10"/>
  <c r="J1162" i="10" s="1"/>
  <c r="F1162" i="10"/>
  <c r="I974" i="10"/>
  <c r="J974" i="10" s="1"/>
  <c r="F974" i="10"/>
  <c r="I918" i="10"/>
  <c r="J918" i="10" s="1"/>
  <c r="F918" i="10"/>
  <c r="I919" i="10"/>
  <c r="J919" i="10" s="1"/>
  <c r="F919" i="10"/>
  <c r="I788" i="10"/>
  <c r="J788" i="10" s="1"/>
  <c r="F788" i="10"/>
  <c r="I777" i="10"/>
  <c r="J777" i="10" s="1"/>
  <c r="F777" i="10"/>
  <c r="I695" i="10"/>
  <c r="J695" i="10" s="1"/>
  <c r="F695" i="10"/>
  <c r="I687" i="10"/>
  <c r="J687" i="10" s="1"/>
  <c r="F687" i="10"/>
  <c r="F1174" i="10"/>
  <c r="I1174" i="10"/>
  <c r="J1174" i="10" s="1"/>
  <c r="I1063" i="10"/>
  <c r="J1063" i="10" s="1"/>
  <c r="F1063" i="10"/>
  <c r="F1081" i="10"/>
  <c r="I1081" i="10"/>
  <c r="J1081" i="10" s="1"/>
  <c r="F965" i="10"/>
  <c r="I965" i="10"/>
  <c r="J965" i="10" s="1"/>
  <c r="I967" i="10"/>
  <c r="J967" i="10" s="1"/>
  <c r="F967" i="10"/>
  <c r="I945" i="10"/>
  <c r="J945" i="10" s="1"/>
  <c r="F945" i="10"/>
  <c r="I1011" i="10"/>
  <c r="J1011" i="10" s="1"/>
  <c r="F1011" i="10"/>
  <c r="I926" i="10"/>
  <c r="J926" i="10" s="1"/>
  <c r="F926" i="10"/>
  <c r="I1010" i="10"/>
  <c r="J1010" i="10" s="1"/>
  <c r="F1010" i="10"/>
  <c r="I931" i="10"/>
  <c r="J931" i="10" s="1"/>
  <c r="F931" i="10"/>
  <c r="I862" i="10"/>
  <c r="J862" i="10" s="1"/>
  <c r="F862" i="10"/>
  <c r="F907" i="10"/>
  <c r="I907" i="10"/>
  <c r="J907" i="10" s="1"/>
  <c r="I755" i="10"/>
  <c r="J755" i="10" s="1"/>
  <c r="F755" i="10"/>
  <c r="I770" i="10"/>
  <c r="J770" i="10" s="1"/>
  <c r="F770" i="10"/>
  <c r="I825" i="10"/>
  <c r="J825" i="10" s="1"/>
  <c r="F825" i="10"/>
  <c r="F866" i="10"/>
  <c r="I866" i="10"/>
  <c r="J866" i="10" s="1"/>
  <c r="I836" i="10"/>
  <c r="J836" i="10" s="1"/>
  <c r="F836" i="10"/>
  <c r="I757" i="10"/>
  <c r="J757" i="10" s="1"/>
  <c r="F757" i="10"/>
  <c r="I646" i="10"/>
  <c r="J646" i="10" s="1"/>
  <c r="F646" i="10"/>
  <c r="F589" i="10"/>
  <c r="I589" i="10"/>
  <c r="J589" i="10" s="1"/>
  <c r="I591" i="10"/>
  <c r="J591" i="10" s="1"/>
  <c r="F591" i="10"/>
  <c r="I585" i="10"/>
  <c r="J585" i="10" s="1"/>
  <c r="F585" i="10"/>
  <c r="F533" i="10"/>
  <c r="I533" i="10"/>
  <c r="J533" i="10" s="1"/>
  <c r="I452" i="10"/>
  <c r="J452" i="10" s="1"/>
  <c r="F452" i="10"/>
  <c r="I557" i="10"/>
  <c r="J557" i="10" s="1"/>
  <c r="F557" i="10"/>
  <c r="F490" i="10"/>
  <c r="I490" i="10"/>
  <c r="J490" i="10" s="1"/>
  <c r="I400" i="10"/>
  <c r="J400" i="10" s="1"/>
  <c r="F400" i="10"/>
  <c r="F237" i="10"/>
  <c r="I237" i="10"/>
  <c r="J237" i="10" s="1"/>
  <c r="I277" i="10"/>
  <c r="J277" i="10" s="1"/>
  <c r="F277" i="10"/>
  <c r="I261" i="10"/>
  <c r="J261" i="10" s="1"/>
  <c r="F261" i="10"/>
  <c r="I337" i="10"/>
  <c r="J337" i="10" s="1"/>
  <c r="F337" i="10"/>
  <c r="F216" i="10"/>
  <c r="I216" i="10"/>
  <c r="J216" i="10" s="1"/>
  <c r="I211" i="10"/>
  <c r="J211" i="10" s="1"/>
  <c r="F211" i="10"/>
  <c r="I202" i="10"/>
  <c r="J202" i="10" s="1"/>
  <c r="F202" i="10"/>
  <c r="I212" i="10"/>
  <c r="J212" i="10" s="1"/>
  <c r="F212" i="10"/>
  <c r="I374" i="10"/>
  <c r="J374" i="10" s="1"/>
  <c r="F374" i="10"/>
  <c r="I336" i="10"/>
  <c r="J336" i="10" s="1"/>
  <c r="F336" i="10"/>
  <c r="I379" i="10"/>
  <c r="J379" i="10" s="1"/>
  <c r="F379" i="10"/>
  <c r="I103" i="10"/>
  <c r="J103" i="10" s="1"/>
  <c r="F103" i="10"/>
  <c r="I32" i="10"/>
  <c r="J32" i="10" s="1"/>
  <c r="F32" i="10"/>
  <c r="F39" i="10"/>
  <c r="I39" i="10"/>
  <c r="J39" i="10" s="1"/>
  <c r="I101" i="10"/>
  <c r="J101" i="10" s="1"/>
  <c r="F101" i="10"/>
  <c r="I870" i="10"/>
  <c r="J870" i="10" s="1"/>
  <c r="F870" i="10"/>
  <c r="I853" i="10"/>
  <c r="J853" i="10" s="1"/>
  <c r="F853" i="10"/>
  <c r="I884" i="10"/>
  <c r="J884" i="10" s="1"/>
  <c r="F884" i="10"/>
  <c r="I882" i="10"/>
  <c r="J882" i="10" s="1"/>
  <c r="F882" i="10"/>
  <c r="F860" i="10"/>
  <c r="I860" i="10"/>
  <c r="J860" i="10" s="1"/>
  <c r="I706" i="10"/>
  <c r="J706" i="10" s="1"/>
  <c r="F706" i="10"/>
  <c r="F1167" i="10"/>
  <c r="I1167" i="10"/>
  <c r="J1167" i="10" s="1"/>
  <c r="I1105" i="10"/>
  <c r="J1105" i="10" s="1"/>
  <c r="F1105" i="10"/>
  <c r="F968" i="10"/>
  <c r="I968" i="10"/>
  <c r="J968" i="10" s="1"/>
  <c r="F929" i="10"/>
  <c r="I929" i="10"/>
  <c r="J929" i="10" s="1"/>
  <c r="I794" i="10"/>
  <c r="J794" i="10" s="1"/>
  <c r="F794" i="10"/>
  <c r="F676" i="10"/>
  <c r="I676" i="10"/>
  <c r="J676" i="10" s="1"/>
  <c r="I648" i="10"/>
  <c r="J648" i="10" s="1"/>
  <c r="F648" i="10"/>
  <c r="I829" i="10"/>
  <c r="J829" i="10" s="1"/>
  <c r="F829" i="10"/>
  <c r="I704" i="10"/>
  <c r="J704" i="10" s="1"/>
  <c r="F704" i="10"/>
  <c r="I571" i="10"/>
  <c r="J571" i="10" s="1"/>
  <c r="F571" i="10"/>
  <c r="I408" i="10"/>
  <c r="J408" i="10" s="1"/>
  <c r="F408" i="10"/>
  <c r="F1104" i="10"/>
  <c r="I1104" i="10"/>
  <c r="J1104" i="10" s="1"/>
  <c r="F1141" i="10"/>
  <c r="I1141" i="10"/>
  <c r="J1141" i="10" s="1"/>
  <c r="I958" i="10"/>
  <c r="J958" i="10" s="1"/>
  <c r="F958" i="10"/>
  <c r="F782" i="10"/>
  <c r="I782" i="10"/>
  <c r="J782" i="10" s="1"/>
  <c r="F809" i="10"/>
  <c r="I809" i="10"/>
  <c r="J809" i="10" s="1"/>
  <c r="I796" i="10"/>
  <c r="J796" i="10" s="1"/>
  <c r="F796" i="10"/>
  <c r="I686" i="10"/>
  <c r="J686" i="10" s="1"/>
  <c r="F686" i="10"/>
  <c r="F501" i="10"/>
  <c r="I501" i="10"/>
  <c r="J501" i="10" s="1"/>
  <c r="I473" i="10"/>
  <c r="J473" i="10" s="1"/>
  <c r="F473" i="10"/>
  <c r="F568" i="10"/>
  <c r="I568" i="10"/>
  <c r="J568" i="10" s="1"/>
  <c r="I477" i="10"/>
  <c r="J477" i="10" s="1"/>
  <c r="F477" i="10"/>
  <c r="F540" i="10"/>
  <c r="I540" i="10"/>
  <c r="J540" i="10" s="1"/>
  <c r="F1139" i="10"/>
  <c r="I1139" i="10"/>
  <c r="J1139" i="10" s="1"/>
  <c r="F1096" i="10"/>
  <c r="I1096" i="10"/>
  <c r="J1096" i="10" s="1"/>
  <c r="I1095" i="10"/>
  <c r="J1095" i="10" s="1"/>
  <c r="F1095" i="10"/>
  <c r="I814" i="10"/>
  <c r="J814" i="10" s="1"/>
  <c r="F814" i="10"/>
  <c r="I888" i="10"/>
  <c r="J888" i="10" s="1"/>
  <c r="F888" i="10"/>
  <c r="I1033" i="10"/>
  <c r="J1033" i="10" s="1"/>
  <c r="F1033" i="10"/>
  <c r="F901" i="10"/>
  <c r="I901" i="10"/>
  <c r="J901" i="10" s="1"/>
  <c r="I939" i="10"/>
  <c r="J939" i="10" s="1"/>
  <c r="F939" i="10"/>
  <c r="I786" i="10"/>
  <c r="J786" i="10" s="1"/>
  <c r="F786" i="10"/>
  <c r="I743" i="10"/>
  <c r="J743" i="10" s="1"/>
  <c r="F743" i="10"/>
  <c r="I651" i="10"/>
  <c r="J651" i="10" s="1"/>
  <c r="F651" i="10"/>
  <c r="I656" i="10"/>
  <c r="J656" i="10" s="1"/>
  <c r="F656" i="10"/>
  <c r="I728" i="10"/>
  <c r="J728" i="10" s="1"/>
  <c r="F728" i="10"/>
  <c r="F281" i="10"/>
  <c r="I281" i="10"/>
  <c r="J281" i="10" s="1"/>
  <c r="I1113" i="10"/>
  <c r="J1113" i="10" s="1"/>
  <c r="F1113" i="10"/>
  <c r="I876" i="10"/>
  <c r="J876" i="10" s="1"/>
  <c r="F876" i="10"/>
  <c r="I317" i="10"/>
  <c r="J317" i="10" s="1"/>
  <c r="F317" i="10"/>
  <c r="I119" i="10"/>
  <c r="J119" i="10" s="1"/>
  <c r="F119" i="10"/>
  <c r="I69" i="10"/>
  <c r="J69" i="10" s="1"/>
  <c r="F69" i="10"/>
  <c r="I267" i="10"/>
  <c r="J267" i="10" s="1"/>
  <c r="F267" i="10"/>
  <c r="I917" i="10"/>
  <c r="J917" i="10" s="1"/>
  <c r="F917" i="10"/>
  <c r="F916" i="10"/>
  <c r="I916" i="10"/>
  <c r="J916" i="10" s="1"/>
  <c r="I750" i="10"/>
  <c r="J750" i="10" s="1"/>
  <c r="F750" i="10"/>
  <c r="F645" i="10"/>
  <c r="I645" i="10"/>
  <c r="J645" i="10" s="1"/>
  <c r="F121" i="10"/>
  <c r="I121" i="10"/>
  <c r="J121" i="10" s="1"/>
  <c r="I90" i="10"/>
  <c r="J90" i="10" s="1"/>
  <c r="F90" i="10"/>
  <c r="F1146" i="10"/>
  <c r="I1146" i="10"/>
  <c r="J1146" i="10" s="1"/>
  <c r="F1157" i="10"/>
  <c r="I1157" i="10"/>
  <c r="J1157" i="10" s="1"/>
  <c r="I1083" i="10"/>
  <c r="J1083" i="10" s="1"/>
  <c r="F1083" i="10"/>
  <c r="F1135" i="10"/>
  <c r="I1135" i="10"/>
  <c r="J1135" i="10" s="1"/>
  <c r="I1091" i="10"/>
  <c r="J1091" i="10" s="1"/>
  <c r="F1091" i="10"/>
  <c r="I1093" i="10"/>
  <c r="J1093" i="10" s="1"/>
  <c r="F1093" i="10"/>
  <c r="F1066" i="10"/>
  <c r="I1066" i="10"/>
  <c r="J1066" i="10" s="1"/>
  <c r="F998" i="10"/>
  <c r="I998" i="10"/>
  <c r="J998" i="10" s="1"/>
  <c r="I1025" i="10"/>
  <c r="J1025" i="10" s="1"/>
  <c r="F1025" i="10"/>
  <c r="I937" i="10"/>
  <c r="J937" i="10" s="1"/>
  <c r="F937" i="10"/>
  <c r="I867" i="10"/>
  <c r="J867" i="10" s="1"/>
  <c r="F867" i="10"/>
  <c r="I953" i="10"/>
  <c r="J953" i="10" s="1"/>
  <c r="F953" i="10"/>
  <c r="F845" i="10"/>
  <c r="I845" i="10"/>
  <c r="J845" i="10" s="1"/>
  <c r="I756" i="10"/>
  <c r="J756" i="10" s="1"/>
  <c r="F756" i="10"/>
  <c r="I831" i="10"/>
  <c r="J831" i="10" s="1"/>
  <c r="F831" i="10"/>
  <c r="F732" i="10"/>
  <c r="I732" i="10"/>
  <c r="J732" i="10" s="1"/>
  <c r="I833" i="10"/>
  <c r="J833" i="10" s="1"/>
  <c r="F833" i="10"/>
  <c r="I663" i="10"/>
  <c r="J663" i="10" s="1"/>
  <c r="F663" i="10"/>
  <c r="I577" i="10"/>
  <c r="J577" i="10" s="1"/>
  <c r="F577" i="10"/>
  <c r="I653" i="10"/>
  <c r="J653" i="10" s="1"/>
  <c r="F653" i="10"/>
  <c r="F561" i="10"/>
  <c r="I561" i="10"/>
  <c r="J561" i="10" s="1"/>
  <c r="I466" i="10"/>
  <c r="J466" i="10" s="1"/>
  <c r="F466" i="10"/>
  <c r="I426" i="10"/>
  <c r="J426" i="10" s="1"/>
  <c r="F426" i="10"/>
  <c r="I362" i="10"/>
  <c r="J362" i="10" s="1"/>
  <c r="F362" i="10"/>
  <c r="I263" i="10"/>
  <c r="J263" i="10" s="1"/>
  <c r="F263" i="10"/>
  <c r="I275" i="10"/>
  <c r="J275" i="10" s="1"/>
  <c r="F275" i="10"/>
  <c r="I250" i="10"/>
  <c r="J250" i="10" s="1"/>
  <c r="F250" i="10"/>
  <c r="I284" i="10"/>
  <c r="J284" i="10" s="1"/>
  <c r="F284" i="10"/>
  <c r="F180" i="10"/>
  <c r="I180" i="10"/>
  <c r="J180" i="10" s="1"/>
  <c r="I259" i="10"/>
  <c r="J259" i="10" s="1"/>
  <c r="F259" i="10"/>
  <c r="F172" i="10"/>
  <c r="I172" i="10"/>
  <c r="J172" i="10" s="1"/>
  <c r="I61" i="10"/>
  <c r="J61" i="10" s="1"/>
  <c r="F61" i="10"/>
  <c r="I264" i="10"/>
  <c r="J264" i="10" s="1"/>
  <c r="F264" i="10"/>
  <c r="I207" i="10"/>
  <c r="J207" i="10" s="1"/>
  <c r="F207" i="10"/>
  <c r="I111" i="10"/>
  <c r="J111" i="10" s="1"/>
  <c r="F111" i="10"/>
  <c r="I355" i="10"/>
  <c r="J355" i="10" s="1"/>
  <c r="F355" i="10"/>
  <c r="I160" i="10"/>
  <c r="J160" i="10" s="1"/>
  <c r="F160" i="10"/>
  <c r="I158" i="10"/>
  <c r="J158" i="10" s="1"/>
  <c r="F158" i="10"/>
  <c r="I133" i="10"/>
  <c r="J133" i="10" s="1"/>
  <c r="F133" i="10"/>
  <c r="I7" i="10"/>
  <c r="J7" i="10" s="1"/>
  <c r="F7" i="10"/>
  <c r="I1170" i="10"/>
  <c r="J1170" i="10" s="1"/>
  <c r="F1170" i="10"/>
  <c r="I1163" i="10"/>
  <c r="J1163" i="10" s="1"/>
  <c r="F1163" i="10"/>
  <c r="F1060" i="10"/>
  <c r="I1060" i="10"/>
  <c r="J1060" i="10" s="1"/>
  <c r="I659" i="10"/>
  <c r="J659" i="10" s="1"/>
  <c r="F659" i="10"/>
  <c r="I1161" i="10"/>
  <c r="J1161" i="10" s="1"/>
  <c r="F1161" i="10"/>
  <c r="F1143" i="10"/>
  <c r="I1143" i="10"/>
  <c r="J1143" i="10" s="1"/>
  <c r="F869" i="10"/>
  <c r="I869" i="10"/>
  <c r="J869" i="10" s="1"/>
  <c r="F896" i="10"/>
  <c r="I896" i="10"/>
  <c r="J896" i="10" s="1"/>
  <c r="I535" i="10"/>
  <c r="J535" i="10" s="1"/>
  <c r="F535" i="10"/>
  <c r="I981" i="10"/>
  <c r="J981" i="10" s="1"/>
  <c r="F981" i="10"/>
  <c r="I946" i="10"/>
  <c r="J946" i="10" s="1"/>
  <c r="F946" i="10"/>
  <c r="I762" i="10"/>
  <c r="J762" i="10" s="1"/>
  <c r="F762" i="10"/>
  <c r="F596" i="10"/>
  <c r="I596" i="10"/>
  <c r="J596" i="10" s="1"/>
  <c r="I685" i="10"/>
  <c r="J685" i="10" s="1"/>
  <c r="F685" i="10"/>
  <c r="I669" i="10"/>
  <c r="J669" i="10" s="1"/>
  <c r="F669" i="10"/>
  <c r="I495" i="10"/>
  <c r="J495" i="10" s="1"/>
  <c r="F495" i="10"/>
  <c r="I613" i="10"/>
  <c r="J613" i="10" s="1"/>
  <c r="F613" i="10"/>
  <c r="I241" i="10"/>
  <c r="J241" i="10" s="1"/>
  <c r="F241" i="10"/>
  <c r="I197" i="10"/>
  <c r="J197" i="10" s="1"/>
  <c r="F197" i="10"/>
  <c r="F106" i="10"/>
  <c r="I106" i="10"/>
  <c r="J106" i="10" s="1"/>
  <c r="I1109" i="10"/>
  <c r="J1109" i="10" s="1"/>
  <c r="F1109" i="10"/>
  <c r="I1061" i="10"/>
  <c r="J1061" i="10" s="1"/>
  <c r="F1061" i="10"/>
  <c r="I816" i="10"/>
  <c r="J816" i="10" s="1"/>
  <c r="F816" i="10"/>
  <c r="I658" i="10"/>
  <c r="J658" i="10" s="1"/>
  <c r="F658" i="10"/>
  <c r="I684" i="10"/>
  <c r="J684" i="10" s="1"/>
  <c r="F684" i="10"/>
  <c r="F635" i="10"/>
  <c r="I635" i="10"/>
  <c r="J635" i="10" s="1"/>
  <c r="I1142" i="10"/>
  <c r="J1142" i="10" s="1"/>
  <c r="F1142" i="10"/>
  <c r="I1125" i="10"/>
  <c r="J1125" i="10" s="1"/>
  <c r="F1125" i="10"/>
  <c r="F1132" i="10"/>
  <c r="I1132" i="10"/>
  <c r="J1132" i="10" s="1"/>
  <c r="I1079" i="10"/>
  <c r="J1079" i="10" s="1"/>
  <c r="F1079" i="10"/>
  <c r="I1155" i="10"/>
  <c r="J1155" i="10" s="1"/>
  <c r="F1155" i="10"/>
  <c r="I990" i="10"/>
  <c r="J990" i="10" s="1"/>
  <c r="F990" i="10"/>
  <c r="I909" i="10"/>
  <c r="J909" i="10" s="1"/>
  <c r="F909" i="10"/>
  <c r="I997" i="10"/>
  <c r="J997" i="10" s="1"/>
  <c r="F997" i="10"/>
  <c r="I944" i="10"/>
  <c r="J944" i="10" s="1"/>
  <c r="F944" i="10"/>
  <c r="I843" i="10"/>
  <c r="J843" i="10" s="1"/>
  <c r="F843" i="10"/>
  <c r="I938" i="10"/>
  <c r="J938" i="10" s="1"/>
  <c r="F938" i="10"/>
  <c r="I766" i="10"/>
  <c r="J766" i="10" s="1"/>
  <c r="F766" i="10"/>
  <c r="I679" i="10"/>
  <c r="J679" i="10" s="1"/>
  <c r="F679" i="10"/>
  <c r="I736" i="10"/>
  <c r="J736" i="10" s="1"/>
  <c r="F736" i="10"/>
  <c r="I731" i="10"/>
  <c r="J731" i="10" s="1"/>
  <c r="F731" i="10"/>
  <c r="I665" i="10"/>
  <c r="J665" i="10" s="1"/>
  <c r="F665" i="10"/>
  <c r="I764" i="10"/>
  <c r="J764" i="10" s="1"/>
  <c r="F764" i="10"/>
  <c r="I570" i="10"/>
  <c r="J570" i="10" s="1"/>
  <c r="F570" i="10"/>
  <c r="I564" i="10"/>
  <c r="J564" i="10" s="1"/>
  <c r="F564" i="10"/>
  <c r="I445" i="10"/>
  <c r="J445" i="10" s="1"/>
  <c r="F445" i="10"/>
  <c r="I470" i="10"/>
  <c r="J470" i="10" s="1"/>
  <c r="F470" i="10"/>
  <c r="I514" i="10"/>
  <c r="J514" i="10" s="1"/>
  <c r="F514" i="10"/>
  <c r="F406" i="10"/>
  <c r="I406" i="10"/>
  <c r="J406" i="10" s="1"/>
  <c r="I481" i="10"/>
  <c r="J481" i="10" s="1"/>
  <c r="F481" i="10"/>
  <c r="I394" i="10"/>
  <c r="J394" i="10" s="1"/>
  <c r="F394" i="10"/>
  <c r="I442" i="10"/>
  <c r="J442" i="10" s="1"/>
  <c r="F442" i="10"/>
  <c r="I346" i="10"/>
  <c r="J346" i="10" s="1"/>
  <c r="F346" i="10"/>
  <c r="F270" i="10"/>
  <c r="I270" i="10"/>
  <c r="J270" i="10" s="1"/>
  <c r="I593" i="10"/>
  <c r="J593" i="10" s="1"/>
  <c r="F593" i="10"/>
  <c r="I383" i="10"/>
  <c r="J383" i="10" s="1"/>
  <c r="F383" i="10"/>
  <c r="I257" i="10"/>
  <c r="J257" i="10" s="1"/>
  <c r="F257" i="10"/>
  <c r="I273" i="10"/>
  <c r="J273" i="10" s="1"/>
  <c r="F273" i="10"/>
  <c r="I246" i="10"/>
  <c r="J246" i="10" s="1"/>
  <c r="F246" i="10"/>
  <c r="F299" i="10"/>
  <c r="I299" i="10"/>
  <c r="J299" i="10" s="1"/>
  <c r="I109" i="10"/>
  <c r="J109" i="10" s="1"/>
  <c r="F109" i="10"/>
  <c r="I122" i="10"/>
  <c r="J122" i="10" s="1"/>
  <c r="F122" i="10"/>
  <c r="I15" i="10"/>
  <c r="J15" i="10" s="1"/>
  <c r="F15" i="10"/>
  <c r="I154" i="10"/>
  <c r="J154" i="10" s="1"/>
  <c r="F154" i="10"/>
  <c r="I18" i="10"/>
  <c r="J18" i="10" s="1"/>
  <c r="F18" i="10"/>
  <c r="I806" i="10"/>
  <c r="J806" i="10" s="1"/>
  <c r="F806" i="10"/>
  <c r="F839" i="10"/>
  <c r="I839" i="10"/>
  <c r="J839" i="10" s="1"/>
  <c r="F1153" i="10"/>
  <c r="I1153" i="10"/>
  <c r="J1153" i="10" s="1"/>
  <c r="I1064" i="10"/>
  <c r="J1064" i="10" s="1"/>
  <c r="F1064" i="10"/>
  <c r="I619" i="10"/>
  <c r="J619" i="10" s="1"/>
  <c r="F619" i="10"/>
  <c r="I542" i="10"/>
  <c r="J542" i="10" s="1"/>
  <c r="F542" i="10"/>
  <c r="F1101" i="10"/>
  <c r="I1101" i="10"/>
  <c r="J1101" i="10" s="1"/>
  <c r="I1122" i="10"/>
  <c r="J1122" i="10" s="1"/>
  <c r="F1122" i="10"/>
  <c r="F983" i="10"/>
  <c r="I983" i="10"/>
  <c r="J983" i="10" s="1"/>
  <c r="F1000" i="10"/>
  <c r="I1000" i="10"/>
  <c r="J1000" i="10" s="1"/>
  <c r="I827" i="10"/>
  <c r="J827" i="10" s="1"/>
  <c r="F827" i="10"/>
  <c r="I673" i="10"/>
  <c r="J673" i="10" s="1"/>
  <c r="F673" i="10"/>
  <c r="F1160" i="10"/>
  <c r="I1160" i="10"/>
  <c r="J1160" i="10" s="1"/>
  <c r="I885" i="10"/>
  <c r="J885" i="10" s="1"/>
  <c r="F885" i="10"/>
  <c r="I878" i="10"/>
  <c r="J878" i="10" s="1"/>
  <c r="F878" i="10"/>
  <c r="I955" i="10"/>
  <c r="J955" i="10" s="1"/>
  <c r="F955" i="10"/>
  <c r="I763" i="10"/>
  <c r="J763" i="10" s="1"/>
  <c r="F763" i="10"/>
  <c r="F582" i="10"/>
  <c r="I582" i="10"/>
  <c r="J582" i="10" s="1"/>
  <c r="I584" i="10"/>
  <c r="J584" i="10" s="1"/>
  <c r="F584" i="10"/>
  <c r="I521" i="10"/>
  <c r="J521" i="10" s="1"/>
  <c r="F521" i="10"/>
  <c r="F575" i="10"/>
  <c r="I575" i="10"/>
  <c r="J575" i="10" s="1"/>
  <c r="I401" i="10"/>
  <c r="J401" i="10" s="1"/>
  <c r="F401" i="10"/>
  <c r="I353" i="10"/>
  <c r="J353" i="10" s="1"/>
  <c r="F353" i="10"/>
  <c r="I586" i="10"/>
  <c r="J586" i="10" s="1"/>
  <c r="F586" i="10"/>
  <c r="F289" i="10"/>
  <c r="I289" i="10"/>
  <c r="J289" i="10" s="1"/>
  <c r="I254" i="10"/>
  <c r="J254" i="10" s="1"/>
  <c r="F254" i="10"/>
  <c r="I1184" i="10"/>
  <c r="J1184" i="10" s="1"/>
  <c r="F1184" i="10"/>
  <c r="F1171" i="10"/>
  <c r="I1171" i="10"/>
  <c r="J1171" i="10" s="1"/>
  <c r="I1151" i="10"/>
  <c r="J1151" i="10" s="1"/>
  <c r="F1151" i="10"/>
  <c r="F1036" i="10"/>
  <c r="I1036" i="10"/>
  <c r="J1036" i="10" s="1"/>
  <c r="F930" i="10"/>
  <c r="I930" i="10"/>
  <c r="J930" i="10" s="1"/>
  <c r="F861" i="10"/>
  <c r="I861" i="10"/>
  <c r="J861" i="10" s="1"/>
  <c r="F957" i="10"/>
  <c r="I957" i="10"/>
  <c r="J957" i="10" s="1"/>
  <c r="I912" i="10"/>
  <c r="J912" i="10" s="1"/>
  <c r="F912" i="10"/>
  <c r="I700" i="10"/>
  <c r="J700" i="10" s="1"/>
  <c r="F700" i="10"/>
  <c r="I805" i="10"/>
  <c r="J805" i="10" s="1"/>
  <c r="F805" i="10"/>
  <c r="F718" i="10"/>
  <c r="I718" i="10"/>
  <c r="J718" i="10" s="1"/>
  <c r="I801" i="10"/>
  <c r="J801" i="10" s="1"/>
  <c r="F801" i="10"/>
  <c r="F696" i="10"/>
  <c r="I696" i="10"/>
  <c r="J696" i="10" s="1"/>
  <c r="I758" i="10"/>
  <c r="J758" i="10" s="1"/>
  <c r="F758" i="10"/>
  <c r="I783" i="10"/>
  <c r="J783" i="10" s="1"/>
  <c r="F783" i="10"/>
  <c r="I692" i="10"/>
  <c r="J692" i="10" s="1"/>
  <c r="F692" i="10"/>
  <c r="I749" i="10"/>
  <c r="J749" i="10" s="1"/>
  <c r="F749" i="10"/>
  <c r="I563" i="10"/>
  <c r="J563" i="10" s="1"/>
  <c r="F563" i="10"/>
  <c r="I618" i="10"/>
  <c r="J618" i="10" s="1"/>
  <c r="F618" i="10"/>
  <c r="I675" i="10"/>
  <c r="J675" i="10" s="1"/>
  <c r="F675" i="10"/>
  <c r="I558" i="10"/>
  <c r="J558" i="10" s="1"/>
  <c r="F558" i="10"/>
  <c r="I632" i="10"/>
  <c r="J632" i="10" s="1"/>
  <c r="F632" i="10"/>
  <c r="I459" i="10"/>
  <c r="J459" i="10" s="1"/>
  <c r="F459" i="10"/>
  <c r="I508" i="10"/>
  <c r="J508" i="10" s="1"/>
  <c r="F508" i="10"/>
  <c r="I550" i="10"/>
  <c r="J550" i="10" s="1"/>
  <c r="F550" i="10"/>
  <c r="I608" i="10"/>
  <c r="J608" i="10" s="1"/>
  <c r="F608" i="10"/>
  <c r="F434" i="10"/>
  <c r="I434" i="10"/>
  <c r="J434" i="10" s="1"/>
  <c r="F399" i="10"/>
  <c r="I399" i="10"/>
  <c r="J399" i="10" s="1"/>
  <c r="F519" i="10"/>
  <c r="I519" i="10"/>
  <c r="J519" i="10" s="1"/>
  <c r="F268" i="10"/>
  <c r="I268" i="10"/>
  <c r="J268" i="10" s="1"/>
  <c r="I253" i="10"/>
  <c r="J253" i="10" s="1"/>
  <c r="F253" i="10"/>
  <c r="I350" i="10"/>
  <c r="J350" i="10" s="1"/>
  <c r="F350" i="10"/>
  <c r="I242" i="10"/>
  <c r="J242" i="10" s="1"/>
  <c r="F242" i="10"/>
  <c r="I104" i="10"/>
  <c r="J104" i="10" s="1"/>
  <c r="F104" i="10"/>
  <c r="I297" i="10"/>
  <c r="J297" i="10" s="1"/>
  <c r="F297" i="10"/>
  <c r="F114" i="10"/>
  <c r="I114" i="10"/>
  <c r="J114" i="10" s="1"/>
  <c r="F135" i="10"/>
  <c r="I135" i="10"/>
  <c r="J135" i="10" s="1"/>
  <c r="I13" i="10"/>
  <c r="J13" i="10" s="1"/>
  <c r="F13" i="10"/>
  <c r="I11" i="10"/>
  <c r="J11" i="10" s="1"/>
  <c r="F11" i="10"/>
  <c r="R323" i="10" l="1"/>
  <c r="R835" i="10"/>
  <c r="R660" i="10"/>
  <c r="R214" i="10"/>
  <c r="AS214" i="10" s="1"/>
  <c r="R128" i="10"/>
  <c r="R1039" i="10"/>
  <c r="R347" i="10"/>
  <c r="R587" i="10"/>
  <c r="AS587" i="10" s="1"/>
  <c r="R26" i="10"/>
  <c r="AS26" i="10" s="1"/>
  <c r="R235" i="10"/>
  <c r="U235" i="10" s="1"/>
  <c r="R256" i="10"/>
  <c r="AS256" i="10" s="1"/>
  <c r="R238" i="10"/>
  <c r="U238" i="10" s="1"/>
  <c r="C238" i="12" s="1"/>
  <c r="R890" i="10"/>
  <c r="AS890" i="10" s="1"/>
  <c r="R555" i="10"/>
  <c r="AS555" i="10" s="1"/>
  <c r="R507" i="10"/>
  <c r="U507" i="10" s="1"/>
  <c r="R356" i="10"/>
  <c r="AS356" i="10" s="1"/>
  <c r="R798" i="10"/>
  <c r="AS798" i="10" s="1"/>
  <c r="R363" i="10"/>
  <c r="AS363" i="10" s="1"/>
  <c r="R483" i="10"/>
  <c r="AS483" i="10" s="1"/>
  <c r="R240" i="10"/>
  <c r="AS240" i="10" s="1"/>
  <c r="R1085" i="10"/>
  <c r="AS1085" i="10" s="1"/>
  <c r="AP933" i="10"/>
  <c r="R726" i="10"/>
  <c r="AS726" i="10" s="1"/>
  <c r="AQ933" i="10"/>
  <c r="R680" i="10"/>
  <c r="AS680" i="10" s="1"/>
  <c r="AR302" i="10"/>
  <c r="AQ302" i="10"/>
  <c r="AP302" i="10"/>
  <c r="AQ372" i="10"/>
  <c r="AR372" i="10"/>
  <c r="AR250" i="10"/>
  <c r="AQ250" i="10"/>
  <c r="AP250" i="10"/>
  <c r="AR22" i="10"/>
  <c r="AQ22" i="10"/>
  <c r="AP22" i="10"/>
  <c r="AQ94" i="10"/>
  <c r="AR94" i="10"/>
  <c r="AP94" i="10"/>
  <c r="AR1102" i="10"/>
  <c r="AQ1102" i="10"/>
  <c r="AP1102" i="10"/>
  <c r="AR413" i="10"/>
  <c r="AQ413" i="10"/>
  <c r="AP413" i="10"/>
  <c r="AR1108" i="10"/>
  <c r="AQ1108" i="10"/>
  <c r="AP1108" i="10"/>
  <c r="R1029" i="10"/>
  <c r="U1029" i="10" s="1"/>
  <c r="AR817" i="10"/>
  <c r="AQ817" i="10"/>
  <c r="AP817" i="10"/>
  <c r="AR1034" i="10"/>
  <c r="AQ1034" i="10"/>
  <c r="AP1034" i="10"/>
  <c r="AR46" i="10"/>
  <c r="AQ46" i="10"/>
  <c r="AP46" i="10"/>
  <c r="AR1127" i="10"/>
  <c r="AQ1127" i="10"/>
  <c r="AP1127" i="10"/>
  <c r="AR802" i="10"/>
  <c r="AQ802" i="10"/>
  <c r="AP802" i="10"/>
  <c r="AR779" i="10"/>
  <c r="AQ779" i="10"/>
  <c r="AP779" i="10"/>
  <c r="AR479" i="10"/>
  <c r="AQ479" i="10"/>
  <c r="AP479" i="10"/>
  <c r="AR723" i="10"/>
  <c r="AQ723" i="10"/>
  <c r="AP723" i="10"/>
  <c r="AR399" i="10"/>
  <c r="AQ399" i="10"/>
  <c r="AP399" i="10"/>
  <c r="AR701" i="10"/>
  <c r="AQ701" i="10"/>
  <c r="AP701" i="10"/>
  <c r="AR728" i="10"/>
  <c r="AQ728" i="10"/>
  <c r="AP728" i="10"/>
  <c r="AR878" i="10"/>
  <c r="AQ878" i="10"/>
  <c r="AP878" i="10"/>
  <c r="AR568" i="10"/>
  <c r="AQ568" i="10"/>
  <c r="AR1066" i="10"/>
  <c r="AQ1066" i="10"/>
  <c r="AP1066" i="10"/>
  <c r="AQ382" i="10"/>
  <c r="AR382" i="10"/>
  <c r="AP382" i="10"/>
  <c r="AR385" i="10"/>
  <c r="AQ385" i="10"/>
  <c r="AP385" i="10"/>
  <c r="AR917" i="10"/>
  <c r="AQ917" i="10"/>
  <c r="AP917" i="10"/>
  <c r="AQ1104" i="10"/>
  <c r="AR1104" i="10"/>
  <c r="AP1104" i="10"/>
  <c r="AR206" i="10"/>
  <c r="AQ206" i="10"/>
  <c r="AP206" i="10"/>
  <c r="AQ52" i="10"/>
  <c r="AR52" i="10"/>
  <c r="AR24" i="10"/>
  <c r="AQ24" i="10"/>
  <c r="AP24" i="10"/>
  <c r="AR924" i="10"/>
  <c r="AQ924" i="10"/>
  <c r="AP924" i="10"/>
  <c r="AR260" i="10"/>
  <c r="AQ260" i="10"/>
  <c r="AP260" i="10"/>
  <c r="AS1154" i="10"/>
  <c r="AR942" i="10"/>
  <c r="AQ942" i="10"/>
  <c r="AP942" i="10"/>
  <c r="AR38" i="10"/>
  <c r="AQ38" i="10"/>
  <c r="AP38" i="10"/>
  <c r="AR1074" i="10"/>
  <c r="AQ1074" i="10"/>
  <c r="AP1074" i="10"/>
  <c r="AQ97" i="10"/>
  <c r="AR97" i="10"/>
  <c r="AP97" i="10"/>
  <c r="AR451" i="10"/>
  <c r="AQ451" i="10"/>
  <c r="AP451" i="10"/>
  <c r="AR680" i="10"/>
  <c r="AQ680" i="10"/>
  <c r="AP680" i="10"/>
  <c r="AR525" i="10"/>
  <c r="AQ525" i="10"/>
  <c r="AP525" i="10"/>
  <c r="AR952" i="10"/>
  <c r="AQ952" i="10"/>
  <c r="AP952" i="10"/>
  <c r="AR216" i="10"/>
  <c r="AQ216" i="10"/>
  <c r="AP216" i="10"/>
  <c r="AQ166" i="10"/>
  <c r="AR166" i="10"/>
  <c r="AP166" i="10"/>
  <c r="AR899" i="10"/>
  <c r="AQ899" i="10"/>
  <c r="AP899" i="10"/>
  <c r="AR1113" i="10"/>
  <c r="AQ1113" i="10"/>
  <c r="AP1113" i="10"/>
  <c r="AR1030" i="10"/>
  <c r="AQ1030" i="10"/>
  <c r="AP1030" i="10"/>
  <c r="AR1191" i="10"/>
  <c r="AQ1191" i="10"/>
  <c r="AP1191" i="10"/>
  <c r="AR694" i="10"/>
  <c r="AQ694" i="10"/>
  <c r="AP694" i="10"/>
  <c r="AQ143" i="10"/>
  <c r="AR143" i="10"/>
  <c r="AP143" i="10"/>
  <c r="AR356" i="10"/>
  <c r="AQ356" i="10"/>
  <c r="AP356" i="10"/>
  <c r="AR920" i="10"/>
  <c r="AQ920" i="10"/>
  <c r="AP920" i="10"/>
  <c r="AR1159" i="10"/>
  <c r="AQ1159" i="10"/>
  <c r="AP1159" i="10"/>
  <c r="AR110" i="10"/>
  <c r="AQ110" i="10"/>
  <c r="AP110" i="10"/>
  <c r="AR32" i="10"/>
  <c r="AQ32" i="10"/>
  <c r="AP32" i="10"/>
  <c r="AR244" i="10"/>
  <c r="AQ244" i="10"/>
  <c r="AP244" i="10"/>
  <c r="AQ1072" i="10"/>
  <c r="AR1072" i="10"/>
  <c r="AP1072" i="10"/>
  <c r="AR1086" i="10"/>
  <c r="AQ1086" i="10"/>
  <c r="AP1086" i="10"/>
  <c r="AR181" i="10"/>
  <c r="AQ181" i="10"/>
  <c r="AP181" i="10"/>
  <c r="AR306" i="10"/>
  <c r="AQ306" i="10"/>
  <c r="AP306" i="10"/>
  <c r="AR66" i="10"/>
  <c r="AQ66" i="10"/>
  <c r="AP66" i="10"/>
  <c r="AR374" i="10"/>
  <c r="AQ374" i="10"/>
  <c r="AP374" i="10"/>
  <c r="AQ430" i="10"/>
  <c r="AR430" i="10"/>
  <c r="AP430" i="10"/>
  <c r="AR1110" i="10"/>
  <c r="AQ1110" i="10"/>
  <c r="AP1110" i="10"/>
  <c r="AQ384" i="10"/>
  <c r="AR384" i="10"/>
  <c r="AR172" i="10"/>
  <c r="AQ172" i="10"/>
  <c r="AP172" i="10"/>
  <c r="AR949" i="10"/>
  <c r="AQ949" i="10"/>
  <c r="AR1162" i="10"/>
  <c r="AQ1162" i="10"/>
  <c r="AP1162" i="10"/>
  <c r="AR334" i="10"/>
  <c r="AQ334" i="10"/>
  <c r="AP334" i="10"/>
  <c r="AR120" i="10"/>
  <c r="AQ120" i="10"/>
  <c r="AP120" i="10"/>
  <c r="AR458" i="10"/>
  <c r="AQ458" i="10"/>
  <c r="AP458" i="10"/>
  <c r="AR788" i="10"/>
  <c r="AQ788" i="10"/>
  <c r="AP788" i="10"/>
  <c r="AQ349" i="10"/>
  <c r="AR349" i="10"/>
  <c r="AP349" i="10"/>
  <c r="AR265" i="10"/>
  <c r="AQ265" i="10"/>
  <c r="AP265" i="10"/>
  <c r="AR380" i="10"/>
  <c r="AQ380" i="10"/>
  <c r="AP380" i="10"/>
  <c r="AR585" i="10"/>
  <c r="AQ585" i="10"/>
  <c r="AP585" i="10"/>
  <c r="AP568" i="10"/>
  <c r="AR184" i="10"/>
  <c r="AQ184" i="10"/>
  <c r="AP184" i="10"/>
  <c r="AR743" i="10"/>
  <c r="AQ743" i="10"/>
  <c r="AP743" i="10"/>
  <c r="AR163" i="10"/>
  <c r="AQ163" i="10"/>
  <c r="AP163" i="10"/>
  <c r="AR880" i="10"/>
  <c r="AQ880" i="10"/>
  <c r="AP880" i="10"/>
  <c r="AR20" i="10"/>
  <c r="AQ20" i="10"/>
  <c r="AP20" i="10"/>
  <c r="AR1186" i="10"/>
  <c r="AQ1186" i="10"/>
  <c r="AP1186" i="10"/>
  <c r="AQ854" i="10"/>
  <c r="AR854" i="10"/>
  <c r="AR1172" i="10"/>
  <c r="AQ1172" i="10"/>
  <c r="AP1172" i="10"/>
  <c r="AR283" i="10"/>
  <c r="AQ283" i="10"/>
  <c r="AP283" i="10"/>
  <c r="AR441" i="10"/>
  <c r="AQ441" i="10"/>
  <c r="AP441" i="10"/>
  <c r="AR438" i="10"/>
  <c r="AQ438" i="10"/>
  <c r="AP438" i="10"/>
  <c r="R417" i="10"/>
  <c r="AS417" i="10" s="1"/>
  <c r="R1044" i="10"/>
  <c r="U1044" i="10" s="1"/>
  <c r="R410" i="10"/>
  <c r="AS410" i="10" s="1"/>
  <c r="R623" i="10"/>
  <c r="AS623" i="10" s="1"/>
  <c r="R87" i="10"/>
  <c r="AS87" i="10" s="1"/>
  <c r="AR439" i="10"/>
  <c r="AQ439" i="10"/>
  <c r="AP439" i="10"/>
  <c r="AR726" i="10"/>
  <c r="AQ726" i="10"/>
  <c r="AP726" i="10"/>
  <c r="AR1079" i="10"/>
  <c r="AQ1079" i="10"/>
  <c r="AP1079" i="10"/>
  <c r="AR64" i="10"/>
  <c r="AQ64" i="10"/>
  <c r="AP64" i="10"/>
  <c r="AQ652" i="10"/>
  <c r="AR652" i="10"/>
  <c r="AP949" i="10"/>
  <c r="AR514" i="10"/>
  <c r="AQ514" i="10"/>
  <c r="AP514" i="10"/>
  <c r="AR735" i="10"/>
  <c r="AQ735" i="10"/>
  <c r="AP735" i="10"/>
  <c r="AR668" i="10"/>
  <c r="AQ668" i="10"/>
  <c r="AP668" i="10"/>
  <c r="AR470" i="10"/>
  <c r="AQ470" i="10"/>
  <c r="AP470" i="10"/>
  <c r="AR1098" i="10"/>
  <c r="AQ1098" i="10"/>
  <c r="AP1098" i="10"/>
  <c r="AR1192" i="10"/>
  <c r="AQ1192" i="10"/>
  <c r="AP1192" i="10"/>
  <c r="AP372" i="10"/>
  <c r="AR1160" i="10"/>
  <c r="AQ1160" i="10"/>
  <c r="AP1160" i="10"/>
  <c r="AR1121" i="10"/>
  <c r="AQ1121" i="10"/>
  <c r="AP1121" i="10"/>
  <c r="AR336" i="10"/>
  <c r="AQ336" i="10"/>
  <c r="AP336" i="10"/>
  <c r="AR173" i="10"/>
  <c r="AQ173" i="10"/>
  <c r="AP173" i="10"/>
  <c r="AR262" i="10"/>
  <c r="AQ262" i="10"/>
  <c r="AP262" i="10"/>
  <c r="AR171" i="10"/>
  <c r="AQ171" i="10"/>
  <c r="AP171" i="10"/>
  <c r="AR218" i="10"/>
  <c r="AQ218" i="10"/>
  <c r="AP218" i="10"/>
  <c r="AR316" i="10"/>
  <c r="AQ316" i="10"/>
  <c r="AP316" i="10"/>
  <c r="AR358" i="10"/>
  <c r="AQ358" i="10"/>
  <c r="AR176" i="10"/>
  <c r="AQ176" i="10"/>
  <c r="AP176" i="10"/>
  <c r="AR1042" i="10"/>
  <c r="AQ1042" i="10"/>
  <c r="AP1042" i="10"/>
  <c r="AR92" i="10"/>
  <c r="AQ92" i="10"/>
  <c r="AP92" i="10"/>
  <c r="AR200" i="10"/>
  <c r="AQ200" i="10"/>
  <c r="AQ435" i="10"/>
  <c r="AR435" i="10"/>
  <c r="AP435" i="10"/>
  <c r="AR1177" i="10"/>
  <c r="AQ1177" i="10"/>
  <c r="AP1177" i="10"/>
  <c r="AR174" i="10"/>
  <c r="AQ174" i="10"/>
  <c r="AP174" i="10"/>
  <c r="AR717" i="10"/>
  <c r="AQ717" i="10"/>
  <c r="AP717" i="10"/>
  <c r="AR377" i="10"/>
  <c r="AQ377" i="10"/>
  <c r="AP377" i="10"/>
  <c r="AR106" i="10"/>
  <c r="AQ106" i="10"/>
  <c r="AP106" i="10"/>
  <c r="AQ1038" i="10"/>
  <c r="AR1038" i="10"/>
  <c r="AP1038" i="10"/>
  <c r="AR910" i="10"/>
  <c r="AQ910" i="10"/>
  <c r="AP910" i="10"/>
  <c r="AR103" i="10"/>
  <c r="AQ103" i="10"/>
  <c r="AP103" i="10"/>
  <c r="AR245" i="10"/>
  <c r="AQ245" i="10"/>
  <c r="AP245" i="10"/>
  <c r="AR610" i="10"/>
  <c r="AQ610" i="10"/>
  <c r="R1159" i="10"/>
  <c r="R531" i="10"/>
  <c r="R1144" i="10"/>
  <c r="AS1144" i="10" s="1"/>
  <c r="AS358" i="10"/>
  <c r="R139" i="10"/>
  <c r="AS139" i="10" s="1"/>
  <c r="AS660" i="10"/>
  <c r="AP52" i="10"/>
  <c r="AQ390" i="10"/>
  <c r="AR390" i="10"/>
  <c r="AP390" i="10"/>
  <c r="AR376" i="10"/>
  <c r="AQ376" i="10"/>
  <c r="AR774" i="10"/>
  <c r="AQ774" i="10"/>
  <c r="AP774" i="10"/>
  <c r="AR1152" i="10"/>
  <c r="AQ1152" i="10"/>
  <c r="AP1152" i="10"/>
  <c r="AR806" i="10"/>
  <c r="AQ806" i="10"/>
  <c r="AP806" i="10"/>
  <c r="AR484" i="10"/>
  <c r="AQ484" i="10"/>
  <c r="AP484" i="10"/>
  <c r="AQ994" i="10"/>
  <c r="AR994" i="10"/>
  <c r="AP994" i="10"/>
  <c r="AR486" i="10"/>
  <c r="AQ486" i="10"/>
  <c r="AP486" i="10"/>
  <c r="R161" i="10"/>
  <c r="U161" i="10" s="1"/>
  <c r="AR194" i="10"/>
  <c r="AQ194" i="10"/>
  <c r="AP194" i="10"/>
  <c r="AR1046" i="10"/>
  <c r="AQ1046" i="10"/>
  <c r="AR69" i="10"/>
  <c r="AQ69" i="10"/>
  <c r="AP69" i="10"/>
  <c r="AR395" i="10"/>
  <c r="AQ395" i="10"/>
  <c r="AP395" i="10"/>
  <c r="AR756" i="10"/>
  <c r="AQ756" i="10"/>
  <c r="AP756" i="10"/>
  <c r="AP854" i="10"/>
  <c r="R940" i="10"/>
  <c r="U940" i="10" s="1"/>
  <c r="C940" i="12" s="1"/>
  <c r="R889" i="10"/>
  <c r="AS889" i="10" s="1"/>
  <c r="AR801" i="10"/>
  <c r="AQ801" i="10"/>
  <c r="AR510" i="10"/>
  <c r="AQ510" i="10"/>
  <c r="AR170" i="10"/>
  <c r="AQ170" i="10"/>
  <c r="AR277" i="10"/>
  <c r="AQ277" i="10"/>
  <c r="AR1114" i="10"/>
  <c r="AQ1114" i="10"/>
  <c r="AR100" i="10"/>
  <c r="AQ100" i="10"/>
  <c r="AR230" i="10"/>
  <c r="AQ230" i="10"/>
  <c r="AR210" i="10"/>
  <c r="AQ210" i="10"/>
  <c r="AR155" i="10"/>
  <c r="AQ155" i="10"/>
  <c r="AR1011" i="10"/>
  <c r="AQ1011" i="10"/>
  <c r="AR364" i="10"/>
  <c r="AQ364" i="10"/>
  <c r="AR56" i="10"/>
  <c r="AQ56" i="10"/>
  <c r="AR505" i="10"/>
  <c r="AQ505" i="10"/>
  <c r="AR353" i="10"/>
  <c r="AQ353" i="10"/>
  <c r="AR664" i="10"/>
  <c r="AQ664" i="10"/>
  <c r="AR692" i="10"/>
  <c r="AQ692" i="10"/>
  <c r="AQ836" i="10"/>
  <c r="AR836" i="10"/>
  <c r="AR747" i="10"/>
  <c r="AQ747" i="10"/>
  <c r="AR1012" i="10"/>
  <c r="AQ1012" i="10"/>
  <c r="AR687" i="10"/>
  <c r="AQ687" i="10"/>
  <c r="AR732" i="10"/>
  <c r="AQ732" i="10"/>
  <c r="AR354" i="10"/>
  <c r="AQ354" i="10"/>
  <c r="AR995" i="10"/>
  <c r="AQ995" i="10"/>
  <c r="AR1124" i="10"/>
  <c r="AQ1124" i="10"/>
  <c r="AR770" i="10"/>
  <c r="AQ770" i="10"/>
  <c r="AQ991" i="10"/>
  <c r="AR991" i="10"/>
  <c r="AR471" i="10"/>
  <c r="AQ471" i="10"/>
  <c r="AR518" i="10"/>
  <c r="AQ518" i="10"/>
  <c r="AR716" i="10"/>
  <c r="AQ716" i="10"/>
  <c r="AR681" i="10"/>
  <c r="AQ681" i="10"/>
  <c r="AR137" i="10"/>
  <c r="AQ137" i="10"/>
  <c r="AR16" i="10"/>
  <c r="AQ16" i="10"/>
  <c r="AR254" i="10"/>
  <c r="AQ254" i="10"/>
  <c r="AQ654" i="10"/>
  <c r="AR654" i="10"/>
  <c r="AR916" i="10"/>
  <c r="AQ916" i="10"/>
  <c r="AR90" i="10"/>
  <c r="AQ90" i="10"/>
  <c r="AR551" i="10"/>
  <c r="AQ551" i="10"/>
  <c r="AR1073" i="10"/>
  <c r="AQ1073" i="10"/>
  <c r="AR864" i="10"/>
  <c r="AQ864" i="10"/>
  <c r="AR19" i="10"/>
  <c r="AQ19" i="10"/>
  <c r="AR67" i="10"/>
  <c r="AQ67" i="10"/>
  <c r="AR371" i="10"/>
  <c r="AQ371" i="10"/>
  <c r="AR1065" i="10"/>
  <c r="AQ1065" i="10"/>
  <c r="AR827" i="10"/>
  <c r="AQ827" i="10"/>
  <c r="AR1137" i="10"/>
  <c r="AQ1137" i="10"/>
  <c r="AP254" i="10"/>
  <c r="AP170" i="10"/>
  <c r="AP1114" i="10"/>
  <c r="AP1011" i="10"/>
  <c r="AR676" i="10"/>
  <c r="AQ676" i="10"/>
  <c r="AR640" i="10"/>
  <c r="AQ640" i="10"/>
  <c r="AR622" i="10"/>
  <c r="AQ622" i="10"/>
  <c r="AR698" i="10"/>
  <c r="AQ698" i="10"/>
  <c r="AR988" i="10"/>
  <c r="AQ988" i="10"/>
  <c r="AR975" i="10"/>
  <c r="AQ975" i="10"/>
  <c r="AR523" i="10"/>
  <c r="AQ523" i="10"/>
  <c r="AR606" i="10"/>
  <c r="AQ606" i="10"/>
  <c r="AR866" i="10"/>
  <c r="AQ866" i="10"/>
  <c r="AR487" i="10"/>
  <c r="AQ487" i="10"/>
  <c r="AQ1193" i="10"/>
  <c r="AR1193" i="10"/>
  <c r="AR823" i="10"/>
  <c r="AQ823" i="10"/>
  <c r="AP640" i="10"/>
  <c r="AP1012" i="10"/>
  <c r="AP801" i="10"/>
  <c r="AP995" i="10"/>
  <c r="AP364" i="10"/>
  <c r="AR974" i="10"/>
  <c r="AQ974" i="10"/>
  <c r="AR771" i="10"/>
  <c r="AQ771" i="10"/>
  <c r="AR530" i="10"/>
  <c r="AQ530" i="10"/>
  <c r="AQ966" i="10"/>
  <c r="AR966" i="10"/>
  <c r="AR1095" i="10"/>
  <c r="AQ1095" i="10"/>
  <c r="AQ153" i="10"/>
  <c r="AR153" i="10"/>
  <c r="AR744" i="10"/>
  <c r="AQ744" i="10"/>
  <c r="AQ199" i="10"/>
  <c r="AR199" i="10"/>
  <c r="AR663" i="10"/>
  <c r="AQ663" i="10"/>
  <c r="AQ515" i="10"/>
  <c r="AR515" i="10"/>
  <c r="AQ298" i="10"/>
  <c r="AR298" i="10"/>
  <c r="AR913" i="10"/>
  <c r="AQ913" i="10"/>
  <c r="AQ239" i="10"/>
  <c r="AR239" i="10"/>
  <c r="AR407" i="10"/>
  <c r="AQ407" i="10"/>
  <c r="AR889" i="10"/>
  <c r="AQ889" i="10"/>
  <c r="AQ883" i="10"/>
  <c r="AR883" i="10"/>
  <c r="AR733" i="10"/>
  <c r="AQ733" i="10"/>
  <c r="AR784" i="10"/>
  <c r="AQ784" i="10"/>
  <c r="AR1111" i="10"/>
  <c r="AQ1111" i="10"/>
  <c r="AR80" i="10"/>
  <c r="AQ80" i="10"/>
  <c r="AR1118" i="10"/>
  <c r="AQ1118" i="10"/>
  <c r="AR943" i="10"/>
  <c r="AQ943" i="10"/>
  <c r="AR820" i="10"/>
  <c r="AQ820" i="10"/>
  <c r="AR423" i="10"/>
  <c r="AQ423" i="10"/>
  <c r="AR242" i="10"/>
  <c r="AQ242" i="10"/>
  <c r="AR550" i="10"/>
  <c r="AQ550" i="10"/>
  <c r="AR953" i="10"/>
  <c r="AQ953" i="10"/>
  <c r="AR725" i="10"/>
  <c r="AQ725" i="10"/>
  <c r="AR793" i="10"/>
  <c r="AQ793" i="10"/>
  <c r="AR402" i="10"/>
  <c r="AQ402" i="10"/>
  <c r="AR902" i="10"/>
  <c r="AQ902" i="10"/>
  <c r="AR783" i="10"/>
  <c r="AQ783" i="10"/>
  <c r="AR185" i="10"/>
  <c r="AQ185" i="10"/>
  <c r="AR1050" i="10"/>
  <c r="AQ1050" i="10"/>
  <c r="AR161" i="10"/>
  <c r="AQ161" i="10"/>
  <c r="AR1175" i="10"/>
  <c r="AQ1175" i="10"/>
  <c r="AR665" i="10"/>
  <c r="AQ665" i="10"/>
  <c r="AR1173" i="10"/>
  <c r="AQ1173" i="10"/>
  <c r="AR133" i="10"/>
  <c r="AQ133" i="10"/>
  <c r="AR388" i="10"/>
  <c r="AQ388" i="10"/>
  <c r="AR898" i="10"/>
  <c r="AQ898" i="10"/>
  <c r="AR907" i="10"/>
  <c r="AQ907" i="10"/>
  <c r="AQ1156" i="10"/>
  <c r="AR1156" i="10"/>
  <c r="AR341" i="10"/>
  <c r="AQ341" i="10"/>
  <c r="AP518" i="10"/>
  <c r="AP523" i="10"/>
  <c r="AP1173" i="10"/>
  <c r="AP354" i="10"/>
  <c r="AP907" i="10"/>
  <c r="AP1156" i="10"/>
  <c r="AP1118" i="10"/>
  <c r="AP505" i="10"/>
  <c r="AP153" i="10"/>
  <c r="AP676" i="10"/>
  <c r="AP654" i="10"/>
  <c r="R177" i="10"/>
  <c r="U177" i="10" s="1"/>
  <c r="R227" i="10"/>
  <c r="AS227" i="10" s="1"/>
  <c r="AR1028" i="10"/>
  <c r="AQ1028" i="10"/>
  <c r="AR131" i="10"/>
  <c r="AQ131" i="10"/>
  <c r="AR976" i="10"/>
  <c r="AQ976" i="10"/>
  <c r="AQ403" i="10"/>
  <c r="AR403" i="10"/>
  <c r="AQ847" i="10"/>
  <c r="AR847" i="10"/>
  <c r="AR983" i="10"/>
  <c r="AQ983" i="10"/>
  <c r="AR343" i="10"/>
  <c r="AQ343" i="10"/>
  <c r="AR876" i="10"/>
  <c r="AQ876" i="10"/>
  <c r="AR632" i="10"/>
  <c r="AQ632" i="10"/>
  <c r="AR842" i="10"/>
  <c r="AQ842" i="10"/>
  <c r="AP423" i="10"/>
  <c r="AP1124" i="10"/>
  <c r="AP1050" i="10"/>
  <c r="AP471" i="10"/>
  <c r="AP230" i="10"/>
  <c r="AP67" i="10"/>
  <c r="AP239" i="10"/>
  <c r="AP883" i="10"/>
  <c r="AR1088" i="10"/>
  <c r="AQ1088" i="10"/>
  <c r="AR1096" i="10"/>
  <c r="AQ1096" i="10"/>
  <c r="AQ714" i="10"/>
  <c r="AR714" i="10"/>
  <c r="AR840" i="10"/>
  <c r="AQ840" i="10"/>
  <c r="AQ601" i="10"/>
  <c r="AR601" i="10"/>
  <c r="AR93" i="10"/>
  <c r="AQ93" i="10"/>
  <c r="AR832" i="10"/>
  <c r="AQ832" i="10"/>
  <c r="AR485" i="10"/>
  <c r="AQ485" i="10"/>
  <c r="AQ1163" i="10"/>
  <c r="AR1163" i="10"/>
  <c r="AQ564" i="10"/>
  <c r="AR564" i="10"/>
  <c r="AR718" i="10"/>
  <c r="AQ718" i="10"/>
  <c r="AR989" i="10"/>
  <c r="AQ989" i="10"/>
  <c r="AR271" i="10"/>
  <c r="AQ271" i="10"/>
  <c r="AR871" i="10"/>
  <c r="AQ871" i="10"/>
  <c r="AR335" i="10"/>
  <c r="AQ335" i="10"/>
  <c r="AR825" i="10"/>
  <c r="AQ825" i="10"/>
  <c r="AR421" i="10"/>
  <c r="AQ421" i="10"/>
  <c r="AR44" i="10"/>
  <c r="AQ44" i="10"/>
  <c r="AR1085" i="10"/>
  <c r="AQ1085" i="10"/>
  <c r="AR860" i="10"/>
  <c r="AQ860" i="10"/>
  <c r="AR357" i="10"/>
  <c r="AQ357" i="10"/>
  <c r="AR849" i="10"/>
  <c r="AQ849" i="10"/>
  <c r="AR627" i="10"/>
  <c r="AQ627" i="10"/>
  <c r="AR339" i="10"/>
  <c r="AQ339" i="10"/>
  <c r="AR604" i="10"/>
  <c r="AQ604" i="10"/>
  <c r="AR445" i="10"/>
  <c r="AQ445" i="10"/>
  <c r="AR968" i="10"/>
  <c r="AQ968" i="10"/>
  <c r="AR965" i="10"/>
  <c r="AQ965" i="10"/>
  <c r="AR557" i="10"/>
  <c r="AQ557" i="10"/>
  <c r="AR745" i="10"/>
  <c r="AQ745" i="10"/>
  <c r="AR321" i="10"/>
  <c r="AQ321" i="10"/>
  <c r="AR78" i="10"/>
  <c r="AQ78" i="10"/>
  <c r="AQ3" i="10"/>
  <c r="AR3" i="10"/>
  <c r="AR642" i="10"/>
  <c r="AQ642" i="10"/>
  <c r="AR579" i="10"/>
  <c r="AQ579" i="10"/>
  <c r="AR186" i="10"/>
  <c r="AQ186" i="10"/>
  <c r="AR129" i="10"/>
  <c r="AQ129" i="10"/>
  <c r="AQ540" i="10"/>
  <c r="AR540" i="10"/>
  <c r="AR921" i="10"/>
  <c r="AQ921" i="10"/>
  <c r="AR219" i="10"/>
  <c r="AQ219" i="10"/>
  <c r="AR1184" i="10"/>
  <c r="AQ1184" i="10"/>
  <c r="AR964" i="10"/>
  <c r="AQ964" i="10"/>
  <c r="AR602" i="10"/>
  <c r="AQ602" i="10"/>
  <c r="AR970" i="10"/>
  <c r="AQ970" i="10"/>
  <c r="AR1044" i="10"/>
  <c r="AQ1044" i="10"/>
  <c r="AR830" i="10"/>
  <c r="AQ830" i="10"/>
  <c r="AP335" i="10"/>
  <c r="AP847" i="10"/>
  <c r="AP407" i="10"/>
  <c r="AP823" i="10"/>
  <c r="AQ1143" i="10"/>
  <c r="AR1143" i="10"/>
  <c r="AR229" i="10"/>
  <c r="AQ229" i="10"/>
  <c r="AR140" i="10"/>
  <c r="AQ140" i="10"/>
  <c r="AR286" i="10"/>
  <c r="AQ286" i="10"/>
  <c r="AR431" i="10"/>
  <c r="AQ431" i="10"/>
  <c r="AQ408" i="10"/>
  <c r="AR408" i="10"/>
  <c r="AR49" i="10"/>
  <c r="AQ49" i="10"/>
  <c r="AR607" i="10"/>
  <c r="AQ607" i="10"/>
  <c r="AR1176" i="10"/>
  <c r="AQ1176" i="10"/>
  <c r="AR1145" i="10"/>
  <c r="AQ1145" i="10"/>
  <c r="AP681" i="10"/>
  <c r="AP487" i="10"/>
  <c r="AP968" i="10"/>
  <c r="AP747" i="10"/>
  <c r="AP133" i="10"/>
  <c r="AP408" i="10"/>
  <c r="AP718" i="10"/>
  <c r="AP1095" i="10"/>
  <c r="AP687" i="10"/>
  <c r="AQ919" i="10"/>
  <c r="AR919" i="10"/>
  <c r="AR1188" i="10"/>
  <c r="AQ1188" i="10"/>
  <c r="AR646" i="10"/>
  <c r="AQ646" i="10"/>
  <c r="AR885" i="10"/>
  <c r="AQ885" i="10"/>
  <c r="AR363" i="10"/>
  <c r="AQ363" i="10"/>
  <c r="AR859" i="10"/>
  <c r="AQ859" i="10"/>
  <c r="AR580" i="10"/>
  <c r="AQ580" i="10"/>
  <c r="AQ139" i="10"/>
  <c r="AR139" i="10"/>
  <c r="AR65" i="10"/>
  <c r="AQ65" i="10"/>
  <c r="AR1071" i="10"/>
  <c r="AQ1071" i="10"/>
  <c r="AR776" i="10"/>
  <c r="AQ776" i="10"/>
  <c r="AR1148" i="10"/>
  <c r="AQ1148" i="10"/>
  <c r="AQ605" i="10"/>
  <c r="AR605" i="10"/>
  <c r="AR259" i="10"/>
  <c r="AQ259" i="10"/>
  <c r="AR233" i="10"/>
  <c r="AQ233" i="10"/>
  <c r="AR51" i="10"/>
  <c r="AQ51" i="10"/>
  <c r="AR656" i="10"/>
  <c r="AQ656" i="10"/>
  <c r="AR624" i="10"/>
  <c r="AQ624" i="10"/>
  <c r="AR469" i="10"/>
  <c r="AQ469" i="10"/>
  <c r="AR1033" i="10"/>
  <c r="AQ1033" i="10"/>
  <c r="AR969" i="10"/>
  <c r="AQ969" i="10"/>
  <c r="AR565" i="10"/>
  <c r="AQ565" i="10"/>
  <c r="AR765" i="10"/>
  <c r="AQ765" i="10"/>
  <c r="AR417" i="10"/>
  <c r="AQ417" i="10"/>
  <c r="AR1054" i="10"/>
  <c r="AQ1054" i="10"/>
  <c r="AR432" i="10"/>
  <c r="AQ432" i="10"/>
  <c r="AR834" i="10"/>
  <c r="AQ834" i="10"/>
  <c r="AR769" i="10"/>
  <c r="AQ769" i="10"/>
  <c r="AR797" i="10"/>
  <c r="AQ797" i="10"/>
  <c r="AR682" i="10"/>
  <c r="AQ682" i="10"/>
  <c r="AR980" i="10"/>
  <c r="AQ980" i="10"/>
  <c r="AR768" i="10"/>
  <c r="AQ768" i="10"/>
  <c r="AQ947" i="10"/>
  <c r="AR947" i="10"/>
  <c r="AQ226" i="10"/>
  <c r="AR226" i="10"/>
  <c r="AR762" i="10"/>
  <c r="AQ762" i="10"/>
  <c r="AR586" i="10"/>
  <c r="AQ586" i="10"/>
  <c r="AR672" i="10"/>
  <c r="AQ672" i="10"/>
  <c r="AR1053" i="10"/>
  <c r="AQ1053" i="10"/>
  <c r="AP1137" i="10"/>
  <c r="AP1096" i="10"/>
  <c r="AP784" i="10"/>
  <c r="AP341" i="10"/>
  <c r="AP321" i="10"/>
  <c r="AP606" i="10"/>
  <c r="AP953" i="10"/>
  <c r="AP431" i="10"/>
  <c r="AP3" i="10"/>
  <c r="AP277" i="10"/>
  <c r="AP733" i="10"/>
  <c r="AP564" i="10"/>
  <c r="AP343" i="10"/>
  <c r="AP229" i="10"/>
  <c r="AP210" i="10"/>
  <c r="AP271" i="10"/>
  <c r="AP692" i="10"/>
  <c r="AP964" i="10"/>
  <c r="AP137" i="10"/>
  <c r="AR204" i="10"/>
  <c r="AQ204" i="10"/>
  <c r="AQ667" i="10"/>
  <c r="AR667" i="10"/>
  <c r="AQ691" i="10"/>
  <c r="AR691" i="10"/>
  <c r="AR241" i="10"/>
  <c r="AQ241" i="10"/>
  <c r="AR614" i="10"/>
  <c r="AQ614" i="10"/>
  <c r="AR956" i="10"/>
  <c r="AQ956" i="10"/>
  <c r="AR134" i="10"/>
  <c r="AQ134" i="10"/>
  <c r="AR520" i="10"/>
  <c r="AQ520" i="10"/>
  <c r="AR1097" i="10"/>
  <c r="AQ1097" i="10"/>
  <c r="AP898" i="10"/>
  <c r="AP842" i="10"/>
  <c r="AP402" i="10"/>
  <c r="AP885" i="10"/>
  <c r="AP849" i="10"/>
  <c r="AP1033" i="10"/>
  <c r="AP797" i="10"/>
  <c r="AP185" i="10"/>
  <c r="AP602" i="10"/>
  <c r="AP604" i="10"/>
  <c r="AP1193" i="10"/>
  <c r="AR937" i="10"/>
  <c r="AQ937" i="10"/>
  <c r="AR1178" i="10"/>
  <c r="AQ1178" i="10"/>
  <c r="AR1062" i="10"/>
  <c r="AQ1062" i="10"/>
  <c r="AR454" i="10"/>
  <c r="AQ454" i="10"/>
  <c r="AR404" i="10"/>
  <c r="AQ404" i="10"/>
  <c r="AQ659" i="10"/>
  <c r="AR659" i="10"/>
  <c r="AR707" i="10"/>
  <c r="AQ707" i="10"/>
  <c r="AR833" i="10"/>
  <c r="AQ833" i="10"/>
  <c r="AQ561" i="10"/>
  <c r="AR561" i="10"/>
  <c r="AR60" i="10"/>
  <c r="AQ60" i="10"/>
  <c r="AR452" i="10"/>
  <c r="AQ452" i="10"/>
  <c r="AR990" i="10"/>
  <c r="AQ990" i="10"/>
  <c r="AR873" i="10"/>
  <c r="AQ873" i="10"/>
  <c r="AR180" i="10"/>
  <c r="AQ180" i="10"/>
  <c r="AR1105" i="10"/>
  <c r="AQ1105" i="10"/>
  <c r="AR539" i="10"/>
  <c r="AQ539" i="10"/>
  <c r="AR930" i="10"/>
  <c r="AQ930" i="10"/>
  <c r="AR361" i="10"/>
  <c r="AQ361" i="10"/>
  <c r="AR58" i="10"/>
  <c r="AQ58" i="10"/>
  <c r="AQ326" i="10"/>
  <c r="AR326" i="10"/>
  <c r="AR193" i="10"/>
  <c r="AQ193" i="10"/>
  <c r="AR957" i="10"/>
  <c r="AQ957" i="10"/>
  <c r="AR500" i="10"/>
  <c r="AQ500" i="10"/>
  <c r="AR631" i="10"/>
  <c r="AQ631" i="10"/>
  <c r="AR1056" i="10"/>
  <c r="AQ1056" i="10"/>
  <c r="AR981" i="10"/>
  <c r="AQ981" i="10"/>
  <c r="AR1167" i="10"/>
  <c r="AQ1167" i="10"/>
  <c r="AR553" i="10"/>
  <c r="AQ553" i="10"/>
  <c r="AR292" i="10"/>
  <c r="AQ292" i="10"/>
  <c r="AQ107" i="10"/>
  <c r="AR107" i="10"/>
  <c r="AR75" i="10"/>
  <c r="AQ75" i="10"/>
  <c r="AQ1007" i="10"/>
  <c r="AR1007" i="10"/>
  <c r="AR835" i="10"/>
  <c r="AQ835" i="10"/>
  <c r="AR690" i="10"/>
  <c r="AQ690" i="10"/>
  <c r="AR347" i="10"/>
  <c r="AQ347" i="10"/>
  <c r="AR1000" i="10"/>
  <c r="AQ1000" i="10"/>
  <c r="AR1036" i="10"/>
  <c r="AQ1036" i="10"/>
  <c r="AR865" i="10"/>
  <c r="AQ865" i="10"/>
  <c r="AR45" i="10"/>
  <c r="AQ45" i="10"/>
  <c r="AR1022" i="10"/>
  <c r="AQ1022" i="10"/>
  <c r="AR997" i="10"/>
  <c r="AQ997" i="10"/>
  <c r="AP339" i="10"/>
  <c r="AP1111" i="10"/>
  <c r="AP510" i="10"/>
  <c r="AP403" i="10"/>
  <c r="AP1184" i="10"/>
  <c r="AP388" i="10"/>
  <c r="AP947" i="10"/>
  <c r="AP49" i="10"/>
  <c r="AP976" i="10"/>
  <c r="AP16" i="10"/>
  <c r="AP716" i="10"/>
  <c r="AP65" i="10"/>
  <c r="AP363" i="10"/>
  <c r="AP361" i="10"/>
  <c r="AP452" i="10"/>
  <c r="AP131" i="10"/>
  <c r="AP1085" i="10"/>
  <c r="AP1007" i="10"/>
  <c r="AP768" i="10"/>
  <c r="AR816" i="10"/>
  <c r="AQ816" i="10"/>
  <c r="AR333" i="10"/>
  <c r="AQ333" i="10"/>
  <c r="AR809" i="10"/>
  <c r="AQ809" i="10"/>
  <c r="AR386" i="10"/>
  <c r="AQ386" i="10"/>
  <c r="AR1158" i="10"/>
  <c r="AQ1158" i="10"/>
  <c r="AR791" i="10"/>
  <c r="AQ791" i="10"/>
  <c r="AR736" i="10"/>
  <c r="AQ736" i="10"/>
  <c r="AR955" i="10"/>
  <c r="AQ955" i="10"/>
  <c r="AR1115" i="10"/>
  <c r="AQ1115" i="10"/>
  <c r="AP646" i="10"/>
  <c r="AP866" i="10"/>
  <c r="AP889" i="10"/>
  <c r="AP1028" i="10"/>
  <c r="AP19" i="10"/>
  <c r="AP298" i="10"/>
  <c r="AP793" i="10"/>
  <c r="AP286" i="10"/>
  <c r="AP241" i="10"/>
  <c r="AP421" i="10"/>
  <c r="AP78" i="10"/>
  <c r="AP550" i="10"/>
  <c r="AP745" i="10"/>
  <c r="AP970" i="10"/>
  <c r="AP129" i="10"/>
  <c r="AP916" i="10"/>
  <c r="AP771" i="10"/>
  <c r="AP663" i="10"/>
  <c r="AP90" i="10"/>
  <c r="AP259" i="10"/>
  <c r="AP859" i="10"/>
  <c r="AP988" i="10"/>
  <c r="AR713" i="10"/>
  <c r="AQ713" i="10"/>
  <c r="AR982" i="10"/>
  <c r="AQ982" i="10"/>
  <c r="AR787" i="10"/>
  <c r="AQ787" i="10"/>
  <c r="AR869" i="10"/>
  <c r="AQ869" i="10"/>
  <c r="AR912" i="10"/>
  <c r="AQ912" i="10"/>
  <c r="AR877" i="10"/>
  <c r="AQ877" i="10"/>
  <c r="AR466" i="10"/>
  <c r="AQ466" i="10"/>
  <c r="AQ95" i="10"/>
  <c r="AR95" i="10"/>
  <c r="AR950" i="10"/>
  <c r="AQ950" i="10"/>
  <c r="AR355" i="10"/>
  <c r="AQ355" i="10"/>
  <c r="AR370" i="10"/>
  <c r="AQ370" i="10"/>
  <c r="AQ169" i="10"/>
  <c r="AR169" i="10"/>
  <c r="AR459" i="10"/>
  <c r="AQ459" i="10"/>
  <c r="AR1004" i="10"/>
  <c r="AQ1004" i="10"/>
  <c r="AR923" i="10"/>
  <c r="AQ923" i="10"/>
  <c r="AQ264" i="10"/>
  <c r="AR264" i="10"/>
  <c r="AR1091" i="10"/>
  <c r="AQ1091" i="10"/>
  <c r="AR389" i="10"/>
  <c r="AQ389" i="10"/>
  <c r="AR782" i="10"/>
  <c r="AQ782" i="10"/>
  <c r="AQ731" i="10"/>
  <c r="AR731" i="10"/>
  <c r="AR529" i="10"/>
  <c r="AQ529" i="10"/>
  <c r="AR908" i="10"/>
  <c r="AQ908" i="10"/>
  <c r="AR661" i="10"/>
  <c r="AQ661" i="10"/>
  <c r="AQ1016" i="10"/>
  <c r="AR1016" i="10"/>
  <c r="AR738" i="10"/>
  <c r="AQ738" i="10"/>
  <c r="AQ443" i="10"/>
  <c r="AR443" i="10"/>
  <c r="AQ1181" i="10"/>
  <c r="AR1181" i="10"/>
  <c r="AR641" i="10"/>
  <c r="AQ641" i="10"/>
  <c r="AR901" i="10"/>
  <c r="AQ901" i="10"/>
  <c r="AR577" i="10"/>
  <c r="AQ577" i="10"/>
  <c r="AR117" i="10"/>
  <c r="AQ117" i="10"/>
  <c r="AR684" i="10"/>
  <c r="AQ684" i="10"/>
  <c r="AR53" i="10"/>
  <c r="AQ53" i="10"/>
  <c r="AR79" i="10"/>
  <c r="AQ79" i="10"/>
  <c r="AQ164" i="10"/>
  <c r="AR164" i="10"/>
  <c r="AR897" i="10"/>
  <c r="AQ897" i="10"/>
  <c r="AR1059" i="10"/>
  <c r="AQ1059" i="10"/>
  <c r="AR300" i="10"/>
  <c r="AQ300" i="10"/>
  <c r="AR1183" i="10"/>
  <c r="AQ1183" i="10"/>
  <c r="AR412" i="10"/>
  <c r="AQ412" i="10"/>
  <c r="AR63" i="10"/>
  <c r="AQ63" i="10"/>
  <c r="AR324" i="10"/>
  <c r="AQ324" i="10"/>
  <c r="AR1045" i="10"/>
  <c r="AQ1045" i="10"/>
  <c r="AR1109" i="10"/>
  <c r="AQ1109" i="10"/>
  <c r="AP980" i="10"/>
  <c r="AP580" i="10"/>
  <c r="AP1163" i="10"/>
  <c r="AP53" i="10"/>
  <c r="AP607" i="10"/>
  <c r="AP901" i="10"/>
  <c r="AP353" i="10"/>
  <c r="AP44" i="10"/>
  <c r="AP667" i="10"/>
  <c r="AP579" i="10"/>
  <c r="AP1183" i="10"/>
  <c r="AP832" i="10"/>
  <c r="AP622" i="10"/>
  <c r="AP787" i="10"/>
  <c r="AP529" i="10"/>
  <c r="AP714" i="10"/>
  <c r="AP664" i="10"/>
  <c r="AP199" i="10"/>
  <c r="AP690" i="10"/>
  <c r="AP765" i="10"/>
  <c r="AP107" i="10"/>
  <c r="AP539" i="10"/>
  <c r="AP897" i="10"/>
  <c r="AP632" i="10"/>
  <c r="AP551" i="10"/>
  <c r="AP736" i="10"/>
  <c r="AR749" i="10"/>
  <c r="AQ749" i="10"/>
  <c r="AR819" i="10"/>
  <c r="AQ819" i="10"/>
  <c r="AR1061" i="10"/>
  <c r="AQ1061" i="10"/>
  <c r="AR599" i="10"/>
  <c r="AQ599" i="10"/>
  <c r="AR457" i="10"/>
  <c r="AQ457" i="10"/>
  <c r="AR1005" i="10"/>
  <c r="AQ1005" i="10"/>
  <c r="AR149" i="10"/>
  <c r="AQ149" i="10"/>
  <c r="AR455" i="10"/>
  <c r="AQ455" i="10"/>
  <c r="AQ352" i="10"/>
  <c r="AR352" i="10"/>
  <c r="R1001" i="10"/>
  <c r="AS1001" i="10" s="1"/>
  <c r="AP871" i="10"/>
  <c r="AP631" i="10"/>
  <c r="AP762" i="10"/>
  <c r="AP860" i="10"/>
  <c r="AP836" i="10"/>
  <c r="AP791" i="10"/>
  <c r="AP1109" i="10"/>
  <c r="AP1097" i="10"/>
  <c r="AP520" i="10"/>
  <c r="AP776" i="10"/>
  <c r="AP155" i="10"/>
  <c r="AP969" i="10"/>
  <c r="AP833" i="10"/>
  <c r="AP1065" i="10"/>
  <c r="AP219" i="10"/>
  <c r="AP974" i="10"/>
  <c r="AP56" i="10"/>
  <c r="AP783" i="10"/>
  <c r="AP601" i="10"/>
  <c r="AP691" i="10"/>
  <c r="AP530" i="10"/>
  <c r="AP1045" i="10"/>
  <c r="AR418" i="10"/>
  <c r="AQ418" i="10"/>
  <c r="AR468" i="10"/>
  <c r="AQ468" i="10"/>
  <c r="AR6" i="10"/>
  <c r="AQ6" i="10"/>
  <c r="AR34" i="10"/>
  <c r="AQ34" i="10"/>
  <c r="AR122" i="10"/>
  <c r="AQ122" i="10"/>
  <c r="AR188" i="10"/>
  <c r="AQ188" i="10"/>
  <c r="AR318" i="10"/>
  <c r="AQ318" i="10"/>
  <c r="AR10" i="10"/>
  <c r="AQ10" i="10"/>
  <c r="AR234" i="10"/>
  <c r="AQ234" i="10"/>
  <c r="AQ138" i="10"/>
  <c r="AR138" i="10"/>
  <c r="AR848" i="10"/>
  <c r="AQ848" i="10"/>
  <c r="AR984" i="10"/>
  <c r="AQ984" i="10"/>
  <c r="AR14" i="10"/>
  <c r="AQ14" i="10"/>
  <c r="AR28" i="10"/>
  <c r="AQ28" i="10"/>
  <c r="AR150" i="10"/>
  <c r="AQ150" i="10"/>
  <c r="AR54" i="10"/>
  <c r="AQ54" i="10"/>
  <c r="AR502" i="10"/>
  <c r="AQ502" i="10"/>
  <c r="AR1010" i="10"/>
  <c r="AQ1010" i="10"/>
  <c r="AQ4" i="10"/>
  <c r="AR4" i="10"/>
  <c r="AR18" i="10"/>
  <c r="AQ18" i="10"/>
  <c r="AR132" i="10"/>
  <c r="AQ132" i="10"/>
  <c r="AQ328" i="10"/>
  <c r="AR328" i="10"/>
  <c r="AQ8" i="10"/>
  <c r="AR8" i="10"/>
  <c r="AR36" i="10"/>
  <c r="AQ36" i="10"/>
  <c r="AQ48" i="10"/>
  <c r="AR48" i="10"/>
  <c r="AQ178" i="10"/>
  <c r="AR178" i="10"/>
  <c r="AR232" i="10"/>
  <c r="AQ232" i="10"/>
  <c r="AR660" i="10"/>
  <c r="AQ660" i="10"/>
  <c r="AR1018" i="10"/>
  <c r="AQ1018" i="10"/>
  <c r="AR414" i="10"/>
  <c r="AQ414" i="10"/>
  <c r="AR12" i="10"/>
  <c r="AQ12" i="10"/>
  <c r="AR26" i="10"/>
  <c r="AQ26" i="10"/>
  <c r="AR148" i="10"/>
  <c r="AQ148" i="10"/>
  <c r="AR160" i="10"/>
  <c r="AQ160" i="10"/>
  <c r="AR290" i="10"/>
  <c r="AQ290" i="10"/>
  <c r="AR344" i="10"/>
  <c r="AQ344" i="10"/>
  <c r="AQ798" i="10"/>
  <c r="AR798" i="10"/>
  <c r="AR1024" i="10"/>
  <c r="AQ1024" i="10"/>
  <c r="AR1058" i="10"/>
  <c r="AQ1058" i="10"/>
  <c r="AR742" i="10"/>
  <c r="AQ742" i="10"/>
  <c r="AR1064" i="10"/>
  <c r="AQ1064" i="10"/>
  <c r="AR1126" i="10"/>
  <c r="AQ1126" i="10"/>
  <c r="AR1164" i="10"/>
  <c r="AQ1164" i="10"/>
  <c r="AR938" i="10"/>
  <c r="AQ938" i="10"/>
  <c r="AR1080" i="10"/>
  <c r="AQ1080" i="10"/>
  <c r="AR1052" i="10"/>
  <c r="AQ1052" i="10"/>
  <c r="AR1134" i="10"/>
  <c r="AQ1134" i="10"/>
  <c r="AQ1154" i="10"/>
  <c r="AR1154" i="10"/>
  <c r="AR1180" i="10"/>
  <c r="AQ1180" i="10"/>
  <c r="AR227" i="10"/>
  <c r="AQ227" i="10"/>
  <c r="AR74" i="10"/>
  <c r="AQ74" i="10"/>
  <c r="AR209" i="10"/>
  <c r="AQ209" i="10"/>
  <c r="AR367" i="10"/>
  <c r="AQ367" i="10"/>
  <c r="AR582" i="10"/>
  <c r="AQ582" i="10"/>
  <c r="AR87" i="10"/>
  <c r="AQ87" i="10"/>
  <c r="AR189" i="10"/>
  <c r="AQ189" i="10"/>
  <c r="AR258" i="10"/>
  <c r="AQ258" i="10"/>
  <c r="AR1174" i="10"/>
  <c r="AQ1174" i="10"/>
  <c r="AR115" i="10"/>
  <c r="AQ115" i="10"/>
  <c r="AR118" i="10"/>
  <c r="AQ118" i="10"/>
  <c r="AR214" i="10"/>
  <c r="AQ214" i="10"/>
  <c r="AR240" i="10"/>
  <c r="AQ240" i="10"/>
  <c r="AR482" i="10"/>
  <c r="AQ482" i="10"/>
  <c r="AQ1166" i="10"/>
  <c r="AR1166" i="10"/>
  <c r="AR617" i="10"/>
  <c r="AQ617" i="10"/>
  <c r="AR554" i="10"/>
  <c r="AQ554" i="10"/>
  <c r="AR587" i="10"/>
  <c r="AQ587" i="10"/>
  <c r="AR410" i="10"/>
  <c r="AQ410" i="10"/>
  <c r="AR706" i="10"/>
  <c r="AQ706" i="10"/>
  <c r="AR314" i="10"/>
  <c r="AQ314" i="10"/>
  <c r="AQ575" i="10"/>
  <c r="AR575" i="10"/>
  <c r="AR705" i="10"/>
  <c r="AQ705" i="10"/>
  <c r="AR838" i="10"/>
  <c r="AQ838" i="10"/>
  <c r="AR853" i="10"/>
  <c r="AQ853" i="10"/>
  <c r="AR1187" i="10"/>
  <c r="AQ1187" i="10"/>
  <c r="AR293" i="10"/>
  <c r="AQ293" i="10"/>
  <c r="AR237" i="10"/>
  <c r="AQ237" i="10"/>
  <c r="AR401" i="10"/>
  <c r="AQ401" i="10"/>
  <c r="AR1037" i="10"/>
  <c r="AQ1037" i="10"/>
  <c r="AQ409" i="10"/>
  <c r="AR409" i="10"/>
  <c r="AR278" i="10"/>
  <c r="AQ278" i="10"/>
  <c r="AR162" i="10"/>
  <c r="AQ162" i="10"/>
  <c r="AR891" i="10"/>
  <c r="AQ891" i="10"/>
  <c r="AR669" i="10"/>
  <c r="AQ669" i="10"/>
  <c r="AR846" i="10"/>
  <c r="AQ846" i="10"/>
  <c r="AR1144" i="10"/>
  <c r="AQ1144" i="10"/>
  <c r="AR637" i="10"/>
  <c r="AQ637" i="10"/>
  <c r="AR759" i="10"/>
  <c r="AQ759" i="10"/>
  <c r="AR856" i="10"/>
  <c r="AQ856" i="10"/>
  <c r="AR559" i="10"/>
  <c r="AQ559" i="10"/>
  <c r="AR496" i="10"/>
  <c r="AQ496" i="10"/>
  <c r="AR696" i="10"/>
  <c r="AQ696" i="10"/>
  <c r="AQ905" i="10"/>
  <c r="AR905" i="10"/>
  <c r="AR890" i="10"/>
  <c r="AQ890" i="10"/>
  <c r="AR474" i="10"/>
  <c r="AQ474" i="10"/>
  <c r="AR892" i="10"/>
  <c r="AQ892" i="10"/>
  <c r="AR1009" i="10"/>
  <c r="AQ1009" i="10"/>
  <c r="AQ615" i="10"/>
  <c r="AR615" i="10"/>
  <c r="AR584" i="10"/>
  <c r="AQ584" i="10"/>
  <c r="AQ677" i="10"/>
  <c r="AR677" i="10"/>
  <c r="AR135" i="10"/>
  <c r="AQ135" i="10"/>
  <c r="AR772" i="10"/>
  <c r="AQ772" i="10"/>
  <c r="AR59" i="10"/>
  <c r="AQ59" i="10"/>
  <c r="AR1170" i="10"/>
  <c r="AQ1170" i="10"/>
  <c r="AR446" i="10"/>
  <c r="AQ446" i="10"/>
  <c r="AR1142" i="10"/>
  <c r="AQ1142" i="10"/>
  <c r="AR1128" i="10"/>
  <c r="AQ1128" i="10"/>
  <c r="AQ220" i="10"/>
  <c r="AR220" i="10"/>
  <c r="AR944" i="10"/>
  <c r="AQ944" i="10"/>
  <c r="AR1112" i="10"/>
  <c r="AQ1112" i="10"/>
  <c r="AR33" i="10"/>
  <c r="AQ33" i="10"/>
  <c r="AR91" i="10"/>
  <c r="AQ91" i="10"/>
  <c r="AQ207" i="10"/>
  <c r="AR207" i="10"/>
  <c r="AR422" i="10"/>
  <c r="AQ422" i="10"/>
  <c r="AR773" i="10"/>
  <c r="AQ773" i="10"/>
  <c r="AR645" i="10"/>
  <c r="AQ645" i="10"/>
  <c r="AR683" i="10"/>
  <c r="AQ683" i="10"/>
  <c r="AR362" i="10"/>
  <c r="AQ362" i="10"/>
  <c r="AQ311" i="10"/>
  <c r="AR311" i="10"/>
  <c r="AR442" i="10"/>
  <c r="AQ442" i="10"/>
  <c r="AQ929" i="10"/>
  <c r="AR929" i="10"/>
  <c r="AR201" i="10"/>
  <c r="AQ201" i="10"/>
  <c r="AR727" i="10"/>
  <c r="AQ727" i="10"/>
  <c r="AQ558" i="10"/>
  <c r="AR558" i="10"/>
  <c r="AR76" i="10"/>
  <c r="AQ76" i="10"/>
  <c r="AR249" i="10"/>
  <c r="AQ249" i="10"/>
  <c r="AR272" i="10"/>
  <c r="AQ272" i="10"/>
  <c r="AR217" i="10"/>
  <c r="AQ217" i="10"/>
  <c r="AR427" i="10"/>
  <c r="AQ427" i="10"/>
  <c r="AQ1021" i="10"/>
  <c r="AR1021" i="10"/>
  <c r="AQ345" i="10"/>
  <c r="AR345" i="10"/>
  <c r="AR633" i="10"/>
  <c r="AQ633" i="10"/>
  <c r="AR400" i="10"/>
  <c r="AQ400" i="10"/>
  <c r="AR192" i="10"/>
  <c r="AQ192" i="10"/>
  <c r="AR489" i="10"/>
  <c r="AQ489" i="10"/>
  <c r="AR804" i="10"/>
  <c r="AQ804" i="10"/>
  <c r="AR1006" i="10"/>
  <c r="AQ1006" i="10"/>
  <c r="AR1138" i="10"/>
  <c r="AQ1138" i="10"/>
  <c r="AR729" i="10"/>
  <c r="AQ729" i="10"/>
  <c r="AR297" i="10"/>
  <c r="AQ297" i="10"/>
  <c r="AR922" i="10"/>
  <c r="AQ922" i="10"/>
  <c r="AR428" i="10"/>
  <c r="AQ428" i="10"/>
  <c r="AR81" i="10"/>
  <c r="AQ81" i="10"/>
  <c r="AR543" i="10"/>
  <c r="AQ543" i="10"/>
  <c r="AR263" i="10"/>
  <c r="AQ263" i="10"/>
  <c r="AR315" i="10"/>
  <c r="AQ315" i="10"/>
  <c r="AR572" i="10"/>
  <c r="AQ572" i="10"/>
  <c r="AR882" i="10"/>
  <c r="AQ882" i="10"/>
  <c r="AR855" i="10"/>
  <c r="AQ855" i="10"/>
  <c r="AR444" i="10"/>
  <c r="AQ444" i="10"/>
  <c r="AR537" i="10"/>
  <c r="AQ537" i="10"/>
  <c r="AR1190" i="10"/>
  <c r="AQ1190" i="10"/>
  <c r="AR342" i="10"/>
  <c r="AQ342" i="10"/>
  <c r="AR156" i="10"/>
  <c r="AQ156" i="10"/>
  <c r="AR287" i="10"/>
  <c r="AQ287" i="10"/>
  <c r="AR588" i="10"/>
  <c r="AQ588" i="10"/>
  <c r="AR603" i="10"/>
  <c r="AQ603" i="10"/>
  <c r="AR73" i="10"/>
  <c r="AQ73" i="10"/>
  <c r="AR325" i="10"/>
  <c r="AQ325" i="10"/>
  <c r="AR397" i="10"/>
  <c r="AQ397" i="10"/>
  <c r="AQ574" i="10"/>
  <c r="AR574" i="10"/>
  <c r="AR936" i="10"/>
  <c r="AQ936" i="10"/>
  <c r="AR704" i="10"/>
  <c r="AQ704" i="10"/>
  <c r="AR483" i="10"/>
  <c r="AQ483" i="10"/>
  <c r="AR1047" i="10"/>
  <c r="AQ1047" i="10"/>
  <c r="AQ1155" i="10"/>
  <c r="AR1155" i="10"/>
  <c r="AR114" i="10"/>
  <c r="AQ114" i="10"/>
  <c r="AR309" i="10"/>
  <c r="AQ309" i="10"/>
  <c r="AR327" i="10"/>
  <c r="AQ327" i="10"/>
  <c r="AR30" i="10"/>
  <c r="AQ30" i="10"/>
  <c r="AR1182" i="10"/>
  <c r="AQ1182" i="10"/>
  <c r="AR497" i="10"/>
  <c r="AQ497" i="10"/>
  <c r="AQ248" i="10"/>
  <c r="AR248" i="10"/>
  <c r="AQ903" i="10"/>
  <c r="AR903" i="10"/>
  <c r="AR653" i="10"/>
  <c r="AQ653" i="10"/>
  <c r="AR857" i="10"/>
  <c r="AQ857" i="10"/>
  <c r="AR280" i="10"/>
  <c r="AQ280" i="10"/>
  <c r="AQ556" i="10"/>
  <c r="AR556" i="10"/>
  <c r="AR576" i="10"/>
  <c r="AQ576" i="10"/>
  <c r="AR734" i="10"/>
  <c r="AQ734" i="10"/>
  <c r="AR11" i="10"/>
  <c r="AQ11" i="10"/>
  <c r="AR536" i="10"/>
  <c r="AQ536" i="10"/>
  <c r="AR619" i="10"/>
  <c r="AQ619" i="10"/>
  <c r="AQ803" i="10"/>
  <c r="AR803" i="10"/>
  <c r="AR900" i="10"/>
  <c r="AQ900" i="10"/>
  <c r="AQ962" i="10"/>
  <c r="AR962" i="10"/>
  <c r="AR195" i="10"/>
  <c r="AQ195" i="10"/>
  <c r="AR815" i="10"/>
  <c r="AQ815" i="10"/>
  <c r="AR109" i="10"/>
  <c r="AQ109" i="10"/>
  <c r="AR268" i="10"/>
  <c r="AQ268" i="10"/>
  <c r="AR157" i="10"/>
  <c r="AQ157" i="10"/>
  <c r="AR620" i="10"/>
  <c r="AQ620" i="10"/>
  <c r="AQ1040" i="10"/>
  <c r="AR1040" i="10"/>
  <c r="AR868" i="10"/>
  <c r="AQ868" i="10"/>
  <c r="AR1041" i="10"/>
  <c r="AQ1041" i="10"/>
  <c r="AQ1117" i="10"/>
  <c r="AR1117" i="10"/>
  <c r="AR70" i="10"/>
  <c r="AQ70" i="10"/>
  <c r="AR84" i="10"/>
  <c r="AQ84" i="10"/>
  <c r="AR256" i="10"/>
  <c r="AQ256" i="10"/>
  <c r="AR338" i="10"/>
  <c r="AQ338" i="10"/>
  <c r="AR448" i="10"/>
  <c r="AQ448" i="10"/>
  <c r="AR490" i="10"/>
  <c r="AQ490" i="10"/>
  <c r="AR532" i="10"/>
  <c r="AQ532" i="10"/>
  <c r="AR2" i="10"/>
  <c r="AQ2" i="10"/>
  <c r="AR394" i="10"/>
  <c r="AQ394" i="10"/>
  <c r="AR1179" i="10"/>
  <c r="AQ1179" i="10"/>
  <c r="AR71" i="10"/>
  <c r="AQ71" i="10"/>
  <c r="AR945" i="10"/>
  <c r="AQ945" i="10"/>
  <c r="AQ959" i="10"/>
  <c r="AR959" i="10"/>
  <c r="AR973" i="10"/>
  <c r="AQ973" i="10"/>
  <c r="AR932" i="10"/>
  <c r="AQ932" i="10"/>
  <c r="AR478" i="10"/>
  <c r="AQ478" i="10"/>
  <c r="AR699" i="10"/>
  <c r="AQ699" i="10"/>
  <c r="AR794" i="10"/>
  <c r="AQ794" i="10"/>
  <c r="AR822" i="10"/>
  <c r="AQ822" i="10"/>
  <c r="AR829" i="10"/>
  <c r="AQ829" i="10"/>
  <c r="AR986" i="10"/>
  <c r="AQ986" i="10"/>
  <c r="AR1090" i="10"/>
  <c r="AQ1090" i="10"/>
  <c r="AQ700" i="10"/>
  <c r="AR700" i="10"/>
  <c r="AR1027" i="10"/>
  <c r="AQ1027" i="10"/>
  <c r="AR851" i="10"/>
  <c r="AQ851" i="10"/>
  <c r="AQ274" i="10"/>
  <c r="AR274" i="10"/>
  <c r="AR461" i="10"/>
  <c r="AQ461" i="10"/>
  <c r="AR145" i="10"/>
  <c r="AQ145" i="10"/>
  <c r="AR450" i="10"/>
  <c r="AQ450" i="10"/>
  <c r="AQ1017" i="10"/>
  <c r="AR1017" i="10"/>
  <c r="AR1026" i="10"/>
  <c r="AQ1026" i="10"/>
  <c r="AR159" i="10"/>
  <c r="AQ159" i="10"/>
  <c r="AR852" i="10"/>
  <c r="AQ852" i="10"/>
  <c r="AQ879" i="10"/>
  <c r="AR879" i="10"/>
  <c r="AR13" i="10"/>
  <c r="AQ13" i="10"/>
  <c r="AR369" i="10"/>
  <c r="AQ369" i="10"/>
  <c r="AR888" i="10"/>
  <c r="AQ888" i="10"/>
  <c r="AR1031" i="10"/>
  <c r="AQ1031" i="10"/>
  <c r="AR562" i="10"/>
  <c r="AQ562" i="10"/>
  <c r="AR594" i="10"/>
  <c r="AQ594" i="10"/>
  <c r="AR303" i="10"/>
  <c r="AQ303" i="10"/>
  <c r="AR522" i="10"/>
  <c r="AQ522" i="10"/>
  <c r="AR623" i="10"/>
  <c r="AQ623" i="10"/>
  <c r="AR753" i="10"/>
  <c r="AQ753" i="10"/>
  <c r="AR1094" i="10"/>
  <c r="AQ1094" i="10"/>
  <c r="AR426" i="10"/>
  <c r="AQ426" i="10"/>
  <c r="AR434" i="10"/>
  <c r="AQ434" i="10"/>
  <c r="AR462" i="10"/>
  <c r="AQ462" i="10"/>
  <c r="AR611" i="10"/>
  <c r="AQ611" i="10"/>
  <c r="AR693" i="10"/>
  <c r="AQ693" i="10"/>
  <c r="AQ296" i="10"/>
  <c r="AR296" i="10"/>
  <c r="AQ628" i="10"/>
  <c r="AR628" i="10"/>
  <c r="AR972" i="10"/>
  <c r="AQ972" i="10"/>
  <c r="AR730" i="10"/>
  <c r="AQ730" i="10"/>
  <c r="AR872" i="10"/>
  <c r="AQ872" i="10"/>
  <c r="AR925" i="10"/>
  <c r="AQ925" i="10"/>
  <c r="AR963" i="10"/>
  <c r="AQ963" i="10"/>
  <c r="AR967" i="10"/>
  <c r="AQ967" i="10"/>
  <c r="AR979" i="10"/>
  <c r="AQ979" i="10"/>
  <c r="AR542" i="10"/>
  <c r="AQ542" i="10"/>
  <c r="AQ96" i="10"/>
  <c r="AR96" i="10"/>
  <c r="AR547" i="10"/>
  <c r="AQ547" i="10"/>
  <c r="AR911" i="10"/>
  <c r="AQ911" i="10"/>
  <c r="AR915" i="10"/>
  <c r="AQ915" i="10"/>
  <c r="AR724" i="10"/>
  <c r="AQ724" i="10"/>
  <c r="AR533" i="10"/>
  <c r="AQ533" i="10"/>
  <c r="AR549" i="10"/>
  <c r="AQ549" i="10"/>
  <c r="AR569" i="10"/>
  <c r="AQ569" i="10"/>
  <c r="AQ702" i="10"/>
  <c r="AR702" i="10"/>
  <c r="AR805" i="10"/>
  <c r="AQ805" i="10"/>
  <c r="AR1084" i="10"/>
  <c r="AQ1084" i="10"/>
  <c r="AR1194" i="10"/>
  <c r="AQ1194" i="10"/>
  <c r="AR480" i="10"/>
  <c r="AQ480" i="10"/>
  <c r="AQ625" i="10"/>
  <c r="AR625" i="10"/>
  <c r="AR893" i="10"/>
  <c r="AQ893" i="10"/>
  <c r="AR212" i="10"/>
  <c r="AQ212" i="10"/>
  <c r="AR329" i="10"/>
  <c r="AQ329" i="10"/>
  <c r="AQ406" i="10"/>
  <c r="AR406" i="10"/>
  <c r="AQ739" i="10"/>
  <c r="AR739" i="10"/>
  <c r="AR810" i="10"/>
  <c r="AQ810" i="10"/>
  <c r="AR205" i="10"/>
  <c r="AQ205" i="10"/>
  <c r="AR712" i="10"/>
  <c r="AQ712" i="10"/>
  <c r="AQ971" i="10"/>
  <c r="AR971" i="10"/>
  <c r="AR82" i="10"/>
  <c r="AQ82" i="10"/>
  <c r="AQ202" i="10"/>
  <c r="AR202" i="10"/>
  <c r="AR697" i="10"/>
  <c r="AQ697" i="10"/>
  <c r="AR15" i="10"/>
  <c r="AQ15" i="10"/>
  <c r="AR27" i="10"/>
  <c r="AQ27" i="10"/>
  <c r="AR86" i="10"/>
  <c r="AQ86" i="10"/>
  <c r="AR589" i="10"/>
  <c r="AQ589" i="10"/>
  <c r="AR650" i="10"/>
  <c r="AQ650" i="10"/>
  <c r="AR638" i="10"/>
  <c r="AQ638" i="10"/>
  <c r="AR996" i="10"/>
  <c r="AQ996" i="10"/>
  <c r="AR1032" i="10"/>
  <c r="AQ1032" i="10"/>
  <c r="AR50" i="10"/>
  <c r="AQ50" i="10"/>
  <c r="AR294" i="10"/>
  <c r="AQ294" i="10"/>
  <c r="AR331" i="10"/>
  <c r="AQ331" i="10"/>
  <c r="AR509" i="10"/>
  <c r="AQ509" i="10"/>
  <c r="AR276" i="10"/>
  <c r="AQ276" i="10"/>
  <c r="AR473" i="10"/>
  <c r="AQ473" i="10"/>
  <c r="AR538" i="10"/>
  <c r="AQ538" i="10"/>
  <c r="AR634" i="10"/>
  <c r="AQ634" i="10"/>
  <c r="AR678" i="10"/>
  <c r="AQ678" i="10"/>
  <c r="AQ709" i="10"/>
  <c r="AR709" i="10"/>
  <c r="AR790" i="10"/>
  <c r="AQ790" i="10"/>
  <c r="AR1122" i="10"/>
  <c r="AQ1122" i="10"/>
  <c r="AR1107" i="10"/>
  <c r="AQ1107" i="10"/>
  <c r="AR29" i="10"/>
  <c r="AQ29" i="10"/>
  <c r="AR108" i="10"/>
  <c r="AQ108" i="10"/>
  <c r="AR310" i="10"/>
  <c r="AQ310" i="10"/>
  <c r="AR513" i="10"/>
  <c r="AQ513" i="10"/>
  <c r="AQ894" i="10"/>
  <c r="AR894" i="10"/>
  <c r="AR935" i="10"/>
  <c r="AQ935" i="10"/>
  <c r="AR1099" i="10"/>
  <c r="AQ1099" i="10"/>
  <c r="AR222" i="10"/>
  <c r="AQ222" i="10"/>
  <c r="AR275" i="10"/>
  <c r="AQ275" i="10"/>
  <c r="AR373" i="10"/>
  <c r="AQ373" i="10"/>
  <c r="AR492" i="10"/>
  <c r="AQ492" i="10"/>
  <c r="AR499" i="10"/>
  <c r="AQ499" i="10"/>
  <c r="AR795" i="10"/>
  <c r="AQ795" i="10"/>
  <c r="AR841" i="10"/>
  <c r="AQ841" i="10"/>
  <c r="AQ895" i="10"/>
  <c r="AR895" i="10"/>
  <c r="AQ914" i="10"/>
  <c r="AR914" i="10"/>
  <c r="AR191" i="10"/>
  <c r="AQ191" i="10"/>
  <c r="AR348" i="10"/>
  <c r="AQ348" i="10"/>
  <c r="AR456" i="10"/>
  <c r="AQ456" i="10"/>
  <c r="AR526" i="10"/>
  <c r="AQ526" i="10"/>
  <c r="AR758" i="10"/>
  <c r="AQ758" i="10"/>
  <c r="AQ993" i="10"/>
  <c r="AR993" i="10"/>
  <c r="AR1025" i="10"/>
  <c r="AQ1025" i="10"/>
  <c r="AR31" i="10"/>
  <c r="AQ31" i="10"/>
  <c r="AR119" i="10"/>
  <c r="AQ119" i="10"/>
  <c r="AR147" i="10"/>
  <c r="AQ147" i="10"/>
  <c r="AR151" i="10"/>
  <c r="AQ151" i="10"/>
  <c r="AR221" i="10"/>
  <c r="AQ221" i="10"/>
  <c r="AQ381" i="10"/>
  <c r="AR381" i="10"/>
  <c r="AR460" i="10"/>
  <c r="AQ460" i="10"/>
  <c r="AR613" i="10"/>
  <c r="AQ613" i="10"/>
  <c r="AR710" i="10"/>
  <c r="AQ710" i="10"/>
  <c r="AR722" i="10"/>
  <c r="AQ722" i="10"/>
  <c r="AR821" i="10"/>
  <c r="AQ821" i="10"/>
  <c r="AR987" i="10"/>
  <c r="AQ987" i="10"/>
  <c r="AR1125" i="10"/>
  <c r="AQ1125" i="10"/>
  <c r="AR1140" i="10"/>
  <c r="AQ1140" i="10"/>
  <c r="AR291" i="10"/>
  <c r="AQ291" i="10"/>
  <c r="AR359" i="10"/>
  <c r="AQ359" i="10"/>
  <c r="AR366" i="10"/>
  <c r="AQ366" i="10"/>
  <c r="AR516" i="10"/>
  <c r="AQ516" i="10"/>
  <c r="AR535" i="10"/>
  <c r="AQ535" i="10"/>
  <c r="AR546" i="10"/>
  <c r="AQ546" i="10"/>
  <c r="AR583" i="10"/>
  <c r="AQ583" i="10"/>
  <c r="AR737" i="10"/>
  <c r="AQ737" i="10"/>
  <c r="AQ778" i="10"/>
  <c r="AR778" i="10"/>
  <c r="AR1001" i="10"/>
  <c r="AQ1001" i="10"/>
  <c r="AR1008" i="10"/>
  <c r="AQ1008" i="10"/>
  <c r="AR1130" i="10"/>
  <c r="AQ1130" i="10"/>
  <c r="AQ1075" i="10"/>
  <c r="AR1075" i="10"/>
  <c r="AR927" i="10"/>
  <c r="AQ927" i="10"/>
  <c r="AR415" i="10"/>
  <c r="AQ415" i="10"/>
  <c r="AR467" i="10"/>
  <c r="AQ467" i="10"/>
  <c r="AR507" i="10"/>
  <c r="AQ507" i="10"/>
  <c r="AR609" i="10"/>
  <c r="AQ609" i="10"/>
  <c r="AQ524" i="10"/>
  <c r="AR524" i="10"/>
  <c r="AR843" i="10"/>
  <c r="AQ843" i="10"/>
  <c r="AR346" i="10"/>
  <c r="AQ346" i="10"/>
  <c r="AR1057" i="10"/>
  <c r="AQ1057" i="10"/>
  <c r="AQ1068" i="10"/>
  <c r="AR1068" i="10"/>
  <c r="AR453" i="10"/>
  <c r="AQ453" i="10"/>
  <c r="AO198" i="10"/>
  <c r="R897" i="10"/>
  <c r="AS897" i="10" s="1"/>
  <c r="AO255" i="10"/>
  <c r="AO986" i="10"/>
  <c r="R1166" i="10"/>
  <c r="AS1166" i="10" s="1"/>
  <c r="R1067" i="10"/>
  <c r="U1067" i="10" s="1"/>
  <c r="R717" i="10"/>
  <c r="AS717" i="10" s="1"/>
  <c r="R784" i="10"/>
  <c r="AS784" i="10" s="1"/>
  <c r="R527" i="10"/>
  <c r="AS527" i="10" s="1"/>
  <c r="R25" i="10"/>
  <c r="U25" i="10" s="1"/>
  <c r="R24" i="10"/>
  <c r="AS24" i="10" s="1"/>
  <c r="R148" i="10"/>
  <c r="AS148" i="10" s="1"/>
  <c r="R46" i="10"/>
  <c r="AS46" i="10" s="1"/>
  <c r="R147" i="10"/>
  <c r="U147" i="10" s="1"/>
  <c r="AO1169" i="10"/>
  <c r="AO279" i="10"/>
  <c r="AO654" i="10"/>
  <c r="R1193" i="10"/>
  <c r="AO1193" i="10"/>
  <c r="AO376" i="10"/>
  <c r="AO345" i="10"/>
  <c r="R345" i="10"/>
  <c r="AS345" i="10" s="1"/>
  <c r="AO125" i="10"/>
  <c r="AO82" i="10"/>
  <c r="AO1128" i="10"/>
  <c r="AO1115" i="10"/>
  <c r="AO475" i="10"/>
  <c r="AO3" i="10"/>
  <c r="AO674" i="10"/>
  <c r="AO245" i="10"/>
  <c r="AO842" i="10"/>
  <c r="AO163" i="10"/>
  <c r="AO715" i="10"/>
  <c r="AO1007" i="10"/>
  <c r="AO1106" i="10"/>
  <c r="AO893" i="10"/>
  <c r="AO38" i="10"/>
  <c r="AO468" i="10"/>
  <c r="AO489" i="10"/>
  <c r="AO319" i="10"/>
  <c r="AO199" i="10"/>
  <c r="AO164" i="10"/>
  <c r="AO583" i="10"/>
  <c r="AO569" i="10"/>
  <c r="AO613" i="10"/>
  <c r="AO981" i="10"/>
  <c r="AO732" i="10"/>
  <c r="AO1025" i="10"/>
  <c r="AO917" i="10"/>
  <c r="AO968" i="10"/>
  <c r="AO533" i="10"/>
  <c r="AO1062" i="10"/>
  <c r="AO179" i="10"/>
  <c r="AO390" i="10"/>
  <c r="AO515" i="10"/>
  <c r="AO778" i="10"/>
  <c r="AO999" i="10"/>
  <c r="AO44" i="10"/>
  <c r="AO78" i="10"/>
  <c r="AO364" i="10"/>
  <c r="AO1130" i="10"/>
  <c r="AO1148" i="10"/>
  <c r="AO492" i="10"/>
  <c r="R950" i="10"/>
  <c r="AS950" i="10" s="1"/>
  <c r="AO950" i="10"/>
  <c r="R689" i="10"/>
  <c r="AO689" i="10"/>
  <c r="AO502" i="10"/>
  <c r="AO487" i="10"/>
  <c r="AO807" i="10"/>
  <c r="AO771" i="10"/>
  <c r="AO446" i="10"/>
  <c r="AO463" i="10"/>
  <c r="AO865" i="10"/>
  <c r="AO1023" i="10"/>
  <c r="R1023" i="10"/>
  <c r="AO96" i="10"/>
  <c r="AO705" i="10"/>
  <c r="AO1114" i="10"/>
  <c r="AO573" i="10"/>
  <c r="AO1037" i="10"/>
  <c r="AO459" i="10"/>
  <c r="AO18" i="10"/>
  <c r="AO394" i="10"/>
  <c r="AO938" i="10"/>
  <c r="AO816" i="10"/>
  <c r="AO355" i="10"/>
  <c r="AO466" i="10"/>
  <c r="AO831" i="10"/>
  <c r="AO1157" i="10"/>
  <c r="AO281" i="10"/>
  <c r="AO901" i="10"/>
  <c r="AO540" i="10"/>
  <c r="AO809" i="10"/>
  <c r="AO704" i="10"/>
  <c r="AO1105" i="10"/>
  <c r="AO870" i="10"/>
  <c r="AO926" i="10"/>
  <c r="AO536" i="10"/>
  <c r="AO189" i="10"/>
  <c r="AO5" i="10"/>
  <c r="AO810" i="10"/>
  <c r="AO552" i="10"/>
  <c r="R301" i="10"/>
  <c r="AO301" i="10"/>
  <c r="AO261" i="10"/>
  <c r="AO918" i="10"/>
  <c r="AO1068" i="10"/>
  <c r="AO721" i="10"/>
  <c r="AO370" i="10"/>
  <c r="AO1168" i="10"/>
  <c r="AO436" i="10"/>
  <c r="AO266" i="10"/>
  <c r="AO17" i="10"/>
  <c r="AO904" i="10"/>
  <c r="AO260" i="10"/>
  <c r="AO1107" i="10"/>
  <c r="AO692" i="10"/>
  <c r="AO570" i="10"/>
  <c r="AO135" i="10"/>
  <c r="AO268" i="10"/>
  <c r="AO1171" i="10"/>
  <c r="AO575" i="10"/>
  <c r="AO1101" i="10"/>
  <c r="AO495" i="10"/>
  <c r="AO1060" i="10"/>
  <c r="AO180" i="10"/>
  <c r="AO267" i="10"/>
  <c r="AO728" i="10"/>
  <c r="AO1033" i="10"/>
  <c r="AO477" i="10"/>
  <c r="AO1081" i="10"/>
  <c r="AO707" i="10"/>
  <c r="AO741" i="10"/>
  <c r="AO966" i="10"/>
  <c r="AO604" i="10"/>
  <c r="R407" i="10"/>
  <c r="AO407" i="10"/>
  <c r="AO336" i="10"/>
  <c r="AO1010" i="10"/>
  <c r="AO1137" i="10"/>
  <c r="AO818" i="10"/>
  <c r="AO288" i="10"/>
  <c r="AO22" i="10"/>
  <c r="AO85" i="10"/>
  <c r="AO1164" i="10"/>
  <c r="AO793" i="10"/>
  <c r="AO534" i="10"/>
  <c r="AO700" i="10"/>
  <c r="AO885" i="10"/>
  <c r="AO1079" i="10"/>
  <c r="AO825" i="10"/>
  <c r="AO632" i="10"/>
  <c r="AO783" i="10"/>
  <c r="AO912" i="10"/>
  <c r="AO1184" i="10"/>
  <c r="AO521" i="10"/>
  <c r="AO542" i="10"/>
  <c r="AO154" i="10"/>
  <c r="AO257" i="10"/>
  <c r="AO481" i="10"/>
  <c r="AO764" i="10"/>
  <c r="AO843" i="10"/>
  <c r="AO834" i="10"/>
  <c r="AO951" i="10"/>
  <c r="AO33" i="10"/>
  <c r="AO683" i="10"/>
  <c r="AO334" i="10"/>
  <c r="AO856" i="10"/>
  <c r="AO1063" i="10"/>
  <c r="AO290" i="10"/>
  <c r="AO114" i="10"/>
  <c r="AO519" i="10"/>
  <c r="AO1160" i="10"/>
  <c r="R84" i="10"/>
  <c r="AO84" i="10"/>
  <c r="R215" i="10"/>
  <c r="U128" i="10"/>
  <c r="C128" i="12" s="1"/>
  <c r="AS128" i="10"/>
  <c r="U347" i="10"/>
  <c r="Y347" i="10" s="1"/>
  <c r="Z347" i="10" s="1"/>
  <c r="AS347" i="10"/>
  <c r="U1159" i="10"/>
  <c r="C1159" i="12" s="1"/>
  <c r="AS1159" i="10"/>
  <c r="U531" i="10"/>
  <c r="C531" i="12" s="1"/>
  <c r="AS531" i="10"/>
  <c r="R137" i="10"/>
  <c r="AO137" i="10"/>
  <c r="AO633" i="10"/>
  <c r="U1039" i="10"/>
  <c r="AS1039" i="10"/>
  <c r="AO211" i="10"/>
  <c r="AO646" i="10"/>
  <c r="AO777" i="10"/>
  <c r="AO86" i="10"/>
  <c r="AO27" i="10"/>
  <c r="AO797" i="10"/>
  <c r="AO672" i="10"/>
  <c r="AO742" i="10"/>
  <c r="AO490" i="10"/>
  <c r="AO1045" i="10"/>
  <c r="AO258" i="10"/>
  <c r="AO186" i="10"/>
  <c r="AO325" i="10"/>
  <c r="AO723" i="10"/>
  <c r="AO923" i="10"/>
  <c r="AO1087" i="10"/>
  <c r="AO102" i="10"/>
  <c r="AO109" i="10"/>
  <c r="AO470" i="10"/>
  <c r="AO736" i="10"/>
  <c r="AO909" i="10"/>
  <c r="AO133" i="10"/>
  <c r="AO61" i="10"/>
  <c r="AO263" i="10"/>
  <c r="AO663" i="10"/>
  <c r="AO645" i="10"/>
  <c r="AO501" i="10"/>
  <c r="AO1104" i="10"/>
  <c r="AO794" i="10"/>
  <c r="AO882" i="10"/>
  <c r="AO32" i="10"/>
  <c r="AO967" i="10"/>
  <c r="AO239" i="10"/>
  <c r="AO512" i="10"/>
  <c r="AO733" i="10"/>
  <c r="AO804" i="10"/>
  <c r="AO449" i="10"/>
  <c r="AO131" i="10"/>
  <c r="AO565" i="10"/>
  <c r="U835" i="10"/>
  <c r="C835" i="12" s="1"/>
  <c r="AS835" i="10"/>
  <c r="AO70" i="10"/>
  <c r="AO625" i="10"/>
  <c r="AO930" i="10"/>
  <c r="AO1000" i="10"/>
  <c r="AO1153" i="10"/>
  <c r="AO270" i="10"/>
  <c r="AO197" i="10"/>
  <c r="AO762" i="10"/>
  <c r="AO1143" i="10"/>
  <c r="AO867" i="10"/>
  <c r="AO876" i="10"/>
  <c r="AO786" i="10"/>
  <c r="AO686" i="10"/>
  <c r="AO11" i="10"/>
  <c r="AO350" i="10"/>
  <c r="AO550" i="10"/>
  <c r="AO563" i="10"/>
  <c r="AO353" i="10"/>
  <c r="AO955" i="10"/>
  <c r="AO974" i="10"/>
  <c r="AO330" i="10"/>
  <c r="AO964" i="10"/>
  <c r="AO1024" i="10"/>
  <c r="AO811" i="10"/>
  <c r="AO6" i="10"/>
  <c r="R307" i="10"/>
  <c r="AO307" i="10"/>
  <c r="AO297" i="10"/>
  <c r="AO254" i="10"/>
  <c r="AO383" i="10"/>
  <c r="AO1125" i="10"/>
  <c r="AO653" i="10"/>
  <c r="AO212" i="10"/>
  <c r="AO770" i="10"/>
  <c r="AO384" i="10"/>
  <c r="AO360" i="10"/>
  <c r="AO1118" i="10"/>
  <c r="AO183" i="10"/>
  <c r="AO690" i="10"/>
  <c r="AO1077" i="10"/>
  <c r="AO265" i="10"/>
  <c r="AO191" i="10"/>
  <c r="AO969" i="10"/>
  <c r="AO335" i="10"/>
  <c r="AO827" i="10"/>
  <c r="AO406" i="10"/>
  <c r="AO685" i="10"/>
  <c r="AO845" i="10"/>
  <c r="AO119" i="10"/>
  <c r="AO473" i="10"/>
  <c r="AO39" i="10"/>
  <c r="AO40" i="10"/>
  <c r="AO769" i="10"/>
  <c r="AO303" i="10"/>
  <c r="AO644" i="10"/>
  <c r="AO83" i="10"/>
  <c r="AO528" i="10"/>
  <c r="AO37" i="10"/>
  <c r="AO668" i="10"/>
  <c r="AO1136" i="10"/>
  <c r="AO664" i="10"/>
  <c r="AO398" i="10"/>
  <c r="AO784" i="10"/>
  <c r="AO417" i="10"/>
  <c r="AO623" i="10"/>
  <c r="AO476" i="10"/>
  <c r="AO262" i="10"/>
  <c r="AO93" i="10"/>
  <c r="AO182" i="10"/>
  <c r="AO432" i="10"/>
  <c r="AO192" i="10"/>
  <c r="AO545" i="10"/>
  <c r="AO994" i="10"/>
  <c r="AO1099" i="10"/>
  <c r="AO886" i="10"/>
  <c r="AO123" i="10"/>
  <c r="AO785" i="10"/>
  <c r="AO443" i="10"/>
  <c r="AO309" i="10"/>
  <c r="AO858" i="10"/>
  <c r="AO397" i="10"/>
  <c r="AO479" i="10"/>
  <c r="AO485" i="10"/>
  <c r="AO787" i="10"/>
  <c r="AO574" i="10"/>
  <c r="AO484" i="10"/>
  <c r="AO1102" i="10"/>
  <c r="AO624" i="10"/>
  <c r="AO977" i="10"/>
  <c r="AO434" i="10"/>
  <c r="AO861" i="10"/>
  <c r="AO289" i="10"/>
  <c r="AO514" i="10"/>
  <c r="AO997" i="10"/>
  <c r="AO1142" i="10"/>
  <c r="AO7" i="10"/>
  <c r="AO275" i="10"/>
  <c r="AO577" i="10"/>
  <c r="AO1141" i="10"/>
  <c r="AO202" i="10"/>
  <c r="AO400" i="10"/>
  <c r="AO755" i="10"/>
  <c r="AO695" i="10"/>
  <c r="AO218" i="10"/>
  <c r="AO494" i="10"/>
  <c r="AO603" i="10"/>
  <c r="AO377" i="10"/>
  <c r="AO537" i="10"/>
  <c r="AO614" i="10"/>
  <c r="AO152" i="10"/>
  <c r="AO547" i="10"/>
  <c r="AO855" i="10"/>
  <c r="AO1072" i="10"/>
  <c r="AO1186" i="10"/>
  <c r="AO925" i="10"/>
  <c r="AO203" i="10"/>
  <c r="AO708" i="10"/>
  <c r="AO143" i="10"/>
  <c r="AO959" i="10"/>
  <c r="AO242" i="10"/>
  <c r="AO608" i="10"/>
  <c r="AO618" i="10"/>
  <c r="AO801" i="10"/>
  <c r="AO586" i="10"/>
  <c r="AO763" i="10"/>
  <c r="R1102" i="10"/>
  <c r="AS1102" i="10" s="1"/>
  <c r="AO106" i="10"/>
  <c r="AO869" i="10"/>
  <c r="AO1091" i="10"/>
  <c r="AO317" i="10"/>
  <c r="AO743" i="10"/>
  <c r="AO1095" i="10"/>
  <c r="AO676" i="10"/>
  <c r="AO860" i="10"/>
  <c r="AO589" i="10"/>
  <c r="AO1181" i="10"/>
  <c r="AO497" i="10"/>
  <c r="AO141" i="10"/>
  <c r="AO522" i="10"/>
  <c r="AO1041" i="10"/>
  <c r="AO206" i="10"/>
  <c r="AO598" i="10"/>
  <c r="AO1078" i="10"/>
  <c r="AO838" i="10"/>
  <c r="AO529" i="10"/>
  <c r="AO298" i="10"/>
  <c r="AO156" i="10"/>
  <c r="AO554" i="10"/>
  <c r="AO908" i="10"/>
  <c r="AO988" i="10"/>
  <c r="AO99" i="10"/>
  <c r="AO779" i="10"/>
  <c r="AO74" i="10"/>
  <c r="AO372" i="10"/>
  <c r="AO1004" i="10"/>
  <c r="AO1008" i="10"/>
  <c r="AO765" i="10"/>
  <c r="AO173" i="10"/>
  <c r="AO530" i="10"/>
  <c r="AO230" i="10"/>
  <c r="AO94" i="10"/>
  <c r="AO146" i="10"/>
  <c r="AO235" i="10"/>
  <c r="AO256" i="10"/>
  <c r="AO238" i="10"/>
  <c r="AO428" i="10"/>
  <c r="AO448" i="10"/>
  <c r="AO555" i="10"/>
  <c r="AO188" i="10"/>
  <c r="AO187" i="10"/>
  <c r="AO595" i="10"/>
  <c r="AO548" i="10"/>
  <c r="AO138" i="10"/>
  <c r="AO637" i="10"/>
  <c r="AO510" i="10"/>
  <c r="AO357" i="10"/>
  <c r="AO356" i="10"/>
  <c r="AO748" i="10"/>
  <c r="AO120" i="10"/>
  <c r="AO381" i="10"/>
  <c r="AO1039" i="10"/>
  <c r="AO840" i="10"/>
  <c r="AO441" i="10"/>
  <c r="AO1116" i="10"/>
  <c r="AO272" i="10"/>
  <c r="AO240" i="10"/>
  <c r="AO890" i="10"/>
  <c r="AO1134" i="10"/>
  <c r="AO507" i="10"/>
  <c r="AO226" i="10"/>
  <c r="AO940" i="10"/>
  <c r="AO1119" i="10"/>
  <c r="AO1003" i="10"/>
  <c r="R1003" i="10"/>
  <c r="AO757" i="10"/>
  <c r="AO126" i="10"/>
  <c r="AO134" i="10"/>
  <c r="AO720" i="10"/>
  <c r="AO415" i="10"/>
  <c r="AO727" i="10"/>
  <c r="AO887" i="10"/>
  <c r="AO643" i="10"/>
  <c r="AO21" i="10"/>
  <c r="AO1086" i="10"/>
  <c r="R1138" i="10"/>
  <c r="AS1138" i="10" s="1"/>
  <c r="R129" i="10"/>
  <c r="AO129" i="10"/>
  <c r="AS1029" i="10"/>
  <c r="AO928" i="10"/>
  <c r="AO671" i="10"/>
  <c r="AO1150" i="10"/>
  <c r="AO128" i="10"/>
  <c r="AO347" i="10"/>
  <c r="AO587" i="10"/>
  <c r="AO26" i="10"/>
  <c r="AO841" i="10"/>
  <c r="AO313" i="10"/>
  <c r="AO1085" i="10"/>
  <c r="AO798" i="10"/>
  <c r="AO274" i="10"/>
  <c r="AO531" i="10"/>
  <c r="AO956" i="10"/>
  <c r="AO631" i="10"/>
  <c r="AO767" i="10"/>
  <c r="AO703" i="10"/>
  <c r="AO316" i="10"/>
  <c r="AO862" i="10"/>
  <c r="AO788" i="10"/>
  <c r="AO91" i="10"/>
  <c r="AO43" i="10"/>
  <c r="AO1047" i="10"/>
  <c r="AO895" i="10"/>
  <c r="AO51" i="10"/>
  <c r="AO662" i="10"/>
  <c r="AO1156" i="10"/>
  <c r="AO1194" i="10"/>
  <c r="R226" i="10"/>
  <c r="AS226" i="10" s="1"/>
  <c r="R1117" i="10"/>
  <c r="AO461" i="10"/>
  <c r="R213" i="10"/>
  <c r="AO213" i="10"/>
  <c r="R96" i="10"/>
  <c r="AO13" i="10"/>
  <c r="AO253" i="10"/>
  <c r="AO508" i="10"/>
  <c r="AO749" i="10"/>
  <c r="AO805" i="10"/>
  <c r="AO1151" i="10"/>
  <c r="AO401" i="10"/>
  <c r="AO878" i="10"/>
  <c r="AO1122" i="10"/>
  <c r="AO839" i="10"/>
  <c r="AO299" i="10"/>
  <c r="AO241" i="10"/>
  <c r="AO946" i="10"/>
  <c r="AO172" i="10"/>
  <c r="AO937" i="10"/>
  <c r="AO1083" i="10"/>
  <c r="AO1113" i="10"/>
  <c r="AO939" i="10"/>
  <c r="AO796" i="10"/>
  <c r="AO929" i="10"/>
  <c r="AO216" i="10"/>
  <c r="AO965" i="10"/>
  <c r="AO57" i="10"/>
  <c r="AO294" i="10"/>
  <c r="AO667" i="10"/>
  <c r="AO868" i="10"/>
  <c r="AO1175" i="10"/>
  <c r="AO286" i="10"/>
  <c r="AO698" i="10"/>
  <c r="AO1129" i="10"/>
  <c r="AO66" i="10"/>
  <c r="AO701" i="10"/>
  <c r="AO973" i="10"/>
  <c r="AO976" i="10"/>
  <c r="AO155" i="10"/>
  <c r="AO881" i="10"/>
  <c r="AO1052" i="10"/>
  <c r="AO204" i="10"/>
  <c r="AO171" i="10"/>
  <c r="AO425" i="10"/>
  <c r="AO496" i="10"/>
  <c r="AO737" i="10"/>
  <c r="AO979" i="10"/>
  <c r="AO249" i="10"/>
  <c r="AO556" i="10"/>
  <c r="AO208" i="10"/>
  <c r="AO960" i="10"/>
  <c r="AO716" i="10"/>
  <c r="AO341" i="10"/>
  <c r="AO161" i="10"/>
  <c r="AO1071" i="10"/>
  <c r="AO178" i="10"/>
  <c r="AO418" i="10"/>
  <c r="AO228" i="10"/>
  <c r="AO879" i="10"/>
  <c r="AO1017" i="10"/>
  <c r="AO14" i="10"/>
  <c r="AO499" i="10"/>
  <c r="AO142" i="10"/>
  <c r="AO970" i="10"/>
  <c r="AO559" i="10"/>
  <c r="AO167" i="10"/>
  <c r="AO251" i="10"/>
  <c r="AO478" i="10"/>
  <c r="AO1029" i="10"/>
  <c r="AO943" i="10"/>
  <c r="AO680" i="10"/>
  <c r="AO482" i="10"/>
  <c r="AO53" i="10"/>
  <c r="AO935" i="10"/>
  <c r="AO308" i="10"/>
  <c r="AO852" i="10"/>
  <c r="AO220" i="10"/>
  <c r="AO420" i="10"/>
  <c r="AO368" i="10"/>
  <c r="AO201" i="10"/>
  <c r="AO185" i="10"/>
  <c r="AO435" i="10"/>
  <c r="AO472" i="10"/>
  <c r="AO344" i="10"/>
  <c r="AO932" i="10"/>
  <c r="AO813" i="10"/>
  <c r="AO792" i="10"/>
  <c r="AO1103" i="10"/>
  <c r="AO1038" i="10"/>
  <c r="AO1075" i="10"/>
  <c r="AO49" i="10"/>
  <c r="AO488" i="10"/>
  <c r="AO4" i="10"/>
  <c r="AO1059" i="10"/>
  <c r="AO1173" i="10"/>
  <c r="AO649" i="10"/>
  <c r="AO217" i="10"/>
  <c r="AO517" i="10"/>
  <c r="AO638" i="10"/>
  <c r="AO127" i="10"/>
  <c r="AO60" i="10"/>
  <c r="AO657" i="10"/>
  <c r="AO79" i="10"/>
  <c r="AO427" i="10"/>
  <c r="AO363" i="10"/>
  <c r="AO989" i="10"/>
  <c r="AO1159" i="10"/>
  <c r="AO891" i="10"/>
  <c r="AO980" i="10"/>
  <c r="AO1043" i="10"/>
  <c r="AO532" i="10"/>
  <c r="AO1144" i="10"/>
  <c r="AO1127" i="10"/>
  <c r="AO922" i="10"/>
  <c r="AO221" i="10"/>
  <c r="AO806" i="10"/>
  <c r="AO246" i="10"/>
  <c r="AO442" i="10"/>
  <c r="AO564" i="10"/>
  <c r="AO766" i="10"/>
  <c r="AO1155" i="10"/>
  <c r="AO658" i="10"/>
  <c r="AO659" i="10"/>
  <c r="AO160" i="10"/>
  <c r="AO259" i="10"/>
  <c r="AO426" i="10"/>
  <c r="AO916" i="10"/>
  <c r="AO1139" i="10"/>
  <c r="AO571" i="10"/>
  <c r="AO853" i="10"/>
  <c r="AO379" i="10"/>
  <c r="AO337" i="10"/>
  <c r="AO452" i="10"/>
  <c r="AO836" i="10"/>
  <c r="AO931" i="10"/>
  <c r="AO919" i="10"/>
  <c r="AO190" i="10"/>
  <c r="AO247" i="10"/>
  <c r="AO1074" i="10"/>
  <c r="AO437" i="10"/>
  <c r="AO789" i="10"/>
  <c r="AO627" i="10"/>
  <c r="AO41" i="10"/>
  <c r="AO543" i="10"/>
  <c r="AO592" i="10"/>
  <c r="AO1018" i="10"/>
  <c r="AO47" i="10"/>
  <c r="AO903" i="10"/>
  <c r="AO1019" i="10"/>
  <c r="AO1111" i="10"/>
  <c r="AO304" i="10"/>
  <c r="AO222" i="10"/>
  <c r="AO36" i="10"/>
  <c r="AO850" i="10"/>
  <c r="R380" i="10"/>
  <c r="AS380" i="10" s="1"/>
  <c r="AO380" i="10"/>
  <c r="AO63" i="10"/>
  <c r="AO506" i="10"/>
  <c r="AO759" i="10"/>
  <c r="AO422" i="10"/>
  <c r="AO744" i="10"/>
  <c r="AO10" i="10"/>
  <c r="AO902" i="10"/>
  <c r="AO393" i="10"/>
  <c r="AO153" i="10"/>
  <c r="AO539" i="10"/>
  <c r="AO64" i="10"/>
  <c r="AO419" i="10"/>
  <c r="AO65" i="10"/>
  <c r="AO1026" i="10"/>
  <c r="AO641" i="10"/>
  <c r="R302" i="10"/>
  <c r="AS302" i="10" s="1"/>
  <c r="AO352" i="10"/>
  <c r="U527" i="10"/>
  <c r="Y527" i="10" s="1"/>
  <c r="Z527" i="10" s="1"/>
  <c r="AO726" i="10"/>
  <c r="AO910" i="10"/>
  <c r="AO1123" i="10"/>
  <c r="AO610" i="10"/>
  <c r="AO752" i="10"/>
  <c r="R859" i="10"/>
  <c r="R539" i="10"/>
  <c r="R1165" i="10"/>
  <c r="AO1165" i="10"/>
  <c r="AO1046" i="10"/>
  <c r="AO619" i="10"/>
  <c r="AO888" i="10"/>
  <c r="AO958" i="10"/>
  <c r="AO1174" i="10"/>
  <c r="AO20" i="10"/>
  <c r="AO365" i="10"/>
  <c r="AO578" i="10"/>
  <c r="AO738" i="10"/>
  <c r="AO791" i="10"/>
  <c r="AO1057" i="10"/>
  <c r="AO124" i="10"/>
  <c r="AO933" i="10"/>
  <c r="AO606" i="10"/>
  <c r="AO611" i="10"/>
  <c r="AO661" i="10"/>
  <c r="AO205" i="10"/>
  <c r="AO75" i="10"/>
  <c r="AO196" i="10"/>
  <c r="AO505" i="10"/>
  <c r="AO735" i="10"/>
  <c r="AO602" i="10"/>
  <c r="AO883" i="10"/>
  <c r="AO1112" i="10"/>
  <c r="AO1177" i="10"/>
  <c r="AO174" i="10"/>
  <c r="AO1121" i="10"/>
  <c r="AO871" i="10"/>
  <c r="AO812" i="10"/>
  <c r="AO165" i="10"/>
  <c r="AO456" i="10"/>
  <c r="AO405" i="10"/>
  <c r="AO1013" i="10"/>
  <c r="AO694" i="10"/>
  <c r="AO1067" i="10"/>
  <c r="AO717" i="10"/>
  <c r="AO271" i="10"/>
  <c r="AO527" i="10"/>
  <c r="AO1185" i="10"/>
  <c r="AO328" i="10"/>
  <c r="AO1178" i="10"/>
  <c r="AO615" i="10"/>
  <c r="AO25" i="10"/>
  <c r="AO1166" i="10"/>
  <c r="AO24" i="10"/>
  <c r="AO754" i="10"/>
  <c r="AO148" i="10"/>
  <c r="AO590" i="10"/>
  <c r="AO413" i="10"/>
  <c r="AO140" i="10"/>
  <c r="AO1124" i="10"/>
  <c r="AO985" i="10"/>
  <c r="AO815" i="10"/>
  <c r="AO1094" i="10"/>
  <c r="AO1015" i="10"/>
  <c r="AO849" i="10"/>
  <c r="AO857" i="10"/>
  <c r="AO209" i="10"/>
  <c r="AO115" i="10"/>
  <c r="AO46" i="10"/>
  <c r="AO193" i="10"/>
  <c r="AO430" i="10"/>
  <c r="AO567" i="10"/>
  <c r="AO315" i="10"/>
  <c r="AO229" i="10"/>
  <c r="AO682" i="10"/>
  <c r="AO147" i="10"/>
  <c r="AO580" i="10"/>
  <c r="AO310" i="10"/>
  <c r="AO747" i="10"/>
  <c r="AO414" i="10"/>
  <c r="AO1012" i="10"/>
  <c r="AO1028" i="10"/>
  <c r="AO433" i="10"/>
  <c r="AO371" i="10"/>
  <c r="AO854" i="10"/>
  <c r="AO761" i="10"/>
  <c r="AO504" i="10"/>
  <c r="AO1183" i="10"/>
  <c r="AO954" i="10"/>
  <c r="AO872" i="10"/>
  <c r="AO1100" i="10"/>
  <c r="AO846" i="10"/>
  <c r="AO802" i="10"/>
  <c r="AO2" i="10"/>
  <c r="R184" i="10"/>
  <c r="AS184" i="10" s="1"/>
  <c r="AO184" i="10"/>
  <c r="R332" i="10"/>
  <c r="AO332" i="10"/>
  <c r="U447" i="10"/>
  <c r="C447" i="12" s="1"/>
  <c r="AS447" i="10"/>
  <c r="AO634" i="10"/>
  <c r="R819" i="10"/>
  <c r="AS819" i="10" s="1"/>
  <c r="AO819" i="10"/>
  <c r="R403" i="10"/>
  <c r="AS403" i="10" s="1"/>
  <c r="AO55" i="10"/>
  <c r="AO551" i="10"/>
  <c r="AO292" i="10"/>
  <c r="AO549" i="10"/>
  <c r="AO300" i="10"/>
  <c r="AO404" i="10"/>
  <c r="AO995" i="10"/>
  <c r="AO1132" i="10"/>
  <c r="AO90" i="10"/>
  <c r="AO957" i="10"/>
  <c r="AO15" i="10"/>
  <c r="AO944" i="10"/>
  <c r="AO1170" i="10"/>
  <c r="AO568" i="10"/>
  <c r="AO687" i="10"/>
  <c r="AO725" i="10"/>
  <c r="AO224" i="10"/>
  <c r="AO875" i="10"/>
  <c r="AO992" i="10"/>
  <c r="AO136" i="10"/>
  <c r="R476" i="10"/>
  <c r="R162" i="10"/>
  <c r="AS162" i="10" s="1"/>
  <c r="R984" i="10"/>
  <c r="AS984" i="10" s="1"/>
  <c r="R157" i="10"/>
  <c r="AS157" i="10" s="1"/>
  <c r="AO157" i="10"/>
  <c r="R295" i="10"/>
  <c r="R775" i="10"/>
  <c r="R465" i="10"/>
  <c r="R443" i="10"/>
  <c r="AS443" i="10" s="1"/>
  <c r="R858" i="10"/>
  <c r="AO440" i="10"/>
  <c r="AO639" i="10"/>
  <c r="AO702" i="10"/>
  <c r="AO1189" i="10"/>
  <c r="AO387" i="10"/>
  <c r="AO108" i="10"/>
  <c r="AO558" i="10"/>
  <c r="AO673" i="10"/>
  <c r="AO561" i="10"/>
  <c r="AO69" i="10"/>
  <c r="AO665" i="10"/>
  <c r="AO1109" i="10"/>
  <c r="AO207" i="10"/>
  <c r="AO648" i="10"/>
  <c r="AO1162" i="10"/>
  <c r="AO23" i="10"/>
  <c r="AO386" i="10"/>
  <c r="AO773" i="10"/>
  <c r="AO915" i="10"/>
  <c r="AO896" i="10"/>
  <c r="AO1093" i="10"/>
  <c r="AO651" i="10"/>
  <c r="AO620" i="10"/>
  <c r="AO892" i="10"/>
  <c r="AO681" i="10"/>
  <c r="AO993" i="10"/>
  <c r="AO776" i="10"/>
  <c r="AO305" i="10"/>
  <c r="AO800" i="10"/>
  <c r="AO710" i="10"/>
  <c r="AO1149" i="10"/>
  <c r="AO423" i="10"/>
  <c r="AO503" i="10"/>
  <c r="AO280" i="10"/>
  <c r="AO87" i="10"/>
  <c r="AO724" i="10"/>
  <c r="AO162" i="10"/>
  <c r="AO113" i="10"/>
  <c r="AO1022" i="10"/>
  <c r="AO984" i="10"/>
  <c r="AO45" i="10"/>
  <c r="AO699" i="10"/>
  <c r="AO996" i="10"/>
  <c r="AO847" i="10"/>
  <c r="AO403" i="10"/>
  <c r="AO438" i="10"/>
  <c r="AO1188" i="10"/>
  <c r="AO729" i="10"/>
  <c r="AO92" i="10"/>
  <c r="AO282" i="10"/>
  <c r="AO9" i="10"/>
  <c r="R331" i="10"/>
  <c r="AO331" i="10"/>
  <c r="AO758" i="10"/>
  <c r="AO584" i="10"/>
  <c r="AO669" i="10"/>
  <c r="AO656" i="10"/>
  <c r="AO1167" i="10"/>
  <c r="AO399" i="10"/>
  <c r="AO250" i="10"/>
  <c r="AO1066" i="10"/>
  <c r="AO706" i="10"/>
  <c r="AO591" i="10"/>
  <c r="AO1011" i="10"/>
  <c r="AO29" i="10"/>
  <c r="AO314" i="10"/>
  <c r="AO640" i="10"/>
  <c r="AO697" i="10"/>
  <c r="AO367" i="10"/>
  <c r="AO675" i="10"/>
  <c r="AO1064" i="10"/>
  <c r="AO814" i="10"/>
  <c r="AO237" i="10"/>
  <c r="AO873" i="10"/>
  <c r="AO50" i="10"/>
  <c r="AO795" i="10"/>
  <c r="AO392" i="10"/>
  <c r="AO991" i="10"/>
  <c r="AO71" i="10"/>
  <c r="AO322" i="10"/>
  <c r="AO1069" i="10"/>
  <c r="AO830" i="10"/>
  <c r="AO982" i="10"/>
  <c r="AO234" i="10"/>
  <c r="AO169" i="10"/>
  <c r="AO200" i="10"/>
  <c r="AO453" i="10"/>
  <c r="AO1044" i="10"/>
  <c r="AO410" i="10"/>
  <c r="AO117" i="10"/>
  <c r="AO100" i="10"/>
  <c r="AO450" i="10"/>
  <c r="AO898" i="10"/>
  <c r="AO629" i="10"/>
  <c r="AO181" i="10"/>
  <c r="AO848" i="10"/>
  <c r="AO59" i="10"/>
  <c r="AO295" i="10"/>
  <c r="AO465" i="10"/>
  <c r="AO1002" i="10"/>
  <c r="AO232" i="10"/>
  <c r="AO962" i="10"/>
  <c r="AO1097" i="10"/>
  <c r="AO768" i="10"/>
  <c r="AO1190" i="10"/>
  <c r="AO1076" i="10"/>
  <c r="AO1042" i="10"/>
  <c r="AO1140" i="10"/>
  <c r="AO696" i="10"/>
  <c r="AO582" i="10"/>
  <c r="AO122" i="10"/>
  <c r="AO731" i="10"/>
  <c r="AO264" i="10"/>
  <c r="AO953" i="10"/>
  <c r="AO121" i="10"/>
  <c r="R699" i="10"/>
  <c r="AO945" i="10"/>
  <c r="AO56" i="10"/>
  <c r="AO444" i="10"/>
  <c r="AO605" i="10"/>
  <c r="AO526" i="10"/>
  <c r="AO822" i="10"/>
  <c r="AO388" i="10"/>
  <c r="R354" i="10"/>
  <c r="R316" i="10"/>
  <c r="AS316" i="10" s="1"/>
  <c r="AO579" i="10"/>
  <c r="AO1034" i="10"/>
  <c r="R219" i="10"/>
  <c r="AO219" i="10"/>
  <c r="AO177" i="10"/>
  <c r="AO889" i="10"/>
  <c r="AO323" i="10"/>
  <c r="AO358" i="10"/>
  <c r="AO1158" i="10"/>
  <c r="AO588" i="10"/>
  <c r="AO359" i="10"/>
  <c r="AO740" i="10"/>
  <c r="AO132" i="10"/>
  <c r="AO176" i="10"/>
  <c r="AO1058" i="10"/>
  <c r="AO54" i="10"/>
  <c r="AO89" i="10"/>
  <c r="AO524" i="10"/>
  <c r="AO283" i="10"/>
  <c r="AO145" i="10"/>
  <c r="AO72" i="10"/>
  <c r="AO429" i="10"/>
  <c r="AO409" i="10"/>
  <c r="AO159" i="10"/>
  <c r="AO469" i="10"/>
  <c r="AO1014" i="10"/>
  <c r="AO642" i="10"/>
  <c r="AO1187" i="10"/>
  <c r="AO562" i="10"/>
  <c r="AO576" i="10"/>
  <c r="AO382" i="10"/>
  <c r="AO378" i="10"/>
  <c r="AO1050" i="10"/>
  <c r="AO1020" i="10"/>
  <c r="AO385" i="10"/>
  <c r="AO553" i="10"/>
  <c r="AO546" i="10"/>
  <c r="AO1006" i="10"/>
  <c r="AO711" i="10"/>
  <c r="U323" i="10"/>
  <c r="C323" i="12" s="1"/>
  <c r="AS323" i="10"/>
  <c r="AO243" i="10"/>
  <c r="R880" i="10"/>
  <c r="AO880" i="10"/>
  <c r="AO366" i="10"/>
  <c r="AO900" i="10"/>
  <c r="AO351" i="10"/>
  <c r="AO354" i="10"/>
  <c r="R566" i="10"/>
  <c r="AO566" i="10"/>
  <c r="R151" i="10"/>
  <c r="AS151" i="10" s="1"/>
  <c r="AO151" i="10"/>
  <c r="AO772" i="10"/>
  <c r="AO1061" i="10"/>
  <c r="AO535" i="10"/>
  <c r="AO1163" i="10"/>
  <c r="AO111" i="10"/>
  <c r="AO284" i="10"/>
  <c r="AO756" i="10"/>
  <c r="AO998" i="10"/>
  <c r="AO1146" i="10"/>
  <c r="AO782" i="10"/>
  <c r="AO829" i="10"/>
  <c r="AO374" i="10"/>
  <c r="AO277" i="10"/>
  <c r="AO585" i="10"/>
  <c r="AO866" i="10"/>
  <c r="AO19" i="10"/>
  <c r="AO691" i="10"/>
  <c r="AO480" i="10"/>
  <c r="AO655" i="10"/>
  <c r="AO987" i="10"/>
  <c r="AO296" i="10"/>
  <c r="AO874" i="10"/>
  <c r="AO1005" i="10"/>
  <c r="AO223" i="10"/>
  <c r="AO730" i="10"/>
  <c r="AO1073" i="10"/>
  <c r="AO451" i="10"/>
  <c r="AO31" i="10"/>
  <c r="AO318" i="10"/>
  <c r="AO719" i="10"/>
  <c r="AO1191" i="10"/>
  <c r="AO516" i="10"/>
  <c r="AO339" i="10"/>
  <c r="AO626" i="10"/>
  <c r="AO927" i="10"/>
  <c r="AO1021" i="10"/>
  <c r="AO1182" i="10"/>
  <c r="AO210" i="10"/>
  <c r="AO712" i="10"/>
  <c r="AO105" i="10"/>
  <c r="AO327" i="10"/>
  <c r="AO934" i="10"/>
  <c r="AO1080" i="10"/>
  <c r="AO780" i="10"/>
  <c r="AO803" i="10"/>
  <c r="AO1098" i="10"/>
  <c r="AO906" i="10"/>
  <c r="AO402" i="10"/>
  <c r="AO88" i="10"/>
  <c r="AO616" i="10"/>
  <c r="AO636" i="10"/>
  <c r="AO412" i="10"/>
  <c r="AO118" i="10"/>
  <c r="AO252" i="10"/>
  <c r="AO1032" i="10"/>
  <c r="AO1035" i="10"/>
  <c r="AO837" i="10"/>
  <c r="AO493" i="10"/>
  <c r="AO971" i="10"/>
  <c r="AO389" i="10"/>
  <c r="AO194" i="10"/>
  <c r="AO936" i="10"/>
  <c r="AO293" i="10"/>
  <c r="AO98" i="10"/>
  <c r="AO460" i="10"/>
  <c r="AO244" i="10"/>
  <c r="AO168" i="10"/>
  <c r="AO52" i="10"/>
  <c r="AO1009" i="10"/>
  <c r="AO523" i="10"/>
  <c r="AO1040" i="10"/>
  <c r="AO947" i="10"/>
  <c r="AO821" i="10"/>
  <c r="AO1108" i="10"/>
  <c r="AO1192" i="10"/>
  <c r="AO34" i="10"/>
  <c r="AO817" i="10"/>
  <c r="AO16" i="10"/>
  <c r="AO144" i="10"/>
  <c r="AO233" i="10"/>
  <c r="AO287" i="10"/>
  <c r="AO630" i="10"/>
  <c r="AO80" i="10"/>
  <c r="AO826" i="10"/>
  <c r="AO342" i="10"/>
  <c r="AO541" i="10"/>
  <c r="AO324" i="10"/>
  <c r="AO166" i="10"/>
  <c r="AO170" i="10"/>
  <c r="AO462" i="10"/>
  <c r="AO520" i="10"/>
  <c r="AO291" i="10"/>
  <c r="AO713" i="10"/>
  <c r="AO373" i="10"/>
  <c r="AO581" i="10"/>
  <c r="AO753" i="10"/>
  <c r="AO421" i="10"/>
  <c r="AO1084" i="10"/>
  <c r="AO1027" i="10"/>
  <c r="AO396" i="10"/>
  <c r="AO652" i="10"/>
  <c r="AO894" i="10"/>
  <c r="AO808" i="10"/>
  <c r="AO597" i="10"/>
  <c r="AO1053" i="10"/>
  <c r="AO1051" i="10"/>
  <c r="R914" i="10"/>
  <c r="AO914" i="10"/>
  <c r="R320" i="10"/>
  <c r="AO320" i="10"/>
  <c r="R674" i="10"/>
  <c r="AO823" i="10"/>
  <c r="AO835" i="10"/>
  <c r="AO112" i="10"/>
  <c r="AO511" i="10"/>
  <c r="AO340" i="10"/>
  <c r="AO439" i="10"/>
  <c r="AO321" i="10"/>
  <c r="AO28" i="10"/>
  <c r="AO285" i="10"/>
  <c r="AO942" i="10"/>
  <c r="AO751" i="10"/>
  <c r="AO326" i="10"/>
  <c r="AO844" i="10"/>
  <c r="AO790" i="10"/>
  <c r="AO81" i="10"/>
  <c r="AO58" i="10"/>
  <c r="AO302" i="10"/>
  <c r="AO225" i="10"/>
  <c r="AO863" i="10"/>
  <c r="AO628" i="10"/>
  <c r="AO431" i="10"/>
  <c r="AO424" i="10"/>
  <c r="AO471" i="10"/>
  <c r="AO525" i="10"/>
  <c r="AO572" i="10"/>
  <c r="AO1138" i="10"/>
  <c r="AO899" i="10"/>
  <c r="AO920" i="10"/>
  <c r="AO594" i="10"/>
  <c r="AO1088" i="10"/>
  <c r="AO824" i="10"/>
  <c r="AO458" i="10"/>
  <c r="AO1152" i="10"/>
  <c r="AO1117" i="10"/>
  <c r="AO734" i="10"/>
  <c r="AO921" i="10"/>
  <c r="AO601" i="10"/>
  <c r="AO1092" i="10"/>
  <c r="AO781" i="10"/>
  <c r="AO617" i="10"/>
  <c r="AO609" i="10"/>
  <c r="AO1001" i="10"/>
  <c r="AO622" i="10"/>
  <c r="AO227" i="10"/>
  <c r="AO859" i="10"/>
  <c r="AO483" i="10"/>
  <c r="AO897" i="10"/>
  <c r="R440" i="10"/>
  <c r="R484" i="10"/>
  <c r="AS484" i="10" s="1"/>
  <c r="R1145" i="10"/>
  <c r="AS1145" i="10" s="1"/>
  <c r="AO1145" i="10"/>
  <c r="AO509" i="10"/>
  <c r="R62" i="10"/>
  <c r="AO447" i="10"/>
  <c r="AO877" i="10"/>
  <c r="AO214" i="10"/>
  <c r="AO375" i="10"/>
  <c r="AO369" i="10"/>
  <c r="AO1147" i="10"/>
  <c r="AO647" i="10"/>
  <c r="AO1154" i="10"/>
  <c r="AO139" i="10"/>
  <c r="AO660" i="10"/>
  <c r="AO718" i="10"/>
  <c r="AO1036" i="10"/>
  <c r="AO983" i="10"/>
  <c r="AO346" i="10"/>
  <c r="AO445" i="10"/>
  <c r="AO679" i="10"/>
  <c r="AO990" i="10"/>
  <c r="AO684" i="10"/>
  <c r="AO158" i="10"/>
  <c r="AO362" i="10"/>
  <c r="AO833" i="10"/>
  <c r="AO1135" i="10"/>
  <c r="AO1096" i="10"/>
  <c r="AO408" i="10"/>
  <c r="AO884" i="10"/>
  <c r="AO103" i="10"/>
  <c r="AO557" i="10"/>
  <c r="AO907" i="10"/>
  <c r="AO12" i="10"/>
  <c r="AO911" i="10"/>
  <c r="AO48" i="10"/>
  <c r="AO411" i="10"/>
  <c r="AO722" i="10"/>
  <c r="AO820" i="10"/>
  <c r="AO1049" i="10"/>
  <c r="AO395" i="10"/>
  <c r="AO599" i="10"/>
  <c r="AO1054" i="10"/>
  <c r="AO972" i="10"/>
  <c r="AO714" i="10"/>
  <c r="AO864" i="10"/>
  <c r="AO745" i="10"/>
  <c r="AO149" i="10"/>
  <c r="AO311" i="10"/>
  <c r="AO924" i="10"/>
  <c r="AO329" i="10"/>
  <c r="AO607" i="10"/>
  <c r="AO975" i="10"/>
  <c r="AO1089" i="10"/>
  <c r="AO544" i="10"/>
  <c r="AO693" i="10"/>
  <c r="AO952" i="10"/>
  <c r="AO1120" i="10"/>
  <c r="AO1126" i="10"/>
  <c r="AO1056" i="10"/>
  <c r="AO348" i="10"/>
  <c r="AO30" i="10"/>
  <c r="AO35" i="10"/>
  <c r="AO1065" i="10"/>
  <c r="AO832" i="10"/>
  <c r="AO73" i="10"/>
  <c r="AO333" i="10"/>
  <c r="AO8" i="10"/>
  <c r="AO454" i="10"/>
  <c r="AO739" i="10"/>
  <c r="AO97" i="10"/>
  <c r="AO1030" i="10"/>
  <c r="AO361" i="10"/>
  <c r="AO116" i="10"/>
  <c r="AO949" i="10"/>
  <c r="AO107" i="10"/>
  <c r="AO1016" i="10"/>
  <c r="AO306" i="10"/>
  <c r="AO709" i="10"/>
  <c r="AO677" i="10"/>
  <c r="AO312" i="10"/>
  <c r="AO500" i="10"/>
  <c r="AO538" i="10"/>
  <c r="AO774" i="10"/>
  <c r="AO276" i="10"/>
  <c r="AO513" i="10"/>
  <c r="AO1048" i="10"/>
  <c r="AO130" i="10"/>
  <c r="AO236" i="10"/>
  <c r="AO195" i="10"/>
  <c r="AO67" i="10"/>
  <c r="AO338" i="10"/>
  <c r="AO95" i="10"/>
  <c r="AO278" i="10"/>
  <c r="AO650" i="10"/>
  <c r="AO455" i="10"/>
  <c r="AO1172" i="10"/>
  <c r="AO1180" i="10"/>
  <c r="AO42" i="10"/>
  <c r="AO828" i="10"/>
  <c r="AO467" i="10"/>
  <c r="AO68" i="10"/>
  <c r="AO110" i="10"/>
  <c r="AO913" i="10"/>
  <c r="AO678" i="10"/>
  <c r="AO457" i="10"/>
  <c r="AO76" i="10"/>
  <c r="AO349" i="10"/>
  <c r="AO978" i="10"/>
  <c r="AO518" i="10"/>
  <c r="AO1070" i="10"/>
  <c r="AO1133" i="10"/>
  <c r="AO491" i="10"/>
  <c r="AO851" i="10"/>
  <c r="AO474" i="10"/>
  <c r="AO1131" i="10"/>
  <c r="AO963" i="10"/>
  <c r="AO905" i="10"/>
  <c r="AO1179" i="10"/>
  <c r="AO343" i="10"/>
  <c r="AO486" i="10"/>
  <c r="R1110" i="10"/>
  <c r="AS1110" i="10" s="1"/>
  <c r="AO1110" i="10"/>
  <c r="AO560" i="10"/>
  <c r="AO1055" i="10"/>
  <c r="AO1176" i="10"/>
  <c r="AO1031" i="10"/>
  <c r="AO1090" i="10"/>
  <c r="AO248" i="10"/>
  <c r="AO391" i="10"/>
  <c r="R948" i="10"/>
  <c r="AO948" i="10"/>
  <c r="AO498" i="10"/>
  <c r="R150" i="10"/>
  <c r="AS150" i="10" s="1"/>
  <c r="AO150" i="10"/>
  <c r="R856" i="10"/>
  <c r="AS856" i="10" s="1"/>
  <c r="R622" i="10"/>
  <c r="R182" i="10"/>
  <c r="R1124" i="10"/>
  <c r="R877" i="10"/>
  <c r="AS877" i="10" s="1"/>
  <c r="R369" i="10"/>
  <c r="R847" i="10"/>
  <c r="AS847" i="10" s="1"/>
  <c r="R193" i="10"/>
  <c r="R841" i="10"/>
  <c r="AS841" i="10" s="1"/>
  <c r="U363" i="10"/>
  <c r="R1086" i="10"/>
  <c r="AS1086" i="10" s="1"/>
  <c r="R1022" i="10"/>
  <c r="R1190" i="10"/>
  <c r="R140" i="10"/>
  <c r="R634" i="10"/>
  <c r="R453" i="10"/>
  <c r="R682" i="10"/>
  <c r="R243" i="10"/>
  <c r="R351" i="10"/>
  <c r="R759" i="10"/>
  <c r="AS759" i="10" s="1"/>
  <c r="R271" i="10"/>
  <c r="R328" i="10"/>
  <c r="R1123" i="10"/>
  <c r="R739" i="10"/>
  <c r="R503" i="10"/>
  <c r="R441" i="10"/>
  <c r="R491" i="10"/>
  <c r="R905" i="10"/>
  <c r="R787" i="10"/>
  <c r="AS787" i="10" s="1"/>
  <c r="R105" i="10"/>
  <c r="R16" i="10"/>
  <c r="R713" i="10"/>
  <c r="AS713" i="10" s="1"/>
  <c r="R221" i="10"/>
  <c r="R72" i="10"/>
  <c r="R63" i="10"/>
  <c r="R904" i="10"/>
  <c r="R85" i="10"/>
  <c r="R319" i="10"/>
  <c r="R1164" i="10"/>
  <c r="AS1164" i="10" s="1"/>
  <c r="R705" i="10"/>
  <c r="R260" i="10"/>
  <c r="AS260" i="10" s="1"/>
  <c r="R1114" i="10"/>
  <c r="AS1114" i="10" s="1"/>
  <c r="R1107" i="10"/>
  <c r="R164" i="10"/>
  <c r="R583" i="10"/>
  <c r="R534" i="10"/>
  <c r="R439" i="10"/>
  <c r="R751" i="10"/>
  <c r="R628" i="10"/>
  <c r="R471" i="10"/>
  <c r="R572" i="10"/>
  <c r="R594" i="10"/>
  <c r="R1152" i="10"/>
  <c r="R734" i="10"/>
  <c r="R617" i="10"/>
  <c r="R609" i="10"/>
  <c r="R413" i="10"/>
  <c r="R567" i="10"/>
  <c r="R310" i="10"/>
  <c r="R854" i="10"/>
  <c r="AS854" i="10" s="1"/>
  <c r="R1183" i="10"/>
  <c r="R910" i="10"/>
  <c r="AS910" i="10" s="1"/>
  <c r="R846" i="10"/>
  <c r="AS846" i="10" s="1"/>
  <c r="R610" i="10"/>
  <c r="R752" i="10"/>
  <c r="R376" i="10"/>
  <c r="R1046" i="10"/>
  <c r="AS1046" i="10" s="1"/>
  <c r="R1015" i="10"/>
  <c r="R485" i="10"/>
  <c r="R1076" i="10"/>
  <c r="R1140" i="10"/>
  <c r="R996" i="10"/>
  <c r="R509" i="10"/>
  <c r="R402" i="10"/>
  <c r="R375" i="10"/>
  <c r="R248" i="10"/>
  <c r="R489" i="10"/>
  <c r="AS489" i="10" s="1"/>
  <c r="R865" i="10"/>
  <c r="R1134" i="10"/>
  <c r="R60" i="10"/>
  <c r="R285" i="10"/>
  <c r="R886" i="10"/>
  <c r="R624" i="10"/>
  <c r="R315" i="10"/>
  <c r="R1178" i="10"/>
  <c r="AS1178" i="10" s="1"/>
  <c r="R230" i="10"/>
  <c r="AS230" i="10" s="1"/>
  <c r="R488" i="10"/>
  <c r="R381" i="10"/>
  <c r="R1042" i="10"/>
  <c r="R280" i="10"/>
  <c r="R117" i="10"/>
  <c r="R1017" i="10"/>
  <c r="R1092" i="10"/>
  <c r="R1185" i="10"/>
  <c r="R744" i="10"/>
  <c r="AS744" i="10" s="1"/>
  <c r="R569" i="10"/>
  <c r="R458" i="10"/>
  <c r="R88" i="10"/>
  <c r="R616" i="10"/>
  <c r="R153" i="10"/>
  <c r="AS153" i="10" s="1"/>
  <c r="R971" i="10"/>
  <c r="R98" i="10"/>
  <c r="R1040" i="10"/>
  <c r="R821" i="10"/>
  <c r="R233" i="10"/>
  <c r="R80" i="10"/>
  <c r="R324" i="10"/>
  <c r="R462" i="10"/>
  <c r="R688" i="10"/>
  <c r="R597" i="10"/>
  <c r="R823" i="10"/>
  <c r="R849" i="10"/>
  <c r="R780" i="10"/>
  <c r="R93" i="10"/>
  <c r="R492" i="10"/>
  <c r="R601" i="10"/>
  <c r="R1103" i="10"/>
  <c r="R959" i="10"/>
  <c r="R97" i="10"/>
  <c r="AS97" i="10" s="1"/>
  <c r="R1030" i="10"/>
  <c r="R361" i="10"/>
  <c r="R116" i="10"/>
  <c r="R1016" i="10"/>
  <c r="R306" i="10"/>
  <c r="R709" i="10"/>
  <c r="R677" i="10"/>
  <c r="R422" i="10"/>
  <c r="AS422" i="10" s="1"/>
  <c r="R312" i="10"/>
  <c r="R500" i="10"/>
  <c r="R276" i="10"/>
  <c r="R1048" i="10"/>
  <c r="R130" i="10"/>
  <c r="R67" i="10"/>
  <c r="R506" i="10"/>
  <c r="R338" i="10"/>
  <c r="R95" i="10"/>
  <c r="R1172" i="10"/>
  <c r="R461" i="10"/>
  <c r="R76" i="10"/>
  <c r="R1070" i="10"/>
  <c r="R1133" i="10"/>
  <c r="R474" i="10"/>
  <c r="R963" i="10"/>
  <c r="R1055" i="10"/>
  <c r="R1176" i="10"/>
  <c r="R1090" i="10"/>
  <c r="R391" i="10"/>
  <c r="R498" i="10"/>
  <c r="R59" i="10"/>
  <c r="R431" i="10"/>
  <c r="AS431" i="10" s="1"/>
  <c r="R986" i="10"/>
  <c r="R573" i="10"/>
  <c r="R209" i="10"/>
  <c r="R255" i="10"/>
  <c r="R198" i="10"/>
  <c r="R844" i="10"/>
  <c r="R633" i="10"/>
  <c r="R1059" i="10"/>
  <c r="R649" i="10"/>
  <c r="R272" i="10"/>
  <c r="R638" i="10"/>
  <c r="U1085" i="10"/>
  <c r="C1085" i="12" s="1"/>
  <c r="R138" i="10"/>
  <c r="R579" i="10"/>
  <c r="R1147" i="10"/>
  <c r="R647" i="10"/>
  <c r="R1034" i="10"/>
  <c r="N941" i="6"/>
  <c r="T941" i="10" s="1"/>
  <c r="AP941" i="10" s="1"/>
  <c r="S941" i="10"/>
  <c r="N62" i="6"/>
  <c r="T62" i="10" s="1"/>
  <c r="S62" i="10"/>
  <c r="N1082" i="6"/>
  <c r="T1082" i="10" s="1"/>
  <c r="AP1082" i="10" s="1"/>
  <c r="S1082" i="10"/>
  <c r="N760" i="6"/>
  <c r="T760" i="10" s="1"/>
  <c r="S760" i="10"/>
  <c r="N961" i="6"/>
  <c r="T961" i="10" s="1"/>
  <c r="AP961" i="10" s="1"/>
  <c r="S961" i="10"/>
  <c r="N101" i="6"/>
  <c r="T101" i="10" s="1"/>
  <c r="AP101" i="10" s="1"/>
  <c r="S101" i="10"/>
  <c r="N416" i="6"/>
  <c r="T416" i="10" s="1"/>
  <c r="AP416" i="10" s="1"/>
  <c r="S416" i="10"/>
  <c r="N688" i="6"/>
  <c r="T688" i="10" s="1"/>
  <c r="AO688" i="10" s="1"/>
  <c r="S688" i="10"/>
  <c r="N750" i="6"/>
  <c r="T750" i="10" s="1"/>
  <c r="AO750" i="10" s="1"/>
  <c r="S750" i="10"/>
  <c r="N464" i="6"/>
  <c r="T464" i="10" s="1"/>
  <c r="AP464" i="10" s="1"/>
  <c r="S464" i="10"/>
  <c r="N273" i="6"/>
  <c r="T273" i="10" s="1"/>
  <c r="AO273" i="10" s="1"/>
  <c r="S273" i="10"/>
  <c r="N77" i="6"/>
  <c r="T77" i="10" s="1"/>
  <c r="AO77" i="10" s="1"/>
  <c r="S77" i="10"/>
  <c r="N175" i="6"/>
  <c r="T175" i="10" s="1"/>
  <c r="AP175" i="10" s="1"/>
  <c r="S175" i="10"/>
  <c r="N1161" i="6"/>
  <c r="T1161" i="10" s="1"/>
  <c r="AP1161" i="10" s="1"/>
  <c r="S1161" i="10"/>
  <c r="N612" i="6"/>
  <c r="T612" i="10" s="1"/>
  <c r="AP612" i="10" s="1"/>
  <c r="S612" i="10"/>
  <c r="N670" i="6"/>
  <c r="T670" i="10" s="1"/>
  <c r="S670" i="10"/>
  <c r="N596" i="6"/>
  <c r="T596" i="10" s="1"/>
  <c r="AP596" i="10" s="1"/>
  <c r="S596" i="10"/>
  <c r="N231" i="6"/>
  <c r="T231" i="10" s="1"/>
  <c r="AP231" i="10" s="1"/>
  <c r="S231" i="10"/>
  <c r="N746" i="6"/>
  <c r="T746" i="10" s="1"/>
  <c r="AP746" i="10" s="1"/>
  <c r="S746" i="10"/>
  <c r="N215" i="6"/>
  <c r="T215" i="10" s="1"/>
  <c r="S215" i="10"/>
  <c r="N600" i="6"/>
  <c r="T600" i="10" s="1"/>
  <c r="AP600" i="10" s="1"/>
  <c r="S600" i="10"/>
  <c r="N104" i="6"/>
  <c r="T104" i="10" s="1"/>
  <c r="S104" i="10"/>
  <c r="N775" i="6"/>
  <c r="T775" i="10" s="1"/>
  <c r="AP775" i="10" s="1"/>
  <c r="S775" i="10"/>
  <c r="N269" i="6"/>
  <c r="T269" i="10" s="1"/>
  <c r="S269" i="10"/>
  <c r="N666" i="6"/>
  <c r="T666" i="10" s="1"/>
  <c r="AP666" i="10" s="1"/>
  <c r="S666" i="10"/>
  <c r="N621" i="6"/>
  <c r="T621" i="10" s="1"/>
  <c r="AP621" i="10" s="1"/>
  <c r="S621" i="10"/>
  <c r="N593" i="6"/>
  <c r="T593" i="10" s="1"/>
  <c r="AP593" i="10" s="1"/>
  <c r="S593" i="10"/>
  <c r="N799" i="6"/>
  <c r="T799" i="10" s="1"/>
  <c r="S799" i="10"/>
  <c r="N635" i="6"/>
  <c r="T635" i="10" s="1"/>
  <c r="S635" i="10"/>
  <c r="U1154" i="10"/>
  <c r="Y1154" i="10" s="1"/>
  <c r="Z1154" i="10" s="1"/>
  <c r="U483" i="10"/>
  <c r="U1144" i="10"/>
  <c r="B6" i="17" s="1"/>
  <c r="U358" i="10"/>
  <c r="R510" i="10"/>
  <c r="R922" i="10"/>
  <c r="R978" i="10"/>
  <c r="R1098" i="10"/>
  <c r="R906" i="10"/>
  <c r="R615" i="10"/>
  <c r="R142" i="10"/>
  <c r="R970" i="10"/>
  <c r="R559" i="10"/>
  <c r="R167" i="10"/>
  <c r="R94" i="10"/>
  <c r="R478" i="10"/>
  <c r="R482" i="10"/>
  <c r="R53" i="10"/>
  <c r="R852" i="10"/>
  <c r="R420" i="10"/>
  <c r="R178" i="10"/>
  <c r="R201" i="10"/>
  <c r="R435" i="10"/>
  <c r="R694" i="10"/>
  <c r="R472" i="10"/>
  <c r="R928" i="10"/>
  <c r="R813" i="10"/>
  <c r="R792" i="10"/>
  <c r="R1158" i="10"/>
  <c r="R359" i="10"/>
  <c r="R176" i="10"/>
  <c r="R1058" i="10"/>
  <c r="R621" i="10"/>
  <c r="R54" i="10"/>
  <c r="R524" i="10"/>
  <c r="R283" i="10"/>
  <c r="R145" i="10"/>
  <c r="R429" i="10"/>
  <c r="R409" i="10"/>
  <c r="R159" i="10"/>
  <c r="R1014" i="10"/>
  <c r="R671" i="10"/>
  <c r="R1187" i="10"/>
  <c r="R562" i="10"/>
  <c r="R378" i="10"/>
  <c r="R553" i="10"/>
  <c r="R546" i="10"/>
  <c r="R711" i="10"/>
  <c r="R77" i="10"/>
  <c r="R366" i="10"/>
  <c r="R900" i="10"/>
  <c r="R1119" i="10"/>
  <c r="R412" i="10"/>
  <c r="R1032" i="10"/>
  <c r="R1071" i="10"/>
  <c r="R389" i="10"/>
  <c r="R936" i="10"/>
  <c r="R244" i="10"/>
  <c r="R168" i="10"/>
  <c r="R1108" i="10"/>
  <c r="R34" i="10"/>
  <c r="R287" i="10"/>
  <c r="R630" i="10"/>
  <c r="R541" i="10"/>
  <c r="R166" i="10"/>
  <c r="R373" i="10"/>
  <c r="R894" i="10"/>
  <c r="R746" i="10"/>
  <c r="R772" i="10"/>
  <c r="R851" i="10"/>
  <c r="R335" i="10"/>
  <c r="R774" i="10"/>
  <c r="R146" i="10"/>
  <c r="R949" i="10"/>
  <c r="R10" i="10"/>
  <c r="U240" i="10"/>
  <c r="U660" i="10"/>
  <c r="R499" i="10"/>
  <c r="R708" i="10"/>
  <c r="R1051" i="10"/>
  <c r="R935" i="10"/>
  <c r="R251" i="10"/>
  <c r="R107" i="10"/>
  <c r="R548" i="10"/>
  <c r="R590" i="10"/>
  <c r="R344" i="10"/>
  <c r="R225" i="10"/>
  <c r="R382" i="10"/>
  <c r="R9" i="10"/>
  <c r="R6" i="10"/>
  <c r="R464" i="10"/>
  <c r="R1084" i="10"/>
  <c r="R428" i="10"/>
  <c r="R538" i="10"/>
  <c r="R203" i="10"/>
  <c r="R815" i="10"/>
  <c r="R857" i="10"/>
  <c r="R3" i="10"/>
  <c r="R278" i="10"/>
  <c r="R994" i="10"/>
  <c r="R925" i="10"/>
  <c r="R143" i="10"/>
  <c r="R932" i="10"/>
  <c r="R1097" i="10"/>
  <c r="R840" i="10"/>
  <c r="R520" i="10"/>
  <c r="R388" i="10"/>
  <c r="R595" i="10"/>
  <c r="R396" i="10"/>
  <c r="R342" i="10"/>
  <c r="R291" i="10"/>
  <c r="R947" i="10"/>
  <c r="R642" i="10"/>
  <c r="R112" i="10"/>
  <c r="R393" i="10"/>
  <c r="R454" i="10"/>
  <c r="R352" i="10"/>
  <c r="R17" i="10"/>
  <c r="R8" i="10"/>
  <c r="R463" i="10"/>
  <c r="R1026" i="10"/>
  <c r="R234" i="10"/>
  <c r="R1009" i="10"/>
  <c r="R518" i="10"/>
  <c r="R664" i="10"/>
  <c r="R423" i="10"/>
  <c r="R4" i="10"/>
  <c r="R5" i="10"/>
  <c r="R902" i="10"/>
  <c r="R803" i="10"/>
  <c r="R985" i="10"/>
  <c r="R7" i="10"/>
  <c r="R612" i="10"/>
  <c r="R913" i="10"/>
  <c r="R657" i="10"/>
  <c r="R21" i="10"/>
  <c r="R194" i="10"/>
  <c r="R469" i="10"/>
  <c r="R460" i="10"/>
  <c r="R144" i="10"/>
  <c r="R710" i="10"/>
  <c r="R753" i="10"/>
  <c r="R321" i="10"/>
  <c r="R136" i="10"/>
  <c r="R942" i="10"/>
  <c r="R340" i="10"/>
  <c r="R600" i="10"/>
  <c r="R1035" i="10"/>
  <c r="R45" i="10"/>
  <c r="R636" i="10"/>
  <c r="R793" i="10"/>
  <c r="R1192" i="10"/>
  <c r="R398" i="10"/>
  <c r="R169" i="10"/>
  <c r="R229" i="10"/>
  <c r="R641" i="10"/>
  <c r="R1173" i="10"/>
  <c r="R123" i="10"/>
  <c r="R414" i="10"/>
  <c r="R580" i="10"/>
  <c r="R898" i="10"/>
  <c r="R1149" i="10"/>
  <c r="R467" i="10"/>
  <c r="R768" i="10"/>
  <c r="R333" i="10"/>
  <c r="R872" i="10"/>
  <c r="R969" i="10"/>
  <c r="R817" i="10"/>
  <c r="R703" i="10"/>
  <c r="R560" i="10"/>
  <c r="R1180" i="10"/>
  <c r="R826" i="10"/>
  <c r="R73" i="10"/>
  <c r="R1080" i="10"/>
  <c r="R252" i="10"/>
  <c r="R954" i="10"/>
  <c r="R574" i="10"/>
  <c r="R761" i="10"/>
  <c r="R170" i="10"/>
  <c r="R309" i="10"/>
  <c r="R1088" i="10"/>
  <c r="R1094" i="10"/>
  <c r="R127" i="10"/>
  <c r="R22" i="10"/>
  <c r="R934" i="10"/>
  <c r="R899" i="10"/>
  <c r="R427" i="10"/>
  <c r="R1116" i="10"/>
  <c r="R326" i="10"/>
  <c r="R191" i="10"/>
  <c r="R523" i="10"/>
  <c r="R266" i="10"/>
  <c r="R89" i="10"/>
  <c r="R220" i="10"/>
  <c r="R848" i="10"/>
  <c r="R14" i="10"/>
  <c r="R486" i="10"/>
  <c r="R262" i="10"/>
  <c r="R832" i="10"/>
  <c r="R921" i="10"/>
  <c r="R450" i="10"/>
  <c r="R678" i="10"/>
  <c r="R341" i="10"/>
  <c r="R195" i="10"/>
  <c r="R1031" i="10"/>
  <c r="R217" i="10"/>
  <c r="R754" i="10"/>
  <c r="R397" i="10"/>
  <c r="R265" i="10"/>
  <c r="R430" i="10"/>
  <c r="R785" i="10"/>
  <c r="R479" i="10"/>
  <c r="R650" i="10"/>
  <c r="R808" i="10"/>
  <c r="R108" i="10"/>
  <c r="R724" i="10"/>
  <c r="R995" i="10"/>
  <c r="R192" i="10"/>
  <c r="R811" i="10"/>
  <c r="R1013" i="10"/>
  <c r="R511" i="10"/>
  <c r="R293" i="10"/>
  <c r="R545" i="10"/>
  <c r="R79" i="10"/>
  <c r="R385" i="10"/>
  <c r="R1043" i="10"/>
  <c r="R504" i="10"/>
  <c r="R891" i="10"/>
  <c r="R637" i="10"/>
  <c r="R670" i="10"/>
  <c r="R36" i="10"/>
  <c r="R357" i="10"/>
  <c r="R1027" i="10"/>
  <c r="R525" i="10"/>
  <c r="R58" i="10"/>
  <c r="R740" i="10"/>
  <c r="R1100" i="10"/>
  <c r="R956" i="10"/>
  <c r="R1148" i="10"/>
  <c r="R115" i="10"/>
  <c r="R81" i="10"/>
  <c r="R432" i="10"/>
  <c r="R118" i="10"/>
  <c r="R977" i="10"/>
  <c r="R418" i="10"/>
  <c r="R199" i="10"/>
  <c r="R879" i="10"/>
  <c r="R850" i="10"/>
  <c r="R893" i="10"/>
  <c r="R185" i="10"/>
  <c r="R421" i="10"/>
  <c r="R767" i="10"/>
  <c r="R446" i="10"/>
  <c r="R1127" i="10"/>
  <c r="R377" i="10"/>
  <c r="R304" i="10"/>
  <c r="R613" i="10"/>
  <c r="R222" i="10"/>
  <c r="R448" i="10"/>
  <c r="R68" i="10"/>
  <c r="R228" i="10"/>
  <c r="R1077" i="10"/>
  <c r="R619" i="10"/>
  <c r="R828" i="10"/>
  <c r="R747" i="10"/>
  <c r="R652" i="10"/>
  <c r="R456" i="10"/>
  <c r="R200" i="10"/>
  <c r="R989" i="10"/>
  <c r="R30" i="10"/>
  <c r="R532" i="10"/>
  <c r="R1012" i="10"/>
  <c r="R920" i="10"/>
  <c r="R49" i="10"/>
  <c r="R405" i="10"/>
  <c r="R165" i="10"/>
  <c r="R187" i="10"/>
  <c r="R1037" i="10"/>
  <c r="R110" i="10"/>
  <c r="R368" i="10"/>
  <c r="R967" i="10"/>
  <c r="R52" i="10"/>
  <c r="R100" i="10"/>
  <c r="R863" i="10"/>
  <c r="R468" i="10"/>
  <c r="R290" i="10"/>
  <c r="R502" i="10"/>
  <c r="R513" i="10"/>
  <c r="R334" i="10"/>
  <c r="R837" i="10"/>
  <c r="R42" i="10"/>
  <c r="R493" i="10"/>
  <c r="R424" i="10"/>
  <c r="R308" i="10"/>
  <c r="R1074" i="10"/>
  <c r="R915" i="10"/>
  <c r="R508" i="10"/>
  <c r="R28" i="10"/>
  <c r="R1011" i="10"/>
  <c r="R247" i="10"/>
  <c r="R313" i="10"/>
  <c r="R232" i="10"/>
  <c r="R1072" i="10"/>
  <c r="R822" i="10"/>
  <c r="R669" i="10"/>
  <c r="R535" i="10"/>
  <c r="R120" i="10"/>
  <c r="R802" i="10"/>
  <c r="R588" i="10"/>
  <c r="R113" i="10"/>
  <c r="R728" i="10"/>
  <c r="R868" i="10"/>
  <c r="R1186" i="10"/>
  <c r="R35" i="10"/>
  <c r="R1065" i="10"/>
  <c r="R530" i="10"/>
  <c r="R300" i="10"/>
  <c r="R781" i="10"/>
  <c r="R78" i="10"/>
  <c r="R1179" i="10"/>
  <c r="R575" i="10"/>
  <c r="R810" i="10"/>
  <c r="R760" i="10"/>
  <c r="R38" i="10"/>
  <c r="R749" i="10"/>
  <c r="R1006" i="10"/>
  <c r="R1021" i="10"/>
  <c r="R181" i="10"/>
  <c r="R800" i="10"/>
  <c r="R1101" i="10"/>
  <c r="R1115" i="10"/>
  <c r="R327" i="10"/>
  <c r="R981" i="10"/>
  <c r="R980" i="10"/>
  <c r="R330" i="10"/>
  <c r="R475" i="10"/>
  <c r="R552" i="10"/>
  <c r="R608" i="10"/>
  <c r="R888" i="10"/>
  <c r="R799" i="10"/>
  <c r="R254" i="10"/>
  <c r="R629" i="10"/>
  <c r="R943" i="10"/>
  <c r="R371" i="10"/>
  <c r="R433" i="10"/>
  <c r="R1153" i="10"/>
  <c r="R1079" i="10"/>
  <c r="R962" i="10"/>
  <c r="R824" i="10"/>
  <c r="R517" i="10"/>
  <c r="R401" i="10"/>
  <c r="R827" i="10"/>
  <c r="R982" i="10"/>
  <c r="R408" i="10"/>
  <c r="R829" i="10"/>
  <c r="R838" i="10"/>
  <c r="R693" i="10"/>
  <c r="R631" i="10"/>
  <c r="R455" i="10"/>
  <c r="R274" i="10"/>
  <c r="R457" i="10"/>
  <c r="R1099" i="10"/>
  <c r="R135" i="10"/>
  <c r="R909" i="10"/>
  <c r="R1109" i="10"/>
  <c r="R585" i="10"/>
  <c r="R188" i="10"/>
  <c r="R40" i="10"/>
  <c r="R259" i="10"/>
  <c r="R288" i="10"/>
  <c r="R1020" i="10"/>
  <c r="R349" i="10"/>
  <c r="R236" i="10"/>
  <c r="R1104" i="10"/>
  <c r="R1131" i="10"/>
  <c r="R1168" i="10"/>
  <c r="R700" i="10"/>
  <c r="R853" i="10"/>
  <c r="R343" i="10"/>
  <c r="R723" i="10"/>
  <c r="R654" i="10"/>
  <c r="R869" i="10"/>
  <c r="R576" i="10"/>
  <c r="R490" i="10"/>
  <c r="R871" i="10"/>
  <c r="R75" i="10"/>
  <c r="R604" i="10"/>
  <c r="R39" i="10"/>
  <c r="R1053" i="10"/>
  <c r="R404" i="10"/>
  <c r="R870" i="10"/>
  <c r="R211" i="10"/>
  <c r="R788" i="10"/>
  <c r="R812" i="10"/>
  <c r="R529" i="10"/>
  <c r="R1106" i="10"/>
  <c r="R790" i="10"/>
  <c r="R158" i="10"/>
  <c r="R581" i="10"/>
  <c r="R41" i="10"/>
  <c r="R732" i="10"/>
  <c r="R436" i="10"/>
  <c r="R122" i="10"/>
  <c r="R706" i="10"/>
  <c r="R769" i="10"/>
  <c r="R1188" i="10"/>
  <c r="R395" i="10"/>
  <c r="R387" i="10"/>
  <c r="R350" i="10"/>
  <c r="R806" i="10"/>
  <c r="R470" i="10"/>
  <c r="R207" i="10"/>
  <c r="R831" i="10"/>
  <c r="R119" i="10"/>
  <c r="R438" i="10"/>
  <c r="R245" i="10"/>
  <c r="R988" i="10"/>
  <c r="R547" i="10"/>
  <c r="R1064" i="10"/>
  <c r="R794" i="10"/>
  <c r="R212" i="10"/>
  <c r="R12" i="10"/>
  <c r="R993" i="10"/>
  <c r="R730" i="10"/>
  <c r="R973" i="10"/>
  <c r="R496" i="10"/>
  <c r="R1056" i="10"/>
  <c r="R626" i="10"/>
  <c r="R1143" i="10"/>
  <c r="R1060" i="10"/>
  <c r="R979" i="10"/>
  <c r="R645" i="10"/>
  <c r="R695" i="10"/>
  <c r="R43" i="10"/>
  <c r="R720" i="10"/>
  <c r="R1000" i="10"/>
  <c r="R684" i="10"/>
  <c r="R1163" i="10"/>
  <c r="R998" i="10"/>
  <c r="R1083" i="10"/>
  <c r="R190" i="10"/>
  <c r="R620" i="10"/>
  <c r="R892" i="10"/>
  <c r="R834" i="10"/>
  <c r="R1078" i="10"/>
  <c r="R745" i="10"/>
  <c r="R284" i="10"/>
  <c r="R104" i="10"/>
  <c r="R618" i="10"/>
  <c r="R783" i="10"/>
  <c r="R542" i="10"/>
  <c r="R154" i="10"/>
  <c r="R1155" i="10"/>
  <c r="R867" i="10"/>
  <c r="R656" i="10"/>
  <c r="R1167" i="10"/>
  <c r="R770" i="10"/>
  <c r="R1162" i="10"/>
  <c r="R231" i="10"/>
  <c r="R303" i="10"/>
  <c r="R972" i="10"/>
  <c r="R627" i="10"/>
  <c r="R204" i="10"/>
  <c r="R311" i="10"/>
  <c r="R1075" i="10"/>
  <c r="R132" i="10"/>
  <c r="R270" i="10"/>
  <c r="R267" i="10"/>
  <c r="R589" i="10"/>
  <c r="R777" i="10"/>
  <c r="R364" i="10"/>
  <c r="R976" i="10"/>
  <c r="R360" i="10"/>
  <c r="R875" i="10"/>
  <c r="R1052" i="10"/>
  <c r="R279" i="10"/>
  <c r="R675" i="10"/>
  <c r="R955" i="10"/>
  <c r="R399" i="10"/>
  <c r="R289" i="10"/>
  <c r="R13" i="10"/>
  <c r="R1137" i="10"/>
  <c r="R1002" i="10"/>
  <c r="R109" i="10"/>
  <c r="R426" i="10"/>
  <c r="R561" i="10"/>
  <c r="R901" i="10"/>
  <c r="R336" i="10"/>
  <c r="R50" i="10"/>
  <c r="R296" i="10"/>
  <c r="R773" i="10"/>
  <c r="R881" i="10"/>
  <c r="R1130" i="10"/>
  <c r="R196" i="10"/>
  <c r="R1089" i="10"/>
  <c r="R242" i="10"/>
  <c r="R346" i="10"/>
  <c r="R69" i="10"/>
  <c r="R477" i="10"/>
  <c r="R796" i="10"/>
  <c r="R606" i="10"/>
  <c r="R419" i="10"/>
  <c r="R666" i="10"/>
  <c r="R1111" i="10"/>
  <c r="R632" i="10"/>
  <c r="R570" i="10"/>
  <c r="R938" i="10"/>
  <c r="R1050" i="10"/>
  <c r="R1091" i="10"/>
  <c r="R786" i="10"/>
  <c r="R277" i="10"/>
  <c r="R23" i="10"/>
  <c r="R565" i="10"/>
  <c r="R966" i="10"/>
  <c r="R179" i="10"/>
  <c r="R927" i="10"/>
  <c r="R830" i="10"/>
  <c r="R1028" i="10"/>
  <c r="C1039" i="12"/>
  <c r="Y1039" i="10"/>
  <c r="Z1039" i="10" s="1"/>
  <c r="R297" i="10"/>
  <c r="R253" i="10"/>
  <c r="R550" i="10"/>
  <c r="R558" i="10"/>
  <c r="R273" i="10"/>
  <c r="R731" i="10"/>
  <c r="R658" i="10"/>
  <c r="R685" i="10"/>
  <c r="R946" i="10"/>
  <c r="R133" i="10"/>
  <c r="R953" i="10"/>
  <c r="R1157" i="10"/>
  <c r="R743" i="10"/>
  <c r="R1095" i="10"/>
  <c r="R958" i="10"/>
  <c r="R704" i="10"/>
  <c r="R374" i="10"/>
  <c r="R836" i="10"/>
  <c r="R965" i="10"/>
  <c r="R29" i="10"/>
  <c r="R1047" i="10"/>
  <c r="R722" i="10"/>
  <c r="R1041" i="10"/>
  <c r="R599" i="10"/>
  <c r="R741" i="10"/>
  <c r="R818" i="10"/>
  <c r="R864" i="10"/>
  <c r="R795" i="10"/>
  <c r="R727" i="10"/>
  <c r="R258" i="10"/>
  <c r="R779" i="10"/>
  <c r="R92" i="10"/>
  <c r="R425" i="10"/>
  <c r="R607" i="10"/>
  <c r="R683" i="10"/>
  <c r="R269" i="10"/>
  <c r="R549" i="10"/>
  <c r="R249" i="10"/>
  <c r="R370" i="10"/>
  <c r="R668" i="10"/>
  <c r="R1019" i="10"/>
  <c r="R716" i="10"/>
  <c r="R1081" i="10"/>
  <c r="R816" i="10"/>
  <c r="R264" i="10"/>
  <c r="R653" i="10"/>
  <c r="R916" i="10"/>
  <c r="R1033" i="10"/>
  <c r="R929" i="10"/>
  <c r="R400" i="10"/>
  <c r="R1063" i="10"/>
  <c r="R873" i="10"/>
  <c r="R384" i="10"/>
  <c r="R522" i="10"/>
  <c r="R480" i="10"/>
  <c r="R1049" i="10"/>
  <c r="R681" i="10"/>
  <c r="R66" i="10"/>
  <c r="R543" i="10"/>
  <c r="R991" i="10"/>
  <c r="R282" i="10"/>
  <c r="R102" i="10"/>
  <c r="R210" i="10"/>
  <c r="R712" i="10"/>
  <c r="R582" i="10"/>
  <c r="R292" i="10"/>
  <c r="R11" i="10"/>
  <c r="R519" i="10"/>
  <c r="R930" i="10"/>
  <c r="R1132" i="10"/>
  <c r="R106" i="10"/>
  <c r="R1025" i="10"/>
  <c r="R1146" i="10"/>
  <c r="R90" i="10"/>
  <c r="R917" i="10"/>
  <c r="R1096" i="10"/>
  <c r="R1141" i="10"/>
  <c r="R557" i="10"/>
  <c r="R1174" i="10"/>
  <c r="R1181" i="10"/>
  <c r="R218" i="10"/>
  <c r="R1068" i="10"/>
  <c r="R48" i="10"/>
  <c r="R124" i="10"/>
  <c r="R672" i="10"/>
  <c r="R725" i="10"/>
  <c r="R149" i="10"/>
  <c r="R386" i="10"/>
  <c r="R908" i="10"/>
  <c r="R205" i="10"/>
  <c r="R941" i="10"/>
  <c r="R1004" i="10"/>
  <c r="R544" i="10"/>
  <c r="R807" i="10"/>
  <c r="R855" i="10"/>
  <c r="R1177" i="10"/>
  <c r="R554" i="10"/>
  <c r="R257" i="10"/>
  <c r="R442" i="10"/>
  <c r="R736" i="10"/>
  <c r="R268" i="10"/>
  <c r="R459" i="10"/>
  <c r="R383" i="10"/>
  <c r="R445" i="10"/>
  <c r="R679" i="10"/>
  <c r="R843" i="10"/>
  <c r="R990" i="10"/>
  <c r="R495" i="10"/>
  <c r="R596" i="10"/>
  <c r="R896" i="10"/>
  <c r="R250" i="10"/>
  <c r="R466" i="10"/>
  <c r="R577" i="10"/>
  <c r="R833" i="10"/>
  <c r="R317" i="10"/>
  <c r="R648" i="10"/>
  <c r="R32" i="10"/>
  <c r="R202" i="10"/>
  <c r="R591" i="10"/>
  <c r="R866" i="10"/>
  <c r="R862" i="10"/>
  <c r="R945" i="10"/>
  <c r="R919" i="10"/>
  <c r="R56" i="10"/>
  <c r="R294" i="10"/>
  <c r="R411" i="10"/>
  <c r="R667" i="10"/>
  <c r="R733" i="10"/>
  <c r="R987" i="10"/>
  <c r="R698" i="10"/>
  <c r="R874" i="10"/>
  <c r="R1005" i="10"/>
  <c r="R83" i="10"/>
  <c r="R887" i="10"/>
  <c r="R71" i="10"/>
  <c r="R186" i="10"/>
  <c r="R390" i="10"/>
  <c r="R515" i="10"/>
  <c r="R1128" i="10"/>
  <c r="R183" i="10"/>
  <c r="R47" i="10"/>
  <c r="R367" i="10"/>
  <c r="R603" i="10"/>
  <c r="R602" i="10"/>
  <c r="R563" i="10"/>
  <c r="R805" i="10"/>
  <c r="R1160" i="10"/>
  <c r="R18" i="10"/>
  <c r="R394" i="10"/>
  <c r="R997" i="10"/>
  <c r="R1125" i="10"/>
  <c r="R197" i="10"/>
  <c r="R61" i="10"/>
  <c r="R756" i="10"/>
  <c r="R939" i="10"/>
  <c r="R568" i="10"/>
  <c r="R825" i="10"/>
  <c r="R239" i="10"/>
  <c r="R578" i="10"/>
  <c r="R721" i="10"/>
  <c r="R1054" i="10"/>
  <c r="R714" i="10"/>
  <c r="R449" i="10"/>
  <c r="R31" i="10"/>
  <c r="R155" i="10"/>
  <c r="R537" i="10"/>
  <c r="R640" i="10"/>
  <c r="R305" i="10"/>
  <c r="R1191" i="10"/>
  <c r="R173" i="10"/>
  <c r="R1150" i="10"/>
  <c r="R771" i="10"/>
  <c r="R348" i="10"/>
  <c r="R1156" i="10"/>
  <c r="R237" i="10"/>
  <c r="R27" i="10"/>
  <c r="R702" i="10"/>
  <c r="R758" i="10"/>
  <c r="R912" i="10"/>
  <c r="R1151" i="10"/>
  <c r="R763" i="10"/>
  <c r="R593" i="10"/>
  <c r="R944" i="10"/>
  <c r="R659" i="10"/>
  <c r="R160" i="10"/>
  <c r="R1135" i="10"/>
  <c r="R876" i="10"/>
  <c r="R1139" i="10"/>
  <c r="R809" i="10"/>
  <c r="R571" i="10"/>
  <c r="R931" i="10"/>
  <c r="R918" i="10"/>
  <c r="R86" i="10"/>
  <c r="R497" i="10"/>
  <c r="R57" i="10"/>
  <c r="R895" i="10"/>
  <c r="R1057" i="10"/>
  <c r="R598" i="10"/>
  <c r="R163" i="10"/>
  <c r="R776" i="10"/>
  <c r="R715" i="10"/>
  <c r="R318" i="10"/>
  <c r="R719" i="10"/>
  <c r="R329" i="10"/>
  <c r="R70" i="10"/>
  <c r="R765" i="10"/>
  <c r="R952" i="10"/>
  <c r="R1024" i="10"/>
  <c r="R65" i="10"/>
  <c r="Y128" i="10"/>
  <c r="Z128" i="10" s="1"/>
  <c r="R281" i="10"/>
  <c r="R521" i="10"/>
  <c r="R275" i="10"/>
  <c r="R473" i="10"/>
  <c r="R103" i="10"/>
  <c r="R379" i="10"/>
  <c r="R261" i="10"/>
  <c r="R687" i="10"/>
  <c r="R437" i="10"/>
  <c r="R707" i="10"/>
  <c r="R933" i="10"/>
  <c r="R1129" i="10"/>
  <c r="R662" i="10"/>
  <c r="R605" i="10"/>
  <c r="R1062" i="10"/>
  <c r="R33" i="10"/>
  <c r="R1018" i="10"/>
  <c r="R697" i="10"/>
  <c r="R1087" i="10"/>
  <c r="R152" i="10"/>
  <c r="R1112" i="10"/>
  <c r="R1136" i="10"/>
  <c r="R337" i="10"/>
  <c r="R141" i="10"/>
  <c r="R983" i="10"/>
  <c r="R481" i="10"/>
  <c r="R564" i="10"/>
  <c r="R764" i="10"/>
  <c r="R766" i="10"/>
  <c r="R1061" i="10"/>
  <c r="R1170" i="10"/>
  <c r="R172" i="10"/>
  <c r="R121" i="10"/>
  <c r="R750" i="10"/>
  <c r="R676" i="10"/>
  <c r="R968" i="10"/>
  <c r="R494" i="10"/>
  <c r="R961" i="10"/>
  <c r="R451" i="10"/>
  <c r="R125" i="10"/>
  <c r="R551" i="10"/>
  <c r="R74" i="10"/>
  <c r="R372" i="10"/>
  <c r="R643" i="10"/>
  <c r="R528" i="10"/>
  <c r="R778" i="10"/>
  <c r="R999" i="10"/>
  <c r="R1189" i="10"/>
  <c r="R339" i="10"/>
  <c r="R625" i="10"/>
  <c r="R1007" i="10"/>
  <c r="R1038" i="10"/>
  <c r="R174" i="10"/>
  <c r="R718" i="10"/>
  <c r="R861" i="10"/>
  <c r="R180" i="10"/>
  <c r="R1036" i="10"/>
  <c r="R299" i="10"/>
  <c r="R1142" i="10"/>
  <c r="R1066" i="10"/>
  <c r="R782" i="10"/>
  <c r="R860" i="10"/>
  <c r="R101" i="10"/>
  <c r="R452" i="10"/>
  <c r="R755" i="10"/>
  <c r="R974" i="10"/>
  <c r="R19" i="10"/>
  <c r="R20" i="10"/>
  <c r="R820" i="10"/>
  <c r="R791" i="10"/>
  <c r="R1175" i="10"/>
  <c r="R206" i="10"/>
  <c r="R286" i="10"/>
  <c r="R804" i="10"/>
  <c r="R951" i="10"/>
  <c r="R314" i="10"/>
  <c r="R661" i="10"/>
  <c r="R131" i="10"/>
  <c r="R156" i="10"/>
  <c r="R924" i="10"/>
  <c r="R99" i="10"/>
  <c r="R82" i="10"/>
  <c r="R171" i="10"/>
  <c r="R505" i="10"/>
  <c r="R975" i="10"/>
  <c r="R1194" i="10"/>
  <c r="R1008" i="10"/>
  <c r="R1126" i="10"/>
  <c r="R960" i="10"/>
  <c r="R797" i="10"/>
  <c r="R842" i="10"/>
  <c r="R114" i="10"/>
  <c r="R434" i="10"/>
  <c r="R692" i="10"/>
  <c r="R696" i="10"/>
  <c r="R1171" i="10"/>
  <c r="R586" i="10"/>
  <c r="R878" i="10"/>
  <c r="R1122" i="10"/>
  <c r="R15" i="10"/>
  <c r="R665" i="10"/>
  <c r="R635" i="10"/>
  <c r="R241" i="10"/>
  <c r="R762" i="10"/>
  <c r="R355" i="10"/>
  <c r="R263" i="10"/>
  <c r="R663" i="10"/>
  <c r="R845" i="10"/>
  <c r="R937" i="10"/>
  <c r="R1093" i="10"/>
  <c r="R1113" i="10"/>
  <c r="R814" i="10"/>
  <c r="R540" i="10"/>
  <c r="R501" i="10"/>
  <c r="R1105" i="10"/>
  <c r="R882" i="10"/>
  <c r="R646" i="10"/>
  <c r="R1010" i="10"/>
  <c r="R126" i="10"/>
  <c r="R691" i="10"/>
  <c r="R655" i="10"/>
  <c r="R1082" i="10"/>
  <c r="R644" i="10"/>
  <c r="R223" i="10"/>
  <c r="R701" i="10"/>
  <c r="R175" i="10"/>
  <c r="R592" i="10"/>
  <c r="R742" i="10"/>
  <c r="R729" i="10"/>
  <c r="R964" i="10"/>
  <c r="R735" i="10"/>
  <c r="R1069" i="10"/>
  <c r="R1182" i="10"/>
  <c r="R1121" i="10"/>
  <c r="R246" i="10"/>
  <c r="R406" i="10"/>
  <c r="R651" i="10"/>
  <c r="R757" i="10"/>
  <c r="R55" i="10"/>
  <c r="R512" i="10"/>
  <c r="R1169" i="10"/>
  <c r="R1073" i="10"/>
  <c r="R298" i="10"/>
  <c r="R392" i="10"/>
  <c r="R1045" i="10"/>
  <c r="R614" i="10"/>
  <c r="R325" i="10"/>
  <c r="R322" i="10"/>
  <c r="R737" i="10"/>
  <c r="R992" i="10"/>
  <c r="R516" i="10"/>
  <c r="R556" i="10"/>
  <c r="R903" i="10"/>
  <c r="R526" i="10"/>
  <c r="R748" i="10"/>
  <c r="R883" i="10"/>
  <c r="R801" i="10"/>
  <c r="R957" i="10"/>
  <c r="R1184" i="10"/>
  <c r="R353" i="10"/>
  <c r="R584" i="10"/>
  <c r="R885" i="10"/>
  <c r="R673" i="10"/>
  <c r="R839" i="10"/>
  <c r="R514" i="10"/>
  <c r="R1161" i="10"/>
  <c r="R111" i="10"/>
  <c r="R362" i="10"/>
  <c r="R686" i="10"/>
  <c r="R884" i="10"/>
  <c r="R216" i="10"/>
  <c r="R533" i="10"/>
  <c r="R907" i="10"/>
  <c r="R926" i="10"/>
  <c r="R91" i="10"/>
  <c r="R911" i="10"/>
  <c r="R64" i="10"/>
  <c r="R134" i="10"/>
  <c r="R365" i="10"/>
  <c r="R536" i="10"/>
  <c r="R738" i="10"/>
  <c r="R789" i="10"/>
  <c r="R416" i="10"/>
  <c r="R611" i="10"/>
  <c r="R444" i="10"/>
  <c r="R639" i="10"/>
  <c r="R51" i="10"/>
  <c r="R224" i="10"/>
  <c r="R415" i="10"/>
  <c r="R487" i="10"/>
  <c r="R1118" i="10"/>
  <c r="R189" i="10"/>
  <c r="R923" i="10"/>
  <c r="R37" i="10"/>
  <c r="R44" i="10"/>
  <c r="R690" i="10"/>
  <c r="R1120" i="10"/>
  <c r="R208" i="10"/>
  <c r="AS238" i="10" l="1"/>
  <c r="U1138" i="10"/>
  <c r="U587" i="10"/>
  <c r="U726" i="10"/>
  <c r="C726" i="12" s="1"/>
  <c r="U555" i="10"/>
  <c r="C555" i="12" s="1"/>
  <c r="AT139" i="10"/>
  <c r="U87" i="10"/>
  <c r="U890" i="10"/>
  <c r="C1029" i="12"/>
  <c r="Y1029" i="10"/>
  <c r="Z1029" i="10" s="1"/>
  <c r="Y555" i="10"/>
  <c r="Z555" i="10" s="1"/>
  <c r="U26" i="10"/>
  <c r="Y26" i="10" s="1"/>
  <c r="Z26" i="10" s="1"/>
  <c r="Y235" i="10"/>
  <c r="Z235" i="10" s="1"/>
  <c r="C235" i="12"/>
  <c r="Y1159" i="10"/>
  <c r="Z1159" i="10" s="1"/>
  <c r="U889" i="10"/>
  <c r="C889" i="12" s="1"/>
  <c r="U897" i="10"/>
  <c r="Y897" i="10" s="1"/>
  <c r="Z897" i="10" s="1"/>
  <c r="AS235" i="10"/>
  <c r="AT235" i="10" s="1"/>
  <c r="U410" i="10"/>
  <c r="U227" i="10"/>
  <c r="U680" i="10"/>
  <c r="U256" i="10"/>
  <c r="Y256" i="10" s="1"/>
  <c r="Z256" i="10" s="1"/>
  <c r="U950" i="10"/>
  <c r="C950" i="12" s="1"/>
  <c r="U214" i="10"/>
  <c r="Y214" i="10" s="1"/>
  <c r="Z214" i="10" s="1"/>
  <c r="U356" i="10"/>
  <c r="Y356" i="10" s="1"/>
  <c r="Z356" i="10" s="1"/>
  <c r="U623" i="10"/>
  <c r="C623" i="12" s="1"/>
  <c r="U1001" i="10"/>
  <c r="C1001" i="12" s="1"/>
  <c r="U302" i="10"/>
  <c r="C302" i="12" s="1"/>
  <c r="AT623" i="10"/>
  <c r="Y507" i="10"/>
  <c r="Z507" i="10" s="1"/>
  <c r="C507" i="12"/>
  <c r="AS104" i="10"/>
  <c r="AS507" i="10"/>
  <c r="AU507" i="10" s="1"/>
  <c r="C1067" i="12"/>
  <c r="Y1067" i="10"/>
  <c r="Z1067" i="10" s="1"/>
  <c r="U798" i="10"/>
  <c r="Y798" i="10" s="1"/>
  <c r="Z798" i="10" s="1"/>
  <c r="AS1067" i="10"/>
  <c r="AT1067" i="10" s="1"/>
  <c r="AO101" i="10"/>
  <c r="AT950" i="10"/>
  <c r="AT484" i="10"/>
  <c r="AS416" i="10"/>
  <c r="AS612" i="10"/>
  <c r="U443" i="10"/>
  <c r="C443" i="12" s="1"/>
  <c r="AU302" i="10"/>
  <c r="AO1161" i="10"/>
  <c r="Y323" i="10"/>
  <c r="Z323" i="10" s="1"/>
  <c r="U226" i="10"/>
  <c r="C226" i="12" s="1"/>
  <c r="AT984" i="10"/>
  <c r="AU787" i="10"/>
  <c r="Y531" i="10"/>
  <c r="Z531" i="10" s="1"/>
  <c r="Y177" i="10"/>
  <c r="Z177" i="10" s="1"/>
  <c r="C177" i="12"/>
  <c r="Y1044" i="10"/>
  <c r="Z1044" i="10" s="1"/>
  <c r="C1044" i="12"/>
  <c r="AO746" i="10"/>
  <c r="AS177" i="10"/>
  <c r="AU177" i="10" s="1"/>
  <c r="AS635" i="10"/>
  <c r="AU139" i="10"/>
  <c r="AS940" i="10"/>
  <c r="AT940" i="10" s="1"/>
  <c r="AS688" i="10"/>
  <c r="AT897" i="10"/>
  <c r="AS1044" i="10"/>
  <c r="AT1044" i="10" s="1"/>
  <c r="AT347" i="10"/>
  <c r="U139" i="10"/>
  <c r="Y139" i="10" s="1"/>
  <c r="Z139" i="10" s="1"/>
  <c r="AS941" i="10"/>
  <c r="Y238" i="10"/>
  <c r="Z238" i="10" s="1"/>
  <c r="C347" i="12"/>
  <c r="C1154" i="12"/>
  <c r="AS760" i="10"/>
  <c r="AT759" i="10"/>
  <c r="AO416" i="10"/>
  <c r="C161" i="12"/>
  <c r="Y161" i="10"/>
  <c r="Z161" i="10" s="1"/>
  <c r="AU897" i="10"/>
  <c r="AR750" i="10"/>
  <c r="AQ750" i="10"/>
  <c r="AP750" i="10"/>
  <c r="AR269" i="10"/>
  <c r="AQ269" i="10"/>
  <c r="AP269" i="10"/>
  <c r="AT302" i="10"/>
  <c r="AU1154" i="10"/>
  <c r="AU347" i="10"/>
  <c r="AO175" i="10"/>
  <c r="AO612" i="10"/>
  <c r="AR62" i="10"/>
  <c r="AQ62" i="10"/>
  <c r="AP62" i="10"/>
  <c r="AS273" i="10"/>
  <c r="AQ104" i="10"/>
  <c r="AR104" i="10"/>
  <c r="AP104" i="10"/>
  <c r="U417" i="10"/>
  <c r="AO1082" i="10"/>
  <c r="AS666" i="10"/>
  <c r="AR635" i="10"/>
  <c r="AQ635" i="10"/>
  <c r="AP635" i="10"/>
  <c r="AR688" i="10"/>
  <c r="AQ688" i="10"/>
  <c r="AP688" i="10"/>
  <c r="AS1161" i="10"/>
  <c r="AU87" i="10"/>
  <c r="AU157" i="10"/>
  <c r="AO941" i="10"/>
  <c r="AO231" i="10"/>
  <c r="AO635" i="10"/>
  <c r="AS775" i="10"/>
  <c r="AO621" i="10"/>
  <c r="AO104" i="10"/>
  <c r="AR799" i="10"/>
  <c r="AQ799" i="10"/>
  <c r="AP799" i="10"/>
  <c r="U153" i="10"/>
  <c r="Y153" i="10" s="1"/>
  <c r="Z153" i="10" s="1"/>
  <c r="AQ215" i="10"/>
  <c r="AP215" i="10"/>
  <c r="AO62" i="10"/>
  <c r="AO600" i="10"/>
  <c r="AO775" i="10"/>
  <c r="AT1114" i="10"/>
  <c r="AS62" i="10"/>
  <c r="AO799" i="10"/>
  <c r="AO269" i="10"/>
  <c r="AS231" i="10"/>
  <c r="AR77" i="10"/>
  <c r="AQ77" i="10"/>
  <c r="AP77" i="10"/>
  <c r="AO464" i="10"/>
  <c r="AO961" i="10"/>
  <c r="AO666" i="10"/>
  <c r="AO596" i="10"/>
  <c r="AR760" i="10"/>
  <c r="AQ760" i="10"/>
  <c r="AP760" i="10"/>
  <c r="AT184" i="10"/>
  <c r="AS161" i="10"/>
  <c r="AT161" i="10" s="1"/>
  <c r="AO215" i="10"/>
  <c r="AO760" i="10"/>
  <c r="AQ670" i="10"/>
  <c r="AR670" i="10"/>
  <c r="AP670" i="10"/>
  <c r="AR273" i="10"/>
  <c r="AQ273" i="10"/>
  <c r="AP273" i="10"/>
  <c r="AS799" i="10"/>
  <c r="AO670" i="10"/>
  <c r="AO593" i="10"/>
  <c r="AS215" i="10"/>
  <c r="AR593" i="10"/>
  <c r="AQ593" i="10"/>
  <c r="AR621" i="10"/>
  <c r="AQ621" i="10"/>
  <c r="AR666" i="10"/>
  <c r="AQ666" i="10"/>
  <c r="AQ775" i="10"/>
  <c r="AR775" i="10"/>
  <c r="AR600" i="10"/>
  <c r="AQ600" i="10"/>
  <c r="U215" i="10"/>
  <c r="C215" i="12" s="1"/>
  <c r="AR215" i="10"/>
  <c r="AQ746" i="10"/>
  <c r="AR746" i="10"/>
  <c r="AR231" i="10"/>
  <c r="AQ231" i="10"/>
  <c r="AQ596" i="10"/>
  <c r="AR596" i="10"/>
  <c r="AR612" i="10"/>
  <c r="AQ612" i="10"/>
  <c r="AR1161" i="10"/>
  <c r="AQ1161" i="10"/>
  <c r="AQ175" i="10"/>
  <c r="AR175" i="10"/>
  <c r="AR464" i="10"/>
  <c r="AQ464" i="10"/>
  <c r="AR416" i="10"/>
  <c r="AQ416" i="10"/>
  <c r="AQ101" i="10"/>
  <c r="AR101" i="10"/>
  <c r="AR961" i="10"/>
  <c r="AQ961" i="10"/>
  <c r="AR1082" i="10"/>
  <c r="AQ1082" i="10"/>
  <c r="AR941" i="10"/>
  <c r="AQ941" i="10"/>
  <c r="C256" i="12"/>
  <c r="C527" i="12"/>
  <c r="U316" i="10"/>
  <c r="Y316" i="10" s="1"/>
  <c r="Z316" i="10" s="1"/>
  <c r="U184" i="10"/>
  <c r="C184" i="12" s="1"/>
  <c r="Y940" i="10"/>
  <c r="Z940" i="10" s="1"/>
  <c r="U1110" i="10"/>
  <c r="Y1110" i="10" s="1"/>
  <c r="Z1110" i="10" s="1"/>
  <c r="U230" i="10"/>
  <c r="C25" i="12"/>
  <c r="Y25" i="10"/>
  <c r="Z25" i="10" s="1"/>
  <c r="U489" i="10"/>
  <c r="C489" i="12" s="1"/>
  <c r="U717" i="10"/>
  <c r="C717" i="12" s="1"/>
  <c r="U148" i="10"/>
  <c r="C148" i="12" s="1"/>
  <c r="U97" i="10"/>
  <c r="C97" i="12" s="1"/>
  <c r="U847" i="10"/>
  <c r="AS25" i="10"/>
  <c r="AU25" i="10" s="1"/>
  <c r="U431" i="10"/>
  <c r="Y431" i="10" s="1"/>
  <c r="Z431" i="10" s="1"/>
  <c r="U151" i="10"/>
  <c r="C151" i="12" s="1"/>
  <c r="Y835" i="10"/>
  <c r="Z835" i="10" s="1"/>
  <c r="U403" i="10"/>
  <c r="C403" i="12" s="1"/>
  <c r="U1102" i="10"/>
  <c r="C1102" i="12" s="1"/>
  <c r="U157" i="10"/>
  <c r="U380" i="10"/>
  <c r="C380" i="12" s="1"/>
  <c r="U46" i="10"/>
  <c r="C46" i="12" s="1"/>
  <c r="U1166" i="10"/>
  <c r="C1166" i="12" s="1"/>
  <c r="U345" i="10"/>
  <c r="C345" i="12" s="1"/>
  <c r="U484" i="10"/>
  <c r="C484" i="12" s="1"/>
  <c r="U162" i="10"/>
  <c r="Y162" i="10" s="1"/>
  <c r="Z162" i="10" s="1"/>
  <c r="AS147" i="10"/>
  <c r="AT147" i="10" s="1"/>
  <c r="U819" i="10"/>
  <c r="C819" i="12" s="1"/>
  <c r="Y447" i="10"/>
  <c r="Z447" i="10" s="1"/>
  <c r="U856" i="10"/>
  <c r="Y856" i="10" s="1"/>
  <c r="Z856" i="10" s="1"/>
  <c r="U784" i="10"/>
  <c r="U24" i="10"/>
  <c r="Y24" i="10" s="1"/>
  <c r="Z24" i="10" s="1"/>
  <c r="C147" i="12"/>
  <c r="Y147" i="10"/>
  <c r="Z147" i="10" s="1"/>
  <c r="Y1085" i="10"/>
  <c r="Z1085" i="10" s="1"/>
  <c r="U854" i="10"/>
  <c r="C854" i="12" s="1"/>
  <c r="U260" i="10"/>
  <c r="C260" i="12" s="1"/>
  <c r="AU623" i="10"/>
  <c r="U150" i="10"/>
  <c r="C150" i="12" s="1"/>
  <c r="U1086" i="10"/>
  <c r="Y1086" i="10" s="1"/>
  <c r="Z1086" i="10" s="1"/>
  <c r="U422" i="10"/>
  <c r="AT447" i="10"/>
  <c r="U1178" i="10"/>
  <c r="C1178" i="12" s="1"/>
  <c r="AT87" i="10"/>
  <c r="U759" i="10"/>
  <c r="Y759" i="10" s="1"/>
  <c r="Z759" i="10" s="1"/>
  <c r="U1145" i="10"/>
  <c r="U1164" i="10"/>
  <c r="Y1164" i="10" s="1"/>
  <c r="Z1164" i="10" s="1"/>
  <c r="AU184" i="10"/>
  <c r="U713" i="10"/>
  <c r="Y713" i="10" s="1"/>
  <c r="Z713" i="10" s="1"/>
  <c r="U62" i="10"/>
  <c r="C62" i="12" s="1"/>
  <c r="AT1154" i="10"/>
  <c r="U99" i="10"/>
  <c r="C99" i="12" s="1"/>
  <c r="AS99" i="10"/>
  <c r="AT99" i="10" s="1"/>
  <c r="U206" i="10"/>
  <c r="AS206" i="10"/>
  <c r="AU206" i="10" s="1"/>
  <c r="U860" i="10"/>
  <c r="Y860" i="10" s="1"/>
  <c r="Z860" i="10" s="1"/>
  <c r="AS860" i="10"/>
  <c r="AU860" i="10" s="1"/>
  <c r="U528" i="10"/>
  <c r="C528" i="12" s="1"/>
  <c r="AS528" i="10"/>
  <c r="AU528" i="10" s="1"/>
  <c r="U473" i="10"/>
  <c r="C473" i="12" s="1"/>
  <c r="AS473" i="10"/>
  <c r="AT473" i="10" s="1"/>
  <c r="U86" i="10"/>
  <c r="C86" i="12" s="1"/>
  <c r="AS86" i="10"/>
  <c r="AT86" i="10" s="1"/>
  <c r="U160" i="10"/>
  <c r="C160" i="12" s="1"/>
  <c r="AS160" i="10"/>
  <c r="AT160" i="10" s="1"/>
  <c r="U640" i="10"/>
  <c r="C640" i="12" s="1"/>
  <c r="AS640" i="10"/>
  <c r="AU640" i="10" s="1"/>
  <c r="U18" i="10"/>
  <c r="AS18" i="10"/>
  <c r="AT18" i="10" s="1"/>
  <c r="U698" i="10"/>
  <c r="C698" i="12" s="1"/>
  <c r="AS698" i="10"/>
  <c r="AU698" i="10" s="1"/>
  <c r="U648" i="10"/>
  <c r="C648" i="12" s="1"/>
  <c r="AS648" i="10"/>
  <c r="AU648" i="10" s="1"/>
  <c r="U445" i="10"/>
  <c r="Y445" i="10" s="1"/>
  <c r="Z445" i="10" s="1"/>
  <c r="AS445" i="10"/>
  <c r="AU445" i="10" s="1"/>
  <c r="U736" i="10"/>
  <c r="Y736" i="10" s="1"/>
  <c r="Z736" i="10" s="1"/>
  <c r="AS736" i="10"/>
  <c r="AU736" i="10" s="1"/>
  <c r="U725" i="10"/>
  <c r="Y725" i="10" s="1"/>
  <c r="Z725" i="10" s="1"/>
  <c r="AS725" i="10"/>
  <c r="AT725" i="10" s="1"/>
  <c r="U1096" i="10"/>
  <c r="AS1096" i="10"/>
  <c r="AU1096" i="10" s="1"/>
  <c r="U384" i="10"/>
  <c r="AS384" i="10"/>
  <c r="AT384" i="10" s="1"/>
  <c r="U269" i="10"/>
  <c r="Y269" i="10" s="1"/>
  <c r="Z269" i="10" s="1"/>
  <c r="AS269" i="10"/>
  <c r="U1041" i="10"/>
  <c r="Y1041" i="10" s="1"/>
  <c r="Z1041" i="10" s="1"/>
  <c r="AS1041" i="10"/>
  <c r="AU1041" i="10" s="1"/>
  <c r="U743" i="10"/>
  <c r="C743" i="12" s="1"/>
  <c r="AS743" i="10"/>
  <c r="AU743" i="10" s="1"/>
  <c r="U946" i="10"/>
  <c r="C946" i="12" s="1"/>
  <c r="AS946" i="10"/>
  <c r="AT946" i="10" s="1"/>
  <c r="U23" i="10"/>
  <c r="C23" i="12" s="1"/>
  <c r="AS23" i="10"/>
  <c r="AT23" i="10" s="1"/>
  <c r="U69" i="10"/>
  <c r="C69" i="12" s="1"/>
  <c r="AS69" i="10"/>
  <c r="AT69" i="10" s="1"/>
  <c r="U109" i="10"/>
  <c r="C109" i="12" s="1"/>
  <c r="AS109" i="10"/>
  <c r="AT109" i="10" s="1"/>
  <c r="U777" i="10"/>
  <c r="C777" i="12" s="1"/>
  <c r="AS777" i="10"/>
  <c r="AT777" i="10" s="1"/>
  <c r="U1167" i="10"/>
  <c r="Y1167" i="10" s="1"/>
  <c r="Z1167" i="10" s="1"/>
  <c r="AS1167" i="10"/>
  <c r="AU1167" i="10" s="1"/>
  <c r="U620" i="10"/>
  <c r="Y620" i="10" s="1"/>
  <c r="Z620" i="10" s="1"/>
  <c r="AS620" i="10"/>
  <c r="AT620" i="10" s="1"/>
  <c r="U626" i="10"/>
  <c r="Y626" i="10" s="1"/>
  <c r="Z626" i="10" s="1"/>
  <c r="AS626" i="10"/>
  <c r="AT626" i="10" s="1"/>
  <c r="U119" i="10"/>
  <c r="C119" i="12" s="1"/>
  <c r="AS119" i="10"/>
  <c r="AT119" i="10" s="1"/>
  <c r="U41" i="10"/>
  <c r="Y41" i="10" s="1"/>
  <c r="Z41" i="10" s="1"/>
  <c r="AS41" i="10"/>
  <c r="AT41" i="10" s="1"/>
  <c r="U75" i="10"/>
  <c r="C75" i="12" s="1"/>
  <c r="AS75" i="10"/>
  <c r="AU75" i="10" s="1"/>
  <c r="U349" i="10"/>
  <c r="C349" i="12" s="1"/>
  <c r="AS349" i="10"/>
  <c r="AT349" i="10" s="1"/>
  <c r="U631" i="10"/>
  <c r="Y631" i="10" s="1"/>
  <c r="Z631" i="10" s="1"/>
  <c r="AS631" i="10"/>
  <c r="AT631" i="10" s="1"/>
  <c r="U371" i="10"/>
  <c r="Y371" i="10" s="1"/>
  <c r="Z371" i="10" s="1"/>
  <c r="AS371" i="10"/>
  <c r="AT371" i="10" s="1"/>
  <c r="U1101" i="10"/>
  <c r="C1101" i="12" s="1"/>
  <c r="AS1101" i="10"/>
  <c r="AU1101" i="10" s="1"/>
  <c r="U530" i="10"/>
  <c r="Y530" i="10" s="1"/>
  <c r="Z530" i="10" s="1"/>
  <c r="AS530" i="10"/>
  <c r="AT530" i="10" s="1"/>
  <c r="U232" i="10"/>
  <c r="Y232" i="10" s="1"/>
  <c r="Z232" i="10" s="1"/>
  <c r="AS232" i="10"/>
  <c r="AT232" i="10" s="1"/>
  <c r="U513" i="10"/>
  <c r="Y513" i="10" s="1"/>
  <c r="Z513" i="10" s="1"/>
  <c r="AS513" i="10"/>
  <c r="AT513" i="10" s="1"/>
  <c r="U49" i="10"/>
  <c r="Y49" i="10" s="1"/>
  <c r="Z49" i="10" s="1"/>
  <c r="AS49" i="10"/>
  <c r="AU49" i="10" s="1"/>
  <c r="U68" i="10"/>
  <c r="Y68" i="10" s="1"/>
  <c r="Z68" i="10" s="1"/>
  <c r="AS68" i="10"/>
  <c r="AU68" i="10" s="1"/>
  <c r="U199" i="10"/>
  <c r="Y199" i="10" s="1"/>
  <c r="Z199" i="10" s="1"/>
  <c r="AS199" i="10"/>
  <c r="AU199" i="10" s="1"/>
  <c r="U357" i="10"/>
  <c r="Y357" i="10" s="1"/>
  <c r="Z357" i="10" s="1"/>
  <c r="AS357" i="10"/>
  <c r="AT357" i="10" s="1"/>
  <c r="U192" i="10"/>
  <c r="Y192" i="10" s="1"/>
  <c r="Z192" i="10" s="1"/>
  <c r="AS192" i="10"/>
  <c r="AT192" i="10" s="1"/>
  <c r="U195" i="10"/>
  <c r="C195" i="12" s="1"/>
  <c r="AS195" i="10"/>
  <c r="U191" i="10"/>
  <c r="Y191" i="10" s="1"/>
  <c r="Z191" i="10" s="1"/>
  <c r="AS191" i="10"/>
  <c r="AT191" i="10" s="1"/>
  <c r="U954" i="10"/>
  <c r="C954" i="12" s="1"/>
  <c r="AS954" i="10"/>
  <c r="AT954" i="10" s="1"/>
  <c r="U1149" i="10"/>
  <c r="Y1149" i="10" s="1"/>
  <c r="Z1149" i="10" s="1"/>
  <c r="AS1149" i="10"/>
  <c r="AT1149" i="10" s="1"/>
  <c r="U1035" i="10"/>
  <c r="Y1035" i="10" s="1"/>
  <c r="Z1035" i="10" s="1"/>
  <c r="AS1035" i="10"/>
  <c r="AU1035" i="10" s="1"/>
  <c r="U913" i="10"/>
  <c r="Y913" i="10" s="1"/>
  <c r="Z913" i="10" s="1"/>
  <c r="AS913" i="10"/>
  <c r="AU913" i="10" s="1"/>
  <c r="U463" i="10"/>
  <c r="Y463" i="10" s="1"/>
  <c r="Z463" i="10" s="1"/>
  <c r="AS463" i="10"/>
  <c r="AU463" i="10" s="1"/>
  <c r="U520" i="10"/>
  <c r="Y520" i="10" s="1"/>
  <c r="Z520" i="10" s="1"/>
  <c r="AS520" i="10"/>
  <c r="AT520" i="10" s="1"/>
  <c r="U1084" i="10"/>
  <c r="Y1084" i="10" s="1"/>
  <c r="Z1084" i="10" s="1"/>
  <c r="AS1084" i="10"/>
  <c r="AT1084" i="10" s="1"/>
  <c r="U146" i="10"/>
  <c r="Y146" i="10" s="1"/>
  <c r="Z146" i="10" s="1"/>
  <c r="AS146" i="10"/>
  <c r="AT146" i="10" s="1"/>
  <c r="U287" i="10"/>
  <c r="Y287" i="10" s="1"/>
  <c r="Z287" i="10" s="1"/>
  <c r="AS287" i="10"/>
  <c r="AU287" i="10" s="1"/>
  <c r="U711" i="10"/>
  <c r="Y711" i="10" s="1"/>
  <c r="Z711" i="10" s="1"/>
  <c r="AS711" i="10"/>
  <c r="AT711" i="10" s="1"/>
  <c r="U54" i="10"/>
  <c r="Y54" i="10" s="1"/>
  <c r="Z54" i="10" s="1"/>
  <c r="AS54" i="10"/>
  <c r="AU54" i="10" s="1"/>
  <c r="U420" i="10"/>
  <c r="Y420" i="10" s="1"/>
  <c r="Z420" i="10" s="1"/>
  <c r="AS420" i="10"/>
  <c r="AU420" i="10" s="1"/>
  <c r="U922" i="10"/>
  <c r="Y922" i="10" s="1"/>
  <c r="Z922" i="10" s="1"/>
  <c r="AS922" i="10"/>
  <c r="AT922" i="10" s="1"/>
  <c r="C1144" i="12"/>
  <c r="C483" i="12"/>
  <c r="U649" i="10"/>
  <c r="AS649" i="10"/>
  <c r="AT649" i="10" s="1"/>
  <c r="U1176" i="10"/>
  <c r="Y1176" i="10" s="1"/>
  <c r="Z1176" i="10" s="1"/>
  <c r="AS1176" i="10"/>
  <c r="AT1176" i="10" s="1"/>
  <c r="U1048" i="10"/>
  <c r="AS1048" i="10"/>
  <c r="AT1048" i="10" s="1"/>
  <c r="U1103" i="10"/>
  <c r="AS1103" i="10"/>
  <c r="AU1103" i="10" s="1"/>
  <c r="U1040" i="10"/>
  <c r="C1040" i="12" s="1"/>
  <c r="AS1040" i="10"/>
  <c r="AU1040" i="10" s="1"/>
  <c r="U1042" i="10"/>
  <c r="AS1042" i="10"/>
  <c r="AT1042" i="10" s="1"/>
  <c r="U375" i="10"/>
  <c r="AS375" i="10"/>
  <c r="AT375" i="10" s="1"/>
  <c r="U610" i="10"/>
  <c r="Y610" i="10" s="1"/>
  <c r="Z610" i="10" s="1"/>
  <c r="AS610" i="10"/>
  <c r="AT610" i="10" s="1"/>
  <c r="U471" i="10"/>
  <c r="Y471" i="10" s="1"/>
  <c r="Z471" i="10" s="1"/>
  <c r="AS471" i="10"/>
  <c r="AU471" i="10" s="1"/>
  <c r="U904" i="10"/>
  <c r="AS904" i="10"/>
  <c r="AT904" i="10" s="1"/>
  <c r="U140" i="10"/>
  <c r="Y140" i="10" s="1"/>
  <c r="Z140" i="10" s="1"/>
  <c r="AS140" i="10"/>
  <c r="AU140" i="10" s="1"/>
  <c r="U1124" i="10"/>
  <c r="AS1124" i="10"/>
  <c r="AT1124" i="10" s="1"/>
  <c r="AU447" i="10"/>
  <c r="AT227" i="10"/>
  <c r="AU227" i="10"/>
  <c r="AU1046" i="10"/>
  <c r="AT1046" i="10"/>
  <c r="U257" i="10"/>
  <c r="Y257" i="10" s="1"/>
  <c r="Z257" i="10" s="1"/>
  <c r="AS257" i="10"/>
  <c r="AT257" i="10" s="1"/>
  <c r="U124" i="10"/>
  <c r="Y124" i="10" s="1"/>
  <c r="Z124" i="10" s="1"/>
  <c r="AS124" i="10"/>
  <c r="AU124" i="10" s="1"/>
  <c r="U90" i="10"/>
  <c r="C90" i="12" s="1"/>
  <c r="AS90" i="10"/>
  <c r="AU90" i="10" s="1"/>
  <c r="U210" i="10"/>
  <c r="C210" i="12" s="1"/>
  <c r="AS210" i="10"/>
  <c r="U1063" i="10"/>
  <c r="C1063" i="12" s="1"/>
  <c r="AS1063" i="10"/>
  <c r="AT1063" i="10" s="1"/>
  <c r="U1081" i="10"/>
  <c r="C1081" i="12" s="1"/>
  <c r="AS1081" i="10"/>
  <c r="AU1081" i="10" s="1"/>
  <c r="U607" i="10"/>
  <c r="Y607" i="10" s="1"/>
  <c r="Z607" i="10" s="1"/>
  <c r="AS607" i="10"/>
  <c r="AT607" i="10" s="1"/>
  <c r="U1047" i="10"/>
  <c r="AS1047" i="10"/>
  <c r="AU1047" i="10" s="1"/>
  <c r="U658" i="10"/>
  <c r="Y658" i="10" s="1"/>
  <c r="Z658" i="10" s="1"/>
  <c r="AS658" i="10"/>
  <c r="AU658" i="10" s="1"/>
  <c r="U786" i="10"/>
  <c r="Y786" i="10" s="1"/>
  <c r="Z786" i="10" s="1"/>
  <c r="AS786" i="10"/>
  <c r="AT786" i="10" s="1"/>
  <c r="U242" i="10"/>
  <c r="Y242" i="10" s="1"/>
  <c r="Z242" i="10" s="1"/>
  <c r="AS242" i="10"/>
  <c r="U1137" i="10"/>
  <c r="Y1137" i="10" s="1"/>
  <c r="Z1137" i="10" s="1"/>
  <c r="AS1137" i="10"/>
  <c r="AT1137" i="10" s="1"/>
  <c r="U267" i="10"/>
  <c r="Y267" i="10" s="1"/>
  <c r="Z267" i="10" s="1"/>
  <c r="AS267" i="10"/>
  <c r="AT267" i="10" s="1"/>
  <c r="U867" i="10"/>
  <c r="C867" i="12" s="1"/>
  <c r="AS867" i="10"/>
  <c r="AT867" i="10" s="1"/>
  <c r="U1083" i="10"/>
  <c r="AS1083" i="10"/>
  <c r="AU1083" i="10" s="1"/>
  <c r="U496" i="10"/>
  <c r="Y496" i="10" s="1"/>
  <c r="Z496" i="10" s="1"/>
  <c r="AS496" i="10"/>
  <c r="AT496" i="10" s="1"/>
  <c r="U207" i="10"/>
  <c r="Y207" i="10" s="1"/>
  <c r="Z207" i="10" s="1"/>
  <c r="AS207" i="10"/>
  <c r="AU207" i="10" s="1"/>
  <c r="U158" i="10"/>
  <c r="C158" i="12" s="1"/>
  <c r="AS158" i="10"/>
  <c r="U490" i="10"/>
  <c r="Y490" i="10" s="1"/>
  <c r="Z490" i="10" s="1"/>
  <c r="AS490" i="10"/>
  <c r="AT490" i="10" s="1"/>
  <c r="U288" i="10"/>
  <c r="Y288" i="10" s="1"/>
  <c r="Z288" i="10" s="1"/>
  <c r="AS288" i="10"/>
  <c r="AU288" i="10" s="1"/>
  <c r="U838" i="10"/>
  <c r="Y838" i="10" s="1"/>
  <c r="Z838" i="10" s="1"/>
  <c r="AS838" i="10"/>
  <c r="AT838" i="10" s="1"/>
  <c r="U629" i="10"/>
  <c r="Y629" i="10" s="1"/>
  <c r="Z629" i="10" s="1"/>
  <c r="AS629" i="10"/>
  <c r="AT629" i="10" s="1"/>
  <c r="U181" i="10"/>
  <c r="AS181" i="10"/>
  <c r="AU181" i="10" s="1"/>
  <c r="U35" i="10"/>
  <c r="Y35" i="10" s="1"/>
  <c r="Z35" i="10" s="1"/>
  <c r="AS35" i="10"/>
  <c r="AT35" i="10" s="1"/>
  <c r="U247" i="10"/>
  <c r="C247" i="12" s="1"/>
  <c r="AS247" i="10"/>
  <c r="AU247" i="10" s="1"/>
  <c r="U290" i="10"/>
  <c r="C290" i="12" s="1"/>
  <c r="AS290" i="10"/>
  <c r="AT290" i="10" s="1"/>
  <c r="U1012" i="10"/>
  <c r="Y1012" i="10" s="1"/>
  <c r="Z1012" i="10" s="1"/>
  <c r="AS1012" i="10"/>
  <c r="AU1012" i="10" s="1"/>
  <c r="U222" i="10"/>
  <c r="Y222" i="10" s="1"/>
  <c r="Z222" i="10" s="1"/>
  <c r="AS222" i="10"/>
  <c r="AT222" i="10" s="1"/>
  <c r="U977" i="10"/>
  <c r="Y977" i="10" s="1"/>
  <c r="Z977" i="10" s="1"/>
  <c r="AS977" i="10"/>
  <c r="AT977" i="10" s="1"/>
  <c r="U670" i="10"/>
  <c r="Y670" i="10" s="1"/>
  <c r="Z670" i="10" s="1"/>
  <c r="AS670" i="10"/>
  <c r="U724" i="10"/>
  <c r="Y724" i="10" s="1"/>
  <c r="Z724" i="10" s="1"/>
  <c r="AS724" i="10"/>
  <c r="AT724" i="10" s="1"/>
  <c r="U678" i="10"/>
  <c r="Y678" i="10" s="1"/>
  <c r="Z678" i="10" s="1"/>
  <c r="AS678" i="10"/>
  <c r="U1116" i="10"/>
  <c r="Y1116" i="10" s="1"/>
  <c r="Z1116" i="10" s="1"/>
  <c r="AS1116" i="10"/>
  <c r="AT1116" i="10" s="1"/>
  <c r="U1080" i="10"/>
  <c r="Y1080" i="10" s="1"/>
  <c r="Z1080" i="10" s="1"/>
  <c r="AS1080" i="10"/>
  <c r="AU1080" i="10" s="1"/>
  <c r="U580" i="10"/>
  <c r="Y580" i="10" s="1"/>
  <c r="Z580" i="10" s="1"/>
  <c r="AS580" i="10"/>
  <c r="AT580" i="10" s="1"/>
  <c r="U340" i="10"/>
  <c r="AS340" i="10"/>
  <c r="AT340" i="10" s="1"/>
  <c r="U7" i="10"/>
  <c r="Y7" i="10" s="1"/>
  <c r="Z7" i="10" s="1"/>
  <c r="AS7" i="10"/>
  <c r="AU7" i="10" s="1"/>
  <c r="U17" i="10"/>
  <c r="C17" i="12" s="1"/>
  <c r="AS17" i="10"/>
  <c r="AU17" i="10" s="1"/>
  <c r="U1097" i="10"/>
  <c r="Y1097" i="10" s="1"/>
  <c r="Z1097" i="10" s="1"/>
  <c r="AS1097" i="10"/>
  <c r="U6" i="10"/>
  <c r="Y6" i="10" s="1"/>
  <c r="Z6" i="10" s="1"/>
  <c r="AS6" i="10"/>
  <c r="AT6" i="10" s="1"/>
  <c r="U499" i="10"/>
  <c r="Y499" i="10" s="1"/>
  <c r="Z499" i="10" s="1"/>
  <c r="AS499" i="10"/>
  <c r="AT499" i="10" s="1"/>
  <c r="U1108" i="10"/>
  <c r="AS1108" i="10"/>
  <c r="AT1108" i="10" s="1"/>
  <c r="U553" i="10"/>
  <c r="AS553" i="10"/>
  <c r="AU553" i="10" s="1"/>
  <c r="U1058" i="10"/>
  <c r="AS1058" i="10"/>
  <c r="AU1058" i="10" s="1"/>
  <c r="U53" i="10"/>
  <c r="Y53" i="10" s="1"/>
  <c r="Z53" i="10" s="1"/>
  <c r="AS53" i="10"/>
  <c r="AU53" i="10" s="1"/>
  <c r="U633" i="10"/>
  <c r="AS633" i="10"/>
  <c r="AT633" i="10" s="1"/>
  <c r="U963" i="10"/>
  <c r="AS963" i="10"/>
  <c r="AT963" i="10" s="1"/>
  <c r="U500" i="10"/>
  <c r="AS500" i="10"/>
  <c r="AT500" i="10" s="1"/>
  <c r="U492" i="10"/>
  <c r="AS492" i="10"/>
  <c r="AU492" i="10" s="1"/>
  <c r="U971" i="10"/>
  <c r="AS971" i="10"/>
  <c r="AU971" i="10" s="1"/>
  <c r="U488" i="10"/>
  <c r="AS488" i="10"/>
  <c r="U751" i="10"/>
  <c r="AS751" i="10"/>
  <c r="AT751" i="10" s="1"/>
  <c r="U72" i="10"/>
  <c r="AS72" i="10"/>
  <c r="AU72" i="10" s="1"/>
  <c r="U1022" i="10"/>
  <c r="AS1022" i="10"/>
  <c r="AU1022" i="10" s="1"/>
  <c r="AS622" i="10"/>
  <c r="U622" i="10"/>
  <c r="Y622" i="10" s="1"/>
  <c r="Z622" i="10" s="1"/>
  <c r="AT151" i="10"/>
  <c r="AU151" i="10"/>
  <c r="AU744" i="10"/>
  <c r="AT744" i="10"/>
  <c r="U277" i="10"/>
  <c r="Y277" i="10" s="1"/>
  <c r="Z277" i="10" s="1"/>
  <c r="AS277" i="10"/>
  <c r="AT277" i="10" s="1"/>
  <c r="U1002" i="10"/>
  <c r="C1002" i="12" s="1"/>
  <c r="AS1002" i="10"/>
  <c r="AU1002" i="10" s="1"/>
  <c r="U589" i="10"/>
  <c r="C589" i="12" s="1"/>
  <c r="AS589" i="10"/>
  <c r="AT589" i="10" s="1"/>
  <c r="U656" i="10"/>
  <c r="C656" i="12" s="1"/>
  <c r="AS656" i="10"/>
  <c r="AT656" i="10" s="1"/>
  <c r="U190" i="10"/>
  <c r="Y190" i="10" s="1"/>
  <c r="Z190" i="10" s="1"/>
  <c r="AS190" i="10"/>
  <c r="AU190" i="10" s="1"/>
  <c r="U1056" i="10"/>
  <c r="C1056" i="12" s="1"/>
  <c r="AS1056" i="10"/>
  <c r="U831" i="10"/>
  <c r="Y831" i="10" s="1"/>
  <c r="Z831" i="10" s="1"/>
  <c r="AS831" i="10"/>
  <c r="AT831" i="10" s="1"/>
  <c r="U581" i="10"/>
  <c r="C581" i="12" s="1"/>
  <c r="AS581" i="10"/>
  <c r="AT581" i="10" s="1"/>
  <c r="U871" i="10"/>
  <c r="C871" i="12" s="1"/>
  <c r="AS871" i="10"/>
  <c r="AU871" i="10" s="1"/>
  <c r="U1020" i="10"/>
  <c r="Y1020" i="10" s="1"/>
  <c r="Z1020" i="10" s="1"/>
  <c r="AS1020" i="10"/>
  <c r="AT1020" i="10" s="1"/>
  <c r="U693" i="10"/>
  <c r="Y693" i="10" s="1"/>
  <c r="Z693" i="10" s="1"/>
  <c r="AS693" i="10"/>
  <c r="AU693" i="10" s="1"/>
  <c r="U943" i="10"/>
  <c r="C943" i="12" s="1"/>
  <c r="AS943" i="10"/>
  <c r="AT943" i="10" s="1"/>
  <c r="U800" i="10"/>
  <c r="Y800" i="10" s="1"/>
  <c r="Z800" i="10" s="1"/>
  <c r="AS800" i="10"/>
  <c r="U1065" i="10"/>
  <c r="C1065" i="12" s="1"/>
  <c r="AS1065" i="10"/>
  <c r="AU1065" i="10" s="1"/>
  <c r="U313" i="10"/>
  <c r="Y313" i="10" s="1"/>
  <c r="Z313" i="10" s="1"/>
  <c r="AS313" i="10"/>
  <c r="AU313" i="10" s="1"/>
  <c r="U502" i="10"/>
  <c r="Y502" i="10" s="1"/>
  <c r="Z502" i="10" s="1"/>
  <c r="AS502" i="10"/>
  <c r="AT502" i="10" s="1"/>
  <c r="U920" i="10"/>
  <c r="C920" i="12" s="1"/>
  <c r="AS920" i="10"/>
  <c r="AT920" i="10" s="1"/>
  <c r="U448" i="10"/>
  <c r="Y448" i="10" s="1"/>
  <c r="Z448" i="10" s="1"/>
  <c r="AS448" i="10"/>
  <c r="AU448" i="10" s="1"/>
  <c r="U418" i="10"/>
  <c r="C418" i="12" s="1"/>
  <c r="AS418" i="10"/>
  <c r="AU418" i="10" s="1"/>
  <c r="U36" i="10"/>
  <c r="Y36" i="10" s="1"/>
  <c r="Z36" i="10" s="1"/>
  <c r="AS36" i="10"/>
  <c r="AT36" i="10" s="1"/>
  <c r="U341" i="10"/>
  <c r="Y341" i="10" s="1"/>
  <c r="Z341" i="10" s="1"/>
  <c r="AS341" i="10"/>
  <c r="AT341" i="10" s="1"/>
  <c r="U326" i="10"/>
  <c r="C326" i="12" s="1"/>
  <c r="AS326" i="10"/>
  <c r="AU326" i="10" s="1"/>
  <c r="U252" i="10"/>
  <c r="Y252" i="10" s="1"/>
  <c r="Z252" i="10" s="1"/>
  <c r="AS252" i="10"/>
  <c r="AT252" i="10" s="1"/>
  <c r="U898" i="10"/>
  <c r="Y898" i="10" s="1"/>
  <c r="Z898" i="10" s="1"/>
  <c r="AS898" i="10"/>
  <c r="AT898" i="10" s="1"/>
  <c r="U600" i="10"/>
  <c r="C600" i="12" s="1"/>
  <c r="AS600" i="10"/>
  <c r="U8" i="10"/>
  <c r="Y8" i="10" s="1"/>
  <c r="Z8" i="10" s="1"/>
  <c r="AS8" i="10"/>
  <c r="AT8" i="10" s="1"/>
  <c r="U840" i="10"/>
  <c r="C840" i="12" s="1"/>
  <c r="AS840" i="10"/>
  <c r="AT840" i="10" s="1"/>
  <c r="U464" i="10"/>
  <c r="C464" i="12" s="1"/>
  <c r="AS464" i="10"/>
  <c r="U708" i="10"/>
  <c r="Y708" i="10" s="1"/>
  <c r="Z708" i="10" s="1"/>
  <c r="AS708" i="10"/>
  <c r="AU708" i="10" s="1"/>
  <c r="U774" i="10"/>
  <c r="C774" i="12" s="1"/>
  <c r="AS774" i="10"/>
  <c r="AT774" i="10" s="1"/>
  <c r="U34" i="10"/>
  <c r="AS34" i="10"/>
  <c r="AT34" i="10" s="1"/>
  <c r="U546" i="10"/>
  <c r="Y546" i="10" s="1"/>
  <c r="Z546" i="10" s="1"/>
  <c r="AS546" i="10"/>
  <c r="AT546" i="10" s="1"/>
  <c r="U621" i="10"/>
  <c r="C621" i="12" s="1"/>
  <c r="AS621" i="10"/>
  <c r="U852" i="10"/>
  <c r="Y852" i="10" s="1"/>
  <c r="Z852" i="10" s="1"/>
  <c r="AS852" i="10"/>
  <c r="AT852" i="10" s="1"/>
  <c r="U510" i="10"/>
  <c r="Y510" i="10" s="1"/>
  <c r="Z510" i="10" s="1"/>
  <c r="AS510" i="10"/>
  <c r="AT510" i="10" s="1"/>
  <c r="U1059" i="10"/>
  <c r="AS1059" i="10"/>
  <c r="AU1059" i="10" s="1"/>
  <c r="U1055" i="10"/>
  <c r="AS1055" i="10"/>
  <c r="AU1055" i="10" s="1"/>
  <c r="U276" i="10"/>
  <c r="AS276" i="10"/>
  <c r="AU276" i="10" s="1"/>
  <c r="U601" i="10"/>
  <c r="AS601" i="10"/>
  <c r="AT601" i="10" s="1"/>
  <c r="U98" i="10"/>
  <c r="AS98" i="10"/>
  <c r="AU98" i="10" s="1"/>
  <c r="U381" i="10"/>
  <c r="AS381" i="10"/>
  <c r="AU381" i="10" s="1"/>
  <c r="U402" i="10"/>
  <c r="AS402" i="10"/>
  <c r="AU402" i="10" s="1"/>
  <c r="U628" i="10"/>
  <c r="AS628" i="10"/>
  <c r="AT628" i="10" s="1"/>
  <c r="U63" i="10"/>
  <c r="AS63" i="10"/>
  <c r="AT63" i="10" s="1"/>
  <c r="U739" i="10"/>
  <c r="AS739" i="10"/>
  <c r="AT739" i="10" s="1"/>
  <c r="U1190" i="10"/>
  <c r="AS1190" i="10"/>
  <c r="AT1190" i="10" s="1"/>
  <c r="U182" i="10"/>
  <c r="AS182" i="10"/>
  <c r="AU182" i="10" s="1"/>
  <c r="AT1144" i="10"/>
  <c r="AU1144" i="10"/>
  <c r="U415" i="10"/>
  <c r="C415" i="12" s="1"/>
  <c r="AS415" i="10"/>
  <c r="AT415" i="10" s="1"/>
  <c r="U91" i="10"/>
  <c r="C91" i="12" s="1"/>
  <c r="AS91" i="10"/>
  <c r="AT91" i="10" s="1"/>
  <c r="U111" i="10"/>
  <c r="C111" i="12" s="1"/>
  <c r="AS111" i="10"/>
  <c r="AU111" i="10" s="1"/>
  <c r="U614" i="10"/>
  <c r="C614" i="12" s="1"/>
  <c r="AS614" i="10"/>
  <c r="AT614" i="10" s="1"/>
  <c r="U1045" i="10"/>
  <c r="C1045" i="12" s="1"/>
  <c r="AS1045" i="10"/>
  <c r="U882" i="10"/>
  <c r="C882" i="12" s="1"/>
  <c r="AS882" i="10"/>
  <c r="AT882" i="10" s="1"/>
  <c r="U797" i="10"/>
  <c r="C797" i="12" s="1"/>
  <c r="AS797" i="10"/>
  <c r="AT797" i="10" s="1"/>
  <c r="U1126" i="10"/>
  <c r="Y1126" i="10" s="1"/>
  <c r="Z1126" i="10" s="1"/>
  <c r="AS1126" i="10"/>
  <c r="AT1126" i="10" s="1"/>
  <c r="U820" i="10"/>
  <c r="Y820" i="10" s="1"/>
  <c r="Z820" i="10" s="1"/>
  <c r="AS820" i="10"/>
  <c r="AT820" i="10" s="1"/>
  <c r="U1066" i="10"/>
  <c r="Y1066" i="10" s="1"/>
  <c r="Z1066" i="10" s="1"/>
  <c r="AS1066" i="10"/>
  <c r="AU1066" i="10" s="1"/>
  <c r="U74" i="10"/>
  <c r="Y74" i="10" s="1"/>
  <c r="Z74" i="10" s="1"/>
  <c r="AS74" i="10"/>
  <c r="AT74" i="10" s="1"/>
  <c r="U564" i="10"/>
  <c r="C564" i="12" s="1"/>
  <c r="AS564" i="10"/>
  <c r="AU564" i="10" s="1"/>
  <c r="U1087" i="10"/>
  <c r="C1087" i="12" s="1"/>
  <c r="AS1087" i="10"/>
  <c r="AU1087" i="10" s="1"/>
  <c r="U933" i="10"/>
  <c r="C933" i="12" s="1"/>
  <c r="AS933" i="10"/>
  <c r="AT933" i="10" s="1"/>
  <c r="U918" i="10"/>
  <c r="C918" i="12" s="1"/>
  <c r="AS918" i="10"/>
  <c r="AT918" i="10" s="1"/>
  <c r="U593" i="10"/>
  <c r="C593" i="12" s="1"/>
  <c r="AS593" i="10"/>
  <c r="U771" i="10"/>
  <c r="C771" i="12" s="1"/>
  <c r="AS771" i="10"/>
  <c r="AU771" i="10" s="1"/>
  <c r="U1160" i="10"/>
  <c r="Y1160" i="10" s="1"/>
  <c r="Z1160" i="10" s="1"/>
  <c r="AS1160" i="10"/>
  <c r="AT1160" i="10" s="1"/>
  <c r="U47" i="10"/>
  <c r="AS47" i="10"/>
  <c r="AU47" i="10" s="1"/>
  <c r="U667" i="10"/>
  <c r="C667" i="12" s="1"/>
  <c r="AS667" i="10"/>
  <c r="AT667" i="10" s="1"/>
  <c r="U554" i="10"/>
  <c r="AS554" i="10"/>
  <c r="AT554" i="10" s="1"/>
  <c r="U48" i="10"/>
  <c r="C48" i="12" s="1"/>
  <c r="AS48" i="10"/>
  <c r="AU48" i="10" s="1"/>
  <c r="U1146" i="10"/>
  <c r="C1146" i="12" s="1"/>
  <c r="AS1146" i="10"/>
  <c r="AU1146" i="10" s="1"/>
  <c r="U102" i="10"/>
  <c r="C102" i="12" s="1"/>
  <c r="AS102" i="10"/>
  <c r="AT102" i="10" s="1"/>
  <c r="U425" i="10"/>
  <c r="Y425" i="10" s="1"/>
  <c r="Z425" i="10" s="1"/>
  <c r="AS425" i="10"/>
  <c r="AT425" i="10" s="1"/>
  <c r="U29" i="10"/>
  <c r="Y29" i="10" s="1"/>
  <c r="Z29" i="10" s="1"/>
  <c r="AS29" i="10"/>
  <c r="U1091" i="10"/>
  <c r="Y1091" i="10" s="1"/>
  <c r="Z1091" i="10" s="1"/>
  <c r="AS1091" i="10"/>
  <c r="AT1091" i="10" s="1"/>
  <c r="U1089" i="10"/>
  <c r="Y1089" i="10" s="1"/>
  <c r="Z1089" i="10" s="1"/>
  <c r="AS1089" i="10"/>
  <c r="AT1089" i="10" s="1"/>
  <c r="U13" i="10"/>
  <c r="C13" i="12" s="1"/>
  <c r="AS13" i="10"/>
  <c r="AU13" i="10" s="1"/>
  <c r="U270" i="10"/>
  <c r="Y270" i="10" s="1"/>
  <c r="Z270" i="10" s="1"/>
  <c r="AS270" i="10"/>
  <c r="AT270" i="10" s="1"/>
  <c r="U1155" i="10"/>
  <c r="Y1155" i="10" s="1"/>
  <c r="Z1155" i="10" s="1"/>
  <c r="AS1155" i="10"/>
  <c r="AU1155" i="10" s="1"/>
  <c r="U998" i="10"/>
  <c r="Y998" i="10" s="1"/>
  <c r="Z998" i="10" s="1"/>
  <c r="AS998" i="10"/>
  <c r="U973" i="10"/>
  <c r="C973" i="12" s="1"/>
  <c r="AS973" i="10"/>
  <c r="AT973" i="10" s="1"/>
  <c r="U470" i="10"/>
  <c r="Y470" i="10" s="1"/>
  <c r="Z470" i="10" s="1"/>
  <c r="AS470" i="10"/>
  <c r="AU470" i="10" s="1"/>
  <c r="U790" i="10"/>
  <c r="Y790" i="10" s="1"/>
  <c r="Z790" i="10" s="1"/>
  <c r="AS790" i="10"/>
  <c r="AT790" i="10" s="1"/>
  <c r="U576" i="10"/>
  <c r="Y576" i="10" s="1"/>
  <c r="Z576" i="10" s="1"/>
  <c r="AS576" i="10"/>
  <c r="AT576" i="10" s="1"/>
  <c r="U259" i="10"/>
  <c r="C259" i="12" s="1"/>
  <c r="AS259" i="10"/>
  <c r="AU259" i="10" s="1"/>
  <c r="U829" i="10"/>
  <c r="AS829" i="10"/>
  <c r="AU829" i="10" s="1"/>
  <c r="U254" i="10"/>
  <c r="AS254" i="10"/>
  <c r="U1021" i="10"/>
  <c r="C1021" i="12" s="1"/>
  <c r="AS1021" i="10"/>
  <c r="AU1021" i="10" s="1"/>
  <c r="U1186" i="10"/>
  <c r="Y1186" i="10" s="1"/>
  <c r="Z1186" i="10" s="1"/>
  <c r="AS1186" i="10"/>
  <c r="AT1186" i="10" s="1"/>
  <c r="U1011" i="10"/>
  <c r="Y1011" i="10" s="1"/>
  <c r="Z1011" i="10" s="1"/>
  <c r="AS1011" i="10"/>
  <c r="AT1011" i="10" s="1"/>
  <c r="U468" i="10"/>
  <c r="Y468" i="10" s="1"/>
  <c r="Z468" i="10" s="1"/>
  <c r="AS468" i="10"/>
  <c r="AT468" i="10" s="1"/>
  <c r="U532" i="10"/>
  <c r="Y532" i="10" s="1"/>
  <c r="Z532" i="10" s="1"/>
  <c r="AS532" i="10"/>
  <c r="AT532" i="10" s="1"/>
  <c r="U613" i="10"/>
  <c r="Y613" i="10" s="1"/>
  <c r="Z613" i="10" s="1"/>
  <c r="AS613" i="10"/>
  <c r="AT613" i="10" s="1"/>
  <c r="U118" i="10"/>
  <c r="C118" i="12" s="1"/>
  <c r="AS118" i="10"/>
  <c r="U637" i="10"/>
  <c r="C637" i="12" s="1"/>
  <c r="AS637" i="10"/>
  <c r="AU637" i="10" s="1"/>
  <c r="U108" i="10"/>
  <c r="Y108" i="10" s="1"/>
  <c r="Z108" i="10" s="1"/>
  <c r="AS108" i="10"/>
  <c r="AT108" i="10" s="1"/>
  <c r="U450" i="10"/>
  <c r="Y450" i="10" s="1"/>
  <c r="Z450" i="10" s="1"/>
  <c r="AS450" i="10"/>
  <c r="U427" i="10"/>
  <c r="Y427" i="10" s="1"/>
  <c r="Z427" i="10" s="1"/>
  <c r="AS427" i="10"/>
  <c r="AU427" i="10" s="1"/>
  <c r="U73" i="10"/>
  <c r="Y73" i="10" s="1"/>
  <c r="Z73" i="10" s="1"/>
  <c r="AS73" i="10"/>
  <c r="AU73" i="10" s="1"/>
  <c r="U414" i="10"/>
  <c r="Y414" i="10" s="1"/>
  <c r="Z414" i="10" s="1"/>
  <c r="AS414" i="10"/>
  <c r="AT414" i="10" s="1"/>
  <c r="U942" i="10"/>
  <c r="AS942" i="10"/>
  <c r="U985" i="10"/>
  <c r="Y985" i="10" s="1"/>
  <c r="Z985" i="10" s="1"/>
  <c r="AS985" i="10"/>
  <c r="AU985" i="10" s="1"/>
  <c r="U352" i="10"/>
  <c r="C352" i="12" s="1"/>
  <c r="AS352" i="10"/>
  <c r="AU352" i="10" s="1"/>
  <c r="U932" i="10"/>
  <c r="AS932" i="10"/>
  <c r="AT932" i="10" s="1"/>
  <c r="U9" i="10"/>
  <c r="AS9" i="10"/>
  <c r="AT9" i="10" s="1"/>
  <c r="U910" i="10"/>
  <c r="Y910" i="10" s="1"/>
  <c r="Z910" i="10" s="1"/>
  <c r="U168" i="10"/>
  <c r="Y168" i="10" s="1"/>
  <c r="Z168" i="10" s="1"/>
  <c r="AS168" i="10"/>
  <c r="AT168" i="10" s="1"/>
  <c r="U378" i="10"/>
  <c r="Y378" i="10" s="1"/>
  <c r="Z378" i="10" s="1"/>
  <c r="AS378" i="10"/>
  <c r="U176" i="10"/>
  <c r="Y176" i="10" s="1"/>
  <c r="Z176" i="10" s="1"/>
  <c r="AS176" i="10"/>
  <c r="AU176" i="10" s="1"/>
  <c r="U482" i="10"/>
  <c r="C482" i="12" s="1"/>
  <c r="AS482" i="10"/>
  <c r="AU482" i="10" s="1"/>
  <c r="Y358" i="10"/>
  <c r="Z358" i="10" s="1"/>
  <c r="AU1086" i="10"/>
  <c r="AT1086" i="10"/>
  <c r="U659" i="10"/>
  <c r="Y659" i="10" s="1"/>
  <c r="Z659" i="10" s="1"/>
  <c r="AS659" i="10"/>
  <c r="AT659" i="10" s="1"/>
  <c r="U1156" i="10"/>
  <c r="Y1156" i="10" s="1"/>
  <c r="Z1156" i="10" s="1"/>
  <c r="AS1156" i="10"/>
  <c r="AT1156" i="10" s="1"/>
  <c r="U537" i="10"/>
  <c r="Y537" i="10" s="1"/>
  <c r="Z537" i="10" s="1"/>
  <c r="AS537" i="10"/>
  <c r="AT537" i="10" s="1"/>
  <c r="U987" i="10"/>
  <c r="C987" i="12" s="1"/>
  <c r="AS987" i="10"/>
  <c r="AT987" i="10" s="1"/>
  <c r="U317" i="10"/>
  <c r="C317" i="12" s="1"/>
  <c r="AS317" i="10"/>
  <c r="U383" i="10"/>
  <c r="Y383" i="10" s="1"/>
  <c r="Z383" i="10" s="1"/>
  <c r="AS383" i="10"/>
  <c r="AU383" i="10" s="1"/>
  <c r="U442" i="10"/>
  <c r="C442" i="12" s="1"/>
  <c r="AS442" i="10"/>
  <c r="AU442" i="10" s="1"/>
  <c r="U672" i="10"/>
  <c r="AS672" i="10"/>
  <c r="AU672" i="10" s="1"/>
  <c r="U917" i="10"/>
  <c r="C917" i="12" s="1"/>
  <c r="AS917" i="10"/>
  <c r="AT917" i="10" s="1"/>
  <c r="U712" i="10"/>
  <c r="Y712" i="10" s="1"/>
  <c r="Z712" i="10" s="1"/>
  <c r="AS712" i="10"/>
  <c r="AT712" i="10" s="1"/>
  <c r="U873" i="10"/>
  <c r="C873" i="12" s="1"/>
  <c r="AS873" i="10"/>
  <c r="U816" i="10"/>
  <c r="Y816" i="10" s="1"/>
  <c r="Z816" i="10" s="1"/>
  <c r="AS816" i="10"/>
  <c r="AT816" i="10" s="1"/>
  <c r="U683" i="10"/>
  <c r="Y683" i="10" s="1"/>
  <c r="Z683" i="10" s="1"/>
  <c r="AS683" i="10"/>
  <c r="AT683" i="10" s="1"/>
  <c r="U722" i="10"/>
  <c r="C722" i="12" s="1"/>
  <c r="AS722" i="10"/>
  <c r="AU722" i="10" s="1"/>
  <c r="U685" i="10"/>
  <c r="AS685" i="10"/>
  <c r="AT685" i="10" s="1"/>
  <c r="U156" i="10"/>
  <c r="C156" i="12" s="1"/>
  <c r="AS156" i="10"/>
  <c r="AU156" i="10" s="1"/>
  <c r="U174" i="10"/>
  <c r="AS174" i="10"/>
  <c r="AT174" i="10" s="1"/>
  <c r="U968" i="10"/>
  <c r="Y968" i="10" s="1"/>
  <c r="Z968" i="10" s="1"/>
  <c r="AS968" i="10"/>
  <c r="AU968" i="10" s="1"/>
  <c r="U481" i="10"/>
  <c r="Y481" i="10" s="1"/>
  <c r="Z481" i="10" s="1"/>
  <c r="AS481" i="10"/>
  <c r="AT481" i="10" s="1"/>
  <c r="U697" i="10"/>
  <c r="C697" i="12" s="1"/>
  <c r="AS697" i="10"/>
  <c r="AU697" i="10" s="1"/>
  <c r="U707" i="10"/>
  <c r="C707" i="12" s="1"/>
  <c r="AS707" i="10"/>
  <c r="AU707" i="10" s="1"/>
  <c r="U65" i="10"/>
  <c r="Y65" i="10" s="1"/>
  <c r="Z65" i="10" s="1"/>
  <c r="AS65" i="10"/>
  <c r="AU65" i="10" s="1"/>
  <c r="U715" i="10"/>
  <c r="C715" i="12" s="1"/>
  <c r="AS715" i="10"/>
  <c r="AU715" i="10" s="1"/>
  <c r="U931" i="10"/>
  <c r="C931" i="12" s="1"/>
  <c r="AS931" i="10"/>
  <c r="AU931" i="10" s="1"/>
  <c r="U763" i="10"/>
  <c r="C763" i="12" s="1"/>
  <c r="AS763" i="10"/>
  <c r="AU763" i="10" s="1"/>
  <c r="U1150" i="10"/>
  <c r="C1150" i="12" s="1"/>
  <c r="AS1150" i="10"/>
  <c r="AU1150" i="10" s="1"/>
  <c r="U183" i="10"/>
  <c r="C183" i="12" s="1"/>
  <c r="AS183" i="10"/>
  <c r="AU183" i="10" s="1"/>
  <c r="U411" i="10"/>
  <c r="C411" i="12" s="1"/>
  <c r="AS411" i="10"/>
  <c r="AT411" i="10" s="1"/>
  <c r="U833" i="10"/>
  <c r="C833" i="12" s="1"/>
  <c r="AS833" i="10"/>
  <c r="AT833" i="10" s="1"/>
  <c r="U1177" i="10"/>
  <c r="Y1177" i="10" s="1"/>
  <c r="Z1177" i="10" s="1"/>
  <c r="AS1177" i="10"/>
  <c r="AU1177" i="10" s="1"/>
  <c r="U1068" i="10"/>
  <c r="AS1068" i="10"/>
  <c r="AT1068" i="10" s="1"/>
  <c r="U1025" i="10"/>
  <c r="Y1025" i="10" s="1"/>
  <c r="Z1025" i="10" s="1"/>
  <c r="AS1025" i="10"/>
  <c r="AU1025" i="10" s="1"/>
  <c r="U282" i="10"/>
  <c r="Y282" i="10" s="1"/>
  <c r="Z282" i="10" s="1"/>
  <c r="AS282" i="10"/>
  <c r="AT282" i="10" s="1"/>
  <c r="U716" i="10"/>
  <c r="Y716" i="10" s="1"/>
  <c r="Z716" i="10" s="1"/>
  <c r="AS716" i="10"/>
  <c r="AT716" i="10" s="1"/>
  <c r="U92" i="10"/>
  <c r="C92" i="12" s="1"/>
  <c r="AS92" i="10"/>
  <c r="AT92" i="10" s="1"/>
  <c r="U965" i="10"/>
  <c r="C965" i="12" s="1"/>
  <c r="AS965" i="10"/>
  <c r="AT965" i="10" s="1"/>
  <c r="U731" i="10"/>
  <c r="C731" i="12" s="1"/>
  <c r="AS731" i="10"/>
  <c r="AT731" i="10" s="1"/>
  <c r="U1050" i="10"/>
  <c r="Y1050" i="10" s="1"/>
  <c r="Z1050" i="10" s="1"/>
  <c r="AS1050" i="10"/>
  <c r="AU1050" i="10" s="1"/>
  <c r="U196" i="10"/>
  <c r="Y196" i="10" s="1"/>
  <c r="Z196" i="10" s="1"/>
  <c r="AS196" i="10"/>
  <c r="AT196" i="10" s="1"/>
  <c r="U289" i="10"/>
  <c r="Y289" i="10" s="1"/>
  <c r="Z289" i="10" s="1"/>
  <c r="AS289" i="10"/>
  <c r="U132" i="10"/>
  <c r="Y132" i="10" s="1"/>
  <c r="Z132" i="10" s="1"/>
  <c r="AS132" i="10"/>
  <c r="AT132" i="10" s="1"/>
  <c r="U154" i="10"/>
  <c r="C154" i="12" s="1"/>
  <c r="AS154" i="10"/>
  <c r="AU154" i="10" s="1"/>
  <c r="U1163" i="10"/>
  <c r="Y1163" i="10" s="1"/>
  <c r="Z1163" i="10" s="1"/>
  <c r="AS1163" i="10"/>
  <c r="AU1163" i="10" s="1"/>
  <c r="U730" i="10"/>
  <c r="Y730" i="10" s="1"/>
  <c r="Z730" i="10" s="1"/>
  <c r="AS730" i="10"/>
  <c r="AT730" i="10" s="1"/>
  <c r="U806" i="10"/>
  <c r="C806" i="12" s="1"/>
  <c r="AS806" i="10"/>
  <c r="AT806" i="10" s="1"/>
  <c r="U877" i="10"/>
  <c r="U198" i="10"/>
  <c r="AS198" i="10"/>
  <c r="U1133" i="10"/>
  <c r="AS1133" i="10"/>
  <c r="AU1133" i="10" s="1"/>
  <c r="U780" i="10"/>
  <c r="AS780" i="10"/>
  <c r="AT780" i="10" s="1"/>
  <c r="U616" i="10"/>
  <c r="AS616" i="10"/>
  <c r="AU616" i="10" s="1"/>
  <c r="U996" i="10"/>
  <c r="AS996" i="10"/>
  <c r="AT996" i="10" s="1"/>
  <c r="U534" i="10"/>
  <c r="AS534" i="10"/>
  <c r="U328" i="10"/>
  <c r="Y328" i="10" s="1"/>
  <c r="Z328" i="10" s="1"/>
  <c r="AS328" i="10"/>
  <c r="AU328" i="10" s="1"/>
  <c r="AT1145" i="10"/>
  <c r="AU1145" i="10"/>
  <c r="AU46" i="10"/>
  <c r="AT46" i="10"/>
  <c r="U175" i="10"/>
  <c r="C175" i="12" s="1"/>
  <c r="AS175" i="10"/>
  <c r="U1105" i="10"/>
  <c r="C1105" i="12" s="1"/>
  <c r="AS1105" i="10"/>
  <c r="AU1105" i="10" s="1"/>
  <c r="U665" i="10"/>
  <c r="C665" i="12" s="1"/>
  <c r="AS665" i="10"/>
  <c r="AU665" i="10" s="1"/>
  <c r="U639" i="10"/>
  <c r="C639" i="12" s="1"/>
  <c r="AS639" i="10"/>
  <c r="AT639" i="10" s="1"/>
  <c r="U533" i="10"/>
  <c r="C533" i="12" s="1"/>
  <c r="AS533" i="10"/>
  <c r="AT533" i="10" s="1"/>
  <c r="U839" i="10"/>
  <c r="AS839" i="10"/>
  <c r="AT839" i="10" s="1"/>
  <c r="U883" i="10"/>
  <c r="C883" i="12" s="1"/>
  <c r="AS883" i="10"/>
  <c r="U701" i="10"/>
  <c r="Y701" i="10" s="1"/>
  <c r="Z701" i="10" s="1"/>
  <c r="AS701" i="10"/>
  <c r="AT701" i="10" s="1"/>
  <c r="U501" i="10"/>
  <c r="Y501" i="10" s="1"/>
  <c r="Z501" i="10" s="1"/>
  <c r="AS501" i="10"/>
  <c r="AT501" i="10" s="1"/>
  <c r="U15" i="10"/>
  <c r="Y15" i="10" s="1"/>
  <c r="Z15" i="10" s="1"/>
  <c r="AS15" i="10"/>
  <c r="AT15" i="10" s="1"/>
  <c r="U131" i="10"/>
  <c r="C131" i="12" s="1"/>
  <c r="AS131" i="10"/>
  <c r="AU131" i="10" s="1"/>
  <c r="U1038" i="10"/>
  <c r="C1038" i="12" s="1"/>
  <c r="AS1038" i="10"/>
  <c r="AT1038" i="10" s="1"/>
  <c r="U676" i="10"/>
  <c r="C676" i="12" s="1"/>
  <c r="AS676" i="10"/>
  <c r="AU676" i="10" s="1"/>
  <c r="U1018" i="10"/>
  <c r="C1018" i="12" s="1"/>
  <c r="AS1018" i="10"/>
  <c r="AU1018" i="10" s="1"/>
  <c r="U437" i="10"/>
  <c r="Y437" i="10" s="1"/>
  <c r="Z437" i="10" s="1"/>
  <c r="AS437" i="10"/>
  <c r="U1024" i="10"/>
  <c r="C1024" i="12" s="1"/>
  <c r="AS1024" i="10"/>
  <c r="AU1024" i="10" s="1"/>
  <c r="U571" i="10"/>
  <c r="Y571" i="10" s="1"/>
  <c r="Z571" i="10" s="1"/>
  <c r="AS571" i="10"/>
  <c r="AU571" i="10" s="1"/>
  <c r="U1151" i="10"/>
  <c r="Y1151" i="10" s="1"/>
  <c r="Z1151" i="10" s="1"/>
  <c r="AS1151" i="10"/>
  <c r="AT1151" i="10" s="1"/>
  <c r="U173" i="10"/>
  <c r="C173" i="12" s="1"/>
  <c r="AS173" i="10"/>
  <c r="AT173" i="10" s="1"/>
  <c r="U31" i="10"/>
  <c r="Y31" i="10" s="1"/>
  <c r="Z31" i="10" s="1"/>
  <c r="AS31" i="10"/>
  <c r="AU31" i="10" s="1"/>
  <c r="U568" i="10"/>
  <c r="C568" i="12" s="1"/>
  <c r="AS568" i="10"/>
  <c r="AT568" i="10" s="1"/>
  <c r="U1128" i="10"/>
  <c r="C1128" i="12" s="1"/>
  <c r="AS1128" i="10"/>
  <c r="U294" i="10"/>
  <c r="C294" i="12" s="1"/>
  <c r="AS294" i="10"/>
  <c r="AT294" i="10" s="1"/>
  <c r="U577" i="10"/>
  <c r="C577" i="12" s="1"/>
  <c r="AS577" i="10"/>
  <c r="AT577" i="10" s="1"/>
  <c r="U855" i="10"/>
  <c r="C855" i="12" s="1"/>
  <c r="AS855" i="10"/>
  <c r="AT855" i="10" s="1"/>
  <c r="U218" i="10"/>
  <c r="C218" i="12" s="1"/>
  <c r="AS218" i="10"/>
  <c r="AT218" i="10" s="1"/>
  <c r="U106" i="10"/>
  <c r="AS106" i="10"/>
  <c r="AT106" i="10" s="1"/>
  <c r="U400" i="10"/>
  <c r="Y400" i="10" s="1"/>
  <c r="Z400" i="10" s="1"/>
  <c r="AS400" i="10"/>
  <c r="AT400" i="10" s="1"/>
  <c r="U779" i="10"/>
  <c r="C779" i="12" s="1"/>
  <c r="AS779" i="10"/>
  <c r="U836" i="10"/>
  <c r="C836" i="12" s="1"/>
  <c r="AS836" i="10"/>
  <c r="AT836" i="10" s="1"/>
  <c r="U938" i="10"/>
  <c r="Y938" i="10" s="1"/>
  <c r="Z938" i="10" s="1"/>
  <c r="AS938" i="10"/>
  <c r="AU938" i="10" s="1"/>
  <c r="U1130" i="10"/>
  <c r="Y1130" i="10" s="1"/>
  <c r="Z1130" i="10" s="1"/>
  <c r="AS1130" i="10"/>
  <c r="AT1130" i="10" s="1"/>
  <c r="U399" i="10"/>
  <c r="Y399" i="10" s="1"/>
  <c r="Z399" i="10" s="1"/>
  <c r="AS399" i="10"/>
  <c r="AT399" i="10" s="1"/>
  <c r="U1075" i="10"/>
  <c r="Y1075" i="10" s="1"/>
  <c r="Z1075" i="10" s="1"/>
  <c r="AS1075" i="10"/>
  <c r="AU1075" i="10" s="1"/>
  <c r="U542" i="10"/>
  <c r="C542" i="12" s="1"/>
  <c r="AS542" i="10"/>
  <c r="AU542" i="10" s="1"/>
  <c r="U684" i="10"/>
  <c r="Y684" i="10" s="1"/>
  <c r="Z684" i="10" s="1"/>
  <c r="AS684" i="10"/>
  <c r="U993" i="10"/>
  <c r="Y993" i="10" s="1"/>
  <c r="Z993" i="10" s="1"/>
  <c r="AS993" i="10"/>
  <c r="AU993" i="10" s="1"/>
  <c r="U350" i="10"/>
  <c r="Y350" i="10" s="1"/>
  <c r="Z350" i="10" s="1"/>
  <c r="AS350" i="10"/>
  <c r="AU350" i="10" s="1"/>
  <c r="U529" i="10"/>
  <c r="Y529" i="10" s="1"/>
  <c r="Z529" i="10" s="1"/>
  <c r="AS529" i="10"/>
  <c r="AT529" i="10" s="1"/>
  <c r="U654" i="10"/>
  <c r="Y654" i="10" s="1"/>
  <c r="Z654" i="10" s="1"/>
  <c r="AS654" i="10"/>
  <c r="AU654" i="10" s="1"/>
  <c r="U188" i="10"/>
  <c r="Y188" i="10" s="1"/>
  <c r="Z188" i="10" s="1"/>
  <c r="AS188" i="10"/>
  <c r="AU188" i="10" s="1"/>
  <c r="U982" i="10"/>
  <c r="Y982" i="10" s="1"/>
  <c r="Z982" i="10" s="1"/>
  <c r="AS982" i="10"/>
  <c r="AT982" i="10" s="1"/>
  <c r="U888" i="10"/>
  <c r="Y888" i="10" s="1"/>
  <c r="Z888" i="10" s="1"/>
  <c r="AS888" i="10"/>
  <c r="AU888" i="10" s="1"/>
  <c r="U749" i="10"/>
  <c r="Y749" i="10" s="1"/>
  <c r="Z749" i="10" s="1"/>
  <c r="AS749" i="10"/>
  <c r="AU749" i="10" s="1"/>
  <c r="U728" i="10"/>
  <c r="Y728" i="10" s="1"/>
  <c r="Z728" i="10" s="1"/>
  <c r="AS728" i="10"/>
  <c r="AT728" i="10" s="1"/>
  <c r="U508" i="10"/>
  <c r="Y508" i="10" s="1"/>
  <c r="Z508" i="10" s="1"/>
  <c r="AS508" i="10"/>
  <c r="AU508" i="10" s="1"/>
  <c r="U100" i="10"/>
  <c r="Y100" i="10" s="1"/>
  <c r="Z100" i="10" s="1"/>
  <c r="AS100" i="10"/>
  <c r="AT100" i="10" s="1"/>
  <c r="U989" i="10"/>
  <c r="C989" i="12" s="1"/>
  <c r="AS989" i="10"/>
  <c r="AU989" i="10" s="1"/>
  <c r="U377" i="10"/>
  <c r="Y377" i="10" s="1"/>
  <c r="Z377" i="10" s="1"/>
  <c r="AS377" i="10"/>
  <c r="AU377" i="10" s="1"/>
  <c r="U81" i="10"/>
  <c r="Y81" i="10" s="1"/>
  <c r="Z81" i="10" s="1"/>
  <c r="AS81" i="10"/>
  <c r="AT81" i="10" s="1"/>
  <c r="U504" i="10"/>
  <c r="Y504" i="10" s="1"/>
  <c r="Z504" i="10" s="1"/>
  <c r="AS504" i="10"/>
  <c r="AT504" i="10" s="1"/>
  <c r="U650" i="10"/>
  <c r="Y650" i="10" s="1"/>
  <c r="Z650" i="10" s="1"/>
  <c r="AS650" i="10"/>
  <c r="AT650" i="10" s="1"/>
  <c r="U832" i="10"/>
  <c r="C832" i="12" s="1"/>
  <c r="AS832" i="10"/>
  <c r="AT832" i="10" s="1"/>
  <c r="U934" i="10"/>
  <c r="Y934" i="10" s="1"/>
  <c r="Z934" i="10" s="1"/>
  <c r="AS934" i="10"/>
  <c r="AU934" i="10" s="1"/>
  <c r="U1180" i="10"/>
  <c r="Y1180" i="10" s="1"/>
  <c r="Z1180" i="10" s="1"/>
  <c r="AS1180" i="10"/>
  <c r="AT1180" i="10" s="1"/>
  <c r="U1173" i="10"/>
  <c r="Y1173" i="10" s="1"/>
  <c r="Z1173" i="10" s="1"/>
  <c r="AS1173" i="10"/>
  <c r="AU1173" i="10" s="1"/>
  <c r="U321" i="10"/>
  <c r="Y321" i="10" s="1"/>
  <c r="Z321" i="10" s="1"/>
  <c r="AS321" i="10"/>
  <c r="U902" i="10"/>
  <c r="Y902" i="10" s="1"/>
  <c r="Z902" i="10" s="1"/>
  <c r="AS902" i="10"/>
  <c r="AT902" i="10" s="1"/>
  <c r="U393" i="10"/>
  <c r="C393" i="12" s="1"/>
  <c r="AS393" i="10"/>
  <c r="AT393" i="10" s="1"/>
  <c r="U925" i="10"/>
  <c r="Y925" i="10" s="1"/>
  <c r="Z925" i="10" s="1"/>
  <c r="AS925" i="10"/>
  <c r="AT925" i="10" s="1"/>
  <c r="U225" i="10"/>
  <c r="Y225" i="10" s="1"/>
  <c r="Z225" i="10" s="1"/>
  <c r="AS225" i="10"/>
  <c r="AU225" i="10" s="1"/>
  <c r="U1046" i="10"/>
  <c r="Y1046" i="10" s="1"/>
  <c r="Z1046" i="10" s="1"/>
  <c r="U984" i="10"/>
  <c r="C984" i="12" s="1"/>
  <c r="U936" i="10"/>
  <c r="Y936" i="10" s="1"/>
  <c r="Z936" i="10" s="1"/>
  <c r="AS936" i="10"/>
  <c r="AT936" i="10" s="1"/>
  <c r="U1187" i="10"/>
  <c r="Y1187" i="10" s="1"/>
  <c r="Z1187" i="10" s="1"/>
  <c r="AS1187" i="10"/>
  <c r="U1158" i="10"/>
  <c r="Y1158" i="10" s="1"/>
  <c r="Z1158" i="10" s="1"/>
  <c r="AS1158" i="10"/>
  <c r="AU1158" i="10" s="1"/>
  <c r="U94" i="10"/>
  <c r="AS94" i="10"/>
  <c r="AU94" i="10" s="1"/>
  <c r="C587" i="12"/>
  <c r="U255" i="10"/>
  <c r="Y255" i="10" s="1"/>
  <c r="Z255" i="10" s="1"/>
  <c r="AS255" i="10"/>
  <c r="U1070" i="10"/>
  <c r="Y1070" i="10" s="1"/>
  <c r="Z1070" i="10" s="1"/>
  <c r="AS1070" i="10"/>
  <c r="AU1070" i="10" s="1"/>
  <c r="U677" i="10"/>
  <c r="Y677" i="10" s="1"/>
  <c r="Z677" i="10" s="1"/>
  <c r="AS677" i="10"/>
  <c r="AU677" i="10" s="1"/>
  <c r="U849" i="10"/>
  <c r="Y849" i="10" s="1"/>
  <c r="Z849" i="10" s="1"/>
  <c r="AS849" i="10"/>
  <c r="AT849" i="10" s="1"/>
  <c r="U88" i="10"/>
  <c r="Y88" i="10" s="1"/>
  <c r="Z88" i="10" s="1"/>
  <c r="AS88" i="10"/>
  <c r="AT88" i="10" s="1"/>
  <c r="U315" i="10"/>
  <c r="Y315" i="10" s="1"/>
  <c r="Z315" i="10" s="1"/>
  <c r="AS315" i="10"/>
  <c r="U1140" i="10"/>
  <c r="C1140" i="12" s="1"/>
  <c r="AS1140" i="10"/>
  <c r="AU1140" i="10" s="1"/>
  <c r="U310" i="10"/>
  <c r="Y310" i="10" s="1"/>
  <c r="Z310" i="10" s="1"/>
  <c r="AS310" i="10"/>
  <c r="U583" i="10"/>
  <c r="Y583" i="10" s="1"/>
  <c r="Z583" i="10" s="1"/>
  <c r="AS583" i="10"/>
  <c r="AT583" i="10" s="1"/>
  <c r="U16" i="10"/>
  <c r="Y16" i="10" s="1"/>
  <c r="Z16" i="10" s="1"/>
  <c r="AS16" i="10"/>
  <c r="AT16" i="10" s="1"/>
  <c r="U271" i="10"/>
  <c r="C271" i="12" s="1"/>
  <c r="AS271" i="10"/>
  <c r="AU271" i="10" s="1"/>
  <c r="U674" i="10"/>
  <c r="AS674" i="10"/>
  <c r="AU674" i="10" s="1"/>
  <c r="AT587" i="10"/>
  <c r="AU587" i="10"/>
  <c r="U1069" i="10"/>
  <c r="AS1069" i="10"/>
  <c r="AU1069" i="10" s="1"/>
  <c r="U952" i="10"/>
  <c r="C952" i="12" s="1"/>
  <c r="AS952" i="10"/>
  <c r="AT952" i="10" s="1"/>
  <c r="U809" i="10"/>
  <c r="C809" i="12" s="1"/>
  <c r="AS809" i="10"/>
  <c r="AT809" i="10" s="1"/>
  <c r="U912" i="10"/>
  <c r="Y912" i="10" s="1"/>
  <c r="Z912" i="10" s="1"/>
  <c r="AS912" i="10"/>
  <c r="AT912" i="10" s="1"/>
  <c r="U449" i="10"/>
  <c r="C449" i="12" s="1"/>
  <c r="AS449" i="10"/>
  <c r="AU449" i="10" s="1"/>
  <c r="U939" i="10"/>
  <c r="C939" i="12" s="1"/>
  <c r="AS939" i="10"/>
  <c r="AU939" i="10" s="1"/>
  <c r="U805" i="10"/>
  <c r="C805" i="12" s="1"/>
  <c r="AS805" i="10"/>
  <c r="AT805" i="10" s="1"/>
  <c r="U515" i="10"/>
  <c r="AS515" i="10"/>
  <c r="AU515" i="10" s="1"/>
  <c r="U56" i="10"/>
  <c r="C56" i="12" s="1"/>
  <c r="AS56" i="10"/>
  <c r="AU56" i="10" s="1"/>
  <c r="U466" i="10"/>
  <c r="C466" i="12" s="1"/>
  <c r="AS466" i="10"/>
  <c r="AU466" i="10" s="1"/>
  <c r="U807" i="10"/>
  <c r="C807" i="12" s="1"/>
  <c r="AS807" i="10"/>
  <c r="AU807" i="10" s="1"/>
  <c r="U1132" i="10"/>
  <c r="Y1132" i="10" s="1"/>
  <c r="Z1132" i="10" s="1"/>
  <c r="AS1132" i="10"/>
  <c r="U258" i="10"/>
  <c r="C258" i="12" s="1"/>
  <c r="AS258" i="10"/>
  <c r="AU258" i="10" s="1"/>
  <c r="U570" i="10"/>
  <c r="Y570" i="10" s="1"/>
  <c r="Z570" i="10" s="1"/>
  <c r="AS570" i="10"/>
  <c r="AU570" i="10" s="1"/>
  <c r="U881" i="10"/>
  <c r="Y881" i="10" s="1"/>
  <c r="Z881" i="10" s="1"/>
  <c r="AS881" i="10"/>
  <c r="AU881" i="10" s="1"/>
  <c r="U955" i="10"/>
  <c r="Y955" i="10" s="1"/>
  <c r="Z955" i="10" s="1"/>
  <c r="AS955" i="10"/>
  <c r="AU955" i="10" s="1"/>
  <c r="U311" i="10"/>
  <c r="Y311" i="10" s="1"/>
  <c r="Z311" i="10" s="1"/>
  <c r="AS311" i="10"/>
  <c r="AU311" i="10" s="1"/>
  <c r="U783" i="10"/>
  <c r="AS783" i="10"/>
  <c r="AT783" i="10" s="1"/>
  <c r="U1000" i="10"/>
  <c r="Y1000" i="10" s="1"/>
  <c r="Z1000" i="10" s="1"/>
  <c r="AS1000" i="10"/>
  <c r="U12" i="10"/>
  <c r="Y12" i="10" s="1"/>
  <c r="Z12" i="10" s="1"/>
  <c r="AS12" i="10"/>
  <c r="AT12" i="10" s="1"/>
  <c r="U387" i="10"/>
  <c r="Y387" i="10" s="1"/>
  <c r="Z387" i="10" s="1"/>
  <c r="AS387" i="10"/>
  <c r="AU387" i="10" s="1"/>
  <c r="U812" i="10"/>
  <c r="Y812" i="10" s="1"/>
  <c r="Z812" i="10" s="1"/>
  <c r="AS812" i="10"/>
  <c r="AT812" i="10" s="1"/>
  <c r="U723" i="10"/>
  <c r="Y723" i="10" s="1"/>
  <c r="Z723" i="10" s="1"/>
  <c r="AS723" i="10"/>
  <c r="AU723" i="10" s="1"/>
  <c r="U585" i="10"/>
  <c r="C585" i="12" s="1"/>
  <c r="AS585" i="10"/>
  <c r="AT585" i="10" s="1"/>
  <c r="U827" i="10"/>
  <c r="Y827" i="10" s="1"/>
  <c r="Z827" i="10" s="1"/>
  <c r="AS827" i="10"/>
  <c r="AT827" i="10" s="1"/>
  <c r="U608" i="10"/>
  <c r="Y608" i="10" s="1"/>
  <c r="Z608" i="10" s="1"/>
  <c r="AS608" i="10"/>
  <c r="U38" i="10"/>
  <c r="Y38" i="10" s="1"/>
  <c r="Z38" i="10" s="1"/>
  <c r="AS38" i="10"/>
  <c r="AT38" i="10" s="1"/>
  <c r="U113" i="10"/>
  <c r="Y113" i="10" s="1"/>
  <c r="Z113" i="10" s="1"/>
  <c r="AS113" i="10"/>
  <c r="AU113" i="10" s="1"/>
  <c r="U915" i="10"/>
  <c r="Y915" i="10" s="1"/>
  <c r="Z915" i="10" s="1"/>
  <c r="AS915" i="10"/>
  <c r="AT915" i="10" s="1"/>
  <c r="U52" i="10"/>
  <c r="Y52" i="10" s="1"/>
  <c r="Z52" i="10" s="1"/>
  <c r="AS52" i="10"/>
  <c r="AU52" i="10" s="1"/>
  <c r="U200" i="10"/>
  <c r="Y200" i="10" s="1"/>
  <c r="Z200" i="10" s="1"/>
  <c r="AS200" i="10"/>
  <c r="AU200" i="10" s="1"/>
  <c r="U1127" i="10"/>
  <c r="C1127" i="12" s="1"/>
  <c r="AS1127" i="10"/>
  <c r="AU1127" i="10" s="1"/>
  <c r="U115" i="10"/>
  <c r="Y115" i="10" s="1"/>
  <c r="Z115" i="10" s="1"/>
  <c r="AS115" i="10"/>
  <c r="AU115" i="10" s="1"/>
  <c r="U1043" i="10"/>
  <c r="Y1043" i="10" s="1"/>
  <c r="Z1043" i="10" s="1"/>
  <c r="AS1043" i="10"/>
  <c r="AU1043" i="10" s="1"/>
  <c r="U479" i="10"/>
  <c r="Y479" i="10" s="1"/>
  <c r="Z479" i="10" s="1"/>
  <c r="AS479" i="10"/>
  <c r="AT479" i="10" s="1"/>
  <c r="U262" i="10"/>
  <c r="Y262" i="10" s="1"/>
  <c r="Z262" i="10" s="1"/>
  <c r="AS262" i="10"/>
  <c r="AU262" i="10" s="1"/>
  <c r="U22" i="10"/>
  <c r="Y22" i="10" s="1"/>
  <c r="Z22" i="10" s="1"/>
  <c r="AS22" i="10"/>
  <c r="AU22" i="10" s="1"/>
  <c r="U560" i="10"/>
  <c r="Y560" i="10" s="1"/>
  <c r="Z560" i="10" s="1"/>
  <c r="AS560" i="10"/>
  <c r="AT560" i="10" s="1"/>
  <c r="U641" i="10"/>
  <c r="Y641" i="10" s="1"/>
  <c r="Z641" i="10" s="1"/>
  <c r="AS641" i="10"/>
  <c r="AT641" i="10" s="1"/>
  <c r="U753" i="10"/>
  <c r="Y753" i="10" s="1"/>
  <c r="Z753" i="10" s="1"/>
  <c r="AS753" i="10"/>
  <c r="AT753" i="10" s="1"/>
  <c r="U5" i="10"/>
  <c r="Y5" i="10" s="1"/>
  <c r="Z5" i="10" s="1"/>
  <c r="AS5" i="10"/>
  <c r="AT5" i="10" s="1"/>
  <c r="U112" i="10"/>
  <c r="Y112" i="10" s="1"/>
  <c r="Z112" i="10" s="1"/>
  <c r="AS112" i="10"/>
  <c r="AU112" i="10" s="1"/>
  <c r="U994" i="10"/>
  <c r="Y994" i="10" s="1"/>
  <c r="Z994" i="10" s="1"/>
  <c r="AS994" i="10"/>
  <c r="AT994" i="10" s="1"/>
  <c r="U344" i="10"/>
  <c r="Y344" i="10" s="1"/>
  <c r="Z344" i="10" s="1"/>
  <c r="AS344" i="10"/>
  <c r="AU344" i="10" s="1"/>
  <c r="U851" i="10"/>
  <c r="Y851" i="10" s="1"/>
  <c r="Z851" i="10" s="1"/>
  <c r="AS851" i="10"/>
  <c r="AT851" i="10" s="1"/>
  <c r="U389" i="10"/>
  <c r="C389" i="12" s="1"/>
  <c r="AS389" i="10"/>
  <c r="AU389" i="10" s="1"/>
  <c r="U671" i="10"/>
  <c r="Y671" i="10" s="1"/>
  <c r="Z671" i="10" s="1"/>
  <c r="AS671" i="10"/>
  <c r="AT671" i="10" s="1"/>
  <c r="U792" i="10"/>
  <c r="Y792" i="10" s="1"/>
  <c r="Z792" i="10" s="1"/>
  <c r="AS792" i="10"/>
  <c r="AT792" i="10" s="1"/>
  <c r="U167" i="10"/>
  <c r="Y167" i="10" s="1"/>
  <c r="Z167" i="10" s="1"/>
  <c r="AS167" i="10"/>
  <c r="AT167" i="10" s="1"/>
  <c r="C680" i="12"/>
  <c r="U1114" i="10"/>
  <c r="Y1114" i="10" s="1"/>
  <c r="Z1114" i="10" s="1"/>
  <c r="U787" i="10"/>
  <c r="C787" i="12" s="1"/>
  <c r="U1034" i="10"/>
  <c r="Y1034" i="10" s="1"/>
  <c r="Z1034" i="10" s="1"/>
  <c r="AS1034" i="10"/>
  <c r="AU1034" i="10" s="1"/>
  <c r="U209" i="10"/>
  <c r="C209" i="12" s="1"/>
  <c r="AS209" i="10"/>
  <c r="AU209" i="10" s="1"/>
  <c r="U76" i="10"/>
  <c r="Y76" i="10" s="1"/>
  <c r="Z76" i="10" s="1"/>
  <c r="AS76" i="10"/>
  <c r="U709" i="10"/>
  <c r="Y709" i="10" s="1"/>
  <c r="Z709" i="10" s="1"/>
  <c r="AS709" i="10"/>
  <c r="AU709" i="10" s="1"/>
  <c r="U823" i="10"/>
  <c r="C823" i="12" s="1"/>
  <c r="AS823" i="10"/>
  <c r="AU823" i="10" s="1"/>
  <c r="U458" i="10"/>
  <c r="Y458" i="10" s="1"/>
  <c r="Z458" i="10" s="1"/>
  <c r="AS458" i="10"/>
  <c r="AT458" i="10" s="1"/>
  <c r="U624" i="10"/>
  <c r="Y624" i="10" s="1"/>
  <c r="Z624" i="10" s="1"/>
  <c r="AS624" i="10"/>
  <c r="AT624" i="10" s="1"/>
  <c r="U1076" i="10"/>
  <c r="Y1076" i="10" s="1"/>
  <c r="Z1076" i="10" s="1"/>
  <c r="AS1076" i="10"/>
  <c r="AU1076" i="10" s="1"/>
  <c r="U567" i="10"/>
  <c r="Y567" i="10" s="1"/>
  <c r="Z567" i="10" s="1"/>
  <c r="AS567" i="10"/>
  <c r="AT567" i="10" s="1"/>
  <c r="U164" i="10"/>
  <c r="Y164" i="10" s="1"/>
  <c r="Z164" i="10" s="1"/>
  <c r="AS164" i="10"/>
  <c r="U105" i="10"/>
  <c r="AS105" i="10"/>
  <c r="AT105" i="10" s="1"/>
  <c r="C363" i="12"/>
  <c r="U219" i="10"/>
  <c r="AS219" i="10"/>
  <c r="AT219" i="10" s="1"/>
  <c r="AT846" i="10"/>
  <c r="AU846" i="10"/>
  <c r="AU316" i="10"/>
  <c r="AT316" i="10"/>
  <c r="U346" i="10"/>
  <c r="Y346" i="10" s="1"/>
  <c r="Z346" i="10" s="1"/>
  <c r="AS346" i="10"/>
  <c r="AU346" i="10" s="1"/>
  <c r="U995" i="10"/>
  <c r="Y995" i="10" s="1"/>
  <c r="Z995" i="10" s="1"/>
  <c r="AS995" i="10"/>
  <c r="AT995" i="10" s="1"/>
  <c r="AT323" i="10"/>
  <c r="AU323" i="10"/>
  <c r="U765" i="10"/>
  <c r="C765" i="12" s="1"/>
  <c r="AS765" i="10"/>
  <c r="U776" i="10"/>
  <c r="C776" i="12" s="1"/>
  <c r="AS776" i="10"/>
  <c r="AU776" i="10" s="1"/>
  <c r="U1139" i="10"/>
  <c r="C1139" i="12" s="1"/>
  <c r="AS1139" i="10"/>
  <c r="AT1139" i="10" s="1"/>
  <c r="U758" i="10"/>
  <c r="AS758" i="10"/>
  <c r="AU758" i="10" s="1"/>
  <c r="U714" i="10"/>
  <c r="C714" i="12" s="1"/>
  <c r="AS714" i="10"/>
  <c r="AT714" i="10" s="1"/>
  <c r="U756" i="10"/>
  <c r="Y756" i="10" s="1"/>
  <c r="Z756" i="10" s="1"/>
  <c r="AS756" i="10"/>
  <c r="AT756" i="10" s="1"/>
  <c r="U563" i="10"/>
  <c r="C563" i="12" s="1"/>
  <c r="AS563" i="10"/>
  <c r="AU563" i="10" s="1"/>
  <c r="U390" i="10"/>
  <c r="C390" i="12" s="1"/>
  <c r="AS390" i="10"/>
  <c r="AT390" i="10" s="1"/>
  <c r="U919" i="10"/>
  <c r="Y919" i="10" s="1"/>
  <c r="Z919" i="10" s="1"/>
  <c r="AS919" i="10"/>
  <c r="AU919" i="10" s="1"/>
  <c r="U250" i="10"/>
  <c r="C250" i="12" s="1"/>
  <c r="AS250" i="10"/>
  <c r="U544" i="10"/>
  <c r="AS544" i="10"/>
  <c r="AU544" i="10" s="1"/>
  <c r="U991" i="10"/>
  <c r="C991" i="12" s="1"/>
  <c r="AS991" i="10"/>
  <c r="AT991" i="10" s="1"/>
  <c r="U1019" i="10"/>
  <c r="C1019" i="12" s="1"/>
  <c r="AS1019" i="10"/>
  <c r="U1157" i="10"/>
  <c r="Y1157" i="10" s="1"/>
  <c r="Z1157" i="10" s="1"/>
  <c r="AS1157" i="10"/>
  <c r="AT1157" i="10" s="1"/>
  <c r="U632" i="10"/>
  <c r="Y632" i="10" s="1"/>
  <c r="Z632" i="10" s="1"/>
  <c r="AS632" i="10"/>
  <c r="AT632" i="10" s="1"/>
  <c r="U773" i="10"/>
  <c r="Y773" i="10" s="1"/>
  <c r="Z773" i="10" s="1"/>
  <c r="AS773" i="10"/>
  <c r="AU773" i="10" s="1"/>
  <c r="U675" i="10"/>
  <c r="Y675" i="10" s="1"/>
  <c r="Z675" i="10" s="1"/>
  <c r="AS675" i="10"/>
  <c r="AT675" i="10" s="1"/>
  <c r="U204" i="10"/>
  <c r="Y204" i="10" s="1"/>
  <c r="Z204" i="10" s="1"/>
  <c r="AS204" i="10"/>
  <c r="AT204" i="10" s="1"/>
  <c r="U618" i="10"/>
  <c r="Y618" i="10" s="1"/>
  <c r="Z618" i="10" s="1"/>
  <c r="AS618" i="10"/>
  <c r="AT618" i="10" s="1"/>
  <c r="U720" i="10"/>
  <c r="C720" i="12" s="1"/>
  <c r="AS720" i="10"/>
  <c r="AU720" i="10" s="1"/>
  <c r="U212" i="10"/>
  <c r="Y212" i="10" s="1"/>
  <c r="Z212" i="10" s="1"/>
  <c r="AS212" i="10"/>
  <c r="AT212" i="10" s="1"/>
  <c r="U395" i="10"/>
  <c r="C395" i="12" s="1"/>
  <c r="AS395" i="10"/>
  <c r="AU395" i="10" s="1"/>
  <c r="U788" i="10"/>
  <c r="Y788" i="10" s="1"/>
  <c r="Z788" i="10" s="1"/>
  <c r="AS788" i="10"/>
  <c r="AU788" i="10" s="1"/>
  <c r="U343" i="10"/>
  <c r="Y343" i="10" s="1"/>
  <c r="Z343" i="10" s="1"/>
  <c r="AS343" i="10"/>
  <c r="AT343" i="10" s="1"/>
  <c r="U1109" i="10"/>
  <c r="C1109" i="12" s="1"/>
  <c r="AS1109" i="10"/>
  <c r="AT1109" i="10" s="1"/>
  <c r="U401" i="10"/>
  <c r="C401" i="12" s="1"/>
  <c r="AS401" i="10"/>
  <c r="AT401" i="10" s="1"/>
  <c r="U552" i="10"/>
  <c r="Y552" i="10" s="1"/>
  <c r="Z552" i="10" s="1"/>
  <c r="AS552" i="10"/>
  <c r="AU552" i="10" s="1"/>
  <c r="U588" i="10"/>
  <c r="Y588" i="10" s="1"/>
  <c r="Z588" i="10" s="1"/>
  <c r="AS588" i="10"/>
  <c r="AU588" i="10" s="1"/>
  <c r="U1074" i="10"/>
  <c r="Y1074" i="10" s="1"/>
  <c r="Z1074" i="10" s="1"/>
  <c r="AS1074" i="10"/>
  <c r="AT1074" i="10" s="1"/>
  <c r="U967" i="10"/>
  <c r="Y967" i="10" s="1"/>
  <c r="Z967" i="10" s="1"/>
  <c r="AS967" i="10"/>
  <c r="AT967" i="10" s="1"/>
  <c r="U456" i="10"/>
  <c r="C456" i="12" s="1"/>
  <c r="AS456" i="10"/>
  <c r="AT456" i="10" s="1"/>
  <c r="U446" i="10"/>
  <c r="Y446" i="10" s="1"/>
  <c r="Z446" i="10" s="1"/>
  <c r="AS446" i="10"/>
  <c r="AT446" i="10" s="1"/>
  <c r="U1148" i="10"/>
  <c r="Y1148" i="10" s="1"/>
  <c r="Z1148" i="10" s="1"/>
  <c r="AS1148" i="10"/>
  <c r="AT1148" i="10" s="1"/>
  <c r="U385" i="10"/>
  <c r="Y385" i="10" s="1"/>
  <c r="Z385" i="10" s="1"/>
  <c r="AS385" i="10"/>
  <c r="U785" i="10"/>
  <c r="Y785" i="10" s="1"/>
  <c r="Z785" i="10" s="1"/>
  <c r="AS785" i="10"/>
  <c r="AU785" i="10" s="1"/>
  <c r="U486" i="10"/>
  <c r="Y486" i="10" s="1"/>
  <c r="Z486" i="10" s="1"/>
  <c r="AS486" i="10"/>
  <c r="AU486" i="10" s="1"/>
  <c r="U127" i="10"/>
  <c r="Y127" i="10" s="1"/>
  <c r="Z127" i="10" s="1"/>
  <c r="AS127" i="10"/>
  <c r="AT127" i="10" s="1"/>
  <c r="U703" i="10"/>
  <c r="C703" i="12" s="1"/>
  <c r="AS703" i="10"/>
  <c r="AT703" i="10" s="1"/>
  <c r="U229" i="10"/>
  <c r="Y229" i="10" s="1"/>
  <c r="Z229" i="10" s="1"/>
  <c r="AS229" i="10"/>
  <c r="AT229" i="10" s="1"/>
  <c r="U710" i="10"/>
  <c r="Y710" i="10" s="1"/>
  <c r="Z710" i="10" s="1"/>
  <c r="AS710" i="10"/>
  <c r="AT710" i="10" s="1"/>
  <c r="U4" i="10"/>
  <c r="Y4" i="10" s="1"/>
  <c r="Z4" i="10" s="1"/>
  <c r="AS4" i="10"/>
  <c r="AT4" i="10" s="1"/>
  <c r="U642" i="10"/>
  <c r="C642" i="12" s="1"/>
  <c r="AS642" i="10"/>
  <c r="AT642" i="10" s="1"/>
  <c r="U278" i="10"/>
  <c r="Y278" i="10" s="1"/>
  <c r="Z278" i="10" s="1"/>
  <c r="AS278" i="10"/>
  <c r="AT278" i="10" s="1"/>
  <c r="U590" i="10"/>
  <c r="Y590" i="10" s="1"/>
  <c r="Z590" i="10" s="1"/>
  <c r="AS590" i="10"/>
  <c r="AU590" i="10" s="1"/>
  <c r="U772" i="10"/>
  <c r="Y772" i="10" s="1"/>
  <c r="Z772" i="10" s="1"/>
  <c r="AS772" i="10"/>
  <c r="AT772" i="10" s="1"/>
  <c r="U1071" i="10"/>
  <c r="Y1071" i="10" s="1"/>
  <c r="Z1071" i="10" s="1"/>
  <c r="AS1071" i="10"/>
  <c r="AU1071" i="10" s="1"/>
  <c r="U1014" i="10"/>
  <c r="Y1014" i="10" s="1"/>
  <c r="Z1014" i="10" s="1"/>
  <c r="AS1014" i="10"/>
  <c r="AU1014" i="10" s="1"/>
  <c r="U813" i="10"/>
  <c r="C813" i="12" s="1"/>
  <c r="AS813" i="10"/>
  <c r="AU813" i="10" s="1"/>
  <c r="U559" i="10"/>
  <c r="Y559" i="10" s="1"/>
  <c r="Z559" i="10" s="1"/>
  <c r="AS559" i="10"/>
  <c r="AT559" i="10" s="1"/>
  <c r="C1138" i="12"/>
  <c r="U647" i="10"/>
  <c r="Y647" i="10" s="1"/>
  <c r="Z647" i="10" s="1"/>
  <c r="AS647" i="10"/>
  <c r="AU647" i="10" s="1"/>
  <c r="U573" i="10"/>
  <c r="Y573" i="10" s="1"/>
  <c r="Z573" i="10" s="1"/>
  <c r="AS573" i="10"/>
  <c r="AU573" i="10" s="1"/>
  <c r="U461" i="10"/>
  <c r="Y461" i="10" s="1"/>
  <c r="Z461" i="10" s="1"/>
  <c r="AS461" i="10"/>
  <c r="AU461" i="10" s="1"/>
  <c r="U306" i="10"/>
  <c r="Y306" i="10" s="1"/>
  <c r="Z306" i="10" s="1"/>
  <c r="AS306" i="10"/>
  <c r="AT306" i="10" s="1"/>
  <c r="U597" i="10"/>
  <c r="Y597" i="10" s="1"/>
  <c r="Z597" i="10" s="1"/>
  <c r="AS597" i="10"/>
  <c r="AU597" i="10" s="1"/>
  <c r="U569" i="10"/>
  <c r="AS569" i="10"/>
  <c r="AT569" i="10" s="1"/>
  <c r="U886" i="10"/>
  <c r="AS886" i="10"/>
  <c r="AT886" i="10" s="1"/>
  <c r="U485" i="10"/>
  <c r="Y485" i="10" s="1"/>
  <c r="Z485" i="10" s="1"/>
  <c r="AS485" i="10"/>
  <c r="AT485" i="10" s="1"/>
  <c r="U413" i="10"/>
  <c r="Y413" i="10" s="1"/>
  <c r="Z413" i="10" s="1"/>
  <c r="AS413" i="10"/>
  <c r="AU413" i="10" s="1"/>
  <c r="U1107" i="10"/>
  <c r="AS1107" i="10"/>
  <c r="AT1107" i="10" s="1"/>
  <c r="AT1110" i="10"/>
  <c r="AU1110" i="10"/>
  <c r="U320" i="10"/>
  <c r="AS320" i="10"/>
  <c r="AU320" i="10" s="1"/>
  <c r="AT819" i="10"/>
  <c r="AU819" i="10"/>
  <c r="U651" i="10"/>
  <c r="C651" i="12" s="1"/>
  <c r="AS651" i="10"/>
  <c r="AU651" i="10" s="1"/>
  <c r="U592" i="10"/>
  <c r="C592" i="12" s="1"/>
  <c r="AS592" i="10"/>
  <c r="AU592" i="10" s="1"/>
  <c r="U114" i="10"/>
  <c r="C114" i="12" s="1"/>
  <c r="AS114" i="10"/>
  <c r="AT114" i="10" s="1"/>
  <c r="U643" i="10"/>
  <c r="C643" i="12" s="1"/>
  <c r="AS643" i="10"/>
  <c r="AT643" i="10" s="1"/>
  <c r="U241" i="10"/>
  <c r="C241" i="12" s="1"/>
  <c r="AS241" i="10"/>
  <c r="AT241" i="10" s="1"/>
  <c r="U842" i="10"/>
  <c r="Y842" i="10" s="1"/>
  <c r="Z842" i="10" s="1"/>
  <c r="AS842" i="10"/>
  <c r="AT842" i="10" s="1"/>
  <c r="U960" i="10"/>
  <c r="AS960" i="10"/>
  <c r="AU960" i="10" s="1"/>
  <c r="U791" i="10"/>
  <c r="Y791" i="10" s="1"/>
  <c r="Z791" i="10" s="1"/>
  <c r="AS791" i="10"/>
  <c r="AU791" i="10" s="1"/>
  <c r="U782" i="10"/>
  <c r="Y782" i="10" s="1"/>
  <c r="Z782" i="10" s="1"/>
  <c r="AS782" i="10"/>
  <c r="AU782" i="10" s="1"/>
  <c r="U372" i="10"/>
  <c r="C372" i="12" s="1"/>
  <c r="AS372" i="10"/>
  <c r="AT372" i="10" s="1"/>
  <c r="U764" i="10"/>
  <c r="C764" i="12" s="1"/>
  <c r="AS764" i="10"/>
  <c r="AT764" i="10" s="1"/>
  <c r="U152" i="10"/>
  <c r="C152" i="12" s="1"/>
  <c r="AS152" i="10"/>
  <c r="AT152" i="10" s="1"/>
  <c r="U1129" i="10"/>
  <c r="Y1129" i="10" s="1"/>
  <c r="Z1129" i="10" s="1"/>
  <c r="AS1129" i="10"/>
  <c r="AU1129" i="10" s="1"/>
  <c r="U521" i="10"/>
  <c r="AS521" i="10"/>
  <c r="AU521" i="10" s="1"/>
  <c r="U944" i="10"/>
  <c r="C944" i="12" s="1"/>
  <c r="AS944" i="10"/>
  <c r="AU944" i="10" s="1"/>
  <c r="U733" i="10"/>
  <c r="C733" i="12" s="1"/>
  <c r="AS733" i="10"/>
  <c r="AU733" i="10" s="1"/>
  <c r="U907" i="10"/>
  <c r="C907" i="12" s="1"/>
  <c r="AS907" i="10"/>
  <c r="AU907" i="10" s="1"/>
  <c r="U392" i="10"/>
  <c r="C392" i="12" s="1"/>
  <c r="AS392" i="10"/>
  <c r="U444" i="10"/>
  <c r="C444" i="12" s="1"/>
  <c r="AS444" i="10"/>
  <c r="AU444" i="10" s="1"/>
  <c r="U673" i="10"/>
  <c r="C673" i="12" s="1"/>
  <c r="AS673" i="10"/>
  <c r="AT673" i="10" s="1"/>
  <c r="U540" i="10"/>
  <c r="AS540" i="10"/>
  <c r="AU540" i="10" s="1"/>
  <c r="U661" i="10"/>
  <c r="Y661" i="10" s="1"/>
  <c r="Z661" i="10" s="1"/>
  <c r="AS661" i="10"/>
  <c r="AT661" i="10" s="1"/>
  <c r="U1007" i="10"/>
  <c r="C1007" i="12" s="1"/>
  <c r="AS1007" i="10"/>
  <c r="AU1007" i="10" s="1"/>
  <c r="U208" i="10"/>
  <c r="C208" i="12" s="1"/>
  <c r="AS208" i="10"/>
  <c r="AT208" i="10" s="1"/>
  <c r="U748" i="10"/>
  <c r="Y748" i="10" s="1"/>
  <c r="Z748" i="10" s="1"/>
  <c r="AS748" i="10"/>
  <c r="AT748" i="10" s="1"/>
  <c r="U246" i="10"/>
  <c r="Y246" i="10" s="1"/>
  <c r="Z246" i="10" s="1"/>
  <c r="AS246" i="10"/>
  <c r="AU246" i="10" s="1"/>
  <c r="U644" i="10"/>
  <c r="C644" i="12" s="1"/>
  <c r="AS644" i="10"/>
  <c r="AU644" i="10" s="1"/>
  <c r="U878" i="10"/>
  <c r="AS878" i="10"/>
  <c r="AT878" i="10" s="1"/>
  <c r="U1194" i="10"/>
  <c r="C1194" i="12" s="1"/>
  <c r="AS1194" i="10"/>
  <c r="AU1194" i="10" s="1"/>
  <c r="U19" i="10"/>
  <c r="Y19" i="10" s="1"/>
  <c r="Z19" i="10" s="1"/>
  <c r="AS19" i="10"/>
  <c r="AT19" i="10" s="1"/>
  <c r="U125" i="10"/>
  <c r="C125" i="12" s="1"/>
  <c r="AS125" i="10"/>
  <c r="AU125" i="10" s="1"/>
  <c r="U1120" i="10"/>
  <c r="C1120" i="12" s="1"/>
  <c r="AS1120" i="10"/>
  <c r="AT1120" i="10" s="1"/>
  <c r="U526" i="10"/>
  <c r="C526" i="12" s="1"/>
  <c r="AS526" i="10"/>
  <c r="U1082" i="10"/>
  <c r="C1082" i="12" s="1"/>
  <c r="AS1082" i="10"/>
  <c r="U975" i="10"/>
  <c r="AS975" i="10"/>
  <c r="AU975" i="10" s="1"/>
  <c r="U1036" i="10"/>
  <c r="C1036" i="12" s="1"/>
  <c r="AS1036" i="10"/>
  <c r="AU1036" i="10" s="1"/>
  <c r="U750" i="10"/>
  <c r="Y750" i="10" s="1"/>
  <c r="Z750" i="10" s="1"/>
  <c r="AS750" i="10"/>
  <c r="U33" i="10"/>
  <c r="C33" i="12" s="1"/>
  <c r="AS33" i="10"/>
  <c r="AT33" i="10" s="1"/>
  <c r="U70" i="10"/>
  <c r="C70" i="12" s="1"/>
  <c r="AS70" i="10"/>
  <c r="AT70" i="10" s="1"/>
  <c r="U702" i="10"/>
  <c r="Y702" i="10" s="1"/>
  <c r="Z702" i="10" s="1"/>
  <c r="AS702" i="10"/>
  <c r="AU702" i="10" s="1"/>
  <c r="U61" i="10"/>
  <c r="C61" i="12" s="1"/>
  <c r="AS61" i="10"/>
  <c r="AU61" i="10" s="1"/>
  <c r="U1004" i="10"/>
  <c r="AS1004" i="10"/>
  <c r="AT1004" i="10" s="1"/>
  <c r="U1188" i="10"/>
  <c r="Y1188" i="10" s="1"/>
  <c r="Z1188" i="10" s="1"/>
  <c r="AS1188" i="10"/>
  <c r="AT1188" i="10" s="1"/>
  <c r="U690" i="10"/>
  <c r="C690" i="12" s="1"/>
  <c r="AS690" i="10"/>
  <c r="AU690" i="10" s="1"/>
  <c r="U789" i="10"/>
  <c r="C789" i="12" s="1"/>
  <c r="AS789" i="10"/>
  <c r="AU789" i="10" s="1"/>
  <c r="U884" i="10"/>
  <c r="C884" i="12" s="1"/>
  <c r="AS884" i="10"/>
  <c r="AT884" i="10" s="1"/>
  <c r="U353" i="10"/>
  <c r="C353" i="12" s="1"/>
  <c r="AS353" i="10"/>
  <c r="AU353" i="10" s="1"/>
  <c r="U903" i="10"/>
  <c r="Y903" i="10" s="1"/>
  <c r="Z903" i="10" s="1"/>
  <c r="AS903" i="10"/>
  <c r="AT903" i="10" s="1"/>
  <c r="U1169" i="10"/>
  <c r="C1169" i="12" s="1"/>
  <c r="AS1169" i="10"/>
  <c r="AU1169" i="10" s="1"/>
  <c r="U735" i="10"/>
  <c r="Y735" i="10" s="1"/>
  <c r="Z735" i="10" s="1"/>
  <c r="AS735" i="10"/>
  <c r="AT735" i="10" s="1"/>
  <c r="U655" i="10"/>
  <c r="C655" i="12" s="1"/>
  <c r="AS655" i="10"/>
  <c r="AU655" i="10" s="1"/>
  <c r="U1093" i="10"/>
  <c r="Y1093" i="10" s="1"/>
  <c r="Z1093" i="10" s="1"/>
  <c r="AS1093" i="10"/>
  <c r="AT1093" i="10" s="1"/>
  <c r="U1171" i="10"/>
  <c r="Y1171" i="10" s="1"/>
  <c r="Z1171" i="10" s="1"/>
  <c r="AS1171" i="10"/>
  <c r="AT1171" i="10" s="1"/>
  <c r="U505" i="10"/>
  <c r="C505" i="12" s="1"/>
  <c r="AS505" i="10"/>
  <c r="AT505" i="10" s="1"/>
  <c r="U804" i="10"/>
  <c r="C804" i="12" s="1"/>
  <c r="AS804" i="10"/>
  <c r="AT804" i="10" s="1"/>
  <c r="U755" i="10"/>
  <c r="AS755" i="10"/>
  <c r="AU755" i="10" s="1"/>
  <c r="U121" i="10"/>
  <c r="C121" i="12" s="1"/>
  <c r="AS121" i="10"/>
  <c r="AT121" i="10" s="1"/>
  <c r="U337" i="10"/>
  <c r="C337" i="12" s="1"/>
  <c r="AS337" i="10"/>
  <c r="AT337" i="10" s="1"/>
  <c r="U1062" i="10"/>
  <c r="Y1062" i="10" s="1"/>
  <c r="Z1062" i="10" s="1"/>
  <c r="AS1062" i="10"/>
  <c r="AT1062" i="10" s="1"/>
  <c r="U281" i="10"/>
  <c r="Y281" i="10" s="1"/>
  <c r="Z281" i="10" s="1"/>
  <c r="AS281" i="10"/>
  <c r="U329" i="10"/>
  <c r="C329" i="12" s="1"/>
  <c r="AS329" i="10"/>
  <c r="AU329" i="10" s="1"/>
  <c r="U598" i="10"/>
  <c r="Y598" i="10" s="1"/>
  <c r="Z598" i="10" s="1"/>
  <c r="AS598" i="10"/>
  <c r="AU598" i="10" s="1"/>
  <c r="U721" i="10"/>
  <c r="Y721" i="10" s="1"/>
  <c r="Z721" i="10" s="1"/>
  <c r="AS721" i="10"/>
  <c r="AT721" i="10" s="1"/>
  <c r="U71" i="10"/>
  <c r="Y71" i="10" s="1"/>
  <c r="Z71" i="10" s="1"/>
  <c r="AS71" i="10"/>
  <c r="AU71" i="10" s="1"/>
  <c r="U862" i="10"/>
  <c r="C862" i="12" s="1"/>
  <c r="AS862" i="10"/>
  <c r="AU862" i="10" s="1"/>
  <c r="U596" i="10"/>
  <c r="C596" i="12" s="1"/>
  <c r="AS596" i="10"/>
  <c r="U1174" i="10"/>
  <c r="C1174" i="12" s="1"/>
  <c r="AS1174" i="10"/>
  <c r="AT1174" i="10" s="1"/>
  <c r="U930" i="10"/>
  <c r="C930" i="12" s="1"/>
  <c r="AS930" i="10"/>
  <c r="AU930" i="10" s="1"/>
  <c r="U66" i="10"/>
  <c r="C66" i="12" s="1"/>
  <c r="AS66" i="10"/>
  <c r="AT66" i="10" s="1"/>
  <c r="U1033" i="10"/>
  <c r="AS1033" i="10"/>
  <c r="AU1033" i="10" s="1"/>
  <c r="U370" i="10"/>
  <c r="C370" i="12" s="1"/>
  <c r="AS370" i="10"/>
  <c r="AT370" i="10" s="1"/>
  <c r="U795" i="10"/>
  <c r="Y795" i="10" s="1"/>
  <c r="Z795" i="10" s="1"/>
  <c r="AS795" i="10"/>
  <c r="AT795" i="10" s="1"/>
  <c r="U550" i="10"/>
  <c r="C550" i="12" s="1"/>
  <c r="AS550" i="10"/>
  <c r="AT550" i="10" s="1"/>
  <c r="U830" i="10"/>
  <c r="Y830" i="10" s="1"/>
  <c r="Z830" i="10" s="1"/>
  <c r="AS830" i="10"/>
  <c r="AT830" i="10" s="1"/>
  <c r="U50" i="10"/>
  <c r="Y50" i="10" s="1"/>
  <c r="Z50" i="10" s="1"/>
  <c r="AS50" i="10"/>
  <c r="AU50" i="10" s="1"/>
  <c r="U1052" i="10"/>
  <c r="Y1052" i="10" s="1"/>
  <c r="Z1052" i="10" s="1"/>
  <c r="AS1052" i="10"/>
  <c r="AT1052" i="10" s="1"/>
  <c r="U972" i="10"/>
  <c r="Y972" i="10" s="1"/>
  <c r="Z972" i="10" s="1"/>
  <c r="AS972" i="10"/>
  <c r="AT972" i="10" s="1"/>
  <c r="U284" i="10"/>
  <c r="Y284" i="10" s="1"/>
  <c r="Z284" i="10" s="1"/>
  <c r="AS284" i="10"/>
  <c r="AT284" i="10" s="1"/>
  <c r="U695" i="10"/>
  <c r="Y695" i="10" s="1"/>
  <c r="Z695" i="10" s="1"/>
  <c r="AS695" i="10"/>
  <c r="AT695" i="10" s="1"/>
  <c r="U1064" i="10"/>
  <c r="Y1064" i="10" s="1"/>
  <c r="Z1064" i="10" s="1"/>
  <c r="AS1064" i="10"/>
  <c r="AT1064" i="10" s="1"/>
  <c r="U769" i="10"/>
  <c r="Y769" i="10" s="1"/>
  <c r="Z769" i="10" s="1"/>
  <c r="AS769" i="10"/>
  <c r="AU769" i="10" s="1"/>
  <c r="U870" i="10"/>
  <c r="Y870" i="10" s="1"/>
  <c r="Z870" i="10" s="1"/>
  <c r="AS870" i="10"/>
  <c r="AU870" i="10" s="1"/>
  <c r="U700" i="10"/>
  <c r="C700" i="12" s="1"/>
  <c r="AS700" i="10"/>
  <c r="AU700" i="10" s="1"/>
  <c r="U135" i="10"/>
  <c r="Y135" i="10" s="1"/>
  <c r="Z135" i="10" s="1"/>
  <c r="AS135" i="10"/>
  <c r="AT135" i="10" s="1"/>
  <c r="U824" i="10"/>
  <c r="C824" i="12" s="1"/>
  <c r="AS824" i="10"/>
  <c r="AT824" i="10" s="1"/>
  <c r="U330" i="10"/>
  <c r="Y330" i="10" s="1"/>
  <c r="Z330" i="10" s="1"/>
  <c r="AS330" i="10"/>
  <c r="AU330" i="10" s="1"/>
  <c r="U575" i="10"/>
  <c r="Y575" i="10" s="1"/>
  <c r="Z575" i="10" s="1"/>
  <c r="AS575" i="10"/>
  <c r="AU575" i="10" s="1"/>
  <c r="U120" i="10"/>
  <c r="Y120" i="10" s="1"/>
  <c r="Z120" i="10" s="1"/>
  <c r="AS120" i="10"/>
  <c r="AU120" i="10" s="1"/>
  <c r="U424" i="10"/>
  <c r="Y424" i="10" s="1"/>
  <c r="Z424" i="10" s="1"/>
  <c r="AS424" i="10"/>
  <c r="AT424" i="10" s="1"/>
  <c r="U110" i="10"/>
  <c r="Y110" i="10" s="1"/>
  <c r="Z110" i="10" s="1"/>
  <c r="AS110" i="10"/>
  <c r="AT110" i="10" s="1"/>
  <c r="U747" i="10"/>
  <c r="Y747" i="10" s="1"/>
  <c r="Z747" i="10" s="1"/>
  <c r="AS747" i="10"/>
  <c r="AU747" i="10" s="1"/>
  <c r="U421" i="10"/>
  <c r="Y421" i="10" s="1"/>
  <c r="Z421" i="10" s="1"/>
  <c r="AS421" i="10"/>
  <c r="AT421" i="10" s="1"/>
  <c r="U1100" i="10"/>
  <c r="Y1100" i="10" s="1"/>
  <c r="Z1100" i="10" s="1"/>
  <c r="AS1100" i="10"/>
  <c r="AT1100" i="10" s="1"/>
  <c r="U545" i="10"/>
  <c r="Y545" i="10" s="1"/>
  <c r="Z545" i="10" s="1"/>
  <c r="AS545" i="10"/>
  <c r="AT545" i="10" s="1"/>
  <c r="U265" i="10"/>
  <c r="Y265" i="10" s="1"/>
  <c r="Z265" i="10" s="1"/>
  <c r="AS265" i="10"/>
  <c r="AT265" i="10" s="1"/>
  <c r="U848" i="10"/>
  <c r="C848" i="12" s="1"/>
  <c r="AS848" i="10"/>
  <c r="AU848" i="10" s="1"/>
  <c r="U1088" i="10"/>
  <c r="Y1088" i="10" s="1"/>
  <c r="Z1088" i="10" s="1"/>
  <c r="AS1088" i="10"/>
  <c r="AU1088" i="10" s="1"/>
  <c r="U969" i="10"/>
  <c r="Y969" i="10" s="1"/>
  <c r="Z969" i="10" s="1"/>
  <c r="AS969" i="10"/>
  <c r="AT969" i="10" s="1"/>
  <c r="U398" i="10"/>
  <c r="Y398" i="10" s="1"/>
  <c r="Z398" i="10" s="1"/>
  <c r="AS398" i="10"/>
  <c r="AT398" i="10" s="1"/>
  <c r="U460" i="10"/>
  <c r="Y460" i="10" s="1"/>
  <c r="Z460" i="10" s="1"/>
  <c r="AS460" i="10"/>
  <c r="AU460" i="10" s="1"/>
  <c r="U664" i="10"/>
  <c r="Y664" i="10" s="1"/>
  <c r="Z664" i="10" s="1"/>
  <c r="AS664" i="10"/>
  <c r="AT664" i="10" s="1"/>
  <c r="U291" i="10"/>
  <c r="AS291" i="10"/>
  <c r="AT291" i="10" s="1"/>
  <c r="U857" i="10"/>
  <c r="AS857" i="10"/>
  <c r="AU857" i="10" s="1"/>
  <c r="U548" i="10"/>
  <c r="Y548" i="10" s="1"/>
  <c r="Z548" i="10" s="1"/>
  <c r="AS548" i="10"/>
  <c r="AT548" i="10" s="1"/>
  <c r="C316" i="12"/>
  <c r="U894" i="10"/>
  <c r="C894" i="12" s="1"/>
  <c r="AS894" i="10"/>
  <c r="AT894" i="10" s="1"/>
  <c r="U412" i="10"/>
  <c r="C412" i="12" s="1"/>
  <c r="AS412" i="10"/>
  <c r="AT412" i="10" s="1"/>
  <c r="U409" i="10"/>
  <c r="C409" i="12" s="1"/>
  <c r="AS409" i="10"/>
  <c r="AT409" i="10" s="1"/>
  <c r="U472" i="10"/>
  <c r="Y472" i="10" s="1"/>
  <c r="Z472" i="10" s="1"/>
  <c r="AS472" i="10"/>
  <c r="AU472" i="10" s="1"/>
  <c r="U142" i="10"/>
  <c r="Y142" i="10" s="1"/>
  <c r="Z142" i="10" s="1"/>
  <c r="AS142" i="10"/>
  <c r="AU142" i="10" s="1"/>
  <c r="C87" i="12"/>
  <c r="U579" i="10"/>
  <c r="AS579" i="10"/>
  <c r="AU579" i="10" s="1"/>
  <c r="U95" i="10"/>
  <c r="C95" i="12" s="1"/>
  <c r="AS95" i="10"/>
  <c r="AT95" i="10" s="1"/>
  <c r="U116" i="10"/>
  <c r="AS116" i="10"/>
  <c r="AT116" i="10" s="1"/>
  <c r="U462" i="10"/>
  <c r="AS462" i="10"/>
  <c r="AT462" i="10" s="1"/>
  <c r="U1185" i="10"/>
  <c r="AS1185" i="10"/>
  <c r="AU1185" i="10" s="1"/>
  <c r="U60" i="10"/>
  <c r="AS60" i="10"/>
  <c r="AT60" i="10" s="1"/>
  <c r="U1015" i="10"/>
  <c r="AS1015" i="10"/>
  <c r="AU1015" i="10" s="1"/>
  <c r="U617" i="10"/>
  <c r="AS617" i="10"/>
  <c r="U351" i="10"/>
  <c r="AS351" i="10"/>
  <c r="AT351" i="10" s="1"/>
  <c r="AT150" i="10"/>
  <c r="AU150" i="10"/>
  <c r="U37" i="10"/>
  <c r="AS37" i="10"/>
  <c r="AU37" i="10" s="1"/>
  <c r="U536" i="10"/>
  <c r="Y536" i="10" s="1"/>
  <c r="Z536" i="10" s="1"/>
  <c r="AS536" i="10"/>
  <c r="AU536" i="10" s="1"/>
  <c r="U957" i="10"/>
  <c r="C957" i="12" s="1"/>
  <c r="AS957" i="10"/>
  <c r="AT957" i="10" s="1"/>
  <c r="U516" i="10"/>
  <c r="Y516" i="10" s="1"/>
  <c r="Z516" i="10" s="1"/>
  <c r="AS516" i="10"/>
  <c r="AU516" i="10" s="1"/>
  <c r="U55" i="10"/>
  <c r="Y55" i="10" s="1"/>
  <c r="Z55" i="10" s="1"/>
  <c r="AS55" i="10"/>
  <c r="AT55" i="10" s="1"/>
  <c r="U126" i="10"/>
  <c r="C126" i="12" s="1"/>
  <c r="AS126" i="10"/>
  <c r="AT126" i="10" s="1"/>
  <c r="U845" i="10"/>
  <c r="C845" i="12" s="1"/>
  <c r="AS845" i="10"/>
  <c r="AT845" i="10" s="1"/>
  <c r="U696" i="10"/>
  <c r="AS696" i="10"/>
  <c r="AT696" i="10" s="1"/>
  <c r="U1118" i="10"/>
  <c r="C1118" i="12" s="1"/>
  <c r="AS1118" i="10"/>
  <c r="AU1118" i="10" s="1"/>
  <c r="U64" i="10"/>
  <c r="Y64" i="10" s="1"/>
  <c r="Z64" i="10" s="1"/>
  <c r="AS64" i="10"/>
  <c r="AU64" i="10" s="1"/>
  <c r="U686" i="10"/>
  <c r="C686" i="12" s="1"/>
  <c r="AS686" i="10"/>
  <c r="AU686" i="10" s="1"/>
  <c r="U322" i="10"/>
  <c r="Y322" i="10" s="1"/>
  <c r="Z322" i="10" s="1"/>
  <c r="AS322" i="10"/>
  <c r="AT322" i="10" s="1"/>
  <c r="U1121" i="10"/>
  <c r="Y1121" i="10" s="1"/>
  <c r="Z1121" i="10" s="1"/>
  <c r="AS1121" i="10"/>
  <c r="AT1121" i="10" s="1"/>
  <c r="U742" i="10"/>
  <c r="C742" i="12" s="1"/>
  <c r="AS742" i="10"/>
  <c r="AT742" i="10" s="1"/>
  <c r="U646" i="10"/>
  <c r="AS646" i="10"/>
  <c r="AT646" i="10" s="1"/>
  <c r="U355" i="10"/>
  <c r="C355" i="12" s="1"/>
  <c r="AS355" i="10"/>
  <c r="AT355" i="10" s="1"/>
  <c r="U487" i="10"/>
  <c r="Y487" i="10" s="1"/>
  <c r="Z487" i="10" s="1"/>
  <c r="AS487" i="10"/>
  <c r="AT487" i="10" s="1"/>
  <c r="U911" i="10"/>
  <c r="C911" i="12" s="1"/>
  <c r="AS911" i="10"/>
  <c r="AU911" i="10" s="1"/>
  <c r="U362" i="10"/>
  <c r="Y362" i="10" s="1"/>
  <c r="Z362" i="10" s="1"/>
  <c r="AS362" i="10"/>
  <c r="U325" i="10"/>
  <c r="C325" i="12" s="1"/>
  <c r="AS325" i="10"/>
  <c r="AU325" i="10" s="1"/>
  <c r="U1182" i="10"/>
  <c r="C1182" i="12" s="1"/>
  <c r="AS1182" i="10"/>
  <c r="AU1182" i="10" s="1"/>
  <c r="U762" i="10"/>
  <c r="Y762" i="10" s="1"/>
  <c r="Z762" i="10" s="1"/>
  <c r="AS762" i="10"/>
  <c r="AT762" i="10" s="1"/>
  <c r="U924" i="10"/>
  <c r="Y924" i="10" s="1"/>
  <c r="Z924" i="10" s="1"/>
  <c r="AS924" i="10"/>
  <c r="AU924" i="10" s="1"/>
  <c r="U1175" i="10"/>
  <c r="C1175" i="12" s="1"/>
  <c r="AS1175" i="10"/>
  <c r="AU1175" i="10" s="1"/>
  <c r="U718" i="10"/>
  <c r="C718" i="12" s="1"/>
  <c r="AS718" i="10"/>
  <c r="AU718" i="10" s="1"/>
  <c r="U766" i="10"/>
  <c r="C766" i="12" s="1"/>
  <c r="AS766" i="10"/>
  <c r="U275" i="10"/>
  <c r="C275" i="12" s="1"/>
  <c r="AS275" i="10"/>
  <c r="AT275" i="10" s="1"/>
  <c r="U318" i="10"/>
  <c r="C318" i="12" s="1"/>
  <c r="AS318" i="10"/>
  <c r="AU318" i="10" s="1"/>
  <c r="U348" i="10"/>
  <c r="AS348" i="10"/>
  <c r="AU348" i="10" s="1"/>
  <c r="U155" i="10"/>
  <c r="Y155" i="10" s="1"/>
  <c r="Z155" i="10" s="1"/>
  <c r="AS155" i="10"/>
  <c r="AT155" i="10" s="1"/>
  <c r="U825" i="10"/>
  <c r="C825" i="12" s="1"/>
  <c r="AS825" i="10"/>
  <c r="AT825" i="10" s="1"/>
  <c r="U367" i="10"/>
  <c r="Y367" i="10" s="1"/>
  <c r="Z367" i="10" s="1"/>
  <c r="AS367" i="10"/>
  <c r="AU367" i="10" s="1"/>
  <c r="U224" i="10"/>
  <c r="Y224" i="10" s="1"/>
  <c r="Z224" i="10" s="1"/>
  <c r="AS224" i="10"/>
  <c r="AT224" i="10" s="1"/>
  <c r="U926" i="10"/>
  <c r="Y926" i="10" s="1"/>
  <c r="Z926" i="10" s="1"/>
  <c r="AS926" i="10"/>
  <c r="AT926" i="10" s="1"/>
  <c r="U51" i="10"/>
  <c r="C51" i="12" s="1"/>
  <c r="AS51" i="10"/>
  <c r="AT51" i="10" s="1"/>
  <c r="U514" i="10"/>
  <c r="AS514" i="10"/>
  <c r="AU514" i="10" s="1"/>
  <c r="U216" i="10"/>
  <c r="C216" i="12" s="1"/>
  <c r="AS216" i="10"/>
  <c r="AU216" i="10" s="1"/>
  <c r="U406" i="10"/>
  <c r="C406" i="12" s="1"/>
  <c r="AS406" i="10"/>
  <c r="AU406" i="10" s="1"/>
  <c r="U223" i="10"/>
  <c r="C223" i="12" s="1"/>
  <c r="AS223" i="10"/>
  <c r="AU223" i="10" s="1"/>
  <c r="U1122" i="10"/>
  <c r="Y1122" i="10" s="1"/>
  <c r="Z1122" i="10" s="1"/>
  <c r="AS1122" i="10"/>
  <c r="U1008" i="10"/>
  <c r="C1008" i="12" s="1"/>
  <c r="AS1008" i="10"/>
  <c r="U20" i="10"/>
  <c r="C20" i="12" s="1"/>
  <c r="AS20" i="10"/>
  <c r="AT20" i="10" s="1"/>
  <c r="U1142" i="10"/>
  <c r="AS1142" i="10"/>
  <c r="AT1142" i="10" s="1"/>
  <c r="U551" i="10"/>
  <c r="Y551" i="10" s="1"/>
  <c r="Z551" i="10" s="1"/>
  <c r="AS551" i="10"/>
  <c r="AT551" i="10" s="1"/>
  <c r="U611" i="10"/>
  <c r="C611" i="12" s="1"/>
  <c r="AS611" i="10"/>
  <c r="AU611" i="10" s="1"/>
  <c r="U885" i="10"/>
  <c r="C885" i="12" s="1"/>
  <c r="AS885" i="10"/>
  <c r="AU885" i="10" s="1"/>
  <c r="U298" i="10"/>
  <c r="C298" i="12" s="1"/>
  <c r="AS298" i="10"/>
  <c r="AT298" i="10" s="1"/>
  <c r="U814" i="10"/>
  <c r="Y814" i="10" s="1"/>
  <c r="Z814" i="10" s="1"/>
  <c r="AS814" i="10"/>
  <c r="AU814" i="10" s="1"/>
  <c r="U314" i="10"/>
  <c r="C314" i="12" s="1"/>
  <c r="AS314" i="10"/>
  <c r="AT314" i="10" s="1"/>
  <c r="U299" i="10"/>
  <c r="AS299" i="10"/>
  <c r="AU299" i="10" s="1"/>
  <c r="U625" i="10"/>
  <c r="C625" i="12" s="1"/>
  <c r="AS625" i="10"/>
  <c r="AT625" i="10" s="1"/>
  <c r="U983" i="10"/>
  <c r="C983" i="12" s="1"/>
  <c r="AS983" i="10"/>
  <c r="AU983" i="10" s="1"/>
  <c r="U584" i="10"/>
  <c r="Y584" i="10" s="1"/>
  <c r="Z584" i="10" s="1"/>
  <c r="AS584" i="10"/>
  <c r="AT584" i="10" s="1"/>
  <c r="U1073" i="10"/>
  <c r="C1073" i="12" s="1"/>
  <c r="AS1073" i="10"/>
  <c r="U1113" i="10"/>
  <c r="C1113" i="12" s="1"/>
  <c r="AS1113" i="10"/>
  <c r="AU1113" i="10" s="1"/>
  <c r="U586" i="10"/>
  <c r="C586" i="12" s="1"/>
  <c r="AS586" i="10"/>
  <c r="AT586" i="10" s="1"/>
  <c r="U951" i="10"/>
  <c r="Y951" i="10" s="1"/>
  <c r="Z951" i="10" s="1"/>
  <c r="AS951" i="10"/>
  <c r="AT951" i="10" s="1"/>
  <c r="U974" i="10"/>
  <c r="C974" i="12" s="1"/>
  <c r="AS974" i="10"/>
  <c r="AT974" i="10" s="1"/>
  <c r="U339" i="10"/>
  <c r="Y339" i="10" s="1"/>
  <c r="Z339" i="10" s="1"/>
  <c r="AS339" i="10"/>
  <c r="AT339" i="10" s="1"/>
  <c r="U451" i="10"/>
  <c r="C451" i="12" s="1"/>
  <c r="AS451" i="10"/>
  <c r="AU451" i="10" s="1"/>
  <c r="U141" i="10"/>
  <c r="C141" i="12" s="1"/>
  <c r="AS141" i="10"/>
  <c r="U163" i="10"/>
  <c r="C163" i="12" s="1"/>
  <c r="AS163" i="10"/>
  <c r="AU163" i="10" s="1"/>
  <c r="U1191" i="10"/>
  <c r="C1191" i="12" s="1"/>
  <c r="AS1191" i="10"/>
  <c r="AT1191" i="10" s="1"/>
  <c r="U1054" i="10"/>
  <c r="AS1054" i="10"/>
  <c r="AU1054" i="10" s="1"/>
  <c r="U186" i="10"/>
  <c r="C186" i="12" s="1"/>
  <c r="AS186" i="10"/>
  <c r="AU186" i="10" s="1"/>
  <c r="U945" i="10"/>
  <c r="C945" i="12" s="1"/>
  <c r="AS945" i="10"/>
  <c r="AT945" i="10" s="1"/>
  <c r="U896" i="10"/>
  <c r="Y896" i="10" s="1"/>
  <c r="Z896" i="10" s="1"/>
  <c r="AS896" i="10"/>
  <c r="AU896" i="10" s="1"/>
  <c r="U1181" i="10"/>
  <c r="Y1181" i="10" s="1"/>
  <c r="Z1181" i="10" s="1"/>
  <c r="AS1181" i="10"/>
  <c r="U543" i="10"/>
  <c r="Y543" i="10" s="1"/>
  <c r="Z543" i="10" s="1"/>
  <c r="AS543" i="10"/>
  <c r="AT543" i="10" s="1"/>
  <c r="U929" i="10"/>
  <c r="C929" i="12" s="1"/>
  <c r="AS929" i="10"/>
  <c r="AU929" i="10" s="1"/>
  <c r="U668" i="10"/>
  <c r="AS668" i="10"/>
  <c r="AT668" i="10" s="1"/>
  <c r="U727" i="10"/>
  <c r="Y727" i="10" s="1"/>
  <c r="Z727" i="10" s="1"/>
  <c r="AS727" i="10"/>
  <c r="AT727" i="10" s="1"/>
  <c r="U374" i="10"/>
  <c r="C374" i="12" s="1"/>
  <c r="AS374" i="10"/>
  <c r="AT374" i="10" s="1"/>
  <c r="U953" i="10"/>
  <c r="Y953" i="10" s="1"/>
  <c r="Z953" i="10" s="1"/>
  <c r="AS953" i="10"/>
  <c r="AT953" i="10" s="1"/>
  <c r="U558" i="10"/>
  <c r="C558" i="12" s="1"/>
  <c r="AS558" i="10"/>
  <c r="U1028" i="10"/>
  <c r="C1028" i="12" s="1"/>
  <c r="AS1028" i="10"/>
  <c r="AU1028" i="10" s="1"/>
  <c r="U1111" i="10"/>
  <c r="C1111" i="12" s="1"/>
  <c r="AS1111" i="10"/>
  <c r="AT1111" i="10" s="1"/>
  <c r="U296" i="10"/>
  <c r="Y296" i="10" s="1"/>
  <c r="Z296" i="10" s="1"/>
  <c r="AS296" i="10"/>
  <c r="U279" i="10"/>
  <c r="Y279" i="10" s="1"/>
  <c r="Z279" i="10" s="1"/>
  <c r="AS279" i="10"/>
  <c r="AT279" i="10" s="1"/>
  <c r="U627" i="10"/>
  <c r="Y627" i="10" s="1"/>
  <c r="Z627" i="10" s="1"/>
  <c r="AS627" i="10"/>
  <c r="AU627" i="10" s="1"/>
  <c r="U43" i="10"/>
  <c r="Y43" i="10" s="1"/>
  <c r="Z43" i="10" s="1"/>
  <c r="AS43" i="10"/>
  <c r="AT43" i="10" s="1"/>
  <c r="U794" i="10"/>
  <c r="Y794" i="10" s="1"/>
  <c r="Z794" i="10" s="1"/>
  <c r="AS794" i="10"/>
  <c r="U211" i="10"/>
  <c r="Y211" i="10" s="1"/>
  <c r="Z211" i="10" s="1"/>
  <c r="AS211" i="10"/>
  <c r="AU211" i="10" s="1"/>
  <c r="U853" i="10"/>
  <c r="C853" i="12" s="1"/>
  <c r="AS853" i="10"/>
  <c r="AU853" i="10" s="1"/>
  <c r="U909" i="10"/>
  <c r="Y909" i="10" s="1"/>
  <c r="Z909" i="10" s="1"/>
  <c r="AS909" i="10"/>
  <c r="AU909" i="10" s="1"/>
  <c r="U517" i="10"/>
  <c r="C517" i="12" s="1"/>
  <c r="AS517" i="10"/>
  <c r="AU517" i="10" s="1"/>
  <c r="U475" i="10"/>
  <c r="Y475" i="10" s="1"/>
  <c r="Z475" i="10" s="1"/>
  <c r="AS475" i="10"/>
  <c r="AT475" i="10" s="1"/>
  <c r="U810" i="10"/>
  <c r="Y810" i="10" s="1"/>
  <c r="Z810" i="10" s="1"/>
  <c r="AS810" i="10"/>
  <c r="AT810" i="10" s="1"/>
  <c r="U802" i="10"/>
  <c r="C802" i="12" s="1"/>
  <c r="AS802" i="10"/>
  <c r="AU802" i="10" s="1"/>
  <c r="U308" i="10"/>
  <c r="C308" i="12" s="1"/>
  <c r="AS308" i="10"/>
  <c r="AT308" i="10" s="1"/>
  <c r="U368" i="10"/>
  <c r="Y368" i="10" s="1"/>
  <c r="Z368" i="10" s="1"/>
  <c r="AS368" i="10"/>
  <c r="AT368" i="10" s="1"/>
  <c r="U652" i="10"/>
  <c r="C652" i="12" s="1"/>
  <c r="AS652" i="10"/>
  <c r="AT652" i="10" s="1"/>
  <c r="U767" i="10"/>
  <c r="Y767" i="10" s="1"/>
  <c r="Z767" i="10" s="1"/>
  <c r="AS767" i="10"/>
  <c r="AT767" i="10" s="1"/>
  <c r="U956" i="10"/>
  <c r="C956" i="12" s="1"/>
  <c r="AS956" i="10"/>
  <c r="AU956" i="10" s="1"/>
  <c r="U79" i="10"/>
  <c r="Y79" i="10" s="1"/>
  <c r="Z79" i="10" s="1"/>
  <c r="AS79" i="10"/>
  <c r="AT79" i="10" s="1"/>
  <c r="U430" i="10"/>
  <c r="Y430" i="10" s="1"/>
  <c r="Z430" i="10" s="1"/>
  <c r="AS430" i="10"/>
  <c r="U14" i="10"/>
  <c r="Y14" i="10" s="1"/>
  <c r="Z14" i="10" s="1"/>
  <c r="AS14" i="10"/>
  <c r="AT14" i="10" s="1"/>
  <c r="U1094" i="10"/>
  <c r="Y1094" i="10" s="1"/>
  <c r="Z1094" i="10" s="1"/>
  <c r="AS1094" i="10"/>
  <c r="AU1094" i="10" s="1"/>
  <c r="U817" i="10"/>
  <c r="Y817" i="10" s="1"/>
  <c r="Z817" i="10" s="1"/>
  <c r="AS817" i="10"/>
  <c r="U169" i="10"/>
  <c r="Y169" i="10" s="1"/>
  <c r="Z169" i="10" s="1"/>
  <c r="AS169" i="10"/>
  <c r="AT169" i="10" s="1"/>
  <c r="U144" i="10"/>
  <c r="C144" i="12" s="1"/>
  <c r="AS144" i="10"/>
  <c r="AT144" i="10" s="1"/>
  <c r="U423" i="10"/>
  <c r="Y423" i="10" s="1"/>
  <c r="Z423" i="10" s="1"/>
  <c r="AS423" i="10"/>
  <c r="AT423" i="10" s="1"/>
  <c r="U947" i="10"/>
  <c r="Y947" i="10" s="1"/>
  <c r="Z947" i="10" s="1"/>
  <c r="AS947" i="10"/>
  <c r="U3" i="10"/>
  <c r="C3" i="12" s="1"/>
  <c r="AS3" i="10"/>
  <c r="AU3" i="10" s="1"/>
  <c r="C410" i="12"/>
  <c r="C240" i="12"/>
  <c r="U746" i="10"/>
  <c r="Y746" i="10" s="1"/>
  <c r="Z746" i="10" s="1"/>
  <c r="AS746" i="10"/>
  <c r="U1032" i="10"/>
  <c r="Y1032" i="10" s="1"/>
  <c r="Z1032" i="10" s="1"/>
  <c r="AS1032" i="10"/>
  <c r="AU1032" i="10" s="1"/>
  <c r="U159" i="10"/>
  <c r="C159" i="12" s="1"/>
  <c r="AS159" i="10"/>
  <c r="AT159" i="10" s="1"/>
  <c r="U928" i="10"/>
  <c r="Y928" i="10" s="1"/>
  <c r="Z928" i="10" s="1"/>
  <c r="AS928" i="10"/>
  <c r="AT928" i="10" s="1"/>
  <c r="U970" i="10"/>
  <c r="Y970" i="10" s="1"/>
  <c r="Z970" i="10" s="1"/>
  <c r="AS970" i="10"/>
  <c r="U1147" i="10"/>
  <c r="AS1147" i="10"/>
  <c r="AU1147" i="10" s="1"/>
  <c r="U986" i="10"/>
  <c r="AS986" i="10"/>
  <c r="U1172" i="10"/>
  <c r="Y1172" i="10" s="1"/>
  <c r="Z1172" i="10" s="1"/>
  <c r="AS1172" i="10"/>
  <c r="AT1172" i="10" s="1"/>
  <c r="U1016" i="10"/>
  <c r="AS1016" i="10"/>
  <c r="AU1016" i="10" s="1"/>
  <c r="U285" i="10"/>
  <c r="AS285" i="10"/>
  <c r="AT285" i="10" s="1"/>
  <c r="U609" i="10"/>
  <c r="AS609" i="10"/>
  <c r="AU609" i="10" s="1"/>
  <c r="U905" i="10"/>
  <c r="C905" i="12" s="1"/>
  <c r="AS905" i="10"/>
  <c r="AT905" i="10" s="1"/>
  <c r="U44" i="10"/>
  <c r="C44" i="12" s="1"/>
  <c r="AS44" i="10"/>
  <c r="AU44" i="10" s="1"/>
  <c r="U738" i="10"/>
  <c r="C738" i="12" s="1"/>
  <c r="AS738" i="10"/>
  <c r="AU738" i="10" s="1"/>
  <c r="U1184" i="10"/>
  <c r="C1184" i="12" s="1"/>
  <c r="AS1184" i="10"/>
  <c r="AU1184" i="10" s="1"/>
  <c r="U556" i="10"/>
  <c r="C556" i="12" s="1"/>
  <c r="AS556" i="10"/>
  <c r="AU556" i="10" s="1"/>
  <c r="U512" i="10"/>
  <c r="C512" i="12" s="1"/>
  <c r="AS512" i="10"/>
  <c r="AT512" i="10" s="1"/>
  <c r="U691" i="10"/>
  <c r="AS691" i="10"/>
  <c r="AU691" i="10" s="1"/>
  <c r="U937" i="10"/>
  <c r="C937" i="12" s="1"/>
  <c r="AS937" i="10"/>
  <c r="AT937" i="10" s="1"/>
  <c r="U171" i="10"/>
  <c r="C171" i="12" s="1"/>
  <c r="AS171" i="10"/>
  <c r="AU171" i="10" s="1"/>
  <c r="U452" i="10"/>
  <c r="C452" i="12" s="1"/>
  <c r="AS452" i="10"/>
  <c r="AU452" i="10" s="1"/>
  <c r="U172" i="10"/>
  <c r="C172" i="12" s="1"/>
  <c r="AS172" i="10"/>
  <c r="AT172" i="10" s="1"/>
  <c r="U605" i="10"/>
  <c r="C605" i="12" s="1"/>
  <c r="AS605" i="10"/>
  <c r="AT605" i="10" s="1"/>
  <c r="U687" i="10"/>
  <c r="C687" i="12" s="1"/>
  <c r="AS687" i="10"/>
  <c r="AT687" i="10" s="1"/>
  <c r="U1057" i="10"/>
  <c r="AS1057" i="10"/>
  <c r="AU1057" i="10" s="1"/>
  <c r="U876" i="10"/>
  <c r="Y876" i="10" s="1"/>
  <c r="Z876" i="10" s="1"/>
  <c r="AS876" i="10"/>
  <c r="AT876" i="10" s="1"/>
  <c r="U578" i="10"/>
  <c r="Y578" i="10" s="1"/>
  <c r="Z578" i="10" s="1"/>
  <c r="AS578" i="10"/>
  <c r="U197" i="10"/>
  <c r="C197" i="12" s="1"/>
  <c r="AS197" i="10"/>
  <c r="AU197" i="10" s="1"/>
  <c r="U887" i="10"/>
  <c r="C887" i="12" s="1"/>
  <c r="AS887" i="10"/>
  <c r="AU887" i="10" s="1"/>
  <c r="U866" i="10"/>
  <c r="C866" i="12" s="1"/>
  <c r="AS866" i="10"/>
  <c r="AT866" i="10" s="1"/>
  <c r="U495" i="10"/>
  <c r="C495" i="12" s="1"/>
  <c r="AS495" i="10"/>
  <c r="AT495" i="10" s="1"/>
  <c r="U459" i="10"/>
  <c r="Y459" i="10" s="1"/>
  <c r="Z459" i="10" s="1"/>
  <c r="AS459" i="10"/>
  <c r="AT459" i="10" s="1"/>
  <c r="U205" i="10"/>
  <c r="Y205" i="10" s="1"/>
  <c r="Z205" i="10" s="1"/>
  <c r="AS205" i="10"/>
  <c r="AT205" i="10" s="1"/>
  <c r="U557" i="10"/>
  <c r="C557" i="12" s="1"/>
  <c r="AS557" i="10"/>
  <c r="U519" i="10"/>
  <c r="C519" i="12" s="1"/>
  <c r="AS519" i="10"/>
  <c r="AT519" i="10" s="1"/>
  <c r="U681" i="10"/>
  <c r="Y681" i="10" s="1"/>
  <c r="Z681" i="10" s="1"/>
  <c r="AS681" i="10"/>
  <c r="U916" i="10"/>
  <c r="Y916" i="10" s="1"/>
  <c r="Z916" i="10" s="1"/>
  <c r="AS916" i="10"/>
  <c r="AT916" i="10" s="1"/>
  <c r="U249" i="10"/>
  <c r="C249" i="12" s="1"/>
  <c r="AS249" i="10"/>
  <c r="AT249" i="10" s="1"/>
  <c r="U864" i="10"/>
  <c r="AS864" i="10"/>
  <c r="AU864" i="10" s="1"/>
  <c r="U253" i="10"/>
  <c r="Y253" i="10" s="1"/>
  <c r="Z253" i="10" s="1"/>
  <c r="AS253" i="10"/>
  <c r="AU253" i="10" s="1"/>
  <c r="U927" i="10"/>
  <c r="Y927" i="10" s="1"/>
  <c r="Z927" i="10" s="1"/>
  <c r="AS927" i="10"/>
  <c r="AT927" i="10" s="1"/>
  <c r="U419" i="10"/>
  <c r="Y419" i="10" s="1"/>
  <c r="Z419" i="10" s="1"/>
  <c r="AS419" i="10"/>
  <c r="AU419" i="10" s="1"/>
  <c r="U336" i="10"/>
  <c r="C336" i="12" s="1"/>
  <c r="AS336" i="10"/>
  <c r="AU336" i="10" s="1"/>
  <c r="U875" i="10"/>
  <c r="Y875" i="10" s="1"/>
  <c r="Z875" i="10" s="1"/>
  <c r="AS875" i="10"/>
  <c r="AT875" i="10" s="1"/>
  <c r="U303" i="10"/>
  <c r="Y303" i="10" s="1"/>
  <c r="Z303" i="10" s="1"/>
  <c r="AS303" i="10"/>
  <c r="AU303" i="10" s="1"/>
  <c r="U745" i="10"/>
  <c r="Y745" i="10" s="1"/>
  <c r="Z745" i="10" s="1"/>
  <c r="AS745" i="10"/>
  <c r="AU745" i="10" s="1"/>
  <c r="U645" i="10"/>
  <c r="C645" i="12" s="1"/>
  <c r="AS645" i="10"/>
  <c r="AT645" i="10" s="1"/>
  <c r="U547" i="10"/>
  <c r="Y547" i="10" s="1"/>
  <c r="Z547" i="10" s="1"/>
  <c r="AS547" i="10"/>
  <c r="AU547" i="10" s="1"/>
  <c r="U706" i="10"/>
  <c r="Y706" i="10" s="1"/>
  <c r="Z706" i="10" s="1"/>
  <c r="AS706" i="10"/>
  <c r="AU706" i="10" s="1"/>
  <c r="U404" i="10"/>
  <c r="Y404" i="10" s="1"/>
  <c r="Z404" i="10" s="1"/>
  <c r="AS404" i="10"/>
  <c r="AT404" i="10" s="1"/>
  <c r="U1168" i="10"/>
  <c r="Y1168" i="10" s="1"/>
  <c r="Z1168" i="10" s="1"/>
  <c r="AS1168" i="10"/>
  <c r="AT1168" i="10" s="1"/>
  <c r="U1099" i="10"/>
  <c r="Y1099" i="10" s="1"/>
  <c r="Z1099" i="10" s="1"/>
  <c r="AS1099" i="10"/>
  <c r="AT1099" i="10" s="1"/>
  <c r="U962" i="10"/>
  <c r="Y962" i="10" s="1"/>
  <c r="Z962" i="10" s="1"/>
  <c r="AS962" i="10"/>
  <c r="AT962" i="10" s="1"/>
  <c r="U980" i="10"/>
  <c r="C980" i="12" s="1"/>
  <c r="AS980" i="10"/>
  <c r="AT980" i="10" s="1"/>
  <c r="U1179" i="10"/>
  <c r="Y1179" i="10" s="1"/>
  <c r="Z1179" i="10" s="1"/>
  <c r="AS1179" i="10"/>
  <c r="AU1179" i="10" s="1"/>
  <c r="U535" i="10"/>
  <c r="Y535" i="10" s="1"/>
  <c r="Z535" i="10" s="1"/>
  <c r="AS535" i="10"/>
  <c r="AU535" i="10" s="1"/>
  <c r="U493" i="10"/>
  <c r="Y493" i="10" s="1"/>
  <c r="Z493" i="10" s="1"/>
  <c r="AS493" i="10"/>
  <c r="AT493" i="10" s="1"/>
  <c r="U1037" i="10"/>
  <c r="C1037" i="12" s="1"/>
  <c r="AS1037" i="10"/>
  <c r="AU1037" i="10" s="1"/>
  <c r="U828" i="10"/>
  <c r="Y828" i="10" s="1"/>
  <c r="Z828" i="10" s="1"/>
  <c r="AS828" i="10"/>
  <c r="AU828" i="10" s="1"/>
  <c r="U185" i="10"/>
  <c r="Y185" i="10" s="1"/>
  <c r="Z185" i="10" s="1"/>
  <c r="AS185" i="10"/>
  <c r="AU185" i="10" s="1"/>
  <c r="U740" i="10"/>
  <c r="C740" i="12" s="1"/>
  <c r="AS740" i="10"/>
  <c r="AT740" i="10" s="1"/>
  <c r="U293" i="10"/>
  <c r="Y293" i="10" s="1"/>
  <c r="Z293" i="10" s="1"/>
  <c r="AS293" i="10"/>
  <c r="U397" i="10"/>
  <c r="Y397" i="10" s="1"/>
  <c r="Z397" i="10" s="1"/>
  <c r="AS397" i="10"/>
  <c r="AT397" i="10" s="1"/>
  <c r="U220" i="10"/>
  <c r="Y220" i="10" s="1"/>
  <c r="Z220" i="10" s="1"/>
  <c r="AS220" i="10"/>
  <c r="AU220" i="10" s="1"/>
  <c r="U309" i="10"/>
  <c r="Y309" i="10" s="1"/>
  <c r="Z309" i="10" s="1"/>
  <c r="AS309" i="10"/>
  <c r="AT309" i="10" s="1"/>
  <c r="U872" i="10"/>
  <c r="Y872" i="10" s="1"/>
  <c r="Z872" i="10" s="1"/>
  <c r="AS872" i="10"/>
  <c r="AU872" i="10" s="1"/>
  <c r="U1192" i="10"/>
  <c r="Y1192" i="10" s="1"/>
  <c r="Z1192" i="10" s="1"/>
  <c r="AS1192" i="10"/>
  <c r="AT1192" i="10" s="1"/>
  <c r="U469" i="10"/>
  <c r="Y469" i="10" s="1"/>
  <c r="Z469" i="10" s="1"/>
  <c r="AS469" i="10"/>
  <c r="AT469" i="10" s="1"/>
  <c r="U518" i="10"/>
  <c r="Y518" i="10" s="1"/>
  <c r="Z518" i="10" s="1"/>
  <c r="AS518" i="10"/>
  <c r="AU518" i="10" s="1"/>
  <c r="U342" i="10"/>
  <c r="Y342" i="10" s="1"/>
  <c r="Z342" i="10" s="1"/>
  <c r="AS342" i="10"/>
  <c r="AT342" i="10" s="1"/>
  <c r="U815" i="10"/>
  <c r="AS815" i="10"/>
  <c r="AT815" i="10" s="1"/>
  <c r="U107" i="10"/>
  <c r="Y107" i="10" s="1"/>
  <c r="Z107" i="10" s="1"/>
  <c r="AS107" i="10"/>
  <c r="AU107" i="10" s="1"/>
  <c r="U373" i="10"/>
  <c r="C373" i="12" s="1"/>
  <c r="AS373" i="10"/>
  <c r="AT373" i="10" s="1"/>
  <c r="U1119" i="10"/>
  <c r="Y1119" i="10" s="1"/>
  <c r="Z1119" i="10" s="1"/>
  <c r="AS1119" i="10"/>
  <c r="AU1119" i="10" s="1"/>
  <c r="U429" i="10"/>
  <c r="Y429" i="10" s="1"/>
  <c r="Z429" i="10" s="1"/>
  <c r="AS429" i="10"/>
  <c r="U694" i="10"/>
  <c r="C694" i="12" s="1"/>
  <c r="AS694" i="10"/>
  <c r="AU694" i="10" s="1"/>
  <c r="U615" i="10"/>
  <c r="Y615" i="10" s="1"/>
  <c r="Z615" i="10" s="1"/>
  <c r="AS615" i="10"/>
  <c r="AT615" i="10" s="1"/>
  <c r="C214" i="12"/>
  <c r="U138" i="10"/>
  <c r="C138" i="12" s="1"/>
  <c r="AS138" i="10"/>
  <c r="AU138" i="10" s="1"/>
  <c r="U59" i="10"/>
  <c r="AS59" i="10"/>
  <c r="AU59" i="10" s="1"/>
  <c r="U338" i="10"/>
  <c r="AS338" i="10"/>
  <c r="AU338" i="10" s="1"/>
  <c r="U361" i="10"/>
  <c r="AS361" i="10"/>
  <c r="U324" i="10"/>
  <c r="AS324" i="10"/>
  <c r="AU324" i="10" s="1"/>
  <c r="U1092" i="10"/>
  <c r="AS1092" i="10"/>
  <c r="AU1092" i="10" s="1"/>
  <c r="U1134" i="10"/>
  <c r="Y1134" i="10" s="1"/>
  <c r="Z1134" i="10" s="1"/>
  <c r="AS1134" i="10"/>
  <c r="AT1134" i="10" s="1"/>
  <c r="U734" i="10"/>
  <c r="AS734" i="10"/>
  <c r="AU734" i="10" s="1"/>
  <c r="U705" i="10"/>
  <c r="Y705" i="10" s="1"/>
  <c r="Z705" i="10" s="1"/>
  <c r="AS705" i="10"/>
  <c r="AU705" i="10" s="1"/>
  <c r="U841" i="10"/>
  <c r="U243" i="10"/>
  <c r="AS243" i="10"/>
  <c r="U193" i="10"/>
  <c r="AS193" i="10"/>
  <c r="AT847" i="10"/>
  <c r="AU847" i="10"/>
  <c r="U465" i="10"/>
  <c r="AS465" i="10"/>
  <c r="AU465" i="10" s="1"/>
  <c r="AT1166" i="10"/>
  <c r="AU1166" i="10"/>
  <c r="AU443" i="10"/>
  <c r="AT443" i="10"/>
  <c r="U11" i="10"/>
  <c r="C11" i="12" s="1"/>
  <c r="AS11" i="10"/>
  <c r="AT11" i="10" s="1"/>
  <c r="U1049" i="10"/>
  <c r="C1049" i="12" s="1"/>
  <c r="AS1049" i="10"/>
  <c r="U653" i="10"/>
  <c r="C653" i="12" s="1"/>
  <c r="AS653" i="10"/>
  <c r="AT653" i="10" s="1"/>
  <c r="U818" i="10"/>
  <c r="Y818" i="10" s="1"/>
  <c r="Z818" i="10" s="1"/>
  <c r="AS818" i="10"/>
  <c r="U704" i="10"/>
  <c r="AS704" i="10"/>
  <c r="AT704" i="10" s="1"/>
  <c r="U297" i="10"/>
  <c r="C297" i="12" s="1"/>
  <c r="AS297" i="10"/>
  <c r="AU297" i="10" s="1"/>
  <c r="U179" i="10"/>
  <c r="C179" i="12" s="1"/>
  <c r="AS179" i="10"/>
  <c r="AU179" i="10" s="1"/>
  <c r="U606" i="10"/>
  <c r="Y606" i="10" s="1"/>
  <c r="Z606" i="10" s="1"/>
  <c r="AS606" i="10"/>
  <c r="AT606" i="10" s="1"/>
  <c r="U901" i="10"/>
  <c r="Y901" i="10" s="1"/>
  <c r="Z901" i="10" s="1"/>
  <c r="AS901" i="10"/>
  <c r="AT901" i="10" s="1"/>
  <c r="U360" i="10"/>
  <c r="Y360" i="10" s="1"/>
  <c r="Z360" i="10" s="1"/>
  <c r="AS360" i="10"/>
  <c r="AT360" i="10" s="1"/>
  <c r="U1078" i="10"/>
  <c r="Y1078" i="10" s="1"/>
  <c r="Z1078" i="10" s="1"/>
  <c r="AS1078" i="10"/>
  <c r="AT1078" i="10" s="1"/>
  <c r="U979" i="10"/>
  <c r="Y979" i="10" s="1"/>
  <c r="Z979" i="10" s="1"/>
  <c r="AS979" i="10"/>
  <c r="AT979" i="10" s="1"/>
  <c r="U988" i="10"/>
  <c r="Y988" i="10" s="1"/>
  <c r="Z988" i="10" s="1"/>
  <c r="AS988" i="10"/>
  <c r="AT988" i="10" s="1"/>
  <c r="U122" i="10"/>
  <c r="Y122" i="10" s="1"/>
  <c r="Z122" i="10" s="1"/>
  <c r="AS122" i="10"/>
  <c r="AT122" i="10" s="1"/>
  <c r="U1053" i="10"/>
  <c r="Y1053" i="10" s="1"/>
  <c r="Z1053" i="10" s="1"/>
  <c r="AS1053" i="10"/>
  <c r="AU1053" i="10" s="1"/>
  <c r="U1131" i="10"/>
  <c r="Y1131" i="10" s="1"/>
  <c r="Z1131" i="10" s="1"/>
  <c r="AS1131" i="10"/>
  <c r="AU1131" i="10" s="1"/>
  <c r="U457" i="10"/>
  <c r="Y457" i="10" s="1"/>
  <c r="Z457" i="10" s="1"/>
  <c r="AS457" i="10"/>
  <c r="U1079" i="10"/>
  <c r="Y1079" i="10" s="1"/>
  <c r="Z1079" i="10" s="1"/>
  <c r="AS1079" i="10"/>
  <c r="AT1079" i="10" s="1"/>
  <c r="U981" i="10"/>
  <c r="Y981" i="10" s="1"/>
  <c r="Z981" i="10" s="1"/>
  <c r="AS981" i="10"/>
  <c r="AT981" i="10" s="1"/>
  <c r="U78" i="10"/>
  <c r="Y78" i="10" s="1"/>
  <c r="Z78" i="10" s="1"/>
  <c r="AS78" i="10"/>
  <c r="AT78" i="10" s="1"/>
  <c r="U669" i="10"/>
  <c r="C669" i="12" s="1"/>
  <c r="AS669" i="10"/>
  <c r="U42" i="10"/>
  <c r="Y42" i="10" s="1"/>
  <c r="Z42" i="10" s="1"/>
  <c r="AS42" i="10"/>
  <c r="AT42" i="10" s="1"/>
  <c r="U187" i="10"/>
  <c r="C187" i="12" s="1"/>
  <c r="AS187" i="10"/>
  <c r="AT187" i="10" s="1"/>
  <c r="U619" i="10"/>
  <c r="Y619" i="10" s="1"/>
  <c r="Z619" i="10" s="1"/>
  <c r="AS619" i="10"/>
  <c r="U893" i="10"/>
  <c r="Y893" i="10" s="1"/>
  <c r="Z893" i="10" s="1"/>
  <c r="AS893" i="10"/>
  <c r="U58" i="10"/>
  <c r="Y58" i="10" s="1"/>
  <c r="Z58" i="10" s="1"/>
  <c r="AS58" i="10"/>
  <c r="AT58" i="10" s="1"/>
  <c r="U511" i="10"/>
  <c r="C511" i="12" s="1"/>
  <c r="AS511" i="10"/>
  <c r="AT511" i="10" s="1"/>
  <c r="U754" i="10"/>
  <c r="Y754" i="10" s="1"/>
  <c r="Z754" i="10" s="1"/>
  <c r="AS754" i="10"/>
  <c r="AU754" i="10" s="1"/>
  <c r="U89" i="10"/>
  <c r="Y89" i="10" s="1"/>
  <c r="Z89" i="10" s="1"/>
  <c r="AS89" i="10"/>
  <c r="AU89" i="10" s="1"/>
  <c r="U170" i="10"/>
  <c r="C170" i="12" s="1"/>
  <c r="AS170" i="10"/>
  <c r="AU170" i="10" s="1"/>
  <c r="U333" i="10"/>
  <c r="Y333" i="10" s="1"/>
  <c r="Z333" i="10" s="1"/>
  <c r="AS333" i="10"/>
  <c r="AU333" i="10" s="1"/>
  <c r="U793" i="10"/>
  <c r="Y793" i="10" s="1"/>
  <c r="Z793" i="10" s="1"/>
  <c r="AS793" i="10"/>
  <c r="U194" i="10"/>
  <c r="C194" i="12" s="1"/>
  <c r="AS194" i="10"/>
  <c r="AU194" i="10" s="1"/>
  <c r="U1009" i="10"/>
  <c r="Y1009" i="10" s="1"/>
  <c r="Z1009" i="10" s="1"/>
  <c r="AS1009" i="10"/>
  <c r="AT1009" i="10" s="1"/>
  <c r="U396" i="10"/>
  <c r="Y396" i="10" s="1"/>
  <c r="Z396" i="10" s="1"/>
  <c r="AS396" i="10"/>
  <c r="AT396" i="10" s="1"/>
  <c r="U203" i="10"/>
  <c r="Y203" i="10" s="1"/>
  <c r="Z203" i="10" s="1"/>
  <c r="AS203" i="10"/>
  <c r="AU203" i="10" s="1"/>
  <c r="U251" i="10"/>
  <c r="Y251" i="10" s="1"/>
  <c r="Z251" i="10" s="1"/>
  <c r="AS251" i="10"/>
  <c r="AU251" i="10" s="1"/>
  <c r="U10" i="10"/>
  <c r="C10" i="12" s="1"/>
  <c r="AS10" i="10"/>
  <c r="AU10" i="10" s="1"/>
  <c r="U166" i="10"/>
  <c r="C166" i="12" s="1"/>
  <c r="AS166" i="10"/>
  <c r="U900" i="10"/>
  <c r="Y900" i="10" s="1"/>
  <c r="Z900" i="10" s="1"/>
  <c r="AS900" i="10"/>
  <c r="AU900" i="10" s="1"/>
  <c r="U145" i="10"/>
  <c r="Y145" i="10" s="1"/>
  <c r="Z145" i="10" s="1"/>
  <c r="AS145" i="10"/>
  <c r="AU145" i="10" s="1"/>
  <c r="U435" i="10"/>
  <c r="C435" i="12" s="1"/>
  <c r="AS435" i="10"/>
  <c r="AU435" i="10" s="1"/>
  <c r="U906" i="10"/>
  <c r="Y906" i="10" s="1"/>
  <c r="Z906" i="10" s="1"/>
  <c r="AS906" i="10"/>
  <c r="U744" i="10"/>
  <c r="Y744" i="10" s="1"/>
  <c r="Z744" i="10" s="1"/>
  <c r="U498" i="10"/>
  <c r="AS498" i="10"/>
  <c r="AT498" i="10" s="1"/>
  <c r="U506" i="10"/>
  <c r="AS506" i="10"/>
  <c r="AU506" i="10" s="1"/>
  <c r="U1030" i="10"/>
  <c r="AS1030" i="10"/>
  <c r="AT1030" i="10" s="1"/>
  <c r="U80" i="10"/>
  <c r="AS80" i="10"/>
  <c r="AU80" i="10" s="1"/>
  <c r="U1017" i="10"/>
  <c r="AS1017" i="10"/>
  <c r="AT1017" i="10" s="1"/>
  <c r="U865" i="10"/>
  <c r="AS865" i="10"/>
  <c r="AT865" i="10" s="1"/>
  <c r="U1152" i="10"/>
  <c r="AS1152" i="10"/>
  <c r="AU1152" i="10" s="1"/>
  <c r="U491" i="10"/>
  <c r="AS491" i="10"/>
  <c r="AT491" i="10" s="1"/>
  <c r="U682" i="10"/>
  <c r="AS682" i="10"/>
  <c r="AT682" i="10" s="1"/>
  <c r="AT713" i="10"/>
  <c r="AU713" i="10"/>
  <c r="AT531" i="10"/>
  <c r="AU531" i="10"/>
  <c r="U180" i="10"/>
  <c r="Y180" i="10" s="1"/>
  <c r="Z180" i="10" s="1"/>
  <c r="AS180" i="10"/>
  <c r="AT180" i="10" s="1"/>
  <c r="U1189" i="10"/>
  <c r="AS1189" i="10"/>
  <c r="AU1189" i="10" s="1"/>
  <c r="U961" i="10"/>
  <c r="C961" i="12" s="1"/>
  <c r="AS961" i="10"/>
  <c r="U1170" i="10"/>
  <c r="C1170" i="12" s="1"/>
  <c r="AS1170" i="10"/>
  <c r="AU1170" i="10" s="1"/>
  <c r="U662" i="10"/>
  <c r="C662" i="12" s="1"/>
  <c r="AS662" i="10"/>
  <c r="AU662" i="10" s="1"/>
  <c r="U261" i="10"/>
  <c r="C261" i="12" s="1"/>
  <c r="AS261" i="10"/>
  <c r="AT261" i="10" s="1"/>
  <c r="U895" i="10"/>
  <c r="Y895" i="10" s="1"/>
  <c r="Z895" i="10" s="1"/>
  <c r="AS895" i="10"/>
  <c r="AU895" i="10" s="1"/>
  <c r="U27" i="10"/>
  <c r="C27" i="12" s="1"/>
  <c r="AS27" i="10"/>
  <c r="AT27" i="10" s="1"/>
  <c r="U305" i="10"/>
  <c r="C305" i="12" s="1"/>
  <c r="AS305" i="10"/>
  <c r="AU305" i="10" s="1"/>
  <c r="U1125" i="10"/>
  <c r="C1125" i="12" s="1"/>
  <c r="AS1125" i="10"/>
  <c r="AT1125" i="10" s="1"/>
  <c r="U83" i="10"/>
  <c r="AS83" i="10"/>
  <c r="U591" i="10"/>
  <c r="Y591" i="10" s="1"/>
  <c r="Z591" i="10" s="1"/>
  <c r="AS591" i="10"/>
  <c r="AU591" i="10" s="1"/>
  <c r="U990" i="10"/>
  <c r="C990" i="12" s="1"/>
  <c r="AS990" i="10"/>
  <c r="AU990" i="10" s="1"/>
  <c r="U268" i="10"/>
  <c r="C268" i="12" s="1"/>
  <c r="AS268" i="10"/>
  <c r="AT268" i="10" s="1"/>
  <c r="U908" i="10"/>
  <c r="C908" i="12" s="1"/>
  <c r="AS908" i="10"/>
  <c r="AT908" i="10" s="1"/>
  <c r="U923" i="10"/>
  <c r="AS923" i="10"/>
  <c r="AT923" i="10" s="1"/>
  <c r="U365" i="10"/>
  <c r="C365" i="12" s="1"/>
  <c r="AS365" i="10"/>
  <c r="AT365" i="10" s="1"/>
  <c r="U801" i="10"/>
  <c r="C801" i="12" s="1"/>
  <c r="AS801" i="10"/>
  <c r="AU801" i="10" s="1"/>
  <c r="U992" i="10"/>
  <c r="C992" i="12" s="1"/>
  <c r="AS992" i="10"/>
  <c r="AU992" i="10" s="1"/>
  <c r="U757" i="10"/>
  <c r="C757" i="12" s="1"/>
  <c r="AS757" i="10"/>
  <c r="AT757" i="10" s="1"/>
  <c r="U964" i="10"/>
  <c r="C964" i="12" s="1"/>
  <c r="AS964" i="10"/>
  <c r="AT964" i="10" s="1"/>
  <c r="U663" i="10"/>
  <c r="Y663" i="10" s="1"/>
  <c r="Z663" i="10" s="1"/>
  <c r="AS663" i="10"/>
  <c r="U692" i="10"/>
  <c r="Y692" i="10" s="1"/>
  <c r="Z692" i="10" s="1"/>
  <c r="AS692" i="10"/>
  <c r="AT692" i="10" s="1"/>
  <c r="U861" i="10"/>
  <c r="Y861" i="10" s="1"/>
  <c r="Z861" i="10" s="1"/>
  <c r="AS861" i="10"/>
  <c r="AT861" i="10" s="1"/>
  <c r="U999" i="10"/>
  <c r="Y999" i="10" s="1"/>
  <c r="Z999" i="10" s="1"/>
  <c r="AS999" i="10"/>
  <c r="AU999" i="10" s="1"/>
  <c r="U494" i="10"/>
  <c r="C494" i="12" s="1"/>
  <c r="AS494" i="10"/>
  <c r="AU494" i="10" s="1"/>
  <c r="U1061" i="10"/>
  <c r="C1061" i="12" s="1"/>
  <c r="AS1061" i="10"/>
  <c r="AU1061" i="10" s="1"/>
  <c r="U1136" i="10"/>
  <c r="Y1136" i="10" s="1"/>
  <c r="Z1136" i="10" s="1"/>
  <c r="AS1136" i="10"/>
  <c r="AU1136" i="10" s="1"/>
  <c r="U379" i="10"/>
  <c r="C379" i="12" s="1"/>
  <c r="AS379" i="10"/>
  <c r="AT379" i="10" s="1"/>
  <c r="U719" i="10"/>
  <c r="C719" i="12" s="1"/>
  <c r="AS719" i="10"/>
  <c r="AT719" i="10" s="1"/>
  <c r="U57" i="10"/>
  <c r="C57" i="12" s="1"/>
  <c r="AS57" i="10"/>
  <c r="AT57" i="10" s="1"/>
  <c r="U1135" i="10"/>
  <c r="AS1135" i="10"/>
  <c r="AT1135" i="10" s="1"/>
  <c r="U237" i="10"/>
  <c r="C237" i="12" s="1"/>
  <c r="AS237" i="10"/>
  <c r="AU237" i="10" s="1"/>
  <c r="U997" i="10"/>
  <c r="C997" i="12" s="1"/>
  <c r="AS997" i="10"/>
  <c r="AT997" i="10" s="1"/>
  <c r="U602" i="10"/>
  <c r="C602" i="12" s="1"/>
  <c r="AS602" i="10"/>
  <c r="AT602" i="10" s="1"/>
  <c r="U1005" i="10"/>
  <c r="C1005" i="12" s="1"/>
  <c r="AS1005" i="10"/>
  <c r="AT1005" i="10" s="1"/>
  <c r="U202" i="10"/>
  <c r="C202" i="12" s="1"/>
  <c r="AS202" i="10"/>
  <c r="AU202" i="10" s="1"/>
  <c r="U843" i="10"/>
  <c r="Y843" i="10" s="1"/>
  <c r="Z843" i="10" s="1"/>
  <c r="AS843" i="10"/>
  <c r="AT843" i="10" s="1"/>
  <c r="U386" i="10"/>
  <c r="Y386" i="10" s="1"/>
  <c r="Z386" i="10" s="1"/>
  <c r="AS386" i="10"/>
  <c r="AT386" i="10" s="1"/>
  <c r="U292" i="10"/>
  <c r="C292" i="12" s="1"/>
  <c r="AS292" i="10"/>
  <c r="AT292" i="10" s="1"/>
  <c r="U480" i="10"/>
  <c r="Y480" i="10" s="1"/>
  <c r="Z480" i="10" s="1"/>
  <c r="AS480" i="10"/>
  <c r="AU480" i="10" s="1"/>
  <c r="U264" i="10"/>
  <c r="Y264" i="10" s="1"/>
  <c r="Z264" i="10" s="1"/>
  <c r="AS264" i="10"/>
  <c r="AU264" i="10" s="1"/>
  <c r="U741" i="10"/>
  <c r="C741" i="12" s="1"/>
  <c r="AS741" i="10"/>
  <c r="U958" i="10"/>
  <c r="Y958" i="10" s="1"/>
  <c r="Z958" i="10" s="1"/>
  <c r="AS958" i="10"/>
  <c r="AU958" i="10" s="1"/>
  <c r="U966" i="10"/>
  <c r="Y966" i="10" s="1"/>
  <c r="Z966" i="10" s="1"/>
  <c r="AS966" i="10"/>
  <c r="AU966" i="10" s="1"/>
  <c r="U796" i="10"/>
  <c r="Y796" i="10" s="1"/>
  <c r="Z796" i="10" s="1"/>
  <c r="AS796" i="10"/>
  <c r="AT796" i="10" s="1"/>
  <c r="U561" i="10"/>
  <c r="C561" i="12" s="1"/>
  <c r="AS561" i="10"/>
  <c r="AU561" i="10" s="1"/>
  <c r="U976" i="10"/>
  <c r="Y976" i="10" s="1"/>
  <c r="Z976" i="10" s="1"/>
  <c r="AS976" i="10"/>
  <c r="AU976" i="10" s="1"/>
  <c r="U1162" i="10"/>
  <c r="Y1162" i="10" s="1"/>
  <c r="Z1162" i="10" s="1"/>
  <c r="AS1162" i="10"/>
  <c r="U834" i="10"/>
  <c r="Y834" i="10" s="1"/>
  <c r="Z834" i="10" s="1"/>
  <c r="AS834" i="10"/>
  <c r="U1060" i="10"/>
  <c r="Y1060" i="10" s="1"/>
  <c r="Z1060" i="10" s="1"/>
  <c r="AS1060" i="10"/>
  <c r="AU1060" i="10" s="1"/>
  <c r="U245" i="10"/>
  <c r="C245" i="12" s="1"/>
  <c r="AS245" i="10"/>
  <c r="AU245" i="10" s="1"/>
  <c r="U436" i="10"/>
  <c r="Y436" i="10" s="1"/>
  <c r="Z436" i="10" s="1"/>
  <c r="AS436" i="10"/>
  <c r="AT436" i="10" s="1"/>
  <c r="U39" i="10"/>
  <c r="Y39" i="10" s="1"/>
  <c r="Z39" i="10" s="1"/>
  <c r="AS39" i="10"/>
  <c r="U1104" i="10"/>
  <c r="C1104" i="12" s="1"/>
  <c r="AS1104" i="10"/>
  <c r="AT1104" i="10" s="1"/>
  <c r="U274" i="10"/>
  <c r="C274" i="12" s="1"/>
  <c r="AS274" i="10"/>
  <c r="AU274" i="10" s="1"/>
  <c r="U1153" i="10"/>
  <c r="Y1153" i="10" s="1"/>
  <c r="Z1153" i="10" s="1"/>
  <c r="AS1153" i="10"/>
  <c r="U327" i="10"/>
  <c r="Y327" i="10" s="1"/>
  <c r="Z327" i="10" s="1"/>
  <c r="AS327" i="10"/>
  <c r="AT327" i="10" s="1"/>
  <c r="U781" i="10"/>
  <c r="Y781" i="10" s="1"/>
  <c r="Z781" i="10" s="1"/>
  <c r="AS781" i="10"/>
  <c r="AU781" i="10" s="1"/>
  <c r="U822" i="10"/>
  <c r="Y822" i="10" s="1"/>
  <c r="Z822" i="10" s="1"/>
  <c r="AS822" i="10"/>
  <c r="AT822" i="10" s="1"/>
  <c r="U837" i="10"/>
  <c r="Y837" i="10" s="1"/>
  <c r="Z837" i="10" s="1"/>
  <c r="AS837" i="10"/>
  <c r="AU837" i="10" s="1"/>
  <c r="U165" i="10"/>
  <c r="Y165" i="10" s="1"/>
  <c r="Z165" i="10" s="1"/>
  <c r="AS165" i="10"/>
  <c r="AU165" i="10" s="1"/>
  <c r="U1077" i="10"/>
  <c r="Y1077" i="10" s="1"/>
  <c r="Z1077" i="10" s="1"/>
  <c r="AS1077" i="10"/>
  <c r="AU1077" i="10" s="1"/>
  <c r="U850" i="10"/>
  <c r="Y850" i="10" s="1"/>
  <c r="Z850" i="10" s="1"/>
  <c r="AS850" i="10"/>
  <c r="U525" i="10"/>
  <c r="Y525" i="10" s="1"/>
  <c r="Z525" i="10" s="1"/>
  <c r="AS525" i="10"/>
  <c r="AT525" i="10" s="1"/>
  <c r="U1013" i="10"/>
  <c r="C1013" i="12" s="1"/>
  <c r="AS1013" i="10"/>
  <c r="AU1013" i="10" s="1"/>
  <c r="U217" i="10"/>
  <c r="Y217" i="10" s="1"/>
  <c r="Z217" i="10" s="1"/>
  <c r="AS217" i="10"/>
  <c r="AU217" i="10" s="1"/>
  <c r="U266" i="10"/>
  <c r="AS266" i="10"/>
  <c r="AT266" i="10" s="1"/>
  <c r="U761" i="10"/>
  <c r="Y761" i="10" s="1"/>
  <c r="Z761" i="10" s="1"/>
  <c r="AS761" i="10"/>
  <c r="AU761" i="10" s="1"/>
  <c r="U768" i="10"/>
  <c r="Y768" i="10" s="1"/>
  <c r="Z768" i="10" s="1"/>
  <c r="AS768" i="10"/>
  <c r="AT768" i="10" s="1"/>
  <c r="U636" i="10"/>
  <c r="Y636" i="10" s="1"/>
  <c r="Z636" i="10" s="1"/>
  <c r="AS636" i="10"/>
  <c r="U21" i="10"/>
  <c r="C21" i="12" s="1"/>
  <c r="AS21" i="10"/>
  <c r="AU21" i="10" s="1"/>
  <c r="U234" i="10"/>
  <c r="Y234" i="10" s="1"/>
  <c r="Z234" i="10" s="1"/>
  <c r="AS234" i="10"/>
  <c r="AT234" i="10" s="1"/>
  <c r="U595" i="10"/>
  <c r="C595" i="12" s="1"/>
  <c r="AS595" i="10"/>
  <c r="AU595" i="10" s="1"/>
  <c r="U538" i="10"/>
  <c r="Y538" i="10" s="1"/>
  <c r="Z538" i="10" s="1"/>
  <c r="AS538" i="10"/>
  <c r="AT538" i="10" s="1"/>
  <c r="U935" i="10"/>
  <c r="Y935" i="10" s="1"/>
  <c r="Z935" i="10" s="1"/>
  <c r="AS935" i="10"/>
  <c r="AU935" i="10" s="1"/>
  <c r="C227" i="12"/>
  <c r="U541" i="10"/>
  <c r="Y541" i="10" s="1"/>
  <c r="Z541" i="10" s="1"/>
  <c r="AS541" i="10"/>
  <c r="AU541" i="10" s="1"/>
  <c r="U366" i="10"/>
  <c r="Y366" i="10" s="1"/>
  <c r="Z366" i="10" s="1"/>
  <c r="AS366" i="10"/>
  <c r="AU366" i="10" s="1"/>
  <c r="U283" i="10"/>
  <c r="Y283" i="10" s="1"/>
  <c r="Z283" i="10" s="1"/>
  <c r="AS283" i="10"/>
  <c r="U201" i="10"/>
  <c r="Y201" i="10" s="1"/>
  <c r="Z201" i="10" s="1"/>
  <c r="AS201" i="10"/>
  <c r="U1098" i="10"/>
  <c r="Y1098" i="10" s="1"/>
  <c r="Z1098" i="10" s="1"/>
  <c r="AS1098" i="10"/>
  <c r="AU1098" i="10" s="1"/>
  <c r="U846" i="10"/>
  <c r="Y846" i="10" s="1"/>
  <c r="Z846" i="10" s="1"/>
  <c r="U638" i="10"/>
  <c r="AS638" i="10"/>
  <c r="AT638" i="10" s="1"/>
  <c r="U391" i="10"/>
  <c r="AS391" i="10"/>
  <c r="AU391" i="10" s="1"/>
  <c r="U67" i="10"/>
  <c r="AS67" i="10"/>
  <c r="AU67" i="10" s="1"/>
  <c r="U233" i="10"/>
  <c r="AS233" i="10"/>
  <c r="U117" i="10"/>
  <c r="AS117" i="10"/>
  <c r="U376" i="10"/>
  <c r="AS376" i="10"/>
  <c r="AT376" i="10" s="1"/>
  <c r="U594" i="10"/>
  <c r="AS594" i="10"/>
  <c r="AU594" i="10" s="1"/>
  <c r="U319" i="10"/>
  <c r="AS319" i="10"/>
  <c r="AT319" i="10" s="1"/>
  <c r="U441" i="10"/>
  <c r="Y441" i="10" s="1"/>
  <c r="Z441" i="10" s="1"/>
  <c r="AS441" i="10"/>
  <c r="AT441" i="10" s="1"/>
  <c r="U453" i="10"/>
  <c r="AS453" i="10"/>
  <c r="AT453" i="10" s="1"/>
  <c r="U369" i="10"/>
  <c r="AS369" i="10"/>
  <c r="AT369" i="10" s="1"/>
  <c r="AT483" i="10"/>
  <c r="AU483" i="10"/>
  <c r="U189" i="10"/>
  <c r="Y189" i="10" s="1"/>
  <c r="Z189" i="10" s="1"/>
  <c r="AS189" i="10"/>
  <c r="AT189" i="10" s="1"/>
  <c r="U134" i="10"/>
  <c r="Y134" i="10" s="1"/>
  <c r="Z134" i="10" s="1"/>
  <c r="AS134" i="10"/>
  <c r="AT134" i="10" s="1"/>
  <c r="U737" i="10"/>
  <c r="Y737" i="10" s="1"/>
  <c r="Z737" i="10" s="1"/>
  <c r="AS737" i="10"/>
  <c r="AT737" i="10" s="1"/>
  <c r="U729" i="10"/>
  <c r="C729" i="12" s="1"/>
  <c r="AS729" i="10"/>
  <c r="AU729" i="10" s="1"/>
  <c r="U1010" i="10"/>
  <c r="C1010" i="12" s="1"/>
  <c r="AS1010" i="10"/>
  <c r="AU1010" i="10" s="1"/>
  <c r="U263" i="10"/>
  <c r="Y263" i="10" s="1"/>
  <c r="Z263" i="10" s="1"/>
  <c r="AS263" i="10"/>
  <c r="AT263" i="10" s="1"/>
  <c r="U434" i="10"/>
  <c r="Y434" i="10" s="1"/>
  <c r="Z434" i="10" s="1"/>
  <c r="AS434" i="10"/>
  <c r="AU434" i="10" s="1"/>
  <c r="U82" i="10"/>
  <c r="Y82" i="10" s="1"/>
  <c r="Z82" i="10" s="1"/>
  <c r="AS82" i="10"/>
  <c r="AU82" i="10" s="1"/>
  <c r="U286" i="10"/>
  <c r="C286" i="12" s="1"/>
  <c r="AS286" i="10"/>
  <c r="U101" i="10"/>
  <c r="AS101" i="10"/>
  <c r="U778" i="10"/>
  <c r="C778" i="12" s="1"/>
  <c r="AS778" i="10"/>
  <c r="AU778" i="10" s="1"/>
  <c r="U1112" i="10"/>
  <c r="C1112" i="12" s="1"/>
  <c r="AS1112" i="10"/>
  <c r="AT1112" i="10" s="1"/>
  <c r="U103" i="10"/>
  <c r="C103" i="12" s="1"/>
  <c r="AS103" i="10"/>
  <c r="AT103" i="10" s="1"/>
  <c r="U497" i="10"/>
  <c r="Y497" i="10" s="1"/>
  <c r="Z497" i="10" s="1"/>
  <c r="AS497" i="10"/>
  <c r="AU497" i="10" s="1"/>
  <c r="U239" i="10"/>
  <c r="Y239" i="10" s="1"/>
  <c r="Z239" i="10" s="1"/>
  <c r="AS239" i="10"/>
  <c r="AU239" i="10" s="1"/>
  <c r="U394" i="10"/>
  <c r="Y394" i="10" s="1"/>
  <c r="Z394" i="10" s="1"/>
  <c r="AS394" i="10"/>
  <c r="AU394" i="10" s="1"/>
  <c r="U603" i="10"/>
  <c r="AS603" i="10"/>
  <c r="AU603" i="10" s="1"/>
  <c r="U874" i="10"/>
  <c r="C874" i="12" s="1"/>
  <c r="AS874" i="10"/>
  <c r="AU874" i="10" s="1"/>
  <c r="U32" i="10"/>
  <c r="C32" i="12" s="1"/>
  <c r="AS32" i="10"/>
  <c r="AU32" i="10" s="1"/>
  <c r="U679" i="10"/>
  <c r="Y679" i="10" s="1"/>
  <c r="Z679" i="10" s="1"/>
  <c r="AS679" i="10"/>
  <c r="AU679" i="10" s="1"/>
  <c r="U149" i="10"/>
  <c r="C149" i="12" s="1"/>
  <c r="AS149" i="10"/>
  <c r="AU149" i="10" s="1"/>
  <c r="U1141" i="10"/>
  <c r="C1141" i="12" s="1"/>
  <c r="AS1141" i="10"/>
  <c r="AT1141" i="10" s="1"/>
  <c r="U582" i="10"/>
  <c r="Y582" i="10" s="1"/>
  <c r="Z582" i="10" s="1"/>
  <c r="AS582" i="10"/>
  <c r="AT582" i="10" s="1"/>
  <c r="U522" i="10"/>
  <c r="AS522" i="10"/>
  <c r="AU522" i="10" s="1"/>
  <c r="U549" i="10"/>
  <c r="C549" i="12" s="1"/>
  <c r="AS549" i="10"/>
  <c r="AT549" i="10" s="1"/>
  <c r="U599" i="10"/>
  <c r="C599" i="12" s="1"/>
  <c r="AS599" i="10"/>
  <c r="AT599" i="10" s="1"/>
  <c r="U1095" i="10"/>
  <c r="C1095" i="12" s="1"/>
  <c r="AS1095" i="10"/>
  <c r="AT1095" i="10" s="1"/>
  <c r="U133" i="10"/>
  <c r="Y133" i="10" s="1"/>
  <c r="Z133" i="10" s="1"/>
  <c r="AS133" i="10"/>
  <c r="AT133" i="10" s="1"/>
  <c r="U565" i="10"/>
  <c r="C565" i="12" s="1"/>
  <c r="AS565" i="10"/>
  <c r="AT565" i="10" s="1"/>
  <c r="U477" i="10"/>
  <c r="Y477" i="10" s="1"/>
  <c r="Z477" i="10" s="1"/>
  <c r="AS477" i="10"/>
  <c r="AU477" i="10" s="1"/>
  <c r="U426" i="10"/>
  <c r="C426" i="12" s="1"/>
  <c r="AS426" i="10"/>
  <c r="U364" i="10"/>
  <c r="Y364" i="10" s="1"/>
  <c r="Z364" i="10" s="1"/>
  <c r="AS364" i="10"/>
  <c r="AU364" i="10" s="1"/>
  <c r="U770" i="10"/>
  <c r="Y770" i="10" s="1"/>
  <c r="Z770" i="10" s="1"/>
  <c r="AS770" i="10"/>
  <c r="AT770" i="10" s="1"/>
  <c r="U892" i="10"/>
  <c r="Y892" i="10" s="1"/>
  <c r="Z892" i="10" s="1"/>
  <c r="AS892" i="10"/>
  <c r="AU892" i="10" s="1"/>
  <c r="U1143" i="10"/>
  <c r="Y1143" i="10" s="1"/>
  <c r="Z1143" i="10" s="1"/>
  <c r="AS1143" i="10"/>
  <c r="AU1143" i="10" s="1"/>
  <c r="U438" i="10"/>
  <c r="Y438" i="10" s="1"/>
  <c r="Z438" i="10" s="1"/>
  <c r="AS438" i="10"/>
  <c r="AT438" i="10" s="1"/>
  <c r="U732" i="10"/>
  <c r="C732" i="12" s="1"/>
  <c r="AS732" i="10"/>
  <c r="AT732" i="10" s="1"/>
  <c r="U604" i="10"/>
  <c r="Y604" i="10" s="1"/>
  <c r="Z604" i="10" s="1"/>
  <c r="AS604" i="10"/>
  <c r="U236" i="10"/>
  <c r="Y236" i="10" s="1"/>
  <c r="Z236" i="10" s="1"/>
  <c r="AS236" i="10"/>
  <c r="AT236" i="10" s="1"/>
  <c r="U455" i="10"/>
  <c r="Y455" i="10" s="1"/>
  <c r="Z455" i="10" s="1"/>
  <c r="AS455" i="10"/>
  <c r="AT455" i="10" s="1"/>
  <c r="U433" i="10"/>
  <c r="Y433" i="10" s="1"/>
  <c r="Z433" i="10" s="1"/>
  <c r="AS433" i="10"/>
  <c r="AT433" i="10" s="1"/>
  <c r="U1115" i="10"/>
  <c r="Y1115" i="10" s="1"/>
  <c r="Z1115" i="10" s="1"/>
  <c r="AS1115" i="10"/>
  <c r="AU1115" i="10" s="1"/>
  <c r="U300" i="10"/>
  <c r="Y300" i="10" s="1"/>
  <c r="Z300" i="10" s="1"/>
  <c r="AS300" i="10"/>
  <c r="AU300" i="10" s="1"/>
  <c r="U1072" i="10"/>
  <c r="Y1072" i="10" s="1"/>
  <c r="Z1072" i="10" s="1"/>
  <c r="AS1072" i="10"/>
  <c r="AT1072" i="10" s="1"/>
  <c r="U334" i="10"/>
  <c r="Y334" i="10" s="1"/>
  <c r="Z334" i="10" s="1"/>
  <c r="AS334" i="10"/>
  <c r="AT334" i="10" s="1"/>
  <c r="U405" i="10"/>
  <c r="Y405" i="10" s="1"/>
  <c r="Z405" i="10" s="1"/>
  <c r="AS405" i="10"/>
  <c r="AT405" i="10" s="1"/>
  <c r="U228" i="10"/>
  <c r="Y228" i="10" s="1"/>
  <c r="Z228" i="10" s="1"/>
  <c r="AS228" i="10"/>
  <c r="AT228" i="10" s="1"/>
  <c r="U879" i="10"/>
  <c r="Y879" i="10" s="1"/>
  <c r="Z879" i="10" s="1"/>
  <c r="AS879" i="10"/>
  <c r="AT879" i="10" s="1"/>
  <c r="U1027" i="10"/>
  <c r="C1027" i="12" s="1"/>
  <c r="AS1027" i="10"/>
  <c r="AU1027" i="10" s="1"/>
  <c r="U811" i="10"/>
  <c r="Y811" i="10" s="1"/>
  <c r="Z811" i="10" s="1"/>
  <c r="AS811" i="10"/>
  <c r="AT811" i="10" s="1"/>
  <c r="U1031" i="10"/>
  <c r="Y1031" i="10" s="1"/>
  <c r="Z1031" i="10" s="1"/>
  <c r="AS1031" i="10"/>
  <c r="U523" i="10"/>
  <c r="Y523" i="10" s="1"/>
  <c r="Z523" i="10" s="1"/>
  <c r="AS523" i="10"/>
  <c r="U574" i="10"/>
  <c r="Y574" i="10" s="1"/>
  <c r="Z574" i="10" s="1"/>
  <c r="AS574" i="10"/>
  <c r="AT574" i="10" s="1"/>
  <c r="U467" i="10"/>
  <c r="Y467" i="10" s="1"/>
  <c r="Z467" i="10" s="1"/>
  <c r="AS467" i="10"/>
  <c r="AU467" i="10" s="1"/>
  <c r="U45" i="10"/>
  <c r="Y45" i="10" s="1"/>
  <c r="Z45" i="10" s="1"/>
  <c r="AS45" i="10"/>
  <c r="AT45" i="10" s="1"/>
  <c r="U657" i="10"/>
  <c r="Y657" i="10" s="1"/>
  <c r="Z657" i="10" s="1"/>
  <c r="AS657" i="10"/>
  <c r="AT657" i="10" s="1"/>
  <c r="U1026" i="10"/>
  <c r="Y1026" i="10" s="1"/>
  <c r="Z1026" i="10" s="1"/>
  <c r="AS1026" i="10"/>
  <c r="AU1026" i="10" s="1"/>
  <c r="U388" i="10"/>
  <c r="C388" i="12" s="1"/>
  <c r="AS388" i="10"/>
  <c r="AU388" i="10" s="1"/>
  <c r="U428" i="10"/>
  <c r="AS428" i="10"/>
  <c r="U1051" i="10"/>
  <c r="C1051" i="12" s="1"/>
  <c r="AS1051" i="10"/>
  <c r="AU1051" i="10" s="1"/>
  <c r="U949" i="10"/>
  <c r="Y949" i="10" s="1"/>
  <c r="Z949" i="10" s="1"/>
  <c r="AS949" i="10"/>
  <c r="AT949" i="10" s="1"/>
  <c r="U630" i="10"/>
  <c r="C630" i="12" s="1"/>
  <c r="AS630" i="10"/>
  <c r="AU630" i="10" s="1"/>
  <c r="U77" i="10"/>
  <c r="Y77" i="10" s="1"/>
  <c r="Z77" i="10" s="1"/>
  <c r="AS77" i="10"/>
  <c r="U524" i="10"/>
  <c r="Y524" i="10" s="1"/>
  <c r="Z524" i="10" s="1"/>
  <c r="AS524" i="10"/>
  <c r="AU524" i="10" s="1"/>
  <c r="U178" i="10"/>
  <c r="Y178" i="10" s="1"/>
  <c r="Z178" i="10" s="1"/>
  <c r="AS178" i="10"/>
  <c r="AT178" i="10" s="1"/>
  <c r="U978" i="10"/>
  <c r="C978" i="12" s="1"/>
  <c r="AS978" i="10"/>
  <c r="AU978" i="10" s="1"/>
  <c r="C890" i="12"/>
  <c r="U272" i="10"/>
  <c r="Y272" i="10" s="1"/>
  <c r="Z272" i="10" s="1"/>
  <c r="AS272" i="10"/>
  <c r="AU272" i="10" s="1"/>
  <c r="U1090" i="10"/>
  <c r="Y1090" i="10" s="1"/>
  <c r="Z1090" i="10" s="1"/>
  <c r="AS1090" i="10"/>
  <c r="AU1090" i="10" s="1"/>
  <c r="U130" i="10"/>
  <c r="AS130" i="10"/>
  <c r="U959" i="10"/>
  <c r="Y959" i="10" s="1"/>
  <c r="Z959" i="10" s="1"/>
  <c r="AS959" i="10"/>
  <c r="AT959" i="10" s="1"/>
  <c r="U821" i="10"/>
  <c r="Y821" i="10" s="1"/>
  <c r="Z821" i="10" s="1"/>
  <c r="AS821" i="10"/>
  <c r="U280" i="10"/>
  <c r="Y280" i="10" s="1"/>
  <c r="Z280" i="10" s="1"/>
  <c r="AS280" i="10"/>
  <c r="AT280" i="10" s="1"/>
  <c r="U248" i="10"/>
  <c r="AS248" i="10"/>
  <c r="AT248" i="10" s="1"/>
  <c r="U752" i="10"/>
  <c r="Y752" i="10" s="1"/>
  <c r="Z752" i="10" s="1"/>
  <c r="AS752" i="10"/>
  <c r="AT752" i="10" s="1"/>
  <c r="U572" i="10"/>
  <c r="Y572" i="10" s="1"/>
  <c r="Z572" i="10" s="1"/>
  <c r="AS572" i="10"/>
  <c r="AU572" i="10" s="1"/>
  <c r="U85" i="10"/>
  <c r="AS85" i="10"/>
  <c r="AU85" i="10" s="1"/>
  <c r="U503" i="10"/>
  <c r="Y503" i="10" s="1"/>
  <c r="Z503" i="10" s="1"/>
  <c r="AS503" i="10"/>
  <c r="AT503" i="10" s="1"/>
  <c r="U634" i="10"/>
  <c r="Y634" i="10" s="1"/>
  <c r="Z634" i="10" s="1"/>
  <c r="AS634" i="10"/>
  <c r="U948" i="10"/>
  <c r="AS948" i="10"/>
  <c r="AU877" i="10"/>
  <c r="AT877" i="10"/>
  <c r="AT854" i="10"/>
  <c r="AU854" i="10"/>
  <c r="U1003" i="10"/>
  <c r="AS1003" i="10"/>
  <c r="AU1003" i="10" s="1"/>
  <c r="U566" i="10"/>
  <c r="AS566" i="10"/>
  <c r="AU566" i="10" s="1"/>
  <c r="U880" i="10"/>
  <c r="AS880" i="10"/>
  <c r="AT880" i="10" s="1"/>
  <c r="U476" i="10"/>
  <c r="AS476" i="10"/>
  <c r="AT476" i="10" s="1"/>
  <c r="AU759" i="10"/>
  <c r="AU363" i="10"/>
  <c r="AT363" i="10"/>
  <c r="AT128" i="10"/>
  <c r="AU128" i="10"/>
  <c r="AT1102" i="10"/>
  <c r="AU1102" i="10"/>
  <c r="AU260" i="10"/>
  <c r="AT260" i="10"/>
  <c r="U1106" i="10"/>
  <c r="Y1106" i="10" s="1"/>
  <c r="Z1106" i="10" s="1"/>
  <c r="AS1106" i="10"/>
  <c r="AT1106" i="10" s="1"/>
  <c r="U869" i="10"/>
  <c r="Y869" i="10" s="1"/>
  <c r="Z869" i="10" s="1"/>
  <c r="AS869" i="10"/>
  <c r="AT869" i="10" s="1"/>
  <c r="U40" i="10"/>
  <c r="Y40" i="10" s="1"/>
  <c r="Z40" i="10" s="1"/>
  <c r="AS40" i="10"/>
  <c r="AU40" i="10" s="1"/>
  <c r="U408" i="10"/>
  <c r="Y408" i="10" s="1"/>
  <c r="Z408" i="10" s="1"/>
  <c r="AS408" i="10"/>
  <c r="AU408" i="10" s="1"/>
  <c r="U1006" i="10"/>
  <c r="Y1006" i="10" s="1"/>
  <c r="Z1006" i="10" s="1"/>
  <c r="AS1006" i="10"/>
  <c r="U868" i="10"/>
  <c r="C868" i="12" s="1"/>
  <c r="AS868" i="10"/>
  <c r="AU868" i="10" s="1"/>
  <c r="U28" i="10"/>
  <c r="AS28" i="10"/>
  <c r="AU28" i="10" s="1"/>
  <c r="U863" i="10"/>
  <c r="Y863" i="10" s="1"/>
  <c r="Z863" i="10" s="1"/>
  <c r="AS863" i="10"/>
  <c r="AT863" i="10" s="1"/>
  <c r="U30" i="10"/>
  <c r="Y30" i="10" s="1"/>
  <c r="Z30" i="10" s="1"/>
  <c r="AS30" i="10"/>
  <c r="AT30" i="10" s="1"/>
  <c r="U304" i="10"/>
  <c r="Y304" i="10" s="1"/>
  <c r="Z304" i="10" s="1"/>
  <c r="AS304" i="10"/>
  <c r="AU304" i="10" s="1"/>
  <c r="U432" i="10"/>
  <c r="Y432" i="10" s="1"/>
  <c r="Z432" i="10" s="1"/>
  <c r="AS432" i="10"/>
  <c r="AT432" i="10" s="1"/>
  <c r="U891" i="10"/>
  <c r="C891" i="12" s="1"/>
  <c r="AS891" i="10"/>
  <c r="U808" i="10"/>
  <c r="Y808" i="10" s="1"/>
  <c r="Z808" i="10" s="1"/>
  <c r="AS808" i="10"/>
  <c r="U921" i="10"/>
  <c r="AS921" i="10"/>
  <c r="AT921" i="10" s="1"/>
  <c r="U899" i="10"/>
  <c r="Y899" i="10" s="1"/>
  <c r="Z899" i="10" s="1"/>
  <c r="AS899" i="10"/>
  <c r="AT899" i="10" s="1"/>
  <c r="U826" i="10"/>
  <c r="Y826" i="10" s="1"/>
  <c r="Z826" i="10" s="1"/>
  <c r="AS826" i="10"/>
  <c r="AU826" i="10" s="1"/>
  <c r="U123" i="10"/>
  <c r="Y123" i="10" s="1"/>
  <c r="Z123" i="10" s="1"/>
  <c r="AS123" i="10"/>
  <c r="AU123" i="10" s="1"/>
  <c r="U136" i="10"/>
  <c r="C136" i="12" s="1"/>
  <c r="AS136" i="10"/>
  <c r="AT136" i="10" s="1"/>
  <c r="U803" i="10"/>
  <c r="Y803" i="10" s="1"/>
  <c r="Z803" i="10" s="1"/>
  <c r="AS803" i="10"/>
  <c r="AT803" i="10" s="1"/>
  <c r="U454" i="10"/>
  <c r="Y454" i="10" s="1"/>
  <c r="Z454" i="10" s="1"/>
  <c r="AS454" i="10"/>
  <c r="AT454" i="10" s="1"/>
  <c r="U143" i="10"/>
  <c r="Y143" i="10" s="1"/>
  <c r="Z143" i="10" s="1"/>
  <c r="AS143" i="10"/>
  <c r="AU143" i="10" s="1"/>
  <c r="U382" i="10"/>
  <c r="C382" i="12" s="1"/>
  <c r="AS382" i="10"/>
  <c r="AT382" i="10" s="1"/>
  <c r="C660" i="12"/>
  <c r="U335" i="10"/>
  <c r="C335" i="12" s="1"/>
  <c r="AS335" i="10"/>
  <c r="AT335" i="10" s="1"/>
  <c r="U244" i="10"/>
  <c r="Y244" i="10" s="1"/>
  <c r="Z244" i="10" s="1"/>
  <c r="AS244" i="10"/>
  <c r="AT244" i="10" s="1"/>
  <c r="U562" i="10"/>
  <c r="Y562" i="10" s="1"/>
  <c r="Z562" i="10" s="1"/>
  <c r="AS562" i="10"/>
  <c r="AT562" i="10" s="1"/>
  <c r="U359" i="10"/>
  <c r="Y359" i="10" s="1"/>
  <c r="Z359" i="10" s="1"/>
  <c r="AS359" i="10"/>
  <c r="AU359" i="10" s="1"/>
  <c r="U478" i="10"/>
  <c r="AS478" i="10"/>
  <c r="AT478" i="10" s="1"/>
  <c r="U775" i="10"/>
  <c r="Y775" i="10" s="1"/>
  <c r="Z775" i="10" s="1"/>
  <c r="U844" i="10"/>
  <c r="AS844" i="10"/>
  <c r="AU844" i="10" s="1"/>
  <c r="U474" i="10"/>
  <c r="Y474" i="10" s="1"/>
  <c r="Z474" i="10" s="1"/>
  <c r="AS474" i="10"/>
  <c r="AT474" i="10" s="1"/>
  <c r="U312" i="10"/>
  <c r="AS312" i="10"/>
  <c r="AT312" i="10" s="1"/>
  <c r="U93" i="10"/>
  <c r="Y93" i="10" s="1"/>
  <c r="Z93" i="10" s="1"/>
  <c r="AS93" i="10"/>
  <c r="AT93" i="10" s="1"/>
  <c r="U509" i="10"/>
  <c r="AS509" i="10"/>
  <c r="AT509" i="10" s="1"/>
  <c r="U1183" i="10"/>
  <c r="AS1183" i="10"/>
  <c r="AT1183" i="10" s="1"/>
  <c r="U439" i="10"/>
  <c r="AS439" i="10"/>
  <c r="AT439" i="10" s="1"/>
  <c r="U221" i="10"/>
  <c r="AS221" i="10"/>
  <c r="AT221" i="10" s="1"/>
  <c r="U1123" i="10"/>
  <c r="AS1123" i="10"/>
  <c r="AU1123" i="10" s="1"/>
  <c r="AT660" i="10"/>
  <c r="AU660" i="10"/>
  <c r="U440" i="10"/>
  <c r="AS440" i="10"/>
  <c r="AT440" i="10" s="1"/>
  <c r="AU358" i="10"/>
  <c r="AT358" i="10"/>
  <c r="AT747" i="10"/>
  <c r="AU717" i="10"/>
  <c r="AT717" i="10"/>
  <c r="AT680" i="10"/>
  <c r="AU680" i="10"/>
  <c r="U213" i="10"/>
  <c r="AS213" i="10"/>
  <c r="AU213" i="10" s="1"/>
  <c r="AU226" i="10"/>
  <c r="AT226" i="10"/>
  <c r="AU484" i="10"/>
  <c r="AU1091" i="10"/>
  <c r="U84" i="10"/>
  <c r="AS84" i="10"/>
  <c r="AT84" i="10" s="1"/>
  <c r="U1193" i="10"/>
  <c r="AS1193" i="10"/>
  <c r="AT1193" i="10" s="1"/>
  <c r="AT1138" i="10"/>
  <c r="AU1138" i="10"/>
  <c r="AT889" i="10"/>
  <c r="AU889" i="10"/>
  <c r="AU148" i="10"/>
  <c r="AT148" i="10"/>
  <c r="AT380" i="10"/>
  <c r="AU380" i="10"/>
  <c r="U1117" i="10"/>
  <c r="AS1117" i="10"/>
  <c r="AT835" i="10"/>
  <c r="AU835" i="10"/>
  <c r="U699" i="10"/>
  <c r="AS699" i="10"/>
  <c r="AT699" i="10" s="1"/>
  <c r="U331" i="10"/>
  <c r="AS331" i="10"/>
  <c r="AU331" i="10" s="1"/>
  <c r="AU162" i="10"/>
  <c r="AT162" i="10"/>
  <c r="U1165" i="10"/>
  <c r="AS1165" i="10"/>
  <c r="AT1165" i="10" s="1"/>
  <c r="AT1029" i="10"/>
  <c r="AU1029" i="10"/>
  <c r="AU356" i="10"/>
  <c r="AT356" i="10"/>
  <c r="AT555" i="10"/>
  <c r="AU555" i="10"/>
  <c r="U301" i="10"/>
  <c r="AS301" i="10"/>
  <c r="AT214" i="10"/>
  <c r="AU214" i="10"/>
  <c r="U858" i="10"/>
  <c r="AS858" i="10"/>
  <c r="U539" i="10"/>
  <c r="AS539" i="10"/>
  <c r="AU539" i="10" s="1"/>
  <c r="AU153" i="10"/>
  <c r="AT153" i="10"/>
  <c r="AT787" i="10"/>
  <c r="AT417" i="10"/>
  <c r="AU417" i="10"/>
  <c r="AU114" i="10"/>
  <c r="AT573" i="10"/>
  <c r="AU403" i="10"/>
  <c r="AT403" i="10"/>
  <c r="U332" i="10"/>
  <c r="AS332" i="10"/>
  <c r="AT332" i="10" s="1"/>
  <c r="AU24" i="10"/>
  <c r="AT24" i="10"/>
  <c r="U859" i="10"/>
  <c r="AS859" i="10"/>
  <c r="AT798" i="10"/>
  <c r="AU798" i="10"/>
  <c r="U407" i="10"/>
  <c r="AS407" i="10"/>
  <c r="AT407" i="10" s="1"/>
  <c r="AU1085" i="10"/>
  <c r="AT1085" i="10"/>
  <c r="AU890" i="10"/>
  <c r="AT890" i="10"/>
  <c r="AT238" i="10"/>
  <c r="AU238" i="10"/>
  <c r="AT784" i="10"/>
  <c r="AU784" i="10"/>
  <c r="AT1164" i="10"/>
  <c r="AU1164" i="10"/>
  <c r="AU1114" i="10"/>
  <c r="U129" i="10"/>
  <c r="AS129" i="10"/>
  <c r="AT240" i="10"/>
  <c r="AU240" i="10"/>
  <c r="AT256" i="10"/>
  <c r="AU256" i="10"/>
  <c r="AT470" i="10"/>
  <c r="AU797" i="10"/>
  <c r="AT856" i="10"/>
  <c r="AU856" i="10"/>
  <c r="U295" i="10"/>
  <c r="AS295" i="10"/>
  <c r="AT295" i="10" s="1"/>
  <c r="AU841" i="10"/>
  <c r="AT841" i="10"/>
  <c r="AU235" i="10"/>
  <c r="U689" i="10"/>
  <c r="AS689" i="10"/>
  <c r="AT689" i="10" s="1"/>
  <c r="AT97" i="10"/>
  <c r="AU97" i="10"/>
  <c r="AT431" i="10"/>
  <c r="AU431" i="10"/>
  <c r="U914" i="10"/>
  <c r="AS914" i="10"/>
  <c r="AT914" i="10" s="1"/>
  <c r="AT410" i="10"/>
  <c r="AU410" i="10"/>
  <c r="AT157" i="10"/>
  <c r="AT1178" i="10"/>
  <c r="AU1178" i="10"/>
  <c r="AT26" i="10"/>
  <c r="AU26" i="10"/>
  <c r="AU950" i="10"/>
  <c r="U1023" i="10"/>
  <c r="AS1023" i="10"/>
  <c r="AT1023" i="10" s="1"/>
  <c r="AT910" i="10"/>
  <c r="AU910" i="10"/>
  <c r="AT422" i="10"/>
  <c r="AU422" i="10"/>
  <c r="AT1159" i="10"/>
  <c r="AU1159" i="10"/>
  <c r="AT489" i="10"/>
  <c r="AU489" i="10"/>
  <c r="AT1001" i="10"/>
  <c r="AU1001" i="10"/>
  <c r="U354" i="10"/>
  <c r="AS354" i="10"/>
  <c r="AT354" i="10" s="1"/>
  <c r="AU984" i="10"/>
  <c r="AT413" i="10"/>
  <c r="AT527" i="10"/>
  <c r="AU527" i="10"/>
  <c r="AU726" i="10"/>
  <c r="AT726" i="10"/>
  <c r="U96" i="10"/>
  <c r="AS96" i="10"/>
  <c r="AT96" i="10" s="1"/>
  <c r="AU1039" i="10"/>
  <c r="AT1039" i="10"/>
  <c r="AT230" i="10"/>
  <c r="AU230" i="10"/>
  <c r="U307" i="10"/>
  <c r="AS307" i="10"/>
  <c r="AU307" i="10" s="1"/>
  <c r="U137" i="10"/>
  <c r="AS137" i="10"/>
  <c r="AU137" i="10" s="1"/>
  <c r="AU345" i="10"/>
  <c r="AT345" i="10"/>
  <c r="Y363" i="10"/>
  <c r="Z363" i="10" s="1"/>
  <c r="U1161" i="10"/>
  <c r="Y1161" i="10" s="1"/>
  <c r="Z1161" i="10" s="1"/>
  <c r="Y483" i="10"/>
  <c r="Z483" i="10" s="1"/>
  <c r="U666" i="10"/>
  <c r="C666" i="12" s="1"/>
  <c r="U231" i="10"/>
  <c r="Y950" i="10"/>
  <c r="Z950" i="10" s="1"/>
  <c r="U273" i="10"/>
  <c r="C273" i="12" s="1"/>
  <c r="U760" i="10"/>
  <c r="C760" i="12" s="1"/>
  <c r="Y215" i="10"/>
  <c r="Z215" i="10" s="1"/>
  <c r="U799" i="10"/>
  <c r="U416" i="10"/>
  <c r="Y87" i="10"/>
  <c r="Z87" i="10" s="1"/>
  <c r="U612" i="10"/>
  <c r="U104" i="10"/>
  <c r="Y104" i="10" s="1"/>
  <c r="Z104" i="10" s="1"/>
  <c r="U688" i="10"/>
  <c r="U635" i="10"/>
  <c r="U941" i="10"/>
  <c r="C941" i="12" s="1"/>
  <c r="Y601" i="10"/>
  <c r="Z601" i="10" s="1"/>
  <c r="Y1042" i="10"/>
  <c r="Z1042" i="10" s="1"/>
  <c r="Y97" i="10"/>
  <c r="Z97" i="10" s="1"/>
  <c r="Y240" i="10"/>
  <c r="Z240" i="10" s="1"/>
  <c r="Y410" i="10"/>
  <c r="Z410" i="10" s="1"/>
  <c r="Y680" i="10"/>
  <c r="Z680" i="10" s="1"/>
  <c r="Y1138" i="10"/>
  <c r="Z1138" i="10" s="1"/>
  <c r="Y890" i="10"/>
  <c r="Z890" i="10" s="1"/>
  <c r="C358" i="12"/>
  <c r="C1058" i="12"/>
  <c r="Y660" i="10"/>
  <c r="Z660" i="10" s="1"/>
  <c r="Y1144" i="10"/>
  <c r="Z1144" i="10" s="1"/>
  <c r="Y94" i="10"/>
  <c r="Z94" i="10" s="1"/>
  <c r="Y587" i="10"/>
  <c r="Z587" i="10" s="1"/>
  <c r="C254" i="12"/>
  <c r="Y227" i="10"/>
  <c r="Z227" i="10" s="1"/>
  <c r="Y553" i="10"/>
  <c r="Z553" i="10" s="1"/>
  <c r="Y181" i="10"/>
  <c r="Z181" i="10" s="1"/>
  <c r="C9" i="12"/>
  <c r="Y340" i="10"/>
  <c r="Z340" i="10" s="1"/>
  <c r="Y942" i="10"/>
  <c r="Z942" i="10" s="1"/>
  <c r="Y28" i="10"/>
  <c r="Z28" i="10" s="1"/>
  <c r="Y1083" i="10"/>
  <c r="Z1083" i="10" s="1"/>
  <c r="C1093" i="12"/>
  <c r="Y640" i="10"/>
  <c r="Z640" i="10" s="1"/>
  <c r="Y186" i="10"/>
  <c r="Z186" i="10" s="1"/>
  <c r="C536" i="12"/>
  <c r="Y48" i="10"/>
  <c r="Z48" i="10" s="1"/>
  <c r="C124" i="12"/>
  <c r="C1047" i="12"/>
  <c r="Y1047" i="10"/>
  <c r="Z1047" i="10" s="1"/>
  <c r="C257" i="12"/>
  <c r="C1160" i="12"/>
  <c r="C554" i="12"/>
  <c r="Y554" i="10"/>
  <c r="Z554" i="10" s="1"/>
  <c r="Y907" i="10"/>
  <c r="Z907" i="10" s="1"/>
  <c r="Y974" i="10"/>
  <c r="Z974" i="10" s="1"/>
  <c r="Y92" i="10"/>
  <c r="Z92" i="10" s="1"/>
  <c r="Y372" i="10"/>
  <c r="Z372" i="10" s="1"/>
  <c r="Y329" i="10"/>
  <c r="Z329" i="10" s="1"/>
  <c r="Y1118" i="10"/>
  <c r="Z1118" i="10" s="1"/>
  <c r="Y114" i="10"/>
  <c r="Z114" i="10" s="1"/>
  <c r="Y836" i="10"/>
  <c r="Z836" i="10" s="1"/>
  <c r="C1096" i="12"/>
  <c r="Y1096" i="10"/>
  <c r="Z1096" i="10" s="1"/>
  <c r="C658" i="12"/>
  <c r="Y1166" i="10" l="1"/>
  <c r="Z1166" i="10" s="1"/>
  <c r="Y564" i="10"/>
  <c r="Z564" i="10" s="1"/>
  <c r="C26" i="12"/>
  <c r="Y1045" i="10"/>
  <c r="Z1045" i="10" s="1"/>
  <c r="C842" i="12"/>
  <c r="Y1001" i="10"/>
  <c r="Z1001" i="10" s="1"/>
  <c r="Y726" i="10"/>
  <c r="Z726" i="10" s="1"/>
  <c r="Y302" i="10"/>
  <c r="Z302" i="10" s="1"/>
  <c r="Y99" i="10"/>
  <c r="Z99" i="10" s="1"/>
  <c r="AT597" i="10"/>
  <c r="Y605" i="10"/>
  <c r="Z605" i="10" s="1"/>
  <c r="C394" i="12"/>
  <c r="Y568" i="10"/>
  <c r="Z568" i="10" s="1"/>
  <c r="C537" i="12"/>
  <c r="AU652" i="10"/>
  <c r="C356" i="12"/>
  <c r="AT177" i="10"/>
  <c r="C712" i="12"/>
  <c r="C795" i="12"/>
  <c r="AU1067" i="10"/>
  <c r="AT94" i="10"/>
  <c r="AT571" i="10"/>
  <c r="AT181" i="10"/>
  <c r="AU664" i="10"/>
  <c r="Y623" i="10"/>
  <c r="Z623" i="10" s="1"/>
  <c r="AU33" i="10"/>
  <c r="C551" i="12"/>
  <c r="AT789" i="10"/>
  <c r="AU656" i="10"/>
  <c r="AT665" i="10"/>
  <c r="C727" i="12"/>
  <c r="AU577" i="10"/>
  <c r="C924" i="12"/>
  <c r="Y789" i="10"/>
  <c r="Z789" i="10" s="1"/>
  <c r="C897" i="12"/>
  <c r="Y218" i="10"/>
  <c r="Z218" i="10" s="1"/>
  <c r="Y655" i="10"/>
  <c r="Z655" i="10" s="1"/>
  <c r="C750" i="12"/>
  <c r="Y173" i="10"/>
  <c r="Z173" i="10" s="1"/>
  <c r="Y1038" i="10"/>
  <c r="Z1038" i="10" s="1"/>
  <c r="Y102" i="10"/>
  <c r="Z102" i="10" s="1"/>
  <c r="C1136" i="12"/>
  <c r="Y533" i="10"/>
  <c r="Z533" i="10" s="1"/>
  <c r="Y549" i="10"/>
  <c r="Z549" i="10" s="1"/>
  <c r="C782" i="12"/>
  <c r="C19" i="12"/>
  <c r="Y733" i="10"/>
  <c r="Z733" i="10" s="1"/>
  <c r="Y1007" i="10"/>
  <c r="Z1007" i="10" s="1"/>
  <c r="Y592" i="10"/>
  <c r="Z592" i="10" s="1"/>
  <c r="Y690" i="10"/>
  <c r="Z690" i="10" s="1"/>
  <c r="Y337" i="10"/>
  <c r="Z337" i="10" s="1"/>
  <c r="Y1184" i="10"/>
  <c r="Z1184" i="10" s="1"/>
  <c r="AT54" i="10"/>
  <c r="C895" i="12"/>
  <c r="Y931" i="10"/>
  <c r="Z931" i="10" s="1"/>
  <c r="C919" i="12"/>
  <c r="Y862" i="10"/>
  <c r="Z862" i="10" s="1"/>
  <c r="AT247" i="10"/>
  <c r="Y889" i="10"/>
  <c r="Z889" i="10" s="1"/>
  <c r="AT1061" i="10"/>
  <c r="C1181" i="12"/>
  <c r="AU809" i="10"/>
  <c r="AU550" i="10"/>
  <c r="C155" i="12"/>
  <c r="Y355" i="10"/>
  <c r="Z355" i="10" s="1"/>
  <c r="AU372" i="10"/>
  <c r="C912" i="12"/>
  <c r="AU208" i="10"/>
  <c r="AU1093" i="10"/>
  <c r="AT482" i="10"/>
  <c r="Y625" i="10"/>
  <c r="Z625" i="10" s="1"/>
  <c r="C816" i="12"/>
  <c r="AT507" i="10"/>
  <c r="AT907" i="10"/>
  <c r="AU1062" i="10"/>
  <c r="AT125" i="10"/>
  <c r="AU545" i="10"/>
  <c r="AU1064" i="10"/>
  <c r="AT575" i="10"/>
  <c r="C282" i="12"/>
  <c r="C681" i="12"/>
  <c r="Y764" i="10"/>
  <c r="Z764" i="10" s="1"/>
  <c r="Y676" i="10"/>
  <c r="Z676" i="10" s="1"/>
  <c r="C543" i="12"/>
  <c r="Y484" i="10"/>
  <c r="Z484" i="10" s="1"/>
  <c r="Y887" i="10"/>
  <c r="Z887" i="10" s="1"/>
  <c r="Y152" i="10"/>
  <c r="Z152" i="10" s="1"/>
  <c r="AU108" i="10"/>
  <c r="AT273" i="10"/>
  <c r="C748" i="12"/>
  <c r="Y444" i="10"/>
  <c r="Z444" i="10" s="1"/>
  <c r="Y797" i="10"/>
  <c r="Z797" i="10" s="1"/>
  <c r="Y183" i="10"/>
  <c r="Z183" i="10" s="1"/>
  <c r="C958" i="12"/>
  <c r="C798" i="12"/>
  <c r="AU851" i="10"/>
  <c r="Y807" i="10"/>
  <c r="Z807" i="10" s="1"/>
  <c r="C692" i="12"/>
  <c r="Y202" i="10"/>
  <c r="Z202" i="10" s="1"/>
  <c r="Y353" i="10"/>
  <c r="Z353" i="10" s="1"/>
  <c r="C716" i="12"/>
  <c r="Y884" i="10"/>
  <c r="Z884" i="10" s="1"/>
  <c r="AU1186" i="10"/>
  <c r="C246" i="12"/>
  <c r="C1062" i="12"/>
  <c r="Y611" i="10"/>
  <c r="Z611" i="10" s="1"/>
  <c r="AU991" i="10"/>
  <c r="Y125" i="10"/>
  <c r="Z125" i="10" s="1"/>
  <c r="Y908" i="10"/>
  <c r="Z908" i="10" s="1"/>
  <c r="AT705" i="10"/>
  <c r="AU849" i="10"/>
  <c r="C762" i="12"/>
  <c r="AT188" i="10"/>
  <c r="Y983" i="10"/>
  <c r="Z983" i="10" s="1"/>
  <c r="AU988" i="10"/>
  <c r="AU923" i="10"/>
  <c r="C1041" i="12"/>
  <c r="Y297" i="10"/>
  <c r="Z297" i="10" s="1"/>
  <c r="Y208" i="10"/>
  <c r="Z208" i="10" s="1"/>
  <c r="Y550" i="10"/>
  <c r="Z550" i="10" s="1"/>
  <c r="Y825" i="10"/>
  <c r="Z825" i="10" s="1"/>
  <c r="Y596" i="10"/>
  <c r="Z596" i="10" s="1"/>
  <c r="Y722" i="10"/>
  <c r="Z722" i="10" s="1"/>
  <c r="AU462" i="10"/>
  <c r="AU1044" i="10"/>
  <c r="Y33" i="10"/>
  <c r="Z33" i="10" s="1"/>
  <c r="AT346" i="10"/>
  <c r="AU78" i="10"/>
  <c r="AT658" i="10"/>
  <c r="Y443" i="10"/>
  <c r="Z443" i="10" s="1"/>
  <c r="AT199" i="10"/>
  <c r="AU371" i="10"/>
  <c r="C445" i="12"/>
  <c r="AT445" i="10"/>
  <c r="AT124" i="10"/>
  <c r="C516" i="12"/>
  <c r="AT813" i="10"/>
  <c r="AU178" i="10"/>
  <c r="AT7" i="10"/>
  <c r="Y885" i="10"/>
  <c r="Z885" i="10" s="1"/>
  <c r="Y644" i="10"/>
  <c r="Z644" i="10" s="1"/>
  <c r="C501" i="12"/>
  <c r="Y1146" i="10"/>
  <c r="Z1146" i="10" s="1"/>
  <c r="AU581" i="10"/>
  <c r="AU659" i="10"/>
  <c r="Y965" i="10"/>
  <c r="Z965" i="10" s="1"/>
  <c r="C903" i="12"/>
  <c r="AU277" i="10"/>
  <c r="AU473" i="10"/>
  <c r="C459" i="12"/>
  <c r="AU496" i="10"/>
  <c r="AU612" i="10"/>
  <c r="AU1048" i="10"/>
  <c r="AT708" i="10"/>
  <c r="AU1161" i="10"/>
  <c r="Y141" i="10"/>
  <c r="Z141" i="10" s="1"/>
  <c r="AU459" i="10"/>
  <c r="AT749" i="10"/>
  <c r="C1177" i="12"/>
  <c r="Y731" i="10"/>
  <c r="Z731" i="10" s="1"/>
  <c r="C725" i="12"/>
  <c r="AT785" i="10"/>
  <c r="AT718" i="10"/>
  <c r="Y558" i="10"/>
  <c r="Z558" i="10" s="1"/>
  <c r="Y258" i="10"/>
  <c r="Z258" i="10" s="1"/>
  <c r="Y260" i="10"/>
  <c r="Z260" i="10" s="1"/>
  <c r="C571" i="12"/>
  <c r="C861" i="12"/>
  <c r="C1157" i="12"/>
  <c r="C598" i="12"/>
  <c r="Y1082" i="10"/>
  <c r="Z1082" i="10" s="1"/>
  <c r="AT1158" i="10"/>
  <c r="C1129" i="12"/>
  <c r="C263" i="12"/>
  <c r="Y61" i="10"/>
  <c r="Z61" i="10" s="1"/>
  <c r="C362" i="12"/>
  <c r="Y226" i="10"/>
  <c r="Z226" i="10" s="1"/>
  <c r="AT463" i="10"/>
  <c r="AU996" i="10"/>
  <c r="C153" i="12"/>
  <c r="Y939" i="10"/>
  <c r="Z939" i="10" s="1"/>
  <c r="AU940" i="10"/>
  <c r="AU596" i="10"/>
  <c r="Y665" i="10"/>
  <c r="Z665" i="10" s="1"/>
  <c r="Y804" i="10"/>
  <c r="Z804" i="10" s="1"/>
  <c r="Y673" i="10"/>
  <c r="Z673" i="10" s="1"/>
  <c r="Y160" i="10"/>
  <c r="Z160" i="10" s="1"/>
  <c r="AT588" i="10"/>
  <c r="AU1157" i="10"/>
  <c r="Y715" i="10"/>
  <c r="Z715" i="10" s="1"/>
  <c r="AT691" i="10"/>
  <c r="AT1024" i="10"/>
  <c r="Y563" i="10"/>
  <c r="Z563" i="10" s="1"/>
  <c r="Y66" i="10"/>
  <c r="Z66" i="10" s="1"/>
  <c r="Y156" i="10"/>
  <c r="Z156" i="10" s="1"/>
  <c r="AT77" i="10"/>
  <c r="AU105" i="10"/>
  <c r="C968" i="12"/>
  <c r="AT190" i="10"/>
  <c r="AT206" i="10"/>
  <c r="C431" i="12"/>
  <c r="AU18" i="10"/>
  <c r="C139" i="12"/>
  <c r="Y719" i="10"/>
  <c r="Z719" i="10" s="1"/>
  <c r="AT596" i="10"/>
  <c r="AT563" i="10"/>
  <c r="AU267" i="10"/>
  <c r="AU155" i="10"/>
  <c r="Y505" i="10"/>
  <c r="Z505" i="10" s="1"/>
  <c r="AT556" i="10"/>
  <c r="AT464" i="10"/>
  <c r="C702" i="12"/>
  <c r="AU513" i="10"/>
  <c r="AT670" i="10"/>
  <c r="AU775" i="10"/>
  <c r="AU941" i="10"/>
  <c r="Y403" i="10"/>
  <c r="Z403" i="10" s="1"/>
  <c r="Y667" i="10"/>
  <c r="Z667" i="10" s="1"/>
  <c r="AT635" i="10"/>
  <c r="C683" i="12"/>
  <c r="AT621" i="10"/>
  <c r="Y763" i="10"/>
  <c r="Z763" i="10" s="1"/>
  <c r="AU273" i="10"/>
  <c r="C759" i="12"/>
  <c r="Y918" i="10"/>
  <c r="Z918" i="10" s="1"/>
  <c r="AT1167" i="10"/>
  <c r="Y131" i="10"/>
  <c r="Z131" i="10" s="1"/>
  <c r="C1025" i="12"/>
  <c r="Y639" i="10"/>
  <c r="Z639" i="10" s="1"/>
  <c r="C721" i="12"/>
  <c r="AU565" i="10"/>
  <c r="AU670" i="10"/>
  <c r="AT1041" i="10"/>
  <c r="AT775" i="10"/>
  <c r="Y184" i="10"/>
  <c r="Z184" i="10" s="1"/>
  <c r="C1126" i="12"/>
  <c r="AT287" i="10"/>
  <c r="AT941" i="10"/>
  <c r="Y1169" i="10"/>
  <c r="Z1169" i="10" s="1"/>
  <c r="C383" i="12"/>
  <c r="Y738" i="10"/>
  <c r="Z738" i="10" s="1"/>
  <c r="AU1149" i="10"/>
  <c r="AU1141" i="10"/>
  <c r="AU1030" i="10"/>
  <c r="AU688" i="10"/>
  <c r="AU416" i="10"/>
  <c r="AT452" i="10"/>
  <c r="AU409" i="10"/>
  <c r="AT1113" i="10"/>
  <c r="AU1121" i="10"/>
  <c r="AU252" i="10"/>
  <c r="Y707" i="10"/>
  <c r="Z707" i="10" s="1"/>
  <c r="Y411" i="10"/>
  <c r="Z411" i="10" s="1"/>
  <c r="Y1018" i="10"/>
  <c r="Z1018" i="10" s="1"/>
  <c r="AT217" i="10"/>
  <c r="AU839" i="10"/>
  <c r="AU1180" i="10"/>
  <c r="Y318" i="10"/>
  <c r="Z318" i="10" s="1"/>
  <c r="Y197" i="10"/>
  <c r="Z197" i="10" s="1"/>
  <c r="Y56" i="10"/>
  <c r="Z56" i="10" s="1"/>
  <c r="Y519" i="10"/>
  <c r="Z519" i="10" s="1"/>
  <c r="AT1025" i="10"/>
  <c r="AT1075" i="10"/>
  <c r="AT3" i="10"/>
  <c r="AU1082" i="10"/>
  <c r="C818" i="12"/>
  <c r="Y452" i="10"/>
  <c r="Z452" i="10" s="1"/>
  <c r="AU610" i="10"/>
  <c r="AU196" i="10"/>
  <c r="C856" i="12"/>
  <c r="AT763" i="10"/>
  <c r="AU820" i="10"/>
  <c r="AT919" i="10"/>
  <c r="Y933" i="10"/>
  <c r="Z933" i="10" s="1"/>
  <c r="C953" i="12"/>
  <c r="C386" i="12"/>
  <c r="Y90" i="10"/>
  <c r="Z90" i="10" s="1"/>
  <c r="AT1059" i="10"/>
  <c r="AT676" i="10"/>
  <c r="AT22" i="10"/>
  <c r="AU667" i="10"/>
  <c r="AT666" i="10"/>
  <c r="AT62" i="10"/>
  <c r="AT104" i="10"/>
  <c r="C659" i="12"/>
  <c r="AT989" i="10"/>
  <c r="AU838" i="10"/>
  <c r="AT547" i="10"/>
  <c r="AU580" i="10"/>
  <c r="AU106" i="10"/>
  <c r="AU104" i="10"/>
  <c r="Y952" i="10"/>
  <c r="Z952" i="10" s="1"/>
  <c r="C1151" i="12"/>
  <c r="Y586" i="10"/>
  <c r="Z586" i="10" s="1"/>
  <c r="AU284" i="10"/>
  <c r="C400" i="12"/>
  <c r="C584" i="12"/>
  <c r="Y51" i="10"/>
  <c r="Z51" i="10" s="1"/>
  <c r="AU146" i="10"/>
  <c r="AU127" i="10"/>
  <c r="AU14" i="10"/>
  <c r="Y771" i="10"/>
  <c r="Z771" i="10" s="1"/>
  <c r="Y1182" i="10"/>
  <c r="Z1182" i="10" s="1"/>
  <c r="AT1146" i="10"/>
  <c r="AU357" i="10"/>
  <c r="AU574" i="10"/>
  <c r="AT913" i="10"/>
  <c r="AU649" i="10"/>
  <c r="C1121" i="12"/>
  <c r="Y833" i="10"/>
  <c r="Z833" i="10" s="1"/>
  <c r="Y809" i="10"/>
  <c r="Z809" i="10" s="1"/>
  <c r="C843" i="12"/>
  <c r="C65" i="12"/>
  <c r="Y1028" i="10"/>
  <c r="Z1028" i="10" s="1"/>
  <c r="AU232" i="10"/>
  <c r="AT305" i="10"/>
  <c r="AT1096" i="10"/>
  <c r="AU1042" i="10"/>
  <c r="AT961" i="10"/>
  <c r="AU63" i="10"/>
  <c r="AU600" i="10"/>
  <c r="AU69" i="10"/>
  <c r="C814" i="12"/>
  <c r="C926" i="12"/>
  <c r="Y150" i="10"/>
  <c r="Z150" i="10" s="1"/>
  <c r="AT707" i="10"/>
  <c r="AU332" i="10"/>
  <c r="AU666" i="10"/>
  <c r="AT324" i="10"/>
  <c r="Y874" i="10"/>
  <c r="Z874" i="10" s="1"/>
  <c r="Y305" i="10"/>
  <c r="Z305" i="10" s="1"/>
  <c r="Y1112" i="10"/>
  <c r="Z1112" i="10" s="1"/>
  <c r="Y1139" i="10"/>
  <c r="Z1139" i="10" s="1"/>
  <c r="Y57" i="10"/>
  <c r="Z57" i="10" s="1"/>
  <c r="C224" i="12"/>
  <c r="AU92" i="10"/>
  <c r="AU532" i="10"/>
  <c r="AU411" i="10"/>
  <c r="C1156" i="12"/>
  <c r="AT955" i="10"/>
  <c r="AU62" i="10"/>
  <c r="Y1125" i="10"/>
  <c r="Z1125" i="10" s="1"/>
  <c r="C162" i="12"/>
  <c r="AT612" i="10"/>
  <c r="Y365" i="10"/>
  <c r="Z365" i="10" s="1"/>
  <c r="C661" i="12"/>
  <c r="AT1055" i="10"/>
  <c r="C74" i="12"/>
  <c r="Y961" i="10"/>
  <c r="Z961" i="10" s="1"/>
  <c r="Y1008" i="10"/>
  <c r="Z1008" i="10" s="1"/>
  <c r="AU920" i="10"/>
  <c r="AT611" i="10"/>
  <c r="Y599" i="10"/>
  <c r="Z599" i="10" s="1"/>
  <c r="Y275" i="10"/>
  <c r="Z275" i="10" s="1"/>
  <c r="Y250" i="10"/>
  <c r="Z250" i="10" s="1"/>
  <c r="AT1189" i="10"/>
  <c r="AU635" i="10"/>
  <c r="Y883" i="10"/>
  <c r="Z883" i="10" s="1"/>
  <c r="Y1063" i="10"/>
  <c r="Z1063" i="10" s="1"/>
  <c r="Y1113" i="10"/>
  <c r="Z1113" i="10" s="1"/>
  <c r="Y32" i="10"/>
  <c r="Z32" i="10" s="1"/>
  <c r="C578" i="12"/>
  <c r="C735" i="12"/>
  <c r="Y325" i="10"/>
  <c r="Z325" i="10" s="1"/>
  <c r="AU624" i="10"/>
  <c r="AU1020" i="10"/>
  <c r="AU704" i="10"/>
  <c r="AU498" i="10"/>
  <c r="AT52" i="10"/>
  <c r="AT723" i="10"/>
  <c r="AU134" i="10"/>
  <c r="AT640" i="10"/>
  <c r="AU799" i="10"/>
  <c r="Y917" i="10"/>
  <c r="Z917" i="10" s="1"/>
  <c r="Y126" i="10"/>
  <c r="Z126" i="10" s="1"/>
  <c r="AT672" i="10"/>
  <c r="AT416" i="10"/>
  <c r="AU215" i="10"/>
  <c r="AU760" i="10"/>
  <c r="Y163" i="10"/>
  <c r="Z163" i="10" s="1"/>
  <c r="Y1010" i="10"/>
  <c r="Z1010" i="10" s="1"/>
  <c r="AT344" i="10"/>
  <c r="AT259" i="10"/>
  <c r="AT154" i="10"/>
  <c r="AT56" i="10"/>
  <c r="AU750" i="10"/>
  <c r="C791" i="12"/>
  <c r="AT231" i="10"/>
  <c r="Y997" i="10"/>
  <c r="Z997" i="10" s="1"/>
  <c r="C480" i="12"/>
  <c r="AT269" i="10"/>
  <c r="AT1033" i="10"/>
  <c r="AU1004" i="10"/>
  <c r="AT1169" i="10"/>
  <c r="AU730" i="10"/>
  <c r="AT975" i="10"/>
  <c r="AT758" i="10"/>
  <c r="C1110" i="12"/>
  <c r="Y1024" i="10"/>
  <c r="Z1024" i="10" s="1"/>
  <c r="Y964" i="10"/>
  <c r="Z964" i="10" s="1"/>
  <c r="C425" i="12"/>
  <c r="AT215" i="10"/>
  <c r="AU606" i="10"/>
  <c r="AT418" i="10"/>
  <c r="AT807" i="10"/>
  <c r="AU500" i="10"/>
  <c r="Y268" i="10"/>
  <c r="Z268" i="10" s="1"/>
  <c r="Y602" i="10"/>
  <c r="Z602" i="10" s="1"/>
  <c r="AU204" i="10"/>
  <c r="AU161" i="10"/>
  <c r="C1176" i="12"/>
  <c r="Y95" i="10"/>
  <c r="Z95" i="10" s="1"/>
  <c r="AT156" i="10"/>
  <c r="AU865" i="10"/>
  <c r="AU593" i="10"/>
  <c r="C417" i="12"/>
  <c r="Y417" i="10"/>
  <c r="Z417" i="10" s="1"/>
  <c r="AU972" i="10"/>
  <c r="AT760" i="10"/>
  <c r="AU135" i="10"/>
  <c r="AT1127" i="10"/>
  <c r="C607" i="12"/>
  <c r="Y1105" i="10"/>
  <c r="Z1105" i="10" s="1"/>
  <c r="Y528" i="10"/>
  <c r="Z528" i="10" s="1"/>
  <c r="AT367" i="10"/>
  <c r="AU878" i="10"/>
  <c r="AT1016" i="10"/>
  <c r="AT540" i="10"/>
  <c r="AT746" i="10"/>
  <c r="C264" i="12"/>
  <c r="Y698" i="10"/>
  <c r="Z698" i="10" s="1"/>
  <c r="Y294" i="10"/>
  <c r="Z294" i="10" s="1"/>
  <c r="AT960" i="10"/>
  <c r="AU912" i="10"/>
  <c r="AU969" i="10"/>
  <c r="AT521" i="10"/>
  <c r="C29" i="12"/>
  <c r="Y286" i="10"/>
  <c r="Z286" i="10" s="1"/>
  <c r="Y1061" i="10"/>
  <c r="Z1061" i="10" s="1"/>
  <c r="AT755" i="10"/>
  <c r="AU712" i="10"/>
  <c r="AT799" i="10"/>
  <c r="AU739" i="10"/>
  <c r="AU231" i="10"/>
  <c r="Y648" i="10"/>
  <c r="Z648" i="10" s="1"/>
  <c r="Y216" i="10"/>
  <c r="Z216" i="10" s="1"/>
  <c r="AU825" i="10"/>
  <c r="AT564" i="10"/>
  <c r="AT388" i="10"/>
  <c r="AT814" i="10"/>
  <c r="AU965" i="10"/>
  <c r="AU685" i="10"/>
  <c r="AU4" i="10"/>
  <c r="AT688" i="10"/>
  <c r="AT1161" i="10"/>
  <c r="C582" i="12"/>
  <c r="C134" i="12"/>
  <c r="AU721" i="10"/>
  <c r="AU229" i="10"/>
  <c r="AU446" i="10"/>
  <c r="AU1108" i="10"/>
  <c r="AT209" i="10"/>
  <c r="Y1005" i="10"/>
  <c r="Z1005" i="10" s="1"/>
  <c r="C876" i="12"/>
  <c r="C591" i="12"/>
  <c r="C253" i="12"/>
  <c r="AU36" i="10"/>
  <c r="Y714" i="10"/>
  <c r="Z714" i="10" s="1"/>
  <c r="Y1087" i="10"/>
  <c r="Z1087" i="10" s="1"/>
  <c r="Y148" i="10"/>
  <c r="Z148" i="10" s="1"/>
  <c r="AT1105" i="10"/>
  <c r="AU501" i="10"/>
  <c r="AT72" i="10"/>
  <c r="Y390" i="10"/>
  <c r="Z390" i="10" s="1"/>
  <c r="Y882" i="10"/>
  <c r="Z882" i="10" s="1"/>
  <c r="AT934" i="10"/>
  <c r="AT28" i="10"/>
  <c r="AU762" i="10"/>
  <c r="AU1072" i="10"/>
  <c r="AU921" i="10"/>
  <c r="Y370" i="10"/>
  <c r="Z370" i="10" s="1"/>
  <c r="Y442" i="10"/>
  <c r="Z442" i="10" s="1"/>
  <c r="Y987" i="10"/>
  <c r="Z987" i="10" s="1"/>
  <c r="Y27" i="10"/>
  <c r="Z27" i="10" s="1"/>
  <c r="C820" i="12"/>
  <c r="Y651" i="10"/>
  <c r="Z651" i="10" s="1"/>
  <c r="AU962" i="10"/>
  <c r="C205" i="12"/>
  <c r="Y449" i="10"/>
  <c r="Z449" i="10" s="1"/>
  <c r="Y237" i="10"/>
  <c r="Z237" i="10" s="1"/>
  <c r="C1171" i="12"/>
  <c r="Y172" i="10"/>
  <c r="Z172" i="10" s="1"/>
  <c r="Y697" i="10"/>
  <c r="Z697" i="10" s="1"/>
  <c r="Y1081" i="10"/>
  <c r="Z1081" i="10" s="1"/>
  <c r="Y121" i="10"/>
  <c r="Z121" i="10" s="1"/>
  <c r="C497" i="12"/>
  <c r="Y937" i="10"/>
  <c r="Z937" i="10" s="1"/>
  <c r="Y854" i="10"/>
  <c r="Z854" i="10" s="1"/>
  <c r="AT895" i="10"/>
  <c r="AU583" i="10"/>
  <c r="AU504" i="10"/>
  <c r="AU294" i="10"/>
  <c r="AU95" i="10"/>
  <c r="Y944" i="10"/>
  <c r="Z944" i="10" s="1"/>
  <c r="Y345" i="10"/>
  <c r="Z345" i="10" s="1"/>
  <c r="Y873" i="10"/>
  <c r="Z873" i="10" s="1"/>
  <c r="Y765" i="10"/>
  <c r="Z765" i="10" s="1"/>
  <c r="C76" i="12"/>
  <c r="AU1183" i="10"/>
  <c r="AU351" i="10"/>
  <c r="Y494" i="10"/>
  <c r="Z494" i="10" s="1"/>
  <c r="Y593" i="10"/>
  <c r="Z593" i="10" s="1"/>
  <c r="C71" i="12"/>
  <c r="C180" i="12"/>
  <c r="Y1036" i="10"/>
  <c r="Z1036" i="10" s="1"/>
  <c r="C736" i="12"/>
  <c r="AT394" i="10"/>
  <c r="AU633" i="10"/>
  <c r="AU928" i="10"/>
  <c r="AT145" i="10"/>
  <c r="AT595" i="10"/>
  <c r="Y717" i="10"/>
  <c r="Z717" i="10" s="1"/>
  <c r="Y992" i="10"/>
  <c r="Z992" i="10" s="1"/>
  <c r="Y946" i="10"/>
  <c r="Z946" i="10" s="1"/>
  <c r="Y662" i="10"/>
  <c r="Z662" i="10" s="1"/>
  <c r="C737" i="12"/>
  <c r="C133" i="12"/>
  <c r="Y91" i="10"/>
  <c r="Z91" i="10" s="1"/>
  <c r="C1132" i="12"/>
  <c r="Y86" i="10"/>
  <c r="Z86" i="10" s="1"/>
  <c r="Y1194" i="10"/>
  <c r="Z1194" i="10" s="1"/>
  <c r="AT197" i="10"/>
  <c r="AU1099" i="10"/>
  <c r="AT336" i="10"/>
  <c r="AT31" i="10"/>
  <c r="AU8" i="10"/>
  <c r="Y380" i="10"/>
  <c r="Z380" i="10" s="1"/>
  <c r="Y151" i="10"/>
  <c r="Z151" i="10" s="1"/>
  <c r="C896" i="12"/>
  <c r="C367" i="12"/>
  <c r="AU967" i="10"/>
  <c r="AT514" i="10"/>
  <c r="AT738" i="10"/>
  <c r="AT1022" i="10"/>
  <c r="AT1054" i="10"/>
  <c r="Y103" i="10"/>
  <c r="Z103" i="10" s="1"/>
  <c r="Y718" i="10"/>
  <c r="Z718" i="10" s="1"/>
  <c r="AT990" i="10"/>
  <c r="AU268" i="10"/>
  <c r="AU147" i="10"/>
  <c r="AU951" i="10"/>
  <c r="AU646" i="10"/>
  <c r="Y46" i="10"/>
  <c r="Z46" i="10" s="1"/>
  <c r="Y577" i="10"/>
  <c r="Z577" i="10" s="1"/>
  <c r="C15" i="12"/>
  <c r="C663" i="12"/>
  <c r="AT1071" i="10"/>
  <c r="AT448" i="10"/>
  <c r="AU915" i="10"/>
  <c r="AU546" i="10"/>
  <c r="AT182" i="10"/>
  <c r="AT1087" i="10"/>
  <c r="C281" i="12"/>
  <c r="C1164" i="12"/>
  <c r="AU792" i="10"/>
  <c r="AT750" i="10"/>
  <c r="AT211" i="10"/>
  <c r="AT544" i="10"/>
  <c r="AU916" i="10"/>
  <c r="AU159" i="10"/>
  <c r="AU836" i="10"/>
  <c r="Y686" i="10"/>
  <c r="Z686" i="10" s="1"/>
  <c r="Y249" i="10"/>
  <c r="Z249" i="10" s="1"/>
  <c r="AT1021" i="10"/>
  <c r="C31" i="12"/>
  <c r="Y929" i="10"/>
  <c r="Z929" i="10" s="1"/>
  <c r="Y466" i="10"/>
  <c r="Z466" i="10" s="1"/>
  <c r="AT304" i="10"/>
  <c r="AU886" i="10"/>
  <c r="AT25" i="10"/>
  <c r="AU806" i="10"/>
  <c r="Y512" i="10"/>
  <c r="Z512" i="10" s="1"/>
  <c r="AT862" i="10"/>
  <c r="Y451" i="10"/>
  <c r="Z451" i="10" s="1"/>
  <c r="Y911" i="10"/>
  <c r="Z911" i="10" s="1"/>
  <c r="C999" i="12"/>
  <c r="C24" i="12"/>
  <c r="AT909" i="10"/>
  <c r="AT616" i="10"/>
  <c r="AU1142" i="10"/>
  <c r="AT694" i="10"/>
  <c r="AT406" i="10"/>
  <c r="AU275" i="10"/>
  <c r="Y687" i="10"/>
  <c r="Z687" i="10" s="1"/>
  <c r="Y1174" i="10"/>
  <c r="Z1174" i="10" s="1"/>
  <c r="C474" i="12"/>
  <c r="AT801" i="10"/>
  <c r="AU987" i="10"/>
  <c r="AT541" i="10"/>
  <c r="AT98" i="10"/>
  <c r="AT693" i="10"/>
  <c r="AU882" i="10"/>
  <c r="Y230" i="10"/>
  <c r="Z230" i="10" s="1"/>
  <c r="C230" i="12"/>
  <c r="Y1191" i="10"/>
  <c r="Z1191" i="10" s="1"/>
  <c r="Y743" i="10"/>
  <c r="Z743" i="10" s="1"/>
  <c r="Y991" i="10"/>
  <c r="Z991" i="10" s="1"/>
  <c r="C82" i="12"/>
  <c r="Y495" i="10"/>
  <c r="Z495" i="10" s="1"/>
  <c r="C239" i="12"/>
  <c r="Y20" i="10"/>
  <c r="Z20" i="10" s="1"/>
  <c r="Y473" i="10"/>
  <c r="Z473" i="10" s="1"/>
  <c r="Y392" i="10"/>
  <c r="Z392" i="10" s="1"/>
  <c r="AU880" i="10"/>
  <c r="AT137" i="10"/>
  <c r="AU373" i="10"/>
  <c r="AU757" i="10"/>
  <c r="AU212" i="10"/>
  <c r="AT931" i="10"/>
  <c r="AT600" i="10"/>
  <c r="Y489" i="10"/>
  <c r="Z489" i="10" s="1"/>
  <c r="Y223" i="10"/>
  <c r="Z223" i="10" s="1"/>
  <c r="C679" i="12"/>
  <c r="AU777" i="10"/>
  <c r="AU548" i="10"/>
  <c r="AT37" i="10"/>
  <c r="AT637" i="10"/>
  <c r="AU335" i="10"/>
  <c r="AT592" i="10"/>
  <c r="Y1102" i="10"/>
  <c r="Z1102" i="10" s="1"/>
  <c r="AU432" i="10"/>
  <c r="C64" i="12"/>
  <c r="C269" i="12"/>
  <c r="Y1002" i="10"/>
  <c r="Z1002" i="10" s="1"/>
  <c r="AU1107" i="10"/>
  <c r="AU529" i="10"/>
  <c r="AU404" i="10"/>
  <c r="AT1098" i="10"/>
  <c r="AU266" i="10"/>
  <c r="AT1081" i="10"/>
  <c r="AU499" i="10"/>
  <c r="AU863" i="10"/>
  <c r="Y805" i="10"/>
  <c r="Z805" i="10" s="1"/>
  <c r="Y866" i="10"/>
  <c r="Z866" i="10" s="1"/>
  <c r="AT1012" i="10"/>
  <c r="AT729" i="10"/>
  <c r="AT517" i="10"/>
  <c r="AU401" i="10"/>
  <c r="AU1106" i="10"/>
  <c r="AU925" i="10"/>
  <c r="AT930" i="10"/>
  <c r="AU292" i="10"/>
  <c r="C434" i="12"/>
  <c r="Y945" i="10"/>
  <c r="Z945" i="10" s="1"/>
  <c r="Y556" i="10"/>
  <c r="Z556" i="10" s="1"/>
  <c r="Y757" i="10"/>
  <c r="Z757" i="10" s="1"/>
  <c r="AT40" i="10"/>
  <c r="AT662" i="10"/>
  <c r="AU641" i="10"/>
  <c r="AU405" i="10"/>
  <c r="AT326" i="10"/>
  <c r="AU1130" i="10"/>
  <c r="AT353" i="10"/>
  <c r="AU15" i="10"/>
  <c r="AU1148" i="10"/>
  <c r="AU248" i="10"/>
  <c r="AT1179" i="10"/>
  <c r="AT1080" i="10"/>
  <c r="AU549" i="10"/>
  <c r="AT288" i="10"/>
  <c r="AU1151" i="10"/>
  <c r="AT364" i="10"/>
  <c r="AU1134" i="10"/>
  <c r="AT1015" i="10"/>
  <c r="AT494" i="10"/>
  <c r="C487" i="12"/>
  <c r="AU639" i="10"/>
  <c r="C339" i="12"/>
  <c r="AT508" i="10"/>
  <c r="AU615" i="10"/>
  <c r="AU855" i="10"/>
  <c r="AT939" i="10"/>
  <c r="AU625" i="10"/>
  <c r="AT992" i="10"/>
  <c r="AU187" i="10"/>
  <c r="AT924" i="10"/>
  <c r="Y847" i="10"/>
  <c r="Z847" i="10" s="1"/>
  <c r="C847" i="12"/>
  <c r="Y1019" i="10"/>
  <c r="Z1019" i="10" s="1"/>
  <c r="Y990" i="10"/>
  <c r="Z990" i="10" s="1"/>
  <c r="Y855" i="10"/>
  <c r="Z855" i="10" s="1"/>
  <c r="Y241" i="10"/>
  <c r="Z241" i="10" s="1"/>
  <c r="C756" i="12"/>
  <c r="Y957" i="10"/>
  <c r="Z957" i="10" s="1"/>
  <c r="Y415" i="10"/>
  <c r="Z415" i="10" s="1"/>
  <c r="AT778" i="10"/>
  <c r="AU840" i="10"/>
  <c r="AU319" i="10"/>
  <c r="AU502" i="10"/>
  <c r="AU554" i="10"/>
  <c r="AT1007" i="10"/>
  <c r="AT350" i="10"/>
  <c r="AT983" i="10"/>
  <c r="AU19" i="10"/>
  <c r="Y1178" i="10"/>
  <c r="Z1178" i="10" s="1"/>
  <c r="C916" i="12"/>
  <c r="Y149" i="10"/>
  <c r="Z149" i="10" s="1"/>
  <c r="Y526" i="10"/>
  <c r="Z526" i="10" s="1"/>
  <c r="Y930" i="10"/>
  <c r="Z930" i="10" s="1"/>
  <c r="Y729" i="10"/>
  <c r="Z729" i="10" s="1"/>
  <c r="Y292" i="10"/>
  <c r="Z292" i="10" s="1"/>
  <c r="Y778" i="10"/>
  <c r="Z778" i="10" s="1"/>
  <c r="Y653" i="10"/>
  <c r="Z653" i="10" s="1"/>
  <c r="Y62" i="10"/>
  <c r="Z62" i="10" s="1"/>
  <c r="AU172" i="10"/>
  <c r="AU728" i="10"/>
  <c r="AU567" i="10"/>
  <c r="AT968" i="10"/>
  <c r="AU478" i="10"/>
  <c r="AU701" i="10"/>
  <c r="AT352" i="10"/>
  <c r="AU1190" i="10"/>
  <c r="AU964" i="10"/>
  <c r="AT887" i="10"/>
  <c r="AT271" i="10"/>
  <c r="AU393" i="10"/>
  <c r="AU943" i="10"/>
  <c r="Y261" i="10"/>
  <c r="Z261" i="10" s="1"/>
  <c r="AT460" i="10"/>
  <c r="AU109" i="10"/>
  <c r="AT715" i="10"/>
  <c r="AT313" i="10"/>
  <c r="AT570" i="10"/>
  <c r="AT420" i="10"/>
  <c r="AT706" i="10"/>
  <c r="AT1133" i="10"/>
  <c r="AU384" i="10"/>
  <c r="AT561" i="10"/>
  <c r="AU832" i="10"/>
  <c r="AU1100" i="10"/>
  <c r="AT1051" i="10"/>
  <c r="AT690" i="10"/>
  <c r="AU767" i="10"/>
  <c r="AU933" i="10"/>
  <c r="AU650" i="10"/>
  <c r="AU436" i="10"/>
  <c r="AT1150" i="10"/>
  <c r="AU866" i="10"/>
  <c r="AT1090" i="10"/>
  <c r="AU1137" i="10"/>
  <c r="AT75" i="10"/>
  <c r="AT68" i="10"/>
  <c r="Y406" i="10"/>
  <c r="Z406" i="10" s="1"/>
  <c r="Y374" i="10"/>
  <c r="Z374" i="10" s="1"/>
  <c r="Y1175" i="10"/>
  <c r="Z1175" i="10" s="1"/>
  <c r="AU261" i="10"/>
  <c r="AU605" i="10"/>
  <c r="AT938" i="10"/>
  <c r="AU618" i="10"/>
  <c r="AU822" i="10"/>
  <c r="AU349" i="10"/>
  <c r="AU783" i="10"/>
  <c r="AU191" i="10"/>
  <c r="AU805" i="10"/>
  <c r="AU487" i="10"/>
  <c r="AU60" i="10"/>
  <c r="AU827" i="10"/>
  <c r="AT237" i="10"/>
  <c r="AU236" i="10"/>
  <c r="AU901" i="10"/>
  <c r="AU642" i="10"/>
  <c r="AU433" i="10"/>
  <c r="AU803" i="10"/>
  <c r="AU343" i="10"/>
  <c r="AU280" i="10"/>
  <c r="AU79" i="10"/>
  <c r="AU945" i="10"/>
  <c r="AU360" i="10"/>
  <c r="AT590" i="10"/>
  <c r="AU490" i="10"/>
  <c r="AU710" i="10"/>
  <c r="AU1172" i="10"/>
  <c r="AT808" i="10"/>
  <c r="AU808" i="10"/>
  <c r="C83" i="12"/>
  <c r="Y83" i="10"/>
  <c r="Z83" i="10" s="1"/>
  <c r="C668" i="12"/>
  <c r="Y668" i="10"/>
  <c r="Z668" i="10" s="1"/>
  <c r="C1054" i="12"/>
  <c r="Y1054" i="10"/>
  <c r="Z1054" i="10" s="1"/>
  <c r="C299" i="12"/>
  <c r="Y299" i="10"/>
  <c r="Z299" i="10" s="1"/>
  <c r="Y1142" i="10"/>
  <c r="Z1142" i="10" s="1"/>
  <c r="C1142" i="12"/>
  <c r="C514" i="12"/>
  <c r="Y514" i="10"/>
  <c r="Z514" i="10" s="1"/>
  <c r="C348" i="12"/>
  <c r="Y348" i="10"/>
  <c r="Z348" i="10" s="1"/>
  <c r="C646" i="12"/>
  <c r="Y646" i="10"/>
  <c r="Z646" i="10" s="1"/>
  <c r="C696" i="12"/>
  <c r="Y696" i="10"/>
  <c r="Z696" i="10" s="1"/>
  <c r="Y37" i="10"/>
  <c r="Z37" i="10" s="1"/>
  <c r="C37" i="12"/>
  <c r="AT76" i="10"/>
  <c r="AU76" i="10"/>
  <c r="AT608" i="10"/>
  <c r="AU608" i="10"/>
  <c r="AU1000" i="10"/>
  <c r="AT1000" i="10"/>
  <c r="AU1132" i="10"/>
  <c r="AT1132" i="10"/>
  <c r="AT802" i="10"/>
  <c r="AU317" i="10"/>
  <c r="AT317" i="10"/>
  <c r="AT557" i="10"/>
  <c r="AU557" i="10"/>
  <c r="AT578" i="10"/>
  <c r="AU578" i="10"/>
  <c r="C544" i="12"/>
  <c r="Y544" i="10"/>
  <c r="Z544" i="10" s="1"/>
  <c r="Y758" i="10"/>
  <c r="Z758" i="10" s="1"/>
  <c r="C758" i="12"/>
  <c r="Y384" i="10"/>
  <c r="Z384" i="10" s="1"/>
  <c r="C384" i="12"/>
  <c r="Y18" i="10"/>
  <c r="Z18" i="10" s="1"/>
  <c r="C18" i="12"/>
  <c r="C206" i="12"/>
  <c r="Y206" i="10"/>
  <c r="Z206" i="10" s="1"/>
  <c r="AU1078" i="10"/>
  <c r="AT828" i="10"/>
  <c r="AU428" i="10"/>
  <c r="AT428" i="10"/>
  <c r="AT426" i="10"/>
  <c r="AU426" i="10"/>
  <c r="AT579" i="10"/>
  <c r="AU429" i="10"/>
  <c r="AT429" i="10"/>
  <c r="AT171" i="10"/>
  <c r="AU55" i="10"/>
  <c r="C522" i="12"/>
  <c r="Y522" i="10"/>
  <c r="Z522" i="10" s="1"/>
  <c r="C603" i="12"/>
  <c r="Y603" i="10"/>
  <c r="Z603" i="10" s="1"/>
  <c r="C101" i="12"/>
  <c r="Y101" i="10"/>
  <c r="Z101" i="10" s="1"/>
  <c r="AT243" i="10"/>
  <c r="AU243" i="10"/>
  <c r="AT534" i="10"/>
  <c r="AU534" i="10"/>
  <c r="C1068" i="12"/>
  <c r="Y1068" i="10"/>
  <c r="Z1068" i="10" s="1"/>
  <c r="C174" i="12"/>
  <c r="Y174" i="10"/>
  <c r="Z174" i="10" s="1"/>
  <c r="AT1097" i="10"/>
  <c r="AU1097" i="10"/>
  <c r="AT678" i="10"/>
  <c r="AU678" i="10"/>
  <c r="AT158" i="10"/>
  <c r="AU158" i="10"/>
  <c r="AT242" i="10"/>
  <c r="AU242" i="10"/>
  <c r="AT210" i="10"/>
  <c r="AU210" i="10"/>
  <c r="AU634" i="10"/>
  <c r="AT634" i="10"/>
  <c r="AT821" i="10"/>
  <c r="AU821" i="10"/>
  <c r="AU636" i="10"/>
  <c r="AT636" i="10"/>
  <c r="AT850" i="10"/>
  <c r="AU850" i="10"/>
  <c r="AU1153" i="10"/>
  <c r="AT1153" i="10"/>
  <c r="AT834" i="10"/>
  <c r="AU834" i="10"/>
  <c r="AT741" i="10"/>
  <c r="AU741" i="10"/>
  <c r="AT663" i="10"/>
  <c r="AU663" i="10"/>
  <c r="C923" i="12"/>
  <c r="Y923" i="10"/>
  <c r="Z923" i="10" s="1"/>
  <c r="Y1189" i="10"/>
  <c r="Z1189" i="10" s="1"/>
  <c r="C1189" i="12"/>
  <c r="AU1187" i="10"/>
  <c r="AT1187" i="10"/>
  <c r="AT321" i="10"/>
  <c r="AU321" i="10"/>
  <c r="AU684" i="10"/>
  <c r="AT684" i="10"/>
  <c r="AT779" i="10"/>
  <c r="AU779" i="10"/>
  <c r="AT1128" i="10"/>
  <c r="AU1128" i="10"/>
  <c r="AT437" i="10"/>
  <c r="AU437" i="10"/>
  <c r="AU175" i="10"/>
  <c r="AT175" i="10"/>
  <c r="AT800" i="10"/>
  <c r="AU800" i="10"/>
  <c r="AU1056" i="10"/>
  <c r="AT1056" i="10"/>
  <c r="AT378" i="10"/>
  <c r="AU378" i="10"/>
  <c r="AT942" i="10"/>
  <c r="AU942" i="10"/>
  <c r="AT118" i="10"/>
  <c r="AU118" i="10"/>
  <c r="AT254" i="10"/>
  <c r="AU254" i="10"/>
  <c r="AU998" i="10"/>
  <c r="AT998" i="10"/>
  <c r="C47" i="12"/>
  <c r="Y47" i="10"/>
  <c r="Z47" i="10" s="1"/>
  <c r="AT1045" i="10"/>
  <c r="AU1045" i="10"/>
  <c r="C635" i="12"/>
  <c r="Y635" i="10"/>
  <c r="Z635" i="10" s="1"/>
  <c r="AU852" i="10"/>
  <c r="C864" i="12"/>
  <c r="Y864" i="10"/>
  <c r="Z864" i="10" s="1"/>
  <c r="C1057" i="12"/>
  <c r="Y1057" i="10"/>
  <c r="Z1057" i="10" s="1"/>
  <c r="C691" i="12"/>
  <c r="Y691" i="10"/>
  <c r="Z691" i="10" s="1"/>
  <c r="AU765" i="10"/>
  <c r="AT765" i="10"/>
  <c r="C413" i="12"/>
  <c r="AT130" i="10"/>
  <c r="AU130" i="10"/>
  <c r="AU818" i="10"/>
  <c r="AT818" i="10"/>
  <c r="AT617" i="10"/>
  <c r="AU617" i="10"/>
  <c r="C1033" i="12"/>
  <c r="Y1033" i="10"/>
  <c r="Z1033" i="10" s="1"/>
  <c r="C755" i="12"/>
  <c r="Y755" i="10"/>
  <c r="Z755" i="10" s="1"/>
  <c r="C1004" i="12"/>
  <c r="Y1004" i="10"/>
  <c r="Z1004" i="10" s="1"/>
  <c r="C975" i="12"/>
  <c r="Y975" i="10"/>
  <c r="Z975" i="10" s="1"/>
  <c r="C878" i="12"/>
  <c r="Y878" i="10"/>
  <c r="Z878" i="10" s="1"/>
  <c r="Y540" i="10"/>
  <c r="Z540" i="10" s="1"/>
  <c r="C540" i="12"/>
  <c r="C521" i="12"/>
  <c r="Y521" i="10"/>
  <c r="Z521" i="10" s="1"/>
  <c r="C960" i="12"/>
  <c r="Y960" i="10"/>
  <c r="Z960" i="10" s="1"/>
  <c r="AT766" i="10"/>
  <c r="AU766" i="10"/>
  <c r="C839" i="12"/>
  <c r="Y839" i="10"/>
  <c r="Z839" i="10" s="1"/>
  <c r="C685" i="12"/>
  <c r="Y685" i="10"/>
  <c r="Z685" i="10" s="1"/>
  <c r="C672" i="12"/>
  <c r="Y672" i="10"/>
  <c r="Z672" i="10" s="1"/>
  <c r="C189" i="12"/>
  <c r="Y106" i="10"/>
  <c r="Z106" i="10" s="1"/>
  <c r="C106" i="12"/>
  <c r="C951" i="12"/>
  <c r="AT888" i="10"/>
  <c r="AU816" i="10"/>
  <c r="AU298" i="10"/>
  <c r="AT310" i="10"/>
  <c r="AU310" i="10"/>
  <c r="AT301" i="10"/>
  <c r="AU301" i="10"/>
  <c r="AT166" i="10"/>
  <c r="AU166" i="10"/>
  <c r="AT793" i="10"/>
  <c r="AU793" i="10"/>
  <c r="AT893" i="10"/>
  <c r="AU893" i="10"/>
  <c r="C704" i="12"/>
  <c r="Y704" i="10"/>
  <c r="Z704" i="10" s="1"/>
  <c r="AT44" i="10"/>
  <c r="AT970" i="10"/>
  <c r="AU970" i="10"/>
  <c r="AT947" i="10"/>
  <c r="AU947" i="10"/>
  <c r="AT430" i="10"/>
  <c r="AU430" i="10"/>
  <c r="AU794" i="10"/>
  <c r="AT794" i="10"/>
  <c r="AT558" i="10"/>
  <c r="AU558" i="10"/>
  <c r="AT1181" i="10"/>
  <c r="AU1181" i="10"/>
  <c r="AT141" i="10"/>
  <c r="AU141" i="10"/>
  <c r="AU1073" i="10"/>
  <c r="AT1073" i="10"/>
  <c r="AU1122" i="10"/>
  <c r="AT1122" i="10"/>
  <c r="AT362" i="10"/>
  <c r="AU362" i="10"/>
  <c r="Y1141" i="10"/>
  <c r="Z1141" i="10" s="1"/>
  <c r="Y515" i="10"/>
  <c r="Z515" i="10" s="1"/>
  <c r="C515" i="12"/>
  <c r="C1069" i="12"/>
  <c r="Y1069" i="10"/>
  <c r="Z1069" i="10" s="1"/>
  <c r="Y1170" i="10"/>
  <c r="Z1170" i="10" s="1"/>
  <c r="AU1079" i="10"/>
  <c r="AT859" i="10"/>
  <c r="AU859" i="10"/>
  <c r="AU1049" i="10"/>
  <c r="AT1049" i="10"/>
  <c r="AT289" i="10"/>
  <c r="AU289" i="10"/>
  <c r="AU81" i="10"/>
  <c r="AT1147" i="10"/>
  <c r="AU117" i="10"/>
  <c r="AT117" i="10"/>
  <c r="AT201" i="10"/>
  <c r="AU201" i="10"/>
  <c r="C1135" i="12"/>
  <c r="Y1135" i="10"/>
  <c r="Z1135" i="10" s="1"/>
  <c r="AT83" i="10"/>
  <c r="AU83" i="10"/>
  <c r="AT281" i="10"/>
  <c r="AU281" i="10"/>
  <c r="AU392" i="10"/>
  <c r="AT392" i="10"/>
  <c r="Y111" i="10"/>
  <c r="Z111" i="10" s="1"/>
  <c r="Y766" i="10"/>
  <c r="Z766" i="10" s="1"/>
  <c r="C481" i="12"/>
  <c r="C55" i="12"/>
  <c r="C1066" i="12"/>
  <c r="C1122" i="12"/>
  <c r="C322" i="12"/>
  <c r="Y819" i="10"/>
  <c r="Z819" i="10" s="1"/>
  <c r="C93" i="12"/>
  <c r="AT935" i="10"/>
  <c r="AT10" i="10"/>
  <c r="AU339" i="10"/>
  <c r="AT745" i="10"/>
  <c r="AT648" i="10"/>
  <c r="AU695" i="10"/>
  <c r="AT776" i="10"/>
  <c r="AU711" i="10"/>
  <c r="AU34" i="10"/>
  <c r="AT213" i="10"/>
  <c r="AT1177" i="10"/>
  <c r="C713" i="12"/>
  <c r="AT627" i="10"/>
  <c r="AT165" i="10"/>
  <c r="AT480" i="10"/>
  <c r="AU845" i="10"/>
  <c r="AU1124" i="10"/>
  <c r="AU589" i="10"/>
  <c r="AU485" i="10"/>
  <c r="AT823" i="10"/>
  <c r="AU91" i="10"/>
  <c r="AT788" i="10"/>
  <c r="AT528" i="10"/>
  <c r="AT53" i="10"/>
  <c r="AU86" i="10"/>
  <c r="AU732" i="10"/>
  <c r="AU559" i="10"/>
  <c r="AU626" i="10"/>
  <c r="AT477" i="10"/>
  <c r="AT1115" i="10"/>
  <c r="AU898" i="10"/>
  <c r="AT733" i="10"/>
  <c r="AT112" i="10"/>
  <c r="AU340" i="10"/>
  <c r="AU456" i="10"/>
  <c r="AT1175" i="10"/>
  <c r="AT113" i="10"/>
  <c r="C701" i="12"/>
  <c r="AT1082" i="10"/>
  <c r="AU475" i="10"/>
  <c r="AT929" i="10"/>
  <c r="AT720" i="10"/>
  <c r="AU491" i="10"/>
  <c r="AT773" i="10"/>
  <c r="AU110" i="10"/>
  <c r="AT598" i="10"/>
  <c r="AU308" i="10"/>
  <c r="AT402" i="10"/>
  <c r="AT782" i="10"/>
  <c r="Y70" i="10"/>
  <c r="Z70" i="10" s="1"/>
  <c r="Y1150" i="10"/>
  <c r="Z1150" i="10" s="1"/>
  <c r="AT442" i="10"/>
  <c r="AU1023" i="10"/>
  <c r="AU703" i="10"/>
  <c r="AU687" i="10"/>
  <c r="AT163" i="10"/>
  <c r="AU995" i="10"/>
  <c r="AU731" i="10"/>
  <c r="AT325" i="10"/>
  <c r="AU533" i="10"/>
  <c r="AU997" i="10"/>
  <c r="AU562" i="10"/>
  <c r="AU629" i="10"/>
  <c r="AU520" i="10"/>
  <c r="AU285" i="10"/>
  <c r="AT1070" i="10"/>
  <c r="AT1040" i="10"/>
  <c r="AT492" i="10"/>
  <c r="Y379" i="10"/>
  <c r="Z379" i="10" s="1"/>
  <c r="Y741" i="10"/>
  <c r="Z741" i="10" s="1"/>
  <c r="AU977" i="10"/>
  <c r="AT1047" i="10"/>
  <c r="AU27" i="10"/>
  <c r="AT553" i="10"/>
  <c r="AU479" i="10"/>
  <c r="AU908" i="10"/>
  <c r="AU374" i="10"/>
  <c r="AT647" i="10"/>
  <c r="AT1101" i="10"/>
  <c r="AU1139" i="10"/>
  <c r="AU144" i="10"/>
  <c r="AU399" i="10"/>
  <c r="C1086" i="12"/>
  <c r="AT13" i="10"/>
  <c r="AT736" i="10"/>
  <c r="AU77" i="10"/>
  <c r="AU218" i="10"/>
  <c r="Y210" i="10"/>
  <c r="Z210" i="10" s="1"/>
  <c r="Y298" i="10"/>
  <c r="Z298" i="10" s="1"/>
  <c r="Y1073" i="10"/>
  <c r="Z1073" i="10" s="1"/>
  <c r="C634" i="12"/>
  <c r="AU180" i="10"/>
  <c r="AU537" i="10"/>
  <c r="AT1053" i="10"/>
  <c r="AU337" i="10"/>
  <c r="AT387" i="10"/>
  <c r="AU370" i="10"/>
  <c r="AT593" i="10"/>
  <c r="AU126" i="10"/>
  <c r="AT239" i="10"/>
  <c r="AT389" i="10"/>
  <c r="AU99" i="10"/>
  <c r="AT89" i="10"/>
  <c r="AU257" i="10"/>
  <c r="AT203" i="10"/>
  <c r="AU904" i="10"/>
  <c r="AT976" i="10"/>
  <c r="AU1109" i="10"/>
  <c r="AU9" i="10"/>
  <c r="C157" i="12"/>
  <c r="Y157" i="10"/>
  <c r="Z157" i="10" s="1"/>
  <c r="Y1049" i="10"/>
  <c r="Z1049" i="10" s="1"/>
  <c r="Y317" i="10"/>
  <c r="Z317" i="10" s="1"/>
  <c r="AU946" i="10"/>
  <c r="AU1104" i="10"/>
  <c r="AU926" i="10"/>
  <c r="AT330" i="10"/>
  <c r="AT761" i="10"/>
  <c r="AT722" i="10"/>
  <c r="AU576" i="10"/>
  <c r="AU1160" i="10"/>
  <c r="AT427" i="10"/>
  <c r="AU631" i="10"/>
  <c r="AU815" i="10"/>
  <c r="AT220" i="10"/>
  <c r="AT276" i="10"/>
  <c r="AT170" i="10"/>
  <c r="C437" i="12"/>
  <c r="AU959" i="10"/>
  <c r="AT1088" i="10"/>
  <c r="AT958" i="10"/>
  <c r="AU1111" i="10"/>
  <c r="AT1083" i="10"/>
  <c r="AU41" i="10"/>
  <c r="AU543" i="10"/>
  <c r="AU657" i="10"/>
  <c r="AU601" i="10"/>
  <c r="AU495" i="10"/>
  <c r="AU468" i="10"/>
  <c r="AU93" i="10"/>
  <c r="AT709" i="10"/>
  <c r="AT251" i="10"/>
  <c r="AT911" i="10"/>
  <c r="C784" i="12"/>
  <c r="Y784" i="10"/>
  <c r="Z784" i="10" s="1"/>
  <c r="C860" i="12"/>
  <c r="AU43" i="10"/>
  <c r="AT1155" i="10"/>
  <c r="AU772" i="10"/>
  <c r="AU355" i="10"/>
  <c r="AT383" i="10"/>
  <c r="AT272" i="10"/>
  <c r="AT65" i="10"/>
  <c r="AU725" i="10"/>
  <c r="AT466" i="10"/>
  <c r="AU586" i="10"/>
  <c r="AU1063" i="10"/>
  <c r="AU70" i="10"/>
  <c r="AU724" i="10"/>
  <c r="AT552" i="10"/>
  <c r="AU512" i="10"/>
  <c r="AT603" i="10"/>
  <c r="AU221" i="10"/>
  <c r="AU234" i="10"/>
  <c r="AT17" i="10"/>
  <c r="AT1163" i="10"/>
  <c r="AT183" i="10"/>
  <c r="AT896" i="10"/>
  <c r="AU222" i="10"/>
  <c r="AT451" i="10"/>
  <c r="AU322" i="10"/>
  <c r="AT1032" i="10"/>
  <c r="AU1188" i="10"/>
  <c r="AU774" i="10"/>
  <c r="AT655" i="10"/>
  <c r="AU1005" i="10"/>
  <c r="AT829" i="10"/>
  <c r="AU884" i="10"/>
  <c r="AU265" i="10"/>
  <c r="AT381" i="10"/>
  <c r="AU103" i="10"/>
  <c r="AU30" i="10"/>
  <c r="AU937" i="10"/>
  <c r="Y314" i="10"/>
  <c r="Z314" i="10" s="1"/>
  <c r="AU174" i="10"/>
  <c r="AT1173" i="10"/>
  <c r="AT536" i="10"/>
  <c r="AT419" i="10"/>
  <c r="AU51" i="10"/>
  <c r="AU205" i="10"/>
  <c r="AT837" i="10"/>
  <c r="AT486" i="10"/>
  <c r="AT1129" i="10"/>
  <c r="AU386" i="10"/>
  <c r="AU560" i="10"/>
  <c r="AU440" i="10"/>
  <c r="AU869" i="10"/>
  <c r="AU973" i="10"/>
  <c r="AT90" i="10"/>
  <c r="AT1076" i="10"/>
  <c r="AT700" i="10"/>
  <c r="AU748" i="10"/>
  <c r="AU811" i="10"/>
  <c r="AU74" i="10"/>
  <c r="AU169" i="10"/>
  <c r="AT472" i="10"/>
  <c r="AU953" i="10"/>
  <c r="AT535" i="10"/>
  <c r="AU379" i="10"/>
  <c r="AT395" i="10"/>
  <c r="AU342" i="10"/>
  <c r="AU88" i="10"/>
  <c r="Y614" i="10"/>
  <c r="Z614" i="10" s="1"/>
  <c r="Y11" i="10"/>
  <c r="Z11" i="10" s="1"/>
  <c r="Y1120" i="10"/>
  <c r="Z1120" i="10" s="1"/>
  <c r="Y44" i="10"/>
  <c r="Z44" i="10" s="1"/>
  <c r="Y643" i="10"/>
  <c r="Z643" i="10" s="1"/>
  <c r="AU16" i="10"/>
  <c r="AU614" i="10"/>
  <c r="AU192" i="10"/>
  <c r="AU1116" i="10"/>
  <c r="AU458" i="10"/>
  <c r="AU812" i="10"/>
  <c r="AU132" i="10"/>
  <c r="AT85" i="10"/>
  <c r="AU917" i="10"/>
  <c r="AT1094" i="10"/>
  <c r="AU407" i="10"/>
  <c r="AT223" i="10"/>
  <c r="AU279" i="10"/>
  <c r="AT542" i="10"/>
  <c r="AU673" i="10"/>
  <c r="AT522" i="10"/>
  <c r="AT644" i="10"/>
  <c r="AU1017" i="10"/>
  <c r="AU764" i="10"/>
  <c r="AT115" i="10"/>
  <c r="AU584" i="10"/>
  <c r="AT299" i="10"/>
  <c r="AT1058" i="10"/>
  <c r="AU116" i="10"/>
  <c r="AU160" i="10"/>
  <c r="C422" i="12"/>
  <c r="Y422" i="10"/>
  <c r="Z422" i="10" s="1"/>
  <c r="Y273" i="10"/>
  <c r="Z273" i="10" s="1"/>
  <c r="Y557" i="10"/>
  <c r="Z557" i="10" s="1"/>
  <c r="Y1128" i="10"/>
  <c r="Z1128" i="10" s="1"/>
  <c r="AT449" i="10"/>
  <c r="AT868" i="10"/>
  <c r="AU438" i="10"/>
  <c r="AT245" i="10"/>
  <c r="AU842" i="10"/>
  <c r="AU1068" i="10"/>
  <c r="AU96" i="10"/>
  <c r="AU309" i="10"/>
  <c r="AT1123" i="10"/>
  <c r="AT82" i="10"/>
  <c r="AT1014" i="10"/>
  <c r="AU994" i="10"/>
  <c r="AU569" i="10"/>
  <c r="AU290" i="10"/>
  <c r="AU737" i="10"/>
  <c r="AU249" i="10"/>
  <c r="AU136" i="10"/>
  <c r="AU1176" i="10"/>
  <c r="AU476" i="10"/>
  <c r="AU1193" i="10"/>
  <c r="AT885" i="10"/>
  <c r="AT1118" i="10"/>
  <c r="AT120" i="10"/>
  <c r="AT1140" i="10"/>
  <c r="AU376" i="10"/>
  <c r="AT318" i="10"/>
  <c r="AU412" i="10"/>
  <c r="AU905" i="10"/>
  <c r="AU628" i="10"/>
  <c r="AU312" i="10"/>
  <c r="AT176" i="10"/>
  <c r="AT131" i="10"/>
  <c r="AU291" i="10"/>
  <c r="AU1174" i="10"/>
  <c r="AT1035" i="10"/>
  <c r="AT630" i="10"/>
  <c r="AU398" i="10"/>
  <c r="AU735" i="10"/>
  <c r="AT844" i="10"/>
  <c r="AU879" i="10"/>
  <c r="AT791" i="10"/>
  <c r="AU414" i="10"/>
  <c r="AU314" i="10"/>
  <c r="AT677" i="10"/>
  <c r="AU954" i="10"/>
  <c r="AT471" i="10"/>
  <c r="AU1191" i="10"/>
  <c r="AT1182" i="10"/>
  <c r="Y171" i="10"/>
  <c r="Z171" i="10" s="1"/>
  <c r="Y175" i="10"/>
  <c r="Z175" i="10" s="1"/>
  <c r="AU613" i="10"/>
  <c r="AT881" i="10"/>
  <c r="AU861" i="10"/>
  <c r="AT892" i="10"/>
  <c r="AU168" i="10"/>
  <c r="AU167" i="10"/>
  <c r="AU1156" i="10"/>
  <c r="AT769" i="10"/>
  <c r="AU368" i="10"/>
  <c r="AU390" i="10"/>
  <c r="AT262" i="10"/>
  <c r="AT515" i="10"/>
  <c r="AT697" i="10"/>
  <c r="AU375" i="10"/>
  <c r="AU66" i="10"/>
  <c r="Y1095" i="10"/>
  <c r="Z1095" i="10" s="1"/>
  <c r="Y941" i="10"/>
  <c r="Z941" i="10" s="1"/>
  <c r="Y742" i="10"/>
  <c r="Z742" i="10" s="1"/>
  <c r="AU843" i="10"/>
  <c r="AT566" i="10"/>
  <c r="AT853" i="10"/>
  <c r="AU661" i="10"/>
  <c r="AT698" i="10"/>
  <c r="AT985" i="10"/>
  <c r="AU914" i="10"/>
  <c r="AT1103" i="10"/>
  <c r="AU810" i="10"/>
  <c r="AT216" i="10"/>
  <c r="AT1013" i="10"/>
  <c r="AT524" i="10"/>
  <c r="AT123" i="10"/>
  <c r="AU727" i="10"/>
  <c r="AT435" i="10"/>
  <c r="AT200" i="10"/>
  <c r="AU824" i="10"/>
  <c r="AU224" i="10"/>
  <c r="AT1036" i="10"/>
  <c r="AT80" i="10"/>
  <c r="AT311" i="10"/>
  <c r="AU714" i="10"/>
  <c r="Y779" i="10"/>
  <c r="Z779" i="10" s="1"/>
  <c r="Y776" i="10"/>
  <c r="Z776" i="10" s="1"/>
  <c r="Y801" i="10"/>
  <c r="Z801" i="10" s="1"/>
  <c r="Y845" i="10"/>
  <c r="Z845" i="10" s="1"/>
  <c r="AU683" i="10"/>
  <c r="AU903" i="10"/>
  <c r="AU696" i="10"/>
  <c r="AU511" i="10"/>
  <c r="AT999" i="10"/>
  <c r="AT686" i="10"/>
  <c r="AU1052" i="10"/>
  <c r="AT966" i="10"/>
  <c r="AU189" i="10"/>
  <c r="AU400" i="10"/>
  <c r="AU699" i="10"/>
  <c r="AT1034" i="10"/>
  <c r="AU397" i="10"/>
  <c r="AU742" i="10"/>
  <c r="AU867" i="10"/>
  <c r="AT754" i="10"/>
  <c r="AU833" i="10"/>
  <c r="AU519" i="10"/>
  <c r="AU671" i="10"/>
  <c r="AT49" i="10"/>
  <c r="AU585" i="10"/>
  <c r="AU1135" i="10"/>
  <c r="AT179" i="10"/>
  <c r="AU84" i="10"/>
  <c r="AU599" i="10"/>
  <c r="AU804" i="10"/>
  <c r="AT743" i="10"/>
  <c r="AT944" i="10"/>
  <c r="AT1131" i="10"/>
  <c r="AT71" i="10"/>
  <c r="AU746" i="10"/>
  <c r="AU753" i="10"/>
  <c r="AT516" i="10"/>
  <c r="AU582" i="10"/>
  <c r="AU1120" i="10"/>
  <c r="AT1028" i="10"/>
  <c r="AT253" i="10"/>
  <c r="AU643" i="10"/>
  <c r="AU269" i="10"/>
  <c r="AU796" i="10"/>
  <c r="AT274" i="10"/>
  <c r="AU830" i="10"/>
  <c r="AU35" i="10"/>
  <c r="AT857" i="10"/>
  <c r="AU876" i="10"/>
  <c r="AT377" i="10"/>
  <c r="AU1074" i="10"/>
  <c r="AU424" i="10"/>
  <c r="AT1069" i="10"/>
  <c r="AT518" i="10"/>
  <c r="AT1026" i="10"/>
  <c r="AU421" i="10"/>
  <c r="AU957" i="10"/>
  <c r="AT140" i="10"/>
  <c r="AT328" i="10"/>
  <c r="AU716" i="10"/>
  <c r="AU632" i="10"/>
  <c r="AU469" i="10"/>
  <c r="AU263" i="10"/>
  <c r="AU786" i="10"/>
  <c r="AT338" i="10"/>
  <c r="AT207" i="10"/>
  <c r="AU551" i="10"/>
  <c r="AU23" i="10"/>
  <c r="AU1095" i="10"/>
  <c r="AU334" i="10"/>
  <c r="AU538" i="10"/>
  <c r="AT186" i="10"/>
  <c r="AU974" i="10"/>
  <c r="AU875" i="10"/>
  <c r="AT1194" i="10"/>
  <c r="AT107" i="10"/>
  <c r="AU1171" i="10"/>
  <c r="AT1037" i="10"/>
  <c r="AT61" i="10"/>
  <c r="AU6" i="10"/>
  <c r="AU530" i="10"/>
  <c r="AT1050" i="10"/>
  <c r="AU119" i="10"/>
  <c r="AT300" i="10"/>
  <c r="AT297" i="10"/>
  <c r="AT320" i="10"/>
  <c r="AU756" i="10"/>
  <c r="AT971" i="10"/>
  <c r="AT1185" i="10"/>
  <c r="AU453" i="10"/>
  <c r="AT860" i="10"/>
  <c r="AU1168" i="10"/>
  <c r="AU121" i="10"/>
  <c r="AU607" i="10"/>
  <c r="AU961" i="10"/>
  <c r="AU620" i="10"/>
  <c r="AU899" i="10"/>
  <c r="AT993" i="10"/>
  <c r="AU45" i="10"/>
  <c r="C1145" i="12"/>
  <c r="Y1145" i="10"/>
  <c r="Z1145" i="10" s="1"/>
  <c r="AT1003" i="10"/>
  <c r="AT142" i="10"/>
  <c r="C914" i="12"/>
  <c r="Y914" i="10"/>
  <c r="Z914" i="10" s="1"/>
  <c r="AT149" i="10"/>
  <c r="AU1125" i="10"/>
  <c r="C332" i="12"/>
  <c r="Y332" i="10"/>
  <c r="Z332" i="10" s="1"/>
  <c r="AT771" i="10"/>
  <c r="AU1011" i="10"/>
  <c r="AU790" i="10"/>
  <c r="AU306" i="10"/>
  <c r="AU481" i="10"/>
  <c r="AT47" i="10"/>
  <c r="Y1183" i="10"/>
  <c r="Z1183" i="10" s="1"/>
  <c r="C1183" i="12"/>
  <c r="Y335" i="10"/>
  <c r="Z335" i="10" s="1"/>
  <c r="C123" i="12"/>
  <c r="C304" i="12"/>
  <c r="C40" i="12"/>
  <c r="AT594" i="10"/>
  <c r="Y1051" i="10"/>
  <c r="Z1051" i="10" s="1"/>
  <c r="C574" i="12"/>
  <c r="C405" i="12"/>
  <c r="C236" i="12"/>
  <c r="C364" i="12"/>
  <c r="AU100" i="10"/>
  <c r="C846" i="12"/>
  <c r="C935" i="12"/>
  <c r="C761" i="12"/>
  <c r="C165" i="12"/>
  <c r="Y1104" i="10"/>
  <c r="Z1104" i="10" s="1"/>
  <c r="C976" i="12"/>
  <c r="AT906" i="10"/>
  <c r="AU906" i="10"/>
  <c r="AT193" i="10"/>
  <c r="AU193" i="10"/>
  <c r="Y285" i="10"/>
  <c r="Z285" i="10" s="1"/>
  <c r="C285" i="12"/>
  <c r="AU354" i="10"/>
  <c r="Y412" i="10"/>
  <c r="Z412" i="10" s="1"/>
  <c r="C460" i="12"/>
  <c r="C1100" i="12"/>
  <c r="C330" i="12"/>
  <c r="C695" i="12"/>
  <c r="AT185" i="10"/>
  <c r="C320" i="12"/>
  <c r="Y320" i="10"/>
  <c r="Z320" i="10" s="1"/>
  <c r="AU493" i="10"/>
  <c r="AU42" i="10"/>
  <c r="C315" i="12"/>
  <c r="C328" i="12"/>
  <c r="AU927" i="10"/>
  <c r="AU638" i="10"/>
  <c r="C1190" i="12"/>
  <c r="Y1190" i="10"/>
  <c r="Z1190" i="10" s="1"/>
  <c r="C601" i="12"/>
  <c r="C1097" i="12"/>
  <c r="C678" i="12"/>
  <c r="Y247" i="10"/>
  <c r="Z247" i="10" s="1"/>
  <c r="Y158" i="10"/>
  <c r="Z158" i="10" s="1"/>
  <c r="C242" i="12"/>
  <c r="C140" i="12"/>
  <c r="Y760" i="10"/>
  <c r="Z760" i="10" s="1"/>
  <c r="Y666" i="10"/>
  <c r="Z666" i="10" s="1"/>
  <c r="AT21" i="10"/>
  <c r="AT871" i="10"/>
  <c r="C689" i="12"/>
  <c r="Y689" i="10"/>
  <c r="Z689" i="10" s="1"/>
  <c r="AU645" i="10"/>
  <c r="AT1043" i="10"/>
  <c r="AU1126" i="10"/>
  <c r="AT1184" i="10"/>
  <c r="AU653" i="10"/>
  <c r="AT303" i="10"/>
  <c r="AU173" i="10"/>
  <c r="AT506" i="10"/>
  <c r="AT333" i="10"/>
  <c r="AT246" i="10"/>
  <c r="AT609" i="10"/>
  <c r="AU568" i="10"/>
  <c r="AT523" i="10"/>
  <c r="AU523" i="10"/>
  <c r="AU604" i="10"/>
  <c r="AT604" i="10"/>
  <c r="AU101" i="10"/>
  <c r="AT101" i="10"/>
  <c r="AT39" i="10"/>
  <c r="AU39" i="10"/>
  <c r="AT359" i="10"/>
  <c r="AT361" i="10"/>
  <c r="AU361" i="10"/>
  <c r="C947" i="12"/>
  <c r="C430" i="12"/>
  <c r="Y802" i="10"/>
  <c r="Z802" i="10" s="1"/>
  <c r="C794" i="12"/>
  <c r="AU369" i="10"/>
  <c r="C112" i="12"/>
  <c r="C479" i="12"/>
  <c r="C113" i="12"/>
  <c r="C387" i="12"/>
  <c r="C570" i="12"/>
  <c r="AU668" i="10"/>
  <c r="AT348" i="10"/>
  <c r="C53" i="12"/>
  <c r="C799" i="12"/>
  <c r="C307" i="12"/>
  <c r="Y307" i="10"/>
  <c r="Z307" i="10" s="1"/>
  <c r="AT1119" i="10"/>
  <c r="AU295" i="10"/>
  <c r="C859" i="12"/>
  <c r="Y859" i="10"/>
  <c r="Z859" i="10" s="1"/>
  <c r="C539" i="12"/>
  <c r="Y539" i="10"/>
  <c r="Z539" i="10" s="1"/>
  <c r="AU525" i="10"/>
  <c r="C301" i="12"/>
  <c r="Y301" i="10"/>
  <c r="Z301" i="10" s="1"/>
  <c r="AU982" i="10"/>
  <c r="AT872" i="10"/>
  <c r="AT848" i="10"/>
  <c r="Y978" i="10"/>
  <c r="Z978" i="10" s="1"/>
  <c r="C428" i="12"/>
  <c r="C523" i="12"/>
  <c r="C334" i="12"/>
  <c r="C604" i="12"/>
  <c r="Y426" i="10"/>
  <c r="Z426" i="10" s="1"/>
  <c r="AT900" i="10"/>
  <c r="Y117" i="10"/>
  <c r="Z117" i="10" s="1"/>
  <c r="C117" i="12"/>
  <c r="C1098" i="12"/>
  <c r="C538" i="12"/>
  <c r="C266" i="12"/>
  <c r="C837" i="12"/>
  <c r="C39" i="12"/>
  <c r="Y561" i="10"/>
  <c r="Z561" i="10" s="1"/>
  <c r="AT1152" i="10"/>
  <c r="AT669" i="10"/>
  <c r="AU669" i="10"/>
  <c r="C361" i="12"/>
  <c r="Y361" i="10"/>
  <c r="Z361" i="10" s="1"/>
  <c r="C615" i="12"/>
  <c r="Y815" i="10"/>
  <c r="Z815" i="10" s="1"/>
  <c r="C220" i="12"/>
  <c r="C493" i="12"/>
  <c r="C404" i="12"/>
  <c r="Y336" i="10"/>
  <c r="Z336" i="10" s="1"/>
  <c r="AU681" i="10"/>
  <c r="AT681" i="10"/>
  <c r="C928" i="12"/>
  <c r="C617" i="12"/>
  <c r="Y579" i="10"/>
  <c r="Z579" i="10" s="1"/>
  <c r="C579" i="12"/>
  <c r="Y894" i="10"/>
  <c r="Z894" i="10" s="1"/>
  <c r="C398" i="12"/>
  <c r="C421" i="12"/>
  <c r="Y824" i="10"/>
  <c r="Z824" i="10" s="1"/>
  <c r="C284" i="12"/>
  <c r="C1188" i="12"/>
  <c r="C792" i="12"/>
  <c r="C985" i="12"/>
  <c r="Y637" i="10"/>
  <c r="Z637" i="10" s="1"/>
  <c r="Y1021" i="10"/>
  <c r="Z1021" i="10" s="1"/>
  <c r="Y973" i="10"/>
  <c r="Z973" i="10" s="1"/>
  <c r="AT29" i="10"/>
  <c r="AU29" i="10"/>
  <c r="AU949" i="10"/>
  <c r="C904" i="12"/>
  <c r="Y904" i="10"/>
  <c r="Z904" i="10" s="1"/>
  <c r="C1048" i="12"/>
  <c r="Y1048" i="10"/>
  <c r="Z1048" i="10" s="1"/>
  <c r="AU918" i="10"/>
  <c r="AT307" i="10"/>
  <c r="AU692" i="10"/>
  <c r="AU980" i="10"/>
  <c r="AU122" i="10"/>
  <c r="AU1038" i="10"/>
  <c r="AU365" i="10"/>
  <c r="AU228" i="10"/>
  <c r="AU1165" i="10"/>
  <c r="AT539" i="10"/>
  <c r="AU327" i="10"/>
  <c r="AU474" i="10"/>
  <c r="AT1060" i="10"/>
  <c r="AU241" i="10"/>
  <c r="AT408" i="10"/>
  <c r="C1003" i="12"/>
  <c r="Y1003" i="10"/>
  <c r="Z1003" i="10" s="1"/>
  <c r="C503" i="12"/>
  <c r="C959" i="12"/>
  <c r="AT1031" i="10"/>
  <c r="AU1031" i="10"/>
  <c r="AU286" i="10"/>
  <c r="AT286" i="10"/>
  <c r="AT233" i="10"/>
  <c r="AU233" i="10"/>
  <c r="AT73" i="10"/>
  <c r="C243" i="12"/>
  <c r="Y243" i="10"/>
  <c r="Z243" i="10" s="1"/>
  <c r="C423" i="12"/>
  <c r="C79" i="12"/>
  <c r="C810" i="12"/>
  <c r="C43" i="12"/>
  <c r="AU415" i="10"/>
  <c r="AU675" i="10"/>
  <c r="C105" i="12"/>
  <c r="Y105" i="10"/>
  <c r="Z105" i="10" s="1"/>
  <c r="C709" i="12"/>
  <c r="AT1066" i="10"/>
  <c r="C730" i="12"/>
  <c r="AU509" i="10"/>
  <c r="AT264" i="10"/>
  <c r="C815" i="12"/>
  <c r="AT1136" i="10"/>
  <c r="AU5" i="10"/>
  <c r="AU455" i="10"/>
  <c r="AT870" i="10"/>
  <c r="AU505" i="10"/>
  <c r="AU133" i="10"/>
  <c r="AT572" i="10"/>
  <c r="AT467" i="10"/>
  <c r="AT1117" i="10"/>
  <c r="AU1117" i="10"/>
  <c r="AT1092" i="10"/>
  <c r="AT1010" i="10"/>
  <c r="C440" i="12"/>
  <c r="Y440" i="10"/>
  <c r="Z440" i="10" s="1"/>
  <c r="Y382" i="10"/>
  <c r="Z382" i="10" s="1"/>
  <c r="C899" i="12"/>
  <c r="C863" i="12"/>
  <c r="C1106" i="12"/>
  <c r="AT59" i="10"/>
  <c r="C178" i="12"/>
  <c r="Y388" i="10"/>
  <c r="Z388" i="10" s="1"/>
  <c r="C1031" i="12"/>
  <c r="C1072" i="12"/>
  <c r="Y732" i="10"/>
  <c r="Z732" i="10" s="1"/>
  <c r="C477" i="12"/>
  <c r="AU439" i="10"/>
  <c r="C201" i="12"/>
  <c r="Y595" i="10"/>
  <c r="Z595" i="10" s="1"/>
  <c r="C217" i="12"/>
  <c r="C822" i="12"/>
  <c r="C436" i="12"/>
  <c r="C796" i="12"/>
  <c r="C1172" i="12"/>
  <c r="Y159" i="10"/>
  <c r="Z159" i="10" s="1"/>
  <c r="C1015" i="12"/>
  <c r="Y1015" i="10"/>
  <c r="Z1015" i="10" s="1"/>
  <c r="C969" i="12"/>
  <c r="C747" i="12"/>
  <c r="C135" i="12"/>
  <c r="C972" i="12"/>
  <c r="AU57" i="10"/>
  <c r="AU752" i="10"/>
  <c r="AU164" i="10"/>
  <c r="AT164" i="10"/>
  <c r="AT202" i="10"/>
  <c r="AU932" i="10"/>
  <c r="C492" i="12"/>
  <c r="Y492" i="10"/>
  <c r="Z492" i="10" s="1"/>
  <c r="C7" i="12"/>
  <c r="C670" i="12"/>
  <c r="C181" i="12"/>
  <c r="C496" i="12"/>
  <c r="AT225" i="10"/>
  <c r="Y617" i="10"/>
  <c r="Z617" i="10" s="1"/>
  <c r="C104" i="12"/>
  <c r="C137" i="12"/>
  <c r="Y137" i="10"/>
  <c r="Z137" i="10" s="1"/>
  <c r="AU510" i="10"/>
  <c r="C1117" i="12"/>
  <c r="Y1117" i="10"/>
  <c r="Z1117" i="10" s="1"/>
  <c r="AT444" i="10"/>
  <c r="Y85" i="10"/>
  <c r="Z85" i="10" s="1"/>
  <c r="C85" i="12"/>
  <c r="Y130" i="10"/>
  <c r="Z130" i="10" s="1"/>
  <c r="C130" i="12"/>
  <c r="AT283" i="10"/>
  <c r="AU283" i="10"/>
  <c r="AU768" i="10"/>
  <c r="AU293" i="10"/>
  <c r="AT293" i="10"/>
  <c r="Y144" i="10"/>
  <c r="Z144" i="10" s="1"/>
  <c r="Y956" i="10"/>
  <c r="Z956" i="10" s="1"/>
  <c r="C475" i="12"/>
  <c r="C627" i="12"/>
  <c r="AU1089" i="10"/>
  <c r="AT250" i="10"/>
  <c r="AU250" i="10"/>
  <c r="AT826" i="10"/>
  <c r="C753" i="12"/>
  <c r="C115" i="12"/>
  <c r="C608" i="12"/>
  <c r="C1000" i="12"/>
  <c r="C1163" i="12"/>
  <c r="AT873" i="10"/>
  <c r="AU873" i="10"/>
  <c r="AU282" i="10"/>
  <c r="AU622" i="10"/>
  <c r="AT622" i="10"/>
  <c r="C553" i="12"/>
  <c r="C287" i="12"/>
  <c r="C1165" i="12"/>
  <c r="Y1165" i="10"/>
  <c r="Z1165" i="10" s="1"/>
  <c r="C699" i="12"/>
  <c r="Y699" i="10"/>
  <c r="Z699" i="10" s="1"/>
  <c r="C312" i="12"/>
  <c r="Y312" i="10"/>
  <c r="Z312" i="10" s="1"/>
  <c r="C478" i="12"/>
  <c r="C143" i="12"/>
  <c r="Y921" i="10"/>
  <c r="Z921" i="10" s="1"/>
  <c r="C28" i="12"/>
  <c r="C524" i="12"/>
  <c r="C1026" i="12"/>
  <c r="C811" i="12"/>
  <c r="C300" i="12"/>
  <c r="C438" i="12"/>
  <c r="Y565" i="10"/>
  <c r="Z565" i="10" s="1"/>
  <c r="C453" i="12"/>
  <c r="Y453" i="10"/>
  <c r="Z453" i="10" s="1"/>
  <c r="C67" i="12"/>
  <c r="Y67" i="10"/>
  <c r="Z67" i="10" s="1"/>
  <c r="C283" i="12"/>
  <c r="C234" i="12"/>
  <c r="Y1013" i="10"/>
  <c r="Z1013" i="10" s="1"/>
  <c r="C781" i="12"/>
  <c r="Y245" i="10"/>
  <c r="Z245" i="10" s="1"/>
  <c r="C966" i="12"/>
  <c r="C705" i="12"/>
  <c r="Y986" i="10"/>
  <c r="Z986" i="10" s="1"/>
  <c r="C986" i="12"/>
  <c r="C1032" i="12"/>
  <c r="Y60" i="10"/>
  <c r="Z60" i="10" s="1"/>
  <c r="C60" i="12"/>
  <c r="C548" i="12"/>
  <c r="C1088" i="12"/>
  <c r="C110" i="12"/>
  <c r="Y700" i="10"/>
  <c r="Z700" i="10" s="1"/>
  <c r="C1052" i="12"/>
  <c r="Y703" i="10"/>
  <c r="Z703" i="10" s="1"/>
  <c r="Y456" i="10"/>
  <c r="Z456" i="10" s="1"/>
  <c r="C343" i="12"/>
  <c r="C675" i="12"/>
  <c r="C346" i="12"/>
  <c r="Y389" i="10"/>
  <c r="Z389" i="10" s="1"/>
  <c r="C910" i="12"/>
  <c r="C414" i="12"/>
  <c r="C613" i="12"/>
  <c r="C829" i="12"/>
  <c r="C1155" i="12"/>
  <c r="C1161" i="12"/>
  <c r="C354" i="12"/>
  <c r="Y354" i="10"/>
  <c r="Z354" i="10" s="1"/>
  <c r="AU979" i="10"/>
  <c r="AT194" i="10"/>
  <c r="C900" i="12"/>
  <c r="Y194" i="10"/>
  <c r="Z194" i="10" s="1"/>
  <c r="C58" i="12"/>
  <c r="C981" i="12"/>
  <c r="C979" i="12"/>
  <c r="C169" i="12"/>
  <c r="C767" i="12"/>
  <c r="Y517" i="10"/>
  <c r="Z517" i="10" s="1"/>
  <c r="C279" i="12"/>
  <c r="AT526" i="10"/>
  <c r="AU526" i="10"/>
  <c r="C569" i="12"/>
  <c r="C567" i="12"/>
  <c r="C641" i="12"/>
  <c r="Y1127" i="10"/>
  <c r="Z1127" i="10" s="1"/>
  <c r="C827" i="12"/>
  <c r="C783" i="12"/>
  <c r="AU883" i="10"/>
  <c r="AT883" i="10"/>
  <c r="Y478" i="10"/>
  <c r="Z478" i="10" s="1"/>
  <c r="Y569" i="10"/>
  <c r="Z569" i="10" s="1"/>
  <c r="AT674" i="10"/>
  <c r="AU719" i="10"/>
  <c r="AU981" i="10"/>
  <c r="AU129" i="10"/>
  <c r="AT129" i="10"/>
  <c r="AU831" i="10"/>
  <c r="AU682" i="10"/>
  <c r="AU602" i="10"/>
  <c r="AT654" i="10"/>
  <c r="AU936" i="10"/>
  <c r="AU1112" i="10"/>
  <c r="Y1123" i="10"/>
  <c r="Z1123" i="10" s="1"/>
  <c r="C1123" i="12"/>
  <c r="C359" i="12"/>
  <c r="C454" i="12"/>
  <c r="C808" i="12"/>
  <c r="Y868" i="10"/>
  <c r="Z868" i="10" s="1"/>
  <c r="AT67" i="10"/>
  <c r="AT434" i="10"/>
  <c r="C441" i="12"/>
  <c r="C391" i="12"/>
  <c r="Y391" i="10"/>
  <c r="Z391" i="10" s="1"/>
  <c r="C366" i="12"/>
  <c r="Y21" i="10"/>
  <c r="Z21" i="10" s="1"/>
  <c r="C525" i="12"/>
  <c r="C327" i="12"/>
  <c r="C1060" i="12"/>
  <c r="C734" i="12"/>
  <c r="Y734" i="10"/>
  <c r="Z734" i="10" s="1"/>
  <c r="C1147" i="12"/>
  <c r="Y1147" i="10"/>
  <c r="Z1147" i="10" s="1"/>
  <c r="C746" i="12"/>
  <c r="AT817" i="10"/>
  <c r="AU817" i="10"/>
  <c r="AT296" i="10"/>
  <c r="AU296" i="10"/>
  <c r="AU503" i="10"/>
  <c r="C1185" i="12"/>
  <c r="Y1185" i="10"/>
  <c r="Z1185" i="10" s="1"/>
  <c r="AU1009" i="10"/>
  <c r="C851" i="12"/>
  <c r="AU219" i="10"/>
  <c r="AT781" i="10"/>
  <c r="C936" i="12"/>
  <c r="C1173" i="12"/>
  <c r="C377" i="12"/>
  <c r="C982" i="12"/>
  <c r="Y542" i="10"/>
  <c r="Z542" i="10" s="1"/>
  <c r="AT702" i="10"/>
  <c r="AU1192" i="10"/>
  <c r="Y774" i="10"/>
  <c r="Z774" i="10" s="1"/>
  <c r="C252" i="12"/>
  <c r="C502" i="12"/>
  <c r="Y871" i="10"/>
  <c r="Z871" i="10" s="1"/>
  <c r="AT1002" i="10"/>
  <c r="C963" i="12"/>
  <c r="Y963" i="10"/>
  <c r="Z963" i="10" s="1"/>
  <c r="C580" i="12"/>
  <c r="C222" i="12"/>
  <c r="C838" i="12"/>
  <c r="Y867" i="10"/>
  <c r="Z867" i="10" s="1"/>
  <c r="AU902" i="10"/>
  <c r="C375" i="12"/>
  <c r="Y375" i="10"/>
  <c r="Z375" i="10" s="1"/>
  <c r="C921" i="12"/>
  <c r="C96" i="12"/>
  <c r="Y96" i="10"/>
  <c r="Z96" i="10" s="1"/>
  <c r="AT258" i="10"/>
  <c r="AU740" i="10"/>
  <c r="AT32" i="10"/>
  <c r="C129" i="12"/>
  <c r="Y129" i="10"/>
  <c r="Z129" i="10" s="1"/>
  <c r="C407" i="12"/>
  <c r="Y407" i="10"/>
  <c r="Z407" i="10" s="1"/>
  <c r="AT1143" i="10"/>
  <c r="C1193" i="12"/>
  <c r="Y1193" i="10"/>
  <c r="Z1193" i="10" s="1"/>
  <c r="AT891" i="10"/>
  <c r="AU891" i="10"/>
  <c r="AT1006" i="10"/>
  <c r="AU1006" i="10"/>
  <c r="Y880" i="10"/>
  <c r="Z880" i="10" s="1"/>
  <c r="C880" i="12"/>
  <c r="AT366" i="10"/>
  <c r="C752" i="12"/>
  <c r="C272" i="12"/>
  <c r="Y491" i="10"/>
  <c r="Z491" i="10" s="1"/>
  <c r="C491" i="12"/>
  <c r="C498" i="12"/>
  <c r="Y498" i="10"/>
  <c r="Z498" i="10" s="1"/>
  <c r="C817" i="12"/>
  <c r="Y652" i="10"/>
  <c r="Z652" i="10" s="1"/>
  <c r="C909" i="12"/>
  <c r="C296" i="12"/>
  <c r="AT978" i="10"/>
  <c r="C1076" i="12"/>
  <c r="C1034" i="12"/>
  <c r="AT255" i="10"/>
  <c r="AU255" i="10"/>
  <c r="C132" i="12"/>
  <c r="C72" i="12"/>
  <c r="Y72" i="10"/>
  <c r="Z72" i="10" s="1"/>
  <c r="AT48" i="10"/>
  <c r="Y954" i="10"/>
  <c r="Z954" i="10" s="1"/>
  <c r="C49" i="12"/>
  <c r="Y349" i="10"/>
  <c r="Z349" i="10" s="1"/>
  <c r="Y777" i="10"/>
  <c r="Z777" i="10" s="1"/>
  <c r="C612" i="12"/>
  <c r="AT497" i="10"/>
  <c r="C84" i="12"/>
  <c r="Y84" i="10"/>
  <c r="Z84" i="10" s="1"/>
  <c r="C213" i="12"/>
  <c r="Y213" i="10"/>
  <c r="Z213" i="10" s="1"/>
  <c r="C221" i="12"/>
  <c r="Y221" i="10"/>
  <c r="Z221" i="10" s="1"/>
  <c r="C844" i="12"/>
  <c r="Y844" i="10"/>
  <c r="Z844" i="10" s="1"/>
  <c r="C562" i="12"/>
  <c r="C803" i="12"/>
  <c r="Y891" i="10"/>
  <c r="Z891" i="10" s="1"/>
  <c r="C1006" i="12"/>
  <c r="Y630" i="10"/>
  <c r="Z630" i="10" s="1"/>
  <c r="C45" i="12"/>
  <c r="C879" i="12"/>
  <c r="C433" i="12"/>
  <c r="C892" i="12"/>
  <c r="C541" i="12"/>
  <c r="C636" i="12"/>
  <c r="C850" i="12"/>
  <c r="C1153" i="12"/>
  <c r="C834" i="12"/>
  <c r="AU244" i="10"/>
  <c r="AT619" i="10"/>
  <c r="AU619" i="10"/>
  <c r="AT457" i="10"/>
  <c r="AU457" i="10"/>
  <c r="C472" i="12"/>
  <c r="Y291" i="10"/>
  <c r="Z291" i="10" s="1"/>
  <c r="C265" i="12"/>
  <c r="C120" i="12"/>
  <c r="C769" i="12"/>
  <c r="C830" i="12"/>
  <c r="AT138" i="10"/>
  <c r="C559" i="12"/>
  <c r="C278" i="12"/>
  <c r="C486" i="12"/>
  <c r="C1074" i="12"/>
  <c r="Y395" i="10"/>
  <c r="Z395" i="10" s="1"/>
  <c r="C632" i="12"/>
  <c r="C310" i="12"/>
  <c r="C255" i="12"/>
  <c r="C1133" i="12"/>
  <c r="Y1133" i="10"/>
  <c r="Z1133" i="10" s="1"/>
  <c r="Y9" i="10"/>
  <c r="Z9" i="10" s="1"/>
  <c r="C427" i="12"/>
  <c r="C468" i="12"/>
  <c r="C576" i="12"/>
  <c r="Y13" i="10"/>
  <c r="Z13" i="10" s="1"/>
  <c r="Y381" i="10"/>
  <c r="Z381" i="10" s="1"/>
  <c r="C381" i="12"/>
  <c r="AT391" i="10"/>
  <c r="C295" i="12"/>
  <c r="Y295" i="10"/>
  <c r="Z295" i="10" s="1"/>
  <c r="C331" i="12"/>
  <c r="Y331" i="10"/>
  <c r="Z331" i="10" s="1"/>
  <c r="AU58" i="10"/>
  <c r="Y566" i="10"/>
  <c r="Z566" i="10" s="1"/>
  <c r="C566" i="12"/>
  <c r="Y248" i="10"/>
  <c r="Z248" i="10" s="1"/>
  <c r="C248" i="12"/>
  <c r="AT1162" i="10"/>
  <c r="AU1162" i="10"/>
  <c r="Y10" i="10"/>
  <c r="Z10" i="10" s="1"/>
  <c r="C333" i="12"/>
  <c r="C619" i="12"/>
  <c r="C457" i="12"/>
  <c r="C360" i="12"/>
  <c r="C609" i="12"/>
  <c r="Y609" i="10"/>
  <c r="Z609" i="10" s="1"/>
  <c r="C1094" i="12"/>
  <c r="C368" i="12"/>
  <c r="Y853" i="10"/>
  <c r="Z853" i="10" s="1"/>
  <c r="Y1111" i="10"/>
  <c r="Z1111" i="10" s="1"/>
  <c r="C306" i="12"/>
  <c r="C344" i="12"/>
  <c r="C22" i="12"/>
  <c r="C52" i="12"/>
  <c r="C723" i="12"/>
  <c r="C955" i="12"/>
  <c r="AT450" i="10"/>
  <c r="AU450" i="10"/>
  <c r="Y783" i="10"/>
  <c r="Z783" i="10" s="1"/>
  <c r="Y266" i="10"/>
  <c r="Z266" i="10" s="1"/>
  <c r="Y428" i="10"/>
  <c r="Z428" i="10" s="1"/>
  <c r="C291" i="12"/>
  <c r="Y231" i="10"/>
  <c r="Z231" i="10" s="1"/>
  <c r="AU464" i="10"/>
  <c r="AU270" i="10"/>
  <c r="AU152" i="10"/>
  <c r="AU12" i="10"/>
  <c r="AU770" i="10"/>
  <c r="AT858" i="10"/>
  <c r="AU858" i="10"/>
  <c r="AT1027" i="10"/>
  <c r="AU922" i="10"/>
  <c r="AT591" i="10"/>
  <c r="AU396" i="10"/>
  <c r="AT1065" i="10"/>
  <c r="AT1018" i="10"/>
  <c r="AT331" i="10"/>
  <c r="AU102" i="10"/>
  <c r="AU38" i="10"/>
  <c r="AT50" i="10"/>
  <c r="C439" i="12"/>
  <c r="Y439" i="10"/>
  <c r="Z439" i="10" s="1"/>
  <c r="C775" i="12"/>
  <c r="C244" i="12"/>
  <c r="Y136" i="10"/>
  <c r="Z136" i="10" s="1"/>
  <c r="C432" i="12"/>
  <c r="C408" i="12"/>
  <c r="AT143" i="10"/>
  <c r="AT111" i="10"/>
  <c r="AU948" i="10"/>
  <c r="AT948" i="10"/>
  <c r="C949" i="12"/>
  <c r="C467" i="12"/>
  <c r="C228" i="12"/>
  <c r="C455" i="12"/>
  <c r="C770" i="12"/>
  <c r="C594" i="12"/>
  <c r="Y594" i="10"/>
  <c r="Z594" i="10" s="1"/>
  <c r="AU441" i="10"/>
  <c r="C744" i="12"/>
  <c r="C1092" i="12"/>
  <c r="Y1092" i="10"/>
  <c r="Z1092" i="10" s="1"/>
  <c r="C872" i="12"/>
  <c r="C828" i="12"/>
  <c r="C1099" i="12"/>
  <c r="C303" i="12"/>
  <c r="AU1008" i="10"/>
  <c r="AT1008" i="10"/>
  <c r="AT1077" i="10"/>
  <c r="C116" i="12"/>
  <c r="Y116" i="10"/>
  <c r="Z116" i="10" s="1"/>
  <c r="Y409" i="10"/>
  <c r="Z409" i="10" s="1"/>
  <c r="C664" i="12"/>
  <c r="C545" i="12"/>
  <c r="C575" i="12"/>
  <c r="C1064" i="12"/>
  <c r="C219" i="12"/>
  <c r="Y219" i="10"/>
  <c r="Z219" i="10" s="1"/>
  <c r="C225" i="12"/>
  <c r="C934" i="12"/>
  <c r="C100" i="12"/>
  <c r="C654" i="12"/>
  <c r="C399" i="12"/>
  <c r="C510" i="12"/>
  <c r="Y464" i="10"/>
  <c r="Z464" i="10" s="1"/>
  <c r="C341" i="12"/>
  <c r="Y1065" i="10"/>
  <c r="Z1065" i="10" s="1"/>
  <c r="C831" i="12"/>
  <c r="AT1170" i="10"/>
  <c r="Y1040" i="10"/>
  <c r="Z1040" i="10" s="1"/>
  <c r="AT195" i="10"/>
  <c r="AU195" i="10"/>
  <c r="Y829" i="10"/>
  <c r="Z829" i="10" s="1"/>
  <c r="Y209" i="10"/>
  <c r="Z209" i="10" s="1"/>
  <c r="C416" i="12"/>
  <c r="AU689" i="10"/>
  <c r="Y858" i="10"/>
  <c r="Z858" i="10" s="1"/>
  <c r="C858" i="12"/>
  <c r="AT329" i="10"/>
  <c r="AU382" i="10"/>
  <c r="C948" i="12"/>
  <c r="Y948" i="10"/>
  <c r="Z948" i="10" s="1"/>
  <c r="C280" i="12"/>
  <c r="C865" i="12"/>
  <c r="Y865" i="10"/>
  <c r="Z865" i="10" s="1"/>
  <c r="AU278" i="10"/>
  <c r="AU341" i="10"/>
  <c r="AU385" i="10"/>
  <c r="AT385" i="10"/>
  <c r="AU1019" i="10"/>
  <c r="AT1019" i="10"/>
  <c r="C458" i="12"/>
  <c r="AU315" i="10"/>
  <c r="AT315" i="10"/>
  <c r="Y877" i="10"/>
  <c r="Z877" i="10" s="1"/>
  <c r="C877" i="12"/>
  <c r="C196" i="12"/>
  <c r="AT465" i="10"/>
  <c r="AT488" i="10"/>
  <c r="AU488" i="10"/>
  <c r="C420" i="12"/>
  <c r="C520" i="12"/>
  <c r="Y195" i="10"/>
  <c r="Z195" i="10" s="1"/>
  <c r="C232" i="12"/>
  <c r="C41" i="12"/>
  <c r="Y69" i="10"/>
  <c r="Z69" i="10" s="1"/>
  <c r="Y352" i="10"/>
  <c r="Z352" i="10" s="1"/>
  <c r="C108" i="12"/>
  <c r="C1186" i="12"/>
  <c r="C470" i="12"/>
  <c r="C1091" i="12"/>
  <c r="C971" i="12"/>
  <c r="Y971" i="10"/>
  <c r="Z971" i="10" s="1"/>
  <c r="C6" i="12"/>
  <c r="C1116" i="12"/>
  <c r="Y290" i="10"/>
  <c r="Z290" i="10" s="1"/>
  <c r="C490" i="12"/>
  <c r="C1137" i="12"/>
  <c r="AU795" i="10"/>
  <c r="AU963" i="10"/>
  <c r="C610" i="12"/>
  <c r="C649" i="12"/>
  <c r="Y649" i="10"/>
  <c r="Z649" i="10" s="1"/>
  <c r="C711" i="12"/>
  <c r="C80" i="12"/>
  <c r="Y80" i="10"/>
  <c r="Z80" i="10" s="1"/>
  <c r="C906" i="12"/>
  <c r="C203" i="12"/>
  <c r="C89" i="12"/>
  <c r="C42" i="12"/>
  <c r="C1053" i="12"/>
  <c r="C606" i="12"/>
  <c r="C59" i="12"/>
  <c r="Y59" i="10"/>
  <c r="Z59" i="10" s="1"/>
  <c r="C429" i="12"/>
  <c r="C518" i="12"/>
  <c r="C293" i="12"/>
  <c r="C1179" i="12"/>
  <c r="C547" i="12"/>
  <c r="C927" i="12"/>
  <c r="AT986" i="10"/>
  <c r="AU986" i="10"/>
  <c r="C351" i="12"/>
  <c r="Y351" i="10"/>
  <c r="Z351" i="10" s="1"/>
  <c r="C573" i="12"/>
  <c r="C1014" i="12"/>
  <c r="C4" i="12"/>
  <c r="C385" i="12"/>
  <c r="C552" i="12"/>
  <c r="Y720" i="10"/>
  <c r="Z720" i="10" s="1"/>
  <c r="C674" i="12"/>
  <c r="Y674" i="10"/>
  <c r="Z674" i="10" s="1"/>
  <c r="Y271" i="10"/>
  <c r="Z271" i="10" s="1"/>
  <c r="C849" i="12"/>
  <c r="C94" i="12"/>
  <c r="Y393" i="10"/>
  <c r="Z393" i="10" s="1"/>
  <c r="C650" i="12"/>
  <c r="C728" i="12"/>
  <c r="C350" i="12"/>
  <c r="C938" i="12"/>
  <c r="C996" i="12"/>
  <c r="Y996" i="10"/>
  <c r="Z996" i="10" s="1"/>
  <c r="C176" i="12"/>
  <c r="Y63" i="10"/>
  <c r="Z63" i="10" s="1"/>
  <c r="C63" i="12"/>
  <c r="Y1055" i="10"/>
  <c r="Z1055" i="10" s="1"/>
  <c r="C1055" i="12"/>
  <c r="Y621" i="10"/>
  <c r="Z621" i="10" s="1"/>
  <c r="C8" i="12"/>
  <c r="Y418" i="10"/>
  <c r="Z418" i="10" s="1"/>
  <c r="Y943" i="10"/>
  <c r="Z943" i="10" s="1"/>
  <c r="C190" i="12"/>
  <c r="C622" i="12"/>
  <c r="C913" i="12"/>
  <c r="C357" i="12"/>
  <c r="Y1101" i="10"/>
  <c r="Z1101" i="10" s="1"/>
  <c r="C626" i="12"/>
  <c r="C821" i="12"/>
  <c r="C369" i="12"/>
  <c r="Y369" i="10"/>
  <c r="Z369" i="10" s="1"/>
  <c r="C233" i="12"/>
  <c r="Y233" i="10"/>
  <c r="Z233" i="10" s="1"/>
  <c r="C1030" i="12"/>
  <c r="Y1030" i="10"/>
  <c r="Z1030" i="10" s="1"/>
  <c r="Y435" i="10"/>
  <c r="Z435" i="10" s="1"/>
  <c r="C396" i="12"/>
  <c r="C754" i="12"/>
  <c r="Y669" i="10"/>
  <c r="Z669" i="10" s="1"/>
  <c r="C122" i="12"/>
  <c r="Y179" i="10"/>
  <c r="Z179" i="10" s="1"/>
  <c r="Y138" i="10"/>
  <c r="Z138" i="10" s="1"/>
  <c r="C1119" i="12"/>
  <c r="C469" i="12"/>
  <c r="Y740" i="10"/>
  <c r="Z740" i="10" s="1"/>
  <c r="Y980" i="10"/>
  <c r="Z980" i="10" s="1"/>
  <c r="Y645" i="10"/>
  <c r="Z645" i="10" s="1"/>
  <c r="AT64" i="10"/>
  <c r="AU780" i="10"/>
  <c r="C485" i="12"/>
  <c r="C647" i="12"/>
  <c r="C1071" i="12"/>
  <c r="C710" i="12"/>
  <c r="C1148" i="12"/>
  <c r="Y401" i="10"/>
  <c r="Z401" i="10" s="1"/>
  <c r="C618" i="12"/>
  <c r="Y787" i="10"/>
  <c r="Z787" i="10" s="1"/>
  <c r="C16" i="12"/>
  <c r="C677" i="12"/>
  <c r="C1158" i="12"/>
  <c r="C902" i="12"/>
  <c r="C504" i="12"/>
  <c r="C749" i="12"/>
  <c r="C993" i="12"/>
  <c r="AT864" i="10"/>
  <c r="Y616" i="10"/>
  <c r="Z616" i="10" s="1"/>
  <c r="C616" i="12"/>
  <c r="C378" i="12"/>
  <c r="AU894" i="10"/>
  <c r="C628" i="12"/>
  <c r="Y628" i="10"/>
  <c r="Z628" i="10" s="1"/>
  <c r="C1059" i="12"/>
  <c r="Y1059" i="10"/>
  <c r="Z1059" i="10" s="1"/>
  <c r="C546" i="12"/>
  <c r="Y600" i="10"/>
  <c r="Z600" i="10" s="1"/>
  <c r="C448" i="12"/>
  <c r="C693" i="12"/>
  <c r="Y656" i="10"/>
  <c r="Z656" i="10" s="1"/>
  <c r="AT874" i="10"/>
  <c r="C1035" i="12"/>
  <c r="C199" i="12"/>
  <c r="C371" i="12"/>
  <c r="C620" i="12"/>
  <c r="C624" i="12"/>
  <c r="C1114" i="12"/>
  <c r="C560" i="12"/>
  <c r="C200" i="12"/>
  <c r="Y585" i="10"/>
  <c r="Z585" i="10" s="1"/>
  <c r="C311" i="12"/>
  <c r="Y154" i="10"/>
  <c r="Z154" i="10" s="1"/>
  <c r="C942" i="12"/>
  <c r="Y118" i="10"/>
  <c r="Z118" i="10" s="1"/>
  <c r="Y254" i="10"/>
  <c r="Z254" i="10" s="1"/>
  <c r="C998" i="12"/>
  <c r="AT1057" i="10"/>
  <c r="C1022" i="12"/>
  <c r="Y1022" i="10"/>
  <c r="Z1022" i="10" s="1"/>
  <c r="C500" i="12"/>
  <c r="Y500" i="10"/>
  <c r="Z500" i="10" s="1"/>
  <c r="Y1058" i="10"/>
  <c r="Z1058" i="10" s="1"/>
  <c r="Y17" i="10"/>
  <c r="Z17" i="10" s="1"/>
  <c r="C724" i="12"/>
  <c r="C35" i="12"/>
  <c r="C207" i="12"/>
  <c r="C786" i="12"/>
  <c r="C1042" i="12"/>
  <c r="C146" i="12"/>
  <c r="C682" i="12"/>
  <c r="Y682" i="10"/>
  <c r="Z682" i="10" s="1"/>
  <c r="Y506" i="10"/>
  <c r="Z506" i="10" s="1"/>
  <c r="C506" i="12"/>
  <c r="C145" i="12"/>
  <c r="C1009" i="12"/>
  <c r="Y511" i="10"/>
  <c r="Z511" i="10" s="1"/>
  <c r="C78" i="12"/>
  <c r="C988" i="12"/>
  <c r="C1134" i="12"/>
  <c r="Y373" i="10"/>
  <c r="Z373" i="10" s="1"/>
  <c r="C1192" i="12"/>
  <c r="C185" i="12"/>
  <c r="C962" i="12"/>
  <c r="C745" i="12"/>
  <c r="Y905" i="10"/>
  <c r="Z905" i="10" s="1"/>
  <c r="AU454" i="10"/>
  <c r="Y886" i="10"/>
  <c r="Z886" i="10" s="1"/>
  <c r="C886" i="12"/>
  <c r="C772" i="12"/>
  <c r="C229" i="12"/>
  <c r="C446" i="12"/>
  <c r="Y1109" i="10"/>
  <c r="Z1109" i="10" s="1"/>
  <c r="C204" i="12"/>
  <c r="C995" i="12"/>
  <c r="C583" i="12"/>
  <c r="C1070" i="12"/>
  <c r="C1187" i="12"/>
  <c r="C321" i="12"/>
  <c r="C81" i="12"/>
  <c r="C888" i="12"/>
  <c r="C684" i="12"/>
  <c r="Y780" i="10"/>
  <c r="Z780" i="10" s="1"/>
  <c r="C780" i="12"/>
  <c r="C168" i="12"/>
  <c r="C402" i="12"/>
  <c r="Y402" i="10"/>
  <c r="Z402" i="10" s="1"/>
  <c r="C34" i="12"/>
  <c r="Y34" i="10"/>
  <c r="Z34" i="10" s="1"/>
  <c r="C898" i="12"/>
  <c r="Y920" i="10"/>
  <c r="Z920" i="10" s="1"/>
  <c r="C1020" i="12"/>
  <c r="Y589" i="10"/>
  <c r="Z589" i="10" s="1"/>
  <c r="Y1124" i="10"/>
  <c r="Z1124" i="10" s="1"/>
  <c r="C1124" i="12"/>
  <c r="C1149" i="12"/>
  <c r="C68" i="12"/>
  <c r="C631" i="12"/>
  <c r="C1167" i="12"/>
  <c r="Y823" i="10"/>
  <c r="Z823" i="10" s="1"/>
  <c r="C167" i="12"/>
  <c r="C994" i="12"/>
  <c r="C262" i="12"/>
  <c r="C915" i="12"/>
  <c r="C812" i="12"/>
  <c r="C881" i="12"/>
  <c r="Y984" i="10"/>
  <c r="Z984" i="10" s="1"/>
  <c r="AT198" i="10"/>
  <c r="AU198" i="10"/>
  <c r="C289" i="12"/>
  <c r="C73" i="12"/>
  <c r="C532" i="12"/>
  <c r="Y259" i="10"/>
  <c r="Z259" i="10" s="1"/>
  <c r="C270" i="12"/>
  <c r="Y633" i="10"/>
  <c r="Z633" i="10" s="1"/>
  <c r="C633" i="12"/>
  <c r="C1108" i="12"/>
  <c r="Y1108" i="10"/>
  <c r="Z1108" i="10" s="1"/>
  <c r="C340" i="12"/>
  <c r="C977" i="12"/>
  <c r="C629" i="12"/>
  <c r="C1083" i="12"/>
  <c r="Y1103" i="10"/>
  <c r="Z1103" i="10" s="1"/>
  <c r="C1103" i="12"/>
  <c r="C922" i="12"/>
  <c r="Y476" i="10"/>
  <c r="Z476" i="10" s="1"/>
  <c r="C476" i="12"/>
  <c r="C572" i="12"/>
  <c r="C1090" i="12"/>
  <c r="Y319" i="10"/>
  <c r="Z319" i="10" s="1"/>
  <c r="C319" i="12"/>
  <c r="C638" i="12"/>
  <c r="Y638" i="10"/>
  <c r="Z638" i="10" s="1"/>
  <c r="C1152" i="12"/>
  <c r="Y1152" i="10"/>
  <c r="Z1152" i="10" s="1"/>
  <c r="Y166" i="10"/>
  <c r="Z166" i="10" s="1"/>
  <c r="C793" i="12"/>
  <c r="C893" i="12"/>
  <c r="C1079" i="12"/>
  <c r="C1078" i="12"/>
  <c r="C193" i="12"/>
  <c r="Y193" i="10"/>
  <c r="Z193" i="10" s="1"/>
  <c r="C324" i="12"/>
  <c r="Y324" i="10"/>
  <c r="Z324" i="10" s="1"/>
  <c r="C107" i="12"/>
  <c r="C309" i="12"/>
  <c r="Y1037" i="10"/>
  <c r="Z1037" i="10" s="1"/>
  <c r="C1168" i="12"/>
  <c r="C875" i="12"/>
  <c r="AT651" i="10"/>
  <c r="C597" i="12"/>
  <c r="C590" i="12"/>
  <c r="C127" i="12"/>
  <c r="C967" i="12"/>
  <c r="C788" i="12"/>
  <c r="C773" i="12"/>
  <c r="Y1140" i="10"/>
  <c r="Z1140" i="10" s="1"/>
  <c r="C1046" i="12"/>
  <c r="C1180" i="12"/>
  <c r="Y989" i="10"/>
  <c r="Z989" i="10" s="1"/>
  <c r="C188" i="12"/>
  <c r="C1075" i="12"/>
  <c r="C198" i="12"/>
  <c r="Y198" i="10"/>
  <c r="Z198" i="10" s="1"/>
  <c r="C182" i="12"/>
  <c r="Y182" i="10"/>
  <c r="Z182" i="10" s="1"/>
  <c r="Y98" i="10"/>
  <c r="Z98" i="10" s="1"/>
  <c r="C98" i="12"/>
  <c r="C708" i="12"/>
  <c r="Y326" i="10"/>
  <c r="Z326" i="10" s="1"/>
  <c r="C313" i="12"/>
  <c r="Y581" i="10"/>
  <c r="Z581" i="10" s="1"/>
  <c r="C277" i="12"/>
  <c r="C751" i="12"/>
  <c r="Y751" i="10"/>
  <c r="Z751" i="10" s="1"/>
  <c r="C1084" i="12"/>
  <c r="C191" i="12"/>
  <c r="C513" i="12"/>
  <c r="Y75" i="10"/>
  <c r="Z75" i="10" s="1"/>
  <c r="Y109" i="10"/>
  <c r="Z109" i="10" s="1"/>
  <c r="C1023" i="12"/>
  <c r="Y1023" i="10"/>
  <c r="Z1023" i="10" s="1"/>
  <c r="AU11" i="10"/>
  <c r="AT956" i="10"/>
  <c r="C509" i="12"/>
  <c r="Y509" i="10"/>
  <c r="Z509" i="10" s="1"/>
  <c r="C826" i="12"/>
  <c r="C30" i="12"/>
  <c r="C869" i="12"/>
  <c r="C77" i="12"/>
  <c r="C657" i="12"/>
  <c r="Y1027" i="10"/>
  <c r="Z1027" i="10" s="1"/>
  <c r="C1115" i="12"/>
  <c r="C1143" i="12"/>
  <c r="C768" i="12"/>
  <c r="C1077" i="12"/>
  <c r="Y274" i="10"/>
  <c r="Z274" i="10" s="1"/>
  <c r="C1162" i="12"/>
  <c r="C465" i="12"/>
  <c r="Y465" i="10"/>
  <c r="Z465" i="10" s="1"/>
  <c r="Y841" i="10"/>
  <c r="Z841" i="10" s="1"/>
  <c r="C841" i="12"/>
  <c r="Y1016" i="10"/>
  <c r="Z1016" i="10" s="1"/>
  <c r="C1016" i="12"/>
  <c r="C970" i="12"/>
  <c r="Y3" i="10"/>
  <c r="Z3" i="10" s="1"/>
  <c r="C14" i="12"/>
  <c r="Y308" i="10"/>
  <c r="Z308" i="10" s="1"/>
  <c r="C211" i="12"/>
  <c r="AT734" i="10"/>
  <c r="Y462" i="10"/>
  <c r="Z462" i="10" s="1"/>
  <c r="C462" i="12"/>
  <c r="C142" i="12"/>
  <c r="C857" i="12"/>
  <c r="Y857" i="10"/>
  <c r="Z857" i="10" s="1"/>
  <c r="Y848" i="10"/>
  <c r="Z848" i="10" s="1"/>
  <c r="C424" i="12"/>
  <c r="C870" i="12"/>
  <c r="C50" i="12"/>
  <c r="AU20" i="10"/>
  <c r="AU751" i="10"/>
  <c r="AT461" i="10"/>
  <c r="AU952" i="10"/>
  <c r="C164" i="12"/>
  <c r="C671" i="12"/>
  <c r="C5" i="12"/>
  <c r="C1043" i="12"/>
  <c r="C38" i="12"/>
  <c r="C12" i="12"/>
  <c r="AU425" i="10"/>
  <c r="AU621" i="10"/>
  <c r="AU1084" i="10"/>
  <c r="Y806" i="10"/>
  <c r="Z806" i="10" s="1"/>
  <c r="C1050" i="12"/>
  <c r="C932" i="12"/>
  <c r="Y932" i="10"/>
  <c r="Z932" i="10" s="1"/>
  <c r="C450" i="12"/>
  <c r="C1011" i="12"/>
  <c r="C790" i="12"/>
  <c r="C1089" i="12"/>
  <c r="C488" i="12"/>
  <c r="Y488" i="10"/>
  <c r="Z488" i="10" s="1"/>
  <c r="C499" i="12"/>
  <c r="C1080" i="12"/>
  <c r="C1012" i="12"/>
  <c r="C288" i="12"/>
  <c r="C267" i="12"/>
  <c r="C471" i="12"/>
  <c r="C54" i="12"/>
  <c r="C376" i="12"/>
  <c r="Y376" i="10"/>
  <c r="Z376" i="10" s="1"/>
  <c r="C1017" i="12"/>
  <c r="Y1017" i="10"/>
  <c r="Z1017" i="10" s="1"/>
  <c r="C251" i="12"/>
  <c r="Y170" i="10"/>
  <c r="Z170" i="10" s="1"/>
  <c r="Y187" i="10"/>
  <c r="Z187" i="10" s="1"/>
  <c r="C1131" i="12"/>
  <c r="C901" i="12"/>
  <c r="AU423" i="10"/>
  <c r="C338" i="12"/>
  <c r="Y338" i="10"/>
  <c r="Z338" i="10" s="1"/>
  <c r="Y694" i="10"/>
  <c r="Z694" i="10" s="1"/>
  <c r="C342" i="12"/>
  <c r="C397" i="12"/>
  <c r="C535" i="12"/>
  <c r="C706" i="12"/>
  <c r="C419" i="12"/>
  <c r="Y1107" i="10"/>
  <c r="Z1107" i="10" s="1"/>
  <c r="C1107" i="12"/>
  <c r="C461" i="12"/>
  <c r="Y813" i="10"/>
  <c r="Z813" i="10" s="1"/>
  <c r="Y642" i="10"/>
  <c r="Z642" i="10" s="1"/>
  <c r="C785" i="12"/>
  <c r="C588" i="12"/>
  <c r="C212" i="12"/>
  <c r="C88" i="12"/>
  <c r="C925" i="12"/>
  <c r="Y832" i="10"/>
  <c r="Z832" i="10" s="1"/>
  <c r="C508" i="12"/>
  <c r="C529" i="12"/>
  <c r="C1130" i="12"/>
  <c r="Y534" i="10"/>
  <c r="Z534" i="10" s="1"/>
  <c r="C534" i="12"/>
  <c r="AT679" i="10"/>
  <c r="Y482" i="10"/>
  <c r="Z482" i="10" s="1"/>
  <c r="C739" i="12"/>
  <c r="Y739" i="10"/>
  <c r="Z739" i="10" s="1"/>
  <c r="Y276" i="10"/>
  <c r="Z276" i="10" s="1"/>
  <c r="C276" i="12"/>
  <c r="C852" i="12"/>
  <c r="Y840" i="10"/>
  <c r="Z840" i="10" s="1"/>
  <c r="C36" i="12"/>
  <c r="C800" i="12"/>
  <c r="Y1056" i="10"/>
  <c r="Z1056" i="10" s="1"/>
  <c r="C463" i="12"/>
  <c r="C192" i="12"/>
  <c r="C530" i="12"/>
  <c r="Y119" i="10"/>
  <c r="Z119" i="10" s="1"/>
  <c r="Y23" i="10"/>
  <c r="Z23" i="10" s="1"/>
  <c r="Y612" i="10"/>
  <c r="Z612" i="10" s="1"/>
  <c r="C231" i="12"/>
  <c r="Y416" i="10"/>
  <c r="Z416" i="10" s="1"/>
  <c r="Y799" i="10"/>
  <c r="Z799" i="10" s="1"/>
  <c r="C688" i="12"/>
  <c r="Y688" i="10"/>
  <c r="Z688" i="10" s="1"/>
  <c r="R2" i="10"/>
  <c r="U2" i="10" l="1"/>
  <c r="AA334" i="10" s="1"/>
  <c r="AS2" i="10"/>
  <c r="AA382" i="10"/>
  <c r="AA912" i="10" l="1"/>
  <c r="AA1021" i="10"/>
  <c r="AA475" i="10"/>
  <c r="AA191" i="10"/>
  <c r="AA1159" i="10"/>
  <c r="AA14" i="10"/>
  <c r="AA1027" i="10"/>
  <c r="AA746" i="10"/>
  <c r="AA283" i="10"/>
  <c r="AA19" i="10"/>
  <c r="AA448" i="10"/>
  <c r="AA451" i="10"/>
  <c r="AA734" i="10"/>
  <c r="AA65" i="10"/>
  <c r="AA230" i="10"/>
  <c r="AA601" i="10"/>
  <c r="AA418" i="10"/>
  <c r="AA6" i="10"/>
  <c r="AA480" i="10"/>
  <c r="AA1145" i="10"/>
  <c r="AA824" i="10"/>
  <c r="AA301" i="10"/>
  <c r="AA1170" i="10"/>
  <c r="AA235" i="10"/>
  <c r="AA504" i="10"/>
  <c r="AA263" i="10"/>
  <c r="AA170" i="10"/>
  <c r="AA517" i="10"/>
  <c r="AA967" i="10"/>
  <c r="AA893" i="10"/>
  <c r="AA98" i="10"/>
  <c r="AA566" i="10"/>
  <c r="AA328" i="10"/>
  <c r="AA458" i="10"/>
  <c r="AA1144" i="10"/>
  <c r="AA132" i="10"/>
  <c r="AA1081" i="10"/>
  <c r="AA913" i="10"/>
  <c r="AA943" i="10"/>
  <c r="AA498" i="10"/>
  <c r="AA1057" i="10"/>
  <c r="AA388" i="10"/>
  <c r="AA423" i="10"/>
  <c r="AA460" i="10"/>
  <c r="AA1078" i="10"/>
  <c r="AA137" i="10"/>
  <c r="AA991" i="10"/>
  <c r="AA772" i="10"/>
  <c r="AA9" i="10"/>
  <c r="AA362" i="10"/>
  <c r="AA591" i="10"/>
  <c r="AA1103" i="10"/>
  <c r="AA309" i="10"/>
  <c r="AA641" i="10"/>
  <c r="AA80" i="10"/>
  <c r="AA1086" i="10"/>
  <c r="AA676" i="10"/>
  <c r="AA62" i="10"/>
  <c r="AA348" i="10"/>
  <c r="AA786" i="10"/>
  <c r="AA1157" i="10"/>
  <c r="AA1137" i="10"/>
  <c r="AA180" i="10"/>
  <c r="AA728" i="10"/>
  <c r="AA1033" i="10"/>
  <c r="AA1136" i="10"/>
  <c r="AA310" i="10"/>
  <c r="AA833" i="10"/>
  <c r="AA719" i="10"/>
  <c r="AA49" i="10"/>
  <c r="AA38" i="10"/>
  <c r="AA44" i="10"/>
  <c r="AA899" i="10"/>
  <c r="AA398" i="10"/>
  <c r="AA450" i="10"/>
  <c r="AA963" i="10"/>
  <c r="AA902" i="10"/>
  <c r="AA311" i="10"/>
  <c r="AA325" i="10"/>
  <c r="AA1065" i="10"/>
  <c r="AA495" i="10"/>
  <c r="AA114" i="10"/>
  <c r="AA768" i="10"/>
  <c r="AA1085" i="10"/>
  <c r="AA12" i="10"/>
  <c r="AA157" i="10"/>
  <c r="AA831" i="10"/>
  <c r="AA604" i="10"/>
  <c r="AA167" i="10"/>
  <c r="AA984" i="10"/>
  <c r="AA358" i="10"/>
  <c r="AA644" i="10"/>
  <c r="AA684" i="10"/>
  <c r="AA126" i="10"/>
  <c r="AA998" i="10"/>
  <c r="AA894" i="10"/>
  <c r="AA25" i="10"/>
  <c r="AA437" i="10"/>
  <c r="AA244" i="10"/>
  <c r="AA207" i="10"/>
  <c r="AA1131" i="10"/>
  <c r="AA252" i="10"/>
  <c r="AA1073" i="10"/>
  <c r="AA645" i="10"/>
  <c r="AA598" i="10"/>
  <c r="AA1079" i="10"/>
  <c r="AA285" i="10"/>
  <c r="AA320" i="10"/>
  <c r="AA153" i="10"/>
  <c r="AA467" i="10"/>
  <c r="AA54" i="10"/>
  <c r="AA422" i="10"/>
  <c r="AA178" i="10"/>
  <c r="AA321" i="10"/>
  <c r="AA1192" i="10"/>
  <c r="AA485" i="10"/>
  <c r="AA1089" i="10"/>
  <c r="AA797" i="10"/>
  <c r="AA415" i="10"/>
  <c r="AA722" i="10"/>
  <c r="AA820" i="10"/>
  <c r="AA715" i="10"/>
  <c r="AA945" i="10"/>
  <c r="AA82" i="10"/>
  <c r="AA409" i="10"/>
  <c r="AA269" i="10"/>
  <c r="AA245" i="10"/>
  <c r="AA1028" i="10"/>
  <c r="AA297" i="10"/>
  <c r="AA22" i="10"/>
  <c r="AA1003" i="10"/>
  <c r="AA909" i="10"/>
  <c r="AA968" i="10"/>
  <c r="AA97" i="10"/>
  <c r="AA516" i="10"/>
  <c r="AA550" i="10"/>
  <c r="AA593" i="10"/>
  <c r="AA1161" i="10"/>
  <c r="AA539" i="10"/>
  <c r="AA1165" i="10"/>
  <c r="AA66" i="10"/>
  <c r="AA420" i="10"/>
  <c r="AA602" i="10"/>
  <c r="AA980" i="10"/>
  <c r="AA917" i="10"/>
  <c r="AA886" i="10"/>
  <c r="AA193" i="10"/>
  <c r="AA651" i="10"/>
  <c r="AA1002" i="10"/>
  <c r="AA455" i="10"/>
  <c r="AA1010" i="10"/>
  <c r="AA120" i="10"/>
  <c r="AA674" i="10"/>
  <c r="AA206" i="10"/>
  <c r="AA866" i="10"/>
  <c r="AA221" i="10"/>
  <c r="AA267" i="10"/>
  <c r="AA116" i="10"/>
  <c r="AA889" i="10"/>
  <c r="AA77" i="10"/>
  <c r="AA1016" i="10"/>
  <c r="AA553" i="10"/>
  <c r="AA1146" i="10"/>
  <c r="AA212" i="10"/>
  <c r="AA163" i="10"/>
  <c r="AA8" i="10"/>
  <c r="AA1102" i="10"/>
  <c r="AA847" i="10"/>
  <c r="AA710" i="10"/>
  <c r="AA1019" i="10"/>
  <c r="AA366" i="10"/>
  <c r="AA935" i="10"/>
  <c r="AA890" i="10"/>
  <c r="AA924" i="10"/>
  <c r="AA1052" i="10"/>
  <c r="AA154" i="10"/>
  <c r="AA72" i="10"/>
  <c r="AA254" i="10"/>
  <c r="AA39" i="10"/>
  <c r="AA287" i="10"/>
  <c r="AA724" i="10"/>
  <c r="AA910" i="10"/>
  <c r="AA758" i="10"/>
  <c r="AA456" i="10"/>
  <c r="AA538" i="10"/>
  <c r="AA471" i="10"/>
  <c r="AA476" i="10"/>
  <c r="AA46" i="10"/>
  <c r="AA725" i="10"/>
  <c r="AA33" i="10"/>
  <c r="AA1121" i="10"/>
  <c r="AA1090" i="10"/>
  <c r="AA938" i="10"/>
  <c r="AA634" i="10"/>
  <c r="AA173" i="10"/>
  <c r="AA189" i="10"/>
  <c r="AA365" i="10"/>
  <c r="AA234" i="10"/>
  <c r="AA804" i="10"/>
  <c r="AA215" i="10"/>
  <c r="AA1036" i="10"/>
  <c r="AA298" i="10"/>
  <c r="AA554" i="10"/>
  <c r="AA711" i="10"/>
  <c r="AA1160" i="10"/>
  <c r="AA1049" i="10"/>
  <c r="P19" i="18"/>
  <c r="B6" i="18"/>
  <c r="AA574" i="10"/>
  <c r="AA102" i="10"/>
  <c r="AA289" i="10"/>
  <c r="AA397" i="10"/>
  <c r="AA570" i="10"/>
  <c r="AA964" i="10"/>
  <c r="AA1062" i="10"/>
  <c r="AA369" i="10"/>
  <c r="AA812" i="10"/>
  <c r="AA925" i="10"/>
  <c r="AA825" i="10"/>
  <c r="AA386" i="10"/>
  <c r="AA640" i="10"/>
  <c r="AA140" i="10"/>
  <c r="AA112" i="10"/>
  <c r="AA1183" i="10"/>
  <c r="AA349" i="10"/>
  <c r="AA1091" i="10"/>
  <c r="AA250" i="10"/>
  <c r="AA1046" i="10"/>
  <c r="AA813" i="10"/>
  <c r="AA11" i="10"/>
  <c r="AA578" i="10"/>
  <c r="AA1113" i="10"/>
  <c r="AA432" i="10"/>
  <c r="AA1105" i="10"/>
  <c r="AA251" i="10"/>
  <c r="AA966" i="10"/>
  <c r="AA411" i="10"/>
  <c r="E411" i="12" s="1"/>
  <c r="AA811" i="10"/>
  <c r="AA141" i="10"/>
  <c r="AA332" i="10"/>
  <c r="AA579" i="10"/>
  <c r="AA197" i="10"/>
  <c r="AA936" i="10"/>
  <c r="AA253" i="10"/>
  <c r="AA707" i="10"/>
  <c r="AA975" i="10"/>
  <c r="AA36" i="10"/>
  <c r="AA754" i="10"/>
  <c r="AA1167" i="10"/>
  <c r="AA439" i="10"/>
  <c r="AA1025" i="10"/>
  <c r="AA1075" i="10"/>
  <c r="E1075" i="12" s="1"/>
  <c r="AA181" i="10"/>
  <c r="E181" i="12" s="1"/>
  <c r="AA442" i="10"/>
  <c r="AA276" i="10"/>
  <c r="AA1014" i="10"/>
  <c r="AA730" i="10"/>
  <c r="AA501" i="10"/>
  <c r="AA521" i="10"/>
  <c r="AA284" i="10"/>
  <c r="AA380" i="10"/>
  <c r="AA743" i="10"/>
  <c r="AA962" i="10"/>
  <c r="AA974" i="10"/>
  <c r="AA836" i="10"/>
  <c r="AA1133" i="10"/>
  <c r="AA626" i="10"/>
  <c r="AA773" i="10"/>
  <c r="AA454" i="10"/>
  <c r="AA887" i="10"/>
  <c r="AA96" i="10"/>
  <c r="AA961" i="10"/>
  <c r="AA870" i="10"/>
  <c r="AA10" i="10"/>
  <c r="AA257" i="10"/>
  <c r="AA795" i="10"/>
  <c r="AA110" i="10"/>
  <c r="AA1007" i="10"/>
  <c r="AA576" i="10"/>
  <c r="AA479" i="10"/>
  <c r="AA1186" i="10"/>
  <c r="AA319" i="10"/>
  <c r="AA222" i="10"/>
  <c r="AA871" i="10"/>
  <c r="AA1162" i="10"/>
  <c r="AA532" i="10"/>
  <c r="AA1114" i="10"/>
  <c r="AA400" i="10"/>
  <c r="AA445" i="10"/>
  <c r="AA176" i="10"/>
  <c r="AA609" i="10"/>
  <c r="AA1115" i="10"/>
  <c r="AA791" i="10"/>
  <c r="AA318" i="10"/>
  <c r="AA161" i="10"/>
  <c r="AA13" i="10"/>
  <c r="AA780" i="10"/>
  <c r="AA218" i="10"/>
  <c r="AA427" i="10"/>
  <c r="AA787" i="10"/>
  <c r="AA999" i="10"/>
  <c r="AA73" i="10"/>
  <c r="AA94" i="10"/>
  <c r="AA531" i="10"/>
  <c r="AA632" i="10"/>
  <c r="AA41" i="10"/>
  <c r="AA406" i="10"/>
  <c r="AA201" i="10"/>
  <c r="AA468" i="10"/>
  <c r="AA558" i="10"/>
  <c r="AA375" i="10"/>
  <c r="AA329" i="10"/>
  <c r="AA972" i="10"/>
  <c r="AA130" i="10"/>
  <c r="AA809" i="10"/>
  <c r="AA108" i="10"/>
  <c r="AA1171" i="10"/>
  <c r="AA17" i="10"/>
  <c r="AA842" i="10"/>
  <c r="AA1097" i="10"/>
  <c r="AA360" i="10"/>
  <c r="AA821" i="10"/>
  <c r="AA115" i="10"/>
  <c r="AA639" i="10"/>
  <c r="AA864" i="10"/>
  <c r="AA449" i="10"/>
  <c r="AA876" i="10"/>
  <c r="AA71" i="10"/>
  <c r="AA769" i="10"/>
  <c r="AA535" i="10"/>
  <c r="AA371" i="10"/>
  <c r="AA929" i="10"/>
  <c r="AA160" i="10"/>
  <c r="AA933" i="10"/>
  <c r="AA90" i="10"/>
  <c r="AA1023" i="10"/>
  <c r="AA829" i="10"/>
  <c r="AC829" i="10" s="1"/>
  <c r="AA563" i="10"/>
  <c r="AA28" i="10"/>
  <c r="AA1080" i="10"/>
  <c r="AA484" i="10"/>
  <c r="AA238" i="10"/>
  <c r="AA982" i="10"/>
  <c r="AA1153" i="10"/>
  <c r="AA835" i="10"/>
  <c r="AA331" i="10"/>
  <c r="AA655" i="10"/>
  <c r="AA1108" i="10"/>
  <c r="AA806" i="10"/>
  <c r="AA1124" i="10"/>
  <c r="AA844" i="10"/>
  <c r="AA597" i="10"/>
  <c r="AA355" i="10"/>
  <c r="AA771" i="10"/>
  <c r="AA858" i="10"/>
  <c r="AA562" i="10"/>
  <c r="AA242" i="10"/>
  <c r="AA841" i="10"/>
  <c r="AA511" i="10"/>
  <c r="AA810" i="10"/>
  <c r="AA537" i="10"/>
  <c r="AA183" i="10"/>
  <c r="AA1012" i="10"/>
  <c r="AA978" i="10"/>
  <c r="AA1048" i="10"/>
  <c r="AA988" i="10"/>
  <c r="AA1104" i="10"/>
  <c r="AA1047" i="10"/>
  <c r="AA953" i="10"/>
  <c r="AA1112" i="10"/>
  <c r="AA594" i="10"/>
  <c r="AA611" i="10"/>
  <c r="AA888" i="10"/>
  <c r="AA514" i="10"/>
  <c r="AA150" i="10"/>
  <c r="AA1059" i="10"/>
  <c r="AA70" i="10"/>
  <c r="AA882" i="10"/>
  <c r="AA856" i="10"/>
  <c r="AA630" i="10"/>
  <c r="AA759" i="10"/>
  <c r="AA194" i="10"/>
  <c r="AC194" i="10" s="1"/>
  <c r="AA1134" i="10"/>
  <c r="AA534" i="10"/>
  <c r="AA556" i="10"/>
  <c r="AA1128" i="10"/>
  <c r="AA78" i="10"/>
  <c r="AA16" i="10"/>
  <c r="AA827" i="10"/>
  <c r="AA727" i="10"/>
  <c r="AA757" i="10"/>
  <c r="AA1119" i="10"/>
  <c r="AA883" i="10"/>
  <c r="AA796" i="10"/>
  <c r="AA918" i="10"/>
  <c r="AA694" i="10"/>
  <c r="AA213" i="10"/>
  <c r="AA1064" i="10"/>
  <c r="AA1188" i="10"/>
  <c r="AA1056" i="10"/>
  <c r="AA32" i="10"/>
  <c r="AA1093" i="10"/>
  <c r="AA704" i="10"/>
  <c r="AA350" i="10"/>
  <c r="AA934" i="10"/>
  <c r="AA770" i="10"/>
  <c r="AA291" i="10"/>
  <c r="AA857" i="10"/>
  <c r="AA113" i="10"/>
  <c r="AA300" i="10"/>
  <c r="AA393" i="10"/>
  <c r="AA37" i="10"/>
  <c r="AA333" i="10"/>
  <c r="AA142" i="10"/>
  <c r="AA755" i="10"/>
  <c r="AA708" i="10"/>
  <c r="AA1187" i="10"/>
  <c r="AA179" i="10"/>
  <c r="AA681" i="10"/>
  <c r="AA123" i="10"/>
  <c r="AA292" i="10"/>
  <c r="AA359" i="10"/>
  <c r="AA237" i="10"/>
  <c r="AA603" i="10"/>
  <c r="AA979" i="10"/>
  <c r="AA280" i="10"/>
  <c r="AA1178" i="10"/>
  <c r="AA1163" i="10"/>
  <c r="AA1194" i="10"/>
  <c r="AA865" i="10"/>
  <c r="AA807" i="10"/>
  <c r="AA434" i="10"/>
  <c r="AA557" i="10"/>
  <c r="AA545" i="10"/>
  <c r="AA897" i="10"/>
  <c r="AC897" i="10" s="1"/>
  <c r="AA385" i="10"/>
  <c r="AA946" i="10"/>
  <c r="AA989" i="10"/>
  <c r="AA492" i="10"/>
  <c r="AA647" i="10"/>
  <c r="AA151" i="10"/>
  <c r="AA862" i="10"/>
  <c r="AA732" i="10"/>
  <c r="AA895" i="10"/>
  <c r="AA748" i="10"/>
  <c r="AA431" i="10"/>
  <c r="AA169" i="10"/>
  <c r="AA1009" i="10"/>
  <c r="AA1006" i="10"/>
  <c r="AA198" i="10"/>
  <c r="AA779" i="10"/>
  <c r="AA840" i="10"/>
  <c r="AA40" i="10"/>
  <c r="AA1020" i="10"/>
  <c r="AA1037" i="10"/>
  <c r="AA1150" i="10"/>
  <c r="AA392" i="10"/>
  <c r="AA714" i="10"/>
  <c r="AA940" i="10"/>
  <c r="AA981" i="10"/>
  <c r="AA798" i="10"/>
  <c r="AA356" i="10"/>
  <c r="AA729" i="10"/>
  <c r="AA156" i="10"/>
  <c r="AA93" i="10"/>
  <c r="AA673" i="10"/>
  <c r="AA503" i="10"/>
  <c r="AA335" i="10"/>
  <c r="AA565" i="10"/>
  <c r="AA30" i="10"/>
  <c r="AA839" i="10"/>
  <c r="AA1026" i="10"/>
  <c r="AA346" i="10"/>
  <c r="AA69" i="10"/>
  <c r="AA453" i="10"/>
  <c r="AA1067" i="10"/>
  <c r="AA302" i="10"/>
  <c r="AA452" i="10"/>
  <c r="AA336" i="10"/>
  <c r="AA1106" i="10"/>
  <c r="AA379" i="10"/>
  <c r="AA898" i="10"/>
  <c r="AA135" i="10"/>
  <c r="AA425" i="10"/>
  <c r="AA117" i="10"/>
  <c r="AA345" i="10"/>
  <c r="AA1051" i="10"/>
  <c r="AA956" i="10"/>
  <c r="AA763" i="10"/>
  <c r="AA1050" i="10"/>
  <c r="AA18" i="10"/>
  <c r="AA660" i="10"/>
  <c r="AA129" i="10"/>
  <c r="AA697" i="10"/>
  <c r="AA885" i="10"/>
  <c r="AA1177" i="10"/>
  <c r="AC1177" i="10" s="1"/>
  <c r="AA23" i="10"/>
  <c r="AA515" i="10"/>
  <c r="AA43" i="10"/>
  <c r="AA133" i="10"/>
  <c r="AA424" i="10"/>
  <c r="AA483" i="10"/>
  <c r="AA372" i="10"/>
  <c r="AA243" i="10"/>
  <c r="AA633" i="10"/>
  <c r="AA381" i="10"/>
  <c r="AA891" i="10"/>
  <c r="AA1164" i="10"/>
  <c r="AA1130" i="10"/>
  <c r="AA21" i="10"/>
  <c r="AA459" i="10"/>
  <c r="AA158" i="10"/>
  <c r="AA720" i="10"/>
  <c r="AA830" i="10"/>
  <c r="AA587" i="10"/>
  <c r="AA278" i="10"/>
  <c r="AA374" i="10"/>
  <c r="AA950" i="10"/>
  <c r="AA741" i="10"/>
  <c r="AA433" i="10"/>
  <c r="AA685" i="10"/>
  <c r="AA573" i="10"/>
  <c r="AA508" i="10"/>
  <c r="AA68" i="10"/>
  <c r="AA240" i="10"/>
  <c r="AA648" i="10"/>
  <c r="AA774" i="10"/>
  <c r="AA351" i="10"/>
  <c r="AA926" i="10"/>
  <c r="AA680" i="10"/>
  <c r="AA879" i="10"/>
  <c r="AA100" i="10"/>
  <c r="AA441" i="10"/>
  <c r="AA784" i="10"/>
  <c r="AA1032" i="10"/>
  <c r="AA931" i="10"/>
  <c r="AA264" i="10"/>
  <c r="AA305" i="10"/>
  <c r="AA447" i="10"/>
  <c r="AA583" i="10"/>
  <c r="AA76" i="10"/>
  <c r="AA389" i="10"/>
  <c r="AA990" i="10"/>
  <c r="AA390" i="10"/>
  <c r="AA299" i="10"/>
  <c r="AA1082" i="10"/>
  <c r="AA775" i="10"/>
  <c r="AA1173" i="10"/>
  <c r="AA832" i="10"/>
  <c r="AA1191" i="10"/>
  <c r="AA1107" i="10"/>
  <c r="AA662" i="10"/>
  <c r="AA258" i="10"/>
  <c r="AA1053" i="10"/>
  <c r="AA564" i="10"/>
  <c r="AA1185" i="10"/>
  <c r="AA303" i="10"/>
  <c r="AA74" i="10"/>
  <c r="AA529" i="10"/>
  <c r="AA405" i="10"/>
  <c r="AA880" i="10"/>
  <c r="AA211" i="10"/>
  <c r="AA168" i="10"/>
  <c r="AA118" i="10"/>
  <c r="AA175" i="10"/>
  <c r="AA125" i="10"/>
  <c r="AA446" i="10"/>
  <c r="AA875" i="10"/>
  <c r="AA709" i="10"/>
  <c r="AA162" i="10"/>
  <c r="AA605" i="10"/>
  <c r="E605" i="12" s="1"/>
  <c r="AA1024" i="10"/>
  <c r="AA738" i="10"/>
  <c r="AA815" i="10"/>
  <c r="AA948" i="10"/>
  <c r="AA1077" i="10"/>
  <c r="AA1176" i="10"/>
  <c r="AA373" i="10"/>
  <c r="AA304" i="10"/>
  <c r="AA696" i="10"/>
  <c r="AA127" i="10"/>
  <c r="AA403" i="10"/>
  <c r="AA859" i="10"/>
  <c r="AA131" i="10"/>
  <c r="AA670" i="10"/>
  <c r="AA960" i="10"/>
  <c r="AA914" i="10"/>
  <c r="AA572" i="10"/>
  <c r="AA105" i="10"/>
  <c r="AA790" i="10"/>
  <c r="AA698" i="10"/>
  <c r="AA145" i="10"/>
  <c r="AC145" i="10" s="1"/>
  <c r="AA1172" i="10"/>
  <c r="AA896" i="10"/>
  <c r="AA271" i="10"/>
  <c r="AA1029" i="10"/>
  <c r="AA1125" i="10"/>
  <c r="AA561" i="10"/>
  <c r="AA846" i="10"/>
  <c r="AA1058" i="10"/>
  <c r="AA777" i="10"/>
  <c r="AA606" i="10"/>
  <c r="AA1005" i="10"/>
  <c r="AA541" i="10"/>
  <c r="AA152" i="10"/>
  <c r="AA863" i="10"/>
  <c r="AA513" i="10"/>
  <c r="AA1120" i="10"/>
  <c r="AA600" i="10"/>
  <c r="AA877" i="10"/>
  <c r="AA701" i="10"/>
  <c r="AA749" i="10"/>
  <c r="AA1182" i="10"/>
  <c r="AA363" i="10"/>
  <c r="AA266" i="10"/>
  <c r="AA312" i="10"/>
  <c r="AA27" i="10"/>
  <c r="AA155" i="10"/>
  <c r="AA226" i="10"/>
  <c r="AA571" i="10"/>
  <c r="AA723" i="10"/>
  <c r="AA620" i="10"/>
  <c r="AA792" i="10"/>
  <c r="AA35" i="10"/>
  <c r="AA103" i="10"/>
  <c r="AA958" i="10"/>
  <c r="AA505" i="10"/>
  <c r="AA584" i="10"/>
  <c r="AA322" i="10"/>
  <c r="AA1168" i="10"/>
  <c r="AA172" i="10"/>
  <c r="AA971" i="10"/>
  <c r="AA401" i="10"/>
  <c r="AA95" i="10"/>
  <c r="AA1190" i="10"/>
  <c r="AA700" i="10"/>
  <c r="AA195" i="10"/>
  <c r="AA1042" i="10"/>
  <c r="AA814" i="10"/>
  <c r="AA533" i="10"/>
  <c r="AA526" i="10"/>
  <c r="AA661" i="10"/>
  <c r="AA942" i="10"/>
  <c r="AA353" i="10"/>
  <c r="AA496" i="10"/>
  <c r="AA949" i="10"/>
  <c r="AA834" i="10"/>
  <c r="AA493" i="10"/>
  <c r="AA976" i="10"/>
  <c r="AA486" i="10"/>
  <c r="AA993" i="10"/>
  <c r="AA873" i="10"/>
  <c r="AA992" i="10"/>
  <c r="AA617" i="10"/>
  <c r="AA224" i="10"/>
  <c r="AA649" i="10"/>
  <c r="AA413" i="10"/>
  <c r="AA852" i="10"/>
  <c r="AA200" i="10"/>
  <c r="AA705" i="10"/>
  <c r="AA818" i="10"/>
  <c r="AA1166" i="10"/>
  <c r="AA523" i="10"/>
  <c r="AA469" i="10"/>
  <c r="AA652" i="10"/>
  <c r="AA165" i="10"/>
  <c r="AA241" i="10"/>
  <c r="AA637" i="10"/>
  <c r="AA111" i="10"/>
  <c r="AA414" i="10"/>
  <c r="AA337" i="10"/>
  <c r="AA706" i="10"/>
  <c r="AA607" i="10"/>
  <c r="AA286" i="10"/>
  <c r="AA702" i="10"/>
  <c r="AA261" i="10"/>
  <c r="AA635" i="10"/>
  <c r="AA323" i="10"/>
  <c r="AA543" i="10"/>
  <c r="AA819" i="10"/>
  <c r="AA1147" i="10"/>
  <c r="AA227" i="10"/>
  <c r="AA802" i="10"/>
  <c r="AA79" i="10"/>
  <c r="AA642" i="10"/>
  <c r="AA552" i="10"/>
  <c r="AA500" i="10"/>
  <c r="AA63" i="10"/>
  <c r="AA164" i="10"/>
  <c r="AA922" i="10"/>
  <c r="AA638" i="10"/>
  <c r="AA89" i="10"/>
  <c r="AA190" i="10"/>
  <c r="AA1055" i="10"/>
  <c r="AA1060" i="10"/>
  <c r="AA313" i="10"/>
  <c r="AA1135" i="10"/>
  <c r="AA845" i="10"/>
  <c r="AA1001" i="10"/>
  <c r="AA148" i="10"/>
  <c r="AA682" i="10"/>
  <c r="AA502" i="10"/>
  <c r="AA589" i="10"/>
  <c r="AA692" i="10"/>
  <c r="AA745" i="10"/>
  <c r="AA51" i="10"/>
  <c r="AA288" i="10"/>
  <c r="AA396" i="10"/>
  <c r="AA1018" i="10"/>
  <c r="AA1043" i="10"/>
  <c r="AA196" i="10"/>
  <c r="AA1116" i="10"/>
  <c r="AA954" i="10"/>
  <c r="AA86" i="10"/>
  <c r="AA582" i="10"/>
  <c r="AA383" i="10"/>
  <c r="AA1041" i="10"/>
  <c r="AA955" i="10"/>
  <c r="AA740" i="10"/>
  <c r="AA624" i="10"/>
  <c r="E624" i="12" s="1"/>
  <c r="AA884" i="10"/>
  <c r="AA1011" i="10"/>
  <c r="AA48" i="10"/>
  <c r="AA726" i="10"/>
  <c r="AA781" i="10"/>
  <c r="AA436" i="10"/>
  <c r="AA678" i="10"/>
  <c r="AA272" i="10"/>
  <c r="AA470" i="10"/>
  <c r="AA546" i="10"/>
  <c r="AA1013" i="10"/>
  <c r="AA1096" i="10"/>
  <c r="AA760" i="10"/>
  <c r="AA509" i="10"/>
  <c r="AA443" i="10"/>
  <c r="AA209" i="10"/>
  <c r="AA782" i="10"/>
  <c r="AA1008" i="10"/>
  <c r="AA518" i="10"/>
  <c r="AA1071" i="10"/>
  <c r="AA995" i="10"/>
  <c r="AA296" i="10"/>
  <c r="AA838" i="10"/>
  <c r="AA657" i="10"/>
  <c r="AA339" i="10"/>
  <c r="AA689" i="10"/>
  <c r="AA1069" i="10"/>
  <c r="AA592" i="10"/>
  <c r="AA429" i="10"/>
  <c r="AA794" i="10"/>
  <c r="E794" i="12" s="1"/>
  <c r="AA92" i="10"/>
  <c r="AA801" i="10"/>
  <c r="AA192" i="10"/>
  <c r="AA805" i="10"/>
  <c r="AA462" i="10"/>
  <c r="AA742" i="10"/>
  <c r="AA75" i="10"/>
  <c r="AA121" i="10"/>
  <c r="AA1129" i="10"/>
  <c r="AA1110" i="10"/>
  <c r="AA718" i="10"/>
  <c r="AA616" i="10"/>
  <c r="AC616" i="10" s="1"/>
  <c r="AA973" i="10"/>
  <c r="AA255" i="10"/>
  <c r="AA905" i="10"/>
  <c r="AA752" i="10"/>
  <c r="AA174" i="10"/>
  <c r="AA668" i="10"/>
  <c r="AA519" i="10"/>
  <c r="AA1035" i="10"/>
  <c r="AA67" i="10"/>
  <c r="AA969" i="10"/>
  <c r="AA316" i="10"/>
  <c r="AA1155" i="10"/>
  <c r="AA482" i="10"/>
  <c r="AA364" i="10"/>
  <c r="AA1004" i="10"/>
  <c r="AA663" i="10"/>
  <c r="AA614" i="10"/>
  <c r="AA1034" i="10"/>
  <c r="AA944" i="10"/>
  <c r="AA937" i="10"/>
  <c r="AA843" i="10"/>
  <c r="AA1184" i="10"/>
  <c r="AA249" i="10"/>
  <c r="C2" i="12"/>
  <c r="AA438" i="10"/>
  <c r="AA581" i="10"/>
  <c r="AA599" i="10"/>
  <c r="AA317" i="10"/>
  <c r="AA416" i="10"/>
  <c r="AA1061" i="10"/>
  <c r="AA1030" i="10"/>
  <c r="AC1030" i="10" s="1"/>
  <c r="AA548" i="10"/>
  <c r="AA920" i="10"/>
  <c r="AA499" i="10"/>
  <c r="AA506" i="10"/>
  <c r="AA7" i="10"/>
  <c r="AA248" i="10"/>
  <c r="AA407" i="10"/>
  <c r="AA1111" i="10"/>
  <c r="AA665" i="10"/>
  <c r="AA53" i="10"/>
  <c r="AA24" i="10"/>
  <c r="AA55" i="10"/>
  <c r="AA1181" i="10"/>
  <c r="AA256" i="10"/>
  <c r="AA783" i="10"/>
  <c r="AA494" i="10"/>
  <c r="AA977" i="10"/>
  <c r="AA595" i="10"/>
  <c r="AA1092" i="10"/>
  <c r="AA522" i="10"/>
  <c r="AA903" i="10"/>
  <c r="AA906" i="10"/>
  <c r="AA342" i="10"/>
  <c r="AA683" i="10"/>
  <c r="AA560" i="10"/>
  <c r="AA50" i="10"/>
  <c r="AA688" i="10"/>
  <c r="AA848" i="10"/>
  <c r="AA1040" i="10"/>
  <c r="AA341" i="10"/>
  <c r="AA941" i="10"/>
  <c r="AA5" i="10"/>
  <c r="AA803" i="10"/>
  <c r="AA64" i="10"/>
  <c r="AC64" i="10" s="1"/>
  <c r="AA60" i="10"/>
  <c r="AA184" i="10"/>
  <c r="AA281" i="10"/>
  <c r="AA528" i="10"/>
  <c r="AA1039" i="10"/>
  <c r="AA525" i="10"/>
  <c r="AA247" i="10"/>
  <c r="AA214" i="10"/>
  <c r="AA590" i="10"/>
  <c r="AA472" i="10"/>
  <c r="AA1072" i="10"/>
  <c r="AA199" i="10"/>
  <c r="AA675" i="10"/>
  <c r="AA983" i="10"/>
  <c r="AA586" i="10"/>
  <c r="AA667" i="10"/>
  <c r="AA753" i="10"/>
  <c r="AA464" i="10"/>
  <c r="AA4" i="10"/>
  <c r="AA463" i="10"/>
  <c r="AA631" i="10"/>
  <c r="AA788" i="10"/>
  <c r="AA869" i="10"/>
  <c r="AA478" i="10"/>
  <c r="AA1100" i="10"/>
  <c r="AA399" i="10"/>
  <c r="AA751" i="10"/>
  <c r="AA588" i="10"/>
  <c r="AA1098" i="10"/>
  <c r="AA87" i="10"/>
  <c r="AA1152" i="10"/>
  <c r="AA274" i="10"/>
  <c r="AA739" i="10"/>
  <c r="AA986" i="10"/>
  <c r="AA491" i="10"/>
  <c r="AA619" i="10"/>
  <c r="AA477" i="10"/>
  <c r="AA861" i="10"/>
  <c r="AA246" i="10"/>
  <c r="AA659" i="10"/>
  <c r="AA136" i="10"/>
  <c r="AA81" i="10"/>
  <c r="AA610" i="10"/>
  <c r="AA892" i="10"/>
  <c r="AA338" i="10"/>
  <c r="AA901" i="10"/>
  <c r="AA410" i="10"/>
  <c r="AA187" i="10"/>
  <c r="AA1189" i="10"/>
  <c r="AA166" i="10"/>
  <c r="AA776" i="10"/>
  <c r="AA377" i="10"/>
  <c r="AA1122" i="10"/>
  <c r="AA927" i="10"/>
  <c r="AA524" i="10"/>
  <c r="Y2" i="10"/>
  <c r="Z2" i="10" s="1"/>
  <c r="AA1017" i="10"/>
  <c r="AA1174" i="10"/>
  <c r="AA29" i="10"/>
  <c r="AA629" i="10"/>
  <c r="AA146" i="10"/>
  <c r="AA91" i="10"/>
  <c r="AA1088" i="10"/>
  <c r="AA367" i="10"/>
  <c r="AA47" i="10"/>
  <c r="AA987" i="10"/>
  <c r="AA850" i="10"/>
  <c r="AA530" i="10"/>
  <c r="AA654" i="10"/>
  <c r="AA1117" i="10"/>
  <c r="AA488" i="10"/>
  <c r="AA900" i="10"/>
  <c r="AA744" i="10"/>
  <c r="AA547" i="10"/>
  <c r="AA57" i="10"/>
  <c r="AA490" i="10"/>
  <c r="AA568" i="10"/>
  <c r="AA785" i="10"/>
  <c r="AA615" i="10"/>
  <c r="AA646" i="10"/>
  <c r="AA419" i="10"/>
  <c r="AA324" i="10"/>
  <c r="AA930" i="10"/>
  <c r="AA671" i="10"/>
  <c r="AA1143" i="10"/>
  <c r="AA84" i="10"/>
  <c r="AA139" i="10"/>
  <c r="AA766" i="10"/>
  <c r="AC766" i="10" s="1"/>
  <c r="AA444" i="10"/>
  <c r="AC444" i="10" s="1"/>
  <c r="AA368" i="10"/>
  <c r="E368" i="12" s="1"/>
  <c r="AA1175" i="10"/>
  <c r="AA265" i="10"/>
  <c r="AA664" i="10"/>
  <c r="AA426" i="10"/>
  <c r="AA658" i="10"/>
  <c r="AA435" i="10"/>
  <c r="AA878" i="10"/>
  <c r="AA59" i="10"/>
  <c r="AA613" i="10"/>
  <c r="AA585" i="10"/>
  <c r="AA182" i="10"/>
  <c r="AA352" i="10"/>
  <c r="AA208" i="10"/>
  <c r="AA854" i="10"/>
  <c r="AA101" i="10"/>
  <c r="AA1138" i="10"/>
  <c r="AA210" i="10"/>
  <c r="AA144" i="10"/>
  <c r="AA816" i="10"/>
  <c r="AA733" i="10"/>
  <c r="AA231" i="10"/>
  <c r="AA56" i="10"/>
  <c r="AA186" i="10"/>
  <c r="AA542" i="10"/>
  <c r="AA236" i="10"/>
  <c r="AA520" i="10"/>
  <c r="AA497" i="10"/>
  <c r="AA128" i="10"/>
  <c r="AA911" i="10"/>
  <c r="AA277" i="10"/>
  <c r="AA88" i="10"/>
  <c r="AA1068" i="10"/>
  <c r="AA544" i="10"/>
  <c r="AA618" i="10"/>
  <c r="AA282" i="10"/>
  <c r="AA672" i="10"/>
  <c r="AA947" i="10"/>
  <c r="AA1070" i="10"/>
  <c r="AA387" i="10"/>
  <c r="AA549" i="10"/>
  <c r="AA457" i="10"/>
  <c r="AA1109" i="10"/>
  <c r="AA691" i="10"/>
  <c r="AA119" i="10"/>
  <c r="AA1083" i="10"/>
  <c r="AA465" i="10"/>
  <c r="AA855" i="10"/>
  <c r="AA404" i="10"/>
  <c r="AA799" i="10"/>
  <c r="AA308" i="10"/>
  <c r="AC308" i="10" s="1"/>
  <c r="AA122" i="10"/>
  <c r="E122" i="12" s="1"/>
  <c r="AA951" i="10"/>
  <c r="AC951" i="10" s="1"/>
  <c r="AA1141" i="10"/>
  <c r="AA965" i="10"/>
  <c r="AA293" i="10"/>
  <c r="AA171" i="10"/>
  <c r="AA837" i="10"/>
  <c r="AA1094" i="10"/>
  <c r="AA985" i="10"/>
  <c r="AA868" i="10"/>
  <c r="AA793" i="10"/>
  <c r="AA921" i="10"/>
  <c r="AA762" i="10"/>
  <c r="AA1022" i="10"/>
  <c r="AA104" i="10"/>
  <c r="AA653" i="10"/>
  <c r="AA623" i="10"/>
  <c r="AA577" i="10"/>
  <c r="AA315" i="10"/>
  <c r="AA687" i="10"/>
  <c r="AA736" i="10"/>
  <c r="AA290" i="10"/>
  <c r="AA134" i="10"/>
  <c r="AA384" i="10"/>
  <c r="AA391" i="10"/>
  <c r="AA928" i="10"/>
  <c r="AA188" i="10"/>
  <c r="AA761" i="10"/>
  <c r="AA378" i="10"/>
  <c r="AA580" i="10"/>
  <c r="AA326" i="10"/>
  <c r="AA327" i="10"/>
  <c r="AA643" i="10"/>
  <c r="AA656" i="10"/>
  <c r="AA536" i="10"/>
  <c r="AA904" i="10"/>
  <c r="AA34" i="10"/>
  <c r="AA959" i="10"/>
  <c r="AA344" i="10"/>
  <c r="AA828" i="10"/>
  <c r="AA159" i="10"/>
  <c r="AA61" i="10"/>
  <c r="AA223" i="10"/>
  <c r="AA621" i="10"/>
  <c r="AA26" i="10"/>
  <c r="AA628" i="10"/>
  <c r="AA559" i="10"/>
  <c r="AA31" i="10"/>
  <c r="AA1087" i="10"/>
  <c r="AA1179" i="10"/>
  <c r="AA747" i="10"/>
  <c r="AA343" i="10"/>
  <c r="AA1076" i="10"/>
  <c r="AA916" i="10"/>
  <c r="AA756" i="10"/>
  <c r="AA143" i="10"/>
  <c r="AA1151" i="10"/>
  <c r="AC1151" i="10" s="1"/>
  <c r="AA679" i="10"/>
  <c r="E679" i="12" s="1"/>
  <c r="AA279" i="10"/>
  <c r="E279" i="12" s="1"/>
  <c r="AA872" i="10"/>
  <c r="AA800" i="10"/>
  <c r="AA220" i="10"/>
  <c r="AA1193" i="10"/>
  <c r="AA1045" i="10"/>
  <c r="AA473" i="10"/>
  <c r="AA952" i="10"/>
  <c r="AA149" i="10"/>
  <c r="AA232" i="10"/>
  <c r="AA3" i="10"/>
  <c r="AA735" i="10"/>
  <c r="AA217" i="10"/>
  <c r="AA932" i="10"/>
  <c r="AA1015" i="10"/>
  <c r="AA789" i="10"/>
  <c r="AA185" i="10"/>
  <c r="AA939" i="10"/>
  <c r="AA512" i="10"/>
  <c r="AA106" i="10"/>
  <c r="AA996" i="10"/>
  <c r="AA330" i="10"/>
  <c r="AA1139" i="10"/>
  <c r="AA109" i="10"/>
  <c r="AA1158" i="10"/>
  <c r="AA205" i="10"/>
  <c r="AA370" i="10"/>
  <c r="AA474" i="10"/>
  <c r="AA273" i="10"/>
  <c r="AA1118" i="10"/>
  <c r="AA750" i="10"/>
  <c r="AA428" i="10"/>
  <c r="AA466" i="10"/>
  <c r="AA270" i="10"/>
  <c r="AA376" i="10"/>
  <c r="AA147" i="10"/>
  <c r="AA677" i="10"/>
  <c r="AA138" i="10"/>
  <c r="AA507" i="10"/>
  <c r="AA612" i="10"/>
  <c r="AA83" i="10"/>
  <c r="AA58" i="10"/>
  <c r="AA1095" i="10"/>
  <c r="AA239" i="10"/>
  <c r="AA716" i="10"/>
  <c r="AA693" i="10"/>
  <c r="AA823" i="10"/>
  <c r="AA177" i="10"/>
  <c r="AA1123" i="10"/>
  <c r="AA1038" i="10"/>
  <c r="AA42" i="10"/>
  <c r="AA52" i="10"/>
  <c r="AA107" i="10"/>
  <c r="AA203" i="10"/>
  <c r="AA1101" i="10"/>
  <c r="AA540" i="10"/>
  <c r="AA622" i="10"/>
  <c r="AA1154" i="10"/>
  <c r="AA717" i="10"/>
  <c r="AA1132" i="10"/>
  <c r="AA2" i="10"/>
  <c r="AA703" i="10"/>
  <c r="AC703" i="10" s="1"/>
  <c r="AA690" i="10"/>
  <c r="AC690" i="10" s="1"/>
  <c r="AA849" i="10"/>
  <c r="E849" i="12" s="1"/>
  <c r="AA907" i="10"/>
  <c r="AA412" i="10"/>
  <c r="AA527" i="10"/>
  <c r="AA874" i="10"/>
  <c r="AA1063" i="10"/>
  <c r="AA1149" i="10"/>
  <c r="AA1099" i="10"/>
  <c r="AA510" i="10"/>
  <c r="AA636" i="10"/>
  <c r="AA1126" i="10"/>
  <c r="AA1142" i="10"/>
  <c r="AA1084" i="10"/>
  <c r="AA440" i="10"/>
  <c r="AA666" i="10"/>
  <c r="AA867" i="10"/>
  <c r="AA994" i="10"/>
  <c r="AA569" i="10"/>
  <c r="AA826" i="10"/>
  <c r="AA567" i="10"/>
  <c r="AC567" i="10" s="1"/>
  <c r="AA402" i="10"/>
  <c r="E402" i="12" s="1"/>
  <c r="AA1054" i="10"/>
  <c r="AA817" i="10"/>
  <c r="AA20" i="10"/>
  <c r="AA219" i="10"/>
  <c r="AA306" i="10"/>
  <c r="AA1066" i="10"/>
  <c r="AA481" i="10"/>
  <c r="AA1169" i="10"/>
  <c r="AA712" i="10"/>
  <c r="AA650" i="10"/>
  <c r="AA421" i="10"/>
  <c r="AA430" i="10"/>
  <c r="AA555" i="10"/>
  <c r="AA957" i="10"/>
  <c r="AA260" i="10"/>
  <c r="AA765" i="10"/>
  <c r="AA923" i="10"/>
  <c r="AA669" i="10"/>
  <c r="AA262" i="10"/>
  <c r="AA731" i="10"/>
  <c r="AA851" i="10"/>
  <c r="AC851" i="10" s="1"/>
  <c r="AA408" i="10"/>
  <c r="AA860" i="10"/>
  <c r="E860" i="12" s="1"/>
  <c r="AA225" i="10"/>
  <c r="AA625" i="10"/>
  <c r="AA1148" i="10"/>
  <c r="AA767" i="10"/>
  <c r="AA275" i="10"/>
  <c r="AA307" i="10"/>
  <c r="AA1000" i="10"/>
  <c r="AA15" i="10"/>
  <c r="AA229" i="10"/>
  <c r="AA1156" i="10"/>
  <c r="AA808" i="10"/>
  <c r="AA1044" i="10"/>
  <c r="AA233" i="10"/>
  <c r="AA686" i="10"/>
  <c r="AA695" i="10"/>
  <c r="AA314" i="10"/>
  <c r="AA202" i="10"/>
  <c r="AA764" i="10"/>
  <c r="E764" i="12" s="1"/>
  <c r="AA204" i="10"/>
  <c r="AC204" i="10" s="1"/>
  <c r="AA417" i="10"/>
  <c r="AA997" i="10"/>
  <c r="AA294" i="10"/>
  <c r="AA919" i="10"/>
  <c r="AA124" i="10"/>
  <c r="AA228" i="10"/>
  <c r="AA1140" i="10"/>
  <c r="AA361" i="10"/>
  <c r="AA259" i="10"/>
  <c r="AA461" i="10"/>
  <c r="AA1074" i="10"/>
  <c r="AA99" i="10"/>
  <c r="AA721" i="10"/>
  <c r="AA489" i="10"/>
  <c r="AA915" i="10"/>
  <c r="AA395" i="10"/>
  <c r="AA487" i="10"/>
  <c r="AA347" i="10"/>
  <c r="AA268" i="10"/>
  <c r="AA394" i="10"/>
  <c r="AA908" i="10"/>
  <c r="AA45" i="10"/>
  <c r="AA627" i="10"/>
  <c r="AA551" i="10"/>
  <c r="AC551" i="10" s="1"/>
  <c r="AA216" i="10"/>
  <c r="AC216" i="10" s="1"/>
  <c r="AA354" i="10"/>
  <c r="E354" i="12" s="1"/>
  <c r="AA608" i="10"/>
  <c r="AA881" i="10"/>
  <c r="AA778" i="10"/>
  <c r="AA357" i="10"/>
  <c r="AA85" i="10"/>
  <c r="AA1031" i="10"/>
  <c r="AA1180" i="10"/>
  <c r="AA853" i="10"/>
  <c r="AA575" i="10"/>
  <c r="AA699" i="10"/>
  <c r="AA1127" i="10"/>
  <c r="AA295" i="10"/>
  <c r="AA340" i="10"/>
  <c r="AA822" i="10"/>
  <c r="AA596" i="10"/>
  <c r="AA737" i="10"/>
  <c r="AA970" i="10"/>
  <c r="AC970" i="10" s="1"/>
  <c r="AT2" i="10"/>
  <c r="AU2" i="10"/>
  <c r="AA713" i="10"/>
  <c r="V2" i="10"/>
  <c r="D2" i="12" s="1"/>
  <c r="V380" i="10"/>
  <c r="V417" i="10"/>
  <c r="V153" i="10"/>
  <c r="V587" i="10"/>
  <c r="D587" i="12" s="1"/>
  <c r="V139" i="10"/>
  <c r="AE139" i="10" s="1"/>
  <c r="V431" i="10"/>
  <c r="AF431" i="10" s="1"/>
  <c r="AL431" i="10" s="1"/>
  <c r="V798" i="10"/>
  <c r="V161" i="10"/>
  <c r="V1102" i="10"/>
  <c r="D1102" i="12" s="1"/>
  <c r="V447" i="10"/>
  <c r="V177" i="10"/>
  <c r="AF177" i="10" s="1"/>
  <c r="AL177" i="10" s="1"/>
  <c r="V150" i="10"/>
  <c r="V230" i="10"/>
  <c r="AF230" i="10" s="1"/>
  <c r="AL230" i="10" s="1"/>
  <c r="V940" i="10"/>
  <c r="AE940" i="10" s="1"/>
  <c r="V302" i="10"/>
  <c r="V410" i="10"/>
  <c r="V1164" i="10"/>
  <c r="V1085" i="10"/>
  <c r="D1085" i="12" s="1"/>
  <c r="V157" i="10"/>
  <c r="AE157" i="10" s="1"/>
  <c r="V184" i="10"/>
  <c r="AE184" i="10" s="1"/>
  <c r="V403" i="10"/>
  <c r="V226" i="10"/>
  <c r="V856" i="10"/>
  <c r="AD856" i="10" s="1"/>
  <c r="V97" i="10"/>
  <c r="V1144" i="10"/>
  <c r="B5" i="17" s="1"/>
  <c r="V443" i="10"/>
  <c r="V680" i="10"/>
  <c r="AF680" i="10" s="1"/>
  <c r="AL680" i="10" s="1"/>
  <c r="V363" i="10"/>
  <c r="D363" i="12" s="1"/>
  <c r="V215" i="10"/>
  <c r="V260" i="10"/>
  <c r="D260" i="12" s="1"/>
  <c r="V950" i="10"/>
  <c r="D950" i="12" s="1"/>
  <c r="V489" i="10"/>
  <c r="V26" i="10"/>
  <c r="AE26" i="10" s="1"/>
  <c r="V256" i="10"/>
  <c r="D256" i="12" s="1"/>
  <c r="V784" i="10"/>
  <c r="V717" i="10"/>
  <c r="V713" i="10"/>
  <c r="AF713" i="10" s="1"/>
  <c r="AL713" i="10" s="1"/>
  <c r="V483" i="10"/>
  <c r="AD483" i="10" s="1"/>
  <c r="V214" i="10"/>
  <c r="D214" i="12" s="1"/>
  <c r="V1154" i="10"/>
  <c r="V1159" i="10"/>
  <c r="V623" i="10"/>
  <c r="AD623" i="10" s="1"/>
  <c r="V1086" i="10"/>
  <c r="V889" i="10"/>
  <c r="AD889" i="10" s="1"/>
  <c r="V1145" i="10"/>
  <c r="V128" i="10"/>
  <c r="V148" i="10"/>
  <c r="AE148" i="10" s="1"/>
  <c r="V151" i="10"/>
  <c r="D151" i="12" s="1"/>
  <c r="V24" i="10"/>
  <c r="V345" i="10"/>
  <c r="V847" i="10"/>
  <c r="V227" i="10"/>
  <c r="V890" i="10"/>
  <c r="X890" i="10" s="1"/>
  <c r="V62" i="10"/>
  <c r="V835" i="10"/>
  <c r="V358" i="10"/>
  <c r="D358" i="12" s="1"/>
  <c r="V759" i="10"/>
  <c r="V1044" i="10"/>
  <c r="D1044" i="12" s="1"/>
  <c r="V240" i="10"/>
  <c r="V1178" i="10"/>
  <c r="V854" i="10"/>
  <c r="AF854" i="10" s="1"/>
  <c r="AL854" i="10" s="1"/>
  <c r="V162" i="10"/>
  <c r="AE162" i="10" s="1"/>
  <c r="V484" i="10"/>
  <c r="V819" i="10"/>
  <c r="V46" i="10"/>
  <c r="AF46" i="10" s="1"/>
  <c r="AL46" i="10" s="1"/>
  <c r="V1039" i="10"/>
  <c r="V1110" i="10"/>
  <c r="D1110" i="12" s="1"/>
  <c r="V1067" i="10"/>
  <c r="V147" i="10"/>
  <c r="AF147" i="10" s="1"/>
  <c r="AL147" i="10" s="1"/>
  <c r="V726" i="10"/>
  <c r="AE726" i="10" s="1"/>
  <c r="V347" i="10"/>
  <c r="V1138" i="10"/>
  <c r="V87" i="10"/>
  <c r="AD87" i="10" s="1"/>
  <c r="V316" i="10"/>
  <c r="D316" i="12" s="1"/>
  <c r="V422" i="10"/>
  <c r="AF422" i="10" s="1"/>
  <c r="AL422" i="10" s="1"/>
  <c r="V1166" i="10"/>
  <c r="AE1166" i="10" s="1"/>
  <c r="V527" i="10"/>
  <c r="V1029" i="10"/>
  <c r="V660" i="10"/>
  <c r="AD660" i="10" s="1"/>
  <c r="V356" i="10"/>
  <c r="V507" i="10"/>
  <c r="AD507" i="10" s="1"/>
  <c r="V25" i="10"/>
  <c r="AF25" i="10" s="1"/>
  <c r="AL25" i="10" s="1"/>
  <c r="V235" i="10"/>
  <c r="D235" i="12" s="1"/>
  <c r="V1001" i="10"/>
  <c r="D1001" i="12" s="1"/>
  <c r="V897" i="10"/>
  <c r="AD897" i="10" s="1"/>
  <c r="V323" i="10"/>
  <c r="AD323" i="10" s="1"/>
  <c r="V531" i="10"/>
  <c r="V238" i="10"/>
  <c r="V555" i="10"/>
  <c r="AE555" i="10" s="1"/>
  <c r="V941" i="10"/>
  <c r="V874" i="10"/>
  <c r="V1104" i="10"/>
  <c r="V862" i="10"/>
  <c r="V320" i="10"/>
  <c r="D320" i="12" s="1"/>
  <c r="V1190" i="10"/>
  <c r="D1190" i="12" s="1"/>
  <c r="V242" i="10"/>
  <c r="V916" i="10"/>
  <c r="D916" i="12" s="1"/>
  <c r="V1181" i="10"/>
  <c r="D1181" i="12" s="1"/>
  <c r="V799" i="10"/>
  <c r="V604" i="10"/>
  <c r="AD604" i="10" s="1"/>
  <c r="V538" i="10"/>
  <c r="V404" i="10"/>
  <c r="V735" i="10"/>
  <c r="AE735" i="10" s="1"/>
  <c r="V637" i="10"/>
  <c r="AD637" i="10" s="1"/>
  <c r="V156" i="10"/>
  <c r="AE156" i="10" s="1"/>
  <c r="V1106" i="10"/>
  <c r="V477" i="10"/>
  <c r="V822" i="10"/>
  <c r="V1004" i="10"/>
  <c r="AE1004" i="10" s="1"/>
  <c r="V738" i="10"/>
  <c r="V983" i="10"/>
  <c r="V453" i="10"/>
  <c r="D453" i="12" s="1"/>
  <c r="V1161" i="10"/>
  <c r="AE1161" i="10" s="1"/>
  <c r="V58" i="10"/>
  <c r="AD58" i="10" s="1"/>
  <c r="V924" i="10"/>
  <c r="D924" i="12" s="1"/>
  <c r="V1127" i="10"/>
  <c r="V359" i="10"/>
  <c r="AE359" i="10" s="1"/>
  <c r="V704" i="10"/>
  <c r="AD704" i="10" s="1"/>
  <c r="V774" i="10"/>
  <c r="V580" i="10"/>
  <c r="V1193" i="10"/>
  <c r="V272" i="10"/>
  <c r="V652" i="10"/>
  <c r="AF652" i="10" s="1"/>
  <c r="AL652" i="10" s="1"/>
  <c r="V646" i="10"/>
  <c r="V183" i="10"/>
  <c r="AF183" i="10" s="1"/>
  <c r="AL183" i="10" s="1"/>
  <c r="V221" i="10"/>
  <c r="AD221" i="10" s="1"/>
  <c r="V379" i="10"/>
  <c r="D379" i="12" s="1"/>
  <c r="V265" i="10"/>
  <c r="V70" i="10"/>
  <c r="V486" i="10"/>
  <c r="AD486" i="10" s="1"/>
  <c r="V1133" i="10"/>
  <c r="AF1133" i="10" s="1"/>
  <c r="AL1133" i="10" s="1"/>
  <c r="V13" i="10"/>
  <c r="D13" i="12" s="1"/>
  <c r="V10" i="10"/>
  <c r="V314" i="10"/>
  <c r="V52" i="10"/>
  <c r="V575" i="10"/>
  <c r="AD575" i="10" s="1"/>
  <c r="V372" i="10"/>
  <c r="AD372" i="10" s="1"/>
  <c r="V654" i="10"/>
  <c r="V858" i="10"/>
  <c r="AD858" i="10" s="1"/>
  <c r="V249" i="10"/>
  <c r="D249" i="12" s="1"/>
  <c r="V877" i="10"/>
  <c r="V520" i="10"/>
  <c r="AD520" i="10" s="1"/>
  <c r="V537" i="10"/>
  <c r="V1063" i="10"/>
  <c r="V906" i="10"/>
  <c r="AE906" i="10" s="1"/>
  <c r="V15" i="10"/>
  <c r="V138" i="10"/>
  <c r="V991" i="10"/>
  <c r="V504" i="10"/>
  <c r="AF504" i="10" s="1"/>
  <c r="AL504" i="10" s="1"/>
  <c r="V600" i="10"/>
  <c r="V560" i="10"/>
  <c r="AD560" i="10" s="1"/>
  <c r="V707" i="10"/>
  <c r="V1045" i="10"/>
  <c r="V905" i="10"/>
  <c r="AD905" i="10" s="1"/>
  <c r="V204" i="10"/>
  <c r="D204" i="12" s="1"/>
  <c r="V780" i="10"/>
  <c r="D780" i="12" s="1"/>
  <c r="V898" i="10"/>
  <c r="V68" i="10"/>
  <c r="V633" i="10"/>
  <c r="AF633" i="10" s="1"/>
  <c r="AL633" i="10" s="1"/>
  <c r="V1047" i="10"/>
  <c r="D1047" i="12" s="1"/>
  <c r="V1090" i="10"/>
  <c r="V1176" i="10"/>
  <c r="V251" i="10"/>
  <c r="V212" i="10"/>
  <c r="AE212" i="10" s="1"/>
  <c r="V1130" i="10"/>
  <c r="D1130" i="12" s="1"/>
  <c r="V375" i="10"/>
  <c r="V752" i="10"/>
  <c r="V349" i="10"/>
  <c r="AF349" i="10" s="1"/>
  <c r="AL349" i="10" s="1"/>
  <c r="V103" i="10"/>
  <c r="X103" i="10" s="1"/>
  <c r="V741" i="10"/>
  <c r="AE741" i="10" s="1"/>
  <c r="V291" i="10"/>
  <c r="AV291" i="10" s="1"/>
  <c r="V1171" i="10"/>
  <c r="V278" i="10"/>
  <c r="AE278" i="10" s="1"/>
  <c r="V576" i="10"/>
  <c r="D576" i="12" s="1"/>
  <c r="V331" i="10"/>
  <c r="V180" i="10"/>
  <c r="V586" i="10"/>
  <c r="AE586" i="10" s="1"/>
  <c r="V22" i="10"/>
  <c r="D22" i="12" s="1"/>
  <c r="V545" i="10"/>
  <c r="AD545" i="10" s="1"/>
  <c r="V208" i="10"/>
  <c r="V100" i="10"/>
  <c r="AD100" i="10" s="1"/>
  <c r="V416" i="10"/>
  <c r="D416" i="12" s="1"/>
  <c r="V40" i="10"/>
  <c r="V778" i="10"/>
  <c r="AD778" i="10" s="1"/>
  <c r="V95" i="10"/>
  <c r="D95" i="12" s="1"/>
  <c r="V337" i="10"/>
  <c r="D337" i="12" s="1"/>
  <c r="V210" i="10"/>
  <c r="D210" i="12" s="1"/>
  <c r="V866" i="10"/>
  <c r="D866" i="12" s="1"/>
  <c r="V141" i="10"/>
  <c r="V479" i="10"/>
  <c r="AD479" i="10" s="1"/>
  <c r="V307" i="10"/>
  <c r="AF307" i="10" s="1"/>
  <c r="AL307" i="10" s="1"/>
  <c r="V11" i="10"/>
  <c r="AD11" i="10" s="1"/>
  <c r="V894" i="10"/>
  <c r="X894" i="10" s="1"/>
  <c r="V1048" i="10"/>
  <c r="V43" i="10"/>
  <c r="D43" i="12" s="1"/>
  <c r="V582" i="10"/>
  <c r="AD582" i="10" s="1"/>
  <c r="V130" i="10"/>
  <c r="V611" i="10"/>
  <c r="D611" i="12" s="1"/>
  <c r="V115" i="10"/>
  <c r="AE115" i="10" s="1"/>
  <c r="V312" i="10"/>
  <c r="AF312" i="10" s="1"/>
  <c r="AL312" i="10" s="1"/>
  <c r="V1026" i="10"/>
  <c r="AD1026" i="10" s="1"/>
  <c r="V245" i="10"/>
  <c r="AD245" i="10" s="1"/>
  <c r="V1032" i="10"/>
  <c r="V1052" i="10"/>
  <c r="V456" i="10"/>
  <c r="V910" i="10"/>
  <c r="V354" i="10"/>
  <c r="D354" i="12" s="1"/>
  <c r="V355" i="10"/>
  <c r="AE355" i="10" s="1"/>
  <c r="V366" i="10"/>
  <c r="AD366" i="10" s="1"/>
  <c r="V734" i="10"/>
  <c r="D734" i="12" s="1"/>
  <c r="V1185" i="10"/>
  <c r="AD1185" i="10" s="1"/>
  <c r="V377" i="10"/>
  <c r="AD377" i="10" s="1"/>
  <c r="V96" i="10"/>
  <c r="D96" i="12" s="1"/>
  <c r="V491" i="10"/>
  <c r="AD491" i="10" s="1"/>
  <c r="V696" i="10"/>
  <c r="V777" i="10"/>
  <c r="AD777" i="10" s="1"/>
  <c r="V630" i="10"/>
  <c r="V541" i="10"/>
  <c r="V663" i="10"/>
  <c r="AE663" i="10" s="1"/>
  <c r="V1120" i="10"/>
  <c r="AE1120" i="10" s="1"/>
  <c r="V593" i="10"/>
  <c r="D593" i="12" s="1"/>
  <c r="V20" i="10"/>
  <c r="V136" i="10"/>
  <c r="V228" i="10"/>
  <c r="D228" i="12" s="1"/>
  <c r="V114" i="10"/>
  <c r="AD114" i="10" s="1"/>
  <c r="V1065" i="10"/>
  <c r="V495" i="10"/>
  <c r="D495" i="12" s="1"/>
  <c r="V971" i="10"/>
  <c r="V94" i="10"/>
  <c r="AE94" i="10" s="1"/>
  <c r="V665" i="10"/>
  <c r="D665" i="12" s="1"/>
  <c r="V621" i="10"/>
  <c r="V913" i="10"/>
  <c r="D913" i="12" s="1"/>
  <c r="V369" i="10"/>
  <c r="D369" i="12" s="1"/>
  <c r="V485" i="10"/>
  <c r="V714" i="10"/>
  <c r="V378" i="10"/>
  <c r="V371" i="10"/>
  <c r="AD371" i="10" s="1"/>
  <c r="V685" i="10"/>
  <c r="D685" i="12" s="1"/>
  <c r="V35" i="10"/>
  <c r="AD35" i="10" s="1"/>
  <c r="V506" i="10"/>
  <c r="V1134" i="10"/>
  <c r="V321" i="10"/>
  <c r="D321" i="12" s="1"/>
  <c r="V823" i="10"/>
  <c r="V1069" i="10"/>
  <c r="AD1069" i="10" s="1"/>
  <c r="V73" i="10"/>
  <c r="V257" i="10"/>
  <c r="AD257" i="10" s="1"/>
  <c r="V319" i="10"/>
  <c r="V324" i="10"/>
  <c r="V31" i="10"/>
  <c r="AD31" i="10" s="1"/>
  <c r="V18" i="10"/>
  <c r="AE18" i="10" s="1"/>
  <c r="V497" i="10"/>
  <c r="D497" i="12" s="1"/>
  <c r="V465" i="10"/>
  <c r="X465" i="10" s="1"/>
  <c r="V970" i="10"/>
  <c r="D970" i="12" s="1"/>
  <c r="V814" i="10"/>
  <c r="D814" i="12" s="1"/>
  <c r="V857" i="10"/>
  <c r="AD857" i="10" s="1"/>
  <c r="V353" i="10"/>
  <c r="V450" i="10"/>
  <c r="AD450" i="10" s="1"/>
  <c r="V1107" i="10"/>
  <c r="D1107" i="12" s="1"/>
  <c r="V1157" i="10"/>
  <c r="V855" i="10"/>
  <c r="AD855" i="10" s="1"/>
  <c r="V276" i="10"/>
  <c r="V166" i="10"/>
  <c r="AF166" i="10" s="1"/>
  <c r="AL166" i="10" s="1"/>
  <c r="V597" i="10"/>
  <c r="D597" i="12" s="1"/>
  <c r="V1140" i="10"/>
  <c r="V676" i="10"/>
  <c r="AD676" i="10" s="1"/>
  <c r="V1084" i="10"/>
  <c r="D1084" i="12" s="1"/>
  <c r="V206" i="10"/>
  <c r="D206" i="12" s="1"/>
  <c r="V869" i="10"/>
  <c r="AD869" i="10" s="1"/>
  <c r="V434" i="10"/>
  <c r="AF434" i="10" s="1"/>
  <c r="AL434" i="10" s="1"/>
  <c r="V463" i="10"/>
  <c r="V109" i="10"/>
  <c r="AD109" i="10" s="1"/>
  <c r="V543" i="10"/>
  <c r="AF543" i="10" s="1"/>
  <c r="AL543" i="10" s="1"/>
  <c r="V930" i="10"/>
  <c r="V939" i="10"/>
  <c r="D939" i="12" s="1"/>
  <c r="V932" i="10"/>
  <c r="V488" i="10"/>
  <c r="D488" i="12" s="1"/>
  <c r="V976" i="10"/>
  <c r="D976" i="12" s="1"/>
  <c r="V655" i="10"/>
  <c r="V605" i="10"/>
  <c r="D605" i="12" s="1"/>
  <c r="V1073" i="10"/>
  <c r="D1073" i="12" s="1"/>
  <c r="V426" i="10"/>
  <c r="V266" i="10"/>
  <c r="D266" i="12" s="1"/>
  <c r="V336" i="10"/>
  <c r="AD336" i="10" s="1"/>
  <c r="V1188" i="10"/>
  <c r="V1021" i="10"/>
  <c r="AD1021" i="10" s="1"/>
  <c r="V953" i="10"/>
  <c r="AD953" i="10" s="1"/>
  <c r="V105" i="10"/>
  <c r="V436" i="10"/>
  <c r="D436" i="12" s="1"/>
  <c r="V975" i="10"/>
  <c r="V104" i="10"/>
  <c r="V144" i="10"/>
  <c r="D144" i="12" s="1"/>
  <c r="V406" i="10"/>
  <c r="AE406" i="10" s="1"/>
  <c r="V66" i="10"/>
  <c r="D66" i="12" s="1"/>
  <c r="V981" i="10"/>
  <c r="AD981" i="10" s="1"/>
  <c r="V517" i="10"/>
  <c r="D517" i="12" s="1"/>
  <c r="V1118" i="10"/>
  <c r="D1118" i="12" s="1"/>
  <c r="V827" i="10"/>
  <c r="D827" i="12" s="1"/>
  <c r="V454" i="10"/>
  <c r="X454" i="10" s="1"/>
  <c r="V252" i="10"/>
  <c r="D252" i="12" s="1"/>
  <c r="V222" i="10"/>
  <c r="AD222" i="10" s="1"/>
  <c r="V37" i="10"/>
  <c r="V697" i="10"/>
  <c r="AD697" i="10" s="1"/>
  <c r="V269" i="10"/>
  <c r="AD269" i="10" s="1"/>
  <c r="V1074" i="10"/>
  <c r="D1074" i="12" s="1"/>
  <c r="V820" i="10"/>
  <c r="D820" i="12" s="1"/>
  <c r="V566" i="10"/>
  <c r="AD566" i="10" s="1"/>
  <c r="V333" i="10"/>
  <c r="X333" i="10" s="1"/>
  <c r="V51" i="10"/>
  <c r="AD51" i="10" s="1"/>
  <c r="V231" i="10"/>
  <c r="D231" i="12" s="1"/>
  <c r="V744" i="10"/>
  <c r="AD744" i="10" s="1"/>
  <c r="V1064" i="10"/>
  <c r="AD1064" i="10" s="1"/>
  <c r="V219" i="10"/>
  <c r="V399" i="10"/>
  <c r="D399" i="12" s="1"/>
  <c r="V195" i="10"/>
  <c r="D195" i="12" s="1"/>
  <c r="V203" i="10"/>
  <c r="V429" i="10"/>
  <c r="X429" i="10" s="1"/>
  <c r="V351" i="10"/>
  <c r="V552" i="10"/>
  <c r="V996" i="10"/>
  <c r="AF996" i="10" s="1"/>
  <c r="AL996" i="10" s="1"/>
  <c r="V435" i="10"/>
  <c r="V1119" i="10"/>
  <c r="AD1119" i="10" s="1"/>
  <c r="V749" i="10"/>
  <c r="D749" i="12" s="1"/>
  <c r="V29" i="10"/>
  <c r="AD29" i="10" s="1"/>
  <c r="V200" i="10"/>
  <c r="D200" i="12" s="1"/>
  <c r="V672" i="10"/>
  <c r="D672" i="12" s="1"/>
  <c r="V1022" i="10"/>
  <c r="D1022" i="12" s="1"/>
  <c r="V544" i="10"/>
  <c r="AD544" i="10" s="1"/>
  <c r="V920" i="10"/>
  <c r="D920" i="12" s="1"/>
  <c r="V631" i="10"/>
  <c r="V1008" i="10"/>
  <c r="D1008" i="12" s="1"/>
  <c r="V702" i="10"/>
  <c r="AD702" i="10" s="1"/>
  <c r="V671" i="10"/>
  <c r="V499" i="10"/>
  <c r="D499" i="12" s="1"/>
  <c r="V54" i="10"/>
  <c r="AE54" i="10" s="1"/>
  <c r="V170" i="10"/>
  <c r="D170" i="12" s="1"/>
  <c r="V694" i="10"/>
  <c r="D694" i="12" s="1"/>
  <c r="V563" i="10"/>
  <c r="D563" i="12" s="1"/>
  <c r="V1151" i="10"/>
  <c r="AD1151" i="10" s="1"/>
  <c r="V348" i="10"/>
  <c r="AD348" i="10" s="1"/>
  <c r="V933" i="10"/>
  <c r="V927" i="10"/>
  <c r="AD927" i="10" s="1"/>
  <c r="V577" i="10"/>
  <c r="D577" i="12" s="1"/>
  <c r="V914" i="10"/>
  <c r="V1183" i="10"/>
  <c r="AD1183" i="10" s="1"/>
  <c r="V729" i="10"/>
  <c r="D729" i="12" s="1"/>
  <c r="V480" i="10"/>
  <c r="D480" i="12" s="1"/>
  <c r="V412" i="10"/>
  <c r="AD412" i="10" s="1"/>
  <c r="V298" i="10"/>
  <c r="AD298" i="10" s="1"/>
  <c r="V113" i="10"/>
  <c r="AF113" i="10" s="1"/>
  <c r="AL113" i="10" s="1"/>
  <c r="V522" i="10"/>
  <c r="D522" i="12" s="1"/>
  <c r="V361" i="10"/>
  <c r="AD361" i="10" s="1"/>
  <c r="V398" i="10"/>
  <c r="AD398" i="10" s="1"/>
  <c r="V1036" i="10"/>
  <c r="AD1036" i="10" s="1"/>
  <c r="V273" i="10"/>
  <c r="V896" i="10"/>
  <c r="D896" i="12" s="1"/>
  <c r="V440" i="10"/>
  <c r="D440" i="12" s="1"/>
  <c r="V394" i="10"/>
  <c r="V969" i="10"/>
  <c r="AD969" i="10" s="1"/>
  <c r="V878" i="10"/>
  <c r="AD878" i="10" s="1"/>
  <c r="V7" i="10"/>
  <c r="AF7" i="10" s="1"/>
  <c r="AL7" i="10" s="1"/>
  <c r="V137" i="10"/>
  <c r="AD137" i="10" s="1"/>
  <c r="V825" i="10"/>
  <c r="D825" i="12" s="1"/>
  <c r="V608" i="10"/>
  <c r="AF608" i="10" s="1"/>
  <c r="AL608" i="10" s="1"/>
  <c r="V811" i="10"/>
  <c r="AF811" i="10" s="1"/>
  <c r="AL811" i="10" s="1"/>
  <c r="V67" i="10"/>
  <c r="AD67" i="10" s="1"/>
  <c r="V966" i="10"/>
  <c r="AD966" i="10" s="1"/>
  <c r="V60" i="10"/>
  <c r="AD60" i="10" s="1"/>
  <c r="V598" i="10"/>
  <c r="AD598" i="10" s="1"/>
  <c r="V536" i="10"/>
  <c r="AD536" i="10" s="1"/>
  <c r="V21" i="10"/>
  <c r="AD21" i="10" s="1"/>
  <c r="V982" i="10"/>
  <c r="V909" i="10"/>
  <c r="AD909" i="10" s="1"/>
  <c r="V72" i="10"/>
  <c r="AE72" i="10" s="1"/>
  <c r="V698" i="10"/>
  <c r="AD698" i="10" s="1"/>
  <c r="V844" i="10"/>
  <c r="AE844" i="10" s="1"/>
  <c r="V45" i="10"/>
  <c r="V120" i="10"/>
  <c r="AE120" i="10" s="1"/>
  <c r="V748" i="10"/>
  <c r="D748" i="12" s="1"/>
  <c r="V917" i="10"/>
  <c r="V91" i="10"/>
  <c r="AD91" i="10" s="1"/>
  <c r="V1094" i="10"/>
  <c r="D1094" i="12" s="1"/>
  <c r="V318" i="10"/>
  <c r="AE318" i="10" s="1"/>
  <c r="V723" i="10"/>
  <c r="D723" i="12" s="1"/>
  <c r="V432" i="10"/>
  <c r="AF432" i="10" s="1"/>
  <c r="AL432" i="10" s="1"/>
  <c r="V550" i="10"/>
  <c r="AD550" i="10" s="1"/>
  <c r="V218" i="10"/>
  <c r="D218" i="12" s="1"/>
  <c r="V831" i="10"/>
  <c r="V687" i="10"/>
  <c r="D687" i="12" s="1"/>
  <c r="V352" i="10"/>
  <c r="D352" i="12" s="1"/>
  <c r="V393" i="10"/>
  <c r="AE393" i="10" s="1"/>
  <c r="V8" i="10"/>
  <c r="AF8" i="10" s="1"/>
  <c r="AL8" i="10" s="1"/>
  <c r="V357" i="10"/>
  <c r="D357" i="12" s="1"/>
  <c r="V647" i="10"/>
  <c r="X647" i="10" s="1"/>
  <c r="V787" i="10"/>
  <c r="V47" i="10"/>
  <c r="AE47" i="10" s="1"/>
  <c r="V448" i="10"/>
  <c r="D448" i="12" s="1"/>
  <c r="V620" i="10"/>
  <c r="AD620" i="10" s="1"/>
  <c r="V659" i="10"/>
  <c r="D659" i="12" s="1"/>
  <c r="V207" i="10"/>
  <c r="V886" i="10"/>
  <c r="D886" i="12" s="1"/>
  <c r="V758" i="10"/>
  <c r="V167" i="10"/>
  <c r="AD167" i="10" s="1"/>
  <c r="V984" i="10"/>
  <c r="AD984" i="10" s="1"/>
  <c r="V532" i="10"/>
  <c r="D532" i="12" s="1"/>
  <c r="V1103" i="10"/>
  <c r="D1103" i="12" s="1"/>
  <c r="V708" i="10"/>
  <c r="AE708" i="10" s="1"/>
  <c r="V1023" i="10"/>
  <c r="D1023" i="12" s="1"/>
  <c r="V3" i="10"/>
  <c r="D3" i="12" s="1"/>
  <c r="V926" i="10"/>
  <c r="AD926" i="10" s="1"/>
  <c r="V526" i="10"/>
  <c r="AD526" i="10" s="1"/>
  <c r="V806" i="10"/>
  <c r="D806" i="12" s="1"/>
  <c r="V1011" i="10"/>
  <c r="D1011" i="12" s="1"/>
  <c r="V376" i="10"/>
  <c r="D376" i="12" s="1"/>
  <c r="V131" i="10"/>
  <c r="D131" i="12" s="1"/>
  <c r="V1149" i="10"/>
  <c r="D1149" i="12" s="1"/>
  <c r="V521" i="10"/>
  <c r="AF521" i="10" s="1"/>
  <c r="AL521" i="10" s="1"/>
  <c r="V1152" i="10"/>
  <c r="AD1152" i="10" s="1"/>
  <c r="V193" i="10"/>
  <c r="D193" i="12" s="1"/>
  <c r="V751" i="10"/>
  <c r="D751" i="12" s="1"/>
  <c r="V826" i="10"/>
  <c r="D826" i="12" s="1"/>
  <c r="V1143" i="10"/>
  <c r="D1143" i="12" s="1"/>
  <c r="V602" i="10"/>
  <c r="D602" i="12" s="1"/>
  <c r="V1051" i="10"/>
  <c r="D1051" i="12" s="1"/>
  <c r="V997" i="10"/>
  <c r="D997" i="12" s="1"/>
  <c r="V690" i="10"/>
  <c r="D690" i="12" s="1"/>
  <c r="V601" i="10"/>
  <c r="AD601" i="10" s="1"/>
  <c r="V140" i="10"/>
  <c r="D140" i="12" s="1"/>
  <c r="V556" i="10"/>
  <c r="X556" i="10" s="1"/>
  <c r="V603" i="10"/>
  <c r="X603" i="10" s="1"/>
  <c r="V837" i="10"/>
  <c r="AD837" i="10" s="1"/>
  <c r="V1194" i="10"/>
  <c r="AD1194" i="10" s="1"/>
  <c r="V973" i="10"/>
  <c r="AD973" i="10" s="1"/>
  <c r="V451" i="10"/>
  <c r="D451" i="12" s="1"/>
  <c r="V688" i="10"/>
  <c r="AE688" i="10" s="1"/>
  <c r="V178" i="10"/>
  <c r="AD178" i="10" s="1"/>
  <c r="V286" i="10"/>
  <c r="D286" i="12" s="1"/>
  <c r="V796" i="10"/>
  <c r="D796" i="12" s="1"/>
  <c r="V1175" i="10"/>
  <c r="D1175" i="12" s="1"/>
  <c r="V843" i="10"/>
  <c r="D843" i="12" s="1"/>
  <c r="V804" i="10"/>
  <c r="D804" i="12" s="1"/>
  <c r="V343" i="10"/>
  <c r="D343" i="12" s="1"/>
  <c r="V414" i="10"/>
  <c r="D414" i="12" s="1"/>
  <c r="V979" i="10"/>
  <c r="D979" i="12" s="1"/>
  <c r="V279" i="10"/>
  <c r="AD279" i="10" s="1"/>
  <c r="V783" i="10"/>
  <c r="AE783" i="10" s="1"/>
  <c r="V808" i="10"/>
  <c r="AE808" i="10" s="1"/>
  <c r="V1147" i="10"/>
  <c r="AD1147" i="10" s="1"/>
  <c r="V498" i="10"/>
  <c r="AD498" i="10" s="1"/>
  <c r="V860" i="10"/>
  <c r="D860" i="12" s="1"/>
  <c r="V636" i="10"/>
  <c r="AD636" i="10" s="1"/>
  <c r="V392" i="10"/>
  <c r="D392" i="12" s="1"/>
  <c r="V395" i="10"/>
  <c r="AD395" i="10" s="1"/>
  <c r="V1156" i="10"/>
  <c r="D1156" i="12" s="1"/>
  <c r="V619" i="10"/>
  <c r="AD619" i="10" s="1"/>
  <c r="V1182" i="10"/>
  <c r="D1182" i="12" s="1"/>
  <c r="V455" i="10"/>
  <c r="D455" i="12" s="1"/>
  <c r="V1092" i="10"/>
  <c r="V116" i="10"/>
  <c r="D116" i="12" s="1"/>
  <c r="V596" i="10"/>
  <c r="AE596" i="10" s="1"/>
  <c r="V173" i="10"/>
  <c r="D173" i="12" s="1"/>
  <c r="V512" i="10"/>
  <c r="AF512" i="10" s="1"/>
  <c r="AL512" i="10" s="1"/>
  <c r="V196" i="10"/>
  <c r="D196" i="12" s="1"/>
  <c r="V232" i="10"/>
  <c r="AD232" i="10" s="1"/>
  <c r="V610" i="10"/>
  <c r="AE610" i="10" s="1"/>
  <c r="V518" i="10"/>
  <c r="AF518" i="10" s="1"/>
  <c r="AL518" i="10" s="1"/>
  <c r="V413" i="10"/>
  <c r="D413" i="12" s="1"/>
  <c r="V720" i="10"/>
  <c r="D720" i="12" s="1"/>
  <c r="V233" i="10"/>
  <c r="AD233" i="10" s="1"/>
  <c r="V396" i="10"/>
  <c r="D396" i="12" s="1"/>
  <c r="V469" i="10"/>
  <c r="D469" i="12" s="1"/>
  <c r="V993" i="10"/>
  <c r="V743" i="10"/>
  <c r="D743" i="12" s="1"/>
  <c r="V585" i="10"/>
  <c r="AD585" i="10" s="1"/>
  <c r="V373" i="10"/>
  <c r="AD373" i="10" s="1"/>
  <c r="V81" i="10"/>
  <c r="AE81" i="10" s="1"/>
  <c r="V168" i="10"/>
  <c r="D168" i="12" s="1"/>
  <c r="V1020" i="10"/>
  <c r="X1020" i="10" s="1"/>
  <c r="V1108" i="10"/>
  <c r="AD1108" i="10" s="1"/>
  <c r="V638" i="10"/>
  <c r="D638" i="12" s="1"/>
  <c r="V590" i="10"/>
  <c r="AF590" i="10" s="1"/>
  <c r="AL590" i="10" s="1"/>
  <c r="V839" i="10"/>
  <c r="D839" i="12" s="1"/>
  <c r="V77" i="10"/>
  <c r="D77" i="12" s="1"/>
  <c r="V768" i="10"/>
  <c r="D768" i="12" s="1"/>
  <c r="V841" i="10"/>
  <c r="AD841" i="10" s="1"/>
  <c r="V275" i="10"/>
  <c r="AF275" i="10" s="1"/>
  <c r="AL275" i="10" s="1"/>
  <c r="V246" i="10"/>
  <c r="D246" i="12" s="1"/>
  <c r="V5" i="10"/>
  <c r="D5" i="12" s="1"/>
  <c r="V1080" i="10"/>
  <c r="D1080" i="12" s="1"/>
  <c r="V342" i="10"/>
  <c r="AF342" i="10" s="1"/>
  <c r="AL342" i="10" s="1"/>
  <c r="V461" i="10"/>
  <c r="D461" i="12" s="1"/>
  <c r="V88" i="10"/>
  <c r="AD88" i="10" s="1"/>
  <c r="V639" i="10"/>
  <c r="D639" i="12" s="1"/>
  <c r="V1071" i="10"/>
  <c r="AF1071" i="10" s="1"/>
  <c r="AL1071" i="10" s="1"/>
  <c r="V786" i="10"/>
  <c r="AD786" i="10" s="1"/>
  <c r="V995" i="10"/>
  <c r="D995" i="12" s="1"/>
  <c r="V793" i="10"/>
  <c r="AV793" i="10" s="1"/>
  <c r="V107" i="10"/>
  <c r="D107" i="12" s="1"/>
  <c r="V1046" i="10"/>
  <c r="AD1046" i="10" s="1"/>
  <c r="V198" i="10"/>
  <c r="V191" i="10"/>
  <c r="D191" i="12" s="1"/>
  <c r="V14" i="10"/>
  <c r="D14" i="12" s="1"/>
  <c r="V325" i="10"/>
  <c r="D325" i="12" s="1"/>
  <c r="V848" i="10"/>
  <c r="D848" i="12" s="1"/>
  <c r="V444" i="10"/>
  <c r="D444" i="12" s="1"/>
  <c r="V1050" i="10"/>
  <c r="AD1050" i="10" s="1"/>
  <c r="V534" i="10"/>
  <c r="V192" i="10"/>
  <c r="D192" i="12" s="1"/>
  <c r="V229" i="10"/>
  <c r="X229" i="10" s="1"/>
  <c r="V648" i="10"/>
  <c r="D648" i="12" s="1"/>
  <c r="V923" i="10"/>
  <c r="D923" i="12" s="1"/>
  <c r="V509" i="10"/>
  <c r="D509" i="12" s="1"/>
  <c r="V274" i="10"/>
  <c r="AD274" i="10" s="1"/>
  <c r="V288" i="10"/>
  <c r="D288" i="12" s="1"/>
  <c r="V642" i="10"/>
  <c r="D642" i="12" s="1"/>
  <c r="V614" i="10"/>
  <c r="AE614" i="10" s="1"/>
  <c r="V194" i="10"/>
  <c r="D194" i="12" s="1"/>
  <c r="V155" i="10"/>
  <c r="D155" i="12" s="1"/>
  <c r="V641" i="10"/>
  <c r="X641" i="10" s="1"/>
  <c r="V474" i="10"/>
  <c r="AD474" i="10" s="1"/>
  <c r="V719" i="10"/>
  <c r="AD719" i="10" s="1"/>
  <c r="V773" i="10"/>
  <c r="D773" i="12" s="1"/>
  <c r="V588" i="10"/>
  <c r="AD588" i="10" s="1"/>
  <c r="V529" i="10"/>
  <c r="D529" i="12" s="1"/>
  <c r="V739" i="10"/>
  <c r="D739" i="12" s="1"/>
  <c r="V800" i="10"/>
  <c r="X800" i="10" s="1"/>
  <c r="V725" i="10"/>
  <c r="D725" i="12" s="1"/>
  <c r="V1061" i="10"/>
  <c r="D1061" i="12" s="1"/>
  <c r="V460" i="10"/>
  <c r="AE460" i="10" s="1"/>
  <c r="V635" i="10"/>
  <c r="D635" i="12" s="1"/>
  <c r="V1122" i="10"/>
  <c r="AD1122" i="10" s="1"/>
  <c r="V387" i="10"/>
  <c r="V101" i="10"/>
  <c r="D101" i="12" s="1"/>
  <c r="V421" i="10"/>
  <c r="D421" i="12" s="1"/>
  <c r="V661" i="10"/>
  <c r="D661" i="12" s="1"/>
  <c r="V1003" i="10"/>
  <c r="AD1003" i="10" s="1"/>
  <c r="V243" i="10"/>
  <c r="D243" i="12" s="1"/>
  <c r="V584" i="10"/>
  <c r="D584" i="12" s="1"/>
  <c r="V134" i="10"/>
  <c r="AD134" i="10" s="1"/>
  <c r="V386" i="10"/>
  <c r="D386" i="12" s="1"/>
  <c r="V747" i="10"/>
  <c r="AD747" i="10" s="1"/>
  <c r="V670" i="10"/>
  <c r="AD670" i="10" s="1"/>
  <c r="V801" i="10"/>
  <c r="AF801" i="10" s="1"/>
  <c r="AL801" i="10" s="1"/>
  <c r="V956" i="10"/>
  <c r="AD956" i="10" s="1"/>
  <c r="V487" i="10"/>
  <c r="D487" i="12" s="1"/>
  <c r="V1000" i="10"/>
  <c r="X1000" i="10" s="1"/>
  <c r="V553" i="10"/>
  <c r="D553" i="12" s="1"/>
  <c r="V478" i="10"/>
  <c r="D478" i="12" s="1"/>
  <c r="V300" i="10"/>
  <c r="AD300" i="10" s="1"/>
  <c r="V57" i="10"/>
  <c r="D57" i="12" s="1"/>
  <c r="V903" i="10"/>
  <c r="D903" i="12" s="1"/>
  <c r="V557" i="10"/>
  <c r="X557" i="10" s="1"/>
  <c r="V727" i="10"/>
  <c r="AD727" i="10" s="1"/>
  <c r="V807" i="10"/>
  <c r="D807" i="12" s="1"/>
  <c r="V525" i="10"/>
  <c r="D525" i="12" s="1"/>
  <c r="V542" i="10"/>
  <c r="AE542" i="10" s="1"/>
  <c r="V502" i="10"/>
  <c r="D502" i="12" s="1"/>
  <c r="V838" i="10"/>
  <c r="D838" i="12" s="1"/>
  <c r="V296" i="10"/>
  <c r="D296" i="12" s="1"/>
  <c r="V1076" i="10"/>
  <c r="D1076" i="12" s="1"/>
  <c r="V879" i="10"/>
  <c r="AD879" i="10" s="1"/>
  <c r="V764" i="10"/>
  <c r="D764" i="12" s="1"/>
  <c r="V381" i="10"/>
  <c r="AD381" i="10" s="1"/>
  <c r="V368" i="10"/>
  <c r="X368" i="10" s="1"/>
  <c r="V742" i="10"/>
  <c r="X742" i="10" s="1"/>
  <c r="V955" i="10"/>
  <c r="AD955" i="10" s="1"/>
  <c r="V408" i="10"/>
  <c r="D408" i="12" s="1"/>
  <c r="V1038" i="10"/>
  <c r="D1038" i="12" s="1"/>
  <c r="V948" i="10"/>
  <c r="D948" i="12" s="1"/>
  <c r="V1025" i="10"/>
  <c r="AD1025" i="10" s="1"/>
  <c r="V108" i="10"/>
  <c r="X108" i="10" s="1"/>
  <c r="V6" i="10"/>
  <c r="AD6" i="10" s="1"/>
  <c r="V89" i="10"/>
  <c r="AE89" i="10" s="1"/>
  <c r="V1019" i="10"/>
  <c r="D1019" i="12" s="1"/>
  <c r="V650" i="10"/>
  <c r="AD650" i="10" s="1"/>
  <c r="V1101" i="10"/>
  <c r="D1101" i="12" s="1"/>
  <c r="V16" i="10"/>
  <c r="D16" i="12" s="1"/>
  <c r="V836" i="10"/>
  <c r="D836" i="12" s="1"/>
  <c r="V628" i="10"/>
  <c r="D628" i="12" s="1"/>
  <c r="V693" i="10"/>
  <c r="D693" i="12" s="1"/>
  <c r="V445" i="10"/>
  <c r="D445" i="12" s="1"/>
  <c r="V500" i="10"/>
  <c r="D500" i="12" s="1"/>
  <c r="V145" i="10"/>
  <c r="D145" i="12" s="1"/>
  <c r="V425" i="10"/>
  <c r="AD425" i="10" s="1"/>
  <c r="V1167" i="10"/>
  <c r="AD1167" i="10" s="1"/>
  <c r="V994" i="10"/>
  <c r="AE994" i="10" s="1"/>
  <c r="V259" i="10"/>
  <c r="D259" i="12" s="1"/>
  <c r="V326" i="10"/>
  <c r="D326" i="12" s="1"/>
  <c r="V187" i="10"/>
  <c r="AD187" i="10" s="1"/>
  <c r="V967" i="10"/>
  <c r="AE967" i="10" s="1"/>
  <c r="V1146" i="10"/>
  <c r="D1146" i="12" s="1"/>
  <c r="V174" i="10"/>
  <c r="D174" i="12" s="1"/>
  <c r="V1057" i="10"/>
  <c r="D1057" i="12" s="1"/>
  <c r="V775" i="10"/>
  <c r="AD775" i="10" s="1"/>
  <c r="V949" i="10"/>
  <c r="AF949" i="10" s="1"/>
  <c r="AL949" i="10" s="1"/>
  <c r="V1099" i="10"/>
  <c r="D1099" i="12" s="1"/>
  <c r="V125" i="10"/>
  <c r="D125" i="12" s="1"/>
  <c r="V640" i="10"/>
  <c r="AD640" i="10" s="1"/>
  <c r="V490" i="10"/>
  <c r="AE490" i="10" s="1"/>
  <c r="V271" i="10"/>
  <c r="D271" i="12" s="1"/>
  <c r="V1055" i="10"/>
  <c r="AD1055" i="10" s="1"/>
  <c r="V634" i="10"/>
  <c r="D634" i="12" s="1"/>
  <c r="V364" i="10"/>
  <c r="D364" i="12" s="1"/>
  <c r="V334" i="10"/>
  <c r="AD334" i="10" s="1"/>
  <c r="V71" i="10"/>
  <c r="V1177" i="10"/>
  <c r="AD1177" i="10" s="1"/>
  <c r="V863" i="10"/>
  <c r="D863" i="12" s="1"/>
  <c r="V217" i="10"/>
  <c r="AD217" i="10" s="1"/>
  <c r="V755" i="10"/>
  <c r="AD755" i="10" s="1"/>
  <c r="V85" i="10"/>
  <c r="X85" i="10" s="1"/>
  <c r="V574" i="10"/>
  <c r="D574" i="12" s="1"/>
  <c r="V846" i="10"/>
  <c r="D846" i="12" s="1"/>
  <c r="V750" i="10"/>
  <c r="AD750" i="10" s="1"/>
  <c r="V315" i="10"/>
  <c r="D315" i="12" s="1"/>
  <c r="V1097" i="10"/>
  <c r="AD1097" i="10" s="1"/>
  <c r="V947" i="10"/>
  <c r="AD947" i="10" s="1"/>
  <c r="V224" i="10"/>
  <c r="D224" i="12" s="1"/>
  <c r="V859" i="10"/>
  <c r="AD859" i="10" s="1"/>
  <c r="V978" i="10"/>
  <c r="AD978" i="10" s="1"/>
  <c r="V737" i="10"/>
  <c r="D737" i="12" s="1"/>
  <c r="V39" i="10"/>
  <c r="D39" i="12" s="1"/>
  <c r="V615" i="10"/>
  <c r="AD615" i="10" s="1"/>
  <c r="V944" i="10"/>
  <c r="AD944" i="10" s="1"/>
  <c r="V709" i="10"/>
  <c r="D709" i="12" s="1"/>
  <c r="V93" i="10"/>
  <c r="X93" i="10" s="1"/>
  <c r="V388" i="10"/>
  <c r="AF388" i="10" s="1"/>
  <c r="AL388" i="10" s="1"/>
  <c r="V83" i="10"/>
  <c r="AD83" i="10" s="1"/>
  <c r="V64" i="10"/>
  <c r="AD64" i="10" s="1"/>
  <c r="V1132" i="10"/>
  <c r="AD1132" i="10" s="1"/>
  <c r="V861" i="10"/>
  <c r="AF861" i="10" s="1"/>
  <c r="AL861" i="10" s="1"/>
  <c r="V61" i="10"/>
  <c r="AF61" i="10" s="1"/>
  <c r="AL61" i="10" s="1"/>
  <c r="V675" i="10"/>
  <c r="D675" i="12" s="1"/>
  <c r="V613" i="10"/>
  <c r="D613" i="12" s="1"/>
  <c r="V365" i="10"/>
  <c r="D365" i="12" s="1"/>
  <c r="V578" i="10"/>
  <c r="X578" i="10" s="1"/>
  <c r="V912" i="10"/>
  <c r="D912" i="12" s="1"/>
  <c r="V868" i="10"/>
  <c r="D868" i="12" s="1"/>
  <c r="V851" i="10"/>
  <c r="AD851" i="10" s="1"/>
  <c r="V400" i="10"/>
  <c r="AD400" i="10" s="1"/>
  <c r="V668" i="10"/>
  <c r="AE668" i="10" s="1"/>
  <c r="V612" i="10"/>
  <c r="D612" i="12" s="1"/>
  <c r="V850" i="10"/>
  <c r="D850" i="12" s="1"/>
  <c r="V769" i="10"/>
  <c r="AF769" i="10" s="1"/>
  <c r="V632" i="10"/>
  <c r="D632" i="12" s="1"/>
  <c r="V9" i="10"/>
  <c r="D9" i="12" s="1"/>
  <c r="V248" i="10"/>
  <c r="V457" i="10"/>
  <c r="AD457" i="10" s="1"/>
  <c r="V845" i="10"/>
  <c r="X845" i="10" s="1"/>
  <c r="V56" i="10"/>
  <c r="X56" i="10" s="1"/>
  <c r="V770" i="10"/>
  <c r="D770" i="12" s="1"/>
  <c r="V1062" i="10"/>
  <c r="AD1062" i="10" s="1"/>
  <c r="V225" i="10"/>
  <c r="D225" i="12" s="1"/>
  <c r="V533" i="10"/>
  <c r="D533" i="12" s="1"/>
  <c r="V1040" i="10"/>
  <c r="D1040" i="12" s="1"/>
  <c r="V763" i="10"/>
  <c r="AE763" i="10" s="1"/>
  <c r="V649" i="10"/>
  <c r="D649" i="12" s="1"/>
  <c r="V293" i="10"/>
  <c r="AD293" i="10" s="1"/>
  <c r="V573" i="10"/>
  <c r="AD573" i="10" s="1"/>
  <c r="V756" i="10"/>
  <c r="D756" i="12" s="1"/>
  <c r="V176" i="10"/>
  <c r="D176" i="12" s="1"/>
  <c r="V418" i="10"/>
  <c r="D418" i="12" s="1"/>
  <c r="V754" i="10"/>
  <c r="D754" i="12" s="1"/>
  <c r="V740" i="10"/>
  <c r="AD740" i="10" s="1"/>
  <c r="V294" i="10"/>
  <c r="D294" i="12" s="1"/>
  <c r="V311" i="10"/>
  <c r="D311" i="12" s="1"/>
  <c r="V942" i="10"/>
  <c r="AD942" i="10" s="1"/>
  <c r="V90" i="10"/>
  <c r="X90" i="10" s="1"/>
  <c r="V1192" i="10"/>
  <c r="D1192" i="12" s="1"/>
  <c r="V772" i="10"/>
  <c r="X772" i="10" s="1"/>
  <c r="V888" i="10"/>
  <c r="AD888" i="10" s="1"/>
  <c r="V1160" i="10"/>
  <c r="D1160" i="12" s="1"/>
  <c r="V589" i="10"/>
  <c r="D589" i="12" s="1"/>
  <c r="V922" i="10"/>
  <c r="AD922" i="10" s="1"/>
  <c r="V127" i="10"/>
  <c r="AD127" i="10" s="1"/>
  <c r="V657" i="10"/>
  <c r="AD657" i="10" s="1"/>
  <c r="V1077" i="10"/>
  <c r="V1121" i="10"/>
  <c r="X1121" i="10" s="1"/>
  <c r="V152" i="10"/>
  <c r="D152" i="12" s="1"/>
  <c r="V1043" i="10"/>
  <c r="D1043" i="12" s="1"/>
  <c r="V1068" i="10"/>
  <c r="D1068" i="12" s="1"/>
  <c r="V790" i="10"/>
  <c r="D790" i="12" s="1"/>
  <c r="V1012" i="10"/>
  <c r="AD1012" i="10" s="1"/>
  <c r="V964" i="10"/>
  <c r="D964" i="12" s="1"/>
  <c r="V813" i="10"/>
  <c r="V925" i="10"/>
  <c r="D925" i="12" s="1"/>
  <c r="V852" i="10"/>
  <c r="AD852" i="10" s="1"/>
  <c r="V710" i="10"/>
  <c r="X710" i="10" s="1"/>
  <c r="V677" i="10"/>
  <c r="D677" i="12" s="1"/>
  <c r="V1024" i="10"/>
  <c r="AD1024" i="10" s="1"/>
  <c r="V1009" i="10"/>
  <c r="D1009" i="12" s="1"/>
  <c r="V402" i="10"/>
  <c r="D402" i="12" s="1"/>
  <c r="V1041" i="10"/>
  <c r="AD1041" i="10" s="1"/>
  <c r="V262" i="10"/>
  <c r="AD262" i="10" s="1"/>
  <c r="V289" i="10"/>
  <c r="D289" i="12" s="1"/>
  <c r="V340" i="10"/>
  <c r="D340" i="12" s="1"/>
  <c r="V476" i="10"/>
  <c r="AD476" i="10" s="1"/>
  <c r="V313" i="10"/>
  <c r="AF313" i="10" s="1"/>
  <c r="AL313" i="10" s="1"/>
  <c r="V681" i="10"/>
  <c r="AD681" i="10" s="1"/>
  <c r="V308" i="10"/>
  <c r="D308" i="12" s="1"/>
  <c r="V126" i="10"/>
  <c r="X126" i="10" s="1"/>
  <c r="V424" i="10"/>
  <c r="AD424" i="10" s="1"/>
  <c r="V241" i="10"/>
  <c r="D241" i="12" s="1"/>
  <c r="V931" i="10"/>
  <c r="AD931" i="10" s="1"/>
  <c r="V1131" i="10"/>
  <c r="AD1131" i="10" s="1"/>
  <c r="V397" i="10"/>
  <c r="AD397" i="10" s="1"/>
  <c r="V530" i="10"/>
  <c r="AD530" i="10" s="1"/>
  <c r="V185" i="10"/>
  <c r="AD185" i="10" s="1"/>
  <c r="V684" i="10"/>
  <c r="D684" i="12" s="1"/>
  <c r="V1124" i="10"/>
  <c r="D1124" i="12" s="1"/>
  <c r="V282" i="10"/>
  <c r="D282" i="12" s="1"/>
  <c r="V270" i="10"/>
  <c r="AD270" i="10" s="1"/>
  <c r="V513" i="10"/>
  <c r="D513" i="12" s="1"/>
  <c r="V1027" i="10"/>
  <c r="D1027" i="12" s="1"/>
  <c r="V887" i="10"/>
  <c r="D887" i="12" s="1"/>
  <c r="V38" i="10"/>
  <c r="AE38" i="10" s="1"/>
  <c r="V268" i="10"/>
  <c r="AD268" i="10" s="1"/>
  <c r="V832" i="10"/>
  <c r="AD832" i="10" s="1"/>
  <c r="V594" i="10"/>
  <c r="AD594" i="10" s="1"/>
  <c r="V464" i="10"/>
  <c r="AD464" i="10" s="1"/>
  <c r="V458" i="10"/>
  <c r="D458" i="12" s="1"/>
  <c r="V1091" i="10"/>
  <c r="D1091" i="12" s="1"/>
  <c r="V4" i="10"/>
  <c r="D4" i="12" s="1"/>
  <c r="V938" i="10"/>
  <c r="D938" i="12" s="1"/>
  <c r="V662" i="10"/>
  <c r="D662" i="12" s="1"/>
  <c r="V401" i="10"/>
  <c r="AD401" i="10" s="1"/>
  <c r="V17" i="10"/>
  <c r="V78" i="10"/>
  <c r="D78" i="12" s="1"/>
  <c r="V165" i="10"/>
  <c r="AD165" i="10" s="1"/>
  <c r="V335" i="10"/>
  <c r="D335" i="12" s="1"/>
  <c r="V1100" i="10"/>
  <c r="D1100" i="12" s="1"/>
  <c r="V760" i="10"/>
  <c r="D760" i="12" s="1"/>
  <c r="V757" i="10"/>
  <c r="AD757" i="10" s="1"/>
  <c r="V766" i="10"/>
  <c r="AD766" i="10" s="1"/>
  <c r="V570" i="10"/>
  <c r="D570" i="12" s="1"/>
  <c r="V928" i="10"/>
  <c r="D928" i="12" s="1"/>
  <c r="V824" i="10"/>
  <c r="D824" i="12" s="1"/>
  <c r="V791" i="10"/>
  <c r="D791" i="12" s="1"/>
  <c r="V885" i="10"/>
  <c r="D885" i="12" s="1"/>
  <c r="V1135" i="10"/>
  <c r="D1135" i="12" s="1"/>
  <c r="V135" i="10"/>
  <c r="D135" i="12" s="1"/>
  <c r="V181" i="10"/>
  <c r="AD181" i="10" s="1"/>
  <c r="V1117" i="10"/>
  <c r="D1117" i="12" s="1"/>
  <c r="V1170" i="10"/>
  <c r="AD1170" i="10" s="1"/>
  <c r="V475" i="10"/>
  <c r="D475" i="12" s="1"/>
  <c r="V957" i="10"/>
  <c r="AD957" i="10" s="1"/>
  <c r="V449" i="10"/>
  <c r="AD449" i="10" s="1"/>
  <c r="V287" i="10"/>
  <c r="D287" i="12" s="1"/>
  <c r="V143" i="10"/>
  <c r="AD143" i="10" s="1"/>
  <c r="V438" i="10"/>
  <c r="AD438" i="10" s="1"/>
  <c r="V283" i="10"/>
  <c r="D283" i="12" s="1"/>
  <c r="V548" i="10"/>
  <c r="AD548" i="10" s="1"/>
  <c r="V1082" i="10"/>
  <c r="AE1082" i="10" s="1"/>
  <c r="V250" i="10"/>
  <c r="D250" i="12" s="1"/>
  <c r="V1125" i="10"/>
  <c r="V186" i="10"/>
  <c r="AD186" i="10" s="1"/>
  <c r="V569" i="10"/>
  <c r="AD569" i="10" s="1"/>
  <c r="V327" i="10"/>
  <c r="D327" i="12" s="1"/>
  <c r="V568" i="10"/>
  <c r="AF568" i="10" s="1"/>
  <c r="AL568" i="10" s="1"/>
  <c r="V871" i="10"/>
  <c r="D871" i="12" s="1"/>
  <c r="V867" i="10"/>
  <c r="AD867" i="10" s="1"/>
  <c r="V129" i="10"/>
  <c r="AD129" i="10" s="1"/>
  <c r="V880" i="10"/>
  <c r="D880" i="12" s="1"/>
  <c r="V253" i="10"/>
  <c r="D253" i="12" s="1"/>
  <c r="V1054" i="10"/>
  <c r="AD1054" i="10" s="1"/>
  <c r="V1034" i="10"/>
  <c r="AD1034" i="10" s="1"/>
  <c r="V562" i="10"/>
  <c r="AD562" i="10" s="1"/>
  <c r="V433" i="10"/>
  <c r="AE433" i="10" s="1"/>
  <c r="V643" i="10"/>
  <c r="V390" i="10"/>
  <c r="D390" i="12" s="1"/>
  <c r="V853" i="10"/>
  <c r="AD853" i="10" s="1"/>
  <c r="V952" i="10"/>
  <c r="D952" i="12" s="1"/>
  <c r="V439" i="10"/>
  <c r="AD439" i="10" s="1"/>
  <c r="V599" i="10"/>
  <c r="V872" i="10"/>
  <c r="AD872" i="10" s="1"/>
  <c r="V1093" i="10"/>
  <c r="D1093" i="12" s="1"/>
  <c r="V968" i="10"/>
  <c r="D968" i="12" s="1"/>
  <c r="V41" i="10"/>
  <c r="D41" i="12" s="1"/>
  <c r="V1186" i="10"/>
  <c r="D1186" i="12" s="1"/>
  <c r="V1116" i="10"/>
  <c r="D1116" i="12" s="1"/>
  <c r="V42" i="10"/>
  <c r="AE42" i="10" s="1"/>
  <c r="V674" i="10"/>
  <c r="D674" i="12" s="1"/>
  <c r="V728" i="10"/>
  <c r="D728" i="12" s="1"/>
  <c r="V667" i="10"/>
  <c r="D667" i="12" s="1"/>
  <c r="V626" i="10"/>
  <c r="AD626" i="10" s="1"/>
  <c r="V992" i="10"/>
  <c r="D992" i="12" s="1"/>
  <c r="V656" i="10"/>
  <c r="D656" i="12" s="1"/>
  <c r="V473" i="10"/>
  <c r="D473" i="12" s="1"/>
  <c r="V583" i="10"/>
  <c r="D583" i="12" s="1"/>
  <c r="V893" i="10"/>
  <c r="D893" i="12" s="1"/>
  <c r="V309" i="10"/>
  <c r="D309" i="12" s="1"/>
  <c r="V1180" i="10"/>
  <c r="D1180" i="12" s="1"/>
  <c r="V1089" i="10"/>
  <c r="D1089" i="12" s="1"/>
  <c r="V840" i="10"/>
  <c r="D840" i="12" s="1"/>
  <c r="V310" i="10"/>
  <c r="AE310" i="10" s="1"/>
  <c r="V27" i="10"/>
  <c r="D27" i="12" s="1"/>
  <c r="V1191" i="10"/>
  <c r="D1191" i="12" s="1"/>
  <c r="V686" i="10"/>
  <c r="AD686" i="10" s="1"/>
  <c r="V732" i="10"/>
  <c r="D732" i="12" s="1"/>
  <c r="V197" i="10"/>
  <c r="D197" i="12" s="1"/>
  <c r="V65" i="10"/>
  <c r="AD65" i="10" s="1"/>
  <c r="V82" i="10"/>
  <c r="D82" i="12" s="1"/>
  <c r="V59" i="10"/>
  <c r="AD59" i="10" s="1"/>
  <c r="V1030" i="10"/>
  <c r="D1030" i="12" s="1"/>
  <c r="V179" i="10"/>
  <c r="AD179" i="10" s="1"/>
  <c r="V902" i="10"/>
  <c r="D902" i="12" s="1"/>
  <c r="V546" i="10"/>
  <c r="D546" i="12" s="1"/>
  <c r="V1114" i="10"/>
  <c r="AD1114" i="10" s="1"/>
  <c r="V92" i="10"/>
  <c r="D92" i="12" s="1"/>
  <c r="V998" i="10"/>
  <c r="AE998" i="10" s="1"/>
  <c r="V682" i="10"/>
  <c r="V745" i="10"/>
  <c r="AD745" i="10" s="1"/>
  <c r="V1109" i="10"/>
  <c r="D1109" i="12" s="1"/>
  <c r="V1187" i="10"/>
  <c r="D1187" i="12" s="1"/>
  <c r="V701" i="10"/>
  <c r="AD701" i="10" s="1"/>
  <c r="V332" i="10"/>
  <c r="AD332" i="10" s="1"/>
  <c r="V405" i="10"/>
  <c r="AD405" i="10" s="1"/>
  <c r="V935" i="10"/>
  <c r="AD935" i="10" s="1"/>
  <c r="V1049" i="10"/>
  <c r="X1049" i="10" s="1"/>
  <c r="V19" i="10"/>
  <c r="D19" i="12" s="1"/>
  <c r="V328" i="10"/>
  <c r="D328" i="12" s="1"/>
  <c r="V678" i="10"/>
  <c r="D678" i="12" s="1"/>
  <c r="V990" i="10"/>
  <c r="D990" i="12" s="1"/>
  <c r="V430" i="10"/>
  <c r="AE430" i="10" s="1"/>
  <c r="V362" i="10"/>
  <c r="D362" i="12" s="1"/>
  <c r="V805" i="10"/>
  <c r="AD805" i="10" s="1"/>
  <c r="V428" i="10"/>
  <c r="D428" i="12" s="1"/>
  <c r="V117" i="10"/>
  <c r="D117" i="12" s="1"/>
  <c r="V561" i="10"/>
  <c r="AD561" i="10" s="1"/>
  <c r="V815" i="10"/>
  <c r="AD815" i="10" s="1"/>
  <c r="V651" i="10"/>
  <c r="V1087" i="10"/>
  <c r="V223" i="10"/>
  <c r="AD223" i="10" s="1"/>
  <c r="V382" i="10"/>
  <c r="AD382" i="10" s="1"/>
  <c r="V1031" i="10"/>
  <c r="AD1031" i="10" s="1"/>
  <c r="V201" i="10"/>
  <c r="D201" i="12" s="1"/>
  <c r="V999" i="10"/>
  <c r="AD999" i="10" s="1"/>
  <c r="V297" i="10"/>
  <c r="X297" i="10" s="1"/>
  <c r="V644" i="10"/>
  <c r="D644" i="12" s="1"/>
  <c r="V1139" i="10"/>
  <c r="AD1139" i="10" s="1"/>
  <c r="V829" i="10"/>
  <c r="AF829" i="10" s="1"/>
  <c r="AL829" i="10" s="1"/>
  <c r="V961" i="10"/>
  <c r="D961" i="12" s="1"/>
  <c r="V171" i="10"/>
  <c r="D171" i="12" s="1"/>
  <c r="V974" i="10"/>
  <c r="D974" i="12" s="1"/>
  <c r="V1018" i="10"/>
  <c r="AD1018" i="10" s="1"/>
  <c r="V1002" i="10"/>
  <c r="D1002" i="12" s="1"/>
  <c r="V607" i="10"/>
  <c r="AD607" i="10" s="1"/>
  <c r="V205" i="10"/>
  <c r="D205" i="12" s="1"/>
  <c r="V951" i="10"/>
  <c r="X951" i="10" s="1"/>
  <c r="V954" i="10"/>
  <c r="X954" i="10" s="1"/>
  <c r="V84" i="10"/>
  <c r="V1153" i="10"/>
  <c r="X1153" i="10" s="1"/>
  <c r="V818" i="10"/>
  <c r="AD818" i="10" s="1"/>
  <c r="V765" i="10"/>
  <c r="AD765" i="10" s="1"/>
  <c r="V427" i="10"/>
  <c r="AD427" i="10" s="1"/>
  <c r="V360" i="10"/>
  <c r="D360" i="12" s="1"/>
  <c r="V306" i="10"/>
  <c r="D306" i="12" s="1"/>
  <c r="V32" i="10"/>
  <c r="D32" i="12" s="1"/>
  <c r="V409" i="10"/>
  <c r="V789" i="10"/>
  <c r="AD789" i="10" s="1"/>
  <c r="V510" i="10"/>
  <c r="D510" i="12" s="1"/>
  <c r="V1179" i="10"/>
  <c r="X1179" i="10" s="1"/>
  <c r="V1014" i="10"/>
  <c r="D1014" i="12" s="1"/>
  <c r="V63" i="10"/>
  <c r="AD63" i="10" s="1"/>
  <c r="V943" i="10"/>
  <c r="AD943" i="10" s="1"/>
  <c r="V946" i="10"/>
  <c r="V669" i="10"/>
  <c r="D669" i="12" s="1"/>
  <c r="V980" i="10"/>
  <c r="D980" i="12" s="1"/>
  <c r="V501" i="10"/>
  <c r="AD501" i="10" s="1"/>
  <c r="V1059" i="10"/>
  <c r="D1059" i="12" s="1"/>
  <c r="V466" i="10"/>
  <c r="AE466" i="10" s="1"/>
  <c r="V118" i="10"/>
  <c r="D118" i="12" s="1"/>
  <c r="V1042" i="10"/>
  <c r="AD1042" i="10" s="1"/>
  <c r="V330" i="10"/>
  <c r="X330" i="10" s="1"/>
  <c r="V1007" i="10"/>
  <c r="V666" i="10"/>
  <c r="D666" i="12" s="1"/>
  <c r="V322" i="10"/>
  <c r="AD322" i="10" s="1"/>
  <c r="V539" i="10"/>
  <c r="D539" i="12" s="1"/>
  <c r="V292" i="10"/>
  <c r="D292" i="12" s="1"/>
  <c r="V617" i="10"/>
  <c r="AF617" i="10" s="1"/>
  <c r="AL617" i="10" s="1"/>
  <c r="V882" i="10"/>
  <c r="V503" i="10"/>
  <c r="D503" i="12" s="1"/>
  <c r="V423" i="10"/>
  <c r="AD423" i="10" s="1"/>
  <c r="V367" i="10"/>
  <c r="D367" i="12" s="1"/>
  <c r="V730" i="10"/>
  <c r="AD730" i="10" s="1"/>
  <c r="V972" i="10"/>
  <c r="D972" i="12" s="1"/>
  <c r="V816" i="10"/>
  <c r="D816" i="12" s="1"/>
  <c r="V496" i="10"/>
  <c r="D496" i="12" s="1"/>
  <c r="V627" i="10"/>
  <c r="D627" i="12" s="1"/>
  <c r="V1163" i="10"/>
  <c r="AD1163" i="10" s="1"/>
  <c r="V1165" i="10"/>
  <c r="D1165" i="12" s="1"/>
  <c r="V921" i="10"/>
  <c r="D921" i="12" s="1"/>
  <c r="V565" i="10"/>
  <c r="X565" i="10" s="1"/>
  <c r="V234" i="10"/>
  <c r="AD234" i="10" s="1"/>
  <c r="V1088" i="10"/>
  <c r="AD1088" i="10" s="1"/>
  <c r="V673" i="10"/>
  <c r="D673" i="12" s="1"/>
  <c r="V44" i="10"/>
  <c r="D44" i="12" s="1"/>
  <c r="V625" i="10"/>
  <c r="D625" i="12" s="1"/>
  <c r="V567" i="10"/>
  <c r="AD567" i="10" s="1"/>
  <c r="V102" i="10"/>
  <c r="D102" i="12" s="1"/>
  <c r="V1123" i="10"/>
  <c r="AD1123" i="10" s="1"/>
  <c r="V1060" i="10"/>
  <c r="AD1060" i="10" s="1"/>
  <c r="V746" i="10"/>
  <c r="AD746" i="10" s="1"/>
  <c r="V876" i="10"/>
  <c r="D876" i="12" s="1"/>
  <c r="V299" i="10"/>
  <c r="AD299" i="10" s="1"/>
  <c r="V803" i="10"/>
  <c r="D803" i="12" s="1"/>
  <c r="V892" i="10"/>
  <c r="D892" i="12" s="1"/>
  <c r="V830" i="10"/>
  <c r="AF830" i="10" s="1"/>
  <c r="AL830" i="10" s="1"/>
  <c r="V295" i="10"/>
  <c r="V864" i="10"/>
  <c r="AF864" i="10" s="1"/>
  <c r="AL864" i="10" s="1"/>
  <c r="V1111" i="10"/>
  <c r="D1111" i="12" s="1"/>
  <c r="V1112" i="10"/>
  <c r="AD1112" i="10" s="1"/>
  <c r="V828" i="10"/>
  <c r="AD828" i="10" s="1"/>
  <c r="V33" i="10"/>
  <c r="D33" i="12" s="1"/>
  <c r="V934" i="10"/>
  <c r="D934" i="12" s="1"/>
  <c r="V280" i="10"/>
  <c r="D280" i="12" s="1"/>
  <c r="V69" i="10"/>
  <c r="AD69" i="10" s="1"/>
  <c r="V470" i="10"/>
  <c r="AF470" i="10" s="1"/>
  <c r="AL470" i="10" s="1"/>
  <c r="V290" i="10"/>
  <c r="AD290" i="10" s="1"/>
  <c r="V711" i="10"/>
  <c r="D711" i="12" s="1"/>
  <c r="V1053" i="10"/>
  <c r="D1053" i="12" s="1"/>
  <c r="V350" i="10"/>
  <c r="AF350" i="10" s="1"/>
  <c r="AL350" i="10" s="1"/>
  <c r="V736" i="10"/>
  <c r="AD736" i="10" s="1"/>
  <c r="V591" i="10"/>
  <c r="AD591" i="10" s="1"/>
  <c r="V1148" i="10"/>
  <c r="AE1148" i="10" s="1"/>
  <c r="V1158" i="10"/>
  <c r="AD1158" i="10" s="1"/>
  <c r="V1105" i="10"/>
  <c r="D1105" i="12" s="1"/>
  <c r="V624" i="10"/>
  <c r="D624" i="12" s="1"/>
  <c r="V809" i="10"/>
  <c r="D809" i="12" s="1"/>
  <c r="V1058" i="10"/>
  <c r="AD1058" i="10" s="1"/>
  <c r="V511" i="10"/>
  <c r="V1070" i="10"/>
  <c r="D1070" i="12" s="1"/>
  <c r="V779" i="10"/>
  <c r="D779" i="12" s="1"/>
  <c r="V915" i="10"/>
  <c r="D915" i="12" s="1"/>
  <c r="V1150" i="10"/>
  <c r="D1150" i="12" s="1"/>
  <c r="V771" i="10"/>
  <c r="AF771" i="10" s="1"/>
  <c r="AL771" i="10" s="1"/>
  <c r="V977" i="10"/>
  <c r="AD977" i="10" s="1"/>
  <c r="V305" i="10"/>
  <c r="D305" i="12" s="1"/>
  <c r="V1079" i="10"/>
  <c r="AD1079" i="10" s="1"/>
  <c r="V1037" i="10"/>
  <c r="AD1037" i="10" s="1"/>
  <c r="V989" i="10"/>
  <c r="AD989" i="10" s="1"/>
  <c r="V182" i="10"/>
  <c r="AD182" i="10" s="1"/>
  <c r="V581" i="10"/>
  <c r="V172" i="10"/>
  <c r="AD172" i="10" s="1"/>
  <c r="V211" i="10"/>
  <c r="V462" i="10"/>
  <c r="AD462" i="10" s="1"/>
  <c r="V870" i="10"/>
  <c r="AD870" i="10" s="1"/>
  <c r="V873" i="10"/>
  <c r="AD873" i="10" s="1"/>
  <c r="V918" i="10"/>
  <c r="AD918" i="10" s="1"/>
  <c r="V895" i="10"/>
  <c r="D895" i="12" s="1"/>
  <c r="V901" i="10"/>
  <c r="V535" i="10"/>
  <c r="AD535" i="10" s="1"/>
  <c r="V119" i="10"/>
  <c r="AE119" i="10" s="1"/>
  <c r="V281" i="10"/>
  <c r="AF281" i="10" s="1"/>
  <c r="AL281" i="10" s="1"/>
  <c r="V795" i="10"/>
  <c r="D795" i="12" s="1"/>
  <c r="V98" i="10"/>
  <c r="V123" i="10"/>
  <c r="D123" i="12" s="1"/>
  <c r="V236" i="10"/>
  <c r="AD236" i="10" s="1"/>
  <c r="V761" i="10"/>
  <c r="D761" i="12" s="1"/>
  <c r="V733" i="10"/>
  <c r="D733" i="12" s="1"/>
  <c r="V722" i="10"/>
  <c r="D722" i="12" s="1"/>
  <c r="V247" i="10"/>
  <c r="AD247" i="10" s="1"/>
  <c r="V261" i="10"/>
  <c r="AD261" i="10" s="1"/>
  <c r="V802" i="10"/>
  <c r="AD802" i="10" s="1"/>
  <c r="V55" i="10"/>
  <c r="AD55" i="10" s="1"/>
  <c r="V523" i="10"/>
  <c r="AD523" i="10" s="1"/>
  <c r="V237" i="10"/>
  <c r="AD237" i="10" s="1"/>
  <c r="V220" i="10"/>
  <c r="D220" i="12" s="1"/>
  <c r="V284" i="10"/>
  <c r="D284" i="12" s="1"/>
  <c r="V792" i="10"/>
  <c r="V718" i="10"/>
  <c r="V731" i="10"/>
  <c r="D731" i="12" s="1"/>
  <c r="V899" i="10"/>
  <c r="D899" i="12" s="1"/>
  <c r="V1072" i="10"/>
  <c r="AD1072" i="10" s="1"/>
  <c r="V595" i="10"/>
  <c r="D595" i="12" s="1"/>
  <c r="V1172" i="10"/>
  <c r="AD1172" i="10" s="1"/>
  <c r="V1033" i="10"/>
  <c r="AE1033" i="10" s="1"/>
  <c r="V317" i="10"/>
  <c r="AD317" i="10" s="1"/>
  <c r="V658" i="10"/>
  <c r="D658" i="12" s="1"/>
  <c r="V374" i="10"/>
  <c r="AE374" i="10" s="1"/>
  <c r="V965" i="10"/>
  <c r="AD965" i="10" s="1"/>
  <c r="V1141" i="10"/>
  <c r="D1141" i="12" s="1"/>
  <c r="V705" i="10"/>
  <c r="V1129" i="10"/>
  <c r="D1129" i="12" s="1"/>
  <c r="V346" i="10"/>
  <c r="D346" i="12" s="1"/>
  <c r="V1155" i="10"/>
  <c r="D1155" i="12" s="1"/>
  <c r="V900" i="10"/>
  <c r="D900" i="12" s="1"/>
  <c r="V551" i="10"/>
  <c r="D551" i="12" s="1"/>
  <c r="V209" i="10"/>
  <c r="D209" i="12" s="1"/>
  <c r="V441" i="10"/>
  <c r="AD441" i="10" s="1"/>
  <c r="V958" i="10"/>
  <c r="D958" i="12" s="1"/>
  <c r="V883" i="10"/>
  <c r="AD883" i="10" s="1"/>
  <c r="V963" i="10"/>
  <c r="D963" i="12" s="1"/>
  <c r="V407" i="10"/>
  <c r="AD407" i="10" s="1"/>
  <c r="V937" i="10"/>
  <c r="D937" i="12" s="1"/>
  <c r="V1142" i="10"/>
  <c r="AD1142" i="10" s="1"/>
  <c r="V49" i="10"/>
  <c r="D49" i="12" s="1"/>
  <c r="V1095" i="10"/>
  <c r="V472" i="10"/>
  <c r="D472" i="12" s="1"/>
  <c r="V1174" i="10"/>
  <c r="V559" i="10"/>
  <c r="D559" i="12" s="1"/>
  <c r="V468" i="10"/>
  <c r="AD468" i="10" s="1"/>
  <c r="V908" i="10"/>
  <c r="AD908" i="10" s="1"/>
  <c r="V459" i="10"/>
  <c r="AD459" i="10" s="1"/>
  <c r="V929" i="10"/>
  <c r="D929" i="12" s="1"/>
  <c r="V344" i="10"/>
  <c r="AD344" i="10" s="1"/>
  <c r="V48" i="10"/>
  <c r="X48" i="10" s="1"/>
  <c r="V1010" i="10"/>
  <c r="AD1010" i="10" s="1"/>
  <c r="V664" i="10"/>
  <c r="V865" i="10"/>
  <c r="AD865" i="10" s="1"/>
  <c r="V1096" i="10"/>
  <c r="AD1096" i="10" s="1"/>
  <c r="V80" i="10"/>
  <c r="D80" i="12" s="1"/>
  <c r="V547" i="10"/>
  <c r="AD547" i="10" s="1"/>
  <c r="V190" i="10"/>
  <c r="D190" i="12" s="1"/>
  <c r="V86" i="10"/>
  <c r="V122" i="10"/>
  <c r="D122" i="12" s="1"/>
  <c r="V645" i="10"/>
  <c r="AD645" i="10" s="1"/>
  <c r="V1035" i="10"/>
  <c r="D1035" i="12" s="1"/>
  <c r="V254" i="10"/>
  <c r="D254" i="12" s="1"/>
  <c r="V146" i="10"/>
  <c r="AD146" i="10" s="1"/>
  <c r="V962" i="10"/>
  <c r="AD962" i="10" s="1"/>
  <c r="V446" i="10"/>
  <c r="AD446" i="10" s="1"/>
  <c r="V1128" i="10"/>
  <c r="D1128" i="12" s="1"/>
  <c r="V528" i="10"/>
  <c r="AD528" i="10" s="1"/>
  <c r="V481" i="10"/>
  <c r="D481" i="12" s="1"/>
  <c r="V788" i="10"/>
  <c r="V75" i="10"/>
  <c r="V1115" i="10"/>
  <c r="AD1115" i="10" s="1"/>
  <c r="V1162" i="10"/>
  <c r="V1184" i="10"/>
  <c r="D1184" i="12" s="1"/>
  <c r="V12" i="10"/>
  <c r="D12" i="12" s="1"/>
  <c r="V987" i="10"/>
  <c r="X987" i="10" s="1"/>
  <c r="V1126" i="10"/>
  <c r="AD1126" i="10" s="1"/>
  <c r="V267" i="10"/>
  <c r="AD267" i="10" s="1"/>
  <c r="V1017" i="10"/>
  <c r="V785" i="10"/>
  <c r="AD785" i="10" s="1"/>
  <c r="V508" i="10"/>
  <c r="AD508" i="10" s="1"/>
  <c r="V482" i="10"/>
  <c r="AF482" i="10" s="1"/>
  <c r="AL482" i="10" s="1"/>
  <c r="V36" i="10"/>
  <c r="AD36" i="10" s="1"/>
  <c r="V277" i="10"/>
  <c r="AD277" i="10" s="1"/>
  <c r="V264" i="10"/>
  <c r="V1016" i="10"/>
  <c r="AD1016" i="10" s="1"/>
  <c r="V1028" i="10"/>
  <c r="D1028" i="12" s="1"/>
  <c r="V50" i="10"/>
  <c r="D50" i="12" s="1"/>
  <c r="V258" i="10"/>
  <c r="D258" i="12" s="1"/>
  <c r="V415" i="10"/>
  <c r="D415" i="12" s="1"/>
  <c r="V1081" i="10"/>
  <c r="D1081" i="12" s="1"/>
  <c r="V338" i="10"/>
  <c r="AD338" i="10" s="1"/>
  <c r="V706" i="10"/>
  <c r="D706" i="12" s="1"/>
  <c r="V554" i="10"/>
  <c r="X554" i="10" s="1"/>
  <c r="V23" i="10"/>
  <c r="D23" i="12" s="1"/>
  <c r="V592" i="10"/>
  <c r="AE592" i="10" s="1"/>
  <c r="V158" i="10"/>
  <c r="D158" i="12" s="1"/>
  <c r="V689" i="10"/>
  <c r="V794" i="10"/>
  <c r="V53" i="10"/>
  <c r="V1098" i="10"/>
  <c r="AD1098" i="10" s="1"/>
  <c r="V493" i="10"/>
  <c r="V985" i="10"/>
  <c r="D985" i="12" s="1"/>
  <c r="V159" i="10"/>
  <c r="AD159" i="10" s="1"/>
  <c r="V339" i="10"/>
  <c r="AD339" i="10" s="1"/>
  <c r="V699" i="10"/>
  <c r="AD699" i="10" s="1"/>
  <c r="V683" i="10"/>
  <c r="D683" i="12" s="1"/>
  <c r="V285" i="10"/>
  <c r="D285" i="12" s="1"/>
  <c r="V695" i="10"/>
  <c r="AD695" i="10" s="1"/>
  <c r="V782" i="10"/>
  <c r="D782" i="12" s="1"/>
  <c r="V442" i="10"/>
  <c r="AD442" i="10" s="1"/>
  <c r="V494" i="10"/>
  <c r="V579" i="10"/>
  <c r="AD579" i="10" s="1"/>
  <c r="V370" i="10"/>
  <c r="V904" i="10"/>
  <c r="V959" i="10"/>
  <c r="D959" i="12" s="1"/>
  <c r="V79" i="10"/>
  <c r="AD79" i="10" s="1"/>
  <c r="V911" i="10"/>
  <c r="D911" i="12" s="1"/>
  <c r="V721" i="10"/>
  <c r="AD721" i="10" s="1"/>
  <c r="V124" i="10"/>
  <c r="D124" i="12" s="1"/>
  <c r="V519" i="10"/>
  <c r="V945" i="10"/>
  <c r="X945" i="10" s="1"/>
  <c r="V833" i="10"/>
  <c r="AD833" i="10" s="1"/>
  <c r="V28" i="10"/>
  <c r="AD28" i="10" s="1"/>
  <c r="V239" i="10"/>
  <c r="AE239" i="10" s="1"/>
  <c r="V1013" i="10"/>
  <c r="AD1013" i="10" s="1"/>
  <c r="V986" i="10"/>
  <c r="V110" i="10"/>
  <c r="D110" i="12" s="1"/>
  <c r="V842" i="10"/>
  <c r="V74" i="10"/>
  <c r="D74" i="12" s="1"/>
  <c r="V169" i="10"/>
  <c r="D169" i="12" s="1"/>
  <c r="V216" i="10"/>
  <c r="X216" i="10" s="1"/>
  <c r="V391" i="10"/>
  <c r="D391" i="12" s="1"/>
  <c r="V202" i="10"/>
  <c r="D202" i="12" s="1"/>
  <c r="V936" i="10"/>
  <c r="AD936" i="10" s="1"/>
  <c r="V514" i="10"/>
  <c r="AE514" i="10" s="1"/>
  <c r="V132" i="10"/>
  <c r="D132" i="12" s="1"/>
  <c r="V213" i="10"/>
  <c r="AF213" i="10" s="1"/>
  <c r="AL213" i="10" s="1"/>
  <c r="V891" i="10"/>
  <c r="AF891" i="10" s="1"/>
  <c r="AL891" i="10" s="1"/>
  <c r="V679" i="10"/>
  <c r="V834" i="10"/>
  <c r="V606" i="10"/>
  <c r="AD606" i="10" s="1"/>
  <c r="V616" i="10"/>
  <c r="V154" i="10"/>
  <c r="AD154" i="10" s="1"/>
  <c r="V437" i="10"/>
  <c r="AD437" i="10" s="1"/>
  <c r="V34" i="10"/>
  <c r="D34" i="12" s="1"/>
  <c r="V540" i="10"/>
  <c r="X540" i="10" s="1"/>
  <c r="V812" i="10"/>
  <c r="D812" i="12" s="1"/>
  <c r="V1066" i="10"/>
  <c r="V629" i="10"/>
  <c r="AE629" i="10" s="1"/>
  <c r="V572" i="10"/>
  <c r="V1189" i="10"/>
  <c r="D1189" i="12" s="1"/>
  <c r="V1078" i="10"/>
  <c r="AF1078" i="10" s="1"/>
  <c r="AL1078" i="10" s="1"/>
  <c r="V1168" i="10"/>
  <c r="V188" i="10"/>
  <c r="V817" i="10"/>
  <c r="AD817" i="10" s="1"/>
  <c r="V691" i="10"/>
  <c r="X691" i="10" s="1"/>
  <c r="V99" i="10"/>
  <c r="D99" i="12" s="1"/>
  <c r="V304" i="10"/>
  <c r="D304" i="12" s="1"/>
  <c r="V549" i="10"/>
  <c r="D549" i="12" s="1"/>
  <c r="V558" i="10"/>
  <c r="D558" i="12" s="1"/>
  <c r="V112" i="10"/>
  <c r="AD112" i="10" s="1"/>
  <c r="V301" i="10"/>
  <c r="D301" i="12" s="1"/>
  <c r="V121" i="10"/>
  <c r="AD121" i="10" s="1"/>
  <c r="V810" i="10"/>
  <c r="D810" i="12" s="1"/>
  <c r="V516" i="10"/>
  <c r="AD516" i="10" s="1"/>
  <c r="V715" i="10"/>
  <c r="AF715" i="10" s="1"/>
  <c r="AL715" i="10" s="1"/>
  <c r="V1015" i="10"/>
  <c r="V1169" i="10"/>
  <c r="V492" i="10"/>
  <c r="V452" i="10"/>
  <c r="AD452" i="10" s="1"/>
  <c r="V753" i="10"/>
  <c r="D753" i="12" s="1"/>
  <c r="V524" i="10"/>
  <c r="X524" i="10" s="1"/>
  <c r="V189" i="10"/>
  <c r="AD189" i="10" s="1"/>
  <c r="V781" i="10"/>
  <c r="AF781" i="10" s="1"/>
  <c r="AL781" i="10" s="1"/>
  <c r="V700" i="10"/>
  <c r="V703" i="10"/>
  <c r="V389" i="10"/>
  <c r="D389" i="12" s="1"/>
  <c r="V767" i="10"/>
  <c r="D767" i="12" s="1"/>
  <c r="V692" i="10"/>
  <c r="D692" i="12" s="1"/>
  <c r="V1173" i="10"/>
  <c r="AD1173" i="10" s="1"/>
  <c r="V762" i="10"/>
  <c r="D762" i="12" s="1"/>
  <c r="V716" i="10"/>
  <c r="D716" i="12" s="1"/>
  <c r="V1006" i="10"/>
  <c r="AD1006" i="10" s="1"/>
  <c r="V263" i="10"/>
  <c r="V1005" i="10"/>
  <c r="AD1005" i="10" s="1"/>
  <c r="V884" i="10"/>
  <c r="AD884" i="10" s="1"/>
  <c r="V255" i="10"/>
  <c r="D255" i="12" s="1"/>
  <c r="V609" i="10"/>
  <c r="AD609" i="10" s="1"/>
  <c r="V244" i="10"/>
  <c r="AD244" i="10" s="1"/>
  <c r="V467" i="10"/>
  <c r="D467" i="12" s="1"/>
  <c r="V303" i="10"/>
  <c r="AD303" i="10" s="1"/>
  <c r="V907" i="10"/>
  <c r="D907" i="12" s="1"/>
  <c r="V341" i="10"/>
  <c r="D341" i="12" s="1"/>
  <c r="V712" i="10"/>
  <c r="AD712" i="10" s="1"/>
  <c r="V797" i="10"/>
  <c r="V1137" i="10"/>
  <c r="V385" i="10"/>
  <c r="V849" i="10"/>
  <c r="AD849" i="10" s="1"/>
  <c r="V571" i="10"/>
  <c r="X571" i="10" s="1"/>
  <c r="V622" i="10"/>
  <c r="D622" i="12" s="1"/>
  <c r="V821" i="10"/>
  <c r="AD821" i="10" s="1"/>
  <c r="V618" i="10"/>
  <c r="D618" i="12" s="1"/>
  <c r="V199" i="10"/>
  <c r="AD199" i="10" s="1"/>
  <c r="V411" i="10"/>
  <c r="AD411" i="10" s="1"/>
  <c r="V564" i="10"/>
  <c r="AF564" i="10" s="1"/>
  <c r="AL564" i="10" s="1"/>
  <c r="V724" i="10"/>
  <c r="D724" i="12" s="1"/>
  <c r="V988" i="10"/>
  <c r="AD988" i="10" s="1"/>
  <c r="V175" i="10"/>
  <c r="D175" i="12" s="1"/>
  <c r="V960" i="10"/>
  <c r="AD960" i="10" s="1"/>
  <c r="V881" i="10"/>
  <c r="AD881" i="10" s="1"/>
  <c r="V383" i="10"/>
  <c r="D383" i="12" s="1"/>
  <c r="V111" i="10"/>
  <c r="AD111" i="10" s="1"/>
  <c r="V1083" i="10"/>
  <c r="D1083" i="12" s="1"/>
  <c r="V875" i="10"/>
  <c r="D875" i="12" s="1"/>
  <c r="V919" i="10"/>
  <c r="AD919" i="10" s="1"/>
  <c r="V1075" i="10"/>
  <c r="D1075" i="12" s="1"/>
  <c r="V384" i="10"/>
  <c r="V133" i="10"/>
  <c r="AD133" i="10" s="1"/>
  <c r="V1136" i="10"/>
  <c r="AD1136" i="10" s="1"/>
  <c r="V163" i="10"/>
  <c r="V142" i="10"/>
  <c r="AD142" i="10" s="1"/>
  <c r="V329" i="10"/>
  <c r="D329" i="12" s="1"/>
  <c r="V164" i="10"/>
  <c r="X164" i="10" s="1"/>
  <c r="V471" i="10"/>
  <c r="D471" i="12" s="1"/>
  <c r="V419" i="10"/>
  <c r="D419" i="12" s="1"/>
  <c r="V160" i="10"/>
  <c r="V515" i="10"/>
  <c r="D515" i="12" s="1"/>
  <c r="V776" i="10"/>
  <c r="D776" i="12" s="1"/>
  <c r="V106" i="10"/>
  <c r="D106" i="12" s="1"/>
  <c r="V30" i="10"/>
  <c r="AE30" i="10" s="1"/>
  <c r="V149" i="10"/>
  <c r="AD149" i="10" s="1"/>
  <c r="V653" i="10"/>
  <c r="V1113" i="10"/>
  <c r="D1113" i="12" s="1"/>
  <c r="V505" i="10"/>
  <c r="V76" i="10"/>
  <c r="D76" i="12" s="1"/>
  <c r="V1056" i="10"/>
  <c r="AD1056" i="10" s="1"/>
  <c r="V420" i="10"/>
  <c r="X420" i="10" s="1"/>
  <c r="AC860" i="10"/>
  <c r="D483" i="12"/>
  <c r="X483" i="10"/>
  <c r="AD509" i="10"/>
  <c r="AD331" i="10"/>
  <c r="X331" i="10"/>
  <c r="AD193" i="10"/>
  <c r="X193" i="10"/>
  <c r="X642" i="10"/>
  <c r="AD354" i="10"/>
  <c r="X996" i="10"/>
  <c r="D359" i="12"/>
  <c r="X359" i="10"/>
  <c r="AD898" i="10"/>
  <c r="X898" i="10"/>
  <c r="AD413" i="10"/>
  <c r="D831" i="12"/>
  <c r="X831" i="10"/>
  <c r="AD1074" i="10"/>
  <c r="X1074" i="10"/>
  <c r="X316" i="10"/>
  <c r="X796" i="10"/>
  <c r="AD275" i="10"/>
  <c r="X598" i="10"/>
  <c r="AD506" i="10"/>
  <c r="X506" i="10"/>
  <c r="AD1004" i="10"/>
  <c r="AD226" i="10"/>
  <c r="X226" i="10"/>
  <c r="D104" i="12"/>
  <c r="X104" i="10"/>
  <c r="D184" i="12"/>
  <c r="D1032" i="12"/>
  <c r="X1032" i="10"/>
  <c r="X43" i="10"/>
  <c r="D1086" i="12"/>
  <c r="X1086" i="10"/>
  <c r="D366" i="12"/>
  <c r="X366" i="10"/>
  <c r="D269" i="12"/>
  <c r="X269" i="10"/>
  <c r="D774" i="12"/>
  <c r="X774" i="10"/>
  <c r="AD663" i="10"/>
  <c r="X663" i="10"/>
  <c r="AD890" i="10"/>
  <c r="AD18" i="10"/>
  <c r="X18" i="10"/>
  <c r="X1185" i="10"/>
  <c r="D443" i="12"/>
  <c r="X443" i="10"/>
  <c r="X1094" i="10"/>
  <c r="D429" i="12"/>
  <c r="AD696" i="10"/>
  <c r="X696" i="10"/>
  <c r="X997" i="10"/>
  <c r="AD1133" i="10"/>
  <c r="X1133" i="10"/>
  <c r="AD22" i="10"/>
  <c r="X22" i="10"/>
  <c r="AD103" i="10"/>
  <c r="X137" i="10"/>
  <c r="X1022" i="10"/>
  <c r="X886" i="10"/>
  <c r="D799" i="12"/>
  <c r="X799" i="10"/>
  <c r="AD278" i="10"/>
  <c r="X278" i="10"/>
  <c r="D600" i="12"/>
  <c r="X600" i="10"/>
  <c r="D139" i="12"/>
  <c r="X139" i="10"/>
  <c r="D454" i="12"/>
  <c r="E567" i="12"/>
  <c r="E970" i="12"/>
  <c r="D226" i="12"/>
  <c r="E1151" i="12"/>
  <c r="AD104" i="10"/>
  <c r="D275" i="12"/>
  <c r="AC354" i="10"/>
  <c r="E616" i="12"/>
  <c r="E951" i="12"/>
  <c r="E1030" i="12"/>
  <c r="E308" i="12"/>
  <c r="D278" i="12"/>
  <c r="AD1032" i="10"/>
  <c r="E145" i="12"/>
  <c r="D1004" i="12"/>
  <c r="AD600" i="10"/>
  <c r="D103" i="12"/>
  <c r="AD799" i="10"/>
  <c r="AC764" i="10"/>
  <c r="E1177" i="12"/>
  <c r="AC279" i="10"/>
  <c r="D47" i="12"/>
  <c r="AC368" i="10"/>
  <c r="AD1022" i="10"/>
  <c r="AD210" i="10"/>
  <c r="E194" i="12"/>
  <c r="D660" i="12"/>
  <c r="E204" i="12"/>
  <c r="AC849" i="10"/>
  <c r="AD800" i="10"/>
  <c r="E829" i="12"/>
  <c r="AC122" i="10"/>
  <c r="D506" i="12"/>
  <c r="AC402" i="10"/>
  <c r="E64" i="12"/>
  <c r="AD369" i="10"/>
  <c r="D890" i="12"/>
  <c r="D696" i="12"/>
  <c r="E851" i="12"/>
  <c r="E897" i="12"/>
  <c r="E216" i="12"/>
  <c r="AD725" i="10"/>
  <c r="D603" i="12"/>
  <c r="AC679" i="10"/>
  <c r="AD443" i="10"/>
  <c r="D18" i="12"/>
  <c r="D898" i="12"/>
  <c r="AC605" i="10"/>
  <c r="AC1075" i="10"/>
  <c r="D663" i="12"/>
  <c r="E551" i="12"/>
  <c r="AD1086" i="10"/>
  <c r="AC408" i="10"/>
  <c r="E408" i="12"/>
  <c r="D7" i="12"/>
  <c r="AD7" i="10"/>
  <c r="D1106" i="12"/>
  <c r="AD1106" i="10"/>
  <c r="E690" i="12"/>
  <c r="AD831" i="10"/>
  <c r="AD15" i="10"/>
  <c r="D15" i="12"/>
  <c r="AD920" i="10"/>
  <c r="D698" i="12"/>
  <c r="AD774" i="10"/>
  <c r="E444" i="12"/>
  <c r="AC794" i="10"/>
  <c r="D331" i="12"/>
  <c r="AC624" i="10"/>
  <c r="AC411" i="10"/>
  <c r="AD319" i="10"/>
  <c r="D319" i="12"/>
  <c r="D835" i="12"/>
  <c r="AD835" i="10"/>
  <c r="E766" i="12"/>
  <c r="AD752" i="10"/>
  <c r="D752" i="12"/>
  <c r="D1025" i="12"/>
  <c r="AC181" i="10"/>
  <c r="AD214" i="10"/>
  <c r="AD359" i="10"/>
  <c r="E826" i="12"/>
  <c r="AC826" i="10"/>
  <c r="AD611" i="10"/>
  <c r="AD647" i="10"/>
  <c r="D87" i="12"/>
  <c r="E95" i="12"/>
  <c r="AC95" i="10"/>
  <c r="AD180" i="10"/>
  <c r="D180" i="12"/>
  <c r="E703" i="12"/>
  <c r="AD874" i="10"/>
  <c r="D874" i="12"/>
  <c r="D878" i="12"/>
  <c r="AD495" i="10"/>
  <c r="AD1181" i="10"/>
  <c r="AC193" i="10"/>
  <c r="E193" i="12"/>
  <c r="AC360" i="10"/>
  <c r="E360" i="12"/>
  <c r="AC112" i="10"/>
  <c r="E112" i="12"/>
  <c r="E689" i="12"/>
  <c r="AC689" i="10"/>
  <c r="AC630" i="10"/>
  <c r="E630" i="12"/>
  <c r="AD24" i="10"/>
  <c r="D24" i="12"/>
  <c r="AC710" i="10"/>
  <c r="E710" i="12"/>
  <c r="D1127" i="12"/>
  <c r="AD1127" i="10"/>
  <c r="AC1191" i="10"/>
  <c r="E1191" i="12"/>
  <c r="AC341" i="10"/>
  <c r="E341" i="12"/>
  <c r="D1104" i="12"/>
  <c r="AD1104" i="10"/>
  <c r="E189" i="12"/>
  <c r="AC189" i="10"/>
  <c r="E349" i="12"/>
  <c r="AC349" i="10"/>
  <c r="AD54" i="10"/>
  <c r="D148" i="12"/>
  <c r="AD148" i="10"/>
  <c r="AC358" i="10"/>
  <c r="E358" i="12"/>
  <c r="E718" i="12"/>
  <c r="AC718" i="10"/>
  <c r="AD950" i="10"/>
  <c r="E105" i="12"/>
  <c r="AC105" i="10"/>
  <c r="E1091" i="12"/>
  <c r="AC1091" i="10"/>
  <c r="AC399" i="10"/>
  <c r="E399" i="12"/>
  <c r="AC751" i="10"/>
  <c r="E751" i="12"/>
  <c r="AC838" i="10"/>
  <c r="E838" i="12"/>
  <c r="E27" i="12"/>
  <c r="AC27" i="10"/>
  <c r="AC437" i="10"/>
  <c r="E437" i="12"/>
  <c r="AC990" i="10"/>
  <c r="E990" i="12"/>
  <c r="E611" i="12"/>
  <c r="AC611" i="10"/>
  <c r="AC565" i="10"/>
  <c r="E565" i="12"/>
  <c r="E363" i="12"/>
  <c r="AC363" i="10"/>
  <c r="AC788" i="10"/>
  <c r="E788" i="12"/>
  <c r="E871" i="12"/>
  <c r="AC871" i="10"/>
  <c r="E673" i="12"/>
  <c r="AC673" i="10"/>
  <c r="E995" i="12"/>
  <c r="AC995" i="10"/>
  <c r="E1085" i="12"/>
  <c r="AC1085" i="10"/>
  <c r="E305" i="12"/>
  <c r="AC305" i="10"/>
  <c r="AC729" i="10"/>
  <c r="E729" i="12"/>
  <c r="AC998" i="10"/>
  <c r="E998" i="12"/>
  <c r="E75" i="12"/>
  <c r="AC75" i="10"/>
  <c r="AC1012" i="10"/>
  <c r="E1012" i="12"/>
  <c r="E12" i="12"/>
  <c r="AC12" i="10"/>
  <c r="AC1032" i="10"/>
  <c r="E1032" i="12"/>
  <c r="AC1116" i="10"/>
  <c r="E1116" i="12"/>
  <c r="AC714" i="10"/>
  <c r="E714" i="12"/>
  <c r="AC342" i="10"/>
  <c r="E342" i="12"/>
  <c r="E863" i="12"/>
  <c r="AC863" i="10"/>
  <c r="E734" i="12"/>
  <c r="AC734" i="10"/>
  <c r="AD1161" i="10"/>
  <c r="AC736" i="10"/>
  <c r="E736" i="12"/>
  <c r="AC290" i="10"/>
  <c r="E290" i="12"/>
  <c r="AC134" i="10"/>
  <c r="E134" i="12"/>
  <c r="E384" i="12"/>
  <c r="AC384" i="10"/>
  <c r="E391" i="12"/>
  <c r="AC391" i="10"/>
  <c r="AC928" i="10"/>
  <c r="E928" i="12"/>
  <c r="AC188" i="10"/>
  <c r="E188" i="12"/>
  <c r="E761" i="12"/>
  <c r="AC761" i="10"/>
  <c r="E378" i="12"/>
  <c r="AC378" i="10"/>
  <c r="E580" i="12"/>
  <c r="AC580" i="10"/>
  <c r="E326" i="12"/>
  <c r="AC326" i="10"/>
  <c r="AC327" i="10"/>
  <c r="E327" i="12"/>
  <c r="E643" i="12"/>
  <c r="AC643" i="10"/>
  <c r="E656" i="12"/>
  <c r="AC656" i="10"/>
  <c r="AC536" i="10"/>
  <c r="E536" i="12"/>
  <c r="E904" i="12"/>
  <c r="AC904" i="10"/>
  <c r="E34" i="12"/>
  <c r="AC34" i="10"/>
  <c r="AC959" i="10"/>
  <c r="E959" i="12"/>
  <c r="AC344" i="10"/>
  <c r="E344" i="12"/>
  <c r="AC828" i="10"/>
  <c r="E828" i="12"/>
  <c r="AC159" i="10"/>
  <c r="E159" i="12"/>
  <c r="AC61" i="10"/>
  <c r="E61" i="12"/>
  <c r="E223" i="12"/>
  <c r="AC223" i="10"/>
  <c r="E621" i="12"/>
  <c r="AC621" i="10"/>
  <c r="AC26" i="10"/>
  <c r="E26" i="12"/>
  <c r="AC628" i="10"/>
  <c r="E628" i="12"/>
  <c r="AC559" i="10"/>
  <c r="E559" i="12"/>
  <c r="AC31" i="10"/>
  <c r="E31" i="12"/>
  <c r="E1087" i="12"/>
  <c r="AC1087" i="10"/>
  <c r="E1179" i="12"/>
  <c r="AC1179" i="10"/>
  <c r="E747" i="12"/>
  <c r="AC747" i="10"/>
  <c r="E343" i="12"/>
  <c r="AC343" i="10"/>
  <c r="AC1076" i="10"/>
  <c r="E1076" i="12"/>
  <c r="E916" i="12"/>
  <c r="AC916" i="10"/>
  <c r="E756" i="12"/>
  <c r="AC756" i="10"/>
  <c r="D1164" i="12"/>
  <c r="AD1164" i="10"/>
  <c r="E202" i="12"/>
  <c r="AC202" i="10"/>
  <c r="D463" i="12"/>
  <c r="AD463" i="10"/>
  <c r="AC1136" i="10"/>
  <c r="E1136" i="12"/>
  <c r="D545" i="12"/>
  <c r="E1050" i="12"/>
  <c r="AC1050" i="10"/>
  <c r="AC763" i="10"/>
  <c r="E763" i="12"/>
  <c r="D240" i="12"/>
  <c r="AD240" i="10"/>
  <c r="AD914" i="10"/>
  <c r="D914" i="12"/>
  <c r="AC467" i="10"/>
  <c r="E467" i="12"/>
  <c r="AC531" i="10"/>
  <c r="E531" i="12"/>
  <c r="D966" i="12"/>
  <c r="E141" i="12"/>
  <c r="AC141" i="10"/>
  <c r="E941" i="12"/>
  <c r="AC941" i="10"/>
  <c r="E999" i="12"/>
  <c r="AC999" i="10"/>
  <c r="AC269" i="10"/>
  <c r="E269" i="12"/>
  <c r="AC382" i="10"/>
  <c r="E382" i="12"/>
  <c r="AC261" i="10"/>
  <c r="E261" i="12"/>
  <c r="D783" i="12"/>
  <c r="E980" i="12"/>
  <c r="AC980" i="10"/>
  <c r="E1100" i="12"/>
  <c r="AC1100" i="10"/>
  <c r="E702" i="12"/>
  <c r="AC702" i="10"/>
  <c r="E657" i="12"/>
  <c r="AC657" i="10"/>
  <c r="AC852" i="10"/>
  <c r="E852" i="12"/>
  <c r="E197" i="12"/>
  <c r="AC197" i="10"/>
  <c r="AC86" i="10"/>
  <c r="E86" i="12"/>
  <c r="E168" i="12"/>
  <c r="AC168" i="10"/>
  <c r="AC272" i="10"/>
  <c r="E272" i="12"/>
  <c r="E390" i="12"/>
  <c r="AC390" i="10"/>
  <c r="E824" i="12"/>
  <c r="AC824" i="10"/>
  <c r="AC53" i="10"/>
  <c r="E53" i="12"/>
  <c r="E1114" i="12"/>
  <c r="AC1114" i="10"/>
  <c r="E708" i="12"/>
  <c r="AC708" i="10"/>
  <c r="AC76" i="10"/>
  <c r="E76" i="12"/>
  <c r="AC214" i="10"/>
  <c r="E214" i="12"/>
  <c r="AC992" i="10"/>
  <c r="E992" i="12"/>
  <c r="E333" i="12"/>
  <c r="AC333" i="10"/>
  <c r="AC560" i="10"/>
  <c r="E560" i="12"/>
  <c r="E722" i="12"/>
  <c r="AC722" i="10"/>
  <c r="AC538" i="10"/>
  <c r="E538" i="12"/>
  <c r="AC300" i="10"/>
  <c r="E300" i="12"/>
  <c r="E909" i="12"/>
  <c r="AC909" i="10"/>
  <c r="E247" i="12"/>
  <c r="AC247" i="10"/>
  <c r="E1007" i="12"/>
  <c r="AC1007" i="10"/>
  <c r="E950" i="12"/>
  <c r="AC950" i="10"/>
  <c r="AC820" i="10"/>
  <c r="E820" i="12"/>
  <c r="AC316" i="10"/>
  <c r="E316" i="12"/>
  <c r="E934" i="12"/>
  <c r="AC934" i="10"/>
  <c r="AC587" i="10"/>
  <c r="E587" i="12"/>
  <c r="AC441" i="10"/>
  <c r="E441" i="12"/>
  <c r="AC235" i="10"/>
  <c r="E235" i="12"/>
  <c r="E205" i="12"/>
  <c r="AC205" i="10"/>
  <c r="E370" i="12"/>
  <c r="AC370" i="10"/>
  <c r="AC474" i="10"/>
  <c r="E474" i="12"/>
  <c r="AC273" i="10"/>
  <c r="E273" i="12"/>
  <c r="E1118" i="12"/>
  <c r="AC1118" i="10"/>
  <c r="AC750" i="10"/>
  <c r="E750" i="12"/>
  <c r="AC428" i="10"/>
  <c r="E428" i="12"/>
  <c r="AC466" i="10"/>
  <c r="E466" i="12"/>
  <c r="E270" i="12"/>
  <c r="AC270" i="10"/>
  <c r="E376" i="12"/>
  <c r="AC376" i="10"/>
  <c r="E147" i="12"/>
  <c r="AC147" i="10"/>
  <c r="E677" i="12"/>
  <c r="AC677" i="10"/>
  <c r="E138" i="12"/>
  <c r="AC138" i="10"/>
  <c r="E507" i="12"/>
  <c r="AC507" i="10"/>
  <c r="AC612" i="10"/>
  <c r="E612" i="12"/>
  <c r="AC83" i="10"/>
  <c r="E83" i="12"/>
  <c r="AC58" i="10"/>
  <c r="E58" i="12"/>
  <c r="AC1095" i="10"/>
  <c r="E1095" i="12"/>
  <c r="AC239" i="10"/>
  <c r="E239" i="12"/>
  <c r="E716" i="12"/>
  <c r="AC716" i="10"/>
  <c r="E693" i="12"/>
  <c r="AC693" i="10"/>
  <c r="E823" i="12"/>
  <c r="AC823" i="10"/>
  <c r="E177" i="12"/>
  <c r="AC177" i="10"/>
  <c r="AC1123" i="10"/>
  <c r="E1123" i="12"/>
  <c r="E1038" i="12"/>
  <c r="AC1038" i="10"/>
  <c r="AC42" i="10"/>
  <c r="E42" i="12"/>
  <c r="E52" i="12"/>
  <c r="AC52" i="10"/>
  <c r="E107" i="12"/>
  <c r="AC107" i="10"/>
  <c r="E203" i="12"/>
  <c r="AC203" i="10"/>
  <c r="E1101" i="12"/>
  <c r="AC1101" i="10"/>
  <c r="E540" i="12"/>
  <c r="AC540" i="10"/>
  <c r="AC622" i="10"/>
  <c r="E622" i="12"/>
  <c r="E1154" i="12"/>
  <c r="AC1154" i="10"/>
  <c r="AC717" i="10"/>
  <c r="E717" i="12"/>
  <c r="E1132" i="12"/>
  <c r="AC1132" i="10"/>
  <c r="D1039" i="12"/>
  <c r="AD1039" i="10"/>
  <c r="AD631" i="10"/>
  <c r="D631" i="12"/>
  <c r="AC627" i="10"/>
  <c r="E627" i="12"/>
  <c r="AC162" i="10"/>
  <c r="E162" i="12"/>
  <c r="D52" i="12"/>
  <c r="AD52" i="10"/>
  <c r="E5" i="12"/>
  <c r="AC5" i="10"/>
  <c r="AC894" i="10"/>
  <c r="E894" i="12"/>
  <c r="AC401" i="10"/>
  <c r="E401" i="12"/>
  <c r="AC886" i="10"/>
  <c r="E886" i="12"/>
  <c r="AC244" i="10"/>
  <c r="E244" i="12"/>
  <c r="D314" i="12"/>
  <c r="AD314" i="10"/>
  <c r="D637" i="12"/>
  <c r="AC529" i="10"/>
  <c r="E529" i="12"/>
  <c r="AD784" i="10"/>
  <c r="D784" i="12"/>
  <c r="E153" i="12"/>
  <c r="AC153" i="10"/>
  <c r="AD713" i="10"/>
  <c r="D713" i="12"/>
  <c r="AC126" i="10"/>
  <c r="E126" i="12"/>
  <c r="D504" i="12"/>
  <c r="AD504" i="10"/>
  <c r="E593" i="12"/>
  <c r="AC593" i="10"/>
  <c r="E320" i="12"/>
  <c r="AC320" i="10"/>
  <c r="D758" i="12"/>
  <c r="AD758" i="10"/>
  <c r="AC929" i="10"/>
  <c r="E929" i="12"/>
  <c r="E371" i="12"/>
  <c r="AC371" i="10"/>
  <c r="D1048" i="12"/>
  <c r="AD1048" i="10"/>
  <c r="E811" i="12"/>
  <c r="AC811" i="10"/>
  <c r="E847" i="12"/>
  <c r="AC847" i="10"/>
  <c r="AC438" i="10"/>
  <c r="E438" i="12"/>
  <c r="E818" i="12"/>
  <c r="AC818" i="10"/>
  <c r="AC383" i="10"/>
  <c r="E383" i="12"/>
  <c r="AC173" i="10"/>
  <c r="E173" i="12"/>
  <c r="E199" i="12"/>
  <c r="AC199" i="10"/>
  <c r="AC898" i="10"/>
  <c r="E898" i="12"/>
  <c r="E379" i="12"/>
  <c r="AC379" i="10"/>
  <c r="AC719" i="10"/>
  <c r="E719" i="12"/>
  <c r="AC118" i="10"/>
  <c r="E118" i="12"/>
  <c r="D377" i="12"/>
  <c r="AC571" i="10"/>
  <c r="E571" i="12"/>
  <c r="AC310" i="10"/>
  <c r="E310" i="12"/>
  <c r="E944" i="12"/>
  <c r="AC944" i="10"/>
  <c r="AC155" i="10"/>
  <c r="E155" i="12"/>
  <c r="AC24" i="10"/>
  <c r="E24" i="12"/>
  <c r="E758" i="12"/>
  <c r="AC758" i="10"/>
  <c r="E869" i="12"/>
  <c r="AC869" i="10"/>
  <c r="AC614" i="10"/>
  <c r="E614" i="12"/>
  <c r="AC415" i="10"/>
  <c r="E415" i="12"/>
  <c r="AC594" i="10"/>
  <c r="E594" i="12"/>
  <c r="AC967" i="10"/>
  <c r="E967" i="12"/>
  <c r="E678" i="12"/>
  <c r="AC678" i="10"/>
  <c r="AC1182" i="10"/>
  <c r="E1182" i="12"/>
  <c r="E1047" i="12"/>
  <c r="AC1047" i="10"/>
  <c r="E1111" i="12"/>
  <c r="AC1111" i="10"/>
  <c r="E267" i="12"/>
  <c r="AC267" i="10"/>
  <c r="AC890" i="10"/>
  <c r="E890" i="12"/>
  <c r="AC1048" i="10"/>
  <c r="E1048" i="12"/>
  <c r="E369" i="12"/>
  <c r="AC369" i="10"/>
  <c r="E683" i="12"/>
  <c r="AC683" i="10"/>
  <c r="E248" i="12"/>
  <c r="AC248" i="10"/>
  <c r="E981" i="12"/>
  <c r="AC981" i="10"/>
  <c r="E742" i="12"/>
  <c r="AC742" i="10"/>
  <c r="E500" i="12"/>
  <c r="AC500" i="10"/>
  <c r="AC810" i="10"/>
  <c r="E810" i="12"/>
  <c r="AC784" i="10"/>
  <c r="E784" i="12"/>
  <c r="E392" i="12"/>
  <c r="AC392" i="10"/>
  <c r="E552" i="12"/>
  <c r="AC552" i="10"/>
  <c r="E566" i="12"/>
  <c r="AC566" i="10"/>
  <c r="AC127" i="10"/>
  <c r="E127" i="12"/>
  <c r="AC906" i="10"/>
  <c r="E906" i="12"/>
  <c r="AC96" i="10"/>
  <c r="E96" i="12"/>
  <c r="AC459" i="10"/>
  <c r="E459" i="12"/>
  <c r="AC1035" i="10"/>
  <c r="E1035" i="12"/>
  <c r="E1005" i="12"/>
  <c r="AC1005" i="10"/>
  <c r="AC1064" i="10"/>
  <c r="E1064" i="12"/>
  <c r="E926" i="12"/>
  <c r="AC926" i="10"/>
  <c r="E328" i="12"/>
  <c r="AC328" i="10"/>
  <c r="E1133" i="12"/>
  <c r="AC1133" i="10"/>
  <c r="AC381" i="10"/>
  <c r="E381" i="12"/>
  <c r="E165" i="12"/>
  <c r="AC165" i="10"/>
  <c r="AC1105" i="10"/>
  <c r="E1105" i="12"/>
  <c r="E883" i="12"/>
  <c r="AC883" i="10"/>
  <c r="E230" i="12"/>
  <c r="AC230" i="10"/>
  <c r="AC753" i="10"/>
  <c r="E753" i="12"/>
  <c r="E331" i="12"/>
  <c r="AC331" i="10"/>
  <c r="E251" i="12"/>
  <c r="AC251" i="10"/>
  <c r="AC1042" i="10"/>
  <c r="E1042" i="12"/>
  <c r="E483" i="12"/>
  <c r="AC483" i="10"/>
  <c r="E907" i="12"/>
  <c r="AC907" i="10"/>
  <c r="AC412" i="10"/>
  <c r="E412" i="12"/>
  <c r="E527" i="12"/>
  <c r="AC527" i="10"/>
  <c r="AC874" i="10"/>
  <c r="E874" i="12"/>
  <c r="E1063" i="12"/>
  <c r="AC1063" i="10"/>
  <c r="AC1149" i="10"/>
  <c r="E1149" i="12"/>
  <c r="AC1099" i="10"/>
  <c r="E1099" i="12"/>
  <c r="E510" i="12"/>
  <c r="AC510" i="10"/>
  <c r="AC636" i="10"/>
  <c r="E636" i="12"/>
  <c r="AC1126" i="10"/>
  <c r="E1126" i="12"/>
  <c r="E1142" i="12"/>
  <c r="AC1142" i="10"/>
  <c r="E1084" i="12"/>
  <c r="AC1084" i="10"/>
  <c r="AC440" i="10"/>
  <c r="E440" i="12"/>
  <c r="AC666" i="10"/>
  <c r="E666" i="12"/>
  <c r="AC867" i="10"/>
  <c r="E867" i="12"/>
  <c r="AC994" i="10"/>
  <c r="E994" i="12"/>
  <c r="AD20" i="10"/>
  <c r="D20" i="12"/>
  <c r="AD866" i="10"/>
  <c r="D361" i="12"/>
  <c r="E913" i="12"/>
  <c r="AC913" i="10"/>
  <c r="D507" i="12"/>
  <c r="AD447" i="10"/>
  <c r="D447" i="12"/>
  <c r="D94" i="12"/>
  <c r="AD497" i="10"/>
  <c r="E1090" i="12"/>
  <c r="AC1090" i="10"/>
  <c r="D410" i="12"/>
  <c r="AD410" i="10"/>
  <c r="AD605" i="10"/>
  <c r="AD320" i="10"/>
  <c r="D847" i="12"/>
  <c r="AD847" i="10"/>
  <c r="D251" i="12"/>
  <c r="AD251" i="10"/>
  <c r="D426" i="12"/>
  <c r="AD426" i="10"/>
  <c r="D897" i="12"/>
  <c r="E207" i="12"/>
  <c r="AC207" i="10"/>
  <c r="E178" i="12"/>
  <c r="AC178" i="10"/>
  <c r="E1057" i="12"/>
  <c r="AC1057" i="10"/>
  <c r="E709" i="12"/>
  <c r="AC709" i="10"/>
  <c r="AD621" i="10"/>
  <c r="D621" i="12"/>
  <c r="D1166" i="12"/>
  <c r="AD1166" i="10"/>
  <c r="D393" i="12"/>
  <c r="E768" i="12"/>
  <c r="AC768" i="10"/>
  <c r="D347" i="12"/>
  <c r="AD347" i="10"/>
  <c r="AC639" i="10"/>
  <c r="E639" i="12"/>
  <c r="AC115" i="10"/>
  <c r="E115" i="12"/>
  <c r="D147" i="12"/>
  <c r="D580" i="12"/>
  <c r="AD580" i="10"/>
  <c r="D1154" i="12"/>
  <c r="AD1154" i="10"/>
  <c r="E39" i="12"/>
  <c r="AC39" i="10"/>
  <c r="AC132" i="10"/>
  <c r="E132" i="12"/>
  <c r="D531" i="12"/>
  <c r="AD531" i="10"/>
  <c r="D1176" i="12"/>
  <c r="AD1176" i="10"/>
  <c r="D479" i="12"/>
  <c r="E682" i="12"/>
  <c r="AC682" i="10"/>
  <c r="AC958" i="10"/>
  <c r="E958" i="12"/>
  <c r="D741" i="12"/>
  <c r="AD741" i="10"/>
  <c r="D1092" i="12"/>
  <c r="AD1092" i="10"/>
  <c r="D1159" i="12"/>
  <c r="AD1159" i="10"/>
  <c r="AC651" i="10"/>
  <c r="E651" i="12"/>
  <c r="AD355" i="10"/>
  <c r="D355" i="12"/>
  <c r="AC135" i="10"/>
  <c r="E135" i="12"/>
  <c r="AC1194" i="10"/>
  <c r="E1194" i="12"/>
  <c r="E1163" i="12"/>
  <c r="AC1163" i="10"/>
  <c r="D348" i="12"/>
  <c r="AC1106" i="10"/>
  <c r="E1106" i="12"/>
  <c r="E1072" i="12"/>
  <c r="AC1072" i="10"/>
  <c r="AC723" i="10"/>
  <c r="E723" i="12"/>
  <c r="E1082" i="12"/>
  <c r="AC1082" i="10"/>
  <c r="E478" i="12"/>
  <c r="AC478" i="10"/>
  <c r="E1060" i="12"/>
  <c r="AC1060" i="10"/>
  <c r="E346" i="12"/>
  <c r="AC346" i="10"/>
  <c r="E62" i="12"/>
  <c r="AC62" i="10"/>
  <c r="E590" i="12"/>
  <c r="AC590" i="10"/>
  <c r="E190" i="12"/>
  <c r="AC190" i="10"/>
  <c r="AC706" i="10"/>
  <c r="E706" i="12"/>
  <c r="E532" i="12"/>
  <c r="AC532" i="10"/>
  <c r="E335" i="12"/>
  <c r="AC335" i="10"/>
  <c r="AC954" i="10"/>
  <c r="E954" i="12"/>
  <c r="E583" i="12"/>
  <c r="AC583" i="10"/>
  <c r="E222" i="12"/>
  <c r="AC222" i="10"/>
  <c r="E93" i="12"/>
  <c r="AC93" i="10"/>
  <c r="AC414" i="10"/>
  <c r="E414" i="12"/>
  <c r="E215" i="12"/>
  <c r="AC215" i="10"/>
  <c r="E479" i="12"/>
  <c r="AC479" i="10"/>
  <c r="AC11" i="10"/>
  <c r="E11" i="12"/>
  <c r="AC111" i="10"/>
  <c r="E111" i="12"/>
  <c r="AC1155" i="10"/>
  <c r="E1155" i="12"/>
  <c r="E291" i="12"/>
  <c r="AC291" i="10"/>
  <c r="E518" i="12"/>
  <c r="AC518" i="10"/>
  <c r="E1036" i="12"/>
  <c r="AC1036" i="10"/>
  <c r="AC257" i="10"/>
  <c r="E257" i="12"/>
  <c r="AC578" i="10"/>
  <c r="E578" i="12"/>
  <c r="AC350" i="10"/>
  <c r="E350" i="12"/>
  <c r="E893" i="12"/>
  <c r="AC893" i="10"/>
  <c r="E591" i="12"/>
  <c r="AC591" i="10"/>
  <c r="E949" i="12"/>
  <c r="AC949" i="10"/>
  <c r="E196" i="12"/>
  <c r="AC196" i="10"/>
  <c r="E754" i="12"/>
  <c r="AC754" i="10"/>
  <c r="AC40" i="10"/>
  <c r="E40" i="12"/>
  <c r="E79" i="12"/>
  <c r="AC79" i="10"/>
  <c r="AC680" i="10"/>
  <c r="E680" i="12"/>
  <c r="AC355" i="10"/>
  <c r="E355" i="12"/>
  <c r="E1043" i="12"/>
  <c r="AC1043" i="10"/>
  <c r="E46" i="12"/>
  <c r="AC46" i="10"/>
  <c r="E373" i="12"/>
  <c r="AC373" i="10"/>
  <c r="AC1009" i="10"/>
  <c r="E1009" i="12"/>
  <c r="E526" i="12"/>
  <c r="AC526" i="10"/>
  <c r="AC439" i="10"/>
  <c r="E439" i="12"/>
  <c r="E1108" i="12"/>
  <c r="AC1108" i="10"/>
  <c r="AC725" i="10"/>
  <c r="E725" i="12"/>
  <c r="AC1077" i="10"/>
  <c r="E1077" i="12"/>
  <c r="AC380" i="10"/>
  <c r="E380" i="12"/>
  <c r="AC1054" i="10"/>
  <c r="E1054" i="12"/>
  <c r="AC817" i="10"/>
  <c r="E817" i="12"/>
  <c r="AC20" i="10"/>
  <c r="E20" i="12"/>
  <c r="AC219" i="10"/>
  <c r="E219" i="12"/>
  <c r="E306" i="12"/>
  <c r="AC306" i="10"/>
  <c r="AC1066" i="10"/>
  <c r="E1066" i="12"/>
  <c r="E481" i="12"/>
  <c r="AC481" i="10"/>
  <c r="AC1169" i="10"/>
  <c r="E1169" i="12"/>
  <c r="AC712" i="10"/>
  <c r="E712" i="12"/>
  <c r="E650" i="12"/>
  <c r="AC650" i="10"/>
  <c r="E421" i="12"/>
  <c r="AC421" i="10"/>
  <c r="AC430" i="10"/>
  <c r="E430" i="12"/>
  <c r="E555" i="12"/>
  <c r="AC555" i="10"/>
  <c r="E957" i="12"/>
  <c r="AC957" i="10"/>
  <c r="E260" i="12"/>
  <c r="AC260" i="10"/>
  <c r="E765" i="12"/>
  <c r="AC765" i="10"/>
  <c r="AC923" i="10"/>
  <c r="E923" i="12"/>
  <c r="E669" i="12"/>
  <c r="AC669" i="10"/>
  <c r="AC262" i="10"/>
  <c r="E262" i="12"/>
  <c r="E139" i="12"/>
  <c r="AC139" i="10"/>
  <c r="AD207" i="10"/>
  <c r="D207" i="12"/>
  <c r="E460" i="12"/>
  <c r="AC460" i="10"/>
  <c r="AC1061" i="10"/>
  <c r="E1061" i="12"/>
  <c r="AD975" i="10"/>
  <c r="D975" i="12"/>
  <c r="AC509" i="10"/>
  <c r="E509" i="12"/>
  <c r="E602" i="12"/>
  <c r="AC602" i="10"/>
  <c r="AC586" i="10"/>
  <c r="E586" i="12"/>
  <c r="D1151" i="12"/>
  <c r="AD1190" i="10"/>
  <c r="AD822" i="10"/>
  <c r="D822" i="12"/>
  <c r="AD563" i="10"/>
  <c r="AD138" i="10"/>
  <c r="D138" i="12"/>
  <c r="E97" i="12"/>
  <c r="AC97" i="10"/>
  <c r="D1119" i="12"/>
  <c r="AC172" i="10"/>
  <c r="E172" i="12"/>
  <c r="E18" i="12"/>
  <c r="AC18" i="10"/>
  <c r="D336" i="12"/>
  <c r="E406" i="12"/>
  <c r="AC406" i="10"/>
  <c r="AC41" i="10"/>
  <c r="E41" i="12"/>
  <c r="AD343" i="10"/>
  <c r="AD808" i="10"/>
  <c r="AC1192" i="10"/>
  <c r="E1192" i="12"/>
  <c r="AC675" i="10"/>
  <c r="E675" i="12"/>
  <c r="D276" i="12"/>
  <c r="AD276" i="10"/>
  <c r="D435" i="12"/>
  <c r="AD435" i="10"/>
  <c r="D323" i="12"/>
  <c r="E345" i="12"/>
  <c r="AC345" i="10"/>
  <c r="AC117" i="10"/>
  <c r="E117" i="12"/>
  <c r="D128" i="12"/>
  <c r="AD128" i="10"/>
  <c r="E125" i="12"/>
  <c r="AC125" i="10"/>
  <c r="AD375" i="10"/>
  <c r="D375" i="12"/>
  <c r="AD353" i="10"/>
  <c r="D353" i="12"/>
  <c r="E865" i="12"/>
  <c r="AC865" i="10"/>
  <c r="AC1171" i="10"/>
  <c r="E1171" i="12"/>
  <c r="AC108" i="10"/>
  <c r="E108" i="12"/>
  <c r="D45" i="12"/>
  <c r="AD45" i="10"/>
  <c r="AC1178" i="10"/>
  <c r="E1178" i="12"/>
  <c r="AC336" i="10"/>
  <c r="E336" i="12"/>
  <c r="E452" i="12"/>
  <c r="AC452" i="10"/>
  <c r="E313" i="12"/>
  <c r="AC313" i="10"/>
  <c r="E286" i="12"/>
  <c r="AC286" i="10"/>
  <c r="AC49" i="10"/>
  <c r="E49" i="12"/>
  <c r="E123" i="12"/>
  <c r="AC123" i="10"/>
  <c r="E250" i="12"/>
  <c r="AC250" i="10"/>
  <c r="AC688" i="10"/>
  <c r="E688" i="12"/>
  <c r="E1137" i="12"/>
  <c r="AC1137" i="10"/>
  <c r="E617" i="12"/>
  <c r="AC617" i="10"/>
  <c r="AC663" i="10"/>
  <c r="E663" i="12"/>
  <c r="E755" i="12"/>
  <c r="AC755" i="10"/>
  <c r="AC1004" i="10"/>
  <c r="E1004" i="12"/>
  <c r="E638" i="12"/>
  <c r="AC638" i="10"/>
  <c r="AC309" i="10"/>
  <c r="E309" i="12"/>
  <c r="AC37" i="10"/>
  <c r="E37" i="12"/>
  <c r="AC993" i="10"/>
  <c r="E993" i="12"/>
  <c r="AC631" i="10"/>
  <c r="E631" i="12"/>
  <c r="AC283" i="10"/>
  <c r="E283" i="12"/>
  <c r="E356" i="12"/>
  <c r="AC356" i="10"/>
  <c r="E880" i="12"/>
  <c r="AC880" i="10"/>
  <c r="E63" i="12"/>
  <c r="AC63" i="10"/>
  <c r="AC183" i="10"/>
  <c r="E183" i="12"/>
  <c r="E781" i="12"/>
  <c r="AC781" i="10"/>
  <c r="AC116" i="10"/>
  <c r="E116" i="12"/>
  <c r="AC36" i="10"/>
  <c r="E36" i="12"/>
  <c r="E511" i="12"/>
  <c r="AC511" i="10"/>
  <c r="AC968" i="10"/>
  <c r="E968" i="12"/>
  <c r="E917" i="12"/>
  <c r="AC917" i="10"/>
  <c r="AC720" i="10"/>
  <c r="E720" i="12"/>
  <c r="E67" i="12"/>
  <c r="AC67" i="10"/>
  <c r="AC298" i="10"/>
  <c r="E298" i="12"/>
  <c r="AC1056" i="10"/>
  <c r="E1056" i="12"/>
  <c r="AC1052" i="10"/>
  <c r="E1052" i="12"/>
  <c r="AC644" i="10"/>
  <c r="E644" i="12"/>
  <c r="AC773" i="10"/>
  <c r="E773" i="12"/>
  <c r="E1164" i="12"/>
  <c r="AC1164" i="10"/>
  <c r="E420" i="12"/>
  <c r="AC420" i="10"/>
  <c r="E661" i="12"/>
  <c r="AC661" i="10"/>
  <c r="E918" i="12"/>
  <c r="AC918" i="10"/>
  <c r="E1058" i="12"/>
  <c r="AC1058" i="10"/>
  <c r="E1027" i="12"/>
  <c r="AC1027" i="10"/>
  <c r="E962" i="12"/>
  <c r="AC962" i="10"/>
  <c r="AC263" i="10"/>
  <c r="E263" i="12"/>
  <c r="AC814" i="10"/>
  <c r="E814" i="12"/>
  <c r="AC1092" i="10"/>
  <c r="E1092" i="12"/>
  <c r="AC1025" i="10"/>
  <c r="E1025" i="12"/>
  <c r="AC1125" i="10"/>
  <c r="E1125" i="12"/>
  <c r="AC862" i="10"/>
  <c r="E862" i="12"/>
  <c r="E225" i="12"/>
  <c r="AC225" i="10"/>
  <c r="AC625" i="10"/>
  <c r="E625" i="12"/>
  <c r="AC1148" i="10"/>
  <c r="E1148" i="12"/>
  <c r="E767" i="12"/>
  <c r="AC767" i="10"/>
  <c r="AC275" i="10"/>
  <c r="E275" i="12"/>
  <c r="AC307" i="10"/>
  <c r="E307" i="12"/>
  <c r="AC1000" i="10"/>
  <c r="E1000" i="12"/>
  <c r="AC15" i="10"/>
  <c r="E15" i="12"/>
  <c r="AC229" i="10"/>
  <c r="E229" i="12"/>
  <c r="E1156" i="12"/>
  <c r="AC1156" i="10"/>
  <c r="AC808" i="10"/>
  <c r="E808" i="12"/>
  <c r="AC1044" i="10"/>
  <c r="E1044" i="12"/>
  <c r="E233" i="12"/>
  <c r="AC233" i="10"/>
  <c r="AC686" i="10"/>
  <c r="E686" i="12"/>
  <c r="E695" i="12"/>
  <c r="AC695" i="10"/>
  <c r="AC314" i="10"/>
  <c r="E314" i="12"/>
  <c r="E140" i="12"/>
  <c r="AC140" i="10"/>
  <c r="AC799" i="10"/>
  <c r="E799" i="12"/>
  <c r="D1188" i="12"/>
  <c r="AD1188" i="10"/>
  <c r="AC51" i="10"/>
  <c r="E51" i="12"/>
  <c r="D566" i="12"/>
  <c r="D857" i="12"/>
  <c r="D380" i="12"/>
  <c r="AD380" i="10"/>
  <c r="AC660" i="10"/>
  <c r="E660" i="12"/>
  <c r="AD62" i="10"/>
  <c r="D62" i="12"/>
  <c r="E160" i="12"/>
  <c r="AC160" i="10"/>
  <c r="D855" i="12"/>
  <c r="D550" i="12"/>
  <c r="AD1182" i="10"/>
  <c r="E494" i="12"/>
  <c r="AC494" i="10"/>
  <c r="E448" i="12"/>
  <c r="AC448" i="10"/>
  <c r="D1036" i="12"/>
  <c r="E634" i="12"/>
  <c r="AC634" i="10"/>
  <c r="E1013" i="12"/>
  <c r="AC1013" i="10"/>
  <c r="D215" i="12"/>
  <c r="AD215" i="10"/>
  <c r="E434" i="12"/>
  <c r="AC434" i="10"/>
  <c r="E769" i="12"/>
  <c r="AC769" i="10"/>
  <c r="D324" i="12"/>
  <c r="AD324" i="10"/>
  <c r="D272" i="12"/>
  <c r="AD272" i="10"/>
  <c r="D862" i="12"/>
  <c r="AD862" i="10"/>
  <c r="AC103" i="10"/>
  <c r="E103" i="12"/>
  <c r="AD630" i="10"/>
  <c r="D630" i="12"/>
  <c r="AC17" i="10"/>
  <c r="E17" i="12"/>
  <c r="D640" i="12"/>
  <c r="AD1130" i="10"/>
  <c r="AC427" i="10"/>
  <c r="E427" i="12"/>
  <c r="AC218" i="10"/>
  <c r="E218" i="12"/>
  <c r="E809" i="12"/>
  <c r="AC809" i="10"/>
  <c r="E280" i="12"/>
  <c r="AC280" i="10"/>
  <c r="E979" i="12"/>
  <c r="AC979" i="10"/>
  <c r="E910" i="12"/>
  <c r="AC910" i="10"/>
  <c r="AC413" i="10"/>
  <c r="E413" i="12"/>
  <c r="AC422" i="10"/>
  <c r="E422" i="12"/>
  <c r="AC150" i="10"/>
  <c r="E150" i="12"/>
  <c r="E1026" i="12"/>
  <c r="AC1026" i="10"/>
  <c r="AC914" i="10"/>
  <c r="E914" i="12"/>
  <c r="E1165" i="12"/>
  <c r="AC1165" i="10"/>
  <c r="E266" i="12"/>
  <c r="AC266" i="10"/>
  <c r="E89" i="12"/>
  <c r="AC89" i="10"/>
  <c r="E1112" i="12"/>
  <c r="AC1112" i="10"/>
  <c r="E337" i="12"/>
  <c r="AC337" i="10"/>
  <c r="E388" i="12"/>
  <c r="AC388" i="10"/>
  <c r="AC813" i="10"/>
  <c r="E813" i="12"/>
  <c r="AC1104" i="10"/>
  <c r="E1104" i="12"/>
  <c r="AC701" i="10"/>
  <c r="E701" i="12"/>
  <c r="AC1071" i="10"/>
  <c r="E1071" i="12"/>
  <c r="E131" i="12"/>
  <c r="AC131" i="10"/>
  <c r="AC113" i="10"/>
  <c r="E113" i="12"/>
  <c r="AC600" i="10"/>
  <c r="E600" i="12"/>
  <c r="AC1170" i="10"/>
  <c r="E1170" i="12"/>
  <c r="AC110" i="10"/>
  <c r="E110" i="12"/>
  <c r="E374" i="12"/>
  <c r="AC374" i="10"/>
  <c r="E924" i="12"/>
  <c r="AC924" i="10"/>
  <c r="AC245" i="10"/>
  <c r="E245" i="12"/>
  <c r="E10" i="12"/>
  <c r="AC10" i="10"/>
  <c r="E830" i="12"/>
  <c r="AC830" i="10"/>
  <c r="AC476" i="10"/>
  <c r="E476" i="12"/>
  <c r="AC1037" i="10"/>
  <c r="E1037" i="12"/>
  <c r="AC642" i="10"/>
  <c r="E642" i="12"/>
  <c r="E157" i="12"/>
  <c r="AC157" i="10"/>
  <c r="AC858" i="10"/>
  <c r="E858" i="12"/>
  <c r="AC696" i="10"/>
  <c r="E696" i="12"/>
  <c r="AC14" i="10"/>
  <c r="E14" i="12"/>
  <c r="AC432" i="10"/>
  <c r="E432" i="12"/>
  <c r="AC198" i="10"/>
  <c r="E198" i="12"/>
  <c r="AC554" i="10"/>
  <c r="E554" i="12"/>
  <c r="AC777" i="10"/>
  <c r="E777" i="12"/>
  <c r="AC1124" i="10"/>
  <c r="E1124" i="12"/>
  <c r="AC774" i="10"/>
  <c r="E774" i="12"/>
  <c r="E192" i="12"/>
  <c r="AC192" i="10"/>
  <c r="E1176" i="12"/>
  <c r="AC1176" i="10"/>
  <c r="AC748" i="10"/>
  <c r="E748" i="12"/>
  <c r="AC997" i="10"/>
  <c r="E997" i="12"/>
  <c r="AC294" i="10"/>
  <c r="E294" i="12"/>
  <c r="AC919" i="10"/>
  <c r="E919" i="12"/>
  <c r="E124" i="12"/>
  <c r="AC124" i="10"/>
  <c r="AC228" i="10"/>
  <c r="E228" i="12"/>
  <c r="E1140" i="12"/>
  <c r="AC1140" i="10"/>
  <c r="E361" i="12"/>
  <c r="AC361" i="10"/>
  <c r="AC259" i="10"/>
  <c r="E259" i="12"/>
  <c r="AC461" i="10"/>
  <c r="E461" i="12"/>
  <c r="AC1074" i="10"/>
  <c r="E1074" i="12"/>
  <c r="AC99" i="10"/>
  <c r="E99" i="12"/>
  <c r="AC721" i="10"/>
  <c r="E721" i="12"/>
  <c r="AC489" i="10"/>
  <c r="E489" i="12"/>
  <c r="E915" i="12"/>
  <c r="AC915" i="10"/>
  <c r="AC395" i="10"/>
  <c r="E395" i="12"/>
  <c r="E487" i="12"/>
  <c r="AC487" i="10"/>
  <c r="AC347" i="10"/>
  <c r="E347" i="12"/>
  <c r="AC268" i="10"/>
  <c r="E268" i="12"/>
  <c r="AC394" i="10"/>
  <c r="E394" i="12"/>
  <c r="AC908" i="10"/>
  <c r="E908" i="12"/>
  <c r="E45" i="12"/>
  <c r="AC45" i="10"/>
  <c r="AC385" i="10"/>
  <c r="E385" i="12"/>
  <c r="AC143" i="10"/>
  <c r="E143" i="12"/>
  <c r="AD116" i="10"/>
  <c r="D910" i="12"/>
  <c r="AD910" i="10"/>
  <c r="AC759" i="10"/>
  <c r="E759" i="12"/>
  <c r="AD485" i="10"/>
  <c r="D485" i="12"/>
  <c r="AD203" i="10"/>
  <c r="D203" i="12"/>
  <c r="AD527" i="10"/>
  <c r="D527" i="12"/>
  <c r="AC933" i="10"/>
  <c r="E933" i="12"/>
  <c r="AD597" i="10"/>
  <c r="AD687" i="10"/>
  <c r="AC864" i="10"/>
  <c r="E864" i="12"/>
  <c r="D1144" i="12"/>
  <c r="AD1144" i="10"/>
  <c r="D1026" i="12"/>
  <c r="E599" i="12"/>
  <c r="AC599" i="10"/>
  <c r="E550" i="12"/>
  <c r="AC550" i="10"/>
  <c r="D46" i="12"/>
  <c r="AD46" i="10"/>
  <c r="D932" i="12"/>
  <c r="AD932" i="10"/>
  <c r="AC502" i="10"/>
  <c r="E502" i="12"/>
  <c r="E120" i="12"/>
  <c r="AC120" i="10"/>
  <c r="E1166" i="12"/>
  <c r="AC1166" i="10"/>
  <c r="AD235" i="10"/>
  <c r="E1097" i="12"/>
  <c r="AC1097" i="10"/>
  <c r="AC842" i="10"/>
  <c r="E842" i="12"/>
  <c r="D1090" i="12"/>
  <c r="AD1090" i="10"/>
  <c r="AC1107" i="10"/>
  <c r="E1107" i="12"/>
  <c r="AD68" i="10"/>
  <c r="D68" i="12"/>
  <c r="E787" i="12"/>
  <c r="AC787" i="10"/>
  <c r="E1183" i="12"/>
  <c r="AC1183" i="10"/>
  <c r="AC175" i="10"/>
  <c r="E175" i="12"/>
  <c r="E780" i="12"/>
  <c r="AC780" i="10"/>
  <c r="AD521" i="10"/>
  <c r="E856" i="12"/>
  <c r="AC856" i="10"/>
  <c r="AC130" i="10"/>
  <c r="E130" i="12"/>
  <c r="E1145" i="12"/>
  <c r="AC1145" i="10"/>
  <c r="AC226" i="10"/>
  <c r="E226" i="12"/>
  <c r="E797" i="12"/>
  <c r="AC797" i="10"/>
  <c r="D406" i="12"/>
  <c r="AD406" i="10"/>
  <c r="E588" i="12"/>
  <c r="AC588" i="10"/>
  <c r="E1098" i="12"/>
  <c r="AC1098" i="10"/>
  <c r="AC224" i="10"/>
  <c r="E224" i="12"/>
  <c r="AC1079" i="10"/>
  <c r="E1079" i="12"/>
  <c r="E389" i="12"/>
  <c r="AC389" i="10"/>
  <c r="AC935" i="10"/>
  <c r="E935" i="12"/>
  <c r="E1162" i="12"/>
  <c r="AC1162" i="10"/>
  <c r="E1065" i="12"/>
  <c r="AC1065" i="10"/>
  <c r="AC121" i="10"/>
  <c r="E121" i="12"/>
  <c r="AC319" i="10"/>
  <c r="E319" i="12"/>
  <c r="E156" i="12"/>
  <c r="AC156" i="10"/>
  <c r="E436" i="12"/>
  <c r="AC436" i="10"/>
  <c r="E486" i="12"/>
  <c r="AC486" i="10"/>
  <c r="E978" i="12"/>
  <c r="AC978" i="10"/>
  <c r="AC931" i="10"/>
  <c r="E931" i="12"/>
  <c r="E98" i="12"/>
  <c r="AC98" i="10"/>
  <c r="AC471" i="10"/>
  <c r="E471" i="12"/>
  <c r="AC940" i="10"/>
  <c r="E940" i="12"/>
  <c r="AC637" i="10"/>
  <c r="E637" i="12"/>
  <c r="AC812" i="10"/>
  <c r="E812" i="12"/>
  <c r="AC7" i="10"/>
  <c r="E7" i="12"/>
  <c r="E1150" i="12"/>
  <c r="AC1150" i="10"/>
  <c r="AC462" i="10"/>
  <c r="E462" i="12"/>
  <c r="E1093" i="12"/>
  <c r="AC1093" i="10"/>
  <c r="AC398" i="10"/>
  <c r="E398" i="12"/>
  <c r="E241" i="12"/>
  <c r="AC241" i="10"/>
  <c r="AC887" i="10"/>
  <c r="E887" i="12"/>
  <c r="E21" i="12"/>
  <c r="AC21" i="10"/>
  <c r="AC676" i="10"/>
  <c r="E676" i="12"/>
  <c r="AC805" i="10"/>
  <c r="E805" i="12"/>
  <c r="AC213" i="10"/>
  <c r="E213" i="12"/>
  <c r="AC641" i="10"/>
  <c r="E641" i="12"/>
  <c r="AC351" i="10"/>
  <c r="E351" i="12"/>
  <c r="E836" i="12"/>
  <c r="AC836" i="10"/>
  <c r="AC154" i="10"/>
  <c r="E154" i="12"/>
  <c r="E281" i="12"/>
  <c r="AC281" i="10"/>
  <c r="AC533" i="10"/>
  <c r="E533" i="12"/>
  <c r="E1119" i="12"/>
  <c r="AC1119" i="10"/>
  <c r="AC561" i="10"/>
  <c r="E561" i="12"/>
  <c r="AC920" i="10"/>
  <c r="E920" i="12"/>
  <c r="AC372" i="10"/>
  <c r="E372" i="12"/>
  <c r="AC68" i="10"/>
  <c r="E68" i="12"/>
  <c r="AC827" i="10"/>
  <c r="E827" i="12"/>
  <c r="AC608" i="10"/>
  <c r="E608" i="12"/>
  <c r="AC881" i="10"/>
  <c r="E881" i="12"/>
  <c r="AC778" i="10"/>
  <c r="E778" i="12"/>
  <c r="E357" i="12"/>
  <c r="AC357" i="10"/>
  <c r="AC85" i="10"/>
  <c r="E85" i="12"/>
  <c r="AC1031" i="10"/>
  <c r="E1031" i="12"/>
  <c r="AC1180" i="10"/>
  <c r="E1180" i="12"/>
  <c r="AC853" i="10"/>
  <c r="E853" i="12"/>
  <c r="AC575" i="10"/>
  <c r="E575" i="12"/>
  <c r="AC699" i="10"/>
  <c r="E699" i="12"/>
  <c r="E1127" i="12"/>
  <c r="AC1127" i="10"/>
  <c r="AC295" i="10"/>
  <c r="E295" i="12"/>
  <c r="AC340" i="10"/>
  <c r="E340" i="12"/>
  <c r="E822" i="12"/>
  <c r="AC822" i="10"/>
  <c r="E596" i="12"/>
  <c r="AC596" i="10"/>
  <c r="AC737" i="10"/>
  <c r="E737" i="12"/>
  <c r="AC1134" i="10"/>
  <c r="E1134" i="12"/>
  <c r="AD480" i="10"/>
  <c r="AD227" i="10"/>
  <c r="D227" i="12"/>
  <c r="D37" i="12"/>
  <c r="AD37" i="10"/>
  <c r="AD1063" i="10"/>
  <c r="D1063" i="12"/>
  <c r="AD312" i="10"/>
  <c r="D312" i="12"/>
  <c r="D100" i="12"/>
  <c r="AD668" i="10"/>
  <c r="AD288" i="10"/>
  <c r="D819" i="12"/>
  <c r="AD819" i="10"/>
  <c r="E303" i="12"/>
  <c r="AC303" i="10"/>
  <c r="AC201" i="10"/>
  <c r="E201" i="12"/>
  <c r="D477" i="12"/>
  <c r="AD477" i="10"/>
  <c r="AD356" i="10"/>
  <c r="D356" i="12"/>
  <c r="AD825" i="10"/>
  <c r="AC589" i="10"/>
  <c r="E589" i="12"/>
  <c r="AC772" i="10"/>
  <c r="E772" i="12"/>
  <c r="D242" i="12"/>
  <c r="AD242" i="10"/>
  <c r="AC956" i="10"/>
  <c r="E956" i="12"/>
  <c r="E505" i="12"/>
  <c r="AC505" i="10"/>
  <c r="D431" i="12"/>
  <c r="E94" i="12"/>
  <c r="AC94" i="10"/>
  <c r="E73" i="12"/>
  <c r="AC73" i="10"/>
  <c r="AD231" i="10"/>
  <c r="D238" i="12"/>
  <c r="AD238" i="10"/>
  <c r="E485" i="12"/>
  <c r="AC485" i="10"/>
  <c r="AD823" i="10"/>
  <c r="D823" i="12"/>
  <c r="E546" i="12"/>
  <c r="AC546" i="10"/>
  <c r="E332" i="12"/>
  <c r="AC332" i="10"/>
  <c r="AC792" i="10"/>
  <c r="E792" i="12"/>
  <c r="AC54" i="10"/>
  <c r="E54" i="12"/>
  <c r="E13" i="12"/>
  <c r="AC13" i="10"/>
  <c r="AC161" i="10"/>
  <c r="E161" i="12"/>
  <c r="AC1040" i="10"/>
  <c r="E1040" i="12"/>
  <c r="E365" i="12"/>
  <c r="AC365" i="10"/>
  <c r="AC299" i="10"/>
  <c r="E299" i="12"/>
  <c r="AC866" i="10"/>
  <c r="E866" i="12"/>
  <c r="AD10" i="10"/>
  <c r="D10" i="12"/>
  <c r="AC176" i="10"/>
  <c r="E176" i="12"/>
  <c r="E681" i="12"/>
  <c r="AC681" i="10"/>
  <c r="AC87" i="10"/>
  <c r="E87" i="12"/>
  <c r="E1152" i="12"/>
  <c r="AC1152" i="10"/>
  <c r="E274" i="12"/>
  <c r="AC274" i="10"/>
  <c r="E739" i="12"/>
  <c r="AC739" i="10"/>
  <c r="E986" i="12"/>
  <c r="AC986" i="10"/>
  <c r="E301" i="12"/>
  <c r="AC301" i="10"/>
  <c r="AC670" i="10"/>
  <c r="E670" i="12"/>
  <c r="E364" i="12"/>
  <c r="AC364" i="10"/>
  <c r="E393" i="12"/>
  <c r="AC393" i="10"/>
  <c r="AC407" i="10"/>
  <c r="E407" i="12"/>
  <c r="E877" i="12"/>
  <c r="AC877" i="10"/>
  <c r="E576" i="12"/>
  <c r="AC576" i="10"/>
  <c r="E741" i="12"/>
  <c r="AC741" i="10"/>
  <c r="AC66" i="10"/>
  <c r="E66" i="12"/>
  <c r="E859" i="12"/>
  <c r="AC859" i="10"/>
  <c r="E770" i="12"/>
  <c r="AC770" i="10"/>
  <c r="E493" i="12"/>
  <c r="AC493" i="10"/>
  <c r="AC187" i="10"/>
  <c r="E187" i="12"/>
  <c r="E1189" i="12"/>
  <c r="AC1189" i="10"/>
  <c r="E166" i="12"/>
  <c r="AC166" i="10"/>
  <c r="E776" i="12"/>
  <c r="AC776" i="10"/>
  <c r="E242" i="12"/>
  <c r="AC242" i="10"/>
  <c r="AC1113" i="10"/>
  <c r="E1113" i="12"/>
  <c r="E496" i="12"/>
  <c r="AC496" i="10"/>
  <c r="AC889" i="10"/>
  <c r="E889" i="12"/>
  <c r="AC840" i="10"/>
  <c r="E840" i="12"/>
  <c r="AC423" i="10"/>
  <c r="E423" i="12"/>
  <c r="AC528" i="10"/>
  <c r="E528" i="12"/>
  <c r="E597" i="12"/>
  <c r="AC597" i="10"/>
  <c r="AC825" i="10"/>
  <c r="E825" i="12"/>
  <c r="E450" i="12"/>
  <c r="AC450" i="10"/>
  <c r="AC668" i="10"/>
  <c r="E668" i="12"/>
  <c r="E169" i="12"/>
  <c r="AC169" i="10"/>
  <c r="E48" i="12"/>
  <c r="AC48" i="10"/>
  <c r="E846" i="12"/>
  <c r="AC846" i="10"/>
  <c r="E655" i="12"/>
  <c r="AC655" i="10"/>
  <c r="AC240" i="10"/>
  <c r="E240" i="12"/>
  <c r="AC752" i="10"/>
  <c r="E752" i="12"/>
  <c r="AC732" i="10"/>
  <c r="E732" i="12"/>
  <c r="E604" i="12"/>
  <c r="AC604" i="10"/>
  <c r="AC1153" i="10"/>
  <c r="E1153" i="12"/>
  <c r="AC543" i="10"/>
  <c r="E543" i="12"/>
  <c r="AC508" i="10"/>
  <c r="E508" i="12"/>
  <c r="AC501" i="10"/>
  <c r="E501" i="12"/>
  <c r="AC289" i="10"/>
  <c r="E289" i="12"/>
  <c r="AC133" i="10"/>
  <c r="E133" i="12"/>
  <c r="E884" i="12"/>
  <c r="AC884" i="10"/>
  <c r="AC548" i="10"/>
  <c r="E548" i="12"/>
  <c r="E492" i="12"/>
  <c r="AC492" i="10"/>
  <c r="AC1049" i="10"/>
  <c r="E1049" i="12"/>
  <c r="AC1024" i="10"/>
  <c r="E1024" i="12"/>
  <c r="E556" i="12"/>
  <c r="AC556" i="10"/>
  <c r="AC667" i="10"/>
  <c r="E667" i="12"/>
  <c r="E635" i="12"/>
  <c r="AC635" i="10"/>
  <c r="AC28" i="10"/>
  <c r="E28" i="12"/>
  <c r="AC405" i="10"/>
  <c r="E405" i="12"/>
  <c r="AC102" i="10"/>
  <c r="E102" i="12"/>
  <c r="E563" i="12"/>
  <c r="AC563" i="10"/>
  <c r="D153" i="12"/>
  <c r="AD153" i="10"/>
  <c r="E429" i="12"/>
  <c r="AC429" i="10"/>
  <c r="AC74" i="10"/>
  <c r="E74" i="12"/>
  <c r="AC558" i="10"/>
  <c r="E558" i="12"/>
  <c r="D971" i="12"/>
  <c r="AD971" i="10"/>
  <c r="D70" i="12"/>
  <c r="AD70" i="10"/>
  <c r="AD13" i="10"/>
  <c r="E449" i="12"/>
  <c r="AC449" i="10"/>
  <c r="D604" i="12"/>
  <c r="D933" i="12"/>
  <c r="AD933" i="10"/>
  <c r="AC455" i="10"/>
  <c r="E455" i="12"/>
  <c r="AC803" i="10"/>
  <c r="E803" i="12"/>
  <c r="E517" i="12"/>
  <c r="AC517" i="10"/>
  <c r="D456" i="12"/>
  <c r="AD456" i="10"/>
  <c r="E468" i="12"/>
  <c r="AC468" i="10"/>
  <c r="AD991" i="10"/>
  <c r="D991" i="12"/>
  <c r="AC592" i="10"/>
  <c r="E592" i="12"/>
  <c r="AC321" i="10"/>
  <c r="E321" i="12"/>
  <c r="AD488" i="10"/>
  <c r="E984" i="12"/>
  <c r="AC984" i="10"/>
  <c r="AC539" i="10"/>
  <c r="E539" i="12"/>
  <c r="AD743" i="10"/>
  <c r="E557" i="12"/>
  <c r="AC557" i="10"/>
  <c r="E258" i="12"/>
  <c r="AC258" i="10"/>
  <c r="D555" i="12"/>
  <c r="AD555" i="10"/>
  <c r="E1028" i="12"/>
  <c r="AC1028" i="10"/>
  <c r="E662" i="12"/>
  <c r="AC662" i="10"/>
  <c r="AD906" i="10"/>
  <c r="AD993" i="10"/>
  <c r="D993" i="12"/>
  <c r="AC148" i="10"/>
  <c r="E148" i="12"/>
  <c r="AD198" i="10"/>
  <c r="D198" i="12"/>
  <c r="AD1051" i="10"/>
  <c r="AD714" i="10"/>
  <c r="D714" i="12"/>
  <c r="AC256" i="10"/>
  <c r="E256" i="12"/>
  <c r="E325" i="12"/>
  <c r="AC325" i="10"/>
  <c r="D798" i="12"/>
  <c r="AD798" i="10"/>
  <c r="E1089" i="12"/>
  <c r="AC1089" i="10"/>
  <c r="D489" i="12"/>
  <c r="AD489" i="10"/>
  <c r="E470" i="12"/>
  <c r="AC470" i="10"/>
  <c r="E775" i="12"/>
  <c r="AC775" i="10"/>
  <c r="AD204" i="10"/>
  <c r="AC55" i="10"/>
  <c r="E55" i="12"/>
  <c r="E1131" i="12"/>
  <c r="AC1131" i="10"/>
  <c r="E472" i="12"/>
  <c r="AC472" i="10"/>
  <c r="E570" i="12"/>
  <c r="AC570" i="10"/>
  <c r="E1034" i="12"/>
  <c r="AC1034" i="10"/>
  <c r="AD1138" i="10"/>
  <c r="D1138" i="12"/>
  <c r="E312" i="12"/>
  <c r="AC312" i="10"/>
  <c r="AC38" i="10"/>
  <c r="E38" i="12"/>
  <c r="AC221" i="10"/>
  <c r="E221" i="12"/>
  <c r="E1046" i="12"/>
  <c r="AC1046" i="10"/>
  <c r="E456" i="12"/>
  <c r="AC456" i="10"/>
  <c r="E503" i="12"/>
  <c r="AC503" i="10"/>
  <c r="E1161" i="12"/>
  <c r="AC1161" i="10"/>
  <c r="E873" i="12"/>
  <c r="AC873" i="10"/>
  <c r="E922" i="12"/>
  <c r="AC922" i="10"/>
  <c r="AC988" i="10"/>
  <c r="E988" i="12"/>
  <c r="AC482" i="10"/>
  <c r="E482" i="12"/>
  <c r="AC264" i="10"/>
  <c r="E264" i="12"/>
  <c r="AC975" i="10"/>
  <c r="E975" i="12"/>
  <c r="E798" i="12"/>
  <c r="AC798" i="10"/>
  <c r="E285" i="12"/>
  <c r="AC285" i="10"/>
  <c r="AC976" i="10"/>
  <c r="E976" i="12"/>
  <c r="AC537" i="10"/>
  <c r="E537" i="12"/>
  <c r="AC513" i="10"/>
  <c r="E513" i="12"/>
  <c r="E585" i="12"/>
  <c r="AC585" i="10"/>
  <c r="AC182" i="10"/>
  <c r="E182" i="12"/>
  <c r="AC352" i="10"/>
  <c r="E352" i="12"/>
  <c r="E208" i="12"/>
  <c r="AC208" i="10"/>
  <c r="E961" i="12"/>
  <c r="AC961" i="10"/>
  <c r="E158" i="12"/>
  <c r="AC158" i="10"/>
  <c r="E541" i="12"/>
  <c r="AC541" i="10"/>
  <c r="E4" i="12"/>
  <c r="AC4" i="10"/>
  <c r="AC1188" i="10"/>
  <c r="E1188" i="12"/>
  <c r="E65" i="12"/>
  <c r="AC65" i="10"/>
  <c r="E903" i="12"/>
  <c r="AC903" i="10"/>
  <c r="AC626" i="10"/>
  <c r="E626" i="12"/>
  <c r="AC891" i="10"/>
  <c r="E891" i="12"/>
  <c r="E464" i="12"/>
  <c r="AC464" i="10"/>
  <c r="AC227" i="10"/>
  <c r="E227" i="12"/>
  <c r="E796" i="12"/>
  <c r="AC796" i="10"/>
  <c r="E1018" i="12"/>
  <c r="AC1018" i="10"/>
  <c r="AC648" i="10"/>
  <c r="E648" i="12"/>
  <c r="AC743" i="10"/>
  <c r="E743" i="12"/>
  <c r="AC209" i="10"/>
  <c r="E209" i="12"/>
  <c r="E819" i="12"/>
  <c r="AC819" i="10"/>
  <c r="E727" i="12"/>
  <c r="AC727" i="10"/>
  <c r="AC82" i="10"/>
  <c r="E82" i="12"/>
  <c r="AC521" i="10"/>
  <c r="E521" i="12"/>
  <c r="E334" i="12"/>
  <c r="AC334" i="10"/>
  <c r="E424" i="12"/>
  <c r="AC424" i="10"/>
  <c r="AC418" i="10"/>
  <c r="E418" i="12"/>
  <c r="AC640" i="10"/>
  <c r="E640" i="12"/>
  <c r="AC647" i="10"/>
  <c r="E647" i="12"/>
  <c r="AC738" i="10"/>
  <c r="E738" i="12"/>
  <c r="AC255" i="10"/>
  <c r="E255" i="12"/>
  <c r="E1128" i="12"/>
  <c r="AC1128" i="10"/>
  <c r="E601" i="12"/>
  <c r="AC601" i="10"/>
  <c r="AC1190" i="10"/>
  <c r="E1190" i="12"/>
  <c r="E1080" i="12"/>
  <c r="AC1080" i="10"/>
  <c r="E443" i="12"/>
  <c r="AC443" i="10"/>
  <c r="AC902" i="10"/>
  <c r="E902" i="12"/>
  <c r="E442" i="12"/>
  <c r="AC442" i="10"/>
  <c r="AC1172" i="10"/>
  <c r="E1172" i="12"/>
  <c r="D345" i="12"/>
  <c r="AD345" i="10"/>
  <c r="D422" i="12"/>
  <c r="AD422" i="10"/>
  <c r="AD1143" i="10"/>
  <c r="E740" i="12"/>
  <c r="AC740" i="10"/>
  <c r="AD97" i="10"/>
  <c r="D97" i="12"/>
  <c r="D183" i="12"/>
  <c r="AD183" i="10"/>
  <c r="AD1118" i="10"/>
  <c r="AD717" i="10"/>
  <c r="D717" i="12"/>
  <c r="D537" i="12"/>
  <c r="AD537" i="10"/>
  <c r="AC745" i="10"/>
  <c r="E745" i="12"/>
  <c r="AC163" i="10"/>
  <c r="E163" i="12"/>
  <c r="E697" i="12"/>
  <c r="AC697" i="10"/>
  <c r="AD208" i="10"/>
  <c r="D208" i="12"/>
  <c r="AC977" i="10"/>
  <c r="E977" i="12"/>
  <c r="E129" i="12"/>
  <c r="AC129" i="10"/>
  <c r="D1140" i="12"/>
  <c r="AD1140" i="10"/>
  <c r="D735" i="12"/>
  <c r="AD735" i="10"/>
  <c r="AD484" i="10"/>
  <c r="D484" i="12"/>
  <c r="AC760" i="10"/>
  <c r="E760" i="12"/>
  <c r="E1010" i="12"/>
  <c r="AC1010" i="10"/>
  <c r="D351" i="12"/>
  <c r="AD351" i="10"/>
  <c r="AD538" i="10"/>
  <c r="D538" i="12"/>
  <c r="E19" i="12"/>
  <c r="AC19" i="10"/>
  <c r="E598" i="12"/>
  <c r="AC598" i="10"/>
  <c r="AD25" i="10"/>
  <c r="D25" i="12"/>
  <c r="D655" i="12"/>
  <c r="AD655" i="10"/>
  <c r="E821" i="12"/>
  <c r="AC821" i="10"/>
  <c r="E783" i="12"/>
  <c r="AC783" i="10"/>
  <c r="AD40" i="10"/>
  <c r="D930" i="12"/>
  <c r="AD930" i="10"/>
  <c r="AC297" i="10"/>
  <c r="E297" i="12"/>
  <c r="AD191" i="10"/>
  <c r="D1134" i="12"/>
  <c r="AD1134" i="10"/>
  <c r="AC1103" i="10"/>
  <c r="E1103" i="12"/>
  <c r="AD394" i="10"/>
  <c r="D394" i="12"/>
  <c r="AD1110" i="10"/>
  <c r="AC249" i="10"/>
  <c r="E249" i="12"/>
  <c r="D697" i="12"/>
  <c r="AC786" i="10"/>
  <c r="E786" i="12"/>
  <c r="D1157" i="12"/>
  <c r="AD1157" i="10"/>
  <c r="AC832" i="10"/>
  <c r="E832" i="12"/>
  <c r="E206" i="12"/>
  <c r="AC206" i="10"/>
  <c r="D869" i="12"/>
  <c r="E1181" i="12"/>
  <c r="AC1181" i="10"/>
  <c r="E912" i="12"/>
  <c r="AC912" i="10"/>
  <c r="AD587" i="10"/>
  <c r="AC302" i="10"/>
  <c r="E302" i="12"/>
  <c r="E1067" i="12"/>
  <c r="AC1067" i="10"/>
  <c r="AC453" i="10"/>
  <c r="E453" i="12"/>
  <c r="AC572" i="10"/>
  <c r="E572" i="12"/>
  <c r="E872" i="12"/>
  <c r="AC872" i="10"/>
  <c r="E514" i="12"/>
  <c r="AC514" i="10"/>
  <c r="AC839" i="10"/>
  <c r="E839" i="12"/>
  <c r="E964" i="12"/>
  <c r="AC964" i="10"/>
  <c r="AC1129" i="10"/>
  <c r="E1129" i="12"/>
  <c r="E1141" i="12"/>
  <c r="AC1141" i="10"/>
  <c r="AC965" i="10"/>
  <c r="E965" i="12"/>
  <c r="AC491" i="10"/>
  <c r="E491" i="12"/>
  <c r="E619" i="12"/>
  <c r="AC619" i="10"/>
  <c r="AC477" i="10"/>
  <c r="E477" i="12"/>
  <c r="AC861" i="10"/>
  <c r="E861" i="12"/>
  <c r="AC246" i="10"/>
  <c r="E246" i="12"/>
  <c r="E659" i="12"/>
  <c r="AC659" i="10"/>
  <c r="E136" i="12"/>
  <c r="AC136" i="10"/>
  <c r="AC81" i="10"/>
  <c r="E81" i="12"/>
  <c r="E610" i="12"/>
  <c r="AC610" i="10"/>
  <c r="E892" i="12"/>
  <c r="AC892" i="10"/>
  <c r="AC338" i="10"/>
  <c r="E338" i="12"/>
  <c r="E901" i="12"/>
  <c r="AC901" i="10"/>
  <c r="E410" i="12"/>
  <c r="AC410" i="10"/>
  <c r="AD265" i="10"/>
  <c r="D265" i="12"/>
  <c r="E623" i="12"/>
  <c r="AC623" i="10"/>
  <c r="AC577" i="10"/>
  <c r="E577" i="12"/>
  <c r="E315" i="12"/>
  <c r="AC315" i="10"/>
  <c r="E687" i="12"/>
  <c r="AC687" i="10"/>
  <c r="E152" i="12"/>
  <c r="AC152" i="10"/>
  <c r="E1020" i="12"/>
  <c r="AC1020" i="10"/>
  <c r="AC879" i="10"/>
  <c r="E879" i="12"/>
  <c r="AC1039" i="10"/>
  <c r="E1039" i="12"/>
  <c r="AC771" i="10"/>
  <c r="E771" i="12"/>
  <c r="E504" i="12"/>
  <c r="AC504" i="10"/>
  <c r="E304" i="12"/>
  <c r="AC304" i="10"/>
  <c r="AC519" i="10"/>
  <c r="E519" i="12"/>
  <c r="E1006" i="12"/>
  <c r="AC1006" i="10"/>
  <c r="E782" i="12"/>
  <c r="AC782" i="10"/>
  <c r="AC831" i="10"/>
  <c r="E831" i="12"/>
  <c r="E806" i="12"/>
  <c r="AC806" i="10"/>
  <c r="E174" i="12"/>
  <c r="AC174" i="10"/>
  <c r="AC1147" i="10"/>
  <c r="E1147" i="12"/>
  <c r="AC711" i="10"/>
  <c r="E711" i="12"/>
  <c r="AC243" i="10"/>
  <c r="E243" i="12"/>
  <c r="AC1033" i="10"/>
  <c r="E1033" i="12"/>
  <c r="AC835" i="10"/>
  <c r="E835" i="12"/>
  <c r="E1016" i="12"/>
  <c r="AC1016" i="10"/>
  <c r="AC1011" i="10"/>
  <c r="E1011" i="12"/>
  <c r="E815" i="12"/>
  <c r="AC815" i="10"/>
  <c r="AC151" i="10"/>
  <c r="E151" i="12"/>
  <c r="E746" i="12"/>
  <c r="AC746" i="10"/>
  <c r="AC25" i="10"/>
  <c r="E25" i="12"/>
  <c r="AC78" i="10"/>
  <c r="E78" i="12"/>
  <c r="AC700" i="10"/>
  <c r="E700" i="12"/>
  <c r="AC323" i="10"/>
  <c r="E323" i="12"/>
  <c r="AC484" i="10"/>
  <c r="E484" i="12"/>
  <c r="AC170" i="10"/>
  <c r="E170" i="12"/>
  <c r="AC896" i="10"/>
  <c r="E896" i="12"/>
  <c r="AC276" i="10"/>
  <c r="E276" i="12"/>
  <c r="AC595" i="10"/>
  <c r="E595" i="12"/>
  <c r="E23" i="12"/>
  <c r="AC23" i="10"/>
  <c r="AC167" i="10"/>
  <c r="E167" i="12"/>
  <c r="E433" i="12"/>
  <c r="AC433" i="10"/>
  <c r="D51" i="12"/>
  <c r="D434" i="12"/>
  <c r="AD434" i="10"/>
  <c r="E885" i="12"/>
  <c r="AC885" i="10"/>
  <c r="D707" i="12"/>
  <c r="AD707" i="10"/>
  <c r="AC90" i="10"/>
  <c r="E90" i="12"/>
  <c r="AD230" i="10"/>
  <c r="E469" i="12"/>
  <c r="AC469" i="10"/>
  <c r="E545" i="12"/>
  <c r="AC545" i="10"/>
  <c r="D1029" i="12"/>
  <c r="AD1029" i="10"/>
  <c r="AD212" i="10"/>
  <c r="D212" i="12"/>
  <c r="AD136" i="10"/>
  <c r="D136" i="12"/>
  <c r="D582" i="12"/>
  <c r="D378" i="12"/>
  <c r="AD378" i="10"/>
  <c r="E955" i="12"/>
  <c r="AC955" i="10"/>
  <c r="AC875" i="10"/>
  <c r="E875" i="12"/>
  <c r="AD219" i="10"/>
  <c r="D219" i="12"/>
  <c r="E943" i="12"/>
  <c r="AC943" i="10"/>
  <c r="AC1069" i="10"/>
  <c r="E1069" i="12"/>
  <c r="AD665" i="10"/>
  <c r="AC632" i="10"/>
  <c r="E632" i="12"/>
  <c r="D58" i="12"/>
  <c r="D889" i="12"/>
  <c r="D552" i="12"/>
  <c r="AD552" i="10"/>
  <c r="AC1003" i="10"/>
  <c r="E1003" i="12"/>
  <c r="D586" i="12"/>
  <c r="AD586" i="10"/>
  <c r="D130" i="12"/>
  <c r="AD130" i="10"/>
  <c r="AC287" i="10"/>
  <c r="E287" i="12"/>
  <c r="AD105" i="10"/>
  <c r="D105" i="12"/>
  <c r="AC1001" i="10"/>
  <c r="E1001" i="12"/>
  <c r="AD1067" i="10"/>
  <c r="D1067" i="12"/>
  <c r="D983" i="12"/>
  <c r="AD983" i="10"/>
  <c r="AC1157" i="10"/>
  <c r="E1157" i="12"/>
  <c r="AC582" i="10"/>
  <c r="E582" i="12"/>
  <c r="AC790" i="10"/>
  <c r="E790" i="12"/>
  <c r="AD738" i="10"/>
  <c r="D738" i="12"/>
  <c r="E843" i="12"/>
  <c r="AC843" i="10"/>
  <c r="AC397" i="10"/>
  <c r="E397" i="12"/>
  <c r="AC603" i="10"/>
  <c r="E603" i="12"/>
  <c r="E237" i="12"/>
  <c r="AC237" i="10"/>
  <c r="AC359" i="10"/>
  <c r="E359" i="12"/>
  <c r="AC69" i="10"/>
  <c r="E69" i="12"/>
  <c r="AC366" i="10"/>
  <c r="E366" i="12"/>
  <c r="AC1055" i="10"/>
  <c r="E1055" i="12"/>
  <c r="AC800" i="10"/>
  <c r="E800" i="12"/>
  <c r="AC220" i="10"/>
  <c r="E220" i="12"/>
  <c r="E1193" i="12"/>
  <c r="AC1193" i="10"/>
  <c r="E1045" i="12"/>
  <c r="AC1045" i="10"/>
  <c r="E473" i="12"/>
  <c r="AC473" i="10"/>
  <c r="AC952" i="10"/>
  <c r="E952" i="12"/>
  <c r="AC142" i="10"/>
  <c r="E142" i="12"/>
  <c r="AC1062" i="10"/>
  <c r="E1062" i="12"/>
  <c r="E749" i="12"/>
  <c r="AC749" i="10"/>
  <c r="E707" i="12"/>
  <c r="AC707" i="10"/>
  <c r="E1175" i="12"/>
  <c r="AC1175" i="10"/>
  <c r="AC265" i="10"/>
  <c r="E265" i="12"/>
  <c r="AC664" i="10"/>
  <c r="E664" i="12"/>
  <c r="E426" i="12"/>
  <c r="AC426" i="10"/>
  <c r="AC658" i="10"/>
  <c r="E658" i="12"/>
  <c r="E435" i="12"/>
  <c r="AC435" i="10"/>
  <c r="E878" i="12"/>
  <c r="AC878" i="10"/>
  <c r="E59" i="12"/>
  <c r="AC59" i="10"/>
  <c r="AC613" i="10"/>
  <c r="E613" i="12"/>
  <c r="AC330" i="10"/>
  <c r="E330" i="12"/>
  <c r="AC1139" i="10"/>
  <c r="E1139" i="12"/>
  <c r="E109" i="12"/>
  <c r="AC109" i="10"/>
  <c r="E1158" i="12"/>
  <c r="AC1158" i="10"/>
  <c r="AC100" i="10"/>
  <c r="E100" i="12"/>
  <c r="AC32" i="10"/>
  <c r="E32" i="12"/>
  <c r="AC715" i="10"/>
  <c r="E715" i="12"/>
  <c r="AC726" i="10"/>
  <c r="E726" i="12"/>
  <c r="E454" i="12"/>
  <c r="AC454" i="10"/>
  <c r="AC1130" i="10"/>
  <c r="E1130" i="12"/>
  <c r="E942" i="12"/>
  <c r="AC942" i="10"/>
  <c r="AC802" i="10"/>
  <c r="E802" i="12"/>
  <c r="E694" i="12"/>
  <c r="AC694" i="10"/>
  <c r="E522" i="12"/>
  <c r="AC522" i="10"/>
  <c r="AC945" i="10"/>
  <c r="E945" i="12"/>
  <c r="AC974" i="10"/>
  <c r="E974" i="12"/>
  <c r="E633" i="12"/>
  <c r="AC633" i="10"/>
  <c r="AC498" i="10"/>
  <c r="E498" i="12"/>
  <c r="AC386" i="10"/>
  <c r="E386" i="12"/>
  <c r="AC895" i="10"/>
  <c r="E895" i="12"/>
  <c r="E80" i="12"/>
  <c r="AC80" i="10"/>
  <c r="E284" i="12"/>
  <c r="AC284" i="10"/>
  <c r="AC801" i="10"/>
  <c r="E801" i="12"/>
  <c r="AC396" i="10"/>
  <c r="E396" i="12"/>
  <c r="AC195" i="10"/>
  <c r="E195" i="12"/>
  <c r="AC16" i="10"/>
  <c r="E16" i="12"/>
  <c r="E22" i="12"/>
  <c r="AC22" i="10"/>
  <c r="AC92" i="10"/>
  <c r="E92" i="12"/>
  <c r="AC238" i="10"/>
  <c r="E238" i="12"/>
  <c r="E271" i="12"/>
  <c r="AC271" i="10"/>
  <c r="E1160" i="12"/>
  <c r="AC1160" i="10"/>
  <c r="AC1014" i="10"/>
  <c r="E1014" i="12"/>
  <c r="AC1144" i="10"/>
  <c r="E1144" i="12"/>
  <c r="E515" i="12"/>
  <c r="AC515" i="10"/>
  <c r="AC685" i="10"/>
  <c r="E685" i="12"/>
  <c r="E288" i="12"/>
  <c r="AC288" i="10"/>
  <c r="AC946" i="10"/>
  <c r="E946" i="12"/>
  <c r="AC409" i="10"/>
  <c r="E409" i="12"/>
  <c r="AC574" i="10"/>
  <c r="E574" i="12"/>
  <c r="D156" i="12"/>
  <c r="AD156" i="10"/>
  <c r="AD1102" i="10"/>
  <c r="E1121" i="12"/>
  <c r="AC1121" i="10"/>
  <c r="D778" i="12"/>
  <c r="E1023" i="12"/>
  <c r="AC1023" i="10"/>
  <c r="E71" i="12"/>
  <c r="AC71" i="10"/>
  <c r="AD541" i="10"/>
  <c r="D541" i="12"/>
  <c r="AC971" i="10"/>
  <c r="E971" i="12"/>
  <c r="AC876" i="10"/>
  <c r="E876" i="12"/>
  <c r="AC317" i="10"/>
  <c r="E317" i="12"/>
  <c r="AC1168" i="10"/>
  <c r="E1168" i="12"/>
  <c r="AC1102" i="10"/>
  <c r="E1102" i="12"/>
  <c r="AC523" i="10"/>
  <c r="E523" i="12"/>
  <c r="AC1096" i="10"/>
  <c r="E1096" i="12"/>
  <c r="AD417" i="10"/>
  <c r="D417" i="12"/>
  <c r="AC446" i="10"/>
  <c r="E446" i="12"/>
  <c r="D941" i="12"/>
  <c r="AD941" i="10"/>
  <c r="E1078" i="12"/>
  <c r="AC1078" i="10"/>
  <c r="D150" i="12"/>
  <c r="AD150" i="10"/>
  <c r="D141" i="12"/>
  <c r="AD141" i="10"/>
  <c r="AD787" i="10"/>
  <c r="AC833" i="10"/>
  <c r="E833" i="12"/>
  <c r="AD759" i="10"/>
  <c r="D759" i="12"/>
  <c r="AD404" i="10"/>
  <c r="D404" i="12"/>
  <c r="AC684" i="10"/>
  <c r="E684" i="12"/>
  <c r="AD672" i="10"/>
  <c r="AD517" i="10"/>
  <c r="E9" i="12"/>
  <c r="AC9" i="10"/>
  <c r="E1184" i="12"/>
  <c r="AC1184" i="10"/>
  <c r="E200" i="12"/>
  <c r="AC200" i="10"/>
  <c r="E1135" i="12"/>
  <c r="AC1135" i="10"/>
  <c r="AC311" i="10"/>
  <c r="E311" i="12"/>
  <c r="AD1107" i="10"/>
  <c r="AC882" i="10"/>
  <c r="E882" i="12"/>
  <c r="E70" i="12"/>
  <c r="AC70" i="10"/>
  <c r="E972" i="12"/>
  <c r="AC972" i="10"/>
  <c r="E292" i="12"/>
  <c r="AC292" i="10"/>
  <c r="AC1146" i="10"/>
  <c r="E1146" i="12"/>
  <c r="AC6" i="10"/>
  <c r="E6" i="12"/>
  <c r="AC445" i="10"/>
  <c r="E445" i="12"/>
  <c r="AC179" i="10"/>
  <c r="E179" i="12"/>
  <c r="AC1002" i="10"/>
  <c r="E1002" i="12"/>
  <c r="E296" i="12"/>
  <c r="AC296" i="10"/>
  <c r="AC253" i="10"/>
  <c r="E253" i="12"/>
  <c r="AC475" i="10"/>
  <c r="E475" i="12"/>
  <c r="AC293" i="10"/>
  <c r="E293" i="12"/>
  <c r="AC171" i="10"/>
  <c r="E171" i="12"/>
  <c r="E837" i="12"/>
  <c r="AC837" i="10"/>
  <c r="E1094" i="12"/>
  <c r="AC1094" i="10"/>
  <c r="E985" i="12"/>
  <c r="AC985" i="10"/>
  <c r="E868" i="12"/>
  <c r="AC868" i="10"/>
  <c r="AC793" i="10"/>
  <c r="E793" i="12"/>
  <c r="AC921" i="10"/>
  <c r="E921" i="12"/>
  <c r="AC762" i="10"/>
  <c r="E762" i="12"/>
  <c r="E1022" i="12"/>
  <c r="AC1022" i="10"/>
  <c r="AC104" i="10"/>
  <c r="E104" i="12"/>
  <c r="AC653" i="10"/>
  <c r="E653" i="12"/>
  <c r="E1159" i="12"/>
  <c r="AC1159" i="10"/>
  <c r="E969" i="12"/>
  <c r="AC969" i="10"/>
  <c r="AC704" i="10"/>
  <c r="E704" i="12"/>
  <c r="D854" i="12"/>
  <c r="AD854" i="10"/>
  <c r="AC1008" i="10"/>
  <c r="E1008" i="12"/>
  <c r="AC562" i="10"/>
  <c r="E562" i="12"/>
  <c r="E925" i="12"/>
  <c r="AC925" i="10"/>
  <c r="E506" i="12"/>
  <c r="AC506" i="10"/>
  <c r="E353" i="12"/>
  <c r="AC353" i="10"/>
  <c r="AC779" i="10"/>
  <c r="E779" i="12"/>
  <c r="E606" i="12"/>
  <c r="AC606" i="10"/>
  <c r="AC1167" i="10"/>
  <c r="E1167" i="12"/>
  <c r="AC844" i="10"/>
  <c r="E844" i="12"/>
  <c r="E499" i="12"/>
  <c r="AC499" i="10"/>
  <c r="E77" i="12"/>
  <c r="AC77" i="10"/>
  <c r="AC1081" i="10"/>
  <c r="E1081" i="12"/>
  <c r="AC431" i="10"/>
  <c r="E431" i="12"/>
  <c r="E348" i="12"/>
  <c r="AC348" i="10"/>
  <c r="E458" i="12"/>
  <c r="AC458" i="10"/>
  <c r="AC757" i="10"/>
  <c r="E757" i="12"/>
  <c r="AC963" i="10"/>
  <c r="E963" i="12"/>
  <c r="AC948" i="10"/>
  <c r="E948" i="12"/>
  <c r="AC184" i="10"/>
  <c r="E184" i="12"/>
  <c r="AC905" i="10"/>
  <c r="E905" i="12"/>
  <c r="AC1029" i="10"/>
  <c r="E1029" i="12"/>
  <c r="E982" i="12"/>
  <c r="AC982" i="10"/>
  <c r="AC33" i="10"/>
  <c r="E33" i="12"/>
  <c r="E60" i="12"/>
  <c r="AC60" i="10"/>
  <c r="E730" i="12"/>
  <c r="AC730" i="10"/>
  <c r="E573" i="12"/>
  <c r="AC573" i="10"/>
  <c r="E43" i="12"/>
  <c r="AC43" i="10"/>
  <c r="AC966" i="10"/>
  <c r="E966" i="12"/>
  <c r="E645" i="12"/>
  <c r="AC645" i="10"/>
  <c r="E989" i="12"/>
  <c r="AC989" i="10"/>
  <c r="E1086" i="12"/>
  <c r="AC1086" i="10"/>
  <c r="AC973" i="10"/>
  <c r="E973" i="12"/>
  <c r="E534" i="12"/>
  <c r="AC534" i="10"/>
  <c r="AC652" i="10"/>
  <c r="E652" i="12"/>
  <c r="AC553" i="10"/>
  <c r="E553" i="12"/>
  <c r="D877" i="12"/>
  <c r="AD877" i="10"/>
  <c r="D302" i="12"/>
  <c r="AD302" i="10"/>
  <c r="E2" i="12"/>
  <c r="AC2" i="10"/>
  <c r="D26" i="12"/>
  <c r="D1171" i="12"/>
  <c r="AD1171" i="10"/>
  <c r="D273" i="12"/>
  <c r="AD273" i="10"/>
  <c r="AD96" i="10"/>
  <c r="AD846" i="10"/>
  <c r="AC938" i="10"/>
  <c r="E938" i="12"/>
  <c r="E322" i="12"/>
  <c r="AC322" i="10"/>
  <c r="E1041" i="12"/>
  <c r="AC1041" i="10"/>
  <c r="AD680" i="10"/>
  <c r="AC584" i="10"/>
  <c r="E584" i="12"/>
  <c r="E1051" i="12"/>
  <c r="AC1051" i="10"/>
  <c r="D450" i="12"/>
  <c r="E991" i="12"/>
  <c r="AC991" i="10"/>
  <c r="D671" i="12"/>
  <c r="AD671" i="10"/>
  <c r="E425" i="12"/>
  <c r="AC425" i="10"/>
  <c r="AD982" i="10"/>
  <c r="D982" i="12"/>
  <c r="AD654" i="10"/>
  <c r="D654" i="12"/>
  <c r="AC698" i="10"/>
  <c r="E698" i="12"/>
  <c r="AC705" i="10"/>
  <c r="E705" i="12"/>
  <c r="AC724" i="10"/>
  <c r="E724" i="12"/>
  <c r="E845" i="12"/>
  <c r="AC845" i="10"/>
  <c r="AC620" i="10"/>
  <c r="E620" i="12"/>
  <c r="D560" i="12"/>
  <c r="AC579" i="10"/>
  <c r="E579" i="12"/>
  <c r="AC480" i="10"/>
  <c r="E480" i="12"/>
  <c r="AC318" i="10"/>
  <c r="E318" i="12"/>
  <c r="E791" i="12"/>
  <c r="AC791" i="10"/>
  <c r="AC1115" i="10"/>
  <c r="E1115" i="12"/>
  <c r="E1059" i="12"/>
  <c r="AC1059" i="10"/>
  <c r="E1021" i="12"/>
  <c r="AC1021" i="10"/>
  <c r="AC607" i="10"/>
  <c r="E607" i="12"/>
  <c r="E936" i="12"/>
  <c r="AC936" i="10"/>
  <c r="AC888" i="10"/>
  <c r="E888" i="12"/>
  <c r="E30" i="12"/>
  <c r="AC30" i="10"/>
  <c r="E50" i="12"/>
  <c r="AC50" i="10"/>
  <c r="E960" i="12"/>
  <c r="AC960" i="10"/>
  <c r="E804" i="12"/>
  <c r="AC804" i="10"/>
  <c r="AC149" i="10"/>
  <c r="E149" i="12"/>
  <c r="AC232" i="10"/>
  <c r="E232" i="12"/>
  <c r="AC3" i="10"/>
  <c r="E3" i="12"/>
  <c r="AC735" i="10"/>
  <c r="E735" i="12"/>
  <c r="AC217" i="10"/>
  <c r="E217" i="12"/>
  <c r="AC932" i="10"/>
  <c r="E932" i="12"/>
  <c r="E1015" i="12"/>
  <c r="AC1015" i="10"/>
  <c r="E789" i="12"/>
  <c r="AC789" i="10"/>
  <c r="E185" i="12"/>
  <c r="AC185" i="10"/>
  <c r="E939" i="12"/>
  <c r="AC939" i="10"/>
  <c r="AC512" i="10"/>
  <c r="E512" i="12"/>
  <c r="AC106" i="10"/>
  <c r="E106" i="12"/>
  <c r="AC996" i="10"/>
  <c r="E996" i="12"/>
  <c r="D279" i="12"/>
  <c r="E463" i="12"/>
  <c r="AC463" i="10"/>
  <c r="AC403" i="10"/>
  <c r="E403" i="12"/>
  <c r="E841" i="12"/>
  <c r="AC841" i="10"/>
  <c r="AC377" i="10"/>
  <c r="E377" i="12"/>
  <c r="AC1122" i="10"/>
  <c r="E1122" i="12"/>
  <c r="AC927" i="10"/>
  <c r="E927" i="12"/>
  <c r="E524" i="12"/>
  <c r="AC524" i="10"/>
  <c r="E1017" i="12"/>
  <c r="AC1017" i="10"/>
  <c r="AC1174" i="10"/>
  <c r="E1174" i="12"/>
  <c r="AC29" i="10"/>
  <c r="E29" i="12"/>
  <c r="AC629" i="10"/>
  <c r="E629" i="12"/>
  <c r="E146" i="12"/>
  <c r="AC146" i="10"/>
  <c r="AC91" i="10"/>
  <c r="E91" i="12"/>
  <c r="E1088" i="12"/>
  <c r="AC1088" i="10"/>
  <c r="AC367" i="10"/>
  <c r="E367" i="12"/>
  <c r="E47" i="12"/>
  <c r="AC47" i="10"/>
  <c r="E987" i="12"/>
  <c r="AC987" i="10"/>
  <c r="E850" i="12"/>
  <c r="AC850" i="10"/>
  <c r="AC530" i="10"/>
  <c r="E530" i="12"/>
  <c r="E654" i="12"/>
  <c r="AC654" i="10"/>
  <c r="E1117" i="12"/>
  <c r="AC1117" i="10"/>
  <c r="AC488" i="10"/>
  <c r="E488" i="12"/>
  <c r="AC900" i="10"/>
  <c r="E900" i="12"/>
  <c r="E744" i="12"/>
  <c r="AC744" i="10"/>
  <c r="E547" i="12"/>
  <c r="AC547" i="10"/>
  <c r="AC57" i="10"/>
  <c r="E57" i="12"/>
  <c r="AC490" i="10"/>
  <c r="E490" i="12"/>
  <c r="AC568" i="10"/>
  <c r="E568" i="12"/>
  <c r="AC785" i="10"/>
  <c r="E785" i="12"/>
  <c r="AC615" i="10"/>
  <c r="E615" i="12"/>
  <c r="AC646" i="10"/>
  <c r="E646" i="12"/>
  <c r="E419" i="12"/>
  <c r="AC419" i="10"/>
  <c r="E324" i="12"/>
  <c r="AC324" i="10"/>
  <c r="AC930" i="10"/>
  <c r="E930" i="12"/>
  <c r="E671" i="12"/>
  <c r="AC671" i="10"/>
  <c r="AC1143" i="10"/>
  <c r="E1143" i="12"/>
  <c r="E84" i="12"/>
  <c r="AC84" i="10"/>
  <c r="AC569" i="10"/>
  <c r="E569" i="12"/>
  <c r="AD1149" i="10"/>
  <c r="D1045" i="12"/>
  <c r="AD1045" i="10"/>
  <c r="E375" i="12"/>
  <c r="AC375" i="10"/>
  <c r="D856" i="12"/>
  <c r="D318" i="12"/>
  <c r="AD318" i="10"/>
  <c r="E692" i="12"/>
  <c r="AC692" i="10"/>
  <c r="AC1185" i="10"/>
  <c r="E1185" i="12"/>
  <c r="E137" i="12"/>
  <c r="AC137" i="10"/>
  <c r="AC329" i="10"/>
  <c r="E329" i="12"/>
  <c r="D403" i="12"/>
  <c r="AD403" i="10"/>
  <c r="E114" i="12"/>
  <c r="AC114" i="10"/>
  <c r="E8" i="12"/>
  <c r="AC8" i="10"/>
  <c r="AC416" i="10"/>
  <c r="E416" i="12"/>
  <c r="AC72" i="10"/>
  <c r="E72" i="12"/>
  <c r="AC252" i="10"/>
  <c r="E252" i="12"/>
  <c r="E254" i="12"/>
  <c r="AC254" i="10"/>
  <c r="D1193" i="12"/>
  <c r="AD1193" i="10"/>
  <c r="AD1052" i="10"/>
  <c r="D1052" i="12"/>
  <c r="E983" i="12"/>
  <c r="AC983" i="10"/>
  <c r="AC564" i="10"/>
  <c r="E564" i="12"/>
  <c r="AC581" i="10"/>
  <c r="E581" i="12"/>
  <c r="D166" i="12"/>
  <c r="E1053" i="12"/>
  <c r="AC1053" i="10"/>
  <c r="E535" i="12"/>
  <c r="AC535" i="10"/>
  <c r="D646" i="12"/>
  <c r="AD646" i="10"/>
  <c r="D161" i="12"/>
  <c r="AD161" i="10"/>
  <c r="D73" i="12"/>
  <c r="AD73" i="10"/>
  <c r="AC495" i="10"/>
  <c r="E495" i="12"/>
  <c r="AC362" i="10"/>
  <c r="E362" i="12"/>
  <c r="AC807" i="10"/>
  <c r="E807" i="12"/>
  <c r="AD1178" i="10"/>
  <c r="D1178" i="12"/>
  <c r="AD1145" i="10"/>
  <c r="D1145" i="12"/>
  <c r="E674" i="12"/>
  <c r="AC674" i="10"/>
  <c r="AC35" i="10"/>
  <c r="E35" i="12"/>
  <c r="AC339" i="10"/>
  <c r="E339" i="12"/>
  <c r="AC180" i="10"/>
  <c r="E180" i="12"/>
  <c r="AC1173" i="10"/>
  <c r="E1173" i="12"/>
  <c r="E1019" i="12"/>
  <c r="AC1019" i="10"/>
  <c r="E516" i="12"/>
  <c r="AC516" i="10"/>
  <c r="AC937" i="10"/>
  <c r="E937" i="12"/>
  <c r="AC1073" i="10"/>
  <c r="E1073" i="12"/>
  <c r="E848" i="12"/>
  <c r="AC848" i="10"/>
  <c r="AC609" i="10"/>
  <c r="E609" i="12"/>
  <c r="AC1110" i="10"/>
  <c r="E1110" i="12"/>
  <c r="E649" i="12"/>
  <c r="AC649" i="10"/>
  <c r="AC234" i="10"/>
  <c r="E234" i="12"/>
  <c r="E400" i="12"/>
  <c r="AC400" i="10"/>
  <c r="E1187" i="12"/>
  <c r="AC1187" i="10"/>
  <c r="E665" i="12"/>
  <c r="AC665" i="10"/>
  <c r="E211" i="12"/>
  <c r="AC211" i="10"/>
  <c r="AC212" i="10"/>
  <c r="E212" i="12"/>
  <c r="AC953" i="10"/>
  <c r="E953" i="12"/>
  <c r="E728" i="12"/>
  <c r="AC728" i="10"/>
  <c r="AC447" i="10"/>
  <c r="E447" i="12"/>
  <c r="E44" i="12"/>
  <c r="AC44" i="10"/>
  <c r="AC1186" i="10"/>
  <c r="E1186" i="12"/>
  <c r="AC164" i="10"/>
  <c r="E164" i="12"/>
  <c r="AC191" i="10"/>
  <c r="E191" i="12"/>
  <c r="AC451" i="10"/>
  <c r="E451" i="12"/>
  <c r="E857" i="12"/>
  <c r="AC857" i="10"/>
  <c r="E899" i="12"/>
  <c r="AC899" i="10"/>
  <c r="E1120" i="12"/>
  <c r="AC1120" i="10"/>
  <c r="E795" i="12"/>
  <c r="AC795" i="10"/>
  <c r="AC278" i="10"/>
  <c r="E278" i="12"/>
  <c r="AC525" i="10"/>
  <c r="E525" i="12"/>
  <c r="E834" i="12"/>
  <c r="AC834" i="10"/>
  <c r="E870" i="12"/>
  <c r="AC870" i="10"/>
  <c r="AC854" i="10"/>
  <c r="E854" i="12"/>
  <c r="E101" i="12"/>
  <c r="AC101" i="10"/>
  <c r="AC1138" i="10"/>
  <c r="E1138" i="12"/>
  <c r="E210" i="12"/>
  <c r="AC210" i="10"/>
  <c r="AC144" i="10"/>
  <c r="E144" i="12"/>
  <c r="E816" i="12"/>
  <c r="AC816" i="10"/>
  <c r="AC733" i="10"/>
  <c r="E733" i="12"/>
  <c r="AC231" i="10"/>
  <c r="E231" i="12"/>
  <c r="AC56" i="10"/>
  <c r="E56" i="12"/>
  <c r="E186" i="12"/>
  <c r="AC186" i="10"/>
  <c r="E542" i="12"/>
  <c r="AC542" i="10"/>
  <c r="AC236" i="10"/>
  <c r="E236" i="12"/>
  <c r="AC520" i="10"/>
  <c r="E520" i="12"/>
  <c r="E497" i="12"/>
  <c r="AC497" i="10"/>
  <c r="E128" i="12"/>
  <c r="AC128" i="10"/>
  <c r="AC911" i="10"/>
  <c r="E911" i="12"/>
  <c r="AC277" i="10"/>
  <c r="E277" i="12"/>
  <c r="AC88" i="10"/>
  <c r="E88" i="12"/>
  <c r="AC1068" i="10"/>
  <c r="E1068" i="12"/>
  <c r="E544" i="12"/>
  <c r="AC544" i="10"/>
  <c r="E618" i="12"/>
  <c r="AC618" i="10"/>
  <c r="E282" i="12"/>
  <c r="AC282" i="10"/>
  <c r="E672" i="12"/>
  <c r="AC672" i="10"/>
  <c r="AC947" i="10"/>
  <c r="E947" i="12"/>
  <c r="AC1070" i="10"/>
  <c r="E1070" i="12"/>
  <c r="AC387" i="10"/>
  <c r="E387" i="12"/>
  <c r="AC549" i="10"/>
  <c r="E549" i="12"/>
  <c r="AC457" i="10"/>
  <c r="E457" i="12"/>
  <c r="AC1109" i="10"/>
  <c r="E1109" i="12"/>
  <c r="E691" i="12"/>
  <c r="AC691" i="10"/>
  <c r="E119" i="12"/>
  <c r="AC119" i="10"/>
  <c r="E1083" i="12"/>
  <c r="AC1083" i="10"/>
  <c r="AC465" i="10"/>
  <c r="E465" i="12"/>
  <c r="AC855" i="10"/>
  <c r="E855" i="12"/>
  <c r="AC404" i="10"/>
  <c r="E404" i="12"/>
  <c r="AD1065" i="10"/>
  <c r="D1065" i="12"/>
  <c r="AC731" i="10"/>
  <c r="E731" i="12"/>
  <c r="AD252" i="10" l="1"/>
  <c r="D109" i="12"/>
  <c r="D544" i="12"/>
  <c r="D927" i="12"/>
  <c r="AD690" i="10"/>
  <c r="D536" i="12"/>
  <c r="AD839" i="10"/>
  <c r="X217" i="10"/>
  <c r="AD399" i="10"/>
  <c r="AD843" i="10"/>
  <c r="AD448" i="10"/>
  <c r="AD720" i="10"/>
  <c r="X896" i="10"/>
  <c r="D590" i="12"/>
  <c r="AD543" i="10"/>
  <c r="AD416" i="10"/>
  <c r="AD940" i="10"/>
  <c r="AD726" i="10"/>
  <c r="D543" i="12"/>
  <c r="AD596" i="10"/>
  <c r="D162" i="12"/>
  <c r="D221" i="12"/>
  <c r="D230" i="12"/>
  <c r="AD576" i="10"/>
  <c r="D486" i="12"/>
  <c r="AD1047" i="10"/>
  <c r="AD337" i="10"/>
  <c r="D953" i="12"/>
  <c r="AD896" i="10"/>
  <c r="AD43" i="10"/>
  <c r="AD316" i="10"/>
  <c r="AD996" i="10"/>
  <c r="AD162" i="10"/>
  <c r="D596" i="12"/>
  <c r="AD770" i="10"/>
  <c r="AD431" i="10"/>
  <c r="AD147" i="10"/>
  <c r="D21" i="12"/>
  <c r="AD652" i="10"/>
  <c r="X905" i="10"/>
  <c r="X354" i="10"/>
  <c r="AD358" i="10"/>
  <c r="AD195" i="10"/>
  <c r="AD256" i="10"/>
  <c r="AD1001" i="10"/>
  <c r="AD1156" i="10"/>
  <c r="AD820" i="10"/>
  <c r="D222" i="12"/>
  <c r="D598" i="12"/>
  <c r="X245" i="10"/>
  <c r="X413" i="10"/>
  <c r="D905" i="12"/>
  <c r="D177" i="12"/>
  <c r="AD379" i="10"/>
  <c r="AD26" i="10"/>
  <c r="AD321" i="10"/>
  <c r="D575" i="12"/>
  <c r="D157" i="12"/>
  <c r="AD542" i="10"/>
  <c r="D777" i="12"/>
  <c r="AD151" i="10"/>
  <c r="D31" i="12"/>
  <c r="D702" i="12"/>
  <c r="D636" i="12"/>
  <c r="AD363" i="10"/>
  <c r="AD453" i="10"/>
  <c r="AD633" i="10"/>
  <c r="D491" i="12"/>
  <c r="D1069" i="12"/>
  <c r="AD144" i="10"/>
  <c r="AD1085" i="10"/>
  <c r="D11" i="12"/>
  <c r="D307" i="12"/>
  <c r="D1120" i="12"/>
  <c r="D858" i="12"/>
  <c r="D1133" i="12"/>
  <c r="AD139" i="10"/>
  <c r="X210" i="10"/>
  <c r="X652" i="10"/>
  <c r="X685" i="10"/>
  <c r="X369" i="10"/>
  <c r="X660" i="10"/>
  <c r="D704" i="12"/>
  <c r="D245" i="12"/>
  <c r="AD916" i="10"/>
  <c r="AD499" i="10"/>
  <c r="AD66" i="10"/>
  <c r="AD894" i="10"/>
  <c r="AD749" i="10"/>
  <c r="X858" i="10"/>
  <c r="D680" i="12"/>
  <c r="AD593" i="10"/>
  <c r="D906" i="12"/>
  <c r="D521" i="12"/>
  <c r="D1021" i="12"/>
  <c r="AD94" i="10"/>
  <c r="D372" i="12"/>
  <c r="AD1120" i="10"/>
  <c r="D894" i="12"/>
  <c r="AD177" i="10"/>
  <c r="AD166" i="10"/>
  <c r="AD157" i="10"/>
  <c r="AD729" i="10"/>
  <c r="D542" i="12"/>
  <c r="D837" i="12"/>
  <c r="D29" i="12"/>
  <c r="D633" i="12"/>
  <c r="AD307" i="10"/>
  <c r="D620" i="12"/>
  <c r="AD806" i="10"/>
  <c r="AD184" i="10"/>
  <c r="D652" i="12"/>
  <c r="X184" i="10"/>
  <c r="X275" i="10"/>
  <c r="D490" i="12"/>
  <c r="AD1192" i="10"/>
  <c r="D373" i="12"/>
  <c r="AD120" i="10"/>
  <c r="D676" i="12"/>
  <c r="D371" i="12"/>
  <c r="D298" i="12"/>
  <c r="D54" i="12"/>
  <c r="AD532" i="10"/>
  <c r="AD308" i="10"/>
  <c r="D973" i="12"/>
  <c r="AD173" i="10"/>
  <c r="AD170" i="10"/>
  <c r="AD557" i="10"/>
  <c r="AD14" i="10"/>
  <c r="AD325" i="10"/>
  <c r="AD451" i="10"/>
  <c r="AD487" i="10"/>
  <c r="D229" i="12"/>
  <c r="AD1027" i="10"/>
  <c r="D608" i="12"/>
  <c r="AD608" i="10"/>
  <c r="D808" i="12"/>
  <c r="AD1080" i="10"/>
  <c r="D293" i="12"/>
  <c r="AD296" i="10"/>
  <c r="D89" i="12"/>
  <c r="AD113" i="10"/>
  <c r="D1122" i="12"/>
  <c r="D333" i="12"/>
  <c r="D113" i="12"/>
  <c r="AD769" i="10"/>
  <c r="AD78" i="10"/>
  <c r="AD393" i="10"/>
  <c r="AD635" i="10"/>
  <c r="AD194" i="10"/>
  <c r="X373" i="10"/>
  <c r="X1080" i="10"/>
  <c r="X293" i="10"/>
  <c r="D844" i="12"/>
  <c r="AD259" i="10"/>
  <c r="AD333" i="10"/>
  <c r="X325" i="10"/>
  <c r="AD8" i="10"/>
  <c r="AD925" i="10"/>
  <c r="AD844" i="10"/>
  <c r="AD913" i="10"/>
  <c r="AD436" i="10"/>
  <c r="AD1008" i="10"/>
  <c r="AD429" i="10"/>
  <c r="D969" i="12"/>
  <c r="D257" i="12"/>
  <c r="AD886" i="10"/>
  <c r="AD939" i="10"/>
  <c r="D909" i="12"/>
  <c r="D274" i="12"/>
  <c r="AD455" i="10"/>
  <c r="D556" i="12"/>
  <c r="D1046" i="12"/>
  <c r="AD556" i="10"/>
  <c r="D601" i="12"/>
  <c r="AD432" i="10"/>
  <c r="D944" i="12"/>
  <c r="AD804" i="10"/>
  <c r="AD577" i="10"/>
  <c r="AD739" i="10"/>
  <c r="D619" i="12"/>
  <c r="D432" i="12"/>
  <c r="AD659" i="10"/>
  <c r="AD440" i="10"/>
  <c r="D747" i="12"/>
  <c r="AD807" i="10"/>
  <c r="AD533" i="10"/>
  <c r="AD1099" i="10"/>
  <c r="AD192" i="10"/>
  <c r="D841" i="12"/>
  <c r="AD145" i="10"/>
  <c r="AD131" i="10"/>
  <c r="AD107" i="10"/>
  <c r="AD469" i="10"/>
  <c r="X469" i="10"/>
  <c r="D800" i="12"/>
  <c r="AD218" i="10"/>
  <c r="AD376" i="10"/>
  <c r="AD414" i="10"/>
  <c r="AD77" i="10"/>
  <c r="AD948" i="10"/>
  <c r="X725" i="10"/>
  <c r="D1183" i="12"/>
  <c r="AD525" i="10"/>
  <c r="D90" i="12"/>
  <c r="AD445" i="10"/>
  <c r="X509" i="10"/>
  <c r="AD790" i="10"/>
  <c r="AD90" i="10"/>
  <c r="AD938" i="10"/>
  <c r="D942" i="12"/>
  <c r="AD340" i="10"/>
  <c r="AD2" i="10"/>
  <c r="D400" i="12"/>
  <c r="X574" i="10"/>
  <c r="AD574" i="10"/>
  <c r="AD1124" i="10"/>
  <c r="AD1089" i="10"/>
  <c r="AD678" i="10"/>
  <c r="D1034" i="12"/>
  <c r="AD840" i="10"/>
  <c r="AD791" i="10"/>
  <c r="AD709" i="10"/>
  <c r="AD465" i="10"/>
  <c r="D981" i="12"/>
  <c r="AD811" i="10"/>
  <c r="AD694" i="10"/>
  <c r="AD734" i="10"/>
  <c r="AD1038" i="10"/>
  <c r="AD824" i="10"/>
  <c r="D465" i="12"/>
  <c r="AD357" i="10"/>
  <c r="AD500" i="10"/>
  <c r="AD125" i="10"/>
  <c r="AD289" i="10"/>
  <c r="AD1073" i="10"/>
  <c r="AD228" i="10"/>
  <c r="AD140" i="10"/>
  <c r="AD396" i="10"/>
  <c r="X249" i="10"/>
  <c r="X768" i="10"/>
  <c r="X386" i="10"/>
  <c r="D1114" i="12"/>
  <c r="AD768" i="10"/>
  <c r="D1132" i="12"/>
  <c r="E11" i="18"/>
  <c r="E13" i="18"/>
  <c r="E14" i="18"/>
  <c r="E10" i="18"/>
  <c r="E12" i="18"/>
  <c r="K19" i="18"/>
  <c r="L19" i="18" s="1"/>
  <c r="P20" i="18" a="1"/>
  <c r="P20" i="18" s="1"/>
  <c r="Q20" i="18" s="1"/>
  <c r="O19" i="18"/>
  <c r="D946" i="12"/>
  <c r="AD793" i="10"/>
  <c r="X233" i="10"/>
  <c r="AD1011" i="10"/>
  <c r="AD41" i="10"/>
  <c r="D233" i="12"/>
  <c r="D93" i="12"/>
  <c r="D664" i="12"/>
  <c r="AD1043" i="10"/>
  <c r="D755" i="12"/>
  <c r="AD949" i="10"/>
  <c r="AD923" i="10"/>
  <c r="AF84" i="10"/>
  <c r="AL84" i="10" s="1"/>
  <c r="AF321" i="10"/>
  <c r="AL321" i="10" s="1"/>
  <c r="D493" i="12"/>
  <c r="AD408" i="10"/>
  <c r="AD311" i="10"/>
  <c r="X53" i="10"/>
  <c r="Q19" i="18"/>
  <c r="D705" i="12"/>
  <c r="AF248" i="10"/>
  <c r="AL248" i="10" s="1"/>
  <c r="D917" i="12"/>
  <c r="D40" i="12"/>
  <c r="D134" i="12"/>
  <c r="D727" i="12"/>
  <c r="AE623" i="10"/>
  <c r="AE2" i="10"/>
  <c r="B12" i="18"/>
  <c r="B11" i="18"/>
  <c r="B10" i="18"/>
  <c r="A6" i="18"/>
  <c r="B14" i="18"/>
  <c r="B13" i="18"/>
  <c r="D387" i="12"/>
  <c r="AD390" i="10"/>
  <c r="D167" i="12"/>
  <c r="AD246" i="10"/>
  <c r="D460" i="12"/>
  <c r="AD108" i="10"/>
  <c r="D1050" i="12"/>
  <c r="D178" i="12"/>
  <c r="X88" i="10"/>
  <c r="D114" i="12"/>
  <c r="AD970" i="10"/>
  <c r="D1161" i="12"/>
  <c r="AD1020" i="10"/>
  <c r="AD352" i="10"/>
  <c r="D137" i="12"/>
  <c r="D956" i="12"/>
  <c r="AD764" i="10"/>
  <c r="D88" i="12"/>
  <c r="D67" i="12"/>
  <c r="D474" i="12"/>
  <c r="D888" i="12"/>
  <c r="D1152" i="12"/>
  <c r="D412" i="12"/>
  <c r="D1194" i="12"/>
  <c r="X352" i="10"/>
  <c r="D1139" i="12"/>
  <c r="D647" i="12"/>
  <c r="X390" i="10"/>
  <c r="D186" i="12"/>
  <c r="AD89" i="10"/>
  <c r="AD168" i="10"/>
  <c r="X1097" i="10"/>
  <c r="AD1160" i="10"/>
  <c r="D1055" i="12"/>
  <c r="D769" i="12"/>
  <c r="AD1040" i="10"/>
  <c r="X388" i="10"/>
  <c r="D668" i="12"/>
  <c r="D83" i="12"/>
  <c r="AD634" i="10"/>
  <c r="AD386" i="10"/>
  <c r="AD512" i="10"/>
  <c r="D299" i="12"/>
  <c r="AD1000" i="10"/>
  <c r="D8" i="12"/>
  <c r="AD578" i="10"/>
  <c r="D766" i="12"/>
  <c r="D775" i="12"/>
  <c r="D1167" i="12"/>
  <c r="AD503" i="10"/>
  <c r="AD502" i="10"/>
  <c r="D1041" i="12"/>
  <c r="AD723" i="10"/>
  <c r="AD642" i="10"/>
  <c r="D557" i="12"/>
  <c r="D955" i="12"/>
  <c r="D686" i="12"/>
  <c r="D765" i="12"/>
  <c r="D772" i="12"/>
  <c r="D108" i="12"/>
  <c r="D745" i="12"/>
  <c r="AD282" i="10"/>
  <c r="D562" i="12"/>
  <c r="AD667" i="10"/>
  <c r="AD305" i="10"/>
  <c r="AD964" i="10"/>
  <c r="AD297" i="10"/>
  <c r="D1012" i="12"/>
  <c r="X612" i="10"/>
  <c r="D954" i="12"/>
  <c r="D262" i="12"/>
  <c r="AD868" i="10"/>
  <c r="AD1091" i="10"/>
  <c r="AD1153" i="10"/>
  <c r="AD1135" i="10"/>
  <c r="AD801" i="10"/>
  <c r="AD1082" i="10"/>
  <c r="D401" i="12"/>
  <c r="D1082" i="12"/>
  <c r="D830" i="12"/>
  <c r="X83" i="10"/>
  <c r="AD885" i="10"/>
  <c r="AD490" i="10"/>
  <c r="D1062" i="12"/>
  <c r="D438" i="12"/>
  <c r="AD310" i="10"/>
  <c r="X662" i="10"/>
  <c r="AD876" i="10"/>
  <c r="AD1180" i="10"/>
  <c r="D216" i="12"/>
  <c r="AD1084" i="10"/>
  <c r="D548" i="12"/>
  <c r="AD1061" i="10"/>
  <c r="AD603" i="10"/>
  <c r="AD201" i="10"/>
  <c r="D999" i="12"/>
  <c r="AD864" i="10"/>
  <c r="D670" i="12"/>
  <c r="AD979" i="10"/>
  <c r="D1010" i="12"/>
  <c r="D72" i="12"/>
  <c r="D388" i="12"/>
  <c r="AD990" i="10"/>
  <c r="D864" i="12"/>
  <c r="AD61" i="10"/>
  <c r="D476" i="12"/>
  <c r="AD72" i="10"/>
  <c r="D565" i="12"/>
  <c r="D181" i="12"/>
  <c r="D1172" i="12"/>
  <c r="D805" i="12"/>
  <c r="AD92" i="10"/>
  <c r="AD249" i="10"/>
  <c r="AD349" i="10"/>
  <c r="AD987" i="10"/>
  <c r="X425" i="10"/>
  <c r="AD292" i="10"/>
  <c r="AD93" i="10"/>
  <c r="D425" i="12"/>
  <c r="AD124" i="10"/>
  <c r="AD99" i="10"/>
  <c r="AD433" i="10"/>
  <c r="D446" i="12"/>
  <c r="D535" i="12"/>
  <c r="AD612" i="10"/>
  <c r="AD135" i="10"/>
  <c r="AD313" i="10"/>
  <c r="AD945" i="10"/>
  <c r="AD374" i="10"/>
  <c r="AD673" i="10"/>
  <c r="D750" i="12"/>
  <c r="X250" i="10"/>
  <c r="D313" i="12"/>
  <c r="D270" i="12"/>
  <c r="AD266" i="10"/>
  <c r="AD458" i="10"/>
  <c r="D395" i="12"/>
  <c r="D300" i="12"/>
  <c r="AD1101" i="10"/>
  <c r="D115" i="12"/>
  <c r="AD1094" i="10"/>
  <c r="AD602" i="10"/>
  <c r="AD675" i="10"/>
  <c r="D60" i="12"/>
  <c r="AD115" i="10"/>
  <c r="AD1175" i="10"/>
  <c r="AD291" i="10"/>
  <c r="AD773" i="10"/>
  <c r="D430" i="12"/>
  <c r="AD860" i="10"/>
  <c r="AD402" i="10"/>
  <c r="AD748" i="10"/>
  <c r="AD200" i="10"/>
  <c r="AD522" i="10"/>
  <c r="D232" i="12"/>
  <c r="D1153" i="12"/>
  <c r="D297" i="12"/>
  <c r="D1185" i="12"/>
  <c r="D1020" i="12"/>
  <c r="X926" i="10"/>
  <c r="AD518" i="10"/>
  <c r="AD590" i="10"/>
  <c r="AD780" i="10"/>
  <c r="AD478" i="10"/>
  <c r="AD814" i="10"/>
  <c r="X421" i="10"/>
  <c r="X1175" i="10"/>
  <c r="D926" i="12"/>
  <c r="D786" i="12"/>
  <c r="AD1023" i="10"/>
  <c r="AD1044" i="10"/>
  <c r="AD260" i="10"/>
  <c r="D1064" i="12"/>
  <c r="AD711" i="10"/>
  <c r="D526" i="12"/>
  <c r="D35" i="12"/>
  <c r="AD1116" i="10"/>
  <c r="AD648" i="10"/>
  <c r="AD95" i="10"/>
  <c r="AD206" i="10"/>
  <c r="AD997" i="10"/>
  <c r="X47" i="10"/>
  <c r="AD229" i="10"/>
  <c r="AD421" i="10"/>
  <c r="X291" i="10"/>
  <c r="D610" i="12"/>
  <c r="D588" i="12"/>
  <c r="X232" i="10"/>
  <c r="D940" i="12"/>
  <c r="AD175" i="10"/>
  <c r="D801" i="12"/>
  <c r="AD917" i="10"/>
  <c r="D726" i="12"/>
  <c r="AD1081" i="10"/>
  <c r="D520" i="12"/>
  <c r="D623" i="12"/>
  <c r="AD460" i="10"/>
  <c r="X349" i="10"/>
  <c r="AD85" i="10"/>
  <c r="D291" i="12"/>
  <c r="D879" i="12"/>
  <c r="AD196" i="10"/>
  <c r="AD688" i="10"/>
  <c r="AD9" i="10"/>
  <c r="D439" i="12"/>
  <c r="D423" i="12"/>
  <c r="AD364" i="10"/>
  <c r="AD553" i="10"/>
  <c r="AD763" i="10"/>
  <c r="AD1100" i="10"/>
  <c r="D381" i="12"/>
  <c r="D42" i="12"/>
  <c r="D349" i="12"/>
  <c r="D126" i="12"/>
  <c r="D967" i="12"/>
  <c r="X270" i="10"/>
  <c r="X444" i="10"/>
  <c r="X967" i="10"/>
  <c r="D1108" i="12"/>
  <c r="D248" i="12"/>
  <c r="D763" i="12"/>
  <c r="D6" i="12"/>
  <c r="AD826" i="10"/>
  <c r="D998" i="12"/>
  <c r="AD176" i="10"/>
  <c r="X749" i="10"/>
  <c r="AD641" i="10"/>
  <c r="D650" i="12"/>
  <c r="AD81" i="10"/>
  <c r="AD171" i="10"/>
  <c r="AD796" i="10"/>
  <c r="AD481" i="10"/>
  <c r="AD493" i="10"/>
  <c r="AD101" i="10"/>
  <c r="AD461" i="10"/>
  <c r="D873" i="12"/>
  <c r="AD47" i="10"/>
  <c r="X688" i="10"/>
  <c r="X561" i="10"/>
  <c r="D922" i="12"/>
  <c r="D518" i="12"/>
  <c r="AD954" i="10"/>
  <c r="X859" i="10"/>
  <c r="AD742" i="10"/>
  <c r="AD243" i="10"/>
  <c r="D127" i="12"/>
  <c r="AD539" i="10"/>
  <c r="D1147" i="12"/>
  <c r="AD751" i="10"/>
  <c r="AD1035" i="10"/>
  <c r="D859" i="12"/>
  <c r="D187" i="12"/>
  <c r="AD1103" i="10"/>
  <c r="D989" i="12"/>
  <c r="AD708" i="10"/>
  <c r="D498" i="12"/>
  <c r="AD1186" i="10"/>
  <c r="D91" i="12"/>
  <c r="AD980" i="10"/>
  <c r="AD827" i="10"/>
  <c r="AD39" i="10"/>
  <c r="D591" i="12"/>
  <c r="D708" i="12"/>
  <c r="AD967" i="10"/>
  <c r="AD951" i="10"/>
  <c r="AD850" i="10"/>
  <c r="D85" i="12"/>
  <c r="X1062" i="10"/>
  <c r="X176" i="10"/>
  <c r="D688" i="12"/>
  <c r="D561" i="12"/>
  <c r="AD248" i="10"/>
  <c r="AD961" i="10"/>
  <c r="AD387" i="10"/>
  <c r="AD903" i="10"/>
  <c r="D342" i="12"/>
  <c r="AD241" i="10"/>
  <c r="D449" i="12"/>
  <c r="AD1057" i="10"/>
  <c r="D701" i="12"/>
  <c r="D742" i="12"/>
  <c r="AD27" i="10"/>
  <c r="D398" i="12"/>
  <c r="AD895" i="10"/>
  <c r="AD924" i="10"/>
  <c r="D811" i="12"/>
  <c r="AD225" i="10"/>
  <c r="D120" i="12"/>
  <c r="AD685" i="10"/>
  <c r="X512" i="10"/>
  <c r="X57" i="10"/>
  <c r="X645" i="10"/>
  <c r="D1071" i="12"/>
  <c r="D1003" i="12"/>
  <c r="X661" i="10"/>
  <c r="D1031" i="12"/>
  <c r="AD283" i="10"/>
  <c r="D984" i="12"/>
  <c r="AD976" i="10"/>
  <c r="AD638" i="10"/>
  <c r="X585" i="10"/>
  <c r="D719" i="12"/>
  <c r="AD661" i="10"/>
  <c r="X412" i="10"/>
  <c r="D457" i="12"/>
  <c r="D81" i="12"/>
  <c r="AD656" i="10"/>
  <c r="AD1068" i="10"/>
  <c r="AD783" i="10"/>
  <c r="D641" i="12"/>
  <c r="AD614" i="10"/>
  <c r="AD388" i="10"/>
  <c r="D585" i="12"/>
  <c r="AD444" i="10"/>
  <c r="AD1071" i="10"/>
  <c r="D851" i="12"/>
  <c r="D1177" i="12"/>
  <c r="AD892" i="10"/>
  <c r="AD684" i="10"/>
  <c r="AD42" i="10"/>
  <c r="AD838" i="10"/>
  <c r="D918" i="12"/>
  <c r="AD5" i="10"/>
  <c r="AD315" i="10"/>
  <c r="X614" i="10"/>
  <c r="D38" i="12"/>
  <c r="AD224" i="10"/>
  <c r="X1004" i="10"/>
  <c r="X271" i="10"/>
  <c r="D614" i="12"/>
  <c r="D870" i="12"/>
  <c r="AD169" i="10"/>
  <c r="X99" i="10"/>
  <c r="AD571" i="10"/>
  <c r="AD959" i="10"/>
  <c r="AD1184" i="10"/>
  <c r="AD515" i="10"/>
  <c r="D524" i="12"/>
  <c r="D468" i="12"/>
  <c r="AD753" i="10"/>
  <c r="AD551" i="10"/>
  <c r="AD12" i="10"/>
  <c r="D290" i="12"/>
  <c r="D1005" i="12"/>
  <c r="AD122" i="10"/>
  <c r="AD1083" i="10"/>
  <c r="AD50" i="10"/>
  <c r="AD928" i="10"/>
  <c r="AD253" i="10"/>
  <c r="AD466" i="10"/>
  <c r="D470" i="12"/>
  <c r="X1005" i="10"/>
  <c r="AD722" i="10"/>
  <c r="AD33" i="10"/>
  <c r="D154" i="12"/>
  <c r="AD529" i="10"/>
  <c r="AD4" i="10"/>
  <c r="D322" i="12"/>
  <c r="D334" i="12"/>
  <c r="AD209" i="10"/>
  <c r="AD1070" i="10"/>
  <c r="AD205" i="10"/>
  <c r="D268" i="12"/>
  <c r="D59" i="12"/>
  <c r="X382" i="10"/>
  <c r="X268" i="10"/>
  <c r="AD1014" i="10"/>
  <c r="D466" i="12"/>
  <c r="X470" i="10"/>
  <c r="AD475" i="10"/>
  <c r="AD863" i="10"/>
  <c r="D1054" i="12"/>
  <c r="AD328" i="10"/>
  <c r="AD677" i="10"/>
  <c r="AD1105" i="10"/>
  <c r="D382" i="12"/>
  <c r="X793" i="10"/>
  <c r="X1105" i="10"/>
  <c r="D65" i="12"/>
  <c r="AD342" i="10"/>
  <c r="D949" i="12"/>
  <c r="AD56" i="10"/>
  <c r="D459" i="12"/>
  <c r="AD470" i="10"/>
  <c r="D951" i="12"/>
  <c r="D793" i="12"/>
  <c r="X74" i="10"/>
  <c r="AD779" i="10"/>
  <c r="AD733" i="10"/>
  <c r="D1072" i="12"/>
  <c r="AD1165" i="10"/>
  <c r="AD19" i="10"/>
  <c r="D462" i="12"/>
  <c r="D185" i="12"/>
  <c r="AD546" i="10"/>
  <c r="AD102" i="10"/>
  <c r="AD74" i="10"/>
  <c r="AD666" i="10"/>
  <c r="D908" i="12"/>
  <c r="AD902" i="10"/>
  <c r="D568" i="12"/>
  <c r="D79" i="12"/>
  <c r="AD1179" i="10"/>
  <c r="X715" i="10"/>
  <c r="D36" i="12"/>
  <c r="AD1019" i="10"/>
  <c r="D149" i="12"/>
  <c r="AD326" i="10"/>
  <c r="D802" i="12"/>
  <c r="D433" i="12"/>
  <c r="AD958" i="10"/>
  <c r="D947" i="12"/>
  <c r="AD568" i="10"/>
  <c r="D571" i="12"/>
  <c r="AD565" i="10"/>
  <c r="D1179" i="12"/>
  <c r="D540" i="12"/>
  <c r="D710" i="12"/>
  <c r="AF2" i="10"/>
  <c r="AL2" i="10" s="1"/>
  <c r="AD1076" i="10"/>
  <c r="AD126" i="10"/>
  <c r="AD1117" i="10"/>
  <c r="D828" i="12"/>
  <c r="D699" i="12"/>
  <c r="D617" i="12"/>
  <c r="AD335" i="10"/>
  <c r="AD554" i="10"/>
  <c r="D1126" i="12"/>
  <c r="D1000" i="12"/>
  <c r="D861" i="12"/>
  <c r="AD350" i="10"/>
  <c r="AD49" i="10"/>
  <c r="AD861" i="10"/>
  <c r="AD540" i="10"/>
  <c r="AD202" i="10"/>
  <c r="D785" i="12"/>
  <c r="AD985" i="10"/>
  <c r="AD258" i="10"/>
  <c r="AD155" i="10"/>
  <c r="AD710" i="10"/>
  <c r="AD891" i="10"/>
  <c r="D407" i="12"/>
  <c r="AD106" i="10"/>
  <c r="D1037" i="12"/>
  <c r="AD848" i="10"/>
  <c r="D567" i="12"/>
  <c r="AD1053" i="10"/>
  <c r="D267" i="12"/>
  <c r="AD595" i="10"/>
  <c r="AD929" i="10"/>
  <c r="D424" i="12"/>
  <c r="AD674" i="10"/>
  <c r="D1163" i="12"/>
  <c r="X650" i="10"/>
  <c r="D344" i="12"/>
  <c r="AD158" i="10"/>
  <c r="AD756" i="10"/>
  <c r="D239" i="12"/>
  <c r="AD946" i="10"/>
  <c r="AD632" i="10"/>
  <c r="AD911" i="10"/>
  <c r="AD549" i="10"/>
  <c r="X79" i="10"/>
  <c r="X830" i="10"/>
  <c r="AD589" i="10"/>
  <c r="D234" i="12"/>
  <c r="D1173" i="12"/>
  <c r="D721" i="12"/>
  <c r="D317" i="12"/>
  <c r="D771" i="12"/>
  <c r="D28" i="12"/>
  <c r="AD629" i="10"/>
  <c r="AD367" i="10"/>
  <c r="X428" i="10"/>
  <c r="D564" i="12"/>
  <c r="D965" i="12"/>
  <c r="AD197" i="10"/>
  <c r="AD467" i="10"/>
  <c r="D852" i="12"/>
  <c r="D1158" i="12"/>
  <c r="AD360" i="10"/>
  <c r="AD513" i="10"/>
  <c r="AD117" i="10"/>
  <c r="AD524" i="10"/>
  <c r="D573" i="12"/>
  <c r="D994" i="12"/>
  <c r="AD38" i="10"/>
  <c r="AD771" i="10"/>
  <c r="X423" i="10"/>
  <c r="D516" i="12"/>
  <c r="AF359" i="10"/>
  <c r="AL359" i="10" s="1"/>
  <c r="AD782" i="10"/>
  <c r="AD1059" i="10"/>
  <c r="D592" i="12"/>
  <c r="D853" i="12"/>
  <c r="AD281" i="10"/>
  <c r="AD362" i="10"/>
  <c r="AD327" i="10"/>
  <c r="AD220" i="10"/>
  <c r="D736" i="12"/>
  <c r="D1112" i="12"/>
  <c r="D1142" i="12"/>
  <c r="X1111" i="10"/>
  <c r="AD285" i="10"/>
  <c r="AD1113" i="10"/>
  <c r="AD592" i="10"/>
  <c r="D523" i="12"/>
  <c r="AD190" i="10"/>
  <c r="AD1141" i="10"/>
  <c r="D482" i="12"/>
  <c r="X482" i="10"/>
  <c r="X304" i="10"/>
  <c r="D427" i="12"/>
  <c r="D281" i="12"/>
  <c r="AD213" i="10"/>
  <c r="D1079" i="12"/>
  <c r="AD1187" i="10"/>
  <c r="D988" i="12"/>
  <c r="D310" i="12"/>
  <c r="D339" i="12"/>
  <c r="D569" i="12"/>
  <c r="D1136" i="12"/>
  <c r="D437" i="12"/>
  <c r="D411" i="12"/>
  <c r="D303" i="12"/>
  <c r="D61" i="12"/>
  <c r="D645" i="12"/>
  <c r="D626" i="12"/>
  <c r="D514" i="12"/>
  <c r="AD622" i="10"/>
  <c r="D1088" i="12"/>
  <c r="D528" i="12"/>
  <c r="AD625" i="10"/>
  <c r="X117" i="10"/>
  <c r="AD1148" i="10"/>
  <c r="AD564" i="10"/>
  <c r="D1170" i="12"/>
  <c r="AD992" i="10"/>
  <c r="AD952" i="10"/>
  <c r="AD48" i="10"/>
  <c r="D554" i="12"/>
  <c r="AD732" i="10"/>
  <c r="AD1109" i="10"/>
  <c r="D121" i="12"/>
  <c r="X1142" i="10"/>
  <c r="D945" i="12"/>
  <c r="AD907" i="10"/>
  <c r="AD119" i="10"/>
  <c r="AD330" i="10"/>
  <c r="X119" i="10"/>
  <c r="D865" i="12"/>
  <c r="AD391" i="10"/>
  <c r="D833" i="12"/>
  <c r="AD255" i="10"/>
  <c r="AD628" i="10"/>
  <c r="AD76" i="10"/>
  <c r="D30" i="12"/>
  <c r="AD389" i="10"/>
  <c r="AD1078" i="10"/>
  <c r="AD1075" i="10"/>
  <c r="D1033" i="12"/>
  <c r="X618" i="10"/>
  <c r="AD428" i="10"/>
  <c r="D1148" i="12"/>
  <c r="AD829" i="10"/>
  <c r="D442" i="12"/>
  <c r="D629" i="12"/>
  <c r="D84" i="12"/>
  <c r="AD781" i="10"/>
  <c r="AD1002" i="10"/>
  <c r="AD731" i="10"/>
  <c r="D213" i="12"/>
  <c r="AC417" i="10"/>
  <c r="E417" i="12"/>
  <c r="D547" i="12"/>
  <c r="AD692" i="10"/>
  <c r="D789" i="12"/>
  <c r="AD341" i="10"/>
  <c r="AD1189" i="10"/>
  <c r="AD482" i="10"/>
  <c r="D578" i="12"/>
  <c r="D1060" i="12"/>
  <c r="AD1150" i="10"/>
  <c r="D261" i="12"/>
  <c r="AD254" i="10"/>
  <c r="AD558" i="10"/>
  <c r="D943" i="12"/>
  <c r="D374" i="12"/>
  <c r="AD514" i="10"/>
  <c r="AD618" i="10"/>
  <c r="AD304" i="10"/>
  <c r="D56" i="12"/>
  <c r="D53" i="12"/>
  <c r="AE431" i="10"/>
  <c r="AD30" i="10"/>
  <c r="AF184" i="10"/>
  <c r="AL184" i="10" s="1"/>
  <c r="D712" i="12"/>
  <c r="AD84" i="10"/>
  <c r="D609" i="12"/>
  <c r="D781" i="12"/>
  <c r="D165" i="12"/>
  <c r="AD1033" i="10"/>
  <c r="AD287" i="10"/>
  <c r="D691" i="12"/>
  <c r="AV1162" i="10"/>
  <c r="X1162" i="10"/>
  <c r="AF1162" i="10"/>
  <c r="AL1162" i="10" s="1"/>
  <c r="AE1162" i="10"/>
  <c r="AV1169" i="10"/>
  <c r="AF1169" i="10"/>
  <c r="AL1169" i="10" s="1"/>
  <c r="AE1169" i="10"/>
  <c r="AD1169" i="10"/>
  <c r="X1169" i="10"/>
  <c r="AV581" i="10"/>
  <c r="X581" i="10"/>
  <c r="AE581" i="10"/>
  <c r="AF581" i="10"/>
  <c r="AL581" i="10" s="1"/>
  <c r="D581" i="12"/>
  <c r="AV679" i="10"/>
  <c r="AE679" i="10"/>
  <c r="AF679" i="10"/>
  <c r="AL679" i="10" s="1"/>
  <c r="X679" i="10"/>
  <c r="AV98" i="10"/>
  <c r="AE98" i="10"/>
  <c r="AF98" i="10"/>
  <c r="AL98" i="10" s="1"/>
  <c r="X98" i="10"/>
  <c r="AV907" i="10"/>
  <c r="X907" i="10"/>
  <c r="AE907" i="10"/>
  <c r="AF907" i="10"/>
  <c r="AL907" i="10" s="1"/>
  <c r="AL769" i="10"/>
  <c r="AG355" i="10"/>
  <c r="AH355" i="10" s="1"/>
  <c r="AI355" i="10" s="1"/>
  <c r="AV385" i="10"/>
  <c r="AF385" i="10"/>
  <c r="AL385" i="10" s="1"/>
  <c r="AE385" i="10"/>
  <c r="AD385" i="10"/>
  <c r="X385" i="10"/>
  <c r="AV986" i="10"/>
  <c r="X986" i="10"/>
  <c r="AE986" i="10"/>
  <c r="AF986" i="10"/>
  <c r="AL986" i="10" s="1"/>
  <c r="D986" i="12"/>
  <c r="AV718" i="10"/>
  <c r="X718" i="10"/>
  <c r="AE718" i="10"/>
  <c r="AF718" i="10"/>
  <c r="AL718" i="10" s="1"/>
  <c r="AV797" i="10"/>
  <c r="X797" i="10"/>
  <c r="AF797" i="10"/>
  <c r="AL797" i="10" s="1"/>
  <c r="AE797" i="10"/>
  <c r="AD797" i="10"/>
  <c r="AV494" i="10"/>
  <c r="X494" i="10"/>
  <c r="AF494" i="10"/>
  <c r="AL494" i="10" s="1"/>
  <c r="AE494" i="10"/>
  <c r="D494" i="12"/>
  <c r="AV792" i="10"/>
  <c r="X792" i="10"/>
  <c r="AF792" i="10"/>
  <c r="AL792" i="10" s="1"/>
  <c r="AE792" i="10"/>
  <c r="AD792" i="10"/>
  <c r="D792" i="12"/>
  <c r="AV724" i="10"/>
  <c r="X724" i="10"/>
  <c r="AF724" i="10"/>
  <c r="AL724" i="10" s="1"/>
  <c r="AE724" i="10"/>
  <c r="AV572" i="10"/>
  <c r="X572" i="10"/>
  <c r="AF572" i="10"/>
  <c r="AL572" i="10" s="1"/>
  <c r="AE572" i="10"/>
  <c r="AD572" i="10"/>
  <c r="AG514" i="10"/>
  <c r="AH514" i="10" s="1"/>
  <c r="AI514" i="10" s="1"/>
  <c r="AG393" i="10"/>
  <c r="AH393" i="10" s="1"/>
  <c r="AI393" i="10" s="1"/>
  <c r="D1042" i="12"/>
  <c r="AV467" i="10"/>
  <c r="X467" i="10"/>
  <c r="AE467" i="10"/>
  <c r="AF467" i="10"/>
  <c r="AL467" i="10" s="1"/>
  <c r="AV936" i="10"/>
  <c r="X936" i="10"/>
  <c r="AE936" i="10"/>
  <c r="AF936" i="10"/>
  <c r="AL936" i="10" s="1"/>
  <c r="D936" i="12"/>
  <c r="AV48" i="10"/>
  <c r="AE48" i="10"/>
  <c r="AF48" i="10"/>
  <c r="AL48" i="10" s="1"/>
  <c r="AV901" i="10"/>
  <c r="X901" i="10"/>
  <c r="AF901" i="10"/>
  <c r="AL901" i="10" s="1"/>
  <c r="D901" i="12"/>
  <c r="AE901" i="10"/>
  <c r="AV882" i="10"/>
  <c r="X882" i="10"/>
  <c r="AE882" i="10"/>
  <c r="AF882" i="10"/>
  <c r="AL882" i="10" s="1"/>
  <c r="AV818" i="10"/>
  <c r="AK818" i="10"/>
  <c r="X818" i="10"/>
  <c r="AE818" i="10"/>
  <c r="AF818" i="10"/>
  <c r="AL818" i="10" s="1"/>
  <c r="AV1125" i="10"/>
  <c r="AD1125" i="10"/>
  <c r="AE1125" i="10"/>
  <c r="AF1125" i="10"/>
  <c r="AL1125" i="10" s="1"/>
  <c r="AV513" i="10"/>
  <c r="X513" i="10"/>
  <c r="AE513" i="10"/>
  <c r="AF513" i="10"/>
  <c r="AL513" i="10" s="1"/>
  <c r="AG994" i="10"/>
  <c r="AG614" i="10"/>
  <c r="AG596" i="10"/>
  <c r="AH596" i="10" s="1"/>
  <c r="AI596" i="10" s="1"/>
  <c r="AG783" i="10"/>
  <c r="AH783" i="10" s="1"/>
  <c r="AI783" i="10" s="1"/>
  <c r="AG844" i="10"/>
  <c r="AH844" i="10" s="1"/>
  <c r="AI844" i="10" s="1"/>
  <c r="AG1004" i="10"/>
  <c r="AH1004" i="10" s="1"/>
  <c r="AI1004" i="10" s="1"/>
  <c r="AV616" i="10"/>
  <c r="X616" i="10"/>
  <c r="AF616" i="10"/>
  <c r="AL616" i="10" s="1"/>
  <c r="D616" i="12"/>
  <c r="AE616" i="10"/>
  <c r="AV492" i="10"/>
  <c r="X492" i="10"/>
  <c r="AF492" i="10"/>
  <c r="AL492" i="10" s="1"/>
  <c r="AE492" i="10"/>
  <c r="AV188" i="10"/>
  <c r="X188" i="10"/>
  <c r="AE188" i="10"/>
  <c r="AF188" i="10"/>
  <c r="AL188" i="10" s="1"/>
  <c r="D188" i="12"/>
  <c r="AV809" i="10"/>
  <c r="X809" i="10"/>
  <c r="AF809" i="10"/>
  <c r="AL809" i="10" s="1"/>
  <c r="AE809" i="10"/>
  <c r="AD809" i="10"/>
  <c r="AD1162" i="10"/>
  <c r="AD679" i="10"/>
  <c r="AV762" i="10"/>
  <c r="X762" i="10"/>
  <c r="AE762" i="10"/>
  <c r="AF762" i="10"/>
  <c r="AL762" i="10" s="1"/>
  <c r="AD762" i="10"/>
  <c r="AV1095" i="10"/>
  <c r="X1095" i="10"/>
  <c r="AE1095" i="10"/>
  <c r="AF1095" i="10"/>
  <c r="AL1095" i="10" s="1"/>
  <c r="AD1095" i="10"/>
  <c r="AV505" i="10"/>
  <c r="X505" i="10"/>
  <c r="AE505" i="10"/>
  <c r="AF505" i="10"/>
  <c r="AL505" i="10" s="1"/>
  <c r="AD505" i="10"/>
  <c r="AK163" i="10"/>
  <c r="AV163" i="10"/>
  <c r="AF163" i="10"/>
  <c r="AL163" i="10" s="1"/>
  <c r="AD163" i="10"/>
  <c r="AE163" i="10"/>
  <c r="X163" i="10"/>
  <c r="AV810" i="10"/>
  <c r="X810" i="10"/>
  <c r="AF810" i="10"/>
  <c r="AL810" i="10" s="1"/>
  <c r="AE810" i="10"/>
  <c r="AD810" i="10"/>
  <c r="AG629" i="10"/>
  <c r="AH629" i="10" s="1"/>
  <c r="AI629" i="10" s="1"/>
  <c r="AG89" i="10"/>
  <c r="AH89" i="10" s="1"/>
  <c r="AI89" i="10" s="1"/>
  <c r="AV653" i="10"/>
  <c r="X653" i="10"/>
  <c r="AE653" i="10"/>
  <c r="AF653" i="10"/>
  <c r="AL653" i="10" s="1"/>
  <c r="D653" i="12"/>
  <c r="AV703" i="10"/>
  <c r="X703" i="10"/>
  <c r="AE703" i="10"/>
  <c r="AF703" i="10"/>
  <c r="AL703" i="10" s="1"/>
  <c r="AV519" i="10"/>
  <c r="X519" i="10"/>
  <c r="AE519" i="10"/>
  <c r="AF519" i="10"/>
  <c r="AL519" i="10" s="1"/>
  <c r="D519" i="12"/>
  <c r="AV963" i="10"/>
  <c r="X963" i="10"/>
  <c r="AE963" i="10"/>
  <c r="AF963" i="10"/>
  <c r="AL963" i="10" s="1"/>
  <c r="AD963" i="10"/>
  <c r="AV295" i="10"/>
  <c r="X295" i="10"/>
  <c r="AE295" i="10"/>
  <c r="AF295" i="10"/>
  <c r="AL295" i="10" s="1"/>
  <c r="D295" i="12"/>
  <c r="AV644" i="10"/>
  <c r="AE644" i="10"/>
  <c r="AF644" i="10"/>
  <c r="AL644" i="10" s="1"/>
  <c r="X644" i="10"/>
  <c r="AV643" i="10"/>
  <c r="X643" i="10"/>
  <c r="AF643" i="10"/>
  <c r="AL643" i="10" s="1"/>
  <c r="AE643" i="10"/>
  <c r="AD643" i="10"/>
  <c r="AV17" i="10"/>
  <c r="X17" i="10"/>
  <c r="AE17" i="10"/>
  <c r="AF17" i="10"/>
  <c r="AL17" i="10" s="1"/>
  <c r="AD17" i="10"/>
  <c r="AV149" i="10"/>
  <c r="X149" i="10"/>
  <c r="AF149" i="10"/>
  <c r="AL149" i="10" s="1"/>
  <c r="AE149" i="10"/>
  <c r="AV700" i="10"/>
  <c r="X700" i="10"/>
  <c r="AF700" i="10"/>
  <c r="AL700" i="10" s="1"/>
  <c r="AE700" i="10"/>
  <c r="AV124" i="10"/>
  <c r="X124" i="10"/>
  <c r="AF124" i="10"/>
  <c r="AL124" i="10" s="1"/>
  <c r="AE124" i="10"/>
  <c r="AV344" i="10"/>
  <c r="X344" i="10"/>
  <c r="AF344" i="10"/>
  <c r="AL344" i="10" s="1"/>
  <c r="AE344" i="10"/>
  <c r="AV317" i="10"/>
  <c r="X317" i="10"/>
  <c r="AF317" i="10"/>
  <c r="AL317" i="10" s="1"/>
  <c r="AE317" i="10"/>
  <c r="AG763" i="10"/>
  <c r="AH763" i="10" s="1"/>
  <c r="AI763" i="10" s="1"/>
  <c r="AG460" i="10"/>
  <c r="AH460" i="10" s="1"/>
  <c r="AI460" i="10" s="1"/>
  <c r="AG1120" i="10"/>
  <c r="AV160" i="10"/>
  <c r="X160" i="10"/>
  <c r="AE160" i="10"/>
  <c r="AD160" i="10"/>
  <c r="AF160" i="10"/>
  <c r="AL160" i="10" s="1"/>
  <c r="AV86" i="10"/>
  <c r="X86" i="10"/>
  <c r="AF86" i="10"/>
  <c r="AL86" i="10" s="1"/>
  <c r="AE86" i="10"/>
  <c r="AV834" i="10"/>
  <c r="X834" i="10"/>
  <c r="AE834" i="10"/>
  <c r="AF834" i="10"/>
  <c r="AL834" i="10" s="1"/>
  <c r="AK75" i="10"/>
  <c r="AV75" i="10"/>
  <c r="X75" i="10"/>
  <c r="AE75" i="10"/>
  <c r="AF75" i="10"/>
  <c r="AL75" i="10" s="1"/>
  <c r="D75" i="12"/>
  <c r="AV1015" i="10"/>
  <c r="X1015" i="10"/>
  <c r="AE1015" i="10"/>
  <c r="AD1015" i="10"/>
  <c r="AF1015" i="10"/>
  <c r="AL1015" i="10" s="1"/>
  <c r="AV689" i="10"/>
  <c r="X689" i="10"/>
  <c r="AE689" i="10"/>
  <c r="AF689" i="10"/>
  <c r="AL689" i="10" s="1"/>
  <c r="AD689" i="10"/>
  <c r="AV182" i="10"/>
  <c r="X182" i="10"/>
  <c r="AF182" i="10"/>
  <c r="AL182" i="10" s="1"/>
  <c r="AE182" i="10"/>
  <c r="AV833" i="10"/>
  <c r="X833" i="10"/>
  <c r="AE833" i="10"/>
  <c r="AF833" i="10"/>
  <c r="AL833" i="10" s="1"/>
  <c r="D182" i="12"/>
  <c r="AV133" i="10"/>
  <c r="AE133" i="10"/>
  <c r="AF133" i="10"/>
  <c r="AL133" i="10" s="1"/>
  <c r="D133" i="12"/>
  <c r="X133" i="10"/>
  <c r="AV301" i="10"/>
  <c r="X301" i="10"/>
  <c r="AF301" i="10"/>
  <c r="AL301" i="10" s="1"/>
  <c r="AE301" i="10"/>
  <c r="AV962" i="10"/>
  <c r="X962" i="10"/>
  <c r="AE962" i="10"/>
  <c r="AF962" i="10"/>
  <c r="AL962" i="10" s="1"/>
  <c r="D962" i="12"/>
  <c r="AV736" i="10"/>
  <c r="X736" i="10"/>
  <c r="AE736" i="10"/>
  <c r="AF736" i="10"/>
  <c r="AL736" i="10" s="1"/>
  <c r="AV1191" i="10"/>
  <c r="X1191" i="10"/>
  <c r="AE1191" i="10"/>
  <c r="AF1191" i="10"/>
  <c r="AL1191" i="10" s="1"/>
  <c r="AD1191" i="10"/>
  <c r="AV813" i="10"/>
  <c r="AE813" i="10"/>
  <c r="AF813" i="10"/>
  <c r="AL813" i="10" s="1"/>
  <c r="D813" i="12"/>
  <c r="AD813" i="10"/>
  <c r="D160" i="12"/>
  <c r="D872" i="12"/>
  <c r="AD718" i="10"/>
  <c r="AD118" i="10"/>
  <c r="D163" i="12"/>
  <c r="X813" i="10"/>
  <c r="AD644" i="10"/>
  <c r="X937" i="10"/>
  <c r="AV202" i="10"/>
  <c r="X202" i="10"/>
  <c r="AE202" i="10"/>
  <c r="AF202" i="10"/>
  <c r="AL202" i="10" s="1"/>
  <c r="AV883" i="10"/>
  <c r="X883" i="10"/>
  <c r="AF883" i="10"/>
  <c r="AL883" i="10" s="1"/>
  <c r="AE883" i="10"/>
  <c r="D883" i="12"/>
  <c r="AG998" i="10"/>
  <c r="AG30" i="10"/>
  <c r="AH30" i="10" s="1"/>
  <c r="AI30" i="10" s="1"/>
  <c r="AG310" i="10"/>
  <c r="AH310" i="10" s="1"/>
  <c r="AI310" i="10" s="1"/>
  <c r="AG668" i="10"/>
  <c r="AH668" i="10" s="1"/>
  <c r="AI668" i="10" s="1"/>
  <c r="AG72" i="10"/>
  <c r="AH72" i="10" s="1"/>
  <c r="AI72" i="10" s="1"/>
  <c r="AG586" i="10"/>
  <c r="AV263" i="10"/>
  <c r="X263" i="10"/>
  <c r="AE263" i="10"/>
  <c r="AF263" i="10"/>
  <c r="AL263" i="10" s="1"/>
  <c r="D263" i="12"/>
  <c r="AV899" i="10"/>
  <c r="X899" i="10"/>
  <c r="AF899" i="10"/>
  <c r="AL899" i="10" s="1"/>
  <c r="AE899" i="10"/>
  <c r="AV1137" i="10"/>
  <c r="AF1137" i="10"/>
  <c r="AL1137" i="10" s="1"/>
  <c r="AE1137" i="10"/>
  <c r="X1137" i="10"/>
  <c r="AD1137" i="10"/>
  <c r="AV346" i="10"/>
  <c r="X346" i="10"/>
  <c r="AD346" i="10"/>
  <c r="AF346" i="10"/>
  <c r="AL346" i="10" s="1"/>
  <c r="AE346" i="10"/>
  <c r="AV420" i="10"/>
  <c r="AE420" i="10"/>
  <c r="AF420" i="10"/>
  <c r="AL420" i="10" s="1"/>
  <c r="AD420" i="10"/>
  <c r="D420" i="12"/>
  <c r="AV788" i="10"/>
  <c r="X788" i="10"/>
  <c r="AF788" i="10"/>
  <c r="AL788" i="10" s="1"/>
  <c r="AE788" i="10"/>
  <c r="AD788" i="10"/>
  <c r="AV102" i="10"/>
  <c r="X102" i="10"/>
  <c r="AE102" i="10"/>
  <c r="AF102" i="10"/>
  <c r="AL102" i="10" s="1"/>
  <c r="D492" i="12"/>
  <c r="AV767" i="10"/>
  <c r="X767" i="10"/>
  <c r="AE767" i="10"/>
  <c r="AF767" i="10"/>
  <c r="AL767" i="10" s="1"/>
  <c r="AD767" i="10"/>
  <c r="AV132" i="10"/>
  <c r="X132" i="10"/>
  <c r="AF132" i="10"/>
  <c r="AL132" i="10" s="1"/>
  <c r="AE132" i="10"/>
  <c r="AD132" i="10"/>
  <c r="AG374" i="10"/>
  <c r="AH374" i="10" s="1"/>
  <c r="AI374" i="10" s="1"/>
  <c r="AG808" i="10"/>
  <c r="AH808" i="10" s="1"/>
  <c r="AI808" i="10" s="1"/>
  <c r="AD899" i="10"/>
  <c r="AD581" i="10"/>
  <c r="D718" i="12"/>
  <c r="AD164" i="10"/>
  <c r="D98" i="12"/>
  <c r="AV1066" i="10"/>
  <c r="AF1066" i="10"/>
  <c r="AL1066" i="10" s="1"/>
  <c r="AE1066" i="10"/>
  <c r="X1066" i="10"/>
  <c r="AV683" i="10"/>
  <c r="X683" i="10"/>
  <c r="AE683" i="10"/>
  <c r="AF683" i="10"/>
  <c r="AL683" i="10" s="1"/>
  <c r="AD683" i="10"/>
  <c r="AV658" i="10"/>
  <c r="X658" i="10"/>
  <c r="AE658" i="10"/>
  <c r="AF658" i="10"/>
  <c r="AL658" i="10" s="1"/>
  <c r="AD658" i="10"/>
  <c r="AV1088" i="10"/>
  <c r="X1088" i="10"/>
  <c r="AE1088" i="10"/>
  <c r="AF1088" i="10"/>
  <c r="AL1088" i="10" s="1"/>
  <c r="AV362" i="10"/>
  <c r="X362" i="10"/>
  <c r="AF362" i="10"/>
  <c r="AL362" i="10" s="1"/>
  <c r="AE362" i="10"/>
  <c r="AV135" i="10"/>
  <c r="X135" i="10"/>
  <c r="AF135" i="10"/>
  <c r="AL135" i="10" s="1"/>
  <c r="AE135" i="10"/>
  <c r="AV888" i="10"/>
  <c r="X888" i="10"/>
  <c r="AF888" i="10"/>
  <c r="AL888" i="10" s="1"/>
  <c r="AE888" i="10"/>
  <c r="D797" i="12"/>
  <c r="AD706" i="10"/>
  <c r="AD703" i="10"/>
  <c r="D17" i="12"/>
  <c r="AV384" i="10"/>
  <c r="X384" i="10"/>
  <c r="AE384" i="10"/>
  <c r="AD384" i="10"/>
  <c r="AF384" i="10"/>
  <c r="AL384" i="10" s="1"/>
  <c r="AV112" i="10"/>
  <c r="X112" i="10"/>
  <c r="AF112" i="10"/>
  <c r="AL112" i="10" s="1"/>
  <c r="AE112" i="10"/>
  <c r="AV267" i="10"/>
  <c r="X267" i="10"/>
  <c r="AE267" i="10"/>
  <c r="AF267" i="10"/>
  <c r="AL267" i="10" s="1"/>
  <c r="AV146" i="10"/>
  <c r="AK146" i="10"/>
  <c r="X146" i="10"/>
  <c r="AE146" i="10"/>
  <c r="AF146" i="10"/>
  <c r="AL146" i="10" s="1"/>
  <c r="D146" i="12"/>
  <c r="AG430" i="10"/>
  <c r="AG490" i="10"/>
  <c r="AH490" i="10" s="1"/>
  <c r="AI490" i="10" s="1"/>
  <c r="D405" i="12"/>
  <c r="D703" i="12"/>
  <c r="D817" i="12"/>
  <c r="D1018" i="12"/>
  <c r="D505" i="12"/>
  <c r="D1169" i="12"/>
  <c r="X1125" i="10"/>
  <c r="D679" i="12"/>
  <c r="AG42" i="10"/>
  <c r="AH42" i="10" s="1"/>
  <c r="AI42" i="10" s="1"/>
  <c r="D931" i="12"/>
  <c r="D882" i="12"/>
  <c r="D689" i="12"/>
  <c r="AD32" i="10"/>
  <c r="D572" i="12"/>
  <c r="AD728" i="10"/>
  <c r="D615" i="12"/>
  <c r="D385" i="12"/>
  <c r="D1125" i="12"/>
  <c r="D1137" i="12"/>
  <c r="X615" i="10"/>
  <c r="D1066" i="12"/>
  <c r="AV842" i="10"/>
  <c r="X842" i="10"/>
  <c r="AF842" i="10"/>
  <c r="AL842" i="10" s="1"/>
  <c r="AD842" i="10"/>
  <c r="AE842" i="10"/>
  <c r="AV419" i="10"/>
  <c r="X419" i="10"/>
  <c r="AF419" i="10"/>
  <c r="AL419" i="10" s="1"/>
  <c r="AD419" i="10"/>
  <c r="AE419" i="10"/>
  <c r="AV794" i="10"/>
  <c r="AE794" i="10"/>
  <c r="AF794" i="10"/>
  <c r="AL794" i="10" s="1"/>
  <c r="D794" i="12"/>
  <c r="X794" i="10"/>
  <c r="AV960" i="10"/>
  <c r="X960" i="10"/>
  <c r="AF960" i="10"/>
  <c r="AL960" i="10" s="1"/>
  <c r="AE960" i="10"/>
  <c r="D960" i="12"/>
  <c r="AV33" i="10"/>
  <c r="X33" i="10"/>
  <c r="AF33" i="10"/>
  <c r="AL33" i="10" s="1"/>
  <c r="AE33" i="10"/>
  <c r="AD98" i="10"/>
  <c r="AV23" i="10"/>
  <c r="X23" i="10"/>
  <c r="AF23" i="10"/>
  <c r="AL23" i="10" s="1"/>
  <c r="AE23" i="10"/>
  <c r="AD23" i="10"/>
  <c r="AG406" i="10"/>
  <c r="AH406" i="10" s="1"/>
  <c r="AI406" i="10" s="1"/>
  <c r="AV411" i="10"/>
  <c r="X411" i="10"/>
  <c r="AF411" i="10"/>
  <c r="AL411" i="10" s="1"/>
  <c r="AE411" i="10"/>
  <c r="AV1017" i="10"/>
  <c r="X1017" i="10"/>
  <c r="AE1017" i="10"/>
  <c r="AF1017" i="10"/>
  <c r="AL1017" i="10" s="1"/>
  <c r="D1017" i="12"/>
  <c r="AV977" i="10"/>
  <c r="AF977" i="10"/>
  <c r="AL977" i="10" s="1"/>
  <c r="AE977" i="10"/>
  <c r="D977" i="12"/>
  <c r="X977" i="10"/>
  <c r="AV682" i="10"/>
  <c r="X682" i="10"/>
  <c r="AE682" i="10"/>
  <c r="AF682" i="10"/>
  <c r="AL682" i="10" s="1"/>
  <c r="AD682" i="10"/>
  <c r="AV681" i="10"/>
  <c r="X681" i="10"/>
  <c r="AF681" i="10"/>
  <c r="AL681" i="10" s="1"/>
  <c r="AE681" i="10"/>
  <c r="AV244" i="10"/>
  <c r="X244" i="10"/>
  <c r="AE244" i="10"/>
  <c r="AF244" i="10"/>
  <c r="AL244" i="10" s="1"/>
  <c r="D244" i="12"/>
  <c r="AV812" i="10"/>
  <c r="X812" i="10"/>
  <c r="AF812" i="10"/>
  <c r="AL812" i="10" s="1"/>
  <c r="AE812" i="10"/>
  <c r="AD812" i="10"/>
  <c r="AV338" i="10"/>
  <c r="AF338" i="10"/>
  <c r="AL338" i="10" s="1"/>
  <c r="AE338" i="10"/>
  <c r="X338" i="10"/>
  <c r="AG1033" i="10"/>
  <c r="AH1033" i="10" s="1"/>
  <c r="AI1033" i="10" s="1"/>
  <c r="AG1082" i="10"/>
  <c r="AG542" i="10"/>
  <c r="AH542" i="10" s="1"/>
  <c r="AI542" i="10" s="1"/>
  <c r="AG663" i="10"/>
  <c r="AD882" i="10"/>
  <c r="D643" i="12"/>
  <c r="D332" i="12"/>
  <c r="D530" i="12"/>
  <c r="D700" i="12"/>
  <c r="D1115" i="12"/>
  <c r="D1056" i="12"/>
  <c r="AD901" i="10"/>
  <c r="AD295" i="10"/>
  <c r="AD472" i="10"/>
  <c r="D594" i="12"/>
  <c r="D338" i="12"/>
  <c r="AV849" i="10"/>
  <c r="X849" i="10"/>
  <c r="AE849" i="10"/>
  <c r="AF849" i="10"/>
  <c r="AL849" i="10" s="1"/>
  <c r="AV383" i="10"/>
  <c r="X383" i="10"/>
  <c r="AF383" i="10"/>
  <c r="AL383" i="10" s="1"/>
  <c r="AE383" i="10"/>
  <c r="AD383" i="10"/>
  <c r="AD794" i="10"/>
  <c r="AV264" i="10"/>
  <c r="X264" i="10"/>
  <c r="AF264" i="10"/>
  <c r="AL264" i="10" s="1"/>
  <c r="AE264" i="10"/>
  <c r="AD264" i="10"/>
  <c r="AV1168" i="10"/>
  <c r="X1168" i="10"/>
  <c r="AE1168" i="10"/>
  <c r="AF1168" i="10"/>
  <c r="AL1168" i="10" s="1"/>
  <c r="D1168" i="12"/>
  <c r="AV277" i="10"/>
  <c r="AK277" i="10"/>
  <c r="AF277" i="10"/>
  <c r="AL277" i="10" s="1"/>
  <c r="AE277" i="10"/>
  <c r="X277" i="10"/>
  <c r="AV624" i="10"/>
  <c r="X624" i="10"/>
  <c r="AE624" i="10"/>
  <c r="AF624" i="10"/>
  <c r="AL624" i="10" s="1"/>
  <c r="AD624" i="10"/>
  <c r="D1095" i="12"/>
  <c r="AD75" i="10"/>
  <c r="AD86" i="10"/>
  <c r="AV695" i="10"/>
  <c r="X695" i="10"/>
  <c r="AF695" i="10"/>
  <c r="AL695" i="10" s="1"/>
  <c r="AE695" i="10"/>
  <c r="D695" i="12"/>
  <c r="AD188" i="10"/>
  <c r="AD986" i="10"/>
  <c r="D277" i="12"/>
  <c r="AG18" i="10"/>
  <c r="AV706" i="10"/>
  <c r="X706" i="10"/>
  <c r="AF706" i="10"/>
  <c r="AL706" i="10" s="1"/>
  <c r="AE706" i="10"/>
  <c r="AV55" i="10"/>
  <c r="AE55" i="10"/>
  <c r="AF55" i="10"/>
  <c r="AL55" i="10" s="1"/>
  <c r="D55" i="12"/>
  <c r="X55" i="10"/>
  <c r="AV669" i="10"/>
  <c r="X669" i="10"/>
  <c r="AF669" i="10"/>
  <c r="AL669" i="10" s="1"/>
  <c r="AE669" i="10"/>
  <c r="AD669" i="10"/>
  <c r="AV728" i="10"/>
  <c r="X728" i="10"/>
  <c r="AE728" i="10"/>
  <c r="AF728" i="10"/>
  <c r="AL728" i="10" s="1"/>
  <c r="AV649" i="10"/>
  <c r="AF649" i="10"/>
  <c r="AL649" i="10" s="1"/>
  <c r="AE649" i="10"/>
  <c r="X649" i="10"/>
  <c r="AD649" i="10"/>
  <c r="D384" i="12"/>
  <c r="AV199" i="10"/>
  <c r="X199" i="10"/>
  <c r="AF199" i="10"/>
  <c r="AL199" i="10" s="1"/>
  <c r="AE199" i="10"/>
  <c r="D199" i="12"/>
  <c r="AV699" i="10"/>
  <c r="X699" i="10"/>
  <c r="AF699" i="10"/>
  <c r="AL699" i="10" s="1"/>
  <c r="AE699" i="10"/>
  <c r="AG433" i="10"/>
  <c r="AH433" i="10" s="1"/>
  <c r="AI433" i="10" s="1"/>
  <c r="AD519" i="10"/>
  <c r="AD616" i="10"/>
  <c r="AD700" i="10"/>
  <c r="D849" i="12"/>
  <c r="AD263" i="10"/>
  <c r="AD494" i="10"/>
  <c r="D842" i="12"/>
  <c r="AV1098" i="10"/>
  <c r="X1098" i="10"/>
  <c r="AF1098" i="10"/>
  <c r="AL1098" i="10" s="1"/>
  <c r="AE1098" i="10"/>
  <c r="D1098" i="12"/>
  <c r="AV761" i="10"/>
  <c r="X761" i="10"/>
  <c r="AE761" i="10"/>
  <c r="AF761" i="10"/>
  <c r="AL761" i="10" s="1"/>
  <c r="AD761" i="10"/>
  <c r="AV211" i="10"/>
  <c r="X211" i="10"/>
  <c r="AE211" i="10"/>
  <c r="AG211" i="10" s="1"/>
  <c r="AF211" i="10"/>
  <c r="D211" i="12"/>
  <c r="AV511" i="10"/>
  <c r="X511" i="10"/>
  <c r="AF511" i="10"/>
  <c r="AL511" i="10" s="1"/>
  <c r="AE511" i="10"/>
  <c r="AD511" i="10"/>
  <c r="AV69" i="10"/>
  <c r="X69" i="10"/>
  <c r="AF69" i="10"/>
  <c r="AL69" i="10" s="1"/>
  <c r="D69" i="12"/>
  <c r="AE69" i="10"/>
  <c r="AV746" i="10"/>
  <c r="X746" i="10"/>
  <c r="AF746" i="10"/>
  <c r="AL746" i="10" s="1"/>
  <c r="AE746" i="10"/>
  <c r="D746" i="12"/>
  <c r="AV627" i="10"/>
  <c r="X627" i="10"/>
  <c r="AE627" i="10"/>
  <c r="AF627" i="10"/>
  <c r="AL627" i="10" s="1"/>
  <c r="AV1007" i="10"/>
  <c r="X1007" i="10"/>
  <c r="AE1007" i="10"/>
  <c r="AD1007" i="10"/>
  <c r="AF1007" i="10"/>
  <c r="AL1007" i="10" s="1"/>
  <c r="AV510" i="10"/>
  <c r="X510" i="10"/>
  <c r="AF510" i="10"/>
  <c r="AL510" i="10" s="1"/>
  <c r="AE510" i="10"/>
  <c r="AD510" i="10"/>
  <c r="AV607" i="10"/>
  <c r="X607" i="10"/>
  <c r="AF607" i="10"/>
  <c r="AL607" i="10" s="1"/>
  <c r="AE607" i="10"/>
  <c r="AV223" i="10"/>
  <c r="X223" i="10"/>
  <c r="AF223" i="10"/>
  <c r="AL223" i="10" s="1"/>
  <c r="AE223" i="10"/>
  <c r="D223" i="12"/>
  <c r="AV1049" i="10"/>
  <c r="AE1049" i="10"/>
  <c r="AF1049" i="10"/>
  <c r="AL1049" i="10" s="1"/>
  <c r="AD1049" i="10"/>
  <c r="D1049" i="12"/>
  <c r="AV179" i="10"/>
  <c r="X179" i="10"/>
  <c r="AE179" i="10"/>
  <c r="AF179" i="10"/>
  <c r="AL179" i="10" s="1"/>
  <c r="D179" i="12"/>
  <c r="AV309" i="10"/>
  <c r="X309" i="10"/>
  <c r="AF309" i="10"/>
  <c r="AL309" i="10" s="1"/>
  <c r="AE309" i="10"/>
  <c r="AD309" i="10"/>
  <c r="AV968" i="10"/>
  <c r="X968" i="10"/>
  <c r="AF968" i="10"/>
  <c r="AL968" i="10" s="1"/>
  <c r="AE968" i="10"/>
  <c r="AD968" i="10"/>
  <c r="AV880" i="10"/>
  <c r="X880" i="10"/>
  <c r="AE880" i="10"/>
  <c r="AF880" i="10"/>
  <c r="AL880" i="10" s="1"/>
  <c r="AD880" i="10"/>
  <c r="AV143" i="10"/>
  <c r="X143" i="10"/>
  <c r="AE143" i="10"/>
  <c r="AF143" i="10"/>
  <c r="AL143" i="10" s="1"/>
  <c r="D143" i="12"/>
  <c r="AV570" i="10"/>
  <c r="X570" i="10"/>
  <c r="AF570" i="10"/>
  <c r="AL570" i="10" s="1"/>
  <c r="AE570" i="10"/>
  <c r="AD570" i="10"/>
  <c r="AV458" i="10"/>
  <c r="X458" i="10"/>
  <c r="AF458" i="10"/>
  <c r="AL458" i="10" s="1"/>
  <c r="AE458" i="10"/>
  <c r="AV530" i="10"/>
  <c r="X530" i="10"/>
  <c r="AE530" i="10"/>
  <c r="AF530" i="10"/>
  <c r="AL530" i="10" s="1"/>
  <c r="AV1041" i="10"/>
  <c r="X1041" i="10"/>
  <c r="AE1041" i="10"/>
  <c r="AF1041" i="10"/>
  <c r="AL1041" i="10" s="1"/>
  <c r="AV152" i="10"/>
  <c r="X152" i="10"/>
  <c r="AF152" i="10"/>
  <c r="AL152" i="10" s="1"/>
  <c r="AE152" i="10"/>
  <c r="AD152" i="10"/>
  <c r="AV294" i="10"/>
  <c r="X294" i="10"/>
  <c r="AE294" i="10"/>
  <c r="AD294" i="10"/>
  <c r="AF294" i="10"/>
  <c r="AL294" i="10" s="1"/>
  <c r="AV770" i="10"/>
  <c r="X770" i="10"/>
  <c r="AF770" i="10"/>
  <c r="AL770" i="10" s="1"/>
  <c r="AE770" i="10"/>
  <c r="AV912" i="10"/>
  <c r="X912" i="10"/>
  <c r="AF912" i="10"/>
  <c r="AL912" i="10" s="1"/>
  <c r="AE912" i="10"/>
  <c r="AD912" i="10"/>
  <c r="AV615" i="10"/>
  <c r="AF615" i="10"/>
  <c r="AL615" i="10" s="1"/>
  <c r="AE615" i="10"/>
  <c r="AG94" i="10"/>
  <c r="AV111" i="10"/>
  <c r="X111" i="10"/>
  <c r="AE111" i="10"/>
  <c r="AF111" i="10"/>
  <c r="AL111" i="10" s="1"/>
  <c r="D111" i="12"/>
  <c r="AV900" i="10"/>
  <c r="X900" i="10"/>
  <c r="AF900" i="10"/>
  <c r="AL900" i="10" s="1"/>
  <c r="AE900" i="10"/>
  <c r="AD900" i="10"/>
  <c r="AV817" i="10"/>
  <c r="X817" i="10"/>
  <c r="AF817" i="10"/>
  <c r="AL817" i="10" s="1"/>
  <c r="AE817" i="10"/>
  <c r="AV606" i="10"/>
  <c r="X606" i="10"/>
  <c r="AF606" i="10"/>
  <c r="AL606" i="10" s="1"/>
  <c r="AE606" i="10"/>
  <c r="D606" i="12"/>
  <c r="AV110" i="10"/>
  <c r="X110" i="10"/>
  <c r="AF110" i="10"/>
  <c r="AL110" i="10" s="1"/>
  <c r="AE110" i="10"/>
  <c r="AD110" i="10"/>
  <c r="AV370" i="10"/>
  <c r="X370" i="10"/>
  <c r="AE370" i="10"/>
  <c r="AF370" i="10"/>
  <c r="AL370" i="10" s="1"/>
  <c r="AD370" i="10"/>
  <c r="AK53" i="10"/>
  <c r="AV53" i="10"/>
  <c r="AE53" i="10"/>
  <c r="AD53" i="10"/>
  <c r="AF53" i="10"/>
  <c r="AL53" i="10" s="1"/>
  <c r="AV1016" i="10"/>
  <c r="X1016" i="10"/>
  <c r="AF1016" i="10"/>
  <c r="AL1016" i="10" s="1"/>
  <c r="AE1016" i="10"/>
  <c r="D1016" i="12"/>
  <c r="AV1115" i="10"/>
  <c r="X1115" i="10"/>
  <c r="AE1115" i="10"/>
  <c r="AF1115" i="10"/>
  <c r="AL1115" i="10" s="1"/>
  <c r="AK190" i="10"/>
  <c r="AV190" i="10"/>
  <c r="X190" i="10"/>
  <c r="AF190" i="10"/>
  <c r="AL190" i="10" s="1"/>
  <c r="AE190" i="10"/>
  <c r="AV1174" i="10"/>
  <c r="X1174" i="10"/>
  <c r="AF1174" i="10"/>
  <c r="AL1174" i="10" s="1"/>
  <c r="AE1174" i="10"/>
  <c r="AV1155" i="10"/>
  <c r="AE1155" i="10"/>
  <c r="AF1155" i="10"/>
  <c r="AL1155" i="10" s="1"/>
  <c r="AD1155" i="10"/>
  <c r="X1155" i="10"/>
  <c r="AV731" i="10"/>
  <c r="X731" i="10"/>
  <c r="AE731" i="10"/>
  <c r="AF731" i="10"/>
  <c r="AL731" i="10" s="1"/>
  <c r="AV236" i="10"/>
  <c r="X236" i="10"/>
  <c r="AF236" i="10"/>
  <c r="AL236" i="10" s="1"/>
  <c r="AE236" i="10"/>
  <c r="D236" i="12"/>
  <c r="AV172" i="10"/>
  <c r="X172" i="10"/>
  <c r="AE172" i="10"/>
  <c r="AF172" i="10"/>
  <c r="AL172" i="10" s="1"/>
  <c r="D172" i="12"/>
  <c r="AV1058" i="10"/>
  <c r="X1058" i="10"/>
  <c r="AF1058" i="10"/>
  <c r="AL1058" i="10" s="1"/>
  <c r="AE1058" i="10"/>
  <c r="D1058" i="12"/>
  <c r="AV280" i="10"/>
  <c r="X280" i="10"/>
  <c r="AF280" i="10"/>
  <c r="AL280" i="10" s="1"/>
  <c r="AE280" i="10"/>
  <c r="AD280" i="10"/>
  <c r="AV1060" i="10"/>
  <c r="X1060" i="10"/>
  <c r="AE1060" i="10"/>
  <c r="AF1060" i="10"/>
  <c r="AL1060" i="10" s="1"/>
  <c r="AV496" i="10"/>
  <c r="X496" i="10"/>
  <c r="AE496" i="10"/>
  <c r="AF496" i="10"/>
  <c r="AL496" i="10" s="1"/>
  <c r="AD496" i="10"/>
  <c r="AV330" i="10"/>
  <c r="AE330" i="10"/>
  <c r="AF330" i="10"/>
  <c r="AL330" i="10" s="1"/>
  <c r="D330" i="12"/>
  <c r="AV789" i="10"/>
  <c r="X789" i="10"/>
  <c r="AF789" i="10"/>
  <c r="AL789" i="10" s="1"/>
  <c r="AE789" i="10"/>
  <c r="AV1002" i="10"/>
  <c r="AE1002" i="10"/>
  <c r="AF1002" i="10"/>
  <c r="AL1002" i="10" s="1"/>
  <c r="X1002" i="10"/>
  <c r="AV1087" i="10"/>
  <c r="X1087" i="10"/>
  <c r="AE1087" i="10"/>
  <c r="AF1087" i="10"/>
  <c r="AL1087" i="10" s="1"/>
  <c r="AD1087" i="10"/>
  <c r="AV935" i="10"/>
  <c r="X935" i="10"/>
  <c r="AE935" i="10"/>
  <c r="AF935" i="10"/>
  <c r="AL935" i="10" s="1"/>
  <c r="D935" i="12"/>
  <c r="AV1030" i="10"/>
  <c r="X1030" i="10"/>
  <c r="AF1030" i="10"/>
  <c r="AL1030" i="10" s="1"/>
  <c r="AE1030" i="10"/>
  <c r="AD1030" i="10"/>
  <c r="AV893" i="10"/>
  <c r="X893" i="10"/>
  <c r="AF893" i="10"/>
  <c r="AL893" i="10" s="1"/>
  <c r="AE893" i="10"/>
  <c r="AD893" i="10"/>
  <c r="AV1093" i="10"/>
  <c r="X1093" i="10"/>
  <c r="AE1093" i="10"/>
  <c r="AF1093" i="10"/>
  <c r="AL1093" i="10" s="1"/>
  <c r="AD1093" i="10"/>
  <c r="AV129" i="10"/>
  <c r="X129" i="10"/>
  <c r="AE129" i="10"/>
  <c r="AF129" i="10"/>
  <c r="AL129" i="10" s="1"/>
  <c r="D129" i="12"/>
  <c r="AV287" i="10"/>
  <c r="AE287" i="10"/>
  <c r="AF287" i="10"/>
  <c r="AL287" i="10" s="1"/>
  <c r="X287" i="10"/>
  <c r="AV766" i="10"/>
  <c r="X766" i="10"/>
  <c r="AF766" i="10"/>
  <c r="AL766" i="10" s="1"/>
  <c r="AE766" i="10"/>
  <c r="AV464" i="10"/>
  <c r="X464" i="10"/>
  <c r="AE464" i="10"/>
  <c r="AF464" i="10"/>
  <c r="AL464" i="10" s="1"/>
  <c r="D464" i="12"/>
  <c r="AV397" i="10"/>
  <c r="X397" i="10"/>
  <c r="AE397" i="10"/>
  <c r="AF397" i="10"/>
  <c r="AL397" i="10" s="1"/>
  <c r="D397" i="12"/>
  <c r="AV402" i="10"/>
  <c r="X402" i="10"/>
  <c r="AF402" i="10"/>
  <c r="AL402" i="10" s="1"/>
  <c r="AE402" i="10"/>
  <c r="AG318" i="10"/>
  <c r="AH318" i="10" s="1"/>
  <c r="AI318" i="10" s="1"/>
  <c r="AV452" i="10"/>
  <c r="X452" i="10"/>
  <c r="AE452" i="10"/>
  <c r="D452" i="12"/>
  <c r="AF452" i="10"/>
  <c r="AL452" i="10" s="1"/>
  <c r="AV559" i="10"/>
  <c r="X559" i="10"/>
  <c r="AF559" i="10"/>
  <c r="AL559" i="10" s="1"/>
  <c r="AE559" i="10"/>
  <c r="AD559" i="10"/>
  <c r="AV716" i="10"/>
  <c r="X716" i="10"/>
  <c r="AF716" i="10"/>
  <c r="AL716" i="10" s="1"/>
  <c r="AE716" i="10"/>
  <c r="AV472" i="10"/>
  <c r="X472" i="10"/>
  <c r="AE472" i="10"/>
  <c r="AF472" i="10"/>
  <c r="AL472" i="10" s="1"/>
  <c r="AV934" i="10"/>
  <c r="X934" i="10"/>
  <c r="AF934" i="10"/>
  <c r="AE934" i="10"/>
  <c r="AG934" i="10" s="1"/>
  <c r="AH934" i="10" s="1"/>
  <c r="AI934" i="10" s="1"/>
  <c r="AD934" i="10"/>
  <c r="AV1123" i="10"/>
  <c r="X1123" i="10"/>
  <c r="AE1123" i="10"/>
  <c r="AF1123" i="10"/>
  <c r="AL1123" i="10" s="1"/>
  <c r="AV816" i="10"/>
  <c r="AE816" i="10"/>
  <c r="AF816" i="10"/>
  <c r="AL816" i="10" s="1"/>
  <c r="AD816" i="10"/>
  <c r="X816" i="10"/>
  <c r="AV1042" i="10"/>
  <c r="X1042" i="10"/>
  <c r="AF1042" i="10"/>
  <c r="AL1042" i="10" s="1"/>
  <c r="AE1042" i="10"/>
  <c r="AV409" i="10"/>
  <c r="X409" i="10"/>
  <c r="AF409" i="10"/>
  <c r="AL409" i="10" s="1"/>
  <c r="AE409" i="10"/>
  <c r="AV1018" i="10"/>
  <c r="X1018" i="10"/>
  <c r="AE1018" i="10"/>
  <c r="AF1018" i="10"/>
  <c r="AL1018" i="10" s="1"/>
  <c r="AV651" i="10"/>
  <c r="X651" i="10"/>
  <c r="AE651" i="10"/>
  <c r="AF651" i="10"/>
  <c r="AL651" i="10" s="1"/>
  <c r="AD651" i="10"/>
  <c r="AV405" i="10"/>
  <c r="X405" i="10"/>
  <c r="AF405" i="10"/>
  <c r="AL405" i="10" s="1"/>
  <c r="AE405" i="10"/>
  <c r="AV59" i="10"/>
  <c r="AE59" i="10"/>
  <c r="AF59" i="10"/>
  <c r="AL59" i="10" s="1"/>
  <c r="X59" i="10"/>
  <c r="AV583" i="10"/>
  <c r="X583" i="10"/>
  <c r="AE583" i="10"/>
  <c r="AF583" i="10"/>
  <c r="AL583" i="10" s="1"/>
  <c r="AD583" i="10"/>
  <c r="AV872" i="10"/>
  <c r="X872" i="10"/>
  <c r="AF872" i="10"/>
  <c r="AL872" i="10" s="1"/>
  <c r="AE872" i="10"/>
  <c r="AV867" i="10"/>
  <c r="X867" i="10"/>
  <c r="AF867" i="10"/>
  <c r="AL867" i="10" s="1"/>
  <c r="AE867" i="10"/>
  <c r="D867" i="12"/>
  <c r="AV449" i="10"/>
  <c r="X449" i="10"/>
  <c r="AE449" i="10"/>
  <c r="AF449" i="10"/>
  <c r="AL449" i="10" s="1"/>
  <c r="AV757" i="10"/>
  <c r="X757" i="10"/>
  <c r="AF757" i="10"/>
  <c r="AL757" i="10" s="1"/>
  <c r="D757" i="12"/>
  <c r="AE757" i="10"/>
  <c r="AV594" i="10"/>
  <c r="X594" i="10"/>
  <c r="AE594" i="10"/>
  <c r="AF594" i="10"/>
  <c r="AL594" i="10" s="1"/>
  <c r="AV1131" i="10"/>
  <c r="X1131" i="10"/>
  <c r="AE1131" i="10"/>
  <c r="AF1131" i="10"/>
  <c r="AL1131" i="10" s="1"/>
  <c r="D1131" i="12"/>
  <c r="AV1009" i="10"/>
  <c r="X1009" i="10"/>
  <c r="AF1009" i="10"/>
  <c r="AL1009" i="10" s="1"/>
  <c r="AE1009" i="10"/>
  <c r="AD1009" i="10"/>
  <c r="AV1077" i="10"/>
  <c r="X1077" i="10"/>
  <c r="AF1077" i="10"/>
  <c r="AL1077" i="10" s="1"/>
  <c r="AE1077" i="10"/>
  <c r="D1077" i="12"/>
  <c r="AV754" i="10"/>
  <c r="X754" i="10"/>
  <c r="AE754" i="10"/>
  <c r="AF754" i="10"/>
  <c r="AL754" i="10" s="1"/>
  <c r="AD754" i="10"/>
  <c r="AV845" i="10"/>
  <c r="AE845" i="10"/>
  <c r="D845" i="12"/>
  <c r="AF845" i="10"/>
  <c r="AL845" i="10" s="1"/>
  <c r="AD845" i="10"/>
  <c r="AV365" i="10"/>
  <c r="X365" i="10"/>
  <c r="AF365" i="10"/>
  <c r="AL365" i="10" s="1"/>
  <c r="AE365" i="10"/>
  <c r="AD365" i="10"/>
  <c r="AV737" i="10"/>
  <c r="X737" i="10"/>
  <c r="AF737" i="10"/>
  <c r="AL737" i="10" s="1"/>
  <c r="AE737" i="10"/>
  <c r="AD737" i="10"/>
  <c r="AV1177" i="10"/>
  <c r="X1177" i="10"/>
  <c r="AE1177" i="10"/>
  <c r="AF1177" i="10"/>
  <c r="AL1177" i="10" s="1"/>
  <c r="AV174" i="10"/>
  <c r="X174" i="10"/>
  <c r="AF174" i="10"/>
  <c r="AL174" i="10" s="1"/>
  <c r="AE174" i="10"/>
  <c r="AD174" i="10"/>
  <c r="AG47" i="10"/>
  <c r="AG115" i="10"/>
  <c r="AH115" i="10" s="1"/>
  <c r="AI115" i="10" s="1"/>
  <c r="AV904" i="10"/>
  <c r="X904" i="10"/>
  <c r="AF904" i="10"/>
  <c r="AL904" i="10" s="1"/>
  <c r="AE904" i="10"/>
  <c r="D904" i="12"/>
  <c r="AG610" i="10"/>
  <c r="AH610" i="10" s="1"/>
  <c r="AI610" i="10" s="1"/>
  <c r="AG741" i="10"/>
  <c r="AV471" i="10"/>
  <c r="X471" i="10"/>
  <c r="AE471" i="10"/>
  <c r="AF471" i="10"/>
  <c r="AL471" i="10" s="1"/>
  <c r="AD471" i="10"/>
  <c r="AV547" i="10"/>
  <c r="X547" i="10"/>
  <c r="AF547" i="10"/>
  <c r="AL547" i="10" s="1"/>
  <c r="AE547" i="10"/>
  <c r="D370" i="12"/>
  <c r="AD211" i="10"/>
  <c r="AV1013" i="10"/>
  <c r="AF1013" i="10"/>
  <c r="AL1013" i="10" s="1"/>
  <c r="AE1013" i="10"/>
  <c r="D1013" i="12"/>
  <c r="X1013" i="10"/>
  <c r="AV1129" i="10"/>
  <c r="X1129" i="10"/>
  <c r="AF1129" i="10"/>
  <c r="AL1129" i="10" s="1"/>
  <c r="AD1129" i="10"/>
  <c r="AE1129" i="10"/>
  <c r="AV118" i="10"/>
  <c r="X118" i="10"/>
  <c r="AF118" i="10"/>
  <c r="AL118" i="10" s="1"/>
  <c r="AE118" i="10"/>
  <c r="AV32" i="10"/>
  <c r="X32" i="10"/>
  <c r="AE32" i="10"/>
  <c r="AF32" i="10"/>
  <c r="AL32" i="10" s="1"/>
  <c r="AV332" i="10"/>
  <c r="X332" i="10"/>
  <c r="AE332" i="10"/>
  <c r="AF332" i="10"/>
  <c r="AL332" i="10" s="1"/>
  <c r="AV82" i="10"/>
  <c r="X82" i="10"/>
  <c r="AE82" i="10"/>
  <c r="AD82" i="10"/>
  <c r="AF82" i="10"/>
  <c r="AL82" i="10" s="1"/>
  <c r="AV599" i="10"/>
  <c r="X599" i="10"/>
  <c r="AF599" i="10"/>
  <c r="AL599" i="10" s="1"/>
  <c r="AE599" i="10"/>
  <c r="D599" i="12"/>
  <c r="AV760" i="10"/>
  <c r="X760" i="10"/>
  <c r="AE760" i="10"/>
  <c r="AF760" i="10"/>
  <c r="AL760" i="10" s="1"/>
  <c r="AD760" i="10"/>
  <c r="AV931" i="10"/>
  <c r="X931" i="10"/>
  <c r="AE931" i="10"/>
  <c r="AF931" i="10"/>
  <c r="AL931" i="10" s="1"/>
  <c r="AV657" i="10"/>
  <c r="X657" i="10"/>
  <c r="AF657" i="10"/>
  <c r="AL657" i="10" s="1"/>
  <c r="AE657" i="10"/>
  <c r="D657" i="12"/>
  <c r="AV457" i="10"/>
  <c r="AF457" i="10"/>
  <c r="AL457" i="10" s="1"/>
  <c r="AE457" i="10"/>
  <c r="X457" i="10"/>
  <c r="AV613" i="10"/>
  <c r="X613" i="10"/>
  <c r="AE613" i="10"/>
  <c r="AF613" i="10"/>
  <c r="AL613" i="10" s="1"/>
  <c r="AD613" i="10"/>
  <c r="AV71" i="10"/>
  <c r="X71" i="10"/>
  <c r="AF71" i="10"/>
  <c r="AL71" i="10" s="1"/>
  <c r="AE71" i="10"/>
  <c r="D71" i="12"/>
  <c r="AV381" i="10"/>
  <c r="X381" i="10"/>
  <c r="AF381" i="10"/>
  <c r="AL381" i="10" s="1"/>
  <c r="AE381" i="10"/>
  <c r="AV661" i="10"/>
  <c r="AE661" i="10"/>
  <c r="AF661" i="10"/>
  <c r="AL661" i="10" s="1"/>
  <c r="AV534" i="10"/>
  <c r="X534" i="10"/>
  <c r="AE534" i="10"/>
  <c r="AF534" i="10"/>
  <c r="AL534" i="10" s="1"/>
  <c r="AD534" i="10"/>
  <c r="D534" i="12"/>
  <c r="AV639" i="10"/>
  <c r="X639" i="10"/>
  <c r="AF639" i="10"/>
  <c r="AL639" i="10" s="1"/>
  <c r="AD639" i="10"/>
  <c r="AE639" i="10"/>
  <c r="AD409" i="10"/>
  <c r="D1162" i="12"/>
  <c r="AD653" i="10"/>
  <c r="AD1168" i="10"/>
  <c r="D1007" i="12"/>
  <c r="D1174" i="12"/>
  <c r="AD599" i="10"/>
  <c r="D264" i="12"/>
  <c r="D511" i="12"/>
  <c r="D834" i="12"/>
  <c r="D112" i="12"/>
  <c r="D48" i="12"/>
  <c r="AV1056" i="10"/>
  <c r="X1056" i="10"/>
  <c r="AF1056" i="10"/>
  <c r="AE1056" i="10"/>
  <c r="AG1056" i="10" s="1"/>
  <c r="AH1056" i="10" s="1"/>
  <c r="AI1056" i="10" s="1"/>
  <c r="AV329" i="10"/>
  <c r="X329" i="10"/>
  <c r="AF329" i="10"/>
  <c r="AL329" i="10" s="1"/>
  <c r="AD329" i="10"/>
  <c r="AE329" i="10"/>
  <c r="AV175" i="10"/>
  <c r="X175" i="10"/>
  <c r="AF175" i="10"/>
  <c r="AL175" i="10" s="1"/>
  <c r="AE175" i="10"/>
  <c r="AG239" i="10"/>
  <c r="AG466" i="10"/>
  <c r="AH466" i="10" s="1"/>
  <c r="AI466" i="10" s="1"/>
  <c r="AG967" i="10"/>
  <c r="AH967" i="10" s="1"/>
  <c r="AI967" i="10" s="1"/>
  <c r="AG1161" i="10"/>
  <c r="AH1161" i="10" s="1"/>
  <c r="AI1161" i="10" s="1"/>
  <c r="AV691" i="10"/>
  <c r="AE691" i="10"/>
  <c r="AF691" i="10"/>
  <c r="AL691" i="10" s="1"/>
  <c r="AV1006" i="10"/>
  <c r="X1006" i="10"/>
  <c r="AE1006" i="10"/>
  <c r="AF1006" i="10"/>
  <c r="AL1006" i="10" s="1"/>
  <c r="D1006" i="12"/>
  <c r="AV881" i="10"/>
  <c r="X881" i="10"/>
  <c r="AF881" i="10"/>
  <c r="AL881" i="10" s="1"/>
  <c r="AE881" i="10"/>
  <c r="D881" i="12"/>
  <c r="AV579" i="10"/>
  <c r="X579" i="10"/>
  <c r="AE579" i="10"/>
  <c r="D579" i="12"/>
  <c r="AF579" i="10"/>
  <c r="AL579" i="10" s="1"/>
  <c r="AV123" i="10"/>
  <c r="AE123" i="10"/>
  <c r="AF123" i="10"/>
  <c r="AL123" i="10" s="1"/>
  <c r="AD123" i="10"/>
  <c r="X123" i="10"/>
  <c r="AV164" i="10"/>
  <c r="AE164" i="10"/>
  <c r="D164" i="12"/>
  <c r="AF164" i="10"/>
  <c r="AL164" i="10" s="1"/>
  <c r="AV80" i="10"/>
  <c r="X80" i="10"/>
  <c r="AF80" i="10"/>
  <c r="AL80" i="10" s="1"/>
  <c r="AE80" i="10"/>
  <c r="AD80" i="10"/>
  <c r="AV972" i="10"/>
  <c r="X972" i="10"/>
  <c r="AF972" i="10"/>
  <c r="AL972" i="10" s="1"/>
  <c r="AE972" i="10"/>
  <c r="AD972" i="10"/>
  <c r="AV974" i="10"/>
  <c r="AE974" i="10"/>
  <c r="AF974" i="10"/>
  <c r="AL974" i="10" s="1"/>
  <c r="AD974" i="10"/>
  <c r="X974" i="10"/>
  <c r="AV815" i="10"/>
  <c r="X815" i="10"/>
  <c r="AE815" i="10"/>
  <c r="AF815" i="10"/>
  <c r="AL815" i="10" s="1"/>
  <c r="D815" i="12"/>
  <c r="AV473" i="10"/>
  <c r="X473" i="10"/>
  <c r="AF473" i="10"/>
  <c r="AL473" i="10" s="1"/>
  <c r="AD473" i="10"/>
  <c r="AE473" i="10"/>
  <c r="AV871" i="10"/>
  <c r="AE871" i="10"/>
  <c r="AF871" i="10"/>
  <c r="AL871" i="10" s="1"/>
  <c r="X871" i="10"/>
  <c r="AD871" i="10"/>
  <c r="AV957" i="10"/>
  <c r="X957" i="10"/>
  <c r="AE957" i="10"/>
  <c r="AF957" i="10"/>
  <c r="AL957" i="10" s="1"/>
  <c r="D957" i="12"/>
  <c r="AV832" i="10"/>
  <c r="X832" i="10"/>
  <c r="AE832" i="10"/>
  <c r="AF832" i="10"/>
  <c r="AL832" i="10" s="1"/>
  <c r="D832" i="12"/>
  <c r="AV1024" i="10"/>
  <c r="X1024" i="10"/>
  <c r="AE1024" i="10"/>
  <c r="AF1024" i="10"/>
  <c r="AL1024" i="10" s="1"/>
  <c r="D1024" i="12"/>
  <c r="AV418" i="10"/>
  <c r="X418" i="10"/>
  <c r="AE418" i="10"/>
  <c r="AF418" i="10"/>
  <c r="AL418" i="10" s="1"/>
  <c r="AD418" i="10"/>
  <c r="AV978" i="10"/>
  <c r="X978" i="10"/>
  <c r="AF978" i="10"/>
  <c r="AL978" i="10" s="1"/>
  <c r="AE978" i="10"/>
  <c r="D978" i="12"/>
  <c r="AV1146" i="10"/>
  <c r="X1146" i="10"/>
  <c r="AF1146" i="10"/>
  <c r="AL1146" i="10" s="1"/>
  <c r="AE1146" i="10"/>
  <c r="AD1146" i="10"/>
  <c r="AV16" i="10"/>
  <c r="X16" i="10"/>
  <c r="AE16" i="10"/>
  <c r="AD16" i="10"/>
  <c r="AF16" i="10"/>
  <c r="AL16" i="10" s="1"/>
  <c r="AV300" i="10"/>
  <c r="X300" i="10"/>
  <c r="AE300" i="10"/>
  <c r="AF300" i="10"/>
  <c r="AL300" i="10" s="1"/>
  <c r="AV719" i="10"/>
  <c r="AE719" i="10"/>
  <c r="AF719" i="10"/>
  <c r="AL719" i="10" s="1"/>
  <c r="X719" i="10"/>
  <c r="AV1108" i="10"/>
  <c r="X1108" i="10"/>
  <c r="AF1108" i="10"/>
  <c r="AL1108" i="10" s="1"/>
  <c r="AE1108" i="10"/>
  <c r="AD301" i="10"/>
  <c r="D651" i="12"/>
  <c r="D818" i="12"/>
  <c r="AD724" i="10"/>
  <c r="D607" i="12"/>
  <c r="D788" i="12"/>
  <c r="D1123" i="12"/>
  <c r="D681" i="12"/>
  <c r="AD492" i="10"/>
  <c r="AD71" i="10"/>
  <c r="AD627" i="10"/>
  <c r="D409" i="12"/>
  <c r="AD1077" i="10"/>
  <c r="D682" i="12"/>
  <c r="D1087" i="12"/>
  <c r="AD716" i="10"/>
  <c r="AD1017" i="10"/>
  <c r="AD1174" i="10"/>
  <c r="D1015" i="12"/>
  <c r="AD834" i="10"/>
  <c r="AD1066" i="10"/>
  <c r="D86" i="12"/>
  <c r="AD691" i="10"/>
  <c r="AG592" i="10"/>
  <c r="AG38" i="10"/>
  <c r="AH38" i="10" s="1"/>
  <c r="AI38" i="10" s="1"/>
  <c r="AG688" i="10"/>
  <c r="AH688" i="10" s="1"/>
  <c r="AI688" i="10" s="1"/>
  <c r="AG708" i="10"/>
  <c r="AH708" i="10" s="1"/>
  <c r="AI708" i="10" s="1"/>
  <c r="AG726" i="10"/>
  <c r="AH726" i="10" s="1"/>
  <c r="AI726" i="10" s="1"/>
  <c r="AD904" i="10"/>
  <c r="AV1028" i="10"/>
  <c r="X1028" i="10"/>
  <c r="AE1028" i="10"/>
  <c r="AF1028" i="10"/>
  <c r="AL1028" i="10" s="1"/>
  <c r="AD1028" i="10"/>
  <c r="AV508" i="10"/>
  <c r="X508" i="10"/>
  <c r="AF508" i="10"/>
  <c r="AL508" i="10" s="1"/>
  <c r="AE508" i="10"/>
  <c r="D508" i="12"/>
  <c r="AV1128" i="10"/>
  <c r="X1128" i="10"/>
  <c r="AE1128" i="10"/>
  <c r="AF1128" i="10"/>
  <c r="AL1128" i="10" s="1"/>
  <c r="AD1128" i="10"/>
  <c r="AK664" i="10"/>
  <c r="AV664" i="10"/>
  <c r="X664" i="10"/>
  <c r="AF664" i="10"/>
  <c r="AL664" i="10" s="1"/>
  <c r="AE664" i="10"/>
  <c r="AD664" i="10"/>
  <c r="AV937" i="10"/>
  <c r="AF937" i="10"/>
  <c r="AL937" i="10" s="1"/>
  <c r="AE937" i="10"/>
  <c r="AD937" i="10"/>
  <c r="AV965" i="10"/>
  <c r="X965" i="10"/>
  <c r="AE965" i="10"/>
  <c r="AF965" i="10"/>
  <c r="AL965" i="10" s="1"/>
  <c r="AG119" i="10"/>
  <c r="AH119" i="10" s="1"/>
  <c r="AI119" i="10" s="1"/>
  <c r="AG1148" i="10"/>
  <c r="AG81" i="10"/>
  <c r="AH81" i="10" s="1"/>
  <c r="AI81" i="10" s="1"/>
  <c r="AG120" i="10"/>
  <c r="AH120" i="10" s="1"/>
  <c r="AI120" i="10" s="1"/>
  <c r="AV919" i="10"/>
  <c r="X919" i="10"/>
  <c r="AF919" i="10"/>
  <c r="AL919" i="10" s="1"/>
  <c r="AV255" i="10"/>
  <c r="X255" i="10"/>
  <c r="AE255" i="10"/>
  <c r="AF255" i="10"/>
  <c r="AL255" i="10" s="1"/>
  <c r="AV34" i="10"/>
  <c r="X34" i="10"/>
  <c r="AE34" i="10"/>
  <c r="AF34" i="10"/>
  <c r="AL34" i="10" s="1"/>
  <c r="AV159" i="10"/>
  <c r="X159" i="10"/>
  <c r="AF159" i="10"/>
  <c r="AL159" i="10" s="1"/>
  <c r="AE159" i="10"/>
  <c r="AV1035" i="10"/>
  <c r="AE1035" i="10"/>
  <c r="AF1035" i="10"/>
  <c r="AL1035" i="10" s="1"/>
  <c r="AV441" i="10"/>
  <c r="X441" i="10"/>
  <c r="AE441" i="10"/>
  <c r="AF441" i="10"/>
  <c r="AL441" i="10" s="1"/>
  <c r="AV873" i="10"/>
  <c r="X873" i="10"/>
  <c r="AE873" i="10"/>
  <c r="AF873" i="10"/>
  <c r="AL873" i="10" s="1"/>
  <c r="AV803" i="10"/>
  <c r="X803" i="10"/>
  <c r="AF803" i="10"/>
  <c r="AL803" i="10" s="1"/>
  <c r="AV921" i="10"/>
  <c r="X921" i="10"/>
  <c r="AF921" i="10"/>
  <c r="AL921" i="10" s="1"/>
  <c r="AV539" i="10"/>
  <c r="X539" i="10"/>
  <c r="AE539" i="10"/>
  <c r="AF539" i="10"/>
  <c r="AL539" i="10" s="1"/>
  <c r="AV63" i="10"/>
  <c r="X63" i="10"/>
  <c r="AF63" i="10"/>
  <c r="AL63" i="10" s="1"/>
  <c r="AV954" i="10"/>
  <c r="AE954" i="10"/>
  <c r="AF954" i="10"/>
  <c r="AL954" i="10" s="1"/>
  <c r="AV201" i="10"/>
  <c r="X201" i="10"/>
  <c r="AE201" i="10"/>
  <c r="AF201" i="10"/>
  <c r="AL201" i="10" s="1"/>
  <c r="AV678" i="10"/>
  <c r="X678" i="10"/>
  <c r="AF678" i="10"/>
  <c r="AL678" i="10" s="1"/>
  <c r="AV1114" i="10"/>
  <c r="X1114" i="10"/>
  <c r="AF1114" i="10"/>
  <c r="AL1114" i="10" s="1"/>
  <c r="AV840" i="10"/>
  <c r="X840" i="10"/>
  <c r="AE840" i="10"/>
  <c r="AF840" i="10"/>
  <c r="AL840" i="10" s="1"/>
  <c r="AV1116" i="10"/>
  <c r="X1116" i="10"/>
  <c r="AE1116" i="10"/>
  <c r="AV1034" i="10"/>
  <c r="X1034" i="10"/>
  <c r="AE1034" i="10"/>
  <c r="AV548" i="10"/>
  <c r="X548" i="10"/>
  <c r="AF548" i="10"/>
  <c r="AL548" i="10" s="1"/>
  <c r="AE548" i="10"/>
  <c r="AV791" i="10"/>
  <c r="X791" i="10"/>
  <c r="AE791" i="10"/>
  <c r="AF791" i="10"/>
  <c r="AL791" i="10" s="1"/>
  <c r="AV938" i="10"/>
  <c r="X938" i="10"/>
  <c r="AF938" i="10"/>
  <c r="AL938" i="10" s="1"/>
  <c r="AE938" i="10"/>
  <c r="AV1124" i="10"/>
  <c r="X1124" i="10"/>
  <c r="AF1124" i="10"/>
  <c r="AL1124" i="10" s="1"/>
  <c r="AE1124" i="10"/>
  <c r="AV340" i="10"/>
  <c r="X340" i="10"/>
  <c r="AF340" i="10"/>
  <c r="AL340" i="10" s="1"/>
  <c r="AE340" i="10"/>
  <c r="AV790" i="10"/>
  <c r="X790" i="10"/>
  <c r="AF790" i="10"/>
  <c r="AL790" i="10" s="1"/>
  <c r="AE790" i="10"/>
  <c r="AV90" i="10"/>
  <c r="AF90" i="10"/>
  <c r="AL90" i="10" s="1"/>
  <c r="AV533" i="10"/>
  <c r="X533" i="10"/>
  <c r="AF533" i="10"/>
  <c r="AL533" i="10" s="1"/>
  <c r="AE533" i="10"/>
  <c r="AK400" i="10"/>
  <c r="AV400" i="10"/>
  <c r="X400" i="10"/>
  <c r="AE400" i="10"/>
  <c r="AV93" i="10"/>
  <c r="AK93" i="10"/>
  <c r="AF93" i="10"/>
  <c r="AL93" i="10" s="1"/>
  <c r="AV574" i="10"/>
  <c r="AF574" i="10"/>
  <c r="AL574" i="10" s="1"/>
  <c r="AV125" i="10"/>
  <c r="X125" i="10"/>
  <c r="AF125" i="10"/>
  <c r="AL125" i="10" s="1"/>
  <c r="AV145" i="10"/>
  <c r="X145" i="10"/>
  <c r="AE145" i="10"/>
  <c r="AV948" i="10"/>
  <c r="X948" i="10"/>
  <c r="AF948" i="10"/>
  <c r="AL948" i="10" s="1"/>
  <c r="AE948" i="10"/>
  <c r="AV525" i="10"/>
  <c r="X525" i="10"/>
  <c r="AE525" i="10"/>
  <c r="AF525" i="10"/>
  <c r="AL525" i="10" s="1"/>
  <c r="AV747" i="10"/>
  <c r="X747" i="10"/>
  <c r="AF747" i="10"/>
  <c r="AL747" i="10" s="1"/>
  <c r="AE747" i="10"/>
  <c r="AV725" i="10"/>
  <c r="AE725" i="10"/>
  <c r="AF725" i="10"/>
  <c r="AL725" i="10" s="1"/>
  <c r="AV274" i="10"/>
  <c r="X274" i="10"/>
  <c r="AF274" i="10"/>
  <c r="AL274" i="10" s="1"/>
  <c r="AE274" i="10"/>
  <c r="AV1046" i="10"/>
  <c r="X1046" i="10"/>
  <c r="AE1046" i="10"/>
  <c r="AF1046" i="10"/>
  <c r="AL1046" i="10" s="1"/>
  <c r="AV841" i="10"/>
  <c r="X841" i="10"/>
  <c r="AE841" i="10"/>
  <c r="AF841" i="10"/>
  <c r="AL841" i="10" s="1"/>
  <c r="AV469" i="10"/>
  <c r="AF469" i="10"/>
  <c r="AL469" i="10" s="1"/>
  <c r="AE469" i="10"/>
  <c r="AV455" i="10"/>
  <c r="X455" i="10"/>
  <c r="AF455" i="10"/>
  <c r="AL455" i="10" s="1"/>
  <c r="AV414" i="10"/>
  <c r="X414" i="10"/>
  <c r="AE414" i="10"/>
  <c r="AF414" i="10"/>
  <c r="AL414" i="10" s="1"/>
  <c r="AV556" i="10"/>
  <c r="AE556" i="10"/>
  <c r="AF556" i="10"/>
  <c r="AL556" i="10" s="1"/>
  <c r="AV131" i="10"/>
  <c r="X131" i="10"/>
  <c r="AF131" i="10"/>
  <c r="AL131" i="10" s="1"/>
  <c r="AE131" i="10"/>
  <c r="AV886" i="10"/>
  <c r="AE886" i="10"/>
  <c r="AF886" i="10"/>
  <c r="AL886" i="10" s="1"/>
  <c r="AV218" i="10"/>
  <c r="X218" i="10"/>
  <c r="AE218" i="10"/>
  <c r="AV909" i="10"/>
  <c r="X909" i="10"/>
  <c r="AE909" i="10"/>
  <c r="AV969" i="10"/>
  <c r="X969" i="10"/>
  <c r="AF969" i="10"/>
  <c r="AL969" i="10" s="1"/>
  <c r="AE969" i="10"/>
  <c r="AV1183" i="10"/>
  <c r="X1183" i="10"/>
  <c r="AF1183" i="10"/>
  <c r="AL1183" i="10" s="1"/>
  <c r="AE1183" i="10"/>
  <c r="AV1008" i="10"/>
  <c r="X1008" i="10"/>
  <c r="AF1008" i="10"/>
  <c r="AL1008" i="10" s="1"/>
  <c r="AE1008" i="10"/>
  <c r="AV429" i="10"/>
  <c r="AF429" i="10"/>
  <c r="AL429" i="10" s="1"/>
  <c r="AE429" i="10"/>
  <c r="AV697" i="10"/>
  <c r="X697" i="10"/>
  <c r="AF697" i="10"/>
  <c r="AL697" i="10" s="1"/>
  <c r="AE697" i="10"/>
  <c r="AV436" i="10"/>
  <c r="X436" i="10"/>
  <c r="AF436" i="10"/>
  <c r="AL436" i="10" s="1"/>
  <c r="AE436" i="10"/>
  <c r="AV939" i="10"/>
  <c r="X939" i="10"/>
  <c r="AE939" i="10"/>
  <c r="AF939" i="10"/>
  <c r="AL939" i="10" s="1"/>
  <c r="AV855" i="10"/>
  <c r="X855" i="10"/>
  <c r="AE855" i="10"/>
  <c r="AF855" i="10"/>
  <c r="AL855" i="10" s="1"/>
  <c r="AV257" i="10"/>
  <c r="X257" i="10"/>
  <c r="AE257" i="10"/>
  <c r="AF257" i="10"/>
  <c r="AL257" i="10" s="1"/>
  <c r="AV913" i="10"/>
  <c r="X913" i="10"/>
  <c r="AE913" i="10"/>
  <c r="AF913" i="10"/>
  <c r="AL913" i="10" s="1"/>
  <c r="AV541" i="10"/>
  <c r="X541" i="10"/>
  <c r="AF541" i="10"/>
  <c r="AL541" i="10" s="1"/>
  <c r="AV1052" i="10"/>
  <c r="X1052" i="10"/>
  <c r="AE1052" i="10"/>
  <c r="AF1052" i="10"/>
  <c r="AL1052" i="10" s="1"/>
  <c r="AV479" i="10"/>
  <c r="X479" i="10"/>
  <c r="AV180" i="10"/>
  <c r="X180" i="10"/>
  <c r="AE180" i="10"/>
  <c r="AF180" i="10"/>
  <c r="AL180" i="10" s="1"/>
  <c r="AV1176" i="10"/>
  <c r="X1176" i="10"/>
  <c r="AE1176" i="10"/>
  <c r="AV991" i="10"/>
  <c r="X991" i="10"/>
  <c r="AE991" i="10"/>
  <c r="AV314" i="10"/>
  <c r="X314" i="10"/>
  <c r="AE314" i="10"/>
  <c r="AF314" i="10"/>
  <c r="AL314" i="10" s="1"/>
  <c r="AV580" i="10"/>
  <c r="AK580" i="10"/>
  <c r="X580" i="10"/>
  <c r="AF580" i="10"/>
  <c r="AL580" i="10" s="1"/>
  <c r="AE580" i="10"/>
  <c r="AV1106" i="10"/>
  <c r="X1106" i="10"/>
  <c r="AF1106" i="10"/>
  <c r="AL1106" i="10" s="1"/>
  <c r="AV1104" i="10"/>
  <c r="X1104" i="10"/>
  <c r="AF1104" i="10"/>
  <c r="AL1104" i="10" s="1"/>
  <c r="AE1104" i="10"/>
  <c r="AV1029" i="10"/>
  <c r="X1029" i="10"/>
  <c r="AV819" i="10"/>
  <c r="X819" i="10"/>
  <c r="AE819" i="10"/>
  <c r="AF819" i="10"/>
  <c r="AL819" i="10" s="1"/>
  <c r="AV345" i="10"/>
  <c r="X345" i="10"/>
  <c r="AF345" i="10"/>
  <c r="AL345" i="10" s="1"/>
  <c r="AE345" i="10"/>
  <c r="AV717" i="10"/>
  <c r="X717" i="10"/>
  <c r="AF717" i="10"/>
  <c r="AL717" i="10" s="1"/>
  <c r="AV226" i="10"/>
  <c r="AE226" i="10"/>
  <c r="AV161" i="10"/>
  <c r="X161" i="10"/>
  <c r="AE161" i="10"/>
  <c r="AF161" i="10"/>
  <c r="AL161" i="10" s="1"/>
  <c r="AF991" i="10"/>
  <c r="AL991" i="10" s="1"/>
  <c r="AE63" i="10"/>
  <c r="AF610" i="10"/>
  <c r="AL610" i="10" s="1"/>
  <c r="AE996" i="10"/>
  <c r="AE93" i="10"/>
  <c r="AE921" i="10"/>
  <c r="AE177" i="10"/>
  <c r="AV106" i="10"/>
  <c r="X106" i="10"/>
  <c r="AE106" i="10"/>
  <c r="AV189" i="10"/>
  <c r="X189" i="10"/>
  <c r="AE189" i="10"/>
  <c r="AF189" i="10"/>
  <c r="AL189" i="10" s="1"/>
  <c r="AV216" i="10"/>
  <c r="AF216" i="10"/>
  <c r="AL216" i="10" s="1"/>
  <c r="AE216" i="10"/>
  <c r="AV415" i="10"/>
  <c r="X415" i="10"/>
  <c r="AF415" i="10"/>
  <c r="AL415" i="10" s="1"/>
  <c r="AE415" i="10"/>
  <c r="AV1172" i="10"/>
  <c r="X1172" i="10"/>
  <c r="AF1172" i="10"/>
  <c r="AL1172" i="10" s="1"/>
  <c r="AE1172" i="10"/>
  <c r="AV915" i="10"/>
  <c r="X915" i="10"/>
  <c r="AF915" i="10"/>
  <c r="AL915" i="10" s="1"/>
  <c r="AE915" i="10"/>
  <c r="AV776" i="10"/>
  <c r="X776" i="10"/>
  <c r="AF776" i="10"/>
  <c r="AL776" i="10" s="1"/>
  <c r="AE776" i="10"/>
  <c r="AV884" i="10"/>
  <c r="X884" i="10"/>
  <c r="AE884" i="10"/>
  <c r="AF884" i="10"/>
  <c r="AL884" i="10" s="1"/>
  <c r="AV437" i="10"/>
  <c r="X437" i="10"/>
  <c r="AE437" i="10"/>
  <c r="AV169" i="10"/>
  <c r="X169" i="10"/>
  <c r="AE169" i="10"/>
  <c r="AV79" i="10"/>
  <c r="AF79" i="10"/>
  <c r="AL79" i="10" s="1"/>
  <c r="AE79" i="10"/>
  <c r="AV985" i="10"/>
  <c r="X985" i="10"/>
  <c r="AE985" i="10"/>
  <c r="AF985" i="10"/>
  <c r="AL985" i="10" s="1"/>
  <c r="AV258" i="10"/>
  <c r="X258" i="10"/>
  <c r="AE258" i="10"/>
  <c r="AF258" i="10"/>
  <c r="AL258" i="10" s="1"/>
  <c r="AV12" i="10"/>
  <c r="X12" i="10"/>
  <c r="AE12" i="10"/>
  <c r="AF12" i="10"/>
  <c r="AL12" i="10" s="1"/>
  <c r="AV645" i="10"/>
  <c r="AE645" i="10"/>
  <c r="AF645" i="10"/>
  <c r="AL645" i="10" s="1"/>
  <c r="AV908" i="10"/>
  <c r="X908" i="10"/>
  <c r="AF908" i="10"/>
  <c r="AL908" i="10" s="1"/>
  <c r="AV209" i="10"/>
  <c r="X209" i="10"/>
  <c r="AE209" i="10"/>
  <c r="AF209" i="10"/>
  <c r="AL209" i="10" s="1"/>
  <c r="AV595" i="10"/>
  <c r="X595" i="10"/>
  <c r="AE595" i="10"/>
  <c r="AF595" i="10"/>
  <c r="AL595" i="10" s="1"/>
  <c r="AV722" i="10"/>
  <c r="X722" i="10"/>
  <c r="AF722" i="10"/>
  <c r="AL722" i="10" s="1"/>
  <c r="AE722" i="10"/>
  <c r="AV870" i="10"/>
  <c r="X870" i="10"/>
  <c r="AE870" i="10"/>
  <c r="AF870" i="10"/>
  <c r="AL870" i="10" s="1"/>
  <c r="AV779" i="10"/>
  <c r="X779" i="10"/>
  <c r="AF779" i="10"/>
  <c r="AL779" i="10" s="1"/>
  <c r="AE779" i="10"/>
  <c r="AV290" i="10"/>
  <c r="X290" i="10"/>
  <c r="AE290" i="10"/>
  <c r="AF290" i="10"/>
  <c r="AL290" i="10" s="1"/>
  <c r="AV299" i="10"/>
  <c r="X299" i="10"/>
  <c r="AE299" i="10"/>
  <c r="AF299" i="10"/>
  <c r="AL299" i="10" s="1"/>
  <c r="AV1165" i="10"/>
  <c r="X1165" i="10"/>
  <c r="AF1165" i="10"/>
  <c r="AL1165" i="10" s="1"/>
  <c r="AV322" i="10"/>
  <c r="X322" i="10"/>
  <c r="AE322" i="10"/>
  <c r="AF322" i="10"/>
  <c r="AL322" i="10" s="1"/>
  <c r="AV1014" i="10"/>
  <c r="X1014" i="10"/>
  <c r="AF1014" i="10"/>
  <c r="AL1014" i="10" s="1"/>
  <c r="AE1014" i="10"/>
  <c r="AV951" i="10"/>
  <c r="AF951" i="10"/>
  <c r="AL951" i="10" s="1"/>
  <c r="AE951" i="10"/>
  <c r="AV1031" i="10"/>
  <c r="X1031" i="10"/>
  <c r="AE1031" i="10"/>
  <c r="AV328" i="10"/>
  <c r="X328" i="10"/>
  <c r="AE328" i="10"/>
  <c r="AV546" i="10"/>
  <c r="X546" i="10"/>
  <c r="AE546" i="10"/>
  <c r="AF546" i="10"/>
  <c r="AL546" i="10" s="1"/>
  <c r="AV1089" i="10"/>
  <c r="X1089" i="10"/>
  <c r="AE1089" i="10"/>
  <c r="AF1089" i="10"/>
  <c r="AL1089" i="10" s="1"/>
  <c r="AV1186" i="10"/>
  <c r="X1186" i="10"/>
  <c r="AF1186" i="10"/>
  <c r="AL1186" i="10" s="1"/>
  <c r="AE1186" i="10"/>
  <c r="AV1054" i="10"/>
  <c r="X1054" i="10"/>
  <c r="AE1054" i="10"/>
  <c r="AV283" i="10"/>
  <c r="X283" i="10"/>
  <c r="AV824" i="10"/>
  <c r="X824" i="10"/>
  <c r="AF824" i="10"/>
  <c r="AL824" i="10" s="1"/>
  <c r="AE824" i="10"/>
  <c r="AV4" i="10"/>
  <c r="X4" i="10"/>
  <c r="AF4" i="10"/>
  <c r="AL4" i="10" s="1"/>
  <c r="AE4" i="10"/>
  <c r="AV684" i="10"/>
  <c r="X684" i="10"/>
  <c r="AF684" i="10"/>
  <c r="AL684" i="10" s="1"/>
  <c r="AE684" i="10"/>
  <c r="AV289" i="10"/>
  <c r="X289" i="10"/>
  <c r="AE289" i="10"/>
  <c r="AF289" i="10"/>
  <c r="AL289" i="10" s="1"/>
  <c r="AV1068" i="10"/>
  <c r="X1068" i="10"/>
  <c r="AE1068" i="10"/>
  <c r="AF1068" i="10"/>
  <c r="AL1068" i="10" s="1"/>
  <c r="AV942" i="10"/>
  <c r="X942" i="10"/>
  <c r="AE942" i="10"/>
  <c r="AF942" i="10"/>
  <c r="AL942" i="10" s="1"/>
  <c r="AV225" i="10"/>
  <c r="X225" i="10"/>
  <c r="AE225" i="10"/>
  <c r="AF225" i="10"/>
  <c r="AL225" i="10" s="1"/>
  <c r="AV851" i="10"/>
  <c r="X851" i="10"/>
  <c r="AF851" i="10"/>
  <c r="AL851" i="10" s="1"/>
  <c r="AE851" i="10"/>
  <c r="AV709" i="10"/>
  <c r="X709" i="10"/>
  <c r="AF709" i="10"/>
  <c r="AL709" i="10" s="1"/>
  <c r="AV85" i="10"/>
  <c r="AE85" i="10"/>
  <c r="AV1099" i="10"/>
  <c r="X1099" i="10"/>
  <c r="AF1099" i="10"/>
  <c r="AL1099" i="10" s="1"/>
  <c r="AE1099" i="10"/>
  <c r="AV500" i="10"/>
  <c r="X500" i="10"/>
  <c r="AF500" i="10"/>
  <c r="AL500" i="10" s="1"/>
  <c r="AV1038" i="10"/>
  <c r="X1038" i="10"/>
  <c r="AF1038" i="10"/>
  <c r="AL1038" i="10" s="1"/>
  <c r="AE1038" i="10"/>
  <c r="AV807" i="10"/>
  <c r="X807" i="10"/>
  <c r="AE807" i="10"/>
  <c r="AF807" i="10"/>
  <c r="AL807" i="10" s="1"/>
  <c r="AV386" i="10"/>
  <c r="AE386" i="10"/>
  <c r="AF386" i="10"/>
  <c r="AL386" i="10" s="1"/>
  <c r="AV800" i="10"/>
  <c r="AF800" i="10"/>
  <c r="AL800" i="10" s="1"/>
  <c r="AV509" i="10"/>
  <c r="AE509" i="10"/>
  <c r="AF509" i="10"/>
  <c r="AL509" i="10" s="1"/>
  <c r="AV107" i="10"/>
  <c r="X107" i="10"/>
  <c r="AF107" i="10"/>
  <c r="AL107" i="10" s="1"/>
  <c r="AE107" i="10"/>
  <c r="AV768" i="10"/>
  <c r="AF768" i="10"/>
  <c r="AL768" i="10" s="1"/>
  <c r="AE768" i="10"/>
  <c r="AV396" i="10"/>
  <c r="X396" i="10"/>
  <c r="AF396" i="10"/>
  <c r="AL396" i="10" s="1"/>
  <c r="AV1182" i="10"/>
  <c r="X1182" i="10"/>
  <c r="AE1182" i="10"/>
  <c r="AF1182" i="10"/>
  <c r="AL1182" i="10" s="1"/>
  <c r="AV343" i="10"/>
  <c r="X343" i="10"/>
  <c r="AF343" i="10"/>
  <c r="AL343" i="10" s="1"/>
  <c r="AV140" i="10"/>
  <c r="X140" i="10"/>
  <c r="AE140" i="10"/>
  <c r="AF140" i="10"/>
  <c r="AL140" i="10" s="1"/>
  <c r="AV376" i="10"/>
  <c r="X376" i="10"/>
  <c r="AE376" i="10"/>
  <c r="AF376" i="10"/>
  <c r="AL376" i="10" s="1"/>
  <c r="AV207" i="10"/>
  <c r="X207" i="10"/>
  <c r="AF207" i="10"/>
  <c r="AL207" i="10" s="1"/>
  <c r="AE207" i="10"/>
  <c r="AV550" i="10"/>
  <c r="X550" i="10"/>
  <c r="AE550" i="10"/>
  <c r="AF550" i="10"/>
  <c r="AL550" i="10" s="1"/>
  <c r="AV982" i="10"/>
  <c r="X982" i="10"/>
  <c r="AE982" i="10"/>
  <c r="AF982" i="10"/>
  <c r="AL982" i="10" s="1"/>
  <c r="AV394" i="10"/>
  <c r="X394" i="10"/>
  <c r="AF394" i="10"/>
  <c r="AL394" i="10" s="1"/>
  <c r="AE394" i="10"/>
  <c r="AV914" i="10"/>
  <c r="X914" i="10"/>
  <c r="AF914" i="10"/>
  <c r="AL914" i="10" s="1"/>
  <c r="AE914" i="10"/>
  <c r="AV631" i="10"/>
  <c r="X631" i="10"/>
  <c r="AF631" i="10"/>
  <c r="AL631" i="10" s="1"/>
  <c r="AV203" i="10"/>
  <c r="X203" i="10"/>
  <c r="AE203" i="10"/>
  <c r="AF203" i="10"/>
  <c r="AL203" i="10" s="1"/>
  <c r="AV37" i="10"/>
  <c r="X37" i="10"/>
  <c r="AF37" i="10"/>
  <c r="AL37" i="10" s="1"/>
  <c r="AE37" i="10"/>
  <c r="AV105" i="10"/>
  <c r="X105" i="10"/>
  <c r="AE105" i="10"/>
  <c r="AF105" i="10"/>
  <c r="AL105" i="10" s="1"/>
  <c r="AV930" i="10"/>
  <c r="X930" i="10"/>
  <c r="AE930" i="10"/>
  <c r="AF930" i="10"/>
  <c r="AL930" i="10" s="1"/>
  <c r="AV1157" i="10"/>
  <c r="X1157" i="10"/>
  <c r="AE1157" i="10"/>
  <c r="AF1157" i="10"/>
  <c r="AL1157" i="10" s="1"/>
  <c r="AV73" i="10"/>
  <c r="X73" i="10"/>
  <c r="AF73" i="10"/>
  <c r="AL73" i="10" s="1"/>
  <c r="AE73" i="10"/>
  <c r="AV621" i="10"/>
  <c r="X621" i="10"/>
  <c r="AF621" i="10"/>
  <c r="AL621" i="10" s="1"/>
  <c r="AE621" i="10"/>
  <c r="AV630" i="10"/>
  <c r="X630" i="10"/>
  <c r="AE630" i="10"/>
  <c r="AV1032" i="10"/>
  <c r="AE1032" i="10"/>
  <c r="AV141" i="10"/>
  <c r="X141" i="10"/>
  <c r="AE141" i="10"/>
  <c r="AF141" i="10"/>
  <c r="AL141" i="10" s="1"/>
  <c r="AV331" i="10"/>
  <c r="AF331" i="10"/>
  <c r="AL331" i="10" s="1"/>
  <c r="AE331" i="10"/>
  <c r="AV1090" i="10"/>
  <c r="X1090" i="10"/>
  <c r="AE1090" i="10"/>
  <c r="AV138" i="10"/>
  <c r="X138" i="10"/>
  <c r="AF138" i="10"/>
  <c r="AL138" i="10" s="1"/>
  <c r="AV10" i="10"/>
  <c r="X10" i="10"/>
  <c r="AE10" i="10"/>
  <c r="AF10" i="10"/>
  <c r="AL10" i="10" s="1"/>
  <c r="AV774" i="10"/>
  <c r="AE774" i="10"/>
  <c r="AF774" i="10"/>
  <c r="AL774" i="10" s="1"/>
  <c r="AK156" i="10"/>
  <c r="AV156" i="10"/>
  <c r="X156" i="10"/>
  <c r="AF156" i="10"/>
  <c r="AL156" i="10" s="1"/>
  <c r="AV874" i="10"/>
  <c r="X874" i="10"/>
  <c r="AF874" i="10"/>
  <c r="AL874" i="10" s="1"/>
  <c r="AE874" i="10"/>
  <c r="AV527" i="10"/>
  <c r="X527" i="10"/>
  <c r="AF527" i="10"/>
  <c r="AL527" i="10" s="1"/>
  <c r="AE527" i="10"/>
  <c r="AV484" i="10"/>
  <c r="X484" i="10"/>
  <c r="AF484" i="10"/>
  <c r="AL484" i="10" s="1"/>
  <c r="AE484" i="10"/>
  <c r="AV24" i="10"/>
  <c r="X24" i="10"/>
  <c r="AE24" i="10"/>
  <c r="AF24" i="10"/>
  <c r="AL24" i="10" s="1"/>
  <c r="AV784" i="10"/>
  <c r="X784" i="10"/>
  <c r="AE784" i="10"/>
  <c r="AF784" i="10"/>
  <c r="AL784" i="10" s="1"/>
  <c r="AV403" i="10"/>
  <c r="AK403" i="10"/>
  <c r="X403" i="10"/>
  <c r="AE403" i="10"/>
  <c r="AF403" i="10"/>
  <c r="AL403" i="10" s="1"/>
  <c r="AV798" i="10"/>
  <c r="X798" i="10"/>
  <c r="AF798" i="10"/>
  <c r="AL798" i="10" s="1"/>
  <c r="AE798" i="10"/>
  <c r="AG940" i="10"/>
  <c r="AH940" i="10" s="1"/>
  <c r="AI940" i="10" s="1"/>
  <c r="AG359" i="10"/>
  <c r="AH359" i="10" s="1"/>
  <c r="AI359" i="10" s="1"/>
  <c r="AJ359" i="10"/>
  <c r="AE771" i="10"/>
  <c r="AE291" i="10"/>
  <c r="AG431" i="10"/>
  <c r="AJ431" i="10"/>
  <c r="AF120" i="10"/>
  <c r="AL120" i="10" s="1"/>
  <c r="AE90" i="10"/>
  <c r="X850" i="10"/>
  <c r="AV821" i="10"/>
  <c r="X821" i="10"/>
  <c r="AE821" i="10"/>
  <c r="AF821" i="10"/>
  <c r="AL821" i="10" s="1"/>
  <c r="AV549" i="10"/>
  <c r="X549" i="10"/>
  <c r="AF549" i="10"/>
  <c r="AL549" i="10" s="1"/>
  <c r="AE549" i="10"/>
  <c r="AV911" i="10"/>
  <c r="X911" i="10"/>
  <c r="AE911" i="10"/>
  <c r="AF911" i="10"/>
  <c r="AL911" i="10" s="1"/>
  <c r="AV987" i="10"/>
  <c r="AE987" i="10"/>
  <c r="AF987" i="10"/>
  <c r="AL987" i="10" s="1"/>
  <c r="AV459" i="10"/>
  <c r="X459" i="10"/>
  <c r="AF459" i="10"/>
  <c r="AL459" i="10" s="1"/>
  <c r="AE459" i="10"/>
  <c r="AV247" i="10"/>
  <c r="X247" i="10"/>
  <c r="AE247" i="10"/>
  <c r="AV711" i="10"/>
  <c r="X711" i="10"/>
  <c r="AE711" i="10"/>
  <c r="AF711" i="10"/>
  <c r="AL711" i="10" s="1"/>
  <c r="D919" i="12"/>
  <c r="D189" i="12"/>
  <c r="AD34" i="10"/>
  <c r="D1078" i="12"/>
  <c r="AD286" i="10"/>
  <c r="AD415" i="10"/>
  <c r="AV875" i="10"/>
  <c r="X875" i="10"/>
  <c r="AE875" i="10"/>
  <c r="AF875" i="10"/>
  <c r="AL875" i="10" s="1"/>
  <c r="AV622" i="10"/>
  <c r="X622" i="10"/>
  <c r="AE622" i="10"/>
  <c r="AF622" i="10"/>
  <c r="AL622" i="10" s="1"/>
  <c r="AV524" i="10"/>
  <c r="AF524" i="10"/>
  <c r="AL524" i="10" s="1"/>
  <c r="AE524" i="10"/>
  <c r="AV304" i="10"/>
  <c r="AF304" i="10"/>
  <c r="AL304" i="10" s="1"/>
  <c r="AD994" i="10"/>
  <c r="AD430" i="10"/>
  <c r="AD239" i="10"/>
  <c r="AD915" i="10"/>
  <c r="AD921" i="10"/>
  <c r="D63" i="12"/>
  <c r="AD875" i="10"/>
  <c r="D715" i="12"/>
  <c r="X771" i="10"/>
  <c r="AV515" i="10"/>
  <c r="X515" i="10"/>
  <c r="AF515" i="10"/>
  <c r="AL515" i="10" s="1"/>
  <c r="AE515" i="10"/>
  <c r="AV1083" i="10"/>
  <c r="X1083" i="10"/>
  <c r="AE1083" i="10"/>
  <c r="AF1083" i="10"/>
  <c r="AL1083" i="10" s="1"/>
  <c r="AV571" i="10"/>
  <c r="AF571" i="10"/>
  <c r="AL571" i="10" s="1"/>
  <c r="AV1005" i="10"/>
  <c r="AF1005" i="10"/>
  <c r="AL1005" i="10" s="1"/>
  <c r="AE1005" i="10"/>
  <c r="AV753" i="10"/>
  <c r="X753" i="10"/>
  <c r="AE753" i="10"/>
  <c r="AV99" i="10"/>
  <c r="AE99" i="10"/>
  <c r="AF99" i="10"/>
  <c r="AL99" i="10" s="1"/>
  <c r="AV154" i="10"/>
  <c r="X154" i="10"/>
  <c r="AF154" i="10"/>
  <c r="AL154" i="10" s="1"/>
  <c r="AE154" i="10"/>
  <c r="AV74" i="10"/>
  <c r="AE74" i="10"/>
  <c r="AF74" i="10"/>
  <c r="AL74" i="10" s="1"/>
  <c r="AV959" i="10"/>
  <c r="X959" i="10"/>
  <c r="AE959" i="10"/>
  <c r="AF959" i="10"/>
  <c r="AL959" i="10" s="1"/>
  <c r="AV493" i="10"/>
  <c r="X493" i="10"/>
  <c r="AF493" i="10"/>
  <c r="AL493" i="10" s="1"/>
  <c r="AE493" i="10"/>
  <c r="AV50" i="10"/>
  <c r="X50" i="10"/>
  <c r="AF50" i="10"/>
  <c r="AL50" i="10" s="1"/>
  <c r="AE50" i="10"/>
  <c r="AV1184" i="10"/>
  <c r="X1184" i="10"/>
  <c r="AE1184" i="10"/>
  <c r="AF1184" i="10"/>
  <c r="AL1184" i="10" s="1"/>
  <c r="AK122" i="10"/>
  <c r="AV122" i="10"/>
  <c r="X122" i="10"/>
  <c r="AF122" i="10"/>
  <c r="AL122" i="10" s="1"/>
  <c r="AE122" i="10"/>
  <c r="AV468" i="10"/>
  <c r="X468" i="10"/>
  <c r="AF468" i="10"/>
  <c r="AL468" i="10" s="1"/>
  <c r="AE468" i="10"/>
  <c r="AV551" i="10"/>
  <c r="X551" i="10"/>
  <c r="AE551" i="10"/>
  <c r="AV1072" i="10"/>
  <c r="X1072" i="10"/>
  <c r="AF1072" i="10"/>
  <c r="AL1072" i="10" s="1"/>
  <c r="AE1072" i="10"/>
  <c r="AV733" i="10"/>
  <c r="X733" i="10"/>
  <c r="AF733" i="10"/>
  <c r="AL733" i="10" s="1"/>
  <c r="AE733" i="10"/>
  <c r="AV462" i="10"/>
  <c r="X462" i="10"/>
  <c r="AE462" i="10"/>
  <c r="AF462" i="10"/>
  <c r="AL462" i="10" s="1"/>
  <c r="AV1070" i="10"/>
  <c r="X1070" i="10"/>
  <c r="AE1070" i="10"/>
  <c r="AG1070" i="10" s="1"/>
  <c r="AH1070" i="10" s="1"/>
  <c r="AI1070" i="10" s="1"/>
  <c r="AF1070" i="10"/>
  <c r="AV470" i="10"/>
  <c r="AE470" i="10"/>
  <c r="AV876" i="10"/>
  <c r="X876" i="10"/>
  <c r="AE876" i="10"/>
  <c r="AF876" i="10"/>
  <c r="AL876" i="10" s="1"/>
  <c r="AV1163" i="10"/>
  <c r="X1163" i="10"/>
  <c r="AF1163" i="10"/>
  <c r="AL1163" i="10" s="1"/>
  <c r="AE1163" i="10"/>
  <c r="AV666" i="10"/>
  <c r="X666" i="10"/>
  <c r="AF666" i="10"/>
  <c r="AL666" i="10" s="1"/>
  <c r="AE666" i="10"/>
  <c r="AV1179" i="10"/>
  <c r="AF1179" i="10"/>
  <c r="AL1179" i="10" s="1"/>
  <c r="AE1179" i="10"/>
  <c r="AV205" i="10"/>
  <c r="X205" i="10"/>
  <c r="AF205" i="10"/>
  <c r="AL205" i="10" s="1"/>
  <c r="AE205" i="10"/>
  <c r="AV382" i="10"/>
  <c r="AF382" i="10"/>
  <c r="AL382" i="10" s="1"/>
  <c r="AE382" i="10"/>
  <c r="AV19" i="10"/>
  <c r="X19" i="10"/>
  <c r="AE19" i="10"/>
  <c r="AF19" i="10"/>
  <c r="AL19" i="10" s="1"/>
  <c r="AV902" i="10"/>
  <c r="X902" i="10"/>
  <c r="AF902" i="10"/>
  <c r="AL902" i="10" s="1"/>
  <c r="AE902" i="10"/>
  <c r="AV1180" i="10"/>
  <c r="X1180" i="10"/>
  <c r="AF1180" i="10"/>
  <c r="AL1180" i="10" s="1"/>
  <c r="AE1180" i="10"/>
  <c r="AV41" i="10"/>
  <c r="X41" i="10"/>
  <c r="AE41" i="10"/>
  <c r="AV253" i="10"/>
  <c r="X253" i="10"/>
  <c r="AF253" i="10"/>
  <c r="AL253" i="10" s="1"/>
  <c r="AE253" i="10"/>
  <c r="AV438" i="10"/>
  <c r="X438" i="10"/>
  <c r="AE438" i="10"/>
  <c r="AF438" i="10"/>
  <c r="AL438" i="10" s="1"/>
  <c r="AV928" i="10"/>
  <c r="X928" i="10"/>
  <c r="AF928" i="10"/>
  <c r="AL928" i="10" s="1"/>
  <c r="AV1091" i="10"/>
  <c r="X1091" i="10"/>
  <c r="AE1091" i="10"/>
  <c r="AF1091" i="10"/>
  <c r="AL1091" i="10" s="1"/>
  <c r="AV185" i="10"/>
  <c r="X185" i="10"/>
  <c r="AE185" i="10"/>
  <c r="AF185" i="10"/>
  <c r="AL185" i="10" s="1"/>
  <c r="AV262" i="10"/>
  <c r="X262" i="10"/>
  <c r="AF262" i="10"/>
  <c r="AL262" i="10" s="1"/>
  <c r="AV1043" i="10"/>
  <c r="X1043" i="10"/>
  <c r="AF1043" i="10"/>
  <c r="AL1043" i="10" s="1"/>
  <c r="AE1043" i="10"/>
  <c r="AV311" i="10"/>
  <c r="X311" i="10"/>
  <c r="AF311" i="10"/>
  <c r="AL311" i="10" s="1"/>
  <c r="AE311" i="10"/>
  <c r="AV1062" i="10"/>
  <c r="AF1062" i="10"/>
  <c r="AL1062" i="10" s="1"/>
  <c r="AE1062" i="10"/>
  <c r="AV868" i="10"/>
  <c r="X868" i="10"/>
  <c r="AF868" i="10"/>
  <c r="AL868" i="10" s="1"/>
  <c r="AE868" i="10"/>
  <c r="AV944" i="10"/>
  <c r="X944" i="10"/>
  <c r="AF944" i="10"/>
  <c r="AL944" i="10" s="1"/>
  <c r="AE944" i="10"/>
  <c r="AV755" i="10"/>
  <c r="X755" i="10"/>
  <c r="AF755" i="10"/>
  <c r="AL755" i="10" s="1"/>
  <c r="AE755" i="10"/>
  <c r="AV949" i="10"/>
  <c r="X949" i="10"/>
  <c r="AE949" i="10"/>
  <c r="AV445" i="10"/>
  <c r="X445" i="10"/>
  <c r="AF445" i="10"/>
  <c r="AL445" i="10" s="1"/>
  <c r="AV408" i="10"/>
  <c r="X408" i="10"/>
  <c r="AE408" i="10"/>
  <c r="AF408" i="10"/>
  <c r="AL408" i="10" s="1"/>
  <c r="AV727" i="10"/>
  <c r="X727" i="10"/>
  <c r="AE727" i="10"/>
  <c r="AF727" i="10"/>
  <c r="AL727" i="10" s="1"/>
  <c r="AV134" i="10"/>
  <c r="X134" i="10"/>
  <c r="AF134" i="10"/>
  <c r="AL134" i="10" s="1"/>
  <c r="AE134" i="10"/>
  <c r="AV739" i="10"/>
  <c r="X739" i="10"/>
  <c r="AF739" i="10"/>
  <c r="AL739" i="10" s="1"/>
  <c r="AE739" i="10"/>
  <c r="AV923" i="10"/>
  <c r="X923" i="10"/>
  <c r="AF923" i="10"/>
  <c r="AL923" i="10" s="1"/>
  <c r="AV77" i="10"/>
  <c r="X77" i="10"/>
  <c r="AE77" i="10"/>
  <c r="AV233" i="10"/>
  <c r="AE233" i="10"/>
  <c r="AF233" i="10"/>
  <c r="AL233" i="10" s="1"/>
  <c r="AV619" i="10"/>
  <c r="X619" i="10"/>
  <c r="AE619" i="10"/>
  <c r="AF619" i="10"/>
  <c r="AL619" i="10" s="1"/>
  <c r="AV804" i="10"/>
  <c r="X804" i="10"/>
  <c r="AF804" i="10"/>
  <c r="AL804" i="10" s="1"/>
  <c r="AE804" i="10"/>
  <c r="AV601" i="10"/>
  <c r="X601" i="10"/>
  <c r="AF601" i="10"/>
  <c r="AL601" i="10" s="1"/>
  <c r="AE601" i="10"/>
  <c r="AV1011" i="10"/>
  <c r="X1011" i="10"/>
  <c r="AF1011" i="10"/>
  <c r="AL1011" i="10" s="1"/>
  <c r="AE1011" i="10"/>
  <c r="AV659" i="10"/>
  <c r="X659" i="10"/>
  <c r="AE659" i="10"/>
  <c r="AV432" i="10"/>
  <c r="X432" i="10"/>
  <c r="AE432" i="10"/>
  <c r="AV21" i="10"/>
  <c r="X21" i="10"/>
  <c r="AV440" i="10"/>
  <c r="X440" i="10"/>
  <c r="AE440" i="10"/>
  <c r="AV577" i="10"/>
  <c r="X577" i="10"/>
  <c r="AE577" i="10"/>
  <c r="AF577" i="10"/>
  <c r="AL577" i="10" s="1"/>
  <c r="AV920" i="10"/>
  <c r="X920" i="10"/>
  <c r="AE920" i="10"/>
  <c r="AF920" i="10"/>
  <c r="AL920" i="10" s="1"/>
  <c r="AV195" i="10"/>
  <c r="X195" i="10"/>
  <c r="AE195" i="10"/>
  <c r="AF195" i="10"/>
  <c r="AL195" i="10" s="1"/>
  <c r="AV222" i="10"/>
  <c r="X222" i="10"/>
  <c r="AF222" i="10"/>
  <c r="AL222" i="10" s="1"/>
  <c r="AE222" i="10"/>
  <c r="AV953" i="10"/>
  <c r="X953" i="10"/>
  <c r="AE953" i="10"/>
  <c r="AF953" i="10"/>
  <c r="AL953" i="10" s="1"/>
  <c r="AV543" i="10"/>
  <c r="X543" i="10"/>
  <c r="AE543" i="10"/>
  <c r="AV1107" i="10"/>
  <c r="X1107" i="10"/>
  <c r="AF1107" i="10"/>
  <c r="AL1107" i="10" s="1"/>
  <c r="AE1107" i="10"/>
  <c r="AV1069" i="10"/>
  <c r="X1069" i="10"/>
  <c r="AF1069" i="10"/>
  <c r="AL1069" i="10" s="1"/>
  <c r="AE1069" i="10"/>
  <c r="AV665" i="10"/>
  <c r="X665" i="10"/>
  <c r="AE665" i="10"/>
  <c r="AF665" i="10"/>
  <c r="AL665" i="10" s="1"/>
  <c r="AV777" i="10"/>
  <c r="X777" i="10"/>
  <c r="AE777" i="10"/>
  <c r="AF777" i="10"/>
  <c r="AL777" i="10" s="1"/>
  <c r="AV245" i="10"/>
  <c r="AE245" i="10"/>
  <c r="AF245" i="10"/>
  <c r="AL245" i="10" s="1"/>
  <c r="AV866" i="10"/>
  <c r="X866" i="10"/>
  <c r="AF866" i="10"/>
  <c r="AL866" i="10" s="1"/>
  <c r="AE866" i="10"/>
  <c r="AV576" i="10"/>
  <c r="X576" i="10"/>
  <c r="AF576" i="10"/>
  <c r="AL576" i="10" s="1"/>
  <c r="AE576" i="10"/>
  <c r="AV1047" i="10"/>
  <c r="X1047" i="10"/>
  <c r="AE1047" i="10"/>
  <c r="AF1047" i="10"/>
  <c r="AL1047" i="10" s="1"/>
  <c r="AV15" i="10"/>
  <c r="X15" i="10"/>
  <c r="AF15" i="10"/>
  <c r="AL15" i="10" s="1"/>
  <c r="AV13" i="10"/>
  <c r="X13" i="10"/>
  <c r="AF13" i="10"/>
  <c r="AL13" i="10" s="1"/>
  <c r="AV704" i="10"/>
  <c r="X704" i="10"/>
  <c r="AE704" i="10"/>
  <c r="AV637" i="10"/>
  <c r="X637" i="10"/>
  <c r="AE637" i="10"/>
  <c r="AF637" i="10"/>
  <c r="AL637" i="10" s="1"/>
  <c r="AV941" i="10"/>
  <c r="X941" i="10"/>
  <c r="AF941" i="10"/>
  <c r="AL941" i="10" s="1"/>
  <c r="AE941" i="10"/>
  <c r="AG1166" i="10"/>
  <c r="AH1166" i="10" s="1"/>
  <c r="AI1166" i="10" s="1"/>
  <c r="AG162" i="10"/>
  <c r="AH162" i="10" s="1"/>
  <c r="AI162" i="10" s="1"/>
  <c r="AG184" i="10"/>
  <c r="AH184" i="10" s="1"/>
  <c r="AI184" i="10" s="1"/>
  <c r="AJ184" i="10"/>
  <c r="AF81" i="10"/>
  <c r="AL81" i="10" s="1"/>
  <c r="AE803" i="10"/>
  <c r="AF630" i="10"/>
  <c r="AL630" i="10" s="1"/>
  <c r="AE678" i="10"/>
  <c r="AF400" i="10"/>
  <c r="AL400" i="10" s="1"/>
  <c r="AE1114" i="10"/>
  <c r="AV217" i="10"/>
  <c r="AE217" i="10"/>
  <c r="AF217" i="10"/>
  <c r="AL217" i="10" s="1"/>
  <c r="AV775" i="10"/>
  <c r="X775" i="10"/>
  <c r="AE775" i="10"/>
  <c r="AF775" i="10"/>
  <c r="AL775" i="10" s="1"/>
  <c r="AV693" i="10"/>
  <c r="X693" i="10"/>
  <c r="AF693" i="10"/>
  <c r="AL693" i="10" s="1"/>
  <c r="AE693" i="10"/>
  <c r="AV955" i="10"/>
  <c r="X955" i="10"/>
  <c r="AE955" i="10"/>
  <c r="AF955" i="10"/>
  <c r="AL955" i="10" s="1"/>
  <c r="AV557" i="10"/>
  <c r="AE557" i="10"/>
  <c r="AF557" i="10"/>
  <c r="AL557" i="10" s="1"/>
  <c r="AV584" i="10"/>
  <c r="X584" i="10"/>
  <c r="AV529" i="10"/>
  <c r="X529" i="10"/>
  <c r="AE529" i="10"/>
  <c r="AF529" i="10"/>
  <c r="AL529" i="10" s="1"/>
  <c r="AV648" i="10"/>
  <c r="X648" i="10"/>
  <c r="AE648" i="10"/>
  <c r="AG648" i="10" s="1"/>
  <c r="AH648" i="10" s="1"/>
  <c r="AI648" i="10" s="1"/>
  <c r="AF648" i="10"/>
  <c r="AV995" i="10"/>
  <c r="X995" i="10"/>
  <c r="AE995" i="10"/>
  <c r="AF995" i="10"/>
  <c r="AL995" i="10" s="1"/>
  <c r="AV839" i="10"/>
  <c r="X839" i="10"/>
  <c r="AF839" i="10"/>
  <c r="AL839" i="10" s="1"/>
  <c r="AE839" i="10"/>
  <c r="AV720" i="10"/>
  <c r="X720" i="10"/>
  <c r="AE720" i="10"/>
  <c r="AV1156" i="10"/>
  <c r="X1156" i="10"/>
  <c r="AF1156" i="10"/>
  <c r="AL1156" i="10" s="1"/>
  <c r="AE1156" i="10"/>
  <c r="AV843" i="10"/>
  <c r="X843" i="10"/>
  <c r="AF843" i="10"/>
  <c r="AL843" i="10" s="1"/>
  <c r="AE843" i="10"/>
  <c r="AV690" i="10"/>
  <c r="X690" i="10"/>
  <c r="AF690" i="10"/>
  <c r="AL690" i="10" s="1"/>
  <c r="AE690" i="10"/>
  <c r="AV806" i="10"/>
  <c r="X806" i="10"/>
  <c r="AE806" i="10"/>
  <c r="AF806" i="10"/>
  <c r="AL806" i="10" s="1"/>
  <c r="AV620" i="10"/>
  <c r="X620" i="10"/>
  <c r="AF620" i="10"/>
  <c r="AL620" i="10" s="1"/>
  <c r="AE620" i="10"/>
  <c r="AV723" i="10"/>
  <c r="X723" i="10"/>
  <c r="AE723" i="10"/>
  <c r="AF723" i="10"/>
  <c r="AL723" i="10" s="1"/>
  <c r="AV536" i="10"/>
  <c r="X536" i="10"/>
  <c r="AF536" i="10"/>
  <c r="AL536" i="10" s="1"/>
  <c r="AE536" i="10"/>
  <c r="AV896" i="10"/>
  <c r="AE896" i="10"/>
  <c r="AF896" i="10"/>
  <c r="AL896" i="10" s="1"/>
  <c r="AV927" i="10"/>
  <c r="X927" i="10"/>
  <c r="AF927" i="10"/>
  <c r="AL927" i="10" s="1"/>
  <c r="AV544" i="10"/>
  <c r="X544" i="10"/>
  <c r="AF544" i="10"/>
  <c r="AL544" i="10" s="1"/>
  <c r="AE544" i="10"/>
  <c r="AV399" i="10"/>
  <c r="AK399" i="10"/>
  <c r="X399" i="10"/>
  <c r="AE399" i="10"/>
  <c r="AF399" i="10"/>
  <c r="AL399" i="10" s="1"/>
  <c r="AV252" i="10"/>
  <c r="X252" i="10"/>
  <c r="AF252" i="10"/>
  <c r="AL252" i="10" s="1"/>
  <c r="AE252" i="10"/>
  <c r="AV1021" i="10"/>
  <c r="X1021" i="10"/>
  <c r="AF1021" i="10"/>
  <c r="AL1021" i="10" s="1"/>
  <c r="AE1021" i="10"/>
  <c r="AV109" i="10"/>
  <c r="X109" i="10"/>
  <c r="AE109" i="10"/>
  <c r="AF109" i="10"/>
  <c r="AL109" i="10" s="1"/>
  <c r="AV450" i="10"/>
  <c r="X450" i="10"/>
  <c r="AE450" i="10"/>
  <c r="AF450" i="10"/>
  <c r="AL450" i="10" s="1"/>
  <c r="AV823" i="10"/>
  <c r="X823" i="10"/>
  <c r="AE823" i="10"/>
  <c r="AF823" i="10"/>
  <c r="AL823" i="10" s="1"/>
  <c r="AV94" i="10"/>
  <c r="X94" i="10"/>
  <c r="AF94" i="10"/>
  <c r="AL94" i="10" s="1"/>
  <c r="AV696" i="10"/>
  <c r="AF696" i="10"/>
  <c r="AL696" i="10" s="1"/>
  <c r="AE696" i="10"/>
  <c r="AV1026" i="10"/>
  <c r="X1026" i="10"/>
  <c r="AE1026" i="10"/>
  <c r="AG278" i="10"/>
  <c r="AH278" i="10" s="1"/>
  <c r="AI278" i="10" s="1"/>
  <c r="AG906" i="10"/>
  <c r="AH906" i="10" s="1"/>
  <c r="AI906" i="10" s="1"/>
  <c r="AG735" i="10"/>
  <c r="AH735" i="10" s="1"/>
  <c r="AI735" i="10" s="1"/>
  <c r="AG555" i="10"/>
  <c r="AH555" i="10" s="1"/>
  <c r="AI555" i="10" s="1"/>
  <c r="AG148" i="10"/>
  <c r="AG26" i="10"/>
  <c r="AH26" i="10" s="1"/>
  <c r="AI26" i="10" s="1"/>
  <c r="AG157" i="10"/>
  <c r="AH157" i="10" s="1"/>
  <c r="AI157" i="10" s="1"/>
  <c r="AG139" i="10"/>
  <c r="AH139" i="10" s="1"/>
  <c r="AI139" i="10" s="1"/>
  <c r="AF226" i="10"/>
  <c r="AL226" i="10" s="1"/>
  <c r="AF437" i="10"/>
  <c r="AL437" i="10" s="1"/>
  <c r="AE125" i="10"/>
  <c r="AF283" i="10"/>
  <c r="AL283" i="10" s="1"/>
  <c r="AE709" i="10"/>
  <c r="AF234" i="10"/>
  <c r="AL234" i="10" s="1"/>
  <c r="AF753" i="10"/>
  <c r="AL753" i="10" s="1"/>
  <c r="AF1090" i="10"/>
  <c r="AL1090" i="10" s="1"/>
  <c r="AE455" i="10"/>
  <c r="AV1121" i="10"/>
  <c r="AE1121" i="10"/>
  <c r="AF1121" i="10"/>
  <c r="AL1121" i="10" s="1"/>
  <c r="AV740" i="10"/>
  <c r="X740" i="10"/>
  <c r="AF740" i="10"/>
  <c r="AL740" i="10" s="1"/>
  <c r="AE740" i="10"/>
  <c r="AV56" i="10"/>
  <c r="AF56" i="10"/>
  <c r="AL56" i="10" s="1"/>
  <c r="AE56" i="10"/>
  <c r="AV578" i="10"/>
  <c r="AE578" i="10"/>
  <c r="AV39" i="10"/>
  <c r="X39" i="10"/>
  <c r="AF39" i="10"/>
  <c r="AL39" i="10" s="1"/>
  <c r="AE39" i="10"/>
  <c r="AV863" i="10"/>
  <c r="X863" i="10"/>
  <c r="AE863" i="10"/>
  <c r="AV1057" i="10"/>
  <c r="X1057" i="10"/>
  <c r="AE1057" i="10"/>
  <c r="AF1057" i="10"/>
  <c r="AL1057" i="10" s="1"/>
  <c r="AV628" i="10"/>
  <c r="X628" i="10"/>
  <c r="AE628" i="10"/>
  <c r="AF628" i="10"/>
  <c r="AL628" i="10" s="1"/>
  <c r="AV742" i="10"/>
  <c r="AF742" i="10"/>
  <c r="AL742" i="10" s="1"/>
  <c r="AE742" i="10"/>
  <c r="AV903" i="10"/>
  <c r="X903" i="10"/>
  <c r="AE903" i="10"/>
  <c r="AF903" i="10"/>
  <c r="AL903" i="10" s="1"/>
  <c r="AV243" i="10"/>
  <c r="X243" i="10"/>
  <c r="AF243" i="10"/>
  <c r="AL243" i="10" s="1"/>
  <c r="AE243" i="10"/>
  <c r="AV588" i="10"/>
  <c r="X588" i="10"/>
  <c r="AE588" i="10"/>
  <c r="AF588" i="10"/>
  <c r="AL588" i="10" s="1"/>
  <c r="AV229" i="10"/>
  <c r="AE229" i="10"/>
  <c r="AF229" i="10"/>
  <c r="AL229" i="10" s="1"/>
  <c r="AV786" i="10"/>
  <c r="X786" i="10"/>
  <c r="AF786" i="10"/>
  <c r="AL786" i="10" s="1"/>
  <c r="AE786" i="10"/>
  <c r="AV590" i="10"/>
  <c r="X590" i="10"/>
  <c r="AV413" i="10"/>
  <c r="AE413" i="10"/>
  <c r="AF413" i="10"/>
  <c r="AL413" i="10" s="1"/>
  <c r="AV395" i="10"/>
  <c r="X395" i="10"/>
  <c r="AF395" i="10"/>
  <c r="AL395" i="10" s="1"/>
  <c r="AE395" i="10"/>
  <c r="AV1175" i="10"/>
  <c r="AF1175" i="10"/>
  <c r="AL1175" i="10" s="1"/>
  <c r="AE1175" i="10"/>
  <c r="AV997" i="10"/>
  <c r="AE997" i="10"/>
  <c r="AV526" i="10"/>
  <c r="X526" i="10"/>
  <c r="AE526" i="10"/>
  <c r="AF526" i="10"/>
  <c r="AL526" i="10" s="1"/>
  <c r="AV448" i="10"/>
  <c r="X448" i="10"/>
  <c r="AE448" i="10"/>
  <c r="AF448" i="10"/>
  <c r="AL448" i="10" s="1"/>
  <c r="AV318" i="10"/>
  <c r="AK318" i="10"/>
  <c r="X318" i="10"/>
  <c r="AF318" i="10"/>
  <c r="AL318" i="10" s="1"/>
  <c r="AV598" i="10"/>
  <c r="AF598" i="10"/>
  <c r="AL598" i="10" s="1"/>
  <c r="AE598" i="10"/>
  <c r="AV273" i="10"/>
  <c r="X273" i="10"/>
  <c r="AE273" i="10"/>
  <c r="AF273" i="10"/>
  <c r="AL273" i="10" s="1"/>
  <c r="AV933" i="10"/>
  <c r="X933" i="10"/>
  <c r="AF933" i="10"/>
  <c r="AL933" i="10" s="1"/>
  <c r="AE933" i="10"/>
  <c r="AV1022" i="10"/>
  <c r="AE1022" i="10"/>
  <c r="AF1022" i="10"/>
  <c r="AL1022" i="10" s="1"/>
  <c r="AV219" i="10"/>
  <c r="X219" i="10"/>
  <c r="AF219" i="10"/>
  <c r="AL219" i="10" s="1"/>
  <c r="AV454" i="10"/>
  <c r="AD454" i="10"/>
  <c r="AF454" i="10"/>
  <c r="AL454" i="10" s="1"/>
  <c r="AV1188" i="10"/>
  <c r="X1188" i="10"/>
  <c r="AV463" i="10"/>
  <c r="X463" i="10"/>
  <c r="AE463" i="10"/>
  <c r="AF463" i="10"/>
  <c r="AL463" i="10" s="1"/>
  <c r="AV353" i="10"/>
  <c r="X353" i="10"/>
  <c r="AF353" i="10"/>
  <c r="AL353" i="10" s="1"/>
  <c r="AV321" i="10"/>
  <c r="X321" i="10"/>
  <c r="AV971" i="10"/>
  <c r="X971" i="10"/>
  <c r="AE971" i="10"/>
  <c r="AV491" i="10"/>
  <c r="X491" i="10"/>
  <c r="AF491" i="10"/>
  <c r="AL491" i="10" s="1"/>
  <c r="AV312" i="10"/>
  <c r="X312" i="10"/>
  <c r="AE312" i="10"/>
  <c r="AV337" i="10"/>
  <c r="X337" i="10"/>
  <c r="AE337" i="10"/>
  <c r="AF337" i="10"/>
  <c r="AL337" i="10" s="1"/>
  <c r="AV1171" i="10"/>
  <c r="X1171" i="10"/>
  <c r="AE1171" i="10"/>
  <c r="AF1171" i="10"/>
  <c r="AL1171" i="10" s="1"/>
  <c r="AV68" i="10"/>
  <c r="X68" i="10"/>
  <c r="AE68" i="10"/>
  <c r="AV1063" i="10"/>
  <c r="X1063" i="10"/>
  <c r="AE1063" i="10"/>
  <c r="AF1063" i="10"/>
  <c r="AL1063" i="10" s="1"/>
  <c r="AV486" i="10"/>
  <c r="X486" i="10"/>
  <c r="AE486" i="10"/>
  <c r="AF486" i="10"/>
  <c r="AL486" i="10" s="1"/>
  <c r="AV1127" i="10"/>
  <c r="X1127" i="10"/>
  <c r="AF1127" i="10"/>
  <c r="AL1127" i="10" s="1"/>
  <c r="AV404" i="10"/>
  <c r="X404" i="10"/>
  <c r="AE404" i="10"/>
  <c r="AF404" i="10"/>
  <c r="AL404" i="10" s="1"/>
  <c r="AV238" i="10"/>
  <c r="X238" i="10"/>
  <c r="AF238" i="10"/>
  <c r="AL238" i="10" s="1"/>
  <c r="AV316" i="10"/>
  <c r="AF316" i="10"/>
  <c r="AL316" i="10" s="1"/>
  <c r="AE316" i="10"/>
  <c r="AV1178" i="10"/>
  <c r="X1178" i="10"/>
  <c r="AE1178" i="10"/>
  <c r="AF1178" i="10"/>
  <c r="AL1178" i="10" s="1"/>
  <c r="AV128" i="10"/>
  <c r="X128" i="10"/>
  <c r="AE128" i="10"/>
  <c r="AF128" i="10"/>
  <c r="AL128" i="10" s="1"/>
  <c r="AV489" i="10"/>
  <c r="X489" i="10"/>
  <c r="AE489" i="10"/>
  <c r="AF489" i="10"/>
  <c r="AL489" i="10" s="1"/>
  <c r="AV1085" i="10"/>
  <c r="X1085" i="10"/>
  <c r="AF1085" i="10"/>
  <c r="AL1085" i="10" s="1"/>
  <c r="AE1085" i="10"/>
  <c r="AV587" i="10"/>
  <c r="X587" i="10"/>
  <c r="AF587" i="10"/>
  <c r="AL587" i="10" s="1"/>
  <c r="AE587" i="10"/>
  <c r="AE1188" i="10"/>
  <c r="AE928" i="10"/>
  <c r="AF578" i="10"/>
  <c r="AL578" i="10" s="1"/>
  <c r="AE46" i="10"/>
  <c r="AE1127" i="10"/>
  <c r="AF1026" i="10"/>
  <c r="AL1026" i="10" s="1"/>
  <c r="AF1176" i="10"/>
  <c r="AL1176" i="10" s="1"/>
  <c r="AV836" i="10"/>
  <c r="X836" i="10"/>
  <c r="AE836" i="10"/>
  <c r="AF836" i="10"/>
  <c r="AL836" i="10" s="1"/>
  <c r="AV368" i="10"/>
  <c r="AE368" i="10"/>
  <c r="AF368" i="10"/>
  <c r="AL368" i="10" s="1"/>
  <c r="AV57" i="10"/>
  <c r="AF57" i="10"/>
  <c r="AL57" i="10" s="1"/>
  <c r="AE57" i="10"/>
  <c r="AV1003" i="10"/>
  <c r="X1003" i="10"/>
  <c r="AE1003" i="10"/>
  <c r="AF1003" i="10"/>
  <c r="AL1003" i="10" s="1"/>
  <c r="AV773" i="10"/>
  <c r="AF773" i="10"/>
  <c r="AL773" i="10" s="1"/>
  <c r="AE773" i="10"/>
  <c r="AV192" i="10"/>
  <c r="X192" i="10"/>
  <c r="AE192" i="10"/>
  <c r="AV1071" i="10"/>
  <c r="X1071" i="10"/>
  <c r="AE1071" i="10"/>
  <c r="AV638" i="10"/>
  <c r="X638" i="10"/>
  <c r="AE638" i="10"/>
  <c r="AF638" i="10"/>
  <c r="AL638" i="10" s="1"/>
  <c r="AV518" i="10"/>
  <c r="X518" i="10"/>
  <c r="AE518" i="10"/>
  <c r="AV392" i="10"/>
  <c r="X392" i="10"/>
  <c r="AE392" i="10"/>
  <c r="AF392" i="10"/>
  <c r="AL392" i="10" s="1"/>
  <c r="AV796" i="10"/>
  <c r="AE796" i="10"/>
  <c r="AF796" i="10"/>
  <c r="AL796" i="10" s="1"/>
  <c r="AV1051" i="10"/>
  <c r="X1051" i="10"/>
  <c r="AF1051" i="10"/>
  <c r="AL1051" i="10" s="1"/>
  <c r="AV926" i="10"/>
  <c r="AE926" i="10"/>
  <c r="AF926" i="10"/>
  <c r="AL926" i="10" s="1"/>
  <c r="AV47" i="10"/>
  <c r="AF47" i="10"/>
  <c r="AL47" i="10" s="1"/>
  <c r="AV1094" i="10"/>
  <c r="AF1094" i="10"/>
  <c r="AL1094" i="10" s="1"/>
  <c r="AE1094" i="10"/>
  <c r="AV60" i="10"/>
  <c r="X60" i="10"/>
  <c r="AE60" i="10"/>
  <c r="AV1036" i="10"/>
  <c r="X1036" i="10"/>
  <c r="AF1036" i="10"/>
  <c r="AL1036" i="10" s="1"/>
  <c r="AE1036" i="10"/>
  <c r="AV348" i="10"/>
  <c r="X348" i="10"/>
  <c r="AE348" i="10"/>
  <c r="AF348" i="10"/>
  <c r="AL348" i="10" s="1"/>
  <c r="AV672" i="10"/>
  <c r="X672" i="10"/>
  <c r="AE672" i="10"/>
  <c r="AF672" i="10"/>
  <c r="AL672" i="10" s="1"/>
  <c r="AV1064" i="10"/>
  <c r="X1064" i="10"/>
  <c r="AF1064" i="10"/>
  <c r="AL1064" i="10" s="1"/>
  <c r="AE1064" i="10"/>
  <c r="AV827" i="10"/>
  <c r="X827" i="10"/>
  <c r="AF827" i="10"/>
  <c r="AL827" i="10" s="1"/>
  <c r="AE827" i="10"/>
  <c r="AV336" i="10"/>
  <c r="X336" i="10"/>
  <c r="AE336" i="10"/>
  <c r="AF336" i="10"/>
  <c r="AL336" i="10" s="1"/>
  <c r="AV434" i="10"/>
  <c r="X434" i="10"/>
  <c r="AE434" i="10"/>
  <c r="AV857" i="10"/>
  <c r="X857" i="10"/>
  <c r="AE857" i="10"/>
  <c r="AG857" i="10" s="1"/>
  <c r="AV1134" i="10"/>
  <c r="X1134" i="10"/>
  <c r="AE1134" i="10"/>
  <c r="AF1134" i="10"/>
  <c r="AL1134" i="10" s="1"/>
  <c r="AV495" i="10"/>
  <c r="X495" i="10"/>
  <c r="AF495" i="10"/>
  <c r="AL495" i="10" s="1"/>
  <c r="AE495" i="10"/>
  <c r="AV96" i="10"/>
  <c r="X96" i="10"/>
  <c r="AE96" i="10"/>
  <c r="AF96" i="10"/>
  <c r="AL96" i="10" s="1"/>
  <c r="AV115" i="10"/>
  <c r="AK115" i="10"/>
  <c r="X115" i="10"/>
  <c r="AF115" i="10"/>
  <c r="AL115" i="10" s="1"/>
  <c r="AV95" i="10"/>
  <c r="X95" i="10"/>
  <c r="AF95" i="10"/>
  <c r="AL95" i="10" s="1"/>
  <c r="AV898" i="10"/>
  <c r="AF898" i="10"/>
  <c r="AL898" i="10" s="1"/>
  <c r="AE898" i="10"/>
  <c r="AK537" i="10"/>
  <c r="AV537" i="10"/>
  <c r="X537" i="10"/>
  <c r="AF537" i="10"/>
  <c r="AL537" i="10" s="1"/>
  <c r="AE537" i="10"/>
  <c r="AV70" i="10"/>
  <c r="X70" i="10"/>
  <c r="AV924" i="10"/>
  <c r="X924" i="10"/>
  <c r="AE924" i="10"/>
  <c r="AF924" i="10"/>
  <c r="AL924" i="10" s="1"/>
  <c r="AV538" i="10"/>
  <c r="X538" i="10"/>
  <c r="AE538" i="10"/>
  <c r="AF538" i="10"/>
  <c r="AL538" i="10" s="1"/>
  <c r="AV531" i="10"/>
  <c r="X531" i="10"/>
  <c r="AF531" i="10"/>
  <c r="AL531" i="10" s="1"/>
  <c r="AE531" i="10"/>
  <c r="AV87" i="10"/>
  <c r="X87" i="10"/>
  <c r="AF87" i="10"/>
  <c r="AL87" i="10" s="1"/>
  <c r="AE87" i="10"/>
  <c r="AV240" i="10"/>
  <c r="X240" i="10"/>
  <c r="AE240" i="10"/>
  <c r="AV1145" i="10"/>
  <c r="X1145" i="10"/>
  <c r="AF1145" i="10"/>
  <c r="AL1145" i="10" s="1"/>
  <c r="AE1145" i="10"/>
  <c r="AV950" i="10"/>
  <c r="X950" i="10"/>
  <c r="AF950" i="10"/>
  <c r="AL950" i="10" s="1"/>
  <c r="AE950" i="10"/>
  <c r="AV1164" i="10"/>
  <c r="X1164" i="10"/>
  <c r="AF1164" i="10"/>
  <c r="AL1164" i="10" s="1"/>
  <c r="AE1164" i="10"/>
  <c r="AV153" i="10"/>
  <c r="X153" i="10"/>
  <c r="AE153" i="10"/>
  <c r="AF153" i="10"/>
  <c r="AL153" i="10" s="1"/>
  <c r="AF247" i="10"/>
  <c r="AL247" i="10" s="1"/>
  <c r="AF793" i="10"/>
  <c r="AL793" i="10" s="1"/>
  <c r="AF1032" i="10"/>
  <c r="AL1032" i="10" s="1"/>
  <c r="AE574" i="10"/>
  <c r="AE571" i="10"/>
  <c r="AE445" i="10"/>
  <c r="AE1051" i="10"/>
  <c r="AE927" i="10"/>
  <c r="AE70" i="10"/>
  <c r="AF479" i="10"/>
  <c r="AL479" i="10" s="1"/>
  <c r="AV610" i="10"/>
  <c r="AK610" i="10"/>
  <c r="X610" i="10"/>
  <c r="AV636" i="10"/>
  <c r="X636" i="10"/>
  <c r="AE636" i="10"/>
  <c r="AF636" i="10"/>
  <c r="AL636" i="10" s="1"/>
  <c r="AV286" i="10"/>
  <c r="X286" i="10"/>
  <c r="AE286" i="10"/>
  <c r="AF286" i="10"/>
  <c r="AL286" i="10" s="1"/>
  <c r="AV602" i="10"/>
  <c r="X602" i="10"/>
  <c r="AF602" i="10"/>
  <c r="AL602" i="10" s="1"/>
  <c r="AE602" i="10"/>
  <c r="AV3" i="10"/>
  <c r="X3" i="10"/>
  <c r="AE3" i="10"/>
  <c r="AF3" i="10"/>
  <c r="AL3" i="10" s="1"/>
  <c r="AV787" i="10"/>
  <c r="X787" i="10"/>
  <c r="AE787" i="10"/>
  <c r="AF787" i="10"/>
  <c r="AL787" i="10" s="1"/>
  <c r="AV91" i="10"/>
  <c r="X91" i="10"/>
  <c r="AE91" i="10"/>
  <c r="AF91" i="10"/>
  <c r="AL91" i="10" s="1"/>
  <c r="AV966" i="10"/>
  <c r="X966" i="10"/>
  <c r="AE966" i="10"/>
  <c r="AF966" i="10"/>
  <c r="AL966" i="10" s="1"/>
  <c r="AV398" i="10"/>
  <c r="X398" i="10"/>
  <c r="AF398" i="10"/>
  <c r="AL398" i="10" s="1"/>
  <c r="AE398" i="10"/>
  <c r="AV1151" i="10"/>
  <c r="X1151" i="10"/>
  <c r="AE1151" i="10"/>
  <c r="AF1151" i="10"/>
  <c r="AL1151" i="10" s="1"/>
  <c r="AV200" i="10"/>
  <c r="X200" i="10"/>
  <c r="AF200" i="10"/>
  <c r="AL200" i="10" s="1"/>
  <c r="AE200" i="10"/>
  <c r="AV744" i="10"/>
  <c r="X744" i="10"/>
  <c r="D744" i="12"/>
  <c r="AE744" i="10"/>
  <c r="AF744" i="10"/>
  <c r="AL744" i="10" s="1"/>
  <c r="AV1118" i="10"/>
  <c r="X1118" i="10"/>
  <c r="AE1118" i="10"/>
  <c r="AF1118" i="10"/>
  <c r="AL1118" i="10" s="1"/>
  <c r="AV266" i="10"/>
  <c r="X266" i="10"/>
  <c r="AF266" i="10"/>
  <c r="AL266" i="10" s="1"/>
  <c r="AV869" i="10"/>
  <c r="X869" i="10"/>
  <c r="AF869" i="10"/>
  <c r="AL869" i="10" s="1"/>
  <c r="AV814" i="10"/>
  <c r="X814" i="10"/>
  <c r="AE814" i="10"/>
  <c r="AF814" i="10"/>
  <c r="AL814" i="10" s="1"/>
  <c r="AV506" i="10"/>
  <c r="AE506" i="10"/>
  <c r="AF506" i="10"/>
  <c r="AL506" i="10" s="1"/>
  <c r="AV1065" i="10"/>
  <c r="X1065" i="10"/>
  <c r="AF1065" i="10"/>
  <c r="AL1065" i="10" s="1"/>
  <c r="AE1065" i="10"/>
  <c r="AV377" i="10"/>
  <c r="X377" i="10"/>
  <c r="AF377" i="10"/>
  <c r="AL377" i="10" s="1"/>
  <c r="AE377" i="10"/>
  <c r="AV611" i="10"/>
  <c r="X611" i="10"/>
  <c r="AF611" i="10"/>
  <c r="AL611" i="10" s="1"/>
  <c r="AV778" i="10"/>
  <c r="X778" i="10"/>
  <c r="AE778" i="10"/>
  <c r="AV741" i="10"/>
  <c r="X741" i="10"/>
  <c r="AF741" i="10"/>
  <c r="AL741" i="10" s="1"/>
  <c r="AV780" i="10"/>
  <c r="X780" i="10"/>
  <c r="AE780" i="10"/>
  <c r="AV520" i="10"/>
  <c r="X520" i="10"/>
  <c r="AE520" i="10"/>
  <c r="AF520" i="10"/>
  <c r="AL520" i="10" s="1"/>
  <c r="AV265" i="10"/>
  <c r="X265" i="10"/>
  <c r="AF265" i="10"/>
  <c r="AL265" i="10" s="1"/>
  <c r="AE265" i="10"/>
  <c r="AV58" i="10"/>
  <c r="X58" i="10"/>
  <c r="AE58" i="10"/>
  <c r="AF58" i="10"/>
  <c r="AL58" i="10" s="1"/>
  <c r="AV604" i="10"/>
  <c r="X604" i="10"/>
  <c r="AE604" i="10"/>
  <c r="AF604" i="10"/>
  <c r="AL604" i="10" s="1"/>
  <c r="AV323" i="10"/>
  <c r="X323" i="10"/>
  <c r="AE323" i="10"/>
  <c r="AF323" i="10"/>
  <c r="AL323" i="10" s="1"/>
  <c r="AV1138" i="10"/>
  <c r="X1138" i="10"/>
  <c r="AF1138" i="10"/>
  <c r="AL1138" i="10" s="1"/>
  <c r="AV1044" i="10"/>
  <c r="X1044" i="10"/>
  <c r="AF1044" i="10"/>
  <c r="AL1044" i="10" s="1"/>
  <c r="AE1044" i="10"/>
  <c r="AV889" i="10"/>
  <c r="X889" i="10"/>
  <c r="AF889" i="10"/>
  <c r="AL889" i="10" s="1"/>
  <c r="AE889" i="10"/>
  <c r="AV260" i="10"/>
  <c r="X260" i="10"/>
  <c r="AE260" i="10"/>
  <c r="AV410" i="10"/>
  <c r="X410" i="10"/>
  <c r="AV417" i="10"/>
  <c r="X417" i="10"/>
  <c r="AF417" i="10"/>
  <c r="AL417" i="10" s="1"/>
  <c r="AE417" i="10"/>
  <c r="AG156" i="10"/>
  <c r="AH156" i="10" s="1"/>
  <c r="AI156" i="10" s="1"/>
  <c r="AG54" i="10"/>
  <c r="AH54" i="10" s="1"/>
  <c r="AI54" i="10" s="1"/>
  <c r="AF720" i="10"/>
  <c r="AL720" i="10" s="1"/>
  <c r="AG212" i="10"/>
  <c r="AH212" i="10" s="1"/>
  <c r="AI212" i="10" s="1"/>
  <c r="AF440" i="10"/>
  <c r="AL440" i="10" s="1"/>
  <c r="AE611" i="10"/>
  <c r="AF659" i="10"/>
  <c r="AL659" i="10" s="1"/>
  <c r="AF780" i="10"/>
  <c r="AL780" i="10" s="1"/>
  <c r="AF704" i="10"/>
  <c r="AL704" i="10" s="1"/>
  <c r="AE869" i="10"/>
  <c r="AV1173" i="10"/>
  <c r="X1173" i="10"/>
  <c r="AE1173" i="10"/>
  <c r="AF1173" i="10"/>
  <c r="AL1173" i="10" s="1"/>
  <c r="AV1078" i="10"/>
  <c r="X1078" i="10"/>
  <c r="AE1078" i="10"/>
  <c r="AV239" i="10"/>
  <c r="X239" i="10"/>
  <c r="AF239" i="10"/>
  <c r="AL239" i="10" s="1"/>
  <c r="AV158" i="10"/>
  <c r="X158" i="10"/>
  <c r="AE158" i="10"/>
  <c r="AV481" i="10"/>
  <c r="X481" i="10"/>
  <c r="AF481" i="10"/>
  <c r="AL481" i="10" s="1"/>
  <c r="AE481" i="10"/>
  <c r="AV49" i="10"/>
  <c r="X49" i="10"/>
  <c r="AF49" i="10"/>
  <c r="AL49" i="10" s="1"/>
  <c r="AE49" i="10"/>
  <c r="AV705" i="10"/>
  <c r="X705" i="10"/>
  <c r="AE705" i="10"/>
  <c r="AF705" i="10"/>
  <c r="AL705" i="10" s="1"/>
  <c r="AV795" i="10"/>
  <c r="X795" i="10"/>
  <c r="AE795" i="10"/>
  <c r="AF795" i="10"/>
  <c r="AL795" i="10" s="1"/>
  <c r="AV1105" i="10"/>
  <c r="AF1105" i="10"/>
  <c r="AL1105" i="10" s="1"/>
  <c r="AE1105" i="10"/>
  <c r="AV828" i="10"/>
  <c r="X828" i="10"/>
  <c r="AF828" i="10"/>
  <c r="AL828" i="10" s="1"/>
  <c r="AE828" i="10"/>
  <c r="AV567" i="10"/>
  <c r="X567" i="10"/>
  <c r="AF567" i="10"/>
  <c r="AL567" i="10" s="1"/>
  <c r="AE567" i="10"/>
  <c r="AV730" i="10"/>
  <c r="X730" i="10"/>
  <c r="AE730" i="10"/>
  <c r="AF730" i="10"/>
  <c r="AL730" i="10" s="1"/>
  <c r="AV466" i="10"/>
  <c r="AK466" i="10"/>
  <c r="X466" i="10"/>
  <c r="AF466" i="10"/>
  <c r="AL466" i="10" s="1"/>
  <c r="AV306" i="10"/>
  <c r="X306" i="10"/>
  <c r="AE306" i="10"/>
  <c r="AF306" i="10"/>
  <c r="AL306" i="10" s="1"/>
  <c r="AV171" i="10"/>
  <c r="X171" i="10"/>
  <c r="AE171" i="10"/>
  <c r="AF171" i="10"/>
  <c r="AL171" i="10" s="1"/>
  <c r="AV561" i="10"/>
  <c r="AF561" i="10"/>
  <c r="AL561" i="10" s="1"/>
  <c r="AV701" i="10"/>
  <c r="X701" i="10"/>
  <c r="AE701" i="10"/>
  <c r="AF701" i="10"/>
  <c r="AL701" i="10" s="1"/>
  <c r="AV65" i="10"/>
  <c r="X65" i="10"/>
  <c r="AF65" i="10"/>
  <c r="AL65" i="10" s="1"/>
  <c r="AE65" i="10"/>
  <c r="AV656" i="10"/>
  <c r="X656" i="10"/>
  <c r="AE656" i="10"/>
  <c r="AF656" i="10"/>
  <c r="AL656" i="10" s="1"/>
  <c r="AV439" i="10"/>
  <c r="X439" i="10"/>
  <c r="AE439" i="10"/>
  <c r="AV568" i="10"/>
  <c r="X568" i="10"/>
  <c r="AE568" i="10"/>
  <c r="AV475" i="10"/>
  <c r="X475" i="10"/>
  <c r="AF475" i="10"/>
  <c r="AL475" i="10" s="1"/>
  <c r="AE475" i="10"/>
  <c r="AV1100" i="10"/>
  <c r="X1100" i="10"/>
  <c r="AF1100" i="10"/>
  <c r="AL1100" i="10" s="1"/>
  <c r="AE1100" i="10"/>
  <c r="AV268" i="10"/>
  <c r="AE268" i="10"/>
  <c r="AF268" i="10"/>
  <c r="AL268" i="10" s="1"/>
  <c r="AV241" i="10"/>
  <c r="X241" i="10"/>
  <c r="AF241" i="10"/>
  <c r="AL241" i="10" s="1"/>
  <c r="AE241" i="10"/>
  <c r="AV677" i="10"/>
  <c r="X677" i="10"/>
  <c r="AF677" i="10"/>
  <c r="AL677" i="10" s="1"/>
  <c r="AE677" i="10"/>
  <c r="AV127" i="10"/>
  <c r="X127" i="10"/>
  <c r="AE127" i="10"/>
  <c r="AF127" i="10"/>
  <c r="AL127" i="10" s="1"/>
  <c r="AV176" i="10"/>
  <c r="AE176" i="10"/>
  <c r="AF176" i="10"/>
  <c r="AL176" i="10" s="1"/>
  <c r="AV248" i="10"/>
  <c r="AK248" i="10"/>
  <c r="X248" i="10"/>
  <c r="AV675" i="10"/>
  <c r="X675" i="10"/>
  <c r="AF675" i="10"/>
  <c r="AL675" i="10" s="1"/>
  <c r="AE675" i="10"/>
  <c r="AV859" i="10"/>
  <c r="AE859" i="10"/>
  <c r="AF859" i="10"/>
  <c r="AL859" i="10" s="1"/>
  <c r="AV334" i="10"/>
  <c r="X334" i="10"/>
  <c r="AF334" i="10"/>
  <c r="AL334" i="10" s="1"/>
  <c r="AV967" i="10"/>
  <c r="AF967" i="10"/>
  <c r="AL967" i="10" s="1"/>
  <c r="AV1101" i="10"/>
  <c r="X1101" i="10"/>
  <c r="AF1101" i="10"/>
  <c r="AL1101" i="10" s="1"/>
  <c r="AE1101" i="10"/>
  <c r="AV764" i="10"/>
  <c r="X764" i="10"/>
  <c r="AE764" i="10"/>
  <c r="AV478" i="10"/>
  <c r="X478" i="10"/>
  <c r="AF478" i="10"/>
  <c r="AL478" i="10" s="1"/>
  <c r="AE478" i="10"/>
  <c r="AV421" i="10"/>
  <c r="AE421" i="10"/>
  <c r="AF421" i="10"/>
  <c r="AL421" i="10" s="1"/>
  <c r="AV474" i="10"/>
  <c r="X474" i="10"/>
  <c r="AF474" i="10"/>
  <c r="AL474" i="10" s="1"/>
  <c r="AE474" i="10"/>
  <c r="AV1050" i="10"/>
  <c r="X1050" i="10"/>
  <c r="AF1050" i="10"/>
  <c r="AL1050" i="10" s="1"/>
  <c r="AE1050" i="10"/>
  <c r="AV88" i="10"/>
  <c r="AK88" i="10"/>
  <c r="AE88" i="10"/>
  <c r="AF88" i="10"/>
  <c r="AL88" i="10" s="1"/>
  <c r="AV1020" i="10"/>
  <c r="AF1020" i="10"/>
  <c r="AL1020" i="10" s="1"/>
  <c r="AV232" i="10"/>
  <c r="AF232" i="10"/>
  <c r="AL232" i="10" s="1"/>
  <c r="AE232" i="10"/>
  <c r="AV860" i="10"/>
  <c r="X860" i="10"/>
  <c r="AE860" i="10"/>
  <c r="AF860" i="10"/>
  <c r="AL860" i="10" s="1"/>
  <c r="AV178" i="10"/>
  <c r="X178" i="10"/>
  <c r="AE178" i="10"/>
  <c r="AF178" i="10"/>
  <c r="AL178" i="10" s="1"/>
  <c r="AV1143" i="10"/>
  <c r="X1143" i="10"/>
  <c r="AF1143" i="10"/>
  <c r="AL1143" i="10" s="1"/>
  <c r="AE1143" i="10"/>
  <c r="AV1023" i="10"/>
  <c r="X1023" i="10"/>
  <c r="AF1023" i="10"/>
  <c r="AL1023" i="10" s="1"/>
  <c r="AE1023" i="10"/>
  <c r="AV647" i="10"/>
  <c r="AF647" i="10"/>
  <c r="AL647" i="10" s="1"/>
  <c r="AE647" i="10"/>
  <c r="AV917" i="10"/>
  <c r="X917" i="10"/>
  <c r="AF917" i="10"/>
  <c r="AL917" i="10" s="1"/>
  <c r="AE917" i="10"/>
  <c r="AV67" i="10"/>
  <c r="X67" i="10"/>
  <c r="AF67" i="10"/>
  <c r="AL67" i="10" s="1"/>
  <c r="AE67" i="10"/>
  <c r="AV361" i="10"/>
  <c r="X361" i="10"/>
  <c r="AE361" i="10"/>
  <c r="AF361" i="10"/>
  <c r="AL361" i="10" s="1"/>
  <c r="AV563" i="10"/>
  <c r="X563" i="10"/>
  <c r="AF563" i="10"/>
  <c r="AL563" i="10" s="1"/>
  <c r="AE563" i="10"/>
  <c r="AV29" i="10"/>
  <c r="X29" i="10"/>
  <c r="AE29" i="10"/>
  <c r="AF29" i="10"/>
  <c r="AL29" i="10" s="1"/>
  <c r="AV231" i="10"/>
  <c r="X231" i="10"/>
  <c r="AF231" i="10"/>
  <c r="AL231" i="10" s="1"/>
  <c r="AE231" i="10"/>
  <c r="AV517" i="10"/>
  <c r="X517" i="10"/>
  <c r="AF517" i="10"/>
  <c r="AL517" i="10" s="1"/>
  <c r="AE517" i="10"/>
  <c r="AV426" i="10"/>
  <c r="X426" i="10"/>
  <c r="AE426" i="10"/>
  <c r="AF426" i="10"/>
  <c r="AL426" i="10" s="1"/>
  <c r="AV206" i="10"/>
  <c r="X206" i="10"/>
  <c r="AE206" i="10"/>
  <c r="AF206" i="10"/>
  <c r="AL206" i="10" s="1"/>
  <c r="AV970" i="10"/>
  <c r="X970" i="10"/>
  <c r="AF970" i="10"/>
  <c r="AL970" i="10" s="1"/>
  <c r="AV35" i="10"/>
  <c r="X35" i="10"/>
  <c r="AE35" i="10"/>
  <c r="AF35" i="10"/>
  <c r="AL35" i="10" s="1"/>
  <c r="AV114" i="10"/>
  <c r="X114" i="10"/>
  <c r="AE114" i="10"/>
  <c r="AF114" i="10"/>
  <c r="AL114" i="10" s="1"/>
  <c r="AV1185" i="10"/>
  <c r="AF1185" i="10"/>
  <c r="AL1185" i="10" s="1"/>
  <c r="AE1185" i="10"/>
  <c r="AV130" i="10"/>
  <c r="X130" i="10"/>
  <c r="AF130" i="10"/>
  <c r="AL130" i="10" s="1"/>
  <c r="AE130" i="10"/>
  <c r="AV40" i="10"/>
  <c r="X40" i="10"/>
  <c r="AE40" i="10"/>
  <c r="AV103" i="10"/>
  <c r="AF103" i="10"/>
  <c r="AL103" i="10" s="1"/>
  <c r="AE103" i="10"/>
  <c r="AV204" i="10"/>
  <c r="X204" i="10"/>
  <c r="AF204" i="10"/>
  <c r="AL204" i="10" s="1"/>
  <c r="AE204" i="10"/>
  <c r="AV877" i="10"/>
  <c r="X877" i="10"/>
  <c r="AE877" i="10"/>
  <c r="AF877" i="10"/>
  <c r="AL877" i="10" s="1"/>
  <c r="AV379" i="10"/>
  <c r="X379" i="10"/>
  <c r="AE379" i="10"/>
  <c r="AF379" i="10"/>
  <c r="AL379" i="10" s="1"/>
  <c r="AV1161" i="10"/>
  <c r="AK1161" i="10"/>
  <c r="X1161" i="10"/>
  <c r="AF1161" i="10"/>
  <c r="AL1161" i="10" s="1"/>
  <c r="AK799" i="10"/>
  <c r="AV799" i="10"/>
  <c r="AE799" i="10"/>
  <c r="AF799" i="10"/>
  <c r="AL799" i="10" s="1"/>
  <c r="AV897" i="10"/>
  <c r="X897" i="10"/>
  <c r="AE897" i="10"/>
  <c r="AF897" i="10"/>
  <c r="AL897" i="10" s="1"/>
  <c r="AV347" i="10"/>
  <c r="X347" i="10"/>
  <c r="AF347" i="10"/>
  <c r="AL347" i="10" s="1"/>
  <c r="AE347" i="10"/>
  <c r="AV759" i="10"/>
  <c r="X759" i="10"/>
  <c r="AE759" i="10"/>
  <c r="AF759" i="10"/>
  <c r="AL759" i="10" s="1"/>
  <c r="AV1086" i="10"/>
  <c r="AE1086" i="10"/>
  <c r="AF1086" i="10"/>
  <c r="AL1086" i="10" s="1"/>
  <c r="AV215" i="10"/>
  <c r="X215" i="10"/>
  <c r="AF215" i="10"/>
  <c r="AL215" i="10" s="1"/>
  <c r="AE215" i="10"/>
  <c r="AV302" i="10"/>
  <c r="X302" i="10"/>
  <c r="AF302" i="10"/>
  <c r="AL302" i="10" s="1"/>
  <c r="AE302" i="10"/>
  <c r="AV380" i="10"/>
  <c r="X380" i="10"/>
  <c r="AF380" i="10"/>
  <c r="AL380" i="10" s="1"/>
  <c r="AE380" i="10"/>
  <c r="AF158" i="10"/>
  <c r="AL158" i="10" s="1"/>
  <c r="AF260" i="10"/>
  <c r="AL260" i="10" s="1"/>
  <c r="AF60" i="10"/>
  <c r="AL60" i="10" s="1"/>
  <c r="AE908" i="10"/>
  <c r="AF778" i="10"/>
  <c r="AL778" i="10" s="1"/>
  <c r="AF1188" i="10"/>
  <c r="AL1188" i="10" s="1"/>
  <c r="AE248" i="10"/>
  <c r="AF909" i="10"/>
  <c r="AL909" i="10" s="1"/>
  <c r="AF240" i="10"/>
  <c r="AL240" i="10" s="1"/>
  <c r="AV712" i="10"/>
  <c r="X712" i="10"/>
  <c r="AF712" i="10"/>
  <c r="AL712" i="10" s="1"/>
  <c r="AE712" i="10"/>
  <c r="AV715" i="10"/>
  <c r="AE715" i="10"/>
  <c r="AV891" i="10"/>
  <c r="X891" i="10"/>
  <c r="AE891" i="10"/>
  <c r="AV442" i="10"/>
  <c r="X442" i="10"/>
  <c r="AF442" i="10"/>
  <c r="AL442" i="10" s="1"/>
  <c r="AV36" i="10"/>
  <c r="X36" i="10"/>
  <c r="AF36" i="10"/>
  <c r="AL36" i="10" s="1"/>
  <c r="AE36" i="10"/>
  <c r="AV1096" i="10"/>
  <c r="X1096" i="10"/>
  <c r="AF1096" i="10"/>
  <c r="AL1096" i="10" s="1"/>
  <c r="AE1096" i="10"/>
  <c r="AV284" i="10"/>
  <c r="X284" i="10"/>
  <c r="AE284" i="10"/>
  <c r="AF284" i="10"/>
  <c r="AL284" i="10" s="1"/>
  <c r="AV989" i="10"/>
  <c r="X989" i="10"/>
  <c r="AE989" i="10"/>
  <c r="AF989" i="10"/>
  <c r="AL989" i="10" s="1"/>
  <c r="AD3" i="10"/>
  <c r="AD803" i="10"/>
  <c r="AD776" i="10"/>
  <c r="AD998" i="10"/>
  <c r="D159" i="12"/>
  <c r="D1121" i="12"/>
  <c r="D368" i="12"/>
  <c r="AV76" i="10"/>
  <c r="X76" i="10"/>
  <c r="AF76" i="10"/>
  <c r="AL76" i="10" s="1"/>
  <c r="AE76" i="10"/>
  <c r="AV142" i="10"/>
  <c r="X142" i="10"/>
  <c r="AE142" i="10"/>
  <c r="AF142" i="10"/>
  <c r="AL142" i="10" s="1"/>
  <c r="AV988" i="10"/>
  <c r="X988" i="10"/>
  <c r="AF988" i="10"/>
  <c r="AL988" i="10" s="1"/>
  <c r="AE988" i="10"/>
  <c r="AV341" i="10"/>
  <c r="X341" i="10"/>
  <c r="AE341" i="10"/>
  <c r="AF341" i="10"/>
  <c r="AL341" i="10" s="1"/>
  <c r="AV692" i="10"/>
  <c r="X692" i="10"/>
  <c r="AF692" i="10"/>
  <c r="AL692" i="10" s="1"/>
  <c r="AE692" i="10"/>
  <c r="AV516" i="10"/>
  <c r="X516" i="10"/>
  <c r="AE516" i="10"/>
  <c r="AF516" i="10"/>
  <c r="AL516" i="10" s="1"/>
  <c r="AV1189" i="10"/>
  <c r="X1189" i="10"/>
  <c r="AE1189" i="10"/>
  <c r="AF1189" i="10"/>
  <c r="AL1189" i="10" s="1"/>
  <c r="AV213" i="10"/>
  <c r="X213" i="10"/>
  <c r="AE213" i="10"/>
  <c r="AV28" i="10"/>
  <c r="AK28" i="10"/>
  <c r="X28" i="10"/>
  <c r="AE28" i="10"/>
  <c r="AF28" i="10"/>
  <c r="AL28" i="10" s="1"/>
  <c r="AV782" i="10"/>
  <c r="X782" i="10"/>
  <c r="AF782" i="10"/>
  <c r="AL782" i="10" s="1"/>
  <c r="AE782" i="10"/>
  <c r="AV592" i="10"/>
  <c r="X592" i="10"/>
  <c r="AF592" i="10"/>
  <c r="AL592" i="10" s="1"/>
  <c r="AV482" i="10"/>
  <c r="AE482" i="10"/>
  <c r="AV528" i="10"/>
  <c r="X528" i="10"/>
  <c r="AE528" i="10"/>
  <c r="AF528" i="10"/>
  <c r="AL528" i="10" s="1"/>
  <c r="AV865" i="10"/>
  <c r="X865" i="10"/>
  <c r="AE865" i="10"/>
  <c r="AV1142" i="10"/>
  <c r="AE1142" i="10"/>
  <c r="AF1142" i="10"/>
  <c r="AL1142" i="10" s="1"/>
  <c r="AV1141" i="10"/>
  <c r="X1141" i="10"/>
  <c r="AE1141" i="10"/>
  <c r="AF1141" i="10"/>
  <c r="AL1141" i="10" s="1"/>
  <c r="AV220" i="10"/>
  <c r="X220" i="10"/>
  <c r="AF220" i="10"/>
  <c r="AL220" i="10" s="1"/>
  <c r="AE220" i="10"/>
  <c r="AV281" i="10"/>
  <c r="X281" i="10"/>
  <c r="AV1037" i="10"/>
  <c r="X1037" i="10"/>
  <c r="AE1037" i="10"/>
  <c r="AF1037" i="10"/>
  <c r="AL1037" i="10" s="1"/>
  <c r="AV1158" i="10"/>
  <c r="X1158" i="10"/>
  <c r="AE1158" i="10"/>
  <c r="AF1158" i="10"/>
  <c r="AL1158" i="10" s="1"/>
  <c r="AV1112" i="10"/>
  <c r="X1112" i="10"/>
  <c r="AF1112" i="10"/>
  <c r="AL1112" i="10" s="1"/>
  <c r="AE1112" i="10"/>
  <c r="AV625" i="10"/>
  <c r="X625" i="10"/>
  <c r="AF625" i="10"/>
  <c r="AL625" i="10" s="1"/>
  <c r="AE625" i="10"/>
  <c r="AV367" i="10"/>
  <c r="X367" i="10"/>
  <c r="AF367" i="10"/>
  <c r="AL367" i="10" s="1"/>
  <c r="AE367" i="10"/>
  <c r="AV1059" i="10"/>
  <c r="X1059" i="10"/>
  <c r="AE1059" i="10"/>
  <c r="AF1059" i="10"/>
  <c r="AL1059" i="10" s="1"/>
  <c r="AV360" i="10"/>
  <c r="X360" i="10"/>
  <c r="AE360" i="10"/>
  <c r="AF360" i="10"/>
  <c r="AL360" i="10" s="1"/>
  <c r="AV961" i="10"/>
  <c r="X961" i="10"/>
  <c r="AF961" i="10"/>
  <c r="AL961" i="10" s="1"/>
  <c r="AE961" i="10"/>
  <c r="AV117" i="10"/>
  <c r="AF117" i="10"/>
  <c r="AL117" i="10" s="1"/>
  <c r="AE117" i="10"/>
  <c r="AV1187" i="10"/>
  <c r="X1187" i="10"/>
  <c r="AE1187" i="10"/>
  <c r="AF1187" i="10"/>
  <c r="AL1187" i="10" s="1"/>
  <c r="AV197" i="10"/>
  <c r="X197" i="10"/>
  <c r="AE197" i="10"/>
  <c r="AF197" i="10"/>
  <c r="AL197" i="10" s="1"/>
  <c r="AV992" i="10"/>
  <c r="X992" i="10"/>
  <c r="AE992" i="10"/>
  <c r="AF992" i="10"/>
  <c r="AL992" i="10" s="1"/>
  <c r="AV952" i="10"/>
  <c r="X952" i="10"/>
  <c r="AE952" i="10"/>
  <c r="AF952" i="10"/>
  <c r="AL952" i="10" s="1"/>
  <c r="AV327" i="10"/>
  <c r="X327" i="10"/>
  <c r="AE327" i="10"/>
  <c r="AF327" i="10"/>
  <c r="AL327" i="10" s="1"/>
  <c r="AV1170" i="10"/>
  <c r="X1170" i="10"/>
  <c r="AE1170" i="10"/>
  <c r="AF1170" i="10"/>
  <c r="AL1170" i="10" s="1"/>
  <c r="AV335" i="10"/>
  <c r="AK335" i="10"/>
  <c r="X335" i="10"/>
  <c r="AF335" i="10"/>
  <c r="AL335" i="10" s="1"/>
  <c r="AE335" i="10"/>
  <c r="AV38" i="10"/>
  <c r="X38" i="10"/>
  <c r="AF38" i="10"/>
  <c r="AL38" i="10" s="1"/>
  <c r="AV424" i="10"/>
  <c r="X424" i="10"/>
  <c r="AE424" i="10"/>
  <c r="AF424" i="10"/>
  <c r="AL424" i="10" s="1"/>
  <c r="AV710" i="10"/>
  <c r="AE710" i="10"/>
  <c r="AF710" i="10"/>
  <c r="AL710" i="10" s="1"/>
  <c r="AV922" i="10"/>
  <c r="X922" i="10"/>
  <c r="AF922" i="10"/>
  <c r="AL922" i="10" s="1"/>
  <c r="AE922" i="10"/>
  <c r="AV756" i="10"/>
  <c r="X756" i="10"/>
  <c r="AF756" i="10"/>
  <c r="AL756" i="10" s="1"/>
  <c r="AE756" i="10"/>
  <c r="AV9" i="10"/>
  <c r="X9" i="10"/>
  <c r="AE9" i="10"/>
  <c r="AF9" i="10"/>
  <c r="AL9" i="10" s="1"/>
  <c r="AV61" i="10"/>
  <c r="X61" i="10"/>
  <c r="AE61" i="10"/>
  <c r="AV224" i="10"/>
  <c r="X224" i="10"/>
  <c r="AE224" i="10"/>
  <c r="AF224" i="10"/>
  <c r="AL224" i="10" s="1"/>
  <c r="AV364" i="10"/>
  <c r="X364" i="10"/>
  <c r="AE364" i="10"/>
  <c r="AF364" i="10"/>
  <c r="AL364" i="10" s="1"/>
  <c r="AV187" i="10"/>
  <c r="X187" i="10"/>
  <c r="AE187" i="10"/>
  <c r="AF187" i="10"/>
  <c r="AL187" i="10" s="1"/>
  <c r="AV650" i="10"/>
  <c r="AE650" i="10"/>
  <c r="AF650" i="10"/>
  <c r="AL650" i="10" s="1"/>
  <c r="AV879" i="10"/>
  <c r="X879" i="10"/>
  <c r="AF879" i="10"/>
  <c r="AL879" i="10" s="1"/>
  <c r="AE879" i="10"/>
  <c r="AV553" i="10"/>
  <c r="X553" i="10"/>
  <c r="AE553" i="10"/>
  <c r="AF553" i="10"/>
  <c r="AL553" i="10" s="1"/>
  <c r="AV101" i="10"/>
  <c r="X101" i="10"/>
  <c r="AE101" i="10"/>
  <c r="AF101" i="10"/>
  <c r="AL101" i="10" s="1"/>
  <c r="AV641" i="10"/>
  <c r="AF641" i="10"/>
  <c r="AL641" i="10" s="1"/>
  <c r="AV444" i="10"/>
  <c r="AF444" i="10"/>
  <c r="AL444" i="10" s="1"/>
  <c r="AE444" i="10"/>
  <c r="AV461" i="10"/>
  <c r="X461" i="10"/>
  <c r="AE461" i="10"/>
  <c r="AF461" i="10"/>
  <c r="AL461" i="10" s="1"/>
  <c r="AV168" i="10"/>
  <c r="X168" i="10"/>
  <c r="AE168" i="10"/>
  <c r="AF168" i="10"/>
  <c r="AL168" i="10" s="1"/>
  <c r="AV196" i="10"/>
  <c r="X196" i="10"/>
  <c r="AF196" i="10"/>
  <c r="AL196" i="10" s="1"/>
  <c r="AE196" i="10"/>
  <c r="AV498" i="10"/>
  <c r="X498" i="10"/>
  <c r="AF498" i="10"/>
  <c r="AL498" i="10" s="1"/>
  <c r="AE498" i="10"/>
  <c r="AK688" i="10"/>
  <c r="AV688" i="10"/>
  <c r="AF688" i="10"/>
  <c r="AL688" i="10" s="1"/>
  <c r="AV826" i="10"/>
  <c r="X826" i="10"/>
  <c r="AE826" i="10"/>
  <c r="AF826" i="10"/>
  <c r="AL826" i="10" s="1"/>
  <c r="AV708" i="10"/>
  <c r="AK708" i="10"/>
  <c r="X708" i="10"/>
  <c r="AF708" i="10"/>
  <c r="AL708" i="10" s="1"/>
  <c r="AV357" i="10"/>
  <c r="X357" i="10"/>
  <c r="AF357" i="10"/>
  <c r="AL357" i="10" s="1"/>
  <c r="AV748" i="10"/>
  <c r="X748" i="10"/>
  <c r="AE748" i="10"/>
  <c r="AF748" i="10"/>
  <c r="AL748" i="10" s="1"/>
  <c r="AV811" i="10"/>
  <c r="X811" i="10"/>
  <c r="AE811" i="10"/>
  <c r="AV522" i="10"/>
  <c r="X522" i="10"/>
  <c r="AE522" i="10"/>
  <c r="AF522" i="10"/>
  <c r="AL522" i="10" s="1"/>
  <c r="AV694" i="10"/>
  <c r="X694" i="10"/>
  <c r="AE694" i="10"/>
  <c r="AF694" i="10"/>
  <c r="AL694" i="10" s="1"/>
  <c r="AV749" i="10"/>
  <c r="AE749" i="10"/>
  <c r="AF749" i="10"/>
  <c r="AL749" i="10" s="1"/>
  <c r="AV51" i="10"/>
  <c r="X51" i="10"/>
  <c r="AF51" i="10"/>
  <c r="AL51" i="10" s="1"/>
  <c r="AE51" i="10"/>
  <c r="AV981" i="10"/>
  <c r="X981" i="10"/>
  <c r="AE981" i="10"/>
  <c r="AF981" i="10"/>
  <c r="AL981" i="10" s="1"/>
  <c r="AV1073" i="10"/>
  <c r="X1073" i="10"/>
  <c r="AE1073" i="10"/>
  <c r="AF1073" i="10"/>
  <c r="AL1073" i="10" s="1"/>
  <c r="AV1084" i="10"/>
  <c r="X1084" i="10"/>
  <c r="AF1084" i="10"/>
  <c r="AL1084" i="10" s="1"/>
  <c r="AE1084" i="10"/>
  <c r="AV465" i="10"/>
  <c r="AF465" i="10"/>
  <c r="AL465" i="10" s="1"/>
  <c r="AE465" i="10"/>
  <c r="AV685" i="10"/>
  <c r="AE685" i="10"/>
  <c r="AF685" i="10"/>
  <c r="AL685" i="10" s="1"/>
  <c r="AV228" i="10"/>
  <c r="X228" i="10"/>
  <c r="AE228" i="10"/>
  <c r="AF228" i="10"/>
  <c r="AL228" i="10" s="1"/>
  <c r="AV734" i="10"/>
  <c r="X734" i="10"/>
  <c r="AE734" i="10"/>
  <c r="AF734" i="10"/>
  <c r="AL734" i="10" s="1"/>
  <c r="AV582" i="10"/>
  <c r="X582" i="10"/>
  <c r="AF582" i="10"/>
  <c r="AL582" i="10" s="1"/>
  <c r="AE582" i="10"/>
  <c r="AV416" i="10"/>
  <c r="X416" i="10"/>
  <c r="AF416" i="10"/>
  <c r="AL416" i="10" s="1"/>
  <c r="AV349" i="10"/>
  <c r="AE349" i="10"/>
  <c r="AV905" i="10"/>
  <c r="AE905" i="10"/>
  <c r="AF905" i="10"/>
  <c r="AL905" i="10" s="1"/>
  <c r="AV249" i="10"/>
  <c r="AE249" i="10"/>
  <c r="AF249" i="10"/>
  <c r="AL249" i="10" s="1"/>
  <c r="AV221" i="10"/>
  <c r="X221" i="10"/>
  <c r="AF221" i="10"/>
  <c r="AL221" i="10" s="1"/>
  <c r="AE221" i="10"/>
  <c r="AV453" i="10"/>
  <c r="X453" i="10"/>
  <c r="AE453" i="10"/>
  <c r="AF453" i="10"/>
  <c r="AL453" i="10" s="1"/>
  <c r="AV1181" i="10"/>
  <c r="X1181" i="10"/>
  <c r="AF1181" i="10"/>
  <c r="AL1181" i="10" s="1"/>
  <c r="AE1181" i="10"/>
  <c r="AV1001" i="10"/>
  <c r="X1001" i="10"/>
  <c r="AE1001" i="10"/>
  <c r="AF1001" i="10"/>
  <c r="AL1001" i="10" s="1"/>
  <c r="AV726" i="10"/>
  <c r="AK726" i="10"/>
  <c r="X726" i="10"/>
  <c r="AF726" i="10"/>
  <c r="AL726" i="10" s="1"/>
  <c r="AV358" i="10"/>
  <c r="X358" i="10"/>
  <c r="AE358" i="10"/>
  <c r="AF358" i="10"/>
  <c r="AL358" i="10" s="1"/>
  <c r="AV623" i="10"/>
  <c r="X623" i="10"/>
  <c r="AF623" i="10"/>
  <c r="AL623" i="10" s="1"/>
  <c r="AV363" i="10"/>
  <c r="X363" i="10"/>
  <c r="AF363" i="10"/>
  <c r="AL363" i="10" s="1"/>
  <c r="AE363" i="10"/>
  <c r="AV940" i="10"/>
  <c r="X940" i="10"/>
  <c r="AF940" i="10"/>
  <c r="AL940" i="10" s="1"/>
  <c r="AF218" i="10"/>
  <c r="AL218" i="10" s="1"/>
  <c r="AF77" i="10"/>
  <c r="AL77" i="10" s="1"/>
  <c r="AF291" i="10"/>
  <c r="AL291" i="10" s="1"/>
  <c r="AF551" i="10"/>
  <c r="AL551" i="10" s="1"/>
  <c r="AF584" i="10"/>
  <c r="AL584" i="10" s="1"/>
  <c r="AF192" i="10"/>
  <c r="AL192" i="10" s="1"/>
  <c r="AF145" i="10"/>
  <c r="AL145" i="10" s="1"/>
  <c r="AE631" i="10"/>
  <c r="AE416" i="10"/>
  <c r="AE1029" i="10"/>
  <c r="AE15" i="10"/>
  <c r="AE219" i="10"/>
  <c r="AF668" i="10"/>
  <c r="AL668" i="10" s="1"/>
  <c r="AE442" i="10"/>
  <c r="AF857" i="10"/>
  <c r="AE95" i="10"/>
  <c r="AF971" i="10"/>
  <c r="AL971" i="10" s="1"/>
  <c r="AV119" i="10"/>
  <c r="AF119" i="10"/>
  <c r="AL119" i="10" s="1"/>
  <c r="AV1148" i="10"/>
  <c r="X1148" i="10"/>
  <c r="AF1148" i="10"/>
  <c r="AL1148" i="10" s="1"/>
  <c r="AV44" i="10"/>
  <c r="X44" i="10"/>
  <c r="AF44" i="10"/>
  <c r="AL44" i="10" s="1"/>
  <c r="AE44" i="10"/>
  <c r="AV501" i="10"/>
  <c r="X501" i="10"/>
  <c r="AF501" i="10"/>
  <c r="AL501" i="10" s="1"/>
  <c r="AV427" i="10"/>
  <c r="X427" i="10"/>
  <c r="AF427" i="10"/>
  <c r="AL427" i="10" s="1"/>
  <c r="AE427" i="10"/>
  <c r="AV1109" i="10"/>
  <c r="X1109" i="10"/>
  <c r="AE1109" i="10"/>
  <c r="AF1109" i="10"/>
  <c r="AL1109" i="10" s="1"/>
  <c r="AV626" i="10"/>
  <c r="X626" i="10"/>
  <c r="AE626" i="10"/>
  <c r="AF626" i="10"/>
  <c r="AL626" i="10" s="1"/>
  <c r="AV569" i="10"/>
  <c r="X569" i="10"/>
  <c r="AE569" i="10"/>
  <c r="AF569" i="10"/>
  <c r="AL569" i="10" s="1"/>
  <c r="AV165" i="10"/>
  <c r="X165" i="10"/>
  <c r="AE165" i="10"/>
  <c r="AF165" i="10"/>
  <c r="AL165" i="10" s="1"/>
  <c r="AV852" i="10"/>
  <c r="X852" i="10"/>
  <c r="AE852" i="10"/>
  <c r="AV573" i="10"/>
  <c r="X573" i="10"/>
  <c r="AF573" i="10"/>
  <c r="AL573" i="10" s="1"/>
  <c r="AE573" i="10"/>
  <c r="AV632" i="10"/>
  <c r="X632" i="10"/>
  <c r="AF632" i="10"/>
  <c r="AL632" i="10" s="1"/>
  <c r="AE632" i="10"/>
  <c r="AV947" i="10"/>
  <c r="X947" i="10"/>
  <c r="AE947" i="10"/>
  <c r="AF947" i="10"/>
  <c r="AL947" i="10" s="1"/>
  <c r="AV634" i="10"/>
  <c r="X634" i="10"/>
  <c r="AE634" i="10"/>
  <c r="AF634" i="10"/>
  <c r="AL634" i="10" s="1"/>
  <c r="AV326" i="10"/>
  <c r="X326" i="10"/>
  <c r="AE326" i="10"/>
  <c r="AF326" i="10"/>
  <c r="AL326" i="10" s="1"/>
  <c r="AV1019" i="10"/>
  <c r="X1019" i="10"/>
  <c r="AF1019" i="10"/>
  <c r="AL1019" i="10" s="1"/>
  <c r="AE1019" i="10"/>
  <c r="AV1076" i="10"/>
  <c r="X1076" i="10"/>
  <c r="AF1076" i="10"/>
  <c r="AL1076" i="10" s="1"/>
  <c r="AE1076" i="10"/>
  <c r="AV1000" i="10"/>
  <c r="AE1000" i="10"/>
  <c r="AF1000" i="10"/>
  <c r="AL1000" i="10" s="1"/>
  <c r="AV387" i="10"/>
  <c r="X387" i="10"/>
  <c r="AE387" i="10"/>
  <c r="AF387" i="10"/>
  <c r="AL387" i="10" s="1"/>
  <c r="AV155" i="10"/>
  <c r="X155" i="10"/>
  <c r="AF155" i="10"/>
  <c r="AL155" i="10" s="1"/>
  <c r="AE155" i="10"/>
  <c r="AV848" i="10"/>
  <c r="X848" i="10"/>
  <c r="AE848" i="10"/>
  <c r="AF848" i="10"/>
  <c r="AL848" i="10" s="1"/>
  <c r="AV342" i="10"/>
  <c r="X342" i="10"/>
  <c r="AV81" i="10"/>
  <c r="AK81" i="10"/>
  <c r="X81" i="10"/>
  <c r="AV512" i="10"/>
  <c r="D512" i="12"/>
  <c r="AE512" i="10"/>
  <c r="AV1147" i="10"/>
  <c r="X1147" i="10"/>
  <c r="AF1147" i="10"/>
  <c r="AL1147" i="10" s="1"/>
  <c r="AE1147" i="10"/>
  <c r="AV451" i="10"/>
  <c r="X451" i="10"/>
  <c r="AE451" i="10"/>
  <c r="AF451" i="10"/>
  <c r="AL451" i="10" s="1"/>
  <c r="AV751" i="10"/>
  <c r="X751" i="10"/>
  <c r="AF751" i="10"/>
  <c r="AL751" i="10" s="1"/>
  <c r="AE751" i="10"/>
  <c r="AV1103" i="10"/>
  <c r="X1103" i="10"/>
  <c r="AF1103" i="10"/>
  <c r="AL1103" i="10" s="1"/>
  <c r="AE1103" i="10"/>
  <c r="AV8" i="10"/>
  <c r="X8" i="10"/>
  <c r="AE8" i="10"/>
  <c r="AV120" i="10"/>
  <c r="AK120" i="10"/>
  <c r="X120" i="10"/>
  <c r="AV608" i="10"/>
  <c r="X608" i="10"/>
  <c r="AE608" i="10"/>
  <c r="AV113" i="10"/>
  <c r="X113" i="10"/>
  <c r="AE113" i="10"/>
  <c r="AV170" i="10"/>
  <c r="X170" i="10"/>
  <c r="AF170" i="10"/>
  <c r="AL170" i="10" s="1"/>
  <c r="AE170" i="10"/>
  <c r="AV1119" i="10"/>
  <c r="X1119" i="10"/>
  <c r="AF1119" i="10"/>
  <c r="AL1119" i="10" s="1"/>
  <c r="AE1119" i="10"/>
  <c r="AV333" i="10"/>
  <c r="AE333" i="10"/>
  <c r="AV66" i="10"/>
  <c r="X66" i="10"/>
  <c r="AE66" i="10"/>
  <c r="AF66" i="10"/>
  <c r="AL66" i="10" s="1"/>
  <c r="AV605" i="10"/>
  <c r="X605" i="10"/>
  <c r="AE605" i="10"/>
  <c r="AV676" i="10"/>
  <c r="X676" i="10"/>
  <c r="AF676" i="10"/>
  <c r="AL676" i="10" s="1"/>
  <c r="AE676" i="10"/>
  <c r="AV497" i="10"/>
  <c r="X497" i="10"/>
  <c r="AE497" i="10"/>
  <c r="AF497" i="10"/>
  <c r="AL497" i="10" s="1"/>
  <c r="AV371" i="10"/>
  <c r="X371" i="10"/>
  <c r="AF371" i="10"/>
  <c r="AL371" i="10" s="1"/>
  <c r="AE371" i="10"/>
  <c r="AV136" i="10"/>
  <c r="X136" i="10"/>
  <c r="AF136" i="10"/>
  <c r="AL136" i="10" s="1"/>
  <c r="AE136" i="10"/>
  <c r="AV366" i="10"/>
  <c r="AF366" i="10"/>
  <c r="AL366" i="10" s="1"/>
  <c r="AE366" i="10"/>
  <c r="AV43" i="10"/>
  <c r="AF43" i="10"/>
  <c r="AL43" i="10" s="1"/>
  <c r="AE43" i="10"/>
  <c r="AV100" i="10"/>
  <c r="X100" i="10"/>
  <c r="AE100" i="10"/>
  <c r="AF100" i="10"/>
  <c r="AL100" i="10" s="1"/>
  <c r="AV752" i="10"/>
  <c r="X752" i="10"/>
  <c r="AF752" i="10"/>
  <c r="AL752" i="10" s="1"/>
  <c r="AE752" i="10"/>
  <c r="AV1045" i="10"/>
  <c r="X1045" i="10"/>
  <c r="AF1045" i="10"/>
  <c r="AL1045" i="10" s="1"/>
  <c r="AE1045" i="10"/>
  <c r="AV858" i="10"/>
  <c r="AE858" i="10"/>
  <c r="AF858" i="10"/>
  <c r="AL858" i="10" s="1"/>
  <c r="AV183" i="10"/>
  <c r="X183" i="10"/>
  <c r="AE183" i="10"/>
  <c r="AV983" i="10"/>
  <c r="X983" i="10"/>
  <c r="AE983" i="10"/>
  <c r="AF983" i="10"/>
  <c r="AL983" i="10" s="1"/>
  <c r="AV916" i="10"/>
  <c r="X916" i="10"/>
  <c r="AF916" i="10"/>
  <c r="AL916" i="10" s="1"/>
  <c r="AV235" i="10"/>
  <c r="X235" i="10"/>
  <c r="AF235" i="10"/>
  <c r="AL235" i="10" s="1"/>
  <c r="AE235" i="10"/>
  <c r="AV147" i="10"/>
  <c r="X147" i="10"/>
  <c r="AE147" i="10"/>
  <c r="AV835" i="10"/>
  <c r="X835" i="10"/>
  <c r="AE835" i="10"/>
  <c r="AF835" i="10"/>
  <c r="AL835" i="10" s="1"/>
  <c r="AV1159" i="10"/>
  <c r="X1159" i="10"/>
  <c r="AF1159" i="10"/>
  <c r="AL1159" i="10" s="1"/>
  <c r="AE1159" i="10"/>
  <c r="AV680" i="10"/>
  <c r="X680" i="10"/>
  <c r="AE680" i="10"/>
  <c r="AV230" i="10"/>
  <c r="X230" i="10"/>
  <c r="AE230" i="10"/>
  <c r="AF863" i="10"/>
  <c r="AL863" i="10" s="1"/>
  <c r="AE641" i="10"/>
  <c r="AE396" i="10"/>
  <c r="AE342" i="10"/>
  <c r="AF1116" i="10"/>
  <c r="AL1116" i="10" s="1"/>
  <c r="AF865" i="10"/>
  <c r="AL865" i="10" s="1"/>
  <c r="AF439" i="10"/>
  <c r="AL439" i="10" s="1"/>
  <c r="AF997" i="10"/>
  <c r="AL997" i="10" s="1"/>
  <c r="AE916" i="10"/>
  <c r="AE1106" i="10"/>
  <c r="AF1031" i="10"/>
  <c r="AL1031" i="10" s="1"/>
  <c r="AG623" i="10"/>
  <c r="AF85" i="10"/>
  <c r="AL85" i="10" s="1"/>
  <c r="AF605" i="10"/>
  <c r="AL605" i="10" s="1"/>
  <c r="AE504" i="10"/>
  <c r="AE1165" i="10"/>
  <c r="AV237" i="10"/>
  <c r="X237" i="10"/>
  <c r="AF237" i="10"/>
  <c r="AL237" i="10" s="1"/>
  <c r="AE237" i="10"/>
  <c r="AV1079" i="10"/>
  <c r="X1079" i="10"/>
  <c r="AE1079" i="10"/>
  <c r="AF1079" i="10"/>
  <c r="AL1079" i="10" s="1"/>
  <c r="AV1111" i="10"/>
  <c r="AD1111" i="10"/>
  <c r="AE1111" i="10"/>
  <c r="AF1111" i="10"/>
  <c r="AL1111" i="10" s="1"/>
  <c r="AV423" i="10"/>
  <c r="AF423" i="10"/>
  <c r="AL423" i="10" s="1"/>
  <c r="AE423" i="10"/>
  <c r="AV829" i="10"/>
  <c r="X829" i="10"/>
  <c r="AE829" i="10"/>
  <c r="AV428" i="10"/>
  <c r="AF428" i="10"/>
  <c r="AL428" i="10" s="1"/>
  <c r="AE428" i="10"/>
  <c r="AV732" i="10"/>
  <c r="X732" i="10"/>
  <c r="AF732" i="10"/>
  <c r="AL732" i="10" s="1"/>
  <c r="AE732" i="10"/>
  <c r="AV853" i="10"/>
  <c r="X853" i="10"/>
  <c r="AE853" i="10"/>
  <c r="AF853" i="10"/>
  <c r="AL853" i="10" s="1"/>
  <c r="AV1117" i="10"/>
  <c r="X1117" i="10"/>
  <c r="AF1117" i="10"/>
  <c r="AL1117" i="10" s="1"/>
  <c r="AE1117" i="10"/>
  <c r="AV887" i="10"/>
  <c r="X887" i="10"/>
  <c r="AE887" i="10"/>
  <c r="AF887" i="10"/>
  <c r="AL887" i="10" s="1"/>
  <c r="AV126" i="10"/>
  <c r="AE126" i="10"/>
  <c r="AF126" i="10"/>
  <c r="AL126" i="10" s="1"/>
  <c r="AV589" i="10"/>
  <c r="X589" i="10"/>
  <c r="AE589" i="10"/>
  <c r="AG589" i="10" s="1"/>
  <c r="AH589" i="10" s="1"/>
  <c r="AI589" i="10" s="1"/>
  <c r="AF589" i="10"/>
  <c r="AV861" i="10"/>
  <c r="X861" i="10"/>
  <c r="AE861" i="10"/>
  <c r="AD284" i="10"/>
  <c r="AD887" i="10"/>
  <c r="AD836" i="10"/>
  <c r="D1096" i="12"/>
  <c r="AD995" i="10"/>
  <c r="AD705" i="10"/>
  <c r="AD392" i="10"/>
  <c r="AD306" i="10"/>
  <c r="D237" i="12"/>
  <c r="D142" i="12"/>
  <c r="AD44" i="10"/>
  <c r="D217" i="12"/>
  <c r="X1035" i="10"/>
  <c r="X773" i="10"/>
  <c r="AV1113" i="10"/>
  <c r="X1113" i="10"/>
  <c r="AE1113" i="10"/>
  <c r="AF1113" i="10"/>
  <c r="AL1113" i="10" s="1"/>
  <c r="AV1136" i="10"/>
  <c r="X1136" i="10"/>
  <c r="AE1136" i="10"/>
  <c r="AF1136" i="10"/>
  <c r="AL1136" i="10" s="1"/>
  <c r="AV564" i="10"/>
  <c r="X564" i="10"/>
  <c r="AE564" i="10"/>
  <c r="AV303" i="10"/>
  <c r="X303" i="10"/>
  <c r="AE303" i="10"/>
  <c r="AF303" i="10"/>
  <c r="AL303" i="10" s="1"/>
  <c r="AV389" i="10"/>
  <c r="X389" i="10"/>
  <c r="AE389" i="10"/>
  <c r="AF389" i="10"/>
  <c r="AL389" i="10" s="1"/>
  <c r="AV121" i="10"/>
  <c r="X121" i="10"/>
  <c r="AF121" i="10"/>
  <c r="AL121" i="10" s="1"/>
  <c r="AK629" i="10"/>
  <c r="AV629" i="10"/>
  <c r="X629" i="10"/>
  <c r="AV514" i="10"/>
  <c r="AK514" i="10"/>
  <c r="X514" i="10"/>
  <c r="AF514" i="10"/>
  <c r="AL514" i="10" s="1"/>
  <c r="AV945" i="10"/>
  <c r="AE945" i="10"/>
  <c r="AF945" i="10"/>
  <c r="AL945" i="10" s="1"/>
  <c r="AV285" i="10"/>
  <c r="X285" i="10"/>
  <c r="AF285" i="10"/>
  <c r="AL285" i="10" s="1"/>
  <c r="AE285" i="10"/>
  <c r="AV554" i="10"/>
  <c r="AE554" i="10"/>
  <c r="AF554" i="10"/>
  <c r="AL554" i="10" s="1"/>
  <c r="AV785" i="10"/>
  <c r="X785" i="10"/>
  <c r="AE785" i="10"/>
  <c r="AV446" i="10"/>
  <c r="X446" i="10"/>
  <c r="AF446" i="10"/>
  <c r="AL446" i="10" s="1"/>
  <c r="AE446" i="10"/>
  <c r="AV1010" i="10"/>
  <c r="X1010" i="10"/>
  <c r="AE1010" i="10"/>
  <c r="AF1010" i="10"/>
  <c r="AL1010" i="10" s="1"/>
  <c r="AV407" i="10"/>
  <c r="X407" i="10"/>
  <c r="AF407" i="10"/>
  <c r="AL407" i="10" s="1"/>
  <c r="AK374" i="10"/>
  <c r="AV374" i="10"/>
  <c r="X374" i="10"/>
  <c r="AF374" i="10"/>
  <c r="AL374" i="10" s="1"/>
  <c r="AV523" i="10"/>
  <c r="X523" i="10"/>
  <c r="AE523" i="10"/>
  <c r="AV535" i="10"/>
  <c r="X535" i="10"/>
  <c r="AF535" i="10"/>
  <c r="AL535" i="10" s="1"/>
  <c r="AE535" i="10"/>
  <c r="AV305" i="10"/>
  <c r="X305" i="10"/>
  <c r="AE305" i="10"/>
  <c r="AG305" i="10" s="1"/>
  <c r="AF305" i="10"/>
  <c r="AV591" i="10"/>
  <c r="X591" i="10"/>
  <c r="AE591" i="10"/>
  <c r="AF591" i="10"/>
  <c r="AL591" i="10" s="1"/>
  <c r="AV864" i="10"/>
  <c r="X864" i="10"/>
  <c r="AE864" i="10"/>
  <c r="AV673" i="10"/>
  <c r="X673" i="10"/>
  <c r="AE673" i="10"/>
  <c r="AF673" i="10"/>
  <c r="AL673" i="10" s="1"/>
  <c r="AV503" i="10"/>
  <c r="X503" i="10"/>
  <c r="AE503" i="10"/>
  <c r="AF503" i="10"/>
  <c r="AL503" i="10" s="1"/>
  <c r="AV980" i="10"/>
  <c r="X980" i="10"/>
  <c r="AE980" i="10"/>
  <c r="AF980" i="10"/>
  <c r="AL980" i="10" s="1"/>
  <c r="AV765" i="10"/>
  <c r="X765" i="10"/>
  <c r="AE765" i="10"/>
  <c r="AF765" i="10"/>
  <c r="AL765" i="10" s="1"/>
  <c r="AV1139" i="10"/>
  <c r="X1139" i="10"/>
  <c r="AF1139" i="10"/>
  <c r="AL1139" i="10" s="1"/>
  <c r="AE1139" i="10"/>
  <c r="AV805" i="10"/>
  <c r="X805" i="10"/>
  <c r="AE805" i="10"/>
  <c r="AF805" i="10"/>
  <c r="AL805" i="10" s="1"/>
  <c r="AV745" i="10"/>
  <c r="X745" i="10"/>
  <c r="AE745" i="10"/>
  <c r="AF745" i="10"/>
  <c r="AL745" i="10" s="1"/>
  <c r="AV686" i="10"/>
  <c r="X686" i="10"/>
  <c r="AF686" i="10"/>
  <c r="AL686" i="10" s="1"/>
  <c r="AE686" i="10"/>
  <c r="AV667" i="10"/>
  <c r="X667" i="10"/>
  <c r="AF667" i="10"/>
  <c r="AL667" i="10" s="1"/>
  <c r="AE667" i="10"/>
  <c r="AV390" i="10"/>
  <c r="AE390" i="10"/>
  <c r="AF390" i="10"/>
  <c r="AL390" i="10" s="1"/>
  <c r="AV186" i="10"/>
  <c r="X186" i="10"/>
  <c r="AF186" i="10"/>
  <c r="AL186" i="10" s="1"/>
  <c r="AE186" i="10"/>
  <c r="AV181" i="10"/>
  <c r="X181" i="10"/>
  <c r="AF181" i="10"/>
  <c r="AL181" i="10" s="1"/>
  <c r="AE181" i="10"/>
  <c r="AV78" i="10"/>
  <c r="X78" i="10"/>
  <c r="AF78" i="10"/>
  <c r="AL78" i="10" s="1"/>
  <c r="AE78" i="10"/>
  <c r="AV1027" i="10"/>
  <c r="X1027" i="10"/>
  <c r="AE1027" i="10"/>
  <c r="AF1027" i="10"/>
  <c r="AL1027" i="10" s="1"/>
  <c r="AV308" i="10"/>
  <c r="X308" i="10"/>
  <c r="AF308" i="10"/>
  <c r="AL308" i="10" s="1"/>
  <c r="AV925" i="10"/>
  <c r="X925" i="10"/>
  <c r="AE925" i="10"/>
  <c r="AF925" i="10"/>
  <c r="AL925" i="10" s="1"/>
  <c r="AV1160" i="10"/>
  <c r="X1160" i="10"/>
  <c r="AF1160" i="10"/>
  <c r="AL1160" i="10" s="1"/>
  <c r="AE1160" i="10"/>
  <c r="AV293" i="10"/>
  <c r="AF293" i="10"/>
  <c r="AL293" i="10" s="1"/>
  <c r="AV769" i="10"/>
  <c r="X769" i="10"/>
  <c r="AE769" i="10"/>
  <c r="AG769" i="10" s="1"/>
  <c r="AV1132" i="10"/>
  <c r="X1132" i="10"/>
  <c r="AF1132" i="10"/>
  <c r="AL1132" i="10" s="1"/>
  <c r="AE1132" i="10"/>
  <c r="AV1097" i="10"/>
  <c r="D1097" i="12"/>
  <c r="AE1097" i="10"/>
  <c r="AV1055" i="10"/>
  <c r="X1055" i="10"/>
  <c r="AF1055" i="10"/>
  <c r="AL1055" i="10" s="1"/>
  <c r="AE1055" i="10"/>
  <c r="AV259" i="10"/>
  <c r="X259" i="10"/>
  <c r="AF259" i="10"/>
  <c r="AL259" i="10" s="1"/>
  <c r="AE259" i="10"/>
  <c r="AV89" i="10"/>
  <c r="AK89" i="10"/>
  <c r="X89" i="10"/>
  <c r="AF89" i="10"/>
  <c r="AL89" i="10" s="1"/>
  <c r="AV296" i="10"/>
  <c r="X296" i="10"/>
  <c r="AF296" i="10"/>
  <c r="AL296" i="10" s="1"/>
  <c r="AE296" i="10"/>
  <c r="AV487" i="10"/>
  <c r="X487" i="10"/>
  <c r="AF487" i="10"/>
  <c r="AL487" i="10" s="1"/>
  <c r="AE487" i="10"/>
  <c r="AV1122" i="10"/>
  <c r="X1122" i="10"/>
  <c r="AF1122" i="10"/>
  <c r="AL1122" i="10" s="1"/>
  <c r="AE1122" i="10"/>
  <c r="AV194" i="10"/>
  <c r="X194" i="10"/>
  <c r="AE194" i="10"/>
  <c r="AF194" i="10"/>
  <c r="AL194" i="10" s="1"/>
  <c r="AV325" i="10"/>
  <c r="AE325" i="10"/>
  <c r="AF325" i="10"/>
  <c r="AL325" i="10" s="1"/>
  <c r="AV1080" i="10"/>
  <c r="AF1080" i="10"/>
  <c r="AL1080" i="10" s="1"/>
  <c r="AE1080" i="10"/>
  <c r="AV373" i="10"/>
  <c r="AF373" i="10"/>
  <c r="AL373" i="10" s="1"/>
  <c r="AE373" i="10"/>
  <c r="AV173" i="10"/>
  <c r="X173" i="10"/>
  <c r="AF173" i="10"/>
  <c r="AL173" i="10" s="1"/>
  <c r="AE173" i="10"/>
  <c r="AV808" i="10"/>
  <c r="AK808" i="10"/>
  <c r="X808" i="10"/>
  <c r="AF808" i="10"/>
  <c r="AL808" i="10" s="1"/>
  <c r="AV973" i="10"/>
  <c r="X973" i="10"/>
  <c r="AF973" i="10"/>
  <c r="AL973" i="10" s="1"/>
  <c r="AV193" i="10"/>
  <c r="AF193" i="10"/>
  <c r="AL193" i="10" s="1"/>
  <c r="AE193" i="10"/>
  <c r="AV532" i="10"/>
  <c r="X532" i="10"/>
  <c r="AF532" i="10"/>
  <c r="AL532" i="10" s="1"/>
  <c r="AE532" i="10"/>
  <c r="AV393" i="10"/>
  <c r="AK393" i="10"/>
  <c r="X393" i="10"/>
  <c r="AF393" i="10"/>
  <c r="AL393" i="10" s="1"/>
  <c r="AV45" i="10"/>
  <c r="X45" i="10"/>
  <c r="AE45" i="10"/>
  <c r="AV825" i="10"/>
  <c r="X825" i="10"/>
  <c r="AF825" i="10"/>
  <c r="AL825" i="10" s="1"/>
  <c r="AE825" i="10"/>
  <c r="AV298" i="10"/>
  <c r="X298" i="10"/>
  <c r="AF298" i="10"/>
  <c r="AL298" i="10" s="1"/>
  <c r="AE298" i="10"/>
  <c r="AV54" i="10"/>
  <c r="X54" i="10"/>
  <c r="AF54" i="10"/>
  <c r="AL54" i="10" s="1"/>
  <c r="AV435" i="10"/>
  <c r="X435" i="10"/>
  <c r="AF435" i="10"/>
  <c r="AL435" i="10" s="1"/>
  <c r="AE435" i="10"/>
  <c r="AV566" i="10"/>
  <c r="X566" i="10"/>
  <c r="AF566" i="10"/>
  <c r="AL566" i="10" s="1"/>
  <c r="AE566" i="10"/>
  <c r="AV406" i="10"/>
  <c r="AK406" i="10"/>
  <c r="X406" i="10"/>
  <c r="AF406" i="10"/>
  <c r="AL406" i="10" s="1"/>
  <c r="AV655" i="10"/>
  <c r="X655" i="10"/>
  <c r="AE655" i="10"/>
  <c r="AF655" i="10"/>
  <c r="AL655" i="10" s="1"/>
  <c r="AV1140" i="10"/>
  <c r="X1140" i="10"/>
  <c r="AF1140" i="10"/>
  <c r="AL1140" i="10" s="1"/>
  <c r="AE1140" i="10"/>
  <c r="AV18" i="10"/>
  <c r="AF18" i="10"/>
  <c r="AL18" i="10" s="1"/>
  <c r="AV378" i="10"/>
  <c r="X378" i="10"/>
  <c r="AE378" i="10"/>
  <c r="AV20" i="10"/>
  <c r="X20" i="10"/>
  <c r="AE20" i="10"/>
  <c r="AF20" i="10"/>
  <c r="AL20" i="10" s="1"/>
  <c r="AV355" i="10"/>
  <c r="AK355" i="10"/>
  <c r="X355" i="10"/>
  <c r="AF355" i="10"/>
  <c r="AL355" i="10" s="1"/>
  <c r="AV1048" i="10"/>
  <c r="X1048" i="10"/>
  <c r="AE1048" i="10"/>
  <c r="AF1048" i="10"/>
  <c r="AL1048" i="10" s="1"/>
  <c r="AV208" i="10"/>
  <c r="X208" i="10"/>
  <c r="AE208" i="10"/>
  <c r="AV375" i="10"/>
  <c r="X375" i="10"/>
  <c r="AF375" i="10"/>
  <c r="AL375" i="10" s="1"/>
  <c r="AE375" i="10"/>
  <c r="AV707" i="10"/>
  <c r="X707" i="10"/>
  <c r="AE707" i="10"/>
  <c r="AF707" i="10"/>
  <c r="AL707" i="10" s="1"/>
  <c r="AV654" i="10"/>
  <c r="X654" i="10"/>
  <c r="AF654" i="10"/>
  <c r="AL654" i="10" s="1"/>
  <c r="AE654" i="10"/>
  <c r="AV646" i="10"/>
  <c r="X646" i="10"/>
  <c r="AF646" i="10"/>
  <c r="AL646" i="10" s="1"/>
  <c r="AE646" i="10"/>
  <c r="AV738" i="10"/>
  <c r="X738" i="10"/>
  <c r="AF738" i="10"/>
  <c r="AL738" i="10" s="1"/>
  <c r="AE738" i="10"/>
  <c r="AV242" i="10"/>
  <c r="X242" i="10"/>
  <c r="AE242" i="10"/>
  <c r="AF242" i="10"/>
  <c r="AL242" i="10" s="1"/>
  <c r="AV25" i="10"/>
  <c r="X25" i="10"/>
  <c r="AE25" i="10"/>
  <c r="AV1067" i="10"/>
  <c r="X1067" i="10"/>
  <c r="AF1067" i="10"/>
  <c r="AL1067" i="10" s="1"/>
  <c r="AE1067" i="10"/>
  <c r="AV62" i="10"/>
  <c r="X62" i="10"/>
  <c r="AF62" i="10"/>
  <c r="AL62" i="10" s="1"/>
  <c r="AE62" i="10"/>
  <c r="AV1154" i="10"/>
  <c r="X1154" i="10"/>
  <c r="AF1154" i="10"/>
  <c r="AL1154" i="10" s="1"/>
  <c r="AE1154" i="10"/>
  <c r="AV443" i="10"/>
  <c r="AF443" i="10"/>
  <c r="AL443" i="10" s="1"/>
  <c r="AE443" i="10"/>
  <c r="AV150" i="10"/>
  <c r="X150" i="10"/>
  <c r="AF150" i="10"/>
  <c r="AL150" i="10" s="1"/>
  <c r="AE150" i="10"/>
  <c r="AE501" i="10"/>
  <c r="AE923" i="10"/>
  <c r="AE970" i="10"/>
  <c r="AE321" i="10"/>
  <c r="AF1034" i="10"/>
  <c r="AL1034" i="10" s="1"/>
  <c r="AF21" i="10"/>
  <c r="AL21" i="10" s="1"/>
  <c r="AE308" i="10"/>
  <c r="AF68" i="10"/>
  <c r="AL68" i="10" s="1"/>
  <c r="AF378" i="10"/>
  <c r="AL378" i="10" s="1"/>
  <c r="AF45" i="10"/>
  <c r="AL45" i="10" s="1"/>
  <c r="AE561" i="10"/>
  <c r="AE500" i="10"/>
  <c r="AF1054" i="10"/>
  <c r="AL1054" i="10" s="1"/>
  <c r="AF852" i="10"/>
  <c r="AL852" i="10" s="1"/>
  <c r="AE973" i="10"/>
  <c r="AV850" i="10"/>
  <c r="AE850" i="10"/>
  <c r="AF850" i="10"/>
  <c r="AL850" i="10" s="1"/>
  <c r="AV64" i="10"/>
  <c r="X64" i="10"/>
  <c r="AF64" i="10"/>
  <c r="AL64" i="10" s="1"/>
  <c r="AE64" i="10"/>
  <c r="AV315" i="10"/>
  <c r="X315" i="10"/>
  <c r="AE315" i="10"/>
  <c r="AF315" i="10"/>
  <c r="AL315" i="10" s="1"/>
  <c r="AV271" i="10"/>
  <c r="AE271" i="10"/>
  <c r="AF271" i="10"/>
  <c r="AL271" i="10" s="1"/>
  <c r="AV994" i="10"/>
  <c r="X994" i="10"/>
  <c r="AF994" i="10"/>
  <c r="AL994" i="10" s="1"/>
  <c r="AV6" i="10"/>
  <c r="X6" i="10"/>
  <c r="AE6" i="10"/>
  <c r="AF6" i="10"/>
  <c r="AL6" i="10" s="1"/>
  <c r="AV838" i="10"/>
  <c r="X838" i="10"/>
  <c r="AF838" i="10"/>
  <c r="AL838" i="10" s="1"/>
  <c r="AE838" i="10"/>
  <c r="AV956" i="10"/>
  <c r="X956" i="10"/>
  <c r="AE956" i="10"/>
  <c r="AV635" i="10"/>
  <c r="X635" i="10"/>
  <c r="AE635" i="10"/>
  <c r="AF635" i="10"/>
  <c r="AL635" i="10" s="1"/>
  <c r="AV614" i="10"/>
  <c r="AF614" i="10"/>
  <c r="AL614" i="10" s="1"/>
  <c r="AV14" i="10"/>
  <c r="X14" i="10"/>
  <c r="AF14" i="10"/>
  <c r="AL14" i="10" s="1"/>
  <c r="AE14" i="10"/>
  <c r="AV5" i="10"/>
  <c r="X5" i="10"/>
  <c r="AF5" i="10"/>
  <c r="AL5" i="10" s="1"/>
  <c r="AE5" i="10"/>
  <c r="AV585" i="10"/>
  <c r="AE585" i="10"/>
  <c r="AF585" i="10"/>
  <c r="AL585" i="10" s="1"/>
  <c r="AV596" i="10"/>
  <c r="AK596" i="10"/>
  <c r="X596" i="10"/>
  <c r="AF596" i="10"/>
  <c r="AL596" i="10" s="1"/>
  <c r="AV783" i="10"/>
  <c r="AK783" i="10"/>
  <c r="X783" i="10"/>
  <c r="AV1194" i="10"/>
  <c r="X1194" i="10"/>
  <c r="AE1194" i="10"/>
  <c r="AF1194" i="10"/>
  <c r="AL1194" i="10" s="1"/>
  <c r="AV1152" i="10"/>
  <c r="X1152" i="10"/>
  <c r="AE1152" i="10"/>
  <c r="AF1152" i="10"/>
  <c r="AL1152" i="10" s="1"/>
  <c r="AV984" i="10"/>
  <c r="X984" i="10"/>
  <c r="AE984" i="10"/>
  <c r="AF984" i="10"/>
  <c r="AL984" i="10" s="1"/>
  <c r="AV352" i="10"/>
  <c r="AF352" i="10"/>
  <c r="AL352" i="10" s="1"/>
  <c r="AE352" i="10"/>
  <c r="AV844" i="10"/>
  <c r="AK844" i="10"/>
  <c r="X844" i="10"/>
  <c r="AF844" i="10"/>
  <c r="AL844" i="10" s="1"/>
  <c r="AV137" i="10"/>
  <c r="AF137" i="10"/>
  <c r="AL137" i="10" s="1"/>
  <c r="AE137" i="10"/>
  <c r="AV412" i="10"/>
  <c r="AE412" i="10"/>
  <c r="AF412" i="10"/>
  <c r="AL412" i="10" s="1"/>
  <c r="AV499" i="10"/>
  <c r="X499" i="10"/>
  <c r="AF499" i="10"/>
  <c r="AL499" i="10" s="1"/>
  <c r="AE499" i="10"/>
  <c r="AV996" i="10"/>
  <c r="D996" i="12"/>
  <c r="AV820" i="10"/>
  <c r="X820" i="10"/>
  <c r="AE820" i="10"/>
  <c r="AF820" i="10"/>
  <c r="AL820" i="10" s="1"/>
  <c r="AV144" i="10"/>
  <c r="X144" i="10"/>
  <c r="AF144" i="10"/>
  <c r="AL144" i="10" s="1"/>
  <c r="AE144" i="10"/>
  <c r="AV976" i="10"/>
  <c r="X976" i="10"/>
  <c r="AF976" i="10"/>
  <c r="AL976" i="10" s="1"/>
  <c r="AE976" i="10"/>
  <c r="AV597" i="10"/>
  <c r="X597" i="10"/>
  <c r="AF597" i="10"/>
  <c r="AL597" i="10" s="1"/>
  <c r="AE597" i="10"/>
  <c r="AV31" i="10"/>
  <c r="X31" i="10"/>
  <c r="AE31" i="10"/>
  <c r="AF31" i="10"/>
  <c r="AL31" i="10" s="1"/>
  <c r="AV714" i="10"/>
  <c r="X714" i="10"/>
  <c r="AE714" i="10"/>
  <c r="AF714" i="10"/>
  <c r="AL714" i="10" s="1"/>
  <c r="AV593" i="10"/>
  <c r="X593" i="10"/>
  <c r="AE593" i="10"/>
  <c r="AF593" i="10"/>
  <c r="AL593" i="10" s="1"/>
  <c r="AV354" i="10"/>
  <c r="AF354" i="10"/>
  <c r="AL354" i="10" s="1"/>
  <c r="AE354" i="10"/>
  <c r="AV894" i="10"/>
  <c r="AF894" i="10"/>
  <c r="AL894" i="10" s="1"/>
  <c r="AE894" i="10"/>
  <c r="AV545" i="10"/>
  <c r="X545" i="10"/>
  <c r="AE545" i="10"/>
  <c r="AF545" i="10"/>
  <c r="AL545" i="10" s="1"/>
  <c r="AV1130" i="10"/>
  <c r="X1130" i="10"/>
  <c r="AE1130" i="10"/>
  <c r="AF1130" i="10"/>
  <c r="AL1130" i="10" s="1"/>
  <c r="AV560" i="10"/>
  <c r="X560" i="10"/>
  <c r="AE560" i="10"/>
  <c r="AF560" i="10"/>
  <c r="AL560" i="10" s="1"/>
  <c r="AV372" i="10"/>
  <c r="X372" i="10"/>
  <c r="AE372" i="10"/>
  <c r="AF372" i="10"/>
  <c r="AL372" i="10" s="1"/>
  <c r="AV652" i="10"/>
  <c r="AE652" i="10"/>
  <c r="AV1004" i="10"/>
  <c r="AK1004" i="10"/>
  <c r="AF1004" i="10"/>
  <c r="AL1004" i="10" s="1"/>
  <c r="AV1190" i="10"/>
  <c r="X1190" i="10"/>
  <c r="AF1190" i="10"/>
  <c r="AL1190" i="10" s="1"/>
  <c r="AE1190" i="10"/>
  <c r="AV507" i="10"/>
  <c r="X507" i="10"/>
  <c r="AF507" i="10"/>
  <c r="AL507" i="10" s="1"/>
  <c r="AE507" i="10"/>
  <c r="AV1110" i="10"/>
  <c r="X1110" i="10"/>
  <c r="AE1110" i="10"/>
  <c r="AF1110" i="10"/>
  <c r="AL1110" i="10" s="1"/>
  <c r="AV890" i="10"/>
  <c r="AF890" i="10"/>
  <c r="AL890" i="10" s="1"/>
  <c r="AE890" i="10"/>
  <c r="AV214" i="10"/>
  <c r="X214" i="10"/>
  <c r="AF214" i="10"/>
  <c r="AL214" i="10" s="1"/>
  <c r="AE214" i="10"/>
  <c r="AV1144" i="10"/>
  <c r="X1144" i="10"/>
  <c r="AF1144" i="10"/>
  <c r="AL1144" i="10" s="1"/>
  <c r="B10" i="17" s="1"/>
  <c r="AE1144" i="10"/>
  <c r="AV177" i="10"/>
  <c r="X177" i="10"/>
  <c r="AE357" i="10"/>
  <c r="AF956" i="10"/>
  <c r="AL956" i="10" s="1"/>
  <c r="AE334" i="10"/>
  <c r="AF410" i="10"/>
  <c r="AL410" i="10" s="1"/>
  <c r="AE353" i="10"/>
  <c r="AE13" i="10"/>
  <c r="AE304" i="10"/>
  <c r="AE454" i="10"/>
  <c r="AE590" i="10"/>
  <c r="AE262" i="10"/>
  <c r="AE407" i="10"/>
  <c r="AE343" i="10"/>
  <c r="AF629" i="10"/>
  <c r="AL629" i="10" s="1"/>
  <c r="AE1020" i="10"/>
  <c r="AF70" i="10"/>
  <c r="AL70" i="10" s="1"/>
  <c r="AV895" i="10"/>
  <c r="X895" i="10"/>
  <c r="AF895" i="10"/>
  <c r="AL895" i="10" s="1"/>
  <c r="AE895" i="10"/>
  <c r="AV27" i="10"/>
  <c r="X27" i="10"/>
  <c r="AE27" i="10"/>
  <c r="AV674" i="10"/>
  <c r="X674" i="10"/>
  <c r="AF674" i="10"/>
  <c r="AL674" i="10" s="1"/>
  <c r="AE674" i="10"/>
  <c r="AV433" i="10"/>
  <c r="AK433" i="10"/>
  <c r="X433" i="10"/>
  <c r="AF433" i="10"/>
  <c r="AL433" i="10" s="1"/>
  <c r="AV250" i="10"/>
  <c r="AD250" i="10"/>
  <c r="AF250" i="10"/>
  <c r="AL250" i="10" s="1"/>
  <c r="AE250" i="10"/>
  <c r="AV1135" i="10"/>
  <c r="X1135" i="10"/>
  <c r="AE1135" i="10"/>
  <c r="AF1135" i="10"/>
  <c r="AL1135" i="10" s="1"/>
  <c r="AV401" i="10"/>
  <c r="X401" i="10"/>
  <c r="AF401" i="10"/>
  <c r="AL401" i="10" s="1"/>
  <c r="AE401" i="10"/>
  <c r="AV270" i="10"/>
  <c r="AE270" i="10"/>
  <c r="AF270" i="10"/>
  <c r="AL270" i="10" s="1"/>
  <c r="AV313" i="10"/>
  <c r="X313" i="10"/>
  <c r="AE313" i="10"/>
  <c r="AV964" i="10"/>
  <c r="X964" i="10"/>
  <c r="AE964" i="10"/>
  <c r="AF964" i="10"/>
  <c r="AL964" i="10" s="1"/>
  <c r="AV772" i="10"/>
  <c r="AD772" i="10"/>
  <c r="AF772" i="10"/>
  <c r="AL772" i="10" s="1"/>
  <c r="AV763" i="10"/>
  <c r="AK763" i="10"/>
  <c r="X763" i="10"/>
  <c r="AF763" i="10"/>
  <c r="AL763" i="10" s="1"/>
  <c r="AV612" i="10"/>
  <c r="AE612" i="10"/>
  <c r="AF612" i="10"/>
  <c r="AL612" i="10" s="1"/>
  <c r="AV83" i="10"/>
  <c r="AE83" i="10"/>
  <c r="AF83" i="10"/>
  <c r="AL83" i="10" s="1"/>
  <c r="AV750" i="10"/>
  <c r="X750" i="10"/>
  <c r="AE750" i="10"/>
  <c r="AF750" i="10"/>
  <c r="AL750" i="10" s="1"/>
  <c r="AV490" i="10"/>
  <c r="AK490" i="10"/>
  <c r="X490" i="10"/>
  <c r="AF490" i="10"/>
  <c r="AL490" i="10" s="1"/>
  <c r="AV1167" i="10"/>
  <c r="X1167" i="10"/>
  <c r="AE1167" i="10"/>
  <c r="AF1167" i="10"/>
  <c r="AL1167" i="10" s="1"/>
  <c r="AV108" i="10"/>
  <c r="AE108" i="10"/>
  <c r="AF108" i="10"/>
  <c r="AL108" i="10" s="1"/>
  <c r="AV502" i="10"/>
  <c r="X502" i="10"/>
  <c r="AF502" i="10"/>
  <c r="AL502" i="10" s="1"/>
  <c r="AE502" i="10"/>
  <c r="AV801" i="10"/>
  <c r="X801" i="10"/>
  <c r="AE801" i="10"/>
  <c r="AV460" i="10"/>
  <c r="AK460" i="10"/>
  <c r="X460" i="10"/>
  <c r="AF460" i="10"/>
  <c r="AL460" i="10" s="1"/>
  <c r="AV642" i="10"/>
  <c r="AF642" i="10"/>
  <c r="AL642" i="10" s="1"/>
  <c r="AE642" i="10"/>
  <c r="AK191" i="10"/>
  <c r="AV191" i="10"/>
  <c r="X191" i="10"/>
  <c r="AE191" i="10"/>
  <c r="AV246" i="10"/>
  <c r="X246" i="10"/>
  <c r="AE246" i="10"/>
  <c r="AF246" i="10"/>
  <c r="AL246" i="10" s="1"/>
  <c r="AV743" i="10"/>
  <c r="X743" i="10"/>
  <c r="AE743" i="10"/>
  <c r="AF743" i="10"/>
  <c r="AL743" i="10" s="1"/>
  <c r="AV116" i="10"/>
  <c r="X116" i="10"/>
  <c r="AF116" i="10"/>
  <c r="AL116" i="10" s="1"/>
  <c r="AE116" i="10"/>
  <c r="AV279" i="10"/>
  <c r="X279" i="10"/>
  <c r="AE279" i="10"/>
  <c r="AF279" i="10"/>
  <c r="AL279" i="10" s="1"/>
  <c r="AV837" i="10"/>
  <c r="X837" i="10"/>
  <c r="AF837" i="10"/>
  <c r="AL837" i="10" s="1"/>
  <c r="AE837" i="10"/>
  <c r="AV521" i="10"/>
  <c r="X521" i="10"/>
  <c r="AE521" i="10"/>
  <c r="AV167" i="10"/>
  <c r="X167" i="10"/>
  <c r="AE167" i="10"/>
  <c r="AF167" i="10"/>
  <c r="AL167" i="10" s="1"/>
  <c r="AV687" i="10"/>
  <c r="X687" i="10"/>
  <c r="AE687" i="10"/>
  <c r="AF687" i="10"/>
  <c r="AL687" i="10" s="1"/>
  <c r="AV698" i="10"/>
  <c r="X698" i="10"/>
  <c r="AE698" i="10"/>
  <c r="AF698" i="10"/>
  <c r="AL698" i="10" s="1"/>
  <c r="AV7" i="10"/>
  <c r="X7" i="10"/>
  <c r="AE7" i="10"/>
  <c r="AV480" i="10"/>
  <c r="X480" i="10"/>
  <c r="AE480" i="10"/>
  <c r="AV671" i="10"/>
  <c r="X671" i="10"/>
  <c r="AF671" i="10"/>
  <c r="AL671" i="10" s="1"/>
  <c r="AE671" i="10"/>
  <c r="AV552" i="10"/>
  <c r="X552" i="10"/>
  <c r="AF552" i="10"/>
  <c r="AL552" i="10" s="1"/>
  <c r="AE552" i="10"/>
  <c r="AV1074" i="10"/>
  <c r="AE1074" i="10"/>
  <c r="AF1074" i="10"/>
  <c r="AL1074" i="10" s="1"/>
  <c r="AV104" i="10"/>
  <c r="AE104" i="10"/>
  <c r="AF104" i="10"/>
  <c r="AL104" i="10" s="1"/>
  <c r="AV488" i="10"/>
  <c r="X488" i="10"/>
  <c r="AE488" i="10"/>
  <c r="AF488" i="10"/>
  <c r="AL488" i="10" s="1"/>
  <c r="AV166" i="10"/>
  <c r="X166" i="10"/>
  <c r="AE166" i="10"/>
  <c r="AV324" i="10"/>
  <c r="X324" i="10"/>
  <c r="AE324" i="10"/>
  <c r="AF324" i="10"/>
  <c r="AL324" i="10" s="1"/>
  <c r="AV485" i="10"/>
  <c r="X485" i="10"/>
  <c r="AE485" i="10"/>
  <c r="AF485" i="10"/>
  <c r="AL485" i="10" s="1"/>
  <c r="AV1120" i="10"/>
  <c r="X1120" i="10"/>
  <c r="AF1120" i="10"/>
  <c r="AL1120" i="10" s="1"/>
  <c r="AV910" i="10"/>
  <c r="X910" i="10"/>
  <c r="AF910" i="10"/>
  <c r="AL910" i="10" s="1"/>
  <c r="AE910" i="10"/>
  <c r="AV11" i="10"/>
  <c r="X11" i="10"/>
  <c r="AF11" i="10"/>
  <c r="AL11" i="10" s="1"/>
  <c r="AE11" i="10"/>
  <c r="AV22" i="10"/>
  <c r="AF22" i="10"/>
  <c r="AL22" i="10" s="1"/>
  <c r="AE22" i="10"/>
  <c r="AV212" i="10"/>
  <c r="X212" i="10"/>
  <c r="AF212" i="10"/>
  <c r="AL212" i="10" s="1"/>
  <c r="AV600" i="10"/>
  <c r="AF600" i="10"/>
  <c r="AL600" i="10" s="1"/>
  <c r="AE600" i="10"/>
  <c r="AV575" i="10"/>
  <c r="X575" i="10"/>
  <c r="AF575" i="10"/>
  <c r="AL575" i="10" s="1"/>
  <c r="AE575" i="10"/>
  <c r="AV272" i="10"/>
  <c r="X272" i="10"/>
  <c r="AF272" i="10"/>
  <c r="AL272" i="10" s="1"/>
  <c r="AE272" i="10"/>
  <c r="AV822" i="10"/>
  <c r="X822" i="10"/>
  <c r="AF822" i="10"/>
  <c r="AL822" i="10" s="1"/>
  <c r="AE822" i="10"/>
  <c r="AV320" i="10"/>
  <c r="X320" i="10"/>
  <c r="AE320" i="10"/>
  <c r="AF320" i="10"/>
  <c r="AL320" i="10" s="1"/>
  <c r="AV356" i="10"/>
  <c r="X356" i="10"/>
  <c r="AE356" i="10"/>
  <c r="AF356" i="10"/>
  <c r="AL356" i="10" s="1"/>
  <c r="AV1039" i="10"/>
  <c r="X1039" i="10"/>
  <c r="AE1039" i="10"/>
  <c r="AF1039" i="10"/>
  <c r="AL1039" i="10" s="1"/>
  <c r="AV227" i="10"/>
  <c r="X227" i="10"/>
  <c r="AF227" i="10"/>
  <c r="AL227" i="10" s="1"/>
  <c r="AE227" i="10"/>
  <c r="AV483" i="10"/>
  <c r="AF483" i="10"/>
  <c r="AL483" i="10" s="1"/>
  <c r="AE483" i="10"/>
  <c r="AV97" i="10"/>
  <c r="X97" i="10"/>
  <c r="AE97" i="10"/>
  <c r="AF97" i="10"/>
  <c r="AL97" i="10" s="1"/>
  <c r="AV447" i="10"/>
  <c r="X447" i="10"/>
  <c r="AF447" i="10"/>
  <c r="AL447" i="10" s="1"/>
  <c r="AE447" i="10"/>
  <c r="AE238" i="10"/>
  <c r="AF333" i="10"/>
  <c r="AL333" i="10" s="1"/>
  <c r="AF783" i="10"/>
  <c r="AL783" i="10" s="1"/>
  <c r="AE1138" i="10"/>
  <c r="AE491" i="10"/>
  <c r="AE772" i="10"/>
  <c r="AF1097" i="10"/>
  <c r="AL1097" i="10" s="1"/>
  <c r="AF27" i="10"/>
  <c r="AL27" i="10" s="1"/>
  <c r="AF40" i="10"/>
  <c r="AL40" i="10" s="1"/>
  <c r="AE717" i="10"/>
  <c r="AE919" i="10"/>
  <c r="AE21" i="10"/>
  <c r="AF208" i="10"/>
  <c r="AL208" i="10" s="1"/>
  <c r="AE138" i="10"/>
  <c r="AF41" i="10"/>
  <c r="AL41" i="10" s="1"/>
  <c r="AV802" i="10"/>
  <c r="X802" i="10"/>
  <c r="AF802" i="10"/>
  <c r="AL802" i="10" s="1"/>
  <c r="AE802" i="10"/>
  <c r="AV771" i="10"/>
  <c r="AV350" i="10"/>
  <c r="X350" i="10"/>
  <c r="AE350" i="10"/>
  <c r="AV830" i="10"/>
  <c r="AE830" i="10"/>
  <c r="AV234" i="10"/>
  <c r="X234" i="10"/>
  <c r="AE234" i="10"/>
  <c r="AV617" i="10"/>
  <c r="X617" i="10"/>
  <c r="AE617" i="10"/>
  <c r="AV946" i="10"/>
  <c r="AK946" i="10"/>
  <c r="X946" i="10"/>
  <c r="AE946" i="10"/>
  <c r="AF946" i="10"/>
  <c r="AL946" i="10" s="1"/>
  <c r="AV1153" i="10"/>
  <c r="AF1153" i="10"/>
  <c r="AE1153" i="10"/>
  <c r="AG1153" i="10" s="1"/>
  <c r="AH1153" i="10" s="1"/>
  <c r="AI1153" i="10" s="1"/>
  <c r="AV297" i="10"/>
  <c r="AF297" i="10"/>
  <c r="AL297" i="10" s="1"/>
  <c r="AE297" i="10"/>
  <c r="AV430" i="10"/>
  <c r="X430" i="10"/>
  <c r="AF430" i="10"/>
  <c r="AL430" i="10" s="1"/>
  <c r="AV998" i="10"/>
  <c r="X998" i="10"/>
  <c r="AF998" i="10"/>
  <c r="AL998" i="10" s="1"/>
  <c r="D64" i="12"/>
  <c r="D829" i="12"/>
  <c r="AD693" i="10"/>
  <c r="D350" i="12"/>
  <c r="D787" i="12"/>
  <c r="D247" i="12"/>
  <c r="D891" i="12"/>
  <c r="D441" i="12"/>
  <c r="AD795" i="10"/>
  <c r="D821" i="12"/>
  <c r="D884" i="12"/>
  <c r="D501" i="12"/>
  <c r="AD617" i="10"/>
  <c r="D730" i="12"/>
  <c r="AD584" i="10"/>
  <c r="AD610" i="10"/>
  <c r="D740" i="12"/>
  <c r="AD57" i="10"/>
  <c r="D987" i="12"/>
  <c r="AD715" i="10"/>
  <c r="D119" i="12"/>
  <c r="AD271" i="10"/>
  <c r="AD830" i="10"/>
  <c r="AD216" i="10"/>
  <c r="AD368" i="10"/>
  <c r="AD1121" i="10"/>
  <c r="AV30" i="10"/>
  <c r="AK30" i="10"/>
  <c r="X30" i="10"/>
  <c r="AF30" i="10"/>
  <c r="AL30" i="10" s="1"/>
  <c r="AV1075" i="10"/>
  <c r="X1075" i="10"/>
  <c r="AE1075" i="10"/>
  <c r="AF1075" i="10"/>
  <c r="AL1075" i="10" s="1"/>
  <c r="AV618" i="10"/>
  <c r="AF618" i="10"/>
  <c r="AL618" i="10" s="1"/>
  <c r="AE618" i="10"/>
  <c r="AV609" i="10"/>
  <c r="X609" i="10"/>
  <c r="AF609" i="10"/>
  <c r="AL609" i="10" s="1"/>
  <c r="AE609" i="10"/>
  <c r="AV781" i="10"/>
  <c r="X781" i="10"/>
  <c r="AE781" i="10"/>
  <c r="AV558" i="10"/>
  <c r="X558" i="10"/>
  <c r="AF558" i="10"/>
  <c r="AL558" i="10" s="1"/>
  <c r="AE558" i="10"/>
  <c r="AV540" i="10"/>
  <c r="AE540" i="10"/>
  <c r="AF540" i="10"/>
  <c r="AL540" i="10" s="1"/>
  <c r="AV391" i="10"/>
  <c r="X391" i="10"/>
  <c r="AE391" i="10"/>
  <c r="AF391" i="10"/>
  <c r="AL391" i="10" s="1"/>
  <c r="AV721" i="10"/>
  <c r="X721" i="10"/>
  <c r="AE721" i="10"/>
  <c r="AF721" i="10"/>
  <c r="AL721" i="10" s="1"/>
  <c r="AV339" i="10"/>
  <c r="X339" i="10"/>
  <c r="AE339" i="10"/>
  <c r="AF339" i="10"/>
  <c r="AL339" i="10" s="1"/>
  <c r="AV1081" i="10"/>
  <c r="X1081" i="10"/>
  <c r="AE1081" i="10"/>
  <c r="AF1081" i="10"/>
  <c r="AL1081" i="10" s="1"/>
  <c r="AV1126" i="10"/>
  <c r="X1126" i="10"/>
  <c r="AE1126" i="10"/>
  <c r="AF1126" i="10"/>
  <c r="AL1126" i="10" s="1"/>
  <c r="AV254" i="10"/>
  <c r="X254" i="10"/>
  <c r="AF254" i="10"/>
  <c r="AL254" i="10" s="1"/>
  <c r="AE254" i="10"/>
  <c r="AV929" i="10"/>
  <c r="X929" i="10"/>
  <c r="AE929" i="10"/>
  <c r="AF929" i="10"/>
  <c r="AL929" i="10" s="1"/>
  <c r="AV958" i="10"/>
  <c r="X958" i="10"/>
  <c r="AE958" i="10"/>
  <c r="AF958" i="10"/>
  <c r="AL958" i="10" s="1"/>
  <c r="AV1033" i="10"/>
  <c r="AK1033" i="10"/>
  <c r="X1033" i="10"/>
  <c r="AF1033" i="10"/>
  <c r="AL1033" i="10" s="1"/>
  <c r="AV261" i="10"/>
  <c r="X261" i="10"/>
  <c r="AF261" i="10"/>
  <c r="AL261" i="10" s="1"/>
  <c r="AE261" i="10"/>
  <c r="AV918" i="10"/>
  <c r="X918" i="10"/>
  <c r="AF918" i="10"/>
  <c r="AL918" i="10" s="1"/>
  <c r="AE918" i="10"/>
  <c r="AV1150" i="10"/>
  <c r="X1150" i="10"/>
  <c r="AF1150" i="10"/>
  <c r="AL1150" i="10" s="1"/>
  <c r="AE1150" i="10"/>
  <c r="AV1053" i="10"/>
  <c r="X1053" i="10"/>
  <c r="AE1053" i="10"/>
  <c r="AF1053" i="10"/>
  <c r="AL1053" i="10" s="1"/>
  <c r="AV892" i="10"/>
  <c r="X892" i="10"/>
  <c r="AE892" i="10"/>
  <c r="AF892" i="10"/>
  <c r="AL892" i="10" s="1"/>
  <c r="AV565" i="10"/>
  <c r="AE565" i="10"/>
  <c r="AF565" i="10"/>
  <c r="AL565" i="10" s="1"/>
  <c r="AV292" i="10"/>
  <c r="X292" i="10"/>
  <c r="AE292" i="10"/>
  <c r="AF292" i="10"/>
  <c r="AL292" i="10" s="1"/>
  <c r="AV943" i="10"/>
  <c r="X943" i="10"/>
  <c r="AE943" i="10"/>
  <c r="AF943" i="10"/>
  <c r="AL943" i="10" s="1"/>
  <c r="AV84" i="10"/>
  <c r="AK84" i="10"/>
  <c r="X84" i="10"/>
  <c r="AE84" i="10"/>
  <c r="AV999" i="10"/>
  <c r="X999" i="10"/>
  <c r="AE999" i="10"/>
  <c r="AF999" i="10"/>
  <c r="AL999" i="10" s="1"/>
  <c r="AV990" i="10"/>
  <c r="X990" i="10"/>
  <c r="AF990" i="10"/>
  <c r="AL990" i="10" s="1"/>
  <c r="AE990" i="10"/>
  <c r="AV92" i="10"/>
  <c r="X92" i="10"/>
  <c r="AF92" i="10"/>
  <c r="AL92" i="10" s="1"/>
  <c r="AE92" i="10"/>
  <c r="AV310" i="10"/>
  <c r="AK310" i="10"/>
  <c r="X310" i="10"/>
  <c r="AF310" i="10"/>
  <c r="AL310" i="10" s="1"/>
  <c r="AV42" i="10"/>
  <c r="AK42" i="10"/>
  <c r="X42" i="10"/>
  <c r="AF42" i="10"/>
  <c r="AL42" i="10" s="1"/>
  <c r="AV562" i="10"/>
  <c r="X562" i="10"/>
  <c r="AF562" i="10"/>
  <c r="AL562" i="10" s="1"/>
  <c r="AE562" i="10"/>
  <c r="AV1082" i="10"/>
  <c r="X1082" i="10"/>
  <c r="AF1082" i="10"/>
  <c r="AL1082" i="10" s="1"/>
  <c r="AV885" i="10"/>
  <c r="X885" i="10"/>
  <c r="AE885" i="10"/>
  <c r="AF885" i="10"/>
  <c r="AL885" i="10" s="1"/>
  <c r="AV662" i="10"/>
  <c r="AD662" i="10"/>
  <c r="AE662" i="10"/>
  <c r="AF662" i="10"/>
  <c r="AL662" i="10" s="1"/>
  <c r="AV282" i="10"/>
  <c r="X282" i="10"/>
  <c r="AE282" i="10"/>
  <c r="AF282" i="10"/>
  <c r="AL282" i="10" s="1"/>
  <c r="AV476" i="10"/>
  <c r="X476" i="10"/>
  <c r="AF476" i="10"/>
  <c r="AL476" i="10" s="1"/>
  <c r="AE476" i="10"/>
  <c r="AV1012" i="10"/>
  <c r="X1012" i="10"/>
  <c r="AF1012" i="10"/>
  <c r="AL1012" i="10" s="1"/>
  <c r="AE1012" i="10"/>
  <c r="AV1192" i="10"/>
  <c r="X1192" i="10"/>
  <c r="AE1192" i="10"/>
  <c r="AF1192" i="10"/>
  <c r="AL1192" i="10" s="1"/>
  <c r="AV1040" i="10"/>
  <c r="X1040" i="10"/>
  <c r="AE1040" i="10"/>
  <c r="AF1040" i="10"/>
  <c r="AL1040" i="10" s="1"/>
  <c r="AV668" i="10"/>
  <c r="AK668" i="10"/>
  <c r="X668" i="10"/>
  <c r="AV388" i="10"/>
  <c r="AE388" i="10"/>
  <c r="AV846" i="10"/>
  <c r="X846" i="10"/>
  <c r="AE846" i="10"/>
  <c r="AF846" i="10"/>
  <c r="AL846" i="10" s="1"/>
  <c r="AV640" i="10"/>
  <c r="X640" i="10"/>
  <c r="AE640" i="10"/>
  <c r="AF640" i="10"/>
  <c r="AL640" i="10" s="1"/>
  <c r="AV425" i="10"/>
  <c r="AE425" i="10"/>
  <c r="AF425" i="10"/>
  <c r="AL425" i="10" s="1"/>
  <c r="AV1025" i="10"/>
  <c r="X1025" i="10"/>
  <c r="AF1025" i="10"/>
  <c r="AL1025" i="10" s="1"/>
  <c r="AE1025" i="10"/>
  <c r="AV542" i="10"/>
  <c r="AK542" i="10"/>
  <c r="X542" i="10"/>
  <c r="AF542" i="10"/>
  <c r="AL542" i="10" s="1"/>
  <c r="AV670" i="10"/>
  <c r="X670" i="10"/>
  <c r="AF670" i="10"/>
  <c r="AL670" i="10" s="1"/>
  <c r="AE670" i="10"/>
  <c r="AV1061" i="10"/>
  <c r="X1061" i="10"/>
  <c r="AF1061" i="10"/>
  <c r="AL1061" i="10" s="1"/>
  <c r="AE1061" i="10"/>
  <c r="AV288" i="10"/>
  <c r="X288" i="10"/>
  <c r="AF288" i="10"/>
  <c r="AL288" i="10" s="1"/>
  <c r="AE288" i="10"/>
  <c r="AV198" i="10"/>
  <c r="X198" i="10"/>
  <c r="AE198" i="10"/>
  <c r="AF198" i="10"/>
  <c r="AL198" i="10" s="1"/>
  <c r="AV275" i="10"/>
  <c r="AK275" i="10"/>
  <c r="AE275" i="10"/>
  <c r="AV993" i="10"/>
  <c r="X993" i="10"/>
  <c r="AE993" i="10"/>
  <c r="AF993" i="10"/>
  <c r="AL993" i="10" s="1"/>
  <c r="AV1092" i="10"/>
  <c r="X1092" i="10"/>
  <c r="AF1092" i="10"/>
  <c r="AL1092" i="10" s="1"/>
  <c r="AE1092" i="10"/>
  <c r="AV979" i="10"/>
  <c r="X979" i="10"/>
  <c r="AF979" i="10"/>
  <c r="AL979" i="10" s="1"/>
  <c r="AE979" i="10"/>
  <c r="AV603" i="10"/>
  <c r="AE603" i="10"/>
  <c r="AF603" i="10"/>
  <c r="AL603" i="10" s="1"/>
  <c r="AV1149" i="10"/>
  <c r="X1149" i="10"/>
  <c r="AE1149" i="10"/>
  <c r="AF1149" i="10"/>
  <c r="AL1149" i="10" s="1"/>
  <c r="AV758" i="10"/>
  <c r="X758" i="10"/>
  <c r="AE758" i="10"/>
  <c r="AF758" i="10"/>
  <c r="AL758" i="10" s="1"/>
  <c r="AV831" i="10"/>
  <c r="AF831" i="10"/>
  <c r="AL831" i="10" s="1"/>
  <c r="AE831" i="10"/>
  <c r="AV72" i="10"/>
  <c r="AK72" i="10"/>
  <c r="X72" i="10"/>
  <c r="AF72" i="10"/>
  <c r="AL72" i="10" s="1"/>
  <c r="AV878" i="10"/>
  <c r="X878" i="10"/>
  <c r="AE878" i="10"/>
  <c r="AF878" i="10"/>
  <c r="AL878" i="10" s="1"/>
  <c r="AV729" i="10"/>
  <c r="X729" i="10"/>
  <c r="AE729" i="10"/>
  <c r="AF729" i="10"/>
  <c r="AL729" i="10" s="1"/>
  <c r="AV702" i="10"/>
  <c r="X702" i="10"/>
  <c r="AF702" i="10"/>
  <c r="AL702" i="10" s="1"/>
  <c r="AE702" i="10"/>
  <c r="AV351" i="10"/>
  <c r="X351" i="10"/>
  <c r="AE351" i="10"/>
  <c r="AF351" i="10"/>
  <c r="AL351" i="10" s="1"/>
  <c r="AV269" i="10"/>
  <c r="AE269" i="10"/>
  <c r="AF269" i="10"/>
  <c r="AL269" i="10" s="1"/>
  <c r="AV975" i="10"/>
  <c r="X975" i="10"/>
  <c r="AF975" i="10"/>
  <c r="AL975" i="10" s="1"/>
  <c r="AE975" i="10"/>
  <c r="AV932" i="10"/>
  <c r="X932" i="10"/>
  <c r="AF932" i="10"/>
  <c r="AL932" i="10" s="1"/>
  <c r="AE932" i="10"/>
  <c r="AV276" i="10"/>
  <c r="X276" i="10"/>
  <c r="AE276" i="10"/>
  <c r="AF276" i="10"/>
  <c r="AL276" i="10" s="1"/>
  <c r="AV319" i="10"/>
  <c r="X319" i="10"/>
  <c r="AE319" i="10"/>
  <c r="AF319" i="10"/>
  <c r="AL319" i="10" s="1"/>
  <c r="AV369" i="10"/>
  <c r="AF369" i="10"/>
  <c r="AL369" i="10" s="1"/>
  <c r="AE369" i="10"/>
  <c r="AV663" i="10"/>
  <c r="AF663" i="10"/>
  <c r="AL663" i="10" s="1"/>
  <c r="AV456" i="10"/>
  <c r="X456" i="10"/>
  <c r="AE456" i="10"/>
  <c r="AF456" i="10"/>
  <c r="AL456" i="10" s="1"/>
  <c r="AV307" i="10"/>
  <c r="X307" i="10"/>
  <c r="AE307" i="10"/>
  <c r="AV586" i="10"/>
  <c r="X586" i="10"/>
  <c r="AF586" i="10"/>
  <c r="AL586" i="10" s="1"/>
  <c r="AV251" i="10"/>
  <c r="X251" i="10"/>
  <c r="AE251" i="10"/>
  <c r="AF251" i="10"/>
  <c r="AL251" i="10" s="1"/>
  <c r="AV504" i="10"/>
  <c r="X504" i="10"/>
  <c r="AV52" i="10"/>
  <c r="X52" i="10"/>
  <c r="AE52" i="10"/>
  <c r="AF52" i="10"/>
  <c r="AL52" i="10" s="1"/>
  <c r="AV1193" i="10"/>
  <c r="X1193" i="10"/>
  <c r="AF1193" i="10"/>
  <c r="AL1193" i="10" s="1"/>
  <c r="AE1193" i="10"/>
  <c r="AV477" i="10"/>
  <c r="X477" i="10"/>
  <c r="AF477" i="10"/>
  <c r="AL477" i="10" s="1"/>
  <c r="AE477" i="10"/>
  <c r="AV862" i="10"/>
  <c r="X862" i="10"/>
  <c r="AF862" i="10"/>
  <c r="AL862" i="10" s="1"/>
  <c r="AE862" i="10"/>
  <c r="AV660" i="10"/>
  <c r="AF660" i="10"/>
  <c r="AL660" i="10" s="1"/>
  <c r="AE660" i="10"/>
  <c r="AV46" i="10"/>
  <c r="X46" i="10"/>
  <c r="AV847" i="10"/>
  <c r="X847" i="10"/>
  <c r="AF847" i="10"/>
  <c r="AL847" i="10" s="1"/>
  <c r="AE847" i="10"/>
  <c r="AV713" i="10"/>
  <c r="X713" i="10"/>
  <c r="AV856" i="10"/>
  <c r="X856" i="10"/>
  <c r="AE856" i="10"/>
  <c r="AF856" i="10"/>
  <c r="AL856" i="10" s="1"/>
  <c r="AV1102" i="10"/>
  <c r="X1102" i="10"/>
  <c r="AF1102" i="10"/>
  <c r="AL1102" i="10" s="1"/>
  <c r="AE1102" i="10"/>
  <c r="AF328" i="10"/>
  <c r="AL328" i="10" s="1"/>
  <c r="AE281" i="10"/>
  <c r="AE266" i="10"/>
  <c r="AF191" i="10"/>
  <c r="AL191" i="10" s="1"/>
  <c r="AF764" i="10"/>
  <c r="AL764" i="10" s="1"/>
  <c r="AE793" i="10"/>
  <c r="AE541" i="10"/>
  <c r="AE283" i="10"/>
  <c r="AE121" i="10"/>
  <c r="AE584" i="10"/>
  <c r="AE479" i="10"/>
  <c r="AF523" i="10"/>
  <c r="AL523" i="10" s="1"/>
  <c r="AE293" i="10"/>
  <c r="AF169" i="10"/>
  <c r="AL169" i="10" s="1"/>
  <c r="AE410" i="10"/>
  <c r="AE713" i="10"/>
  <c r="AF106" i="10"/>
  <c r="AL106" i="10" s="1"/>
  <c r="AF480" i="10"/>
  <c r="AL480" i="10" s="1"/>
  <c r="AF1029" i="10"/>
  <c r="AL1029" i="10" s="1"/>
  <c r="AE800" i="10"/>
  <c r="AF785" i="10"/>
  <c r="AL785" i="10" s="1"/>
  <c r="AF157" i="10"/>
  <c r="AL157" i="10" s="1"/>
  <c r="AF278" i="10"/>
  <c r="AL278" i="10" s="1"/>
  <c r="AF148" i="10"/>
  <c r="AL148" i="10" s="1"/>
  <c r="AF555" i="10"/>
  <c r="AL555" i="10" s="1"/>
  <c r="AE633" i="10"/>
  <c r="AE422" i="10"/>
  <c r="AF735" i="10"/>
  <c r="AL735" i="10" s="1"/>
  <c r="AF906" i="10"/>
  <c r="AL906" i="10" s="1"/>
  <c r="AE1133" i="10"/>
  <c r="AJ2" i="10"/>
  <c r="AG2" i="10"/>
  <c r="AH2" i="10" s="1"/>
  <c r="AI2" i="10" s="1"/>
  <c r="AF162" i="10"/>
  <c r="AL162" i="10" s="1"/>
  <c r="AV2" i="10"/>
  <c r="X2" i="10"/>
  <c r="E713" i="12"/>
  <c r="AC713" i="10"/>
  <c r="AV1166" i="10"/>
  <c r="AK1166" i="10"/>
  <c r="X1166" i="10"/>
  <c r="AV162" i="10"/>
  <c r="AK162" i="10"/>
  <c r="X162" i="10"/>
  <c r="AV151" i="10"/>
  <c r="X151" i="10"/>
  <c r="AV256" i="10"/>
  <c r="X256" i="10"/>
  <c r="AV184" i="10"/>
  <c r="AK184" i="10"/>
  <c r="AV431" i="10"/>
  <c r="X431" i="10"/>
  <c r="AF256" i="10"/>
  <c r="AL256" i="10" s="1"/>
  <c r="AF151" i="10"/>
  <c r="AL151" i="10" s="1"/>
  <c r="AE151" i="10"/>
  <c r="AF1166" i="10"/>
  <c r="AL1166" i="10" s="1"/>
  <c r="AV210" i="10"/>
  <c r="AV278" i="10"/>
  <c r="AK278" i="10"/>
  <c r="AV633" i="10"/>
  <c r="X633" i="10"/>
  <c r="AV906" i="10"/>
  <c r="X906" i="10"/>
  <c r="AV1133" i="10"/>
  <c r="AV359" i="10"/>
  <c r="AK359" i="10"/>
  <c r="AV735" i="10"/>
  <c r="X735" i="10"/>
  <c r="AV555" i="10"/>
  <c r="X555" i="10"/>
  <c r="AV422" i="10"/>
  <c r="AK422" i="10"/>
  <c r="X422" i="10"/>
  <c r="AV854" i="10"/>
  <c r="X854" i="10"/>
  <c r="AV148" i="10"/>
  <c r="X148" i="10"/>
  <c r="AV26" i="10"/>
  <c r="AK26" i="10"/>
  <c r="X26" i="10"/>
  <c r="AV157" i="10"/>
  <c r="AK157" i="10"/>
  <c r="X157" i="10"/>
  <c r="AV139" i="10"/>
  <c r="AF139" i="10"/>
  <c r="AL139" i="10" s="1"/>
  <c r="AE256" i="10"/>
  <c r="AE854" i="10"/>
  <c r="AF210" i="10"/>
  <c r="AL210" i="10" s="1"/>
  <c r="AE210" i="10"/>
  <c r="AF26" i="10"/>
  <c r="AL26" i="10" s="1"/>
  <c r="AK38" i="10" l="1"/>
  <c r="AK555" i="10"/>
  <c r="AK967" i="10"/>
  <c r="AK139" i="10"/>
  <c r="AK906" i="10"/>
  <c r="O20" i="18"/>
  <c r="P21" i="18" a="1"/>
  <c r="P21" i="18" s="1"/>
  <c r="K20" i="18" a="1"/>
  <c r="K20" i="18" s="1"/>
  <c r="J19" i="18"/>
  <c r="AK940" i="10"/>
  <c r="AJ623" i="10"/>
  <c r="AM623" i="10" s="1"/>
  <c r="AN623" i="10" s="1"/>
  <c r="AK119" i="10"/>
  <c r="AK735" i="10"/>
  <c r="AJ156" i="10"/>
  <c r="AM156" i="10" s="1"/>
  <c r="AN156" i="10" s="1"/>
  <c r="AK212" i="10"/>
  <c r="AM431" i="10"/>
  <c r="AN431" i="10" s="1"/>
  <c r="AK1070" i="10"/>
  <c r="AJ120" i="10"/>
  <c r="AM120" i="10" s="1"/>
  <c r="AN120" i="10" s="1"/>
  <c r="AK54" i="10"/>
  <c r="AK1056" i="10"/>
  <c r="AM184" i="10"/>
  <c r="AN184" i="10" s="1"/>
  <c r="AM359" i="10"/>
  <c r="AN359" i="10" s="1"/>
  <c r="AK589" i="10"/>
  <c r="AJ54" i="10"/>
  <c r="AM54" i="10" s="1"/>
  <c r="AN54" i="10" s="1"/>
  <c r="AK934" i="10"/>
  <c r="AK2" i="10"/>
  <c r="AG670" i="10"/>
  <c r="AJ670" i="10"/>
  <c r="AG407" i="10"/>
  <c r="AJ407" i="10"/>
  <c r="AG261" i="10"/>
  <c r="AJ261" i="10"/>
  <c r="AG234" i="10"/>
  <c r="AJ234" i="10"/>
  <c r="AG293" i="10"/>
  <c r="AJ293" i="10"/>
  <c r="AG275" i="10"/>
  <c r="AH275" i="10" s="1"/>
  <c r="AI275" i="10" s="1"/>
  <c r="AJ275" i="10"/>
  <c r="AG350" i="10"/>
  <c r="AJ350" i="10"/>
  <c r="AG502" i="10"/>
  <c r="AJ502" i="10"/>
  <c r="AG456" i="10"/>
  <c r="AJ456" i="10"/>
  <c r="AJ269" i="10"/>
  <c r="AG269" i="10"/>
  <c r="AG1012" i="10"/>
  <c r="AJ1012" i="10"/>
  <c r="AG558" i="10"/>
  <c r="AJ558" i="10"/>
  <c r="AG600" i="10"/>
  <c r="AJ600" i="10"/>
  <c r="AG499" i="10"/>
  <c r="AJ499" i="10"/>
  <c r="AG500" i="10"/>
  <c r="AJ500" i="10"/>
  <c r="AG523" i="10"/>
  <c r="AJ523" i="10"/>
  <c r="AJ256" i="10"/>
  <c r="AG256" i="10"/>
  <c r="AJ479" i="10"/>
  <c r="AG479" i="10"/>
  <c r="AG758" i="10"/>
  <c r="AJ758" i="10"/>
  <c r="AG425" i="10"/>
  <c r="AJ425" i="10"/>
  <c r="AG662" i="10"/>
  <c r="AJ662" i="10"/>
  <c r="AG990" i="10"/>
  <c r="AJ990" i="10"/>
  <c r="AG892" i="10"/>
  <c r="AJ892" i="10"/>
  <c r="AG958" i="10"/>
  <c r="AJ958" i="10"/>
  <c r="AJ1126" i="10"/>
  <c r="AG1126" i="10"/>
  <c r="AJ721" i="10"/>
  <c r="AG721" i="10"/>
  <c r="AG1039" i="10"/>
  <c r="AJ1039" i="10"/>
  <c r="AG837" i="10"/>
  <c r="AJ837" i="10"/>
  <c r="AJ343" i="10"/>
  <c r="AG343" i="10"/>
  <c r="AJ1110" i="10"/>
  <c r="AG1110" i="10"/>
  <c r="AG354" i="10"/>
  <c r="AJ354" i="10"/>
  <c r="AG585" i="10"/>
  <c r="AJ585" i="10"/>
  <c r="AG561" i="10"/>
  <c r="AJ561" i="10"/>
  <c r="AG373" i="10"/>
  <c r="AJ373" i="10"/>
  <c r="AG186" i="10"/>
  <c r="AJ186" i="10"/>
  <c r="AG686" i="10"/>
  <c r="AJ686" i="10"/>
  <c r="AG1139" i="10"/>
  <c r="AJ1139" i="10"/>
  <c r="AG285" i="10"/>
  <c r="AJ285" i="10"/>
  <c r="AG564" i="10"/>
  <c r="AJ564" i="10"/>
  <c r="AG342" i="10"/>
  <c r="AJ342" i="10"/>
  <c r="AG100" i="10"/>
  <c r="AJ100" i="10"/>
  <c r="AG605" i="10"/>
  <c r="AJ605" i="10"/>
  <c r="AG634" i="10"/>
  <c r="AJ634" i="10"/>
  <c r="AG1181" i="10"/>
  <c r="AJ1181" i="10"/>
  <c r="AG249" i="10"/>
  <c r="AJ249" i="10"/>
  <c r="AG826" i="10"/>
  <c r="AJ826" i="10"/>
  <c r="AG364" i="10"/>
  <c r="AJ364" i="10"/>
  <c r="AG9" i="10"/>
  <c r="AJ9" i="10"/>
  <c r="AG710" i="10"/>
  <c r="AJ710" i="10"/>
  <c r="AG891" i="10"/>
  <c r="AJ891" i="10"/>
  <c r="AG563" i="10"/>
  <c r="AJ563" i="10"/>
  <c r="AG730" i="10"/>
  <c r="AJ730" i="10"/>
  <c r="AG1105" i="10"/>
  <c r="AJ1105" i="10"/>
  <c r="AG1078" i="10"/>
  <c r="AJ1078" i="10"/>
  <c r="AG1134" i="10"/>
  <c r="AJ1134" i="10"/>
  <c r="AJ827" i="10"/>
  <c r="AG827" i="10"/>
  <c r="AJ1094" i="10"/>
  <c r="AG1094" i="10"/>
  <c r="AG1003" i="10"/>
  <c r="AJ1003" i="10"/>
  <c r="AG1178" i="10"/>
  <c r="AJ1178" i="10"/>
  <c r="AG273" i="10"/>
  <c r="AJ273" i="10"/>
  <c r="AJ395" i="10"/>
  <c r="AG395" i="10"/>
  <c r="AG1057" i="10"/>
  <c r="AJ1057" i="10"/>
  <c r="AG455" i="10"/>
  <c r="AJ455" i="10"/>
  <c r="AJ26" i="10"/>
  <c r="AM26" i="10" s="1"/>
  <c r="AN26" i="10" s="1"/>
  <c r="AJ450" i="10"/>
  <c r="AG450" i="10"/>
  <c r="AK648" i="10"/>
  <c r="AJ1166" i="10"/>
  <c r="AM1166" i="10" s="1"/>
  <c r="AN1166" i="10" s="1"/>
  <c r="AJ777" i="10"/>
  <c r="AG777" i="10"/>
  <c r="AG1107" i="10"/>
  <c r="AJ1107" i="10"/>
  <c r="AG19" i="10"/>
  <c r="AJ19" i="10"/>
  <c r="AG876" i="10"/>
  <c r="AJ876" i="10"/>
  <c r="AG875" i="10"/>
  <c r="AJ875" i="10"/>
  <c r="AG141" i="10"/>
  <c r="AJ141" i="10"/>
  <c r="AG225" i="10"/>
  <c r="AJ225" i="10"/>
  <c r="AG824" i="10"/>
  <c r="AJ824" i="10"/>
  <c r="AG779" i="10"/>
  <c r="AJ779" i="10"/>
  <c r="AG645" i="10"/>
  <c r="AJ645" i="10"/>
  <c r="AG884" i="10"/>
  <c r="AJ884" i="10"/>
  <c r="AG189" i="10"/>
  <c r="AJ189" i="10"/>
  <c r="AG1176" i="10"/>
  <c r="AJ1176" i="10"/>
  <c r="AJ556" i="10"/>
  <c r="AG556" i="10"/>
  <c r="AG548" i="10"/>
  <c r="AJ548" i="10"/>
  <c r="AG441" i="10"/>
  <c r="AJ441" i="10"/>
  <c r="AG34" i="10"/>
  <c r="AJ34" i="10"/>
  <c r="AG508" i="10"/>
  <c r="AJ508" i="10"/>
  <c r="AG118" i="10"/>
  <c r="AJ118" i="10"/>
  <c r="AJ741" i="10"/>
  <c r="AM741" i="10" s="1"/>
  <c r="AN741" i="10" s="1"/>
  <c r="AJ1009" i="10"/>
  <c r="AG1009" i="10"/>
  <c r="AG464" i="10"/>
  <c r="AJ464" i="10"/>
  <c r="AJ900" i="10"/>
  <c r="AG900" i="10"/>
  <c r="AJ211" i="10"/>
  <c r="AM211" i="10" s="1"/>
  <c r="AN211" i="10" s="1"/>
  <c r="AL211" i="10"/>
  <c r="AJ728" i="10"/>
  <c r="AG728" i="10"/>
  <c r="AG695" i="10"/>
  <c r="AJ695" i="10"/>
  <c r="AK663" i="10"/>
  <c r="AH663" i="10"/>
  <c r="AI663" i="10" s="1"/>
  <c r="AG794" i="10"/>
  <c r="AJ794" i="10"/>
  <c r="AG146" i="10"/>
  <c r="AH146" i="10" s="1"/>
  <c r="AI146" i="10" s="1"/>
  <c r="AJ146" i="10"/>
  <c r="AG135" i="10"/>
  <c r="AJ135" i="10"/>
  <c r="AG346" i="10"/>
  <c r="AJ346" i="10"/>
  <c r="AJ1120" i="10"/>
  <c r="AM1120" i="10" s="1"/>
  <c r="AN1120" i="10" s="1"/>
  <c r="AG653" i="10"/>
  <c r="AJ653" i="10"/>
  <c r="AG1095" i="10"/>
  <c r="AJ1095" i="10"/>
  <c r="AG616" i="10"/>
  <c r="AJ616" i="10"/>
  <c r="AK614" i="10"/>
  <c r="AH614" i="10"/>
  <c r="AI614" i="10" s="1"/>
  <c r="AG48" i="10"/>
  <c r="AJ48" i="10"/>
  <c r="AJ393" i="10"/>
  <c r="AM393" i="10" s="1"/>
  <c r="AN393" i="10" s="1"/>
  <c r="AG943" i="10"/>
  <c r="AJ943" i="10"/>
  <c r="AG1144" i="10"/>
  <c r="AJ1144" i="10"/>
  <c r="B8" i="17" s="1"/>
  <c r="AG378" i="10"/>
  <c r="AJ378" i="10"/>
  <c r="AG591" i="10"/>
  <c r="AJ591" i="10"/>
  <c r="AG446" i="10"/>
  <c r="AJ446" i="10"/>
  <c r="AJ1111" i="10"/>
  <c r="AG1111" i="10"/>
  <c r="AG1165" i="10"/>
  <c r="AJ1165" i="10"/>
  <c r="AG396" i="10"/>
  <c r="AJ396" i="10"/>
  <c r="AG858" i="10"/>
  <c r="AJ858" i="10"/>
  <c r="AG371" i="10"/>
  <c r="AJ371" i="10"/>
  <c r="AG170" i="10"/>
  <c r="AJ170" i="10"/>
  <c r="AG626" i="10"/>
  <c r="AJ626" i="10"/>
  <c r="AG95" i="10"/>
  <c r="AJ95" i="10"/>
  <c r="AG465" i="10"/>
  <c r="AJ465" i="10"/>
  <c r="AG879" i="10"/>
  <c r="AJ879" i="10"/>
  <c r="AJ117" i="10"/>
  <c r="AG117" i="10"/>
  <c r="AG1112" i="10"/>
  <c r="AJ1112" i="10"/>
  <c r="AG213" i="10"/>
  <c r="AJ213" i="10"/>
  <c r="AG692" i="10"/>
  <c r="AJ692" i="10"/>
  <c r="AG1096" i="10"/>
  <c r="AJ1096" i="10"/>
  <c r="AG347" i="10"/>
  <c r="AJ347" i="10"/>
  <c r="AJ1185" i="10"/>
  <c r="AG1185" i="10"/>
  <c r="AG917" i="10"/>
  <c r="AJ917" i="10"/>
  <c r="AJ1143" i="10"/>
  <c r="AG1143" i="10"/>
  <c r="AG232" i="10"/>
  <c r="AJ232" i="10"/>
  <c r="AJ241" i="10"/>
  <c r="AG241" i="10"/>
  <c r="AG475" i="10"/>
  <c r="AJ475" i="10"/>
  <c r="AG656" i="10"/>
  <c r="AJ656" i="10"/>
  <c r="AG171" i="10"/>
  <c r="AJ171" i="10"/>
  <c r="AJ212" i="10"/>
  <c r="AM212" i="10" s="1"/>
  <c r="AN212" i="10" s="1"/>
  <c r="AG1118" i="10"/>
  <c r="AJ1118" i="10"/>
  <c r="AG91" i="10"/>
  <c r="AJ91" i="10"/>
  <c r="AJ1164" i="10"/>
  <c r="AG1164" i="10"/>
  <c r="AG537" i="10"/>
  <c r="AH537" i="10" s="1"/>
  <c r="AI537" i="10" s="1"/>
  <c r="AJ537" i="10"/>
  <c r="AG348" i="10"/>
  <c r="AJ348" i="10"/>
  <c r="AG796" i="10"/>
  <c r="AJ796" i="10"/>
  <c r="AG903" i="10"/>
  <c r="AJ903" i="10"/>
  <c r="AG56" i="10"/>
  <c r="AJ56" i="10"/>
  <c r="AJ148" i="10"/>
  <c r="AM148" i="10" s="1"/>
  <c r="AN148" i="10" s="1"/>
  <c r="AG696" i="10"/>
  <c r="AJ696" i="10"/>
  <c r="AJ839" i="10"/>
  <c r="AG839" i="10"/>
  <c r="AG955" i="10"/>
  <c r="AJ955" i="10"/>
  <c r="AG217" i="10"/>
  <c r="AJ217" i="10"/>
  <c r="AG41" i="10"/>
  <c r="AJ41" i="10"/>
  <c r="AG733" i="10"/>
  <c r="AJ733" i="10"/>
  <c r="AJ468" i="10"/>
  <c r="AG468" i="10"/>
  <c r="AG50" i="10"/>
  <c r="AJ50" i="10"/>
  <c r="AG515" i="10"/>
  <c r="AJ515" i="10"/>
  <c r="AG247" i="10"/>
  <c r="AJ247" i="10"/>
  <c r="AJ911" i="10"/>
  <c r="AG911" i="10"/>
  <c r="AG73" i="10"/>
  <c r="AJ73" i="10"/>
  <c r="AG105" i="10"/>
  <c r="AJ105" i="10"/>
  <c r="AG289" i="10"/>
  <c r="AJ289" i="10"/>
  <c r="AJ595" i="10"/>
  <c r="AG595" i="10"/>
  <c r="AJ81" i="10"/>
  <c r="AM81" i="10" s="1"/>
  <c r="AN81" i="10" s="1"/>
  <c r="AJ708" i="10"/>
  <c r="AM708" i="10" s="1"/>
  <c r="AN708" i="10" s="1"/>
  <c r="AJ957" i="10"/>
  <c r="AG957" i="10"/>
  <c r="AG164" i="10"/>
  <c r="AJ164" i="10"/>
  <c r="AG329" i="10"/>
  <c r="AJ329" i="10"/>
  <c r="AJ457" i="10"/>
  <c r="AG457" i="10"/>
  <c r="AG82" i="10"/>
  <c r="AJ82" i="10"/>
  <c r="AK741" i="10"/>
  <c r="AH741" i="10"/>
  <c r="AI741" i="10" s="1"/>
  <c r="AG174" i="10"/>
  <c r="AJ174" i="10"/>
  <c r="AG402" i="10"/>
  <c r="AJ402" i="10"/>
  <c r="AG129" i="10"/>
  <c r="AJ129" i="10"/>
  <c r="AG294" i="10"/>
  <c r="AJ294" i="10"/>
  <c r="AG179" i="10"/>
  <c r="AJ179" i="10"/>
  <c r="AG1007" i="10"/>
  <c r="AJ1007" i="10"/>
  <c r="AK211" i="10"/>
  <c r="AH211" i="10"/>
  <c r="AI211" i="10" s="1"/>
  <c r="AG277" i="10"/>
  <c r="AH277" i="10" s="1"/>
  <c r="AI277" i="10" s="1"/>
  <c r="AJ277" i="10"/>
  <c r="AJ682" i="10"/>
  <c r="AG682" i="10"/>
  <c r="AG33" i="10"/>
  <c r="AJ33" i="10"/>
  <c r="AJ30" i="10"/>
  <c r="AM30" i="10" s="1"/>
  <c r="AN30" i="10" s="1"/>
  <c r="AG962" i="10"/>
  <c r="AJ962" i="10"/>
  <c r="AG834" i="10"/>
  <c r="AJ834" i="10"/>
  <c r="AK1120" i="10"/>
  <c r="AH1120" i="10"/>
  <c r="AI1120" i="10" s="1"/>
  <c r="AG644" i="10"/>
  <c r="AJ644" i="10"/>
  <c r="AJ163" i="10"/>
  <c r="AG163" i="10"/>
  <c r="AH163" i="10" s="1"/>
  <c r="AI163" i="10" s="1"/>
  <c r="AJ994" i="10"/>
  <c r="AM994" i="10" s="1"/>
  <c r="AN994" i="10" s="1"/>
  <c r="AG792" i="10"/>
  <c r="AJ792" i="10"/>
  <c r="AG642" i="10"/>
  <c r="AJ642" i="10"/>
  <c r="AG64" i="10"/>
  <c r="AJ64" i="10"/>
  <c r="AJ981" i="10"/>
  <c r="AG981" i="10"/>
  <c r="AG694" i="10"/>
  <c r="AJ694" i="10"/>
  <c r="AG748" i="10"/>
  <c r="AJ748" i="10"/>
  <c r="AG1059" i="10"/>
  <c r="AJ1059" i="10"/>
  <c r="AG1142" i="10"/>
  <c r="AJ1142" i="10"/>
  <c r="AJ908" i="10"/>
  <c r="AG908" i="10"/>
  <c r="AG215" i="10"/>
  <c r="AJ215" i="10"/>
  <c r="AG764" i="10"/>
  <c r="AJ764" i="10"/>
  <c r="AG260" i="10"/>
  <c r="AJ260" i="10"/>
  <c r="AG780" i="10"/>
  <c r="AJ780" i="10"/>
  <c r="AG377" i="10"/>
  <c r="AJ377" i="10"/>
  <c r="AJ814" i="10"/>
  <c r="AG814" i="10"/>
  <c r="AG1151" i="10"/>
  <c r="AJ1151" i="10"/>
  <c r="AG70" i="10"/>
  <c r="AJ70" i="10"/>
  <c r="AG240" i="10"/>
  <c r="AJ240" i="10"/>
  <c r="AJ68" i="10"/>
  <c r="AG68" i="10"/>
  <c r="AG312" i="10"/>
  <c r="AJ312" i="10"/>
  <c r="AJ229" i="10"/>
  <c r="AG229" i="10"/>
  <c r="AK148" i="10"/>
  <c r="AH148" i="10"/>
  <c r="AI148" i="10" s="1"/>
  <c r="AG620" i="10"/>
  <c r="AJ620" i="10"/>
  <c r="AG843" i="10"/>
  <c r="AJ843" i="10"/>
  <c r="AG941" i="10"/>
  <c r="AJ941" i="10"/>
  <c r="AJ440" i="10"/>
  <c r="AG440" i="10"/>
  <c r="AG1011" i="10"/>
  <c r="AJ1011" i="10"/>
  <c r="AG727" i="10"/>
  <c r="AJ727" i="10"/>
  <c r="AG1062" i="10"/>
  <c r="AJ1062" i="10"/>
  <c r="AG74" i="10"/>
  <c r="AJ74" i="10"/>
  <c r="AG90" i="10"/>
  <c r="AJ90" i="10"/>
  <c r="AG982" i="10"/>
  <c r="AJ982" i="10"/>
  <c r="AG376" i="10"/>
  <c r="AJ376" i="10"/>
  <c r="AG1182" i="10"/>
  <c r="AJ1182" i="10"/>
  <c r="AG1089" i="10"/>
  <c r="AJ1089" i="10"/>
  <c r="AG79" i="10"/>
  <c r="AJ79" i="10"/>
  <c r="AG161" i="10"/>
  <c r="AJ161" i="10"/>
  <c r="AG580" i="10"/>
  <c r="AH580" i="10" s="1"/>
  <c r="AI580" i="10" s="1"/>
  <c r="AJ580" i="10"/>
  <c r="AG855" i="10"/>
  <c r="AJ855" i="10"/>
  <c r="AJ697" i="10"/>
  <c r="AG697" i="10"/>
  <c r="AG1183" i="10"/>
  <c r="AJ1183" i="10"/>
  <c r="AG218" i="10"/>
  <c r="AJ218" i="10"/>
  <c r="AG948" i="10"/>
  <c r="AJ948" i="10"/>
  <c r="AG664" i="10"/>
  <c r="AH664" i="10" s="1"/>
  <c r="AI664" i="10" s="1"/>
  <c r="AJ664" i="10"/>
  <c r="AJ688" i="10"/>
  <c r="AM688" i="10" s="1"/>
  <c r="AN688" i="10" s="1"/>
  <c r="AG300" i="10"/>
  <c r="AJ300" i="10"/>
  <c r="AG972" i="10"/>
  <c r="AJ972" i="10"/>
  <c r="AG881" i="10"/>
  <c r="AJ881" i="10"/>
  <c r="AJ1161" i="10"/>
  <c r="AM1161" i="10" s="1"/>
  <c r="AN1161" i="10" s="1"/>
  <c r="AJ610" i="10"/>
  <c r="AM610" i="10" s="1"/>
  <c r="AN610" i="10" s="1"/>
  <c r="AG757" i="10"/>
  <c r="AJ757" i="10"/>
  <c r="AG59" i="10"/>
  <c r="AJ59" i="10"/>
  <c r="AJ934" i="10"/>
  <c r="AM934" i="10" s="1"/>
  <c r="AN934" i="10" s="1"/>
  <c r="AL934" i="10"/>
  <c r="AJ1087" i="10"/>
  <c r="AG1087" i="10"/>
  <c r="AG172" i="10"/>
  <c r="AJ172" i="10"/>
  <c r="AG53" i="10"/>
  <c r="AH53" i="10" s="1"/>
  <c r="AI53" i="10" s="1"/>
  <c r="AJ53" i="10"/>
  <c r="AG530" i="10"/>
  <c r="AJ530" i="10"/>
  <c r="AG968" i="10"/>
  <c r="AJ968" i="10"/>
  <c r="AG607" i="10"/>
  <c r="AJ607" i="10"/>
  <c r="AG69" i="10"/>
  <c r="AJ69" i="10"/>
  <c r="AG199" i="10"/>
  <c r="AJ199" i="10"/>
  <c r="AG706" i="10"/>
  <c r="AJ706" i="10"/>
  <c r="AJ542" i="10"/>
  <c r="AM542" i="10" s="1"/>
  <c r="AN542" i="10" s="1"/>
  <c r="AG384" i="10"/>
  <c r="AJ384" i="10"/>
  <c r="AG833" i="10"/>
  <c r="AJ833" i="10"/>
  <c r="AJ460" i="10"/>
  <c r="AM460" i="10" s="1"/>
  <c r="AN460" i="10" s="1"/>
  <c r="AG124" i="10"/>
  <c r="AJ124" i="10"/>
  <c r="AK994" i="10"/>
  <c r="AH994" i="10"/>
  <c r="AI994" i="10" s="1"/>
  <c r="AJ514" i="10"/>
  <c r="AM514" i="10" s="1"/>
  <c r="AN514" i="10" s="1"/>
  <c r="AG635" i="10"/>
  <c r="AJ635" i="10"/>
  <c r="AG251" i="10"/>
  <c r="AJ251" i="10"/>
  <c r="AG910" i="10"/>
  <c r="AJ910" i="10"/>
  <c r="AG738" i="10"/>
  <c r="AJ738" i="10"/>
  <c r="AJ504" i="10"/>
  <c r="AG504" i="10"/>
  <c r="AG358" i="10"/>
  <c r="AJ358" i="10"/>
  <c r="AG476" i="10"/>
  <c r="AJ476" i="10"/>
  <c r="AG802" i="10"/>
  <c r="AJ802" i="10"/>
  <c r="AG772" i="10"/>
  <c r="AJ772" i="10"/>
  <c r="AG1074" i="10"/>
  <c r="AJ1074" i="10"/>
  <c r="AG270" i="10"/>
  <c r="AJ270" i="10"/>
  <c r="AG590" i="10"/>
  <c r="AJ590" i="10"/>
  <c r="AJ707" i="10"/>
  <c r="AG707" i="10"/>
  <c r="AG1048" i="10"/>
  <c r="AJ1048" i="10"/>
  <c r="AJ1080" i="10"/>
  <c r="AG1080" i="10"/>
  <c r="AG1097" i="10"/>
  <c r="AJ1097" i="10"/>
  <c r="AG1160" i="10"/>
  <c r="AJ1160" i="10"/>
  <c r="AJ428" i="10"/>
  <c r="AG428" i="10"/>
  <c r="AG835" i="10"/>
  <c r="AJ835" i="10"/>
  <c r="AG43" i="10"/>
  <c r="AJ43" i="10"/>
  <c r="AG451" i="10"/>
  <c r="AJ451" i="10"/>
  <c r="AJ1019" i="10"/>
  <c r="AG1019" i="10"/>
  <c r="AG442" i="10"/>
  <c r="AJ442" i="10"/>
  <c r="AG905" i="10"/>
  <c r="AJ905" i="10"/>
  <c r="AG734" i="10"/>
  <c r="AJ734" i="10"/>
  <c r="AJ168" i="10"/>
  <c r="AG168" i="10"/>
  <c r="AJ756" i="10"/>
  <c r="AG756" i="10"/>
  <c r="AG1170" i="10"/>
  <c r="AJ1170" i="10"/>
  <c r="AG992" i="10"/>
  <c r="AJ992" i="10"/>
  <c r="AG142" i="10"/>
  <c r="AJ142" i="10"/>
  <c r="AG103" i="10"/>
  <c r="AJ103" i="10"/>
  <c r="AG474" i="10"/>
  <c r="AJ474" i="10"/>
  <c r="AG176" i="10"/>
  <c r="AJ176" i="10"/>
  <c r="AG481" i="10"/>
  <c r="AJ481" i="10"/>
  <c r="AG58" i="10"/>
  <c r="AJ58" i="10"/>
  <c r="AJ286" i="10"/>
  <c r="AG286" i="10"/>
  <c r="AG927" i="10"/>
  <c r="AJ927" i="10"/>
  <c r="AG538" i="10"/>
  <c r="AJ538" i="10"/>
  <c r="AK857" i="10"/>
  <c r="AH857" i="10"/>
  <c r="AI857" i="10" s="1"/>
  <c r="AG1071" i="10"/>
  <c r="AJ1071" i="10"/>
  <c r="AG57" i="10"/>
  <c r="AJ57" i="10"/>
  <c r="AG1127" i="10"/>
  <c r="AJ1127" i="10"/>
  <c r="AG598" i="10"/>
  <c r="AJ598" i="10"/>
  <c r="AG526" i="10"/>
  <c r="AJ526" i="10"/>
  <c r="AJ555" i="10"/>
  <c r="AM555" i="10" s="1"/>
  <c r="AN555" i="10" s="1"/>
  <c r="AG529" i="10"/>
  <c r="AJ529" i="10"/>
  <c r="AG195" i="10"/>
  <c r="AJ195" i="10"/>
  <c r="AG755" i="10"/>
  <c r="AJ755" i="10"/>
  <c r="AG666" i="10"/>
  <c r="AJ666" i="10"/>
  <c r="AG470" i="10"/>
  <c r="AJ470" i="10"/>
  <c r="AG1005" i="10"/>
  <c r="AJ1005" i="10"/>
  <c r="AG484" i="10"/>
  <c r="AJ484" i="10"/>
  <c r="AG1032" i="10"/>
  <c r="AJ1032" i="10"/>
  <c r="AG1038" i="10"/>
  <c r="AJ1038" i="10"/>
  <c r="AG85" i="10"/>
  <c r="AJ85" i="10"/>
  <c r="AG951" i="10"/>
  <c r="AJ951" i="10"/>
  <c r="AG819" i="10"/>
  <c r="AJ819" i="10"/>
  <c r="AJ841" i="10"/>
  <c r="AG841" i="10"/>
  <c r="AJ790" i="10"/>
  <c r="AG790" i="10"/>
  <c r="AG954" i="10"/>
  <c r="AJ954" i="10"/>
  <c r="AJ1148" i="10"/>
  <c r="AM1148" i="10" s="1"/>
  <c r="AN1148" i="10" s="1"/>
  <c r="AJ1024" i="10"/>
  <c r="AG1024" i="10"/>
  <c r="AJ71" i="10"/>
  <c r="AG71" i="10"/>
  <c r="AG760" i="10"/>
  <c r="AJ760" i="10"/>
  <c r="AG754" i="10"/>
  <c r="AJ754" i="10"/>
  <c r="AG1018" i="10"/>
  <c r="AJ1018" i="10"/>
  <c r="AG559" i="10"/>
  <c r="AJ559" i="10"/>
  <c r="AG1030" i="10"/>
  <c r="AJ1030" i="10"/>
  <c r="AG606" i="10"/>
  <c r="AJ606" i="10"/>
  <c r="AJ1082" i="10"/>
  <c r="AM1082" i="10" s="1"/>
  <c r="AN1082" i="10" s="1"/>
  <c r="AG411" i="10"/>
  <c r="AJ411" i="10"/>
  <c r="AG419" i="10"/>
  <c r="AJ419" i="10"/>
  <c r="AG658" i="10"/>
  <c r="AJ658" i="10"/>
  <c r="AJ788" i="10"/>
  <c r="AG788" i="10"/>
  <c r="AJ998" i="10"/>
  <c r="AM998" i="10" s="1"/>
  <c r="AN998" i="10" s="1"/>
  <c r="AG17" i="10"/>
  <c r="AJ17" i="10"/>
  <c r="AG519" i="10"/>
  <c r="AJ519" i="10"/>
  <c r="AG385" i="10"/>
  <c r="AJ385" i="10"/>
  <c r="AG98" i="10"/>
  <c r="AJ98" i="10"/>
  <c r="AG97" i="10"/>
  <c r="AJ97" i="10"/>
  <c r="AG352" i="10"/>
  <c r="AJ352" i="10"/>
  <c r="AG1092" i="10"/>
  <c r="AJ1092" i="10"/>
  <c r="AG250" i="10"/>
  <c r="AJ250" i="10"/>
  <c r="AG781" i="10"/>
  <c r="AJ781" i="10"/>
  <c r="AG1075" i="10"/>
  <c r="AJ1075" i="10"/>
  <c r="AG491" i="10"/>
  <c r="AJ491" i="10"/>
  <c r="AG272" i="10"/>
  <c r="AJ272" i="10"/>
  <c r="AG166" i="10"/>
  <c r="AJ166" i="10"/>
  <c r="AG108" i="10"/>
  <c r="AJ108" i="10"/>
  <c r="AG454" i="10"/>
  <c r="AJ454" i="10"/>
  <c r="AG507" i="10"/>
  <c r="AJ507" i="10"/>
  <c r="AG308" i="10"/>
  <c r="AJ308" i="10"/>
  <c r="AG566" i="10"/>
  <c r="AJ566" i="10"/>
  <c r="AG298" i="10"/>
  <c r="AJ298" i="10"/>
  <c r="AJ305" i="10"/>
  <c r="AM305" i="10" s="1"/>
  <c r="AN305" i="10" s="1"/>
  <c r="AL305" i="10"/>
  <c r="AJ230" i="10"/>
  <c r="AG230" i="10"/>
  <c r="AG1045" i="10"/>
  <c r="AJ1045" i="10"/>
  <c r="AG66" i="10"/>
  <c r="AJ66" i="10"/>
  <c r="AG387" i="10"/>
  <c r="AJ387" i="10"/>
  <c r="AG947" i="10"/>
  <c r="AJ947" i="10"/>
  <c r="AG44" i="10"/>
  <c r="AJ44" i="10"/>
  <c r="AG424" i="10"/>
  <c r="AJ424" i="10"/>
  <c r="AG715" i="10"/>
  <c r="AJ715" i="10"/>
  <c r="AJ206" i="10"/>
  <c r="AG206" i="10"/>
  <c r="AG231" i="10"/>
  <c r="AJ231" i="10"/>
  <c r="AG65" i="10"/>
  <c r="AJ65" i="10"/>
  <c r="AG567" i="10"/>
  <c r="AJ567" i="10"/>
  <c r="AG795" i="10"/>
  <c r="AJ795" i="10"/>
  <c r="AJ1051" i="10"/>
  <c r="AG1051" i="10"/>
  <c r="AG96" i="10"/>
  <c r="AJ96" i="10"/>
  <c r="AG46" i="10"/>
  <c r="AJ46" i="10"/>
  <c r="AJ489" i="10"/>
  <c r="AG489" i="10"/>
  <c r="AG316" i="10"/>
  <c r="AJ316" i="10"/>
  <c r="AG742" i="10"/>
  <c r="AJ742" i="10"/>
  <c r="AG863" i="10"/>
  <c r="AJ863" i="10"/>
  <c r="AG709" i="10"/>
  <c r="AJ709" i="10"/>
  <c r="AG896" i="10"/>
  <c r="AJ896" i="10"/>
  <c r="AG1114" i="10"/>
  <c r="AJ1114" i="10"/>
  <c r="AG866" i="10"/>
  <c r="AJ866" i="10"/>
  <c r="AG543" i="10"/>
  <c r="AJ543" i="10"/>
  <c r="AJ619" i="10"/>
  <c r="AG619" i="10"/>
  <c r="AG1180" i="10"/>
  <c r="AJ1180" i="10"/>
  <c r="AG382" i="10"/>
  <c r="AJ382" i="10"/>
  <c r="AG154" i="10"/>
  <c r="AJ154" i="10"/>
  <c r="AJ524" i="10"/>
  <c r="AG524" i="10"/>
  <c r="AG403" i="10"/>
  <c r="AH403" i="10" s="1"/>
  <c r="AI403" i="10" s="1"/>
  <c r="AJ403" i="10"/>
  <c r="AG509" i="10"/>
  <c r="AJ509" i="10"/>
  <c r="AG12" i="10"/>
  <c r="AJ12" i="10"/>
  <c r="AG776" i="10"/>
  <c r="AJ776" i="10"/>
  <c r="AG415" i="10"/>
  <c r="AJ415" i="10"/>
  <c r="AG106" i="10"/>
  <c r="AJ106" i="10"/>
  <c r="AJ414" i="10"/>
  <c r="AG414" i="10"/>
  <c r="AG725" i="10"/>
  <c r="AJ725" i="10"/>
  <c r="AG938" i="10"/>
  <c r="AJ938" i="10"/>
  <c r="AG1034" i="10"/>
  <c r="AJ1034" i="10"/>
  <c r="AK1148" i="10"/>
  <c r="AH1148" i="10"/>
  <c r="AI1148" i="10" s="1"/>
  <c r="AJ38" i="10"/>
  <c r="AM38" i="10" s="1"/>
  <c r="AN38" i="10" s="1"/>
  <c r="AJ978" i="10"/>
  <c r="AG978" i="10"/>
  <c r="AJ967" i="10"/>
  <c r="AM967" i="10" s="1"/>
  <c r="AN967" i="10" s="1"/>
  <c r="AG534" i="10"/>
  <c r="AJ534" i="10"/>
  <c r="AG1129" i="10"/>
  <c r="AJ1129" i="10"/>
  <c r="AG547" i="10"/>
  <c r="AJ547" i="10"/>
  <c r="AG365" i="10"/>
  <c r="AJ365" i="10"/>
  <c r="AJ872" i="10"/>
  <c r="AG872" i="10"/>
  <c r="AG766" i="10"/>
  <c r="AJ766" i="10"/>
  <c r="AG330" i="10"/>
  <c r="AJ330" i="10"/>
  <c r="AG280" i="10"/>
  <c r="AJ280" i="10"/>
  <c r="AJ1115" i="10"/>
  <c r="AG1115" i="10"/>
  <c r="AG912" i="10"/>
  <c r="AJ912" i="10"/>
  <c r="AK1082" i="10"/>
  <c r="AH1082" i="10"/>
  <c r="AI1082" i="10" s="1"/>
  <c r="AG263" i="10"/>
  <c r="AJ263" i="10"/>
  <c r="AK998" i="10"/>
  <c r="AH998" i="10"/>
  <c r="AI998" i="10" s="1"/>
  <c r="AG1191" i="10"/>
  <c r="AJ1191" i="10"/>
  <c r="AG301" i="10"/>
  <c r="AJ301" i="10"/>
  <c r="AJ763" i="10"/>
  <c r="AM763" i="10" s="1"/>
  <c r="AN763" i="10" s="1"/>
  <c r="AJ89" i="10"/>
  <c r="AM89" i="10" s="1"/>
  <c r="AN89" i="10" s="1"/>
  <c r="AG513" i="10"/>
  <c r="AJ513" i="10"/>
  <c r="AG882" i="10"/>
  <c r="AJ882" i="10"/>
  <c r="AJ1169" i="10"/>
  <c r="AG1169" i="10"/>
  <c r="AG6" i="10"/>
  <c r="AJ6" i="10"/>
  <c r="AJ932" i="10"/>
  <c r="AG932" i="10"/>
  <c r="AG480" i="10"/>
  <c r="AJ480" i="10"/>
  <c r="AG593" i="10"/>
  <c r="AJ593" i="10"/>
  <c r="AG597" i="10"/>
  <c r="AJ597" i="10"/>
  <c r="AG412" i="10"/>
  <c r="AJ412" i="10"/>
  <c r="AG956" i="10"/>
  <c r="AJ956" i="10"/>
  <c r="AG78" i="10"/>
  <c r="AJ78" i="10"/>
  <c r="AK305" i="10"/>
  <c r="AH305" i="10"/>
  <c r="AI305" i="10" s="1"/>
  <c r="AG945" i="10"/>
  <c r="AJ945" i="10"/>
  <c r="AG389" i="10"/>
  <c r="AJ389" i="10"/>
  <c r="AJ1136" i="10"/>
  <c r="AG1136" i="10"/>
  <c r="AG219" i="10"/>
  <c r="AJ219" i="10"/>
  <c r="AG453" i="10"/>
  <c r="AJ453" i="10"/>
  <c r="AG1084" i="10"/>
  <c r="AJ1084" i="10"/>
  <c r="AG224" i="10"/>
  <c r="AJ224" i="10"/>
  <c r="AG961" i="10"/>
  <c r="AJ961" i="10"/>
  <c r="AG220" i="10"/>
  <c r="AJ220" i="10"/>
  <c r="AG865" i="10"/>
  <c r="AJ865" i="10"/>
  <c r="AJ782" i="10"/>
  <c r="AG782" i="10"/>
  <c r="AG36" i="10"/>
  <c r="AJ36" i="10"/>
  <c r="AG379" i="10"/>
  <c r="AJ379" i="10"/>
  <c r="AJ859" i="10"/>
  <c r="AG859" i="10"/>
  <c r="AG306" i="10"/>
  <c r="AJ306" i="10"/>
  <c r="AG1173" i="10"/>
  <c r="AJ1173" i="10"/>
  <c r="AG398" i="10"/>
  <c r="AJ398" i="10"/>
  <c r="AG787" i="10"/>
  <c r="AJ787" i="10"/>
  <c r="AG445" i="10"/>
  <c r="AJ445" i="10"/>
  <c r="AG1064" i="10"/>
  <c r="AJ1064" i="10"/>
  <c r="AG1036" i="10"/>
  <c r="AJ1036" i="10"/>
  <c r="AG392" i="10"/>
  <c r="AJ392" i="10"/>
  <c r="AG740" i="10"/>
  <c r="AJ740" i="10"/>
  <c r="AG109" i="10"/>
  <c r="AJ109" i="10"/>
  <c r="AG399" i="10"/>
  <c r="AH399" i="10" s="1"/>
  <c r="AI399" i="10" s="1"/>
  <c r="AJ399" i="10"/>
  <c r="AG693" i="10"/>
  <c r="AJ693" i="10"/>
  <c r="AG665" i="10"/>
  <c r="AJ665" i="10"/>
  <c r="AJ739" i="10"/>
  <c r="AG739" i="10"/>
  <c r="AG493" i="10"/>
  <c r="AJ493" i="10"/>
  <c r="AG459" i="10"/>
  <c r="AJ459" i="10"/>
  <c r="AG549" i="10"/>
  <c r="AJ549" i="10"/>
  <c r="AK431" i="10"/>
  <c r="AH431" i="10"/>
  <c r="AI431" i="10" s="1"/>
  <c r="AG1090" i="10"/>
  <c r="AJ1090" i="10"/>
  <c r="AG37" i="10"/>
  <c r="AJ37" i="10"/>
  <c r="AG914" i="10"/>
  <c r="AJ914" i="10"/>
  <c r="AG942" i="10"/>
  <c r="AJ942" i="10"/>
  <c r="AG684" i="10"/>
  <c r="AJ684" i="10"/>
  <c r="AG870" i="10"/>
  <c r="AJ870" i="10"/>
  <c r="AG180" i="10"/>
  <c r="AJ180" i="10"/>
  <c r="AG1035" i="10"/>
  <c r="AJ1035" i="10"/>
  <c r="AG255" i="10"/>
  <c r="AJ255" i="10"/>
  <c r="AJ119" i="10"/>
  <c r="AM119" i="10" s="1"/>
  <c r="AN119" i="10" s="1"/>
  <c r="AJ1108" i="10"/>
  <c r="AG1108" i="10"/>
  <c r="AG815" i="10"/>
  <c r="AJ815" i="10"/>
  <c r="AG904" i="10"/>
  <c r="AJ904" i="10"/>
  <c r="AJ405" i="10"/>
  <c r="AG405" i="10"/>
  <c r="AJ1155" i="10"/>
  <c r="AG1155" i="10"/>
  <c r="AG152" i="10"/>
  <c r="AJ152" i="10"/>
  <c r="AJ143" i="10"/>
  <c r="AG143" i="10"/>
  <c r="AG669" i="10"/>
  <c r="AJ669" i="10"/>
  <c r="AG383" i="10"/>
  <c r="AJ383" i="10"/>
  <c r="AJ1033" i="10"/>
  <c r="AM1033" i="10" s="1"/>
  <c r="AN1033" i="10" s="1"/>
  <c r="AG244" i="10"/>
  <c r="AJ244" i="10"/>
  <c r="AJ267" i="10"/>
  <c r="AG267" i="10"/>
  <c r="AJ362" i="10"/>
  <c r="AG362" i="10"/>
  <c r="AG1015" i="10"/>
  <c r="AJ1015" i="10"/>
  <c r="AG86" i="10"/>
  <c r="AJ86" i="10"/>
  <c r="AG295" i="10"/>
  <c r="AJ295" i="10"/>
  <c r="AJ188" i="10"/>
  <c r="AG188" i="10"/>
  <c r="AJ1004" i="10"/>
  <c r="AM1004" i="10" s="1"/>
  <c r="AN1004" i="10" s="1"/>
  <c r="AJ936" i="10"/>
  <c r="AG936" i="10"/>
  <c r="AG572" i="10"/>
  <c r="AJ572" i="10"/>
  <c r="AG718" i="10"/>
  <c r="AJ718" i="10"/>
  <c r="AJ297" i="10"/>
  <c r="AG297" i="10"/>
  <c r="AG1027" i="10"/>
  <c r="AJ1027" i="10"/>
  <c r="AG1149" i="10"/>
  <c r="AJ1149" i="10"/>
  <c r="AJ391" i="10"/>
  <c r="AG391" i="10"/>
  <c r="AG214" i="10"/>
  <c r="AJ214" i="10"/>
  <c r="AG372" i="10"/>
  <c r="AJ372" i="10"/>
  <c r="AG545" i="10"/>
  <c r="AJ545" i="10"/>
  <c r="AG984" i="10"/>
  <c r="AJ984" i="10"/>
  <c r="AG1154" i="10"/>
  <c r="AJ1154" i="10"/>
  <c r="AG646" i="10"/>
  <c r="AJ646" i="10"/>
  <c r="AG1140" i="10"/>
  <c r="AJ1140" i="10"/>
  <c r="AJ532" i="10"/>
  <c r="AG532" i="10"/>
  <c r="AG390" i="10"/>
  <c r="AJ390" i="10"/>
  <c r="AG745" i="10"/>
  <c r="AJ745" i="10"/>
  <c r="AG765" i="10"/>
  <c r="AJ765" i="10"/>
  <c r="AG673" i="10"/>
  <c r="AJ673" i="10"/>
  <c r="AG785" i="10"/>
  <c r="AJ785" i="10"/>
  <c r="AG1079" i="10"/>
  <c r="AJ1079" i="10"/>
  <c r="AK623" i="10"/>
  <c r="AH623" i="10"/>
  <c r="AI623" i="10" s="1"/>
  <c r="AG983" i="10"/>
  <c r="AJ983" i="10"/>
  <c r="AG497" i="10"/>
  <c r="AJ497" i="10"/>
  <c r="AG113" i="10"/>
  <c r="AJ113" i="10"/>
  <c r="AG1103" i="10"/>
  <c r="AJ1103" i="10"/>
  <c r="AG1109" i="10"/>
  <c r="AJ1109" i="10"/>
  <c r="AG15" i="10"/>
  <c r="AJ15" i="10"/>
  <c r="AG349" i="10"/>
  <c r="AJ349" i="10"/>
  <c r="AG51" i="10"/>
  <c r="AJ51" i="10"/>
  <c r="AG101" i="10"/>
  <c r="AJ101" i="10"/>
  <c r="AG650" i="10"/>
  <c r="AJ650" i="10"/>
  <c r="AG367" i="10"/>
  <c r="AJ367" i="10"/>
  <c r="AG1189" i="10"/>
  <c r="AJ1189" i="10"/>
  <c r="AG712" i="10"/>
  <c r="AJ712" i="10"/>
  <c r="AG380" i="10"/>
  <c r="AJ380" i="10"/>
  <c r="AJ897" i="10"/>
  <c r="AG897" i="10"/>
  <c r="AG114" i="10"/>
  <c r="AJ114" i="10"/>
  <c r="AG361" i="10"/>
  <c r="AJ361" i="10"/>
  <c r="AJ647" i="10"/>
  <c r="AG647" i="10"/>
  <c r="AJ1101" i="10"/>
  <c r="AG1101" i="10"/>
  <c r="AG568" i="10"/>
  <c r="AJ568" i="10"/>
  <c r="AG889" i="10"/>
  <c r="AJ889" i="10"/>
  <c r="AG1065" i="10"/>
  <c r="AJ1065" i="10"/>
  <c r="AG744" i="10"/>
  <c r="AJ744" i="10"/>
  <c r="AG571" i="10"/>
  <c r="AJ571" i="10"/>
  <c r="AG950" i="10"/>
  <c r="AJ950" i="10"/>
  <c r="AG87" i="10"/>
  <c r="AJ87" i="10"/>
  <c r="AG898" i="10"/>
  <c r="AJ898" i="10"/>
  <c r="AJ434" i="10"/>
  <c r="AG434" i="10"/>
  <c r="AG928" i="10"/>
  <c r="AJ928" i="10"/>
  <c r="AG463" i="10"/>
  <c r="AJ463" i="10"/>
  <c r="AG1022" i="10"/>
  <c r="AJ1022" i="10"/>
  <c r="AG413" i="10"/>
  <c r="AJ413" i="10"/>
  <c r="AG588" i="10"/>
  <c r="AJ588" i="10"/>
  <c r="AG125" i="10"/>
  <c r="AJ125" i="10"/>
  <c r="AJ735" i="10"/>
  <c r="AM735" i="10" s="1"/>
  <c r="AN735" i="10" s="1"/>
  <c r="AG678" i="10"/>
  <c r="AJ678" i="10"/>
  <c r="AG311" i="10"/>
  <c r="AJ311" i="10"/>
  <c r="AJ1070" i="10"/>
  <c r="AM1070" i="10" s="1"/>
  <c r="AN1070" i="10" s="1"/>
  <c r="AL1070" i="10"/>
  <c r="AG1072" i="10"/>
  <c r="AJ1072" i="10"/>
  <c r="AG122" i="10"/>
  <c r="AH122" i="10" s="1"/>
  <c r="AI122" i="10" s="1"/>
  <c r="AJ122" i="10"/>
  <c r="AG291" i="10"/>
  <c r="AJ291" i="10"/>
  <c r="AG630" i="10"/>
  <c r="AJ630" i="10"/>
  <c r="AG546" i="10"/>
  <c r="AJ546" i="10"/>
  <c r="AG1014" i="10"/>
  <c r="AJ1014" i="10"/>
  <c r="AG299" i="10"/>
  <c r="AJ299" i="10"/>
  <c r="AG209" i="10"/>
  <c r="AJ209" i="10"/>
  <c r="AG169" i="10"/>
  <c r="AJ169" i="10"/>
  <c r="AG226" i="10"/>
  <c r="AJ226" i="10"/>
  <c r="AG913" i="10"/>
  <c r="AJ913" i="10"/>
  <c r="AG400" i="10"/>
  <c r="AH400" i="10" s="1"/>
  <c r="AI400" i="10" s="1"/>
  <c r="AJ400" i="10"/>
  <c r="AJ592" i="10"/>
  <c r="AM592" i="10" s="1"/>
  <c r="AN592" i="10" s="1"/>
  <c r="AJ466" i="10"/>
  <c r="AM466" i="10" s="1"/>
  <c r="AN466" i="10" s="1"/>
  <c r="AG657" i="10"/>
  <c r="AJ657" i="10"/>
  <c r="AG332" i="10"/>
  <c r="AJ332" i="10"/>
  <c r="AG816" i="10"/>
  <c r="AJ816" i="10"/>
  <c r="AG458" i="10"/>
  <c r="AJ458" i="10"/>
  <c r="AG627" i="10"/>
  <c r="AJ627" i="10"/>
  <c r="AG761" i="10"/>
  <c r="AJ761" i="10"/>
  <c r="AJ960" i="10"/>
  <c r="AG960" i="10"/>
  <c r="AG767" i="10"/>
  <c r="AJ767" i="10"/>
  <c r="AG883" i="10"/>
  <c r="AJ883" i="10"/>
  <c r="AG182" i="10"/>
  <c r="AJ182" i="10"/>
  <c r="AG317" i="10"/>
  <c r="AJ317" i="10"/>
  <c r="AJ700" i="10"/>
  <c r="AG700" i="10"/>
  <c r="AJ629" i="10"/>
  <c r="AM629" i="10" s="1"/>
  <c r="AN629" i="10" s="1"/>
  <c r="AJ762" i="10"/>
  <c r="AG762" i="10"/>
  <c r="AG617" i="10"/>
  <c r="AJ617" i="10"/>
  <c r="AG144" i="10"/>
  <c r="AJ144" i="10"/>
  <c r="AG878" i="10"/>
  <c r="AJ878" i="10"/>
  <c r="AG27" i="10"/>
  <c r="AJ27" i="10"/>
  <c r="AG351" i="10"/>
  <c r="AJ351" i="10"/>
  <c r="AG929" i="10"/>
  <c r="AJ929" i="10"/>
  <c r="AG1040" i="10"/>
  <c r="AJ1040" i="10"/>
  <c r="AG288" i="10"/>
  <c r="AJ288" i="10"/>
  <c r="AG279" i="10"/>
  <c r="AJ279" i="10"/>
  <c r="AG975" i="10"/>
  <c r="AJ975" i="10"/>
  <c r="AG83" i="10"/>
  <c r="AJ83" i="10"/>
  <c r="AG353" i="10"/>
  <c r="AJ353" i="10"/>
  <c r="AJ820" i="10"/>
  <c r="AG820" i="10"/>
  <c r="AJ137" i="10"/>
  <c r="AG137" i="10"/>
  <c r="AG14" i="10"/>
  <c r="AJ14" i="10"/>
  <c r="AG850" i="10"/>
  <c r="AJ850" i="10"/>
  <c r="AG321" i="10"/>
  <c r="AJ321" i="10"/>
  <c r="AG25" i="10"/>
  <c r="AJ25" i="10"/>
  <c r="AJ375" i="10"/>
  <c r="AG375" i="10"/>
  <c r="AG487" i="10"/>
  <c r="AJ487" i="10"/>
  <c r="AG259" i="10"/>
  <c r="AJ259" i="10"/>
  <c r="AG1132" i="10"/>
  <c r="AJ1132" i="10"/>
  <c r="AG829" i="10"/>
  <c r="AJ829" i="10"/>
  <c r="AG147" i="10"/>
  <c r="AJ147" i="10"/>
  <c r="AJ366" i="10"/>
  <c r="AG366" i="10"/>
  <c r="AG333" i="10"/>
  <c r="AJ333" i="10"/>
  <c r="AG1147" i="10"/>
  <c r="AJ1147" i="10"/>
  <c r="AG165" i="10"/>
  <c r="AJ165" i="10"/>
  <c r="AG1029" i="10"/>
  <c r="AJ1029" i="10"/>
  <c r="AG363" i="10"/>
  <c r="AJ363" i="10"/>
  <c r="AG522" i="10"/>
  <c r="AJ522" i="10"/>
  <c r="AG498" i="10"/>
  <c r="AJ498" i="10"/>
  <c r="AG197" i="10"/>
  <c r="AJ197" i="10"/>
  <c r="AG1158" i="10"/>
  <c r="AJ1158" i="10"/>
  <c r="AJ341" i="10"/>
  <c r="AG341" i="10"/>
  <c r="AJ76" i="10"/>
  <c r="AG76" i="10"/>
  <c r="AJ989" i="10"/>
  <c r="AG989" i="10"/>
  <c r="AG40" i="10"/>
  <c r="AJ40" i="10"/>
  <c r="AG178" i="10"/>
  <c r="AJ178" i="10"/>
  <c r="AG127" i="10"/>
  <c r="AJ127" i="10"/>
  <c r="AG268" i="10"/>
  <c r="AJ268" i="10"/>
  <c r="AG323" i="10"/>
  <c r="AJ323" i="10"/>
  <c r="AG265" i="10"/>
  <c r="AJ265" i="10"/>
  <c r="AG574" i="10"/>
  <c r="AJ574" i="10"/>
  <c r="AG926" i="10"/>
  <c r="AJ926" i="10"/>
  <c r="AG192" i="10"/>
  <c r="AJ192" i="10"/>
  <c r="AG1188" i="10"/>
  <c r="AJ1188" i="10"/>
  <c r="AG486" i="10"/>
  <c r="AJ486" i="10"/>
  <c r="AG1171" i="10"/>
  <c r="AJ1171" i="10"/>
  <c r="AG997" i="10"/>
  <c r="AJ997" i="10"/>
  <c r="AJ906" i="10"/>
  <c r="AM906" i="10" s="1"/>
  <c r="AN906" i="10" s="1"/>
  <c r="AG536" i="10"/>
  <c r="AJ536" i="10"/>
  <c r="AG1156" i="10"/>
  <c r="AJ1156" i="10"/>
  <c r="AG995" i="10"/>
  <c r="AJ995" i="10"/>
  <c r="AG920" i="10"/>
  <c r="AJ920" i="10"/>
  <c r="AG601" i="10"/>
  <c r="AJ601" i="10"/>
  <c r="AG408" i="10"/>
  <c r="AJ408" i="10"/>
  <c r="AG944" i="10"/>
  <c r="AJ944" i="10"/>
  <c r="AG185" i="10"/>
  <c r="AJ185" i="10"/>
  <c r="AG438" i="10"/>
  <c r="AJ438" i="10"/>
  <c r="AG771" i="10"/>
  <c r="AJ771" i="10"/>
  <c r="AG527" i="10"/>
  <c r="AJ527" i="10"/>
  <c r="AG1157" i="10"/>
  <c r="AJ1157" i="10"/>
  <c r="AJ550" i="10"/>
  <c r="AG550" i="10"/>
  <c r="AG140" i="10"/>
  <c r="AJ140" i="10"/>
  <c r="AG1054" i="10"/>
  <c r="AJ1054" i="10"/>
  <c r="AJ939" i="10"/>
  <c r="AG939" i="10"/>
  <c r="AG429" i="10"/>
  <c r="AJ429" i="10"/>
  <c r="AG969" i="10"/>
  <c r="AJ969" i="10"/>
  <c r="AG886" i="10"/>
  <c r="AJ886" i="10"/>
  <c r="AG747" i="10"/>
  <c r="AJ747" i="10"/>
  <c r="AG145" i="10"/>
  <c r="AJ145" i="10"/>
  <c r="AG1028" i="10"/>
  <c r="AJ1028" i="10"/>
  <c r="AK592" i="10"/>
  <c r="AH592" i="10"/>
  <c r="AI592" i="10" s="1"/>
  <c r="AG123" i="10"/>
  <c r="AJ123" i="10"/>
  <c r="AJ1056" i="10"/>
  <c r="AM1056" i="10" s="1"/>
  <c r="AN1056" i="10" s="1"/>
  <c r="AL1056" i="10"/>
  <c r="AG1177" i="10"/>
  <c r="AJ1177" i="10"/>
  <c r="AG1131" i="10"/>
  <c r="AJ1131" i="10"/>
  <c r="AG409" i="10"/>
  <c r="AJ409" i="10"/>
  <c r="AG472" i="10"/>
  <c r="AJ472" i="10"/>
  <c r="AJ1093" i="10"/>
  <c r="AG1093" i="10"/>
  <c r="AG236" i="10"/>
  <c r="AJ236" i="10"/>
  <c r="AG370" i="10"/>
  <c r="AJ370" i="10"/>
  <c r="AG111" i="10"/>
  <c r="AJ111" i="10"/>
  <c r="AJ18" i="10"/>
  <c r="AM18" i="10" s="1"/>
  <c r="AN18" i="10" s="1"/>
  <c r="AG1168" i="10"/>
  <c r="AJ1168" i="10"/>
  <c r="AG977" i="10"/>
  <c r="AJ977" i="10"/>
  <c r="AJ406" i="10"/>
  <c r="AM406" i="10" s="1"/>
  <c r="AN406" i="10" s="1"/>
  <c r="AJ586" i="10"/>
  <c r="AM586" i="10" s="1"/>
  <c r="AN586" i="10" s="1"/>
  <c r="AJ844" i="10"/>
  <c r="AM844" i="10" s="1"/>
  <c r="AN844" i="10" s="1"/>
  <c r="AG901" i="10"/>
  <c r="AJ901" i="10"/>
  <c r="AG494" i="10"/>
  <c r="AJ494" i="10"/>
  <c r="AJ355" i="10"/>
  <c r="AM355" i="10" s="1"/>
  <c r="AN355" i="10" s="1"/>
  <c r="AG198" i="10"/>
  <c r="AJ198" i="10"/>
  <c r="AG750" i="10"/>
  <c r="AJ750" i="10"/>
  <c r="AG5" i="10"/>
  <c r="AJ5" i="10"/>
  <c r="AG503" i="10"/>
  <c r="AJ503" i="10"/>
  <c r="AG8" i="10"/>
  <c r="AJ8" i="10"/>
  <c r="AG856" i="10"/>
  <c r="AJ856" i="10"/>
  <c r="AJ640" i="10"/>
  <c r="AG640" i="10"/>
  <c r="AG800" i="10"/>
  <c r="AJ800" i="10"/>
  <c r="AG885" i="10"/>
  <c r="AJ885" i="10"/>
  <c r="AG483" i="10"/>
  <c r="AJ483" i="10"/>
  <c r="AG292" i="10"/>
  <c r="AJ292" i="10"/>
  <c r="AG167" i="10"/>
  <c r="AJ167" i="10"/>
  <c r="AJ1153" i="10"/>
  <c r="AM1153" i="10" s="1"/>
  <c r="AN1153" i="10" s="1"/>
  <c r="AL1153" i="10"/>
  <c r="AG307" i="10"/>
  <c r="AJ307" i="10"/>
  <c r="AG993" i="10"/>
  <c r="AJ993" i="10"/>
  <c r="AG254" i="10"/>
  <c r="AJ254" i="10"/>
  <c r="AG609" i="10"/>
  <c r="AJ609" i="10"/>
  <c r="AG801" i="10"/>
  <c r="AJ801" i="10"/>
  <c r="AJ964" i="10"/>
  <c r="AG964" i="10"/>
  <c r="AG1190" i="10"/>
  <c r="AJ1190" i="10"/>
  <c r="AG970" i="10"/>
  <c r="AJ970" i="10"/>
  <c r="AJ825" i="10"/>
  <c r="AG825" i="10"/>
  <c r="AG325" i="10"/>
  <c r="AJ325" i="10"/>
  <c r="AG925" i="10"/>
  <c r="AJ925" i="10"/>
  <c r="AJ535" i="10"/>
  <c r="AG535" i="10"/>
  <c r="AG126" i="10"/>
  <c r="AJ126" i="10"/>
  <c r="AG853" i="10"/>
  <c r="AJ853" i="10"/>
  <c r="AG1106" i="10"/>
  <c r="AJ1106" i="10"/>
  <c r="AG680" i="10"/>
  <c r="AJ680" i="10"/>
  <c r="AG848" i="10"/>
  <c r="AJ848" i="10"/>
  <c r="AG632" i="10"/>
  <c r="AJ632" i="10"/>
  <c r="AG416" i="10"/>
  <c r="AJ416" i="10"/>
  <c r="AG228" i="10"/>
  <c r="AJ228" i="10"/>
  <c r="AJ461" i="10"/>
  <c r="AG461" i="10"/>
  <c r="AJ922" i="10"/>
  <c r="AG922" i="10"/>
  <c r="AJ327" i="10"/>
  <c r="AG327" i="10"/>
  <c r="AG1086" i="10"/>
  <c r="AJ1086" i="10"/>
  <c r="AG675" i="10"/>
  <c r="AJ675" i="10"/>
  <c r="AG158" i="10"/>
  <c r="AJ158" i="10"/>
  <c r="AG417" i="10"/>
  <c r="AJ417" i="10"/>
  <c r="AG778" i="10"/>
  <c r="AJ778" i="10"/>
  <c r="AG636" i="10"/>
  <c r="AJ636" i="10"/>
  <c r="AG924" i="10"/>
  <c r="AJ924" i="10"/>
  <c r="AG495" i="10"/>
  <c r="AJ495" i="10"/>
  <c r="AG518" i="10"/>
  <c r="AJ518" i="10"/>
  <c r="AG368" i="10"/>
  <c r="AJ368" i="10"/>
  <c r="AG587" i="10"/>
  <c r="AJ587" i="10"/>
  <c r="AG933" i="10"/>
  <c r="AJ933" i="10"/>
  <c r="AJ39" i="10"/>
  <c r="AG39" i="10"/>
  <c r="AG1021" i="10"/>
  <c r="AJ1021" i="10"/>
  <c r="AJ806" i="10"/>
  <c r="AG806" i="10"/>
  <c r="AG803" i="10"/>
  <c r="AJ803" i="10"/>
  <c r="AG637" i="10"/>
  <c r="AJ637" i="10"/>
  <c r="AJ953" i="10"/>
  <c r="AG953" i="10"/>
  <c r="AG205" i="10"/>
  <c r="AJ205" i="10"/>
  <c r="AG1163" i="10"/>
  <c r="AJ1163" i="10"/>
  <c r="AG774" i="10"/>
  <c r="AJ774" i="10"/>
  <c r="AG258" i="10"/>
  <c r="AJ258" i="10"/>
  <c r="AJ915" i="10"/>
  <c r="AG915" i="10"/>
  <c r="AG177" i="10"/>
  <c r="AJ177" i="10"/>
  <c r="AG1104" i="10"/>
  <c r="AJ1104" i="10"/>
  <c r="AG314" i="10"/>
  <c r="AJ314" i="10"/>
  <c r="AG1046" i="10"/>
  <c r="AJ1046" i="10"/>
  <c r="AG340" i="10"/>
  <c r="AJ340" i="10"/>
  <c r="AG1116" i="10"/>
  <c r="AJ1116" i="10"/>
  <c r="AG159" i="10"/>
  <c r="AJ159" i="10"/>
  <c r="AG965" i="10"/>
  <c r="AJ965" i="10"/>
  <c r="AG16" i="10"/>
  <c r="AJ16" i="10"/>
  <c r="AG871" i="10"/>
  <c r="AJ871" i="10"/>
  <c r="AG80" i="10"/>
  <c r="AJ80" i="10"/>
  <c r="AJ239" i="10"/>
  <c r="AM239" i="10" s="1"/>
  <c r="AN239" i="10" s="1"/>
  <c r="AG661" i="10"/>
  <c r="AJ661" i="10"/>
  <c r="AG599" i="10"/>
  <c r="AJ599" i="10"/>
  <c r="AG1077" i="10"/>
  <c r="AJ1077" i="10"/>
  <c r="AG397" i="10"/>
  <c r="AJ397" i="10"/>
  <c r="AG1002" i="10"/>
  <c r="AJ1002" i="10"/>
  <c r="AJ496" i="10"/>
  <c r="AG496" i="10"/>
  <c r="AG1174" i="10"/>
  <c r="AJ1174" i="10"/>
  <c r="AG817" i="10"/>
  <c r="AJ817" i="10"/>
  <c r="AG309" i="10"/>
  <c r="AJ309" i="10"/>
  <c r="AG1049" i="10"/>
  <c r="AJ1049" i="10"/>
  <c r="AG510" i="10"/>
  <c r="AJ510" i="10"/>
  <c r="AG511" i="10"/>
  <c r="AJ511" i="10"/>
  <c r="AK18" i="10"/>
  <c r="AH18" i="10"/>
  <c r="AI18" i="10" s="1"/>
  <c r="AG338" i="10"/>
  <c r="AJ338" i="10"/>
  <c r="AG681" i="10"/>
  <c r="AJ681" i="10"/>
  <c r="AJ808" i="10"/>
  <c r="AM808" i="10" s="1"/>
  <c r="AN808" i="10" s="1"/>
  <c r="AG1137" i="10"/>
  <c r="AJ1137" i="10"/>
  <c r="AK586" i="10"/>
  <c r="AH586" i="10"/>
  <c r="AI586" i="10" s="1"/>
  <c r="AG643" i="10"/>
  <c r="AJ643" i="10"/>
  <c r="AJ703" i="10"/>
  <c r="AG703" i="10"/>
  <c r="AG505" i="10"/>
  <c r="AJ505" i="10"/>
  <c r="AG1125" i="10"/>
  <c r="AJ1125" i="10"/>
  <c r="AG679" i="10"/>
  <c r="AJ679" i="10"/>
  <c r="AJ1162" i="10"/>
  <c r="AG1162" i="10"/>
  <c r="AG1130" i="10"/>
  <c r="AJ1130" i="10"/>
  <c r="AG121" i="10"/>
  <c r="AJ121" i="10"/>
  <c r="AG1194" i="10"/>
  <c r="AJ1194" i="10"/>
  <c r="AJ1122" i="10"/>
  <c r="AG1122" i="10"/>
  <c r="AG793" i="10"/>
  <c r="AJ793" i="10"/>
  <c r="AG356" i="10"/>
  <c r="AJ356" i="10"/>
  <c r="AJ22" i="10"/>
  <c r="AG22" i="10"/>
  <c r="AM2" i="10"/>
  <c r="AN2" i="10" s="1"/>
  <c r="AG52" i="10"/>
  <c r="AJ52" i="10"/>
  <c r="AG319" i="10"/>
  <c r="AJ319" i="10"/>
  <c r="AJ1150" i="10"/>
  <c r="AG1150" i="10"/>
  <c r="AG238" i="10"/>
  <c r="AJ238" i="10"/>
  <c r="AG1167" i="10"/>
  <c r="AJ1167" i="10"/>
  <c r="AJ1133" i="10"/>
  <c r="AG1133" i="10"/>
  <c r="AG713" i="10"/>
  <c r="AJ713" i="10"/>
  <c r="AG281" i="10"/>
  <c r="AJ281" i="10"/>
  <c r="AG831" i="10"/>
  <c r="AJ831" i="10"/>
  <c r="AG603" i="10"/>
  <c r="AJ603" i="10"/>
  <c r="AG1025" i="10"/>
  <c r="AJ1025" i="10"/>
  <c r="AG846" i="10"/>
  <c r="AJ846" i="10"/>
  <c r="AJ1192" i="10"/>
  <c r="AG1192" i="10"/>
  <c r="AG282" i="10"/>
  <c r="AJ282" i="10"/>
  <c r="AG339" i="10"/>
  <c r="AJ339" i="10"/>
  <c r="AK1153" i="10"/>
  <c r="AJ830" i="10"/>
  <c r="AG830" i="10"/>
  <c r="AG138" i="10"/>
  <c r="AJ138" i="10"/>
  <c r="AJ447" i="10"/>
  <c r="AG447" i="10"/>
  <c r="AG227" i="10"/>
  <c r="AJ227" i="10"/>
  <c r="AJ320" i="10"/>
  <c r="AG320" i="10"/>
  <c r="AG575" i="10"/>
  <c r="AJ575" i="10"/>
  <c r="AG488" i="10"/>
  <c r="AJ488" i="10"/>
  <c r="AG334" i="10"/>
  <c r="AJ334" i="10"/>
  <c r="AG838" i="10"/>
  <c r="AJ838" i="10"/>
  <c r="AG271" i="10"/>
  <c r="AJ271" i="10"/>
  <c r="AJ923" i="10"/>
  <c r="AG923" i="10"/>
  <c r="AJ435" i="10"/>
  <c r="AG435" i="10"/>
  <c r="AG173" i="10"/>
  <c r="AJ173" i="10"/>
  <c r="AG667" i="10"/>
  <c r="AJ667" i="10"/>
  <c r="AG916" i="10"/>
  <c r="AJ916" i="10"/>
  <c r="AG752" i="10"/>
  <c r="AJ752" i="10"/>
  <c r="AJ608" i="10"/>
  <c r="AG608" i="10"/>
  <c r="AG1000" i="10"/>
  <c r="AJ1000" i="10"/>
  <c r="AG326" i="10"/>
  <c r="AJ326" i="10"/>
  <c r="AG427" i="10"/>
  <c r="AJ427" i="10"/>
  <c r="AG631" i="10"/>
  <c r="AJ631" i="10"/>
  <c r="AG221" i="10"/>
  <c r="AJ221" i="10"/>
  <c r="AG61" i="10"/>
  <c r="AJ61" i="10"/>
  <c r="AJ528" i="10"/>
  <c r="AG528" i="10"/>
  <c r="AG877" i="10"/>
  <c r="AJ877" i="10"/>
  <c r="AJ426" i="10"/>
  <c r="AG426" i="10"/>
  <c r="AG88" i="10"/>
  <c r="AH88" i="10" s="1"/>
  <c r="AI88" i="10" s="1"/>
  <c r="AJ88" i="10"/>
  <c r="AJ421" i="10"/>
  <c r="AG421" i="10"/>
  <c r="AG701" i="10"/>
  <c r="AJ701" i="10"/>
  <c r="AG828" i="10"/>
  <c r="AJ828" i="10"/>
  <c r="AG705" i="10"/>
  <c r="AJ705" i="10"/>
  <c r="AG869" i="10"/>
  <c r="AJ869" i="10"/>
  <c r="AG3" i="10"/>
  <c r="AJ3" i="10"/>
  <c r="AG128" i="10"/>
  <c r="AJ128" i="10"/>
  <c r="AJ971" i="10"/>
  <c r="AG971" i="10"/>
  <c r="AG243" i="10"/>
  <c r="AJ243" i="10"/>
  <c r="AG628" i="10"/>
  <c r="AJ628" i="10"/>
  <c r="AJ139" i="10"/>
  <c r="AM139" i="10" s="1"/>
  <c r="AN139" i="10" s="1"/>
  <c r="AJ278" i="10"/>
  <c r="AM278" i="10" s="1"/>
  <c r="AN278" i="10" s="1"/>
  <c r="AG823" i="10"/>
  <c r="AJ823" i="10"/>
  <c r="AG544" i="10"/>
  <c r="AJ544" i="10"/>
  <c r="AJ1069" i="10"/>
  <c r="AG1069" i="10"/>
  <c r="AG432" i="10"/>
  <c r="AJ432" i="10"/>
  <c r="AJ233" i="10"/>
  <c r="AG233" i="10"/>
  <c r="AG902" i="10"/>
  <c r="AJ902" i="10"/>
  <c r="AG622" i="10"/>
  <c r="AJ622" i="10"/>
  <c r="AG784" i="10"/>
  <c r="AJ784" i="10"/>
  <c r="AG331" i="10"/>
  <c r="AJ331" i="10"/>
  <c r="AG768" i="10"/>
  <c r="AJ768" i="10"/>
  <c r="AG386" i="10"/>
  <c r="AJ386" i="10"/>
  <c r="AG851" i="10"/>
  <c r="AJ851" i="10"/>
  <c r="AG4" i="10"/>
  <c r="AJ4" i="10"/>
  <c r="AG328" i="10"/>
  <c r="AJ328" i="10"/>
  <c r="AG722" i="10"/>
  <c r="AJ722" i="10"/>
  <c r="AJ437" i="10"/>
  <c r="AG437" i="10"/>
  <c r="AG216" i="10"/>
  <c r="AJ216" i="10"/>
  <c r="AG921" i="10"/>
  <c r="AJ921" i="10"/>
  <c r="AG131" i="10"/>
  <c r="AJ131" i="10"/>
  <c r="AG873" i="10"/>
  <c r="AJ873" i="10"/>
  <c r="AG1128" i="10"/>
  <c r="AJ1128" i="10"/>
  <c r="AJ832" i="10"/>
  <c r="AG832" i="10"/>
  <c r="AG1006" i="10"/>
  <c r="AJ1006" i="10"/>
  <c r="AK239" i="10"/>
  <c r="AH239" i="10"/>
  <c r="AI239" i="10" s="1"/>
  <c r="AG639" i="10"/>
  <c r="AJ639" i="10"/>
  <c r="AG449" i="10"/>
  <c r="AJ449" i="10"/>
  <c r="AG452" i="10"/>
  <c r="AJ452" i="10"/>
  <c r="AG1058" i="10"/>
  <c r="AJ1058" i="10"/>
  <c r="AJ1016" i="10"/>
  <c r="AG1016" i="10"/>
  <c r="AG770" i="10"/>
  <c r="AJ770" i="10"/>
  <c r="AJ433" i="10"/>
  <c r="AM433" i="10" s="1"/>
  <c r="AN433" i="10" s="1"/>
  <c r="AG842" i="10"/>
  <c r="AJ842" i="10"/>
  <c r="AJ490" i="10"/>
  <c r="AM490" i="10" s="1"/>
  <c r="AN490" i="10" s="1"/>
  <c r="AG112" i="10"/>
  <c r="AJ112" i="10"/>
  <c r="AG683" i="10"/>
  <c r="AJ683" i="10"/>
  <c r="AJ72" i="10"/>
  <c r="AM72" i="10" s="1"/>
  <c r="AN72" i="10" s="1"/>
  <c r="AG736" i="10"/>
  <c r="AJ736" i="10"/>
  <c r="AG810" i="10"/>
  <c r="AJ810" i="10"/>
  <c r="AG492" i="10"/>
  <c r="AJ492" i="10"/>
  <c r="AJ783" i="10"/>
  <c r="AM783" i="10" s="1"/>
  <c r="AN783" i="10" s="1"/>
  <c r="AG724" i="10"/>
  <c r="AJ724" i="10"/>
  <c r="AJ769" i="10"/>
  <c r="AM769" i="10" s="1"/>
  <c r="AN769" i="10" s="1"/>
  <c r="AG652" i="10"/>
  <c r="AJ652" i="10"/>
  <c r="AG443" i="10"/>
  <c r="AJ443" i="10"/>
  <c r="AJ589" i="10"/>
  <c r="AM589" i="10" s="1"/>
  <c r="AN589" i="10" s="1"/>
  <c r="AL589" i="10"/>
  <c r="AJ857" i="10"/>
  <c r="AM857" i="10" s="1"/>
  <c r="AN857" i="10" s="1"/>
  <c r="AL857" i="10"/>
  <c r="AG541" i="10"/>
  <c r="AJ541" i="10"/>
  <c r="AJ552" i="10"/>
  <c r="AG552" i="10"/>
  <c r="AG13" i="10"/>
  <c r="AJ13" i="10"/>
  <c r="AG84" i="10"/>
  <c r="AH84" i="10" s="1"/>
  <c r="AI84" i="10" s="1"/>
  <c r="AJ84" i="10"/>
  <c r="AG540" i="10"/>
  <c r="AJ540" i="10"/>
  <c r="AG698" i="10"/>
  <c r="AJ698" i="10"/>
  <c r="AG116" i="10"/>
  <c r="AJ116" i="10"/>
  <c r="AG560" i="10"/>
  <c r="AJ560" i="10"/>
  <c r="AG714" i="10"/>
  <c r="AJ714" i="10"/>
  <c r="AG973" i="10"/>
  <c r="AJ973" i="10"/>
  <c r="AG805" i="10"/>
  <c r="AJ805" i="10"/>
  <c r="AG864" i="10"/>
  <c r="AJ864" i="10"/>
  <c r="AG303" i="10"/>
  <c r="AJ303" i="10"/>
  <c r="AG1113" i="10"/>
  <c r="AJ1113" i="10"/>
  <c r="AG423" i="10"/>
  <c r="AJ423" i="10"/>
  <c r="AG237" i="10"/>
  <c r="AJ237" i="10"/>
  <c r="AG183" i="10"/>
  <c r="AJ183" i="10"/>
  <c r="AG676" i="10"/>
  <c r="AJ676" i="10"/>
  <c r="AG1119" i="10"/>
  <c r="AJ1119" i="10"/>
  <c r="AG1001" i="10"/>
  <c r="AJ1001" i="10"/>
  <c r="AG187" i="10"/>
  <c r="AJ187" i="10"/>
  <c r="AG625" i="10"/>
  <c r="AJ625" i="10"/>
  <c r="AJ130" i="10"/>
  <c r="AG130" i="10"/>
  <c r="AJ35" i="10"/>
  <c r="AG35" i="10"/>
  <c r="AG29" i="10"/>
  <c r="AJ29" i="10"/>
  <c r="AG67" i="10"/>
  <c r="AJ67" i="10"/>
  <c r="AG1023" i="10"/>
  <c r="AJ1023" i="10"/>
  <c r="AG1100" i="10"/>
  <c r="AJ1100" i="10"/>
  <c r="AG439" i="10"/>
  <c r="AJ439" i="10"/>
  <c r="AJ60" i="10"/>
  <c r="AG60" i="10"/>
  <c r="AG773" i="10"/>
  <c r="AJ773" i="10"/>
  <c r="AG1175" i="10"/>
  <c r="AJ1175" i="10"/>
  <c r="AG1047" i="10"/>
  <c r="AJ1047" i="10"/>
  <c r="AG245" i="10"/>
  <c r="AJ245" i="10"/>
  <c r="AG134" i="10"/>
  <c r="AJ134" i="10"/>
  <c r="AJ253" i="10"/>
  <c r="AG253" i="10"/>
  <c r="AJ99" i="10"/>
  <c r="AG99" i="10"/>
  <c r="AJ940" i="10"/>
  <c r="AM940" i="10" s="1"/>
  <c r="AN940" i="10" s="1"/>
  <c r="AG621" i="10"/>
  <c r="AJ621" i="10"/>
  <c r="AG394" i="10"/>
  <c r="AJ394" i="10"/>
  <c r="AG1068" i="10"/>
  <c r="AJ1068" i="10"/>
  <c r="AG1186" i="10"/>
  <c r="AJ1186" i="10"/>
  <c r="AG290" i="10"/>
  <c r="AJ290" i="10"/>
  <c r="AG93" i="10"/>
  <c r="AH93" i="10" s="1"/>
  <c r="AI93" i="10" s="1"/>
  <c r="AJ93" i="10"/>
  <c r="AG533" i="10"/>
  <c r="AJ533" i="10"/>
  <c r="AG791" i="10"/>
  <c r="AJ791" i="10"/>
  <c r="AG175" i="10"/>
  <c r="AJ175" i="10"/>
  <c r="AG613" i="10"/>
  <c r="AJ613" i="10"/>
  <c r="AG32" i="10"/>
  <c r="AJ32" i="10"/>
  <c r="AG471" i="10"/>
  <c r="AJ471" i="10"/>
  <c r="AJ115" i="10"/>
  <c r="AM115" i="10" s="1"/>
  <c r="AN115" i="10" s="1"/>
  <c r="AG1123" i="10"/>
  <c r="AJ1123" i="10"/>
  <c r="AG935" i="10"/>
  <c r="AJ935" i="10"/>
  <c r="AG1098" i="10"/>
  <c r="AJ1098" i="10"/>
  <c r="AG699" i="10"/>
  <c r="AJ699" i="10"/>
  <c r="AG649" i="10"/>
  <c r="AJ649" i="10"/>
  <c r="AG624" i="10"/>
  <c r="AJ624" i="10"/>
  <c r="AG23" i="10"/>
  <c r="AJ23" i="10"/>
  <c r="AJ430" i="10"/>
  <c r="AM430" i="10" s="1"/>
  <c r="AN430" i="10" s="1"/>
  <c r="AG888" i="10"/>
  <c r="AJ888" i="10"/>
  <c r="AJ374" i="10"/>
  <c r="AM374" i="10" s="1"/>
  <c r="AN374" i="10" s="1"/>
  <c r="AG75" i="10"/>
  <c r="AH75" i="10" s="1"/>
  <c r="AI75" i="10" s="1"/>
  <c r="AJ75" i="10"/>
  <c r="AG467" i="10"/>
  <c r="AJ467" i="10"/>
  <c r="AG584" i="10"/>
  <c r="AJ584" i="10"/>
  <c r="AG687" i="10"/>
  <c r="AJ687" i="10"/>
  <c r="AG1193" i="10"/>
  <c r="AJ1193" i="10"/>
  <c r="AG262" i="10"/>
  <c r="AJ262" i="10"/>
  <c r="AG1067" i="10"/>
  <c r="AJ1067" i="10"/>
  <c r="AG1117" i="10"/>
  <c r="AJ1117" i="10"/>
  <c r="AG852" i="10"/>
  <c r="AJ852" i="10"/>
  <c r="AG660" i="10"/>
  <c r="AJ660" i="10"/>
  <c r="AG1053" i="10"/>
  <c r="AJ1053" i="10"/>
  <c r="AG1081" i="10"/>
  <c r="AJ1081" i="10"/>
  <c r="AG702" i="10"/>
  <c r="AJ702" i="10"/>
  <c r="AG895" i="10"/>
  <c r="AJ895" i="10"/>
  <c r="AJ246" i="10"/>
  <c r="AG246" i="10"/>
  <c r="AG862" i="10"/>
  <c r="AJ862" i="10"/>
  <c r="AG410" i="10"/>
  <c r="AJ410" i="10"/>
  <c r="AG847" i="10"/>
  <c r="AJ847" i="10"/>
  <c r="AG92" i="10"/>
  <c r="AJ92" i="10"/>
  <c r="AG565" i="10"/>
  <c r="AJ565" i="10"/>
  <c r="AG485" i="10"/>
  <c r="AJ485" i="10"/>
  <c r="AG521" i="10"/>
  <c r="AJ521" i="10"/>
  <c r="AG890" i="10"/>
  <c r="AJ890" i="10"/>
  <c r="AJ894" i="10"/>
  <c r="AG894" i="10"/>
  <c r="AG976" i="10"/>
  <c r="AJ976" i="10"/>
  <c r="AG501" i="10"/>
  <c r="AJ501" i="10"/>
  <c r="AG181" i="10"/>
  <c r="AJ181" i="10"/>
  <c r="AG210" i="10"/>
  <c r="AJ210" i="10"/>
  <c r="AG151" i="10"/>
  <c r="AJ151" i="10"/>
  <c r="AG1102" i="10"/>
  <c r="AJ1102" i="10"/>
  <c r="AG729" i="10"/>
  <c r="AJ729" i="10"/>
  <c r="AG979" i="10"/>
  <c r="AJ979" i="10"/>
  <c r="AG1061" i="10"/>
  <c r="AJ1061" i="10"/>
  <c r="AG562" i="10"/>
  <c r="AJ562" i="10"/>
  <c r="AG946" i="10"/>
  <c r="AH946" i="10" s="1"/>
  <c r="AI946" i="10" s="1"/>
  <c r="AJ946" i="10"/>
  <c r="AJ21" i="10"/>
  <c r="AG21" i="10"/>
  <c r="AG11" i="10"/>
  <c r="AJ11" i="10"/>
  <c r="AG671" i="10"/>
  <c r="AJ671" i="10"/>
  <c r="AG191" i="10"/>
  <c r="AH191" i="10" s="1"/>
  <c r="AI191" i="10" s="1"/>
  <c r="AJ191" i="10"/>
  <c r="AG612" i="10"/>
  <c r="AJ612" i="10"/>
  <c r="AG674" i="10"/>
  <c r="AJ674" i="10"/>
  <c r="AG357" i="10"/>
  <c r="AJ357" i="10"/>
  <c r="AG1152" i="10"/>
  <c r="AJ1152" i="10"/>
  <c r="AJ150" i="10"/>
  <c r="AG150" i="10"/>
  <c r="AG62" i="10"/>
  <c r="AJ62" i="10"/>
  <c r="AJ654" i="10"/>
  <c r="AG654" i="10"/>
  <c r="AG655" i="10"/>
  <c r="AJ655" i="10"/>
  <c r="AG193" i="10"/>
  <c r="AJ193" i="10"/>
  <c r="AG980" i="10"/>
  <c r="AJ980" i="10"/>
  <c r="AG554" i="10"/>
  <c r="AJ554" i="10"/>
  <c r="AG235" i="10"/>
  <c r="AJ235" i="10"/>
  <c r="AG136" i="10"/>
  <c r="AJ136" i="10"/>
  <c r="AG751" i="10"/>
  <c r="AJ751" i="10"/>
  <c r="AG569" i="10"/>
  <c r="AJ569" i="10"/>
  <c r="AG1073" i="10"/>
  <c r="AJ1073" i="10"/>
  <c r="AJ811" i="10"/>
  <c r="AG811" i="10"/>
  <c r="AG196" i="10"/>
  <c r="AJ196" i="10"/>
  <c r="AG553" i="10"/>
  <c r="AJ553" i="10"/>
  <c r="AG335" i="10"/>
  <c r="AH335" i="10" s="1"/>
  <c r="AI335" i="10" s="1"/>
  <c r="AJ335" i="10"/>
  <c r="AG360" i="10"/>
  <c r="AJ360" i="10"/>
  <c r="AG1141" i="10"/>
  <c r="AJ1141" i="10"/>
  <c r="AG28" i="10"/>
  <c r="AH28" i="10" s="1"/>
  <c r="AI28" i="10" s="1"/>
  <c r="AJ28" i="10"/>
  <c r="AG516" i="10"/>
  <c r="AJ516" i="10"/>
  <c r="AJ988" i="10"/>
  <c r="AG988" i="10"/>
  <c r="AG302" i="10"/>
  <c r="AJ302" i="10"/>
  <c r="AG799" i="10"/>
  <c r="AH799" i="10" s="1"/>
  <c r="AI799" i="10" s="1"/>
  <c r="AJ799" i="10"/>
  <c r="AG860" i="10"/>
  <c r="AJ860" i="10"/>
  <c r="AG677" i="10"/>
  <c r="AJ677" i="10"/>
  <c r="AJ1044" i="10"/>
  <c r="AG1044" i="10"/>
  <c r="AG200" i="10"/>
  <c r="AJ200" i="10"/>
  <c r="AG966" i="10"/>
  <c r="AJ966" i="10"/>
  <c r="AG1145" i="10"/>
  <c r="AJ1145" i="10"/>
  <c r="AG531" i="10"/>
  <c r="AJ531" i="10"/>
  <c r="AG336" i="10"/>
  <c r="AJ336" i="10"/>
  <c r="AG672" i="10"/>
  <c r="AJ672" i="10"/>
  <c r="AG786" i="10"/>
  <c r="AJ786" i="10"/>
  <c r="AG1121" i="10"/>
  <c r="AJ1121" i="10"/>
  <c r="AG1026" i="10"/>
  <c r="AJ1026" i="10"/>
  <c r="AJ648" i="10"/>
  <c r="AM648" i="10" s="1"/>
  <c r="AN648" i="10" s="1"/>
  <c r="AL648" i="10"/>
  <c r="AG557" i="10"/>
  <c r="AJ557" i="10"/>
  <c r="AG775" i="10"/>
  <c r="AJ775" i="10"/>
  <c r="AG868" i="10"/>
  <c r="AJ868" i="10"/>
  <c r="AG1043" i="10"/>
  <c r="AJ1043" i="10"/>
  <c r="AJ551" i="10"/>
  <c r="AG551" i="10"/>
  <c r="AG959" i="10"/>
  <c r="AJ959" i="10"/>
  <c r="AG1083" i="10"/>
  <c r="AJ1083" i="10"/>
  <c r="AG711" i="10"/>
  <c r="AJ711" i="10"/>
  <c r="AG987" i="10"/>
  <c r="AJ987" i="10"/>
  <c r="AG821" i="10"/>
  <c r="AJ821" i="10"/>
  <c r="AG930" i="10"/>
  <c r="AJ930" i="10"/>
  <c r="AG203" i="10"/>
  <c r="AJ203" i="10"/>
  <c r="AG207" i="10"/>
  <c r="AJ207" i="10"/>
  <c r="AG322" i="10"/>
  <c r="AJ322" i="10"/>
  <c r="AG996" i="10"/>
  <c r="AJ996" i="10"/>
  <c r="AG345" i="10"/>
  <c r="AJ345" i="10"/>
  <c r="AG991" i="10"/>
  <c r="AJ991" i="10"/>
  <c r="AG257" i="10"/>
  <c r="AJ257" i="10"/>
  <c r="AG436" i="10"/>
  <c r="AJ436" i="10"/>
  <c r="AG1008" i="10"/>
  <c r="AJ1008" i="10"/>
  <c r="AG539" i="10"/>
  <c r="AJ539" i="10"/>
  <c r="AG418" i="10"/>
  <c r="AJ418" i="10"/>
  <c r="AG473" i="10"/>
  <c r="AJ473" i="10"/>
  <c r="AG381" i="10"/>
  <c r="AJ381" i="10"/>
  <c r="AG583" i="10"/>
  <c r="AJ583" i="10"/>
  <c r="AG716" i="10"/>
  <c r="AJ716" i="10"/>
  <c r="AG287" i="10"/>
  <c r="AJ287" i="10"/>
  <c r="AG789" i="10"/>
  <c r="AJ789" i="10"/>
  <c r="AG110" i="10"/>
  <c r="AJ110" i="10"/>
  <c r="AJ94" i="10"/>
  <c r="AM94" i="10" s="1"/>
  <c r="AN94" i="10" s="1"/>
  <c r="AG1041" i="10"/>
  <c r="AJ1041" i="10"/>
  <c r="AG880" i="10"/>
  <c r="AJ880" i="10"/>
  <c r="AG746" i="10"/>
  <c r="AJ746" i="10"/>
  <c r="AG849" i="10"/>
  <c r="AJ849" i="10"/>
  <c r="AK430" i="10"/>
  <c r="AH430" i="10"/>
  <c r="AI430" i="10" s="1"/>
  <c r="AG1088" i="10"/>
  <c r="AJ1088" i="10"/>
  <c r="AG420" i="10"/>
  <c r="AJ420" i="10"/>
  <c r="AJ133" i="10"/>
  <c r="AG133" i="10"/>
  <c r="AG160" i="10"/>
  <c r="AJ160" i="10"/>
  <c r="AJ344" i="10"/>
  <c r="AG344" i="10"/>
  <c r="AG149" i="10"/>
  <c r="AJ149" i="10"/>
  <c r="AG963" i="10"/>
  <c r="AJ963" i="10"/>
  <c r="AJ596" i="10"/>
  <c r="AM596" i="10" s="1"/>
  <c r="AN596" i="10" s="1"/>
  <c r="AG986" i="10"/>
  <c r="AJ986" i="10"/>
  <c r="AG907" i="10"/>
  <c r="AJ907" i="10"/>
  <c r="AG31" i="10"/>
  <c r="AJ31" i="10"/>
  <c r="AG743" i="10"/>
  <c r="AJ743" i="10"/>
  <c r="AG641" i="10"/>
  <c r="AJ641" i="10"/>
  <c r="AG283" i="10"/>
  <c r="AJ283" i="10"/>
  <c r="AG304" i="10"/>
  <c r="AJ304" i="10"/>
  <c r="AG999" i="10"/>
  <c r="AJ999" i="10"/>
  <c r="AG401" i="10"/>
  <c r="AJ401" i="10"/>
  <c r="AG266" i="10"/>
  <c r="AJ266" i="10"/>
  <c r="AG477" i="10"/>
  <c r="AJ477" i="10"/>
  <c r="AG313" i="10"/>
  <c r="AJ313" i="10"/>
  <c r="AG1020" i="10"/>
  <c r="AJ1020" i="10"/>
  <c r="AG315" i="10"/>
  <c r="AJ315" i="10"/>
  <c r="AG242" i="10"/>
  <c r="AJ242" i="10"/>
  <c r="AG208" i="10"/>
  <c r="AJ208" i="10"/>
  <c r="AG20" i="10"/>
  <c r="AJ20" i="10"/>
  <c r="AG194" i="10"/>
  <c r="AJ194" i="10"/>
  <c r="AG296" i="10"/>
  <c r="AJ296" i="10"/>
  <c r="AG1055" i="10"/>
  <c r="AJ1055" i="10"/>
  <c r="AK769" i="10"/>
  <c r="AH769" i="10"/>
  <c r="AI769" i="10" s="1"/>
  <c r="AG1010" i="10"/>
  <c r="AJ1010" i="10"/>
  <c r="AG887" i="10"/>
  <c r="AJ887" i="10"/>
  <c r="AG732" i="10"/>
  <c r="AJ732" i="10"/>
  <c r="AG1159" i="10"/>
  <c r="AJ1159" i="10"/>
  <c r="AG512" i="10"/>
  <c r="AJ512" i="10"/>
  <c r="AG155" i="10"/>
  <c r="AJ155" i="10"/>
  <c r="AG1076" i="10"/>
  <c r="AJ1076" i="10"/>
  <c r="AG573" i="10"/>
  <c r="AJ573" i="10"/>
  <c r="AG582" i="10"/>
  <c r="AJ582" i="10"/>
  <c r="AG685" i="10"/>
  <c r="AJ685" i="10"/>
  <c r="AG749" i="10"/>
  <c r="AJ749" i="10"/>
  <c r="AG444" i="10"/>
  <c r="AJ444" i="10"/>
  <c r="AG1187" i="10"/>
  <c r="AJ1187" i="10"/>
  <c r="AG1037" i="10"/>
  <c r="AJ1037" i="10"/>
  <c r="AG284" i="10"/>
  <c r="AJ284" i="10"/>
  <c r="AG759" i="10"/>
  <c r="AJ759" i="10"/>
  <c r="AG1050" i="10"/>
  <c r="AJ1050" i="10"/>
  <c r="AG478" i="10"/>
  <c r="AJ478" i="10"/>
  <c r="AG604" i="10"/>
  <c r="AJ604" i="10"/>
  <c r="AG520" i="10"/>
  <c r="AJ520" i="10"/>
  <c r="AG506" i="10"/>
  <c r="AJ506" i="10"/>
  <c r="AG602" i="10"/>
  <c r="AJ602" i="10"/>
  <c r="AG153" i="10"/>
  <c r="AJ153" i="10"/>
  <c r="AG836" i="10"/>
  <c r="AJ836" i="10"/>
  <c r="AG1085" i="10"/>
  <c r="AJ1085" i="10"/>
  <c r="AG1063" i="10"/>
  <c r="AJ1063" i="10"/>
  <c r="AG337" i="10"/>
  <c r="AJ337" i="10"/>
  <c r="AG448" i="10"/>
  <c r="AJ448" i="10"/>
  <c r="AJ157" i="10"/>
  <c r="AM157" i="10" s="1"/>
  <c r="AN157" i="10" s="1"/>
  <c r="AG690" i="10"/>
  <c r="AJ690" i="10"/>
  <c r="AG720" i="10"/>
  <c r="AJ720" i="10"/>
  <c r="AJ162" i="10"/>
  <c r="AM162" i="10" s="1"/>
  <c r="AN162" i="10" s="1"/>
  <c r="AG704" i="10"/>
  <c r="AJ704" i="10"/>
  <c r="AG222" i="10"/>
  <c r="AJ222" i="10"/>
  <c r="AG577" i="10"/>
  <c r="AJ577" i="10"/>
  <c r="AG659" i="10"/>
  <c r="AJ659" i="10"/>
  <c r="AG804" i="10"/>
  <c r="AJ804" i="10"/>
  <c r="AG77" i="10"/>
  <c r="AJ77" i="10"/>
  <c r="AG1091" i="10"/>
  <c r="AJ1091" i="10"/>
  <c r="AG462" i="10"/>
  <c r="AJ462" i="10"/>
  <c r="AG1184" i="10"/>
  <c r="AJ1184" i="10"/>
  <c r="AG798" i="10"/>
  <c r="AJ798" i="10"/>
  <c r="AG874" i="10"/>
  <c r="AJ874" i="10"/>
  <c r="AG10" i="10"/>
  <c r="AJ10" i="10"/>
  <c r="AG107" i="10"/>
  <c r="AJ107" i="10"/>
  <c r="AG1099" i="10"/>
  <c r="AJ1099" i="10"/>
  <c r="AG985" i="10"/>
  <c r="AJ985" i="10"/>
  <c r="AG1052" i="10"/>
  <c r="AJ1052" i="10"/>
  <c r="AG909" i="10"/>
  <c r="AJ909" i="10"/>
  <c r="AJ469" i="10"/>
  <c r="AG469" i="10"/>
  <c r="AG274" i="10"/>
  <c r="AJ274" i="10"/>
  <c r="AG201" i="10"/>
  <c r="AJ201" i="10"/>
  <c r="AG937" i="10"/>
  <c r="AJ937" i="10"/>
  <c r="AJ726" i="10"/>
  <c r="AM726" i="10" s="1"/>
  <c r="AN726" i="10" s="1"/>
  <c r="AG719" i="10"/>
  <c r="AJ719" i="10"/>
  <c r="AG1146" i="10"/>
  <c r="AJ1146" i="10"/>
  <c r="AG974" i="10"/>
  <c r="AJ974" i="10"/>
  <c r="AG579" i="10"/>
  <c r="AJ579" i="10"/>
  <c r="AG931" i="10"/>
  <c r="AJ931" i="10"/>
  <c r="AG1013" i="10"/>
  <c r="AJ1013" i="10"/>
  <c r="AJ47" i="10"/>
  <c r="AM47" i="10" s="1"/>
  <c r="AN47" i="10" s="1"/>
  <c r="AG737" i="10"/>
  <c r="AJ737" i="10"/>
  <c r="AG845" i="10"/>
  <c r="AJ845" i="10"/>
  <c r="AJ594" i="10"/>
  <c r="AG594" i="10"/>
  <c r="AG651" i="10"/>
  <c r="AJ651" i="10"/>
  <c r="AG1042" i="10"/>
  <c r="AJ1042" i="10"/>
  <c r="AG893" i="10"/>
  <c r="AJ893" i="10"/>
  <c r="AG190" i="10"/>
  <c r="AH190" i="10" s="1"/>
  <c r="AI190" i="10" s="1"/>
  <c r="AJ190" i="10"/>
  <c r="AK94" i="10"/>
  <c r="AH94" i="10"/>
  <c r="AI94" i="10" s="1"/>
  <c r="AJ570" i="10"/>
  <c r="AG570" i="10"/>
  <c r="AG223" i="10"/>
  <c r="AJ223" i="10"/>
  <c r="AG264" i="10"/>
  <c r="AJ264" i="10"/>
  <c r="AG812" i="10"/>
  <c r="AJ812" i="10"/>
  <c r="AJ42" i="10"/>
  <c r="AM42" i="10" s="1"/>
  <c r="AN42" i="10" s="1"/>
  <c r="AG102" i="10"/>
  <c r="AJ102" i="10"/>
  <c r="AG899" i="10"/>
  <c r="AJ899" i="10"/>
  <c r="AJ668" i="10"/>
  <c r="AM668" i="10" s="1"/>
  <c r="AN668" i="10" s="1"/>
  <c r="AJ202" i="10"/>
  <c r="AG202" i="10"/>
  <c r="AG581" i="10"/>
  <c r="AJ581" i="10"/>
  <c r="AG324" i="10"/>
  <c r="AJ324" i="10"/>
  <c r="AG369" i="10"/>
  <c r="AJ369" i="10"/>
  <c r="AJ1138" i="10"/>
  <c r="AG1138" i="10"/>
  <c r="AG7" i="10"/>
  <c r="AJ7" i="10"/>
  <c r="AG422" i="10"/>
  <c r="AH422" i="10" s="1"/>
  <c r="AI422" i="10" s="1"/>
  <c r="AJ422" i="10"/>
  <c r="AG919" i="10"/>
  <c r="AJ919" i="10"/>
  <c r="AG1135" i="10"/>
  <c r="AJ1135" i="10"/>
  <c r="AG854" i="10"/>
  <c r="AJ854" i="10"/>
  <c r="AJ633" i="10"/>
  <c r="AG633" i="10"/>
  <c r="AG276" i="10"/>
  <c r="AJ276" i="10"/>
  <c r="AG388" i="10"/>
  <c r="AJ388" i="10"/>
  <c r="AG918" i="10"/>
  <c r="AJ918" i="10"/>
  <c r="AG618" i="10"/>
  <c r="AJ618" i="10"/>
  <c r="AG717" i="10"/>
  <c r="AJ717" i="10"/>
  <c r="AG822" i="10"/>
  <c r="AJ822" i="10"/>
  <c r="AG104" i="10"/>
  <c r="AJ104" i="10"/>
  <c r="AG45" i="10"/>
  <c r="AJ45" i="10"/>
  <c r="AG861" i="10"/>
  <c r="AJ861" i="10"/>
  <c r="AG952" i="10"/>
  <c r="AJ952" i="10"/>
  <c r="AG482" i="10"/>
  <c r="AJ482" i="10"/>
  <c r="AG248" i="10"/>
  <c r="AH248" i="10" s="1"/>
  <c r="AI248" i="10" s="1"/>
  <c r="AJ248" i="10"/>
  <c r="AG204" i="10"/>
  <c r="AJ204" i="10"/>
  <c r="AG517" i="10"/>
  <c r="AJ517" i="10"/>
  <c r="AG49" i="10"/>
  <c r="AJ49" i="10"/>
  <c r="AJ611" i="10"/>
  <c r="AG611" i="10"/>
  <c r="AG638" i="10"/>
  <c r="AJ638" i="10"/>
  <c r="AG404" i="10"/>
  <c r="AJ404" i="10"/>
  <c r="AG578" i="10"/>
  <c r="AJ578" i="10"/>
  <c r="AG252" i="10"/>
  <c r="AJ252" i="10"/>
  <c r="AG723" i="10"/>
  <c r="AJ723" i="10"/>
  <c r="AG576" i="10"/>
  <c r="AJ576" i="10"/>
  <c r="AG949" i="10"/>
  <c r="AJ949" i="10"/>
  <c r="AG1179" i="10"/>
  <c r="AJ1179" i="10"/>
  <c r="AG753" i="10"/>
  <c r="AJ753" i="10"/>
  <c r="AG24" i="10"/>
  <c r="AJ24" i="10"/>
  <c r="AG807" i="10"/>
  <c r="AJ807" i="10"/>
  <c r="AG1031" i="10"/>
  <c r="AJ1031" i="10"/>
  <c r="AG1172" i="10"/>
  <c r="AJ1172" i="10"/>
  <c r="AG63" i="10"/>
  <c r="AJ63" i="10"/>
  <c r="AG525" i="10"/>
  <c r="AJ525" i="10"/>
  <c r="AG1124" i="10"/>
  <c r="AJ1124" i="10"/>
  <c r="AG840" i="10"/>
  <c r="AJ840" i="10"/>
  <c r="AG691" i="10"/>
  <c r="AJ691" i="10"/>
  <c r="AK47" i="10"/>
  <c r="AH47" i="10"/>
  <c r="AI47" i="10" s="1"/>
  <c r="AG867" i="10"/>
  <c r="AJ867" i="10"/>
  <c r="AJ318" i="10"/>
  <c r="AM318" i="10" s="1"/>
  <c r="AN318" i="10" s="1"/>
  <c r="AG1060" i="10"/>
  <c r="AJ1060" i="10"/>
  <c r="AG731" i="10"/>
  <c r="AJ731" i="10"/>
  <c r="AG615" i="10"/>
  <c r="AJ615" i="10"/>
  <c r="AG55" i="10"/>
  <c r="AJ55" i="10"/>
  <c r="AJ663" i="10"/>
  <c r="AM663" i="10" s="1"/>
  <c r="AN663" i="10" s="1"/>
  <c r="AJ1017" i="10"/>
  <c r="AG1017" i="10"/>
  <c r="AJ1066" i="10"/>
  <c r="AG1066" i="10"/>
  <c r="AG132" i="10"/>
  <c r="AJ132" i="10"/>
  <c r="AJ310" i="10"/>
  <c r="AM310" i="10" s="1"/>
  <c r="AN310" i="10" s="1"/>
  <c r="AJ813" i="10"/>
  <c r="AG813" i="10"/>
  <c r="AJ689" i="10"/>
  <c r="AG689" i="10"/>
  <c r="AG809" i="10"/>
  <c r="AJ809" i="10"/>
  <c r="AJ614" i="10"/>
  <c r="AM614" i="10" s="1"/>
  <c r="AN614" i="10" s="1"/>
  <c r="AJ818" i="10"/>
  <c r="AG818" i="10"/>
  <c r="AH818" i="10" s="1"/>
  <c r="AI818" i="10" s="1"/>
  <c r="AG797" i="10"/>
  <c r="AJ797" i="10"/>
  <c r="H10" i="18" l="1"/>
  <c r="AH638" i="10"/>
  <c r="AI638" i="10" s="1"/>
  <c r="AK638" i="10"/>
  <c r="AH689" i="10"/>
  <c r="AI689" i="10" s="1"/>
  <c r="AK689" i="10"/>
  <c r="AH231" i="10"/>
  <c r="AI231" i="10" s="1"/>
  <c r="AK231" i="10"/>
  <c r="AH510" i="10"/>
  <c r="AI510" i="10" s="1"/>
  <c r="AK510" i="10"/>
  <c r="AH402" i="10"/>
  <c r="AI402" i="10" s="1"/>
  <c r="AK402" i="10"/>
  <c r="AM715" i="10"/>
  <c r="AN715" i="10" s="1"/>
  <c r="AM108" i="10"/>
  <c r="AN108" i="10" s="1"/>
  <c r="AM1092" i="10"/>
  <c r="AN1092" i="10" s="1"/>
  <c r="AM559" i="10"/>
  <c r="AN559" i="10" s="1"/>
  <c r="AM538" i="10"/>
  <c r="AN538" i="10" s="1"/>
  <c r="AM103" i="10"/>
  <c r="AN103" i="10" s="1"/>
  <c r="AM905" i="10"/>
  <c r="AN905" i="10" s="1"/>
  <c r="AM1160" i="10"/>
  <c r="AN1160" i="10" s="1"/>
  <c r="AM1074" i="10"/>
  <c r="AN1074" i="10" s="1"/>
  <c r="AM910" i="10"/>
  <c r="AN910" i="10" s="1"/>
  <c r="AM384" i="10"/>
  <c r="AN384" i="10" s="1"/>
  <c r="AM1183" i="10"/>
  <c r="AN1183" i="10" s="1"/>
  <c r="AM1182" i="10"/>
  <c r="AN1182" i="10" s="1"/>
  <c r="AM1011" i="10"/>
  <c r="AN1011" i="10" s="1"/>
  <c r="AM312" i="10"/>
  <c r="AN312" i="10" s="1"/>
  <c r="AM780" i="10"/>
  <c r="AN780" i="10" s="1"/>
  <c r="AM748" i="10"/>
  <c r="AN748" i="10" s="1"/>
  <c r="AM277" i="10"/>
  <c r="AN277" i="10" s="1"/>
  <c r="AM174" i="10"/>
  <c r="AN174" i="10" s="1"/>
  <c r="AM515" i="10"/>
  <c r="AN515" i="10" s="1"/>
  <c r="AM1124" i="10"/>
  <c r="AN1124" i="10" s="1"/>
  <c r="AM753" i="10"/>
  <c r="AN753" i="10" s="1"/>
  <c r="AM404" i="10"/>
  <c r="AN404" i="10" s="1"/>
  <c r="AM482" i="10"/>
  <c r="AN482" i="10" s="1"/>
  <c r="AM618" i="10"/>
  <c r="AN618" i="10" s="1"/>
  <c r="AM919" i="10"/>
  <c r="AN919" i="10" s="1"/>
  <c r="AM845" i="10"/>
  <c r="AN845" i="10" s="1"/>
  <c r="AM1052" i="10"/>
  <c r="AN1052" i="10" s="1"/>
  <c r="AM1184" i="10"/>
  <c r="AN1184" i="10" s="1"/>
  <c r="AM222" i="10"/>
  <c r="AN222" i="10" s="1"/>
  <c r="AM1063" i="10"/>
  <c r="AN1063" i="10" s="1"/>
  <c r="AM604" i="10"/>
  <c r="AN604" i="10" s="1"/>
  <c r="AM444" i="10"/>
  <c r="AN444" i="10" s="1"/>
  <c r="AM512" i="10"/>
  <c r="AN512" i="10" s="1"/>
  <c r="AM296" i="10"/>
  <c r="AN296" i="10" s="1"/>
  <c r="AM313" i="10"/>
  <c r="AN313" i="10" s="1"/>
  <c r="AM641" i="10"/>
  <c r="AN641" i="10" s="1"/>
  <c r="AM716" i="10"/>
  <c r="AN716" i="10" s="1"/>
  <c r="AM436" i="10"/>
  <c r="AN436" i="10" s="1"/>
  <c r="AM203" i="10"/>
  <c r="AN203" i="10" s="1"/>
  <c r="AM1121" i="10"/>
  <c r="AN1121" i="10" s="1"/>
  <c r="AM200" i="10"/>
  <c r="AN200" i="10" s="1"/>
  <c r="AM516" i="10"/>
  <c r="AN516" i="10" s="1"/>
  <c r="AM980" i="10"/>
  <c r="AN980" i="10" s="1"/>
  <c r="AM357" i="10"/>
  <c r="AN357" i="10" s="1"/>
  <c r="AM946" i="10"/>
  <c r="AN946" i="10" s="1"/>
  <c r="AM210" i="10"/>
  <c r="AN210" i="10" s="1"/>
  <c r="AM485" i="10"/>
  <c r="AN485" i="10" s="1"/>
  <c r="AM895" i="10"/>
  <c r="AN895" i="10" s="1"/>
  <c r="AM1067" i="10"/>
  <c r="AN1067" i="10" s="1"/>
  <c r="AM935" i="10"/>
  <c r="AN935" i="10" s="1"/>
  <c r="AH331" i="10"/>
  <c r="AI331" i="10" s="1"/>
  <c r="AK331" i="10"/>
  <c r="AH765" i="10"/>
  <c r="AI765" i="10" s="1"/>
  <c r="AK765" i="10"/>
  <c r="AH78" i="10"/>
  <c r="AI78" i="10" s="1"/>
  <c r="AK78" i="10"/>
  <c r="AH823" i="10"/>
  <c r="AI823" i="10" s="1"/>
  <c r="AK823" i="10"/>
  <c r="AH14" i="10"/>
  <c r="AI14" i="10" s="1"/>
  <c r="AK14" i="10"/>
  <c r="AH82" i="10"/>
  <c r="AI82" i="10" s="1"/>
  <c r="AK82" i="10"/>
  <c r="AH322" i="10"/>
  <c r="AI322" i="10" s="1"/>
  <c r="AK322" i="10"/>
  <c r="AH302" i="10"/>
  <c r="AI302" i="10" s="1"/>
  <c r="AK302" i="10"/>
  <c r="AH553" i="10"/>
  <c r="AI553" i="10" s="1"/>
  <c r="AK553" i="10"/>
  <c r="AH532" i="10"/>
  <c r="AI532" i="10" s="1"/>
  <c r="AK532" i="10"/>
  <c r="AH567" i="10"/>
  <c r="AI567" i="10" s="1"/>
  <c r="AK567" i="10"/>
  <c r="AH566" i="10"/>
  <c r="AI566" i="10" s="1"/>
  <c r="AK566" i="10"/>
  <c r="AH58" i="10"/>
  <c r="AI58" i="10" s="1"/>
  <c r="AK58" i="10"/>
  <c r="AH733" i="10"/>
  <c r="AI733" i="10" s="1"/>
  <c r="AK733" i="10"/>
  <c r="AH707" i="10"/>
  <c r="AI707" i="10" s="1"/>
  <c r="AK707" i="10"/>
  <c r="AH441" i="10"/>
  <c r="AI441" i="10" s="1"/>
  <c r="AK441" i="10"/>
  <c r="AH621" i="10"/>
  <c r="AI621" i="10" s="1"/>
  <c r="AK621" i="10"/>
  <c r="AH126" i="10"/>
  <c r="AI126" i="10" s="1"/>
  <c r="AK126" i="10"/>
  <c r="AH414" i="10"/>
  <c r="AI414" i="10" s="1"/>
  <c r="AK414" i="10"/>
  <c r="AH46" i="10"/>
  <c r="AI46" i="10" s="1"/>
  <c r="AK46" i="10"/>
  <c r="AH494" i="10"/>
  <c r="AI494" i="10" s="1"/>
  <c r="AK494" i="10"/>
  <c r="AH321" i="10"/>
  <c r="AI321" i="10" s="1"/>
  <c r="AK321" i="10"/>
  <c r="J20" i="18"/>
  <c r="K21" i="18" a="1"/>
  <c r="K21" i="18" s="1"/>
  <c r="L20" i="18"/>
  <c r="AH132" i="10"/>
  <c r="AI132" i="10" s="1"/>
  <c r="AK132" i="10"/>
  <c r="AH560" i="10"/>
  <c r="AI560" i="10" s="1"/>
  <c r="AK560" i="10"/>
  <c r="H11" i="18"/>
  <c r="O21" i="18"/>
  <c r="P22" i="18" a="1"/>
  <c r="P22" i="18" s="1"/>
  <c r="Q21" i="18"/>
  <c r="AM1060" i="10"/>
  <c r="AN1060" i="10" s="1"/>
  <c r="AM146" i="10"/>
  <c r="AN146" i="10" s="1"/>
  <c r="AM464" i="10"/>
  <c r="AN464" i="10" s="1"/>
  <c r="AM1178" i="10"/>
  <c r="AN1178" i="10" s="1"/>
  <c r="AM730" i="10"/>
  <c r="AN730" i="10" s="1"/>
  <c r="AM556" i="10"/>
  <c r="AN556" i="10" s="1"/>
  <c r="AM231" i="10"/>
  <c r="AN231" i="10" s="1"/>
  <c r="AM66" i="10"/>
  <c r="AN66" i="10" s="1"/>
  <c r="AM507" i="10"/>
  <c r="AN507" i="10" s="1"/>
  <c r="AM781" i="10"/>
  <c r="AN781" i="10" s="1"/>
  <c r="AM519" i="10"/>
  <c r="AN519" i="10" s="1"/>
  <c r="AM606" i="10"/>
  <c r="AN606" i="10" s="1"/>
  <c r="AM1071" i="10"/>
  <c r="AN1071" i="10" s="1"/>
  <c r="AM176" i="10"/>
  <c r="AN176" i="10" s="1"/>
  <c r="AM835" i="10"/>
  <c r="AN835" i="10" s="1"/>
  <c r="AM590" i="10"/>
  <c r="AN590" i="10" s="1"/>
  <c r="AM948" i="10"/>
  <c r="AN948" i="10" s="1"/>
  <c r="AM79" i="10"/>
  <c r="AN79" i="10" s="1"/>
  <c r="AM1062" i="10"/>
  <c r="AN1062" i="10" s="1"/>
  <c r="AM1142" i="10"/>
  <c r="AN1142" i="10" s="1"/>
  <c r="AM792" i="10"/>
  <c r="AN792" i="10" s="1"/>
  <c r="AM33" i="10"/>
  <c r="AN33" i="10" s="1"/>
  <c r="AM129" i="10"/>
  <c r="AN129" i="10" s="1"/>
  <c r="AM164" i="10"/>
  <c r="AN164" i="10" s="1"/>
  <c r="AM217" i="10"/>
  <c r="AN217" i="10" s="1"/>
  <c r="AM656" i="10"/>
  <c r="AN656" i="10" s="1"/>
  <c r="AM347" i="10"/>
  <c r="AN347" i="10" s="1"/>
  <c r="AM465" i="10"/>
  <c r="AN465" i="10" s="1"/>
  <c r="AM1165" i="10"/>
  <c r="AN1165" i="10" s="1"/>
  <c r="AM135" i="10"/>
  <c r="AN135" i="10" s="1"/>
  <c r="AM273" i="10"/>
  <c r="AN273" i="10" s="1"/>
  <c r="AM1105" i="10"/>
  <c r="AN1105" i="10" s="1"/>
  <c r="AM826" i="10"/>
  <c r="AN826" i="10" s="1"/>
  <c r="AM564" i="10"/>
  <c r="AN564" i="10" s="1"/>
  <c r="AM585" i="10"/>
  <c r="AN585" i="10" s="1"/>
  <c r="AM1012" i="10"/>
  <c r="AN1012" i="10" s="1"/>
  <c r="AM414" i="10"/>
  <c r="AN414" i="10" s="1"/>
  <c r="AM524" i="10"/>
  <c r="AN524" i="10" s="1"/>
  <c r="AM234" i="10"/>
  <c r="AN234" i="10" s="1"/>
  <c r="AM899" i="10"/>
  <c r="AN899" i="10" s="1"/>
  <c r="AM160" i="10"/>
  <c r="AN160" i="10" s="1"/>
  <c r="AM880" i="10"/>
  <c r="AN880" i="10" s="1"/>
  <c r="AM93" i="10"/>
  <c r="AN93" i="10" s="1"/>
  <c r="AM88" i="10"/>
  <c r="AN88" i="10" s="1"/>
  <c r="AM427" i="10"/>
  <c r="AN427" i="10" s="1"/>
  <c r="AM173" i="10"/>
  <c r="AN173" i="10" s="1"/>
  <c r="AM575" i="10"/>
  <c r="AN575" i="10" s="1"/>
  <c r="AM1130" i="10"/>
  <c r="AN1130" i="10" s="1"/>
  <c r="AM692" i="10"/>
  <c r="AN692" i="10" s="1"/>
  <c r="AM82" i="10"/>
  <c r="AN82" i="10" s="1"/>
  <c r="AM289" i="10"/>
  <c r="AN289" i="10" s="1"/>
  <c r="AM1112" i="10"/>
  <c r="AN1112" i="10" s="1"/>
  <c r="AM371" i="10"/>
  <c r="AN371" i="10" s="1"/>
  <c r="AM378" i="10"/>
  <c r="AN378" i="10" s="1"/>
  <c r="AM695" i="10"/>
  <c r="AN695" i="10" s="1"/>
  <c r="AM455" i="10"/>
  <c r="AN455" i="10" s="1"/>
  <c r="AM710" i="10"/>
  <c r="AN710" i="10" s="1"/>
  <c r="AM605" i="10"/>
  <c r="AN605" i="10" s="1"/>
  <c r="AM186" i="10"/>
  <c r="AN186" i="10" s="1"/>
  <c r="AM837" i="10"/>
  <c r="AN837" i="10" s="1"/>
  <c r="AM662" i="10"/>
  <c r="AN662" i="10" s="1"/>
  <c r="AM499" i="10"/>
  <c r="AN499" i="10" s="1"/>
  <c r="AM350" i="10"/>
  <c r="AN350" i="10" s="1"/>
  <c r="AM216" i="10"/>
  <c r="AN216" i="10" s="1"/>
  <c r="AM768" i="10"/>
  <c r="AN768" i="10" s="1"/>
  <c r="AM128" i="10"/>
  <c r="AN128" i="10" s="1"/>
  <c r="AM965" i="10"/>
  <c r="AN965" i="10" s="1"/>
  <c r="AM177" i="10"/>
  <c r="AN177" i="10" s="1"/>
  <c r="AM637" i="10"/>
  <c r="AN637" i="10" s="1"/>
  <c r="AM368" i="10"/>
  <c r="AN368" i="10" s="1"/>
  <c r="AM158" i="10"/>
  <c r="AN158" i="10" s="1"/>
  <c r="AM416" i="10"/>
  <c r="AN416" i="10" s="1"/>
  <c r="AM801" i="10"/>
  <c r="AN801" i="10" s="1"/>
  <c r="AM292" i="10"/>
  <c r="AN292" i="10" s="1"/>
  <c r="AM503" i="10"/>
  <c r="AN503" i="10" s="1"/>
  <c r="AM926" i="10"/>
  <c r="AN926" i="10" s="1"/>
  <c r="AM182" i="10"/>
  <c r="AN182" i="10" s="1"/>
  <c r="AM816" i="10"/>
  <c r="AN816" i="10" s="1"/>
  <c r="AM169" i="10"/>
  <c r="AN169" i="10" s="1"/>
  <c r="AM122" i="10"/>
  <c r="AN122" i="10" s="1"/>
  <c r="AM295" i="10"/>
  <c r="AN295" i="10" s="1"/>
  <c r="AM942" i="10"/>
  <c r="AN942" i="10" s="1"/>
  <c r="AM493" i="10"/>
  <c r="AN493" i="10" s="1"/>
  <c r="AM392" i="10"/>
  <c r="AN392" i="10" s="1"/>
  <c r="AM306" i="10"/>
  <c r="AN306" i="10" s="1"/>
  <c r="AM961" i="10"/>
  <c r="AN961" i="10" s="1"/>
  <c r="AM823" i="10"/>
  <c r="AN823" i="10" s="1"/>
  <c r="AM869" i="10"/>
  <c r="AN869" i="10" s="1"/>
  <c r="AM877" i="10"/>
  <c r="AN877" i="10" s="1"/>
  <c r="AM1000" i="10"/>
  <c r="AN1000" i="10" s="1"/>
  <c r="AM227" i="10"/>
  <c r="AN227" i="10" s="1"/>
  <c r="AM356" i="10"/>
  <c r="AN356" i="10" s="1"/>
  <c r="AM679" i="10"/>
  <c r="AN679" i="10" s="1"/>
  <c r="AM1116" i="10"/>
  <c r="AN1116" i="10" s="1"/>
  <c r="AM258" i="10"/>
  <c r="AN258" i="10" s="1"/>
  <c r="AM495" i="10"/>
  <c r="AN495" i="10" s="1"/>
  <c r="AM1086" i="10"/>
  <c r="AN1086" i="10" s="1"/>
  <c r="AM848" i="10"/>
  <c r="AN848" i="10" s="1"/>
  <c r="AM325" i="10"/>
  <c r="AN325" i="10" s="1"/>
  <c r="AM254" i="10"/>
  <c r="AN254" i="10" s="1"/>
  <c r="AM885" i="10"/>
  <c r="AN885" i="10" s="1"/>
  <c r="AM750" i="10"/>
  <c r="AN750" i="10" s="1"/>
  <c r="AM1168" i="10"/>
  <c r="AN1168" i="10" s="1"/>
  <c r="AM997" i="10"/>
  <c r="AN997" i="10" s="1"/>
  <c r="AM265" i="10"/>
  <c r="AN265" i="10" s="1"/>
  <c r="AM767" i="10"/>
  <c r="AN767" i="10" s="1"/>
  <c r="AM657" i="10"/>
  <c r="AN657" i="10" s="1"/>
  <c r="AM299" i="10"/>
  <c r="AN299" i="10" s="1"/>
  <c r="AM626" i="10"/>
  <c r="AN626" i="10" s="1"/>
  <c r="AM446" i="10"/>
  <c r="AN446" i="10" s="1"/>
  <c r="AM794" i="10"/>
  <c r="AN794" i="10" s="1"/>
  <c r="AM1003" i="10"/>
  <c r="AN1003" i="10" s="1"/>
  <c r="AM563" i="10"/>
  <c r="AN563" i="10" s="1"/>
  <c r="AM1181" i="10"/>
  <c r="AN1181" i="10" s="1"/>
  <c r="AM1139" i="10"/>
  <c r="AN1139" i="10" s="1"/>
  <c r="AM892" i="10"/>
  <c r="AN892" i="10" s="1"/>
  <c r="AM523" i="10"/>
  <c r="AN523" i="10" s="1"/>
  <c r="AM456" i="10"/>
  <c r="AN456" i="10" s="1"/>
  <c r="AM302" i="10"/>
  <c r="AN302" i="10" s="1"/>
  <c r="AM553" i="10"/>
  <c r="AN553" i="10" s="1"/>
  <c r="AM235" i="10"/>
  <c r="AN235" i="10" s="1"/>
  <c r="AM11" i="10"/>
  <c r="AN11" i="10" s="1"/>
  <c r="AM1102" i="10"/>
  <c r="AN1102" i="10" s="1"/>
  <c r="AM890" i="10"/>
  <c r="AN890" i="10" s="1"/>
  <c r="AM862" i="10"/>
  <c r="AN862" i="10" s="1"/>
  <c r="AM852" i="10"/>
  <c r="AN852" i="10" s="1"/>
  <c r="AM467" i="10"/>
  <c r="AN467" i="10" s="1"/>
  <c r="AM699" i="10"/>
  <c r="AN699" i="10" s="1"/>
  <c r="AM1047" i="10"/>
  <c r="AN1047" i="10" s="1"/>
  <c r="AM67" i="10"/>
  <c r="AN67" i="10" s="1"/>
  <c r="AM1119" i="10"/>
  <c r="AN1119" i="10" s="1"/>
  <c r="AM864" i="10"/>
  <c r="AN864" i="10" s="1"/>
  <c r="AM540" i="10"/>
  <c r="AN540" i="10" s="1"/>
  <c r="AM443" i="10"/>
  <c r="AN443" i="10" s="1"/>
  <c r="AM1025" i="10"/>
  <c r="AN1025" i="10" s="1"/>
  <c r="AM238" i="10"/>
  <c r="AN238" i="10" s="1"/>
  <c r="AM338" i="10"/>
  <c r="AN338" i="10" s="1"/>
  <c r="AM1174" i="10"/>
  <c r="AN1174" i="10" s="1"/>
  <c r="AM111" i="10"/>
  <c r="AN111" i="10" s="1"/>
  <c r="AM1177" i="10"/>
  <c r="AN1177" i="10" s="1"/>
  <c r="AM886" i="10"/>
  <c r="AN886" i="10" s="1"/>
  <c r="AM1157" i="10"/>
  <c r="AN1157" i="10" s="1"/>
  <c r="AM601" i="10"/>
  <c r="AN601" i="10" s="1"/>
  <c r="AM165" i="10"/>
  <c r="AN165" i="10" s="1"/>
  <c r="AM259" i="10"/>
  <c r="AN259" i="10" s="1"/>
  <c r="AM1040" i="10"/>
  <c r="AN1040" i="10" s="1"/>
  <c r="AM928" i="10"/>
  <c r="AN928" i="10" s="1"/>
  <c r="AM1065" i="10"/>
  <c r="AN1065" i="10" s="1"/>
  <c r="AM51" i="10"/>
  <c r="AN51" i="10" s="1"/>
  <c r="AM983" i="10"/>
  <c r="AN983" i="10" s="1"/>
  <c r="AM390" i="10"/>
  <c r="AN390" i="10" s="1"/>
  <c r="AM372" i="10"/>
  <c r="AN372" i="10" s="1"/>
  <c r="AM572" i="10"/>
  <c r="AN572" i="10" s="1"/>
  <c r="AM956" i="10"/>
  <c r="AN956" i="10" s="1"/>
  <c r="AM263" i="10"/>
  <c r="AN263" i="10" s="1"/>
  <c r="AM776" i="10"/>
  <c r="AN776" i="10" s="1"/>
  <c r="AM1180" i="10"/>
  <c r="AN1180" i="10" s="1"/>
  <c r="AM863" i="10"/>
  <c r="AN863" i="10" s="1"/>
  <c r="AM658" i="10"/>
  <c r="AN658" i="10" s="1"/>
  <c r="AM1005" i="10"/>
  <c r="AN1005" i="10" s="1"/>
  <c r="AM706" i="10"/>
  <c r="AN706" i="10" s="1"/>
  <c r="AM172" i="10"/>
  <c r="AN172" i="10" s="1"/>
  <c r="AM972" i="10"/>
  <c r="AN972" i="10" s="1"/>
  <c r="AM192" i="10"/>
  <c r="AN192" i="10" s="1"/>
  <c r="AM317" i="10"/>
  <c r="AN317" i="10" s="1"/>
  <c r="AM458" i="10"/>
  <c r="AN458" i="10" s="1"/>
  <c r="AM226" i="10"/>
  <c r="AN226" i="10" s="1"/>
  <c r="AM291" i="10"/>
  <c r="AN291" i="10" s="1"/>
  <c r="AM684" i="10"/>
  <c r="AN684" i="10" s="1"/>
  <c r="AM459" i="10"/>
  <c r="AN459" i="10" s="1"/>
  <c r="AM740" i="10"/>
  <c r="AN740" i="10" s="1"/>
  <c r="AM1173" i="10"/>
  <c r="AN1173" i="10" s="1"/>
  <c r="AM220" i="10"/>
  <c r="AN220" i="10" s="1"/>
  <c r="AM65" i="10"/>
  <c r="AN65" i="10" s="1"/>
  <c r="AM387" i="10"/>
  <c r="AN387" i="10" s="1"/>
  <c r="AM308" i="10"/>
  <c r="AN308" i="10" s="1"/>
  <c r="AM1075" i="10"/>
  <c r="AN1075" i="10" s="1"/>
  <c r="AM385" i="10"/>
  <c r="AN385" i="10" s="1"/>
  <c r="AM57" i="10"/>
  <c r="AN57" i="10" s="1"/>
  <c r="AM481" i="10"/>
  <c r="AN481" i="10" s="1"/>
  <c r="AM43" i="10"/>
  <c r="AN43" i="10" s="1"/>
  <c r="AM664" i="10"/>
  <c r="AN664" i="10" s="1"/>
  <c r="AM161" i="10"/>
  <c r="AN161" i="10" s="1"/>
  <c r="AM74" i="10"/>
  <c r="AN74" i="10" s="1"/>
  <c r="AM620" i="10"/>
  <c r="AN620" i="10" s="1"/>
  <c r="AM1108" i="10"/>
  <c r="AN1108" i="10" s="1"/>
  <c r="AM777" i="10"/>
  <c r="AN777" i="10" s="1"/>
  <c r="AM647" i="10"/>
  <c r="AN647" i="10" s="1"/>
  <c r="AM249" i="10"/>
  <c r="AN249" i="10" s="1"/>
  <c r="AM285" i="10"/>
  <c r="AN285" i="10" s="1"/>
  <c r="AM354" i="10"/>
  <c r="AN354" i="10" s="1"/>
  <c r="AM958" i="10"/>
  <c r="AN958" i="10" s="1"/>
  <c r="AM261" i="10"/>
  <c r="AN261" i="10" s="1"/>
  <c r="AM420" i="10"/>
  <c r="AN420" i="10" s="1"/>
  <c r="AM722" i="10"/>
  <c r="AN722" i="10" s="1"/>
  <c r="AM784" i="10"/>
  <c r="AN784" i="10" s="1"/>
  <c r="AM1015" i="10"/>
  <c r="AN1015" i="10" s="1"/>
  <c r="AM255" i="10"/>
  <c r="AN255" i="10" s="1"/>
  <c r="AM37" i="10"/>
  <c r="AN37" i="10" s="1"/>
  <c r="AM665" i="10"/>
  <c r="AN665" i="10" s="1"/>
  <c r="AM1064" i="10"/>
  <c r="AN1064" i="10" s="1"/>
  <c r="AM1151" i="10"/>
  <c r="AN1151" i="10" s="1"/>
  <c r="AM642" i="10"/>
  <c r="AN642" i="10" s="1"/>
  <c r="AM294" i="10"/>
  <c r="AN294" i="10" s="1"/>
  <c r="AM758" i="10"/>
  <c r="AN758" i="10" s="1"/>
  <c r="AM931" i="10"/>
  <c r="AN931" i="10" s="1"/>
  <c r="AM690" i="10"/>
  <c r="AN690" i="10" s="1"/>
  <c r="AM32" i="10"/>
  <c r="AN32" i="10" s="1"/>
  <c r="AM1186" i="10"/>
  <c r="AN1186" i="10" s="1"/>
  <c r="AM379" i="10"/>
  <c r="AN379" i="10" s="1"/>
  <c r="AM707" i="10"/>
  <c r="AN707" i="10" s="1"/>
  <c r="AM99" i="10"/>
  <c r="AN99" i="10" s="1"/>
  <c r="AM1093" i="10"/>
  <c r="AN1093" i="10" s="1"/>
  <c r="AM953" i="10"/>
  <c r="AN953" i="10" s="1"/>
  <c r="AM1044" i="10"/>
  <c r="AN1044" i="10" s="1"/>
  <c r="AM552" i="10"/>
  <c r="AN552" i="10" s="1"/>
  <c r="AM60" i="10"/>
  <c r="AN60" i="10" s="1"/>
  <c r="AM773" i="10"/>
  <c r="AN773" i="10" s="1"/>
  <c r="AM183" i="10"/>
  <c r="AN183" i="10" s="1"/>
  <c r="AM973" i="10"/>
  <c r="AN973" i="10" s="1"/>
  <c r="AM13" i="10"/>
  <c r="AN13" i="10" s="1"/>
  <c r="AM831" i="10"/>
  <c r="AN831" i="10" s="1"/>
  <c r="AM319" i="10"/>
  <c r="AN319" i="10" s="1"/>
  <c r="AM511" i="10"/>
  <c r="AN511" i="10" s="1"/>
  <c r="AM1002" i="10"/>
  <c r="AN1002" i="10" s="1"/>
  <c r="AM901" i="10"/>
  <c r="AN901" i="10" s="1"/>
  <c r="AM236" i="10"/>
  <c r="AN236" i="10" s="1"/>
  <c r="AM123" i="10"/>
  <c r="AN123" i="10" s="1"/>
  <c r="AM429" i="10"/>
  <c r="AN429" i="10" s="1"/>
  <c r="AM771" i="10"/>
  <c r="AN771" i="10" s="1"/>
  <c r="AM995" i="10"/>
  <c r="AN995" i="10" s="1"/>
  <c r="AM127" i="10"/>
  <c r="AN127" i="10" s="1"/>
  <c r="AM197" i="10"/>
  <c r="AN197" i="10" s="1"/>
  <c r="AM333" i="10"/>
  <c r="AN333" i="10" s="1"/>
  <c r="AM353" i="10"/>
  <c r="AN353" i="10" s="1"/>
  <c r="AM351" i="10"/>
  <c r="AN351" i="10" s="1"/>
  <c r="AM125" i="10"/>
  <c r="AN125" i="10" s="1"/>
  <c r="AM898" i="10"/>
  <c r="AN898" i="10" s="1"/>
  <c r="AM568" i="10"/>
  <c r="AN568" i="10" s="1"/>
  <c r="AM712" i="10"/>
  <c r="AN712" i="10" s="1"/>
  <c r="AM15" i="10"/>
  <c r="AN15" i="10" s="1"/>
  <c r="AM1079" i="10"/>
  <c r="AN1079" i="10" s="1"/>
  <c r="AM1140" i="10"/>
  <c r="AN1140" i="10" s="1"/>
  <c r="AM904" i="10"/>
  <c r="AN904" i="10" s="1"/>
  <c r="AM597" i="10"/>
  <c r="AN597" i="10" s="1"/>
  <c r="AM513" i="10"/>
  <c r="AN513" i="10" s="1"/>
  <c r="AM912" i="10"/>
  <c r="AN912" i="10" s="1"/>
  <c r="AM547" i="10"/>
  <c r="AN547" i="10" s="1"/>
  <c r="AM938" i="10"/>
  <c r="AN938" i="10" s="1"/>
  <c r="AM509" i="10"/>
  <c r="AN509" i="10" s="1"/>
  <c r="AM543" i="10"/>
  <c r="AN543" i="10" s="1"/>
  <c r="AM316" i="10"/>
  <c r="AN316" i="10" s="1"/>
  <c r="AM411" i="10"/>
  <c r="AN411" i="10" s="1"/>
  <c r="AM951" i="10"/>
  <c r="AN951" i="10" s="1"/>
  <c r="AM666" i="10"/>
  <c r="AN666" i="10" s="1"/>
  <c r="AM69" i="10"/>
  <c r="AN69" i="10" s="1"/>
  <c r="AM962" i="10"/>
  <c r="AN962" i="10" s="1"/>
  <c r="AM903" i="10"/>
  <c r="AN903" i="10" s="1"/>
  <c r="AM34" i="10"/>
  <c r="AN34" i="10" s="1"/>
  <c r="AM645" i="10"/>
  <c r="AN645" i="10" s="1"/>
  <c r="AM19" i="10"/>
  <c r="AN19" i="10" s="1"/>
  <c r="AM971" i="10"/>
  <c r="AN971" i="10" s="1"/>
  <c r="AM366" i="10"/>
  <c r="AN366" i="10" s="1"/>
  <c r="AM813" i="10"/>
  <c r="AN813" i="10" s="1"/>
  <c r="AM344" i="10"/>
  <c r="AN344" i="10" s="1"/>
  <c r="AM421" i="10"/>
  <c r="AN421" i="10" s="1"/>
  <c r="AM489" i="10"/>
  <c r="AN489" i="10" s="1"/>
  <c r="AM964" i="10"/>
  <c r="AN964" i="10" s="1"/>
  <c r="AM130" i="10"/>
  <c r="AN130" i="10" s="1"/>
  <c r="AM939" i="10"/>
  <c r="AN939" i="10" s="1"/>
  <c r="AM1101" i="10"/>
  <c r="AN1101" i="10" s="1"/>
  <c r="AM1115" i="10"/>
  <c r="AN1115" i="10" s="1"/>
  <c r="AM329" i="10"/>
  <c r="AN329" i="10" s="1"/>
  <c r="AM73" i="10"/>
  <c r="AN73" i="10" s="1"/>
  <c r="AM41" i="10"/>
  <c r="AN41" i="10" s="1"/>
  <c r="AM171" i="10"/>
  <c r="AN171" i="10" s="1"/>
  <c r="AM879" i="10"/>
  <c r="AN879" i="10" s="1"/>
  <c r="AM396" i="10"/>
  <c r="AN396" i="10" s="1"/>
  <c r="AM943" i="10"/>
  <c r="AN943" i="10" s="1"/>
  <c r="AM346" i="10"/>
  <c r="AN346" i="10" s="1"/>
  <c r="AM1078" i="10"/>
  <c r="AN1078" i="10" s="1"/>
  <c r="AM364" i="10"/>
  <c r="AN364" i="10" s="1"/>
  <c r="AM342" i="10"/>
  <c r="AN342" i="10" s="1"/>
  <c r="AM561" i="10"/>
  <c r="AN561" i="10" s="1"/>
  <c r="AM558" i="10"/>
  <c r="AN558" i="10" s="1"/>
  <c r="AM253" i="10"/>
  <c r="AN253" i="10" s="1"/>
  <c r="AM407" i="10"/>
  <c r="AN407" i="10" s="1"/>
  <c r="AM550" i="10"/>
  <c r="AN550" i="10" s="1"/>
  <c r="AM1051" i="10"/>
  <c r="AN1051" i="10" s="1"/>
  <c r="AM788" i="10"/>
  <c r="AN788" i="10" s="1"/>
  <c r="AM790" i="10"/>
  <c r="AN790" i="10" s="1"/>
  <c r="AM1164" i="10"/>
  <c r="AN1164" i="10" s="1"/>
  <c r="AM450" i="10"/>
  <c r="AN450" i="10" s="1"/>
  <c r="AM818" i="10"/>
  <c r="AN818" i="10" s="1"/>
  <c r="AM1017" i="10"/>
  <c r="AN1017" i="10" s="1"/>
  <c r="AM633" i="10"/>
  <c r="AN633" i="10" s="1"/>
  <c r="AM691" i="10"/>
  <c r="AN691" i="10" s="1"/>
  <c r="AM807" i="10"/>
  <c r="AN807" i="10" s="1"/>
  <c r="AM252" i="10"/>
  <c r="AN252" i="10" s="1"/>
  <c r="AM204" i="10"/>
  <c r="AN204" i="10" s="1"/>
  <c r="AM822" i="10"/>
  <c r="AN822" i="10" s="1"/>
  <c r="AM854" i="10"/>
  <c r="AN854" i="10" s="1"/>
  <c r="AM324" i="10"/>
  <c r="AN324" i="10" s="1"/>
  <c r="AM264" i="10"/>
  <c r="AN264" i="10" s="1"/>
  <c r="AM651" i="10"/>
  <c r="AN651" i="10" s="1"/>
  <c r="AM874" i="10"/>
  <c r="AN874" i="10" s="1"/>
  <c r="AM659" i="10"/>
  <c r="AN659" i="10" s="1"/>
  <c r="AM448" i="10"/>
  <c r="AN448" i="10" s="1"/>
  <c r="AM506" i="10"/>
  <c r="AN506" i="10" s="1"/>
  <c r="AM322" i="10"/>
  <c r="AN322" i="10" s="1"/>
  <c r="AM1083" i="10"/>
  <c r="AN1083" i="10" s="1"/>
  <c r="AM1145" i="10"/>
  <c r="AN1145" i="10" s="1"/>
  <c r="AM894" i="10"/>
  <c r="AN894" i="10" s="1"/>
  <c r="AM76" i="10"/>
  <c r="AN76" i="10" s="1"/>
  <c r="AM797" i="10"/>
  <c r="AN797" i="10" s="1"/>
  <c r="AM867" i="10"/>
  <c r="AN867" i="10" s="1"/>
  <c r="AM1172" i="10"/>
  <c r="AN1172" i="10" s="1"/>
  <c r="AM576" i="10"/>
  <c r="AN576" i="10" s="1"/>
  <c r="AM49" i="10"/>
  <c r="AN49" i="10" s="1"/>
  <c r="AM45" i="10"/>
  <c r="AN45" i="10" s="1"/>
  <c r="AM276" i="10"/>
  <c r="AN276" i="10" s="1"/>
  <c r="AM893" i="10"/>
  <c r="AN893" i="10" s="1"/>
  <c r="AM201" i="10"/>
  <c r="AN201" i="10" s="1"/>
  <c r="AM107" i="10"/>
  <c r="AN107" i="10" s="1"/>
  <c r="AM77" i="10"/>
  <c r="AN77" i="10" s="1"/>
  <c r="AM153" i="10"/>
  <c r="AN153" i="10" s="1"/>
  <c r="AM759" i="10"/>
  <c r="AN759" i="10" s="1"/>
  <c r="AM582" i="10"/>
  <c r="AN582" i="10" s="1"/>
  <c r="AM887" i="10"/>
  <c r="AN887" i="10" s="1"/>
  <c r="AM208" i="10"/>
  <c r="AN208" i="10" s="1"/>
  <c r="AM401" i="10"/>
  <c r="AN401" i="10" s="1"/>
  <c r="AM907" i="10"/>
  <c r="AN907" i="10" s="1"/>
  <c r="AM473" i="10"/>
  <c r="AN473" i="10" s="1"/>
  <c r="AM345" i="10"/>
  <c r="AN345" i="10" s="1"/>
  <c r="AM987" i="10"/>
  <c r="AN987" i="10" s="1"/>
  <c r="AM775" i="10"/>
  <c r="AN775" i="10" s="1"/>
  <c r="AM336" i="10"/>
  <c r="AN336" i="10" s="1"/>
  <c r="AM860" i="10"/>
  <c r="AN860" i="10" s="1"/>
  <c r="AM360" i="10"/>
  <c r="AN360" i="10" s="1"/>
  <c r="AM751" i="10"/>
  <c r="AN751" i="10" s="1"/>
  <c r="AM191" i="10"/>
  <c r="AN191" i="10" s="1"/>
  <c r="AM979" i="10"/>
  <c r="AN979" i="10" s="1"/>
  <c r="AM976" i="10"/>
  <c r="AN976" i="10" s="1"/>
  <c r="AM847" i="10"/>
  <c r="AN847" i="10" s="1"/>
  <c r="AM1053" i="10"/>
  <c r="AN1053" i="10" s="1"/>
  <c r="AM687" i="10"/>
  <c r="AN687" i="10" s="1"/>
  <c r="AM624" i="10"/>
  <c r="AN624" i="10" s="1"/>
  <c r="AM134" i="10"/>
  <c r="AN134" i="10" s="1"/>
  <c r="AM1100" i="10"/>
  <c r="AN1100" i="10" s="1"/>
  <c r="AM187" i="10"/>
  <c r="AN187" i="10" s="1"/>
  <c r="AM1113" i="10"/>
  <c r="AN1113" i="10" s="1"/>
  <c r="AM116" i="10"/>
  <c r="AN116" i="10" s="1"/>
  <c r="AM810" i="10"/>
  <c r="AN810" i="10" s="1"/>
  <c r="AM309" i="10"/>
  <c r="AN309" i="10" s="1"/>
  <c r="AM599" i="10"/>
  <c r="AN599" i="10" s="1"/>
  <c r="AM409" i="10"/>
  <c r="AN409" i="10" s="1"/>
  <c r="AM145" i="10"/>
  <c r="AN145" i="10" s="1"/>
  <c r="AM140" i="10"/>
  <c r="AN140" i="10" s="1"/>
  <c r="AM944" i="10"/>
  <c r="AN944" i="10" s="1"/>
  <c r="AM363" i="10"/>
  <c r="AN363" i="10" s="1"/>
  <c r="AM829" i="10"/>
  <c r="AN829" i="10" s="1"/>
  <c r="AM850" i="10"/>
  <c r="AN850" i="10" s="1"/>
  <c r="AM279" i="10"/>
  <c r="AN279" i="10" s="1"/>
  <c r="AM144" i="10"/>
  <c r="AN144" i="10" s="1"/>
  <c r="AM1022" i="10"/>
  <c r="AN1022" i="10" s="1"/>
  <c r="AM571" i="10"/>
  <c r="AN571" i="10" s="1"/>
  <c r="AM361" i="10"/>
  <c r="AN361" i="10" s="1"/>
  <c r="AM650" i="10"/>
  <c r="AN650" i="10" s="1"/>
  <c r="AM113" i="10"/>
  <c r="AN113" i="10" s="1"/>
  <c r="AM765" i="10"/>
  <c r="AN765" i="10" s="1"/>
  <c r="AM984" i="10"/>
  <c r="AN984" i="10" s="1"/>
  <c r="AM1191" i="10"/>
  <c r="AN1191" i="10" s="1"/>
  <c r="AM330" i="10"/>
  <c r="AN330" i="10" s="1"/>
  <c r="AM106" i="10"/>
  <c r="AN106" i="10" s="1"/>
  <c r="AM154" i="10"/>
  <c r="AN154" i="10" s="1"/>
  <c r="AM896" i="10"/>
  <c r="AN896" i="10" s="1"/>
  <c r="AM96" i="10"/>
  <c r="AN96" i="10" s="1"/>
  <c r="AM954" i="10"/>
  <c r="AN954" i="10" s="1"/>
  <c r="AM1032" i="10"/>
  <c r="AN1032" i="10" s="1"/>
  <c r="AM529" i="10"/>
  <c r="AN529" i="10" s="1"/>
  <c r="AM530" i="10"/>
  <c r="AN530" i="10" s="1"/>
  <c r="AM537" i="10"/>
  <c r="AN537" i="10" s="1"/>
  <c r="AM611" i="10"/>
  <c r="AN611" i="10" s="1"/>
  <c r="AM102" i="10"/>
  <c r="AN102" i="10" s="1"/>
  <c r="AM1013" i="10"/>
  <c r="AN1013" i="10" s="1"/>
  <c r="AM720" i="10"/>
  <c r="AN720" i="10" s="1"/>
  <c r="AM1041" i="10"/>
  <c r="AN1041" i="10" s="1"/>
  <c r="AM471" i="10"/>
  <c r="AN471" i="10" s="1"/>
  <c r="AM290" i="10"/>
  <c r="AN290" i="10" s="1"/>
  <c r="AM770" i="10"/>
  <c r="AN770" i="10" s="1"/>
  <c r="AM1006" i="10"/>
  <c r="AN1006" i="10" s="1"/>
  <c r="AM331" i="10"/>
  <c r="AN331" i="10" s="1"/>
  <c r="AM544" i="10"/>
  <c r="AN544" i="10" s="1"/>
  <c r="AM3" i="10"/>
  <c r="AN3" i="10" s="1"/>
  <c r="AM326" i="10"/>
  <c r="AN326" i="10" s="1"/>
  <c r="AM1137" i="10"/>
  <c r="AN1137" i="10" s="1"/>
  <c r="AM159" i="10"/>
  <c r="AN159" i="10" s="1"/>
  <c r="AM803" i="10"/>
  <c r="AN803" i="10" s="1"/>
  <c r="AM518" i="10"/>
  <c r="AN518" i="10" s="1"/>
  <c r="AM675" i="10"/>
  <c r="AN675" i="10" s="1"/>
  <c r="AM632" i="10"/>
  <c r="AN632" i="10" s="1"/>
  <c r="AM925" i="10"/>
  <c r="AN925" i="10" s="1"/>
  <c r="AM609" i="10"/>
  <c r="AN609" i="10" s="1"/>
  <c r="AM483" i="10"/>
  <c r="AN483" i="10" s="1"/>
  <c r="AM5" i="10"/>
  <c r="AN5" i="10" s="1"/>
  <c r="AM977" i="10"/>
  <c r="AN977" i="10" s="1"/>
  <c r="AM574" i="10"/>
  <c r="AN574" i="10" s="1"/>
  <c r="AM883" i="10"/>
  <c r="AN883" i="10" s="1"/>
  <c r="AM332" i="10"/>
  <c r="AN332" i="10" s="1"/>
  <c r="AM209" i="10"/>
  <c r="AN209" i="10" s="1"/>
  <c r="AM1072" i="10"/>
  <c r="AN1072" i="10" s="1"/>
  <c r="AM86" i="10"/>
  <c r="AN86" i="10" s="1"/>
  <c r="AM914" i="10"/>
  <c r="AN914" i="10" s="1"/>
  <c r="AM1036" i="10"/>
  <c r="AN1036" i="10" s="1"/>
  <c r="AM224" i="10"/>
  <c r="AN224" i="10" s="1"/>
  <c r="AM1045" i="10"/>
  <c r="AN1045" i="10" s="1"/>
  <c r="AM454" i="10"/>
  <c r="AN454" i="10" s="1"/>
  <c r="AM250" i="10"/>
  <c r="AN250" i="10" s="1"/>
  <c r="AM17" i="10"/>
  <c r="AN17" i="10" s="1"/>
  <c r="AM1030" i="10"/>
  <c r="AN1030" i="10" s="1"/>
  <c r="AM474" i="10"/>
  <c r="AN474" i="10" s="1"/>
  <c r="AM734" i="10"/>
  <c r="AN734" i="10" s="1"/>
  <c r="AM270" i="10"/>
  <c r="AN270" i="10" s="1"/>
  <c r="AM738" i="10"/>
  <c r="AN738" i="10" s="1"/>
  <c r="AM833" i="10"/>
  <c r="AN833" i="10" s="1"/>
  <c r="AM218" i="10"/>
  <c r="AN218" i="10" s="1"/>
  <c r="AM1089" i="10"/>
  <c r="AN1089" i="10" s="1"/>
  <c r="AM727" i="10"/>
  <c r="AN727" i="10" s="1"/>
  <c r="AM377" i="10"/>
  <c r="AN377" i="10" s="1"/>
  <c r="AM1059" i="10"/>
  <c r="AN1059" i="10" s="1"/>
  <c r="AM402" i="10"/>
  <c r="AN402" i="10" s="1"/>
  <c r="AM247" i="10"/>
  <c r="AN247" i="10" s="1"/>
  <c r="AM955" i="10"/>
  <c r="AN955" i="10" s="1"/>
  <c r="AM475" i="10"/>
  <c r="AN475" i="10" s="1"/>
  <c r="AM1096" i="10"/>
  <c r="AN1096" i="10" s="1"/>
  <c r="AM95" i="10"/>
  <c r="AN95" i="10" s="1"/>
  <c r="AM1084" i="10"/>
  <c r="AN1084" i="10" s="1"/>
  <c r="AM579" i="10"/>
  <c r="AN579" i="10" s="1"/>
  <c r="AM1088" i="10"/>
  <c r="AN1088" i="10" s="1"/>
  <c r="AM613" i="10"/>
  <c r="AN613" i="10" s="1"/>
  <c r="AM1068" i="10"/>
  <c r="AN1068" i="10" s="1"/>
  <c r="AM1058" i="10"/>
  <c r="AN1058" i="10" s="1"/>
  <c r="AM1128" i="10"/>
  <c r="AN1128" i="10" s="1"/>
  <c r="AM328" i="10"/>
  <c r="AN328" i="10" s="1"/>
  <c r="AM622" i="10"/>
  <c r="AN622" i="10" s="1"/>
  <c r="AM705" i="10"/>
  <c r="AN705" i="10" s="1"/>
  <c r="AM271" i="10"/>
  <c r="AN271" i="10" s="1"/>
  <c r="AM793" i="10"/>
  <c r="AN793" i="10" s="1"/>
  <c r="AM1125" i="10"/>
  <c r="AN1125" i="10" s="1"/>
  <c r="AM340" i="10"/>
  <c r="AN340" i="10" s="1"/>
  <c r="AM774" i="10"/>
  <c r="AN774" i="10" s="1"/>
  <c r="AM1021" i="10"/>
  <c r="AN1021" i="10" s="1"/>
  <c r="AM924" i="10"/>
  <c r="AN924" i="10" s="1"/>
  <c r="AM680" i="10"/>
  <c r="AN680" i="10" s="1"/>
  <c r="AM993" i="10"/>
  <c r="AN993" i="10" s="1"/>
  <c r="AM800" i="10"/>
  <c r="AN800" i="10" s="1"/>
  <c r="AM198" i="10"/>
  <c r="AN198" i="10" s="1"/>
  <c r="AM1171" i="10"/>
  <c r="AN1171" i="10" s="1"/>
  <c r="AM323" i="10"/>
  <c r="AN323" i="10" s="1"/>
  <c r="AM1014" i="10"/>
  <c r="AN1014" i="10" s="1"/>
  <c r="AM311" i="10"/>
  <c r="AN311" i="10" s="1"/>
  <c r="AM1035" i="10"/>
  <c r="AN1035" i="10" s="1"/>
  <c r="AM1090" i="10"/>
  <c r="AN1090" i="10" s="1"/>
  <c r="AM693" i="10"/>
  <c r="AN693" i="10" s="1"/>
  <c r="AM445" i="10"/>
  <c r="AN445" i="10" s="1"/>
  <c r="AM36" i="10"/>
  <c r="AN36" i="10" s="1"/>
  <c r="AM453" i="10"/>
  <c r="AN453" i="10" s="1"/>
  <c r="AM424" i="10"/>
  <c r="AN424" i="10" s="1"/>
  <c r="AM166" i="10"/>
  <c r="AN166" i="10" s="1"/>
  <c r="AM352" i="10"/>
  <c r="AN352" i="10" s="1"/>
  <c r="AM1018" i="10"/>
  <c r="AN1018" i="10" s="1"/>
  <c r="AM526" i="10"/>
  <c r="AN526" i="10" s="1"/>
  <c r="AM927" i="10"/>
  <c r="AN927" i="10" s="1"/>
  <c r="AM142" i="10"/>
  <c r="AN142" i="10" s="1"/>
  <c r="AM442" i="10"/>
  <c r="AN442" i="10" s="1"/>
  <c r="AM1097" i="10"/>
  <c r="AN1097" i="10" s="1"/>
  <c r="AM772" i="10"/>
  <c r="AN772" i="10" s="1"/>
  <c r="AM251" i="10"/>
  <c r="AN251" i="10" s="1"/>
  <c r="AM376" i="10"/>
  <c r="AN376" i="10" s="1"/>
  <c r="AM260" i="10"/>
  <c r="AN260" i="10" s="1"/>
  <c r="AM694" i="10"/>
  <c r="AN694" i="10" s="1"/>
  <c r="AM50" i="10"/>
  <c r="AN50" i="10" s="1"/>
  <c r="AM696" i="10"/>
  <c r="AN696" i="10" s="1"/>
  <c r="AM232" i="10"/>
  <c r="AN232" i="10" s="1"/>
  <c r="AM213" i="10"/>
  <c r="AN213" i="10" s="1"/>
  <c r="AM170" i="10"/>
  <c r="AN170" i="10" s="1"/>
  <c r="AM591" i="10"/>
  <c r="AN591" i="10" s="1"/>
  <c r="AM891" i="10"/>
  <c r="AN891" i="10" s="1"/>
  <c r="AM634" i="10"/>
  <c r="AN634" i="10" s="1"/>
  <c r="AM686" i="10"/>
  <c r="AN686" i="10" s="1"/>
  <c r="AM990" i="10"/>
  <c r="AN990" i="10" s="1"/>
  <c r="AM500" i="10"/>
  <c r="AN500" i="10" s="1"/>
  <c r="AM502" i="10"/>
  <c r="AN502" i="10" s="1"/>
  <c r="AM670" i="10"/>
  <c r="AN670" i="10" s="1"/>
  <c r="AM39" i="10"/>
  <c r="AN39" i="10" s="1"/>
  <c r="AM267" i="10"/>
  <c r="AN267" i="10" s="1"/>
  <c r="AM782" i="10"/>
  <c r="AN782" i="10" s="1"/>
  <c r="AM286" i="10"/>
  <c r="AN286" i="10" s="1"/>
  <c r="AM1019" i="10"/>
  <c r="AN1019" i="10" s="1"/>
  <c r="AM1080" i="10"/>
  <c r="AN1080" i="10" s="1"/>
  <c r="AM981" i="10"/>
  <c r="AN981" i="10" s="1"/>
  <c r="AM1122" i="10"/>
  <c r="AN1122" i="10" s="1"/>
  <c r="AM922" i="10"/>
  <c r="AN922" i="10" s="1"/>
  <c r="AM640" i="10"/>
  <c r="AN640" i="10" s="1"/>
  <c r="AM615" i="10"/>
  <c r="AN615" i="10" s="1"/>
  <c r="AM594" i="10"/>
  <c r="AN594" i="10" s="1"/>
  <c r="AM1146" i="10"/>
  <c r="AN1146" i="10" s="1"/>
  <c r="AM149" i="10"/>
  <c r="AN149" i="10" s="1"/>
  <c r="AM849" i="10"/>
  <c r="AN849" i="10" s="1"/>
  <c r="AM988" i="10"/>
  <c r="AN988" i="10" s="1"/>
  <c r="AM21" i="10"/>
  <c r="AN21" i="10" s="1"/>
  <c r="AM246" i="10"/>
  <c r="AN246" i="10" s="1"/>
  <c r="AM791" i="10"/>
  <c r="AN791" i="10" s="1"/>
  <c r="AM621" i="10"/>
  <c r="AN621" i="10" s="1"/>
  <c r="AM112" i="10"/>
  <c r="AN112" i="10" s="1"/>
  <c r="AM449" i="10"/>
  <c r="AN449" i="10" s="1"/>
  <c r="AM131" i="10"/>
  <c r="AN131" i="10" s="1"/>
  <c r="AM851" i="10"/>
  <c r="AN851" i="10" s="1"/>
  <c r="AM243" i="10"/>
  <c r="AN243" i="10" s="1"/>
  <c r="AM701" i="10"/>
  <c r="AN701" i="10" s="1"/>
  <c r="AM221" i="10"/>
  <c r="AN221" i="10" s="1"/>
  <c r="AM916" i="10"/>
  <c r="AN916" i="10" s="1"/>
  <c r="AM334" i="10"/>
  <c r="AN334" i="10" s="1"/>
  <c r="AM1150" i="10"/>
  <c r="AN1150" i="10" s="1"/>
  <c r="AM1194" i="10"/>
  <c r="AN1194" i="10" s="1"/>
  <c r="AM496" i="10"/>
  <c r="AN496" i="10" s="1"/>
  <c r="AM871" i="10"/>
  <c r="AN871" i="10" s="1"/>
  <c r="AM314" i="10"/>
  <c r="AN314" i="10" s="1"/>
  <c r="AM205" i="10"/>
  <c r="AN205" i="10" s="1"/>
  <c r="AM933" i="10"/>
  <c r="AN933" i="10" s="1"/>
  <c r="AM778" i="10"/>
  <c r="AN778" i="10" s="1"/>
  <c r="AM853" i="10"/>
  <c r="AN853" i="10" s="1"/>
  <c r="AM1190" i="10"/>
  <c r="AN1190" i="10" s="1"/>
  <c r="AM856" i="10"/>
  <c r="AN856" i="10" s="1"/>
  <c r="AM1188" i="10"/>
  <c r="AN1188" i="10" s="1"/>
  <c r="AM820" i="10"/>
  <c r="AN820" i="10" s="1"/>
  <c r="AM627" i="10"/>
  <c r="AN627" i="10" s="1"/>
  <c r="AM913" i="10"/>
  <c r="AN913" i="10" s="1"/>
  <c r="AM630" i="10"/>
  <c r="AN630" i="10" s="1"/>
  <c r="AM434" i="10"/>
  <c r="AN434" i="10" s="1"/>
  <c r="AM532" i="10"/>
  <c r="AN532" i="10" s="1"/>
  <c r="AM936" i="10"/>
  <c r="AN936" i="10" s="1"/>
  <c r="AM244" i="10"/>
  <c r="AN244" i="10" s="1"/>
  <c r="AM405" i="10"/>
  <c r="AN405" i="10" s="1"/>
  <c r="AM870" i="10"/>
  <c r="AN870" i="10" s="1"/>
  <c r="AM549" i="10"/>
  <c r="AN549" i="10" s="1"/>
  <c r="AM109" i="10"/>
  <c r="AN109" i="10" s="1"/>
  <c r="AM398" i="10"/>
  <c r="AN398" i="10" s="1"/>
  <c r="AM865" i="10"/>
  <c r="AN865" i="10" s="1"/>
  <c r="AM619" i="10"/>
  <c r="AN619" i="10" s="1"/>
  <c r="AM567" i="10"/>
  <c r="AN567" i="10" s="1"/>
  <c r="AM947" i="10"/>
  <c r="AN947" i="10" s="1"/>
  <c r="AM566" i="10"/>
  <c r="AN566" i="10" s="1"/>
  <c r="AM491" i="10"/>
  <c r="AN491" i="10" s="1"/>
  <c r="AM98" i="10"/>
  <c r="AN98" i="10" s="1"/>
  <c r="AM760" i="10"/>
  <c r="AN760" i="10" s="1"/>
  <c r="AM1127" i="10"/>
  <c r="AN1127" i="10" s="1"/>
  <c r="AM58" i="10"/>
  <c r="AN58" i="10" s="1"/>
  <c r="AM1170" i="10"/>
  <c r="AN1170" i="10" s="1"/>
  <c r="AM451" i="10"/>
  <c r="AN451" i="10" s="1"/>
  <c r="AM1048" i="10"/>
  <c r="AN1048" i="10" s="1"/>
  <c r="AM476" i="10"/>
  <c r="AN476" i="10" s="1"/>
  <c r="AM1087" i="10"/>
  <c r="AN1087" i="10" s="1"/>
  <c r="AM580" i="10"/>
  <c r="AN580" i="10" s="1"/>
  <c r="AM90" i="10"/>
  <c r="AN90" i="10" s="1"/>
  <c r="AM843" i="10"/>
  <c r="AN843" i="10" s="1"/>
  <c r="AM70" i="10"/>
  <c r="AN70" i="10" s="1"/>
  <c r="AM215" i="10"/>
  <c r="AN215" i="10" s="1"/>
  <c r="AM64" i="10"/>
  <c r="AN64" i="10" s="1"/>
  <c r="AM179" i="10"/>
  <c r="AN179" i="10" s="1"/>
  <c r="AM105" i="10"/>
  <c r="AN105" i="10" s="1"/>
  <c r="AM733" i="10"/>
  <c r="AN733" i="10" s="1"/>
  <c r="AM917" i="10"/>
  <c r="AN917" i="10" s="1"/>
  <c r="AM858" i="10"/>
  <c r="AN858" i="10" s="1"/>
  <c r="AM1144" i="10"/>
  <c r="AN1144" i="10" s="1"/>
  <c r="B11" i="17" s="1"/>
  <c r="AM1057" i="10"/>
  <c r="AN1057" i="10" s="1"/>
  <c r="AM1134" i="10"/>
  <c r="AN1134" i="10" s="1"/>
  <c r="AM9" i="10"/>
  <c r="AN9" i="10" s="1"/>
  <c r="AM100" i="10"/>
  <c r="AN100" i="10" s="1"/>
  <c r="AM373" i="10"/>
  <c r="AN373" i="10" s="1"/>
  <c r="AM1039" i="10"/>
  <c r="AN1039" i="10" s="1"/>
  <c r="AM425" i="10"/>
  <c r="AN425" i="10" s="1"/>
  <c r="AM600" i="10"/>
  <c r="AN600" i="10" s="1"/>
  <c r="AM275" i="10"/>
  <c r="AN275" i="10" s="1"/>
  <c r="AM293" i="10"/>
  <c r="AN293" i="10" s="1"/>
  <c r="AH911" i="10"/>
  <c r="AI911" i="10" s="1"/>
  <c r="AK911" i="10"/>
  <c r="AH968" i="10"/>
  <c r="AI968" i="10" s="1"/>
  <c r="AK968" i="10"/>
  <c r="AH1111" i="10"/>
  <c r="AI1111" i="10" s="1"/>
  <c r="AK1111" i="10"/>
  <c r="AH269" i="10"/>
  <c r="AI269" i="10" s="1"/>
  <c r="AK269" i="10"/>
  <c r="AH1013" i="10"/>
  <c r="AI1013" i="10" s="1"/>
  <c r="AK1013" i="10"/>
  <c r="AH1031" i="10"/>
  <c r="AI1031" i="10" s="1"/>
  <c r="AK1031" i="10"/>
  <c r="AK723" i="10"/>
  <c r="AH723" i="10"/>
  <c r="AI723" i="10" s="1"/>
  <c r="AH517" i="10"/>
  <c r="AI517" i="10" s="1"/>
  <c r="AK517" i="10"/>
  <c r="AH104" i="10"/>
  <c r="AI104" i="10" s="1"/>
  <c r="AK104" i="10"/>
  <c r="AK369" i="10"/>
  <c r="AH369" i="10"/>
  <c r="AI369" i="10" s="1"/>
  <c r="AH812" i="10"/>
  <c r="AI812" i="10" s="1"/>
  <c r="AK812" i="10"/>
  <c r="AH1042" i="10"/>
  <c r="AI1042" i="10" s="1"/>
  <c r="AK1042" i="10"/>
  <c r="AH274" i="10"/>
  <c r="AI274" i="10" s="1"/>
  <c r="AK274" i="10"/>
  <c r="AH10" i="10"/>
  <c r="AI10" i="10" s="1"/>
  <c r="AK10" i="10"/>
  <c r="AH804" i="10"/>
  <c r="AI804" i="10" s="1"/>
  <c r="AK804" i="10"/>
  <c r="AK602" i="10"/>
  <c r="AH602" i="10"/>
  <c r="AI602" i="10" s="1"/>
  <c r="AK284" i="10"/>
  <c r="AH284" i="10"/>
  <c r="AI284" i="10" s="1"/>
  <c r="AK573" i="10"/>
  <c r="AH573" i="10"/>
  <c r="AI573" i="10" s="1"/>
  <c r="AK1010" i="10"/>
  <c r="AH1010" i="10"/>
  <c r="AI1010" i="10" s="1"/>
  <c r="AH242" i="10"/>
  <c r="AI242" i="10" s="1"/>
  <c r="AK242" i="10"/>
  <c r="AH999" i="10"/>
  <c r="AI999" i="10" s="1"/>
  <c r="AK999" i="10"/>
  <c r="AH986" i="10"/>
  <c r="AI986" i="10" s="1"/>
  <c r="AK986" i="10"/>
  <c r="AH110" i="10"/>
  <c r="AI110" i="10" s="1"/>
  <c r="AK110" i="10"/>
  <c r="AH418" i="10"/>
  <c r="AI418" i="10" s="1"/>
  <c r="AK418" i="10"/>
  <c r="AK996" i="10"/>
  <c r="AH996" i="10"/>
  <c r="AI996" i="10" s="1"/>
  <c r="AH711" i="10"/>
  <c r="AI711" i="10" s="1"/>
  <c r="AK711" i="10"/>
  <c r="AH557" i="10"/>
  <c r="AI557" i="10" s="1"/>
  <c r="AK557" i="10"/>
  <c r="AH531" i="10"/>
  <c r="AI531" i="10" s="1"/>
  <c r="AK531" i="10"/>
  <c r="AH410" i="10"/>
  <c r="AI410" i="10" s="1"/>
  <c r="AK410" i="10"/>
  <c r="AH660" i="10"/>
  <c r="AI660" i="10" s="1"/>
  <c r="AK660" i="10"/>
  <c r="AH584" i="10"/>
  <c r="AI584" i="10" s="1"/>
  <c r="AK584" i="10"/>
  <c r="AK649" i="10"/>
  <c r="AH649" i="10"/>
  <c r="AI649" i="10" s="1"/>
  <c r="AM809" i="10"/>
  <c r="AN809" i="10" s="1"/>
  <c r="AM55" i="10"/>
  <c r="AN55" i="10" s="1"/>
  <c r="AH691" i="10"/>
  <c r="AI691" i="10" s="1"/>
  <c r="AK691" i="10"/>
  <c r="AH807" i="10"/>
  <c r="AI807" i="10" s="1"/>
  <c r="AK807" i="10"/>
  <c r="AH252" i="10"/>
  <c r="AI252" i="10" s="1"/>
  <c r="AK252" i="10"/>
  <c r="AK204" i="10"/>
  <c r="AH204" i="10"/>
  <c r="AI204" i="10" s="1"/>
  <c r="AH822" i="10"/>
  <c r="AI822" i="10" s="1"/>
  <c r="AK822" i="10"/>
  <c r="AH854" i="10"/>
  <c r="AI854" i="10" s="1"/>
  <c r="AK854" i="10"/>
  <c r="AK324" i="10"/>
  <c r="AH324" i="10"/>
  <c r="AI324" i="10" s="1"/>
  <c r="AH264" i="10"/>
  <c r="AI264" i="10" s="1"/>
  <c r="AK264" i="10"/>
  <c r="AH651" i="10"/>
  <c r="AI651" i="10" s="1"/>
  <c r="AK651" i="10"/>
  <c r="AM974" i="10"/>
  <c r="AN974" i="10" s="1"/>
  <c r="AM469" i="10"/>
  <c r="AN469" i="10" s="1"/>
  <c r="AH874" i="10"/>
  <c r="AI874" i="10" s="1"/>
  <c r="AK874" i="10"/>
  <c r="AH659" i="10"/>
  <c r="AI659" i="10" s="1"/>
  <c r="AK659" i="10"/>
  <c r="AH448" i="10"/>
  <c r="AI448" i="10" s="1"/>
  <c r="AK448" i="10"/>
  <c r="AH506" i="10"/>
  <c r="AI506" i="10" s="1"/>
  <c r="AK506" i="10"/>
  <c r="AH1037" i="10"/>
  <c r="AI1037" i="10" s="1"/>
  <c r="AK1037" i="10"/>
  <c r="AH1076" i="10"/>
  <c r="AI1076" i="10" s="1"/>
  <c r="AK1076" i="10"/>
  <c r="AK315" i="10"/>
  <c r="AH315" i="10"/>
  <c r="AI315" i="10" s="1"/>
  <c r="AH304" i="10"/>
  <c r="AI304" i="10" s="1"/>
  <c r="AK304" i="10"/>
  <c r="AM963" i="10"/>
  <c r="AN963" i="10" s="1"/>
  <c r="AH789" i="10"/>
  <c r="AI789" i="10" s="1"/>
  <c r="AK789" i="10"/>
  <c r="AH539" i="10"/>
  <c r="AI539" i="10" s="1"/>
  <c r="AK539" i="10"/>
  <c r="AH1083" i="10"/>
  <c r="AI1083" i="10" s="1"/>
  <c r="AK1083" i="10"/>
  <c r="AH1145" i="10"/>
  <c r="AI1145" i="10" s="1"/>
  <c r="AK1145" i="10"/>
  <c r="AH235" i="10"/>
  <c r="AI235" i="10" s="1"/>
  <c r="AK235" i="10"/>
  <c r="AM150" i="10"/>
  <c r="AN150" i="10" s="1"/>
  <c r="AH11" i="10"/>
  <c r="AI11" i="10" s="1"/>
  <c r="AK11" i="10"/>
  <c r="AH1102" i="10"/>
  <c r="AI1102" i="10" s="1"/>
  <c r="AK1102" i="10"/>
  <c r="AK890" i="10"/>
  <c r="AH890" i="10"/>
  <c r="AI890" i="10" s="1"/>
  <c r="AK862" i="10"/>
  <c r="AH862" i="10"/>
  <c r="AI862" i="10" s="1"/>
  <c r="AH852" i="10"/>
  <c r="AI852" i="10" s="1"/>
  <c r="AK852" i="10"/>
  <c r="AK467" i="10"/>
  <c r="AH467" i="10"/>
  <c r="AI467" i="10" s="1"/>
  <c r="AH699" i="10"/>
  <c r="AI699" i="10" s="1"/>
  <c r="AK699" i="10"/>
  <c r="AM175" i="10"/>
  <c r="AN175" i="10" s="1"/>
  <c r="AM394" i="10"/>
  <c r="AN394" i="10" s="1"/>
  <c r="AK1047" i="10"/>
  <c r="AH1047" i="10"/>
  <c r="AI1047" i="10" s="1"/>
  <c r="AH67" i="10"/>
  <c r="AI67" i="10" s="1"/>
  <c r="AK67" i="10"/>
  <c r="AH1119" i="10"/>
  <c r="AI1119" i="10" s="1"/>
  <c r="AK1119" i="10"/>
  <c r="AH864" i="10"/>
  <c r="AI864" i="10" s="1"/>
  <c r="AK864" i="10"/>
  <c r="AH540" i="10"/>
  <c r="AI540" i="10" s="1"/>
  <c r="AK540" i="10"/>
  <c r="AH443" i="10"/>
  <c r="AI443" i="10" s="1"/>
  <c r="AK443" i="10"/>
  <c r="AM683" i="10"/>
  <c r="AN683" i="10" s="1"/>
  <c r="AM452" i="10"/>
  <c r="AN452" i="10" s="1"/>
  <c r="AM873" i="10"/>
  <c r="AN873" i="10" s="1"/>
  <c r="AM4" i="10"/>
  <c r="AN4" i="10" s="1"/>
  <c r="AM902" i="10"/>
  <c r="AN902" i="10" s="1"/>
  <c r="AM628" i="10"/>
  <c r="AN628" i="10" s="1"/>
  <c r="AM828" i="10"/>
  <c r="AN828" i="10" s="1"/>
  <c r="AM61" i="10"/>
  <c r="AN61" i="10" s="1"/>
  <c r="AM752" i="10"/>
  <c r="AN752" i="10" s="1"/>
  <c r="AM838" i="10"/>
  <c r="AN838" i="10" s="1"/>
  <c r="AM138" i="10"/>
  <c r="AN138" i="10" s="1"/>
  <c r="AK1025" i="10"/>
  <c r="AH1025" i="10"/>
  <c r="AI1025" i="10" s="1"/>
  <c r="AH238" i="10"/>
  <c r="AI238" i="10" s="1"/>
  <c r="AK238" i="10"/>
  <c r="AH1122" i="10"/>
  <c r="AI1122" i="10" s="1"/>
  <c r="AK1122" i="10"/>
  <c r="AM505" i="10"/>
  <c r="AN505" i="10" s="1"/>
  <c r="AK338" i="10"/>
  <c r="AH338" i="10"/>
  <c r="AI338" i="10" s="1"/>
  <c r="AK1174" i="10"/>
  <c r="AH1174" i="10"/>
  <c r="AI1174" i="10" s="1"/>
  <c r="AM80" i="10"/>
  <c r="AN80" i="10" s="1"/>
  <c r="AM1046" i="10"/>
  <c r="AN1046" i="10" s="1"/>
  <c r="AM1163" i="10"/>
  <c r="AN1163" i="10" s="1"/>
  <c r="AH39" i="10"/>
  <c r="AI39" i="10" s="1"/>
  <c r="AK39" i="10"/>
  <c r="AM636" i="10"/>
  <c r="AN636" i="10" s="1"/>
  <c r="AH922" i="10"/>
  <c r="AI922" i="10" s="1"/>
  <c r="AK922" i="10"/>
  <c r="AM1106" i="10"/>
  <c r="AN1106" i="10" s="1"/>
  <c r="AM970" i="10"/>
  <c r="AN970" i="10" s="1"/>
  <c r="AM307" i="10"/>
  <c r="AN307" i="10" s="1"/>
  <c r="AH640" i="10"/>
  <c r="AI640" i="10" s="1"/>
  <c r="AK640" i="10"/>
  <c r="AH111" i="10"/>
  <c r="AI111" i="10" s="1"/>
  <c r="AK111" i="10"/>
  <c r="AH1177" i="10"/>
  <c r="AI1177" i="10" s="1"/>
  <c r="AK1177" i="10"/>
  <c r="AK886" i="10"/>
  <c r="AH886" i="10"/>
  <c r="AI886" i="10" s="1"/>
  <c r="AK1157" i="10"/>
  <c r="AH1157" i="10"/>
  <c r="AI1157" i="10" s="1"/>
  <c r="AH601" i="10"/>
  <c r="AI601" i="10" s="1"/>
  <c r="AK601" i="10"/>
  <c r="AM486" i="10"/>
  <c r="AN486" i="10" s="1"/>
  <c r="AM341" i="10"/>
  <c r="AN341" i="10" s="1"/>
  <c r="AK165" i="10"/>
  <c r="AH165" i="10"/>
  <c r="AI165" i="10" s="1"/>
  <c r="AH259" i="10"/>
  <c r="AI259" i="10" s="1"/>
  <c r="AK259" i="10"/>
  <c r="AM137" i="10"/>
  <c r="AN137" i="10" s="1"/>
  <c r="AK1040" i="10"/>
  <c r="AH1040" i="10"/>
  <c r="AI1040" i="10" s="1"/>
  <c r="AM762" i="10"/>
  <c r="AN762" i="10" s="1"/>
  <c r="AM761" i="10"/>
  <c r="AN761" i="10" s="1"/>
  <c r="AM400" i="10"/>
  <c r="AN400" i="10" s="1"/>
  <c r="AM546" i="10"/>
  <c r="AN546" i="10" s="1"/>
  <c r="AM678" i="10"/>
  <c r="AN678" i="10" s="1"/>
  <c r="AH928" i="10"/>
  <c r="AI928" i="10" s="1"/>
  <c r="AK928" i="10"/>
  <c r="AH1065" i="10"/>
  <c r="AI1065" i="10" s="1"/>
  <c r="AK1065" i="10"/>
  <c r="AM897" i="10"/>
  <c r="AN897" i="10" s="1"/>
  <c r="AH51" i="10"/>
  <c r="AI51" i="10" s="1"/>
  <c r="AK51" i="10"/>
  <c r="AH983" i="10"/>
  <c r="AI983" i="10" s="1"/>
  <c r="AK983" i="10"/>
  <c r="AH390" i="10"/>
  <c r="AI390" i="10" s="1"/>
  <c r="AK390" i="10"/>
  <c r="AK372" i="10"/>
  <c r="AH372" i="10"/>
  <c r="AI372" i="10" s="1"/>
  <c r="AK572" i="10"/>
  <c r="AH572" i="10"/>
  <c r="AI572" i="10" s="1"/>
  <c r="AH267" i="10"/>
  <c r="AI267" i="10" s="1"/>
  <c r="AK267" i="10"/>
  <c r="AM1155" i="10"/>
  <c r="AN1155" i="10" s="1"/>
  <c r="AM180" i="10"/>
  <c r="AN180" i="10" s="1"/>
  <c r="AM399" i="10"/>
  <c r="AN399" i="10" s="1"/>
  <c r="AM787" i="10"/>
  <c r="AN787" i="10" s="1"/>
  <c r="AH782" i="10"/>
  <c r="AI782" i="10" s="1"/>
  <c r="AK782" i="10"/>
  <c r="AM219" i="10"/>
  <c r="AN219" i="10" s="1"/>
  <c r="AH956" i="10"/>
  <c r="AI956" i="10" s="1"/>
  <c r="AK956" i="10"/>
  <c r="AM1169" i="10"/>
  <c r="AN1169" i="10" s="1"/>
  <c r="AK263" i="10"/>
  <c r="AH263" i="10"/>
  <c r="AI263" i="10" s="1"/>
  <c r="AM872" i="10"/>
  <c r="AN872" i="10" s="1"/>
  <c r="AK776" i="10"/>
  <c r="AH776" i="10"/>
  <c r="AI776" i="10" s="1"/>
  <c r="AH1180" i="10"/>
  <c r="AI1180" i="10" s="1"/>
  <c r="AK1180" i="10"/>
  <c r="AH863" i="10"/>
  <c r="AI863" i="10" s="1"/>
  <c r="AK863" i="10"/>
  <c r="AM795" i="10"/>
  <c r="AN795" i="10" s="1"/>
  <c r="AM44" i="10"/>
  <c r="AN44" i="10" s="1"/>
  <c r="AM298" i="10"/>
  <c r="AN298" i="10" s="1"/>
  <c r="AM272" i="10"/>
  <c r="AN272" i="10" s="1"/>
  <c r="AM97" i="10"/>
  <c r="AN97" i="10" s="1"/>
  <c r="AH658" i="10"/>
  <c r="AI658" i="10" s="1"/>
  <c r="AK658" i="10"/>
  <c r="AM754" i="10"/>
  <c r="AN754" i="10" s="1"/>
  <c r="AM841" i="10"/>
  <c r="AN841" i="10" s="1"/>
  <c r="AH1005" i="10"/>
  <c r="AI1005" i="10" s="1"/>
  <c r="AK1005" i="10"/>
  <c r="AM598" i="10"/>
  <c r="AN598" i="10" s="1"/>
  <c r="AH286" i="10"/>
  <c r="AI286" i="10" s="1"/>
  <c r="AK286" i="10"/>
  <c r="AM992" i="10"/>
  <c r="AN992" i="10" s="1"/>
  <c r="AH1019" i="10"/>
  <c r="AI1019" i="10" s="1"/>
  <c r="AK1019" i="10"/>
  <c r="AH1080" i="10"/>
  <c r="AI1080" i="10" s="1"/>
  <c r="AK1080" i="10"/>
  <c r="AM802" i="10"/>
  <c r="AN802" i="10" s="1"/>
  <c r="AM635" i="10"/>
  <c r="AN635" i="10" s="1"/>
  <c r="AH706" i="10"/>
  <c r="AI706" i="10" s="1"/>
  <c r="AK706" i="10"/>
  <c r="AH172" i="10"/>
  <c r="AI172" i="10" s="1"/>
  <c r="AK172" i="10"/>
  <c r="AH972" i="10"/>
  <c r="AI972" i="10" s="1"/>
  <c r="AK972" i="10"/>
  <c r="AM855" i="10"/>
  <c r="AN855" i="10" s="1"/>
  <c r="AM982" i="10"/>
  <c r="AN982" i="10" s="1"/>
  <c r="AM941" i="10"/>
  <c r="AN941" i="10" s="1"/>
  <c r="AM240" i="10"/>
  <c r="AN240" i="10" s="1"/>
  <c r="AM764" i="10"/>
  <c r="AN764" i="10" s="1"/>
  <c r="AH981" i="10"/>
  <c r="AI981" i="10" s="1"/>
  <c r="AK981" i="10"/>
  <c r="AM1007" i="10"/>
  <c r="AN1007" i="10" s="1"/>
  <c r="AH468" i="10"/>
  <c r="AI468" i="10" s="1"/>
  <c r="AK468" i="10"/>
  <c r="AK91" i="10"/>
  <c r="AH91" i="10"/>
  <c r="AI91" i="10" s="1"/>
  <c r="AH1143" i="10"/>
  <c r="AI1143" i="10" s="1"/>
  <c r="AK1143" i="10"/>
  <c r="AH1095" i="10"/>
  <c r="AI1095" i="10" s="1"/>
  <c r="AK1095" i="10"/>
  <c r="AK118" i="10"/>
  <c r="AH118" i="10"/>
  <c r="AI118" i="10" s="1"/>
  <c r="AH189" i="10"/>
  <c r="AI189" i="10" s="1"/>
  <c r="AK189" i="10"/>
  <c r="AH875" i="10"/>
  <c r="AI875" i="10" s="1"/>
  <c r="AK875" i="10"/>
  <c r="AH827" i="10"/>
  <c r="AI827" i="10" s="1"/>
  <c r="AK827" i="10"/>
  <c r="AK937" i="10"/>
  <c r="AH937" i="10"/>
  <c r="AI937" i="10" s="1"/>
  <c r="AH1099" i="10"/>
  <c r="AI1099" i="10" s="1"/>
  <c r="AK1099" i="10"/>
  <c r="AH1091" i="10"/>
  <c r="AI1091" i="10" s="1"/>
  <c r="AK1091" i="10"/>
  <c r="AK836" i="10"/>
  <c r="AH836" i="10"/>
  <c r="AI836" i="10" s="1"/>
  <c r="AH685" i="10"/>
  <c r="AI685" i="10" s="1"/>
  <c r="AK685" i="10"/>
  <c r="AK20" i="10"/>
  <c r="AH20" i="10"/>
  <c r="AI20" i="10" s="1"/>
  <c r="AH31" i="10"/>
  <c r="AI31" i="10" s="1"/>
  <c r="AK31" i="10"/>
  <c r="AH381" i="10"/>
  <c r="AI381" i="10" s="1"/>
  <c r="AK381" i="10"/>
  <c r="AK672" i="10"/>
  <c r="AH672" i="10"/>
  <c r="AI672" i="10" s="1"/>
  <c r="AK569" i="10"/>
  <c r="AH569" i="10"/>
  <c r="AI569" i="10" s="1"/>
  <c r="AK1061" i="10"/>
  <c r="AH1061" i="10"/>
  <c r="AI1061" i="10" s="1"/>
  <c r="AH426" i="10"/>
  <c r="AI426" i="10" s="1"/>
  <c r="AK426" i="10"/>
  <c r="AH435" i="10"/>
  <c r="AI435" i="10" s="1"/>
  <c r="AK435" i="10"/>
  <c r="AH713" i="10"/>
  <c r="AI713" i="10" s="1"/>
  <c r="AK713" i="10"/>
  <c r="AH1162" i="10"/>
  <c r="AI1162" i="10" s="1"/>
  <c r="AK1162" i="10"/>
  <c r="AH669" i="10"/>
  <c r="AI669" i="10" s="1"/>
  <c r="AK669" i="10"/>
  <c r="AH206" i="10"/>
  <c r="AI206" i="10" s="1"/>
  <c r="AK206" i="10"/>
  <c r="AK809" i="10"/>
  <c r="AH809" i="10"/>
  <c r="AI809" i="10" s="1"/>
  <c r="AH55" i="10"/>
  <c r="AI55" i="10" s="1"/>
  <c r="AK55" i="10"/>
  <c r="AM840" i="10"/>
  <c r="AN840" i="10" s="1"/>
  <c r="AM24" i="10"/>
  <c r="AN24" i="10" s="1"/>
  <c r="AM578" i="10"/>
  <c r="AN578" i="10" s="1"/>
  <c r="AM248" i="10"/>
  <c r="AN248" i="10" s="1"/>
  <c r="AM717" i="10"/>
  <c r="AN717" i="10" s="1"/>
  <c r="AM1135" i="10"/>
  <c r="AN1135" i="10" s="1"/>
  <c r="AM581" i="10"/>
  <c r="AN581" i="10" s="1"/>
  <c r="AM223" i="10"/>
  <c r="AN223" i="10" s="1"/>
  <c r="AH594" i="10"/>
  <c r="AI594" i="10" s="1"/>
  <c r="AK594" i="10"/>
  <c r="AH974" i="10"/>
  <c r="AI974" i="10" s="1"/>
  <c r="AK974" i="10"/>
  <c r="AM909" i="10"/>
  <c r="AN909" i="10" s="1"/>
  <c r="AM798" i="10"/>
  <c r="AN798" i="10" s="1"/>
  <c r="AM577" i="10"/>
  <c r="AN577" i="10" s="1"/>
  <c r="AM337" i="10"/>
  <c r="AN337" i="10" s="1"/>
  <c r="AM520" i="10"/>
  <c r="AN520" i="10" s="1"/>
  <c r="AM1187" i="10"/>
  <c r="AN1187" i="10" s="1"/>
  <c r="AM155" i="10"/>
  <c r="AN155" i="10" s="1"/>
  <c r="AM1055" i="10"/>
  <c r="AN1055" i="10" s="1"/>
  <c r="AM1020" i="10"/>
  <c r="AN1020" i="10" s="1"/>
  <c r="AM283" i="10"/>
  <c r="AN283" i="10" s="1"/>
  <c r="AH963" i="10"/>
  <c r="AI963" i="10" s="1"/>
  <c r="AK963" i="10"/>
  <c r="AM287" i="10"/>
  <c r="AN287" i="10" s="1"/>
  <c r="AM1008" i="10"/>
  <c r="AN1008" i="10" s="1"/>
  <c r="AM207" i="10"/>
  <c r="AN207" i="10" s="1"/>
  <c r="AM959" i="10"/>
  <c r="AN959" i="10" s="1"/>
  <c r="AM1026" i="10"/>
  <c r="AN1026" i="10" s="1"/>
  <c r="AM966" i="10"/>
  <c r="AN966" i="10" s="1"/>
  <c r="AH988" i="10"/>
  <c r="AI988" i="10" s="1"/>
  <c r="AK988" i="10"/>
  <c r="AM196" i="10"/>
  <c r="AN196" i="10" s="1"/>
  <c r="AM554" i="10"/>
  <c r="AN554" i="10" s="1"/>
  <c r="AM1152" i="10"/>
  <c r="AN1152" i="10" s="1"/>
  <c r="AH21" i="10"/>
  <c r="AI21" i="10" s="1"/>
  <c r="AK21" i="10"/>
  <c r="AM151" i="10"/>
  <c r="AN151" i="10" s="1"/>
  <c r="AM521" i="10"/>
  <c r="AN521" i="10" s="1"/>
  <c r="AH246" i="10"/>
  <c r="AI246" i="10" s="1"/>
  <c r="AK246" i="10"/>
  <c r="AM1117" i="10"/>
  <c r="AN1117" i="10" s="1"/>
  <c r="AM75" i="10"/>
  <c r="AN75" i="10" s="1"/>
  <c r="AM1098" i="10"/>
  <c r="AN1098" i="10" s="1"/>
  <c r="AH175" i="10"/>
  <c r="AI175" i="10" s="1"/>
  <c r="AK175" i="10"/>
  <c r="AH394" i="10"/>
  <c r="AI394" i="10" s="1"/>
  <c r="AK394" i="10"/>
  <c r="AM1175" i="10"/>
  <c r="AN1175" i="10" s="1"/>
  <c r="AM29" i="10"/>
  <c r="AN29" i="10" s="1"/>
  <c r="AM676" i="10"/>
  <c r="AN676" i="10" s="1"/>
  <c r="AM805" i="10"/>
  <c r="AN805" i="10" s="1"/>
  <c r="AM84" i="10"/>
  <c r="AN84" i="10" s="1"/>
  <c r="AM652" i="10"/>
  <c r="AN652" i="10" s="1"/>
  <c r="AK683" i="10"/>
  <c r="AH683" i="10"/>
  <c r="AI683" i="10" s="1"/>
  <c r="AH452" i="10"/>
  <c r="AI452" i="10" s="1"/>
  <c r="AK452" i="10"/>
  <c r="AH873" i="10"/>
  <c r="AI873" i="10" s="1"/>
  <c r="AK873" i="10"/>
  <c r="AH4" i="10"/>
  <c r="AI4" i="10" s="1"/>
  <c r="AK4" i="10"/>
  <c r="AK902" i="10"/>
  <c r="AH902" i="10"/>
  <c r="AI902" i="10" s="1"/>
  <c r="AH628" i="10"/>
  <c r="AI628" i="10" s="1"/>
  <c r="AK628" i="10"/>
  <c r="AH828" i="10"/>
  <c r="AI828" i="10" s="1"/>
  <c r="AK828" i="10"/>
  <c r="AH61" i="10"/>
  <c r="AI61" i="10" s="1"/>
  <c r="AK61" i="10"/>
  <c r="AK752" i="10"/>
  <c r="AH752" i="10"/>
  <c r="AI752" i="10" s="1"/>
  <c r="AH838" i="10"/>
  <c r="AI838" i="10" s="1"/>
  <c r="AK838" i="10"/>
  <c r="AK138" i="10"/>
  <c r="AH138" i="10"/>
  <c r="AI138" i="10" s="1"/>
  <c r="AM603" i="10"/>
  <c r="AN603" i="10" s="1"/>
  <c r="AH1150" i="10"/>
  <c r="AI1150" i="10" s="1"/>
  <c r="AK1150" i="10"/>
  <c r="AH505" i="10"/>
  <c r="AI505" i="10" s="1"/>
  <c r="AK505" i="10"/>
  <c r="AH496" i="10"/>
  <c r="AI496" i="10" s="1"/>
  <c r="AK496" i="10"/>
  <c r="AH80" i="10"/>
  <c r="AI80" i="10" s="1"/>
  <c r="AK80" i="10"/>
  <c r="AH1046" i="10"/>
  <c r="AI1046" i="10" s="1"/>
  <c r="AK1046" i="10"/>
  <c r="AH1163" i="10"/>
  <c r="AI1163" i="10" s="1"/>
  <c r="AK1163" i="10"/>
  <c r="AH636" i="10"/>
  <c r="AI636" i="10" s="1"/>
  <c r="AK636" i="10"/>
  <c r="AK1106" i="10"/>
  <c r="AH1106" i="10"/>
  <c r="AI1106" i="10" s="1"/>
  <c r="AK970" i="10"/>
  <c r="AH970" i="10"/>
  <c r="AI970" i="10" s="1"/>
  <c r="AH307" i="10"/>
  <c r="AI307" i="10" s="1"/>
  <c r="AK307" i="10"/>
  <c r="AM494" i="10"/>
  <c r="AN494" i="10" s="1"/>
  <c r="AM370" i="10"/>
  <c r="AN370" i="10" s="1"/>
  <c r="AM969" i="10"/>
  <c r="AN969" i="10" s="1"/>
  <c r="AM527" i="10"/>
  <c r="AN527" i="10" s="1"/>
  <c r="AM920" i="10"/>
  <c r="AN920" i="10" s="1"/>
  <c r="AH486" i="10"/>
  <c r="AI486" i="10" s="1"/>
  <c r="AK486" i="10"/>
  <c r="AM268" i="10"/>
  <c r="AN268" i="10" s="1"/>
  <c r="AM1158" i="10"/>
  <c r="AN1158" i="10" s="1"/>
  <c r="AM1147" i="10"/>
  <c r="AN1147" i="10" s="1"/>
  <c r="AM487" i="10"/>
  <c r="AN487" i="10" s="1"/>
  <c r="AH820" i="10"/>
  <c r="AI820" i="10" s="1"/>
  <c r="AK820" i="10"/>
  <c r="AM929" i="10"/>
  <c r="AN929" i="10" s="1"/>
  <c r="AK761" i="10"/>
  <c r="AH761" i="10"/>
  <c r="AI761" i="10" s="1"/>
  <c r="AK546" i="10"/>
  <c r="AH546" i="10"/>
  <c r="AI546" i="10" s="1"/>
  <c r="AH678" i="10"/>
  <c r="AI678" i="10" s="1"/>
  <c r="AK678" i="10"/>
  <c r="AH434" i="10"/>
  <c r="AI434" i="10" s="1"/>
  <c r="AK434" i="10"/>
  <c r="AM889" i="10"/>
  <c r="AN889" i="10" s="1"/>
  <c r="AM380" i="10"/>
  <c r="AN380" i="10" s="1"/>
  <c r="AM349" i="10"/>
  <c r="AN349" i="10" s="1"/>
  <c r="AM214" i="10"/>
  <c r="AN214" i="10" s="1"/>
  <c r="AH936" i="10"/>
  <c r="AI936" i="10" s="1"/>
  <c r="AK936" i="10"/>
  <c r="AH405" i="10"/>
  <c r="AI405" i="10" s="1"/>
  <c r="AK405" i="10"/>
  <c r="AK180" i="10"/>
  <c r="AH180" i="10"/>
  <c r="AI180" i="10" s="1"/>
  <c r="AK787" i="10"/>
  <c r="AH787" i="10"/>
  <c r="AI787" i="10" s="1"/>
  <c r="AH219" i="10"/>
  <c r="AI219" i="10" s="1"/>
  <c r="AK219" i="10"/>
  <c r="AM412" i="10"/>
  <c r="AN412" i="10" s="1"/>
  <c r="AM882" i="10"/>
  <c r="AN882" i="10" s="1"/>
  <c r="AM365" i="10"/>
  <c r="AN365" i="10" s="1"/>
  <c r="AM1034" i="10"/>
  <c r="AN1034" i="10" s="1"/>
  <c r="AM12" i="10"/>
  <c r="AN12" i="10" s="1"/>
  <c r="AH619" i="10"/>
  <c r="AI619" i="10" s="1"/>
  <c r="AK619" i="10"/>
  <c r="AM742" i="10"/>
  <c r="AN742" i="10" s="1"/>
  <c r="AH795" i="10"/>
  <c r="AI795" i="10" s="1"/>
  <c r="AK795" i="10"/>
  <c r="AK44" i="10"/>
  <c r="AH44" i="10"/>
  <c r="AI44" i="10" s="1"/>
  <c r="AK298" i="10"/>
  <c r="AH298" i="10"/>
  <c r="AI298" i="10" s="1"/>
  <c r="AH272" i="10"/>
  <c r="AI272" i="10" s="1"/>
  <c r="AK272" i="10"/>
  <c r="AH97" i="10"/>
  <c r="AI97" i="10" s="1"/>
  <c r="AK97" i="10"/>
  <c r="AM419" i="10"/>
  <c r="AN419" i="10" s="1"/>
  <c r="AH754" i="10"/>
  <c r="AI754" i="10" s="1"/>
  <c r="AK754" i="10"/>
  <c r="AM819" i="10"/>
  <c r="AN819" i="10" s="1"/>
  <c r="AM470" i="10"/>
  <c r="AN470" i="10" s="1"/>
  <c r="AH598" i="10"/>
  <c r="AI598" i="10" s="1"/>
  <c r="AK598" i="10"/>
  <c r="AK992" i="10"/>
  <c r="AH992" i="10"/>
  <c r="AI992" i="10" s="1"/>
  <c r="AH802" i="10"/>
  <c r="AI802" i="10" s="1"/>
  <c r="AK802" i="10"/>
  <c r="AH635" i="10"/>
  <c r="AI635" i="10" s="1"/>
  <c r="AK635" i="10"/>
  <c r="AM199" i="10"/>
  <c r="AN199" i="10" s="1"/>
  <c r="AH1087" i="10"/>
  <c r="AI1087" i="10" s="1"/>
  <c r="AK1087" i="10"/>
  <c r="AM300" i="10"/>
  <c r="AN300" i="10" s="1"/>
  <c r="AH855" i="10"/>
  <c r="AI855" i="10" s="1"/>
  <c r="AK855" i="10"/>
  <c r="AH982" i="10"/>
  <c r="AI982" i="10" s="1"/>
  <c r="AK982" i="10"/>
  <c r="AH941" i="10"/>
  <c r="AI941" i="10" s="1"/>
  <c r="AK941" i="10"/>
  <c r="AH240" i="10"/>
  <c r="AI240" i="10" s="1"/>
  <c r="AK240" i="10"/>
  <c r="AH764" i="10"/>
  <c r="AI764" i="10" s="1"/>
  <c r="AK764" i="10"/>
  <c r="AM834" i="10"/>
  <c r="AN834" i="10" s="1"/>
  <c r="AH1007" i="10"/>
  <c r="AI1007" i="10" s="1"/>
  <c r="AK1007" i="10"/>
  <c r="AH289" i="10"/>
  <c r="AI289" i="10" s="1"/>
  <c r="AK289" i="10"/>
  <c r="AM468" i="10"/>
  <c r="AN468" i="10" s="1"/>
  <c r="AM56" i="10"/>
  <c r="AN56" i="10" s="1"/>
  <c r="AM1118" i="10"/>
  <c r="AN1118" i="10" s="1"/>
  <c r="AM1143" i="10"/>
  <c r="AN1143" i="10" s="1"/>
  <c r="AH1112" i="10"/>
  <c r="AI1112" i="10" s="1"/>
  <c r="AK1112" i="10"/>
  <c r="AK371" i="10"/>
  <c r="AH371" i="10"/>
  <c r="AI371" i="10" s="1"/>
  <c r="AK378" i="10"/>
  <c r="AH378" i="10"/>
  <c r="AI378" i="10" s="1"/>
  <c r="AM653" i="10"/>
  <c r="AN653" i="10" s="1"/>
  <c r="AK695" i="10"/>
  <c r="AH695" i="10"/>
  <c r="AI695" i="10" s="1"/>
  <c r="AM508" i="10"/>
  <c r="AN508" i="10" s="1"/>
  <c r="AM884" i="10"/>
  <c r="AN884" i="10" s="1"/>
  <c r="AM876" i="10"/>
  <c r="AN876" i="10" s="1"/>
  <c r="AH455" i="10"/>
  <c r="AI455" i="10" s="1"/>
  <c r="AK455" i="10"/>
  <c r="AM827" i="10"/>
  <c r="AN827" i="10" s="1"/>
  <c r="AH710" i="10"/>
  <c r="AI710" i="10" s="1"/>
  <c r="AK710" i="10"/>
  <c r="AK605" i="10"/>
  <c r="AH605" i="10"/>
  <c r="AI605" i="10" s="1"/>
  <c r="AH186" i="10"/>
  <c r="AI186" i="10" s="1"/>
  <c r="AK186" i="10"/>
  <c r="AH837" i="10"/>
  <c r="AI837" i="10" s="1"/>
  <c r="AK837" i="10"/>
  <c r="AH662" i="10"/>
  <c r="AI662" i="10" s="1"/>
  <c r="AK662" i="10"/>
  <c r="AH499" i="10"/>
  <c r="AI499" i="10" s="1"/>
  <c r="AK499" i="10"/>
  <c r="AK350" i="10"/>
  <c r="AH350" i="10"/>
  <c r="AI350" i="10" s="1"/>
  <c r="AK525" i="10"/>
  <c r="AH525" i="10"/>
  <c r="AI525" i="10" s="1"/>
  <c r="AH233" i="10"/>
  <c r="AI233" i="10" s="1"/>
  <c r="AK233" i="10"/>
  <c r="AH830" i="10"/>
  <c r="AI830" i="10" s="1"/>
  <c r="AK830" i="10"/>
  <c r="AH1098" i="10"/>
  <c r="AI1098" i="10" s="1"/>
  <c r="AK1098" i="10"/>
  <c r="AH1175" i="10"/>
  <c r="AI1175" i="10" s="1"/>
  <c r="AK1175" i="10"/>
  <c r="AH29" i="10"/>
  <c r="AI29" i="10" s="1"/>
  <c r="AK29" i="10"/>
  <c r="AK676" i="10"/>
  <c r="AH676" i="10"/>
  <c r="AI676" i="10" s="1"/>
  <c r="AH805" i="10"/>
  <c r="AI805" i="10" s="1"/>
  <c r="AK805" i="10"/>
  <c r="AH652" i="10"/>
  <c r="AI652" i="10" s="1"/>
  <c r="AK652" i="10"/>
  <c r="AK603" i="10"/>
  <c r="AH603" i="10"/>
  <c r="AI603" i="10" s="1"/>
  <c r="AH703" i="10"/>
  <c r="AI703" i="10" s="1"/>
  <c r="AK703" i="10"/>
  <c r="AH461" i="10"/>
  <c r="AI461" i="10" s="1"/>
  <c r="AK461" i="10"/>
  <c r="AH969" i="10"/>
  <c r="AI969" i="10" s="1"/>
  <c r="AK969" i="10"/>
  <c r="AH527" i="10"/>
  <c r="AI527" i="10" s="1"/>
  <c r="AK527" i="10"/>
  <c r="AH920" i="10"/>
  <c r="AI920" i="10" s="1"/>
  <c r="AK920" i="10"/>
  <c r="AH929" i="10"/>
  <c r="AI929" i="10" s="1"/>
  <c r="AK929" i="10"/>
  <c r="AH700" i="10"/>
  <c r="AI700" i="10" s="1"/>
  <c r="AK700" i="10"/>
  <c r="AH889" i="10"/>
  <c r="AI889" i="10" s="1"/>
  <c r="AK889" i="10"/>
  <c r="AH365" i="10"/>
  <c r="AI365" i="10" s="1"/>
  <c r="AK365" i="10"/>
  <c r="AH1034" i="10"/>
  <c r="AI1034" i="10" s="1"/>
  <c r="AK1034" i="10"/>
  <c r="AK12" i="10"/>
  <c r="AH12" i="10"/>
  <c r="AI12" i="10" s="1"/>
  <c r="AH419" i="10"/>
  <c r="AI419" i="10" s="1"/>
  <c r="AK419" i="10"/>
  <c r="AH199" i="10"/>
  <c r="AI199" i="10" s="1"/>
  <c r="AK199" i="10"/>
  <c r="AH834" i="10"/>
  <c r="AI834" i="10" s="1"/>
  <c r="AK834" i="10"/>
  <c r="AH1146" i="10"/>
  <c r="AI1146" i="10" s="1"/>
  <c r="AK1146" i="10"/>
  <c r="AH551" i="10"/>
  <c r="AI551" i="10" s="1"/>
  <c r="AK551" i="10"/>
  <c r="AH791" i="10"/>
  <c r="AI791" i="10" s="1"/>
  <c r="AK791" i="10"/>
  <c r="AH112" i="10"/>
  <c r="AI112" i="10" s="1"/>
  <c r="AK112" i="10"/>
  <c r="AK449" i="10"/>
  <c r="AH449" i="10"/>
  <c r="AI449" i="10" s="1"/>
  <c r="AK131" i="10"/>
  <c r="AH131" i="10"/>
  <c r="AI131" i="10" s="1"/>
  <c r="AK851" i="10"/>
  <c r="AH851" i="10"/>
  <c r="AI851" i="10" s="1"/>
  <c r="AK701" i="10"/>
  <c r="AH701" i="10"/>
  <c r="AI701" i="10" s="1"/>
  <c r="AK916" i="10"/>
  <c r="AH916" i="10"/>
  <c r="AI916" i="10" s="1"/>
  <c r="AM830" i="10"/>
  <c r="AN830" i="10" s="1"/>
  <c r="AH1194" i="10"/>
  <c r="AI1194" i="10" s="1"/>
  <c r="AK1194" i="10"/>
  <c r="AH871" i="10"/>
  <c r="AI871" i="10" s="1"/>
  <c r="AK871" i="10"/>
  <c r="AK314" i="10"/>
  <c r="AH314" i="10"/>
  <c r="AI314" i="10" s="1"/>
  <c r="AH933" i="10"/>
  <c r="AI933" i="10" s="1"/>
  <c r="AK933" i="10"/>
  <c r="AM461" i="10"/>
  <c r="AN461" i="10" s="1"/>
  <c r="AH853" i="10"/>
  <c r="AI853" i="10" s="1"/>
  <c r="AK853" i="10"/>
  <c r="AH1190" i="10"/>
  <c r="AI1190" i="10" s="1"/>
  <c r="AK1190" i="10"/>
  <c r="AH856" i="10"/>
  <c r="AI856" i="10" s="1"/>
  <c r="AK856" i="10"/>
  <c r="AK1188" i="10"/>
  <c r="AH1188" i="10"/>
  <c r="AI1188" i="10" s="1"/>
  <c r="AM700" i="10"/>
  <c r="AN700" i="10" s="1"/>
  <c r="AH627" i="10"/>
  <c r="AI627" i="10" s="1"/>
  <c r="AK627" i="10"/>
  <c r="AH913" i="10"/>
  <c r="AI913" i="10" s="1"/>
  <c r="AK913" i="10"/>
  <c r="AH630" i="10"/>
  <c r="AI630" i="10" s="1"/>
  <c r="AK630" i="10"/>
  <c r="AK244" i="10"/>
  <c r="AH244" i="10"/>
  <c r="AI244" i="10" s="1"/>
  <c r="AH870" i="10"/>
  <c r="AI870" i="10" s="1"/>
  <c r="AK870" i="10"/>
  <c r="AH549" i="10"/>
  <c r="AI549" i="10" s="1"/>
  <c r="AK549" i="10"/>
  <c r="AK109" i="10"/>
  <c r="AH109" i="10"/>
  <c r="AI109" i="10" s="1"/>
  <c r="AH398" i="10"/>
  <c r="AI398" i="10" s="1"/>
  <c r="AK398" i="10"/>
  <c r="AK865" i="10"/>
  <c r="AH865" i="10"/>
  <c r="AI865" i="10" s="1"/>
  <c r="AH1136" i="10"/>
  <c r="AI1136" i="10" s="1"/>
  <c r="AK1136" i="10"/>
  <c r="AH947" i="10"/>
  <c r="AI947" i="10" s="1"/>
  <c r="AK947" i="10"/>
  <c r="AH491" i="10"/>
  <c r="AI491" i="10" s="1"/>
  <c r="AK491" i="10"/>
  <c r="AH98" i="10"/>
  <c r="AI98" i="10" s="1"/>
  <c r="AK98" i="10"/>
  <c r="AH760" i="10"/>
  <c r="AI760" i="10" s="1"/>
  <c r="AK760" i="10"/>
  <c r="AK1127" i="10"/>
  <c r="AH1127" i="10"/>
  <c r="AI1127" i="10" s="1"/>
  <c r="AH1170" i="10"/>
  <c r="AI1170" i="10" s="1"/>
  <c r="AK1170" i="10"/>
  <c r="AH451" i="10"/>
  <c r="AI451" i="10" s="1"/>
  <c r="AK451" i="10"/>
  <c r="AH1048" i="10"/>
  <c r="AI1048" i="10" s="1"/>
  <c r="AK1048" i="10"/>
  <c r="AH476" i="10"/>
  <c r="AI476" i="10" s="1"/>
  <c r="AK476" i="10"/>
  <c r="AH90" i="10"/>
  <c r="AI90" i="10" s="1"/>
  <c r="AK90" i="10"/>
  <c r="AH843" i="10"/>
  <c r="AI843" i="10" s="1"/>
  <c r="AK843" i="10"/>
  <c r="AH70" i="10"/>
  <c r="AI70" i="10" s="1"/>
  <c r="AK70" i="10"/>
  <c r="AH215" i="10"/>
  <c r="AI215" i="10" s="1"/>
  <c r="AK215" i="10"/>
  <c r="AH64" i="10"/>
  <c r="AI64" i="10" s="1"/>
  <c r="AK64" i="10"/>
  <c r="AH179" i="10"/>
  <c r="AI179" i="10" s="1"/>
  <c r="AK179" i="10"/>
  <c r="AM457" i="10"/>
  <c r="AN457" i="10" s="1"/>
  <c r="AH105" i="10"/>
  <c r="AI105" i="10" s="1"/>
  <c r="AK105" i="10"/>
  <c r="AH917" i="10"/>
  <c r="AI917" i="10" s="1"/>
  <c r="AK917" i="10"/>
  <c r="AM117" i="10"/>
  <c r="AN117" i="10" s="1"/>
  <c r="AH858" i="10"/>
  <c r="AI858" i="10" s="1"/>
  <c r="AK858" i="10"/>
  <c r="AH1144" i="10"/>
  <c r="AI1144" i="10" s="1"/>
  <c r="B12" i="17" s="1"/>
  <c r="AK1144" i="10"/>
  <c r="B9" i="17" s="1"/>
  <c r="AM728" i="10"/>
  <c r="AN728" i="10" s="1"/>
  <c r="AH1057" i="10"/>
  <c r="AI1057" i="10" s="1"/>
  <c r="AK1057" i="10"/>
  <c r="AK1134" i="10"/>
  <c r="AH1134" i="10"/>
  <c r="AI1134" i="10" s="1"/>
  <c r="AK9" i="10"/>
  <c r="AH9" i="10"/>
  <c r="AI9" i="10" s="1"/>
  <c r="AK100" i="10"/>
  <c r="AH100" i="10"/>
  <c r="AI100" i="10" s="1"/>
  <c r="AK373" i="10"/>
  <c r="AH373" i="10"/>
  <c r="AI373" i="10" s="1"/>
  <c r="AH1039" i="10"/>
  <c r="AI1039" i="10" s="1"/>
  <c r="AK1039" i="10"/>
  <c r="AH425" i="10"/>
  <c r="AI425" i="10" s="1"/>
  <c r="AK425" i="10"/>
  <c r="AH600" i="10"/>
  <c r="AI600" i="10" s="1"/>
  <c r="AK600" i="10"/>
  <c r="AH1135" i="10"/>
  <c r="AI1135" i="10" s="1"/>
  <c r="AK1135" i="10"/>
  <c r="AK223" i="10"/>
  <c r="AH223" i="10"/>
  <c r="AI223" i="10" s="1"/>
  <c r="AH577" i="10"/>
  <c r="AI577" i="10" s="1"/>
  <c r="AK577" i="10"/>
  <c r="AH521" i="10"/>
  <c r="AI521" i="10" s="1"/>
  <c r="AK521" i="10"/>
  <c r="AM233" i="10"/>
  <c r="AN233" i="10" s="1"/>
  <c r="AH243" i="10"/>
  <c r="AI243" i="10" s="1"/>
  <c r="AK243" i="10"/>
  <c r="AK221" i="10"/>
  <c r="AH221" i="10"/>
  <c r="AI221" i="10" s="1"/>
  <c r="AH334" i="10"/>
  <c r="AI334" i="10" s="1"/>
  <c r="AK334" i="10"/>
  <c r="AM703" i="10"/>
  <c r="AN703" i="10" s="1"/>
  <c r="AH205" i="10"/>
  <c r="AI205" i="10" s="1"/>
  <c r="AK205" i="10"/>
  <c r="AH778" i="10"/>
  <c r="AI778" i="10" s="1"/>
  <c r="AK778" i="10"/>
  <c r="AH375" i="10"/>
  <c r="AI375" i="10" s="1"/>
  <c r="AK375" i="10"/>
  <c r="AH391" i="10"/>
  <c r="AI391" i="10" s="1"/>
  <c r="AK391" i="10"/>
  <c r="AH813" i="10"/>
  <c r="AI813" i="10" s="1"/>
  <c r="AK813" i="10"/>
  <c r="AM731" i="10"/>
  <c r="AN731" i="10" s="1"/>
  <c r="AH1124" i="10"/>
  <c r="AI1124" i="10" s="1"/>
  <c r="AK1124" i="10"/>
  <c r="AH753" i="10"/>
  <c r="AI753" i="10" s="1"/>
  <c r="AK753" i="10"/>
  <c r="AH404" i="10"/>
  <c r="AI404" i="10" s="1"/>
  <c r="AK404" i="10"/>
  <c r="AH482" i="10"/>
  <c r="AI482" i="10" s="1"/>
  <c r="AK482" i="10"/>
  <c r="AH618" i="10"/>
  <c r="AI618" i="10" s="1"/>
  <c r="AK618" i="10"/>
  <c r="AH919" i="10"/>
  <c r="AI919" i="10" s="1"/>
  <c r="AK919" i="10"/>
  <c r="AM202" i="10"/>
  <c r="AN202" i="10" s="1"/>
  <c r="AM570" i="10"/>
  <c r="AN570" i="10" s="1"/>
  <c r="AH845" i="10"/>
  <c r="AI845" i="10" s="1"/>
  <c r="AK845" i="10"/>
  <c r="AM719" i="10"/>
  <c r="AN719" i="10" s="1"/>
  <c r="AH1052" i="10"/>
  <c r="AI1052" i="10" s="1"/>
  <c r="AK1052" i="10"/>
  <c r="AK1184" i="10"/>
  <c r="AH1184" i="10"/>
  <c r="AI1184" i="10" s="1"/>
  <c r="AK222" i="10"/>
  <c r="AH222" i="10"/>
  <c r="AI222" i="10" s="1"/>
  <c r="AH1063" i="10"/>
  <c r="AI1063" i="10" s="1"/>
  <c r="AK1063" i="10"/>
  <c r="AH604" i="10"/>
  <c r="AI604" i="10" s="1"/>
  <c r="AK604" i="10"/>
  <c r="AH444" i="10"/>
  <c r="AI444" i="10" s="1"/>
  <c r="AK444" i="10"/>
  <c r="AK512" i="10"/>
  <c r="AH512" i="10"/>
  <c r="AI512" i="10" s="1"/>
  <c r="AH296" i="10"/>
  <c r="AI296" i="10" s="1"/>
  <c r="AK296" i="10"/>
  <c r="AH313" i="10"/>
  <c r="AI313" i="10" s="1"/>
  <c r="AK313" i="10"/>
  <c r="AH641" i="10"/>
  <c r="AI641" i="10" s="1"/>
  <c r="AK641" i="10"/>
  <c r="AH344" i="10"/>
  <c r="AI344" i="10" s="1"/>
  <c r="AK344" i="10"/>
  <c r="AM746" i="10"/>
  <c r="AN746" i="10" s="1"/>
  <c r="AH716" i="10"/>
  <c r="AI716" i="10" s="1"/>
  <c r="AK716" i="10"/>
  <c r="AH436" i="10"/>
  <c r="AI436" i="10" s="1"/>
  <c r="AK436" i="10"/>
  <c r="AH203" i="10"/>
  <c r="AI203" i="10" s="1"/>
  <c r="AK203" i="10"/>
  <c r="AM551" i="10"/>
  <c r="AN551" i="10" s="1"/>
  <c r="AH1121" i="10"/>
  <c r="AI1121" i="10" s="1"/>
  <c r="AK1121" i="10"/>
  <c r="AK200" i="10"/>
  <c r="AH200" i="10"/>
  <c r="AI200" i="10" s="1"/>
  <c r="AH516" i="10"/>
  <c r="AI516" i="10" s="1"/>
  <c r="AK516" i="10"/>
  <c r="AM811" i="10"/>
  <c r="AN811" i="10" s="1"/>
  <c r="AH980" i="10"/>
  <c r="AI980" i="10" s="1"/>
  <c r="AK980" i="10"/>
  <c r="AK357" i="10"/>
  <c r="AH357" i="10"/>
  <c r="AI357" i="10" s="1"/>
  <c r="AH210" i="10"/>
  <c r="AI210" i="10" s="1"/>
  <c r="AK210" i="10"/>
  <c r="AH485" i="10"/>
  <c r="AI485" i="10" s="1"/>
  <c r="AK485" i="10"/>
  <c r="AH895" i="10"/>
  <c r="AI895" i="10" s="1"/>
  <c r="AK895" i="10"/>
  <c r="AH1067" i="10"/>
  <c r="AI1067" i="10" s="1"/>
  <c r="AK1067" i="10"/>
  <c r="AM888" i="10"/>
  <c r="AN888" i="10" s="1"/>
  <c r="AH935" i="10"/>
  <c r="AI935" i="10" s="1"/>
  <c r="AK935" i="10"/>
  <c r="AM533" i="10"/>
  <c r="AN533" i="10" s="1"/>
  <c r="AK773" i="10"/>
  <c r="AH773" i="10"/>
  <c r="AI773" i="10" s="1"/>
  <c r="AM35" i="10"/>
  <c r="AN35" i="10" s="1"/>
  <c r="AH183" i="10"/>
  <c r="AI183" i="10" s="1"/>
  <c r="AK183" i="10"/>
  <c r="AH973" i="10"/>
  <c r="AI973" i="10" s="1"/>
  <c r="AK973" i="10"/>
  <c r="AH13" i="10"/>
  <c r="AI13" i="10" s="1"/>
  <c r="AK13" i="10"/>
  <c r="AM724" i="10"/>
  <c r="AN724" i="10" s="1"/>
  <c r="AM639" i="10"/>
  <c r="AN639" i="10" s="1"/>
  <c r="AM921" i="10"/>
  <c r="AN921" i="10" s="1"/>
  <c r="AM386" i="10"/>
  <c r="AN386" i="10" s="1"/>
  <c r="AM432" i="10"/>
  <c r="AN432" i="10" s="1"/>
  <c r="AH971" i="10"/>
  <c r="AI971" i="10" s="1"/>
  <c r="AK971" i="10"/>
  <c r="AH421" i="10"/>
  <c r="AI421" i="10" s="1"/>
  <c r="AK421" i="10"/>
  <c r="AM631" i="10"/>
  <c r="AN631" i="10" s="1"/>
  <c r="AM667" i="10"/>
  <c r="AN667" i="10" s="1"/>
  <c r="AM488" i="10"/>
  <c r="AN488" i="10" s="1"/>
  <c r="AH831" i="10"/>
  <c r="AI831" i="10" s="1"/>
  <c r="AK831" i="10"/>
  <c r="AH319" i="10"/>
  <c r="AI319" i="10" s="1"/>
  <c r="AK319" i="10"/>
  <c r="AM121" i="10"/>
  <c r="AN121" i="10" s="1"/>
  <c r="AM643" i="10"/>
  <c r="AN643" i="10" s="1"/>
  <c r="AH511" i="10"/>
  <c r="AI511" i="10" s="1"/>
  <c r="AK511" i="10"/>
  <c r="AH1002" i="10"/>
  <c r="AI1002" i="10" s="1"/>
  <c r="AK1002" i="10"/>
  <c r="AM16" i="10"/>
  <c r="AN16" i="10" s="1"/>
  <c r="AM1104" i="10"/>
  <c r="AN1104" i="10" s="1"/>
  <c r="AH953" i="10"/>
  <c r="AI953" i="10" s="1"/>
  <c r="AK953" i="10"/>
  <c r="AM587" i="10"/>
  <c r="AN587" i="10" s="1"/>
  <c r="AM417" i="10"/>
  <c r="AN417" i="10" s="1"/>
  <c r="AM228" i="10"/>
  <c r="AN228" i="10" s="1"/>
  <c r="AM126" i="10"/>
  <c r="AN126" i="10" s="1"/>
  <c r="AH964" i="10"/>
  <c r="AI964" i="10" s="1"/>
  <c r="AK964" i="10"/>
  <c r="AM167" i="10"/>
  <c r="AN167" i="10" s="1"/>
  <c r="AM8" i="10"/>
  <c r="AN8" i="10" s="1"/>
  <c r="AH901" i="10"/>
  <c r="AI901" i="10" s="1"/>
  <c r="AK901" i="10"/>
  <c r="AH236" i="10"/>
  <c r="AI236" i="10" s="1"/>
  <c r="AK236" i="10"/>
  <c r="AH123" i="10"/>
  <c r="AI123" i="10" s="1"/>
  <c r="AK123" i="10"/>
  <c r="AH429" i="10"/>
  <c r="AI429" i="10" s="1"/>
  <c r="AK429" i="10"/>
  <c r="AH771" i="10"/>
  <c r="AI771" i="10" s="1"/>
  <c r="AK771" i="10"/>
  <c r="AH995" i="10"/>
  <c r="AI995" i="10" s="1"/>
  <c r="AK995" i="10"/>
  <c r="AH127" i="10"/>
  <c r="AI127" i="10" s="1"/>
  <c r="AK127" i="10"/>
  <c r="AH197" i="10"/>
  <c r="AI197" i="10" s="1"/>
  <c r="AK197" i="10"/>
  <c r="AH333" i="10"/>
  <c r="AI333" i="10" s="1"/>
  <c r="AK333" i="10"/>
  <c r="AM375" i="10"/>
  <c r="AN375" i="10" s="1"/>
  <c r="AK353" i="10"/>
  <c r="AH353" i="10"/>
  <c r="AI353" i="10" s="1"/>
  <c r="AK351" i="10"/>
  <c r="AH351" i="10"/>
  <c r="AI351" i="10" s="1"/>
  <c r="AH125" i="10"/>
  <c r="AI125" i="10" s="1"/>
  <c r="AK125" i="10"/>
  <c r="AK898" i="10"/>
  <c r="AH898" i="10"/>
  <c r="AI898" i="10" s="1"/>
  <c r="AH568" i="10"/>
  <c r="AI568" i="10" s="1"/>
  <c r="AK568" i="10"/>
  <c r="AH712" i="10"/>
  <c r="AI712" i="10" s="1"/>
  <c r="AK712" i="10"/>
  <c r="AK15" i="10"/>
  <c r="AH15" i="10"/>
  <c r="AI15" i="10" s="1"/>
  <c r="AH1079" i="10"/>
  <c r="AI1079" i="10" s="1"/>
  <c r="AK1079" i="10"/>
  <c r="AK1140" i="10"/>
  <c r="AH1140" i="10"/>
  <c r="AI1140" i="10" s="1"/>
  <c r="AM391" i="10"/>
  <c r="AN391" i="10" s="1"/>
  <c r="AH188" i="10"/>
  <c r="AI188" i="10" s="1"/>
  <c r="AK188" i="10"/>
  <c r="AH904" i="10"/>
  <c r="AI904" i="10" s="1"/>
  <c r="AK904" i="10"/>
  <c r="AM1136" i="10"/>
  <c r="AN1136" i="10" s="1"/>
  <c r="AH597" i="10"/>
  <c r="AI597" i="10" s="1"/>
  <c r="AK597" i="10"/>
  <c r="AK513" i="10"/>
  <c r="AH513" i="10"/>
  <c r="AI513" i="10" s="1"/>
  <c r="AH912" i="10"/>
  <c r="AI912" i="10" s="1"/>
  <c r="AK912" i="10"/>
  <c r="AK547" i="10"/>
  <c r="AH547" i="10"/>
  <c r="AI547" i="10" s="1"/>
  <c r="AH938" i="10"/>
  <c r="AI938" i="10" s="1"/>
  <c r="AK938" i="10"/>
  <c r="AK509" i="10"/>
  <c r="AH509" i="10"/>
  <c r="AI509" i="10" s="1"/>
  <c r="AK543" i="10"/>
  <c r="AH543" i="10"/>
  <c r="AI543" i="10" s="1"/>
  <c r="AH316" i="10"/>
  <c r="AI316" i="10" s="1"/>
  <c r="AK316" i="10"/>
  <c r="AK411" i="10"/>
  <c r="AH411" i="10"/>
  <c r="AI411" i="10" s="1"/>
  <c r="AH71" i="10"/>
  <c r="AI71" i="10" s="1"/>
  <c r="AK71" i="10"/>
  <c r="AK951" i="10"/>
  <c r="AH951" i="10"/>
  <c r="AI951" i="10" s="1"/>
  <c r="AH666" i="10"/>
  <c r="AI666" i="10" s="1"/>
  <c r="AK666" i="10"/>
  <c r="AH756" i="10"/>
  <c r="AI756" i="10" s="1"/>
  <c r="AK756" i="10"/>
  <c r="AM358" i="10"/>
  <c r="AN358" i="10" s="1"/>
  <c r="AK69" i="10"/>
  <c r="AH69" i="10"/>
  <c r="AI69" i="10" s="1"/>
  <c r="AH908" i="10"/>
  <c r="AI908" i="10" s="1"/>
  <c r="AK908" i="10"/>
  <c r="AK962" i="10"/>
  <c r="AH962" i="10"/>
  <c r="AI962" i="10" s="1"/>
  <c r="AK903" i="10"/>
  <c r="AH903" i="10"/>
  <c r="AI903" i="10" s="1"/>
  <c r="AH1185" i="10"/>
  <c r="AI1185" i="10" s="1"/>
  <c r="AK1185" i="10"/>
  <c r="AH34" i="10"/>
  <c r="AI34" i="10" s="1"/>
  <c r="AK34" i="10"/>
  <c r="AH645" i="10"/>
  <c r="AI645" i="10" s="1"/>
  <c r="AK645" i="10"/>
  <c r="AH19" i="10"/>
  <c r="AI19" i="10" s="1"/>
  <c r="AK19" i="10"/>
  <c r="AH395" i="10"/>
  <c r="AI395" i="10" s="1"/>
  <c r="AK395" i="10"/>
  <c r="AH721" i="10"/>
  <c r="AI721" i="10" s="1"/>
  <c r="AK721" i="10"/>
  <c r="AH840" i="10"/>
  <c r="AI840" i="10" s="1"/>
  <c r="AK840" i="10"/>
  <c r="AH24" i="10"/>
  <c r="AI24" i="10" s="1"/>
  <c r="AK24" i="10"/>
  <c r="AK578" i="10"/>
  <c r="AH578" i="10"/>
  <c r="AI578" i="10" s="1"/>
  <c r="AK717" i="10"/>
  <c r="AH717" i="10"/>
  <c r="AI717" i="10" s="1"/>
  <c r="AH581" i="10"/>
  <c r="AI581" i="10" s="1"/>
  <c r="AK581" i="10"/>
  <c r="AH909" i="10"/>
  <c r="AI909" i="10" s="1"/>
  <c r="AK909" i="10"/>
  <c r="AH798" i="10"/>
  <c r="AI798" i="10" s="1"/>
  <c r="AK798" i="10"/>
  <c r="AH337" i="10"/>
  <c r="AI337" i="10" s="1"/>
  <c r="AK337" i="10"/>
  <c r="AH520" i="10"/>
  <c r="AI520" i="10" s="1"/>
  <c r="AK520" i="10"/>
  <c r="AK1187" i="10"/>
  <c r="AH1187" i="10"/>
  <c r="AI1187" i="10" s="1"/>
  <c r="AH155" i="10"/>
  <c r="AI155" i="10" s="1"/>
  <c r="AK155" i="10"/>
  <c r="AH1055" i="10"/>
  <c r="AI1055" i="10" s="1"/>
  <c r="AK1055" i="10"/>
  <c r="AH1020" i="10"/>
  <c r="AI1020" i="10" s="1"/>
  <c r="AK1020" i="10"/>
  <c r="AK283" i="10"/>
  <c r="AH283" i="10"/>
  <c r="AI283" i="10" s="1"/>
  <c r="AK287" i="10"/>
  <c r="AH287" i="10"/>
  <c r="AI287" i="10" s="1"/>
  <c r="AH1008" i="10"/>
  <c r="AI1008" i="10" s="1"/>
  <c r="AK1008" i="10"/>
  <c r="AK207" i="10"/>
  <c r="AH207" i="10"/>
  <c r="AI207" i="10" s="1"/>
  <c r="AH959" i="10"/>
  <c r="AI959" i="10" s="1"/>
  <c r="AK959" i="10"/>
  <c r="AH1026" i="10"/>
  <c r="AI1026" i="10" s="1"/>
  <c r="AK1026" i="10"/>
  <c r="AK966" i="10"/>
  <c r="AH966" i="10"/>
  <c r="AI966" i="10" s="1"/>
  <c r="AH196" i="10"/>
  <c r="AI196" i="10" s="1"/>
  <c r="AK196" i="10"/>
  <c r="AH554" i="10"/>
  <c r="AI554" i="10" s="1"/>
  <c r="AK554" i="10"/>
  <c r="AH1152" i="10"/>
  <c r="AI1152" i="10" s="1"/>
  <c r="AK1152" i="10"/>
  <c r="AK151" i="10"/>
  <c r="AH151" i="10"/>
  <c r="AI151" i="10" s="1"/>
  <c r="AH1117" i="10"/>
  <c r="AI1117" i="10" s="1"/>
  <c r="AK1117" i="10"/>
  <c r="AK370" i="10"/>
  <c r="AH370" i="10"/>
  <c r="AI370" i="10" s="1"/>
  <c r="AH268" i="10"/>
  <c r="AI268" i="10" s="1"/>
  <c r="AK268" i="10"/>
  <c r="AH1158" i="10"/>
  <c r="AI1158" i="10" s="1"/>
  <c r="AK1158" i="10"/>
  <c r="AH1147" i="10"/>
  <c r="AI1147" i="10" s="1"/>
  <c r="AK1147" i="10"/>
  <c r="AH487" i="10"/>
  <c r="AI487" i="10" s="1"/>
  <c r="AK487" i="10"/>
  <c r="AH380" i="10"/>
  <c r="AI380" i="10" s="1"/>
  <c r="AK380" i="10"/>
  <c r="AK349" i="10"/>
  <c r="AH349" i="10"/>
  <c r="AI349" i="10" s="1"/>
  <c r="AK214" i="10"/>
  <c r="AH214" i="10"/>
  <c r="AI214" i="10" s="1"/>
  <c r="AK412" i="10"/>
  <c r="AH412" i="10"/>
  <c r="AI412" i="10" s="1"/>
  <c r="AK882" i="10"/>
  <c r="AH882" i="10"/>
  <c r="AI882" i="10" s="1"/>
  <c r="AH742" i="10"/>
  <c r="AI742" i="10" s="1"/>
  <c r="AK742" i="10"/>
  <c r="AK819" i="10"/>
  <c r="AH819" i="10"/>
  <c r="AI819" i="10" s="1"/>
  <c r="AH470" i="10"/>
  <c r="AI470" i="10" s="1"/>
  <c r="AK470" i="10"/>
  <c r="AH300" i="10"/>
  <c r="AI300" i="10" s="1"/>
  <c r="AK300" i="10"/>
  <c r="AH457" i="10"/>
  <c r="AI457" i="10" s="1"/>
  <c r="AK457" i="10"/>
  <c r="AH56" i="10"/>
  <c r="AI56" i="10" s="1"/>
  <c r="AK56" i="10"/>
  <c r="AH1118" i="10"/>
  <c r="AI1118" i="10" s="1"/>
  <c r="AK1118" i="10"/>
  <c r="AH117" i="10"/>
  <c r="AI117" i="10" s="1"/>
  <c r="AK117" i="10"/>
  <c r="AH653" i="10"/>
  <c r="AI653" i="10" s="1"/>
  <c r="AK653" i="10"/>
  <c r="AH728" i="10"/>
  <c r="AI728" i="10" s="1"/>
  <c r="AK728" i="10"/>
  <c r="AH508" i="10"/>
  <c r="AI508" i="10" s="1"/>
  <c r="AK508" i="10"/>
  <c r="AH884" i="10"/>
  <c r="AI884" i="10" s="1"/>
  <c r="AK884" i="10"/>
  <c r="AK876" i="10"/>
  <c r="AH876" i="10"/>
  <c r="AI876" i="10" s="1"/>
  <c r="AM689" i="10"/>
  <c r="AN689" i="10" s="1"/>
  <c r="AH615" i="10"/>
  <c r="AI615" i="10" s="1"/>
  <c r="AK615" i="10"/>
  <c r="AH202" i="10"/>
  <c r="AI202" i="10" s="1"/>
  <c r="AK202" i="10"/>
  <c r="AH570" i="10"/>
  <c r="AI570" i="10" s="1"/>
  <c r="AK570" i="10"/>
  <c r="AK149" i="10"/>
  <c r="AH149" i="10"/>
  <c r="AI149" i="10" s="1"/>
  <c r="AH849" i="10"/>
  <c r="AI849" i="10" s="1"/>
  <c r="AK849" i="10"/>
  <c r="AH811" i="10"/>
  <c r="AI811" i="10" s="1"/>
  <c r="AK811" i="10"/>
  <c r="AH35" i="10"/>
  <c r="AI35" i="10" s="1"/>
  <c r="AK35" i="10"/>
  <c r="AK731" i="10"/>
  <c r="AH731" i="10"/>
  <c r="AI731" i="10" s="1"/>
  <c r="AM525" i="10"/>
  <c r="AN525" i="10" s="1"/>
  <c r="AM1179" i="10"/>
  <c r="AN1179" i="10" s="1"/>
  <c r="AM638" i="10"/>
  <c r="AN638" i="10" s="1"/>
  <c r="AM952" i="10"/>
  <c r="AN952" i="10" s="1"/>
  <c r="AM918" i="10"/>
  <c r="AN918" i="10" s="1"/>
  <c r="AM422" i="10"/>
  <c r="AN422" i="10" s="1"/>
  <c r="AM737" i="10"/>
  <c r="AN737" i="10" s="1"/>
  <c r="AH719" i="10"/>
  <c r="AI719" i="10" s="1"/>
  <c r="AK719" i="10"/>
  <c r="AM985" i="10"/>
  <c r="AN985" i="10" s="1"/>
  <c r="AM462" i="10"/>
  <c r="AN462" i="10" s="1"/>
  <c r="AM704" i="10"/>
  <c r="AN704" i="10" s="1"/>
  <c r="AM1085" i="10"/>
  <c r="AN1085" i="10" s="1"/>
  <c r="AM478" i="10"/>
  <c r="AN478" i="10" s="1"/>
  <c r="AM749" i="10"/>
  <c r="AN749" i="10" s="1"/>
  <c r="AM1159" i="10"/>
  <c r="AN1159" i="10" s="1"/>
  <c r="AM194" i="10"/>
  <c r="AN194" i="10" s="1"/>
  <c r="AM477" i="10"/>
  <c r="AN477" i="10" s="1"/>
  <c r="AM743" i="10"/>
  <c r="AN743" i="10" s="1"/>
  <c r="AH746" i="10"/>
  <c r="AI746" i="10" s="1"/>
  <c r="AK746" i="10"/>
  <c r="AM583" i="10"/>
  <c r="AN583" i="10" s="1"/>
  <c r="AM257" i="10"/>
  <c r="AN257" i="10" s="1"/>
  <c r="AM930" i="10"/>
  <c r="AN930" i="10" s="1"/>
  <c r="AM1043" i="10"/>
  <c r="AN1043" i="10" s="1"/>
  <c r="AM786" i="10"/>
  <c r="AN786" i="10" s="1"/>
  <c r="AH1044" i="10"/>
  <c r="AI1044" i="10" s="1"/>
  <c r="AK1044" i="10"/>
  <c r="AM28" i="10"/>
  <c r="AN28" i="10" s="1"/>
  <c r="AM1073" i="10"/>
  <c r="AN1073" i="10" s="1"/>
  <c r="AM193" i="10"/>
  <c r="AN193" i="10" s="1"/>
  <c r="AM674" i="10"/>
  <c r="AN674" i="10" s="1"/>
  <c r="AM562" i="10"/>
  <c r="AN562" i="10" s="1"/>
  <c r="AM181" i="10"/>
  <c r="AN181" i="10" s="1"/>
  <c r="AM565" i="10"/>
  <c r="AN565" i="10" s="1"/>
  <c r="AM702" i="10"/>
  <c r="AN702" i="10" s="1"/>
  <c r="AM262" i="10"/>
  <c r="AN262" i="10" s="1"/>
  <c r="AK888" i="10"/>
  <c r="AH888" i="10"/>
  <c r="AI888" i="10" s="1"/>
  <c r="AM1123" i="10"/>
  <c r="AN1123" i="10" s="1"/>
  <c r="AK533" i="10"/>
  <c r="AH533" i="10"/>
  <c r="AI533" i="10" s="1"/>
  <c r="AH99" i="10"/>
  <c r="AI99" i="10" s="1"/>
  <c r="AK99" i="10"/>
  <c r="AH60" i="10"/>
  <c r="AI60" i="10" s="1"/>
  <c r="AK60" i="10"/>
  <c r="AH130" i="10"/>
  <c r="AI130" i="10" s="1"/>
  <c r="AK130" i="10"/>
  <c r="AM237" i="10"/>
  <c r="AN237" i="10" s="1"/>
  <c r="AM714" i="10"/>
  <c r="AN714" i="10" s="1"/>
  <c r="AH552" i="10"/>
  <c r="AI552" i="10" s="1"/>
  <c r="AK552" i="10"/>
  <c r="AK724" i="10"/>
  <c r="AH724" i="10"/>
  <c r="AI724" i="10" s="1"/>
  <c r="AM842" i="10"/>
  <c r="AN842" i="10" s="1"/>
  <c r="AH639" i="10"/>
  <c r="AI639" i="10" s="1"/>
  <c r="AK639" i="10"/>
  <c r="AH921" i="10"/>
  <c r="AI921" i="10" s="1"/>
  <c r="AK921" i="10"/>
  <c r="AH386" i="10"/>
  <c r="AI386" i="10" s="1"/>
  <c r="AK386" i="10"/>
  <c r="AK432" i="10"/>
  <c r="AH432" i="10"/>
  <c r="AI432" i="10" s="1"/>
  <c r="AH631" i="10"/>
  <c r="AI631" i="10" s="1"/>
  <c r="AK631" i="10"/>
  <c r="AH667" i="10"/>
  <c r="AI667" i="10" s="1"/>
  <c r="AK667" i="10"/>
  <c r="AK488" i="10"/>
  <c r="AH488" i="10"/>
  <c r="AI488" i="10" s="1"/>
  <c r="AM339" i="10"/>
  <c r="AN339" i="10" s="1"/>
  <c r="AM281" i="10"/>
  <c r="AN281" i="10" s="1"/>
  <c r="AM52" i="10"/>
  <c r="AN52" i="10" s="1"/>
  <c r="AK121" i="10"/>
  <c r="AH121" i="10"/>
  <c r="AI121" i="10" s="1"/>
  <c r="AH643" i="10"/>
  <c r="AI643" i="10" s="1"/>
  <c r="AK643" i="10"/>
  <c r="AM510" i="10"/>
  <c r="AN510" i="10" s="1"/>
  <c r="AM397" i="10"/>
  <c r="AN397" i="10" s="1"/>
  <c r="AK16" i="10"/>
  <c r="AH16" i="10"/>
  <c r="AI16" i="10" s="1"/>
  <c r="AH1104" i="10"/>
  <c r="AI1104" i="10" s="1"/>
  <c r="AK1104" i="10"/>
  <c r="AK587" i="10"/>
  <c r="AH587" i="10"/>
  <c r="AI587" i="10" s="1"/>
  <c r="AH417" i="10"/>
  <c r="AI417" i="10" s="1"/>
  <c r="AK417" i="10"/>
  <c r="AK228" i="10"/>
  <c r="AH228" i="10"/>
  <c r="AI228" i="10" s="1"/>
  <c r="AH167" i="10"/>
  <c r="AI167" i="10" s="1"/>
  <c r="AK167" i="10"/>
  <c r="AH8" i="10"/>
  <c r="AI8" i="10" s="1"/>
  <c r="AK8" i="10"/>
  <c r="AH1093" i="10"/>
  <c r="AI1093" i="10" s="1"/>
  <c r="AK1093" i="10"/>
  <c r="AH939" i="10"/>
  <c r="AI939" i="10" s="1"/>
  <c r="AK939" i="10"/>
  <c r="AM438" i="10"/>
  <c r="AN438" i="10" s="1"/>
  <c r="AM1156" i="10"/>
  <c r="AN1156" i="10" s="1"/>
  <c r="AK192" i="10"/>
  <c r="AH192" i="10"/>
  <c r="AI192" i="10" s="1"/>
  <c r="AM178" i="10"/>
  <c r="AN178" i="10" s="1"/>
  <c r="AM498" i="10"/>
  <c r="AN498" i="10" s="1"/>
  <c r="AH366" i="10"/>
  <c r="AI366" i="10" s="1"/>
  <c r="AK366" i="10"/>
  <c r="AM25" i="10"/>
  <c r="AN25" i="10" s="1"/>
  <c r="AM83" i="10"/>
  <c r="AN83" i="10" s="1"/>
  <c r="AM27" i="10"/>
  <c r="AN27" i="10" s="1"/>
  <c r="AH317" i="10"/>
  <c r="AI317" i="10" s="1"/>
  <c r="AK317" i="10"/>
  <c r="AH458" i="10"/>
  <c r="AI458" i="10" s="1"/>
  <c r="AK458" i="10"/>
  <c r="AK226" i="10"/>
  <c r="AH226" i="10"/>
  <c r="AI226" i="10" s="1"/>
  <c r="AK291" i="10"/>
  <c r="AH291" i="10"/>
  <c r="AI291" i="10" s="1"/>
  <c r="AM588" i="10"/>
  <c r="AN588" i="10" s="1"/>
  <c r="AM87" i="10"/>
  <c r="AN87" i="10" s="1"/>
  <c r="AH1101" i="10"/>
  <c r="AI1101" i="10" s="1"/>
  <c r="AK1101" i="10"/>
  <c r="AM1189" i="10"/>
  <c r="AN1189" i="10" s="1"/>
  <c r="AM1109" i="10"/>
  <c r="AN1109" i="10" s="1"/>
  <c r="AM785" i="10"/>
  <c r="AN785" i="10" s="1"/>
  <c r="AM646" i="10"/>
  <c r="AN646" i="10" s="1"/>
  <c r="AM1149" i="10"/>
  <c r="AN1149" i="10" s="1"/>
  <c r="AM188" i="10"/>
  <c r="AN188" i="10" s="1"/>
  <c r="AM383" i="10"/>
  <c r="AN383" i="10" s="1"/>
  <c r="AM815" i="10"/>
  <c r="AN815" i="10" s="1"/>
  <c r="AK684" i="10"/>
  <c r="AH684" i="10"/>
  <c r="AI684" i="10" s="1"/>
  <c r="AH459" i="10"/>
  <c r="AI459" i="10" s="1"/>
  <c r="AK459" i="10"/>
  <c r="AH740" i="10"/>
  <c r="AI740" i="10" s="1"/>
  <c r="AK740" i="10"/>
  <c r="AH1173" i="10"/>
  <c r="AI1173" i="10" s="1"/>
  <c r="AK1173" i="10"/>
  <c r="AH220" i="10"/>
  <c r="AI220" i="10" s="1"/>
  <c r="AK220" i="10"/>
  <c r="AM389" i="10"/>
  <c r="AN389" i="10" s="1"/>
  <c r="AM593" i="10"/>
  <c r="AN593" i="10" s="1"/>
  <c r="AH1115" i="10"/>
  <c r="AI1115" i="10" s="1"/>
  <c r="AK1115" i="10"/>
  <c r="AM1129" i="10"/>
  <c r="AN1129" i="10" s="1"/>
  <c r="AM725" i="10"/>
  <c r="AN725" i="10" s="1"/>
  <c r="AM403" i="10"/>
  <c r="AN403" i="10" s="1"/>
  <c r="AM866" i="10"/>
  <c r="AN866" i="10" s="1"/>
  <c r="AH489" i="10"/>
  <c r="AI489" i="10" s="1"/>
  <c r="AK489" i="10"/>
  <c r="AK65" i="10"/>
  <c r="AH65" i="10"/>
  <c r="AI65" i="10" s="1"/>
  <c r="AH387" i="10"/>
  <c r="AI387" i="10" s="1"/>
  <c r="AK387" i="10"/>
  <c r="AK308" i="10"/>
  <c r="AH308" i="10"/>
  <c r="AI308" i="10" s="1"/>
  <c r="AH1075" i="10"/>
  <c r="AI1075" i="10" s="1"/>
  <c r="AK1075" i="10"/>
  <c r="AK385" i="10"/>
  <c r="AH385" i="10"/>
  <c r="AI385" i="10" s="1"/>
  <c r="AM71" i="10"/>
  <c r="AN71" i="10" s="1"/>
  <c r="AM85" i="10"/>
  <c r="AN85" i="10" s="1"/>
  <c r="AM755" i="10"/>
  <c r="AN755" i="10" s="1"/>
  <c r="AH57" i="10"/>
  <c r="AI57" i="10" s="1"/>
  <c r="AK57" i="10"/>
  <c r="AH481" i="10"/>
  <c r="AI481" i="10" s="1"/>
  <c r="AK481" i="10"/>
  <c r="AM756" i="10"/>
  <c r="AN756" i="10" s="1"/>
  <c r="AH43" i="10"/>
  <c r="AI43" i="10" s="1"/>
  <c r="AK43" i="10"/>
  <c r="AK358" i="10"/>
  <c r="AH358" i="10"/>
  <c r="AI358" i="10" s="1"/>
  <c r="AM124" i="10"/>
  <c r="AN124" i="10" s="1"/>
  <c r="AM607" i="10"/>
  <c r="AN607" i="10" s="1"/>
  <c r="AM59" i="10"/>
  <c r="AN59" i="10" s="1"/>
  <c r="AH161" i="10"/>
  <c r="AI161" i="10" s="1"/>
  <c r="AK161" i="10"/>
  <c r="AK74" i="10"/>
  <c r="AH74" i="10"/>
  <c r="AI74" i="10" s="1"/>
  <c r="AH620" i="10"/>
  <c r="AI620" i="10" s="1"/>
  <c r="AK620" i="10"/>
  <c r="AK1151" i="10"/>
  <c r="AH1151" i="10"/>
  <c r="AI1151" i="10" s="1"/>
  <c r="AM908" i="10"/>
  <c r="AN908" i="10" s="1"/>
  <c r="AK642" i="10"/>
  <c r="AH642" i="10"/>
  <c r="AI642" i="10" s="1"/>
  <c r="AK294" i="10"/>
  <c r="AH294" i="10"/>
  <c r="AI294" i="10" s="1"/>
  <c r="AK329" i="10"/>
  <c r="AH329" i="10"/>
  <c r="AI329" i="10" s="1"/>
  <c r="AH73" i="10"/>
  <c r="AI73" i="10" s="1"/>
  <c r="AK73" i="10"/>
  <c r="AK41" i="10"/>
  <c r="AH41" i="10"/>
  <c r="AI41" i="10" s="1"/>
  <c r="AM796" i="10"/>
  <c r="AN796" i="10" s="1"/>
  <c r="AK171" i="10"/>
  <c r="AH171" i="10"/>
  <c r="AI171" i="10" s="1"/>
  <c r="AM1185" i="10"/>
  <c r="AN1185" i="10" s="1"/>
  <c r="AK879" i="10"/>
  <c r="AH879" i="10"/>
  <c r="AI879" i="10" s="1"/>
  <c r="AH396" i="10"/>
  <c r="AI396" i="10" s="1"/>
  <c r="AK396" i="10"/>
  <c r="AH943" i="10"/>
  <c r="AI943" i="10" s="1"/>
  <c r="AK943" i="10"/>
  <c r="AH346" i="10"/>
  <c r="AI346" i="10" s="1"/>
  <c r="AK346" i="10"/>
  <c r="AM441" i="10"/>
  <c r="AN441" i="10" s="1"/>
  <c r="AM779" i="10"/>
  <c r="AN779" i="10" s="1"/>
  <c r="AM1107" i="10"/>
  <c r="AN1107" i="10" s="1"/>
  <c r="AM395" i="10"/>
  <c r="AN395" i="10" s="1"/>
  <c r="AH1078" i="10"/>
  <c r="AI1078" i="10" s="1"/>
  <c r="AK1078" i="10"/>
  <c r="AH364" i="10"/>
  <c r="AI364" i="10" s="1"/>
  <c r="AK364" i="10"/>
  <c r="AH342" i="10"/>
  <c r="AI342" i="10" s="1"/>
  <c r="AK342" i="10"/>
  <c r="AK561" i="10"/>
  <c r="AH561" i="10"/>
  <c r="AI561" i="10" s="1"/>
  <c r="AM721" i="10"/>
  <c r="AN721" i="10" s="1"/>
  <c r="AK758" i="10"/>
  <c r="AH758" i="10"/>
  <c r="AI758" i="10" s="1"/>
  <c r="AH558" i="10"/>
  <c r="AI558" i="10" s="1"/>
  <c r="AK558" i="10"/>
  <c r="AK293" i="10"/>
  <c r="AH293" i="10"/>
  <c r="AI293" i="10" s="1"/>
  <c r="AH1179" i="10"/>
  <c r="AI1179" i="10" s="1"/>
  <c r="AK1179" i="10"/>
  <c r="AH743" i="10"/>
  <c r="AI743" i="10" s="1"/>
  <c r="AK743" i="10"/>
  <c r="AH1024" i="10"/>
  <c r="AI1024" i="10" s="1"/>
  <c r="AK1024" i="10"/>
  <c r="AH85" i="10"/>
  <c r="AI85" i="10" s="1"/>
  <c r="AK85" i="10"/>
  <c r="AH504" i="10"/>
  <c r="AI504" i="10" s="1"/>
  <c r="AK504" i="10"/>
  <c r="AH607" i="10"/>
  <c r="AI607" i="10" s="1"/>
  <c r="AK607" i="10"/>
  <c r="AH59" i="10"/>
  <c r="AI59" i="10" s="1"/>
  <c r="AK59" i="10"/>
  <c r="AH814" i="10"/>
  <c r="AI814" i="10" s="1"/>
  <c r="AK814" i="10"/>
  <c r="AK779" i="10"/>
  <c r="AH779" i="10"/>
  <c r="AI779" i="10" s="1"/>
  <c r="AK1107" i="10"/>
  <c r="AH1107" i="10"/>
  <c r="AI1107" i="10" s="1"/>
  <c r="AH1126" i="10"/>
  <c r="AI1126" i="10" s="1"/>
  <c r="AK1126" i="10"/>
  <c r="AH479" i="10"/>
  <c r="AI479" i="10" s="1"/>
  <c r="AK479" i="10"/>
  <c r="AM132" i="10"/>
  <c r="AN132" i="10" s="1"/>
  <c r="AH1060" i="10"/>
  <c r="AI1060" i="10" s="1"/>
  <c r="AK1060" i="10"/>
  <c r="AM63" i="10"/>
  <c r="AN63" i="10" s="1"/>
  <c r="AM949" i="10"/>
  <c r="AN949" i="10" s="1"/>
  <c r="AH611" i="10"/>
  <c r="AI611" i="10" s="1"/>
  <c r="AK611" i="10"/>
  <c r="AM861" i="10"/>
  <c r="AN861" i="10" s="1"/>
  <c r="AM388" i="10"/>
  <c r="AN388" i="10" s="1"/>
  <c r="AM7" i="10"/>
  <c r="AN7" i="10" s="1"/>
  <c r="AK899" i="10"/>
  <c r="AH899" i="10"/>
  <c r="AI899" i="10" s="1"/>
  <c r="AM190" i="10"/>
  <c r="AN190" i="10" s="1"/>
  <c r="AM937" i="10"/>
  <c r="AN937" i="10" s="1"/>
  <c r="AM1099" i="10"/>
  <c r="AN1099" i="10" s="1"/>
  <c r="AM1091" i="10"/>
  <c r="AN1091" i="10" s="1"/>
  <c r="AM836" i="10"/>
  <c r="AN836" i="10" s="1"/>
  <c r="AM1050" i="10"/>
  <c r="AN1050" i="10" s="1"/>
  <c r="AM685" i="10"/>
  <c r="AN685" i="10" s="1"/>
  <c r="AM732" i="10"/>
  <c r="AN732" i="10" s="1"/>
  <c r="AM20" i="10"/>
  <c r="AN20" i="10" s="1"/>
  <c r="AM266" i="10"/>
  <c r="AN266" i="10" s="1"/>
  <c r="AM31" i="10"/>
  <c r="AN31" i="10" s="1"/>
  <c r="AK160" i="10"/>
  <c r="AH160" i="10"/>
  <c r="AI160" i="10" s="1"/>
  <c r="AH880" i="10"/>
  <c r="AI880" i="10" s="1"/>
  <c r="AK880" i="10"/>
  <c r="AM381" i="10"/>
  <c r="AN381" i="10" s="1"/>
  <c r="AM991" i="10"/>
  <c r="AN991" i="10" s="1"/>
  <c r="AM821" i="10"/>
  <c r="AN821" i="10" s="1"/>
  <c r="AM868" i="10"/>
  <c r="AN868" i="10" s="1"/>
  <c r="AM672" i="10"/>
  <c r="AN672" i="10" s="1"/>
  <c r="AM677" i="10"/>
  <c r="AN677" i="10" s="1"/>
  <c r="AM1141" i="10"/>
  <c r="AN1141" i="10" s="1"/>
  <c r="AM569" i="10"/>
  <c r="AN569" i="10" s="1"/>
  <c r="AM655" i="10"/>
  <c r="AN655" i="10" s="1"/>
  <c r="AM612" i="10"/>
  <c r="AN612" i="10" s="1"/>
  <c r="AM1061" i="10"/>
  <c r="AN1061" i="10" s="1"/>
  <c r="AM501" i="10"/>
  <c r="AN501" i="10" s="1"/>
  <c r="AM92" i="10"/>
  <c r="AN92" i="10" s="1"/>
  <c r="AM1081" i="10"/>
  <c r="AN1081" i="10" s="1"/>
  <c r="AM1193" i="10"/>
  <c r="AN1193" i="10" s="1"/>
  <c r="AM23" i="10"/>
  <c r="AN23" i="10" s="1"/>
  <c r="AH253" i="10"/>
  <c r="AI253" i="10" s="1"/>
  <c r="AK253" i="10"/>
  <c r="AM439" i="10"/>
  <c r="AN439" i="10" s="1"/>
  <c r="AM625" i="10"/>
  <c r="AN625" i="10" s="1"/>
  <c r="AM423" i="10"/>
  <c r="AN423" i="10" s="1"/>
  <c r="AM560" i="10"/>
  <c r="AN560" i="10" s="1"/>
  <c r="AM541" i="10"/>
  <c r="AN541" i="10" s="1"/>
  <c r="AM492" i="10"/>
  <c r="AN492" i="10" s="1"/>
  <c r="AH216" i="10"/>
  <c r="AI216" i="10" s="1"/>
  <c r="AK216" i="10"/>
  <c r="AK768" i="10"/>
  <c r="AH768" i="10"/>
  <c r="AI768" i="10" s="1"/>
  <c r="AM1069" i="10"/>
  <c r="AN1069" i="10" s="1"/>
  <c r="AH128" i="10"/>
  <c r="AI128" i="10" s="1"/>
  <c r="AK128" i="10"/>
  <c r="AH427" i="10"/>
  <c r="AI427" i="10" s="1"/>
  <c r="AK427" i="10"/>
  <c r="AH173" i="10"/>
  <c r="AI173" i="10" s="1"/>
  <c r="AK173" i="10"/>
  <c r="AK575" i="10"/>
  <c r="AH575" i="10"/>
  <c r="AI575" i="10" s="1"/>
  <c r="AM282" i="10"/>
  <c r="AN282" i="10" s="1"/>
  <c r="AM713" i="10"/>
  <c r="AN713" i="10" s="1"/>
  <c r="AH1130" i="10"/>
  <c r="AI1130" i="10" s="1"/>
  <c r="AK1130" i="10"/>
  <c r="AM1049" i="10"/>
  <c r="AN1049" i="10" s="1"/>
  <c r="AM1077" i="10"/>
  <c r="AN1077" i="10" s="1"/>
  <c r="AK965" i="10"/>
  <c r="AH965" i="10"/>
  <c r="AI965" i="10" s="1"/>
  <c r="AH177" i="10"/>
  <c r="AI177" i="10" s="1"/>
  <c r="AK177" i="10"/>
  <c r="AH637" i="10"/>
  <c r="AI637" i="10" s="1"/>
  <c r="AK637" i="10"/>
  <c r="AH368" i="10"/>
  <c r="AI368" i="10" s="1"/>
  <c r="AK368" i="10"/>
  <c r="AK158" i="10"/>
  <c r="AH158" i="10"/>
  <c r="AI158" i="10" s="1"/>
  <c r="AH416" i="10"/>
  <c r="AI416" i="10" s="1"/>
  <c r="AK416" i="10"/>
  <c r="AM535" i="10"/>
  <c r="AN535" i="10" s="1"/>
  <c r="AH801" i="10"/>
  <c r="AI801" i="10" s="1"/>
  <c r="AK801" i="10"/>
  <c r="AK292" i="10"/>
  <c r="AH292" i="10"/>
  <c r="AI292" i="10" s="1"/>
  <c r="AK503" i="10"/>
  <c r="AH503" i="10"/>
  <c r="AI503" i="10" s="1"/>
  <c r="AM472" i="10"/>
  <c r="AN472" i="10" s="1"/>
  <c r="AM1028" i="10"/>
  <c r="AN1028" i="10" s="1"/>
  <c r="AM1054" i="10"/>
  <c r="AN1054" i="10" s="1"/>
  <c r="AM185" i="10"/>
  <c r="AN185" i="10" s="1"/>
  <c r="AM536" i="10"/>
  <c r="AN536" i="10" s="1"/>
  <c r="AH926" i="10"/>
  <c r="AI926" i="10" s="1"/>
  <c r="AK926" i="10"/>
  <c r="AM40" i="10"/>
  <c r="AN40" i="10" s="1"/>
  <c r="AM522" i="10"/>
  <c r="AN522" i="10" s="1"/>
  <c r="AM147" i="10"/>
  <c r="AN147" i="10" s="1"/>
  <c r="AM321" i="10"/>
  <c r="AN321" i="10" s="1"/>
  <c r="AM975" i="10"/>
  <c r="AN975" i="10" s="1"/>
  <c r="AM878" i="10"/>
  <c r="AN878" i="10" s="1"/>
  <c r="AH182" i="10"/>
  <c r="AI182" i="10" s="1"/>
  <c r="AK182" i="10"/>
  <c r="AH816" i="10"/>
  <c r="AI816" i="10" s="1"/>
  <c r="AK816" i="10"/>
  <c r="AK169" i="10"/>
  <c r="AH169" i="10"/>
  <c r="AI169" i="10" s="1"/>
  <c r="AM413" i="10"/>
  <c r="AN413" i="10" s="1"/>
  <c r="AM950" i="10"/>
  <c r="AN950" i="10" s="1"/>
  <c r="AH647" i="10"/>
  <c r="AI647" i="10" s="1"/>
  <c r="AK647" i="10"/>
  <c r="AM367" i="10"/>
  <c r="AN367" i="10" s="1"/>
  <c r="AM1103" i="10"/>
  <c r="AN1103" i="10" s="1"/>
  <c r="AM673" i="10"/>
  <c r="AN673" i="10" s="1"/>
  <c r="AM1154" i="10"/>
  <c r="AN1154" i="10" s="1"/>
  <c r="AM1027" i="10"/>
  <c r="AN1027" i="10" s="1"/>
  <c r="AH295" i="10"/>
  <c r="AI295" i="10" s="1"/>
  <c r="AK295" i="10"/>
  <c r="AM669" i="10"/>
  <c r="AN669" i="10" s="1"/>
  <c r="AH1108" i="10"/>
  <c r="AI1108" i="10" s="1"/>
  <c r="AK1108" i="10"/>
  <c r="AH942" i="10"/>
  <c r="AI942" i="10" s="1"/>
  <c r="AK942" i="10"/>
  <c r="AH493" i="10"/>
  <c r="AI493" i="10" s="1"/>
  <c r="AK493" i="10"/>
  <c r="AK392" i="10"/>
  <c r="AH392" i="10"/>
  <c r="AI392" i="10" s="1"/>
  <c r="AH306" i="10"/>
  <c r="AI306" i="10" s="1"/>
  <c r="AK306" i="10"/>
  <c r="AH961" i="10"/>
  <c r="AI961" i="10" s="1"/>
  <c r="AK961" i="10"/>
  <c r="AM945" i="10"/>
  <c r="AN945" i="10" s="1"/>
  <c r="AM480" i="10"/>
  <c r="AN480" i="10" s="1"/>
  <c r="AM301" i="10"/>
  <c r="AN301" i="10" s="1"/>
  <c r="AM280" i="10"/>
  <c r="AN280" i="10" s="1"/>
  <c r="AM534" i="10"/>
  <c r="AN534" i="10" s="1"/>
  <c r="AH524" i="10"/>
  <c r="AI524" i="10" s="1"/>
  <c r="AK524" i="10"/>
  <c r="AM1114" i="10"/>
  <c r="AN1114" i="10" s="1"/>
  <c r="AM46" i="10"/>
  <c r="AN46" i="10" s="1"/>
  <c r="AK66" i="10"/>
  <c r="AH66" i="10"/>
  <c r="AI66" i="10" s="1"/>
  <c r="AK507" i="10"/>
  <c r="AH507" i="10"/>
  <c r="AI507" i="10" s="1"/>
  <c r="AH781" i="10"/>
  <c r="AI781" i="10" s="1"/>
  <c r="AK781" i="10"/>
  <c r="AH519" i="10"/>
  <c r="AI519" i="10" s="1"/>
  <c r="AK519" i="10"/>
  <c r="AH606" i="10"/>
  <c r="AI606" i="10" s="1"/>
  <c r="AK606" i="10"/>
  <c r="AM1024" i="10"/>
  <c r="AN1024" i="10" s="1"/>
  <c r="AM1038" i="10"/>
  <c r="AN1038" i="10" s="1"/>
  <c r="AM195" i="10"/>
  <c r="AN195" i="10" s="1"/>
  <c r="AH1071" i="10"/>
  <c r="AI1071" i="10" s="1"/>
  <c r="AK1071" i="10"/>
  <c r="AH176" i="10"/>
  <c r="AI176" i="10" s="1"/>
  <c r="AK176" i="10"/>
  <c r="AM168" i="10"/>
  <c r="AN168" i="10" s="1"/>
  <c r="AH835" i="10"/>
  <c r="AI835" i="10" s="1"/>
  <c r="AK835" i="10"/>
  <c r="AK590" i="10"/>
  <c r="AH590" i="10"/>
  <c r="AI590" i="10" s="1"/>
  <c r="AM504" i="10"/>
  <c r="AN504" i="10" s="1"/>
  <c r="AM968" i="10"/>
  <c r="AN968" i="10" s="1"/>
  <c r="AM757" i="10"/>
  <c r="AN757" i="10" s="1"/>
  <c r="AH948" i="10"/>
  <c r="AI948" i="10" s="1"/>
  <c r="AK948" i="10"/>
  <c r="AH79" i="10"/>
  <c r="AI79" i="10" s="1"/>
  <c r="AK79" i="10"/>
  <c r="AH1062" i="10"/>
  <c r="AI1062" i="10" s="1"/>
  <c r="AK1062" i="10"/>
  <c r="AM814" i="10"/>
  <c r="AN814" i="10" s="1"/>
  <c r="AH1142" i="10"/>
  <c r="AI1142" i="10" s="1"/>
  <c r="AK1142" i="10"/>
  <c r="AH792" i="10"/>
  <c r="AI792" i="10" s="1"/>
  <c r="AK792" i="10"/>
  <c r="AK33" i="10"/>
  <c r="AH33" i="10"/>
  <c r="AI33" i="10" s="1"/>
  <c r="AH129" i="10"/>
  <c r="AI129" i="10" s="1"/>
  <c r="AK129" i="10"/>
  <c r="AH164" i="10"/>
  <c r="AI164" i="10" s="1"/>
  <c r="AK164" i="10"/>
  <c r="AM911" i="10"/>
  <c r="AN911" i="10" s="1"/>
  <c r="AH217" i="10"/>
  <c r="AI217" i="10" s="1"/>
  <c r="AK217" i="10"/>
  <c r="AM348" i="10"/>
  <c r="AN348" i="10" s="1"/>
  <c r="AK656" i="10"/>
  <c r="AH656" i="10"/>
  <c r="AI656" i="10" s="1"/>
  <c r="AK347" i="10"/>
  <c r="AH347" i="10"/>
  <c r="AI347" i="10" s="1"/>
  <c r="AH465" i="10"/>
  <c r="AI465" i="10" s="1"/>
  <c r="AK465" i="10"/>
  <c r="AH1165" i="10"/>
  <c r="AI1165" i="10" s="1"/>
  <c r="AK1165" i="10"/>
  <c r="AM48" i="10"/>
  <c r="AN48" i="10" s="1"/>
  <c r="AH135" i="10"/>
  <c r="AI135" i="10" s="1"/>
  <c r="AK135" i="10"/>
  <c r="AM900" i="10"/>
  <c r="AN900" i="10" s="1"/>
  <c r="AM548" i="10"/>
  <c r="AN548" i="10" s="1"/>
  <c r="AM824" i="10"/>
  <c r="AN824" i="10" s="1"/>
  <c r="AH777" i="10"/>
  <c r="AI777" i="10" s="1"/>
  <c r="AK777" i="10"/>
  <c r="AK273" i="10"/>
  <c r="AH273" i="10"/>
  <c r="AI273" i="10" s="1"/>
  <c r="AK1105" i="10"/>
  <c r="AH1105" i="10"/>
  <c r="AI1105" i="10" s="1"/>
  <c r="AH826" i="10"/>
  <c r="AI826" i="10" s="1"/>
  <c r="AK826" i="10"/>
  <c r="AH564" i="10"/>
  <c r="AI564" i="10" s="1"/>
  <c r="AK564" i="10"/>
  <c r="AK585" i="10"/>
  <c r="AH585" i="10"/>
  <c r="AI585" i="10" s="1"/>
  <c r="AM1126" i="10"/>
  <c r="AN1126" i="10" s="1"/>
  <c r="AM479" i="10"/>
  <c r="AN479" i="10" s="1"/>
  <c r="AK1012" i="10"/>
  <c r="AH1012" i="10"/>
  <c r="AI1012" i="10" s="1"/>
  <c r="AH234" i="10"/>
  <c r="AI234" i="10" s="1"/>
  <c r="AK234" i="10"/>
  <c r="AH397" i="10"/>
  <c r="AI397" i="10" s="1"/>
  <c r="AK397" i="10"/>
  <c r="AH87" i="10"/>
  <c r="AI87" i="10" s="1"/>
  <c r="AK87" i="10"/>
  <c r="AH1129" i="10"/>
  <c r="AI1129" i="10" s="1"/>
  <c r="AK1129" i="10"/>
  <c r="AH725" i="10"/>
  <c r="AI725" i="10" s="1"/>
  <c r="AK725" i="10"/>
  <c r="AH866" i="10"/>
  <c r="AI866" i="10" s="1"/>
  <c r="AK866" i="10"/>
  <c r="AH1154" i="10"/>
  <c r="AI1154" i="10" s="1"/>
  <c r="AK1154" i="10"/>
  <c r="AH1066" i="10"/>
  <c r="AI1066" i="10" s="1"/>
  <c r="AK1066" i="10"/>
  <c r="AH1041" i="10"/>
  <c r="AI1041" i="10" s="1"/>
  <c r="AK1041" i="10"/>
  <c r="AH654" i="10"/>
  <c r="AI654" i="10" s="1"/>
  <c r="AK654" i="10"/>
  <c r="AK770" i="10"/>
  <c r="AH770" i="10"/>
  <c r="AI770" i="10" s="1"/>
  <c r="AK1006" i="10"/>
  <c r="AH1006" i="10"/>
  <c r="AI1006" i="10" s="1"/>
  <c r="AM437" i="10"/>
  <c r="AN437" i="10" s="1"/>
  <c r="AM426" i="10"/>
  <c r="AN426" i="10" s="1"/>
  <c r="AH326" i="10"/>
  <c r="AI326" i="10" s="1"/>
  <c r="AK326" i="10"/>
  <c r="AM435" i="10"/>
  <c r="AN435" i="10" s="1"/>
  <c r="AM320" i="10"/>
  <c r="AN320" i="10" s="1"/>
  <c r="AH1192" i="10"/>
  <c r="AI1192" i="10" s="1"/>
  <c r="AK1192" i="10"/>
  <c r="AH1133" i="10"/>
  <c r="AI1133" i="10" s="1"/>
  <c r="AK1133" i="10"/>
  <c r="AM1162" i="10"/>
  <c r="AN1162" i="10" s="1"/>
  <c r="AH1137" i="10"/>
  <c r="AI1137" i="10" s="1"/>
  <c r="AK1137" i="10"/>
  <c r="AH159" i="10"/>
  <c r="AI159" i="10" s="1"/>
  <c r="AK159" i="10"/>
  <c r="AM915" i="10"/>
  <c r="AN915" i="10" s="1"/>
  <c r="AK803" i="10"/>
  <c r="AH803" i="10"/>
  <c r="AI803" i="10" s="1"/>
  <c r="AH518" i="10"/>
  <c r="AI518" i="10" s="1"/>
  <c r="AK518" i="10"/>
  <c r="AH675" i="10"/>
  <c r="AI675" i="10" s="1"/>
  <c r="AK675" i="10"/>
  <c r="AK632" i="10"/>
  <c r="AH632" i="10"/>
  <c r="AI632" i="10" s="1"/>
  <c r="AH925" i="10"/>
  <c r="AI925" i="10" s="1"/>
  <c r="AK925" i="10"/>
  <c r="AH609" i="10"/>
  <c r="AI609" i="10" s="1"/>
  <c r="AK609" i="10"/>
  <c r="AH483" i="10"/>
  <c r="AI483" i="10" s="1"/>
  <c r="AK483" i="10"/>
  <c r="AH5" i="10"/>
  <c r="AI5" i="10" s="1"/>
  <c r="AK5" i="10"/>
  <c r="AH977" i="10"/>
  <c r="AI977" i="10" s="1"/>
  <c r="AK977" i="10"/>
  <c r="AH574" i="10"/>
  <c r="AI574" i="10" s="1"/>
  <c r="AK574" i="10"/>
  <c r="AH989" i="10"/>
  <c r="AI989" i="10" s="1"/>
  <c r="AK989" i="10"/>
  <c r="AH883" i="10"/>
  <c r="AI883" i="10" s="1"/>
  <c r="AK883" i="10"/>
  <c r="AK332" i="10"/>
  <c r="AH332" i="10"/>
  <c r="AI332" i="10" s="1"/>
  <c r="AK209" i="10"/>
  <c r="AH209" i="10"/>
  <c r="AI209" i="10" s="1"/>
  <c r="AH1072" i="10"/>
  <c r="AI1072" i="10" s="1"/>
  <c r="AK1072" i="10"/>
  <c r="AH297" i="10"/>
  <c r="AI297" i="10" s="1"/>
  <c r="AK297" i="10"/>
  <c r="AK86" i="10"/>
  <c r="AH86" i="10"/>
  <c r="AI86" i="10" s="1"/>
  <c r="AH143" i="10"/>
  <c r="AI143" i="10" s="1"/>
  <c r="AK143" i="10"/>
  <c r="AH914" i="10"/>
  <c r="AI914" i="10" s="1"/>
  <c r="AK914" i="10"/>
  <c r="AM739" i="10"/>
  <c r="AN739" i="10" s="1"/>
  <c r="AH1036" i="10"/>
  <c r="AI1036" i="10" s="1"/>
  <c r="AK1036" i="10"/>
  <c r="AM859" i="10"/>
  <c r="AN859" i="10" s="1"/>
  <c r="AH224" i="10"/>
  <c r="AI224" i="10" s="1"/>
  <c r="AK224" i="10"/>
  <c r="AH932" i="10"/>
  <c r="AI932" i="10" s="1"/>
  <c r="AK932" i="10"/>
  <c r="AM206" i="10"/>
  <c r="AN206" i="10" s="1"/>
  <c r="AH1045" i="10"/>
  <c r="AI1045" i="10" s="1"/>
  <c r="AK1045" i="10"/>
  <c r="AH454" i="10"/>
  <c r="AI454" i="10" s="1"/>
  <c r="AK454" i="10"/>
  <c r="AH250" i="10"/>
  <c r="AI250" i="10" s="1"/>
  <c r="AK250" i="10"/>
  <c r="AH17" i="10"/>
  <c r="AI17" i="10" s="1"/>
  <c r="AK17" i="10"/>
  <c r="AH1030" i="10"/>
  <c r="AI1030" i="10" s="1"/>
  <c r="AK1030" i="10"/>
  <c r="AH474" i="10"/>
  <c r="AI474" i="10" s="1"/>
  <c r="AK474" i="10"/>
  <c r="AH734" i="10"/>
  <c r="AI734" i="10" s="1"/>
  <c r="AK734" i="10"/>
  <c r="AM428" i="10"/>
  <c r="AN428" i="10" s="1"/>
  <c r="AH270" i="10"/>
  <c r="AI270" i="10" s="1"/>
  <c r="AK270" i="10"/>
  <c r="AK738" i="10"/>
  <c r="AH738" i="10"/>
  <c r="AI738" i="10" s="1"/>
  <c r="AH833" i="10"/>
  <c r="AI833" i="10" s="1"/>
  <c r="AK833" i="10"/>
  <c r="AH218" i="10"/>
  <c r="AI218" i="10" s="1"/>
  <c r="AK218" i="10"/>
  <c r="AK1089" i="10"/>
  <c r="AH1089" i="10"/>
  <c r="AI1089" i="10" s="1"/>
  <c r="AH727" i="10"/>
  <c r="AI727" i="10" s="1"/>
  <c r="AK727" i="10"/>
  <c r="AM229" i="10"/>
  <c r="AN229" i="10" s="1"/>
  <c r="AK377" i="10"/>
  <c r="AH377" i="10"/>
  <c r="AI377" i="10" s="1"/>
  <c r="AH1059" i="10"/>
  <c r="AI1059" i="10" s="1"/>
  <c r="AK1059" i="10"/>
  <c r="AM682" i="10"/>
  <c r="AN682" i="10" s="1"/>
  <c r="AM957" i="10"/>
  <c r="AN957" i="10" s="1"/>
  <c r="AH247" i="10"/>
  <c r="AI247" i="10" s="1"/>
  <c r="AK247" i="10"/>
  <c r="AH955" i="10"/>
  <c r="AI955" i="10" s="1"/>
  <c r="AK955" i="10"/>
  <c r="AH475" i="10"/>
  <c r="AI475" i="10" s="1"/>
  <c r="AK475" i="10"/>
  <c r="AK1096" i="10"/>
  <c r="AH1096" i="10"/>
  <c r="AI1096" i="10" s="1"/>
  <c r="AH95" i="10"/>
  <c r="AI95" i="10" s="1"/>
  <c r="AK95" i="10"/>
  <c r="AM1111" i="10"/>
  <c r="AN1111" i="10" s="1"/>
  <c r="AH464" i="10"/>
  <c r="AI464" i="10" s="1"/>
  <c r="AK464" i="10"/>
  <c r="AH556" i="10"/>
  <c r="AI556" i="10" s="1"/>
  <c r="AK556" i="10"/>
  <c r="AM225" i="10"/>
  <c r="AN225" i="10" s="1"/>
  <c r="AH1178" i="10"/>
  <c r="AI1178" i="10" s="1"/>
  <c r="AK1178" i="10"/>
  <c r="AH730" i="10"/>
  <c r="AI730" i="10" s="1"/>
  <c r="AK730" i="10"/>
  <c r="AK249" i="10"/>
  <c r="AH249" i="10"/>
  <c r="AI249" i="10" s="1"/>
  <c r="AK285" i="10"/>
  <c r="AH285" i="10"/>
  <c r="AI285" i="10" s="1"/>
  <c r="AH354" i="10"/>
  <c r="AI354" i="10" s="1"/>
  <c r="AK354" i="10"/>
  <c r="AK958" i="10"/>
  <c r="AH958" i="10"/>
  <c r="AI958" i="10" s="1"/>
  <c r="AM256" i="10"/>
  <c r="AN256" i="10" s="1"/>
  <c r="AM269" i="10"/>
  <c r="AN269" i="10" s="1"/>
  <c r="AH261" i="10"/>
  <c r="AI261" i="10" s="1"/>
  <c r="AK261" i="10"/>
  <c r="AK952" i="10"/>
  <c r="AH952" i="10"/>
  <c r="AI952" i="10" s="1"/>
  <c r="AH918" i="10"/>
  <c r="AI918" i="10" s="1"/>
  <c r="AK918" i="10"/>
  <c r="AH737" i="10"/>
  <c r="AI737" i="10" s="1"/>
  <c r="AK737" i="10"/>
  <c r="AH985" i="10"/>
  <c r="AI985" i="10" s="1"/>
  <c r="AK985" i="10"/>
  <c r="AH704" i="10"/>
  <c r="AI704" i="10" s="1"/>
  <c r="AK704" i="10"/>
  <c r="AK478" i="10"/>
  <c r="AH478" i="10"/>
  <c r="AI478" i="10" s="1"/>
  <c r="AK1159" i="10"/>
  <c r="AH1159" i="10"/>
  <c r="AI1159" i="10" s="1"/>
  <c r="AH194" i="10"/>
  <c r="AI194" i="10" s="1"/>
  <c r="AK194" i="10"/>
  <c r="AK477" i="10"/>
  <c r="AH477" i="10"/>
  <c r="AI477" i="10" s="1"/>
  <c r="AK583" i="10"/>
  <c r="AH583" i="10"/>
  <c r="AI583" i="10" s="1"/>
  <c r="AH257" i="10"/>
  <c r="AI257" i="10" s="1"/>
  <c r="AK257" i="10"/>
  <c r="AK930" i="10"/>
  <c r="AH930" i="10"/>
  <c r="AI930" i="10" s="1"/>
  <c r="AH1043" i="10"/>
  <c r="AI1043" i="10" s="1"/>
  <c r="AK1043" i="10"/>
  <c r="AK786" i="10"/>
  <c r="AH786" i="10"/>
  <c r="AI786" i="10" s="1"/>
  <c r="AH1073" i="10"/>
  <c r="AI1073" i="10" s="1"/>
  <c r="AK1073" i="10"/>
  <c r="AH562" i="10"/>
  <c r="AI562" i="10" s="1"/>
  <c r="AK562" i="10"/>
  <c r="AH1123" i="10"/>
  <c r="AI1123" i="10" s="1"/>
  <c r="AK1123" i="10"/>
  <c r="AH237" i="10"/>
  <c r="AI237" i="10" s="1"/>
  <c r="AK237" i="10"/>
  <c r="AH714" i="10"/>
  <c r="AI714" i="10" s="1"/>
  <c r="AK714" i="10"/>
  <c r="AH281" i="10"/>
  <c r="AI281" i="10" s="1"/>
  <c r="AK281" i="10"/>
  <c r="AK438" i="10"/>
  <c r="AH438" i="10"/>
  <c r="AI438" i="10" s="1"/>
  <c r="AH1156" i="10"/>
  <c r="AI1156" i="10" s="1"/>
  <c r="AK1156" i="10"/>
  <c r="AH593" i="10"/>
  <c r="AI593" i="10" s="1"/>
  <c r="AK593" i="10"/>
  <c r="AH168" i="10"/>
  <c r="AI168" i="10" s="1"/>
  <c r="AK168" i="10"/>
  <c r="AH492" i="10"/>
  <c r="AI492" i="10" s="1"/>
  <c r="AK492" i="10"/>
  <c r="AH320" i="10"/>
  <c r="AI320" i="10" s="1"/>
  <c r="AK320" i="10"/>
  <c r="AH1028" i="10"/>
  <c r="AI1028" i="10" s="1"/>
  <c r="AK1028" i="10"/>
  <c r="AH536" i="10"/>
  <c r="AI536" i="10" s="1"/>
  <c r="AK536" i="10"/>
  <c r="AH147" i="10"/>
  <c r="AI147" i="10" s="1"/>
  <c r="AK147" i="10"/>
  <c r="AH413" i="10"/>
  <c r="AI413" i="10" s="1"/>
  <c r="AK413" i="10"/>
  <c r="AK367" i="10"/>
  <c r="AH367" i="10"/>
  <c r="AI367" i="10" s="1"/>
  <c r="AK1027" i="10"/>
  <c r="AH1027" i="10"/>
  <c r="AI1027" i="10" s="1"/>
  <c r="AH480" i="10"/>
  <c r="AI480" i="10" s="1"/>
  <c r="AK480" i="10"/>
  <c r="AH1038" i="10"/>
  <c r="AI1038" i="10" s="1"/>
  <c r="AK1038" i="10"/>
  <c r="AK195" i="10"/>
  <c r="AH195" i="10"/>
  <c r="AI195" i="10" s="1"/>
  <c r="AH428" i="10"/>
  <c r="AI428" i="10" s="1"/>
  <c r="AK428" i="10"/>
  <c r="AH957" i="10"/>
  <c r="AI957" i="10" s="1"/>
  <c r="AK957" i="10"/>
  <c r="AH348" i="10"/>
  <c r="AI348" i="10" s="1"/>
  <c r="AK348" i="10"/>
  <c r="AK548" i="10"/>
  <c r="AH548" i="10"/>
  <c r="AI548" i="10" s="1"/>
  <c r="AH824" i="10"/>
  <c r="AI824" i="10" s="1"/>
  <c r="AK824" i="10"/>
  <c r="AH256" i="10"/>
  <c r="AI256" i="10" s="1"/>
  <c r="AK256" i="10"/>
  <c r="AH1138" i="10"/>
  <c r="AI1138" i="10" s="1"/>
  <c r="AK1138" i="10"/>
  <c r="AK720" i="10"/>
  <c r="AH720" i="10"/>
  <c r="AI720" i="10" s="1"/>
  <c r="AK544" i="10"/>
  <c r="AH544" i="10"/>
  <c r="AI544" i="10" s="1"/>
  <c r="AK3" i="10"/>
  <c r="AH3" i="10"/>
  <c r="AI3" i="10" s="1"/>
  <c r="AM22" i="10"/>
  <c r="AN22" i="10" s="1"/>
  <c r="AH797" i="10"/>
  <c r="AI797" i="10" s="1"/>
  <c r="AK797" i="10"/>
  <c r="AM1066" i="10"/>
  <c r="AN1066" i="10" s="1"/>
  <c r="AH867" i="10"/>
  <c r="AI867" i="10" s="1"/>
  <c r="AK867" i="10"/>
  <c r="AH1172" i="10"/>
  <c r="AI1172" i="10" s="1"/>
  <c r="AK1172" i="10"/>
  <c r="AH576" i="10"/>
  <c r="AI576" i="10" s="1"/>
  <c r="AK576" i="10"/>
  <c r="AK49" i="10"/>
  <c r="AH49" i="10"/>
  <c r="AI49" i="10" s="1"/>
  <c r="AK45" i="10"/>
  <c r="AH45" i="10"/>
  <c r="AI45" i="10" s="1"/>
  <c r="AK276" i="10"/>
  <c r="AH276" i="10"/>
  <c r="AI276" i="10" s="1"/>
  <c r="AM1138" i="10"/>
  <c r="AN1138" i="10" s="1"/>
  <c r="AK893" i="10"/>
  <c r="AH893" i="10"/>
  <c r="AI893" i="10" s="1"/>
  <c r="AH201" i="10"/>
  <c r="AI201" i="10" s="1"/>
  <c r="AK201" i="10"/>
  <c r="AH107" i="10"/>
  <c r="AI107" i="10" s="1"/>
  <c r="AK107" i="10"/>
  <c r="AK77" i="10"/>
  <c r="AH77" i="10"/>
  <c r="AI77" i="10" s="1"/>
  <c r="AK153" i="10"/>
  <c r="AH153" i="10"/>
  <c r="AI153" i="10" s="1"/>
  <c r="AK759" i="10"/>
  <c r="AH759" i="10"/>
  <c r="AI759" i="10" s="1"/>
  <c r="AK582" i="10"/>
  <c r="AH582" i="10"/>
  <c r="AI582" i="10" s="1"/>
  <c r="AH887" i="10"/>
  <c r="AI887" i="10" s="1"/>
  <c r="AK887" i="10"/>
  <c r="AH208" i="10"/>
  <c r="AI208" i="10" s="1"/>
  <c r="AK208" i="10"/>
  <c r="AH401" i="10"/>
  <c r="AI401" i="10" s="1"/>
  <c r="AK401" i="10"/>
  <c r="AH907" i="10"/>
  <c r="AI907" i="10" s="1"/>
  <c r="AK907" i="10"/>
  <c r="AH473" i="10"/>
  <c r="AI473" i="10" s="1"/>
  <c r="AK473" i="10"/>
  <c r="AH345" i="10"/>
  <c r="AI345" i="10" s="1"/>
  <c r="AK345" i="10"/>
  <c r="AH987" i="10"/>
  <c r="AI987" i="10" s="1"/>
  <c r="AK987" i="10"/>
  <c r="AK775" i="10"/>
  <c r="AH775" i="10"/>
  <c r="AI775" i="10" s="1"/>
  <c r="AK336" i="10"/>
  <c r="AH336" i="10"/>
  <c r="AI336" i="10" s="1"/>
  <c r="AH860" i="10"/>
  <c r="AI860" i="10" s="1"/>
  <c r="AK860" i="10"/>
  <c r="AH360" i="10"/>
  <c r="AI360" i="10" s="1"/>
  <c r="AK360" i="10"/>
  <c r="AH751" i="10"/>
  <c r="AI751" i="10" s="1"/>
  <c r="AK751" i="10"/>
  <c r="AM654" i="10"/>
  <c r="AN654" i="10" s="1"/>
  <c r="AH979" i="10"/>
  <c r="AI979" i="10" s="1"/>
  <c r="AK979" i="10"/>
  <c r="AH976" i="10"/>
  <c r="AI976" i="10" s="1"/>
  <c r="AK976" i="10"/>
  <c r="AH847" i="10"/>
  <c r="AI847" i="10" s="1"/>
  <c r="AK847" i="10"/>
  <c r="AH1053" i="10"/>
  <c r="AI1053" i="10" s="1"/>
  <c r="AK1053" i="10"/>
  <c r="AH687" i="10"/>
  <c r="AI687" i="10" s="1"/>
  <c r="AK687" i="10"/>
  <c r="AH624" i="10"/>
  <c r="AI624" i="10" s="1"/>
  <c r="AK624" i="10"/>
  <c r="AH134" i="10"/>
  <c r="AI134" i="10" s="1"/>
  <c r="AK134" i="10"/>
  <c r="AH1100" i="10"/>
  <c r="AI1100" i="10" s="1"/>
  <c r="AK1100" i="10"/>
  <c r="AK187" i="10"/>
  <c r="AH187" i="10"/>
  <c r="AI187" i="10" s="1"/>
  <c r="AK1113" i="10"/>
  <c r="AH1113" i="10"/>
  <c r="AI1113" i="10" s="1"/>
  <c r="AH116" i="10"/>
  <c r="AI116" i="10" s="1"/>
  <c r="AK116" i="10"/>
  <c r="AH810" i="10"/>
  <c r="AI810" i="10" s="1"/>
  <c r="AK810" i="10"/>
  <c r="AH1016" i="10"/>
  <c r="AI1016" i="10" s="1"/>
  <c r="AK1016" i="10"/>
  <c r="AH832" i="10"/>
  <c r="AI832" i="10" s="1"/>
  <c r="AK832" i="10"/>
  <c r="AH923" i="10"/>
  <c r="AI923" i="10" s="1"/>
  <c r="AK923" i="10"/>
  <c r="AM1192" i="10"/>
  <c r="AN1192" i="10" s="1"/>
  <c r="AM1133" i="10"/>
  <c r="AN1133" i="10" s="1"/>
  <c r="AH309" i="10"/>
  <c r="AI309" i="10" s="1"/>
  <c r="AK309" i="10"/>
  <c r="AH599" i="10"/>
  <c r="AI599" i="10" s="1"/>
  <c r="AK599" i="10"/>
  <c r="AH806" i="10"/>
  <c r="AI806" i="10" s="1"/>
  <c r="AK806" i="10"/>
  <c r="AH409" i="10"/>
  <c r="AI409" i="10" s="1"/>
  <c r="AK409" i="10"/>
  <c r="AK145" i="10"/>
  <c r="AH145" i="10"/>
  <c r="AI145" i="10" s="1"/>
  <c r="AH140" i="10"/>
  <c r="AI140" i="10" s="1"/>
  <c r="AK140" i="10"/>
  <c r="AK944" i="10"/>
  <c r="AH944" i="10"/>
  <c r="AI944" i="10" s="1"/>
  <c r="AM989" i="10"/>
  <c r="AN989" i="10" s="1"/>
  <c r="AH363" i="10"/>
  <c r="AI363" i="10" s="1"/>
  <c r="AK363" i="10"/>
  <c r="AK829" i="10"/>
  <c r="AH829" i="10"/>
  <c r="AI829" i="10" s="1"/>
  <c r="AH850" i="10"/>
  <c r="AI850" i="10" s="1"/>
  <c r="AK850" i="10"/>
  <c r="AH279" i="10"/>
  <c r="AI279" i="10" s="1"/>
  <c r="AK279" i="10"/>
  <c r="AH144" i="10"/>
  <c r="AI144" i="10" s="1"/>
  <c r="AK144" i="10"/>
  <c r="AK1022" i="10"/>
  <c r="AH1022" i="10"/>
  <c r="AI1022" i="10" s="1"/>
  <c r="AH571" i="10"/>
  <c r="AI571" i="10" s="1"/>
  <c r="AK571" i="10"/>
  <c r="AH361" i="10"/>
  <c r="AI361" i="10" s="1"/>
  <c r="AK361" i="10"/>
  <c r="AH650" i="10"/>
  <c r="AI650" i="10" s="1"/>
  <c r="AK650" i="10"/>
  <c r="AK113" i="10"/>
  <c r="AH113" i="10"/>
  <c r="AI113" i="10" s="1"/>
  <c r="AH984" i="10"/>
  <c r="AI984" i="10" s="1"/>
  <c r="AK984" i="10"/>
  <c r="AM297" i="10"/>
  <c r="AN297" i="10" s="1"/>
  <c r="AM143" i="10"/>
  <c r="AN143" i="10" s="1"/>
  <c r="AM932" i="10"/>
  <c r="AN932" i="10" s="1"/>
  <c r="AH1191" i="10"/>
  <c r="AI1191" i="10" s="1"/>
  <c r="AK1191" i="10"/>
  <c r="AK330" i="10"/>
  <c r="AH330" i="10"/>
  <c r="AI330" i="10" s="1"/>
  <c r="AH978" i="10"/>
  <c r="AI978" i="10" s="1"/>
  <c r="AK978" i="10"/>
  <c r="AH106" i="10"/>
  <c r="AI106" i="10" s="1"/>
  <c r="AK106" i="10"/>
  <c r="AH154" i="10"/>
  <c r="AI154" i="10" s="1"/>
  <c r="AK154" i="10"/>
  <c r="AH896" i="10"/>
  <c r="AI896" i="10" s="1"/>
  <c r="AK896" i="10"/>
  <c r="AH96" i="10"/>
  <c r="AI96" i="10" s="1"/>
  <c r="AK96" i="10"/>
  <c r="AH230" i="10"/>
  <c r="AI230" i="10" s="1"/>
  <c r="AK230" i="10"/>
  <c r="AH954" i="10"/>
  <c r="AI954" i="10" s="1"/>
  <c r="AK954" i="10"/>
  <c r="AH1032" i="10"/>
  <c r="AI1032" i="10" s="1"/>
  <c r="AK1032" i="10"/>
  <c r="AH529" i="10"/>
  <c r="AI529" i="10" s="1"/>
  <c r="AK529" i="10"/>
  <c r="AH530" i="10"/>
  <c r="AI530" i="10" s="1"/>
  <c r="AK530" i="10"/>
  <c r="AM163" i="10"/>
  <c r="AN163" i="10" s="1"/>
  <c r="AH839" i="10"/>
  <c r="AI839" i="10" s="1"/>
  <c r="AK839" i="10"/>
  <c r="AH241" i="10"/>
  <c r="AI241" i="10" s="1"/>
  <c r="AK241" i="10"/>
  <c r="AH1009" i="10"/>
  <c r="AI1009" i="10" s="1"/>
  <c r="AK1009" i="10"/>
  <c r="AH225" i="10"/>
  <c r="AI225" i="10" s="1"/>
  <c r="AK225" i="10"/>
  <c r="AH1110" i="10"/>
  <c r="AI1110" i="10" s="1"/>
  <c r="AK1110" i="10"/>
  <c r="AH674" i="10"/>
  <c r="AI674" i="10" s="1"/>
  <c r="AK674" i="10"/>
  <c r="AK702" i="10"/>
  <c r="AH702" i="10"/>
  <c r="AI702" i="10" s="1"/>
  <c r="AK842" i="10"/>
  <c r="AH842" i="10"/>
  <c r="AI842" i="10" s="1"/>
  <c r="AH1069" i="10"/>
  <c r="AI1069" i="10" s="1"/>
  <c r="AK1069" i="10"/>
  <c r="AH83" i="10"/>
  <c r="AI83" i="10" s="1"/>
  <c r="AK83" i="10"/>
  <c r="AH27" i="10"/>
  <c r="AI27" i="10" s="1"/>
  <c r="AK27" i="10"/>
  <c r="AK1109" i="10"/>
  <c r="AH1109" i="10"/>
  <c r="AI1109" i="10" s="1"/>
  <c r="AH646" i="10"/>
  <c r="AI646" i="10" s="1"/>
  <c r="AK646" i="10"/>
  <c r="AH383" i="10"/>
  <c r="AI383" i="10" s="1"/>
  <c r="AK383" i="10"/>
  <c r="AK124" i="10"/>
  <c r="AH124" i="10"/>
  <c r="AI124" i="10" s="1"/>
  <c r="AH796" i="10"/>
  <c r="AI796" i="10" s="1"/>
  <c r="AK796" i="10"/>
  <c r="AH900" i="10"/>
  <c r="AI900" i="10" s="1"/>
  <c r="AK900" i="10"/>
  <c r="AK388" i="10"/>
  <c r="AH388" i="10"/>
  <c r="AI388" i="10" s="1"/>
  <c r="AH821" i="10"/>
  <c r="AI821" i="10" s="1"/>
  <c r="AK821" i="10"/>
  <c r="AH757" i="10"/>
  <c r="AI757" i="10" s="1"/>
  <c r="AK757" i="10"/>
  <c r="AH102" i="10"/>
  <c r="AI102" i="10" s="1"/>
  <c r="AK102" i="10"/>
  <c r="AM133" i="10"/>
  <c r="AN133" i="10" s="1"/>
  <c r="AH471" i="10"/>
  <c r="AI471" i="10" s="1"/>
  <c r="AK471" i="10"/>
  <c r="AH290" i="10"/>
  <c r="AI290" i="10" s="1"/>
  <c r="AK290" i="10"/>
  <c r="AH1017" i="10"/>
  <c r="AI1017" i="10" s="1"/>
  <c r="AK1017" i="10"/>
  <c r="AM1031" i="10"/>
  <c r="AN1031" i="10" s="1"/>
  <c r="AM723" i="10"/>
  <c r="AN723" i="10" s="1"/>
  <c r="AM517" i="10"/>
  <c r="AN517" i="10" s="1"/>
  <c r="AM104" i="10"/>
  <c r="AN104" i="10" s="1"/>
  <c r="AH633" i="10"/>
  <c r="AI633" i="10" s="1"/>
  <c r="AK633" i="10"/>
  <c r="AM369" i="10"/>
  <c r="AN369" i="10" s="1"/>
  <c r="AM812" i="10"/>
  <c r="AN812" i="10" s="1"/>
  <c r="AM1042" i="10"/>
  <c r="AN1042" i="10" s="1"/>
  <c r="AK931" i="10"/>
  <c r="AH931" i="10"/>
  <c r="AI931" i="10" s="1"/>
  <c r="AM274" i="10"/>
  <c r="AN274" i="10" s="1"/>
  <c r="AM10" i="10"/>
  <c r="AN10" i="10" s="1"/>
  <c r="AM804" i="10"/>
  <c r="AN804" i="10" s="1"/>
  <c r="AK690" i="10"/>
  <c r="AH690" i="10"/>
  <c r="AI690" i="10" s="1"/>
  <c r="AM602" i="10"/>
  <c r="AN602" i="10" s="1"/>
  <c r="AM284" i="10"/>
  <c r="AN284" i="10" s="1"/>
  <c r="AM573" i="10"/>
  <c r="AN573" i="10" s="1"/>
  <c r="AM1010" i="10"/>
  <c r="AN1010" i="10" s="1"/>
  <c r="AM242" i="10"/>
  <c r="AN242" i="10" s="1"/>
  <c r="AM999" i="10"/>
  <c r="AN999" i="10" s="1"/>
  <c r="AM986" i="10"/>
  <c r="AN986" i="10" s="1"/>
  <c r="AH420" i="10"/>
  <c r="AI420" i="10" s="1"/>
  <c r="AK420" i="10"/>
  <c r="AM110" i="10"/>
  <c r="AN110" i="10" s="1"/>
  <c r="AM418" i="10"/>
  <c r="AN418" i="10" s="1"/>
  <c r="AM996" i="10"/>
  <c r="AN996" i="10" s="1"/>
  <c r="AM711" i="10"/>
  <c r="AN711" i="10" s="1"/>
  <c r="AM557" i="10"/>
  <c r="AN557" i="10" s="1"/>
  <c r="AM531" i="10"/>
  <c r="AN531" i="10" s="1"/>
  <c r="AM799" i="10"/>
  <c r="AN799" i="10" s="1"/>
  <c r="AM335" i="10"/>
  <c r="AN335" i="10" s="1"/>
  <c r="AM136" i="10"/>
  <c r="AN136" i="10" s="1"/>
  <c r="AM62" i="10"/>
  <c r="AN62" i="10" s="1"/>
  <c r="AM671" i="10"/>
  <c r="AN671" i="10" s="1"/>
  <c r="AM729" i="10"/>
  <c r="AN729" i="10" s="1"/>
  <c r="AH894" i="10"/>
  <c r="AI894" i="10" s="1"/>
  <c r="AK894" i="10"/>
  <c r="AM410" i="10"/>
  <c r="AN410" i="10" s="1"/>
  <c r="AM660" i="10"/>
  <c r="AN660" i="10" s="1"/>
  <c r="AM584" i="10"/>
  <c r="AN584" i="10" s="1"/>
  <c r="AM649" i="10"/>
  <c r="AN649" i="10" s="1"/>
  <c r="AH32" i="10"/>
  <c r="AI32" i="10" s="1"/>
  <c r="AK32" i="10"/>
  <c r="AH1186" i="10"/>
  <c r="AI1186" i="10" s="1"/>
  <c r="AK1186" i="10"/>
  <c r="AM245" i="10"/>
  <c r="AN245" i="10" s="1"/>
  <c r="AM1023" i="10"/>
  <c r="AN1023" i="10" s="1"/>
  <c r="AM1001" i="10"/>
  <c r="AN1001" i="10" s="1"/>
  <c r="AM303" i="10"/>
  <c r="AN303" i="10" s="1"/>
  <c r="AM698" i="10"/>
  <c r="AN698" i="10" s="1"/>
  <c r="AM736" i="10"/>
  <c r="AN736" i="10" s="1"/>
  <c r="AM1016" i="10"/>
  <c r="AN1016" i="10" s="1"/>
  <c r="AM832" i="10"/>
  <c r="AN832" i="10" s="1"/>
  <c r="AH722" i="10"/>
  <c r="AI722" i="10" s="1"/>
  <c r="AK722" i="10"/>
  <c r="AK784" i="10"/>
  <c r="AH784" i="10"/>
  <c r="AI784" i="10" s="1"/>
  <c r="AH869" i="10"/>
  <c r="AI869" i="10" s="1"/>
  <c r="AK869" i="10"/>
  <c r="AH877" i="10"/>
  <c r="AI877" i="10" s="1"/>
  <c r="AK877" i="10"/>
  <c r="AH1000" i="10"/>
  <c r="AI1000" i="10" s="1"/>
  <c r="AK1000" i="10"/>
  <c r="AM923" i="10"/>
  <c r="AN923" i="10" s="1"/>
  <c r="AK227" i="10"/>
  <c r="AH227" i="10"/>
  <c r="AI227" i="10" s="1"/>
  <c r="AM846" i="10"/>
  <c r="AN846" i="10" s="1"/>
  <c r="AM1167" i="10"/>
  <c r="AN1167" i="10" s="1"/>
  <c r="AK356" i="10"/>
  <c r="AH356" i="10"/>
  <c r="AI356" i="10" s="1"/>
  <c r="AK679" i="10"/>
  <c r="AH679" i="10"/>
  <c r="AI679" i="10" s="1"/>
  <c r="AM681" i="10"/>
  <c r="AN681" i="10" s="1"/>
  <c r="AM817" i="10"/>
  <c r="AN817" i="10" s="1"/>
  <c r="AM661" i="10"/>
  <c r="AN661" i="10" s="1"/>
  <c r="AH1116" i="10"/>
  <c r="AI1116" i="10" s="1"/>
  <c r="AK1116" i="10"/>
  <c r="AK258" i="10"/>
  <c r="AH258" i="10"/>
  <c r="AI258" i="10" s="1"/>
  <c r="AM806" i="10"/>
  <c r="AN806" i="10" s="1"/>
  <c r="AH495" i="10"/>
  <c r="AI495" i="10" s="1"/>
  <c r="AK495" i="10"/>
  <c r="AH1086" i="10"/>
  <c r="AI1086" i="10" s="1"/>
  <c r="AK1086" i="10"/>
  <c r="AH848" i="10"/>
  <c r="AI848" i="10" s="1"/>
  <c r="AK848" i="10"/>
  <c r="AH325" i="10"/>
  <c r="AI325" i="10" s="1"/>
  <c r="AK325" i="10"/>
  <c r="AH254" i="10"/>
  <c r="AI254" i="10" s="1"/>
  <c r="AK254" i="10"/>
  <c r="AK885" i="10"/>
  <c r="AH885" i="10"/>
  <c r="AI885" i="10" s="1"/>
  <c r="AH750" i="10"/>
  <c r="AI750" i="10" s="1"/>
  <c r="AK750" i="10"/>
  <c r="AH1168" i="10"/>
  <c r="AI1168" i="10" s="1"/>
  <c r="AK1168" i="10"/>
  <c r="AM1131" i="10"/>
  <c r="AN1131" i="10" s="1"/>
  <c r="AM747" i="10"/>
  <c r="AN747" i="10" s="1"/>
  <c r="AH550" i="10"/>
  <c r="AI550" i="10" s="1"/>
  <c r="AK550" i="10"/>
  <c r="AM408" i="10"/>
  <c r="AN408" i="10" s="1"/>
  <c r="AH997" i="10"/>
  <c r="AI997" i="10" s="1"/>
  <c r="AK997" i="10"/>
  <c r="AK265" i="10"/>
  <c r="AH265" i="10"/>
  <c r="AI265" i="10" s="1"/>
  <c r="AH76" i="10"/>
  <c r="AI76" i="10" s="1"/>
  <c r="AK76" i="10"/>
  <c r="AM1029" i="10"/>
  <c r="AN1029" i="10" s="1"/>
  <c r="AM1132" i="10"/>
  <c r="AN1132" i="10" s="1"/>
  <c r="AM14" i="10"/>
  <c r="AN14" i="10" s="1"/>
  <c r="AM288" i="10"/>
  <c r="AN288" i="10" s="1"/>
  <c r="AM617" i="10"/>
  <c r="AN617" i="10" s="1"/>
  <c r="AH767" i="10"/>
  <c r="AI767" i="10" s="1"/>
  <c r="AK767" i="10"/>
  <c r="AH657" i="10"/>
  <c r="AI657" i="10" s="1"/>
  <c r="AK657" i="10"/>
  <c r="AK299" i="10"/>
  <c r="AH299" i="10"/>
  <c r="AI299" i="10" s="1"/>
  <c r="AM463" i="10"/>
  <c r="AN463" i="10" s="1"/>
  <c r="AM744" i="10"/>
  <c r="AN744" i="10" s="1"/>
  <c r="AM114" i="10"/>
  <c r="AN114" i="10" s="1"/>
  <c r="AM101" i="10"/>
  <c r="AN101" i="10" s="1"/>
  <c r="AM497" i="10"/>
  <c r="AN497" i="10" s="1"/>
  <c r="AM745" i="10"/>
  <c r="AN745" i="10" s="1"/>
  <c r="AM545" i="10"/>
  <c r="AN545" i="10" s="1"/>
  <c r="AM718" i="10"/>
  <c r="AN718" i="10" s="1"/>
  <c r="AK1015" i="10"/>
  <c r="AH1015" i="10"/>
  <c r="AI1015" i="10" s="1"/>
  <c r="AM152" i="10"/>
  <c r="AN152" i="10" s="1"/>
  <c r="AH255" i="10"/>
  <c r="AI255" i="10" s="1"/>
  <c r="AK255" i="10"/>
  <c r="AH37" i="10"/>
  <c r="AI37" i="10" s="1"/>
  <c r="AK37" i="10"/>
  <c r="AH665" i="10"/>
  <c r="AI665" i="10" s="1"/>
  <c r="AK665" i="10"/>
  <c r="AH1064" i="10"/>
  <c r="AI1064" i="10" s="1"/>
  <c r="AK1064" i="10"/>
  <c r="AK379" i="10"/>
  <c r="AH379" i="10"/>
  <c r="AI379" i="10" s="1"/>
  <c r="AH1084" i="10"/>
  <c r="AI1084" i="10" s="1"/>
  <c r="AK1084" i="10"/>
  <c r="AM78" i="10"/>
  <c r="AN78" i="10" s="1"/>
  <c r="AM6" i="10"/>
  <c r="AN6" i="10" s="1"/>
  <c r="AM766" i="10"/>
  <c r="AN766" i="10" s="1"/>
  <c r="AM978" i="10"/>
  <c r="AN978" i="10" s="1"/>
  <c r="AM415" i="10"/>
  <c r="AN415" i="10" s="1"/>
  <c r="AM382" i="10"/>
  <c r="AN382" i="10" s="1"/>
  <c r="AM709" i="10"/>
  <c r="AN709" i="10" s="1"/>
  <c r="AH1051" i="10"/>
  <c r="AI1051" i="10" s="1"/>
  <c r="AK1051" i="10"/>
  <c r="AK715" i="10"/>
  <c r="AH715" i="10"/>
  <c r="AI715" i="10" s="1"/>
  <c r="AM230" i="10"/>
  <c r="AN230" i="10" s="1"/>
  <c r="AH108" i="10"/>
  <c r="AI108" i="10" s="1"/>
  <c r="AK108" i="10"/>
  <c r="AH1092" i="10"/>
  <c r="AI1092" i="10" s="1"/>
  <c r="AK1092" i="10"/>
  <c r="AH788" i="10"/>
  <c r="AI788" i="10" s="1"/>
  <c r="AK788" i="10"/>
  <c r="AK559" i="10"/>
  <c r="AH559" i="10"/>
  <c r="AI559" i="10" s="1"/>
  <c r="AH790" i="10"/>
  <c r="AI790" i="10" s="1"/>
  <c r="AK790" i="10"/>
  <c r="AM484" i="10"/>
  <c r="AN484" i="10" s="1"/>
  <c r="AH538" i="10"/>
  <c r="AI538" i="10" s="1"/>
  <c r="AK538" i="10"/>
  <c r="AH103" i="10"/>
  <c r="AI103" i="10" s="1"/>
  <c r="AK103" i="10"/>
  <c r="AH905" i="10"/>
  <c r="AI905" i="10" s="1"/>
  <c r="AK905" i="10"/>
  <c r="AK1160" i="10"/>
  <c r="AH1160" i="10"/>
  <c r="AI1160" i="10" s="1"/>
  <c r="AH1074" i="10"/>
  <c r="AI1074" i="10" s="1"/>
  <c r="AK1074" i="10"/>
  <c r="AK910" i="10"/>
  <c r="AH910" i="10"/>
  <c r="AI910" i="10" s="1"/>
  <c r="AH384" i="10"/>
  <c r="AI384" i="10" s="1"/>
  <c r="AK384" i="10"/>
  <c r="AM53" i="10"/>
  <c r="AN53" i="10" s="1"/>
  <c r="AM881" i="10"/>
  <c r="AN881" i="10" s="1"/>
  <c r="AH1183" i="10"/>
  <c r="AI1183" i="10" s="1"/>
  <c r="AK1183" i="10"/>
  <c r="AK1182" i="10"/>
  <c r="AH1182" i="10"/>
  <c r="AI1182" i="10" s="1"/>
  <c r="AH1011" i="10"/>
  <c r="AI1011" i="10" s="1"/>
  <c r="AK1011" i="10"/>
  <c r="AK312" i="10"/>
  <c r="AH312" i="10"/>
  <c r="AI312" i="10" s="1"/>
  <c r="AK780" i="10"/>
  <c r="AH780" i="10"/>
  <c r="AI780" i="10" s="1"/>
  <c r="AH748" i="10"/>
  <c r="AI748" i="10" s="1"/>
  <c r="AK748" i="10"/>
  <c r="AM644" i="10"/>
  <c r="AN644" i="10" s="1"/>
  <c r="AH174" i="10"/>
  <c r="AI174" i="10" s="1"/>
  <c r="AK174" i="10"/>
  <c r="AH515" i="10"/>
  <c r="AI515" i="10" s="1"/>
  <c r="AK515" i="10"/>
  <c r="AM839" i="10"/>
  <c r="AN839" i="10" s="1"/>
  <c r="AH1164" i="10"/>
  <c r="AI1164" i="10" s="1"/>
  <c r="AK1164" i="10"/>
  <c r="AM241" i="10"/>
  <c r="AN241" i="10" s="1"/>
  <c r="AH692" i="10"/>
  <c r="AI692" i="10" s="1"/>
  <c r="AK692" i="10"/>
  <c r="AH626" i="10"/>
  <c r="AI626" i="10" s="1"/>
  <c r="AK626" i="10"/>
  <c r="AH446" i="10"/>
  <c r="AI446" i="10" s="1"/>
  <c r="AK446" i="10"/>
  <c r="AM616" i="10"/>
  <c r="AN616" i="10" s="1"/>
  <c r="AH794" i="10"/>
  <c r="AI794" i="10" s="1"/>
  <c r="AK794" i="10"/>
  <c r="AM1009" i="10"/>
  <c r="AN1009" i="10" s="1"/>
  <c r="AM1176" i="10"/>
  <c r="AN1176" i="10" s="1"/>
  <c r="AM141" i="10"/>
  <c r="AN141" i="10" s="1"/>
  <c r="AH450" i="10"/>
  <c r="AI450" i="10" s="1"/>
  <c r="AK450" i="10"/>
  <c r="AK1003" i="10"/>
  <c r="AH1003" i="10"/>
  <c r="AI1003" i="10" s="1"/>
  <c r="AH563" i="10"/>
  <c r="AI563" i="10" s="1"/>
  <c r="AK563" i="10"/>
  <c r="AK1181" i="10"/>
  <c r="AH1181" i="10"/>
  <c r="AI1181" i="10" s="1"/>
  <c r="AH1139" i="10"/>
  <c r="AI1139" i="10" s="1"/>
  <c r="AK1139" i="10"/>
  <c r="AM1110" i="10"/>
  <c r="AN1110" i="10" s="1"/>
  <c r="AK892" i="10"/>
  <c r="AH892" i="10"/>
  <c r="AI892" i="10" s="1"/>
  <c r="AH523" i="10"/>
  <c r="AI523" i="10" s="1"/>
  <c r="AK523" i="10"/>
  <c r="AK456" i="10"/>
  <c r="AH456" i="10"/>
  <c r="AI456" i="10" s="1"/>
  <c r="AH407" i="10"/>
  <c r="AI407" i="10" s="1"/>
  <c r="AK407" i="10"/>
  <c r="AH63" i="10"/>
  <c r="AI63" i="10" s="1"/>
  <c r="AK63" i="10"/>
  <c r="AH949" i="10"/>
  <c r="AI949" i="10" s="1"/>
  <c r="AK949" i="10"/>
  <c r="AK861" i="10"/>
  <c r="AH861" i="10"/>
  <c r="AI861" i="10" s="1"/>
  <c r="AK7" i="10"/>
  <c r="AH7" i="10"/>
  <c r="AI7" i="10" s="1"/>
  <c r="AH1050" i="10"/>
  <c r="AI1050" i="10" s="1"/>
  <c r="AK1050" i="10"/>
  <c r="AH732" i="10"/>
  <c r="AI732" i="10" s="1"/>
  <c r="AK732" i="10"/>
  <c r="AH266" i="10"/>
  <c r="AI266" i="10" s="1"/>
  <c r="AK266" i="10"/>
  <c r="AH133" i="10"/>
  <c r="AI133" i="10" s="1"/>
  <c r="AK133" i="10"/>
  <c r="AK991" i="10"/>
  <c r="AH991" i="10"/>
  <c r="AI991" i="10" s="1"/>
  <c r="AK677" i="10"/>
  <c r="AH677" i="10"/>
  <c r="AI677" i="10" s="1"/>
  <c r="AK655" i="10"/>
  <c r="AH655" i="10"/>
  <c r="AI655" i="10" s="1"/>
  <c r="AH501" i="10"/>
  <c r="AI501" i="10" s="1"/>
  <c r="AK501" i="10"/>
  <c r="AH437" i="10"/>
  <c r="AI437" i="10" s="1"/>
  <c r="AK437" i="10"/>
  <c r="AH282" i="10"/>
  <c r="AI282" i="10" s="1"/>
  <c r="AK282" i="10"/>
  <c r="AH22" i="10"/>
  <c r="AI22" i="10" s="1"/>
  <c r="AK22" i="10"/>
  <c r="AK1054" i="10"/>
  <c r="AH1054" i="10"/>
  <c r="AI1054" i="10" s="1"/>
  <c r="AK40" i="10"/>
  <c r="AH40" i="10"/>
  <c r="AI40" i="10" s="1"/>
  <c r="AH975" i="10"/>
  <c r="AI975" i="10" s="1"/>
  <c r="AK975" i="10"/>
  <c r="AH950" i="10"/>
  <c r="AI950" i="10" s="1"/>
  <c r="AK950" i="10"/>
  <c r="AH673" i="10"/>
  <c r="AI673" i="10" s="1"/>
  <c r="AK673" i="10"/>
  <c r="AH1114" i="10"/>
  <c r="AI1114" i="10" s="1"/>
  <c r="AK1114" i="10"/>
  <c r="AH682" i="10"/>
  <c r="AI682" i="10" s="1"/>
  <c r="AK682" i="10"/>
  <c r="AH48" i="10"/>
  <c r="AI48" i="10" s="1"/>
  <c r="AK48" i="10"/>
  <c r="AH671" i="10"/>
  <c r="AI671" i="10" s="1"/>
  <c r="AK671" i="10"/>
  <c r="AH528" i="10"/>
  <c r="AI528" i="10" s="1"/>
  <c r="AK528" i="10"/>
  <c r="AH608" i="10"/>
  <c r="AI608" i="10" s="1"/>
  <c r="AK608" i="10"/>
  <c r="AH447" i="10"/>
  <c r="AI447" i="10" s="1"/>
  <c r="AK447" i="10"/>
  <c r="AH846" i="10"/>
  <c r="AI846" i="10" s="1"/>
  <c r="AK846" i="10"/>
  <c r="AK1167" i="10"/>
  <c r="AH1167" i="10"/>
  <c r="AI1167" i="10" s="1"/>
  <c r="AH681" i="10"/>
  <c r="AI681" i="10" s="1"/>
  <c r="AK681" i="10"/>
  <c r="AH817" i="10"/>
  <c r="AI817" i="10" s="1"/>
  <c r="AK817" i="10"/>
  <c r="AH661" i="10"/>
  <c r="AI661" i="10" s="1"/>
  <c r="AK661" i="10"/>
  <c r="AH327" i="10"/>
  <c r="AI327" i="10" s="1"/>
  <c r="AK327" i="10"/>
  <c r="AH825" i="10"/>
  <c r="AI825" i="10" s="1"/>
  <c r="AK825" i="10"/>
  <c r="AH1131" i="10"/>
  <c r="AI1131" i="10" s="1"/>
  <c r="AK1131" i="10"/>
  <c r="AH747" i="10"/>
  <c r="AI747" i="10" s="1"/>
  <c r="AK747" i="10"/>
  <c r="AK408" i="10"/>
  <c r="AH408" i="10"/>
  <c r="AI408" i="10" s="1"/>
  <c r="AK1029" i="10"/>
  <c r="AH1029" i="10"/>
  <c r="AI1029" i="10" s="1"/>
  <c r="AH1132" i="10"/>
  <c r="AI1132" i="10" s="1"/>
  <c r="AK1132" i="10"/>
  <c r="AH288" i="10"/>
  <c r="AI288" i="10" s="1"/>
  <c r="AK288" i="10"/>
  <c r="AH617" i="10"/>
  <c r="AI617" i="10" s="1"/>
  <c r="AK617" i="10"/>
  <c r="AH960" i="10"/>
  <c r="AI960" i="10" s="1"/>
  <c r="AK960" i="10"/>
  <c r="AK463" i="10"/>
  <c r="AH463" i="10"/>
  <c r="AI463" i="10" s="1"/>
  <c r="AH744" i="10"/>
  <c r="AI744" i="10" s="1"/>
  <c r="AK744" i="10"/>
  <c r="AK114" i="10"/>
  <c r="AH114" i="10"/>
  <c r="AI114" i="10" s="1"/>
  <c r="AH101" i="10"/>
  <c r="AI101" i="10" s="1"/>
  <c r="AK101" i="10"/>
  <c r="AH497" i="10"/>
  <c r="AI497" i="10" s="1"/>
  <c r="AK497" i="10"/>
  <c r="AK745" i="10"/>
  <c r="AH745" i="10"/>
  <c r="AI745" i="10" s="1"/>
  <c r="AH545" i="10"/>
  <c r="AI545" i="10" s="1"/>
  <c r="AK545" i="10"/>
  <c r="AH718" i="10"/>
  <c r="AI718" i="10" s="1"/>
  <c r="AK718" i="10"/>
  <c r="AH362" i="10"/>
  <c r="AI362" i="10" s="1"/>
  <c r="AK362" i="10"/>
  <c r="AH152" i="10"/>
  <c r="AI152" i="10" s="1"/>
  <c r="AK152" i="10"/>
  <c r="AH6" i="10"/>
  <c r="AI6" i="10" s="1"/>
  <c r="AK6" i="10"/>
  <c r="AH766" i="10"/>
  <c r="AI766" i="10" s="1"/>
  <c r="AK766" i="10"/>
  <c r="AH415" i="10"/>
  <c r="AI415" i="10" s="1"/>
  <c r="AK415" i="10"/>
  <c r="AH382" i="10"/>
  <c r="AI382" i="10" s="1"/>
  <c r="AK382" i="10"/>
  <c r="AK709" i="10"/>
  <c r="AH709" i="10"/>
  <c r="AI709" i="10" s="1"/>
  <c r="AK484" i="10"/>
  <c r="AH484" i="10"/>
  <c r="AI484" i="10" s="1"/>
  <c r="AH881" i="10"/>
  <c r="AI881" i="10" s="1"/>
  <c r="AK881" i="10"/>
  <c r="AH697" i="10"/>
  <c r="AI697" i="10" s="1"/>
  <c r="AK697" i="10"/>
  <c r="AH440" i="10"/>
  <c r="AI440" i="10" s="1"/>
  <c r="AK440" i="10"/>
  <c r="AH68" i="10"/>
  <c r="AI68" i="10" s="1"/>
  <c r="AK68" i="10"/>
  <c r="AK644" i="10"/>
  <c r="AH644" i="10"/>
  <c r="AI644" i="10" s="1"/>
  <c r="AH595" i="10"/>
  <c r="AI595" i="10" s="1"/>
  <c r="AK595" i="10"/>
  <c r="AK616" i="10"/>
  <c r="AH616" i="10"/>
  <c r="AI616" i="10" s="1"/>
  <c r="AH1176" i="10"/>
  <c r="AI1176" i="10" s="1"/>
  <c r="AK1176" i="10"/>
  <c r="AK141" i="10"/>
  <c r="AH141" i="10"/>
  <c r="AI141" i="10" s="1"/>
  <c r="AH1094" i="10"/>
  <c r="AI1094" i="10" s="1"/>
  <c r="AK1094" i="10"/>
  <c r="AH343" i="10"/>
  <c r="AI343" i="10" s="1"/>
  <c r="AK343" i="10"/>
  <c r="AK462" i="10"/>
  <c r="AH462" i="10"/>
  <c r="AI462" i="10" s="1"/>
  <c r="AH1085" i="10"/>
  <c r="AI1085" i="10" s="1"/>
  <c r="AK1085" i="10"/>
  <c r="AH749" i="10"/>
  <c r="AI749" i="10" s="1"/>
  <c r="AK749" i="10"/>
  <c r="AH193" i="10"/>
  <c r="AI193" i="10" s="1"/>
  <c r="AK193" i="10"/>
  <c r="AK181" i="10"/>
  <c r="AH181" i="10"/>
  <c r="AI181" i="10" s="1"/>
  <c r="AH565" i="10"/>
  <c r="AI565" i="10" s="1"/>
  <c r="AK565" i="10"/>
  <c r="AH262" i="10"/>
  <c r="AI262" i="10" s="1"/>
  <c r="AK262" i="10"/>
  <c r="AH339" i="10"/>
  <c r="AI339" i="10" s="1"/>
  <c r="AK339" i="10"/>
  <c r="AH52" i="10"/>
  <c r="AI52" i="10" s="1"/>
  <c r="AK52" i="10"/>
  <c r="AH535" i="10"/>
  <c r="AI535" i="10" s="1"/>
  <c r="AK535" i="10"/>
  <c r="AK178" i="10"/>
  <c r="AH178" i="10"/>
  <c r="AI178" i="10" s="1"/>
  <c r="AK498" i="10"/>
  <c r="AH498" i="10"/>
  <c r="AI498" i="10" s="1"/>
  <c r="AH25" i="10"/>
  <c r="AI25" i="10" s="1"/>
  <c r="AK25" i="10"/>
  <c r="AK588" i="10"/>
  <c r="AH588" i="10"/>
  <c r="AI588" i="10" s="1"/>
  <c r="AH1189" i="10"/>
  <c r="AI1189" i="10" s="1"/>
  <c r="AK1189" i="10"/>
  <c r="AH785" i="10"/>
  <c r="AI785" i="10" s="1"/>
  <c r="AK785" i="10"/>
  <c r="AH1149" i="10"/>
  <c r="AI1149" i="10" s="1"/>
  <c r="AK1149" i="10"/>
  <c r="AH815" i="10"/>
  <c r="AI815" i="10" s="1"/>
  <c r="AK815" i="10"/>
  <c r="AH389" i="10"/>
  <c r="AI389" i="10" s="1"/>
  <c r="AK389" i="10"/>
  <c r="AK755" i="10"/>
  <c r="AH755" i="10"/>
  <c r="AI755" i="10" s="1"/>
  <c r="AH868" i="10"/>
  <c r="AI868" i="10" s="1"/>
  <c r="AK868" i="10"/>
  <c r="AH1141" i="10"/>
  <c r="AI1141" i="10" s="1"/>
  <c r="AK1141" i="10"/>
  <c r="AH612" i="10"/>
  <c r="AI612" i="10" s="1"/>
  <c r="AK612" i="10"/>
  <c r="AK92" i="10"/>
  <c r="AH92" i="10"/>
  <c r="AI92" i="10" s="1"/>
  <c r="AK1081" i="10"/>
  <c r="AH1081" i="10"/>
  <c r="AI1081" i="10" s="1"/>
  <c r="AH1193" i="10"/>
  <c r="AI1193" i="10" s="1"/>
  <c r="AK1193" i="10"/>
  <c r="AK23" i="10"/>
  <c r="AH23" i="10"/>
  <c r="AI23" i="10" s="1"/>
  <c r="AH439" i="10"/>
  <c r="AI439" i="10" s="1"/>
  <c r="AK439" i="10"/>
  <c r="AH625" i="10"/>
  <c r="AI625" i="10" s="1"/>
  <c r="AK625" i="10"/>
  <c r="AH423" i="10"/>
  <c r="AI423" i="10" s="1"/>
  <c r="AK423" i="10"/>
  <c r="AK541" i="10"/>
  <c r="AH541" i="10"/>
  <c r="AI541" i="10" s="1"/>
  <c r="AH1049" i="10"/>
  <c r="AI1049" i="10" s="1"/>
  <c r="AK1049" i="10"/>
  <c r="AH1077" i="10"/>
  <c r="AI1077" i="10" s="1"/>
  <c r="AK1077" i="10"/>
  <c r="AH915" i="10"/>
  <c r="AI915" i="10" s="1"/>
  <c r="AK915" i="10"/>
  <c r="AH472" i="10"/>
  <c r="AI472" i="10" s="1"/>
  <c r="AK472" i="10"/>
  <c r="AH185" i="10"/>
  <c r="AI185" i="10" s="1"/>
  <c r="AK185" i="10"/>
  <c r="AH522" i="10"/>
  <c r="AI522" i="10" s="1"/>
  <c r="AK522" i="10"/>
  <c r="AK878" i="10"/>
  <c r="AH878" i="10"/>
  <c r="AI878" i="10" s="1"/>
  <c r="AH1103" i="10"/>
  <c r="AI1103" i="10" s="1"/>
  <c r="AK1103" i="10"/>
  <c r="AH739" i="10"/>
  <c r="AI739" i="10" s="1"/>
  <c r="AK739" i="10"/>
  <c r="AH859" i="10"/>
  <c r="AI859" i="10" s="1"/>
  <c r="AK859" i="10"/>
  <c r="AH945" i="10"/>
  <c r="AI945" i="10" s="1"/>
  <c r="AK945" i="10"/>
  <c r="AK301" i="10"/>
  <c r="AH301" i="10"/>
  <c r="AI301" i="10" s="1"/>
  <c r="AK280" i="10"/>
  <c r="AH280" i="10"/>
  <c r="AI280" i="10" s="1"/>
  <c r="AK534" i="10"/>
  <c r="AH534" i="10"/>
  <c r="AI534" i="10" s="1"/>
  <c r="AH229" i="10"/>
  <c r="AI229" i="10" s="1"/>
  <c r="AK229" i="10"/>
  <c r="AK136" i="10"/>
  <c r="AH136" i="10"/>
  <c r="AI136" i="10" s="1"/>
  <c r="AH62" i="10"/>
  <c r="AI62" i="10" s="1"/>
  <c r="AK62" i="10"/>
  <c r="AH729" i="10"/>
  <c r="AI729" i="10" s="1"/>
  <c r="AK729" i="10"/>
  <c r="AH245" i="10"/>
  <c r="AI245" i="10" s="1"/>
  <c r="AK245" i="10"/>
  <c r="AH1023" i="10"/>
  <c r="AI1023" i="10" s="1"/>
  <c r="AK1023" i="10"/>
  <c r="AH1001" i="10"/>
  <c r="AI1001" i="10" s="1"/>
  <c r="AK1001" i="10"/>
  <c r="AH303" i="10"/>
  <c r="AI303" i="10" s="1"/>
  <c r="AK303" i="10"/>
  <c r="AH698" i="10"/>
  <c r="AI698" i="10" s="1"/>
  <c r="AK698" i="10"/>
  <c r="AH736" i="10"/>
  <c r="AI736" i="10" s="1"/>
  <c r="AK736" i="10"/>
  <c r="AK579" i="10"/>
  <c r="AH579" i="10"/>
  <c r="AI579" i="10" s="1"/>
  <c r="AH469" i="10"/>
  <c r="AI469" i="10" s="1"/>
  <c r="AK469" i="10"/>
  <c r="AM1037" i="10"/>
  <c r="AN1037" i="10" s="1"/>
  <c r="AM1076" i="10"/>
  <c r="AN1076" i="10" s="1"/>
  <c r="AM315" i="10"/>
  <c r="AN315" i="10" s="1"/>
  <c r="AM304" i="10"/>
  <c r="AN304" i="10" s="1"/>
  <c r="AH1088" i="10"/>
  <c r="AI1088" i="10" s="1"/>
  <c r="AK1088" i="10"/>
  <c r="AM789" i="10"/>
  <c r="AN789" i="10" s="1"/>
  <c r="AM539" i="10"/>
  <c r="AN539" i="10" s="1"/>
  <c r="AH150" i="10"/>
  <c r="AI150" i="10" s="1"/>
  <c r="AK150" i="10"/>
  <c r="AH613" i="10"/>
  <c r="AI613" i="10" s="1"/>
  <c r="AK613" i="10"/>
  <c r="AH1068" i="10"/>
  <c r="AI1068" i="10" s="1"/>
  <c r="AK1068" i="10"/>
  <c r="AH1058" i="10"/>
  <c r="AI1058" i="10" s="1"/>
  <c r="AK1058" i="10"/>
  <c r="AH1128" i="10"/>
  <c r="AI1128" i="10" s="1"/>
  <c r="AK1128" i="10"/>
  <c r="AH328" i="10"/>
  <c r="AI328" i="10" s="1"/>
  <c r="AK328" i="10"/>
  <c r="AH622" i="10"/>
  <c r="AI622" i="10" s="1"/>
  <c r="AK622" i="10"/>
  <c r="AH705" i="10"/>
  <c r="AI705" i="10" s="1"/>
  <c r="AK705" i="10"/>
  <c r="AM528" i="10"/>
  <c r="AN528" i="10" s="1"/>
  <c r="AM608" i="10"/>
  <c r="AN608" i="10" s="1"/>
  <c r="AK271" i="10"/>
  <c r="AH271" i="10"/>
  <c r="AI271" i="10" s="1"/>
  <c r="AM447" i="10"/>
  <c r="AN447" i="10" s="1"/>
  <c r="AK793" i="10"/>
  <c r="AH793" i="10"/>
  <c r="AI793" i="10" s="1"/>
  <c r="AH1125" i="10"/>
  <c r="AI1125" i="10" s="1"/>
  <c r="AK1125" i="10"/>
  <c r="AH340" i="10"/>
  <c r="AI340" i="10" s="1"/>
  <c r="AK340" i="10"/>
  <c r="AH774" i="10"/>
  <c r="AI774" i="10" s="1"/>
  <c r="AK774" i="10"/>
  <c r="AH1021" i="10"/>
  <c r="AI1021" i="10" s="1"/>
  <c r="AK1021" i="10"/>
  <c r="AH924" i="10"/>
  <c r="AI924" i="10" s="1"/>
  <c r="AK924" i="10"/>
  <c r="AM327" i="10"/>
  <c r="AN327" i="10" s="1"/>
  <c r="AH680" i="10"/>
  <c r="AI680" i="10" s="1"/>
  <c r="AK680" i="10"/>
  <c r="AM825" i="10"/>
  <c r="AN825" i="10" s="1"/>
  <c r="AH993" i="10"/>
  <c r="AI993" i="10" s="1"/>
  <c r="AK993" i="10"/>
  <c r="AK800" i="10"/>
  <c r="AH800" i="10"/>
  <c r="AI800" i="10" s="1"/>
  <c r="AH198" i="10"/>
  <c r="AI198" i="10" s="1"/>
  <c r="AK198" i="10"/>
  <c r="AH1171" i="10"/>
  <c r="AI1171" i="10" s="1"/>
  <c r="AK1171" i="10"/>
  <c r="AH323" i="10"/>
  <c r="AI323" i="10" s="1"/>
  <c r="AK323" i="10"/>
  <c r="AH341" i="10"/>
  <c r="AI341" i="10" s="1"/>
  <c r="AK341" i="10"/>
  <c r="AH137" i="10"/>
  <c r="AI137" i="10" s="1"/>
  <c r="AK137" i="10"/>
  <c r="AH762" i="10"/>
  <c r="AI762" i="10" s="1"/>
  <c r="AK762" i="10"/>
  <c r="AM960" i="10"/>
  <c r="AN960" i="10" s="1"/>
  <c r="AK1014" i="10"/>
  <c r="AH1014" i="10"/>
  <c r="AI1014" i="10" s="1"/>
  <c r="AH311" i="10"/>
  <c r="AI311" i="10" s="1"/>
  <c r="AK311" i="10"/>
  <c r="AH897" i="10"/>
  <c r="AI897" i="10" s="1"/>
  <c r="AK897" i="10"/>
  <c r="AM362" i="10"/>
  <c r="AN362" i="10" s="1"/>
  <c r="AH1155" i="10"/>
  <c r="AI1155" i="10" s="1"/>
  <c r="AK1155" i="10"/>
  <c r="AH1035" i="10"/>
  <c r="AI1035" i="10" s="1"/>
  <c r="AK1035" i="10"/>
  <c r="AH1090" i="10"/>
  <c r="AI1090" i="10" s="1"/>
  <c r="AK1090" i="10"/>
  <c r="AH693" i="10"/>
  <c r="AI693" i="10" s="1"/>
  <c r="AK693" i="10"/>
  <c r="AK445" i="10"/>
  <c r="AH445" i="10"/>
  <c r="AI445" i="10" s="1"/>
  <c r="AH36" i="10"/>
  <c r="AI36" i="10" s="1"/>
  <c r="AK36" i="10"/>
  <c r="AH453" i="10"/>
  <c r="AI453" i="10" s="1"/>
  <c r="AK453" i="10"/>
  <c r="AH1169" i="10"/>
  <c r="AI1169" i="10" s="1"/>
  <c r="AK1169" i="10"/>
  <c r="AH872" i="10"/>
  <c r="AI872" i="10" s="1"/>
  <c r="AK872" i="10"/>
  <c r="AK424" i="10"/>
  <c r="AH424" i="10"/>
  <c r="AI424" i="10" s="1"/>
  <c r="AH166" i="10"/>
  <c r="AI166" i="10" s="1"/>
  <c r="AK166" i="10"/>
  <c r="AH352" i="10"/>
  <c r="AI352" i="10" s="1"/>
  <c r="AK352" i="10"/>
  <c r="AH1018" i="10"/>
  <c r="AI1018" i="10" s="1"/>
  <c r="AK1018" i="10"/>
  <c r="AH841" i="10"/>
  <c r="AI841" i="10" s="1"/>
  <c r="AK841" i="10"/>
  <c r="AH526" i="10"/>
  <c r="AI526" i="10" s="1"/>
  <c r="AK526" i="10"/>
  <c r="AH927" i="10"/>
  <c r="AI927" i="10" s="1"/>
  <c r="AK927" i="10"/>
  <c r="AH142" i="10"/>
  <c r="AI142" i="10" s="1"/>
  <c r="AK142" i="10"/>
  <c r="AH442" i="10"/>
  <c r="AI442" i="10" s="1"/>
  <c r="AK442" i="10"/>
  <c r="AH1097" i="10"/>
  <c r="AI1097" i="10" s="1"/>
  <c r="AK1097" i="10"/>
  <c r="AK772" i="10"/>
  <c r="AH772" i="10"/>
  <c r="AI772" i="10" s="1"/>
  <c r="AK251" i="10"/>
  <c r="AH251" i="10"/>
  <c r="AI251" i="10" s="1"/>
  <c r="AM697" i="10"/>
  <c r="AN697" i="10" s="1"/>
  <c r="AH376" i="10"/>
  <c r="AI376" i="10" s="1"/>
  <c r="AK376" i="10"/>
  <c r="AM440" i="10"/>
  <c r="AN440" i="10" s="1"/>
  <c r="AM68" i="10"/>
  <c r="AN68" i="10" s="1"/>
  <c r="AH260" i="10"/>
  <c r="AI260" i="10" s="1"/>
  <c r="AK260" i="10"/>
  <c r="AH694" i="10"/>
  <c r="AI694" i="10" s="1"/>
  <c r="AK694" i="10"/>
  <c r="AM595" i="10"/>
  <c r="AN595" i="10" s="1"/>
  <c r="AK50" i="10"/>
  <c r="AH50" i="10"/>
  <c r="AI50" i="10" s="1"/>
  <c r="AH696" i="10"/>
  <c r="AI696" i="10" s="1"/>
  <c r="AK696" i="10"/>
  <c r="AM91" i="10"/>
  <c r="AN91" i="10" s="1"/>
  <c r="AH232" i="10"/>
  <c r="AI232" i="10" s="1"/>
  <c r="AK232" i="10"/>
  <c r="AH213" i="10"/>
  <c r="AI213" i="10" s="1"/>
  <c r="AK213" i="10"/>
  <c r="AH170" i="10"/>
  <c r="AI170" i="10" s="1"/>
  <c r="AK170" i="10"/>
  <c r="AK591" i="10"/>
  <c r="AH591" i="10"/>
  <c r="AI591" i="10" s="1"/>
  <c r="AM1095" i="10"/>
  <c r="AN1095" i="10" s="1"/>
  <c r="AM118" i="10"/>
  <c r="AN118" i="10" s="1"/>
  <c r="AM189" i="10"/>
  <c r="AN189" i="10" s="1"/>
  <c r="AM875" i="10"/>
  <c r="AN875" i="10" s="1"/>
  <c r="AM1094" i="10"/>
  <c r="AN1094" i="10" s="1"/>
  <c r="AH891" i="10"/>
  <c r="AI891" i="10" s="1"/>
  <c r="AK891" i="10"/>
  <c r="AK634" i="10"/>
  <c r="AH634" i="10"/>
  <c r="AI634" i="10" s="1"/>
  <c r="AH686" i="10"/>
  <c r="AI686" i="10" s="1"/>
  <c r="AK686" i="10"/>
  <c r="AM343" i="10"/>
  <c r="AN343" i="10" s="1"/>
  <c r="AH990" i="10"/>
  <c r="AI990" i="10" s="1"/>
  <c r="AK990" i="10"/>
  <c r="AH500" i="10"/>
  <c r="AI500" i="10" s="1"/>
  <c r="AK500" i="10"/>
  <c r="AH502" i="10"/>
  <c r="AI502" i="10" s="1"/>
  <c r="AK502" i="10"/>
  <c r="AK670" i="10"/>
  <c r="AH670" i="10"/>
  <c r="AI670" i="10" s="1"/>
  <c r="O22" i="18" l="1"/>
  <c r="P23" i="18" a="1"/>
  <c r="P23" i="18" s="1"/>
  <c r="Q22" i="18"/>
  <c r="B19" i="18" a="1"/>
  <c r="B19" i="18" s="1"/>
  <c r="J21" i="18"/>
  <c r="K22" i="18" a="1"/>
  <c r="K22" i="18" s="1"/>
  <c r="L21" i="18"/>
  <c r="J22" i="18" l="1"/>
  <c r="K23" i="18" a="1"/>
  <c r="K23" i="18" s="1"/>
  <c r="L22" i="18"/>
  <c r="O23" i="18"/>
  <c r="P24" i="18" a="1"/>
  <c r="P24" i="18" s="1"/>
  <c r="Q23" i="18"/>
  <c r="O24" i="18" l="1"/>
  <c r="P25" i="18" a="1"/>
  <c r="P25" i="18" s="1"/>
  <c r="Q24" i="18"/>
  <c r="J23" i="18"/>
  <c r="K24" i="18" a="1"/>
  <c r="K24" i="18" s="1"/>
  <c r="L23" i="18"/>
  <c r="J24" i="18" l="1"/>
  <c r="K25" i="18" a="1"/>
  <c r="K25" i="18" s="1"/>
  <c r="L24" i="18"/>
  <c r="P26" i="18" a="1"/>
  <c r="P26" i="18" s="1"/>
  <c r="O25" i="18"/>
  <c r="Q25" i="18"/>
  <c r="P27" i="18" l="1" a="1"/>
  <c r="P27" i="18" s="1"/>
  <c r="O26" i="18"/>
  <c r="Q26" i="18"/>
  <c r="J25" i="18"/>
  <c r="K26" i="18" a="1"/>
  <c r="K26" i="18" s="1"/>
  <c r="L25" i="18"/>
  <c r="K27" i="18" l="1" a="1"/>
  <c r="K27" i="18" s="1"/>
  <c r="J26" i="18"/>
  <c r="L26" i="18"/>
  <c r="P28" i="18" a="1"/>
  <c r="P28" i="18" s="1"/>
  <c r="O27" i="18"/>
  <c r="Q27" i="18"/>
  <c r="O28" i="18" l="1"/>
  <c r="P29" i="18" a="1"/>
  <c r="P29" i="18" s="1"/>
  <c r="Q28" i="18"/>
  <c r="K28" i="18" a="1"/>
  <c r="K28" i="18" s="1"/>
  <c r="J27" i="18"/>
  <c r="L27" i="18"/>
  <c r="J28" i="18" l="1"/>
  <c r="K29" i="18" a="1"/>
  <c r="K29" i="18" s="1"/>
  <c r="L28" i="18"/>
  <c r="P30" i="18" a="1"/>
  <c r="P30" i="18" s="1"/>
  <c r="O29" i="18"/>
  <c r="Q29" i="18"/>
  <c r="P31" i="18" l="1" a="1"/>
  <c r="P31" i="18" s="1"/>
  <c r="O30" i="18"/>
  <c r="Q30" i="18"/>
  <c r="K30" i="18" a="1"/>
  <c r="K30" i="18" s="1"/>
  <c r="J29" i="18"/>
  <c r="L29" i="18"/>
  <c r="K31" i="18" l="1" a="1"/>
  <c r="K31" i="18" s="1"/>
  <c r="L30" i="18"/>
  <c r="J30" i="18"/>
  <c r="O31" i="18"/>
  <c r="P32" i="18" a="1"/>
  <c r="P32" i="18" s="1"/>
  <c r="Q31" i="18"/>
  <c r="O32" i="18" l="1"/>
  <c r="Q32" i="18"/>
  <c r="P33" i="18" a="1"/>
  <c r="P33" i="18" s="1"/>
  <c r="L31" i="18"/>
  <c r="J31" i="18"/>
  <c r="K32" i="18" a="1"/>
  <c r="K32" i="18" s="1"/>
  <c r="L32" i="18" l="1"/>
  <c r="J32" i="18"/>
  <c r="K33" i="18" a="1"/>
  <c r="K33" i="18" s="1"/>
  <c r="O33" i="18"/>
  <c r="Q33" i="18"/>
  <c r="P34" i="18" a="1"/>
  <c r="P34" i="18" s="1"/>
  <c r="P35" i="18" l="1" a="1"/>
  <c r="P35" i="18" s="1"/>
  <c r="Q34" i="18"/>
  <c r="O34" i="18"/>
  <c r="L33" i="18"/>
  <c r="J33" i="18"/>
  <c r="K34" i="18" a="1"/>
  <c r="K34" i="18" s="1"/>
  <c r="L34" i="18" l="1"/>
  <c r="J34" i="18"/>
  <c r="K35" i="18" a="1"/>
  <c r="K35" i="18" s="1"/>
  <c r="O35" i="18"/>
  <c r="Q35" i="18"/>
  <c r="P36" i="18" a="1"/>
  <c r="P36" i="18" s="1"/>
  <c r="O36" i="18" l="1"/>
  <c r="P37" i="18" a="1"/>
  <c r="P37" i="18" s="1"/>
  <c r="Q36" i="18"/>
  <c r="K36" i="18" a="1"/>
  <c r="K36" i="18" s="1"/>
  <c r="J35" i="18"/>
  <c r="L35" i="18"/>
  <c r="J36" i="18" l="1"/>
  <c r="L36" i="18"/>
  <c r="K37" i="18" a="1"/>
  <c r="K37" i="18" s="1"/>
  <c r="O37" i="18"/>
  <c r="P38" i="18" a="1"/>
  <c r="P38" i="18" s="1"/>
  <c r="Q37" i="18"/>
  <c r="Q38" i="18" l="1"/>
  <c r="O38" i="18"/>
  <c r="K38" i="18" a="1"/>
  <c r="K38" i="18" s="1"/>
  <c r="L37" i="18"/>
  <c r="J37" i="18"/>
  <c r="J38" i="18" l="1"/>
  <c r="L38"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<sst xmlns="http://schemas.openxmlformats.org/spreadsheetml/2006/main" count="15624" uniqueCount="279">
  <si>
    <t>Agencias</t>
  </si>
  <si>
    <t>Asesor</t>
  </si>
  <si>
    <t>Q1 2024</t>
  </si>
  <si>
    <t>Q2 2024</t>
  </si>
  <si>
    <t>Q3 2024</t>
  </si>
  <si>
    <t>Q1 2025</t>
  </si>
  <si>
    <t>Q2 2025</t>
  </si>
  <si>
    <t>Q3 2025</t>
  </si>
  <si>
    <t>Total</t>
  </si>
  <si>
    <t>SI.ERROR(100 - INDICE('C:\Users\la00628\Downloads\[Scoring_Agencias_Tablero_Final (1).xlsx]Pondera Inspectivo'!$AS:$AS; COINCIDIR(B6; 'C:\Users\la00628\Downloads\[Scoring_Agencias_Tablero_Final (1).xlsx]Pondera Inspectivo'!$A:$A;0));100)</t>
  </si>
  <si>
    <t>SI.ERROR(100 - INDICE('C:\Users\la00628\Downloads\[Scoring_Agencias_Tablero_Final (1).xlsx]Sumatoria Penalizaciones'!$B:$B; COINCIDIR(B6; 'C:\Users\la00628\Downloads\[Scoring_Agencias_Tablero_Final (1).xlsx]Sumatoria Penalizaciones'!$A:$A; 0)); 100)</t>
  </si>
  <si>
    <t>SI.ERROR(100 - INDICE('C:\Users\la00628\Downloads\[Scoring_Agencias_Tablero_Final (1).xlsx]Pondera Sanciones'!$D:$D; COINCIDIR(B6; 'C:\Users\la00628\Downloads\[Scoring_Agencias_Tablero_Final (1).xlsx]Pondera Sanciones'!$B:$B; 0)); 100)</t>
  </si>
  <si>
    <t>SI.ERROR(100 - INDICE('C:\Users\la00628\Downloads\[Scoring_Agencias_Tablero_Final (1).xlsx]Pago fuera de término'!$C:$C; COINCIDIR(B6; 'C:\Users\la00628\Downloads\[Scoring_Agencias_Tablero_Final (1).xlsx]Pago fuera de término'!$A:$A; 0)); 100)</t>
  </si>
  <si>
    <t>Cuenta Corriente</t>
  </si>
  <si>
    <t>Fiscalización</t>
  </si>
  <si>
    <t>Analisis de Apuestas</t>
  </si>
  <si>
    <t>Sanciones</t>
  </si>
  <si>
    <t>Pago Fuera de Término</t>
  </si>
  <si>
    <t>Puntaje</t>
  </si>
  <si>
    <t>Observación</t>
  </si>
  <si>
    <t>Revocada</t>
  </si>
  <si>
    <t>Cta Cte</t>
  </si>
  <si>
    <t>Asesor Asignado</t>
  </si>
  <si>
    <t>PRADES</t>
  </si>
  <si>
    <t>ARGUELLO</t>
  </si>
  <si>
    <t>CICHETTO</t>
  </si>
  <si>
    <t>MONTENEGRO</t>
  </si>
  <si>
    <t>NELLI</t>
  </si>
  <si>
    <t>ROBERTS</t>
  </si>
  <si>
    <t>AYALA</t>
  </si>
  <si>
    <t>PUGH</t>
  </si>
  <si>
    <t>METTLER</t>
  </si>
  <si>
    <t>BELUZZO</t>
  </si>
  <si>
    <t>LÓPEZ</t>
  </si>
  <si>
    <t>Cta.Cte.</t>
  </si>
  <si>
    <t>Activaciones Iniciales c/agencia amiga</t>
  </si>
  <si>
    <t>Días CASH IN CASH OUT Activos</t>
  </si>
  <si>
    <t>CASH IN BRUTO</t>
  </si>
  <si>
    <t>CASH IN PODERADO</t>
  </si>
  <si>
    <t>CASH OUT</t>
  </si>
  <si>
    <t>Clientes Agencia Amiga
Totales</t>
  </si>
  <si>
    <t>Clientes Agencia Amiga
Operaron</t>
  </si>
  <si>
    <t xml:space="preserve">Clientes Agencia
Amiga </t>
  </si>
  <si>
    <t>QR_TOT_ESTRELLAS</t>
  </si>
  <si>
    <t>QR_CANT_OP</t>
  </si>
  <si>
    <t>QR_OP_PROM</t>
  </si>
  <si>
    <t>QR_PTS</t>
  </si>
  <si>
    <t>CANT_QUEJAS</t>
  </si>
  <si>
    <t>TASA CERO 
DE QUEJAS</t>
  </si>
  <si>
    <t>EVALUACION DEL 
CLIENTE INCOGNITO</t>
  </si>
  <si>
    <t>PONMDERACIÓN EV. 
CLIENTE INCOGNITO</t>
  </si>
  <si>
    <t>RESEÑAS "Google"</t>
  </si>
  <si>
    <t>Categoría</t>
  </si>
  <si>
    <t>Coeficiente</t>
  </si>
  <si>
    <t>DIGITAL</t>
  </si>
  <si>
    <t>CLIENTE</t>
  </si>
  <si>
    <t>Puntos</t>
  </si>
  <si>
    <t>No sacar puntos a lo comercial. Si la agencia tiene una nota de "Excelente" en Satisfacción del cliente, su puntaje final total se multiplica por:
Excelente 1,2.
Muy Bueno 1,15.
Bueno 1,1.
Regular 1.
Malo 0,7
 Esto hace que el buen trato sea un "turbo" para saltar a la categoría Platino o Diamante, ideal para incentivar el buen clima en una etapa de desánimo.</t>
  </si>
  <si>
    <t>NOMBRE</t>
  </si>
  <si>
    <t>CASH IN</t>
  </si>
  <si>
    <t>QR OPINION</t>
  </si>
  <si>
    <t>Medida</t>
  </si>
  <si>
    <t>Cantidad de nuevas vinculaciones logradas en el mes</t>
  </si>
  <si>
    <t>Días activos en el mes. Se suma 1 punto por cada día del mes en el que la agencia haya registrado al menos una operación de Cash In o Cash Out.</t>
  </si>
  <si>
    <t>Cantidad de transacciones del mes, se compara contra un ojetvio de mínima</t>
  </si>
  <si>
    <t>Cantidad de transacciones del mes</t>
  </si>
  <si>
    <t>% de sus cliente con agencia amiga que operaron en el mes</t>
  </si>
  <si>
    <t>Si el promedio mensual de las calificaciones de los clientes (de 1 a 5 estrellas) da 4 o más, se llevan los 40 puntos. Si da entre 3 y 3, suman 20 puntos. Menos de 3, cero puntos.</t>
  </si>
  <si>
    <t>Todas las agencias arrancan el mes con estos 30 puntos en el bolsillo. Solo se pierden (bajan a cero) si la LOTBA recibe un reclamo formal en atención al cliente o redes sociales sobre esa agencia específica (por malos tratos, no querer pagar un premio chico, horario incumplido, etc.). Por cada uno pierde 3 puntos.</t>
  </si>
  <si>
    <t>Se evalúan 4 ítems básicos con un "Sí/No" (5 puntos cada uno): 1) Forma de recepción del cliente, 2) Mostrador limpio y ordenado, 3) Buena Iluminación, 4) Colaborativo con los clientes inexpertos y/o proactivo para ofrecer distintos productos (ej. no sabes a que jugar ¿te ayudo?, registro para RVCA, una recarga o una raspadita, etc.).</t>
  </si>
  <si>
    <t>10 puntos fijos si la agencia está reclamada en Google (aparece con nombre, horario oficial y datos cmpletos) y tiene un puntaje promedio superior a 4 estrellas.</t>
  </si>
  <si>
    <t>Fuente</t>
  </si>
  <si>
    <t>BACKOFFICE/SIMBA</t>
  </si>
  <si>
    <t>Código QR de "Tu opinión suma" (Simple): Poner un sticker en la ventanilla con un QR donde el cliente puede dejar una calificación de 1 a 5 estrellas. A final de mes, el promedio da el puntaje.</t>
  </si>
  <si>
    <t>Tasa de Quejas / Reclamos (Automático): Se arranca con el puntaje perfecto, y se restan puntos si la agencia recibe quejas formales en atención al cliente, LOTBA o redes sociales.</t>
  </si>
  <si>
    <t>Evaluación de "Cliente Incógnito" (Si tienen estructura): 1 o 2 veces al año,  evalúa la limpieza, la amabilidad, la iluminación y el trato.</t>
  </si>
  <si>
    <t>Reseñas en Google Maps: Con las agencias  dadas de alta en el mapa, medir que tengan un rating superior a 4.</t>
  </si>
  <si>
    <t>Sustento</t>
  </si>
  <si>
    <t>Premia al agenciero que hace el trabajo de convencer al cliente de mostrador para que se digitalice y lo elija a él.</t>
  </si>
  <si>
    <t>Medir los días activos fuerza a que el agenciero ofrezca el servicio todos los días y genere el hábito.</t>
  </si>
  <si>
    <t>Fomenta que el cliente fondee su cuenta, asegurando que la plata entre al ecosistema de la RVCA a través de esa agencia.</t>
  </si>
  <si>
    <t>Convertir a la agencia en un "cajero automático" confiable genera tráfico peatonal. El cliente que va a retirar plata, muchas veces termina jugando algo en el mostrador.</t>
  </si>
  <si>
    <t>Evita que el agenciero vincule a sus familiares una sola vez para sumar puntos y luego los abandone. Premia que el cliente digital siga jugando o transaccionando activamente.</t>
  </si>
  <si>
    <t>Es la voz directa del apostador en el momento. Al valer casi la mitad del eje, incentiva al agenciero a pedirle activamente al cliente: "¿Me escaneás el código y me dejás unas estrellitas?", lo que de por sí ya genera una interacción más amable.</t>
  </si>
  <si>
    <t>En la Fase Regenerativa, dar puntos "por default" que solo se pierden si se hacen las cosas muy mal ayuda a la autoestima de la red. Sienten que ya tienen 30 puntos ganados desde el día 1.</t>
  </si>
  <si>
    <t>Permite que LOTBA fije el estándar de cómo debe verse y sentirse una agencia. Al ser 20 puntos, premia el esfuerzo de mantener el local en condiciones, pero no destruye el puntaje total si un día justo estaban desordenados</t>
  </si>
  <si>
    <t>Es una "victoria rápida". Reclamar el negocio en Google es gratis y fácil. Ayuda a modernizar la red y a que nuevos clientes (especialmente los más jóvenes) los encuentren al buscar "lotería cerca". Es un empujón de 10 puntos muy fácil de conseguir.</t>
  </si>
  <si>
    <t>Top 20 por movilidad (Δ puntaje)</t>
  </si>
  <si>
    <t>Top 20 por puntaje final</t>
  </si>
  <si>
    <t>#</t>
  </si>
  <si>
    <t>Agencia</t>
  </si>
  <si>
    <t>Movilidad Δ</t>
  </si>
  <si>
    <t>PLATINO</t>
  </si>
  <si>
    <t>ORO</t>
  </si>
  <si>
    <t>PLATA</t>
  </si>
  <si>
    <t>BRONCE</t>
  </si>
  <si>
    <t>Parámetros de scoring</t>
  </si>
  <si>
    <t>w_crec_personal</t>
  </si>
  <si>
    <t>Crecimiento mínimo (piso)</t>
  </si>
  <si>
    <t>w_impacto_abs</t>
  </si>
  <si>
    <t>Crecimiento objetivo (100 pts)</t>
  </si>
  <si>
    <t>w_outperformance</t>
  </si>
  <si>
    <t>Crecimiento max (cap)</t>
  </si>
  <si>
    <t>w_mix_loto</t>
  </si>
  <si>
    <t>Outperformance min</t>
  </si>
  <si>
    <t>w_compliance</t>
  </si>
  <si>
    <t>Target Mix LOTO sobre Total</t>
  </si>
  <si>
    <t>w_digital</t>
  </si>
  <si>
    <t>Outperformance target</t>
  </si>
  <si>
    <t>CUOTA CASH IN</t>
  </si>
  <si>
    <t>Excelente</t>
  </si>
  <si>
    <t>Muy Bueno</t>
  </si>
  <si>
    <t>Bueno</t>
  </si>
  <si>
    <t>Regular</t>
  </si>
  <si>
    <t>Malo</t>
  </si>
  <si>
    <t>Crec_LOTBA (mismo Q)</t>
  </si>
  <si>
    <t>Período actual</t>
  </si>
  <si>
    <t>Período anteiror</t>
  </si>
  <si>
    <t xml:space="preserve">Macros VBA (histórico automatizado) </t>
  </si>
  <si>
    <t>Qué hace la macro GuardarSnapshotActual:</t>
  </si>
  <si>
    <t>- Toma todas las filas con Agencia en SNAPSHOT_ACTUAL.</t>
  </si>
  <si>
    <t>- Las agrega al final de HIST_SCORE como valores.</t>
  </si>
  <si>
    <t>- Genera Key incremental y fecha/hora de carga.</t>
  </si>
  <si>
    <t>IMPORTANTE: No borra históricos anteriores. Acumula períodos.</t>
  </si>
  <si>
    <t>Total 2024 (trimestre)</t>
  </si>
  <si>
    <t>Total 2025 (trimestre)</t>
  </si>
  <si>
    <t>Crecimiento</t>
  </si>
  <si>
    <t>Puntos crecimiento personal</t>
  </si>
  <si>
    <t>Incremento absoluto</t>
  </si>
  <si>
    <t>Puntos impacto absoluto</t>
  </si>
  <si>
    <t>Diferencia vs LOTBA</t>
  </si>
  <si>
    <t>Puntos diferencia vs LOTBA</t>
  </si>
  <si>
    <t xml:space="preserve">LOTO </t>
  </si>
  <si>
    <t xml:space="preserve">Mix LOTO </t>
  </si>
  <si>
    <t>Puntos mix LOTO</t>
  </si>
  <si>
    <t>Compliance (0-100)</t>
  </si>
  <si>
    <t>Puntos compliance</t>
  </si>
  <si>
    <t>Digital (0-100)</t>
  </si>
  <si>
    <t>Puntos digital</t>
  </si>
  <si>
    <t>Puntaje final (0-100)</t>
  </si>
  <si>
    <t>Movilidad de ranking (posiciones)</t>
  </si>
  <si>
    <t>Key</t>
  </si>
  <si>
    <t>PeriodoKey</t>
  </si>
  <si>
    <t>Ranking (puntaje)</t>
  </si>
  <si>
    <t>Fecha de carga</t>
  </si>
  <si>
    <t>2024-Q1</t>
  </si>
  <si>
    <t>2024-Q2</t>
  </si>
  <si>
    <t>2024-Q3</t>
  </si>
  <si>
    <t>2025-Q1</t>
  </si>
  <si>
    <t>2025-Q2</t>
  </si>
  <si>
    <t>2025-Q3</t>
  </si>
  <si>
    <t>Fecha de snapshot</t>
  </si>
  <si>
    <t>Guía para migrar este modelo a Power BI (opcional)</t>
  </si>
  <si>
    <t>Ventas 2024 (Q Seleccionado)</t>
  </si>
  <si>
    <t>VAR q = SELECTEDVALUE(Parametros[Quarter], "Q3")
RETURN SWITCH(q,
"Q1", SUM(Ventas[Q1_2024]),
"Q2", SUM(Ventas[Q2_2024]),
"Q3", SUM(Ventas[Q3_2024])
)</t>
  </si>
  <si>
    <t>Ventas 2025 (Q Seleccionado)</t>
  </si>
  <si>
    <t>VAR q = SELECTEDVALUE(Parametros[Quarter], "Q3")
RETURN SWITCH(q,
"Q1", SUM(Ventas[Q1_2025]),
"Q2", SUM(Ventas[Q2_2025]),
"Q3", SUM(Ventas[Q3_2025])
)</t>
  </si>
  <si>
    <t>DIVIDE([Ventas 2025 (Q Seleccionado)],[Ventas 2024 (Q Seleccionado)])-1</t>
  </si>
  <si>
    <t>Crec LOTBA</t>
  </si>
  <si>
    <t>VAR tot25 = CALCULATE([Ventas 2025 (Q Seleccionado)], ALL(Ventas[Agencia]))
VAR tot24 = CALCULATE([Ventas 2024 (Q Seleccionado)], ALL(Ventas[Agencia]))
RETURN DIVIDE(tot25,tot24)-1</t>
  </si>
  <si>
    <t>Outperformance</t>
  </si>
  <si>
    <t>[Crecimiento]-[Crec LOTBA]</t>
  </si>
  <si>
    <t>Axis Crec Personal (0-100)</t>
  </si>
  <si>
    <t>VAR g=[Crecimiento]
VAR g0=MAX(Parametros[g_min], -1)
VAR g1=Parametros[g_obj]
VAR gmax=Parametros[g_cap]
RETURN IF(g&lt;=g0,0, IF(g&gt;=gmax,100, 100*MIN(1, DIVIDE(g-g0, g1-g0))))</t>
  </si>
  <si>
    <t>Pts Crec Personal</t>
  </si>
  <si>
    <t>[Axis Crec Personal (0-100)] * Parametros[w_crec_personal]</t>
  </si>
  <si>
    <t>Inc Abs</t>
  </si>
  <si>
    <t>[Ventas 2025 (Q Seleccionado)]-[Ventas 2024 (Q Seleccionado)]</t>
  </si>
  <si>
    <t>Axis Impacto Abs (0-100)</t>
  </si>
  <si>
    <t>VAR x = MAX(0,[Inc Abs])
RETURN 100 * PERCENTILEX.INC(ALL(Ventas[Agencia]), MAX(0, CALCULATE([Inc Abs])), 0.5)</t>
  </si>
  <si>
    <t>Puntaje base
 (sin CLIENTE)</t>
  </si>
  <si>
    <t>Coef. CLIENTE</t>
  </si>
  <si>
    <t>Cat. 
CLIENTE</t>
  </si>
  <si>
    <t>Puntaje final</t>
  </si>
  <si>
    <t>Flags
Movilidad 
Puntaje</t>
  </si>
  <si>
    <t>Impacto Cap Crecimiento Abs %</t>
  </si>
  <si>
    <t>Impacto Cap Crecimiento Abs $ log</t>
  </si>
  <si>
    <t>Flags
Movilidad 
Categoría</t>
  </si>
  <si>
    <t>Puntos QR Opinión</t>
  </si>
  <si>
    <t>Puntos Tasa cero quejas</t>
  </si>
  <si>
    <t>Puntos Evaluación Cliente Incognito</t>
  </si>
  <si>
    <t>Puntos Reseñas "Google"</t>
  </si>
  <si>
    <t>RESEÑAS "Google"_PTS</t>
  </si>
  <si>
    <t>UMBRAL_DIAMANTE</t>
  </si>
  <si>
    <t>UMBRAL_PLATINO</t>
  </si>
  <si>
    <t>UMBRAL_ORO</t>
  </si>
  <si>
    <t>UMBRAL_PLATA</t>
  </si>
  <si>
    <t>UMBRAL_BRONCE</t>
  </si>
  <si>
    <t>PCT_DIAMANTE</t>
  </si>
  <si>
    <t>PCT_PLATINO</t>
  </si>
  <si>
    <t>PCT_ORO</t>
  </si>
  <si>
    <t>PCT_PLATA</t>
  </si>
  <si>
    <t>N Histórico para Umbrales</t>
  </si>
  <si>
    <t>PCT_BRONCE</t>
  </si>
  <si>
    <t>Total general</t>
  </si>
  <si>
    <t>Promedio de Puntaje final (0-100)</t>
  </si>
  <si>
    <t>P95</t>
  </si>
  <si>
    <t>P80</t>
  </si>
  <si>
    <t>P50</t>
  </si>
  <si>
    <t>P20</t>
  </si>
  <si>
    <t>Accion_Predictiva</t>
  </si>
  <si>
    <t>Prob_Subida</t>
  </si>
  <si>
    <t>Prioridad de gestión</t>
  </si>
  <si>
    <t>Eje_Mayor_Impacto</t>
  </si>
  <si>
    <t>Auxiliar
ProximoCorte
Puntaje Final</t>
  </si>
  <si>
    <t>Auxilliar
PisoActual
Puntaje Final</t>
  </si>
  <si>
    <t>Auxiliar
Δ R_Requerido</t>
  </si>
  <si>
    <t>Auxiliar
Eje_Predictiva</t>
  </si>
  <si>
    <t>Auxiliar
Distancia al ascenso</t>
  </si>
  <si>
    <t>Auxiliar
Distancia al descenso</t>
  </si>
  <si>
    <t>Auxiliar
Índice de prioridad de gestión</t>
  </si>
  <si>
    <t>Auxiliar
ImpactoPotencial_VENTAS</t>
  </si>
  <si>
    <t>Auxiliar
ImpactoPotencial_LOTO</t>
  </si>
  <si>
    <t>Auxiliar
ImpactoPotencial_COMPLIANCE</t>
  </si>
  <si>
    <t>Auxiliar
ImpactoPotencial_DIGITAL</t>
  </si>
  <si>
    <t>Auxiliar
ImpactoPotencial_CLIENTE</t>
  </si>
  <si>
    <t>Auxiliar
Mayor_Impacto
Coeficiente</t>
  </si>
  <si>
    <t>Mayor_Impacto</t>
  </si>
  <si>
    <t>Elegir Año a evaluar</t>
  </si>
  <si>
    <t>Elegir Periodo de evaluación (Quarter)</t>
  </si>
  <si>
    <t>Parámetros de cada Eje</t>
  </si>
  <si>
    <t>Eje Ventas</t>
  </si>
  <si>
    <t>Eje Mix de Marketing</t>
  </si>
  <si>
    <t>Eje Digitalización</t>
  </si>
  <si>
    <t>Eje Cliente</t>
  </si>
  <si>
    <t>Eje Compliance</t>
  </si>
  <si>
    <t>Este modelo usa 100 cuando hay error o sin datos.</t>
  </si>
  <si>
    <t>Parámetros Históricos Categorías</t>
  </si>
  <si>
    <t>NOTAS Y ACLARACIONES</t>
  </si>
  <si>
    <t>Compliance</t>
  </si>
  <si>
    <t>Fórmulas Fer perdidas por vinculo</t>
  </si>
  <si>
    <t>Para actualizar historico hacer click en el boton ↓</t>
  </si>
  <si>
    <t>Hoja proveniente del DASHBOARD de Federico Cattadori creo que puede utilizarse como herramienta adicional al KPI donde con algun alerta se puede detectar no solo el scoring de la agencia sino su situacion de COMPLIANCE respecto a las normas de LOTBA.</t>
  </si>
  <si>
    <t>Accion_Directa</t>
  </si>
  <si>
    <t>Diamante</t>
  </si>
  <si>
    <t>Platino</t>
  </si>
  <si>
    <t>Oro</t>
  </si>
  <si>
    <t>Plata</t>
  </si>
  <si>
    <t>Bronce</t>
  </si>
  <si>
    <t>TABLERO EJECUTIVO – MODELO REGENERATIVO RED  AGENCIAS LOTBA</t>
  </si>
  <si>
    <t>Agenias Activas</t>
  </si>
  <si>
    <t>Puntaje Promedio</t>
  </si>
  <si>
    <t>Coeficiente Cliente Promedio</t>
  </si>
  <si>
    <t>Cantidad</t>
  </si>
  <si>
    <t>Eje de Impacto</t>
  </si>
  <si>
    <t>Ventas</t>
  </si>
  <si>
    <t>Mix de Marketing</t>
  </si>
  <si>
    <t>Digital</t>
  </si>
  <si>
    <t>Cliente</t>
  </si>
  <si>
    <t>Puntaje Final</t>
  </si>
  <si>
    <t>Categoría Cliente</t>
  </si>
  <si>
    <t>Prob. de Subir</t>
  </si>
  <si>
    <t>Distancia de Ascenso</t>
  </si>
  <si>
    <t>Distancia de Descenso</t>
  </si>
  <si>
    <t>Prioridad de Gestión</t>
  </si>
  <si>
    <t>Seleccionar Agencia Foco</t>
  </si>
  <si>
    <t>Acción Sugerida</t>
  </si>
  <si>
    <t>Acción</t>
  </si>
  <si>
    <t>Prioridad</t>
  </si>
  <si>
    <t>Descenso</t>
  </si>
  <si>
    <t>Ascenso</t>
  </si>
  <si>
    <t>Promedio Inc. Ventas</t>
  </si>
  <si>
    <t>Concentracion de crecimiento</t>
  </si>
  <si>
    <t>Ficha de Agencia</t>
  </si>
  <si>
    <t>Top 20 de Alta Prioridad</t>
  </si>
  <si>
    <t>Riesgo</t>
  </si>
  <si>
    <t>Top 10</t>
  </si>
  <si>
    <t>Top 20</t>
  </si>
  <si>
    <t>Top 50</t>
  </si>
  <si>
    <t>Top 100</t>
  </si>
  <si>
    <t>Top 200</t>
  </si>
  <si>
    <t>% Crecimiento</t>
  </si>
  <si>
    <t>GRAFICOS  – MODELO REGENERATIVO RED  AGENCIAS LOTBA</t>
  </si>
  <si>
    <t>Q actual</t>
  </si>
  <si>
    <t>Q anterior</t>
  </si>
  <si>
    <t>DIAMANTE</t>
  </si>
  <si>
    <t>Q3</t>
  </si>
  <si>
    <t>Diagrama del Modelo</t>
  </si>
  <si>
    <t>Neutro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</si>
</sst>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
    <numFmt numFmtId="165" formatCode="_-* #,##0_-;\-* #,##0_-;_-* &quot;-&quot;??_-;_-@_-"/>
  </numFmts>
  <fonts count="14" x14ac:knownFonts="1">
    <font>
      <sz val="11"/>
      <color theme="1"/>
      <name val="Calibri"/>
      <family val="2"/>
      <scheme val="minor"/>
    </font>
    <font>
      <b/>
      <sz val="11"/>
      <name val="Calibri"/>
      <family val="2"/>
    </font>
    <font>
      <sz val="14"/>
      <color rgb="FF000000"/>
      <name val="Arial Black"/>
      <family val="2"/>
    </font>
    <font>
      <b/>
      <sz val="14"/>
      <name val="Arial"/>
      <family val="2"/>
    </font>
    <font>
      <sz val="11"/>
      <color theme="1"/>
      <name val="Arial"/>
      <family val="2"/>
    </font>
    <font>
      <b/>
      <sz val="11"/>
      <name val="Arial"/>
      <family val="2"/>
    </font>
    <font>
      <b/>
      <sz val="12"/>
      <color theme="1"/>
      <name val="Arial"/>
      <family val="2"/>
    </font>
    <font>
      <b/>
      <sz val="11"/>
      <color theme="0"/>
      <name val="Arial"/>
      <family val="2"/>
    </font>
    <font>
      <b/>
      <sz val="12"/>
      <name val="Arial"/>
      <family val="2"/>
    </font>
    <font>
      <sz val="11"/>
      <color theme="1"/>
      <name val="Calibri"/>
      <family val="2"/>
      <scheme val="minor"/>
    </font>
    <font>
      <b/>
      <sz val="11"/>
      <color theme="1"/>
      <name val="Arial"/>
      <family val="2"/>
    </font>
    <font>
      <b/>
      <sz val="20"/>
      <name val="Arial"/>
      <family val="2"/>
    </font>
    <font>
      <sz val="8"/>
      <name val="Calibri"/>
      <family val="2"/>
      <scheme val="minor"/>
    </font>
    <font>
      <sz val="11"/>
      <color theme="1"/>
      <name val="Symbol"/>
      <family val="1"/>
      <charset val="2"/>
    </font>
  </fonts>
  <fills count="8">
    <fill>
      <patternFill patternType="none"/>
    </fill>
    <fill>
      <patternFill patternType="gray125"/>
    </fill>
    <fill>
      <patternFill patternType="solid">
        <fgColor rgb="FF1F4E79"/>
      </patternFill>
    </fill>
    <fill>
      <patternFill patternType="solid">
        <fgColor theme="9"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9" tint="-0.249977111117893"/>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
    <xf numFmtId="0" fontId="0" fillId="0" borderId="0"/>
    <xf numFmtId="9" fontId="9" fillId="0" borderId="0"/>
    <xf numFmtId="43" fontId="9" fillId="0" borderId="0" applyFont="0" applyFill="0" applyBorder="0" applyAlignment="0" applyProtection="0"/>
  </cellStyleXfs>
  <cellXfs count="46">
    <xf numFmtId="0" fontId="0" fillId="0" borderId="0" xfId="0"/>
    <xf numFmtId="0" fontId="0" fillId="0" borderId="0" xfId="0" applyAlignment="1">
      <alignment wrapText="1"/>
    </xf>
    <xf numFmtId="0" fontId="1" fillId="0" borderId="0" xfId="0" applyFont="1" applyAlignment="1">
      <alignment horizontal="center" wrapText="1"/>
    </xf>
    <xf numFmtId="14" fontId="0" fillId="0" borderId="0" xfId="0" applyNumberFormat="1"/>
    <xf numFmtId="22" fontId="0" fillId="0" borderId="0" xfId="0" applyNumberFormat="1"/>
    <xf numFmtId="0" fontId="4" fillId="0" borderId="0" xfId="0" applyFont="1"/>
    <xf numFmtId="0" fontId="5" fillId="0" borderId="0" xfId="0" applyFont="1"/>
    <xf numFmtId="2" fontId="4" fillId="0" borderId="0" xfId="0" applyNumberFormat="1" applyFont="1"/>
    <xf numFmtId="10" fontId="4" fillId="0" borderId="0" xfId="0" applyNumberFormat="1" applyFont="1"/>
    <xf numFmtId="0" fontId="6" fillId="0" borderId="0" xfId="0" applyFont="1"/>
    <xf numFmtId="0" fontId="7" fillId="2" borderId="0" xfId="0" applyFont="1" applyFill="1" applyAlignment="1">
      <alignment horizontal="center" vertical="center" wrapText="1"/>
    </xf>
    <xf numFmtId="0" fontId="5" fillId="3" borderId="0" xfId="0" applyFont="1" applyFill="1" applyAlignment="1">
      <alignment horizontal="center" vertical="center" wrapText="1"/>
    </xf>
    <xf numFmtId="164" fontId="4" fillId="0" borderId="0" xfId="0" applyNumberFormat="1" applyFont="1"/>
    <xf numFmtId="0" fontId="8" fillId="0" borderId="0" xfId="0" applyFont="1"/>
    <xf numFmtId="0" fontId="4" fillId="0" borderId="0" xfId="0" applyFont="1" applyAlignment="1">
      <alignment wrapText="1"/>
    </xf>
    <xf numFmtId="0" fontId="0" fillId="0" borderId="1" xfId="0" applyBorder="1" applyAlignment="1">
      <alignment vertical="center"/>
    </xf>
    <xf numFmtId="0" fontId="0" fillId="0" borderId="1" xfId="0" applyBorder="1" applyAlignment="1">
      <alignment vertical="center" wrapText="1"/>
    </xf>
    <xf numFmtId="0" fontId="0" fillId="5" borderId="1" xfId="0" applyFill="1" applyBorder="1" applyAlignment="1">
      <alignment vertical="center"/>
    </xf>
    <xf numFmtId="0" fontId="0" fillId="5" borderId="1" xfId="0" applyFill="1" applyBorder="1" applyAlignment="1">
      <alignment vertical="center" wrapText="1"/>
    </xf>
    <xf numFmtId="0" fontId="0" fillId="4" borderId="1" xfId="0" applyFill="1" applyBorder="1" applyAlignment="1">
      <alignment vertical="center"/>
    </xf>
    <xf numFmtId="9" fontId="0" fillId="0" borderId="0" xfId="1" applyFont="1"/>
    <xf numFmtId="2" fontId="0" fillId="0" borderId="0" xfId="0" applyNumberFormat="1"/>
    <xf numFmtId="0" fontId="0" fillId="6" borderId="0" xfId="0" applyFill="1" applyAlignment="1">
      <alignment wrapText="1"/>
    </xf>
    <xf numFmtId="9" fontId="4" fillId="0" borderId="0" xfId="1" applyFont="1"/>
    <xf numFmtId="0" fontId="0" fillId="0" borderId="0" xfId="0" pivotButton="1"/>
    <xf numFmtId="1" fontId="4" fillId="0" borderId="0" xfId="0" applyNumberFormat="1" applyFont="1"/>
    <xf numFmtId="10" fontId="9" fillId="0" borderId="0" xfId="1" applyNumberFormat="1"/>
    <xf numFmtId="0" fontId="5" fillId="7" borderId="0" xfId="0" applyFont="1" applyFill="1" applyAlignment="1">
      <alignment horizontal="center" vertical="center" wrapText="1"/>
    </xf>
    <xf numFmtId="0" fontId="10" fillId="0" borderId="0" xfId="0" applyFont="1"/>
    <xf numFmtId="0" fontId="3" fillId="0" borderId="0" xfId="0" applyFont="1"/>
    <xf numFmtId="0" fontId="11" fillId="0" borderId="0" xfId="0" applyFont="1"/>
    <xf numFmtId="9" fontId="9" fillId="0" borderId="0" xfId="1"/>
    <xf numFmtId="0" fontId="0" fillId="0" borderId="1" xfId="0" applyBorder="1"/>
    <xf numFmtId="165" fontId="0" fillId="0" borderId="1" xfId="2" applyNumberFormat="1" applyFont="1" applyBorder="1"/>
    <xf numFmtId="9" fontId="9" fillId="0" borderId="1" xfId="1" applyBorder="1"/>
    <xf numFmtId="10" fontId="9" fillId="0" borderId="1" xfId="1" applyNumberFormat="1" applyBorder="1"/>
    <xf numFmtId="0" fontId="13" fillId="0" borderId="0" xfId="0" applyFont="1" applyAlignment="1">
      <alignment horizontal="left" vertical="center" indent="2"/>
    </xf>
    <xf numFmtId="0" fontId="0" fillId="0" borderId="0" xfId="0" applyAlignment="1">
      <alignment vertical="center"/>
    </xf>
    <xf numFmtId="0" fontId="0" fillId="5" borderId="1" xfId="0" applyFill="1" applyBorder="1" applyAlignment="1">
      <alignment horizontal="center" vertical="center" wrapText="1"/>
    </xf>
    <xf numFmtId="0" fontId="0" fillId="0" borderId="4" xfId="0" applyBorder="1"/>
    <xf numFmtId="0" fontId="0" fillId="0" borderId="5" xfId="0" applyBorder="1"/>
    <xf numFmtId="0" fontId="0" fillId="0" borderId="1" xfId="0" applyBorder="1" applyAlignment="1">
      <alignment horizontal="center" vertical="center"/>
    </xf>
    <xf numFmtId="0" fontId="0" fillId="0" borderId="2" xfId="0" applyBorder="1"/>
    <xf numFmtId="0" fontId="0" fillId="0" borderId="3" xfId="0" applyBorder="1"/>
    <xf numFmtId="0" fontId="0" fillId="5" borderId="1" xfId="0" applyFill="1" applyBorder="1" applyAlignment="1">
      <alignment horizontal="center" vertical="center"/>
    </xf>
    <xf numFmtId="165" fontId="0" fillId="0" borderId="1" xfId="0" applyNumberFormat="1" applyBorder="1"/>
  </cellXfs>
  <cellStyles count="3">
    <cellStyle name="Millares" xfId="2" builtinId="3"/>
    <cellStyle name="Normal" xfId="0" builtinId="0"/>
    <cellStyle name="Porcentaje" xfId="1" builtinId="5"/>
  </cellStyles>
  <dxfs count="6">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AR"/>
              <a:t>Distribución de Categorías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AR"/>
        </a:p>
      </c:txPr>
    </c:title>
    <c:autoTitleDeleted val="0"/>
    <c:plotArea>
      <c:layout/>
      <c:barChart>
        <c:barDir val="col"/>
        <c:grouping val="clustered"/>
        <c:varyColors val="0"/>
        <c:ser>
          <c:idx val="0"/>
          <c:order val="0"/>
          <c:tx>
            <c:strRef>
              <c:f>DASH_EJECUTIVO!$B$9</c:f>
              <c:strCache>
                <c:ptCount val="1"/>
                <c:pt idx="0">
                  <c:v>Cantidad</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DASH_EJECUTIVO!$A$10:$A$14</c:f>
              <c:strCache>
                <c:ptCount val="5"/>
                <c:pt idx="0">
                  <c:v>Diamante</c:v>
                </c:pt>
                <c:pt idx="1">
                  <c:v>Platino</c:v>
                </c:pt>
                <c:pt idx="2">
                  <c:v>Oro</c:v>
                </c:pt>
                <c:pt idx="3">
                  <c:v>Plata</c:v>
                </c:pt>
                <c:pt idx="4">
                  <c:v>Bronce</c:v>
                </c:pt>
              </c:strCache>
            </c:strRef>
          </c:cat>
          <c:val>
            <c:numRef>
              <c:f>DASH_EJECUTIVO!$B$10:$B$13</c:f>
              <c:numCache>
                <c:formatCode>General</c:formatCode>
                <c:ptCount val="4"/>
                <c:pt idx="0">
                  <c:v>60</c:v>
                </c:pt>
                <c:pt idx="1">
                  <c:v>179</c:v>
                </c:pt>
                <c:pt idx="2">
                  <c:v>316</c:v>
                </c:pt>
                <c:pt idx="3">
                  <c:v>360</c:v>
                </c:pt>
              </c:numCache>
            </c:numRef>
          </c:val>
          <c:extLst>
            <c:ext xmlns:c16="http://schemas.microsoft.com/office/drawing/2014/chart" uri="{C3380CC4-5D6E-409C-BE32-E72D297353CC}">
              <c16:uniqueId val="{00000001-E270-46F0-A189-7BC150CFDAE7}"/>
            </c:ext>
          </c:extLst>
        </c:ser>
        <c:dLbls>
          <c:dLblPos val="inEnd"/>
          <c:showLegendKey val="0"/>
          <c:showVal val="1"/>
          <c:showCatName val="0"/>
          <c:showSerName val="0"/>
          <c:showPercent val="0"/>
          <c:showBubbleSize val="0"/>
        </c:dLbls>
        <c:gapWidth val="65"/>
        <c:axId val="1930973327"/>
        <c:axId val="1930972367"/>
      </c:barChart>
      <c:catAx>
        <c:axId val="19309733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AR"/>
          </a:p>
        </c:txPr>
        <c:crossAx val="1930972367"/>
        <c:crosses val="autoZero"/>
        <c:auto val="1"/>
        <c:lblAlgn val="ctr"/>
        <c:lblOffset val="100"/>
        <c:noMultiLvlLbl val="0"/>
      </c:catAx>
      <c:valAx>
        <c:axId val="193097236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1930973327"/>
        <c:crosses val="autoZero"/>
        <c:crossBetween val="between"/>
      </c:valAx>
      <c:spPr>
        <a:noFill/>
        <a:ln>
          <a:noFill/>
        </a:ln>
        <a:effectLst/>
      </c:spPr>
    </c:plotArea>
    <c:plotVisOnly val="1"/>
    <c:dispBlanksAs val="gap"/>
    <c:showDLblsOverMax val="0"/>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AR"/>
        </a:p>
      </c:txPr>
    </c:title>
    <c:autoTitleDeleted val="0"/>
    <c:plotArea>
      <c:layout/>
      <c:barChart>
        <c:barDir val="col"/>
        <c:grouping val="clustered"/>
        <c:varyColors val="0"/>
        <c:ser>
          <c:idx val="0"/>
          <c:order val="0"/>
          <c:tx>
            <c:strRef>
              <c:f>DASH_EJECUTIVO!$K$8</c:f>
              <c:strCache>
                <c:ptCount val="1"/>
                <c:pt idx="0">
                  <c:v>% Crecimiento</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DASH_EJECUTIVO!$J$9:$J$13</c:f>
              <c:strCache>
                <c:ptCount val="5"/>
                <c:pt idx="0">
                  <c:v>Top 10</c:v>
                </c:pt>
                <c:pt idx="1">
                  <c:v>Top 20</c:v>
                </c:pt>
                <c:pt idx="2">
                  <c:v>Top 50</c:v>
                </c:pt>
                <c:pt idx="3">
                  <c:v>Top 100</c:v>
                </c:pt>
                <c:pt idx="4">
                  <c:v>Top 200</c:v>
                </c:pt>
              </c:strCache>
            </c:strRef>
          </c:cat>
          <c:val>
            <c:numRef>
              <c:f>DASH_EJECUTIVO!$K$9:$K$13</c:f>
              <c:numCache>
                <c:formatCode>0.00%</c:formatCode>
                <c:ptCount val="5"/>
                <c:pt idx="0">
                  <c:v>7.7889527340665413E-2</c:v>
                </c:pt>
                <c:pt idx="1">
                  <c:v>0.12857911745890613</c:v>
                </c:pt>
                <c:pt idx="2">
                  <c:v>0.2361137413339032</c:v>
                </c:pt>
                <c:pt idx="3">
                  <c:v>0.36521158713423363</c:v>
                </c:pt>
                <c:pt idx="4">
                  <c:v>0.5543516484322345</c:v>
                </c:pt>
              </c:numCache>
            </c:numRef>
          </c:val>
          <c:extLst>
            <c:ext xmlns:c16="http://schemas.microsoft.com/office/drawing/2014/chart" uri="{C3380CC4-5D6E-409C-BE32-E72D297353CC}">
              <c16:uniqueId val="{00000000-F80D-403D-8091-09A5143C160F}"/>
            </c:ext>
          </c:extLst>
        </c:ser>
        <c:dLbls>
          <c:dLblPos val="inEnd"/>
          <c:showLegendKey val="0"/>
          <c:showVal val="1"/>
          <c:showCatName val="0"/>
          <c:showSerName val="0"/>
          <c:showPercent val="0"/>
          <c:showBubbleSize val="0"/>
        </c:dLbls>
        <c:gapWidth val="65"/>
        <c:axId val="1930973327"/>
        <c:axId val="1930972367"/>
      </c:barChart>
      <c:catAx>
        <c:axId val="19309733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AR"/>
          </a:p>
        </c:txPr>
        <c:crossAx val="1930972367"/>
        <c:crosses val="autoZero"/>
        <c:auto val="1"/>
        <c:lblAlgn val="ctr"/>
        <c:lblOffset val="100"/>
        <c:noMultiLvlLbl val="0"/>
      </c:catAx>
      <c:valAx>
        <c:axId val="1930972367"/>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 sourceLinked="1"/>
        <c:majorTickMark val="none"/>
        <c:minorTickMark val="none"/>
        <c:tickLblPos val="nextTo"/>
        <c:crossAx val="19309733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Agencias por Eje Impacto</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AR"/>
        </a:p>
      </c:txPr>
    </c:title>
    <c:autoTitleDeleted val="0"/>
    <c:plotArea>
      <c:layout/>
      <c:doughnutChart>
        <c:varyColors val="1"/>
        <c:ser>
          <c:idx val="0"/>
          <c:order val="0"/>
          <c:tx>
            <c:strRef>
              <c:f>DASH_EJECUTIVO!$E$9</c:f>
              <c:strCache>
                <c:ptCount val="1"/>
                <c:pt idx="0">
                  <c:v>Cantidad</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FF9C-434F-9980-BE4BD212022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FF9C-434F-9980-BE4BD212022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FF9C-434F-9980-BE4BD212022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F9C-434F-9980-BE4BD212022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F9C-434F-9980-BE4BD212022E}"/>
              </c:ext>
            </c:extLst>
          </c:dPt>
          <c:dLbls>
            <c:dLbl>
              <c:idx val="1"/>
              <c:layout>
                <c:manualLayout>
                  <c:x val="-0.16680567139282734"/>
                  <c:y val="-5.0950634116002411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F9C-434F-9980-BE4BD212022E}"/>
                </c:ext>
              </c:extLst>
            </c:dLbl>
            <c:dLbl>
              <c:idx val="2"/>
              <c:layout>
                <c:manualLayout>
                  <c:x val="-0.17236586043925495"/>
                  <c:y val="5.0041463368985031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F9C-434F-9980-BE4BD212022E}"/>
                </c:ext>
              </c:extLst>
            </c:dLbl>
            <c:dLbl>
              <c:idx val="3"/>
              <c:layout>
                <c:manualLayout>
                  <c:x val="-0.16958576591604116"/>
                  <c:y val="-0.12293780926562331"/>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F9C-434F-9980-BE4BD212022E}"/>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AR"/>
              </a:p>
            </c:txP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DASH_EJECUTIVO!$D$10:$D$14</c:f>
              <c:strCache>
                <c:ptCount val="5"/>
                <c:pt idx="0">
                  <c:v>Ventas</c:v>
                </c:pt>
                <c:pt idx="1">
                  <c:v>Mix de Marketing</c:v>
                </c:pt>
                <c:pt idx="2">
                  <c:v>Compliance</c:v>
                </c:pt>
                <c:pt idx="3">
                  <c:v>Digital</c:v>
                </c:pt>
                <c:pt idx="4">
                  <c:v>Cliente</c:v>
                </c:pt>
              </c:strCache>
            </c:strRef>
          </c:cat>
          <c:val>
            <c:numRef>
              <c:f>DASH_EJECUTIVO!$E$10:$E$14</c:f>
              <c:numCache>
                <c:formatCode>General</c:formatCode>
                <c:ptCount val="5"/>
                <c:pt idx="0">
                  <c:v>976</c:v>
                </c:pt>
                <c:pt idx="1">
                  <c:v>1</c:v>
                </c:pt>
                <c:pt idx="2">
                  <c:v>0</c:v>
                </c:pt>
                <c:pt idx="3">
                  <c:v>35</c:v>
                </c:pt>
                <c:pt idx="4">
                  <c:v>181</c:v>
                </c:pt>
              </c:numCache>
            </c:numRef>
          </c:val>
          <c:extLst>
            <c:ext xmlns:c16="http://schemas.microsoft.com/office/drawing/2014/chart" uri="{C3380CC4-5D6E-409C-BE32-E72D297353CC}">
              <c16:uniqueId val="{0000000A-FF9C-434F-9980-BE4BD212022E}"/>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A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Agencias Probabillidad de Ascenso o Descenso</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AR"/>
        </a:p>
      </c:txPr>
    </c:title>
    <c:autoTitleDeleted val="0"/>
    <c:plotArea>
      <c:layout/>
      <c:doughnutChart>
        <c:varyColors val="1"/>
        <c:ser>
          <c:idx val="0"/>
          <c:order val="0"/>
          <c:tx>
            <c:strRef>
              <c:f>DASH_EJECUTIVO!$H$9</c:f>
              <c:strCache>
                <c:ptCount val="1"/>
                <c:pt idx="0">
                  <c:v>Cantidad</c:v>
                </c:pt>
              </c:strCache>
            </c:strRef>
          </c:tx>
          <c:dPt>
            <c:idx val="0"/>
            <c:bubble3D val="0"/>
            <c:spPr>
              <a:solidFill>
                <a:srgbClr val="FF0000"/>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4-DA93-4921-BA10-63FFA84308B8}"/>
              </c:ext>
            </c:extLst>
          </c:dPt>
          <c:dPt>
            <c:idx val="1"/>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6-DA93-4921-BA10-63FFA84308B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8-DA93-4921-BA10-63FFA84308B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A-DA93-4921-BA10-63FFA84308B8}"/>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C-DA93-4921-BA10-63FFA84308B8}"/>
              </c:ext>
            </c:extLst>
          </c:dPt>
          <c:dLbls>
            <c:dLbl>
              <c:idx val="0"/>
              <c:layout>
                <c:manualLayout>
                  <c:x val="2.7789356676392943E-3"/>
                  <c:y val="-0.14243050769584198"/>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4-DA93-4921-BA10-63FFA84308B8}"/>
                </c:ext>
              </c:extLst>
            </c:dLbl>
            <c:dLbl>
              <c:idx val="1"/>
              <c:layout>
                <c:manualLayout>
                  <c:x val="0.11664571524224322"/>
                  <c:y val="-0.11067939388348338"/>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6-DA93-4921-BA10-63FFA84308B8}"/>
                </c:ext>
              </c:extLst>
            </c:dLbl>
            <c:dLbl>
              <c:idx val="2"/>
              <c:layout>
                <c:manualLayout>
                  <c:x val="-0.17236586043925495"/>
                  <c:y val="5.0041463368985031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8-DA93-4921-BA10-63FFA84308B8}"/>
                </c:ext>
              </c:extLst>
            </c:dLbl>
            <c:dLbl>
              <c:idx val="3"/>
              <c:layout>
                <c:manualLayout>
                  <c:x val="-0.16958576591604116"/>
                  <c:y val="-0.12293780926562331"/>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2A-DA93-4921-BA10-63FFA84308B8}"/>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AR"/>
              </a:p>
            </c:txP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DASH_EJECUTIVO!$G$10:$G$12</c:f>
              <c:strCache>
                <c:ptCount val="3"/>
                <c:pt idx="0">
                  <c:v>Descenso</c:v>
                </c:pt>
                <c:pt idx="1">
                  <c:v>Ascenso</c:v>
                </c:pt>
                <c:pt idx="2">
                  <c:v>Neutro</c:v>
                </c:pt>
              </c:strCache>
            </c:strRef>
          </c:cat>
          <c:val>
            <c:numRef>
              <c:f>DASH_EJECUTIVO!$H$10:$H$12</c:f>
              <c:numCache>
                <c:formatCode>General</c:formatCode>
                <c:ptCount val="3"/>
                <c:pt idx="0">
                  <c:v>0</c:v>
                </c:pt>
                <c:pt idx="1">
                  <c:v>503</c:v>
                </c:pt>
                <c:pt idx="2" formatCode="_-* #,##0_-;\-* #,##0_-;_-* &quot;-&quot;??_-;_-@_-">
                  <c:v>1696</c:v>
                </c:pt>
              </c:numCache>
            </c:numRef>
          </c:val>
          <c:extLst>
            <c:ext xmlns:c16="http://schemas.microsoft.com/office/drawing/2014/chart" uri="{C3380CC4-5D6E-409C-BE32-E72D297353CC}">
              <c16:uniqueId val="{0000002D-DA93-4921-BA10-63FFA84308B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AR"/>
        </a:p>
      </c:txPr>
    </c:legend>
    <c:plotVisOnly val="1"/>
    <c:dispBlanksAs val="gap"/>
    <c:showDLblsOverMax val="0"/>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AR"/>
              <a:t>Top 20 por movilidad (</a:t>
            </a:r>
            <a:r>
              <a:rPr lang="el-GR"/>
              <a:t>Δ </a:t>
            </a:r>
            <a:r>
              <a:rPr lang="es-AR"/>
              <a:t>puntaje)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AR"/>
        </a:p>
      </c:txPr>
    </c:title>
    <c:autoTitleDeleted val="0"/>
    <c:plotArea>
      <c:layout/>
      <c:barChart>
        <c:barDir val="col"/>
        <c:grouping val="clustered"/>
        <c:varyColors val="0"/>
        <c:ser>
          <c:idx val="0"/>
          <c:order val="0"/>
          <c:tx>
            <c:strRef>
              <c:f>DASH_EJECUTIVO!$K$18</c:f>
              <c:strCache>
                <c:ptCount val="1"/>
                <c:pt idx="0">
                  <c:v>Movilidad Δ</c:v>
                </c:pt>
              </c:strCache>
            </c:strRef>
          </c:tx>
          <c:spPr>
            <a:solidFill>
              <a:schemeClr val="accent1">
                <a:alpha val="85000"/>
              </a:schemeClr>
            </a:solidFill>
            <a:ln w="9525" cap="flat" cmpd="sng" algn="ctr">
              <a:solidFill>
                <a:schemeClr val="lt1">
                  <a:alpha val="50000"/>
                </a:schemeClr>
              </a:solidFill>
              <a:round/>
            </a:ln>
            <a:effectLst/>
          </c:spPr>
          <c:invertIfNegative val="0"/>
          <c:cat>
            <c:numRef>
              <c:f>DASH_EJECUTIVO!$J$19:$J$38</c:f>
              <c:numCache>
                <c:formatCode>General</c:formatCode>
                <c:ptCount val="20"/>
                <c:pt idx="0">
                  <c:v>51057121</c:v>
                </c:pt>
                <c:pt idx="1">
                  <c:v>51014219</c:v>
                </c:pt>
                <c:pt idx="2">
                  <c:v>51030974</c:v>
                </c:pt>
                <c:pt idx="3">
                  <c:v>51057058</c:v>
                </c:pt>
                <c:pt idx="4">
                  <c:v>51016874</c:v>
                </c:pt>
                <c:pt idx="5">
                  <c:v>51055896</c:v>
                </c:pt>
                <c:pt idx="6">
                  <c:v>51030443</c:v>
                </c:pt>
                <c:pt idx="7">
                  <c:v>51010710</c:v>
                </c:pt>
                <c:pt idx="8">
                  <c:v>51014081</c:v>
                </c:pt>
                <c:pt idx="9">
                  <c:v>51020707</c:v>
                </c:pt>
                <c:pt idx="10">
                  <c:v>51056108</c:v>
                </c:pt>
                <c:pt idx="11">
                  <c:v>51044070</c:v>
                </c:pt>
                <c:pt idx="12">
                  <c:v>51039190</c:v>
                </c:pt>
                <c:pt idx="13">
                  <c:v>51007051</c:v>
                </c:pt>
                <c:pt idx="14">
                  <c:v>51024214</c:v>
                </c:pt>
                <c:pt idx="15">
                  <c:v>51026071</c:v>
                </c:pt>
                <c:pt idx="16">
                  <c:v>51055101</c:v>
                </c:pt>
                <c:pt idx="17">
                  <c:v>51041798</c:v>
                </c:pt>
                <c:pt idx="18">
                  <c:v>51056531</c:v>
                </c:pt>
                <c:pt idx="19">
                  <c:v>51029232</c:v>
                </c:pt>
              </c:numCache>
            </c:numRef>
          </c:cat>
          <c:val>
            <c:numRef>
              <c:f>DASH_EJECUTIVO!$K$19:$K$38</c:f>
              <c:numCache>
                <c:formatCode>General</c:formatCode>
                <c:ptCount val="20"/>
                <c:pt idx="0">
                  <c:v>64.874441252337959</c:v>
                </c:pt>
                <c:pt idx="1">
                  <c:v>63.890000000000008</c:v>
                </c:pt>
                <c:pt idx="2">
                  <c:v>62.513706325232363</c:v>
                </c:pt>
                <c:pt idx="3">
                  <c:v>61.253543805751626</c:v>
                </c:pt>
                <c:pt idx="4">
                  <c:v>59.582942888892283</c:v>
                </c:pt>
                <c:pt idx="5">
                  <c:v>57.185461859316135</c:v>
                </c:pt>
                <c:pt idx="6">
                  <c:v>56.190116537518932</c:v>
                </c:pt>
                <c:pt idx="7">
                  <c:v>56.054019581211769</c:v>
                </c:pt>
                <c:pt idx="8">
                  <c:v>55.315588887921251</c:v>
                </c:pt>
                <c:pt idx="9">
                  <c:v>54.887747237862776</c:v>
                </c:pt>
                <c:pt idx="10">
                  <c:v>53.105296516563072</c:v>
                </c:pt>
                <c:pt idx="11">
                  <c:v>50.008165023676284</c:v>
                </c:pt>
                <c:pt idx="12">
                  <c:v>49.750859499633201</c:v>
                </c:pt>
                <c:pt idx="13">
                  <c:v>49.548102435358352</c:v>
                </c:pt>
                <c:pt idx="14">
                  <c:v>49.057503687308305</c:v>
                </c:pt>
                <c:pt idx="15">
                  <c:v>47.739812499617713</c:v>
                </c:pt>
                <c:pt idx="16">
                  <c:v>46.142187293132814</c:v>
                </c:pt>
                <c:pt idx="17">
                  <c:v>45.951220457916413</c:v>
                </c:pt>
                <c:pt idx="18">
                  <c:v>45.408265122267828</c:v>
                </c:pt>
                <c:pt idx="19">
                  <c:v>44.180882056693164</c:v>
                </c:pt>
              </c:numCache>
            </c:numRef>
          </c:val>
          <c:extLst>
            <c:ext xmlns:c16="http://schemas.microsoft.com/office/drawing/2014/chart" uri="{C3380CC4-5D6E-409C-BE32-E72D297353CC}">
              <c16:uniqueId val="{00000001-1960-4934-BCB1-8DE1686DCE3A}"/>
            </c:ext>
          </c:extLst>
        </c:ser>
        <c:dLbls>
          <c:dLblPos val="inEnd"/>
          <c:showLegendKey val="0"/>
          <c:showVal val="0"/>
          <c:showCatName val="0"/>
          <c:showSerName val="0"/>
          <c:showPercent val="0"/>
          <c:showBubbleSize val="0"/>
        </c:dLbls>
        <c:gapWidth val="65"/>
        <c:axId val="1930973327"/>
        <c:axId val="1930972367"/>
      </c:barChart>
      <c:catAx>
        <c:axId val="19309733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AR"/>
          </a:p>
        </c:txPr>
        <c:crossAx val="1930972367"/>
        <c:crosses val="autoZero"/>
        <c:auto val="1"/>
        <c:lblAlgn val="ctr"/>
        <c:lblOffset val="100"/>
        <c:noMultiLvlLbl val="0"/>
      </c:catAx>
      <c:valAx>
        <c:axId val="1930972367"/>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AR"/>
          </a:p>
        </c:txPr>
        <c:crossAx val="1930973327"/>
        <c:crosses val="autoZero"/>
        <c:crossBetween val="between"/>
      </c:valAx>
      <c:spPr>
        <a:noFill/>
        <a:ln>
          <a:noFill/>
        </a:ln>
        <a:effectLst/>
      </c:spPr>
    </c:plotArea>
    <c:plotVisOnly val="1"/>
    <c:dispBlanksAs val="gap"/>
    <c:showDLblsOverMax val="0"/>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AR"/>
              <a:t>Top 20 por puntaje final</a:t>
            </a:r>
          </a:p>
        </c:rich>
      </c:tx>
      <c:overlay val="0"/>
      <c:spPr>
        <a:noFill/>
        <a:ln>
          <a:noFill/>
        </a:ln>
        <a:effectLst/>
      </c:spPr>
    </c:title>
    <c:autoTitleDeleted val="0"/>
    <c:plotArea>
      <c:layout/>
      <c:barChart>
        <c:barDir val="col"/>
        <c:grouping val="clustered"/>
        <c:varyColors val="0"/>
        <c:ser>
          <c:idx val="0"/>
          <c:order val="0"/>
          <c:tx>
            <c:strRef>
              <c:f>DASH_EJECUTIVO!$P$18</c:f>
              <c:strCache>
                <c:ptCount val="1"/>
                <c:pt idx="0">
                  <c:v>Puntaje</c:v>
                </c:pt>
              </c:strCache>
            </c:strRef>
          </c:tx>
          <c:spPr>
            <a:solidFill>
              <a:schemeClr val="accent1">
                <a:alpha val="85000"/>
              </a:schemeClr>
            </a:solidFill>
            <a:ln w="9525" cap="flat" cmpd="sng" algn="ctr">
              <a:solidFill>
                <a:schemeClr val="lt1">
                  <a:alpha val="50000"/>
                </a:schemeClr>
              </a:solidFill>
              <a:round/>
            </a:ln>
            <a:effectLst/>
          </c:spPr>
          <c:invertIfNegative val="0"/>
          <c:cat>
            <c:numRef>
              <c:f>DASH_EJECUTIVO!$O$19:$O$38</c:f>
              <c:numCache>
                <c:formatCode>General</c:formatCode>
                <c:ptCount val="20"/>
                <c:pt idx="0">
                  <c:v>51018494</c:v>
                </c:pt>
                <c:pt idx="1">
                  <c:v>51056671</c:v>
                </c:pt>
                <c:pt idx="2">
                  <c:v>51011368</c:v>
                </c:pt>
                <c:pt idx="3">
                  <c:v>51020952</c:v>
                </c:pt>
                <c:pt idx="4">
                  <c:v>51017218</c:v>
                </c:pt>
                <c:pt idx="5">
                  <c:v>51016475</c:v>
                </c:pt>
                <c:pt idx="6">
                  <c:v>51016858</c:v>
                </c:pt>
                <c:pt idx="7">
                  <c:v>51017455</c:v>
                </c:pt>
                <c:pt idx="8">
                  <c:v>51032993</c:v>
                </c:pt>
                <c:pt idx="9">
                  <c:v>51042158</c:v>
                </c:pt>
                <c:pt idx="10">
                  <c:v>51056116</c:v>
                </c:pt>
                <c:pt idx="11">
                  <c:v>51018346</c:v>
                </c:pt>
                <c:pt idx="12">
                  <c:v>51010272</c:v>
                </c:pt>
                <c:pt idx="13">
                  <c:v>51020316</c:v>
                </c:pt>
                <c:pt idx="14">
                  <c:v>51033710</c:v>
                </c:pt>
                <c:pt idx="15">
                  <c:v>51012577</c:v>
                </c:pt>
                <c:pt idx="16">
                  <c:v>51056531</c:v>
                </c:pt>
                <c:pt idx="17">
                  <c:v>51031113</c:v>
                </c:pt>
                <c:pt idx="18">
                  <c:v>51015401</c:v>
                </c:pt>
                <c:pt idx="19">
                  <c:v>51022998</c:v>
                </c:pt>
              </c:numCache>
            </c:numRef>
          </c:cat>
          <c:val>
            <c:numRef>
              <c:f>DASH_EJECUTIVO!$P$19:$P$38</c:f>
              <c:numCache>
                <c:formatCode>General</c:formatCode>
                <c:ptCount val="20"/>
                <c:pt idx="0">
                  <c:v>100</c:v>
                </c:pt>
                <c:pt idx="1">
                  <c:v>99.865673054965612</c:v>
                </c:pt>
                <c:pt idx="2">
                  <c:v>99.736737920576417</c:v>
                </c:pt>
                <c:pt idx="3">
                  <c:v>99.579550855617768</c:v>
                </c:pt>
                <c:pt idx="4">
                  <c:v>99.527209383436087</c:v>
                </c:pt>
                <c:pt idx="5">
                  <c:v>99.092731862239617</c:v>
                </c:pt>
                <c:pt idx="6">
                  <c:v>98.881089933196563</c:v>
                </c:pt>
                <c:pt idx="7">
                  <c:v>98.868378078646231</c:v>
                </c:pt>
                <c:pt idx="8">
                  <c:v>98.805719411289047</c:v>
                </c:pt>
                <c:pt idx="9">
                  <c:v>98.743841315272562</c:v>
                </c:pt>
                <c:pt idx="10">
                  <c:v>98.64075506704414</c:v>
                </c:pt>
                <c:pt idx="11">
                  <c:v>98.614959653968398</c:v>
                </c:pt>
                <c:pt idx="12">
                  <c:v>98.511910854003943</c:v>
                </c:pt>
                <c:pt idx="13">
                  <c:v>98.36540012904193</c:v>
                </c:pt>
                <c:pt idx="14">
                  <c:v>98.361012671891189</c:v>
                </c:pt>
                <c:pt idx="15">
                  <c:v>98.34685560352591</c:v>
                </c:pt>
                <c:pt idx="16">
                  <c:v>98.316775013793517</c:v>
                </c:pt>
                <c:pt idx="17">
                  <c:v>98.306443714971039</c:v>
                </c:pt>
                <c:pt idx="18">
                  <c:v>98.192790569450636</c:v>
                </c:pt>
                <c:pt idx="19">
                  <c:v>98.0770561748527</c:v>
                </c:pt>
              </c:numCache>
            </c:numRef>
          </c:val>
          <c:extLst>
            <c:ext xmlns:c16="http://schemas.microsoft.com/office/drawing/2014/chart" uri="{C3380CC4-5D6E-409C-BE32-E72D297353CC}">
              <c16:uniqueId val="{00000001-8A61-43A1-A45F-F43E89F521FF}"/>
            </c:ext>
          </c:extLst>
        </c:ser>
        <c:dLbls>
          <c:showLegendKey val="0"/>
          <c:showVal val="0"/>
          <c:showCatName val="0"/>
          <c:showSerName val="0"/>
          <c:showPercent val="0"/>
          <c:showBubbleSize val="0"/>
        </c:dLbls>
        <c:gapWidth val="65"/>
        <c:axId val="1930973327"/>
        <c:axId val="1930972367"/>
      </c:barChart>
      <c:catAx>
        <c:axId val="1930973327"/>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AR"/>
          </a:p>
        </c:txPr>
        <c:crossAx val="1930972367"/>
        <c:crosses val="autoZero"/>
        <c:auto val="1"/>
        <c:lblAlgn val="ctr"/>
        <c:lblOffset val="100"/>
        <c:noMultiLvlLbl val="0"/>
      </c:catAx>
      <c:valAx>
        <c:axId val="1930972367"/>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AR"/>
          </a:p>
        </c:txPr>
        <c:crossAx val="1930973327"/>
        <c:crosses val="autoZero"/>
        <c:crossBetween val="between"/>
      </c:valAx>
      <c:spPr>
        <a:noFill/>
        <a:ln>
          <a:noFill/>
        </a:ln>
        <a:effectLst/>
      </c:spPr>
    </c:plotArea>
    <c:plotVisOnly val="1"/>
    <c:dispBlanksAs val="gap"/>
    <c:showDLblsOverMax val="0"/>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A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1</xdr:row>
          <xdr:rowOff>22860</xdr:rowOff>
        </xdr:from>
        <xdr:to>
          <xdr:col>3</xdr:col>
          <xdr:colOff>3627120</xdr:colOff>
          <xdr:row>4</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s-AR" sz="1400" b="0" i="0" u="none" strike="noStrike" baseline="0">
                  <a:solidFill>
                    <a:srgbClr val="000000"/>
                  </a:solidFill>
                  <a:latin typeface="Arial Black"/>
                </a:rPr>
                <a:t>ARMAR HISTORICO</a:t>
              </a:r>
            </a:p>
          </xdr:txBody>
        </xdr:sp>
        <xdr:clientData fPrintsWithSheet="0"/>
      </xdr:twoCellAnchor>
    </mc:Choice>
    <mc:Fallback/>
  </mc:AlternateContent>
  <xdr:twoCellAnchor editAs="oneCell">
    <xdr:from>
      <xdr:col>3</xdr:col>
      <xdr:colOff>60960</xdr:colOff>
      <xdr:row>20</xdr:row>
      <xdr:rowOff>7620</xdr:rowOff>
    </xdr:from>
    <xdr:to>
      <xdr:col>3</xdr:col>
      <xdr:colOff>5562600</xdr:colOff>
      <xdr:row>35</xdr:row>
      <xdr:rowOff>38100</xdr:rowOff>
    </xdr:to>
    <xdr:pic>
      <xdr:nvPicPr>
        <xdr:cNvPr id="2" name="Imagen 1">
          <a:extLst>
            <a:ext uri="{FF2B5EF4-FFF2-40B4-BE49-F238E27FC236}">
              <a16:creationId xmlns:a16="http://schemas.microsoft.com/office/drawing/2014/main" id="{6D4FF8BD-E34A-16F3-9054-AB49C02E42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84720" y="3764280"/>
          <a:ext cx="5501640" cy="27736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47625</xdr:colOff>
      <xdr:row>4</xdr:row>
      <xdr:rowOff>179070</xdr:rowOff>
    </xdr:from>
    <xdr:to>
      <xdr:col>7</xdr:col>
      <xdr:colOff>352425</xdr:colOff>
      <xdr:row>20</xdr:row>
      <xdr:rowOff>34290</xdr:rowOff>
    </xdr:to>
    <xdr:graphicFrame macro="">
      <xdr:nvGraphicFramePr>
        <xdr:cNvPr id="8" name="Gráfico 7">
          <a:extLst>
            <a:ext uri="{FF2B5EF4-FFF2-40B4-BE49-F238E27FC236}">
              <a16:creationId xmlns:a16="http://schemas.microsoft.com/office/drawing/2014/main" id="{7737BAD7-46D8-43CF-970C-D7AAD0CB2F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424815</xdr:colOff>
      <xdr:row>5</xdr:row>
      <xdr:rowOff>1904</xdr:rowOff>
    </xdr:from>
    <xdr:to>
      <xdr:col>15</xdr:col>
      <xdr:colOff>116205</xdr:colOff>
      <xdr:row>20</xdr:row>
      <xdr:rowOff>45719</xdr:rowOff>
    </xdr:to>
    <xdr:graphicFrame macro="">
      <xdr:nvGraphicFramePr>
        <xdr:cNvPr id="9" name="Gráfico 8">
          <a:extLst>
            <a:ext uri="{FF2B5EF4-FFF2-40B4-BE49-F238E27FC236}">
              <a16:creationId xmlns:a16="http://schemas.microsoft.com/office/drawing/2014/main" id="{11D1D7EE-A49F-4978-94B9-A227C5E957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43815</xdr:colOff>
      <xdr:row>20</xdr:row>
      <xdr:rowOff>100965</xdr:rowOff>
    </xdr:from>
    <xdr:to>
      <xdr:col>7</xdr:col>
      <xdr:colOff>344805</xdr:colOff>
      <xdr:row>35</xdr:row>
      <xdr:rowOff>125730</xdr:rowOff>
    </xdr:to>
    <xdr:graphicFrame macro="">
      <xdr:nvGraphicFramePr>
        <xdr:cNvPr id="10" name="Gráfico 9">
          <a:extLst>
            <a:ext uri="{FF2B5EF4-FFF2-40B4-BE49-F238E27FC236}">
              <a16:creationId xmlns:a16="http://schemas.microsoft.com/office/drawing/2014/main" id="{9C914C4D-20B2-413E-9198-4EE30FBD89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445770</xdr:colOff>
      <xdr:row>20</xdr:row>
      <xdr:rowOff>114300</xdr:rowOff>
    </xdr:from>
    <xdr:to>
      <xdr:col>15</xdr:col>
      <xdr:colOff>139065</xdr:colOff>
      <xdr:row>35</xdr:row>
      <xdr:rowOff>135255</xdr:rowOff>
    </xdr:to>
    <xdr:graphicFrame macro="">
      <xdr:nvGraphicFramePr>
        <xdr:cNvPr id="11" name="Gráfico 10">
          <a:extLst>
            <a:ext uri="{FF2B5EF4-FFF2-40B4-BE49-F238E27FC236}">
              <a16:creationId xmlns:a16="http://schemas.microsoft.com/office/drawing/2014/main" id="{28E5E734-C1C2-4BF8-A5CD-C2B39711EA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236220</xdr:colOff>
      <xdr:row>5</xdr:row>
      <xdr:rowOff>11430</xdr:rowOff>
    </xdr:from>
    <xdr:to>
      <xdr:col>22</xdr:col>
      <xdr:colOff>541020</xdr:colOff>
      <xdr:row>20</xdr:row>
      <xdr:rowOff>49530</xdr:rowOff>
    </xdr:to>
    <xdr:graphicFrame macro="">
      <xdr:nvGraphicFramePr>
        <xdr:cNvPr id="12" name="Gráfico 11">
          <a:extLst>
            <a:ext uri="{FF2B5EF4-FFF2-40B4-BE49-F238E27FC236}">
              <a16:creationId xmlns:a16="http://schemas.microsoft.com/office/drawing/2014/main" id="{B420BEAB-7FDB-4672-B6CB-D62589D677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249555</xdr:colOff>
      <xdr:row>20</xdr:row>
      <xdr:rowOff>137160</xdr:rowOff>
    </xdr:from>
    <xdr:to>
      <xdr:col>22</xdr:col>
      <xdr:colOff>554355</xdr:colOff>
      <xdr:row>35</xdr:row>
      <xdr:rowOff>175260</xdr:rowOff>
    </xdr:to>
    <xdr:graphicFrame macro="">
      <xdr:nvGraphicFramePr>
        <xdr:cNvPr id="13" name="Gráfico 12">
          <a:extLst>
            <a:ext uri="{FF2B5EF4-FFF2-40B4-BE49-F238E27FC236}">
              <a16:creationId xmlns:a16="http://schemas.microsoft.com/office/drawing/2014/main" id="{CF0581F8-5A6B-404E-8F3B-1852B4A56C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audio Ivan Alvarez" refreshedDate="46086.58866134259" createdVersion="8" refreshedVersion="8" minRefreshableVersion="3" recordCount="7158" xr:uid="{9146B512-58C9-48A5-9258-FF9A7377A924}">
  <cacheSource type="worksheet">
    <worksheetSource ref="A1:G7159" sheet="HIST_SCORE"/>
  </cacheSource>
  <cacheFields count="7">
    <cacheField name="Key" numFmtId="0">
      <sharedItems containsSemiMixedTypes="0" containsString="0" containsNumber="1" containsInteger="1" minValue="1" maxValue="25053"/>
    </cacheField>
    <cacheField name="PeriodoKey" numFmtId="0">
      <sharedItems count="6">
        <s v="2024-Q1"/>
        <s v="2024-Q2"/>
        <s v="2024-Q3"/>
        <s v="2025-Q1"/>
        <s v="2025-Q2"/>
        <s v="2025-Q3"/>
      </sharedItems>
    </cacheField>
    <cacheField name="Agencia" numFmtId="0">
      <sharedItems containsSemiMixedTypes="0" containsString="0" containsNumber="1" containsInteger="1" minValue="51000111" maxValue="51057546"/>
    </cacheField>
    <cacheField name="Puntaje final (0-100)" numFmtId="0">
      <sharedItems containsSemiMixedTypes="0" containsString="0" containsNumber="1" minValue="0" maxValue="89.88"/>
    </cacheField>
    <cacheField name="Categoría" numFmtId="0">
      <sharedItems/>
    </cacheField>
    <cacheField name="Ranking (puntaje)" numFmtId="0">
      <sharedItems containsSemiMixedTypes="0" containsString="0" containsNumber="1" containsInteger="1" minValue="1" maxValue="1192"/>
    </cacheField>
    <cacheField name="Fecha de carga" numFmtId="22">
      <sharedItems containsSemiMixedTypes="0" containsNonDate="0" containsDate="1" containsString="0" minDate="2026-02-27T15:42:14" maxDate="2026-02-27T16:00:5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58">
  <r>
    <n v="1"/>
    <x v="0"/>
    <n v="51015525"/>
    <n v="86.019076349376633"/>
    <s v="PLATINO"/>
    <n v="152"/>
    <d v="2026-02-27T15:42:14"/>
  </r>
  <r>
    <n v="2"/>
    <x v="0"/>
    <n v="51017790"/>
    <n v="72.300046956338065"/>
    <s v="ORO"/>
    <n v="625"/>
    <d v="2026-02-27T15:42:14"/>
  </r>
  <r>
    <n v="3"/>
    <x v="0"/>
    <n v="51023871"/>
    <n v="84.82075855814783"/>
    <s v="PLATINO"/>
    <n v="207"/>
    <d v="2026-02-27T15:42:14"/>
  </r>
  <r>
    <n v="4"/>
    <x v="0"/>
    <n v="51019601"/>
    <n v="87.357642858761466"/>
    <s v="PLATINO"/>
    <n v="81"/>
    <d v="2026-02-27T15:42:14"/>
  </r>
  <r>
    <n v="5"/>
    <x v="0"/>
    <n v="51021983"/>
    <n v="32.492091471719583"/>
    <s v="PLATA"/>
    <n v="909"/>
    <d v="2026-02-27T15:42:14"/>
  </r>
  <r>
    <n v="6"/>
    <x v="0"/>
    <n v="51020201"/>
    <n v="73.06"/>
    <s v="ORO"/>
    <n v="613"/>
    <d v="2026-02-27T15:42:14"/>
  </r>
  <r>
    <n v="7"/>
    <x v="0"/>
    <n v="51031296"/>
    <n v="89.64"/>
    <s v="PLATINO"/>
    <n v="2"/>
    <d v="2026-02-27T15:42:14"/>
  </r>
  <r>
    <n v="8"/>
    <x v="0"/>
    <n v="51011864"/>
    <n v="89.045000000000002"/>
    <s v="PLATINO"/>
    <n v="12"/>
    <d v="2026-02-27T15:42:14"/>
  </r>
  <r>
    <n v="9"/>
    <x v="0"/>
    <n v="51005945"/>
    <n v="89.161655379191558"/>
    <s v="PLATINO"/>
    <n v="10"/>
    <d v="2026-02-27T15:42:14"/>
  </r>
  <r>
    <n v="10"/>
    <x v="0"/>
    <n v="51055586"/>
    <n v="83.869730238977851"/>
    <s v="PLATINO"/>
    <n v="255"/>
    <d v="2026-02-27T15:42:14"/>
  </r>
  <r>
    <n v="11"/>
    <x v="0"/>
    <n v="51025458"/>
    <n v="88.578000000000003"/>
    <s v="PLATINO"/>
    <n v="23"/>
    <d v="2026-02-27T15:42:14"/>
  </r>
  <r>
    <n v="12"/>
    <x v="0"/>
    <n v="51025709"/>
    <n v="84.007581357866144"/>
    <s v="PLATINO"/>
    <n v="247"/>
    <d v="2026-02-27T15:42:14"/>
  </r>
  <r>
    <n v="13"/>
    <x v="0"/>
    <n v="51019709"/>
    <n v="70.8114986132681"/>
    <s v="ORO"/>
    <n v="640"/>
    <d v="2026-02-27T15:42:14"/>
  </r>
  <r>
    <n v="14"/>
    <x v="0"/>
    <n v="51019377"/>
    <n v="87.29874021275343"/>
    <s v="PLATINO"/>
    <n v="84"/>
    <d v="2026-02-27T15:42:14"/>
  </r>
  <r>
    <n v="15"/>
    <x v="0"/>
    <n v="51017447"/>
    <n v="88.600991351550974"/>
    <s v="PLATINO"/>
    <n v="22"/>
    <d v="2026-02-27T15:42:14"/>
  </r>
  <r>
    <n v="16"/>
    <x v="0"/>
    <n v="51055721"/>
    <n v="85.500202399678955"/>
    <s v="PLATINO"/>
    <n v="180"/>
    <d v="2026-02-27T15:42:14"/>
  </r>
  <r>
    <n v="17"/>
    <x v="0"/>
    <n v="51023064"/>
    <n v="88.170548982715175"/>
    <s v="PLATINO"/>
    <n v="34"/>
    <d v="2026-02-27T15:42:14"/>
  </r>
  <r>
    <n v="18"/>
    <x v="0"/>
    <n v="51055063"/>
    <n v="88.434581302097968"/>
    <s v="PLATINO"/>
    <n v="27"/>
    <d v="2026-02-27T15:42:14"/>
  </r>
  <r>
    <n v="19"/>
    <x v="0"/>
    <n v="51024893"/>
    <n v="44.957529952606578"/>
    <s v="PLATA"/>
    <n v="872"/>
    <d v="2026-02-27T15:42:14"/>
  </r>
  <r>
    <n v="20"/>
    <x v="0"/>
    <n v="51013638"/>
    <n v="88.02000000000001"/>
    <s v="PLATINO"/>
    <n v="45"/>
    <d v="2026-02-27T15:42:14"/>
  </r>
  <r>
    <n v="21"/>
    <x v="0"/>
    <n v="51011015"/>
    <n v="41.210642741572819"/>
    <s v="PLATA"/>
    <n v="880"/>
    <d v="2026-02-27T15:42:14"/>
  </r>
  <r>
    <n v="22"/>
    <x v="0"/>
    <n v="51020758"/>
    <n v="87.441418620051039"/>
    <s v="PLATINO"/>
    <n v="76"/>
    <d v="2026-02-27T15:42:14"/>
  </r>
  <r>
    <n v="23"/>
    <x v="0"/>
    <n v="51022734"/>
    <n v="87.959804350392417"/>
    <s v="PLATINO"/>
    <n v="46"/>
    <d v="2026-02-27T15:42:14"/>
  </r>
  <r>
    <n v="24"/>
    <x v="0"/>
    <n v="51036034"/>
    <n v="89.644999999999996"/>
    <s v="PLATINO"/>
    <n v="1"/>
    <d v="2026-02-27T15:42:14"/>
  </r>
  <r>
    <n v="25"/>
    <x v="0"/>
    <n v="51019954"/>
    <n v="74.400037972091127"/>
    <s v="ORO"/>
    <n v="594"/>
    <d v="2026-02-27T15:42:14"/>
  </r>
  <r>
    <n v="26"/>
    <x v="0"/>
    <n v="51041895"/>
    <n v="77.874252326855967"/>
    <s v="PLATINO"/>
    <n v="504"/>
    <d v="2026-02-27T15:42:14"/>
  </r>
  <r>
    <n v="27"/>
    <x v="0"/>
    <n v="51031075"/>
    <n v="88.96755296197091"/>
    <s v="PLATINO"/>
    <n v="14"/>
    <d v="2026-02-27T15:42:14"/>
  </r>
  <r>
    <n v="28"/>
    <x v="0"/>
    <n v="51016815"/>
    <n v="74.033476996220799"/>
    <s v="ORO"/>
    <n v="599"/>
    <d v="2026-02-27T15:42:14"/>
  </r>
  <r>
    <n v="29"/>
    <x v="0"/>
    <n v="51010761"/>
    <n v="88.961343900880152"/>
    <s v="PLATINO"/>
    <n v="15"/>
    <d v="2026-02-27T15:42:14"/>
  </r>
  <r>
    <n v="30"/>
    <x v="0"/>
    <n v="51013301"/>
    <n v="89.6"/>
    <s v="PLATINO"/>
    <n v="3"/>
    <d v="2026-02-27T15:42:14"/>
  </r>
  <r>
    <n v="31"/>
    <x v="0"/>
    <n v="51041933"/>
    <n v="89.56"/>
    <s v="PLATINO"/>
    <n v="4"/>
    <d v="2026-02-27T15:42:14"/>
  </r>
  <r>
    <n v="32"/>
    <x v="0"/>
    <n v="51014006"/>
    <n v="86.831578588261195"/>
    <s v="PLATINO"/>
    <n v="110"/>
    <d v="2026-02-27T15:42:14"/>
  </r>
  <r>
    <n v="33"/>
    <x v="0"/>
    <n v="51000111"/>
    <n v="87.83799420290886"/>
    <s v="PLATINO"/>
    <n v="55"/>
    <d v="2026-02-27T15:42:14"/>
  </r>
  <r>
    <n v="34"/>
    <x v="0"/>
    <n v="51042735"/>
    <n v="89.52"/>
    <s v="PLATINO"/>
    <n v="5"/>
    <d v="2026-02-27T15:42:14"/>
  </r>
  <r>
    <n v="35"/>
    <x v="0"/>
    <n v="51023218"/>
    <n v="85.123096206439882"/>
    <s v="PLATINO"/>
    <n v="195"/>
    <d v="2026-02-27T15:42:14"/>
  </r>
  <r>
    <n v="36"/>
    <x v="0"/>
    <n v="51002776"/>
    <n v="87.84"/>
    <s v="PLATINO"/>
    <n v="54"/>
    <d v="2026-02-27T15:42:14"/>
  </r>
  <r>
    <n v="37"/>
    <x v="0"/>
    <n v="51015541"/>
    <n v="88.030283563164247"/>
    <s v="PLATINO"/>
    <n v="44"/>
    <d v="2026-02-27T15:42:14"/>
  </r>
  <r>
    <n v="38"/>
    <x v="0"/>
    <n v="51031890"/>
    <n v="85.733162810856371"/>
    <s v="PLATINO"/>
    <n v="168"/>
    <d v="2026-02-27T15:42:14"/>
  </r>
  <r>
    <n v="39"/>
    <x v="0"/>
    <n v="51057058"/>
    <n v="82.660913329120632"/>
    <s v="PLATINO"/>
    <n v="314"/>
    <d v="2026-02-27T15:42:14"/>
  </r>
  <r>
    <n v="40"/>
    <x v="0"/>
    <n v="51022289"/>
    <n v="87.014319431443113"/>
    <s v="PLATINO"/>
    <n v="100"/>
    <d v="2026-02-27T15:42:14"/>
  </r>
  <r>
    <n v="41"/>
    <x v="0"/>
    <n v="51016688"/>
    <n v="87.8"/>
    <s v="PLATINO"/>
    <n v="57"/>
    <d v="2026-02-27T15:42:14"/>
  </r>
  <r>
    <n v="42"/>
    <x v="0"/>
    <n v="51032527"/>
    <n v="80.027067723148463"/>
    <s v="PLATINO"/>
    <n v="436"/>
    <d v="2026-02-27T15:42:14"/>
  </r>
  <r>
    <n v="43"/>
    <x v="0"/>
    <n v="51028678"/>
    <n v="89.202950877215017"/>
    <s v="PLATINO"/>
    <n v="9"/>
    <d v="2026-02-27T15:42:14"/>
  </r>
  <r>
    <n v="44"/>
    <x v="0"/>
    <n v="51005287"/>
    <n v="87.161084479723286"/>
    <s v="PLATINO"/>
    <n v="94"/>
    <d v="2026-02-27T15:42:14"/>
  </r>
  <r>
    <n v="45"/>
    <x v="0"/>
    <n v="51055624"/>
    <n v="78.173396502275068"/>
    <s v="PLATINO"/>
    <n v="490"/>
    <d v="2026-02-27T15:42:14"/>
  </r>
  <r>
    <n v="46"/>
    <x v="0"/>
    <n v="51010884"/>
    <n v="87.377671285539051"/>
    <s v="PLATINO"/>
    <n v="79"/>
    <d v="2026-02-27T15:42:14"/>
  </r>
  <r>
    <n v="47"/>
    <x v="0"/>
    <n v="51007051"/>
    <n v="67.22"/>
    <s v="ORO"/>
    <n v="668"/>
    <d v="2026-02-27T15:42:14"/>
  </r>
  <r>
    <n v="48"/>
    <x v="0"/>
    <n v="51013808"/>
    <n v="88.62"/>
    <s v="PLATINO"/>
    <n v="21"/>
    <d v="2026-02-27T15:42:14"/>
  </r>
  <r>
    <n v="49"/>
    <x v="0"/>
    <n v="51035828"/>
    <n v="87.165718198965095"/>
    <s v="PLATINO"/>
    <n v="93"/>
    <d v="2026-02-27T15:42:14"/>
  </r>
  <r>
    <n v="50"/>
    <x v="0"/>
    <n v="51056051"/>
    <n v="89.42"/>
    <s v="PLATINO"/>
    <n v="6"/>
    <d v="2026-02-27T15:42:14"/>
  </r>
  <r>
    <n v="51"/>
    <x v="0"/>
    <n v="51024265"/>
    <n v="84.332416029312213"/>
    <s v="PLATINO"/>
    <n v="226"/>
    <d v="2026-02-27T15:42:14"/>
  </r>
  <r>
    <n v="52"/>
    <x v="0"/>
    <n v="51018494"/>
    <n v="88.8"/>
    <s v="PLATINO"/>
    <n v="18"/>
    <d v="2026-02-27T15:42:14"/>
  </r>
  <r>
    <n v="53"/>
    <x v="0"/>
    <n v="51039882"/>
    <n v="20"/>
    <s v="BRONCE"/>
    <n v="923"/>
    <d v="2026-02-27T15:42:14"/>
  </r>
  <r>
    <n v="54"/>
    <x v="0"/>
    <n v="51024192"/>
    <n v="87.399372232442275"/>
    <s v="PLATINO"/>
    <n v="77"/>
    <d v="2026-02-27T15:42:14"/>
  </r>
  <r>
    <n v="55"/>
    <x v="0"/>
    <n v="51008332"/>
    <n v="82.58"/>
    <s v="PLATINO"/>
    <n v="319"/>
    <d v="2026-02-27T15:42:14"/>
  </r>
  <r>
    <n v="56"/>
    <x v="0"/>
    <n v="51015258"/>
    <n v="62.92132263584913"/>
    <s v="ORO"/>
    <n v="733"/>
    <d v="2026-02-27T15:42:14"/>
  </r>
  <r>
    <n v="57"/>
    <x v="0"/>
    <n v="51033710"/>
    <n v="69.650000000000006"/>
    <s v="ORO"/>
    <n v="649"/>
    <d v="2026-02-27T15:42:14"/>
  </r>
  <r>
    <n v="58"/>
    <x v="0"/>
    <n v="51010329"/>
    <n v="16.54232472602796"/>
    <s v="BRONCE"/>
    <n v="1016"/>
    <d v="2026-02-27T15:42:14"/>
  </r>
  <r>
    <n v="59"/>
    <x v="0"/>
    <n v="51011252"/>
    <n v="19.126588679357059"/>
    <s v="BRONCE"/>
    <n v="995"/>
    <d v="2026-02-27T15:42:14"/>
  </r>
  <r>
    <n v="60"/>
    <x v="0"/>
    <n v="51018648"/>
    <n v="87.72"/>
    <s v="PLATINO"/>
    <n v="61"/>
    <d v="2026-02-27T15:42:14"/>
  </r>
  <r>
    <n v="61"/>
    <x v="0"/>
    <n v="51024524"/>
    <n v="89.16"/>
    <s v="PLATINO"/>
    <n v="11"/>
    <d v="2026-02-27T15:42:14"/>
  </r>
  <r>
    <n v="62"/>
    <x v="0"/>
    <n v="51055772"/>
    <n v="86.827760507371536"/>
    <s v="PLATINO"/>
    <n v="111"/>
    <d v="2026-02-27T15:42:14"/>
  </r>
  <r>
    <n v="63"/>
    <x v="0"/>
    <n v="51031083"/>
    <n v="68.2"/>
    <s v="ORO"/>
    <n v="661"/>
    <d v="2026-02-27T15:42:14"/>
  </r>
  <r>
    <n v="64"/>
    <x v="0"/>
    <n v="51056647"/>
    <n v="64.72"/>
    <s v="ORO"/>
    <n v="707"/>
    <d v="2026-02-27T15:42:14"/>
  </r>
  <r>
    <n v="65"/>
    <x v="0"/>
    <n v="51024214"/>
    <n v="19.96"/>
    <s v="BRONCE"/>
    <n v="980"/>
    <d v="2026-02-27T15:42:14"/>
  </r>
  <r>
    <n v="66"/>
    <x v="0"/>
    <n v="51013425"/>
    <n v="87.86"/>
    <s v="PLATINO"/>
    <n v="53"/>
    <d v="2026-02-27T15:42:14"/>
  </r>
  <r>
    <n v="67"/>
    <x v="0"/>
    <n v="51025334"/>
    <n v="65.077304791829462"/>
    <s v="ORO"/>
    <n v="699"/>
    <d v="2026-02-27T15:42:14"/>
  </r>
  <r>
    <n v="68"/>
    <x v="0"/>
    <n v="51056132"/>
    <n v="86.544575607295684"/>
    <s v="PLATINO"/>
    <n v="120"/>
    <d v="2026-02-27T15:42:14"/>
  </r>
  <r>
    <n v="69"/>
    <x v="0"/>
    <n v="51004531"/>
    <n v="88.48"/>
    <s v="PLATINO"/>
    <n v="25"/>
    <d v="2026-02-27T15:42:14"/>
  </r>
  <r>
    <n v="70"/>
    <x v="0"/>
    <n v="51039033"/>
    <n v="66.794593773894491"/>
    <s v="ORO"/>
    <n v="671"/>
    <d v="2026-02-27T15:42:14"/>
  </r>
  <r>
    <n v="71"/>
    <x v="0"/>
    <n v="51024117"/>
    <n v="87.443179317927715"/>
    <s v="PLATINO"/>
    <n v="75"/>
    <d v="2026-02-27T15:42:14"/>
  </r>
  <r>
    <n v="72"/>
    <x v="0"/>
    <n v="51031768"/>
    <n v="87.28"/>
    <s v="PLATINO"/>
    <n v="86"/>
    <d v="2026-02-27T15:42:14"/>
  </r>
  <r>
    <n v="73"/>
    <x v="0"/>
    <n v="51022637"/>
    <n v="88.98"/>
    <s v="PLATINO"/>
    <n v="13"/>
    <d v="2026-02-27T15:42:14"/>
  </r>
  <r>
    <n v="74"/>
    <x v="0"/>
    <n v="51010124"/>
    <n v="87.069876085634064"/>
    <s v="PLATINO"/>
    <n v="98"/>
    <d v="2026-02-27T15:42:14"/>
  </r>
  <r>
    <n v="75"/>
    <x v="0"/>
    <n v="51012020"/>
    <n v="88.38"/>
    <s v="PLATINO"/>
    <n v="28"/>
    <d v="2026-02-27T15:42:14"/>
  </r>
  <r>
    <n v="76"/>
    <x v="0"/>
    <n v="51029968"/>
    <n v="87.892333750355675"/>
    <s v="PLATINO"/>
    <n v="49"/>
    <d v="2026-02-27T15:42:14"/>
  </r>
  <r>
    <n v="77"/>
    <x v="0"/>
    <n v="51025202"/>
    <n v="76.92131443487412"/>
    <s v="PLATINO"/>
    <n v="547"/>
    <d v="2026-02-27T15:42:14"/>
  </r>
  <r>
    <n v="78"/>
    <x v="0"/>
    <n v="51003667"/>
    <n v="86.48"/>
    <s v="PLATINO"/>
    <n v="124"/>
    <d v="2026-02-27T15:42:14"/>
  </r>
  <r>
    <n v="79"/>
    <x v="0"/>
    <n v="51026691"/>
    <n v="85.591077911310293"/>
    <s v="PLATINO"/>
    <n v="174"/>
    <d v="2026-02-27T15:42:14"/>
  </r>
  <r>
    <n v="80"/>
    <x v="0"/>
    <n v="51023145"/>
    <n v="87.718520785513533"/>
    <s v="PLATINO"/>
    <n v="62"/>
    <d v="2026-02-27T15:42:14"/>
  </r>
  <r>
    <n v="81"/>
    <x v="0"/>
    <n v="51056001"/>
    <n v="84.280243713064721"/>
    <s v="PLATINO"/>
    <n v="231"/>
    <d v="2026-02-27T15:42:14"/>
  </r>
  <r>
    <n v="82"/>
    <x v="0"/>
    <n v="51019652"/>
    <n v="87.740000000000009"/>
    <s v="PLATINO"/>
    <n v="60"/>
    <d v="2026-02-27T15:42:14"/>
  </r>
  <r>
    <n v="83"/>
    <x v="0"/>
    <n v="51011368"/>
    <n v="88.13853749841067"/>
    <s v="PLATINO"/>
    <n v="37"/>
    <d v="2026-02-27T15:42:14"/>
  </r>
  <r>
    <n v="84"/>
    <x v="0"/>
    <n v="51055047"/>
    <n v="87.66"/>
    <s v="PLATINO"/>
    <n v="66"/>
    <d v="2026-02-27T15:42:14"/>
  </r>
  <r>
    <n v="85"/>
    <x v="0"/>
    <n v="51018176"/>
    <n v="72.016978327441961"/>
    <s v="ORO"/>
    <n v="630"/>
    <d v="2026-02-27T15:42:14"/>
  </r>
  <r>
    <n v="86"/>
    <x v="0"/>
    <n v="51015622"/>
    <n v="88.92"/>
    <s v="PLATINO"/>
    <n v="16"/>
    <d v="2026-02-27T15:42:14"/>
  </r>
  <r>
    <n v="87"/>
    <x v="0"/>
    <n v="51054946"/>
    <n v="86.68956973124746"/>
    <s v="PLATINO"/>
    <n v="117"/>
    <d v="2026-02-27T15:42:14"/>
  </r>
  <r>
    <n v="88"/>
    <x v="0"/>
    <n v="51016220"/>
    <n v="81.835331273161046"/>
    <s v="PLATINO"/>
    <n v="352"/>
    <d v="2026-02-27T15:42:14"/>
  </r>
  <r>
    <n v="89"/>
    <x v="0"/>
    <n v="51025385"/>
    <n v="78.080009228483149"/>
    <s v="PLATINO"/>
    <n v="495"/>
    <d v="2026-02-27T15:42:14"/>
  </r>
  <r>
    <n v="90"/>
    <x v="0"/>
    <n v="51057163"/>
    <n v="88.745609522651193"/>
    <s v="PLATINO"/>
    <n v="20"/>
    <d v="2026-02-27T15:42:14"/>
  </r>
  <r>
    <n v="91"/>
    <x v="0"/>
    <n v="51055985"/>
    <n v="67.245878436913159"/>
    <s v="ORO"/>
    <n v="666"/>
    <d v="2026-02-27T15:42:14"/>
  </r>
  <r>
    <n v="92"/>
    <x v="0"/>
    <n v="51032993"/>
    <n v="88.118527700415157"/>
    <s v="PLATINO"/>
    <n v="39"/>
    <d v="2026-02-27T15:42:14"/>
  </r>
  <r>
    <n v="93"/>
    <x v="0"/>
    <n v="51015088"/>
    <n v="87.864789303808195"/>
    <s v="PLATINO"/>
    <n v="52"/>
    <d v="2026-02-27T15:42:14"/>
  </r>
  <r>
    <n v="94"/>
    <x v="0"/>
    <n v="51035658"/>
    <n v="87.08"/>
    <s v="PLATINO"/>
    <n v="96"/>
    <d v="2026-02-27T15:42:14"/>
  </r>
  <r>
    <n v="95"/>
    <x v="0"/>
    <n v="51016726"/>
    <n v="87.78"/>
    <s v="PLATINO"/>
    <n v="58"/>
    <d v="2026-02-27T15:42:14"/>
  </r>
  <r>
    <n v="96"/>
    <x v="0"/>
    <n v="51019342"/>
    <n v="17.783130878417751"/>
    <s v="BRONCE"/>
    <n v="1007"/>
    <d v="2026-02-27T15:42:14"/>
  </r>
  <r>
    <n v="97"/>
    <x v="0"/>
    <n v="51014162"/>
    <n v="86.366470754180114"/>
    <s v="PLATINO"/>
    <n v="135"/>
    <d v="2026-02-27T15:42:14"/>
  </r>
  <r>
    <n v="98"/>
    <x v="0"/>
    <n v="51022360"/>
    <n v="81.460000000000008"/>
    <s v="PLATINO"/>
    <n v="372"/>
    <d v="2026-02-27T15:42:14"/>
  </r>
  <r>
    <n v="99"/>
    <x v="0"/>
    <n v="51040848"/>
    <n v="68.302299633907566"/>
    <s v="ORO"/>
    <n v="660"/>
    <d v="2026-02-27T15:42:14"/>
  </r>
  <r>
    <n v="100"/>
    <x v="0"/>
    <n v="51022696"/>
    <n v="86.857297941237505"/>
    <s v="PLATINO"/>
    <n v="108"/>
    <d v="2026-02-27T15:42:14"/>
  </r>
  <r>
    <n v="101"/>
    <x v="0"/>
    <n v="51056426"/>
    <n v="88.86"/>
    <s v="PLATINO"/>
    <n v="17"/>
    <d v="2026-02-27T15:42:14"/>
  </r>
  <r>
    <n v="102"/>
    <x v="0"/>
    <n v="51011350"/>
    <n v="87.297966910782208"/>
    <s v="PLATINO"/>
    <n v="85"/>
    <d v="2026-02-27T15:42:14"/>
  </r>
  <r>
    <n v="103"/>
    <x v="0"/>
    <n v="51024087"/>
    <n v="87.925652702857164"/>
    <s v="PLATINO"/>
    <n v="47"/>
    <d v="2026-02-27T15:42:14"/>
  </r>
  <r>
    <n v="104"/>
    <x v="0"/>
    <n v="51005171"/>
    <n v="87.34"/>
    <s v="PLATINO"/>
    <n v="82"/>
    <d v="2026-02-27T15:42:14"/>
  </r>
  <r>
    <n v="105"/>
    <x v="0"/>
    <n v="51005864"/>
    <n v="48.405050355363556"/>
    <s v="PLATA"/>
    <n v="862"/>
    <d v="2026-02-27T15:42:14"/>
  </r>
  <r>
    <n v="106"/>
    <x v="0"/>
    <n v="51040317"/>
    <n v="87.569044304188765"/>
    <s v="PLATINO"/>
    <n v="69"/>
    <d v="2026-02-27T15:42:14"/>
  </r>
  <r>
    <n v="107"/>
    <x v="0"/>
    <n v="51003926"/>
    <n v="81.520026162956285"/>
    <s v="PLATINO"/>
    <n v="366"/>
    <d v="2026-02-27T15:42:14"/>
  </r>
  <r>
    <n v="108"/>
    <x v="0"/>
    <n v="51019911"/>
    <n v="86.97119654755177"/>
    <s v="PLATINO"/>
    <n v="104"/>
    <d v="2026-02-27T15:42:14"/>
  </r>
  <r>
    <n v="109"/>
    <x v="0"/>
    <n v="51022076"/>
    <n v="85.82"/>
    <s v="PLATINO"/>
    <n v="163"/>
    <d v="2026-02-27T15:42:14"/>
  </r>
  <r>
    <n v="110"/>
    <x v="0"/>
    <n v="51055217"/>
    <n v="65.180000000000007"/>
    <s v="ORO"/>
    <n v="696"/>
    <d v="2026-02-27T15:42:14"/>
  </r>
  <r>
    <n v="111"/>
    <x v="0"/>
    <n v="51036824"/>
    <n v="65.585998002636472"/>
    <s v="ORO"/>
    <n v="690"/>
    <d v="2026-02-27T15:42:14"/>
  </r>
  <r>
    <n v="112"/>
    <x v="0"/>
    <n v="51024940"/>
    <n v="87.5"/>
    <s v="PLATINO"/>
    <n v="72"/>
    <d v="2026-02-27T15:42:14"/>
  </r>
  <r>
    <n v="113"/>
    <x v="0"/>
    <n v="51033531"/>
    <n v="88.14"/>
    <s v="PLATINO"/>
    <n v="36"/>
    <d v="2026-02-27T15:42:14"/>
  </r>
  <r>
    <n v="114"/>
    <x v="0"/>
    <n v="51032454"/>
    <n v="64.234577942025879"/>
    <s v="ORO"/>
    <n v="718"/>
    <d v="2026-02-27T15:42:14"/>
  </r>
  <r>
    <n v="115"/>
    <x v="0"/>
    <n v="51014260"/>
    <n v="87.486577685443137"/>
    <s v="PLATINO"/>
    <n v="74"/>
    <d v="2026-02-27T15:42:14"/>
  </r>
  <r>
    <n v="116"/>
    <x v="0"/>
    <n v="51011414"/>
    <n v="86.279218472263722"/>
    <s v="PLATINO"/>
    <n v="141"/>
    <d v="2026-02-27T15:42:14"/>
  </r>
  <r>
    <n v="117"/>
    <x v="0"/>
    <n v="51018559"/>
    <n v="20"/>
    <s v="BRONCE"/>
    <n v="923"/>
    <d v="2026-02-27T15:42:14"/>
  </r>
  <r>
    <n v="118"/>
    <x v="0"/>
    <n v="51014308"/>
    <n v="81.969967125237972"/>
    <s v="PLATINO"/>
    <n v="346"/>
    <d v="2026-02-27T15:42:14"/>
  </r>
  <r>
    <n v="119"/>
    <x v="0"/>
    <n v="51056949"/>
    <n v="86.98"/>
    <s v="PLATINO"/>
    <n v="103"/>
    <d v="2026-02-27T15:42:14"/>
  </r>
  <r>
    <n v="120"/>
    <x v="0"/>
    <n v="51022173"/>
    <n v="86.204999999999998"/>
    <s v="PLATINO"/>
    <n v="146"/>
    <d v="2026-02-27T15:42:14"/>
  </r>
  <r>
    <n v="121"/>
    <x v="0"/>
    <n v="51023765"/>
    <n v="87.812168166674368"/>
    <s v="PLATINO"/>
    <n v="56"/>
    <d v="2026-02-27T15:42:14"/>
  </r>
  <r>
    <n v="122"/>
    <x v="0"/>
    <n v="51038908"/>
    <n v="87.900385639795957"/>
    <s v="PLATINO"/>
    <n v="48"/>
    <d v="2026-02-27T15:42:14"/>
  </r>
  <r>
    <n v="123"/>
    <x v="0"/>
    <n v="51013158"/>
    <n v="85.66276820051273"/>
    <s v="PLATINO"/>
    <n v="171"/>
    <d v="2026-02-27T15:42:14"/>
  </r>
  <r>
    <n v="124"/>
    <x v="0"/>
    <n v="51024176"/>
    <n v="58.114916937824248"/>
    <s v="ORO"/>
    <n v="829"/>
    <d v="2026-02-27T15:42:14"/>
  </r>
  <r>
    <n v="125"/>
    <x v="0"/>
    <n v="51000196"/>
    <n v="63.78"/>
    <s v="ORO"/>
    <n v="723"/>
    <d v="2026-02-27T15:42:14"/>
  </r>
  <r>
    <n v="126"/>
    <x v="0"/>
    <n v="51024672"/>
    <n v="75.657223317376577"/>
    <s v="PLATINO"/>
    <n v="580"/>
    <d v="2026-02-27T15:42:14"/>
  </r>
  <r>
    <n v="127"/>
    <x v="0"/>
    <n v="51021657"/>
    <n v="19.96"/>
    <s v="BRONCE"/>
    <n v="980"/>
    <d v="2026-02-27T15:42:14"/>
  </r>
  <r>
    <n v="128"/>
    <x v="0"/>
    <n v="51042263"/>
    <n v="86.843573857988744"/>
    <s v="PLATINO"/>
    <n v="109"/>
    <d v="2026-02-27T15:42:14"/>
  </r>
  <r>
    <n v="129"/>
    <x v="0"/>
    <n v="51055365"/>
    <n v="88.22"/>
    <s v="PLATINO"/>
    <n v="31"/>
    <d v="2026-02-27T15:42:14"/>
  </r>
  <r>
    <n v="130"/>
    <x v="0"/>
    <n v="51031385"/>
    <n v="86.92"/>
    <s v="PLATINO"/>
    <n v="106"/>
    <d v="2026-02-27T15:42:14"/>
  </r>
  <r>
    <n v="131"/>
    <x v="0"/>
    <n v="51041577"/>
    <n v="81.901169133971763"/>
    <s v="PLATINO"/>
    <n v="349"/>
    <d v="2026-02-27T15:42:14"/>
  </r>
  <r>
    <n v="132"/>
    <x v="0"/>
    <n v="51018877"/>
    <n v="83.893237580027403"/>
    <s v="PLATINO"/>
    <n v="253"/>
    <d v="2026-02-27T15:42:14"/>
  </r>
  <r>
    <n v="133"/>
    <x v="0"/>
    <n v="51030303"/>
    <n v="18.142002271002831"/>
    <s v="BRONCE"/>
    <n v="1003"/>
    <d v="2026-02-27T15:42:14"/>
  </r>
  <r>
    <n v="134"/>
    <x v="0"/>
    <n v="51030613"/>
    <n v="64.4131203721779"/>
    <s v="ORO"/>
    <n v="713"/>
    <d v="2026-02-27T15:42:14"/>
  </r>
  <r>
    <n v="135"/>
    <x v="0"/>
    <n v="51033761"/>
    <n v="86.45142911895303"/>
    <s v="PLATINO"/>
    <n v="129"/>
    <d v="2026-02-27T15:42:14"/>
  </r>
  <r>
    <n v="136"/>
    <x v="0"/>
    <n v="51023170"/>
    <n v="88.767580603317157"/>
    <s v="PLATINO"/>
    <n v="19"/>
    <d v="2026-02-27T15:42:14"/>
  </r>
  <r>
    <n v="137"/>
    <x v="0"/>
    <n v="51030079"/>
    <n v="65.575440765475605"/>
    <s v="ORO"/>
    <n v="691"/>
    <d v="2026-02-27T15:42:14"/>
  </r>
  <r>
    <n v="138"/>
    <x v="0"/>
    <n v="51034317"/>
    <n v="87.58"/>
    <s v="PLATINO"/>
    <n v="68"/>
    <d v="2026-02-27T15:42:14"/>
  </r>
  <r>
    <n v="139"/>
    <x v="0"/>
    <n v="51012666"/>
    <n v="85.73335213112999"/>
    <s v="PLATINO"/>
    <n v="167"/>
    <d v="2026-02-27T15:42:14"/>
  </r>
  <r>
    <n v="140"/>
    <x v="0"/>
    <n v="51036247"/>
    <n v="84.892057288310653"/>
    <s v="PLATINO"/>
    <n v="205"/>
    <d v="2026-02-27T15:42:14"/>
  </r>
  <r>
    <n v="141"/>
    <x v="0"/>
    <n v="51011325"/>
    <n v="19.989999999999998"/>
    <s v="BRONCE"/>
    <n v="971"/>
    <d v="2026-02-27T15:42:14"/>
  </r>
  <r>
    <n v="142"/>
    <x v="0"/>
    <n v="51004469"/>
    <n v="84.559872766456678"/>
    <s v="PLATINO"/>
    <n v="215"/>
    <d v="2026-02-27T15:42:14"/>
  </r>
  <r>
    <n v="143"/>
    <x v="0"/>
    <n v="51020251"/>
    <n v="88.050750501427245"/>
    <s v="PLATINO"/>
    <n v="42"/>
    <d v="2026-02-27T15:42:14"/>
  </r>
  <r>
    <n v="144"/>
    <x v="0"/>
    <n v="51016793"/>
    <n v="80.008804592776571"/>
    <s v="PLATINO"/>
    <n v="437"/>
    <d v="2026-02-27T15:42:14"/>
  </r>
  <r>
    <n v="145"/>
    <x v="0"/>
    <n v="51015401"/>
    <n v="87.883559652683857"/>
    <s v="PLATINO"/>
    <n v="50"/>
    <d v="2026-02-27T15:42:14"/>
  </r>
  <r>
    <n v="146"/>
    <x v="0"/>
    <n v="51056281"/>
    <n v="87.18"/>
    <s v="PLATINO"/>
    <n v="91"/>
    <d v="2026-02-27T15:42:14"/>
  </r>
  <r>
    <n v="147"/>
    <x v="0"/>
    <n v="51055012"/>
    <n v="86.539999999999992"/>
    <s v="PLATINO"/>
    <n v="121"/>
    <d v="2026-02-27T15:42:14"/>
  </r>
  <r>
    <n v="148"/>
    <x v="0"/>
    <n v="51006615"/>
    <n v="87.87396448345433"/>
    <s v="PLATINO"/>
    <n v="51"/>
    <d v="2026-02-27T15:42:14"/>
  </r>
  <r>
    <n v="149"/>
    <x v="0"/>
    <n v="51011724"/>
    <n v="88.12"/>
    <s v="PLATINO"/>
    <n v="38"/>
    <d v="2026-02-27T15:42:14"/>
  </r>
  <r>
    <n v="150"/>
    <x v="0"/>
    <n v="51010469"/>
    <n v="85.917146169620381"/>
    <s v="PLATINO"/>
    <n v="159"/>
    <d v="2026-02-27T15:42:14"/>
  </r>
  <r>
    <n v="151"/>
    <x v="0"/>
    <n v="51056191"/>
    <n v="78.086369866193678"/>
    <s v="PLATINO"/>
    <n v="493"/>
    <d v="2026-02-27T15:42:14"/>
  </r>
  <r>
    <n v="152"/>
    <x v="0"/>
    <n v="51023781"/>
    <n v="65.112046693715371"/>
    <s v="ORO"/>
    <n v="697"/>
    <d v="2026-02-27T15:42:14"/>
  </r>
  <r>
    <n v="153"/>
    <x v="0"/>
    <n v="51056221"/>
    <n v="86.267297121427148"/>
    <s v="PLATINO"/>
    <n v="144"/>
    <d v="2026-02-27T15:42:14"/>
  </r>
  <r>
    <n v="154"/>
    <x v="0"/>
    <n v="51018443"/>
    <n v="88.04"/>
    <s v="PLATINO"/>
    <n v="43"/>
    <d v="2026-02-27T15:42:14"/>
  </r>
  <r>
    <n v="155"/>
    <x v="0"/>
    <n v="51023757"/>
    <n v="86.353500134436501"/>
    <s v="PLATINO"/>
    <n v="137"/>
    <d v="2026-02-27T15:42:14"/>
  </r>
  <r>
    <n v="156"/>
    <x v="0"/>
    <n v="51055357"/>
    <n v="84.34"/>
    <s v="PLATINO"/>
    <n v="225"/>
    <d v="2026-02-27T15:42:14"/>
  </r>
  <r>
    <n v="157"/>
    <x v="0"/>
    <n v="51021576"/>
    <n v="85.011757915175366"/>
    <s v="PLATINO"/>
    <n v="199"/>
    <d v="2026-02-27T15:42:14"/>
  </r>
  <r>
    <n v="158"/>
    <x v="0"/>
    <n v="51018591"/>
    <n v="86.008652070174236"/>
    <s v="PLATINO"/>
    <n v="153"/>
    <d v="2026-02-27T15:42:14"/>
  </r>
  <r>
    <n v="159"/>
    <x v="0"/>
    <n v="51023471"/>
    <n v="85.225449122147424"/>
    <s v="PLATINO"/>
    <n v="190"/>
    <d v="2026-02-27T15:42:14"/>
  </r>
  <r>
    <n v="160"/>
    <x v="0"/>
    <n v="51031393"/>
    <n v="66.72"/>
    <s v="ORO"/>
    <n v="672"/>
    <d v="2026-02-27T15:42:14"/>
  </r>
  <r>
    <n v="161"/>
    <x v="0"/>
    <n v="51025971"/>
    <n v="19.998000000000001"/>
    <s v="BRONCE"/>
    <n v="951"/>
    <d v="2026-02-27T15:42:14"/>
  </r>
  <r>
    <n v="162"/>
    <x v="0"/>
    <n v="51020880"/>
    <n v="87.06"/>
    <s v="PLATINO"/>
    <n v="99"/>
    <d v="2026-02-27T15:42:14"/>
  </r>
  <r>
    <n v="163"/>
    <x v="0"/>
    <n v="51023056"/>
    <n v="86.76"/>
    <s v="PLATINO"/>
    <n v="114"/>
    <d v="2026-02-27T15:42:14"/>
  </r>
  <r>
    <n v="164"/>
    <x v="0"/>
    <n v="51022688"/>
    <n v="84.490436346846735"/>
    <s v="PLATINO"/>
    <n v="217"/>
    <d v="2026-02-27T15:42:14"/>
  </r>
  <r>
    <n v="165"/>
    <x v="0"/>
    <n v="51012747"/>
    <n v="82.781934091516533"/>
    <s v="PLATINO"/>
    <n v="305"/>
    <d v="2026-02-27T15:42:14"/>
  </r>
  <r>
    <n v="166"/>
    <x v="0"/>
    <n v="51032900"/>
    <n v="68.189552208288021"/>
    <s v="ORO"/>
    <n v="662"/>
    <d v="2026-02-27T15:42:14"/>
  </r>
  <r>
    <n v="167"/>
    <x v="0"/>
    <n v="51056434"/>
    <n v="87.141575666606258"/>
    <s v="PLATINO"/>
    <n v="95"/>
    <d v="2026-02-27T15:42:14"/>
  </r>
  <r>
    <n v="168"/>
    <x v="0"/>
    <n v="51019261"/>
    <n v="63.574500865128861"/>
    <s v="ORO"/>
    <n v="724"/>
    <d v="2026-02-27T15:42:14"/>
  </r>
  <r>
    <n v="169"/>
    <x v="0"/>
    <n v="51018486"/>
    <n v="85.460000000000008"/>
    <s v="PLATINO"/>
    <n v="185"/>
    <d v="2026-02-27T15:42:14"/>
  </r>
  <r>
    <n v="170"/>
    <x v="0"/>
    <n v="51005732"/>
    <n v="75.917985333880353"/>
    <s v="PLATINO"/>
    <n v="572"/>
    <d v="2026-02-27T15:42:14"/>
  </r>
  <r>
    <n v="171"/>
    <x v="0"/>
    <n v="51039785"/>
    <n v="84.021473001457053"/>
    <s v="PLATINO"/>
    <n v="245"/>
    <d v="2026-02-27T15:42:14"/>
  </r>
  <r>
    <n v="172"/>
    <x v="0"/>
    <n v="51025865"/>
    <n v="88.075638212283792"/>
    <s v="PLATINO"/>
    <n v="41"/>
    <d v="2026-02-27T15:42:14"/>
  </r>
  <r>
    <n v="173"/>
    <x v="0"/>
    <n v="51015657"/>
    <n v="65.960000000000008"/>
    <s v="ORO"/>
    <n v="682"/>
    <d v="2026-02-27T15:42:14"/>
  </r>
  <r>
    <n v="174"/>
    <x v="0"/>
    <n v="51001168"/>
    <n v="69.813365641475997"/>
    <s v="ORO"/>
    <n v="646"/>
    <d v="2026-02-27T15:42:14"/>
  </r>
  <r>
    <n v="175"/>
    <x v="0"/>
    <n v="51021380"/>
    <n v="78.084515032471671"/>
    <s v="PLATINO"/>
    <n v="494"/>
    <d v="2026-02-27T15:42:14"/>
  </r>
  <r>
    <n v="176"/>
    <x v="0"/>
    <n v="51011970"/>
    <n v="83.149492424809665"/>
    <s v="PLATINO"/>
    <n v="289"/>
    <d v="2026-02-27T15:42:14"/>
  </r>
  <r>
    <n v="177"/>
    <x v="0"/>
    <n v="51036697"/>
    <n v="33.858618343641638"/>
    <s v="PLATA"/>
    <n v="903"/>
    <d v="2026-02-27T15:42:14"/>
  </r>
  <r>
    <n v="178"/>
    <x v="0"/>
    <n v="51009061"/>
    <n v="56.187527051832127"/>
    <s v="ORO"/>
    <n v="836"/>
    <d v="2026-02-27T15:42:14"/>
  </r>
  <r>
    <n v="179"/>
    <x v="0"/>
    <n v="51013824"/>
    <n v="87"/>
    <s v="PLATINO"/>
    <n v="102"/>
    <d v="2026-02-27T15:42:14"/>
  </r>
  <r>
    <n v="180"/>
    <x v="0"/>
    <n v="51009240"/>
    <n v="63.08642679455167"/>
    <s v="ORO"/>
    <n v="730"/>
    <d v="2026-02-27T15:42:14"/>
  </r>
  <r>
    <n v="181"/>
    <x v="0"/>
    <n v="51001061"/>
    <n v="61.96283290663834"/>
    <s v="ORO"/>
    <n v="757"/>
    <d v="2026-02-27T15:42:14"/>
  </r>
  <r>
    <n v="182"/>
    <x v="0"/>
    <n v="51018621"/>
    <n v="19.796824283631921"/>
    <s v="BRONCE"/>
    <n v="988"/>
    <d v="2026-02-27T15:42:14"/>
  </r>
  <r>
    <n v="183"/>
    <x v="0"/>
    <n v="51011031"/>
    <n v="88.320000000000007"/>
    <s v="PLATINO"/>
    <n v="29"/>
    <d v="2026-02-27T15:42:14"/>
  </r>
  <r>
    <n v="184"/>
    <x v="0"/>
    <n v="51013239"/>
    <n v="63.1"/>
    <s v="ORO"/>
    <n v="729"/>
    <d v="2026-02-27T15:42:14"/>
  </r>
  <r>
    <n v="185"/>
    <x v="0"/>
    <n v="51030281"/>
    <n v="84.311793264736821"/>
    <s v="PLATINO"/>
    <n v="228"/>
    <d v="2026-02-27T15:42:14"/>
  </r>
  <r>
    <n v="186"/>
    <x v="0"/>
    <n v="51055829"/>
    <n v="40.45044397749399"/>
    <s v="PLATA"/>
    <n v="882"/>
    <d v="2026-02-27T15:42:14"/>
  </r>
  <r>
    <n v="187"/>
    <x v="0"/>
    <n v="51023919"/>
    <n v="73.299468679993453"/>
    <s v="ORO"/>
    <n v="608"/>
    <d v="2026-02-27T15:42:14"/>
  </r>
  <r>
    <n v="188"/>
    <x v="0"/>
    <n v="51031610"/>
    <n v="86.718254987460142"/>
    <s v="PLATINO"/>
    <n v="116"/>
    <d v="2026-02-27T15:42:14"/>
  </r>
  <r>
    <n v="189"/>
    <x v="0"/>
    <n v="51024141"/>
    <n v="88.44"/>
    <s v="PLATINO"/>
    <n v="26"/>
    <d v="2026-02-27T15:42:14"/>
  </r>
  <r>
    <n v="190"/>
    <x v="0"/>
    <n v="51023137"/>
    <n v="85.82"/>
    <s v="PLATINO"/>
    <n v="163"/>
    <d v="2026-02-27T15:42:14"/>
  </r>
  <r>
    <n v="191"/>
    <x v="0"/>
    <n v="51026578"/>
    <n v="82.263549819377999"/>
    <s v="PLATINO"/>
    <n v="335"/>
    <d v="2026-02-27T15:42:14"/>
  </r>
  <r>
    <n v="192"/>
    <x v="0"/>
    <n v="51017986"/>
    <n v="86.32"/>
    <s v="PLATINO"/>
    <n v="139"/>
    <d v="2026-02-27T15:42:14"/>
  </r>
  <r>
    <n v="193"/>
    <x v="0"/>
    <n v="51055373"/>
    <n v="88.146334949204132"/>
    <s v="PLATINO"/>
    <n v="35"/>
    <d v="2026-02-27T15:42:14"/>
  </r>
  <r>
    <n v="194"/>
    <x v="0"/>
    <n v="51013794"/>
    <n v="64.861888304046104"/>
    <s v="ORO"/>
    <n v="704"/>
    <d v="2026-02-27T15:42:14"/>
  </r>
  <r>
    <n v="195"/>
    <x v="0"/>
    <n v="51033141"/>
    <n v="86.125625980564052"/>
    <s v="PLATINO"/>
    <n v="147"/>
    <d v="2026-02-27T15:42:14"/>
  </r>
  <r>
    <n v="196"/>
    <x v="0"/>
    <n v="51056612"/>
    <n v="35.703614607219393"/>
    <s v="PLATA"/>
    <n v="897"/>
    <d v="2026-02-27T15:42:14"/>
  </r>
  <r>
    <n v="197"/>
    <x v="0"/>
    <n v="51032071"/>
    <n v="87.08"/>
    <s v="PLATINO"/>
    <n v="96"/>
    <d v="2026-02-27T15:42:14"/>
  </r>
  <r>
    <n v="198"/>
    <x v="0"/>
    <n v="51031121"/>
    <n v="83.307245615520799"/>
    <s v="PLATINO"/>
    <n v="277"/>
    <d v="2026-02-27T15:42:14"/>
  </r>
  <r>
    <n v="199"/>
    <x v="0"/>
    <n v="51056981"/>
    <n v="58.112590917764841"/>
    <s v="ORO"/>
    <n v="830"/>
    <d v="2026-02-27T15:42:14"/>
  </r>
  <r>
    <n v="200"/>
    <x v="0"/>
    <n v="51022424"/>
    <n v="9.9980000000000011"/>
    <s v="BRONCE"/>
    <n v="1178"/>
    <d v="2026-02-27T15:42:14"/>
  </r>
  <r>
    <n v="201"/>
    <x v="0"/>
    <n v="51025920"/>
    <n v="86.458384380167104"/>
    <s v="PLATINO"/>
    <n v="128"/>
    <d v="2026-02-27T15:42:14"/>
  </r>
  <r>
    <n v="202"/>
    <x v="0"/>
    <n v="51056388"/>
    <n v="87.694148312036134"/>
    <s v="PLATINO"/>
    <n v="64"/>
    <d v="2026-02-27T15:42:14"/>
  </r>
  <r>
    <n v="203"/>
    <x v="0"/>
    <n v="51033485"/>
    <n v="63.833241100346378"/>
    <s v="ORO"/>
    <n v="722"/>
    <d v="2026-02-27T15:42:14"/>
  </r>
  <r>
    <n v="204"/>
    <x v="0"/>
    <n v="51041615"/>
    <n v="62.693599543182771"/>
    <s v="ORO"/>
    <n v="739"/>
    <d v="2026-02-27T15:42:14"/>
  </r>
  <r>
    <n v="205"/>
    <x v="0"/>
    <n v="51017641"/>
    <n v="86.458769805636337"/>
    <s v="PLATINO"/>
    <n v="127"/>
    <d v="2026-02-27T15:42:14"/>
  </r>
  <r>
    <n v="206"/>
    <x v="0"/>
    <n v="51005741"/>
    <n v="83.94"/>
    <s v="PLATINO"/>
    <n v="250"/>
    <d v="2026-02-27T15:42:14"/>
  </r>
  <r>
    <n v="207"/>
    <x v="0"/>
    <n v="51011996"/>
    <n v="83.740000000000009"/>
    <s v="PLATINO"/>
    <n v="263"/>
    <d v="2026-02-27T15:42:14"/>
  </r>
  <r>
    <n v="208"/>
    <x v="0"/>
    <n v="51025440"/>
    <n v="83.259999999999991"/>
    <s v="PLATINO"/>
    <n v="281"/>
    <d v="2026-02-27T15:42:14"/>
  </r>
  <r>
    <n v="209"/>
    <x v="0"/>
    <n v="51055993"/>
    <n v="64.960000000000008"/>
    <s v="ORO"/>
    <n v="702"/>
    <d v="2026-02-27T15:42:14"/>
  </r>
  <r>
    <n v="210"/>
    <x v="0"/>
    <n v="51021231"/>
    <n v="86.352240338156179"/>
    <s v="PLATINO"/>
    <n v="138"/>
    <d v="2026-02-27T15:42:14"/>
  </r>
  <r>
    <n v="211"/>
    <x v="0"/>
    <n v="51024125"/>
    <n v="49.46069153909928"/>
    <s v="PLATA"/>
    <n v="860"/>
    <d v="2026-02-27T15:42:14"/>
  </r>
  <r>
    <n v="212"/>
    <x v="0"/>
    <n v="51014359"/>
    <n v="20"/>
    <s v="BRONCE"/>
    <n v="923"/>
    <d v="2026-02-27T15:42:14"/>
  </r>
  <r>
    <n v="213"/>
    <x v="0"/>
    <n v="51024681"/>
    <n v="88.1"/>
    <s v="PLATINO"/>
    <n v="40"/>
    <d v="2026-02-27T15:42:14"/>
  </r>
  <r>
    <n v="214"/>
    <x v="0"/>
    <n v="51024001"/>
    <n v="87.7"/>
    <s v="PLATINO"/>
    <n v="63"/>
    <d v="2026-02-27T15:42:14"/>
  </r>
  <r>
    <n v="215"/>
    <x v="0"/>
    <n v="51023480"/>
    <n v="39.340000000000003"/>
    <s v="PLATA"/>
    <n v="887"/>
    <d v="2026-02-27T15:42:14"/>
  </r>
  <r>
    <n v="216"/>
    <x v="0"/>
    <n v="51020405"/>
    <n v="66.650000000000006"/>
    <s v="ORO"/>
    <n v="674"/>
    <d v="2026-02-27T15:42:14"/>
  </r>
  <r>
    <n v="217"/>
    <x v="0"/>
    <n v="51044070"/>
    <n v="66.693006363940867"/>
    <s v="ORO"/>
    <n v="673"/>
    <d v="2026-02-27T15:42:14"/>
  </r>
  <r>
    <n v="218"/>
    <x v="0"/>
    <n v="51032110"/>
    <n v="83.319486658230105"/>
    <s v="PLATINO"/>
    <n v="276"/>
    <d v="2026-02-27T15:42:14"/>
  </r>
  <r>
    <n v="219"/>
    <x v="0"/>
    <n v="51036123"/>
    <n v="64.740000000000009"/>
    <s v="ORO"/>
    <n v="706"/>
    <d v="2026-02-27T15:42:14"/>
  </r>
  <r>
    <n v="220"/>
    <x v="0"/>
    <n v="51056078"/>
    <n v="69.168987126021534"/>
    <s v="ORO"/>
    <n v="653"/>
    <d v="2026-02-27T15:42:14"/>
  </r>
  <r>
    <n v="221"/>
    <x v="0"/>
    <n v="51012445"/>
    <n v="66.118188842943937"/>
    <s v="ORO"/>
    <n v="679"/>
    <d v="2026-02-27T15:42:14"/>
  </r>
  <r>
    <n v="222"/>
    <x v="0"/>
    <n v="51019661"/>
    <n v="85.72"/>
    <s v="PLATINO"/>
    <n v="169"/>
    <d v="2026-02-27T15:42:14"/>
  </r>
  <r>
    <n v="223"/>
    <x v="0"/>
    <n v="51021894"/>
    <n v="15.81971716314094"/>
    <s v="BRONCE"/>
    <n v="1021"/>
    <d v="2026-02-27T15:42:14"/>
  </r>
  <r>
    <n v="224"/>
    <x v="0"/>
    <n v="51018575"/>
    <n v="87.376245061777666"/>
    <s v="PLATINO"/>
    <n v="80"/>
    <d v="2026-02-27T15:42:14"/>
  </r>
  <r>
    <n v="225"/>
    <x v="0"/>
    <n v="51031652"/>
    <n v="87.18"/>
    <s v="PLATINO"/>
    <n v="91"/>
    <d v="2026-02-27T15:42:14"/>
  </r>
  <r>
    <n v="226"/>
    <x v="0"/>
    <n v="51040627"/>
    <n v="78.536925192659481"/>
    <s v="PLATINO"/>
    <n v="478"/>
    <d v="2026-02-27T15:42:14"/>
  </r>
  <r>
    <n v="227"/>
    <x v="0"/>
    <n v="51031253"/>
    <n v="41.016992202236843"/>
    <s v="PLATA"/>
    <n v="881"/>
    <d v="2026-02-27T15:42:14"/>
  </r>
  <r>
    <n v="228"/>
    <x v="0"/>
    <n v="51034350"/>
    <n v="85.479931712423806"/>
    <s v="PLATINO"/>
    <n v="184"/>
    <d v="2026-02-27T15:42:14"/>
  </r>
  <r>
    <n v="229"/>
    <x v="0"/>
    <n v="51022220"/>
    <n v="64.822235852482592"/>
    <s v="ORO"/>
    <n v="705"/>
    <d v="2026-02-27T15:42:14"/>
  </r>
  <r>
    <n v="230"/>
    <x v="0"/>
    <n v="51019512"/>
    <n v="84.47999999999999"/>
    <s v="PLATINO"/>
    <n v="219"/>
    <d v="2026-02-27T15:42:14"/>
  </r>
  <r>
    <n v="231"/>
    <x v="0"/>
    <n v="51014391"/>
    <n v="74.215232025226271"/>
    <s v="ORO"/>
    <n v="596"/>
    <d v="2026-02-27T15:42:14"/>
  </r>
  <r>
    <n v="232"/>
    <x v="0"/>
    <n v="51042689"/>
    <n v="65.099999999999994"/>
    <s v="ORO"/>
    <n v="698"/>
    <d v="2026-02-27T15:42:14"/>
  </r>
  <r>
    <n v="233"/>
    <x v="0"/>
    <n v="51013867"/>
    <n v="89.392281018672975"/>
    <s v="PLATINO"/>
    <n v="7"/>
    <d v="2026-02-27T15:42:14"/>
  </r>
  <r>
    <n v="234"/>
    <x v="0"/>
    <n v="51021258"/>
    <n v="84.14"/>
    <s v="PLATINO"/>
    <n v="241"/>
    <d v="2026-02-27T15:42:14"/>
  </r>
  <r>
    <n v="235"/>
    <x v="0"/>
    <n v="51024591"/>
    <n v="86.388842068032133"/>
    <s v="PLATINO"/>
    <n v="134"/>
    <d v="2026-02-27T15:42:14"/>
  </r>
  <r>
    <n v="236"/>
    <x v="0"/>
    <n v="51021665"/>
    <n v="85.959412328008966"/>
    <s v="PLATINO"/>
    <n v="155"/>
    <d v="2026-02-27T15:42:14"/>
  </r>
  <r>
    <n v="237"/>
    <x v="0"/>
    <n v="51030273"/>
    <n v="84.326625131313932"/>
    <s v="PLATINO"/>
    <n v="227"/>
    <d v="2026-02-27T15:42:14"/>
  </r>
  <r>
    <n v="238"/>
    <x v="0"/>
    <n v="51024559"/>
    <n v="64.253901903099916"/>
    <s v="ORO"/>
    <n v="716"/>
    <d v="2026-02-27T15:42:14"/>
  </r>
  <r>
    <n v="239"/>
    <x v="0"/>
    <n v="51007565"/>
    <n v="86.65596422836839"/>
    <s v="PLATINO"/>
    <n v="118"/>
    <d v="2026-02-27T15:42:14"/>
  </r>
  <r>
    <n v="240"/>
    <x v="0"/>
    <n v="51032136"/>
    <n v="62.285426942248279"/>
    <s v="ORO"/>
    <n v="748"/>
    <d v="2026-02-27T15:42:14"/>
  </r>
  <r>
    <n v="241"/>
    <x v="0"/>
    <n v="51057066"/>
    <n v="65.7350126212649"/>
    <s v="ORO"/>
    <n v="685"/>
    <d v="2026-02-27T15:42:14"/>
  </r>
  <r>
    <n v="242"/>
    <x v="0"/>
    <n v="51021215"/>
    <n v="84.130023409052654"/>
    <s v="PLATINO"/>
    <n v="242"/>
    <d v="2026-02-27T15:42:14"/>
  </r>
  <r>
    <n v="243"/>
    <x v="0"/>
    <n v="51040937"/>
    <n v="85.18"/>
    <s v="PLATINO"/>
    <n v="193"/>
    <d v="2026-02-27T15:42:14"/>
  </r>
  <r>
    <n v="244"/>
    <x v="0"/>
    <n v="51014430"/>
    <n v="84.3"/>
    <s v="PLATINO"/>
    <n v="230"/>
    <d v="2026-02-27T15:42:14"/>
  </r>
  <r>
    <n v="245"/>
    <x v="0"/>
    <n v="51055853"/>
    <n v="85.26162143535646"/>
    <s v="PLATINO"/>
    <n v="189"/>
    <d v="2026-02-27T15:42:14"/>
  </r>
  <r>
    <n v="246"/>
    <x v="0"/>
    <n v="51056515"/>
    <n v="87.320191863075351"/>
    <s v="PLATINO"/>
    <n v="83"/>
    <d v="2026-02-27T15:42:14"/>
  </r>
  <r>
    <n v="247"/>
    <x v="0"/>
    <n v="51020952"/>
    <n v="87.210000000000008"/>
    <s v="PLATINO"/>
    <n v="89"/>
    <d v="2026-02-27T15:42:14"/>
  </r>
  <r>
    <n v="248"/>
    <x v="0"/>
    <n v="51022611"/>
    <n v="61.769610097699093"/>
    <s v="ORO"/>
    <n v="763"/>
    <d v="2026-02-27T15:42:14"/>
  </r>
  <r>
    <n v="249"/>
    <x v="0"/>
    <n v="51056761"/>
    <n v="88.188763024483819"/>
    <s v="PLATINO"/>
    <n v="33"/>
    <d v="2026-02-27T15:42:14"/>
  </r>
  <r>
    <n v="250"/>
    <x v="0"/>
    <n v="51031741"/>
    <n v="87.38"/>
    <s v="PLATINO"/>
    <n v="78"/>
    <d v="2026-02-27T15:42:14"/>
  </r>
  <r>
    <n v="251"/>
    <x v="0"/>
    <n v="51056469"/>
    <n v="84.539999999999992"/>
    <s v="PLATINO"/>
    <n v="216"/>
    <d v="2026-02-27T15:42:14"/>
  </r>
  <r>
    <n v="252"/>
    <x v="0"/>
    <n v="51031130"/>
    <n v="86.36"/>
    <s v="PLATINO"/>
    <n v="136"/>
    <d v="2026-02-27T15:42:14"/>
  </r>
  <r>
    <n v="253"/>
    <x v="0"/>
    <n v="51014855"/>
    <n v="81.514476534691738"/>
    <s v="PLATINO"/>
    <n v="367"/>
    <d v="2026-02-27T15:42:14"/>
  </r>
  <r>
    <n v="254"/>
    <x v="0"/>
    <n v="51055055"/>
    <n v="81.170107131083839"/>
    <s v="PLATINO"/>
    <n v="386"/>
    <d v="2026-02-27T15:42:14"/>
  </r>
  <r>
    <n v="255"/>
    <x v="0"/>
    <n v="51008634"/>
    <n v="71.622378810043273"/>
    <s v="ORO"/>
    <n v="633"/>
    <d v="2026-02-27T15:42:14"/>
  </r>
  <r>
    <n v="256"/>
    <x v="0"/>
    <n v="51021835"/>
    <n v="87.65"/>
    <s v="PLATINO"/>
    <n v="67"/>
    <d v="2026-02-27T15:42:14"/>
  </r>
  <r>
    <n v="257"/>
    <x v="0"/>
    <n v="51030320"/>
    <n v="45.443094359093017"/>
    <s v="PLATA"/>
    <n v="871"/>
    <d v="2026-02-27T15:42:14"/>
  </r>
  <r>
    <n v="258"/>
    <x v="0"/>
    <n v="51033701"/>
    <n v="84"/>
    <s v="PLATINO"/>
    <n v="248"/>
    <d v="2026-02-27T15:42:14"/>
  </r>
  <r>
    <n v="259"/>
    <x v="0"/>
    <n v="51013280"/>
    <n v="76.925275547400091"/>
    <s v="PLATINO"/>
    <n v="546"/>
    <d v="2026-02-27T15:42:14"/>
  </r>
  <r>
    <n v="260"/>
    <x v="0"/>
    <n v="51022785"/>
    <n v="83.635021123552022"/>
    <s v="PLATINO"/>
    <n v="267"/>
    <d v="2026-02-27T15:42:14"/>
  </r>
  <r>
    <n v="261"/>
    <x v="0"/>
    <n v="51036310"/>
    <n v="19.63803914014315"/>
    <s v="BRONCE"/>
    <n v="991"/>
    <d v="2026-02-27T15:42:14"/>
  </r>
  <r>
    <n v="262"/>
    <x v="0"/>
    <n v="51010710"/>
    <n v="19.957999999999998"/>
    <s v="BRONCE"/>
    <n v="982"/>
    <d v="2026-02-27T15:42:14"/>
  </r>
  <r>
    <n v="263"/>
    <x v="0"/>
    <n v="51034376"/>
    <n v="85.534277604355481"/>
    <s v="PLATINO"/>
    <n v="177"/>
    <d v="2026-02-27T15:42:14"/>
  </r>
  <r>
    <n v="264"/>
    <x v="0"/>
    <n v="51023561"/>
    <n v="54.003299541084623"/>
    <s v="PLATA"/>
    <n v="841"/>
    <d v="2026-02-27T15:42:14"/>
  </r>
  <r>
    <n v="265"/>
    <x v="0"/>
    <n v="51025253"/>
    <n v="86.104805595016188"/>
    <s v="PLATINO"/>
    <n v="149"/>
    <d v="2026-02-27T15:42:14"/>
  </r>
  <r>
    <n v="266"/>
    <x v="0"/>
    <n v="51030176"/>
    <n v="77.29202090429304"/>
    <s v="PLATINO"/>
    <n v="531"/>
    <d v="2026-02-27T15:42:14"/>
  </r>
  <r>
    <n v="267"/>
    <x v="0"/>
    <n v="51024575"/>
    <n v="83.069934559193172"/>
    <s v="PLATINO"/>
    <n v="293"/>
    <d v="2026-02-27T15:42:14"/>
  </r>
  <r>
    <n v="268"/>
    <x v="0"/>
    <n v="51005333"/>
    <n v="74.820714443186986"/>
    <s v="ORO"/>
    <n v="592"/>
    <d v="2026-02-27T15:42:14"/>
  </r>
  <r>
    <n v="269"/>
    <x v="0"/>
    <n v="51030931"/>
    <n v="85.490000000000009"/>
    <s v="PLATINO"/>
    <n v="181"/>
    <d v="2026-02-27T15:42:14"/>
  </r>
  <r>
    <n v="270"/>
    <x v="0"/>
    <n v="51056027"/>
    <n v="82.478000000000009"/>
    <s v="PLATINO"/>
    <n v="324"/>
    <d v="2026-02-27T15:42:14"/>
  </r>
  <r>
    <n v="271"/>
    <x v="0"/>
    <n v="51054911"/>
    <n v="29.69959949052172"/>
    <s v="BRONCE"/>
    <n v="912"/>
    <d v="2026-02-27T15:42:14"/>
  </r>
  <r>
    <n v="272"/>
    <x v="0"/>
    <n v="51030605"/>
    <n v="64.58"/>
    <s v="ORO"/>
    <n v="710"/>
    <d v="2026-02-27T15:42:14"/>
  </r>
  <r>
    <n v="273"/>
    <x v="0"/>
    <n v="51044487"/>
    <n v="86.727639197715007"/>
    <s v="PLATINO"/>
    <n v="115"/>
    <d v="2026-02-27T15:42:14"/>
  </r>
  <r>
    <n v="274"/>
    <x v="0"/>
    <n v="51035674"/>
    <n v="85.004547679874619"/>
    <s v="PLATINO"/>
    <n v="200"/>
    <d v="2026-02-27T15:42:14"/>
  </r>
  <r>
    <n v="275"/>
    <x v="0"/>
    <n v="51055128"/>
    <n v="84.18"/>
    <s v="PLATINO"/>
    <n v="237"/>
    <d v="2026-02-27T15:42:14"/>
  </r>
  <r>
    <n v="276"/>
    <x v="0"/>
    <n v="51011546"/>
    <n v="86.795081837033436"/>
    <s v="PLATINO"/>
    <n v="113"/>
    <d v="2026-02-27T15:42:14"/>
  </r>
  <r>
    <n v="277"/>
    <x v="0"/>
    <n v="51031482"/>
    <n v="84.49"/>
    <s v="PLATINO"/>
    <n v="218"/>
    <d v="2026-02-27T15:42:14"/>
  </r>
  <r>
    <n v="278"/>
    <x v="0"/>
    <n v="51030109"/>
    <n v="86.118771400174808"/>
    <s v="PLATINO"/>
    <n v="148"/>
    <d v="2026-02-27T15:42:14"/>
  </r>
  <r>
    <n v="279"/>
    <x v="0"/>
    <n v="51022009"/>
    <n v="86.460000000000008"/>
    <s v="PLATINO"/>
    <n v="126"/>
    <d v="2026-02-27T15:42:14"/>
  </r>
  <r>
    <n v="280"/>
    <x v="0"/>
    <n v="51015932"/>
    <n v="83.799956333954881"/>
    <s v="PLATINO"/>
    <n v="257"/>
    <d v="2026-02-27T15:42:14"/>
  </r>
  <r>
    <n v="281"/>
    <x v="0"/>
    <n v="51030028"/>
    <n v="86.523417871688039"/>
    <s v="PLATINO"/>
    <n v="122"/>
    <d v="2026-02-27T15:42:14"/>
  </r>
  <r>
    <n v="282"/>
    <x v="0"/>
    <n v="51030257"/>
    <n v="65.207975591635744"/>
    <s v="ORO"/>
    <n v="695"/>
    <d v="2026-02-27T15:42:14"/>
  </r>
  <r>
    <n v="283"/>
    <x v="0"/>
    <n v="51055489"/>
    <n v="86.58"/>
    <s v="PLATINO"/>
    <n v="119"/>
    <d v="2026-02-27T15:42:14"/>
  </r>
  <r>
    <n v="284"/>
    <x v="0"/>
    <n v="51019423"/>
    <n v="88.218000000000004"/>
    <s v="PLATINO"/>
    <n v="32"/>
    <d v="2026-02-27T15:42:14"/>
  </r>
  <r>
    <n v="285"/>
    <x v="0"/>
    <n v="51000811"/>
    <n v="84.276819255342275"/>
    <s v="PLATINO"/>
    <n v="232"/>
    <d v="2026-02-27T15:42:14"/>
  </r>
  <r>
    <n v="286"/>
    <x v="0"/>
    <n v="51057040"/>
    <n v="81.504999999999995"/>
    <s v="PLATINO"/>
    <n v="368"/>
    <d v="2026-02-27T15:42:14"/>
  </r>
  <r>
    <n v="287"/>
    <x v="0"/>
    <n v="51055101"/>
    <n v="26.09638804514838"/>
    <s v="BRONCE"/>
    <n v="917"/>
    <d v="2026-02-27T15:42:14"/>
  </r>
  <r>
    <n v="288"/>
    <x v="0"/>
    <n v="51016386"/>
    <n v="86.460621260213955"/>
    <s v="PLATINO"/>
    <n v="125"/>
    <d v="2026-02-27T15:42:14"/>
  </r>
  <r>
    <n v="289"/>
    <x v="0"/>
    <n v="51003594"/>
    <n v="69.432991710808253"/>
    <s v="ORO"/>
    <n v="652"/>
    <d v="2026-02-27T15:42:14"/>
  </r>
  <r>
    <n v="290"/>
    <x v="0"/>
    <n v="51030923"/>
    <n v="82.141530332573467"/>
    <s v="PLATINO"/>
    <n v="339"/>
    <d v="2026-02-27T15:42:14"/>
  </r>
  <r>
    <n v="291"/>
    <x v="0"/>
    <n v="51043197"/>
    <n v="61.383073223697437"/>
    <s v="ORO"/>
    <n v="776"/>
    <d v="2026-02-27T15:42:14"/>
  </r>
  <r>
    <n v="292"/>
    <x v="0"/>
    <n v="51022823"/>
    <n v="80.064997795812388"/>
    <s v="PLATINO"/>
    <n v="433"/>
    <d v="2026-02-27T15:42:14"/>
  </r>
  <r>
    <n v="293"/>
    <x v="0"/>
    <n v="51056060"/>
    <n v="83.18"/>
    <s v="PLATINO"/>
    <n v="287"/>
    <d v="2026-02-27T15:42:14"/>
  </r>
  <r>
    <n v="294"/>
    <x v="0"/>
    <n v="51024419"/>
    <n v="19.998000000000001"/>
    <s v="BRONCE"/>
    <n v="951"/>
    <d v="2026-02-27T15:42:14"/>
  </r>
  <r>
    <n v="295"/>
    <x v="0"/>
    <n v="51025326"/>
    <n v="39.437117062348882"/>
    <s v="PLATA"/>
    <n v="886"/>
    <d v="2026-02-27T15:42:14"/>
  </r>
  <r>
    <n v="296"/>
    <x v="0"/>
    <n v="51020014"/>
    <n v="85.182222027037355"/>
    <s v="PLATINO"/>
    <n v="192"/>
    <d v="2026-02-27T15:42:14"/>
  </r>
  <r>
    <n v="297"/>
    <x v="0"/>
    <n v="51055951"/>
    <n v="87.013230522008882"/>
    <s v="PLATINO"/>
    <n v="101"/>
    <d v="2026-02-27T15:42:14"/>
  </r>
  <r>
    <n v="298"/>
    <x v="0"/>
    <n v="51016882"/>
    <n v="61.9"/>
    <s v="ORO"/>
    <n v="759"/>
    <d v="2026-02-27T15:42:14"/>
  </r>
  <r>
    <n v="299"/>
    <x v="0"/>
    <n v="51043405"/>
    <n v="78.839361476731924"/>
    <s v="PLATINO"/>
    <n v="472"/>
    <d v="2026-02-27T15:42:14"/>
  </r>
  <r>
    <n v="300"/>
    <x v="0"/>
    <n v="51008987"/>
    <n v="83.42"/>
    <s v="PLATINO"/>
    <n v="272"/>
    <d v="2026-02-27T15:42:14"/>
  </r>
  <r>
    <n v="301"/>
    <x v="0"/>
    <n v="51021088"/>
    <n v="77.037252780506918"/>
    <s v="PLATINO"/>
    <n v="543"/>
    <d v="2026-02-27T15:42:14"/>
  </r>
  <r>
    <n v="302"/>
    <x v="0"/>
    <n v="51001702"/>
    <n v="86"/>
    <s v="PLATINO"/>
    <n v="154"/>
    <d v="2026-02-27T15:42:14"/>
  </r>
  <r>
    <n v="303"/>
    <x v="0"/>
    <n v="51003730"/>
    <n v="46.967854943029202"/>
    <s v="PLATA"/>
    <n v="866"/>
    <d v="2026-02-27T15:42:14"/>
  </r>
  <r>
    <n v="304"/>
    <x v="0"/>
    <n v="51012348"/>
    <n v="71.532847496186434"/>
    <s v="ORO"/>
    <n v="636"/>
    <d v="2026-02-27T15:42:14"/>
  </r>
  <r>
    <n v="305"/>
    <x v="0"/>
    <n v="51031563"/>
    <n v="77.480211669441687"/>
    <s v="PLATINO"/>
    <n v="521"/>
    <d v="2026-02-27T15:42:14"/>
  </r>
  <r>
    <n v="306"/>
    <x v="0"/>
    <n v="51055080"/>
    <n v="80.629263454886654"/>
    <s v="PLATINO"/>
    <n v="409"/>
    <d v="2026-02-27T15:42:14"/>
  </r>
  <r>
    <n v="307"/>
    <x v="0"/>
    <n v="51018672"/>
    <n v="83.377579678255557"/>
    <s v="PLATINO"/>
    <n v="273"/>
    <d v="2026-02-27T15:42:14"/>
  </r>
  <r>
    <n v="308"/>
    <x v="0"/>
    <n v="51019130"/>
    <n v="64.005749607493243"/>
    <s v="ORO"/>
    <n v="720"/>
    <d v="2026-02-27T15:42:14"/>
  </r>
  <r>
    <n v="309"/>
    <x v="0"/>
    <n v="51036255"/>
    <n v="77.097926915717721"/>
    <s v="PLATINO"/>
    <n v="540"/>
    <d v="2026-02-27T15:42:14"/>
  </r>
  <r>
    <n v="310"/>
    <x v="0"/>
    <n v="51056809"/>
    <n v="75.22"/>
    <s v="PLATINO"/>
    <n v="588"/>
    <d v="2026-02-27T15:42:14"/>
  </r>
  <r>
    <n v="311"/>
    <x v="0"/>
    <n v="51018699"/>
    <n v="83.3"/>
    <s v="PLATINO"/>
    <n v="279"/>
    <d v="2026-02-27T15:42:14"/>
  </r>
  <r>
    <n v="312"/>
    <x v="0"/>
    <n v="51010019"/>
    <n v="80.668420117856641"/>
    <s v="PLATINO"/>
    <n v="405"/>
    <d v="2026-02-27T15:42:14"/>
  </r>
  <r>
    <n v="313"/>
    <x v="0"/>
    <n v="51010647"/>
    <n v="63.199344582062793"/>
    <s v="ORO"/>
    <n v="728"/>
    <d v="2026-02-27T15:42:14"/>
  </r>
  <r>
    <n v="314"/>
    <x v="0"/>
    <n v="51054881"/>
    <n v="85.799695681381067"/>
    <s v="PLATINO"/>
    <n v="165"/>
    <d v="2026-02-27T15:42:14"/>
  </r>
  <r>
    <n v="315"/>
    <x v="0"/>
    <n v="51019091"/>
    <n v="23.95042029487097"/>
    <s v="BRONCE"/>
    <n v="921"/>
    <d v="2026-02-27T15:42:14"/>
  </r>
  <r>
    <n v="316"/>
    <x v="0"/>
    <n v="51018931"/>
    <n v="86.44"/>
    <s v="PLATINO"/>
    <n v="131"/>
    <d v="2026-02-27T15:42:14"/>
  </r>
  <r>
    <n v="317"/>
    <x v="0"/>
    <n v="51057015"/>
    <n v="82.172868930632447"/>
    <s v="PLATINO"/>
    <n v="337"/>
    <d v="2026-02-27T15:42:14"/>
  </r>
  <r>
    <n v="318"/>
    <x v="0"/>
    <n v="51023421"/>
    <n v="81.282751332365976"/>
    <s v="PLATINO"/>
    <n v="380"/>
    <d v="2026-02-27T15:42:14"/>
  </r>
  <r>
    <n v="319"/>
    <x v="0"/>
    <n v="51012305"/>
    <n v="82.580129097732652"/>
    <s v="PLATINO"/>
    <n v="318"/>
    <d v="2026-02-27T15:42:14"/>
  </r>
  <r>
    <n v="320"/>
    <x v="0"/>
    <n v="51014219"/>
    <n v="10"/>
    <s v="BRONCE"/>
    <n v="1032"/>
    <d v="2026-02-27T15:42:14"/>
  </r>
  <r>
    <n v="321"/>
    <x v="0"/>
    <n v="51030753"/>
    <n v="72.646408820308835"/>
    <s v="ORO"/>
    <n v="620"/>
    <d v="2026-02-27T15:42:14"/>
  </r>
  <r>
    <n v="322"/>
    <x v="0"/>
    <n v="51042336"/>
    <n v="86.06"/>
    <s v="PLATINO"/>
    <n v="150"/>
    <d v="2026-02-27T15:42:14"/>
  </r>
  <r>
    <n v="323"/>
    <x v="0"/>
    <n v="51023790"/>
    <n v="83.20082020512173"/>
    <s v="PLATINO"/>
    <n v="284"/>
    <d v="2026-02-27T15:42:14"/>
  </r>
  <r>
    <n v="324"/>
    <x v="0"/>
    <n v="51022378"/>
    <n v="16.686153994325661"/>
    <s v="BRONCE"/>
    <n v="1014"/>
    <d v="2026-02-27T15:42:14"/>
  </r>
  <r>
    <n v="325"/>
    <x v="0"/>
    <n v="51052072"/>
    <n v="80.980684773877755"/>
    <s v="PLATINO"/>
    <n v="393"/>
    <d v="2026-02-27T15:42:14"/>
  </r>
  <r>
    <n v="326"/>
    <x v="0"/>
    <n v="51031946"/>
    <n v="62.441644616443703"/>
    <s v="ORO"/>
    <n v="743"/>
    <d v="2026-02-27T15:42:14"/>
  </r>
  <r>
    <n v="327"/>
    <x v="0"/>
    <n v="51010752"/>
    <n v="85.842055485092175"/>
    <s v="PLATINO"/>
    <n v="162"/>
    <d v="2026-02-27T15:42:14"/>
  </r>
  <r>
    <n v="328"/>
    <x v="0"/>
    <n v="51055594"/>
    <n v="86.28"/>
    <s v="PLATINO"/>
    <n v="140"/>
    <d v="2026-02-27T15:42:14"/>
  </r>
  <r>
    <n v="329"/>
    <x v="0"/>
    <n v="51041585"/>
    <n v="85.071889193919816"/>
    <s v="PLATINO"/>
    <n v="197"/>
    <d v="2026-02-27T15:42:14"/>
  </r>
  <r>
    <n v="330"/>
    <x v="0"/>
    <n v="51017455"/>
    <n v="66.077684654817261"/>
    <s v="ORO"/>
    <n v="681"/>
    <d v="2026-02-27T15:42:14"/>
  </r>
  <r>
    <n v="331"/>
    <x v="0"/>
    <n v="51033345"/>
    <n v="83.303618726179224"/>
    <s v="PLATINO"/>
    <n v="278"/>
    <d v="2026-02-27T15:42:14"/>
  </r>
  <r>
    <n v="332"/>
    <x v="0"/>
    <n v="51012399"/>
    <n v="63.42"/>
    <s v="ORO"/>
    <n v="727"/>
    <d v="2026-02-27T15:42:14"/>
  </r>
  <r>
    <n v="333"/>
    <x v="0"/>
    <n v="51034236"/>
    <n v="85"/>
    <s v="PLATINO"/>
    <n v="201"/>
    <d v="2026-02-27T15:42:14"/>
  </r>
  <r>
    <n v="334"/>
    <x v="0"/>
    <n v="51012941"/>
    <n v="87.673701466200697"/>
    <s v="PLATINO"/>
    <n v="65"/>
    <d v="2026-02-27T15:42:14"/>
  </r>
  <r>
    <n v="335"/>
    <x v="0"/>
    <n v="51011694"/>
    <n v="64.52"/>
    <s v="ORO"/>
    <n v="711"/>
    <d v="2026-02-27T15:42:14"/>
  </r>
  <r>
    <n v="336"/>
    <x v="0"/>
    <n v="51020197"/>
    <n v="82.786756721854204"/>
    <s v="PLATINO"/>
    <n v="304"/>
    <d v="2026-02-27T15:42:14"/>
  </r>
  <r>
    <n v="337"/>
    <x v="0"/>
    <n v="51003284"/>
    <n v="75.683270798413275"/>
    <s v="PLATINO"/>
    <n v="576"/>
    <d v="2026-02-27T15:42:14"/>
  </r>
  <r>
    <n v="338"/>
    <x v="0"/>
    <n v="51025342"/>
    <n v="65.065180403812732"/>
    <s v="ORO"/>
    <n v="701"/>
    <d v="2026-02-27T15:42:14"/>
  </r>
  <r>
    <n v="339"/>
    <x v="0"/>
    <n v="51030389"/>
    <n v="83.87258610159347"/>
    <s v="PLATINO"/>
    <n v="254"/>
    <d v="2026-02-27T15:42:14"/>
  </r>
  <r>
    <n v="340"/>
    <x v="0"/>
    <n v="51013581"/>
    <n v="86.407306292264224"/>
    <s v="PLATINO"/>
    <n v="132"/>
    <d v="2026-02-27T15:42:14"/>
  </r>
  <r>
    <n v="341"/>
    <x v="0"/>
    <n v="51056833"/>
    <n v="82.446377956490892"/>
    <s v="PLATINO"/>
    <n v="325"/>
    <d v="2026-02-27T15:42:14"/>
  </r>
  <r>
    <n v="342"/>
    <x v="0"/>
    <n v="51056086"/>
    <n v="83.789967853397442"/>
    <s v="PLATINO"/>
    <n v="258"/>
    <d v="2026-02-27T15:42:14"/>
  </r>
  <r>
    <n v="343"/>
    <x v="0"/>
    <n v="51055241"/>
    <n v="83.896732607038487"/>
    <s v="PLATINO"/>
    <n v="251"/>
    <d v="2026-02-27T15:42:14"/>
  </r>
  <r>
    <n v="344"/>
    <x v="0"/>
    <n v="51008669"/>
    <n v="19.033223399555741"/>
    <s v="BRONCE"/>
    <n v="996"/>
    <d v="2026-02-27T15:42:14"/>
  </r>
  <r>
    <n v="345"/>
    <x v="0"/>
    <n v="51031521"/>
    <n v="85.061772469919461"/>
    <s v="PLATINO"/>
    <n v="198"/>
    <d v="2026-02-27T15:42:14"/>
  </r>
  <r>
    <n v="346"/>
    <x v="0"/>
    <n v="51033477"/>
    <n v="62.162978852186363"/>
    <s v="ORO"/>
    <n v="751"/>
    <d v="2026-02-27T15:42:14"/>
  </r>
  <r>
    <n v="347"/>
    <x v="0"/>
    <n v="51020651"/>
    <n v="86.448100677390542"/>
    <s v="PLATINO"/>
    <n v="130"/>
    <d v="2026-02-27T15:42:14"/>
  </r>
  <r>
    <n v="348"/>
    <x v="0"/>
    <n v="51013409"/>
    <n v="64.610178032702876"/>
    <s v="ORO"/>
    <n v="709"/>
    <d v="2026-02-27T15:42:14"/>
  </r>
  <r>
    <n v="349"/>
    <x v="0"/>
    <n v="51030397"/>
    <n v="20"/>
    <s v="BRONCE"/>
    <n v="923"/>
    <d v="2026-02-27T15:42:14"/>
  </r>
  <r>
    <n v="350"/>
    <x v="0"/>
    <n v="51010353"/>
    <n v="86.898165828948507"/>
    <s v="PLATINO"/>
    <n v="107"/>
    <d v="2026-02-27T15:42:14"/>
  </r>
  <r>
    <n v="351"/>
    <x v="0"/>
    <n v="51054814"/>
    <n v="83.320114437308689"/>
    <s v="PLATINO"/>
    <n v="274"/>
    <d v="2026-02-27T15:42:14"/>
  </r>
  <r>
    <n v="352"/>
    <x v="0"/>
    <n v="51012372"/>
    <n v="83.007134482036491"/>
    <s v="PLATINO"/>
    <n v="297"/>
    <d v="2026-02-27T15:42:14"/>
  </r>
  <r>
    <n v="353"/>
    <x v="0"/>
    <n v="51036212"/>
    <n v="20"/>
    <s v="BRONCE"/>
    <n v="923"/>
    <d v="2026-02-27T15:42:14"/>
  </r>
  <r>
    <n v="354"/>
    <x v="0"/>
    <n v="51029984"/>
    <n v="85.92"/>
    <s v="PLATINO"/>
    <n v="158"/>
    <d v="2026-02-27T15:42:14"/>
  </r>
  <r>
    <n v="355"/>
    <x v="0"/>
    <n v="51039777"/>
    <n v="86.22"/>
    <s v="PLATINO"/>
    <n v="145"/>
    <d v="2026-02-27T15:42:14"/>
  </r>
  <r>
    <n v="356"/>
    <x v="0"/>
    <n v="51056183"/>
    <n v="83.067248376349809"/>
    <s v="PLATINO"/>
    <n v="294"/>
    <d v="2026-02-27T15:42:14"/>
  </r>
  <r>
    <n v="357"/>
    <x v="0"/>
    <n v="51039238"/>
    <n v="73.73838859326581"/>
    <s v="ORO"/>
    <n v="601"/>
    <d v="2026-02-27T15:42:14"/>
  </r>
  <r>
    <n v="358"/>
    <x v="0"/>
    <n v="51007701"/>
    <n v="81.638000000000005"/>
    <s v="PLATINO"/>
    <n v="361"/>
    <d v="2026-02-27T15:42:14"/>
  </r>
  <r>
    <n v="359"/>
    <x v="0"/>
    <n v="51034228"/>
    <n v="86.926326526145701"/>
    <s v="PLATINO"/>
    <n v="105"/>
    <d v="2026-02-27T15:42:14"/>
  </r>
  <r>
    <n v="360"/>
    <x v="0"/>
    <n v="51005295"/>
    <n v="85.952744380360343"/>
    <s v="PLATINO"/>
    <n v="156"/>
    <d v="2026-02-27T15:42:14"/>
  </r>
  <r>
    <n v="361"/>
    <x v="0"/>
    <n v="51023668"/>
    <n v="83.01800570903228"/>
    <s v="PLATINO"/>
    <n v="296"/>
    <d v="2026-02-27T15:42:14"/>
  </r>
  <r>
    <n v="362"/>
    <x v="0"/>
    <n v="51018851"/>
    <n v="84.222820699759666"/>
    <s v="PLATINO"/>
    <n v="235"/>
    <d v="2026-02-27T15:42:14"/>
  </r>
  <r>
    <n v="363"/>
    <x v="0"/>
    <n v="51042042"/>
    <n v="34.414005939895489"/>
    <s v="PLATA"/>
    <n v="901"/>
    <d v="2026-02-27T15:42:14"/>
  </r>
  <r>
    <n v="364"/>
    <x v="0"/>
    <n v="51010817"/>
    <n v="77.320455902313157"/>
    <s v="PLATINO"/>
    <n v="529"/>
    <d v="2026-02-27T15:42:14"/>
  </r>
  <r>
    <n v="365"/>
    <x v="0"/>
    <n v="51022408"/>
    <n v="86.270586407056157"/>
    <s v="PLATINO"/>
    <n v="143"/>
    <d v="2026-02-27T15:42:14"/>
  </r>
  <r>
    <n v="366"/>
    <x v="0"/>
    <n v="51032578"/>
    <n v="20"/>
    <s v="BRONCE"/>
    <n v="923"/>
    <d v="2026-02-27T15:42:14"/>
  </r>
  <r>
    <n v="367"/>
    <x v="0"/>
    <n v="51017978"/>
    <n v="67.226751230873759"/>
    <s v="ORO"/>
    <n v="667"/>
    <d v="2026-02-27T15:42:14"/>
  </r>
  <r>
    <n v="368"/>
    <x v="0"/>
    <n v="51056868"/>
    <n v="16.41516666389802"/>
    <s v="BRONCE"/>
    <n v="1017"/>
    <d v="2026-02-27T15:42:14"/>
  </r>
  <r>
    <n v="369"/>
    <x v="0"/>
    <n v="51056566"/>
    <n v="62.187120174250573"/>
    <s v="ORO"/>
    <n v="750"/>
    <d v="2026-02-27T15:42:14"/>
  </r>
  <r>
    <n v="370"/>
    <x v="0"/>
    <n v="51005112"/>
    <n v="73.181573279213268"/>
    <s v="ORO"/>
    <n v="612"/>
    <d v="2026-02-27T15:42:14"/>
  </r>
  <r>
    <n v="371"/>
    <x v="0"/>
    <n v="51019946"/>
    <n v="85.212682696062089"/>
    <s v="PLATINO"/>
    <n v="191"/>
    <d v="2026-02-27T15:42:14"/>
  </r>
  <r>
    <n v="372"/>
    <x v="0"/>
    <n v="51027116"/>
    <n v="84.923106508254463"/>
    <s v="PLATINO"/>
    <n v="202"/>
    <d v="2026-02-27T15:42:14"/>
  </r>
  <r>
    <n v="373"/>
    <x v="0"/>
    <n v="51042051"/>
    <n v="84.804999999999993"/>
    <s v="PLATINO"/>
    <n v="208"/>
    <d v="2026-02-27T15:42:14"/>
  </r>
  <r>
    <n v="374"/>
    <x v="0"/>
    <n v="51024702"/>
    <n v="65.618299791067017"/>
    <s v="ORO"/>
    <n v="688"/>
    <d v="2026-02-27T15:42:14"/>
  </r>
  <r>
    <n v="375"/>
    <x v="0"/>
    <n v="51000251"/>
    <n v="83.034236150210418"/>
    <s v="PLATINO"/>
    <n v="295"/>
    <d v="2026-02-27T15:42:14"/>
  </r>
  <r>
    <n v="376"/>
    <x v="0"/>
    <n v="51036778"/>
    <n v="82.52000000000001"/>
    <s v="PLATINO"/>
    <n v="321"/>
    <d v="2026-02-27T15:42:14"/>
  </r>
  <r>
    <n v="377"/>
    <x v="0"/>
    <n v="51056850"/>
    <n v="51.501058664513991"/>
    <s v="PLATA"/>
    <n v="848"/>
    <d v="2026-02-27T15:42:14"/>
  </r>
  <r>
    <n v="378"/>
    <x v="0"/>
    <n v="51054989"/>
    <n v="83.12"/>
    <s v="PLATINO"/>
    <n v="290"/>
    <d v="2026-02-27T15:42:14"/>
  </r>
  <r>
    <n v="379"/>
    <x v="0"/>
    <n v="51018737"/>
    <n v="20"/>
    <s v="BRONCE"/>
    <n v="923"/>
    <d v="2026-02-27T15:42:14"/>
  </r>
  <r>
    <n v="380"/>
    <x v="0"/>
    <n v="51023811"/>
    <n v="82.774257922139512"/>
    <s v="PLATINO"/>
    <n v="308"/>
    <d v="2026-02-27T15:42:14"/>
  </r>
  <r>
    <n v="381"/>
    <x v="0"/>
    <n v="51040899"/>
    <n v="88.240000000000009"/>
    <s v="PLATINO"/>
    <n v="30"/>
    <d v="2026-02-27T15:42:14"/>
  </r>
  <r>
    <n v="382"/>
    <x v="0"/>
    <n v="51022149"/>
    <n v="86.5"/>
    <s v="PLATINO"/>
    <n v="123"/>
    <d v="2026-02-27T15:42:14"/>
  </r>
  <r>
    <n v="383"/>
    <x v="0"/>
    <n v="51014189"/>
    <n v="85.62"/>
    <s v="PLATINO"/>
    <n v="172"/>
    <d v="2026-02-27T15:42:14"/>
  </r>
  <r>
    <n v="384"/>
    <x v="0"/>
    <n v="51011538"/>
    <n v="62.72"/>
    <s v="ORO"/>
    <n v="738"/>
    <d v="2026-02-27T15:42:14"/>
  </r>
  <r>
    <n v="385"/>
    <x v="0"/>
    <n v="51011686"/>
    <n v="59.702030250176144"/>
    <s v="ORO"/>
    <n v="811"/>
    <d v="2026-02-27T15:42:14"/>
  </r>
  <r>
    <n v="386"/>
    <x v="0"/>
    <n v="51055896"/>
    <n v="62.780895239236592"/>
    <s v="ORO"/>
    <n v="736"/>
    <d v="2026-02-27T15:42:14"/>
  </r>
  <r>
    <n v="387"/>
    <x v="0"/>
    <n v="51054962"/>
    <n v="79.063478314526947"/>
    <s v="PLATINO"/>
    <n v="462"/>
    <d v="2026-02-27T15:42:14"/>
  </r>
  <r>
    <n v="388"/>
    <x v="0"/>
    <n v="51021584"/>
    <n v="74.395686049166841"/>
    <s v="ORO"/>
    <n v="595"/>
    <d v="2026-02-27T15:42:14"/>
  </r>
  <r>
    <n v="389"/>
    <x v="0"/>
    <n v="51014642"/>
    <n v="19.74766034540022"/>
    <s v="BRONCE"/>
    <n v="989"/>
    <d v="2026-02-27T15:42:14"/>
  </r>
  <r>
    <n v="390"/>
    <x v="0"/>
    <n v="51038878"/>
    <n v="20"/>
    <s v="BRONCE"/>
    <n v="923"/>
    <d v="2026-02-27T15:42:14"/>
  </r>
  <r>
    <n v="391"/>
    <x v="0"/>
    <n v="51055292"/>
    <n v="62.145794606047978"/>
    <s v="ORO"/>
    <n v="753"/>
    <d v="2026-02-27T15:42:14"/>
  </r>
  <r>
    <n v="392"/>
    <x v="0"/>
    <n v="51011601"/>
    <n v="65.768178333026611"/>
    <s v="ORO"/>
    <n v="684"/>
    <d v="2026-02-27T15:42:14"/>
  </r>
  <r>
    <n v="393"/>
    <x v="0"/>
    <n v="51022866"/>
    <n v="87.48811333862453"/>
    <s v="PLATINO"/>
    <n v="73"/>
    <d v="2026-02-27T15:42:14"/>
  </r>
  <r>
    <n v="394"/>
    <x v="0"/>
    <n v="51017820"/>
    <n v="65.68606529127571"/>
    <s v="ORO"/>
    <n v="686"/>
    <d v="2026-02-27T15:42:14"/>
  </r>
  <r>
    <n v="395"/>
    <x v="0"/>
    <n v="51030761"/>
    <n v="16.035080320684141"/>
    <s v="BRONCE"/>
    <n v="1019"/>
    <d v="2026-02-27T15:42:14"/>
  </r>
  <r>
    <n v="396"/>
    <x v="0"/>
    <n v="51008294"/>
    <n v="85.52000000000001"/>
    <s v="PLATINO"/>
    <n v="178"/>
    <d v="2026-02-27T15:42:14"/>
  </r>
  <r>
    <n v="397"/>
    <x v="0"/>
    <n v="51055501"/>
    <n v="66.847686369001053"/>
    <s v="ORO"/>
    <n v="670"/>
    <d v="2026-02-27T15:42:14"/>
  </r>
  <r>
    <n v="398"/>
    <x v="0"/>
    <n v="51038886"/>
    <n v="87.2"/>
    <s v="PLATINO"/>
    <n v="90"/>
    <d v="2026-02-27T15:42:14"/>
  </r>
  <r>
    <n v="399"/>
    <x v="0"/>
    <n v="51020316"/>
    <n v="78.256236812625147"/>
    <s v="PLATINO"/>
    <n v="484"/>
    <d v="2026-02-27T15:42:14"/>
  </r>
  <r>
    <n v="400"/>
    <x v="0"/>
    <n v="51055675"/>
    <n v="88.535742967346863"/>
    <s v="PLATINO"/>
    <n v="24"/>
    <d v="2026-02-27T15:42:14"/>
  </r>
  <r>
    <n v="401"/>
    <x v="0"/>
    <n v="51012577"/>
    <n v="85.740000000000009"/>
    <s v="PLATINO"/>
    <n v="166"/>
    <d v="2026-02-27T15:42:14"/>
  </r>
  <r>
    <n v="402"/>
    <x v="0"/>
    <n v="51017706"/>
    <n v="82"/>
    <s v="PLATINO"/>
    <n v="344"/>
    <d v="2026-02-27T15:42:14"/>
  </r>
  <r>
    <n v="403"/>
    <x v="0"/>
    <n v="51011236"/>
    <n v="84.166454189580151"/>
    <s v="PLATINO"/>
    <n v="238"/>
    <d v="2026-02-27T15:42:14"/>
  </r>
  <r>
    <n v="404"/>
    <x v="0"/>
    <n v="51030524"/>
    <n v="64.004849090363166"/>
    <s v="ORO"/>
    <n v="721"/>
    <d v="2026-02-27T15:42:14"/>
  </r>
  <r>
    <n v="405"/>
    <x v="0"/>
    <n v="51003365"/>
    <n v="83.177249699865385"/>
    <s v="PLATINO"/>
    <n v="288"/>
    <d v="2026-02-27T15:42:14"/>
  </r>
  <r>
    <n v="406"/>
    <x v="0"/>
    <n v="51031989"/>
    <n v="85.48"/>
    <s v="PLATINO"/>
    <n v="183"/>
    <d v="2026-02-27T15:42:14"/>
  </r>
  <r>
    <n v="407"/>
    <x v="0"/>
    <n v="51010922"/>
    <n v="79.65117838126038"/>
    <s v="PLATINO"/>
    <n v="443"/>
    <d v="2026-02-27T15:42:14"/>
  </r>
  <r>
    <n v="408"/>
    <x v="0"/>
    <n v="51040031"/>
    <n v="81.685188291023792"/>
    <s v="PLATINO"/>
    <n v="359"/>
    <d v="2026-02-27T15:42:14"/>
  </r>
  <r>
    <n v="409"/>
    <x v="0"/>
    <n v="51027108"/>
    <n v="77.731855275151204"/>
    <s v="PLATINO"/>
    <n v="511"/>
    <d v="2026-02-27T15:42:14"/>
  </r>
  <r>
    <n v="410"/>
    <x v="0"/>
    <n v="51022971"/>
    <n v="61.509425335440277"/>
    <s v="ORO"/>
    <n v="769"/>
    <d v="2026-02-27T15:42:14"/>
  </r>
  <r>
    <n v="411"/>
    <x v="0"/>
    <n v="51023005"/>
    <n v="73.654077526370259"/>
    <s v="ORO"/>
    <n v="604"/>
    <d v="2026-02-27T15:42:14"/>
  </r>
  <r>
    <n v="412"/>
    <x v="0"/>
    <n v="51002610"/>
    <n v="85.92440086230188"/>
    <s v="PLATINO"/>
    <n v="157"/>
    <d v="2026-02-27T15:42:14"/>
  </r>
  <r>
    <n v="413"/>
    <x v="0"/>
    <n v="51056116"/>
    <n v="71.661789006732945"/>
    <s v="ORO"/>
    <n v="632"/>
    <d v="2026-02-27T15:42:14"/>
  </r>
  <r>
    <n v="414"/>
    <x v="0"/>
    <n v="51020979"/>
    <n v="86.04"/>
    <s v="PLATINO"/>
    <n v="151"/>
    <d v="2026-02-27T15:42:14"/>
  </r>
  <r>
    <n v="415"/>
    <x v="0"/>
    <n v="51015207"/>
    <n v="84.223943541196036"/>
    <s v="PLATINO"/>
    <n v="234"/>
    <d v="2026-02-27T15:42:14"/>
  </r>
  <r>
    <n v="416"/>
    <x v="0"/>
    <n v="51007549"/>
    <n v="83.217055277926875"/>
    <s v="PLATINO"/>
    <n v="283"/>
    <d v="2026-02-27T15:42:14"/>
  </r>
  <r>
    <n v="417"/>
    <x v="0"/>
    <n v="51032624"/>
    <n v="48.244103681766788"/>
    <s v="PLATA"/>
    <n v="863"/>
    <d v="2026-02-27T15:42:14"/>
  </r>
  <r>
    <n v="418"/>
    <x v="0"/>
    <n v="51002555"/>
    <n v="77.02113659421731"/>
    <s v="PLATINO"/>
    <n v="544"/>
    <d v="2026-02-27T15:42:14"/>
  </r>
  <r>
    <n v="419"/>
    <x v="0"/>
    <n v="51029879"/>
    <n v="84.205009172249021"/>
    <s v="PLATINO"/>
    <n v="236"/>
    <d v="2026-02-27T15:42:14"/>
  </r>
  <r>
    <n v="420"/>
    <x v="0"/>
    <n v="51011147"/>
    <n v="67.086807306579985"/>
    <s v="ORO"/>
    <n v="669"/>
    <d v="2026-02-27T15:42:14"/>
  </r>
  <r>
    <n v="421"/>
    <x v="0"/>
    <n v="51030427"/>
    <n v="86.278452957758404"/>
    <s v="PLATINO"/>
    <n v="142"/>
    <d v="2026-02-27T15:42:14"/>
  </r>
  <r>
    <n v="422"/>
    <x v="0"/>
    <n v="51032675"/>
    <n v="78.379570266718332"/>
    <s v="PLATINO"/>
    <n v="482"/>
    <d v="2026-02-27T15:42:14"/>
  </r>
  <r>
    <n v="423"/>
    <x v="0"/>
    <n v="51042921"/>
    <n v="80.834429583769676"/>
    <s v="PLATINO"/>
    <n v="397"/>
    <d v="2026-02-27T15:42:14"/>
  </r>
  <r>
    <n v="424"/>
    <x v="0"/>
    <n v="51056272"/>
    <n v="61.503"/>
    <s v="ORO"/>
    <n v="770"/>
    <d v="2026-02-27T15:42:14"/>
  </r>
  <r>
    <n v="425"/>
    <x v="0"/>
    <n v="51007883"/>
    <n v="62.399596024092737"/>
    <s v="ORO"/>
    <n v="745"/>
    <d v="2026-02-27T15:42:14"/>
  </r>
  <r>
    <n v="426"/>
    <x v="0"/>
    <n v="51030010"/>
    <n v="83.896137610766488"/>
    <s v="PLATINO"/>
    <n v="252"/>
    <d v="2026-02-27T15:42:14"/>
  </r>
  <r>
    <n v="427"/>
    <x v="0"/>
    <n v="51056124"/>
    <n v="72.403847528421181"/>
    <s v="ORO"/>
    <n v="624"/>
    <d v="2026-02-27T15:42:14"/>
  </r>
  <r>
    <n v="428"/>
    <x v="0"/>
    <n v="51043758"/>
    <n v="85.539999999999992"/>
    <s v="PLATINO"/>
    <n v="176"/>
    <d v="2026-02-27T15:42:14"/>
  </r>
  <r>
    <n v="429"/>
    <x v="0"/>
    <n v="51055039"/>
    <n v="77.233469974726688"/>
    <s v="PLATINO"/>
    <n v="532"/>
    <d v="2026-02-27T15:42:14"/>
  </r>
  <r>
    <n v="430"/>
    <x v="0"/>
    <n v="51056582"/>
    <n v="84.78"/>
    <s v="PLATINO"/>
    <n v="209"/>
    <d v="2026-02-27T15:42:14"/>
  </r>
  <r>
    <n v="431"/>
    <x v="0"/>
    <n v="51021321"/>
    <n v="68.821128696338064"/>
    <s v="ORO"/>
    <n v="655"/>
    <d v="2026-02-27T15:42:14"/>
  </r>
  <r>
    <n v="432"/>
    <x v="0"/>
    <n v="51055322"/>
    <n v="84.72"/>
    <s v="PLATINO"/>
    <n v="212"/>
    <d v="2026-02-27T15:42:14"/>
  </r>
  <r>
    <n v="433"/>
    <x v="0"/>
    <n v="51010027"/>
    <n v="20"/>
    <s v="BRONCE"/>
    <n v="923"/>
    <d v="2026-02-27T15:42:14"/>
  </r>
  <r>
    <n v="434"/>
    <x v="0"/>
    <n v="51011295"/>
    <n v="80.829145255493515"/>
    <s v="PLATINO"/>
    <n v="398"/>
    <d v="2026-02-27T15:42:14"/>
  </r>
  <r>
    <n v="435"/>
    <x v="0"/>
    <n v="51017145"/>
    <n v="84.358000000000004"/>
    <s v="PLATINO"/>
    <n v="222"/>
    <d v="2026-02-27T15:42:14"/>
  </r>
  <r>
    <n v="436"/>
    <x v="0"/>
    <n v="51055888"/>
    <n v="80.603351106930035"/>
    <s v="PLATINO"/>
    <n v="411"/>
    <d v="2026-02-27T15:42:14"/>
  </r>
  <r>
    <n v="437"/>
    <x v="0"/>
    <n v="51031881"/>
    <n v="85.34"/>
    <s v="PLATINO"/>
    <n v="187"/>
    <d v="2026-02-27T15:42:14"/>
  </r>
  <r>
    <n v="438"/>
    <x v="0"/>
    <n v="51010060"/>
    <n v="70.576722655078726"/>
    <s v="ORO"/>
    <n v="642"/>
    <d v="2026-02-27T15:42:14"/>
  </r>
  <r>
    <n v="439"/>
    <x v="0"/>
    <n v="51056400"/>
    <n v="72.41281041599629"/>
    <s v="ORO"/>
    <n v="623"/>
    <d v="2026-02-27T15:42:14"/>
  </r>
  <r>
    <n v="440"/>
    <x v="0"/>
    <n v="51056531"/>
    <n v="83.198032041391755"/>
    <s v="PLATINO"/>
    <n v="285"/>
    <d v="2026-02-27T15:42:14"/>
  </r>
  <r>
    <n v="441"/>
    <x v="0"/>
    <n v="51011643"/>
    <n v="82.615970675275847"/>
    <s v="PLATINO"/>
    <n v="317"/>
    <d v="2026-02-27T15:42:14"/>
  </r>
  <r>
    <n v="442"/>
    <x v="0"/>
    <n v="51016742"/>
    <n v="82.536086676417597"/>
    <s v="PLATINO"/>
    <n v="320"/>
    <d v="2026-02-27T15:42:14"/>
  </r>
  <r>
    <n v="443"/>
    <x v="0"/>
    <n v="51010990"/>
    <n v="40.128057785494519"/>
    <s v="PLATA"/>
    <n v="883"/>
    <d v="2026-02-27T15:42:14"/>
  </r>
  <r>
    <n v="444"/>
    <x v="0"/>
    <n v="51039998"/>
    <n v="68.600223116501212"/>
    <s v="ORO"/>
    <n v="657"/>
    <d v="2026-02-27T15:42:14"/>
  </r>
  <r>
    <n v="445"/>
    <x v="0"/>
    <n v="51056736"/>
    <n v="82.955340750368066"/>
    <s v="PLATINO"/>
    <n v="299"/>
    <d v="2026-02-27T15:42:14"/>
  </r>
  <r>
    <n v="446"/>
    <x v="0"/>
    <n v="51044436"/>
    <n v="85.870121791684667"/>
    <s v="PLATINO"/>
    <n v="160"/>
    <d v="2026-02-27T15:42:14"/>
  </r>
  <r>
    <n v="447"/>
    <x v="0"/>
    <n v="51017552"/>
    <n v="85.718000000000004"/>
    <s v="PLATINO"/>
    <n v="170"/>
    <d v="2026-02-27T15:42:14"/>
  </r>
  <r>
    <n v="448"/>
    <x v="0"/>
    <n v="51055276"/>
    <n v="62.86"/>
    <s v="ORO"/>
    <n v="735"/>
    <d v="2026-02-27T15:42:14"/>
  </r>
  <r>
    <n v="449"/>
    <x v="0"/>
    <n v="51020189"/>
    <n v="84.259999999999991"/>
    <s v="PLATINO"/>
    <n v="233"/>
    <d v="2026-02-27T15:42:14"/>
  </r>
  <r>
    <n v="450"/>
    <x v="0"/>
    <n v="51041259"/>
    <n v="17.81463280864174"/>
    <s v="BRONCE"/>
    <n v="1006"/>
    <d v="2026-02-27T15:42:14"/>
  </r>
  <r>
    <n v="451"/>
    <x v="0"/>
    <n v="51022751"/>
    <n v="33.270437585490463"/>
    <s v="PLATA"/>
    <n v="906"/>
    <d v="2026-02-27T15:42:14"/>
  </r>
  <r>
    <n v="452"/>
    <x v="0"/>
    <n v="51016645"/>
    <n v="20"/>
    <s v="BRONCE"/>
    <n v="923"/>
    <d v="2026-02-27T15:42:14"/>
  </r>
  <r>
    <n v="453"/>
    <x v="0"/>
    <n v="51011155"/>
    <n v="82.170710613314469"/>
    <s v="PLATINO"/>
    <n v="338"/>
    <d v="2026-02-27T15:42:14"/>
  </r>
  <r>
    <n v="454"/>
    <x v="0"/>
    <n v="51014022"/>
    <n v="84.306955712106259"/>
    <s v="PLATINO"/>
    <n v="229"/>
    <d v="2026-02-27T15:42:14"/>
  </r>
  <r>
    <n v="455"/>
    <x v="0"/>
    <n v="51018991"/>
    <n v="20"/>
    <s v="BRONCE"/>
    <n v="923"/>
    <d v="2026-02-27T15:42:14"/>
  </r>
  <r>
    <n v="456"/>
    <x v="0"/>
    <n v="51030478"/>
    <n v="80.46252819940554"/>
    <s v="PLATINO"/>
    <n v="419"/>
    <d v="2026-02-27T15:42:14"/>
  </r>
  <r>
    <n v="457"/>
    <x v="0"/>
    <n v="51028040"/>
    <n v="84.733001927191552"/>
    <s v="PLATINO"/>
    <n v="211"/>
    <d v="2026-02-27T15:42:14"/>
  </r>
  <r>
    <n v="458"/>
    <x v="0"/>
    <n v="51055616"/>
    <n v="83.639480063363223"/>
    <s v="PLATINO"/>
    <n v="266"/>
    <d v="2026-02-27T15:42:14"/>
  </r>
  <r>
    <n v="459"/>
    <x v="0"/>
    <n v="51036239"/>
    <n v="44.124298663741058"/>
    <s v="PLATA"/>
    <n v="875"/>
    <d v="2026-02-27T15:42:14"/>
  </r>
  <r>
    <n v="460"/>
    <x v="0"/>
    <n v="51025873"/>
    <n v="82.751427968264878"/>
    <s v="PLATINO"/>
    <n v="309"/>
    <d v="2026-02-27T15:42:14"/>
  </r>
  <r>
    <n v="461"/>
    <x v="0"/>
    <n v="51034155"/>
    <n v="84.04277371597459"/>
    <s v="PLATINO"/>
    <n v="243"/>
    <d v="2026-02-27T15:42:14"/>
  </r>
  <r>
    <n v="462"/>
    <x v="0"/>
    <n v="51021207"/>
    <n v="80.316464954176752"/>
    <s v="PLATINO"/>
    <n v="426"/>
    <d v="2026-02-27T15:42:14"/>
  </r>
  <r>
    <n v="463"/>
    <x v="0"/>
    <n v="51054831"/>
    <n v="19.998000000000001"/>
    <s v="BRONCE"/>
    <n v="951"/>
    <d v="2026-02-27T15:42:14"/>
  </r>
  <r>
    <n v="464"/>
    <x v="0"/>
    <n v="51010051"/>
    <n v="72.741911815926869"/>
    <s v="ORO"/>
    <n v="617"/>
    <d v="2026-02-27T15:42:14"/>
  </r>
  <r>
    <n v="465"/>
    <x v="0"/>
    <n v="51015754"/>
    <n v="83.104859077746923"/>
    <s v="PLATINO"/>
    <n v="292"/>
    <d v="2026-02-27T15:42:14"/>
  </r>
  <r>
    <n v="466"/>
    <x v="0"/>
    <n v="51023528"/>
    <n v="85.11"/>
    <s v="PLATINO"/>
    <n v="196"/>
    <d v="2026-02-27T15:42:14"/>
  </r>
  <r>
    <n v="467"/>
    <x v="0"/>
    <n v="51013735"/>
    <n v="64.694303651065098"/>
    <s v="ORO"/>
    <n v="708"/>
    <d v="2026-02-27T15:42:14"/>
  </r>
  <r>
    <n v="468"/>
    <x v="0"/>
    <n v="51036611"/>
    <n v="80.48"/>
    <s v="PLATINO"/>
    <n v="418"/>
    <d v="2026-02-27T15:42:14"/>
  </r>
  <r>
    <n v="469"/>
    <x v="0"/>
    <n v="51010035"/>
    <n v="61.348308693885542"/>
    <s v="ORO"/>
    <n v="777"/>
    <d v="2026-02-27T15:42:14"/>
  </r>
  <r>
    <n v="470"/>
    <x v="0"/>
    <n v="51035682"/>
    <n v="62.155241650191392"/>
    <s v="ORO"/>
    <n v="752"/>
    <d v="2026-02-27T15:42:14"/>
  </r>
  <r>
    <n v="471"/>
    <x v="0"/>
    <n v="51016416"/>
    <n v="16.65530127871968"/>
    <s v="BRONCE"/>
    <n v="1015"/>
    <d v="2026-02-27T15:42:14"/>
  </r>
  <r>
    <n v="472"/>
    <x v="0"/>
    <n v="51038762"/>
    <n v="19.849178674316612"/>
    <s v="BRONCE"/>
    <n v="987"/>
    <d v="2026-02-27T15:42:14"/>
  </r>
  <r>
    <n v="473"/>
    <x v="0"/>
    <n v="51023307"/>
    <n v="79.857995134509977"/>
    <s v="PLATINO"/>
    <n v="440"/>
    <d v="2026-02-27T15:42:14"/>
  </r>
  <r>
    <n v="474"/>
    <x v="0"/>
    <n v="51012062"/>
    <n v="82.809878567551266"/>
    <s v="PLATINO"/>
    <n v="303"/>
    <d v="2026-02-27T15:42:14"/>
  </r>
  <r>
    <n v="475"/>
    <x v="0"/>
    <n v="51021631"/>
    <n v="83.78"/>
    <s v="PLATINO"/>
    <n v="259"/>
    <d v="2026-02-27T15:42:14"/>
  </r>
  <r>
    <n v="476"/>
    <x v="0"/>
    <n v="51008618"/>
    <n v="85.593981348414772"/>
    <s v="PLATINO"/>
    <n v="173"/>
    <d v="2026-02-27T15:42:14"/>
  </r>
  <r>
    <n v="477"/>
    <x v="0"/>
    <n v="51010574"/>
    <n v="82.774656010348949"/>
    <s v="PLATINO"/>
    <n v="307"/>
    <d v="2026-02-27T15:42:14"/>
  </r>
  <r>
    <n v="478"/>
    <x v="0"/>
    <n v="51056493"/>
    <n v="61.96"/>
    <s v="ORO"/>
    <n v="758"/>
    <d v="2026-02-27T15:42:14"/>
  </r>
  <r>
    <n v="479"/>
    <x v="0"/>
    <n v="51024206"/>
    <n v="17.32860152099428"/>
    <s v="BRONCE"/>
    <n v="1010"/>
    <d v="2026-02-27T15:42:14"/>
  </r>
  <r>
    <n v="480"/>
    <x v="0"/>
    <n v="51056442"/>
    <n v="85.126243432221088"/>
    <s v="PLATINO"/>
    <n v="194"/>
    <d v="2026-02-27T15:42:14"/>
  </r>
  <r>
    <n v="481"/>
    <x v="0"/>
    <n v="51033621"/>
    <n v="82.880301407715336"/>
    <s v="PLATINO"/>
    <n v="301"/>
    <d v="2026-02-27T15:42:14"/>
  </r>
  <r>
    <n v="482"/>
    <x v="0"/>
    <n v="51016394"/>
    <n v="83.68"/>
    <s v="PLATINO"/>
    <n v="265"/>
    <d v="2026-02-27T15:42:14"/>
  </r>
  <r>
    <n v="483"/>
    <x v="0"/>
    <n v="51001389"/>
    <n v="82.670000000000016"/>
    <s v="PLATINO"/>
    <n v="313"/>
    <d v="2026-02-27T15:42:14"/>
  </r>
  <r>
    <n v="484"/>
    <x v="0"/>
    <n v="51042891"/>
    <n v="87.256744082084495"/>
    <s v="PLATINO"/>
    <n v="87"/>
    <d v="2026-02-27T15:42:14"/>
  </r>
  <r>
    <n v="485"/>
    <x v="0"/>
    <n v="51055411"/>
    <n v="81.533568600828943"/>
    <s v="PLATINO"/>
    <n v="365"/>
    <d v="2026-02-27T15:42:14"/>
  </r>
  <r>
    <n v="486"/>
    <x v="0"/>
    <n v="51038657"/>
    <n v="82.025326629395224"/>
    <s v="PLATINO"/>
    <n v="342"/>
    <d v="2026-02-27T15:42:14"/>
  </r>
  <r>
    <n v="487"/>
    <x v="0"/>
    <n v="51055632"/>
    <n v="60.480061088740783"/>
    <s v="ORO"/>
    <n v="800"/>
    <d v="2026-02-27T15:42:14"/>
  </r>
  <r>
    <n v="488"/>
    <x v="0"/>
    <n v="51026799"/>
    <n v="64.22"/>
    <s v="ORO"/>
    <n v="719"/>
    <d v="2026-02-27T15:42:14"/>
  </r>
  <r>
    <n v="489"/>
    <x v="0"/>
    <n v="51018869"/>
    <n v="75.979226664943951"/>
    <s v="PLATINO"/>
    <n v="569"/>
    <d v="2026-02-27T15:42:14"/>
  </r>
  <r>
    <n v="490"/>
    <x v="0"/>
    <n v="51055144"/>
    <n v="38.780062787464487"/>
    <s v="PLATA"/>
    <n v="889"/>
    <d v="2026-02-27T15:42:14"/>
  </r>
  <r>
    <n v="491"/>
    <x v="0"/>
    <n v="51056884"/>
    <n v="84.77647720800914"/>
    <s v="PLATINO"/>
    <n v="210"/>
    <d v="2026-02-27T15:42:14"/>
  </r>
  <r>
    <n v="492"/>
    <x v="0"/>
    <n v="51030443"/>
    <n v="83.32"/>
    <s v="PLATINO"/>
    <n v="275"/>
    <d v="2026-02-27T15:42:14"/>
  </r>
  <r>
    <n v="493"/>
    <x v="0"/>
    <n v="51016475"/>
    <n v="53.048869103067062"/>
    <s v="PLATA"/>
    <n v="845"/>
    <d v="2026-02-27T15:42:14"/>
  </r>
  <r>
    <n v="494"/>
    <x v="0"/>
    <n v="51018893"/>
    <n v="83.503451243371956"/>
    <s v="PLATINO"/>
    <n v="271"/>
    <d v="2026-02-27T15:42:14"/>
  </r>
  <r>
    <n v="495"/>
    <x v="0"/>
    <n v="51039157"/>
    <n v="80.390118094979869"/>
    <s v="PLATINO"/>
    <n v="423"/>
    <d v="2026-02-27T15:42:14"/>
  </r>
  <r>
    <n v="496"/>
    <x v="0"/>
    <n v="51054822"/>
    <n v="84.691421103798348"/>
    <s v="PLATINO"/>
    <n v="214"/>
    <d v="2026-02-27T15:42:14"/>
  </r>
  <r>
    <n v="497"/>
    <x v="0"/>
    <n v="51003390"/>
    <n v="81.740000000000009"/>
    <s v="PLATINO"/>
    <n v="357"/>
    <d v="2026-02-27T15:42:14"/>
  </r>
  <r>
    <n v="498"/>
    <x v="0"/>
    <n v="51056477"/>
    <n v="80.36"/>
    <s v="PLATINO"/>
    <n v="424"/>
    <d v="2026-02-27T15:42:14"/>
  </r>
  <r>
    <n v="499"/>
    <x v="0"/>
    <n v="51026527"/>
    <n v="84.882769152253601"/>
    <s v="PLATINO"/>
    <n v="206"/>
    <d v="2026-02-27T15:42:14"/>
  </r>
  <r>
    <n v="500"/>
    <x v="0"/>
    <n v="51030982"/>
    <n v="84.358000000000004"/>
    <s v="PLATINO"/>
    <n v="222"/>
    <d v="2026-02-27T15:42:14"/>
  </r>
  <r>
    <n v="501"/>
    <x v="0"/>
    <n v="51023196"/>
    <n v="62"/>
    <s v="ORO"/>
    <n v="756"/>
    <d v="2026-02-27T15:42:14"/>
  </r>
  <r>
    <n v="502"/>
    <x v="0"/>
    <n v="51014596"/>
    <n v="89.385000000000005"/>
    <s v="PLATINO"/>
    <n v="8"/>
    <d v="2026-02-27T15:42:14"/>
  </r>
  <r>
    <n v="503"/>
    <x v="0"/>
    <n v="51030125"/>
    <n v="17.889577457161831"/>
    <s v="BRONCE"/>
    <n v="1005"/>
    <d v="2026-02-27T15:42:14"/>
  </r>
  <r>
    <n v="504"/>
    <x v="0"/>
    <n v="51021550"/>
    <n v="84.692329089784792"/>
    <s v="PLATINO"/>
    <n v="213"/>
    <d v="2026-02-27T15:42:14"/>
  </r>
  <r>
    <n v="505"/>
    <x v="0"/>
    <n v="51031407"/>
    <n v="81.915272641536319"/>
    <s v="PLATINO"/>
    <n v="348"/>
    <d v="2026-02-27T15:42:14"/>
  </r>
  <r>
    <n v="506"/>
    <x v="0"/>
    <n v="51038754"/>
    <n v="81.20556105868593"/>
    <s v="PLATINO"/>
    <n v="384"/>
    <d v="2026-02-27T15:42:14"/>
  </r>
  <r>
    <n v="507"/>
    <x v="0"/>
    <n v="51004761"/>
    <n v="61.332852031616397"/>
    <s v="ORO"/>
    <n v="778"/>
    <d v="2026-02-27T15:42:14"/>
  </r>
  <r>
    <n v="508"/>
    <x v="0"/>
    <n v="51023358"/>
    <n v="81.678287246361151"/>
    <s v="PLATINO"/>
    <n v="360"/>
    <d v="2026-02-27T15:42:14"/>
  </r>
  <r>
    <n v="509"/>
    <x v="0"/>
    <n v="51022670"/>
    <n v="82.342827635277104"/>
    <s v="PLATINO"/>
    <n v="332"/>
    <d v="2026-02-27T15:42:14"/>
  </r>
  <r>
    <n v="510"/>
    <x v="0"/>
    <n v="51029976"/>
    <n v="19.984999999999999"/>
    <s v="BRONCE"/>
    <n v="973"/>
    <d v="2026-02-27T15:42:14"/>
  </r>
  <r>
    <n v="511"/>
    <x v="0"/>
    <n v="51032195"/>
    <n v="10"/>
    <s v="BRONCE"/>
    <n v="1032"/>
    <d v="2026-02-27T15:42:14"/>
  </r>
  <r>
    <n v="512"/>
    <x v="0"/>
    <n v="51042875"/>
    <n v="65.670738640986684"/>
    <s v="ORO"/>
    <n v="687"/>
    <d v="2026-02-27T15:42:14"/>
  </r>
  <r>
    <n v="513"/>
    <x v="0"/>
    <n v="51010728"/>
    <n v="86.406484890679181"/>
    <s v="PLATINO"/>
    <n v="133"/>
    <d v="2026-02-27T15:42:14"/>
  </r>
  <r>
    <n v="514"/>
    <x v="0"/>
    <n v="51056655"/>
    <n v="80.462016405586866"/>
    <s v="PLATINO"/>
    <n v="420"/>
    <d v="2026-02-27T15:42:14"/>
  </r>
  <r>
    <n v="515"/>
    <x v="0"/>
    <n v="51056817"/>
    <n v="70.723691195214684"/>
    <s v="ORO"/>
    <n v="641"/>
    <d v="2026-02-27T15:42:14"/>
  </r>
  <r>
    <n v="516"/>
    <x v="0"/>
    <n v="51018826"/>
    <n v="57.893459002530449"/>
    <s v="ORO"/>
    <n v="831"/>
    <d v="2026-02-27T15:42:14"/>
  </r>
  <r>
    <n v="517"/>
    <x v="0"/>
    <n v="51019814"/>
    <n v="63.04031851686792"/>
    <s v="ORO"/>
    <n v="731"/>
    <d v="2026-02-27T15:42:14"/>
  </r>
  <r>
    <n v="518"/>
    <x v="0"/>
    <n v="51033281"/>
    <n v="37.327252803184138"/>
    <s v="PLATA"/>
    <n v="892"/>
    <d v="2026-02-27T15:42:14"/>
  </r>
  <r>
    <n v="519"/>
    <x v="0"/>
    <n v="51056523"/>
    <n v="76.611352275846599"/>
    <s v="PLATINO"/>
    <n v="559"/>
    <d v="2026-02-27T15:42:14"/>
  </r>
  <r>
    <n v="520"/>
    <x v="0"/>
    <n v="51025792"/>
    <n v="82.35619826074506"/>
    <s v="PLATINO"/>
    <n v="331"/>
    <d v="2026-02-27T15:42:14"/>
  </r>
  <r>
    <n v="521"/>
    <x v="0"/>
    <n v="51056728"/>
    <n v="82.63938353762147"/>
    <s v="PLATINO"/>
    <n v="316"/>
    <d v="2026-02-27T15:42:14"/>
  </r>
  <r>
    <n v="522"/>
    <x v="0"/>
    <n v="51011708"/>
    <n v="84.157421245476655"/>
    <s v="PLATINO"/>
    <n v="239"/>
    <d v="2026-02-27T15:42:14"/>
  </r>
  <r>
    <n v="523"/>
    <x v="0"/>
    <n v="51056558"/>
    <n v="84.413284106910922"/>
    <s v="PLATINO"/>
    <n v="221"/>
    <d v="2026-02-27T15:42:14"/>
  </r>
  <r>
    <n v="524"/>
    <x v="0"/>
    <n v="51041801"/>
    <n v="80.10544127059724"/>
    <s v="PLATINO"/>
    <n v="431"/>
    <d v="2026-02-27T15:42:14"/>
  </r>
  <r>
    <n v="525"/>
    <x v="0"/>
    <n v="51055390"/>
    <n v="85.855000000000004"/>
    <s v="PLATINO"/>
    <n v="161"/>
    <d v="2026-02-27T15:42:14"/>
  </r>
  <r>
    <n v="526"/>
    <x v="0"/>
    <n v="51017081"/>
    <n v="41.696899274496353"/>
    <s v="PLATA"/>
    <n v="879"/>
    <d v="2026-02-27T15:42:14"/>
  </r>
  <r>
    <n v="527"/>
    <x v="0"/>
    <n v="51056345"/>
    <n v="79.293707713794518"/>
    <s v="PLATINO"/>
    <n v="454"/>
    <d v="2026-02-27T15:42:14"/>
  </r>
  <r>
    <n v="528"/>
    <x v="0"/>
    <n v="51055942"/>
    <n v="79.423028383494156"/>
    <s v="PLATINO"/>
    <n v="445"/>
    <d v="2026-02-27T15:42:14"/>
  </r>
  <r>
    <n v="529"/>
    <x v="0"/>
    <n v="51036735"/>
    <n v="83.592997126562949"/>
    <s v="PLATINO"/>
    <n v="269"/>
    <d v="2026-02-27T15:42:14"/>
  </r>
  <r>
    <n v="530"/>
    <x v="0"/>
    <n v="51001427"/>
    <n v="81.238000000000014"/>
    <s v="PLATINO"/>
    <n v="382"/>
    <d v="2026-02-27T15:42:14"/>
  </r>
  <r>
    <n v="531"/>
    <x v="0"/>
    <n v="51010272"/>
    <n v="62.198000000000008"/>
    <s v="ORO"/>
    <n v="749"/>
    <d v="2026-02-27T15:42:14"/>
  </r>
  <r>
    <n v="532"/>
    <x v="0"/>
    <n v="51056451"/>
    <n v="75.958025296932661"/>
    <s v="PLATINO"/>
    <n v="570"/>
    <d v="2026-02-27T15:42:14"/>
  </r>
  <r>
    <n v="533"/>
    <x v="0"/>
    <n v="51018907"/>
    <n v="85.287334478444876"/>
    <s v="PLATINO"/>
    <n v="188"/>
    <d v="2026-02-27T15:42:14"/>
  </r>
  <r>
    <n v="534"/>
    <x v="0"/>
    <n v="51004108"/>
    <n v="81.757999999999996"/>
    <s v="PLATINO"/>
    <n v="356"/>
    <d v="2026-02-27T15:42:14"/>
  </r>
  <r>
    <n v="535"/>
    <x v="0"/>
    <n v="51030869"/>
    <n v="69.803083979928616"/>
    <s v="ORO"/>
    <n v="647"/>
    <d v="2026-02-27T15:42:14"/>
  </r>
  <r>
    <n v="536"/>
    <x v="0"/>
    <n v="51031113"/>
    <n v="83.105750229992921"/>
    <s v="PLATINO"/>
    <n v="291"/>
    <d v="2026-02-27T15:42:14"/>
  </r>
  <r>
    <n v="537"/>
    <x v="0"/>
    <n v="51033329"/>
    <n v="81.088000000000008"/>
    <s v="PLATINO"/>
    <n v="388"/>
    <d v="2026-02-27T15:42:14"/>
  </r>
  <r>
    <n v="538"/>
    <x v="0"/>
    <n v="51042905"/>
    <n v="72.974837028514074"/>
    <s v="ORO"/>
    <n v="616"/>
    <d v="2026-02-27T15:42:14"/>
  </r>
  <r>
    <n v="539"/>
    <x v="0"/>
    <n v="51010833"/>
    <n v="33.258054259179282"/>
    <s v="PLATA"/>
    <n v="907"/>
    <d v="2026-02-27T15:42:14"/>
  </r>
  <r>
    <n v="540"/>
    <x v="0"/>
    <n v="51042956"/>
    <n v="84.449778391471327"/>
    <s v="PLATINO"/>
    <n v="220"/>
    <d v="2026-02-27T15:42:14"/>
  </r>
  <r>
    <n v="541"/>
    <x v="0"/>
    <n v="51039645"/>
    <n v="63.52251359033999"/>
    <s v="ORO"/>
    <n v="725"/>
    <d v="2026-02-27T15:42:14"/>
  </r>
  <r>
    <n v="542"/>
    <x v="0"/>
    <n v="51021622"/>
    <n v="82.716556382751122"/>
    <s v="PLATINO"/>
    <n v="310"/>
    <d v="2026-02-27T15:42:14"/>
  </r>
  <r>
    <n v="543"/>
    <x v="0"/>
    <n v="51031491"/>
    <n v="82.927770167023951"/>
    <s v="PLATINO"/>
    <n v="300"/>
    <d v="2026-02-27T15:42:14"/>
  </r>
  <r>
    <n v="544"/>
    <x v="0"/>
    <n v="51020162"/>
    <n v="81.48144583179679"/>
    <s v="PLATINO"/>
    <n v="370"/>
    <d v="2026-02-27T15:42:14"/>
  </r>
  <r>
    <n v="545"/>
    <x v="0"/>
    <n v="51017056"/>
    <n v="19.998000000000001"/>
    <s v="BRONCE"/>
    <n v="951"/>
    <d v="2026-02-27T15:42:14"/>
  </r>
  <r>
    <n v="546"/>
    <x v="0"/>
    <n v="51056019"/>
    <n v="82.481241790759171"/>
    <s v="PLATINO"/>
    <n v="323"/>
    <d v="2026-02-27T15:42:14"/>
  </r>
  <r>
    <n v="547"/>
    <x v="0"/>
    <n v="51017579"/>
    <n v="61.767839425309703"/>
    <s v="ORO"/>
    <n v="764"/>
    <d v="2026-02-27T15:42:14"/>
  </r>
  <r>
    <n v="548"/>
    <x v="0"/>
    <n v="51015487"/>
    <n v="79.332846587617865"/>
    <s v="PLATINO"/>
    <n v="451"/>
    <d v="2026-02-27T15:42:14"/>
  </r>
  <r>
    <n v="549"/>
    <x v="0"/>
    <n v="51040333"/>
    <n v="62.561954045075957"/>
    <s v="ORO"/>
    <n v="740"/>
    <d v="2026-02-27T15:42:14"/>
  </r>
  <r>
    <n v="550"/>
    <x v="0"/>
    <n v="51017153"/>
    <n v="19.966361011126459"/>
    <s v="BRONCE"/>
    <n v="979"/>
    <d v="2026-02-27T15:42:14"/>
  </r>
  <r>
    <n v="551"/>
    <x v="0"/>
    <n v="51021886"/>
    <n v="81.88"/>
    <s v="PLATINO"/>
    <n v="350"/>
    <d v="2026-02-27T15:42:14"/>
  </r>
  <r>
    <n v="552"/>
    <x v="0"/>
    <n v="51023188"/>
    <n v="77.889904491295908"/>
    <s v="PLATINO"/>
    <n v="502"/>
    <d v="2026-02-27T15:42:14"/>
  </r>
  <r>
    <n v="553"/>
    <x v="0"/>
    <n v="51055667"/>
    <n v="17.432095679121201"/>
    <s v="BRONCE"/>
    <n v="1009"/>
    <d v="2026-02-27T15:42:14"/>
  </r>
  <r>
    <n v="554"/>
    <x v="0"/>
    <n v="51020081"/>
    <n v="83.180590756957073"/>
    <s v="PLATINO"/>
    <n v="286"/>
    <d v="2026-02-27T15:42:14"/>
  </r>
  <r>
    <n v="555"/>
    <x v="0"/>
    <n v="51018729"/>
    <n v="84.914382207000415"/>
    <s v="PLATINO"/>
    <n v="203"/>
    <d v="2026-02-27T15:42:14"/>
  </r>
  <r>
    <n v="556"/>
    <x v="0"/>
    <n v="51030222"/>
    <n v="62.510417047084289"/>
    <s v="ORO"/>
    <n v="741"/>
    <d v="2026-02-27T15:42:14"/>
  </r>
  <r>
    <n v="557"/>
    <x v="0"/>
    <n v="51002717"/>
    <n v="82.270971583247643"/>
    <s v="PLATINO"/>
    <n v="334"/>
    <d v="2026-02-27T15:42:14"/>
  </r>
  <r>
    <n v="558"/>
    <x v="0"/>
    <n v="51055454"/>
    <n v="10"/>
    <s v="BRONCE"/>
    <n v="1032"/>
    <d v="2026-02-27T15:42:14"/>
  </r>
  <r>
    <n v="559"/>
    <x v="0"/>
    <n v="51055756"/>
    <n v="76.304299032167762"/>
    <s v="PLATINO"/>
    <n v="564"/>
    <d v="2026-02-27T15:42:14"/>
  </r>
  <r>
    <n v="560"/>
    <x v="0"/>
    <n v="51011490"/>
    <n v="66.099757204247112"/>
    <s v="ORO"/>
    <n v="680"/>
    <d v="2026-02-27T15:42:14"/>
  </r>
  <r>
    <n v="561"/>
    <x v="0"/>
    <n v="51010736"/>
    <n v="60.287085904785357"/>
    <s v="ORO"/>
    <n v="803"/>
    <d v="2026-02-27T15:42:14"/>
  </r>
  <r>
    <n v="562"/>
    <x v="0"/>
    <n v="51016149"/>
    <n v="62.494806761077747"/>
    <s v="ORO"/>
    <n v="742"/>
    <d v="2026-02-27T15:42:14"/>
  </r>
  <r>
    <n v="563"/>
    <x v="0"/>
    <n v="51013930"/>
    <n v="84.345099555060884"/>
    <s v="PLATINO"/>
    <n v="224"/>
    <d v="2026-02-27T15:42:14"/>
  </r>
  <r>
    <n v="564"/>
    <x v="0"/>
    <n v="51055641"/>
    <n v="81.467428725762687"/>
    <s v="PLATINO"/>
    <n v="371"/>
    <d v="2026-02-27T15:42:14"/>
  </r>
  <r>
    <n v="565"/>
    <x v="0"/>
    <n v="51021461"/>
    <n v="50.327304247462067"/>
    <s v="PLATA"/>
    <n v="855"/>
    <d v="2026-02-27T15:42:14"/>
  </r>
  <r>
    <n v="566"/>
    <x v="0"/>
    <n v="51039637"/>
    <n v="80.651779022181969"/>
    <s v="PLATINO"/>
    <n v="406"/>
    <d v="2026-02-27T15:42:14"/>
  </r>
  <r>
    <n v="567"/>
    <x v="0"/>
    <n v="51020308"/>
    <n v="27.820146923236351"/>
    <s v="BRONCE"/>
    <n v="915"/>
    <d v="2026-02-27T15:42:14"/>
  </r>
  <r>
    <n v="568"/>
    <x v="0"/>
    <n v="51040597"/>
    <n v="81.58"/>
    <s v="PLATINO"/>
    <n v="363"/>
    <d v="2026-02-27T15:42:14"/>
  </r>
  <r>
    <n v="569"/>
    <x v="0"/>
    <n v="51014197"/>
    <n v="83.240000000000009"/>
    <s v="PLATINO"/>
    <n v="282"/>
    <d v="2026-02-27T15:42:14"/>
  </r>
  <r>
    <n v="570"/>
    <x v="0"/>
    <n v="51056621"/>
    <n v="79.358250723573164"/>
    <s v="PLATINO"/>
    <n v="446"/>
    <d v="2026-02-27T15:42:14"/>
  </r>
  <r>
    <n v="571"/>
    <x v="0"/>
    <n v="51018524"/>
    <n v="77.630202635174484"/>
    <s v="PLATINO"/>
    <n v="516"/>
    <d v="2026-02-27T15:42:14"/>
  </r>
  <r>
    <n v="572"/>
    <x v="0"/>
    <n v="51056701"/>
    <n v="62.96"/>
    <s v="ORO"/>
    <n v="732"/>
    <d v="2026-02-27T15:42:14"/>
  </r>
  <r>
    <n v="573"/>
    <x v="0"/>
    <n v="51057007"/>
    <n v="80.996259579108681"/>
    <s v="PLATINO"/>
    <n v="392"/>
    <d v="2026-02-27T15:42:14"/>
  </r>
  <r>
    <n v="574"/>
    <x v="0"/>
    <n v="51011091"/>
    <n v="80.781485923584043"/>
    <s v="PLATINO"/>
    <n v="400"/>
    <d v="2026-02-27T15:42:14"/>
  </r>
  <r>
    <n v="575"/>
    <x v="0"/>
    <n v="51011953"/>
    <n v="19.998000000000001"/>
    <s v="BRONCE"/>
    <n v="951"/>
    <d v="2026-02-27T15:42:14"/>
  </r>
  <r>
    <n v="576"/>
    <x v="0"/>
    <n v="51022955"/>
    <n v="62.338517111488628"/>
    <s v="ORO"/>
    <n v="747"/>
    <d v="2026-02-27T15:42:14"/>
  </r>
  <r>
    <n v="577"/>
    <x v="0"/>
    <n v="51021673"/>
    <n v="19.989999999999998"/>
    <s v="BRONCE"/>
    <n v="971"/>
    <d v="2026-02-27T15:42:14"/>
  </r>
  <r>
    <n v="578"/>
    <x v="0"/>
    <n v="51013476"/>
    <n v="87.53072554072979"/>
    <s v="PLATINO"/>
    <n v="70"/>
    <d v="2026-02-27T15:42:14"/>
  </r>
  <r>
    <n v="579"/>
    <x v="0"/>
    <n v="51022998"/>
    <n v="79.307999999999993"/>
    <s v="PLATINO"/>
    <n v="453"/>
    <d v="2026-02-27T15:42:14"/>
  </r>
  <r>
    <n v="580"/>
    <x v="0"/>
    <n v="51056485"/>
    <n v="82.008850413889661"/>
    <s v="PLATINO"/>
    <n v="343"/>
    <d v="2026-02-27T15:42:14"/>
  </r>
  <r>
    <n v="581"/>
    <x v="0"/>
    <n v="51055705"/>
    <n v="81.389174160330427"/>
    <s v="PLATINO"/>
    <n v="374"/>
    <d v="2026-02-27T15:42:14"/>
  </r>
  <r>
    <n v="582"/>
    <x v="0"/>
    <n v="51041798"/>
    <n v="59.455655873586572"/>
    <s v="ORO"/>
    <n v="816"/>
    <d v="2026-02-27T15:42:14"/>
  </r>
  <r>
    <n v="583"/>
    <x v="0"/>
    <n v="51020600"/>
    <n v="81.838000000000008"/>
    <s v="PLATINO"/>
    <n v="351"/>
    <d v="2026-02-27T15:42:14"/>
  </r>
  <r>
    <n v="584"/>
    <x v="0"/>
    <n v="51033795"/>
    <n v="58.409780718164029"/>
    <s v="ORO"/>
    <n v="824"/>
    <d v="2026-02-27T15:42:14"/>
  </r>
  <r>
    <n v="585"/>
    <x v="0"/>
    <n v="51030419"/>
    <n v="68.406234184218334"/>
    <s v="ORO"/>
    <n v="659"/>
    <d v="2026-02-27T15:42:14"/>
  </r>
  <r>
    <n v="586"/>
    <x v="0"/>
    <n v="51038819"/>
    <n v="82.685890084229101"/>
    <s v="PLATINO"/>
    <n v="312"/>
    <d v="2026-02-27T15:42:14"/>
  </r>
  <r>
    <n v="587"/>
    <x v="0"/>
    <n v="51021851"/>
    <n v="37.213660190933751"/>
    <s v="PLATA"/>
    <n v="893"/>
    <d v="2026-02-27T15:42:14"/>
  </r>
  <r>
    <n v="588"/>
    <x v="0"/>
    <n v="51004086"/>
    <n v="81.12"/>
    <s v="PLATINO"/>
    <n v="387"/>
    <d v="2026-02-27T15:42:14"/>
  </r>
  <r>
    <n v="589"/>
    <x v="0"/>
    <n v="51017111"/>
    <n v="82.87417866559295"/>
    <s v="PLATINO"/>
    <n v="302"/>
    <d v="2026-02-27T15:42:14"/>
  </r>
  <r>
    <n v="590"/>
    <x v="0"/>
    <n v="51022106"/>
    <n v="65.517827320385607"/>
    <s v="ORO"/>
    <n v="692"/>
    <d v="2026-02-27T15:42:14"/>
  </r>
  <r>
    <n v="591"/>
    <x v="0"/>
    <n v="51056205"/>
    <n v="81.987043679825391"/>
    <s v="PLATINO"/>
    <n v="345"/>
    <d v="2026-02-27T15:42:14"/>
  </r>
  <r>
    <n v="592"/>
    <x v="0"/>
    <n v="51055870"/>
    <n v="83.56"/>
    <s v="PLATINO"/>
    <n v="270"/>
    <d v="2026-02-27T15:42:14"/>
  </r>
  <r>
    <n v="593"/>
    <x v="0"/>
    <n v="51017226"/>
    <n v="20"/>
    <s v="BRONCE"/>
    <n v="923"/>
    <d v="2026-02-27T15:42:14"/>
  </r>
  <r>
    <n v="594"/>
    <x v="0"/>
    <n v="51056965"/>
    <n v="18.595417924182939"/>
    <s v="BRONCE"/>
    <n v="1000"/>
    <d v="2026-02-27T15:42:14"/>
  </r>
  <r>
    <n v="595"/>
    <x v="0"/>
    <n v="51033671"/>
    <n v="82.960204998728173"/>
    <s v="PLATINO"/>
    <n v="298"/>
    <d v="2026-02-27T15:42:14"/>
  </r>
  <r>
    <n v="596"/>
    <x v="0"/>
    <n v="51038797"/>
    <n v="81.94"/>
    <s v="PLATINO"/>
    <n v="347"/>
    <d v="2026-02-27T15:42:14"/>
  </r>
  <r>
    <n v="597"/>
    <x v="0"/>
    <n v="51013492"/>
    <n v="20"/>
    <s v="BRONCE"/>
    <n v="923"/>
    <d v="2026-02-27T15:42:14"/>
  </r>
  <r>
    <n v="598"/>
    <x v="0"/>
    <n v="51019415"/>
    <n v="81.62"/>
    <s v="PLATINO"/>
    <n v="362"/>
    <d v="2026-02-27T15:42:14"/>
  </r>
  <r>
    <n v="599"/>
    <x v="0"/>
    <n v="51036107"/>
    <n v="83.686038812821977"/>
    <s v="PLATINO"/>
    <n v="264"/>
    <d v="2026-02-27T15:42:14"/>
  </r>
  <r>
    <n v="600"/>
    <x v="0"/>
    <n v="51056990"/>
    <n v="77.820186466145302"/>
    <s v="PLATINO"/>
    <n v="506"/>
    <d v="2026-02-27T15:42:14"/>
  </r>
  <r>
    <n v="601"/>
    <x v="0"/>
    <n v="51025296"/>
    <n v="60.946239019308763"/>
    <s v="ORO"/>
    <n v="786"/>
    <d v="2026-02-27T15:42:14"/>
  </r>
  <r>
    <n v="602"/>
    <x v="0"/>
    <n v="51056639"/>
    <n v="18.671959533190449"/>
    <s v="BRONCE"/>
    <n v="999"/>
    <d v="2026-02-27T15:42:14"/>
  </r>
  <r>
    <n v="603"/>
    <x v="0"/>
    <n v="51015029"/>
    <n v="63.489497278812003"/>
    <s v="ORO"/>
    <n v="726"/>
    <d v="2026-02-27T15:42:14"/>
  </r>
  <r>
    <n v="604"/>
    <x v="0"/>
    <n v="51055730"/>
    <n v="80.750928092998691"/>
    <s v="PLATINO"/>
    <n v="401"/>
    <d v="2026-02-27T15:42:14"/>
  </r>
  <r>
    <n v="605"/>
    <x v="0"/>
    <n v="51018257"/>
    <n v="61.227512480213903"/>
    <s v="ORO"/>
    <n v="779"/>
    <d v="2026-02-27T15:42:14"/>
  </r>
  <r>
    <n v="606"/>
    <x v="0"/>
    <n v="51055845"/>
    <n v="82.649019497689565"/>
    <s v="PLATINO"/>
    <n v="315"/>
    <d v="2026-02-27T15:42:14"/>
  </r>
  <r>
    <n v="607"/>
    <x v="0"/>
    <n v="51028015"/>
    <n v="83.288230478844227"/>
    <s v="PLATINO"/>
    <n v="280"/>
    <d v="2026-02-27T15:42:14"/>
  </r>
  <r>
    <n v="608"/>
    <x v="0"/>
    <n v="51012887"/>
    <n v="80.498000000000005"/>
    <s v="PLATINO"/>
    <n v="416"/>
    <d v="2026-02-27T15:42:14"/>
  </r>
  <r>
    <n v="609"/>
    <x v="0"/>
    <n v="51010311"/>
    <n v="64.235544703990826"/>
    <s v="ORO"/>
    <n v="717"/>
    <d v="2026-02-27T15:42:14"/>
  </r>
  <r>
    <n v="610"/>
    <x v="0"/>
    <n v="51036638"/>
    <n v="76.747906637619423"/>
    <s v="PLATINO"/>
    <n v="553"/>
    <d v="2026-02-27T15:42:14"/>
  </r>
  <r>
    <n v="611"/>
    <x v="0"/>
    <n v="51033442"/>
    <n v="87.76"/>
    <s v="PLATINO"/>
    <n v="59"/>
    <d v="2026-02-27T15:42:14"/>
  </r>
  <r>
    <n v="612"/>
    <x v="0"/>
    <n v="51014774"/>
    <n v="84.906828003140845"/>
    <s v="PLATINO"/>
    <n v="204"/>
    <d v="2026-02-27T15:42:14"/>
  </r>
  <r>
    <n v="613"/>
    <x v="0"/>
    <n v="51043847"/>
    <n v="30.214452304415861"/>
    <s v="PLATA"/>
    <n v="911"/>
    <d v="2026-02-27T15:42:14"/>
  </r>
  <r>
    <n v="614"/>
    <x v="0"/>
    <n v="51032381"/>
    <n v="76.884660765084377"/>
    <s v="PLATINO"/>
    <n v="549"/>
    <d v="2026-02-27T15:42:14"/>
  </r>
  <r>
    <n v="615"/>
    <x v="0"/>
    <n v="51018508"/>
    <n v="65.517419486991315"/>
    <s v="ORO"/>
    <n v="693"/>
    <d v="2026-02-27T15:42:14"/>
  </r>
  <r>
    <n v="616"/>
    <x v="0"/>
    <n v="51003616"/>
    <n v="85.488607826551089"/>
    <s v="PLATINO"/>
    <n v="182"/>
    <d v="2026-02-27T15:42:14"/>
  </r>
  <r>
    <n v="617"/>
    <x v="0"/>
    <n v="51038932"/>
    <n v="51.010274520743067"/>
    <s v="PLATA"/>
    <n v="851"/>
    <d v="2026-02-27T15:42:14"/>
  </r>
  <r>
    <n v="618"/>
    <x v="0"/>
    <n v="51039211"/>
    <n v="60.498983963884342"/>
    <s v="ORO"/>
    <n v="799"/>
    <d v="2026-02-27T15:42:14"/>
  </r>
  <r>
    <n v="619"/>
    <x v="0"/>
    <n v="51018664"/>
    <n v="14.861657320504809"/>
    <s v="BRONCE"/>
    <n v="1025"/>
    <d v="2026-02-27T15:42:14"/>
  </r>
  <r>
    <n v="620"/>
    <x v="0"/>
    <n v="51056671"/>
    <n v="62.37"/>
    <s v="ORO"/>
    <n v="746"/>
    <d v="2026-02-27T15:42:14"/>
  </r>
  <r>
    <n v="621"/>
    <x v="0"/>
    <n v="51055462"/>
    <n v="77.564743465973919"/>
    <s v="PLATINO"/>
    <n v="518"/>
    <d v="2026-02-27T15:42:14"/>
  </r>
  <r>
    <n v="622"/>
    <x v="0"/>
    <n v="51014081"/>
    <n v="80.704999999999998"/>
    <s v="PLATINO"/>
    <n v="403"/>
    <d v="2026-02-27T15:42:14"/>
  </r>
  <r>
    <n v="623"/>
    <x v="0"/>
    <n v="51055918"/>
    <n v="60.527193904554473"/>
    <s v="ORO"/>
    <n v="797"/>
    <d v="2026-02-27T15:42:14"/>
  </r>
  <r>
    <n v="624"/>
    <x v="0"/>
    <n v="51016785"/>
    <n v="81.713724691052974"/>
    <s v="PLATINO"/>
    <n v="358"/>
    <d v="2026-02-27T15:42:14"/>
  </r>
  <r>
    <n v="625"/>
    <x v="0"/>
    <n v="51055268"/>
    <n v="61.429638582271672"/>
    <s v="ORO"/>
    <n v="774"/>
    <d v="2026-02-27T15:42:14"/>
  </r>
  <r>
    <n v="626"/>
    <x v="0"/>
    <n v="51015533"/>
    <n v="76.687911687746592"/>
    <s v="PLATINO"/>
    <n v="556"/>
    <d v="2026-02-27T15:42:14"/>
  </r>
  <r>
    <n v="627"/>
    <x v="0"/>
    <n v="51018371"/>
    <n v="81.043896989445699"/>
    <s v="PLATINO"/>
    <n v="390"/>
    <d v="2026-02-27T15:42:14"/>
  </r>
  <r>
    <n v="628"/>
    <x v="0"/>
    <n v="51004027"/>
    <n v="61.781465386265019"/>
    <s v="ORO"/>
    <n v="761"/>
    <d v="2026-02-27T15:42:14"/>
  </r>
  <r>
    <n v="629"/>
    <x v="0"/>
    <n v="51011660"/>
    <n v="59.057953988916971"/>
    <s v="ORO"/>
    <n v="820"/>
    <d v="2026-02-27T15:42:14"/>
  </r>
  <r>
    <n v="630"/>
    <x v="0"/>
    <n v="51022556"/>
    <n v="61.058000000000007"/>
    <s v="ORO"/>
    <n v="783"/>
    <d v="2026-02-27T15:42:14"/>
  </r>
  <r>
    <n v="631"/>
    <x v="0"/>
    <n v="51018427"/>
    <n v="59.344169042989357"/>
    <s v="ORO"/>
    <n v="818"/>
    <d v="2026-02-27T15:42:14"/>
  </r>
  <r>
    <n v="632"/>
    <x v="0"/>
    <n v="51024516"/>
    <n v="87.236284757212161"/>
    <s v="PLATINO"/>
    <n v="88"/>
    <d v="2026-02-27T15:42:14"/>
  </r>
  <r>
    <n v="633"/>
    <x v="0"/>
    <n v="51011856"/>
    <n v="80.421918154701743"/>
    <s v="PLATINO"/>
    <n v="421"/>
    <d v="2026-02-27T15:42:14"/>
  </r>
  <r>
    <n v="634"/>
    <x v="0"/>
    <n v="51032322"/>
    <n v="77.969054666521316"/>
    <s v="PLATINO"/>
    <n v="498"/>
    <d v="2026-02-27T15:42:14"/>
  </r>
  <r>
    <n v="635"/>
    <x v="0"/>
    <n v="51013859"/>
    <n v="82.28"/>
    <s v="PLATINO"/>
    <n v="333"/>
    <d v="2026-02-27T15:42:14"/>
  </r>
  <r>
    <n v="636"/>
    <x v="0"/>
    <n v="51008430"/>
    <n v="64.451623342468238"/>
    <s v="ORO"/>
    <n v="712"/>
    <d v="2026-02-27T15:42:14"/>
  </r>
  <r>
    <n v="637"/>
    <x v="0"/>
    <n v="51042158"/>
    <n v="80.505681113592772"/>
    <s v="PLATINO"/>
    <n v="415"/>
    <d v="2026-02-27T15:42:14"/>
  </r>
  <r>
    <n v="638"/>
    <x v="0"/>
    <n v="51011627"/>
    <n v="59.556309067729757"/>
    <s v="ORO"/>
    <n v="815"/>
    <d v="2026-02-27T15:42:14"/>
  </r>
  <r>
    <n v="639"/>
    <x v="0"/>
    <n v="51010426"/>
    <n v="81.549537271053524"/>
    <s v="PLATINO"/>
    <n v="364"/>
    <d v="2026-02-27T15:42:14"/>
  </r>
  <r>
    <n v="640"/>
    <x v="0"/>
    <n v="51033205"/>
    <n v="75.059928041976292"/>
    <s v="PLATINO"/>
    <n v="590"/>
    <d v="2026-02-27T15:42:14"/>
  </r>
  <r>
    <n v="641"/>
    <x v="0"/>
    <n v="51035976"/>
    <n v="20"/>
    <s v="BRONCE"/>
    <n v="923"/>
    <d v="2026-02-27T15:42:14"/>
  </r>
  <r>
    <n v="642"/>
    <x v="0"/>
    <n v="51010914"/>
    <n v="75.380048253617602"/>
    <s v="PLATINO"/>
    <n v="587"/>
    <d v="2026-02-27T15:42:14"/>
  </r>
  <r>
    <n v="643"/>
    <x v="0"/>
    <n v="51023129"/>
    <n v="79.030956447490937"/>
    <s v="PLATINO"/>
    <n v="466"/>
    <d v="2026-02-27T15:42:14"/>
  </r>
  <r>
    <n v="644"/>
    <x v="0"/>
    <n v="51054857"/>
    <n v="85.51201264385405"/>
    <s v="PLATINO"/>
    <n v="179"/>
    <d v="2026-02-27T15:42:14"/>
  </r>
  <r>
    <n v="645"/>
    <x v="0"/>
    <n v="51055926"/>
    <n v="66.448385534349882"/>
    <s v="ORO"/>
    <n v="676"/>
    <d v="2026-02-27T15:42:14"/>
  </r>
  <r>
    <n v="646"/>
    <x v="0"/>
    <n v="51021282"/>
    <n v="19.98"/>
    <s v="BRONCE"/>
    <n v="976"/>
    <d v="2026-02-27T15:42:14"/>
  </r>
  <r>
    <n v="647"/>
    <x v="0"/>
    <n v="51031369"/>
    <n v="66.601002886543171"/>
    <s v="ORO"/>
    <n v="675"/>
    <d v="2026-02-27T15:42:14"/>
  </r>
  <r>
    <n v="648"/>
    <x v="0"/>
    <n v="51024621"/>
    <n v="81.282962201867036"/>
    <s v="PLATINO"/>
    <n v="379"/>
    <d v="2026-02-27T15:42:14"/>
  </r>
  <r>
    <n v="649"/>
    <x v="0"/>
    <n v="51032284"/>
    <n v="77.195097226624284"/>
    <s v="PLATINO"/>
    <n v="535"/>
    <d v="2026-02-27T15:42:14"/>
  </r>
  <r>
    <n v="650"/>
    <x v="0"/>
    <n v="51018966"/>
    <n v="83.6"/>
    <s v="PLATINO"/>
    <n v="268"/>
    <d v="2026-02-27T15:42:14"/>
  </r>
  <r>
    <n v="651"/>
    <x v="0"/>
    <n v="51012623"/>
    <n v="80.338000000000008"/>
    <s v="PLATINO"/>
    <n v="425"/>
    <d v="2026-02-27T15:42:14"/>
  </r>
  <r>
    <n v="652"/>
    <x v="0"/>
    <n v="51019121"/>
    <n v="84.029282567186925"/>
    <s v="PLATINO"/>
    <n v="244"/>
    <d v="2026-02-27T15:42:14"/>
  </r>
  <r>
    <n v="653"/>
    <x v="0"/>
    <n v="51036085"/>
    <n v="20"/>
    <s v="BRONCE"/>
    <n v="923"/>
    <d v="2026-02-27T15:42:14"/>
  </r>
  <r>
    <n v="654"/>
    <x v="0"/>
    <n v="51002164"/>
    <n v="82.060884810647181"/>
    <s v="PLATINO"/>
    <n v="341"/>
    <d v="2026-02-27T15:42:14"/>
  </r>
  <r>
    <n v="655"/>
    <x v="0"/>
    <n v="51013182"/>
    <n v="82.78"/>
    <s v="PLATINO"/>
    <n v="306"/>
    <d v="2026-02-27T15:42:14"/>
  </r>
  <r>
    <n v="656"/>
    <x v="0"/>
    <n v="51033086"/>
    <n v="83.852619210083745"/>
    <s v="PLATINO"/>
    <n v="256"/>
    <d v="2026-02-27T15:42:14"/>
  </r>
  <r>
    <n v="657"/>
    <x v="0"/>
    <n v="51029038"/>
    <n v="65.603604781284801"/>
    <s v="ORO"/>
    <n v="689"/>
    <d v="2026-02-27T15:42:14"/>
  </r>
  <r>
    <n v="658"/>
    <x v="0"/>
    <n v="51024168"/>
    <n v="62.916540392753063"/>
    <s v="ORO"/>
    <n v="734"/>
    <d v="2026-02-27T15:42:14"/>
  </r>
  <r>
    <n v="659"/>
    <x v="0"/>
    <n v="51023455"/>
    <n v="59.226860964678011"/>
    <s v="ORO"/>
    <n v="819"/>
    <d v="2026-02-27T15:42:14"/>
  </r>
  <r>
    <n v="660"/>
    <x v="0"/>
    <n v="51016131"/>
    <n v="78.836751093673584"/>
    <s v="PLATINO"/>
    <n v="474"/>
    <d v="2026-02-27T15:42:14"/>
  </r>
  <r>
    <n v="661"/>
    <x v="0"/>
    <n v="51016408"/>
    <n v="86.825000000000003"/>
    <s v="PLATINO"/>
    <n v="112"/>
    <d v="2026-02-27T15:42:14"/>
  </r>
  <r>
    <n v="662"/>
    <x v="0"/>
    <n v="51056914"/>
    <n v="81.01263305278033"/>
    <s v="PLATINO"/>
    <n v="391"/>
    <d v="2026-02-27T15:42:14"/>
  </r>
  <r>
    <n v="663"/>
    <x v="0"/>
    <n v="51016858"/>
    <n v="80.62"/>
    <s v="PLATINO"/>
    <n v="410"/>
    <d v="2026-02-27T15:42:14"/>
  </r>
  <r>
    <n v="664"/>
    <x v="0"/>
    <n v="51035666"/>
    <n v="65.838092547540455"/>
    <s v="ORO"/>
    <n v="683"/>
    <d v="2026-02-27T15:42:14"/>
  </r>
  <r>
    <n v="665"/>
    <x v="0"/>
    <n v="51022068"/>
    <n v="79.282892218910476"/>
    <s v="PLATINO"/>
    <n v="455"/>
    <d v="2026-02-27T15:42:14"/>
  </r>
  <r>
    <n v="666"/>
    <x v="0"/>
    <n v="51013611"/>
    <n v="75.682819533904208"/>
    <s v="PLATINO"/>
    <n v="577"/>
    <d v="2026-02-27T15:42:14"/>
  </r>
  <r>
    <n v="667"/>
    <x v="0"/>
    <n v="51013115"/>
    <n v="33.280073168703609"/>
    <s v="PLATA"/>
    <n v="905"/>
    <d v="2026-02-27T15:42:14"/>
  </r>
  <r>
    <n v="668"/>
    <x v="0"/>
    <n v="51056744"/>
    <n v="79.039836478143116"/>
    <s v="PLATINO"/>
    <n v="465"/>
    <d v="2026-02-27T15:42:14"/>
  </r>
  <r>
    <n v="669"/>
    <x v="0"/>
    <n v="51031822"/>
    <n v="75.383174089052133"/>
    <s v="PLATINO"/>
    <n v="586"/>
    <d v="2026-02-27T15:42:14"/>
  </r>
  <r>
    <n v="670"/>
    <x v="0"/>
    <n v="51025938"/>
    <n v="65.066572733685788"/>
    <s v="ORO"/>
    <n v="700"/>
    <d v="2026-02-27T15:42:14"/>
  </r>
  <r>
    <n v="671"/>
    <x v="0"/>
    <n v="51030141"/>
    <n v="78.607943173204148"/>
    <s v="PLATINO"/>
    <n v="477"/>
    <d v="2026-02-27T15:42:14"/>
  </r>
  <r>
    <n v="672"/>
    <x v="0"/>
    <n v="51004698"/>
    <n v="73.541300907743036"/>
    <s v="ORO"/>
    <n v="606"/>
    <d v="2026-02-27T15:42:14"/>
  </r>
  <r>
    <n v="673"/>
    <x v="0"/>
    <n v="51029585"/>
    <n v="72.024505046180963"/>
    <s v="ORO"/>
    <n v="629"/>
    <d v="2026-02-27T15:42:14"/>
  </r>
  <r>
    <n v="674"/>
    <x v="0"/>
    <n v="51018389"/>
    <n v="77.421430299101885"/>
    <s v="PLATINO"/>
    <n v="525"/>
    <d v="2026-02-27T15:42:14"/>
  </r>
  <r>
    <n v="675"/>
    <x v="0"/>
    <n v="51017137"/>
    <n v="36.184821408841287"/>
    <s v="PLATA"/>
    <n v="896"/>
    <d v="2026-02-27T15:42:14"/>
  </r>
  <r>
    <n v="676"/>
    <x v="0"/>
    <n v="51041232"/>
    <n v="82.39916155133642"/>
    <s v="PLATINO"/>
    <n v="329"/>
    <d v="2026-02-27T15:42:14"/>
  </r>
  <r>
    <n v="677"/>
    <x v="0"/>
    <n v="51022769"/>
    <n v="18.418158023367649"/>
    <s v="BRONCE"/>
    <n v="1002"/>
    <d v="2026-02-27T15:42:14"/>
  </r>
  <r>
    <n v="678"/>
    <x v="0"/>
    <n v="51031164"/>
    <n v="84.152997890289015"/>
    <s v="PLATINO"/>
    <n v="240"/>
    <d v="2026-02-27T15:42:14"/>
  </r>
  <r>
    <n v="679"/>
    <x v="0"/>
    <n v="51030371"/>
    <n v="82.239303659357319"/>
    <s v="PLATINO"/>
    <n v="336"/>
    <d v="2026-02-27T15:42:14"/>
  </r>
  <r>
    <n v="680"/>
    <x v="0"/>
    <n v="51040392"/>
    <n v="61.510653953762201"/>
    <s v="ORO"/>
    <n v="768"/>
    <d v="2026-02-27T15:42:14"/>
  </r>
  <r>
    <n v="681"/>
    <x v="0"/>
    <n v="51014693"/>
    <n v="83.767938697061254"/>
    <s v="PLATINO"/>
    <n v="260"/>
    <d v="2026-02-27T15:42:14"/>
  </r>
  <r>
    <n v="682"/>
    <x v="0"/>
    <n v="51055551"/>
    <n v="78.958710771986503"/>
    <s v="PLATINO"/>
    <n v="467"/>
    <d v="2026-02-27T15:42:14"/>
  </r>
  <r>
    <n v="683"/>
    <x v="0"/>
    <n v="51012593"/>
    <n v="70.129351265640608"/>
    <s v="ORO"/>
    <n v="644"/>
    <d v="2026-02-27T15:42:14"/>
  </r>
  <r>
    <n v="684"/>
    <x v="0"/>
    <n v="51015908"/>
    <n v="62.405000000000001"/>
    <s v="ORO"/>
    <n v="744"/>
    <d v="2026-02-27T15:42:14"/>
  </r>
  <r>
    <n v="685"/>
    <x v="0"/>
    <n v="51015924"/>
    <n v="85.38"/>
    <s v="PLATINO"/>
    <n v="186"/>
    <d v="2026-02-27T15:42:14"/>
  </r>
  <r>
    <n v="686"/>
    <x v="0"/>
    <n v="51034252"/>
    <n v="79.350094833605596"/>
    <s v="PLATINO"/>
    <n v="447"/>
    <d v="2026-02-27T15:42:14"/>
  </r>
  <r>
    <n v="687"/>
    <x v="0"/>
    <n v="51017676"/>
    <n v="80.240000000000009"/>
    <s v="PLATINO"/>
    <n v="428"/>
    <d v="2026-02-27T15:42:14"/>
  </r>
  <r>
    <n v="688"/>
    <x v="0"/>
    <n v="51033655"/>
    <n v="79.345321966397378"/>
    <s v="PLATINO"/>
    <n v="449"/>
    <d v="2026-02-27T15:42:14"/>
  </r>
  <r>
    <n v="689"/>
    <x v="0"/>
    <n v="51014740"/>
    <n v="72.660177235463891"/>
    <s v="ORO"/>
    <n v="619"/>
    <d v="2026-02-27T15:42:14"/>
  </r>
  <r>
    <n v="690"/>
    <x v="0"/>
    <n v="51011287"/>
    <n v="64.327187209558346"/>
    <s v="ORO"/>
    <n v="714"/>
    <d v="2026-02-27T15:42:14"/>
  </r>
  <r>
    <n v="691"/>
    <x v="0"/>
    <n v="51026306"/>
    <n v="79.252503026998539"/>
    <s v="PLATINO"/>
    <n v="456"/>
    <d v="2026-02-27T15:42:14"/>
  </r>
  <r>
    <n v="692"/>
    <x v="0"/>
    <n v="51040325"/>
    <n v="78.453783712011557"/>
    <s v="PLATINO"/>
    <n v="479"/>
    <d v="2026-02-27T15:42:14"/>
  </r>
  <r>
    <n v="693"/>
    <x v="0"/>
    <n v="51055543"/>
    <n v="82.491962170473997"/>
    <s v="PLATINO"/>
    <n v="322"/>
    <d v="2026-02-27T15:42:14"/>
  </r>
  <r>
    <n v="694"/>
    <x v="0"/>
    <n v="51037031"/>
    <n v="75.955543078356726"/>
    <s v="PLATINO"/>
    <n v="571"/>
    <d v="2026-02-27T15:42:14"/>
  </r>
  <r>
    <n v="695"/>
    <x v="0"/>
    <n v="51057244"/>
    <n v="78.868939223695378"/>
    <s v="PLATINO"/>
    <n v="471"/>
    <d v="2026-02-27T15:42:14"/>
  </r>
  <r>
    <n v="696"/>
    <x v="0"/>
    <n v="51032004"/>
    <n v="84.014112877131453"/>
    <s v="PLATINO"/>
    <n v="246"/>
    <d v="2026-02-27T15:42:14"/>
  </r>
  <r>
    <n v="697"/>
    <x v="0"/>
    <n v="51019253"/>
    <n v="73.248334253106606"/>
    <s v="ORO"/>
    <n v="610"/>
    <d v="2026-02-27T15:42:14"/>
  </r>
  <r>
    <n v="698"/>
    <x v="0"/>
    <n v="51008413"/>
    <n v="80"/>
    <s v="PLATINO"/>
    <n v="438"/>
    <d v="2026-02-27T15:42:14"/>
  </r>
  <r>
    <n v="699"/>
    <x v="0"/>
    <n v="51018265"/>
    <n v="80.145020190573788"/>
    <s v="PLATINO"/>
    <n v="430"/>
    <d v="2026-02-27T15:42:14"/>
  </r>
  <r>
    <n v="700"/>
    <x v="0"/>
    <n v="51022050"/>
    <n v="69.648862182120752"/>
    <s v="ORO"/>
    <n v="650"/>
    <d v="2026-02-27T15:42:14"/>
  </r>
  <r>
    <n v="701"/>
    <x v="0"/>
    <n v="51016076"/>
    <n v="80.060477351341788"/>
    <s v="PLATINO"/>
    <n v="434"/>
    <d v="2026-02-27T15:42:14"/>
  </r>
  <r>
    <n v="702"/>
    <x v="0"/>
    <n v="51014634"/>
    <n v="81.195009434659823"/>
    <s v="PLATINO"/>
    <n v="385"/>
    <d v="2026-02-27T15:42:14"/>
  </r>
  <r>
    <n v="703"/>
    <x v="0"/>
    <n v="51004655"/>
    <n v="61.064901754140848"/>
    <s v="ORO"/>
    <n v="782"/>
    <d v="2026-02-27T15:42:14"/>
  </r>
  <r>
    <n v="704"/>
    <x v="0"/>
    <n v="51030974"/>
    <n v="19.98"/>
    <s v="BRONCE"/>
    <n v="976"/>
    <d v="2026-02-27T15:42:14"/>
  </r>
  <r>
    <n v="705"/>
    <x v="0"/>
    <n v="51056787"/>
    <n v="78.397033813021949"/>
    <s v="PLATINO"/>
    <n v="480"/>
    <d v="2026-02-27T15:42:14"/>
  </r>
  <r>
    <n v="706"/>
    <x v="0"/>
    <n v="51032802"/>
    <n v="58.319143152844497"/>
    <s v="ORO"/>
    <n v="826"/>
    <d v="2026-02-27T15:42:14"/>
  </r>
  <r>
    <n v="707"/>
    <x v="0"/>
    <n v="51043677"/>
    <n v="79.539999999999992"/>
    <s v="PLATINO"/>
    <n v="444"/>
    <d v="2026-02-27T15:42:14"/>
  </r>
  <r>
    <n v="708"/>
    <x v="0"/>
    <n v="51022467"/>
    <n v="79.66"/>
    <s v="PLATINO"/>
    <n v="442"/>
    <d v="2026-02-27T15:42:14"/>
  </r>
  <r>
    <n v="709"/>
    <x v="0"/>
    <n v="51055225"/>
    <n v="80.968167875030957"/>
    <s v="PLATINO"/>
    <n v="394"/>
    <d v="2026-02-27T15:42:14"/>
  </r>
  <r>
    <n v="710"/>
    <x v="0"/>
    <n v="51041666"/>
    <n v="38.12885935577139"/>
    <s v="PLATA"/>
    <n v="890"/>
    <d v="2026-02-27T15:42:14"/>
  </r>
  <r>
    <n v="711"/>
    <x v="0"/>
    <n v="51024753"/>
    <n v="81.315050558037825"/>
    <s v="PLATINO"/>
    <n v="377"/>
    <d v="2026-02-27T15:42:14"/>
  </r>
  <r>
    <n v="712"/>
    <x v="0"/>
    <n v="51023901"/>
    <n v="61.46"/>
    <s v="ORO"/>
    <n v="772"/>
    <d v="2026-02-27T15:42:14"/>
  </r>
  <r>
    <n v="713"/>
    <x v="0"/>
    <n v="51038401"/>
    <n v="82.406466381199778"/>
    <s v="PLATINO"/>
    <n v="328"/>
    <d v="2026-02-27T15:42:14"/>
  </r>
  <r>
    <n v="714"/>
    <x v="0"/>
    <n v="51023226"/>
    <n v="80.907374336157119"/>
    <s v="PLATINO"/>
    <n v="396"/>
    <d v="2026-02-27T15:42:14"/>
  </r>
  <r>
    <n v="715"/>
    <x v="0"/>
    <n v="51019717"/>
    <n v="81.793648592784379"/>
    <s v="PLATINO"/>
    <n v="355"/>
    <d v="2026-02-27T15:42:14"/>
  </r>
  <r>
    <n v="716"/>
    <x v="0"/>
    <n v="51007115"/>
    <n v="79.883474653676984"/>
    <s v="PLATINO"/>
    <n v="439"/>
    <d v="2026-02-27T15:42:14"/>
  </r>
  <r>
    <n v="717"/>
    <x v="0"/>
    <n v="51016637"/>
    <n v="78.00500000000001"/>
    <s v="PLATINO"/>
    <n v="496"/>
    <d v="2026-02-27T15:42:14"/>
  </r>
  <r>
    <n v="718"/>
    <x v="0"/>
    <n v="51023439"/>
    <n v="78.380751972127271"/>
    <s v="PLATINO"/>
    <n v="481"/>
    <d v="2026-02-27T15:42:14"/>
  </r>
  <r>
    <n v="719"/>
    <x v="0"/>
    <n v="51031334"/>
    <n v="46.484183349562613"/>
    <s v="PLATA"/>
    <n v="869"/>
    <d v="2026-02-27T15:42:14"/>
  </r>
  <r>
    <n v="720"/>
    <x v="0"/>
    <n v="51005368"/>
    <n v="76.439163308904071"/>
    <s v="PLATINO"/>
    <n v="562"/>
    <d v="2026-02-27T15:42:14"/>
  </r>
  <r>
    <n v="721"/>
    <x v="0"/>
    <n v="51023803"/>
    <n v="85.58"/>
    <s v="PLATINO"/>
    <n v="175"/>
    <d v="2026-02-27T15:42:14"/>
  </r>
  <r>
    <n v="722"/>
    <x v="0"/>
    <n v="51016777"/>
    <n v="80.600192080606462"/>
    <s v="PLATINO"/>
    <n v="412"/>
    <d v="2026-02-27T15:42:14"/>
  </r>
  <r>
    <n v="723"/>
    <x v="0"/>
    <n v="51056094"/>
    <n v="80.93738643742617"/>
    <s v="PLATINO"/>
    <n v="395"/>
    <d v="2026-02-27T15:42:14"/>
  </r>
  <r>
    <n v="724"/>
    <x v="0"/>
    <n v="51018044"/>
    <n v="19.998000000000001"/>
    <s v="BRONCE"/>
    <n v="951"/>
    <d v="2026-02-27T15:42:14"/>
  </r>
  <r>
    <n v="725"/>
    <x v="0"/>
    <n v="51031318"/>
    <n v="76.725082412992549"/>
    <s v="PLATINO"/>
    <n v="555"/>
    <d v="2026-02-27T15:42:14"/>
  </r>
  <r>
    <n v="726"/>
    <x v="0"/>
    <n v="51031750"/>
    <n v="78.185923320659384"/>
    <s v="PLATINO"/>
    <n v="489"/>
    <d v="2026-02-27T15:42:14"/>
  </r>
  <r>
    <n v="727"/>
    <x v="0"/>
    <n v="51032063"/>
    <n v="80.819999999999993"/>
    <s v="PLATINO"/>
    <n v="399"/>
    <d v="2026-02-27T15:42:14"/>
  </r>
  <r>
    <n v="728"/>
    <x v="0"/>
    <n v="51029232"/>
    <n v="9.9600000000000009"/>
    <s v="BRONCE"/>
    <n v="1190"/>
    <d v="2026-02-27T15:42:14"/>
  </r>
  <r>
    <n v="729"/>
    <x v="0"/>
    <n v="51035879"/>
    <n v="69.7632589086964"/>
    <s v="ORO"/>
    <n v="648"/>
    <d v="2026-02-27T15:42:14"/>
  </r>
  <r>
    <n v="730"/>
    <x v="0"/>
    <n v="51001044"/>
    <n v="80.099999999999994"/>
    <s v="PLATINO"/>
    <n v="432"/>
    <d v="2026-02-27T15:42:14"/>
  </r>
  <r>
    <n v="731"/>
    <x v="0"/>
    <n v="51028929"/>
    <n v="61.18"/>
    <s v="ORO"/>
    <n v="781"/>
    <d v="2026-02-27T15:42:14"/>
  </r>
  <r>
    <n v="732"/>
    <x v="0"/>
    <n v="51054873"/>
    <n v="34.466808736228927"/>
    <s v="PLATA"/>
    <n v="900"/>
    <d v="2026-02-27T15:42:14"/>
  </r>
  <r>
    <n v="733"/>
    <x v="0"/>
    <n v="51013913"/>
    <n v="60.500999999999998"/>
    <s v="ORO"/>
    <n v="798"/>
    <d v="2026-02-27T15:42:14"/>
  </r>
  <r>
    <n v="734"/>
    <x v="0"/>
    <n v="51033302"/>
    <n v="35.454146660560077"/>
    <s v="PLATA"/>
    <n v="899"/>
    <d v="2026-02-27T15:42:14"/>
  </r>
  <r>
    <n v="735"/>
    <x v="0"/>
    <n v="51054806"/>
    <n v="80.676406236954492"/>
    <s v="PLATINO"/>
    <n v="404"/>
    <d v="2026-02-27T15:42:14"/>
  </r>
  <r>
    <n v="736"/>
    <x v="0"/>
    <n v="51030567"/>
    <n v="72.64476849248291"/>
    <s v="ORO"/>
    <n v="621"/>
    <d v="2026-02-27T15:42:14"/>
  </r>
  <r>
    <n v="737"/>
    <x v="0"/>
    <n v="51014375"/>
    <n v="46.621734787544867"/>
    <s v="PLATA"/>
    <n v="868"/>
    <d v="2026-02-27T15:42:14"/>
  </r>
  <r>
    <n v="738"/>
    <x v="0"/>
    <n v="51056337"/>
    <n v="76.245593077528312"/>
    <s v="PLATINO"/>
    <n v="565"/>
    <d v="2026-02-27T15:42:14"/>
  </r>
  <r>
    <n v="739"/>
    <x v="0"/>
    <n v="51054938"/>
    <n v="61.84"/>
    <s v="ORO"/>
    <n v="760"/>
    <d v="2026-02-27T15:42:14"/>
  </r>
  <r>
    <n v="740"/>
    <x v="0"/>
    <n v="51024834"/>
    <n v="62.12"/>
    <s v="ORO"/>
    <n v="754"/>
    <d v="2026-02-27T15:42:14"/>
  </r>
  <r>
    <n v="741"/>
    <x v="0"/>
    <n v="51016831"/>
    <n v="81.259349123997737"/>
    <s v="PLATINO"/>
    <n v="381"/>
    <d v="2026-02-27T15:42:14"/>
  </r>
  <r>
    <n v="742"/>
    <x v="0"/>
    <n v="51023927"/>
    <n v="78.254623888028135"/>
    <s v="PLATINO"/>
    <n v="485"/>
    <d v="2026-02-27T15:42:14"/>
  </r>
  <r>
    <n v="743"/>
    <x v="0"/>
    <n v="51020111"/>
    <n v="76.863059325797934"/>
    <s v="PLATINO"/>
    <n v="551"/>
    <d v="2026-02-27T15:42:14"/>
  </r>
  <r>
    <n v="744"/>
    <x v="0"/>
    <n v="51055250"/>
    <n v="81.044973042117135"/>
    <s v="PLATINO"/>
    <n v="389"/>
    <d v="2026-02-27T15:42:14"/>
  </r>
  <r>
    <n v="745"/>
    <x v="0"/>
    <n v="51018036"/>
    <n v="39.661829124055032"/>
    <s v="PLATA"/>
    <n v="884"/>
    <d v="2026-02-27T15:42:14"/>
  </r>
  <r>
    <n v="746"/>
    <x v="0"/>
    <n v="51009797"/>
    <n v="82.12798939776502"/>
    <s v="PLATINO"/>
    <n v="340"/>
    <d v="2026-02-27T15:42:14"/>
  </r>
  <r>
    <n v="747"/>
    <x v="0"/>
    <n v="51041917"/>
    <n v="82.709881039800266"/>
    <s v="PLATINO"/>
    <n v="311"/>
    <d v="2026-02-27T15:42:14"/>
  </r>
  <r>
    <n v="748"/>
    <x v="0"/>
    <n v="51017846"/>
    <n v="80.56"/>
    <s v="PLATINO"/>
    <n v="413"/>
    <d v="2026-02-27T15:42:14"/>
  </r>
  <r>
    <n v="749"/>
    <x v="0"/>
    <n v="51015851"/>
    <n v="77.751991551444789"/>
    <s v="PLATINO"/>
    <n v="509"/>
    <d v="2026-02-27T15:42:14"/>
  </r>
  <r>
    <n v="750"/>
    <x v="0"/>
    <n v="51036603"/>
    <n v="33.548226003039062"/>
    <s v="PLATA"/>
    <n v="904"/>
    <d v="2026-02-27T15:42:14"/>
  </r>
  <r>
    <n v="751"/>
    <x v="0"/>
    <n v="51020910"/>
    <n v="78.898112645459733"/>
    <s v="PLATINO"/>
    <n v="468"/>
    <d v="2026-02-27T15:42:14"/>
  </r>
  <r>
    <n v="752"/>
    <x v="0"/>
    <n v="51031326"/>
    <n v="62.773375965146577"/>
    <s v="ORO"/>
    <n v="737"/>
    <d v="2026-02-27T15:42:14"/>
  </r>
  <r>
    <n v="753"/>
    <x v="0"/>
    <n v="51033604"/>
    <n v="79.205880197853972"/>
    <s v="PLATINO"/>
    <n v="457"/>
    <d v="2026-02-27T15:42:14"/>
  </r>
  <r>
    <n v="754"/>
    <x v="0"/>
    <n v="51026217"/>
    <n v="26.327452196168881"/>
    <s v="BRONCE"/>
    <n v="916"/>
    <d v="2026-02-27T15:42:14"/>
  </r>
  <r>
    <n v="755"/>
    <x v="0"/>
    <n v="51039165"/>
    <n v="87.515898202262051"/>
    <s v="PLATINO"/>
    <n v="71"/>
    <d v="2026-02-27T15:42:14"/>
  </r>
  <r>
    <n v="756"/>
    <x v="0"/>
    <n v="51006844"/>
    <n v="61.541650273677668"/>
    <s v="ORO"/>
    <n v="767"/>
    <d v="2026-02-27T15:42:14"/>
  </r>
  <r>
    <n v="757"/>
    <x v="0"/>
    <n v="51020995"/>
    <n v="46.9633258229807"/>
    <s v="PLATA"/>
    <n v="867"/>
    <d v="2026-02-27T15:42:14"/>
  </r>
  <r>
    <n v="758"/>
    <x v="0"/>
    <n v="51023251"/>
    <n v="79.128860189792903"/>
    <s v="PLATINO"/>
    <n v="460"/>
    <d v="2026-02-27T15:42:14"/>
  </r>
  <r>
    <n v="759"/>
    <x v="0"/>
    <n v="51010205"/>
    <n v="19.582893620765869"/>
    <s v="BRONCE"/>
    <n v="993"/>
    <d v="2026-02-27T15:42:14"/>
  </r>
  <r>
    <n v="760"/>
    <x v="0"/>
    <n v="51056922"/>
    <n v="79.039999999999992"/>
    <s v="PLATINO"/>
    <n v="464"/>
    <d v="2026-02-27T15:42:14"/>
  </r>
  <r>
    <n v="761"/>
    <x v="0"/>
    <n v="51056299"/>
    <n v="19.998000000000001"/>
    <s v="BRONCE"/>
    <n v="951"/>
    <d v="2026-02-27T15:42:14"/>
  </r>
  <r>
    <n v="762"/>
    <x v="0"/>
    <n v="51010175"/>
    <n v="60.658887023714797"/>
    <s v="ORO"/>
    <n v="793"/>
    <d v="2026-02-27T15:42:14"/>
  </r>
  <r>
    <n v="763"/>
    <x v="0"/>
    <n v="51015355"/>
    <n v="83.740319183027438"/>
    <s v="PLATINO"/>
    <n v="262"/>
    <d v="2026-02-27T15:42:14"/>
  </r>
  <r>
    <n v="764"/>
    <x v="0"/>
    <n v="51010191"/>
    <n v="19.998000000000001"/>
    <s v="BRONCE"/>
    <n v="951"/>
    <d v="2026-02-27T15:42:14"/>
  </r>
  <r>
    <n v="765"/>
    <x v="0"/>
    <n v="51013051"/>
    <n v="17.57331406304796"/>
    <s v="BRONCE"/>
    <n v="1008"/>
    <d v="2026-02-27T15:42:14"/>
  </r>
  <r>
    <n v="766"/>
    <x v="0"/>
    <n v="51032632"/>
    <n v="60.043801215959633"/>
    <s v="ORO"/>
    <n v="808"/>
    <d v="2026-02-27T15:42:14"/>
  </r>
  <r>
    <n v="767"/>
    <x v="0"/>
    <n v="51026322"/>
    <n v="20"/>
    <s v="BRONCE"/>
    <n v="923"/>
    <d v="2026-02-27T15:42:14"/>
  </r>
  <r>
    <n v="768"/>
    <x v="0"/>
    <n v="51019555"/>
    <n v="71.558578713802405"/>
    <s v="ORO"/>
    <n v="635"/>
    <d v="2026-02-27T15:42:14"/>
  </r>
  <r>
    <n v="769"/>
    <x v="0"/>
    <n v="51009991"/>
    <n v="80.298000000000002"/>
    <s v="PLATINO"/>
    <n v="427"/>
    <d v="2026-02-27T15:42:14"/>
  </r>
  <r>
    <n v="770"/>
    <x v="0"/>
    <n v="51025822"/>
    <n v="41.936532152279668"/>
    <s v="PLATA"/>
    <n v="877"/>
    <d v="2026-02-27T15:42:14"/>
  </r>
  <r>
    <n v="771"/>
    <x v="0"/>
    <n v="51012500"/>
    <n v="50.314929782582411"/>
    <s v="PLATA"/>
    <n v="856"/>
    <d v="2026-02-27T15:42:14"/>
  </r>
  <r>
    <n v="772"/>
    <x v="0"/>
    <n v="51015797"/>
    <n v="82.408132375810212"/>
    <s v="PLATINO"/>
    <n v="327"/>
    <d v="2026-02-27T15:42:14"/>
  </r>
  <r>
    <n v="773"/>
    <x v="0"/>
    <n v="51014782"/>
    <n v="81.22"/>
    <s v="PLATINO"/>
    <n v="383"/>
    <d v="2026-02-27T15:42:14"/>
  </r>
  <r>
    <n v="774"/>
    <x v="0"/>
    <n v="51013077"/>
    <n v="81.38279565482182"/>
    <s v="PLATINO"/>
    <n v="375"/>
    <d v="2026-02-27T15:42:14"/>
  </r>
  <r>
    <n v="775"/>
    <x v="0"/>
    <n v="51002539"/>
    <n v="73.275999620489216"/>
    <s v="ORO"/>
    <n v="609"/>
    <d v="2026-02-27T15:42:14"/>
  </r>
  <r>
    <n v="776"/>
    <x v="0"/>
    <n v="51031806"/>
    <n v="59.380630789415967"/>
    <s v="ORO"/>
    <n v="817"/>
    <d v="2026-02-27T15:42:14"/>
  </r>
  <r>
    <n v="777"/>
    <x v="0"/>
    <n v="51044410"/>
    <n v="79.333984481176813"/>
    <s v="PLATINO"/>
    <n v="450"/>
    <d v="2026-02-27T15:42:14"/>
  </r>
  <r>
    <n v="778"/>
    <x v="0"/>
    <n v="51033248"/>
    <n v="58.92201392055555"/>
    <s v="ORO"/>
    <n v="822"/>
    <d v="2026-02-27T15:42:14"/>
  </r>
  <r>
    <n v="779"/>
    <x v="0"/>
    <n v="51025318"/>
    <n v="36.782939335395753"/>
    <s v="PLATA"/>
    <n v="895"/>
    <d v="2026-02-27T15:42:14"/>
  </r>
  <r>
    <n v="780"/>
    <x v="0"/>
    <n v="51031687"/>
    <n v="80.489671819719661"/>
    <s v="PLATINO"/>
    <n v="417"/>
    <d v="2026-02-27T15:42:14"/>
  </r>
  <r>
    <n v="781"/>
    <x v="0"/>
    <n v="51055861"/>
    <n v="52.568532906806368"/>
    <s v="PLATA"/>
    <n v="847"/>
    <d v="2026-02-27T15:42:14"/>
  </r>
  <r>
    <n v="782"/>
    <x v="0"/>
    <n v="51019407"/>
    <n v="78.146508191032666"/>
    <s v="PLATINO"/>
    <n v="491"/>
    <d v="2026-02-27T15:42:14"/>
  </r>
  <r>
    <n v="783"/>
    <x v="0"/>
    <n v="51012411"/>
    <n v="78.113982933082198"/>
    <s v="PLATINO"/>
    <n v="492"/>
    <d v="2026-02-27T15:42:14"/>
  </r>
  <r>
    <n v="784"/>
    <x v="0"/>
    <n v="51020171"/>
    <n v="73.223338363227853"/>
    <s v="ORO"/>
    <n v="611"/>
    <d v="2026-02-27T15:42:14"/>
  </r>
  <r>
    <n v="785"/>
    <x v="0"/>
    <n v="51029488"/>
    <n v="18.822733707353201"/>
    <s v="BRONCE"/>
    <n v="997"/>
    <d v="2026-02-27T15:42:14"/>
  </r>
  <r>
    <n v="786"/>
    <x v="0"/>
    <n v="51017633"/>
    <n v="78.700000000000017"/>
    <s v="PLATINO"/>
    <n v="476"/>
    <d v="2026-02-27T15:42:14"/>
  </r>
  <r>
    <n v="787"/>
    <x v="0"/>
    <n v="51056663"/>
    <n v="60.842369074822862"/>
    <s v="ORO"/>
    <n v="790"/>
    <d v="2026-02-27T15:42:14"/>
  </r>
  <r>
    <n v="788"/>
    <x v="0"/>
    <n v="51026063"/>
    <n v="77.319999999999993"/>
    <s v="PLATINO"/>
    <n v="530"/>
    <d v="2026-02-27T15:42:14"/>
  </r>
  <r>
    <n v="789"/>
    <x v="0"/>
    <n v="51043995"/>
    <n v="69.039887586584086"/>
    <s v="ORO"/>
    <n v="654"/>
    <d v="2026-02-27T15:42:14"/>
  </r>
  <r>
    <n v="790"/>
    <x v="0"/>
    <n v="51011074"/>
    <n v="80.639581329437704"/>
    <s v="PLATINO"/>
    <n v="408"/>
    <d v="2026-02-27T15:42:14"/>
  </r>
  <r>
    <n v="791"/>
    <x v="0"/>
    <n v="51003225"/>
    <n v="77.906559506303282"/>
    <s v="PLATINO"/>
    <n v="501"/>
    <d v="2026-02-27T15:42:14"/>
  </r>
  <r>
    <n v="792"/>
    <x v="0"/>
    <n v="51024966"/>
    <n v="77.725004307800617"/>
    <s v="PLATINO"/>
    <n v="513"/>
    <d v="2026-02-27T15:42:14"/>
  </r>
  <r>
    <n v="793"/>
    <x v="0"/>
    <n v="51038673"/>
    <n v="76.099932578823029"/>
    <s v="PLATINO"/>
    <n v="568"/>
    <d v="2026-02-27T15:42:14"/>
  </r>
  <r>
    <n v="794"/>
    <x v="0"/>
    <n v="51013271"/>
    <n v="81.48352376036803"/>
    <s v="PLATINO"/>
    <n v="369"/>
    <d v="2026-02-27T15:42:14"/>
  </r>
  <r>
    <n v="795"/>
    <x v="0"/>
    <n v="51038894"/>
    <n v="79.176561280938174"/>
    <s v="PLATINO"/>
    <n v="458"/>
    <d v="2026-02-27T15:42:14"/>
  </r>
  <r>
    <n v="796"/>
    <x v="0"/>
    <n v="51021843"/>
    <n v="73.705154635412441"/>
    <s v="ORO"/>
    <n v="602"/>
    <d v="2026-02-27T15:42:14"/>
  </r>
  <r>
    <n v="797"/>
    <x v="0"/>
    <n v="51024109"/>
    <n v="81.814808847232356"/>
    <s v="PLATINO"/>
    <n v="353"/>
    <d v="2026-02-27T15:42:14"/>
  </r>
  <r>
    <n v="798"/>
    <x v="0"/>
    <n v="51056159"/>
    <n v="80.738000000000014"/>
    <s v="PLATINO"/>
    <n v="402"/>
    <d v="2026-02-27T15:42:14"/>
  </r>
  <r>
    <n v="799"/>
    <x v="0"/>
    <n v="51036981"/>
    <n v="77.84"/>
    <s v="PLATINO"/>
    <n v="505"/>
    <d v="2026-02-27T15:42:14"/>
  </r>
  <r>
    <n v="800"/>
    <x v="0"/>
    <n v="51032519"/>
    <n v="78.89147804348049"/>
    <s v="PLATINO"/>
    <n v="470"/>
    <d v="2026-02-27T15:42:14"/>
  </r>
  <r>
    <n v="801"/>
    <x v="0"/>
    <n v="51055519"/>
    <n v="44.169995695440527"/>
    <s v="PLATA"/>
    <n v="874"/>
    <d v="2026-02-27T15:42:14"/>
  </r>
  <r>
    <n v="802"/>
    <x v="0"/>
    <n v="51032969"/>
    <n v="77.937056961516319"/>
    <s v="PLATINO"/>
    <n v="500"/>
    <d v="2026-02-27T15:42:14"/>
  </r>
  <r>
    <n v="803"/>
    <x v="0"/>
    <n v="51017587"/>
    <n v="59.605979287075471"/>
    <s v="ORO"/>
    <n v="814"/>
    <d v="2026-02-27T15:42:14"/>
  </r>
  <r>
    <n v="804"/>
    <x v="0"/>
    <n v="51018214"/>
    <n v="60.93"/>
    <s v="ORO"/>
    <n v="788"/>
    <d v="2026-02-27T15:42:14"/>
  </r>
  <r>
    <n v="805"/>
    <x v="0"/>
    <n v="51016661"/>
    <n v="61"/>
    <s v="ORO"/>
    <n v="784"/>
    <d v="2026-02-27T15:42:14"/>
  </r>
  <r>
    <n v="806"/>
    <x v="0"/>
    <n v="51002296"/>
    <n v="61.760000000000012"/>
    <s v="ORO"/>
    <n v="765"/>
    <d v="2026-02-27T15:42:14"/>
  </r>
  <r>
    <n v="807"/>
    <x v="0"/>
    <n v="51016998"/>
    <n v="19.63087897022805"/>
    <s v="BRONCE"/>
    <n v="992"/>
    <d v="2026-02-27T15:42:14"/>
  </r>
  <r>
    <n v="808"/>
    <x v="0"/>
    <n v="51005325"/>
    <n v="50.505126969711441"/>
    <s v="PLATA"/>
    <n v="854"/>
    <d v="2026-02-27T15:42:14"/>
  </r>
  <r>
    <n v="809"/>
    <x v="0"/>
    <n v="51011937"/>
    <n v="31.121696997216048"/>
    <s v="PLATA"/>
    <n v="910"/>
    <d v="2026-02-27T15:42:14"/>
  </r>
  <r>
    <n v="810"/>
    <x v="0"/>
    <n v="51033191"/>
    <n v="70.943458125383088"/>
    <s v="ORO"/>
    <n v="638"/>
    <d v="2026-02-27T15:42:14"/>
  </r>
  <r>
    <n v="811"/>
    <x v="0"/>
    <n v="51032560"/>
    <n v="75.652550556554147"/>
    <s v="PLATINO"/>
    <n v="581"/>
    <d v="2026-02-27T15:42:14"/>
  </r>
  <r>
    <n v="812"/>
    <x v="0"/>
    <n v="51056302"/>
    <n v="64.930285830899891"/>
    <s v="ORO"/>
    <n v="703"/>
    <d v="2026-02-27T15:42:14"/>
  </r>
  <r>
    <n v="813"/>
    <x v="0"/>
    <n v="51032659"/>
    <n v="59.965806280520617"/>
    <s v="ORO"/>
    <n v="809"/>
    <d v="2026-02-27T15:42:14"/>
  </r>
  <r>
    <n v="814"/>
    <x v="0"/>
    <n v="51017129"/>
    <n v="46.240281744597219"/>
    <s v="PLATA"/>
    <n v="870"/>
    <d v="2026-02-27T15:42:14"/>
  </r>
  <r>
    <n v="815"/>
    <x v="0"/>
    <n v="51036191"/>
    <n v="77.98423527067213"/>
    <s v="PLATINO"/>
    <n v="497"/>
    <d v="2026-02-27T15:42:14"/>
  </r>
  <r>
    <n v="816"/>
    <x v="0"/>
    <n v="51011562"/>
    <n v="79.129166014632432"/>
    <s v="PLATINO"/>
    <n v="459"/>
    <d v="2026-02-27T15:42:14"/>
  </r>
  <r>
    <n v="817"/>
    <x v="0"/>
    <n v="51018346"/>
    <n v="78.19"/>
    <s v="PLATINO"/>
    <n v="488"/>
    <d v="2026-02-27T15:42:14"/>
  </r>
  <r>
    <n v="818"/>
    <x v="0"/>
    <n v="51042514"/>
    <n v="77.73269503921955"/>
    <s v="PLATINO"/>
    <n v="510"/>
    <d v="2026-02-27T15:42:14"/>
  </r>
  <r>
    <n v="819"/>
    <x v="0"/>
    <n v="51056906"/>
    <n v="79.084518741852406"/>
    <s v="PLATINO"/>
    <n v="461"/>
    <d v="2026-02-27T15:42:14"/>
  </r>
  <r>
    <n v="820"/>
    <x v="0"/>
    <n v="51043375"/>
    <n v="79.321818181818188"/>
    <s v="PLATINO"/>
    <n v="452"/>
    <d v="2026-02-27T15:42:14"/>
  </r>
  <r>
    <n v="821"/>
    <x v="0"/>
    <n v="51055691"/>
    <n v="78.838448399203102"/>
    <s v="PLATINO"/>
    <n v="473"/>
    <d v="2026-02-27T15:42:14"/>
  </r>
  <r>
    <n v="822"/>
    <x v="0"/>
    <n v="51018958"/>
    <n v="60.772021525415582"/>
    <s v="ORO"/>
    <n v="791"/>
    <d v="2026-02-27T15:42:14"/>
  </r>
  <r>
    <n v="823"/>
    <x v="0"/>
    <n v="51054903"/>
    <n v="78.804330369282695"/>
    <s v="PLATINO"/>
    <n v="475"/>
    <d v="2026-02-27T15:42:14"/>
  </r>
  <r>
    <n v="824"/>
    <x v="0"/>
    <n v="51022084"/>
    <n v="78.323594604192252"/>
    <s v="PLATINO"/>
    <n v="483"/>
    <d v="2026-02-27T15:42:14"/>
  </r>
  <r>
    <n v="825"/>
    <x v="0"/>
    <n v="51019202"/>
    <n v="77.729002620362593"/>
    <s v="PLATINO"/>
    <n v="512"/>
    <d v="2026-02-27T15:42:14"/>
  </r>
  <r>
    <n v="826"/>
    <x v="0"/>
    <n v="51054920"/>
    <n v="19.998000000000001"/>
    <s v="BRONCE"/>
    <n v="951"/>
    <d v="2026-02-27T15:42:14"/>
  </r>
  <r>
    <n v="827"/>
    <x v="0"/>
    <n v="51010663"/>
    <n v="76.865337014800957"/>
    <s v="PLATINO"/>
    <n v="550"/>
    <d v="2026-02-27T15:42:14"/>
  </r>
  <r>
    <n v="828"/>
    <x v="0"/>
    <n v="51016866"/>
    <n v="78.89209435142098"/>
    <s v="PLATINO"/>
    <n v="469"/>
    <d v="2026-02-27T15:42:14"/>
  </r>
  <r>
    <n v="829"/>
    <x v="0"/>
    <n v="51030184"/>
    <n v="35.661351589425863"/>
    <s v="PLATA"/>
    <n v="898"/>
    <d v="2026-02-27T15:42:14"/>
  </r>
  <r>
    <n v="830"/>
    <x v="0"/>
    <n v="51015428"/>
    <n v="81.364486807912883"/>
    <s v="PLATINO"/>
    <n v="376"/>
    <d v="2026-02-27T15:42:14"/>
  </r>
  <r>
    <n v="831"/>
    <x v="0"/>
    <n v="51036557"/>
    <n v="75.700815880991215"/>
    <s v="PLATINO"/>
    <n v="575"/>
    <d v="2026-02-27T15:42:14"/>
  </r>
  <r>
    <n v="832"/>
    <x v="0"/>
    <n v="51056175"/>
    <n v="19.998000000000001"/>
    <s v="BRONCE"/>
    <n v="951"/>
    <d v="2026-02-27T15:42:14"/>
  </r>
  <r>
    <n v="833"/>
    <x v="0"/>
    <n v="51039190"/>
    <n v="15.548260484180259"/>
    <s v="BRONCE"/>
    <n v="1023"/>
    <d v="2026-02-27T15:42:14"/>
  </r>
  <r>
    <n v="834"/>
    <x v="0"/>
    <n v="51056604"/>
    <n v="74.2"/>
    <s v="ORO"/>
    <n v="597"/>
    <d v="2026-02-27T15:42:14"/>
  </r>
  <r>
    <n v="835"/>
    <x v="0"/>
    <n v="51021789"/>
    <n v="19.995999999999999"/>
    <s v="BRONCE"/>
    <n v="970"/>
    <d v="2026-02-27T15:42:14"/>
  </r>
  <r>
    <n v="836"/>
    <x v="0"/>
    <n v="51056795"/>
    <n v="17.063708820127651"/>
    <s v="BRONCE"/>
    <n v="1012"/>
    <d v="2026-02-27T15:42:14"/>
  </r>
  <r>
    <n v="837"/>
    <x v="0"/>
    <n v="51056931"/>
    <n v="58.338053737999317"/>
    <s v="ORO"/>
    <n v="825"/>
    <d v="2026-02-27T15:42:14"/>
  </r>
  <r>
    <n v="838"/>
    <x v="0"/>
    <n v="51014120"/>
    <n v="80.644754451908952"/>
    <s v="PLATINO"/>
    <n v="407"/>
    <d v="2026-02-27T15:42:14"/>
  </r>
  <r>
    <n v="839"/>
    <x v="0"/>
    <n v="51036182"/>
    <n v="58.214163087673207"/>
    <s v="ORO"/>
    <n v="828"/>
    <d v="2026-02-27T15:42:14"/>
  </r>
  <r>
    <n v="840"/>
    <x v="0"/>
    <n v="51011465"/>
    <n v="67.412181689161969"/>
    <s v="ORO"/>
    <n v="665"/>
    <d v="2026-02-27T15:42:14"/>
  </r>
  <r>
    <n v="841"/>
    <x v="0"/>
    <n v="51006151"/>
    <n v="74.007000502269932"/>
    <s v="ORO"/>
    <n v="600"/>
    <d v="2026-02-27T15:42:14"/>
  </r>
  <r>
    <n v="842"/>
    <x v="0"/>
    <n v="51033418"/>
    <n v="19.91621200248002"/>
    <s v="BRONCE"/>
    <n v="983"/>
    <d v="2026-02-27T15:42:14"/>
  </r>
  <r>
    <n v="843"/>
    <x v="0"/>
    <n v="51007841"/>
    <n v="9.9980000000000011"/>
    <s v="BRONCE"/>
    <n v="1178"/>
    <d v="2026-02-27T15:42:14"/>
  </r>
  <r>
    <n v="844"/>
    <x v="0"/>
    <n v="51016602"/>
    <n v="77.441056920056141"/>
    <s v="PLATINO"/>
    <n v="523"/>
    <d v="2026-02-27T15:42:14"/>
  </r>
  <r>
    <n v="845"/>
    <x v="0"/>
    <n v="51036077"/>
    <n v="19.998000000000001"/>
    <s v="BRONCE"/>
    <n v="951"/>
    <d v="2026-02-27T15:42:14"/>
  </r>
  <r>
    <n v="846"/>
    <x v="0"/>
    <n v="51013662"/>
    <n v="77.347671773577872"/>
    <s v="PLATINO"/>
    <n v="528"/>
    <d v="2026-02-27T15:42:14"/>
  </r>
  <r>
    <n v="847"/>
    <x v="0"/>
    <n v="51010248"/>
    <n v="60.092530708604542"/>
    <s v="ORO"/>
    <n v="807"/>
    <d v="2026-02-27T15:42:14"/>
  </r>
  <r>
    <n v="848"/>
    <x v="0"/>
    <n v="51055764"/>
    <n v="60.980718860824297"/>
    <s v="ORO"/>
    <n v="785"/>
    <d v="2026-02-27T15:42:14"/>
  </r>
  <r>
    <n v="849"/>
    <x v="0"/>
    <n v="51012496"/>
    <n v="77.515465408898706"/>
    <s v="PLATINO"/>
    <n v="519"/>
    <d v="2026-02-27T15:42:14"/>
  </r>
  <r>
    <n v="850"/>
    <x v="0"/>
    <n v="51016874"/>
    <n v="82.42"/>
    <s v="PLATINO"/>
    <n v="326"/>
    <d v="2026-02-27T15:42:14"/>
  </r>
  <r>
    <n v="851"/>
    <x v="0"/>
    <n v="51011481"/>
    <n v="72.192501723037267"/>
    <s v="ORO"/>
    <n v="627"/>
    <d v="2026-02-27T15:42:14"/>
  </r>
  <r>
    <n v="852"/>
    <x v="0"/>
    <n v="51042654"/>
    <n v="44.533980943602032"/>
    <s v="PLATA"/>
    <n v="873"/>
    <d v="2026-02-27T15:42:14"/>
  </r>
  <r>
    <n v="853"/>
    <x v="0"/>
    <n v="51057074"/>
    <n v="77.060373202206847"/>
    <s v="PLATINO"/>
    <n v="541"/>
    <d v="2026-02-27T15:42:14"/>
  </r>
  <r>
    <n v="854"/>
    <x v="0"/>
    <n v="51042913"/>
    <n v="70.460000000000008"/>
    <s v="ORO"/>
    <n v="643"/>
    <d v="2026-02-27T15:42:14"/>
  </r>
  <r>
    <n v="855"/>
    <x v="0"/>
    <n v="51025857"/>
    <n v="80.42"/>
    <s v="PLATINO"/>
    <n v="422"/>
    <d v="2026-02-27T15:42:14"/>
  </r>
  <r>
    <n v="856"/>
    <x v="0"/>
    <n v="51026071"/>
    <n v="19.544735656127461"/>
    <s v="BRONCE"/>
    <n v="994"/>
    <d v="2026-02-27T15:42:14"/>
  </r>
  <r>
    <n v="857"/>
    <x v="0"/>
    <n v="51017595"/>
    <n v="39.500598174013597"/>
    <s v="PLATA"/>
    <n v="885"/>
    <d v="2026-02-27T15:42:14"/>
  </r>
  <r>
    <n v="858"/>
    <x v="0"/>
    <n v="51014707"/>
    <n v="77.431101816525697"/>
    <s v="PLATINO"/>
    <n v="524"/>
    <d v="2026-02-27T15:42:14"/>
  </r>
  <r>
    <n v="859"/>
    <x v="0"/>
    <n v="51032390"/>
    <n v="19.86825514605945"/>
    <s v="BRONCE"/>
    <n v="986"/>
    <d v="2026-02-27T15:42:14"/>
  </r>
  <r>
    <n v="860"/>
    <x v="0"/>
    <n v="51030249"/>
    <n v="76.53579505618535"/>
    <s v="PLATINO"/>
    <n v="561"/>
    <d v="2026-02-27T15:42:14"/>
  </r>
  <r>
    <n v="861"/>
    <x v="0"/>
    <n v="51029518"/>
    <n v="19.984999999999999"/>
    <s v="BRONCE"/>
    <n v="973"/>
    <d v="2026-02-27T15:42:14"/>
  </r>
  <r>
    <n v="862"/>
    <x v="0"/>
    <n v="51044011"/>
    <n v="77.967675941799044"/>
    <s v="PLATINO"/>
    <n v="499"/>
    <d v="2026-02-27T15:42:14"/>
  </r>
  <r>
    <n v="863"/>
    <x v="0"/>
    <n v="51013956"/>
    <n v="76.178259553385047"/>
    <s v="PLATINO"/>
    <n v="566"/>
    <d v="2026-02-27T15:42:14"/>
  </r>
  <r>
    <n v="864"/>
    <x v="0"/>
    <n v="51023846"/>
    <n v="77.760000000000005"/>
    <s v="PLATINO"/>
    <n v="508"/>
    <d v="2026-02-27T15:42:14"/>
  </r>
  <r>
    <n v="865"/>
    <x v="0"/>
    <n v="51019563"/>
    <n v="79.83672181248059"/>
    <s v="PLATINO"/>
    <n v="441"/>
    <d v="2026-02-27T15:42:14"/>
  </r>
  <r>
    <n v="866"/>
    <x v="0"/>
    <n v="51030711"/>
    <n v="76.98"/>
    <s v="PLATINO"/>
    <n v="545"/>
    <d v="2026-02-27T15:42:14"/>
  </r>
  <r>
    <n v="867"/>
    <x v="0"/>
    <n v="51056574"/>
    <n v="69.962714550577971"/>
    <s v="ORO"/>
    <n v="645"/>
    <d v="2026-02-27T15:42:14"/>
  </r>
  <r>
    <n v="868"/>
    <x v="0"/>
    <n v="51056957"/>
    <n v="75.806856419662623"/>
    <s v="PLATINO"/>
    <n v="574"/>
    <d v="2026-02-27T15:42:14"/>
  </r>
  <r>
    <n v="869"/>
    <x v="0"/>
    <n v="51055331"/>
    <n v="61.438298105707048"/>
    <s v="ORO"/>
    <n v="773"/>
    <d v="2026-02-27T15:42:14"/>
  </r>
  <r>
    <n v="870"/>
    <x v="0"/>
    <n v="51018397"/>
    <n v="58.257736872368909"/>
    <s v="ORO"/>
    <n v="827"/>
    <d v="2026-02-27T15:42:14"/>
  </r>
  <r>
    <n v="871"/>
    <x v="0"/>
    <n v="51025148"/>
    <n v="36.922662580623033"/>
    <s v="PLATA"/>
    <n v="894"/>
    <d v="2026-02-27T15:42:14"/>
  </r>
  <r>
    <n v="872"/>
    <x v="0"/>
    <n v="51005392"/>
    <n v="81.287621828775798"/>
    <s v="PLATINO"/>
    <n v="378"/>
    <d v="2026-02-27T15:42:14"/>
  </r>
  <r>
    <n v="873"/>
    <x v="0"/>
    <n v="51023153"/>
    <n v="75.418397045186595"/>
    <s v="PLATINO"/>
    <n v="584"/>
    <d v="2026-02-27T15:42:14"/>
  </r>
  <r>
    <n v="874"/>
    <x v="0"/>
    <n v="51024095"/>
    <n v="80.537869154961754"/>
    <s v="PLATINO"/>
    <n v="414"/>
    <d v="2026-02-27T15:42:14"/>
  </r>
  <r>
    <n v="875"/>
    <x v="0"/>
    <n v="51002024"/>
    <n v="51.424826784468749"/>
    <s v="PLATA"/>
    <n v="849"/>
    <d v="2026-02-27T15:42:14"/>
  </r>
  <r>
    <n v="876"/>
    <x v="0"/>
    <n v="51056311"/>
    <n v="61.495252477740088"/>
    <s v="ORO"/>
    <n v="771"/>
    <d v="2026-02-27T15:42:14"/>
  </r>
  <r>
    <n v="877"/>
    <x v="0"/>
    <n v="51016467"/>
    <n v="61.4"/>
    <s v="ORO"/>
    <n v="775"/>
    <d v="2026-02-27T15:42:14"/>
  </r>
  <r>
    <n v="878"/>
    <x v="0"/>
    <n v="51021614"/>
    <n v="64.293085881319797"/>
    <s v="ORO"/>
    <n v="715"/>
    <d v="2026-02-27T15:42:14"/>
  </r>
  <r>
    <n v="879"/>
    <x v="0"/>
    <n v="51042506"/>
    <n v="19.641432255883149"/>
    <s v="BRONCE"/>
    <n v="990"/>
    <d v="2026-02-27T15:42:14"/>
  </r>
  <r>
    <n v="880"/>
    <x v="0"/>
    <n v="51023412"/>
    <n v="51.038525390242029"/>
    <s v="PLATA"/>
    <n v="850"/>
    <d v="2026-02-27T15:42:14"/>
  </r>
  <r>
    <n v="881"/>
    <x v="0"/>
    <n v="51033116"/>
    <n v="19.8879529776193"/>
    <s v="BRONCE"/>
    <n v="985"/>
    <d v="2026-02-27T15:42:14"/>
  </r>
  <r>
    <n v="882"/>
    <x v="0"/>
    <n v="51003292"/>
    <n v="75.681790297254324"/>
    <s v="PLATINO"/>
    <n v="578"/>
    <d v="2026-02-27T15:42:14"/>
  </r>
  <r>
    <n v="883"/>
    <x v="0"/>
    <n v="51014251"/>
    <n v="67.456865722822158"/>
    <s v="ORO"/>
    <n v="664"/>
    <d v="2026-02-27T15:42:14"/>
  </r>
  <r>
    <n v="884"/>
    <x v="0"/>
    <n v="51042999"/>
    <n v="19.998000000000001"/>
    <s v="BRONCE"/>
    <n v="951"/>
    <d v="2026-02-27T15:42:14"/>
  </r>
  <r>
    <n v="885"/>
    <x v="0"/>
    <n v="51041712"/>
    <n v="62.022052846846691"/>
    <s v="ORO"/>
    <n v="755"/>
    <d v="2026-02-27T15:42:14"/>
  </r>
  <r>
    <n v="886"/>
    <x v="0"/>
    <n v="51023293"/>
    <n v="47.670110254702358"/>
    <s v="PLATA"/>
    <n v="865"/>
    <d v="2026-02-27T15:42:14"/>
  </r>
  <r>
    <n v="887"/>
    <x v="0"/>
    <n v="51033507"/>
    <n v="73.034554631200109"/>
    <s v="ORO"/>
    <n v="614"/>
    <d v="2026-02-27T15:42:14"/>
  </r>
  <r>
    <n v="888"/>
    <x v="0"/>
    <n v="51013875"/>
    <n v="72.718354199069182"/>
    <s v="ORO"/>
    <n v="618"/>
    <d v="2026-02-27T15:42:14"/>
  </r>
  <r>
    <n v="889"/>
    <x v="0"/>
    <n v="51013395"/>
    <n v="42.398239416654746"/>
    <s v="PLATA"/>
    <n v="876"/>
    <d v="2026-02-27T15:42:14"/>
  </r>
  <r>
    <n v="890"/>
    <x v="0"/>
    <n v="51056108"/>
    <n v="22.74074344367801"/>
    <s v="BRONCE"/>
    <n v="922"/>
    <d v="2026-02-27T15:42:14"/>
  </r>
  <r>
    <n v="891"/>
    <x v="0"/>
    <n v="51055837"/>
    <n v="18.717562261346799"/>
    <s v="BRONCE"/>
    <n v="998"/>
    <d v="2026-02-27T15:42:14"/>
  </r>
  <r>
    <n v="892"/>
    <x v="0"/>
    <n v="51056248"/>
    <n v="20"/>
    <s v="BRONCE"/>
    <n v="923"/>
    <d v="2026-02-27T15:42:14"/>
  </r>
  <r>
    <n v="893"/>
    <x v="0"/>
    <n v="51025245"/>
    <n v="80.037999999999997"/>
    <s v="PLATINO"/>
    <n v="435"/>
    <d v="2026-02-27T15:42:14"/>
  </r>
  <r>
    <n v="894"/>
    <x v="0"/>
    <n v="51016360"/>
    <n v="19.91"/>
    <s v="BRONCE"/>
    <n v="984"/>
    <d v="2026-02-27T15:42:14"/>
  </r>
  <r>
    <n v="895"/>
    <x v="0"/>
    <n v="51040881"/>
    <n v="59.662718050228882"/>
    <s v="ORO"/>
    <n v="812"/>
    <d v="2026-02-27T15:42:14"/>
  </r>
  <r>
    <n v="896"/>
    <x v="0"/>
    <n v="51031776"/>
    <n v="29.242999999999999"/>
    <s v="BRONCE"/>
    <n v="913"/>
    <d v="2026-02-27T15:42:14"/>
  </r>
  <r>
    <n v="897"/>
    <x v="0"/>
    <n v="51013166"/>
    <n v="61.22"/>
    <s v="ORO"/>
    <n v="780"/>
    <d v="2026-02-27T15:42:14"/>
  </r>
  <r>
    <n v="898"/>
    <x v="0"/>
    <n v="51032918"/>
    <n v="76.169576145931927"/>
    <s v="PLATINO"/>
    <n v="567"/>
    <d v="2026-02-27T15:42:14"/>
  </r>
  <r>
    <n v="899"/>
    <x v="0"/>
    <n v="51025717"/>
    <n v="61.78"/>
    <s v="ORO"/>
    <n v="762"/>
    <d v="2026-02-27T15:42:14"/>
  </r>
  <r>
    <n v="900"/>
    <x v="0"/>
    <n v="51033001"/>
    <n v="77.460000000000008"/>
    <s v="PLATINO"/>
    <n v="522"/>
    <d v="2026-02-27T15:42:14"/>
  </r>
  <r>
    <n v="901"/>
    <x v="0"/>
    <n v="51012674"/>
    <n v="77.097963203551373"/>
    <s v="PLATINO"/>
    <n v="539"/>
    <d v="2026-02-27T15:42:14"/>
  </r>
  <r>
    <n v="902"/>
    <x v="0"/>
    <n v="51007743"/>
    <n v="77.599999999999994"/>
    <s v="PLATINO"/>
    <n v="517"/>
    <d v="2026-02-27T15:42:14"/>
  </r>
  <r>
    <n v="903"/>
    <x v="0"/>
    <n v="51032705"/>
    <n v="56.845069189262048"/>
    <s v="ORO"/>
    <n v="835"/>
    <d v="2026-02-27T15:42:14"/>
  </r>
  <r>
    <n v="904"/>
    <x v="0"/>
    <n v="51041887"/>
    <n v="77.178000000000011"/>
    <s v="PLATINO"/>
    <n v="536"/>
    <d v="2026-02-27T15:42:14"/>
  </r>
  <r>
    <n v="905"/>
    <x v="0"/>
    <n v="51030826"/>
    <n v="76.89"/>
    <s v="PLATINO"/>
    <n v="548"/>
    <d v="2026-02-27T15:42:14"/>
  </r>
  <r>
    <n v="906"/>
    <x v="0"/>
    <n v="51011007"/>
    <n v="60.9"/>
    <s v="ORO"/>
    <n v="789"/>
    <d v="2026-02-27T15:42:14"/>
  </r>
  <r>
    <n v="907"/>
    <x v="0"/>
    <n v="51007514"/>
    <n v="75.533882537192653"/>
    <s v="PLATINO"/>
    <n v="582"/>
    <d v="2026-02-27T15:42:14"/>
  </r>
  <r>
    <n v="908"/>
    <x v="0"/>
    <n v="51024281"/>
    <n v="78.235539823326377"/>
    <s v="PLATINO"/>
    <n v="487"/>
    <d v="2026-02-27T15:42:14"/>
  </r>
  <r>
    <n v="909"/>
    <x v="0"/>
    <n v="51020961"/>
    <n v="58.941597097827888"/>
    <s v="ORO"/>
    <n v="821"/>
    <d v="2026-02-27T15:42:14"/>
  </r>
  <r>
    <n v="910"/>
    <x v="0"/>
    <n v="51022718"/>
    <n v="19.998000000000001"/>
    <s v="BRONCE"/>
    <n v="951"/>
    <d v="2026-02-27T15:42:14"/>
  </r>
  <r>
    <n v="911"/>
    <x v="0"/>
    <n v="51039815"/>
    <n v="77.2224557102099"/>
    <s v="PLATINO"/>
    <n v="533"/>
    <d v="2026-02-27T15:42:14"/>
  </r>
  <r>
    <n v="912"/>
    <x v="0"/>
    <n v="51023277"/>
    <n v="65.393099141654091"/>
    <s v="ORO"/>
    <n v="694"/>
    <d v="2026-02-27T15:42:14"/>
  </r>
  <r>
    <n v="913"/>
    <x v="0"/>
    <n v="51056353"/>
    <n v="76.418000000000006"/>
    <s v="PLATINO"/>
    <n v="563"/>
    <d v="2026-02-27T15:42:14"/>
  </r>
  <r>
    <n v="914"/>
    <x v="0"/>
    <n v="51001419"/>
    <n v="77.7"/>
    <s v="PLATINO"/>
    <n v="514"/>
    <d v="2026-02-27T15:42:14"/>
  </r>
  <r>
    <n v="915"/>
    <x v="0"/>
    <n v="51018001"/>
    <n v="16.243460167044049"/>
    <s v="BRONCE"/>
    <n v="1018"/>
    <d v="2026-02-27T15:42:14"/>
  </r>
  <r>
    <n v="916"/>
    <x v="0"/>
    <n v="51020707"/>
    <n v="16.785500886469091"/>
    <s v="BRONCE"/>
    <n v="1013"/>
    <d v="2026-02-27T15:42:14"/>
  </r>
  <r>
    <n v="917"/>
    <x v="0"/>
    <n v="51018923"/>
    <n v="77.039999999999992"/>
    <s v="PLATINO"/>
    <n v="542"/>
    <d v="2026-02-27T15:42:14"/>
  </r>
  <r>
    <n v="918"/>
    <x v="0"/>
    <n v="51012721"/>
    <n v="77.34964244451173"/>
    <s v="PLATINO"/>
    <n v="527"/>
    <d v="2026-02-27T15:42:14"/>
  </r>
  <r>
    <n v="919"/>
    <x v="0"/>
    <n v="51020634"/>
    <n v="53.422521481734051"/>
    <s v="PLATA"/>
    <n v="844"/>
    <d v="2026-02-27T15:42:14"/>
  </r>
  <r>
    <n v="920"/>
    <x v="0"/>
    <n v="51056507"/>
    <n v="32.65695280195304"/>
    <s v="PLATA"/>
    <n v="908"/>
    <d v="2026-02-27T15:42:14"/>
  </r>
  <r>
    <n v="921"/>
    <x v="0"/>
    <n v="51002105"/>
    <n v="60.94"/>
    <s v="ORO"/>
    <n v="787"/>
    <d v="2026-02-27T15:42:14"/>
  </r>
  <r>
    <n v="922"/>
    <x v="0"/>
    <n v="51055136"/>
    <n v="20"/>
    <s v="BRONCE"/>
    <n v="923"/>
    <d v="2026-02-27T15:42:14"/>
  </r>
  <r>
    <n v="923"/>
    <x v="0"/>
    <n v="51008685"/>
    <n v="79.349999999999994"/>
    <s v="PLATINO"/>
    <n v="448"/>
    <d v="2026-02-27T15:42:14"/>
  </r>
  <r>
    <n v="924"/>
    <x v="0"/>
    <n v="51055306"/>
    <n v="57.722607395131043"/>
    <s v="ORO"/>
    <n v="832"/>
    <d v="2026-02-27T15:42:14"/>
  </r>
  <r>
    <n v="925"/>
    <x v="0"/>
    <n v="51024036"/>
    <n v="49.319357989557737"/>
    <s v="PLATA"/>
    <n v="861"/>
    <d v="2026-02-27T15:42:14"/>
  </r>
  <r>
    <n v="926"/>
    <x v="0"/>
    <n v="51011597"/>
    <n v="80.218000000000004"/>
    <s v="PLATINO"/>
    <n v="429"/>
    <d v="2026-02-27T15:42:14"/>
  </r>
  <r>
    <n v="927"/>
    <x v="0"/>
    <n v="51043260"/>
    <n v="77.355608873566581"/>
    <s v="PLATINO"/>
    <n v="526"/>
    <d v="2026-02-27T15:42:14"/>
  </r>
  <r>
    <n v="928"/>
    <x v="0"/>
    <n v="51004035"/>
    <n v="34.008658818007518"/>
    <s v="PLATA"/>
    <n v="902"/>
    <d v="2026-02-27T15:42:14"/>
  </r>
  <r>
    <n v="929"/>
    <x v="0"/>
    <n v="51043537"/>
    <n v="74.782673886881071"/>
    <s v="ORO"/>
    <n v="593"/>
    <d v="2026-02-27T15:42:14"/>
  </r>
  <r>
    <n v="930"/>
    <x v="0"/>
    <n v="51056752"/>
    <n v="77.88300000000001"/>
    <s v="PLATINO"/>
    <n v="503"/>
    <d v="2026-02-27T15:42:14"/>
  </r>
  <r>
    <n v="931"/>
    <x v="0"/>
    <n v="51031857"/>
    <n v="73.336610166094161"/>
    <s v="ORO"/>
    <n v="607"/>
    <d v="2026-02-27T15:42:14"/>
  </r>
  <r>
    <n v="932"/>
    <x v="0"/>
    <n v="51014138"/>
    <n v="61.605593732246852"/>
    <s v="ORO"/>
    <n v="766"/>
    <d v="2026-02-27T15:42:14"/>
  </r>
  <r>
    <n v="933"/>
    <x v="0"/>
    <n v="51055578"/>
    <n v="55.139620319228371"/>
    <s v="ORO"/>
    <n v="839"/>
    <d v="2026-02-27T15:42:14"/>
  </r>
  <r>
    <n v="934"/>
    <x v="0"/>
    <n v="51024028"/>
    <n v="77.120178544481732"/>
    <s v="PLATINO"/>
    <n v="538"/>
    <d v="2026-02-27T15:42:14"/>
  </r>
  <r>
    <n v="935"/>
    <x v="0"/>
    <n v="51057031"/>
    <n v="77.66"/>
    <s v="PLATINO"/>
    <n v="515"/>
    <d v="2026-02-27T15:42:14"/>
  </r>
  <r>
    <n v="936"/>
    <x v="0"/>
    <n v="51011929"/>
    <n v="77.768632467636351"/>
    <s v="PLATINO"/>
    <n v="507"/>
    <d v="2026-02-27T15:42:14"/>
  </r>
  <r>
    <n v="937"/>
    <x v="0"/>
    <n v="51017773"/>
    <n v="60.62"/>
    <s v="ORO"/>
    <n v="794"/>
    <d v="2026-02-27T15:42:14"/>
  </r>
  <r>
    <n v="938"/>
    <x v="0"/>
    <n v="51003063"/>
    <n v="60.558000000000007"/>
    <s v="ORO"/>
    <n v="796"/>
    <d v="2026-02-27T15:42:14"/>
  </r>
  <r>
    <n v="939"/>
    <x v="0"/>
    <n v="51022572"/>
    <n v="71.675269734201095"/>
    <s v="ORO"/>
    <n v="631"/>
    <d v="2026-02-27T15:42:14"/>
  </r>
  <r>
    <n v="940"/>
    <x v="0"/>
    <n v="51022343"/>
    <n v="15.892360464709061"/>
    <s v="BRONCE"/>
    <n v="1020"/>
    <d v="2026-02-27T15:42:14"/>
  </r>
  <r>
    <n v="941"/>
    <x v="0"/>
    <n v="51015835"/>
    <n v="19.998000000000001"/>
    <s v="BRONCE"/>
    <n v="951"/>
    <d v="2026-02-27T15:42:14"/>
  </r>
  <r>
    <n v="942"/>
    <x v="0"/>
    <n v="51056329"/>
    <n v="75.101987970803151"/>
    <s v="PLATINO"/>
    <n v="589"/>
    <d v="2026-02-27T15:42:14"/>
  </r>
  <r>
    <n v="943"/>
    <x v="0"/>
    <n v="51030915"/>
    <n v="15.658696222547171"/>
    <s v="BRONCE"/>
    <n v="1022"/>
    <d v="2026-02-27T15:42:14"/>
  </r>
  <r>
    <n v="944"/>
    <x v="0"/>
    <n v="51017871"/>
    <n v="12.29277954001267"/>
    <s v="BRONCE"/>
    <n v="1030"/>
    <d v="2026-02-27T15:42:14"/>
  </r>
  <r>
    <n v="945"/>
    <x v="0"/>
    <n v="51017218"/>
    <n v="75.486056552294116"/>
    <s v="PLATINO"/>
    <n v="583"/>
    <d v="2026-02-27T15:42:14"/>
  </r>
  <r>
    <n v="946"/>
    <x v="0"/>
    <n v="51039025"/>
    <n v="56.079935747535892"/>
    <s v="ORO"/>
    <n v="837"/>
    <d v="2026-02-27T15:42:14"/>
  </r>
  <r>
    <n v="947"/>
    <x v="0"/>
    <n v="51026497"/>
    <n v="75.384991446713371"/>
    <s v="PLATINO"/>
    <n v="585"/>
    <d v="2026-02-27T15:42:14"/>
  </r>
  <r>
    <n v="948"/>
    <x v="0"/>
    <n v="51043693"/>
    <n v="60.58"/>
    <s v="ORO"/>
    <n v="795"/>
    <d v="2026-02-27T15:42:14"/>
  </r>
  <r>
    <n v="949"/>
    <x v="0"/>
    <n v="51001532"/>
    <n v="77.16"/>
    <s v="PLATINO"/>
    <n v="537"/>
    <d v="2026-02-27T15:42:14"/>
  </r>
  <r>
    <n v="950"/>
    <x v="0"/>
    <n v="51002709"/>
    <n v="19.998000000000001"/>
    <s v="BRONCE"/>
    <n v="951"/>
    <d v="2026-02-27T15:42:14"/>
  </r>
  <r>
    <n v="951"/>
    <x v="0"/>
    <n v="51015151"/>
    <n v="10"/>
    <s v="BRONCE"/>
    <n v="1032"/>
    <d v="2026-02-27T15:42:14"/>
  </r>
  <r>
    <n v="952"/>
    <x v="0"/>
    <n v="51009941"/>
    <n v="60.26"/>
    <s v="ORO"/>
    <n v="804"/>
    <d v="2026-02-27T15:42:14"/>
  </r>
  <r>
    <n v="953"/>
    <x v="0"/>
    <n v="51024818"/>
    <n v="17.195209206893431"/>
    <s v="BRONCE"/>
    <n v="1011"/>
    <d v="2026-02-27T15:42:14"/>
  </r>
  <r>
    <n v="954"/>
    <x v="0"/>
    <n v="51010523"/>
    <n v="19.998000000000001"/>
    <s v="BRONCE"/>
    <n v="951"/>
    <d v="2026-02-27T15:42:14"/>
  </r>
  <r>
    <n v="955"/>
    <x v="0"/>
    <n v="51000552"/>
    <n v="83.75"/>
    <s v="PLATINO"/>
    <n v="261"/>
    <d v="2026-02-27T15:42:14"/>
  </r>
  <r>
    <n v="956"/>
    <x v="0"/>
    <n v="51052331"/>
    <n v="50.655579999698318"/>
    <s v="PLATA"/>
    <n v="853"/>
    <d v="2026-02-27T15:42:14"/>
  </r>
  <r>
    <n v="957"/>
    <x v="0"/>
    <n v="51024460"/>
    <n v="27.936769999207591"/>
    <s v="BRONCE"/>
    <n v="914"/>
    <d v="2026-02-27T15:42:14"/>
  </r>
  <r>
    <n v="958"/>
    <x v="0"/>
    <n v="51024885"/>
    <n v="76.680000000000007"/>
    <s v="PLATINO"/>
    <n v="557"/>
    <d v="2026-02-27T15:42:14"/>
  </r>
  <r>
    <n v="959"/>
    <x v="0"/>
    <n v="51005554"/>
    <n v="76.666443640874903"/>
    <s v="PLATINO"/>
    <n v="558"/>
    <d v="2026-02-27T15:42:14"/>
  </r>
  <r>
    <n v="960"/>
    <x v="0"/>
    <n v="51024478"/>
    <n v="57.158674773818412"/>
    <s v="ORO"/>
    <n v="834"/>
    <d v="2026-02-27T15:42:14"/>
  </r>
  <r>
    <n v="961"/>
    <x v="0"/>
    <n v="51012691"/>
    <n v="55.24902737373818"/>
    <s v="ORO"/>
    <n v="838"/>
    <d v="2026-02-27T15:42:14"/>
  </r>
  <r>
    <n v="962"/>
    <x v="0"/>
    <n v="51015681"/>
    <n v="14.65908052850777"/>
    <s v="BRONCE"/>
    <n v="1026"/>
    <d v="2026-02-27T15:42:14"/>
  </r>
  <r>
    <n v="963"/>
    <x v="0"/>
    <n v="51019008"/>
    <n v="19.998000000000001"/>
    <s v="BRONCE"/>
    <n v="951"/>
    <d v="2026-02-27T15:42:14"/>
  </r>
  <r>
    <n v="964"/>
    <x v="0"/>
    <n v="51015762"/>
    <n v="74.863272657597236"/>
    <s v="ORO"/>
    <n v="591"/>
    <d v="2026-02-27T15:42:14"/>
  </r>
  <r>
    <n v="965"/>
    <x v="0"/>
    <n v="51017714"/>
    <n v="76.558000000000007"/>
    <s v="PLATINO"/>
    <n v="560"/>
    <d v="2026-02-27T15:42:14"/>
  </r>
  <r>
    <n v="966"/>
    <x v="0"/>
    <n v="51031997"/>
    <n v="50.756"/>
    <s v="PLATA"/>
    <n v="852"/>
    <d v="2026-02-27T15:42:14"/>
  </r>
  <r>
    <n v="967"/>
    <x v="0"/>
    <n v="51039181"/>
    <n v="75.680000000000007"/>
    <s v="PLATINO"/>
    <n v="579"/>
    <d v="2026-02-27T15:42:14"/>
  </r>
  <r>
    <n v="968"/>
    <x v="0"/>
    <n v="51057121"/>
    <n v="50.037999999999997"/>
    <s v="PLATA"/>
    <n v="857"/>
    <d v="2026-02-27T15:42:14"/>
  </r>
  <r>
    <n v="969"/>
    <x v="0"/>
    <n v="51018290"/>
    <n v="59.94"/>
    <s v="ORO"/>
    <n v="810"/>
    <d v="2026-02-27T15:42:14"/>
  </r>
  <r>
    <n v="970"/>
    <x v="0"/>
    <n v="51043561"/>
    <n v="77.218000000000004"/>
    <s v="PLATINO"/>
    <n v="534"/>
    <d v="2026-02-27T15:42:14"/>
  </r>
  <r>
    <n v="971"/>
    <x v="0"/>
    <n v="51036964"/>
    <n v="20"/>
    <s v="BRONCE"/>
    <n v="923"/>
    <d v="2026-02-27T15:42:14"/>
  </r>
  <r>
    <n v="972"/>
    <x v="0"/>
    <n v="51030290"/>
    <n v="20"/>
    <s v="BRONCE"/>
    <n v="923"/>
    <d v="2026-02-27T15:42:14"/>
  </r>
  <r>
    <n v="973"/>
    <x v="0"/>
    <n v="51023331"/>
    <n v="19.998000000000001"/>
    <s v="BRONCE"/>
    <n v="951"/>
    <d v="2026-02-27T15:42:14"/>
  </r>
  <r>
    <n v="974"/>
    <x v="0"/>
    <n v="51024010"/>
    <n v="71.597592930518303"/>
    <s v="ORO"/>
    <n v="634"/>
    <d v="2026-02-27T15:42:14"/>
  </r>
  <r>
    <n v="975"/>
    <x v="0"/>
    <n v="51024664"/>
    <n v="72.989856478225136"/>
    <s v="ORO"/>
    <n v="615"/>
    <d v="2026-02-27T15:42:14"/>
  </r>
  <r>
    <n v="976"/>
    <x v="0"/>
    <n v="51009185"/>
    <n v="60.22"/>
    <s v="ORO"/>
    <n v="805"/>
    <d v="2026-02-27T15:42:14"/>
  </r>
  <r>
    <n v="977"/>
    <x v="0"/>
    <n v="51039424"/>
    <n v="19.97"/>
    <s v="BRONCE"/>
    <n v="978"/>
    <d v="2026-02-27T15:42:14"/>
  </r>
  <r>
    <n v="978"/>
    <x v="0"/>
    <n v="51038941"/>
    <n v="70.886611852178063"/>
    <s v="ORO"/>
    <n v="639"/>
    <d v="2026-02-27T15:42:14"/>
  </r>
  <r>
    <n v="979"/>
    <x v="0"/>
    <n v="51015126"/>
    <n v="19.998000000000001"/>
    <s v="BRONCE"/>
    <n v="951"/>
    <d v="2026-02-27T15:42:14"/>
  </r>
  <r>
    <n v="980"/>
    <x v="0"/>
    <n v="51017234"/>
    <n v="11.353806724273699"/>
    <s v="BRONCE"/>
    <n v="1031"/>
    <d v="2026-02-27T15:42:14"/>
  </r>
  <r>
    <n v="981"/>
    <x v="0"/>
    <n v="51012852"/>
    <n v="73.657661139814238"/>
    <s v="ORO"/>
    <n v="603"/>
    <d v="2026-02-27T15:42:14"/>
  </r>
  <r>
    <n v="982"/>
    <x v="0"/>
    <n v="51010396"/>
    <n v="77.486027525445138"/>
    <s v="PLATINO"/>
    <n v="520"/>
    <d v="2026-02-27T15:42:14"/>
  </r>
  <r>
    <n v="983"/>
    <x v="0"/>
    <n v="51022629"/>
    <n v="68.746334556900266"/>
    <s v="ORO"/>
    <n v="656"/>
    <d v="2026-02-27T15:42:14"/>
  </r>
  <r>
    <n v="984"/>
    <x v="0"/>
    <n v="51021274"/>
    <n v="60.311080963566539"/>
    <s v="ORO"/>
    <n v="802"/>
    <d v="2026-02-27T15:42:14"/>
  </r>
  <r>
    <n v="985"/>
    <x v="0"/>
    <n v="51021819"/>
    <n v="13.18374268936928"/>
    <s v="BRONCE"/>
    <n v="1029"/>
    <d v="2026-02-27T15:42:14"/>
  </r>
  <r>
    <n v="986"/>
    <x v="0"/>
    <n v="51011171"/>
    <n v="53.900418806886819"/>
    <s v="PLATA"/>
    <n v="842"/>
    <d v="2026-02-27T15:42:14"/>
  </r>
  <r>
    <n v="987"/>
    <x v="0"/>
    <n v="51012470"/>
    <n v="39.210762069911539"/>
    <s v="PLATA"/>
    <n v="888"/>
    <d v="2026-02-27T15:42:14"/>
  </r>
  <r>
    <n v="988"/>
    <x v="0"/>
    <n v="51032713"/>
    <n v="71.335377942936162"/>
    <s v="ORO"/>
    <n v="637"/>
    <d v="2026-02-27T15:42:14"/>
  </r>
  <r>
    <n v="989"/>
    <x v="0"/>
    <n v="51010744"/>
    <n v="59.638000000000012"/>
    <s v="ORO"/>
    <n v="813"/>
    <d v="2026-02-27T15:42:14"/>
  </r>
  <r>
    <n v="990"/>
    <x v="0"/>
    <n v="51057546"/>
    <n v="25.86"/>
    <s v="BRONCE"/>
    <n v="918"/>
    <d v="2026-02-27T15:42:14"/>
  </r>
  <r>
    <n v="991"/>
    <x v="0"/>
    <n v="51023889"/>
    <n v="66.349999999999994"/>
    <s v="ORO"/>
    <n v="677"/>
    <d v="2026-02-27T15:42:14"/>
  </r>
  <r>
    <n v="992"/>
    <x v="0"/>
    <n v="51031041"/>
    <n v="67.97229816028387"/>
    <s v="ORO"/>
    <n v="663"/>
    <d v="2026-02-27T15:42:14"/>
  </r>
  <r>
    <n v="993"/>
    <x v="0"/>
    <n v="51022262"/>
    <n v="9.9939999999999998"/>
    <s v="BRONCE"/>
    <n v="1185"/>
    <d v="2026-02-27T15:42:14"/>
  </r>
  <r>
    <n v="994"/>
    <x v="0"/>
    <n v="51017731"/>
    <n v="49.680999999999997"/>
    <s v="PLATA"/>
    <n v="859"/>
    <d v="2026-02-27T15:42:14"/>
  </r>
  <r>
    <n v="995"/>
    <x v="0"/>
    <n v="51000269"/>
    <n v="10"/>
    <s v="BRONCE"/>
    <n v="1032"/>
    <d v="2026-02-27T15:42:14"/>
  </r>
  <r>
    <n v="996"/>
    <x v="0"/>
    <n v="51000862"/>
    <n v="10"/>
    <s v="BRONCE"/>
    <n v="1032"/>
    <d v="2026-02-27T15:42:14"/>
  </r>
  <r>
    <n v="997"/>
    <x v="0"/>
    <n v="51001494"/>
    <n v="10"/>
    <s v="BRONCE"/>
    <n v="1032"/>
    <d v="2026-02-27T15:42:14"/>
  </r>
  <r>
    <n v="998"/>
    <x v="0"/>
    <n v="51001745"/>
    <n v="10"/>
    <s v="BRONCE"/>
    <n v="1032"/>
    <d v="2026-02-27T15:42:14"/>
  </r>
  <r>
    <n v="999"/>
    <x v="0"/>
    <n v="51001923"/>
    <n v="10"/>
    <s v="BRONCE"/>
    <n v="1032"/>
    <d v="2026-02-27T15:42:14"/>
  </r>
  <r>
    <n v="1000"/>
    <x v="0"/>
    <n v="51003721"/>
    <n v="10"/>
    <s v="BRONCE"/>
    <n v="1032"/>
    <d v="2026-02-27T15:42:14"/>
  </r>
  <r>
    <n v="1001"/>
    <x v="0"/>
    <n v="51004167"/>
    <n v="10"/>
    <s v="BRONCE"/>
    <n v="1032"/>
    <d v="2026-02-27T15:42:14"/>
  </r>
  <r>
    <n v="1002"/>
    <x v="0"/>
    <n v="51004671"/>
    <n v="10"/>
    <s v="BRONCE"/>
    <n v="1032"/>
    <d v="2026-02-27T15:42:14"/>
  </r>
  <r>
    <n v="1003"/>
    <x v="0"/>
    <n v="51005058"/>
    <n v="10"/>
    <s v="BRONCE"/>
    <n v="1032"/>
    <d v="2026-02-27T15:42:14"/>
  </r>
  <r>
    <n v="1004"/>
    <x v="0"/>
    <n v="51005201"/>
    <n v="10"/>
    <s v="BRONCE"/>
    <n v="1032"/>
    <d v="2026-02-27T15:42:14"/>
  </r>
  <r>
    <n v="1005"/>
    <x v="0"/>
    <n v="51005384"/>
    <n v="83.946034867207842"/>
    <s v="PLATINO"/>
    <n v="249"/>
    <d v="2026-02-27T15:42:14"/>
  </r>
  <r>
    <n v="1006"/>
    <x v="0"/>
    <n v="51005902"/>
    <n v="72.28"/>
    <s v="ORO"/>
    <n v="626"/>
    <d v="2026-02-27T15:42:14"/>
  </r>
  <r>
    <n v="1007"/>
    <x v="0"/>
    <n v="51006445"/>
    <n v="18.47090627409678"/>
    <s v="BRONCE"/>
    <n v="1001"/>
    <d v="2026-02-27T15:42:14"/>
  </r>
  <r>
    <n v="1008"/>
    <x v="0"/>
    <n v="51006453"/>
    <n v="10"/>
    <s v="BRONCE"/>
    <n v="1032"/>
    <d v="2026-02-27T15:42:14"/>
  </r>
  <r>
    <n v="1009"/>
    <x v="0"/>
    <n v="51006518"/>
    <n v="10"/>
    <s v="BRONCE"/>
    <n v="1032"/>
    <d v="2026-02-27T15:42:14"/>
  </r>
  <r>
    <n v="1010"/>
    <x v="0"/>
    <n v="51006674"/>
    <n v="10"/>
    <s v="BRONCE"/>
    <n v="1032"/>
    <d v="2026-02-27T15:42:14"/>
  </r>
  <r>
    <n v="1011"/>
    <x v="0"/>
    <n v="51010094"/>
    <n v="10"/>
    <s v="BRONCE"/>
    <n v="1032"/>
    <d v="2026-02-27T15:42:14"/>
  </r>
  <r>
    <n v="1012"/>
    <x v="0"/>
    <n v="51010108"/>
    <n v="10"/>
    <s v="BRONCE"/>
    <n v="1032"/>
    <d v="2026-02-27T15:42:14"/>
  </r>
  <r>
    <n v="1013"/>
    <x v="0"/>
    <n v="51010167"/>
    <n v="10"/>
    <s v="BRONCE"/>
    <n v="1032"/>
    <d v="2026-02-27T15:42:14"/>
  </r>
  <r>
    <n v="1014"/>
    <x v="0"/>
    <n v="51010388"/>
    <n v="10"/>
    <s v="BRONCE"/>
    <n v="1032"/>
    <d v="2026-02-27T15:42:14"/>
  </r>
  <r>
    <n v="1015"/>
    <x v="0"/>
    <n v="51010477"/>
    <n v="10"/>
    <s v="BRONCE"/>
    <n v="1032"/>
    <d v="2026-02-27T15:42:14"/>
  </r>
  <r>
    <n v="1016"/>
    <x v="0"/>
    <n v="51010485"/>
    <n v="10"/>
    <s v="BRONCE"/>
    <n v="1032"/>
    <d v="2026-02-27T15:42:14"/>
  </r>
  <r>
    <n v="1017"/>
    <x v="0"/>
    <n v="51010612"/>
    <n v="10"/>
    <s v="BRONCE"/>
    <n v="1032"/>
    <d v="2026-02-27T15:42:14"/>
  </r>
  <r>
    <n v="1018"/>
    <x v="0"/>
    <n v="51010639"/>
    <n v="10"/>
    <s v="BRONCE"/>
    <n v="1032"/>
    <d v="2026-02-27T15:42:14"/>
  </r>
  <r>
    <n v="1019"/>
    <x v="0"/>
    <n v="51010965"/>
    <n v="10"/>
    <s v="BRONCE"/>
    <n v="1032"/>
    <d v="2026-02-27T15:42:14"/>
  </r>
  <r>
    <n v="1020"/>
    <x v="0"/>
    <n v="51011082"/>
    <n v="76.742999999999995"/>
    <s v="PLATINO"/>
    <n v="554"/>
    <d v="2026-02-27T15:42:14"/>
  </r>
  <r>
    <n v="1021"/>
    <x v="0"/>
    <n v="51011104"/>
    <n v="68.48"/>
    <s v="ORO"/>
    <n v="658"/>
    <d v="2026-02-27T15:42:14"/>
  </r>
  <r>
    <n v="1022"/>
    <x v="0"/>
    <n v="51011163"/>
    <n v="72.456589317552329"/>
    <s v="ORO"/>
    <n v="622"/>
    <d v="2026-02-27T15:42:14"/>
  </r>
  <r>
    <n v="1023"/>
    <x v="0"/>
    <n v="51011406"/>
    <n v="20"/>
    <s v="BRONCE"/>
    <n v="923"/>
    <d v="2026-02-27T15:42:14"/>
  </r>
  <r>
    <n v="1024"/>
    <x v="0"/>
    <n v="51011503"/>
    <n v="9.9849999999999994"/>
    <s v="BRONCE"/>
    <n v="1186"/>
    <d v="2026-02-27T15:42:14"/>
  </r>
  <r>
    <n v="1025"/>
    <x v="0"/>
    <n v="51011511"/>
    <n v="72.1669189722775"/>
    <s v="ORO"/>
    <n v="628"/>
    <d v="2026-02-27T15:42:14"/>
  </r>
  <r>
    <n v="1026"/>
    <x v="0"/>
    <n v="51011881"/>
    <n v="10"/>
    <s v="BRONCE"/>
    <n v="1032"/>
    <d v="2026-02-27T15:42:14"/>
  </r>
  <r>
    <n v="1027"/>
    <x v="0"/>
    <n v="51011911"/>
    <n v="76.754999999999995"/>
    <s v="PLATINO"/>
    <n v="552"/>
    <d v="2026-02-27T15:42:14"/>
  </r>
  <r>
    <n v="1028"/>
    <x v="0"/>
    <n v="51011945"/>
    <n v="10"/>
    <s v="BRONCE"/>
    <n v="1032"/>
    <d v="2026-02-27T15:42:14"/>
  </r>
  <r>
    <n v="1029"/>
    <x v="0"/>
    <n v="51012089"/>
    <n v="10"/>
    <s v="BRONCE"/>
    <n v="1032"/>
    <d v="2026-02-27T15:42:14"/>
  </r>
  <r>
    <n v="1030"/>
    <x v="0"/>
    <n v="51012283"/>
    <n v="9.9280000000000008"/>
    <s v="BRONCE"/>
    <n v="1191"/>
    <d v="2026-02-27T15:42:14"/>
  </r>
  <r>
    <n v="1031"/>
    <x v="0"/>
    <n v="51012429"/>
    <n v="10"/>
    <s v="BRONCE"/>
    <n v="1032"/>
    <d v="2026-02-27T15:42:14"/>
  </r>
  <r>
    <n v="1032"/>
    <x v="0"/>
    <n v="51012569"/>
    <n v="10"/>
    <s v="BRONCE"/>
    <n v="1032"/>
    <d v="2026-02-27T15:42:14"/>
  </r>
  <r>
    <n v="1033"/>
    <x v="0"/>
    <n v="51012631"/>
    <n v="10"/>
    <s v="BRONCE"/>
    <n v="1032"/>
    <d v="2026-02-27T15:42:14"/>
  </r>
  <r>
    <n v="1034"/>
    <x v="0"/>
    <n v="51012844"/>
    <n v="13.610622874733041"/>
    <s v="BRONCE"/>
    <n v="1027"/>
    <d v="2026-02-27T15:42:14"/>
  </r>
  <r>
    <n v="1035"/>
    <x v="0"/>
    <n v="51012925"/>
    <n v="10"/>
    <s v="BRONCE"/>
    <n v="1032"/>
    <d v="2026-02-27T15:42:14"/>
  </r>
  <r>
    <n v="1036"/>
    <x v="0"/>
    <n v="51012968"/>
    <n v="20"/>
    <s v="BRONCE"/>
    <n v="923"/>
    <d v="2026-02-27T15:42:14"/>
  </r>
  <r>
    <n v="1037"/>
    <x v="0"/>
    <n v="51013042"/>
    <n v="49.77020922108413"/>
    <s v="PLATA"/>
    <n v="858"/>
    <d v="2026-02-27T15:42:14"/>
  </r>
  <r>
    <n v="1038"/>
    <x v="0"/>
    <n v="51013123"/>
    <n v="10"/>
    <s v="BRONCE"/>
    <n v="1032"/>
    <d v="2026-02-27T15:42:14"/>
  </r>
  <r>
    <n v="1039"/>
    <x v="0"/>
    <n v="51013174"/>
    <n v="10"/>
    <s v="BRONCE"/>
    <n v="1032"/>
    <d v="2026-02-27T15:42:14"/>
  </r>
  <r>
    <n v="1040"/>
    <x v="0"/>
    <n v="51013263"/>
    <n v="10"/>
    <s v="BRONCE"/>
    <n v="1032"/>
    <d v="2026-02-27T15:42:14"/>
  </r>
  <r>
    <n v="1041"/>
    <x v="0"/>
    <n v="51013751"/>
    <n v="37.992783321119028"/>
    <s v="PLATA"/>
    <n v="891"/>
    <d v="2026-02-27T15:42:14"/>
  </r>
  <r>
    <n v="1042"/>
    <x v="0"/>
    <n v="51013905"/>
    <n v="10"/>
    <s v="BRONCE"/>
    <n v="1032"/>
    <d v="2026-02-27T15:42:14"/>
  </r>
  <r>
    <n v="1043"/>
    <x v="0"/>
    <n v="51014073"/>
    <n v="10"/>
    <s v="BRONCE"/>
    <n v="1032"/>
    <d v="2026-02-27T15:42:14"/>
  </r>
  <r>
    <n v="1044"/>
    <x v="0"/>
    <n v="51014154"/>
    <n v="10"/>
    <s v="BRONCE"/>
    <n v="1032"/>
    <d v="2026-02-27T15:42:14"/>
  </r>
  <r>
    <n v="1045"/>
    <x v="0"/>
    <n v="51014227"/>
    <n v="52.58"/>
    <s v="PLATA"/>
    <n v="846"/>
    <d v="2026-02-27T15:42:14"/>
  </r>
  <r>
    <n v="1046"/>
    <x v="0"/>
    <n v="51014651"/>
    <n v="10"/>
    <s v="BRONCE"/>
    <n v="1032"/>
    <d v="2026-02-27T15:42:14"/>
  </r>
  <r>
    <n v="1047"/>
    <x v="0"/>
    <n v="51014723"/>
    <n v="10"/>
    <s v="BRONCE"/>
    <n v="1032"/>
    <d v="2026-02-27T15:42:14"/>
  </r>
  <r>
    <n v="1048"/>
    <x v="0"/>
    <n v="51015282"/>
    <n v="10"/>
    <s v="BRONCE"/>
    <n v="1032"/>
    <d v="2026-02-27T15:42:14"/>
  </r>
  <r>
    <n v="1049"/>
    <x v="0"/>
    <n v="51015576"/>
    <n v="10"/>
    <s v="BRONCE"/>
    <n v="1032"/>
    <d v="2026-02-27T15:42:14"/>
  </r>
  <r>
    <n v="1050"/>
    <x v="0"/>
    <n v="51015690"/>
    <n v="10"/>
    <s v="BRONCE"/>
    <n v="1032"/>
    <d v="2026-02-27T15:42:14"/>
  </r>
  <r>
    <n v="1051"/>
    <x v="0"/>
    <n v="51015738"/>
    <n v="10"/>
    <s v="BRONCE"/>
    <n v="1032"/>
    <d v="2026-02-27T15:42:14"/>
  </r>
  <r>
    <n v="1052"/>
    <x v="0"/>
    <n v="51015959"/>
    <n v="10"/>
    <s v="BRONCE"/>
    <n v="1032"/>
    <d v="2026-02-27T15:42:14"/>
  </r>
  <r>
    <n v="1053"/>
    <x v="0"/>
    <n v="51015991"/>
    <n v="10"/>
    <s v="BRONCE"/>
    <n v="1032"/>
    <d v="2026-02-27T15:42:14"/>
  </r>
  <r>
    <n v="1054"/>
    <x v="0"/>
    <n v="51016122"/>
    <n v="74.178024410359995"/>
    <s v="ORO"/>
    <n v="598"/>
    <d v="2026-02-27T15:42:14"/>
  </r>
  <r>
    <n v="1055"/>
    <x v="0"/>
    <n v="51016190"/>
    <n v="20"/>
    <s v="BRONCE"/>
    <n v="923"/>
    <d v="2026-02-27T15:42:14"/>
  </r>
  <r>
    <n v="1056"/>
    <x v="0"/>
    <n v="51016505"/>
    <n v="60.32838297707022"/>
    <s v="ORO"/>
    <n v="801"/>
    <d v="2026-02-27T15:42:14"/>
  </r>
  <r>
    <n v="1057"/>
    <x v="0"/>
    <n v="51016670"/>
    <n v="19.984999999999999"/>
    <s v="BRONCE"/>
    <n v="973"/>
    <d v="2026-02-27T15:42:14"/>
  </r>
  <r>
    <n v="1058"/>
    <x v="0"/>
    <n v="51016751"/>
    <n v="66.3"/>
    <s v="ORO"/>
    <n v="678"/>
    <d v="2026-02-27T15:42:14"/>
  </r>
  <r>
    <n v="1059"/>
    <x v="0"/>
    <n v="51016769"/>
    <n v="10"/>
    <s v="BRONCE"/>
    <n v="1032"/>
    <d v="2026-02-27T15:42:14"/>
  </r>
  <r>
    <n v="1060"/>
    <x v="0"/>
    <n v="51016807"/>
    <n v="78.238000000000014"/>
    <s v="PLATINO"/>
    <n v="486"/>
    <d v="2026-02-27T15:42:14"/>
  </r>
  <r>
    <n v="1061"/>
    <x v="0"/>
    <n v="51016912"/>
    <n v="53.56"/>
    <s v="PLATA"/>
    <n v="843"/>
    <d v="2026-02-27T15:42:14"/>
  </r>
  <r>
    <n v="1062"/>
    <x v="0"/>
    <n v="51017005"/>
    <n v="10"/>
    <s v="BRONCE"/>
    <n v="1032"/>
    <d v="2026-02-27T15:42:14"/>
  </r>
  <r>
    <n v="1063"/>
    <x v="0"/>
    <n v="51017200"/>
    <n v="10"/>
    <s v="BRONCE"/>
    <n v="1032"/>
    <d v="2026-02-27T15:42:14"/>
  </r>
  <r>
    <n v="1064"/>
    <x v="0"/>
    <n v="51017692"/>
    <n v="10"/>
    <s v="BRONCE"/>
    <n v="1032"/>
    <d v="2026-02-27T15:42:14"/>
  </r>
  <r>
    <n v="1065"/>
    <x v="0"/>
    <n v="51017781"/>
    <n v="20"/>
    <s v="BRONCE"/>
    <n v="923"/>
    <d v="2026-02-27T15:42:14"/>
  </r>
  <r>
    <n v="1066"/>
    <x v="0"/>
    <n v="51018010"/>
    <n v="13.400601125349789"/>
    <s v="BRONCE"/>
    <n v="1028"/>
    <d v="2026-02-27T15:42:14"/>
  </r>
  <r>
    <n v="1067"/>
    <x v="0"/>
    <n v="51018168"/>
    <n v="20"/>
    <s v="BRONCE"/>
    <n v="923"/>
    <d v="2026-02-27T15:42:14"/>
  </r>
  <r>
    <n v="1068"/>
    <x v="0"/>
    <n v="51018192"/>
    <n v="10"/>
    <s v="BRONCE"/>
    <n v="1032"/>
    <d v="2026-02-27T15:42:14"/>
  </r>
  <r>
    <n v="1069"/>
    <x v="0"/>
    <n v="51018281"/>
    <n v="14.89671002295333"/>
    <s v="BRONCE"/>
    <n v="1024"/>
    <d v="2026-02-27T15:42:14"/>
  </r>
  <r>
    <n v="1070"/>
    <x v="0"/>
    <n v="51018915"/>
    <n v="10"/>
    <s v="BRONCE"/>
    <n v="1032"/>
    <d v="2026-02-27T15:42:14"/>
  </r>
  <r>
    <n v="1071"/>
    <x v="0"/>
    <n v="51019075"/>
    <n v="10"/>
    <s v="BRONCE"/>
    <n v="1032"/>
    <d v="2026-02-27T15:42:14"/>
  </r>
  <r>
    <n v="1072"/>
    <x v="0"/>
    <n v="51019156"/>
    <n v="10"/>
    <s v="BRONCE"/>
    <n v="1032"/>
    <d v="2026-02-27T15:42:14"/>
  </r>
  <r>
    <n v="1073"/>
    <x v="0"/>
    <n v="51019181"/>
    <n v="10"/>
    <s v="BRONCE"/>
    <n v="1032"/>
    <d v="2026-02-27T15:42:14"/>
  </r>
  <r>
    <n v="1074"/>
    <x v="0"/>
    <n v="51019237"/>
    <n v="10"/>
    <s v="BRONCE"/>
    <n v="1032"/>
    <d v="2026-02-27T15:42:14"/>
  </r>
  <r>
    <n v="1075"/>
    <x v="0"/>
    <n v="51019351"/>
    <n v="10"/>
    <s v="BRONCE"/>
    <n v="1032"/>
    <d v="2026-02-27T15:42:14"/>
  </r>
  <r>
    <n v="1076"/>
    <x v="0"/>
    <n v="51019725"/>
    <n v="82.38"/>
    <s v="PLATINO"/>
    <n v="330"/>
    <d v="2026-02-27T15:42:14"/>
  </r>
  <r>
    <n v="1077"/>
    <x v="0"/>
    <n v="51019768"/>
    <n v="10"/>
    <s v="BRONCE"/>
    <n v="1032"/>
    <d v="2026-02-27T15:42:14"/>
  </r>
  <r>
    <n v="1078"/>
    <x v="0"/>
    <n v="51020120"/>
    <n v="10"/>
    <s v="BRONCE"/>
    <n v="1032"/>
    <d v="2026-02-27T15:42:14"/>
  </r>
  <r>
    <n v="1079"/>
    <x v="0"/>
    <n v="51020154"/>
    <n v="10"/>
    <s v="BRONCE"/>
    <n v="1032"/>
    <d v="2026-02-27T15:42:14"/>
  </r>
  <r>
    <n v="1080"/>
    <x v="0"/>
    <n v="51020740"/>
    <n v="81.455886299496157"/>
    <s v="PLATINO"/>
    <n v="373"/>
    <d v="2026-02-27T15:42:14"/>
  </r>
  <r>
    <n v="1081"/>
    <x v="0"/>
    <n v="51021151"/>
    <n v="10"/>
    <s v="BRONCE"/>
    <n v="1032"/>
    <d v="2026-02-27T15:42:14"/>
  </r>
  <r>
    <n v="1082"/>
    <x v="0"/>
    <n v="51021525"/>
    <n v="10"/>
    <s v="BRONCE"/>
    <n v="1032"/>
    <d v="2026-02-27T15:42:14"/>
  </r>
  <r>
    <n v="1083"/>
    <x v="0"/>
    <n v="51021649"/>
    <n v="60.12"/>
    <s v="ORO"/>
    <n v="806"/>
    <d v="2026-02-27T15:42:14"/>
  </r>
  <r>
    <n v="1084"/>
    <x v="0"/>
    <n v="51021908"/>
    <n v="10"/>
    <s v="BRONCE"/>
    <n v="1032"/>
    <d v="2026-02-27T15:42:14"/>
  </r>
  <r>
    <n v="1085"/>
    <x v="0"/>
    <n v="51021924"/>
    <n v="10"/>
    <s v="BRONCE"/>
    <n v="1032"/>
    <d v="2026-02-27T15:42:14"/>
  </r>
  <r>
    <n v="1086"/>
    <x v="0"/>
    <n v="51022203"/>
    <n v="10"/>
    <s v="BRONCE"/>
    <n v="1032"/>
    <d v="2026-02-27T15:42:14"/>
  </r>
  <r>
    <n v="1087"/>
    <x v="0"/>
    <n v="51022271"/>
    <n v="10"/>
    <s v="BRONCE"/>
    <n v="1032"/>
    <d v="2026-02-27T15:42:14"/>
  </r>
  <r>
    <n v="1088"/>
    <x v="0"/>
    <n v="51022297"/>
    <n v="10"/>
    <s v="BRONCE"/>
    <n v="1032"/>
    <d v="2026-02-27T15:42:14"/>
  </r>
  <r>
    <n v="1089"/>
    <x v="0"/>
    <n v="51022807"/>
    <n v="73.64"/>
    <s v="ORO"/>
    <n v="605"/>
    <d v="2026-02-27T15:42:14"/>
  </r>
  <r>
    <n v="1090"/>
    <x v="0"/>
    <n v="51022891"/>
    <n v="10"/>
    <s v="BRONCE"/>
    <n v="1032"/>
    <d v="2026-02-27T15:42:14"/>
  </r>
  <r>
    <n v="1091"/>
    <x v="0"/>
    <n v="51022939"/>
    <n v="10"/>
    <s v="BRONCE"/>
    <n v="1032"/>
    <d v="2026-02-27T15:42:14"/>
  </r>
  <r>
    <n v="1092"/>
    <x v="0"/>
    <n v="51023323"/>
    <n v="55.049952352614383"/>
    <s v="ORO"/>
    <n v="840"/>
    <d v="2026-02-27T15:42:14"/>
  </r>
  <r>
    <n v="1093"/>
    <x v="0"/>
    <n v="51023447"/>
    <n v="10"/>
    <s v="BRONCE"/>
    <n v="1032"/>
    <d v="2026-02-27T15:42:14"/>
  </r>
  <r>
    <n v="1094"/>
    <x v="0"/>
    <n v="51023463"/>
    <n v="10"/>
    <s v="BRONCE"/>
    <n v="1032"/>
    <d v="2026-02-27T15:42:14"/>
  </r>
  <r>
    <n v="1095"/>
    <x v="0"/>
    <n v="51023510"/>
    <n v="10"/>
    <s v="BRONCE"/>
    <n v="1032"/>
    <d v="2026-02-27T15:42:14"/>
  </r>
  <r>
    <n v="1096"/>
    <x v="0"/>
    <n v="51024338"/>
    <n v="10"/>
    <s v="BRONCE"/>
    <n v="1032"/>
    <d v="2026-02-27T15:42:14"/>
  </r>
  <r>
    <n v="1097"/>
    <x v="0"/>
    <n v="51024346"/>
    <n v="10"/>
    <s v="BRONCE"/>
    <n v="1032"/>
    <d v="2026-02-27T15:42:14"/>
  </r>
  <r>
    <n v="1098"/>
    <x v="0"/>
    <n v="51024354"/>
    <n v="10"/>
    <s v="BRONCE"/>
    <n v="1032"/>
    <d v="2026-02-27T15:42:14"/>
  </r>
  <r>
    <n v="1099"/>
    <x v="0"/>
    <n v="51024788"/>
    <n v="10"/>
    <s v="BRONCE"/>
    <n v="1032"/>
    <d v="2026-02-27T15:42:14"/>
  </r>
  <r>
    <n v="1100"/>
    <x v="0"/>
    <n v="51024907"/>
    <n v="10"/>
    <s v="BRONCE"/>
    <n v="1032"/>
    <d v="2026-02-27T15:42:14"/>
  </r>
  <r>
    <n v="1101"/>
    <x v="0"/>
    <n v="51025598"/>
    <n v="10"/>
    <s v="BRONCE"/>
    <n v="1032"/>
    <d v="2026-02-27T15:42:14"/>
  </r>
  <r>
    <n v="1102"/>
    <x v="0"/>
    <n v="51025601"/>
    <n v="75.875"/>
    <s v="PLATINO"/>
    <n v="573"/>
    <d v="2026-02-27T15:42:14"/>
  </r>
  <r>
    <n v="1103"/>
    <x v="0"/>
    <n v="51025881"/>
    <n v="10"/>
    <s v="BRONCE"/>
    <n v="1032"/>
    <d v="2026-02-27T15:42:14"/>
  </r>
  <r>
    <n v="1104"/>
    <x v="0"/>
    <n v="51028856"/>
    <n v="10"/>
    <s v="BRONCE"/>
    <n v="1032"/>
    <d v="2026-02-27T15:42:14"/>
  </r>
  <r>
    <n v="1105"/>
    <x v="0"/>
    <n v="51030087"/>
    <n v="10"/>
    <s v="BRONCE"/>
    <n v="1032"/>
    <d v="2026-02-27T15:42:14"/>
  </r>
  <r>
    <n v="1106"/>
    <x v="0"/>
    <n v="51030206"/>
    <n v="9.9849999999999994"/>
    <s v="BRONCE"/>
    <n v="1186"/>
    <d v="2026-02-27T15:42:14"/>
  </r>
  <r>
    <n v="1107"/>
    <x v="0"/>
    <n v="51030630"/>
    <n v="10"/>
    <s v="BRONCE"/>
    <n v="1032"/>
    <d v="2026-02-27T15:42:14"/>
  </r>
  <r>
    <n v="1108"/>
    <x v="0"/>
    <n v="51030745"/>
    <n v="10"/>
    <s v="BRONCE"/>
    <n v="1032"/>
    <d v="2026-02-27T15:42:14"/>
  </r>
  <r>
    <n v="1109"/>
    <x v="0"/>
    <n v="51030796"/>
    <n v="10"/>
    <s v="BRONCE"/>
    <n v="1032"/>
    <d v="2026-02-27T15:42:14"/>
  </r>
  <r>
    <n v="1110"/>
    <x v="0"/>
    <n v="51030966"/>
    <n v="10"/>
    <s v="BRONCE"/>
    <n v="1032"/>
    <d v="2026-02-27T15:42:14"/>
  </r>
  <r>
    <n v="1111"/>
    <x v="0"/>
    <n v="51031067"/>
    <n v="10"/>
    <s v="BRONCE"/>
    <n v="1032"/>
    <d v="2026-02-27T15:42:14"/>
  </r>
  <r>
    <n v="1112"/>
    <x v="0"/>
    <n v="51031091"/>
    <n v="10"/>
    <s v="BRONCE"/>
    <n v="1032"/>
    <d v="2026-02-27T15:42:14"/>
  </r>
  <r>
    <n v="1113"/>
    <x v="0"/>
    <n v="51031156"/>
    <n v="10"/>
    <s v="BRONCE"/>
    <n v="1032"/>
    <d v="2026-02-27T15:42:14"/>
  </r>
  <r>
    <n v="1114"/>
    <x v="0"/>
    <n v="51031423"/>
    <n v="10"/>
    <s v="BRONCE"/>
    <n v="1032"/>
    <d v="2026-02-27T15:42:14"/>
  </r>
  <r>
    <n v="1115"/>
    <x v="0"/>
    <n v="51031555"/>
    <n v="10"/>
    <s v="BRONCE"/>
    <n v="1032"/>
    <d v="2026-02-27T15:42:14"/>
  </r>
  <r>
    <n v="1116"/>
    <x v="0"/>
    <n v="51032021"/>
    <n v="10"/>
    <s v="BRONCE"/>
    <n v="1032"/>
    <d v="2026-02-27T15:42:14"/>
  </r>
  <r>
    <n v="1117"/>
    <x v="0"/>
    <n v="51032055"/>
    <n v="10"/>
    <s v="BRONCE"/>
    <n v="1032"/>
    <d v="2026-02-27T15:42:14"/>
  </r>
  <r>
    <n v="1118"/>
    <x v="0"/>
    <n v="51032144"/>
    <n v="18.001863215270578"/>
    <s v="BRONCE"/>
    <n v="1004"/>
    <d v="2026-02-27T15:42:14"/>
  </r>
  <r>
    <n v="1119"/>
    <x v="0"/>
    <n v="51032209"/>
    <n v="10"/>
    <s v="BRONCE"/>
    <n v="1032"/>
    <d v="2026-02-27T15:42:14"/>
  </r>
  <r>
    <n v="1120"/>
    <x v="0"/>
    <n v="51032217"/>
    <n v="10"/>
    <s v="BRONCE"/>
    <n v="1032"/>
    <d v="2026-02-27T15:42:14"/>
  </r>
  <r>
    <n v="1121"/>
    <x v="0"/>
    <n v="51032497"/>
    <n v="41.797140778409087"/>
    <s v="PLATA"/>
    <n v="878"/>
    <d v="2026-02-27T15:42:14"/>
  </r>
  <r>
    <n v="1122"/>
    <x v="0"/>
    <n v="51033019"/>
    <n v="10"/>
    <s v="BRONCE"/>
    <n v="1032"/>
    <d v="2026-02-27T15:42:14"/>
  </r>
  <r>
    <n v="1123"/>
    <x v="0"/>
    <n v="51033647"/>
    <n v="10"/>
    <s v="BRONCE"/>
    <n v="1032"/>
    <d v="2026-02-27T15:42:14"/>
  </r>
  <r>
    <n v="1124"/>
    <x v="0"/>
    <n v="51034261"/>
    <n v="9.9980000000000011"/>
    <s v="BRONCE"/>
    <n v="1178"/>
    <d v="2026-02-27T15:42:14"/>
  </r>
  <r>
    <n v="1125"/>
    <x v="0"/>
    <n v="51034392"/>
    <n v="10"/>
    <s v="BRONCE"/>
    <n v="1032"/>
    <d v="2026-02-27T15:42:14"/>
  </r>
  <r>
    <n v="1126"/>
    <x v="0"/>
    <n v="51036093"/>
    <n v="10"/>
    <s v="BRONCE"/>
    <n v="1032"/>
    <d v="2026-02-27T15:42:14"/>
  </r>
  <r>
    <n v="1127"/>
    <x v="0"/>
    <n v="51036620"/>
    <n v="10"/>
    <s v="BRONCE"/>
    <n v="1032"/>
    <d v="2026-02-27T15:42:14"/>
  </r>
  <r>
    <n v="1128"/>
    <x v="0"/>
    <n v="51036786"/>
    <n v="10"/>
    <s v="BRONCE"/>
    <n v="1032"/>
    <d v="2026-02-27T15:42:14"/>
  </r>
  <r>
    <n v="1129"/>
    <x v="0"/>
    <n v="51037014"/>
    <n v="10"/>
    <s v="BRONCE"/>
    <n v="1032"/>
    <d v="2026-02-27T15:42:14"/>
  </r>
  <r>
    <n v="1130"/>
    <x v="0"/>
    <n v="51038991"/>
    <n v="9.9980000000000011"/>
    <s v="BRONCE"/>
    <n v="1178"/>
    <d v="2026-02-27T15:42:14"/>
  </r>
  <r>
    <n v="1131"/>
    <x v="0"/>
    <n v="51039084"/>
    <n v="9.9849999999999994"/>
    <s v="BRONCE"/>
    <n v="1186"/>
    <d v="2026-02-27T15:42:14"/>
  </r>
  <r>
    <n v="1132"/>
    <x v="0"/>
    <n v="51039955"/>
    <n v="10"/>
    <s v="BRONCE"/>
    <n v="1032"/>
    <d v="2026-02-27T15:42:14"/>
  </r>
  <r>
    <n v="1133"/>
    <x v="0"/>
    <n v="51039980"/>
    <n v="10"/>
    <s v="BRONCE"/>
    <n v="1032"/>
    <d v="2026-02-27T15:42:14"/>
  </r>
  <r>
    <n v="1134"/>
    <x v="0"/>
    <n v="51040040"/>
    <n v="10"/>
    <s v="BRONCE"/>
    <n v="1032"/>
    <d v="2026-02-27T15:42:14"/>
  </r>
  <r>
    <n v="1135"/>
    <x v="0"/>
    <n v="51040309"/>
    <n v="57.56796222534863"/>
    <s v="ORO"/>
    <n v="833"/>
    <d v="2026-02-27T15:42:14"/>
  </r>
  <r>
    <n v="1136"/>
    <x v="0"/>
    <n v="51040856"/>
    <n v="10"/>
    <s v="BRONCE"/>
    <n v="1032"/>
    <d v="2026-02-27T15:42:14"/>
  </r>
  <r>
    <n v="1137"/>
    <x v="0"/>
    <n v="51040970"/>
    <n v="10"/>
    <s v="BRONCE"/>
    <n v="1032"/>
    <d v="2026-02-27T15:42:14"/>
  </r>
  <r>
    <n v="1138"/>
    <x v="0"/>
    <n v="51041178"/>
    <n v="10"/>
    <s v="BRONCE"/>
    <n v="1032"/>
    <d v="2026-02-27T15:42:14"/>
  </r>
  <r>
    <n v="1139"/>
    <x v="0"/>
    <n v="51041321"/>
    <n v="20"/>
    <s v="BRONCE"/>
    <n v="923"/>
    <d v="2026-02-27T15:42:14"/>
  </r>
  <r>
    <n v="1140"/>
    <x v="0"/>
    <n v="51041836"/>
    <n v="10"/>
    <s v="BRONCE"/>
    <n v="1032"/>
    <d v="2026-02-27T15:42:14"/>
  </r>
  <r>
    <n v="1141"/>
    <x v="0"/>
    <n v="51041925"/>
    <n v="9.9849999999999994"/>
    <s v="BRONCE"/>
    <n v="1186"/>
    <d v="2026-02-27T15:42:14"/>
  </r>
  <r>
    <n v="1142"/>
    <x v="0"/>
    <n v="51042166"/>
    <n v="10"/>
    <s v="BRONCE"/>
    <n v="1032"/>
    <d v="2026-02-27T15:42:14"/>
  </r>
  <r>
    <n v="1143"/>
    <x v="0"/>
    <n v="51042352"/>
    <n v="9.9980000000000011"/>
    <s v="BRONCE"/>
    <n v="1178"/>
    <d v="2026-02-27T15:42:14"/>
  </r>
  <r>
    <n v="1144"/>
    <x v="0"/>
    <n v="51042492"/>
    <n v="47.77514953428345"/>
    <s v="PLATA"/>
    <n v="864"/>
    <d v="2026-02-27T15:42:14"/>
  </r>
  <r>
    <n v="1145"/>
    <x v="0"/>
    <n v="51042557"/>
    <n v="10"/>
    <s v="BRONCE"/>
    <n v="1032"/>
    <d v="2026-02-27T15:42:14"/>
  </r>
  <r>
    <n v="1146"/>
    <x v="0"/>
    <n v="51042697"/>
    <n v="10"/>
    <s v="BRONCE"/>
    <n v="1032"/>
    <d v="2026-02-27T15:42:14"/>
  </r>
  <r>
    <n v="1147"/>
    <x v="0"/>
    <n v="51042701"/>
    <n v="10"/>
    <s v="BRONCE"/>
    <n v="1032"/>
    <d v="2026-02-27T15:42:14"/>
  </r>
  <r>
    <n v="1148"/>
    <x v="0"/>
    <n v="51042794"/>
    <n v="10"/>
    <s v="BRONCE"/>
    <n v="1032"/>
    <d v="2026-02-27T15:42:14"/>
  </r>
  <r>
    <n v="1149"/>
    <x v="0"/>
    <n v="51042867"/>
    <n v="10"/>
    <s v="BRONCE"/>
    <n v="1032"/>
    <d v="2026-02-27T15:42:14"/>
  </r>
  <r>
    <n v="1150"/>
    <x v="0"/>
    <n v="51042883"/>
    <n v="81.801882303446845"/>
    <s v="PLATINO"/>
    <n v="354"/>
    <d v="2026-02-27T15:42:14"/>
  </r>
  <r>
    <n v="1151"/>
    <x v="0"/>
    <n v="51043286"/>
    <n v="10"/>
    <s v="BRONCE"/>
    <n v="1032"/>
    <d v="2026-02-27T15:42:14"/>
  </r>
  <r>
    <n v="1152"/>
    <x v="0"/>
    <n v="51043430"/>
    <n v="79.05"/>
    <s v="PLATINO"/>
    <n v="463"/>
    <d v="2026-02-27T15:42:14"/>
  </r>
  <r>
    <n v="1153"/>
    <x v="0"/>
    <n v="51043481"/>
    <n v="9.9980000000000011"/>
    <s v="BRONCE"/>
    <n v="1178"/>
    <d v="2026-02-27T15:42:14"/>
  </r>
  <r>
    <n v="1154"/>
    <x v="0"/>
    <n v="51043685"/>
    <n v="10"/>
    <s v="BRONCE"/>
    <n v="1032"/>
    <d v="2026-02-27T15:42:14"/>
  </r>
  <r>
    <n v="1155"/>
    <x v="0"/>
    <n v="51044185"/>
    <n v="20"/>
    <s v="BRONCE"/>
    <n v="923"/>
    <d v="2026-02-27T15:42:14"/>
  </r>
  <r>
    <n v="1156"/>
    <x v="0"/>
    <n v="51054474"/>
    <n v="24.5"/>
    <s v="BRONCE"/>
    <n v="919"/>
    <d v="2026-02-27T15:42:14"/>
  </r>
  <r>
    <n v="1157"/>
    <x v="0"/>
    <n v="51054890"/>
    <n v="10"/>
    <s v="BRONCE"/>
    <n v="1032"/>
    <d v="2026-02-27T15:42:14"/>
  </r>
  <r>
    <n v="1158"/>
    <x v="0"/>
    <n v="51054971"/>
    <n v="10"/>
    <s v="BRONCE"/>
    <n v="1032"/>
    <d v="2026-02-27T15:42:14"/>
  </r>
  <r>
    <n v="1159"/>
    <x v="0"/>
    <n v="51055021"/>
    <n v="10"/>
    <s v="BRONCE"/>
    <n v="1032"/>
    <d v="2026-02-27T15:42:14"/>
  </r>
  <r>
    <n v="1160"/>
    <x v="0"/>
    <n v="51055110"/>
    <n v="10"/>
    <s v="BRONCE"/>
    <n v="1032"/>
    <d v="2026-02-27T15:42:14"/>
  </r>
  <r>
    <n v="1161"/>
    <x v="0"/>
    <n v="51055179"/>
    <n v="9.9980000000000011"/>
    <s v="BRONCE"/>
    <n v="1178"/>
    <d v="2026-02-27T15:42:14"/>
  </r>
  <r>
    <n v="1162"/>
    <x v="0"/>
    <n v="51055187"/>
    <n v="10"/>
    <s v="BRONCE"/>
    <n v="1032"/>
    <d v="2026-02-27T15:42:14"/>
  </r>
  <r>
    <n v="1163"/>
    <x v="0"/>
    <n v="51055195"/>
    <n v="10"/>
    <s v="BRONCE"/>
    <n v="1032"/>
    <d v="2026-02-27T15:42:14"/>
  </r>
  <r>
    <n v="1164"/>
    <x v="0"/>
    <n v="51055233"/>
    <n v="10"/>
    <s v="BRONCE"/>
    <n v="1032"/>
    <d v="2026-02-27T15:42:14"/>
  </r>
  <r>
    <n v="1165"/>
    <x v="0"/>
    <n v="51055314"/>
    <n v="10"/>
    <s v="BRONCE"/>
    <n v="1032"/>
    <d v="2026-02-27T15:42:14"/>
  </r>
  <r>
    <n v="1166"/>
    <x v="0"/>
    <n v="51055349"/>
    <n v="10"/>
    <s v="BRONCE"/>
    <n v="1032"/>
    <d v="2026-02-27T15:42:14"/>
  </r>
  <r>
    <n v="1167"/>
    <x v="0"/>
    <n v="51055381"/>
    <n v="10"/>
    <s v="BRONCE"/>
    <n v="1032"/>
    <d v="2026-02-27T15:42:14"/>
  </r>
  <r>
    <n v="1168"/>
    <x v="0"/>
    <n v="51055403"/>
    <n v="10"/>
    <s v="BRONCE"/>
    <n v="1032"/>
    <d v="2026-02-27T15:42:14"/>
  </r>
  <r>
    <n v="1169"/>
    <x v="0"/>
    <n v="51055420"/>
    <n v="10"/>
    <s v="BRONCE"/>
    <n v="1032"/>
    <d v="2026-02-27T15:42:14"/>
  </r>
  <r>
    <n v="1170"/>
    <x v="0"/>
    <n v="51055438"/>
    <n v="20"/>
    <s v="BRONCE"/>
    <n v="923"/>
    <d v="2026-02-27T15:42:14"/>
  </r>
  <r>
    <n v="1171"/>
    <x v="0"/>
    <n v="51055446"/>
    <n v="10"/>
    <s v="BRONCE"/>
    <n v="1032"/>
    <d v="2026-02-27T15:42:14"/>
  </r>
  <r>
    <n v="1172"/>
    <x v="0"/>
    <n v="51055471"/>
    <n v="10"/>
    <s v="BRONCE"/>
    <n v="1032"/>
    <d v="2026-02-27T15:42:14"/>
  </r>
  <r>
    <n v="1173"/>
    <x v="0"/>
    <n v="51055608"/>
    <n v="0"/>
    <s v="CERRADO"/>
    <n v="1192"/>
    <d v="2026-02-27T15:42:14"/>
  </r>
  <r>
    <n v="1174"/>
    <x v="0"/>
    <n v="51055683"/>
    <n v="10"/>
    <s v="BRONCE"/>
    <n v="1032"/>
    <d v="2026-02-27T15:42:14"/>
  </r>
  <r>
    <n v="1175"/>
    <x v="0"/>
    <n v="51055713"/>
    <n v="10"/>
    <s v="BRONCE"/>
    <n v="1032"/>
    <d v="2026-02-27T15:42:14"/>
  </r>
  <r>
    <n v="1176"/>
    <x v="0"/>
    <n v="51055748"/>
    <n v="10"/>
    <s v="BRONCE"/>
    <n v="1032"/>
    <d v="2026-02-27T15:42:14"/>
  </r>
  <r>
    <n v="1177"/>
    <x v="0"/>
    <n v="51055781"/>
    <n v="58.646238704586317"/>
    <s v="ORO"/>
    <n v="823"/>
    <d v="2026-02-27T15:42:14"/>
  </r>
  <r>
    <n v="1178"/>
    <x v="0"/>
    <n v="51055900"/>
    <n v="10"/>
    <s v="BRONCE"/>
    <n v="1032"/>
    <d v="2026-02-27T15:42:14"/>
  </r>
  <r>
    <n v="1179"/>
    <x v="0"/>
    <n v="51055934"/>
    <n v="10"/>
    <s v="BRONCE"/>
    <n v="1032"/>
    <d v="2026-02-27T15:42:14"/>
  </r>
  <r>
    <n v="1180"/>
    <x v="0"/>
    <n v="51055969"/>
    <n v="10"/>
    <s v="BRONCE"/>
    <n v="1032"/>
    <d v="2026-02-27T15:42:14"/>
  </r>
  <r>
    <n v="1181"/>
    <x v="0"/>
    <n v="51055977"/>
    <n v="10"/>
    <s v="BRONCE"/>
    <n v="1032"/>
    <d v="2026-02-27T15:42:14"/>
  </r>
  <r>
    <n v="1182"/>
    <x v="0"/>
    <n v="51056035"/>
    <n v="10"/>
    <s v="BRONCE"/>
    <n v="1032"/>
    <d v="2026-02-27T15:42:14"/>
  </r>
  <r>
    <n v="1183"/>
    <x v="0"/>
    <n v="51056043"/>
    <n v="60.688000000000002"/>
    <s v="ORO"/>
    <n v="792"/>
    <d v="2026-02-27T15:42:14"/>
  </r>
  <r>
    <n v="1184"/>
    <x v="0"/>
    <n v="51056141"/>
    <n v="69.599999999999994"/>
    <s v="ORO"/>
    <n v="651"/>
    <d v="2026-02-27T15:42:14"/>
  </r>
  <r>
    <n v="1185"/>
    <x v="0"/>
    <n v="51056167"/>
    <n v="10"/>
    <s v="BRONCE"/>
    <n v="1032"/>
    <d v="2026-02-27T15:42:14"/>
  </r>
  <r>
    <n v="1186"/>
    <x v="0"/>
    <n v="51056230"/>
    <n v="10"/>
    <s v="BRONCE"/>
    <n v="1032"/>
    <d v="2026-02-27T15:42:14"/>
  </r>
  <r>
    <n v="1187"/>
    <x v="0"/>
    <n v="51056256"/>
    <n v="10"/>
    <s v="BRONCE"/>
    <n v="1032"/>
    <d v="2026-02-27T15:42:14"/>
  </r>
  <r>
    <n v="1188"/>
    <x v="0"/>
    <n v="51056370"/>
    <n v="10"/>
    <s v="BRONCE"/>
    <n v="1032"/>
    <d v="2026-02-27T15:42:14"/>
  </r>
  <r>
    <n v="1189"/>
    <x v="0"/>
    <n v="51056680"/>
    <n v="0"/>
    <s v="CERRADO"/>
    <n v="1192"/>
    <d v="2026-02-27T15:42:14"/>
  </r>
  <r>
    <n v="1190"/>
    <x v="0"/>
    <n v="51056710"/>
    <n v="10"/>
    <s v="BRONCE"/>
    <n v="1032"/>
    <d v="2026-02-27T15:42:14"/>
  </r>
  <r>
    <n v="1191"/>
    <x v="0"/>
    <n v="51056779"/>
    <n v="10"/>
    <s v="BRONCE"/>
    <n v="1032"/>
    <d v="2026-02-27T15:42:14"/>
  </r>
  <r>
    <n v="1192"/>
    <x v="0"/>
    <n v="51056841"/>
    <n v="10"/>
    <s v="BRONCE"/>
    <n v="1032"/>
    <d v="2026-02-27T15:42:14"/>
  </r>
  <r>
    <n v="1193"/>
    <x v="0"/>
    <n v="51056892"/>
    <n v="23.953111236470509"/>
    <s v="BRONCE"/>
    <n v="920"/>
    <d v="2026-02-27T15:42:14"/>
  </r>
  <r>
    <n v="2387"/>
    <x v="1"/>
    <n v="51015525"/>
    <n v="85.926252523003697"/>
    <s v="PLATINO"/>
    <n v="163"/>
    <d v="2026-02-27T15:43:13"/>
  </r>
  <r>
    <n v="2388"/>
    <x v="1"/>
    <n v="51017790"/>
    <n v="35.613921939849199"/>
    <s v="PLATA"/>
    <n v="858"/>
    <d v="2026-02-27T15:43:13"/>
  </r>
  <r>
    <n v="2389"/>
    <x v="1"/>
    <n v="51023871"/>
    <n v="85.499629248631607"/>
    <s v="PLATINO"/>
    <n v="182"/>
    <d v="2026-02-27T15:43:13"/>
  </r>
  <r>
    <n v="2390"/>
    <x v="1"/>
    <n v="51019601"/>
    <n v="87.050731132587941"/>
    <s v="PLATINO"/>
    <n v="97"/>
    <d v="2026-02-27T15:43:13"/>
  </r>
  <r>
    <n v="2391"/>
    <x v="1"/>
    <n v="51021983"/>
    <n v="81.861313091243886"/>
    <s v="PLATINO"/>
    <n v="373"/>
    <d v="2026-02-27T15:43:13"/>
  </r>
  <r>
    <n v="2392"/>
    <x v="1"/>
    <n v="51020201"/>
    <n v="88.068776972989696"/>
    <s v="PLATINO"/>
    <n v="35"/>
    <d v="2026-02-27T15:43:13"/>
  </r>
  <r>
    <n v="2393"/>
    <x v="1"/>
    <n v="51031296"/>
    <n v="89.775752665529993"/>
    <s v="PLATINO"/>
    <n v="2"/>
    <d v="2026-02-27T15:43:13"/>
  </r>
  <r>
    <n v="2394"/>
    <x v="1"/>
    <n v="51011864"/>
    <n v="88.380063493735676"/>
    <s v="PLATINO"/>
    <n v="29"/>
    <d v="2026-02-27T15:43:13"/>
  </r>
  <r>
    <n v="2395"/>
    <x v="1"/>
    <n v="51005945"/>
    <n v="87.71178517247003"/>
    <s v="PLATINO"/>
    <n v="55"/>
    <d v="2026-02-27T15:43:13"/>
  </r>
  <r>
    <n v="2396"/>
    <x v="1"/>
    <n v="51055586"/>
    <n v="83.942375520920237"/>
    <s v="PLATINO"/>
    <n v="271"/>
    <d v="2026-02-27T15:43:13"/>
  </r>
  <r>
    <n v="2397"/>
    <x v="1"/>
    <n v="51025458"/>
    <n v="89.798000000000002"/>
    <s v="PLATINO"/>
    <n v="1"/>
    <d v="2026-02-27T15:43:13"/>
  </r>
  <r>
    <n v="2398"/>
    <x v="1"/>
    <n v="51025709"/>
    <n v="69.941420159061977"/>
    <s v="ORO"/>
    <n v="644"/>
    <d v="2026-02-27T15:43:13"/>
  </r>
  <r>
    <n v="2399"/>
    <x v="1"/>
    <n v="51019709"/>
    <n v="68.3"/>
    <s v="ORO"/>
    <n v="653"/>
    <d v="2026-02-27T15:43:13"/>
  </r>
  <r>
    <n v="2400"/>
    <x v="1"/>
    <n v="51019377"/>
    <n v="89.72"/>
    <s v="PLATINO"/>
    <n v="3"/>
    <d v="2026-02-27T15:43:13"/>
  </r>
  <r>
    <n v="2401"/>
    <x v="1"/>
    <n v="51017447"/>
    <n v="88.88"/>
    <s v="PLATINO"/>
    <n v="16"/>
    <d v="2026-02-27T15:43:13"/>
  </r>
  <r>
    <n v="2402"/>
    <x v="1"/>
    <n v="51055721"/>
    <n v="87.153361410188651"/>
    <s v="PLATINO"/>
    <n v="90"/>
    <d v="2026-02-27T15:43:13"/>
  </r>
  <r>
    <n v="2403"/>
    <x v="1"/>
    <n v="51023064"/>
    <n v="89.42"/>
    <s v="PLATINO"/>
    <n v="8"/>
    <d v="2026-02-27T15:43:13"/>
  </r>
  <r>
    <n v="2404"/>
    <x v="1"/>
    <n v="51055063"/>
    <n v="88.371525018618641"/>
    <s v="PLATINO"/>
    <n v="31"/>
    <d v="2026-02-27T15:43:13"/>
  </r>
  <r>
    <n v="2405"/>
    <x v="1"/>
    <n v="51024893"/>
    <n v="68.021778514400353"/>
    <s v="ORO"/>
    <n v="655"/>
    <d v="2026-02-27T15:43:13"/>
  </r>
  <r>
    <n v="2406"/>
    <x v="1"/>
    <n v="51013638"/>
    <n v="87.86"/>
    <s v="PLATINO"/>
    <n v="44"/>
    <d v="2026-02-27T15:43:13"/>
  </r>
  <r>
    <n v="2407"/>
    <x v="1"/>
    <n v="51011015"/>
    <n v="74.600974044613693"/>
    <s v="ORO"/>
    <n v="595"/>
    <d v="2026-02-27T15:43:13"/>
  </r>
  <r>
    <n v="2408"/>
    <x v="1"/>
    <n v="51020758"/>
    <n v="77.770323456102147"/>
    <s v="PLATINO"/>
    <n v="530"/>
    <d v="2026-02-27T15:43:13"/>
  </r>
  <r>
    <n v="2409"/>
    <x v="1"/>
    <n v="51022734"/>
    <n v="87.375461143889822"/>
    <s v="PLATINO"/>
    <n v="75"/>
    <d v="2026-02-27T15:43:13"/>
  </r>
  <r>
    <n v="2410"/>
    <x v="1"/>
    <n v="51036034"/>
    <n v="89.605000000000004"/>
    <s v="PLATINO"/>
    <n v="4"/>
    <d v="2026-02-27T15:43:13"/>
  </r>
  <r>
    <n v="2411"/>
    <x v="1"/>
    <n v="51019954"/>
    <n v="88.54387033124712"/>
    <s v="PLATINO"/>
    <n v="24"/>
    <d v="2026-02-27T15:43:13"/>
  </r>
  <r>
    <n v="2412"/>
    <x v="1"/>
    <n v="51041895"/>
    <n v="79.11660495866353"/>
    <s v="PLATINO"/>
    <n v="482"/>
    <d v="2026-02-27T15:43:13"/>
  </r>
  <r>
    <n v="2413"/>
    <x v="1"/>
    <n v="51031075"/>
    <n v="87.811452324538138"/>
    <s v="PLATINO"/>
    <n v="46"/>
    <d v="2026-02-27T15:43:13"/>
  </r>
  <r>
    <n v="2414"/>
    <x v="1"/>
    <n v="51016815"/>
    <n v="89.559530577450147"/>
    <s v="PLATINO"/>
    <n v="5"/>
    <d v="2026-02-27T15:43:13"/>
  </r>
  <r>
    <n v="2415"/>
    <x v="1"/>
    <n v="51010761"/>
    <n v="85.740387208853008"/>
    <s v="PLATINO"/>
    <n v="173"/>
    <d v="2026-02-27T15:43:13"/>
  </r>
  <r>
    <n v="2416"/>
    <x v="1"/>
    <n v="51013301"/>
    <n v="89.446047227899115"/>
    <s v="PLATINO"/>
    <n v="7"/>
    <d v="2026-02-27T15:43:13"/>
  </r>
  <r>
    <n v="2417"/>
    <x v="1"/>
    <n v="51041933"/>
    <n v="89.5"/>
    <s v="PLATINO"/>
    <n v="6"/>
    <d v="2026-02-27T15:43:13"/>
  </r>
  <r>
    <n v="2418"/>
    <x v="1"/>
    <n v="51014006"/>
    <n v="75.274280269042308"/>
    <s v="PLATINO"/>
    <n v="584"/>
    <d v="2026-02-27T15:43:13"/>
  </r>
  <r>
    <n v="2419"/>
    <x v="1"/>
    <n v="51000111"/>
    <n v="69.3975676910934"/>
    <s v="ORO"/>
    <n v="647"/>
    <d v="2026-02-27T15:43:13"/>
  </r>
  <r>
    <n v="2420"/>
    <x v="1"/>
    <n v="51042735"/>
    <n v="88.759415847988777"/>
    <s v="PLATINO"/>
    <n v="21"/>
    <d v="2026-02-27T15:43:13"/>
  </r>
  <r>
    <n v="2421"/>
    <x v="1"/>
    <n v="51023218"/>
    <n v="84.886176086007296"/>
    <s v="PLATINO"/>
    <n v="215"/>
    <d v="2026-02-27T15:43:13"/>
  </r>
  <r>
    <n v="2422"/>
    <x v="1"/>
    <n v="51002776"/>
    <n v="87.240151230069344"/>
    <s v="PLATINO"/>
    <n v="83"/>
    <d v="2026-02-27T15:43:13"/>
  </r>
  <r>
    <n v="2423"/>
    <x v="1"/>
    <n v="51015541"/>
    <n v="87.186234097319215"/>
    <s v="PLATINO"/>
    <n v="87"/>
    <d v="2026-02-27T15:43:13"/>
  </r>
  <r>
    <n v="2424"/>
    <x v="1"/>
    <n v="51031890"/>
    <n v="88.194491708644378"/>
    <s v="PLATINO"/>
    <n v="33"/>
    <d v="2026-02-27T15:43:13"/>
  </r>
  <r>
    <n v="2425"/>
    <x v="1"/>
    <n v="51057058"/>
    <n v="20"/>
    <s v="BRONCE"/>
    <n v="889"/>
    <d v="2026-02-27T15:43:13"/>
  </r>
  <r>
    <n v="2426"/>
    <x v="1"/>
    <n v="51022289"/>
    <n v="87.970614057978949"/>
    <s v="PLATINO"/>
    <n v="40"/>
    <d v="2026-02-27T15:43:13"/>
  </r>
  <r>
    <n v="2427"/>
    <x v="1"/>
    <n v="51016688"/>
    <n v="89.326701671044233"/>
    <s v="PLATINO"/>
    <n v="11"/>
    <d v="2026-02-27T15:43:13"/>
  </r>
  <r>
    <n v="2428"/>
    <x v="1"/>
    <n v="51032527"/>
    <n v="89.396375875147825"/>
    <s v="PLATINO"/>
    <n v="9"/>
    <d v="2026-02-27T15:43:13"/>
  </r>
  <r>
    <n v="2429"/>
    <x v="1"/>
    <n v="51028678"/>
    <n v="84.266640429836201"/>
    <s v="PLATINO"/>
    <n v="254"/>
    <d v="2026-02-27T15:43:13"/>
  </r>
  <r>
    <n v="2430"/>
    <x v="1"/>
    <n v="51005287"/>
    <n v="87.725734086350343"/>
    <s v="PLATINO"/>
    <n v="54"/>
    <d v="2026-02-27T15:43:13"/>
  </r>
  <r>
    <n v="2431"/>
    <x v="1"/>
    <n v="51055624"/>
    <n v="88.42"/>
    <s v="PLATINO"/>
    <n v="28"/>
    <d v="2026-02-27T15:43:13"/>
  </r>
  <r>
    <n v="2432"/>
    <x v="1"/>
    <n v="51010884"/>
    <n v="67.588138568495069"/>
    <s v="ORO"/>
    <n v="661"/>
    <d v="2026-02-27T15:43:13"/>
  </r>
  <r>
    <n v="2433"/>
    <x v="1"/>
    <n v="51007051"/>
    <n v="29.40986394716569"/>
    <s v="BRONCE"/>
    <n v="875"/>
    <d v="2026-02-27T15:43:13"/>
  </r>
  <r>
    <n v="2434"/>
    <x v="1"/>
    <n v="51013808"/>
    <n v="88.8"/>
    <s v="PLATINO"/>
    <n v="18"/>
    <d v="2026-02-27T15:43:13"/>
  </r>
  <r>
    <n v="2435"/>
    <x v="1"/>
    <n v="51035828"/>
    <n v="85.318235361997381"/>
    <s v="PLATINO"/>
    <n v="193"/>
    <d v="2026-02-27T15:43:13"/>
  </r>
  <r>
    <n v="2436"/>
    <x v="1"/>
    <n v="51056051"/>
    <n v="87.745342156624048"/>
    <s v="PLATINO"/>
    <n v="52"/>
    <d v="2026-02-27T15:43:13"/>
  </r>
  <r>
    <n v="2437"/>
    <x v="1"/>
    <n v="51024265"/>
    <n v="85.525414257660827"/>
    <s v="PLATINO"/>
    <n v="180"/>
    <d v="2026-02-27T15:43:13"/>
  </r>
  <r>
    <n v="2438"/>
    <x v="1"/>
    <n v="51018494"/>
    <n v="87.6"/>
    <s v="PLATINO"/>
    <n v="61"/>
    <d v="2026-02-27T15:43:13"/>
  </r>
  <r>
    <n v="2439"/>
    <x v="1"/>
    <n v="51039882"/>
    <n v="20"/>
    <s v="BRONCE"/>
    <n v="889"/>
    <d v="2026-02-27T15:43:13"/>
  </r>
  <r>
    <n v="2440"/>
    <x v="1"/>
    <n v="51024192"/>
    <n v="87.067805005009063"/>
    <s v="PLATINO"/>
    <n v="94"/>
    <d v="2026-02-27T15:43:13"/>
  </r>
  <r>
    <n v="2441"/>
    <x v="1"/>
    <n v="51008332"/>
    <n v="88.913284595059054"/>
    <s v="PLATINO"/>
    <n v="14"/>
    <d v="2026-02-27T15:43:13"/>
  </r>
  <r>
    <n v="2442"/>
    <x v="1"/>
    <n v="51015258"/>
    <n v="87.62"/>
    <s v="PLATINO"/>
    <n v="60"/>
    <d v="2026-02-27T15:43:13"/>
  </r>
  <r>
    <n v="2443"/>
    <x v="1"/>
    <n v="51033710"/>
    <n v="70.09"/>
    <s v="ORO"/>
    <n v="643"/>
    <d v="2026-02-27T15:43:13"/>
  </r>
  <r>
    <n v="2444"/>
    <x v="1"/>
    <n v="51010329"/>
    <n v="18.568503247877459"/>
    <s v="BRONCE"/>
    <n v="950"/>
    <d v="2026-02-27T15:43:13"/>
  </r>
  <r>
    <n v="2445"/>
    <x v="1"/>
    <n v="51011252"/>
    <n v="83.305301412748946"/>
    <s v="PLATINO"/>
    <n v="296"/>
    <d v="2026-02-27T15:43:13"/>
  </r>
  <r>
    <n v="2446"/>
    <x v="1"/>
    <n v="51018648"/>
    <n v="87.68"/>
    <s v="PLATINO"/>
    <n v="56"/>
    <d v="2026-02-27T15:43:13"/>
  </r>
  <r>
    <n v="2447"/>
    <x v="1"/>
    <n v="51024524"/>
    <n v="87.976842510690659"/>
    <s v="PLATINO"/>
    <n v="39"/>
    <d v="2026-02-27T15:43:13"/>
  </r>
  <r>
    <n v="2448"/>
    <x v="1"/>
    <n v="51055772"/>
    <n v="51.061324928844989"/>
    <s v="PLATA"/>
    <n v="813"/>
    <d v="2026-02-27T15:43:13"/>
  </r>
  <r>
    <n v="2449"/>
    <x v="1"/>
    <n v="51031083"/>
    <n v="20"/>
    <s v="BRONCE"/>
    <n v="889"/>
    <d v="2026-02-27T15:43:13"/>
  </r>
  <r>
    <n v="2450"/>
    <x v="1"/>
    <n v="51056647"/>
    <n v="64.06"/>
    <s v="ORO"/>
    <n v="696"/>
    <d v="2026-02-27T15:43:13"/>
  </r>
  <r>
    <n v="2451"/>
    <x v="1"/>
    <n v="51024214"/>
    <n v="27.994814204940131"/>
    <s v="BRONCE"/>
    <n v="883"/>
    <d v="2026-02-27T15:43:13"/>
  </r>
  <r>
    <n v="2452"/>
    <x v="1"/>
    <n v="51013425"/>
    <n v="89.22"/>
    <s v="PLATINO"/>
    <n v="12"/>
    <d v="2026-02-27T15:43:13"/>
  </r>
  <r>
    <n v="2453"/>
    <x v="1"/>
    <n v="51025334"/>
    <n v="74.238763676606425"/>
    <s v="ORO"/>
    <n v="598"/>
    <d v="2026-02-27T15:43:13"/>
  </r>
  <r>
    <n v="2454"/>
    <x v="1"/>
    <n v="51056132"/>
    <n v="73.195193831411402"/>
    <s v="ORO"/>
    <n v="611"/>
    <d v="2026-02-27T15:43:13"/>
  </r>
  <r>
    <n v="2455"/>
    <x v="1"/>
    <n v="51004531"/>
    <n v="84.612056274061217"/>
    <s v="PLATINO"/>
    <n v="229"/>
    <d v="2026-02-27T15:43:13"/>
  </r>
  <r>
    <n v="2456"/>
    <x v="1"/>
    <n v="51039033"/>
    <n v="49.644296659598837"/>
    <s v="PLATA"/>
    <n v="818"/>
    <d v="2026-02-27T15:43:13"/>
  </r>
  <r>
    <n v="2457"/>
    <x v="1"/>
    <n v="51024117"/>
    <n v="87.575950214137393"/>
    <s v="PLATINO"/>
    <n v="63"/>
    <d v="2026-02-27T15:43:13"/>
  </r>
  <r>
    <n v="2458"/>
    <x v="1"/>
    <n v="51031768"/>
    <n v="88.022260999481929"/>
    <s v="PLATINO"/>
    <n v="36"/>
    <d v="2026-02-27T15:43:13"/>
  </r>
  <r>
    <n v="2459"/>
    <x v="1"/>
    <n v="51022637"/>
    <n v="87.988799523701815"/>
    <s v="PLATINO"/>
    <n v="38"/>
    <d v="2026-02-27T15:43:13"/>
  </r>
  <r>
    <n v="2460"/>
    <x v="1"/>
    <n v="51010124"/>
    <n v="87.810627078686366"/>
    <s v="PLATINO"/>
    <n v="47"/>
    <d v="2026-02-27T15:43:13"/>
  </r>
  <r>
    <n v="2461"/>
    <x v="1"/>
    <n v="51012020"/>
    <n v="88.740000000000009"/>
    <s v="PLATINO"/>
    <n v="22"/>
    <d v="2026-02-27T15:43:13"/>
  </r>
  <r>
    <n v="2462"/>
    <x v="1"/>
    <n v="51029968"/>
    <n v="88.881335773657653"/>
    <s v="PLATINO"/>
    <n v="15"/>
    <d v="2026-02-27T15:43:13"/>
  </r>
  <r>
    <n v="2463"/>
    <x v="1"/>
    <n v="51025202"/>
    <n v="87.240000000000009"/>
    <s v="PLATINO"/>
    <n v="84"/>
    <d v="2026-02-27T15:43:13"/>
  </r>
  <r>
    <n v="2464"/>
    <x v="1"/>
    <n v="51003667"/>
    <n v="66.052627378493156"/>
    <s v="ORO"/>
    <n v="675"/>
    <d v="2026-02-27T15:43:13"/>
  </r>
  <r>
    <n v="2465"/>
    <x v="1"/>
    <n v="51026691"/>
    <n v="48.753112740069028"/>
    <s v="PLATA"/>
    <n v="821"/>
    <d v="2026-02-27T15:43:13"/>
  </r>
  <r>
    <n v="2466"/>
    <x v="1"/>
    <n v="51023145"/>
    <n v="88.78"/>
    <s v="PLATINO"/>
    <n v="19"/>
    <d v="2026-02-27T15:43:13"/>
  </r>
  <r>
    <n v="2467"/>
    <x v="1"/>
    <n v="51056001"/>
    <n v="86.299635998806991"/>
    <s v="PLATINO"/>
    <n v="143"/>
    <d v="2026-02-27T15:43:13"/>
  </r>
  <r>
    <n v="2468"/>
    <x v="1"/>
    <n v="51019652"/>
    <n v="89.36"/>
    <s v="PLATINO"/>
    <n v="10"/>
    <d v="2026-02-27T15:43:13"/>
  </r>
  <r>
    <n v="2469"/>
    <x v="1"/>
    <n v="51011368"/>
    <n v="88.460089859562444"/>
    <s v="PLATINO"/>
    <n v="26"/>
    <d v="2026-02-27T15:43:13"/>
  </r>
  <r>
    <n v="2470"/>
    <x v="1"/>
    <n v="51055047"/>
    <n v="72.159605217947785"/>
    <s v="ORO"/>
    <n v="622"/>
    <d v="2026-02-27T15:43:13"/>
  </r>
  <r>
    <n v="2471"/>
    <x v="1"/>
    <n v="51018176"/>
    <n v="77.159733773568902"/>
    <s v="PLATINO"/>
    <n v="550"/>
    <d v="2026-02-27T15:43:13"/>
  </r>
  <r>
    <n v="2472"/>
    <x v="1"/>
    <n v="51015622"/>
    <n v="88.632821866166481"/>
    <s v="PLATINO"/>
    <n v="23"/>
    <d v="2026-02-27T15:43:13"/>
  </r>
  <r>
    <n v="2473"/>
    <x v="1"/>
    <n v="51054946"/>
    <n v="87.356020318461745"/>
    <s v="PLATINO"/>
    <n v="78"/>
    <d v="2026-02-27T15:43:13"/>
  </r>
  <r>
    <n v="2474"/>
    <x v="1"/>
    <n v="51016220"/>
    <n v="87.511417256667059"/>
    <s v="PLATINO"/>
    <n v="68"/>
    <d v="2026-02-27T15:43:13"/>
  </r>
  <r>
    <n v="2475"/>
    <x v="1"/>
    <n v="51025385"/>
    <n v="45.291680267882533"/>
    <s v="PLATA"/>
    <n v="829"/>
    <d v="2026-02-27T15:43:13"/>
  </r>
  <r>
    <n v="2476"/>
    <x v="1"/>
    <n v="51057163"/>
    <n v="84.951834646064469"/>
    <s v="PLATINO"/>
    <n v="213"/>
    <d v="2026-02-27T15:43:13"/>
  </r>
  <r>
    <n v="2477"/>
    <x v="1"/>
    <n v="51055985"/>
    <n v="29.295984539266598"/>
    <s v="BRONCE"/>
    <n v="876"/>
    <d v="2026-02-27T15:43:13"/>
  </r>
  <r>
    <n v="2478"/>
    <x v="1"/>
    <n v="51032993"/>
    <n v="87.768828022125987"/>
    <s v="PLATINO"/>
    <n v="51"/>
    <d v="2026-02-27T15:43:13"/>
  </r>
  <r>
    <n v="2479"/>
    <x v="1"/>
    <n v="51015088"/>
    <n v="86.989103104031727"/>
    <s v="PLATINO"/>
    <n v="103"/>
    <d v="2026-02-27T15:43:13"/>
  </r>
  <r>
    <n v="2480"/>
    <x v="1"/>
    <n v="51035658"/>
    <n v="82.535996339228362"/>
    <s v="PLATINO"/>
    <n v="337"/>
    <d v="2026-02-27T15:43:13"/>
  </r>
  <r>
    <n v="2481"/>
    <x v="1"/>
    <n v="51016726"/>
    <n v="87.02"/>
    <s v="PLATINO"/>
    <n v="100"/>
    <d v="2026-02-27T15:43:13"/>
  </r>
  <r>
    <n v="2482"/>
    <x v="1"/>
    <n v="51019342"/>
    <n v="17.70736999634806"/>
    <s v="BRONCE"/>
    <n v="968"/>
    <d v="2026-02-27T15:43:13"/>
  </r>
  <r>
    <n v="2483"/>
    <x v="1"/>
    <n v="51014162"/>
    <n v="67.94"/>
    <s v="ORO"/>
    <n v="656"/>
    <d v="2026-02-27T15:43:13"/>
  </r>
  <r>
    <n v="2484"/>
    <x v="1"/>
    <n v="51022360"/>
    <n v="87.8"/>
    <s v="PLATINO"/>
    <n v="49"/>
    <d v="2026-02-27T15:43:13"/>
  </r>
  <r>
    <n v="2485"/>
    <x v="1"/>
    <n v="51040848"/>
    <n v="85.579236082598584"/>
    <s v="PLATINO"/>
    <n v="179"/>
    <d v="2026-02-27T15:43:13"/>
  </r>
  <r>
    <n v="2486"/>
    <x v="1"/>
    <n v="51022696"/>
    <n v="87.535148515861181"/>
    <s v="PLATINO"/>
    <n v="66"/>
    <d v="2026-02-27T15:43:13"/>
  </r>
  <r>
    <n v="2487"/>
    <x v="1"/>
    <n v="51056426"/>
    <n v="88.373851812425301"/>
    <s v="PLATINO"/>
    <n v="30"/>
    <d v="2026-02-27T15:43:13"/>
  </r>
  <r>
    <n v="2488"/>
    <x v="1"/>
    <n v="51011350"/>
    <n v="86.14972328728787"/>
    <s v="PLATINO"/>
    <n v="151"/>
    <d v="2026-02-27T15:43:13"/>
  </r>
  <r>
    <n v="2489"/>
    <x v="1"/>
    <n v="51024087"/>
    <n v="87.740000000000009"/>
    <s v="PLATINO"/>
    <n v="53"/>
    <d v="2026-02-27T15:43:13"/>
  </r>
  <r>
    <n v="2490"/>
    <x v="1"/>
    <n v="51005171"/>
    <n v="87.907277047769213"/>
    <s v="PLATINO"/>
    <n v="42"/>
    <d v="2026-02-27T15:43:13"/>
  </r>
  <r>
    <n v="2491"/>
    <x v="1"/>
    <n v="51005864"/>
    <n v="86.9"/>
    <s v="PLATINO"/>
    <n v="108"/>
    <d v="2026-02-27T15:43:13"/>
  </r>
  <r>
    <n v="2492"/>
    <x v="1"/>
    <n v="51040317"/>
    <n v="87.486670709706814"/>
    <s v="PLATINO"/>
    <n v="69"/>
    <d v="2026-02-27T15:43:13"/>
  </r>
  <r>
    <n v="2493"/>
    <x v="1"/>
    <n v="51003926"/>
    <n v="68.37204843331935"/>
    <s v="ORO"/>
    <n v="652"/>
    <d v="2026-02-27T15:43:13"/>
  </r>
  <r>
    <n v="2494"/>
    <x v="1"/>
    <n v="51019911"/>
    <n v="76.555047800847731"/>
    <s v="PLATINO"/>
    <n v="558"/>
    <d v="2026-02-27T15:43:13"/>
  </r>
  <r>
    <n v="2495"/>
    <x v="1"/>
    <n v="51022076"/>
    <n v="84.778516146896607"/>
    <s v="PLATINO"/>
    <n v="220"/>
    <d v="2026-02-27T15:43:13"/>
  </r>
  <r>
    <n v="2496"/>
    <x v="1"/>
    <n v="51055217"/>
    <n v="45.71995710569982"/>
    <s v="PLATA"/>
    <n v="828"/>
    <d v="2026-02-27T15:43:13"/>
  </r>
  <r>
    <n v="2497"/>
    <x v="1"/>
    <n v="51036824"/>
    <n v="85.59998529412519"/>
    <s v="PLATINO"/>
    <n v="178"/>
    <d v="2026-02-27T15:43:13"/>
  </r>
  <r>
    <n v="2498"/>
    <x v="1"/>
    <n v="51024940"/>
    <n v="87.275139185231609"/>
    <s v="PLATINO"/>
    <n v="81"/>
    <d v="2026-02-27T15:43:13"/>
  </r>
  <r>
    <n v="2499"/>
    <x v="1"/>
    <n v="51033531"/>
    <n v="87.161821836882112"/>
    <s v="PLATINO"/>
    <n v="88"/>
    <d v="2026-02-27T15:43:13"/>
  </r>
  <r>
    <n v="2500"/>
    <x v="1"/>
    <n v="51032454"/>
    <n v="64.999279102546851"/>
    <s v="ORO"/>
    <n v="687"/>
    <d v="2026-02-27T15:43:13"/>
  </r>
  <r>
    <n v="2501"/>
    <x v="1"/>
    <n v="51014260"/>
    <n v="78.364484841759818"/>
    <s v="PLATINO"/>
    <n v="503"/>
    <d v="2026-02-27T15:43:13"/>
  </r>
  <r>
    <n v="2502"/>
    <x v="1"/>
    <n v="51011414"/>
    <n v="87.015016342876706"/>
    <s v="PLATINO"/>
    <n v="101"/>
    <d v="2026-02-27T15:43:13"/>
  </r>
  <r>
    <n v="2503"/>
    <x v="1"/>
    <n v="51018559"/>
    <n v="20"/>
    <s v="BRONCE"/>
    <n v="889"/>
    <d v="2026-02-27T15:43:13"/>
  </r>
  <r>
    <n v="2504"/>
    <x v="1"/>
    <n v="51014308"/>
    <n v="44.266314969717492"/>
    <s v="PLATA"/>
    <n v="832"/>
    <d v="2026-02-27T15:43:13"/>
  </r>
  <r>
    <n v="2505"/>
    <x v="1"/>
    <n v="51056949"/>
    <n v="72.161548455633266"/>
    <s v="ORO"/>
    <n v="621"/>
    <d v="2026-02-27T15:43:13"/>
  </r>
  <r>
    <n v="2506"/>
    <x v="1"/>
    <n v="51022173"/>
    <n v="88.945000000000007"/>
    <s v="PLATINO"/>
    <n v="13"/>
    <d v="2026-02-27T15:43:13"/>
  </r>
  <r>
    <n v="2507"/>
    <x v="1"/>
    <n v="51023765"/>
    <n v="88.771276017512264"/>
    <s v="PLATINO"/>
    <n v="20"/>
    <d v="2026-02-27T15:43:13"/>
  </r>
  <r>
    <n v="2508"/>
    <x v="1"/>
    <n v="51038908"/>
    <n v="57.282943073920841"/>
    <s v="ORO"/>
    <n v="801"/>
    <d v="2026-02-27T15:43:13"/>
  </r>
  <r>
    <n v="2509"/>
    <x v="1"/>
    <n v="51013158"/>
    <n v="87.542348073935685"/>
    <s v="PLATINO"/>
    <n v="65"/>
    <d v="2026-02-27T15:43:13"/>
  </r>
  <r>
    <n v="2510"/>
    <x v="1"/>
    <n v="51024176"/>
    <n v="59.218130594057932"/>
    <s v="ORO"/>
    <n v="793"/>
    <d v="2026-02-27T15:43:13"/>
  </r>
  <r>
    <n v="2511"/>
    <x v="1"/>
    <n v="51000196"/>
    <n v="82.34"/>
    <s v="PLATINO"/>
    <n v="351"/>
    <d v="2026-02-27T15:43:13"/>
  </r>
  <r>
    <n v="2512"/>
    <x v="1"/>
    <n v="51024672"/>
    <n v="87.22"/>
    <s v="PLATINO"/>
    <n v="85"/>
    <d v="2026-02-27T15:43:13"/>
  </r>
  <r>
    <n v="2513"/>
    <x v="1"/>
    <n v="51021657"/>
    <n v="86.302704217571971"/>
    <s v="PLATINO"/>
    <n v="142"/>
    <d v="2026-02-27T15:43:13"/>
  </r>
  <r>
    <n v="2514"/>
    <x v="1"/>
    <n v="51042263"/>
    <n v="78.429374630448734"/>
    <s v="PLATINO"/>
    <n v="502"/>
    <d v="2026-02-27T15:43:13"/>
  </r>
  <r>
    <n v="2515"/>
    <x v="1"/>
    <n v="51055365"/>
    <n v="87.58894231759588"/>
    <s v="PLATINO"/>
    <n v="62"/>
    <d v="2026-02-27T15:43:13"/>
  </r>
  <r>
    <n v="2516"/>
    <x v="1"/>
    <n v="51031385"/>
    <n v="87.856778760097114"/>
    <s v="PLATINO"/>
    <n v="45"/>
    <d v="2026-02-27T15:43:13"/>
  </r>
  <r>
    <n v="2517"/>
    <x v="1"/>
    <n v="51041577"/>
    <n v="87.993537735097448"/>
    <s v="PLATINO"/>
    <n v="37"/>
    <d v="2026-02-27T15:43:13"/>
  </r>
  <r>
    <n v="2518"/>
    <x v="1"/>
    <n v="51018877"/>
    <n v="15.73606952963768"/>
    <s v="BRONCE"/>
    <n v="984"/>
    <d v="2026-02-27T15:43:13"/>
  </r>
  <r>
    <n v="2519"/>
    <x v="1"/>
    <n v="51030303"/>
    <n v="37.916241730618609"/>
    <s v="PLATA"/>
    <n v="850"/>
    <d v="2026-02-27T15:43:13"/>
  </r>
  <r>
    <n v="2520"/>
    <x v="1"/>
    <n v="51030613"/>
    <n v="60.606479312673073"/>
    <s v="ORO"/>
    <n v="774"/>
    <d v="2026-02-27T15:43:13"/>
  </r>
  <r>
    <n v="2521"/>
    <x v="1"/>
    <n v="51033761"/>
    <n v="82.48409615310355"/>
    <s v="PLATINO"/>
    <n v="338"/>
    <d v="2026-02-27T15:43:13"/>
  </r>
  <r>
    <n v="2522"/>
    <x v="1"/>
    <n v="51023170"/>
    <n v="88.480438857098463"/>
    <s v="PLATINO"/>
    <n v="25"/>
    <d v="2026-02-27T15:43:13"/>
  </r>
  <r>
    <n v="2523"/>
    <x v="1"/>
    <n v="51030079"/>
    <n v="74.016822744182861"/>
    <s v="ORO"/>
    <n v="603"/>
    <d v="2026-02-27T15:43:13"/>
  </r>
  <r>
    <n v="2524"/>
    <x v="1"/>
    <n v="51034317"/>
    <n v="87.121924779940187"/>
    <s v="PLATINO"/>
    <n v="92"/>
    <d v="2026-02-27T15:43:13"/>
  </r>
  <r>
    <n v="2525"/>
    <x v="1"/>
    <n v="51012666"/>
    <n v="85.522883975818587"/>
    <s v="PLATINO"/>
    <n v="181"/>
    <d v="2026-02-27T15:43:13"/>
  </r>
  <r>
    <n v="2526"/>
    <x v="1"/>
    <n v="51036247"/>
    <n v="84.045696897485044"/>
    <s v="PLATINO"/>
    <n v="266"/>
    <d v="2026-02-27T15:43:13"/>
  </r>
  <r>
    <n v="2527"/>
    <x v="1"/>
    <n v="51011325"/>
    <n v="28.565260658794958"/>
    <s v="BRONCE"/>
    <n v="879"/>
    <d v="2026-02-27T15:43:13"/>
  </r>
  <r>
    <n v="2528"/>
    <x v="1"/>
    <n v="51004469"/>
    <n v="84.881027059470853"/>
    <s v="PLATINO"/>
    <n v="216"/>
    <d v="2026-02-27T15:43:13"/>
  </r>
  <r>
    <n v="2529"/>
    <x v="1"/>
    <n v="51020251"/>
    <n v="86.42"/>
    <s v="PLATINO"/>
    <n v="131"/>
    <d v="2026-02-27T15:43:13"/>
  </r>
  <r>
    <n v="2530"/>
    <x v="1"/>
    <n v="51016793"/>
    <n v="20"/>
    <s v="BRONCE"/>
    <n v="889"/>
    <d v="2026-02-27T15:43:13"/>
  </r>
  <r>
    <n v="2531"/>
    <x v="1"/>
    <n v="51015401"/>
    <n v="87.894461415006191"/>
    <s v="PLATINO"/>
    <n v="43"/>
    <d v="2026-02-27T15:43:13"/>
  </r>
  <r>
    <n v="2532"/>
    <x v="1"/>
    <n v="51056281"/>
    <n v="87.007198126941489"/>
    <s v="PLATINO"/>
    <n v="102"/>
    <d v="2026-02-27T15:43:13"/>
  </r>
  <r>
    <n v="2533"/>
    <x v="1"/>
    <n v="51055012"/>
    <n v="87.374871921877258"/>
    <s v="PLATINO"/>
    <n v="76"/>
    <d v="2026-02-27T15:43:13"/>
  </r>
  <r>
    <n v="2534"/>
    <x v="1"/>
    <n v="51006615"/>
    <n v="86.385027925867348"/>
    <s v="PLATINO"/>
    <n v="133"/>
    <d v="2026-02-27T15:43:13"/>
  </r>
  <r>
    <n v="2535"/>
    <x v="1"/>
    <n v="51011724"/>
    <n v="85.6"/>
    <s v="PLATINO"/>
    <n v="177"/>
    <d v="2026-02-27T15:43:13"/>
  </r>
  <r>
    <n v="2536"/>
    <x v="1"/>
    <n v="51010469"/>
    <n v="86.88"/>
    <s v="PLATINO"/>
    <n v="109"/>
    <d v="2026-02-27T15:43:13"/>
  </r>
  <r>
    <n v="2537"/>
    <x v="1"/>
    <n v="51056191"/>
    <n v="70.317027989316188"/>
    <s v="ORO"/>
    <n v="639"/>
    <d v="2026-02-27T15:43:13"/>
  </r>
  <r>
    <n v="2538"/>
    <x v="1"/>
    <n v="51023781"/>
    <n v="85.40929865414509"/>
    <s v="PLATINO"/>
    <n v="190"/>
    <d v="2026-02-27T15:43:13"/>
  </r>
  <r>
    <n v="2539"/>
    <x v="1"/>
    <n v="51056221"/>
    <n v="83.517072561907696"/>
    <s v="PLATINO"/>
    <n v="288"/>
    <d v="2026-02-27T15:43:13"/>
  </r>
  <r>
    <n v="2540"/>
    <x v="1"/>
    <n v="51018443"/>
    <n v="87.06"/>
    <s v="PLATINO"/>
    <n v="96"/>
    <d v="2026-02-27T15:43:13"/>
  </r>
  <r>
    <n v="2541"/>
    <x v="1"/>
    <n v="51023757"/>
    <n v="86.627238841966374"/>
    <s v="PLATINO"/>
    <n v="121"/>
    <d v="2026-02-27T15:43:13"/>
  </r>
  <r>
    <n v="2542"/>
    <x v="1"/>
    <n v="51055357"/>
    <n v="86.06"/>
    <s v="PLATINO"/>
    <n v="157"/>
    <d v="2026-02-27T15:43:13"/>
  </r>
  <r>
    <n v="2543"/>
    <x v="1"/>
    <n v="51021576"/>
    <n v="75.10783447803459"/>
    <s v="PLATINO"/>
    <n v="590"/>
    <d v="2026-02-27T15:43:13"/>
  </r>
  <r>
    <n v="2544"/>
    <x v="1"/>
    <n v="51018591"/>
    <n v="65.34"/>
    <s v="ORO"/>
    <n v="681"/>
    <d v="2026-02-27T15:43:13"/>
  </r>
  <r>
    <n v="2545"/>
    <x v="1"/>
    <n v="51023471"/>
    <n v="87.288502459687479"/>
    <s v="PLATINO"/>
    <n v="79"/>
    <d v="2026-02-27T15:43:13"/>
  </r>
  <r>
    <n v="2546"/>
    <x v="1"/>
    <n v="51031393"/>
    <n v="88.420504127059189"/>
    <s v="PLATINO"/>
    <n v="27"/>
    <d v="2026-02-27T15:43:13"/>
  </r>
  <r>
    <n v="2547"/>
    <x v="1"/>
    <n v="51025971"/>
    <n v="84.726828358039441"/>
    <s v="PLATINO"/>
    <n v="224"/>
    <d v="2026-02-27T15:43:13"/>
  </r>
  <r>
    <n v="2548"/>
    <x v="1"/>
    <n v="51020880"/>
    <n v="85.42"/>
    <s v="PLATINO"/>
    <n v="188"/>
    <d v="2026-02-27T15:43:13"/>
  </r>
  <r>
    <n v="2549"/>
    <x v="1"/>
    <n v="51023056"/>
    <n v="87.44"/>
    <s v="PLATINO"/>
    <n v="70"/>
    <d v="2026-02-27T15:43:13"/>
  </r>
  <r>
    <n v="2550"/>
    <x v="1"/>
    <n v="51022688"/>
    <n v="85.363387313202196"/>
    <s v="PLATINO"/>
    <n v="191"/>
    <d v="2026-02-27T15:43:13"/>
  </r>
  <r>
    <n v="2551"/>
    <x v="1"/>
    <n v="51012747"/>
    <n v="42.119146113696971"/>
    <s v="PLATA"/>
    <n v="837"/>
    <d v="2026-02-27T15:43:13"/>
  </r>
  <r>
    <n v="2552"/>
    <x v="1"/>
    <n v="51032900"/>
    <n v="66.626001924398139"/>
    <s v="ORO"/>
    <n v="666"/>
    <d v="2026-02-27T15:43:13"/>
  </r>
  <r>
    <n v="2553"/>
    <x v="1"/>
    <n v="51056434"/>
    <n v="85.863082369417754"/>
    <s v="PLATINO"/>
    <n v="167"/>
    <d v="2026-02-27T15:43:13"/>
  </r>
  <r>
    <n v="2554"/>
    <x v="1"/>
    <n v="51019261"/>
    <n v="15.943449264630051"/>
    <s v="BRONCE"/>
    <n v="982"/>
    <d v="2026-02-27T15:43:13"/>
  </r>
  <r>
    <n v="2555"/>
    <x v="1"/>
    <n v="51018486"/>
    <n v="87.38"/>
    <s v="PLATINO"/>
    <n v="74"/>
    <d v="2026-02-27T15:43:13"/>
  </r>
  <r>
    <n v="2556"/>
    <x v="1"/>
    <n v="51005732"/>
    <n v="70.865433121447126"/>
    <s v="ORO"/>
    <n v="628"/>
    <d v="2026-02-27T15:43:13"/>
  </r>
  <r>
    <n v="2557"/>
    <x v="1"/>
    <n v="51039785"/>
    <n v="87.932180153159266"/>
    <s v="PLATINO"/>
    <n v="41"/>
    <d v="2026-02-27T15:43:13"/>
  </r>
  <r>
    <n v="2558"/>
    <x v="1"/>
    <n v="51025865"/>
    <n v="86.929236824955922"/>
    <s v="PLATINO"/>
    <n v="105"/>
    <d v="2026-02-27T15:43:13"/>
  </r>
  <r>
    <n v="2559"/>
    <x v="1"/>
    <n v="51015657"/>
    <n v="86.28"/>
    <s v="PLATINO"/>
    <n v="144"/>
    <d v="2026-02-27T15:43:13"/>
  </r>
  <r>
    <n v="2560"/>
    <x v="1"/>
    <n v="51001168"/>
    <n v="86.415000000000006"/>
    <s v="PLATINO"/>
    <n v="132"/>
    <d v="2026-02-27T15:43:13"/>
  </r>
  <r>
    <n v="2561"/>
    <x v="1"/>
    <n v="51021380"/>
    <n v="86.243763853404573"/>
    <s v="PLATINO"/>
    <n v="146"/>
    <d v="2026-02-27T15:43:13"/>
  </r>
  <r>
    <n v="2562"/>
    <x v="1"/>
    <n v="51011970"/>
    <n v="85.117275857607453"/>
    <s v="PLATINO"/>
    <n v="201"/>
    <d v="2026-02-27T15:43:13"/>
  </r>
  <r>
    <n v="2563"/>
    <x v="1"/>
    <n v="51036697"/>
    <n v="84.391597808913062"/>
    <s v="PLATINO"/>
    <n v="244"/>
    <d v="2026-02-27T15:43:13"/>
  </r>
  <r>
    <n v="2564"/>
    <x v="1"/>
    <n v="51009061"/>
    <n v="85.039999999999992"/>
    <s v="PLATINO"/>
    <n v="206"/>
    <d v="2026-02-27T15:43:13"/>
  </r>
  <r>
    <n v="2565"/>
    <x v="1"/>
    <n v="51013824"/>
    <n v="86.375021137686105"/>
    <s v="PLATINO"/>
    <n v="134"/>
    <d v="2026-02-27T15:43:13"/>
  </r>
  <r>
    <n v="2566"/>
    <x v="1"/>
    <n v="51009240"/>
    <n v="64.36"/>
    <s v="ORO"/>
    <n v="694"/>
    <d v="2026-02-27T15:43:13"/>
  </r>
  <r>
    <n v="2567"/>
    <x v="1"/>
    <n v="51001061"/>
    <n v="51.811600054545522"/>
    <s v="PLATA"/>
    <n v="810"/>
    <d v="2026-02-27T15:43:13"/>
  </r>
  <r>
    <n v="2568"/>
    <x v="1"/>
    <n v="51018621"/>
    <n v="74.92467836266826"/>
    <s v="ORO"/>
    <n v="592"/>
    <d v="2026-02-27T15:43:13"/>
  </r>
  <r>
    <n v="2569"/>
    <x v="1"/>
    <n v="51011031"/>
    <n v="87.53482946838389"/>
    <s v="PLATINO"/>
    <n v="67"/>
    <d v="2026-02-27T15:43:13"/>
  </r>
  <r>
    <n v="2570"/>
    <x v="1"/>
    <n v="51013239"/>
    <n v="66.239700623499715"/>
    <s v="ORO"/>
    <n v="672"/>
    <d v="2026-02-27T15:43:13"/>
  </r>
  <r>
    <n v="2571"/>
    <x v="1"/>
    <n v="51030281"/>
    <n v="84.504917566359822"/>
    <s v="PLATINO"/>
    <n v="238"/>
    <d v="2026-02-27T15:43:13"/>
  </r>
  <r>
    <n v="2572"/>
    <x v="1"/>
    <n v="51055829"/>
    <n v="83.048208074275379"/>
    <s v="PLATINO"/>
    <n v="307"/>
    <d v="2026-02-27T15:43:13"/>
  </r>
  <r>
    <n v="2573"/>
    <x v="1"/>
    <n v="51023919"/>
    <n v="73.674564800827255"/>
    <s v="ORO"/>
    <n v="606"/>
    <d v="2026-02-27T15:43:13"/>
  </r>
  <r>
    <n v="2574"/>
    <x v="1"/>
    <n v="51031610"/>
    <n v="78.153996854340704"/>
    <s v="PLATINO"/>
    <n v="512"/>
    <d v="2026-02-27T15:43:13"/>
  </r>
  <r>
    <n v="2575"/>
    <x v="1"/>
    <n v="51024141"/>
    <n v="88.229848572313898"/>
    <s v="PLATINO"/>
    <n v="32"/>
    <d v="2026-02-27T15:43:13"/>
  </r>
  <r>
    <n v="2576"/>
    <x v="1"/>
    <n v="51023137"/>
    <n v="84.586163896523999"/>
    <s v="PLATINO"/>
    <n v="231"/>
    <d v="2026-02-27T15:43:13"/>
  </r>
  <r>
    <n v="2577"/>
    <x v="1"/>
    <n v="51026578"/>
    <n v="86.337322097990565"/>
    <s v="PLATINO"/>
    <n v="139"/>
    <d v="2026-02-27T15:43:13"/>
  </r>
  <r>
    <n v="2578"/>
    <x v="1"/>
    <n v="51017986"/>
    <n v="85.4674005522089"/>
    <s v="PLATINO"/>
    <n v="185"/>
    <d v="2026-02-27T15:43:13"/>
  </r>
  <r>
    <n v="2579"/>
    <x v="1"/>
    <n v="51055373"/>
    <n v="86.420299316484929"/>
    <s v="PLATINO"/>
    <n v="130"/>
    <d v="2026-02-27T15:43:13"/>
  </r>
  <r>
    <n v="2580"/>
    <x v="1"/>
    <n v="51013794"/>
    <n v="36.158621456490827"/>
    <s v="PLATA"/>
    <n v="855"/>
    <d v="2026-02-27T15:43:13"/>
  </r>
  <r>
    <n v="2581"/>
    <x v="1"/>
    <n v="51033141"/>
    <n v="41.886335079454753"/>
    <s v="PLATA"/>
    <n v="838"/>
    <d v="2026-02-27T15:43:13"/>
  </r>
  <r>
    <n v="2582"/>
    <x v="1"/>
    <n v="51056612"/>
    <n v="41.226950552385922"/>
    <s v="PLATA"/>
    <n v="841"/>
    <d v="2026-02-27T15:43:13"/>
  </r>
  <r>
    <n v="2583"/>
    <x v="1"/>
    <n v="51032071"/>
    <n v="87.274951361540261"/>
    <s v="PLATINO"/>
    <n v="82"/>
    <d v="2026-02-27T15:43:13"/>
  </r>
  <r>
    <n v="2584"/>
    <x v="1"/>
    <n v="51031121"/>
    <n v="86.701143501641383"/>
    <s v="PLATINO"/>
    <n v="120"/>
    <d v="2026-02-27T15:43:13"/>
  </r>
  <r>
    <n v="2585"/>
    <x v="1"/>
    <n v="51056981"/>
    <n v="87.14"/>
    <s v="PLATINO"/>
    <n v="91"/>
    <d v="2026-02-27T15:43:13"/>
  </r>
  <r>
    <n v="2586"/>
    <x v="1"/>
    <n v="51022424"/>
    <n v="88.838000000000008"/>
    <s v="PLATINO"/>
    <n v="17"/>
    <d v="2026-02-27T15:43:13"/>
  </r>
  <r>
    <n v="2587"/>
    <x v="1"/>
    <n v="51025920"/>
    <n v="84.266849511471449"/>
    <s v="PLATINO"/>
    <n v="253"/>
    <d v="2026-02-27T15:43:13"/>
  </r>
  <r>
    <n v="2588"/>
    <x v="1"/>
    <n v="51056388"/>
    <n v="87.391570438351877"/>
    <s v="PLATINO"/>
    <n v="72"/>
    <d v="2026-02-27T15:43:13"/>
  </r>
  <r>
    <n v="2589"/>
    <x v="1"/>
    <n v="51033485"/>
    <n v="80.078000000000003"/>
    <s v="PLATINO"/>
    <n v="440"/>
    <d v="2026-02-27T15:43:13"/>
  </r>
  <r>
    <n v="2590"/>
    <x v="1"/>
    <n v="51041615"/>
    <n v="84.994754063762556"/>
    <s v="PLATINO"/>
    <n v="210"/>
    <d v="2026-02-27T15:43:13"/>
  </r>
  <r>
    <n v="2591"/>
    <x v="1"/>
    <n v="51017641"/>
    <n v="83.876005238716161"/>
    <s v="PLATINO"/>
    <n v="275"/>
    <d v="2026-02-27T15:43:13"/>
  </r>
  <r>
    <n v="2592"/>
    <x v="1"/>
    <n v="51005741"/>
    <n v="73.633028720873924"/>
    <s v="ORO"/>
    <n v="607"/>
    <d v="2026-02-27T15:43:13"/>
  </r>
  <r>
    <n v="2593"/>
    <x v="1"/>
    <n v="51011996"/>
    <n v="86.22"/>
    <s v="PLATINO"/>
    <n v="148"/>
    <d v="2026-02-27T15:43:13"/>
  </r>
  <r>
    <n v="2594"/>
    <x v="1"/>
    <n v="51025440"/>
    <n v="83.32"/>
    <s v="PLATINO"/>
    <n v="295"/>
    <d v="2026-02-27T15:43:13"/>
  </r>
  <r>
    <n v="2595"/>
    <x v="1"/>
    <n v="51055993"/>
    <n v="82.140878619755014"/>
    <s v="PLATINO"/>
    <n v="357"/>
    <d v="2026-02-27T15:43:13"/>
  </r>
  <r>
    <n v="2596"/>
    <x v="1"/>
    <n v="51021231"/>
    <n v="77.916869777845719"/>
    <s v="PLATINO"/>
    <n v="525"/>
    <d v="2026-02-27T15:43:13"/>
  </r>
  <r>
    <n v="2597"/>
    <x v="1"/>
    <n v="51024125"/>
    <n v="50.199636342499979"/>
    <s v="PLATA"/>
    <n v="816"/>
    <d v="2026-02-27T15:43:13"/>
  </r>
  <r>
    <n v="2598"/>
    <x v="1"/>
    <n v="51014359"/>
    <n v="86.606861018454282"/>
    <s v="PLATINO"/>
    <n v="122"/>
    <d v="2026-02-27T15:43:13"/>
  </r>
  <r>
    <n v="2599"/>
    <x v="1"/>
    <n v="51024681"/>
    <n v="83.66"/>
    <s v="PLATINO"/>
    <n v="282"/>
    <d v="2026-02-27T15:43:13"/>
  </r>
  <r>
    <n v="2600"/>
    <x v="1"/>
    <n v="51024001"/>
    <n v="44.834458576713963"/>
    <s v="PLATA"/>
    <n v="831"/>
    <d v="2026-02-27T15:43:13"/>
  </r>
  <r>
    <n v="2601"/>
    <x v="1"/>
    <n v="51023480"/>
    <n v="39.78"/>
    <s v="PLATA"/>
    <n v="843"/>
    <d v="2026-02-27T15:43:13"/>
  </r>
  <r>
    <n v="2602"/>
    <x v="1"/>
    <n v="51020405"/>
    <n v="19.989999999999998"/>
    <s v="BRONCE"/>
    <n v="917"/>
    <d v="2026-02-27T15:43:13"/>
  </r>
  <r>
    <n v="2603"/>
    <x v="1"/>
    <n v="51044070"/>
    <n v="17.968502629919868"/>
    <s v="BRONCE"/>
    <n v="961"/>
    <d v="2026-02-27T15:43:13"/>
  </r>
  <r>
    <n v="2604"/>
    <x v="1"/>
    <n v="51032110"/>
    <n v="84.513475545053964"/>
    <s v="PLATINO"/>
    <n v="237"/>
    <d v="2026-02-27T15:43:13"/>
  </r>
  <r>
    <n v="2605"/>
    <x v="1"/>
    <n v="51036123"/>
    <n v="83.84"/>
    <s v="PLATINO"/>
    <n v="277"/>
    <d v="2026-02-27T15:43:13"/>
  </r>
  <r>
    <n v="2606"/>
    <x v="1"/>
    <n v="51056078"/>
    <n v="84.77350275689858"/>
    <s v="PLATINO"/>
    <n v="221"/>
    <d v="2026-02-27T15:43:13"/>
  </r>
  <r>
    <n v="2607"/>
    <x v="1"/>
    <n v="51012445"/>
    <n v="86.598178496246888"/>
    <s v="PLATINO"/>
    <n v="125"/>
    <d v="2026-02-27T15:43:13"/>
  </r>
  <r>
    <n v="2608"/>
    <x v="1"/>
    <n v="51019661"/>
    <n v="86.121183009856935"/>
    <s v="PLATINO"/>
    <n v="153"/>
    <d v="2026-02-27T15:43:13"/>
  </r>
  <r>
    <n v="2609"/>
    <x v="1"/>
    <n v="51021894"/>
    <n v="65.852471498223551"/>
    <s v="ORO"/>
    <n v="678"/>
    <d v="2026-02-27T15:43:13"/>
  </r>
  <r>
    <n v="2610"/>
    <x v="1"/>
    <n v="51018575"/>
    <n v="86.337964588878691"/>
    <s v="PLATINO"/>
    <n v="138"/>
    <d v="2026-02-27T15:43:13"/>
  </r>
  <r>
    <n v="2611"/>
    <x v="1"/>
    <n v="51031652"/>
    <n v="84.58"/>
    <s v="PLATINO"/>
    <n v="233"/>
    <d v="2026-02-27T15:43:13"/>
  </r>
  <r>
    <n v="2612"/>
    <x v="1"/>
    <n v="51040627"/>
    <n v="86.856751961461796"/>
    <s v="PLATINO"/>
    <n v="111"/>
    <d v="2026-02-27T15:43:13"/>
  </r>
  <r>
    <n v="2613"/>
    <x v="1"/>
    <n v="51031253"/>
    <n v="68.447061684724105"/>
    <s v="ORO"/>
    <n v="651"/>
    <d v="2026-02-27T15:43:13"/>
  </r>
  <r>
    <n v="2614"/>
    <x v="1"/>
    <n v="51034350"/>
    <n v="86.111774322532284"/>
    <s v="PLATINO"/>
    <n v="154"/>
    <d v="2026-02-27T15:43:13"/>
  </r>
  <r>
    <n v="2615"/>
    <x v="1"/>
    <n v="51022220"/>
    <n v="16.907577846594261"/>
    <s v="BRONCE"/>
    <n v="978"/>
    <d v="2026-02-27T15:43:13"/>
  </r>
  <r>
    <n v="2616"/>
    <x v="1"/>
    <n v="51019512"/>
    <n v="77.556677231935552"/>
    <s v="PLATINO"/>
    <n v="538"/>
    <d v="2026-02-27T15:43:13"/>
  </r>
  <r>
    <n v="2617"/>
    <x v="1"/>
    <n v="51014391"/>
    <n v="75.954267101608195"/>
    <s v="PLATINO"/>
    <n v="572"/>
    <d v="2026-02-27T15:43:13"/>
  </r>
  <r>
    <n v="2618"/>
    <x v="1"/>
    <n v="51042689"/>
    <n v="84.624035017299832"/>
    <s v="PLATINO"/>
    <n v="228"/>
    <d v="2026-02-27T15:43:13"/>
  </r>
  <r>
    <n v="2619"/>
    <x v="1"/>
    <n v="51013867"/>
    <n v="86.904646730407862"/>
    <s v="PLATINO"/>
    <n v="107"/>
    <d v="2026-02-27T15:43:13"/>
  </r>
  <r>
    <n v="2620"/>
    <x v="1"/>
    <n v="51021258"/>
    <n v="85.751123073392378"/>
    <s v="PLATINO"/>
    <n v="172"/>
    <d v="2026-02-27T15:43:13"/>
  </r>
  <r>
    <n v="2621"/>
    <x v="1"/>
    <n v="51024591"/>
    <n v="65.92"/>
    <s v="ORO"/>
    <n v="676"/>
    <d v="2026-02-27T15:43:13"/>
  </r>
  <r>
    <n v="2622"/>
    <x v="1"/>
    <n v="51021665"/>
    <n v="64.498000000000005"/>
    <s v="ORO"/>
    <n v="692"/>
    <d v="2026-02-27T15:43:13"/>
  </r>
  <r>
    <n v="2623"/>
    <x v="1"/>
    <n v="51030273"/>
    <n v="85.490003877531379"/>
    <s v="PLATINO"/>
    <n v="183"/>
    <d v="2026-02-27T15:43:13"/>
  </r>
  <r>
    <n v="2624"/>
    <x v="1"/>
    <n v="51024559"/>
    <n v="83.423951792364775"/>
    <s v="PLATINO"/>
    <n v="290"/>
    <d v="2026-02-27T15:43:13"/>
  </r>
  <r>
    <n v="2625"/>
    <x v="1"/>
    <n v="51007565"/>
    <n v="86.315423766509369"/>
    <s v="PLATINO"/>
    <n v="141"/>
    <d v="2026-02-27T15:43:13"/>
  </r>
  <r>
    <n v="2626"/>
    <x v="1"/>
    <n v="51032136"/>
    <n v="55.501640454353073"/>
    <s v="ORO"/>
    <n v="807"/>
    <d v="2026-02-27T15:43:13"/>
  </r>
  <r>
    <n v="2627"/>
    <x v="1"/>
    <n v="51057066"/>
    <n v="83.773786745539041"/>
    <s v="PLATINO"/>
    <n v="278"/>
    <d v="2026-02-27T15:43:13"/>
  </r>
  <r>
    <n v="2628"/>
    <x v="1"/>
    <n v="51021215"/>
    <n v="20"/>
    <s v="BRONCE"/>
    <n v="889"/>
    <d v="2026-02-27T15:43:13"/>
  </r>
  <r>
    <n v="2629"/>
    <x v="1"/>
    <n v="51040937"/>
    <n v="82.62"/>
    <s v="PLATINO"/>
    <n v="334"/>
    <d v="2026-02-27T15:43:13"/>
  </r>
  <r>
    <n v="2630"/>
    <x v="1"/>
    <n v="51014430"/>
    <n v="84.634653004674405"/>
    <s v="PLATINO"/>
    <n v="227"/>
    <d v="2026-02-27T15:43:13"/>
  </r>
  <r>
    <n v="2631"/>
    <x v="1"/>
    <n v="51055853"/>
    <n v="18.965601251569218"/>
    <s v="BRONCE"/>
    <n v="941"/>
    <d v="2026-02-27T15:43:13"/>
  </r>
  <r>
    <n v="2632"/>
    <x v="1"/>
    <n v="51056515"/>
    <n v="78.025733050606917"/>
    <s v="PLATINO"/>
    <n v="518"/>
    <d v="2026-02-27T15:43:13"/>
  </r>
  <r>
    <n v="2633"/>
    <x v="1"/>
    <n v="51020952"/>
    <n v="87.387788952581246"/>
    <s v="PLATINO"/>
    <n v="73"/>
    <d v="2026-02-27T15:43:13"/>
  </r>
  <r>
    <n v="2634"/>
    <x v="1"/>
    <n v="51022611"/>
    <n v="83.914577126796871"/>
    <s v="PLATINO"/>
    <n v="273"/>
    <d v="2026-02-27T15:43:13"/>
  </r>
  <r>
    <n v="2635"/>
    <x v="1"/>
    <n v="51056761"/>
    <n v="87.671067730207128"/>
    <s v="PLATINO"/>
    <n v="57"/>
    <d v="2026-02-27T15:43:13"/>
  </r>
  <r>
    <n v="2636"/>
    <x v="1"/>
    <n v="51031741"/>
    <n v="85.76663495865364"/>
    <s v="PLATINO"/>
    <n v="171"/>
    <d v="2026-02-27T15:43:13"/>
  </r>
  <r>
    <n v="2637"/>
    <x v="1"/>
    <n v="51056469"/>
    <n v="85.907898422307568"/>
    <s v="PLATINO"/>
    <n v="164"/>
    <d v="2026-02-27T15:43:13"/>
  </r>
  <r>
    <n v="2638"/>
    <x v="1"/>
    <n v="51031130"/>
    <n v="87.217169902594563"/>
    <s v="PLATINO"/>
    <n v="86"/>
    <d v="2026-02-27T15:43:13"/>
  </r>
  <r>
    <n v="2639"/>
    <x v="1"/>
    <n v="51014855"/>
    <n v="79.542563811656123"/>
    <s v="PLATINO"/>
    <n v="461"/>
    <d v="2026-02-27T15:43:13"/>
  </r>
  <r>
    <n v="2640"/>
    <x v="1"/>
    <n v="51055055"/>
    <n v="86.1368264754161"/>
    <s v="PLATINO"/>
    <n v="152"/>
    <d v="2026-02-27T15:43:13"/>
  </r>
  <r>
    <n v="2641"/>
    <x v="1"/>
    <n v="51008634"/>
    <n v="80.412612243653186"/>
    <s v="PLATINO"/>
    <n v="431"/>
    <d v="2026-02-27T15:43:13"/>
  </r>
  <r>
    <n v="2642"/>
    <x v="1"/>
    <n v="51021835"/>
    <n v="88.137117533855857"/>
    <s v="PLATINO"/>
    <n v="34"/>
    <d v="2026-02-27T15:43:13"/>
  </r>
  <r>
    <n v="2643"/>
    <x v="1"/>
    <n v="51030320"/>
    <n v="84.02"/>
    <s v="PLATINO"/>
    <n v="267"/>
    <d v="2026-02-27T15:43:13"/>
  </r>
  <r>
    <n v="2644"/>
    <x v="1"/>
    <n v="51033701"/>
    <n v="86.781583054372334"/>
    <s v="PLATINO"/>
    <n v="115"/>
    <d v="2026-02-27T15:43:13"/>
  </r>
  <r>
    <n v="2645"/>
    <x v="1"/>
    <n v="51013280"/>
    <n v="86.847316026686869"/>
    <s v="PLATINO"/>
    <n v="112"/>
    <d v="2026-02-27T15:43:13"/>
  </r>
  <r>
    <n v="2646"/>
    <x v="1"/>
    <n v="51022785"/>
    <n v="31.835991846826971"/>
    <s v="PLATA"/>
    <n v="868"/>
    <d v="2026-02-27T15:43:13"/>
  </r>
  <r>
    <n v="2647"/>
    <x v="1"/>
    <n v="51036310"/>
    <n v="18.856084361318761"/>
    <s v="BRONCE"/>
    <n v="945"/>
    <d v="2026-02-27T15:43:13"/>
  </r>
  <r>
    <n v="2648"/>
    <x v="1"/>
    <n v="51010710"/>
    <n v="19.957999999999998"/>
    <s v="BRONCE"/>
    <n v="926"/>
    <d v="2026-02-27T15:43:13"/>
  </r>
  <r>
    <n v="2649"/>
    <x v="1"/>
    <n v="51034376"/>
    <n v="86.910992331907607"/>
    <s v="PLATINO"/>
    <n v="106"/>
    <d v="2026-02-27T15:43:13"/>
  </r>
  <r>
    <n v="2650"/>
    <x v="1"/>
    <n v="51023561"/>
    <n v="85.02"/>
    <s v="PLATINO"/>
    <n v="208"/>
    <d v="2026-02-27T15:43:13"/>
  </r>
  <r>
    <n v="2651"/>
    <x v="1"/>
    <n v="51025253"/>
    <n v="19.934121133498749"/>
    <s v="BRONCE"/>
    <n v="927"/>
    <d v="2026-02-27T15:43:13"/>
  </r>
  <r>
    <n v="2652"/>
    <x v="1"/>
    <n v="51030176"/>
    <n v="63.094092842041903"/>
    <s v="ORO"/>
    <n v="713"/>
    <d v="2026-02-27T15:43:13"/>
  </r>
  <r>
    <n v="2653"/>
    <x v="1"/>
    <n v="51024575"/>
    <n v="84.711781653209016"/>
    <s v="PLATINO"/>
    <n v="225"/>
    <d v="2026-02-27T15:43:13"/>
  </r>
  <r>
    <n v="2654"/>
    <x v="1"/>
    <n v="51005333"/>
    <n v="63.891633632274448"/>
    <s v="ORO"/>
    <n v="698"/>
    <d v="2026-02-27T15:43:13"/>
  </r>
  <r>
    <n v="2655"/>
    <x v="1"/>
    <n v="51030931"/>
    <n v="86.49"/>
    <s v="PLATINO"/>
    <n v="128"/>
    <d v="2026-02-27T15:43:13"/>
  </r>
  <r>
    <n v="2656"/>
    <x v="1"/>
    <n v="51056027"/>
    <n v="84.178000000000011"/>
    <s v="PLATINO"/>
    <n v="260"/>
    <d v="2026-02-27T15:43:13"/>
  </r>
  <r>
    <n v="2657"/>
    <x v="1"/>
    <n v="51054911"/>
    <n v="83.071586607230742"/>
    <s v="PLATINO"/>
    <n v="305"/>
    <d v="2026-02-27T15:43:13"/>
  </r>
  <r>
    <n v="2658"/>
    <x v="1"/>
    <n v="51030605"/>
    <n v="63.571847419555453"/>
    <s v="ORO"/>
    <n v="705"/>
    <d v="2026-02-27T15:43:13"/>
  </r>
  <r>
    <n v="2659"/>
    <x v="1"/>
    <n v="51044487"/>
    <n v="85.868413838436695"/>
    <s v="PLATINO"/>
    <n v="166"/>
    <d v="2026-02-27T15:43:13"/>
  </r>
  <r>
    <n v="2660"/>
    <x v="1"/>
    <n v="51035674"/>
    <n v="84.833127826507948"/>
    <s v="PLATINO"/>
    <n v="217"/>
    <d v="2026-02-27T15:43:13"/>
  </r>
  <r>
    <n v="2661"/>
    <x v="1"/>
    <n v="51055128"/>
    <n v="86.6"/>
    <s v="PLATINO"/>
    <n v="124"/>
    <d v="2026-02-27T15:43:13"/>
  </r>
  <r>
    <n v="2662"/>
    <x v="1"/>
    <n v="51011546"/>
    <n v="87.546115284450437"/>
    <s v="PLATINO"/>
    <n v="64"/>
    <d v="2026-02-27T15:43:13"/>
  </r>
  <r>
    <n v="2663"/>
    <x v="1"/>
    <n v="51031482"/>
    <n v="84.75579008945418"/>
    <s v="PLATINO"/>
    <n v="222"/>
    <d v="2026-02-27T15:43:13"/>
  </r>
  <r>
    <n v="2664"/>
    <x v="1"/>
    <n v="51030109"/>
    <n v="66.553985520996051"/>
    <s v="ORO"/>
    <n v="667"/>
    <d v="2026-02-27T15:43:13"/>
  </r>
  <r>
    <n v="2665"/>
    <x v="1"/>
    <n v="51022009"/>
    <n v="86.34"/>
    <s v="PLATINO"/>
    <n v="137"/>
    <d v="2026-02-27T15:43:13"/>
  </r>
  <r>
    <n v="2666"/>
    <x v="1"/>
    <n v="51015932"/>
    <n v="86.025000000000006"/>
    <s v="PLATINO"/>
    <n v="158"/>
    <d v="2026-02-27T15:43:13"/>
  </r>
  <r>
    <n v="2667"/>
    <x v="1"/>
    <n v="51030028"/>
    <n v="85.807835764391456"/>
    <s v="PLATINO"/>
    <n v="169"/>
    <d v="2026-02-27T15:43:13"/>
  </r>
  <r>
    <n v="2668"/>
    <x v="1"/>
    <n v="51030257"/>
    <n v="83.54842648662239"/>
    <s v="PLATINO"/>
    <n v="285"/>
    <d v="2026-02-27T15:43:13"/>
  </r>
  <r>
    <n v="2669"/>
    <x v="1"/>
    <n v="51055489"/>
    <n v="82.471429817909097"/>
    <s v="PLATINO"/>
    <n v="340"/>
    <d v="2026-02-27T15:43:13"/>
  </r>
  <r>
    <n v="2670"/>
    <x v="1"/>
    <n v="51019423"/>
    <n v="86.421602506165257"/>
    <s v="PLATINO"/>
    <n v="129"/>
    <d v="2026-02-27T15:43:13"/>
  </r>
  <r>
    <n v="2671"/>
    <x v="1"/>
    <n v="51000811"/>
    <n v="70.844502308582918"/>
    <s v="ORO"/>
    <n v="630"/>
    <d v="2026-02-27T15:43:13"/>
  </r>
  <r>
    <n v="2672"/>
    <x v="1"/>
    <n v="51057040"/>
    <n v="86.844999999999999"/>
    <s v="PLATINO"/>
    <n v="113"/>
    <d v="2026-02-27T15:43:13"/>
  </r>
  <r>
    <n v="2673"/>
    <x v="1"/>
    <n v="51055101"/>
    <n v="20"/>
    <s v="BRONCE"/>
    <n v="889"/>
    <d v="2026-02-27T15:43:13"/>
  </r>
  <r>
    <n v="2674"/>
    <x v="1"/>
    <n v="51016386"/>
    <n v="64.886685223717677"/>
    <s v="ORO"/>
    <n v="688"/>
    <d v="2026-02-27T15:43:13"/>
  </r>
  <r>
    <n v="2675"/>
    <x v="1"/>
    <n v="51003594"/>
    <n v="85.123955407686182"/>
    <s v="PLATINO"/>
    <n v="200"/>
    <d v="2026-02-27T15:43:13"/>
  </r>
  <r>
    <n v="2676"/>
    <x v="1"/>
    <n v="51030923"/>
    <n v="73.102321254424595"/>
    <s v="ORO"/>
    <n v="613"/>
    <d v="2026-02-27T15:43:13"/>
  </r>
  <r>
    <n v="2677"/>
    <x v="1"/>
    <n v="51043197"/>
    <n v="63.59696678723283"/>
    <s v="ORO"/>
    <n v="704"/>
    <d v="2026-02-27T15:43:13"/>
  </r>
  <r>
    <n v="2678"/>
    <x v="1"/>
    <n v="51022823"/>
    <n v="46.518849627581353"/>
    <s v="PLATA"/>
    <n v="827"/>
    <d v="2026-02-27T15:43:13"/>
  </r>
  <r>
    <n v="2679"/>
    <x v="1"/>
    <n v="51056060"/>
    <n v="82.66"/>
    <s v="PLATINO"/>
    <n v="333"/>
    <d v="2026-02-27T15:43:13"/>
  </r>
  <r>
    <n v="2680"/>
    <x v="1"/>
    <n v="51024419"/>
    <n v="85.158000000000001"/>
    <s v="PLATINO"/>
    <n v="197"/>
    <d v="2026-02-27T15:43:13"/>
  </r>
  <r>
    <n v="2681"/>
    <x v="1"/>
    <n v="51025326"/>
    <n v="78.921937214288164"/>
    <s v="PLATINO"/>
    <n v="490"/>
    <d v="2026-02-27T15:43:13"/>
  </r>
  <r>
    <n v="2682"/>
    <x v="1"/>
    <n v="51020014"/>
    <n v="85.934604715735688"/>
    <s v="PLATINO"/>
    <n v="161"/>
    <d v="2026-02-27T15:43:13"/>
  </r>
  <r>
    <n v="2683"/>
    <x v="1"/>
    <n v="51055951"/>
    <n v="65.130280108744202"/>
    <s v="ORO"/>
    <n v="685"/>
    <d v="2026-02-27T15:43:13"/>
  </r>
  <r>
    <n v="2684"/>
    <x v="1"/>
    <n v="51016882"/>
    <n v="79.8"/>
    <s v="PLATINO"/>
    <n v="451"/>
    <d v="2026-02-27T15:43:13"/>
  </r>
  <r>
    <n v="2685"/>
    <x v="1"/>
    <n v="51043405"/>
    <n v="82.31966859661776"/>
    <s v="PLATINO"/>
    <n v="353"/>
    <d v="2026-02-27T15:43:13"/>
  </r>
  <r>
    <n v="2686"/>
    <x v="1"/>
    <n v="51008987"/>
    <n v="86.712760538854525"/>
    <s v="PLATINO"/>
    <n v="119"/>
    <d v="2026-02-27T15:43:13"/>
  </r>
  <r>
    <n v="2687"/>
    <x v="1"/>
    <n v="51021088"/>
    <n v="84.100436708398021"/>
    <s v="PLATINO"/>
    <n v="262"/>
    <d v="2026-02-27T15:43:13"/>
  </r>
  <r>
    <n v="2688"/>
    <x v="1"/>
    <n v="51001702"/>
    <n v="87.28"/>
    <s v="PLATINO"/>
    <n v="80"/>
    <d v="2026-02-27T15:43:13"/>
  </r>
  <r>
    <n v="2689"/>
    <x v="1"/>
    <n v="51003730"/>
    <n v="84.06"/>
    <s v="PLATINO"/>
    <n v="264"/>
    <d v="2026-02-27T15:43:13"/>
  </r>
  <r>
    <n v="2690"/>
    <x v="1"/>
    <n v="51012348"/>
    <n v="72.897195630452714"/>
    <s v="ORO"/>
    <n v="615"/>
    <d v="2026-02-27T15:43:13"/>
  </r>
  <r>
    <n v="2691"/>
    <x v="1"/>
    <n v="51031563"/>
    <n v="83.423310353324325"/>
    <s v="PLATINO"/>
    <n v="291"/>
    <d v="2026-02-27T15:43:13"/>
  </r>
  <r>
    <n v="2692"/>
    <x v="1"/>
    <n v="51055080"/>
    <n v="86.353424155740797"/>
    <s v="PLATINO"/>
    <n v="136"/>
    <d v="2026-02-27T15:43:13"/>
  </r>
  <r>
    <n v="2693"/>
    <x v="1"/>
    <n v="51018672"/>
    <n v="79.565999144160756"/>
    <s v="PLATINO"/>
    <n v="459"/>
    <d v="2026-02-27T15:43:13"/>
  </r>
  <r>
    <n v="2694"/>
    <x v="1"/>
    <n v="51019130"/>
    <n v="81.935469692840059"/>
    <s v="PLATINO"/>
    <n v="369"/>
    <d v="2026-02-27T15:43:13"/>
  </r>
  <r>
    <n v="2695"/>
    <x v="1"/>
    <n v="51036255"/>
    <n v="63.399007244219632"/>
    <s v="ORO"/>
    <n v="708"/>
    <d v="2026-02-27T15:43:13"/>
  </r>
  <r>
    <n v="2696"/>
    <x v="1"/>
    <n v="51056809"/>
    <n v="34.254357924778802"/>
    <s v="PLATA"/>
    <n v="860"/>
    <d v="2026-02-27T15:43:13"/>
  </r>
  <r>
    <n v="2697"/>
    <x v="1"/>
    <n v="51018699"/>
    <n v="82.9"/>
    <s v="PLATINO"/>
    <n v="317"/>
    <d v="2026-02-27T15:43:13"/>
  </r>
  <r>
    <n v="2698"/>
    <x v="1"/>
    <n v="51010019"/>
    <n v="84.29124110898853"/>
    <s v="PLATINO"/>
    <n v="252"/>
    <d v="2026-02-27T15:43:13"/>
  </r>
  <r>
    <n v="2699"/>
    <x v="1"/>
    <n v="51010647"/>
    <n v="78.161129450324935"/>
    <s v="PLATINO"/>
    <n v="510"/>
    <d v="2026-02-27T15:43:13"/>
  </r>
  <r>
    <n v="2700"/>
    <x v="1"/>
    <n v="51054881"/>
    <n v="84.573725384981174"/>
    <s v="PLATINO"/>
    <n v="234"/>
    <d v="2026-02-27T15:43:13"/>
  </r>
  <r>
    <n v="2701"/>
    <x v="1"/>
    <n v="51019091"/>
    <n v="62.355357120248947"/>
    <s v="ORO"/>
    <n v="731"/>
    <d v="2026-02-27T15:43:13"/>
  </r>
  <r>
    <n v="2702"/>
    <x v="1"/>
    <n v="51018931"/>
    <n v="82.7"/>
    <s v="PLATINO"/>
    <n v="326"/>
    <d v="2026-02-27T15:43:13"/>
  </r>
  <r>
    <n v="2703"/>
    <x v="1"/>
    <n v="51057015"/>
    <n v="82.697501497432313"/>
    <s v="PLATINO"/>
    <n v="328"/>
    <d v="2026-02-27T15:43:13"/>
  </r>
  <r>
    <n v="2704"/>
    <x v="1"/>
    <n v="51023421"/>
    <n v="85"/>
    <s v="PLATINO"/>
    <n v="209"/>
    <d v="2026-02-27T15:43:13"/>
  </r>
  <r>
    <n v="2705"/>
    <x v="1"/>
    <n v="51012305"/>
    <n v="61.571460456283752"/>
    <s v="ORO"/>
    <n v="753"/>
    <d v="2026-02-27T15:43:13"/>
  </r>
  <r>
    <n v="2706"/>
    <x v="1"/>
    <n v="51014219"/>
    <n v="20"/>
    <s v="BRONCE"/>
    <n v="889"/>
    <d v="2026-02-27T15:43:13"/>
  </r>
  <r>
    <n v="2707"/>
    <x v="1"/>
    <n v="51030753"/>
    <n v="86.16"/>
    <s v="PLATINO"/>
    <n v="149"/>
    <d v="2026-02-27T15:43:13"/>
  </r>
  <r>
    <n v="2708"/>
    <x v="1"/>
    <n v="51042336"/>
    <n v="86.516217430503303"/>
    <s v="PLATINO"/>
    <n v="127"/>
    <d v="2026-02-27T15:43:13"/>
  </r>
  <r>
    <n v="2709"/>
    <x v="1"/>
    <n v="51023790"/>
    <n v="84.583794851955957"/>
    <s v="PLATINO"/>
    <n v="232"/>
    <d v="2026-02-27T15:43:13"/>
  </r>
  <r>
    <n v="2710"/>
    <x v="1"/>
    <n v="51022378"/>
    <n v="17.98230458720024"/>
    <s v="BRONCE"/>
    <n v="960"/>
    <d v="2026-02-27T15:43:13"/>
  </r>
  <r>
    <n v="2711"/>
    <x v="1"/>
    <n v="51052072"/>
    <n v="63.754389983070553"/>
    <s v="ORO"/>
    <n v="702"/>
    <d v="2026-02-27T15:43:13"/>
  </r>
  <r>
    <n v="2712"/>
    <x v="1"/>
    <n v="51031946"/>
    <n v="82.396622439112988"/>
    <s v="PLATINO"/>
    <n v="344"/>
    <d v="2026-02-27T15:43:13"/>
  </r>
  <r>
    <n v="2713"/>
    <x v="1"/>
    <n v="51010752"/>
    <n v="70.845588605495919"/>
    <s v="ORO"/>
    <n v="629"/>
    <d v="2026-02-27T15:43:13"/>
  </r>
  <r>
    <n v="2714"/>
    <x v="1"/>
    <n v="51055594"/>
    <n v="82.84"/>
    <s v="PLATINO"/>
    <n v="319"/>
    <d v="2026-02-27T15:43:13"/>
  </r>
  <r>
    <n v="2715"/>
    <x v="1"/>
    <n v="51041585"/>
    <n v="86.834181615555892"/>
    <s v="PLATINO"/>
    <n v="114"/>
    <d v="2026-02-27T15:43:13"/>
  </r>
  <r>
    <n v="2716"/>
    <x v="1"/>
    <n v="51017455"/>
    <n v="84.38806460321976"/>
    <s v="PLATINO"/>
    <n v="245"/>
    <d v="2026-02-27T15:43:13"/>
  </r>
  <r>
    <n v="2717"/>
    <x v="1"/>
    <n v="51033345"/>
    <n v="62.676506786530183"/>
    <s v="ORO"/>
    <n v="722"/>
    <d v="2026-02-27T15:43:13"/>
  </r>
  <r>
    <n v="2718"/>
    <x v="1"/>
    <n v="51012399"/>
    <n v="63.066079783689489"/>
    <s v="ORO"/>
    <n v="714"/>
    <d v="2026-02-27T15:43:13"/>
  </r>
  <r>
    <n v="2719"/>
    <x v="1"/>
    <n v="51034236"/>
    <n v="84.32"/>
    <s v="PLATINO"/>
    <n v="250"/>
    <d v="2026-02-27T15:43:13"/>
  </r>
  <r>
    <n v="2720"/>
    <x v="1"/>
    <n v="51012941"/>
    <n v="86.76311475698256"/>
    <s v="PLATINO"/>
    <n v="116"/>
    <d v="2026-02-27T15:43:13"/>
  </r>
  <r>
    <n v="2721"/>
    <x v="1"/>
    <n v="51011694"/>
    <n v="70.987659113030404"/>
    <s v="ORO"/>
    <n v="627"/>
    <d v="2026-02-27T15:43:13"/>
  </r>
  <r>
    <n v="2722"/>
    <x v="1"/>
    <n v="51020197"/>
    <n v="84.561218116815979"/>
    <s v="PLATINO"/>
    <n v="236"/>
    <d v="2026-02-27T15:43:13"/>
  </r>
  <r>
    <n v="2723"/>
    <x v="1"/>
    <n v="51003284"/>
    <n v="63.017756763368759"/>
    <s v="ORO"/>
    <n v="716"/>
    <d v="2026-02-27T15:43:13"/>
  </r>
  <r>
    <n v="2724"/>
    <x v="1"/>
    <n v="51025342"/>
    <n v="18.255370316857551"/>
    <s v="BRONCE"/>
    <n v="954"/>
    <d v="2026-02-27T15:43:13"/>
  </r>
  <r>
    <n v="2725"/>
    <x v="1"/>
    <n v="51030389"/>
    <n v="86.60491627574207"/>
    <s v="PLATINO"/>
    <n v="123"/>
    <d v="2026-02-27T15:43:13"/>
  </r>
  <r>
    <n v="2726"/>
    <x v="1"/>
    <n v="51013581"/>
    <n v="85.619373374473639"/>
    <s v="PLATINO"/>
    <n v="175"/>
    <d v="2026-02-27T15:43:13"/>
  </r>
  <r>
    <n v="2727"/>
    <x v="1"/>
    <n v="51056833"/>
    <n v="72.529300472376008"/>
    <s v="ORO"/>
    <n v="618"/>
    <d v="2026-02-27T15:43:13"/>
  </r>
  <r>
    <n v="2728"/>
    <x v="1"/>
    <n v="51056086"/>
    <n v="82.14"/>
    <s v="PLATINO"/>
    <n v="358"/>
    <d v="2026-02-27T15:43:13"/>
  </r>
  <r>
    <n v="2729"/>
    <x v="1"/>
    <n v="51055241"/>
    <n v="84.119950247972483"/>
    <s v="PLATINO"/>
    <n v="261"/>
    <d v="2026-02-27T15:43:13"/>
  </r>
  <r>
    <n v="2730"/>
    <x v="1"/>
    <n v="51008669"/>
    <n v="82.30463243572899"/>
    <s v="PLATINO"/>
    <n v="354"/>
    <d v="2026-02-27T15:43:13"/>
  </r>
  <r>
    <n v="2731"/>
    <x v="1"/>
    <n v="51031521"/>
    <n v="83.410645520116205"/>
    <s v="PLATINO"/>
    <n v="293"/>
    <d v="2026-02-27T15:43:13"/>
  </r>
  <r>
    <n v="2732"/>
    <x v="1"/>
    <n v="51033477"/>
    <n v="62.204423902321203"/>
    <s v="ORO"/>
    <n v="738"/>
    <d v="2026-02-27T15:43:13"/>
  </r>
  <r>
    <n v="2733"/>
    <x v="1"/>
    <n v="51020651"/>
    <n v="83.56"/>
    <s v="PLATINO"/>
    <n v="284"/>
    <d v="2026-02-27T15:43:13"/>
  </r>
  <r>
    <n v="2734"/>
    <x v="1"/>
    <n v="51013409"/>
    <n v="82.937311253407486"/>
    <s v="PLATINO"/>
    <n v="314"/>
    <d v="2026-02-27T15:43:13"/>
  </r>
  <r>
    <n v="2735"/>
    <x v="1"/>
    <n v="51030397"/>
    <n v="84.34"/>
    <s v="PLATINO"/>
    <n v="249"/>
    <d v="2026-02-27T15:43:13"/>
  </r>
  <r>
    <n v="2736"/>
    <x v="1"/>
    <n v="51010353"/>
    <n v="87.809145721522214"/>
    <s v="PLATINO"/>
    <n v="48"/>
    <d v="2026-02-27T15:43:13"/>
  </r>
  <r>
    <n v="2737"/>
    <x v="1"/>
    <n v="51054814"/>
    <n v="72.806479600009908"/>
    <s v="ORO"/>
    <n v="616"/>
    <d v="2026-02-27T15:43:13"/>
  </r>
  <r>
    <n v="2738"/>
    <x v="1"/>
    <n v="51012372"/>
    <n v="85.457320450202417"/>
    <s v="PLATINO"/>
    <n v="186"/>
    <d v="2026-02-27T15:43:13"/>
  </r>
  <r>
    <n v="2739"/>
    <x v="1"/>
    <n v="51036212"/>
    <n v="62.5485073601576"/>
    <s v="ORO"/>
    <n v="727"/>
    <d v="2026-02-27T15:43:13"/>
  </r>
  <r>
    <n v="2740"/>
    <x v="1"/>
    <n v="51029984"/>
    <n v="85.64"/>
    <s v="PLATINO"/>
    <n v="174"/>
    <d v="2026-02-27T15:43:13"/>
  </r>
  <r>
    <n v="2741"/>
    <x v="1"/>
    <n v="51039777"/>
    <n v="86.324033496899517"/>
    <s v="PLATINO"/>
    <n v="140"/>
    <d v="2026-02-27T15:43:13"/>
  </r>
  <r>
    <n v="2742"/>
    <x v="1"/>
    <n v="51056183"/>
    <n v="82.810627214650566"/>
    <s v="PLATINO"/>
    <n v="320"/>
    <d v="2026-02-27T15:43:13"/>
  </r>
  <r>
    <n v="2743"/>
    <x v="1"/>
    <n v="51039238"/>
    <n v="19.13261936021059"/>
    <s v="BRONCE"/>
    <n v="940"/>
    <d v="2026-02-27T15:43:13"/>
  </r>
  <r>
    <n v="2744"/>
    <x v="1"/>
    <n v="51007701"/>
    <n v="62.478000000000009"/>
    <s v="ORO"/>
    <n v="730"/>
    <d v="2026-02-27T15:43:13"/>
  </r>
  <r>
    <n v="2745"/>
    <x v="1"/>
    <n v="51034228"/>
    <n v="86.240000000000009"/>
    <s v="PLATINO"/>
    <n v="147"/>
    <d v="2026-02-27T15:43:13"/>
  </r>
  <r>
    <n v="2746"/>
    <x v="1"/>
    <n v="51005295"/>
    <n v="28.59948366372625"/>
    <s v="BRONCE"/>
    <n v="878"/>
    <d v="2026-02-27T15:43:13"/>
  </r>
  <r>
    <n v="2747"/>
    <x v="1"/>
    <n v="51023668"/>
    <n v="84.78542061903687"/>
    <s v="PLATINO"/>
    <n v="219"/>
    <d v="2026-02-27T15:43:13"/>
  </r>
  <r>
    <n v="2748"/>
    <x v="1"/>
    <n v="51018851"/>
    <n v="59.659657139122942"/>
    <s v="ORO"/>
    <n v="789"/>
    <d v="2026-02-27T15:43:13"/>
  </r>
  <r>
    <n v="2749"/>
    <x v="1"/>
    <n v="51042042"/>
    <n v="73.804125906575706"/>
    <s v="ORO"/>
    <n v="604"/>
    <d v="2026-02-27T15:43:13"/>
  </r>
  <r>
    <n v="2750"/>
    <x v="1"/>
    <n v="51010817"/>
    <n v="63.883934196667667"/>
    <s v="ORO"/>
    <n v="699"/>
    <d v="2026-02-27T15:43:13"/>
  </r>
  <r>
    <n v="2751"/>
    <x v="1"/>
    <n v="51022408"/>
    <n v="87.061347776939158"/>
    <s v="PLATINO"/>
    <n v="95"/>
    <d v="2026-02-27T15:43:13"/>
  </r>
  <r>
    <n v="2752"/>
    <x v="1"/>
    <n v="51032578"/>
    <n v="20"/>
    <s v="BRONCE"/>
    <n v="889"/>
    <d v="2026-02-27T15:43:13"/>
  </r>
  <r>
    <n v="2753"/>
    <x v="1"/>
    <n v="51017978"/>
    <n v="82.731402564623409"/>
    <s v="PLATINO"/>
    <n v="324"/>
    <d v="2026-02-27T15:43:13"/>
  </r>
  <r>
    <n v="2754"/>
    <x v="1"/>
    <n v="51056868"/>
    <n v="85.234162873435693"/>
    <s v="PLATINO"/>
    <n v="195"/>
    <d v="2026-02-27T15:43:13"/>
  </r>
  <r>
    <n v="2755"/>
    <x v="1"/>
    <n v="51056566"/>
    <n v="81.88795092792094"/>
    <s v="PLATINO"/>
    <n v="370"/>
    <d v="2026-02-27T15:43:13"/>
  </r>
  <r>
    <n v="2756"/>
    <x v="1"/>
    <n v="51005112"/>
    <n v="38.811361392172721"/>
    <s v="PLATA"/>
    <n v="846"/>
    <d v="2026-02-27T15:43:13"/>
  </r>
  <r>
    <n v="2757"/>
    <x v="1"/>
    <n v="51019946"/>
    <n v="74.692564501739653"/>
    <s v="ORO"/>
    <n v="593"/>
    <d v="2026-02-27T15:43:13"/>
  </r>
  <r>
    <n v="2758"/>
    <x v="1"/>
    <n v="51027116"/>
    <n v="84.743376466483909"/>
    <s v="PLATINO"/>
    <n v="223"/>
    <d v="2026-02-27T15:43:13"/>
  </r>
  <r>
    <n v="2759"/>
    <x v="1"/>
    <n v="51042051"/>
    <n v="85.905000000000001"/>
    <s v="PLATINO"/>
    <n v="165"/>
    <d v="2026-02-27T15:43:13"/>
  </r>
  <r>
    <n v="2760"/>
    <x v="1"/>
    <n v="51024702"/>
    <n v="84.947164867776252"/>
    <s v="PLATINO"/>
    <n v="214"/>
    <d v="2026-02-27T15:43:13"/>
  </r>
  <r>
    <n v="2761"/>
    <x v="1"/>
    <n v="51000251"/>
    <n v="63.020770817580903"/>
    <s v="ORO"/>
    <n v="715"/>
    <d v="2026-02-27T15:43:13"/>
  </r>
  <r>
    <n v="2762"/>
    <x v="1"/>
    <n v="51036778"/>
    <n v="83.94"/>
    <s v="PLATINO"/>
    <n v="272"/>
    <d v="2026-02-27T15:43:13"/>
  </r>
  <r>
    <n v="2763"/>
    <x v="1"/>
    <n v="51056850"/>
    <n v="85.251323229522185"/>
    <s v="PLATINO"/>
    <n v="194"/>
    <d v="2026-02-27T15:43:13"/>
  </r>
  <r>
    <n v="2764"/>
    <x v="1"/>
    <n v="51054989"/>
    <n v="83.045195586406123"/>
    <s v="PLATINO"/>
    <n v="308"/>
    <d v="2026-02-27T15:43:13"/>
  </r>
  <r>
    <n v="2765"/>
    <x v="1"/>
    <n v="51018737"/>
    <n v="83.53532818483778"/>
    <s v="PLATINO"/>
    <n v="287"/>
    <d v="2026-02-27T15:43:13"/>
  </r>
  <r>
    <n v="2766"/>
    <x v="1"/>
    <n v="51023811"/>
    <n v="86.243965911303292"/>
    <s v="PLATINO"/>
    <n v="145"/>
    <d v="2026-02-27T15:43:13"/>
  </r>
  <r>
    <n v="2767"/>
    <x v="1"/>
    <n v="51040899"/>
    <n v="87.626553844429665"/>
    <s v="PLATINO"/>
    <n v="59"/>
    <d v="2026-02-27T15:43:13"/>
  </r>
  <r>
    <n v="2768"/>
    <x v="1"/>
    <n v="51022149"/>
    <n v="86.542122226207596"/>
    <s v="PLATINO"/>
    <n v="126"/>
    <d v="2026-02-27T15:43:13"/>
  </r>
  <r>
    <n v="2769"/>
    <x v="1"/>
    <n v="51014189"/>
    <n v="87.797283030961481"/>
    <s v="PLATINO"/>
    <n v="50"/>
    <d v="2026-02-27T15:43:13"/>
  </r>
  <r>
    <n v="2770"/>
    <x v="1"/>
    <n v="51011538"/>
    <n v="52.851882708591127"/>
    <s v="PLATA"/>
    <n v="809"/>
    <d v="2026-02-27T15:43:13"/>
  </r>
  <r>
    <n v="2771"/>
    <x v="1"/>
    <n v="51011686"/>
    <n v="83.2"/>
    <s v="PLATINO"/>
    <n v="298"/>
    <d v="2026-02-27T15:43:13"/>
  </r>
  <r>
    <n v="2772"/>
    <x v="1"/>
    <n v="51055896"/>
    <n v="18.297766350144119"/>
    <s v="BRONCE"/>
    <n v="953"/>
    <d v="2026-02-27T15:43:13"/>
  </r>
  <r>
    <n v="2773"/>
    <x v="1"/>
    <n v="51054962"/>
    <n v="41.780430002548087"/>
    <s v="PLATA"/>
    <n v="839"/>
    <d v="2026-02-27T15:43:13"/>
  </r>
  <r>
    <n v="2774"/>
    <x v="1"/>
    <n v="51021584"/>
    <n v="81.075648681016929"/>
    <s v="PLATINO"/>
    <n v="405"/>
    <d v="2026-02-27T15:43:13"/>
  </r>
  <r>
    <n v="2775"/>
    <x v="1"/>
    <n v="51014642"/>
    <n v="85.228194059285116"/>
    <s v="PLATINO"/>
    <n v="196"/>
    <d v="2026-02-27T15:43:13"/>
  </r>
  <r>
    <n v="2776"/>
    <x v="1"/>
    <n v="51038878"/>
    <n v="43.228015648095948"/>
    <s v="PLATA"/>
    <n v="834"/>
    <d v="2026-02-27T15:43:13"/>
  </r>
  <r>
    <n v="2777"/>
    <x v="1"/>
    <n v="51055292"/>
    <n v="75.216477136746676"/>
    <s v="PLATINO"/>
    <n v="586"/>
    <d v="2026-02-27T15:43:13"/>
  </r>
  <r>
    <n v="2778"/>
    <x v="1"/>
    <n v="51011601"/>
    <n v="79.023322309988771"/>
    <s v="PLATINO"/>
    <n v="484"/>
    <d v="2026-02-27T15:43:13"/>
  </r>
  <r>
    <n v="2779"/>
    <x v="1"/>
    <n v="51022866"/>
    <n v="85.602155327626647"/>
    <s v="PLATINO"/>
    <n v="176"/>
    <d v="2026-02-27T15:43:13"/>
  </r>
  <r>
    <n v="2780"/>
    <x v="1"/>
    <n v="51017820"/>
    <n v="17.620628794986359"/>
    <s v="BRONCE"/>
    <n v="971"/>
    <d v="2026-02-27T15:43:13"/>
  </r>
  <r>
    <n v="2781"/>
    <x v="1"/>
    <n v="51030761"/>
    <n v="25.854341243046221"/>
    <s v="BRONCE"/>
    <n v="884"/>
    <d v="2026-02-27T15:43:13"/>
  </r>
  <r>
    <n v="2782"/>
    <x v="1"/>
    <n v="51008294"/>
    <n v="87.637584035808203"/>
    <s v="PLATINO"/>
    <n v="58"/>
    <d v="2026-02-27T15:43:13"/>
  </r>
  <r>
    <n v="2783"/>
    <x v="1"/>
    <n v="51055501"/>
    <n v="64.484919053526269"/>
    <s v="ORO"/>
    <n v="693"/>
    <d v="2026-02-27T15:43:13"/>
  </r>
  <r>
    <n v="2784"/>
    <x v="1"/>
    <n v="51038886"/>
    <n v="86.08"/>
    <s v="PLATINO"/>
    <n v="156"/>
    <d v="2026-02-27T15:43:13"/>
  </r>
  <r>
    <n v="2785"/>
    <x v="1"/>
    <n v="51020316"/>
    <n v="82.979796202758948"/>
    <s v="PLATINO"/>
    <n v="312"/>
    <d v="2026-02-27T15:43:13"/>
  </r>
  <r>
    <n v="2786"/>
    <x v="1"/>
    <n v="51055675"/>
    <n v="86.960000000000008"/>
    <s v="PLATINO"/>
    <n v="104"/>
    <d v="2026-02-27T15:43:13"/>
  </r>
  <r>
    <n v="2787"/>
    <x v="1"/>
    <n v="51012577"/>
    <n v="86.741563411206556"/>
    <s v="PLATINO"/>
    <n v="117"/>
    <d v="2026-02-27T15:43:13"/>
  </r>
  <r>
    <n v="2788"/>
    <x v="1"/>
    <n v="51017706"/>
    <n v="85.84"/>
    <s v="PLATINO"/>
    <n v="168"/>
    <d v="2026-02-27T15:43:13"/>
  </r>
  <r>
    <n v="2789"/>
    <x v="1"/>
    <n v="51011236"/>
    <n v="81.169445343776573"/>
    <s v="PLATINO"/>
    <n v="397"/>
    <d v="2026-02-27T15:43:13"/>
  </r>
  <r>
    <n v="2790"/>
    <x v="1"/>
    <n v="51030524"/>
    <n v="29.8332153186787"/>
    <s v="BRONCE"/>
    <n v="873"/>
    <d v="2026-02-27T15:43:13"/>
  </r>
  <r>
    <n v="2791"/>
    <x v="1"/>
    <n v="51003365"/>
    <n v="65.852768780908804"/>
    <s v="ORO"/>
    <n v="677"/>
    <d v="2026-02-27T15:43:13"/>
  </r>
  <r>
    <n v="2792"/>
    <x v="1"/>
    <n v="51031989"/>
    <n v="85.8"/>
    <s v="PLATINO"/>
    <n v="170"/>
    <d v="2026-02-27T15:43:13"/>
  </r>
  <r>
    <n v="2793"/>
    <x v="1"/>
    <n v="51010922"/>
    <n v="79.524075044518966"/>
    <s v="PLATINO"/>
    <n v="462"/>
    <d v="2026-02-27T15:43:13"/>
  </r>
  <r>
    <n v="2794"/>
    <x v="1"/>
    <n v="51040031"/>
    <n v="83.97575696991801"/>
    <s v="PLATINO"/>
    <n v="269"/>
    <d v="2026-02-27T15:43:13"/>
  </r>
  <r>
    <n v="2795"/>
    <x v="1"/>
    <n v="51027108"/>
    <n v="79.371227442592257"/>
    <s v="PLATINO"/>
    <n v="471"/>
    <d v="2026-02-27T15:43:13"/>
  </r>
  <r>
    <n v="2796"/>
    <x v="1"/>
    <n v="51022971"/>
    <n v="82.136052743469975"/>
    <s v="PLATINO"/>
    <n v="359"/>
    <d v="2026-02-27T15:43:13"/>
  </r>
  <r>
    <n v="2797"/>
    <x v="1"/>
    <n v="51023005"/>
    <n v="84.258628267290149"/>
    <s v="PLATINO"/>
    <n v="256"/>
    <d v="2026-02-27T15:43:13"/>
  </r>
  <r>
    <n v="2798"/>
    <x v="1"/>
    <n v="51002610"/>
    <n v="82.039999999999992"/>
    <s v="PLATINO"/>
    <n v="365"/>
    <d v="2026-02-27T15:43:13"/>
  </r>
  <r>
    <n v="2799"/>
    <x v="1"/>
    <n v="51056116"/>
    <n v="86.154170318905315"/>
    <s v="PLATINO"/>
    <n v="150"/>
    <d v="2026-02-27T15:43:13"/>
  </r>
  <r>
    <n v="2800"/>
    <x v="1"/>
    <n v="51020979"/>
    <n v="85.1"/>
    <s v="PLATINO"/>
    <n v="203"/>
    <d v="2026-02-27T15:43:13"/>
  </r>
  <r>
    <n v="2801"/>
    <x v="1"/>
    <n v="51015207"/>
    <n v="81.949612915421781"/>
    <s v="PLATINO"/>
    <n v="368"/>
    <d v="2026-02-27T15:43:13"/>
  </r>
  <r>
    <n v="2802"/>
    <x v="1"/>
    <n v="51007549"/>
    <n v="75.305604606531134"/>
    <s v="PLATINO"/>
    <n v="583"/>
    <d v="2026-02-27T15:43:13"/>
  </r>
  <r>
    <n v="2803"/>
    <x v="1"/>
    <n v="51032624"/>
    <n v="81.269484027928755"/>
    <s v="PLATINO"/>
    <n v="390"/>
    <d v="2026-02-27T15:43:13"/>
  </r>
  <r>
    <n v="2804"/>
    <x v="1"/>
    <n v="51002555"/>
    <n v="82.38"/>
    <s v="PLATINO"/>
    <n v="347"/>
    <d v="2026-02-27T15:43:13"/>
  </r>
  <r>
    <n v="2805"/>
    <x v="1"/>
    <n v="51029879"/>
    <n v="84.178435738261101"/>
    <s v="PLATINO"/>
    <n v="259"/>
    <d v="2026-02-27T15:43:13"/>
  </r>
  <r>
    <n v="2806"/>
    <x v="1"/>
    <n v="51011147"/>
    <n v="62.821927075962968"/>
    <s v="ORO"/>
    <n v="720"/>
    <d v="2026-02-27T15:43:13"/>
  </r>
  <r>
    <n v="2807"/>
    <x v="1"/>
    <n v="51030427"/>
    <n v="85.10228796317098"/>
    <s v="PLATINO"/>
    <n v="202"/>
    <d v="2026-02-27T15:43:13"/>
  </r>
  <r>
    <n v="2808"/>
    <x v="1"/>
    <n v="51032675"/>
    <n v="84.460000000000008"/>
    <s v="PLATINO"/>
    <n v="239"/>
    <d v="2026-02-27T15:43:13"/>
  </r>
  <r>
    <n v="2809"/>
    <x v="1"/>
    <n v="51042921"/>
    <n v="81.265000000000001"/>
    <s v="PLATINO"/>
    <n v="391"/>
    <d v="2026-02-27T15:43:13"/>
  </r>
  <r>
    <n v="2810"/>
    <x v="1"/>
    <n v="51056272"/>
    <n v="85.043000000000006"/>
    <s v="PLATINO"/>
    <n v="205"/>
    <d v="2026-02-27T15:43:13"/>
  </r>
  <r>
    <n v="2811"/>
    <x v="1"/>
    <n v="51007883"/>
    <n v="84.262456913557884"/>
    <s v="PLATINO"/>
    <n v="255"/>
    <d v="2026-02-27T15:43:13"/>
  </r>
  <r>
    <n v="2812"/>
    <x v="1"/>
    <n v="51030010"/>
    <n v="82.7"/>
    <s v="PLATINO"/>
    <n v="326"/>
    <d v="2026-02-27T15:43:13"/>
  </r>
  <r>
    <n v="2813"/>
    <x v="1"/>
    <n v="51056124"/>
    <n v="82.417223434074529"/>
    <s v="PLATINO"/>
    <n v="341"/>
    <d v="2026-02-27T15:43:13"/>
  </r>
  <r>
    <n v="2814"/>
    <x v="1"/>
    <n v="51043758"/>
    <n v="87.08"/>
    <s v="PLATINO"/>
    <n v="93"/>
    <d v="2026-02-27T15:43:13"/>
  </r>
  <r>
    <n v="2815"/>
    <x v="1"/>
    <n v="51055039"/>
    <n v="19.76143224111383"/>
    <s v="BRONCE"/>
    <n v="931"/>
    <d v="2026-02-27T15:43:13"/>
  </r>
  <r>
    <n v="2816"/>
    <x v="1"/>
    <n v="51056582"/>
    <n v="84.6"/>
    <s v="PLATINO"/>
    <n v="230"/>
    <d v="2026-02-27T15:43:13"/>
  </r>
  <r>
    <n v="2817"/>
    <x v="1"/>
    <n v="51021321"/>
    <n v="63.96"/>
    <s v="ORO"/>
    <n v="697"/>
    <d v="2026-02-27T15:43:13"/>
  </r>
  <r>
    <n v="2818"/>
    <x v="1"/>
    <n v="51055322"/>
    <n v="62.9"/>
    <s v="ORO"/>
    <n v="718"/>
    <d v="2026-02-27T15:43:13"/>
  </r>
  <r>
    <n v="2819"/>
    <x v="1"/>
    <n v="51010027"/>
    <n v="20"/>
    <s v="BRONCE"/>
    <n v="889"/>
    <d v="2026-02-27T15:43:13"/>
  </r>
  <r>
    <n v="2820"/>
    <x v="1"/>
    <n v="51011295"/>
    <n v="81.778360339071227"/>
    <s v="PLATINO"/>
    <n v="374"/>
    <d v="2026-02-27T15:43:13"/>
  </r>
  <r>
    <n v="2821"/>
    <x v="1"/>
    <n v="51017145"/>
    <n v="87.033175321504388"/>
    <s v="PLATINO"/>
    <n v="99"/>
    <d v="2026-02-27T15:43:13"/>
  </r>
  <r>
    <n v="2822"/>
    <x v="1"/>
    <n v="51055888"/>
    <n v="62.250008038800019"/>
    <s v="ORO"/>
    <n v="735"/>
    <d v="2026-02-27T15:43:13"/>
  </r>
  <r>
    <n v="2823"/>
    <x v="1"/>
    <n v="51031881"/>
    <n v="85.989855044294501"/>
    <s v="PLATINO"/>
    <n v="159"/>
    <d v="2026-02-27T15:43:13"/>
  </r>
  <r>
    <n v="2824"/>
    <x v="1"/>
    <n v="51010060"/>
    <n v="83.109492714403657"/>
    <s v="PLATINO"/>
    <n v="302"/>
    <d v="2026-02-27T15:43:13"/>
  </r>
  <r>
    <n v="2825"/>
    <x v="1"/>
    <n v="51056400"/>
    <n v="83.693215197475197"/>
    <s v="PLATINO"/>
    <n v="281"/>
    <d v="2026-02-27T15:43:13"/>
  </r>
  <r>
    <n v="2826"/>
    <x v="1"/>
    <n v="51056531"/>
    <n v="37.986330830809948"/>
    <s v="PLATA"/>
    <n v="849"/>
    <d v="2026-02-27T15:43:13"/>
  </r>
  <r>
    <n v="2827"/>
    <x v="1"/>
    <n v="51011643"/>
    <n v="62.6"/>
    <s v="ORO"/>
    <n v="723"/>
    <d v="2026-02-27T15:43:13"/>
  </r>
  <r>
    <n v="2828"/>
    <x v="1"/>
    <n v="51016742"/>
    <n v="83.42"/>
    <s v="PLATINO"/>
    <n v="292"/>
    <d v="2026-02-27T15:43:13"/>
  </r>
  <r>
    <n v="2829"/>
    <x v="1"/>
    <n v="51010990"/>
    <n v="83.88"/>
    <s v="PLATINO"/>
    <n v="274"/>
    <d v="2026-02-27T15:43:13"/>
  </r>
  <r>
    <n v="2830"/>
    <x v="1"/>
    <n v="51039998"/>
    <n v="40.886487820374008"/>
    <s v="PLATA"/>
    <n v="842"/>
    <d v="2026-02-27T15:43:13"/>
  </r>
  <r>
    <n v="2831"/>
    <x v="1"/>
    <n v="51056736"/>
    <n v="83.512377829526912"/>
    <s v="PLATINO"/>
    <n v="289"/>
    <d v="2026-02-27T15:43:13"/>
  </r>
  <r>
    <n v="2832"/>
    <x v="1"/>
    <n v="51044436"/>
    <n v="82.74759010651897"/>
    <s v="PLATINO"/>
    <n v="323"/>
    <d v="2026-02-27T15:43:13"/>
  </r>
  <r>
    <n v="2833"/>
    <x v="1"/>
    <n v="51017552"/>
    <n v="86.860666413869836"/>
    <s v="PLATINO"/>
    <n v="110"/>
    <d v="2026-02-27T15:43:13"/>
  </r>
  <r>
    <n v="2834"/>
    <x v="1"/>
    <n v="51055276"/>
    <n v="81.540201107170688"/>
    <s v="PLATINO"/>
    <n v="381"/>
    <d v="2026-02-27T15:43:13"/>
  </r>
  <r>
    <n v="2835"/>
    <x v="1"/>
    <n v="51020189"/>
    <n v="55.615659293220638"/>
    <s v="ORO"/>
    <n v="806"/>
    <d v="2026-02-27T15:43:13"/>
  </r>
  <r>
    <n v="2836"/>
    <x v="1"/>
    <n v="51041259"/>
    <n v="49.003541040000918"/>
    <s v="PLATA"/>
    <n v="820"/>
    <d v="2026-02-27T15:43:13"/>
  </r>
  <r>
    <n v="2837"/>
    <x v="1"/>
    <n v="51022751"/>
    <n v="66.080921990502958"/>
    <s v="ORO"/>
    <n v="673"/>
    <d v="2026-02-27T15:43:13"/>
  </r>
  <r>
    <n v="2838"/>
    <x v="1"/>
    <n v="51016645"/>
    <n v="70.688061182686496"/>
    <s v="ORO"/>
    <n v="632"/>
    <d v="2026-02-27T15:43:13"/>
  </r>
  <r>
    <n v="2839"/>
    <x v="1"/>
    <n v="51011155"/>
    <n v="83.084802634955906"/>
    <s v="PLATINO"/>
    <n v="304"/>
    <d v="2026-02-27T15:43:13"/>
  </r>
  <r>
    <n v="2840"/>
    <x v="1"/>
    <n v="51014022"/>
    <n v="81.95328317619925"/>
    <s v="PLATINO"/>
    <n v="367"/>
    <d v="2026-02-27T15:43:13"/>
  </r>
  <r>
    <n v="2841"/>
    <x v="1"/>
    <n v="51018991"/>
    <n v="82.402800199578877"/>
    <s v="PLATINO"/>
    <n v="343"/>
    <d v="2026-02-27T15:43:13"/>
  </r>
  <r>
    <n v="2842"/>
    <x v="1"/>
    <n v="51030478"/>
    <n v="81.158374125480876"/>
    <s v="PLATINO"/>
    <n v="398"/>
    <d v="2026-02-27T15:43:13"/>
  </r>
  <r>
    <n v="2843"/>
    <x v="1"/>
    <n v="51028040"/>
    <n v="83.583498407783651"/>
    <s v="PLATINO"/>
    <n v="283"/>
    <d v="2026-02-27T15:43:13"/>
  </r>
  <r>
    <n v="2844"/>
    <x v="1"/>
    <n v="51055616"/>
    <n v="85.945000000000007"/>
    <s v="PLATINO"/>
    <n v="160"/>
    <d v="2026-02-27T15:43:13"/>
  </r>
  <r>
    <n v="2845"/>
    <x v="1"/>
    <n v="51036239"/>
    <n v="18.684065265740099"/>
    <s v="BRONCE"/>
    <n v="949"/>
    <d v="2026-02-27T15:43:13"/>
  </r>
  <r>
    <n v="2846"/>
    <x v="1"/>
    <n v="51025873"/>
    <n v="84.56979165057173"/>
    <s v="PLATINO"/>
    <n v="235"/>
    <d v="2026-02-27T15:43:13"/>
  </r>
  <r>
    <n v="2847"/>
    <x v="1"/>
    <n v="51034155"/>
    <n v="63.839547771396482"/>
    <s v="ORO"/>
    <n v="700"/>
    <d v="2026-02-27T15:43:13"/>
  </r>
  <r>
    <n v="2848"/>
    <x v="1"/>
    <n v="51021207"/>
    <n v="59.692386364312533"/>
    <s v="ORO"/>
    <n v="788"/>
    <d v="2026-02-27T15:43:13"/>
  </r>
  <r>
    <n v="2849"/>
    <x v="1"/>
    <n v="51054831"/>
    <n v="13.54119943019797"/>
    <s v="BRONCE"/>
    <n v="992"/>
    <d v="2026-02-27T15:43:13"/>
  </r>
  <r>
    <n v="2850"/>
    <x v="1"/>
    <n v="51010051"/>
    <n v="82.056040598586137"/>
    <s v="PLATINO"/>
    <n v="363"/>
    <d v="2026-02-27T15:43:13"/>
  </r>
  <r>
    <n v="2851"/>
    <x v="1"/>
    <n v="51015754"/>
    <n v="82.911350814384946"/>
    <s v="PLATINO"/>
    <n v="315"/>
    <d v="2026-02-27T15:43:13"/>
  </r>
  <r>
    <n v="2852"/>
    <x v="1"/>
    <n v="51023528"/>
    <n v="83.160243320289709"/>
    <s v="PLATINO"/>
    <n v="300"/>
    <d v="2026-02-27T15:43:13"/>
  </r>
  <r>
    <n v="2853"/>
    <x v="1"/>
    <n v="51013735"/>
    <n v="84.3025427722187"/>
    <s v="PLATINO"/>
    <n v="251"/>
    <d v="2026-02-27T15:43:13"/>
  </r>
  <r>
    <n v="2854"/>
    <x v="1"/>
    <n v="51036611"/>
    <n v="84.409112985908223"/>
    <s v="PLATINO"/>
    <n v="243"/>
    <d v="2026-02-27T15:43:13"/>
  </r>
  <r>
    <n v="2855"/>
    <x v="1"/>
    <n v="51010035"/>
    <n v="84.452279933701618"/>
    <s v="PLATINO"/>
    <n v="241"/>
    <d v="2026-02-27T15:43:13"/>
  </r>
  <r>
    <n v="2856"/>
    <x v="1"/>
    <n v="51035682"/>
    <n v="35.784014215547217"/>
    <s v="PLATA"/>
    <n v="857"/>
    <d v="2026-02-27T15:43:13"/>
  </r>
  <r>
    <n v="2857"/>
    <x v="1"/>
    <n v="51016416"/>
    <n v="60.826883078636413"/>
    <s v="ORO"/>
    <n v="765"/>
    <d v="2026-02-27T15:43:13"/>
  </r>
  <r>
    <n v="2858"/>
    <x v="1"/>
    <n v="51038762"/>
    <n v="62.340030399791218"/>
    <s v="ORO"/>
    <n v="732"/>
    <d v="2026-02-27T15:43:13"/>
  </r>
  <r>
    <n v="2859"/>
    <x v="1"/>
    <n v="51023307"/>
    <n v="81.459659810007224"/>
    <s v="PLATINO"/>
    <n v="383"/>
    <d v="2026-02-27T15:43:13"/>
  </r>
  <r>
    <n v="2860"/>
    <x v="1"/>
    <n v="51012062"/>
    <n v="71.041782446744364"/>
    <s v="ORO"/>
    <n v="626"/>
    <d v="2026-02-27T15:43:13"/>
  </r>
  <r>
    <n v="2861"/>
    <x v="1"/>
    <n v="51021631"/>
    <n v="82.38"/>
    <s v="PLATINO"/>
    <n v="347"/>
    <d v="2026-02-27T15:43:13"/>
  </r>
  <r>
    <n v="2862"/>
    <x v="1"/>
    <n v="51008618"/>
    <n v="84.452909709171166"/>
    <s v="PLATINO"/>
    <n v="240"/>
    <d v="2026-02-27T15:43:13"/>
  </r>
  <r>
    <n v="2863"/>
    <x v="1"/>
    <n v="51010574"/>
    <n v="81.698346585808167"/>
    <s v="PLATINO"/>
    <n v="378"/>
    <d v="2026-02-27T15:43:13"/>
  </r>
  <r>
    <n v="2864"/>
    <x v="1"/>
    <n v="51056493"/>
    <n v="80.368847879137036"/>
    <s v="PLATINO"/>
    <n v="432"/>
    <d v="2026-02-27T15:43:13"/>
  </r>
  <r>
    <n v="2865"/>
    <x v="1"/>
    <n v="51024206"/>
    <n v="82.25561976482237"/>
    <s v="PLATINO"/>
    <n v="355"/>
    <d v="2026-02-27T15:43:13"/>
  </r>
  <r>
    <n v="2866"/>
    <x v="1"/>
    <n v="51056442"/>
    <n v="81.700429047209738"/>
    <s v="PLATINO"/>
    <n v="377"/>
    <d v="2026-02-27T15:43:13"/>
  </r>
  <r>
    <n v="2867"/>
    <x v="1"/>
    <n v="51033621"/>
    <n v="81.505400919151157"/>
    <s v="PLATINO"/>
    <n v="382"/>
    <d v="2026-02-27T15:43:13"/>
  </r>
  <r>
    <n v="2868"/>
    <x v="1"/>
    <n v="51016394"/>
    <n v="83.740000000000009"/>
    <s v="PLATINO"/>
    <n v="280"/>
    <d v="2026-02-27T15:43:13"/>
  </r>
  <r>
    <n v="2869"/>
    <x v="1"/>
    <n v="51001389"/>
    <n v="85.412135259548563"/>
    <s v="PLATINO"/>
    <n v="189"/>
    <d v="2026-02-27T15:43:13"/>
  </r>
  <r>
    <n v="2870"/>
    <x v="1"/>
    <n v="51042891"/>
    <n v="86.080186563885462"/>
    <s v="PLATINO"/>
    <n v="155"/>
    <d v="2026-02-27T15:43:13"/>
  </r>
  <r>
    <n v="2871"/>
    <x v="1"/>
    <n v="51055411"/>
    <n v="81.174815772980281"/>
    <s v="PLATINO"/>
    <n v="396"/>
    <d v="2026-02-27T15:43:13"/>
  </r>
  <r>
    <n v="2872"/>
    <x v="1"/>
    <n v="51038657"/>
    <n v="18.947611640381659"/>
    <s v="BRONCE"/>
    <n v="942"/>
    <d v="2026-02-27T15:43:13"/>
  </r>
  <r>
    <n v="2873"/>
    <x v="1"/>
    <n v="51055632"/>
    <n v="30.5435324631149"/>
    <s v="PLATA"/>
    <n v="872"/>
    <d v="2026-02-27T15:43:13"/>
  </r>
  <r>
    <n v="2874"/>
    <x v="1"/>
    <n v="51026799"/>
    <n v="64.62"/>
    <s v="ORO"/>
    <n v="691"/>
    <d v="2026-02-27T15:43:13"/>
  </r>
  <r>
    <n v="2875"/>
    <x v="1"/>
    <n v="51018869"/>
    <n v="63.292364602142378"/>
    <s v="ORO"/>
    <n v="711"/>
    <d v="2026-02-27T15:43:13"/>
  </r>
  <r>
    <n v="2876"/>
    <x v="1"/>
    <n v="51055144"/>
    <n v="87.366753659139079"/>
    <s v="PLATINO"/>
    <n v="77"/>
    <d v="2026-02-27T15:43:13"/>
  </r>
  <r>
    <n v="2877"/>
    <x v="1"/>
    <n v="51056884"/>
    <n v="82.954056415361947"/>
    <s v="PLATINO"/>
    <n v="313"/>
    <d v="2026-02-27T15:43:13"/>
  </r>
  <r>
    <n v="2878"/>
    <x v="1"/>
    <n v="51030443"/>
    <n v="20"/>
    <s v="BRONCE"/>
    <n v="889"/>
    <d v="2026-02-27T15:43:13"/>
  </r>
  <r>
    <n v="2879"/>
    <x v="1"/>
    <n v="51016475"/>
    <n v="83.22"/>
    <s v="PLATINO"/>
    <n v="297"/>
    <d v="2026-02-27T15:43:13"/>
  </r>
  <r>
    <n v="2880"/>
    <x v="1"/>
    <n v="51018893"/>
    <n v="82.117052154067053"/>
    <s v="PLATINO"/>
    <n v="361"/>
    <d v="2026-02-27T15:43:13"/>
  </r>
  <r>
    <n v="2881"/>
    <x v="1"/>
    <n v="51039157"/>
    <n v="61.650373310028677"/>
    <s v="ORO"/>
    <n v="748"/>
    <d v="2026-02-27T15:43:13"/>
  </r>
  <r>
    <n v="2882"/>
    <x v="1"/>
    <n v="51054822"/>
    <n v="83.057558694991286"/>
    <s v="PLATINO"/>
    <n v="306"/>
    <d v="2026-02-27T15:43:13"/>
  </r>
  <r>
    <n v="2883"/>
    <x v="1"/>
    <n v="51003390"/>
    <n v="84.059429985510434"/>
    <s v="PLATINO"/>
    <n v="265"/>
    <d v="2026-02-27T15:43:13"/>
  </r>
  <r>
    <n v="2884"/>
    <x v="1"/>
    <n v="51056477"/>
    <n v="85.481959968523398"/>
    <s v="PLATINO"/>
    <n v="184"/>
    <d v="2026-02-27T15:43:13"/>
  </r>
  <r>
    <n v="2885"/>
    <x v="1"/>
    <n v="51026527"/>
    <n v="80.42964298237024"/>
    <s v="PLATINO"/>
    <n v="428"/>
    <d v="2026-02-27T15:43:13"/>
  </r>
  <r>
    <n v="2886"/>
    <x v="1"/>
    <n v="51030982"/>
    <n v="85.067699116442867"/>
    <s v="PLATINO"/>
    <n v="204"/>
    <d v="2026-02-27T15:43:13"/>
  </r>
  <r>
    <n v="2887"/>
    <x v="1"/>
    <n v="51023196"/>
    <n v="81.099999999999994"/>
    <s v="PLATINO"/>
    <n v="404"/>
    <d v="2026-02-27T15:43:13"/>
  </r>
  <r>
    <n v="2888"/>
    <x v="1"/>
    <n v="51014596"/>
    <n v="84.804999999999993"/>
    <s v="PLATINO"/>
    <n v="218"/>
    <d v="2026-02-27T15:43:13"/>
  </r>
  <r>
    <n v="2889"/>
    <x v="1"/>
    <n v="51030125"/>
    <n v="17.77402471464918"/>
    <s v="BRONCE"/>
    <n v="966"/>
    <d v="2026-02-27T15:43:13"/>
  </r>
  <r>
    <n v="2890"/>
    <x v="1"/>
    <n v="51021550"/>
    <n v="83.092636001033952"/>
    <s v="PLATINO"/>
    <n v="303"/>
    <d v="2026-02-27T15:43:13"/>
  </r>
  <r>
    <n v="2891"/>
    <x v="1"/>
    <n v="51031407"/>
    <n v="82.410918016041578"/>
    <s v="PLATINO"/>
    <n v="342"/>
    <d v="2026-02-27T15:43:13"/>
  </r>
  <r>
    <n v="2892"/>
    <x v="1"/>
    <n v="51038754"/>
    <n v="70.673242975239177"/>
    <s v="ORO"/>
    <n v="633"/>
    <d v="2026-02-27T15:43:13"/>
  </r>
  <r>
    <n v="2893"/>
    <x v="1"/>
    <n v="51004761"/>
    <n v="19.369644315709621"/>
    <s v="BRONCE"/>
    <n v="936"/>
    <d v="2026-02-27T15:43:13"/>
  </r>
  <r>
    <n v="2894"/>
    <x v="1"/>
    <n v="51023358"/>
    <n v="39.040671075737187"/>
    <s v="PLATA"/>
    <n v="845"/>
    <d v="2026-02-27T15:43:13"/>
  </r>
  <r>
    <n v="2895"/>
    <x v="1"/>
    <n v="51022670"/>
    <n v="81.286450102007947"/>
    <s v="PLATINO"/>
    <n v="389"/>
    <d v="2026-02-27T15:43:13"/>
  </r>
  <r>
    <n v="2896"/>
    <x v="1"/>
    <n v="51029976"/>
    <n v="75.671492411953764"/>
    <s v="PLATINO"/>
    <n v="579"/>
    <d v="2026-02-27T15:43:13"/>
  </r>
  <r>
    <n v="2897"/>
    <x v="1"/>
    <n v="51032195"/>
    <n v="25.66"/>
    <s v="BRONCE"/>
    <n v="885"/>
    <d v="2026-02-27T15:43:13"/>
  </r>
  <r>
    <n v="2898"/>
    <x v="1"/>
    <n v="51042875"/>
    <n v="63.771717846065499"/>
    <s v="ORO"/>
    <n v="701"/>
    <d v="2026-02-27T15:43:13"/>
  </r>
  <r>
    <n v="2899"/>
    <x v="1"/>
    <n v="51010728"/>
    <n v="85.154231505881853"/>
    <s v="PLATINO"/>
    <n v="198"/>
    <d v="2026-02-27T15:43:13"/>
  </r>
  <r>
    <n v="2900"/>
    <x v="1"/>
    <n v="51056655"/>
    <n v="82.33520979775885"/>
    <s v="PLATINO"/>
    <n v="352"/>
    <d v="2026-02-27T15:43:13"/>
  </r>
  <r>
    <n v="2901"/>
    <x v="1"/>
    <n v="51056817"/>
    <n v="79.863870246566222"/>
    <s v="PLATINO"/>
    <n v="448"/>
    <d v="2026-02-27T15:43:13"/>
  </r>
  <r>
    <n v="2902"/>
    <x v="1"/>
    <n v="51018826"/>
    <n v="78.967322343049815"/>
    <s v="PLATINO"/>
    <n v="486"/>
    <d v="2026-02-27T15:43:13"/>
  </r>
  <r>
    <n v="2903"/>
    <x v="1"/>
    <n v="51019814"/>
    <n v="19.703338822513899"/>
    <s v="BRONCE"/>
    <n v="932"/>
    <d v="2026-02-27T15:43:13"/>
  </r>
  <r>
    <n v="2904"/>
    <x v="1"/>
    <n v="51033281"/>
    <n v="62.244999999999997"/>
    <s v="ORO"/>
    <n v="736"/>
    <d v="2026-02-27T15:43:13"/>
  </r>
  <r>
    <n v="2905"/>
    <x v="1"/>
    <n v="51056523"/>
    <n v="24.31509758113426"/>
    <s v="BRONCE"/>
    <n v="887"/>
    <d v="2026-02-27T15:43:13"/>
  </r>
  <r>
    <n v="2906"/>
    <x v="1"/>
    <n v="51025792"/>
    <n v="61.597567527980587"/>
    <s v="ORO"/>
    <n v="752"/>
    <d v="2026-02-27T15:43:13"/>
  </r>
  <r>
    <n v="2907"/>
    <x v="1"/>
    <n v="51056728"/>
    <n v="61.822833051971102"/>
    <s v="ORO"/>
    <n v="742"/>
    <d v="2026-02-27T15:43:13"/>
  </r>
  <r>
    <n v="2908"/>
    <x v="1"/>
    <n v="51011708"/>
    <n v="66.437361833478363"/>
    <s v="ORO"/>
    <n v="670"/>
    <d v="2026-02-27T15:43:13"/>
  </r>
  <r>
    <n v="2909"/>
    <x v="1"/>
    <n v="51056558"/>
    <n v="68.805052191643284"/>
    <s v="ORO"/>
    <n v="648"/>
    <d v="2026-02-27T15:43:13"/>
  </r>
  <r>
    <n v="2910"/>
    <x v="1"/>
    <n v="51041801"/>
    <n v="82.020426751289151"/>
    <s v="PLATINO"/>
    <n v="366"/>
    <d v="2026-02-27T15:43:13"/>
  </r>
  <r>
    <n v="2911"/>
    <x v="1"/>
    <n v="51055390"/>
    <n v="84.451883314859273"/>
    <s v="PLATINO"/>
    <n v="242"/>
    <d v="2026-02-27T15:43:13"/>
  </r>
  <r>
    <n v="2912"/>
    <x v="1"/>
    <n v="51017081"/>
    <n v="75.135914923186931"/>
    <s v="PLATINO"/>
    <n v="588"/>
    <d v="2026-02-27T15:43:13"/>
  </r>
  <r>
    <n v="2913"/>
    <x v="1"/>
    <n v="51056345"/>
    <n v="80.91334759159011"/>
    <s v="PLATINO"/>
    <n v="414"/>
    <d v="2026-02-27T15:43:13"/>
  </r>
  <r>
    <n v="2914"/>
    <x v="1"/>
    <n v="51055942"/>
    <n v="81.074917773859823"/>
    <s v="PLATINO"/>
    <n v="406"/>
    <d v="2026-02-27T15:43:13"/>
  </r>
  <r>
    <n v="2915"/>
    <x v="1"/>
    <n v="51036735"/>
    <n v="81.260542135360353"/>
    <s v="PLATINO"/>
    <n v="392"/>
    <d v="2026-02-27T15:43:13"/>
  </r>
  <r>
    <n v="2916"/>
    <x v="1"/>
    <n v="51001427"/>
    <n v="79.986911284400378"/>
    <s v="PLATINO"/>
    <n v="444"/>
    <d v="2026-02-27T15:43:13"/>
  </r>
  <r>
    <n v="2917"/>
    <x v="1"/>
    <n v="51010272"/>
    <n v="83.967733688364419"/>
    <s v="PLATINO"/>
    <n v="270"/>
    <d v="2026-02-27T15:43:13"/>
  </r>
  <r>
    <n v="2918"/>
    <x v="1"/>
    <n v="51056451"/>
    <n v="81.123000000000005"/>
    <s v="PLATINO"/>
    <n v="400"/>
    <d v="2026-02-27T15:43:13"/>
  </r>
  <r>
    <n v="2919"/>
    <x v="1"/>
    <n v="51018907"/>
    <n v="81.106308882190163"/>
    <s v="PLATINO"/>
    <n v="402"/>
    <d v="2026-02-27T15:43:13"/>
  </r>
  <r>
    <n v="2920"/>
    <x v="1"/>
    <n v="51004108"/>
    <n v="85.93270830272327"/>
    <s v="PLATINO"/>
    <n v="162"/>
    <d v="2026-02-27T15:43:13"/>
  </r>
  <r>
    <n v="2921"/>
    <x v="1"/>
    <n v="51030869"/>
    <n v="62.713311659431689"/>
    <s v="ORO"/>
    <n v="721"/>
    <d v="2026-02-27T15:43:13"/>
  </r>
  <r>
    <n v="2922"/>
    <x v="1"/>
    <n v="51031113"/>
    <n v="82.392495297111878"/>
    <s v="PLATINO"/>
    <n v="346"/>
    <d v="2026-02-27T15:43:13"/>
  </r>
  <r>
    <n v="2923"/>
    <x v="1"/>
    <n v="51033329"/>
    <n v="80.468000000000004"/>
    <s v="PLATINO"/>
    <n v="424"/>
    <d v="2026-02-27T15:43:13"/>
  </r>
  <r>
    <n v="2924"/>
    <x v="1"/>
    <n v="51042905"/>
    <n v="81.759999999999991"/>
    <s v="PLATINO"/>
    <n v="376"/>
    <d v="2026-02-27T15:43:13"/>
  </r>
  <r>
    <n v="2925"/>
    <x v="1"/>
    <n v="51010833"/>
    <n v="64.836712778137908"/>
    <s v="ORO"/>
    <n v="689"/>
    <d v="2026-02-27T15:43:13"/>
  </r>
  <r>
    <n v="2926"/>
    <x v="1"/>
    <n v="51042956"/>
    <n v="84.668042081529322"/>
    <s v="PLATINO"/>
    <n v="226"/>
    <d v="2026-02-27T15:43:13"/>
  </r>
  <r>
    <n v="2927"/>
    <x v="1"/>
    <n v="51039645"/>
    <n v="79.990424786572163"/>
    <s v="PLATINO"/>
    <n v="443"/>
    <d v="2026-02-27T15:43:13"/>
  </r>
  <r>
    <n v="2928"/>
    <x v="1"/>
    <n v="51021622"/>
    <n v="84.347303582189738"/>
    <s v="PLATINO"/>
    <n v="247"/>
    <d v="2026-02-27T15:43:13"/>
  </r>
  <r>
    <n v="2929"/>
    <x v="1"/>
    <n v="51031491"/>
    <n v="82.105000000000004"/>
    <s v="PLATINO"/>
    <n v="362"/>
    <d v="2026-02-27T15:43:13"/>
  </r>
  <r>
    <n v="2930"/>
    <x v="1"/>
    <n v="51020162"/>
    <n v="35.522283923664013"/>
    <s v="PLATA"/>
    <n v="859"/>
    <d v="2026-02-27T15:43:13"/>
  </r>
  <r>
    <n v="2931"/>
    <x v="1"/>
    <n v="51017056"/>
    <n v="19.998000000000001"/>
    <s v="BRONCE"/>
    <n v="908"/>
    <d v="2026-02-27T15:43:13"/>
  </r>
  <r>
    <n v="2932"/>
    <x v="1"/>
    <n v="51056019"/>
    <n v="61.610356656410538"/>
    <s v="ORO"/>
    <n v="750"/>
    <d v="2026-02-27T15:43:13"/>
  </r>
  <r>
    <n v="2933"/>
    <x v="1"/>
    <n v="51017579"/>
    <n v="61.218512364281928"/>
    <s v="ORO"/>
    <n v="758"/>
    <d v="2026-02-27T15:43:13"/>
  </r>
  <r>
    <n v="2934"/>
    <x v="1"/>
    <n v="51015487"/>
    <n v="61.506089757824903"/>
    <s v="ORO"/>
    <n v="756"/>
    <d v="2026-02-27T15:43:13"/>
  </r>
  <r>
    <n v="2935"/>
    <x v="1"/>
    <n v="51040333"/>
    <n v="70.430294163247709"/>
    <s v="ORO"/>
    <n v="638"/>
    <d v="2026-02-27T15:43:13"/>
  </r>
  <r>
    <n v="2936"/>
    <x v="1"/>
    <n v="51017153"/>
    <n v="65.250638637024693"/>
    <s v="ORO"/>
    <n v="683"/>
    <d v="2026-02-27T15:43:13"/>
  </r>
  <r>
    <n v="2937"/>
    <x v="1"/>
    <n v="51021886"/>
    <n v="83.749760524346044"/>
    <s v="PLATINO"/>
    <n v="279"/>
    <d v="2026-02-27T15:43:13"/>
  </r>
  <r>
    <n v="2938"/>
    <x v="1"/>
    <n v="51023188"/>
    <n v="81.021089645350301"/>
    <s v="PLATINO"/>
    <n v="409"/>
    <d v="2026-02-27T15:43:13"/>
  </r>
  <r>
    <n v="2939"/>
    <x v="1"/>
    <n v="51055667"/>
    <n v="18.524718145549141"/>
    <s v="BRONCE"/>
    <n v="951"/>
    <d v="2026-02-27T15:43:13"/>
  </r>
  <r>
    <n v="2940"/>
    <x v="1"/>
    <n v="51020081"/>
    <n v="84.34306557333386"/>
    <s v="PLATINO"/>
    <n v="248"/>
    <d v="2026-02-27T15:43:13"/>
  </r>
  <r>
    <n v="2941"/>
    <x v="1"/>
    <n v="51018729"/>
    <n v="73.028323729245784"/>
    <s v="ORO"/>
    <n v="614"/>
    <d v="2026-02-27T15:43:13"/>
  </r>
  <r>
    <n v="2942"/>
    <x v="1"/>
    <n v="51030222"/>
    <n v="62.509692508219267"/>
    <s v="ORO"/>
    <n v="729"/>
    <d v="2026-02-27T15:43:13"/>
  </r>
  <r>
    <n v="2943"/>
    <x v="1"/>
    <n v="51002717"/>
    <n v="14.75611407226117"/>
    <s v="BRONCE"/>
    <n v="988"/>
    <d v="2026-02-27T15:43:13"/>
  </r>
  <r>
    <n v="2944"/>
    <x v="1"/>
    <n v="51055454"/>
    <n v="36.94"/>
    <s v="PLATA"/>
    <n v="852"/>
    <d v="2026-02-27T15:43:13"/>
  </r>
  <r>
    <n v="2945"/>
    <x v="1"/>
    <n v="51055756"/>
    <n v="83.018000000000015"/>
    <s v="PLATINO"/>
    <n v="310"/>
    <d v="2026-02-27T15:43:13"/>
  </r>
  <r>
    <n v="2946"/>
    <x v="1"/>
    <n v="51011490"/>
    <n v="63.602397985861522"/>
    <s v="ORO"/>
    <n v="703"/>
    <d v="2026-02-27T15:43:13"/>
  </r>
  <r>
    <n v="2947"/>
    <x v="1"/>
    <n v="51010736"/>
    <n v="78.626110765181323"/>
    <s v="PLATINO"/>
    <n v="500"/>
    <d v="2026-02-27T15:43:13"/>
  </r>
  <r>
    <n v="2948"/>
    <x v="1"/>
    <n v="51016149"/>
    <n v="62.282314080278937"/>
    <s v="ORO"/>
    <n v="734"/>
    <d v="2026-02-27T15:43:13"/>
  </r>
  <r>
    <n v="2949"/>
    <x v="1"/>
    <n v="51013930"/>
    <n v="80.539823408735671"/>
    <s v="PLATINO"/>
    <n v="422"/>
    <d v="2026-02-27T15:43:13"/>
  </r>
  <r>
    <n v="2950"/>
    <x v="1"/>
    <n v="51055641"/>
    <n v="59.428218262533143"/>
    <s v="ORO"/>
    <n v="791"/>
    <d v="2026-02-27T15:43:13"/>
  </r>
  <r>
    <n v="2951"/>
    <x v="1"/>
    <n v="51021461"/>
    <n v="84.98"/>
    <s v="PLATINO"/>
    <n v="212"/>
    <d v="2026-02-27T15:43:13"/>
  </r>
  <r>
    <n v="2952"/>
    <x v="1"/>
    <n v="51039637"/>
    <n v="78.088642558819487"/>
    <s v="PLATINO"/>
    <n v="513"/>
    <d v="2026-02-27T15:43:13"/>
  </r>
  <r>
    <n v="2953"/>
    <x v="1"/>
    <n v="51020308"/>
    <n v="67.915300273799488"/>
    <s v="ORO"/>
    <n v="657"/>
    <d v="2026-02-27T15:43:13"/>
  </r>
  <r>
    <n v="2954"/>
    <x v="1"/>
    <n v="51040597"/>
    <n v="83.190790946703459"/>
    <s v="PLATINO"/>
    <n v="299"/>
    <d v="2026-02-27T15:43:13"/>
  </r>
  <r>
    <n v="2955"/>
    <x v="1"/>
    <n v="51014197"/>
    <n v="85.36"/>
    <s v="PLATINO"/>
    <n v="192"/>
    <d v="2026-02-27T15:43:13"/>
  </r>
  <r>
    <n v="2956"/>
    <x v="1"/>
    <n v="51056621"/>
    <n v="71.166607157409146"/>
    <s v="ORO"/>
    <n v="625"/>
    <d v="2026-02-27T15:43:13"/>
  </r>
  <r>
    <n v="2957"/>
    <x v="1"/>
    <n v="51018524"/>
    <n v="80.459781694754213"/>
    <s v="PLATINO"/>
    <n v="425"/>
    <d v="2026-02-27T15:43:13"/>
  </r>
  <r>
    <n v="2958"/>
    <x v="1"/>
    <n v="51056701"/>
    <n v="63.44"/>
    <s v="ORO"/>
    <n v="707"/>
    <d v="2026-02-27T15:43:13"/>
  </r>
  <r>
    <n v="2959"/>
    <x v="1"/>
    <n v="51057007"/>
    <n v="68.564635222216125"/>
    <s v="ORO"/>
    <n v="649"/>
    <d v="2026-02-27T15:43:13"/>
  </r>
  <r>
    <n v="2960"/>
    <x v="1"/>
    <n v="51011091"/>
    <n v="81.623300064555352"/>
    <s v="PLATINO"/>
    <n v="380"/>
    <d v="2026-02-27T15:43:13"/>
  </r>
  <r>
    <n v="2961"/>
    <x v="1"/>
    <n v="51011953"/>
    <n v="39.058"/>
    <s v="PLATA"/>
    <n v="844"/>
    <d v="2026-02-27T15:43:13"/>
  </r>
  <r>
    <n v="2962"/>
    <x v="1"/>
    <n v="51022955"/>
    <n v="67.355211095439643"/>
    <s v="ORO"/>
    <n v="662"/>
    <d v="2026-02-27T15:43:13"/>
  </r>
  <r>
    <n v="2963"/>
    <x v="1"/>
    <n v="51021673"/>
    <n v="19.989999999999998"/>
    <s v="BRONCE"/>
    <n v="917"/>
    <d v="2026-02-27T15:43:13"/>
  </r>
  <r>
    <n v="2964"/>
    <x v="1"/>
    <n v="51013476"/>
    <n v="79.238000000000014"/>
    <s v="PLATINO"/>
    <n v="476"/>
    <d v="2026-02-27T15:43:13"/>
  </r>
  <r>
    <n v="2965"/>
    <x v="1"/>
    <n v="51022998"/>
    <n v="80.328000000000003"/>
    <s v="PLATINO"/>
    <n v="433"/>
    <d v="2026-02-27T15:43:13"/>
  </r>
  <r>
    <n v="2966"/>
    <x v="1"/>
    <n v="51056485"/>
    <n v="79.457591258705264"/>
    <s v="PLATINO"/>
    <n v="467"/>
    <d v="2026-02-27T15:43:13"/>
  </r>
  <r>
    <n v="2967"/>
    <x v="1"/>
    <n v="51055705"/>
    <n v="79.798115675145254"/>
    <s v="PLATINO"/>
    <n v="452"/>
    <d v="2026-02-27T15:43:13"/>
  </r>
  <r>
    <n v="2968"/>
    <x v="1"/>
    <n v="51041798"/>
    <n v="28.46428568536939"/>
    <s v="BRONCE"/>
    <n v="880"/>
    <d v="2026-02-27T15:43:13"/>
  </r>
  <r>
    <n v="2969"/>
    <x v="1"/>
    <n v="51020600"/>
    <n v="82.910359169473168"/>
    <s v="PLATINO"/>
    <n v="316"/>
    <d v="2026-02-27T15:43:13"/>
  </r>
  <r>
    <n v="2970"/>
    <x v="1"/>
    <n v="51033795"/>
    <n v="32.858623604168272"/>
    <s v="PLATA"/>
    <n v="863"/>
    <d v="2026-02-27T15:43:13"/>
  </r>
  <r>
    <n v="2971"/>
    <x v="1"/>
    <n v="51030419"/>
    <n v="60.41249318020003"/>
    <s v="ORO"/>
    <n v="779"/>
    <d v="2026-02-27T15:43:13"/>
  </r>
  <r>
    <n v="2972"/>
    <x v="1"/>
    <n v="51038819"/>
    <n v="81.768918665574546"/>
    <s v="PLATINO"/>
    <n v="375"/>
    <d v="2026-02-27T15:43:13"/>
  </r>
  <r>
    <n v="2973"/>
    <x v="1"/>
    <n v="51021851"/>
    <n v="79.632850990787333"/>
    <s v="PLATINO"/>
    <n v="458"/>
    <d v="2026-02-27T15:43:13"/>
  </r>
  <r>
    <n v="2974"/>
    <x v="1"/>
    <n v="51004086"/>
    <n v="19.98"/>
    <s v="BRONCE"/>
    <n v="921"/>
    <d v="2026-02-27T15:43:13"/>
  </r>
  <r>
    <n v="2975"/>
    <x v="1"/>
    <n v="51017111"/>
    <n v="78.047588687592466"/>
    <s v="PLATINO"/>
    <n v="516"/>
    <d v="2026-02-27T15:43:13"/>
  </r>
  <r>
    <n v="2976"/>
    <x v="1"/>
    <n v="51022106"/>
    <n v="72.116287251402227"/>
    <s v="ORO"/>
    <n v="623"/>
    <d v="2026-02-27T15:43:13"/>
  </r>
  <r>
    <n v="2977"/>
    <x v="1"/>
    <n v="51056205"/>
    <n v="85.022701128217207"/>
    <s v="PLATINO"/>
    <n v="207"/>
    <d v="2026-02-27T15:43:13"/>
  </r>
  <r>
    <n v="2978"/>
    <x v="1"/>
    <n v="51055870"/>
    <n v="79.900000000000006"/>
    <s v="PLATINO"/>
    <n v="447"/>
    <d v="2026-02-27T15:43:13"/>
  </r>
  <r>
    <n v="2979"/>
    <x v="1"/>
    <n v="51017226"/>
    <n v="32.557266068798178"/>
    <s v="PLATA"/>
    <n v="866"/>
    <d v="2026-02-27T15:43:13"/>
  </r>
  <r>
    <n v="2980"/>
    <x v="1"/>
    <n v="51056965"/>
    <n v="16.044658002574419"/>
    <s v="BRONCE"/>
    <n v="981"/>
    <d v="2026-02-27T15:43:13"/>
  </r>
  <r>
    <n v="2981"/>
    <x v="1"/>
    <n v="51033671"/>
    <n v="81.02000000000001"/>
    <s v="PLATINO"/>
    <n v="410"/>
    <d v="2026-02-27T15:43:13"/>
  </r>
  <r>
    <n v="2982"/>
    <x v="1"/>
    <n v="51038797"/>
    <n v="80.426655147950072"/>
    <s v="PLATINO"/>
    <n v="429"/>
    <d v="2026-02-27T15:43:13"/>
  </r>
  <r>
    <n v="2983"/>
    <x v="1"/>
    <n v="51013492"/>
    <n v="65.638586702658301"/>
    <s v="ORO"/>
    <n v="679"/>
    <d v="2026-02-27T15:43:13"/>
  </r>
  <r>
    <n v="2984"/>
    <x v="1"/>
    <n v="51019415"/>
    <n v="83.005021851028573"/>
    <s v="PLATINO"/>
    <n v="311"/>
    <d v="2026-02-27T15:43:13"/>
  </r>
  <r>
    <n v="2985"/>
    <x v="1"/>
    <n v="51036107"/>
    <n v="19.92569041162195"/>
    <s v="BRONCE"/>
    <n v="928"/>
    <d v="2026-02-27T15:43:13"/>
  </r>
  <r>
    <n v="2986"/>
    <x v="1"/>
    <n v="51056990"/>
    <n v="81.109211738424293"/>
    <s v="PLATINO"/>
    <n v="401"/>
    <d v="2026-02-27T15:43:13"/>
  </r>
  <r>
    <n v="2987"/>
    <x v="1"/>
    <n v="51025296"/>
    <n v="80.775084507483612"/>
    <s v="PLATINO"/>
    <n v="417"/>
    <d v="2026-02-27T15:43:13"/>
  </r>
  <r>
    <n v="2988"/>
    <x v="1"/>
    <n v="51056639"/>
    <n v="19.432025539731669"/>
    <s v="BRONCE"/>
    <n v="934"/>
    <d v="2026-02-27T15:43:13"/>
  </r>
  <r>
    <n v="2989"/>
    <x v="1"/>
    <n v="51015029"/>
    <n v="84.244287457191874"/>
    <s v="PLATINO"/>
    <n v="257"/>
    <d v="2026-02-27T15:43:13"/>
  </r>
  <r>
    <n v="2990"/>
    <x v="1"/>
    <n v="51055730"/>
    <n v="81.873253223073334"/>
    <s v="PLATINO"/>
    <n v="372"/>
    <d v="2026-02-27T15:43:13"/>
  </r>
  <r>
    <n v="2991"/>
    <x v="1"/>
    <n v="51018257"/>
    <n v="60.185542985262217"/>
    <s v="ORO"/>
    <n v="782"/>
    <d v="2026-02-27T15:43:13"/>
  </r>
  <r>
    <n v="2992"/>
    <x v="1"/>
    <n v="51055845"/>
    <n v="81.686300741385622"/>
    <s v="PLATINO"/>
    <n v="379"/>
    <d v="2026-02-27T15:43:13"/>
  </r>
  <r>
    <n v="2993"/>
    <x v="1"/>
    <n v="51028015"/>
    <n v="82.706247135136579"/>
    <s v="PLATINO"/>
    <n v="325"/>
    <d v="2026-02-27T15:43:13"/>
  </r>
  <r>
    <n v="2994"/>
    <x v="1"/>
    <n v="51012887"/>
    <n v="63.158000000000001"/>
    <s v="ORO"/>
    <n v="712"/>
    <d v="2026-02-27T15:43:13"/>
  </r>
  <r>
    <n v="2995"/>
    <x v="1"/>
    <n v="51010311"/>
    <n v="61.732812228099931"/>
    <s v="ORO"/>
    <n v="744"/>
    <d v="2026-02-27T15:43:13"/>
  </r>
  <r>
    <n v="2996"/>
    <x v="1"/>
    <n v="51036638"/>
    <n v="75.560238168941439"/>
    <s v="PLATINO"/>
    <n v="581"/>
    <d v="2026-02-27T15:43:13"/>
  </r>
  <r>
    <n v="2997"/>
    <x v="1"/>
    <n v="51033442"/>
    <n v="85.14"/>
    <s v="PLATINO"/>
    <n v="199"/>
    <d v="2026-02-27T15:43:13"/>
  </r>
  <r>
    <n v="2998"/>
    <x v="1"/>
    <n v="51014774"/>
    <n v="83.988374111675583"/>
    <s v="PLATINO"/>
    <n v="268"/>
    <d v="2026-02-27T15:43:13"/>
  </r>
  <r>
    <n v="2999"/>
    <x v="1"/>
    <n v="51043847"/>
    <n v="67.788507350389239"/>
    <s v="ORO"/>
    <n v="659"/>
    <d v="2026-02-27T15:43:13"/>
  </r>
  <r>
    <n v="3000"/>
    <x v="1"/>
    <n v="51032381"/>
    <n v="75.265334926500344"/>
    <s v="PLATINO"/>
    <n v="585"/>
    <d v="2026-02-27T15:43:13"/>
  </r>
  <r>
    <n v="3001"/>
    <x v="1"/>
    <n v="51018508"/>
    <n v="64.266246655172893"/>
    <s v="ORO"/>
    <n v="695"/>
    <d v="2026-02-27T15:43:13"/>
  </r>
  <r>
    <n v="3002"/>
    <x v="1"/>
    <n v="51003616"/>
    <n v="84.365515098512034"/>
    <s v="PLATINO"/>
    <n v="246"/>
    <d v="2026-02-27T15:43:13"/>
  </r>
  <r>
    <n v="3003"/>
    <x v="1"/>
    <n v="51038932"/>
    <n v="62.569326097487263"/>
    <s v="ORO"/>
    <n v="725"/>
    <d v="2026-02-27T15:43:13"/>
  </r>
  <r>
    <n v="3004"/>
    <x v="1"/>
    <n v="51039211"/>
    <n v="36.463361576287483"/>
    <s v="PLATA"/>
    <n v="854"/>
    <d v="2026-02-27T15:43:13"/>
  </r>
  <r>
    <n v="3005"/>
    <x v="1"/>
    <n v="51018664"/>
    <n v="20"/>
    <s v="BRONCE"/>
    <n v="889"/>
    <d v="2026-02-27T15:43:13"/>
  </r>
  <r>
    <n v="3006"/>
    <x v="1"/>
    <n v="51056671"/>
    <n v="79.70194351844728"/>
    <s v="PLATINO"/>
    <n v="456"/>
    <d v="2026-02-27T15:43:13"/>
  </r>
  <r>
    <n v="3007"/>
    <x v="1"/>
    <n v="51055462"/>
    <n v="80.97739914725264"/>
    <s v="PLATINO"/>
    <n v="413"/>
    <d v="2026-02-27T15:43:13"/>
  </r>
  <r>
    <n v="3008"/>
    <x v="1"/>
    <n v="51014081"/>
    <n v="19.984999999999999"/>
    <s v="BRONCE"/>
    <n v="919"/>
    <d v="2026-02-27T15:43:13"/>
  </r>
  <r>
    <n v="3009"/>
    <x v="1"/>
    <n v="51055918"/>
    <n v="81.235250880800919"/>
    <s v="PLATINO"/>
    <n v="394"/>
    <d v="2026-02-27T15:43:13"/>
  </r>
  <r>
    <n v="3010"/>
    <x v="1"/>
    <n v="51016785"/>
    <n v="81.074374345565772"/>
    <s v="PLATINO"/>
    <n v="407"/>
    <d v="2026-02-27T15:43:13"/>
  </r>
  <r>
    <n v="3011"/>
    <x v="1"/>
    <n v="51055268"/>
    <n v="17.653356983371001"/>
    <s v="BRONCE"/>
    <n v="970"/>
    <d v="2026-02-27T15:43:13"/>
  </r>
  <r>
    <n v="3012"/>
    <x v="1"/>
    <n v="51015533"/>
    <n v="79.286144808695141"/>
    <s v="PLATINO"/>
    <n v="473"/>
    <d v="2026-02-27T15:43:13"/>
  </r>
  <r>
    <n v="3013"/>
    <x v="1"/>
    <n v="51018371"/>
    <n v="17.670376026489581"/>
    <s v="BRONCE"/>
    <n v="969"/>
    <d v="2026-02-27T15:43:13"/>
  </r>
  <r>
    <n v="3014"/>
    <x v="1"/>
    <n v="51004027"/>
    <n v="70.236736788932703"/>
    <s v="ORO"/>
    <n v="641"/>
    <d v="2026-02-27T15:43:13"/>
  </r>
  <r>
    <n v="3015"/>
    <x v="1"/>
    <n v="51011660"/>
    <n v="61.682296008230097"/>
    <s v="ORO"/>
    <n v="746"/>
    <d v="2026-02-27T15:43:13"/>
  </r>
  <r>
    <n v="3016"/>
    <x v="1"/>
    <n v="51022556"/>
    <n v="82.671180562865985"/>
    <s v="PLATINO"/>
    <n v="330"/>
    <d v="2026-02-27T15:43:13"/>
  </r>
  <r>
    <n v="3017"/>
    <x v="1"/>
    <n v="51018427"/>
    <n v="81.298150460365889"/>
    <s v="PLATINO"/>
    <n v="388"/>
    <d v="2026-02-27T15:43:13"/>
  </r>
  <r>
    <n v="3018"/>
    <x v="1"/>
    <n v="51024516"/>
    <n v="81.315999999999988"/>
    <s v="PLATINO"/>
    <n v="387"/>
    <d v="2026-02-27T15:43:13"/>
  </r>
  <r>
    <n v="3019"/>
    <x v="1"/>
    <n v="51011856"/>
    <n v="79.192587444621182"/>
    <s v="PLATINO"/>
    <n v="477"/>
    <d v="2026-02-27T15:43:13"/>
  </r>
  <r>
    <n v="3020"/>
    <x v="1"/>
    <n v="51032322"/>
    <n v="80.3"/>
    <s v="PLATINO"/>
    <n v="435"/>
    <d v="2026-02-27T15:43:13"/>
  </r>
  <r>
    <n v="3021"/>
    <x v="1"/>
    <n v="51013859"/>
    <n v="28.095081826291281"/>
    <s v="BRONCE"/>
    <n v="881"/>
    <d v="2026-02-27T15:43:13"/>
  </r>
  <r>
    <n v="3022"/>
    <x v="1"/>
    <n v="51008430"/>
    <n v="79.723144116306173"/>
    <s v="PLATINO"/>
    <n v="453"/>
    <d v="2026-02-27T15:43:13"/>
  </r>
  <r>
    <n v="3023"/>
    <x v="1"/>
    <n v="51042158"/>
    <n v="80.715045549835409"/>
    <s v="PLATINO"/>
    <n v="420"/>
    <d v="2026-02-27T15:43:13"/>
  </r>
  <r>
    <n v="3024"/>
    <x v="1"/>
    <n v="51011627"/>
    <n v="18.168398869590799"/>
    <s v="BRONCE"/>
    <n v="955"/>
    <d v="2026-02-27T15:43:13"/>
  </r>
  <r>
    <n v="3025"/>
    <x v="1"/>
    <n v="51010426"/>
    <n v="79.961611895698056"/>
    <s v="PLATINO"/>
    <n v="445"/>
    <d v="2026-02-27T15:43:13"/>
  </r>
  <r>
    <n v="3026"/>
    <x v="1"/>
    <n v="51033205"/>
    <n v="82.752274274603536"/>
    <s v="PLATINO"/>
    <n v="322"/>
    <d v="2026-02-27T15:43:13"/>
  </r>
  <r>
    <n v="3027"/>
    <x v="1"/>
    <n v="51035976"/>
    <n v="61.77051035009687"/>
    <s v="ORO"/>
    <n v="743"/>
    <d v="2026-02-27T15:43:13"/>
  </r>
  <r>
    <n v="3028"/>
    <x v="1"/>
    <n v="51010914"/>
    <n v="84.096769022354025"/>
    <s v="PLATINO"/>
    <n v="263"/>
    <d v="2026-02-27T15:43:13"/>
  </r>
  <r>
    <n v="3029"/>
    <x v="1"/>
    <n v="51023129"/>
    <n v="79.561464273253577"/>
    <s v="PLATINO"/>
    <n v="460"/>
    <d v="2026-02-27T15:43:13"/>
  </r>
  <r>
    <n v="3030"/>
    <x v="1"/>
    <n v="51054857"/>
    <n v="84.986799784959459"/>
    <s v="PLATINO"/>
    <n v="211"/>
    <d v="2026-02-27T15:43:13"/>
  </r>
  <r>
    <n v="3031"/>
    <x v="1"/>
    <n v="51055926"/>
    <n v="61.84"/>
    <s v="ORO"/>
    <n v="741"/>
    <d v="2026-02-27T15:43:13"/>
  </r>
  <r>
    <n v="3032"/>
    <x v="1"/>
    <n v="51021282"/>
    <n v="19.4167012598685"/>
    <s v="BRONCE"/>
    <n v="935"/>
    <d v="2026-02-27T15:43:13"/>
  </r>
  <r>
    <n v="3033"/>
    <x v="1"/>
    <n v="51031369"/>
    <n v="62.56"/>
    <s v="ORO"/>
    <n v="726"/>
    <d v="2026-02-27T15:43:13"/>
  </r>
  <r>
    <n v="3034"/>
    <x v="1"/>
    <n v="51024621"/>
    <n v="80.226246007619764"/>
    <s v="PLATINO"/>
    <n v="437"/>
    <d v="2026-02-27T15:43:13"/>
  </r>
  <r>
    <n v="3035"/>
    <x v="1"/>
    <n v="51032284"/>
    <n v="69.657262934587223"/>
    <s v="ORO"/>
    <n v="645"/>
    <d v="2026-02-27T15:43:13"/>
  </r>
  <r>
    <n v="3036"/>
    <x v="1"/>
    <n v="51018966"/>
    <n v="81.101645459467946"/>
    <s v="PLATINO"/>
    <n v="403"/>
    <d v="2026-02-27T15:43:13"/>
  </r>
  <r>
    <n v="3037"/>
    <x v="1"/>
    <n v="51012623"/>
    <n v="66.688504273769269"/>
    <s v="ORO"/>
    <n v="665"/>
    <d v="2026-02-27T15:43:13"/>
  </r>
  <r>
    <n v="3038"/>
    <x v="1"/>
    <n v="51019121"/>
    <n v="82.58579408397317"/>
    <s v="PLATINO"/>
    <n v="336"/>
    <d v="2026-02-27T15:43:13"/>
  </r>
  <r>
    <n v="3039"/>
    <x v="1"/>
    <n v="51036085"/>
    <n v="66.533399061007543"/>
    <s v="ORO"/>
    <n v="668"/>
    <d v="2026-02-27T15:43:13"/>
  </r>
  <r>
    <n v="3040"/>
    <x v="1"/>
    <n v="51002164"/>
    <n v="73.626588633298155"/>
    <s v="ORO"/>
    <n v="608"/>
    <d v="2026-02-27T15:43:13"/>
  </r>
  <r>
    <n v="3041"/>
    <x v="1"/>
    <n v="51013182"/>
    <n v="86.36"/>
    <s v="PLATINO"/>
    <n v="135"/>
    <d v="2026-02-27T15:43:13"/>
  </r>
  <r>
    <n v="3042"/>
    <x v="1"/>
    <n v="51033086"/>
    <n v="17.382713367108838"/>
    <s v="BRONCE"/>
    <n v="975"/>
    <d v="2026-02-27T15:43:13"/>
  </r>
  <r>
    <n v="3043"/>
    <x v="1"/>
    <n v="51029038"/>
    <n v="83.543275438686564"/>
    <s v="PLATINO"/>
    <n v="286"/>
    <d v="2026-02-27T15:43:13"/>
  </r>
  <r>
    <n v="3044"/>
    <x v="1"/>
    <n v="51024168"/>
    <n v="31.236194659499741"/>
    <s v="PLATA"/>
    <n v="869"/>
    <d v="2026-02-27T15:43:13"/>
  </r>
  <r>
    <n v="3045"/>
    <x v="1"/>
    <n v="51023455"/>
    <n v="54.019551558016843"/>
    <s v="PLATA"/>
    <n v="808"/>
    <d v="2026-02-27T15:43:13"/>
  </r>
  <r>
    <n v="3046"/>
    <x v="1"/>
    <n v="51016131"/>
    <n v="79.177709416670083"/>
    <s v="PLATINO"/>
    <n v="478"/>
    <d v="2026-02-27T15:43:13"/>
  </r>
  <r>
    <n v="3047"/>
    <x v="1"/>
    <n v="51016408"/>
    <n v="87.035510421502877"/>
    <s v="PLATINO"/>
    <n v="98"/>
    <d v="2026-02-27T15:43:13"/>
  </r>
  <r>
    <n v="3048"/>
    <x v="1"/>
    <n v="51056914"/>
    <n v="82.127125492164495"/>
    <s v="PLATINO"/>
    <n v="360"/>
    <d v="2026-02-27T15:43:13"/>
  </r>
  <r>
    <n v="3049"/>
    <x v="1"/>
    <n v="51016858"/>
    <n v="81.22"/>
    <s v="PLATINO"/>
    <n v="395"/>
    <d v="2026-02-27T15:43:13"/>
  </r>
  <r>
    <n v="3050"/>
    <x v="1"/>
    <n v="51035666"/>
    <n v="78.081906939694747"/>
    <s v="PLATINO"/>
    <n v="514"/>
    <d v="2026-02-27T15:43:13"/>
  </r>
  <r>
    <n v="3051"/>
    <x v="1"/>
    <n v="51022068"/>
    <n v="79.269664535374787"/>
    <s v="PLATINO"/>
    <n v="474"/>
    <d v="2026-02-27T15:43:13"/>
  </r>
  <r>
    <n v="3052"/>
    <x v="1"/>
    <n v="51013611"/>
    <n v="65.126389735248637"/>
    <s v="ORO"/>
    <n v="686"/>
    <d v="2026-02-27T15:43:13"/>
  </r>
  <r>
    <n v="3053"/>
    <x v="1"/>
    <n v="51013115"/>
    <n v="62.865000000000002"/>
    <s v="ORO"/>
    <n v="719"/>
    <d v="2026-02-27T15:43:13"/>
  </r>
  <r>
    <n v="3054"/>
    <x v="1"/>
    <n v="51056744"/>
    <n v="64.66668164105063"/>
    <s v="ORO"/>
    <n v="690"/>
    <d v="2026-02-27T15:43:13"/>
  </r>
  <r>
    <n v="3055"/>
    <x v="1"/>
    <n v="51031822"/>
    <n v="81.359779527178034"/>
    <s v="PLATINO"/>
    <n v="386"/>
    <d v="2026-02-27T15:43:13"/>
  </r>
  <r>
    <n v="3056"/>
    <x v="1"/>
    <n v="51025938"/>
    <n v="41.470817325061923"/>
    <s v="PLATA"/>
    <n v="840"/>
    <d v="2026-02-27T15:43:13"/>
  </r>
  <r>
    <n v="3057"/>
    <x v="1"/>
    <n v="51030141"/>
    <n v="80.764005836571314"/>
    <s v="PLATINO"/>
    <n v="418"/>
    <d v="2026-02-27T15:43:13"/>
  </r>
  <r>
    <n v="3058"/>
    <x v="1"/>
    <n v="51004698"/>
    <n v="60.205763999798663"/>
    <s v="ORO"/>
    <n v="781"/>
    <d v="2026-02-27T15:43:13"/>
  </r>
  <r>
    <n v="3059"/>
    <x v="1"/>
    <n v="51029585"/>
    <n v="78.792812627667359"/>
    <s v="PLATINO"/>
    <n v="495"/>
    <d v="2026-02-27T15:43:13"/>
  </r>
  <r>
    <n v="3060"/>
    <x v="1"/>
    <n v="51018389"/>
    <n v="66.751771949836979"/>
    <s v="ORO"/>
    <n v="664"/>
    <d v="2026-02-27T15:43:13"/>
  </r>
  <r>
    <n v="3061"/>
    <x v="1"/>
    <n v="51017137"/>
    <n v="62.96"/>
    <s v="ORO"/>
    <n v="717"/>
    <d v="2026-02-27T15:43:13"/>
  </r>
  <r>
    <n v="3062"/>
    <x v="1"/>
    <n v="51041232"/>
    <n v="79.332612738169928"/>
    <s v="PLATINO"/>
    <n v="472"/>
    <d v="2026-02-27T15:43:13"/>
  </r>
  <r>
    <n v="3063"/>
    <x v="1"/>
    <n v="51022769"/>
    <n v="56.333835862524047"/>
    <s v="ORO"/>
    <n v="804"/>
    <d v="2026-02-27T15:43:13"/>
  </r>
  <r>
    <n v="3064"/>
    <x v="1"/>
    <n v="51031164"/>
    <n v="20"/>
    <s v="BRONCE"/>
    <n v="889"/>
    <d v="2026-02-27T15:43:13"/>
  </r>
  <r>
    <n v="3065"/>
    <x v="1"/>
    <n v="51030371"/>
    <n v="82.775328646362922"/>
    <s v="PLATINO"/>
    <n v="321"/>
    <d v="2026-02-27T15:43:13"/>
  </r>
  <r>
    <n v="3066"/>
    <x v="1"/>
    <n v="51040392"/>
    <n v="36.508700688744547"/>
    <s v="PLATA"/>
    <n v="853"/>
    <d v="2026-02-27T15:43:13"/>
  </r>
  <r>
    <n v="3067"/>
    <x v="1"/>
    <n v="51014693"/>
    <n v="83.032501176195524"/>
    <s v="PLATINO"/>
    <n v="309"/>
    <d v="2026-02-27T15:43:13"/>
  </r>
  <r>
    <n v="3068"/>
    <x v="1"/>
    <n v="51055551"/>
    <n v="20"/>
    <s v="BRONCE"/>
    <n v="889"/>
    <d v="2026-02-27T15:43:13"/>
  </r>
  <r>
    <n v="3069"/>
    <x v="1"/>
    <n v="51012593"/>
    <n v="82.214294561113363"/>
    <s v="PLATINO"/>
    <n v="356"/>
    <d v="2026-02-27T15:43:13"/>
  </r>
  <r>
    <n v="3070"/>
    <x v="1"/>
    <n v="51015908"/>
    <n v="82.599378913975585"/>
    <s v="PLATINO"/>
    <n v="335"/>
    <d v="2026-02-27T15:43:13"/>
  </r>
  <r>
    <n v="3071"/>
    <x v="1"/>
    <n v="51015924"/>
    <n v="87.16"/>
    <s v="PLATINO"/>
    <n v="89"/>
    <d v="2026-02-27T15:43:13"/>
  </r>
  <r>
    <n v="3072"/>
    <x v="1"/>
    <n v="51034252"/>
    <n v="81.873516472520095"/>
    <s v="PLATINO"/>
    <n v="371"/>
    <d v="2026-02-27T15:43:13"/>
  </r>
  <r>
    <n v="3073"/>
    <x v="1"/>
    <n v="51017676"/>
    <n v="84.188624372337316"/>
    <s v="PLATINO"/>
    <n v="258"/>
    <d v="2026-02-27T15:43:13"/>
  </r>
  <r>
    <n v="3074"/>
    <x v="1"/>
    <n v="51033655"/>
    <n v="70.633966030951441"/>
    <s v="ORO"/>
    <n v="635"/>
    <d v="2026-02-27T15:43:13"/>
  </r>
  <r>
    <n v="3075"/>
    <x v="1"/>
    <n v="51014740"/>
    <n v="78.248293762225813"/>
    <s v="PLATINO"/>
    <n v="508"/>
    <d v="2026-02-27T15:43:13"/>
  </r>
  <r>
    <n v="3076"/>
    <x v="1"/>
    <n v="51011287"/>
    <n v="78.005548681579356"/>
    <s v="PLATINO"/>
    <n v="519"/>
    <d v="2026-02-27T15:43:13"/>
  </r>
  <r>
    <n v="3077"/>
    <x v="1"/>
    <n v="51026306"/>
    <n v="77.595934156208756"/>
    <s v="PLATINO"/>
    <n v="534"/>
    <d v="2026-02-27T15:43:13"/>
  </r>
  <r>
    <n v="3078"/>
    <x v="1"/>
    <n v="51040325"/>
    <n v="60.675516072460589"/>
    <s v="ORO"/>
    <n v="770"/>
    <d v="2026-02-27T15:43:13"/>
  </r>
  <r>
    <n v="3079"/>
    <x v="1"/>
    <n v="51055543"/>
    <n v="82.378161832546965"/>
    <s v="PLATINO"/>
    <n v="349"/>
    <d v="2026-02-27T15:43:13"/>
  </r>
  <r>
    <n v="3080"/>
    <x v="1"/>
    <n v="51037031"/>
    <n v="77.434717546608113"/>
    <s v="PLATINO"/>
    <n v="542"/>
    <d v="2026-02-27T15:43:13"/>
  </r>
  <r>
    <n v="3081"/>
    <x v="1"/>
    <n v="51057244"/>
    <n v="66.441186199758064"/>
    <s v="ORO"/>
    <n v="669"/>
    <d v="2026-02-27T15:43:13"/>
  </r>
  <r>
    <n v="3082"/>
    <x v="1"/>
    <n v="51032004"/>
    <n v="18.041434854641849"/>
    <s v="BRONCE"/>
    <n v="959"/>
    <d v="2026-02-27T15:43:13"/>
  </r>
  <r>
    <n v="3083"/>
    <x v="1"/>
    <n v="51019253"/>
    <n v="72.313749122998217"/>
    <s v="ORO"/>
    <n v="620"/>
    <d v="2026-02-27T15:43:13"/>
  </r>
  <r>
    <n v="3084"/>
    <x v="1"/>
    <n v="51008413"/>
    <n v="79.636539628925149"/>
    <s v="PLATINO"/>
    <n v="457"/>
    <d v="2026-02-27T15:43:13"/>
  </r>
  <r>
    <n v="3085"/>
    <x v="1"/>
    <n v="51018265"/>
    <n v="81.368752868492365"/>
    <s v="PLATINO"/>
    <n v="385"/>
    <d v="2026-02-27T15:43:13"/>
  </r>
  <r>
    <n v="3086"/>
    <x v="1"/>
    <n v="51022050"/>
    <n v="18.815849933400489"/>
    <s v="BRONCE"/>
    <n v="946"/>
    <d v="2026-02-27T15:43:13"/>
  </r>
  <r>
    <n v="3087"/>
    <x v="1"/>
    <n v="51016076"/>
    <n v="79.458583535122699"/>
    <s v="PLATINO"/>
    <n v="466"/>
    <d v="2026-02-27T15:43:13"/>
  </r>
  <r>
    <n v="3088"/>
    <x v="1"/>
    <n v="51014634"/>
    <n v="83.137640080142646"/>
    <s v="PLATINO"/>
    <n v="301"/>
    <d v="2026-02-27T15:43:13"/>
  </r>
  <r>
    <n v="3089"/>
    <x v="1"/>
    <n v="51004655"/>
    <n v="78.934717205650657"/>
    <s v="PLATINO"/>
    <n v="488"/>
    <d v="2026-02-27T15:43:13"/>
  </r>
  <r>
    <n v="3090"/>
    <x v="1"/>
    <n v="51030974"/>
    <n v="19.98"/>
    <s v="BRONCE"/>
    <n v="921"/>
    <d v="2026-02-27T15:43:13"/>
  </r>
  <r>
    <n v="3091"/>
    <x v="1"/>
    <n v="51056787"/>
    <n v="79.461204405813888"/>
    <s v="PLATINO"/>
    <n v="464"/>
    <d v="2026-02-27T15:43:13"/>
  </r>
  <r>
    <n v="3092"/>
    <x v="1"/>
    <n v="51032802"/>
    <n v="80.44"/>
    <s v="PLATINO"/>
    <n v="427"/>
    <d v="2026-02-27T15:43:13"/>
  </r>
  <r>
    <n v="3093"/>
    <x v="1"/>
    <n v="51043677"/>
    <n v="80.798509973531608"/>
    <s v="PLATINO"/>
    <n v="416"/>
    <d v="2026-02-27T15:43:13"/>
  </r>
  <r>
    <n v="3094"/>
    <x v="1"/>
    <n v="51022467"/>
    <n v="61.650290792956604"/>
    <s v="ORO"/>
    <n v="749"/>
    <d v="2026-02-27T15:43:13"/>
  </r>
  <r>
    <n v="3095"/>
    <x v="1"/>
    <n v="51055225"/>
    <n v="80.722367747864908"/>
    <s v="PLATINO"/>
    <n v="419"/>
    <d v="2026-02-27T15:43:13"/>
  </r>
  <r>
    <n v="3096"/>
    <x v="1"/>
    <n v="51041666"/>
    <n v="87.416034989296449"/>
    <s v="PLATINO"/>
    <n v="71"/>
    <d v="2026-02-27T15:43:13"/>
  </r>
  <r>
    <n v="3097"/>
    <x v="1"/>
    <n v="51024753"/>
    <n v="77.86258495954381"/>
    <s v="PLATINO"/>
    <n v="527"/>
    <d v="2026-02-27T15:43:13"/>
  </r>
  <r>
    <n v="3098"/>
    <x v="1"/>
    <n v="51023901"/>
    <n v="81.44"/>
    <s v="PLATINO"/>
    <n v="384"/>
    <d v="2026-02-27T15:43:13"/>
  </r>
  <r>
    <n v="3099"/>
    <x v="1"/>
    <n v="51038401"/>
    <n v="77.641574971728247"/>
    <s v="PLATINO"/>
    <n v="532"/>
    <d v="2026-02-27T15:43:13"/>
  </r>
  <r>
    <n v="3100"/>
    <x v="1"/>
    <n v="51023226"/>
    <n v="78.310760136861916"/>
    <s v="PLATINO"/>
    <n v="504"/>
    <d v="2026-02-27T15:43:13"/>
  </r>
  <r>
    <n v="3101"/>
    <x v="1"/>
    <n v="51019717"/>
    <n v="82.395974670407398"/>
    <s v="PLATINO"/>
    <n v="345"/>
    <d v="2026-02-27T15:43:13"/>
  </r>
  <r>
    <n v="3102"/>
    <x v="1"/>
    <n v="51007115"/>
    <n v="76.244601171835029"/>
    <s v="PLATINO"/>
    <n v="568"/>
    <d v="2026-02-27T15:43:13"/>
  </r>
  <r>
    <n v="3103"/>
    <x v="1"/>
    <n v="51016637"/>
    <n v="75.076362438278267"/>
    <s v="PLATINO"/>
    <n v="591"/>
    <d v="2026-02-27T15:43:13"/>
  </r>
  <r>
    <n v="3104"/>
    <x v="1"/>
    <n v="51023439"/>
    <n v="74.339734408896007"/>
    <s v="ORO"/>
    <n v="597"/>
    <d v="2026-02-27T15:43:13"/>
  </r>
  <r>
    <n v="3105"/>
    <x v="1"/>
    <n v="51031334"/>
    <n v="58.829333532674518"/>
    <s v="ORO"/>
    <n v="796"/>
    <d v="2026-02-27T15:43:13"/>
  </r>
  <r>
    <n v="3106"/>
    <x v="1"/>
    <n v="51005368"/>
    <n v="79.706925059750347"/>
    <s v="PLATINO"/>
    <n v="455"/>
    <d v="2026-02-27T15:43:13"/>
  </r>
  <r>
    <n v="3107"/>
    <x v="1"/>
    <n v="51023803"/>
    <n v="82.36"/>
    <s v="PLATINO"/>
    <n v="350"/>
    <d v="2026-02-27T15:43:13"/>
  </r>
  <r>
    <n v="3108"/>
    <x v="1"/>
    <n v="51016777"/>
    <n v="79.455337345069879"/>
    <s v="PLATINO"/>
    <n v="468"/>
    <d v="2026-02-27T15:43:13"/>
  </r>
  <r>
    <n v="3109"/>
    <x v="1"/>
    <n v="51056094"/>
    <n v="79.267778093386013"/>
    <s v="PLATINO"/>
    <n v="475"/>
    <d v="2026-02-27T15:43:13"/>
  </r>
  <r>
    <n v="3110"/>
    <x v="1"/>
    <n v="51018044"/>
    <n v="19.998000000000001"/>
    <s v="BRONCE"/>
    <n v="908"/>
    <d v="2026-02-27T15:43:13"/>
  </r>
  <r>
    <n v="3111"/>
    <x v="1"/>
    <n v="51031318"/>
    <n v="60.91318922278333"/>
    <s v="ORO"/>
    <n v="763"/>
    <d v="2026-02-27T15:43:13"/>
  </r>
  <r>
    <n v="3112"/>
    <x v="1"/>
    <n v="51031750"/>
    <n v="78.799854595232063"/>
    <s v="PLATINO"/>
    <n v="494"/>
    <d v="2026-02-27T15:43:13"/>
  </r>
  <r>
    <n v="3113"/>
    <x v="1"/>
    <n v="51032063"/>
    <n v="80.995177899635038"/>
    <s v="PLATINO"/>
    <n v="411"/>
    <d v="2026-02-27T15:43:13"/>
  </r>
  <r>
    <n v="3114"/>
    <x v="1"/>
    <n v="51029232"/>
    <n v="19.96"/>
    <s v="BRONCE"/>
    <n v="925"/>
    <d v="2026-02-27T15:43:13"/>
  </r>
  <r>
    <n v="3115"/>
    <x v="1"/>
    <n v="51035879"/>
    <n v="79.414589803546363"/>
    <s v="PLATINO"/>
    <n v="470"/>
    <d v="2026-02-27T15:43:13"/>
  </r>
  <r>
    <n v="3116"/>
    <x v="1"/>
    <n v="51001044"/>
    <n v="80.490951127514379"/>
    <s v="PLATINO"/>
    <n v="423"/>
    <d v="2026-02-27T15:43:13"/>
  </r>
  <r>
    <n v="3117"/>
    <x v="1"/>
    <n v="51028929"/>
    <n v="79.153601260388569"/>
    <s v="PLATINO"/>
    <n v="480"/>
    <d v="2026-02-27T15:43:13"/>
  </r>
  <r>
    <n v="3118"/>
    <x v="1"/>
    <n v="51054873"/>
    <n v="61.508214359675598"/>
    <s v="ORO"/>
    <n v="755"/>
    <d v="2026-02-27T15:43:13"/>
  </r>
  <r>
    <n v="3119"/>
    <x v="1"/>
    <n v="51013913"/>
    <n v="32.692669138252782"/>
    <s v="PLATA"/>
    <n v="865"/>
    <d v="2026-02-27T15:43:13"/>
  </r>
  <r>
    <n v="3120"/>
    <x v="1"/>
    <n v="51033302"/>
    <n v="32.272091351860269"/>
    <s v="PLATA"/>
    <n v="867"/>
    <d v="2026-02-27T15:43:13"/>
  </r>
  <r>
    <n v="3121"/>
    <x v="1"/>
    <n v="51054806"/>
    <n v="61.666295591189908"/>
    <s v="ORO"/>
    <n v="747"/>
    <d v="2026-02-27T15:43:13"/>
  </r>
  <r>
    <n v="3122"/>
    <x v="1"/>
    <n v="51030567"/>
    <n v="33.505466136251179"/>
    <s v="PLATA"/>
    <n v="862"/>
    <d v="2026-02-27T15:43:13"/>
  </r>
  <r>
    <n v="3123"/>
    <x v="1"/>
    <n v="51014375"/>
    <n v="59.302438869361453"/>
    <s v="ORO"/>
    <n v="792"/>
    <d v="2026-02-27T15:43:13"/>
  </r>
  <r>
    <n v="3124"/>
    <x v="1"/>
    <n v="51056337"/>
    <n v="82.0431252630638"/>
    <s v="PLATINO"/>
    <n v="364"/>
    <d v="2026-02-27T15:43:13"/>
  </r>
  <r>
    <n v="3125"/>
    <x v="1"/>
    <n v="51054938"/>
    <n v="80.261353776171546"/>
    <s v="PLATINO"/>
    <n v="436"/>
    <d v="2026-02-27T15:43:13"/>
  </r>
  <r>
    <n v="3126"/>
    <x v="1"/>
    <n v="51024834"/>
    <n v="73.161230143249696"/>
    <s v="ORO"/>
    <n v="612"/>
    <d v="2026-02-27T15:43:13"/>
  </r>
  <r>
    <n v="3127"/>
    <x v="1"/>
    <n v="51016831"/>
    <n v="65.431555740649117"/>
    <s v="ORO"/>
    <n v="680"/>
    <d v="2026-02-27T15:43:13"/>
  </r>
  <r>
    <n v="3128"/>
    <x v="1"/>
    <n v="51023927"/>
    <n v="18.131049237199061"/>
    <s v="BRONCE"/>
    <n v="957"/>
    <d v="2026-02-27T15:43:13"/>
  </r>
  <r>
    <n v="3129"/>
    <x v="1"/>
    <n v="51020111"/>
    <n v="81.045705262112278"/>
    <s v="PLATINO"/>
    <n v="408"/>
    <d v="2026-02-27T15:43:13"/>
  </r>
  <r>
    <n v="3130"/>
    <x v="1"/>
    <n v="51055250"/>
    <n v="61.96"/>
    <s v="ORO"/>
    <n v="739"/>
    <d v="2026-02-27T15:43:13"/>
  </r>
  <r>
    <n v="3131"/>
    <x v="1"/>
    <n v="51018036"/>
    <n v="31.191391966985751"/>
    <s v="PLATA"/>
    <n v="870"/>
    <d v="2026-02-27T15:43:13"/>
  </r>
  <r>
    <n v="3132"/>
    <x v="1"/>
    <n v="51009797"/>
    <n v="77.926656532324898"/>
    <s v="PLATINO"/>
    <n v="523"/>
    <d v="2026-02-27T15:43:13"/>
  </r>
  <r>
    <n v="3133"/>
    <x v="1"/>
    <n v="51041917"/>
    <n v="79.518865126255136"/>
    <s v="PLATINO"/>
    <n v="463"/>
    <d v="2026-02-27T15:43:13"/>
  </r>
  <r>
    <n v="3134"/>
    <x v="1"/>
    <n v="51017846"/>
    <n v="62.22"/>
    <s v="ORO"/>
    <n v="737"/>
    <d v="2026-02-27T15:43:13"/>
  </r>
  <r>
    <n v="3135"/>
    <x v="1"/>
    <n v="51015851"/>
    <n v="80.800300635710201"/>
    <s v="PLATINO"/>
    <n v="415"/>
    <d v="2026-02-27T15:43:13"/>
  </r>
  <r>
    <n v="3136"/>
    <x v="1"/>
    <n v="51036603"/>
    <n v="63.51766656629497"/>
    <s v="ORO"/>
    <n v="706"/>
    <d v="2026-02-27T15:43:13"/>
  </r>
  <r>
    <n v="3137"/>
    <x v="1"/>
    <n v="51020910"/>
    <n v="80.425375588102142"/>
    <s v="PLATINO"/>
    <n v="430"/>
    <d v="2026-02-27T15:43:13"/>
  </r>
  <r>
    <n v="3138"/>
    <x v="1"/>
    <n v="51031326"/>
    <n v="77.975889185270972"/>
    <s v="PLATINO"/>
    <n v="520"/>
    <d v="2026-02-27T15:43:13"/>
  </r>
  <r>
    <n v="3139"/>
    <x v="1"/>
    <n v="51033604"/>
    <n v="63.359881000906647"/>
    <s v="ORO"/>
    <n v="709"/>
    <d v="2026-02-27T15:43:13"/>
  </r>
  <r>
    <n v="3140"/>
    <x v="1"/>
    <n v="51026217"/>
    <n v="80.030211347572859"/>
    <s v="PLATINO"/>
    <n v="442"/>
    <d v="2026-02-27T15:43:13"/>
  </r>
  <r>
    <n v="3141"/>
    <x v="1"/>
    <n v="51039165"/>
    <n v="86.72"/>
    <s v="PLATINO"/>
    <n v="118"/>
    <d v="2026-02-27T15:43:13"/>
  </r>
  <r>
    <n v="3142"/>
    <x v="1"/>
    <n v="51006844"/>
    <n v="22.171121818304769"/>
    <s v="BRONCE"/>
    <n v="888"/>
    <d v="2026-02-27T15:43:13"/>
  </r>
  <r>
    <n v="3143"/>
    <x v="1"/>
    <n v="51020995"/>
    <n v="15.483567882794761"/>
    <s v="BRONCE"/>
    <n v="985"/>
    <d v="2026-02-27T15:43:13"/>
  </r>
  <r>
    <n v="3144"/>
    <x v="1"/>
    <n v="51023251"/>
    <n v="29.758553532609341"/>
    <s v="BRONCE"/>
    <n v="874"/>
    <d v="2026-02-27T15:43:13"/>
  </r>
  <r>
    <n v="3145"/>
    <x v="1"/>
    <n v="51010205"/>
    <n v="59.947113195686278"/>
    <s v="ORO"/>
    <n v="785"/>
    <d v="2026-02-27T15:43:13"/>
  </r>
  <r>
    <n v="3146"/>
    <x v="1"/>
    <n v="51056922"/>
    <n v="80.457240830701991"/>
    <s v="PLATINO"/>
    <n v="426"/>
    <d v="2026-02-27T15:43:13"/>
  </r>
  <r>
    <n v="3147"/>
    <x v="1"/>
    <n v="51056299"/>
    <n v="78.717665181747407"/>
    <s v="PLATINO"/>
    <n v="497"/>
    <d v="2026-02-27T15:43:13"/>
  </r>
  <r>
    <n v="3148"/>
    <x v="1"/>
    <n v="51010175"/>
    <n v="66.069969347277734"/>
    <s v="ORO"/>
    <n v="674"/>
    <d v="2026-02-27T15:43:13"/>
  </r>
  <r>
    <n v="3149"/>
    <x v="1"/>
    <n v="51015355"/>
    <n v="61.694000000000003"/>
    <s v="ORO"/>
    <n v="745"/>
    <d v="2026-02-27T15:43:13"/>
  </r>
  <r>
    <n v="3150"/>
    <x v="1"/>
    <n v="51010191"/>
    <n v="85.438000000000002"/>
    <s v="PLATINO"/>
    <n v="187"/>
    <d v="2026-02-27T15:43:13"/>
  </r>
  <r>
    <n v="3151"/>
    <x v="1"/>
    <n v="51013051"/>
    <n v="77.768933593098794"/>
    <s v="PLATINO"/>
    <n v="531"/>
    <d v="2026-02-27T15:43:13"/>
  </r>
  <r>
    <n v="3152"/>
    <x v="1"/>
    <n v="51032632"/>
    <n v="77.78939132031104"/>
    <s v="PLATINO"/>
    <n v="529"/>
    <d v="2026-02-27T15:43:13"/>
  </r>
  <r>
    <n v="3153"/>
    <x v="1"/>
    <n v="51026322"/>
    <n v="79.1383251250993"/>
    <s v="PLATINO"/>
    <n v="481"/>
    <d v="2026-02-27T15:43:13"/>
  </r>
  <r>
    <n v="3154"/>
    <x v="1"/>
    <n v="51019555"/>
    <n v="37.427455474608813"/>
    <s v="PLATA"/>
    <n v="851"/>
    <d v="2026-02-27T15:43:13"/>
  </r>
  <r>
    <n v="3155"/>
    <x v="1"/>
    <n v="51009991"/>
    <n v="70.606541583320777"/>
    <s v="ORO"/>
    <n v="636"/>
    <d v="2026-02-27T15:43:13"/>
  </r>
  <r>
    <n v="3156"/>
    <x v="1"/>
    <n v="51025822"/>
    <n v="68.533795937803546"/>
    <s v="ORO"/>
    <n v="650"/>
    <d v="2026-02-27T15:43:13"/>
  </r>
  <r>
    <n v="3157"/>
    <x v="1"/>
    <n v="51012500"/>
    <n v="76.792058518648147"/>
    <s v="PLATINO"/>
    <n v="555"/>
    <d v="2026-02-27T15:43:13"/>
  </r>
  <r>
    <n v="3158"/>
    <x v="1"/>
    <n v="51015797"/>
    <n v="80.038786282097732"/>
    <s v="PLATINO"/>
    <n v="441"/>
    <d v="2026-02-27T15:43:13"/>
  </r>
  <r>
    <n v="3159"/>
    <x v="1"/>
    <n v="51014782"/>
    <n v="79.960000000000008"/>
    <s v="PLATINO"/>
    <n v="446"/>
    <d v="2026-02-27T15:43:13"/>
  </r>
  <r>
    <n v="3160"/>
    <x v="1"/>
    <n v="51013077"/>
    <n v="82.665438620839609"/>
    <s v="PLATINO"/>
    <n v="332"/>
    <d v="2026-02-27T15:43:13"/>
  </r>
  <r>
    <n v="3161"/>
    <x v="1"/>
    <n v="51002539"/>
    <n v="16.80324887376608"/>
    <s v="BRONCE"/>
    <n v="979"/>
    <d v="2026-02-27T15:43:13"/>
  </r>
  <r>
    <n v="3162"/>
    <x v="1"/>
    <n v="51031806"/>
    <n v="60.779871656456933"/>
    <s v="ORO"/>
    <n v="768"/>
    <d v="2026-02-27T15:43:13"/>
  </r>
  <r>
    <n v="3163"/>
    <x v="1"/>
    <n v="51044410"/>
    <n v="79.718000000000004"/>
    <s v="PLATINO"/>
    <n v="454"/>
    <d v="2026-02-27T15:43:13"/>
  </r>
  <r>
    <n v="3164"/>
    <x v="1"/>
    <n v="51033248"/>
    <n v="19.30825253817552"/>
    <s v="BRONCE"/>
    <n v="938"/>
    <d v="2026-02-27T15:43:13"/>
  </r>
  <r>
    <n v="3165"/>
    <x v="1"/>
    <n v="51025318"/>
    <n v="82.666004847305544"/>
    <s v="PLATINO"/>
    <n v="331"/>
    <d v="2026-02-27T15:43:13"/>
  </r>
  <r>
    <n v="3166"/>
    <x v="1"/>
    <n v="51031687"/>
    <n v="77.290085098679924"/>
    <s v="PLATINO"/>
    <n v="546"/>
    <d v="2026-02-27T15:43:13"/>
  </r>
  <r>
    <n v="3167"/>
    <x v="1"/>
    <n v="51055861"/>
    <n v="50.958673336682409"/>
    <s v="PLATA"/>
    <n v="814"/>
    <d v="2026-02-27T15:43:13"/>
  </r>
  <r>
    <n v="3168"/>
    <x v="1"/>
    <n v="51019407"/>
    <n v="47.421136596960082"/>
    <s v="PLATA"/>
    <n v="824"/>
    <d v="2026-02-27T15:43:13"/>
  </r>
  <r>
    <n v="3169"/>
    <x v="1"/>
    <n v="51012411"/>
    <n v="20"/>
    <s v="BRONCE"/>
    <n v="889"/>
    <d v="2026-02-27T15:43:13"/>
  </r>
  <r>
    <n v="3170"/>
    <x v="1"/>
    <n v="51020171"/>
    <n v="19.998000000000001"/>
    <s v="BRONCE"/>
    <n v="908"/>
    <d v="2026-02-27T15:43:13"/>
  </r>
  <r>
    <n v="3171"/>
    <x v="1"/>
    <n v="51029488"/>
    <n v="18.758901213403149"/>
    <s v="BRONCE"/>
    <n v="948"/>
    <d v="2026-02-27T15:43:13"/>
  </r>
  <r>
    <n v="3172"/>
    <x v="1"/>
    <n v="51017633"/>
    <n v="83.843306498973902"/>
    <s v="PLATINO"/>
    <n v="276"/>
    <d v="2026-02-27T15:43:13"/>
  </r>
  <r>
    <n v="3173"/>
    <x v="1"/>
    <n v="51056663"/>
    <n v="77.889540970139393"/>
    <s v="PLATINO"/>
    <n v="526"/>
    <d v="2026-02-27T15:43:13"/>
  </r>
  <r>
    <n v="3174"/>
    <x v="1"/>
    <n v="51026063"/>
    <n v="82.88"/>
    <s v="PLATINO"/>
    <n v="318"/>
    <d v="2026-02-27T15:43:13"/>
  </r>
  <r>
    <n v="3175"/>
    <x v="1"/>
    <n v="51043995"/>
    <n v="62.34"/>
    <s v="ORO"/>
    <n v="733"/>
    <d v="2026-02-27T15:43:13"/>
  </r>
  <r>
    <n v="3176"/>
    <x v="1"/>
    <n v="51011074"/>
    <n v="83.351792989214644"/>
    <s v="PLATINO"/>
    <n v="294"/>
    <d v="2026-02-27T15:43:13"/>
  </r>
  <r>
    <n v="3177"/>
    <x v="1"/>
    <n v="51003225"/>
    <n v="78.158992368862997"/>
    <s v="PLATINO"/>
    <n v="511"/>
    <d v="2026-02-27T15:43:13"/>
  </r>
  <r>
    <n v="3178"/>
    <x v="1"/>
    <n v="51024966"/>
    <n v="78.723207221942431"/>
    <s v="PLATINO"/>
    <n v="496"/>
    <d v="2026-02-27T15:43:13"/>
  </r>
  <r>
    <n v="3179"/>
    <x v="1"/>
    <n v="51038673"/>
    <n v="58.906371675845129"/>
    <s v="ORO"/>
    <n v="794"/>
    <d v="2026-02-27T15:43:13"/>
  </r>
  <r>
    <n v="3180"/>
    <x v="1"/>
    <n v="51013271"/>
    <n v="76.438252950347561"/>
    <s v="PLATINO"/>
    <n v="565"/>
    <d v="2026-02-27T15:43:13"/>
  </r>
  <r>
    <n v="3181"/>
    <x v="1"/>
    <n v="51038894"/>
    <n v="77.476482228981354"/>
    <s v="PLATINO"/>
    <n v="541"/>
    <d v="2026-02-27T15:43:13"/>
  </r>
  <r>
    <n v="3182"/>
    <x v="1"/>
    <n v="51021843"/>
    <n v="75.132582795152857"/>
    <s v="PLATINO"/>
    <n v="589"/>
    <d v="2026-02-27T15:43:13"/>
  </r>
  <r>
    <n v="3183"/>
    <x v="1"/>
    <n v="51024109"/>
    <n v="77.632497996386789"/>
    <s v="PLATINO"/>
    <n v="533"/>
    <d v="2026-02-27T15:43:13"/>
  </r>
  <r>
    <n v="3184"/>
    <x v="1"/>
    <n v="51056159"/>
    <n v="77.56162615233832"/>
    <s v="PLATINO"/>
    <n v="537"/>
    <d v="2026-02-27T15:43:13"/>
  </r>
  <r>
    <n v="3185"/>
    <x v="1"/>
    <n v="51036981"/>
    <n v="76.517786265482528"/>
    <s v="PLATINO"/>
    <n v="560"/>
    <d v="2026-02-27T15:43:13"/>
  </r>
  <r>
    <n v="3186"/>
    <x v="1"/>
    <n v="51032519"/>
    <n v="82.471881320622117"/>
    <s v="PLATINO"/>
    <n v="339"/>
    <d v="2026-02-27T15:43:13"/>
  </r>
  <r>
    <n v="3187"/>
    <x v="1"/>
    <n v="51055519"/>
    <n v="36.040541788529609"/>
    <s v="PLATA"/>
    <n v="856"/>
    <d v="2026-02-27T15:43:13"/>
  </r>
  <r>
    <n v="3188"/>
    <x v="1"/>
    <n v="51032969"/>
    <n v="78.033887925056959"/>
    <s v="PLATINO"/>
    <n v="517"/>
    <d v="2026-02-27T15:43:13"/>
  </r>
  <r>
    <n v="3189"/>
    <x v="1"/>
    <n v="51017587"/>
    <n v="60.640507519335173"/>
    <s v="ORO"/>
    <n v="772"/>
    <d v="2026-02-27T15:43:13"/>
  </r>
  <r>
    <n v="3190"/>
    <x v="1"/>
    <n v="51018214"/>
    <n v="19.97"/>
    <s v="BRONCE"/>
    <n v="923"/>
    <d v="2026-02-27T15:43:13"/>
  </r>
  <r>
    <n v="3191"/>
    <x v="1"/>
    <n v="51016661"/>
    <n v="78.300759828169319"/>
    <s v="PLATINO"/>
    <n v="505"/>
    <d v="2026-02-27T15:43:13"/>
  </r>
  <r>
    <n v="3192"/>
    <x v="1"/>
    <n v="51002296"/>
    <n v="66.391896154222721"/>
    <s v="ORO"/>
    <n v="671"/>
    <d v="2026-02-27T15:43:13"/>
  </r>
  <r>
    <n v="3193"/>
    <x v="1"/>
    <n v="51016998"/>
    <n v="17.932216387636391"/>
    <s v="BRONCE"/>
    <n v="962"/>
    <d v="2026-02-27T15:43:13"/>
  </r>
  <r>
    <n v="3194"/>
    <x v="1"/>
    <n v="51005325"/>
    <n v="61.92"/>
    <s v="ORO"/>
    <n v="740"/>
    <d v="2026-02-27T15:43:13"/>
  </r>
  <r>
    <n v="3195"/>
    <x v="1"/>
    <n v="51011937"/>
    <n v="78.967045939130983"/>
    <s v="PLATINO"/>
    <n v="487"/>
    <d v="2026-02-27T15:43:13"/>
  </r>
  <r>
    <n v="3196"/>
    <x v="1"/>
    <n v="51033191"/>
    <n v="76.721544845137529"/>
    <s v="PLATINO"/>
    <n v="556"/>
    <d v="2026-02-27T15:43:13"/>
  </r>
  <r>
    <n v="3197"/>
    <x v="1"/>
    <n v="51032560"/>
    <n v="77.960910312521534"/>
    <s v="PLATINO"/>
    <n v="522"/>
    <d v="2026-02-27T15:43:13"/>
  </r>
  <r>
    <n v="3198"/>
    <x v="1"/>
    <n v="51056302"/>
    <n v="58.425485013210277"/>
    <s v="ORO"/>
    <n v="799"/>
    <d v="2026-02-27T15:43:13"/>
  </r>
  <r>
    <n v="3199"/>
    <x v="1"/>
    <n v="51032659"/>
    <n v="79.460457485148254"/>
    <s v="PLATINO"/>
    <n v="465"/>
    <d v="2026-02-27T15:43:13"/>
  </r>
  <r>
    <n v="3200"/>
    <x v="1"/>
    <n v="51017129"/>
    <n v="77.975000000000009"/>
    <s v="PLATINO"/>
    <n v="521"/>
    <d v="2026-02-27T15:43:13"/>
  </r>
  <r>
    <n v="3201"/>
    <x v="1"/>
    <n v="51036191"/>
    <n v="78.704848406856357"/>
    <s v="PLATINO"/>
    <n v="498"/>
    <d v="2026-02-27T15:43:13"/>
  </r>
  <r>
    <n v="3202"/>
    <x v="1"/>
    <n v="51011562"/>
    <n v="78.908351453739627"/>
    <s v="PLATINO"/>
    <n v="491"/>
    <d v="2026-02-27T15:43:13"/>
  </r>
  <r>
    <n v="3203"/>
    <x v="1"/>
    <n v="51018346"/>
    <n v="78.260034399767562"/>
    <s v="PLATINO"/>
    <n v="507"/>
    <d v="2026-02-27T15:43:13"/>
  </r>
  <r>
    <n v="3204"/>
    <x v="1"/>
    <n v="51042514"/>
    <n v="50.064616514242942"/>
    <s v="PLATA"/>
    <n v="817"/>
    <d v="2026-02-27T15:43:13"/>
  </r>
  <r>
    <n v="3205"/>
    <x v="1"/>
    <n v="51056906"/>
    <n v="63.340207977396346"/>
    <s v="ORO"/>
    <n v="710"/>
    <d v="2026-02-27T15:43:13"/>
  </r>
  <r>
    <n v="3206"/>
    <x v="1"/>
    <n v="51043375"/>
    <n v="79.847516186293262"/>
    <s v="PLATINO"/>
    <n v="449"/>
    <d v="2026-02-27T15:43:13"/>
  </r>
  <r>
    <n v="3207"/>
    <x v="1"/>
    <n v="51055691"/>
    <n v="61.518000000000001"/>
    <s v="ORO"/>
    <n v="754"/>
    <d v="2026-02-27T15:43:13"/>
  </r>
  <r>
    <n v="3208"/>
    <x v="1"/>
    <n v="51018958"/>
    <n v="79.097999999999999"/>
    <s v="PLATINO"/>
    <n v="483"/>
    <d v="2026-02-27T15:43:13"/>
  </r>
  <r>
    <n v="3209"/>
    <x v="1"/>
    <n v="51054903"/>
    <n v="78.62429682808542"/>
    <s v="PLATINO"/>
    <n v="501"/>
    <d v="2026-02-27T15:43:13"/>
  </r>
  <r>
    <n v="3210"/>
    <x v="1"/>
    <n v="51022084"/>
    <n v="72.527226119183325"/>
    <s v="ORO"/>
    <n v="619"/>
    <d v="2026-02-27T15:43:13"/>
  </r>
  <r>
    <n v="3211"/>
    <x v="1"/>
    <n v="51019202"/>
    <n v="77.576614571788454"/>
    <s v="PLATINO"/>
    <n v="536"/>
    <d v="2026-02-27T15:43:13"/>
  </r>
  <r>
    <n v="3212"/>
    <x v="1"/>
    <n v="51054920"/>
    <n v="18.146843223439941"/>
    <s v="BRONCE"/>
    <n v="956"/>
    <d v="2026-02-27T15:43:13"/>
  </r>
  <r>
    <n v="3213"/>
    <x v="1"/>
    <n v="51010663"/>
    <n v="70.749918259826359"/>
    <s v="ORO"/>
    <n v="631"/>
    <d v="2026-02-27T15:43:13"/>
  </r>
  <r>
    <n v="3214"/>
    <x v="1"/>
    <n v="51016866"/>
    <n v="70.172090010608272"/>
    <s v="ORO"/>
    <n v="642"/>
    <d v="2026-02-27T15:43:13"/>
  </r>
  <r>
    <n v="3215"/>
    <x v="1"/>
    <n v="51030184"/>
    <n v="78.290895404289898"/>
    <s v="PLATINO"/>
    <n v="506"/>
    <d v="2026-02-27T15:43:13"/>
  </r>
  <r>
    <n v="3216"/>
    <x v="1"/>
    <n v="51015428"/>
    <n v="77.586120991061364"/>
    <s v="PLATINO"/>
    <n v="535"/>
    <d v="2026-02-27T15:43:13"/>
  </r>
  <r>
    <n v="3217"/>
    <x v="1"/>
    <n v="51036557"/>
    <n v="38.385898934383093"/>
    <s v="PLATA"/>
    <n v="847"/>
    <d v="2026-02-27T15:43:13"/>
  </r>
  <r>
    <n v="3218"/>
    <x v="1"/>
    <n v="51056175"/>
    <n v="19.230880554657059"/>
    <s v="BRONCE"/>
    <n v="939"/>
    <d v="2026-02-27T15:43:13"/>
  </r>
  <r>
    <n v="3219"/>
    <x v="1"/>
    <n v="51039190"/>
    <n v="16.560573238397861"/>
    <s v="BRONCE"/>
    <n v="980"/>
    <d v="2026-02-27T15:43:13"/>
  </r>
  <r>
    <n v="3220"/>
    <x v="1"/>
    <n v="51056604"/>
    <n v="74.162328847158093"/>
    <s v="ORO"/>
    <n v="600"/>
    <d v="2026-02-27T15:43:13"/>
  </r>
  <r>
    <n v="3221"/>
    <x v="1"/>
    <n v="51021789"/>
    <n v="60.66672872775527"/>
    <s v="ORO"/>
    <n v="771"/>
    <d v="2026-02-27T15:43:13"/>
  </r>
  <r>
    <n v="3222"/>
    <x v="1"/>
    <n v="51056795"/>
    <n v="48.487816086068953"/>
    <s v="PLATA"/>
    <n v="822"/>
    <d v="2026-02-27T15:43:13"/>
  </r>
  <r>
    <n v="3223"/>
    <x v="1"/>
    <n v="51056931"/>
    <n v="57.695133561431071"/>
    <s v="ORO"/>
    <n v="800"/>
    <d v="2026-02-27T15:43:13"/>
  </r>
  <r>
    <n v="3224"/>
    <x v="1"/>
    <n v="51014120"/>
    <n v="78.242445709286898"/>
    <s v="PLATINO"/>
    <n v="509"/>
    <d v="2026-02-27T15:43:13"/>
  </r>
  <r>
    <n v="3225"/>
    <x v="1"/>
    <n v="51036182"/>
    <n v="58.799376333685743"/>
    <s v="ORO"/>
    <n v="797"/>
    <d v="2026-02-27T15:43:13"/>
  </r>
  <r>
    <n v="3226"/>
    <x v="1"/>
    <n v="51011465"/>
    <n v="59.704283949067893"/>
    <s v="ORO"/>
    <n v="787"/>
    <d v="2026-02-27T15:43:13"/>
  </r>
  <r>
    <n v="3227"/>
    <x v="1"/>
    <n v="51006151"/>
    <n v="58.503472425548857"/>
    <s v="ORO"/>
    <n v="798"/>
    <d v="2026-02-27T15:43:13"/>
  </r>
  <r>
    <n v="3228"/>
    <x v="1"/>
    <n v="51033418"/>
    <n v="17.80003953372907"/>
    <s v="BRONCE"/>
    <n v="965"/>
    <d v="2026-02-27T15:43:13"/>
  </r>
  <r>
    <n v="3229"/>
    <x v="1"/>
    <n v="51007841"/>
    <n v="80.158000000000001"/>
    <s v="PLATINO"/>
    <n v="438"/>
    <d v="2026-02-27T15:43:13"/>
  </r>
  <r>
    <n v="3230"/>
    <x v="1"/>
    <n v="51016602"/>
    <n v="77.920653123376653"/>
    <s v="PLATINO"/>
    <n v="524"/>
    <d v="2026-02-27T15:43:13"/>
  </r>
  <r>
    <n v="3231"/>
    <x v="1"/>
    <n v="51036077"/>
    <n v="18.410224757933999"/>
    <s v="BRONCE"/>
    <n v="952"/>
    <d v="2026-02-27T15:43:13"/>
  </r>
  <r>
    <n v="3232"/>
    <x v="1"/>
    <n v="51013662"/>
    <n v="76.057315693723893"/>
    <s v="PLATINO"/>
    <n v="571"/>
    <d v="2026-02-27T15:43:13"/>
  </r>
  <r>
    <n v="3233"/>
    <x v="1"/>
    <n v="51010248"/>
    <n v="60.735706862376013"/>
    <s v="ORO"/>
    <n v="769"/>
    <d v="2026-02-27T15:43:13"/>
  </r>
  <r>
    <n v="3234"/>
    <x v="1"/>
    <n v="51055764"/>
    <n v="69.612898809225385"/>
    <s v="ORO"/>
    <n v="646"/>
    <d v="2026-02-27T15:43:13"/>
  </r>
  <r>
    <n v="3235"/>
    <x v="1"/>
    <n v="51012496"/>
    <n v="80.319999999999993"/>
    <s v="PLATINO"/>
    <n v="434"/>
    <d v="2026-02-27T15:43:13"/>
  </r>
  <r>
    <n v="3236"/>
    <x v="1"/>
    <n v="51016874"/>
    <n v="34.24"/>
    <s v="PLATA"/>
    <n v="861"/>
    <d v="2026-02-27T15:43:13"/>
  </r>
  <r>
    <n v="3237"/>
    <x v="1"/>
    <n v="51011481"/>
    <n v="78.697476302347638"/>
    <s v="PLATINO"/>
    <n v="499"/>
    <d v="2026-02-27T15:43:13"/>
  </r>
  <r>
    <n v="3238"/>
    <x v="1"/>
    <n v="51042654"/>
    <n v="44.926072373185647"/>
    <s v="PLATA"/>
    <n v="830"/>
    <d v="2026-02-27T15:43:13"/>
  </r>
  <r>
    <n v="3239"/>
    <x v="1"/>
    <n v="51057074"/>
    <n v="77.249866991874796"/>
    <s v="PLATINO"/>
    <n v="547"/>
    <d v="2026-02-27T15:43:13"/>
  </r>
  <r>
    <n v="3240"/>
    <x v="1"/>
    <n v="51042913"/>
    <n v="76.480328480286744"/>
    <s v="PLATINO"/>
    <n v="562"/>
    <d v="2026-02-27T15:43:13"/>
  </r>
  <r>
    <n v="3241"/>
    <x v="1"/>
    <n v="51025857"/>
    <n v="80.98"/>
    <s v="PLATINO"/>
    <n v="412"/>
    <d v="2026-02-27T15:43:13"/>
  </r>
  <r>
    <n v="3242"/>
    <x v="1"/>
    <n v="51026071"/>
    <n v="18.115117672412278"/>
    <s v="BRONCE"/>
    <n v="958"/>
    <d v="2026-02-27T15:43:13"/>
  </r>
  <r>
    <n v="3243"/>
    <x v="1"/>
    <n v="51017595"/>
    <n v="60.061296056117193"/>
    <s v="ORO"/>
    <n v="784"/>
    <d v="2026-02-27T15:43:13"/>
  </r>
  <r>
    <n v="3244"/>
    <x v="1"/>
    <n v="51014707"/>
    <n v="78.867148386517897"/>
    <s v="PLATINO"/>
    <n v="492"/>
    <d v="2026-02-27T15:43:13"/>
  </r>
  <r>
    <n v="3245"/>
    <x v="1"/>
    <n v="51032390"/>
    <n v="19.31877371636882"/>
    <s v="BRONCE"/>
    <n v="937"/>
    <d v="2026-02-27T15:43:13"/>
  </r>
  <r>
    <n v="3246"/>
    <x v="1"/>
    <n v="51030249"/>
    <n v="61.138604307459481"/>
    <s v="ORO"/>
    <n v="759"/>
    <d v="2026-02-27T15:43:13"/>
  </r>
  <r>
    <n v="3247"/>
    <x v="1"/>
    <n v="51029518"/>
    <n v="76.847867618595657"/>
    <s v="PLATINO"/>
    <n v="553"/>
    <d v="2026-02-27T15:43:13"/>
  </r>
  <r>
    <n v="3248"/>
    <x v="1"/>
    <n v="51044011"/>
    <n v="70.649949302284"/>
    <s v="ORO"/>
    <n v="634"/>
    <d v="2026-02-27T15:43:13"/>
  </r>
  <r>
    <n v="3249"/>
    <x v="1"/>
    <n v="51013956"/>
    <n v="17.80021969571343"/>
    <s v="BRONCE"/>
    <n v="964"/>
    <d v="2026-02-27T15:43:13"/>
  </r>
  <r>
    <n v="3250"/>
    <x v="1"/>
    <n v="51023846"/>
    <n v="81.14"/>
    <s v="PLATINO"/>
    <n v="399"/>
    <d v="2026-02-27T15:43:13"/>
  </r>
  <r>
    <n v="3251"/>
    <x v="1"/>
    <n v="51019563"/>
    <n v="62.545385604208519"/>
    <s v="ORO"/>
    <n v="728"/>
    <d v="2026-02-27T15:43:13"/>
  </r>
  <r>
    <n v="3252"/>
    <x v="1"/>
    <n v="51030711"/>
    <n v="77.33585083902895"/>
    <s v="PLATINO"/>
    <n v="545"/>
    <d v="2026-02-27T15:43:13"/>
  </r>
  <r>
    <n v="3253"/>
    <x v="1"/>
    <n v="51056574"/>
    <n v="81.241235770841925"/>
    <s v="PLATINO"/>
    <n v="393"/>
    <d v="2026-02-27T15:43:13"/>
  </r>
  <r>
    <n v="3254"/>
    <x v="1"/>
    <n v="51056957"/>
    <n v="80.564767910584351"/>
    <s v="PLATINO"/>
    <n v="421"/>
    <d v="2026-02-27T15:43:13"/>
  </r>
  <r>
    <n v="3255"/>
    <x v="1"/>
    <n v="51055331"/>
    <n v="59.561158436184641"/>
    <s v="ORO"/>
    <n v="790"/>
    <d v="2026-02-27T15:43:13"/>
  </r>
  <r>
    <n v="3256"/>
    <x v="1"/>
    <n v="51018397"/>
    <n v="15.74443105340556"/>
    <s v="BRONCE"/>
    <n v="983"/>
    <d v="2026-02-27T15:43:13"/>
  </r>
  <r>
    <n v="3257"/>
    <x v="1"/>
    <n v="51025148"/>
    <n v="18.880369053450568"/>
    <s v="BRONCE"/>
    <n v="944"/>
    <d v="2026-02-27T15:43:13"/>
  </r>
  <r>
    <n v="3258"/>
    <x v="1"/>
    <n v="51005392"/>
    <n v="68.080660178598706"/>
    <s v="ORO"/>
    <n v="654"/>
    <d v="2026-02-27T15:43:13"/>
  </r>
  <r>
    <n v="3259"/>
    <x v="1"/>
    <n v="51023153"/>
    <n v="59.714566222197291"/>
    <s v="ORO"/>
    <n v="786"/>
    <d v="2026-02-27T15:43:13"/>
  </r>
  <r>
    <n v="3260"/>
    <x v="1"/>
    <n v="51024095"/>
    <n v="78.849541337236403"/>
    <s v="PLATINO"/>
    <n v="493"/>
    <d v="2026-02-27T15:43:13"/>
  </r>
  <r>
    <n v="3261"/>
    <x v="1"/>
    <n v="51002024"/>
    <n v="56.854406207237787"/>
    <s v="ORO"/>
    <n v="803"/>
    <d v="2026-02-27T15:43:13"/>
  </r>
  <r>
    <n v="3262"/>
    <x v="1"/>
    <n v="51056311"/>
    <n v="77.356000000000009"/>
    <s v="PLATINO"/>
    <n v="544"/>
    <d v="2026-02-27T15:43:13"/>
  </r>
  <r>
    <n v="3263"/>
    <x v="1"/>
    <n v="51016467"/>
    <n v="60.321938631958872"/>
    <s v="ORO"/>
    <n v="780"/>
    <d v="2026-02-27T15:43:13"/>
  </r>
  <r>
    <n v="3264"/>
    <x v="1"/>
    <n v="51021614"/>
    <n v="20"/>
    <s v="BRONCE"/>
    <n v="889"/>
    <d v="2026-02-27T15:43:13"/>
  </r>
  <r>
    <n v="3265"/>
    <x v="1"/>
    <n v="51042506"/>
    <n v="77.050462763875132"/>
    <s v="PLATINO"/>
    <n v="551"/>
    <d v="2026-02-27T15:43:13"/>
  </r>
  <r>
    <n v="3266"/>
    <x v="1"/>
    <n v="51023412"/>
    <n v="76.441306845450995"/>
    <s v="PLATINO"/>
    <n v="564"/>
    <d v="2026-02-27T15:43:13"/>
  </r>
  <r>
    <n v="3267"/>
    <x v="1"/>
    <n v="51033116"/>
    <n v="61.042429865342271"/>
    <s v="ORO"/>
    <n v="761"/>
    <d v="2026-02-27T15:43:13"/>
  </r>
  <r>
    <n v="3268"/>
    <x v="1"/>
    <n v="51003292"/>
    <n v="79.156056875885696"/>
    <s v="PLATINO"/>
    <n v="479"/>
    <d v="2026-02-27T15:43:13"/>
  </r>
  <r>
    <n v="3269"/>
    <x v="1"/>
    <n v="51014251"/>
    <n v="55.968728629246009"/>
    <s v="ORO"/>
    <n v="805"/>
    <d v="2026-02-27T15:43:13"/>
  </r>
  <r>
    <n v="3270"/>
    <x v="1"/>
    <n v="51042999"/>
    <n v="18.780872775679121"/>
    <s v="BRONCE"/>
    <n v="947"/>
    <d v="2026-02-27T15:43:13"/>
  </r>
  <r>
    <n v="3271"/>
    <x v="1"/>
    <n v="51041712"/>
    <n v="74.138954280374179"/>
    <s v="ORO"/>
    <n v="601"/>
    <d v="2026-02-27T15:43:13"/>
  </r>
  <r>
    <n v="3272"/>
    <x v="1"/>
    <n v="51023293"/>
    <n v="65.155178434468453"/>
    <s v="ORO"/>
    <n v="684"/>
    <d v="2026-02-27T15:43:13"/>
  </r>
  <r>
    <n v="3273"/>
    <x v="1"/>
    <n v="51033507"/>
    <n v="17.719831077906811"/>
    <s v="BRONCE"/>
    <n v="967"/>
    <d v="2026-02-27T15:43:13"/>
  </r>
  <r>
    <n v="3274"/>
    <x v="1"/>
    <n v="51013875"/>
    <n v="76.337389014677242"/>
    <s v="PLATINO"/>
    <n v="567"/>
    <d v="2026-02-27T15:43:13"/>
  </r>
  <r>
    <n v="3275"/>
    <x v="1"/>
    <n v="51013395"/>
    <n v="17.814368397500491"/>
    <s v="BRONCE"/>
    <n v="963"/>
    <d v="2026-02-27T15:43:13"/>
  </r>
  <r>
    <n v="3276"/>
    <x v="1"/>
    <n v="51056108"/>
    <n v="17.269278766127218"/>
    <s v="BRONCE"/>
    <n v="976"/>
    <d v="2026-02-27T15:43:13"/>
  </r>
  <r>
    <n v="3277"/>
    <x v="1"/>
    <n v="51055837"/>
    <n v="18.885753661730821"/>
    <s v="BRONCE"/>
    <n v="943"/>
    <d v="2026-02-27T15:43:13"/>
  </r>
  <r>
    <n v="3278"/>
    <x v="1"/>
    <n v="51056248"/>
    <n v="25.372291961670548"/>
    <s v="BRONCE"/>
    <n v="886"/>
    <d v="2026-02-27T15:43:13"/>
  </r>
  <r>
    <n v="3279"/>
    <x v="1"/>
    <n v="51025245"/>
    <n v="79.838000000000008"/>
    <s v="PLATINO"/>
    <n v="450"/>
    <d v="2026-02-27T15:43:13"/>
  </r>
  <r>
    <n v="3280"/>
    <x v="1"/>
    <n v="51016360"/>
    <n v="77.544498427362839"/>
    <s v="PLATINO"/>
    <n v="539"/>
    <d v="2026-02-27T15:43:13"/>
  </r>
  <r>
    <n v="3281"/>
    <x v="1"/>
    <n v="51040881"/>
    <n v="48.021983656704123"/>
    <s v="PLATA"/>
    <n v="823"/>
    <d v="2026-02-27T15:43:13"/>
  </r>
  <r>
    <n v="3282"/>
    <x v="1"/>
    <n v="51031776"/>
    <n v="32.802999999999997"/>
    <s v="PLATA"/>
    <n v="864"/>
    <d v="2026-02-27T15:43:13"/>
  </r>
  <r>
    <n v="3283"/>
    <x v="1"/>
    <n v="51013166"/>
    <n v="44.105046169136628"/>
    <s v="PLATA"/>
    <n v="833"/>
    <d v="2026-02-27T15:43:13"/>
  </r>
  <r>
    <n v="3284"/>
    <x v="1"/>
    <n v="51032918"/>
    <n v="74.191215585662434"/>
    <s v="ORO"/>
    <n v="599"/>
    <d v="2026-02-27T15:43:13"/>
  </r>
  <r>
    <n v="3285"/>
    <x v="1"/>
    <n v="51025717"/>
    <n v="28.72053865785908"/>
    <s v="BRONCE"/>
    <n v="877"/>
    <d v="2026-02-27T15:43:13"/>
  </r>
  <r>
    <n v="3286"/>
    <x v="1"/>
    <n v="51033001"/>
    <n v="75.915880591758011"/>
    <s v="PLATINO"/>
    <n v="574"/>
    <d v="2026-02-27T15:43:13"/>
  </r>
  <r>
    <n v="3287"/>
    <x v="1"/>
    <n v="51012674"/>
    <n v="42.962650006935682"/>
    <s v="PLATA"/>
    <n v="835"/>
    <d v="2026-02-27T15:43:13"/>
  </r>
  <r>
    <n v="3288"/>
    <x v="1"/>
    <n v="51007743"/>
    <n v="79.44"/>
    <s v="PLATINO"/>
    <n v="469"/>
    <d v="2026-02-27T15:43:13"/>
  </r>
  <r>
    <n v="3289"/>
    <x v="1"/>
    <n v="51032705"/>
    <n v="46.576264606848568"/>
    <s v="PLATA"/>
    <n v="826"/>
    <d v="2026-02-27T15:43:13"/>
  </r>
  <r>
    <n v="3290"/>
    <x v="1"/>
    <n v="51041887"/>
    <n v="75.310905599218756"/>
    <s v="PLATINO"/>
    <n v="582"/>
    <d v="2026-02-27T15:43:13"/>
  </r>
  <r>
    <n v="3291"/>
    <x v="1"/>
    <n v="51030826"/>
    <n v="60.91"/>
    <s v="ORO"/>
    <n v="764"/>
    <d v="2026-02-27T15:43:13"/>
  </r>
  <r>
    <n v="3292"/>
    <x v="1"/>
    <n v="51011007"/>
    <n v="60.144467395096243"/>
    <s v="ORO"/>
    <n v="783"/>
    <d v="2026-02-27T15:43:13"/>
  </r>
  <r>
    <n v="3293"/>
    <x v="1"/>
    <n v="51007514"/>
    <n v="76.057801532950492"/>
    <s v="PLATINO"/>
    <n v="570"/>
    <d v="2026-02-27T15:43:13"/>
  </r>
  <r>
    <n v="3294"/>
    <x v="1"/>
    <n v="51024281"/>
    <n v="76.525019964428125"/>
    <s v="PLATINO"/>
    <n v="559"/>
    <d v="2026-02-27T15:43:13"/>
  </r>
  <r>
    <n v="3295"/>
    <x v="1"/>
    <n v="51020961"/>
    <n v="61.6"/>
    <s v="ORO"/>
    <n v="751"/>
    <d v="2026-02-27T15:43:13"/>
  </r>
  <r>
    <n v="3296"/>
    <x v="1"/>
    <n v="51022718"/>
    <n v="60.817999999999998"/>
    <s v="ORO"/>
    <n v="766"/>
    <d v="2026-02-27T15:43:13"/>
  </r>
  <r>
    <n v="3297"/>
    <x v="1"/>
    <n v="51039815"/>
    <n v="75.910184163582102"/>
    <s v="PLATINO"/>
    <n v="575"/>
    <d v="2026-02-27T15:43:13"/>
  </r>
  <r>
    <n v="3298"/>
    <x v="1"/>
    <n v="51023277"/>
    <n v="77.482944965645103"/>
    <s v="PLATINO"/>
    <n v="540"/>
    <d v="2026-02-27T15:43:13"/>
  </r>
  <r>
    <n v="3299"/>
    <x v="1"/>
    <n v="51056353"/>
    <n v="77.798000000000002"/>
    <s v="PLATINO"/>
    <n v="528"/>
    <d v="2026-02-27T15:43:13"/>
  </r>
  <r>
    <n v="3300"/>
    <x v="1"/>
    <n v="51001419"/>
    <n v="75.141598477700853"/>
    <s v="PLATINO"/>
    <n v="587"/>
    <d v="2026-02-27T15:43:13"/>
  </r>
  <r>
    <n v="3301"/>
    <x v="1"/>
    <n v="51018001"/>
    <n v="19.792999999999999"/>
    <s v="BRONCE"/>
    <n v="930"/>
    <d v="2026-02-27T15:43:13"/>
  </r>
  <r>
    <n v="3302"/>
    <x v="1"/>
    <n v="51020707"/>
    <n v="17.132716027108248"/>
    <s v="BRONCE"/>
    <n v="977"/>
    <d v="2026-02-27T15:43:13"/>
  </r>
  <r>
    <n v="3303"/>
    <x v="1"/>
    <n v="51018923"/>
    <n v="73.51663879684989"/>
    <s v="ORO"/>
    <n v="610"/>
    <d v="2026-02-27T15:43:13"/>
  </r>
  <r>
    <n v="3304"/>
    <x v="1"/>
    <n v="51012721"/>
    <n v="73.621299824942312"/>
    <s v="ORO"/>
    <n v="609"/>
    <d v="2026-02-27T15:43:13"/>
  </r>
  <r>
    <n v="3305"/>
    <x v="1"/>
    <n v="51020634"/>
    <n v="19.984999999999999"/>
    <s v="BRONCE"/>
    <n v="919"/>
    <d v="2026-02-27T15:43:13"/>
  </r>
  <r>
    <n v="3306"/>
    <x v="1"/>
    <n v="51056507"/>
    <n v="61"/>
    <s v="ORO"/>
    <n v="762"/>
    <d v="2026-02-27T15:43:13"/>
  </r>
  <r>
    <n v="3307"/>
    <x v="1"/>
    <n v="51002105"/>
    <n v="71.280238473654734"/>
    <s v="ORO"/>
    <n v="624"/>
    <d v="2026-02-27T15:43:13"/>
  </r>
  <r>
    <n v="3308"/>
    <x v="1"/>
    <n v="51055136"/>
    <n v="77.2"/>
    <s v="PLATINO"/>
    <n v="548"/>
    <d v="2026-02-27T15:43:13"/>
  </r>
  <r>
    <n v="3309"/>
    <x v="1"/>
    <n v="51008685"/>
    <n v="78.990396694274523"/>
    <s v="PLATINO"/>
    <n v="485"/>
    <d v="2026-02-27T15:43:13"/>
  </r>
  <r>
    <n v="3310"/>
    <x v="1"/>
    <n v="51055306"/>
    <n v="76.650943546887319"/>
    <s v="PLATINO"/>
    <n v="557"/>
    <d v="2026-02-27T15:43:13"/>
  </r>
  <r>
    <n v="3311"/>
    <x v="1"/>
    <n v="51024036"/>
    <n v="60.79"/>
    <s v="ORO"/>
    <n v="767"/>
    <d v="2026-02-27T15:43:13"/>
  </r>
  <r>
    <n v="3312"/>
    <x v="1"/>
    <n v="51011597"/>
    <n v="78.93327874541157"/>
    <s v="PLATINO"/>
    <n v="489"/>
    <d v="2026-02-27T15:43:13"/>
  </r>
  <r>
    <n v="3313"/>
    <x v="1"/>
    <n v="51043260"/>
    <n v="75.746110143655187"/>
    <s v="PLATINO"/>
    <n v="576"/>
    <d v="2026-02-27T15:43:13"/>
  </r>
  <r>
    <n v="3314"/>
    <x v="1"/>
    <n v="51004035"/>
    <n v="60.617942826927973"/>
    <s v="ORO"/>
    <n v="773"/>
    <d v="2026-02-27T15:43:13"/>
  </r>
  <r>
    <n v="3315"/>
    <x v="1"/>
    <n v="51043537"/>
    <n v="75.697636017495128"/>
    <s v="PLATINO"/>
    <n v="578"/>
    <d v="2026-02-27T15:43:13"/>
  </r>
  <r>
    <n v="3316"/>
    <x v="1"/>
    <n v="51056752"/>
    <n v="80.123000000000005"/>
    <s v="PLATINO"/>
    <n v="439"/>
    <d v="2026-02-27T15:43:13"/>
  </r>
  <r>
    <n v="3317"/>
    <x v="1"/>
    <n v="51031857"/>
    <n v="60.55605156622736"/>
    <s v="ORO"/>
    <n v="776"/>
    <d v="2026-02-27T15:43:13"/>
  </r>
  <r>
    <n v="3318"/>
    <x v="1"/>
    <n v="51014138"/>
    <n v="74.345638802539085"/>
    <s v="ORO"/>
    <n v="596"/>
    <d v="2026-02-27T15:43:13"/>
  </r>
  <r>
    <n v="3319"/>
    <x v="1"/>
    <n v="51055578"/>
    <n v="67.837563867352614"/>
    <s v="ORO"/>
    <n v="658"/>
    <d v="2026-02-27T15:43:13"/>
  </r>
  <r>
    <n v="3320"/>
    <x v="1"/>
    <n v="51024028"/>
    <n v="28.04752414843594"/>
    <s v="BRONCE"/>
    <n v="882"/>
    <d v="2026-02-27T15:43:13"/>
  </r>
  <r>
    <n v="3321"/>
    <x v="1"/>
    <n v="51057031"/>
    <n v="57.144047375029338"/>
    <s v="ORO"/>
    <n v="802"/>
    <d v="2026-02-27T15:43:13"/>
  </r>
  <r>
    <n v="3322"/>
    <x v="1"/>
    <n v="51011929"/>
    <n v="74.106197779080702"/>
    <s v="ORO"/>
    <n v="602"/>
    <d v="2026-02-27T15:43:13"/>
  </r>
  <r>
    <n v="3323"/>
    <x v="1"/>
    <n v="51017773"/>
    <n v="31.160018063397779"/>
    <s v="PLATA"/>
    <n v="871"/>
    <d v="2026-02-27T15:43:13"/>
  </r>
  <r>
    <n v="3324"/>
    <x v="1"/>
    <n v="51003063"/>
    <n v="61.278000000000013"/>
    <s v="ORO"/>
    <n v="757"/>
    <d v="2026-02-27T15:43:13"/>
  </r>
  <r>
    <n v="3325"/>
    <x v="1"/>
    <n v="51022572"/>
    <n v="20"/>
    <s v="BRONCE"/>
    <n v="889"/>
    <d v="2026-02-27T15:43:13"/>
  </r>
  <r>
    <n v="3326"/>
    <x v="1"/>
    <n v="51022343"/>
    <n v="17.60137826187886"/>
    <s v="BRONCE"/>
    <n v="972"/>
    <d v="2026-02-27T15:43:13"/>
  </r>
  <r>
    <n v="3327"/>
    <x v="1"/>
    <n v="51015835"/>
    <n v="76.438000000000002"/>
    <s v="PLATINO"/>
    <n v="566"/>
    <d v="2026-02-27T15:43:13"/>
  </r>
  <r>
    <n v="3328"/>
    <x v="1"/>
    <n v="51056329"/>
    <n v="14.992518823176759"/>
    <s v="BRONCE"/>
    <n v="987"/>
    <d v="2026-02-27T15:43:13"/>
  </r>
  <r>
    <n v="3329"/>
    <x v="1"/>
    <n v="51030915"/>
    <n v="15.339146528833981"/>
    <s v="BRONCE"/>
    <n v="986"/>
    <d v="2026-02-27T15:43:13"/>
  </r>
  <r>
    <n v="3330"/>
    <x v="1"/>
    <n v="51017871"/>
    <n v="14.550289030644571"/>
    <s v="BRONCE"/>
    <n v="989"/>
    <d v="2026-02-27T15:43:13"/>
  </r>
  <r>
    <n v="3331"/>
    <x v="1"/>
    <n v="51017218"/>
    <n v="76.460000000000008"/>
    <s v="PLATINO"/>
    <n v="563"/>
    <d v="2026-02-27T15:43:13"/>
  </r>
  <r>
    <n v="3332"/>
    <x v="1"/>
    <n v="51039025"/>
    <n v="19.43753136773012"/>
    <s v="BRONCE"/>
    <n v="933"/>
    <d v="2026-02-27T15:43:13"/>
  </r>
  <r>
    <n v="3333"/>
    <x v="1"/>
    <n v="51026497"/>
    <n v="62.599649698217767"/>
    <s v="ORO"/>
    <n v="724"/>
    <d v="2026-02-27T15:43:13"/>
  </r>
  <r>
    <n v="3334"/>
    <x v="1"/>
    <n v="51043693"/>
    <n v="67.657727442880002"/>
    <s v="ORO"/>
    <n v="660"/>
    <d v="2026-02-27T15:43:13"/>
  </r>
  <r>
    <n v="3335"/>
    <x v="1"/>
    <n v="51001532"/>
    <n v="61.1"/>
    <s v="ORO"/>
    <n v="760"/>
    <d v="2026-02-27T15:43:13"/>
  </r>
  <r>
    <n v="3336"/>
    <x v="1"/>
    <n v="51002709"/>
    <n v="77.378"/>
    <s v="PLATINO"/>
    <n v="543"/>
    <d v="2026-02-27T15:43:13"/>
  </r>
  <r>
    <n v="3337"/>
    <x v="1"/>
    <n v="51015151"/>
    <n v="10"/>
    <s v="BRONCE"/>
    <n v="993"/>
    <d v="2026-02-27T15:43:13"/>
  </r>
  <r>
    <n v="3338"/>
    <x v="1"/>
    <n v="51009941"/>
    <n v="77.02"/>
    <s v="PLATINO"/>
    <n v="552"/>
    <d v="2026-02-27T15:43:13"/>
  </r>
  <r>
    <n v="3339"/>
    <x v="1"/>
    <n v="51024818"/>
    <n v="19.998000000000001"/>
    <s v="BRONCE"/>
    <n v="908"/>
    <d v="2026-02-27T15:43:13"/>
  </r>
  <r>
    <n v="3340"/>
    <x v="1"/>
    <n v="51010523"/>
    <n v="19.998000000000001"/>
    <s v="BRONCE"/>
    <n v="908"/>
    <d v="2026-02-27T15:43:13"/>
  </r>
  <r>
    <n v="3341"/>
    <x v="1"/>
    <n v="51000552"/>
    <n v="78.050000000000011"/>
    <s v="PLATINO"/>
    <n v="515"/>
    <d v="2026-02-27T15:43:13"/>
  </r>
  <r>
    <n v="3342"/>
    <x v="1"/>
    <n v="51052331"/>
    <n v="60.505000000000003"/>
    <s v="ORO"/>
    <n v="778"/>
    <d v="2026-02-27T15:43:13"/>
  </r>
  <r>
    <n v="3343"/>
    <x v="1"/>
    <n v="51024460"/>
    <n v="17.434188948318521"/>
    <s v="BRONCE"/>
    <n v="974"/>
    <d v="2026-02-27T15:43:13"/>
  </r>
  <r>
    <n v="3344"/>
    <x v="1"/>
    <n v="51024885"/>
    <n v="58.905351757340682"/>
    <s v="ORO"/>
    <n v="795"/>
    <d v="2026-02-27T15:43:13"/>
  </r>
  <r>
    <n v="3345"/>
    <x v="1"/>
    <n v="51005554"/>
    <n v="77.180000000000007"/>
    <s v="PLATINO"/>
    <n v="549"/>
    <d v="2026-02-27T15:43:13"/>
  </r>
  <r>
    <n v="3346"/>
    <x v="1"/>
    <n v="51024478"/>
    <n v="19.97"/>
    <s v="BRONCE"/>
    <n v="923"/>
    <d v="2026-02-27T15:43:13"/>
  </r>
  <r>
    <n v="3347"/>
    <x v="1"/>
    <n v="51012691"/>
    <n v="14.191055099065119"/>
    <s v="BRONCE"/>
    <n v="991"/>
    <d v="2026-02-27T15:43:13"/>
  </r>
  <r>
    <n v="3348"/>
    <x v="1"/>
    <n v="51015681"/>
    <n v="73.7738298227748"/>
    <s v="ORO"/>
    <n v="605"/>
    <d v="2026-02-27T15:43:13"/>
  </r>
  <r>
    <n v="3349"/>
    <x v="1"/>
    <n v="51019008"/>
    <n v="70.472951663415159"/>
    <s v="ORO"/>
    <n v="637"/>
    <d v="2026-02-27T15:43:13"/>
  </r>
  <r>
    <n v="3350"/>
    <x v="1"/>
    <n v="51015762"/>
    <n v="46.636964170528913"/>
    <s v="PLATA"/>
    <n v="825"/>
    <d v="2026-02-27T15:43:13"/>
  </r>
  <r>
    <n v="3351"/>
    <x v="1"/>
    <n v="51017714"/>
    <n v="19.998000000000001"/>
    <s v="BRONCE"/>
    <n v="908"/>
    <d v="2026-02-27T15:43:13"/>
  </r>
  <r>
    <n v="3352"/>
    <x v="1"/>
    <n v="51031997"/>
    <n v="9.9960000000000004"/>
    <s v="BRONCE"/>
    <n v="1171"/>
    <d v="2026-02-27T15:43:13"/>
  </r>
  <r>
    <n v="3353"/>
    <x v="1"/>
    <n v="51039181"/>
    <n v="76.819999999999993"/>
    <s v="PLATINO"/>
    <n v="554"/>
    <d v="2026-02-27T15:43:13"/>
  </r>
  <r>
    <n v="3354"/>
    <x v="1"/>
    <n v="51057121"/>
    <n v="17.452531087630991"/>
    <s v="BRONCE"/>
    <n v="973"/>
    <d v="2026-02-27T15:43:13"/>
  </r>
  <r>
    <n v="3355"/>
    <x v="1"/>
    <n v="51018290"/>
    <n v="60.54"/>
    <s v="ORO"/>
    <n v="777"/>
    <d v="2026-02-27T15:43:13"/>
  </r>
  <r>
    <n v="3356"/>
    <x v="1"/>
    <n v="51043561"/>
    <n v="19.998000000000001"/>
    <s v="BRONCE"/>
    <n v="908"/>
    <d v="2026-02-27T15:43:13"/>
  </r>
  <r>
    <n v="3357"/>
    <x v="1"/>
    <n v="51036964"/>
    <n v="60.58"/>
    <s v="ORO"/>
    <n v="775"/>
    <d v="2026-02-27T15:43:13"/>
  </r>
  <r>
    <n v="3358"/>
    <x v="1"/>
    <n v="51030290"/>
    <n v="75.92"/>
    <s v="PLATINO"/>
    <n v="573"/>
    <d v="2026-02-27T15:43:13"/>
  </r>
  <r>
    <n v="3359"/>
    <x v="1"/>
    <n v="51023331"/>
    <n v="51.422965009388889"/>
    <s v="PLATA"/>
    <n v="811"/>
    <d v="2026-02-27T15:43:13"/>
  </r>
  <r>
    <n v="3360"/>
    <x v="1"/>
    <n v="51024010"/>
    <n v="38.050729443290223"/>
    <s v="PLATA"/>
    <n v="848"/>
    <d v="2026-02-27T15:43:13"/>
  </r>
  <r>
    <n v="3361"/>
    <x v="1"/>
    <n v="51024664"/>
    <n v="65.331706087294506"/>
    <s v="ORO"/>
    <n v="682"/>
    <d v="2026-02-27T15:43:13"/>
  </r>
  <r>
    <n v="3362"/>
    <x v="1"/>
    <n v="51009185"/>
    <n v="76.240000000000009"/>
    <s v="PLATINO"/>
    <n v="569"/>
    <d v="2026-02-27T15:43:13"/>
  </r>
  <r>
    <n v="3363"/>
    <x v="1"/>
    <n v="51039424"/>
    <n v="9.9700000000000006"/>
    <s v="BRONCE"/>
    <n v="1183"/>
    <d v="2026-02-27T15:43:13"/>
  </r>
  <r>
    <n v="3364"/>
    <x v="1"/>
    <n v="51038941"/>
    <n v="14.522838899848081"/>
    <s v="BRONCE"/>
    <n v="990"/>
    <d v="2026-02-27T15:43:13"/>
  </r>
  <r>
    <n v="3365"/>
    <x v="1"/>
    <n v="51015126"/>
    <n v="19.998000000000001"/>
    <s v="BRONCE"/>
    <n v="908"/>
    <d v="2026-02-27T15:43:13"/>
  </r>
  <r>
    <n v="3366"/>
    <x v="1"/>
    <n v="51017234"/>
    <n v="10"/>
    <s v="BRONCE"/>
    <n v="993"/>
    <d v="2026-02-27T15:43:13"/>
  </r>
  <r>
    <n v="3367"/>
    <x v="1"/>
    <n v="51012852"/>
    <n v="72.613785510833267"/>
    <s v="ORO"/>
    <n v="617"/>
    <d v="2026-02-27T15:43:13"/>
  </r>
  <r>
    <n v="3368"/>
    <x v="1"/>
    <n v="51010396"/>
    <n v="74.613990532848874"/>
    <s v="ORO"/>
    <n v="594"/>
    <d v="2026-02-27T15:43:13"/>
  </r>
  <r>
    <n v="3369"/>
    <x v="1"/>
    <n v="51022629"/>
    <n v="20"/>
    <s v="BRONCE"/>
    <n v="889"/>
    <d v="2026-02-27T15:43:13"/>
  </r>
  <r>
    <n v="3370"/>
    <x v="1"/>
    <n v="51021274"/>
    <n v="75.566000000000003"/>
    <s v="PLATINO"/>
    <n v="580"/>
    <d v="2026-02-27T15:43:13"/>
  </r>
  <r>
    <n v="3371"/>
    <x v="1"/>
    <n v="51021819"/>
    <n v="42.903968402001453"/>
    <s v="PLATA"/>
    <n v="836"/>
    <d v="2026-02-27T15:43:13"/>
  </r>
  <r>
    <n v="3372"/>
    <x v="1"/>
    <n v="51011171"/>
    <n v="19.998000000000001"/>
    <s v="BRONCE"/>
    <n v="908"/>
    <d v="2026-02-27T15:43:13"/>
  </r>
  <r>
    <n v="3373"/>
    <x v="1"/>
    <n v="51012470"/>
    <n v="75.698000000000008"/>
    <s v="PLATINO"/>
    <n v="577"/>
    <d v="2026-02-27T15:43:13"/>
  </r>
  <r>
    <n v="3374"/>
    <x v="1"/>
    <n v="51032713"/>
    <n v="82.678000000000011"/>
    <s v="PLATINO"/>
    <n v="329"/>
    <d v="2026-02-27T15:43:13"/>
  </r>
  <r>
    <n v="3375"/>
    <x v="1"/>
    <n v="51010744"/>
    <n v="50.278000000000013"/>
    <s v="PLATA"/>
    <n v="815"/>
    <d v="2026-02-27T15:43:13"/>
  </r>
  <r>
    <n v="3376"/>
    <x v="1"/>
    <n v="51057546"/>
    <n v="10"/>
    <s v="BRONCE"/>
    <n v="993"/>
    <d v="2026-02-27T15:43:13"/>
  </r>
  <r>
    <n v="3377"/>
    <x v="1"/>
    <n v="51023889"/>
    <n v="67.17"/>
    <s v="ORO"/>
    <n v="663"/>
    <d v="2026-02-27T15:43:13"/>
  </r>
  <r>
    <n v="3378"/>
    <x v="1"/>
    <n v="51031041"/>
    <n v="9.93"/>
    <s v="BRONCE"/>
    <n v="1186"/>
    <d v="2026-02-27T15:43:13"/>
  </r>
  <r>
    <n v="3379"/>
    <x v="1"/>
    <n v="51022262"/>
    <n v="9.9939999999999998"/>
    <s v="BRONCE"/>
    <n v="1172"/>
    <d v="2026-02-27T15:43:13"/>
  </r>
  <r>
    <n v="3380"/>
    <x v="1"/>
    <n v="51017731"/>
    <n v="9.9810000000000016"/>
    <s v="BRONCE"/>
    <n v="1182"/>
    <d v="2026-02-27T15:43:13"/>
  </r>
  <r>
    <n v="3381"/>
    <x v="1"/>
    <n v="51000269"/>
    <n v="10"/>
    <s v="BRONCE"/>
    <n v="993"/>
    <d v="2026-02-27T15:43:13"/>
  </r>
  <r>
    <n v="3382"/>
    <x v="1"/>
    <n v="51000862"/>
    <n v="10"/>
    <s v="BRONCE"/>
    <n v="993"/>
    <d v="2026-02-27T15:43:13"/>
  </r>
  <r>
    <n v="3383"/>
    <x v="1"/>
    <n v="51001494"/>
    <n v="10"/>
    <s v="BRONCE"/>
    <n v="993"/>
    <d v="2026-02-27T15:43:13"/>
  </r>
  <r>
    <n v="3384"/>
    <x v="1"/>
    <n v="51001745"/>
    <n v="10"/>
    <s v="BRONCE"/>
    <n v="993"/>
    <d v="2026-02-27T15:43:13"/>
  </r>
  <r>
    <n v="3385"/>
    <x v="1"/>
    <n v="51001923"/>
    <n v="10"/>
    <s v="BRONCE"/>
    <n v="993"/>
    <d v="2026-02-27T15:43:13"/>
  </r>
  <r>
    <n v="3386"/>
    <x v="1"/>
    <n v="51003721"/>
    <n v="10"/>
    <s v="BRONCE"/>
    <n v="993"/>
    <d v="2026-02-27T15:43:13"/>
  </r>
  <r>
    <n v="3387"/>
    <x v="1"/>
    <n v="51004167"/>
    <n v="10"/>
    <s v="BRONCE"/>
    <n v="993"/>
    <d v="2026-02-27T15:43:13"/>
  </r>
  <r>
    <n v="3388"/>
    <x v="1"/>
    <n v="51004671"/>
    <n v="10"/>
    <s v="BRONCE"/>
    <n v="993"/>
    <d v="2026-02-27T15:43:13"/>
  </r>
  <r>
    <n v="3389"/>
    <x v="1"/>
    <n v="51005058"/>
    <n v="10"/>
    <s v="BRONCE"/>
    <n v="993"/>
    <d v="2026-02-27T15:43:13"/>
  </r>
  <r>
    <n v="3390"/>
    <x v="1"/>
    <n v="51005201"/>
    <n v="10"/>
    <s v="BRONCE"/>
    <n v="993"/>
    <d v="2026-02-27T15:43:13"/>
  </r>
  <r>
    <n v="3391"/>
    <x v="1"/>
    <n v="51005384"/>
    <n v="49.007617328471142"/>
    <s v="PLATA"/>
    <n v="819"/>
    <d v="2026-02-27T15:43:13"/>
  </r>
  <r>
    <n v="3392"/>
    <x v="1"/>
    <n v="51005902"/>
    <n v="51.42"/>
    <s v="PLATA"/>
    <n v="812"/>
    <d v="2026-02-27T15:43:13"/>
  </r>
  <r>
    <n v="3393"/>
    <x v="1"/>
    <n v="51006445"/>
    <n v="9.76"/>
    <s v="BRONCE"/>
    <n v="1189"/>
    <d v="2026-02-27T15:43:13"/>
  </r>
  <r>
    <n v="3394"/>
    <x v="1"/>
    <n v="51006453"/>
    <n v="10"/>
    <s v="BRONCE"/>
    <n v="993"/>
    <d v="2026-02-27T15:43:13"/>
  </r>
  <r>
    <n v="3395"/>
    <x v="1"/>
    <n v="51006518"/>
    <n v="10"/>
    <s v="BRONCE"/>
    <n v="993"/>
    <d v="2026-02-27T15:43:13"/>
  </r>
  <r>
    <n v="3396"/>
    <x v="1"/>
    <n v="51006674"/>
    <n v="10"/>
    <s v="BRONCE"/>
    <n v="993"/>
    <d v="2026-02-27T15:43:13"/>
  </r>
  <r>
    <n v="3397"/>
    <x v="1"/>
    <n v="51010094"/>
    <n v="10"/>
    <s v="BRONCE"/>
    <n v="993"/>
    <d v="2026-02-27T15:43:13"/>
  </r>
  <r>
    <n v="3398"/>
    <x v="1"/>
    <n v="51010108"/>
    <n v="10"/>
    <s v="BRONCE"/>
    <n v="993"/>
    <d v="2026-02-27T15:43:13"/>
  </r>
  <r>
    <n v="3399"/>
    <x v="1"/>
    <n v="51010167"/>
    <n v="10"/>
    <s v="BRONCE"/>
    <n v="993"/>
    <d v="2026-02-27T15:43:13"/>
  </r>
  <r>
    <n v="3400"/>
    <x v="1"/>
    <n v="51010388"/>
    <n v="10"/>
    <s v="BRONCE"/>
    <n v="993"/>
    <d v="2026-02-27T15:43:13"/>
  </r>
  <r>
    <n v="3401"/>
    <x v="1"/>
    <n v="51010477"/>
    <n v="10"/>
    <s v="BRONCE"/>
    <n v="993"/>
    <d v="2026-02-27T15:43:13"/>
  </r>
  <r>
    <n v="3402"/>
    <x v="1"/>
    <n v="51010485"/>
    <n v="10"/>
    <s v="BRONCE"/>
    <n v="993"/>
    <d v="2026-02-27T15:43:13"/>
  </r>
  <r>
    <n v="3403"/>
    <x v="1"/>
    <n v="51010612"/>
    <n v="10"/>
    <s v="BRONCE"/>
    <n v="993"/>
    <d v="2026-02-27T15:43:13"/>
  </r>
  <r>
    <n v="3404"/>
    <x v="1"/>
    <n v="51010639"/>
    <n v="10"/>
    <s v="BRONCE"/>
    <n v="993"/>
    <d v="2026-02-27T15:43:13"/>
  </r>
  <r>
    <n v="3405"/>
    <x v="1"/>
    <n v="51010965"/>
    <n v="10"/>
    <s v="BRONCE"/>
    <n v="993"/>
    <d v="2026-02-27T15:43:13"/>
  </r>
  <r>
    <n v="3406"/>
    <x v="1"/>
    <n v="51011082"/>
    <n v="19.922999999999998"/>
    <s v="BRONCE"/>
    <n v="929"/>
    <d v="2026-02-27T15:43:13"/>
  </r>
  <r>
    <n v="3407"/>
    <x v="1"/>
    <n v="51011104"/>
    <n v="10"/>
    <s v="BRONCE"/>
    <n v="993"/>
    <d v="2026-02-27T15:43:13"/>
  </r>
  <r>
    <n v="3408"/>
    <x v="1"/>
    <n v="51011163"/>
    <n v="10"/>
    <s v="BRONCE"/>
    <n v="993"/>
    <d v="2026-02-27T15:43:13"/>
  </r>
  <r>
    <n v="3409"/>
    <x v="1"/>
    <n v="51011406"/>
    <n v="10"/>
    <s v="BRONCE"/>
    <n v="993"/>
    <d v="2026-02-27T15:43:13"/>
  </r>
  <r>
    <n v="3410"/>
    <x v="1"/>
    <n v="51011503"/>
    <n v="9.9849999999999994"/>
    <s v="BRONCE"/>
    <n v="1173"/>
    <d v="2026-02-27T15:43:13"/>
  </r>
  <r>
    <n v="3411"/>
    <x v="1"/>
    <n v="51011511"/>
    <n v="10"/>
    <s v="BRONCE"/>
    <n v="993"/>
    <d v="2026-02-27T15:43:13"/>
  </r>
  <r>
    <n v="3412"/>
    <x v="1"/>
    <n v="51011881"/>
    <n v="10"/>
    <s v="BRONCE"/>
    <n v="993"/>
    <d v="2026-02-27T15:43:13"/>
  </r>
  <r>
    <n v="3413"/>
    <x v="1"/>
    <n v="51011911"/>
    <n v="6.7549999999999999"/>
    <s v="BRONCE"/>
    <n v="1191"/>
    <d v="2026-02-27T15:43:13"/>
  </r>
  <r>
    <n v="3414"/>
    <x v="1"/>
    <n v="51011945"/>
    <n v="10"/>
    <s v="BRONCE"/>
    <n v="993"/>
    <d v="2026-02-27T15:43:13"/>
  </r>
  <r>
    <n v="3415"/>
    <x v="1"/>
    <n v="51012089"/>
    <n v="10"/>
    <s v="BRONCE"/>
    <n v="993"/>
    <d v="2026-02-27T15:43:13"/>
  </r>
  <r>
    <n v="3416"/>
    <x v="1"/>
    <n v="51012283"/>
    <n v="9.9280000000000008"/>
    <s v="BRONCE"/>
    <n v="1187"/>
    <d v="2026-02-27T15:43:13"/>
  </r>
  <r>
    <n v="3417"/>
    <x v="1"/>
    <n v="51012429"/>
    <n v="10"/>
    <s v="BRONCE"/>
    <n v="993"/>
    <d v="2026-02-27T15:43:13"/>
  </r>
  <r>
    <n v="3418"/>
    <x v="1"/>
    <n v="51012569"/>
    <n v="10"/>
    <s v="BRONCE"/>
    <n v="993"/>
    <d v="2026-02-27T15:43:13"/>
  </r>
  <r>
    <n v="3419"/>
    <x v="1"/>
    <n v="51012631"/>
    <n v="10"/>
    <s v="BRONCE"/>
    <n v="993"/>
    <d v="2026-02-27T15:43:13"/>
  </r>
  <r>
    <n v="3420"/>
    <x v="1"/>
    <n v="51012844"/>
    <n v="10"/>
    <s v="BRONCE"/>
    <n v="993"/>
    <d v="2026-02-27T15:43:13"/>
  </r>
  <r>
    <n v="3421"/>
    <x v="1"/>
    <n v="51012925"/>
    <n v="10"/>
    <s v="BRONCE"/>
    <n v="993"/>
    <d v="2026-02-27T15:43:13"/>
  </r>
  <r>
    <n v="3422"/>
    <x v="1"/>
    <n v="51012968"/>
    <n v="10"/>
    <s v="BRONCE"/>
    <n v="993"/>
    <d v="2026-02-27T15:43:13"/>
  </r>
  <r>
    <n v="3423"/>
    <x v="1"/>
    <n v="51013042"/>
    <n v="9.9830000000000005"/>
    <s v="BRONCE"/>
    <n v="1181"/>
    <d v="2026-02-27T15:43:13"/>
  </r>
  <r>
    <n v="3424"/>
    <x v="1"/>
    <n v="51013123"/>
    <n v="10"/>
    <s v="BRONCE"/>
    <n v="993"/>
    <d v="2026-02-27T15:43:13"/>
  </r>
  <r>
    <n v="3425"/>
    <x v="1"/>
    <n v="51013174"/>
    <n v="10"/>
    <s v="BRONCE"/>
    <n v="993"/>
    <d v="2026-02-27T15:43:13"/>
  </r>
  <r>
    <n v="3426"/>
    <x v="1"/>
    <n v="51013263"/>
    <n v="10"/>
    <s v="BRONCE"/>
    <n v="993"/>
    <d v="2026-02-27T15:43:13"/>
  </r>
  <r>
    <n v="3427"/>
    <x v="1"/>
    <n v="51013751"/>
    <n v="9.9849999999999994"/>
    <s v="BRONCE"/>
    <n v="1173"/>
    <d v="2026-02-27T15:43:13"/>
  </r>
  <r>
    <n v="3428"/>
    <x v="1"/>
    <n v="51013905"/>
    <n v="10"/>
    <s v="BRONCE"/>
    <n v="993"/>
    <d v="2026-02-27T15:43:13"/>
  </r>
  <r>
    <n v="3429"/>
    <x v="1"/>
    <n v="51014073"/>
    <n v="10"/>
    <s v="BRONCE"/>
    <n v="993"/>
    <d v="2026-02-27T15:43:13"/>
  </r>
  <r>
    <n v="3430"/>
    <x v="1"/>
    <n v="51014154"/>
    <n v="10"/>
    <s v="BRONCE"/>
    <n v="993"/>
    <d v="2026-02-27T15:43:13"/>
  </r>
  <r>
    <n v="3431"/>
    <x v="1"/>
    <n v="51014227"/>
    <n v="10"/>
    <s v="BRONCE"/>
    <n v="993"/>
    <d v="2026-02-27T15:43:13"/>
  </r>
  <r>
    <n v="3432"/>
    <x v="1"/>
    <n v="51014651"/>
    <n v="10"/>
    <s v="BRONCE"/>
    <n v="993"/>
    <d v="2026-02-27T15:43:13"/>
  </r>
  <r>
    <n v="3433"/>
    <x v="1"/>
    <n v="51014723"/>
    <n v="10"/>
    <s v="BRONCE"/>
    <n v="993"/>
    <d v="2026-02-27T15:43:13"/>
  </r>
  <r>
    <n v="3434"/>
    <x v="1"/>
    <n v="51015282"/>
    <n v="10"/>
    <s v="BRONCE"/>
    <n v="993"/>
    <d v="2026-02-27T15:43:13"/>
  </r>
  <r>
    <n v="3435"/>
    <x v="1"/>
    <n v="51015576"/>
    <n v="10"/>
    <s v="BRONCE"/>
    <n v="993"/>
    <d v="2026-02-27T15:43:13"/>
  </r>
  <r>
    <n v="3436"/>
    <x v="1"/>
    <n v="51015690"/>
    <n v="10"/>
    <s v="BRONCE"/>
    <n v="993"/>
    <d v="2026-02-27T15:43:13"/>
  </r>
  <r>
    <n v="3437"/>
    <x v="1"/>
    <n v="51015738"/>
    <n v="10"/>
    <s v="BRONCE"/>
    <n v="993"/>
    <d v="2026-02-27T15:43:13"/>
  </r>
  <r>
    <n v="3438"/>
    <x v="1"/>
    <n v="51015959"/>
    <n v="10"/>
    <s v="BRONCE"/>
    <n v="993"/>
    <d v="2026-02-27T15:43:13"/>
  </r>
  <r>
    <n v="3439"/>
    <x v="1"/>
    <n v="51015991"/>
    <n v="10"/>
    <s v="BRONCE"/>
    <n v="993"/>
    <d v="2026-02-27T15:43:13"/>
  </r>
  <r>
    <n v="3440"/>
    <x v="1"/>
    <n v="51016122"/>
    <n v="10"/>
    <s v="BRONCE"/>
    <n v="993"/>
    <d v="2026-02-27T15:43:13"/>
  </r>
  <r>
    <n v="3441"/>
    <x v="1"/>
    <n v="51016190"/>
    <n v="10"/>
    <s v="BRONCE"/>
    <n v="993"/>
    <d v="2026-02-27T15:43:13"/>
  </r>
  <r>
    <n v="3442"/>
    <x v="1"/>
    <n v="51016505"/>
    <n v="9.9980000000000011"/>
    <s v="BRONCE"/>
    <n v="1164"/>
    <d v="2026-02-27T15:43:13"/>
  </r>
  <r>
    <n v="3443"/>
    <x v="1"/>
    <n v="51016670"/>
    <n v="9.9849999999999994"/>
    <s v="BRONCE"/>
    <n v="1173"/>
    <d v="2026-02-27T15:43:13"/>
  </r>
  <r>
    <n v="3444"/>
    <x v="1"/>
    <n v="51016751"/>
    <n v="10"/>
    <s v="BRONCE"/>
    <n v="993"/>
    <d v="2026-02-27T15:43:13"/>
  </r>
  <r>
    <n v="3445"/>
    <x v="1"/>
    <n v="51016769"/>
    <n v="10"/>
    <s v="BRONCE"/>
    <n v="993"/>
    <d v="2026-02-27T15:43:13"/>
  </r>
  <r>
    <n v="3446"/>
    <x v="1"/>
    <n v="51016807"/>
    <n v="9.9980000000000011"/>
    <s v="BRONCE"/>
    <n v="1164"/>
    <d v="2026-02-27T15:43:13"/>
  </r>
  <r>
    <n v="3447"/>
    <x v="1"/>
    <n v="51016912"/>
    <n v="10"/>
    <s v="BRONCE"/>
    <n v="993"/>
    <d v="2026-02-27T15:43:13"/>
  </r>
  <r>
    <n v="3448"/>
    <x v="1"/>
    <n v="51017005"/>
    <n v="10"/>
    <s v="BRONCE"/>
    <n v="993"/>
    <d v="2026-02-27T15:43:13"/>
  </r>
  <r>
    <n v="3449"/>
    <x v="1"/>
    <n v="51017200"/>
    <n v="10"/>
    <s v="BRONCE"/>
    <n v="993"/>
    <d v="2026-02-27T15:43:13"/>
  </r>
  <r>
    <n v="3450"/>
    <x v="1"/>
    <n v="51017692"/>
    <n v="10"/>
    <s v="BRONCE"/>
    <n v="993"/>
    <d v="2026-02-27T15:43:13"/>
  </r>
  <r>
    <n v="3451"/>
    <x v="1"/>
    <n v="51017781"/>
    <n v="10"/>
    <s v="BRONCE"/>
    <n v="993"/>
    <d v="2026-02-27T15:43:13"/>
  </r>
  <r>
    <n v="3452"/>
    <x v="1"/>
    <n v="51018010"/>
    <n v="10"/>
    <s v="BRONCE"/>
    <n v="993"/>
    <d v="2026-02-27T15:43:13"/>
  </r>
  <r>
    <n v="3453"/>
    <x v="1"/>
    <n v="51018168"/>
    <n v="10"/>
    <s v="BRONCE"/>
    <n v="993"/>
    <d v="2026-02-27T15:43:13"/>
  </r>
  <r>
    <n v="3454"/>
    <x v="1"/>
    <n v="51018192"/>
    <n v="10"/>
    <s v="BRONCE"/>
    <n v="993"/>
    <d v="2026-02-27T15:43:13"/>
  </r>
  <r>
    <n v="3455"/>
    <x v="1"/>
    <n v="51018281"/>
    <n v="10"/>
    <s v="BRONCE"/>
    <n v="993"/>
    <d v="2026-02-27T15:43:13"/>
  </r>
  <r>
    <n v="3456"/>
    <x v="1"/>
    <n v="51018915"/>
    <n v="10"/>
    <s v="BRONCE"/>
    <n v="993"/>
    <d v="2026-02-27T15:43:13"/>
  </r>
  <r>
    <n v="3457"/>
    <x v="1"/>
    <n v="51019075"/>
    <n v="10"/>
    <s v="BRONCE"/>
    <n v="993"/>
    <d v="2026-02-27T15:43:13"/>
  </r>
  <r>
    <n v="3458"/>
    <x v="1"/>
    <n v="51019156"/>
    <n v="10"/>
    <s v="BRONCE"/>
    <n v="993"/>
    <d v="2026-02-27T15:43:13"/>
  </r>
  <r>
    <n v="3459"/>
    <x v="1"/>
    <n v="51019181"/>
    <n v="10"/>
    <s v="BRONCE"/>
    <n v="993"/>
    <d v="2026-02-27T15:43:13"/>
  </r>
  <r>
    <n v="3460"/>
    <x v="1"/>
    <n v="51019237"/>
    <n v="10"/>
    <s v="BRONCE"/>
    <n v="993"/>
    <d v="2026-02-27T15:43:13"/>
  </r>
  <r>
    <n v="3461"/>
    <x v="1"/>
    <n v="51019351"/>
    <n v="10"/>
    <s v="BRONCE"/>
    <n v="993"/>
    <d v="2026-02-27T15:43:13"/>
  </r>
  <r>
    <n v="3462"/>
    <x v="1"/>
    <n v="51019725"/>
    <n v="20"/>
    <s v="BRONCE"/>
    <n v="889"/>
    <d v="2026-02-27T15:43:13"/>
  </r>
  <r>
    <n v="3463"/>
    <x v="1"/>
    <n v="51019768"/>
    <n v="10"/>
    <s v="BRONCE"/>
    <n v="993"/>
    <d v="2026-02-27T15:43:13"/>
  </r>
  <r>
    <n v="3464"/>
    <x v="1"/>
    <n v="51020120"/>
    <n v="10"/>
    <s v="BRONCE"/>
    <n v="993"/>
    <d v="2026-02-27T15:43:13"/>
  </r>
  <r>
    <n v="3465"/>
    <x v="1"/>
    <n v="51020154"/>
    <n v="10"/>
    <s v="BRONCE"/>
    <n v="993"/>
    <d v="2026-02-27T15:43:13"/>
  </r>
  <r>
    <n v="3466"/>
    <x v="1"/>
    <n v="51020740"/>
    <n v="76.505667861976818"/>
    <s v="PLATINO"/>
    <n v="561"/>
    <d v="2026-02-27T15:43:13"/>
  </r>
  <r>
    <n v="3467"/>
    <x v="1"/>
    <n v="51021151"/>
    <n v="10"/>
    <s v="BRONCE"/>
    <n v="993"/>
    <d v="2026-02-27T15:43:13"/>
  </r>
  <r>
    <n v="3468"/>
    <x v="1"/>
    <n v="51021525"/>
    <n v="10"/>
    <s v="BRONCE"/>
    <n v="993"/>
    <d v="2026-02-27T15:43:13"/>
  </r>
  <r>
    <n v="3469"/>
    <x v="1"/>
    <n v="51021649"/>
    <n v="10"/>
    <s v="BRONCE"/>
    <n v="993"/>
    <d v="2026-02-27T15:43:13"/>
  </r>
  <r>
    <n v="3470"/>
    <x v="1"/>
    <n v="51021908"/>
    <n v="10"/>
    <s v="BRONCE"/>
    <n v="993"/>
    <d v="2026-02-27T15:43:13"/>
  </r>
  <r>
    <n v="3471"/>
    <x v="1"/>
    <n v="51021924"/>
    <n v="10"/>
    <s v="BRONCE"/>
    <n v="993"/>
    <d v="2026-02-27T15:43:13"/>
  </r>
  <r>
    <n v="3472"/>
    <x v="1"/>
    <n v="51022203"/>
    <n v="10"/>
    <s v="BRONCE"/>
    <n v="993"/>
    <d v="2026-02-27T15:43:13"/>
  </r>
  <r>
    <n v="3473"/>
    <x v="1"/>
    <n v="51022271"/>
    <n v="10"/>
    <s v="BRONCE"/>
    <n v="993"/>
    <d v="2026-02-27T15:43:13"/>
  </r>
  <r>
    <n v="3474"/>
    <x v="1"/>
    <n v="51022297"/>
    <n v="10"/>
    <s v="BRONCE"/>
    <n v="993"/>
    <d v="2026-02-27T15:43:13"/>
  </r>
  <r>
    <n v="3475"/>
    <x v="1"/>
    <n v="51022807"/>
    <n v="10"/>
    <s v="BRONCE"/>
    <n v="993"/>
    <d v="2026-02-27T15:43:13"/>
  </r>
  <r>
    <n v="3476"/>
    <x v="1"/>
    <n v="51022891"/>
    <n v="10"/>
    <s v="BRONCE"/>
    <n v="993"/>
    <d v="2026-02-27T15:43:13"/>
  </r>
  <r>
    <n v="3477"/>
    <x v="1"/>
    <n v="51022939"/>
    <n v="10"/>
    <s v="BRONCE"/>
    <n v="993"/>
    <d v="2026-02-27T15:43:13"/>
  </r>
  <r>
    <n v="3478"/>
    <x v="1"/>
    <n v="51023323"/>
    <n v="10"/>
    <s v="BRONCE"/>
    <n v="993"/>
    <d v="2026-02-27T15:43:13"/>
  </r>
  <r>
    <n v="3479"/>
    <x v="1"/>
    <n v="51023447"/>
    <n v="10"/>
    <s v="BRONCE"/>
    <n v="993"/>
    <d v="2026-02-27T15:43:13"/>
  </r>
  <r>
    <n v="3480"/>
    <x v="1"/>
    <n v="51023463"/>
    <n v="10"/>
    <s v="BRONCE"/>
    <n v="993"/>
    <d v="2026-02-27T15:43:13"/>
  </r>
  <r>
    <n v="3481"/>
    <x v="1"/>
    <n v="51023510"/>
    <n v="10"/>
    <s v="BRONCE"/>
    <n v="993"/>
    <d v="2026-02-27T15:43:13"/>
  </r>
  <r>
    <n v="3482"/>
    <x v="1"/>
    <n v="51024338"/>
    <n v="10"/>
    <s v="BRONCE"/>
    <n v="993"/>
    <d v="2026-02-27T15:43:13"/>
  </r>
  <r>
    <n v="3483"/>
    <x v="1"/>
    <n v="51024346"/>
    <n v="10"/>
    <s v="BRONCE"/>
    <n v="993"/>
    <d v="2026-02-27T15:43:13"/>
  </r>
  <r>
    <n v="3484"/>
    <x v="1"/>
    <n v="51024354"/>
    <n v="10"/>
    <s v="BRONCE"/>
    <n v="993"/>
    <d v="2026-02-27T15:43:13"/>
  </r>
  <r>
    <n v="3485"/>
    <x v="1"/>
    <n v="51024788"/>
    <n v="10"/>
    <s v="BRONCE"/>
    <n v="993"/>
    <d v="2026-02-27T15:43:13"/>
  </r>
  <r>
    <n v="3486"/>
    <x v="1"/>
    <n v="51024907"/>
    <n v="10"/>
    <s v="BRONCE"/>
    <n v="993"/>
    <d v="2026-02-27T15:43:13"/>
  </r>
  <r>
    <n v="3487"/>
    <x v="1"/>
    <n v="51025598"/>
    <n v="10"/>
    <s v="BRONCE"/>
    <n v="993"/>
    <d v="2026-02-27T15:43:13"/>
  </r>
  <r>
    <n v="3488"/>
    <x v="1"/>
    <n v="51025601"/>
    <n v="6.9349999999999996"/>
    <s v="BRONCE"/>
    <n v="1190"/>
    <d v="2026-02-27T15:43:13"/>
  </r>
  <r>
    <n v="3489"/>
    <x v="1"/>
    <n v="51025881"/>
    <n v="10"/>
    <s v="BRONCE"/>
    <n v="993"/>
    <d v="2026-02-27T15:43:13"/>
  </r>
  <r>
    <n v="3490"/>
    <x v="1"/>
    <n v="51028856"/>
    <n v="10"/>
    <s v="BRONCE"/>
    <n v="993"/>
    <d v="2026-02-27T15:43:13"/>
  </r>
  <r>
    <n v="3491"/>
    <x v="1"/>
    <n v="51030087"/>
    <n v="10"/>
    <s v="BRONCE"/>
    <n v="993"/>
    <d v="2026-02-27T15:43:13"/>
  </r>
  <r>
    <n v="3492"/>
    <x v="1"/>
    <n v="51030206"/>
    <n v="9.9849999999999994"/>
    <s v="BRONCE"/>
    <n v="1173"/>
    <d v="2026-02-27T15:43:13"/>
  </r>
  <r>
    <n v="3493"/>
    <x v="1"/>
    <n v="51030630"/>
    <n v="10"/>
    <s v="BRONCE"/>
    <n v="993"/>
    <d v="2026-02-27T15:43:13"/>
  </r>
  <r>
    <n v="3494"/>
    <x v="1"/>
    <n v="51030745"/>
    <n v="10"/>
    <s v="BRONCE"/>
    <n v="993"/>
    <d v="2026-02-27T15:43:13"/>
  </r>
  <r>
    <n v="3495"/>
    <x v="1"/>
    <n v="51030796"/>
    <n v="10"/>
    <s v="BRONCE"/>
    <n v="993"/>
    <d v="2026-02-27T15:43:13"/>
  </r>
  <r>
    <n v="3496"/>
    <x v="1"/>
    <n v="51030966"/>
    <n v="10"/>
    <s v="BRONCE"/>
    <n v="993"/>
    <d v="2026-02-27T15:43:13"/>
  </r>
  <r>
    <n v="3497"/>
    <x v="1"/>
    <n v="51031067"/>
    <n v="10"/>
    <s v="BRONCE"/>
    <n v="993"/>
    <d v="2026-02-27T15:43:13"/>
  </r>
  <r>
    <n v="3498"/>
    <x v="1"/>
    <n v="51031091"/>
    <n v="10"/>
    <s v="BRONCE"/>
    <n v="993"/>
    <d v="2026-02-27T15:43:13"/>
  </r>
  <r>
    <n v="3499"/>
    <x v="1"/>
    <n v="51031156"/>
    <n v="10"/>
    <s v="BRONCE"/>
    <n v="993"/>
    <d v="2026-02-27T15:43:13"/>
  </r>
  <r>
    <n v="3500"/>
    <x v="1"/>
    <n v="51031423"/>
    <n v="10"/>
    <s v="BRONCE"/>
    <n v="993"/>
    <d v="2026-02-27T15:43:13"/>
  </r>
  <r>
    <n v="3501"/>
    <x v="1"/>
    <n v="51031555"/>
    <n v="10"/>
    <s v="BRONCE"/>
    <n v="993"/>
    <d v="2026-02-27T15:43:13"/>
  </r>
  <r>
    <n v="3502"/>
    <x v="1"/>
    <n v="51032021"/>
    <n v="10"/>
    <s v="BRONCE"/>
    <n v="993"/>
    <d v="2026-02-27T15:43:13"/>
  </r>
  <r>
    <n v="3503"/>
    <x v="1"/>
    <n v="51032055"/>
    <n v="10"/>
    <s v="BRONCE"/>
    <n v="993"/>
    <d v="2026-02-27T15:43:13"/>
  </r>
  <r>
    <n v="3504"/>
    <x v="1"/>
    <n v="51032144"/>
    <n v="9.9849999999999994"/>
    <s v="BRONCE"/>
    <n v="1173"/>
    <d v="2026-02-27T15:43:13"/>
  </r>
  <r>
    <n v="3505"/>
    <x v="1"/>
    <n v="51032209"/>
    <n v="10"/>
    <s v="BRONCE"/>
    <n v="993"/>
    <d v="2026-02-27T15:43:13"/>
  </r>
  <r>
    <n v="3506"/>
    <x v="1"/>
    <n v="51032217"/>
    <n v="10"/>
    <s v="BRONCE"/>
    <n v="993"/>
    <d v="2026-02-27T15:43:13"/>
  </r>
  <r>
    <n v="3507"/>
    <x v="1"/>
    <n v="51032497"/>
    <n v="9.9849999999999994"/>
    <s v="BRONCE"/>
    <n v="1173"/>
    <d v="2026-02-27T15:43:13"/>
  </r>
  <r>
    <n v="3508"/>
    <x v="1"/>
    <n v="51033019"/>
    <n v="10"/>
    <s v="BRONCE"/>
    <n v="993"/>
    <d v="2026-02-27T15:43:13"/>
  </r>
  <r>
    <n v="3509"/>
    <x v="1"/>
    <n v="51033647"/>
    <n v="10"/>
    <s v="BRONCE"/>
    <n v="993"/>
    <d v="2026-02-27T15:43:13"/>
  </r>
  <r>
    <n v="3510"/>
    <x v="1"/>
    <n v="51034261"/>
    <n v="9.9980000000000011"/>
    <s v="BRONCE"/>
    <n v="1164"/>
    <d v="2026-02-27T15:43:13"/>
  </r>
  <r>
    <n v="3511"/>
    <x v="1"/>
    <n v="51034392"/>
    <n v="10"/>
    <s v="BRONCE"/>
    <n v="993"/>
    <d v="2026-02-27T15:43:13"/>
  </r>
  <r>
    <n v="3512"/>
    <x v="1"/>
    <n v="51036093"/>
    <n v="10"/>
    <s v="BRONCE"/>
    <n v="993"/>
    <d v="2026-02-27T15:43:13"/>
  </r>
  <r>
    <n v="3513"/>
    <x v="1"/>
    <n v="51036620"/>
    <n v="10"/>
    <s v="BRONCE"/>
    <n v="993"/>
    <d v="2026-02-27T15:43:13"/>
  </r>
  <r>
    <n v="3514"/>
    <x v="1"/>
    <n v="51036786"/>
    <n v="10"/>
    <s v="BRONCE"/>
    <n v="993"/>
    <d v="2026-02-27T15:43:13"/>
  </r>
  <r>
    <n v="3515"/>
    <x v="1"/>
    <n v="51037014"/>
    <n v="10"/>
    <s v="BRONCE"/>
    <n v="993"/>
    <d v="2026-02-27T15:43:13"/>
  </r>
  <r>
    <n v="3516"/>
    <x v="1"/>
    <n v="51038991"/>
    <n v="9.9980000000000011"/>
    <s v="BRONCE"/>
    <n v="1164"/>
    <d v="2026-02-27T15:43:13"/>
  </r>
  <r>
    <n v="3517"/>
    <x v="1"/>
    <n v="51039084"/>
    <n v="9.9849999999999994"/>
    <s v="BRONCE"/>
    <n v="1173"/>
    <d v="2026-02-27T15:43:13"/>
  </r>
  <r>
    <n v="3518"/>
    <x v="1"/>
    <n v="51039955"/>
    <n v="10"/>
    <s v="BRONCE"/>
    <n v="993"/>
    <d v="2026-02-27T15:43:13"/>
  </r>
  <r>
    <n v="3519"/>
    <x v="1"/>
    <n v="51039980"/>
    <n v="10"/>
    <s v="BRONCE"/>
    <n v="993"/>
    <d v="2026-02-27T15:43:13"/>
  </r>
  <r>
    <n v="3520"/>
    <x v="1"/>
    <n v="51040040"/>
    <n v="10"/>
    <s v="BRONCE"/>
    <n v="993"/>
    <d v="2026-02-27T15:43:13"/>
  </r>
  <r>
    <n v="3521"/>
    <x v="1"/>
    <n v="51040309"/>
    <n v="9.8350000000000009"/>
    <s v="BRONCE"/>
    <n v="1188"/>
    <d v="2026-02-27T15:43:13"/>
  </r>
  <r>
    <n v="3522"/>
    <x v="1"/>
    <n v="51040856"/>
    <n v="10"/>
    <s v="BRONCE"/>
    <n v="993"/>
    <d v="2026-02-27T15:43:13"/>
  </r>
  <r>
    <n v="3523"/>
    <x v="1"/>
    <n v="51040970"/>
    <n v="10"/>
    <s v="BRONCE"/>
    <n v="993"/>
    <d v="2026-02-27T15:43:13"/>
  </r>
  <r>
    <n v="3524"/>
    <x v="1"/>
    <n v="51041178"/>
    <n v="10"/>
    <s v="BRONCE"/>
    <n v="993"/>
    <d v="2026-02-27T15:43:13"/>
  </r>
  <r>
    <n v="3525"/>
    <x v="1"/>
    <n v="51041321"/>
    <n v="10"/>
    <s v="BRONCE"/>
    <n v="993"/>
    <d v="2026-02-27T15:43:13"/>
  </r>
  <r>
    <n v="3526"/>
    <x v="1"/>
    <n v="51041836"/>
    <n v="10"/>
    <s v="BRONCE"/>
    <n v="993"/>
    <d v="2026-02-27T15:43:13"/>
  </r>
  <r>
    <n v="3527"/>
    <x v="1"/>
    <n v="51041925"/>
    <n v="9.9849999999999994"/>
    <s v="BRONCE"/>
    <n v="1173"/>
    <d v="2026-02-27T15:43:13"/>
  </r>
  <r>
    <n v="3528"/>
    <x v="1"/>
    <n v="51042166"/>
    <n v="10"/>
    <s v="BRONCE"/>
    <n v="993"/>
    <d v="2026-02-27T15:43:13"/>
  </r>
  <r>
    <n v="3529"/>
    <x v="1"/>
    <n v="51042352"/>
    <n v="9.9980000000000011"/>
    <s v="BRONCE"/>
    <n v="1164"/>
    <d v="2026-02-27T15:43:13"/>
  </r>
  <r>
    <n v="3530"/>
    <x v="1"/>
    <n v="51042492"/>
    <n v="10"/>
    <s v="BRONCE"/>
    <n v="993"/>
    <d v="2026-02-27T15:43:13"/>
  </r>
  <r>
    <n v="3531"/>
    <x v="1"/>
    <n v="51042557"/>
    <n v="10"/>
    <s v="BRONCE"/>
    <n v="993"/>
    <d v="2026-02-27T15:43:13"/>
  </r>
  <r>
    <n v="3532"/>
    <x v="1"/>
    <n v="51042697"/>
    <n v="10"/>
    <s v="BRONCE"/>
    <n v="993"/>
    <d v="2026-02-27T15:43:13"/>
  </r>
  <r>
    <n v="3533"/>
    <x v="1"/>
    <n v="51042701"/>
    <n v="10"/>
    <s v="BRONCE"/>
    <n v="993"/>
    <d v="2026-02-27T15:43:13"/>
  </r>
  <r>
    <n v="3534"/>
    <x v="1"/>
    <n v="51042794"/>
    <n v="10"/>
    <s v="BRONCE"/>
    <n v="993"/>
    <d v="2026-02-27T15:43:13"/>
  </r>
  <r>
    <n v="3535"/>
    <x v="1"/>
    <n v="51042867"/>
    <n v="10"/>
    <s v="BRONCE"/>
    <n v="993"/>
    <d v="2026-02-27T15:43:13"/>
  </r>
  <r>
    <n v="3536"/>
    <x v="1"/>
    <n v="51042883"/>
    <n v="10"/>
    <s v="BRONCE"/>
    <n v="993"/>
    <d v="2026-02-27T15:43:13"/>
  </r>
  <r>
    <n v="3537"/>
    <x v="1"/>
    <n v="51043286"/>
    <n v="10"/>
    <s v="BRONCE"/>
    <n v="993"/>
    <d v="2026-02-27T15:43:13"/>
  </r>
  <r>
    <n v="3538"/>
    <x v="1"/>
    <n v="51043430"/>
    <n v="9.9700000000000006"/>
    <s v="BRONCE"/>
    <n v="1183"/>
    <d v="2026-02-27T15:43:13"/>
  </r>
  <r>
    <n v="3539"/>
    <x v="1"/>
    <n v="51043481"/>
    <n v="9.9980000000000011"/>
    <s v="BRONCE"/>
    <n v="1164"/>
    <d v="2026-02-27T15:43:13"/>
  </r>
  <r>
    <n v="3540"/>
    <x v="1"/>
    <n v="51043685"/>
    <n v="10"/>
    <s v="BRONCE"/>
    <n v="993"/>
    <d v="2026-02-27T15:43:13"/>
  </r>
  <r>
    <n v="3541"/>
    <x v="1"/>
    <n v="51044185"/>
    <n v="10"/>
    <s v="BRONCE"/>
    <n v="993"/>
    <d v="2026-02-27T15:43:13"/>
  </r>
  <r>
    <n v="3542"/>
    <x v="1"/>
    <n v="51054474"/>
    <n v="10"/>
    <s v="BRONCE"/>
    <n v="993"/>
    <d v="2026-02-27T15:43:13"/>
  </r>
  <r>
    <n v="3543"/>
    <x v="1"/>
    <n v="51054890"/>
    <n v="10"/>
    <s v="BRONCE"/>
    <n v="993"/>
    <d v="2026-02-27T15:43:13"/>
  </r>
  <r>
    <n v="3544"/>
    <x v="1"/>
    <n v="51054971"/>
    <n v="10"/>
    <s v="BRONCE"/>
    <n v="993"/>
    <d v="2026-02-27T15:43:13"/>
  </r>
  <r>
    <n v="3545"/>
    <x v="1"/>
    <n v="51055021"/>
    <n v="10"/>
    <s v="BRONCE"/>
    <n v="993"/>
    <d v="2026-02-27T15:43:13"/>
  </r>
  <r>
    <n v="3546"/>
    <x v="1"/>
    <n v="51055110"/>
    <n v="10"/>
    <s v="BRONCE"/>
    <n v="993"/>
    <d v="2026-02-27T15:43:13"/>
  </r>
  <r>
    <n v="3547"/>
    <x v="1"/>
    <n v="51055179"/>
    <n v="9.9980000000000011"/>
    <s v="BRONCE"/>
    <n v="1164"/>
    <d v="2026-02-27T15:43:13"/>
  </r>
  <r>
    <n v="3548"/>
    <x v="1"/>
    <n v="51055187"/>
    <n v="10"/>
    <s v="BRONCE"/>
    <n v="993"/>
    <d v="2026-02-27T15:43:13"/>
  </r>
  <r>
    <n v="3549"/>
    <x v="1"/>
    <n v="51055195"/>
    <n v="10"/>
    <s v="BRONCE"/>
    <n v="993"/>
    <d v="2026-02-27T15:43:13"/>
  </r>
  <r>
    <n v="3550"/>
    <x v="1"/>
    <n v="51055233"/>
    <n v="10"/>
    <s v="BRONCE"/>
    <n v="993"/>
    <d v="2026-02-27T15:43:13"/>
  </r>
  <r>
    <n v="3551"/>
    <x v="1"/>
    <n v="51055314"/>
    <n v="10"/>
    <s v="BRONCE"/>
    <n v="993"/>
    <d v="2026-02-27T15:43:13"/>
  </r>
  <r>
    <n v="3552"/>
    <x v="1"/>
    <n v="51055349"/>
    <n v="10"/>
    <s v="BRONCE"/>
    <n v="993"/>
    <d v="2026-02-27T15:43:13"/>
  </r>
  <r>
    <n v="3553"/>
    <x v="1"/>
    <n v="51055381"/>
    <n v="10"/>
    <s v="BRONCE"/>
    <n v="993"/>
    <d v="2026-02-27T15:43:13"/>
  </r>
  <r>
    <n v="3554"/>
    <x v="1"/>
    <n v="51055403"/>
    <n v="10"/>
    <s v="BRONCE"/>
    <n v="993"/>
    <d v="2026-02-27T15:43:13"/>
  </r>
  <r>
    <n v="3555"/>
    <x v="1"/>
    <n v="51055420"/>
    <n v="10"/>
    <s v="BRONCE"/>
    <n v="993"/>
    <d v="2026-02-27T15:43:13"/>
  </r>
  <r>
    <n v="3556"/>
    <x v="1"/>
    <n v="51055438"/>
    <n v="10"/>
    <s v="BRONCE"/>
    <n v="993"/>
    <d v="2026-02-27T15:43:13"/>
  </r>
  <r>
    <n v="3557"/>
    <x v="1"/>
    <n v="51055446"/>
    <n v="10"/>
    <s v="BRONCE"/>
    <n v="993"/>
    <d v="2026-02-27T15:43:13"/>
  </r>
  <r>
    <n v="3558"/>
    <x v="1"/>
    <n v="51055471"/>
    <n v="10"/>
    <s v="BRONCE"/>
    <n v="993"/>
    <d v="2026-02-27T15:43:13"/>
  </r>
  <r>
    <n v="3559"/>
    <x v="1"/>
    <n v="51055608"/>
    <n v="0"/>
    <s v="CERRADO"/>
    <n v="1192"/>
    <d v="2026-02-27T15:43:13"/>
  </r>
  <r>
    <n v="3560"/>
    <x v="1"/>
    <n v="51055683"/>
    <n v="10"/>
    <s v="BRONCE"/>
    <n v="993"/>
    <d v="2026-02-27T15:43:13"/>
  </r>
  <r>
    <n v="3561"/>
    <x v="1"/>
    <n v="51055713"/>
    <n v="10"/>
    <s v="BRONCE"/>
    <n v="993"/>
    <d v="2026-02-27T15:43:13"/>
  </r>
  <r>
    <n v="3562"/>
    <x v="1"/>
    <n v="51055748"/>
    <n v="10"/>
    <s v="BRONCE"/>
    <n v="993"/>
    <d v="2026-02-27T15:43:13"/>
  </r>
  <r>
    <n v="3563"/>
    <x v="1"/>
    <n v="51055781"/>
    <n v="10"/>
    <s v="BRONCE"/>
    <n v="993"/>
    <d v="2026-02-27T15:43:13"/>
  </r>
  <r>
    <n v="3564"/>
    <x v="1"/>
    <n v="51055900"/>
    <n v="10"/>
    <s v="BRONCE"/>
    <n v="993"/>
    <d v="2026-02-27T15:43:13"/>
  </r>
  <r>
    <n v="3565"/>
    <x v="1"/>
    <n v="51055934"/>
    <n v="10"/>
    <s v="BRONCE"/>
    <n v="993"/>
    <d v="2026-02-27T15:43:13"/>
  </r>
  <r>
    <n v="3566"/>
    <x v="1"/>
    <n v="51055969"/>
    <n v="10"/>
    <s v="BRONCE"/>
    <n v="993"/>
    <d v="2026-02-27T15:43:13"/>
  </r>
  <r>
    <n v="3567"/>
    <x v="1"/>
    <n v="51055977"/>
    <n v="10"/>
    <s v="BRONCE"/>
    <n v="993"/>
    <d v="2026-02-27T15:43:13"/>
  </r>
  <r>
    <n v="3568"/>
    <x v="1"/>
    <n v="51056035"/>
    <n v="10"/>
    <s v="BRONCE"/>
    <n v="993"/>
    <d v="2026-02-27T15:43:13"/>
  </r>
  <r>
    <n v="3569"/>
    <x v="1"/>
    <n v="51056043"/>
    <n v="70.248000000000005"/>
    <s v="ORO"/>
    <n v="640"/>
    <d v="2026-02-27T15:43:13"/>
  </r>
  <r>
    <n v="3570"/>
    <x v="1"/>
    <n v="51056141"/>
    <n v="9.9600000000000009"/>
    <s v="BRONCE"/>
    <n v="1185"/>
    <d v="2026-02-27T15:43:13"/>
  </r>
  <r>
    <n v="3571"/>
    <x v="1"/>
    <n v="51056167"/>
    <n v="10"/>
    <s v="BRONCE"/>
    <n v="993"/>
    <d v="2026-02-27T15:43:13"/>
  </r>
  <r>
    <n v="3572"/>
    <x v="1"/>
    <n v="51056230"/>
    <n v="10"/>
    <s v="BRONCE"/>
    <n v="993"/>
    <d v="2026-02-27T15:43:13"/>
  </r>
  <r>
    <n v="3573"/>
    <x v="1"/>
    <n v="51056256"/>
    <n v="10"/>
    <s v="BRONCE"/>
    <n v="993"/>
    <d v="2026-02-27T15:43:13"/>
  </r>
  <r>
    <n v="3574"/>
    <x v="1"/>
    <n v="51056370"/>
    <n v="10"/>
    <s v="BRONCE"/>
    <n v="993"/>
    <d v="2026-02-27T15:43:13"/>
  </r>
  <r>
    <n v="3575"/>
    <x v="1"/>
    <n v="51056680"/>
    <n v="0"/>
    <s v="CERRADO"/>
    <n v="1192"/>
    <d v="2026-02-27T15:43:13"/>
  </r>
  <r>
    <n v="3576"/>
    <x v="1"/>
    <n v="51056710"/>
    <n v="10"/>
    <s v="BRONCE"/>
    <n v="993"/>
    <d v="2026-02-27T15:43:13"/>
  </r>
  <r>
    <n v="3577"/>
    <x v="1"/>
    <n v="51056779"/>
    <n v="10"/>
    <s v="BRONCE"/>
    <n v="993"/>
    <d v="2026-02-27T15:43:13"/>
  </r>
  <r>
    <n v="3578"/>
    <x v="1"/>
    <n v="51056841"/>
    <n v="10"/>
    <s v="BRONCE"/>
    <n v="993"/>
    <d v="2026-02-27T15:43:13"/>
  </r>
  <r>
    <n v="3579"/>
    <x v="1"/>
    <n v="51056892"/>
    <n v="10"/>
    <s v="BRONCE"/>
    <n v="993"/>
    <d v="2026-02-27T15:43:13"/>
  </r>
  <r>
    <n v="5966"/>
    <x v="2"/>
    <n v="51015525"/>
    <n v="87.269067240769346"/>
    <s v="PLATINO"/>
    <n v="148"/>
    <d v="2026-02-27T15:44:28"/>
  </r>
  <r>
    <n v="5967"/>
    <x v="2"/>
    <n v="51017790"/>
    <n v="87.092355724605895"/>
    <s v="PLATINO"/>
    <n v="161"/>
    <d v="2026-02-27T15:44:28"/>
  </r>
  <r>
    <n v="5968"/>
    <x v="2"/>
    <n v="51023871"/>
    <n v="88.019369708315651"/>
    <s v="PLATINO"/>
    <n v="106"/>
    <d v="2026-02-27T15:44:28"/>
  </r>
  <r>
    <n v="5969"/>
    <x v="2"/>
    <n v="51019601"/>
    <n v="87.143676735421764"/>
    <s v="PLATINO"/>
    <n v="156"/>
    <d v="2026-02-27T15:44:28"/>
  </r>
  <r>
    <n v="5970"/>
    <x v="2"/>
    <n v="51021983"/>
    <n v="40.626375063685359"/>
    <s v="PLATA"/>
    <n v="778"/>
    <d v="2026-02-27T15:44:28"/>
  </r>
  <r>
    <n v="5971"/>
    <x v="2"/>
    <n v="51020201"/>
    <n v="89.382425867206052"/>
    <s v="PLATINO"/>
    <n v="23"/>
    <d v="2026-02-27T15:44:28"/>
  </r>
  <r>
    <n v="5972"/>
    <x v="2"/>
    <n v="51031296"/>
    <n v="89.677878967908356"/>
    <s v="PLATINO"/>
    <n v="9"/>
    <d v="2026-02-27T15:44:28"/>
  </r>
  <r>
    <n v="5973"/>
    <x v="2"/>
    <n v="51011864"/>
    <n v="89.624625286105925"/>
    <s v="PLATINO"/>
    <n v="12"/>
    <d v="2026-02-27T15:44:28"/>
  </r>
  <r>
    <n v="5974"/>
    <x v="2"/>
    <n v="51005945"/>
    <n v="89.07518943256315"/>
    <s v="PLATINO"/>
    <n v="42"/>
    <d v="2026-02-27T15:44:28"/>
  </r>
  <r>
    <n v="5975"/>
    <x v="2"/>
    <n v="51055586"/>
    <n v="88.893815449136397"/>
    <s v="PLATINO"/>
    <n v="54"/>
    <d v="2026-02-27T15:44:28"/>
  </r>
  <r>
    <n v="5976"/>
    <x v="2"/>
    <n v="51025458"/>
    <n v="89.317048351485013"/>
    <s v="PLATINO"/>
    <n v="27"/>
    <d v="2026-02-27T15:44:28"/>
  </r>
  <r>
    <n v="5977"/>
    <x v="2"/>
    <n v="51025709"/>
    <n v="32.560426097436149"/>
    <s v="PLATA"/>
    <n v="801"/>
    <d v="2026-02-27T15:44:28"/>
  </r>
  <r>
    <n v="5978"/>
    <x v="2"/>
    <n v="51019709"/>
    <n v="88.735810032423203"/>
    <s v="PLATINO"/>
    <n v="64"/>
    <d v="2026-02-27T15:44:28"/>
  </r>
  <r>
    <n v="5979"/>
    <x v="2"/>
    <n v="51019377"/>
    <n v="88.672743484786935"/>
    <s v="PLATINO"/>
    <n v="66"/>
    <d v="2026-02-27T15:44:28"/>
  </r>
  <r>
    <n v="5980"/>
    <x v="2"/>
    <n v="51017447"/>
    <n v="88.953529730239381"/>
    <s v="PLATINO"/>
    <n v="47"/>
    <d v="2026-02-27T15:44:28"/>
  </r>
  <r>
    <n v="5981"/>
    <x v="2"/>
    <n v="51055721"/>
    <n v="88.401396733096078"/>
    <s v="PLATINO"/>
    <n v="85"/>
    <d v="2026-02-27T15:44:28"/>
  </r>
  <r>
    <n v="5982"/>
    <x v="2"/>
    <n v="51023064"/>
    <n v="88.369371769693501"/>
    <s v="PLATINO"/>
    <n v="88"/>
    <d v="2026-02-27T15:44:28"/>
  </r>
  <r>
    <n v="5983"/>
    <x v="2"/>
    <n v="51055063"/>
    <n v="82.437465474748606"/>
    <s v="PLATINO"/>
    <n v="398"/>
    <d v="2026-02-27T15:44:28"/>
  </r>
  <r>
    <n v="5984"/>
    <x v="2"/>
    <n v="51024893"/>
    <n v="46.246991908891289"/>
    <s v="PLATA"/>
    <n v="760"/>
    <d v="2026-02-27T15:44:28"/>
  </r>
  <r>
    <n v="5985"/>
    <x v="2"/>
    <n v="51013638"/>
    <n v="89.519886747575612"/>
    <s v="PLATINO"/>
    <n v="17"/>
    <d v="2026-02-27T15:44:28"/>
  </r>
  <r>
    <n v="5986"/>
    <x v="2"/>
    <n v="51011015"/>
    <n v="88.511339207120983"/>
    <s v="PLATINO"/>
    <n v="76"/>
    <d v="2026-02-27T15:44:28"/>
  </r>
  <r>
    <n v="5987"/>
    <x v="2"/>
    <n v="51020758"/>
    <n v="32.008300086650493"/>
    <s v="PLATA"/>
    <n v="803"/>
    <d v="2026-02-27T15:44:28"/>
  </r>
  <r>
    <n v="5988"/>
    <x v="2"/>
    <n v="51022734"/>
    <n v="88.84"/>
    <s v="PLATINO"/>
    <n v="56"/>
    <d v="2026-02-27T15:44:28"/>
  </r>
  <r>
    <n v="5989"/>
    <x v="2"/>
    <n v="51036034"/>
    <n v="89.844999999999999"/>
    <s v="PLATINO"/>
    <n v="2"/>
    <d v="2026-02-27T15:44:28"/>
  </r>
  <r>
    <n v="5990"/>
    <x v="2"/>
    <n v="51019954"/>
    <n v="89.06"/>
    <s v="PLATINO"/>
    <n v="43"/>
    <d v="2026-02-27T15:44:28"/>
  </r>
  <r>
    <n v="5991"/>
    <x v="2"/>
    <n v="51041895"/>
    <n v="70.709418255893155"/>
    <s v="ORO"/>
    <n v="611"/>
    <d v="2026-02-27T15:44:28"/>
  </r>
  <r>
    <n v="5992"/>
    <x v="2"/>
    <n v="51031075"/>
    <n v="89.66"/>
    <s v="PLATINO"/>
    <n v="10"/>
    <d v="2026-02-27T15:44:28"/>
  </r>
  <r>
    <n v="5993"/>
    <x v="2"/>
    <n v="51016815"/>
    <n v="89.685480679361177"/>
    <s v="PLATINO"/>
    <n v="7"/>
    <d v="2026-02-27T15:44:28"/>
  </r>
  <r>
    <n v="5994"/>
    <x v="2"/>
    <n v="51010761"/>
    <n v="89.757666125658716"/>
    <s v="PLATINO"/>
    <n v="6"/>
    <d v="2026-02-27T15:44:28"/>
  </r>
  <r>
    <n v="5995"/>
    <x v="2"/>
    <n v="51013301"/>
    <n v="89.783031777284236"/>
    <s v="PLATINO"/>
    <n v="4"/>
    <d v="2026-02-27T15:44:28"/>
  </r>
  <r>
    <n v="5996"/>
    <x v="2"/>
    <n v="51041933"/>
    <n v="89.460000000000008"/>
    <s v="PLATINO"/>
    <n v="19"/>
    <d v="2026-02-27T15:44:28"/>
  </r>
  <r>
    <n v="5997"/>
    <x v="2"/>
    <n v="51014006"/>
    <n v="55.351453974371097"/>
    <s v="ORO"/>
    <n v="733"/>
    <d v="2026-02-27T15:44:28"/>
  </r>
  <r>
    <n v="5998"/>
    <x v="2"/>
    <n v="51000111"/>
    <n v="51.594302251008912"/>
    <s v="PLATA"/>
    <n v="745"/>
    <d v="2026-02-27T15:44:28"/>
  </r>
  <r>
    <n v="5999"/>
    <x v="2"/>
    <n v="51042735"/>
    <n v="88.02000000000001"/>
    <s v="PLATINO"/>
    <n v="104"/>
    <d v="2026-02-27T15:44:28"/>
  </r>
  <r>
    <n v="6000"/>
    <x v="2"/>
    <n v="51023218"/>
    <n v="20"/>
    <s v="BRONCE"/>
    <n v="821"/>
    <d v="2026-02-27T15:44:28"/>
  </r>
  <r>
    <n v="6001"/>
    <x v="2"/>
    <n v="51002776"/>
    <n v="87.8"/>
    <s v="PLATINO"/>
    <n v="117"/>
    <d v="2026-02-27T15:44:28"/>
  </r>
  <r>
    <n v="6002"/>
    <x v="2"/>
    <n v="51015541"/>
    <n v="72.114814533058322"/>
    <s v="ORO"/>
    <n v="599"/>
    <d v="2026-02-27T15:44:28"/>
  </r>
  <r>
    <n v="6003"/>
    <x v="2"/>
    <n v="51031890"/>
    <n v="20"/>
    <s v="BRONCE"/>
    <n v="821"/>
    <d v="2026-02-27T15:44:28"/>
  </r>
  <r>
    <n v="6004"/>
    <x v="2"/>
    <n v="51057058"/>
    <n v="89.08"/>
    <s v="PLATINO"/>
    <n v="41"/>
    <d v="2026-02-27T15:44:28"/>
  </r>
  <r>
    <n v="6005"/>
    <x v="2"/>
    <n v="51022289"/>
    <n v="88.1"/>
    <s v="PLATINO"/>
    <n v="100"/>
    <d v="2026-02-27T15:44:28"/>
  </r>
  <r>
    <n v="6006"/>
    <x v="2"/>
    <n v="51016688"/>
    <n v="89.32"/>
    <s v="PLATINO"/>
    <n v="26"/>
    <d v="2026-02-27T15:44:28"/>
  </r>
  <r>
    <n v="6007"/>
    <x v="2"/>
    <n v="51032527"/>
    <n v="89.64"/>
    <s v="PLATINO"/>
    <n v="11"/>
    <d v="2026-02-27T15:44:28"/>
  </r>
  <r>
    <n v="6008"/>
    <x v="2"/>
    <n v="51028678"/>
    <n v="80.887563219597993"/>
    <s v="PLATINO"/>
    <n v="460"/>
    <d v="2026-02-27T15:44:28"/>
  </r>
  <r>
    <n v="6009"/>
    <x v="2"/>
    <n v="51005287"/>
    <n v="88.48"/>
    <s v="PLATINO"/>
    <n v="79"/>
    <d v="2026-02-27T15:44:28"/>
  </r>
  <r>
    <n v="6010"/>
    <x v="2"/>
    <n v="51055624"/>
    <n v="89.78"/>
    <s v="PLATINO"/>
    <n v="5"/>
    <d v="2026-02-27T15:44:28"/>
  </r>
  <r>
    <n v="6011"/>
    <x v="2"/>
    <n v="51010884"/>
    <n v="20"/>
    <s v="BRONCE"/>
    <n v="821"/>
    <d v="2026-02-27T15:44:28"/>
  </r>
  <r>
    <n v="6012"/>
    <x v="2"/>
    <n v="51007051"/>
    <n v="89.28"/>
    <s v="PLATINO"/>
    <n v="30"/>
    <d v="2026-02-27T15:44:28"/>
  </r>
  <r>
    <n v="6013"/>
    <x v="2"/>
    <n v="51013808"/>
    <n v="89.6"/>
    <s v="PLATINO"/>
    <n v="14"/>
    <d v="2026-02-27T15:44:28"/>
  </r>
  <r>
    <n v="6014"/>
    <x v="2"/>
    <n v="51035828"/>
    <n v="87.890000000000015"/>
    <s v="PLATINO"/>
    <n v="114"/>
    <d v="2026-02-27T15:44:28"/>
  </r>
  <r>
    <n v="6015"/>
    <x v="2"/>
    <n v="51056051"/>
    <n v="88.58"/>
    <s v="PLATINO"/>
    <n v="72"/>
    <d v="2026-02-27T15:44:28"/>
  </r>
  <r>
    <n v="6016"/>
    <x v="2"/>
    <n v="51024265"/>
    <n v="89.460000000000008"/>
    <s v="PLATINO"/>
    <n v="19"/>
    <d v="2026-02-27T15:44:28"/>
  </r>
  <r>
    <n v="6017"/>
    <x v="2"/>
    <n v="51018494"/>
    <n v="89.16"/>
    <s v="PLATINO"/>
    <n v="36"/>
    <d v="2026-02-27T15:44:28"/>
  </r>
  <r>
    <n v="6018"/>
    <x v="2"/>
    <n v="51039882"/>
    <n v="20"/>
    <s v="BRONCE"/>
    <n v="821"/>
    <d v="2026-02-27T15:44:28"/>
  </r>
  <r>
    <n v="6019"/>
    <x v="2"/>
    <n v="51024192"/>
    <n v="69.889569107800014"/>
    <s v="ORO"/>
    <n v="619"/>
    <d v="2026-02-27T15:44:28"/>
  </r>
  <r>
    <n v="6020"/>
    <x v="2"/>
    <n v="51008332"/>
    <n v="89.88"/>
    <s v="PLATINO"/>
    <n v="1"/>
    <d v="2026-02-27T15:44:28"/>
  </r>
  <r>
    <n v="6021"/>
    <x v="2"/>
    <n v="51015258"/>
    <n v="76.622041502848703"/>
    <s v="PLATINO"/>
    <n v="563"/>
    <d v="2026-02-27T15:44:28"/>
  </r>
  <r>
    <n v="6022"/>
    <x v="2"/>
    <n v="51033710"/>
    <n v="87.53"/>
    <s v="PLATINO"/>
    <n v="134"/>
    <d v="2026-02-27T15:44:28"/>
  </r>
  <r>
    <n v="6023"/>
    <x v="2"/>
    <n v="51010329"/>
    <n v="20"/>
    <s v="BRONCE"/>
    <n v="821"/>
    <d v="2026-02-27T15:44:28"/>
  </r>
  <r>
    <n v="6024"/>
    <x v="2"/>
    <n v="51011252"/>
    <n v="87.7"/>
    <s v="PLATINO"/>
    <n v="120"/>
    <d v="2026-02-27T15:44:28"/>
  </r>
  <r>
    <n v="6025"/>
    <x v="2"/>
    <n v="51018648"/>
    <n v="88.52000000000001"/>
    <s v="PLATINO"/>
    <n v="75"/>
    <d v="2026-02-27T15:44:28"/>
  </r>
  <r>
    <n v="6026"/>
    <x v="2"/>
    <n v="51024524"/>
    <n v="87.26"/>
    <s v="PLATINO"/>
    <n v="149"/>
    <d v="2026-02-27T15:44:28"/>
  </r>
  <r>
    <n v="6027"/>
    <x v="2"/>
    <n v="51055772"/>
    <n v="80.267793168670437"/>
    <s v="PLATINO"/>
    <n v="482"/>
    <d v="2026-02-27T15:44:28"/>
  </r>
  <r>
    <n v="6028"/>
    <x v="2"/>
    <n v="51031083"/>
    <n v="57.324500036561012"/>
    <s v="ORO"/>
    <n v="727"/>
    <d v="2026-02-27T15:44:28"/>
  </r>
  <r>
    <n v="6029"/>
    <x v="2"/>
    <n v="51056647"/>
    <n v="89.54"/>
    <s v="PLATINO"/>
    <n v="16"/>
    <d v="2026-02-27T15:44:28"/>
  </r>
  <r>
    <n v="6030"/>
    <x v="2"/>
    <n v="51024214"/>
    <n v="86.860000000000014"/>
    <s v="PLATINO"/>
    <n v="172"/>
    <d v="2026-02-27T15:44:28"/>
  </r>
  <r>
    <n v="6031"/>
    <x v="2"/>
    <n v="51013425"/>
    <n v="89.18"/>
    <s v="PLATINO"/>
    <n v="35"/>
    <d v="2026-02-27T15:44:28"/>
  </r>
  <r>
    <n v="6032"/>
    <x v="2"/>
    <n v="51025334"/>
    <n v="80.722303256510287"/>
    <s v="PLATINO"/>
    <n v="465"/>
    <d v="2026-02-27T15:44:28"/>
  </r>
  <r>
    <n v="6033"/>
    <x v="2"/>
    <n v="51056132"/>
    <n v="88.54"/>
    <s v="PLATINO"/>
    <n v="74"/>
    <d v="2026-02-27T15:44:28"/>
  </r>
  <r>
    <n v="6034"/>
    <x v="2"/>
    <n v="51004531"/>
    <n v="81.997779918254579"/>
    <s v="PLATINO"/>
    <n v="417"/>
    <d v="2026-02-27T15:44:28"/>
  </r>
  <r>
    <n v="6035"/>
    <x v="2"/>
    <n v="51039033"/>
    <n v="50.145083329884372"/>
    <s v="PLATA"/>
    <n v="750"/>
    <d v="2026-02-27T15:44:28"/>
  </r>
  <r>
    <n v="6036"/>
    <x v="2"/>
    <n v="51024117"/>
    <n v="88.320000000000007"/>
    <s v="PLATINO"/>
    <n v="91"/>
    <d v="2026-02-27T15:44:28"/>
  </r>
  <r>
    <n v="6037"/>
    <x v="2"/>
    <n v="51031768"/>
    <n v="63.937657242904358"/>
    <s v="ORO"/>
    <n v="687"/>
    <d v="2026-02-27T15:44:28"/>
  </r>
  <r>
    <n v="6038"/>
    <x v="2"/>
    <n v="51022637"/>
    <n v="89.3"/>
    <s v="PLATINO"/>
    <n v="29"/>
    <d v="2026-02-27T15:44:28"/>
  </r>
  <r>
    <n v="6039"/>
    <x v="2"/>
    <n v="51010124"/>
    <n v="88.94"/>
    <s v="PLATINO"/>
    <n v="48"/>
    <d v="2026-02-27T15:44:28"/>
  </r>
  <r>
    <n v="6040"/>
    <x v="2"/>
    <n v="51012020"/>
    <n v="88.92"/>
    <s v="PLATINO"/>
    <n v="50"/>
    <d v="2026-02-27T15:44:28"/>
  </r>
  <r>
    <n v="6041"/>
    <x v="2"/>
    <n v="51029968"/>
    <n v="88.98"/>
    <s v="PLATINO"/>
    <n v="46"/>
    <d v="2026-02-27T15:44:28"/>
  </r>
  <r>
    <n v="6042"/>
    <x v="2"/>
    <n v="51025202"/>
    <n v="88.740000000000009"/>
    <s v="PLATINO"/>
    <n v="62"/>
    <d v="2026-02-27T15:44:28"/>
  </r>
  <r>
    <n v="6043"/>
    <x v="2"/>
    <n v="51003667"/>
    <n v="87.86"/>
    <s v="PLATINO"/>
    <n v="116"/>
    <d v="2026-02-27T15:44:28"/>
  </r>
  <r>
    <n v="6044"/>
    <x v="2"/>
    <n v="51026691"/>
    <n v="19.984999999999999"/>
    <s v="BRONCE"/>
    <n v="857"/>
    <d v="2026-02-27T15:44:28"/>
  </r>
  <r>
    <n v="6045"/>
    <x v="2"/>
    <n v="51023145"/>
    <n v="87.88"/>
    <s v="PLATINO"/>
    <n v="115"/>
    <d v="2026-02-27T15:44:28"/>
  </r>
  <r>
    <n v="6046"/>
    <x v="2"/>
    <n v="51056001"/>
    <n v="88.820000000000007"/>
    <s v="PLATINO"/>
    <n v="57"/>
    <d v="2026-02-27T15:44:28"/>
  </r>
  <r>
    <n v="6047"/>
    <x v="2"/>
    <n v="51019652"/>
    <n v="89.26"/>
    <s v="PLATINO"/>
    <n v="31"/>
    <d v="2026-02-27T15:44:28"/>
  </r>
  <r>
    <n v="6048"/>
    <x v="2"/>
    <n v="51011368"/>
    <n v="89.518000000000001"/>
    <s v="PLATINO"/>
    <n v="18"/>
    <d v="2026-02-27T15:44:28"/>
  </r>
  <r>
    <n v="6049"/>
    <x v="2"/>
    <n v="51055047"/>
    <n v="89.02"/>
    <s v="PLATINO"/>
    <n v="45"/>
    <d v="2026-02-27T15:44:28"/>
  </r>
  <r>
    <n v="6050"/>
    <x v="2"/>
    <n v="51018176"/>
    <n v="88.78"/>
    <s v="PLATINO"/>
    <n v="61"/>
    <d v="2026-02-27T15:44:28"/>
  </r>
  <r>
    <n v="6051"/>
    <x v="2"/>
    <n v="51015622"/>
    <n v="88.9"/>
    <s v="PLATINO"/>
    <n v="53"/>
    <d v="2026-02-27T15:44:28"/>
  </r>
  <r>
    <n v="6052"/>
    <x v="2"/>
    <n v="51054946"/>
    <n v="87.62"/>
    <s v="PLATINO"/>
    <n v="126"/>
    <d v="2026-02-27T15:44:28"/>
  </r>
  <r>
    <n v="6053"/>
    <x v="2"/>
    <n v="51016220"/>
    <n v="86.960000000000008"/>
    <s v="PLATINO"/>
    <n v="165"/>
    <d v="2026-02-27T15:44:28"/>
  </r>
  <r>
    <n v="6054"/>
    <x v="2"/>
    <n v="51025385"/>
    <n v="84.756260510521926"/>
    <s v="PLATINO"/>
    <n v="279"/>
    <d v="2026-02-27T15:44:28"/>
  </r>
  <r>
    <n v="6055"/>
    <x v="2"/>
    <n v="51057163"/>
    <n v="67.948513291465275"/>
    <s v="ORO"/>
    <n v="643"/>
    <d v="2026-02-27T15:44:28"/>
  </r>
  <r>
    <n v="6056"/>
    <x v="2"/>
    <n v="51055985"/>
    <n v="19.97"/>
    <s v="BRONCE"/>
    <n v="862"/>
    <d v="2026-02-27T15:44:28"/>
  </r>
  <r>
    <n v="6057"/>
    <x v="2"/>
    <n v="51032993"/>
    <n v="87.905000000000001"/>
    <s v="PLATINO"/>
    <n v="111"/>
    <d v="2026-02-27T15:44:28"/>
  </r>
  <r>
    <n v="6058"/>
    <x v="2"/>
    <n v="51015088"/>
    <n v="88.44"/>
    <s v="PLATINO"/>
    <n v="82"/>
    <d v="2026-02-27T15:44:28"/>
  </r>
  <r>
    <n v="6059"/>
    <x v="2"/>
    <n v="51035658"/>
    <n v="89.12"/>
    <s v="PLATINO"/>
    <n v="40"/>
    <d v="2026-02-27T15:44:28"/>
  </r>
  <r>
    <n v="6060"/>
    <x v="2"/>
    <n v="51016726"/>
    <n v="89.26"/>
    <s v="PLATINO"/>
    <n v="31"/>
    <d v="2026-02-27T15:44:28"/>
  </r>
  <r>
    <n v="6061"/>
    <x v="2"/>
    <n v="51019342"/>
    <n v="19.968"/>
    <s v="BRONCE"/>
    <n v="865"/>
    <d v="2026-02-27T15:44:28"/>
  </r>
  <r>
    <n v="6062"/>
    <x v="2"/>
    <n v="51014162"/>
    <n v="70.403011399224326"/>
    <s v="ORO"/>
    <n v="614"/>
    <d v="2026-02-27T15:44:28"/>
  </r>
  <r>
    <n v="6063"/>
    <x v="2"/>
    <n v="51022360"/>
    <n v="89.68"/>
    <s v="PLATINO"/>
    <n v="8"/>
    <d v="2026-02-27T15:44:28"/>
  </r>
  <r>
    <n v="6064"/>
    <x v="2"/>
    <n v="51040848"/>
    <n v="86.718000000000004"/>
    <s v="PLATINO"/>
    <n v="180"/>
    <d v="2026-02-27T15:44:28"/>
  </r>
  <r>
    <n v="6065"/>
    <x v="2"/>
    <n v="51022696"/>
    <n v="88.42"/>
    <s v="PLATINO"/>
    <n v="83"/>
    <d v="2026-02-27T15:44:28"/>
  </r>
  <r>
    <n v="6066"/>
    <x v="2"/>
    <n v="51056426"/>
    <n v="88.38"/>
    <s v="PLATINO"/>
    <n v="86"/>
    <d v="2026-02-27T15:44:28"/>
  </r>
  <r>
    <n v="6067"/>
    <x v="2"/>
    <n v="51011350"/>
    <n v="86.48"/>
    <s v="PLATINO"/>
    <n v="195"/>
    <d v="2026-02-27T15:44:28"/>
  </r>
  <r>
    <n v="6068"/>
    <x v="2"/>
    <n v="51024087"/>
    <n v="88.6"/>
    <s v="PLATINO"/>
    <n v="71"/>
    <d v="2026-02-27T15:44:28"/>
  </r>
  <r>
    <n v="6069"/>
    <x v="2"/>
    <n v="51005171"/>
    <n v="88.2"/>
    <s v="PLATINO"/>
    <n v="96"/>
    <d v="2026-02-27T15:44:28"/>
  </r>
  <r>
    <n v="6070"/>
    <x v="2"/>
    <n v="51005864"/>
    <n v="88.94"/>
    <s v="PLATINO"/>
    <n v="48"/>
    <d v="2026-02-27T15:44:28"/>
  </r>
  <r>
    <n v="6071"/>
    <x v="2"/>
    <n v="51040317"/>
    <n v="87.4"/>
    <s v="PLATINO"/>
    <n v="138"/>
    <d v="2026-02-27T15:44:28"/>
  </r>
  <r>
    <n v="6072"/>
    <x v="2"/>
    <n v="51003926"/>
    <n v="88.68"/>
    <s v="PLATINO"/>
    <n v="65"/>
    <d v="2026-02-27T15:44:28"/>
  </r>
  <r>
    <n v="6073"/>
    <x v="2"/>
    <n v="51019911"/>
    <n v="20"/>
    <s v="BRONCE"/>
    <n v="821"/>
    <d v="2026-02-27T15:44:28"/>
  </r>
  <r>
    <n v="6074"/>
    <x v="2"/>
    <n v="51022076"/>
    <n v="89.039999999999992"/>
    <s v="PLATINO"/>
    <n v="44"/>
    <d v="2026-02-27T15:44:28"/>
  </r>
  <r>
    <n v="6075"/>
    <x v="2"/>
    <n v="51055217"/>
    <n v="72.993573730413289"/>
    <s v="ORO"/>
    <n v="586"/>
    <d v="2026-02-27T15:44:28"/>
  </r>
  <r>
    <n v="6076"/>
    <x v="2"/>
    <n v="51036824"/>
    <n v="88.13"/>
    <s v="PLATINO"/>
    <n v="99"/>
    <d v="2026-02-27T15:44:28"/>
  </r>
  <r>
    <n v="6077"/>
    <x v="2"/>
    <n v="51024940"/>
    <n v="88.8"/>
    <s v="PLATINO"/>
    <n v="59"/>
    <d v="2026-02-27T15:44:28"/>
  </r>
  <r>
    <n v="6078"/>
    <x v="2"/>
    <n v="51033531"/>
    <n v="86.92"/>
    <s v="PLATINO"/>
    <n v="169"/>
    <d v="2026-02-27T15:44:28"/>
  </r>
  <r>
    <n v="6079"/>
    <x v="2"/>
    <n v="51032454"/>
    <n v="20"/>
    <s v="BRONCE"/>
    <n v="821"/>
    <d v="2026-02-27T15:44:28"/>
  </r>
  <r>
    <n v="6080"/>
    <x v="2"/>
    <n v="51014260"/>
    <n v="86.66"/>
    <s v="PLATINO"/>
    <n v="183"/>
    <d v="2026-02-27T15:44:28"/>
  </r>
  <r>
    <n v="6081"/>
    <x v="2"/>
    <n v="51011414"/>
    <n v="87.12"/>
    <s v="PLATINO"/>
    <n v="159"/>
    <d v="2026-02-27T15:44:28"/>
  </r>
  <r>
    <n v="6082"/>
    <x v="2"/>
    <n v="51018559"/>
    <n v="20"/>
    <s v="BRONCE"/>
    <n v="821"/>
    <d v="2026-02-27T15:44:28"/>
  </r>
  <r>
    <n v="6083"/>
    <x v="2"/>
    <n v="51014308"/>
    <n v="84.152668361809447"/>
    <s v="PLATINO"/>
    <n v="319"/>
    <d v="2026-02-27T15:44:28"/>
  </r>
  <r>
    <n v="6084"/>
    <x v="2"/>
    <n v="51056949"/>
    <n v="89.14"/>
    <s v="PLATINO"/>
    <n v="38"/>
    <d v="2026-02-27T15:44:28"/>
  </r>
  <r>
    <n v="6085"/>
    <x v="2"/>
    <n v="51022173"/>
    <n v="89.144999999999996"/>
    <s v="PLATINO"/>
    <n v="37"/>
    <d v="2026-02-27T15:44:28"/>
  </r>
  <r>
    <n v="6086"/>
    <x v="2"/>
    <n v="51023765"/>
    <n v="88.460000000000008"/>
    <s v="PLATINO"/>
    <n v="81"/>
    <d v="2026-02-27T15:44:28"/>
  </r>
  <r>
    <n v="6087"/>
    <x v="2"/>
    <n v="51038908"/>
    <n v="83.30240116032509"/>
    <s v="PLATINO"/>
    <n v="360"/>
    <d v="2026-02-27T15:44:28"/>
  </r>
  <r>
    <n v="6088"/>
    <x v="2"/>
    <n v="51013158"/>
    <n v="88.06"/>
    <s v="PLATINO"/>
    <n v="101"/>
    <d v="2026-02-27T15:44:28"/>
  </r>
  <r>
    <n v="6089"/>
    <x v="2"/>
    <n v="51024176"/>
    <n v="47.398490840464653"/>
    <s v="PLATA"/>
    <n v="757"/>
    <d v="2026-02-27T15:44:28"/>
  </r>
  <r>
    <n v="6090"/>
    <x v="2"/>
    <n v="51000196"/>
    <n v="89.2"/>
    <s v="PLATINO"/>
    <n v="34"/>
    <d v="2026-02-27T15:44:28"/>
  </r>
  <r>
    <n v="6091"/>
    <x v="2"/>
    <n v="51024672"/>
    <n v="85.960000000000008"/>
    <s v="PLATINO"/>
    <n v="226"/>
    <d v="2026-02-27T15:44:28"/>
  </r>
  <r>
    <n v="6092"/>
    <x v="2"/>
    <n v="51021657"/>
    <n v="88.22"/>
    <s v="PLATINO"/>
    <n v="95"/>
    <d v="2026-02-27T15:44:28"/>
  </r>
  <r>
    <n v="6093"/>
    <x v="2"/>
    <n v="51042263"/>
    <n v="64.653886635201076"/>
    <s v="ORO"/>
    <n v="669"/>
    <d v="2026-02-27T15:44:28"/>
  </r>
  <r>
    <n v="6094"/>
    <x v="2"/>
    <n v="51055365"/>
    <n v="87.2"/>
    <s v="PLATINO"/>
    <n v="153"/>
    <d v="2026-02-27T15:44:28"/>
  </r>
  <r>
    <n v="6095"/>
    <x v="2"/>
    <n v="51031385"/>
    <n v="87.9"/>
    <s v="PLATINO"/>
    <n v="112"/>
    <d v="2026-02-27T15:44:28"/>
  </r>
  <r>
    <n v="6096"/>
    <x v="2"/>
    <n v="51041577"/>
    <n v="87.38"/>
    <s v="PLATINO"/>
    <n v="139"/>
    <d v="2026-02-27T15:44:28"/>
  </r>
  <r>
    <n v="6097"/>
    <x v="2"/>
    <n v="51018877"/>
    <n v="19.954999999999998"/>
    <s v="BRONCE"/>
    <n v="869"/>
    <d v="2026-02-27T15:44:28"/>
  </r>
  <r>
    <n v="6098"/>
    <x v="2"/>
    <n v="51030303"/>
    <n v="58.44223992843196"/>
    <s v="ORO"/>
    <n v="724"/>
    <d v="2026-02-27T15:44:28"/>
  </r>
  <r>
    <n v="6099"/>
    <x v="2"/>
    <n v="51030613"/>
    <n v="83.905651874344613"/>
    <s v="PLATINO"/>
    <n v="333"/>
    <d v="2026-02-27T15:44:28"/>
  </r>
  <r>
    <n v="6100"/>
    <x v="2"/>
    <n v="51033761"/>
    <n v="71.535092495410453"/>
    <s v="ORO"/>
    <n v="603"/>
    <d v="2026-02-27T15:44:28"/>
  </r>
  <r>
    <n v="6101"/>
    <x v="2"/>
    <n v="51023170"/>
    <n v="57.172464006189728"/>
    <s v="ORO"/>
    <n v="728"/>
    <d v="2026-02-27T15:44:28"/>
  </r>
  <r>
    <n v="6102"/>
    <x v="2"/>
    <n v="51030079"/>
    <n v="83.345025609986962"/>
    <s v="PLATINO"/>
    <n v="358"/>
    <d v="2026-02-27T15:44:28"/>
  </r>
  <r>
    <n v="6103"/>
    <x v="2"/>
    <n v="51034317"/>
    <n v="86.04"/>
    <s v="PLATINO"/>
    <n v="220"/>
    <d v="2026-02-27T15:44:28"/>
  </r>
  <r>
    <n v="6104"/>
    <x v="2"/>
    <n v="51012666"/>
    <n v="67.08"/>
    <s v="ORO"/>
    <n v="651"/>
    <d v="2026-02-27T15:44:28"/>
  </r>
  <r>
    <n v="6105"/>
    <x v="2"/>
    <n v="51036247"/>
    <n v="20"/>
    <s v="BRONCE"/>
    <n v="821"/>
    <d v="2026-02-27T15:44:28"/>
  </r>
  <r>
    <n v="6106"/>
    <x v="2"/>
    <n v="51011325"/>
    <n v="63.536553414828809"/>
    <s v="ORO"/>
    <n v="691"/>
    <d v="2026-02-27T15:44:28"/>
  </r>
  <r>
    <n v="6107"/>
    <x v="2"/>
    <n v="51004469"/>
    <n v="87.14"/>
    <s v="PLATINO"/>
    <n v="157"/>
    <d v="2026-02-27T15:44:28"/>
  </r>
  <r>
    <n v="6108"/>
    <x v="2"/>
    <n v="51020251"/>
    <n v="29.492704772443339"/>
    <s v="BRONCE"/>
    <n v="807"/>
    <d v="2026-02-27T15:44:28"/>
  </r>
  <r>
    <n v="6109"/>
    <x v="2"/>
    <n v="51016793"/>
    <n v="33.784442433001857"/>
    <s v="PLATA"/>
    <n v="797"/>
    <d v="2026-02-27T15:44:28"/>
  </r>
  <r>
    <n v="6110"/>
    <x v="2"/>
    <n v="51015401"/>
    <n v="88.38"/>
    <s v="PLATINO"/>
    <n v="86"/>
    <d v="2026-02-27T15:44:28"/>
  </r>
  <r>
    <n v="6111"/>
    <x v="2"/>
    <n v="51056281"/>
    <n v="86.94"/>
    <s v="PLATINO"/>
    <n v="167"/>
    <d v="2026-02-27T15:44:28"/>
  </r>
  <r>
    <n v="6112"/>
    <x v="2"/>
    <n v="51055012"/>
    <n v="88.86"/>
    <s v="PLATINO"/>
    <n v="55"/>
    <d v="2026-02-27T15:44:28"/>
  </r>
  <r>
    <n v="6113"/>
    <x v="2"/>
    <n v="51006615"/>
    <n v="89.33"/>
    <s v="PLATINO"/>
    <n v="25"/>
    <d v="2026-02-27T15:44:28"/>
  </r>
  <r>
    <n v="6114"/>
    <x v="2"/>
    <n v="51011724"/>
    <n v="88"/>
    <s v="PLATINO"/>
    <n v="107"/>
    <d v="2026-02-27T15:44:28"/>
  </r>
  <r>
    <n v="6115"/>
    <x v="2"/>
    <n v="51010469"/>
    <n v="86.56"/>
    <s v="PLATINO"/>
    <n v="191"/>
    <d v="2026-02-27T15:44:28"/>
  </r>
  <r>
    <n v="6116"/>
    <x v="2"/>
    <n v="51056191"/>
    <n v="66.66"/>
    <s v="ORO"/>
    <n v="657"/>
    <d v="2026-02-27T15:44:28"/>
  </r>
  <r>
    <n v="6117"/>
    <x v="2"/>
    <n v="51023781"/>
    <n v="85.78"/>
    <s v="PLATINO"/>
    <n v="233"/>
    <d v="2026-02-27T15:44:28"/>
  </r>
  <r>
    <n v="6118"/>
    <x v="2"/>
    <n v="51056221"/>
    <n v="19.98"/>
    <s v="BRONCE"/>
    <n v="860"/>
    <d v="2026-02-27T15:44:28"/>
  </r>
  <r>
    <n v="6119"/>
    <x v="2"/>
    <n v="51018443"/>
    <n v="88.484793716324461"/>
    <s v="PLATINO"/>
    <n v="78"/>
    <d v="2026-02-27T15:44:28"/>
  </r>
  <r>
    <n v="6120"/>
    <x v="2"/>
    <n v="51023757"/>
    <n v="89.301057315789294"/>
    <s v="PLATINO"/>
    <n v="28"/>
    <d v="2026-02-27T15:44:28"/>
  </r>
  <r>
    <n v="6121"/>
    <x v="2"/>
    <n v="51055357"/>
    <n v="88.34"/>
    <s v="PLATINO"/>
    <n v="90"/>
    <d v="2026-02-27T15:44:28"/>
  </r>
  <r>
    <n v="6122"/>
    <x v="2"/>
    <n v="51021576"/>
    <n v="76.409440737304891"/>
    <s v="PLATINO"/>
    <n v="565"/>
    <d v="2026-02-27T15:44:28"/>
  </r>
  <r>
    <n v="6123"/>
    <x v="2"/>
    <n v="51018591"/>
    <n v="85.88"/>
    <s v="PLATINO"/>
    <n v="230"/>
    <d v="2026-02-27T15:44:28"/>
  </r>
  <r>
    <n v="6124"/>
    <x v="2"/>
    <n v="51023471"/>
    <n v="88.66"/>
    <s v="PLATINO"/>
    <n v="68"/>
    <d v="2026-02-27T15:44:28"/>
  </r>
  <r>
    <n v="6125"/>
    <x v="2"/>
    <n v="51031393"/>
    <n v="80.256771397150317"/>
    <s v="PLATINO"/>
    <n v="483"/>
    <d v="2026-02-27T15:44:28"/>
  </r>
  <r>
    <n v="6126"/>
    <x v="2"/>
    <n v="51025971"/>
    <n v="87.89529676565742"/>
    <s v="PLATINO"/>
    <n v="113"/>
    <d v="2026-02-27T15:44:28"/>
  </r>
  <r>
    <n v="6127"/>
    <x v="2"/>
    <n v="51020880"/>
    <n v="88.577317972244231"/>
    <s v="PLATINO"/>
    <n v="73"/>
    <d v="2026-02-27T15:44:28"/>
  </r>
  <r>
    <n v="6128"/>
    <x v="2"/>
    <n v="51023056"/>
    <n v="88.18159779332197"/>
    <s v="PLATINO"/>
    <n v="97"/>
    <d v="2026-02-27T15:44:28"/>
  </r>
  <r>
    <n v="6129"/>
    <x v="2"/>
    <n v="51022688"/>
    <n v="86.151996583427277"/>
    <s v="PLATINO"/>
    <n v="215"/>
    <d v="2026-02-27T15:44:28"/>
  </r>
  <r>
    <n v="6130"/>
    <x v="2"/>
    <n v="51012747"/>
    <n v="19.995645223110589"/>
    <s v="BRONCE"/>
    <n v="854"/>
    <d v="2026-02-27T15:44:28"/>
  </r>
  <r>
    <n v="6131"/>
    <x v="2"/>
    <n v="51032900"/>
    <n v="86.362734394010374"/>
    <s v="PLATINO"/>
    <n v="201"/>
    <d v="2026-02-27T15:44:28"/>
  </r>
  <r>
    <n v="6132"/>
    <x v="2"/>
    <n v="51056434"/>
    <n v="87.087502335269136"/>
    <s v="PLATINO"/>
    <n v="162"/>
    <d v="2026-02-27T15:44:28"/>
  </r>
  <r>
    <n v="6133"/>
    <x v="2"/>
    <n v="51019261"/>
    <n v="19.99459925209139"/>
    <s v="BRONCE"/>
    <n v="855"/>
    <d v="2026-02-27T15:44:28"/>
  </r>
  <r>
    <n v="6134"/>
    <x v="2"/>
    <n v="51018486"/>
    <n v="87.67938926289149"/>
    <s v="PLATINO"/>
    <n v="123"/>
    <d v="2026-02-27T15:44:28"/>
  </r>
  <r>
    <n v="6135"/>
    <x v="2"/>
    <n v="51005732"/>
    <n v="86.52"/>
    <s v="PLATINO"/>
    <n v="193"/>
    <d v="2026-02-27T15:44:28"/>
  </r>
  <r>
    <n v="6136"/>
    <x v="2"/>
    <n v="51039785"/>
    <n v="89.44"/>
    <s v="PLATINO"/>
    <n v="21"/>
    <d v="2026-02-27T15:44:28"/>
  </r>
  <r>
    <n v="6137"/>
    <x v="2"/>
    <n v="51025865"/>
    <n v="87.230000000000018"/>
    <s v="PLATINO"/>
    <n v="150"/>
    <d v="2026-02-27T15:44:28"/>
  </r>
  <r>
    <n v="6138"/>
    <x v="2"/>
    <n v="51015657"/>
    <n v="88.02000000000001"/>
    <s v="PLATINO"/>
    <n v="104"/>
    <d v="2026-02-27T15:44:28"/>
  </r>
  <r>
    <n v="6139"/>
    <x v="2"/>
    <n v="51001168"/>
    <n v="88.495000000000005"/>
    <s v="PLATINO"/>
    <n v="77"/>
    <d v="2026-02-27T15:44:28"/>
  </r>
  <r>
    <n v="6140"/>
    <x v="2"/>
    <n v="51021380"/>
    <n v="88.36"/>
    <s v="PLATINO"/>
    <n v="89"/>
    <d v="2026-02-27T15:44:28"/>
  </r>
  <r>
    <n v="6141"/>
    <x v="2"/>
    <n v="51011970"/>
    <n v="85.1"/>
    <s v="PLATINO"/>
    <n v="265"/>
    <d v="2026-02-27T15:44:28"/>
  </r>
  <r>
    <n v="6142"/>
    <x v="2"/>
    <n v="51036697"/>
    <n v="85.62"/>
    <s v="PLATINO"/>
    <n v="240"/>
    <d v="2026-02-27T15:44:28"/>
  </r>
  <r>
    <n v="6143"/>
    <x v="2"/>
    <n v="51009061"/>
    <n v="87.56"/>
    <s v="PLATINO"/>
    <n v="132"/>
    <d v="2026-02-27T15:44:28"/>
  </r>
  <r>
    <n v="6144"/>
    <x v="2"/>
    <n v="51013824"/>
    <n v="86.76"/>
    <s v="PLATINO"/>
    <n v="178"/>
    <d v="2026-02-27T15:44:28"/>
  </r>
  <r>
    <n v="6145"/>
    <x v="2"/>
    <n v="51009240"/>
    <n v="87"/>
    <s v="PLATINO"/>
    <n v="164"/>
    <d v="2026-02-27T15:44:28"/>
  </r>
  <r>
    <n v="6146"/>
    <x v="2"/>
    <n v="51001061"/>
    <n v="85.44"/>
    <s v="PLATINO"/>
    <n v="249"/>
    <d v="2026-02-27T15:44:28"/>
  </r>
  <r>
    <n v="6147"/>
    <x v="2"/>
    <n v="51018621"/>
    <n v="84.6"/>
    <s v="PLATINO"/>
    <n v="286"/>
    <d v="2026-02-27T15:44:28"/>
  </r>
  <r>
    <n v="6148"/>
    <x v="2"/>
    <n v="51011031"/>
    <n v="87.740000000000009"/>
    <s v="PLATINO"/>
    <n v="119"/>
    <d v="2026-02-27T15:44:28"/>
  </r>
  <r>
    <n v="6149"/>
    <x v="2"/>
    <n v="51013239"/>
    <n v="86.86"/>
    <s v="PLATINO"/>
    <n v="173"/>
    <d v="2026-02-27T15:44:28"/>
  </r>
  <r>
    <n v="6150"/>
    <x v="2"/>
    <n v="51030281"/>
    <n v="86.78"/>
    <s v="PLATINO"/>
    <n v="177"/>
    <d v="2026-02-27T15:44:28"/>
  </r>
  <r>
    <n v="6151"/>
    <x v="2"/>
    <n v="51055829"/>
    <n v="87.7"/>
    <s v="PLATINO"/>
    <n v="120"/>
    <d v="2026-02-27T15:44:28"/>
  </r>
  <r>
    <n v="6152"/>
    <x v="2"/>
    <n v="51023919"/>
    <n v="74.345996516078372"/>
    <s v="ORO"/>
    <n v="578"/>
    <d v="2026-02-27T15:44:28"/>
  </r>
  <r>
    <n v="6153"/>
    <x v="2"/>
    <n v="51031610"/>
    <n v="52.436724815919113"/>
    <s v="PLATA"/>
    <n v="741"/>
    <d v="2026-02-27T15:44:28"/>
  </r>
  <r>
    <n v="6154"/>
    <x v="2"/>
    <n v="51024141"/>
    <n v="89.58"/>
    <s v="PLATINO"/>
    <n v="15"/>
    <d v="2026-02-27T15:44:28"/>
  </r>
  <r>
    <n v="6155"/>
    <x v="2"/>
    <n v="51023137"/>
    <n v="87.28"/>
    <s v="PLATINO"/>
    <n v="146"/>
    <d v="2026-02-27T15:44:28"/>
  </r>
  <r>
    <n v="6156"/>
    <x v="2"/>
    <n v="51026578"/>
    <n v="86.62"/>
    <s v="PLATINO"/>
    <n v="186"/>
    <d v="2026-02-27T15:44:28"/>
  </r>
  <r>
    <n v="6157"/>
    <x v="2"/>
    <n v="51017986"/>
    <n v="87.52"/>
    <s v="PLATINO"/>
    <n v="135"/>
    <d v="2026-02-27T15:44:28"/>
  </r>
  <r>
    <n v="6158"/>
    <x v="2"/>
    <n v="51055373"/>
    <n v="80.858853932545259"/>
    <s v="PLATINO"/>
    <n v="461"/>
    <d v="2026-02-27T15:44:28"/>
  </r>
  <r>
    <n v="6159"/>
    <x v="2"/>
    <n v="51013794"/>
    <n v="19.98"/>
    <s v="BRONCE"/>
    <n v="860"/>
    <d v="2026-02-27T15:44:28"/>
  </r>
  <r>
    <n v="6160"/>
    <x v="2"/>
    <n v="51033141"/>
    <n v="76.669869095194201"/>
    <s v="PLATINO"/>
    <n v="561"/>
    <d v="2026-02-27T15:44:28"/>
  </r>
  <r>
    <n v="6161"/>
    <x v="2"/>
    <n v="51056612"/>
    <n v="84.36"/>
    <s v="PLATINO"/>
    <n v="299"/>
    <d v="2026-02-27T15:44:28"/>
  </r>
  <r>
    <n v="6162"/>
    <x v="2"/>
    <n v="51032071"/>
    <n v="88.740000000000009"/>
    <s v="PLATINO"/>
    <n v="62"/>
    <d v="2026-02-27T15:44:28"/>
  </r>
  <r>
    <n v="6163"/>
    <x v="2"/>
    <n v="51031121"/>
    <n v="84.32"/>
    <s v="PLATINO"/>
    <n v="304"/>
    <d v="2026-02-27T15:44:28"/>
  </r>
  <r>
    <n v="6164"/>
    <x v="2"/>
    <n v="51056981"/>
    <n v="87.48"/>
    <s v="PLATINO"/>
    <n v="136"/>
    <d v="2026-02-27T15:44:28"/>
  </r>
  <r>
    <n v="6165"/>
    <x v="2"/>
    <n v="51022424"/>
    <n v="89.817999999999998"/>
    <s v="PLATINO"/>
    <n v="3"/>
    <d v="2026-02-27T15:44:28"/>
  </r>
  <r>
    <n v="6166"/>
    <x v="2"/>
    <n v="51025920"/>
    <n v="49.758630310929682"/>
    <s v="PLATA"/>
    <n v="751"/>
    <d v="2026-02-27T15:44:28"/>
  </r>
  <r>
    <n v="6167"/>
    <x v="2"/>
    <n v="51056388"/>
    <n v="87.6"/>
    <s v="PLATINO"/>
    <n v="128"/>
    <d v="2026-02-27T15:44:28"/>
  </r>
  <r>
    <n v="6168"/>
    <x v="2"/>
    <n v="51033485"/>
    <n v="89.618000000000009"/>
    <s v="PLATINO"/>
    <n v="13"/>
    <d v="2026-02-27T15:44:28"/>
  </r>
  <r>
    <n v="6169"/>
    <x v="2"/>
    <n v="51041615"/>
    <n v="77.253174041139573"/>
    <s v="PLATINO"/>
    <n v="559"/>
    <d v="2026-02-27T15:44:28"/>
  </r>
  <r>
    <n v="6170"/>
    <x v="2"/>
    <n v="51017641"/>
    <n v="75.68342486157303"/>
    <s v="PLATINO"/>
    <n v="569"/>
    <d v="2026-02-27T15:44:28"/>
  </r>
  <r>
    <n v="6171"/>
    <x v="2"/>
    <n v="51005741"/>
    <n v="85.08"/>
    <s v="PLATINO"/>
    <n v="266"/>
    <d v="2026-02-27T15:44:28"/>
  </r>
  <r>
    <n v="6172"/>
    <x v="2"/>
    <n v="51011996"/>
    <n v="88.62"/>
    <s v="PLATINO"/>
    <n v="70"/>
    <d v="2026-02-27T15:44:28"/>
  </r>
  <r>
    <n v="6173"/>
    <x v="2"/>
    <n v="51025440"/>
    <n v="88.18"/>
    <s v="PLATINO"/>
    <n v="98"/>
    <d v="2026-02-27T15:44:28"/>
  </r>
  <r>
    <n v="6174"/>
    <x v="2"/>
    <n v="51055993"/>
    <n v="89.240000000000009"/>
    <s v="PLATINO"/>
    <n v="33"/>
    <d v="2026-02-27T15:44:28"/>
  </r>
  <r>
    <n v="6175"/>
    <x v="2"/>
    <n v="51021231"/>
    <n v="62.452012940202472"/>
    <s v="ORO"/>
    <n v="705"/>
    <d v="2026-02-27T15:44:28"/>
  </r>
  <r>
    <n v="6176"/>
    <x v="2"/>
    <n v="51024125"/>
    <n v="30.804368254257842"/>
    <s v="PLATA"/>
    <n v="806"/>
    <d v="2026-02-27T15:44:28"/>
  </r>
  <r>
    <n v="6177"/>
    <x v="2"/>
    <n v="51014359"/>
    <n v="79.500127717156857"/>
    <s v="PLATINO"/>
    <n v="509"/>
    <d v="2026-02-27T15:44:28"/>
  </r>
  <r>
    <n v="6178"/>
    <x v="2"/>
    <n v="51024681"/>
    <n v="84.1"/>
    <s v="PLATINO"/>
    <n v="323"/>
    <d v="2026-02-27T15:44:28"/>
  </r>
  <r>
    <n v="6179"/>
    <x v="2"/>
    <n v="51024001"/>
    <n v="20"/>
    <s v="BRONCE"/>
    <n v="821"/>
    <d v="2026-02-27T15:44:28"/>
  </r>
  <r>
    <n v="6180"/>
    <x v="2"/>
    <n v="51023480"/>
    <n v="89.36"/>
    <s v="PLATINO"/>
    <n v="24"/>
    <d v="2026-02-27T15:44:28"/>
  </r>
  <r>
    <n v="6181"/>
    <x v="2"/>
    <n v="51020405"/>
    <n v="68.591515475615935"/>
    <s v="ORO"/>
    <n v="634"/>
    <d v="2026-02-27T15:44:28"/>
  </r>
  <r>
    <n v="6182"/>
    <x v="2"/>
    <n v="51044070"/>
    <n v="70.121210234979728"/>
    <s v="ORO"/>
    <n v="616"/>
    <d v="2026-02-27T15:44:28"/>
  </r>
  <r>
    <n v="6183"/>
    <x v="2"/>
    <n v="51032110"/>
    <n v="87.8"/>
    <s v="PLATINO"/>
    <n v="117"/>
    <d v="2026-02-27T15:44:28"/>
  </r>
  <r>
    <n v="6184"/>
    <x v="2"/>
    <n v="51036123"/>
    <n v="88.320000000000007"/>
    <s v="PLATINO"/>
    <n v="91"/>
    <d v="2026-02-27T15:44:28"/>
  </r>
  <r>
    <n v="6185"/>
    <x v="2"/>
    <n v="51056078"/>
    <n v="86.32"/>
    <s v="PLATINO"/>
    <n v="203"/>
    <d v="2026-02-27T15:44:28"/>
  </r>
  <r>
    <n v="6186"/>
    <x v="2"/>
    <n v="51012445"/>
    <n v="84.259999999999991"/>
    <s v="PLATINO"/>
    <n v="310"/>
    <d v="2026-02-27T15:44:28"/>
  </r>
  <r>
    <n v="6187"/>
    <x v="2"/>
    <n v="51019661"/>
    <n v="86.22"/>
    <s v="PLATINO"/>
    <n v="209"/>
    <d v="2026-02-27T15:44:28"/>
  </r>
  <r>
    <n v="6188"/>
    <x v="2"/>
    <n v="51021894"/>
    <n v="20"/>
    <s v="BRONCE"/>
    <n v="821"/>
    <d v="2026-02-27T15:44:28"/>
  </r>
  <r>
    <n v="6189"/>
    <x v="2"/>
    <n v="51018575"/>
    <n v="86.64"/>
    <s v="PLATINO"/>
    <n v="185"/>
    <d v="2026-02-27T15:44:28"/>
  </r>
  <r>
    <n v="6190"/>
    <x v="2"/>
    <n v="51031652"/>
    <n v="87.6"/>
    <s v="PLATINO"/>
    <n v="128"/>
    <d v="2026-02-27T15:44:28"/>
  </r>
  <r>
    <n v="6191"/>
    <x v="2"/>
    <n v="51040627"/>
    <n v="88.64"/>
    <s v="PLATINO"/>
    <n v="69"/>
    <d v="2026-02-27T15:44:28"/>
  </r>
  <r>
    <n v="6192"/>
    <x v="2"/>
    <n v="51031253"/>
    <n v="77.513179915698231"/>
    <s v="PLATINO"/>
    <n v="556"/>
    <d v="2026-02-27T15:44:28"/>
  </r>
  <r>
    <n v="6193"/>
    <x v="2"/>
    <n v="51034350"/>
    <n v="70.419207278803157"/>
    <s v="ORO"/>
    <n v="613"/>
    <d v="2026-02-27T15:44:28"/>
  </r>
  <r>
    <n v="6194"/>
    <x v="2"/>
    <n v="51022220"/>
    <n v="19.96457892123443"/>
    <s v="BRONCE"/>
    <n v="867"/>
    <d v="2026-02-27T15:44:28"/>
  </r>
  <r>
    <n v="6195"/>
    <x v="2"/>
    <n v="51019512"/>
    <n v="85.424923297067238"/>
    <s v="PLATINO"/>
    <n v="250"/>
    <d v="2026-02-27T15:44:28"/>
  </r>
  <r>
    <n v="6196"/>
    <x v="2"/>
    <n v="51014391"/>
    <n v="80.121200998379209"/>
    <s v="PLATINO"/>
    <n v="488"/>
    <d v="2026-02-27T15:44:28"/>
  </r>
  <r>
    <n v="6197"/>
    <x v="2"/>
    <n v="51042689"/>
    <n v="86.190769875353524"/>
    <s v="PLATINO"/>
    <n v="212"/>
    <d v="2026-02-27T15:44:28"/>
  </r>
  <r>
    <n v="6198"/>
    <x v="2"/>
    <n v="51013867"/>
    <n v="88.022634205143859"/>
    <s v="PLATINO"/>
    <n v="103"/>
    <d v="2026-02-27T15:44:28"/>
  </r>
  <r>
    <n v="6199"/>
    <x v="2"/>
    <n v="51021258"/>
    <n v="87.31700410885496"/>
    <s v="PLATINO"/>
    <n v="141"/>
    <d v="2026-02-27T15:44:28"/>
  </r>
  <r>
    <n v="6200"/>
    <x v="2"/>
    <n v="51024591"/>
    <n v="19.880335578299199"/>
    <s v="BRONCE"/>
    <n v="884"/>
    <d v="2026-02-27T15:44:28"/>
  </r>
  <r>
    <n v="6201"/>
    <x v="2"/>
    <n v="51021665"/>
    <n v="79.612275862740361"/>
    <s v="PLATINO"/>
    <n v="504"/>
    <d v="2026-02-27T15:44:28"/>
  </r>
  <r>
    <n v="6202"/>
    <x v="2"/>
    <n v="51030273"/>
    <n v="27.320637331474249"/>
    <s v="BRONCE"/>
    <n v="813"/>
    <d v="2026-02-27T15:44:28"/>
  </r>
  <r>
    <n v="6203"/>
    <x v="2"/>
    <n v="51024559"/>
    <n v="19.860662799636788"/>
    <s v="BRONCE"/>
    <n v="888"/>
    <d v="2026-02-27T15:44:28"/>
  </r>
  <r>
    <n v="6204"/>
    <x v="2"/>
    <n v="51007565"/>
    <n v="84.180394799885192"/>
    <s v="PLATINO"/>
    <n v="316"/>
    <d v="2026-02-27T15:44:28"/>
  </r>
  <r>
    <n v="6205"/>
    <x v="2"/>
    <n v="51032136"/>
    <n v="86.32218676160339"/>
    <s v="PLATINO"/>
    <n v="202"/>
    <d v="2026-02-27T15:44:28"/>
  </r>
  <r>
    <n v="6206"/>
    <x v="2"/>
    <n v="51057066"/>
    <n v="84.598696995777317"/>
    <s v="PLATINO"/>
    <n v="287"/>
    <d v="2026-02-27T15:44:28"/>
  </r>
  <r>
    <n v="6207"/>
    <x v="2"/>
    <n v="51021215"/>
    <n v="51.900198844537293"/>
    <s v="PLATA"/>
    <n v="744"/>
    <d v="2026-02-27T15:44:28"/>
  </r>
  <r>
    <n v="6208"/>
    <x v="2"/>
    <n v="51040937"/>
    <n v="87.303676828517496"/>
    <s v="PLATINO"/>
    <n v="142"/>
    <d v="2026-02-27T15:44:28"/>
  </r>
  <r>
    <n v="6209"/>
    <x v="2"/>
    <n v="51014430"/>
    <n v="87.173016832588999"/>
    <s v="PLATINO"/>
    <n v="154"/>
    <d v="2026-02-27T15:44:28"/>
  </r>
  <r>
    <n v="6210"/>
    <x v="2"/>
    <n v="51055853"/>
    <n v="19.859351769915261"/>
    <s v="BRONCE"/>
    <n v="889"/>
    <d v="2026-02-27T15:44:28"/>
  </r>
  <r>
    <n v="6211"/>
    <x v="2"/>
    <n v="51056515"/>
    <n v="85.504591571828058"/>
    <s v="PLATINO"/>
    <n v="248"/>
    <d v="2026-02-27T15:44:28"/>
  </r>
  <r>
    <n v="6212"/>
    <x v="2"/>
    <n v="51020952"/>
    <n v="85.787610258848758"/>
    <s v="PLATINO"/>
    <n v="232"/>
    <d v="2026-02-27T15:44:28"/>
  </r>
  <r>
    <n v="6213"/>
    <x v="2"/>
    <n v="51022611"/>
    <n v="71.159740384405282"/>
    <s v="ORO"/>
    <n v="608"/>
    <d v="2026-02-27T15:44:28"/>
  </r>
  <r>
    <n v="6214"/>
    <x v="2"/>
    <n v="51056761"/>
    <n v="88.913011818036026"/>
    <s v="PLATINO"/>
    <n v="51"/>
    <d v="2026-02-27T15:44:28"/>
  </r>
  <r>
    <n v="6215"/>
    <x v="2"/>
    <n v="51031741"/>
    <n v="86.171533718723566"/>
    <s v="PLATINO"/>
    <n v="213"/>
    <d v="2026-02-27T15:44:28"/>
  </r>
  <r>
    <n v="6216"/>
    <x v="2"/>
    <n v="51056469"/>
    <n v="87.579642287135925"/>
    <s v="PLATINO"/>
    <n v="131"/>
    <d v="2026-02-27T15:44:28"/>
  </r>
  <r>
    <n v="6217"/>
    <x v="2"/>
    <n v="51031130"/>
    <n v="85.897438832440898"/>
    <s v="PLATINO"/>
    <n v="228"/>
    <d v="2026-02-27T15:44:28"/>
  </r>
  <r>
    <n v="6218"/>
    <x v="2"/>
    <n v="51014855"/>
    <n v="85.387467466972652"/>
    <s v="PLATINO"/>
    <n v="253"/>
    <d v="2026-02-27T15:44:28"/>
  </r>
  <r>
    <n v="6219"/>
    <x v="2"/>
    <n v="51055055"/>
    <n v="85.896886722459598"/>
    <s v="PLATINO"/>
    <n v="229"/>
    <d v="2026-02-27T15:44:28"/>
  </r>
  <r>
    <n v="6220"/>
    <x v="2"/>
    <n v="51008634"/>
    <n v="65.295375117840621"/>
    <s v="ORO"/>
    <n v="663"/>
    <d v="2026-02-27T15:44:28"/>
  </r>
  <r>
    <n v="6221"/>
    <x v="2"/>
    <n v="51021835"/>
    <n v="88.413358498227382"/>
    <s v="PLATINO"/>
    <n v="84"/>
    <d v="2026-02-27T15:44:28"/>
  </r>
  <r>
    <n v="6222"/>
    <x v="2"/>
    <n v="51030320"/>
    <n v="85.019706976725672"/>
    <s v="PLATINO"/>
    <n v="270"/>
    <d v="2026-02-27T15:44:28"/>
  </r>
  <r>
    <n v="6223"/>
    <x v="2"/>
    <n v="51033701"/>
    <n v="86.392214342996411"/>
    <s v="PLATINO"/>
    <n v="197"/>
    <d v="2026-02-27T15:44:28"/>
  </r>
  <r>
    <n v="6224"/>
    <x v="2"/>
    <n v="51013280"/>
    <n v="88.789446402633757"/>
    <s v="PLATINO"/>
    <n v="60"/>
    <d v="2026-02-27T15:44:28"/>
  </r>
  <r>
    <n v="6225"/>
    <x v="2"/>
    <n v="51022785"/>
    <n v="19.923167627549581"/>
    <s v="BRONCE"/>
    <n v="873"/>
    <d v="2026-02-27T15:44:28"/>
  </r>
  <r>
    <n v="6226"/>
    <x v="2"/>
    <n v="51036310"/>
    <n v="19.905574055957121"/>
    <s v="BRONCE"/>
    <n v="876"/>
    <d v="2026-02-27T15:44:28"/>
  </r>
  <r>
    <n v="6227"/>
    <x v="2"/>
    <n v="51010710"/>
    <n v="87.687169780262082"/>
    <s v="PLATINO"/>
    <n v="122"/>
    <d v="2026-02-27T15:44:28"/>
  </r>
  <r>
    <n v="6228"/>
    <x v="2"/>
    <n v="51034376"/>
    <n v="76.582802896077709"/>
    <s v="PLATINO"/>
    <n v="564"/>
    <d v="2026-02-27T15:44:28"/>
  </r>
  <r>
    <n v="6229"/>
    <x v="2"/>
    <n v="51023561"/>
    <n v="88.667809365064983"/>
    <s v="PLATINO"/>
    <n v="67"/>
    <d v="2026-02-27T15:44:28"/>
  </r>
  <r>
    <n v="6230"/>
    <x v="2"/>
    <n v="51025253"/>
    <n v="19.904924347322911"/>
    <s v="BRONCE"/>
    <n v="877"/>
    <d v="2026-02-27T15:44:28"/>
  </r>
  <r>
    <n v="6231"/>
    <x v="2"/>
    <n v="51030176"/>
    <n v="43.192080569179851"/>
    <s v="PLATA"/>
    <n v="767"/>
    <d v="2026-02-27T15:44:28"/>
  </r>
  <r>
    <n v="6232"/>
    <x v="2"/>
    <n v="51024575"/>
    <n v="75.724129388838719"/>
    <s v="PLATINO"/>
    <n v="568"/>
    <d v="2026-02-27T15:44:28"/>
  </r>
  <r>
    <n v="6233"/>
    <x v="2"/>
    <n v="51005333"/>
    <n v="36.09202393669969"/>
    <s v="PLATA"/>
    <n v="788"/>
    <d v="2026-02-27T15:44:28"/>
  </r>
  <r>
    <n v="6234"/>
    <x v="2"/>
    <n v="51030931"/>
    <n v="86.918924133762872"/>
    <s v="PLATINO"/>
    <n v="170"/>
    <d v="2026-02-27T15:44:28"/>
  </r>
  <r>
    <n v="6235"/>
    <x v="2"/>
    <n v="51056027"/>
    <n v="85.217770550525344"/>
    <s v="PLATINO"/>
    <n v="259"/>
    <d v="2026-02-27T15:44:28"/>
  </r>
  <r>
    <n v="6236"/>
    <x v="2"/>
    <n v="51054911"/>
    <n v="84.312805889505569"/>
    <s v="PLATINO"/>
    <n v="306"/>
    <d v="2026-02-27T15:44:28"/>
  </r>
  <r>
    <n v="6237"/>
    <x v="2"/>
    <n v="51030605"/>
    <n v="78.558200868373248"/>
    <s v="PLATINO"/>
    <n v="536"/>
    <d v="2026-02-27T15:44:28"/>
  </r>
  <r>
    <n v="6238"/>
    <x v="2"/>
    <n v="51044487"/>
    <n v="87.108710679972774"/>
    <s v="PLATINO"/>
    <n v="160"/>
    <d v="2026-02-27T15:44:28"/>
  </r>
  <r>
    <n v="6239"/>
    <x v="2"/>
    <n v="51035674"/>
    <n v="86.112190708453269"/>
    <s v="PLATINO"/>
    <n v="217"/>
    <d v="2026-02-27T15:44:28"/>
  </r>
  <r>
    <n v="6240"/>
    <x v="2"/>
    <n v="51055128"/>
    <n v="84.181888914457147"/>
    <s v="PLATINO"/>
    <n v="315"/>
    <d v="2026-02-27T15:44:28"/>
  </r>
  <r>
    <n v="6241"/>
    <x v="2"/>
    <n v="51011546"/>
    <n v="84.977041474383711"/>
    <s v="PLATINO"/>
    <n v="271"/>
    <d v="2026-02-27T15:44:28"/>
  </r>
  <r>
    <n v="6242"/>
    <x v="2"/>
    <n v="51031482"/>
    <n v="87.275793348975867"/>
    <s v="PLATINO"/>
    <n v="147"/>
    <d v="2026-02-27T15:44:28"/>
  </r>
  <r>
    <n v="6243"/>
    <x v="2"/>
    <n v="51030109"/>
    <n v="19.79141790670857"/>
    <s v="BRONCE"/>
    <n v="904"/>
    <d v="2026-02-27T15:44:28"/>
  </r>
  <r>
    <n v="6244"/>
    <x v="2"/>
    <n v="51022009"/>
    <n v="87.295110431991645"/>
    <s v="PLATINO"/>
    <n v="144"/>
    <d v="2026-02-27T15:44:28"/>
  </r>
  <r>
    <n v="6245"/>
    <x v="2"/>
    <n v="51015932"/>
    <n v="86.785124896269835"/>
    <s v="PLATINO"/>
    <n v="176"/>
    <d v="2026-02-27T15:44:28"/>
  </r>
  <r>
    <n v="6246"/>
    <x v="2"/>
    <n v="51030028"/>
    <n v="85.582640408510628"/>
    <s v="PLATINO"/>
    <n v="243"/>
    <d v="2026-02-27T15:44:28"/>
  </r>
  <r>
    <n v="6247"/>
    <x v="2"/>
    <n v="51030257"/>
    <n v="19.7342709580426"/>
    <s v="BRONCE"/>
    <n v="912"/>
    <d v="2026-02-27T15:44:28"/>
  </r>
  <r>
    <n v="6248"/>
    <x v="2"/>
    <n v="51055489"/>
    <n v="85.322413738449086"/>
    <s v="PLATINO"/>
    <n v="255"/>
    <d v="2026-02-27T15:44:28"/>
  </r>
  <r>
    <n v="6249"/>
    <x v="2"/>
    <n v="51019423"/>
    <n v="87.67749104735951"/>
    <s v="PLATINO"/>
    <n v="124"/>
    <d v="2026-02-27T15:44:28"/>
  </r>
  <r>
    <n v="6250"/>
    <x v="2"/>
    <n v="51000811"/>
    <n v="73.865750589691274"/>
    <s v="ORO"/>
    <n v="582"/>
    <d v="2026-02-27T15:44:28"/>
  </r>
  <r>
    <n v="6251"/>
    <x v="2"/>
    <n v="51057040"/>
    <n v="88.475035514879082"/>
    <s v="PLATINO"/>
    <n v="80"/>
    <d v="2026-02-27T15:44:28"/>
  </r>
  <r>
    <n v="6252"/>
    <x v="2"/>
    <n v="51055101"/>
    <n v="69.293838199310159"/>
    <s v="ORO"/>
    <n v="626"/>
    <d v="2026-02-27T15:44:28"/>
  </r>
  <r>
    <n v="6253"/>
    <x v="2"/>
    <n v="51016386"/>
    <n v="69.813330919886795"/>
    <s v="ORO"/>
    <n v="620"/>
    <d v="2026-02-27T15:44:28"/>
  </r>
  <r>
    <n v="6254"/>
    <x v="2"/>
    <n v="51003594"/>
    <n v="87.16552672713668"/>
    <s v="PLATINO"/>
    <n v="155"/>
    <d v="2026-02-27T15:44:28"/>
  </r>
  <r>
    <n v="6255"/>
    <x v="2"/>
    <n v="51030923"/>
    <n v="64.68108003112134"/>
    <s v="ORO"/>
    <n v="668"/>
    <d v="2026-02-27T15:44:28"/>
  </r>
  <r>
    <n v="6256"/>
    <x v="2"/>
    <n v="51043197"/>
    <n v="72.139758713794748"/>
    <s v="ORO"/>
    <n v="598"/>
    <d v="2026-02-27T15:44:28"/>
  </r>
  <r>
    <n v="6257"/>
    <x v="2"/>
    <n v="51022823"/>
    <n v="35.150781397399683"/>
    <s v="PLATA"/>
    <n v="793"/>
    <d v="2026-02-27T15:44:28"/>
  </r>
  <r>
    <n v="6258"/>
    <x v="2"/>
    <n v="51056060"/>
    <n v="88.908053269086423"/>
    <s v="PLATINO"/>
    <n v="52"/>
    <d v="2026-02-27T15:44:28"/>
  </r>
  <r>
    <n v="6259"/>
    <x v="2"/>
    <n v="51024419"/>
    <n v="86.298051538315718"/>
    <s v="PLATINO"/>
    <n v="207"/>
    <d v="2026-02-27T15:44:28"/>
  </r>
  <r>
    <n v="6260"/>
    <x v="2"/>
    <n v="51025326"/>
    <n v="84.953250549985967"/>
    <s v="PLATINO"/>
    <n v="273"/>
    <d v="2026-02-27T15:44:28"/>
  </r>
  <r>
    <n v="6261"/>
    <x v="2"/>
    <n v="51020014"/>
    <n v="86.667799384519512"/>
    <s v="PLATINO"/>
    <n v="182"/>
    <d v="2026-02-27T15:44:28"/>
  </r>
  <r>
    <n v="6262"/>
    <x v="2"/>
    <n v="51055951"/>
    <n v="77.767654765786304"/>
    <s v="PLATINO"/>
    <n v="548"/>
    <d v="2026-02-27T15:44:28"/>
  </r>
  <r>
    <n v="6263"/>
    <x v="2"/>
    <n v="51016882"/>
    <n v="89.121214309277775"/>
    <s v="PLATINO"/>
    <n v="39"/>
    <d v="2026-02-27T15:44:28"/>
  </r>
  <r>
    <n v="6264"/>
    <x v="2"/>
    <n v="51043405"/>
    <n v="82.194224664609891"/>
    <s v="PLATINO"/>
    <n v="407"/>
    <d v="2026-02-27T15:44:28"/>
  </r>
  <r>
    <n v="6265"/>
    <x v="2"/>
    <n v="51008987"/>
    <n v="87.558310093709849"/>
    <s v="PLATINO"/>
    <n v="133"/>
    <d v="2026-02-27T15:44:28"/>
  </r>
  <r>
    <n v="6266"/>
    <x v="2"/>
    <n v="51021088"/>
    <n v="86.443018326232576"/>
    <s v="PLATINO"/>
    <n v="196"/>
    <d v="2026-02-27T15:44:28"/>
  </r>
  <r>
    <n v="6267"/>
    <x v="2"/>
    <n v="51001702"/>
    <n v="87.002164188691538"/>
    <s v="PLATINO"/>
    <n v="163"/>
    <d v="2026-02-27T15:44:28"/>
  </r>
  <r>
    <n v="6268"/>
    <x v="2"/>
    <n v="51003730"/>
    <n v="87.995106484616883"/>
    <s v="PLATINO"/>
    <n v="109"/>
    <d v="2026-02-27T15:44:28"/>
  </r>
  <r>
    <n v="6269"/>
    <x v="2"/>
    <n v="51012348"/>
    <n v="84.157130479376889"/>
    <s v="PLATINO"/>
    <n v="317"/>
    <d v="2026-02-27T15:44:28"/>
  </r>
  <r>
    <n v="6270"/>
    <x v="2"/>
    <n v="51031563"/>
    <n v="84.627143807973141"/>
    <s v="PLATINO"/>
    <n v="284"/>
    <d v="2026-02-27T15:44:28"/>
  </r>
  <r>
    <n v="6271"/>
    <x v="2"/>
    <n v="51055080"/>
    <n v="69.660657265457985"/>
    <s v="ORO"/>
    <n v="622"/>
    <d v="2026-02-27T15:44:28"/>
  </r>
  <r>
    <n v="6272"/>
    <x v="2"/>
    <n v="51018672"/>
    <n v="84.92298630398065"/>
    <s v="PLATINO"/>
    <n v="274"/>
    <d v="2026-02-27T15:44:28"/>
  </r>
  <r>
    <n v="6273"/>
    <x v="2"/>
    <n v="51019130"/>
    <n v="83.782765958651851"/>
    <s v="PLATINO"/>
    <n v="338"/>
    <d v="2026-02-27T15:44:28"/>
  </r>
  <r>
    <n v="6274"/>
    <x v="2"/>
    <n v="51036255"/>
    <n v="65.30635150714528"/>
    <s v="ORO"/>
    <n v="662"/>
    <d v="2026-02-27T15:44:28"/>
  </r>
  <r>
    <n v="6275"/>
    <x v="2"/>
    <n v="51056809"/>
    <n v="48.742246043733047"/>
    <s v="PLATA"/>
    <n v="754"/>
    <d v="2026-02-27T15:44:28"/>
  </r>
  <r>
    <n v="6276"/>
    <x v="2"/>
    <n v="51018699"/>
    <n v="86.387658060176079"/>
    <s v="PLATINO"/>
    <n v="198"/>
    <d v="2026-02-27T15:44:28"/>
  </r>
  <r>
    <n v="6277"/>
    <x v="2"/>
    <n v="51010019"/>
    <n v="68.566450378126319"/>
    <s v="ORO"/>
    <n v="636"/>
    <d v="2026-02-27T15:44:28"/>
  </r>
  <r>
    <n v="6278"/>
    <x v="2"/>
    <n v="51010647"/>
    <n v="85.368913478802739"/>
    <s v="PLATINO"/>
    <n v="254"/>
    <d v="2026-02-27T15:44:28"/>
  </r>
  <r>
    <n v="6279"/>
    <x v="2"/>
    <n v="51054881"/>
    <n v="83.000226689831166"/>
    <s v="PLATINO"/>
    <n v="372"/>
    <d v="2026-02-27T15:44:28"/>
  </r>
  <r>
    <n v="6280"/>
    <x v="2"/>
    <n v="51019091"/>
    <n v="19.67827963586593"/>
    <s v="BRONCE"/>
    <n v="920"/>
    <d v="2026-02-27T15:44:28"/>
  </r>
  <r>
    <n v="6281"/>
    <x v="2"/>
    <n v="51018931"/>
    <n v="84.534689911567526"/>
    <s v="PLATINO"/>
    <n v="291"/>
    <d v="2026-02-27T15:44:28"/>
  </r>
  <r>
    <n v="6282"/>
    <x v="2"/>
    <n v="51057015"/>
    <n v="85.321078894754976"/>
    <s v="PLATINO"/>
    <n v="256"/>
    <d v="2026-02-27T15:44:28"/>
  </r>
  <r>
    <n v="6283"/>
    <x v="2"/>
    <n v="51023421"/>
    <n v="85.394292045491568"/>
    <s v="PLATINO"/>
    <n v="252"/>
    <d v="2026-02-27T15:44:28"/>
  </r>
  <r>
    <n v="6284"/>
    <x v="2"/>
    <n v="51012305"/>
    <n v="64.437317436592224"/>
    <s v="ORO"/>
    <n v="674"/>
    <d v="2026-02-27T15:44:28"/>
  </r>
  <r>
    <n v="6285"/>
    <x v="2"/>
    <n v="51014219"/>
    <n v="89.416307377499194"/>
    <s v="PLATINO"/>
    <n v="22"/>
    <d v="2026-02-27T15:44:28"/>
  </r>
  <r>
    <n v="6286"/>
    <x v="2"/>
    <n v="51030753"/>
    <n v="85.052524437886078"/>
    <s v="PLATINO"/>
    <n v="269"/>
    <d v="2026-02-27T15:44:28"/>
  </r>
  <r>
    <n v="6287"/>
    <x v="2"/>
    <n v="51042336"/>
    <n v="86.596822790555976"/>
    <s v="PLATINO"/>
    <n v="189"/>
    <d v="2026-02-27T15:44:28"/>
  </r>
  <r>
    <n v="6288"/>
    <x v="2"/>
    <n v="51023790"/>
    <n v="84.027722256578301"/>
    <s v="PLATINO"/>
    <n v="325"/>
    <d v="2026-02-27T15:44:28"/>
  </r>
  <r>
    <n v="6289"/>
    <x v="2"/>
    <n v="51022378"/>
    <n v="19.652901395804609"/>
    <s v="BRONCE"/>
    <n v="923"/>
    <d v="2026-02-27T15:44:28"/>
  </r>
  <r>
    <n v="6290"/>
    <x v="2"/>
    <n v="51052072"/>
    <n v="19.63491430091533"/>
    <s v="BRONCE"/>
    <n v="925"/>
    <d v="2026-02-27T15:44:28"/>
  </r>
  <r>
    <n v="6291"/>
    <x v="2"/>
    <n v="51031946"/>
    <n v="84.033505368510419"/>
    <s v="PLATINO"/>
    <n v="324"/>
    <d v="2026-02-27T15:44:28"/>
  </r>
  <r>
    <n v="6292"/>
    <x v="2"/>
    <n v="51010752"/>
    <n v="19.60464531463553"/>
    <s v="BRONCE"/>
    <n v="927"/>
    <d v="2026-02-27T15:44:28"/>
  </r>
  <r>
    <n v="6293"/>
    <x v="2"/>
    <n v="51055594"/>
    <n v="86.07893616663884"/>
    <s v="PLATINO"/>
    <n v="218"/>
    <d v="2026-02-27T15:44:28"/>
  </r>
  <r>
    <n v="6294"/>
    <x v="2"/>
    <n v="51041585"/>
    <n v="86.483174440467224"/>
    <s v="PLATINO"/>
    <n v="194"/>
    <d v="2026-02-27T15:44:28"/>
  </r>
  <r>
    <n v="6295"/>
    <x v="2"/>
    <n v="51017455"/>
    <n v="87.941829780333961"/>
    <s v="PLATINO"/>
    <n v="110"/>
    <d v="2026-02-27T15:44:28"/>
  </r>
  <r>
    <n v="6296"/>
    <x v="2"/>
    <n v="51033345"/>
    <n v="71.672849243636307"/>
    <s v="ORO"/>
    <n v="602"/>
    <d v="2026-02-27T15:44:28"/>
  </r>
  <r>
    <n v="6297"/>
    <x v="2"/>
    <n v="51012399"/>
    <n v="67.662062659815064"/>
    <s v="ORO"/>
    <n v="645"/>
    <d v="2026-02-27T15:44:28"/>
  </r>
  <r>
    <n v="6298"/>
    <x v="2"/>
    <n v="51034236"/>
    <n v="83.553895553798554"/>
    <s v="PLATINO"/>
    <n v="348"/>
    <d v="2026-02-27T15:44:28"/>
  </r>
  <r>
    <n v="6299"/>
    <x v="2"/>
    <n v="51012941"/>
    <n v="86.318638074553149"/>
    <s v="PLATINO"/>
    <n v="204"/>
    <d v="2026-02-27T15:44:28"/>
  </r>
  <r>
    <n v="6300"/>
    <x v="2"/>
    <n v="51011694"/>
    <n v="19.613951574245512"/>
    <s v="BRONCE"/>
    <n v="926"/>
    <d v="2026-02-27T15:44:28"/>
  </r>
  <r>
    <n v="6301"/>
    <x v="2"/>
    <n v="51020197"/>
    <n v="85.075494169955135"/>
    <s v="PLATINO"/>
    <n v="267"/>
    <d v="2026-02-27T15:44:28"/>
  </r>
  <r>
    <n v="6302"/>
    <x v="2"/>
    <n v="51003284"/>
    <n v="83.610570783398941"/>
    <s v="PLATINO"/>
    <n v="346"/>
    <d v="2026-02-27T15:44:28"/>
  </r>
  <r>
    <n v="6303"/>
    <x v="2"/>
    <n v="51025342"/>
    <n v="19.537339833740798"/>
    <s v="BRONCE"/>
    <n v="934"/>
    <d v="2026-02-27T15:44:28"/>
  </r>
  <r>
    <n v="6304"/>
    <x v="2"/>
    <n v="51030389"/>
    <n v="83.350274818652196"/>
    <s v="PLATINO"/>
    <n v="356"/>
    <d v="2026-02-27T15:44:28"/>
  </r>
  <r>
    <n v="6305"/>
    <x v="2"/>
    <n v="51013581"/>
    <n v="85.70484045044239"/>
    <s v="PLATINO"/>
    <n v="236"/>
    <d v="2026-02-27T15:44:28"/>
  </r>
  <r>
    <n v="6306"/>
    <x v="2"/>
    <n v="51056833"/>
    <n v="84.433051219154237"/>
    <s v="PLATINO"/>
    <n v="295"/>
    <d v="2026-02-27T15:44:28"/>
  </r>
  <r>
    <n v="6307"/>
    <x v="2"/>
    <n v="51056086"/>
    <n v="84.275383159608097"/>
    <s v="PLATINO"/>
    <n v="309"/>
    <d v="2026-02-27T15:44:28"/>
  </r>
  <r>
    <n v="6308"/>
    <x v="2"/>
    <n v="51055241"/>
    <n v="85.6456906351209"/>
    <s v="PLATINO"/>
    <n v="237"/>
    <d v="2026-02-27T15:44:28"/>
  </r>
  <r>
    <n v="6309"/>
    <x v="2"/>
    <n v="51008669"/>
    <n v="83.586285792965498"/>
    <s v="PLATINO"/>
    <n v="347"/>
    <d v="2026-02-27T15:44:28"/>
  </r>
  <r>
    <n v="6310"/>
    <x v="2"/>
    <n v="51031521"/>
    <n v="19.579457743803669"/>
    <s v="BRONCE"/>
    <n v="930"/>
    <d v="2026-02-27T15:44:28"/>
  </r>
  <r>
    <n v="6311"/>
    <x v="2"/>
    <n v="51033477"/>
    <n v="19.59099501782898"/>
    <s v="BRONCE"/>
    <n v="928"/>
    <d v="2026-02-27T15:44:28"/>
  </r>
  <r>
    <n v="6312"/>
    <x v="2"/>
    <n v="51020651"/>
    <n v="64.16313846430954"/>
    <s v="ORO"/>
    <n v="684"/>
    <d v="2026-02-27T15:44:28"/>
  </r>
  <r>
    <n v="6313"/>
    <x v="2"/>
    <n v="51013409"/>
    <n v="82.607010154748721"/>
    <s v="PLATINO"/>
    <n v="390"/>
    <d v="2026-02-27T15:44:28"/>
  </r>
  <r>
    <n v="6314"/>
    <x v="2"/>
    <n v="51030397"/>
    <n v="88.277468324577285"/>
    <s v="PLATINO"/>
    <n v="93"/>
    <d v="2026-02-27T15:44:28"/>
  </r>
  <r>
    <n v="6315"/>
    <x v="2"/>
    <n v="51010353"/>
    <n v="86.650880979638487"/>
    <s v="PLATINO"/>
    <n v="184"/>
    <d v="2026-02-27T15:44:28"/>
  </r>
  <r>
    <n v="6316"/>
    <x v="2"/>
    <n v="51054814"/>
    <n v="72.81114590944523"/>
    <s v="ORO"/>
    <n v="589"/>
    <d v="2026-02-27T15:44:28"/>
  </r>
  <r>
    <n v="6317"/>
    <x v="2"/>
    <n v="51012372"/>
    <n v="85.217863763361379"/>
    <s v="PLATINO"/>
    <n v="258"/>
    <d v="2026-02-27T15:44:28"/>
  </r>
  <r>
    <n v="6318"/>
    <x v="2"/>
    <n v="51036212"/>
    <n v="72.510421405057542"/>
    <s v="ORO"/>
    <n v="594"/>
    <d v="2026-02-27T15:44:28"/>
  </r>
  <r>
    <n v="6319"/>
    <x v="2"/>
    <n v="51029984"/>
    <n v="87.445772353979564"/>
    <s v="PLATINO"/>
    <n v="137"/>
    <d v="2026-02-27T15:44:28"/>
  </r>
  <r>
    <n v="6320"/>
    <x v="2"/>
    <n v="51039777"/>
    <n v="87.294180939791062"/>
    <s v="PLATINO"/>
    <n v="145"/>
    <d v="2026-02-27T15:44:28"/>
  </r>
  <r>
    <n v="6321"/>
    <x v="2"/>
    <n v="51056183"/>
    <n v="47.411222283680388"/>
    <s v="PLATA"/>
    <n v="756"/>
    <d v="2026-02-27T15:44:28"/>
  </r>
  <r>
    <n v="6322"/>
    <x v="2"/>
    <n v="51039238"/>
    <n v="19.690050657489131"/>
    <s v="BRONCE"/>
    <n v="918"/>
    <d v="2026-02-27T15:44:28"/>
  </r>
  <r>
    <n v="6323"/>
    <x v="2"/>
    <n v="51007701"/>
    <n v="86.957699471504"/>
    <s v="PLATINO"/>
    <n v="166"/>
    <d v="2026-02-27T15:44:28"/>
  </r>
  <r>
    <n v="6324"/>
    <x v="2"/>
    <n v="51034228"/>
    <n v="85.189324839129966"/>
    <s v="PLATINO"/>
    <n v="261"/>
    <d v="2026-02-27T15:44:28"/>
  </r>
  <r>
    <n v="6325"/>
    <x v="2"/>
    <n v="51005295"/>
    <n v="27.834513875619258"/>
    <s v="BRONCE"/>
    <n v="811"/>
    <d v="2026-02-27T15:44:28"/>
  </r>
  <r>
    <n v="6326"/>
    <x v="2"/>
    <n v="51023668"/>
    <n v="85.533074464998208"/>
    <s v="PLATINO"/>
    <n v="246"/>
    <d v="2026-02-27T15:44:28"/>
  </r>
  <r>
    <n v="6327"/>
    <x v="2"/>
    <n v="51018851"/>
    <n v="65.075658704969896"/>
    <s v="ORO"/>
    <n v="666"/>
    <d v="2026-02-27T15:44:28"/>
  </r>
  <r>
    <n v="6328"/>
    <x v="2"/>
    <n v="51042042"/>
    <n v="86.859482690609909"/>
    <s v="PLATINO"/>
    <n v="174"/>
    <d v="2026-02-27T15:44:28"/>
  </r>
  <r>
    <n v="6329"/>
    <x v="2"/>
    <n v="51010817"/>
    <n v="83.081459168490653"/>
    <s v="PLATINO"/>
    <n v="369"/>
    <d v="2026-02-27T15:44:28"/>
  </r>
  <r>
    <n v="6330"/>
    <x v="2"/>
    <n v="51022408"/>
    <n v="86.150101525487401"/>
    <s v="PLATINO"/>
    <n v="216"/>
    <d v="2026-02-27T15:44:28"/>
  </r>
  <r>
    <n v="6331"/>
    <x v="2"/>
    <n v="51032578"/>
    <n v="82.424422010475041"/>
    <s v="PLATINO"/>
    <n v="399"/>
    <d v="2026-02-27T15:44:28"/>
  </r>
  <r>
    <n v="6332"/>
    <x v="2"/>
    <n v="51017978"/>
    <n v="83.502726062167682"/>
    <s v="PLATINO"/>
    <n v="350"/>
    <d v="2026-02-27T15:44:28"/>
  </r>
  <r>
    <n v="6333"/>
    <x v="2"/>
    <n v="51056868"/>
    <n v="87.6088795711795"/>
    <s v="PLATINO"/>
    <n v="127"/>
    <d v="2026-02-27T15:44:28"/>
  </r>
  <r>
    <n v="6334"/>
    <x v="2"/>
    <n v="51056566"/>
    <n v="84.408998146038954"/>
    <s v="PLATINO"/>
    <n v="297"/>
    <d v="2026-02-27T15:44:28"/>
  </r>
  <r>
    <n v="6335"/>
    <x v="2"/>
    <n v="51005112"/>
    <n v="83.427283080249012"/>
    <s v="PLATINO"/>
    <n v="353"/>
    <d v="2026-02-27T15:44:28"/>
  </r>
  <r>
    <n v="6336"/>
    <x v="2"/>
    <n v="51019946"/>
    <n v="26.88041240497131"/>
    <s v="BRONCE"/>
    <n v="816"/>
    <d v="2026-02-27T15:44:28"/>
  </r>
  <r>
    <n v="6337"/>
    <x v="2"/>
    <n v="51027116"/>
    <n v="84.546736023952036"/>
    <s v="PLATINO"/>
    <n v="289"/>
    <d v="2026-02-27T15:44:28"/>
  </r>
  <r>
    <n v="6338"/>
    <x v="2"/>
    <n v="51042051"/>
    <n v="86.589847132733439"/>
    <s v="PLATINO"/>
    <n v="190"/>
    <d v="2026-02-27T15:44:28"/>
  </r>
  <r>
    <n v="6339"/>
    <x v="2"/>
    <n v="51024702"/>
    <n v="64.5509768474342"/>
    <s v="ORO"/>
    <n v="673"/>
    <d v="2026-02-27T15:44:28"/>
  </r>
  <r>
    <n v="6340"/>
    <x v="2"/>
    <n v="51000251"/>
    <n v="19.801735595971099"/>
    <s v="BRONCE"/>
    <n v="902"/>
    <d v="2026-02-27T15:44:28"/>
  </r>
  <r>
    <n v="6341"/>
    <x v="2"/>
    <n v="51036778"/>
    <n v="64.381479215416391"/>
    <s v="ORO"/>
    <n v="677"/>
    <d v="2026-02-27T15:44:28"/>
  </r>
  <r>
    <n v="6342"/>
    <x v="2"/>
    <n v="51056850"/>
    <n v="87.375292873124209"/>
    <s v="PLATINO"/>
    <n v="140"/>
    <d v="2026-02-27T15:44:28"/>
  </r>
  <r>
    <n v="6343"/>
    <x v="2"/>
    <n v="51054989"/>
    <n v="84.314100367815882"/>
    <s v="PLATINO"/>
    <n v="305"/>
    <d v="2026-02-27T15:44:28"/>
  </r>
  <r>
    <n v="6344"/>
    <x v="2"/>
    <n v="51018737"/>
    <n v="84.44406763511607"/>
    <s v="PLATINO"/>
    <n v="294"/>
    <d v="2026-02-27T15:44:28"/>
  </r>
  <r>
    <n v="6345"/>
    <x v="2"/>
    <n v="51023811"/>
    <n v="86.615818310226217"/>
    <s v="PLATINO"/>
    <n v="188"/>
    <d v="2026-02-27T15:44:28"/>
  </r>
  <r>
    <n v="6346"/>
    <x v="2"/>
    <n v="51040899"/>
    <n v="84.797554211886037"/>
    <s v="PLATINO"/>
    <n v="277"/>
    <d v="2026-02-27T15:44:28"/>
  </r>
  <r>
    <n v="6347"/>
    <x v="2"/>
    <n v="51022149"/>
    <n v="85.524893250244901"/>
    <s v="PLATINO"/>
    <n v="247"/>
    <d v="2026-02-27T15:44:28"/>
  </r>
  <r>
    <n v="6348"/>
    <x v="2"/>
    <n v="51014189"/>
    <n v="86.618316642614161"/>
    <s v="PLATINO"/>
    <n v="187"/>
    <d v="2026-02-27T15:44:28"/>
  </r>
  <r>
    <n v="6349"/>
    <x v="2"/>
    <n v="51011538"/>
    <n v="36.033508459233552"/>
    <s v="PLATA"/>
    <n v="789"/>
    <d v="2026-02-27T15:44:28"/>
  </r>
  <r>
    <n v="6350"/>
    <x v="2"/>
    <n v="51011686"/>
    <n v="85.106718738312679"/>
    <s v="PLATINO"/>
    <n v="264"/>
    <d v="2026-02-27T15:44:28"/>
  </r>
  <r>
    <n v="6351"/>
    <x v="2"/>
    <n v="51055896"/>
    <n v="83.346730255254428"/>
    <s v="PLATINO"/>
    <n v="357"/>
    <d v="2026-02-27T15:44:28"/>
  </r>
  <r>
    <n v="6352"/>
    <x v="2"/>
    <n v="51054962"/>
    <n v="19.792962062350579"/>
    <s v="BRONCE"/>
    <n v="903"/>
    <d v="2026-02-27T15:44:28"/>
  </r>
  <r>
    <n v="6353"/>
    <x v="2"/>
    <n v="51021584"/>
    <n v="83.351017334707478"/>
    <s v="PLATINO"/>
    <n v="355"/>
    <d v="2026-02-27T15:44:28"/>
  </r>
  <r>
    <n v="6354"/>
    <x v="2"/>
    <n v="51014642"/>
    <n v="62.774166589398668"/>
    <s v="ORO"/>
    <n v="702"/>
    <d v="2026-02-27T15:44:28"/>
  </r>
  <r>
    <n v="6355"/>
    <x v="2"/>
    <n v="51038878"/>
    <n v="26.900596249785291"/>
    <s v="BRONCE"/>
    <n v="815"/>
    <d v="2026-02-27T15:44:28"/>
  </r>
  <r>
    <n v="6356"/>
    <x v="2"/>
    <n v="51055292"/>
    <n v="26.412805504143961"/>
    <s v="BRONCE"/>
    <n v="819"/>
    <d v="2026-02-27T15:44:28"/>
  </r>
  <r>
    <n v="6357"/>
    <x v="2"/>
    <n v="51011601"/>
    <n v="74.617623018613301"/>
    <s v="ORO"/>
    <n v="575"/>
    <d v="2026-02-27T15:44:28"/>
  </r>
  <r>
    <n v="6358"/>
    <x v="2"/>
    <n v="51022866"/>
    <n v="64.435051516833326"/>
    <s v="ORO"/>
    <n v="675"/>
    <d v="2026-02-27T15:44:28"/>
  </r>
  <r>
    <n v="6359"/>
    <x v="2"/>
    <n v="51017820"/>
    <n v="49.530402030741108"/>
    <s v="PLATA"/>
    <n v="753"/>
    <d v="2026-02-27T15:44:28"/>
  </r>
  <r>
    <n v="6360"/>
    <x v="2"/>
    <n v="51030761"/>
    <n v="58.619785843898732"/>
    <s v="ORO"/>
    <n v="723"/>
    <d v="2026-02-27T15:44:28"/>
  </r>
  <r>
    <n v="6361"/>
    <x v="2"/>
    <n v="51008294"/>
    <n v="87.666114188376667"/>
    <s v="PLATINO"/>
    <n v="125"/>
    <d v="2026-02-27T15:44:28"/>
  </r>
  <r>
    <n v="6362"/>
    <x v="2"/>
    <n v="51055501"/>
    <n v="52.812572890657897"/>
    <s v="PLATA"/>
    <n v="739"/>
    <d v="2026-02-27T15:44:28"/>
  </r>
  <r>
    <n v="6363"/>
    <x v="2"/>
    <n v="51038886"/>
    <n v="88.044786845568382"/>
    <s v="PLATINO"/>
    <n v="102"/>
    <d v="2026-02-27T15:44:28"/>
  </r>
  <r>
    <n v="6364"/>
    <x v="2"/>
    <n v="51020316"/>
    <n v="84.130242879647881"/>
    <s v="PLATINO"/>
    <n v="320"/>
    <d v="2026-02-27T15:44:28"/>
  </r>
  <r>
    <n v="6365"/>
    <x v="2"/>
    <n v="51055675"/>
    <n v="86.071228783575606"/>
    <s v="PLATINO"/>
    <n v="219"/>
    <d v="2026-02-27T15:44:28"/>
  </r>
  <r>
    <n v="6366"/>
    <x v="2"/>
    <n v="51012577"/>
    <n v="88.813810177055657"/>
    <s v="PLATINO"/>
    <n v="58"/>
    <d v="2026-02-27T15:44:28"/>
  </r>
  <r>
    <n v="6367"/>
    <x v="2"/>
    <n v="51017706"/>
    <n v="86.937100217853526"/>
    <s v="PLATINO"/>
    <n v="168"/>
    <d v="2026-02-27T15:44:28"/>
  </r>
  <r>
    <n v="6368"/>
    <x v="2"/>
    <n v="51011236"/>
    <n v="69.1528701025332"/>
    <s v="ORO"/>
    <n v="628"/>
    <d v="2026-02-27T15:44:28"/>
  </r>
  <r>
    <n v="6369"/>
    <x v="2"/>
    <n v="51030524"/>
    <n v="19.85868691583676"/>
    <s v="BRONCE"/>
    <n v="890"/>
    <d v="2026-02-27T15:44:28"/>
  </r>
  <r>
    <n v="6370"/>
    <x v="2"/>
    <n v="51003365"/>
    <n v="84.513885723781996"/>
    <s v="PLATINO"/>
    <n v="292"/>
    <d v="2026-02-27T15:44:28"/>
  </r>
  <r>
    <n v="6371"/>
    <x v="2"/>
    <n v="51031989"/>
    <n v="55.507877956896507"/>
    <s v="ORO"/>
    <n v="731"/>
    <d v="2026-02-27T15:44:28"/>
  </r>
  <r>
    <n v="6372"/>
    <x v="2"/>
    <n v="51010922"/>
    <n v="83.084471344467403"/>
    <s v="PLATINO"/>
    <n v="368"/>
    <d v="2026-02-27T15:44:28"/>
  </r>
  <r>
    <n v="6373"/>
    <x v="2"/>
    <n v="51040031"/>
    <n v="86.310507808051995"/>
    <s v="PLATINO"/>
    <n v="205"/>
    <d v="2026-02-27T15:44:28"/>
  </r>
  <r>
    <n v="6374"/>
    <x v="2"/>
    <n v="51027108"/>
    <n v="83.626101619760803"/>
    <s v="PLATINO"/>
    <n v="344"/>
    <d v="2026-02-27T15:44:28"/>
  </r>
  <r>
    <n v="6375"/>
    <x v="2"/>
    <n v="51022971"/>
    <n v="84.124371461042486"/>
    <s v="PLATINO"/>
    <n v="321"/>
    <d v="2026-02-27T15:44:28"/>
  </r>
  <r>
    <n v="6376"/>
    <x v="2"/>
    <n v="51023005"/>
    <n v="86.167555352121681"/>
    <s v="PLATINO"/>
    <n v="214"/>
    <d v="2026-02-27T15:44:28"/>
  </r>
  <r>
    <n v="6377"/>
    <x v="2"/>
    <n v="51002610"/>
    <n v="82.443121636167916"/>
    <s v="PLATINO"/>
    <n v="397"/>
    <d v="2026-02-27T15:44:28"/>
  </r>
  <r>
    <n v="6378"/>
    <x v="2"/>
    <n v="51056116"/>
    <n v="87.22484409663403"/>
    <s v="PLATINO"/>
    <n v="152"/>
    <d v="2026-02-27T15:44:28"/>
  </r>
  <r>
    <n v="6379"/>
    <x v="2"/>
    <n v="51020979"/>
    <n v="84.101002195809457"/>
    <s v="PLATINO"/>
    <n v="322"/>
    <d v="2026-02-27T15:44:28"/>
  </r>
  <r>
    <n v="6380"/>
    <x v="2"/>
    <n v="51015207"/>
    <n v="63.60325895038654"/>
    <s v="ORO"/>
    <n v="689"/>
    <d v="2026-02-27T15:44:28"/>
  </r>
  <r>
    <n v="6381"/>
    <x v="2"/>
    <n v="51007549"/>
    <n v="42.569628401397438"/>
    <s v="PLATA"/>
    <n v="769"/>
    <d v="2026-02-27T15:44:28"/>
  </r>
  <r>
    <n v="6382"/>
    <x v="2"/>
    <n v="51032624"/>
    <n v="84.355681379070489"/>
    <s v="PLATINO"/>
    <n v="300"/>
    <d v="2026-02-27T15:44:28"/>
  </r>
  <r>
    <n v="6383"/>
    <x v="2"/>
    <n v="51002555"/>
    <n v="81.098238281026909"/>
    <s v="PLATINO"/>
    <n v="454"/>
    <d v="2026-02-27T15:44:28"/>
  </r>
  <r>
    <n v="6384"/>
    <x v="2"/>
    <n v="51029879"/>
    <n v="74.402726119994043"/>
    <s v="ORO"/>
    <n v="577"/>
    <d v="2026-02-27T15:44:28"/>
  </r>
  <r>
    <n v="6385"/>
    <x v="2"/>
    <n v="51011147"/>
    <n v="19.888584525444919"/>
    <s v="BRONCE"/>
    <n v="882"/>
    <d v="2026-02-27T15:44:28"/>
  </r>
  <r>
    <n v="6386"/>
    <x v="2"/>
    <n v="51030427"/>
    <n v="85.597051757157885"/>
    <s v="PLATINO"/>
    <n v="242"/>
    <d v="2026-02-27T15:44:28"/>
  </r>
  <r>
    <n v="6387"/>
    <x v="2"/>
    <n v="51032675"/>
    <n v="85.995346995675263"/>
    <s v="PLATINO"/>
    <n v="225"/>
    <d v="2026-02-27T15:44:28"/>
  </r>
  <r>
    <n v="6388"/>
    <x v="2"/>
    <n v="51042921"/>
    <n v="74.971398324527158"/>
    <s v="ORO"/>
    <n v="572"/>
    <d v="2026-02-27T15:44:28"/>
  </r>
  <r>
    <n v="6389"/>
    <x v="2"/>
    <n v="51056272"/>
    <n v="87.996456927155421"/>
    <s v="PLATINO"/>
    <n v="108"/>
    <d v="2026-02-27T15:44:28"/>
  </r>
  <r>
    <n v="6390"/>
    <x v="2"/>
    <n v="51007883"/>
    <n v="64.198275808066356"/>
    <s v="ORO"/>
    <n v="683"/>
    <d v="2026-02-27T15:44:28"/>
  </r>
  <r>
    <n v="6391"/>
    <x v="2"/>
    <n v="51030010"/>
    <n v="82.463341665434399"/>
    <s v="PLATINO"/>
    <n v="396"/>
    <d v="2026-02-27T15:44:28"/>
  </r>
  <r>
    <n v="6392"/>
    <x v="2"/>
    <n v="51056124"/>
    <n v="64.4263178252057"/>
    <s v="ORO"/>
    <n v="676"/>
    <d v="2026-02-27T15:44:28"/>
  </r>
  <r>
    <n v="6393"/>
    <x v="2"/>
    <n v="51043758"/>
    <n v="88.27506832585992"/>
    <s v="PLATINO"/>
    <n v="94"/>
    <d v="2026-02-27T15:44:28"/>
  </r>
  <r>
    <n v="6394"/>
    <x v="2"/>
    <n v="51055039"/>
    <n v="19.83902502677358"/>
    <s v="BRONCE"/>
    <n v="892"/>
    <d v="2026-02-27T15:44:28"/>
  </r>
  <r>
    <n v="6395"/>
    <x v="2"/>
    <n v="51056582"/>
    <n v="85.797334019282658"/>
    <s v="PLATINO"/>
    <n v="231"/>
    <d v="2026-02-27T15:44:28"/>
  </r>
  <r>
    <n v="6396"/>
    <x v="2"/>
    <n v="51021321"/>
    <n v="83.674381285310574"/>
    <s v="PLATINO"/>
    <n v="341"/>
    <d v="2026-02-27T15:44:28"/>
  </r>
  <r>
    <n v="6397"/>
    <x v="2"/>
    <n v="51055322"/>
    <n v="82.398131392752916"/>
    <s v="PLATINO"/>
    <n v="404"/>
    <d v="2026-02-27T15:44:28"/>
  </r>
  <r>
    <n v="6398"/>
    <x v="2"/>
    <n v="51010027"/>
    <n v="19.855780644100669"/>
    <s v="BRONCE"/>
    <n v="891"/>
    <d v="2026-02-27T15:44:28"/>
  </r>
  <r>
    <n v="6399"/>
    <x v="2"/>
    <n v="51011295"/>
    <n v="84.862685362922477"/>
    <s v="PLATINO"/>
    <n v="276"/>
    <d v="2026-02-27T15:44:28"/>
  </r>
  <r>
    <n v="6400"/>
    <x v="2"/>
    <n v="51017145"/>
    <n v="85.630623762915903"/>
    <s v="PLATINO"/>
    <n v="239"/>
    <d v="2026-02-27T15:44:28"/>
  </r>
  <r>
    <n v="6401"/>
    <x v="2"/>
    <n v="51055888"/>
    <n v="41.944748819974762"/>
    <s v="PLATA"/>
    <n v="772"/>
    <d v="2026-02-27T15:44:28"/>
  </r>
  <r>
    <n v="6402"/>
    <x v="2"/>
    <n v="51031881"/>
    <n v="82.954492654306335"/>
    <s v="PLATINO"/>
    <n v="376"/>
    <d v="2026-02-27T15:44:28"/>
  </r>
  <r>
    <n v="6403"/>
    <x v="2"/>
    <n v="51010060"/>
    <n v="69.338843861712931"/>
    <s v="ORO"/>
    <n v="625"/>
    <d v="2026-02-27T15:44:28"/>
  </r>
  <r>
    <n v="6404"/>
    <x v="2"/>
    <n v="51056400"/>
    <n v="82.248043242390196"/>
    <s v="PLATINO"/>
    <n v="406"/>
    <d v="2026-02-27T15:44:28"/>
  </r>
  <r>
    <n v="6405"/>
    <x v="2"/>
    <n v="51056531"/>
    <n v="82.830713961659853"/>
    <s v="PLATINO"/>
    <n v="383"/>
    <d v="2026-02-27T15:44:28"/>
  </r>
  <r>
    <n v="6406"/>
    <x v="2"/>
    <n v="51011643"/>
    <n v="74.638093943512473"/>
    <s v="ORO"/>
    <n v="574"/>
    <d v="2026-02-27T15:44:28"/>
  </r>
  <r>
    <n v="6407"/>
    <x v="2"/>
    <n v="51016742"/>
    <n v="83.143358320470952"/>
    <s v="PLATINO"/>
    <n v="366"/>
    <d v="2026-02-27T15:44:28"/>
  </r>
  <r>
    <n v="6408"/>
    <x v="2"/>
    <n v="51010990"/>
    <n v="86.0241500886073"/>
    <s v="PLATINO"/>
    <n v="223"/>
    <d v="2026-02-27T15:44:28"/>
  </r>
  <r>
    <n v="6409"/>
    <x v="2"/>
    <n v="51039998"/>
    <n v="19.885446795098581"/>
    <s v="BRONCE"/>
    <n v="883"/>
    <d v="2026-02-27T15:44:28"/>
  </r>
  <r>
    <n v="6410"/>
    <x v="2"/>
    <n v="51056736"/>
    <n v="75.976800689606847"/>
    <s v="PLATINO"/>
    <n v="566"/>
    <d v="2026-02-27T15:44:28"/>
  </r>
  <r>
    <n v="6411"/>
    <x v="2"/>
    <n v="51044436"/>
    <n v="83.831958487173267"/>
    <s v="PLATINO"/>
    <n v="337"/>
    <d v="2026-02-27T15:44:28"/>
  </r>
  <r>
    <n v="6412"/>
    <x v="2"/>
    <n v="51017552"/>
    <n v="85.611889660281548"/>
    <s v="PLATINO"/>
    <n v="241"/>
    <d v="2026-02-27T15:44:28"/>
  </r>
  <r>
    <n v="6413"/>
    <x v="2"/>
    <n v="51055276"/>
    <n v="64.56216826423848"/>
    <s v="ORO"/>
    <n v="672"/>
    <d v="2026-02-27T15:44:28"/>
  </r>
  <r>
    <n v="6414"/>
    <x v="2"/>
    <n v="51020189"/>
    <n v="84.74725192344755"/>
    <s v="PLATINO"/>
    <n v="280"/>
    <d v="2026-02-27T15:44:28"/>
  </r>
  <r>
    <n v="6415"/>
    <x v="2"/>
    <n v="51041259"/>
    <n v="68.571995222329988"/>
    <s v="ORO"/>
    <n v="635"/>
    <d v="2026-02-27T15:44:28"/>
  </r>
  <r>
    <n v="6416"/>
    <x v="2"/>
    <n v="51022751"/>
    <n v="64.568143745894162"/>
    <s v="ORO"/>
    <n v="671"/>
    <d v="2026-02-27T15:44:28"/>
  </r>
  <r>
    <n v="6417"/>
    <x v="2"/>
    <n v="51016645"/>
    <n v="44.52781582573494"/>
    <s v="PLATA"/>
    <n v="765"/>
    <d v="2026-02-27T15:44:28"/>
  </r>
  <r>
    <n v="6418"/>
    <x v="2"/>
    <n v="51011155"/>
    <n v="83.097842818116732"/>
    <s v="PLATINO"/>
    <n v="367"/>
    <d v="2026-02-27T15:44:28"/>
  </r>
  <r>
    <n v="6419"/>
    <x v="2"/>
    <n v="51014022"/>
    <n v="64.303134915924943"/>
    <s v="ORO"/>
    <n v="680"/>
    <d v="2026-02-27T15:44:28"/>
  </r>
  <r>
    <n v="6420"/>
    <x v="2"/>
    <n v="51018991"/>
    <n v="77.893948387050045"/>
    <s v="PLATINO"/>
    <n v="545"/>
    <d v="2026-02-27T15:44:28"/>
  </r>
  <r>
    <n v="6421"/>
    <x v="2"/>
    <n v="51030478"/>
    <n v="66.82495751879506"/>
    <s v="ORO"/>
    <n v="653"/>
    <d v="2026-02-27T15:44:28"/>
  </r>
  <r>
    <n v="6422"/>
    <x v="2"/>
    <n v="51028040"/>
    <n v="83.33631075267337"/>
    <s v="PLATINO"/>
    <n v="359"/>
    <d v="2026-02-27T15:44:28"/>
  </r>
  <r>
    <n v="6423"/>
    <x v="2"/>
    <n v="51055616"/>
    <n v="86.201619273285829"/>
    <s v="PLATINO"/>
    <n v="210"/>
    <d v="2026-02-27T15:44:28"/>
  </r>
  <r>
    <n v="6424"/>
    <x v="2"/>
    <n v="51036239"/>
    <n v="19.916769583834171"/>
    <s v="BRONCE"/>
    <n v="875"/>
    <d v="2026-02-27T15:44:28"/>
  </r>
  <r>
    <n v="6425"/>
    <x v="2"/>
    <n v="51025873"/>
    <n v="36.279648879658268"/>
    <s v="PLATA"/>
    <n v="787"/>
    <d v="2026-02-27T15:44:28"/>
  </r>
  <r>
    <n v="6426"/>
    <x v="2"/>
    <n v="51034155"/>
    <n v="27.540922412726569"/>
    <s v="BRONCE"/>
    <n v="812"/>
    <d v="2026-02-27T15:44:28"/>
  </r>
  <r>
    <n v="6427"/>
    <x v="2"/>
    <n v="51021207"/>
    <n v="19.89789289371916"/>
    <s v="BRONCE"/>
    <n v="880"/>
    <d v="2026-02-27T15:44:28"/>
  </r>
  <r>
    <n v="6428"/>
    <x v="2"/>
    <n v="51054831"/>
    <n v="19.896273832203871"/>
    <s v="BRONCE"/>
    <n v="881"/>
    <d v="2026-02-27T15:44:28"/>
  </r>
  <r>
    <n v="6429"/>
    <x v="2"/>
    <n v="51010051"/>
    <n v="82.945147884720839"/>
    <s v="PLATINO"/>
    <n v="377"/>
    <d v="2026-02-27T15:44:28"/>
  </r>
  <r>
    <n v="6430"/>
    <x v="2"/>
    <n v="51015754"/>
    <n v="19.862771858059919"/>
    <s v="BRONCE"/>
    <n v="887"/>
    <d v="2026-02-27T15:44:28"/>
  </r>
  <r>
    <n v="6431"/>
    <x v="2"/>
    <n v="51023528"/>
    <n v="83.498880207152737"/>
    <s v="PLATINO"/>
    <n v="351"/>
    <d v="2026-02-27T15:44:28"/>
  </r>
  <r>
    <n v="6432"/>
    <x v="2"/>
    <n v="51013735"/>
    <n v="83.939834698477668"/>
    <s v="PLATINO"/>
    <n v="330"/>
    <d v="2026-02-27T15:44:28"/>
  </r>
  <r>
    <n v="6433"/>
    <x v="2"/>
    <n v="51036611"/>
    <n v="85.778123369943614"/>
    <s v="PLATINO"/>
    <n v="234"/>
    <d v="2026-02-27T15:44:28"/>
  </r>
  <r>
    <n v="6434"/>
    <x v="2"/>
    <n v="51010035"/>
    <n v="86.704009689499173"/>
    <s v="PLATINO"/>
    <n v="181"/>
    <d v="2026-02-27T15:44:28"/>
  </r>
  <r>
    <n v="6435"/>
    <x v="2"/>
    <n v="51035682"/>
    <n v="63.750565074736024"/>
    <s v="ORO"/>
    <n v="688"/>
    <d v="2026-02-27T15:44:28"/>
  </r>
  <r>
    <n v="6436"/>
    <x v="2"/>
    <n v="51016416"/>
    <n v="64.210427950849834"/>
    <s v="ORO"/>
    <n v="682"/>
    <d v="2026-02-27T15:44:28"/>
  </r>
  <r>
    <n v="6437"/>
    <x v="2"/>
    <n v="51038762"/>
    <n v="82.143602576453901"/>
    <s v="PLATINO"/>
    <n v="410"/>
    <d v="2026-02-27T15:44:28"/>
  </r>
  <r>
    <n v="6438"/>
    <x v="2"/>
    <n v="51023307"/>
    <n v="83.74779180862916"/>
    <s v="PLATINO"/>
    <n v="339"/>
    <d v="2026-02-27T15:44:28"/>
  </r>
  <r>
    <n v="6439"/>
    <x v="2"/>
    <n v="51012062"/>
    <n v="64.107487151738724"/>
    <s v="ORO"/>
    <n v="685"/>
    <d v="2026-02-27T15:44:28"/>
  </r>
  <r>
    <n v="6440"/>
    <x v="2"/>
    <n v="51021631"/>
    <n v="86.844047998666369"/>
    <s v="PLATINO"/>
    <n v="175"/>
    <d v="2026-02-27T15:44:28"/>
  </r>
  <r>
    <n v="6441"/>
    <x v="2"/>
    <n v="51008618"/>
    <n v="19.82168848725221"/>
    <s v="BRONCE"/>
    <n v="896"/>
    <d v="2026-02-27T15:44:28"/>
  </r>
  <r>
    <n v="6442"/>
    <x v="2"/>
    <n v="51010574"/>
    <n v="65.123072118836816"/>
    <s v="ORO"/>
    <n v="664"/>
    <d v="2026-02-27T15:44:28"/>
  </r>
  <r>
    <n v="6443"/>
    <x v="2"/>
    <n v="51056493"/>
    <n v="83.915479647938938"/>
    <s v="PLATINO"/>
    <n v="332"/>
    <d v="2026-02-27T15:44:28"/>
  </r>
  <r>
    <n v="6444"/>
    <x v="2"/>
    <n v="51024206"/>
    <n v="77.185806291727559"/>
    <s v="PLATINO"/>
    <n v="560"/>
    <d v="2026-02-27T15:44:28"/>
  </r>
  <r>
    <n v="6445"/>
    <x v="2"/>
    <n v="51056442"/>
    <n v="83.998912499346901"/>
    <s v="PLATINO"/>
    <n v="326"/>
    <d v="2026-02-27T15:44:28"/>
  </r>
  <r>
    <n v="6446"/>
    <x v="2"/>
    <n v="51033621"/>
    <n v="84.321073493887098"/>
    <s v="PLATINO"/>
    <n v="303"/>
    <d v="2026-02-27T15:44:28"/>
  </r>
  <r>
    <n v="6447"/>
    <x v="2"/>
    <n v="51016394"/>
    <n v="83.981723890113443"/>
    <s v="PLATINO"/>
    <n v="329"/>
    <d v="2026-02-27T15:44:28"/>
  </r>
  <r>
    <n v="6448"/>
    <x v="2"/>
    <n v="51001389"/>
    <n v="84.690927930595734"/>
    <s v="PLATINO"/>
    <n v="283"/>
    <d v="2026-02-27T15:44:28"/>
  </r>
  <r>
    <n v="6449"/>
    <x v="2"/>
    <n v="51042891"/>
    <n v="85.421802285608933"/>
    <s v="PLATINO"/>
    <n v="251"/>
    <d v="2026-02-27T15:44:28"/>
  </r>
  <r>
    <n v="6450"/>
    <x v="2"/>
    <n v="51055411"/>
    <n v="81.862787216884527"/>
    <s v="PLATINO"/>
    <n v="422"/>
    <d v="2026-02-27T15:44:28"/>
  </r>
  <r>
    <n v="6451"/>
    <x v="2"/>
    <n v="51038657"/>
    <n v="66.784007807324429"/>
    <s v="ORO"/>
    <n v="655"/>
    <d v="2026-02-27T15:44:28"/>
  </r>
  <r>
    <n v="6452"/>
    <x v="2"/>
    <n v="51055632"/>
    <n v="19.82670259250153"/>
    <s v="BRONCE"/>
    <n v="894"/>
    <d v="2026-02-27T15:44:28"/>
  </r>
  <r>
    <n v="6453"/>
    <x v="2"/>
    <n v="51026799"/>
    <n v="82.962680209416192"/>
    <s v="PLATINO"/>
    <n v="375"/>
    <d v="2026-02-27T15:44:28"/>
  </r>
  <r>
    <n v="6454"/>
    <x v="2"/>
    <n v="51018869"/>
    <n v="64.315236801515496"/>
    <s v="ORO"/>
    <n v="679"/>
    <d v="2026-02-27T15:44:28"/>
  </r>
  <r>
    <n v="6455"/>
    <x v="2"/>
    <n v="51055144"/>
    <n v="86.364217906792362"/>
    <s v="PLATINO"/>
    <n v="200"/>
    <d v="2026-02-27T15:44:28"/>
  </r>
  <r>
    <n v="6456"/>
    <x v="2"/>
    <n v="51056884"/>
    <n v="85.310987000497661"/>
    <s v="PLATINO"/>
    <n v="257"/>
    <d v="2026-02-27T15:44:28"/>
  </r>
  <r>
    <n v="6457"/>
    <x v="2"/>
    <n v="51030443"/>
    <n v="86.198709896158235"/>
    <s v="PLATINO"/>
    <n v="211"/>
    <d v="2026-02-27T15:44:28"/>
  </r>
  <r>
    <n v="6458"/>
    <x v="2"/>
    <n v="51016475"/>
    <n v="86.036303575178152"/>
    <s v="PLATINO"/>
    <n v="221"/>
    <d v="2026-02-27T15:44:28"/>
  </r>
  <r>
    <n v="6459"/>
    <x v="2"/>
    <n v="51018893"/>
    <n v="82.048777173354765"/>
    <s v="PLATINO"/>
    <n v="414"/>
    <d v="2026-02-27T15:44:28"/>
  </r>
  <r>
    <n v="6460"/>
    <x v="2"/>
    <n v="51039157"/>
    <n v="19.87954233927946"/>
    <s v="BRONCE"/>
    <n v="885"/>
    <d v="2026-02-27T15:44:28"/>
  </r>
  <r>
    <n v="6461"/>
    <x v="2"/>
    <n v="51054822"/>
    <n v="81.797091351654885"/>
    <s v="PLATINO"/>
    <n v="426"/>
    <d v="2026-02-27T15:44:28"/>
  </r>
  <r>
    <n v="6462"/>
    <x v="2"/>
    <n v="51003390"/>
    <n v="83.832111751008625"/>
    <s v="PLATINO"/>
    <n v="336"/>
    <d v="2026-02-27T15:44:28"/>
  </r>
  <r>
    <n v="6463"/>
    <x v="2"/>
    <n v="51056477"/>
    <n v="84.537762073278842"/>
    <s v="PLATINO"/>
    <n v="290"/>
    <d v="2026-02-27T15:44:28"/>
  </r>
  <r>
    <n v="6464"/>
    <x v="2"/>
    <n v="51026527"/>
    <n v="32.804912344549862"/>
    <s v="PLATA"/>
    <n v="799"/>
    <d v="2026-02-27T15:44:28"/>
  </r>
  <r>
    <n v="6465"/>
    <x v="2"/>
    <n v="51030982"/>
    <n v="85.721048845267859"/>
    <s v="PLATINO"/>
    <n v="235"/>
    <d v="2026-02-27T15:44:28"/>
  </r>
  <r>
    <n v="6466"/>
    <x v="2"/>
    <n v="51023196"/>
    <n v="87.300891244277267"/>
    <s v="PLATINO"/>
    <n v="143"/>
    <d v="2026-02-27T15:44:28"/>
  </r>
  <r>
    <n v="6467"/>
    <x v="2"/>
    <n v="51014596"/>
    <n v="58.699879169968128"/>
    <s v="ORO"/>
    <n v="722"/>
    <d v="2026-02-27T15:44:28"/>
  </r>
  <r>
    <n v="6468"/>
    <x v="2"/>
    <n v="51030125"/>
    <n v="51.538213139162593"/>
    <s v="PLATA"/>
    <n v="746"/>
    <d v="2026-02-27T15:44:28"/>
  </r>
  <r>
    <n v="6469"/>
    <x v="2"/>
    <n v="51021550"/>
    <n v="78.005656590039621"/>
    <s v="PLATINO"/>
    <n v="543"/>
    <d v="2026-02-27T15:44:28"/>
  </r>
  <r>
    <n v="6470"/>
    <x v="2"/>
    <n v="51031407"/>
    <n v="70.665762531688202"/>
    <s v="ORO"/>
    <n v="612"/>
    <d v="2026-02-27T15:44:28"/>
  </r>
  <r>
    <n v="6471"/>
    <x v="2"/>
    <n v="51038754"/>
    <n v="69.921704954845765"/>
    <s v="ORO"/>
    <n v="617"/>
    <d v="2026-02-27T15:44:28"/>
  </r>
  <r>
    <n v="6472"/>
    <x v="2"/>
    <n v="51004761"/>
    <n v="34.073069475229552"/>
    <s v="PLATA"/>
    <n v="796"/>
    <d v="2026-02-27T15:44:28"/>
  </r>
  <r>
    <n v="6473"/>
    <x v="2"/>
    <n v="51023358"/>
    <n v="19.900502798327711"/>
    <s v="BRONCE"/>
    <n v="879"/>
    <d v="2026-02-27T15:44:28"/>
  </r>
  <r>
    <n v="6474"/>
    <x v="2"/>
    <n v="51022670"/>
    <n v="82.525959551536786"/>
    <s v="PLATINO"/>
    <n v="393"/>
    <d v="2026-02-27T15:44:28"/>
  </r>
  <r>
    <n v="6475"/>
    <x v="2"/>
    <n v="51029976"/>
    <n v="83.541709463459284"/>
    <s v="PLATINO"/>
    <n v="349"/>
    <d v="2026-02-27T15:44:28"/>
  </r>
  <r>
    <n v="6476"/>
    <x v="2"/>
    <n v="51032195"/>
    <n v="39.351025804443474"/>
    <s v="PLATA"/>
    <n v="781"/>
    <d v="2026-02-27T15:44:28"/>
  </r>
  <r>
    <n v="6477"/>
    <x v="2"/>
    <n v="51042875"/>
    <n v="59.848953500552767"/>
    <s v="ORO"/>
    <n v="719"/>
    <d v="2026-02-27T15:44:28"/>
  </r>
  <r>
    <n v="6478"/>
    <x v="2"/>
    <n v="51010728"/>
    <n v="86.299925895178788"/>
    <s v="PLATINO"/>
    <n v="206"/>
    <d v="2026-02-27T15:44:28"/>
  </r>
  <r>
    <n v="6479"/>
    <x v="2"/>
    <n v="51056655"/>
    <n v="19.801745389643731"/>
    <s v="BRONCE"/>
    <n v="901"/>
    <d v="2026-02-27T15:44:28"/>
  </r>
  <r>
    <n v="6480"/>
    <x v="2"/>
    <n v="51056817"/>
    <n v="35.361594689981963"/>
    <s v="PLATA"/>
    <n v="792"/>
    <d v="2026-02-27T15:44:28"/>
  </r>
  <r>
    <n v="6481"/>
    <x v="2"/>
    <n v="51018826"/>
    <n v="84.155878442941088"/>
    <s v="PLATINO"/>
    <n v="318"/>
    <d v="2026-02-27T15:44:28"/>
  </r>
  <r>
    <n v="6482"/>
    <x v="2"/>
    <n v="51019814"/>
    <n v="19.82499076357233"/>
    <s v="BRONCE"/>
    <n v="895"/>
    <d v="2026-02-27T15:44:28"/>
  </r>
  <r>
    <n v="6483"/>
    <x v="2"/>
    <n v="51033281"/>
    <n v="85.21026778573254"/>
    <s v="PLATINO"/>
    <n v="260"/>
    <d v="2026-02-27T15:44:28"/>
  </r>
  <r>
    <n v="6484"/>
    <x v="2"/>
    <n v="51056523"/>
    <n v="19.80581827423546"/>
    <s v="BRONCE"/>
    <n v="898"/>
    <d v="2026-02-27T15:44:28"/>
  </r>
  <r>
    <n v="6485"/>
    <x v="2"/>
    <n v="51025792"/>
    <n v="19.802962727380159"/>
    <s v="BRONCE"/>
    <n v="900"/>
    <d v="2026-02-27T15:44:28"/>
  </r>
  <r>
    <n v="6486"/>
    <x v="2"/>
    <n v="51056728"/>
    <n v="19.778808883600039"/>
    <s v="BRONCE"/>
    <n v="909"/>
    <d v="2026-02-27T15:44:28"/>
  </r>
  <r>
    <n v="6487"/>
    <x v="2"/>
    <n v="51011708"/>
    <n v="19.809722864429389"/>
    <s v="BRONCE"/>
    <n v="897"/>
    <d v="2026-02-27T15:44:28"/>
  </r>
  <r>
    <n v="6488"/>
    <x v="2"/>
    <n v="51056558"/>
    <n v="81.492823721316668"/>
    <s v="PLATINO"/>
    <n v="440"/>
    <d v="2026-02-27T15:44:28"/>
  </r>
  <r>
    <n v="6489"/>
    <x v="2"/>
    <n v="51041801"/>
    <n v="85.176487205964037"/>
    <s v="PLATINO"/>
    <n v="262"/>
    <d v="2026-02-27T15:44:28"/>
  </r>
  <r>
    <n v="6490"/>
    <x v="2"/>
    <n v="51055390"/>
    <n v="84.247418447956264"/>
    <s v="PLATINO"/>
    <n v="311"/>
    <d v="2026-02-27T15:44:28"/>
  </r>
  <r>
    <n v="6491"/>
    <x v="2"/>
    <n v="51017081"/>
    <n v="83.26496175191042"/>
    <s v="PLATINO"/>
    <n v="362"/>
    <d v="2026-02-27T15:44:28"/>
  </r>
  <r>
    <n v="6492"/>
    <x v="2"/>
    <n v="51056345"/>
    <n v="55.464873623103117"/>
    <s v="ORO"/>
    <n v="732"/>
    <d v="2026-02-27T15:44:28"/>
  </r>
  <r>
    <n v="6493"/>
    <x v="2"/>
    <n v="51055942"/>
    <n v="83.724959190972271"/>
    <s v="PLATINO"/>
    <n v="340"/>
    <d v="2026-02-27T15:44:28"/>
  </r>
  <r>
    <n v="6494"/>
    <x v="2"/>
    <n v="51036735"/>
    <n v="84.298891801076849"/>
    <s v="PLATINO"/>
    <n v="308"/>
    <d v="2026-02-27T15:44:28"/>
  </r>
  <r>
    <n v="6495"/>
    <x v="2"/>
    <n v="51001427"/>
    <n v="83.643724204300028"/>
    <s v="PLATINO"/>
    <n v="342"/>
    <d v="2026-02-27T15:44:28"/>
  </r>
  <r>
    <n v="6496"/>
    <x v="2"/>
    <n v="51010272"/>
    <n v="84.706161427037074"/>
    <s v="PLATINO"/>
    <n v="282"/>
    <d v="2026-02-27T15:44:28"/>
  </r>
  <r>
    <n v="6497"/>
    <x v="2"/>
    <n v="51056451"/>
    <n v="82.112030957008301"/>
    <s v="PLATINO"/>
    <n v="412"/>
    <d v="2026-02-27T15:44:28"/>
  </r>
  <r>
    <n v="6498"/>
    <x v="2"/>
    <n v="51018907"/>
    <n v="67.791697603912311"/>
    <s v="ORO"/>
    <n v="644"/>
    <d v="2026-02-27T15:44:28"/>
  </r>
  <r>
    <n v="6499"/>
    <x v="2"/>
    <n v="51004108"/>
    <n v="86.294873768457606"/>
    <s v="PLATINO"/>
    <n v="208"/>
    <d v="2026-02-27T15:44:28"/>
  </r>
  <r>
    <n v="6500"/>
    <x v="2"/>
    <n v="51030869"/>
    <n v="74.111615023401455"/>
    <s v="ORO"/>
    <n v="581"/>
    <d v="2026-02-27T15:44:28"/>
  </r>
  <r>
    <n v="6501"/>
    <x v="2"/>
    <n v="51031113"/>
    <n v="81.713745532629133"/>
    <s v="PLATINO"/>
    <n v="429"/>
    <d v="2026-02-27T15:44:28"/>
  </r>
  <r>
    <n v="6502"/>
    <x v="2"/>
    <n v="51033329"/>
    <n v="84.193130135472174"/>
    <s v="PLATINO"/>
    <n v="313"/>
    <d v="2026-02-27T15:44:28"/>
  </r>
  <r>
    <n v="6503"/>
    <x v="2"/>
    <n v="51042905"/>
    <n v="84.74210537533601"/>
    <s v="PLATINO"/>
    <n v="281"/>
    <d v="2026-02-27T15:44:28"/>
  </r>
  <r>
    <n v="6504"/>
    <x v="2"/>
    <n v="51010833"/>
    <n v="82.710743698138216"/>
    <s v="PLATINO"/>
    <n v="387"/>
    <d v="2026-02-27T15:44:28"/>
  </r>
  <r>
    <n v="6505"/>
    <x v="2"/>
    <n v="51042956"/>
    <n v="82.507170368909783"/>
    <s v="PLATINO"/>
    <n v="394"/>
    <d v="2026-02-27T15:44:28"/>
  </r>
  <r>
    <n v="6506"/>
    <x v="2"/>
    <n v="51039645"/>
    <n v="71.439695689767674"/>
    <s v="ORO"/>
    <n v="606"/>
    <d v="2026-02-27T15:44:28"/>
  </r>
  <r>
    <n v="6507"/>
    <x v="2"/>
    <n v="51021622"/>
    <n v="63.551452742847871"/>
    <s v="ORO"/>
    <n v="690"/>
    <d v="2026-02-27T15:44:28"/>
  </r>
  <r>
    <n v="6508"/>
    <x v="2"/>
    <n v="51031491"/>
    <n v="81.601711958683069"/>
    <s v="PLATINO"/>
    <n v="434"/>
    <d v="2026-02-27T15:44:28"/>
  </r>
  <r>
    <n v="6509"/>
    <x v="2"/>
    <n v="51020162"/>
    <n v="19.789100477972639"/>
    <s v="BRONCE"/>
    <n v="905"/>
    <d v="2026-02-27T15:44:28"/>
  </r>
  <r>
    <n v="6510"/>
    <x v="2"/>
    <n v="51017056"/>
    <n v="19.766657239119631"/>
    <s v="BRONCE"/>
    <n v="911"/>
    <d v="2026-02-27T15:44:28"/>
  </r>
  <r>
    <n v="6511"/>
    <x v="2"/>
    <n v="51056019"/>
    <n v="82.187592863646174"/>
    <s v="PLATINO"/>
    <n v="408"/>
    <d v="2026-02-27T15:44:28"/>
  </r>
  <r>
    <n v="6512"/>
    <x v="2"/>
    <n v="51017579"/>
    <n v="82.785690422226608"/>
    <s v="PLATINO"/>
    <n v="384"/>
    <d v="2026-02-27T15:44:28"/>
  </r>
  <r>
    <n v="6513"/>
    <x v="2"/>
    <n v="51015487"/>
    <n v="67.606283739473469"/>
    <s v="ORO"/>
    <n v="646"/>
    <d v="2026-02-27T15:44:28"/>
  </r>
  <r>
    <n v="6514"/>
    <x v="2"/>
    <n v="51040333"/>
    <n v="81.326895283357828"/>
    <s v="PLATINO"/>
    <n v="449"/>
    <d v="2026-02-27T15:44:28"/>
  </r>
  <r>
    <n v="6515"/>
    <x v="2"/>
    <n v="51017153"/>
    <n v="68.526942794463949"/>
    <s v="ORO"/>
    <n v="637"/>
    <d v="2026-02-27T15:44:28"/>
  </r>
  <r>
    <n v="6516"/>
    <x v="2"/>
    <n v="51021886"/>
    <n v="83.247667755351742"/>
    <s v="PLATINO"/>
    <n v="364"/>
    <d v="2026-02-27T15:44:28"/>
  </r>
  <r>
    <n v="6517"/>
    <x v="2"/>
    <n v="51023188"/>
    <n v="81.561986651080801"/>
    <s v="PLATINO"/>
    <n v="436"/>
    <d v="2026-02-27T15:44:28"/>
  </r>
  <r>
    <n v="6518"/>
    <x v="2"/>
    <n v="51055667"/>
    <n v="19.779956274059131"/>
    <s v="BRONCE"/>
    <n v="908"/>
    <d v="2026-02-27T15:44:28"/>
  </r>
  <r>
    <n v="6519"/>
    <x v="2"/>
    <n v="51020081"/>
    <n v="75.752311809791721"/>
    <s v="PLATINO"/>
    <n v="567"/>
    <d v="2026-02-27T15:44:28"/>
  </r>
  <r>
    <n v="6520"/>
    <x v="2"/>
    <n v="51018729"/>
    <n v="55.033144439399223"/>
    <s v="ORO"/>
    <n v="734"/>
    <d v="2026-02-27T15:44:28"/>
  </r>
  <r>
    <n v="6521"/>
    <x v="2"/>
    <n v="51030222"/>
    <n v="63.349717336075251"/>
    <s v="ORO"/>
    <n v="692"/>
    <d v="2026-02-27T15:44:28"/>
  </r>
  <r>
    <n v="6522"/>
    <x v="2"/>
    <n v="51002717"/>
    <n v="19.69672270994435"/>
    <s v="BRONCE"/>
    <n v="917"/>
    <d v="2026-02-27T15:44:28"/>
  </r>
  <r>
    <n v="6523"/>
    <x v="2"/>
    <n v="51055454"/>
    <n v="39.103262344536532"/>
    <s v="PLATA"/>
    <n v="782"/>
    <d v="2026-02-27T15:44:28"/>
  </r>
  <r>
    <n v="6524"/>
    <x v="2"/>
    <n v="51055756"/>
    <n v="84.764375391526926"/>
    <s v="PLATINO"/>
    <n v="278"/>
    <d v="2026-02-27T15:44:28"/>
  </r>
  <r>
    <n v="6525"/>
    <x v="2"/>
    <n v="51011490"/>
    <n v="38.837171720512757"/>
    <s v="PLATA"/>
    <n v="784"/>
    <d v="2026-02-27T15:44:28"/>
  </r>
  <r>
    <n v="6526"/>
    <x v="2"/>
    <n v="51010736"/>
    <n v="71.816443608585033"/>
    <s v="ORO"/>
    <n v="601"/>
    <d v="2026-02-27T15:44:28"/>
  </r>
  <r>
    <n v="6527"/>
    <x v="2"/>
    <n v="51016149"/>
    <n v="81.832798123738144"/>
    <s v="PLATINO"/>
    <n v="423"/>
    <d v="2026-02-27T15:44:28"/>
  </r>
  <r>
    <n v="6528"/>
    <x v="2"/>
    <n v="51013930"/>
    <n v="56.006377949248581"/>
    <s v="ORO"/>
    <n v="730"/>
    <d v="2026-02-27T15:44:28"/>
  </r>
  <r>
    <n v="6529"/>
    <x v="2"/>
    <n v="51055641"/>
    <n v="19.7060884874228"/>
    <s v="BRONCE"/>
    <n v="916"/>
    <d v="2026-02-27T15:44:28"/>
  </r>
  <r>
    <n v="6530"/>
    <x v="2"/>
    <n v="51021461"/>
    <n v="86.865611954259009"/>
    <s v="PLATINO"/>
    <n v="171"/>
    <d v="2026-02-27T15:44:28"/>
  </r>
  <r>
    <n v="6531"/>
    <x v="2"/>
    <n v="51039637"/>
    <n v="84.379152269486582"/>
    <s v="PLATINO"/>
    <n v="298"/>
    <d v="2026-02-27T15:44:28"/>
  </r>
  <r>
    <n v="6532"/>
    <x v="2"/>
    <n v="51020308"/>
    <n v="82.883181626473018"/>
    <s v="PLATINO"/>
    <n v="380"/>
    <d v="2026-02-27T15:44:28"/>
  </r>
  <r>
    <n v="6533"/>
    <x v="2"/>
    <n v="51040597"/>
    <n v="85.93262751764955"/>
    <s v="PLATINO"/>
    <n v="227"/>
    <d v="2026-02-27T15:44:28"/>
  </r>
  <r>
    <n v="6534"/>
    <x v="2"/>
    <n v="51014197"/>
    <n v="85.549355577109495"/>
    <s v="PLATINO"/>
    <n v="245"/>
    <d v="2026-02-27T15:44:28"/>
  </r>
  <r>
    <n v="6535"/>
    <x v="2"/>
    <n v="51056621"/>
    <n v="54.210316892665148"/>
    <s v="PLATA"/>
    <n v="736"/>
    <d v="2026-02-27T15:44:28"/>
  </r>
  <r>
    <n v="6536"/>
    <x v="2"/>
    <n v="51018524"/>
    <n v="80.009019560339524"/>
    <s v="PLATINO"/>
    <n v="490"/>
    <d v="2026-02-27T15:44:28"/>
  </r>
  <r>
    <n v="6537"/>
    <x v="2"/>
    <n v="51056701"/>
    <n v="82.012820646507294"/>
    <s v="PLATINO"/>
    <n v="416"/>
    <d v="2026-02-27T15:44:28"/>
  </r>
  <r>
    <n v="6538"/>
    <x v="2"/>
    <n v="51057007"/>
    <n v="19.658257757619879"/>
    <s v="BRONCE"/>
    <n v="922"/>
    <d v="2026-02-27T15:44:28"/>
  </r>
  <r>
    <n v="6539"/>
    <x v="2"/>
    <n v="51011091"/>
    <n v="82.48566218829923"/>
    <s v="PLATINO"/>
    <n v="395"/>
    <d v="2026-02-27T15:44:28"/>
  </r>
  <r>
    <n v="6540"/>
    <x v="2"/>
    <n v="51011953"/>
    <n v="39.034824240543117"/>
    <s v="PLATA"/>
    <n v="783"/>
    <d v="2026-02-27T15:44:28"/>
  </r>
  <r>
    <n v="6541"/>
    <x v="2"/>
    <n v="51022955"/>
    <n v="64.321883125541603"/>
    <s v="ORO"/>
    <n v="678"/>
    <d v="2026-02-27T15:44:28"/>
  </r>
  <r>
    <n v="6542"/>
    <x v="2"/>
    <n v="51021673"/>
    <n v="72.829170519308178"/>
    <s v="ORO"/>
    <n v="588"/>
    <d v="2026-02-27T15:44:28"/>
  </r>
  <r>
    <n v="6543"/>
    <x v="2"/>
    <n v="51013476"/>
    <n v="84.345498500251608"/>
    <s v="PLATINO"/>
    <n v="302"/>
    <d v="2026-02-27T15:44:28"/>
  </r>
  <r>
    <n v="6544"/>
    <x v="2"/>
    <n v="51022998"/>
    <n v="86.016349637114388"/>
    <s v="PLATINO"/>
    <n v="224"/>
    <d v="2026-02-27T15:44:28"/>
  </r>
  <r>
    <n v="6545"/>
    <x v="2"/>
    <n v="51056485"/>
    <n v="74.176227366861681"/>
    <s v="ORO"/>
    <n v="579"/>
    <d v="2026-02-27T15:44:28"/>
  </r>
  <r>
    <n v="6546"/>
    <x v="2"/>
    <n v="51055705"/>
    <n v="67.1511502644084"/>
    <s v="ORO"/>
    <n v="649"/>
    <d v="2026-02-27T15:44:28"/>
  </r>
  <r>
    <n v="6547"/>
    <x v="2"/>
    <n v="51041798"/>
    <n v="77.427706070563772"/>
    <s v="PLATINO"/>
    <n v="557"/>
    <d v="2026-02-27T15:44:28"/>
  </r>
  <r>
    <n v="6548"/>
    <x v="2"/>
    <n v="51020600"/>
    <n v="84.966530567666823"/>
    <s v="PLATINO"/>
    <n v="272"/>
    <d v="2026-02-27T15:44:28"/>
  </r>
  <r>
    <n v="6549"/>
    <x v="2"/>
    <n v="51033795"/>
    <n v="67.054708242736922"/>
    <s v="ORO"/>
    <n v="652"/>
    <d v="2026-02-27T15:44:28"/>
  </r>
  <r>
    <n v="6550"/>
    <x v="2"/>
    <n v="51030419"/>
    <n v="34.85841830887184"/>
    <s v="PLATA"/>
    <n v="794"/>
    <d v="2026-02-27T15:44:28"/>
  </r>
  <r>
    <n v="6551"/>
    <x v="2"/>
    <n v="51038819"/>
    <n v="81.106184782924842"/>
    <s v="PLATINO"/>
    <n v="453"/>
    <d v="2026-02-27T15:44:28"/>
  </r>
  <r>
    <n v="6552"/>
    <x v="2"/>
    <n v="51021851"/>
    <n v="85.141282415592016"/>
    <s v="PLATINO"/>
    <n v="263"/>
    <d v="2026-02-27T15:44:28"/>
  </r>
  <r>
    <n v="6553"/>
    <x v="2"/>
    <n v="51004086"/>
    <n v="28.81190937451856"/>
    <s v="BRONCE"/>
    <n v="809"/>
    <d v="2026-02-27T15:44:28"/>
  </r>
  <r>
    <n v="6554"/>
    <x v="2"/>
    <n v="51017111"/>
    <n v="66.798484086968045"/>
    <s v="ORO"/>
    <n v="654"/>
    <d v="2026-02-27T15:44:28"/>
  </r>
  <r>
    <n v="6555"/>
    <x v="2"/>
    <n v="51022106"/>
    <n v="19.784680469969238"/>
    <s v="BRONCE"/>
    <n v="906"/>
    <d v="2026-02-27T15:44:28"/>
  </r>
  <r>
    <n v="6556"/>
    <x v="2"/>
    <n v="51056205"/>
    <n v="83.301394201166758"/>
    <s v="PLATINO"/>
    <n v="361"/>
    <d v="2026-02-27T15:44:28"/>
  </r>
  <r>
    <n v="6557"/>
    <x v="2"/>
    <n v="51055870"/>
    <n v="86.552579255218461"/>
    <s v="PLATINO"/>
    <n v="192"/>
    <d v="2026-02-27T15:44:28"/>
  </r>
  <r>
    <n v="6558"/>
    <x v="2"/>
    <n v="51017226"/>
    <n v="78.742030944714813"/>
    <s v="PLATINO"/>
    <n v="531"/>
    <d v="2026-02-27T15:44:28"/>
  </r>
  <r>
    <n v="6559"/>
    <x v="2"/>
    <n v="51056965"/>
    <n v="19.804630886300352"/>
    <s v="BRONCE"/>
    <n v="899"/>
    <d v="2026-02-27T15:44:28"/>
  </r>
  <r>
    <n v="6560"/>
    <x v="2"/>
    <n v="51033671"/>
    <n v="82.723784286074959"/>
    <s v="PLATINO"/>
    <n v="385"/>
    <d v="2026-02-27T15:44:28"/>
  </r>
  <r>
    <n v="6561"/>
    <x v="2"/>
    <n v="51038797"/>
    <n v="83.627623194487342"/>
    <s v="PLATINO"/>
    <n v="343"/>
    <d v="2026-02-27T15:44:28"/>
  </r>
  <r>
    <n v="6562"/>
    <x v="2"/>
    <n v="51013492"/>
    <n v="81.936081290991254"/>
    <s v="PLATINO"/>
    <n v="419"/>
    <d v="2026-02-27T15:44:28"/>
  </r>
  <r>
    <n v="6563"/>
    <x v="2"/>
    <n v="51019415"/>
    <n v="81.631720044496319"/>
    <s v="PLATINO"/>
    <n v="432"/>
    <d v="2026-02-27T15:44:28"/>
  </r>
  <r>
    <n v="6564"/>
    <x v="2"/>
    <n v="51036107"/>
    <n v="73.645813108847975"/>
    <s v="ORO"/>
    <n v="583"/>
    <d v="2026-02-27T15:44:28"/>
  </r>
  <r>
    <n v="6565"/>
    <x v="2"/>
    <n v="51056990"/>
    <n v="60.464743684225809"/>
    <s v="ORO"/>
    <n v="717"/>
    <d v="2026-02-27T15:44:28"/>
  </r>
  <r>
    <n v="6566"/>
    <x v="2"/>
    <n v="51025296"/>
    <n v="61.771460990491533"/>
    <s v="ORO"/>
    <n v="713"/>
    <d v="2026-02-27T15:44:28"/>
  </r>
  <r>
    <n v="6567"/>
    <x v="2"/>
    <n v="51056639"/>
    <n v="40.727191469966783"/>
    <s v="PLATA"/>
    <n v="777"/>
    <d v="2026-02-27T15:44:28"/>
  </r>
  <r>
    <n v="6568"/>
    <x v="2"/>
    <n v="51015029"/>
    <n v="84.915884669101018"/>
    <s v="PLATINO"/>
    <n v="275"/>
    <d v="2026-02-27T15:44:28"/>
  </r>
  <r>
    <n v="6569"/>
    <x v="2"/>
    <n v="51055730"/>
    <n v="65.109873201456423"/>
    <s v="ORO"/>
    <n v="665"/>
    <d v="2026-02-27T15:44:28"/>
  </r>
  <r>
    <n v="6570"/>
    <x v="2"/>
    <n v="51018257"/>
    <n v="80.00564145968022"/>
    <s v="PLATINO"/>
    <n v="491"/>
    <d v="2026-02-27T15:44:28"/>
  </r>
  <r>
    <n v="6571"/>
    <x v="2"/>
    <n v="51055845"/>
    <n v="82.422964102953472"/>
    <s v="PLATINO"/>
    <n v="400"/>
    <d v="2026-02-27T15:44:28"/>
  </r>
  <r>
    <n v="6572"/>
    <x v="2"/>
    <n v="51028015"/>
    <n v="84.5581353563188"/>
    <s v="PLATINO"/>
    <n v="288"/>
    <d v="2026-02-27T15:44:28"/>
  </r>
  <r>
    <n v="6573"/>
    <x v="2"/>
    <n v="51012887"/>
    <n v="81.515095055297721"/>
    <s v="PLATINO"/>
    <n v="439"/>
    <d v="2026-02-27T15:44:28"/>
  </r>
  <r>
    <n v="6574"/>
    <x v="2"/>
    <n v="51010311"/>
    <n v="72.583136164162539"/>
    <s v="ORO"/>
    <n v="592"/>
    <d v="2026-02-27T15:44:28"/>
  </r>
  <r>
    <n v="6575"/>
    <x v="2"/>
    <n v="51036638"/>
    <n v="41.196303382335273"/>
    <s v="PLATA"/>
    <n v="775"/>
    <d v="2026-02-27T15:44:28"/>
  </r>
  <r>
    <n v="6576"/>
    <x v="2"/>
    <n v="51033442"/>
    <n v="85.634304424198987"/>
    <s v="PLATINO"/>
    <n v="238"/>
    <d v="2026-02-27T15:44:28"/>
  </r>
  <r>
    <n v="6577"/>
    <x v="2"/>
    <n v="51014774"/>
    <n v="81.068467628363919"/>
    <s v="PLATINO"/>
    <n v="455"/>
    <d v="2026-02-27T15:44:28"/>
  </r>
  <r>
    <n v="6578"/>
    <x v="2"/>
    <n v="51043847"/>
    <n v="71.507479890926561"/>
    <s v="ORO"/>
    <n v="605"/>
    <d v="2026-02-27T15:44:28"/>
  </r>
  <r>
    <n v="6579"/>
    <x v="2"/>
    <n v="51032381"/>
    <n v="19.580831287015389"/>
    <s v="BRONCE"/>
    <n v="929"/>
    <d v="2026-02-27T15:44:28"/>
  </r>
  <r>
    <n v="6580"/>
    <x v="2"/>
    <n v="51018508"/>
    <n v="81.038883405211251"/>
    <s v="PLATINO"/>
    <n v="456"/>
    <d v="2026-02-27T15:44:28"/>
  </r>
  <r>
    <n v="6581"/>
    <x v="2"/>
    <n v="51003616"/>
    <n v="82.045514189241317"/>
    <s v="PLATINO"/>
    <n v="415"/>
    <d v="2026-02-27T15:44:28"/>
  </r>
  <r>
    <n v="6582"/>
    <x v="2"/>
    <n v="51038932"/>
    <n v="73.13129264181255"/>
    <s v="ORO"/>
    <n v="585"/>
    <d v="2026-02-27T15:44:28"/>
  </r>
  <r>
    <n v="6583"/>
    <x v="2"/>
    <n v="51039211"/>
    <n v="26.697061673231978"/>
    <s v="BRONCE"/>
    <n v="818"/>
    <d v="2026-02-27T15:44:28"/>
  </r>
  <r>
    <n v="6584"/>
    <x v="2"/>
    <n v="51018664"/>
    <n v="19.543509404719511"/>
    <s v="BRONCE"/>
    <n v="932"/>
    <d v="2026-02-27T15:44:28"/>
  </r>
  <r>
    <n v="6585"/>
    <x v="2"/>
    <n v="51056671"/>
    <n v="83.072998734326688"/>
    <s v="PLATINO"/>
    <n v="370"/>
    <d v="2026-02-27T15:44:28"/>
  </r>
  <r>
    <n v="6586"/>
    <x v="2"/>
    <n v="51055462"/>
    <n v="74.520644465743771"/>
    <s v="ORO"/>
    <n v="576"/>
    <d v="2026-02-27T15:44:28"/>
  </r>
  <r>
    <n v="6587"/>
    <x v="2"/>
    <n v="51014081"/>
    <n v="84.346169935802777"/>
    <s v="PLATINO"/>
    <n v="301"/>
    <d v="2026-02-27T15:44:28"/>
  </r>
  <r>
    <n v="6588"/>
    <x v="2"/>
    <n v="51055918"/>
    <n v="75.110208921623254"/>
    <s v="PLATINO"/>
    <n v="571"/>
    <d v="2026-02-27T15:44:28"/>
  </r>
  <r>
    <n v="6589"/>
    <x v="2"/>
    <n v="51016785"/>
    <n v="83.987514865735236"/>
    <s v="PLATINO"/>
    <n v="327"/>
    <d v="2026-02-27T15:44:28"/>
  </r>
  <r>
    <n v="6590"/>
    <x v="2"/>
    <n v="51055268"/>
    <n v="19.390627648717771"/>
    <s v="BRONCE"/>
    <n v="953"/>
    <d v="2026-02-27T15:44:28"/>
  </r>
  <r>
    <n v="6591"/>
    <x v="2"/>
    <n v="51015533"/>
    <n v="62.450957165126781"/>
    <s v="ORO"/>
    <n v="706"/>
    <d v="2026-02-27T15:44:28"/>
  </r>
  <r>
    <n v="6592"/>
    <x v="2"/>
    <n v="51018371"/>
    <n v="19.369922086614981"/>
    <s v="BRONCE"/>
    <n v="956"/>
    <d v="2026-02-27T15:44:28"/>
  </r>
  <r>
    <n v="6593"/>
    <x v="2"/>
    <n v="51004027"/>
    <n v="75.229556107369319"/>
    <s v="PLATINO"/>
    <n v="570"/>
    <d v="2026-02-27T15:44:28"/>
  </r>
  <r>
    <n v="6594"/>
    <x v="2"/>
    <n v="51011660"/>
    <n v="68.832621874025676"/>
    <s v="ORO"/>
    <n v="633"/>
    <d v="2026-02-27T15:44:28"/>
  </r>
  <r>
    <n v="6595"/>
    <x v="2"/>
    <n v="51022556"/>
    <n v="86.75094939914645"/>
    <s v="PLATINO"/>
    <n v="179"/>
    <d v="2026-02-27T15:44:28"/>
  </r>
  <r>
    <n v="6596"/>
    <x v="2"/>
    <n v="51018427"/>
    <n v="71.156371662847349"/>
    <s v="ORO"/>
    <n v="609"/>
    <d v="2026-02-27T15:44:28"/>
  </r>
  <r>
    <n v="6597"/>
    <x v="2"/>
    <n v="51024516"/>
    <n v="84.418418391118067"/>
    <s v="PLATINO"/>
    <n v="296"/>
    <d v="2026-02-27T15:44:28"/>
  </r>
  <r>
    <n v="6598"/>
    <x v="2"/>
    <n v="51011856"/>
    <n v="82.109803422738224"/>
    <s v="PLATINO"/>
    <n v="413"/>
    <d v="2026-02-27T15:44:28"/>
  </r>
  <r>
    <n v="6599"/>
    <x v="2"/>
    <n v="51032322"/>
    <n v="83.260507139665137"/>
    <s v="PLATINO"/>
    <n v="363"/>
    <d v="2026-02-27T15:44:28"/>
  </r>
  <r>
    <n v="6600"/>
    <x v="2"/>
    <n v="51013859"/>
    <n v="81.164179974964313"/>
    <s v="PLATINO"/>
    <n v="452"/>
    <d v="2026-02-27T15:44:28"/>
  </r>
  <r>
    <n v="6601"/>
    <x v="2"/>
    <n v="51008430"/>
    <n v="81.182328172579474"/>
    <s v="PLATINO"/>
    <n v="451"/>
    <d v="2026-02-27T15:44:28"/>
  </r>
  <r>
    <n v="6602"/>
    <x v="2"/>
    <n v="51042158"/>
    <n v="80.579354050395708"/>
    <s v="PLATINO"/>
    <n v="469"/>
    <d v="2026-02-27T15:44:28"/>
  </r>
  <r>
    <n v="6603"/>
    <x v="2"/>
    <n v="51011627"/>
    <n v="19.43371986345435"/>
    <s v="BRONCE"/>
    <n v="945"/>
    <d v="2026-02-27T15:44:28"/>
  </r>
  <r>
    <n v="6604"/>
    <x v="2"/>
    <n v="51010426"/>
    <n v="80.960267238699089"/>
    <s v="PLATINO"/>
    <n v="458"/>
    <d v="2026-02-27T15:44:28"/>
  </r>
  <r>
    <n v="6605"/>
    <x v="2"/>
    <n v="51033205"/>
    <n v="84.305535546649764"/>
    <s v="PLATINO"/>
    <n v="307"/>
    <d v="2026-02-27T15:44:28"/>
  </r>
  <r>
    <n v="6606"/>
    <x v="2"/>
    <n v="51035976"/>
    <n v="84.623772715573878"/>
    <s v="PLATINO"/>
    <n v="285"/>
    <d v="2026-02-27T15:44:28"/>
  </r>
  <r>
    <n v="6607"/>
    <x v="2"/>
    <n v="51010914"/>
    <n v="62.658849079781817"/>
    <s v="ORO"/>
    <n v="703"/>
    <d v="2026-02-27T15:44:28"/>
  </r>
  <r>
    <n v="6608"/>
    <x v="2"/>
    <n v="51023129"/>
    <n v="83.4458598037847"/>
    <s v="PLATINO"/>
    <n v="352"/>
    <d v="2026-02-27T15:44:28"/>
  </r>
  <r>
    <n v="6609"/>
    <x v="2"/>
    <n v="51054857"/>
    <n v="63.038647103609527"/>
    <s v="ORO"/>
    <n v="700"/>
    <d v="2026-02-27T15:44:28"/>
  </r>
  <r>
    <n v="6610"/>
    <x v="2"/>
    <n v="51055926"/>
    <n v="82.131959526999296"/>
    <s v="PLATINO"/>
    <n v="411"/>
    <d v="2026-02-27T15:44:28"/>
  </r>
  <r>
    <n v="6611"/>
    <x v="2"/>
    <n v="51021282"/>
    <n v="19.384036975668621"/>
    <s v="BRONCE"/>
    <n v="954"/>
    <d v="2026-02-27T15:44:28"/>
  </r>
  <r>
    <n v="6612"/>
    <x v="2"/>
    <n v="51031369"/>
    <n v="82.943397701331975"/>
    <s v="PLATINO"/>
    <n v="378"/>
    <d v="2026-02-27T15:44:28"/>
  </r>
  <r>
    <n v="6613"/>
    <x v="2"/>
    <n v="51024621"/>
    <n v="35.805683456864628"/>
    <s v="PLATA"/>
    <n v="790"/>
    <d v="2026-02-27T15:44:28"/>
  </r>
  <r>
    <n v="6614"/>
    <x v="2"/>
    <n v="51032284"/>
    <n v="63.195231022373797"/>
    <s v="ORO"/>
    <n v="696"/>
    <d v="2026-02-27T15:44:28"/>
  </r>
  <r>
    <n v="6615"/>
    <x v="2"/>
    <n v="51018966"/>
    <n v="82.864310121112439"/>
    <s v="PLATINO"/>
    <n v="381"/>
    <d v="2026-02-27T15:44:28"/>
  </r>
  <r>
    <n v="6616"/>
    <x v="2"/>
    <n v="51012623"/>
    <n v="19.395914895874188"/>
    <s v="BRONCE"/>
    <n v="952"/>
    <d v="2026-02-27T15:44:28"/>
  </r>
  <r>
    <n v="6617"/>
    <x v="2"/>
    <n v="51019121"/>
    <n v="84.184594786857076"/>
    <s v="PLATINO"/>
    <n v="314"/>
    <d v="2026-02-27T15:44:28"/>
  </r>
  <r>
    <n v="6618"/>
    <x v="2"/>
    <n v="51036085"/>
    <n v="82.56426774553033"/>
    <s v="PLATINO"/>
    <n v="391"/>
    <d v="2026-02-27T15:44:28"/>
  </r>
  <r>
    <n v="6619"/>
    <x v="2"/>
    <n v="51002164"/>
    <n v="19.452054132368669"/>
    <s v="BRONCE"/>
    <n v="943"/>
    <d v="2026-02-27T15:44:28"/>
  </r>
  <r>
    <n v="6620"/>
    <x v="2"/>
    <n v="51013182"/>
    <n v="87.599388116999251"/>
    <s v="PLATINO"/>
    <n v="130"/>
    <d v="2026-02-27T15:44:28"/>
  </r>
  <r>
    <n v="6621"/>
    <x v="2"/>
    <n v="51033086"/>
    <n v="19.45230516561233"/>
    <s v="BRONCE"/>
    <n v="942"/>
    <d v="2026-02-27T15:44:28"/>
  </r>
  <r>
    <n v="6622"/>
    <x v="2"/>
    <n v="51029038"/>
    <n v="81.634404865487568"/>
    <s v="PLATINO"/>
    <n v="431"/>
    <d v="2026-02-27T15:44:28"/>
  </r>
  <r>
    <n v="6623"/>
    <x v="2"/>
    <n v="51024168"/>
    <n v="62.795182707703759"/>
    <s v="ORO"/>
    <n v="701"/>
    <d v="2026-02-27T15:44:28"/>
  </r>
  <r>
    <n v="6624"/>
    <x v="2"/>
    <n v="51023455"/>
    <n v="63.049210349739383"/>
    <s v="ORO"/>
    <n v="699"/>
    <d v="2026-02-27T15:44:28"/>
  </r>
  <r>
    <n v="6625"/>
    <x v="2"/>
    <n v="51016131"/>
    <n v="61.89299315663709"/>
    <s v="ORO"/>
    <n v="708"/>
    <d v="2026-02-27T15:44:28"/>
  </r>
  <r>
    <n v="6626"/>
    <x v="2"/>
    <n v="51016408"/>
    <n v="85.067965494607265"/>
    <s v="PLATINO"/>
    <n v="268"/>
    <d v="2026-02-27T15:44:28"/>
  </r>
  <r>
    <n v="6627"/>
    <x v="2"/>
    <n v="51056914"/>
    <n v="82.529417099489521"/>
    <s v="PLATINO"/>
    <n v="392"/>
    <d v="2026-02-27T15:44:28"/>
  </r>
  <r>
    <n v="6628"/>
    <x v="2"/>
    <n v="51016858"/>
    <n v="83.886584535060507"/>
    <s v="PLATINO"/>
    <n v="335"/>
    <d v="2026-02-27T15:44:28"/>
  </r>
  <r>
    <n v="6629"/>
    <x v="2"/>
    <n v="51035666"/>
    <n v="81.396505856638782"/>
    <s v="PLATINO"/>
    <n v="442"/>
    <d v="2026-02-27T15:44:28"/>
  </r>
  <r>
    <n v="6630"/>
    <x v="2"/>
    <n v="51022068"/>
    <n v="80.482430821473429"/>
    <s v="PLATINO"/>
    <n v="472"/>
    <d v="2026-02-27T15:44:28"/>
  </r>
  <r>
    <n v="6631"/>
    <x v="2"/>
    <n v="51013611"/>
    <n v="65.867278388407428"/>
    <s v="ORO"/>
    <n v="660"/>
    <d v="2026-02-27T15:44:28"/>
  </r>
  <r>
    <n v="6632"/>
    <x v="2"/>
    <n v="51013115"/>
    <n v="19.467649936130449"/>
    <s v="BRONCE"/>
    <n v="938"/>
    <d v="2026-02-27T15:44:28"/>
  </r>
  <r>
    <n v="6633"/>
    <x v="2"/>
    <n v="51056744"/>
    <n v="81.909146638224797"/>
    <s v="PLATINO"/>
    <n v="420"/>
    <d v="2026-02-27T15:44:28"/>
  </r>
  <r>
    <n v="6634"/>
    <x v="2"/>
    <n v="51031822"/>
    <n v="82.980026834058833"/>
    <s v="PLATINO"/>
    <n v="373"/>
    <d v="2026-02-27T15:44:28"/>
  </r>
  <r>
    <n v="6635"/>
    <x v="2"/>
    <n v="51025938"/>
    <n v="29.483892278773581"/>
    <s v="BRONCE"/>
    <n v="808"/>
    <d v="2026-02-27T15:44:28"/>
  </r>
  <r>
    <n v="6636"/>
    <x v="2"/>
    <n v="51030141"/>
    <n v="81.64842915617939"/>
    <s v="PLATINO"/>
    <n v="430"/>
    <d v="2026-02-27T15:44:28"/>
  </r>
  <r>
    <n v="6637"/>
    <x v="2"/>
    <n v="51004698"/>
    <n v="19.464706214484099"/>
    <s v="BRONCE"/>
    <n v="939"/>
    <d v="2026-02-27T15:44:28"/>
  </r>
  <r>
    <n v="6638"/>
    <x v="2"/>
    <n v="51029585"/>
    <n v="80.300977180927745"/>
    <s v="PLATINO"/>
    <n v="480"/>
    <d v="2026-02-27T15:44:28"/>
  </r>
  <r>
    <n v="6639"/>
    <x v="2"/>
    <n v="51018389"/>
    <n v="68.268027198244667"/>
    <s v="ORO"/>
    <n v="640"/>
    <d v="2026-02-27T15:44:28"/>
  </r>
  <r>
    <n v="6640"/>
    <x v="2"/>
    <n v="51017137"/>
    <n v="67.244164904903144"/>
    <s v="ORO"/>
    <n v="648"/>
    <d v="2026-02-27T15:44:28"/>
  </r>
  <r>
    <n v="6641"/>
    <x v="2"/>
    <n v="51041232"/>
    <n v="82.404550621881228"/>
    <s v="PLATINO"/>
    <n v="403"/>
    <d v="2026-02-27T15:44:28"/>
  </r>
  <r>
    <n v="6642"/>
    <x v="2"/>
    <n v="51022769"/>
    <n v="80.381326697230861"/>
    <s v="PLATINO"/>
    <n v="475"/>
    <d v="2026-02-27T15:44:28"/>
  </r>
  <r>
    <n v="6643"/>
    <x v="2"/>
    <n v="51031164"/>
    <n v="19.425167424179559"/>
    <s v="BRONCE"/>
    <n v="949"/>
    <d v="2026-02-27T15:44:28"/>
  </r>
  <r>
    <n v="6644"/>
    <x v="2"/>
    <n v="51030371"/>
    <n v="80.468054457717514"/>
    <s v="PLATINO"/>
    <n v="473"/>
    <d v="2026-02-27T15:44:28"/>
  </r>
  <r>
    <n v="6645"/>
    <x v="2"/>
    <n v="51040392"/>
    <n v="26.987356364713541"/>
    <s v="BRONCE"/>
    <n v="814"/>
    <d v="2026-02-27T15:44:28"/>
  </r>
  <r>
    <n v="6646"/>
    <x v="2"/>
    <n v="51014693"/>
    <n v="80.085955480380946"/>
    <s v="PLATINO"/>
    <n v="489"/>
    <d v="2026-02-27T15:44:28"/>
  </r>
  <r>
    <n v="6647"/>
    <x v="2"/>
    <n v="51055551"/>
    <n v="19.424044918388031"/>
    <s v="BRONCE"/>
    <n v="950"/>
    <d v="2026-02-27T15:44:28"/>
  </r>
  <r>
    <n v="6648"/>
    <x v="2"/>
    <n v="51012593"/>
    <n v="80.798920489885688"/>
    <s v="PLATINO"/>
    <n v="463"/>
    <d v="2026-02-27T15:44:28"/>
  </r>
  <r>
    <n v="6649"/>
    <x v="2"/>
    <n v="51015908"/>
    <n v="83.982205735884989"/>
    <s v="PLATINO"/>
    <n v="328"/>
    <d v="2026-02-27T15:44:28"/>
  </r>
  <r>
    <n v="6650"/>
    <x v="2"/>
    <n v="51015924"/>
    <n v="84.510268974703294"/>
    <s v="PLATINO"/>
    <n v="293"/>
    <d v="2026-02-27T15:44:28"/>
  </r>
  <r>
    <n v="6651"/>
    <x v="2"/>
    <n v="51034252"/>
    <n v="85.549858073329261"/>
    <s v="PLATINO"/>
    <n v="244"/>
    <d v="2026-02-27T15:44:28"/>
  </r>
  <r>
    <n v="6652"/>
    <x v="2"/>
    <n v="51017676"/>
    <n v="81.525749616357487"/>
    <s v="PLATINO"/>
    <n v="437"/>
    <d v="2026-02-27T15:44:28"/>
  </r>
  <r>
    <n v="6653"/>
    <x v="2"/>
    <n v="51033655"/>
    <n v="82.607919761526674"/>
    <s v="PLATINO"/>
    <n v="389"/>
    <d v="2026-02-27T15:44:28"/>
  </r>
  <r>
    <n v="6654"/>
    <x v="2"/>
    <n v="51014740"/>
    <n v="77.613010328219033"/>
    <s v="PLATINO"/>
    <n v="552"/>
    <d v="2026-02-27T15:44:28"/>
  </r>
  <r>
    <n v="6655"/>
    <x v="2"/>
    <n v="51011287"/>
    <n v="79.993685147080512"/>
    <s v="PLATINO"/>
    <n v="493"/>
    <d v="2026-02-27T15:44:28"/>
  </r>
  <r>
    <n v="6656"/>
    <x v="2"/>
    <n v="51026306"/>
    <n v="80.35514067301807"/>
    <s v="PLATINO"/>
    <n v="479"/>
    <d v="2026-02-27T15:44:28"/>
  </r>
  <r>
    <n v="6657"/>
    <x v="2"/>
    <n v="51040325"/>
    <n v="37.588544583028423"/>
    <s v="PLATA"/>
    <n v="785"/>
    <d v="2026-02-27T15:44:28"/>
  </r>
  <r>
    <n v="6658"/>
    <x v="2"/>
    <n v="51055543"/>
    <n v="81.759442585510527"/>
    <s v="PLATINO"/>
    <n v="427"/>
    <d v="2026-02-27T15:44:28"/>
  </r>
  <r>
    <n v="6659"/>
    <x v="2"/>
    <n v="51037031"/>
    <n v="80.374706872315059"/>
    <s v="PLATINO"/>
    <n v="476"/>
    <d v="2026-02-27T15:44:28"/>
  </r>
  <r>
    <n v="6660"/>
    <x v="2"/>
    <n v="51057244"/>
    <n v="40.12384227532911"/>
    <s v="PLATA"/>
    <n v="780"/>
    <d v="2026-02-27T15:44:28"/>
  </r>
  <r>
    <n v="6661"/>
    <x v="2"/>
    <n v="51032004"/>
    <n v="19.294024779477731"/>
    <s v="BRONCE"/>
    <n v="960"/>
    <d v="2026-02-27T15:44:28"/>
  </r>
  <r>
    <n v="6662"/>
    <x v="2"/>
    <n v="51019253"/>
    <n v="83.621728007448709"/>
    <s v="PLATINO"/>
    <n v="345"/>
    <d v="2026-02-27T15:44:28"/>
  </r>
  <r>
    <n v="6663"/>
    <x v="2"/>
    <n v="51008413"/>
    <n v="81.800999410572985"/>
    <s v="PLATINO"/>
    <n v="425"/>
    <d v="2026-02-27T15:44:28"/>
  </r>
  <r>
    <n v="6664"/>
    <x v="2"/>
    <n v="51018265"/>
    <n v="64.636626963342167"/>
    <s v="ORO"/>
    <n v="670"/>
    <d v="2026-02-27T15:44:28"/>
  </r>
  <r>
    <n v="6665"/>
    <x v="2"/>
    <n v="51022050"/>
    <n v="19.32818677555764"/>
    <s v="BRONCE"/>
    <n v="957"/>
    <d v="2026-02-27T15:44:28"/>
  </r>
  <r>
    <n v="6666"/>
    <x v="2"/>
    <n v="51016076"/>
    <n v="80.253534267847712"/>
    <s v="PLATINO"/>
    <n v="484"/>
    <d v="2026-02-27T15:44:28"/>
  </r>
  <r>
    <n v="6667"/>
    <x v="2"/>
    <n v="51014634"/>
    <n v="80.374337537052895"/>
    <s v="PLATINO"/>
    <n v="477"/>
    <d v="2026-02-27T15:44:28"/>
  </r>
  <r>
    <n v="6668"/>
    <x v="2"/>
    <n v="51004655"/>
    <n v="64.759844383871155"/>
    <s v="ORO"/>
    <n v="667"/>
    <d v="2026-02-27T15:44:28"/>
  </r>
  <r>
    <n v="6669"/>
    <x v="2"/>
    <n v="51030974"/>
    <n v="81.938491217890558"/>
    <s v="PLATINO"/>
    <n v="418"/>
    <d v="2026-02-27T15:44:28"/>
  </r>
  <r>
    <n v="6670"/>
    <x v="2"/>
    <n v="51056787"/>
    <n v="71.884255776368377"/>
    <s v="ORO"/>
    <n v="600"/>
    <d v="2026-02-27T15:44:28"/>
  </r>
  <r>
    <n v="6671"/>
    <x v="2"/>
    <n v="51032802"/>
    <n v="86.386762757252527"/>
    <s v="PLATINO"/>
    <n v="199"/>
    <d v="2026-02-27T15:44:28"/>
  </r>
  <r>
    <n v="6672"/>
    <x v="2"/>
    <n v="51043677"/>
    <n v="82.97188063144533"/>
    <s v="PLATINO"/>
    <n v="374"/>
    <d v="2026-02-27T15:44:28"/>
  </r>
  <r>
    <n v="6673"/>
    <x v="2"/>
    <n v="51022467"/>
    <n v="79.771031838409044"/>
    <s v="PLATINO"/>
    <n v="499"/>
    <d v="2026-02-27T15:44:28"/>
  </r>
  <r>
    <n v="6674"/>
    <x v="2"/>
    <n v="51055225"/>
    <n v="81.474226935521486"/>
    <s v="PLATINO"/>
    <n v="441"/>
    <d v="2026-02-27T15:44:28"/>
  </r>
  <r>
    <n v="6675"/>
    <x v="2"/>
    <n v="51041666"/>
    <n v="83.369469165798591"/>
    <s v="PLATINO"/>
    <n v="354"/>
    <d v="2026-02-27T15:44:28"/>
  </r>
  <r>
    <n v="6676"/>
    <x v="2"/>
    <n v="51024753"/>
    <n v="82.920610649557986"/>
    <s v="PLATINO"/>
    <n v="379"/>
    <d v="2026-02-27T15:44:28"/>
  </r>
  <r>
    <n v="6677"/>
    <x v="2"/>
    <n v="51023901"/>
    <n v="83.931334665189667"/>
    <s v="PLATINO"/>
    <n v="331"/>
    <d v="2026-02-27T15:44:28"/>
  </r>
  <r>
    <n v="6678"/>
    <x v="2"/>
    <n v="51038401"/>
    <n v="34.487992803852308"/>
    <s v="PLATA"/>
    <n v="795"/>
    <d v="2026-02-27T15:44:28"/>
  </r>
  <r>
    <n v="6679"/>
    <x v="2"/>
    <n v="51023226"/>
    <n v="81.005076351392177"/>
    <s v="PLATINO"/>
    <n v="457"/>
    <d v="2026-02-27T15:44:28"/>
  </r>
  <r>
    <n v="6680"/>
    <x v="2"/>
    <n v="51019717"/>
    <n v="68.330240185316697"/>
    <s v="ORO"/>
    <n v="639"/>
    <d v="2026-02-27T15:44:28"/>
  </r>
  <r>
    <n v="6681"/>
    <x v="2"/>
    <n v="51007115"/>
    <n v="79.748885687554576"/>
    <s v="PLATINO"/>
    <n v="500"/>
    <d v="2026-02-27T15:44:28"/>
  </r>
  <r>
    <n v="6682"/>
    <x v="2"/>
    <n v="51016637"/>
    <n v="83.904360839048962"/>
    <s v="PLATINO"/>
    <n v="334"/>
    <d v="2026-02-27T15:44:28"/>
  </r>
  <r>
    <n v="6683"/>
    <x v="2"/>
    <n v="51023439"/>
    <n v="19.15005602012128"/>
    <s v="BRONCE"/>
    <n v="970"/>
    <d v="2026-02-27T15:44:28"/>
  </r>
  <r>
    <n v="6684"/>
    <x v="2"/>
    <n v="51031334"/>
    <n v="19.13271601914634"/>
    <s v="BRONCE"/>
    <n v="971"/>
    <d v="2026-02-27T15:44:28"/>
  </r>
  <r>
    <n v="6685"/>
    <x v="2"/>
    <n v="51005368"/>
    <n v="66.476561744591081"/>
    <s v="ORO"/>
    <n v="659"/>
    <d v="2026-02-27T15:44:28"/>
  </r>
  <r>
    <n v="6686"/>
    <x v="2"/>
    <n v="51023803"/>
    <n v="82.419999952949055"/>
    <s v="PLATINO"/>
    <n v="401"/>
    <d v="2026-02-27T15:44:28"/>
  </r>
  <r>
    <n v="6687"/>
    <x v="2"/>
    <n v="51016777"/>
    <n v="72.692363434884157"/>
    <s v="ORO"/>
    <n v="590"/>
    <d v="2026-02-27T15:44:28"/>
  </r>
  <r>
    <n v="6688"/>
    <x v="2"/>
    <n v="51056094"/>
    <n v="79.7979618069823"/>
    <s v="PLATINO"/>
    <n v="498"/>
    <d v="2026-02-27T15:44:28"/>
  </r>
  <r>
    <n v="6689"/>
    <x v="2"/>
    <n v="51018044"/>
    <n v="19.072821906620089"/>
    <s v="BRONCE"/>
    <n v="978"/>
    <d v="2026-02-27T15:44:28"/>
  </r>
  <r>
    <n v="6690"/>
    <x v="2"/>
    <n v="51031318"/>
    <n v="42.050919543833032"/>
    <s v="PLATA"/>
    <n v="771"/>
    <d v="2026-02-27T15:44:28"/>
  </r>
  <r>
    <n v="6691"/>
    <x v="2"/>
    <n v="51031750"/>
    <n v="83.001573389291195"/>
    <s v="PLATINO"/>
    <n v="371"/>
    <d v="2026-02-27T15:44:28"/>
  </r>
  <r>
    <n v="6692"/>
    <x v="2"/>
    <n v="51032063"/>
    <n v="81.809116789826419"/>
    <s v="PLATINO"/>
    <n v="424"/>
    <d v="2026-02-27T15:44:28"/>
  </r>
  <r>
    <n v="6693"/>
    <x v="2"/>
    <n v="51029232"/>
    <n v="87.229084958098298"/>
    <s v="PLATINO"/>
    <n v="151"/>
    <d v="2026-02-27T15:44:28"/>
  </r>
  <r>
    <n v="6694"/>
    <x v="2"/>
    <n v="51035879"/>
    <n v="32.168612875117041"/>
    <s v="PLATA"/>
    <n v="802"/>
    <d v="2026-02-27T15:44:28"/>
  </r>
  <r>
    <n v="6695"/>
    <x v="2"/>
    <n v="51001044"/>
    <n v="81.375822976099812"/>
    <s v="PLATINO"/>
    <n v="443"/>
    <d v="2026-02-27T15:44:28"/>
  </r>
  <r>
    <n v="6696"/>
    <x v="2"/>
    <n v="51028929"/>
    <n v="81.908396483051675"/>
    <s v="PLATINO"/>
    <n v="421"/>
    <d v="2026-02-27T15:44:28"/>
  </r>
  <r>
    <n v="6697"/>
    <x v="2"/>
    <n v="51054873"/>
    <n v="80.902914105113325"/>
    <s v="PLATINO"/>
    <n v="459"/>
    <d v="2026-02-27T15:44:28"/>
  </r>
  <r>
    <n v="6698"/>
    <x v="2"/>
    <n v="51013913"/>
    <n v="82.413154885237532"/>
    <s v="PLATINO"/>
    <n v="402"/>
    <d v="2026-02-27T15:44:28"/>
  </r>
  <r>
    <n v="6699"/>
    <x v="2"/>
    <n v="51033302"/>
    <n v="61.862786833366883"/>
    <s v="ORO"/>
    <n v="710"/>
    <d v="2026-02-27T15:44:28"/>
  </r>
  <r>
    <n v="6700"/>
    <x v="2"/>
    <n v="51054806"/>
    <n v="19.043008046964172"/>
    <s v="BRONCE"/>
    <n v="984"/>
    <d v="2026-02-27T15:44:28"/>
  </r>
  <r>
    <n v="6701"/>
    <x v="2"/>
    <n v="51030567"/>
    <n v="50.937700896543163"/>
    <s v="PLATA"/>
    <n v="747"/>
    <d v="2026-02-27T15:44:28"/>
  </r>
  <r>
    <n v="6702"/>
    <x v="2"/>
    <n v="51014375"/>
    <n v="19.043969093927561"/>
    <s v="BRONCE"/>
    <n v="983"/>
    <d v="2026-02-27T15:44:28"/>
  </r>
  <r>
    <n v="6703"/>
    <x v="2"/>
    <n v="51056337"/>
    <n v="80.526318886165441"/>
    <s v="PLATINO"/>
    <n v="470"/>
    <d v="2026-02-27T15:44:28"/>
  </r>
  <r>
    <n v="6704"/>
    <x v="2"/>
    <n v="51054938"/>
    <n v="79.198352010652826"/>
    <s v="PLATINO"/>
    <n v="520"/>
    <d v="2026-02-27T15:44:28"/>
  </r>
  <r>
    <n v="6705"/>
    <x v="2"/>
    <n v="51024834"/>
    <n v="72.522421575891045"/>
    <s v="ORO"/>
    <n v="593"/>
    <d v="2026-02-27T15:44:28"/>
  </r>
  <r>
    <n v="6706"/>
    <x v="2"/>
    <n v="51016831"/>
    <n v="35.532855210695672"/>
    <s v="PLATA"/>
    <n v="791"/>
    <d v="2026-02-27T15:44:28"/>
  </r>
  <r>
    <n v="6707"/>
    <x v="2"/>
    <n v="51023927"/>
    <n v="19.096850801277199"/>
    <s v="BRONCE"/>
    <n v="973"/>
    <d v="2026-02-27T15:44:28"/>
  </r>
  <r>
    <n v="6708"/>
    <x v="2"/>
    <n v="51020111"/>
    <n v="81.613366748374972"/>
    <s v="PLATINO"/>
    <n v="433"/>
    <d v="2026-02-27T15:44:28"/>
  </r>
  <r>
    <n v="6709"/>
    <x v="2"/>
    <n v="51055250"/>
    <n v="82.715066756172291"/>
    <s v="PLATINO"/>
    <n v="386"/>
    <d v="2026-02-27T15:44:28"/>
  </r>
  <r>
    <n v="6710"/>
    <x v="2"/>
    <n v="51018036"/>
    <n v="60.071144414791902"/>
    <s v="ORO"/>
    <n v="718"/>
    <d v="2026-02-27T15:44:28"/>
  </r>
  <r>
    <n v="6711"/>
    <x v="2"/>
    <n v="51009797"/>
    <n v="19.009007654894621"/>
    <s v="BRONCE"/>
    <n v="987"/>
    <d v="2026-02-27T15:44:28"/>
  </r>
  <r>
    <n v="6712"/>
    <x v="2"/>
    <n v="51041917"/>
    <n v="62.120394232299347"/>
    <s v="ORO"/>
    <n v="707"/>
    <d v="2026-02-27T15:44:28"/>
  </r>
  <r>
    <n v="6713"/>
    <x v="2"/>
    <n v="51017846"/>
    <n v="82.303302603314819"/>
    <s v="PLATINO"/>
    <n v="405"/>
    <d v="2026-02-27T15:44:28"/>
  </r>
  <r>
    <n v="6714"/>
    <x v="2"/>
    <n v="51015851"/>
    <n v="81.352682711694982"/>
    <s v="PLATINO"/>
    <n v="445"/>
    <d v="2026-02-27T15:44:28"/>
  </r>
  <r>
    <n v="6715"/>
    <x v="2"/>
    <n v="51036603"/>
    <n v="19.072724604370311"/>
    <s v="BRONCE"/>
    <n v="979"/>
    <d v="2026-02-27T15:44:28"/>
  </r>
  <r>
    <n v="6716"/>
    <x v="2"/>
    <n v="51020910"/>
    <n v="63.14640050571721"/>
    <s v="ORO"/>
    <n v="697"/>
    <d v="2026-02-27T15:44:28"/>
  </r>
  <r>
    <n v="6717"/>
    <x v="2"/>
    <n v="51031326"/>
    <n v="19.060287173221521"/>
    <s v="BRONCE"/>
    <n v="982"/>
    <d v="2026-02-27T15:44:28"/>
  </r>
  <r>
    <n v="6718"/>
    <x v="2"/>
    <n v="51033604"/>
    <n v="19.109147259932069"/>
    <s v="BRONCE"/>
    <n v="972"/>
    <d v="2026-02-27T15:44:28"/>
  </r>
  <r>
    <n v="6719"/>
    <x v="2"/>
    <n v="51026217"/>
    <n v="72.585862995339923"/>
    <s v="ORO"/>
    <n v="591"/>
    <d v="2026-02-27T15:44:28"/>
  </r>
  <r>
    <n v="6720"/>
    <x v="2"/>
    <n v="51039165"/>
    <n v="79.977906067100861"/>
    <s v="PLATINO"/>
    <n v="494"/>
    <d v="2026-02-27T15:44:28"/>
  </r>
  <r>
    <n v="6721"/>
    <x v="2"/>
    <n v="51006844"/>
    <n v="19.159669637633591"/>
    <s v="BRONCE"/>
    <n v="968"/>
    <d v="2026-02-27T15:44:28"/>
  </r>
  <r>
    <n v="6722"/>
    <x v="2"/>
    <n v="51020995"/>
    <n v="19.150350643765499"/>
    <s v="BRONCE"/>
    <n v="969"/>
    <d v="2026-02-27T15:44:28"/>
  </r>
  <r>
    <n v="6723"/>
    <x v="2"/>
    <n v="51023251"/>
    <n v="72.420389612333082"/>
    <s v="ORO"/>
    <n v="595"/>
    <d v="2026-02-27T15:44:28"/>
  </r>
  <r>
    <n v="6724"/>
    <x v="2"/>
    <n v="51010205"/>
    <n v="69.59480816983114"/>
    <s v="ORO"/>
    <n v="623"/>
    <d v="2026-02-27T15:44:28"/>
  </r>
  <r>
    <n v="6725"/>
    <x v="2"/>
    <n v="51056922"/>
    <n v="80.367766375554126"/>
    <s v="PLATINO"/>
    <n v="478"/>
    <d v="2026-02-27T15:44:28"/>
  </r>
  <r>
    <n v="6726"/>
    <x v="2"/>
    <n v="51056299"/>
    <n v="74.733336171383044"/>
    <s v="ORO"/>
    <n v="573"/>
    <d v="2026-02-27T15:44:28"/>
  </r>
  <r>
    <n v="6727"/>
    <x v="2"/>
    <n v="51010175"/>
    <n v="33.060205733231967"/>
    <s v="PLATA"/>
    <n v="798"/>
    <d v="2026-02-27T15:44:28"/>
  </r>
  <r>
    <n v="6728"/>
    <x v="2"/>
    <n v="51015355"/>
    <n v="82.862790866136805"/>
    <s v="PLATINO"/>
    <n v="382"/>
    <d v="2026-02-27T15:44:28"/>
  </r>
  <r>
    <n v="6729"/>
    <x v="2"/>
    <n v="51010191"/>
    <n v="87.137356418496495"/>
    <s v="PLATINO"/>
    <n v="158"/>
    <d v="2026-02-27T15:44:28"/>
  </r>
  <r>
    <n v="6730"/>
    <x v="2"/>
    <n v="51013051"/>
    <n v="19.091301579613649"/>
    <s v="BRONCE"/>
    <n v="975"/>
    <d v="2026-02-27T15:44:28"/>
  </r>
  <r>
    <n v="6731"/>
    <x v="2"/>
    <n v="51032632"/>
    <n v="81.723099312502868"/>
    <s v="PLATINO"/>
    <n v="428"/>
    <d v="2026-02-27T15:44:28"/>
  </r>
  <r>
    <n v="6732"/>
    <x v="2"/>
    <n v="51026322"/>
    <n v="68.859078195761469"/>
    <s v="ORO"/>
    <n v="632"/>
    <d v="2026-02-27T15:44:28"/>
  </r>
  <r>
    <n v="6733"/>
    <x v="2"/>
    <n v="51019555"/>
    <n v="54.062592422558858"/>
    <s v="PLATA"/>
    <n v="737"/>
    <d v="2026-02-27T15:44:28"/>
  </r>
  <r>
    <n v="6734"/>
    <x v="2"/>
    <n v="51009991"/>
    <n v="61.795347745827357"/>
    <s v="ORO"/>
    <n v="712"/>
    <d v="2026-02-27T15:44:28"/>
  </r>
  <r>
    <n v="6735"/>
    <x v="2"/>
    <n v="51025822"/>
    <n v="80.510445525066672"/>
    <s v="PLATINO"/>
    <n v="471"/>
    <d v="2026-02-27T15:44:28"/>
  </r>
  <r>
    <n v="6736"/>
    <x v="2"/>
    <n v="51012500"/>
    <n v="80.239833485875877"/>
    <s v="PLATINO"/>
    <n v="486"/>
    <d v="2026-02-27T15:44:28"/>
  </r>
  <r>
    <n v="6737"/>
    <x v="2"/>
    <n v="51015797"/>
    <n v="79.892974179415489"/>
    <s v="PLATINO"/>
    <n v="497"/>
    <d v="2026-02-27T15:44:28"/>
  </r>
  <r>
    <n v="6738"/>
    <x v="2"/>
    <n v="51014782"/>
    <n v="80.279088654165719"/>
    <s v="PLATINO"/>
    <n v="481"/>
    <d v="2026-02-27T15:44:28"/>
  </r>
  <r>
    <n v="6739"/>
    <x v="2"/>
    <n v="51013077"/>
    <n v="81.565947161596171"/>
    <s v="PLATINO"/>
    <n v="435"/>
    <d v="2026-02-27T15:44:28"/>
  </r>
  <r>
    <n v="6740"/>
    <x v="2"/>
    <n v="51002539"/>
    <n v="19.09176915550114"/>
    <s v="BRONCE"/>
    <n v="974"/>
    <d v="2026-02-27T15:44:28"/>
  </r>
  <r>
    <n v="6741"/>
    <x v="2"/>
    <n v="51031806"/>
    <n v="45.612854018038128"/>
    <s v="PLATA"/>
    <n v="762"/>
    <d v="2026-02-27T15:44:28"/>
  </r>
  <r>
    <n v="6742"/>
    <x v="2"/>
    <n v="51044410"/>
    <n v="65.548800736834139"/>
    <s v="ORO"/>
    <n v="661"/>
    <d v="2026-02-27T15:44:28"/>
  </r>
  <r>
    <n v="6743"/>
    <x v="2"/>
    <n v="51033248"/>
    <n v="19.089469445217389"/>
    <s v="BRONCE"/>
    <n v="976"/>
    <d v="2026-02-27T15:44:28"/>
  </r>
  <r>
    <n v="6744"/>
    <x v="2"/>
    <n v="51025318"/>
    <n v="84.212246453714783"/>
    <s v="PLATINO"/>
    <n v="312"/>
    <d v="2026-02-27T15:44:28"/>
  </r>
  <r>
    <n v="6745"/>
    <x v="2"/>
    <n v="51031687"/>
    <n v="79.971489947531211"/>
    <s v="PLATINO"/>
    <n v="495"/>
    <d v="2026-02-27T15:44:28"/>
  </r>
  <r>
    <n v="6746"/>
    <x v="2"/>
    <n v="51055861"/>
    <n v="50.783415121295903"/>
    <s v="PLATA"/>
    <n v="748"/>
    <d v="2026-02-27T15:44:28"/>
  </r>
  <r>
    <n v="6747"/>
    <x v="2"/>
    <n v="51019407"/>
    <n v="58.278769970767982"/>
    <s v="ORO"/>
    <n v="725"/>
    <d v="2026-02-27T15:44:28"/>
  </r>
  <r>
    <n v="6748"/>
    <x v="2"/>
    <n v="51012411"/>
    <n v="63.07991672882693"/>
    <s v="ORO"/>
    <n v="698"/>
    <d v="2026-02-27T15:44:28"/>
  </r>
  <r>
    <n v="6749"/>
    <x v="2"/>
    <n v="51020171"/>
    <n v="19.06804244614391"/>
    <s v="BRONCE"/>
    <n v="980"/>
    <d v="2026-02-27T15:44:28"/>
  </r>
  <r>
    <n v="6750"/>
    <x v="2"/>
    <n v="51029488"/>
    <n v="43.175092165975357"/>
    <s v="PLATA"/>
    <n v="768"/>
    <d v="2026-02-27T15:44:28"/>
  </r>
  <r>
    <n v="6751"/>
    <x v="2"/>
    <n v="51017633"/>
    <n v="80.779709657314697"/>
    <s v="PLATINO"/>
    <n v="464"/>
    <d v="2026-02-27T15:44:28"/>
  </r>
  <r>
    <n v="6752"/>
    <x v="2"/>
    <n v="51056663"/>
    <n v="79.960004868047832"/>
    <s v="PLATINO"/>
    <n v="496"/>
    <d v="2026-02-27T15:44:28"/>
  </r>
  <r>
    <n v="6753"/>
    <x v="2"/>
    <n v="51026063"/>
    <n v="83.177406315790876"/>
    <s v="PLATINO"/>
    <n v="365"/>
    <d v="2026-02-27T15:44:28"/>
  </r>
  <r>
    <n v="6754"/>
    <x v="2"/>
    <n v="51043995"/>
    <n v="79.627174251930782"/>
    <s v="PLATINO"/>
    <n v="503"/>
    <d v="2026-02-27T15:44:28"/>
  </r>
  <r>
    <n v="6755"/>
    <x v="2"/>
    <n v="51011074"/>
    <n v="41.205719459173842"/>
    <s v="PLATA"/>
    <n v="774"/>
    <d v="2026-02-27T15:44:28"/>
  </r>
  <r>
    <n v="6756"/>
    <x v="2"/>
    <n v="51003225"/>
    <n v="52.712087340916213"/>
    <s v="PLATA"/>
    <n v="740"/>
    <d v="2026-02-27T15:44:28"/>
  </r>
  <r>
    <n v="6757"/>
    <x v="2"/>
    <n v="51024966"/>
    <n v="79.205697013953838"/>
    <s v="PLATINO"/>
    <n v="519"/>
    <d v="2026-02-27T15:44:28"/>
  </r>
  <r>
    <n v="6758"/>
    <x v="2"/>
    <n v="51038673"/>
    <n v="19.029321365139801"/>
    <s v="BRONCE"/>
    <n v="986"/>
    <d v="2026-02-27T15:44:28"/>
  </r>
  <r>
    <n v="6759"/>
    <x v="2"/>
    <n v="51013271"/>
    <n v="68.173420285694178"/>
    <s v="ORO"/>
    <n v="642"/>
    <d v="2026-02-27T15:44:28"/>
  </r>
  <r>
    <n v="6760"/>
    <x v="2"/>
    <n v="51038894"/>
    <n v="71.048130047960186"/>
    <s v="ORO"/>
    <n v="610"/>
    <d v="2026-02-27T15:44:28"/>
  </r>
  <r>
    <n v="6761"/>
    <x v="2"/>
    <n v="51021843"/>
    <n v="61.881320923695782"/>
    <s v="ORO"/>
    <n v="709"/>
    <d v="2026-02-27T15:44:28"/>
  </r>
  <r>
    <n v="6762"/>
    <x v="2"/>
    <n v="51024109"/>
    <n v="72.222850768203884"/>
    <s v="ORO"/>
    <n v="596"/>
    <d v="2026-02-27T15:44:28"/>
  </r>
  <r>
    <n v="6763"/>
    <x v="2"/>
    <n v="51056159"/>
    <n v="79.609828346555872"/>
    <s v="PLATINO"/>
    <n v="505"/>
    <d v="2026-02-27T15:44:28"/>
  </r>
  <r>
    <n v="6764"/>
    <x v="2"/>
    <n v="51036981"/>
    <n v="80.240951037595266"/>
    <s v="PLATINO"/>
    <n v="485"/>
    <d v="2026-02-27T15:44:28"/>
  </r>
  <r>
    <n v="6765"/>
    <x v="2"/>
    <n v="51032519"/>
    <n v="81.329450654782832"/>
    <s v="PLATINO"/>
    <n v="448"/>
    <d v="2026-02-27T15:44:28"/>
  </r>
  <r>
    <n v="6766"/>
    <x v="2"/>
    <n v="51055519"/>
    <n v="30.931283493452039"/>
    <s v="PLATA"/>
    <n v="805"/>
    <d v="2026-02-27T15:44:28"/>
  </r>
  <r>
    <n v="6767"/>
    <x v="2"/>
    <n v="51032969"/>
    <n v="80.705089515960168"/>
    <s v="PLATINO"/>
    <n v="466"/>
    <d v="2026-02-27T15:44:28"/>
  </r>
  <r>
    <n v="6768"/>
    <x v="2"/>
    <n v="51017587"/>
    <n v="69.896077616303785"/>
    <s v="ORO"/>
    <n v="618"/>
    <d v="2026-02-27T15:44:28"/>
  </r>
  <r>
    <n v="6769"/>
    <x v="2"/>
    <n v="51018214"/>
    <n v="64.106291892212212"/>
    <s v="ORO"/>
    <n v="686"/>
    <d v="2026-02-27T15:44:28"/>
  </r>
  <r>
    <n v="6770"/>
    <x v="2"/>
    <n v="51016661"/>
    <n v="80.23670982143004"/>
    <s v="PLATINO"/>
    <n v="487"/>
    <d v="2026-02-27T15:44:28"/>
  </r>
  <r>
    <n v="6771"/>
    <x v="2"/>
    <n v="51002296"/>
    <n v="78.949438326365566"/>
    <s v="PLATINO"/>
    <n v="525"/>
    <d v="2026-02-27T15:44:28"/>
  </r>
  <r>
    <n v="6772"/>
    <x v="2"/>
    <n v="51016998"/>
    <n v="18.967623384284941"/>
    <s v="BRONCE"/>
    <n v="988"/>
    <d v="2026-02-27T15:44:28"/>
  </r>
  <r>
    <n v="6773"/>
    <x v="2"/>
    <n v="51005325"/>
    <n v="78.774784925846163"/>
    <s v="PLATINO"/>
    <n v="530"/>
    <d v="2026-02-27T15:44:28"/>
  </r>
  <r>
    <n v="6774"/>
    <x v="2"/>
    <n v="51011937"/>
    <n v="79.386805822890594"/>
    <s v="PLATINO"/>
    <n v="513"/>
    <d v="2026-02-27T15:44:28"/>
  </r>
  <r>
    <n v="6775"/>
    <x v="2"/>
    <n v="51033191"/>
    <n v="40.916871730609117"/>
    <s v="PLATA"/>
    <n v="776"/>
    <d v="2026-02-27T15:44:28"/>
  </r>
  <r>
    <n v="6776"/>
    <x v="2"/>
    <n v="51032560"/>
    <n v="78.710149343225595"/>
    <s v="PLATINO"/>
    <n v="533"/>
    <d v="2026-02-27T15:44:28"/>
  </r>
  <r>
    <n v="6777"/>
    <x v="2"/>
    <n v="51056302"/>
    <n v="64.228351868281436"/>
    <s v="ORO"/>
    <n v="681"/>
    <d v="2026-02-27T15:44:28"/>
  </r>
  <r>
    <n v="6778"/>
    <x v="2"/>
    <n v="51032659"/>
    <n v="79.127946490284629"/>
    <s v="PLATINO"/>
    <n v="521"/>
    <d v="2026-02-27T15:44:28"/>
  </r>
  <r>
    <n v="6779"/>
    <x v="2"/>
    <n v="51017129"/>
    <n v="81.348712881407081"/>
    <s v="PLATINO"/>
    <n v="446"/>
    <d v="2026-02-27T15:44:28"/>
  </r>
  <r>
    <n v="6780"/>
    <x v="2"/>
    <n v="51036191"/>
    <n v="79.380486765131252"/>
    <s v="PLATINO"/>
    <n v="514"/>
    <d v="2026-02-27T15:44:28"/>
  </r>
  <r>
    <n v="6781"/>
    <x v="2"/>
    <n v="51011562"/>
    <n v="80.83594443311145"/>
    <s v="PLATINO"/>
    <n v="462"/>
    <d v="2026-02-27T15:44:28"/>
  </r>
  <r>
    <n v="6782"/>
    <x v="2"/>
    <n v="51018346"/>
    <n v="79.575089376556605"/>
    <s v="PLATINO"/>
    <n v="507"/>
    <d v="2026-02-27T15:44:28"/>
  </r>
  <r>
    <n v="6783"/>
    <x v="2"/>
    <n v="51042514"/>
    <n v="79.105842432352603"/>
    <s v="PLATINO"/>
    <n v="522"/>
    <d v="2026-02-27T15:44:28"/>
  </r>
  <r>
    <n v="6784"/>
    <x v="2"/>
    <n v="51056906"/>
    <n v="67.081171196465533"/>
    <s v="ORO"/>
    <n v="650"/>
    <d v="2026-02-27T15:44:28"/>
  </r>
  <r>
    <n v="6785"/>
    <x v="2"/>
    <n v="51043375"/>
    <n v="79.371147098262725"/>
    <s v="PLATINO"/>
    <n v="515"/>
    <d v="2026-02-27T15:44:28"/>
  </r>
  <r>
    <n v="6786"/>
    <x v="2"/>
    <n v="51055691"/>
    <n v="67.590857891671845"/>
    <s v="ORO"/>
    <n v="647"/>
    <d v="2026-02-27T15:44:28"/>
  </r>
  <r>
    <n v="6787"/>
    <x v="2"/>
    <n v="51018958"/>
    <n v="79.660320563507597"/>
    <s v="PLATINO"/>
    <n v="502"/>
    <d v="2026-02-27T15:44:28"/>
  </r>
  <r>
    <n v="6788"/>
    <x v="2"/>
    <n v="51054903"/>
    <n v="76.639823899839172"/>
    <s v="PLATINO"/>
    <n v="562"/>
    <d v="2026-02-27T15:44:28"/>
  </r>
  <r>
    <n v="6789"/>
    <x v="2"/>
    <n v="51022084"/>
    <n v="80.395755841766061"/>
    <s v="PLATINO"/>
    <n v="474"/>
    <d v="2026-02-27T15:44:28"/>
  </r>
  <r>
    <n v="6790"/>
    <x v="2"/>
    <n v="51019202"/>
    <n v="61.5261769474115"/>
    <s v="ORO"/>
    <n v="714"/>
    <d v="2026-02-27T15:44:28"/>
  </r>
  <r>
    <n v="6791"/>
    <x v="2"/>
    <n v="51054920"/>
    <n v="18.854163431433211"/>
    <s v="BRONCE"/>
    <n v="990"/>
    <d v="2026-02-27T15:44:28"/>
  </r>
  <r>
    <n v="6792"/>
    <x v="2"/>
    <n v="51010663"/>
    <n v="69.482671338914827"/>
    <s v="ORO"/>
    <n v="624"/>
    <d v="2026-02-27T15:44:28"/>
  </r>
  <r>
    <n v="6793"/>
    <x v="2"/>
    <n v="51016866"/>
    <n v="18.941241574302289"/>
    <s v="BRONCE"/>
    <n v="989"/>
    <d v="2026-02-27T15:44:28"/>
  </r>
  <r>
    <n v="6794"/>
    <x v="2"/>
    <n v="51030184"/>
    <n v="40.321750218208159"/>
    <s v="PLATA"/>
    <n v="779"/>
    <d v="2026-02-27T15:44:28"/>
  </r>
  <r>
    <n v="6795"/>
    <x v="2"/>
    <n v="51015428"/>
    <n v="78.501118382170546"/>
    <s v="PLATINO"/>
    <n v="537"/>
    <d v="2026-02-27T15:44:28"/>
  </r>
  <r>
    <n v="6796"/>
    <x v="2"/>
    <n v="51036557"/>
    <n v="19.066450352969259"/>
    <s v="BRONCE"/>
    <n v="981"/>
    <d v="2026-02-27T15:44:28"/>
  </r>
  <r>
    <n v="6797"/>
    <x v="2"/>
    <n v="51056175"/>
    <n v="19.08186048334721"/>
    <s v="BRONCE"/>
    <n v="977"/>
    <d v="2026-02-27T15:44:28"/>
  </r>
  <r>
    <n v="6798"/>
    <x v="2"/>
    <n v="51039190"/>
    <n v="69.236972610051964"/>
    <s v="ORO"/>
    <n v="627"/>
    <d v="2026-02-27T15:44:28"/>
  </r>
  <r>
    <n v="6799"/>
    <x v="2"/>
    <n v="51056604"/>
    <n v="47.359313568335821"/>
    <s v="PLATA"/>
    <n v="758"/>
    <d v="2026-02-27T15:44:28"/>
  </r>
  <r>
    <n v="6800"/>
    <x v="2"/>
    <n v="51021789"/>
    <n v="63.220123843999872"/>
    <s v="ORO"/>
    <n v="695"/>
    <d v="2026-02-27T15:44:28"/>
  </r>
  <r>
    <n v="6801"/>
    <x v="2"/>
    <n v="51056795"/>
    <n v="45.159631092540451"/>
    <s v="PLATA"/>
    <n v="763"/>
    <d v="2026-02-27T15:44:28"/>
  </r>
  <r>
    <n v="6802"/>
    <x v="2"/>
    <n v="51056931"/>
    <n v="19.18919144936498"/>
    <s v="BRONCE"/>
    <n v="966"/>
    <d v="2026-02-27T15:44:28"/>
  </r>
  <r>
    <n v="6803"/>
    <x v="2"/>
    <n v="51014120"/>
    <n v="63.32850806540997"/>
    <s v="ORO"/>
    <n v="694"/>
    <d v="2026-02-27T15:44:28"/>
  </r>
  <r>
    <n v="6804"/>
    <x v="2"/>
    <n v="51036182"/>
    <n v="46.392957912127002"/>
    <s v="PLATA"/>
    <n v="759"/>
    <d v="2026-02-27T15:44:28"/>
  </r>
  <r>
    <n v="6805"/>
    <x v="2"/>
    <n v="51011465"/>
    <n v="19.233277694149649"/>
    <s v="BRONCE"/>
    <n v="964"/>
    <d v="2026-02-27T15:44:28"/>
  </r>
  <r>
    <n v="6806"/>
    <x v="2"/>
    <n v="51006151"/>
    <n v="68.48763570969362"/>
    <s v="ORO"/>
    <n v="638"/>
    <d v="2026-02-27T15:44:28"/>
  </r>
  <r>
    <n v="6807"/>
    <x v="2"/>
    <n v="51033418"/>
    <n v="31.92286205956314"/>
    <s v="PLATA"/>
    <n v="804"/>
    <d v="2026-02-27T15:44:28"/>
  </r>
  <r>
    <n v="6808"/>
    <x v="2"/>
    <n v="51007841"/>
    <n v="36.833753681999497"/>
    <s v="PLATA"/>
    <n v="786"/>
    <d v="2026-02-27T15:44:28"/>
  </r>
  <r>
    <n v="6809"/>
    <x v="2"/>
    <n v="51016602"/>
    <n v="19.195557565659179"/>
    <s v="BRONCE"/>
    <n v="965"/>
    <d v="2026-02-27T15:44:28"/>
  </r>
  <r>
    <n v="6810"/>
    <x v="2"/>
    <n v="51036077"/>
    <n v="19.183685048281699"/>
    <s v="BRONCE"/>
    <n v="967"/>
    <d v="2026-02-27T15:44:28"/>
  </r>
  <r>
    <n v="6811"/>
    <x v="2"/>
    <n v="51013662"/>
    <n v="49.547364702995488"/>
    <s v="PLATA"/>
    <n v="752"/>
    <d v="2026-02-27T15:44:28"/>
  </r>
  <r>
    <n v="6812"/>
    <x v="2"/>
    <n v="51010248"/>
    <n v="78.220731142001739"/>
    <s v="PLATINO"/>
    <n v="540"/>
    <d v="2026-02-27T15:44:28"/>
  </r>
  <r>
    <n v="6813"/>
    <x v="2"/>
    <n v="51055764"/>
    <n v="79.739586760623027"/>
    <s v="PLATINO"/>
    <n v="501"/>
    <d v="2026-02-27T15:44:28"/>
  </r>
  <r>
    <n v="6814"/>
    <x v="2"/>
    <n v="51012496"/>
    <n v="71.271996323157424"/>
    <s v="ORO"/>
    <n v="607"/>
    <d v="2026-02-27T15:44:28"/>
  </r>
  <r>
    <n v="6815"/>
    <x v="2"/>
    <n v="51016874"/>
    <n v="86.035679735295773"/>
    <s v="PLATINO"/>
    <n v="222"/>
    <d v="2026-02-27T15:44:28"/>
  </r>
  <r>
    <n v="6816"/>
    <x v="2"/>
    <n v="51011481"/>
    <n v="47.796421711478573"/>
    <s v="PLATA"/>
    <n v="755"/>
    <d v="2026-02-27T15:44:28"/>
  </r>
  <r>
    <n v="6817"/>
    <x v="2"/>
    <n v="51042654"/>
    <n v="45.067041075777297"/>
    <s v="PLATA"/>
    <n v="764"/>
    <d v="2026-02-27T15:44:28"/>
  </r>
  <r>
    <n v="6818"/>
    <x v="2"/>
    <n v="51057074"/>
    <n v="70.380347549772111"/>
    <s v="ORO"/>
    <n v="615"/>
    <d v="2026-02-27T15:44:28"/>
  </r>
  <r>
    <n v="6819"/>
    <x v="2"/>
    <n v="51042913"/>
    <n v="80.579468071766655"/>
    <s v="PLATINO"/>
    <n v="468"/>
    <d v="2026-02-27T15:44:28"/>
  </r>
  <r>
    <n v="6820"/>
    <x v="2"/>
    <n v="51025857"/>
    <n v="44.0017347371315"/>
    <s v="PLATA"/>
    <n v="766"/>
    <d v="2026-02-27T15:44:28"/>
  </r>
  <r>
    <n v="6821"/>
    <x v="2"/>
    <n v="51026071"/>
    <n v="69.006958270423766"/>
    <s v="ORO"/>
    <n v="631"/>
    <d v="2026-02-27T15:44:28"/>
  </r>
  <r>
    <n v="6822"/>
    <x v="2"/>
    <n v="51017595"/>
    <n v="63.336349354740513"/>
    <s v="ORO"/>
    <n v="693"/>
    <d v="2026-02-27T15:44:28"/>
  </r>
  <r>
    <n v="6823"/>
    <x v="2"/>
    <n v="51014707"/>
    <n v="19.474164543747051"/>
    <s v="BRONCE"/>
    <n v="937"/>
    <d v="2026-02-27T15:44:28"/>
  </r>
  <r>
    <n v="6824"/>
    <x v="2"/>
    <n v="51032390"/>
    <n v="19.431882086458259"/>
    <s v="BRONCE"/>
    <n v="946"/>
    <d v="2026-02-27T15:44:28"/>
  </r>
  <r>
    <n v="6825"/>
    <x v="2"/>
    <n v="51030249"/>
    <n v="78.711400465906408"/>
    <s v="PLATINO"/>
    <n v="532"/>
    <d v="2026-02-27T15:44:28"/>
  </r>
  <r>
    <n v="6826"/>
    <x v="2"/>
    <n v="51029518"/>
    <n v="79.280098245520165"/>
    <s v="PLATINO"/>
    <n v="518"/>
    <d v="2026-02-27T15:44:28"/>
  </r>
  <r>
    <n v="6827"/>
    <x v="2"/>
    <n v="51044011"/>
    <n v="19.44638118010036"/>
    <s v="BRONCE"/>
    <n v="944"/>
    <d v="2026-02-27T15:44:28"/>
  </r>
  <r>
    <n v="6828"/>
    <x v="2"/>
    <n v="51013956"/>
    <n v="19.476887216994609"/>
    <s v="BRONCE"/>
    <n v="936"/>
    <d v="2026-02-27T15:44:28"/>
  </r>
  <r>
    <n v="6829"/>
    <x v="2"/>
    <n v="51023846"/>
    <n v="81.252191493588185"/>
    <s v="PLATINO"/>
    <n v="450"/>
    <d v="2026-02-27T15:44:28"/>
  </r>
  <r>
    <n v="6830"/>
    <x v="2"/>
    <n v="51019563"/>
    <n v="51.993699443680228"/>
    <s v="PLATA"/>
    <n v="743"/>
    <d v="2026-02-27T15:44:28"/>
  </r>
  <r>
    <n v="6831"/>
    <x v="2"/>
    <n v="51030711"/>
    <n v="79.395155251422722"/>
    <s v="PLATINO"/>
    <n v="512"/>
    <d v="2026-02-27T15:44:28"/>
  </r>
  <r>
    <n v="6832"/>
    <x v="2"/>
    <n v="51056574"/>
    <n v="82.658632986614606"/>
    <s v="PLATINO"/>
    <n v="388"/>
    <d v="2026-02-27T15:44:28"/>
  </r>
  <r>
    <n v="6833"/>
    <x v="2"/>
    <n v="51056957"/>
    <n v="81.356811294065892"/>
    <s v="PLATINO"/>
    <n v="444"/>
    <d v="2026-02-27T15:44:28"/>
  </r>
  <r>
    <n v="6834"/>
    <x v="2"/>
    <n v="51055331"/>
    <n v="19.313715809744171"/>
    <s v="BRONCE"/>
    <n v="959"/>
    <d v="2026-02-27T15:44:28"/>
  </r>
  <r>
    <n v="6835"/>
    <x v="2"/>
    <n v="51018397"/>
    <n v="19.3147075104458"/>
    <s v="BRONCE"/>
    <n v="958"/>
    <d v="2026-02-27T15:44:28"/>
  </r>
  <r>
    <n v="6836"/>
    <x v="2"/>
    <n v="51025148"/>
    <n v="19.278966639203599"/>
    <s v="BRONCE"/>
    <n v="962"/>
    <d v="2026-02-27T15:44:28"/>
  </r>
  <r>
    <n v="6837"/>
    <x v="2"/>
    <n v="51005392"/>
    <n v="19.26943885325333"/>
    <s v="BRONCE"/>
    <n v="963"/>
    <d v="2026-02-27T15:44:28"/>
  </r>
  <r>
    <n v="6838"/>
    <x v="2"/>
    <n v="51023153"/>
    <n v="41.921786671203407"/>
    <s v="PLATA"/>
    <n v="773"/>
    <d v="2026-02-27T15:44:28"/>
  </r>
  <r>
    <n v="6839"/>
    <x v="2"/>
    <n v="51024095"/>
    <n v="73.438938972650902"/>
    <s v="ORO"/>
    <n v="584"/>
    <d v="2026-02-27T15:44:28"/>
  </r>
  <r>
    <n v="6840"/>
    <x v="2"/>
    <n v="51002024"/>
    <n v="77.837787483816868"/>
    <s v="PLATINO"/>
    <n v="547"/>
    <d v="2026-02-27T15:44:28"/>
  </r>
  <r>
    <n v="6841"/>
    <x v="2"/>
    <n v="51056311"/>
    <n v="81.522138918902499"/>
    <s v="PLATINO"/>
    <n v="438"/>
    <d v="2026-02-27T15:44:28"/>
  </r>
  <r>
    <n v="6842"/>
    <x v="2"/>
    <n v="51016467"/>
    <n v="77.850732997444879"/>
    <s v="PLATINO"/>
    <n v="546"/>
    <d v="2026-02-27T15:44:28"/>
  </r>
  <r>
    <n v="6843"/>
    <x v="2"/>
    <n v="51021614"/>
    <n v="19.280204735504611"/>
    <s v="BRONCE"/>
    <n v="961"/>
    <d v="2026-02-27T15:44:28"/>
  </r>
  <r>
    <n v="6844"/>
    <x v="2"/>
    <n v="51042506"/>
    <n v="78.810867662123954"/>
    <s v="PLATINO"/>
    <n v="529"/>
    <d v="2026-02-27T15:44:28"/>
  </r>
  <r>
    <n v="6845"/>
    <x v="2"/>
    <n v="51023412"/>
    <n v="79.33186890274628"/>
    <s v="PLATINO"/>
    <n v="516"/>
    <d v="2026-02-27T15:44:28"/>
  </r>
  <r>
    <n v="6846"/>
    <x v="2"/>
    <n v="51033116"/>
    <n v="74.114266868135218"/>
    <s v="ORO"/>
    <n v="580"/>
    <d v="2026-02-27T15:44:28"/>
  </r>
  <r>
    <n v="6847"/>
    <x v="2"/>
    <n v="51003292"/>
    <n v="68.192881888936626"/>
    <s v="ORO"/>
    <n v="641"/>
    <d v="2026-02-27T15:44:28"/>
  </r>
  <r>
    <n v="6848"/>
    <x v="2"/>
    <n v="51014251"/>
    <n v="19.381674869941769"/>
    <s v="BRONCE"/>
    <n v="955"/>
    <d v="2026-02-27T15:44:28"/>
  </r>
  <r>
    <n v="6849"/>
    <x v="2"/>
    <n v="51042999"/>
    <n v="19.426918654131018"/>
    <s v="BRONCE"/>
    <n v="948"/>
    <d v="2026-02-27T15:44:28"/>
  </r>
  <r>
    <n v="6850"/>
    <x v="2"/>
    <n v="51041712"/>
    <n v="61.85391133612535"/>
    <s v="ORO"/>
    <n v="711"/>
    <d v="2026-02-27T15:44:28"/>
  </r>
  <r>
    <n v="6851"/>
    <x v="2"/>
    <n v="51023293"/>
    <n v="19.43097485980222"/>
    <s v="BRONCE"/>
    <n v="947"/>
    <d v="2026-02-27T15:44:28"/>
  </r>
  <r>
    <n v="6852"/>
    <x v="2"/>
    <n v="51033507"/>
    <n v="19.521020472901419"/>
    <s v="BRONCE"/>
    <n v="935"/>
    <d v="2026-02-27T15:44:28"/>
  </r>
  <r>
    <n v="6853"/>
    <x v="2"/>
    <n v="51013875"/>
    <n v="79.420210022655908"/>
    <s v="PLATINO"/>
    <n v="511"/>
    <d v="2026-02-27T15:44:28"/>
  </r>
  <r>
    <n v="6854"/>
    <x v="2"/>
    <n v="51013395"/>
    <n v="19.456956795682579"/>
    <s v="BRONCE"/>
    <n v="940"/>
    <d v="2026-02-27T15:44:28"/>
  </r>
  <r>
    <n v="6855"/>
    <x v="2"/>
    <n v="51056108"/>
    <n v="72.883077124799399"/>
    <s v="ORO"/>
    <n v="587"/>
    <d v="2026-02-27T15:44:28"/>
  </r>
  <r>
    <n v="6856"/>
    <x v="2"/>
    <n v="51055837"/>
    <n v="19.68804317380204"/>
    <s v="BRONCE"/>
    <n v="919"/>
    <d v="2026-02-27T15:44:28"/>
  </r>
  <r>
    <n v="6857"/>
    <x v="2"/>
    <n v="51056248"/>
    <n v="19.715704319592689"/>
    <s v="BRONCE"/>
    <n v="914"/>
    <d v="2026-02-27T15:44:28"/>
  </r>
  <r>
    <n v="6858"/>
    <x v="2"/>
    <n v="51025245"/>
    <n v="78.897051228936348"/>
    <s v="PLATINO"/>
    <n v="526"/>
    <d v="2026-02-27T15:44:28"/>
  </r>
  <r>
    <n v="6859"/>
    <x v="2"/>
    <n v="51016360"/>
    <n v="78.252676186529811"/>
    <s v="PLATINO"/>
    <n v="539"/>
    <d v="2026-02-27T15:44:28"/>
  </r>
  <r>
    <n v="6860"/>
    <x v="2"/>
    <n v="51040881"/>
    <n v="19.45413805898238"/>
    <s v="BRONCE"/>
    <n v="941"/>
    <d v="2026-02-27T15:44:28"/>
  </r>
  <r>
    <n v="6861"/>
    <x v="2"/>
    <n v="51031776"/>
    <n v="82.154847076419983"/>
    <s v="PLATINO"/>
    <n v="409"/>
    <d v="2026-02-27T15:44:28"/>
  </r>
  <r>
    <n v="6862"/>
    <x v="2"/>
    <n v="51013166"/>
    <n v="62.635318243729877"/>
    <s v="ORO"/>
    <n v="704"/>
    <d v="2026-02-27T15:44:28"/>
  </r>
  <r>
    <n v="6863"/>
    <x v="2"/>
    <n v="51032918"/>
    <n v="19.56864609290276"/>
    <s v="BRONCE"/>
    <n v="931"/>
    <d v="2026-02-27T15:44:28"/>
  </r>
  <r>
    <n v="6864"/>
    <x v="2"/>
    <n v="51025717"/>
    <n v="19.540819189921731"/>
    <s v="BRONCE"/>
    <n v="933"/>
    <d v="2026-02-27T15:44:28"/>
  </r>
  <r>
    <n v="6865"/>
    <x v="2"/>
    <n v="51033001"/>
    <n v="77.745416496134027"/>
    <s v="PLATINO"/>
    <n v="549"/>
    <d v="2026-02-27T15:44:28"/>
  </r>
  <r>
    <n v="6866"/>
    <x v="2"/>
    <n v="51012674"/>
    <n v="80.599784461653925"/>
    <s v="PLATINO"/>
    <n v="467"/>
    <d v="2026-02-27T15:44:28"/>
  </r>
  <r>
    <n v="6867"/>
    <x v="2"/>
    <n v="51007743"/>
    <n v="79.994396812007295"/>
    <s v="PLATINO"/>
    <n v="492"/>
    <d v="2026-02-27T15:44:28"/>
  </r>
  <r>
    <n v="6868"/>
    <x v="2"/>
    <n v="51032705"/>
    <n v="19.419390660701399"/>
    <s v="BRONCE"/>
    <n v="951"/>
    <d v="2026-02-27T15:44:28"/>
  </r>
  <r>
    <n v="6869"/>
    <x v="2"/>
    <n v="51041887"/>
    <n v="66.511231373029432"/>
    <s v="ORO"/>
    <n v="658"/>
    <d v="2026-02-27T15:44:28"/>
  </r>
  <r>
    <n v="6870"/>
    <x v="2"/>
    <n v="51030826"/>
    <n v="79.442972567943514"/>
    <s v="PLATINO"/>
    <n v="510"/>
    <d v="2026-02-27T15:44:28"/>
  </r>
  <r>
    <n v="6871"/>
    <x v="2"/>
    <n v="51011007"/>
    <n v="57.817292564456437"/>
    <s v="ORO"/>
    <n v="726"/>
    <d v="2026-02-27T15:44:28"/>
  </r>
  <r>
    <n v="6872"/>
    <x v="2"/>
    <n v="51007514"/>
    <n v="19.77475350228374"/>
    <s v="BRONCE"/>
    <n v="910"/>
    <d v="2026-02-27T15:44:28"/>
  </r>
  <r>
    <n v="6873"/>
    <x v="2"/>
    <n v="51024281"/>
    <n v="19.7841327828685"/>
    <s v="BRONCE"/>
    <n v="907"/>
    <d v="2026-02-27T15:44:28"/>
  </r>
  <r>
    <n v="6874"/>
    <x v="2"/>
    <n v="51020961"/>
    <n v="69.805279577479297"/>
    <s v="ORO"/>
    <n v="621"/>
    <d v="2026-02-27T15:44:28"/>
  </r>
  <r>
    <n v="6875"/>
    <x v="2"/>
    <n v="51022718"/>
    <n v="78.97439368999818"/>
    <s v="PLATINO"/>
    <n v="524"/>
    <d v="2026-02-27T15:44:28"/>
  </r>
  <r>
    <n v="6876"/>
    <x v="2"/>
    <n v="51039815"/>
    <n v="19.901920057097751"/>
    <s v="BRONCE"/>
    <n v="878"/>
    <d v="2026-02-27T15:44:28"/>
  </r>
  <r>
    <n v="6877"/>
    <x v="2"/>
    <n v="51023277"/>
    <n v="19.98474589210559"/>
    <s v="BRONCE"/>
    <n v="858"/>
    <d v="2026-02-27T15:44:28"/>
  </r>
  <r>
    <n v="6878"/>
    <x v="2"/>
    <n v="51056353"/>
    <n v="81.338000000000008"/>
    <s v="PLATINO"/>
    <n v="447"/>
    <d v="2026-02-27T15:44:28"/>
  </r>
  <r>
    <n v="6879"/>
    <x v="2"/>
    <n v="51001419"/>
    <n v="78.616532490190636"/>
    <s v="PLATINO"/>
    <n v="535"/>
    <d v="2026-02-27T15:44:28"/>
  </r>
  <r>
    <n v="6880"/>
    <x v="2"/>
    <n v="51018001"/>
    <n v="19.665502728249489"/>
    <s v="BRONCE"/>
    <n v="921"/>
    <d v="2026-02-27T15:44:28"/>
  </r>
  <r>
    <n v="6881"/>
    <x v="2"/>
    <n v="51020707"/>
    <n v="69.044634481439985"/>
    <s v="ORO"/>
    <n v="629"/>
    <d v="2026-02-27T15:44:28"/>
  </r>
  <r>
    <n v="6882"/>
    <x v="2"/>
    <n v="51018923"/>
    <n v="79.059339644144757"/>
    <s v="PLATINO"/>
    <n v="523"/>
    <d v="2026-02-27T15:44:28"/>
  </r>
  <r>
    <n v="6883"/>
    <x v="2"/>
    <n v="51012721"/>
    <n v="19.643456491775371"/>
    <s v="BRONCE"/>
    <n v="924"/>
    <d v="2026-02-27T15:44:28"/>
  </r>
  <r>
    <n v="6884"/>
    <x v="2"/>
    <n v="51020634"/>
    <n v="19.716580780357841"/>
    <s v="BRONCE"/>
    <n v="913"/>
    <d v="2026-02-27T15:44:28"/>
  </r>
  <r>
    <n v="6885"/>
    <x v="2"/>
    <n v="51056507"/>
    <n v="77.7098047071172"/>
    <s v="PLATINO"/>
    <n v="550"/>
    <d v="2026-02-27T15:44:28"/>
  </r>
  <r>
    <n v="6886"/>
    <x v="2"/>
    <n v="51002105"/>
    <n v="61.520606224038787"/>
    <s v="ORO"/>
    <n v="715"/>
    <d v="2026-02-27T15:44:28"/>
  </r>
  <r>
    <n v="6887"/>
    <x v="2"/>
    <n v="51055136"/>
    <n v="79.305703812343324"/>
    <s v="PLATINO"/>
    <n v="517"/>
    <d v="2026-02-27T15:44:28"/>
  </r>
  <r>
    <n v="6888"/>
    <x v="2"/>
    <n v="51008685"/>
    <n v="78.884930694234654"/>
    <s v="PLATINO"/>
    <n v="527"/>
    <d v="2026-02-27T15:44:28"/>
  </r>
  <r>
    <n v="6889"/>
    <x v="2"/>
    <n v="51055306"/>
    <n v="19.714586582897152"/>
    <s v="BRONCE"/>
    <n v="915"/>
    <d v="2026-02-27T15:44:28"/>
  </r>
  <r>
    <n v="6890"/>
    <x v="2"/>
    <n v="51024036"/>
    <n v="78.829074505673645"/>
    <s v="PLATINO"/>
    <n v="528"/>
    <d v="2026-02-27T15:44:28"/>
  </r>
  <r>
    <n v="6891"/>
    <x v="2"/>
    <n v="51011597"/>
    <n v="77.522201770094881"/>
    <s v="PLATINO"/>
    <n v="555"/>
    <d v="2026-02-27T15:44:28"/>
  </r>
  <r>
    <n v="6892"/>
    <x v="2"/>
    <n v="51043260"/>
    <n v="78.278888492153342"/>
    <s v="PLATINO"/>
    <n v="538"/>
    <d v="2026-02-27T15:44:28"/>
  </r>
  <r>
    <n v="6893"/>
    <x v="2"/>
    <n v="51004035"/>
    <n v="59.220392727510337"/>
    <s v="ORO"/>
    <n v="721"/>
    <d v="2026-02-27T15:44:28"/>
  </r>
  <r>
    <n v="6894"/>
    <x v="2"/>
    <n v="51043537"/>
    <n v="26.731923919801648"/>
    <s v="BRONCE"/>
    <n v="817"/>
    <d v="2026-02-27T15:44:28"/>
  </r>
  <r>
    <n v="6895"/>
    <x v="2"/>
    <n v="51056752"/>
    <n v="79.578630090518885"/>
    <s v="PLATINO"/>
    <n v="506"/>
    <d v="2026-02-27T15:44:28"/>
  </r>
  <r>
    <n v="6896"/>
    <x v="2"/>
    <n v="51031857"/>
    <n v="19.980624541820841"/>
    <s v="BRONCE"/>
    <n v="859"/>
    <d v="2026-02-27T15:44:28"/>
  </r>
  <r>
    <n v="6897"/>
    <x v="2"/>
    <n v="51014138"/>
    <n v="28.301216719665831"/>
    <s v="BRONCE"/>
    <n v="810"/>
    <d v="2026-02-27T15:44:28"/>
  </r>
  <r>
    <n v="6898"/>
    <x v="2"/>
    <n v="51055578"/>
    <n v="53.685088453343141"/>
    <s v="PLATA"/>
    <n v="738"/>
    <d v="2026-02-27T15:44:28"/>
  </r>
  <r>
    <n v="6899"/>
    <x v="2"/>
    <n v="51024028"/>
    <n v="19.94637164571246"/>
    <s v="BRONCE"/>
    <n v="870"/>
    <d v="2026-02-27T15:44:28"/>
  </r>
  <r>
    <n v="6900"/>
    <x v="2"/>
    <n v="51057031"/>
    <n v="54.914549667865828"/>
    <s v="PLATA"/>
    <n v="735"/>
    <d v="2026-02-27T15:44:28"/>
  </r>
  <r>
    <n v="6901"/>
    <x v="2"/>
    <n v="51011929"/>
    <n v="19.998000000000001"/>
    <s v="BRONCE"/>
    <n v="845"/>
    <d v="2026-02-27T15:44:28"/>
  </r>
  <r>
    <n v="6902"/>
    <x v="2"/>
    <n v="51017773"/>
    <n v="66.72155261036653"/>
    <s v="ORO"/>
    <n v="656"/>
    <d v="2026-02-27T15:44:28"/>
  </r>
  <r>
    <n v="6903"/>
    <x v="2"/>
    <n v="51003063"/>
    <n v="46.171212401736497"/>
    <s v="PLATA"/>
    <n v="761"/>
    <d v="2026-02-27T15:44:28"/>
  </r>
  <r>
    <n v="6904"/>
    <x v="2"/>
    <n v="51022572"/>
    <n v="20"/>
    <s v="BRONCE"/>
    <n v="821"/>
    <d v="2026-02-27T15:44:28"/>
  </r>
  <r>
    <n v="6905"/>
    <x v="2"/>
    <n v="51022343"/>
    <n v="20"/>
    <s v="BRONCE"/>
    <n v="821"/>
    <d v="2026-02-27T15:44:28"/>
  </r>
  <r>
    <n v="6906"/>
    <x v="2"/>
    <n v="51015835"/>
    <n v="79.558000000000007"/>
    <s v="PLATINO"/>
    <n v="508"/>
    <d v="2026-02-27T15:44:28"/>
  </r>
  <r>
    <n v="6907"/>
    <x v="2"/>
    <n v="51056329"/>
    <n v="19.956"/>
    <s v="BRONCE"/>
    <n v="868"/>
    <d v="2026-02-27T15:44:28"/>
  </r>
  <r>
    <n v="6908"/>
    <x v="2"/>
    <n v="51030915"/>
    <n v="19.925000000000001"/>
    <s v="BRONCE"/>
    <n v="872"/>
    <d v="2026-02-27T15:44:28"/>
  </r>
  <r>
    <n v="6909"/>
    <x v="2"/>
    <n v="51017871"/>
    <n v="19.835000000000001"/>
    <s v="BRONCE"/>
    <n v="893"/>
    <d v="2026-02-27T15:44:28"/>
  </r>
  <r>
    <n v="6910"/>
    <x v="2"/>
    <n v="51017218"/>
    <n v="78.64"/>
    <s v="PLATINO"/>
    <n v="534"/>
    <d v="2026-02-27T15:44:28"/>
  </r>
  <r>
    <n v="6911"/>
    <x v="2"/>
    <n v="51039025"/>
    <n v="20"/>
    <s v="BRONCE"/>
    <n v="821"/>
    <d v="2026-02-27T15:44:28"/>
  </r>
  <r>
    <n v="6912"/>
    <x v="2"/>
    <n v="51026497"/>
    <n v="52.227286101710938"/>
    <s v="PLATA"/>
    <n v="742"/>
    <d v="2026-02-27T15:44:28"/>
  </r>
  <r>
    <n v="6913"/>
    <x v="2"/>
    <n v="51043693"/>
    <n v="56.838760982652502"/>
    <s v="ORO"/>
    <n v="729"/>
    <d v="2026-02-27T15:44:28"/>
  </r>
  <r>
    <n v="6914"/>
    <x v="2"/>
    <n v="51001532"/>
    <n v="20"/>
    <s v="BRONCE"/>
    <n v="821"/>
    <d v="2026-02-27T15:44:28"/>
  </r>
  <r>
    <n v="6915"/>
    <x v="2"/>
    <n v="51002709"/>
    <n v="50.340291214657263"/>
    <s v="PLATA"/>
    <n v="749"/>
    <d v="2026-02-27T15:44:28"/>
  </r>
  <r>
    <n v="6916"/>
    <x v="2"/>
    <n v="51015151"/>
    <n v="32.700000000000003"/>
    <s v="PLATA"/>
    <n v="800"/>
    <d v="2026-02-27T15:44:28"/>
  </r>
  <r>
    <n v="6917"/>
    <x v="2"/>
    <n v="51009941"/>
    <n v="72.158381379133743"/>
    <s v="ORO"/>
    <n v="597"/>
    <d v="2026-02-27T15:44:28"/>
  </r>
  <r>
    <n v="6918"/>
    <x v="2"/>
    <n v="51024818"/>
    <n v="19.998000000000001"/>
    <s v="BRONCE"/>
    <n v="845"/>
    <d v="2026-02-27T15:44:28"/>
  </r>
  <r>
    <n v="6919"/>
    <x v="2"/>
    <n v="51010523"/>
    <n v="19.998000000000001"/>
    <s v="BRONCE"/>
    <n v="845"/>
    <d v="2026-02-27T15:44:28"/>
  </r>
  <r>
    <n v="6920"/>
    <x v="2"/>
    <n v="51000552"/>
    <n v="19.93"/>
    <s v="BRONCE"/>
    <n v="871"/>
    <d v="2026-02-27T15:44:28"/>
  </r>
  <r>
    <n v="6921"/>
    <x v="2"/>
    <n v="51052331"/>
    <n v="77.704999999999998"/>
    <s v="PLATINO"/>
    <n v="551"/>
    <d v="2026-02-27T15:44:28"/>
  </r>
  <r>
    <n v="6922"/>
    <x v="2"/>
    <n v="51024460"/>
    <n v="19.867536456342251"/>
    <s v="BRONCE"/>
    <n v="886"/>
    <d v="2026-02-27T15:44:28"/>
  </r>
  <r>
    <n v="6923"/>
    <x v="2"/>
    <n v="51024885"/>
    <n v="20"/>
    <s v="BRONCE"/>
    <n v="821"/>
    <d v="2026-02-27T15:44:28"/>
  </r>
  <r>
    <n v="6924"/>
    <x v="2"/>
    <n v="51005554"/>
    <n v="78.02000000000001"/>
    <s v="PLATINO"/>
    <n v="542"/>
    <d v="2026-02-27T15:44:28"/>
  </r>
  <r>
    <n v="6925"/>
    <x v="2"/>
    <n v="51024478"/>
    <n v="19.97"/>
    <s v="BRONCE"/>
    <n v="862"/>
    <d v="2026-02-27T15:44:28"/>
  </r>
  <r>
    <n v="6926"/>
    <x v="2"/>
    <n v="51012691"/>
    <n v="20"/>
    <s v="BRONCE"/>
    <n v="821"/>
    <d v="2026-02-27T15:44:28"/>
  </r>
  <r>
    <n v="6927"/>
    <x v="2"/>
    <n v="51015681"/>
    <n v="19.917999999999999"/>
    <s v="BRONCE"/>
    <n v="874"/>
    <d v="2026-02-27T15:44:28"/>
  </r>
  <r>
    <n v="6928"/>
    <x v="2"/>
    <n v="51019008"/>
    <n v="77.358000000000004"/>
    <s v="PLATINO"/>
    <n v="558"/>
    <d v="2026-02-27T15:44:28"/>
  </r>
  <r>
    <n v="6929"/>
    <x v="2"/>
    <n v="51015762"/>
    <n v="20"/>
    <s v="BRONCE"/>
    <n v="821"/>
    <d v="2026-02-27T15:44:28"/>
  </r>
  <r>
    <n v="6930"/>
    <x v="2"/>
    <n v="51017714"/>
    <n v="42.482954977640162"/>
    <s v="PLATA"/>
    <n v="770"/>
    <d v="2026-02-27T15:44:28"/>
  </r>
  <r>
    <n v="6931"/>
    <x v="2"/>
    <n v="51031997"/>
    <n v="19.995999999999999"/>
    <s v="BRONCE"/>
    <n v="853"/>
    <d v="2026-02-27T15:44:28"/>
  </r>
  <r>
    <n v="6932"/>
    <x v="2"/>
    <n v="51039181"/>
    <n v="78.099999999999994"/>
    <s v="PLATINO"/>
    <n v="541"/>
    <d v="2026-02-27T15:44:28"/>
  </r>
  <r>
    <n v="6933"/>
    <x v="2"/>
    <n v="51057121"/>
    <n v="77.578000000000003"/>
    <s v="PLATINO"/>
    <n v="553"/>
    <d v="2026-02-27T15:44:28"/>
  </r>
  <r>
    <n v="6934"/>
    <x v="2"/>
    <n v="51018290"/>
    <n v="77.92"/>
    <s v="PLATINO"/>
    <n v="544"/>
    <d v="2026-02-27T15:44:28"/>
  </r>
  <r>
    <n v="6935"/>
    <x v="2"/>
    <n v="51043561"/>
    <n v="19.998000000000001"/>
    <s v="BRONCE"/>
    <n v="845"/>
    <d v="2026-02-27T15:44:28"/>
  </r>
  <r>
    <n v="6936"/>
    <x v="2"/>
    <n v="51036964"/>
    <n v="69.009507413979605"/>
    <s v="ORO"/>
    <n v="630"/>
    <d v="2026-02-27T15:44:28"/>
  </r>
  <r>
    <n v="6937"/>
    <x v="2"/>
    <n v="51030290"/>
    <n v="77.539999999999992"/>
    <s v="PLATINO"/>
    <n v="554"/>
    <d v="2026-02-27T15:44:28"/>
  </r>
  <r>
    <n v="6938"/>
    <x v="2"/>
    <n v="51023331"/>
    <n v="19.998000000000001"/>
    <s v="BRONCE"/>
    <n v="845"/>
    <d v="2026-02-27T15:44:28"/>
  </r>
  <r>
    <n v="6939"/>
    <x v="2"/>
    <n v="51024010"/>
    <n v="20"/>
    <s v="BRONCE"/>
    <n v="821"/>
    <d v="2026-02-27T15:44:28"/>
  </r>
  <r>
    <n v="6940"/>
    <x v="2"/>
    <n v="51024664"/>
    <n v="71.530314253726658"/>
    <s v="ORO"/>
    <n v="604"/>
    <d v="2026-02-27T15:44:28"/>
  </r>
  <r>
    <n v="6941"/>
    <x v="2"/>
    <n v="51009185"/>
    <n v="20"/>
    <s v="BRONCE"/>
    <n v="821"/>
    <d v="2026-02-27T15:44:28"/>
  </r>
  <r>
    <n v="6942"/>
    <x v="2"/>
    <n v="51039424"/>
    <n v="19.97"/>
    <s v="BRONCE"/>
    <n v="862"/>
    <d v="2026-02-27T15:44:28"/>
  </r>
  <r>
    <n v="6943"/>
    <x v="2"/>
    <n v="51038941"/>
    <n v="19.988"/>
    <s v="BRONCE"/>
    <n v="856"/>
    <d v="2026-02-27T15:44:28"/>
  </r>
  <r>
    <n v="6944"/>
    <x v="2"/>
    <n v="51015126"/>
    <n v="19.998000000000001"/>
    <s v="BRONCE"/>
    <n v="845"/>
    <d v="2026-02-27T15:44:28"/>
  </r>
  <r>
    <n v="6945"/>
    <x v="2"/>
    <n v="51017234"/>
    <n v="20"/>
    <s v="BRONCE"/>
    <n v="821"/>
    <d v="2026-02-27T15:44:28"/>
  </r>
  <r>
    <n v="6946"/>
    <x v="2"/>
    <n v="51012852"/>
    <n v="20"/>
    <s v="BRONCE"/>
    <n v="821"/>
    <d v="2026-02-27T15:44:28"/>
  </r>
  <r>
    <n v="6947"/>
    <x v="2"/>
    <n v="51010396"/>
    <n v="20"/>
    <s v="BRONCE"/>
    <n v="821"/>
    <d v="2026-02-27T15:44:28"/>
  </r>
  <r>
    <n v="6948"/>
    <x v="2"/>
    <n v="51022629"/>
    <n v="59.490984410301017"/>
    <s v="ORO"/>
    <n v="720"/>
    <d v="2026-02-27T15:44:28"/>
  </r>
  <r>
    <n v="6949"/>
    <x v="2"/>
    <n v="51021274"/>
    <n v="19.966000000000001"/>
    <s v="BRONCE"/>
    <n v="866"/>
    <d v="2026-02-27T15:44:28"/>
  </r>
  <r>
    <n v="6950"/>
    <x v="2"/>
    <n v="51021819"/>
    <n v="20"/>
    <s v="BRONCE"/>
    <n v="821"/>
    <d v="2026-02-27T15:44:28"/>
  </r>
  <r>
    <n v="6951"/>
    <x v="2"/>
    <n v="51011171"/>
    <n v="19.998000000000001"/>
    <s v="BRONCE"/>
    <n v="845"/>
    <d v="2026-02-27T15:44:28"/>
  </r>
  <r>
    <n v="6952"/>
    <x v="2"/>
    <n v="51012470"/>
    <n v="61.418000000000013"/>
    <s v="ORO"/>
    <n v="716"/>
    <d v="2026-02-27T15:44:28"/>
  </r>
  <r>
    <n v="6953"/>
    <x v="2"/>
    <n v="51032713"/>
    <n v="19.998000000000001"/>
    <s v="BRONCE"/>
    <n v="845"/>
    <d v="2026-02-27T15:44:28"/>
  </r>
  <r>
    <n v="6954"/>
    <x v="2"/>
    <n v="51010744"/>
    <n v="19.041362925226458"/>
    <s v="BRONCE"/>
    <n v="985"/>
    <d v="2026-02-27T15:44:28"/>
  </r>
  <r>
    <n v="6955"/>
    <x v="2"/>
    <n v="51057546"/>
    <n v="26.36"/>
    <s v="BRONCE"/>
    <n v="820"/>
    <d v="2026-02-27T15:44:28"/>
  </r>
  <r>
    <n v="6956"/>
    <x v="2"/>
    <n v="51023889"/>
    <n v="9.990000000000002"/>
    <s v="BRONCE"/>
    <n v="1170"/>
    <d v="2026-02-27T15:44:28"/>
  </r>
  <r>
    <n v="6957"/>
    <x v="2"/>
    <n v="51031041"/>
    <n v="9.93"/>
    <s v="BRONCE"/>
    <n v="1185"/>
    <d v="2026-02-27T15:44:28"/>
  </r>
  <r>
    <n v="6958"/>
    <x v="2"/>
    <n v="51022262"/>
    <n v="9.9939999999999998"/>
    <s v="BRONCE"/>
    <n v="1169"/>
    <d v="2026-02-27T15:44:28"/>
  </r>
  <r>
    <n v="6959"/>
    <x v="2"/>
    <n v="51017731"/>
    <n v="9.9810000000000016"/>
    <s v="BRONCE"/>
    <n v="1180"/>
    <d v="2026-02-27T15:44:28"/>
  </r>
  <r>
    <n v="6960"/>
    <x v="2"/>
    <n v="51000269"/>
    <n v="10"/>
    <s v="BRONCE"/>
    <n v="991"/>
    <d v="2026-02-27T15:44:28"/>
  </r>
  <r>
    <n v="6961"/>
    <x v="2"/>
    <n v="51000862"/>
    <n v="10"/>
    <s v="BRONCE"/>
    <n v="991"/>
    <d v="2026-02-27T15:44:28"/>
  </r>
  <r>
    <n v="6962"/>
    <x v="2"/>
    <n v="51001494"/>
    <n v="10"/>
    <s v="BRONCE"/>
    <n v="991"/>
    <d v="2026-02-27T15:44:28"/>
  </r>
  <r>
    <n v="6963"/>
    <x v="2"/>
    <n v="51001745"/>
    <n v="10"/>
    <s v="BRONCE"/>
    <n v="991"/>
    <d v="2026-02-27T15:44:28"/>
  </r>
  <r>
    <n v="6964"/>
    <x v="2"/>
    <n v="51001923"/>
    <n v="10"/>
    <s v="BRONCE"/>
    <n v="991"/>
    <d v="2026-02-27T15:44:28"/>
  </r>
  <r>
    <n v="6965"/>
    <x v="2"/>
    <n v="51003721"/>
    <n v="10"/>
    <s v="BRONCE"/>
    <n v="991"/>
    <d v="2026-02-27T15:44:28"/>
  </r>
  <r>
    <n v="6966"/>
    <x v="2"/>
    <n v="51004167"/>
    <n v="10"/>
    <s v="BRONCE"/>
    <n v="991"/>
    <d v="2026-02-27T15:44:28"/>
  </r>
  <r>
    <n v="6967"/>
    <x v="2"/>
    <n v="51004671"/>
    <n v="10"/>
    <s v="BRONCE"/>
    <n v="991"/>
    <d v="2026-02-27T15:44:28"/>
  </r>
  <r>
    <n v="6968"/>
    <x v="2"/>
    <n v="51005058"/>
    <n v="10"/>
    <s v="BRONCE"/>
    <n v="991"/>
    <d v="2026-02-27T15:44:28"/>
  </r>
  <r>
    <n v="6969"/>
    <x v="2"/>
    <n v="51005201"/>
    <n v="10"/>
    <s v="BRONCE"/>
    <n v="991"/>
    <d v="2026-02-27T15:44:28"/>
  </r>
  <r>
    <n v="6970"/>
    <x v="2"/>
    <n v="51005384"/>
    <n v="10"/>
    <s v="BRONCE"/>
    <n v="991"/>
    <d v="2026-02-27T15:44:28"/>
  </r>
  <r>
    <n v="6971"/>
    <x v="2"/>
    <n v="51005902"/>
    <n v="10"/>
    <s v="BRONCE"/>
    <n v="991"/>
    <d v="2026-02-27T15:44:28"/>
  </r>
  <r>
    <n v="6972"/>
    <x v="2"/>
    <n v="51006445"/>
    <n v="9.76"/>
    <s v="BRONCE"/>
    <n v="1189"/>
    <d v="2026-02-27T15:44:28"/>
  </r>
  <r>
    <n v="6973"/>
    <x v="2"/>
    <n v="51006453"/>
    <n v="10"/>
    <s v="BRONCE"/>
    <n v="991"/>
    <d v="2026-02-27T15:44:28"/>
  </r>
  <r>
    <n v="6974"/>
    <x v="2"/>
    <n v="51006518"/>
    <n v="10"/>
    <s v="BRONCE"/>
    <n v="991"/>
    <d v="2026-02-27T15:44:28"/>
  </r>
  <r>
    <n v="6975"/>
    <x v="2"/>
    <n v="51006674"/>
    <n v="10"/>
    <s v="BRONCE"/>
    <n v="991"/>
    <d v="2026-02-27T15:44:28"/>
  </r>
  <r>
    <n v="6976"/>
    <x v="2"/>
    <n v="51010094"/>
    <n v="10"/>
    <s v="BRONCE"/>
    <n v="991"/>
    <d v="2026-02-27T15:44:28"/>
  </r>
  <r>
    <n v="6977"/>
    <x v="2"/>
    <n v="51010108"/>
    <n v="10"/>
    <s v="BRONCE"/>
    <n v="991"/>
    <d v="2026-02-27T15:44:28"/>
  </r>
  <r>
    <n v="6978"/>
    <x v="2"/>
    <n v="51010167"/>
    <n v="10"/>
    <s v="BRONCE"/>
    <n v="991"/>
    <d v="2026-02-27T15:44:28"/>
  </r>
  <r>
    <n v="6979"/>
    <x v="2"/>
    <n v="51010388"/>
    <n v="10"/>
    <s v="BRONCE"/>
    <n v="991"/>
    <d v="2026-02-27T15:44:28"/>
  </r>
  <r>
    <n v="6980"/>
    <x v="2"/>
    <n v="51010477"/>
    <n v="10"/>
    <s v="BRONCE"/>
    <n v="991"/>
    <d v="2026-02-27T15:44:28"/>
  </r>
  <r>
    <n v="6981"/>
    <x v="2"/>
    <n v="51010485"/>
    <n v="10"/>
    <s v="BRONCE"/>
    <n v="991"/>
    <d v="2026-02-27T15:44:28"/>
  </r>
  <r>
    <n v="6982"/>
    <x v="2"/>
    <n v="51010612"/>
    <n v="10"/>
    <s v="BRONCE"/>
    <n v="991"/>
    <d v="2026-02-27T15:44:28"/>
  </r>
  <r>
    <n v="6983"/>
    <x v="2"/>
    <n v="51010639"/>
    <n v="10"/>
    <s v="BRONCE"/>
    <n v="991"/>
    <d v="2026-02-27T15:44:28"/>
  </r>
  <r>
    <n v="6984"/>
    <x v="2"/>
    <n v="51010965"/>
    <n v="10"/>
    <s v="BRONCE"/>
    <n v="991"/>
    <d v="2026-02-27T15:44:28"/>
  </r>
  <r>
    <n v="6985"/>
    <x v="2"/>
    <n v="51011082"/>
    <n v="9.9230000000000018"/>
    <s v="BRONCE"/>
    <n v="1187"/>
    <d v="2026-02-27T15:44:28"/>
  </r>
  <r>
    <n v="6986"/>
    <x v="2"/>
    <n v="51011104"/>
    <n v="10"/>
    <s v="BRONCE"/>
    <n v="991"/>
    <d v="2026-02-27T15:44:28"/>
  </r>
  <r>
    <n v="6987"/>
    <x v="2"/>
    <n v="51011163"/>
    <n v="10"/>
    <s v="BRONCE"/>
    <n v="991"/>
    <d v="2026-02-27T15:44:28"/>
  </r>
  <r>
    <n v="6988"/>
    <x v="2"/>
    <n v="51011406"/>
    <n v="10"/>
    <s v="BRONCE"/>
    <n v="991"/>
    <d v="2026-02-27T15:44:28"/>
  </r>
  <r>
    <n v="6989"/>
    <x v="2"/>
    <n v="51011503"/>
    <n v="9.9849999999999994"/>
    <s v="BRONCE"/>
    <n v="1171"/>
    <d v="2026-02-27T15:44:28"/>
  </r>
  <r>
    <n v="6990"/>
    <x v="2"/>
    <n v="51011511"/>
    <n v="10"/>
    <s v="BRONCE"/>
    <n v="991"/>
    <d v="2026-02-27T15:44:28"/>
  </r>
  <r>
    <n v="6991"/>
    <x v="2"/>
    <n v="51011881"/>
    <n v="10"/>
    <s v="BRONCE"/>
    <n v="991"/>
    <d v="2026-02-27T15:44:28"/>
  </r>
  <r>
    <n v="6992"/>
    <x v="2"/>
    <n v="51011911"/>
    <n v="6.7549999999999999"/>
    <s v="BRONCE"/>
    <n v="1191"/>
    <d v="2026-02-27T15:44:28"/>
  </r>
  <r>
    <n v="6993"/>
    <x v="2"/>
    <n v="51011945"/>
    <n v="10"/>
    <s v="BRONCE"/>
    <n v="991"/>
    <d v="2026-02-27T15:44:28"/>
  </r>
  <r>
    <n v="6994"/>
    <x v="2"/>
    <n v="51012089"/>
    <n v="10"/>
    <s v="BRONCE"/>
    <n v="991"/>
    <d v="2026-02-27T15:44:28"/>
  </r>
  <r>
    <n v="6995"/>
    <x v="2"/>
    <n v="51012283"/>
    <n v="9.9280000000000008"/>
    <s v="BRONCE"/>
    <n v="1186"/>
    <d v="2026-02-27T15:44:28"/>
  </r>
  <r>
    <n v="6996"/>
    <x v="2"/>
    <n v="51012429"/>
    <n v="10"/>
    <s v="BRONCE"/>
    <n v="991"/>
    <d v="2026-02-27T15:44:28"/>
  </r>
  <r>
    <n v="6997"/>
    <x v="2"/>
    <n v="51012569"/>
    <n v="10"/>
    <s v="BRONCE"/>
    <n v="991"/>
    <d v="2026-02-27T15:44:28"/>
  </r>
  <r>
    <n v="6998"/>
    <x v="2"/>
    <n v="51012631"/>
    <n v="10"/>
    <s v="BRONCE"/>
    <n v="991"/>
    <d v="2026-02-27T15:44:28"/>
  </r>
  <r>
    <n v="6999"/>
    <x v="2"/>
    <n v="51012844"/>
    <n v="10"/>
    <s v="BRONCE"/>
    <n v="991"/>
    <d v="2026-02-27T15:44:28"/>
  </r>
  <r>
    <n v="7000"/>
    <x v="2"/>
    <n v="51012925"/>
    <n v="10"/>
    <s v="BRONCE"/>
    <n v="991"/>
    <d v="2026-02-27T15:44:28"/>
  </r>
  <r>
    <n v="7001"/>
    <x v="2"/>
    <n v="51012968"/>
    <n v="10"/>
    <s v="BRONCE"/>
    <n v="991"/>
    <d v="2026-02-27T15:44:28"/>
  </r>
  <r>
    <n v="7002"/>
    <x v="2"/>
    <n v="51013042"/>
    <n v="9.9830000000000005"/>
    <s v="BRONCE"/>
    <n v="1179"/>
    <d v="2026-02-27T15:44:28"/>
  </r>
  <r>
    <n v="7003"/>
    <x v="2"/>
    <n v="51013123"/>
    <n v="10"/>
    <s v="BRONCE"/>
    <n v="991"/>
    <d v="2026-02-27T15:44:28"/>
  </r>
  <r>
    <n v="7004"/>
    <x v="2"/>
    <n v="51013174"/>
    <n v="10"/>
    <s v="BRONCE"/>
    <n v="991"/>
    <d v="2026-02-27T15:44:28"/>
  </r>
  <r>
    <n v="7005"/>
    <x v="2"/>
    <n v="51013263"/>
    <n v="10"/>
    <s v="BRONCE"/>
    <n v="991"/>
    <d v="2026-02-27T15:44:28"/>
  </r>
  <r>
    <n v="7006"/>
    <x v="2"/>
    <n v="51013751"/>
    <n v="9.9849999999999994"/>
    <s v="BRONCE"/>
    <n v="1171"/>
    <d v="2026-02-27T15:44:28"/>
  </r>
  <r>
    <n v="7007"/>
    <x v="2"/>
    <n v="51013905"/>
    <n v="10"/>
    <s v="BRONCE"/>
    <n v="991"/>
    <d v="2026-02-27T15:44:28"/>
  </r>
  <r>
    <n v="7008"/>
    <x v="2"/>
    <n v="51014073"/>
    <n v="10"/>
    <s v="BRONCE"/>
    <n v="991"/>
    <d v="2026-02-27T15:44:28"/>
  </r>
  <r>
    <n v="7009"/>
    <x v="2"/>
    <n v="51014154"/>
    <n v="10"/>
    <s v="BRONCE"/>
    <n v="991"/>
    <d v="2026-02-27T15:44:28"/>
  </r>
  <r>
    <n v="7010"/>
    <x v="2"/>
    <n v="51014227"/>
    <n v="10"/>
    <s v="BRONCE"/>
    <n v="991"/>
    <d v="2026-02-27T15:44:28"/>
  </r>
  <r>
    <n v="7011"/>
    <x v="2"/>
    <n v="51014651"/>
    <n v="10"/>
    <s v="BRONCE"/>
    <n v="991"/>
    <d v="2026-02-27T15:44:28"/>
  </r>
  <r>
    <n v="7012"/>
    <x v="2"/>
    <n v="51014723"/>
    <n v="10"/>
    <s v="BRONCE"/>
    <n v="991"/>
    <d v="2026-02-27T15:44:28"/>
  </r>
  <r>
    <n v="7013"/>
    <x v="2"/>
    <n v="51015282"/>
    <n v="10"/>
    <s v="BRONCE"/>
    <n v="991"/>
    <d v="2026-02-27T15:44:28"/>
  </r>
  <r>
    <n v="7014"/>
    <x v="2"/>
    <n v="51015576"/>
    <n v="10"/>
    <s v="BRONCE"/>
    <n v="991"/>
    <d v="2026-02-27T15:44:28"/>
  </r>
  <r>
    <n v="7015"/>
    <x v="2"/>
    <n v="51015690"/>
    <n v="10"/>
    <s v="BRONCE"/>
    <n v="991"/>
    <d v="2026-02-27T15:44:28"/>
  </r>
  <r>
    <n v="7016"/>
    <x v="2"/>
    <n v="51015738"/>
    <n v="10"/>
    <s v="BRONCE"/>
    <n v="991"/>
    <d v="2026-02-27T15:44:28"/>
  </r>
  <r>
    <n v="7017"/>
    <x v="2"/>
    <n v="51015959"/>
    <n v="10"/>
    <s v="BRONCE"/>
    <n v="991"/>
    <d v="2026-02-27T15:44:28"/>
  </r>
  <r>
    <n v="7018"/>
    <x v="2"/>
    <n v="51015991"/>
    <n v="10"/>
    <s v="BRONCE"/>
    <n v="991"/>
    <d v="2026-02-27T15:44:28"/>
  </r>
  <r>
    <n v="7019"/>
    <x v="2"/>
    <n v="51016122"/>
    <n v="10"/>
    <s v="BRONCE"/>
    <n v="991"/>
    <d v="2026-02-27T15:44:28"/>
  </r>
  <r>
    <n v="7020"/>
    <x v="2"/>
    <n v="51016190"/>
    <n v="10"/>
    <s v="BRONCE"/>
    <n v="991"/>
    <d v="2026-02-27T15:44:28"/>
  </r>
  <r>
    <n v="7021"/>
    <x v="2"/>
    <n v="51016505"/>
    <n v="9.9980000000000011"/>
    <s v="BRONCE"/>
    <n v="1162"/>
    <d v="2026-02-27T15:44:28"/>
  </r>
  <r>
    <n v="7022"/>
    <x v="2"/>
    <n v="51016670"/>
    <n v="9.9849999999999994"/>
    <s v="BRONCE"/>
    <n v="1171"/>
    <d v="2026-02-27T15:44:28"/>
  </r>
  <r>
    <n v="7023"/>
    <x v="2"/>
    <n v="51016751"/>
    <n v="10"/>
    <s v="BRONCE"/>
    <n v="991"/>
    <d v="2026-02-27T15:44:28"/>
  </r>
  <r>
    <n v="7024"/>
    <x v="2"/>
    <n v="51016769"/>
    <n v="10"/>
    <s v="BRONCE"/>
    <n v="991"/>
    <d v="2026-02-27T15:44:28"/>
  </r>
  <r>
    <n v="7025"/>
    <x v="2"/>
    <n v="51016807"/>
    <n v="9.9980000000000011"/>
    <s v="BRONCE"/>
    <n v="1162"/>
    <d v="2026-02-27T15:44:28"/>
  </r>
  <r>
    <n v="7026"/>
    <x v="2"/>
    <n v="51016912"/>
    <n v="10"/>
    <s v="BRONCE"/>
    <n v="991"/>
    <d v="2026-02-27T15:44:28"/>
  </r>
  <r>
    <n v="7027"/>
    <x v="2"/>
    <n v="51017005"/>
    <n v="10"/>
    <s v="BRONCE"/>
    <n v="991"/>
    <d v="2026-02-27T15:44:28"/>
  </r>
  <r>
    <n v="7028"/>
    <x v="2"/>
    <n v="51017200"/>
    <n v="10"/>
    <s v="BRONCE"/>
    <n v="991"/>
    <d v="2026-02-27T15:44:28"/>
  </r>
  <r>
    <n v="7029"/>
    <x v="2"/>
    <n v="51017692"/>
    <n v="10"/>
    <s v="BRONCE"/>
    <n v="991"/>
    <d v="2026-02-27T15:44:28"/>
  </r>
  <r>
    <n v="7030"/>
    <x v="2"/>
    <n v="51017781"/>
    <n v="10"/>
    <s v="BRONCE"/>
    <n v="991"/>
    <d v="2026-02-27T15:44:28"/>
  </r>
  <r>
    <n v="7031"/>
    <x v="2"/>
    <n v="51018010"/>
    <n v="10"/>
    <s v="BRONCE"/>
    <n v="991"/>
    <d v="2026-02-27T15:44:28"/>
  </r>
  <r>
    <n v="7032"/>
    <x v="2"/>
    <n v="51018168"/>
    <n v="10"/>
    <s v="BRONCE"/>
    <n v="991"/>
    <d v="2026-02-27T15:44:28"/>
  </r>
  <r>
    <n v="7033"/>
    <x v="2"/>
    <n v="51018192"/>
    <n v="10"/>
    <s v="BRONCE"/>
    <n v="991"/>
    <d v="2026-02-27T15:44:28"/>
  </r>
  <r>
    <n v="7034"/>
    <x v="2"/>
    <n v="51018281"/>
    <n v="10"/>
    <s v="BRONCE"/>
    <n v="991"/>
    <d v="2026-02-27T15:44:28"/>
  </r>
  <r>
    <n v="7035"/>
    <x v="2"/>
    <n v="51018915"/>
    <n v="10"/>
    <s v="BRONCE"/>
    <n v="991"/>
    <d v="2026-02-27T15:44:28"/>
  </r>
  <r>
    <n v="7036"/>
    <x v="2"/>
    <n v="51019075"/>
    <n v="10"/>
    <s v="BRONCE"/>
    <n v="991"/>
    <d v="2026-02-27T15:44:28"/>
  </r>
  <r>
    <n v="7037"/>
    <x v="2"/>
    <n v="51019156"/>
    <n v="10"/>
    <s v="BRONCE"/>
    <n v="991"/>
    <d v="2026-02-27T15:44:28"/>
  </r>
  <r>
    <n v="7038"/>
    <x v="2"/>
    <n v="51019181"/>
    <n v="10"/>
    <s v="BRONCE"/>
    <n v="991"/>
    <d v="2026-02-27T15:44:28"/>
  </r>
  <r>
    <n v="7039"/>
    <x v="2"/>
    <n v="51019237"/>
    <n v="10"/>
    <s v="BRONCE"/>
    <n v="991"/>
    <d v="2026-02-27T15:44:28"/>
  </r>
  <r>
    <n v="7040"/>
    <x v="2"/>
    <n v="51019351"/>
    <n v="10"/>
    <s v="BRONCE"/>
    <n v="991"/>
    <d v="2026-02-27T15:44:28"/>
  </r>
  <r>
    <n v="7041"/>
    <x v="2"/>
    <n v="51019725"/>
    <n v="10"/>
    <s v="BRONCE"/>
    <n v="991"/>
    <d v="2026-02-27T15:44:28"/>
  </r>
  <r>
    <n v="7042"/>
    <x v="2"/>
    <n v="51019768"/>
    <n v="10"/>
    <s v="BRONCE"/>
    <n v="991"/>
    <d v="2026-02-27T15:44:28"/>
  </r>
  <r>
    <n v="7043"/>
    <x v="2"/>
    <n v="51020120"/>
    <n v="10"/>
    <s v="BRONCE"/>
    <n v="991"/>
    <d v="2026-02-27T15:44:28"/>
  </r>
  <r>
    <n v="7044"/>
    <x v="2"/>
    <n v="51020154"/>
    <n v="10"/>
    <s v="BRONCE"/>
    <n v="991"/>
    <d v="2026-02-27T15:44:28"/>
  </r>
  <r>
    <n v="7045"/>
    <x v="2"/>
    <n v="51020740"/>
    <n v="9.98"/>
    <s v="BRONCE"/>
    <n v="1181"/>
    <d v="2026-02-27T15:44:28"/>
  </r>
  <r>
    <n v="7046"/>
    <x v="2"/>
    <n v="51021151"/>
    <n v="10"/>
    <s v="BRONCE"/>
    <n v="991"/>
    <d v="2026-02-27T15:44:28"/>
  </r>
  <r>
    <n v="7047"/>
    <x v="2"/>
    <n v="51021525"/>
    <n v="10"/>
    <s v="BRONCE"/>
    <n v="991"/>
    <d v="2026-02-27T15:44:28"/>
  </r>
  <r>
    <n v="7048"/>
    <x v="2"/>
    <n v="51021649"/>
    <n v="10"/>
    <s v="BRONCE"/>
    <n v="991"/>
    <d v="2026-02-27T15:44:28"/>
  </r>
  <r>
    <n v="7049"/>
    <x v="2"/>
    <n v="51021908"/>
    <n v="10"/>
    <s v="BRONCE"/>
    <n v="991"/>
    <d v="2026-02-27T15:44:28"/>
  </r>
  <r>
    <n v="7050"/>
    <x v="2"/>
    <n v="51021924"/>
    <n v="10"/>
    <s v="BRONCE"/>
    <n v="991"/>
    <d v="2026-02-27T15:44:28"/>
  </r>
  <r>
    <n v="7051"/>
    <x v="2"/>
    <n v="51022203"/>
    <n v="10"/>
    <s v="BRONCE"/>
    <n v="991"/>
    <d v="2026-02-27T15:44:28"/>
  </r>
  <r>
    <n v="7052"/>
    <x v="2"/>
    <n v="51022271"/>
    <n v="10"/>
    <s v="BRONCE"/>
    <n v="991"/>
    <d v="2026-02-27T15:44:28"/>
  </r>
  <r>
    <n v="7053"/>
    <x v="2"/>
    <n v="51022297"/>
    <n v="10"/>
    <s v="BRONCE"/>
    <n v="991"/>
    <d v="2026-02-27T15:44:28"/>
  </r>
  <r>
    <n v="7054"/>
    <x v="2"/>
    <n v="51022807"/>
    <n v="10"/>
    <s v="BRONCE"/>
    <n v="991"/>
    <d v="2026-02-27T15:44:28"/>
  </r>
  <r>
    <n v="7055"/>
    <x v="2"/>
    <n v="51022891"/>
    <n v="10"/>
    <s v="BRONCE"/>
    <n v="991"/>
    <d v="2026-02-27T15:44:28"/>
  </r>
  <r>
    <n v="7056"/>
    <x v="2"/>
    <n v="51022939"/>
    <n v="10"/>
    <s v="BRONCE"/>
    <n v="991"/>
    <d v="2026-02-27T15:44:28"/>
  </r>
  <r>
    <n v="7057"/>
    <x v="2"/>
    <n v="51023323"/>
    <n v="10"/>
    <s v="BRONCE"/>
    <n v="991"/>
    <d v="2026-02-27T15:44:28"/>
  </r>
  <r>
    <n v="7058"/>
    <x v="2"/>
    <n v="51023447"/>
    <n v="10"/>
    <s v="BRONCE"/>
    <n v="991"/>
    <d v="2026-02-27T15:44:28"/>
  </r>
  <r>
    <n v="7059"/>
    <x v="2"/>
    <n v="51023463"/>
    <n v="10"/>
    <s v="BRONCE"/>
    <n v="991"/>
    <d v="2026-02-27T15:44:28"/>
  </r>
  <r>
    <n v="7060"/>
    <x v="2"/>
    <n v="51023510"/>
    <n v="10"/>
    <s v="BRONCE"/>
    <n v="991"/>
    <d v="2026-02-27T15:44:28"/>
  </r>
  <r>
    <n v="7061"/>
    <x v="2"/>
    <n v="51024338"/>
    <n v="10"/>
    <s v="BRONCE"/>
    <n v="991"/>
    <d v="2026-02-27T15:44:28"/>
  </r>
  <r>
    <n v="7062"/>
    <x v="2"/>
    <n v="51024346"/>
    <n v="10"/>
    <s v="BRONCE"/>
    <n v="991"/>
    <d v="2026-02-27T15:44:28"/>
  </r>
  <r>
    <n v="7063"/>
    <x v="2"/>
    <n v="51024354"/>
    <n v="10"/>
    <s v="BRONCE"/>
    <n v="991"/>
    <d v="2026-02-27T15:44:28"/>
  </r>
  <r>
    <n v="7064"/>
    <x v="2"/>
    <n v="51024788"/>
    <n v="10"/>
    <s v="BRONCE"/>
    <n v="991"/>
    <d v="2026-02-27T15:44:28"/>
  </r>
  <r>
    <n v="7065"/>
    <x v="2"/>
    <n v="51024907"/>
    <n v="10"/>
    <s v="BRONCE"/>
    <n v="991"/>
    <d v="2026-02-27T15:44:28"/>
  </r>
  <r>
    <n v="7066"/>
    <x v="2"/>
    <n v="51025598"/>
    <n v="10"/>
    <s v="BRONCE"/>
    <n v="991"/>
    <d v="2026-02-27T15:44:28"/>
  </r>
  <r>
    <n v="7067"/>
    <x v="2"/>
    <n v="51025601"/>
    <n v="6.9349999999999996"/>
    <s v="BRONCE"/>
    <n v="1190"/>
    <d v="2026-02-27T15:44:28"/>
  </r>
  <r>
    <n v="7068"/>
    <x v="2"/>
    <n v="51025881"/>
    <n v="10"/>
    <s v="BRONCE"/>
    <n v="991"/>
    <d v="2026-02-27T15:44:28"/>
  </r>
  <r>
    <n v="7069"/>
    <x v="2"/>
    <n v="51028856"/>
    <n v="10"/>
    <s v="BRONCE"/>
    <n v="991"/>
    <d v="2026-02-27T15:44:28"/>
  </r>
  <r>
    <n v="7070"/>
    <x v="2"/>
    <n v="51030087"/>
    <n v="10"/>
    <s v="BRONCE"/>
    <n v="991"/>
    <d v="2026-02-27T15:44:28"/>
  </r>
  <r>
    <n v="7071"/>
    <x v="2"/>
    <n v="51030206"/>
    <n v="9.9849999999999994"/>
    <s v="BRONCE"/>
    <n v="1171"/>
    <d v="2026-02-27T15:44:28"/>
  </r>
  <r>
    <n v="7072"/>
    <x v="2"/>
    <n v="51030630"/>
    <n v="10"/>
    <s v="BRONCE"/>
    <n v="991"/>
    <d v="2026-02-27T15:44:28"/>
  </r>
  <r>
    <n v="7073"/>
    <x v="2"/>
    <n v="51030745"/>
    <n v="10"/>
    <s v="BRONCE"/>
    <n v="991"/>
    <d v="2026-02-27T15:44:28"/>
  </r>
  <r>
    <n v="7074"/>
    <x v="2"/>
    <n v="51030796"/>
    <n v="10"/>
    <s v="BRONCE"/>
    <n v="991"/>
    <d v="2026-02-27T15:44:28"/>
  </r>
  <r>
    <n v="7075"/>
    <x v="2"/>
    <n v="51030966"/>
    <n v="10"/>
    <s v="BRONCE"/>
    <n v="991"/>
    <d v="2026-02-27T15:44:28"/>
  </r>
  <r>
    <n v="7076"/>
    <x v="2"/>
    <n v="51031067"/>
    <n v="10"/>
    <s v="BRONCE"/>
    <n v="991"/>
    <d v="2026-02-27T15:44:28"/>
  </r>
  <r>
    <n v="7077"/>
    <x v="2"/>
    <n v="51031091"/>
    <n v="10"/>
    <s v="BRONCE"/>
    <n v="991"/>
    <d v="2026-02-27T15:44:28"/>
  </r>
  <r>
    <n v="7078"/>
    <x v="2"/>
    <n v="51031156"/>
    <n v="10"/>
    <s v="BRONCE"/>
    <n v="991"/>
    <d v="2026-02-27T15:44:28"/>
  </r>
  <r>
    <n v="7079"/>
    <x v="2"/>
    <n v="51031423"/>
    <n v="10"/>
    <s v="BRONCE"/>
    <n v="991"/>
    <d v="2026-02-27T15:44:28"/>
  </r>
  <r>
    <n v="7080"/>
    <x v="2"/>
    <n v="51031555"/>
    <n v="10"/>
    <s v="BRONCE"/>
    <n v="991"/>
    <d v="2026-02-27T15:44:28"/>
  </r>
  <r>
    <n v="7081"/>
    <x v="2"/>
    <n v="51032021"/>
    <n v="10"/>
    <s v="BRONCE"/>
    <n v="991"/>
    <d v="2026-02-27T15:44:28"/>
  </r>
  <r>
    <n v="7082"/>
    <x v="2"/>
    <n v="51032055"/>
    <n v="10"/>
    <s v="BRONCE"/>
    <n v="991"/>
    <d v="2026-02-27T15:44:28"/>
  </r>
  <r>
    <n v="7083"/>
    <x v="2"/>
    <n v="51032144"/>
    <n v="9.9849999999999994"/>
    <s v="BRONCE"/>
    <n v="1171"/>
    <d v="2026-02-27T15:44:28"/>
  </r>
  <r>
    <n v="7084"/>
    <x v="2"/>
    <n v="51032209"/>
    <n v="10"/>
    <s v="BRONCE"/>
    <n v="991"/>
    <d v="2026-02-27T15:44:28"/>
  </r>
  <r>
    <n v="7085"/>
    <x v="2"/>
    <n v="51032217"/>
    <n v="10"/>
    <s v="BRONCE"/>
    <n v="991"/>
    <d v="2026-02-27T15:44:28"/>
  </r>
  <r>
    <n v="7086"/>
    <x v="2"/>
    <n v="51032497"/>
    <n v="9.9849999999999994"/>
    <s v="BRONCE"/>
    <n v="1171"/>
    <d v="2026-02-27T15:44:28"/>
  </r>
  <r>
    <n v="7087"/>
    <x v="2"/>
    <n v="51033019"/>
    <n v="10"/>
    <s v="BRONCE"/>
    <n v="991"/>
    <d v="2026-02-27T15:44:28"/>
  </r>
  <r>
    <n v="7088"/>
    <x v="2"/>
    <n v="51033647"/>
    <n v="10"/>
    <s v="BRONCE"/>
    <n v="991"/>
    <d v="2026-02-27T15:44:28"/>
  </r>
  <r>
    <n v="7089"/>
    <x v="2"/>
    <n v="51034261"/>
    <n v="9.9980000000000011"/>
    <s v="BRONCE"/>
    <n v="1162"/>
    <d v="2026-02-27T15:44:28"/>
  </r>
  <r>
    <n v="7090"/>
    <x v="2"/>
    <n v="51034392"/>
    <n v="10"/>
    <s v="BRONCE"/>
    <n v="991"/>
    <d v="2026-02-27T15:44:28"/>
  </r>
  <r>
    <n v="7091"/>
    <x v="2"/>
    <n v="51036093"/>
    <n v="10"/>
    <s v="BRONCE"/>
    <n v="991"/>
    <d v="2026-02-27T15:44:28"/>
  </r>
  <r>
    <n v="7092"/>
    <x v="2"/>
    <n v="51036620"/>
    <n v="10"/>
    <s v="BRONCE"/>
    <n v="991"/>
    <d v="2026-02-27T15:44:28"/>
  </r>
  <r>
    <n v="7093"/>
    <x v="2"/>
    <n v="51036786"/>
    <n v="10"/>
    <s v="BRONCE"/>
    <n v="991"/>
    <d v="2026-02-27T15:44:28"/>
  </r>
  <r>
    <n v="7094"/>
    <x v="2"/>
    <n v="51037014"/>
    <n v="10"/>
    <s v="BRONCE"/>
    <n v="991"/>
    <d v="2026-02-27T15:44:28"/>
  </r>
  <r>
    <n v="7095"/>
    <x v="2"/>
    <n v="51038991"/>
    <n v="9.9980000000000011"/>
    <s v="BRONCE"/>
    <n v="1162"/>
    <d v="2026-02-27T15:44:28"/>
  </r>
  <r>
    <n v="7096"/>
    <x v="2"/>
    <n v="51039084"/>
    <n v="9.9849999999999994"/>
    <s v="BRONCE"/>
    <n v="1171"/>
    <d v="2026-02-27T15:44:28"/>
  </r>
  <r>
    <n v="7097"/>
    <x v="2"/>
    <n v="51039955"/>
    <n v="10"/>
    <s v="BRONCE"/>
    <n v="991"/>
    <d v="2026-02-27T15:44:28"/>
  </r>
  <r>
    <n v="7098"/>
    <x v="2"/>
    <n v="51039980"/>
    <n v="10"/>
    <s v="BRONCE"/>
    <n v="991"/>
    <d v="2026-02-27T15:44:28"/>
  </r>
  <r>
    <n v="7099"/>
    <x v="2"/>
    <n v="51040040"/>
    <n v="10"/>
    <s v="BRONCE"/>
    <n v="991"/>
    <d v="2026-02-27T15:44:28"/>
  </r>
  <r>
    <n v="7100"/>
    <x v="2"/>
    <n v="51040309"/>
    <n v="9.8350000000000009"/>
    <s v="BRONCE"/>
    <n v="1188"/>
    <d v="2026-02-27T15:44:28"/>
  </r>
  <r>
    <n v="7101"/>
    <x v="2"/>
    <n v="51040856"/>
    <n v="10"/>
    <s v="BRONCE"/>
    <n v="991"/>
    <d v="2026-02-27T15:44:28"/>
  </r>
  <r>
    <n v="7102"/>
    <x v="2"/>
    <n v="51040970"/>
    <n v="10"/>
    <s v="BRONCE"/>
    <n v="991"/>
    <d v="2026-02-27T15:44:28"/>
  </r>
  <r>
    <n v="7103"/>
    <x v="2"/>
    <n v="51041178"/>
    <n v="10"/>
    <s v="BRONCE"/>
    <n v="991"/>
    <d v="2026-02-27T15:44:28"/>
  </r>
  <r>
    <n v="7104"/>
    <x v="2"/>
    <n v="51041321"/>
    <n v="10"/>
    <s v="BRONCE"/>
    <n v="991"/>
    <d v="2026-02-27T15:44:28"/>
  </r>
  <r>
    <n v="7105"/>
    <x v="2"/>
    <n v="51041836"/>
    <n v="10"/>
    <s v="BRONCE"/>
    <n v="991"/>
    <d v="2026-02-27T15:44:28"/>
  </r>
  <r>
    <n v="7106"/>
    <x v="2"/>
    <n v="51041925"/>
    <n v="9.9849999999999994"/>
    <s v="BRONCE"/>
    <n v="1171"/>
    <d v="2026-02-27T15:44:28"/>
  </r>
  <r>
    <n v="7107"/>
    <x v="2"/>
    <n v="51042166"/>
    <n v="10"/>
    <s v="BRONCE"/>
    <n v="991"/>
    <d v="2026-02-27T15:44:28"/>
  </r>
  <r>
    <n v="7108"/>
    <x v="2"/>
    <n v="51042352"/>
    <n v="9.9980000000000011"/>
    <s v="BRONCE"/>
    <n v="1162"/>
    <d v="2026-02-27T15:44:28"/>
  </r>
  <r>
    <n v="7109"/>
    <x v="2"/>
    <n v="51042492"/>
    <n v="10"/>
    <s v="BRONCE"/>
    <n v="991"/>
    <d v="2026-02-27T15:44:28"/>
  </r>
  <r>
    <n v="7110"/>
    <x v="2"/>
    <n v="51042557"/>
    <n v="10"/>
    <s v="BRONCE"/>
    <n v="991"/>
    <d v="2026-02-27T15:44:28"/>
  </r>
  <r>
    <n v="7111"/>
    <x v="2"/>
    <n v="51042697"/>
    <n v="10"/>
    <s v="BRONCE"/>
    <n v="991"/>
    <d v="2026-02-27T15:44:28"/>
  </r>
  <r>
    <n v="7112"/>
    <x v="2"/>
    <n v="51042701"/>
    <n v="10"/>
    <s v="BRONCE"/>
    <n v="991"/>
    <d v="2026-02-27T15:44:28"/>
  </r>
  <r>
    <n v="7113"/>
    <x v="2"/>
    <n v="51042794"/>
    <n v="10"/>
    <s v="BRONCE"/>
    <n v="991"/>
    <d v="2026-02-27T15:44:28"/>
  </r>
  <r>
    <n v="7114"/>
    <x v="2"/>
    <n v="51042867"/>
    <n v="10"/>
    <s v="BRONCE"/>
    <n v="991"/>
    <d v="2026-02-27T15:44:28"/>
  </r>
  <r>
    <n v="7115"/>
    <x v="2"/>
    <n v="51042883"/>
    <n v="10"/>
    <s v="BRONCE"/>
    <n v="991"/>
    <d v="2026-02-27T15:44:28"/>
  </r>
  <r>
    <n v="7116"/>
    <x v="2"/>
    <n v="51043286"/>
    <n v="10"/>
    <s v="BRONCE"/>
    <n v="991"/>
    <d v="2026-02-27T15:44:28"/>
  </r>
  <r>
    <n v="7117"/>
    <x v="2"/>
    <n v="51043430"/>
    <n v="9.9700000000000006"/>
    <s v="BRONCE"/>
    <n v="1182"/>
    <d v="2026-02-27T15:44:28"/>
  </r>
  <r>
    <n v="7118"/>
    <x v="2"/>
    <n v="51043481"/>
    <n v="9.9980000000000011"/>
    <s v="BRONCE"/>
    <n v="1162"/>
    <d v="2026-02-27T15:44:28"/>
  </r>
  <r>
    <n v="7119"/>
    <x v="2"/>
    <n v="51043685"/>
    <n v="10"/>
    <s v="BRONCE"/>
    <n v="991"/>
    <d v="2026-02-27T15:44:28"/>
  </r>
  <r>
    <n v="7120"/>
    <x v="2"/>
    <n v="51044185"/>
    <n v="10"/>
    <s v="BRONCE"/>
    <n v="991"/>
    <d v="2026-02-27T15:44:28"/>
  </r>
  <r>
    <n v="7121"/>
    <x v="2"/>
    <n v="51054474"/>
    <n v="10"/>
    <s v="BRONCE"/>
    <n v="991"/>
    <d v="2026-02-27T15:44:28"/>
  </r>
  <r>
    <n v="7122"/>
    <x v="2"/>
    <n v="51054890"/>
    <n v="10"/>
    <s v="BRONCE"/>
    <n v="991"/>
    <d v="2026-02-27T15:44:28"/>
  </r>
  <r>
    <n v="7123"/>
    <x v="2"/>
    <n v="51054971"/>
    <n v="10"/>
    <s v="BRONCE"/>
    <n v="991"/>
    <d v="2026-02-27T15:44:28"/>
  </r>
  <r>
    <n v="7124"/>
    <x v="2"/>
    <n v="51055021"/>
    <n v="10"/>
    <s v="BRONCE"/>
    <n v="991"/>
    <d v="2026-02-27T15:44:28"/>
  </r>
  <r>
    <n v="7125"/>
    <x v="2"/>
    <n v="51055110"/>
    <n v="10"/>
    <s v="BRONCE"/>
    <n v="991"/>
    <d v="2026-02-27T15:44:28"/>
  </r>
  <r>
    <n v="7126"/>
    <x v="2"/>
    <n v="51055179"/>
    <n v="9.9980000000000011"/>
    <s v="BRONCE"/>
    <n v="1162"/>
    <d v="2026-02-27T15:44:28"/>
  </r>
  <r>
    <n v="7127"/>
    <x v="2"/>
    <n v="51055187"/>
    <n v="10"/>
    <s v="BRONCE"/>
    <n v="991"/>
    <d v="2026-02-27T15:44:28"/>
  </r>
  <r>
    <n v="7128"/>
    <x v="2"/>
    <n v="51055195"/>
    <n v="10"/>
    <s v="BRONCE"/>
    <n v="991"/>
    <d v="2026-02-27T15:44:28"/>
  </r>
  <r>
    <n v="7129"/>
    <x v="2"/>
    <n v="51055233"/>
    <n v="10"/>
    <s v="BRONCE"/>
    <n v="991"/>
    <d v="2026-02-27T15:44:28"/>
  </r>
  <r>
    <n v="7130"/>
    <x v="2"/>
    <n v="51055314"/>
    <n v="10"/>
    <s v="BRONCE"/>
    <n v="991"/>
    <d v="2026-02-27T15:44:28"/>
  </r>
  <r>
    <n v="7131"/>
    <x v="2"/>
    <n v="51055349"/>
    <n v="10"/>
    <s v="BRONCE"/>
    <n v="991"/>
    <d v="2026-02-27T15:44:28"/>
  </r>
  <r>
    <n v="7132"/>
    <x v="2"/>
    <n v="51055381"/>
    <n v="10"/>
    <s v="BRONCE"/>
    <n v="991"/>
    <d v="2026-02-27T15:44:28"/>
  </r>
  <r>
    <n v="7133"/>
    <x v="2"/>
    <n v="51055403"/>
    <n v="10"/>
    <s v="BRONCE"/>
    <n v="991"/>
    <d v="2026-02-27T15:44:28"/>
  </r>
  <r>
    <n v="7134"/>
    <x v="2"/>
    <n v="51055420"/>
    <n v="10"/>
    <s v="BRONCE"/>
    <n v="991"/>
    <d v="2026-02-27T15:44:28"/>
  </r>
  <r>
    <n v="7135"/>
    <x v="2"/>
    <n v="51055438"/>
    <n v="10"/>
    <s v="BRONCE"/>
    <n v="991"/>
    <d v="2026-02-27T15:44:28"/>
  </r>
  <r>
    <n v="7136"/>
    <x v="2"/>
    <n v="51055446"/>
    <n v="10"/>
    <s v="BRONCE"/>
    <n v="991"/>
    <d v="2026-02-27T15:44:28"/>
  </r>
  <r>
    <n v="7137"/>
    <x v="2"/>
    <n v="51055471"/>
    <n v="10"/>
    <s v="BRONCE"/>
    <n v="991"/>
    <d v="2026-02-27T15:44:28"/>
  </r>
  <r>
    <n v="7138"/>
    <x v="2"/>
    <n v="51055608"/>
    <n v="0"/>
    <s v="CERRADO"/>
    <n v="1192"/>
    <d v="2026-02-27T15:44:28"/>
  </r>
  <r>
    <n v="7139"/>
    <x v="2"/>
    <n v="51055683"/>
    <n v="10"/>
    <s v="BRONCE"/>
    <n v="991"/>
    <d v="2026-02-27T15:44:28"/>
  </r>
  <r>
    <n v="7140"/>
    <x v="2"/>
    <n v="51055713"/>
    <n v="10"/>
    <s v="BRONCE"/>
    <n v="991"/>
    <d v="2026-02-27T15:44:28"/>
  </r>
  <r>
    <n v="7141"/>
    <x v="2"/>
    <n v="51055748"/>
    <n v="10"/>
    <s v="BRONCE"/>
    <n v="991"/>
    <d v="2026-02-27T15:44:28"/>
  </r>
  <r>
    <n v="7142"/>
    <x v="2"/>
    <n v="51055781"/>
    <n v="10"/>
    <s v="BRONCE"/>
    <n v="991"/>
    <d v="2026-02-27T15:44:28"/>
  </r>
  <r>
    <n v="7143"/>
    <x v="2"/>
    <n v="51055900"/>
    <n v="10"/>
    <s v="BRONCE"/>
    <n v="991"/>
    <d v="2026-02-27T15:44:28"/>
  </r>
  <r>
    <n v="7144"/>
    <x v="2"/>
    <n v="51055934"/>
    <n v="10"/>
    <s v="BRONCE"/>
    <n v="991"/>
    <d v="2026-02-27T15:44:28"/>
  </r>
  <r>
    <n v="7145"/>
    <x v="2"/>
    <n v="51055969"/>
    <n v="10"/>
    <s v="BRONCE"/>
    <n v="991"/>
    <d v="2026-02-27T15:44:28"/>
  </r>
  <r>
    <n v="7146"/>
    <x v="2"/>
    <n v="51055977"/>
    <n v="10"/>
    <s v="BRONCE"/>
    <n v="991"/>
    <d v="2026-02-27T15:44:28"/>
  </r>
  <r>
    <n v="7147"/>
    <x v="2"/>
    <n v="51056035"/>
    <n v="10"/>
    <s v="BRONCE"/>
    <n v="991"/>
    <d v="2026-02-27T15:44:28"/>
  </r>
  <r>
    <n v="7148"/>
    <x v="2"/>
    <n v="51056043"/>
    <n v="9.9680000000000017"/>
    <s v="BRONCE"/>
    <n v="1183"/>
    <d v="2026-02-27T15:44:28"/>
  </r>
  <r>
    <n v="7149"/>
    <x v="2"/>
    <n v="51056141"/>
    <n v="9.9600000000000009"/>
    <s v="BRONCE"/>
    <n v="1184"/>
    <d v="2026-02-27T15:44:28"/>
  </r>
  <r>
    <n v="7150"/>
    <x v="2"/>
    <n v="51056167"/>
    <n v="10"/>
    <s v="BRONCE"/>
    <n v="991"/>
    <d v="2026-02-27T15:44:28"/>
  </r>
  <r>
    <n v="7151"/>
    <x v="2"/>
    <n v="51056230"/>
    <n v="10"/>
    <s v="BRONCE"/>
    <n v="991"/>
    <d v="2026-02-27T15:44:28"/>
  </r>
  <r>
    <n v="7152"/>
    <x v="2"/>
    <n v="51056256"/>
    <n v="10"/>
    <s v="BRONCE"/>
    <n v="991"/>
    <d v="2026-02-27T15:44:28"/>
  </r>
  <r>
    <n v="7153"/>
    <x v="2"/>
    <n v="51056370"/>
    <n v="10"/>
    <s v="BRONCE"/>
    <n v="991"/>
    <d v="2026-02-27T15:44:28"/>
  </r>
  <r>
    <n v="7154"/>
    <x v="2"/>
    <n v="51056680"/>
    <n v="0"/>
    <s v="CERRADO"/>
    <n v="1192"/>
    <d v="2026-02-27T15:44:28"/>
  </r>
  <r>
    <n v="7155"/>
    <x v="2"/>
    <n v="51056710"/>
    <n v="10"/>
    <s v="BRONCE"/>
    <n v="991"/>
    <d v="2026-02-27T15:44:28"/>
  </r>
  <r>
    <n v="7156"/>
    <x v="2"/>
    <n v="51056779"/>
    <n v="10"/>
    <s v="BRONCE"/>
    <n v="991"/>
    <d v="2026-02-27T15:44:28"/>
  </r>
  <r>
    <n v="7157"/>
    <x v="2"/>
    <n v="51056841"/>
    <n v="10"/>
    <s v="BRONCE"/>
    <n v="991"/>
    <d v="2026-02-27T15:44:28"/>
  </r>
  <r>
    <n v="7158"/>
    <x v="2"/>
    <n v="51056892"/>
    <n v="10"/>
    <s v="BRONCE"/>
    <n v="991"/>
    <d v="2026-02-27T15:44:28"/>
  </r>
  <r>
    <n v="10738"/>
    <x v="3"/>
    <n v="51015525"/>
    <n v="86.019076349376633"/>
    <s v="PLATINO"/>
    <n v="152"/>
    <d v="2026-02-27T15:47:24"/>
  </r>
  <r>
    <n v="10739"/>
    <x v="3"/>
    <n v="51017790"/>
    <n v="72.300046956338065"/>
    <s v="ORO"/>
    <n v="625"/>
    <d v="2026-02-27T15:47:24"/>
  </r>
  <r>
    <n v="10740"/>
    <x v="3"/>
    <n v="51023871"/>
    <n v="84.82075855814783"/>
    <s v="PLATINO"/>
    <n v="207"/>
    <d v="2026-02-27T15:47:24"/>
  </r>
  <r>
    <n v="10741"/>
    <x v="3"/>
    <n v="51019601"/>
    <n v="87.357642858761466"/>
    <s v="PLATINO"/>
    <n v="81"/>
    <d v="2026-02-27T15:47:24"/>
  </r>
  <r>
    <n v="10742"/>
    <x v="3"/>
    <n v="51021983"/>
    <n v="32.492091471719583"/>
    <s v="PLATA"/>
    <n v="909"/>
    <d v="2026-02-27T15:47:24"/>
  </r>
  <r>
    <n v="10743"/>
    <x v="3"/>
    <n v="51020201"/>
    <n v="73.06"/>
    <s v="ORO"/>
    <n v="613"/>
    <d v="2026-02-27T15:47:24"/>
  </r>
  <r>
    <n v="10744"/>
    <x v="3"/>
    <n v="51031296"/>
    <n v="89.64"/>
    <s v="PLATINO"/>
    <n v="2"/>
    <d v="2026-02-27T15:47:24"/>
  </r>
  <r>
    <n v="10745"/>
    <x v="3"/>
    <n v="51011864"/>
    <n v="89.045000000000002"/>
    <s v="PLATINO"/>
    <n v="12"/>
    <d v="2026-02-27T15:47:24"/>
  </r>
  <r>
    <n v="10746"/>
    <x v="3"/>
    <n v="51005945"/>
    <n v="89.161655379191558"/>
    <s v="PLATINO"/>
    <n v="10"/>
    <d v="2026-02-27T15:47:24"/>
  </r>
  <r>
    <n v="10747"/>
    <x v="3"/>
    <n v="51055586"/>
    <n v="83.869730238977851"/>
    <s v="PLATINO"/>
    <n v="255"/>
    <d v="2026-02-27T15:47:24"/>
  </r>
  <r>
    <n v="10748"/>
    <x v="3"/>
    <n v="51025458"/>
    <n v="88.578000000000003"/>
    <s v="PLATINO"/>
    <n v="23"/>
    <d v="2026-02-27T15:47:24"/>
  </r>
  <r>
    <n v="10749"/>
    <x v="3"/>
    <n v="51025709"/>
    <n v="84.007581357866144"/>
    <s v="PLATINO"/>
    <n v="247"/>
    <d v="2026-02-27T15:47:24"/>
  </r>
  <r>
    <n v="10750"/>
    <x v="3"/>
    <n v="51019709"/>
    <n v="70.8114986132681"/>
    <s v="ORO"/>
    <n v="640"/>
    <d v="2026-02-27T15:47:24"/>
  </r>
  <r>
    <n v="10751"/>
    <x v="3"/>
    <n v="51019377"/>
    <n v="87.29874021275343"/>
    <s v="PLATINO"/>
    <n v="84"/>
    <d v="2026-02-27T15:47:24"/>
  </r>
  <r>
    <n v="10752"/>
    <x v="3"/>
    <n v="51017447"/>
    <n v="88.600991351550974"/>
    <s v="PLATINO"/>
    <n v="22"/>
    <d v="2026-02-27T15:47:24"/>
  </r>
  <r>
    <n v="10753"/>
    <x v="3"/>
    <n v="51055721"/>
    <n v="85.500202399678955"/>
    <s v="PLATINO"/>
    <n v="180"/>
    <d v="2026-02-27T15:47:24"/>
  </r>
  <r>
    <n v="10754"/>
    <x v="3"/>
    <n v="51023064"/>
    <n v="88.170548982715175"/>
    <s v="PLATINO"/>
    <n v="34"/>
    <d v="2026-02-27T15:47:24"/>
  </r>
  <r>
    <n v="10755"/>
    <x v="3"/>
    <n v="51055063"/>
    <n v="88.434581302097968"/>
    <s v="PLATINO"/>
    <n v="27"/>
    <d v="2026-02-27T15:47:24"/>
  </r>
  <r>
    <n v="10756"/>
    <x v="3"/>
    <n v="51024893"/>
    <n v="44.957529952606578"/>
    <s v="PLATA"/>
    <n v="872"/>
    <d v="2026-02-27T15:47:24"/>
  </r>
  <r>
    <n v="10757"/>
    <x v="3"/>
    <n v="51013638"/>
    <n v="88.02000000000001"/>
    <s v="PLATINO"/>
    <n v="45"/>
    <d v="2026-02-27T15:47:24"/>
  </r>
  <r>
    <n v="10758"/>
    <x v="3"/>
    <n v="51011015"/>
    <n v="41.210642741572819"/>
    <s v="PLATA"/>
    <n v="880"/>
    <d v="2026-02-27T15:47:24"/>
  </r>
  <r>
    <n v="10759"/>
    <x v="3"/>
    <n v="51020758"/>
    <n v="87.441418620051039"/>
    <s v="PLATINO"/>
    <n v="76"/>
    <d v="2026-02-27T15:47:24"/>
  </r>
  <r>
    <n v="10760"/>
    <x v="3"/>
    <n v="51022734"/>
    <n v="87.959804350392417"/>
    <s v="PLATINO"/>
    <n v="46"/>
    <d v="2026-02-27T15:47:24"/>
  </r>
  <r>
    <n v="10761"/>
    <x v="3"/>
    <n v="51036034"/>
    <n v="89.644999999999996"/>
    <s v="PLATINO"/>
    <n v="1"/>
    <d v="2026-02-27T15:47:24"/>
  </r>
  <r>
    <n v="10762"/>
    <x v="3"/>
    <n v="51019954"/>
    <n v="74.400037972091127"/>
    <s v="ORO"/>
    <n v="594"/>
    <d v="2026-02-27T15:47:24"/>
  </r>
  <r>
    <n v="10763"/>
    <x v="3"/>
    <n v="51041895"/>
    <n v="77.874252326855967"/>
    <s v="PLATINO"/>
    <n v="504"/>
    <d v="2026-02-27T15:47:24"/>
  </r>
  <r>
    <n v="10764"/>
    <x v="3"/>
    <n v="51031075"/>
    <n v="88.96755296197091"/>
    <s v="PLATINO"/>
    <n v="14"/>
    <d v="2026-02-27T15:47:24"/>
  </r>
  <r>
    <n v="10765"/>
    <x v="3"/>
    <n v="51016815"/>
    <n v="74.033476996220799"/>
    <s v="ORO"/>
    <n v="599"/>
    <d v="2026-02-27T15:47:24"/>
  </r>
  <r>
    <n v="10766"/>
    <x v="3"/>
    <n v="51010761"/>
    <n v="88.961343900880152"/>
    <s v="PLATINO"/>
    <n v="15"/>
    <d v="2026-02-27T15:47:24"/>
  </r>
  <r>
    <n v="10767"/>
    <x v="3"/>
    <n v="51013301"/>
    <n v="89.6"/>
    <s v="PLATINO"/>
    <n v="3"/>
    <d v="2026-02-27T15:47:24"/>
  </r>
  <r>
    <n v="10768"/>
    <x v="3"/>
    <n v="51041933"/>
    <n v="89.56"/>
    <s v="PLATINO"/>
    <n v="4"/>
    <d v="2026-02-27T15:47:24"/>
  </r>
  <r>
    <n v="10769"/>
    <x v="3"/>
    <n v="51014006"/>
    <n v="86.831578588261195"/>
    <s v="PLATINO"/>
    <n v="110"/>
    <d v="2026-02-27T15:47:24"/>
  </r>
  <r>
    <n v="10770"/>
    <x v="3"/>
    <n v="51000111"/>
    <n v="87.83799420290886"/>
    <s v="PLATINO"/>
    <n v="55"/>
    <d v="2026-02-27T15:47:24"/>
  </r>
  <r>
    <n v="10771"/>
    <x v="3"/>
    <n v="51042735"/>
    <n v="89.52"/>
    <s v="PLATINO"/>
    <n v="5"/>
    <d v="2026-02-27T15:47:24"/>
  </r>
  <r>
    <n v="10772"/>
    <x v="3"/>
    <n v="51023218"/>
    <n v="85.123096206439882"/>
    <s v="PLATINO"/>
    <n v="195"/>
    <d v="2026-02-27T15:47:24"/>
  </r>
  <r>
    <n v="10773"/>
    <x v="3"/>
    <n v="51002776"/>
    <n v="87.84"/>
    <s v="PLATINO"/>
    <n v="54"/>
    <d v="2026-02-27T15:47:24"/>
  </r>
  <r>
    <n v="10774"/>
    <x v="3"/>
    <n v="51015541"/>
    <n v="88.030283563164247"/>
    <s v="PLATINO"/>
    <n v="44"/>
    <d v="2026-02-27T15:47:24"/>
  </r>
  <r>
    <n v="10775"/>
    <x v="3"/>
    <n v="51031890"/>
    <n v="85.733162810856371"/>
    <s v="PLATINO"/>
    <n v="168"/>
    <d v="2026-02-27T15:47:24"/>
  </r>
  <r>
    <n v="10776"/>
    <x v="3"/>
    <n v="51057058"/>
    <n v="82.660913329120632"/>
    <s v="PLATINO"/>
    <n v="314"/>
    <d v="2026-02-27T15:47:24"/>
  </r>
  <r>
    <n v="10777"/>
    <x v="3"/>
    <n v="51022289"/>
    <n v="87.014319431443113"/>
    <s v="PLATINO"/>
    <n v="100"/>
    <d v="2026-02-27T15:47:24"/>
  </r>
  <r>
    <n v="10778"/>
    <x v="3"/>
    <n v="51016688"/>
    <n v="87.8"/>
    <s v="PLATINO"/>
    <n v="57"/>
    <d v="2026-02-27T15:47:24"/>
  </r>
  <r>
    <n v="10779"/>
    <x v="3"/>
    <n v="51032527"/>
    <n v="80.027067723148463"/>
    <s v="PLATINO"/>
    <n v="436"/>
    <d v="2026-02-27T15:47:24"/>
  </r>
  <r>
    <n v="10780"/>
    <x v="3"/>
    <n v="51028678"/>
    <n v="89.202950877215017"/>
    <s v="PLATINO"/>
    <n v="9"/>
    <d v="2026-02-27T15:47:24"/>
  </r>
  <r>
    <n v="10781"/>
    <x v="3"/>
    <n v="51005287"/>
    <n v="87.161084479723286"/>
    <s v="PLATINO"/>
    <n v="94"/>
    <d v="2026-02-27T15:47:24"/>
  </r>
  <r>
    <n v="10782"/>
    <x v="3"/>
    <n v="51055624"/>
    <n v="78.173396502275068"/>
    <s v="PLATINO"/>
    <n v="490"/>
    <d v="2026-02-27T15:47:24"/>
  </r>
  <r>
    <n v="10783"/>
    <x v="3"/>
    <n v="51010884"/>
    <n v="87.377671285539051"/>
    <s v="PLATINO"/>
    <n v="79"/>
    <d v="2026-02-27T15:47:24"/>
  </r>
  <r>
    <n v="10784"/>
    <x v="3"/>
    <n v="51007051"/>
    <n v="67.22"/>
    <s v="ORO"/>
    <n v="668"/>
    <d v="2026-02-27T15:47:24"/>
  </r>
  <r>
    <n v="10785"/>
    <x v="3"/>
    <n v="51013808"/>
    <n v="88.62"/>
    <s v="PLATINO"/>
    <n v="21"/>
    <d v="2026-02-27T15:47:24"/>
  </r>
  <r>
    <n v="10786"/>
    <x v="3"/>
    <n v="51035828"/>
    <n v="87.165718198965095"/>
    <s v="PLATINO"/>
    <n v="93"/>
    <d v="2026-02-27T15:47:24"/>
  </r>
  <r>
    <n v="10787"/>
    <x v="3"/>
    <n v="51056051"/>
    <n v="89.42"/>
    <s v="PLATINO"/>
    <n v="6"/>
    <d v="2026-02-27T15:47:24"/>
  </r>
  <r>
    <n v="10788"/>
    <x v="3"/>
    <n v="51024265"/>
    <n v="84.332416029312213"/>
    <s v="PLATINO"/>
    <n v="226"/>
    <d v="2026-02-27T15:47:24"/>
  </r>
  <r>
    <n v="10789"/>
    <x v="3"/>
    <n v="51018494"/>
    <n v="88.8"/>
    <s v="PLATINO"/>
    <n v="18"/>
    <d v="2026-02-27T15:47:24"/>
  </r>
  <r>
    <n v="10790"/>
    <x v="3"/>
    <n v="51039882"/>
    <n v="20"/>
    <s v="BRONCE"/>
    <n v="923"/>
    <d v="2026-02-27T15:47:24"/>
  </r>
  <r>
    <n v="10791"/>
    <x v="3"/>
    <n v="51024192"/>
    <n v="87.399372232442275"/>
    <s v="PLATINO"/>
    <n v="77"/>
    <d v="2026-02-27T15:47:24"/>
  </r>
  <r>
    <n v="10792"/>
    <x v="3"/>
    <n v="51008332"/>
    <n v="82.58"/>
    <s v="PLATINO"/>
    <n v="319"/>
    <d v="2026-02-27T15:47:24"/>
  </r>
  <r>
    <n v="10793"/>
    <x v="3"/>
    <n v="51015258"/>
    <n v="62.92132263584913"/>
    <s v="ORO"/>
    <n v="733"/>
    <d v="2026-02-27T15:47:24"/>
  </r>
  <r>
    <n v="10794"/>
    <x v="3"/>
    <n v="51033710"/>
    <n v="69.650000000000006"/>
    <s v="ORO"/>
    <n v="649"/>
    <d v="2026-02-27T15:47:24"/>
  </r>
  <r>
    <n v="10795"/>
    <x v="3"/>
    <n v="51010329"/>
    <n v="16.54232472602796"/>
    <s v="BRONCE"/>
    <n v="1016"/>
    <d v="2026-02-27T15:47:24"/>
  </r>
  <r>
    <n v="10796"/>
    <x v="3"/>
    <n v="51011252"/>
    <n v="19.126588679357059"/>
    <s v="BRONCE"/>
    <n v="995"/>
    <d v="2026-02-27T15:47:24"/>
  </r>
  <r>
    <n v="10797"/>
    <x v="3"/>
    <n v="51018648"/>
    <n v="87.72"/>
    <s v="PLATINO"/>
    <n v="61"/>
    <d v="2026-02-27T15:47:24"/>
  </r>
  <r>
    <n v="10798"/>
    <x v="3"/>
    <n v="51024524"/>
    <n v="89.16"/>
    <s v="PLATINO"/>
    <n v="11"/>
    <d v="2026-02-27T15:47:24"/>
  </r>
  <r>
    <n v="10799"/>
    <x v="3"/>
    <n v="51055772"/>
    <n v="86.827760507371536"/>
    <s v="PLATINO"/>
    <n v="111"/>
    <d v="2026-02-27T15:47:24"/>
  </r>
  <r>
    <n v="10800"/>
    <x v="3"/>
    <n v="51031083"/>
    <n v="68.2"/>
    <s v="ORO"/>
    <n v="661"/>
    <d v="2026-02-27T15:47:24"/>
  </r>
  <r>
    <n v="10801"/>
    <x v="3"/>
    <n v="51056647"/>
    <n v="64.72"/>
    <s v="ORO"/>
    <n v="707"/>
    <d v="2026-02-27T15:47:24"/>
  </r>
  <r>
    <n v="10802"/>
    <x v="3"/>
    <n v="51024214"/>
    <n v="19.96"/>
    <s v="BRONCE"/>
    <n v="980"/>
    <d v="2026-02-27T15:47:24"/>
  </r>
  <r>
    <n v="10803"/>
    <x v="3"/>
    <n v="51013425"/>
    <n v="87.86"/>
    <s v="PLATINO"/>
    <n v="53"/>
    <d v="2026-02-27T15:47:24"/>
  </r>
  <r>
    <n v="10804"/>
    <x v="3"/>
    <n v="51025334"/>
    <n v="65.077304791829462"/>
    <s v="ORO"/>
    <n v="699"/>
    <d v="2026-02-27T15:47:24"/>
  </r>
  <r>
    <n v="10805"/>
    <x v="3"/>
    <n v="51056132"/>
    <n v="86.544575607295684"/>
    <s v="PLATINO"/>
    <n v="120"/>
    <d v="2026-02-27T15:47:24"/>
  </r>
  <r>
    <n v="10806"/>
    <x v="3"/>
    <n v="51004531"/>
    <n v="88.48"/>
    <s v="PLATINO"/>
    <n v="25"/>
    <d v="2026-02-27T15:47:24"/>
  </r>
  <r>
    <n v="10807"/>
    <x v="3"/>
    <n v="51039033"/>
    <n v="66.794593773894491"/>
    <s v="ORO"/>
    <n v="671"/>
    <d v="2026-02-27T15:47:24"/>
  </r>
  <r>
    <n v="10808"/>
    <x v="3"/>
    <n v="51024117"/>
    <n v="87.443179317927715"/>
    <s v="PLATINO"/>
    <n v="75"/>
    <d v="2026-02-27T15:47:24"/>
  </r>
  <r>
    <n v="10809"/>
    <x v="3"/>
    <n v="51031768"/>
    <n v="87.28"/>
    <s v="PLATINO"/>
    <n v="86"/>
    <d v="2026-02-27T15:47:24"/>
  </r>
  <r>
    <n v="10810"/>
    <x v="3"/>
    <n v="51022637"/>
    <n v="88.98"/>
    <s v="PLATINO"/>
    <n v="13"/>
    <d v="2026-02-27T15:47:24"/>
  </r>
  <r>
    <n v="10811"/>
    <x v="3"/>
    <n v="51010124"/>
    <n v="87.069876085634064"/>
    <s v="PLATINO"/>
    <n v="98"/>
    <d v="2026-02-27T15:47:24"/>
  </r>
  <r>
    <n v="10812"/>
    <x v="3"/>
    <n v="51012020"/>
    <n v="88.38"/>
    <s v="PLATINO"/>
    <n v="28"/>
    <d v="2026-02-27T15:47:24"/>
  </r>
  <r>
    <n v="10813"/>
    <x v="3"/>
    <n v="51029968"/>
    <n v="87.892333750355675"/>
    <s v="PLATINO"/>
    <n v="49"/>
    <d v="2026-02-27T15:47:24"/>
  </r>
  <r>
    <n v="10814"/>
    <x v="3"/>
    <n v="51025202"/>
    <n v="76.92131443487412"/>
    <s v="PLATINO"/>
    <n v="547"/>
    <d v="2026-02-27T15:47:24"/>
  </r>
  <r>
    <n v="10815"/>
    <x v="3"/>
    <n v="51003667"/>
    <n v="86.48"/>
    <s v="PLATINO"/>
    <n v="124"/>
    <d v="2026-02-27T15:47:24"/>
  </r>
  <r>
    <n v="10816"/>
    <x v="3"/>
    <n v="51026691"/>
    <n v="85.591077911310293"/>
    <s v="PLATINO"/>
    <n v="174"/>
    <d v="2026-02-27T15:47:24"/>
  </r>
  <r>
    <n v="10817"/>
    <x v="3"/>
    <n v="51023145"/>
    <n v="87.718520785513533"/>
    <s v="PLATINO"/>
    <n v="62"/>
    <d v="2026-02-27T15:47:24"/>
  </r>
  <r>
    <n v="10818"/>
    <x v="3"/>
    <n v="51056001"/>
    <n v="84.280243713064721"/>
    <s v="PLATINO"/>
    <n v="231"/>
    <d v="2026-02-27T15:47:24"/>
  </r>
  <r>
    <n v="10819"/>
    <x v="3"/>
    <n v="51019652"/>
    <n v="87.740000000000009"/>
    <s v="PLATINO"/>
    <n v="60"/>
    <d v="2026-02-27T15:47:24"/>
  </r>
  <r>
    <n v="10820"/>
    <x v="3"/>
    <n v="51011368"/>
    <n v="88.13853749841067"/>
    <s v="PLATINO"/>
    <n v="37"/>
    <d v="2026-02-27T15:47:24"/>
  </r>
  <r>
    <n v="10821"/>
    <x v="3"/>
    <n v="51055047"/>
    <n v="87.66"/>
    <s v="PLATINO"/>
    <n v="66"/>
    <d v="2026-02-27T15:47:24"/>
  </r>
  <r>
    <n v="10822"/>
    <x v="3"/>
    <n v="51018176"/>
    <n v="72.016978327441961"/>
    <s v="ORO"/>
    <n v="630"/>
    <d v="2026-02-27T15:47:24"/>
  </r>
  <r>
    <n v="10823"/>
    <x v="3"/>
    <n v="51015622"/>
    <n v="88.92"/>
    <s v="PLATINO"/>
    <n v="16"/>
    <d v="2026-02-27T15:47:24"/>
  </r>
  <r>
    <n v="10824"/>
    <x v="3"/>
    <n v="51054946"/>
    <n v="86.68956973124746"/>
    <s v="PLATINO"/>
    <n v="117"/>
    <d v="2026-02-27T15:47:24"/>
  </r>
  <r>
    <n v="10825"/>
    <x v="3"/>
    <n v="51016220"/>
    <n v="81.835331273161046"/>
    <s v="PLATINO"/>
    <n v="352"/>
    <d v="2026-02-27T15:47:24"/>
  </r>
  <r>
    <n v="10826"/>
    <x v="3"/>
    <n v="51025385"/>
    <n v="78.080009228483149"/>
    <s v="PLATINO"/>
    <n v="495"/>
    <d v="2026-02-27T15:47:24"/>
  </r>
  <r>
    <n v="10827"/>
    <x v="3"/>
    <n v="51057163"/>
    <n v="88.745609522651193"/>
    <s v="PLATINO"/>
    <n v="20"/>
    <d v="2026-02-27T15:47:24"/>
  </r>
  <r>
    <n v="10828"/>
    <x v="3"/>
    <n v="51055985"/>
    <n v="67.245878436913159"/>
    <s v="ORO"/>
    <n v="666"/>
    <d v="2026-02-27T15:47:24"/>
  </r>
  <r>
    <n v="10829"/>
    <x v="3"/>
    <n v="51032993"/>
    <n v="88.118527700415157"/>
    <s v="PLATINO"/>
    <n v="39"/>
    <d v="2026-02-27T15:47:24"/>
  </r>
  <r>
    <n v="10830"/>
    <x v="3"/>
    <n v="51015088"/>
    <n v="87.864789303808195"/>
    <s v="PLATINO"/>
    <n v="52"/>
    <d v="2026-02-27T15:47:24"/>
  </r>
  <r>
    <n v="10831"/>
    <x v="3"/>
    <n v="51035658"/>
    <n v="87.08"/>
    <s v="PLATINO"/>
    <n v="96"/>
    <d v="2026-02-27T15:47:24"/>
  </r>
  <r>
    <n v="10832"/>
    <x v="3"/>
    <n v="51016726"/>
    <n v="87.78"/>
    <s v="PLATINO"/>
    <n v="58"/>
    <d v="2026-02-27T15:47:24"/>
  </r>
  <r>
    <n v="10833"/>
    <x v="3"/>
    <n v="51019342"/>
    <n v="17.783130878417751"/>
    <s v="BRONCE"/>
    <n v="1007"/>
    <d v="2026-02-27T15:47:24"/>
  </r>
  <r>
    <n v="10834"/>
    <x v="3"/>
    <n v="51014162"/>
    <n v="86.366470754180114"/>
    <s v="PLATINO"/>
    <n v="135"/>
    <d v="2026-02-27T15:47:24"/>
  </r>
  <r>
    <n v="10835"/>
    <x v="3"/>
    <n v="51022360"/>
    <n v="81.460000000000008"/>
    <s v="PLATINO"/>
    <n v="372"/>
    <d v="2026-02-27T15:47:24"/>
  </r>
  <r>
    <n v="10836"/>
    <x v="3"/>
    <n v="51040848"/>
    <n v="68.302299633907566"/>
    <s v="ORO"/>
    <n v="660"/>
    <d v="2026-02-27T15:47:24"/>
  </r>
  <r>
    <n v="10837"/>
    <x v="3"/>
    <n v="51022696"/>
    <n v="86.857297941237505"/>
    <s v="PLATINO"/>
    <n v="108"/>
    <d v="2026-02-27T15:47:24"/>
  </r>
  <r>
    <n v="10838"/>
    <x v="3"/>
    <n v="51056426"/>
    <n v="88.86"/>
    <s v="PLATINO"/>
    <n v="17"/>
    <d v="2026-02-27T15:47:24"/>
  </r>
  <r>
    <n v="10839"/>
    <x v="3"/>
    <n v="51011350"/>
    <n v="87.297966910782208"/>
    <s v="PLATINO"/>
    <n v="85"/>
    <d v="2026-02-27T15:47:24"/>
  </r>
  <r>
    <n v="10840"/>
    <x v="3"/>
    <n v="51024087"/>
    <n v="87.925652702857164"/>
    <s v="PLATINO"/>
    <n v="47"/>
    <d v="2026-02-27T15:47:24"/>
  </r>
  <r>
    <n v="10841"/>
    <x v="3"/>
    <n v="51005171"/>
    <n v="87.34"/>
    <s v="PLATINO"/>
    <n v="82"/>
    <d v="2026-02-27T15:47:24"/>
  </r>
  <r>
    <n v="10842"/>
    <x v="3"/>
    <n v="51005864"/>
    <n v="48.405050355363556"/>
    <s v="PLATA"/>
    <n v="862"/>
    <d v="2026-02-27T15:47:24"/>
  </r>
  <r>
    <n v="10843"/>
    <x v="3"/>
    <n v="51040317"/>
    <n v="87.569044304188765"/>
    <s v="PLATINO"/>
    <n v="69"/>
    <d v="2026-02-27T15:47:24"/>
  </r>
  <r>
    <n v="10844"/>
    <x v="3"/>
    <n v="51003926"/>
    <n v="81.520026162956285"/>
    <s v="PLATINO"/>
    <n v="366"/>
    <d v="2026-02-27T15:47:24"/>
  </r>
  <r>
    <n v="10845"/>
    <x v="3"/>
    <n v="51019911"/>
    <n v="86.97119654755177"/>
    <s v="PLATINO"/>
    <n v="104"/>
    <d v="2026-02-27T15:47:24"/>
  </r>
  <r>
    <n v="10846"/>
    <x v="3"/>
    <n v="51022076"/>
    <n v="85.82"/>
    <s v="PLATINO"/>
    <n v="163"/>
    <d v="2026-02-27T15:47:24"/>
  </r>
  <r>
    <n v="10847"/>
    <x v="3"/>
    <n v="51055217"/>
    <n v="65.180000000000007"/>
    <s v="ORO"/>
    <n v="696"/>
    <d v="2026-02-27T15:47:24"/>
  </r>
  <r>
    <n v="10848"/>
    <x v="3"/>
    <n v="51036824"/>
    <n v="65.585998002636472"/>
    <s v="ORO"/>
    <n v="690"/>
    <d v="2026-02-27T15:47:24"/>
  </r>
  <r>
    <n v="10849"/>
    <x v="3"/>
    <n v="51024940"/>
    <n v="87.5"/>
    <s v="PLATINO"/>
    <n v="72"/>
    <d v="2026-02-27T15:47:24"/>
  </r>
  <r>
    <n v="10850"/>
    <x v="3"/>
    <n v="51033531"/>
    <n v="88.14"/>
    <s v="PLATINO"/>
    <n v="36"/>
    <d v="2026-02-27T15:47:24"/>
  </r>
  <r>
    <n v="10851"/>
    <x v="3"/>
    <n v="51032454"/>
    <n v="64.234577942025879"/>
    <s v="ORO"/>
    <n v="718"/>
    <d v="2026-02-27T15:47:24"/>
  </r>
  <r>
    <n v="10852"/>
    <x v="3"/>
    <n v="51014260"/>
    <n v="87.486577685443137"/>
    <s v="PLATINO"/>
    <n v="74"/>
    <d v="2026-02-27T15:47:24"/>
  </r>
  <r>
    <n v="10853"/>
    <x v="3"/>
    <n v="51011414"/>
    <n v="86.279218472263722"/>
    <s v="PLATINO"/>
    <n v="141"/>
    <d v="2026-02-27T15:47:24"/>
  </r>
  <r>
    <n v="10854"/>
    <x v="3"/>
    <n v="51018559"/>
    <n v="20"/>
    <s v="BRONCE"/>
    <n v="923"/>
    <d v="2026-02-27T15:47:24"/>
  </r>
  <r>
    <n v="10855"/>
    <x v="3"/>
    <n v="51014308"/>
    <n v="81.969967125237972"/>
    <s v="PLATINO"/>
    <n v="346"/>
    <d v="2026-02-27T15:47:24"/>
  </r>
  <r>
    <n v="10856"/>
    <x v="3"/>
    <n v="51056949"/>
    <n v="86.98"/>
    <s v="PLATINO"/>
    <n v="103"/>
    <d v="2026-02-27T15:47:24"/>
  </r>
  <r>
    <n v="10857"/>
    <x v="3"/>
    <n v="51022173"/>
    <n v="86.204999999999998"/>
    <s v="PLATINO"/>
    <n v="146"/>
    <d v="2026-02-27T15:47:24"/>
  </r>
  <r>
    <n v="10858"/>
    <x v="3"/>
    <n v="51023765"/>
    <n v="87.812168166674368"/>
    <s v="PLATINO"/>
    <n v="56"/>
    <d v="2026-02-27T15:47:24"/>
  </r>
  <r>
    <n v="10859"/>
    <x v="3"/>
    <n v="51038908"/>
    <n v="87.900385639795957"/>
    <s v="PLATINO"/>
    <n v="48"/>
    <d v="2026-02-27T15:47:24"/>
  </r>
  <r>
    <n v="10860"/>
    <x v="3"/>
    <n v="51013158"/>
    <n v="85.66276820051273"/>
    <s v="PLATINO"/>
    <n v="171"/>
    <d v="2026-02-27T15:47:24"/>
  </r>
  <r>
    <n v="10861"/>
    <x v="3"/>
    <n v="51024176"/>
    <n v="58.114916937824248"/>
    <s v="ORO"/>
    <n v="829"/>
    <d v="2026-02-27T15:47:24"/>
  </r>
  <r>
    <n v="10862"/>
    <x v="3"/>
    <n v="51000196"/>
    <n v="63.78"/>
    <s v="ORO"/>
    <n v="723"/>
    <d v="2026-02-27T15:47:24"/>
  </r>
  <r>
    <n v="10863"/>
    <x v="3"/>
    <n v="51024672"/>
    <n v="75.657223317376577"/>
    <s v="PLATINO"/>
    <n v="580"/>
    <d v="2026-02-27T15:47:24"/>
  </r>
  <r>
    <n v="10864"/>
    <x v="3"/>
    <n v="51021657"/>
    <n v="19.96"/>
    <s v="BRONCE"/>
    <n v="980"/>
    <d v="2026-02-27T15:47:24"/>
  </r>
  <r>
    <n v="10865"/>
    <x v="3"/>
    <n v="51042263"/>
    <n v="86.843573857988744"/>
    <s v="PLATINO"/>
    <n v="109"/>
    <d v="2026-02-27T15:47:24"/>
  </r>
  <r>
    <n v="10866"/>
    <x v="3"/>
    <n v="51055365"/>
    <n v="88.22"/>
    <s v="PLATINO"/>
    <n v="31"/>
    <d v="2026-02-27T15:47:24"/>
  </r>
  <r>
    <n v="10867"/>
    <x v="3"/>
    <n v="51031385"/>
    <n v="86.92"/>
    <s v="PLATINO"/>
    <n v="106"/>
    <d v="2026-02-27T15:47:24"/>
  </r>
  <r>
    <n v="10868"/>
    <x v="3"/>
    <n v="51041577"/>
    <n v="81.901169133971763"/>
    <s v="PLATINO"/>
    <n v="349"/>
    <d v="2026-02-27T15:47:24"/>
  </r>
  <r>
    <n v="10869"/>
    <x v="3"/>
    <n v="51018877"/>
    <n v="83.893237580027403"/>
    <s v="PLATINO"/>
    <n v="253"/>
    <d v="2026-02-27T15:47:24"/>
  </r>
  <r>
    <n v="10870"/>
    <x v="3"/>
    <n v="51030303"/>
    <n v="18.142002271002831"/>
    <s v="BRONCE"/>
    <n v="1003"/>
    <d v="2026-02-27T15:47:24"/>
  </r>
  <r>
    <n v="10871"/>
    <x v="3"/>
    <n v="51030613"/>
    <n v="64.4131203721779"/>
    <s v="ORO"/>
    <n v="713"/>
    <d v="2026-02-27T15:47:24"/>
  </r>
  <r>
    <n v="10872"/>
    <x v="3"/>
    <n v="51033761"/>
    <n v="86.45142911895303"/>
    <s v="PLATINO"/>
    <n v="129"/>
    <d v="2026-02-27T15:47:24"/>
  </r>
  <r>
    <n v="10873"/>
    <x v="3"/>
    <n v="51023170"/>
    <n v="88.767580603317157"/>
    <s v="PLATINO"/>
    <n v="19"/>
    <d v="2026-02-27T15:47:24"/>
  </r>
  <r>
    <n v="10874"/>
    <x v="3"/>
    <n v="51030079"/>
    <n v="65.575440765475605"/>
    <s v="ORO"/>
    <n v="691"/>
    <d v="2026-02-27T15:47:24"/>
  </r>
  <r>
    <n v="10875"/>
    <x v="3"/>
    <n v="51034317"/>
    <n v="87.58"/>
    <s v="PLATINO"/>
    <n v="68"/>
    <d v="2026-02-27T15:47:24"/>
  </r>
  <r>
    <n v="10876"/>
    <x v="3"/>
    <n v="51012666"/>
    <n v="85.73335213112999"/>
    <s v="PLATINO"/>
    <n v="167"/>
    <d v="2026-02-27T15:47:24"/>
  </r>
  <r>
    <n v="10877"/>
    <x v="3"/>
    <n v="51036247"/>
    <n v="84.892057288310653"/>
    <s v="PLATINO"/>
    <n v="205"/>
    <d v="2026-02-27T15:47:24"/>
  </r>
  <r>
    <n v="10878"/>
    <x v="3"/>
    <n v="51011325"/>
    <n v="19.989999999999998"/>
    <s v="BRONCE"/>
    <n v="971"/>
    <d v="2026-02-27T15:47:24"/>
  </r>
  <r>
    <n v="10879"/>
    <x v="3"/>
    <n v="51004469"/>
    <n v="84.559872766456678"/>
    <s v="PLATINO"/>
    <n v="215"/>
    <d v="2026-02-27T15:47:24"/>
  </r>
  <r>
    <n v="10880"/>
    <x v="3"/>
    <n v="51020251"/>
    <n v="88.050750501427245"/>
    <s v="PLATINO"/>
    <n v="42"/>
    <d v="2026-02-27T15:47:24"/>
  </r>
  <r>
    <n v="10881"/>
    <x v="3"/>
    <n v="51016793"/>
    <n v="80.008804592776571"/>
    <s v="PLATINO"/>
    <n v="437"/>
    <d v="2026-02-27T15:47:24"/>
  </r>
  <r>
    <n v="10882"/>
    <x v="3"/>
    <n v="51015401"/>
    <n v="87.883559652683857"/>
    <s v="PLATINO"/>
    <n v="50"/>
    <d v="2026-02-27T15:47:24"/>
  </r>
  <r>
    <n v="10883"/>
    <x v="3"/>
    <n v="51056281"/>
    <n v="87.18"/>
    <s v="PLATINO"/>
    <n v="91"/>
    <d v="2026-02-27T15:47:24"/>
  </r>
  <r>
    <n v="10884"/>
    <x v="3"/>
    <n v="51055012"/>
    <n v="86.539999999999992"/>
    <s v="PLATINO"/>
    <n v="121"/>
    <d v="2026-02-27T15:47:24"/>
  </r>
  <r>
    <n v="10885"/>
    <x v="3"/>
    <n v="51006615"/>
    <n v="87.87396448345433"/>
    <s v="PLATINO"/>
    <n v="51"/>
    <d v="2026-02-27T15:47:24"/>
  </r>
  <r>
    <n v="10886"/>
    <x v="3"/>
    <n v="51011724"/>
    <n v="88.12"/>
    <s v="PLATINO"/>
    <n v="38"/>
    <d v="2026-02-27T15:47:24"/>
  </r>
  <r>
    <n v="10887"/>
    <x v="3"/>
    <n v="51010469"/>
    <n v="85.917146169620381"/>
    <s v="PLATINO"/>
    <n v="159"/>
    <d v="2026-02-27T15:47:24"/>
  </r>
  <r>
    <n v="10888"/>
    <x v="3"/>
    <n v="51056191"/>
    <n v="78.086369866193678"/>
    <s v="PLATINO"/>
    <n v="493"/>
    <d v="2026-02-27T15:47:24"/>
  </r>
  <r>
    <n v="10889"/>
    <x v="3"/>
    <n v="51023781"/>
    <n v="65.112046693715371"/>
    <s v="ORO"/>
    <n v="697"/>
    <d v="2026-02-27T15:47:24"/>
  </r>
  <r>
    <n v="10890"/>
    <x v="3"/>
    <n v="51056221"/>
    <n v="86.267297121427148"/>
    <s v="PLATINO"/>
    <n v="144"/>
    <d v="2026-02-27T15:47:24"/>
  </r>
  <r>
    <n v="10891"/>
    <x v="3"/>
    <n v="51018443"/>
    <n v="88.04"/>
    <s v="PLATINO"/>
    <n v="43"/>
    <d v="2026-02-27T15:47:24"/>
  </r>
  <r>
    <n v="10892"/>
    <x v="3"/>
    <n v="51023757"/>
    <n v="86.353500134436501"/>
    <s v="PLATINO"/>
    <n v="137"/>
    <d v="2026-02-27T15:47:24"/>
  </r>
  <r>
    <n v="10893"/>
    <x v="3"/>
    <n v="51055357"/>
    <n v="84.34"/>
    <s v="PLATINO"/>
    <n v="225"/>
    <d v="2026-02-27T15:47:24"/>
  </r>
  <r>
    <n v="10894"/>
    <x v="3"/>
    <n v="51021576"/>
    <n v="85.011757915175366"/>
    <s v="PLATINO"/>
    <n v="199"/>
    <d v="2026-02-27T15:47:24"/>
  </r>
  <r>
    <n v="10895"/>
    <x v="3"/>
    <n v="51018591"/>
    <n v="86.008652070174236"/>
    <s v="PLATINO"/>
    <n v="153"/>
    <d v="2026-02-27T15:47:24"/>
  </r>
  <r>
    <n v="10896"/>
    <x v="3"/>
    <n v="51023471"/>
    <n v="85.225449122147424"/>
    <s v="PLATINO"/>
    <n v="190"/>
    <d v="2026-02-27T15:47:24"/>
  </r>
  <r>
    <n v="10897"/>
    <x v="3"/>
    <n v="51031393"/>
    <n v="66.72"/>
    <s v="ORO"/>
    <n v="672"/>
    <d v="2026-02-27T15:47:24"/>
  </r>
  <r>
    <n v="10898"/>
    <x v="3"/>
    <n v="51025971"/>
    <n v="19.998000000000001"/>
    <s v="BRONCE"/>
    <n v="951"/>
    <d v="2026-02-27T15:47:24"/>
  </r>
  <r>
    <n v="10899"/>
    <x v="3"/>
    <n v="51020880"/>
    <n v="87.06"/>
    <s v="PLATINO"/>
    <n v="99"/>
    <d v="2026-02-27T15:47:24"/>
  </r>
  <r>
    <n v="10900"/>
    <x v="3"/>
    <n v="51023056"/>
    <n v="86.76"/>
    <s v="PLATINO"/>
    <n v="114"/>
    <d v="2026-02-27T15:47:24"/>
  </r>
  <r>
    <n v="10901"/>
    <x v="3"/>
    <n v="51022688"/>
    <n v="84.490436346846735"/>
    <s v="PLATINO"/>
    <n v="217"/>
    <d v="2026-02-27T15:47:24"/>
  </r>
  <r>
    <n v="10902"/>
    <x v="3"/>
    <n v="51012747"/>
    <n v="82.781934091516533"/>
    <s v="PLATINO"/>
    <n v="305"/>
    <d v="2026-02-27T15:47:24"/>
  </r>
  <r>
    <n v="10903"/>
    <x v="3"/>
    <n v="51032900"/>
    <n v="68.189552208288021"/>
    <s v="ORO"/>
    <n v="662"/>
    <d v="2026-02-27T15:47:24"/>
  </r>
  <r>
    <n v="10904"/>
    <x v="3"/>
    <n v="51056434"/>
    <n v="87.141575666606258"/>
    <s v="PLATINO"/>
    <n v="95"/>
    <d v="2026-02-27T15:47:24"/>
  </r>
  <r>
    <n v="10905"/>
    <x v="3"/>
    <n v="51019261"/>
    <n v="63.574500865128861"/>
    <s v="ORO"/>
    <n v="724"/>
    <d v="2026-02-27T15:47:24"/>
  </r>
  <r>
    <n v="10906"/>
    <x v="3"/>
    <n v="51018486"/>
    <n v="85.460000000000008"/>
    <s v="PLATINO"/>
    <n v="185"/>
    <d v="2026-02-27T15:47:24"/>
  </r>
  <r>
    <n v="10907"/>
    <x v="3"/>
    <n v="51005732"/>
    <n v="75.917985333880353"/>
    <s v="PLATINO"/>
    <n v="572"/>
    <d v="2026-02-27T15:47:24"/>
  </r>
  <r>
    <n v="10908"/>
    <x v="3"/>
    <n v="51039785"/>
    <n v="84.021473001457053"/>
    <s v="PLATINO"/>
    <n v="245"/>
    <d v="2026-02-27T15:47:24"/>
  </r>
  <r>
    <n v="10909"/>
    <x v="3"/>
    <n v="51025865"/>
    <n v="88.075638212283792"/>
    <s v="PLATINO"/>
    <n v="41"/>
    <d v="2026-02-27T15:47:24"/>
  </r>
  <r>
    <n v="10910"/>
    <x v="3"/>
    <n v="51015657"/>
    <n v="65.960000000000008"/>
    <s v="ORO"/>
    <n v="682"/>
    <d v="2026-02-27T15:47:24"/>
  </r>
  <r>
    <n v="10911"/>
    <x v="3"/>
    <n v="51001168"/>
    <n v="69.813365641475997"/>
    <s v="ORO"/>
    <n v="646"/>
    <d v="2026-02-27T15:47:24"/>
  </r>
  <r>
    <n v="10912"/>
    <x v="3"/>
    <n v="51021380"/>
    <n v="78.084515032471671"/>
    <s v="PLATINO"/>
    <n v="494"/>
    <d v="2026-02-27T15:47:24"/>
  </r>
  <r>
    <n v="10913"/>
    <x v="3"/>
    <n v="51011970"/>
    <n v="83.149492424809665"/>
    <s v="PLATINO"/>
    <n v="289"/>
    <d v="2026-02-27T15:47:24"/>
  </r>
  <r>
    <n v="10914"/>
    <x v="3"/>
    <n v="51036697"/>
    <n v="33.858618343641638"/>
    <s v="PLATA"/>
    <n v="903"/>
    <d v="2026-02-27T15:47:24"/>
  </r>
  <r>
    <n v="10915"/>
    <x v="3"/>
    <n v="51009061"/>
    <n v="56.187527051832127"/>
    <s v="ORO"/>
    <n v="836"/>
    <d v="2026-02-27T15:47:24"/>
  </r>
  <r>
    <n v="10916"/>
    <x v="3"/>
    <n v="51013824"/>
    <n v="87"/>
    <s v="PLATINO"/>
    <n v="102"/>
    <d v="2026-02-27T15:47:24"/>
  </r>
  <r>
    <n v="10917"/>
    <x v="3"/>
    <n v="51009240"/>
    <n v="63.08642679455167"/>
    <s v="ORO"/>
    <n v="730"/>
    <d v="2026-02-27T15:47:24"/>
  </r>
  <r>
    <n v="10918"/>
    <x v="3"/>
    <n v="51001061"/>
    <n v="61.96283290663834"/>
    <s v="ORO"/>
    <n v="757"/>
    <d v="2026-02-27T15:47:24"/>
  </r>
  <r>
    <n v="10919"/>
    <x v="3"/>
    <n v="51018621"/>
    <n v="19.796824283631921"/>
    <s v="BRONCE"/>
    <n v="988"/>
    <d v="2026-02-27T15:47:24"/>
  </r>
  <r>
    <n v="10920"/>
    <x v="3"/>
    <n v="51011031"/>
    <n v="88.320000000000007"/>
    <s v="PLATINO"/>
    <n v="29"/>
    <d v="2026-02-27T15:47:24"/>
  </r>
  <r>
    <n v="10921"/>
    <x v="3"/>
    <n v="51013239"/>
    <n v="63.1"/>
    <s v="ORO"/>
    <n v="729"/>
    <d v="2026-02-27T15:47:24"/>
  </r>
  <r>
    <n v="10922"/>
    <x v="3"/>
    <n v="51030281"/>
    <n v="84.311793264736821"/>
    <s v="PLATINO"/>
    <n v="228"/>
    <d v="2026-02-27T15:47:24"/>
  </r>
  <r>
    <n v="10923"/>
    <x v="3"/>
    <n v="51055829"/>
    <n v="40.45044397749399"/>
    <s v="PLATA"/>
    <n v="882"/>
    <d v="2026-02-27T15:47:24"/>
  </r>
  <r>
    <n v="10924"/>
    <x v="3"/>
    <n v="51023919"/>
    <n v="73.299468679993453"/>
    <s v="ORO"/>
    <n v="608"/>
    <d v="2026-02-27T15:47:24"/>
  </r>
  <r>
    <n v="10925"/>
    <x v="3"/>
    <n v="51031610"/>
    <n v="86.718254987460142"/>
    <s v="PLATINO"/>
    <n v="116"/>
    <d v="2026-02-27T15:47:24"/>
  </r>
  <r>
    <n v="10926"/>
    <x v="3"/>
    <n v="51024141"/>
    <n v="88.44"/>
    <s v="PLATINO"/>
    <n v="26"/>
    <d v="2026-02-27T15:47:24"/>
  </r>
  <r>
    <n v="10927"/>
    <x v="3"/>
    <n v="51023137"/>
    <n v="85.82"/>
    <s v="PLATINO"/>
    <n v="163"/>
    <d v="2026-02-27T15:47:24"/>
  </r>
  <r>
    <n v="10928"/>
    <x v="3"/>
    <n v="51026578"/>
    <n v="82.263549819377999"/>
    <s v="PLATINO"/>
    <n v="335"/>
    <d v="2026-02-27T15:47:24"/>
  </r>
  <r>
    <n v="10929"/>
    <x v="3"/>
    <n v="51017986"/>
    <n v="86.32"/>
    <s v="PLATINO"/>
    <n v="139"/>
    <d v="2026-02-27T15:47:24"/>
  </r>
  <r>
    <n v="10930"/>
    <x v="3"/>
    <n v="51055373"/>
    <n v="88.146334949204132"/>
    <s v="PLATINO"/>
    <n v="35"/>
    <d v="2026-02-27T15:47:24"/>
  </r>
  <r>
    <n v="10931"/>
    <x v="3"/>
    <n v="51013794"/>
    <n v="64.861888304046104"/>
    <s v="ORO"/>
    <n v="704"/>
    <d v="2026-02-27T15:47:24"/>
  </r>
  <r>
    <n v="10932"/>
    <x v="3"/>
    <n v="51033141"/>
    <n v="86.125625980564052"/>
    <s v="PLATINO"/>
    <n v="147"/>
    <d v="2026-02-27T15:47:24"/>
  </r>
  <r>
    <n v="10933"/>
    <x v="3"/>
    <n v="51056612"/>
    <n v="35.703614607219393"/>
    <s v="PLATA"/>
    <n v="897"/>
    <d v="2026-02-27T15:47:24"/>
  </r>
  <r>
    <n v="10934"/>
    <x v="3"/>
    <n v="51032071"/>
    <n v="87.08"/>
    <s v="PLATINO"/>
    <n v="96"/>
    <d v="2026-02-27T15:47:24"/>
  </r>
  <r>
    <n v="10935"/>
    <x v="3"/>
    <n v="51031121"/>
    <n v="83.307245615520799"/>
    <s v="PLATINO"/>
    <n v="277"/>
    <d v="2026-02-27T15:47:24"/>
  </r>
  <r>
    <n v="10936"/>
    <x v="3"/>
    <n v="51056981"/>
    <n v="58.112590917764841"/>
    <s v="ORO"/>
    <n v="830"/>
    <d v="2026-02-27T15:47:24"/>
  </r>
  <r>
    <n v="10937"/>
    <x v="3"/>
    <n v="51022424"/>
    <n v="9.9980000000000011"/>
    <s v="BRONCE"/>
    <n v="1178"/>
    <d v="2026-02-27T15:47:24"/>
  </r>
  <r>
    <n v="10938"/>
    <x v="3"/>
    <n v="51025920"/>
    <n v="86.458384380167104"/>
    <s v="PLATINO"/>
    <n v="128"/>
    <d v="2026-02-27T15:47:24"/>
  </r>
  <r>
    <n v="10939"/>
    <x v="3"/>
    <n v="51056388"/>
    <n v="87.694148312036134"/>
    <s v="PLATINO"/>
    <n v="64"/>
    <d v="2026-02-27T15:47:24"/>
  </r>
  <r>
    <n v="10940"/>
    <x v="3"/>
    <n v="51033485"/>
    <n v="63.833241100346378"/>
    <s v="ORO"/>
    <n v="722"/>
    <d v="2026-02-27T15:47:24"/>
  </r>
  <r>
    <n v="10941"/>
    <x v="3"/>
    <n v="51041615"/>
    <n v="62.693599543182771"/>
    <s v="ORO"/>
    <n v="739"/>
    <d v="2026-02-27T15:47:24"/>
  </r>
  <r>
    <n v="10942"/>
    <x v="3"/>
    <n v="51017641"/>
    <n v="86.458769805636337"/>
    <s v="PLATINO"/>
    <n v="127"/>
    <d v="2026-02-27T15:47:24"/>
  </r>
  <r>
    <n v="10943"/>
    <x v="3"/>
    <n v="51005741"/>
    <n v="83.94"/>
    <s v="PLATINO"/>
    <n v="250"/>
    <d v="2026-02-27T15:47:24"/>
  </r>
  <r>
    <n v="10944"/>
    <x v="3"/>
    <n v="51011996"/>
    <n v="83.740000000000009"/>
    <s v="PLATINO"/>
    <n v="263"/>
    <d v="2026-02-27T15:47:24"/>
  </r>
  <r>
    <n v="10945"/>
    <x v="3"/>
    <n v="51025440"/>
    <n v="83.259999999999991"/>
    <s v="PLATINO"/>
    <n v="281"/>
    <d v="2026-02-27T15:47:24"/>
  </r>
  <r>
    <n v="10946"/>
    <x v="3"/>
    <n v="51055993"/>
    <n v="64.960000000000008"/>
    <s v="ORO"/>
    <n v="702"/>
    <d v="2026-02-27T15:47:24"/>
  </r>
  <r>
    <n v="10947"/>
    <x v="3"/>
    <n v="51021231"/>
    <n v="86.352240338156179"/>
    <s v="PLATINO"/>
    <n v="138"/>
    <d v="2026-02-27T15:47:24"/>
  </r>
  <r>
    <n v="10948"/>
    <x v="3"/>
    <n v="51024125"/>
    <n v="49.46069153909928"/>
    <s v="PLATA"/>
    <n v="860"/>
    <d v="2026-02-27T15:47:24"/>
  </r>
  <r>
    <n v="10949"/>
    <x v="3"/>
    <n v="51014359"/>
    <n v="20"/>
    <s v="BRONCE"/>
    <n v="923"/>
    <d v="2026-02-27T15:47:24"/>
  </r>
  <r>
    <n v="10950"/>
    <x v="3"/>
    <n v="51024681"/>
    <n v="88.1"/>
    <s v="PLATINO"/>
    <n v="40"/>
    <d v="2026-02-27T15:47:24"/>
  </r>
  <r>
    <n v="10951"/>
    <x v="3"/>
    <n v="51024001"/>
    <n v="87.7"/>
    <s v="PLATINO"/>
    <n v="63"/>
    <d v="2026-02-27T15:47:24"/>
  </r>
  <r>
    <n v="10952"/>
    <x v="3"/>
    <n v="51023480"/>
    <n v="39.340000000000003"/>
    <s v="PLATA"/>
    <n v="887"/>
    <d v="2026-02-27T15:47:24"/>
  </r>
  <r>
    <n v="10953"/>
    <x v="3"/>
    <n v="51020405"/>
    <n v="66.650000000000006"/>
    <s v="ORO"/>
    <n v="674"/>
    <d v="2026-02-27T15:47:24"/>
  </r>
  <r>
    <n v="10954"/>
    <x v="3"/>
    <n v="51044070"/>
    <n v="66.693006363940867"/>
    <s v="ORO"/>
    <n v="673"/>
    <d v="2026-02-27T15:47:24"/>
  </r>
  <r>
    <n v="10955"/>
    <x v="3"/>
    <n v="51032110"/>
    <n v="83.319486658230105"/>
    <s v="PLATINO"/>
    <n v="276"/>
    <d v="2026-02-27T15:47:24"/>
  </r>
  <r>
    <n v="10956"/>
    <x v="3"/>
    <n v="51036123"/>
    <n v="64.740000000000009"/>
    <s v="ORO"/>
    <n v="706"/>
    <d v="2026-02-27T15:47:24"/>
  </r>
  <r>
    <n v="10957"/>
    <x v="3"/>
    <n v="51056078"/>
    <n v="69.168987126021534"/>
    <s v="ORO"/>
    <n v="653"/>
    <d v="2026-02-27T15:47:24"/>
  </r>
  <r>
    <n v="10958"/>
    <x v="3"/>
    <n v="51012445"/>
    <n v="66.118188842943937"/>
    <s v="ORO"/>
    <n v="679"/>
    <d v="2026-02-27T15:47:24"/>
  </r>
  <r>
    <n v="10959"/>
    <x v="3"/>
    <n v="51019661"/>
    <n v="85.72"/>
    <s v="PLATINO"/>
    <n v="169"/>
    <d v="2026-02-27T15:47:24"/>
  </r>
  <r>
    <n v="10960"/>
    <x v="3"/>
    <n v="51021894"/>
    <n v="15.81971716314094"/>
    <s v="BRONCE"/>
    <n v="1021"/>
    <d v="2026-02-27T15:47:24"/>
  </r>
  <r>
    <n v="10961"/>
    <x v="3"/>
    <n v="51018575"/>
    <n v="87.376245061777666"/>
    <s v="PLATINO"/>
    <n v="80"/>
    <d v="2026-02-27T15:47:24"/>
  </r>
  <r>
    <n v="10962"/>
    <x v="3"/>
    <n v="51031652"/>
    <n v="87.18"/>
    <s v="PLATINO"/>
    <n v="91"/>
    <d v="2026-02-27T15:47:24"/>
  </r>
  <r>
    <n v="10963"/>
    <x v="3"/>
    <n v="51040627"/>
    <n v="78.536925192659481"/>
    <s v="PLATINO"/>
    <n v="478"/>
    <d v="2026-02-27T15:47:24"/>
  </r>
  <r>
    <n v="10964"/>
    <x v="3"/>
    <n v="51031253"/>
    <n v="41.016992202236843"/>
    <s v="PLATA"/>
    <n v="881"/>
    <d v="2026-02-27T15:47:24"/>
  </r>
  <r>
    <n v="10965"/>
    <x v="3"/>
    <n v="51034350"/>
    <n v="85.479931712423806"/>
    <s v="PLATINO"/>
    <n v="184"/>
    <d v="2026-02-27T15:47:24"/>
  </r>
  <r>
    <n v="10966"/>
    <x v="3"/>
    <n v="51022220"/>
    <n v="64.822235852482592"/>
    <s v="ORO"/>
    <n v="705"/>
    <d v="2026-02-27T15:47:24"/>
  </r>
  <r>
    <n v="10967"/>
    <x v="3"/>
    <n v="51019512"/>
    <n v="84.47999999999999"/>
    <s v="PLATINO"/>
    <n v="219"/>
    <d v="2026-02-27T15:47:24"/>
  </r>
  <r>
    <n v="10968"/>
    <x v="3"/>
    <n v="51014391"/>
    <n v="74.215232025226271"/>
    <s v="ORO"/>
    <n v="596"/>
    <d v="2026-02-27T15:47:24"/>
  </r>
  <r>
    <n v="10969"/>
    <x v="3"/>
    <n v="51042689"/>
    <n v="65.099999999999994"/>
    <s v="ORO"/>
    <n v="698"/>
    <d v="2026-02-27T15:47:24"/>
  </r>
  <r>
    <n v="10970"/>
    <x v="3"/>
    <n v="51013867"/>
    <n v="89.392281018672975"/>
    <s v="PLATINO"/>
    <n v="7"/>
    <d v="2026-02-27T15:47:24"/>
  </r>
  <r>
    <n v="10971"/>
    <x v="3"/>
    <n v="51021258"/>
    <n v="84.14"/>
    <s v="PLATINO"/>
    <n v="241"/>
    <d v="2026-02-27T15:47:24"/>
  </r>
  <r>
    <n v="10972"/>
    <x v="3"/>
    <n v="51024591"/>
    <n v="86.388842068032133"/>
    <s v="PLATINO"/>
    <n v="134"/>
    <d v="2026-02-27T15:47:24"/>
  </r>
  <r>
    <n v="10973"/>
    <x v="3"/>
    <n v="51021665"/>
    <n v="85.959412328008966"/>
    <s v="PLATINO"/>
    <n v="155"/>
    <d v="2026-02-27T15:47:24"/>
  </r>
  <r>
    <n v="10974"/>
    <x v="3"/>
    <n v="51030273"/>
    <n v="84.326625131313932"/>
    <s v="PLATINO"/>
    <n v="227"/>
    <d v="2026-02-27T15:47:24"/>
  </r>
  <r>
    <n v="10975"/>
    <x v="3"/>
    <n v="51024559"/>
    <n v="64.253901903099916"/>
    <s v="ORO"/>
    <n v="716"/>
    <d v="2026-02-27T15:47:24"/>
  </r>
  <r>
    <n v="10976"/>
    <x v="3"/>
    <n v="51007565"/>
    <n v="86.65596422836839"/>
    <s v="PLATINO"/>
    <n v="118"/>
    <d v="2026-02-27T15:47:24"/>
  </r>
  <r>
    <n v="10977"/>
    <x v="3"/>
    <n v="51032136"/>
    <n v="62.285426942248279"/>
    <s v="ORO"/>
    <n v="748"/>
    <d v="2026-02-27T15:47:24"/>
  </r>
  <r>
    <n v="10978"/>
    <x v="3"/>
    <n v="51057066"/>
    <n v="65.7350126212649"/>
    <s v="ORO"/>
    <n v="685"/>
    <d v="2026-02-27T15:47:24"/>
  </r>
  <r>
    <n v="10979"/>
    <x v="3"/>
    <n v="51021215"/>
    <n v="84.130023409052654"/>
    <s v="PLATINO"/>
    <n v="242"/>
    <d v="2026-02-27T15:47:24"/>
  </r>
  <r>
    <n v="10980"/>
    <x v="3"/>
    <n v="51040937"/>
    <n v="85.18"/>
    <s v="PLATINO"/>
    <n v="193"/>
    <d v="2026-02-27T15:47:24"/>
  </r>
  <r>
    <n v="10981"/>
    <x v="3"/>
    <n v="51014430"/>
    <n v="84.3"/>
    <s v="PLATINO"/>
    <n v="230"/>
    <d v="2026-02-27T15:47:24"/>
  </r>
  <r>
    <n v="10982"/>
    <x v="3"/>
    <n v="51055853"/>
    <n v="85.26162143535646"/>
    <s v="PLATINO"/>
    <n v="189"/>
    <d v="2026-02-27T15:47:24"/>
  </r>
  <r>
    <n v="10983"/>
    <x v="3"/>
    <n v="51056515"/>
    <n v="87.320191863075351"/>
    <s v="PLATINO"/>
    <n v="83"/>
    <d v="2026-02-27T15:47:24"/>
  </r>
  <r>
    <n v="10984"/>
    <x v="3"/>
    <n v="51020952"/>
    <n v="87.210000000000008"/>
    <s v="PLATINO"/>
    <n v="89"/>
    <d v="2026-02-27T15:47:24"/>
  </r>
  <r>
    <n v="10985"/>
    <x v="3"/>
    <n v="51022611"/>
    <n v="61.769610097699093"/>
    <s v="ORO"/>
    <n v="763"/>
    <d v="2026-02-27T15:47:24"/>
  </r>
  <r>
    <n v="10986"/>
    <x v="3"/>
    <n v="51056761"/>
    <n v="88.188763024483819"/>
    <s v="PLATINO"/>
    <n v="33"/>
    <d v="2026-02-27T15:47:24"/>
  </r>
  <r>
    <n v="10987"/>
    <x v="3"/>
    <n v="51031741"/>
    <n v="87.38"/>
    <s v="PLATINO"/>
    <n v="78"/>
    <d v="2026-02-27T15:47:24"/>
  </r>
  <r>
    <n v="10988"/>
    <x v="3"/>
    <n v="51056469"/>
    <n v="84.539999999999992"/>
    <s v="PLATINO"/>
    <n v="216"/>
    <d v="2026-02-27T15:47:24"/>
  </r>
  <r>
    <n v="10989"/>
    <x v="3"/>
    <n v="51031130"/>
    <n v="86.36"/>
    <s v="PLATINO"/>
    <n v="136"/>
    <d v="2026-02-27T15:47:24"/>
  </r>
  <r>
    <n v="10990"/>
    <x v="3"/>
    <n v="51014855"/>
    <n v="81.514476534691738"/>
    <s v="PLATINO"/>
    <n v="367"/>
    <d v="2026-02-27T15:47:24"/>
  </r>
  <r>
    <n v="10991"/>
    <x v="3"/>
    <n v="51055055"/>
    <n v="81.170107131083839"/>
    <s v="PLATINO"/>
    <n v="386"/>
    <d v="2026-02-27T15:47:24"/>
  </r>
  <r>
    <n v="10992"/>
    <x v="3"/>
    <n v="51008634"/>
    <n v="71.622378810043273"/>
    <s v="ORO"/>
    <n v="633"/>
    <d v="2026-02-27T15:47:24"/>
  </r>
  <r>
    <n v="10993"/>
    <x v="3"/>
    <n v="51021835"/>
    <n v="87.65"/>
    <s v="PLATINO"/>
    <n v="67"/>
    <d v="2026-02-27T15:47:24"/>
  </r>
  <r>
    <n v="10994"/>
    <x v="3"/>
    <n v="51030320"/>
    <n v="45.443094359093017"/>
    <s v="PLATA"/>
    <n v="871"/>
    <d v="2026-02-27T15:47:24"/>
  </r>
  <r>
    <n v="10995"/>
    <x v="3"/>
    <n v="51033701"/>
    <n v="84"/>
    <s v="PLATINO"/>
    <n v="248"/>
    <d v="2026-02-27T15:47:24"/>
  </r>
  <r>
    <n v="10996"/>
    <x v="3"/>
    <n v="51013280"/>
    <n v="76.925275547400091"/>
    <s v="PLATINO"/>
    <n v="546"/>
    <d v="2026-02-27T15:47:24"/>
  </r>
  <r>
    <n v="10997"/>
    <x v="3"/>
    <n v="51022785"/>
    <n v="83.635021123552022"/>
    <s v="PLATINO"/>
    <n v="267"/>
    <d v="2026-02-27T15:47:24"/>
  </r>
  <r>
    <n v="10998"/>
    <x v="3"/>
    <n v="51036310"/>
    <n v="19.63803914014315"/>
    <s v="BRONCE"/>
    <n v="991"/>
    <d v="2026-02-27T15:47:24"/>
  </r>
  <r>
    <n v="10999"/>
    <x v="3"/>
    <n v="51010710"/>
    <n v="19.957999999999998"/>
    <s v="BRONCE"/>
    <n v="982"/>
    <d v="2026-02-27T15:47:24"/>
  </r>
  <r>
    <n v="11000"/>
    <x v="3"/>
    <n v="51034376"/>
    <n v="85.534277604355481"/>
    <s v="PLATINO"/>
    <n v="177"/>
    <d v="2026-02-27T15:47:24"/>
  </r>
  <r>
    <n v="11001"/>
    <x v="3"/>
    <n v="51023561"/>
    <n v="54.003299541084623"/>
    <s v="PLATA"/>
    <n v="841"/>
    <d v="2026-02-27T15:47:24"/>
  </r>
  <r>
    <n v="11002"/>
    <x v="3"/>
    <n v="51025253"/>
    <n v="86.104805595016188"/>
    <s v="PLATINO"/>
    <n v="149"/>
    <d v="2026-02-27T15:47:24"/>
  </r>
  <r>
    <n v="11003"/>
    <x v="3"/>
    <n v="51030176"/>
    <n v="77.29202090429304"/>
    <s v="PLATINO"/>
    <n v="531"/>
    <d v="2026-02-27T15:47:24"/>
  </r>
  <r>
    <n v="11004"/>
    <x v="3"/>
    <n v="51024575"/>
    <n v="83.069934559193172"/>
    <s v="PLATINO"/>
    <n v="293"/>
    <d v="2026-02-27T15:47:24"/>
  </r>
  <r>
    <n v="11005"/>
    <x v="3"/>
    <n v="51005333"/>
    <n v="74.820714443186986"/>
    <s v="ORO"/>
    <n v="592"/>
    <d v="2026-02-27T15:47:24"/>
  </r>
  <r>
    <n v="11006"/>
    <x v="3"/>
    <n v="51030931"/>
    <n v="85.490000000000009"/>
    <s v="PLATINO"/>
    <n v="181"/>
    <d v="2026-02-27T15:47:24"/>
  </r>
  <r>
    <n v="11007"/>
    <x v="3"/>
    <n v="51056027"/>
    <n v="82.478000000000009"/>
    <s v="PLATINO"/>
    <n v="324"/>
    <d v="2026-02-27T15:47:24"/>
  </r>
  <r>
    <n v="11008"/>
    <x v="3"/>
    <n v="51054911"/>
    <n v="29.69959949052172"/>
    <s v="BRONCE"/>
    <n v="912"/>
    <d v="2026-02-27T15:47:24"/>
  </r>
  <r>
    <n v="11009"/>
    <x v="3"/>
    <n v="51030605"/>
    <n v="64.58"/>
    <s v="ORO"/>
    <n v="710"/>
    <d v="2026-02-27T15:47:24"/>
  </r>
  <r>
    <n v="11010"/>
    <x v="3"/>
    <n v="51044487"/>
    <n v="86.727639197715007"/>
    <s v="PLATINO"/>
    <n v="115"/>
    <d v="2026-02-27T15:47:24"/>
  </r>
  <r>
    <n v="11011"/>
    <x v="3"/>
    <n v="51035674"/>
    <n v="85.004547679874619"/>
    <s v="PLATINO"/>
    <n v="200"/>
    <d v="2026-02-27T15:47:24"/>
  </r>
  <r>
    <n v="11012"/>
    <x v="3"/>
    <n v="51055128"/>
    <n v="84.18"/>
    <s v="PLATINO"/>
    <n v="237"/>
    <d v="2026-02-27T15:47:24"/>
  </r>
  <r>
    <n v="11013"/>
    <x v="3"/>
    <n v="51011546"/>
    <n v="86.795081837033436"/>
    <s v="PLATINO"/>
    <n v="113"/>
    <d v="2026-02-27T15:47:24"/>
  </r>
  <r>
    <n v="11014"/>
    <x v="3"/>
    <n v="51031482"/>
    <n v="84.49"/>
    <s v="PLATINO"/>
    <n v="218"/>
    <d v="2026-02-27T15:47:24"/>
  </r>
  <r>
    <n v="11015"/>
    <x v="3"/>
    <n v="51030109"/>
    <n v="86.118771400174808"/>
    <s v="PLATINO"/>
    <n v="148"/>
    <d v="2026-02-27T15:47:24"/>
  </r>
  <r>
    <n v="11016"/>
    <x v="3"/>
    <n v="51022009"/>
    <n v="86.460000000000008"/>
    <s v="PLATINO"/>
    <n v="126"/>
    <d v="2026-02-27T15:47:24"/>
  </r>
  <r>
    <n v="11017"/>
    <x v="3"/>
    <n v="51015932"/>
    <n v="83.799956333954881"/>
    <s v="PLATINO"/>
    <n v="257"/>
    <d v="2026-02-27T15:47:24"/>
  </r>
  <r>
    <n v="11018"/>
    <x v="3"/>
    <n v="51030028"/>
    <n v="86.523417871688039"/>
    <s v="PLATINO"/>
    <n v="122"/>
    <d v="2026-02-27T15:47:24"/>
  </r>
  <r>
    <n v="11019"/>
    <x v="3"/>
    <n v="51030257"/>
    <n v="65.207975591635744"/>
    <s v="ORO"/>
    <n v="695"/>
    <d v="2026-02-27T15:47:24"/>
  </r>
  <r>
    <n v="11020"/>
    <x v="3"/>
    <n v="51055489"/>
    <n v="86.58"/>
    <s v="PLATINO"/>
    <n v="119"/>
    <d v="2026-02-27T15:47:24"/>
  </r>
  <r>
    <n v="11021"/>
    <x v="3"/>
    <n v="51019423"/>
    <n v="88.218000000000004"/>
    <s v="PLATINO"/>
    <n v="32"/>
    <d v="2026-02-27T15:47:24"/>
  </r>
  <r>
    <n v="11022"/>
    <x v="3"/>
    <n v="51000811"/>
    <n v="84.276819255342275"/>
    <s v="PLATINO"/>
    <n v="232"/>
    <d v="2026-02-27T15:47:24"/>
  </r>
  <r>
    <n v="11023"/>
    <x v="3"/>
    <n v="51057040"/>
    <n v="81.504999999999995"/>
    <s v="PLATINO"/>
    <n v="368"/>
    <d v="2026-02-27T15:47:24"/>
  </r>
  <r>
    <n v="11024"/>
    <x v="3"/>
    <n v="51055101"/>
    <n v="26.09638804514838"/>
    <s v="BRONCE"/>
    <n v="917"/>
    <d v="2026-02-27T15:47:24"/>
  </r>
  <r>
    <n v="11025"/>
    <x v="3"/>
    <n v="51016386"/>
    <n v="86.460621260213955"/>
    <s v="PLATINO"/>
    <n v="125"/>
    <d v="2026-02-27T15:47:24"/>
  </r>
  <r>
    <n v="11026"/>
    <x v="3"/>
    <n v="51003594"/>
    <n v="69.432991710808253"/>
    <s v="ORO"/>
    <n v="652"/>
    <d v="2026-02-27T15:47:24"/>
  </r>
  <r>
    <n v="11027"/>
    <x v="3"/>
    <n v="51030923"/>
    <n v="82.141530332573467"/>
    <s v="PLATINO"/>
    <n v="339"/>
    <d v="2026-02-27T15:47:24"/>
  </r>
  <r>
    <n v="11028"/>
    <x v="3"/>
    <n v="51043197"/>
    <n v="61.383073223697437"/>
    <s v="ORO"/>
    <n v="776"/>
    <d v="2026-02-27T15:47:24"/>
  </r>
  <r>
    <n v="11029"/>
    <x v="3"/>
    <n v="51022823"/>
    <n v="80.064997795812388"/>
    <s v="PLATINO"/>
    <n v="433"/>
    <d v="2026-02-27T15:47:24"/>
  </r>
  <r>
    <n v="11030"/>
    <x v="3"/>
    <n v="51056060"/>
    <n v="83.18"/>
    <s v="PLATINO"/>
    <n v="287"/>
    <d v="2026-02-27T15:47:24"/>
  </r>
  <r>
    <n v="11031"/>
    <x v="3"/>
    <n v="51024419"/>
    <n v="19.998000000000001"/>
    <s v="BRONCE"/>
    <n v="951"/>
    <d v="2026-02-27T15:47:24"/>
  </r>
  <r>
    <n v="11032"/>
    <x v="3"/>
    <n v="51025326"/>
    <n v="39.437117062348882"/>
    <s v="PLATA"/>
    <n v="886"/>
    <d v="2026-02-27T15:47:24"/>
  </r>
  <r>
    <n v="11033"/>
    <x v="3"/>
    <n v="51020014"/>
    <n v="85.182222027037355"/>
    <s v="PLATINO"/>
    <n v="192"/>
    <d v="2026-02-27T15:47:24"/>
  </r>
  <r>
    <n v="11034"/>
    <x v="3"/>
    <n v="51055951"/>
    <n v="87.013230522008882"/>
    <s v="PLATINO"/>
    <n v="101"/>
    <d v="2026-02-27T15:47:24"/>
  </r>
  <r>
    <n v="11035"/>
    <x v="3"/>
    <n v="51016882"/>
    <n v="61.9"/>
    <s v="ORO"/>
    <n v="759"/>
    <d v="2026-02-27T15:47:24"/>
  </r>
  <r>
    <n v="11036"/>
    <x v="3"/>
    <n v="51043405"/>
    <n v="78.839361476731924"/>
    <s v="PLATINO"/>
    <n v="472"/>
    <d v="2026-02-27T15:47:24"/>
  </r>
  <r>
    <n v="11037"/>
    <x v="3"/>
    <n v="51008987"/>
    <n v="83.42"/>
    <s v="PLATINO"/>
    <n v="272"/>
    <d v="2026-02-27T15:47:24"/>
  </r>
  <r>
    <n v="11038"/>
    <x v="3"/>
    <n v="51021088"/>
    <n v="77.037252780506918"/>
    <s v="PLATINO"/>
    <n v="543"/>
    <d v="2026-02-27T15:47:24"/>
  </r>
  <r>
    <n v="11039"/>
    <x v="3"/>
    <n v="51001702"/>
    <n v="86"/>
    <s v="PLATINO"/>
    <n v="154"/>
    <d v="2026-02-27T15:47:24"/>
  </r>
  <r>
    <n v="11040"/>
    <x v="3"/>
    <n v="51003730"/>
    <n v="46.967854943029202"/>
    <s v="PLATA"/>
    <n v="866"/>
    <d v="2026-02-27T15:47:24"/>
  </r>
  <r>
    <n v="11041"/>
    <x v="3"/>
    <n v="51012348"/>
    <n v="71.532847496186434"/>
    <s v="ORO"/>
    <n v="636"/>
    <d v="2026-02-27T15:47:24"/>
  </r>
  <r>
    <n v="11042"/>
    <x v="3"/>
    <n v="51031563"/>
    <n v="77.480211669441687"/>
    <s v="PLATINO"/>
    <n v="521"/>
    <d v="2026-02-27T15:47:24"/>
  </r>
  <r>
    <n v="11043"/>
    <x v="3"/>
    <n v="51055080"/>
    <n v="80.629263454886654"/>
    <s v="PLATINO"/>
    <n v="409"/>
    <d v="2026-02-27T15:47:24"/>
  </r>
  <r>
    <n v="11044"/>
    <x v="3"/>
    <n v="51018672"/>
    <n v="83.377579678255557"/>
    <s v="PLATINO"/>
    <n v="273"/>
    <d v="2026-02-27T15:47:24"/>
  </r>
  <r>
    <n v="11045"/>
    <x v="3"/>
    <n v="51019130"/>
    <n v="64.005749607493243"/>
    <s v="ORO"/>
    <n v="720"/>
    <d v="2026-02-27T15:47:24"/>
  </r>
  <r>
    <n v="11046"/>
    <x v="3"/>
    <n v="51036255"/>
    <n v="77.097926915717721"/>
    <s v="PLATINO"/>
    <n v="540"/>
    <d v="2026-02-27T15:47:24"/>
  </r>
  <r>
    <n v="11047"/>
    <x v="3"/>
    <n v="51056809"/>
    <n v="75.22"/>
    <s v="PLATINO"/>
    <n v="588"/>
    <d v="2026-02-27T15:47:24"/>
  </r>
  <r>
    <n v="11048"/>
    <x v="3"/>
    <n v="51018699"/>
    <n v="83.3"/>
    <s v="PLATINO"/>
    <n v="279"/>
    <d v="2026-02-27T15:47:24"/>
  </r>
  <r>
    <n v="11049"/>
    <x v="3"/>
    <n v="51010019"/>
    <n v="80.668420117856641"/>
    <s v="PLATINO"/>
    <n v="405"/>
    <d v="2026-02-27T15:47:24"/>
  </r>
  <r>
    <n v="11050"/>
    <x v="3"/>
    <n v="51010647"/>
    <n v="63.199344582062793"/>
    <s v="ORO"/>
    <n v="728"/>
    <d v="2026-02-27T15:47:24"/>
  </r>
  <r>
    <n v="11051"/>
    <x v="3"/>
    <n v="51054881"/>
    <n v="85.799695681381067"/>
    <s v="PLATINO"/>
    <n v="165"/>
    <d v="2026-02-27T15:47:24"/>
  </r>
  <r>
    <n v="11052"/>
    <x v="3"/>
    <n v="51019091"/>
    <n v="23.95042029487097"/>
    <s v="BRONCE"/>
    <n v="921"/>
    <d v="2026-02-27T15:47:24"/>
  </r>
  <r>
    <n v="11053"/>
    <x v="3"/>
    <n v="51018931"/>
    <n v="86.44"/>
    <s v="PLATINO"/>
    <n v="131"/>
    <d v="2026-02-27T15:47:24"/>
  </r>
  <r>
    <n v="11054"/>
    <x v="3"/>
    <n v="51057015"/>
    <n v="82.172868930632447"/>
    <s v="PLATINO"/>
    <n v="337"/>
    <d v="2026-02-27T15:47:24"/>
  </r>
  <r>
    <n v="11055"/>
    <x v="3"/>
    <n v="51023421"/>
    <n v="81.282751332365976"/>
    <s v="PLATINO"/>
    <n v="380"/>
    <d v="2026-02-27T15:47:24"/>
  </r>
  <r>
    <n v="11056"/>
    <x v="3"/>
    <n v="51012305"/>
    <n v="82.580129097732652"/>
    <s v="PLATINO"/>
    <n v="318"/>
    <d v="2026-02-27T15:47:24"/>
  </r>
  <r>
    <n v="11057"/>
    <x v="3"/>
    <n v="51014219"/>
    <n v="10"/>
    <s v="BRONCE"/>
    <n v="1032"/>
    <d v="2026-02-27T15:47:24"/>
  </r>
  <r>
    <n v="11058"/>
    <x v="3"/>
    <n v="51030753"/>
    <n v="72.646408820308835"/>
    <s v="ORO"/>
    <n v="620"/>
    <d v="2026-02-27T15:47:24"/>
  </r>
  <r>
    <n v="11059"/>
    <x v="3"/>
    <n v="51042336"/>
    <n v="86.06"/>
    <s v="PLATINO"/>
    <n v="150"/>
    <d v="2026-02-27T15:47:24"/>
  </r>
  <r>
    <n v="11060"/>
    <x v="3"/>
    <n v="51023790"/>
    <n v="83.20082020512173"/>
    <s v="PLATINO"/>
    <n v="284"/>
    <d v="2026-02-27T15:47:24"/>
  </r>
  <r>
    <n v="11061"/>
    <x v="3"/>
    <n v="51022378"/>
    <n v="16.686153994325661"/>
    <s v="BRONCE"/>
    <n v="1014"/>
    <d v="2026-02-27T15:47:24"/>
  </r>
  <r>
    <n v="11062"/>
    <x v="3"/>
    <n v="51052072"/>
    <n v="80.980684773877755"/>
    <s v="PLATINO"/>
    <n v="393"/>
    <d v="2026-02-27T15:47:24"/>
  </r>
  <r>
    <n v="11063"/>
    <x v="3"/>
    <n v="51031946"/>
    <n v="62.441644616443703"/>
    <s v="ORO"/>
    <n v="743"/>
    <d v="2026-02-27T15:47:24"/>
  </r>
  <r>
    <n v="11064"/>
    <x v="3"/>
    <n v="51010752"/>
    <n v="85.842055485092175"/>
    <s v="PLATINO"/>
    <n v="162"/>
    <d v="2026-02-27T15:47:24"/>
  </r>
  <r>
    <n v="11065"/>
    <x v="3"/>
    <n v="51055594"/>
    <n v="86.28"/>
    <s v="PLATINO"/>
    <n v="140"/>
    <d v="2026-02-27T15:47:24"/>
  </r>
  <r>
    <n v="11066"/>
    <x v="3"/>
    <n v="51041585"/>
    <n v="85.071889193919816"/>
    <s v="PLATINO"/>
    <n v="197"/>
    <d v="2026-02-27T15:47:24"/>
  </r>
  <r>
    <n v="11067"/>
    <x v="3"/>
    <n v="51017455"/>
    <n v="66.077684654817261"/>
    <s v="ORO"/>
    <n v="681"/>
    <d v="2026-02-27T15:47:24"/>
  </r>
  <r>
    <n v="11068"/>
    <x v="3"/>
    <n v="51033345"/>
    <n v="83.303618726179224"/>
    <s v="PLATINO"/>
    <n v="278"/>
    <d v="2026-02-27T15:47:24"/>
  </r>
  <r>
    <n v="11069"/>
    <x v="3"/>
    <n v="51012399"/>
    <n v="63.42"/>
    <s v="ORO"/>
    <n v="727"/>
    <d v="2026-02-27T15:47:24"/>
  </r>
  <r>
    <n v="11070"/>
    <x v="3"/>
    <n v="51034236"/>
    <n v="85"/>
    <s v="PLATINO"/>
    <n v="201"/>
    <d v="2026-02-27T15:47:24"/>
  </r>
  <r>
    <n v="11071"/>
    <x v="3"/>
    <n v="51012941"/>
    <n v="87.673701466200697"/>
    <s v="PLATINO"/>
    <n v="65"/>
    <d v="2026-02-27T15:47:24"/>
  </r>
  <r>
    <n v="11072"/>
    <x v="3"/>
    <n v="51011694"/>
    <n v="64.52"/>
    <s v="ORO"/>
    <n v="711"/>
    <d v="2026-02-27T15:47:24"/>
  </r>
  <r>
    <n v="11073"/>
    <x v="3"/>
    <n v="51020197"/>
    <n v="82.786756721854204"/>
    <s v="PLATINO"/>
    <n v="304"/>
    <d v="2026-02-27T15:47:24"/>
  </r>
  <r>
    <n v="11074"/>
    <x v="3"/>
    <n v="51003284"/>
    <n v="75.683270798413275"/>
    <s v="PLATINO"/>
    <n v="576"/>
    <d v="2026-02-27T15:47:24"/>
  </r>
  <r>
    <n v="11075"/>
    <x v="3"/>
    <n v="51025342"/>
    <n v="65.065180403812732"/>
    <s v="ORO"/>
    <n v="701"/>
    <d v="2026-02-27T15:47:24"/>
  </r>
  <r>
    <n v="11076"/>
    <x v="3"/>
    <n v="51030389"/>
    <n v="83.87258610159347"/>
    <s v="PLATINO"/>
    <n v="254"/>
    <d v="2026-02-27T15:47:24"/>
  </r>
  <r>
    <n v="11077"/>
    <x v="3"/>
    <n v="51013581"/>
    <n v="86.407306292264224"/>
    <s v="PLATINO"/>
    <n v="132"/>
    <d v="2026-02-27T15:47:24"/>
  </r>
  <r>
    <n v="11078"/>
    <x v="3"/>
    <n v="51056833"/>
    <n v="82.446377956490892"/>
    <s v="PLATINO"/>
    <n v="325"/>
    <d v="2026-02-27T15:47:24"/>
  </r>
  <r>
    <n v="11079"/>
    <x v="3"/>
    <n v="51056086"/>
    <n v="83.789967853397442"/>
    <s v="PLATINO"/>
    <n v="258"/>
    <d v="2026-02-27T15:47:24"/>
  </r>
  <r>
    <n v="11080"/>
    <x v="3"/>
    <n v="51055241"/>
    <n v="83.896732607038487"/>
    <s v="PLATINO"/>
    <n v="251"/>
    <d v="2026-02-27T15:47:24"/>
  </r>
  <r>
    <n v="11081"/>
    <x v="3"/>
    <n v="51008669"/>
    <n v="19.033223399555741"/>
    <s v="BRONCE"/>
    <n v="996"/>
    <d v="2026-02-27T15:47:24"/>
  </r>
  <r>
    <n v="11082"/>
    <x v="3"/>
    <n v="51031521"/>
    <n v="85.061772469919461"/>
    <s v="PLATINO"/>
    <n v="198"/>
    <d v="2026-02-27T15:47:24"/>
  </r>
  <r>
    <n v="11083"/>
    <x v="3"/>
    <n v="51033477"/>
    <n v="62.162978852186363"/>
    <s v="ORO"/>
    <n v="751"/>
    <d v="2026-02-27T15:47:24"/>
  </r>
  <r>
    <n v="11084"/>
    <x v="3"/>
    <n v="51020651"/>
    <n v="86.448100677390542"/>
    <s v="PLATINO"/>
    <n v="130"/>
    <d v="2026-02-27T15:47:24"/>
  </r>
  <r>
    <n v="11085"/>
    <x v="3"/>
    <n v="51013409"/>
    <n v="64.610178032702876"/>
    <s v="ORO"/>
    <n v="709"/>
    <d v="2026-02-27T15:47:24"/>
  </r>
  <r>
    <n v="11086"/>
    <x v="3"/>
    <n v="51030397"/>
    <n v="20"/>
    <s v="BRONCE"/>
    <n v="923"/>
    <d v="2026-02-27T15:47:24"/>
  </r>
  <r>
    <n v="11087"/>
    <x v="3"/>
    <n v="51010353"/>
    <n v="86.898165828948507"/>
    <s v="PLATINO"/>
    <n v="107"/>
    <d v="2026-02-27T15:47:24"/>
  </r>
  <r>
    <n v="11088"/>
    <x v="3"/>
    <n v="51054814"/>
    <n v="83.320114437308689"/>
    <s v="PLATINO"/>
    <n v="274"/>
    <d v="2026-02-27T15:47:24"/>
  </r>
  <r>
    <n v="11089"/>
    <x v="3"/>
    <n v="51012372"/>
    <n v="83.007134482036491"/>
    <s v="PLATINO"/>
    <n v="297"/>
    <d v="2026-02-27T15:47:24"/>
  </r>
  <r>
    <n v="11090"/>
    <x v="3"/>
    <n v="51036212"/>
    <n v="20"/>
    <s v="BRONCE"/>
    <n v="923"/>
    <d v="2026-02-27T15:47:24"/>
  </r>
  <r>
    <n v="11091"/>
    <x v="3"/>
    <n v="51029984"/>
    <n v="85.92"/>
    <s v="PLATINO"/>
    <n v="158"/>
    <d v="2026-02-27T15:47:24"/>
  </r>
  <r>
    <n v="11092"/>
    <x v="3"/>
    <n v="51039777"/>
    <n v="86.22"/>
    <s v="PLATINO"/>
    <n v="145"/>
    <d v="2026-02-27T15:47:24"/>
  </r>
  <r>
    <n v="11093"/>
    <x v="3"/>
    <n v="51056183"/>
    <n v="83.067248376349809"/>
    <s v="PLATINO"/>
    <n v="294"/>
    <d v="2026-02-27T15:47:24"/>
  </r>
  <r>
    <n v="11094"/>
    <x v="3"/>
    <n v="51039238"/>
    <n v="73.73838859326581"/>
    <s v="ORO"/>
    <n v="601"/>
    <d v="2026-02-27T15:47:24"/>
  </r>
  <r>
    <n v="11095"/>
    <x v="3"/>
    <n v="51007701"/>
    <n v="81.638000000000005"/>
    <s v="PLATINO"/>
    <n v="361"/>
    <d v="2026-02-27T15:47:24"/>
  </r>
  <r>
    <n v="11096"/>
    <x v="3"/>
    <n v="51034228"/>
    <n v="86.926326526145701"/>
    <s v="PLATINO"/>
    <n v="105"/>
    <d v="2026-02-27T15:47:24"/>
  </r>
  <r>
    <n v="11097"/>
    <x v="3"/>
    <n v="51005295"/>
    <n v="85.952744380360343"/>
    <s v="PLATINO"/>
    <n v="156"/>
    <d v="2026-02-27T15:47:24"/>
  </r>
  <r>
    <n v="11098"/>
    <x v="3"/>
    <n v="51023668"/>
    <n v="83.01800570903228"/>
    <s v="PLATINO"/>
    <n v="296"/>
    <d v="2026-02-27T15:47:24"/>
  </r>
  <r>
    <n v="11099"/>
    <x v="3"/>
    <n v="51018851"/>
    <n v="84.222820699759666"/>
    <s v="PLATINO"/>
    <n v="235"/>
    <d v="2026-02-27T15:47:24"/>
  </r>
  <r>
    <n v="11100"/>
    <x v="3"/>
    <n v="51042042"/>
    <n v="34.414005939895489"/>
    <s v="PLATA"/>
    <n v="901"/>
    <d v="2026-02-27T15:47:24"/>
  </r>
  <r>
    <n v="11101"/>
    <x v="3"/>
    <n v="51010817"/>
    <n v="77.320455902313157"/>
    <s v="PLATINO"/>
    <n v="529"/>
    <d v="2026-02-27T15:47:24"/>
  </r>
  <r>
    <n v="11102"/>
    <x v="3"/>
    <n v="51022408"/>
    <n v="86.270586407056157"/>
    <s v="PLATINO"/>
    <n v="143"/>
    <d v="2026-02-27T15:47:24"/>
  </r>
  <r>
    <n v="11103"/>
    <x v="3"/>
    <n v="51032578"/>
    <n v="20"/>
    <s v="BRONCE"/>
    <n v="923"/>
    <d v="2026-02-27T15:47:24"/>
  </r>
  <r>
    <n v="11104"/>
    <x v="3"/>
    <n v="51017978"/>
    <n v="67.226751230873759"/>
    <s v="ORO"/>
    <n v="667"/>
    <d v="2026-02-27T15:47:24"/>
  </r>
  <r>
    <n v="11105"/>
    <x v="3"/>
    <n v="51056868"/>
    <n v="16.41516666389802"/>
    <s v="BRONCE"/>
    <n v="1017"/>
    <d v="2026-02-27T15:47:24"/>
  </r>
  <r>
    <n v="11106"/>
    <x v="3"/>
    <n v="51056566"/>
    <n v="62.187120174250573"/>
    <s v="ORO"/>
    <n v="750"/>
    <d v="2026-02-27T15:47:24"/>
  </r>
  <r>
    <n v="11107"/>
    <x v="3"/>
    <n v="51005112"/>
    <n v="73.181573279213268"/>
    <s v="ORO"/>
    <n v="612"/>
    <d v="2026-02-27T15:47:24"/>
  </r>
  <r>
    <n v="11108"/>
    <x v="3"/>
    <n v="51019946"/>
    <n v="85.212682696062089"/>
    <s v="PLATINO"/>
    <n v="191"/>
    <d v="2026-02-27T15:47:24"/>
  </r>
  <r>
    <n v="11109"/>
    <x v="3"/>
    <n v="51027116"/>
    <n v="84.923106508254463"/>
    <s v="PLATINO"/>
    <n v="202"/>
    <d v="2026-02-27T15:47:24"/>
  </r>
  <r>
    <n v="11110"/>
    <x v="3"/>
    <n v="51042051"/>
    <n v="84.804999999999993"/>
    <s v="PLATINO"/>
    <n v="208"/>
    <d v="2026-02-27T15:47:24"/>
  </r>
  <r>
    <n v="11111"/>
    <x v="3"/>
    <n v="51024702"/>
    <n v="65.618299791067017"/>
    <s v="ORO"/>
    <n v="688"/>
    <d v="2026-02-27T15:47:24"/>
  </r>
  <r>
    <n v="11112"/>
    <x v="3"/>
    <n v="51000251"/>
    <n v="83.034236150210418"/>
    <s v="PLATINO"/>
    <n v="295"/>
    <d v="2026-02-27T15:47:24"/>
  </r>
  <r>
    <n v="11113"/>
    <x v="3"/>
    <n v="51036778"/>
    <n v="82.52000000000001"/>
    <s v="PLATINO"/>
    <n v="321"/>
    <d v="2026-02-27T15:47:24"/>
  </r>
  <r>
    <n v="11114"/>
    <x v="3"/>
    <n v="51056850"/>
    <n v="51.501058664513991"/>
    <s v="PLATA"/>
    <n v="848"/>
    <d v="2026-02-27T15:47:24"/>
  </r>
  <r>
    <n v="11115"/>
    <x v="3"/>
    <n v="51054989"/>
    <n v="83.12"/>
    <s v="PLATINO"/>
    <n v="290"/>
    <d v="2026-02-27T15:47:24"/>
  </r>
  <r>
    <n v="11116"/>
    <x v="3"/>
    <n v="51018737"/>
    <n v="20"/>
    <s v="BRONCE"/>
    <n v="923"/>
    <d v="2026-02-27T15:47:24"/>
  </r>
  <r>
    <n v="11117"/>
    <x v="3"/>
    <n v="51023811"/>
    <n v="82.774257922139512"/>
    <s v="PLATINO"/>
    <n v="308"/>
    <d v="2026-02-27T15:47:24"/>
  </r>
  <r>
    <n v="11118"/>
    <x v="3"/>
    <n v="51040899"/>
    <n v="88.240000000000009"/>
    <s v="PLATINO"/>
    <n v="30"/>
    <d v="2026-02-27T15:47:24"/>
  </r>
  <r>
    <n v="11119"/>
    <x v="3"/>
    <n v="51022149"/>
    <n v="86.5"/>
    <s v="PLATINO"/>
    <n v="123"/>
    <d v="2026-02-27T15:47:24"/>
  </r>
  <r>
    <n v="11120"/>
    <x v="3"/>
    <n v="51014189"/>
    <n v="85.62"/>
    <s v="PLATINO"/>
    <n v="172"/>
    <d v="2026-02-27T15:47:24"/>
  </r>
  <r>
    <n v="11121"/>
    <x v="3"/>
    <n v="51011538"/>
    <n v="62.72"/>
    <s v="ORO"/>
    <n v="738"/>
    <d v="2026-02-27T15:47:24"/>
  </r>
  <r>
    <n v="11122"/>
    <x v="3"/>
    <n v="51011686"/>
    <n v="59.702030250176144"/>
    <s v="ORO"/>
    <n v="811"/>
    <d v="2026-02-27T15:47:24"/>
  </r>
  <r>
    <n v="11123"/>
    <x v="3"/>
    <n v="51055896"/>
    <n v="62.780895239236592"/>
    <s v="ORO"/>
    <n v="736"/>
    <d v="2026-02-27T15:47:24"/>
  </r>
  <r>
    <n v="11124"/>
    <x v="3"/>
    <n v="51054962"/>
    <n v="79.063478314526947"/>
    <s v="PLATINO"/>
    <n v="462"/>
    <d v="2026-02-27T15:47:24"/>
  </r>
  <r>
    <n v="11125"/>
    <x v="3"/>
    <n v="51021584"/>
    <n v="74.395686049166841"/>
    <s v="ORO"/>
    <n v="595"/>
    <d v="2026-02-27T15:47:24"/>
  </r>
  <r>
    <n v="11126"/>
    <x v="3"/>
    <n v="51014642"/>
    <n v="19.74766034540022"/>
    <s v="BRONCE"/>
    <n v="989"/>
    <d v="2026-02-27T15:47:24"/>
  </r>
  <r>
    <n v="11127"/>
    <x v="3"/>
    <n v="51038878"/>
    <n v="20"/>
    <s v="BRONCE"/>
    <n v="923"/>
    <d v="2026-02-27T15:47:24"/>
  </r>
  <r>
    <n v="11128"/>
    <x v="3"/>
    <n v="51055292"/>
    <n v="62.145794606047978"/>
    <s v="ORO"/>
    <n v="753"/>
    <d v="2026-02-27T15:47:24"/>
  </r>
  <r>
    <n v="11129"/>
    <x v="3"/>
    <n v="51011601"/>
    <n v="65.768178333026611"/>
    <s v="ORO"/>
    <n v="684"/>
    <d v="2026-02-27T15:47:24"/>
  </r>
  <r>
    <n v="11130"/>
    <x v="3"/>
    <n v="51022866"/>
    <n v="87.48811333862453"/>
    <s v="PLATINO"/>
    <n v="73"/>
    <d v="2026-02-27T15:47:24"/>
  </r>
  <r>
    <n v="11131"/>
    <x v="3"/>
    <n v="51017820"/>
    <n v="65.68606529127571"/>
    <s v="ORO"/>
    <n v="686"/>
    <d v="2026-02-27T15:47:24"/>
  </r>
  <r>
    <n v="11132"/>
    <x v="3"/>
    <n v="51030761"/>
    <n v="16.035080320684141"/>
    <s v="BRONCE"/>
    <n v="1019"/>
    <d v="2026-02-27T15:47:24"/>
  </r>
  <r>
    <n v="11133"/>
    <x v="3"/>
    <n v="51008294"/>
    <n v="85.52000000000001"/>
    <s v="PLATINO"/>
    <n v="178"/>
    <d v="2026-02-27T15:47:24"/>
  </r>
  <r>
    <n v="11134"/>
    <x v="3"/>
    <n v="51055501"/>
    <n v="66.847686369001053"/>
    <s v="ORO"/>
    <n v="670"/>
    <d v="2026-02-27T15:47:24"/>
  </r>
  <r>
    <n v="11135"/>
    <x v="3"/>
    <n v="51038886"/>
    <n v="87.2"/>
    <s v="PLATINO"/>
    <n v="90"/>
    <d v="2026-02-27T15:47:24"/>
  </r>
  <r>
    <n v="11136"/>
    <x v="3"/>
    <n v="51020316"/>
    <n v="78.256236812625147"/>
    <s v="PLATINO"/>
    <n v="484"/>
    <d v="2026-02-27T15:47:24"/>
  </r>
  <r>
    <n v="11137"/>
    <x v="3"/>
    <n v="51055675"/>
    <n v="88.535742967346863"/>
    <s v="PLATINO"/>
    <n v="24"/>
    <d v="2026-02-27T15:47:24"/>
  </r>
  <r>
    <n v="11138"/>
    <x v="3"/>
    <n v="51012577"/>
    <n v="85.740000000000009"/>
    <s v="PLATINO"/>
    <n v="166"/>
    <d v="2026-02-27T15:47:24"/>
  </r>
  <r>
    <n v="11139"/>
    <x v="3"/>
    <n v="51017706"/>
    <n v="82"/>
    <s v="PLATINO"/>
    <n v="344"/>
    <d v="2026-02-27T15:47:24"/>
  </r>
  <r>
    <n v="11140"/>
    <x v="3"/>
    <n v="51011236"/>
    <n v="84.166454189580151"/>
    <s v="PLATINO"/>
    <n v="238"/>
    <d v="2026-02-27T15:47:24"/>
  </r>
  <r>
    <n v="11141"/>
    <x v="3"/>
    <n v="51030524"/>
    <n v="64.004849090363166"/>
    <s v="ORO"/>
    <n v="721"/>
    <d v="2026-02-27T15:47:24"/>
  </r>
  <r>
    <n v="11142"/>
    <x v="3"/>
    <n v="51003365"/>
    <n v="83.177249699865385"/>
    <s v="PLATINO"/>
    <n v="288"/>
    <d v="2026-02-27T15:47:24"/>
  </r>
  <r>
    <n v="11143"/>
    <x v="3"/>
    <n v="51031989"/>
    <n v="85.48"/>
    <s v="PLATINO"/>
    <n v="183"/>
    <d v="2026-02-27T15:47:24"/>
  </r>
  <r>
    <n v="11144"/>
    <x v="3"/>
    <n v="51010922"/>
    <n v="79.65117838126038"/>
    <s v="PLATINO"/>
    <n v="443"/>
    <d v="2026-02-27T15:47:24"/>
  </r>
  <r>
    <n v="11145"/>
    <x v="3"/>
    <n v="51040031"/>
    <n v="81.685188291023792"/>
    <s v="PLATINO"/>
    <n v="359"/>
    <d v="2026-02-27T15:47:24"/>
  </r>
  <r>
    <n v="11146"/>
    <x v="3"/>
    <n v="51027108"/>
    <n v="77.731855275151204"/>
    <s v="PLATINO"/>
    <n v="511"/>
    <d v="2026-02-27T15:47:24"/>
  </r>
  <r>
    <n v="11147"/>
    <x v="3"/>
    <n v="51022971"/>
    <n v="61.509425335440277"/>
    <s v="ORO"/>
    <n v="769"/>
    <d v="2026-02-27T15:47:24"/>
  </r>
  <r>
    <n v="11148"/>
    <x v="3"/>
    <n v="51023005"/>
    <n v="73.654077526370259"/>
    <s v="ORO"/>
    <n v="604"/>
    <d v="2026-02-27T15:47:24"/>
  </r>
  <r>
    <n v="11149"/>
    <x v="3"/>
    <n v="51002610"/>
    <n v="85.92440086230188"/>
    <s v="PLATINO"/>
    <n v="157"/>
    <d v="2026-02-27T15:47:24"/>
  </r>
  <r>
    <n v="11150"/>
    <x v="3"/>
    <n v="51056116"/>
    <n v="71.661789006732945"/>
    <s v="ORO"/>
    <n v="632"/>
    <d v="2026-02-27T15:47:24"/>
  </r>
  <r>
    <n v="11151"/>
    <x v="3"/>
    <n v="51020979"/>
    <n v="86.04"/>
    <s v="PLATINO"/>
    <n v="151"/>
    <d v="2026-02-27T15:47:24"/>
  </r>
  <r>
    <n v="11152"/>
    <x v="3"/>
    <n v="51015207"/>
    <n v="84.223943541196036"/>
    <s v="PLATINO"/>
    <n v="234"/>
    <d v="2026-02-27T15:47:24"/>
  </r>
  <r>
    <n v="11153"/>
    <x v="3"/>
    <n v="51007549"/>
    <n v="83.217055277926875"/>
    <s v="PLATINO"/>
    <n v="283"/>
    <d v="2026-02-27T15:47:24"/>
  </r>
  <r>
    <n v="11154"/>
    <x v="3"/>
    <n v="51032624"/>
    <n v="48.244103681766788"/>
    <s v="PLATA"/>
    <n v="863"/>
    <d v="2026-02-27T15:47:24"/>
  </r>
  <r>
    <n v="11155"/>
    <x v="3"/>
    <n v="51002555"/>
    <n v="77.02113659421731"/>
    <s v="PLATINO"/>
    <n v="544"/>
    <d v="2026-02-27T15:47:24"/>
  </r>
  <r>
    <n v="11156"/>
    <x v="3"/>
    <n v="51029879"/>
    <n v="84.205009172249021"/>
    <s v="PLATINO"/>
    <n v="236"/>
    <d v="2026-02-27T15:47:24"/>
  </r>
  <r>
    <n v="11157"/>
    <x v="3"/>
    <n v="51011147"/>
    <n v="67.086807306579985"/>
    <s v="ORO"/>
    <n v="669"/>
    <d v="2026-02-27T15:47:24"/>
  </r>
  <r>
    <n v="11158"/>
    <x v="3"/>
    <n v="51030427"/>
    <n v="86.278452957758404"/>
    <s v="PLATINO"/>
    <n v="142"/>
    <d v="2026-02-27T15:47:24"/>
  </r>
  <r>
    <n v="11159"/>
    <x v="3"/>
    <n v="51032675"/>
    <n v="78.379570266718332"/>
    <s v="PLATINO"/>
    <n v="482"/>
    <d v="2026-02-27T15:47:24"/>
  </r>
  <r>
    <n v="11160"/>
    <x v="3"/>
    <n v="51042921"/>
    <n v="80.834429583769676"/>
    <s v="PLATINO"/>
    <n v="397"/>
    <d v="2026-02-27T15:47:24"/>
  </r>
  <r>
    <n v="11161"/>
    <x v="3"/>
    <n v="51056272"/>
    <n v="61.503"/>
    <s v="ORO"/>
    <n v="770"/>
    <d v="2026-02-27T15:47:24"/>
  </r>
  <r>
    <n v="11162"/>
    <x v="3"/>
    <n v="51007883"/>
    <n v="62.399596024092737"/>
    <s v="ORO"/>
    <n v="745"/>
    <d v="2026-02-27T15:47:24"/>
  </r>
  <r>
    <n v="11163"/>
    <x v="3"/>
    <n v="51030010"/>
    <n v="83.896137610766488"/>
    <s v="PLATINO"/>
    <n v="252"/>
    <d v="2026-02-27T15:47:24"/>
  </r>
  <r>
    <n v="11164"/>
    <x v="3"/>
    <n v="51056124"/>
    <n v="72.403847528421181"/>
    <s v="ORO"/>
    <n v="624"/>
    <d v="2026-02-27T15:47:24"/>
  </r>
  <r>
    <n v="11165"/>
    <x v="3"/>
    <n v="51043758"/>
    <n v="85.539999999999992"/>
    <s v="PLATINO"/>
    <n v="176"/>
    <d v="2026-02-27T15:47:24"/>
  </r>
  <r>
    <n v="11166"/>
    <x v="3"/>
    <n v="51055039"/>
    <n v="77.233469974726688"/>
    <s v="PLATINO"/>
    <n v="532"/>
    <d v="2026-02-27T15:47:24"/>
  </r>
  <r>
    <n v="11167"/>
    <x v="3"/>
    <n v="51056582"/>
    <n v="84.78"/>
    <s v="PLATINO"/>
    <n v="209"/>
    <d v="2026-02-27T15:47:24"/>
  </r>
  <r>
    <n v="11168"/>
    <x v="3"/>
    <n v="51021321"/>
    <n v="68.821128696338064"/>
    <s v="ORO"/>
    <n v="655"/>
    <d v="2026-02-27T15:47:24"/>
  </r>
  <r>
    <n v="11169"/>
    <x v="3"/>
    <n v="51055322"/>
    <n v="84.72"/>
    <s v="PLATINO"/>
    <n v="212"/>
    <d v="2026-02-27T15:47:24"/>
  </r>
  <r>
    <n v="11170"/>
    <x v="3"/>
    <n v="51010027"/>
    <n v="20"/>
    <s v="BRONCE"/>
    <n v="923"/>
    <d v="2026-02-27T15:47:24"/>
  </r>
  <r>
    <n v="11171"/>
    <x v="3"/>
    <n v="51011295"/>
    <n v="80.829145255493515"/>
    <s v="PLATINO"/>
    <n v="398"/>
    <d v="2026-02-27T15:47:24"/>
  </r>
  <r>
    <n v="11172"/>
    <x v="3"/>
    <n v="51017145"/>
    <n v="84.358000000000004"/>
    <s v="PLATINO"/>
    <n v="222"/>
    <d v="2026-02-27T15:47:24"/>
  </r>
  <r>
    <n v="11173"/>
    <x v="3"/>
    <n v="51055888"/>
    <n v="80.603351106930035"/>
    <s v="PLATINO"/>
    <n v="411"/>
    <d v="2026-02-27T15:47:24"/>
  </r>
  <r>
    <n v="11174"/>
    <x v="3"/>
    <n v="51031881"/>
    <n v="85.34"/>
    <s v="PLATINO"/>
    <n v="187"/>
    <d v="2026-02-27T15:47:24"/>
  </r>
  <r>
    <n v="11175"/>
    <x v="3"/>
    <n v="51010060"/>
    <n v="70.576722655078726"/>
    <s v="ORO"/>
    <n v="642"/>
    <d v="2026-02-27T15:47:24"/>
  </r>
  <r>
    <n v="11176"/>
    <x v="3"/>
    <n v="51056400"/>
    <n v="72.41281041599629"/>
    <s v="ORO"/>
    <n v="623"/>
    <d v="2026-02-27T15:47:24"/>
  </r>
  <r>
    <n v="11177"/>
    <x v="3"/>
    <n v="51056531"/>
    <n v="83.198032041391755"/>
    <s v="PLATINO"/>
    <n v="285"/>
    <d v="2026-02-27T15:47:24"/>
  </r>
  <r>
    <n v="11178"/>
    <x v="3"/>
    <n v="51011643"/>
    <n v="82.615970675275847"/>
    <s v="PLATINO"/>
    <n v="317"/>
    <d v="2026-02-27T15:47:24"/>
  </r>
  <r>
    <n v="11179"/>
    <x v="3"/>
    <n v="51016742"/>
    <n v="82.536086676417597"/>
    <s v="PLATINO"/>
    <n v="320"/>
    <d v="2026-02-27T15:47:24"/>
  </r>
  <r>
    <n v="11180"/>
    <x v="3"/>
    <n v="51010990"/>
    <n v="40.128057785494519"/>
    <s v="PLATA"/>
    <n v="883"/>
    <d v="2026-02-27T15:47:24"/>
  </r>
  <r>
    <n v="11181"/>
    <x v="3"/>
    <n v="51039998"/>
    <n v="68.600223116501212"/>
    <s v="ORO"/>
    <n v="657"/>
    <d v="2026-02-27T15:47:24"/>
  </r>
  <r>
    <n v="11182"/>
    <x v="3"/>
    <n v="51056736"/>
    <n v="82.955340750368066"/>
    <s v="PLATINO"/>
    <n v="299"/>
    <d v="2026-02-27T15:47:24"/>
  </r>
  <r>
    <n v="11183"/>
    <x v="3"/>
    <n v="51044436"/>
    <n v="85.870121791684667"/>
    <s v="PLATINO"/>
    <n v="160"/>
    <d v="2026-02-27T15:47:24"/>
  </r>
  <r>
    <n v="11184"/>
    <x v="3"/>
    <n v="51017552"/>
    <n v="85.718000000000004"/>
    <s v="PLATINO"/>
    <n v="170"/>
    <d v="2026-02-27T15:47:24"/>
  </r>
  <r>
    <n v="11185"/>
    <x v="3"/>
    <n v="51055276"/>
    <n v="62.86"/>
    <s v="ORO"/>
    <n v="735"/>
    <d v="2026-02-27T15:47:24"/>
  </r>
  <r>
    <n v="11186"/>
    <x v="3"/>
    <n v="51020189"/>
    <n v="84.259999999999991"/>
    <s v="PLATINO"/>
    <n v="233"/>
    <d v="2026-02-27T15:47:24"/>
  </r>
  <r>
    <n v="11187"/>
    <x v="3"/>
    <n v="51041259"/>
    <n v="17.81463280864174"/>
    <s v="BRONCE"/>
    <n v="1006"/>
    <d v="2026-02-27T15:47:24"/>
  </r>
  <r>
    <n v="11188"/>
    <x v="3"/>
    <n v="51022751"/>
    <n v="33.270437585490463"/>
    <s v="PLATA"/>
    <n v="906"/>
    <d v="2026-02-27T15:47:24"/>
  </r>
  <r>
    <n v="11189"/>
    <x v="3"/>
    <n v="51016645"/>
    <n v="20"/>
    <s v="BRONCE"/>
    <n v="923"/>
    <d v="2026-02-27T15:47:24"/>
  </r>
  <r>
    <n v="11190"/>
    <x v="3"/>
    <n v="51011155"/>
    <n v="82.170710613314469"/>
    <s v="PLATINO"/>
    <n v="338"/>
    <d v="2026-02-27T15:47:24"/>
  </r>
  <r>
    <n v="11191"/>
    <x v="3"/>
    <n v="51014022"/>
    <n v="84.306955712106259"/>
    <s v="PLATINO"/>
    <n v="229"/>
    <d v="2026-02-27T15:47:24"/>
  </r>
  <r>
    <n v="11192"/>
    <x v="3"/>
    <n v="51018991"/>
    <n v="20"/>
    <s v="BRONCE"/>
    <n v="923"/>
    <d v="2026-02-27T15:47:24"/>
  </r>
  <r>
    <n v="11193"/>
    <x v="3"/>
    <n v="51030478"/>
    <n v="80.46252819940554"/>
    <s v="PLATINO"/>
    <n v="419"/>
    <d v="2026-02-27T15:47:24"/>
  </r>
  <r>
    <n v="11194"/>
    <x v="3"/>
    <n v="51028040"/>
    <n v="84.733001927191552"/>
    <s v="PLATINO"/>
    <n v="211"/>
    <d v="2026-02-27T15:47:24"/>
  </r>
  <r>
    <n v="11195"/>
    <x v="3"/>
    <n v="51055616"/>
    <n v="83.639480063363223"/>
    <s v="PLATINO"/>
    <n v="266"/>
    <d v="2026-02-27T15:47:24"/>
  </r>
  <r>
    <n v="11196"/>
    <x v="3"/>
    <n v="51036239"/>
    <n v="44.124298663741058"/>
    <s v="PLATA"/>
    <n v="875"/>
    <d v="2026-02-27T15:47:24"/>
  </r>
  <r>
    <n v="11197"/>
    <x v="3"/>
    <n v="51025873"/>
    <n v="82.751427968264878"/>
    <s v="PLATINO"/>
    <n v="309"/>
    <d v="2026-02-27T15:47:24"/>
  </r>
  <r>
    <n v="11198"/>
    <x v="3"/>
    <n v="51034155"/>
    <n v="84.04277371597459"/>
    <s v="PLATINO"/>
    <n v="243"/>
    <d v="2026-02-27T15:47:24"/>
  </r>
  <r>
    <n v="11199"/>
    <x v="3"/>
    <n v="51021207"/>
    <n v="80.316464954176752"/>
    <s v="PLATINO"/>
    <n v="426"/>
    <d v="2026-02-27T15:47:24"/>
  </r>
  <r>
    <n v="11200"/>
    <x v="3"/>
    <n v="51054831"/>
    <n v="19.998000000000001"/>
    <s v="BRONCE"/>
    <n v="951"/>
    <d v="2026-02-27T15:47:24"/>
  </r>
  <r>
    <n v="11201"/>
    <x v="3"/>
    <n v="51010051"/>
    <n v="72.741911815926869"/>
    <s v="ORO"/>
    <n v="617"/>
    <d v="2026-02-27T15:47:24"/>
  </r>
  <r>
    <n v="11202"/>
    <x v="3"/>
    <n v="51015754"/>
    <n v="83.104859077746923"/>
    <s v="PLATINO"/>
    <n v="292"/>
    <d v="2026-02-27T15:47:24"/>
  </r>
  <r>
    <n v="11203"/>
    <x v="3"/>
    <n v="51023528"/>
    <n v="85.11"/>
    <s v="PLATINO"/>
    <n v="196"/>
    <d v="2026-02-27T15:47:24"/>
  </r>
  <r>
    <n v="11204"/>
    <x v="3"/>
    <n v="51013735"/>
    <n v="64.694303651065098"/>
    <s v="ORO"/>
    <n v="708"/>
    <d v="2026-02-27T15:47:24"/>
  </r>
  <r>
    <n v="11205"/>
    <x v="3"/>
    <n v="51036611"/>
    <n v="80.48"/>
    <s v="PLATINO"/>
    <n v="418"/>
    <d v="2026-02-27T15:47:24"/>
  </r>
  <r>
    <n v="11206"/>
    <x v="3"/>
    <n v="51010035"/>
    <n v="61.348308693885542"/>
    <s v="ORO"/>
    <n v="777"/>
    <d v="2026-02-27T15:47:24"/>
  </r>
  <r>
    <n v="11207"/>
    <x v="3"/>
    <n v="51035682"/>
    <n v="62.155241650191392"/>
    <s v="ORO"/>
    <n v="752"/>
    <d v="2026-02-27T15:47:24"/>
  </r>
  <r>
    <n v="11208"/>
    <x v="3"/>
    <n v="51016416"/>
    <n v="16.65530127871968"/>
    <s v="BRONCE"/>
    <n v="1015"/>
    <d v="2026-02-27T15:47:24"/>
  </r>
  <r>
    <n v="11209"/>
    <x v="3"/>
    <n v="51038762"/>
    <n v="19.849178674316612"/>
    <s v="BRONCE"/>
    <n v="987"/>
    <d v="2026-02-27T15:47:24"/>
  </r>
  <r>
    <n v="11210"/>
    <x v="3"/>
    <n v="51023307"/>
    <n v="79.857995134509977"/>
    <s v="PLATINO"/>
    <n v="440"/>
    <d v="2026-02-27T15:47:24"/>
  </r>
  <r>
    <n v="11211"/>
    <x v="3"/>
    <n v="51012062"/>
    <n v="82.809878567551266"/>
    <s v="PLATINO"/>
    <n v="303"/>
    <d v="2026-02-27T15:47:24"/>
  </r>
  <r>
    <n v="11212"/>
    <x v="3"/>
    <n v="51021631"/>
    <n v="83.78"/>
    <s v="PLATINO"/>
    <n v="259"/>
    <d v="2026-02-27T15:47:24"/>
  </r>
  <r>
    <n v="11213"/>
    <x v="3"/>
    <n v="51008618"/>
    <n v="85.593981348414772"/>
    <s v="PLATINO"/>
    <n v="173"/>
    <d v="2026-02-27T15:47:24"/>
  </r>
  <r>
    <n v="11214"/>
    <x v="3"/>
    <n v="51010574"/>
    <n v="82.774656010348949"/>
    <s v="PLATINO"/>
    <n v="307"/>
    <d v="2026-02-27T15:47:24"/>
  </r>
  <r>
    <n v="11215"/>
    <x v="3"/>
    <n v="51056493"/>
    <n v="61.96"/>
    <s v="ORO"/>
    <n v="758"/>
    <d v="2026-02-27T15:47:24"/>
  </r>
  <r>
    <n v="11216"/>
    <x v="3"/>
    <n v="51024206"/>
    <n v="17.32860152099428"/>
    <s v="BRONCE"/>
    <n v="1010"/>
    <d v="2026-02-27T15:47:24"/>
  </r>
  <r>
    <n v="11217"/>
    <x v="3"/>
    <n v="51056442"/>
    <n v="85.126243432221088"/>
    <s v="PLATINO"/>
    <n v="194"/>
    <d v="2026-02-27T15:47:24"/>
  </r>
  <r>
    <n v="11218"/>
    <x v="3"/>
    <n v="51033621"/>
    <n v="82.880301407715336"/>
    <s v="PLATINO"/>
    <n v="301"/>
    <d v="2026-02-27T15:47:24"/>
  </r>
  <r>
    <n v="11219"/>
    <x v="3"/>
    <n v="51016394"/>
    <n v="83.68"/>
    <s v="PLATINO"/>
    <n v="265"/>
    <d v="2026-02-27T15:47:24"/>
  </r>
  <r>
    <n v="11220"/>
    <x v="3"/>
    <n v="51001389"/>
    <n v="82.670000000000016"/>
    <s v="PLATINO"/>
    <n v="313"/>
    <d v="2026-02-27T15:47:24"/>
  </r>
  <r>
    <n v="11221"/>
    <x v="3"/>
    <n v="51042891"/>
    <n v="87.256744082084495"/>
    <s v="PLATINO"/>
    <n v="87"/>
    <d v="2026-02-27T15:47:24"/>
  </r>
  <r>
    <n v="11222"/>
    <x v="3"/>
    <n v="51055411"/>
    <n v="81.533568600828943"/>
    <s v="PLATINO"/>
    <n v="365"/>
    <d v="2026-02-27T15:47:24"/>
  </r>
  <r>
    <n v="11223"/>
    <x v="3"/>
    <n v="51038657"/>
    <n v="82.025326629395224"/>
    <s v="PLATINO"/>
    <n v="342"/>
    <d v="2026-02-27T15:47:24"/>
  </r>
  <r>
    <n v="11224"/>
    <x v="3"/>
    <n v="51055632"/>
    <n v="60.480061088740783"/>
    <s v="ORO"/>
    <n v="800"/>
    <d v="2026-02-27T15:47:24"/>
  </r>
  <r>
    <n v="11225"/>
    <x v="3"/>
    <n v="51026799"/>
    <n v="64.22"/>
    <s v="ORO"/>
    <n v="719"/>
    <d v="2026-02-27T15:47:24"/>
  </r>
  <r>
    <n v="11226"/>
    <x v="3"/>
    <n v="51018869"/>
    <n v="75.979226664943951"/>
    <s v="PLATINO"/>
    <n v="569"/>
    <d v="2026-02-27T15:47:24"/>
  </r>
  <r>
    <n v="11227"/>
    <x v="3"/>
    <n v="51055144"/>
    <n v="38.780062787464487"/>
    <s v="PLATA"/>
    <n v="889"/>
    <d v="2026-02-27T15:47:24"/>
  </r>
  <r>
    <n v="11228"/>
    <x v="3"/>
    <n v="51056884"/>
    <n v="84.77647720800914"/>
    <s v="PLATINO"/>
    <n v="210"/>
    <d v="2026-02-27T15:47:24"/>
  </r>
  <r>
    <n v="11229"/>
    <x v="3"/>
    <n v="51030443"/>
    <n v="83.32"/>
    <s v="PLATINO"/>
    <n v="275"/>
    <d v="2026-02-27T15:47:24"/>
  </r>
  <r>
    <n v="11230"/>
    <x v="3"/>
    <n v="51016475"/>
    <n v="53.048869103067062"/>
    <s v="PLATA"/>
    <n v="845"/>
    <d v="2026-02-27T15:47:24"/>
  </r>
  <r>
    <n v="11231"/>
    <x v="3"/>
    <n v="51018893"/>
    <n v="83.503451243371956"/>
    <s v="PLATINO"/>
    <n v="271"/>
    <d v="2026-02-27T15:47:24"/>
  </r>
  <r>
    <n v="11232"/>
    <x v="3"/>
    <n v="51039157"/>
    <n v="80.390118094979869"/>
    <s v="PLATINO"/>
    <n v="423"/>
    <d v="2026-02-27T15:47:24"/>
  </r>
  <r>
    <n v="11233"/>
    <x v="3"/>
    <n v="51054822"/>
    <n v="84.691421103798348"/>
    <s v="PLATINO"/>
    <n v="214"/>
    <d v="2026-02-27T15:47:24"/>
  </r>
  <r>
    <n v="11234"/>
    <x v="3"/>
    <n v="51003390"/>
    <n v="81.740000000000009"/>
    <s v="PLATINO"/>
    <n v="357"/>
    <d v="2026-02-27T15:47:24"/>
  </r>
  <r>
    <n v="11235"/>
    <x v="3"/>
    <n v="51056477"/>
    <n v="80.36"/>
    <s v="PLATINO"/>
    <n v="424"/>
    <d v="2026-02-27T15:47:24"/>
  </r>
  <r>
    <n v="11236"/>
    <x v="3"/>
    <n v="51026527"/>
    <n v="84.882769152253601"/>
    <s v="PLATINO"/>
    <n v="206"/>
    <d v="2026-02-27T15:47:24"/>
  </r>
  <r>
    <n v="11237"/>
    <x v="3"/>
    <n v="51030982"/>
    <n v="84.358000000000004"/>
    <s v="PLATINO"/>
    <n v="222"/>
    <d v="2026-02-27T15:47:24"/>
  </r>
  <r>
    <n v="11238"/>
    <x v="3"/>
    <n v="51023196"/>
    <n v="62"/>
    <s v="ORO"/>
    <n v="756"/>
    <d v="2026-02-27T15:47:24"/>
  </r>
  <r>
    <n v="11239"/>
    <x v="3"/>
    <n v="51014596"/>
    <n v="89.385000000000005"/>
    <s v="PLATINO"/>
    <n v="8"/>
    <d v="2026-02-27T15:47:24"/>
  </r>
  <r>
    <n v="11240"/>
    <x v="3"/>
    <n v="51030125"/>
    <n v="17.889577457161831"/>
    <s v="BRONCE"/>
    <n v="1005"/>
    <d v="2026-02-27T15:47:24"/>
  </r>
  <r>
    <n v="11241"/>
    <x v="3"/>
    <n v="51021550"/>
    <n v="84.692329089784792"/>
    <s v="PLATINO"/>
    <n v="213"/>
    <d v="2026-02-27T15:47:24"/>
  </r>
  <r>
    <n v="11242"/>
    <x v="3"/>
    <n v="51031407"/>
    <n v="81.915272641536319"/>
    <s v="PLATINO"/>
    <n v="348"/>
    <d v="2026-02-27T15:47:24"/>
  </r>
  <r>
    <n v="11243"/>
    <x v="3"/>
    <n v="51038754"/>
    <n v="81.20556105868593"/>
    <s v="PLATINO"/>
    <n v="384"/>
    <d v="2026-02-27T15:47:24"/>
  </r>
  <r>
    <n v="11244"/>
    <x v="3"/>
    <n v="51004761"/>
    <n v="61.332852031616397"/>
    <s v="ORO"/>
    <n v="778"/>
    <d v="2026-02-27T15:47:24"/>
  </r>
  <r>
    <n v="11245"/>
    <x v="3"/>
    <n v="51023358"/>
    <n v="81.678287246361151"/>
    <s v="PLATINO"/>
    <n v="360"/>
    <d v="2026-02-27T15:47:24"/>
  </r>
  <r>
    <n v="11246"/>
    <x v="3"/>
    <n v="51022670"/>
    <n v="82.342827635277104"/>
    <s v="PLATINO"/>
    <n v="332"/>
    <d v="2026-02-27T15:47:24"/>
  </r>
  <r>
    <n v="11247"/>
    <x v="3"/>
    <n v="51029976"/>
    <n v="19.984999999999999"/>
    <s v="BRONCE"/>
    <n v="973"/>
    <d v="2026-02-27T15:47:24"/>
  </r>
  <r>
    <n v="11248"/>
    <x v="3"/>
    <n v="51032195"/>
    <n v="10"/>
    <s v="BRONCE"/>
    <n v="1032"/>
    <d v="2026-02-27T15:47:24"/>
  </r>
  <r>
    <n v="11249"/>
    <x v="3"/>
    <n v="51042875"/>
    <n v="65.670738640986684"/>
    <s v="ORO"/>
    <n v="687"/>
    <d v="2026-02-27T15:47:24"/>
  </r>
  <r>
    <n v="11250"/>
    <x v="3"/>
    <n v="51010728"/>
    <n v="86.406484890679181"/>
    <s v="PLATINO"/>
    <n v="133"/>
    <d v="2026-02-27T15:47:24"/>
  </r>
  <r>
    <n v="11251"/>
    <x v="3"/>
    <n v="51056655"/>
    <n v="80.462016405586866"/>
    <s v="PLATINO"/>
    <n v="420"/>
    <d v="2026-02-27T15:47:24"/>
  </r>
  <r>
    <n v="11252"/>
    <x v="3"/>
    <n v="51056817"/>
    <n v="70.723691195214684"/>
    <s v="ORO"/>
    <n v="641"/>
    <d v="2026-02-27T15:47:24"/>
  </r>
  <r>
    <n v="11253"/>
    <x v="3"/>
    <n v="51018826"/>
    <n v="57.893459002530449"/>
    <s v="ORO"/>
    <n v="831"/>
    <d v="2026-02-27T15:47:24"/>
  </r>
  <r>
    <n v="11254"/>
    <x v="3"/>
    <n v="51019814"/>
    <n v="63.04031851686792"/>
    <s v="ORO"/>
    <n v="731"/>
    <d v="2026-02-27T15:47:24"/>
  </r>
  <r>
    <n v="11255"/>
    <x v="3"/>
    <n v="51033281"/>
    <n v="37.327252803184138"/>
    <s v="PLATA"/>
    <n v="892"/>
    <d v="2026-02-27T15:47:24"/>
  </r>
  <r>
    <n v="11256"/>
    <x v="3"/>
    <n v="51056523"/>
    <n v="76.611352275846599"/>
    <s v="PLATINO"/>
    <n v="559"/>
    <d v="2026-02-27T15:47:24"/>
  </r>
  <r>
    <n v="11257"/>
    <x v="3"/>
    <n v="51025792"/>
    <n v="82.35619826074506"/>
    <s v="PLATINO"/>
    <n v="331"/>
    <d v="2026-02-27T15:47:24"/>
  </r>
  <r>
    <n v="11258"/>
    <x v="3"/>
    <n v="51056728"/>
    <n v="82.63938353762147"/>
    <s v="PLATINO"/>
    <n v="316"/>
    <d v="2026-02-27T15:47:24"/>
  </r>
  <r>
    <n v="11259"/>
    <x v="3"/>
    <n v="51011708"/>
    <n v="84.157421245476655"/>
    <s v="PLATINO"/>
    <n v="239"/>
    <d v="2026-02-27T15:47:24"/>
  </r>
  <r>
    <n v="11260"/>
    <x v="3"/>
    <n v="51056558"/>
    <n v="84.413284106910922"/>
    <s v="PLATINO"/>
    <n v="221"/>
    <d v="2026-02-27T15:47:24"/>
  </r>
  <r>
    <n v="11261"/>
    <x v="3"/>
    <n v="51041801"/>
    <n v="80.10544127059724"/>
    <s v="PLATINO"/>
    <n v="431"/>
    <d v="2026-02-27T15:47:24"/>
  </r>
  <r>
    <n v="11262"/>
    <x v="3"/>
    <n v="51055390"/>
    <n v="85.855000000000004"/>
    <s v="PLATINO"/>
    <n v="161"/>
    <d v="2026-02-27T15:47:24"/>
  </r>
  <r>
    <n v="11263"/>
    <x v="3"/>
    <n v="51017081"/>
    <n v="41.696899274496353"/>
    <s v="PLATA"/>
    <n v="879"/>
    <d v="2026-02-27T15:47:24"/>
  </r>
  <r>
    <n v="11264"/>
    <x v="3"/>
    <n v="51056345"/>
    <n v="79.293707713794518"/>
    <s v="PLATINO"/>
    <n v="454"/>
    <d v="2026-02-27T15:47:24"/>
  </r>
  <r>
    <n v="11265"/>
    <x v="3"/>
    <n v="51055942"/>
    <n v="79.423028383494156"/>
    <s v="PLATINO"/>
    <n v="445"/>
    <d v="2026-02-27T15:47:24"/>
  </r>
  <r>
    <n v="11266"/>
    <x v="3"/>
    <n v="51036735"/>
    <n v="83.592997126562949"/>
    <s v="PLATINO"/>
    <n v="269"/>
    <d v="2026-02-27T15:47:24"/>
  </r>
  <r>
    <n v="11267"/>
    <x v="3"/>
    <n v="51001427"/>
    <n v="81.238000000000014"/>
    <s v="PLATINO"/>
    <n v="382"/>
    <d v="2026-02-27T15:47:24"/>
  </r>
  <r>
    <n v="11268"/>
    <x v="3"/>
    <n v="51010272"/>
    <n v="62.198000000000008"/>
    <s v="ORO"/>
    <n v="749"/>
    <d v="2026-02-27T15:47:24"/>
  </r>
  <r>
    <n v="11269"/>
    <x v="3"/>
    <n v="51056451"/>
    <n v="75.958025296932661"/>
    <s v="PLATINO"/>
    <n v="570"/>
    <d v="2026-02-27T15:47:24"/>
  </r>
  <r>
    <n v="11270"/>
    <x v="3"/>
    <n v="51018907"/>
    <n v="85.287334478444876"/>
    <s v="PLATINO"/>
    <n v="188"/>
    <d v="2026-02-27T15:47:24"/>
  </r>
  <r>
    <n v="11271"/>
    <x v="3"/>
    <n v="51004108"/>
    <n v="81.757999999999996"/>
    <s v="PLATINO"/>
    <n v="356"/>
    <d v="2026-02-27T15:47:24"/>
  </r>
  <r>
    <n v="11272"/>
    <x v="3"/>
    <n v="51030869"/>
    <n v="69.803083979928616"/>
    <s v="ORO"/>
    <n v="647"/>
    <d v="2026-02-27T15:47:24"/>
  </r>
  <r>
    <n v="11273"/>
    <x v="3"/>
    <n v="51031113"/>
    <n v="83.105750229992921"/>
    <s v="PLATINO"/>
    <n v="291"/>
    <d v="2026-02-27T15:47:24"/>
  </r>
  <r>
    <n v="11274"/>
    <x v="3"/>
    <n v="51033329"/>
    <n v="81.088000000000008"/>
    <s v="PLATINO"/>
    <n v="388"/>
    <d v="2026-02-27T15:47:24"/>
  </r>
  <r>
    <n v="11275"/>
    <x v="3"/>
    <n v="51042905"/>
    <n v="72.974837028514074"/>
    <s v="ORO"/>
    <n v="616"/>
    <d v="2026-02-27T15:47:24"/>
  </r>
  <r>
    <n v="11276"/>
    <x v="3"/>
    <n v="51010833"/>
    <n v="33.258054259179282"/>
    <s v="PLATA"/>
    <n v="907"/>
    <d v="2026-02-27T15:47:24"/>
  </r>
  <r>
    <n v="11277"/>
    <x v="3"/>
    <n v="51042956"/>
    <n v="84.449778391471327"/>
    <s v="PLATINO"/>
    <n v="220"/>
    <d v="2026-02-27T15:47:24"/>
  </r>
  <r>
    <n v="11278"/>
    <x v="3"/>
    <n v="51039645"/>
    <n v="63.52251359033999"/>
    <s v="ORO"/>
    <n v="725"/>
    <d v="2026-02-27T15:47:24"/>
  </r>
  <r>
    <n v="11279"/>
    <x v="3"/>
    <n v="51021622"/>
    <n v="82.716556382751122"/>
    <s v="PLATINO"/>
    <n v="310"/>
    <d v="2026-02-27T15:47:24"/>
  </r>
  <r>
    <n v="11280"/>
    <x v="3"/>
    <n v="51031491"/>
    <n v="82.927770167023951"/>
    <s v="PLATINO"/>
    <n v="300"/>
    <d v="2026-02-27T15:47:24"/>
  </r>
  <r>
    <n v="11281"/>
    <x v="3"/>
    <n v="51020162"/>
    <n v="81.48144583179679"/>
    <s v="PLATINO"/>
    <n v="370"/>
    <d v="2026-02-27T15:47:24"/>
  </r>
  <r>
    <n v="11282"/>
    <x v="3"/>
    <n v="51017056"/>
    <n v="19.998000000000001"/>
    <s v="BRONCE"/>
    <n v="951"/>
    <d v="2026-02-27T15:47:24"/>
  </r>
  <r>
    <n v="11283"/>
    <x v="3"/>
    <n v="51056019"/>
    <n v="82.481241790759171"/>
    <s v="PLATINO"/>
    <n v="323"/>
    <d v="2026-02-27T15:47:24"/>
  </r>
  <r>
    <n v="11284"/>
    <x v="3"/>
    <n v="51017579"/>
    <n v="61.767839425309703"/>
    <s v="ORO"/>
    <n v="764"/>
    <d v="2026-02-27T15:47:24"/>
  </r>
  <r>
    <n v="11285"/>
    <x v="3"/>
    <n v="51015487"/>
    <n v="79.332846587617865"/>
    <s v="PLATINO"/>
    <n v="451"/>
    <d v="2026-02-27T15:47:24"/>
  </r>
  <r>
    <n v="11286"/>
    <x v="3"/>
    <n v="51040333"/>
    <n v="62.561954045075957"/>
    <s v="ORO"/>
    <n v="740"/>
    <d v="2026-02-27T15:47:24"/>
  </r>
  <r>
    <n v="11287"/>
    <x v="3"/>
    <n v="51017153"/>
    <n v="19.966361011126459"/>
    <s v="BRONCE"/>
    <n v="979"/>
    <d v="2026-02-27T15:47:24"/>
  </r>
  <r>
    <n v="11288"/>
    <x v="3"/>
    <n v="51021886"/>
    <n v="81.88"/>
    <s v="PLATINO"/>
    <n v="350"/>
    <d v="2026-02-27T15:47:24"/>
  </r>
  <r>
    <n v="11289"/>
    <x v="3"/>
    <n v="51023188"/>
    <n v="77.889904491295908"/>
    <s v="PLATINO"/>
    <n v="502"/>
    <d v="2026-02-27T15:47:24"/>
  </r>
  <r>
    <n v="11290"/>
    <x v="3"/>
    <n v="51055667"/>
    <n v="17.432095679121201"/>
    <s v="BRONCE"/>
    <n v="1009"/>
    <d v="2026-02-27T15:47:24"/>
  </r>
  <r>
    <n v="11291"/>
    <x v="3"/>
    <n v="51020081"/>
    <n v="83.180590756957073"/>
    <s v="PLATINO"/>
    <n v="286"/>
    <d v="2026-02-27T15:47:24"/>
  </r>
  <r>
    <n v="11292"/>
    <x v="3"/>
    <n v="51018729"/>
    <n v="84.914382207000415"/>
    <s v="PLATINO"/>
    <n v="203"/>
    <d v="2026-02-27T15:47:24"/>
  </r>
  <r>
    <n v="11293"/>
    <x v="3"/>
    <n v="51030222"/>
    <n v="62.510417047084289"/>
    <s v="ORO"/>
    <n v="741"/>
    <d v="2026-02-27T15:47:24"/>
  </r>
  <r>
    <n v="11294"/>
    <x v="3"/>
    <n v="51002717"/>
    <n v="82.270971583247643"/>
    <s v="PLATINO"/>
    <n v="334"/>
    <d v="2026-02-27T15:47:24"/>
  </r>
  <r>
    <n v="11295"/>
    <x v="3"/>
    <n v="51055454"/>
    <n v="10"/>
    <s v="BRONCE"/>
    <n v="1032"/>
    <d v="2026-02-27T15:47:24"/>
  </r>
  <r>
    <n v="11296"/>
    <x v="3"/>
    <n v="51055756"/>
    <n v="76.304299032167762"/>
    <s v="PLATINO"/>
    <n v="564"/>
    <d v="2026-02-27T15:47:24"/>
  </r>
  <r>
    <n v="11297"/>
    <x v="3"/>
    <n v="51011490"/>
    <n v="66.099757204247112"/>
    <s v="ORO"/>
    <n v="680"/>
    <d v="2026-02-27T15:47:24"/>
  </r>
  <r>
    <n v="11298"/>
    <x v="3"/>
    <n v="51010736"/>
    <n v="60.287085904785357"/>
    <s v="ORO"/>
    <n v="803"/>
    <d v="2026-02-27T15:47:24"/>
  </r>
  <r>
    <n v="11299"/>
    <x v="3"/>
    <n v="51016149"/>
    <n v="62.494806761077747"/>
    <s v="ORO"/>
    <n v="742"/>
    <d v="2026-02-27T15:47:24"/>
  </r>
  <r>
    <n v="11300"/>
    <x v="3"/>
    <n v="51013930"/>
    <n v="84.345099555060884"/>
    <s v="PLATINO"/>
    <n v="224"/>
    <d v="2026-02-27T15:47:24"/>
  </r>
  <r>
    <n v="11301"/>
    <x v="3"/>
    <n v="51055641"/>
    <n v="81.467428725762687"/>
    <s v="PLATINO"/>
    <n v="371"/>
    <d v="2026-02-27T15:47:24"/>
  </r>
  <r>
    <n v="11302"/>
    <x v="3"/>
    <n v="51021461"/>
    <n v="50.327304247462067"/>
    <s v="PLATA"/>
    <n v="855"/>
    <d v="2026-02-27T15:47:24"/>
  </r>
  <r>
    <n v="11303"/>
    <x v="3"/>
    <n v="51039637"/>
    <n v="80.651779022181969"/>
    <s v="PLATINO"/>
    <n v="406"/>
    <d v="2026-02-27T15:47:24"/>
  </r>
  <r>
    <n v="11304"/>
    <x v="3"/>
    <n v="51020308"/>
    <n v="27.820146923236351"/>
    <s v="BRONCE"/>
    <n v="915"/>
    <d v="2026-02-27T15:47:24"/>
  </r>
  <r>
    <n v="11305"/>
    <x v="3"/>
    <n v="51040597"/>
    <n v="81.58"/>
    <s v="PLATINO"/>
    <n v="363"/>
    <d v="2026-02-27T15:47:24"/>
  </r>
  <r>
    <n v="11306"/>
    <x v="3"/>
    <n v="51014197"/>
    <n v="83.240000000000009"/>
    <s v="PLATINO"/>
    <n v="282"/>
    <d v="2026-02-27T15:47:24"/>
  </r>
  <r>
    <n v="11307"/>
    <x v="3"/>
    <n v="51056621"/>
    <n v="79.358250723573164"/>
    <s v="PLATINO"/>
    <n v="446"/>
    <d v="2026-02-27T15:47:24"/>
  </r>
  <r>
    <n v="11308"/>
    <x v="3"/>
    <n v="51018524"/>
    <n v="77.630202635174484"/>
    <s v="PLATINO"/>
    <n v="516"/>
    <d v="2026-02-27T15:47:24"/>
  </r>
  <r>
    <n v="11309"/>
    <x v="3"/>
    <n v="51056701"/>
    <n v="62.96"/>
    <s v="ORO"/>
    <n v="732"/>
    <d v="2026-02-27T15:47:24"/>
  </r>
  <r>
    <n v="11310"/>
    <x v="3"/>
    <n v="51057007"/>
    <n v="80.996259579108681"/>
    <s v="PLATINO"/>
    <n v="392"/>
    <d v="2026-02-27T15:47:24"/>
  </r>
  <r>
    <n v="11311"/>
    <x v="3"/>
    <n v="51011091"/>
    <n v="80.781485923584043"/>
    <s v="PLATINO"/>
    <n v="400"/>
    <d v="2026-02-27T15:47:24"/>
  </r>
  <r>
    <n v="11312"/>
    <x v="3"/>
    <n v="51011953"/>
    <n v="19.998000000000001"/>
    <s v="BRONCE"/>
    <n v="951"/>
    <d v="2026-02-27T15:47:24"/>
  </r>
  <r>
    <n v="11313"/>
    <x v="3"/>
    <n v="51022955"/>
    <n v="62.338517111488628"/>
    <s v="ORO"/>
    <n v="747"/>
    <d v="2026-02-27T15:47:24"/>
  </r>
  <r>
    <n v="11314"/>
    <x v="3"/>
    <n v="51021673"/>
    <n v="19.989999999999998"/>
    <s v="BRONCE"/>
    <n v="971"/>
    <d v="2026-02-27T15:47:24"/>
  </r>
  <r>
    <n v="11315"/>
    <x v="3"/>
    <n v="51013476"/>
    <n v="87.53072554072979"/>
    <s v="PLATINO"/>
    <n v="70"/>
    <d v="2026-02-27T15:47:24"/>
  </r>
  <r>
    <n v="11316"/>
    <x v="3"/>
    <n v="51022998"/>
    <n v="79.307999999999993"/>
    <s v="PLATINO"/>
    <n v="453"/>
    <d v="2026-02-27T15:47:24"/>
  </r>
  <r>
    <n v="11317"/>
    <x v="3"/>
    <n v="51056485"/>
    <n v="82.008850413889661"/>
    <s v="PLATINO"/>
    <n v="343"/>
    <d v="2026-02-27T15:47:24"/>
  </r>
  <r>
    <n v="11318"/>
    <x v="3"/>
    <n v="51055705"/>
    <n v="81.389174160330427"/>
    <s v="PLATINO"/>
    <n v="374"/>
    <d v="2026-02-27T15:47:24"/>
  </r>
  <r>
    <n v="11319"/>
    <x v="3"/>
    <n v="51041798"/>
    <n v="59.455655873586572"/>
    <s v="ORO"/>
    <n v="816"/>
    <d v="2026-02-27T15:47:24"/>
  </r>
  <r>
    <n v="11320"/>
    <x v="3"/>
    <n v="51020600"/>
    <n v="81.838000000000008"/>
    <s v="PLATINO"/>
    <n v="351"/>
    <d v="2026-02-27T15:47:24"/>
  </r>
  <r>
    <n v="11321"/>
    <x v="3"/>
    <n v="51033795"/>
    <n v="58.409780718164029"/>
    <s v="ORO"/>
    <n v="824"/>
    <d v="2026-02-27T15:47:24"/>
  </r>
  <r>
    <n v="11322"/>
    <x v="3"/>
    <n v="51030419"/>
    <n v="68.406234184218334"/>
    <s v="ORO"/>
    <n v="659"/>
    <d v="2026-02-27T15:47:24"/>
  </r>
  <r>
    <n v="11323"/>
    <x v="3"/>
    <n v="51038819"/>
    <n v="82.685890084229101"/>
    <s v="PLATINO"/>
    <n v="312"/>
    <d v="2026-02-27T15:47:24"/>
  </r>
  <r>
    <n v="11324"/>
    <x v="3"/>
    <n v="51021851"/>
    <n v="37.213660190933751"/>
    <s v="PLATA"/>
    <n v="893"/>
    <d v="2026-02-27T15:47:24"/>
  </r>
  <r>
    <n v="11325"/>
    <x v="3"/>
    <n v="51004086"/>
    <n v="81.12"/>
    <s v="PLATINO"/>
    <n v="387"/>
    <d v="2026-02-27T15:47:24"/>
  </r>
  <r>
    <n v="11326"/>
    <x v="3"/>
    <n v="51017111"/>
    <n v="82.87417866559295"/>
    <s v="PLATINO"/>
    <n v="302"/>
    <d v="2026-02-27T15:47:24"/>
  </r>
  <r>
    <n v="11327"/>
    <x v="3"/>
    <n v="51022106"/>
    <n v="65.517827320385607"/>
    <s v="ORO"/>
    <n v="692"/>
    <d v="2026-02-27T15:47:24"/>
  </r>
  <r>
    <n v="11328"/>
    <x v="3"/>
    <n v="51056205"/>
    <n v="81.987043679825391"/>
    <s v="PLATINO"/>
    <n v="345"/>
    <d v="2026-02-27T15:47:24"/>
  </r>
  <r>
    <n v="11329"/>
    <x v="3"/>
    <n v="51055870"/>
    <n v="83.56"/>
    <s v="PLATINO"/>
    <n v="270"/>
    <d v="2026-02-27T15:47:24"/>
  </r>
  <r>
    <n v="11330"/>
    <x v="3"/>
    <n v="51017226"/>
    <n v="20"/>
    <s v="BRONCE"/>
    <n v="923"/>
    <d v="2026-02-27T15:47:24"/>
  </r>
  <r>
    <n v="11331"/>
    <x v="3"/>
    <n v="51056965"/>
    <n v="18.595417924182939"/>
    <s v="BRONCE"/>
    <n v="1000"/>
    <d v="2026-02-27T15:47:24"/>
  </r>
  <r>
    <n v="11332"/>
    <x v="3"/>
    <n v="51033671"/>
    <n v="82.960204998728173"/>
    <s v="PLATINO"/>
    <n v="298"/>
    <d v="2026-02-27T15:47:24"/>
  </r>
  <r>
    <n v="11333"/>
    <x v="3"/>
    <n v="51038797"/>
    <n v="81.94"/>
    <s v="PLATINO"/>
    <n v="347"/>
    <d v="2026-02-27T15:47:24"/>
  </r>
  <r>
    <n v="11334"/>
    <x v="3"/>
    <n v="51013492"/>
    <n v="20"/>
    <s v="BRONCE"/>
    <n v="923"/>
    <d v="2026-02-27T15:47:24"/>
  </r>
  <r>
    <n v="11335"/>
    <x v="3"/>
    <n v="51019415"/>
    <n v="81.62"/>
    <s v="PLATINO"/>
    <n v="362"/>
    <d v="2026-02-27T15:47:24"/>
  </r>
  <r>
    <n v="11336"/>
    <x v="3"/>
    <n v="51036107"/>
    <n v="83.686038812821977"/>
    <s v="PLATINO"/>
    <n v="264"/>
    <d v="2026-02-27T15:47:24"/>
  </r>
  <r>
    <n v="11337"/>
    <x v="3"/>
    <n v="51056990"/>
    <n v="77.820186466145302"/>
    <s v="PLATINO"/>
    <n v="506"/>
    <d v="2026-02-27T15:47:24"/>
  </r>
  <r>
    <n v="11338"/>
    <x v="3"/>
    <n v="51025296"/>
    <n v="60.946239019308763"/>
    <s v="ORO"/>
    <n v="786"/>
    <d v="2026-02-27T15:47:24"/>
  </r>
  <r>
    <n v="11339"/>
    <x v="3"/>
    <n v="51056639"/>
    <n v="18.671959533190449"/>
    <s v="BRONCE"/>
    <n v="999"/>
    <d v="2026-02-27T15:47:24"/>
  </r>
  <r>
    <n v="11340"/>
    <x v="3"/>
    <n v="51015029"/>
    <n v="63.489497278812003"/>
    <s v="ORO"/>
    <n v="726"/>
    <d v="2026-02-27T15:47:24"/>
  </r>
  <r>
    <n v="11341"/>
    <x v="3"/>
    <n v="51055730"/>
    <n v="80.750928092998691"/>
    <s v="PLATINO"/>
    <n v="401"/>
    <d v="2026-02-27T15:47:24"/>
  </r>
  <r>
    <n v="11342"/>
    <x v="3"/>
    <n v="51018257"/>
    <n v="61.227512480213903"/>
    <s v="ORO"/>
    <n v="779"/>
    <d v="2026-02-27T15:47:24"/>
  </r>
  <r>
    <n v="11343"/>
    <x v="3"/>
    <n v="51055845"/>
    <n v="82.649019497689565"/>
    <s v="PLATINO"/>
    <n v="315"/>
    <d v="2026-02-27T15:47:24"/>
  </r>
  <r>
    <n v="11344"/>
    <x v="3"/>
    <n v="51028015"/>
    <n v="83.288230478844227"/>
    <s v="PLATINO"/>
    <n v="280"/>
    <d v="2026-02-27T15:47:24"/>
  </r>
  <r>
    <n v="11345"/>
    <x v="3"/>
    <n v="51012887"/>
    <n v="80.498000000000005"/>
    <s v="PLATINO"/>
    <n v="416"/>
    <d v="2026-02-27T15:47:24"/>
  </r>
  <r>
    <n v="11346"/>
    <x v="3"/>
    <n v="51010311"/>
    <n v="64.235544703990826"/>
    <s v="ORO"/>
    <n v="717"/>
    <d v="2026-02-27T15:47:24"/>
  </r>
  <r>
    <n v="11347"/>
    <x v="3"/>
    <n v="51036638"/>
    <n v="76.747906637619423"/>
    <s v="PLATINO"/>
    <n v="553"/>
    <d v="2026-02-27T15:47:24"/>
  </r>
  <r>
    <n v="11348"/>
    <x v="3"/>
    <n v="51033442"/>
    <n v="87.76"/>
    <s v="PLATINO"/>
    <n v="59"/>
    <d v="2026-02-27T15:47:24"/>
  </r>
  <r>
    <n v="11349"/>
    <x v="3"/>
    <n v="51014774"/>
    <n v="84.906828003140845"/>
    <s v="PLATINO"/>
    <n v="204"/>
    <d v="2026-02-27T15:47:24"/>
  </r>
  <r>
    <n v="11350"/>
    <x v="3"/>
    <n v="51043847"/>
    <n v="30.214452304415861"/>
    <s v="PLATA"/>
    <n v="911"/>
    <d v="2026-02-27T15:47:24"/>
  </r>
  <r>
    <n v="11351"/>
    <x v="3"/>
    <n v="51032381"/>
    <n v="76.884660765084377"/>
    <s v="PLATINO"/>
    <n v="549"/>
    <d v="2026-02-27T15:47:24"/>
  </r>
  <r>
    <n v="11352"/>
    <x v="3"/>
    <n v="51018508"/>
    <n v="65.517419486991315"/>
    <s v="ORO"/>
    <n v="693"/>
    <d v="2026-02-27T15:47:24"/>
  </r>
  <r>
    <n v="11353"/>
    <x v="3"/>
    <n v="51003616"/>
    <n v="85.488607826551089"/>
    <s v="PLATINO"/>
    <n v="182"/>
    <d v="2026-02-27T15:47:24"/>
  </r>
  <r>
    <n v="11354"/>
    <x v="3"/>
    <n v="51038932"/>
    <n v="51.010274520743067"/>
    <s v="PLATA"/>
    <n v="851"/>
    <d v="2026-02-27T15:47:24"/>
  </r>
  <r>
    <n v="11355"/>
    <x v="3"/>
    <n v="51039211"/>
    <n v="60.498983963884342"/>
    <s v="ORO"/>
    <n v="799"/>
    <d v="2026-02-27T15:47:24"/>
  </r>
  <r>
    <n v="11356"/>
    <x v="3"/>
    <n v="51018664"/>
    <n v="14.861657320504809"/>
    <s v="BRONCE"/>
    <n v="1025"/>
    <d v="2026-02-27T15:47:24"/>
  </r>
  <r>
    <n v="11357"/>
    <x v="3"/>
    <n v="51056671"/>
    <n v="62.37"/>
    <s v="ORO"/>
    <n v="746"/>
    <d v="2026-02-27T15:47:24"/>
  </r>
  <r>
    <n v="11358"/>
    <x v="3"/>
    <n v="51055462"/>
    <n v="77.564743465973919"/>
    <s v="PLATINO"/>
    <n v="518"/>
    <d v="2026-02-27T15:47:24"/>
  </r>
  <r>
    <n v="11359"/>
    <x v="3"/>
    <n v="51014081"/>
    <n v="80.704999999999998"/>
    <s v="PLATINO"/>
    <n v="403"/>
    <d v="2026-02-27T15:47:24"/>
  </r>
  <r>
    <n v="11360"/>
    <x v="3"/>
    <n v="51055918"/>
    <n v="60.527193904554473"/>
    <s v="ORO"/>
    <n v="797"/>
    <d v="2026-02-27T15:47:24"/>
  </r>
  <r>
    <n v="11361"/>
    <x v="3"/>
    <n v="51016785"/>
    <n v="81.713724691052974"/>
    <s v="PLATINO"/>
    <n v="358"/>
    <d v="2026-02-27T15:47:24"/>
  </r>
  <r>
    <n v="11362"/>
    <x v="3"/>
    <n v="51055268"/>
    <n v="61.429638582271672"/>
    <s v="ORO"/>
    <n v="774"/>
    <d v="2026-02-27T15:47:24"/>
  </r>
  <r>
    <n v="11363"/>
    <x v="3"/>
    <n v="51015533"/>
    <n v="76.687911687746592"/>
    <s v="PLATINO"/>
    <n v="556"/>
    <d v="2026-02-27T15:47:24"/>
  </r>
  <r>
    <n v="11364"/>
    <x v="3"/>
    <n v="51018371"/>
    <n v="81.043896989445699"/>
    <s v="PLATINO"/>
    <n v="390"/>
    <d v="2026-02-27T15:47:24"/>
  </r>
  <r>
    <n v="11365"/>
    <x v="3"/>
    <n v="51004027"/>
    <n v="61.781465386265019"/>
    <s v="ORO"/>
    <n v="761"/>
    <d v="2026-02-27T15:47:24"/>
  </r>
  <r>
    <n v="11366"/>
    <x v="3"/>
    <n v="51011660"/>
    <n v="59.057953988916971"/>
    <s v="ORO"/>
    <n v="820"/>
    <d v="2026-02-27T15:47:24"/>
  </r>
  <r>
    <n v="11367"/>
    <x v="3"/>
    <n v="51022556"/>
    <n v="61.058000000000007"/>
    <s v="ORO"/>
    <n v="783"/>
    <d v="2026-02-27T15:47:24"/>
  </r>
  <r>
    <n v="11368"/>
    <x v="3"/>
    <n v="51018427"/>
    <n v="59.344169042989357"/>
    <s v="ORO"/>
    <n v="818"/>
    <d v="2026-02-27T15:47:24"/>
  </r>
  <r>
    <n v="11369"/>
    <x v="3"/>
    <n v="51024516"/>
    <n v="87.236284757212161"/>
    <s v="PLATINO"/>
    <n v="88"/>
    <d v="2026-02-27T15:47:24"/>
  </r>
  <r>
    <n v="11370"/>
    <x v="3"/>
    <n v="51011856"/>
    <n v="80.421918154701743"/>
    <s v="PLATINO"/>
    <n v="421"/>
    <d v="2026-02-27T15:47:24"/>
  </r>
  <r>
    <n v="11371"/>
    <x v="3"/>
    <n v="51032322"/>
    <n v="77.969054666521316"/>
    <s v="PLATINO"/>
    <n v="498"/>
    <d v="2026-02-27T15:47:24"/>
  </r>
  <r>
    <n v="11372"/>
    <x v="3"/>
    <n v="51013859"/>
    <n v="82.28"/>
    <s v="PLATINO"/>
    <n v="333"/>
    <d v="2026-02-27T15:47:24"/>
  </r>
  <r>
    <n v="11373"/>
    <x v="3"/>
    <n v="51008430"/>
    <n v="64.451623342468238"/>
    <s v="ORO"/>
    <n v="712"/>
    <d v="2026-02-27T15:47:24"/>
  </r>
  <r>
    <n v="11374"/>
    <x v="3"/>
    <n v="51042158"/>
    <n v="80.505681113592772"/>
    <s v="PLATINO"/>
    <n v="415"/>
    <d v="2026-02-27T15:47:24"/>
  </r>
  <r>
    <n v="11375"/>
    <x v="3"/>
    <n v="51011627"/>
    <n v="59.556309067729757"/>
    <s v="ORO"/>
    <n v="815"/>
    <d v="2026-02-27T15:47:24"/>
  </r>
  <r>
    <n v="11376"/>
    <x v="3"/>
    <n v="51010426"/>
    <n v="81.549537271053524"/>
    <s v="PLATINO"/>
    <n v="364"/>
    <d v="2026-02-27T15:47:24"/>
  </r>
  <r>
    <n v="11377"/>
    <x v="3"/>
    <n v="51033205"/>
    <n v="75.059928041976292"/>
    <s v="PLATINO"/>
    <n v="590"/>
    <d v="2026-02-27T15:47:24"/>
  </r>
  <r>
    <n v="11378"/>
    <x v="3"/>
    <n v="51035976"/>
    <n v="20"/>
    <s v="BRONCE"/>
    <n v="923"/>
    <d v="2026-02-27T15:47:24"/>
  </r>
  <r>
    <n v="11379"/>
    <x v="3"/>
    <n v="51010914"/>
    <n v="75.380048253617602"/>
    <s v="PLATINO"/>
    <n v="587"/>
    <d v="2026-02-27T15:47:24"/>
  </r>
  <r>
    <n v="11380"/>
    <x v="3"/>
    <n v="51023129"/>
    <n v="79.030956447490937"/>
    <s v="PLATINO"/>
    <n v="466"/>
    <d v="2026-02-27T15:47:24"/>
  </r>
  <r>
    <n v="11381"/>
    <x v="3"/>
    <n v="51054857"/>
    <n v="85.51201264385405"/>
    <s v="PLATINO"/>
    <n v="179"/>
    <d v="2026-02-27T15:47:24"/>
  </r>
  <r>
    <n v="11382"/>
    <x v="3"/>
    <n v="51055926"/>
    <n v="66.448385534349882"/>
    <s v="ORO"/>
    <n v="676"/>
    <d v="2026-02-27T15:47:24"/>
  </r>
  <r>
    <n v="11383"/>
    <x v="3"/>
    <n v="51021282"/>
    <n v="19.98"/>
    <s v="BRONCE"/>
    <n v="976"/>
    <d v="2026-02-27T15:47:24"/>
  </r>
  <r>
    <n v="11384"/>
    <x v="3"/>
    <n v="51031369"/>
    <n v="66.601002886543171"/>
    <s v="ORO"/>
    <n v="675"/>
    <d v="2026-02-27T15:47:24"/>
  </r>
  <r>
    <n v="11385"/>
    <x v="3"/>
    <n v="51024621"/>
    <n v="81.282962201867036"/>
    <s v="PLATINO"/>
    <n v="379"/>
    <d v="2026-02-27T15:47:24"/>
  </r>
  <r>
    <n v="11386"/>
    <x v="3"/>
    <n v="51032284"/>
    <n v="77.195097226624284"/>
    <s v="PLATINO"/>
    <n v="535"/>
    <d v="2026-02-27T15:47:24"/>
  </r>
  <r>
    <n v="11387"/>
    <x v="3"/>
    <n v="51018966"/>
    <n v="83.6"/>
    <s v="PLATINO"/>
    <n v="268"/>
    <d v="2026-02-27T15:47:24"/>
  </r>
  <r>
    <n v="11388"/>
    <x v="3"/>
    <n v="51012623"/>
    <n v="80.338000000000008"/>
    <s v="PLATINO"/>
    <n v="425"/>
    <d v="2026-02-27T15:47:24"/>
  </r>
  <r>
    <n v="11389"/>
    <x v="3"/>
    <n v="51019121"/>
    <n v="84.029282567186925"/>
    <s v="PLATINO"/>
    <n v="244"/>
    <d v="2026-02-27T15:47:24"/>
  </r>
  <r>
    <n v="11390"/>
    <x v="3"/>
    <n v="51036085"/>
    <n v="20"/>
    <s v="BRONCE"/>
    <n v="923"/>
    <d v="2026-02-27T15:47:24"/>
  </r>
  <r>
    <n v="11391"/>
    <x v="3"/>
    <n v="51002164"/>
    <n v="82.060884810647181"/>
    <s v="PLATINO"/>
    <n v="341"/>
    <d v="2026-02-27T15:47:24"/>
  </r>
  <r>
    <n v="11392"/>
    <x v="3"/>
    <n v="51013182"/>
    <n v="82.78"/>
    <s v="PLATINO"/>
    <n v="306"/>
    <d v="2026-02-27T15:47:24"/>
  </r>
  <r>
    <n v="11393"/>
    <x v="3"/>
    <n v="51033086"/>
    <n v="83.852619210083745"/>
    <s v="PLATINO"/>
    <n v="256"/>
    <d v="2026-02-27T15:47:24"/>
  </r>
  <r>
    <n v="11394"/>
    <x v="3"/>
    <n v="51029038"/>
    <n v="65.603604781284801"/>
    <s v="ORO"/>
    <n v="689"/>
    <d v="2026-02-27T15:47:24"/>
  </r>
  <r>
    <n v="11395"/>
    <x v="3"/>
    <n v="51024168"/>
    <n v="62.916540392753063"/>
    <s v="ORO"/>
    <n v="734"/>
    <d v="2026-02-27T15:47:24"/>
  </r>
  <r>
    <n v="11396"/>
    <x v="3"/>
    <n v="51023455"/>
    <n v="59.226860964678011"/>
    <s v="ORO"/>
    <n v="819"/>
    <d v="2026-02-27T15:47:24"/>
  </r>
  <r>
    <n v="11397"/>
    <x v="3"/>
    <n v="51016131"/>
    <n v="78.836751093673584"/>
    <s v="PLATINO"/>
    <n v="474"/>
    <d v="2026-02-27T15:47:24"/>
  </r>
  <r>
    <n v="11398"/>
    <x v="3"/>
    <n v="51016408"/>
    <n v="86.825000000000003"/>
    <s v="PLATINO"/>
    <n v="112"/>
    <d v="2026-02-27T15:47:24"/>
  </r>
  <r>
    <n v="11399"/>
    <x v="3"/>
    <n v="51056914"/>
    <n v="81.01263305278033"/>
    <s v="PLATINO"/>
    <n v="391"/>
    <d v="2026-02-27T15:47:24"/>
  </r>
  <r>
    <n v="11400"/>
    <x v="3"/>
    <n v="51016858"/>
    <n v="80.62"/>
    <s v="PLATINO"/>
    <n v="410"/>
    <d v="2026-02-27T15:47:24"/>
  </r>
  <r>
    <n v="11401"/>
    <x v="3"/>
    <n v="51035666"/>
    <n v="65.838092547540455"/>
    <s v="ORO"/>
    <n v="683"/>
    <d v="2026-02-27T15:47:24"/>
  </r>
  <r>
    <n v="11402"/>
    <x v="3"/>
    <n v="51022068"/>
    <n v="79.282892218910476"/>
    <s v="PLATINO"/>
    <n v="455"/>
    <d v="2026-02-27T15:47:24"/>
  </r>
  <r>
    <n v="11403"/>
    <x v="3"/>
    <n v="51013611"/>
    <n v="75.682819533904208"/>
    <s v="PLATINO"/>
    <n v="577"/>
    <d v="2026-02-27T15:47:24"/>
  </r>
  <r>
    <n v="11404"/>
    <x v="3"/>
    <n v="51013115"/>
    <n v="33.280073168703609"/>
    <s v="PLATA"/>
    <n v="905"/>
    <d v="2026-02-27T15:47:24"/>
  </r>
  <r>
    <n v="11405"/>
    <x v="3"/>
    <n v="51056744"/>
    <n v="79.039836478143116"/>
    <s v="PLATINO"/>
    <n v="465"/>
    <d v="2026-02-27T15:47:24"/>
  </r>
  <r>
    <n v="11406"/>
    <x v="3"/>
    <n v="51031822"/>
    <n v="75.383174089052133"/>
    <s v="PLATINO"/>
    <n v="586"/>
    <d v="2026-02-27T15:47:24"/>
  </r>
  <r>
    <n v="11407"/>
    <x v="3"/>
    <n v="51025938"/>
    <n v="65.066572733685788"/>
    <s v="ORO"/>
    <n v="700"/>
    <d v="2026-02-27T15:47:24"/>
  </r>
  <r>
    <n v="11408"/>
    <x v="3"/>
    <n v="51030141"/>
    <n v="78.607943173204148"/>
    <s v="PLATINO"/>
    <n v="477"/>
    <d v="2026-02-27T15:47:24"/>
  </r>
  <r>
    <n v="11409"/>
    <x v="3"/>
    <n v="51004698"/>
    <n v="73.541300907743036"/>
    <s v="ORO"/>
    <n v="606"/>
    <d v="2026-02-27T15:47:24"/>
  </r>
  <r>
    <n v="11410"/>
    <x v="3"/>
    <n v="51029585"/>
    <n v="72.024505046180963"/>
    <s v="ORO"/>
    <n v="629"/>
    <d v="2026-02-27T15:47:24"/>
  </r>
  <r>
    <n v="11411"/>
    <x v="3"/>
    <n v="51018389"/>
    <n v="77.421430299101885"/>
    <s v="PLATINO"/>
    <n v="525"/>
    <d v="2026-02-27T15:47:24"/>
  </r>
  <r>
    <n v="11412"/>
    <x v="3"/>
    <n v="51017137"/>
    <n v="36.184821408841287"/>
    <s v="PLATA"/>
    <n v="896"/>
    <d v="2026-02-27T15:47:24"/>
  </r>
  <r>
    <n v="11413"/>
    <x v="3"/>
    <n v="51041232"/>
    <n v="82.39916155133642"/>
    <s v="PLATINO"/>
    <n v="329"/>
    <d v="2026-02-27T15:47:24"/>
  </r>
  <r>
    <n v="11414"/>
    <x v="3"/>
    <n v="51022769"/>
    <n v="18.418158023367649"/>
    <s v="BRONCE"/>
    <n v="1002"/>
    <d v="2026-02-27T15:47:24"/>
  </r>
  <r>
    <n v="11415"/>
    <x v="3"/>
    <n v="51031164"/>
    <n v="84.152997890289015"/>
    <s v="PLATINO"/>
    <n v="240"/>
    <d v="2026-02-27T15:47:24"/>
  </r>
  <r>
    <n v="11416"/>
    <x v="3"/>
    <n v="51030371"/>
    <n v="82.239303659357319"/>
    <s v="PLATINO"/>
    <n v="336"/>
    <d v="2026-02-27T15:47:24"/>
  </r>
  <r>
    <n v="11417"/>
    <x v="3"/>
    <n v="51040392"/>
    <n v="61.510653953762201"/>
    <s v="ORO"/>
    <n v="768"/>
    <d v="2026-02-27T15:47:24"/>
  </r>
  <r>
    <n v="11418"/>
    <x v="3"/>
    <n v="51014693"/>
    <n v="83.767938697061254"/>
    <s v="PLATINO"/>
    <n v="260"/>
    <d v="2026-02-27T15:47:24"/>
  </r>
  <r>
    <n v="11419"/>
    <x v="3"/>
    <n v="51055551"/>
    <n v="78.958710771986503"/>
    <s v="PLATINO"/>
    <n v="467"/>
    <d v="2026-02-27T15:47:24"/>
  </r>
  <r>
    <n v="11420"/>
    <x v="3"/>
    <n v="51012593"/>
    <n v="70.129351265640608"/>
    <s v="ORO"/>
    <n v="644"/>
    <d v="2026-02-27T15:47:24"/>
  </r>
  <r>
    <n v="11421"/>
    <x v="3"/>
    <n v="51015908"/>
    <n v="62.405000000000001"/>
    <s v="ORO"/>
    <n v="744"/>
    <d v="2026-02-27T15:47:24"/>
  </r>
  <r>
    <n v="11422"/>
    <x v="3"/>
    <n v="51015924"/>
    <n v="85.38"/>
    <s v="PLATINO"/>
    <n v="186"/>
    <d v="2026-02-27T15:47:24"/>
  </r>
  <r>
    <n v="11423"/>
    <x v="3"/>
    <n v="51034252"/>
    <n v="79.350094833605596"/>
    <s v="PLATINO"/>
    <n v="447"/>
    <d v="2026-02-27T15:47:24"/>
  </r>
  <r>
    <n v="11424"/>
    <x v="3"/>
    <n v="51017676"/>
    <n v="80.240000000000009"/>
    <s v="PLATINO"/>
    <n v="428"/>
    <d v="2026-02-27T15:47:24"/>
  </r>
  <r>
    <n v="11425"/>
    <x v="3"/>
    <n v="51033655"/>
    <n v="79.345321966397378"/>
    <s v="PLATINO"/>
    <n v="449"/>
    <d v="2026-02-27T15:47:24"/>
  </r>
  <r>
    <n v="11426"/>
    <x v="3"/>
    <n v="51014740"/>
    <n v="72.660177235463891"/>
    <s v="ORO"/>
    <n v="619"/>
    <d v="2026-02-27T15:47:24"/>
  </r>
  <r>
    <n v="11427"/>
    <x v="3"/>
    <n v="51011287"/>
    <n v="64.327187209558346"/>
    <s v="ORO"/>
    <n v="714"/>
    <d v="2026-02-27T15:47:24"/>
  </r>
  <r>
    <n v="11428"/>
    <x v="3"/>
    <n v="51026306"/>
    <n v="79.252503026998539"/>
    <s v="PLATINO"/>
    <n v="456"/>
    <d v="2026-02-27T15:47:24"/>
  </r>
  <r>
    <n v="11429"/>
    <x v="3"/>
    <n v="51040325"/>
    <n v="78.453783712011557"/>
    <s v="PLATINO"/>
    <n v="479"/>
    <d v="2026-02-27T15:47:24"/>
  </r>
  <r>
    <n v="11430"/>
    <x v="3"/>
    <n v="51055543"/>
    <n v="82.491962170473997"/>
    <s v="PLATINO"/>
    <n v="322"/>
    <d v="2026-02-27T15:47:24"/>
  </r>
  <r>
    <n v="11431"/>
    <x v="3"/>
    <n v="51037031"/>
    <n v="75.955543078356726"/>
    <s v="PLATINO"/>
    <n v="571"/>
    <d v="2026-02-27T15:47:24"/>
  </r>
  <r>
    <n v="11432"/>
    <x v="3"/>
    <n v="51057244"/>
    <n v="78.868939223695378"/>
    <s v="PLATINO"/>
    <n v="471"/>
    <d v="2026-02-27T15:47:24"/>
  </r>
  <r>
    <n v="11433"/>
    <x v="3"/>
    <n v="51032004"/>
    <n v="84.014112877131453"/>
    <s v="PLATINO"/>
    <n v="246"/>
    <d v="2026-02-27T15:47:24"/>
  </r>
  <r>
    <n v="11434"/>
    <x v="3"/>
    <n v="51019253"/>
    <n v="73.248334253106606"/>
    <s v="ORO"/>
    <n v="610"/>
    <d v="2026-02-27T15:47:24"/>
  </r>
  <r>
    <n v="11435"/>
    <x v="3"/>
    <n v="51008413"/>
    <n v="80"/>
    <s v="PLATINO"/>
    <n v="438"/>
    <d v="2026-02-27T15:47:24"/>
  </r>
  <r>
    <n v="11436"/>
    <x v="3"/>
    <n v="51018265"/>
    <n v="80.145020190573788"/>
    <s v="PLATINO"/>
    <n v="430"/>
    <d v="2026-02-27T15:47:24"/>
  </r>
  <r>
    <n v="11437"/>
    <x v="3"/>
    <n v="51022050"/>
    <n v="69.648862182120752"/>
    <s v="ORO"/>
    <n v="650"/>
    <d v="2026-02-27T15:47:24"/>
  </r>
  <r>
    <n v="11438"/>
    <x v="3"/>
    <n v="51016076"/>
    <n v="80.060477351341788"/>
    <s v="PLATINO"/>
    <n v="434"/>
    <d v="2026-02-27T15:47:24"/>
  </r>
  <r>
    <n v="11439"/>
    <x v="3"/>
    <n v="51014634"/>
    <n v="81.195009434659823"/>
    <s v="PLATINO"/>
    <n v="385"/>
    <d v="2026-02-27T15:47:24"/>
  </r>
  <r>
    <n v="11440"/>
    <x v="3"/>
    <n v="51004655"/>
    <n v="61.064901754140848"/>
    <s v="ORO"/>
    <n v="782"/>
    <d v="2026-02-27T15:47:24"/>
  </r>
  <r>
    <n v="11441"/>
    <x v="3"/>
    <n v="51030974"/>
    <n v="19.98"/>
    <s v="BRONCE"/>
    <n v="976"/>
    <d v="2026-02-27T15:47:24"/>
  </r>
  <r>
    <n v="11442"/>
    <x v="3"/>
    <n v="51056787"/>
    <n v="78.397033813021949"/>
    <s v="PLATINO"/>
    <n v="480"/>
    <d v="2026-02-27T15:47:24"/>
  </r>
  <r>
    <n v="11443"/>
    <x v="3"/>
    <n v="51032802"/>
    <n v="58.319143152844497"/>
    <s v="ORO"/>
    <n v="826"/>
    <d v="2026-02-27T15:47:24"/>
  </r>
  <r>
    <n v="11444"/>
    <x v="3"/>
    <n v="51043677"/>
    <n v="79.539999999999992"/>
    <s v="PLATINO"/>
    <n v="444"/>
    <d v="2026-02-27T15:47:24"/>
  </r>
  <r>
    <n v="11445"/>
    <x v="3"/>
    <n v="51022467"/>
    <n v="79.66"/>
    <s v="PLATINO"/>
    <n v="442"/>
    <d v="2026-02-27T15:47:24"/>
  </r>
  <r>
    <n v="11446"/>
    <x v="3"/>
    <n v="51055225"/>
    <n v="80.968167875030957"/>
    <s v="PLATINO"/>
    <n v="394"/>
    <d v="2026-02-27T15:47:24"/>
  </r>
  <r>
    <n v="11447"/>
    <x v="3"/>
    <n v="51041666"/>
    <n v="38.12885935577139"/>
    <s v="PLATA"/>
    <n v="890"/>
    <d v="2026-02-27T15:47:24"/>
  </r>
  <r>
    <n v="11448"/>
    <x v="3"/>
    <n v="51024753"/>
    <n v="81.315050558037825"/>
    <s v="PLATINO"/>
    <n v="377"/>
    <d v="2026-02-27T15:47:24"/>
  </r>
  <r>
    <n v="11449"/>
    <x v="3"/>
    <n v="51023901"/>
    <n v="61.46"/>
    <s v="ORO"/>
    <n v="772"/>
    <d v="2026-02-27T15:47:24"/>
  </r>
  <r>
    <n v="11450"/>
    <x v="3"/>
    <n v="51038401"/>
    <n v="82.406466381199778"/>
    <s v="PLATINO"/>
    <n v="328"/>
    <d v="2026-02-27T15:47:24"/>
  </r>
  <r>
    <n v="11451"/>
    <x v="3"/>
    <n v="51023226"/>
    <n v="80.907374336157119"/>
    <s v="PLATINO"/>
    <n v="396"/>
    <d v="2026-02-27T15:47:24"/>
  </r>
  <r>
    <n v="11452"/>
    <x v="3"/>
    <n v="51019717"/>
    <n v="81.793648592784379"/>
    <s v="PLATINO"/>
    <n v="355"/>
    <d v="2026-02-27T15:47:24"/>
  </r>
  <r>
    <n v="11453"/>
    <x v="3"/>
    <n v="51007115"/>
    <n v="79.883474653676984"/>
    <s v="PLATINO"/>
    <n v="439"/>
    <d v="2026-02-27T15:47:24"/>
  </r>
  <r>
    <n v="11454"/>
    <x v="3"/>
    <n v="51016637"/>
    <n v="78.00500000000001"/>
    <s v="PLATINO"/>
    <n v="496"/>
    <d v="2026-02-27T15:47:24"/>
  </r>
  <r>
    <n v="11455"/>
    <x v="3"/>
    <n v="51023439"/>
    <n v="78.380751972127271"/>
    <s v="PLATINO"/>
    <n v="481"/>
    <d v="2026-02-27T15:47:24"/>
  </r>
  <r>
    <n v="11456"/>
    <x v="3"/>
    <n v="51031334"/>
    <n v="46.484183349562613"/>
    <s v="PLATA"/>
    <n v="869"/>
    <d v="2026-02-27T15:47:24"/>
  </r>
  <r>
    <n v="11457"/>
    <x v="3"/>
    <n v="51005368"/>
    <n v="76.439163308904071"/>
    <s v="PLATINO"/>
    <n v="562"/>
    <d v="2026-02-27T15:47:24"/>
  </r>
  <r>
    <n v="11458"/>
    <x v="3"/>
    <n v="51023803"/>
    <n v="85.58"/>
    <s v="PLATINO"/>
    <n v="175"/>
    <d v="2026-02-27T15:47:24"/>
  </r>
  <r>
    <n v="11459"/>
    <x v="3"/>
    <n v="51016777"/>
    <n v="80.600192080606462"/>
    <s v="PLATINO"/>
    <n v="412"/>
    <d v="2026-02-27T15:47:24"/>
  </r>
  <r>
    <n v="11460"/>
    <x v="3"/>
    <n v="51056094"/>
    <n v="80.93738643742617"/>
    <s v="PLATINO"/>
    <n v="395"/>
    <d v="2026-02-27T15:47:24"/>
  </r>
  <r>
    <n v="11461"/>
    <x v="3"/>
    <n v="51018044"/>
    <n v="19.998000000000001"/>
    <s v="BRONCE"/>
    <n v="951"/>
    <d v="2026-02-27T15:47:24"/>
  </r>
  <r>
    <n v="11462"/>
    <x v="3"/>
    <n v="51031318"/>
    <n v="76.725082412992549"/>
    <s v="PLATINO"/>
    <n v="555"/>
    <d v="2026-02-27T15:47:24"/>
  </r>
  <r>
    <n v="11463"/>
    <x v="3"/>
    <n v="51031750"/>
    <n v="78.185923320659384"/>
    <s v="PLATINO"/>
    <n v="489"/>
    <d v="2026-02-27T15:47:24"/>
  </r>
  <r>
    <n v="11464"/>
    <x v="3"/>
    <n v="51032063"/>
    <n v="80.819999999999993"/>
    <s v="PLATINO"/>
    <n v="399"/>
    <d v="2026-02-27T15:47:24"/>
  </r>
  <r>
    <n v="11465"/>
    <x v="3"/>
    <n v="51029232"/>
    <n v="9.9600000000000009"/>
    <s v="BRONCE"/>
    <n v="1190"/>
    <d v="2026-02-27T15:47:24"/>
  </r>
  <r>
    <n v="11466"/>
    <x v="3"/>
    <n v="51035879"/>
    <n v="69.7632589086964"/>
    <s v="ORO"/>
    <n v="648"/>
    <d v="2026-02-27T15:47:24"/>
  </r>
  <r>
    <n v="11467"/>
    <x v="3"/>
    <n v="51001044"/>
    <n v="80.099999999999994"/>
    <s v="PLATINO"/>
    <n v="432"/>
    <d v="2026-02-27T15:47:24"/>
  </r>
  <r>
    <n v="11468"/>
    <x v="3"/>
    <n v="51028929"/>
    <n v="61.18"/>
    <s v="ORO"/>
    <n v="781"/>
    <d v="2026-02-27T15:47:24"/>
  </r>
  <r>
    <n v="11469"/>
    <x v="3"/>
    <n v="51054873"/>
    <n v="34.466808736228927"/>
    <s v="PLATA"/>
    <n v="900"/>
    <d v="2026-02-27T15:47:24"/>
  </r>
  <r>
    <n v="11470"/>
    <x v="3"/>
    <n v="51013913"/>
    <n v="60.500999999999998"/>
    <s v="ORO"/>
    <n v="798"/>
    <d v="2026-02-27T15:47:24"/>
  </r>
  <r>
    <n v="11471"/>
    <x v="3"/>
    <n v="51033302"/>
    <n v="35.454146660560077"/>
    <s v="PLATA"/>
    <n v="899"/>
    <d v="2026-02-27T15:47:24"/>
  </r>
  <r>
    <n v="11472"/>
    <x v="3"/>
    <n v="51054806"/>
    <n v="80.676406236954492"/>
    <s v="PLATINO"/>
    <n v="404"/>
    <d v="2026-02-27T15:47:24"/>
  </r>
  <r>
    <n v="11473"/>
    <x v="3"/>
    <n v="51030567"/>
    <n v="72.64476849248291"/>
    <s v="ORO"/>
    <n v="621"/>
    <d v="2026-02-27T15:47:24"/>
  </r>
  <r>
    <n v="11474"/>
    <x v="3"/>
    <n v="51014375"/>
    <n v="46.621734787544867"/>
    <s v="PLATA"/>
    <n v="868"/>
    <d v="2026-02-27T15:47:24"/>
  </r>
  <r>
    <n v="11475"/>
    <x v="3"/>
    <n v="51056337"/>
    <n v="76.245593077528312"/>
    <s v="PLATINO"/>
    <n v="565"/>
    <d v="2026-02-27T15:47:24"/>
  </r>
  <r>
    <n v="11476"/>
    <x v="3"/>
    <n v="51054938"/>
    <n v="61.84"/>
    <s v="ORO"/>
    <n v="760"/>
    <d v="2026-02-27T15:47:24"/>
  </r>
  <r>
    <n v="11477"/>
    <x v="3"/>
    <n v="51024834"/>
    <n v="62.12"/>
    <s v="ORO"/>
    <n v="754"/>
    <d v="2026-02-27T15:47:24"/>
  </r>
  <r>
    <n v="11478"/>
    <x v="3"/>
    <n v="51016831"/>
    <n v="81.259349123997737"/>
    <s v="PLATINO"/>
    <n v="381"/>
    <d v="2026-02-27T15:47:24"/>
  </r>
  <r>
    <n v="11479"/>
    <x v="3"/>
    <n v="51023927"/>
    <n v="78.254623888028135"/>
    <s v="PLATINO"/>
    <n v="485"/>
    <d v="2026-02-27T15:47:24"/>
  </r>
  <r>
    <n v="11480"/>
    <x v="3"/>
    <n v="51020111"/>
    <n v="76.863059325797934"/>
    <s v="PLATINO"/>
    <n v="551"/>
    <d v="2026-02-27T15:47:24"/>
  </r>
  <r>
    <n v="11481"/>
    <x v="3"/>
    <n v="51055250"/>
    <n v="81.044973042117135"/>
    <s v="PLATINO"/>
    <n v="389"/>
    <d v="2026-02-27T15:47:24"/>
  </r>
  <r>
    <n v="11482"/>
    <x v="3"/>
    <n v="51018036"/>
    <n v="39.661829124055032"/>
    <s v="PLATA"/>
    <n v="884"/>
    <d v="2026-02-27T15:47:24"/>
  </r>
  <r>
    <n v="11483"/>
    <x v="3"/>
    <n v="51009797"/>
    <n v="82.12798939776502"/>
    <s v="PLATINO"/>
    <n v="340"/>
    <d v="2026-02-27T15:47:24"/>
  </r>
  <r>
    <n v="11484"/>
    <x v="3"/>
    <n v="51041917"/>
    <n v="82.709881039800266"/>
    <s v="PLATINO"/>
    <n v="311"/>
    <d v="2026-02-27T15:47:24"/>
  </r>
  <r>
    <n v="11485"/>
    <x v="3"/>
    <n v="51017846"/>
    <n v="80.56"/>
    <s v="PLATINO"/>
    <n v="413"/>
    <d v="2026-02-27T15:47:24"/>
  </r>
  <r>
    <n v="11486"/>
    <x v="3"/>
    <n v="51015851"/>
    <n v="77.751991551444789"/>
    <s v="PLATINO"/>
    <n v="509"/>
    <d v="2026-02-27T15:47:24"/>
  </r>
  <r>
    <n v="11487"/>
    <x v="3"/>
    <n v="51036603"/>
    <n v="33.548226003039062"/>
    <s v="PLATA"/>
    <n v="904"/>
    <d v="2026-02-27T15:47:24"/>
  </r>
  <r>
    <n v="11488"/>
    <x v="3"/>
    <n v="51020910"/>
    <n v="78.898112645459733"/>
    <s v="PLATINO"/>
    <n v="468"/>
    <d v="2026-02-27T15:47:24"/>
  </r>
  <r>
    <n v="11489"/>
    <x v="3"/>
    <n v="51031326"/>
    <n v="62.773375965146577"/>
    <s v="ORO"/>
    <n v="737"/>
    <d v="2026-02-27T15:47:24"/>
  </r>
  <r>
    <n v="11490"/>
    <x v="3"/>
    <n v="51033604"/>
    <n v="79.205880197853972"/>
    <s v="PLATINO"/>
    <n v="457"/>
    <d v="2026-02-27T15:47:24"/>
  </r>
  <r>
    <n v="11491"/>
    <x v="3"/>
    <n v="51026217"/>
    <n v="26.327452196168881"/>
    <s v="BRONCE"/>
    <n v="916"/>
    <d v="2026-02-27T15:47:24"/>
  </r>
  <r>
    <n v="11492"/>
    <x v="3"/>
    <n v="51039165"/>
    <n v="87.515898202262051"/>
    <s v="PLATINO"/>
    <n v="71"/>
    <d v="2026-02-27T15:47:24"/>
  </r>
  <r>
    <n v="11493"/>
    <x v="3"/>
    <n v="51006844"/>
    <n v="61.541650273677668"/>
    <s v="ORO"/>
    <n v="767"/>
    <d v="2026-02-27T15:47:24"/>
  </r>
  <r>
    <n v="11494"/>
    <x v="3"/>
    <n v="51020995"/>
    <n v="46.9633258229807"/>
    <s v="PLATA"/>
    <n v="867"/>
    <d v="2026-02-27T15:47:24"/>
  </r>
  <r>
    <n v="11495"/>
    <x v="3"/>
    <n v="51023251"/>
    <n v="79.128860189792903"/>
    <s v="PLATINO"/>
    <n v="460"/>
    <d v="2026-02-27T15:47:24"/>
  </r>
  <r>
    <n v="11496"/>
    <x v="3"/>
    <n v="51010205"/>
    <n v="19.582893620765869"/>
    <s v="BRONCE"/>
    <n v="993"/>
    <d v="2026-02-27T15:47:24"/>
  </r>
  <r>
    <n v="11497"/>
    <x v="3"/>
    <n v="51056922"/>
    <n v="79.039999999999992"/>
    <s v="PLATINO"/>
    <n v="464"/>
    <d v="2026-02-27T15:47:24"/>
  </r>
  <r>
    <n v="11498"/>
    <x v="3"/>
    <n v="51056299"/>
    <n v="19.998000000000001"/>
    <s v="BRONCE"/>
    <n v="951"/>
    <d v="2026-02-27T15:47:24"/>
  </r>
  <r>
    <n v="11499"/>
    <x v="3"/>
    <n v="51010175"/>
    <n v="60.658887023714797"/>
    <s v="ORO"/>
    <n v="793"/>
    <d v="2026-02-27T15:47:24"/>
  </r>
  <r>
    <n v="11500"/>
    <x v="3"/>
    <n v="51015355"/>
    <n v="83.740319183027438"/>
    <s v="PLATINO"/>
    <n v="262"/>
    <d v="2026-02-27T15:47:24"/>
  </r>
  <r>
    <n v="11501"/>
    <x v="3"/>
    <n v="51010191"/>
    <n v="19.998000000000001"/>
    <s v="BRONCE"/>
    <n v="951"/>
    <d v="2026-02-27T15:47:24"/>
  </r>
  <r>
    <n v="11502"/>
    <x v="3"/>
    <n v="51013051"/>
    <n v="17.57331406304796"/>
    <s v="BRONCE"/>
    <n v="1008"/>
    <d v="2026-02-27T15:47:24"/>
  </r>
  <r>
    <n v="11503"/>
    <x v="3"/>
    <n v="51032632"/>
    <n v="60.043801215959633"/>
    <s v="ORO"/>
    <n v="808"/>
    <d v="2026-02-27T15:47:24"/>
  </r>
  <r>
    <n v="11504"/>
    <x v="3"/>
    <n v="51026322"/>
    <n v="20"/>
    <s v="BRONCE"/>
    <n v="923"/>
    <d v="2026-02-27T15:47:24"/>
  </r>
  <r>
    <n v="11505"/>
    <x v="3"/>
    <n v="51019555"/>
    <n v="71.558578713802405"/>
    <s v="ORO"/>
    <n v="635"/>
    <d v="2026-02-27T15:47:24"/>
  </r>
  <r>
    <n v="11506"/>
    <x v="3"/>
    <n v="51009991"/>
    <n v="80.298000000000002"/>
    <s v="PLATINO"/>
    <n v="427"/>
    <d v="2026-02-27T15:47:24"/>
  </r>
  <r>
    <n v="11507"/>
    <x v="3"/>
    <n v="51025822"/>
    <n v="41.936532152279668"/>
    <s v="PLATA"/>
    <n v="877"/>
    <d v="2026-02-27T15:47:24"/>
  </r>
  <r>
    <n v="11508"/>
    <x v="3"/>
    <n v="51012500"/>
    <n v="50.314929782582411"/>
    <s v="PLATA"/>
    <n v="856"/>
    <d v="2026-02-27T15:47:24"/>
  </r>
  <r>
    <n v="11509"/>
    <x v="3"/>
    <n v="51015797"/>
    <n v="82.408132375810212"/>
    <s v="PLATINO"/>
    <n v="327"/>
    <d v="2026-02-27T15:47:24"/>
  </r>
  <r>
    <n v="11510"/>
    <x v="3"/>
    <n v="51014782"/>
    <n v="81.22"/>
    <s v="PLATINO"/>
    <n v="383"/>
    <d v="2026-02-27T15:47:24"/>
  </r>
  <r>
    <n v="11511"/>
    <x v="3"/>
    <n v="51013077"/>
    <n v="81.38279565482182"/>
    <s v="PLATINO"/>
    <n v="375"/>
    <d v="2026-02-27T15:47:24"/>
  </r>
  <r>
    <n v="11512"/>
    <x v="3"/>
    <n v="51002539"/>
    <n v="73.275999620489216"/>
    <s v="ORO"/>
    <n v="609"/>
    <d v="2026-02-27T15:47:24"/>
  </r>
  <r>
    <n v="11513"/>
    <x v="3"/>
    <n v="51031806"/>
    <n v="59.380630789415967"/>
    <s v="ORO"/>
    <n v="817"/>
    <d v="2026-02-27T15:47:24"/>
  </r>
  <r>
    <n v="11514"/>
    <x v="3"/>
    <n v="51044410"/>
    <n v="79.333984481176813"/>
    <s v="PLATINO"/>
    <n v="450"/>
    <d v="2026-02-27T15:47:24"/>
  </r>
  <r>
    <n v="11515"/>
    <x v="3"/>
    <n v="51033248"/>
    <n v="58.92201392055555"/>
    <s v="ORO"/>
    <n v="822"/>
    <d v="2026-02-27T15:47:24"/>
  </r>
  <r>
    <n v="11516"/>
    <x v="3"/>
    <n v="51025318"/>
    <n v="36.782939335395753"/>
    <s v="PLATA"/>
    <n v="895"/>
    <d v="2026-02-27T15:47:24"/>
  </r>
  <r>
    <n v="11517"/>
    <x v="3"/>
    <n v="51031687"/>
    <n v="80.489671819719661"/>
    <s v="PLATINO"/>
    <n v="417"/>
    <d v="2026-02-27T15:47:24"/>
  </r>
  <r>
    <n v="11518"/>
    <x v="3"/>
    <n v="51055861"/>
    <n v="52.568532906806368"/>
    <s v="PLATA"/>
    <n v="847"/>
    <d v="2026-02-27T15:47:24"/>
  </r>
  <r>
    <n v="11519"/>
    <x v="3"/>
    <n v="51019407"/>
    <n v="78.146508191032666"/>
    <s v="PLATINO"/>
    <n v="491"/>
    <d v="2026-02-27T15:47:24"/>
  </r>
  <r>
    <n v="11520"/>
    <x v="3"/>
    <n v="51012411"/>
    <n v="78.113982933082198"/>
    <s v="PLATINO"/>
    <n v="492"/>
    <d v="2026-02-27T15:47:24"/>
  </r>
  <r>
    <n v="11521"/>
    <x v="3"/>
    <n v="51020171"/>
    <n v="73.223338363227853"/>
    <s v="ORO"/>
    <n v="611"/>
    <d v="2026-02-27T15:47:24"/>
  </r>
  <r>
    <n v="11522"/>
    <x v="3"/>
    <n v="51029488"/>
    <n v="18.822733707353201"/>
    <s v="BRONCE"/>
    <n v="997"/>
    <d v="2026-02-27T15:47:24"/>
  </r>
  <r>
    <n v="11523"/>
    <x v="3"/>
    <n v="51017633"/>
    <n v="78.700000000000017"/>
    <s v="PLATINO"/>
    <n v="476"/>
    <d v="2026-02-27T15:47:24"/>
  </r>
  <r>
    <n v="11524"/>
    <x v="3"/>
    <n v="51056663"/>
    <n v="60.842369074822862"/>
    <s v="ORO"/>
    <n v="790"/>
    <d v="2026-02-27T15:47:24"/>
  </r>
  <r>
    <n v="11525"/>
    <x v="3"/>
    <n v="51026063"/>
    <n v="77.319999999999993"/>
    <s v="PLATINO"/>
    <n v="530"/>
    <d v="2026-02-27T15:47:24"/>
  </r>
  <r>
    <n v="11526"/>
    <x v="3"/>
    <n v="51043995"/>
    <n v="69.039887586584086"/>
    <s v="ORO"/>
    <n v="654"/>
    <d v="2026-02-27T15:47:24"/>
  </r>
  <r>
    <n v="11527"/>
    <x v="3"/>
    <n v="51011074"/>
    <n v="80.639581329437704"/>
    <s v="PLATINO"/>
    <n v="408"/>
    <d v="2026-02-27T15:47:24"/>
  </r>
  <r>
    <n v="11528"/>
    <x v="3"/>
    <n v="51003225"/>
    <n v="77.906559506303282"/>
    <s v="PLATINO"/>
    <n v="501"/>
    <d v="2026-02-27T15:47:24"/>
  </r>
  <r>
    <n v="11529"/>
    <x v="3"/>
    <n v="51024966"/>
    <n v="77.725004307800617"/>
    <s v="PLATINO"/>
    <n v="513"/>
    <d v="2026-02-27T15:47:24"/>
  </r>
  <r>
    <n v="11530"/>
    <x v="3"/>
    <n v="51038673"/>
    <n v="76.099932578823029"/>
    <s v="PLATINO"/>
    <n v="568"/>
    <d v="2026-02-27T15:47:24"/>
  </r>
  <r>
    <n v="11531"/>
    <x v="3"/>
    <n v="51013271"/>
    <n v="81.48352376036803"/>
    <s v="PLATINO"/>
    <n v="369"/>
    <d v="2026-02-27T15:47:24"/>
  </r>
  <r>
    <n v="11532"/>
    <x v="3"/>
    <n v="51038894"/>
    <n v="79.176561280938174"/>
    <s v="PLATINO"/>
    <n v="458"/>
    <d v="2026-02-27T15:47:24"/>
  </r>
  <r>
    <n v="11533"/>
    <x v="3"/>
    <n v="51021843"/>
    <n v="73.705154635412441"/>
    <s v="ORO"/>
    <n v="602"/>
    <d v="2026-02-27T15:47:24"/>
  </r>
  <r>
    <n v="11534"/>
    <x v="3"/>
    <n v="51024109"/>
    <n v="81.814808847232356"/>
    <s v="PLATINO"/>
    <n v="353"/>
    <d v="2026-02-27T15:47:24"/>
  </r>
  <r>
    <n v="11535"/>
    <x v="3"/>
    <n v="51056159"/>
    <n v="80.738000000000014"/>
    <s v="PLATINO"/>
    <n v="402"/>
    <d v="2026-02-27T15:47:24"/>
  </r>
  <r>
    <n v="11536"/>
    <x v="3"/>
    <n v="51036981"/>
    <n v="77.84"/>
    <s v="PLATINO"/>
    <n v="505"/>
    <d v="2026-02-27T15:47:24"/>
  </r>
  <r>
    <n v="11537"/>
    <x v="3"/>
    <n v="51032519"/>
    <n v="78.89147804348049"/>
    <s v="PLATINO"/>
    <n v="470"/>
    <d v="2026-02-27T15:47:24"/>
  </r>
  <r>
    <n v="11538"/>
    <x v="3"/>
    <n v="51055519"/>
    <n v="44.169995695440527"/>
    <s v="PLATA"/>
    <n v="874"/>
    <d v="2026-02-27T15:47:24"/>
  </r>
  <r>
    <n v="11539"/>
    <x v="3"/>
    <n v="51032969"/>
    <n v="77.937056961516319"/>
    <s v="PLATINO"/>
    <n v="500"/>
    <d v="2026-02-27T15:47:24"/>
  </r>
  <r>
    <n v="11540"/>
    <x v="3"/>
    <n v="51017587"/>
    <n v="59.605979287075471"/>
    <s v="ORO"/>
    <n v="814"/>
    <d v="2026-02-27T15:47:24"/>
  </r>
  <r>
    <n v="11541"/>
    <x v="3"/>
    <n v="51018214"/>
    <n v="60.93"/>
    <s v="ORO"/>
    <n v="788"/>
    <d v="2026-02-27T15:47:24"/>
  </r>
  <r>
    <n v="11542"/>
    <x v="3"/>
    <n v="51016661"/>
    <n v="61"/>
    <s v="ORO"/>
    <n v="784"/>
    <d v="2026-02-27T15:47:24"/>
  </r>
  <r>
    <n v="11543"/>
    <x v="3"/>
    <n v="51002296"/>
    <n v="61.760000000000012"/>
    <s v="ORO"/>
    <n v="765"/>
    <d v="2026-02-27T15:47:24"/>
  </r>
  <r>
    <n v="11544"/>
    <x v="3"/>
    <n v="51016998"/>
    <n v="19.63087897022805"/>
    <s v="BRONCE"/>
    <n v="992"/>
    <d v="2026-02-27T15:47:24"/>
  </r>
  <r>
    <n v="11545"/>
    <x v="3"/>
    <n v="51005325"/>
    <n v="50.505126969711441"/>
    <s v="PLATA"/>
    <n v="854"/>
    <d v="2026-02-27T15:47:24"/>
  </r>
  <r>
    <n v="11546"/>
    <x v="3"/>
    <n v="51011937"/>
    <n v="31.121696997216048"/>
    <s v="PLATA"/>
    <n v="910"/>
    <d v="2026-02-27T15:47:24"/>
  </r>
  <r>
    <n v="11547"/>
    <x v="3"/>
    <n v="51033191"/>
    <n v="70.943458125383088"/>
    <s v="ORO"/>
    <n v="638"/>
    <d v="2026-02-27T15:47:24"/>
  </r>
  <r>
    <n v="11548"/>
    <x v="3"/>
    <n v="51032560"/>
    <n v="75.652550556554147"/>
    <s v="PLATINO"/>
    <n v="581"/>
    <d v="2026-02-27T15:47:24"/>
  </r>
  <r>
    <n v="11549"/>
    <x v="3"/>
    <n v="51056302"/>
    <n v="64.930285830899891"/>
    <s v="ORO"/>
    <n v="703"/>
    <d v="2026-02-27T15:47:24"/>
  </r>
  <r>
    <n v="11550"/>
    <x v="3"/>
    <n v="51032659"/>
    <n v="59.965806280520617"/>
    <s v="ORO"/>
    <n v="809"/>
    <d v="2026-02-27T15:47:24"/>
  </r>
  <r>
    <n v="11551"/>
    <x v="3"/>
    <n v="51017129"/>
    <n v="46.240281744597219"/>
    <s v="PLATA"/>
    <n v="870"/>
    <d v="2026-02-27T15:47:24"/>
  </r>
  <r>
    <n v="11552"/>
    <x v="3"/>
    <n v="51036191"/>
    <n v="77.98423527067213"/>
    <s v="PLATINO"/>
    <n v="497"/>
    <d v="2026-02-27T15:47:24"/>
  </r>
  <r>
    <n v="11553"/>
    <x v="3"/>
    <n v="51011562"/>
    <n v="79.129166014632432"/>
    <s v="PLATINO"/>
    <n v="459"/>
    <d v="2026-02-27T15:47:24"/>
  </r>
  <r>
    <n v="11554"/>
    <x v="3"/>
    <n v="51018346"/>
    <n v="78.19"/>
    <s v="PLATINO"/>
    <n v="488"/>
    <d v="2026-02-27T15:47:24"/>
  </r>
  <r>
    <n v="11555"/>
    <x v="3"/>
    <n v="51042514"/>
    <n v="77.73269503921955"/>
    <s v="PLATINO"/>
    <n v="510"/>
    <d v="2026-02-27T15:47:24"/>
  </r>
  <r>
    <n v="11556"/>
    <x v="3"/>
    <n v="51056906"/>
    <n v="79.084518741852406"/>
    <s v="PLATINO"/>
    <n v="461"/>
    <d v="2026-02-27T15:47:24"/>
  </r>
  <r>
    <n v="11557"/>
    <x v="3"/>
    <n v="51043375"/>
    <n v="79.321818181818188"/>
    <s v="PLATINO"/>
    <n v="452"/>
    <d v="2026-02-27T15:47:24"/>
  </r>
  <r>
    <n v="11558"/>
    <x v="3"/>
    <n v="51055691"/>
    <n v="78.838448399203102"/>
    <s v="PLATINO"/>
    <n v="473"/>
    <d v="2026-02-27T15:47:24"/>
  </r>
  <r>
    <n v="11559"/>
    <x v="3"/>
    <n v="51018958"/>
    <n v="60.772021525415582"/>
    <s v="ORO"/>
    <n v="791"/>
    <d v="2026-02-27T15:47:24"/>
  </r>
  <r>
    <n v="11560"/>
    <x v="3"/>
    <n v="51054903"/>
    <n v="78.804330369282695"/>
    <s v="PLATINO"/>
    <n v="475"/>
    <d v="2026-02-27T15:47:24"/>
  </r>
  <r>
    <n v="11561"/>
    <x v="3"/>
    <n v="51022084"/>
    <n v="78.323594604192252"/>
    <s v="PLATINO"/>
    <n v="483"/>
    <d v="2026-02-27T15:47:24"/>
  </r>
  <r>
    <n v="11562"/>
    <x v="3"/>
    <n v="51019202"/>
    <n v="77.729002620362593"/>
    <s v="PLATINO"/>
    <n v="512"/>
    <d v="2026-02-27T15:47:24"/>
  </r>
  <r>
    <n v="11563"/>
    <x v="3"/>
    <n v="51054920"/>
    <n v="19.998000000000001"/>
    <s v="BRONCE"/>
    <n v="951"/>
    <d v="2026-02-27T15:47:24"/>
  </r>
  <r>
    <n v="11564"/>
    <x v="3"/>
    <n v="51010663"/>
    <n v="76.865337014800957"/>
    <s v="PLATINO"/>
    <n v="550"/>
    <d v="2026-02-27T15:47:24"/>
  </r>
  <r>
    <n v="11565"/>
    <x v="3"/>
    <n v="51016866"/>
    <n v="78.89209435142098"/>
    <s v="PLATINO"/>
    <n v="469"/>
    <d v="2026-02-27T15:47:24"/>
  </r>
  <r>
    <n v="11566"/>
    <x v="3"/>
    <n v="51030184"/>
    <n v="35.661351589425863"/>
    <s v="PLATA"/>
    <n v="898"/>
    <d v="2026-02-27T15:47:24"/>
  </r>
  <r>
    <n v="11567"/>
    <x v="3"/>
    <n v="51015428"/>
    <n v="81.364486807912883"/>
    <s v="PLATINO"/>
    <n v="376"/>
    <d v="2026-02-27T15:47:24"/>
  </r>
  <r>
    <n v="11568"/>
    <x v="3"/>
    <n v="51036557"/>
    <n v="75.700815880991215"/>
    <s v="PLATINO"/>
    <n v="575"/>
    <d v="2026-02-27T15:47:24"/>
  </r>
  <r>
    <n v="11569"/>
    <x v="3"/>
    <n v="51056175"/>
    <n v="19.998000000000001"/>
    <s v="BRONCE"/>
    <n v="951"/>
    <d v="2026-02-27T15:47:24"/>
  </r>
  <r>
    <n v="11570"/>
    <x v="3"/>
    <n v="51039190"/>
    <n v="15.548260484180259"/>
    <s v="BRONCE"/>
    <n v="1023"/>
    <d v="2026-02-27T15:47:24"/>
  </r>
  <r>
    <n v="11571"/>
    <x v="3"/>
    <n v="51056604"/>
    <n v="74.2"/>
    <s v="ORO"/>
    <n v="597"/>
    <d v="2026-02-27T15:47:24"/>
  </r>
  <r>
    <n v="11572"/>
    <x v="3"/>
    <n v="51021789"/>
    <n v="19.995999999999999"/>
    <s v="BRONCE"/>
    <n v="970"/>
    <d v="2026-02-27T15:47:24"/>
  </r>
  <r>
    <n v="11573"/>
    <x v="3"/>
    <n v="51056795"/>
    <n v="17.063708820127651"/>
    <s v="BRONCE"/>
    <n v="1012"/>
    <d v="2026-02-27T15:47:24"/>
  </r>
  <r>
    <n v="11574"/>
    <x v="3"/>
    <n v="51056931"/>
    <n v="58.338053737999317"/>
    <s v="ORO"/>
    <n v="825"/>
    <d v="2026-02-27T15:47:24"/>
  </r>
  <r>
    <n v="11575"/>
    <x v="3"/>
    <n v="51014120"/>
    <n v="80.644754451908952"/>
    <s v="PLATINO"/>
    <n v="407"/>
    <d v="2026-02-27T15:47:24"/>
  </r>
  <r>
    <n v="11576"/>
    <x v="3"/>
    <n v="51036182"/>
    <n v="58.214163087673207"/>
    <s v="ORO"/>
    <n v="828"/>
    <d v="2026-02-27T15:47:24"/>
  </r>
  <r>
    <n v="11577"/>
    <x v="3"/>
    <n v="51011465"/>
    <n v="67.412181689161969"/>
    <s v="ORO"/>
    <n v="665"/>
    <d v="2026-02-27T15:47:24"/>
  </r>
  <r>
    <n v="11578"/>
    <x v="3"/>
    <n v="51006151"/>
    <n v="74.007000502269932"/>
    <s v="ORO"/>
    <n v="600"/>
    <d v="2026-02-27T15:47:24"/>
  </r>
  <r>
    <n v="11579"/>
    <x v="3"/>
    <n v="51033418"/>
    <n v="19.91621200248002"/>
    <s v="BRONCE"/>
    <n v="983"/>
    <d v="2026-02-27T15:47:24"/>
  </r>
  <r>
    <n v="11580"/>
    <x v="3"/>
    <n v="51007841"/>
    <n v="9.9980000000000011"/>
    <s v="BRONCE"/>
    <n v="1178"/>
    <d v="2026-02-27T15:47:24"/>
  </r>
  <r>
    <n v="11581"/>
    <x v="3"/>
    <n v="51016602"/>
    <n v="77.441056920056141"/>
    <s v="PLATINO"/>
    <n v="523"/>
    <d v="2026-02-27T15:47:24"/>
  </r>
  <r>
    <n v="11582"/>
    <x v="3"/>
    <n v="51036077"/>
    <n v="19.998000000000001"/>
    <s v="BRONCE"/>
    <n v="951"/>
    <d v="2026-02-27T15:47:24"/>
  </r>
  <r>
    <n v="11583"/>
    <x v="3"/>
    <n v="51013662"/>
    <n v="77.347671773577872"/>
    <s v="PLATINO"/>
    <n v="528"/>
    <d v="2026-02-27T15:47:24"/>
  </r>
  <r>
    <n v="11584"/>
    <x v="3"/>
    <n v="51010248"/>
    <n v="60.092530708604542"/>
    <s v="ORO"/>
    <n v="807"/>
    <d v="2026-02-27T15:47:24"/>
  </r>
  <r>
    <n v="11585"/>
    <x v="3"/>
    <n v="51055764"/>
    <n v="60.980718860824297"/>
    <s v="ORO"/>
    <n v="785"/>
    <d v="2026-02-27T15:47:24"/>
  </r>
  <r>
    <n v="11586"/>
    <x v="3"/>
    <n v="51012496"/>
    <n v="77.515465408898706"/>
    <s v="PLATINO"/>
    <n v="519"/>
    <d v="2026-02-27T15:47:24"/>
  </r>
  <r>
    <n v="11587"/>
    <x v="3"/>
    <n v="51016874"/>
    <n v="82.42"/>
    <s v="PLATINO"/>
    <n v="326"/>
    <d v="2026-02-27T15:47:24"/>
  </r>
  <r>
    <n v="11588"/>
    <x v="3"/>
    <n v="51011481"/>
    <n v="72.192501723037267"/>
    <s v="ORO"/>
    <n v="627"/>
    <d v="2026-02-27T15:47:24"/>
  </r>
  <r>
    <n v="11589"/>
    <x v="3"/>
    <n v="51042654"/>
    <n v="44.533980943602032"/>
    <s v="PLATA"/>
    <n v="873"/>
    <d v="2026-02-27T15:47:24"/>
  </r>
  <r>
    <n v="11590"/>
    <x v="3"/>
    <n v="51057074"/>
    <n v="77.060373202206847"/>
    <s v="PLATINO"/>
    <n v="541"/>
    <d v="2026-02-27T15:47:24"/>
  </r>
  <r>
    <n v="11591"/>
    <x v="3"/>
    <n v="51042913"/>
    <n v="70.460000000000008"/>
    <s v="ORO"/>
    <n v="643"/>
    <d v="2026-02-27T15:47:24"/>
  </r>
  <r>
    <n v="11592"/>
    <x v="3"/>
    <n v="51025857"/>
    <n v="80.42"/>
    <s v="PLATINO"/>
    <n v="422"/>
    <d v="2026-02-27T15:47:24"/>
  </r>
  <r>
    <n v="11593"/>
    <x v="3"/>
    <n v="51026071"/>
    <n v="19.544735656127461"/>
    <s v="BRONCE"/>
    <n v="994"/>
    <d v="2026-02-27T15:47:24"/>
  </r>
  <r>
    <n v="11594"/>
    <x v="3"/>
    <n v="51017595"/>
    <n v="39.500598174013597"/>
    <s v="PLATA"/>
    <n v="885"/>
    <d v="2026-02-27T15:47:24"/>
  </r>
  <r>
    <n v="11595"/>
    <x v="3"/>
    <n v="51014707"/>
    <n v="77.431101816525697"/>
    <s v="PLATINO"/>
    <n v="524"/>
    <d v="2026-02-27T15:47:24"/>
  </r>
  <r>
    <n v="11596"/>
    <x v="3"/>
    <n v="51032390"/>
    <n v="19.86825514605945"/>
    <s v="BRONCE"/>
    <n v="986"/>
    <d v="2026-02-27T15:47:24"/>
  </r>
  <r>
    <n v="11597"/>
    <x v="3"/>
    <n v="51030249"/>
    <n v="76.53579505618535"/>
    <s v="PLATINO"/>
    <n v="561"/>
    <d v="2026-02-27T15:47:24"/>
  </r>
  <r>
    <n v="11598"/>
    <x v="3"/>
    <n v="51029518"/>
    <n v="19.984999999999999"/>
    <s v="BRONCE"/>
    <n v="973"/>
    <d v="2026-02-27T15:47:24"/>
  </r>
  <r>
    <n v="11599"/>
    <x v="3"/>
    <n v="51044011"/>
    <n v="77.967675941799044"/>
    <s v="PLATINO"/>
    <n v="499"/>
    <d v="2026-02-27T15:47:24"/>
  </r>
  <r>
    <n v="11600"/>
    <x v="3"/>
    <n v="51013956"/>
    <n v="76.178259553385047"/>
    <s v="PLATINO"/>
    <n v="566"/>
    <d v="2026-02-27T15:47:24"/>
  </r>
  <r>
    <n v="11601"/>
    <x v="3"/>
    <n v="51023846"/>
    <n v="77.760000000000005"/>
    <s v="PLATINO"/>
    <n v="508"/>
    <d v="2026-02-27T15:47:24"/>
  </r>
  <r>
    <n v="11602"/>
    <x v="3"/>
    <n v="51019563"/>
    <n v="79.83672181248059"/>
    <s v="PLATINO"/>
    <n v="441"/>
    <d v="2026-02-27T15:47:24"/>
  </r>
  <r>
    <n v="11603"/>
    <x v="3"/>
    <n v="51030711"/>
    <n v="76.98"/>
    <s v="PLATINO"/>
    <n v="545"/>
    <d v="2026-02-27T15:47:24"/>
  </r>
  <r>
    <n v="11604"/>
    <x v="3"/>
    <n v="51056574"/>
    <n v="69.962714550577971"/>
    <s v="ORO"/>
    <n v="645"/>
    <d v="2026-02-27T15:47:24"/>
  </r>
  <r>
    <n v="11605"/>
    <x v="3"/>
    <n v="51056957"/>
    <n v="75.806856419662623"/>
    <s v="PLATINO"/>
    <n v="574"/>
    <d v="2026-02-27T15:47:24"/>
  </r>
  <r>
    <n v="11606"/>
    <x v="3"/>
    <n v="51055331"/>
    <n v="61.438298105707048"/>
    <s v="ORO"/>
    <n v="773"/>
    <d v="2026-02-27T15:47:24"/>
  </r>
  <r>
    <n v="11607"/>
    <x v="3"/>
    <n v="51018397"/>
    <n v="58.257736872368909"/>
    <s v="ORO"/>
    <n v="827"/>
    <d v="2026-02-27T15:47:24"/>
  </r>
  <r>
    <n v="11608"/>
    <x v="3"/>
    <n v="51025148"/>
    <n v="36.922662580623033"/>
    <s v="PLATA"/>
    <n v="894"/>
    <d v="2026-02-27T15:47:24"/>
  </r>
  <r>
    <n v="11609"/>
    <x v="3"/>
    <n v="51005392"/>
    <n v="81.287621828775798"/>
    <s v="PLATINO"/>
    <n v="378"/>
    <d v="2026-02-27T15:47:24"/>
  </r>
  <r>
    <n v="11610"/>
    <x v="3"/>
    <n v="51023153"/>
    <n v="75.418397045186595"/>
    <s v="PLATINO"/>
    <n v="584"/>
    <d v="2026-02-27T15:47:24"/>
  </r>
  <r>
    <n v="11611"/>
    <x v="3"/>
    <n v="51024095"/>
    <n v="80.537869154961754"/>
    <s v="PLATINO"/>
    <n v="414"/>
    <d v="2026-02-27T15:47:24"/>
  </r>
  <r>
    <n v="11612"/>
    <x v="3"/>
    <n v="51002024"/>
    <n v="51.424826784468749"/>
    <s v="PLATA"/>
    <n v="849"/>
    <d v="2026-02-27T15:47:24"/>
  </r>
  <r>
    <n v="11613"/>
    <x v="3"/>
    <n v="51056311"/>
    <n v="61.495252477740088"/>
    <s v="ORO"/>
    <n v="771"/>
    <d v="2026-02-27T15:47:24"/>
  </r>
  <r>
    <n v="11614"/>
    <x v="3"/>
    <n v="51016467"/>
    <n v="61.4"/>
    <s v="ORO"/>
    <n v="775"/>
    <d v="2026-02-27T15:47:24"/>
  </r>
  <r>
    <n v="11615"/>
    <x v="3"/>
    <n v="51021614"/>
    <n v="64.293085881319797"/>
    <s v="ORO"/>
    <n v="715"/>
    <d v="2026-02-27T15:47:24"/>
  </r>
  <r>
    <n v="11616"/>
    <x v="3"/>
    <n v="51042506"/>
    <n v="19.641432255883149"/>
    <s v="BRONCE"/>
    <n v="990"/>
    <d v="2026-02-27T15:47:24"/>
  </r>
  <r>
    <n v="11617"/>
    <x v="3"/>
    <n v="51023412"/>
    <n v="51.038525390242029"/>
    <s v="PLATA"/>
    <n v="850"/>
    <d v="2026-02-27T15:47:24"/>
  </r>
  <r>
    <n v="11618"/>
    <x v="3"/>
    <n v="51033116"/>
    <n v="19.8879529776193"/>
    <s v="BRONCE"/>
    <n v="985"/>
    <d v="2026-02-27T15:47:24"/>
  </r>
  <r>
    <n v="11619"/>
    <x v="3"/>
    <n v="51003292"/>
    <n v="75.681790297254324"/>
    <s v="PLATINO"/>
    <n v="578"/>
    <d v="2026-02-27T15:47:24"/>
  </r>
  <r>
    <n v="11620"/>
    <x v="3"/>
    <n v="51014251"/>
    <n v="67.456865722822158"/>
    <s v="ORO"/>
    <n v="664"/>
    <d v="2026-02-27T15:47:24"/>
  </r>
  <r>
    <n v="11621"/>
    <x v="3"/>
    <n v="51042999"/>
    <n v="19.998000000000001"/>
    <s v="BRONCE"/>
    <n v="951"/>
    <d v="2026-02-27T15:47:24"/>
  </r>
  <r>
    <n v="11622"/>
    <x v="3"/>
    <n v="51041712"/>
    <n v="62.022052846846691"/>
    <s v="ORO"/>
    <n v="755"/>
    <d v="2026-02-27T15:47:24"/>
  </r>
  <r>
    <n v="11623"/>
    <x v="3"/>
    <n v="51023293"/>
    <n v="47.670110254702358"/>
    <s v="PLATA"/>
    <n v="865"/>
    <d v="2026-02-27T15:47:24"/>
  </r>
  <r>
    <n v="11624"/>
    <x v="3"/>
    <n v="51033507"/>
    <n v="73.034554631200109"/>
    <s v="ORO"/>
    <n v="614"/>
    <d v="2026-02-27T15:47:24"/>
  </r>
  <r>
    <n v="11625"/>
    <x v="3"/>
    <n v="51013875"/>
    <n v="72.718354199069182"/>
    <s v="ORO"/>
    <n v="618"/>
    <d v="2026-02-27T15:47:24"/>
  </r>
  <r>
    <n v="11626"/>
    <x v="3"/>
    <n v="51013395"/>
    <n v="42.398239416654746"/>
    <s v="PLATA"/>
    <n v="876"/>
    <d v="2026-02-27T15:47:24"/>
  </r>
  <r>
    <n v="11627"/>
    <x v="3"/>
    <n v="51056108"/>
    <n v="22.74074344367801"/>
    <s v="BRONCE"/>
    <n v="922"/>
    <d v="2026-02-27T15:47:24"/>
  </r>
  <r>
    <n v="11628"/>
    <x v="3"/>
    <n v="51055837"/>
    <n v="18.717562261346799"/>
    <s v="BRONCE"/>
    <n v="998"/>
    <d v="2026-02-27T15:47:24"/>
  </r>
  <r>
    <n v="11629"/>
    <x v="3"/>
    <n v="51056248"/>
    <n v="20"/>
    <s v="BRONCE"/>
    <n v="923"/>
    <d v="2026-02-27T15:47:24"/>
  </r>
  <r>
    <n v="11630"/>
    <x v="3"/>
    <n v="51025245"/>
    <n v="80.037999999999997"/>
    <s v="PLATINO"/>
    <n v="435"/>
    <d v="2026-02-27T15:47:24"/>
  </r>
  <r>
    <n v="11631"/>
    <x v="3"/>
    <n v="51016360"/>
    <n v="19.91"/>
    <s v="BRONCE"/>
    <n v="984"/>
    <d v="2026-02-27T15:47:24"/>
  </r>
  <r>
    <n v="11632"/>
    <x v="3"/>
    <n v="51040881"/>
    <n v="59.662718050228882"/>
    <s v="ORO"/>
    <n v="812"/>
    <d v="2026-02-27T15:47:24"/>
  </r>
  <r>
    <n v="11633"/>
    <x v="3"/>
    <n v="51031776"/>
    <n v="29.242999999999999"/>
    <s v="BRONCE"/>
    <n v="913"/>
    <d v="2026-02-27T15:47:24"/>
  </r>
  <r>
    <n v="11634"/>
    <x v="3"/>
    <n v="51013166"/>
    <n v="61.22"/>
    <s v="ORO"/>
    <n v="780"/>
    <d v="2026-02-27T15:47:24"/>
  </r>
  <r>
    <n v="11635"/>
    <x v="3"/>
    <n v="51032918"/>
    <n v="76.169576145931927"/>
    <s v="PLATINO"/>
    <n v="567"/>
    <d v="2026-02-27T15:47:24"/>
  </r>
  <r>
    <n v="11636"/>
    <x v="3"/>
    <n v="51025717"/>
    <n v="61.78"/>
    <s v="ORO"/>
    <n v="762"/>
    <d v="2026-02-27T15:47:24"/>
  </r>
  <r>
    <n v="11637"/>
    <x v="3"/>
    <n v="51033001"/>
    <n v="77.460000000000008"/>
    <s v="PLATINO"/>
    <n v="522"/>
    <d v="2026-02-27T15:47:24"/>
  </r>
  <r>
    <n v="11638"/>
    <x v="3"/>
    <n v="51012674"/>
    <n v="77.097963203551373"/>
    <s v="PLATINO"/>
    <n v="539"/>
    <d v="2026-02-27T15:47:24"/>
  </r>
  <r>
    <n v="11639"/>
    <x v="3"/>
    <n v="51007743"/>
    <n v="77.599999999999994"/>
    <s v="PLATINO"/>
    <n v="517"/>
    <d v="2026-02-27T15:47:24"/>
  </r>
  <r>
    <n v="11640"/>
    <x v="3"/>
    <n v="51032705"/>
    <n v="56.845069189262048"/>
    <s v="ORO"/>
    <n v="835"/>
    <d v="2026-02-27T15:47:24"/>
  </r>
  <r>
    <n v="11641"/>
    <x v="3"/>
    <n v="51041887"/>
    <n v="77.178000000000011"/>
    <s v="PLATINO"/>
    <n v="536"/>
    <d v="2026-02-27T15:47:24"/>
  </r>
  <r>
    <n v="11642"/>
    <x v="3"/>
    <n v="51030826"/>
    <n v="76.89"/>
    <s v="PLATINO"/>
    <n v="548"/>
    <d v="2026-02-27T15:47:24"/>
  </r>
  <r>
    <n v="11643"/>
    <x v="3"/>
    <n v="51011007"/>
    <n v="60.9"/>
    <s v="ORO"/>
    <n v="789"/>
    <d v="2026-02-27T15:47:24"/>
  </r>
  <r>
    <n v="11644"/>
    <x v="3"/>
    <n v="51007514"/>
    <n v="75.533882537192653"/>
    <s v="PLATINO"/>
    <n v="582"/>
    <d v="2026-02-27T15:47:24"/>
  </r>
  <r>
    <n v="11645"/>
    <x v="3"/>
    <n v="51024281"/>
    <n v="78.235539823326377"/>
    <s v="PLATINO"/>
    <n v="487"/>
    <d v="2026-02-27T15:47:24"/>
  </r>
  <r>
    <n v="11646"/>
    <x v="3"/>
    <n v="51020961"/>
    <n v="58.941597097827888"/>
    <s v="ORO"/>
    <n v="821"/>
    <d v="2026-02-27T15:47:24"/>
  </r>
  <r>
    <n v="11647"/>
    <x v="3"/>
    <n v="51022718"/>
    <n v="19.998000000000001"/>
    <s v="BRONCE"/>
    <n v="951"/>
    <d v="2026-02-27T15:47:24"/>
  </r>
  <r>
    <n v="11648"/>
    <x v="3"/>
    <n v="51039815"/>
    <n v="77.2224557102099"/>
    <s v="PLATINO"/>
    <n v="533"/>
    <d v="2026-02-27T15:47:24"/>
  </r>
  <r>
    <n v="11649"/>
    <x v="3"/>
    <n v="51023277"/>
    <n v="65.393099141654091"/>
    <s v="ORO"/>
    <n v="694"/>
    <d v="2026-02-27T15:47:24"/>
  </r>
  <r>
    <n v="11650"/>
    <x v="3"/>
    <n v="51056353"/>
    <n v="76.418000000000006"/>
    <s v="PLATINO"/>
    <n v="563"/>
    <d v="2026-02-27T15:47:24"/>
  </r>
  <r>
    <n v="11651"/>
    <x v="3"/>
    <n v="51001419"/>
    <n v="77.7"/>
    <s v="PLATINO"/>
    <n v="514"/>
    <d v="2026-02-27T15:47:24"/>
  </r>
  <r>
    <n v="11652"/>
    <x v="3"/>
    <n v="51018001"/>
    <n v="16.243460167044049"/>
    <s v="BRONCE"/>
    <n v="1018"/>
    <d v="2026-02-27T15:47:24"/>
  </r>
  <r>
    <n v="11653"/>
    <x v="3"/>
    <n v="51020707"/>
    <n v="16.785500886469091"/>
    <s v="BRONCE"/>
    <n v="1013"/>
    <d v="2026-02-27T15:47:24"/>
  </r>
  <r>
    <n v="11654"/>
    <x v="3"/>
    <n v="51018923"/>
    <n v="77.039999999999992"/>
    <s v="PLATINO"/>
    <n v="542"/>
    <d v="2026-02-27T15:47:24"/>
  </r>
  <r>
    <n v="11655"/>
    <x v="3"/>
    <n v="51012721"/>
    <n v="77.34964244451173"/>
    <s v="PLATINO"/>
    <n v="527"/>
    <d v="2026-02-27T15:47:24"/>
  </r>
  <r>
    <n v="11656"/>
    <x v="3"/>
    <n v="51020634"/>
    <n v="53.422521481734051"/>
    <s v="PLATA"/>
    <n v="844"/>
    <d v="2026-02-27T15:47:24"/>
  </r>
  <r>
    <n v="11657"/>
    <x v="3"/>
    <n v="51056507"/>
    <n v="32.65695280195304"/>
    <s v="PLATA"/>
    <n v="908"/>
    <d v="2026-02-27T15:47:24"/>
  </r>
  <r>
    <n v="11658"/>
    <x v="3"/>
    <n v="51002105"/>
    <n v="60.94"/>
    <s v="ORO"/>
    <n v="787"/>
    <d v="2026-02-27T15:47:24"/>
  </r>
  <r>
    <n v="11659"/>
    <x v="3"/>
    <n v="51055136"/>
    <n v="20"/>
    <s v="BRONCE"/>
    <n v="923"/>
    <d v="2026-02-27T15:47:24"/>
  </r>
  <r>
    <n v="11660"/>
    <x v="3"/>
    <n v="51008685"/>
    <n v="79.349999999999994"/>
    <s v="PLATINO"/>
    <n v="448"/>
    <d v="2026-02-27T15:47:24"/>
  </r>
  <r>
    <n v="11661"/>
    <x v="3"/>
    <n v="51055306"/>
    <n v="57.722607395131043"/>
    <s v="ORO"/>
    <n v="832"/>
    <d v="2026-02-27T15:47:24"/>
  </r>
  <r>
    <n v="11662"/>
    <x v="3"/>
    <n v="51024036"/>
    <n v="49.319357989557737"/>
    <s v="PLATA"/>
    <n v="861"/>
    <d v="2026-02-27T15:47:24"/>
  </r>
  <r>
    <n v="11663"/>
    <x v="3"/>
    <n v="51011597"/>
    <n v="80.218000000000004"/>
    <s v="PLATINO"/>
    <n v="429"/>
    <d v="2026-02-27T15:47:24"/>
  </r>
  <r>
    <n v="11664"/>
    <x v="3"/>
    <n v="51043260"/>
    <n v="77.355608873566581"/>
    <s v="PLATINO"/>
    <n v="526"/>
    <d v="2026-02-27T15:47:24"/>
  </r>
  <r>
    <n v="11665"/>
    <x v="3"/>
    <n v="51004035"/>
    <n v="34.008658818007518"/>
    <s v="PLATA"/>
    <n v="902"/>
    <d v="2026-02-27T15:47:24"/>
  </r>
  <r>
    <n v="11666"/>
    <x v="3"/>
    <n v="51043537"/>
    <n v="74.782673886881071"/>
    <s v="ORO"/>
    <n v="593"/>
    <d v="2026-02-27T15:47:24"/>
  </r>
  <r>
    <n v="11667"/>
    <x v="3"/>
    <n v="51056752"/>
    <n v="77.88300000000001"/>
    <s v="PLATINO"/>
    <n v="503"/>
    <d v="2026-02-27T15:47:24"/>
  </r>
  <r>
    <n v="11668"/>
    <x v="3"/>
    <n v="51031857"/>
    <n v="73.336610166094161"/>
    <s v="ORO"/>
    <n v="607"/>
    <d v="2026-02-27T15:47:24"/>
  </r>
  <r>
    <n v="11669"/>
    <x v="3"/>
    <n v="51014138"/>
    <n v="61.605593732246852"/>
    <s v="ORO"/>
    <n v="766"/>
    <d v="2026-02-27T15:47:24"/>
  </r>
  <r>
    <n v="11670"/>
    <x v="3"/>
    <n v="51055578"/>
    <n v="55.139620319228371"/>
    <s v="ORO"/>
    <n v="839"/>
    <d v="2026-02-27T15:47:24"/>
  </r>
  <r>
    <n v="11671"/>
    <x v="3"/>
    <n v="51024028"/>
    <n v="77.120178544481732"/>
    <s v="PLATINO"/>
    <n v="538"/>
    <d v="2026-02-27T15:47:24"/>
  </r>
  <r>
    <n v="11672"/>
    <x v="3"/>
    <n v="51057031"/>
    <n v="77.66"/>
    <s v="PLATINO"/>
    <n v="515"/>
    <d v="2026-02-27T15:47:24"/>
  </r>
  <r>
    <n v="11673"/>
    <x v="3"/>
    <n v="51011929"/>
    <n v="77.768632467636351"/>
    <s v="PLATINO"/>
    <n v="507"/>
    <d v="2026-02-27T15:47:24"/>
  </r>
  <r>
    <n v="11674"/>
    <x v="3"/>
    <n v="51017773"/>
    <n v="60.62"/>
    <s v="ORO"/>
    <n v="794"/>
    <d v="2026-02-27T15:47:24"/>
  </r>
  <r>
    <n v="11675"/>
    <x v="3"/>
    <n v="51003063"/>
    <n v="60.558000000000007"/>
    <s v="ORO"/>
    <n v="796"/>
    <d v="2026-02-27T15:47:24"/>
  </r>
  <r>
    <n v="11676"/>
    <x v="3"/>
    <n v="51022572"/>
    <n v="71.675269734201095"/>
    <s v="ORO"/>
    <n v="631"/>
    <d v="2026-02-27T15:47:24"/>
  </r>
  <r>
    <n v="11677"/>
    <x v="3"/>
    <n v="51022343"/>
    <n v="15.892360464709061"/>
    <s v="BRONCE"/>
    <n v="1020"/>
    <d v="2026-02-27T15:47:24"/>
  </r>
  <r>
    <n v="11678"/>
    <x v="3"/>
    <n v="51015835"/>
    <n v="19.998000000000001"/>
    <s v="BRONCE"/>
    <n v="951"/>
    <d v="2026-02-27T15:47:24"/>
  </r>
  <r>
    <n v="11679"/>
    <x v="3"/>
    <n v="51056329"/>
    <n v="75.101987970803151"/>
    <s v="PLATINO"/>
    <n v="589"/>
    <d v="2026-02-27T15:47:24"/>
  </r>
  <r>
    <n v="11680"/>
    <x v="3"/>
    <n v="51030915"/>
    <n v="15.658696222547171"/>
    <s v="BRONCE"/>
    <n v="1022"/>
    <d v="2026-02-27T15:47:24"/>
  </r>
  <r>
    <n v="11681"/>
    <x v="3"/>
    <n v="51017871"/>
    <n v="12.29277954001267"/>
    <s v="BRONCE"/>
    <n v="1030"/>
    <d v="2026-02-27T15:47:24"/>
  </r>
  <r>
    <n v="11682"/>
    <x v="3"/>
    <n v="51017218"/>
    <n v="75.486056552294116"/>
    <s v="PLATINO"/>
    <n v="583"/>
    <d v="2026-02-27T15:47:24"/>
  </r>
  <r>
    <n v="11683"/>
    <x v="3"/>
    <n v="51039025"/>
    <n v="56.079935747535892"/>
    <s v="ORO"/>
    <n v="837"/>
    <d v="2026-02-27T15:47:24"/>
  </r>
  <r>
    <n v="11684"/>
    <x v="3"/>
    <n v="51026497"/>
    <n v="75.384991446713371"/>
    <s v="PLATINO"/>
    <n v="585"/>
    <d v="2026-02-27T15:47:24"/>
  </r>
  <r>
    <n v="11685"/>
    <x v="3"/>
    <n v="51043693"/>
    <n v="60.58"/>
    <s v="ORO"/>
    <n v="795"/>
    <d v="2026-02-27T15:47:24"/>
  </r>
  <r>
    <n v="11686"/>
    <x v="3"/>
    <n v="51001532"/>
    <n v="77.16"/>
    <s v="PLATINO"/>
    <n v="537"/>
    <d v="2026-02-27T15:47:24"/>
  </r>
  <r>
    <n v="11687"/>
    <x v="3"/>
    <n v="51002709"/>
    <n v="19.998000000000001"/>
    <s v="BRONCE"/>
    <n v="951"/>
    <d v="2026-02-27T15:47:24"/>
  </r>
  <r>
    <n v="11688"/>
    <x v="3"/>
    <n v="51015151"/>
    <n v="10"/>
    <s v="BRONCE"/>
    <n v="1032"/>
    <d v="2026-02-27T15:47:24"/>
  </r>
  <r>
    <n v="11689"/>
    <x v="3"/>
    <n v="51009941"/>
    <n v="60.26"/>
    <s v="ORO"/>
    <n v="804"/>
    <d v="2026-02-27T15:47:24"/>
  </r>
  <r>
    <n v="11690"/>
    <x v="3"/>
    <n v="51024818"/>
    <n v="17.195209206893431"/>
    <s v="BRONCE"/>
    <n v="1011"/>
    <d v="2026-02-27T15:47:24"/>
  </r>
  <r>
    <n v="11691"/>
    <x v="3"/>
    <n v="51010523"/>
    <n v="19.998000000000001"/>
    <s v="BRONCE"/>
    <n v="951"/>
    <d v="2026-02-27T15:47:24"/>
  </r>
  <r>
    <n v="11692"/>
    <x v="3"/>
    <n v="51000552"/>
    <n v="83.75"/>
    <s v="PLATINO"/>
    <n v="261"/>
    <d v="2026-02-27T15:47:24"/>
  </r>
  <r>
    <n v="11693"/>
    <x v="3"/>
    <n v="51052331"/>
    <n v="50.655579999698318"/>
    <s v="PLATA"/>
    <n v="853"/>
    <d v="2026-02-27T15:47:24"/>
  </r>
  <r>
    <n v="11694"/>
    <x v="3"/>
    <n v="51024460"/>
    <n v="27.936769999207591"/>
    <s v="BRONCE"/>
    <n v="914"/>
    <d v="2026-02-27T15:47:24"/>
  </r>
  <r>
    <n v="11695"/>
    <x v="3"/>
    <n v="51024885"/>
    <n v="76.680000000000007"/>
    <s v="PLATINO"/>
    <n v="557"/>
    <d v="2026-02-27T15:47:24"/>
  </r>
  <r>
    <n v="11696"/>
    <x v="3"/>
    <n v="51005554"/>
    <n v="76.666443640874903"/>
    <s v="PLATINO"/>
    <n v="558"/>
    <d v="2026-02-27T15:47:24"/>
  </r>
  <r>
    <n v="11697"/>
    <x v="3"/>
    <n v="51024478"/>
    <n v="57.158674773818412"/>
    <s v="ORO"/>
    <n v="834"/>
    <d v="2026-02-27T15:47:24"/>
  </r>
  <r>
    <n v="11698"/>
    <x v="3"/>
    <n v="51012691"/>
    <n v="55.24902737373818"/>
    <s v="ORO"/>
    <n v="838"/>
    <d v="2026-02-27T15:47:24"/>
  </r>
  <r>
    <n v="11699"/>
    <x v="3"/>
    <n v="51015681"/>
    <n v="14.65908052850777"/>
    <s v="BRONCE"/>
    <n v="1026"/>
    <d v="2026-02-27T15:47:24"/>
  </r>
  <r>
    <n v="11700"/>
    <x v="3"/>
    <n v="51019008"/>
    <n v="19.998000000000001"/>
    <s v="BRONCE"/>
    <n v="951"/>
    <d v="2026-02-27T15:47:24"/>
  </r>
  <r>
    <n v="11701"/>
    <x v="3"/>
    <n v="51015762"/>
    <n v="74.863272657597236"/>
    <s v="ORO"/>
    <n v="591"/>
    <d v="2026-02-27T15:47:24"/>
  </r>
  <r>
    <n v="11702"/>
    <x v="3"/>
    <n v="51017714"/>
    <n v="76.558000000000007"/>
    <s v="PLATINO"/>
    <n v="560"/>
    <d v="2026-02-27T15:47:24"/>
  </r>
  <r>
    <n v="11703"/>
    <x v="3"/>
    <n v="51031997"/>
    <n v="50.756"/>
    <s v="PLATA"/>
    <n v="852"/>
    <d v="2026-02-27T15:47:24"/>
  </r>
  <r>
    <n v="11704"/>
    <x v="3"/>
    <n v="51039181"/>
    <n v="75.680000000000007"/>
    <s v="PLATINO"/>
    <n v="579"/>
    <d v="2026-02-27T15:47:24"/>
  </r>
  <r>
    <n v="11705"/>
    <x v="3"/>
    <n v="51057121"/>
    <n v="50.037999999999997"/>
    <s v="PLATA"/>
    <n v="857"/>
    <d v="2026-02-27T15:47:24"/>
  </r>
  <r>
    <n v="11706"/>
    <x v="3"/>
    <n v="51018290"/>
    <n v="59.94"/>
    <s v="ORO"/>
    <n v="810"/>
    <d v="2026-02-27T15:47:24"/>
  </r>
  <r>
    <n v="11707"/>
    <x v="3"/>
    <n v="51043561"/>
    <n v="77.218000000000004"/>
    <s v="PLATINO"/>
    <n v="534"/>
    <d v="2026-02-27T15:47:24"/>
  </r>
  <r>
    <n v="11708"/>
    <x v="3"/>
    <n v="51036964"/>
    <n v="20"/>
    <s v="BRONCE"/>
    <n v="923"/>
    <d v="2026-02-27T15:47:24"/>
  </r>
  <r>
    <n v="11709"/>
    <x v="3"/>
    <n v="51030290"/>
    <n v="20"/>
    <s v="BRONCE"/>
    <n v="923"/>
    <d v="2026-02-27T15:47:24"/>
  </r>
  <r>
    <n v="11710"/>
    <x v="3"/>
    <n v="51023331"/>
    <n v="19.998000000000001"/>
    <s v="BRONCE"/>
    <n v="951"/>
    <d v="2026-02-27T15:47:24"/>
  </r>
  <r>
    <n v="11711"/>
    <x v="3"/>
    <n v="51024010"/>
    <n v="71.597592930518303"/>
    <s v="ORO"/>
    <n v="634"/>
    <d v="2026-02-27T15:47:24"/>
  </r>
  <r>
    <n v="11712"/>
    <x v="3"/>
    <n v="51024664"/>
    <n v="72.989856478225136"/>
    <s v="ORO"/>
    <n v="615"/>
    <d v="2026-02-27T15:47:24"/>
  </r>
  <r>
    <n v="11713"/>
    <x v="3"/>
    <n v="51009185"/>
    <n v="60.22"/>
    <s v="ORO"/>
    <n v="805"/>
    <d v="2026-02-27T15:47:24"/>
  </r>
  <r>
    <n v="11714"/>
    <x v="3"/>
    <n v="51039424"/>
    <n v="19.97"/>
    <s v="BRONCE"/>
    <n v="978"/>
    <d v="2026-02-27T15:47:24"/>
  </r>
  <r>
    <n v="11715"/>
    <x v="3"/>
    <n v="51038941"/>
    <n v="70.886611852178063"/>
    <s v="ORO"/>
    <n v="639"/>
    <d v="2026-02-27T15:47:24"/>
  </r>
  <r>
    <n v="11716"/>
    <x v="3"/>
    <n v="51015126"/>
    <n v="19.998000000000001"/>
    <s v="BRONCE"/>
    <n v="951"/>
    <d v="2026-02-27T15:47:24"/>
  </r>
  <r>
    <n v="11717"/>
    <x v="3"/>
    <n v="51017234"/>
    <n v="11.353806724273699"/>
    <s v="BRONCE"/>
    <n v="1031"/>
    <d v="2026-02-27T15:47:24"/>
  </r>
  <r>
    <n v="11718"/>
    <x v="3"/>
    <n v="51012852"/>
    <n v="73.657661139814238"/>
    <s v="ORO"/>
    <n v="603"/>
    <d v="2026-02-27T15:47:24"/>
  </r>
  <r>
    <n v="11719"/>
    <x v="3"/>
    <n v="51010396"/>
    <n v="77.486027525445138"/>
    <s v="PLATINO"/>
    <n v="520"/>
    <d v="2026-02-27T15:47:24"/>
  </r>
  <r>
    <n v="11720"/>
    <x v="3"/>
    <n v="51022629"/>
    <n v="68.746334556900266"/>
    <s v="ORO"/>
    <n v="656"/>
    <d v="2026-02-27T15:47:24"/>
  </r>
  <r>
    <n v="11721"/>
    <x v="3"/>
    <n v="51021274"/>
    <n v="60.311080963566539"/>
    <s v="ORO"/>
    <n v="802"/>
    <d v="2026-02-27T15:47:24"/>
  </r>
  <r>
    <n v="11722"/>
    <x v="3"/>
    <n v="51021819"/>
    <n v="13.18374268936928"/>
    <s v="BRONCE"/>
    <n v="1029"/>
    <d v="2026-02-27T15:47:24"/>
  </r>
  <r>
    <n v="11723"/>
    <x v="3"/>
    <n v="51011171"/>
    <n v="53.900418806886819"/>
    <s v="PLATA"/>
    <n v="842"/>
    <d v="2026-02-27T15:47:24"/>
  </r>
  <r>
    <n v="11724"/>
    <x v="3"/>
    <n v="51012470"/>
    <n v="39.210762069911539"/>
    <s v="PLATA"/>
    <n v="888"/>
    <d v="2026-02-27T15:47:24"/>
  </r>
  <r>
    <n v="11725"/>
    <x v="3"/>
    <n v="51032713"/>
    <n v="71.335377942936162"/>
    <s v="ORO"/>
    <n v="637"/>
    <d v="2026-02-27T15:47:24"/>
  </r>
  <r>
    <n v="11726"/>
    <x v="3"/>
    <n v="51010744"/>
    <n v="59.638000000000012"/>
    <s v="ORO"/>
    <n v="813"/>
    <d v="2026-02-27T15:47:24"/>
  </r>
  <r>
    <n v="11727"/>
    <x v="3"/>
    <n v="51057546"/>
    <n v="25.86"/>
    <s v="BRONCE"/>
    <n v="918"/>
    <d v="2026-02-27T15:47:24"/>
  </r>
  <r>
    <n v="11728"/>
    <x v="3"/>
    <n v="51023889"/>
    <n v="66.349999999999994"/>
    <s v="ORO"/>
    <n v="677"/>
    <d v="2026-02-27T15:47:24"/>
  </r>
  <r>
    <n v="11729"/>
    <x v="3"/>
    <n v="51031041"/>
    <n v="67.97229816028387"/>
    <s v="ORO"/>
    <n v="663"/>
    <d v="2026-02-27T15:47:24"/>
  </r>
  <r>
    <n v="11730"/>
    <x v="3"/>
    <n v="51022262"/>
    <n v="9.9939999999999998"/>
    <s v="BRONCE"/>
    <n v="1185"/>
    <d v="2026-02-27T15:47:24"/>
  </r>
  <r>
    <n v="11731"/>
    <x v="3"/>
    <n v="51017731"/>
    <n v="49.680999999999997"/>
    <s v="PLATA"/>
    <n v="859"/>
    <d v="2026-02-27T15:47:24"/>
  </r>
  <r>
    <n v="11732"/>
    <x v="3"/>
    <n v="51000269"/>
    <n v="10"/>
    <s v="BRONCE"/>
    <n v="1032"/>
    <d v="2026-02-27T15:47:24"/>
  </r>
  <r>
    <n v="11733"/>
    <x v="3"/>
    <n v="51000862"/>
    <n v="10"/>
    <s v="BRONCE"/>
    <n v="1032"/>
    <d v="2026-02-27T15:47:24"/>
  </r>
  <r>
    <n v="11734"/>
    <x v="3"/>
    <n v="51001494"/>
    <n v="10"/>
    <s v="BRONCE"/>
    <n v="1032"/>
    <d v="2026-02-27T15:47:24"/>
  </r>
  <r>
    <n v="11735"/>
    <x v="3"/>
    <n v="51001745"/>
    <n v="10"/>
    <s v="BRONCE"/>
    <n v="1032"/>
    <d v="2026-02-27T15:47:24"/>
  </r>
  <r>
    <n v="11736"/>
    <x v="3"/>
    <n v="51001923"/>
    <n v="10"/>
    <s v="BRONCE"/>
    <n v="1032"/>
    <d v="2026-02-27T15:47:24"/>
  </r>
  <r>
    <n v="11737"/>
    <x v="3"/>
    <n v="51003721"/>
    <n v="10"/>
    <s v="BRONCE"/>
    <n v="1032"/>
    <d v="2026-02-27T15:47:24"/>
  </r>
  <r>
    <n v="11738"/>
    <x v="3"/>
    <n v="51004167"/>
    <n v="10"/>
    <s v="BRONCE"/>
    <n v="1032"/>
    <d v="2026-02-27T15:47:24"/>
  </r>
  <r>
    <n v="11739"/>
    <x v="3"/>
    <n v="51004671"/>
    <n v="10"/>
    <s v="BRONCE"/>
    <n v="1032"/>
    <d v="2026-02-27T15:47:24"/>
  </r>
  <r>
    <n v="11740"/>
    <x v="3"/>
    <n v="51005058"/>
    <n v="10"/>
    <s v="BRONCE"/>
    <n v="1032"/>
    <d v="2026-02-27T15:47:24"/>
  </r>
  <r>
    <n v="11741"/>
    <x v="3"/>
    <n v="51005201"/>
    <n v="10"/>
    <s v="BRONCE"/>
    <n v="1032"/>
    <d v="2026-02-27T15:47:24"/>
  </r>
  <r>
    <n v="11742"/>
    <x v="3"/>
    <n v="51005384"/>
    <n v="83.946034867207842"/>
    <s v="PLATINO"/>
    <n v="249"/>
    <d v="2026-02-27T15:47:24"/>
  </r>
  <r>
    <n v="11743"/>
    <x v="3"/>
    <n v="51005902"/>
    <n v="72.28"/>
    <s v="ORO"/>
    <n v="626"/>
    <d v="2026-02-27T15:47:24"/>
  </r>
  <r>
    <n v="11744"/>
    <x v="3"/>
    <n v="51006445"/>
    <n v="18.47090627409678"/>
    <s v="BRONCE"/>
    <n v="1001"/>
    <d v="2026-02-27T15:47:24"/>
  </r>
  <r>
    <n v="11745"/>
    <x v="3"/>
    <n v="51006453"/>
    <n v="10"/>
    <s v="BRONCE"/>
    <n v="1032"/>
    <d v="2026-02-27T15:47:24"/>
  </r>
  <r>
    <n v="11746"/>
    <x v="3"/>
    <n v="51006518"/>
    <n v="10"/>
    <s v="BRONCE"/>
    <n v="1032"/>
    <d v="2026-02-27T15:47:24"/>
  </r>
  <r>
    <n v="11747"/>
    <x v="3"/>
    <n v="51006674"/>
    <n v="10"/>
    <s v="BRONCE"/>
    <n v="1032"/>
    <d v="2026-02-27T15:47:24"/>
  </r>
  <r>
    <n v="11748"/>
    <x v="3"/>
    <n v="51010094"/>
    <n v="10"/>
    <s v="BRONCE"/>
    <n v="1032"/>
    <d v="2026-02-27T15:47:24"/>
  </r>
  <r>
    <n v="11749"/>
    <x v="3"/>
    <n v="51010108"/>
    <n v="10"/>
    <s v="BRONCE"/>
    <n v="1032"/>
    <d v="2026-02-27T15:47:24"/>
  </r>
  <r>
    <n v="11750"/>
    <x v="3"/>
    <n v="51010167"/>
    <n v="10"/>
    <s v="BRONCE"/>
    <n v="1032"/>
    <d v="2026-02-27T15:47:24"/>
  </r>
  <r>
    <n v="11751"/>
    <x v="3"/>
    <n v="51010388"/>
    <n v="10"/>
    <s v="BRONCE"/>
    <n v="1032"/>
    <d v="2026-02-27T15:47:24"/>
  </r>
  <r>
    <n v="11752"/>
    <x v="3"/>
    <n v="51010477"/>
    <n v="10"/>
    <s v="BRONCE"/>
    <n v="1032"/>
    <d v="2026-02-27T15:47:24"/>
  </r>
  <r>
    <n v="11753"/>
    <x v="3"/>
    <n v="51010485"/>
    <n v="10"/>
    <s v="BRONCE"/>
    <n v="1032"/>
    <d v="2026-02-27T15:47:24"/>
  </r>
  <r>
    <n v="11754"/>
    <x v="3"/>
    <n v="51010612"/>
    <n v="10"/>
    <s v="BRONCE"/>
    <n v="1032"/>
    <d v="2026-02-27T15:47:24"/>
  </r>
  <r>
    <n v="11755"/>
    <x v="3"/>
    <n v="51010639"/>
    <n v="10"/>
    <s v="BRONCE"/>
    <n v="1032"/>
    <d v="2026-02-27T15:47:24"/>
  </r>
  <r>
    <n v="11756"/>
    <x v="3"/>
    <n v="51010965"/>
    <n v="10"/>
    <s v="BRONCE"/>
    <n v="1032"/>
    <d v="2026-02-27T15:47:24"/>
  </r>
  <r>
    <n v="11757"/>
    <x v="3"/>
    <n v="51011082"/>
    <n v="76.742999999999995"/>
    <s v="PLATINO"/>
    <n v="554"/>
    <d v="2026-02-27T15:47:24"/>
  </r>
  <r>
    <n v="11758"/>
    <x v="3"/>
    <n v="51011104"/>
    <n v="68.48"/>
    <s v="ORO"/>
    <n v="658"/>
    <d v="2026-02-27T15:47:24"/>
  </r>
  <r>
    <n v="11759"/>
    <x v="3"/>
    <n v="51011163"/>
    <n v="72.456589317552329"/>
    <s v="ORO"/>
    <n v="622"/>
    <d v="2026-02-27T15:47:24"/>
  </r>
  <r>
    <n v="11760"/>
    <x v="3"/>
    <n v="51011406"/>
    <n v="20"/>
    <s v="BRONCE"/>
    <n v="923"/>
    <d v="2026-02-27T15:47:24"/>
  </r>
  <r>
    <n v="11761"/>
    <x v="3"/>
    <n v="51011503"/>
    <n v="9.9849999999999994"/>
    <s v="BRONCE"/>
    <n v="1186"/>
    <d v="2026-02-27T15:47:24"/>
  </r>
  <r>
    <n v="11762"/>
    <x v="3"/>
    <n v="51011511"/>
    <n v="72.1669189722775"/>
    <s v="ORO"/>
    <n v="628"/>
    <d v="2026-02-27T15:47:24"/>
  </r>
  <r>
    <n v="11763"/>
    <x v="3"/>
    <n v="51011881"/>
    <n v="10"/>
    <s v="BRONCE"/>
    <n v="1032"/>
    <d v="2026-02-27T15:47:24"/>
  </r>
  <r>
    <n v="11764"/>
    <x v="3"/>
    <n v="51011911"/>
    <n v="76.754999999999995"/>
    <s v="PLATINO"/>
    <n v="552"/>
    <d v="2026-02-27T15:47:24"/>
  </r>
  <r>
    <n v="11765"/>
    <x v="3"/>
    <n v="51011945"/>
    <n v="10"/>
    <s v="BRONCE"/>
    <n v="1032"/>
    <d v="2026-02-27T15:47:24"/>
  </r>
  <r>
    <n v="11766"/>
    <x v="3"/>
    <n v="51012089"/>
    <n v="10"/>
    <s v="BRONCE"/>
    <n v="1032"/>
    <d v="2026-02-27T15:47:24"/>
  </r>
  <r>
    <n v="11767"/>
    <x v="3"/>
    <n v="51012283"/>
    <n v="9.9280000000000008"/>
    <s v="BRONCE"/>
    <n v="1191"/>
    <d v="2026-02-27T15:47:24"/>
  </r>
  <r>
    <n v="11768"/>
    <x v="3"/>
    <n v="51012429"/>
    <n v="10"/>
    <s v="BRONCE"/>
    <n v="1032"/>
    <d v="2026-02-27T15:47:24"/>
  </r>
  <r>
    <n v="11769"/>
    <x v="3"/>
    <n v="51012569"/>
    <n v="10"/>
    <s v="BRONCE"/>
    <n v="1032"/>
    <d v="2026-02-27T15:47:24"/>
  </r>
  <r>
    <n v="11770"/>
    <x v="3"/>
    <n v="51012631"/>
    <n v="10"/>
    <s v="BRONCE"/>
    <n v="1032"/>
    <d v="2026-02-27T15:47:24"/>
  </r>
  <r>
    <n v="11771"/>
    <x v="3"/>
    <n v="51012844"/>
    <n v="13.610622874733041"/>
    <s v="BRONCE"/>
    <n v="1027"/>
    <d v="2026-02-27T15:47:24"/>
  </r>
  <r>
    <n v="11772"/>
    <x v="3"/>
    <n v="51012925"/>
    <n v="10"/>
    <s v="BRONCE"/>
    <n v="1032"/>
    <d v="2026-02-27T15:47:24"/>
  </r>
  <r>
    <n v="11773"/>
    <x v="3"/>
    <n v="51012968"/>
    <n v="20"/>
    <s v="BRONCE"/>
    <n v="923"/>
    <d v="2026-02-27T15:47:24"/>
  </r>
  <r>
    <n v="11774"/>
    <x v="3"/>
    <n v="51013042"/>
    <n v="49.77020922108413"/>
    <s v="PLATA"/>
    <n v="858"/>
    <d v="2026-02-27T15:47:24"/>
  </r>
  <r>
    <n v="11775"/>
    <x v="3"/>
    <n v="51013123"/>
    <n v="10"/>
    <s v="BRONCE"/>
    <n v="1032"/>
    <d v="2026-02-27T15:47:24"/>
  </r>
  <r>
    <n v="11776"/>
    <x v="3"/>
    <n v="51013174"/>
    <n v="10"/>
    <s v="BRONCE"/>
    <n v="1032"/>
    <d v="2026-02-27T15:47:24"/>
  </r>
  <r>
    <n v="11777"/>
    <x v="3"/>
    <n v="51013263"/>
    <n v="10"/>
    <s v="BRONCE"/>
    <n v="1032"/>
    <d v="2026-02-27T15:47:24"/>
  </r>
  <r>
    <n v="11778"/>
    <x v="3"/>
    <n v="51013751"/>
    <n v="37.992783321119028"/>
    <s v="PLATA"/>
    <n v="891"/>
    <d v="2026-02-27T15:47:24"/>
  </r>
  <r>
    <n v="11779"/>
    <x v="3"/>
    <n v="51013905"/>
    <n v="10"/>
    <s v="BRONCE"/>
    <n v="1032"/>
    <d v="2026-02-27T15:47:24"/>
  </r>
  <r>
    <n v="11780"/>
    <x v="3"/>
    <n v="51014073"/>
    <n v="10"/>
    <s v="BRONCE"/>
    <n v="1032"/>
    <d v="2026-02-27T15:47:24"/>
  </r>
  <r>
    <n v="11781"/>
    <x v="3"/>
    <n v="51014154"/>
    <n v="10"/>
    <s v="BRONCE"/>
    <n v="1032"/>
    <d v="2026-02-27T15:47:24"/>
  </r>
  <r>
    <n v="11782"/>
    <x v="3"/>
    <n v="51014227"/>
    <n v="52.58"/>
    <s v="PLATA"/>
    <n v="846"/>
    <d v="2026-02-27T15:47:24"/>
  </r>
  <r>
    <n v="11783"/>
    <x v="3"/>
    <n v="51014651"/>
    <n v="10"/>
    <s v="BRONCE"/>
    <n v="1032"/>
    <d v="2026-02-27T15:47:24"/>
  </r>
  <r>
    <n v="11784"/>
    <x v="3"/>
    <n v="51014723"/>
    <n v="10"/>
    <s v="BRONCE"/>
    <n v="1032"/>
    <d v="2026-02-27T15:47:24"/>
  </r>
  <r>
    <n v="11785"/>
    <x v="3"/>
    <n v="51015282"/>
    <n v="10"/>
    <s v="BRONCE"/>
    <n v="1032"/>
    <d v="2026-02-27T15:47:24"/>
  </r>
  <r>
    <n v="11786"/>
    <x v="3"/>
    <n v="51015576"/>
    <n v="10"/>
    <s v="BRONCE"/>
    <n v="1032"/>
    <d v="2026-02-27T15:47:24"/>
  </r>
  <r>
    <n v="11787"/>
    <x v="3"/>
    <n v="51015690"/>
    <n v="10"/>
    <s v="BRONCE"/>
    <n v="1032"/>
    <d v="2026-02-27T15:47:24"/>
  </r>
  <r>
    <n v="11788"/>
    <x v="3"/>
    <n v="51015738"/>
    <n v="10"/>
    <s v="BRONCE"/>
    <n v="1032"/>
    <d v="2026-02-27T15:47:24"/>
  </r>
  <r>
    <n v="11789"/>
    <x v="3"/>
    <n v="51015959"/>
    <n v="10"/>
    <s v="BRONCE"/>
    <n v="1032"/>
    <d v="2026-02-27T15:47:24"/>
  </r>
  <r>
    <n v="11790"/>
    <x v="3"/>
    <n v="51015991"/>
    <n v="10"/>
    <s v="BRONCE"/>
    <n v="1032"/>
    <d v="2026-02-27T15:47:24"/>
  </r>
  <r>
    <n v="11791"/>
    <x v="3"/>
    <n v="51016122"/>
    <n v="74.178024410359995"/>
    <s v="ORO"/>
    <n v="598"/>
    <d v="2026-02-27T15:47:24"/>
  </r>
  <r>
    <n v="11792"/>
    <x v="3"/>
    <n v="51016190"/>
    <n v="20"/>
    <s v="BRONCE"/>
    <n v="923"/>
    <d v="2026-02-27T15:47:24"/>
  </r>
  <r>
    <n v="11793"/>
    <x v="3"/>
    <n v="51016505"/>
    <n v="60.32838297707022"/>
    <s v="ORO"/>
    <n v="801"/>
    <d v="2026-02-27T15:47:24"/>
  </r>
  <r>
    <n v="11794"/>
    <x v="3"/>
    <n v="51016670"/>
    <n v="19.984999999999999"/>
    <s v="BRONCE"/>
    <n v="973"/>
    <d v="2026-02-27T15:47:24"/>
  </r>
  <r>
    <n v="11795"/>
    <x v="3"/>
    <n v="51016751"/>
    <n v="66.3"/>
    <s v="ORO"/>
    <n v="678"/>
    <d v="2026-02-27T15:47:24"/>
  </r>
  <r>
    <n v="11796"/>
    <x v="3"/>
    <n v="51016769"/>
    <n v="10"/>
    <s v="BRONCE"/>
    <n v="1032"/>
    <d v="2026-02-27T15:47:24"/>
  </r>
  <r>
    <n v="11797"/>
    <x v="3"/>
    <n v="51016807"/>
    <n v="78.238000000000014"/>
    <s v="PLATINO"/>
    <n v="486"/>
    <d v="2026-02-27T15:47:24"/>
  </r>
  <r>
    <n v="11798"/>
    <x v="3"/>
    <n v="51016912"/>
    <n v="53.56"/>
    <s v="PLATA"/>
    <n v="843"/>
    <d v="2026-02-27T15:47:24"/>
  </r>
  <r>
    <n v="11799"/>
    <x v="3"/>
    <n v="51017005"/>
    <n v="10"/>
    <s v="BRONCE"/>
    <n v="1032"/>
    <d v="2026-02-27T15:47:24"/>
  </r>
  <r>
    <n v="11800"/>
    <x v="3"/>
    <n v="51017200"/>
    <n v="10"/>
    <s v="BRONCE"/>
    <n v="1032"/>
    <d v="2026-02-27T15:47:24"/>
  </r>
  <r>
    <n v="11801"/>
    <x v="3"/>
    <n v="51017692"/>
    <n v="10"/>
    <s v="BRONCE"/>
    <n v="1032"/>
    <d v="2026-02-27T15:47:24"/>
  </r>
  <r>
    <n v="11802"/>
    <x v="3"/>
    <n v="51017781"/>
    <n v="20"/>
    <s v="BRONCE"/>
    <n v="923"/>
    <d v="2026-02-27T15:47:24"/>
  </r>
  <r>
    <n v="11803"/>
    <x v="3"/>
    <n v="51018010"/>
    <n v="13.400601125349789"/>
    <s v="BRONCE"/>
    <n v="1028"/>
    <d v="2026-02-27T15:47:24"/>
  </r>
  <r>
    <n v="11804"/>
    <x v="3"/>
    <n v="51018168"/>
    <n v="20"/>
    <s v="BRONCE"/>
    <n v="923"/>
    <d v="2026-02-27T15:47:24"/>
  </r>
  <r>
    <n v="11805"/>
    <x v="3"/>
    <n v="51018192"/>
    <n v="10"/>
    <s v="BRONCE"/>
    <n v="1032"/>
    <d v="2026-02-27T15:47:24"/>
  </r>
  <r>
    <n v="11806"/>
    <x v="3"/>
    <n v="51018281"/>
    <n v="14.89671002295333"/>
    <s v="BRONCE"/>
    <n v="1024"/>
    <d v="2026-02-27T15:47:24"/>
  </r>
  <r>
    <n v="11807"/>
    <x v="3"/>
    <n v="51018915"/>
    <n v="10"/>
    <s v="BRONCE"/>
    <n v="1032"/>
    <d v="2026-02-27T15:47:24"/>
  </r>
  <r>
    <n v="11808"/>
    <x v="3"/>
    <n v="51019075"/>
    <n v="10"/>
    <s v="BRONCE"/>
    <n v="1032"/>
    <d v="2026-02-27T15:47:24"/>
  </r>
  <r>
    <n v="11809"/>
    <x v="3"/>
    <n v="51019156"/>
    <n v="10"/>
    <s v="BRONCE"/>
    <n v="1032"/>
    <d v="2026-02-27T15:47:24"/>
  </r>
  <r>
    <n v="11810"/>
    <x v="3"/>
    <n v="51019181"/>
    <n v="10"/>
    <s v="BRONCE"/>
    <n v="1032"/>
    <d v="2026-02-27T15:47:24"/>
  </r>
  <r>
    <n v="11811"/>
    <x v="3"/>
    <n v="51019237"/>
    <n v="10"/>
    <s v="BRONCE"/>
    <n v="1032"/>
    <d v="2026-02-27T15:47:24"/>
  </r>
  <r>
    <n v="11812"/>
    <x v="3"/>
    <n v="51019351"/>
    <n v="10"/>
    <s v="BRONCE"/>
    <n v="1032"/>
    <d v="2026-02-27T15:47:24"/>
  </r>
  <r>
    <n v="11813"/>
    <x v="3"/>
    <n v="51019725"/>
    <n v="82.38"/>
    <s v="PLATINO"/>
    <n v="330"/>
    <d v="2026-02-27T15:47:24"/>
  </r>
  <r>
    <n v="11814"/>
    <x v="3"/>
    <n v="51019768"/>
    <n v="10"/>
    <s v="BRONCE"/>
    <n v="1032"/>
    <d v="2026-02-27T15:47:24"/>
  </r>
  <r>
    <n v="11815"/>
    <x v="3"/>
    <n v="51020120"/>
    <n v="10"/>
    <s v="BRONCE"/>
    <n v="1032"/>
    <d v="2026-02-27T15:47:24"/>
  </r>
  <r>
    <n v="11816"/>
    <x v="3"/>
    <n v="51020154"/>
    <n v="10"/>
    <s v="BRONCE"/>
    <n v="1032"/>
    <d v="2026-02-27T15:47:24"/>
  </r>
  <r>
    <n v="11817"/>
    <x v="3"/>
    <n v="51020740"/>
    <n v="81.455886299496157"/>
    <s v="PLATINO"/>
    <n v="373"/>
    <d v="2026-02-27T15:47:24"/>
  </r>
  <r>
    <n v="11818"/>
    <x v="3"/>
    <n v="51021151"/>
    <n v="10"/>
    <s v="BRONCE"/>
    <n v="1032"/>
    <d v="2026-02-27T15:47:24"/>
  </r>
  <r>
    <n v="11819"/>
    <x v="3"/>
    <n v="51021525"/>
    <n v="10"/>
    <s v="BRONCE"/>
    <n v="1032"/>
    <d v="2026-02-27T15:47:24"/>
  </r>
  <r>
    <n v="11820"/>
    <x v="3"/>
    <n v="51021649"/>
    <n v="60.12"/>
    <s v="ORO"/>
    <n v="806"/>
    <d v="2026-02-27T15:47:24"/>
  </r>
  <r>
    <n v="11821"/>
    <x v="3"/>
    <n v="51021908"/>
    <n v="10"/>
    <s v="BRONCE"/>
    <n v="1032"/>
    <d v="2026-02-27T15:47:24"/>
  </r>
  <r>
    <n v="11822"/>
    <x v="3"/>
    <n v="51021924"/>
    <n v="10"/>
    <s v="BRONCE"/>
    <n v="1032"/>
    <d v="2026-02-27T15:47:24"/>
  </r>
  <r>
    <n v="11823"/>
    <x v="3"/>
    <n v="51022203"/>
    <n v="10"/>
    <s v="BRONCE"/>
    <n v="1032"/>
    <d v="2026-02-27T15:47:24"/>
  </r>
  <r>
    <n v="11824"/>
    <x v="3"/>
    <n v="51022271"/>
    <n v="10"/>
    <s v="BRONCE"/>
    <n v="1032"/>
    <d v="2026-02-27T15:47:24"/>
  </r>
  <r>
    <n v="11825"/>
    <x v="3"/>
    <n v="51022297"/>
    <n v="10"/>
    <s v="BRONCE"/>
    <n v="1032"/>
    <d v="2026-02-27T15:47:24"/>
  </r>
  <r>
    <n v="11826"/>
    <x v="3"/>
    <n v="51022807"/>
    <n v="73.64"/>
    <s v="ORO"/>
    <n v="605"/>
    <d v="2026-02-27T15:47:24"/>
  </r>
  <r>
    <n v="11827"/>
    <x v="3"/>
    <n v="51022891"/>
    <n v="10"/>
    <s v="BRONCE"/>
    <n v="1032"/>
    <d v="2026-02-27T15:47:24"/>
  </r>
  <r>
    <n v="11828"/>
    <x v="3"/>
    <n v="51022939"/>
    <n v="10"/>
    <s v="BRONCE"/>
    <n v="1032"/>
    <d v="2026-02-27T15:47:24"/>
  </r>
  <r>
    <n v="11829"/>
    <x v="3"/>
    <n v="51023323"/>
    <n v="55.049952352614383"/>
    <s v="ORO"/>
    <n v="840"/>
    <d v="2026-02-27T15:47:24"/>
  </r>
  <r>
    <n v="11830"/>
    <x v="3"/>
    <n v="51023447"/>
    <n v="10"/>
    <s v="BRONCE"/>
    <n v="1032"/>
    <d v="2026-02-27T15:47:24"/>
  </r>
  <r>
    <n v="11831"/>
    <x v="3"/>
    <n v="51023463"/>
    <n v="10"/>
    <s v="BRONCE"/>
    <n v="1032"/>
    <d v="2026-02-27T15:47:24"/>
  </r>
  <r>
    <n v="11832"/>
    <x v="3"/>
    <n v="51023510"/>
    <n v="10"/>
    <s v="BRONCE"/>
    <n v="1032"/>
    <d v="2026-02-27T15:47:24"/>
  </r>
  <r>
    <n v="11833"/>
    <x v="3"/>
    <n v="51024338"/>
    <n v="10"/>
    <s v="BRONCE"/>
    <n v="1032"/>
    <d v="2026-02-27T15:47:24"/>
  </r>
  <r>
    <n v="11834"/>
    <x v="3"/>
    <n v="51024346"/>
    <n v="10"/>
    <s v="BRONCE"/>
    <n v="1032"/>
    <d v="2026-02-27T15:47:24"/>
  </r>
  <r>
    <n v="11835"/>
    <x v="3"/>
    <n v="51024354"/>
    <n v="10"/>
    <s v="BRONCE"/>
    <n v="1032"/>
    <d v="2026-02-27T15:47:24"/>
  </r>
  <r>
    <n v="11836"/>
    <x v="3"/>
    <n v="51024788"/>
    <n v="10"/>
    <s v="BRONCE"/>
    <n v="1032"/>
    <d v="2026-02-27T15:47:24"/>
  </r>
  <r>
    <n v="11837"/>
    <x v="3"/>
    <n v="51024907"/>
    <n v="10"/>
    <s v="BRONCE"/>
    <n v="1032"/>
    <d v="2026-02-27T15:47:24"/>
  </r>
  <r>
    <n v="11838"/>
    <x v="3"/>
    <n v="51025598"/>
    <n v="10"/>
    <s v="BRONCE"/>
    <n v="1032"/>
    <d v="2026-02-27T15:47:24"/>
  </r>
  <r>
    <n v="11839"/>
    <x v="3"/>
    <n v="51025601"/>
    <n v="75.875"/>
    <s v="PLATINO"/>
    <n v="573"/>
    <d v="2026-02-27T15:47:24"/>
  </r>
  <r>
    <n v="11840"/>
    <x v="3"/>
    <n v="51025881"/>
    <n v="10"/>
    <s v="BRONCE"/>
    <n v="1032"/>
    <d v="2026-02-27T15:47:24"/>
  </r>
  <r>
    <n v="11841"/>
    <x v="3"/>
    <n v="51028856"/>
    <n v="10"/>
    <s v="BRONCE"/>
    <n v="1032"/>
    <d v="2026-02-27T15:47:24"/>
  </r>
  <r>
    <n v="11842"/>
    <x v="3"/>
    <n v="51030087"/>
    <n v="10"/>
    <s v="BRONCE"/>
    <n v="1032"/>
    <d v="2026-02-27T15:47:24"/>
  </r>
  <r>
    <n v="11843"/>
    <x v="3"/>
    <n v="51030206"/>
    <n v="9.9849999999999994"/>
    <s v="BRONCE"/>
    <n v="1186"/>
    <d v="2026-02-27T15:47:24"/>
  </r>
  <r>
    <n v="11844"/>
    <x v="3"/>
    <n v="51030630"/>
    <n v="10"/>
    <s v="BRONCE"/>
    <n v="1032"/>
    <d v="2026-02-27T15:47:24"/>
  </r>
  <r>
    <n v="11845"/>
    <x v="3"/>
    <n v="51030745"/>
    <n v="10"/>
    <s v="BRONCE"/>
    <n v="1032"/>
    <d v="2026-02-27T15:47:24"/>
  </r>
  <r>
    <n v="11846"/>
    <x v="3"/>
    <n v="51030796"/>
    <n v="10"/>
    <s v="BRONCE"/>
    <n v="1032"/>
    <d v="2026-02-27T15:47:24"/>
  </r>
  <r>
    <n v="11847"/>
    <x v="3"/>
    <n v="51030966"/>
    <n v="10"/>
    <s v="BRONCE"/>
    <n v="1032"/>
    <d v="2026-02-27T15:47:24"/>
  </r>
  <r>
    <n v="11848"/>
    <x v="3"/>
    <n v="51031067"/>
    <n v="10"/>
    <s v="BRONCE"/>
    <n v="1032"/>
    <d v="2026-02-27T15:47:24"/>
  </r>
  <r>
    <n v="11849"/>
    <x v="3"/>
    <n v="51031091"/>
    <n v="10"/>
    <s v="BRONCE"/>
    <n v="1032"/>
    <d v="2026-02-27T15:47:24"/>
  </r>
  <r>
    <n v="11850"/>
    <x v="3"/>
    <n v="51031156"/>
    <n v="10"/>
    <s v="BRONCE"/>
    <n v="1032"/>
    <d v="2026-02-27T15:47:24"/>
  </r>
  <r>
    <n v="11851"/>
    <x v="3"/>
    <n v="51031423"/>
    <n v="10"/>
    <s v="BRONCE"/>
    <n v="1032"/>
    <d v="2026-02-27T15:47:24"/>
  </r>
  <r>
    <n v="11852"/>
    <x v="3"/>
    <n v="51031555"/>
    <n v="10"/>
    <s v="BRONCE"/>
    <n v="1032"/>
    <d v="2026-02-27T15:47:24"/>
  </r>
  <r>
    <n v="11853"/>
    <x v="3"/>
    <n v="51032021"/>
    <n v="10"/>
    <s v="BRONCE"/>
    <n v="1032"/>
    <d v="2026-02-27T15:47:24"/>
  </r>
  <r>
    <n v="11854"/>
    <x v="3"/>
    <n v="51032055"/>
    <n v="10"/>
    <s v="BRONCE"/>
    <n v="1032"/>
    <d v="2026-02-27T15:47:24"/>
  </r>
  <r>
    <n v="11855"/>
    <x v="3"/>
    <n v="51032144"/>
    <n v="18.001863215270578"/>
    <s v="BRONCE"/>
    <n v="1004"/>
    <d v="2026-02-27T15:47:24"/>
  </r>
  <r>
    <n v="11856"/>
    <x v="3"/>
    <n v="51032209"/>
    <n v="10"/>
    <s v="BRONCE"/>
    <n v="1032"/>
    <d v="2026-02-27T15:47:24"/>
  </r>
  <r>
    <n v="11857"/>
    <x v="3"/>
    <n v="51032217"/>
    <n v="10"/>
    <s v="BRONCE"/>
    <n v="1032"/>
    <d v="2026-02-27T15:47:24"/>
  </r>
  <r>
    <n v="11858"/>
    <x v="3"/>
    <n v="51032497"/>
    <n v="41.797140778409087"/>
    <s v="PLATA"/>
    <n v="878"/>
    <d v="2026-02-27T15:47:24"/>
  </r>
  <r>
    <n v="11859"/>
    <x v="3"/>
    <n v="51033019"/>
    <n v="10"/>
    <s v="BRONCE"/>
    <n v="1032"/>
    <d v="2026-02-27T15:47:24"/>
  </r>
  <r>
    <n v="11860"/>
    <x v="3"/>
    <n v="51033647"/>
    <n v="10"/>
    <s v="BRONCE"/>
    <n v="1032"/>
    <d v="2026-02-27T15:47:24"/>
  </r>
  <r>
    <n v="11861"/>
    <x v="3"/>
    <n v="51034261"/>
    <n v="9.9980000000000011"/>
    <s v="BRONCE"/>
    <n v="1178"/>
    <d v="2026-02-27T15:47:24"/>
  </r>
  <r>
    <n v="11862"/>
    <x v="3"/>
    <n v="51034392"/>
    <n v="10"/>
    <s v="BRONCE"/>
    <n v="1032"/>
    <d v="2026-02-27T15:47:24"/>
  </r>
  <r>
    <n v="11863"/>
    <x v="3"/>
    <n v="51036093"/>
    <n v="10"/>
    <s v="BRONCE"/>
    <n v="1032"/>
    <d v="2026-02-27T15:47:24"/>
  </r>
  <r>
    <n v="11864"/>
    <x v="3"/>
    <n v="51036620"/>
    <n v="10"/>
    <s v="BRONCE"/>
    <n v="1032"/>
    <d v="2026-02-27T15:47:24"/>
  </r>
  <r>
    <n v="11865"/>
    <x v="3"/>
    <n v="51036786"/>
    <n v="10"/>
    <s v="BRONCE"/>
    <n v="1032"/>
    <d v="2026-02-27T15:47:24"/>
  </r>
  <r>
    <n v="11866"/>
    <x v="3"/>
    <n v="51037014"/>
    <n v="10"/>
    <s v="BRONCE"/>
    <n v="1032"/>
    <d v="2026-02-27T15:47:24"/>
  </r>
  <r>
    <n v="11867"/>
    <x v="3"/>
    <n v="51038991"/>
    <n v="9.9980000000000011"/>
    <s v="BRONCE"/>
    <n v="1178"/>
    <d v="2026-02-27T15:47:24"/>
  </r>
  <r>
    <n v="11868"/>
    <x v="3"/>
    <n v="51039084"/>
    <n v="9.9849999999999994"/>
    <s v="BRONCE"/>
    <n v="1186"/>
    <d v="2026-02-27T15:47:24"/>
  </r>
  <r>
    <n v="11869"/>
    <x v="3"/>
    <n v="51039955"/>
    <n v="10"/>
    <s v="BRONCE"/>
    <n v="1032"/>
    <d v="2026-02-27T15:47:24"/>
  </r>
  <r>
    <n v="11870"/>
    <x v="3"/>
    <n v="51039980"/>
    <n v="10"/>
    <s v="BRONCE"/>
    <n v="1032"/>
    <d v="2026-02-27T15:47:24"/>
  </r>
  <r>
    <n v="11871"/>
    <x v="3"/>
    <n v="51040040"/>
    <n v="10"/>
    <s v="BRONCE"/>
    <n v="1032"/>
    <d v="2026-02-27T15:47:24"/>
  </r>
  <r>
    <n v="11872"/>
    <x v="3"/>
    <n v="51040309"/>
    <n v="57.56796222534863"/>
    <s v="ORO"/>
    <n v="833"/>
    <d v="2026-02-27T15:47:24"/>
  </r>
  <r>
    <n v="11873"/>
    <x v="3"/>
    <n v="51040856"/>
    <n v="10"/>
    <s v="BRONCE"/>
    <n v="1032"/>
    <d v="2026-02-27T15:47:24"/>
  </r>
  <r>
    <n v="11874"/>
    <x v="3"/>
    <n v="51040970"/>
    <n v="10"/>
    <s v="BRONCE"/>
    <n v="1032"/>
    <d v="2026-02-27T15:47:24"/>
  </r>
  <r>
    <n v="11875"/>
    <x v="3"/>
    <n v="51041178"/>
    <n v="10"/>
    <s v="BRONCE"/>
    <n v="1032"/>
    <d v="2026-02-27T15:47:24"/>
  </r>
  <r>
    <n v="11876"/>
    <x v="3"/>
    <n v="51041321"/>
    <n v="20"/>
    <s v="BRONCE"/>
    <n v="923"/>
    <d v="2026-02-27T15:47:24"/>
  </r>
  <r>
    <n v="11877"/>
    <x v="3"/>
    <n v="51041836"/>
    <n v="10"/>
    <s v="BRONCE"/>
    <n v="1032"/>
    <d v="2026-02-27T15:47:24"/>
  </r>
  <r>
    <n v="11878"/>
    <x v="3"/>
    <n v="51041925"/>
    <n v="9.9849999999999994"/>
    <s v="BRONCE"/>
    <n v="1186"/>
    <d v="2026-02-27T15:47:24"/>
  </r>
  <r>
    <n v="11879"/>
    <x v="3"/>
    <n v="51042166"/>
    <n v="10"/>
    <s v="BRONCE"/>
    <n v="1032"/>
    <d v="2026-02-27T15:47:24"/>
  </r>
  <r>
    <n v="11880"/>
    <x v="3"/>
    <n v="51042352"/>
    <n v="9.9980000000000011"/>
    <s v="BRONCE"/>
    <n v="1178"/>
    <d v="2026-02-27T15:47:24"/>
  </r>
  <r>
    <n v="11881"/>
    <x v="3"/>
    <n v="51042492"/>
    <n v="47.77514953428345"/>
    <s v="PLATA"/>
    <n v="864"/>
    <d v="2026-02-27T15:47:24"/>
  </r>
  <r>
    <n v="11882"/>
    <x v="3"/>
    <n v="51042557"/>
    <n v="10"/>
    <s v="BRONCE"/>
    <n v="1032"/>
    <d v="2026-02-27T15:47:24"/>
  </r>
  <r>
    <n v="11883"/>
    <x v="3"/>
    <n v="51042697"/>
    <n v="10"/>
    <s v="BRONCE"/>
    <n v="1032"/>
    <d v="2026-02-27T15:47:24"/>
  </r>
  <r>
    <n v="11884"/>
    <x v="3"/>
    <n v="51042701"/>
    <n v="10"/>
    <s v="BRONCE"/>
    <n v="1032"/>
    <d v="2026-02-27T15:47:24"/>
  </r>
  <r>
    <n v="11885"/>
    <x v="3"/>
    <n v="51042794"/>
    <n v="10"/>
    <s v="BRONCE"/>
    <n v="1032"/>
    <d v="2026-02-27T15:47:24"/>
  </r>
  <r>
    <n v="11886"/>
    <x v="3"/>
    <n v="51042867"/>
    <n v="10"/>
    <s v="BRONCE"/>
    <n v="1032"/>
    <d v="2026-02-27T15:47:24"/>
  </r>
  <r>
    <n v="11887"/>
    <x v="3"/>
    <n v="51042883"/>
    <n v="81.801882303446845"/>
    <s v="PLATINO"/>
    <n v="354"/>
    <d v="2026-02-27T15:47:24"/>
  </r>
  <r>
    <n v="11888"/>
    <x v="3"/>
    <n v="51043286"/>
    <n v="10"/>
    <s v="BRONCE"/>
    <n v="1032"/>
    <d v="2026-02-27T15:47:24"/>
  </r>
  <r>
    <n v="11889"/>
    <x v="3"/>
    <n v="51043430"/>
    <n v="79.05"/>
    <s v="PLATINO"/>
    <n v="463"/>
    <d v="2026-02-27T15:47:24"/>
  </r>
  <r>
    <n v="11890"/>
    <x v="3"/>
    <n v="51043481"/>
    <n v="9.9980000000000011"/>
    <s v="BRONCE"/>
    <n v="1178"/>
    <d v="2026-02-27T15:47:24"/>
  </r>
  <r>
    <n v="11891"/>
    <x v="3"/>
    <n v="51043685"/>
    <n v="10"/>
    <s v="BRONCE"/>
    <n v="1032"/>
    <d v="2026-02-27T15:47:24"/>
  </r>
  <r>
    <n v="11892"/>
    <x v="3"/>
    <n v="51044185"/>
    <n v="20"/>
    <s v="BRONCE"/>
    <n v="923"/>
    <d v="2026-02-27T15:47:24"/>
  </r>
  <r>
    <n v="11893"/>
    <x v="3"/>
    <n v="51054474"/>
    <n v="24.5"/>
    <s v="BRONCE"/>
    <n v="919"/>
    <d v="2026-02-27T15:47:24"/>
  </r>
  <r>
    <n v="11894"/>
    <x v="3"/>
    <n v="51054890"/>
    <n v="10"/>
    <s v="BRONCE"/>
    <n v="1032"/>
    <d v="2026-02-27T15:47:24"/>
  </r>
  <r>
    <n v="11895"/>
    <x v="3"/>
    <n v="51054971"/>
    <n v="10"/>
    <s v="BRONCE"/>
    <n v="1032"/>
    <d v="2026-02-27T15:47:24"/>
  </r>
  <r>
    <n v="11896"/>
    <x v="3"/>
    <n v="51055021"/>
    <n v="10"/>
    <s v="BRONCE"/>
    <n v="1032"/>
    <d v="2026-02-27T15:47:24"/>
  </r>
  <r>
    <n v="11897"/>
    <x v="3"/>
    <n v="51055110"/>
    <n v="10"/>
    <s v="BRONCE"/>
    <n v="1032"/>
    <d v="2026-02-27T15:47:24"/>
  </r>
  <r>
    <n v="11898"/>
    <x v="3"/>
    <n v="51055179"/>
    <n v="9.9980000000000011"/>
    <s v="BRONCE"/>
    <n v="1178"/>
    <d v="2026-02-27T15:47:24"/>
  </r>
  <r>
    <n v="11899"/>
    <x v="3"/>
    <n v="51055187"/>
    <n v="10"/>
    <s v="BRONCE"/>
    <n v="1032"/>
    <d v="2026-02-27T15:47:24"/>
  </r>
  <r>
    <n v="11900"/>
    <x v="3"/>
    <n v="51055195"/>
    <n v="10"/>
    <s v="BRONCE"/>
    <n v="1032"/>
    <d v="2026-02-27T15:47:24"/>
  </r>
  <r>
    <n v="11901"/>
    <x v="3"/>
    <n v="51055233"/>
    <n v="10"/>
    <s v="BRONCE"/>
    <n v="1032"/>
    <d v="2026-02-27T15:47:24"/>
  </r>
  <r>
    <n v="11902"/>
    <x v="3"/>
    <n v="51055314"/>
    <n v="10"/>
    <s v="BRONCE"/>
    <n v="1032"/>
    <d v="2026-02-27T15:47:24"/>
  </r>
  <r>
    <n v="11903"/>
    <x v="3"/>
    <n v="51055349"/>
    <n v="10"/>
    <s v="BRONCE"/>
    <n v="1032"/>
    <d v="2026-02-27T15:47:24"/>
  </r>
  <r>
    <n v="11904"/>
    <x v="3"/>
    <n v="51055381"/>
    <n v="10"/>
    <s v="BRONCE"/>
    <n v="1032"/>
    <d v="2026-02-27T15:47:24"/>
  </r>
  <r>
    <n v="11905"/>
    <x v="3"/>
    <n v="51055403"/>
    <n v="10"/>
    <s v="BRONCE"/>
    <n v="1032"/>
    <d v="2026-02-27T15:47:24"/>
  </r>
  <r>
    <n v="11906"/>
    <x v="3"/>
    <n v="51055420"/>
    <n v="10"/>
    <s v="BRONCE"/>
    <n v="1032"/>
    <d v="2026-02-27T15:47:24"/>
  </r>
  <r>
    <n v="11907"/>
    <x v="3"/>
    <n v="51055438"/>
    <n v="20"/>
    <s v="BRONCE"/>
    <n v="923"/>
    <d v="2026-02-27T15:47:24"/>
  </r>
  <r>
    <n v="11908"/>
    <x v="3"/>
    <n v="51055446"/>
    <n v="10"/>
    <s v="BRONCE"/>
    <n v="1032"/>
    <d v="2026-02-27T15:47:24"/>
  </r>
  <r>
    <n v="11909"/>
    <x v="3"/>
    <n v="51055471"/>
    <n v="10"/>
    <s v="BRONCE"/>
    <n v="1032"/>
    <d v="2026-02-27T15:47:24"/>
  </r>
  <r>
    <n v="11910"/>
    <x v="3"/>
    <n v="51055608"/>
    <n v="0"/>
    <s v="CERRADO"/>
    <n v="1192"/>
    <d v="2026-02-27T15:47:24"/>
  </r>
  <r>
    <n v="11911"/>
    <x v="3"/>
    <n v="51055683"/>
    <n v="10"/>
    <s v="BRONCE"/>
    <n v="1032"/>
    <d v="2026-02-27T15:47:24"/>
  </r>
  <r>
    <n v="11912"/>
    <x v="3"/>
    <n v="51055713"/>
    <n v="10"/>
    <s v="BRONCE"/>
    <n v="1032"/>
    <d v="2026-02-27T15:47:24"/>
  </r>
  <r>
    <n v="11913"/>
    <x v="3"/>
    <n v="51055748"/>
    <n v="10"/>
    <s v="BRONCE"/>
    <n v="1032"/>
    <d v="2026-02-27T15:47:24"/>
  </r>
  <r>
    <n v="11914"/>
    <x v="3"/>
    <n v="51055781"/>
    <n v="58.646238704586317"/>
    <s v="ORO"/>
    <n v="823"/>
    <d v="2026-02-27T15:47:24"/>
  </r>
  <r>
    <n v="11915"/>
    <x v="3"/>
    <n v="51055900"/>
    <n v="10"/>
    <s v="BRONCE"/>
    <n v="1032"/>
    <d v="2026-02-27T15:47:24"/>
  </r>
  <r>
    <n v="11916"/>
    <x v="3"/>
    <n v="51055934"/>
    <n v="10"/>
    <s v="BRONCE"/>
    <n v="1032"/>
    <d v="2026-02-27T15:47:24"/>
  </r>
  <r>
    <n v="11917"/>
    <x v="3"/>
    <n v="51055969"/>
    <n v="10"/>
    <s v="BRONCE"/>
    <n v="1032"/>
    <d v="2026-02-27T15:47:24"/>
  </r>
  <r>
    <n v="11918"/>
    <x v="3"/>
    <n v="51055977"/>
    <n v="10"/>
    <s v="BRONCE"/>
    <n v="1032"/>
    <d v="2026-02-27T15:47:24"/>
  </r>
  <r>
    <n v="11919"/>
    <x v="3"/>
    <n v="51056035"/>
    <n v="10"/>
    <s v="BRONCE"/>
    <n v="1032"/>
    <d v="2026-02-27T15:47:24"/>
  </r>
  <r>
    <n v="11920"/>
    <x v="3"/>
    <n v="51056043"/>
    <n v="60.688000000000002"/>
    <s v="ORO"/>
    <n v="792"/>
    <d v="2026-02-27T15:47:24"/>
  </r>
  <r>
    <n v="11921"/>
    <x v="3"/>
    <n v="51056141"/>
    <n v="69.599999999999994"/>
    <s v="ORO"/>
    <n v="651"/>
    <d v="2026-02-27T15:47:24"/>
  </r>
  <r>
    <n v="11922"/>
    <x v="3"/>
    <n v="51056167"/>
    <n v="10"/>
    <s v="BRONCE"/>
    <n v="1032"/>
    <d v="2026-02-27T15:47:24"/>
  </r>
  <r>
    <n v="11923"/>
    <x v="3"/>
    <n v="51056230"/>
    <n v="10"/>
    <s v="BRONCE"/>
    <n v="1032"/>
    <d v="2026-02-27T15:47:24"/>
  </r>
  <r>
    <n v="11924"/>
    <x v="3"/>
    <n v="51056256"/>
    <n v="10"/>
    <s v="BRONCE"/>
    <n v="1032"/>
    <d v="2026-02-27T15:47:24"/>
  </r>
  <r>
    <n v="11925"/>
    <x v="3"/>
    <n v="51056370"/>
    <n v="10"/>
    <s v="BRONCE"/>
    <n v="1032"/>
    <d v="2026-02-27T15:47:24"/>
  </r>
  <r>
    <n v="11926"/>
    <x v="3"/>
    <n v="51056680"/>
    <n v="0"/>
    <s v="CERRADO"/>
    <n v="1192"/>
    <d v="2026-02-27T15:47:24"/>
  </r>
  <r>
    <n v="11927"/>
    <x v="3"/>
    <n v="51056710"/>
    <n v="10"/>
    <s v="BRONCE"/>
    <n v="1032"/>
    <d v="2026-02-27T15:47:24"/>
  </r>
  <r>
    <n v="11928"/>
    <x v="3"/>
    <n v="51056779"/>
    <n v="10"/>
    <s v="BRONCE"/>
    <n v="1032"/>
    <d v="2026-02-27T15:47:24"/>
  </r>
  <r>
    <n v="11929"/>
    <x v="3"/>
    <n v="51056841"/>
    <n v="10"/>
    <s v="BRONCE"/>
    <n v="1032"/>
    <d v="2026-02-27T15:47:24"/>
  </r>
  <r>
    <n v="11930"/>
    <x v="3"/>
    <n v="51056892"/>
    <n v="23.953111236470509"/>
    <s v="BRONCE"/>
    <n v="920"/>
    <d v="2026-02-27T15:47:24"/>
  </r>
  <r>
    <n v="16703"/>
    <x v="4"/>
    <n v="51015525"/>
    <n v="85.926252523003697"/>
    <s v="PLATINO"/>
    <n v="163"/>
    <d v="2026-02-27T15:58:19"/>
  </r>
  <r>
    <n v="16704"/>
    <x v="4"/>
    <n v="51017790"/>
    <n v="35.613921939849199"/>
    <s v="PLATA"/>
    <n v="858"/>
    <d v="2026-02-27T15:58:19"/>
  </r>
  <r>
    <n v="16705"/>
    <x v="4"/>
    <n v="51023871"/>
    <n v="85.499629248631607"/>
    <s v="PLATINO"/>
    <n v="182"/>
    <d v="2026-02-27T15:58:19"/>
  </r>
  <r>
    <n v="16706"/>
    <x v="4"/>
    <n v="51019601"/>
    <n v="87.050731132587941"/>
    <s v="PLATINO"/>
    <n v="97"/>
    <d v="2026-02-27T15:58:19"/>
  </r>
  <r>
    <n v="16707"/>
    <x v="4"/>
    <n v="51021983"/>
    <n v="81.861313091243886"/>
    <s v="PLATINO"/>
    <n v="373"/>
    <d v="2026-02-27T15:58:19"/>
  </r>
  <r>
    <n v="16708"/>
    <x v="4"/>
    <n v="51020201"/>
    <n v="88.068776972989696"/>
    <s v="PLATINO"/>
    <n v="35"/>
    <d v="2026-02-27T15:58:19"/>
  </r>
  <r>
    <n v="16709"/>
    <x v="4"/>
    <n v="51031296"/>
    <n v="89.775752665529993"/>
    <s v="PLATINO"/>
    <n v="2"/>
    <d v="2026-02-27T15:58:19"/>
  </r>
  <r>
    <n v="16710"/>
    <x v="4"/>
    <n v="51011864"/>
    <n v="88.380063493735676"/>
    <s v="PLATINO"/>
    <n v="29"/>
    <d v="2026-02-27T15:58:19"/>
  </r>
  <r>
    <n v="16711"/>
    <x v="4"/>
    <n v="51005945"/>
    <n v="87.71178517247003"/>
    <s v="PLATINO"/>
    <n v="55"/>
    <d v="2026-02-27T15:58:19"/>
  </r>
  <r>
    <n v="16712"/>
    <x v="4"/>
    <n v="51055586"/>
    <n v="83.942375520920237"/>
    <s v="PLATINO"/>
    <n v="271"/>
    <d v="2026-02-27T15:58:19"/>
  </r>
  <r>
    <n v="16713"/>
    <x v="4"/>
    <n v="51025458"/>
    <n v="89.798000000000002"/>
    <s v="PLATINO"/>
    <n v="1"/>
    <d v="2026-02-27T15:58:19"/>
  </r>
  <r>
    <n v="16714"/>
    <x v="4"/>
    <n v="51025709"/>
    <n v="69.941420159061977"/>
    <s v="ORO"/>
    <n v="644"/>
    <d v="2026-02-27T15:58:19"/>
  </r>
  <r>
    <n v="16715"/>
    <x v="4"/>
    <n v="51019709"/>
    <n v="68.3"/>
    <s v="ORO"/>
    <n v="653"/>
    <d v="2026-02-27T15:58:19"/>
  </r>
  <r>
    <n v="16716"/>
    <x v="4"/>
    <n v="51019377"/>
    <n v="89.72"/>
    <s v="PLATINO"/>
    <n v="3"/>
    <d v="2026-02-27T15:58:19"/>
  </r>
  <r>
    <n v="16717"/>
    <x v="4"/>
    <n v="51017447"/>
    <n v="88.88"/>
    <s v="PLATINO"/>
    <n v="16"/>
    <d v="2026-02-27T15:58:19"/>
  </r>
  <r>
    <n v="16718"/>
    <x v="4"/>
    <n v="51055721"/>
    <n v="87.153361410188651"/>
    <s v="PLATINO"/>
    <n v="90"/>
    <d v="2026-02-27T15:58:19"/>
  </r>
  <r>
    <n v="16719"/>
    <x v="4"/>
    <n v="51023064"/>
    <n v="89.42"/>
    <s v="PLATINO"/>
    <n v="8"/>
    <d v="2026-02-27T15:58:19"/>
  </r>
  <r>
    <n v="16720"/>
    <x v="4"/>
    <n v="51055063"/>
    <n v="88.371525018618641"/>
    <s v="PLATINO"/>
    <n v="31"/>
    <d v="2026-02-27T15:58:19"/>
  </r>
  <r>
    <n v="16721"/>
    <x v="4"/>
    <n v="51024893"/>
    <n v="68.021778514400353"/>
    <s v="ORO"/>
    <n v="655"/>
    <d v="2026-02-27T15:58:19"/>
  </r>
  <r>
    <n v="16722"/>
    <x v="4"/>
    <n v="51013638"/>
    <n v="87.86"/>
    <s v="PLATINO"/>
    <n v="44"/>
    <d v="2026-02-27T15:58:19"/>
  </r>
  <r>
    <n v="16723"/>
    <x v="4"/>
    <n v="51011015"/>
    <n v="74.600974044613693"/>
    <s v="ORO"/>
    <n v="595"/>
    <d v="2026-02-27T15:58:19"/>
  </r>
  <r>
    <n v="16724"/>
    <x v="4"/>
    <n v="51020758"/>
    <n v="77.770323456102147"/>
    <s v="PLATINO"/>
    <n v="530"/>
    <d v="2026-02-27T15:58:19"/>
  </r>
  <r>
    <n v="16725"/>
    <x v="4"/>
    <n v="51022734"/>
    <n v="87.375461143889822"/>
    <s v="PLATINO"/>
    <n v="75"/>
    <d v="2026-02-27T15:58:19"/>
  </r>
  <r>
    <n v="16726"/>
    <x v="4"/>
    <n v="51036034"/>
    <n v="89.605000000000004"/>
    <s v="PLATINO"/>
    <n v="4"/>
    <d v="2026-02-27T15:58:19"/>
  </r>
  <r>
    <n v="16727"/>
    <x v="4"/>
    <n v="51019954"/>
    <n v="88.54387033124712"/>
    <s v="PLATINO"/>
    <n v="24"/>
    <d v="2026-02-27T15:58:19"/>
  </r>
  <r>
    <n v="16728"/>
    <x v="4"/>
    <n v="51041895"/>
    <n v="79.11660495866353"/>
    <s v="PLATINO"/>
    <n v="482"/>
    <d v="2026-02-27T15:58:19"/>
  </r>
  <r>
    <n v="16729"/>
    <x v="4"/>
    <n v="51031075"/>
    <n v="87.811452324538138"/>
    <s v="PLATINO"/>
    <n v="46"/>
    <d v="2026-02-27T15:58:19"/>
  </r>
  <r>
    <n v="16730"/>
    <x v="4"/>
    <n v="51016815"/>
    <n v="89.559530577450147"/>
    <s v="PLATINO"/>
    <n v="5"/>
    <d v="2026-02-27T15:58:19"/>
  </r>
  <r>
    <n v="16731"/>
    <x v="4"/>
    <n v="51010761"/>
    <n v="85.740387208853008"/>
    <s v="PLATINO"/>
    <n v="173"/>
    <d v="2026-02-27T15:58:19"/>
  </r>
  <r>
    <n v="16732"/>
    <x v="4"/>
    <n v="51013301"/>
    <n v="89.446047227899115"/>
    <s v="PLATINO"/>
    <n v="7"/>
    <d v="2026-02-27T15:58:19"/>
  </r>
  <r>
    <n v="16733"/>
    <x v="4"/>
    <n v="51041933"/>
    <n v="89.5"/>
    <s v="PLATINO"/>
    <n v="6"/>
    <d v="2026-02-27T15:58:19"/>
  </r>
  <r>
    <n v="16734"/>
    <x v="4"/>
    <n v="51014006"/>
    <n v="75.274280269042308"/>
    <s v="PLATINO"/>
    <n v="584"/>
    <d v="2026-02-27T15:58:19"/>
  </r>
  <r>
    <n v="16735"/>
    <x v="4"/>
    <n v="51000111"/>
    <n v="69.3975676910934"/>
    <s v="ORO"/>
    <n v="647"/>
    <d v="2026-02-27T15:58:19"/>
  </r>
  <r>
    <n v="16736"/>
    <x v="4"/>
    <n v="51042735"/>
    <n v="88.759415847988777"/>
    <s v="PLATINO"/>
    <n v="21"/>
    <d v="2026-02-27T15:58:19"/>
  </r>
  <r>
    <n v="16737"/>
    <x v="4"/>
    <n v="51023218"/>
    <n v="84.886176086007296"/>
    <s v="PLATINO"/>
    <n v="215"/>
    <d v="2026-02-27T15:58:19"/>
  </r>
  <r>
    <n v="16738"/>
    <x v="4"/>
    <n v="51002776"/>
    <n v="87.240151230069344"/>
    <s v="PLATINO"/>
    <n v="83"/>
    <d v="2026-02-27T15:58:19"/>
  </r>
  <r>
    <n v="16739"/>
    <x v="4"/>
    <n v="51015541"/>
    <n v="87.186234097319215"/>
    <s v="PLATINO"/>
    <n v="87"/>
    <d v="2026-02-27T15:58:19"/>
  </r>
  <r>
    <n v="16740"/>
    <x v="4"/>
    <n v="51031890"/>
    <n v="88.194491708644378"/>
    <s v="PLATINO"/>
    <n v="33"/>
    <d v="2026-02-27T15:58:19"/>
  </r>
  <r>
    <n v="16741"/>
    <x v="4"/>
    <n v="51057058"/>
    <n v="20"/>
    <s v="BRONCE"/>
    <n v="889"/>
    <d v="2026-02-27T15:58:19"/>
  </r>
  <r>
    <n v="16742"/>
    <x v="4"/>
    <n v="51022289"/>
    <n v="87.970614057978949"/>
    <s v="PLATINO"/>
    <n v="40"/>
    <d v="2026-02-27T15:58:19"/>
  </r>
  <r>
    <n v="16743"/>
    <x v="4"/>
    <n v="51016688"/>
    <n v="89.326701671044233"/>
    <s v="PLATINO"/>
    <n v="11"/>
    <d v="2026-02-27T15:58:19"/>
  </r>
  <r>
    <n v="16744"/>
    <x v="4"/>
    <n v="51032527"/>
    <n v="89.396375875147825"/>
    <s v="PLATINO"/>
    <n v="9"/>
    <d v="2026-02-27T15:58:19"/>
  </r>
  <r>
    <n v="16745"/>
    <x v="4"/>
    <n v="51028678"/>
    <n v="84.266640429836201"/>
    <s v="PLATINO"/>
    <n v="254"/>
    <d v="2026-02-27T15:58:19"/>
  </r>
  <r>
    <n v="16746"/>
    <x v="4"/>
    <n v="51005287"/>
    <n v="87.725734086350343"/>
    <s v="PLATINO"/>
    <n v="54"/>
    <d v="2026-02-27T15:58:19"/>
  </r>
  <r>
    <n v="16747"/>
    <x v="4"/>
    <n v="51055624"/>
    <n v="88.42"/>
    <s v="PLATINO"/>
    <n v="28"/>
    <d v="2026-02-27T15:58:19"/>
  </r>
  <r>
    <n v="16748"/>
    <x v="4"/>
    <n v="51010884"/>
    <n v="67.588138568495069"/>
    <s v="ORO"/>
    <n v="661"/>
    <d v="2026-02-27T15:58:19"/>
  </r>
  <r>
    <n v="16749"/>
    <x v="4"/>
    <n v="51007051"/>
    <n v="29.40986394716569"/>
    <s v="BRONCE"/>
    <n v="875"/>
    <d v="2026-02-27T15:58:19"/>
  </r>
  <r>
    <n v="16750"/>
    <x v="4"/>
    <n v="51013808"/>
    <n v="88.8"/>
    <s v="PLATINO"/>
    <n v="18"/>
    <d v="2026-02-27T15:58:19"/>
  </r>
  <r>
    <n v="16751"/>
    <x v="4"/>
    <n v="51035828"/>
    <n v="85.318235361997381"/>
    <s v="PLATINO"/>
    <n v="193"/>
    <d v="2026-02-27T15:58:19"/>
  </r>
  <r>
    <n v="16752"/>
    <x v="4"/>
    <n v="51056051"/>
    <n v="87.745342156624048"/>
    <s v="PLATINO"/>
    <n v="52"/>
    <d v="2026-02-27T15:58:19"/>
  </r>
  <r>
    <n v="16753"/>
    <x v="4"/>
    <n v="51024265"/>
    <n v="85.525414257660827"/>
    <s v="PLATINO"/>
    <n v="180"/>
    <d v="2026-02-27T15:58:19"/>
  </r>
  <r>
    <n v="16754"/>
    <x v="4"/>
    <n v="51018494"/>
    <n v="87.6"/>
    <s v="PLATINO"/>
    <n v="61"/>
    <d v="2026-02-27T15:58:19"/>
  </r>
  <r>
    <n v="16755"/>
    <x v="4"/>
    <n v="51039882"/>
    <n v="20"/>
    <s v="BRONCE"/>
    <n v="889"/>
    <d v="2026-02-27T15:58:19"/>
  </r>
  <r>
    <n v="16756"/>
    <x v="4"/>
    <n v="51024192"/>
    <n v="87.067805005009063"/>
    <s v="PLATINO"/>
    <n v="94"/>
    <d v="2026-02-27T15:58:19"/>
  </r>
  <r>
    <n v="16757"/>
    <x v="4"/>
    <n v="51008332"/>
    <n v="88.913284595059054"/>
    <s v="PLATINO"/>
    <n v="14"/>
    <d v="2026-02-27T15:58:19"/>
  </r>
  <r>
    <n v="16758"/>
    <x v="4"/>
    <n v="51015258"/>
    <n v="87.62"/>
    <s v="PLATINO"/>
    <n v="60"/>
    <d v="2026-02-27T15:58:19"/>
  </r>
  <r>
    <n v="16759"/>
    <x v="4"/>
    <n v="51033710"/>
    <n v="70.09"/>
    <s v="ORO"/>
    <n v="643"/>
    <d v="2026-02-27T15:58:19"/>
  </r>
  <r>
    <n v="16760"/>
    <x v="4"/>
    <n v="51010329"/>
    <n v="18.568503247877459"/>
    <s v="BRONCE"/>
    <n v="950"/>
    <d v="2026-02-27T15:58:19"/>
  </r>
  <r>
    <n v="16761"/>
    <x v="4"/>
    <n v="51011252"/>
    <n v="83.305301412748946"/>
    <s v="PLATINO"/>
    <n v="296"/>
    <d v="2026-02-27T15:58:19"/>
  </r>
  <r>
    <n v="16762"/>
    <x v="4"/>
    <n v="51018648"/>
    <n v="87.68"/>
    <s v="PLATINO"/>
    <n v="56"/>
    <d v="2026-02-27T15:58:19"/>
  </r>
  <r>
    <n v="16763"/>
    <x v="4"/>
    <n v="51024524"/>
    <n v="87.976842510690659"/>
    <s v="PLATINO"/>
    <n v="39"/>
    <d v="2026-02-27T15:58:19"/>
  </r>
  <r>
    <n v="16764"/>
    <x v="4"/>
    <n v="51055772"/>
    <n v="51.061324928844989"/>
    <s v="PLATA"/>
    <n v="813"/>
    <d v="2026-02-27T15:58:19"/>
  </r>
  <r>
    <n v="16765"/>
    <x v="4"/>
    <n v="51031083"/>
    <n v="20"/>
    <s v="BRONCE"/>
    <n v="889"/>
    <d v="2026-02-27T15:58:19"/>
  </r>
  <r>
    <n v="16766"/>
    <x v="4"/>
    <n v="51056647"/>
    <n v="64.06"/>
    <s v="ORO"/>
    <n v="696"/>
    <d v="2026-02-27T15:58:19"/>
  </r>
  <r>
    <n v="16767"/>
    <x v="4"/>
    <n v="51024214"/>
    <n v="27.994814204940131"/>
    <s v="BRONCE"/>
    <n v="883"/>
    <d v="2026-02-27T15:58:19"/>
  </r>
  <r>
    <n v="16768"/>
    <x v="4"/>
    <n v="51013425"/>
    <n v="89.22"/>
    <s v="PLATINO"/>
    <n v="12"/>
    <d v="2026-02-27T15:58:19"/>
  </r>
  <r>
    <n v="16769"/>
    <x v="4"/>
    <n v="51025334"/>
    <n v="74.238763676606425"/>
    <s v="ORO"/>
    <n v="598"/>
    <d v="2026-02-27T15:58:19"/>
  </r>
  <r>
    <n v="16770"/>
    <x v="4"/>
    <n v="51056132"/>
    <n v="73.195193831411402"/>
    <s v="ORO"/>
    <n v="611"/>
    <d v="2026-02-27T15:58:19"/>
  </r>
  <r>
    <n v="16771"/>
    <x v="4"/>
    <n v="51004531"/>
    <n v="84.612056274061217"/>
    <s v="PLATINO"/>
    <n v="229"/>
    <d v="2026-02-27T15:58:19"/>
  </r>
  <r>
    <n v="16772"/>
    <x v="4"/>
    <n v="51039033"/>
    <n v="49.644296659598837"/>
    <s v="PLATA"/>
    <n v="818"/>
    <d v="2026-02-27T15:58:19"/>
  </r>
  <r>
    <n v="16773"/>
    <x v="4"/>
    <n v="51024117"/>
    <n v="87.575950214137393"/>
    <s v="PLATINO"/>
    <n v="63"/>
    <d v="2026-02-27T15:58:19"/>
  </r>
  <r>
    <n v="16774"/>
    <x v="4"/>
    <n v="51031768"/>
    <n v="88.022260999481929"/>
    <s v="PLATINO"/>
    <n v="36"/>
    <d v="2026-02-27T15:58:19"/>
  </r>
  <r>
    <n v="16775"/>
    <x v="4"/>
    <n v="51022637"/>
    <n v="87.988799523701815"/>
    <s v="PLATINO"/>
    <n v="38"/>
    <d v="2026-02-27T15:58:19"/>
  </r>
  <r>
    <n v="16776"/>
    <x v="4"/>
    <n v="51010124"/>
    <n v="87.810627078686366"/>
    <s v="PLATINO"/>
    <n v="47"/>
    <d v="2026-02-27T15:58:19"/>
  </r>
  <r>
    <n v="16777"/>
    <x v="4"/>
    <n v="51012020"/>
    <n v="88.740000000000009"/>
    <s v="PLATINO"/>
    <n v="22"/>
    <d v="2026-02-27T15:58:19"/>
  </r>
  <r>
    <n v="16778"/>
    <x v="4"/>
    <n v="51029968"/>
    <n v="88.881335773657653"/>
    <s v="PLATINO"/>
    <n v="15"/>
    <d v="2026-02-27T15:58:19"/>
  </r>
  <r>
    <n v="16779"/>
    <x v="4"/>
    <n v="51025202"/>
    <n v="87.240000000000009"/>
    <s v="PLATINO"/>
    <n v="84"/>
    <d v="2026-02-27T15:58:19"/>
  </r>
  <r>
    <n v="16780"/>
    <x v="4"/>
    <n v="51003667"/>
    <n v="66.052627378493156"/>
    <s v="ORO"/>
    <n v="675"/>
    <d v="2026-02-27T15:58:19"/>
  </r>
  <r>
    <n v="16781"/>
    <x v="4"/>
    <n v="51026691"/>
    <n v="48.753112740069028"/>
    <s v="PLATA"/>
    <n v="821"/>
    <d v="2026-02-27T15:58:19"/>
  </r>
  <r>
    <n v="16782"/>
    <x v="4"/>
    <n v="51023145"/>
    <n v="88.78"/>
    <s v="PLATINO"/>
    <n v="19"/>
    <d v="2026-02-27T15:58:19"/>
  </r>
  <r>
    <n v="16783"/>
    <x v="4"/>
    <n v="51056001"/>
    <n v="86.299635998806991"/>
    <s v="PLATINO"/>
    <n v="143"/>
    <d v="2026-02-27T15:58:19"/>
  </r>
  <r>
    <n v="16784"/>
    <x v="4"/>
    <n v="51019652"/>
    <n v="89.36"/>
    <s v="PLATINO"/>
    <n v="10"/>
    <d v="2026-02-27T15:58:19"/>
  </r>
  <r>
    <n v="16785"/>
    <x v="4"/>
    <n v="51011368"/>
    <n v="88.460089859562444"/>
    <s v="PLATINO"/>
    <n v="26"/>
    <d v="2026-02-27T15:58:19"/>
  </r>
  <r>
    <n v="16786"/>
    <x v="4"/>
    <n v="51055047"/>
    <n v="72.159605217947785"/>
    <s v="ORO"/>
    <n v="622"/>
    <d v="2026-02-27T15:58:19"/>
  </r>
  <r>
    <n v="16787"/>
    <x v="4"/>
    <n v="51018176"/>
    <n v="77.159733773568902"/>
    <s v="PLATINO"/>
    <n v="550"/>
    <d v="2026-02-27T15:58:19"/>
  </r>
  <r>
    <n v="16788"/>
    <x v="4"/>
    <n v="51015622"/>
    <n v="88.632821866166481"/>
    <s v="PLATINO"/>
    <n v="23"/>
    <d v="2026-02-27T15:58:19"/>
  </r>
  <r>
    <n v="16789"/>
    <x v="4"/>
    <n v="51054946"/>
    <n v="87.356020318461745"/>
    <s v="PLATINO"/>
    <n v="78"/>
    <d v="2026-02-27T15:58:19"/>
  </r>
  <r>
    <n v="16790"/>
    <x v="4"/>
    <n v="51016220"/>
    <n v="87.511417256667059"/>
    <s v="PLATINO"/>
    <n v="68"/>
    <d v="2026-02-27T15:58:19"/>
  </r>
  <r>
    <n v="16791"/>
    <x v="4"/>
    <n v="51025385"/>
    <n v="45.291680267882533"/>
    <s v="PLATA"/>
    <n v="829"/>
    <d v="2026-02-27T15:58:19"/>
  </r>
  <r>
    <n v="16792"/>
    <x v="4"/>
    <n v="51057163"/>
    <n v="84.951834646064469"/>
    <s v="PLATINO"/>
    <n v="213"/>
    <d v="2026-02-27T15:58:19"/>
  </r>
  <r>
    <n v="16793"/>
    <x v="4"/>
    <n v="51055985"/>
    <n v="29.295984539266598"/>
    <s v="BRONCE"/>
    <n v="876"/>
    <d v="2026-02-27T15:58:19"/>
  </r>
  <r>
    <n v="16794"/>
    <x v="4"/>
    <n v="51032993"/>
    <n v="87.768828022125987"/>
    <s v="PLATINO"/>
    <n v="51"/>
    <d v="2026-02-27T15:58:19"/>
  </r>
  <r>
    <n v="16795"/>
    <x v="4"/>
    <n v="51015088"/>
    <n v="86.989103104031727"/>
    <s v="PLATINO"/>
    <n v="103"/>
    <d v="2026-02-27T15:58:19"/>
  </r>
  <r>
    <n v="16796"/>
    <x v="4"/>
    <n v="51035658"/>
    <n v="82.535996339228362"/>
    <s v="PLATINO"/>
    <n v="337"/>
    <d v="2026-02-27T15:58:19"/>
  </r>
  <r>
    <n v="16797"/>
    <x v="4"/>
    <n v="51016726"/>
    <n v="87.02"/>
    <s v="PLATINO"/>
    <n v="100"/>
    <d v="2026-02-27T15:58:19"/>
  </r>
  <r>
    <n v="16798"/>
    <x v="4"/>
    <n v="51019342"/>
    <n v="17.70736999634806"/>
    <s v="BRONCE"/>
    <n v="968"/>
    <d v="2026-02-27T15:58:19"/>
  </r>
  <r>
    <n v="16799"/>
    <x v="4"/>
    <n v="51014162"/>
    <n v="67.94"/>
    <s v="ORO"/>
    <n v="656"/>
    <d v="2026-02-27T15:58:19"/>
  </r>
  <r>
    <n v="16800"/>
    <x v="4"/>
    <n v="51022360"/>
    <n v="87.8"/>
    <s v="PLATINO"/>
    <n v="49"/>
    <d v="2026-02-27T15:58:19"/>
  </r>
  <r>
    <n v="16801"/>
    <x v="4"/>
    <n v="51040848"/>
    <n v="85.579236082598584"/>
    <s v="PLATINO"/>
    <n v="179"/>
    <d v="2026-02-27T15:58:19"/>
  </r>
  <r>
    <n v="16802"/>
    <x v="4"/>
    <n v="51022696"/>
    <n v="87.535148515861181"/>
    <s v="PLATINO"/>
    <n v="66"/>
    <d v="2026-02-27T15:58:19"/>
  </r>
  <r>
    <n v="16803"/>
    <x v="4"/>
    <n v="51056426"/>
    <n v="88.373851812425301"/>
    <s v="PLATINO"/>
    <n v="30"/>
    <d v="2026-02-27T15:58:19"/>
  </r>
  <r>
    <n v="16804"/>
    <x v="4"/>
    <n v="51011350"/>
    <n v="86.14972328728787"/>
    <s v="PLATINO"/>
    <n v="151"/>
    <d v="2026-02-27T15:58:19"/>
  </r>
  <r>
    <n v="16805"/>
    <x v="4"/>
    <n v="51024087"/>
    <n v="87.740000000000009"/>
    <s v="PLATINO"/>
    <n v="53"/>
    <d v="2026-02-27T15:58:19"/>
  </r>
  <r>
    <n v="16806"/>
    <x v="4"/>
    <n v="51005171"/>
    <n v="87.907277047769213"/>
    <s v="PLATINO"/>
    <n v="42"/>
    <d v="2026-02-27T15:58:19"/>
  </r>
  <r>
    <n v="16807"/>
    <x v="4"/>
    <n v="51005864"/>
    <n v="86.9"/>
    <s v="PLATINO"/>
    <n v="108"/>
    <d v="2026-02-27T15:58:19"/>
  </r>
  <r>
    <n v="16808"/>
    <x v="4"/>
    <n v="51040317"/>
    <n v="87.486670709706814"/>
    <s v="PLATINO"/>
    <n v="69"/>
    <d v="2026-02-27T15:58:19"/>
  </r>
  <r>
    <n v="16809"/>
    <x v="4"/>
    <n v="51003926"/>
    <n v="68.37204843331935"/>
    <s v="ORO"/>
    <n v="652"/>
    <d v="2026-02-27T15:58:19"/>
  </r>
  <r>
    <n v="16810"/>
    <x v="4"/>
    <n v="51019911"/>
    <n v="76.555047800847731"/>
    <s v="PLATINO"/>
    <n v="558"/>
    <d v="2026-02-27T15:58:19"/>
  </r>
  <r>
    <n v="16811"/>
    <x v="4"/>
    <n v="51022076"/>
    <n v="84.778516146896607"/>
    <s v="PLATINO"/>
    <n v="220"/>
    <d v="2026-02-27T15:58:19"/>
  </r>
  <r>
    <n v="16812"/>
    <x v="4"/>
    <n v="51055217"/>
    <n v="45.71995710569982"/>
    <s v="PLATA"/>
    <n v="828"/>
    <d v="2026-02-27T15:58:19"/>
  </r>
  <r>
    <n v="16813"/>
    <x v="4"/>
    <n v="51036824"/>
    <n v="85.59998529412519"/>
    <s v="PLATINO"/>
    <n v="178"/>
    <d v="2026-02-27T15:58:19"/>
  </r>
  <r>
    <n v="16814"/>
    <x v="4"/>
    <n v="51024940"/>
    <n v="87.275139185231609"/>
    <s v="PLATINO"/>
    <n v="81"/>
    <d v="2026-02-27T15:58:19"/>
  </r>
  <r>
    <n v="16815"/>
    <x v="4"/>
    <n v="51033531"/>
    <n v="87.161821836882112"/>
    <s v="PLATINO"/>
    <n v="88"/>
    <d v="2026-02-27T15:58:19"/>
  </r>
  <r>
    <n v="16816"/>
    <x v="4"/>
    <n v="51032454"/>
    <n v="64.999279102546851"/>
    <s v="ORO"/>
    <n v="687"/>
    <d v="2026-02-27T15:58:19"/>
  </r>
  <r>
    <n v="16817"/>
    <x v="4"/>
    <n v="51014260"/>
    <n v="78.364484841759818"/>
    <s v="PLATINO"/>
    <n v="503"/>
    <d v="2026-02-27T15:58:19"/>
  </r>
  <r>
    <n v="16818"/>
    <x v="4"/>
    <n v="51011414"/>
    <n v="87.015016342876706"/>
    <s v="PLATINO"/>
    <n v="101"/>
    <d v="2026-02-27T15:58:19"/>
  </r>
  <r>
    <n v="16819"/>
    <x v="4"/>
    <n v="51018559"/>
    <n v="20"/>
    <s v="BRONCE"/>
    <n v="889"/>
    <d v="2026-02-27T15:58:19"/>
  </r>
  <r>
    <n v="16820"/>
    <x v="4"/>
    <n v="51014308"/>
    <n v="44.266314969717492"/>
    <s v="PLATA"/>
    <n v="832"/>
    <d v="2026-02-27T15:58:19"/>
  </r>
  <r>
    <n v="16821"/>
    <x v="4"/>
    <n v="51056949"/>
    <n v="72.161548455633266"/>
    <s v="ORO"/>
    <n v="621"/>
    <d v="2026-02-27T15:58:19"/>
  </r>
  <r>
    <n v="16822"/>
    <x v="4"/>
    <n v="51022173"/>
    <n v="88.945000000000007"/>
    <s v="PLATINO"/>
    <n v="13"/>
    <d v="2026-02-27T15:58:19"/>
  </r>
  <r>
    <n v="16823"/>
    <x v="4"/>
    <n v="51023765"/>
    <n v="88.771276017512264"/>
    <s v="PLATINO"/>
    <n v="20"/>
    <d v="2026-02-27T15:58:19"/>
  </r>
  <r>
    <n v="16824"/>
    <x v="4"/>
    <n v="51038908"/>
    <n v="57.282943073920841"/>
    <s v="ORO"/>
    <n v="801"/>
    <d v="2026-02-27T15:58:19"/>
  </r>
  <r>
    <n v="16825"/>
    <x v="4"/>
    <n v="51013158"/>
    <n v="87.542348073935685"/>
    <s v="PLATINO"/>
    <n v="65"/>
    <d v="2026-02-27T15:58:19"/>
  </r>
  <r>
    <n v="16826"/>
    <x v="4"/>
    <n v="51024176"/>
    <n v="59.218130594057932"/>
    <s v="ORO"/>
    <n v="793"/>
    <d v="2026-02-27T15:58:19"/>
  </r>
  <r>
    <n v="16827"/>
    <x v="4"/>
    <n v="51000196"/>
    <n v="82.34"/>
    <s v="PLATINO"/>
    <n v="351"/>
    <d v="2026-02-27T15:58:19"/>
  </r>
  <r>
    <n v="16828"/>
    <x v="4"/>
    <n v="51024672"/>
    <n v="87.22"/>
    <s v="PLATINO"/>
    <n v="85"/>
    <d v="2026-02-27T15:58:19"/>
  </r>
  <r>
    <n v="16829"/>
    <x v="4"/>
    <n v="51021657"/>
    <n v="86.302704217571971"/>
    <s v="PLATINO"/>
    <n v="142"/>
    <d v="2026-02-27T15:58:19"/>
  </r>
  <r>
    <n v="16830"/>
    <x v="4"/>
    <n v="51042263"/>
    <n v="78.429374630448734"/>
    <s v="PLATINO"/>
    <n v="502"/>
    <d v="2026-02-27T15:58:19"/>
  </r>
  <r>
    <n v="16831"/>
    <x v="4"/>
    <n v="51055365"/>
    <n v="87.58894231759588"/>
    <s v="PLATINO"/>
    <n v="62"/>
    <d v="2026-02-27T15:58:19"/>
  </r>
  <r>
    <n v="16832"/>
    <x v="4"/>
    <n v="51031385"/>
    <n v="87.856778760097114"/>
    <s v="PLATINO"/>
    <n v="45"/>
    <d v="2026-02-27T15:58:19"/>
  </r>
  <r>
    <n v="16833"/>
    <x v="4"/>
    <n v="51041577"/>
    <n v="87.993537735097448"/>
    <s v="PLATINO"/>
    <n v="37"/>
    <d v="2026-02-27T15:58:19"/>
  </r>
  <r>
    <n v="16834"/>
    <x v="4"/>
    <n v="51018877"/>
    <n v="15.73606952963768"/>
    <s v="BRONCE"/>
    <n v="984"/>
    <d v="2026-02-27T15:58:19"/>
  </r>
  <r>
    <n v="16835"/>
    <x v="4"/>
    <n v="51030303"/>
    <n v="37.916241730618609"/>
    <s v="PLATA"/>
    <n v="850"/>
    <d v="2026-02-27T15:58:19"/>
  </r>
  <r>
    <n v="16836"/>
    <x v="4"/>
    <n v="51030613"/>
    <n v="60.606479312673073"/>
    <s v="ORO"/>
    <n v="774"/>
    <d v="2026-02-27T15:58:19"/>
  </r>
  <r>
    <n v="16837"/>
    <x v="4"/>
    <n v="51033761"/>
    <n v="82.48409615310355"/>
    <s v="PLATINO"/>
    <n v="338"/>
    <d v="2026-02-27T15:58:19"/>
  </r>
  <r>
    <n v="16838"/>
    <x v="4"/>
    <n v="51023170"/>
    <n v="88.480438857098463"/>
    <s v="PLATINO"/>
    <n v="25"/>
    <d v="2026-02-27T15:58:19"/>
  </r>
  <r>
    <n v="16839"/>
    <x v="4"/>
    <n v="51030079"/>
    <n v="74.016822744182861"/>
    <s v="ORO"/>
    <n v="603"/>
    <d v="2026-02-27T15:58:19"/>
  </r>
  <r>
    <n v="16840"/>
    <x v="4"/>
    <n v="51034317"/>
    <n v="87.121924779940187"/>
    <s v="PLATINO"/>
    <n v="92"/>
    <d v="2026-02-27T15:58:19"/>
  </r>
  <r>
    <n v="16841"/>
    <x v="4"/>
    <n v="51012666"/>
    <n v="85.522883975818587"/>
    <s v="PLATINO"/>
    <n v="181"/>
    <d v="2026-02-27T15:58:19"/>
  </r>
  <r>
    <n v="16842"/>
    <x v="4"/>
    <n v="51036247"/>
    <n v="84.045696897485044"/>
    <s v="PLATINO"/>
    <n v="266"/>
    <d v="2026-02-27T15:58:19"/>
  </r>
  <r>
    <n v="16843"/>
    <x v="4"/>
    <n v="51011325"/>
    <n v="28.565260658794958"/>
    <s v="BRONCE"/>
    <n v="879"/>
    <d v="2026-02-27T15:58:19"/>
  </r>
  <r>
    <n v="16844"/>
    <x v="4"/>
    <n v="51004469"/>
    <n v="84.881027059470853"/>
    <s v="PLATINO"/>
    <n v="216"/>
    <d v="2026-02-27T15:58:19"/>
  </r>
  <r>
    <n v="16845"/>
    <x v="4"/>
    <n v="51020251"/>
    <n v="86.42"/>
    <s v="PLATINO"/>
    <n v="131"/>
    <d v="2026-02-27T15:58:19"/>
  </r>
  <r>
    <n v="16846"/>
    <x v="4"/>
    <n v="51016793"/>
    <n v="20"/>
    <s v="BRONCE"/>
    <n v="889"/>
    <d v="2026-02-27T15:58:19"/>
  </r>
  <r>
    <n v="16847"/>
    <x v="4"/>
    <n v="51015401"/>
    <n v="87.894461415006191"/>
    <s v="PLATINO"/>
    <n v="43"/>
    <d v="2026-02-27T15:58:19"/>
  </r>
  <r>
    <n v="16848"/>
    <x v="4"/>
    <n v="51056281"/>
    <n v="87.007198126941489"/>
    <s v="PLATINO"/>
    <n v="102"/>
    <d v="2026-02-27T15:58:19"/>
  </r>
  <r>
    <n v="16849"/>
    <x v="4"/>
    <n v="51055012"/>
    <n v="87.374871921877258"/>
    <s v="PLATINO"/>
    <n v="76"/>
    <d v="2026-02-27T15:58:19"/>
  </r>
  <r>
    <n v="16850"/>
    <x v="4"/>
    <n v="51006615"/>
    <n v="86.385027925867348"/>
    <s v="PLATINO"/>
    <n v="133"/>
    <d v="2026-02-27T15:58:19"/>
  </r>
  <r>
    <n v="16851"/>
    <x v="4"/>
    <n v="51011724"/>
    <n v="85.6"/>
    <s v="PLATINO"/>
    <n v="177"/>
    <d v="2026-02-27T15:58:19"/>
  </r>
  <r>
    <n v="16852"/>
    <x v="4"/>
    <n v="51010469"/>
    <n v="86.88"/>
    <s v="PLATINO"/>
    <n v="109"/>
    <d v="2026-02-27T15:58:19"/>
  </r>
  <r>
    <n v="16853"/>
    <x v="4"/>
    <n v="51056191"/>
    <n v="70.317027989316188"/>
    <s v="ORO"/>
    <n v="639"/>
    <d v="2026-02-27T15:58:19"/>
  </r>
  <r>
    <n v="16854"/>
    <x v="4"/>
    <n v="51023781"/>
    <n v="85.40929865414509"/>
    <s v="PLATINO"/>
    <n v="190"/>
    <d v="2026-02-27T15:58:19"/>
  </r>
  <r>
    <n v="16855"/>
    <x v="4"/>
    <n v="51056221"/>
    <n v="83.517072561907696"/>
    <s v="PLATINO"/>
    <n v="288"/>
    <d v="2026-02-27T15:58:19"/>
  </r>
  <r>
    <n v="16856"/>
    <x v="4"/>
    <n v="51018443"/>
    <n v="87.06"/>
    <s v="PLATINO"/>
    <n v="96"/>
    <d v="2026-02-27T15:58:19"/>
  </r>
  <r>
    <n v="16857"/>
    <x v="4"/>
    <n v="51023757"/>
    <n v="86.627238841966374"/>
    <s v="PLATINO"/>
    <n v="121"/>
    <d v="2026-02-27T15:58:19"/>
  </r>
  <r>
    <n v="16858"/>
    <x v="4"/>
    <n v="51055357"/>
    <n v="86.06"/>
    <s v="PLATINO"/>
    <n v="157"/>
    <d v="2026-02-27T15:58:19"/>
  </r>
  <r>
    <n v="16859"/>
    <x v="4"/>
    <n v="51021576"/>
    <n v="75.10783447803459"/>
    <s v="PLATINO"/>
    <n v="590"/>
    <d v="2026-02-27T15:58:19"/>
  </r>
  <r>
    <n v="16860"/>
    <x v="4"/>
    <n v="51018591"/>
    <n v="65.34"/>
    <s v="ORO"/>
    <n v="681"/>
    <d v="2026-02-27T15:58:19"/>
  </r>
  <r>
    <n v="16861"/>
    <x v="4"/>
    <n v="51023471"/>
    <n v="87.288502459687479"/>
    <s v="PLATINO"/>
    <n v="79"/>
    <d v="2026-02-27T15:58:19"/>
  </r>
  <r>
    <n v="16862"/>
    <x v="4"/>
    <n v="51031393"/>
    <n v="88.420504127059189"/>
    <s v="PLATINO"/>
    <n v="27"/>
    <d v="2026-02-27T15:58:19"/>
  </r>
  <r>
    <n v="16863"/>
    <x v="4"/>
    <n v="51025971"/>
    <n v="84.726828358039441"/>
    <s v="PLATINO"/>
    <n v="224"/>
    <d v="2026-02-27T15:58:19"/>
  </r>
  <r>
    <n v="16864"/>
    <x v="4"/>
    <n v="51020880"/>
    <n v="85.42"/>
    <s v="PLATINO"/>
    <n v="188"/>
    <d v="2026-02-27T15:58:19"/>
  </r>
  <r>
    <n v="16865"/>
    <x v="4"/>
    <n v="51023056"/>
    <n v="87.44"/>
    <s v="PLATINO"/>
    <n v="70"/>
    <d v="2026-02-27T15:58:19"/>
  </r>
  <r>
    <n v="16866"/>
    <x v="4"/>
    <n v="51022688"/>
    <n v="85.363387313202196"/>
    <s v="PLATINO"/>
    <n v="191"/>
    <d v="2026-02-27T15:58:19"/>
  </r>
  <r>
    <n v="16867"/>
    <x v="4"/>
    <n v="51012747"/>
    <n v="42.119146113696971"/>
    <s v="PLATA"/>
    <n v="837"/>
    <d v="2026-02-27T15:58:19"/>
  </r>
  <r>
    <n v="16868"/>
    <x v="4"/>
    <n v="51032900"/>
    <n v="66.626001924398139"/>
    <s v="ORO"/>
    <n v="666"/>
    <d v="2026-02-27T15:58:19"/>
  </r>
  <r>
    <n v="16869"/>
    <x v="4"/>
    <n v="51056434"/>
    <n v="85.863082369417754"/>
    <s v="PLATINO"/>
    <n v="167"/>
    <d v="2026-02-27T15:58:19"/>
  </r>
  <r>
    <n v="16870"/>
    <x v="4"/>
    <n v="51019261"/>
    <n v="15.943449264630051"/>
    <s v="BRONCE"/>
    <n v="982"/>
    <d v="2026-02-27T15:58:19"/>
  </r>
  <r>
    <n v="16871"/>
    <x v="4"/>
    <n v="51018486"/>
    <n v="87.38"/>
    <s v="PLATINO"/>
    <n v="74"/>
    <d v="2026-02-27T15:58:19"/>
  </r>
  <r>
    <n v="16872"/>
    <x v="4"/>
    <n v="51005732"/>
    <n v="70.865433121447126"/>
    <s v="ORO"/>
    <n v="628"/>
    <d v="2026-02-27T15:58:19"/>
  </r>
  <r>
    <n v="16873"/>
    <x v="4"/>
    <n v="51039785"/>
    <n v="87.932180153159266"/>
    <s v="PLATINO"/>
    <n v="41"/>
    <d v="2026-02-27T15:58:19"/>
  </r>
  <r>
    <n v="16874"/>
    <x v="4"/>
    <n v="51025865"/>
    <n v="86.929236824955922"/>
    <s v="PLATINO"/>
    <n v="105"/>
    <d v="2026-02-27T15:58:19"/>
  </r>
  <r>
    <n v="16875"/>
    <x v="4"/>
    <n v="51015657"/>
    <n v="86.28"/>
    <s v="PLATINO"/>
    <n v="144"/>
    <d v="2026-02-27T15:58:19"/>
  </r>
  <r>
    <n v="16876"/>
    <x v="4"/>
    <n v="51001168"/>
    <n v="86.415000000000006"/>
    <s v="PLATINO"/>
    <n v="132"/>
    <d v="2026-02-27T15:58:19"/>
  </r>
  <r>
    <n v="16877"/>
    <x v="4"/>
    <n v="51021380"/>
    <n v="86.243763853404573"/>
    <s v="PLATINO"/>
    <n v="146"/>
    <d v="2026-02-27T15:58:19"/>
  </r>
  <r>
    <n v="16878"/>
    <x v="4"/>
    <n v="51011970"/>
    <n v="85.117275857607453"/>
    <s v="PLATINO"/>
    <n v="201"/>
    <d v="2026-02-27T15:58:19"/>
  </r>
  <r>
    <n v="16879"/>
    <x v="4"/>
    <n v="51036697"/>
    <n v="84.391597808913062"/>
    <s v="PLATINO"/>
    <n v="244"/>
    <d v="2026-02-27T15:58:19"/>
  </r>
  <r>
    <n v="16880"/>
    <x v="4"/>
    <n v="51009061"/>
    <n v="85.039999999999992"/>
    <s v="PLATINO"/>
    <n v="206"/>
    <d v="2026-02-27T15:58:19"/>
  </r>
  <r>
    <n v="16881"/>
    <x v="4"/>
    <n v="51013824"/>
    <n v="86.375021137686105"/>
    <s v="PLATINO"/>
    <n v="134"/>
    <d v="2026-02-27T15:58:19"/>
  </r>
  <r>
    <n v="16882"/>
    <x v="4"/>
    <n v="51009240"/>
    <n v="64.36"/>
    <s v="ORO"/>
    <n v="694"/>
    <d v="2026-02-27T15:58:19"/>
  </r>
  <r>
    <n v="16883"/>
    <x v="4"/>
    <n v="51001061"/>
    <n v="51.811600054545522"/>
    <s v="PLATA"/>
    <n v="810"/>
    <d v="2026-02-27T15:58:19"/>
  </r>
  <r>
    <n v="16884"/>
    <x v="4"/>
    <n v="51018621"/>
    <n v="74.92467836266826"/>
    <s v="ORO"/>
    <n v="592"/>
    <d v="2026-02-27T15:58:19"/>
  </r>
  <r>
    <n v="16885"/>
    <x v="4"/>
    <n v="51011031"/>
    <n v="87.53482946838389"/>
    <s v="PLATINO"/>
    <n v="67"/>
    <d v="2026-02-27T15:58:19"/>
  </r>
  <r>
    <n v="16886"/>
    <x v="4"/>
    <n v="51013239"/>
    <n v="66.239700623499715"/>
    <s v="ORO"/>
    <n v="672"/>
    <d v="2026-02-27T15:58:19"/>
  </r>
  <r>
    <n v="16887"/>
    <x v="4"/>
    <n v="51030281"/>
    <n v="84.504917566359822"/>
    <s v="PLATINO"/>
    <n v="238"/>
    <d v="2026-02-27T15:58:19"/>
  </r>
  <r>
    <n v="16888"/>
    <x v="4"/>
    <n v="51055829"/>
    <n v="83.048208074275379"/>
    <s v="PLATINO"/>
    <n v="307"/>
    <d v="2026-02-27T15:58:19"/>
  </r>
  <r>
    <n v="16889"/>
    <x v="4"/>
    <n v="51023919"/>
    <n v="73.674564800827255"/>
    <s v="ORO"/>
    <n v="606"/>
    <d v="2026-02-27T15:58:19"/>
  </r>
  <r>
    <n v="16890"/>
    <x v="4"/>
    <n v="51031610"/>
    <n v="78.153996854340704"/>
    <s v="PLATINO"/>
    <n v="512"/>
    <d v="2026-02-27T15:58:19"/>
  </r>
  <r>
    <n v="16891"/>
    <x v="4"/>
    <n v="51024141"/>
    <n v="88.229848572313898"/>
    <s v="PLATINO"/>
    <n v="32"/>
    <d v="2026-02-27T15:58:19"/>
  </r>
  <r>
    <n v="16892"/>
    <x v="4"/>
    <n v="51023137"/>
    <n v="84.586163896523999"/>
    <s v="PLATINO"/>
    <n v="231"/>
    <d v="2026-02-27T15:58:19"/>
  </r>
  <r>
    <n v="16893"/>
    <x v="4"/>
    <n v="51026578"/>
    <n v="86.337322097990565"/>
    <s v="PLATINO"/>
    <n v="139"/>
    <d v="2026-02-27T15:58:19"/>
  </r>
  <r>
    <n v="16894"/>
    <x v="4"/>
    <n v="51017986"/>
    <n v="85.4674005522089"/>
    <s v="PLATINO"/>
    <n v="185"/>
    <d v="2026-02-27T15:58:19"/>
  </r>
  <r>
    <n v="16895"/>
    <x v="4"/>
    <n v="51055373"/>
    <n v="86.420299316484929"/>
    <s v="PLATINO"/>
    <n v="130"/>
    <d v="2026-02-27T15:58:19"/>
  </r>
  <r>
    <n v="16896"/>
    <x v="4"/>
    <n v="51013794"/>
    <n v="36.158621456490827"/>
    <s v="PLATA"/>
    <n v="855"/>
    <d v="2026-02-27T15:58:19"/>
  </r>
  <r>
    <n v="16897"/>
    <x v="4"/>
    <n v="51033141"/>
    <n v="41.886335079454753"/>
    <s v="PLATA"/>
    <n v="838"/>
    <d v="2026-02-27T15:58:19"/>
  </r>
  <r>
    <n v="16898"/>
    <x v="4"/>
    <n v="51056612"/>
    <n v="41.226950552385922"/>
    <s v="PLATA"/>
    <n v="841"/>
    <d v="2026-02-27T15:58:19"/>
  </r>
  <r>
    <n v="16899"/>
    <x v="4"/>
    <n v="51032071"/>
    <n v="87.274951361540261"/>
    <s v="PLATINO"/>
    <n v="82"/>
    <d v="2026-02-27T15:58:19"/>
  </r>
  <r>
    <n v="16900"/>
    <x v="4"/>
    <n v="51031121"/>
    <n v="86.701143501641383"/>
    <s v="PLATINO"/>
    <n v="120"/>
    <d v="2026-02-27T15:58:19"/>
  </r>
  <r>
    <n v="16901"/>
    <x v="4"/>
    <n v="51056981"/>
    <n v="87.14"/>
    <s v="PLATINO"/>
    <n v="91"/>
    <d v="2026-02-27T15:58:19"/>
  </r>
  <r>
    <n v="16902"/>
    <x v="4"/>
    <n v="51022424"/>
    <n v="88.838000000000008"/>
    <s v="PLATINO"/>
    <n v="17"/>
    <d v="2026-02-27T15:58:19"/>
  </r>
  <r>
    <n v="16903"/>
    <x v="4"/>
    <n v="51025920"/>
    <n v="84.266849511471449"/>
    <s v="PLATINO"/>
    <n v="253"/>
    <d v="2026-02-27T15:58:19"/>
  </r>
  <r>
    <n v="16904"/>
    <x v="4"/>
    <n v="51056388"/>
    <n v="87.391570438351877"/>
    <s v="PLATINO"/>
    <n v="72"/>
    <d v="2026-02-27T15:58:19"/>
  </r>
  <r>
    <n v="16905"/>
    <x v="4"/>
    <n v="51033485"/>
    <n v="80.078000000000003"/>
    <s v="PLATINO"/>
    <n v="440"/>
    <d v="2026-02-27T15:58:19"/>
  </r>
  <r>
    <n v="16906"/>
    <x v="4"/>
    <n v="51041615"/>
    <n v="84.994754063762556"/>
    <s v="PLATINO"/>
    <n v="210"/>
    <d v="2026-02-27T15:58:19"/>
  </r>
  <r>
    <n v="16907"/>
    <x v="4"/>
    <n v="51017641"/>
    <n v="83.876005238716161"/>
    <s v="PLATINO"/>
    <n v="275"/>
    <d v="2026-02-27T15:58:19"/>
  </r>
  <r>
    <n v="16908"/>
    <x v="4"/>
    <n v="51005741"/>
    <n v="73.633028720873924"/>
    <s v="ORO"/>
    <n v="607"/>
    <d v="2026-02-27T15:58:19"/>
  </r>
  <r>
    <n v="16909"/>
    <x v="4"/>
    <n v="51011996"/>
    <n v="86.22"/>
    <s v="PLATINO"/>
    <n v="148"/>
    <d v="2026-02-27T15:58:19"/>
  </r>
  <r>
    <n v="16910"/>
    <x v="4"/>
    <n v="51025440"/>
    <n v="83.32"/>
    <s v="PLATINO"/>
    <n v="295"/>
    <d v="2026-02-27T15:58:19"/>
  </r>
  <r>
    <n v="16911"/>
    <x v="4"/>
    <n v="51055993"/>
    <n v="82.140878619755014"/>
    <s v="PLATINO"/>
    <n v="357"/>
    <d v="2026-02-27T15:58:19"/>
  </r>
  <r>
    <n v="16912"/>
    <x v="4"/>
    <n v="51021231"/>
    <n v="77.916869777845719"/>
    <s v="PLATINO"/>
    <n v="525"/>
    <d v="2026-02-27T15:58:19"/>
  </r>
  <r>
    <n v="16913"/>
    <x v="4"/>
    <n v="51024125"/>
    <n v="50.199636342499979"/>
    <s v="PLATA"/>
    <n v="816"/>
    <d v="2026-02-27T15:58:19"/>
  </r>
  <r>
    <n v="16914"/>
    <x v="4"/>
    <n v="51014359"/>
    <n v="86.606861018454282"/>
    <s v="PLATINO"/>
    <n v="122"/>
    <d v="2026-02-27T15:58:19"/>
  </r>
  <r>
    <n v="16915"/>
    <x v="4"/>
    <n v="51024681"/>
    <n v="83.66"/>
    <s v="PLATINO"/>
    <n v="282"/>
    <d v="2026-02-27T15:58:19"/>
  </r>
  <r>
    <n v="16916"/>
    <x v="4"/>
    <n v="51024001"/>
    <n v="44.834458576713963"/>
    <s v="PLATA"/>
    <n v="831"/>
    <d v="2026-02-27T15:58:19"/>
  </r>
  <r>
    <n v="16917"/>
    <x v="4"/>
    <n v="51023480"/>
    <n v="39.78"/>
    <s v="PLATA"/>
    <n v="843"/>
    <d v="2026-02-27T15:58:19"/>
  </r>
  <r>
    <n v="16918"/>
    <x v="4"/>
    <n v="51020405"/>
    <n v="19.989999999999998"/>
    <s v="BRONCE"/>
    <n v="917"/>
    <d v="2026-02-27T15:58:19"/>
  </r>
  <r>
    <n v="16919"/>
    <x v="4"/>
    <n v="51044070"/>
    <n v="17.968502629919868"/>
    <s v="BRONCE"/>
    <n v="961"/>
    <d v="2026-02-27T15:58:19"/>
  </r>
  <r>
    <n v="16920"/>
    <x v="4"/>
    <n v="51032110"/>
    <n v="84.513475545053964"/>
    <s v="PLATINO"/>
    <n v="237"/>
    <d v="2026-02-27T15:58:19"/>
  </r>
  <r>
    <n v="16921"/>
    <x v="4"/>
    <n v="51036123"/>
    <n v="83.84"/>
    <s v="PLATINO"/>
    <n v="277"/>
    <d v="2026-02-27T15:58:19"/>
  </r>
  <r>
    <n v="16922"/>
    <x v="4"/>
    <n v="51056078"/>
    <n v="84.77350275689858"/>
    <s v="PLATINO"/>
    <n v="221"/>
    <d v="2026-02-27T15:58:19"/>
  </r>
  <r>
    <n v="16923"/>
    <x v="4"/>
    <n v="51012445"/>
    <n v="86.598178496246888"/>
    <s v="PLATINO"/>
    <n v="125"/>
    <d v="2026-02-27T15:58:19"/>
  </r>
  <r>
    <n v="16924"/>
    <x v="4"/>
    <n v="51019661"/>
    <n v="86.121183009856935"/>
    <s v="PLATINO"/>
    <n v="153"/>
    <d v="2026-02-27T15:58:19"/>
  </r>
  <r>
    <n v="16925"/>
    <x v="4"/>
    <n v="51021894"/>
    <n v="65.852471498223551"/>
    <s v="ORO"/>
    <n v="678"/>
    <d v="2026-02-27T15:58:19"/>
  </r>
  <r>
    <n v="16926"/>
    <x v="4"/>
    <n v="51018575"/>
    <n v="86.337964588878691"/>
    <s v="PLATINO"/>
    <n v="138"/>
    <d v="2026-02-27T15:58:19"/>
  </r>
  <r>
    <n v="16927"/>
    <x v="4"/>
    <n v="51031652"/>
    <n v="84.58"/>
    <s v="PLATINO"/>
    <n v="233"/>
    <d v="2026-02-27T15:58:19"/>
  </r>
  <r>
    <n v="16928"/>
    <x v="4"/>
    <n v="51040627"/>
    <n v="86.856751961461796"/>
    <s v="PLATINO"/>
    <n v="111"/>
    <d v="2026-02-27T15:58:19"/>
  </r>
  <r>
    <n v="16929"/>
    <x v="4"/>
    <n v="51031253"/>
    <n v="68.447061684724105"/>
    <s v="ORO"/>
    <n v="651"/>
    <d v="2026-02-27T15:58:19"/>
  </r>
  <r>
    <n v="16930"/>
    <x v="4"/>
    <n v="51034350"/>
    <n v="86.111774322532284"/>
    <s v="PLATINO"/>
    <n v="154"/>
    <d v="2026-02-27T15:58:19"/>
  </r>
  <r>
    <n v="16931"/>
    <x v="4"/>
    <n v="51022220"/>
    <n v="16.907577846594261"/>
    <s v="BRONCE"/>
    <n v="978"/>
    <d v="2026-02-27T15:58:19"/>
  </r>
  <r>
    <n v="16932"/>
    <x v="4"/>
    <n v="51019512"/>
    <n v="77.556677231935552"/>
    <s v="PLATINO"/>
    <n v="538"/>
    <d v="2026-02-27T15:58:19"/>
  </r>
  <r>
    <n v="16933"/>
    <x v="4"/>
    <n v="51014391"/>
    <n v="75.954267101608195"/>
    <s v="PLATINO"/>
    <n v="572"/>
    <d v="2026-02-27T15:58:19"/>
  </r>
  <r>
    <n v="16934"/>
    <x v="4"/>
    <n v="51042689"/>
    <n v="84.624035017299832"/>
    <s v="PLATINO"/>
    <n v="228"/>
    <d v="2026-02-27T15:58:19"/>
  </r>
  <r>
    <n v="16935"/>
    <x v="4"/>
    <n v="51013867"/>
    <n v="86.904646730407862"/>
    <s v="PLATINO"/>
    <n v="107"/>
    <d v="2026-02-27T15:58:19"/>
  </r>
  <r>
    <n v="16936"/>
    <x v="4"/>
    <n v="51021258"/>
    <n v="85.751123073392378"/>
    <s v="PLATINO"/>
    <n v="172"/>
    <d v="2026-02-27T15:58:19"/>
  </r>
  <r>
    <n v="16937"/>
    <x v="4"/>
    <n v="51024591"/>
    <n v="65.92"/>
    <s v="ORO"/>
    <n v="676"/>
    <d v="2026-02-27T15:58:19"/>
  </r>
  <r>
    <n v="16938"/>
    <x v="4"/>
    <n v="51021665"/>
    <n v="64.498000000000005"/>
    <s v="ORO"/>
    <n v="692"/>
    <d v="2026-02-27T15:58:19"/>
  </r>
  <r>
    <n v="16939"/>
    <x v="4"/>
    <n v="51030273"/>
    <n v="85.490003877531379"/>
    <s v="PLATINO"/>
    <n v="183"/>
    <d v="2026-02-27T15:58:19"/>
  </r>
  <r>
    <n v="16940"/>
    <x v="4"/>
    <n v="51024559"/>
    <n v="83.423951792364775"/>
    <s v="PLATINO"/>
    <n v="290"/>
    <d v="2026-02-27T15:58:19"/>
  </r>
  <r>
    <n v="16941"/>
    <x v="4"/>
    <n v="51007565"/>
    <n v="86.315423766509369"/>
    <s v="PLATINO"/>
    <n v="141"/>
    <d v="2026-02-27T15:58:19"/>
  </r>
  <r>
    <n v="16942"/>
    <x v="4"/>
    <n v="51032136"/>
    <n v="55.501640454353073"/>
    <s v="ORO"/>
    <n v="807"/>
    <d v="2026-02-27T15:58:19"/>
  </r>
  <r>
    <n v="16943"/>
    <x v="4"/>
    <n v="51057066"/>
    <n v="83.773786745539041"/>
    <s v="PLATINO"/>
    <n v="278"/>
    <d v="2026-02-27T15:58:19"/>
  </r>
  <r>
    <n v="16944"/>
    <x v="4"/>
    <n v="51021215"/>
    <n v="20"/>
    <s v="BRONCE"/>
    <n v="889"/>
    <d v="2026-02-27T15:58:19"/>
  </r>
  <r>
    <n v="16945"/>
    <x v="4"/>
    <n v="51040937"/>
    <n v="82.62"/>
    <s v="PLATINO"/>
    <n v="334"/>
    <d v="2026-02-27T15:58:19"/>
  </r>
  <r>
    <n v="16946"/>
    <x v="4"/>
    <n v="51014430"/>
    <n v="84.634653004674405"/>
    <s v="PLATINO"/>
    <n v="227"/>
    <d v="2026-02-27T15:58:19"/>
  </r>
  <r>
    <n v="16947"/>
    <x v="4"/>
    <n v="51055853"/>
    <n v="18.965601251569218"/>
    <s v="BRONCE"/>
    <n v="941"/>
    <d v="2026-02-27T15:58:19"/>
  </r>
  <r>
    <n v="16948"/>
    <x v="4"/>
    <n v="51056515"/>
    <n v="78.025733050606917"/>
    <s v="PLATINO"/>
    <n v="518"/>
    <d v="2026-02-27T15:58:19"/>
  </r>
  <r>
    <n v="16949"/>
    <x v="4"/>
    <n v="51020952"/>
    <n v="87.387788952581246"/>
    <s v="PLATINO"/>
    <n v="73"/>
    <d v="2026-02-27T15:58:19"/>
  </r>
  <r>
    <n v="16950"/>
    <x v="4"/>
    <n v="51022611"/>
    <n v="83.914577126796871"/>
    <s v="PLATINO"/>
    <n v="273"/>
    <d v="2026-02-27T15:58:19"/>
  </r>
  <r>
    <n v="16951"/>
    <x v="4"/>
    <n v="51056761"/>
    <n v="87.671067730207128"/>
    <s v="PLATINO"/>
    <n v="57"/>
    <d v="2026-02-27T15:58:19"/>
  </r>
  <r>
    <n v="16952"/>
    <x v="4"/>
    <n v="51031741"/>
    <n v="85.76663495865364"/>
    <s v="PLATINO"/>
    <n v="171"/>
    <d v="2026-02-27T15:58:19"/>
  </r>
  <r>
    <n v="16953"/>
    <x v="4"/>
    <n v="51056469"/>
    <n v="85.907898422307568"/>
    <s v="PLATINO"/>
    <n v="164"/>
    <d v="2026-02-27T15:58:19"/>
  </r>
  <r>
    <n v="16954"/>
    <x v="4"/>
    <n v="51031130"/>
    <n v="87.217169902594563"/>
    <s v="PLATINO"/>
    <n v="86"/>
    <d v="2026-02-27T15:58:19"/>
  </r>
  <r>
    <n v="16955"/>
    <x v="4"/>
    <n v="51014855"/>
    <n v="79.542563811656123"/>
    <s v="PLATINO"/>
    <n v="461"/>
    <d v="2026-02-27T15:58:19"/>
  </r>
  <r>
    <n v="16956"/>
    <x v="4"/>
    <n v="51055055"/>
    <n v="86.1368264754161"/>
    <s v="PLATINO"/>
    <n v="152"/>
    <d v="2026-02-27T15:58:19"/>
  </r>
  <r>
    <n v="16957"/>
    <x v="4"/>
    <n v="51008634"/>
    <n v="80.412612243653186"/>
    <s v="PLATINO"/>
    <n v="431"/>
    <d v="2026-02-27T15:58:19"/>
  </r>
  <r>
    <n v="16958"/>
    <x v="4"/>
    <n v="51021835"/>
    <n v="88.137117533855857"/>
    <s v="PLATINO"/>
    <n v="34"/>
    <d v="2026-02-27T15:58:19"/>
  </r>
  <r>
    <n v="16959"/>
    <x v="4"/>
    <n v="51030320"/>
    <n v="84.02"/>
    <s v="PLATINO"/>
    <n v="267"/>
    <d v="2026-02-27T15:58:19"/>
  </r>
  <r>
    <n v="16960"/>
    <x v="4"/>
    <n v="51033701"/>
    <n v="86.781583054372334"/>
    <s v="PLATINO"/>
    <n v="115"/>
    <d v="2026-02-27T15:58:19"/>
  </r>
  <r>
    <n v="16961"/>
    <x v="4"/>
    <n v="51013280"/>
    <n v="86.847316026686869"/>
    <s v="PLATINO"/>
    <n v="112"/>
    <d v="2026-02-27T15:58:19"/>
  </r>
  <r>
    <n v="16962"/>
    <x v="4"/>
    <n v="51022785"/>
    <n v="31.835991846826971"/>
    <s v="PLATA"/>
    <n v="868"/>
    <d v="2026-02-27T15:58:19"/>
  </r>
  <r>
    <n v="16963"/>
    <x v="4"/>
    <n v="51036310"/>
    <n v="18.856084361318761"/>
    <s v="BRONCE"/>
    <n v="945"/>
    <d v="2026-02-27T15:58:19"/>
  </r>
  <r>
    <n v="16964"/>
    <x v="4"/>
    <n v="51010710"/>
    <n v="19.957999999999998"/>
    <s v="BRONCE"/>
    <n v="926"/>
    <d v="2026-02-27T15:58:19"/>
  </r>
  <r>
    <n v="16965"/>
    <x v="4"/>
    <n v="51034376"/>
    <n v="86.910992331907607"/>
    <s v="PLATINO"/>
    <n v="106"/>
    <d v="2026-02-27T15:58:19"/>
  </r>
  <r>
    <n v="16966"/>
    <x v="4"/>
    <n v="51023561"/>
    <n v="85.02"/>
    <s v="PLATINO"/>
    <n v="208"/>
    <d v="2026-02-27T15:58:19"/>
  </r>
  <r>
    <n v="16967"/>
    <x v="4"/>
    <n v="51025253"/>
    <n v="19.934121133498749"/>
    <s v="BRONCE"/>
    <n v="927"/>
    <d v="2026-02-27T15:58:19"/>
  </r>
  <r>
    <n v="16968"/>
    <x v="4"/>
    <n v="51030176"/>
    <n v="63.094092842041903"/>
    <s v="ORO"/>
    <n v="713"/>
    <d v="2026-02-27T15:58:19"/>
  </r>
  <r>
    <n v="16969"/>
    <x v="4"/>
    <n v="51024575"/>
    <n v="84.711781653209016"/>
    <s v="PLATINO"/>
    <n v="225"/>
    <d v="2026-02-27T15:58:19"/>
  </r>
  <r>
    <n v="16970"/>
    <x v="4"/>
    <n v="51005333"/>
    <n v="63.891633632274448"/>
    <s v="ORO"/>
    <n v="698"/>
    <d v="2026-02-27T15:58:19"/>
  </r>
  <r>
    <n v="16971"/>
    <x v="4"/>
    <n v="51030931"/>
    <n v="86.49"/>
    <s v="PLATINO"/>
    <n v="128"/>
    <d v="2026-02-27T15:58:19"/>
  </r>
  <r>
    <n v="16972"/>
    <x v="4"/>
    <n v="51056027"/>
    <n v="84.178000000000011"/>
    <s v="PLATINO"/>
    <n v="260"/>
    <d v="2026-02-27T15:58:19"/>
  </r>
  <r>
    <n v="16973"/>
    <x v="4"/>
    <n v="51054911"/>
    <n v="83.071586607230742"/>
    <s v="PLATINO"/>
    <n v="305"/>
    <d v="2026-02-27T15:58:19"/>
  </r>
  <r>
    <n v="16974"/>
    <x v="4"/>
    <n v="51030605"/>
    <n v="63.571847419555453"/>
    <s v="ORO"/>
    <n v="705"/>
    <d v="2026-02-27T15:58:19"/>
  </r>
  <r>
    <n v="16975"/>
    <x v="4"/>
    <n v="51044487"/>
    <n v="85.868413838436695"/>
    <s v="PLATINO"/>
    <n v="166"/>
    <d v="2026-02-27T15:58:19"/>
  </r>
  <r>
    <n v="16976"/>
    <x v="4"/>
    <n v="51035674"/>
    <n v="84.833127826507948"/>
    <s v="PLATINO"/>
    <n v="217"/>
    <d v="2026-02-27T15:58:19"/>
  </r>
  <r>
    <n v="16977"/>
    <x v="4"/>
    <n v="51055128"/>
    <n v="86.6"/>
    <s v="PLATINO"/>
    <n v="124"/>
    <d v="2026-02-27T15:58:19"/>
  </r>
  <r>
    <n v="16978"/>
    <x v="4"/>
    <n v="51011546"/>
    <n v="87.546115284450437"/>
    <s v="PLATINO"/>
    <n v="64"/>
    <d v="2026-02-27T15:58:19"/>
  </r>
  <r>
    <n v="16979"/>
    <x v="4"/>
    <n v="51031482"/>
    <n v="84.75579008945418"/>
    <s v="PLATINO"/>
    <n v="222"/>
    <d v="2026-02-27T15:58:19"/>
  </r>
  <r>
    <n v="16980"/>
    <x v="4"/>
    <n v="51030109"/>
    <n v="66.553985520996051"/>
    <s v="ORO"/>
    <n v="667"/>
    <d v="2026-02-27T15:58:19"/>
  </r>
  <r>
    <n v="16981"/>
    <x v="4"/>
    <n v="51022009"/>
    <n v="86.34"/>
    <s v="PLATINO"/>
    <n v="137"/>
    <d v="2026-02-27T15:58:19"/>
  </r>
  <r>
    <n v="16982"/>
    <x v="4"/>
    <n v="51015932"/>
    <n v="86.025000000000006"/>
    <s v="PLATINO"/>
    <n v="158"/>
    <d v="2026-02-27T15:58:19"/>
  </r>
  <r>
    <n v="16983"/>
    <x v="4"/>
    <n v="51030028"/>
    <n v="85.807835764391456"/>
    <s v="PLATINO"/>
    <n v="169"/>
    <d v="2026-02-27T15:58:19"/>
  </r>
  <r>
    <n v="16984"/>
    <x v="4"/>
    <n v="51030257"/>
    <n v="83.54842648662239"/>
    <s v="PLATINO"/>
    <n v="285"/>
    <d v="2026-02-27T15:58:19"/>
  </r>
  <r>
    <n v="16985"/>
    <x v="4"/>
    <n v="51055489"/>
    <n v="82.471429817909097"/>
    <s v="PLATINO"/>
    <n v="340"/>
    <d v="2026-02-27T15:58:19"/>
  </r>
  <r>
    <n v="16986"/>
    <x v="4"/>
    <n v="51019423"/>
    <n v="86.421602506165257"/>
    <s v="PLATINO"/>
    <n v="129"/>
    <d v="2026-02-27T15:58:19"/>
  </r>
  <r>
    <n v="16987"/>
    <x v="4"/>
    <n v="51000811"/>
    <n v="70.844502308582918"/>
    <s v="ORO"/>
    <n v="630"/>
    <d v="2026-02-27T15:58:19"/>
  </r>
  <r>
    <n v="16988"/>
    <x v="4"/>
    <n v="51057040"/>
    <n v="86.844999999999999"/>
    <s v="PLATINO"/>
    <n v="113"/>
    <d v="2026-02-27T15:58:19"/>
  </r>
  <r>
    <n v="16989"/>
    <x v="4"/>
    <n v="51055101"/>
    <n v="20"/>
    <s v="BRONCE"/>
    <n v="889"/>
    <d v="2026-02-27T15:58:19"/>
  </r>
  <r>
    <n v="16990"/>
    <x v="4"/>
    <n v="51016386"/>
    <n v="64.886685223717677"/>
    <s v="ORO"/>
    <n v="688"/>
    <d v="2026-02-27T15:58:19"/>
  </r>
  <r>
    <n v="16991"/>
    <x v="4"/>
    <n v="51003594"/>
    <n v="85.123955407686182"/>
    <s v="PLATINO"/>
    <n v="200"/>
    <d v="2026-02-27T15:58:19"/>
  </r>
  <r>
    <n v="16992"/>
    <x v="4"/>
    <n v="51030923"/>
    <n v="73.102321254424595"/>
    <s v="ORO"/>
    <n v="613"/>
    <d v="2026-02-27T15:58:19"/>
  </r>
  <r>
    <n v="16993"/>
    <x v="4"/>
    <n v="51043197"/>
    <n v="63.59696678723283"/>
    <s v="ORO"/>
    <n v="704"/>
    <d v="2026-02-27T15:58:19"/>
  </r>
  <r>
    <n v="16994"/>
    <x v="4"/>
    <n v="51022823"/>
    <n v="46.518849627581353"/>
    <s v="PLATA"/>
    <n v="827"/>
    <d v="2026-02-27T15:58:19"/>
  </r>
  <r>
    <n v="16995"/>
    <x v="4"/>
    <n v="51056060"/>
    <n v="82.66"/>
    <s v="PLATINO"/>
    <n v="333"/>
    <d v="2026-02-27T15:58:19"/>
  </r>
  <r>
    <n v="16996"/>
    <x v="4"/>
    <n v="51024419"/>
    <n v="85.158000000000001"/>
    <s v="PLATINO"/>
    <n v="197"/>
    <d v="2026-02-27T15:58:19"/>
  </r>
  <r>
    <n v="16997"/>
    <x v="4"/>
    <n v="51025326"/>
    <n v="78.921937214288164"/>
    <s v="PLATINO"/>
    <n v="490"/>
    <d v="2026-02-27T15:58:19"/>
  </r>
  <r>
    <n v="16998"/>
    <x v="4"/>
    <n v="51020014"/>
    <n v="85.934604715735688"/>
    <s v="PLATINO"/>
    <n v="161"/>
    <d v="2026-02-27T15:58:19"/>
  </r>
  <r>
    <n v="16999"/>
    <x v="4"/>
    <n v="51055951"/>
    <n v="65.130280108744202"/>
    <s v="ORO"/>
    <n v="685"/>
    <d v="2026-02-27T15:58:19"/>
  </r>
  <r>
    <n v="17000"/>
    <x v="4"/>
    <n v="51016882"/>
    <n v="79.8"/>
    <s v="PLATINO"/>
    <n v="451"/>
    <d v="2026-02-27T15:58:19"/>
  </r>
  <r>
    <n v="17001"/>
    <x v="4"/>
    <n v="51043405"/>
    <n v="82.31966859661776"/>
    <s v="PLATINO"/>
    <n v="353"/>
    <d v="2026-02-27T15:58:19"/>
  </r>
  <r>
    <n v="17002"/>
    <x v="4"/>
    <n v="51008987"/>
    <n v="86.712760538854525"/>
    <s v="PLATINO"/>
    <n v="119"/>
    <d v="2026-02-27T15:58:19"/>
  </r>
  <r>
    <n v="17003"/>
    <x v="4"/>
    <n v="51021088"/>
    <n v="84.100436708398021"/>
    <s v="PLATINO"/>
    <n v="262"/>
    <d v="2026-02-27T15:58:19"/>
  </r>
  <r>
    <n v="17004"/>
    <x v="4"/>
    <n v="51001702"/>
    <n v="87.28"/>
    <s v="PLATINO"/>
    <n v="80"/>
    <d v="2026-02-27T15:58:19"/>
  </r>
  <r>
    <n v="17005"/>
    <x v="4"/>
    <n v="51003730"/>
    <n v="84.06"/>
    <s v="PLATINO"/>
    <n v="264"/>
    <d v="2026-02-27T15:58:19"/>
  </r>
  <r>
    <n v="17006"/>
    <x v="4"/>
    <n v="51012348"/>
    <n v="72.897195630452714"/>
    <s v="ORO"/>
    <n v="615"/>
    <d v="2026-02-27T15:58:19"/>
  </r>
  <r>
    <n v="17007"/>
    <x v="4"/>
    <n v="51031563"/>
    <n v="83.423310353324325"/>
    <s v="PLATINO"/>
    <n v="291"/>
    <d v="2026-02-27T15:58:19"/>
  </r>
  <r>
    <n v="17008"/>
    <x v="4"/>
    <n v="51055080"/>
    <n v="86.353424155740797"/>
    <s v="PLATINO"/>
    <n v="136"/>
    <d v="2026-02-27T15:58:19"/>
  </r>
  <r>
    <n v="17009"/>
    <x v="4"/>
    <n v="51018672"/>
    <n v="79.565999144160756"/>
    <s v="PLATINO"/>
    <n v="459"/>
    <d v="2026-02-27T15:58:19"/>
  </r>
  <r>
    <n v="17010"/>
    <x v="4"/>
    <n v="51019130"/>
    <n v="81.935469692840059"/>
    <s v="PLATINO"/>
    <n v="369"/>
    <d v="2026-02-27T15:58:19"/>
  </r>
  <r>
    <n v="17011"/>
    <x v="4"/>
    <n v="51036255"/>
    <n v="63.399007244219632"/>
    <s v="ORO"/>
    <n v="708"/>
    <d v="2026-02-27T15:58:19"/>
  </r>
  <r>
    <n v="17012"/>
    <x v="4"/>
    <n v="51056809"/>
    <n v="34.254357924778802"/>
    <s v="PLATA"/>
    <n v="860"/>
    <d v="2026-02-27T15:58:19"/>
  </r>
  <r>
    <n v="17013"/>
    <x v="4"/>
    <n v="51018699"/>
    <n v="82.9"/>
    <s v="PLATINO"/>
    <n v="317"/>
    <d v="2026-02-27T15:58:19"/>
  </r>
  <r>
    <n v="17014"/>
    <x v="4"/>
    <n v="51010019"/>
    <n v="84.29124110898853"/>
    <s v="PLATINO"/>
    <n v="252"/>
    <d v="2026-02-27T15:58:19"/>
  </r>
  <r>
    <n v="17015"/>
    <x v="4"/>
    <n v="51010647"/>
    <n v="78.161129450324935"/>
    <s v="PLATINO"/>
    <n v="510"/>
    <d v="2026-02-27T15:58:19"/>
  </r>
  <r>
    <n v="17016"/>
    <x v="4"/>
    <n v="51054881"/>
    <n v="84.573725384981174"/>
    <s v="PLATINO"/>
    <n v="234"/>
    <d v="2026-02-27T15:58:19"/>
  </r>
  <r>
    <n v="17017"/>
    <x v="4"/>
    <n v="51019091"/>
    <n v="62.355357120248947"/>
    <s v="ORO"/>
    <n v="731"/>
    <d v="2026-02-27T15:58:19"/>
  </r>
  <r>
    <n v="17018"/>
    <x v="4"/>
    <n v="51018931"/>
    <n v="82.7"/>
    <s v="PLATINO"/>
    <n v="326"/>
    <d v="2026-02-27T15:58:19"/>
  </r>
  <r>
    <n v="17019"/>
    <x v="4"/>
    <n v="51057015"/>
    <n v="82.697501497432313"/>
    <s v="PLATINO"/>
    <n v="328"/>
    <d v="2026-02-27T15:58:19"/>
  </r>
  <r>
    <n v="17020"/>
    <x v="4"/>
    <n v="51023421"/>
    <n v="85"/>
    <s v="PLATINO"/>
    <n v="209"/>
    <d v="2026-02-27T15:58:19"/>
  </r>
  <r>
    <n v="17021"/>
    <x v="4"/>
    <n v="51012305"/>
    <n v="61.571460456283752"/>
    <s v="ORO"/>
    <n v="753"/>
    <d v="2026-02-27T15:58:19"/>
  </r>
  <r>
    <n v="17022"/>
    <x v="4"/>
    <n v="51014219"/>
    <n v="20"/>
    <s v="BRONCE"/>
    <n v="889"/>
    <d v="2026-02-27T15:58:19"/>
  </r>
  <r>
    <n v="17023"/>
    <x v="4"/>
    <n v="51030753"/>
    <n v="86.16"/>
    <s v="PLATINO"/>
    <n v="149"/>
    <d v="2026-02-27T15:58:19"/>
  </r>
  <r>
    <n v="17024"/>
    <x v="4"/>
    <n v="51042336"/>
    <n v="86.516217430503303"/>
    <s v="PLATINO"/>
    <n v="127"/>
    <d v="2026-02-27T15:58:19"/>
  </r>
  <r>
    <n v="17025"/>
    <x v="4"/>
    <n v="51023790"/>
    <n v="84.583794851955957"/>
    <s v="PLATINO"/>
    <n v="232"/>
    <d v="2026-02-27T15:58:19"/>
  </r>
  <r>
    <n v="17026"/>
    <x v="4"/>
    <n v="51022378"/>
    <n v="17.98230458720024"/>
    <s v="BRONCE"/>
    <n v="960"/>
    <d v="2026-02-27T15:58:19"/>
  </r>
  <r>
    <n v="17027"/>
    <x v="4"/>
    <n v="51052072"/>
    <n v="63.754389983070553"/>
    <s v="ORO"/>
    <n v="702"/>
    <d v="2026-02-27T15:58:19"/>
  </r>
  <r>
    <n v="17028"/>
    <x v="4"/>
    <n v="51031946"/>
    <n v="82.396622439112988"/>
    <s v="PLATINO"/>
    <n v="344"/>
    <d v="2026-02-27T15:58:19"/>
  </r>
  <r>
    <n v="17029"/>
    <x v="4"/>
    <n v="51010752"/>
    <n v="70.845588605495919"/>
    <s v="ORO"/>
    <n v="629"/>
    <d v="2026-02-27T15:58:19"/>
  </r>
  <r>
    <n v="17030"/>
    <x v="4"/>
    <n v="51055594"/>
    <n v="82.84"/>
    <s v="PLATINO"/>
    <n v="319"/>
    <d v="2026-02-27T15:58:19"/>
  </r>
  <r>
    <n v="17031"/>
    <x v="4"/>
    <n v="51041585"/>
    <n v="86.834181615555892"/>
    <s v="PLATINO"/>
    <n v="114"/>
    <d v="2026-02-27T15:58:19"/>
  </r>
  <r>
    <n v="17032"/>
    <x v="4"/>
    <n v="51017455"/>
    <n v="84.38806460321976"/>
    <s v="PLATINO"/>
    <n v="245"/>
    <d v="2026-02-27T15:58:19"/>
  </r>
  <r>
    <n v="17033"/>
    <x v="4"/>
    <n v="51033345"/>
    <n v="62.676506786530183"/>
    <s v="ORO"/>
    <n v="722"/>
    <d v="2026-02-27T15:58:19"/>
  </r>
  <r>
    <n v="17034"/>
    <x v="4"/>
    <n v="51012399"/>
    <n v="63.066079783689489"/>
    <s v="ORO"/>
    <n v="714"/>
    <d v="2026-02-27T15:58:19"/>
  </r>
  <r>
    <n v="17035"/>
    <x v="4"/>
    <n v="51034236"/>
    <n v="84.32"/>
    <s v="PLATINO"/>
    <n v="250"/>
    <d v="2026-02-27T15:58:19"/>
  </r>
  <r>
    <n v="17036"/>
    <x v="4"/>
    <n v="51012941"/>
    <n v="86.76311475698256"/>
    <s v="PLATINO"/>
    <n v="116"/>
    <d v="2026-02-27T15:58:19"/>
  </r>
  <r>
    <n v="17037"/>
    <x v="4"/>
    <n v="51011694"/>
    <n v="70.987659113030404"/>
    <s v="ORO"/>
    <n v="627"/>
    <d v="2026-02-27T15:58:19"/>
  </r>
  <r>
    <n v="17038"/>
    <x v="4"/>
    <n v="51020197"/>
    <n v="84.561218116815979"/>
    <s v="PLATINO"/>
    <n v="236"/>
    <d v="2026-02-27T15:58:19"/>
  </r>
  <r>
    <n v="17039"/>
    <x v="4"/>
    <n v="51003284"/>
    <n v="63.017756763368759"/>
    <s v="ORO"/>
    <n v="716"/>
    <d v="2026-02-27T15:58:19"/>
  </r>
  <r>
    <n v="17040"/>
    <x v="4"/>
    <n v="51025342"/>
    <n v="18.255370316857551"/>
    <s v="BRONCE"/>
    <n v="954"/>
    <d v="2026-02-27T15:58:19"/>
  </r>
  <r>
    <n v="17041"/>
    <x v="4"/>
    <n v="51030389"/>
    <n v="86.60491627574207"/>
    <s v="PLATINO"/>
    <n v="123"/>
    <d v="2026-02-27T15:58:19"/>
  </r>
  <r>
    <n v="17042"/>
    <x v="4"/>
    <n v="51013581"/>
    <n v="85.619373374473639"/>
    <s v="PLATINO"/>
    <n v="175"/>
    <d v="2026-02-27T15:58:19"/>
  </r>
  <r>
    <n v="17043"/>
    <x v="4"/>
    <n v="51056833"/>
    <n v="72.529300472376008"/>
    <s v="ORO"/>
    <n v="618"/>
    <d v="2026-02-27T15:58:19"/>
  </r>
  <r>
    <n v="17044"/>
    <x v="4"/>
    <n v="51056086"/>
    <n v="82.14"/>
    <s v="PLATINO"/>
    <n v="358"/>
    <d v="2026-02-27T15:58:19"/>
  </r>
  <r>
    <n v="17045"/>
    <x v="4"/>
    <n v="51055241"/>
    <n v="84.119950247972483"/>
    <s v="PLATINO"/>
    <n v="261"/>
    <d v="2026-02-27T15:58:19"/>
  </r>
  <r>
    <n v="17046"/>
    <x v="4"/>
    <n v="51008669"/>
    <n v="82.30463243572899"/>
    <s v="PLATINO"/>
    <n v="354"/>
    <d v="2026-02-27T15:58:19"/>
  </r>
  <r>
    <n v="17047"/>
    <x v="4"/>
    <n v="51031521"/>
    <n v="83.410645520116205"/>
    <s v="PLATINO"/>
    <n v="293"/>
    <d v="2026-02-27T15:58:19"/>
  </r>
  <r>
    <n v="17048"/>
    <x v="4"/>
    <n v="51033477"/>
    <n v="62.204423902321203"/>
    <s v="ORO"/>
    <n v="738"/>
    <d v="2026-02-27T15:58:19"/>
  </r>
  <r>
    <n v="17049"/>
    <x v="4"/>
    <n v="51020651"/>
    <n v="83.56"/>
    <s v="PLATINO"/>
    <n v="284"/>
    <d v="2026-02-27T15:58:19"/>
  </r>
  <r>
    <n v="17050"/>
    <x v="4"/>
    <n v="51013409"/>
    <n v="82.937311253407486"/>
    <s v="PLATINO"/>
    <n v="314"/>
    <d v="2026-02-27T15:58:19"/>
  </r>
  <r>
    <n v="17051"/>
    <x v="4"/>
    <n v="51030397"/>
    <n v="84.34"/>
    <s v="PLATINO"/>
    <n v="249"/>
    <d v="2026-02-27T15:58:19"/>
  </r>
  <r>
    <n v="17052"/>
    <x v="4"/>
    <n v="51010353"/>
    <n v="87.809145721522214"/>
    <s v="PLATINO"/>
    <n v="48"/>
    <d v="2026-02-27T15:58:19"/>
  </r>
  <r>
    <n v="17053"/>
    <x v="4"/>
    <n v="51054814"/>
    <n v="72.806479600009908"/>
    <s v="ORO"/>
    <n v="616"/>
    <d v="2026-02-27T15:58:19"/>
  </r>
  <r>
    <n v="17054"/>
    <x v="4"/>
    <n v="51012372"/>
    <n v="85.457320450202417"/>
    <s v="PLATINO"/>
    <n v="186"/>
    <d v="2026-02-27T15:58:19"/>
  </r>
  <r>
    <n v="17055"/>
    <x v="4"/>
    <n v="51036212"/>
    <n v="62.5485073601576"/>
    <s v="ORO"/>
    <n v="727"/>
    <d v="2026-02-27T15:58:19"/>
  </r>
  <r>
    <n v="17056"/>
    <x v="4"/>
    <n v="51029984"/>
    <n v="85.64"/>
    <s v="PLATINO"/>
    <n v="174"/>
    <d v="2026-02-27T15:58:19"/>
  </r>
  <r>
    <n v="17057"/>
    <x v="4"/>
    <n v="51039777"/>
    <n v="86.324033496899517"/>
    <s v="PLATINO"/>
    <n v="140"/>
    <d v="2026-02-27T15:58:19"/>
  </r>
  <r>
    <n v="17058"/>
    <x v="4"/>
    <n v="51056183"/>
    <n v="82.810627214650566"/>
    <s v="PLATINO"/>
    <n v="320"/>
    <d v="2026-02-27T15:58:19"/>
  </r>
  <r>
    <n v="17059"/>
    <x v="4"/>
    <n v="51039238"/>
    <n v="19.13261936021059"/>
    <s v="BRONCE"/>
    <n v="940"/>
    <d v="2026-02-27T15:58:19"/>
  </r>
  <r>
    <n v="17060"/>
    <x v="4"/>
    <n v="51007701"/>
    <n v="62.478000000000009"/>
    <s v="ORO"/>
    <n v="730"/>
    <d v="2026-02-27T15:58:19"/>
  </r>
  <r>
    <n v="17061"/>
    <x v="4"/>
    <n v="51034228"/>
    <n v="86.240000000000009"/>
    <s v="PLATINO"/>
    <n v="147"/>
    <d v="2026-02-27T15:58:19"/>
  </r>
  <r>
    <n v="17062"/>
    <x v="4"/>
    <n v="51005295"/>
    <n v="28.59948366372625"/>
    <s v="BRONCE"/>
    <n v="878"/>
    <d v="2026-02-27T15:58:19"/>
  </r>
  <r>
    <n v="17063"/>
    <x v="4"/>
    <n v="51023668"/>
    <n v="84.78542061903687"/>
    <s v="PLATINO"/>
    <n v="219"/>
    <d v="2026-02-27T15:58:19"/>
  </r>
  <r>
    <n v="17064"/>
    <x v="4"/>
    <n v="51018851"/>
    <n v="59.659657139122942"/>
    <s v="ORO"/>
    <n v="789"/>
    <d v="2026-02-27T15:58:19"/>
  </r>
  <r>
    <n v="17065"/>
    <x v="4"/>
    <n v="51042042"/>
    <n v="73.804125906575706"/>
    <s v="ORO"/>
    <n v="604"/>
    <d v="2026-02-27T15:58:19"/>
  </r>
  <r>
    <n v="17066"/>
    <x v="4"/>
    <n v="51010817"/>
    <n v="63.883934196667667"/>
    <s v="ORO"/>
    <n v="699"/>
    <d v="2026-02-27T15:58:19"/>
  </r>
  <r>
    <n v="17067"/>
    <x v="4"/>
    <n v="51022408"/>
    <n v="87.061347776939158"/>
    <s v="PLATINO"/>
    <n v="95"/>
    <d v="2026-02-27T15:58:19"/>
  </r>
  <r>
    <n v="17068"/>
    <x v="4"/>
    <n v="51032578"/>
    <n v="20"/>
    <s v="BRONCE"/>
    <n v="889"/>
    <d v="2026-02-27T15:58:19"/>
  </r>
  <r>
    <n v="17069"/>
    <x v="4"/>
    <n v="51017978"/>
    <n v="82.731402564623409"/>
    <s v="PLATINO"/>
    <n v="324"/>
    <d v="2026-02-27T15:58:19"/>
  </r>
  <r>
    <n v="17070"/>
    <x v="4"/>
    <n v="51056868"/>
    <n v="85.234162873435693"/>
    <s v="PLATINO"/>
    <n v="195"/>
    <d v="2026-02-27T15:58:19"/>
  </r>
  <r>
    <n v="17071"/>
    <x v="4"/>
    <n v="51056566"/>
    <n v="81.88795092792094"/>
    <s v="PLATINO"/>
    <n v="370"/>
    <d v="2026-02-27T15:58:19"/>
  </r>
  <r>
    <n v="17072"/>
    <x v="4"/>
    <n v="51005112"/>
    <n v="38.811361392172721"/>
    <s v="PLATA"/>
    <n v="846"/>
    <d v="2026-02-27T15:58:19"/>
  </r>
  <r>
    <n v="17073"/>
    <x v="4"/>
    <n v="51019946"/>
    <n v="74.692564501739653"/>
    <s v="ORO"/>
    <n v="593"/>
    <d v="2026-02-27T15:58:19"/>
  </r>
  <r>
    <n v="17074"/>
    <x v="4"/>
    <n v="51027116"/>
    <n v="84.743376466483909"/>
    <s v="PLATINO"/>
    <n v="223"/>
    <d v="2026-02-27T15:58:19"/>
  </r>
  <r>
    <n v="17075"/>
    <x v="4"/>
    <n v="51042051"/>
    <n v="85.905000000000001"/>
    <s v="PLATINO"/>
    <n v="165"/>
    <d v="2026-02-27T15:58:19"/>
  </r>
  <r>
    <n v="17076"/>
    <x v="4"/>
    <n v="51024702"/>
    <n v="84.947164867776252"/>
    <s v="PLATINO"/>
    <n v="214"/>
    <d v="2026-02-27T15:58:19"/>
  </r>
  <r>
    <n v="17077"/>
    <x v="4"/>
    <n v="51000251"/>
    <n v="63.020770817580903"/>
    <s v="ORO"/>
    <n v="715"/>
    <d v="2026-02-27T15:58:19"/>
  </r>
  <r>
    <n v="17078"/>
    <x v="4"/>
    <n v="51036778"/>
    <n v="83.94"/>
    <s v="PLATINO"/>
    <n v="272"/>
    <d v="2026-02-27T15:58:19"/>
  </r>
  <r>
    <n v="17079"/>
    <x v="4"/>
    <n v="51056850"/>
    <n v="85.251323229522185"/>
    <s v="PLATINO"/>
    <n v="194"/>
    <d v="2026-02-27T15:58:19"/>
  </r>
  <r>
    <n v="17080"/>
    <x v="4"/>
    <n v="51054989"/>
    <n v="83.045195586406123"/>
    <s v="PLATINO"/>
    <n v="308"/>
    <d v="2026-02-27T15:58:19"/>
  </r>
  <r>
    <n v="17081"/>
    <x v="4"/>
    <n v="51018737"/>
    <n v="83.53532818483778"/>
    <s v="PLATINO"/>
    <n v="287"/>
    <d v="2026-02-27T15:58:19"/>
  </r>
  <r>
    <n v="17082"/>
    <x v="4"/>
    <n v="51023811"/>
    <n v="86.243965911303292"/>
    <s v="PLATINO"/>
    <n v="145"/>
    <d v="2026-02-27T15:58:19"/>
  </r>
  <r>
    <n v="17083"/>
    <x v="4"/>
    <n v="51040899"/>
    <n v="87.626553844429665"/>
    <s v="PLATINO"/>
    <n v="59"/>
    <d v="2026-02-27T15:58:19"/>
  </r>
  <r>
    <n v="17084"/>
    <x v="4"/>
    <n v="51022149"/>
    <n v="86.542122226207596"/>
    <s v="PLATINO"/>
    <n v="126"/>
    <d v="2026-02-27T15:58:19"/>
  </r>
  <r>
    <n v="17085"/>
    <x v="4"/>
    <n v="51014189"/>
    <n v="87.797283030961481"/>
    <s v="PLATINO"/>
    <n v="50"/>
    <d v="2026-02-27T15:58:19"/>
  </r>
  <r>
    <n v="17086"/>
    <x v="4"/>
    <n v="51011538"/>
    <n v="52.851882708591127"/>
    <s v="PLATA"/>
    <n v="809"/>
    <d v="2026-02-27T15:58:19"/>
  </r>
  <r>
    <n v="17087"/>
    <x v="4"/>
    <n v="51011686"/>
    <n v="83.2"/>
    <s v="PLATINO"/>
    <n v="298"/>
    <d v="2026-02-27T15:58:19"/>
  </r>
  <r>
    <n v="17088"/>
    <x v="4"/>
    <n v="51055896"/>
    <n v="18.297766350144119"/>
    <s v="BRONCE"/>
    <n v="953"/>
    <d v="2026-02-27T15:58:19"/>
  </r>
  <r>
    <n v="17089"/>
    <x v="4"/>
    <n v="51054962"/>
    <n v="41.780430002548087"/>
    <s v="PLATA"/>
    <n v="839"/>
    <d v="2026-02-27T15:58:19"/>
  </r>
  <r>
    <n v="17090"/>
    <x v="4"/>
    <n v="51021584"/>
    <n v="81.075648681016929"/>
    <s v="PLATINO"/>
    <n v="405"/>
    <d v="2026-02-27T15:58:19"/>
  </r>
  <r>
    <n v="17091"/>
    <x v="4"/>
    <n v="51014642"/>
    <n v="85.228194059285116"/>
    <s v="PLATINO"/>
    <n v="196"/>
    <d v="2026-02-27T15:58:19"/>
  </r>
  <r>
    <n v="17092"/>
    <x v="4"/>
    <n v="51038878"/>
    <n v="43.228015648095948"/>
    <s v="PLATA"/>
    <n v="834"/>
    <d v="2026-02-27T15:58:19"/>
  </r>
  <r>
    <n v="17093"/>
    <x v="4"/>
    <n v="51055292"/>
    <n v="75.216477136746676"/>
    <s v="PLATINO"/>
    <n v="586"/>
    <d v="2026-02-27T15:58:19"/>
  </r>
  <r>
    <n v="17094"/>
    <x v="4"/>
    <n v="51011601"/>
    <n v="79.023322309988771"/>
    <s v="PLATINO"/>
    <n v="484"/>
    <d v="2026-02-27T15:58:19"/>
  </r>
  <r>
    <n v="17095"/>
    <x v="4"/>
    <n v="51022866"/>
    <n v="85.602155327626647"/>
    <s v="PLATINO"/>
    <n v="176"/>
    <d v="2026-02-27T15:58:19"/>
  </r>
  <r>
    <n v="17096"/>
    <x v="4"/>
    <n v="51017820"/>
    <n v="17.620628794986359"/>
    <s v="BRONCE"/>
    <n v="971"/>
    <d v="2026-02-27T15:58:19"/>
  </r>
  <r>
    <n v="17097"/>
    <x v="4"/>
    <n v="51030761"/>
    <n v="25.854341243046221"/>
    <s v="BRONCE"/>
    <n v="884"/>
    <d v="2026-02-27T15:58:19"/>
  </r>
  <r>
    <n v="17098"/>
    <x v="4"/>
    <n v="51008294"/>
    <n v="87.637584035808203"/>
    <s v="PLATINO"/>
    <n v="58"/>
    <d v="2026-02-27T15:58:19"/>
  </r>
  <r>
    <n v="17099"/>
    <x v="4"/>
    <n v="51055501"/>
    <n v="64.484919053526269"/>
    <s v="ORO"/>
    <n v="693"/>
    <d v="2026-02-27T15:58:19"/>
  </r>
  <r>
    <n v="17100"/>
    <x v="4"/>
    <n v="51038886"/>
    <n v="86.08"/>
    <s v="PLATINO"/>
    <n v="156"/>
    <d v="2026-02-27T15:58:19"/>
  </r>
  <r>
    <n v="17101"/>
    <x v="4"/>
    <n v="51020316"/>
    <n v="82.979796202758948"/>
    <s v="PLATINO"/>
    <n v="312"/>
    <d v="2026-02-27T15:58:19"/>
  </r>
  <r>
    <n v="17102"/>
    <x v="4"/>
    <n v="51055675"/>
    <n v="86.960000000000008"/>
    <s v="PLATINO"/>
    <n v="104"/>
    <d v="2026-02-27T15:58:19"/>
  </r>
  <r>
    <n v="17103"/>
    <x v="4"/>
    <n v="51012577"/>
    <n v="86.741563411206556"/>
    <s v="PLATINO"/>
    <n v="117"/>
    <d v="2026-02-27T15:58:19"/>
  </r>
  <r>
    <n v="17104"/>
    <x v="4"/>
    <n v="51017706"/>
    <n v="85.84"/>
    <s v="PLATINO"/>
    <n v="168"/>
    <d v="2026-02-27T15:58:19"/>
  </r>
  <r>
    <n v="17105"/>
    <x v="4"/>
    <n v="51011236"/>
    <n v="81.169445343776573"/>
    <s v="PLATINO"/>
    <n v="397"/>
    <d v="2026-02-27T15:58:19"/>
  </r>
  <r>
    <n v="17106"/>
    <x v="4"/>
    <n v="51030524"/>
    <n v="29.8332153186787"/>
    <s v="BRONCE"/>
    <n v="873"/>
    <d v="2026-02-27T15:58:19"/>
  </r>
  <r>
    <n v="17107"/>
    <x v="4"/>
    <n v="51003365"/>
    <n v="65.852768780908804"/>
    <s v="ORO"/>
    <n v="677"/>
    <d v="2026-02-27T15:58:19"/>
  </r>
  <r>
    <n v="17108"/>
    <x v="4"/>
    <n v="51031989"/>
    <n v="85.8"/>
    <s v="PLATINO"/>
    <n v="170"/>
    <d v="2026-02-27T15:58:19"/>
  </r>
  <r>
    <n v="17109"/>
    <x v="4"/>
    <n v="51010922"/>
    <n v="79.524075044518966"/>
    <s v="PLATINO"/>
    <n v="462"/>
    <d v="2026-02-27T15:58:19"/>
  </r>
  <r>
    <n v="17110"/>
    <x v="4"/>
    <n v="51040031"/>
    <n v="83.97575696991801"/>
    <s v="PLATINO"/>
    <n v="269"/>
    <d v="2026-02-27T15:58:19"/>
  </r>
  <r>
    <n v="17111"/>
    <x v="4"/>
    <n v="51027108"/>
    <n v="79.371227442592257"/>
    <s v="PLATINO"/>
    <n v="471"/>
    <d v="2026-02-27T15:58:19"/>
  </r>
  <r>
    <n v="17112"/>
    <x v="4"/>
    <n v="51022971"/>
    <n v="82.136052743469975"/>
    <s v="PLATINO"/>
    <n v="359"/>
    <d v="2026-02-27T15:58:19"/>
  </r>
  <r>
    <n v="17113"/>
    <x v="4"/>
    <n v="51023005"/>
    <n v="84.258628267290149"/>
    <s v="PLATINO"/>
    <n v="256"/>
    <d v="2026-02-27T15:58:19"/>
  </r>
  <r>
    <n v="17114"/>
    <x v="4"/>
    <n v="51002610"/>
    <n v="82.039999999999992"/>
    <s v="PLATINO"/>
    <n v="365"/>
    <d v="2026-02-27T15:58:19"/>
  </r>
  <r>
    <n v="17115"/>
    <x v="4"/>
    <n v="51056116"/>
    <n v="86.154170318905315"/>
    <s v="PLATINO"/>
    <n v="150"/>
    <d v="2026-02-27T15:58:19"/>
  </r>
  <r>
    <n v="17116"/>
    <x v="4"/>
    <n v="51020979"/>
    <n v="85.1"/>
    <s v="PLATINO"/>
    <n v="203"/>
    <d v="2026-02-27T15:58:19"/>
  </r>
  <r>
    <n v="17117"/>
    <x v="4"/>
    <n v="51015207"/>
    <n v="81.949612915421781"/>
    <s v="PLATINO"/>
    <n v="368"/>
    <d v="2026-02-27T15:58:19"/>
  </r>
  <r>
    <n v="17118"/>
    <x v="4"/>
    <n v="51007549"/>
    <n v="75.305604606531134"/>
    <s v="PLATINO"/>
    <n v="583"/>
    <d v="2026-02-27T15:58:19"/>
  </r>
  <r>
    <n v="17119"/>
    <x v="4"/>
    <n v="51032624"/>
    <n v="81.269484027928755"/>
    <s v="PLATINO"/>
    <n v="390"/>
    <d v="2026-02-27T15:58:19"/>
  </r>
  <r>
    <n v="17120"/>
    <x v="4"/>
    <n v="51002555"/>
    <n v="82.38"/>
    <s v="PLATINO"/>
    <n v="347"/>
    <d v="2026-02-27T15:58:19"/>
  </r>
  <r>
    <n v="17121"/>
    <x v="4"/>
    <n v="51029879"/>
    <n v="84.178435738261101"/>
    <s v="PLATINO"/>
    <n v="259"/>
    <d v="2026-02-27T15:58:19"/>
  </r>
  <r>
    <n v="17122"/>
    <x v="4"/>
    <n v="51011147"/>
    <n v="62.821927075962968"/>
    <s v="ORO"/>
    <n v="720"/>
    <d v="2026-02-27T15:58:19"/>
  </r>
  <r>
    <n v="17123"/>
    <x v="4"/>
    <n v="51030427"/>
    <n v="85.10228796317098"/>
    <s v="PLATINO"/>
    <n v="202"/>
    <d v="2026-02-27T15:58:19"/>
  </r>
  <r>
    <n v="17124"/>
    <x v="4"/>
    <n v="51032675"/>
    <n v="84.460000000000008"/>
    <s v="PLATINO"/>
    <n v="239"/>
    <d v="2026-02-27T15:58:19"/>
  </r>
  <r>
    <n v="17125"/>
    <x v="4"/>
    <n v="51042921"/>
    <n v="81.265000000000001"/>
    <s v="PLATINO"/>
    <n v="391"/>
    <d v="2026-02-27T15:58:19"/>
  </r>
  <r>
    <n v="17126"/>
    <x v="4"/>
    <n v="51056272"/>
    <n v="85.043000000000006"/>
    <s v="PLATINO"/>
    <n v="205"/>
    <d v="2026-02-27T15:58:19"/>
  </r>
  <r>
    <n v="17127"/>
    <x v="4"/>
    <n v="51007883"/>
    <n v="84.262456913557884"/>
    <s v="PLATINO"/>
    <n v="255"/>
    <d v="2026-02-27T15:58:19"/>
  </r>
  <r>
    <n v="17128"/>
    <x v="4"/>
    <n v="51030010"/>
    <n v="82.7"/>
    <s v="PLATINO"/>
    <n v="326"/>
    <d v="2026-02-27T15:58:19"/>
  </r>
  <r>
    <n v="17129"/>
    <x v="4"/>
    <n v="51056124"/>
    <n v="82.417223434074529"/>
    <s v="PLATINO"/>
    <n v="341"/>
    <d v="2026-02-27T15:58:19"/>
  </r>
  <r>
    <n v="17130"/>
    <x v="4"/>
    <n v="51043758"/>
    <n v="87.08"/>
    <s v="PLATINO"/>
    <n v="93"/>
    <d v="2026-02-27T15:58:19"/>
  </r>
  <r>
    <n v="17131"/>
    <x v="4"/>
    <n v="51055039"/>
    <n v="19.76143224111383"/>
    <s v="BRONCE"/>
    <n v="931"/>
    <d v="2026-02-27T15:58:19"/>
  </r>
  <r>
    <n v="17132"/>
    <x v="4"/>
    <n v="51056582"/>
    <n v="84.6"/>
    <s v="PLATINO"/>
    <n v="230"/>
    <d v="2026-02-27T15:58:19"/>
  </r>
  <r>
    <n v="17133"/>
    <x v="4"/>
    <n v="51021321"/>
    <n v="63.96"/>
    <s v="ORO"/>
    <n v="697"/>
    <d v="2026-02-27T15:58:19"/>
  </r>
  <r>
    <n v="17134"/>
    <x v="4"/>
    <n v="51055322"/>
    <n v="62.9"/>
    <s v="ORO"/>
    <n v="718"/>
    <d v="2026-02-27T15:58:19"/>
  </r>
  <r>
    <n v="17135"/>
    <x v="4"/>
    <n v="51010027"/>
    <n v="20"/>
    <s v="BRONCE"/>
    <n v="889"/>
    <d v="2026-02-27T15:58:19"/>
  </r>
  <r>
    <n v="17136"/>
    <x v="4"/>
    <n v="51011295"/>
    <n v="81.778360339071227"/>
    <s v="PLATINO"/>
    <n v="374"/>
    <d v="2026-02-27T15:58:19"/>
  </r>
  <r>
    <n v="17137"/>
    <x v="4"/>
    <n v="51017145"/>
    <n v="87.033175321504388"/>
    <s v="PLATINO"/>
    <n v="99"/>
    <d v="2026-02-27T15:58:19"/>
  </r>
  <r>
    <n v="17138"/>
    <x v="4"/>
    <n v="51055888"/>
    <n v="62.250008038800019"/>
    <s v="ORO"/>
    <n v="735"/>
    <d v="2026-02-27T15:58:19"/>
  </r>
  <r>
    <n v="17139"/>
    <x v="4"/>
    <n v="51031881"/>
    <n v="85.989855044294501"/>
    <s v="PLATINO"/>
    <n v="159"/>
    <d v="2026-02-27T15:58:19"/>
  </r>
  <r>
    <n v="17140"/>
    <x v="4"/>
    <n v="51010060"/>
    <n v="83.109492714403657"/>
    <s v="PLATINO"/>
    <n v="302"/>
    <d v="2026-02-27T15:58:19"/>
  </r>
  <r>
    <n v="17141"/>
    <x v="4"/>
    <n v="51056400"/>
    <n v="83.693215197475197"/>
    <s v="PLATINO"/>
    <n v="281"/>
    <d v="2026-02-27T15:58:19"/>
  </r>
  <r>
    <n v="17142"/>
    <x v="4"/>
    <n v="51056531"/>
    <n v="37.986330830809948"/>
    <s v="PLATA"/>
    <n v="849"/>
    <d v="2026-02-27T15:58:19"/>
  </r>
  <r>
    <n v="17143"/>
    <x v="4"/>
    <n v="51011643"/>
    <n v="62.6"/>
    <s v="ORO"/>
    <n v="723"/>
    <d v="2026-02-27T15:58:19"/>
  </r>
  <r>
    <n v="17144"/>
    <x v="4"/>
    <n v="51016742"/>
    <n v="83.42"/>
    <s v="PLATINO"/>
    <n v="292"/>
    <d v="2026-02-27T15:58:19"/>
  </r>
  <r>
    <n v="17145"/>
    <x v="4"/>
    <n v="51010990"/>
    <n v="83.88"/>
    <s v="PLATINO"/>
    <n v="274"/>
    <d v="2026-02-27T15:58:19"/>
  </r>
  <r>
    <n v="17146"/>
    <x v="4"/>
    <n v="51039998"/>
    <n v="40.886487820374008"/>
    <s v="PLATA"/>
    <n v="842"/>
    <d v="2026-02-27T15:58:19"/>
  </r>
  <r>
    <n v="17147"/>
    <x v="4"/>
    <n v="51056736"/>
    <n v="83.512377829526912"/>
    <s v="PLATINO"/>
    <n v="289"/>
    <d v="2026-02-27T15:58:19"/>
  </r>
  <r>
    <n v="17148"/>
    <x v="4"/>
    <n v="51044436"/>
    <n v="82.74759010651897"/>
    <s v="PLATINO"/>
    <n v="323"/>
    <d v="2026-02-27T15:58:19"/>
  </r>
  <r>
    <n v="17149"/>
    <x v="4"/>
    <n v="51017552"/>
    <n v="86.860666413869836"/>
    <s v="PLATINO"/>
    <n v="110"/>
    <d v="2026-02-27T15:58:19"/>
  </r>
  <r>
    <n v="17150"/>
    <x v="4"/>
    <n v="51055276"/>
    <n v="81.540201107170688"/>
    <s v="PLATINO"/>
    <n v="381"/>
    <d v="2026-02-27T15:58:19"/>
  </r>
  <r>
    <n v="17151"/>
    <x v="4"/>
    <n v="51020189"/>
    <n v="55.615659293220638"/>
    <s v="ORO"/>
    <n v="806"/>
    <d v="2026-02-27T15:58:19"/>
  </r>
  <r>
    <n v="17152"/>
    <x v="4"/>
    <n v="51041259"/>
    <n v="49.003541040000918"/>
    <s v="PLATA"/>
    <n v="820"/>
    <d v="2026-02-27T15:58:19"/>
  </r>
  <r>
    <n v="17153"/>
    <x v="4"/>
    <n v="51022751"/>
    <n v="66.080921990502958"/>
    <s v="ORO"/>
    <n v="673"/>
    <d v="2026-02-27T15:58:19"/>
  </r>
  <r>
    <n v="17154"/>
    <x v="4"/>
    <n v="51016645"/>
    <n v="70.688061182686496"/>
    <s v="ORO"/>
    <n v="632"/>
    <d v="2026-02-27T15:58:19"/>
  </r>
  <r>
    <n v="17155"/>
    <x v="4"/>
    <n v="51011155"/>
    <n v="83.084802634955906"/>
    <s v="PLATINO"/>
    <n v="304"/>
    <d v="2026-02-27T15:58:19"/>
  </r>
  <r>
    <n v="17156"/>
    <x v="4"/>
    <n v="51014022"/>
    <n v="81.95328317619925"/>
    <s v="PLATINO"/>
    <n v="367"/>
    <d v="2026-02-27T15:58:19"/>
  </r>
  <r>
    <n v="17157"/>
    <x v="4"/>
    <n v="51018991"/>
    <n v="82.402800199578877"/>
    <s v="PLATINO"/>
    <n v="343"/>
    <d v="2026-02-27T15:58:19"/>
  </r>
  <r>
    <n v="17158"/>
    <x v="4"/>
    <n v="51030478"/>
    <n v="81.158374125480876"/>
    <s v="PLATINO"/>
    <n v="398"/>
    <d v="2026-02-27T15:58:19"/>
  </r>
  <r>
    <n v="17159"/>
    <x v="4"/>
    <n v="51028040"/>
    <n v="83.583498407783651"/>
    <s v="PLATINO"/>
    <n v="283"/>
    <d v="2026-02-27T15:58:19"/>
  </r>
  <r>
    <n v="17160"/>
    <x v="4"/>
    <n v="51055616"/>
    <n v="85.945000000000007"/>
    <s v="PLATINO"/>
    <n v="160"/>
    <d v="2026-02-27T15:58:19"/>
  </r>
  <r>
    <n v="17161"/>
    <x v="4"/>
    <n v="51036239"/>
    <n v="18.684065265740099"/>
    <s v="BRONCE"/>
    <n v="949"/>
    <d v="2026-02-27T15:58:19"/>
  </r>
  <r>
    <n v="17162"/>
    <x v="4"/>
    <n v="51025873"/>
    <n v="84.56979165057173"/>
    <s v="PLATINO"/>
    <n v="235"/>
    <d v="2026-02-27T15:58:19"/>
  </r>
  <r>
    <n v="17163"/>
    <x v="4"/>
    <n v="51034155"/>
    <n v="63.839547771396482"/>
    <s v="ORO"/>
    <n v="700"/>
    <d v="2026-02-27T15:58:19"/>
  </r>
  <r>
    <n v="17164"/>
    <x v="4"/>
    <n v="51021207"/>
    <n v="59.692386364312533"/>
    <s v="ORO"/>
    <n v="788"/>
    <d v="2026-02-27T15:58:19"/>
  </r>
  <r>
    <n v="17165"/>
    <x v="4"/>
    <n v="51054831"/>
    <n v="13.54119943019797"/>
    <s v="BRONCE"/>
    <n v="992"/>
    <d v="2026-02-27T15:58:19"/>
  </r>
  <r>
    <n v="17166"/>
    <x v="4"/>
    <n v="51010051"/>
    <n v="82.056040598586137"/>
    <s v="PLATINO"/>
    <n v="363"/>
    <d v="2026-02-27T15:58:19"/>
  </r>
  <r>
    <n v="17167"/>
    <x v="4"/>
    <n v="51015754"/>
    <n v="82.911350814384946"/>
    <s v="PLATINO"/>
    <n v="315"/>
    <d v="2026-02-27T15:58:19"/>
  </r>
  <r>
    <n v="17168"/>
    <x v="4"/>
    <n v="51023528"/>
    <n v="83.160243320289709"/>
    <s v="PLATINO"/>
    <n v="300"/>
    <d v="2026-02-27T15:58:19"/>
  </r>
  <r>
    <n v="17169"/>
    <x v="4"/>
    <n v="51013735"/>
    <n v="84.3025427722187"/>
    <s v="PLATINO"/>
    <n v="251"/>
    <d v="2026-02-27T15:58:19"/>
  </r>
  <r>
    <n v="17170"/>
    <x v="4"/>
    <n v="51036611"/>
    <n v="84.409112985908223"/>
    <s v="PLATINO"/>
    <n v="243"/>
    <d v="2026-02-27T15:58:19"/>
  </r>
  <r>
    <n v="17171"/>
    <x v="4"/>
    <n v="51010035"/>
    <n v="84.452279933701618"/>
    <s v="PLATINO"/>
    <n v="241"/>
    <d v="2026-02-27T15:58:19"/>
  </r>
  <r>
    <n v="17172"/>
    <x v="4"/>
    <n v="51035682"/>
    <n v="35.784014215547217"/>
    <s v="PLATA"/>
    <n v="857"/>
    <d v="2026-02-27T15:58:19"/>
  </r>
  <r>
    <n v="17173"/>
    <x v="4"/>
    <n v="51016416"/>
    <n v="60.826883078636413"/>
    <s v="ORO"/>
    <n v="765"/>
    <d v="2026-02-27T15:58:19"/>
  </r>
  <r>
    <n v="17174"/>
    <x v="4"/>
    <n v="51038762"/>
    <n v="62.340030399791218"/>
    <s v="ORO"/>
    <n v="732"/>
    <d v="2026-02-27T15:58:19"/>
  </r>
  <r>
    <n v="17175"/>
    <x v="4"/>
    <n v="51023307"/>
    <n v="81.459659810007224"/>
    <s v="PLATINO"/>
    <n v="383"/>
    <d v="2026-02-27T15:58:19"/>
  </r>
  <r>
    <n v="17176"/>
    <x v="4"/>
    <n v="51012062"/>
    <n v="71.041782446744364"/>
    <s v="ORO"/>
    <n v="626"/>
    <d v="2026-02-27T15:58:19"/>
  </r>
  <r>
    <n v="17177"/>
    <x v="4"/>
    <n v="51021631"/>
    <n v="82.38"/>
    <s v="PLATINO"/>
    <n v="347"/>
    <d v="2026-02-27T15:58:19"/>
  </r>
  <r>
    <n v="17178"/>
    <x v="4"/>
    <n v="51008618"/>
    <n v="84.452909709171166"/>
    <s v="PLATINO"/>
    <n v="240"/>
    <d v="2026-02-27T15:58:19"/>
  </r>
  <r>
    <n v="17179"/>
    <x v="4"/>
    <n v="51010574"/>
    <n v="81.698346585808167"/>
    <s v="PLATINO"/>
    <n v="378"/>
    <d v="2026-02-27T15:58:19"/>
  </r>
  <r>
    <n v="17180"/>
    <x v="4"/>
    <n v="51056493"/>
    <n v="80.368847879137036"/>
    <s v="PLATINO"/>
    <n v="432"/>
    <d v="2026-02-27T15:58:19"/>
  </r>
  <r>
    <n v="17181"/>
    <x v="4"/>
    <n v="51024206"/>
    <n v="82.25561976482237"/>
    <s v="PLATINO"/>
    <n v="355"/>
    <d v="2026-02-27T15:58:19"/>
  </r>
  <r>
    <n v="17182"/>
    <x v="4"/>
    <n v="51056442"/>
    <n v="81.700429047209738"/>
    <s v="PLATINO"/>
    <n v="377"/>
    <d v="2026-02-27T15:58:19"/>
  </r>
  <r>
    <n v="17183"/>
    <x v="4"/>
    <n v="51033621"/>
    <n v="81.505400919151157"/>
    <s v="PLATINO"/>
    <n v="382"/>
    <d v="2026-02-27T15:58:19"/>
  </r>
  <r>
    <n v="17184"/>
    <x v="4"/>
    <n v="51016394"/>
    <n v="83.740000000000009"/>
    <s v="PLATINO"/>
    <n v="280"/>
    <d v="2026-02-27T15:58:19"/>
  </r>
  <r>
    <n v="17185"/>
    <x v="4"/>
    <n v="51001389"/>
    <n v="85.412135259548563"/>
    <s v="PLATINO"/>
    <n v="189"/>
    <d v="2026-02-27T15:58:19"/>
  </r>
  <r>
    <n v="17186"/>
    <x v="4"/>
    <n v="51042891"/>
    <n v="86.080186563885462"/>
    <s v="PLATINO"/>
    <n v="155"/>
    <d v="2026-02-27T15:58:19"/>
  </r>
  <r>
    <n v="17187"/>
    <x v="4"/>
    <n v="51055411"/>
    <n v="81.174815772980281"/>
    <s v="PLATINO"/>
    <n v="396"/>
    <d v="2026-02-27T15:58:19"/>
  </r>
  <r>
    <n v="17188"/>
    <x v="4"/>
    <n v="51038657"/>
    <n v="18.947611640381659"/>
    <s v="BRONCE"/>
    <n v="942"/>
    <d v="2026-02-27T15:58:19"/>
  </r>
  <r>
    <n v="17189"/>
    <x v="4"/>
    <n v="51055632"/>
    <n v="30.5435324631149"/>
    <s v="PLATA"/>
    <n v="872"/>
    <d v="2026-02-27T15:58:19"/>
  </r>
  <r>
    <n v="17190"/>
    <x v="4"/>
    <n v="51026799"/>
    <n v="64.62"/>
    <s v="ORO"/>
    <n v="691"/>
    <d v="2026-02-27T15:58:19"/>
  </r>
  <r>
    <n v="17191"/>
    <x v="4"/>
    <n v="51018869"/>
    <n v="63.292364602142378"/>
    <s v="ORO"/>
    <n v="711"/>
    <d v="2026-02-27T15:58:19"/>
  </r>
  <r>
    <n v="17192"/>
    <x v="4"/>
    <n v="51055144"/>
    <n v="87.366753659139079"/>
    <s v="PLATINO"/>
    <n v="77"/>
    <d v="2026-02-27T15:58:19"/>
  </r>
  <r>
    <n v="17193"/>
    <x v="4"/>
    <n v="51056884"/>
    <n v="82.954056415361947"/>
    <s v="PLATINO"/>
    <n v="313"/>
    <d v="2026-02-27T15:58:19"/>
  </r>
  <r>
    <n v="17194"/>
    <x v="4"/>
    <n v="51030443"/>
    <n v="20"/>
    <s v="BRONCE"/>
    <n v="889"/>
    <d v="2026-02-27T15:58:19"/>
  </r>
  <r>
    <n v="17195"/>
    <x v="4"/>
    <n v="51016475"/>
    <n v="83.22"/>
    <s v="PLATINO"/>
    <n v="297"/>
    <d v="2026-02-27T15:58:19"/>
  </r>
  <r>
    <n v="17196"/>
    <x v="4"/>
    <n v="51018893"/>
    <n v="82.117052154067053"/>
    <s v="PLATINO"/>
    <n v="361"/>
    <d v="2026-02-27T15:58:19"/>
  </r>
  <r>
    <n v="17197"/>
    <x v="4"/>
    <n v="51039157"/>
    <n v="61.650373310028677"/>
    <s v="ORO"/>
    <n v="748"/>
    <d v="2026-02-27T15:58:19"/>
  </r>
  <r>
    <n v="17198"/>
    <x v="4"/>
    <n v="51054822"/>
    <n v="83.057558694991286"/>
    <s v="PLATINO"/>
    <n v="306"/>
    <d v="2026-02-27T15:58:19"/>
  </r>
  <r>
    <n v="17199"/>
    <x v="4"/>
    <n v="51003390"/>
    <n v="84.059429985510434"/>
    <s v="PLATINO"/>
    <n v="265"/>
    <d v="2026-02-27T15:58:19"/>
  </r>
  <r>
    <n v="17200"/>
    <x v="4"/>
    <n v="51056477"/>
    <n v="85.481959968523398"/>
    <s v="PLATINO"/>
    <n v="184"/>
    <d v="2026-02-27T15:58:19"/>
  </r>
  <r>
    <n v="17201"/>
    <x v="4"/>
    <n v="51026527"/>
    <n v="80.42964298237024"/>
    <s v="PLATINO"/>
    <n v="428"/>
    <d v="2026-02-27T15:58:19"/>
  </r>
  <r>
    <n v="17202"/>
    <x v="4"/>
    <n v="51030982"/>
    <n v="85.067699116442867"/>
    <s v="PLATINO"/>
    <n v="204"/>
    <d v="2026-02-27T15:58:19"/>
  </r>
  <r>
    <n v="17203"/>
    <x v="4"/>
    <n v="51023196"/>
    <n v="81.099999999999994"/>
    <s v="PLATINO"/>
    <n v="404"/>
    <d v="2026-02-27T15:58:19"/>
  </r>
  <r>
    <n v="17204"/>
    <x v="4"/>
    <n v="51014596"/>
    <n v="84.804999999999993"/>
    <s v="PLATINO"/>
    <n v="218"/>
    <d v="2026-02-27T15:58:19"/>
  </r>
  <r>
    <n v="17205"/>
    <x v="4"/>
    <n v="51030125"/>
    <n v="17.77402471464918"/>
    <s v="BRONCE"/>
    <n v="966"/>
    <d v="2026-02-27T15:58:19"/>
  </r>
  <r>
    <n v="17206"/>
    <x v="4"/>
    <n v="51021550"/>
    <n v="83.092636001033952"/>
    <s v="PLATINO"/>
    <n v="303"/>
    <d v="2026-02-27T15:58:19"/>
  </r>
  <r>
    <n v="17207"/>
    <x v="4"/>
    <n v="51031407"/>
    <n v="82.410918016041578"/>
    <s v="PLATINO"/>
    <n v="342"/>
    <d v="2026-02-27T15:58:19"/>
  </r>
  <r>
    <n v="17208"/>
    <x v="4"/>
    <n v="51038754"/>
    <n v="70.673242975239177"/>
    <s v="ORO"/>
    <n v="633"/>
    <d v="2026-02-27T15:58:19"/>
  </r>
  <r>
    <n v="17209"/>
    <x v="4"/>
    <n v="51004761"/>
    <n v="19.369644315709621"/>
    <s v="BRONCE"/>
    <n v="936"/>
    <d v="2026-02-27T15:58:19"/>
  </r>
  <r>
    <n v="17210"/>
    <x v="4"/>
    <n v="51023358"/>
    <n v="39.040671075737187"/>
    <s v="PLATA"/>
    <n v="845"/>
    <d v="2026-02-27T15:58:19"/>
  </r>
  <r>
    <n v="17211"/>
    <x v="4"/>
    <n v="51022670"/>
    <n v="81.286450102007947"/>
    <s v="PLATINO"/>
    <n v="389"/>
    <d v="2026-02-27T15:58:19"/>
  </r>
  <r>
    <n v="17212"/>
    <x v="4"/>
    <n v="51029976"/>
    <n v="75.671492411953764"/>
    <s v="PLATINO"/>
    <n v="579"/>
    <d v="2026-02-27T15:58:19"/>
  </r>
  <r>
    <n v="17213"/>
    <x v="4"/>
    <n v="51032195"/>
    <n v="25.66"/>
    <s v="BRONCE"/>
    <n v="885"/>
    <d v="2026-02-27T15:58:19"/>
  </r>
  <r>
    <n v="17214"/>
    <x v="4"/>
    <n v="51042875"/>
    <n v="63.771717846065499"/>
    <s v="ORO"/>
    <n v="701"/>
    <d v="2026-02-27T15:58:19"/>
  </r>
  <r>
    <n v="17215"/>
    <x v="4"/>
    <n v="51010728"/>
    <n v="85.154231505881853"/>
    <s v="PLATINO"/>
    <n v="198"/>
    <d v="2026-02-27T15:58:19"/>
  </r>
  <r>
    <n v="17216"/>
    <x v="4"/>
    <n v="51056655"/>
    <n v="82.33520979775885"/>
    <s v="PLATINO"/>
    <n v="352"/>
    <d v="2026-02-27T15:58:19"/>
  </r>
  <r>
    <n v="17217"/>
    <x v="4"/>
    <n v="51056817"/>
    <n v="79.863870246566222"/>
    <s v="PLATINO"/>
    <n v="448"/>
    <d v="2026-02-27T15:58:19"/>
  </r>
  <r>
    <n v="17218"/>
    <x v="4"/>
    <n v="51018826"/>
    <n v="78.967322343049815"/>
    <s v="PLATINO"/>
    <n v="486"/>
    <d v="2026-02-27T15:58:19"/>
  </r>
  <r>
    <n v="17219"/>
    <x v="4"/>
    <n v="51019814"/>
    <n v="19.703338822513899"/>
    <s v="BRONCE"/>
    <n v="932"/>
    <d v="2026-02-27T15:58:19"/>
  </r>
  <r>
    <n v="17220"/>
    <x v="4"/>
    <n v="51033281"/>
    <n v="62.244999999999997"/>
    <s v="ORO"/>
    <n v="736"/>
    <d v="2026-02-27T15:58:19"/>
  </r>
  <r>
    <n v="17221"/>
    <x v="4"/>
    <n v="51056523"/>
    <n v="24.31509758113426"/>
    <s v="BRONCE"/>
    <n v="887"/>
    <d v="2026-02-27T15:58:19"/>
  </r>
  <r>
    <n v="17222"/>
    <x v="4"/>
    <n v="51025792"/>
    <n v="61.597567527980587"/>
    <s v="ORO"/>
    <n v="752"/>
    <d v="2026-02-27T15:58:19"/>
  </r>
  <r>
    <n v="17223"/>
    <x v="4"/>
    <n v="51056728"/>
    <n v="61.822833051971102"/>
    <s v="ORO"/>
    <n v="742"/>
    <d v="2026-02-27T15:58:19"/>
  </r>
  <r>
    <n v="17224"/>
    <x v="4"/>
    <n v="51011708"/>
    <n v="66.437361833478363"/>
    <s v="ORO"/>
    <n v="670"/>
    <d v="2026-02-27T15:58:19"/>
  </r>
  <r>
    <n v="17225"/>
    <x v="4"/>
    <n v="51056558"/>
    <n v="68.805052191643284"/>
    <s v="ORO"/>
    <n v="648"/>
    <d v="2026-02-27T15:58:19"/>
  </r>
  <r>
    <n v="17226"/>
    <x v="4"/>
    <n v="51041801"/>
    <n v="82.020426751289151"/>
    <s v="PLATINO"/>
    <n v="366"/>
    <d v="2026-02-27T15:58:19"/>
  </r>
  <r>
    <n v="17227"/>
    <x v="4"/>
    <n v="51055390"/>
    <n v="84.451883314859273"/>
    <s v="PLATINO"/>
    <n v="242"/>
    <d v="2026-02-27T15:58:19"/>
  </r>
  <r>
    <n v="17228"/>
    <x v="4"/>
    <n v="51017081"/>
    <n v="75.135914923186931"/>
    <s v="PLATINO"/>
    <n v="588"/>
    <d v="2026-02-27T15:58:19"/>
  </r>
  <r>
    <n v="17229"/>
    <x v="4"/>
    <n v="51056345"/>
    <n v="80.91334759159011"/>
    <s v="PLATINO"/>
    <n v="414"/>
    <d v="2026-02-27T15:58:19"/>
  </r>
  <r>
    <n v="17230"/>
    <x v="4"/>
    <n v="51055942"/>
    <n v="81.074917773859823"/>
    <s v="PLATINO"/>
    <n v="406"/>
    <d v="2026-02-27T15:58:19"/>
  </r>
  <r>
    <n v="17231"/>
    <x v="4"/>
    <n v="51036735"/>
    <n v="81.260542135360353"/>
    <s v="PLATINO"/>
    <n v="392"/>
    <d v="2026-02-27T15:58:19"/>
  </r>
  <r>
    <n v="17232"/>
    <x v="4"/>
    <n v="51001427"/>
    <n v="79.986911284400378"/>
    <s v="PLATINO"/>
    <n v="444"/>
    <d v="2026-02-27T15:58:19"/>
  </r>
  <r>
    <n v="17233"/>
    <x v="4"/>
    <n v="51010272"/>
    <n v="83.967733688364419"/>
    <s v="PLATINO"/>
    <n v="270"/>
    <d v="2026-02-27T15:58:19"/>
  </r>
  <r>
    <n v="17234"/>
    <x v="4"/>
    <n v="51056451"/>
    <n v="81.123000000000005"/>
    <s v="PLATINO"/>
    <n v="400"/>
    <d v="2026-02-27T15:58:19"/>
  </r>
  <r>
    <n v="17235"/>
    <x v="4"/>
    <n v="51018907"/>
    <n v="81.106308882190163"/>
    <s v="PLATINO"/>
    <n v="402"/>
    <d v="2026-02-27T15:58:19"/>
  </r>
  <r>
    <n v="17236"/>
    <x v="4"/>
    <n v="51004108"/>
    <n v="85.93270830272327"/>
    <s v="PLATINO"/>
    <n v="162"/>
    <d v="2026-02-27T15:58:19"/>
  </r>
  <r>
    <n v="17237"/>
    <x v="4"/>
    <n v="51030869"/>
    <n v="62.713311659431689"/>
    <s v="ORO"/>
    <n v="721"/>
    <d v="2026-02-27T15:58:19"/>
  </r>
  <r>
    <n v="17238"/>
    <x v="4"/>
    <n v="51031113"/>
    <n v="82.392495297111878"/>
    <s v="PLATINO"/>
    <n v="346"/>
    <d v="2026-02-27T15:58:19"/>
  </r>
  <r>
    <n v="17239"/>
    <x v="4"/>
    <n v="51033329"/>
    <n v="80.468000000000004"/>
    <s v="PLATINO"/>
    <n v="424"/>
    <d v="2026-02-27T15:58:19"/>
  </r>
  <r>
    <n v="17240"/>
    <x v="4"/>
    <n v="51042905"/>
    <n v="81.759999999999991"/>
    <s v="PLATINO"/>
    <n v="376"/>
    <d v="2026-02-27T15:58:19"/>
  </r>
  <r>
    <n v="17241"/>
    <x v="4"/>
    <n v="51010833"/>
    <n v="64.836712778137908"/>
    <s v="ORO"/>
    <n v="689"/>
    <d v="2026-02-27T15:58:19"/>
  </r>
  <r>
    <n v="17242"/>
    <x v="4"/>
    <n v="51042956"/>
    <n v="84.668042081529322"/>
    <s v="PLATINO"/>
    <n v="226"/>
    <d v="2026-02-27T15:58:19"/>
  </r>
  <r>
    <n v="17243"/>
    <x v="4"/>
    <n v="51039645"/>
    <n v="79.990424786572163"/>
    <s v="PLATINO"/>
    <n v="443"/>
    <d v="2026-02-27T15:58:19"/>
  </r>
  <r>
    <n v="17244"/>
    <x v="4"/>
    <n v="51021622"/>
    <n v="84.347303582189738"/>
    <s v="PLATINO"/>
    <n v="247"/>
    <d v="2026-02-27T15:58:19"/>
  </r>
  <r>
    <n v="17245"/>
    <x v="4"/>
    <n v="51031491"/>
    <n v="82.105000000000004"/>
    <s v="PLATINO"/>
    <n v="362"/>
    <d v="2026-02-27T15:58:19"/>
  </r>
  <r>
    <n v="17246"/>
    <x v="4"/>
    <n v="51020162"/>
    <n v="35.522283923664013"/>
    <s v="PLATA"/>
    <n v="859"/>
    <d v="2026-02-27T15:58:19"/>
  </r>
  <r>
    <n v="17247"/>
    <x v="4"/>
    <n v="51017056"/>
    <n v="19.998000000000001"/>
    <s v="BRONCE"/>
    <n v="908"/>
    <d v="2026-02-27T15:58:19"/>
  </r>
  <r>
    <n v="17248"/>
    <x v="4"/>
    <n v="51056019"/>
    <n v="61.610356656410538"/>
    <s v="ORO"/>
    <n v="750"/>
    <d v="2026-02-27T15:58:19"/>
  </r>
  <r>
    <n v="17249"/>
    <x v="4"/>
    <n v="51017579"/>
    <n v="61.218512364281928"/>
    <s v="ORO"/>
    <n v="758"/>
    <d v="2026-02-27T15:58:19"/>
  </r>
  <r>
    <n v="17250"/>
    <x v="4"/>
    <n v="51015487"/>
    <n v="61.506089757824903"/>
    <s v="ORO"/>
    <n v="756"/>
    <d v="2026-02-27T15:58:19"/>
  </r>
  <r>
    <n v="17251"/>
    <x v="4"/>
    <n v="51040333"/>
    <n v="70.430294163247709"/>
    <s v="ORO"/>
    <n v="638"/>
    <d v="2026-02-27T15:58:19"/>
  </r>
  <r>
    <n v="17252"/>
    <x v="4"/>
    <n v="51017153"/>
    <n v="65.250638637024693"/>
    <s v="ORO"/>
    <n v="683"/>
    <d v="2026-02-27T15:58:19"/>
  </r>
  <r>
    <n v="17253"/>
    <x v="4"/>
    <n v="51021886"/>
    <n v="83.749760524346044"/>
    <s v="PLATINO"/>
    <n v="279"/>
    <d v="2026-02-27T15:58:19"/>
  </r>
  <r>
    <n v="17254"/>
    <x v="4"/>
    <n v="51023188"/>
    <n v="81.021089645350301"/>
    <s v="PLATINO"/>
    <n v="409"/>
    <d v="2026-02-27T15:58:19"/>
  </r>
  <r>
    <n v="17255"/>
    <x v="4"/>
    <n v="51055667"/>
    <n v="18.524718145549141"/>
    <s v="BRONCE"/>
    <n v="951"/>
    <d v="2026-02-27T15:58:19"/>
  </r>
  <r>
    <n v="17256"/>
    <x v="4"/>
    <n v="51020081"/>
    <n v="84.34306557333386"/>
    <s v="PLATINO"/>
    <n v="248"/>
    <d v="2026-02-27T15:58:19"/>
  </r>
  <r>
    <n v="17257"/>
    <x v="4"/>
    <n v="51018729"/>
    <n v="73.028323729245784"/>
    <s v="ORO"/>
    <n v="614"/>
    <d v="2026-02-27T15:58:19"/>
  </r>
  <r>
    <n v="17258"/>
    <x v="4"/>
    <n v="51030222"/>
    <n v="62.509692508219267"/>
    <s v="ORO"/>
    <n v="729"/>
    <d v="2026-02-27T15:58:19"/>
  </r>
  <r>
    <n v="17259"/>
    <x v="4"/>
    <n v="51002717"/>
    <n v="14.75611407226117"/>
    <s v="BRONCE"/>
    <n v="988"/>
    <d v="2026-02-27T15:58:19"/>
  </r>
  <r>
    <n v="17260"/>
    <x v="4"/>
    <n v="51055454"/>
    <n v="36.94"/>
    <s v="PLATA"/>
    <n v="852"/>
    <d v="2026-02-27T15:58:19"/>
  </r>
  <r>
    <n v="17261"/>
    <x v="4"/>
    <n v="51055756"/>
    <n v="83.018000000000015"/>
    <s v="PLATINO"/>
    <n v="310"/>
    <d v="2026-02-27T15:58:19"/>
  </r>
  <r>
    <n v="17262"/>
    <x v="4"/>
    <n v="51011490"/>
    <n v="63.602397985861522"/>
    <s v="ORO"/>
    <n v="703"/>
    <d v="2026-02-27T15:58:19"/>
  </r>
  <r>
    <n v="17263"/>
    <x v="4"/>
    <n v="51010736"/>
    <n v="78.626110765181323"/>
    <s v="PLATINO"/>
    <n v="500"/>
    <d v="2026-02-27T15:58:19"/>
  </r>
  <r>
    <n v="17264"/>
    <x v="4"/>
    <n v="51016149"/>
    <n v="62.282314080278937"/>
    <s v="ORO"/>
    <n v="734"/>
    <d v="2026-02-27T15:58:19"/>
  </r>
  <r>
    <n v="17265"/>
    <x v="4"/>
    <n v="51013930"/>
    <n v="80.539823408735671"/>
    <s v="PLATINO"/>
    <n v="422"/>
    <d v="2026-02-27T15:58:19"/>
  </r>
  <r>
    <n v="17266"/>
    <x v="4"/>
    <n v="51055641"/>
    <n v="59.428218262533143"/>
    <s v="ORO"/>
    <n v="791"/>
    <d v="2026-02-27T15:58:19"/>
  </r>
  <r>
    <n v="17267"/>
    <x v="4"/>
    <n v="51021461"/>
    <n v="84.98"/>
    <s v="PLATINO"/>
    <n v="212"/>
    <d v="2026-02-27T15:58:19"/>
  </r>
  <r>
    <n v="17268"/>
    <x v="4"/>
    <n v="51039637"/>
    <n v="78.088642558819487"/>
    <s v="PLATINO"/>
    <n v="513"/>
    <d v="2026-02-27T15:58:19"/>
  </r>
  <r>
    <n v="17269"/>
    <x v="4"/>
    <n v="51020308"/>
    <n v="67.915300273799488"/>
    <s v="ORO"/>
    <n v="657"/>
    <d v="2026-02-27T15:58:19"/>
  </r>
  <r>
    <n v="17270"/>
    <x v="4"/>
    <n v="51040597"/>
    <n v="83.190790946703459"/>
    <s v="PLATINO"/>
    <n v="299"/>
    <d v="2026-02-27T15:58:19"/>
  </r>
  <r>
    <n v="17271"/>
    <x v="4"/>
    <n v="51014197"/>
    <n v="85.36"/>
    <s v="PLATINO"/>
    <n v="192"/>
    <d v="2026-02-27T15:58:19"/>
  </r>
  <r>
    <n v="17272"/>
    <x v="4"/>
    <n v="51056621"/>
    <n v="71.166607157409146"/>
    <s v="ORO"/>
    <n v="625"/>
    <d v="2026-02-27T15:58:19"/>
  </r>
  <r>
    <n v="17273"/>
    <x v="4"/>
    <n v="51018524"/>
    <n v="80.459781694754213"/>
    <s v="PLATINO"/>
    <n v="425"/>
    <d v="2026-02-27T15:58:19"/>
  </r>
  <r>
    <n v="17274"/>
    <x v="4"/>
    <n v="51056701"/>
    <n v="63.44"/>
    <s v="ORO"/>
    <n v="707"/>
    <d v="2026-02-27T15:58:19"/>
  </r>
  <r>
    <n v="17275"/>
    <x v="4"/>
    <n v="51057007"/>
    <n v="68.564635222216125"/>
    <s v="ORO"/>
    <n v="649"/>
    <d v="2026-02-27T15:58:19"/>
  </r>
  <r>
    <n v="17276"/>
    <x v="4"/>
    <n v="51011091"/>
    <n v="81.623300064555352"/>
    <s v="PLATINO"/>
    <n v="380"/>
    <d v="2026-02-27T15:58:19"/>
  </r>
  <r>
    <n v="17277"/>
    <x v="4"/>
    <n v="51011953"/>
    <n v="39.058"/>
    <s v="PLATA"/>
    <n v="844"/>
    <d v="2026-02-27T15:58:19"/>
  </r>
  <r>
    <n v="17278"/>
    <x v="4"/>
    <n v="51022955"/>
    <n v="67.355211095439643"/>
    <s v="ORO"/>
    <n v="662"/>
    <d v="2026-02-27T15:58:19"/>
  </r>
  <r>
    <n v="17279"/>
    <x v="4"/>
    <n v="51021673"/>
    <n v="19.989999999999998"/>
    <s v="BRONCE"/>
    <n v="917"/>
    <d v="2026-02-27T15:58:19"/>
  </r>
  <r>
    <n v="17280"/>
    <x v="4"/>
    <n v="51013476"/>
    <n v="79.238000000000014"/>
    <s v="PLATINO"/>
    <n v="476"/>
    <d v="2026-02-27T15:58:19"/>
  </r>
  <r>
    <n v="17281"/>
    <x v="4"/>
    <n v="51022998"/>
    <n v="80.328000000000003"/>
    <s v="PLATINO"/>
    <n v="433"/>
    <d v="2026-02-27T15:58:19"/>
  </r>
  <r>
    <n v="17282"/>
    <x v="4"/>
    <n v="51056485"/>
    <n v="79.457591258705264"/>
    <s v="PLATINO"/>
    <n v="467"/>
    <d v="2026-02-27T15:58:19"/>
  </r>
  <r>
    <n v="17283"/>
    <x v="4"/>
    <n v="51055705"/>
    <n v="79.798115675145254"/>
    <s v="PLATINO"/>
    <n v="452"/>
    <d v="2026-02-27T15:58:19"/>
  </r>
  <r>
    <n v="17284"/>
    <x v="4"/>
    <n v="51041798"/>
    <n v="28.46428568536939"/>
    <s v="BRONCE"/>
    <n v="880"/>
    <d v="2026-02-27T15:58:19"/>
  </r>
  <r>
    <n v="17285"/>
    <x v="4"/>
    <n v="51020600"/>
    <n v="82.910359169473168"/>
    <s v="PLATINO"/>
    <n v="316"/>
    <d v="2026-02-27T15:58:19"/>
  </r>
  <r>
    <n v="17286"/>
    <x v="4"/>
    <n v="51033795"/>
    <n v="32.858623604168272"/>
    <s v="PLATA"/>
    <n v="863"/>
    <d v="2026-02-27T15:58:19"/>
  </r>
  <r>
    <n v="17287"/>
    <x v="4"/>
    <n v="51030419"/>
    <n v="60.41249318020003"/>
    <s v="ORO"/>
    <n v="779"/>
    <d v="2026-02-27T15:58:19"/>
  </r>
  <r>
    <n v="17288"/>
    <x v="4"/>
    <n v="51038819"/>
    <n v="81.768918665574546"/>
    <s v="PLATINO"/>
    <n v="375"/>
    <d v="2026-02-27T15:58:19"/>
  </r>
  <r>
    <n v="17289"/>
    <x v="4"/>
    <n v="51021851"/>
    <n v="79.632850990787333"/>
    <s v="PLATINO"/>
    <n v="458"/>
    <d v="2026-02-27T15:58:19"/>
  </r>
  <r>
    <n v="17290"/>
    <x v="4"/>
    <n v="51004086"/>
    <n v="19.98"/>
    <s v="BRONCE"/>
    <n v="921"/>
    <d v="2026-02-27T15:58:19"/>
  </r>
  <r>
    <n v="17291"/>
    <x v="4"/>
    <n v="51017111"/>
    <n v="78.047588687592466"/>
    <s v="PLATINO"/>
    <n v="516"/>
    <d v="2026-02-27T15:58:19"/>
  </r>
  <r>
    <n v="17292"/>
    <x v="4"/>
    <n v="51022106"/>
    <n v="72.116287251402227"/>
    <s v="ORO"/>
    <n v="623"/>
    <d v="2026-02-27T15:58:19"/>
  </r>
  <r>
    <n v="17293"/>
    <x v="4"/>
    <n v="51056205"/>
    <n v="85.022701128217207"/>
    <s v="PLATINO"/>
    <n v="207"/>
    <d v="2026-02-27T15:58:19"/>
  </r>
  <r>
    <n v="17294"/>
    <x v="4"/>
    <n v="51055870"/>
    <n v="79.900000000000006"/>
    <s v="PLATINO"/>
    <n v="447"/>
    <d v="2026-02-27T15:58:19"/>
  </r>
  <r>
    <n v="17295"/>
    <x v="4"/>
    <n v="51017226"/>
    <n v="32.557266068798178"/>
    <s v="PLATA"/>
    <n v="866"/>
    <d v="2026-02-27T15:58:19"/>
  </r>
  <r>
    <n v="17296"/>
    <x v="4"/>
    <n v="51056965"/>
    <n v="16.044658002574419"/>
    <s v="BRONCE"/>
    <n v="981"/>
    <d v="2026-02-27T15:58:19"/>
  </r>
  <r>
    <n v="17297"/>
    <x v="4"/>
    <n v="51033671"/>
    <n v="81.02000000000001"/>
    <s v="PLATINO"/>
    <n v="410"/>
    <d v="2026-02-27T15:58:19"/>
  </r>
  <r>
    <n v="17298"/>
    <x v="4"/>
    <n v="51038797"/>
    <n v="80.426655147950072"/>
    <s v="PLATINO"/>
    <n v="429"/>
    <d v="2026-02-27T15:58:19"/>
  </r>
  <r>
    <n v="17299"/>
    <x v="4"/>
    <n v="51013492"/>
    <n v="65.638586702658301"/>
    <s v="ORO"/>
    <n v="679"/>
    <d v="2026-02-27T15:58:19"/>
  </r>
  <r>
    <n v="17300"/>
    <x v="4"/>
    <n v="51019415"/>
    <n v="83.005021851028573"/>
    <s v="PLATINO"/>
    <n v="311"/>
    <d v="2026-02-27T15:58:19"/>
  </r>
  <r>
    <n v="17301"/>
    <x v="4"/>
    <n v="51036107"/>
    <n v="19.92569041162195"/>
    <s v="BRONCE"/>
    <n v="928"/>
    <d v="2026-02-27T15:58:19"/>
  </r>
  <r>
    <n v="17302"/>
    <x v="4"/>
    <n v="51056990"/>
    <n v="81.109211738424293"/>
    <s v="PLATINO"/>
    <n v="401"/>
    <d v="2026-02-27T15:58:19"/>
  </r>
  <r>
    <n v="17303"/>
    <x v="4"/>
    <n v="51025296"/>
    <n v="80.775084507483612"/>
    <s v="PLATINO"/>
    <n v="417"/>
    <d v="2026-02-27T15:58:19"/>
  </r>
  <r>
    <n v="17304"/>
    <x v="4"/>
    <n v="51056639"/>
    <n v="19.432025539731669"/>
    <s v="BRONCE"/>
    <n v="934"/>
    <d v="2026-02-27T15:58:19"/>
  </r>
  <r>
    <n v="17305"/>
    <x v="4"/>
    <n v="51015029"/>
    <n v="84.244287457191874"/>
    <s v="PLATINO"/>
    <n v="257"/>
    <d v="2026-02-27T15:58:19"/>
  </r>
  <r>
    <n v="17306"/>
    <x v="4"/>
    <n v="51055730"/>
    <n v="81.873253223073334"/>
    <s v="PLATINO"/>
    <n v="372"/>
    <d v="2026-02-27T15:58:19"/>
  </r>
  <r>
    <n v="17307"/>
    <x v="4"/>
    <n v="51018257"/>
    <n v="60.185542985262217"/>
    <s v="ORO"/>
    <n v="782"/>
    <d v="2026-02-27T15:58:19"/>
  </r>
  <r>
    <n v="17308"/>
    <x v="4"/>
    <n v="51055845"/>
    <n v="81.686300741385622"/>
    <s v="PLATINO"/>
    <n v="379"/>
    <d v="2026-02-27T15:58:19"/>
  </r>
  <r>
    <n v="17309"/>
    <x v="4"/>
    <n v="51028015"/>
    <n v="82.706247135136579"/>
    <s v="PLATINO"/>
    <n v="325"/>
    <d v="2026-02-27T15:58:19"/>
  </r>
  <r>
    <n v="17310"/>
    <x v="4"/>
    <n v="51012887"/>
    <n v="63.158000000000001"/>
    <s v="ORO"/>
    <n v="712"/>
    <d v="2026-02-27T15:58:19"/>
  </r>
  <r>
    <n v="17311"/>
    <x v="4"/>
    <n v="51010311"/>
    <n v="61.732812228099931"/>
    <s v="ORO"/>
    <n v="744"/>
    <d v="2026-02-27T15:58:19"/>
  </r>
  <r>
    <n v="17312"/>
    <x v="4"/>
    <n v="51036638"/>
    <n v="75.560238168941439"/>
    <s v="PLATINO"/>
    <n v="581"/>
    <d v="2026-02-27T15:58:19"/>
  </r>
  <r>
    <n v="17313"/>
    <x v="4"/>
    <n v="51033442"/>
    <n v="85.14"/>
    <s v="PLATINO"/>
    <n v="199"/>
    <d v="2026-02-27T15:58:19"/>
  </r>
  <r>
    <n v="17314"/>
    <x v="4"/>
    <n v="51014774"/>
    <n v="83.988374111675583"/>
    <s v="PLATINO"/>
    <n v="268"/>
    <d v="2026-02-27T15:58:19"/>
  </r>
  <r>
    <n v="17315"/>
    <x v="4"/>
    <n v="51043847"/>
    <n v="67.788507350389239"/>
    <s v="ORO"/>
    <n v="659"/>
    <d v="2026-02-27T15:58:19"/>
  </r>
  <r>
    <n v="17316"/>
    <x v="4"/>
    <n v="51032381"/>
    <n v="75.265334926500344"/>
    <s v="PLATINO"/>
    <n v="585"/>
    <d v="2026-02-27T15:58:19"/>
  </r>
  <r>
    <n v="17317"/>
    <x v="4"/>
    <n v="51018508"/>
    <n v="64.266246655172893"/>
    <s v="ORO"/>
    <n v="695"/>
    <d v="2026-02-27T15:58:19"/>
  </r>
  <r>
    <n v="17318"/>
    <x v="4"/>
    <n v="51003616"/>
    <n v="84.365515098512034"/>
    <s v="PLATINO"/>
    <n v="246"/>
    <d v="2026-02-27T15:58:19"/>
  </r>
  <r>
    <n v="17319"/>
    <x v="4"/>
    <n v="51038932"/>
    <n v="62.569326097487263"/>
    <s v="ORO"/>
    <n v="725"/>
    <d v="2026-02-27T15:58:19"/>
  </r>
  <r>
    <n v="17320"/>
    <x v="4"/>
    <n v="51039211"/>
    <n v="36.463361576287483"/>
    <s v="PLATA"/>
    <n v="854"/>
    <d v="2026-02-27T15:58:19"/>
  </r>
  <r>
    <n v="17321"/>
    <x v="4"/>
    <n v="51018664"/>
    <n v="20"/>
    <s v="BRONCE"/>
    <n v="889"/>
    <d v="2026-02-27T15:58:19"/>
  </r>
  <r>
    <n v="17322"/>
    <x v="4"/>
    <n v="51056671"/>
    <n v="79.70194351844728"/>
    <s v="PLATINO"/>
    <n v="456"/>
    <d v="2026-02-27T15:58:19"/>
  </r>
  <r>
    <n v="17323"/>
    <x v="4"/>
    <n v="51055462"/>
    <n v="80.97739914725264"/>
    <s v="PLATINO"/>
    <n v="413"/>
    <d v="2026-02-27T15:58:19"/>
  </r>
  <r>
    <n v="17324"/>
    <x v="4"/>
    <n v="51014081"/>
    <n v="19.984999999999999"/>
    <s v="BRONCE"/>
    <n v="919"/>
    <d v="2026-02-27T15:58:19"/>
  </r>
  <r>
    <n v="17325"/>
    <x v="4"/>
    <n v="51055918"/>
    <n v="81.235250880800919"/>
    <s v="PLATINO"/>
    <n v="394"/>
    <d v="2026-02-27T15:58:19"/>
  </r>
  <r>
    <n v="17326"/>
    <x v="4"/>
    <n v="51016785"/>
    <n v="81.074374345565772"/>
    <s v="PLATINO"/>
    <n v="407"/>
    <d v="2026-02-27T15:58:19"/>
  </r>
  <r>
    <n v="17327"/>
    <x v="4"/>
    <n v="51055268"/>
    <n v="17.653356983371001"/>
    <s v="BRONCE"/>
    <n v="970"/>
    <d v="2026-02-27T15:58:19"/>
  </r>
  <r>
    <n v="17328"/>
    <x v="4"/>
    <n v="51015533"/>
    <n v="79.286144808695141"/>
    <s v="PLATINO"/>
    <n v="473"/>
    <d v="2026-02-27T15:58:19"/>
  </r>
  <r>
    <n v="17329"/>
    <x v="4"/>
    <n v="51018371"/>
    <n v="17.670376026489581"/>
    <s v="BRONCE"/>
    <n v="969"/>
    <d v="2026-02-27T15:58:19"/>
  </r>
  <r>
    <n v="17330"/>
    <x v="4"/>
    <n v="51004027"/>
    <n v="70.236736788932703"/>
    <s v="ORO"/>
    <n v="641"/>
    <d v="2026-02-27T15:58:19"/>
  </r>
  <r>
    <n v="17331"/>
    <x v="4"/>
    <n v="51011660"/>
    <n v="61.682296008230097"/>
    <s v="ORO"/>
    <n v="746"/>
    <d v="2026-02-27T15:58:19"/>
  </r>
  <r>
    <n v="17332"/>
    <x v="4"/>
    <n v="51022556"/>
    <n v="82.671180562865985"/>
    <s v="PLATINO"/>
    <n v="330"/>
    <d v="2026-02-27T15:58:19"/>
  </r>
  <r>
    <n v="17333"/>
    <x v="4"/>
    <n v="51018427"/>
    <n v="81.298150460365889"/>
    <s v="PLATINO"/>
    <n v="388"/>
    <d v="2026-02-27T15:58:19"/>
  </r>
  <r>
    <n v="17334"/>
    <x v="4"/>
    <n v="51024516"/>
    <n v="81.315999999999988"/>
    <s v="PLATINO"/>
    <n v="387"/>
    <d v="2026-02-27T15:58:19"/>
  </r>
  <r>
    <n v="17335"/>
    <x v="4"/>
    <n v="51011856"/>
    <n v="79.192587444621182"/>
    <s v="PLATINO"/>
    <n v="477"/>
    <d v="2026-02-27T15:58:19"/>
  </r>
  <r>
    <n v="17336"/>
    <x v="4"/>
    <n v="51032322"/>
    <n v="80.3"/>
    <s v="PLATINO"/>
    <n v="435"/>
    <d v="2026-02-27T15:58:19"/>
  </r>
  <r>
    <n v="17337"/>
    <x v="4"/>
    <n v="51013859"/>
    <n v="28.095081826291281"/>
    <s v="BRONCE"/>
    <n v="881"/>
    <d v="2026-02-27T15:58:19"/>
  </r>
  <r>
    <n v="17338"/>
    <x v="4"/>
    <n v="51008430"/>
    <n v="79.723144116306173"/>
    <s v="PLATINO"/>
    <n v="453"/>
    <d v="2026-02-27T15:58:19"/>
  </r>
  <r>
    <n v="17339"/>
    <x v="4"/>
    <n v="51042158"/>
    <n v="80.715045549835409"/>
    <s v="PLATINO"/>
    <n v="420"/>
    <d v="2026-02-27T15:58:19"/>
  </r>
  <r>
    <n v="17340"/>
    <x v="4"/>
    <n v="51011627"/>
    <n v="18.168398869590799"/>
    <s v="BRONCE"/>
    <n v="955"/>
    <d v="2026-02-27T15:58:19"/>
  </r>
  <r>
    <n v="17341"/>
    <x v="4"/>
    <n v="51010426"/>
    <n v="79.961611895698056"/>
    <s v="PLATINO"/>
    <n v="445"/>
    <d v="2026-02-27T15:58:19"/>
  </r>
  <r>
    <n v="17342"/>
    <x v="4"/>
    <n v="51033205"/>
    <n v="82.752274274603536"/>
    <s v="PLATINO"/>
    <n v="322"/>
    <d v="2026-02-27T15:58:19"/>
  </r>
  <r>
    <n v="17343"/>
    <x v="4"/>
    <n v="51035976"/>
    <n v="61.77051035009687"/>
    <s v="ORO"/>
    <n v="743"/>
    <d v="2026-02-27T15:58:19"/>
  </r>
  <r>
    <n v="17344"/>
    <x v="4"/>
    <n v="51010914"/>
    <n v="84.096769022354025"/>
    <s v="PLATINO"/>
    <n v="263"/>
    <d v="2026-02-27T15:58:19"/>
  </r>
  <r>
    <n v="17345"/>
    <x v="4"/>
    <n v="51023129"/>
    <n v="79.561464273253577"/>
    <s v="PLATINO"/>
    <n v="460"/>
    <d v="2026-02-27T15:58:19"/>
  </r>
  <r>
    <n v="17346"/>
    <x v="4"/>
    <n v="51054857"/>
    <n v="84.986799784959459"/>
    <s v="PLATINO"/>
    <n v="211"/>
    <d v="2026-02-27T15:58:19"/>
  </r>
  <r>
    <n v="17347"/>
    <x v="4"/>
    <n v="51055926"/>
    <n v="61.84"/>
    <s v="ORO"/>
    <n v="741"/>
    <d v="2026-02-27T15:58:19"/>
  </r>
  <r>
    <n v="17348"/>
    <x v="4"/>
    <n v="51021282"/>
    <n v="19.4167012598685"/>
    <s v="BRONCE"/>
    <n v="935"/>
    <d v="2026-02-27T15:58:19"/>
  </r>
  <r>
    <n v="17349"/>
    <x v="4"/>
    <n v="51031369"/>
    <n v="62.56"/>
    <s v="ORO"/>
    <n v="726"/>
    <d v="2026-02-27T15:58:19"/>
  </r>
  <r>
    <n v="17350"/>
    <x v="4"/>
    <n v="51024621"/>
    <n v="80.226246007619764"/>
    <s v="PLATINO"/>
    <n v="437"/>
    <d v="2026-02-27T15:58:19"/>
  </r>
  <r>
    <n v="17351"/>
    <x v="4"/>
    <n v="51032284"/>
    <n v="69.657262934587223"/>
    <s v="ORO"/>
    <n v="645"/>
    <d v="2026-02-27T15:58:19"/>
  </r>
  <r>
    <n v="17352"/>
    <x v="4"/>
    <n v="51018966"/>
    <n v="81.101645459467946"/>
    <s v="PLATINO"/>
    <n v="403"/>
    <d v="2026-02-27T15:58:19"/>
  </r>
  <r>
    <n v="17353"/>
    <x v="4"/>
    <n v="51012623"/>
    <n v="66.688504273769269"/>
    <s v="ORO"/>
    <n v="665"/>
    <d v="2026-02-27T15:58:19"/>
  </r>
  <r>
    <n v="17354"/>
    <x v="4"/>
    <n v="51019121"/>
    <n v="82.58579408397317"/>
    <s v="PLATINO"/>
    <n v="336"/>
    <d v="2026-02-27T15:58:19"/>
  </r>
  <r>
    <n v="17355"/>
    <x v="4"/>
    <n v="51036085"/>
    <n v="66.533399061007543"/>
    <s v="ORO"/>
    <n v="668"/>
    <d v="2026-02-27T15:58:19"/>
  </r>
  <r>
    <n v="17356"/>
    <x v="4"/>
    <n v="51002164"/>
    <n v="73.626588633298155"/>
    <s v="ORO"/>
    <n v="608"/>
    <d v="2026-02-27T15:58:19"/>
  </r>
  <r>
    <n v="17357"/>
    <x v="4"/>
    <n v="51013182"/>
    <n v="86.36"/>
    <s v="PLATINO"/>
    <n v="135"/>
    <d v="2026-02-27T15:58:19"/>
  </r>
  <r>
    <n v="17358"/>
    <x v="4"/>
    <n v="51033086"/>
    <n v="17.382713367108838"/>
    <s v="BRONCE"/>
    <n v="975"/>
    <d v="2026-02-27T15:58:19"/>
  </r>
  <r>
    <n v="17359"/>
    <x v="4"/>
    <n v="51029038"/>
    <n v="83.543275438686564"/>
    <s v="PLATINO"/>
    <n v="286"/>
    <d v="2026-02-27T15:58:19"/>
  </r>
  <r>
    <n v="17360"/>
    <x v="4"/>
    <n v="51024168"/>
    <n v="31.236194659499741"/>
    <s v="PLATA"/>
    <n v="869"/>
    <d v="2026-02-27T15:58:19"/>
  </r>
  <r>
    <n v="17361"/>
    <x v="4"/>
    <n v="51023455"/>
    <n v="54.019551558016843"/>
    <s v="PLATA"/>
    <n v="808"/>
    <d v="2026-02-27T15:58:19"/>
  </r>
  <r>
    <n v="17362"/>
    <x v="4"/>
    <n v="51016131"/>
    <n v="79.177709416670083"/>
    <s v="PLATINO"/>
    <n v="478"/>
    <d v="2026-02-27T15:58:19"/>
  </r>
  <r>
    <n v="17363"/>
    <x v="4"/>
    <n v="51016408"/>
    <n v="87.035510421502877"/>
    <s v="PLATINO"/>
    <n v="98"/>
    <d v="2026-02-27T15:58:19"/>
  </r>
  <r>
    <n v="17364"/>
    <x v="4"/>
    <n v="51056914"/>
    <n v="82.127125492164495"/>
    <s v="PLATINO"/>
    <n v="360"/>
    <d v="2026-02-27T15:58:19"/>
  </r>
  <r>
    <n v="17365"/>
    <x v="4"/>
    <n v="51016858"/>
    <n v="81.22"/>
    <s v="PLATINO"/>
    <n v="395"/>
    <d v="2026-02-27T15:58:19"/>
  </r>
  <r>
    <n v="17366"/>
    <x v="4"/>
    <n v="51035666"/>
    <n v="78.081906939694747"/>
    <s v="PLATINO"/>
    <n v="514"/>
    <d v="2026-02-27T15:58:19"/>
  </r>
  <r>
    <n v="17367"/>
    <x v="4"/>
    <n v="51022068"/>
    <n v="79.269664535374787"/>
    <s v="PLATINO"/>
    <n v="474"/>
    <d v="2026-02-27T15:58:19"/>
  </r>
  <r>
    <n v="17368"/>
    <x v="4"/>
    <n v="51013611"/>
    <n v="65.126389735248637"/>
    <s v="ORO"/>
    <n v="686"/>
    <d v="2026-02-27T15:58:19"/>
  </r>
  <r>
    <n v="17369"/>
    <x v="4"/>
    <n v="51013115"/>
    <n v="62.865000000000002"/>
    <s v="ORO"/>
    <n v="719"/>
    <d v="2026-02-27T15:58:19"/>
  </r>
  <r>
    <n v="17370"/>
    <x v="4"/>
    <n v="51056744"/>
    <n v="64.66668164105063"/>
    <s v="ORO"/>
    <n v="690"/>
    <d v="2026-02-27T15:58:19"/>
  </r>
  <r>
    <n v="17371"/>
    <x v="4"/>
    <n v="51031822"/>
    <n v="81.359779527178034"/>
    <s v="PLATINO"/>
    <n v="386"/>
    <d v="2026-02-27T15:58:19"/>
  </r>
  <r>
    <n v="17372"/>
    <x v="4"/>
    <n v="51025938"/>
    <n v="41.470817325061923"/>
    <s v="PLATA"/>
    <n v="840"/>
    <d v="2026-02-27T15:58:19"/>
  </r>
  <r>
    <n v="17373"/>
    <x v="4"/>
    <n v="51030141"/>
    <n v="80.764005836571314"/>
    <s v="PLATINO"/>
    <n v="418"/>
    <d v="2026-02-27T15:58:19"/>
  </r>
  <r>
    <n v="17374"/>
    <x v="4"/>
    <n v="51004698"/>
    <n v="60.205763999798663"/>
    <s v="ORO"/>
    <n v="781"/>
    <d v="2026-02-27T15:58:19"/>
  </r>
  <r>
    <n v="17375"/>
    <x v="4"/>
    <n v="51029585"/>
    <n v="78.792812627667359"/>
    <s v="PLATINO"/>
    <n v="495"/>
    <d v="2026-02-27T15:58:19"/>
  </r>
  <r>
    <n v="17376"/>
    <x v="4"/>
    <n v="51018389"/>
    <n v="66.751771949836979"/>
    <s v="ORO"/>
    <n v="664"/>
    <d v="2026-02-27T15:58:19"/>
  </r>
  <r>
    <n v="17377"/>
    <x v="4"/>
    <n v="51017137"/>
    <n v="62.96"/>
    <s v="ORO"/>
    <n v="717"/>
    <d v="2026-02-27T15:58:19"/>
  </r>
  <r>
    <n v="17378"/>
    <x v="4"/>
    <n v="51041232"/>
    <n v="79.332612738169928"/>
    <s v="PLATINO"/>
    <n v="472"/>
    <d v="2026-02-27T15:58:19"/>
  </r>
  <r>
    <n v="17379"/>
    <x v="4"/>
    <n v="51022769"/>
    <n v="56.333835862524047"/>
    <s v="ORO"/>
    <n v="804"/>
    <d v="2026-02-27T15:58:19"/>
  </r>
  <r>
    <n v="17380"/>
    <x v="4"/>
    <n v="51031164"/>
    <n v="20"/>
    <s v="BRONCE"/>
    <n v="889"/>
    <d v="2026-02-27T15:58:19"/>
  </r>
  <r>
    <n v="17381"/>
    <x v="4"/>
    <n v="51030371"/>
    <n v="82.775328646362922"/>
    <s v="PLATINO"/>
    <n v="321"/>
    <d v="2026-02-27T15:58:19"/>
  </r>
  <r>
    <n v="17382"/>
    <x v="4"/>
    <n v="51040392"/>
    <n v="36.508700688744547"/>
    <s v="PLATA"/>
    <n v="853"/>
    <d v="2026-02-27T15:58:19"/>
  </r>
  <r>
    <n v="17383"/>
    <x v="4"/>
    <n v="51014693"/>
    <n v="83.032501176195524"/>
    <s v="PLATINO"/>
    <n v="309"/>
    <d v="2026-02-27T15:58:19"/>
  </r>
  <r>
    <n v="17384"/>
    <x v="4"/>
    <n v="51055551"/>
    <n v="20"/>
    <s v="BRONCE"/>
    <n v="889"/>
    <d v="2026-02-27T15:58:19"/>
  </r>
  <r>
    <n v="17385"/>
    <x v="4"/>
    <n v="51012593"/>
    <n v="82.214294561113363"/>
    <s v="PLATINO"/>
    <n v="356"/>
    <d v="2026-02-27T15:58:19"/>
  </r>
  <r>
    <n v="17386"/>
    <x v="4"/>
    <n v="51015908"/>
    <n v="82.599378913975585"/>
    <s v="PLATINO"/>
    <n v="335"/>
    <d v="2026-02-27T15:58:19"/>
  </r>
  <r>
    <n v="17387"/>
    <x v="4"/>
    <n v="51015924"/>
    <n v="87.16"/>
    <s v="PLATINO"/>
    <n v="89"/>
    <d v="2026-02-27T15:58:19"/>
  </r>
  <r>
    <n v="17388"/>
    <x v="4"/>
    <n v="51034252"/>
    <n v="81.873516472520095"/>
    <s v="PLATINO"/>
    <n v="371"/>
    <d v="2026-02-27T15:58:19"/>
  </r>
  <r>
    <n v="17389"/>
    <x v="4"/>
    <n v="51017676"/>
    <n v="84.188624372337316"/>
    <s v="PLATINO"/>
    <n v="258"/>
    <d v="2026-02-27T15:58:19"/>
  </r>
  <r>
    <n v="17390"/>
    <x v="4"/>
    <n v="51033655"/>
    <n v="70.633966030951441"/>
    <s v="ORO"/>
    <n v="635"/>
    <d v="2026-02-27T15:58:19"/>
  </r>
  <r>
    <n v="17391"/>
    <x v="4"/>
    <n v="51014740"/>
    <n v="78.248293762225813"/>
    <s v="PLATINO"/>
    <n v="508"/>
    <d v="2026-02-27T15:58:19"/>
  </r>
  <r>
    <n v="17392"/>
    <x v="4"/>
    <n v="51011287"/>
    <n v="78.005548681579356"/>
    <s v="PLATINO"/>
    <n v="519"/>
    <d v="2026-02-27T15:58:19"/>
  </r>
  <r>
    <n v="17393"/>
    <x v="4"/>
    <n v="51026306"/>
    <n v="77.595934156208756"/>
    <s v="PLATINO"/>
    <n v="534"/>
    <d v="2026-02-27T15:58:19"/>
  </r>
  <r>
    <n v="17394"/>
    <x v="4"/>
    <n v="51040325"/>
    <n v="60.675516072460589"/>
    <s v="ORO"/>
    <n v="770"/>
    <d v="2026-02-27T15:58:19"/>
  </r>
  <r>
    <n v="17395"/>
    <x v="4"/>
    <n v="51055543"/>
    <n v="82.378161832546965"/>
    <s v="PLATINO"/>
    <n v="349"/>
    <d v="2026-02-27T15:58:19"/>
  </r>
  <r>
    <n v="17396"/>
    <x v="4"/>
    <n v="51037031"/>
    <n v="77.434717546608113"/>
    <s v="PLATINO"/>
    <n v="542"/>
    <d v="2026-02-27T15:58:19"/>
  </r>
  <r>
    <n v="17397"/>
    <x v="4"/>
    <n v="51057244"/>
    <n v="66.441186199758064"/>
    <s v="ORO"/>
    <n v="669"/>
    <d v="2026-02-27T15:58:19"/>
  </r>
  <r>
    <n v="17398"/>
    <x v="4"/>
    <n v="51032004"/>
    <n v="18.041434854641849"/>
    <s v="BRONCE"/>
    <n v="959"/>
    <d v="2026-02-27T15:58:19"/>
  </r>
  <r>
    <n v="17399"/>
    <x v="4"/>
    <n v="51019253"/>
    <n v="72.313749122998217"/>
    <s v="ORO"/>
    <n v="620"/>
    <d v="2026-02-27T15:58:19"/>
  </r>
  <r>
    <n v="17400"/>
    <x v="4"/>
    <n v="51008413"/>
    <n v="79.636539628925149"/>
    <s v="PLATINO"/>
    <n v="457"/>
    <d v="2026-02-27T15:58:19"/>
  </r>
  <r>
    <n v="17401"/>
    <x v="4"/>
    <n v="51018265"/>
    <n v="81.368752868492365"/>
    <s v="PLATINO"/>
    <n v="385"/>
    <d v="2026-02-27T15:58:19"/>
  </r>
  <r>
    <n v="17402"/>
    <x v="4"/>
    <n v="51022050"/>
    <n v="18.815849933400489"/>
    <s v="BRONCE"/>
    <n v="946"/>
    <d v="2026-02-27T15:58:19"/>
  </r>
  <r>
    <n v="17403"/>
    <x v="4"/>
    <n v="51016076"/>
    <n v="79.458583535122699"/>
    <s v="PLATINO"/>
    <n v="466"/>
    <d v="2026-02-27T15:58:19"/>
  </r>
  <r>
    <n v="17404"/>
    <x v="4"/>
    <n v="51014634"/>
    <n v="83.137640080142646"/>
    <s v="PLATINO"/>
    <n v="301"/>
    <d v="2026-02-27T15:58:19"/>
  </r>
  <r>
    <n v="17405"/>
    <x v="4"/>
    <n v="51004655"/>
    <n v="78.934717205650657"/>
    <s v="PLATINO"/>
    <n v="488"/>
    <d v="2026-02-27T15:58:19"/>
  </r>
  <r>
    <n v="17406"/>
    <x v="4"/>
    <n v="51030974"/>
    <n v="19.98"/>
    <s v="BRONCE"/>
    <n v="921"/>
    <d v="2026-02-27T15:58:19"/>
  </r>
  <r>
    <n v="17407"/>
    <x v="4"/>
    <n v="51056787"/>
    <n v="79.461204405813888"/>
    <s v="PLATINO"/>
    <n v="464"/>
    <d v="2026-02-27T15:58:19"/>
  </r>
  <r>
    <n v="17408"/>
    <x v="4"/>
    <n v="51032802"/>
    <n v="80.44"/>
    <s v="PLATINO"/>
    <n v="427"/>
    <d v="2026-02-27T15:58:19"/>
  </r>
  <r>
    <n v="17409"/>
    <x v="4"/>
    <n v="51043677"/>
    <n v="80.798509973531608"/>
    <s v="PLATINO"/>
    <n v="416"/>
    <d v="2026-02-27T15:58:19"/>
  </r>
  <r>
    <n v="17410"/>
    <x v="4"/>
    <n v="51022467"/>
    <n v="61.650290792956604"/>
    <s v="ORO"/>
    <n v="749"/>
    <d v="2026-02-27T15:58:19"/>
  </r>
  <r>
    <n v="17411"/>
    <x v="4"/>
    <n v="51055225"/>
    <n v="80.722367747864908"/>
    <s v="PLATINO"/>
    <n v="419"/>
    <d v="2026-02-27T15:58:19"/>
  </r>
  <r>
    <n v="17412"/>
    <x v="4"/>
    <n v="51041666"/>
    <n v="87.416034989296449"/>
    <s v="PLATINO"/>
    <n v="71"/>
    <d v="2026-02-27T15:58:19"/>
  </r>
  <r>
    <n v="17413"/>
    <x v="4"/>
    <n v="51024753"/>
    <n v="77.86258495954381"/>
    <s v="PLATINO"/>
    <n v="527"/>
    <d v="2026-02-27T15:58:19"/>
  </r>
  <r>
    <n v="17414"/>
    <x v="4"/>
    <n v="51023901"/>
    <n v="81.44"/>
    <s v="PLATINO"/>
    <n v="384"/>
    <d v="2026-02-27T15:58:19"/>
  </r>
  <r>
    <n v="17415"/>
    <x v="4"/>
    <n v="51038401"/>
    <n v="77.641574971728247"/>
    <s v="PLATINO"/>
    <n v="532"/>
    <d v="2026-02-27T15:58:19"/>
  </r>
  <r>
    <n v="17416"/>
    <x v="4"/>
    <n v="51023226"/>
    <n v="78.310760136861916"/>
    <s v="PLATINO"/>
    <n v="504"/>
    <d v="2026-02-27T15:58:19"/>
  </r>
  <r>
    <n v="17417"/>
    <x v="4"/>
    <n v="51019717"/>
    <n v="82.395974670407398"/>
    <s v="PLATINO"/>
    <n v="345"/>
    <d v="2026-02-27T15:58:19"/>
  </r>
  <r>
    <n v="17418"/>
    <x v="4"/>
    <n v="51007115"/>
    <n v="76.244601171835029"/>
    <s v="PLATINO"/>
    <n v="568"/>
    <d v="2026-02-27T15:58:19"/>
  </r>
  <r>
    <n v="17419"/>
    <x v="4"/>
    <n v="51016637"/>
    <n v="75.076362438278267"/>
    <s v="PLATINO"/>
    <n v="591"/>
    <d v="2026-02-27T15:58:19"/>
  </r>
  <r>
    <n v="17420"/>
    <x v="4"/>
    <n v="51023439"/>
    <n v="74.339734408896007"/>
    <s v="ORO"/>
    <n v="597"/>
    <d v="2026-02-27T15:58:19"/>
  </r>
  <r>
    <n v="17421"/>
    <x v="4"/>
    <n v="51031334"/>
    <n v="58.829333532674518"/>
    <s v="ORO"/>
    <n v="796"/>
    <d v="2026-02-27T15:58:19"/>
  </r>
  <r>
    <n v="17422"/>
    <x v="4"/>
    <n v="51005368"/>
    <n v="79.706925059750347"/>
    <s v="PLATINO"/>
    <n v="455"/>
    <d v="2026-02-27T15:58:19"/>
  </r>
  <r>
    <n v="17423"/>
    <x v="4"/>
    <n v="51023803"/>
    <n v="82.36"/>
    <s v="PLATINO"/>
    <n v="350"/>
    <d v="2026-02-27T15:58:19"/>
  </r>
  <r>
    <n v="17424"/>
    <x v="4"/>
    <n v="51016777"/>
    <n v="79.455337345069879"/>
    <s v="PLATINO"/>
    <n v="468"/>
    <d v="2026-02-27T15:58:19"/>
  </r>
  <r>
    <n v="17425"/>
    <x v="4"/>
    <n v="51056094"/>
    <n v="79.267778093386013"/>
    <s v="PLATINO"/>
    <n v="475"/>
    <d v="2026-02-27T15:58:19"/>
  </r>
  <r>
    <n v="17426"/>
    <x v="4"/>
    <n v="51018044"/>
    <n v="19.998000000000001"/>
    <s v="BRONCE"/>
    <n v="908"/>
    <d v="2026-02-27T15:58:19"/>
  </r>
  <r>
    <n v="17427"/>
    <x v="4"/>
    <n v="51031318"/>
    <n v="60.91318922278333"/>
    <s v="ORO"/>
    <n v="763"/>
    <d v="2026-02-27T15:58:19"/>
  </r>
  <r>
    <n v="17428"/>
    <x v="4"/>
    <n v="51031750"/>
    <n v="78.799854595232063"/>
    <s v="PLATINO"/>
    <n v="494"/>
    <d v="2026-02-27T15:58:19"/>
  </r>
  <r>
    <n v="17429"/>
    <x v="4"/>
    <n v="51032063"/>
    <n v="80.995177899635038"/>
    <s v="PLATINO"/>
    <n v="411"/>
    <d v="2026-02-27T15:58:19"/>
  </r>
  <r>
    <n v="17430"/>
    <x v="4"/>
    <n v="51029232"/>
    <n v="19.96"/>
    <s v="BRONCE"/>
    <n v="925"/>
    <d v="2026-02-27T15:58:19"/>
  </r>
  <r>
    <n v="17431"/>
    <x v="4"/>
    <n v="51035879"/>
    <n v="79.414589803546363"/>
    <s v="PLATINO"/>
    <n v="470"/>
    <d v="2026-02-27T15:58:19"/>
  </r>
  <r>
    <n v="17432"/>
    <x v="4"/>
    <n v="51001044"/>
    <n v="80.490951127514379"/>
    <s v="PLATINO"/>
    <n v="423"/>
    <d v="2026-02-27T15:58:19"/>
  </r>
  <r>
    <n v="17433"/>
    <x v="4"/>
    <n v="51028929"/>
    <n v="79.153601260388569"/>
    <s v="PLATINO"/>
    <n v="480"/>
    <d v="2026-02-27T15:58:19"/>
  </r>
  <r>
    <n v="17434"/>
    <x v="4"/>
    <n v="51054873"/>
    <n v="61.508214359675598"/>
    <s v="ORO"/>
    <n v="755"/>
    <d v="2026-02-27T15:58:19"/>
  </r>
  <r>
    <n v="17435"/>
    <x v="4"/>
    <n v="51013913"/>
    <n v="32.692669138252782"/>
    <s v="PLATA"/>
    <n v="865"/>
    <d v="2026-02-27T15:58:19"/>
  </r>
  <r>
    <n v="17436"/>
    <x v="4"/>
    <n v="51033302"/>
    <n v="32.272091351860269"/>
    <s v="PLATA"/>
    <n v="867"/>
    <d v="2026-02-27T15:58:19"/>
  </r>
  <r>
    <n v="17437"/>
    <x v="4"/>
    <n v="51054806"/>
    <n v="61.666295591189908"/>
    <s v="ORO"/>
    <n v="747"/>
    <d v="2026-02-27T15:58:19"/>
  </r>
  <r>
    <n v="17438"/>
    <x v="4"/>
    <n v="51030567"/>
    <n v="33.505466136251179"/>
    <s v="PLATA"/>
    <n v="862"/>
    <d v="2026-02-27T15:58:19"/>
  </r>
  <r>
    <n v="17439"/>
    <x v="4"/>
    <n v="51014375"/>
    <n v="59.302438869361453"/>
    <s v="ORO"/>
    <n v="792"/>
    <d v="2026-02-27T15:58:19"/>
  </r>
  <r>
    <n v="17440"/>
    <x v="4"/>
    <n v="51056337"/>
    <n v="82.0431252630638"/>
    <s v="PLATINO"/>
    <n v="364"/>
    <d v="2026-02-27T15:58:19"/>
  </r>
  <r>
    <n v="17441"/>
    <x v="4"/>
    <n v="51054938"/>
    <n v="80.261353776171546"/>
    <s v="PLATINO"/>
    <n v="436"/>
    <d v="2026-02-27T15:58:19"/>
  </r>
  <r>
    <n v="17442"/>
    <x v="4"/>
    <n v="51024834"/>
    <n v="73.161230143249696"/>
    <s v="ORO"/>
    <n v="612"/>
    <d v="2026-02-27T15:58:19"/>
  </r>
  <r>
    <n v="17443"/>
    <x v="4"/>
    <n v="51016831"/>
    <n v="65.431555740649117"/>
    <s v="ORO"/>
    <n v="680"/>
    <d v="2026-02-27T15:58:19"/>
  </r>
  <r>
    <n v="17444"/>
    <x v="4"/>
    <n v="51023927"/>
    <n v="18.131049237199061"/>
    <s v="BRONCE"/>
    <n v="957"/>
    <d v="2026-02-27T15:58:19"/>
  </r>
  <r>
    <n v="17445"/>
    <x v="4"/>
    <n v="51020111"/>
    <n v="81.045705262112278"/>
    <s v="PLATINO"/>
    <n v="408"/>
    <d v="2026-02-27T15:58:19"/>
  </r>
  <r>
    <n v="17446"/>
    <x v="4"/>
    <n v="51055250"/>
    <n v="61.96"/>
    <s v="ORO"/>
    <n v="739"/>
    <d v="2026-02-27T15:58:19"/>
  </r>
  <r>
    <n v="17447"/>
    <x v="4"/>
    <n v="51018036"/>
    <n v="31.191391966985751"/>
    <s v="PLATA"/>
    <n v="870"/>
    <d v="2026-02-27T15:58:19"/>
  </r>
  <r>
    <n v="17448"/>
    <x v="4"/>
    <n v="51009797"/>
    <n v="77.926656532324898"/>
    <s v="PLATINO"/>
    <n v="523"/>
    <d v="2026-02-27T15:58:19"/>
  </r>
  <r>
    <n v="17449"/>
    <x v="4"/>
    <n v="51041917"/>
    <n v="79.518865126255136"/>
    <s v="PLATINO"/>
    <n v="463"/>
    <d v="2026-02-27T15:58:19"/>
  </r>
  <r>
    <n v="17450"/>
    <x v="4"/>
    <n v="51017846"/>
    <n v="62.22"/>
    <s v="ORO"/>
    <n v="737"/>
    <d v="2026-02-27T15:58:19"/>
  </r>
  <r>
    <n v="17451"/>
    <x v="4"/>
    <n v="51015851"/>
    <n v="80.800300635710201"/>
    <s v="PLATINO"/>
    <n v="415"/>
    <d v="2026-02-27T15:58:19"/>
  </r>
  <r>
    <n v="17452"/>
    <x v="4"/>
    <n v="51036603"/>
    <n v="63.51766656629497"/>
    <s v="ORO"/>
    <n v="706"/>
    <d v="2026-02-27T15:58:19"/>
  </r>
  <r>
    <n v="17453"/>
    <x v="4"/>
    <n v="51020910"/>
    <n v="80.425375588102142"/>
    <s v="PLATINO"/>
    <n v="430"/>
    <d v="2026-02-27T15:58:19"/>
  </r>
  <r>
    <n v="17454"/>
    <x v="4"/>
    <n v="51031326"/>
    <n v="77.975889185270972"/>
    <s v="PLATINO"/>
    <n v="520"/>
    <d v="2026-02-27T15:58:19"/>
  </r>
  <r>
    <n v="17455"/>
    <x v="4"/>
    <n v="51033604"/>
    <n v="63.359881000906647"/>
    <s v="ORO"/>
    <n v="709"/>
    <d v="2026-02-27T15:58:19"/>
  </r>
  <r>
    <n v="17456"/>
    <x v="4"/>
    <n v="51026217"/>
    <n v="80.030211347572859"/>
    <s v="PLATINO"/>
    <n v="442"/>
    <d v="2026-02-27T15:58:19"/>
  </r>
  <r>
    <n v="17457"/>
    <x v="4"/>
    <n v="51039165"/>
    <n v="86.72"/>
    <s v="PLATINO"/>
    <n v="118"/>
    <d v="2026-02-27T15:58:19"/>
  </r>
  <r>
    <n v="17458"/>
    <x v="4"/>
    <n v="51006844"/>
    <n v="22.171121818304769"/>
    <s v="BRONCE"/>
    <n v="888"/>
    <d v="2026-02-27T15:58:19"/>
  </r>
  <r>
    <n v="17459"/>
    <x v="4"/>
    <n v="51020995"/>
    <n v="15.483567882794761"/>
    <s v="BRONCE"/>
    <n v="985"/>
    <d v="2026-02-27T15:58:19"/>
  </r>
  <r>
    <n v="17460"/>
    <x v="4"/>
    <n v="51023251"/>
    <n v="29.758553532609341"/>
    <s v="BRONCE"/>
    <n v="874"/>
    <d v="2026-02-27T15:58:19"/>
  </r>
  <r>
    <n v="17461"/>
    <x v="4"/>
    <n v="51010205"/>
    <n v="59.947113195686278"/>
    <s v="ORO"/>
    <n v="785"/>
    <d v="2026-02-27T15:58:19"/>
  </r>
  <r>
    <n v="17462"/>
    <x v="4"/>
    <n v="51056922"/>
    <n v="80.457240830701991"/>
    <s v="PLATINO"/>
    <n v="426"/>
    <d v="2026-02-27T15:58:19"/>
  </r>
  <r>
    <n v="17463"/>
    <x v="4"/>
    <n v="51056299"/>
    <n v="78.717665181747407"/>
    <s v="PLATINO"/>
    <n v="497"/>
    <d v="2026-02-27T15:58:19"/>
  </r>
  <r>
    <n v="17464"/>
    <x v="4"/>
    <n v="51010175"/>
    <n v="66.069969347277734"/>
    <s v="ORO"/>
    <n v="674"/>
    <d v="2026-02-27T15:58:19"/>
  </r>
  <r>
    <n v="17465"/>
    <x v="4"/>
    <n v="51015355"/>
    <n v="61.694000000000003"/>
    <s v="ORO"/>
    <n v="745"/>
    <d v="2026-02-27T15:58:19"/>
  </r>
  <r>
    <n v="17466"/>
    <x v="4"/>
    <n v="51010191"/>
    <n v="85.438000000000002"/>
    <s v="PLATINO"/>
    <n v="187"/>
    <d v="2026-02-27T15:58:19"/>
  </r>
  <r>
    <n v="17467"/>
    <x v="4"/>
    <n v="51013051"/>
    <n v="77.768933593098794"/>
    <s v="PLATINO"/>
    <n v="531"/>
    <d v="2026-02-27T15:58:19"/>
  </r>
  <r>
    <n v="17468"/>
    <x v="4"/>
    <n v="51032632"/>
    <n v="77.78939132031104"/>
    <s v="PLATINO"/>
    <n v="529"/>
    <d v="2026-02-27T15:58:19"/>
  </r>
  <r>
    <n v="17469"/>
    <x v="4"/>
    <n v="51026322"/>
    <n v="79.1383251250993"/>
    <s v="PLATINO"/>
    <n v="481"/>
    <d v="2026-02-27T15:58:19"/>
  </r>
  <r>
    <n v="17470"/>
    <x v="4"/>
    <n v="51019555"/>
    <n v="37.427455474608813"/>
    <s v="PLATA"/>
    <n v="851"/>
    <d v="2026-02-27T15:58:19"/>
  </r>
  <r>
    <n v="17471"/>
    <x v="4"/>
    <n v="51009991"/>
    <n v="70.606541583320777"/>
    <s v="ORO"/>
    <n v="636"/>
    <d v="2026-02-27T15:58:19"/>
  </r>
  <r>
    <n v="17472"/>
    <x v="4"/>
    <n v="51025822"/>
    <n v="68.533795937803546"/>
    <s v="ORO"/>
    <n v="650"/>
    <d v="2026-02-27T15:58:19"/>
  </r>
  <r>
    <n v="17473"/>
    <x v="4"/>
    <n v="51012500"/>
    <n v="76.792058518648147"/>
    <s v="PLATINO"/>
    <n v="555"/>
    <d v="2026-02-27T15:58:19"/>
  </r>
  <r>
    <n v="17474"/>
    <x v="4"/>
    <n v="51015797"/>
    <n v="80.038786282097732"/>
    <s v="PLATINO"/>
    <n v="441"/>
    <d v="2026-02-27T15:58:19"/>
  </r>
  <r>
    <n v="17475"/>
    <x v="4"/>
    <n v="51014782"/>
    <n v="79.960000000000008"/>
    <s v="PLATINO"/>
    <n v="446"/>
    <d v="2026-02-27T15:58:19"/>
  </r>
  <r>
    <n v="17476"/>
    <x v="4"/>
    <n v="51013077"/>
    <n v="82.665438620839609"/>
    <s v="PLATINO"/>
    <n v="332"/>
    <d v="2026-02-27T15:58:19"/>
  </r>
  <r>
    <n v="17477"/>
    <x v="4"/>
    <n v="51002539"/>
    <n v="16.80324887376608"/>
    <s v="BRONCE"/>
    <n v="979"/>
    <d v="2026-02-27T15:58:19"/>
  </r>
  <r>
    <n v="17478"/>
    <x v="4"/>
    <n v="51031806"/>
    <n v="60.779871656456933"/>
    <s v="ORO"/>
    <n v="768"/>
    <d v="2026-02-27T15:58:19"/>
  </r>
  <r>
    <n v="17479"/>
    <x v="4"/>
    <n v="51044410"/>
    <n v="79.718000000000004"/>
    <s v="PLATINO"/>
    <n v="454"/>
    <d v="2026-02-27T15:58:19"/>
  </r>
  <r>
    <n v="17480"/>
    <x v="4"/>
    <n v="51033248"/>
    <n v="19.30825253817552"/>
    <s v="BRONCE"/>
    <n v="938"/>
    <d v="2026-02-27T15:58:19"/>
  </r>
  <r>
    <n v="17481"/>
    <x v="4"/>
    <n v="51025318"/>
    <n v="82.666004847305544"/>
    <s v="PLATINO"/>
    <n v="331"/>
    <d v="2026-02-27T15:58:19"/>
  </r>
  <r>
    <n v="17482"/>
    <x v="4"/>
    <n v="51031687"/>
    <n v="77.290085098679924"/>
    <s v="PLATINO"/>
    <n v="546"/>
    <d v="2026-02-27T15:58:19"/>
  </r>
  <r>
    <n v="17483"/>
    <x v="4"/>
    <n v="51055861"/>
    <n v="50.958673336682409"/>
    <s v="PLATA"/>
    <n v="814"/>
    <d v="2026-02-27T15:58:19"/>
  </r>
  <r>
    <n v="17484"/>
    <x v="4"/>
    <n v="51019407"/>
    <n v="47.421136596960082"/>
    <s v="PLATA"/>
    <n v="824"/>
    <d v="2026-02-27T15:58:19"/>
  </r>
  <r>
    <n v="17485"/>
    <x v="4"/>
    <n v="51012411"/>
    <n v="20"/>
    <s v="BRONCE"/>
    <n v="889"/>
    <d v="2026-02-27T15:58:19"/>
  </r>
  <r>
    <n v="17486"/>
    <x v="4"/>
    <n v="51020171"/>
    <n v="19.998000000000001"/>
    <s v="BRONCE"/>
    <n v="908"/>
    <d v="2026-02-27T15:58:19"/>
  </r>
  <r>
    <n v="17487"/>
    <x v="4"/>
    <n v="51029488"/>
    <n v="18.758901213403149"/>
    <s v="BRONCE"/>
    <n v="948"/>
    <d v="2026-02-27T15:58:19"/>
  </r>
  <r>
    <n v="17488"/>
    <x v="4"/>
    <n v="51017633"/>
    <n v="83.843306498973902"/>
    <s v="PLATINO"/>
    <n v="276"/>
    <d v="2026-02-27T15:58:19"/>
  </r>
  <r>
    <n v="17489"/>
    <x v="4"/>
    <n v="51056663"/>
    <n v="77.889540970139393"/>
    <s v="PLATINO"/>
    <n v="526"/>
    <d v="2026-02-27T15:58:19"/>
  </r>
  <r>
    <n v="17490"/>
    <x v="4"/>
    <n v="51026063"/>
    <n v="82.88"/>
    <s v="PLATINO"/>
    <n v="318"/>
    <d v="2026-02-27T15:58:19"/>
  </r>
  <r>
    <n v="17491"/>
    <x v="4"/>
    <n v="51043995"/>
    <n v="62.34"/>
    <s v="ORO"/>
    <n v="733"/>
    <d v="2026-02-27T15:58:19"/>
  </r>
  <r>
    <n v="17492"/>
    <x v="4"/>
    <n v="51011074"/>
    <n v="83.351792989214644"/>
    <s v="PLATINO"/>
    <n v="294"/>
    <d v="2026-02-27T15:58:19"/>
  </r>
  <r>
    <n v="17493"/>
    <x v="4"/>
    <n v="51003225"/>
    <n v="78.158992368862997"/>
    <s v="PLATINO"/>
    <n v="511"/>
    <d v="2026-02-27T15:58:19"/>
  </r>
  <r>
    <n v="17494"/>
    <x v="4"/>
    <n v="51024966"/>
    <n v="78.723207221942431"/>
    <s v="PLATINO"/>
    <n v="496"/>
    <d v="2026-02-27T15:58:19"/>
  </r>
  <r>
    <n v="17495"/>
    <x v="4"/>
    <n v="51038673"/>
    <n v="58.906371675845129"/>
    <s v="ORO"/>
    <n v="794"/>
    <d v="2026-02-27T15:58:19"/>
  </r>
  <r>
    <n v="17496"/>
    <x v="4"/>
    <n v="51013271"/>
    <n v="76.438252950347561"/>
    <s v="PLATINO"/>
    <n v="565"/>
    <d v="2026-02-27T15:58:19"/>
  </r>
  <r>
    <n v="17497"/>
    <x v="4"/>
    <n v="51038894"/>
    <n v="77.476482228981354"/>
    <s v="PLATINO"/>
    <n v="541"/>
    <d v="2026-02-27T15:58:19"/>
  </r>
  <r>
    <n v="17498"/>
    <x v="4"/>
    <n v="51021843"/>
    <n v="75.132582795152857"/>
    <s v="PLATINO"/>
    <n v="589"/>
    <d v="2026-02-27T15:58:19"/>
  </r>
  <r>
    <n v="17499"/>
    <x v="4"/>
    <n v="51024109"/>
    <n v="77.632497996386789"/>
    <s v="PLATINO"/>
    <n v="533"/>
    <d v="2026-02-27T15:58:19"/>
  </r>
  <r>
    <n v="17500"/>
    <x v="4"/>
    <n v="51056159"/>
    <n v="77.56162615233832"/>
    <s v="PLATINO"/>
    <n v="537"/>
    <d v="2026-02-27T15:58:19"/>
  </r>
  <r>
    <n v="17501"/>
    <x v="4"/>
    <n v="51036981"/>
    <n v="76.517786265482528"/>
    <s v="PLATINO"/>
    <n v="560"/>
    <d v="2026-02-27T15:58:19"/>
  </r>
  <r>
    <n v="17502"/>
    <x v="4"/>
    <n v="51032519"/>
    <n v="82.471881320622117"/>
    <s v="PLATINO"/>
    <n v="339"/>
    <d v="2026-02-27T15:58:19"/>
  </r>
  <r>
    <n v="17503"/>
    <x v="4"/>
    <n v="51055519"/>
    <n v="36.040541788529609"/>
    <s v="PLATA"/>
    <n v="856"/>
    <d v="2026-02-27T15:58:19"/>
  </r>
  <r>
    <n v="17504"/>
    <x v="4"/>
    <n v="51032969"/>
    <n v="78.033887925056959"/>
    <s v="PLATINO"/>
    <n v="517"/>
    <d v="2026-02-27T15:58:19"/>
  </r>
  <r>
    <n v="17505"/>
    <x v="4"/>
    <n v="51017587"/>
    <n v="60.640507519335173"/>
    <s v="ORO"/>
    <n v="772"/>
    <d v="2026-02-27T15:58:19"/>
  </r>
  <r>
    <n v="17506"/>
    <x v="4"/>
    <n v="51018214"/>
    <n v="19.97"/>
    <s v="BRONCE"/>
    <n v="923"/>
    <d v="2026-02-27T15:58:19"/>
  </r>
  <r>
    <n v="17507"/>
    <x v="4"/>
    <n v="51016661"/>
    <n v="78.300759828169319"/>
    <s v="PLATINO"/>
    <n v="505"/>
    <d v="2026-02-27T15:58:19"/>
  </r>
  <r>
    <n v="17508"/>
    <x v="4"/>
    <n v="51002296"/>
    <n v="66.391896154222721"/>
    <s v="ORO"/>
    <n v="671"/>
    <d v="2026-02-27T15:58:19"/>
  </r>
  <r>
    <n v="17509"/>
    <x v="4"/>
    <n v="51016998"/>
    <n v="17.932216387636391"/>
    <s v="BRONCE"/>
    <n v="962"/>
    <d v="2026-02-27T15:58:19"/>
  </r>
  <r>
    <n v="17510"/>
    <x v="4"/>
    <n v="51005325"/>
    <n v="61.92"/>
    <s v="ORO"/>
    <n v="740"/>
    <d v="2026-02-27T15:58:19"/>
  </r>
  <r>
    <n v="17511"/>
    <x v="4"/>
    <n v="51011937"/>
    <n v="78.967045939130983"/>
    <s v="PLATINO"/>
    <n v="487"/>
    <d v="2026-02-27T15:58:19"/>
  </r>
  <r>
    <n v="17512"/>
    <x v="4"/>
    <n v="51033191"/>
    <n v="76.721544845137529"/>
    <s v="PLATINO"/>
    <n v="556"/>
    <d v="2026-02-27T15:58:19"/>
  </r>
  <r>
    <n v="17513"/>
    <x v="4"/>
    <n v="51032560"/>
    <n v="77.960910312521534"/>
    <s v="PLATINO"/>
    <n v="522"/>
    <d v="2026-02-27T15:58:19"/>
  </r>
  <r>
    <n v="17514"/>
    <x v="4"/>
    <n v="51056302"/>
    <n v="58.425485013210277"/>
    <s v="ORO"/>
    <n v="799"/>
    <d v="2026-02-27T15:58:19"/>
  </r>
  <r>
    <n v="17515"/>
    <x v="4"/>
    <n v="51032659"/>
    <n v="79.460457485148254"/>
    <s v="PLATINO"/>
    <n v="465"/>
    <d v="2026-02-27T15:58:19"/>
  </r>
  <r>
    <n v="17516"/>
    <x v="4"/>
    <n v="51017129"/>
    <n v="77.975000000000009"/>
    <s v="PLATINO"/>
    <n v="521"/>
    <d v="2026-02-27T15:58:19"/>
  </r>
  <r>
    <n v="17517"/>
    <x v="4"/>
    <n v="51036191"/>
    <n v="78.704848406856357"/>
    <s v="PLATINO"/>
    <n v="498"/>
    <d v="2026-02-27T15:58:19"/>
  </r>
  <r>
    <n v="17518"/>
    <x v="4"/>
    <n v="51011562"/>
    <n v="78.908351453739627"/>
    <s v="PLATINO"/>
    <n v="491"/>
    <d v="2026-02-27T15:58:19"/>
  </r>
  <r>
    <n v="17519"/>
    <x v="4"/>
    <n v="51018346"/>
    <n v="78.260034399767562"/>
    <s v="PLATINO"/>
    <n v="507"/>
    <d v="2026-02-27T15:58:19"/>
  </r>
  <r>
    <n v="17520"/>
    <x v="4"/>
    <n v="51042514"/>
    <n v="50.064616514242942"/>
    <s v="PLATA"/>
    <n v="817"/>
    <d v="2026-02-27T15:58:19"/>
  </r>
  <r>
    <n v="17521"/>
    <x v="4"/>
    <n v="51056906"/>
    <n v="63.340207977396346"/>
    <s v="ORO"/>
    <n v="710"/>
    <d v="2026-02-27T15:58:19"/>
  </r>
  <r>
    <n v="17522"/>
    <x v="4"/>
    <n v="51043375"/>
    <n v="79.847516186293262"/>
    <s v="PLATINO"/>
    <n v="449"/>
    <d v="2026-02-27T15:58:19"/>
  </r>
  <r>
    <n v="17523"/>
    <x v="4"/>
    <n v="51055691"/>
    <n v="61.518000000000001"/>
    <s v="ORO"/>
    <n v="754"/>
    <d v="2026-02-27T15:58:19"/>
  </r>
  <r>
    <n v="17524"/>
    <x v="4"/>
    <n v="51018958"/>
    <n v="79.097999999999999"/>
    <s v="PLATINO"/>
    <n v="483"/>
    <d v="2026-02-27T15:58:19"/>
  </r>
  <r>
    <n v="17525"/>
    <x v="4"/>
    <n v="51054903"/>
    <n v="78.62429682808542"/>
    <s v="PLATINO"/>
    <n v="501"/>
    <d v="2026-02-27T15:58:19"/>
  </r>
  <r>
    <n v="17526"/>
    <x v="4"/>
    <n v="51022084"/>
    <n v="72.527226119183325"/>
    <s v="ORO"/>
    <n v="619"/>
    <d v="2026-02-27T15:58:19"/>
  </r>
  <r>
    <n v="17527"/>
    <x v="4"/>
    <n v="51019202"/>
    <n v="77.576614571788454"/>
    <s v="PLATINO"/>
    <n v="536"/>
    <d v="2026-02-27T15:58:19"/>
  </r>
  <r>
    <n v="17528"/>
    <x v="4"/>
    <n v="51054920"/>
    <n v="18.146843223439941"/>
    <s v="BRONCE"/>
    <n v="956"/>
    <d v="2026-02-27T15:58:19"/>
  </r>
  <r>
    <n v="17529"/>
    <x v="4"/>
    <n v="51010663"/>
    <n v="70.749918259826359"/>
    <s v="ORO"/>
    <n v="631"/>
    <d v="2026-02-27T15:58:19"/>
  </r>
  <r>
    <n v="17530"/>
    <x v="4"/>
    <n v="51016866"/>
    <n v="70.172090010608272"/>
    <s v="ORO"/>
    <n v="642"/>
    <d v="2026-02-27T15:58:19"/>
  </r>
  <r>
    <n v="17531"/>
    <x v="4"/>
    <n v="51030184"/>
    <n v="78.290895404289898"/>
    <s v="PLATINO"/>
    <n v="506"/>
    <d v="2026-02-27T15:58:19"/>
  </r>
  <r>
    <n v="17532"/>
    <x v="4"/>
    <n v="51015428"/>
    <n v="77.586120991061364"/>
    <s v="PLATINO"/>
    <n v="535"/>
    <d v="2026-02-27T15:58:19"/>
  </r>
  <r>
    <n v="17533"/>
    <x v="4"/>
    <n v="51036557"/>
    <n v="38.385898934383093"/>
    <s v="PLATA"/>
    <n v="847"/>
    <d v="2026-02-27T15:58:19"/>
  </r>
  <r>
    <n v="17534"/>
    <x v="4"/>
    <n v="51056175"/>
    <n v="19.230880554657059"/>
    <s v="BRONCE"/>
    <n v="939"/>
    <d v="2026-02-27T15:58:19"/>
  </r>
  <r>
    <n v="17535"/>
    <x v="4"/>
    <n v="51039190"/>
    <n v="16.560573238397861"/>
    <s v="BRONCE"/>
    <n v="980"/>
    <d v="2026-02-27T15:58:19"/>
  </r>
  <r>
    <n v="17536"/>
    <x v="4"/>
    <n v="51056604"/>
    <n v="74.162328847158093"/>
    <s v="ORO"/>
    <n v="600"/>
    <d v="2026-02-27T15:58:19"/>
  </r>
  <r>
    <n v="17537"/>
    <x v="4"/>
    <n v="51021789"/>
    <n v="60.66672872775527"/>
    <s v="ORO"/>
    <n v="771"/>
    <d v="2026-02-27T15:58:19"/>
  </r>
  <r>
    <n v="17538"/>
    <x v="4"/>
    <n v="51056795"/>
    <n v="48.487816086068953"/>
    <s v="PLATA"/>
    <n v="822"/>
    <d v="2026-02-27T15:58:19"/>
  </r>
  <r>
    <n v="17539"/>
    <x v="4"/>
    <n v="51056931"/>
    <n v="57.695133561431071"/>
    <s v="ORO"/>
    <n v="800"/>
    <d v="2026-02-27T15:58:19"/>
  </r>
  <r>
    <n v="17540"/>
    <x v="4"/>
    <n v="51014120"/>
    <n v="78.242445709286898"/>
    <s v="PLATINO"/>
    <n v="509"/>
    <d v="2026-02-27T15:58:19"/>
  </r>
  <r>
    <n v="17541"/>
    <x v="4"/>
    <n v="51036182"/>
    <n v="58.799376333685743"/>
    <s v="ORO"/>
    <n v="797"/>
    <d v="2026-02-27T15:58:19"/>
  </r>
  <r>
    <n v="17542"/>
    <x v="4"/>
    <n v="51011465"/>
    <n v="59.704283949067893"/>
    <s v="ORO"/>
    <n v="787"/>
    <d v="2026-02-27T15:58:19"/>
  </r>
  <r>
    <n v="17543"/>
    <x v="4"/>
    <n v="51006151"/>
    <n v="58.503472425548857"/>
    <s v="ORO"/>
    <n v="798"/>
    <d v="2026-02-27T15:58:19"/>
  </r>
  <r>
    <n v="17544"/>
    <x v="4"/>
    <n v="51033418"/>
    <n v="17.80003953372907"/>
    <s v="BRONCE"/>
    <n v="965"/>
    <d v="2026-02-27T15:58:19"/>
  </r>
  <r>
    <n v="17545"/>
    <x v="4"/>
    <n v="51007841"/>
    <n v="80.158000000000001"/>
    <s v="PLATINO"/>
    <n v="438"/>
    <d v="2026-02-27T15:58:19"/>
  </r>
  <r>
    <n v="17546"/>
    <x v="4"/>
    <n v="51016602"/>
    <n v="77.920653123376653"/>
    <s v="PLATINO"/>
    <n v="524"/>
    <d v="2026-02-27T15:58:19"/>
  </r>
  <r>
    <n v="17547"/>
    <x v="4"/>
    <n v="51036077"/>
    <n v="18.410224757933999"/>
    <s v="BRONCE"/>
    <n v="952"/>
    <d v="2026-02-27T15:58:19"/>
  </r>
  <r>
    <n v="17548"/>
    <x v="4"/>
    <n v="51013662"/>
    <n v="76.057315693723893"/>
    <s v="PLATINO"/>
    <n v="571"/>
    <d v="2026-02-27T15:58:19"/>
  </r>
  <r>
    <n v="17549"/>
    <x v="4"/>
    <n v="51010248"/>
    <n v="60.735706862376013"/>
    <s v="ORO"/>
    <n v="769"/>
    <d v="2026-02-27T15:58:19"/>
  </r>
  <r>
    <n v="17550"/>
    <x v="4"/>
    <n v="51055764"/>
    <n v="69.612898809225385"/>
    <s v="ORO"/>
    <n v="646"/>
    <d v="2026-02-27T15:58:19"/>
  </r>
  <r>
    <n v="17551"/>
    <x v="4"/>
    <n v="51012496"/>
    <n v="80.319999999999993"/>
    <s v="PLATINO"/>
    <n v="434"/>
    <d v="2026-02-27T15:58:19"/>
  </r>
  <r>
    <n v="17552"/>
    <x v="4"/>
    <n v="51016874"/>
    <n v="34.24"/>
    <s v="PLATA"/>
    <n v="861"/>
    <d v="2026-02-27T15:58:19"/>
  </r>
  <r>
    <n v="17553"/>
    <x v="4"/>
    <n v="51011481"/>
    <n v="78.697476302347638"/>
    <s v="PLATINO"/>
    <n v="499"/>
    <d v="2026-02-27T15:58:19"/>
  </r>
  <r>
    <n v="17554"/>
    <x v="4"/>
    <n v="51042654"/>
    <n v="44.926072373185647"/>
    <s v="PLATA"/>
    <n v="830"/>
    <d v="2026-02-27T15:58:19"/>
  </r>
  <r>
    <n v="17555"/>
    <x v="4"/>
    <n v="51057074"/>
    <n v="77.249866991874796"/>
    <s v="PLATINO"/>
    <n v="547"/>
    <d v="2026-02-27T15:58:19"/>
  </r>
  <r>
    <n v="17556"/>
    <x v="4"/>
    <n v="51042913"/>
    <n v="76.480328480286744"/>
    <s v="PLATINO"/>
    <n v="562"/>
    <d v="2026-02-27T15:58:19"/>
  </r>
  <r>
    <n v="17557"/>
    <x v="4"/>
    <n v="51025857"/>
    <n v="80.98"/>
    <s v="PLATINO"/>
    <n v="412"/>
    <d v="2026-02-27T15:58:19"/>
  </r>
  <r>
    <n v="17558"/>
    <x v="4"/>
    <n v="51026071"/>
    <n v="18.115117672412278"/>
    <s v="BRONCE"/>
    <n v="958"/>
    <d v="2026-02-27T15:58:19"/>
  </r>
  <r>
    <n v="17559"/>
    <x v="4"/>
    <n v="51017595"/>
    <n v="60.061296056117193"/>
    <s v="ORO"/>
    <n v="784"/>
    <d v="2026-02-27T15:58:19"/>
  </r>
  <r>
    <n v="17560"/>
    <x v="4"/>
    <n v="51014707"/>
    <n v="78.867148386517897"/>
    <s v="PLATINO"/>
    <n v="492"/>
    <d v="2026-02-27T15:58:19"/>
  </r>
  <r>
    <n v="17561"/>
    <x v="4"/>
    <n v="51032390"/>
    <n v="19.31877371636882"/>
    <s v="BRONCE"/>
    <n v="937"/>
    <d v="2026-02-27T15:58:19"/>
  </r>
  <r>
    <n v="17562"/>
    <x v="4"/>
    <n v="51030249"/>
    <n v="61.138604307459481"/>
    <s v="ORO"/>
    <n v="759"/>
    <d v="2026-02-27T15:58:19"/>
  </r>
  <r>
    <n v="17563"/>
    <x v="4"/>
    <n v="51029518"/>
    <n v="76.847867618595657"/>
    <s v="PLATINO"/>
    <n v="553"/>
    <d v="2026-02-27T15:58:19"/>
  </r>
  <r>
    <n v="17564"/>
    <x v="4"/>
    <n v="51044011"/>
    <n v="70.649949302284"/>
    <s v="ORO"/>
    <n v="634"/>
    <d v="2026-02-27T15:58:19"/>
  </r>
  <r>
    <n v="17565"/>
    <x v="4"/>
    <n v="51013956"/>
    <n v="17.80021969571343"/>
    <s v="BRONCE"/>
    <n v="964"/>
    <d v="2026-02-27T15:58:19"/>
  </r>
  <r>
    <n v="17566"/>
    <x v="4"/>
    <n v="51023846"/>
    <n v="81.14"/>
    <s v="PLATINO"/>
    <n v="399"/>
    <d v="2026-02-27T15:58:19"/>
  </r>
  <r>
    <n v="17567"/>
    <x v="4"/>
    <n v="51019563"/>
    <n v="62.545385604208519"/>
    <s v="ORO"/>
    <n v="728"/>
    <d v="2026-02-27T15:58:19"/>
  </r>
  <r>
    <n v="17568"/>
    <x v="4"/>
    <n v="51030711"/>
    <n v="77.33585083902895"/>
    <s v="PLATINO"/>
    <n v="545"/>
    <d v="2026-02-27T15:58:19"/>
  </r>
  <r>
    <n v="17569"/>
    <x v="4"/>
    <n v="51056574"/>
    <n v="81.241235770841925"/>
    <s v="PLATINO"/>
    <n v="393"/>
    <d v="2026-02-27T15:58:19"/>
  </r>
  <r>
    <n v="17570"/>
    <x v="4"/>
    <n v="51056957"/>
    <n v="80.564767910584351"/>
    <s v="PLATINO"/>
    <n v="421"/>
    <d v="2026-02-27T15:58:19"/>
  </r>
  <r>
    <n v="17571"/>
    <x v="4"/>
    <n v="51055331"/>
    <n v="59.561158436184641"/>
    <s v="ORO"/>
    <n v="790"/>
    <d v="2026-02-27T15:58:19"/>
  </r>
  <r>
    <n v="17572"/>
    <x v="4"/>
    <n v="51018397"/>
    <n v="15.74443105340556"/>
    <s v="BRONCE"/>
    <n v="983"/>
    <d v="2026-02-27T15:58:19"/>
  </r>
  <r>
    <n v="17573"/>
    <x v="4"/>
    <n v="51025148"/>
    <n v="18.880369053450568"/>
    <s v="BRONCE"/>
    <n v="944"/>
    <d v="2026-02-27T15:58:19"/>
  </r>
  <r>
    <n v="17574"/>
    <x v="4"/>
    <n v="51005392"/>
    <n v="68.080660178598706"/>
    <s v="ORO"/>
    <n v="654"/>
    <d v="2026-02-27T15:58:19"/>
  </r>
  <r>
    <n v="17575"/>
    <x v="4"/>
    <n v="51023153"/>
    <n v="59.714566222197291"/>
    <s v="ORO"/>
    <n v="786"/>
    <d v="2026-02-27T15:58:19"/>
  </r>
  <r>
    <n v="17576"/>
    <x v="4"/>
    <n v="51024095"/>
    <n v="78.849541337236403"/>
    <s v="PLATINO"/>
    <n v="493"/>
    <d v="2026-02-27T15:58:19"/>
  </r>
  <r>
    <n v="17577"/>
    <x v="4"/>
    <n v="51002024"/>
    <n v="56.854406207237787"/>
    <s v="ORO"/>
    <n v="803"/>
    <d v="2026-02-27T15:58:19"/>
  </r>
  <r>
    <n v="17578"/>
    <x v="4"/>
    <n v="51056311"/>
    <n v="77.356000000000009"/>
    <s v="PLATINO"/>
    <n v="544"/>
    <d v="2026-02-27T15:58:19"/>
  </r>
  <r>
    <n v="17579"/>
    <x v="4"/>
    <n v="51016467"/>
    <n v="60.321938631958872"/>
    <s v="ORO"/>
    <n v="780"/>
    <d v="2026-02-27T15:58:19"/>
  </r>
  <r>
    <n v="17580"/>
    <x v="4"/>
    <n v="51021614"/>
    <n v="20"/>
    <s v="BRONCE"/>
    <n v="889"/>
    <d v="2026-02-27T15:58:19"/>
  </r>
  <r>
    <n v="17581"/>
    <x v="4"/>
    <n v="51042506"/>
    <n v="77.050462763875132"/>
    <s v="PLATINO"/>
    <n v="551"/>
    <d v="2026-02-27T15:58:19"/>
  </r>
  <r>
    <n v="17582"/>
    <x v="4"/>
    <n v="51023412"/>
    <n v="76.441306845450995"/>
    <s v="PLATINO"/>
    <n v="564"/>
    <d v="2026-02-27T15:58:19"/>
  </r>
  <r>
    <n v="17583"/>
    <x v="4"/>
    <n v="51033116"/>
    <n v="61.042429865342271"/>
    <s v="ORO"/>
    <n v="761"/>
    <d v="2026-02-27T15:58:19"/>
  </r>
  <r>
    <n v="17584"/>
    <x v="4"/>
    <n v="51003292"/>
    <n v="79.156056875885696"/>
    <s v="PLATINO"/>
    <n v="479"/>
    <d v="2026-02-27T15:58:19"/>
  </r>
  <r>
    <n v="17585"/>
    <x v="4"/>
    <n v="51014251"/>
    <n v="55.968728629246009"/>
    <s v="ORO"/>
    <n v="805"/>
    <d v="2026-02-27T15:58:19"/>
  </r>
  <r>
    <n v="17586"/>
    <x v="4"/>
    <n v="51042999"/>
    <n v="18.780872775679121"/>
    <s v="BRONCE"/>
    <n v="947"/>
    <d v="2026-02-27T15:58:19"/>
  </r>
  <r>
    <n v="17587"/>
    <x v="4"/>
    <n v="51041712"/>
    <n v="74.138954280374179"/>
    <s v="ORO"/>
    <n v="601"/>
    <d v="2026-02-27T15:58:19"/>
  </r>
  <r>
    <n v="17588"/>
    <x v="4"/>
    <n v="51023293"/>
    <n v="65.155178434468453"/>
    <s v="ORO"/>
    <n v="684"/>
    <d v="2026-02-27T15:58:19"/>
  </r>
  <r>
    <n v="17589"/>
    <x v="4"/>
    <n v="51033507"/>
    <n v="17.719831077906811"/>
    <s v="BRONCE"/>
    <n v="967"/>
    <d v="2026-02-27T15:58:19"/>
  </r>
  <r>
    <n v="17590"/>
    <x v="4"/>
    <n v="51013875"/>
    <n v="76.337389014677242"/>
    <s v="PLATINO"/>
    <n v="567"/>
    <d v="2026-02-27T15:58:19"/>
  </r>
  <r>
    <n v="17591"/>
    <x v="4"/>
    <n v="51013395"/>
    <n v="17.814368397500491"/>
    <s v="BRONCE"/>
    <n v="963"/>
    <d v="2026-02-27T15:58:19"/>
  </r>
  <r>
    <n v="17592"/>
    <x v="4"/>
    <n v="51056108"/>
    <n v="17.269278766127218"/>
    <s v="BRONCE"/>
    <n v="976"/>
    <d v="2026-02-27T15:58:19"/>
  </r>
  <r>
    <n v="17593"/>
    <x v="4"/>
    <n v="51055837"/>
    <n v="18.885753661730821"/>
    <s v="BRONCE"/>
    <n v="943"/>
    <d v="2026-02-27T15:58:19"/>
  </r>
  <r>
    <n v="17594"/>
    <x v="4"/>
    <n v="51056248"/>
    <n v="25.372291961670548"/>
    <s v="BRONCE"/>
    <n v="886"/>
    <d v="2026-02-27T15:58:19"/>
  </r>
  <r>
    <n v="17595"/>
    <x v="4"/>
    <n v="51025245"/>
    <n v="79.838000000000008"/>
    <s v="PLATINO"/>
    <n v="450"/>
    <d v="2026-02-27T15:58:19"/>
  </r>
  <r>
    <n v="17596"/>
    <x v="4"/>
    <n v="51016360"/>
    <n v="77.544498427362839"/>
    <s v="PLATINO"/>
    <n v="539"/>
    <d v="2026-02-27T15:58:19"/>
  </r>
  <r>
    <n v="17597"/>
    <x v="4"/>
    <n v="51040881"/>
    <n v="48.021983656704123"/>
    <s v="PLATA"/>
    <n v="823"/>
    <d v="2026-02-27T15:58:19"/>
  </r>
  <r>
    <n v="17598"/>
    <x v="4"/>
    <n v="51031776"/>
    <n v="32.802999999999997"/>
    <s v="PLATA"/>
    <n v="864"/>
    <d v="2026-02-27T15:58:19"/>
  </r>
  <r>
    <n v="17599"/>
    <x v="4"/>
    <n v="51013166"/>
    <n v="44.105046169136628"/>
    <s v="PLATA"/>
    <n v="833"/>
    <d v="2026-02-27T15:58:19"/>
  </r>
  <r>
    <n v="17600"/>
    <x v="4"/>
    <n v="51032918"/>
    <n v="74.191215585662434"/>
    <s v="ORO"/>
    <n v="599"/>
    <d v="2026-02-27T15:58:19"/>
  </r>
  <r>
    <n v="17601"/>
    <x v="4"/>
    <n v="51025717"/>
    <n v="28.72053865785908"/>
    <s v="BRONCE"/>
    <n v="877"/>
    <d v="2026-02-27T15:58:19"/>
  </r>
  <r>
    <n v="17602"/>
    <x v="4"/>
    <n v="51033001"/>
    <n v="75.915880591758011"/>
    <s v="PLATINO"/>
    <n v="574"/>
    <d v="2026-02-27T15:58:19"/>
  </r>
  <r>
    <n v="17603"/>
    <x v="4"/>
    <n v="51012674"/>
    <n v="42.962650006935682"/>
    <s v="PLATA"/>
    <n v="835"/>
    <d v="2026-02-27T15:58:19"/>
  </r>
  <r>
    <n v="17604"/>
    <x v="4"/>
    <n v="51007743"/>
    <n v="79.44"/>
    <s v="PLATINO"/>
    <n v="469"/>
    <d v="2026-02-27T15:58:19"/>
  </r>
  <r>
    <n v="17605"/>
    <x v="4"/>
    <n v="51032705"/>
    <n v="46.576264606848568"/>
    <s v="PLATA"/>
    <n v="826"/>
    <d v="2026-02-27T15:58:19"/>
  </r>
  <r>
    <n v="17606"/>
    <x v="4"/>
    <n v="51041887"/>
    <n v="75.310905599218756"/>
    <s v="PLATINO"/>
    <n v="582"/>
    <d v="2026-02-27T15:58:19"/>
  </r>
  <r>
    <n v="17607"/>
    <x v="4"/>
    <n v="51030826"/>
    <n v="60.91"/>
    <s v="ORO"/>
    <n v="764"/>
    <d v="2026-02-27T15:58:19"/>
  </r>
  <r>
    <n v="17608"/>
    <x v="4"/>
    <n v="51011007"/>
    <n v="60.144467395096243"/>
    <s v="ORO"/>
    <n v="783"/>
    <d v="2026-02-27T15:58:19"/>
  </r>
  <r>
    <n v="17609"/>
    <x v="4"/>
    <n v="51007514"/>
    <n v="76.057801532950492"/>
    <s v="PLATINO"/>
    <n v="570"/>
    <d v="2026-02-27T15:58:19"/>
  </r>
  <r>
    <n v="17610"/>
    <x v="4"/>
    <n v="51024281"/>
    <n v="76.525019964428125"/>
    <s v="PLATINO"/>
    <n v="559"/>
    <d v="2026-02-27T15:58:19"/>
  </r>
  <r>
    <n v="17611"/>
    <x v="4"/>
    <n v="51020961"/>
    <n v="61.6"/>
    <s v="ORO"/>
    <n v="751"/>
    <d v="2026-02-27T15:58:19"/>
  </r>
  <r>
    <n v="17612"/>
    <x v="4"/>
    <n v="51022718"/>
    <n v="60.817999999999998"/>
    <s v="ORO"/>
    <n v="766"/>
    <d v="2026-02-27T15:58:19"/>
  </r>
  <r>
    <n v="17613"/>
    <x v="4"/>
    <n v="51039815"/>
    <n v="75.910184163582102"/>
    <s v="PLATINO"/>
    <n v="575"/>
    <d v="2026-02-27T15:58:19"/>
  </r>
  <r>
    <n v="17614"/>
    <x v="4"/>
    <n v="51023277"/>
    <n v="77.482944965645103"/>
    <s v="PLATINO"/>
    <n v="540"/>
    <d v="2026-02-27T15:58:19"/>
  </r>
  <r>
    <n v="17615"/>
    <x v="4"/>
    <n v="51056353"/>
    <n v="77.798000000000002"/>
    <s v="PLATINO"/>
    <n v="528"/>
    <d v="2026-02-27T15:58:19"/>
  </r>
  <r>
    <n v="17616"/>
    <x v="4"/>
    <n v="51001419"/>
    <n v="75.141598477700853"/>
    <s v="PLATINO"/>
    <n v="587"/>
    <d v="2026-02-27T15:58:19"/>
  </r>
  <r>
    <n v="17617"/>
    <x v="4"/>
    <n v="51018001"/>
    <n v="19.792999999999999"/>
    <s v="BRONCE"/>
    <n v="930"/>
    <d v="2026-02-27T15:58:19"/>
  </r>
  <r>
    <n v="17618"/>
    <x v="4"/>
    <n v="51020707"/>
    <n v="17.132716027108248"/>
    <s v="BRONCE"/>
    <n v="977"/>
    <d v="2026-02-27T15:58:19"/>
  </r>
  <r>
    <n v="17619"/>
    <x v="4"/>
    <n v="51018923"/>
    <n v="73.51663879684989"/>
    <s v="ORO"/>
    <n v="610"/>
    <d v="2026-02-27T15:58:19"/>
  </r>
  <r>
    <n v="17620"/>
    <x v="4"/>
    <n v="51012721"/>
    <n v="73.621299824942312"/>
    <s v="ORO"/>
    <n v="609"/>
    <d v="2026-02-27T15:58:19"/>
  </r>
  <r>
    <n v="17621"/>
    <x v="4"/>
    <n v="51020634"/>
    <n v="19.984999999999999"/>
    <s v="BRONCE"/>
    <n v="919"/>
    <d v="2026-02-27T15:58:19"/>
  </r>
  <r>
    <n v="17622"/>
    <x v="4"/>
    <n v="51056507"/>
    <n v="61"/>
    <s v="ORO"/>
    <n v="762"/>
    <d v="2026-02-27T15:58:19"/>
  </r>
  <r>
    <n v="17623"/>
    <x v="4"/>
    <n v="51002105"/>
    <n v="71.280238473654734"/>
    <s v="ORO"/>
    <n v="624"/>
    <d v="2026-02-27T15:58:19"/>
  </r>
  <r>
    <n v="17624"/>
    <x v="4"/>
    <n v="51055136"/>
    <n v="77.2"/>
    <s v="PLATINO"/>
    <n v="548"/>
    <d v="2026-02-27T15:58:19"/>
  </r>
  <r>
    <n v="17625"/>
    <x v="4"/>
    <n v="51008685"/>
    <n v="78.990396694274523"/>
    <s v="PLATINO"/>
    <n v="485"/>
    <d v="2026-02-27T15:58:19"/>
  </r>
  <r>
    <n v="17626"/>
    <x v="4"/>
    <n v="51055306"/>
    <n v="76.650943546887319"/>
    <s v="PLATINO"/>
    <n v="557"/>
    <d v="2026-02-27T15:58:19"/>
  </r>
  <r>
    <n v="17627"/>
    <x v="4"/>
    <n v="51024036"/>
    <n v="60.79"/>
    <s v="ORO"/>
    <n v="767"/>
    <d v="2026-02-27T15:58:19"/>
  </r>
  <r>
    <n v="17628"/>
    <x v="4"/>
    <n v="51011597"/>
    <n v="78.93327874541157"/>
    <s v="PLATINO"/>
    <n v="489"/>
    <d v="2026-02-27T15:58:19"/>
  </r>
  <r>
    <n v="17629"/>
    <x v="4"/>
    <n v="51043260"/>
    <n v="75.746110143655187"/>
    <s v="PLATINO"/>
    <n v="576"/>
    <d v="2026-02-27T15:58:19"/>
  </r>
  <r>
    <n v="17630"/>
    <x v="4"/>
    <n v="51004035"/>
    <n v="60.617942826927973"/>
    <s v="ORO"/>
    <n v="773"/>
    <d v="2026-02-27T15:58:19"/>
  </r>
  <r>
    <n v="17631"/>
    <x v="4"/>
    <n v="51043537"/>
    <n v="75.697636017495128"/>
    <s v="PLATINO"/>
    <n v="578"/>
    <d v="2026-02-27T15:58:19"/>
  </r>
  <r>
    <n v="17632"/>
    <x v="4"/>
    <n v="51056752"/>
    <n v="80.123000000000005"/>
    <s v="PLATINO"/>
    <n v="439"/>
    <d v="2026-02-27T15:58:19"/>
  </r>
  <r>
    <n v="17633"/>
    <x v="4"/>
    <n v="51031857"/>
    <n v="60.55605156622736"/>
    <s v="ORO"/>
    <n v="776"/>
    <d v="2026-02-27T15:58:19"/>
  </r>
  <r>
    <n v="17634"/>
    <x v="4"/>
    <n v="51014138"/>
    <n v="74.345638802539085"/>
    <s v="ORO"/>
    <n v="596"/>
    <d v="2026-02-27T15:58:19"/>
  </r>
  <r>
    <n v="17635"/>
    <x v="4"/>
    <n v="51055578"/>
    <n v="67.837563867352614"/>
    <s v="ORO"/>
    <n v="658"/>
    <d v="2026-02-27T15:58:19"/>
  </r>
  <r>
    <n v="17636"/>
    <x v="4"/>
    <n v="51024028"/>
    <n v="28.04752414843594"/>
    <s v="BRONCE"/>
    <n v="882"/>
    <d v="2026-02-27T15:58:19"/>
  </r>
  <r>
    <n v="17637"/>
    <x v="4"/>
    <n v="51057031"/>
    <n v="57.144047375029338"/>
    <s v="ORO"/>
    <n v="802"/>
    <d v="2026-02-27T15:58:19"/>
  </r>
  <r>
    <n v="17638"/>
    <x v="4"/>
    <n v="51011929"/>
    <n v="74.106197779080702"/>
    <s v="ORO"/>
    <n v="602"/>
    <d v="2026-02-27T15:58:19"/>
  </r>
  <r>
    <n v="17639"/>
    <x v="4"/>
    <n v="51017773"/>
    <n v="31.160018063397779"/>
    <s v="PLATA"/>
    <n v="871"/>
    <d v="2026-02-27T15:58:19"/>
  </r>
  <r>
    <n v="17640"/>
    <x v="4"/>
    <n v="51003063"/>
    <n v="61.278000000000013"/>
    <s v="ORO"/>
    <n v="757"/>
    <d v="2026-02-27T15:58:19"/>
  </r>
  <r>
    <n v="17641"/>
    <x v="4"/>
    <n v="51022572"/>
    <n v="20"/>
    <s v="BRONCE"/>
    <n v="889"/>
    <d v="2026-02-27T15:58:19"/>
  </r>
  <r>
    <n v="17642"/>
    <x v="4"/>
    <n v="51022343"/>
    <n v="17.60137826187886"/>
    <s v="BRONCE"/>
    <n v="972"/>
    <d v="2026-02-27T15:58:19"/>
  </r>
  <r>
    <n v="17643"/>
    <x v="4"/>
    <n v="51015835"/>
    <n v="76.438000000000002"/>
    <s v="PLATINO"/>
    <n v="566"/>
    <d v="2026-02-27T15:58:19"/>
  </r>
  <r>
    <n v="17644"/>
    <x v="4"/>
    <n v="51056329"/>
    <n v="14.992518823176759"/>
    <s v="BRONCE"/>
    <n v="987"/>
    <d v="2026-02-27T15:58:19"/>
  </r>
  <r>
    <n v="17645"/>
    <x v="4"/>
    <n v="51030915"/>
    <n v="15.339146528833981"/>
    <s v="BRONCE"/>
    <n v="986"/>
    <d v="2026-02-27T15:58:19"/>
  </r>
  <r>
    <n v="17646"/>
    <x v="4"/>
    <n v="51017871"/>
    <n v="14.550289030644571"/>
    <s v="BRONCE"/>
    <n v="989"/>
    <d v="2026-02-27T15:58:19"/>
  </r>
  <r>
    <n v="17647"/>
    <x v="4"/>
    <n v="51017218"/>
    <n v="76.460000000000008"/>
    <s v="PLATINO"/>
    <n v="563"/>
    <d v="2026-02-27T15:58:19"/>
  </r>
  <r>
    <n v="17648"/>
    <x v="4"/>
    <n v="51039025"/>
    <n v="19.43753136773012"/>
    <s v="BRONCE"/>
    <n v="933"/>
    <d v="2026-02-27T15:58:19"/>
  </r>
  <r>
    <n v="17649"/>
    <x v="4"/>
    <n v="51026497"/>
    <n v="62.599649698217767"/>
    <s v="ORO"/>
    <n v="724"/>
    <d v="2026-02-27T15:58:19"/>
  </r>
  <r>
    <n v="17650"/>
    <x v="4"/>
    <n v="51043693"/>
    <n v="67.657727442880002"/>
    <s v="ORO"/>
    <n v="660"/>
    <d v="2026-02-27T15:58:19"/>
  </r>
  <r>
    <n v="17651"/>
    <x v="4"/>
    <n v="51001532"/>
    <n v="61.1"/>
    <s v="ORO"/>
    <n v="760"/>
    <d v="2026-02-27T15:58:19"/>
  </r>
  <r>
    <n v="17652"/>
    <x v="4"/>
    <n v="51002709"/>
    <n v="77.378"/>
    <s v="PLATINO"/>
    <n v="543"/>
    <d v="2026-02-27T15:58:19"/>
  </r>
  <r>
    <n v="17653"/>
    <x v="4"/>
    <n v="51015151"/>
    <n v="10"/>
    <s v="BRONCE"/>
    <n v="993"/>
    <d v="2026-02-27T15:58:19"/>
  </r>
  <r>
    <n v="17654"/>
    <x v="4"/>
    <n v="51009941"/>
    <n v="77.02"/>
    <s v="PLATINO"/>
    <n v="552"/>
    <d v="2026-02-27T15:58:19"/>
  </r>
  <r>
    <n v="17655"/>
    <x v="4"/>
    <n v="51024818"/>
    <n v="19.998000000000001"/>
    <s v="BRONCE"/>
    <n v="908"/>
    <d v="2026-02-27T15:58:19"/>
  </r>
  <r>
    <n v="17656"/>
    <x v="4"/>
    <n v="51010523"/>
    <n v="19.998000000000001"/>
    <s v="BRONCE"/>
    <n v="908"/>
    <d v="2026-02-27T15:58:19"/>
  </r>
  <r>
    <n v="17657"/>
    <x v="4"/>
    <n v="51000552"/>
    <n v="78.050000000000011"/>
    <s v="PLATINO"/>
    <n v="515"/>
    <d v="2026-02-27T15:58:19"/>
  </r>
  <r>
    <n v="17658"/>
    <x v="4"/>
    <n v="51052331"/>
    <n v="60.505000000000003"/>
    <s v="ORO"/>
    <n v="778"/>
    <d v="2026-02-27T15:58:19"/>
  </r>
  <r>
    <n v="17659"/>
    <x v="4"/>
    <n v="51024460"/>
    <n v="17.434188948318521"/>
    <s v="BRONCE"/>
    <n v="974"/>
    <d v="2026-02-27T15:58:19"/>
  </r>
  <r>
    <n v="17660"/>
    <x v="4"/>
    <n v="51024885"/>
    <n v="58.905351757340682"/>
    <s v="ORO"/>
    <n v="795"/>
    <d v="2026-02-27T15:58:19"/>
  </r>
  <r>
    <n v="17661"/>
    <x v="4"/>
    <n v="51005554"/>
    <n v="77.180000000000007"/>
    <s v="PLATINO"/>
    <n v="549"/>
    <d v="2026-02-27T15:58:19"/>
  </r>
  <r>
    <n v="17662"/>
    <x v="4"/>
    <n v="51024478"/>
    <n v="19.97"/>
    <s v="BRONCE"/>
    <n v="923"/>
    <d v="2026-02-27T15:58:19"/>
  </r>
  <r>
    <n v="17663"/>
    <x v="4"/>
    <n v="51012691"/>
    <n v="14.191055099065119"/>
    <s v="BRONCE"/>
    <n v="991"/>
    <d v="2026-02-27T15:58:19"/>
  </r>
  <r>
    <n v="17664"/>
    <x v="4"/>
    <n v="51015681"/>
    <n v="73.7738298227748"/>
    <s v="ORO"/>
    <n v="605"/>
    <d v="2026-02-27T15:58:19"/>
  </r>
  <r>
    <n v="17665"/>
    <x v="4"/>
    <n v="51019008"/>
    <n v="70.472951663415159"/>
    <s v="ORO"/>
    <n v="637"/>
    <d v="2026-02-27T15:58:19"/>
  </r>
  <r>
    <n v="17666"/>
    <x v="4"/>
    <n v="51015762"/>
    <n v="46.636964170528913"/>
    <s v="PLATA"/>
    <n v="825"/>
    <d v="2026-02-27T15:58:19"/>
  </r>
  <r>
    <n v="17667"/>
    <x v="4"/>
    <n v="51017714"/>
    <n v="19.998000000000001"/>
    <s v="BRONCE"/>
    <n v="908"/>
    <d v="2026-02-27T15:58:19"/>
  </r>
  <r>
    <n v="17668"/>
    <x v="4"/>
    <n v="51031997"/>
    <n v="9.9960000000000004"/>
    <s v="BRONCE"/>
    <n v="1171"/>
    <d v="2026-02-27T15:58:19"/>
  </r>
  <r>
    <n v="17669"/>
    <x v="4"/>
    <n v="51039181"/>
    <n v="76.819999999999993"/>
    <s v="PLATINO"/>
    <n v="554"/>
    <d v="2026-02-27T15:58:19"/>
  </r>
  <r>
    <n v="17670"/>
    <x v="4"/>
    <n v="51057121"/>
    <n v="17.452531087630991"/>
    <s v="BRONCE"/>
    <n v="973"/>
    <d v="2026-02-27T15:58:19"/>
  </r>
  <r>
    <n v="17671"/>
    <x v="4"/>
    <n v="51018290"/>
    <n v="60.54"/>
    <s v="ORO"/>
    <n v="777"/>
    <d v="2026-02-27T15:58:19"/>
  </r>
  <r>
    <n v="17672"/>
    <x v="4"/>
    <n v="51043561"/>
    <n v="19.998000000000001"/>
    <s v="BRONCE"/>
    <n v="908"/>
    <d v="2026-02-27T15:58:19"/>
  </r>
  <r>
    <n v="17673"/>
    <x v="4"/>
    <n v="51036964"/>
    <n v="60.58"/>
    <s v="ORO"/>
    <n v="775"/>
    <d v="2026-02-27T15:58:19"/>
  </r>
  <r>
    <n v="17674"/>
    <x v="4"/>
    <n v="51030290"/>
    <n v="75.92"/>
    <s v="PLATINO"/>
    <n v="573"/>
    <d v="2026-02-27T15:58:19"/>
  </r>
  <r>
    <n v="17675"/>
    <x v="4"/>
    <n v="51023331"/>
    <n v="51.422965009388889"/>
    <s v="PLATA"/>
    <n v="811"/>
    <d v="2026-02-27T15:58:19"/>
  </r>
  <r>
    <n v="17676"/>
    <x v="4"/>
    <n v="51024010"/>
    <n v="38.050729443290223"/>
    <s v="PLATA"/>
    <n v="848"/>
    <d v="2026-02-27T15:58:19"/>
  </r>
  <r>
    <n v="17677"/>
    <x v="4"/>
    <n v="51024664"/>
    <n v="65.331706087294506"/>
    <s v="ORO"/>
    <n v="682"/>
    <d v="2026-02-27T15:58:19"/>
  </r>
  <r>
    <n v="17678"/>
    <x v="4"/>
    <n v="51009185"/>
    <n v="76.240000000000009"/>
    <s v="PLATINO"/>
    <n v="569"/>
    <d v="2026-02-27T15:58:19"/>
  </r>
  <r>
    <n v="17679"/>
    <x v="4"/>
    <n v="51039424"/>
    <n v="9.9700000000000006"/>
    <s v="BRONCE"/>
    <n v="1183"/>
    <d v="2026-02-27T15:58:19"/>
  </r>
  <r>
    <n v="17680"/>
    <x v="4"/>
    <n v="51038941"/>
    <n v="14.522838899848081"/>
    <s v="BRONCE"/>
    <n v="990"/>
    <d v="2026-02-27T15:58:19"/>
  </r>
  <r>
    <n v="17681"/>
    <x v="4"/>
    <n v="51015126"/>
    <n v="19.998000000000001"/>
    <s v="BRONCE"/>
    <n v="908"/>
    <d v="2026-02-27T15:58:19"/>
  </r>
  <r>
    <n v="17682"/>
    <x v="4"/>
    <n v="51017234"/>
    <n v="10"/>
    <s v="BRONCE"/>
    <n v="993"/>
    <d v="2026-02-27T15:58:19"/>
  </r>
  <r>
    <n v="17683"/>
    <x v="4"/>
    <n v="51012852"/>
    <n v="72.613785510833267"/>
    <s v="ORO"/>
    <n v="617"/>
    <d v="2026-02-27T15:58:19"/>
  </r>
  <r>
    <n v="17684"/>
    <x v="4"/>
    <n v="51010396"/>
    <n v="74.613990532848874"/>
    <s v="ORO"/>
    <n v="594"/>
    <d v="2026-02-27T15:58:19"/>
  </r>
  <r>
    <n v="17685"/>
    <x v="4"/>
    <n v="51022629"/>
    <n v="20"/>
    <s v="BRONCE"/>
    <n v="889"/>
    <d v="2026-02-27T15:58:19"/>
  </r>
  <r>
    <n v="17686"/>
    <x v="4"/>
    <n v="51021274"/>
    <n v="75.566000000000003"/>
    <s v="PLATINO"/>
    <n v="580"/>
    <d v="2026-02-27T15:58:19"/>
  </r>
  <r>
    <n v="17687"/>
    <x v="4"/>
    <n v="51021819"/>
    <n v="42.903968402001453"/>
    <s v="PLATA"/>
    <n v="836"/>
    <d v="2026-02-27T15:58:19"/>
  </r>
  <r>
    <n v="17688"/>
    <x v="4"/>
    <n v="51011171"/>
    <n v="19.998000000000001"/>
    <s v="BRONCE"/>
    <n v="908"/>
    <d v="2026-02-27T15:58:19"/>
  </r>
  <r>
    <n v="17689"/>
    <x v="4"/>
    <n v="51012470"/>
    <n v="75.698000000000008"/>
    <s v="PLATINO"/>
    <n v="577"/>
    <d v="2026-02-27T15:58:19"/>
  </r>
  <r>
    <n v="17690"/>
    <x v="4"/>
    <n v="51032713"/>
    <n v="82.678000000000011"/>
    <s v="PLATINO"/>
    <n v="329"/>
    <d v="2026-02-27T15:58:19"/>
  </r>
  <r>
    <n v="17691"/>
    <x v="4"/>
    <n v="51010744"/>
    <n v="50.278000000000013"/>
    <s v="PLATA"/>
    <n v="815"/>
    <d v="2026-02-27T15:58:19"/>
  </r>
  <r>
    <n v="17692"/>
    <x v="4"/>
    <n v="51057546"/>
    <n v="10"/>
    <s v="BRONCE"/>
    <n v="993"/>
    <d v="2026-02-27T15:58:19"/>
  </r>
  <r>
    <n v="17693"/>
    <x v="4"/>
    <n v="51023889"/>
    <n v="67.17"/>
    <s v="ORO"/>
    <n v="663"/>
    <d v="2026-02-27T15:58:19"/>
  </r>
  <r>
    <n v="17694"/>
    <x v="4"/>
    <n v="51031041"/>
    <n v="9.93"/>
    <s v="BRONCE"/>
    <n v="1186"/>
    <d v="2026-02-27T15:58:19"/>
  </r>
  <r>
    <n v="17695"/>
    <x v="4"/>
    <n v="51022262"/>
    <n v="9.9939999999999998"/>
    <s v="BRONCE"/>
    <n v="1172"/>
    <d v="2026-02-27T15:58:19"/>
  </r>
  <r>
    <n v="17696"/>
    <x v="4"/>
    <n v="51017731"/>
    <n v="9.9810000000000016"/>
    <s v="BRONCE"/>
    <n v="1182"/>
    <d v="2026-02-27T15:58:19"/>
  </r>
  <r>
    <n v="17697"/>
    <x v="4"/>
    <n v="51000269"/>
    <n v="10"/>
    <s v="BRONCE"/>
    <n v="993"/>
    <d v="2026-02-27T15:58:19"/>
  </r>
  <r>
    <n v="17698"/>
    <x v="4"/>
    <n v="51000862"/>
    <n v="10"/>
    <s v="BRONCE"/>
    <n v="993"/>
    <d v="2026-02-27T15:58:19"/>
  </r>
  <r>
    <n v="17699"/>
    <x v="4"/>
    <n v="51001494"/>
    <n v="10"/>
    <s v="BRONCE"/>
    <n v="993"/>
    <d v="2026-02-27T15:58:19"/>
  </r>
  <r>
    <n v="17700"/>
    <x v="4"/>
    <n v="51001745"/>
    <n v="10"/>
    <s v="BRONCE"/>
    <n v="993"/>
    <d v="2026-02-27T15:58:19"/>
  </r>
  <r>
    <n v="17701"/>
    <x v="4"/>
    <n v="51001923"/>
    <n v="10"/>
    <s v="BRONCE"/>
    <n v="993"/>
    <d v="2026-02-27T15:58:19"/>
  </r>
  <r>
    <n v="17702"/>
    <x v="4"/>
    <n v="51003721"/>
    <n v="10"/>
    <s v="BRONCE"/>
    <n v="993"/>
    <d v="2026-02-27T15:58:19"/>
  </r>
  <r>
    <n v="17703"/>
    <x v="4"/>
    <n v="51004167"/>
    <n v="10"/>
    <s v="BRONCE"/>
    <n v="993"/>
    <d v="2026-02-27T15:58:19"/>
  </r>
  <r>
    <n v="17704"/>
    <x v="4"/>
    <n v="51004671"/>
    <n v="10"/>
    <s v="BRONCE"/>
    <n v="993"/>
    <d v="2026-02-27T15:58:19"/>
  </r>
  <r>
    <n v="17705"/>
    <x v="4"/>
    <n v="51005058"/>
    <n v="10"/>
    <s v="BRONCE"/>
    <n v="993"/>
    <d v="2026-02-27T15:58:19"/>
  </r>
  <r>
    <n v="17706"/>
    <x v="4"/>
    <n v="51005201"/>
    <n v="10"/>
    <s v="BRONCE"/>
    <n v="993"/>
    <d v="2026-02-27T15:58:19"/>
  </r>
  <r>
    <n v="17707"/>
    <x v="4"/>
    <n v="51005384"/>
    <n v="49.007617328471142"/>
    <s v="PLATA"/>
    <n v="819"/>
    <d v="2026-02-27T15:58:19"/>
  </r>
  <r>
    <n v="17708"/>
    <x v="4"/>
    <n v="51005902"/>
    <n v="51.42"/>
    <s v="PLATA"/>
    <n v="812"/>
    <d v="2026-02-27T15:58:19"/>
  </r>
  <r>
    <n v="17709"/>
    <x v="4"/>
    <n v="51006445"/>
    <n v="9.76"/>
    <s v="BRONCE"/>
    <n v="1189"/>
    <d v="2026-02-27T15:58:19"/>
  </r>
  <r>
    <n v="17710"/>
    <x v="4"/>
    <n v="51006453"/>
    <n v="10"/>
    <s v="BRONCE"/>
    <n v="993"/>
    <d v="2026-02-27T15:58:19"/>
  </r>
  <r>
    <n v="17711"/>
    <x v="4"/>
    <n v="51006518"/>
    <n v="10"/>
    <s v="BRONCE"/>
    <n v="993"/>
    <d v="2026-02-27T15:58:19"/>
  </r>
  <r>
    <n v="17712"/>
    <x v="4"/>
    <n v="51006674"/>
    <n v="10"/>
    <s v="BRONCE"/>
    <n v="993"/>
    <d v="2026-02-27T15:58:19"/>
  </r>
  <r>
    <n v="17713"/>
    <x v="4"/>
    <n v="51010094"/>
    <n v="10"/>
    <s v="BRONCE"/>
    <n v="993"/>
    <d v="2026-02-27T15:58:19"/>
  </r>
  <r>
    <n v="17714"/>
    <x v="4"/>
    <n v="51010108"/>
    <n v="10"/>
    <s v="BRONCE"/>
    <n v="993"/>
    <d v="2026-02-27T15:58:19"/>
  </r>
  <r>
    <n v="17715"/>
    <x v="4"/>
    <n v="51010167"/>
    <n v="10"/>
    <s v="BRONCE"/>
    <n v="993"/>
    <d v="2026-02-27T15:58:19"/>
  </r>
  <r>
    <n v="17716"/>
    <x v="4"/>
    <n v="51010388"/>
    <n v="10"/>
    <s v="BRONCE"/>
    <n v="993"/>
    <d v="2026-02-27T15:58:19"/>
  </r>
  <r>
    <n v="17717"/>
    <x v="4"/>
    <n v="51010477"/>
    <n v="10"/>
    <s v="BRONCE"/>
    <n v="993"/>
    <d v="2026-02-27T15:58:19"/>
  </r>
  <r>
    <n v="17718"/>
    <x v="4"/>
    <n v="51010485"/>
    <n v="10"/>
    <s v="BRONCE"/>
    <n v="993"/>
    <d v="2026-02-27T15:58:19"/>
  </r>
  <r>
    <n v="17719"/>
    <x v="4"/>
    <n v="51010612"/>
    <n v="10"/>
    <s v="BRONCE"/>
    <n v="993"/>
    <d v="2026-02-27T15:58:19"/>
  </r>
  <r>
    <n v="17720"/>
    <x v="4"/>
    <n v="51010639"/>
    <n v="10"/>
    <s v="BRONCE"/>
    <n v="993"/>
    <d v="2026-02-27T15:58:19"/>
  </r>
  <r>
    <n v="17721"/>
    <x v="4"/>
    <n v="51010965"/>
    <n v="10"/>
    <s v="BRONCE"/>
    <n v="993"/>
    <d v="2026-02-27T15:58:19"/>
  </r>
  <r>
    <n v="17722"/>
    <x v="4"/>
    <n v="51011082"/>
    <n v="19.922999999999998"/>
    <s v="BRONCE"/>
    <n v="929"/>
    <d v="2026-02-27T15:58:19"/>
  </r>
  <r>
    <n v="17723"/>
    <x v="4"/>
    <n v="51011104"/>
    <n v="10"/>
    <s v="BRONCE"/>
    <n v="993"/>
    <d v="2026-02-27T15:58:19"/>
  </r>
  <r>
    <n v="17724"/>
    <x v="4"/>
    <n v="51011163"/>
    <n v="10"/>
    <s v="BRONCE"/>
    <n v="993"/>
    <d v="2026-02-27T15:58:19"/>
  </r>
  <r>
    <n v="17725"/>
    <x v="4"/>
    <n v="51011406"/>
    <n v="10"/>
    <s v="BRONCE"/>
    <n v="993"/>
    <d v="2026-02-27T15:58:19"/>
  </r>
  <r>
    <n v="17726"/>
    <x v="4"/>
    <n v="51011503"/>
    <n v="9.9849999999999994"/>
    <s v="BRONCE"/>
    <n v="1173"/>
    <d v="2026-02-27T15:58:19"/>
  </r>
  <r>
    <n v="17727"/>
    <x v="4"/>
    <n v="51011511"/>
    <n v="10"/>
    <s v="BRONCE"/>
    <n v="993"/>
    <d v="2026-02-27T15:58:19"/>
  </r>
  <r>
    <n v="17728"/>
    <x v="4"/>
    <n v="51011881"/>
    <n v="10"/>
    <s v="BRONCE"/>
    <n v="993"/>
    <d v="2026-02-27T15:58:19"/>
  </r>
  <r>
    <n v="17729"/>
    <x v="4"/>
    <n v="51011911"/>
    <n v="6.7549999999999999"/>
    <s v="BRONCE"/>
    <n v="1191"/>
    <d v="2026-02-27T15:58:19"/>
  </r>
  <r>
    <n v="17730"/>
    <x v="4"/>
    <n v="51011945"/>
    <n v="10"/>
    <s v="BRONCE"/>
    <n v="993"/>
    <d v="2026-02-27T15:58:19"/>
  </r>
  <r>
    <n v="17731"/>
    <x v="4"/>
    <n v="51012089"/>
    <n v="10"/>
    <s v="BRONCE"/>
    <n v="993"/>
    <d v="2026-02-27T15:58:19"/>
  </r>
  <r>
    <n v="17732"/>
    <x v="4"/>
    <n v="51012283"/>
    <n v="9.9280000000000008"/>
    <s v="BRONCE"/>
    <n v="1187"/>
    <d v="2026-02-27T15:58:19"/>
  </r>
  <r>
    <n v="17733"/>
    <x v="4"/>
    <n v="51012429"/>
    <n v="10"/>
    <s v="BRONCE"/>
    <n v="993"/>
    <d v="2026-02-27T15:58:19"/>
  </r>
  <r>
    <n v="17734"/>
    <x v="4"/>
    <n v="51012569"/>
    <n v="10"/>
    <s v="BRONCE"/>
    <n v="993"/>
    <d v="2026-02-27T15:58:19"/>
  </r>
  <r>
    <n v="17735"/>
    <x v="4"/>
    <n v="51012631"/>
    <n v="10"/>
    <s v="BRONCE"/>
    <n v="993"/>
    <d v="2026-02-27T15:58:19"/>
  </r>
  <r>
    <n v="17736"/>
    <x v="4"/>
    <n v="51012844"/>
    <n v="10"/>
    <s v="BRONCE"/>
    <n v="993"/>
    <d v="2026-02-27T15:58:19"/>
  </r>
  <r>
    <n v="17737"/>
    <x v="4"/>
    <n v="51012925"/>
    <n v="10"/>
    <s v="BRONCE"/>
    <n v="993"/>
    <d v="2026-02-27T15:58:19"/>
  </r>
  <r>
    <n v="17738"/>
    <x v="4"/>
    <n v="51012968"/>
    <n v="10"/>
    <s v="BRONCE"/>
    <n v="993"/>
    <d v="2026-02-27T15:58:19"/>
  </r>
  <r>
    <n v="17739"/>
    <x v="4"/>
    <n v="51013042"/>
    <n v="9.9830000000000005"/>
    <s v="BRONCE"/>
    <n v="1181"/>
    <d v="2026-02-27T15:58:19"/>
  </r>
  <r>
    <n v="17740"/>
    <x v="4"/>
    <n v="51013123"/>
    <n v="10"/>
    <s v="BRONCE"/>
    <n v="993"/>
    <d v="2026-02-27T15:58:19"/>
  </r>
  <r>
    <n v="17741"/>
    <x v="4"/>
    <n v="51013174"/>
    <n v="10"/>
    <s v="BRONCE"/>
    <n v="993"/>
    <d v="2026-02-27T15:58:19"/>
  </r>
  <r>
    <n v="17742"/>
    <x v="4"/>
    <n v="51013263"/>
    <n v="10"/>
    <s v="BRONCE"/>
    <n v="993"/>
    <d v="2026-02-27T15:58:19"/>
  </r>
  <r>
    <n v="17743"/>
    <x v="4"/>
    <n v="51013751"/>
    <n v="9.9849999999999994"/>
    <s v="BRONCE"/>
    <n v="1173"/>
    <d v="2026-02-27T15:58:19"/>
  </r>
  <r>
    <n v="17744"/>
    <x v="4"/>
    <n v="51013905"/>
    <n v="10"/>
    <s v="BRONCE"/>
    <n v="993"/>
    <d v="2026-02-27T15:58:19"/>
  </r>
  <r>
    <n v="17745"/>
    <x v="4"/>
    <n v="51014073"/>
    <n v="10"/>
    <s v="BRONCE"/>
    <n v="993"/>
    <d v="2026-02-27T15:58:19"/>
  </r>
  <r>
    <n v="17746"/>
    <x v="4"/>
    <n v="51014154"/>
    <n v="10"/>
    <s v="BRONCE"/>
    <n v="993"/>
    <d v="2026-02-27T15:58:19"/>
  </r>
  <r>
    <n v="17747"/>
    <x v="4"/>
    <n v="51014227"/>
    <n v="10"/>
    <s v="BRONCE"/>
    <n v="993"/>
    <d v="2026-02-27T15:58:19"/>
  </r>
  <r>
    <n v="17748"/>
    <x v="4"/>
    <n v="51014651"/>
    <n v="10"/>
    <s v="BRONCE"/>
    <n v="993"/>
    <d v="2026-02-27T15:58:19"/>
  </r>
  <r>
    <n v="17749"/>
    <x v="4"/>
    <n v="51014723"/>
    <n v="10"/>
    <s v="BRONCE"/>
    <n v="993"/>
    <d v="2026-02-27T15:58:19"/>
  </r>
  <r>
    <n v="17750"/>
    <x v="4"/>
    <n v="51015282"/>
    <n v="10"/>
    <s v="BRONCE"/>
    <n v="993"/>
    <d v="2026-02-27T15:58:19"/>
  </r>
  <r>
    <n v="17751"/>
    <x v="4"/>
    <n v="51015576"/>
    <n v="10"/>
    <s v="BRONCE"/>
    <n v="993"/>
    <d v="2026-02-27T15:58:19"/>
  </r>
  <r>
    <n v="17752"/>
    <x v="4"/>
    <n v="51015690"/>
    <n v="10"/>
    <s v="BRONCE"/>
    <n v="993"/>
    <d v="2026-02-27T15:58:19"/>
  </r>
  <r>
    <n v="17753"/>
    <x v="4"/>
    <n v="51015738"/>
    <n v="10"/>
    <s v="BRONCE"/>
    <n v="993"/>
    <d v="2026-02-27T15:58:19"/>
  </r>
  <r>
    <n v="17754"/>
    <x v="4"/>
    <n v="51015959"/>
    <n v="10"/>
    <s v="BRONCE"/>
    <n v="993"/>
    <d v="2026-02-27T15:58:19"/>
  </r>
  <r>
    <n v="17755"/>
    <x v="4"/>
    <n v="51015991"/>
    <n v="10"/>
    <s v="BRONCE"/>
    <n v="993"/>
    <d v="2026-02-27T15:58:19"/>
  </r>
  <r>
    <n v="17756"/>
    <x v="4"/>
    <n v="51016122"/>
    <n v="10"/>
    <s v="BRONCE"/>
    <n v="993"/>
    <d v="2026-02-27T15:58:19"/>
  </r>
  <r>
    <n v="17757"/>
    <x v="4"/>
    <n v="51016190"/>
    <n v="10"/>
    <s v="BRONCE"/>
    <n v="993"/>
    <d v="2026-02-27T15:58:19"/>
  </r>
  <r>
    <n v="17758"/>
    <x v="4"/>
    <n v="51016505"/>
    <n v="9.9980000000000011"/>
    <s v="BRONCE"/>
    <n v="1164"/>
    <d v="2026-02-27T15:58:19"/>
  </r>
  <r>
    <n v="17759"/>
    <x v="4"/>
    <n v="51016670"/>
    <n v="9.9849999999999994"/>
    <s v="BRONCE"/>
    <n v="1173"/>
    <d v="2026-02-27T15:58:19"/>
  </r>
  <r>
    <n v="17760"/>
    <x v="4"/>
    <n v="51016751"/>
    <n v="10"/>
    <s v="BRONCE"/>
    <n v="993"/>
    <d v="2026-02-27T15:58:19"/>
  </r>
  <r>
    <n v="17761"/>
    <x v="4"/>
    <n v="51016769"/>
    <n v="10"/>
    <s v="BRONCE"/>
    <n v="993"/>
    <d v="2026-02-27T15:58:19"/>
  </r>
  <r>
    <n v="17762"/>
    <x v="4"/>
    <n v="51016807"/>
    <n v="9.9980000000000011"/>
    <s v="BRONCE"/>
    <n v="1164"/>
    <d v="2026-02-27T15:58:19"/>
  </r>
  <r>
    <n v="17763"/>
    <x v="4"/>
    <n v="51016912"/>
    <n v="10"/>
    <s v="BRONCE"/>
    <n v="993"/>
    <d v="2026-02-27T15:58:19"/>
  </r>
  <r>
    <n v="17764"/>
    <x v="4"/>
    <n v="51017005"/>
    <n v="10"/>
    <s v="BRONCE"/>
    <n v="993"/>
    <d v="2026-02-27T15:58:19"/>
  </r>
  <r>
    <n v="17765"/>
    <x v="4"/>
    <n v="51017200"/>
    <n v="10"/>
    <s v="BRONCE"/>
    <n v="993"/>
    <d v="2026-02-27T15:58:19"/>
  </r>
  <r>
    <n v="17766"/>
    <x v="4"/>
    <n v="51017692"/>
    <n v="10"/>
    <s v="BRONCE"/>
    <n v="993"/>
    <d v="2026-02-27T15:58:19"/>
  </r>
  <r>
    <n v="17767"/>
    <x v="4"/>
    <n v="51017781"/>
    <n v="10"/>
    <s v="BRONCE"/>
    <n v="993"/>
    <d v="2026-02-27T15:58:19"/>
  </r>
  <r>
    <n v="17768"/>
    <x v="4"/>
    <n v="51018010"/>
    <n v="10"/>
    <s v="BRONCE"/>
    <n v="993"/>
    <d v="2026-02-27T15:58:19"/>
  </r>
  <r>
    <n v="17769"/>
    <x v="4"/>
    <n v="51018168"/>
    <n v="10"/>
    <s v="BRONCE"/>
    <n v="993"/>
    <d v="2026-02-27T15:58:19"/>
  </r>
  <r>
    <n v="17770"/>
    <x v="4"/>
    <n v="51018192"/>
    <n v="10"/>
    <s v="BRONCE"/>
    <n v="993"/>
    <d v="2026-02-27T15:58:19"/>
  </r>
  <r>
    <n v="17771"/>
    <x v="4"/>
    <n v="51018281"/>
    <n v="10"/>
    <s v="BRONCE"/>
    <n v="993"/>
    <d v="2026-02-27T15:58:19"/>
  </r>
  <r>
    <n v="17772"/>
    <x v="4"/>
    <n v="51018915"/>
    <n v="10"/>
    <s v="BRONCE"/>
    <n v="993"/>
    <d v="2026-02-27T15:58:19"/>
  </r>
  <r>
    <n v="17773"/>
    <x v="4"/>
    <n v="51019075"/>
    <n v="10"/>
    <s v="BRONCE"/>
    <n v="993"/>
    <d v="2026-02-27T15:58:19"/>
  </r>
  <r>
    <n v="17774"/>
    <x v="4"/>
    <n v="51019156"/>
    <n v="10"/>
    <s v="BRONCE"/>
    <n v="993"/>
    <d v="2026-02-27T15:58:19"/>
  </r>
  <r>
    <n v="17775"/>
    <x v="4"/>
    <n v="51019181"/>
    <n v="10"/>
    <s v="BRONCE"/>
    <n v="993"/>
    <d v="2026-02-27T15:58:19"/>
  </r>
  <r>
    <n v="17776"/>
    <x v="4"/>
    <n v="51019237"/>
    <n v="10"/>
    <s v="BRONCE"/>
    <n v="993"/>
    <d v="2026-02-27T15:58:19"/>
  </r>
  <r>
    <n v="17777"/>
    <x v="4"/>
    <n v="51019351"/>
    <n v="10"/>
    <s v="BRONCE"/>
    <n v="993"/>
    <d v="2026-02-27T15:58:19"/>
  </r>
  <r>
    <n v="17778"/>
    <x v="4"/>
    <n v="51019725"/>
    <n v="20"/>
    <s v="BRONCE"/>
    <n v="889"/>
    <d v="2026-02-27T15:58:19"/>
  </r>
  <r>
    <n v="17779"/>
    <x v="4"/>
    <n v="51019768"/>
    <n v="10"/>
    <s v="BRONCE"/>
    <n v="993"/>
    <d v="2026-02-27T15:58:19"/>
  </r>
  <r>
    <n v="17780"/>
    <x v="4"/>
    <n v="51020120"/>
    <n v="10"/>
    <s v="BRONCE"/>
    <n v="993"/>
    <d v="2026-02-27T15:58:19"/>
  </r>
  <r>
    <n v="17781"/>
    <x v="4"/>
    <n v="51020154"/>
    <n v="10"/>
    <s v="BRONCE"/>
    <n v="993"/>
    <d v="2026-02-27T15:58:19"/>
  </r>
  <r>
    <n v="17782"/>
    <x v="4"/>
    <n v="51020740"/>
    <n v="76.505667861976818"/>
    <s v="PLATINO"/>
    <n v="561"/>
    <d v="2026-02-27T15:58:19"/>
  </r>
  <r>
    <n v="17783"/>
    <x v="4"/>
    <n v="51021151"/>
    <n v="10"/>
    <s v="BRONCE"/>
    <n v="993"/>
    <d v="2026-02-27T15:58:19"/>
  </r>
  <r>
    <n v="17784"/>
    <x v="4"/>
    <n v="51021525"/>
    <n v="10"/>
    <s v="BRONCE"/>
    <n v="993"/>
    <d v="2026-02-27T15:58:19"/>
  </r>
  <r>
    <n v="17785"/>
    <x v="4"/>
    <n v="51021649"/>
    <n v="10"/>
    <s v="BRONCE"/>
    <n v="993"/>
    <d v="2026-02-27T15:58:19"/>
  </r>
  <r>
    <n v="17786"/>
    <x v="4"/>
    <n v="51021908"/>
    <n v="10"/>
    <s v="BRONCE"/>
    <n v="993"/>
    <d v="2026-02-27T15:58:19"/>
  </r>
  <r>
    <n v="17787"/>
    <x v="4"/>
    <n v="51021924"/>
    <n v="10"/>
    <s v="BRONCE"/>
    <n v="993"/>
    <d v="2026-02-27T15:58:19"/>
  </r>
  <r>
    <n v="17788"/>
    <x v="4"/>
    <n v="51022203"/>
    <n v="10"/>
    <s v="BRONCE"/>
    <n v="993"/>
    <d v="2026-02-27T15:58:19"/>
  </r>
  <r>
    <n v="17789"/>
    <x v="4"/>
    <n v="51022271"/>
    <n v="10"/>
    <s v="BRONCE"/>
    <n v="993"/>
    <d v="2026-02-27T15:58:19"/>
  </r>
  <r>
    <n v="17790"/>
    <x v="4"/>
    <n v="51022297"/>
    <n v="10"/>
    <s v="BRONCE"/>
    <n v="993"/>
    <d v="2026-02-27T15:58:19"/>
  </r>
  <r>
    <n v="17791"/>
    <x v="4"/>
    <n v="51022807"/>
    <n v="10"/>
    <s v="BRONCE"/>
    <n v="993"/>
    <d v="2026-02-27T15:58:19"/>
  </r>
  <r>
    <n v="17792"/>
    <x v="4"/>
    <n v="51022891"/>
    <n v="10"/>
    <s v="BRONCE"/>
    <n v="993"/>
    <d v="2026-02-27T15:58:19"/>
  </r>
  <r>
    <n v="17793"/>
    <x v="4"/>
    <n v="51022939"/>
    <n v="10"/>
    <s v="BRONCE"/>
    <n v="993"/>
    <d v="2026-02-27T15:58:19"/>
  </r>
  <r>
    <n v="17794"/>
    <x v="4"/>
    <n v="51023323"/>
    <n v="10"/>
    <s v="BRONCE"/>
    <n v="993"/>
    <d v="2026-02-27T15:58:19"/>
  </r>
  <r>
    <n v="17795"/>
    <x v="4"/>
    <n v="51023447"/>
    <n v="10"/>
    <s v="BRONCE"/>
    <n v="993"/>
    <d v="2026-02-27T15:58:19"/>
  </r>
  <r>
    <n v="17796"/>
    <x v="4"/>
    <n v="51023463"/>
    <n v="10"/>
    <s v="BRONCE"/>
    <n v="993"/>
    <d v="2026-02-27T15:58:19"/>
  </r>
  <r>
    <n v="17797"/>
    <x v="4"/>
    <n v="51023510"/>
    <n v="10"/>
    <s v="BRONCE"/>
    <n v="993"/>
    <d v="2026-02-27T15:58:19"/>
  </r>
  <r>
    <n v="17798"/>
    <x v="4"/>
    <n v="51024338"/>
    <n v="10"/>
    <s v="BRONCE"/>
    <n v="993"/>
    <d v="2026-02-27T15:58:19"/>
  </r>
  <r>
    <n v="17799"/>
    <x v="4"/>
    <n v="51024346"/>
    <n v="10"/>
    <s v="BRONCE"/>
    <n v="993"/>
    <d v="2026-02-27T15:58:19"/>
  </r>
  <r>
    <n v="17800"/>
    <x v="4"/>
    <n v="51024354"/>
    <n v="10"/>
    <s v="BRONCE"/>
    <n v="993"/>
    <d v="2026-02-27T15:58:19"/>
  </r>
  <r>
    <n v="17801"/>
    <x v="4"/>
    <n v="51024788"/>
    <n v="10"/>
    <s v="BRONCE"/>
    <n v="993"/>
    <d v="2026-02-27T15:58:19"/>
  </r>
  <r>
    <n v="17802"/>
    <x v="4"/>
    <n v="51024907"/>
    <n v="10"/>
    <s v="BRONCE"/>
    <n v="993"/>
    <d v="2026-02-27T15:58:19"/>
  </r>
  <r>
    <n v="17803"/>
    <x v="4"/>
    <n v="51025598"/>
    <n v="10"/>
    <s v="BRONCE"/>
    <n v="993"/>
    <d v="2026-02-27T15:58:19"/>
  </r>
  <r>
    <n v="17804"/>
    <x v="4"/>
    <n v="51025601"/>
    <n v="6.9349999999999996"/>
    <s v="BRONCE"/>
    <n v="1190"/>
    <d v="2026-02-27T15:58:19"/>
  </r>
  <r>
    <n v="17805"/>
    <x v="4"/>
    <n v="51025881"/>
    <n v="10"/>
    <s v="BRONCE"/>
    <n v="993"/>
    <d v="2026-02-27T15:58:19"/>
  </r>
  <r>
    <n v="17806"/>
    <x v="4"/>
    <n v="51028856"/>
    <n v="10"/>
    <s v="BRONCE"/>
    <n v="993"/>
    <d v="2026-02-27T15:58:19"/>
  </r>
  <r>
    <n v="17807"/>
    <x v="4"/>
    <n v="51030087"/>
    <n v="10"/>
    <s v="BRONCE"/>
    <n v="993"/>
    <d v="2026-02-27T15:58:19"/>
  </r>
  <r>
    <n v="17808"/>
    <x v="4"/>
    <n v="51030206"/>
    <n v="9.9849999999999994"/>
    <s v="BRONCE"/>
    <n v="1173"/>
    <d v="2026-02-27T15:58:19"/>
  </r>
  <r>
    <n v="17809"/>
    <x v="4"/>
    <n v="51030630"/>
    <n v="10"/>
    <s v="BRONCE"/>
    <n v="993"/>
    <d v="2026-02-27T15:58:19"/>
  </r>
  <r>
    <n v="17810"/>
    <x v="4"/>
    <n v="51030745"/>
    <n v="10"/>
    <s v="BRONCE"/>
    <n v="993"/>
    <d v="2026-02-27T15:58:19"/>
  </r>
  <r>
    <n v="17811"/>
    <x v="4"/>
    <n v="51030796"/>
    <n v="10"/>
    <s v="BRONCE"/>
    <n v="993"/>
    <d v="2026-02-27T15:58:19"/>
  </r>
  <r>
    <n v="17812"/>
    <x v="4"/>
    <n v="51030966"/>
    <n v="10"/>
    <s v="BRONCE"/>
    <n v="993"/>
    <d v="2026-02-27T15:58:19"/>
  </r>
  <r>
    <n v="17813"/>
    <x v="4"/>
    <n v="51031067"/>
    <n v="10"/>
    <s v="BRONCE"/>
    <n v="993"/>
    <d v="2026-02-27T15:58:19"/>
  </r>
  <r>
    <n v="17814"/>
    <x v="4"/>
    <n v="51031091"/>
    <n v="10"/>
    <s v="BRONCE"/>
    <n v="993"/>
    <d v="2026-02-27T15:58:19"/>
  </r>
  <r>
    <n v="17815"/>
    <x v="4"/>
    <n v="51031156"/>
    <n v="10"/>
    <s v="BRONCE"/>
    <n v="993"/>
    <d v="2026-02-27T15:58:19"/>
  </r>
  <r>
    <n v="17816"/>
    <x v="4"/>
    <n v="51031423"/>
    <n v="10"/>
    <s v="BRONCE"/>
    <n v="993"/>
    <d v="2026-02-27T15:58:19"/>
  </r>
  <r>
    <n v="17817"/>
    <x v="4"/>
    <n v="51031555"/>
    <n v="10"/>
    <s v="BRONCE"/>
    <n v="993"/>
    <d v="2026-02-27T15:58:19"/>
  </r>
  <r>
    <n v="17818"/>
    <x v="4"/>
    <n v="51032021"/>
    <n v="10"/>
    <s v="BRONCE"/>
    <n v="993"/>
    <d v="2026-02-27T15:58:19"/>
  </r>
  <r>
    <n v="17819"/>
    <x v="4"/>
    <n v="51032055"/>
    <n v="10"/>
    <s v="BRONCE"/>
    <n v="993"/>
    <d v="2026-02-27T15:58:19"/>
  </r>
  <r>
    <n v="17820"/>
    <x v="4"/>
    <n v="51032144"/>
    <n v="9.9849999999999994"/>
    <s v="BRONCE"/>
    <n v="1173"/>
    <d v="2026-02-27T15:58:19"/>
  </r>
  <r>
    <n v="17821"/>
    <x v="4"/>
    <n v="51032209"/>
    <n v="10"/>
    <s v="BRONCE"/>
    <n v="993"/>
    <d v="2026-02-27T15:58:19"/>
  </r>
  <r>
    <n v="17822"/>
    <x v="4"/>
    <n v="51032217"/>
    <n v="10"/>
    <s v="BRONCE"/>
    <n v="993"/>
    <d v="2026-02-27T15:58:19"/>
  </r>
  <r>
    <n v="17823"/>
    <x v="4"/>
    <n v="51032497"/>
    <n v="9.9849999999999994"/>
    <s v="BRONCE"/>
    <n v="1173"/>
    <d v="2026-02-27T15:58:19"/>
  </r>
  <r>
    <n v="17824"/>
    <x v="4"/>
    <n v="51033019"/>
    <n v="10"/>
    <s v="BRONCE"/>
    <n v="993"/>
    <d v="2026-02-27T15:58:19"/>
  </r>
  <r>
    <n v="17825"/>
    <x v="4"/>
    <n v="51033647"/>
    <n v="10"/>
    <s v="BRONCE"/>
    <n v="993"/>
    <d v="2026-02-27T15:58:19"/>
  </r>
  <r>
    <n v="17826"/>
    <x v="4"/>
    <n v="51034261"/>
    <n v="9.9980000000000011"/>
    <s v="BRONCE"/>
    <n v="1164"/>
    <d v="2026-02-27T15:58:19"/>
  </r>
  <r>
    <n v="17827"/>
    <x v="4"/>
    <n v="51034392"/>
    <n v="10"/>
    <s v="BRONCE"/>
    <n v="993"/>
    <d v="2026-02-27T15:58:19"/>
  </r>
  <r>
    <n v="17828"/>
    <x v="4"/>
    <n v="51036093"/>
    <n v="10"/>
    <s v="BRONCE"/>
    <n v="993"/>
    <d v="2026-02-27T15:58:19"/>
  </r>
  <r>
    <n v="17829"/>
    <x v="4"/>
    <n v="51036620"/>
    <n v="10"/>
    <s v="BRONCE"/>
    <n v="993"/>
    <d v="2026-02-27T15:58:19"/>
  </r>
  <r>
    <n v="17830"/>
    <x v="4"/>
    <n v="51036786"/>
    <n v="10"/>
    <s v="BRONCE"/>
    <n v="993"/>
    <d v="2026-02-27T15:58:19"/>
  </r>
  <r>
    <n v="17831"/>
    <x v="4"/>
    <n v="51037014"/>
    <n v="10"/>
    <s v="BRONCE"/>
    <n v="993"/>
    <d v="2026-02-27T15:58:19"/>
  </r>
  <r>
    <n v="17832"/>
    <x v="4"/>
    <n v="51038991"/>
    <n v="9.9980000000000011"/>
    <s v="BRONCE"/>
    <n v="1164"/>
    <d v="2026-02-27T15:58:19"/>
  </r>
  <r>
    <n v="17833"/>
    <x v="4"/>
    <n v="51039084"/>
    <n v="9.9849999999999994"/>
    <s v="BRONCE"/>
    <n v="1173"/>
    <d v="2026-02-27T15:58:19"/>
  </r>
  <r>
    <n v="17834"/>
    <x v="4"/>
    <n v="51039955"/>
    <n v="10"/>
    <s v="BRONCE"/>
    <n v="993"/>
    <d v="2026-02-27T15:58:19"/>
  </r>
  <r>
    <n v="17835"/>
    <x v="4"/>
    <n v="51039980"/>
    <n v="10"/>
    <s v="BRONCE"/>
    <n v="993"/>
    <d v="2026-02-27T15:58:19"/>
  </r>
  <r>
    <n v="17836"/>
    <x v="4"/>
    <n v="51040040"/>
    <n v="10"/>
    <s v="BRONCE"/>
    <n v="993"/>
    <d v="2026-02-27T15:58:19"/>
  </r>
  <r>
    <n v="17837"/>
    <x v="4"/>
    <n v="51040309"/>
    <n v="9.8350000000000009"/>
    <s v="BRONCE"/>
    <n v="1188"/>
    <d v="2026-02-27T15:58:19"/>
  </r>
  <r>
    <n v="17838"/>
    <x v="4"/>
    <n v="51040856"/>
    <n v="10"/>
    <s v="BRONCE"/>
    <n v="993"/>
    <d v="2026-02-27T15:58:19"/>
  </r>
  <r>
    <n v="17839"/>
    <x v="4"/>
    <n v="51040970"/>
    <n v="10"/>
    <s v="BRONCE"/>
    <n v="993"/>
    <d v="2026-02-27T15:58:19"/>
  </r>
  <r>
    <n v="17840"/>
    <x v="4"/>
    <n v="51041178"/>
    <n v="10"/>
    <s v="BRONCE"/>
    <n v="993"/>
    <d v="2026-02-27T15:58:19"/>
  </r>
  <r>
    <n v="17841"/>
    <x v="4"/>
    <n v="51041321"/>
    <n v="10"/>
    <s v="BRONCE"/>
    <n v="993"/>
    <d v="2026-02-27T15:58:19"/>
  </r>
  <r>
    <n v="17842"/>
    <x v="4"/>
    <n v="51041836"/>
    <n v="10"/>
    <s v="BRONCE"/>
    <n v="993"/>
    <d v="2026-02-27T15:58:19"/>
  </r>
  <r>
    <n v="17843"/>
    <x v="4"/>
    <n v="51041925"/>
    <n v="9.9849999999999994"/>
    <s v="BRONCE"/>
    <n v="1173"/>
    <d v="2026-02-27T15:58:19"/>
  </r>
  <r>
    <n v="17844"/>
    <x v="4"/>
    <n v="51042166"/>
    <n v="10"/>
    <s v="BRONCE"/>
    <n v="993"/>
    <d v="2026-02-27T15:58:19"/>
  </r>
  <r>
    <n v="17845"/>
    <x v="4"/>
    <n v="51042352"/>
    <n v="9.9980000000000011"/>
    <s v="BRONCE"/>
    <n v="1164"/>
    <d v="2026-02-27T15:58:19"/>
  </r>
  <r>
    <n v="17846"/>
    <x v="4"/>
    <n v="51042492"/>
    <n v="10"/>
    <s v="BRONCE"/>
    <n v="993"/>
    <d v="2026-02-27T15:58:19"/>
  </r>
  <r>
    <n v="17847"/>
    <x v="4"/>
    <n v="51042557"/>
    <n v="10"/>
    <s v="BRONCE"/>
    <n v="993"/>
    <d v="2026-02-27T15:58:19"/>
  </r>
  <r>
    <n v="17848"/>
    <x v="4"/>
    <n v="51042697"/>
    <n v="10"/>
    <s v="BRONCE"/>
    <n v="993"/>
    <d v="2026-02-27T15:58:19"/>
  </r>
  <r>
    <n v="17849"/>
    <x v="4"/>
    <n v="51042701"/>
    <n v="10"/>
    <s v="BRONCE"/>
    <n v="993"/>
    <d v="2026-02-27T15:58:19"/>
  </r>
  <r>
    <n v="17850"/>
    <x v="4"/>
    <n v="51042794"/>
    <n v="10"/>
    <s v="BRONCE"/>
    <n v="993"/>
    <d v="2026-02-27T15:58:19"/>
  </r>
  <r>
    <n v="17851"/>
    <x v="4"/>
    <n v="51042867"/>
    <n v="10"/>
    <s v="BRONCE"/>
    <n v="993"/>
    <d v="2026-02-27T15:58:19"/>
  </r>
  <r>
    <n v="17852"/>
    <x v="4"/>
    <n v="51042883"/>
    <n v="10"/>
    <s v="BRONCE"/>
    <n v="993"/>
    <d v="2026-02-27T15:58:19"/>
  </r>
  <r>
    <n v="17853"/>
    <x v="4"/>
    <n v="51043286"/>
    <n v="10"/>
    <s v="BRONCE"/>
    <n v="993"/>
    <d v="2026-02-27T15:58:19"/>
  </r>
  <r>
    <n v="17854"/>
    <x v="4"/>
    <n v="51043430"/>
    <n v="9.9700000000000006"/>
    <s v="BRONCE"/>
    <n v="1183"/>
    <d v="2026-02-27T15:58:19"/>
  </r>
  <r>
    <n v="17855"/>
    <x v="4"/>
    <n v="51043481"/>
    <n v="9.9980000000000011"/>
    <s v="BRONCE"/>
    <n v="1164"/>
    <d v="2026-02-27T15:58:19"/>
  </r>
  <r>
    <n v="17856"/>
    <x v="4"/>
    <n v="51043685"/>
    <n v="10"/>
    <s v="BRONCE"/>
    <n v="993"/>
    <d v="2026-02-27T15:58:19"/>
  </r>
  <r>
    <n v="17857"/>
    <x v="4"/>
    <n v="51044185"/>
    <n v="10"/>
    <s v="BRONCE"/>
    <n v="993"/>
    <d v="2026-02-27T15:58:19"/>
  </r>
  <r>
    <n v="17858"/>
    <x v="4"/>
    <n v="51054474"/>
    <n v="10"/>
    <s v="BRONCE"/>
    <n v="993"/>
    <d v="2026-02-27T15:58:19"/>
  </r>
  <r>
    <n v="17859"/>
    <x v="4"/>
    <n v="51054890"/>
    <n v="10"/>
    <s v="BRONCE"/>
    <n v="993"/>
    <d v="2026-02-27T15:58:19"/>
  </r>
  <r>
    <n v="17860"/>
    <x v="4"/>
    <n v="51054971"/>
    <n v="10"/>
    <s v="BRONCE"/>
    <n v="993"/>
    <d v="2026-02-27T15:58:19"/>
  </r>
  <r>
    <n v="17861"/>
    <x v="4"/>
    <n v="51055021"/>
    <n v="10"/>
    <s v="BRONCE"/>
    <n v="993"/>
    <d v="2026-02-27T15:58:19"/>
  </r>
  <r>
    <n v="17862"/>
    <x v="4"/>
    <n v="51055110"/>
    <n v="10"/>
    <s v="BRONCE"/>
    <n v="993"/>
    <d v="2026-02-27T15:58:19"/>
  </r>
  <r>
    <n v="17863"/>
    <x v="4"/>
    <n v="51055179"/>
    <n v="9.9980000000000011"/>
    <s v="BRONCE"/>
    <n v="1164"/>
    <d v="2026-02-27T15:58:19"/>
  </r>
  <r>
    <n v="17864"/>
    <x v="4"/>
    <n v="51055187"/>
    <n v="10"/>
    <s v="BRONCE"/>
    <n v="993"/>
    <d v="2026-02-27T15:58:19"/>
  </r>
  <r>
    <n v="17865"/>
    <x v="4"/>
    <n v="51055195"/>
    <n v="10"/>
    <s v="BRONCE"/>
    <n v="993"/>
    <d v="2026-02-27T15:58:19"/>
  </r>
  <r>
    <n v="17866"/>
    <x v="4"/>
    <n v="51055233"/>
    <n v="10"/>
    <s v="BRONCE"/>
    <n v="993"/>
    <d v="2026-02-27T15:58:19"/>
  </r>
  <r>
    <n v="17867"/>
    <x v="4"/>
    <n v="51055314"/>
    <n v="10"/>
    <s v="BRONCE"/>
    <n v="993"/>
    <d v="2026-02-27T15:58:19"/>
  </r>
  <r>
    <n v="17868"/>
    <x v="4"/>
    <n v="51055349"/>
    <n v="10"/>
    <s v="BRONCE"/>
    <n v="993"/>
    <d v="2026-02-27T15:58:19"/>
  </r>
  <r>
    <n v="17869"/>
    <x v="4"/>
    <n v="51055381"/>
    <n v="10"/>
    <s v="BRONCE"/>
    <n v="993"/>
    <d v="2026-02-27T15:58:19"/>
  </r>
  <r>
    <n v="17870"/>
    <x v="4"/>
    <n v="51055403"/>
    <n v="10"/>
    <s v="BRONCE"/>
    <n v="993"/>
    <d v="2026-02-27T15:58:19"/>
  </r>
  <r>
    <n v="17871"/>
    <x v="4"/>
    <n v="51055420"/>
    <n v="10"/>
    <s v="BRONCE"/>
    <n v="993"/>
    <d v="2026-02-27T15:58:19"/>
  </r>
  <r>
    <n v="17872"/>
    <x v="4"/>
    <n v="51055438"/>
    <n v="10"/>
    <s v="BRONCE"/>
    <n v="993"/>
    <d v="2026-02-27T15:58:19"/>
  </r>
  <r>
    <n v="17873"/>
    <x v="4"/>
    <n v="51055446"/>
    <n v="10"/>
    <s v="BRONCE"/>
    <n v="993"/>
    <d v="2026-02-27T15:58:19"/>
  </r>
  <r>
    <n v="17874"/>
    <x v="4"/>
    <n v="51055471"/>
    <n v="10"/>
    <s v="BRONCE"/>
    <n v="993"/>
    <d v="2026-02-27T15:58:19"/>
  </r>
  <r>
    <n v="17875"/>
    <x v="4"/>
    <n v="51055608"/>
    <n v="0"/>
    <s v="CERRADO"/>
    <n v="1192"/>
    <d v="2026-02-27T15:58:19"/>
  </r>
  <r>
    <n v="17876"/>
    <x v="4"/>
    <n v="51055683"/>
    <n v="10"/>
    <s v="BRONCE"/>
    <n v="993"/>
    <d v="2026-02-27T15:58:19"/>
  </r>
  <r>
    <n v="17877"/>
    <x v="4"/>
    <n v="51055713"/>
    <n v="10"/>
    <s v="BRONCE"/>
    <n v="993"/>
    <d v="2026-02-27T15:58:19"/>
  </r>
  <r>
    <n v="17878"/>
    <x v="4"/>
    <n v="51055748"/>
    <n v="10"/>
    <s v="BRONCE"/>
    <n v="993"/>
    <d v="2026-02-27T15:58:19"/>
  </r>
  <r>
    <n v="17879"/>
    <x v="4"/>
    <n v="51055781"/>
    <n v="10"/>
    <s v="BRONCE"/>
    <n v="993"/>
    <d v="2026-02-27T15:58:19"/>
  </r>
  <r>
    <n v="17880"/>
    <x v="4"/>
    <n v="51055900"/>
    <n v="10"/>
    <s v="BRONCE"/>
    <n v="993"/>
    <d v="2026-02-27T15:58:19"/>
  </r>
  <r>
    <n v="17881"/>
    <x v="4"/>
    <n v="51055934"/>
    <n v="10"/>
    <s v="BRONCE"/>
    <n v="993"/>
    <d v="2026-02-27T15:58:19"/>
  </r>
  <r>
    <n v="17882"/>
    <x v="4"/>
    <n v="51055969"/>
    <n v="10"/>
    <s v="BRONCE"/>
    <n v="993"/>
    <d v="2026-02-27T15:58:19"/>
  </r>
  <r>
    <n v="17883"/>
    <x v="4"/>
    <n v="51055977"/>
    <n v="10"/>
    <s v="BRONCE"/>
    <n v="993"/>
    <d v="2026-02-27T15:58:19"/>
  </r>
  <r>
    <n v="17884"/>
    <x v="4"/>
    <n v="51056035"/>
    <n v="10"/>
    <s v="BRONCE"/>
    <n v="993"/>
    <d v="2026-02-27T15:58:19"/>
  </r>
  <r>
    <n v="17885"/>
    <x v="4"/>
    <n v="51056043"/>
    <n v="70.248000000000005"/>
    <s v="ORO"/>
    <n v="640"/>
    <d v="2026-02-27T15:58:19"/>
  </r>
  <r>
    <n v="17886"/>
    <x v="4"/>
    <n v="51056141"/>
    <n v="9.9600000000000009"/>
    <s v="BRONCE"/>
    <n v="1185"/>
    <d v="2026-02-27T15:58:19"/>
  </r>
  <r>
    <n v="17887"/>
    <x v="4"/>
    <n v="51056167"/>
    <n v="10"/>
    <s v="BRONCE"/>
    <n v="993"/>
    <d v="2026-02-27T15:58:19"/>
  </r>
  <r>
    <n v="17888"/>
    <x v="4"/>
    <n v="51056230"/>
    <n v="10"/>
    <s v="BRONCE"/>
    <n v="993"/>
    <d v="2026-02-27T15:58:19"/>
  </r>
  <r>
    <n v="17889"/>
    <x v="4"/>
    <n v="51056256"/>
    <n v="10"/>
    <s v="BRONCE"/>
    <n v="993"/>
    <d v="2026-02-27T15:58:19"/>
  </r>
  <r>
    <n v="17890"/>
    <x v="4"/>
    <n v="51056370"/>
    <n v="10"/>
    <s v="BRONCE"/>
    <n v="993"/>
    <d v="2026-02-27T15:58:19"/>
  </r>
  <r>
    <n v="17891"/>
    <x v="4"/>
    <n v="51056680"/>
    <n v="0"/>
    <s v="CERRADO"/>
    <n v="1192"/>
    <d v="2026-02-27T15:58:19"/>
  </r>
  <r>
    <n v="17892"/>
    <x v="4"/>
    <n v="51056710"/>
    <n v="10"/>
    <s v="BRONCE"/>
    <n v="993"/>
    <d v="2026-02-27T15:58:19"/>
  </r>
  <r>
    <n v="17893"/>
    <x v="4"/>
    <n v="51056779"/>
    <n v="10"/>
    <s v="BRONCE"/>
    <n v="993"/>
    <d v="2026-02-27T15:58:19"/>
  </r>
  <r>
    <n v="17894"/>
    <x v="4"/>
    <n v="51056841"/>
    <n v="10"/>
    <s v="BRONCE"/>
    <n v="993"/>
    <d v="2026-02-27T15:58:19"/>
  </r>
  <r>
    <n v="17895"/>
    <x v="4"/>
    <n v="51056892"/>
    <n v="10"/>
    <s v="BRONCE"/>
    <n v="993"/>
    <d v="2026-02-27T15:58:19"/>
  </r>
  <r>
    <n v="23861"/>
    <x v="5"/>
    <n v="51015525"/>
    <n v="87.269067240769346"/>
    <s v="PLATINO"/>
    <n v="148"/>
    <d v="2026-02-27T16:00:53"/>
  </r>
  <r>
    <n v="23862"/>
    <x v="5"/>
    <n v="51017790"/>
    <n v="87.092355724605895"/>
    <s v="PLATINO"/>
    <n v="161"/>
    <d v="2026-02-27T16:00:53"/>
  </r>
  <r>
    <n v="23863"/>
    <x v="5"/>
    <n v="51023871"/>
    <n v="88.019369708315651"/>
    <s v="PLATINO"/>
    <n v="106"/>
    <d v="2026-02-27T16:00:53"/>
  </r>
  <r>
    <n v="23864"/>
    <x v="5"/>
    <n v="51019601"/>
    <n v="87.143676735421764"/>
    <s v="PLATINO"/>
    <n v="156"/>
    <d v="2026-02-27T16:00:53"/>
  </r>
  <r>
    <n v="23865"/>
    <x v="5"/>
    <n v="51021983"/>
    <n v="40.626375063685359"/>
    <s v="PLATA"/>
    <n v="778"/>
    <d v="2026-02-27T16:00:53"/>
  </r>
  <r>
    <n v="23866"/>
    <x v="5"/>
    <n v="51020201"/>
    <n v="89.382425867206052"/>
    <s v="PLATINO"/>
    <n v="23"/>
    <d v="2026-02-27T16:00:53"/>
  </r>
  <r>
    <n v="23867"/>
    <x v="5"/>
    <n v="51031296"/>
    <n v="89.677878967908356"/>
    <s v="PLATINO"/>
    <n v="9"/>
    <d v="2026-02-27T16:00:53"/>
  </r>
  <r>
    <n v="23868"/>
    <x v="5"/>
    <n v="51011864"/>
    <n v="89.624625286105925"/>
    <s v="PLATINO"/>
    <n v="12"/>
    <d v="2026-02-27T16:00:53"/>
  </r>
  <r>
    <n v="23869"/>
    <x v="5"/>
    <n v="51005945"/>
    <n v="89.07518943256315"/>
    <s v="PLATINO"/>
    <n v="42"/>
    <d v="2026-02-27T16:00:53"/>
  </r>
  <r>
    <n v="23870"/>
    <x v="5"/>
    <n v="51055586"/>
    <n v="88.893815449136397"/>
    <s v="PLATINO"/>
    <n v="54"/>
    <d v="2026-02-27T16:00:53"/>
  </r>
  <r>
    <n v="23871"/>
    <x v="5"/>
    <n v="51025458"/>
    <n v="89.317048351485013"/>
    <s v="PLATINO"/>
    <n v="27"/>
    <d v="2026-02-27T16:00:53"/>
  </r>
  <r>
    <n v="23872"/>
    <x v="5"/>
    <n v="51025709"/>
    <n v="32.560426097436149"/>
    <s v="PLATA"/>
    <n v="801"/>
    <d v="2026-02-27T16:00:53"/>
  </r>
  <r>
    <n v="23873"/>
    <x v="5"/>
    <n v="51019709"/>
    <n v="88.735810032423203"/>
    <s v="PLATINO"/>
    <n v="64"/>
    <d v="2026-02-27T16:00:53"/>
  </r>
  <r>
    <n v="23874"/>
    <x v="5"/>
    <n v="51019377"/>
    <n v="88.672743484786935"/>
    <s v="PLATINO"/>
    <n v="66"/>
    <d v="2026-02-27T16:00:53"/>
  </r>
  <r>
    <n v="23875"/>
    <x v="5"/>
    <n v="51017447"/>
    <n v="88.953529730239381"/>
    <s v="PLATINO"/>
    <n v="47"/>
    <d v="2026-02-27T16:00:53"/>
  </r>
  <r>
    <n v="23876"/>
    <x v="5"/>
    <n v="51055721"/>
    <n v="88.401396733096078"/>
    <s v="PLATINO"/>
    <n v="85"/>
    <d v="2026-02-27T16:00:53"/>
  </r>
  <r>
    <n v="23877"/>
    <x v="5"/>
    <n v="51023064"/>
    <n v="88.369371769693501"/>
    <s v="PLATINO"/>
    <n v="88"/>
    <d v="2026-02-27T16:00:53"/>
  </r>
  <r>
    <n v="23878"/>
    <x v="5"/>
    <n v="51055063"/>
    <n v="82.437465474748606"/>
    <s v="PLATINO"/>
    <n v="398"/>
    <d v="2026-02-27T16:00:53"/>
  </r>
  <r>
    <n v="23879"/>
    <x v="5"/>
    <n v="51024893"/>
    <n v="46.246991908891289"/>
    <s v="PLATA"/>
    <n v="760"/>
    <d v="2026-02-27T16:00:53"/>
  </r>
  <r>
    <n v="23880"/>
    <x v="5"/>
    <n v="51013638"/>
    <n v="89.519886747575612"/>
    <s v="PLATINO"/>
    <n v="17"/>
    <d v="2026-02-27T16:00:53"/>
  </r>
  <r>
    <n v="23881"/>
    <x v="5"/>
    <n v="51011015"/>
    <n v="88.511339207120983"/>
    <s v="PLATINO"/>
    <n v="76"/>
    <d v="2026-02-27T16:00:53"/>
  </r>
  <r>
    <n v="23882"/>
    <x v="5"/>
    <n v="51020758"/>
    <n v="32.008300086650493"/>
    <s v="PLATA"/>
    <n v="803"/>
    <d v="2026-02-27T16:00:53"/>
  </r>
  <r>
    <n v="23883"/>
    <x v="5"/>
    <n v="51022734"/>
    <n v="88.84"/>
    <s v="PLATINO"/>
    <n v="56"/>
    <d v="2026-02-27T16:00:53"/>
  </r>
  <r>
    <n v="23884"/>
    <x v="5"/>
    <n v="51036034"/>
    <n v="89.844999999999999"/>
    <s v="PLATINO"/>
    <n v="2"/>
    <d v="2026-02-27T16:00:53"/>
  </r>
  <r>
    <n v="23885"/>
    <x v="5"/>
    <n v="51019954"/>
    <n v="89.06"/>
    <s v="PLATINO"/>
    <n v="43"/>
    <d v="2026-02-27T16:00:53"/>
  </r>
  <r>
    <n v="23886"/>
    <x v="5"/>
    <n v="51041895"/>
    <n v="70.709418255893155"/>
    <s v="ORO"/>
    <n v="611"/>
    <d v="2026-02-27T16:00:53"/>
  </r>
  <r>
    <n v="23887"/>
    <x v="5"/>
    <n v="51031075"/>
    <n v="89.66"/>
    <s v="PLATINO"/>
    <n v="10"/>
    <d v="2026-02-27T16:00:53"/>
  </r>
  <r>
    <n v="23888"/>
    <x v="5"/>
    <n v="51016815"/>
    <n v="89.685480679361177"/>
    <s v="PLATINO"/>
    <n v="7"/>
    <d v="2026-02-27T16:00:53"/>
  </r>
  <r>
    <n v="23889"/>
    <x v="5"/>
    <n v="51010761"/>
    <n v="89.757666125658716"/>
    <s v="PLATINO"/>
    <n v="6"/>
    <d v="2026-02-27T16:00:53"/>
  </r>
  <r>
    <n v="23890"/>
    <x v="5"/>
    <n v="51013301"/>
    <n v="89.783031777284236"/>
    <s v="PLATINO"/>
    <n v="4"/>
    <d v="2026-02-27T16:00:53"/>
  </r>
  <r>
    <n v="23891"/>
    <x v="5"/>
    <n v="51041933"/>
    <n v="89.460000000000008"/>
    <s v="PLATINO"/>
    <n v="19"/>
    <d v="2026-02-27T16:00:53"/>
  </r>
  <r>
    <n v="23892"/>
    <x v="5"/>
    <n v="51014006"/>
    <n v="55.351453974371097"/>
    <s v="ORO"/>
    <n v="733"/>
    <d v="2026-02-27T16:00:53"/>
  </r>
  <r>
    <n v="23893"/>
    <x v="5"/>
    <n v="51000111"/>
    <n v="51.594302251008912"/>
    <s v="PLATA"/>
    <n v="745"/>
    <d v="2026-02-27T16:00:53"/>
  </r>
  <r>
    <n v="23894"/>
    <x v="5"/>
    <n v="51042735"/>
    <n v="88.02000000000001"/>
    <s v="PLATINO"/>
    <n v="104"/>
    <d v="2026-02-27T16:00:53"/>
  </r>
  <r>
    <n v="23895"/>
    <x v="5"/>
    <n v="51023218"/>
    <n v="20"/>
    <s v="BRONCE"/>
    <n v="821"/>
    <d v="2026-02-27T16:00:53"/>
  </r>
  <r>
    <n v="23896"/>
    <x v="5"/>
    <n v="51002776"/>
    <n v="87.8"/>
    <s v="PLATINO"/>
    <n v="117"/>
    <d v="2026-02-27T16:00:53"/>
  </r>
  <r>
    <n v="23897"/>
    <x v="5"/>
    <n v="51015541"/>
    <n v="72.114814533058322"/>
    <s v="ORO"/>
    <n v="599"/>
    <d v="2026-02-27T16:00:53"/>
  </r>
  <r>
    <n v="23898"/>
    <x v="5"/>
    <n v="51031890"/>
    <n v="20"/>
    <s v="BRONCE"/>
    <n v="821"/>
    <d v="2026-02-27T16:00:53"/>
  </r>
  <r>
    <n v="23899"/>
    <x v="5"/>
    <n v="51057058"/>
    <n v="89.08"/>
    <s v="PLATINO"/>
    <n v="41"/>
    <d v="2026-02-27T16:00:53"/>
  </r>
  <r>
    <n v="23900"/>
    <x v="5"/>
    <n v="51022289"/>
    <n v="88.1"/>
    <s v="PLATINO"/>
    <n v="100"/>
    <d v="2026-02-27T16:00:53"/>
  </r>
  <r>
    <n v="23901"/>
    <x v="5"/>
    <n v="51016688"/>
    <n v="89.32"/>
    <s v="PLATINO"/>
    <n v="26"/>
    <d v="2026-02-27T16:00:53"/>
  </r>
  <r>
    <n v="23902"/>
    <x v="5"/>
    <n v="51032527"/>
    <n v="89.64"/>
    <s v="PLATINO"/>
    <n v="11"/>
    <d v="2026-02-27T16:00:53"/>
  </r>
  <r>
    <n v="23903"/>
    <x v="5"/>
    <n v="51028678"/>
    <n v="80.887563219597993"/>
    <s v="PLATINO"/>
    <n v="460"/>
    <d v="2026-02-27T16:00:53"/>
  </r>
  <r>
    <n v="23904"/>
    <x v="5"/>
    <n v="51005287"/>
    <n v="88.48"/>
    <s v="PLATINO"/>
    <n v="79"/>
    <d v="2026-02-27T16:00:53"/>
  </r>
  <r>
    <n v="23905"/>
    <x v="5"/>
    <n v="51055624"/>
    <n v="89.78"/>
    <s v="PLATINO"/>
    <n v="5"/>
    <d v="2026-02-27T16:00:53"/>
  </r>
  <r>
    <n v="23906"/>
    <x v="5"/>
    <n v="51010884"/>
    <n v="20"/>
    <s v="BRONCE"/>
    <n v="821"/>
    <d v="2026-02-27T16:00:53"/>
  </r>
  <r>
    <n v="23907"/>
    <x v="5"/>
    <n v="51007051"/>
    <n v="89.28"/>
    <s v="PLATINO"/>
    <n v="30"/>
    <d v="2026-02-27T16:00:53"/>
  </r>
  <r>
    <n v="23908"/>
    <x v="5"/>
    <n v="51013808"/>
    <n v="89.6"/>
    <s v="PLATINO"/>
    <n v="14"/>
    <d v="2026-02-27T16:00:53"/>
  </r>
  <r>
    <n v="23909"/>
    <x v="5"/>
    <n v="51035828"/>
    <n v="87.890000000000015"/>
    <s v="PLATINO"/>
    <n v="114"/>
    <d v="2026-02-27T16:00:53"/>
  </r>
  <r>
    <n v="23910"/>
    <x v="5"/>
    <n v="51056051"/>
    <n v="88.58"/>
    <s v="PLATINO"/>
    <n v="72"/>
    <d v="2026-02-27T16:00:53"/>
  </r>
  <r>
    <n v="23911"/>
    <x v="5"/>
    <n v="51024265"/>
    <n v="89.460000000000008"/>
    <s v="PLATINO"/>
    <n v="19"/>
    <d v="2026-02-27T16:00:53"/>
  </r>
  <r>
    <n v="23912"/>
    <x v="5"/>
    <n v="51018494"/>
    <n v="89.16"/>
    <s v="PLATINO"/>
    <n v="36"/>
    <d v="2026-02-27T16:00:53"/>
  </r>
  <r>
    <n v="23913"/>
    <x v="5"/>
    <n v="51039882"/>
    <n v="20"/>
    <s v="BRONCE"/>
    <n v="821"/>
    <d v="2026-02-27T16:00:53"/>
  </r>
  <r>
    <n v="23914"/>
    <x v="5"/>
    <n v="51024192"/>
    <n v="69.889569107800014"/>
    <s v="ORO"/>
    <n v="619"/>
    <d v="2026-02-27T16:00:53"/>
  </r>
  <r>
    <n v="23915"/>
    <x v="5"/>
    <n v="51008332"/>
    <n v="89.88"/>
    <s v="PLATINO"/>
    <n v="1"/>
    <d v="2026-02-27T16:00:53"/>
  </r>
  <r>
    <n v="23916"/>
    <x v="5"/>
    <n v="51015258"/>
    <n v="76.622041502848703"/>
    <s v="PLATINO"/>
    <n v="563"/>
    <d v="2026-02-27T16:00:53"/>
  </r>
  <r>
    <n v="23917"/>
    <x v="5"/>
    <n v="51033710"/>
    <n v="87.53"/>
    <s v="PLATINO"/>
    <n v="134"/>
    <d v="2026-02-27T16:00:53"/>
  </r>
  <r>
    <n v="23918"/>
    <x v="5"/>
    <n v="51010329"/>
    <n v="20"/>
    <s v="BRONCE"/>
    <n v="821"/>
    <d v="2026-02-27T16:00:53"/>
  </r>
  <r>
    <n v="23919"/>
    <x v="5"/>
    <n v="51011252"/>
    <n v="87.7"/>
    <s v="PLATINO"/>
    <n v="120"/>
    <d v="2026-02-27T16:00:53"/>
  </r>
  <r>
    <n v="23920"/>
    <x v="5"/>
    <n v="51018648"/>
    <n v="88.52000000000001"/>
    <s v="PLATINO"/>
    <n v="75"/>
    <d v="2026-02-27T16:00:53"/>
  </r>
  <r>
    <n v="23921"/>
    <x v="5"/>
    <n v="51024524"/>
    <n v="87.26"/>
    <s v="PLATINO"/>
    <n v="149"/>
    <d v="2026-02-27T16:00:53"/>
  </r>
  <r>
    <n v="23922"/>
    <x v="5"/>
    <n v="51055772"/>
    <n v="80.267793168670437"/>
    <s v="PLATINO"/>
    <n v="482"/>
    <d v="2026-02-27T16:00:53"/>
  </r>
  <r>
    <n v="23923"/>
    <x v="5"/>
    <n v="51031083"/>
    <n v="57.324500036561012"/>
    <s v="ORO"/>
    <n v="727"/>
    <d v="2026-02-27T16:00:53"/>
  </r>
  <r>
    <n v="23924"/>
    <x v="5"/>
    <n v="51056647"/>
    <n v="89.54"/>
    <s v="PLATINO"/>
    <n v="16"/>
    <d v="2026-02-27T16:00:53"/>
  </r>
  <r>
    <n v="23925"/>
    <x v="5"/>
    <n v="51024214"/>
    <n v="86.860000000000014"/>
    <s v="PLATINO"/>
    <n v="172"/>
    <d v="2026-02-27T16:00:53"/>
  </r>
  <r>
    <n v="23926"/>
    <x v="5"/>
    <n v="51013425"/>
    <n v="89.18"/>
    <s v="PLATINO"/>
    <n v="35"/>
    <d v="2026-02-27T16:00:53"/>
  </r>
  <r>
    <n v="23927"/>
    <x v="5"/>
    <n v="51025334"/>
    <n v="80.722303256510287"/>
    <s v="PLATINO"/>
    <n v="465"/>
    <d v="2026-02-27T16:00:53"/>
  </r>
  <r>
    <n v="23928"/>
    <x v="5"/>
    <n v="51056132"/>
    <n v="88.54"/>
    <s v="PLATINO"/>
    <n v="74"/>
    <d v="2026-02-27T16:00:53"/>
  </r>
  <r>
    <n v="23929"/>
    <x v="5"/>
    <n v="51004531"/>
    <n v="81.997779918254579"/>
    <s v="PLATINO"/>
    <n v="417"/>
    <d v="2026-02-27T16:00:53"/>
  </r>
  <r>
    <n v="23930"/>
    <x v="5"/>
    <n v="51039033"/>
    <n v="50.145083329884372"/>
    <s v="PLATA"/>
    <n v="750"/>
    <d v="2026-02-27T16:00:53"/>
  </r>
  <r>
    <n v="23931"/>
    <x v="5"/>
    <n v="51024117"/>
    <n v="88.320000000000007"/>
    <s v="PLATINO"/>
    <n v="91"/>
    <d v="2026-02-27T16:00:53"/>
  </r>
  <r>
    <n v="23932"/>
    <x v="5"/>
    <n v="51031768"/>
    <n v="63.937657242904358"/>
    <s v="ORO"/>
    <n v="687"/>
    <d v="2026-02-27T16:00:53"/>
  </r>
  <r>
    <n v="23933"/>
    <x v="5"/>
    <n v="51022637"/>
    <n v="89.3"/>
    <s v="PLATINO"/>
    <n v="29"/>
    <d v="2026-02-27T16:00:53"/>
  </r>
  <r>
    <n v="23934"/>
    <x v="5"/>
    <n v="51010124"/>
    <n v="88.94"/>
    <s v="PLATINO"/>
    <n v="48"/>
    <d v="2026-02-27T16:00:53"/>
  </r>
  <r>
    <n v="23935"/>
    <x v="5"/>
    <n v="51012020"/>
    <n v="88.92"/>
    <s v="PLATINO"/>
    <n v="50"/>
    <d v="2026-02-27T16:00:53"/>
  </r>
  <r>
    <n v="23936"/>
    <x v="5"/>
    <n v="51029968"/>
    <n v="88.98"/>
    <s v="PLATINO"/>
    <n v="46"/>
    <d v="2026-02-27T16:00:53"/>
  </r>
  <r>
    <n v="23937"/>
    <x v="5"/>
    <n v="51025202"/>
    <n v="88.740000000000009"/>
    <s v="PLATINO"/>
    <n v="62"/>
    <d v="2026-02-27T16:00:53"/>
  </r>
  <r>
    <n v="23938"/>
    <x v="5"/>
    <n v="51003667"/>
    <n v="87.86"/>
    <s v="PLATINO"/>
    <n v="116"/>
    <d v="2026-02-27T16:00:53"/>
  </r>
  <r>
    <n v="23939"/>
    <x v="5"/>
    <n v="51026691"/>
    <n v="19.984999999999999"/>
    <s v="BRONCE"/>
    <n v="857"/>
    <d v="2026-02-27T16:00:53"/>
  </r>
  <r>
    <n v="23940"/>
    <x v="5"/>
    <n v="51023145"/>
    <n v="87.88"/>
    <s v="PLATINO"/>
    <n v="115"/>
    <d v="2026-02-27T16:00:53"/>
  </r>
  <r>
    <n v="23941"/>
    <x v="5"/>
    <n v="51056001"/>
    <n v="88.820000000000007"/>
    <s v="PLATINO"/>
    <n v="57"/>
    <d v="2026-02-27T16:00:53"/>
  </r>
  <r>
    <n v="23942"/>
    <x v="5"/>
    <n v="51019652"/>
    <n v="89.26"/>
    <s v="PLATINO"/>
    <n v="31"/>
    <d v="2026-02-27T16:00:53"/>
  </r>
  <r>
    <n v="23943"/>
    <x v="5"/>
    <n v="51011368"/>
    <n v="89.518000000000001"/>
    <s v="PLATINO"/>
    <n v="18"/>
    <d v="2026-02-27T16:00:53"/>
  </r>
  <r>
    <n v="23944"/>
    <x v="5"/>
    <n v="51055047"/>
    <n v="89.02"/>
    <s v="PLATINO"/>
    <n v="45"/>
    <d v="2026-02-27T16:00:53"/>
  </r>
  <r>
    <n v="23945"/>
    <x v="5"/>
    <n v="51018176"/>
    <n v="88.78"/>
    <s v="PLATINO"/>
    <n v="61"/>
    <d v="2026-02-27T16:00:53"/>
  </r>
  <r>
    <n v="23946"/>
    <x v="5"/>
    <n v="51015622"/>
    <n v="88.9"/>
    <s v="PLATINO"/>
    <n v="53"/>
    <d v="2026-02-27T16:00:53"/>
  </r>
  <r>
    <n v="23947"/>
    <x v="5"/>
    <n v="51054946"/>
    <n v="87.62"/>
    <s v="PLATINO"/>
    <n v="126"/>
    <d v="2026-02-27T16:00:53"/>
  </r>
  <r>
    <n v="23948"/>
    <x v="5"/>
    <n v="51016220"/>
    <n v="86.960000000000008"/>
    <s v="PLATINO"/>
    <n v="165"/>
    <d v="2026-02-27T16:00:53"/>
  </r>
  <r>
    <n v="23949"/>
    <x v="5"/>
    <n v="51025385"/>
    <n v="84.756260510521926"/>
    <s v="PLATINO"/>
    <n v="279"/>
    <d v="2026-02-27T16:00:53"/>
  </r>
  <r>
    <n v="23950"/>
    <x v="5"/>
    <n v="51057163"/>
    <n v="67.948513291465275"/>
    <s v="ORO"/>
    <n v="643"/>
    <d v="2026-02-27T16:00:53"/>
  </r>
  <r>
    <n v="23951"/>
    <x v="5"/>
    <n v="51055985"/>
    <n v="19.97"/>
    <s v="BRONCE"/>
    <n v="862"/>
    <d v="2026-02-27T16:00:53"/>
  </r>
  <r>
    <n v="23952"/>
    <x v="5"/>
    <n v="51032993"/>
    <n v="87.905000000000001"/>
    <s v="PLATINO"/>
    <n v="111"/>
    <d v="2026-02-27T16:00:53"/>
  </r>
  <r>
    <n v="23953"/>
    <x v="5"/>
    <n v="51015088"/>
    <n v="88.44"/>
    <s v="PLATINO"/>
    <n v="82"/>
    <d v="2026-02-27T16:00:53"/>
  </r>
  <r>
    <n v="23954"/>
    <x v="5"/>
    <n v="51035658"/>
    <n v="89.12"/>
    <s v="PLATINO"/>
    <n v="40"/>
    <d v="2026-02-27T16:00:53"/>
  </r>
  <r>
    <n v="23955"/>
    <x v="5"/>
    <n v="51016726"/>
    <n v="89.26"/>
    <s v="PLATINO"/>
    <n v="31"/>
    <d v="2026-02-27T16:00:53"/>
  </r>
  <r>
    <n v="23956"/>
    <x v="5"/>
    <n v="51019342"/>
    <n v="19.968"/>
    <s v="BRONCE"/>
    <n v="865"/>
    <d v="2026-02-27T16:00:53"/>
  </r>
  <r>
    <n v="23957"/>
    <x v="5"/>
    <n v="51014162"/>
    <n v="70.403011399224326"/>
    <s v="ORO"/>
    <n v="614"/>
    <d v="2026-02-27T16:00:53"/>
  </r>
  <r>
    <n v="23958"/>
    <x v="5"/>
    <n v="51022360"/>
    <n v="89.68"/>
    <s v="PLATINO"/>
    <n v="8"/>
    <d v="2026-02-27T16:00:53"/>
  </r>
  <r>
    <n v="23959"/>
    <x v="5"/>
    <n v="51040848"/>
    <n v="86.718000000000004"/>
    <s v="PLATINO"/>
    <n v="180"/>
    <d v="2026-02-27T16:00:53"/>
  </r>
  <r>
    <n v="23960"/>
    <x v="5"/>
    <n v="51022696"/>
    <n v="88.42"/>
    <s v="PLATINO"/>
    <n v="83"/>
    <d v="2026-02-27T16:00:53"/>
  </r>
  <r>
    <n v="23961"/>
    <x v="5"/>
    <n v="51056426"/>
    <n v="88.38"/>
    <s v="PLATINO"/>
    <n v="86"/>
    <d v="2026-02-27T16:00:53"/>
  </r>
  <r>
    <n v="23962"/>
    <x v="5"/>
    <n v="51011350"/>
    <n v="86.48"/>
    <s v="PLATINO"/>
    <n v="195"/>
    <d v="2026-02-27T16:00:53"/>
  </r>
  <r>
    <n v="23963"/>
    <x v="5"/>
    <n v="51024087"/>
    <n v="88.6"/>
    <s v="PLATINO"/>
    <n v="71"/>
    <d v="2026-02-27T16:00:53"/>
  </r>
  <r>
    <n v="23964"/>
    <x v="5"/>
    <n v="51005171"/>
    <n v="88.2"/>
    <s v="PLATINO"/>
    <n v="96"/>
    <d v="2026-02-27T16:00:53"/>
  </r>
  <r>
    <n v="23965"/>
    <x v="5"/>
    <n v="51005864"/>
    <n v="88.94"/>
    <s v="PLATINO"/>
    <n v="48"/>
    <d v="2026-02-27T16:00:53"/>
  </r>
  <r>
    <n v="23966"/>
    <x v="5"/>
    <n v="51040317"/>
    <n v="87.4"/>
    <s v="PLATINO"/>
    <n v="138"/>
    <d v="2026-02-27T16:00:53"/>
  </r>
  <r>
    <n v="23967"/>
    <x v="5"/>
    <n v="51003926"/>
    <n v="88.68"/>
    <s v="PLATINO"/>
    <n v="65"/>
    <d v="2026-02-27T16:00:53"/>
  </r>
  <r>
    <n v="23968"/>
    <x v="5"/>
    <n v="51019911"/>
    <n v="20"/>
    <s v="BRONCE"/>
    <n v="821"/>
    <d v="2026-02-27T16:00:53"/>
  </r>
  <r>
    <n v="23969"/>
    <x v="5"/>
    <n v="51022076"/>
    <n v="89.039999999999992"/>
    <s v="PLATINO"/>
    <n v="44"/>
    <d v="2026-02-27T16:00:53"/>
  </r>
  <r>
    <n v="23970"/>
    <x v="5"/>
    <n v="51055217"/>
    <n v="72.993573730413289"/>
    <s v="ORO"/>
    <n v="586"/>
    <d v="2026-02-27T16:00:53"/>
  </r>
  <r>
    <n v="23971"/>
    <x v="5"/>
    <n v="51036824"/>
    <n v="88.13"/>
    <s v="PLATINO"/>
    <n v="99"/>
    <d v="2026-02-27T16:00:53"/>
  </r>
  <r>
    <n v="23972"/>
    <x v="5"/>
    <n v="51024940"/>
    <n v="88.8"/>
    <s v="PLATINO"/>
    <n v="59"/>
    <d v="2026-02-27T16:00:53"/>
  </r>
  <r>
    <n v="23973"/>
    <x v="5"/>
    <n v="51033531"/>
    <n v="86.92"/>
    <s v="PLATINO"/>
    <n v="169"/>
    <d v="2026-02-27T16:00:53"/>
  </r>
  <r>
    <n v="23974"/>
    <x v="5"/>
    <n v="51032454"/>
    <n v="20"/>
    <s v="BRONCE"/>
    <n v="821"/>
    <d v="2026-02-27T16:00:53"/>
  </r>
  <r>
    <n v="23975"/>
    <x v="5"/>
    <n v="51014260"/>
    <n v="86.66"/>
    <s v="PLATINO"/>
    <n v="183"/>
    <d v="2026-02-27T16:00:53"/>
  </r>
  <r>
    <n v="23976"/>
    <x v="5"/>
    <n v="51011414"/>
    <n v="87.12"/>
    <s v="PLATINO"/>
    <n v="159"/>
    <d v="2026-02-27T16:00:53"/>
  </r>
  <r>
    <n v="23977"/>
    <x v="5"/>
    <n v="51018559"/>
    <n v="20"/>
    <s v="BRONCE"/>
    <n v="821"/>
    <d v="2026-02-27T16:00:53"/>
  </r>
  <r>
    <n v="23978"/>
    <x v="5"/>
    <n v="51014308"/>
    <n v="84.152668361809447"/>
    <s v="PLATINO"/>
    <n v="319"/>
    <d v="2026-02-27T16:00:53"/>
  </r>
  <r>
    <n v="23979"/>
    <x v="5"/>
    <n v="51056949"/>
    <n v="89.14"/>
    <s v="PLATINO"/>
    <n v="38"/>
    <d v="2026-02-27T16:00:53"/>
  </r>
  <r>
    <n v="23980"/>
    <x v="5"/>
    <n v="51022173"/>
    <n v="89.144999999999996"/>
    <s v="PLATINO"/>
    <n v="37"/>
    <d v="2026-02-27T16:00:53"/>
  </r>
  <r>
    <n v="23981"/>
    <x v="5"/>
    <n v="51023765"/>
    <n v="88.460000000000008"/>
    <s v="PLATINO"/>
    <n v="81"/>
    <d v="2026-02-27T16:00:53"/>
  </r>
  <r>
    <n v="23982"/>
    <x v="5"/>
    <n v="51038908"/>
    <n v="83.30240116032509"/>
    <s v="PLATINO"/>
    <n v="360"/>
    <d v="2026-02-27T16:00:53"/>
  </r>
  <r>
    <n v="23983"/>
    <x v="5"/>
    <n v="51013158"/>
    <n v="88.06"/>
    <s v="PLATINO"/>
    <n v="101"/>
    <d v="2026-02-27T16:00:53"/>
  </r>
  <r>
    <n v="23984"/>
    <x v="5"/>
    <n v="51024176"/>
    <n v="47.398490840464653"/>
    <s v="PLATA"/>
    <n v="757"/>
    <d v="2026-02-27T16:00:53"/>
  </r>
  <r>
    <n v="23985"/>
    <x v="5"/>
    <n v="51000196"/>
    <n v="89.2"/>
    <s v="PLATINO"/>
    <n v="34"/>
    <d v="2026-02-27T16:00:53"/>
  </r>
  <r>
    <n v="23986"/>
    <x v="5"/>
    <n v="51024672"/>
    <n v="85.960000000000008"/>
    <s v="PLATINO"/>
    <n v="226"/>
    <d v="2026-02-27T16:00:53"/>
  </r>
  <r>
    <n v="23987"/>
    <x v="5"/>
    <n v="51021657"/>
    <n v="88.22"/>
    <s v="PLATINO"/>
    <n v="95"/>
    <d v="2026-02-27T16:00:53"/>
  </r>
  <r>
    <n v="23988"/>
    <x v="5"/>
    <n v="51042263"/>
    <n v="64.653886635201076"/>
    <s v="ORO"/>
    <n v="669"/>
    <d v="2026-02-27T16:00:53"/>
  </r>
  <r>
    <n v="23989"/>
    <x v="5"/>
    <n v="51055365"/>
    <n v="87.2"/>
    <s v="PLATINO"/>
    <n v="153"/>
    <d v="2026-02-27T16:00:53"/>
  </r>
  <r>
    <n v="23990"/>
    <x v="5"/>
    <n v="51031385"/>
    <n v="87.9"/>
    <s v="PLATINO"/>
    <n v="112"/>
    <d v="2026-02-27T16:00:53"/>
  </r>
  <r>
    <n v="23991"/>
    <x v="5"/>
    <n v="51041577"/>
    <n v="87.38"/>
    <s v="PLATINO"/>
    <n v="139"/>
    <d v="2026-02-27T16:00:53"/>
  </r>
  <r>
    <n v="23992"/>
    <x v="5"/>
    <n v="51018877"/>
    <n v="19.954999999999998"/>
    <s v="BRONCE"/>
    <n v="869"/>
    <d v="2026-02-27T16:00:53"/>
  </r>
  <r>
    <n v="23993"/>
    <x v="5"/>
    <n v="51030303"/>
    <n v="58.44223992843196"/>
    <s v="ORO"/>
    <n v="724"/>
    <d v="2026-02-27T16:00:53"/>
  </r>
  <r>
    <n v="23994"/>
    <x v="5"/>
    <n v="51030613"/>
    <n v="83.905651874344613"/>
    <s v="PLATINO"/>
    <n v="333"/>
    <d v="2026-02-27T16:00:53"/>
  </r>
  <r>
    <n v="23995"/>
    <x v="5"/>
    <n v="51033761"/>
    <n v="71.535092495410453"/>
    <s v="ORO"/>
    <n v="603"/>
    <d v="2026-02-27T16:00:53"/>
  </r>
  <r>
    <n v="23996"/>
    <x v="5"/>
    <n v="51023170"/>
    <n v="57.172464006189728"/>
    <s v="ORO"/>
    <n v="728"/>
    <d v="2026-02-27T16:00:53"/>
  </r>
  <r>
    <n v="23997"/>
    <x v="5"/>
    <n v="51030079"/>
    <n v="83.345025609986962"/>
    <s v="PLATINO"/>
    <n v="358"/>
    <d v="2026-02-27T16:00:53"/>
  </r>
  <r>
    <n v="23998"/>
    <x v="5"/>
    <n v="51034317"/>
    <n v="86.04"/>
    <s v="PLATINO"/>
    <n v="220"/>
    <d v="2026-02-27T16:00:53"/>
  </r>
  <r>
    <n v="23999"/>
    <x v="5"/>
    <n v="51012666"/>
    <n v="67.08"/>
    <s v="ORO"/>
    <n v="651"/>
    <d v="2026-02-27T16:00:53"/>
  </r>
  <r>
    <n v="24000"/>
    <x v="5"/>
    <n v="51036247"/>
    <n v="20"/>
    <s v="BRONCE"/>
    <n v="821"/>
    <d v="2026-02-27T16:00:53"/>
  </r>
  <r>
    <n v="24001"/>
    <x v="5"/>
    <n v="51011325"/>
    <n v="63.536553414828809"/>
    <s v="ORO"/>
    <n v="691"/>
    <d v="2026-02-27T16:00:53"/>
  </r>
  <r>
    <n v="24002"/>
    <x v="5"/>
    <n v="51004469"/>
    <n v="87.14"/>
    <s v="PLATINO"/>
    <n v="157"/>
    <d v="2026-02-27T16:00:53"/>
  </r>
  <r>
    <n v="24003"/>
    <x v="5"/>
    <n v="51020251"/>
    <n v="29.492704772443339"/>
    <s v="BRONCE"/>
    <n v="807"/>
    <d v="2026-02-27T16:00:53"/>
  </r>
  <r>
    <n v="24004"/>
    <x v="5"/>
    <n v="51016793"/>
    <n v="33.784442433001857"/>
    <s v="PLATA"/>
    <n v="797"/>
    <d v="2026-02-27T16:00:53"/>
  </r>
  <r>
    <n v="24005"/>
    <x v="5"/>
    <n v="51015401"/>
    <n v="88.38"/>
    <s v="PLATINO"/>
    <n v="86"/>
    <d v="2026-02-27T16:00:53"/>
  </r>
  <r>
    <n v="24006"/>
    <x v="5"/>
    <n v="51056281"/>
    <n v="86.94"/>
    <s v="PLATINO"/>
    <n v="167"/>
    <d v="2026-02-27T16:00:53"/>
  </r>
  <r>
    <n v="24007"/>
    <x v="5"/>
    <n v="51055012"/>
    <n v="88.86"/>
    <s v="PLATINO"/>
    <n v="55"/>
    <d v="2026-02-27T16:00:53"/>
  </r>
  <r>
    <n v="24008"/>
    <x v="5"/>
    <n v="51006615"/>
    <n v="89.33"/>
    <s v="PLATINO"/>
    <n v="25"/>
    <d v="2026-02-27T16:00:53"/>
  </r>
  <r>
    <n v="24009"/>
    <x v="5"/>
    <n v="51011724"/>
    <n v="88"/>
    <s v="PLATINO"/>
    <n v="107"/>
    <d v="2026-02-27T16:00:53"/>
  </r>
  <r>
    <n v="24010"/>
    <x v="5"/>
    <n v="51010469"/>
    <n v="86.56"/>
    <s v="PLATINO"/>
    <n v="191"/>
    <d v="2026-02-27T16:00:53"/>
  </r>
  <r>
    <n v="24011"/>
    <x v="5"/>
    <n v="51056191"/>
    <n v="66.66"/>
    <s v="ORO"/>
    <n v="657"/>
    <d v="2026-02-27T16:00:53"/>
  </r>
  <r>
    <n v="24012"/>
    <x v="5"/>
    <n v="51023781"/>
    <n v="85.78"/>
    <s v="PLATINO"/>
    <n v="233"/>
    <d v="2026-02-27T16:00:53"/>
  </r>
  <r>
    <n v="24013"/>
    <x v="5"/>
    <n v="51056221"/>
    <n v="19.98"/>
    <s v="BRONCE"/>
    <n v="860"/>
    <d v="2026-02-27T16:00:53"/>
  </r>
  <r>
    <n v="24014"/>
    <x v="5"/>
    <n v="51018443"/>
    <n v="88.484793716324461"/>
    <s v="PLATINO"/>
    <n v="78"/>
    <d v="2026-02-27T16:00:53"/>
  </r>
  <r>
    <n v="24015"/>
    <x v="5"/>
    <n v="51023757"/>
    <n v="89.301057315789294"/>
    <s v="PLATINO"/>
    <n v="28"/>
    <d v="2026-02-27T16:00:53"/>
  </r>
  <r>
    <n v="24016"/>
    <x v="5"/>
    <n v="51055357"/>
    <n v="88.34"/>
    <s v="PLATINO"/>
    <n v="90"/>
    <d v="2026-02-27T16:00:53"/>
  </r>
  <r>
    <n v="24017"/>
    <x v="5"/>
    <n v="51021576"/>
    <n v="76.409440737304891"/>
    <s v="PLATINO"/>
    <n v="565"/>
    <d v="2026-02-27T16:00:53"/>
  </r>
  <r>
    <n v="24018"/>
    <x v="5"/>
    <n v="51018591"/>
    <n v="85.88"/>
    <s v="PLATINO"/>
    <n v="230"/>
    <d v="2026-02-27T16:00:53"/>
  </r>
  <r>
    <n v="24019"/>
    <x v="5"/>
    <n v="51023471"/>
    <n v="88.66"/>
    <s v="PLATINO"/>
    <n v="68"/>
    <d v="2026-02-27T16:00:53"/>
  </r>
  <r>
    <n v="24020"/>
    <x v="5"/>
    <n v="51031393"/>
    <n v="80.256771397150317"/>
    <s v="PLATINO"/>
    <n v="483"/>
    <d v="2026-02-27T16:00:53"/>
  </r>
  <r>
    <n v="24021"/>
    <x v="5"/>
    <n v="51025971"/>
    <n v="87.89529676565742"/>
    <s v="PLATINO"/>
    <n v="113"/>
    <d v="2026-02-27T16:00:53"/>
  </r>
  <r>
    <n v="24022"/>
    <x v="5"/>
    <n v="51020880"/>
    <n v="88.577317972244231"/>
    <s v="PLATINO"/>
    <n v="73"/>
    <d v="2026-02-27T16:00:53"/>
  </r>
  <r>
    <n v="24023"/>
    <x v="5"/>
    <n v="51023056"/>
    <n v="88.18159779332197"/>
    <s v="PLATINO"/>
    <n v="97"/>
    <d v="2026-02-27T16:00:53"/>
  </r>
  <r>
    <n v="24024"/>
    <x v="5"/>
    <n v="51022688"/>
    <n v="86.151996583427277"/>
    <s v="PLATINO"/>
    <n v="215"/>
    <d v="2026-02-27T16:00:53"/>
  </r>
  <r>
    <n v="24025"/>
    <x v="5"/>
    <n v="51012747"/>
    <n v="19.995645223110589"/>
    <s v="BRONCE"/>
    <n v="854"/>
    <d v="2026-02-27T16:00:53"/>
  </r>
  <r>
    <n v="24026"/>
    <x v="5"/>
    <n v="51032900"/>
    <n v="86.362734394010374"/>
    <s v="PLATINO"/>
    <n v="201"/>
    <d v="2026-02-27T16:00:53"/>
  </r>
  <r>
    <n v="24027"/>
    <x v="5"/>
    <n v="51056434"/>
    <n v="87.087502335269136"/>
    <s v="PLATINO"/>
    <n v="162"/>
    <d v="2026-02-27T16:00:53"/>
  </r>
  <r>
    <n v="24028"/>
    <x v="5"/>
    <n v="51019261"/>
    <n v="19.99459925209139"/>
    <s v="BRONCE"/>
    <n v="855"/>
    <d v="2026-02-27T16:00:53"/>
  </r>
  <r>
    <n v="24029"/>
    <x v="5"/>
    <n v="51018486"/>
    <n v="87.67938926289149"/>
    <s v="PLATINO"/>
    <n v="123"/>
    <d v="2026-02-27T16:00:53"/>
  </r>
  <r>
    <n v="24030"/>
    <x v="5"/>
    <n v="51005732"/>
    <n v="86.52"/>
    <s v="PLATINO"/>
    <n v="193"/>
    <d v="2026-02-27T16:00:53"/>
  </r>
  <r>
    <n v="24031"/>
    <x v="5"/>
    <n v="51039785"/>
    <n v="89.44"/>
    <s v="PLATINO"/>
    <n v="21"/>
    <d v="2026-02-27T16:00:53"/>
  </r>
  <r>
    <n v="24032"/>
    <x v="5"/>
    <n v="51025865"/>
    <n v="87.230000000000018"/>
    <s v="PLATINO"/>
    <n v="150"/>
    <d v="2026-02-27T16:00:53"/>
  </r>
  <r>
    <n v="24033"/>
    <x v="5"/>
    <n v="51015657"/>
    <n v="88.02000000000001"/>
    <s v="PLATINO"/>
    <n v="104"/>
    <d v="2026-02-27T16:00:53"/>
  </r>
  <r>
    <n v="24034"/>
    <x v="5"/>
    <n v="51001168"/>
    <n v="88.495000000000005"/>
    <s v="PLATINO"/>
    <n v="77"/>
    <d v="2026-02-27T16:00:53"/>
  </r>
  <r>
    <n v="24035"/>
    <x v="5"/>
    <n v="51021380"/>
    <n v="88.36"/>
    <s v="PLATINO"/>
    <n v="89"/>
    <d v="2026-02-27T16:00:53"/>
  </r>
  <r>
    <n v="24036"/>
    <x v="5"/>
    <n v="51011970"/>
    <n v="85.1"/>
    <s v="PLATINO"/>
    <n v="265"/>
    <d v="2026-02-27T16:00:53"/>
  </r>
  <r>
    <n v="24037"/>
    <x v="5"/>
    <n v="51036697"/>
    <n v="85.62"/>
    <s v="PLATINO"/>
    <n v="240"/>
    <d v="2026-02-27T16:00:53"/>
  </r>
  <r>
    <n v="24038"/>
    <x v="5"/>
    <n v="51009061"/>
    <n v="87.56"/>
    <s v="PLATINO"/>
    <n v="132"/>
    <d v="2026-02-27T16:00:53"/>
  </r>
  <r>
    <n v="24039"/>
    <x v="5"/>
    <n v="51013824"/>
    <n v="86.76"/>
    <s v="PLATINO"/>
    <n v="178"/>
    <d v="2026-02-27T16:00:53"/>
  </r>
  <r>
    <n v="24040"/>
    <x v="5"/>
    <n v="51009240"/>
    <n v="87"/>
    <s v="PLATINO"/>
    <n v="164"/>
    <d v="2026-02-27T16:00:53"/>
  </r>
  <r>
    <n v="24041"/>
    <x v="5"/>
    <n v="51001061"/>
    <n v="85.44"/>
    <s v="PLATINO"/>
    <n v="249"/>
    <d v="2026-02-27T16:00:53"/>
  </r>
  <r>
    <n v="24042"/>
    <x v="5"/>
    <n v="51018621"/>
    <n v="84.6"/>
    <s v="PLATINO"/>
    <n v="286"/>
    <d v="2026-02-27T16:00:53"/>
  </r>
  <r>
    <n v="24043"/>
    <x v="5"/>
    <n v="51011031"/>
    <n v="87.740000000000009"/>
    <s v="PLATINO"/>
    <n v="119"/>
    <d v="2026-02-27T16:00:53"/>
  </r>
  <r>
    <n v="24044"/>
    <x v="5"/>
    <n v="51013239"/>
    <n v="86.86"/>
    <s v="PLATINO"/>
    <n v="173"/>
    <d v="2026-02-27T16:00:53"/>
  </r>
  <r>
    <n v="24045"/>
    <x v="5"/>
    <n v="51030281"/>
    <n v="86.78"/>
    <s v="PLATINO"/>
    <n v="177"/>
    <d v="2026-02-27T16:00:53"/>
  </r>
  <r>
    <n v="24046"/>
    <x v="5"/>
    <n v="51055829"/>
    <n v="87.7"/>
    <s v="PLATINO"/>
    <n v="120"/>
    <d v="2026-02-27T16:00:53"/>
  </r>
  <r>
    <n v="24047"/>
    <x v="5"/>
    <n v="51023919"/>
    <n v="74.345996516078372"/>
    <s v="ORO"/>
    <n v="578"/>
    <d v="2026-02-27T16:00:53"/>
  </r>
  <r>
    <n v="24048"/>
    <x v="5"/>
    <n v="51031610"/>
    <n v="52.436724815919113"/>
    <s v="PLATA"/>
    <n v="741"/>
    <d v="2026-02-27T16:00:53"/>
  </r>
  <r>
    <n v="24049"/>
    <x v="5"/>
    <n v="51024141"/>
    <n v="89.58"/>
    <s v="PLATINO"/>
    <n v="15"/>
    <d v="2026-02-27T16:00:53"/>
  </r>
  <r>
    <n v="24050"/>
    <x v="5"/>
    <n v="51023137"/>
    <n v="87.28"/>
    <s v="PLATINO"/>
    <n v="146"/>
    <d v="2026-02-27T16:00:53"/>
  </r>
  <r>
    <n v="24051"/>
    <x v="5"/>
    <n v="51026578"/>
    <n v="86.62"/>
    <s v="PLATINO"/>
    <n v="186"/>
    <d v="2026-02-27T16:00:53"/>
  </r>
  <r>
    <n v="24052"/>
    <x v="5"/>
    <n v="51017986"/>
    <n v="87.52"/>
    <s v="PLATINO"/>
    <n v="135"/>
    <d v="2026-02-27T16:00:53"/>
  </r>
  <r>
    <n v="24053"/>
    <x v="5"/>
    <n v="51055373"/>
    <n v="80.858853932545259"/>
    <s v="PLATINO"/>
    <n v="461"/>
    <d v="2026-02-27T16:00:53"/>
  </r>
  <r>
    <n v="24054"/>
    <x v="5"/>
    <n v="51013794"/>
    <n v="19.98"/>
    <s v="BRONCE"/>
    <n v="860"/>
    <d v="2026-02-27T16:00:53"/>
  </r>
  <r>
    <n v="24055"/>
    <x v="5"/>
    <n v="51033141"/>
    <n v="76.669869095194201"/>
    <s v="PLATINO"/>
    <n v="561"/>
    <d v="2026-02-27T16:00:53"/>
  </r>
  <r>
    <n v="24056"/>
    <x v="5"/>
    <n v="51056612"/>
    <n v="84.36"/>
    <s v="PLATINO"/>
    <n v="299"/>
    <d v="2026-02-27T16:00:53"/>
  </r>
  <r>
    <n v="24057"/>
    <x v="5"/>
    <n v="51032071"/>
    <n v="88.740000000000009"/>
    <s v="PLATINO"/>
    <n v="62"/>
    <d v="2026-02-27T16:00:53"/>
  </r>
  <r>
    <n v="24058"/>
    <x v="5"/>
    <n v="51031121"/>
    <n v="84.32"/>
    <s v="PLATINO"/>
    <n v="304"/>
    <d v="2026-02-27T16:00:53"/>
  </r>
  <r>
    <n v="24059"/>
    <x v="5"/>
    <n v="51056981"/>
    <n v="87.48"/>
    <s v="PLATINO"/>
    <n v="136"/>
    <d v="2026-02-27T16:00:53"/>
  </r>
  <r>
    <n v="24060"/>
    <x v="5"/>
    <n v="51022424"/>
    <n v="89.817999999999998"/>
    <s v="PLATINO"/>
    <n v="3"/>
    <d v="2026-02-27T16:00:53"/>
  </r>
  <r>
    <n v="24061"/>
    <x v="5"/>
    <n v="51025920"/>
    <n v="49.758630310929682"/>
    <s v="PLATA"/>
    <n v="751"/>
    <d v="2026-02-27T16:00:53"/>
  </r>
  <r>
    <n v="24062"/>
    <x v="5"/>
    <n v="51056388"/>
    <n v="87.6"/>
    <s v="PLATINO"/>
    <n v="128"/>
    <d v="2026-02-27T16:00:53"/>
  </r>
  <r>
    <n v="24063"/>
    <x v="5"/>
    <n v="51033485"/>
    <n v="89.618000000000009"/>
    <s v="PLATINO"/>
    <n v="13"/>
    <d v="2026-02-27T16:00:53"/>
  </r>
  <r>
    <n v="24064"/>
    <x v="5"/>
    <n v="51041615"/>
    <n v="77.253174041139573"/>
    <s v="PLATINO"/>
    <n v="559"/>
    <d v="2026-02-27T16:00:53"/>
  </r>
  <r>
    <n v="24065"/>
    <x v="5"/>
    <n v="51017641"/>
    <n v="75.68342486157303"/>
    <s v="PLATINO"/>
    <n v="569"/>
    <d v="2026-02-27T16:00:53"/>
  </r>
  <r>
    <n v="24066"/>
    <x v="5"/>
    <n v="51005741"/>
    <n v="85.08"/>
    <s v="PLATINO"/>
    <n v="266"/>
    <d v="2026-02-27T16:00:53"/>
  </r>
  <r>
    <n v="24067"/>
    <x v="5"/>
    <n v="51011996"/>
    <n v="88.62"/>
    <s v="PLATINO"/>
    <n v="70"/>
    <d v="2026-02-27T16:00:53"/>
  </r>
  <r>
    <n v="24068"/>
    <x v="5"/>
    <n v="51025440"/>
    <n v="88.18"/>
    <s v="PLATINO"/>
    <n v="98"/>
    <d v="2026-02-27T16:00:53"/>
  </r>
  <r>
    <n v="24069"/>
    <x v="5"/>
    <n v="51055993"/>
    <n v="89.240000000000009"/>
    <s v="PLATINO"/>
    <n v="33"/>
    <d v="2026-02-27T16:00:53"/>
  </r>
  <r>
    <n v="24070"/>
    <x v="5"/>
    <n v="51021231"/>
    <n v="62.452012940202472"/>
    <s v="ORO"/>
    <n v="705"/>
    <d v="2026-02-27T16:00:53"/>
  </r>
  <r>
    <n v="24071"/>
    <x v="5"/>
    <n v="51024125"/>
    <n v="30.804368254257842"/>
    <s v="PLATA"/>
    <n v="806"/>
    <d v="2026-02-27T16:00:53"/>
  </r>
  <r>
    <n v="24072"/>
    <x v="5"/>
    <n v="51014359"/>
    <n v="79.500127717156857"/>
    <s v="PLATINO"/>
    <n v="509"/>
    <d v="2026-02-27T16:00:53"/>
  </r>
  <r>
    <n v="24073"/>
    <x v="5"/>
    <n v="51024681"/>
    <n v="84.1"/>
    <s v="PLATINO"/>
    <n v="323"/>
    <d v="2026-02-27T16:00:53"/>
  </r>
  <r>
    <n v="24074"/>
    <x v="5"/>
    <n v="51024001"/>
    <n v="20"/>
    <s v="BRONCE"/>
    <n v="821"/>
    <d v="2026-02-27T16:00:53"/>
  </r>
  <r>
    <n v="24075"/>
    <x v="5"/>
    <n v="51023480"/>
    <n v="89.36"/>
    <s v="PLATINO"/>
    <n v="24"/>
    <d v="2026-02-27T16:00:53"/>
  </r>
  <r>
    <n v="24076"/>
    <x v="5"/>
    <n v="51020405"/>
    <n v="68.591515475615935"/>
    <s v="ORO"/>
    <n v="634"/>
    <d v="2026-02-27T16:00:53"/>
  </r>
  <r>
    <n v="24077"/>
    <x v="5"/>
    <n v="51044070"/>
    <n v="70.121210234979728"/>
    <s v="ORO"/>
    <n v="616"/>
    <d v="2026-02-27T16:00:53"/>
  </r>
  <r>
    <n v="24078"/>
    <x v="5"/>
    <n v="51032110"/>
    <n v="87.8"/>
    <s v="PLATINO"/>
    <n v="117"/>
    <d v="2026-02-27T16:00:53"/>
  </r>
  <r>
    <n v="24079"/>
    <x v="5"/>
    <n v="51036123"/>
    <n v="88.320000000000007"/>
    <s v="PLATINO"/>
    <n v="91"/>
    <d v="2026-02-27T16:00:53"/>
  </r>
  <r>
    <n v="24080"/>
    <x v="5"/>
    <n v="51056078"/>
    <n v="86.32"/>
    <s v="PLATINO"/>
    <n v="203"/>
    <d v="2026-02-27T16:00:53"/>
  </r>
  <r>
    <n v="24081"/>
    <x v="5"/>
    <n v="51012445"/>
    <n v="84.259999999999991"/>
    <s v="PLATINO"/>
    <n v="310"/>
    <d v="2026-02-27T16:00:53"/>
  </r>
  <r>
    <n v="24082"/>
    <x v="5"/>
    <n v="51019661"/>
    <n v="86.22"/>
    <s v="PLATINO"/>
    <n v="209"/>
    <d v="2026-02-27T16:00:53"/>
  </r>
  <r>
    <n v="24083"/>
    <x v="5"/>
    <n v="51021894"/>
    <n v="20"/>
    <s v="BRONCE"/>
    <n v="821"/>
    <d v="2026-02-27T16:00:53"/>
  </r>
  <r>
    <n v="24084"/>
    <x v="5"/>
    <n v="51018575"/>
    <n v="86.64"/>
    <s v="PLATINO"/>
    <n v="185"/>
    <d v="2026-02-27T16:00:53"/>
  </r>
  <r>
    <n v="24085"/>
    <x v="5"/>
    <n v="51031652"/>
    <n v="87.6"/>
    <s v="PLATINO"/>
    <n v="128"/>
    <d v="2026-02-27T16:00:53"/>
  </r>
  <r>
    <n v="24086"/>
    <x v="5"/>
    <n v="51040627"/>
    <n v="88.64"/>
    <s v="PLATINO"/>
    <n v="69"/>
    <d v="2026-02-27T16:00:53"/>
  </r>
  <r>
    <n v="24087"/>
    <x v="5"/>
    <n v="51031253"/>
    <n v="77.513179915698231"/>
    <s v="PLATINO"/>
    <n v="556"/>
    <d v="2026-02-27T16:00:53"/>
  </r>
  <r>
    <n v="24088"/>
    <x v="5"/>
    <n v="51034350"/>
    <n v="70.419207278803157"/>
    <s v="ORO"/>
    <n v="613"/>
    <d v="2026-02-27T16:00:53"/>
  </r>
  <r>
    <n v="24089"/>
    <x v="5"/>
    <n v="51022220"/>
    <n v="19.96457892123443"/>
    <s v="BRONCE"/>
    <n v="867"/>
    <d v="2026-02-27T16:00:53"/>
  </r>
  <r>
    <n v="24090"/>
    <x v="5"/>
    <n v="51019512"/>
    <n v="85.424923297067238"/>
    <s v="PLATINO"/>
    <n v="250"/>
    <d v="2026-02-27T16:00:53"/>
  </r>
  <r>
    <n v="24091"/>
    <x v="5"/>
    <n v="51014391"/>
    <n v="80.121200998379209"/>
    <s v="PLATINO"/>
    <n v="488"/>
    <d v="2026-02-27T16:00:53"/>
  </r>
  <r>
    <n v="24092"/>
    <x v="5"/>
    <n v="51042689"/>
    <n v="86.190769875353524"/>
    <s v="PLATINO"/>
    <n v="212"/>
    <d v="2026-02-27T16:00:53"/>
  </r>
  <r>
    <n v="24093"/>
    <x v="5"/>
    <n v="51013867"/>
    <n v="88.022634205143859"/>
    <s v="PLATINO"/>
    <n v="103"/>
    <d v="2026-02-27T16:00:53"/>
  </r>
  <r>
    <n v="24094"/>
    <x v="5"/>
    <n v="51021258"/>
    <n v="87.31700410885496"/>
    <s v="PLATINO"/>
    <n v="141"/>
    <d v="2026-02-27T16:00:53"/>
  </r>
  <r>
    <n v="24095"/>
    <x v="5"/>
    <n v="51024591"/>
    <n v="19.880335578299199"/>
    <s v="BRONCE"/>
    <n v="884"/>
    <d v="2026-02-27T16:00:53"/>
  </r>
  <r>
    <n v="24096"/>
    <x v="5"/>
    <n v="51021665"/>
    <n v="79.612275862740361"/>
    <s v="PLATINO"/>
    <n v="504"/>
    <d v="2026-02-27T16:00:53"/>
  </r>
  <r>
    <n v="24097"/>
    <x v="5"/>
    <n v="51030273"/>
    <n v="27.320637331474249"/>
    <s v="BRONCE"/>
    <n v="813"/>
    <d v="2026-02-27T16:00:53"/>
  </r>
  <r>
    <n v="24098"/>
    <x v="5"/>
    <n v="51024559"/>
    <n v="19.860662799636788"/>
    <s v="BRONCE"/>
    <n v="888"/>
    <d v="2026-02-27T16:00:53"/>
  </r>
  <r>
    <n v="24099"/>
    <x v="5"/>
    <n v="51007565"/>
    <n v="84.180394799885192"/>
    <s v="PLATINO"/>
    <n v="316"/>
    <d v="2026-02-27T16:00:53"/>
  </r>
  <r>
    <n v="24100"/>
    <x v="5"/>
    <n v="51032136"/>
    <n v="86.32218676160339"/>
    <s v="PLATINO"/>
    <n v="202"/>
    <d v="2026-02-27T16:00:53"/>
  </r>
  <r>
    <n v="24101"/>
    <x v="5"/>
    <n v="51057066"/>
    <n v="84.598696995777317"/>
    <s v="PLATINO"/>
    <n v="287"/>
    <d v="2026-02-27T16:00:53"/>
  </r>
  <r>
    <n v="24102"/>
    <x v="5"/>
    <n v="51021215"/>
    <n v="51.900198844537293"/>
    <s v="PLATA"/>
    <n v="744"/>
    <d v="2026-02-27T16:00:53"/>
  </r>
  <r>
    <n v="24103"/>
    <x v="5"/>
    <n v="51040937"/>
    <n v="87.303676828517496"/>
    <s v="PLATINO"/>
    <n v="142"/>
    <d v="2026-02-27T16:00:53"/>
  </r>
  <r>
    <n v="24104"/>
    <x v="5"/>
    <n v="51014430"/>
    <n v="87.173016832588999"/>
    <s v="PLATINO"/>
    <n v="154"/>
    <d v="2026-02-27T16:00:53"/>
  </r>
  <r>
    <n v="24105"/>
    <x v="5"/>
    <n v="51055853"/>
    <n v="19.859351769915261"/>
    <s v="BRONCE"/>
    <n v="889"/>
    <d v="2026-02-27T16:00:53"/>
  </r>
  <r>
    <n v="24106"/>
    <x v="5"/>
    <n v="51056515"/>
    <n v="85.504591571828058"/>
    <s v="PLATINO"/>
    <n v="248"/>
    <d v="2026-02-27T16:00:53"/>
  </r>
  <r>
    <n v="24107"/>
    <x v="5"/>
    <n v="51020952"/>
    <n v="85.787610258848758"/>
    <s v="PLATINO"/>
    <n v="232"/>
    <d v="2026-02-27T16:00:53"/>
  </r>
  <r>
    <n v="24108"/>
    <x v="5"/>
    <n v="51022611"/>
    <n v="71.159740384405282"/>
    <s v="ORO"/>
    <n v="608"/>
    <d v="2026-02-27T16:00:53"/>
  </r>
  <r>
    <n v="24109"/>
    <x v="5"/>
    <n v="51056761"/>
    <n v="88.913011818036026"/>
    <s v="PLATINO"/>
    <n v="51"/>
    <d v="2026-02-27T16:00:53"/>
  </r>
  <r>
    <n v="24110"/>
    <x v="5"/>
    <n v="51031741"/>
    <n v="86.171533718723566"/>
    <s v="PLATINO"/>
    <n v="213"/>
    <d v="2026-02-27T16:00:53"/>
  </r>
  <r>
    <n v="24111"/>
    <x v="5"/>
    <n v="51056469"/>
    <n v="87.579642287135925"/>
    <s v="PLATINO"/>
    <n v="131"/>
    <d v="2026-02-27T16:00:53"/>
  </r>
  <r>
    <n v="24112"/>
    <x v="5"/>
    <n v="51031130"/>
    <n v="85.897438832440898"/>
    <s v="PLATINO"/>
    <n v="228"/>
    <d v="2026-02-27T16:00:53"/>
  </r>
  <r>
    <n v="24113"/>
    <x v="5"/>
    <n v="51014855"/>
    <n v="85.387467466972652"/>
    <s v="PLATINO"/>
    <n v="253"/>
    <d v="2026-02-27T16:00:53"/>
  </r>
  <r>
    <n v="24114"/>
    <x v="5"/>
    <n v="51055055"/>
    <n v="85.896886722459598"/>
    <s v="PLATINO"/>
    <n v="229"/>
    <d v="2026-02-27T16:00:53"/>
  </r>
  <r>
    <n v="24115"/>
    <x v="5"/>
    <n v="51008634"/>
    <n v="65.295375117840621"/>
    <s v="ORO"/>
    <n v="663"/>
    <d v="2026-02-27T16:00:53"/>
  </r>
  <r>
    <n v="24116"/>
    <x v="5"/>
    <n v="51021835"/>
    <n v="88.413358498227382"/>
    <s v="PLATINO"/>
    <n v="84"/>
    <d v="2026-02-27T16:00:53"/>
  </r>
  <r>
    <n v="24117"/>
    <x v="5"/>
    <n v="51030320"/>
    <n v="85.019706976725672"/>
    <s v="PLATINO"/>
    <n v="270"/>
    <d v="2026-02-27T16:00:53"/>
  </r>
  <r>
    <n v="24118"/>
    <x v="5"/>
    <n v="51033701"/>
    <n v="86.392214342996411"/>
    <s v="PLATINO"/>
    <n v="197"/>
    <d v="2026-02-27T16:00:53"/>
  </r>
  <r>
    <n v="24119"/>
    <x v="5"/>
    <n v="51013280"/>
    <n v="88.789446402633757"/>
    <s v="PLATINO"/>
    <n v="60"/>
    <d v="2026-02-27T16:00:53"/>
  </r>
  <r>
    <n v="24120"/>
    <x v="5"/>
    <n v="51022785"/>
    <n v="19.923167627549581"/>
    <s v="BRONCE"/>
    <n v="873"/>
    <d v="2026-02-27T16:00:53"/>
  </r>
  <r>
    <n v="24121"/>
    <x v="5"/>
    <n v="51036310"/>
    <n v="19.905574055957121"/>
    <s v="BRONCE"/>
    <n v="876"/>
    <d v="2026-02-27T16:00:53"/>
  </r>
  <r>
    <n v="24122"/>
    <x v="5"/>
    <n v="51010710"/>
    <n v="87.687169780262082"/>
    <s v="PLATINO"/>
    <n v="122"/>
    <d v="2026-02-27T16:00:53"/>
  </r>
  <r>
    <n v="24123"/>
    <x v="5"/>
    <n v="51034376"/>
    <n v="76.582802896077709"/>
    <s v="PLATINO"/>
    <n v="564"/>
    <d v="2026-02-27T16:00:53"/>
  </r>
  <r>
    <n v="24124"/>
    <x v="5"/>
    <n v="51023561"/>
    <n v="88.667809365064983"/>
    <s v="PLATINO"/>
    <n v="67"/>
    <d v="2026-02-27T16:00:53"/>
  </r>
  <r>
    <n v="24125"/>
    <x v="5"/>
    <n v="51025253"/>
    <n v="19.904924347322911"/>
    <s v="BRONCE"/>
    <n v="877"/>
    <d v="2026-02-27T16:00:53"/>
  </r>
  <r>
    <n v="24126"/>
    <x v="5"/>
    <n v="51030176"/>
    <n v="43.192080569179851"/>
    <s v="PLATA"/>
    <n v="767"/>
    <d v="2026-02-27T16:00:53"/>
  </r>
  <r>
    <n v="24127"/>
    <x v="5"/>
    <n v="51024575"/>
    <n v="75.724129388838719"/>
    <s v="PLATINO"/>
    <n v="568"/>
    <d v="2026-02-27T16:00:53"/>
  </r>
  <r>
    <n v="24128"/>
    <x v="5"/>
    <n v="51005333"/>
    <n v="36.09202393669969"/>
    <s v="PLATA"/>
    <n v="788"/>
    <d v="2026-02-27T16:00:53"/>
  </r>
  <r>
    <n v="24129"/>
    <x v="5"/>
    <n v="51030931"/>
    <n v="86.918924133762872"/>
    <s v="PLATINO"/>
    <n v="170"/>
    <d v="2026-02-27T16:00:53"/>
  </r>
  <r>
    <n v="24130"/>
    <x v="5"/>
    <n v="51056027"/>
    <n v="85.217770550525344"/>
    <s v="PLATINO"/>
    <n v="259"/>
    <d v="2026-02-27T16:00:53"/>
  </r>
  <r>
    <n v="24131"/>
    <x v="5"/>
    <n v="51054911"/>
    <n v="84.312805889505569"/>
    <s v="PLATINO"/>
    <n v="306"/>
    <d v="2026-02-27T16:00:53"/>
  </r>
  <r>
    <n v="24132"/>
    <x v="5"/>
    <n v="51030605"/>
    <n v="78.558200868373248"/>
    <s v="PLATINO"/>
    <n v="536"/>
    <d v="2026-02-27T16:00:53"/>
  </r>
  <r>
    <n v="24133"/>
    <x v="5"/>
    <n v="51044487"/>
    <n v="87.108710679972774"/>
    <s v="PLATINO"/>
    <n v="160"/>
    <d v="2026-02-27T16:00:53"/>
  </r>
  <r>
    <n v="24134"/>
    <x v="5"/>
    <n v="51035674"/>
    <n v="86.112190708453269"/>
    <s v="PLATINO"/>
    <n v="217"/>
    <d v="2026-02-27T16:00:53"/>
  </r>
  <r>
    <n v="24135"/>
    <x v="5"/>
    <n v="51055128"/>
    <n v="84.181888914457147"/>
    <s v="PLATINO"/>
    <n v="315"/>
    <d v="2026-02-27T16:00:53"/>
  </r>
  <r>
    <n v="24136"/>
    <x v="5"/>
    <n v="51011546"/>
    <n v="84.977041474383711"/>
    <s v="PLATINO"/>
    <n v="271"/>
    <d v="2026-02-27T16:00:53"/>
  </r>
  <r>
    <n v="24137"/>
    <x v="5"/>
    <n v="51031482"/>
    <n v="87.275793348975867"/>
    <s v="PLATINO"/>
    <n v="147"/>
    <d v="2026-02-27T16:00:53"/>
  </r>
  <r>
    <n v="24138"/>
    <x v="5"/>
    <n v="51030109"/>
    <n v="19.79141790670857"/>
    <s v="BRONCE"/>
    <n v="904"/>
    <d v="2026-02-27T16:00:53"/>
  </r>
  <r>
    <n v="24139"/>
    <x v="5"/>
    <n v="51022009"/>
    <n v="87.295110431991645"/>
    <s v="PLATINO"/>
    <n v="144"/>
    <d v="2026-02-27T16:00:53"/>
  </r>
  <r>
    <n v="24140"/>
    <x v="5"/>
    <n v="51015932"/>
    <n v="86.785124896269835"/>
    <s v="PLATINO"/>
    <n v="176"/>
    <d v="2026-02-27T16:00:53"/>
  </r>
  <r>
    <n v="24141"/>
    <x v="5"/>
    <n v="51030028"/>
    <n v="85.582640408510628"/>
    <s v="PLATINO"/>
    <n v="243"/>
    <d v="2026-02-27T16:00:53"/>
  </r>
  <r>
    <n v="24142"/>
    <x v="5"/>
    <n v="51030257"/>
    <n v="19.7342709580426"/>
    <s v="BRONCE"/>
    <n v="912"/>
    <d v="2026-02-27T16:00:53"/>
  </r>
  <r>
    <n v="24143"/>
    <x v="5"/>
    <n v="51055489"/>
    <n v="85.322413738449086"/>
    <s v="PLATINO"/>
    <n v="255"/>
    <d v="2026-02-27T16:00:53"/>
  </r>
  <r>
    <n v="24144"/>
    <x v="5"/>
    <n v="51019423"/>
    <n v="87.67749104735951"/>
    <s v="PLATINO"/>
    <n v="124"/>
    <d v="2026-02-27T16:00:53"/>
  </r>
  <r>
    <n v="24145"/>
    <x v="5"/>
    <n v="51000811"/>
    <n v="73.865750589691274"/>
    <s v="ORO"/>
    <n v="582"/>
    <d v="2026-02-27T16:00:53"/>
  </r>
  <r>
    <n v="24146"/>
    <x v="5"/>
    <n v="51057040"/>
    <n v="88.475035514879082"/>
    <s v="PLATINO"/>
    <n v="80"/>
    <d v="2026-02-27T16:00:53"/>
  </r>
  <r>
    <n v="24147"/>
    <x v="5"/>
    <n v="51055101"/>
    <n v="69.293838199310159"/>
    <s v="ORO"/>
    <n v="626"/>
    <d v="2026-02-27T16:00:53"/>
  </r>
  <r>
    <n v="24148"/>
    <x v="5"/>
    <n v="51016386"/>
    <n v="69.813330919886795"/>
    <s v="ORO"/>
    <n v="620"/>
    <d v="2026-02-27T16:00:53"/>
  </r>
  <r>
    <n v="24149"/>
    <x v="5"/>
    <n v="51003594"/>
    <n v="87.16552672713668"/>
    <s v="PLATINO"/>
    <n v="155"/>
    <d v="2026-02-27T16:00:53"/>
  </r>
  <r>
    <n v="24150"/>
    <x v="5"/>
    <n v="51030923"/>
    <n v="64.68108003112134"/>
    <s v="ORO"/>
    <n v="668"/>
    <d v="2026-02-27T16:00:53"/>
  </r>
  <r>
    <n v="24151"/>
    <x v="5"/>
    <n v="51043197"/>
    <n v="72.139758713794748"/>
    <s v="ORO"/>
    <n v="598"/>
    <d v="2026-02-27T16:00:53"/>
  </r>
  <r>
    <n v="24152"/>
    <x v="5"/>
    <n v="51022823"/>
    <n v="35.150781397399683"/>
    <s v="PLATA"/>
    <n v="793"/>
    <d v="2026-02-27T16:00:53"/>
  </r>
  <r>
    <n v="24153"/>
    <x v="5"/>
    <n v="51056060"/>
    <n v="88.908053269086423"/>
    <s v="PLATINO"/>
    <n v="52"/>
    <d v="2026-02-27T16:00:53"/>
  </r>
  <r>
    <n v="24154"/>
    <x v="5"/>
    <n v="51024419"/>
    <n v="86.298051538315718"/>
    <s v="PLATINO"/>
    <n v="207"/>
    <d v="2026-02-27T16:00:53"/>
  </r>
  <r>
    <n v="24155"/>
    <x v="5"/>
    <n v="51025326"/>
    <n v="84.953250549985967"/>
    <s v="PLATINO"/>
    <n v="273"/>
    <d v="2026-02-27T16:00:53"/>
  </r>
  <r>
    <n v="24156"/>
    <x v="5"/>
    <n v="51020014"/>
    <n v="86.667799384519512"/>
    <s v="PLATINO"/>
    <n v="182"/>
    <d v="2026-02-27T16:00:53"/>
  </r>
  <r>
    <n v="24157"/>
    <x v="5"/>
    <n v="51055951"/>
    <n v="77.767654765786304"/>
    <s v="PLATINO"/>
    <n v="548"/>
    <d v="2026-02-27T16:00:53"/>
  </r>
  <r>
    <n v="24158"/>
    <x v="5"/>
    <n v="51016882"/>
    <n v="89.121214309277775"/>
    <s v="PLATINO"/>
    <n v="39"/>
    <d v="2026-02-27T16:00:53"/>
  </r>
  <r>
    <n v="24159"/>
    <x v="5"/>
    <n v="51043405"/>
    <n v="82.194224664609891"/>
    <s v="PLATINO"/>
    <n v="407"/>
    <d v="2026-02-27T16:00:53"/>
  </r>
  <r>
    <n v="24160"/>
    <x v="5"/>
    <n v="51008987"/>
    <n v="87.558310093709849"/>
    <s v="PLATINO"/>
    <n v="133"/>
    <d v="2026-02-27T16:00:53"/>
  </r>
  <r>
    <n v="24161"/>
    <x v="5"/>
    <n v="51021088"/>
    <n v="86.443018326232576"/>
    <s v="PLATINO"/>
    <n v="196"/>
    <d v="2026-02-27T16:00:53"/>
  </r>
  <r>
    <n v="24162"/>
    <x v="5"/>
    <n v="51001702"/>
    <n v="87.002164188691538"/>
    <s v="PLATINO"/>
    <n v="163"/>
    <d v="2026-02-27T16:00:53"/>
  </r>
  <r>
    <n v="24163"/>
    <x v="5"/>
    <n v="51003730"/>
    <n v="87.995106484616883"/>
    <s v="PLATINO"/>
    <n v="109"/>
    <d v="2026-02-27T16:00:53"/>
  </r>
  <r>
    <n v="24164"/>
    <x v="5"/>
    <n v="51012348"/>
    <n v="84.157130479376889"/>
    <s v="PLATINO"/>
    <n v="317"/>
    <d v="2026-02-27T16:00:53"/>
  </r>
  <r>
    <n v="24165"/>
    <x v="5"/>
    <n v="51031563"/>
    <n v="84.627143807973141"/>
    <s v="PLATINO"/>
    <n v="284"/>
    <d v="2026-02-27T16:00:53"/>
  </r>
  <r>
    <n v="24166"/>
    <x v="5"/>
    <n v="51055080"/>
    <n v="69.660657265457985"/>
    <s v="ORO"/>
    <n v="622"/>
    <d v="2026-02-27T16:00:53"/>
  </r>
  <r>
    <n v="24167"/>
    <x v="5"/>
    <n v="51018672"/>
    <n v="84.92298630398065"/>
    <s v="PLATINO"/>
    <n v="274"/>
    <d v="2026-02-27T16:00:53"/>
  </r>
  <r>
    <n v="24168"/>
    <x v="5"/>
    <n v="51019130"/>
    <n v="83.782765958651851"/>
    <s v="PLATINO"/>
    <n v="338"/>
    <d v="2026-02-27T16:00:53"/>
  </r>
  <r>
    <n v="24169"/>
    <x v="5"/>
    <n v="51036255"/>
    <n v="65.30635150714528"/>
    <s v="ORO"/>
    <n v="662"/>
    <d v="2026-02-27T16:00:53"/>
  </r>
  <r>
    <n v="24170"/>
    <x v="5"/>
    <n v="51056809"/>
    <n v="48.742246043733047"/>
    <s v="PLATA"/>
    <n v="754"/>
    <d v="2026-02-27T16:00:53"/>
  </r>
  <r>
    <n v="24171"/>
    <x v="5"/>
    <n v="51018699"/>
    <n v="86.387658060176079"/>
    <s v="PLATINO"/>
    <n v="198"/>
    <d v="2026-02-27T16:00:53"/>
  </r>
  <r>
    <n v="24172"/>
    <x v="5"/>
    <n v="51010019"/>
    <n v="68.566450378126319"/>
    <s v="ORO"/>
    <n v="636"/>
    <d v="2026-02-27T16:00:53"/>
  </r>
  <r>
    <n v="24173"/>
    <x v="5"/>
    <n v="51010647"/>
    <n v="85.368913478802739"/>
    <s v="PLATINO"/>
    <n v="254"/>
    <d v="2026-02-27T16:00:53"/>
  </r>
  <r>
    <n v="24174"/>
    <x v="5"/>
    <n v="51054881"/>
    <n v="83.000226689831166"/>
    <s v="PLATINO"/>
    <n v="372"/>
    <d v="2026-02-27T16:00:53"/>
  </r>
  <r>
    <n v="24175"/>
    <x v="5"/>
    <n v="51019091"/>
    <n v="19.67827963586593"/>
    <s v="BRONCE"/>
    <n v="920"/>
    <d v="2026-02-27T16:00:53"/>
  </r>
  <r>
    <n v="24176"/>
    <x v="5"/>
    <n v="51018931"/>
    <n v="84.534689911567526"/>
    <s v="PLATINO"/>
    <n v="291"/>
    <d v="2026-02-27T16:00:53"/>
  </r>
  <r>
    <n v="24177"/>
    <x v="5"/>
    <n v="51057015"/>
    <n v="85.321078894754976"/>
    <s v="PLATINO"/>
    <n v="256"/>
    <d v="2026-02-27T16:00:53"/>
  </r>
  <r>
    <n v="24178"/>
    <x v="5"/>
    <n v="51023421"/>
    <n v="85.394292045491568"/>
    <s v="PLATINO"/>
    <n v="252"/>
    <d v="2026-02-27T16:00:53"/>
  </r>
  <r>
    <n v="24179"/>
    <x v="5"/>
    <n v="51012305"/>
    <n v="64.437317436592224"/>
    <s v="ORO"/>
    <n v="674"/>
    <d v="2026-02-27T16:00:53"/>
  </r>
  <r>
    <n v="24180"/>
    <x v="5"/>
    <n v="51014219"/>
    <n v="89.416307377499194"/>
    <s v="PLATINO"/>
    <n v="22"/>
    <d v="2026-02-27T16:00:53"/>
  </r>
  <r>
    <n v="24181"/>
    <x v="5"/>
    <n v="51030753"/>
    <n v="85.052524437886078"/>
    <s v="PLATINO"/>
    <n v="269"/>
    <d v="2026-02-27T16:00:53"/>
  </r>
  <r>
    <n v="24182"/>
    <x v="5"/>
    <n v="51042336"/>
    <n v="86.596822790555976"/>
    <s v="PLATINO"/>
    <n v="189"/>
    <d v="2026-02-27T16:00:53"/>
  </r>
  <r>
    <n v="24183"/>
    <x v="5"/>
    <n v="51023790"/>
    <n v="84.027722256578301"/>
    <s v="PLATINO"/>
    <n v="325"/>
    <d v="2026-02-27T16:00:53"/>
  </r>
  <r>
    <n v="24184"/>
    <x v="5"/>
    <n v="51022378"/>
    <n v="19.652901395804609"/>
    <s v="BRONCE"/>
    <n v="923"/>
    <d v="2026-02-27T16:00:53"/>
  </r>
  <r>
    <n v="24185"/>
    <x v="5"/>
    <n v="51052072"/>
    <n v="19.63491430091533"/>
    <s v="BRONCE"/>
    <n v="925"/>
    <d v="2026-02-27T16:00:53"/>
  </r>
  <r>
    <n v="24186"/>
    <x v="5"/>
    <n v="51031946"/>
    <n v="84.033505368510419"/>
    <s v="PLATINO"/>
    <n v="324"/>
    <d v="2026-02-27T16:00:53"/>
  </r>
  <r>
    <n v="24187"/>
    <x v="5"/>
    <n v="51010752"/>
    <n v="19.60464531463553"/>
    <s v="BRONCE"/>
    <n v="927"/>
    <d v="2026-02-27T16:00:53"/>
  </r>
  <r>
    <n v="24188"/>
    <x v="5"/>
    <n v="51055594"/>
    <n v="86.07893616663884"/>
    <s v="PLATINO"/>
    <n v="218"/>
    <d v="2026-02-27T16:00:53"/>
  </r>
  <r>
    <n v="24189"/>
    <x v="5"/>
    <n v="51041585"/>
    <n v="86.483174440467224"/>
    <s v="PLATINO"/>
    <n v="194"/>
    <d v="2026-02-27T16:00:53"/>
  </r>
  <r>
    <n v="24190"/>
    <x v="5"/>
    <n v="51017455"/>
    <n v="87.941829780333961"/>
    <s v="PLATINO"/>
    <n v="110"/>
    <d v="2026-02-27T16:00:53"/>
  </r>
  <r>
    <n v="24191"/>
    <x v="5"/>
    <n v="51033345"/>
    <n v="71.672849243636307"/>
    <s v="ORO"/>
    <n v="602"/>
    <d v="2026-02-27T16:00:53"/>
  </r>
  <r>
    <n v="24192"/>
    <x v="5"/>
    <n v="51012399"/>
    <n v="67.662062659815064"/>
    <s v="ORO"/>
    <n v="645"/>
    <d v="2026-02-27T16:00:53"/>
  </r>
  <r>
    <n v="24193"/>
    <x v="5"/>
    <n v="51034236"/>
    <n v="83.553895553798554"/>
    <s v="PLATINO"/>
    <n v="348"/>
    <d v="2026-02-27T16:00:53"/>
  </r>
  <r>
    <n v="24194"/>
    <x v="5"/>
    <n v="51012941"/>
    <n v="86.318638074553149"/>
    <s v="PLATINO"/>
    <n v="204"/>
    <d v="2026-02-27T16:00:53"/>
  </r>
  <r>
    <n v="24195"/>
    <x v="5"/>
    <n v="51011694"/>
    <n v="19.613951574245512"/>
    <s v="BRONCE"/>
    <n v="926"/>
    <d v="2026-02-27T16:00:53"/>
  </r>
  <r>
    <n v="24196"/>
    <x v="5"/>
    <n v="51020197"/>
    <n v="85.075494169955135"/>
    <s v="PLATINO"/>
    <n v="267"/>
    <d v="2026-02-27T16:00:53"/>
  </r>
  <r>
    <n v="24197"/>
    <x v="5"/>
    <n v="51003284"/>
    <n v="83.610570783398941"/>
    <s v="PLATINO"/>
    <n v="346"/>
    <d v="2026-02-27T16:00:53"/>
  </r>
  <r>
    <n v="24198"/>
    <x v="5"/>
    <n v="51025342"/>
    <n v="19.537339833740798"/>
    <s v="BRONCE"/>
    <n v="934"/>
    <d v="2026-02-27T16:00:53"/>
  </r>
  <r>
    <n v="24199"/>
    <x v="5"/>
    <n v="51030389"/>
    <n v="83.350274818652196"/>
    <s v="PLATINO"/>
    <n v="356"/>
    <d v="2026-02-27T16:00:53"/>
  </r>
  <r>
    <n v="24200"/>
    <x v="5"/>
    <n v="51013581"/>
    <n v="85.70484045044239"/>
    <s v="PLATINO"/>
    <n v="236"/>
    <d v="2026-02-27T16:00:53"/>
  </r>
  <r>
    <n v="24201"/>
    <x v="5"/>
    <n v="51056833"/>
    <n v="84.433051219154237"/>
    <s v="PLATINO"/>
    <n v="295"/>
    <d v="2026-02-27T16:00:53"/>
  </r>
  <r>
    <n v="24202"/>
    <x v="5"/>
    <n v="51056086"/>
    <n v="84.275383159608097"/>
    <s v="PLATINO"/>
    <n v="309"/>
    <d v="2026-02-27T16:00:53"/>
  </r>
  <r>
    <n v="24203"/>
    <x v="5"/>
    <n v="51055241"/>
    <n v="85.6456906351209"/>
    <s v="PLATINO"/>
    <n v="237"/>
    <d v="2026-02-27T16:00:53"/>
  </r>
  <r>
    <n v="24204"/>
    <x v="5"/>
    <n v="51008669"/>
    <n v="83.586285792965498"/>
    <s v="PLATINO"/>
    <n v="347"/>
    <d v="2026-02-27T16:00:53"/>
  </r>
  <r>
    <n v="24205"/>
    <x v="5"/>
    <n v="51031521"/>
    <n v="19.579457743803669"/>
    <s v="BRONCE"/>
    <n v="930"/>
    <d v="2026-02-27T16:00:53"/>
  </r>
  <r>
    <n v="24206"/>
    <x v="5"/>
    <n v="51033477"/>
    <n v="19.59099501782898"/>
    <s v="BRONCE"/>
    <n v="928"/>
    <d v="2026-02-27T16:00:53"/>
  </r>
  <r>
    <n v="24207"/>
    <x v="5"/>
    <n v="51020651"/>
    <n v="64.16313846430954"/>
    <s v="ORO"/>
    <n v="684"/>
    <d v="2026-02-27T16:00:53"/>
  </r>
  <r>
    <n v="24208"/>
    <x v="5"/>
    <n v="51013409"/>
    <n v="82.607010154748721"/>
    <s v="PLATINO"/>
    <n v="390"/>
    <d v="2026-02-27T16:00:53"/>
  </r>
  <r>
    <n v="24209"/>
    <x v="5"/>
    <n v="51030397"/>
    <n v="88.277468324577285"/>
    <s v="PLATINO"/>
    <n v="93"/>
    <d v="2026-02-27T16:00:53"/>
  </r>
  <r>
    <n v="24210"/>
    <x v="5"/>
    <n v="51010353"/>
    <n v="86.650880979638487"/>
    <s v="PLATINO"/>
    <n v="184"/>
    <d v="2026-02-27T16:00:53"/>
  </r>
  <r>
    <n v="24211"/>
    <x v="5"/>
    <n v="51054814"/>
    <n v="72.81114590944523"/>
    <s v="ORO"/>
    <n v="589"/>
    <d v="2026-02-27T16:00:53"/>
  </r>
  <r>
    <n v="24212"/>
    <x v="5"/>
    <n v="51012372"/>
    <n v="85.217863763361379"/>
    <s v="PLATINO"/>
    <n v="258"/>
    <d v="2026-02-27T16:00:53"/>
  </r>
  <r>
    <n v="24213"/>
    <x v="5"/>
    <n v="51036212"/>
    <n v="72.510421405057542"/>
    <s v="ORO"/>
    <n v="594"/>
    <d v="2026-02-27T16:00:53"/>
  </r>
  <r>
    <n v="24214"/>
    <x v="5"/>
    <n v="51029984"/>
    <n v="87.445772353979564"/>
    <s v="PLATINO"/>
    <n v="137"/>
    <d v="2026-02-27T16:00:53"/>
  </r>
  <r>
    <n v="24215"/>
    <x v="5"/>
    <n v="51039777"/>
    <n v="87.294180939791062"/>
    <s v="PLATINO"/>
    <n v="145"/>
    <d v="2026-02-27T16:00:53"/>
  </r>
  <r>
    <n v="24216"/>
    <x v="5"/>
    <n v="51056183"/>
    <n v="47.411222283680388"/>
    <s v="PLATA"/>
    <n v="756"/>
    <d v="2026-02-27T16:00:53"/>
  </r>
  <r>
    <n v="24217"/>
    <x v="5"/>
    <n v="51039238"/>
    <n v="19.690050657489131"/>
    <s v="BRONCE"/>
    <n v="918"/>
    <d v="2026-02-27T16:00:53"/>
  </r>
  <r>
    <n v="24218"/>
    <x v="5"/>
    <n v="51007701"/>
    <n v="86.957699471504"/>
    <s v="PLATINO"/>
    <n v="166"/>
    <d v="2026-02-27T16:00:53"/>
  </r>
  <r>
    <n v="24219"/>
    <x v="5"/>
    <n v="51034228"/>
    <n v="85.189324839129966"/>
    <s v="PLATINO"/>
    <n v="261"/>
    <d v="2026-02-27T16:00:53"/>
  </r>
  <r>
    <n v="24220"/>
    <x v="5"/>
    <n v="51005295"/>
    <n v="27.834513875619258"/>
    <s v="BRONCE"/>
    <n v="811"/>
    <d v="2026-02-27T16:00:53"/>
  </r>
  <r>
    <n v="24221"/>
    <x v="5"/>
    <n v="51023668"/>
    <n v="85.533074464998208"/>
    <s v="PLATINO"/>
    <n v="246"/>
    <d v="2026-02-27T16:00:53"/>
  </r>
  <r>
    <n v="24222"/>
    <x v="5"/>
    <n v="51018851"/>
    <n v="65.075658704969896"/>
    <s v="ORO"/>
    <n v="666"/>
    <d v="2026-02-27T16:00:53"/>
  </r>
  <r>
    <n v="24223"/>
    <x v="5"/>
    <n v="51042042"/>
    <n v="86.859482690609909"/>
    <s v="PLATINO"/>
    <n v="174"/>
    <d v="2026-02-27T16:00:53"/>
  </r>
  <r>
    <n v="24224"/>
    <x v="5"/>
    <n v="51010817"/>
    <n v="83.081459168490653"/>
    <s v="PLATINO"/>
    <n v="369"/>
    <d v="2026-02-27T16:00:53"/>
  </r>
  <r>
    <n v="24225"/>
    <x v="5"/>
    <n v="51022408"/>
    <n v="86.150101525487401"/>
    <s v="PLATINO"/>
    <n v="216"/>
    <d v="2026-02-27T16:00:53"/>
  </r>
  <r>
    <n v="24226"/>
    <x v="5"/>
    <n v="51032578"/>
    <n v="82.424422010475041"/>
    <s v="PLATINO"/>
    <n v="399"/>
    <d v="2026-02-27T16:00:53"/>
  </r>
  <r>
    <n v="24227"/>
    <x v="5"/>
    <n v="51017978"/>
    <n v="83.502726062167682"/>
    <s v="PLATINO"/>
    <n v="350"/>
    <d v="2026-02-27T16:00:53"/>
  </r>
  <r>
    <n v="24228"/>
    <x v="5"/>
    <n v="51056868"/>
    <n v="87.6088795711795"/>
    <s v="PLATINO"/>
    <n v="127"/>
    <d v="2026-02-27T16:00:53"/>
  </r>
  <r>
    <n v="24229"/>
    <x v="5"/>
    <n v="51056566"/>
    <n v="84.408998146038954"/>
    <s v="PLATINO"/>
    <n v="297"/>
    <d v="2026-02-27T16:00:53"/>
  </r>
  <r>
    <n v="24230"/>
    <x v="5"/>
    <n v="51005112"/>
    <n v="83.427283080249012"/>
    <s v="PLATINO"/>
    <n v="353"/>
    <d v="2026-02-27T16:00:53"/>
  </r>
  <r>
    <n v="24231"/>
    <x v="5"/>
    <n v="51019946"/>
    <n v="26.88041240497131"/>
    <s v="BRONCE"/>
    <n v="816"/>
    <d v="2026-02-27T16:00:53"/>
  </r>
  <r>
    <n v="24232"/>
    <x v="5"/>
    <n v="51027116"/>
    <n v="84.546736023952036"/>
    <s v="PLATINO"/>
    <n v="289"/>
    <d v="2026-02-27T16:00:53"/>
  </r>
  <r>
    <n v="24233"/>
    <x v="5"/>
    <n v="51042051"/>
    <n v="86.589847132733439"/>
    <s v="PLATINO"/>
    <n v="190"/>
    <d v="2026-02-27T16:00:53"/>
  </r>
  <r>
    <n v="24234"/>
    <x v="5"/>
    <n v="51024702"/>
    <n v="64.5509768474342"/>
    <s v="ORO"/>
    <n v="673"/>
    <d v="2026-02-27T16:00:53"/>
  </r>
  <r>
    <n v="24235"/>
    <x v="5"/>
    <n v="51000251"/>
    <n v="19.801735595971099"/>
    <s v="BRONCE"/>
    <n v="902"/>
    <d v="2026-02-27T16:00:53"/>
  </r>
  <r>
    <n v="24236"/>
    <x v="5"/>
    <n v="51036778"/>
    <n v="64.381479215416391"/>
    <s v="ORO"/>
    <n v="677"/>
    <d v="2026-02-27T16:00:53"/>
  </r>
  <r>
    <n v="24237"/>
    <x v="5"/>
    <n v="51056850"/>
    <n v="87.375292873124209"/>
    <s v="PLATINO"/>
    <n v="140"/>
    <d v="2026-02-27T16:00:53"/>
  </r>
  <r>
    <n v="24238"/>
    <x v="5"/>
    <n v="51054989"/>
    <n v="84.314100367815882"/>
    <s v="PLATINO"/>
    <n v="305"/>
    <d v="2026-02-27T16:00:53"/>
  </r>
  <r>
    <n v="24239"/>
    <x v="5"/>
    <n v="51018737"/>
    <n v="84.44406763511607"/>
    <s v="PLATINO"/>
    <n v="294"/>
    <d v="2026-02-27T16:00:53"/>
  </r>
  <r>
    <n v="24240"/>
    <x v="5"/>
    <n v="51023811"/>
    <n v="86.615818310226217"/>
    <s v="PLATINO"/>
    <n v="188"/>
    <d v="2026-02-27T16:00:53"/>
  </r>
  <r>
    <n v="24241"/>
    <x v="5"/>
    <n v="51040899"/>
    <n v="84.797554211886037"/>
    <s v="PLATINO"/>
    <n v="277"/>
    <d v="2026-02-27T16:00:53"/>
  </r>
  <r>
    <n v="24242"/>
    <x v="5"/>
    <n v="51022149"/>
    <n v="85.524893250244901"/>
    <s v="PLATINO"/>
    <n v="247"/>
    <d v="2026-02-27T16:00:53"/>
  </r>
  <r>
    <n v="24243"/>
    <x v="5"/>
    <n v="51014189"/>
    <n v="86.618316642614161"/>
    <s v="PLATINO"/>
    <n v="187"/>
    <d v="2026-02-27T16:00:53"/>
  </r>
  <r>
    <n v="24244"/>
    <x v="5"/>
    <n v="51011538"/>
    <n v="36.033508459233552"/>
    <s v="PLATA"/>
    <n v="789"/>
    <d v="2026-02-27T16:00:53"/>
  </r>
  <r>
    <n v="24245"/>
    <x v="5"/>
    <n v="51011686"/>
    <n v="85.106718738312679"/>
    <s v="PLATINO"/>
    <n v="264"/>
    <d v="2026-02-27T16:00:53"/>
  </r>
  <r>
    <n v="24246"/>
    <x v="5"/>
    <n v="51055896"/>
    <n v="83.346730255254428"/>
    <s v="PLATINO"/>
    <n v="357"/>
    <d v="2026-02-27T16:00:53"/>
  </r>
  <r>
    <n v="24247"/>
    <x v="5"/>
    <n v="51054962"/>
    <n v="19.792962062350579"/>
    <s v="BRONCE"/>
    <n v="903"/>
    <d v="2026-02-27T16:00:53"/>
  </r>
  <r>
    <n v="24248"/>
    <x v="5"/>
    <n v="51021584"/>
    <n v="83.351017334707478"/>
    <s v="PLATINO"/>
    <n v="355"/>
    <d v="2026-02-27T16:00:53"/>
  </r>
  <r>
    <n v="24249"/>
    <x v="5"/>
    <n v="51014642"/>
    <n v="62.774166589398668"/>
    <s v="ORO"/>
    <n v="702"/>
    <d v="2026-02-27T16:00:53"/>
  </r>
  <r>
    <n v="24250"/>
    <x v="5"/>
    <n v="51038878"/>
    <n v="26.900596249785291"/>
    <s v="BRONCE"/>
    <n v="815"/>
    <d v="2026-02-27T16:00:53"/>
  </r>
  <r>
    <n v="24251"/>
    <x v="5"/>
    <n v="51055292"/>
    <n v="26.412805504143961"/>
    <s v="BRONCE"/>
    <n v="819"/>
    <d v="2026-02-27T16:00:53"/>
  </r>
  <r>
    <n v="24252"/>
    <x v="5"/>
    <n v="51011601"/>
    <n v="74.617623018613301"/>
    <s v="ORO"/>
    <n v="575"/>
    <d v="2026-02-27T16:00:53"/>
  </r>
  <r>
    <n v="24253"/>
    <x v="5"/>
    <n v="51022866"/>
    <n v="64.435051516833326"/>
    <s v="ORO"/>
    <n v="675"/>
    <d v="2026-02-27T16:00:53"/>
  </r>
  <r>
    <n v="24254"/>
    <x v="5"/>
    <n v="51017820"/>
    <n v="49.530402030741108"/>
    <s v="PLATA"/>
    <n v="753"/>
    <d v="2026-02-27T16:00:53"/>
  </r>
  <r>
    <n v="24255"/>
    <x v="5"/>
    <n v="51030761"/>
    <n v="58.619785843898732"/>
    <s v="ORO"/>
    <n v="723"/>
    <d v="2026-02-27T16:00:53"/>
  </r>
  <r>
    <n v="24256"/>
    <x v="5"/>
    <n v="51008294"/>
    <n v="87.666114188376667"/>
    <s v="PLATINO"/>
    <n v="125"/>
    <d v="2026-02-27T16:00:53"/>
  </r>
  <r>
    <n v="24257"/>
    <x v="5"/>
    <n v="51055501"/>
    <n v="52.812572890657897"/>
    <s v="PLATA"/>
    <n v="739"/>
    <d v="2026-02-27T16:00:53"/>
  </r>
  <r>
    <n v="24258"/>
    <x v="5"/>
    <n v="51038886"/>
    <n v="88.044786845568382"/>
    <s v="PLATINO"/>
    <n v="102"/>
    <d v="2026-02-27T16:00:53"/>
  </r>
  <r>
    <n v="24259"/>
    <x v="5"/>
    <n v="51020316"/>
    <n v="84.130242879647881"/>
    <s v="PLATINO"/>
    <n v="320"/>
    <d v="2026-02-27T16:00:53"/>
  </r>
  <r>
    <n v="24260"/>
    <x v="5"/>
    <n v="51055675"/>
    <n v="86.071228783575606"/>
    <s v="PLATINO"/>
    <n v="219"/>
    <d v="2026-02-27T16:00:53"/>
  </r>
  <r>
    <n v="24261"/>
    <x v="5"/>
    <n v="51012577"/>
    <n v="88.813810177055657"/>
    <s v="PLATINO"/>
    <n v="58"/>
    <d v="2026-02-27T16:00:53"/>
  </r>
  <r>
    <n v="24262"/>
    <x v="5"/>
    <n v="51017706"/>
    <n v="86.937100217853526"/>
    <s v="PLATINO"/>
    <n v="168"/>
    <d v="2026-02-27T16:00:53"/>
  </r>
  <r>
    <n v="24263"/>
    <x v="5"/>
    <n v="51011236"/>
    <n v="69.1528701025332"/>
    <s v="ORO"/>
    <n v="628"/>
    <d v="2026-02-27T16:00:53"/>
  </r>
  <r>
    <n v="24264"/>
    <x v="5"/>
    <n v="51030524"/>
    <n v="19.85868691583676"/>
    <s v="BRONCE"/>
    <n v="890"/>
    <d v="2026-02-27T16:00:53"/>
  </r>
  <r>
    <n v="24265"/>
    <x v="5"/>
    <n v="51003365"/>
    <n v="84.513885723781996"/>
    <s v="PLATINO"/>
    <n v="292"/>
    <d v="2026-02-27T16:00:53"/>
  </r>
  <r>
    <n v="24266"/>
    <x v="5"/>
    <n v="51031989"/>
    <n v="55.507877956896507"/>
    <s v="ORO"/>
    <n v="731"/>
    <d v="2026-02-27T16:00:53"/>
  </r>
  <r>
    <n v="24267"/>
    <x v="5"/>
    <n v="51010922"/>
    <n v="83.084471344467403"/>
    <s v="PLATINO"/>
    <n v="368"/>
    <d v="2026-02-27T16:00:53"/>
  </r>
  <r>
    <n v="24268"/>
    <x v="5"/>
    <n v="51040031"/>
    <n v="86.310507808051995"/>
    <s v="PLATINO"/>
    <n v="205"/>
    <d v="2026-02-27T16:00:53"/>
  </r>
  <r>
    <n v="24269"/>
    <x v="5"/>
    <n v="51027108"/>
    <n v="83.626101619760803"/>
    <s v="PLATINO"/>
    <n v="344"/>
    <d v="2026-02-27T16:00:53"/>
  </r>
  <r>
    <n v="24270"/>
    <x v="5"/>
    <n v="51022971"/>
    <n v="84.124371461042486"/>
    <s v="PLATINO"/>
    <n v="321"/>
    <d v="2026-02-27T16:00:53"/>
  </r>
  <r>
    <n v="24271"/>
    <x v="5"/>
    <n v="51023005"/>
    <n v="86.167555352121681"/>
    <s v="PLATINO"/>
    <n v="214"/>
    <d v="2026-02-27T16:00:53"/>
  </r>
  <r>
    <n v="24272"/>
    <x v="5"/>
    <n v="51002610"/>
    <n v="82.443121636167916"/>
    <s v="PLATINO"/>
    <n v="397"/>
    <d v="2026-02-27T16:00:53"/>
  </r>
  <r>
    <n v="24273"/>
    <x v="5"/>
    <n v="51056116"/>
    <n v="87.22484409663403"/>
    <s v="PLATINO"/>
    <n v="152"/>
    <d v="2026-02-27T16:00:53"/>
  </r>
  <r>
    <n v="24274"/>
    <x v="5"/>
    <n v="51020979"/>
    <n v="84.101002195809457"/>
    <s v="PLATINO"/>
    <n v="322"/>
    <d v="2026-02-27T16:00:53"/>
  </r>
  <r>
    <n v="24275"/>
    <x v="5"/>
    <n v="51015207"/>
    <n v="63.60325895038654"/>
    <s v="ORO"/>
    <n v="689"/>
    <d v="2026-02-27T16:00:53"/>
  </r>
  <r>
    <n v="24276"/>
    <x v="5"/>
    <n v="51007549"/>
    <n v="42.569628401397438"/>
    <s v="PLATA"/>
    <n v="769"/>
    <d v="2026-02-27T16:00:53"/>
  </r>
  <r>
    <n v="24277"/>
    <x v="5"/>
    <n v="51032624"/>
    <n v="84.355681379070489"/>
    <s v="PLATINO"/>
    <n v="300"/>
    <d v="2026-02-27T16:00:53"/>
  </r>
  <r>
    <n v="24278"/>
    <x v="5"/>
    <n v="51002555"/>
    <n v="81.098238281026909"/>
    <s v="PLATINO"/>
    <n v="454"/>
    <d v="2026-02-27T16:00:53"/>
  </r>
  <r>
    <n v="24279"/>
    <x v="5"/>
    <n v="51029879"/>
    <n v="74.402726119994043"/>
    <s v="ORO"/>
    <n v="577"/>
    <d v="2026-02-27T16:00:53"/>
  </r>
  <r>
    <n v="24280"/>
    <x v="5"/>
    <n v="51011147"/>
    <n v="19.888584525444919"/>
    <s v="BRONCE"/>
    <n v="882"/>
    <d v="2026-02-27T16:00:53"/>
  </r>
  <r>
    <n v="24281"/>
    <x v="5"/>
    <n v="51030427"/>
    <n v="85.597051757157885"/>
    <s v="PLATINO"/>
    <n v="242"/>
    <d v="2026-02-27T16:00:53"/>
  </r>
  <r>
    <n v="24282"/>
    <x v="5"/>
    <n v="51032675"/>
    <n v="85.995346995675263"/>
    <s v="PLATINO"/>
    <n v="225"/>
    <d v="2026-02-27T16:00:53"/>
  </r>
  <r>
    <n v="24283"/>
    <x v="5"/>
    <n v="51042921"/>
    <n v="74.971398324527158"/>
    <s v="ORO"/>
    <n v="572"/>
    <d v="2026-02-27T16:00:53"/>
  </r>
  <r>
    <n v="24284"/>
    <x v="5"/>
    <n v="51056272"/>
    <n v="87.996456927155421"/>
    <s v="PLATINO"/>
    <n v="108"/>
    <d v="2026-02-27T16:00:53"/>
  </r>
  <r>
    <n v="24285"/>
    <x v="5"/>
    <n v="51007883"/>
    <n v="64.198275808066356"/>
    <s v="ORO"/>
    <n v="683"/>
    <d v="2026-02-27T16:00:53"/>
  </r>
  <r>
    <n v="24286"/>
    <x v="5"/>
    <n v="51030010"/>
    <n v="82.463341665434399"/>
    <s v="PLATINO"/>
    <n v="396"/>
    <d v="2026-02-27T16:00:53"/>
  </r>
  <r>
    <n v="24287"/>
    <x v="5"/>
    <n v="51056124"/>
    <n v="64.4263178252057"/>
    <s v="ORO"/>
    <n v="676"/>
    <d v="2026-02-27T16:00:53"/>
  </r>
  <r>
    <n v="24288"/>
    <x v="5"/>
    <n v="51043758"/>
    <n v="88.27506832585992"/>
    <s v="PLATINO"/>
    <n v="94"/>
    <d v="2026-02-27T16:00:53"/>
  </r>
  <r>
    <n v="24289"/>
    <x v="5"/>
    <n v="51055039"/>
    <n v="19.83902502677358"/>
    <s v="BRONCE"/>
    <n v="892"/>
    <d v="2026-02-27T16:00:53"/>
  </r>
  <r>
    <n v="24290"/>
    <x v="5"/>
    <n v="51056582"/>
    <n v="85.797334019282658"/>
    <s v="PLATINO"/>
    <n v="231"/>
    <d v="2026-02-27T16:00:53"/>
  </r>
  <r>
    <n v="24291"/>
    <x v="5"/>
    <n v="51021321"/>
    <n v="83.674381285310574"/>
    <s v="PLATINO"/>
    <n v="341"/>
    <d v="2026-02-27T16:00:53"/>
  </r>
  <r>
    <n v="24292"/>
    <x v="5"/>
    <n v="51055322"/>
    <n v="82.398131392752916"/>
    <s v="PLATINO"/>
    <n v="404"/>
    <d v="2026-02-27T16:00:53"/>
  </r>
  <r>
    <n v="24293"/>
    <x v="5"/>
    <n v="51010027"/>
    <n v="19.855780644100669"/>
    <s v="BRONCE"/>
    <n v="891"/>
    <d v="2026-02-27T16:00:53"/>
  </r>
  <r>
    <n v="24294"/>
    <x v="5"/>
    <n v="51011295"/>
    <n v="84.862685362922477"/>
    <s v="PLATINO"/>
    <n v="276"/>
    <d v="2026-02-27T16:00:53"/>
  </r>
  <r>
    <n v="24295"/>
    <x v="5"/>
    <n v="51017145"/>
    <n v="85.630623762915903"/>
    <s v="PLATINO"/>
    <n v="239"/>
    <d v="2026-02-27T16:00:53"/>
  </r>
  <r>
    <n v="24296"/>
    <x v="5"/>
    <n v="51055888"/>
    <n v="41.944748819974762"/>
    <s v="PLATA"/>
    <n v="772"/>
    <d v="2026-02-27T16:00:53"/>
  </r>
  <r>
    <n v="24297"/>
    <x v="5"/>
    <n v="51031881"/>
    <n v="82.954492654306335"/>
    <s v="PLATINO"/>
    <n v="376"/>
    <d v="2026-02-27T16:00:53"/>
  </r>
  <r>
    <n v="24298"/>
    <x v="5"/>
    <n v="51010060"/>
    <n v="69.338843861712931"/>
    <s v="ORO"/>
    <n v="625"/>
    <d v="2026-02-27T16:00:53"/>
  </r>
  <r>
    <n v="24299"/>
    <x v="5"/>
    <n v="51056400"/>
    <n v="82.248043242390196"/>
    <s v="PLATINO"/>
    <n v="406"/>
    <d v="2026-02-27T16:00:53"/>
  </r>
  <r>
    <n v="24300"/>
    <x v="5"/>
    <n v="51056531"/>
    <n v="82.830713961659853"/>
    <s v="PLATINO"/>
    <n v="383"/>
    <d v="2026-02-27T16:00:53"/>
  </r>
  <r>
    <n v="24301"/>
    <x v="5"/>
    <n v="51011643"/>
    <n v="74.638093943512473"/>
    <s v="ORO"/>
    <n v="574"/>
    <d v="2026-02-27T16:00:53"/>
  </r>
  <r>
    <n v="24302"/>
    <x v="5"/>
    <n v="51016742"/>
    <n v="83.143358320470952"/>
    <s v="PLATINO"/>
    <n v="366"/>
    <d v="2026-02-27T16:00:53"/>
  </r>
  <r>
    <n v="24303"/>
    <x v="5"/>
    <n v="51010990"/>
    <n v="86.0241500886073"/>
    <s v="PLATINO"/>
    <n v="223"/>
    <d v="2026-02-27T16:00:53"/>
  </r>
  <r>
    <n v="24304"/>
    <x v="5"/>
    <n v="51039998"/>
    <n v="19.885446795098581"/>
    <s v="BRONCE"/>
    <n v="883"/>
    <d v="2026-02-27T16:00:53"/>
  </r>
  <r>
    <n v="24305"/>
    <x v="5"/>
    <n v="51056736"/>
    <n v="75.976800689606847"/>
    <s v="PLATINO"/>
    <n v="566"/>
    <d v="2026-02-27T16:00:53"/>
  </r>
  <r>
    <n v="24306"/>
    <x v="5"/>
    <n v="51044436"/>
    <n v="83.831958487173267"/>
    <s v="PLATINO"/>
    <n v="337"/>
    <d v="2026-02-27T16:00:53"/>
  </r>
  <r>
    <n v="24307"/>
    <x v="5"/>
    <n v="51017552"/>
    <n v="85.611889660281548"/>
    <s v="PLATINO"/>
    <n v="241"/>
    <d v="2026-02-27T16:00:53"/>
  </r>
  <r>
    <n v="24308"/>
    <x v="5"/>
    <n v="51055276"/>
    <n v="64.56216826423848"/>
    <s v="ORO"/>
    <n v="672"/>
    <d v="2026-02-27T16:00:53"/>
  </r>
  <r>
    <n v="24309"/>
    <x v="5"/>
    <n v="51020189"/>
    <n v="84.74725192344755"/>
    <s v="PLATINO"/>
    <n v="280"/>
    <d v="2026-02-27T16:00:53"/>
  </r>
  <r>
    <n v="24310"/>
    <x v="5"/>
    <n v="51041259"/>
    <n v="68.571995222329988"/>
    <s v="ORO"/>
    <n v="635"/>
    <d v="2026-02-27T16:00:53"/>
  </r>
  <r>
    <n v="24311"/>
    <x v="5"/>
    <n v="51022751"/>
    <n v="64.568143745894162"/>
    <s v="ORO"/>
    <n v="671"/>
    <d v="2026-02-27T16:00:53"/>
  </r>
  <r>
    <n v="24312"/>
    <x v="5"/>
    <n v="51016645"/>
    <n v="44.52781582573494"/>
    <s v="PLATA"/>
    <n v="765"/>
    <d v="2026-02-27T16:00:53"/>
  </r>
  <r>
    <n v="24313"/>
    <x v="5"/>
    <n v="51011155"/>
    <n v="83.097842818116732"/>
    <s v="PLATINO"/>
    <n v="367"/>
    <d v="2026-02-27T16:00:53"/>
  </r>
  <r>
    <n v="24314"/>
    <x v="5"/>
    <n v="51014022"/>
    <n v="64.303134915924943"/>
    <s v="ORO"/>
    <n v="680"/>
    <d v="2026-02-27T16:00:53"/>
  </r>
  <r>
    <n v="24315"/>
    <x v="5"/>
    <n v="51018991"/>
    <n v="77.893948387050045"/>
    <s v="PLATINO"/>
    <n v="545"/>
    <d v="2026-02-27T16:00:53"/>
  </r>
  <r>
    <n v="24316"/>
    <x v="5"/>
    <n v="51030478"/>
    <n v="66.82495751879506"/>
    <s v="ORO"/>
    <n v="653"/>
    <d v="2026-02-27T16:00:53"/>
  </r>
  <r>
    <n v="24317"/>
    <x v="5"/>
    <n v="51028040"/>
    <n v="83.33631075267337"/>
    <s v="PLATINO"/>
    <n v="359"/>
    <d v="2026-02-27T16:00:53"/>
  </r>
  <r>
    <n v="24318"/>
    <x v="5"/>
    <n v="51055616"/>
    <n v="86.201619273285829"/>
    <s v="PLATINO"/>
    <n v="210"/>
    <d v="2026-02-27T16:00:53"/>
  </r>
  <r>
    <n v="24319"/>
    <x v="5"/>
    <n v="51036239"/>
    <n v="19.916769583834171"/>
    <s v="BRONCE"/>
    <n v="875"/>
    <d v="2026-02-27T16:00:53"/>
  </r>
  <r>
    <n v="24320"/>
    <x v="5"/>
    <n v="51025873"/>
    <n v="36.279648879658268"/>
    <s v="PLATA"/>
    <n v="787"/>
    <d v="2026-02-27T16:00:53"/>
  </r>
  <r>
    <n v="24321"/>
    <x v="5"/>
    <n v="51034155"/>
    <n v="27.540922412726569"/>
    <s v="BRONCE"/>
    <n v="812"/>
    <d v="2026-02-27T16:00:53"/>
  </r>
  <r>
    <n v="24322"/>
    <x v="5"/>
    <n v="51021207"/>
    <n v="19.89789289371916"/>
    <s v="BRONCE"/>
    <n v="880"/>
    <d v="2026-02-27T16:00:53"/>
  </r>
  <r>
    <n v="24323"/>
    <x v="5"/>
    <n v="51054831"/>
    <n v="19.896273832203871"/>
    <s v="BRONCE"/>
    <n v="881"/>
    <d v="2026-02-27T16:00:53"/>
  </r>
  <r>
    <n v="24324"/>
    <x v="5"/>
    <n v="51010051"/>
    <n v="82.945147884720839"/>
    <s v="PLATINO"/>
    <n v="377"/>
    <d v="2026-02-27T16:00:53"/>
  </r>
  <r>
    <n v="24325"/>
    <x v="5"/>
    <n v="51015754"/>
    <n v="19.862771858059919"/>
    <s v="BRONCE"/>
    <n v="887"/>
    <d v="2026-02-27T16:00:53"/>
  </r>
  <r>
    <n v="24326"/>
    <x v="5"/>
    <n v="51023528"/>
    <n v="83.498880207152737"/>
    <s v="PLATINO"/>
    <n v="351"/>
    <d v="2026-02-27T16:00:53"/>
  </r>
  <r>
    <n v="24327"/>
    <x v="5"/>
    <n v="51013735"/>
    <n v="83.939834698477668"/>
    <s v="PLATINO"/>
    <n v="330"/>
    <d v="2026-02-27T16:00:53"/>
  </r>
  <r>
    <n v="24328"/>
    <x v="5"/>
    <n v="51036611"/>
    <n v="85.778123369943614"/>
    <s v="PLATINO"/>
    <n v="234"/>
    <d v="2026-02-27T16:00:53"/>
  </r>
  <r>
    <n v="24329"/>
    <x v="5"/>
    <n v="51010035"/>
    <n v="86.704009689499173"/>
    <s v="PLATINO"/>
    <n v="181"/>
    <d v="2026-02-27T16:00:53"/>
  </r>
  <r>
    <n v="24330"/>
    <x v="5"/>
    <n v="51035682"/>
    <n v="63.750565074736024"/>
    <s v="ORO"/>
    <n v="688"/>
    <d v="2026-02-27T16:00:53"/>
  </r>
  <r>
    <n v="24331"/>
    <x v="5"/>
    <n v="51016416"/>
    <n v="64.210427950849834"/>
    <s v="ORO"/>
    <n v="682"/>
    <d v="2026-02-27T16:00:53"/>
  </r>
  <r>
    <n v="24332"/>
    <x v="5"/>
    <n v="51038762"/>
    <n v="82.143602576453901"/>
    <s v="PLATINO"/>
    <n v="410"/>
    <d v="2026-02-27T16:00:53"/>
  </r>
  <r>
    <n v="24333"/>
    <x v="5"/>
    <n v="51023307"/>
    <n v="83.74779180862916"/>
    <s v="PLATINO"/>
    <n v="339"/>
    <d v="2026-02-27T16:00:53"/>
  </r>
  <r>
    <n v="24334"/>
    <x v="5"/>
    <n v="51012062"/>
    <n v="64.107487151738724"/>
    <s v="ORO"/>
    <n v="685"/>
    <d v="2026-02-27T16:00:53"/>
  </r>
  <r>
    <n v="24335"/>
    <x v="5"/>
    <n v="51021631"/>
    <n v="86.844047998666369"/>
    <s v="PLATINO"/>
    <n v="175"/>
    <d v="2026-02-27T16:00:53"/>
  </r>
  <r>
    <n v="24336"/>
    <x v="5"/>
    <n v="51008618"/>
    <n v="19.82168848725221"/>
    <s v="BRONCE"/>
    <n v="896"/>
    <d v="2026-02-27T16:00:53"/>
  </r>
  <r>
    <n v="24337"/>
    <x v="5"/>
    <n v="51010574"/>
    <n v="65.123072118836816"/>
    <s v="ORO"/>
    <n v="664"/>
    <d v="2026-02-27T16:00:53"/>
  </r>
  <r>
    <n v="24338"/>
    <x v="5"/>
    <n v="51056493"/>
    <n v="83.915479647938938"/>
    <s v="PLATINO"/>
    <n v="332"/>
    <d v="2026-02-27T16:00:53"/>
  </r>
  <r>
    <n v="24339"/>
    <x v="5"/>
    <n v="51024206"/>
    <n v="77.185806291727559"/>
    <s v="PLATINO"/>
    <n v="560"/>
    <d v="2026-02-27T16:00:53"/>
  </r>
  <r>
    <n v="24340"/>
    <x v="5"/>
    <n v="51056442"/>
    <n v="83.998912499346901"/>
    <s v="PLATINO"/>
    <n v="326"/>
    <d v="2026-02-27T16:00:53"/>
  </r>
  <r>
    <n v="24341"/>
    <x v="5"/>
    <n v="51033621"/>
    <n v="84.321073493887098"/>
    <s v="PLATINO"/>
    <n v="303"/>
    <d v="2026-02-27T16:00:53"/>
  </r>
  <r>
    <n v="24342"/>
    <x v="5"/>
    <n v="51016394"/>
    <n v="83.981723890113443"/>
    <s v="PLATINO"/>
    <n v="329"/>
    <d v="2026-02-27T16:00:53"/>
  </r>
  <r>
    <n v="24343"/>
    <x v="5"/>
    <n v="51001389"/>
    <n v="84.690927930595734"/>
    <s v="PLATINO"/>
    <n v="283"/>
    <d v="2026-02-27T16:00:53"/>
  </r>
  <r>
    <n v="24344"/>
    <x v="5"/>
    <n v="51042891"/>
    <n v="85.421802285608933"/>
    <s v="PLATINO"/>
    <n v="251"/>
    <d v="2026-02-27T16:00:53"/>
  </r>
  <r>
    <n v="24345"/>
    <x v="5"/>
    <n v="51055411"/>
    <n v="81.862787216884527"/>
    <s v="PLATINO"/>
    <n v="422"/>
    <d v="2026-02-27T16:00:53"/>
  </r>
  <r>
    <n v="24346"/>
    <x v="5"/>
    <n v="51038657"/>
    <n v="66.784007807324429"/>
    <s v="ORO"/>
    <n v="655"/>
    <d v="2026-02-27T16:00:53"/>
  </r>
  <r>
    <n v="24347"/>
    <x v="5"/>
    <n v="51055632"/>
    <n v="19.82670259250153"/>
    <s v="BRONCE"/>
    <n v="894"/>
    <d v="2026-02-27T16:00:53"/>
  </r>
  <r>
    <n v="24348"/>
    <x v="5"/>
    <n v="51026799"/>
    <n v="82.962680209416192"/>
    <s v="PLATINO"/>
    <n v="375"/>
    <d v="2026-02-27T16:00:53"/>
  </r>
  <r>
    <n v="24349"/>
    <x v="5"/>
    <n v="51018869"/>
    <n v="64.315236801515496"/>
    <s v="ORO"/>
    <n v="679"/>
    <d v="2026-02-27T16:00:53"/>
  </r>
  <r>
    <n v="24350"/>
    <x v="5"/>
    <n v="51055144"/>
    <n v="86.364217906792362"/>
    <s v="PLATINO"/>
    <n v="200"/>
    <d v="2026-02-27T16:00:53"/>
  </r>
  <r>
    <n v="24351"/>
    <x v="5"/>
    <n v="51056884"/>
    <n v="85.310987000497661"/>
    <s v="PLATINO"/>
    <n v="257"/>
    <d v="2026-02-27T16:00:53"/>
  </r>
  <r>
    <n v="24352"/>
    <x v="5"/>
    <n v="51030443"/>
    <n v="86.198709896158235"/>
    <s v="PLATINO"/>
    <n v="211"/>
    <d v="2026-02-27T16:00:53"/>
  </r>
  <r>
    <n v="24353"/>
    <x v="5"/>
    <n v="51016475"/>
    <n v="86.036303575178152"/>
    <s v="PLATINO"/>
    <n v="221"/>
    <d v="2026-02-27T16:00:53"/>
  </r>
  <r>
    <n v="24354"/>
    <x v="5"/>
    <n v="51018893"/>
    <n v="82.048777173354765"/>
    <s v="PLATINO"/>
    <n v="414"/>
    <d v="2026-02-27T16:00:53"/>
  </r>
  <r>
    <n v="24355"/>
    <x v="5"/>
    <n v="51039157"/>
    <n v="19.87954233927946"/>
    <s v="BRONCE"/>
    <n v="885"/>
    <d v="2026-02-27T16:00:53"/>
  </r>
  <r>
    <n v="24356"/>
    <x v="5"/>
    <n v="51054822"/>
    <n v="81.797091351654885"/>
    <s v="PLATINO"/>
    <n v="426"/>
    <d v="2026-02-27T16:00:53"/>
  </r>
  <r>
    <n v="24357"/>
    <x v="5"/>
    <n v="51003390"/>
    <n v="83.832111751008625"/>
    <s v="PLATINO"/>
    <n v="336"/>
    <d v="2026-02-27T16:00:53"/>
  </r>
  <r>
    <n v="24358"/>
    <x v="5"/>
    <n v="51056477"/>
    <n v="84.537762073278842"/>
    <s v="PLATINO"/>
    <n v="290"/>
    <d v="2026-02-27T16:00:53"/>
  </r>
  <r>
    <n v="24359"/>
    <x v="5"/>
    <n v="51026527"/>
    <n v="32.804912344549862"/>
    <s v="PLATA"/>
    <n v="799"/>
    <d v="2026-02-27T16:00:53"/>
  </r>
  <r>
    <n v="24360"/>
    <x v="5"/>
    <n v="51030982"/>
    <n v="85.721048845267859"/>
    <s v="PLATINO"/>
    <n v="235"/>
    <d v="2026-02-27T16:00:53"/>
  </r>
  <r>
    <n v="24361"/>
    <x v="5"/>
    <n v="51023196"/>
    <n v="87.300891244277267"/>
    <s v="PLATINO"/>
    <n v="143"/>
    <d v="2026-02-27T16:00:53"/>
  </r>
  <r>
    <n v="24362"/>
    <x v="5"/>
    <n v="51014596"/>
    <n v="58.699879169968128"/>
    <s v="ORO"/>
    <n v="722"/>
    <d v="2026-02-27T16:00:53"/>
  </r>
  <r>
    <n v="24363"/>
    <x v="5"/>
    <n v="51030125"/>
    <n v="51.538213139162593"/>
    <s v="PLATA"/>
    <n v="746"/>
    <d v="2026-02-27T16:00:53"/>
  </r>
  <r>
    <n v="24364"/>
    <x v="5"/>
    <n v="51021550"/>
    <n v="78.005656590039621"/>
    <s v="PLATINO"/>
    <n v="543"/>
    <d v="2026-02-27T16:00:53"/>
  </r>
  <r>
    <n v="24365"/>
    <x v="5"/>
    <n v="51031407"/>
    <n v="70.665762531688202"/>
    <s v="ORO"/>
    <n v="612"/>
    <d v="2026-02-27T16:00:53"/>
  </r>
  <r>
    <n v="24366"/>
    <x v="5"/>
    <n v="51038754"/>
    <n v="69.921704954845765"/>
    <s v="ORO"/>
    <n v="617"/>
    <d v="2026-02-27T16:00:53"/>
  </r>
  <r>
    <n v="24367"/>
    <x v="5"/>
    <n v="51004761"/>
    <n v="34.073069475229552"/>
    <s v="PLATA"/>
    <n v="796"/>
    <d v="2026-02-27T16:00:53"/>
  </r>
  <r>
    <n v="24368"/>
    <x v="5"/>
    <n v="51023358"/>
    <n v="19.900502798327711"/>
    <s v="BRONCE"/>
    <n v="879"/>
    <d v="2026-02-27T16:00:53"/>
  </r>
  <r>
    <n v="24369"/>
    <x v="5"/>
    <n v="51022670"/>
    <n v="82.525959551536786"/>
    <s v="PLATINO"/>
    <n v="393"/>
    <d v="2026-02-27T16:00:53"/>
  </r>
  <r>
    <n v="24370"/>
    <x v="5"/>
    <n v="51029976"/>
    <n v="83.541709463459284"/>
    <s v="PLATINO"/>
    <n v="349"/>
    <d v="2026-02-27T16:00:53"/>
  </r>
  <r>
    <n v="24371"/>
    <x v="5"/>
    <n v="51032195"/>
    <n v="39.351025804443474"/>
    <s v="PLATA"/>
    <n v="781"/>
    <d v="2026-02-27T16:00:53"/>
  </r>
  <r>
    <n v="24372"/>
    <x v="5"/>
    <n v="51042875"/>
    <n v="59.848953500552767"/>
    <s v="ORO"/>
    <n v="719"/>
    <d v="2026-02-27T16:00:53"/>
  </r>
  <r>
    <n v="24373"/>
    <x v="5"/>
    <n v="51010728"/>
    <n v="86.299925895178788"/>
    <s v="PLATINO"/>
    <n v="206"/>
    <d v="2026-02-27T16:00:53"/>
  </r>
  <r>
    <n v="24374"/>
    <x v="5"/>
    <n v="51056655"/>
    <n v="19.801745389643731"/>
    <s v="BRONCE"/>
    <n v="901"/>
    <d v="2026-02-27T16:00:53"/>
  </r>
  <r>
    <n v="24375"/>
    <x v="5"/>
    <n v="51056817"/>
    <n v="35.361594689981963"/>
    <s v="PLATA"/>
    <n v="792"/>
    <d v="2026-02-27T16:00:53"/>
  </r>
  <r>
    <n v="24376"/>
    <x v="5"/>
    <n v="51018826"/>
    <n v="84.155878442941088"/>
    <s v="PLATINO"/>
    <n v="318"/>
    <d v="2026-02-27T16:00:53"/>
  </r>
  <r>
    <n v="24377"/>
    <x v="5"/>
    <n v="51019814"/>
    <n v="19.82499076357233"/>
    <s v="BRONCE"/>
    <n v="895"/>
    <d v="2026-02-27T16:00:53"/>
  </r>
  <r>
    <n v="24378"/>
    <x v="5"/>
    <n v="51033281"/>
    <n v="85.21026778573254"/>
    <s v="PLATINO"/>
    <n v="260"/>
    <d v="2026-02-27T16:00:53"/>
  </r>
  <r>
    <n v="24379"/>
    <x v="5"/>
    <n v="51056523"/>
    <n v="19.80581827423546"/>
    <s v="BRONCE"/>
    <n v="898"/>
    <d v="2026-02-27T16:00:53"/>
  </r>
  <r>
    <n v="24380"/>
    <x v="5"/>
    <n v="51025792"/>
    <n v="19.802962727380159"/>
    <s v="BRONCE"/>
    <n v="900"/>
    <d v="2026-02-27T16:00:53"/>
  </r>
  <r>
    <n v="24381"/>
    <x v="5"/>
    <n v="51056728"/>
    <n v="19.778808883600039"/>
    <s v="BRONCE"/>
    <n v="909"/>
    <d v="2026-02-27T16:00:53"/>
  </r>
  <r>
    <n v="24382"/>
    <x v="5"/>
    <n v="51011708"/>
    <n v="19.809722864429389"/>
    <s v="BRONCE"/>
    <n v="897"/>
    <d v="2026-02-27T16:00:53"/>
  </r>
  <r>
    <n v="24383"/>
    <x v="5"/>
    <n v="51056558"/>
    <n v="81.492823721316668"/>
    <s v="PLATINO"/>
    <n v="440"/>
    <d v="2026-02-27T16:00:53"/>
  </r>
  <r>
    <n v="24384"/>
    <x v="5"/>
    <n v="51041801"/>
    <n v="85.176487205964037"/>
    <s v="PLATINO"/>
    <n v="262"/>
    <d v="2026-02-27T16:00:53"/>
  </r>
  <r>
    <n v="24385"/>
    <x v="5"/>
    <n v="51055390"/>
    <n v="84.247418447956264"/>
    <s v="PLATINO"/>
    <n v="311"/>
    <d v="2026-02-27T16:00:53"/>
  </r>
  <r>
    <n v="24386"/>
    <x v="5"/>
    <n v="51017081"/>
    <n v="83.26496175191042"/>
    <s v="PLATINO"/>
    <n v="362"/>
    <d v="2026-02-27T16:00:53"/>
  </r>
  <r>
    <n v="24387"/>
    <x v="5"/>
    <n v="51056345"/>
    <n v="55.464873623103117"/>
    <s v="ORO"/>
    <n v="732"/>
    <d v="2026-02-27T16:00:53"/>
  </r>
  <r>
    <n v="24388"/>
    <x v="5"/>
    <n v="51055942"/>
    <n v="83.724959190972271"/>
    <s v="PLATINO"/>
    <n v="340"/>
    <d v="2026-02-27T16:00:53"/>
  </r>
  <r>
    <n v="24389"/>
    <x v="5"/>
    <n v="51036735"/>
    <n v="84.298891801076849"/>
    <s v="PLATINO"/>
    <n v="308"/>
    <d v="2026-02-27T16:00:53"/>
  </r>
  <r>
    <n v="24390"/>
    <x v="5"/>
    <n v="51001427"/>
    <n v="83.643724204300028"/>
    <s v="PLATINO"/>
    <n v="342"/>
    <d v="2026-02-27T16:00:53"/>
  </r>
  <r>
    <n v="24391"/>
    <x v="5"/>
    <n v="51010272"/>
    <n v="84.706161427037074"/>
    <s v="PLATINO"/>
    <n v="282"/>
    <d v="2026-02-27T16:00:53"/>
  </r>
  <r>
    <n v="24392"/>
    <x v="5"/>
    <n v="51056451"/>
    <n v="82.112030957008301"/>
    <s v="PLATINO"/>
    <n v="412"/>
    <d v="2026-02-27T16:00:53"/>
  </r>
  <r>
    <n v="24393"/>
    <x v="5"/>
    <n v="51018907"/>
    <n v="67.791697603912311"/>
    <s v="ORO"/>
    <n v="644"/>
    <d v="2026-02-27T16:00:53"/>
  </r>
  <r>
    <n v="24394"/>
    <x v="5"/>
    <n v="51004108"/>
    <n v="86.294873768457606"/>
    <s v="PLATINO"/>
    <n v="208"/>
    <d v="2026-02-27T16:00:53"/>
  </r>
  <r>
    <n v="24395"/>
    <x v="5"/>
    <n v="51030869"/>
    <n v="74.111615023401455"/>
    <s v="ORO"/>
    <n v="581"/>
    <d v="2026-02-27T16:00:53"/>
  </r>
  <r>
    <n v="24396"/>
    <x v="5"/>
    <n v="51031113"/>
    <n v="81.713745532629133"/>
    <s v="PLATINO"/>
    <n v="429"/>
    <d v="2026-02-27T16:00:53"/>
  </r>
  <r>
    <n v="24397"/>
    <x v="5"/>
    <n v="51033329"/>
    <n v="84.193130135472174"/>
    <s v="PLATINO"/>
    <n v="313"/>
    <d v="2026-02-27T16:00:53"/>
  </r>
  <r>
    <n v="24398"/>
    <x v="5"/>
    <n v="51042905"/>
    <n v="84.74210537533601"/>
    <s v="PLATINO"/>
    <n v="281"/>
    <d v="2026-02-27T16:00:53"/>
  </r>
  <r>
    <n v="24399"/>
    <x v="5"/>
    <n v="51010833"/>
    <n v="82.710743698138216"/>
    <s v="PLATINO"/>
    <n v="387"/>
    <d v="2026-02-27T16:00:53"/>
  </r>
  <r>
    <n v="24400"/>
    <x v="5"/>
    <n v="51042956"/>
    <n v="82.507170368909783"/>
    <s v="PLATINO"/>
    <n v="394"/>
    <d v="2026-02-27T16:00:53"/>
  </r>
  <r>
    <n v="24401"/>
    <x v="5"/>
    <n v="51039645"/>
    <n v="71.439695689767674"/>
    <s v="ORO"/>
    <n v="606"/>
    <d v="2026-02-27T16:00:53"/>
  </r>
  <r>
    <n v="24402"/>
    <x v="5"/>
    <n v="51021622"/>
    <n v="63.551452742847871"/>
    <s v="ORO"/>
    <n v="690"/>
    <d v="2026-02-27T16:00:53"/>
  </r>
  <r>
    <n v="24403"/>
    <x v="5"/>
    <n v="51031491"/>
    <n v="81.601711958683069"/>
    <s v="PLATINO"/>
    <n v="434"/>
    <d v="2026-02-27T16:00:53"/>
  </r>
  <r>
    <n v="24404"/>
    <x v="5"/>
    <n v="51020162"/>
    <n v="19.789100477972639"/>
    <s v="BRONCE"/>
    <n v="905"/>
    <d v="2026-02-27T16:00:53"/>
  </r>
  <r>
    <n v="24405"/>
    <x v="5"/>
    <n v="51017056"/>
    <n v="19.766657239119631"/>
    <s v="BRONCE"/>
    <n v="911"/>
    <d v="2026-02-27T16:00:53"/>
  </r>
  <r>
    <n v="24406"/>
    <x v="5"/>
    <n v="51056019"/>
    <n v="82.187592863646174"/>
    <s v="PLATINO"/>
    <n v="408"/>
    <d v="2026-02-27T16:00:53"/>
  </r>
  <r>
    <n v="24407"/>
    <x v="5"/>
    <n v="51017579"/>
    <n v="82.785690422226608"/>
    <s v="PLATINO"/>
    <n v="384"/>
    <d v="2026-02-27T16:00:53"/>
  </r>
  <r>
    <n v="24408"/>
    <x v="5"/>
    <n v="51015487"/>
    <n v="67.606283739473469"/>
    <s v="ORO"/>
    <n v="646"/>
    <d v="2026-02-27T16:00:53"/>
  </r>
  <r>
    <n v="24409"/>
    <x v="5"/>
    <n v="51040333"/>
    <n v="81.326895283357828"/>
    <s v="PLATINO"/>
    <n v="449"/>
    <d v="2026-02-27T16:00:53"/>
  </r>
  <r>
    <n v="24410"/>
    <x v="5"/>
    <n v="51017153"/>
    <n v="68.526942794463949"/>
    <s v="ORO"/>
    <n v="637"/>
    <d v="2026-02-27T16:00:53"/>
  </r>
  <r>
    <n v="24411"/>
    <x v="5"/>
    <n v="51021886"/>
    <n v="83.247667755351742"/>
    <s v="PLATINO"/>
    <n v="364"/>
    <d v="2026-02-27T16:00:53"/>
  </r>
  <r>
    <n v="24412"/>
    <x v="5"/>
    <n v="51023188"/>
    <n v="81.561986651080801"/>
    <s v="PLATINO"/>
    <n v="436"/>
    <d v="2026-02-27T16:00:53"/>
  </r>
  <r>
    <n v="24413"/>
    <x v="5"/>
    <n v="51055667"/>
    <n v="19.779956274059131"/>
    <s v="BRONCE"/>
    <n v="908"/>
    <d v="2026-02-27T16:00:53"/>
  </r>
  <r>
    <n v="24414"/>
    <x v="5"/>
    <n v="51020081"/>
    <n v="75.752311809791721"/>
    <s v="PLATINO"/>
    <n v="567"/>
    <d v="2026-02-27T16:00:53"/>
  </r>
  <r>
    <n v="24415"/>
    <x v="5"/>
    <n v="51018729"/>
    <n v="55.033144439399223"/>
    <s v="ORO"/>
    <n v="734"/>
    <d v="2026-02-27T16:00:53"/>
  </r>
  <r>
    <n v="24416"/>
    <x v="5"/>
    <n v="51030222"/>
    <n v="63.349717336075251"/>
    <s v="ORO"/>
    <n v="692"/>
    <d v="2026-02-27T16:00:53"/>
  </r>
  <r>
    <n v="24417"/>
    <x v="5"/>
    <n v="51002717"/>
    <n v="19.69672270994435"/>
    <s v="BRONCE"/>
    <n v="917"/>
    <d v="2026-02-27T16:00:53"/>
  </r>
  <r>
    <n v="24418"/>
    <x v="5"/>
    <n v="51055454"/>
    <n v="39.103262344536532"/>
    <s v="PLATA"/>
    <n v="782"/>
    <d v="2026-02-27T16:00:53"/>
  </r>
  <r>
    <n v="24419"/>
    <x v="5"/>
    <n v="51055756"/>
    <n v="84.764375391526926"/>
    <s v="PLATINO"/>
    <n v="278"/>
    <d v="2026-02-27T16:00:53"/>
  </r>
  <r>
    <n v="24420"/>
    <x v="5"/>
    <n v="51011490"/>
    <n v="38.837171720512757"/>
    <s v="PLATA"/>
    <n v="784"/>
    <d v="2026-02-27T16:00:53"/>
  </r>
  <r>
    <n v="24421"/>
    <x v="5"/>
    <n v="51010736"/>
    <n v="71.816443608585033"/>
    <s v="ORO"/>
    <n v="601"/>
    <d v="2026-02-27T16:00:53"/>
  </r>
  <r>
    <n v="24422"/>
    <x v="5"/>
    <n v="51016149"/>
    <n v="81.832798123738144"/>
    <s v="PLATINO"/>
    <n v="423"/>
    <d v="2026-02-27T16:00:53"/>
  </r>
  <r>
    <n v="24423"/>
    <x v="5"/>
    <n v="51013930"/>
    <n v="56.006377949248581"/>
    <s v="ORO"/>
    <n v="730"/>
    <d v="2026-02-27T16:00:53"/>
  </r>
  <r>
    <n v="24424"/>
    <x v="5"/>
    <n v="51055641"/>
    <n v="19.7060884874228"/>
    <s v="BRONCE"/>
    <n v="916"/>
    <d v="2026-02-27T16:00:53"/>
  </r>
  <r>
    <n v="24425"/>
    <x v="5"/>
    <n v="51021461"/>
    <n v="86.865611954259009"/>
    <s v="PLATINO"/>
    <n v="171"/>
    <d v="2026-02-27T16:00:53"/>
  </r>
  <r>
    <n v="24426"/>
    <x v="5"/>
    <n v="51039637"/>
    <n v="84.379152269486582"/>
    <s v="PLATINO"/>
    <n v="298"/>
    <d v="2026-02-27T16:00:53"/>
  </r>
  <r>
    <n v="24427"/>
    <x v="5"/>
    <n v="51020308"/>
    <n v="82.883181626473018"/>
    <s v="PLATINO"/>
    <n v="380"/>
    <d v="2026-02-27T16:00:53"/>
  </r>
  <r>
    <n v="24428"/>
    <x v="5"/>
    <n v="51040597"/>
    <n v="85.93262751764955"/>
    <s v="PLATINO"/>
    <n v="227"/>
    <d v="2026-02-27T16:00:53"/>
  </r>
  <r>
    <n v="24429"/>
    <x v="5"/>
    <n v="51014197"/>
    <n v="85.549355577109495"/>
    <s v="PLATINO"/>
    <n v="245"/>
    <d v="2026-02-27T16:00:53"/>
  </r>
  <r>
    <n v="24430"/>
    <x v="5"/>
    <n v="51056621"/>
    <n v="54.210316892665148"/>
    <s v="PLATA"/>
    <n v="736"/>
    <d v="2026-02-27T16:00:53"/>
  </r>
  <r>
    <n v="24431"/>
    <x v="5"/>
    <n v="51018524"/>
    <n v="80.009019560339524"/>
    <s v="PLATINO"/>
    <n v="490"/>
    <d v="2026-02-27T16:00:53"/>
  </r>
  <r>
    <n v="24432"/>
    <x v="5"/>
    <n v="51056701"/>
    <n v="82.012820646507294"/>
    <s v="PLATINO"/>
    <n v="416"/>
    <d v="2026-02-27T16:00:53"/>
  </r>
  <r>
    <n v="24433"/>
    <x v="5"/>
    <n v="51057007"/>
    <n v="19.658257757619879"/>
    <s v="BRONCE"/>
    <n v="922"/>
    <d v="2026-02-27T16:00:53"/>
  </r>
  <r>
    <n v="24434"/>
    <x v="5"/>
    <n v="51011091"/>
    <n v="82.48566218829923"/>
    <s v="PLATINO"/>
    <n v="395"/>
    <d v="2026-02-27T16:00:53"/>
  </r>
  <r>
    <n v="24435"/>
    <x v="5"/>
    <n v="51011953"/>
    <n v="39.034824240543117"/>
    <s v="PLATA"/>
    <n v="783"/>
    <d v="2026-02-27T16:00:53"/>
  </r>
  <r>
    <n v="24436"/>
    <x v="5"/>
    <n v="51022955"/>
    <n v="64.321883125541603"/>
    <s v="ORO"/>
    <n v="678"/>
    <d v="2026-02-27T16:00:53"/>
  </r>
  <r>
    <n v="24437"/>
    <x v="5"/>
    <n v="51021673"/>
    <n v="72.829170519308178"/>
    <s v="ORO"/>
    <n v="588"/>
    <d v="2026-02-27T16:00:53"/>
  </r>
  <r>
    <n v="24438"/>
    <x v="5"/>
    <n v="51013476"/>
    <n v="84.345498500251608"/>
    <s v="PLATINO"/>
    <n v="302"/>
    <d v="2026-02-27T16:00:53"/>
  </r>
  <r>
    <n v="24439"/>
    <x v="5"/>
    <n v="51022998"/>
    <n v="86.016349637114388"/>
    <s v="PLATINO"/>
    <n v="224"/>
    <d v="2026-02-27T16:00:53"/>
  </r>
  <r>
    <n v="24440"/>
    <x v="5"/>
    <n v="51056485"/>
    <n v="74.176227366861681"/>
    <s v="ORO"/>
    <n v="579"/>
    <d v="2026-02-27T16:00:53"/>
  </r>
  <r>
    <n v="24441"/>
    <x v="5"/>
    <n v="51055705"/>
    <n v="67.1511502644084"/>
    <s v="ORO"/>
    <n v="649"/>
    <d v="2026-02-27T16:00:53"/>
  </r>
  <r>
    <n v="24442"/>
    <x v="5"/>
    <n v="51041798"/>
    <n v="77.427706070563772"/>
    <s v="PLATINO"/>
    <n v="557"/>
    <d v="2026-02-27T16:00:53"/>
  </r>
  <r>
    <n v="24443"/>
    <x v="5"/>
    <n v="51020600"/>
    <n v="84.966530567666823"/>
    <s v="PLATINO"/>
    <n v="272"/>
    <d v="2026-02-27T16:00:53"/>
  </r>
  <r>
    <n v="24444"/>
    <x v="5"/>
    <n v="51033795"/>
    <n v="67.054708242736922"/>
    <s v="ORO"/>
    <n v="652"/>
    <d v="2026-02-27T16:00:53"/>
  </r>
  <r>
    <n v="24445"/>
    <x v="5"/>
    <n v="51030419"/>
    <n v="34.85841830887184"/>
    <s v="PLATA"/>
    <n v="794"/>
    <d v="2026-02-27T16:00:53"/>
  </r>
  <r>
    <n v="24446"/>
    <x v="5"/>
    <n v="51038819"/>
    <n v="81.106184782924842"/>
    <s v="PLATINO"/>
    <n v="453"/>
    <d v="2026-02-27T16:00:53"/>
  </r>
  <r>
    <n v="24447"/>
    <x v="5"/>
    <n v="51021851"/>
    <n v="85.141282415592016"/>
    <s v="PLATINO"/>
    <n v="263"/>
    <d v="2026-02-27T16:00:53"/>
  </r>
  <r>
    <n v="24448"/>
    <x v="5"/>
    <n v="51004086"/>
    <n v="28.81190937451856"/>
    <s v="BRONCE"/>
    <n v="809"/>
    <d v="2026-02-27T16:00:53"/>
  </r>
  <r>
    <n v="24449"/>
    <x v="5"/>
    <n v="51017111"/>
    <n v="66.798484086968045"/>
    <s v="ORO"/>
    <n v="654"/>
    <d v="2026-02-27T16:00:53"/>
  </r>
  <r>
    <n v="24450"/>
    <x v="5"/>
    <n v="51022106"/>
    <n v="19.784680469969238"/>
    <s v="BRONCE"/>
    <n v="906"/>
    <d v="2026-02-27T16:00:53"/>
  </r>
  <r>
    <n v="24451"/>
    <x v="5"/>
    <n v="51056205"/>
    <n v="83.301394201166758"/>
    <s v="PLATINO"/>
    <n v="361"/>
    <d v="2026-02-27T16:00:53"/>
  </r>
  <r>
    <n v="24452"/>
    <x v="5"/>
    <n v="51055870"/>
    <n v="86.552579255218461"/>
    <s v="PLATINO"/>
    <n v="192"/>
    <d v="2026-02-27T16:00:53"/>
  </r>
  <r>
    <n v="24453"/>
    <x v="5"/>
    <n v="51017226"/>
    <n v="78.742030944714813"/>
    <s v="PLATINO"/>
    <n v="531"/>
    <d v="2026-02-27T16:00:53"/>
  </r>
  <r>
    <n v="24454"/>
    <x v="5"/>
    <n v="51056965"/>
    <n v="19.804630886300352"/>
    <s v="BRONCE"/>
    <n v="899"/>
    <d v="2026-02-27T16:00:53"/>
  </r>
  <r>
    <n v="24455"/>
    <x v="5"/>
    <n v="51033671"/>
    <n v="82.723784286074959"/>
    <s v="PLATINO"/>
    <n v="385"/>
    <d v="2026-02-27T16:00:53"/>
  </r>
  <r>
    <n v="24456"/>
    <x v="5"/>
    <n v="51038797"/>
    <n v="83.627623194487342"/>
    <s v="PLATINO"/>
    <n v="343"/>
    <d v="2026-02-27T16:00:53"/>
  </r>
  <r>
    <n v="24457"/>
    <x v="5"/>
    <n v="51013492"/>
    <n v="81.936081290991254"/>
    <s v="PLATINO"/>
    <n v="419"/>
    <d v="2026-02-27T16:00:53"/>
  </r>
  <r>
    <n v="24458"/>
    <x v="5"/>
    <n v="51019415"/>
    <n v="81.631720044496319"/>
    <s v="PLATINO"/>
    <n v="432"/>
    <d v="2026-02-27T16:00:53"/>
  </r>
  <r>
    <n v="24459"/>
    <x v="5"/>
    <n v="51036107"/>
    <n v="73.645813108847975"/>
    <s v="ORO"/>
    <n v="583"/>
    <d v="2026-02-27T16:00:53"/>
  </r>
  <r>
    <n v="24460"/>
    <x v="5"/>
    <n v="51056990"/>
    <n v="60.464743684225809"/>
    <s v="ORO"/>
    <n v="717"/>
    <d v="2026-02-27T16:00:53"/>
  </r>
  <r>
    <n v="24461"/>
    <x v="5"/>
    <n v="51025296"/>
    <n v="61.771460990491533"/>
    <s v="ORO"/>
    <n v="713"/>
    <d v="2026-02-27T16:00:53"/>
  </r>
  <r>
    <n v="24462"/>
    <x v="5"/>
    <n v="51056639"/>
    <n v="40.727191469966783"/>
    <s v="PLATA"/>
    <n v="777"/>
    <d v="2026-02-27T16:00:53"/>
  </r>
  <r>
    <n v="24463"/>
    <x v="5"/>
    <n v="51015029"/>
    <n v="84.915884669101018"/>
    <s v="PLATINO"/>
    <n v="275"/>
    <d v="2026-02-27T16:00:53"/>
  </r>
  <r>
    <n v="24464"/>
    <x v="5"/>
    <n v="51055730"/>
    <n v="65.109873201456423"/>
    <s v="ORO"/>
    <n v="665"/>
    <d v="2026-02-27T16:00:53"/>
  </r>
  <r>
    <n v="24465"/>
    <x v="5"/>
    <n v="51018257"/>
    <n v="80.00564145968022"/>
    <s v="PLATINO"/>
    <n v="491"/>
    <d v="2026-02-27T16:00:53"/>
  </r>
  <r>
    <n v="24466"/>
    <x v="5"/>
    <n v="51055845"/>
    <n v="82.422964102953472"/>
    <s v="PLATINO"/>
    <n v="400"/>
    <d v="2026-02-27T16:00:53"/>
  </r>
  <r>
    <n v="24467"/>
    <x v="5"/>
    <n v="51028015"/>
    <n v="84.5581353563188"/>
    <s v="PLATINO"/>
    <n v="288"/>
    <d v="2026-02-27T16:00:53"/>
  </r>
  <r>
    <n v="24468"/>
    <x v="5"/>
    <n v="51012887"/>
    <n v="81.515095055297721"/>
    <s v="PLATINO"/>
    <n v="439"/>
    <d v="2026-02-27T16:00:53"/>
  </r>
  <r>
    <n v="24469"/>
    <x v="5"/>
    <n v="51010311"/>
    <n v="72.583136164162539"/>
    <s v="ORO"/>
    <n v="592"/>
    <d v="2026-02-27T16:00:53"/>
  </r>
  <r>
    <n v="24470"/>
    <x v="5"/>
    <n v="51036638"/>
    <n v="41.196303382335273"/>
    <s v="PLATA"/>
    <n v="775"/>
    <d v="2026-02-27T16:00:53"/>
  </r>
  <r>
    <n v="24471"/>
    <x v="5"/>
    <n v="51033442"/>
    <n v="85.634304424198987"/>
    <s v="PLATINO"/>
    <n v="238"/>
    <d v="2026-02-27T16:00:53"/>
  </r>
  <r>
    <n v="24472"/>
    <x v="5"/>
    <n v="51014774"/>
    <n v="81.068467628363919"/>
    <s v="PLATINO"/>
    <n v="455"/>
    <d v="2026-02-27T16:00:53"/>
  </r>
  <r>
    <n v="24473"/>
    <x v="5"/>
    <n v="51043847"/>
    <n v="71.507479890926561"/>
    <s v="ORO"/>
    <n v="605"/>
    <d v="2026-02-27T16:00:53"/>
  </r>
  <r>
    <n v="24474"/>
    <x v="5"/>
    <n v="51032381"/>
    <n v="19.580831287015389"/>
    <s v="BRONCE"/>
    <n v="929"/>
    <d v="2026-02-27T16:00:53"/>
  </r>
  <r>
    <n v="24475"/>
    <x v="5"/>
    <n v="51018508"/>
    <n v="81.038883405211251"/>
    <s v="PLATINO"/>
    <n v="456"/>
    <d v="2026-02-27T16:00:53"/>
  </r>
  <r>
    <n v="24476"/>
    <x v="5"/>
    <n v="51003616"/>
    <n v="82.045514189241317"/>
    <s v="PLATINO"/>
    <n v="415"/>
    <d v="2026-02-27T16:00:53"/>
  </r>
  <r>
    <n v="24477"/>
    <x v="5"/>
    <n v="51038932"/>
    <n v="73.13129264181255"/>
    <s v="ORO"/>
    <n v="585"/>
    <d v="2026-02-27T16:00:53"/>
  </r>
  <r>
    <n v="24478"/>
    <x v="5"/>
    <n v="51039211"/>
    <n v="26.697061673231978"/>
    <s v="BRONCE"/>
    <n v="818"/>
    <d v="2026-02-27T16:00:53"/>
  </r>
  <r>
    <n v="24479"/>
    <x v="5"/>
    <n v="51018664"/>
    <n v="19.543509404719511"/>
    <s v="BRONCE"/>
    <n v="932"/>
    <d v="2026-02-27T16:00:53"/>
  </r>
  <r>
    <n v="24480"/>
    <x v="5"/>
    <n v="51056671"/>
    <n v="83.072998734326688"/>
    <s v="PLATINO"/>
    <n v="370"/>
    <d v="2026-02-27T16:00:53"/>
  </r>
  <r>
    <n v="24481"/>
    <x v="5"/>
    <n v="51055462"/>
    <n v="74.520644465743771"/>
    <s v="ORO"/>
    <n v="576"/>
    <d v="2026-02-27T16:00:53"/>
  </r>
  <r>
    <n v="24482"/>
    <x v="5"/>
    <n v="51014081"/>
    <n v="84.346169935802777"/>
    <s v="PLATINO"/>
    <n v="301"/>
    <d v="2026-02-27T16:00:53"/>
  </r>
  <r>
    <n v="24483"/>
    <x v="5"/>
    <n v="51055918"/>
    <n v="75.110208921623254"/>
    <s v="PLATINO"/>
    <n v="571"/>
    <d v="2026-02-27T16:00:53"/>
  </r>
  <r>
    <n v="24484"/>
    <x v="5"/>
    <n v="51016785"/>
    <n v="83.987514865735236"/>
    <s v="PLATINO"/>
    <n v="327"/>
    <d v="2026-02-27T16:00:53"/>
  </r>
  <r>
    <n v="24485"/>
    <x v="5"/>
    <n v="51055268"/>
    <n v="19.390627648717771"/>
    <s v="BRONCE"/>
    <n v="953"/>
    <d v="2026-02-27T16:00:53"/>
  </r>
  <r>
    <n v="24486"/>
    <x v="5"/>
    <n v="51015533"/>
    <n v="62.450957165126781"/>
    <s v="ORO"/>
    <n v="706"/>
    <d v="2026-02-27T16:00:53"/>
  </r>
  <r>
    <n v="24487"/>
    <x v="5"/>
    <n v="51018371"/>
    <n v="19.369922086614981"/>
    <s v="BRONCE"/>
    <n v="956"/>
    <d v="2026-02-27T16:00:53"/>
  </r>
  <r>
    <n v="24488"/>
    <x v="5"/>
    <n v="51004027"/>
    <n v="75.229556107369319"/>
    <s v="PLATINO"/>
    <n v="570"/>
    <d v="2026-02-27T16:00:53"/>
  </r>
  <r>
    <n v="24489"/>
    <x v="5"/>
    <n v="51011660"/>
    <n v="68.832621874025676"/>
    <s v="ORO"/>
    <n v="633"/>
    <d v="2026-02-27T16:00:53"/>
  </r>
  <r>
    <n v="24490"/>
    <x v="5"/>
    <n v="51022556"/>
    <n v="86.75094939914645"/>
    <s v="PLATINO"/>
    <n v="179"/>
    <d v="2026-02-27T16:00:53"/>
  </r>
  <r>
    <n v="24491"/>
    <x v="5"/>
    <n v="51018427"/>
    <n v="71.156371662847349"/>
    <s v="ORO"/>
    <n v="609"/>
    <d v="2026-02-27T16:00:53"/>
  </r>
  <r>
    <n v="24492"/>
    <x v="5"/>
    <n v="51024516"/>
    <n v="84.418418391118067"/>
    <s v="PLATINO"/>
    <n v="296"/>
    <d v="2026-02-27T16:00:53"/>
  </r>
  <r>
    <n v="24493"/>
    <x v="5"/>
    <n v="51011856"/>
    <n v="82.109803422738224"/>
    <s v="PLATINO"/>
    <n v="413"/>
    <d v="2026-02-27T16:00:53"/>
  </r>
  <r>
    <n v="24494"/>
    <x v="5"/>
    <n v="51032322"/>
    <n v="83.260507139665137"/>
    <s v="PLATINO"/>
    <n v="363"/>
    <d v="2026-02-27T16:00:53"/>
  </r>
  <r>
    <n v="24495"/>
    <x v="5"/>
    <n v="51013859"/>
    <n v="81.164179974964313"/>
    <s v="PLATINO"/>
    <n v="452"/>
    <d v="2026-02-27T16:00:53"/>
  </r>
  <r>
    <n v="24496"/>
    <x v="5"/>
    <n v="51008430"/>
    <n v="81.182328172579474"/>
    <s v="PLATINO"/>
    <n v="451"/>
    <d v="2026-02-27T16:00:53"/>
  </r>
  <r>
    <n v="24497"/>
    <x v="5"/>
    <n v="51042158"/>
    <n v="80.579354050395708"/>
    <s v="PLATINO"/>
    <n v="469"/>
    <d v="2026-02-27T16:00:53"/>
  </r>
  <r>
    <n v="24498"/>
    <x v="5"/>
    <n v="51011627"/>
    <n v="19.43371986345435"/>
    <s v="BRONCE"/>
    <n v="945"/>
    <d v="2026-02-27T16:00:53"/>
  </r>
  <r>
    <n v="24499"/>
    <x v="5"/>
    <n v="51010426"/>
    <n v="80.960267238699089"/>
    <s v="PLATINO"/>
    <n v="458"/>
    <d v="2026-02-27T16:00:53"/>
  </r>
  <r>
    <n v="24500"/>
    <x v="5"/>
    <n v="51033205"/>
    <n v="84.305535546649764"/>
    <s v="PLATINO"/>
    <n v="307"/>
    <d v="2026-02-27T16:00:53"/>
  </r>
  <r>
    <n v="24501"/>
    <x v="5"/>
    <n v="51035976"/>
    <n v="84.623772715573878"/>
    <s v="PLATINO"/>
    <n v="285"/>
    <d v="2026-02-27T16:00:53"/>
  </r>
  <r>
    <n v="24502"/>
    <x v="5"/>
    <n v="51010914"/>
    <n v="62.658849079781817"/>
    <s v="ORO"/>
    <n v="703"/>
    <d v="2026-02-27T16:00:53"/>
  </r>
  <r>
    <n v="24503"/>
    <x v="5"/>
    <n v="51023129"/>
    <n v="83.4458598037847"/>
    <s v="PLATINO"/>
    <n v="352"/>
    <d v="2026-02-27T16:00:53"/>
  </r>
  <r>
    <n v="24504"/>
    <x v="5"/>
    <n v="51054857"/>
    <n v="63.038647103609527"/>
    <s v="ORO"/>
    <n v="700"/>
    <d v="2026-02-27T16:00:53"/>
  </r>
  <r>
    <n v="24505"/>
    <x v="5"/>
    <n v="51055926"/>
    <n v="82.131959526999296"/>
    <s v="PLATINO"/>
    <n v="411"/>
    <d v="2026-02-27T16:00:53"/>
  </r>
  <r>
    <n v="24506"/>
    <x v="5"/>
    <n v="51021282"/>
    <n v="19.384036975668621"/>
    <s v="BRONCE"/>
    <n v="954"/>
    <d v="2026-02-27T16:00:53"/>
  </r>
  <r>
    <n v="24507"/>
    <x v="5"/>
    <n v="51031369"/>
    <n v="82.943397701331975"/>
    <s v="PLATINO"/>
    <n v="378"/>
    <d v="2026-02-27T16:00:53"/>
  </r>
  <r>
    <n v="24508"/>
    <x v="5"/>
    <n v="51024621"/>
    <n v="35.805683456864628"/>
    <s v="PLATA"/>
    <n v="790"/>
    <d v="2026-02-27T16:00:53"/>
  </r>
  <r>
    <n v="24509"/>
    <x v="5"/>
    <n v="51032284"/>
    <n v="63.195231022373797"/>
    <s v="ORO"/>
    <n v="696"/>
    <d v="2026-02-27T16:00:53"/>
  </r>
  <r>
    <n v="24510"/>
    <x v="5"/>
    <n v="51018966"/>
    <n v="82.864310121112439"/>
    <s v="PLATINO"/>
    <n v="381"/>
    <d v="2026-02-27T16:00:53"/>
  </r>
  <r>
    <n v="24511"/>
    <x v="5"/>
    <n v="51012623"/>
    <n v="19.395914895874188"/>
    <s v="BRONCE"/>
    <n v="952"/>
    <d v="2026-02-27T16:00:53"/>
  </r>
  <r>
    <n v="24512"/>
    <x v="5"/>
    <n v="51019121"/>
    <n v="84.184594786857076"/>
    <s v="PLATINO"/>
    <n v="314"/>
    <d v="2026-02-27T16:00:53"/>
  </r>
  <r>
    <n v="24513"/>
    <x v="5"/>
    <n v="51036085"/>
    <n v="82.56426774553033"/>
    <s v="PLATINO"/>
    <n v="391"/>
    <d v="2026-02-27T16:00:53"/>
  </r>
  <r>
    <n v="24514"/>
    <x v="5"/>
    <n v="51002164"/>
    <n v="19.452054132368669"/>
    <s v="BRONCE"/>
    <n v="943"/>
    <d v="2026-02-27T16:00:53"/>
  </r>
  <r>
    <n v="24515"/>
    <x v="5"/>
    <n v="51013182"/>
    <n v="87.599388116999251"/>
    <s v="PLATINO"/>
    <n v="130"/>
    <d v="2026-02-27T16:00:53"/>
  </r>
  <r>
    <n v="24516"/>
    <x v="5"/>
    <n v="51033086"/>
    <n v="19.45230516561233"/>
    <s v="BRONCE"/>
    <n v="942"/>
    <d v="2026-02-27T16:00:53"/>
  </r>
  <r>
    <n v="24517"/>
    <x v="5"/>
    <n v="51029038"/>
    <n v="81.634404865487568"/>
    <s v="PLATINO"/>
    <n v="431"/>
    <d v="2026-02-27T16:00:53"/>
  </r>
  <r>
    <n v="24518"/>
    <x v="5"/>
    <n v="51024168"/>
    <n v="62.795182707703759"/>
    <s v="ORO"/>
    <n v="701"/>
    <d v="2026-02-27T16:00:53"/>
  </r>
  <r>
    <n v="24519"/>
    <x v="5"/>
    <n v="51023455"/>
    <n v="63.049210349739383"/>
    <s v="ORO"/>
    <n v="699"/>
    <d v="2026-02-27T16:00:53"/>
  </r>
  <r>
    <n v="24520"/>
    <x v="5"/>
    <n v="51016131"/>
    <n v="61.89299315663709"/>
    <s v="ORO"/>
    <n v="708"/>
    <d v="2026-02-27T16:00:53"/>
  </r>
  <r>
    <n v="24521"/>
    <x v="5"/>
    <n v="51016408"/>
    <n v="85.067965494607265"/>
    <s v="PLATINO"/>
    <n v="268"/>
    <d v="2026-02-27T16:00:53"/>
  </r>
  <r>
    <n v="24522"/>
    <x v="5"/>
    <n v="51056914"/>
    <n v="82.529417099489521"/>
    <s v="PLATINO"/>
    <n v="392"/>
    <d v="2026-02-27T16:00:53"/>
  </r>
  <r>
    <n v="24523"/>
    <x v="5"/>
    <n v="51016858"/>
    <n v="83.886584535060507"/>
    <s v="PLATINO"/>
    <n v="335"/>
    <d v="2026-02-27T16:00:53"/>
  </r>
  <r>
    <n v="24524"/>
    <x v="5"/>
    <n v="51035666"/>
    <n v="81.396505856638782"/>
    <s v="PLATINO"/>
    <n v="442"/>
    <d v="2026-02-27T16:00:53"/>
  </r>
  <r>
    <n v="24525"/>
    <x v="5"/>
    <n v="51022068"/>
    <n v="80.482430821473429"/>
    <s v="PLATINO"/>
    <n v="472"/>
    <d v="2026-02-27T16:00:53"/>
  </r>
  <r>
    <n v="24526"/>
    <x v="5"/>
    <n v="51013611"/>
    <n v="65.867278388407428"/>
    <s v="ORO"/>
    <n v="660"/>
    <d v="2026-02-27T16:00:53"/>
  </r>
  <r>
    <n v="24527"/>
    <x v="5"/>
    <n v="51013115"/>
    <n v="19.467649936130449"/>
    <s v="BRONCE"/>
    <n v="938"/>
    <d v="2026-02-27T16:00:53"/>
  </r>
  <r>
    <n v="24528"/>
    <x v="5"/>
    <n v="51056744"/>
    <n v="81.909146638224797"/>
    <s v="PLATINO"/>
    <n v="420"/>
    <d v="2026-02-27T16:00:53"/>
  </r>
  <r>
    <n v="24529"/>
    <x v="5"/>
    <n v="51031822"/>
    <n v="82.980026834058833"/>
    <s v="PLATINO"/>
    <n v="373"/>
    <d v="2026-02-27T16:00:53"/>
  </r>
  <r>
    <n v="24530"/>
    <x v="5"/>
    <n v="51025938"/>
    <n v="29.483892278773581"/>
    <s v="BRONCE"/>
    <n v="808"/>
    <d v="2026-02-27T16:00:53"/>
  </r>
  <r>
    <n v="24531"/>
    <x v="5"/>
    <n v="51030141"/>
    <n v="81.64842915617939"/>
    <s v="PLATINO"/>
    <n v="430"/>
    <d v="2026-02-27T16:00:53"/>
  </r>
  <r>
    <n v="24532"/>
    <x v="5"/>
    <n v="51004698"/>
    <n v="19.464706214484099"/>
    <s v="BRONCE"/>
    <n v="939"/>
    <d v="2026-02-27T16:00:53"/>
  </r>
  <r>
    <n v="24533"/>
    <x v="5"/>
    <n v="51029585"/>
    <n v="80.300977180927745"/>
    <s v="PLATINO"/>
    <n v="480"/>
    <d v="2026-02-27T16:00:53"/>
  </r>
  <r>
    <n v="24534"/>
    <x v="5"/>
    <n v="51018389"/>
    <n v="68.268027198244667"/>
    <s v="ORO"/>
    <n v="640"/>
    <d v="2026-02-27T16:00:53"/>
  </r>
  <r>
    <n v="24535"/>
    <x v="5"/>
    <n v="51017137"/>
    <n v="67.244164904903144"/>
    <s v="ORO"/>
    <n v="648"/>
    <d v="2026-02-27T16:00:53"/>
  </r>
  <r>
    <n v="24536"/>
    <x v="5"/>
    <n v="51041232"/>
    <n v="82.404550621881228"/>
    <s v="PLATINO"/>
    <n v="403"/>
    <d v="2026-02-27T16:00:53"/>
  </r>
  <r>
    <n v="24537"/>
    <x v="5"/>
    <n v="51022769"/>
    <n v="80.381326697230861"/>
    <s v="PLATINO"/>
    <n v="475"/>
    <d v="2026-02-27T16:00:53"/>
  </r>
  <r>
    <n v="24538"/>
    <x v="5"/>
    <n v="51031164"/>
    <n v="19.425167424179559"/>
    <s v="BRONCE"/>
    <n v="949"/>
    <d v="2026-02-27T16:00:53"/>
  </r>
  <r>
    <n v="24539"/>
    <x v="5"/>
    <n v="51030371"/>
    <n v="80.468054457717514"/>
    <s v="PLATINO"/>
    <n v="473"/>
    <d v="2026-02-27T16:00:53"/>
  </r>
  <r>
    <n v="24540"/>
    <x v="5"/>
    <n v="51040392"/>
    <n v="26.987356364713541"/>
    <s v="BRONCE"/>
    <n v="814"/>
    <d v="2026-02-27T16:00:53"/>
  </r>
  <r>
    <n v="24541"/>
    <x v="5"/>
    <n v="51014693"/>
    <n v="80.085955480380946"/>
    <s v="PLATINO"/>
    <n v="489"/>
    <d v="2026-02-27T16:00:53"/>
  </r>
  <r>
    <n v="24542"/>
    <x v="5"/>
    <n v="51055551"/>
    <n v="19.424044918388031"/>
    <s v="BRONCE"/>
    <n v="950"/>
    <d v="2026-02-27T16:00:53"/>
  </r>
  <r>
    <n v="24543"/>
    <x v="5"/>
    <n v="51012593"/>
    <n v="80.798920489885688"/>
    <s v="PLATINO"/>
    <n v="463"/>
    <d v="2026-02-27T16:00:53"/>
  </r>
  <r>
    <n v="24544"/>
    <x v="5"/>
    <n v="51015908"/>
    <n v="83.982205735884989"/>
    <s v="PLATINO"/>
    <n v="328"/>
    <d v="2026-02-27T16:00:53"/>
  </r>
  <r>
    <n v="24545"/>
    <x v="5"/>
    <n v="51015924"/>
    <n v="84.510268974703294"/>
    <s v="PLATINO"/>
    <n v="293"/>
    <d v="2026-02-27T16:00:53"/>
  </r>
  <r>
    <n v="24546"/>
    <x v="5"/>
    <n v="51034252"/>
    <n v="85.549858073329261"/>
    <s v="PLATINO"/>
    <n v="244"/>
    <d v="2026-02-27T16:00:53"/>
  </r>
  <r>
    <n v="24547"/>
    <x v="5"/>
    <n v="51017676"/>
    <n v="81.525749616357487"/>
    <s v="PLATINO"/>
    <n v="437"/>
    <d v="2026-02-27T16:00:53"/>
  </r>
  <r>
    <n v="24548"/>
    <x v="5"/>
    <n v="51033655"/>
    <n v="82.607919761526674"/>
    <s v="PLATINO"/>
    <n v="389"/>
    <d v="2026-02-27T16:00:53"/>
  </r>
  <r>
    <n v="24549"/>
    <x v="5"/>
    <n v="51014740"/>
    <n v="77.613010328219033"/>
    <s v="PLATINO"/>
    <n v="552"/>
    <d v="2026-02-27T16:00:53"/>
  </r>
  <r>
    <n v="24550"/>
    <x v="5"/>
    <n v="51011287"/>
    <n v="79.993685147080512"/>
    <s v="PLATINO"/>
    <n v="493"/>
    <d v="2026-02-27T16:00:53"/>
  </r>
  <r>
    <n v="24551"/>
    <x v="5"/>
    <n v="51026306"/>
    <n v="80.35514067301807"/>
    <s v="PLATINO"/>
    <n v="479"/>
    <d v="2026-02-27T16:00:53"/>
  </r>
  <r>
    <n v="24552"/>
    <x v="5"/>
    <n v="51040325"/>
    <n v="37.588544583028423"/>
    <s v="PLATA"/>
    <n v="785"/>
    <d v="2026-02-27T16:00:53"/>
  </r>
  <r>
    <n v="24553"/>
    <x v="5"/>
    <n v="51055543"/>
    <n v="81.759442585510527"/>
    <s v="PLATINO"/>
    <n v="427"/>
    <d v="2026-02-27T16:00:53"/>
  </r>
  <r>
    <n v="24554"/>
    <x v="5"/>
    <n v="51037031"/>
    <n v="80.374706872315059"/>
    <s v="PLATINO"/>
    <n v="476"/>
    <d v="2026-02-27T16:00:53"/>
  </r>
  <r>
    <n v="24555"/>
    <x v="5"/>
    <n v="51057244"/>
    <n v="40.12384227532911"/>
    <s v="PLATA"/>
    <n v="780"/>
    <d v="2026-02-27T16:00:53"/>
  </r>
  <r>
    <n v="24556"/>
    <x v="5"/>
    <n v="51032004"/>
    <n v="19.294024779477731"/>
    <s v="BRONCE"/>
    <n v="960"/>
    <d v="2026-02-27T16:00:53"/>
  </r>
  <r>
    <n v="24557"/>
    <x v="5"/>
    <n v="51019253"/>
    <n v="83.621728007448709"/>
    <s v="PLATINO"/>
    <n v="345"/>
    <d v="2026-02-27T16:00:53"/>
  </r>
  <r>
    <n v="24558"/>
    <x v="5"/>
    <n v="51008413"/>
    <n v="81.800999410572985"/>
    <s v="PLATINO"/>
    <n v="425"/>
    <d v="2026-02-27T16:00:53"/>
  </r>
  <r>
    <n v="24559"/>
    <x v="5"/>
    <n v="51018265"/>
    <n v="64.636626963342167"/>
    <s v="ORO"/>
    <n v="670"/>
    <d v="2026-02-27T16:00:53"/>
  </r>
  <r>
    <n v="24560"/>
    <x v="5"/>
    <n v="51022050"/>
    <n v="19.32818677555764"/>
    <s v="BRONCE"/>
    <n v="957"/>
    <d v="2026-02-27T16:00:53"/>
  </r>
  <r>
    <n v="24561"/>
    <x v="5"/>
    <n v="51016076"/>
    <n v="80.253534267847712"/>
    <s v="PLATINO"/>
    <n v="484"/>
    <d v="2026-02-27T16:00:53"/>
  </r>
  <r>
    <n v="24562"/>
    <x v="5"/>
    <n v="51014634"/>
    <n v="80.374337537052895"/>
    <s v="PLATINO"/>
    <n v="477"/>
    <d v="2026-02-27T16:00:53"/>
  </r>
  <r>
    <n v="24563"/>
    <x v="5"/>
    <n v="51004655"/>
    <n v="64.759844383871155"/>
    <s v="ORO"/>
    <n v="667"/>
    <d v="2026-02-27T16:00:53"/>
  </r>
  <r>
    <n v="24564"/>
    <x v="5"/>
    <n v="51030974"/>
    <n v="81.938491217890558"/>
    <s v="PLATINO"/>
    <n v="418"/>
    <d v="2026-02-27T16:00:53"/>
  </r>
  <r>
    <n v="24565"/>
    <x v="5"/>
    <n v="51056787"/>
    <n v="71.884255776368377"/>
    <s v="ORO"/>
    <n v="600"/>
    <d v="2026-02-27T16:00:53"/>
  </r>
  <r>
    <n v="24566"/>
    <x v="5"/>
    <n v="51032802"/>
    <n v="86.386762757252527"/>
    <s v="PLATINO"/>
    <n v="199"/>
    <d v="2026-02-27T16:00:53"/>
  </r>
  <r>
    <n v="24567"/>
    <x v="5"/>
    <n v="51043677"/>
    <n v="82.97188063144533"/>
    <s v="PLATINO"/>
    <n v="374"/>
    <d v="2026-02-27T16:00:53"/>
  </r>
  <r>
    <n v="24568"/>
    <x v="5"/>
    <n v="51022467"/>
    <n v="79.771031838409044"/>
    <s v="PLATINO"/>
    <n v="499"/>
    <d v="2026-02-27T16:00:53"/>
  </r>
  <r>
    <n v="24569"/>
    <x v="5"/>
    <n v="51055225"/>
    <n v="81.474226935521486"/>
    <s v="PLATINO"/>
    <n v="441"/>
    <d v="2026-02-27T16:00:53"/>
  </r>
  <r>
    <n v="24570"/>
    <x v="5"/>
    <n v="51041666"/>
    <n v="83.369469165798591"/>
    <s v="PLATINO"/>
    <n v="354"/>
    <d v="2026-02-27T16:00:53"/>
  </r>
  <r>
    <n v="24571"/>
    <x v="5"/>
    <n v="51024753"/>
    <n v="82.920610649557986"/>
    <s v="PLATINO"/>
    <n v="379"/>
    <d v="2026-02-27T16:00:53"/>
  </r>
  <r>
    <n v="24572"/>
    <x v="5"/>
    <n v="51023901"/>
    <n v="83.931334665189667"/>
    <s v="PLATINO"/>
    <n v="331"/>
    <d v="2026-02-27T16:00:53"/>
  </r>
  <r>
    <n v="24573"/>
    <x v="5"/>
    <n v="51038401"/>
    <n v="34.487992803852308"/>
    <s v="PLATA"/>
    <n v="795"/>
    <d v="2026-02-27T16:00:53"/>
  </r>
  <r>
    <n v="24574"/>
    <x v="5"/>
    <n v="51023226"/>
    <n v="81.005076351392177"/>
    <s v="PLATINO"/>
    <n v="457"/>
    <d v="2026-02-27T16:00:53"/>
  </r>
  <r>
    <n v="24575"/>
    <x v="5"/>
    <n v="51019717"/>
    <n v="68.330240185316697"/>
    <s v="ORO"/>
    <n v="639"/>
    <d v="2026-02-27T16:00:53"/>
  </r>
  <r>
    <n v="24576"/>
    <x v="5"/>
    <n v="51007115"/>
    <n v="79.748885687554576"/>
    <s v="PLATINO"/>
    <n v="500"/>
    <d v="2026-02-27T16:00:53"/>
  </r>
  <r>
    <n v="24577"/>
    <x v="5"/>
    <n v="51016637"/>
    <n v="83.904360839048962"/>
    <s v="PLATINO"/>
    <n v="334"/>
    <d v="2026-02-27T16:00:53"/>
  </r>
  <r>
    <n v="24578"/>
    <x v="5"/>
    <n v="51023439"/>
    <n v="19.15005602012128"/>
    <s v="BRONCE"/>
    <n v="970"/>
    <d v="2026-02-27T16:00:53"/>
  </r>
  <r>
    <n v="24579"/>
    <x v="5"/>
    <n v="51031334"/>
    <n v="19.13271601914634"/>
    <s v="BRONCE"/>
    <n v="971"/>
    <d v="2026-02-27T16:00:53"/>
  </r>
  <r>
    <n v="24580"/>
    <x v="5"/>
    <n v="51005368"/>
    <n v="66.476561744591081"/>
    <s v="ORO"/>
    <n v="659"/>
    <d v="2026-02-27T16:00:53"/>
  </r>
  <r>
    <n v="24581"/>
    <x v="5"/>
    <n v="51023803"/>
    <n v="82.419999952949055"/>
    <s v="PLATINO"/>
    <n v="401"/>
    <d v="2026-02-27T16:00:53"/>
  </r>
  <r>
    <n v="24582"/>
    <x v="5"/>
    <n v="51016777"/>
    <n v="72.692363434884157"/>
    <s v="ORO"/>
    <n v="590"/>
    <d v="2026-02-27T16:00:53"/>
  </r>
  <r>
    <n v="24583"/>
    <x v="5"/>
    <n v="51056094"/>
    <n v="79.7979618069823"/>
    <s v="PLATINO"/>
    <n v="498"/>
    <d v="2026-02-27T16:00:53"/>
  </r>
  <r>
    <n v="24584"/>
    <x v="5"/>
    <n v="51018044"/>
    <n v="19.072821906620089"/>
    <s v="BRONCE"/>
    <n v="978"/>
    <d v="2026-02-27T16:00:53"/>
  </r>
  <r>
    <n v="24585"/>
    <x v="5"/>
    <n v="51031318"/>
    <n v="42.050919543833032"/>
    <s v="PLATA"/>
    <n v="771"/>
    <d v="2026-02-27T16:00:53"/>
  </r>
  <r>
    <n v="24586"/>
    <x v="5"/>
    <n v="51031750"/>
    <n v="83.001573389291195"/>
    <s v="PLATINO"/>
    <n v="371"/>
    <d v="2026-02-27T16:00:53"/>
  </r>
  <r>
    <n v="24587"/>
    <x v="5"/>
    <n v="51032063"/>
    <n v="81.809116789826419"/>
    <s v="PLATINO"/>
    <n v="424"/>
    <d v="2026-02-27T16:00:53"/>
  </r>
  <r>
    <n v="24588"/>
    <x v="5"/>
    <n v="51029232"/>
    <n v="87.229084958098298"/>
    <s v="PLATINO"/>
    <n v="151"/>
    <d v="2026-02-27T16:00:53"/>
  </r>
  <r>
    <n v="24589"/>
    <x v="5"/>
    <n v="51035879"/>
    <n v="32.168612875117041"/>
    <s v="PLATA"/>
    <n v="802"/>
    <d v="2026-02-27T16:00:53"/>
  </r>
  <r>
    <n v="24590"/>
    <x v="5"/>
    <n v="51001044"/>
    <n v="81.375822976099812"/>
    <s v="PLATINO"/>
    <n v="443"/>
    <d v="2026-02-27T16:00:53"/>
  </r>
  <r>
    <n v="24591"/>
    <x v="5"/>
    <n v="51028929"/>
    <n v="81.908396483051675"/>
    <s v="PLATINO"/>
    <n v="421"/>
    <d v="2026-02-27T16:00:53"/>
  </r>
  <r>
    <n v="24592"/>
    <x v="5"/>
    <n v="51054873"/>
    <n v="80.902914105113325"/>
    <s v="PLATINO"/>
    <n v="459"/>
    <d v="2026-02-27T16:00:53"/>
  </r>
  <r>
    <n v="24593"/>
    <x v="5"/>
    <n v="51013913"/>
    <n v="82.413154885237532"/>
    <s v="PLATINO"/>
    <n v="402"/>
    <d v="2026-02-27T16:00:53"/>
  </r>
  <r>
    <n v="24594"/>
    <x v="5"/>
    <n v="51033302"/>
    <n v="61.862786833366883"/>
    <s v="ORO"/>
    <n v="710"/>
    <d v="2026-02-27T16:00:53"/>
  </r>
  <r>
    <n v="24595"/>
    <x v="5"/>
    <n v="51054806"/>
    <n v="19.043008046964172"/>
    <s v="BRONCE"/>
    <n v="984"/>
    <d v="2026-02-27T16:00:53"/>
  </r>
  <r>
    <n v="24596"/>
    <x v="5"/>
    <n v="51030567"/>
    <n v="50.937700896543163"/>
    <s v="PLATA"/>
    <n v="747"/>
    <d v="2026-02-27T16:00:53"/>
  </r>
  <r>
    <n v="24597"/>
    <x v="5"/>
    <n v="51014375"/>
    <n v="19.043969093927561"/>
    <s v="BRONCE"/>
    <n v="983"/>
    <d v="2026-02-27T16:00:53"/>
  </r>
  <r>
    <n v="24598"/>
    <x v="5"/>
    <n v="51056337"/>
    <n v="80.526318886165441"/>
    <s v="PLATINO"/>
    <n v="470"/>
    <d v="2026-02-27T16:00:53"/>
  </r>
  <r>
    <n v="24599"/>
    <x v="5"/>
    <n v="51054938"/>
    <n v="79.198352010652826"/>
    <s v="PLATINO"/>
    <n v="520"/>
    <d v="2026-02-27T16:00:53"/>
  </r>
  <r>
    <n v="24600"/>
    <x v="5"/>
    <n v="51024834"/>
    <n v="72.522421575891045"/>
    <s v="ORO"/>
    <n v="593"/>
    <d v="2026-02-27T16:00:53"/>
  </r>
  <r>
    <n v="24601"/>
    <x v="5"/>
    <n v="51016831"/>
    <n v="35.532855210695672"/>
    <s v="PLATA"/>
    <n v="791"/>
    <d v="2026-02-27T16:00:53"/>
  </r>
  <r>
    <n v="24602"/>
    <x v="5"/>
    <n v="51023927"/>
    <n v="19.096850801277199"/>
    <s v="BRONCE"/>
    <n v="973"/>
    <d v="2026-02-27T16:00:53"/>
  </r>
  <r>
    <n v="24603"/>
    <x v="5"/>
    <n v="51020111"/>
    <n v="81.613366748374972"/>
    <s v="PLATINO"/>
    <n v="433"/>
    <d v="2026-02-27T16:00:53"/>
  </r>
  <r>
    <n v="24604"/>
    <x v="5"/>
    <n v="51055250"/>
    <n v="82.715066756172291"/>
    <s v="PLATINO"/>
    <n v="386"/>
    <d v="2026-02-27T16:00:53"/>
  </r>
  <r>
    <n v="24605"/>
    <x v="5"/>
    <n v="51018036"/>
    <n v="60.071144414791902"/>
    <s v="ORO"/>
    <n v="718"/>
    <d v="2026-02-27T16:00:53"/>
  </r>
  <r>
    <n v="24606"/>
    <x v="5"/>
    <n v="51009797"/>
    <n v="19.009007654894621"/>
    <s v="BRONCE"/>
    <n v="987"/>
    <d v="2026-02-27T16:00:53"/>
  </r>
  <r>
    <n v="24607"/>
    <x v="5"/>
    <n v="51041917"/>
    <n v="62.120394232299347"/>
    <s v="ORO"/>
    <n v="707"/>
    <d v="2026-02-27T16:00:53"/>
  </r>
  <r>
    <n v="24608"/>
    <x v="5"/>
    <n v="51017846"/>
    <n v="82.303302603314819"/>
    <s v="PLATINO"/>
    <n v="405"/>
    <d v="2026-02-27T16:00:53"/>
  </r>
  <r>
    <n v="24609"/>
    <x v="5"/>
    <n v="51015851"/>
    <n v="81.352682711694982"/>
    <s v="PLATINO"/>
    <n v="445"/>
    <d v="2026-02-27T16:00:53"/>
  </r>
  <r>
    <n v="24610"/>
    <x v="5"/>
    <n v="51036603"/>
    <n v="19.072724604370311"/>
    <s v="BRONCE"/>
    <n v="979"/>
    <d v="2026-02-27T16:00:53"/>
  </r>
  <r>
    <n v="24611"/>
    <x v="5"/>
    <n v="51020910"/>
    <n v="63.14640050571721"/>
    <s v="ORO"/>
    <n v="697"/>
    <d v="2026-02-27T16:00:53"/>
  </r>
  <r>
    <n v="24612"/>
    <x v="5"/>
    <n v="51031326"/>
    <n v="19.060287173221521"/>
    <s v="BRONCE"/>
    <n v="982"/>
    <d v="2026-02-27T16:00:53"/>
  </r>
  <r>
    <n v="24613"/>
    <x v="5"/>
    <n v="51033604"/>
    <n v="19.109147259932069"/>
    <s v="BRONCE"/>
    <n v="972"/>
    <d v="2026-02-27T16:00:53"/>
  </r>
  <r>
    <n v="24614"/>
    <x v="5"/>
    <n v="51026217"/>
    <n v="72.585862995339923"/>
    <s v="ORO"/>
    <n v="591"/>
    <d v="2026-02-27T16:00:53"/>
  </r>
  <r>
    <n v="24615"/>
    <x v="5"/>
    <n v="51039165"/>
    <n v="79.977906067100861"/>
    <s v="PLATINO"/>
    <n v="494"/>
    <d v="2026-02-27T16:00:53"/>
  </r>
  <r>
    <n v="24616"/>
    <x v="5"/>
    <n v="51006844"/>
    <n v="19.159669637633591"/>
    <s v="BRONCE"/>
    <n v="968"/>
    <d v="2026-02-27T16:00:53"/>
  </r>
  <r>
    <n v="24617"/>
    <x v="5"/>
    <n v="51020995"/>
    <n v="19.150350643765499"/>
    <s v="BRONCE"/>
    <n v="969"/>
    <d v="2026-02-27T16:00:53"/>
  </r>
  <r>
    <n v="24618"/>
    <x v="5"/>
    <n v="51023251"/>
    <n v="72.420389612333082"/>
    <s v="ORO"/>
    <n v="595"/>
    <d v="2026-02-27T16:00:53"/>
  </r>
  <r>
    <n v="24619"/>
    <x v="5"/>
    <n v="51010205"/>
    <n v="69.59480816983114"/>
    <s v="ORO"/>
    <n v="623"/>
    <d v="2026-02-27T16:00:53"/>
  </r>
  <r>
    <n v="24620"/>
    <x v="5"/>
    <n v="51056922"/>
    <n v="80.367766375554126"/>
    <s v="PLATINO"/>
    <n v="478"/>
    <d v="2026-02-27T16:00:53"/>
  </r>
  <r>
    <n v="24621"/>
    <x v="5"/>
    <n v="51056299"/>
    <n v="74.733336171383044"/>
    <s v="ORO"/>
    <n v="573"/>
    <d v="2026-02-27T16:00:53"/>
  </r>
  <r>
    <n v="24622"/>
    <x v="5"/>
    <n v="51010175"/>
    <n v="33.060205733231967"/>
    <s v="PLATA"/>
    <n v="798"/>
    <d v="2026-02-27T16:00:53"/>
  </r>
  <r>
    <n v="24623"/>
    <x v="5"/>
    <n v="51015355"/>
    <n v="82.862790866136805"/>
    <s v="PLATINO"/>
    <n v="382"/>
    <d v="2026-02-27T16:00:53"/>
  </r>
  <r>
    <n v="24624"/>
    <x v="5"/>
    <n v="51010191"/>
    <n v="87.137356418496495"/>
    <s v="PLATINO"/>
    <n v="158"/>
    <d v="2026-02-27T16:00:53"/>
  </r>
  <r>
    <n v="24625"/>
    <x v="5"/>
    <n v="51013051"/>
    <n v="19.091301579613649"/>
    <s v="BRONCE"/>
    <n v="975"/>
    <d v="2026-02-27T16:00:53"/>
  </r>
  <r>
    <n v="24626"/>
    <x v="5"/>
    <n v="51032632"/>
    <n v="81.723099312502868"/>
    <s v="PLATINO"/>
    <n v="428"/>
    <d v="2026-02-27T16:00:53"/>
  </r>
  <r>
    <n v="24627"/>
    <x v="5"/>
    <n v="51026322"/>
    <n v="68.859078195761469"/>
    <s v="ORO"/>
    <n v="632"/>
    <d v="2026-02-27T16:00:53"/>
  </r>
  <r>
    <n v="24628"/>
    <x v="5"/>
    <n v="51019555"/>
    <n v="54.062592422558858"/>
    <s v="PLATA"/>
    <n v="737"/>
    <d v="2026-02-27T16:00:53"/>
  </r>
  <r>
    <n v="24629"/>
    <x v="5"/>
    <n v="51009991"/>
    <n v="61.795347745827357"/>
    <s v="ORO"/>
    <n v="712"/>
    <d v="2026-02-27T16:00:53"/>
  </r>
  <r>
    <n v="24630"/>
    <x v="5"/>
    <n v="51025822"/>
    <n v="80.510445525066672"/>
    <s v="PLATINO"/>
    <n v="471"/>
    <d v="2026-02-27T16:00:53"/>
  </r>
  <r>
    <n v="24631"/>
    <x v="5"/>
    <n v="51012500"/>
    <n v="80.239833485875877"/>
    <s v="PLATINO"/>
    <n v="486"/>
    <d v="2026-02-27T16:00:53"/>
  </r>
  <r>
    <n v="24632"/>
    <x v="5"/>
    <n v="51015797"/>
    <n v="79.892974179415489"/>
    <s v="PLATINO"/>
    <n v="497"/>
    <d v="2026-02-27T16:00:53"/>
  </r>
  <r>
    <n v="24633"/>
    <x v="5"/>
    <n v="51014782"/>
    <n v="80.279088654165719"/>
    <s v="PLATINO"/>
    <n v="481"/>
    <d v="2026-02-27T16:00:53"/>
  </r>
  <r>
    <n v="24634"/>
    <x v="5"/>
    <n v="51013077"/>
    <n v="81.565947161596171"/>
    <s v="PLATINO"/>
    <n v="435"/>
    <d v="2026-02-27T16:00:53"/>
  </r>
  <r>
    <n v="24635"/>
    <x v="5"/>
    <n v="51002539"/>
    <n v="19.09176915550114"/>
    <s v="BRONCE"/>
    <n v="974"/>
    <d v="2026-02-27T16:00:53"/>
  </r>
  <r>
    <n v="24636"/>
    <x v="5"/>
    <n v="51031806"/>
    <n v="45.612854018038128"/>
    <s v="PLATA"/>
    <n v="762"/>
    <d v="2026-02-27T16:00:53"/>
  </r>
  <r>
    <n v="24637"/>
    <x v="5"/>
    <n v="51044410"/>
    <n v="65.548800736834139"/>
    <s v="ORO"/>
    <n v="661"/>
    <d v="2026-02-27T16:00:53"/>
  </r>
  <r>
    <n v="24638"/>
    <x v="5"/>
    <n v="51033248"/>
    <n v="19.089469445217389"/>
    <s v="BRONCE"/>
    <n v="976"/>
    <d v="2026-02-27T16:00:53"/>
  </r>
  <r>
    <n v="24639"/>
    <x v="5"/>
    <n v="51025318"/>
    <n v="84.212246453714783"/>
    <s v="PLATINO"/>
    <n v="312"/>
    <d v="2026-02-27T16:00:53"/>
  </r>
  <r>
    <n v="24640"/>
    <x v="5"/>
    <n v="51031687"/>
    <n v="79.971489947531211"/>
    <s v="PLATINO"/>
    <n v="495"/>
    <d v="2026-02-27T16:00:53"/>
  </r>
  <r>
    <n v="24641"/>
    <x v="5"/>
    <n v="51055861"/>
    <n v="50.783415121295903"/>
    <s v="PLATA"/>
    <n v="748"/>
    <d v="2026-02-27T16:00:53"/>
  </r>
  <r>
    <n v="24642"/>
    <x v="5"/>
    <n v="51019407"/>
    <n v="58.278769970767982"/>
    <s v="ORO"/>
    <n v="725"/>
    <d v="2026-02-27T16:00:53"/>
  </r>
  <r>
    <n v="24643"/>
    <x v="5"/>
    <n v="51012411"/>
    <n v="63.07991672882693"/>
    <s v="ORO"/>
    <n v="698"/>
    <d v="2026-02-27T16:00:53"/>
  </r>
  <r>
    <n v="24644"/>
    <x v="5"/>
    <n v="51020171"/>
    <n v="19.06804244614391"/>
    <s v="BRONCE"/>
    <n v="980"/>
    <d v="2026-02-27T16:00:53"/>
  </r>
  <r>
    <n v="24645"/>
    <x v="5"/>
    <n v="51029488"/>
    <n v="43.175092165975357"/>
    <s v="PLATA"/>
    <n v="768"/>
    <d v="2026-02-27T16:00:53"/>
  </r>
  <r>
    <n v="24646"/>
    <x v="5"/>
    <n v="51017633"/>
    <n v="80.779709657314697"/>
    <s v="PLATINO"/>
    <n v="464"/>
    <d v="2026-02-27T16:00:53"/>
  </r>
  <r>
    <n v="24647"/>
    <x v="5"/>
    <n v="51056663"/>
    <n v="79.960004868047832"/>
    <s v="PLATINO"/>
    <n v="496"/>
    <d v="2026-02-27T16:00:53"/>
  </r>
  <r>
    <n v="24648"/>
    <x v="5"/>
    <n v="51026063"/>
    <n v="83.177406315790876"/>
    <s v="PLATINO"/>
    <n v="365"/>
    <d v="2026-02-27T16:00:53"/>
  </r>
  <r>
    <n v="24649"/>
    <x v="5"/>
    <n v="51043995"/>
    <n v="79.627174251930782"/>
    <s v="PLATINO"/>
    <n v="503"/>
    <d v="2026-02-27T16:00:53"/>
  </r>
  <r>
    <n v="24650"/>
    <x v="5"/>
    <n v="51011074"/>
    <n v="41.205719459173842"/>
    <s v="PLATA"/>
    <n v="774"/>
    <d v="2026-02-27T16:00:53"/>
  </r>
  <r>
    <n v="24651"/>
    <x v="5"/>
    <n v="51003225"/>
    <n v="52.712087340916213"/>
    <s v="PLATA"/>
    <n v="740"/>
    <d v="2026-02-27T16:00:53"/>
  </r>
  <r>
    <n v="24652"/>
    <x v="5"/>
    <n v="51024966"/>
    <n v="79.205697013953838"/>
    <s v="PLATINO"/>
    <n v="519"/>
    <d v="2026-02-27T16:00:53"/>
  </r>
  <r>
    <n v="24653"/>
    <x v="5"/>
    <n v="51038673"/>
    <n v="19.029321365139801"/>
    <s v="BRONCE"/>
    <n v="986"/>
    <d v="2026-02-27T16:00:53"/>
  </r>
  <r>
    <n v="24654"/>
    <x v="5"/>
    <n v="51013271"/>
    <n v="68.173420285694178"/>
    <s v="ORO"/>
    <n v="642"/>
    <d v="2026-02-27T16:00:53"/>
  </r>
  <r>
    <n v="24655"/>
    <x v="5"/>
    <n v="51038894"/>
    <n v="71.048130047960186"/>
    <s v="ORO"/>
    <n v="610"/>
    <d v="2026-02-27T16:00:53"/>
  </r>
  <r>
    <n v="24656"/>
    <x v="5"/>
    <n v="51021843"/>
    <n v="61.881320923695782"/>
    <s v="ORO"/>
    <n v="709"/>
    <d v="2026-02-27T16:00:53"/>
  </r>
  <r>
    <n v="24657"/>
    <x v="5"/>
    <n v="51024109"/>
    <n v="72.222850768203884"/>
    <s v="ORO"/>
    <n v="596"/>
    <d v="2026-02-27T16:00:53"/>
  </r>
  <r>
    <n v="24658"/>
    <x v="5"/>
    <n v="51056159"/>
    <n v="79.609828346555872"/>
    <s v="PLATINO"/>
    <n v="505"/>
    <d v="2026-02-27T16:00:53"/>
  </r>
  <r>
    <n v="24659"/>
    <x v="5"/>
    <n v="51036981"/>
    <n v="80.240951037595266"/>
    <s v="PLATINO"/>
    <n v="485"/>
    <d v="2026-02-27T16:00:53"/>
  </r>
  <r>
    <n v="24660"/>
    <x v="5"/>
    <n v="51032519"/>
    <n v="81.329450654782832"/>
    <s v="PLATINO"/>
    <n v="448"/>
    <d v="2026-02-27T16:00:53"/>
  </r>
  <r>
    <n v="24661"/>
    <x v="5"/>
    <n v="51055519"/>
    <n v="30.931283493452039"/>
    <s v="PLATA"/>
    <n v="805"/>
    <d v="2026-02-27T16:00:53"/>
  </r>
  <r>
    <n v="24662"/>
    <x v="5"/>
    <n v="51032969"/>
    <n v="80.705089515960168"/>
    <s v="PLATINO"/>
    <n v="466"/>
    <d v="2026-02-27T16:00:53"/>
  </r>
  <r>
    <n v="24663"/>
    <x v="5"/>
    <n v="51017587"/>
    <n v="69.896077616303785"/>
    <s v="ORO"/>
    <n v="618"/>
    <d v="2026-02-27T16:00:53"/>
  </r>
  <r>
    <n v="24664"/>
    <x v="5"/>
    <n v="51018214"/>
    <n v="64.106291892212212"/>
    <s v="ORO"/>
    <n v="686"/>
    <d v="2026-02-27T16:00:53"/>
  </r>
  <r>
    <n v="24665"/>
    <x v="5"/>
    <n v="51016661"/>
    <n v="80.23670982143004"/>
    <s v="PLATINO"/>
    <n v="487"/>
    <d v="2026-02-27T16:00:53"/>
  </r>
  <r>
    <n v="24666"/>
    <x v="5"/>
    <n v="51002296"/>
    <n v="78.949438326365566"/>
    <s v="PLATINO"/>
    <n v="525"/>
    <d v="2026-02-27T16:00:53"/>
  </r>
  <r>
    <n v="24667"/>
    <x v="5"/>
    <n v="51016998"/>
    <n v="18.967623384284941"/>
    <s v="BRONCE"/>
    <n v="988"/>
    <d v="2026-02-27T16:00:53"/>
  </r>
  <r>
    <n v="24668"/>
    <x v="5"/>
    <n v="51005325"/>
    <n v="78.774784925846163"/>
    <s v="PLATINO"/>
    <n v="530"/>
    <d v="2026-02-27T16:00:53"/>
  </r>
  <r>
    <n v="24669"/>
    <x v="5"/>
    <n v="51011937"/>
    <n v="79.386805822890594"/>
    <s v="PLATINO"/>
    <n v="513"/>
    <d v="2026-02-27T16:00:53"/>
  </r>
  <r>
    <n v="24670"/>
    <x v="5"/>
    <n v="51033191"/>
    <n v="40.916871730609117"/>
    <s v="PLATA"/>
    <n v="776"/>
    <d v="2026-02-27T16:00:53"/>
  </r>
  <r>
    <n v="24671"/>
    <x v="5"/>
    <n v="51032560"/>
    <n v="78.710149343225595"/>
    <s v="PLATINO"/>
    <n v="533"/>
    <d v="2026-02-27T16:00:53"/>
  </r>
  <r>
    <n v="24672"/>
    <x v="5"/>
    <n v="51056302"/>
    <n v="64.228351868281436"/>
    <s v="ORO"/>
    <n v="681"/>
    <d v="2026-02-27T16:00:53"/>
  </r>
  <r>
    <n v="24673"/>
    <x v="5"/>
    <n v="51032659"/>
    <n v="79.127946490284629"/>
    <s v="PLATINO"/>
    <n v="521"/>
    <d v="2026-02-27T16:00:53"/>
  </r>
  <r>
    <n v="24674"/>
    <x v="5"/>
    <n v="51017129"/>
    <n v="81.348712881407081"/>
    <s v="PLATINO"/>
    <n v="446"/>
    <d v="2026-02-27T16:00:53"/>
  </r>
  <r>
    <n v="24675"/>
    <x v="5"/>
    <n v="51036191"/>
    <n v="79.380486765131252"/>
    <s v="PLATINO"/>
    <n v="514"/>
    <d v="2026-02-27T16:00:53"/>
  </r>
  <r>
    <n v="24676"/>
    <x v="5"/>
    <n v="51011562"/>
    <n v="80.83594443311145"/>
    <s v="PLATINO"/>
    <n v="462"/>
    <d v="2026-02-27T16:00:53"/>
  </r>
  <r>
    <n v="24677"/>
    <x v="5"/>
    <n v="51018346"/>
    <n v="79.575089376556605"/>
    <s v="PLATINO"/>
    <n v="507"/>
    <d v="2026-02-27T16:00:53"/>
  </r>
  <r>
    <n v="24678"/>
    <x v="5"/>
    <n v="51042514"/>
    <n v="79.105842432352603"/>
    <s v="PLATINO"/>
    <n v="522"/>
    <d v="2026-02-27T16:00:53"/>
  </r>
  <r>
    <n v="24679"/>
    <x v="5"/>
    <n v="51056906"/>
    <n v="67.081171196465533"/>
    <s v="ORO"/>
    <n v="650"/>
    <d v="2026-02-27T16:00:53"/>
  </r>
  <r>
    <n v="24680"/>
    <x v="5"/>
    <n v="51043375"/>
    <n v="79.371147098262725"/>
    <s v="PLATINO"/>
    <n v="515"/>
    <d v="2026-02-27T16:00:53"/>
  </r>
  <r>
    <n v="24681"/>
    <x v="5"/>
    <n v="51055691"/>
    <n v="67.590857891671845"/>
    <s v="ORO"/>
    <n v="647"/>
    <d v="2026-02-27T16:00:53"/>
  </r>
  <r>
    <n v="24682"/>
    <x v="5"/>
    <n v="51018958"/>
    <n v="79.660320563507597"/>
    <s v="PLATINO"/>
    <n v="502"/>
    <d v="2026-02-27T16:00:53"/>
  </r>
  <r>
    <n v="24683"/>
    <x v="5"/>
    <n v="51054903"/>
    <n v="76.639823899839172"/>
    <s v="PLATINO"/>
    <n v="562"/>
    <d v="2026-02-27T16:00:53"/>
  </r>
  <r>
    <n v="24684"/>
    <x v="5"/>
    <n v="51022084"/>
    <n v="80.395755841766061"/>
    <s v="PLATINO"/>
    <n v="474"/>
    <d v="2026-02-27T16:00:53"/>
  </r>
  <r>
    <n v="24685"/>
    <x v="5"/>
    <n v="51019202"/>
    <n v="61.5261769474115"/>
    <s v="ORO"/>
    <n v="714"/>
    <d v="2026-02-27T16:00:53"/>
  </r>
  <r>
    <n v="24686"/>
    <x v="5"/>
    <n v="51054920"/>
    <n v="18.854163431433211"/>
    <s v="BRONCE"/>
    <n v="990"/>
    <d v="2026-02-27T16:00:53"/>
  </r>
  <r>
    <n v="24687"/>
    <x v="5"/>
    <n v="51010663"/>
    <n v="69.482671338914827"/>
    <s v="ORO"/>
    <n v="624"/>
    <d v="2026-02-27T16:00:53"/>
  </r>
  <r>
    <n v="24688"/>
    <x v="5"/>
    <n v="51016866"/>
    <n v="18.941241574302289"/>
    <s v="BRONCE"/>
    <n v="989"/>
    <d v="2026-02-27T16:00:53"/>
  </r>
  <r>
    <n v="24689"/>
    <x v="5"/>
    <n v="51030184"/>
    <n v="40.321750218208159"/>
    <s v="PLATA"/>
    <n v="779"/>
    <d v="2026-02-27T16:00:53"/>
  </r>
  <r>
    <n v="24690"/>
    <x v="5"/>
    <n v="51015428"/>
    <n v="78.501118382170546"/>
    <s v="PLATINO"/>
    <n v="537"/>
    <d v="2026-02-27T16:00:53"/>
  </r>
  <r>
    <n v="24691"/>
    <x v="5"/>
    <n v="51036557"/>
    <n v="19.066450352969259"/>
    <s v="BRONCE"/>
    <n v="981"/>
    <d v="2026-02-27T16:00:53"/>
  </r>
  <r>
    <n v="24692"/>
    <x v="5"/>
    <n v="51056175"/>
    <n v="19.08186048334721"/>
    <s v="BRONCE"/>
    <n v="977"/>
    <d v="2026-02-27T16:00:53"/>
  </r>
  <r>
    <n v="24693"/>
    <x v="5"/>
    <n v="51039190"/>
    <n v="69.236972610051964"/>
    <s v="ORO"/>
    <n v="627"/>
    <d v="2026-02-27T16:00:53"/>
  </r>
  <r>
    <n v="24694"/>
    <x v="5"/>
    <n v="51056604"/>
    <n v="47.359313568335821"/>
    <s v="PLATA"/>
    <n v="758"/>
    <d v="2026-02-27T16:00:53"/>
  </r>
  <r>
    <n v="24695"/>
    <x v="5"/>
    <n v="51021789"/>
    <n v="63.220123843999872"/>
    <s v="ORO"/>
    <n v="695"/>
    <d v="2026-02-27T16:00:53"/>
  </r>
  <r>
    <n v="24696"/>
    <x v="5"/>
    <n v="51056795"/>
    <n v="45.159631092540451"/>
    <s v="PLATA"/>
    <n v="763"/>
    <d v="2026-02-27T16:00:53"/>
  </r>
  <r>
    <n v="24697"/>
    <x v="5"/>
    <n v="51056931"/>
    <n v="19.18919144936498"/>
    <s v="BRONCE"/>
    <n v="966"/>
    <d v="2026-02-27T16:00:53"/>
  </r>
  <r>
    <n v="24698"/>
    <x v="5"/>
    <n v="51014120"/>
    <n v="63.32850806540997"/>
    <s v="ORO"/>
    <n v="694"/>
    <d v="2026-02-27T16:00:53"/>
  </r>
  <r>
    <n v="24699"/>
    <x v="5"/>
    <n v="51036182"/>
    <n v="46.392957912127002"/>
    <s v="PLATA"/>
    <n v="759"/>
    <d v="2026-02-27T16:00:53"/>
  </r>
  <r>
    <n v="24700"/>
    <x v="5"/>
    <n v="51011465"/>
    <n v="19.233277694149649"/>
    <s v="BRONCE"/>
    <n v="964"/>
    <d v="2026-02-27T16:00:53"/>
  </r>
  <r>
    <n v="24701"/>
    <x v="5"/>
    <n v="51006151"/>
    <n v="68.48763570969362"/>
    <s v="ORO"/>
    <n v="638"/>
    <d v="2026-02-27T16:00:53"/>
  </r>
  <r>
    <n v="24702"/>
    <x v="5"/>
    <n v="51033418"/>
    <n v="31.92286205956314"/>
    <s v="PLATA"/>
    <n v="804"/>
    <d v="2026-02-27T16:00:53"/>
  </r>
  <r>
    <n v="24703"/>
    <x v="5"/>
    <n v="51007841"/>
    <n v="36.833753681999497"/>
    <s v="PLATA"/>
    <n v="786"/>
    <d v="2026-02-27T16:00:53"/>
  </r>
  <r>
    <n v="24704"/>
    <x v="5"/>
    <n v="51016602"/>
    <n v="19.195557565659179"/>
    <s v="BRONCE"/>
    <n v="965"/>
    <d v="2026-02-27T16:00:53"/>
  </r>
  <r>
    <n v="24705"/>
    <x v="5"/>
    <n v="51036077"/>
    <n v="19.183685048281699"/>
    <s v="BRONCE"/>
    <n v="967"/>
    <d v="2026-02-27T16:00:53"/>
  </r>
  <r>
    <n v="24706"/>
    <x v="5"/>
    <n v="51013662"/>
    <n v="49.547364702995488"/>
    <s v="PLATA"/>
    <n v="752"/>
    <d v="2026-02-27T16:00:53"/>
  </r>
  <r>
    <n v="24707"/>
    <x v="5"/>
    <n v="51010248"/>
    <n v="78.220731142001739"/>
    <s v="PLATINO"/>
    <n v="540"/>
    <d v="2026-02-27T16:00:53"/>
  </r>
  <r>
    <n v="24708"/>
    <x v="5"/>
    <n v="51055764"/>
    <n v="79.739586760623027"/>
    <s v="PLATINO"/>
    <n v="501"/>
    <d v="2026-02-27T16:00:53"/>
  </r>
  <r>
    <n v="24709"/>
    <x v="5"/>
    <n v="51012496"/>
    <n v="71.271996323157424"/>
    <s v="ORO"/>
    <n v="607"/>
    <d v="2026-02-27T16:00:53"/>
  </r>
  <r>
    <n v="24710"/>
    <x v="5"/>
    <n v="51016874"/>
    <n v="86.035679735295773"/>
    <s v="PLATINO"/>
    <n v="222"/>
    <d v="2026-02-27T16:00:53"/>
  </r>
  <r>
    <n v="24711"/>
    <x v="5"/>
    <n v="51011481"/>
    <n v="47.796421711478573"/>
    <s v="PLATA"/>
    <n v="755"/>
    <d v="2026-02-27T16:00:53"/>
  </r>
  <r>
    <n v="24712"/>
    <x v="5"/>
    <n v="51042654"/>
    <n v="45.067041075777297"/>
    <s v="PLATA"/>
    <n v="764"/>
    <d v="2026-02-27T16:00:53"/>
  </r>
  <r>
    <n v="24713"/>
    <x v="5"/>
    <n v="51057074"/>
    <n v="70.380347549772111"/>
    <s v="ORO"/>
    <n v="615"/>
    <d v="2026-02-27T16:00:53"/>
  </r>
  <r>
    <n v="24714"/>
    <x v="5"/>
    <n v="51042913"/>
    <n v="80.579468071766655"/>
    <s v="PLATINO"/>
    <n v="468"/>
    <d v="2026-02-27T16:00:53"/>
  </r>
  <r>
    <n v="24715"/>
    <x v="5"/>
    <n v="51025857"/>
    <n v="44.0017347371315"/>
    <s v="PLATA"/>
    <n v="766"/>
    <d v="2026-02-27T16:00:53"/>
  </r>
  <r>
    <n v="24716"/>
    <x v="5"/>
    <n v="51026071"/>
    <n v="69.006958270423766"/>
    <s v="ORO"/>
    <n v="631"/>
    <d v="2026-02-27T16:00:53"/>
  </r>
  <r>
    <n v="24717"/>
    <x v="5"/>
    <n v="51017595"/>
    <n v="63.336349354740513"/>
    <s v="ORO"/>
    <n v="693"/>
    <d v="2026-02-27T16:00:53"/>
  </r>
  <r>
    <n v="24718"/>
    <x v="5"/>
    <n v="51014707"/>
    <n v="19.474164543747051"/>
    <s v="BRONCE"/>
    <n v="937"/>
    <d v="2026-02-27T16:00:53"/>
  </r>
  <r>
    <n v="24719"/>
    <x v="5"/>
    <n v="51032390"/>
    <n v="19.431882086458259"/>
    <s v="BRONCE"/>
    <n v="946"/>
    <d v="2026-02-27T16:00:53"/>
  </r>
  <r>
    <n v="24720"/>
    <x v="5"/>
    <n v="51030249"/>
    <n v="78.711400465906408"/>
    <s v="PLATINO"/>
    <n v="532"/>
    <d v="2026-02-27T16:00:53"/>
  </r>
  <r>
    <n v="24721"/>
    <x v="5"/>
    <n v="51029518"/>
    <n v="79.280098245520165"/>
    <s v="PLATINO"/>
    <n v="518"/>
    <d v="2026-02-27T16:00:53"/>
  </r>
  <r>
    <n v="24722"/>
    <x v="5"/>
    <n v="51044011"/>
    <n v="19.44638118010036"/>
    <s v="BRONCE"/>
    <n v="944"/>
    <d v="2026-02-27T16:00:53"/>
  </r>
  <r>
    <n v="24723"/>
    <x v="5"/>
    <n v="51013956"/>
    <n v="19.476887216994609"/>
    <s v="BRONCE"/>
    <n v="936"/>
    <d v="2026-02-27T16:00:53"/>
  </r>
  <r>
    <n v="24724"/>
    <x v="5"/>
    <n v="51023846"/>
    <n v="81.252191493588185"/>
    <s v="PLATINO"/>
    <n v="450"/>
    <d v="2026-02-27T16:00:53"/>
  </r>
  <r>
    <n v="24725"/>
    <x v="5"/>
    <n v="51019563"/>
    <n v="51.993699443680228"/>
    <s v="PLATA"/>
    <n v="743"/>
    <d v="2026-02-27T16:00:53"/>
  </r>
  <r>
    <n v="24726"/>
    <x v="5"/>
    <n v="51030711"/>
    <n v="79.395155251422722"/>
    <s v="PLATINO"/>
    <n v="512"/>
    <d v="2026-02-27T16:00:53"/>
  </r>
  <r>
    <n v="24727"/>
    <x v="5"/>
    <n v="51056574"/>
    <n v="82.658632986614606"/>
    <s v="PLATINO"/>
    <n v="388"/>
    <d v="2026-02-27T16:00:53"/>
  </r>
  <r>
    <n v="24728"/>
    <x v="5"/>
    <n v="51056957"/>
    <n v="81.356811294065892"/>
    <s v="PLATINO"/>
    <n v="444"/>
    <d v="2026-02-27T16:00:53"/>
  </r>
  <r>
    <n v="24729"/>
    <x v="5"/>
    <n v="51055331"/>
    <n v="19.313715809744171"/>
    <s v="BRONCE"/>
    <n v="959"/>
    <d v="2026-02-27T16:00:53"/>
  </r>
  <r>
    <n v="24730"/>
    <x v="5"/>
    <n v="51018397"/>
    <n v="19.3147075104458"/>
    <s v="BRONCE"/>
    <n v="958"/>
    <d v="2026-02-27T16:00:53"/>
  </r>
  <r>
    <n v="24731"/>
    <x v="5"/>
    <n v="51025148"/>
    <n v="19.278966639203599"/>
    <s v="BRONCE"/>
    <n v="962"/>
    <d v="2026-02-27T16:00:53"/>
  </r>
  <r>
    <n v="24732"/>
    <x v="5"/>
    <n v="51005392"/>
    <n v="19.26943885325333"/>
    <s v="BRONCE"/>
    <n v="963"/>
    <d v="2026-02-27T16:00:53"/>
  </r>
  <r>
    <n v="24733"/>
    <x v="5"/>
    <n v="51023153"/>
    <n v="41.921786671203407"/>
    <s v="PLATA"/>
    <n v="773"/>
    <d v="2026-02-27T16:00:53"/>
  </r>
  <r>
    <n v="24734"/>
    <x v="5"/>
    <n v="51024095"/>
    <n v="73.438938972650902"/>
    <s v="ORO"/>
    <n v="584"/>
    <d v="2026-02-27T16:00:53"/>
  </r>
  <r>
    <n v="24735"/>
    <x v="5"/>
    <n v="51002024"/>
    <n v="77.837787483816868"/>
    <s v="PLATINO"/>
    <n v="547"/>
    <d v="2026-02-27T16:00:53"/>
  </r>
  <r>
    <n v="24736"/>
    <x v="5"/>
    <n v="51056311"/>
    <n v="81.522138918902499"/>
    <s v="PLATINO"/>
    <n v="438"/>
    <d v="2026-02-27T16:00:53"/>
  </r>
  <r>
    <n v="24737"/>
    <x v="5"/>
    <n v="51016467"/>
    <n v="77.850732997444879"/>
    <s v="PLATINO"/>
    <n v="546"/>
    <d v="2026-02-27T16:00:53"/>
  </r>
  <r>
    <n v="24738"/>
    <x v="5"/>
    <n v="51021614"/>
    <n v="19.280204735504611"/>
    <s v="BRONCE"/>
    <n v="961"/>
    <d v="2026-02-27T16:00:53"/>
  </r>
  <r>
    <n v="24739"/>
    <x v="5"/>
    <n v="51042506"/>
    <n v="78.810867662123954"/>
    <s v="PLATINO"/>
    <n v="529"/>
    <d v="2026-02-27T16:00:53"/>
  </r>
  <r>
    <n v="24740"/>
    <x v="5"/>
    <n v="51023412"/>
    <n v="79.33186890274628"/>
    <s v="PLATINO"/>
    <n v="516"/>
    <d v="2026-02-27T16:00:53"/>
  </r>
  <r>
    <n v="24741"/>
    <x v="5"/>
    <n v="51033116"/>
    <n v="74.114266868135218"/>
    <s v="ORO"/>
    <n v="580"/>
    <d v="2026-02-27T16:00:53"/>
  </r>
  <r>
    <n v="24742"/>
    <x v="5"/>
    <n v="51003292"/>
    <n v="68.192881888936626"/>
    <s v="ORO"/>
    <n v="641"/>
    <d v="2026-02-27T16:00:53"/>
  </r>
  <r>
    <n v="24743"/>
    <x v="5"/>
    <n v="51014251"/>
    <n v="19.381674869941769"/>
    <s v="BRONCE"/>
    <n v="955"/>
    <d v="2026-02-27T16:00:53"/>
  </r>
  <r>
    <n v="24744"/>
    <x v="5"/>
    <n v="51042999"/>
    <n v="19.426918654131018"/>
    <s v="BRONCE"/>
    <n v="948"/>
    <d v="2026-02-27T16:00:53"/>
  </r>
  <r>
    <n v="24745"/>
    <x v="5"/>
    <n v="51041712"/>
    <n v="61.85391133612535"/>
    <s v="ORO"/>
    <n v="711"/>
    <d v="2026-02-27T16:00:53"/>
  </r>
  <r>
    <n v="24746"/>
    <x v="5"/>
    <n v="51023293"/>
    <n v="19.43097485980222"/>
    <s v="BRONCE"/>
    <n v="947"/>
    <d v="2026-02-27T16:00:53"/>
  </r>
  <r>
    <n v="24747"/>
    <x v="5"/>
    <n v="51033507"/>
    <n v="19.521020472901419"/>
    <s v="BRONCE"/>
    <n v="935"/>
    <d v="2026-02-27T16:00:53"/>
  </r>
  <r>
    <n v="24748"/>
    <x v="5"/>
    <n v="51013875"/>
    <n v="79.420210022655908"/>
    <s v="PLATINO"/>
    <n v="511"/>
    <d v="2026-02-27T16:00:53"/>
  </r>
  <r>
    <n v="24749"/>
    <x v="5"/>
    <n v="51013395"/>
    <n v="19.456956795682579"/>
    <s v="BRONCE"/>
    <n v="940"/>
    <d v="2026-02-27T16:00:53"/>
  </r>
  <r>
    <n v="24750"/>
    <x v="5"/>
    <n v="51056108"/>
    <n v="72.883077124799399"/>
    <s v="ORO"/>
    <n v="587"/>
    <d v="2026-02-27T16:00:53"/>
  </r>
  <r>
    <n v="24751"/>
    <x v="5"/>
    <n v="51055837"/>
    <n v="19.68804317380204"/>
    <s v="BRONCE"/>
    <n v="919"/>
    <d v="2026-02-27T16:00:53"/>
  </r>
  <r>
    <n v="24752"/>
    <x v="5"/>
    <n v="51056248"/>
    <n v="19.715704319592689"/>
    <s v="BRONCE"/>
    <n v="914"/>
    <d v="2026-02-27T16:00:53"/>
  </r>
  <r>
    <n v="24753"/>
    <x v="5"/>
    <n v="51025245"/>
    <n v="78.897051228936348"/>
    <s v="PLATINO"/>
    <n v="526"/>
    <d v="2026-02-27T16:00:53"/>
  </r>
  <r>
    <n v="24754"/>
    <x v="5"/>
    <n v="51016360"/>
    <n v="78.252676186529811"/>
    <s v="PLATINO"/>
    <n v="539"/>
    <d v="2026-02-27T16:00:53"/>
  </r>
  <r>
    <n v="24755"/>
    <x v="5"/>
    <n v="51040881"/>
    <n v="19.45413805898238"/>
    <s v="BRONCE"/>
    <n v="941"/>
    <d v="2026-02-27T16:00:53"/>
  </r>
  <r>
    <n v="24756"/>
    <x v="5"/>
    <n v="51031776"/>
    <n v="82.154847076419983"/>
    <s v="PLATINO"/>
    <n v="409"/>
    <d v="2026-02-27T16:00:53"/>
  </r>
  <r>
    <n v="24757"/>
    <x v="5"/>
    <n v="51013166"/>
    <n v="62.635318243729877"/>
    <s v="ORO"/>
    <n v="704"/>
    <d v="2026-02-27T16:00:53"/>
  </r>
  <r>
    <n v="24758"/>
    <x v="5"/>
    <n v="51032918"/>
    <n v="19.56864609290276"/>
    <s v="BRONCE"/>
    <n v="931"/>
    <d v="2026-02-27T16:00:53"/>
  </r>
  <r>
    <n v="24759"/>
    <x v="5"/>
    <n v="51025717"/>
    <n v="19.540819189921731"/>
    <s v="BRONCE"/>
    <n v="933"/>
    <d v="2026-02-27T16:00:53"/>
  </r>
  <r>
    <n v="24760"/>
    <x v="5"/>
    <n v="51033001"/>
    <n v="77.745416496134027"/>
    <s v="PLATINO"/>
    <n v="549"/>
    <d v="2026-02-27T16:00:53"/>
  </r>
  <r>
    <n v="24761"/>
    <x v="5"/>
    <n v="51012674"/>
    <n v="80.599784461653925"/>
    <s v="PLATINO"/>
    <n v="467"/>
    <d v="2026-02-27T16:00:53"/>
  </r>
  <r>
    <n v="24762"/>
    <x v="5"/>
    <n v="51007743"/>
    <n v="79.994396812007295"/>
    <s v="PLATINO"/>
    <n v="492"/>
    <d v="2026-02-27T16:00:53"/>
  </r>
  <r>
    <n v="24763"/>
    <x v="5"/>
    <n v="51032705"/>
    <n v="19.419390660701399"/>
    <s v="BRONCE"/>
    <n v="951"/>
    <d v="2026-02-27T16:00:53"/>
  </r>
  <r>
    <n v="24764"/>
    <x v="5"/>
    <n v="51041887"/>
    <n v="66.511231373029432"/>
    <s v="ORO"/>
    <n v="658"/>
    <d v="2026-02-27T16:00:53"/>
  </r>
  <r>
    <n v="24765"/>
    <x v="5"/>
    <n v="51030826"/>
    <n v="79.442972567943514"/>
    <s v="PLATINO"/>
    <n v="510"/>
    <d v="2026-02-27T16:00:53"/>
  </r>
  <r>
    <n v="24766"/>
    <x v="5"/>
    <n v="51011007"/>
    <n v="57.817292564456437"/>
    <s v="ORO"/>
    <n v="726"/>
    <d v="2026-02-27T16:00:53"/>
  </r>
  <r>
    <n v="24767"/>
    <x v="5"/>
    <n v="51007514"/>
    <n v="19.77475350228374"/>
    <s v="BRONCE"/>
    <n v="910"/>
    <d v="2026-02-27T16:00:53"/>
  </r>
  <r>
    <n v="24768"/>
    <x v="5"/>
    <n v="51024281"/>
    <n v="19.7841327828685"/>
    <s v="BRONCE"/>
    <n v="907"/>
    <d v="2026-02-27T16:00:53"/>
  </r>
  <r>
    <n v="24769"/>
    <x v="5"/>
    <n v="51020961"/>
    <n v="69.805279577479297"/>
    <s v="ORO"/>
    <n v="621"/>
    <d v="2026-02-27T16:00:53"/>
  </r>
  <r>
    <n v="24770"/>
    <x v="5"/>
    <n v="51022718"/>
    <n v="78.97439368999818"/>
    <s v="PLATINO"/>
    <n v="524"/>
    <d v="2026-02-27T16:00:53"/>
  </r>
  <r>
    <n v="24771"/>
    <x v="5"/>
    <n v="51039815"/>
    <n v="19.901920057097751"/>
    <s v="BRONCE"/>
    <n v="878"/>
    <d v="2026-02-27T16:00:53"/>
  </r>
  <r>
    <n v="24772"/>
    <x v="5"/>
    <n v="51023277"/>
    <n v="19.98474589210559"/>
    <s v="BRONCE"/>
    <n v="858"/>
    <d v="2026-02-27T16:00:53"/>
  </r>
  <r>
    <n v="24773"/>
    <x v="5"/>
    <n v="51056353"/>
    <n v="81.338000000000008"/>
    <s v="PLATINO"/>
    <n v="447"/>
    <d v="2026-02-27T16:00:53"/>
  </r>
  <r>
    <n v="24774"/>
    <x v="5"/>
    <n v="51001419"/>
    <n v="78.616532490190636"/>
    <s v="PLATINO"/>
    <n v="535"/>
    <d v="2026-02-27T16:00:53"/>
  </r>
  <r>
    <n v="24775"/>
    <x v="5"/>
    <n v="51018001"/>
    <n v="19.665502728249489"/>
    <s v="BRONCE"/>
    <n v="921"/>
    <d v="2026-02-27T16:00:53"/>
  </r>
  <r>
    <n v="24776"/>
    <x v="5"/>
    <n v="51020707"/>
    <n v="69.044634481439985"/>
    <s v="ORO"/>
    <n v="629"/>
    <d v="2026-02-27T16:00:53"/>
  </r>
  <r>
    <n v="24777"/>
    <x v="5"/>
    <n v="51018923"/>
    <n v="79.059339644144757"/>
    <s v="PLATINO"/>
    <n v="523"/>
    <d v="2026-02-27T16:00:53"/>
  </r>
  <r>
    <n v="24778"/>
    <x v="5"/>
    <n v="51012721"/>
    <n v="19.643456491775371"/>
    <s v="BRONCE"/>
    <n v="924"/>
    <d v="2026-02-27T16:00:53"/>
  </r>
  <r>
    <n v="24779"/>
    <x v="5"/>
    <n v="51020634"/>
    <n v="19.716580780357841"/>
    <s v="BRONCE"/>
    <n v="913"/>
    <d v="2026-02-27T16:00:53"/>
  </r>
  <r>
    <n v="24780"/>
    <x v="5"/>
    <n v="51056507"/>
    <n v="77.7098047071172"/>
    <s v="PLATINO"/>
    <n v="550"/>
    <d v="2026-02-27T16:00:53"/>
  </r>
  <r>
    <n v="24781"/>
    <x v="5"/>
    <n v="51002105"/>
    <n v="61.520606224038787"/>
    <s v="ORO"/>
    <n v="715"/>
    <d v="2026-02-27T16:00:53"/>
  </r>
  <r>
    <n v="24782"/>
    <x v="5"/>
    <n v="51055136"/>
    <n v="79.305703812343324"/>
    <s v="PLATINO"/>
    <n v="517"/>
    <d v="2026-02-27T16:00:53"/>
  </r>
  <r>
    <n v="24783"/>
    <x v="5"/>
    <n v="51008685"/>
    <n v="78.884930694234654"/>
    <s v="PLATINO"/>
    <n v="527"/>
    <d v="2026-02-27T16:00:53"/>
  </r>
  <r>
    <n v="24784"/>
    <x v="5"/>
    <n v="51055306"/>
    <n v="19.714586582897152"/>
    <s v="BRONCE"/>
    <n v="915"/>
    <d v="2026-02-27T16:00:53"/>
  </r>
  <r>
    <n v="24785"/>
    <x v="5"/>
    <n v="51024036"/>
    <n v="78.829074505673645"/>
    <s v="PLATINO"/>
    <n v="528"/>
    <d v="2026-02-27T16:00:53"/>
  </r>
  <r>
    <n v="24786"/>
    <x v="5"/>
    <n v="51011597"/>
    <n v="77.522201770094881"/>
    <s v="PLATINO"/>
    <n v="555"/>
    <d v="2026-02-27T16:00:53"/>
  </r>
  <r>
    <n v="24787"/>
    <x v="5"/>
    <n v="51043260"/>
    <n v="78.278888492153342"/>
    <s v="PLATINO"/>
    <n v="538"/>
    <d v="2026-02-27T16:00:53"/>
  </r>
  <r>
    <n v="24788"/>
    <x v="5"/>
    <n v="51004035"/>
    <n v="59.220392727510337"/>
    <s v="ORO"/>
    <n v="721"/>
    <d v="2026-02-27T16:00:53"/>
  </r>
  <r>
    <n v="24789"/>
    <x v="5"/>
    <n v="51043537"/>
    <n v="26.731923919801648"/>
    <s v="BRONCE"/>
    <n v="817"/>
    <d v="2026-02-27T16:00:53"/>
  </r>
  <r>
    <n v="24790"/>
    <x v="5"/>
    <n v="51056752"/>
    <n v="79.578630090518885"/>
    <s v="PLATINO"/>
    <n v="506"/>
    <d v="2026-02-27T16:00:53"/>
  </r>
  <r>
    <n v="24791"/>
    <x v="5"/>
    <n v="51031857"/>
    <n v="19.980624541820841"/>
    <s v="BRONCE"/>
    <n v="859"/>
    <d v="2026-02-27T16:00:53"/>
  </r>
  <r>
    <n v="24792"/>
    <x v="5"/>
    <n v="51014138"/>
    <n v="28.301216719665831"/>
    <s v="BRONCE"/>
    <n v="810"/>
    <d v="2026-02-27T16:00:53"/>
  </r>
  <r>
    <n v="24793"/>
    <x v="5"/>
    <n v="51055578"/>
    <n v="53.685088453343141"/>
    <s v="PLATA"/>
    <n v="738"/>
    <d v="2026-02-27T16:00:53"/>
  </r>
  <r>
    <n v="24794"/>
    <x v="5"/>
    <n v="51024028"/>
    <n v="19.94637164571246"/>
    <s v="BRONCE"/>
    <n v="870"/>
    <d v="2026-02-27T16:00:53"/>
  </r>
  <r>
    <n v="24795"/>
    <x v="5"/>
    <n v="51057031"/>
    <n v="54.914549667865828"/>
    <s v="PLATA"/>
    <n v="735"/>
    <d v="2026-02-27T16:00:53"/>
  </r>
  <r>
    <n v="24796"/>
    <x v="5"/>
    <n v="51011929"/>
    <n v="19.998000000000001"/>
    <s v="BRONCE"/>
    <n v="845"/>
    <d v="2026-02-27T16:00:53"/>
  </r>
  <r>
    <n v="24797"/>
    <x v="5"/>
    <n v="51017773"/>
    <n v="66.72155261036653"/>
    <s v="ORO"/>
    <n v="656"/>
    <d v="2026-02-27T16:00:53"/>
  </r>
  <r>
    <n v="24798"/>
    <x v="5"/>
    <n v="51003063"/>
    <n v="46.171212401736497"/>
    <s v="PLATA"/>
    <n v="761"/>
    <d v="2026-02-27T16:00:53"/>
  </r>
  <r>
    <n v="24799"/>
    <x v="5"/>
    <n v="51022572"/>
    <n v="20"/>
    <s v="BRONCE"/>
    <n v="821"/>
    <d v="2026-02-27T16:00:53"/>
  </r>
  <r>
    <n v="24800"/>
    <x v="5"/>
    <n v="51022343"/>
    <n v="20"/>
    <s v="BRONCE"/>
    <n v="821"/>
    <d v="2026-02-27T16:00:53"/>
  </r>
  <r>
    <n v="24801"/>
    <x v="5"/>
    <n v="51015835"/>
    <n v="79.558000000000007"/>
    <s v="PLATINO"/>
    <n v="508"/>
    <d v="2026-02-27T16:00:53"/>
  </r>
  <r>
    <n v="24802"/>
    <x v="5"/>
    <n v="51056329"/>
    <n v="19.956"/>
    <s v="BRONCE"/>
    <n v="868"/>
    <d v="2026-02-27T16:00:53"/>
  </r>
  <r>
    <n v="24803"/>
    <x v="5"/>
    <n v="51030915"/>
    <n v="19.925000000000001"/>
    <s v="BRONCE"/>
    <n v="872"/>
    <d v="2026-02-27T16:00:53"/>
  </r>
  <r>
    <n v="24804"/>
    <x v="5"/>
    <n v="51017871"/>
    <n v="19.835000000000001"/>
    <s v="BRONCE"/>
    <n v="893"/>
    <d v="2026-02-27T16:00:53"/>
  </r>
  <r>
    <n v="24805"/>
    <x v="5"/>
    <n v="51017218"/>
    <n v="78.64"/>
    <s v="PLATINO"/>
    <n v="534"/>
    <d v="2026-02-27T16:00:53"/>
  </r>
  <r>
    <n v="24806"/>
    <x v="5"/>
    <n v="51039025"/>
    <n v="20"/>
    <s v="BRONCE"/>
    <n v="821"/>
    <d v="2026-02-27T16:00:53"/>
  </r>
  <r>
    <n v="24807"/>
    <x v="5"/>
    <n v="51026497"/>
    <n v="52.227286101710938"/>
    <s v="PLATA"/>
    <n v="742"/>
    <d v="2026-02-27T16:00:53"/>
  </r>
  <r>
    <n v="24808"/>
    <x v="5"/>
    <n v="51043693"/>
    <n v="56.838760982652502"/>
    <s v="ORO"/>
    <n v="729"/>
    <d v="2026-02-27T16:00:53"/>
  </r>
  <r>
    <n v="24809"/>
    <x v="5"/>
    <n v="51001532"/>
    <n v="20"/>
    <s v="BRONCE"/>
    <n v="821"/>
    <d v="2026-02-27T16:00:53"/>
  </r>
  <r>
    <n v="24810"/>
    <x v="5"/>
    <n v="51002709"/>
    <n v="50.340291214657263"/>
    <s v="PLATA"/>
    <n v="749"/>
    <d v="2026-02-27T16:00:53"/>
  </r>
  <r>
    <n v="24811"/>
    <x v="5"/>
    <n v="51015151"/>
    <n v="32.700000000000003"/>
    <s v="PLATA"/>
    <n v="800"/>
    <d v="2026-02-27T16:00:53"/>
  </r>
  <r>
    <n v="24812"/>
    <x v="5"/>
    <n v="51009941"/>
    <n v="72.158381379133743"/>
    <s v="ORO"/>
    <n v="597"/>
    <d v="2026-02-27T16:00:53"/>
  </r>
  <r>
    <n v="24813"/>
    <x v="5"/>
    <n v="51024818"/>
    <n v="19.998000000000001"/>
    <s v="BRONCE"/>
    <n v="845"/>
    <d v="2026-02-27T16:00:53"/>
  </r>
  <r>
    <n v="24814"/>
    <x v="5"/>
    <n v="51010523"/>
    <n v="19.998000000000001"/>
    <s v="BRONCE"/>
    <n v="845"/>
    <d v="2026-02-27T16:00:53"/>
  </r>
  <r>
    <n v="24815"/>
    <x v="5"/>
    <n v="51000552"/>
    <n v="19.93"/>
    <s v="BRONCE"/>
    <n v="871"/>
    <d v="2026-02-27T16:00:53"/>
  </r>
  <r>
    <n v="24816"/>
    <x v="5"/>
    <n v="51052331"/>
    <n v="77.704999999999998"/>
    <s v="PLATINO"/>
    <n v="551"/>
    <d v="2026-02-27T16:00:53"/>
  </r>
  <r>
    <n v="24817"/>
    <x v="5"/>
    <n v="51024460"/>
    <n v="19.867536456342251"/>
    <s v="BRONCE"/>
    <n v="886"/>
    <d v="2026-02-27T16:00:53"/>
  </r>
  <r>
    <n v="24818"/>
    <x v="5"/>
    <n v="51024885"/>
    <n v="20"/>
    <s v="BRONCE"/>
    <n v="821"/>
    <d v="2026-02-27T16:00:53"/>
  </r>
  <r>
    <n v="24819"/>
    <x v="5"/>
    <n v="51005554"/>
    <n v="78.02000000000001"/>
    <s v="PLATINO"/>
    <n v="542"/>
    <d v="2026-02-27T16:00:53"/>
  </r>
  <r>
    <n v="24820"/>
    <x v="5"/>
    <n v="51024478"/>
    <n v="19.97"/>
    <s v="BRONCE"/>
    <n v="862"/>
    <d v="2026-02-27T16:00:53"/>
  </r>
  <r>
    <n v="24821"/>
    <x v="5"/>
    <n v="51012691"/>
    <n v="20"/>
    <s v="BRONCE"/>
    <n v="821"/>
    <d v="2026-02-27T16:00:53"/>
  </r>
  <r>
    <n v="24822"/>
    <x v="5"/>
    <n v="51015681"/>
    <n v="19.917999999999999"/>
    <s v="BRONCE"/>
    <n v="874"/>
    <d v="2026-02-27T16:00:53"/>
  </r>
  <r>
    <n v="24823"/>
    <x v="5"/>
    <n v="51019008"/>
    <n v="77.358000000000004"/>
    <s v="PLATINO"/>
    <n v="558"/>
    <d v="2026-02-27T16:00:53"/>
  </r>
  <r>
    <n v="24824"/>
    <x v="5"/>
    <n v="51015762"/>
    <n v="20"/>
    <s v="BRONCE"/>
    <n v="821"/>
    <d v="2026-02-27T16:00:53"/>
  </r>
  <r>
    <n v="24825"/>
    <x v="5"/>
    <n v="51017714"/>
    <n v="42.482954977640162"/>
    <s v="PLATA"/>
    <n v="770"/>
    <d v="2026-02-27T16:00:53"/>
  </r>
  <r>
    <n v="24826"/>
    <x v="5"/>
    <n v="51031997"/>
    <n v="19.995999999999999"/>
    <s v="BRONCE"/>
    <n v="853"/>
    <d v="2026-02-27T16:00:53"/>
  </r>
  <r>
    <n v="24827"/>
    <x v="5"/>
    <n v="51039181"/>
    <n v="78.099999999999994"/>
    <s v="PLATINO"/>
    <n v="541"/>
    <d v="2026-02-27T16:00:53"/>
  </r>
  <r>
    <n v="24828"/>
    <x v="5"/>
    <n v="51057121"/>
    <n v="77.578000000000003"/>
    <s v="PLATINO"/>
    <n v="553"/>
    <d v="2026-02-27T16:00:53"/>
  </r>
  <r>
    <n v="24829"/>
    <x v="5"/>
    <n v="51018290"/>
    <n v="77.92"/>
    <s v="PLATINO"/>
    <n v="544"/>
    <d v="2026-02-27T16:00:53"/>
  </r>
  <r>
    <n v="24830"/>
    <x v="5"/>
    <n v="51043561"/>
    <n v="19.998000000000001"/>
    <s v="BRONCE"/>
    <n v="845"/>
    <d v="2026-02-27T16:00:53"/>
  </r>
  <r>
    <n v="24831"/>
    <x v="5"/>
    <n v="51036964"/>
    <n v="69.009507413979605"/>
    <s v="ORO"/>
    <n v="630"/>
    <d v="2026-02-27T16:00:53"/>
  </r>
  <r>
    <n v="24832"/>
    <x v="5"/>
    <n v="51030290"/>
    <n v="77.539999999999992"/>
    <s v="PLATINO"/>
    <n v="554"/>
    <d v="2026-02-27T16:00:53"/>
  </r>
  <r>
    <n v="24833"/>
    <x v="5"/>
    <n v="51023331"/>
    <n v="19.998000000000001"/>
    <s v="BRONCE"/>
    <n v="845"/>
    <d v="2026-02-27T16:00:53"/>
  </r>
  <r>
    <n v="24834"/>
    <x v="5"/>
    <n v="51024010"/>
    <n v="20"/>
    <s v="BRONCE"/>
    <n v="821"/>
    <d v="2026-02-27T16:00:53"/>
  </r>
  <r>
    <n v="24835"/>
    <x v="5"/>
    <n v="51024664"/>
    <n v="71.530314253726658"/>
    <s v="ORO"/>
    <n v="604"/>
    <d v="2026-02-27T16:00:53"/>
  </r>
  <r>
    <n v="24836"/>
    <x v="5"/>
    <n v="51009185"/>
    <n v="20"/>
    <s v="BRONCE"/>
    <n v="821"/>
    <d v="2026-02-27T16:00:53"/>
  </r>
  <r>
    <n v="24837"/>
    <x v="5"/>
    <n v="51039424"/>
    <n v="19.97"/>
    <s v="BRONCE"/>
    <n v="862"/>
    <d v="2026-02-27T16:00:53"/>
  </r>
  <r>
    <n v="24838"/>
    <x v="5"/>
    <n v="51038941"/>
    <n v="19.988"/>
    <s v="BRONCE"/>
    <n v="856"/>
    <d v="2026-02-27T16:00:53"/>
  </r>
  <r>
    <n v="24839"/>
    <x v="5"/>
    <n v="51015126"/>
    <n v="19.998000000000001"/>
    <s v="BRONCE"/>
    <n v="845"/>
    <d v="2026-02-27T16:00:53"/>
  </r>
  <r>
    <n v="24840"/>
    <x v="5"/>
    <n v="51017234"/>
    <n v="20"/>
    <s v="BRONCE"/>
    <n v="821"/>
    <d v="2026-02-27T16:00:53"/>
  </r>
  <r>
    <n v="24841"/>
    <x v="5"/>
    <n v="51012852"/>
    <n v="20"/>
    <s v="BRONCE"/>
    <n v="821"/>
    <d v="2026-02-27T16:00:53"/>
  </r>
  <r>
    <n v="24842"/>
    <x v="5"/>
    <n v="51010396"/>
    <n v="20"/>
    <s v="BRONCE"/>
    <n v="821"/>
    <d v="2026-02-27T16:00:53"/>
  </r>
  <r>
    <n v="24843"/>
    <x v="5"/>
    <n v="51022629"/>
    <n v="59.490984410301017"/>
    <s v="ORO"/>
    <n v="720"/>
    <d v="2026-02-27T16:00:53"/>
  </r>
  <r>
    <n v="24844"/>
    <x v="5"/>
    <n v="51021274"/>
    <n v="19.966000000000001"/>
    <s v="BRONCE"/>
    <n v="866"/>
    <d v="2026-02-27T16:00:53"/>
  </r>
  <r>
    <n v="24845"/>
    <x v="5"/>
    <n v="51021819"/>
    <n v="20"/>
    <s v="BRONCE"/>
    <n v="821"/>
    <d v="2026-02-27T16:00:53"/>
  </r>
  <r>
    <n v="24846"/>
    <x v="5"/>
    <n v="51011171"/>
    <n v="19.998000000000001"/>
    <s v="BRONCE"/>
    <n v="845"/>
    <d v="2026-02-27T16:00:53"/>
  </r>
  <r>
    <n v="24847"/>
    <x v="5"/>
    <n v="51012470"/>
    <n v="61.418000000000013"/>
    <s v="ORO"/>
    <n v="716"/>
    <d v="2026-02-27T16:00:53"/>
  </r>
  <r>
    <n v="24848"/>
    <x v="5"/>
    <n v="51032713"/>
    <n v="19.998000000000001"/>
    <s v="BRONCE"/>
    <n v="845"/>
    <d v="2026-02-27T16:00:53"/>
  </r>
  <r>
    <n v="24849"/>
    <x v="5"/>
    <n v="51010744"/>
    <n v="19.041362925226458"/>
    <s v="BRONCE"/>
    <n v="985"/>
    <d v="2026-02-27T16:00:53"/>
  </r>
  <r>
    <n v="24850"/>
    <x v="5"/>
    <n v="51057546"/>
    <n v="26.36"/>
    <s v="BRONCE"/>
    <n v="820"/>
    <d v="2026-02-27T16:00:53"/>
  </r>
  <r>
    <n v="24851"/>
    <x v="5"/>
    <n v="51023889"/>
    <n v="9.990000000000002"/>
    <s v="BRONCE"/>
    <n v="1170"/>
    <d v="2026-02-27T16:00:53"/>
  </r>
  <r>
    <n v="24852"/>
    <x v="5"/>
    <n v="51031041"/>
    <n v="9.93"/>
    <s v="BRONCE"/>
    <n v="1185"/>
    <d v="2026-02-27T16:00:53"/>
  </r>
  <r>
    <n v="24853"/>
    <x v="5"/>
    <n v="51022262"/>
    <n v="9.9939999999999998"/>
    <s v="BRONCE"/>
    <n v="1169"/>
    <d v="2026-02-27T16:00:53"/>
  </r>
  <r>
    <n v="24854"/>
    <x v="5"/>
    <n v="51017731"/>
    <n v="9.9810000000000016"/>
    <s v="BRONCE"/>
    <n v="1180"/>
    <d v="2026-02-27T16:00:53"/>
  </r>
  <r>
    <n v="24855"/>
    <x v="5"/>
    <n v="51000269"/>
    <n v="10"/>
    <s v="BRONCE"/>
    <n v="991"/>
    <d v="2026-02-27T16:00:53"/>
  </r>
  <r>
    <n v="24856"/>
    <x v="5"/>
    <n v="51000862"/>
    <n v="10"/>
    <s v="BRONCE"/>
    <n v="991"/>
    <d v="2026-02-27T16:00:53"/>
  </r>
  <r>
    <n v="24857"/>
    <x v="5"/>
    <n v="51001494"/>
    <n v="10"/>
    <s v="BRONCE"/>
    <n v="991"/>
    <d v="2026-02-27T16:00:53"/>
  </r>
  <r>
    <n v="24858"/>
    <x v="5"/>
    <n v="51001745"/>
    <n v="10"/>
    <s v="BRONCE"/>
    <n v="991"/>
    <d v="2026-02-27T16:00:53"/>
  </r>
  <r>
    <n v="24859"/>
    <x v="5"/>
    <n v="51001923"/>
    <n v="10"/>
    <s v="BRONCE"/>
    <n v="991"/>
    <d v="2026-02-27T16:00:53"/>
  </r>
  <r>
    <n v="24860"/>
    <x v="5"/>
    <n v="51003721"/>
    <n v="10"/>
    <s v="BRONCE"/>
    <n v="991"/>
    <d v="2026-02-27T16:00:53"/>
  </r>
  <r>
    <n v="24861"/>
    <x v="5"/>
    <n v="51004167"/>
    <n v="10"/>
    <s v="BRONCE"/>
    <n v="991"/>
    <d v="2026-02-27T16:00:53"/>
  </r>
  <r>
    <n v="24862"/>
    <x v="5"/>
    <n v="51004671"/>
    <n v="10"/>
    <s v="BRONCE"/>
    <n v="991"/>
    <d v="2026-02-27T16:00:53"/>
  </r>
  <r>
    <n v="24863"/>
    <x v="5"/>
    <n v="51005058"/>
    <n v="10"/>
    <s v="BRONCE"/>
    <n v="991"/>
    <d v="2026-02-27T16:00:53"/>
  </r>
  <r>
    <n v="24864"/>
    <x v="5"/>
    <n v="51005201"/>
    <n v="10"/>
    <s v="BRONCE"/>
    <n v="991"/>
    <d v="2026-02-27T16:00:53"/>
  </r>
  <r>
    <n v="24865"/>
    <x v="5"/>
    <n v="51005384"/>
    <n v="10"/>
    <s v="BRONCE"/>
    <n v="991"/>
    <d v="2026-02-27T16:00:53"/>
  </r>
  <r>
    <n v="24866"/>
    <x v="5"/>
    <n v="51005902"/>
    <n v="10"/>
    <s v="BRONCE"/>
    <n v="991"/>
    <d v="2026-02-27T16:00:53"/>
  </r>
  <r>
    <n v="24867"/>
    <x v="5"/>
    <n v="51006445"/>
    <n v="9.76"/>
    <s v="BRONCE"/>
    <n v="1189"/>
    <d v="2026-02-27T16:00:53"/>
  </r>
  <r>
    <n v="24868"/>
    <x v="5"/>
    <n v="51006453"/>
    <n v="10"/>
    <s v="BRONCE"/>
    <n v="991"/>
    <d v="2026-02-27T16:00:53"/>
  </r>
  <r>
    <n v="24869"/>
    <x v="5"/>
    <n v="51006518"/>
    <n v="10"/>
    <s v="BRONCE"/>
    <n v="991"/>
    <d v="2026-02-27T16:00:53"/>
  </r>
  <r>
    <n v="24870"/>
    <x v="5"/>
    <n v="51006674"/>
    <n v="10"/>
    <s v="BRONCE"/>
    <n v="991"/>
    <d v="2026-02-27T16:00:53"/>
  </r>
  <r>
    <n v="24871"/>
    <x v="5"/>
    <n v="51010094"/>
    <n v="10"/>
    <s v="BRONCE"/>
    <n v="991"/>
    <d v="2026-02-27T16:00:53"/>
  </r>
  <r>
    <n v="24872"/>
    <x v="5"/>
    <n v="51010108"/>
    <n v="10"/>
    <s v="BRONCE"/>
    <n v="991"/>
    <d v="2026-02-27T16:00:53"/>
  </r>
  <r>
    <n v="24873"/>
    <x v="5"/>
    <n v="51010167"/>
    <n v="10"/>
    <s v="BRONCE"/>
    <n v="991"/>
    <d v="2026-02-27T16:00:53"/>
  </r>
  <r>
    <n v="24874"/>
    <x v="5"/>
    <n v="51010388"/>
    <n v="10"/>
    <s v="BRONCE"/>
    <n v="991"/>
    <d v="2026-02-27T16:00:53"/>
  </r>
  <r>
    <n v="24875"/>
    <x v="5"/>
    <n v="51010477"/>
    <n v="10"/>
    <s v="BRONCE"/>
    <n v="991"/>
    <d v="2026-02-27T16:00:53"/>
  </r>
  <r>
    <n v="24876"/>
    <x v="5"/>
    <n v="51010485"/>
    <n v="10"/>
    <s v="BRONCE"/>
    <n v="991"/>
    <d v="2026-02-27T16:00:53"/>
  </r>
  <r>
    <n v="24877"/>
    <x v="5"/>
    <n v="51010612"/>
    <n v="10"/>
    <s v="BRONCE"/>
    <n v="991"/>
    <d v="2026-02-27T16:00:53"/>
  </r>
  <r>
    <n v="24878"/>
    <x v="5"/>
    <n v="51010639"/>
    <n v="10"/>
    <s v="BRONCE"/>
    <n v="991"/>
    <d v="2026-02-27T16:00:53"/>
  </r>
  <r>
    <n v="24879"/>
    <x v="5"/>
    <n v="51010965"/>
    <n v="10"/>
    <s v="BRONCE"/>
    <n v="991"/>
    <d v="2026-02-27T16:00:53"/>
  </r>
  <r>
    <n v="24880"/>
    <x v="5"/>
    <n v="51011082"/>
    <n v="9.9230000000000018"/>
    <s v="BRONCE"/>
    <n v="1187"/>
    <d v="2026-02-27T16:00:53"/>
  </r>
  <r>
    <n v="24881"/>
    <x v="5"/>
    <n v="51011104"/>
    <n v="10"/>
    <s v="BRONCE"/>
    <n v="991"/>
    <d v="2026-02-27T16:00:53"/>
  </r>
  <r>
    <n v="24882"/>
    <x v="5"/>
    <n v="51011163"/>
    <n v="10"/>
    <s v="BRONCE"/>
    <n v="991"/>
    <d v="2026-02-27T16:00:53"/>
  </r>
  <r>
    <n v="24883"/>
    <x v="5"/>
    <n v="51011406"/>
    <n v="10"/>
    <s v="BRONCE"/>
    <n v="991"/>
    <d v="2026-02-27T16:00:53"/>
  </r>
  <r>
    <n v="24884"/>
    <x v="5"/>
    <n v="51011503"/>
    <n v="9.9849999999999994"/>
    <s v="BRONCE"/>
    <n v="1171"/>
    <d v="2026-02-27T16:00:53"/>
  </r>
  <r>
    <n v="24885"/>
    <x v="5"/>
    <n v="51011511"/>
    <n v="10"/>
    <s v="BRONCE"/>
    <n v="991"/>
    <d v="2026-02-27T16:00:53"/>
  </r>
  <r>
    <n v="24886"/>
    <x v="5"/>
    <n v="51011881"/>
    <n v="10"/>
    <s v="BRONCE"/>
    <n v="991"/>
    <d v="2026-02-27T16:00:53"/>
  </r>
  <r>
    <n v="24887"/>
    <x v="5"/>
    <n v="51011911"/>
    <n v="6.7549999999999999"/>
    <s v="BRONCE"/>
    <n v="1191"/>
    <d v="2026-02-27T16:00:53"/>
  </r>
  <r>
    <n v="24888"/>
    <x v="5"/>
    <n v="51011945"/>
    <n v="10"/>
    <s v="BRONCE"/>
    <n v="991"/>
    <d v="2026-02-27T16:00:53"/>
  </r>
  <r>
    <n v="24889"/>
    <x v="5"/>
    <n v="51012089"/>
    <n v="10"/>
    <s v="BRONCE"/>
    <n v="991"/>
    <d v="2026-02-27T16:00:53"/>
  </r>
  <r>
    <n v="24890"/>
    <x v="5"/>
    <n v="51012283"/>
    <n v="9.9280000000000008"/>
    <s v="BRONCE"/>
    <n v="1186"/>
    <d v="2026-02-27T16:00:53"/>
  </r>
  <r>
    <n v="24891"/>
    <x v="5"/>
    <n v="51012429"/>
    <n v="10"/>
    <s v="BRONCE"/>
    <n v="991"/>
    <d v="2026-02-27T16:00:53"/>
  </r>
  <r>
    <n v="24892"/>
    <x v="5"/>
    <n v="51012569"/>
    <n v="10"/>
    <s v="BRONCE"/>
    <n v="991"/>
    <d v="2026-02-27T16:00:53"/>
  </r>
  <r>
    <n v="24893"/>
    <x v="5"/>
    <n v="51012631"/>
    <n v="10"/>
    <s v="BRONCE"/>
    <n v="991"/>
    <d v="2026-02-27T16:00:53"/>
  </r>
  <r>
    <n v="24894"/>
    <x v="5"/>
    <n v="51012844"/>
    <n v="10"/>
    <s v="BRONCE"/>
    <n v="991"/>
    <d v="2026-02-27T16:00:53"/>
  </r>
  <r>
    <n v="24895"/>
    <x v="5"/>
    <n v="51012925"/>
    <n v="10"/>
    <s v="BRONCE"/>
    <n v="991"/>
    <d v="2026-02-27T16:00:53"/>
  </r>
  <r>
    <n v="24896"/>
    <x v="5"/>
    <n v="51012968"/>
    <n v="10"/>
    <s v="BRONCE"/>
    <n v="991"/>
    <d v="2026-02-27T16:00:53"/>
  </r>
  <r>
    <n v="24897"/>
    <x v="5"/>
    <n v="51013042"/>
    <n v="9.9830000000000005"/>
    <s v="BRONCE"/>
    <n v="1179"/>
    <d v="2026-02-27T16:00:53"/>
  </r>
  <r>
    <n v="24898"/>
    <x v="5"/>
    <n v="51013123"/>
    <n v="10"/>
    <s v="BRONCE"/>
    <n v="991"/>
    <d v="2026-02-27T16:00:53"/>
  </r>
  <r>
    <n v="24899"/>
    <x v="5"/>
    <n v="51013174"/>
    <n v="10"/>
    <s v="BRONCE"/>
    <n v="991"/>
    <d v="2026-02-27T16:00:53"/>
  </r>
  <r>
    <n v="24900"/>
    <x v="5"/>
    <n v="51013263"/>
    <n v="10"/>
    <s v="BRONCE"/>
    <n v="991"/>
    <d v="2026-02-27T16:00:53"/>
  </r>
  <r>
    <n v="24901"/>
    <x v="5"/>
    <n v="51013751"/>
    <n v="9.9849999999999994"/>
    <s v="BRONCE"/>
    <n v="1171"/>
    <d v="2026-02-27T16:00:53"/>
  </r>
  <r>
    <n v="24902"/>
    <x v="5"/>
    <n v="51013905"/>
    <n v="10"/>
    <s v="BRONCE"/>
    <n v="991"/>
    <d v="2026-02-27T16:00:53"/>
  </r>
  <r>
    <n v="24903"/>
    <x v="5"/>
    <n v="51014073"/>
    <n v="10"/>
    <s v="BRONCE"/>
    <n v="991"/>
    <d v="2026-02-27T16:00:53"/>
  </r>
  <r>
    <n v="24904"/>
    <x v="5"/>
    <n v="51014154"/>
    <n v="10"/>
    <s v="BRONCE"/>
    <n v="991"/>
    <d v="2026-02-27T16:00:53"/>
  </r>
  <r>
    <n v="24905"/>
    <x v="5"/>
    <n v="51014227"/>
    <n v="10"/>
    <s v="BRONCE"/>
    <n v="991"/>
    <d v="2026-02-27T16:00:53"/>
  </r>
  <r>
    <n v="24906"/>
    <x v="5"/>
    <n v="51014651"/>
    <n v="10"/>
    <s v="BRONCE"/>
    <n v="991"/>
    <d v="2026-02-27T16:00:53"/>
  </r>
  <r>
    <n v="24907"/>
    <x v="5"/>
    <n v="51014723"/>
    <n v="10"/>
    <s v="BRONCE"/>
    <n v="991"/>
    <d v="2026-02-27T16:00:53"/>
  </r>
  <r>
    <n v="24908"/>
    <x v="5"/>
    <n v="51015282"/>
    <n v="10"/>
    <s v="BRONCE"/>
    <n v="991"/>
    <d v="2026-02-27T16:00:53"/>
  </r>
  <r>
    <n v="24909"/>
    <x v="5"/>
    <n v="51015576"/>
    <n v="10"/>
    <s v="BRONCE"/>
    <n v="991"/>
    <d v="2026-02-27T16:00:53"/>
  </r>
  <r>
    <n v="24910"/>
    <x v="5"/>
    <n v="51015690"/>
    <n v="10"/>
    <s v="BRONCE"/>
    <n v="991"/>
    <d v="2026-02-27T16:00:53"/>
  </r>
  <r>
    <n v="24911"/>
    <x v="5"/>
    <n v="51015738"/>
    <n v="10"/>
    <s v="BRONCE"/>
    <n v="991"/>
    <d v="2026-02-27T16:00:53"/>
  </r>
  <r>
    <n v="24912"/>
    <x v="5"/>
    <n v="51015959"/>
    <n v="10"/>
    <s v="BRONCE"/>
    <n v="991"/>
    <d v="2026-02-27T16:00:53"/>
  </r>
  <r>
    <n v="24913"/>
    <x v="5"/>
    <n v="51015991"/>
    <n v="10"/>
    <s v="BRONCE"/>
    <n v="991"/>
    <d v="2026-02-27T16:00:53"/>
  </r>
  <r>
    <n v="24914"/>
    <x v="5"/>
    <n v="51016122"/>
    <n v="10"/>
    <s v="BRONCE"/>
    <n v="991"/>
    <d v="2026-02-27T16:00:53"/>
  </r>
  <r>
    <n v="24915"/>
    <x v="5"/>
    <n v="51016190"/>
    <n v="10"/>
    <s v="BRONCE"/>
    <n v="991"/>
    <d v="2026-02-27T16:00:53"/>
  </r>
  <r>
    <n v="24916"/>
    <x v="5"/>
    <n v="51016505"/>
    <n v="9.9980000000000011"/>
    <s v="BRONCE"/>
    <n v="1162"/>
    <d v="2026-02-27T16:00:53"/>
  </r>
  <r>
    <n v="24917"/>
    <x v="5"/>
    <n v="51016670"/>
    <n v="9.9849999999999994"/>
    <s v="BRONCE"/>
    <n v="1171"/>
    <d v="2026-02-27T16:00:53"/>
  </r>
  <r>
    <n v="24918"/>
    <x v="5"/>
    <n v="51016751"/>
    <n v="10"/>
    <s v="BRONCE"/>
    <n v="991"/>
    <d v="2026-02-27T16:00:53"/>
  </r>
  <r>
    <n v="24919"/>
    <x v="5"/>
    <n v="51016769"/>
    <n v="10"/>
    <s v="BRONCE"/>
    <n v="991"/>
    <d v="2026-02-27T16:00:53"/>
  </r>
  <r>
    <n v="24920"/>
    <x v="5"/>
    <n v="51016807"/>
    <n v="9.9980000000000011"/>
    <s v="BRONCE"/>
    <n v="1162"/>
    <d v="2026-02-27T16:00:53"/>
  </r>
  <r>
    <n v="24921"/>
    <x v="5"/>
    <n v="51016912"/>
    <n v="10"/>
    <s v="BRONCE"/>
    <n v="991"/>
    <d v="2026-02-27T16:00:53"/>
  </r>
  <r>
    <n v="24922"/>
    <x v="5"/>
    <n v="51017005"/>
    <n v="10"/>
    <s v="BRONCE"/>
    <n v="991"/>
    <d v="2026-02-27T16:00:53"/>
  </r>
  <r>
    <n v="24923"/>
    <x v="5"/>
    <n v="51017200"/>
    <n v="10"/>
    <s v="BRONCE"/>
    <n v="991"/>
    <d v="2026-02-27T16:00:53"/>
  </r>
  <r>
    <n v="24924"/>
    <x v="5"/>
    <n v="51017692"/>
    <n v="10"/>
    <s v="BRONCE"/>
    <n v="991"/>
    <d v="2026-02-27T16:00:53"/>
  </r>
  <r>
    <n v="24925"/>
    <x v="5"/>
    <n v="51017781"/>
    <n v="10"/>
    <s v="BRONCE"/>
    <n v="991"/>
    <d v="2026-02-27T16:00:53"/>
  </r>
  <r>
    <n v="24926"/>
    <x v="5"/>
    <n v="51018010"/>
    <n v="10"/>
    <s v="BRONCE"/>
    <n v="991"/>
    <d v="2026-02-27T16:00:53"/>
  </r>
  <r>
    <n v="24927"/>
    <x v="5"/>
    <n v="51018168"/>
    <n v="10"/>
    <s v="BRONCE"/>
    <n v="991"/>
    <d v="2026-02-27T16:00:53"/>
  </r>
  <r>
    <n v="24928"/>
    <x v="5"/>
    <n v="51018192"/>
    <n v="10"/>
    <s v="BRONCE"/>
    <n v="991"/>
    <d v="2026-02-27T16:00:53"/>
  </r>
  <r>
    <n v="24929"/>
    <x v="5"/>
    <n v="51018281"/>
    <n v="10"/>
    <s v="BRONCE"/>
    <n v="991"/>
    <d v="2026-02-27T16:00:53"/>
  </r>
  <r>
    <n v="24930"/>
    <x v="5"/>
    <n v="51018915"/>
    <n v="10"/>
    <s v="BRONCE"/>
    <n v="991"/>
    <d v="2026-02-27T16:00:53"/>
  </r>
  <r>
    <n v="24931"/>
    <x v="5"/>
    <n v="51019075"/>
    <n v="10"/>
    <s v="BRONCE"/>
    <n v="991"/>
    <d v="2026-02-27T16:00:53"/>
  </r>
  <r>
    <n v="24932"/>
    <x v="5"/>
    <n v="51019156"/>
    <n v="10"/>
    <s v="BRONCE"/>
    <n v="991"/>
    <d v="2026-02-27T16:00:53"/>
  </r>
  <r>
    <n v="24933"/>
    <x v="5"/>
    <n v="51019181"/>
    <n v="10"/>
    <s v="BRONCE"/>
    <n v="991"/>
    <d v="2026-02-27T16:00:53"/>
  </r>
  <r>
    <n v="24934"/>
    <x v="5"/>
    <n v="51019237"/>
    <n v="10"/>
    <s v="BRONCE"/>
    <n v="991"/>
    <d v="2026-02-27T16:00:53"/>
  </r>
  <r>
    <n v="24935"/>
    <x v="5"/>
    <n v="51019351"/>
    <n v="10"/>
    <s v="BRONCE"/>
    <n v="991"/>
    <d v="2026-02-27T16:00:53"/>
  </r>
  <r>
    <n v="24936"/>
    <x v="5"/>
    <n v="51019725"/>
    <n v="10"/>
    <s v="BRONCE"/>
    <n v="991"/>
    <d v="2026-02-27T16:00:53"/>
  </r>
  <r>
    <n v="24937"/>
    <x v="5"/>
    <n v="51019768"/>
    <n v="10"/>
    <s v="BRONCE"/>
    <n v="991"/>
    <d v="2026-02-27T16:00:53"/>
  </r>
  <r>
    <n v="24938"/>
    <x v="5"/>
    <n v="51020120"/>
    <n v="10"/>
    <s v="BRONCE"/>
    <n v="991"/>
    <d v="2026-02-27T16:00:53"/>
  </r>
  <r>
    <n v="24939"/>
    <x v="5"/>
    <n v="51020154"/>
    <n v="10"/>
    <s v="BRONCE"/>
    <n v="991"/>
    <d v="2026-02-27T16:00:53"/>
  </r>
  <r>
    <n v="24940"/>
    <x v="5"/>
    <n v="51020740"/>
    <n v="9.98"/>
    <s v="BRONCE"/>
    <n v="1181"/>
    <d v="2026-02-27T16:00:53"/>
  </r>
  <r>
    <n v="24941"/>
    <x v="5"/>
    <n v="51021151"/>
    <n v="10"/>
    <s v="BRONCE"/>
    <n v="991"/>
    <d v="2026-02-27T16:00:53"/>
  </r>
  <r>
    <n v="24942"/>
    <x v="5"/>
    <n v="51021525"/>
    <n v="10"/>
    <s v="BRONCE"/>
    <n v="991"/>
    <d v="2026-02-27T16:00:53"/>
  </r>
  <r>
    <n v="24943"/>
    <x v="5"/>
    <n v="51021649"/>
    <n v="10"/>
    <s v="BRONCE"/>
    <n v="991"/>
    <d v="2026-02-27T16:00:53"/>
  </r>
  <r>
    <n v="24944"/>
    <x v="5"/>
    <n v="51021908"/>
    <n v="10"/>
    <s v="BRONCE"/>
    <n v="991"/>
    <d v="2026-02-27T16:00:53"/>
  </r>
  <r>
    <n v="24945"/>
    <x v="5"/>
    <n v="51021924"/>
    <n v="10"/>
    <s v="BRONCE"/>
    <n v="991"/>
    <d v="2026-02-27T16:00:53"/>
  </r>
  <r>
    <n v="24946"/>
    <x v="5"/>
    <n v="51022203"/>
    <n v="10"/>
    <s v="BRONCE"/>
    <n v="991"/>
    <d v="2026-02-27T16:00:53"/>
  </r>
  <r>
    <n v="24947"/>
    <x v="5"/>
    <n v="51022271"/>
    <n v="10"/>
    <s v="BRONCE"/>
    <n v="991"/>
    <d v="2026-02-27T16:00:53"/>
  </r>
  <r>
    <n v="24948"/>
    <x v="5"/>
    <n v="51022297"/>
    <n v="10"/>
    <s v="BRONCE"/>
    <n v="991"/>
    <d v="2026-02-27T16:00:53"/>
  </r>
  <r>
    <n v="24949"/>
    <x v="5"/>
    <n v="51022807"/>
    <n v="10"/>
    <s v="BRONCE"/>
    <n v="991"/>
    <d v="2026-02-27T16:00:53"/>
  </r>
  <r>
    <n v="24950"/>
    <x v="5"/>
    <n v="51022891"/>
    <n v="10"/>
    <s v="BRONCE"/>
    <n v="991"/>
    <d v="2026-02-27T16:00:53"/>
  </r>
  <r>
    <n v="24951"/>
    <x v="5"/>
    <n v="51022939"/>
    <n v="10"/>
    <s v="BRONCE"/>
    <n v="991"/>
    <d v="2026-02-27T16:00:53"/>
  </r>
  <r>
    <n v="24952"/>
    <x v="5"/>
    <n v="51023323"/>
    <n v="10"/>
    <s v="BRONCE"/>
    <n v="991"/>
    <d v="2026-02-27T16:00:53"/>
  </r>
  <r>
    <n v="24953"/>
    <x v="5"/>
    <n v="51023447"/>
    <n v="10"/>
    <s v="BRONCE"/>
    <n v="991"/>
    <d v="2026-02-27T16:00:53"/>
  </r>
  <r>
    <n v="24954"/>
    <x v="5"/>
    <n v="51023463"/>
    <n v="10"/>
    <s v="BRONCE"/>
    <n v="991"/>
    <d v="2026-02-27T16:00:53"/>
  </r>
  <r>
    <n v="24955"/>
    <x v="5"/>
    <n v="51023510"/>
    <n v="10"/>
    <s v="BRONCE"/>
    <n v="991"/>
    <d v="2026-02-27T16:00:53"/>
  </r>
  <r>
    <n v="24956"/>
    <x v="5"/>
    <n v="51024338"/>
    <n v="10"/>
    <s v="BRONCE"/>
    <n v="991"/>
    <d v="2026-02-27T16:00:53"/>
  </r>
  <r>
    <n v="24957"/>
    <x v="5"/>
    <n v="51024346"/>
    <n v="10"/>
    <s v="BRONCE"/>
    <n v="991"/>
    <d v="2026-02-27T16:00:53"/>
  </r>
  <r>
    <n v="24958"/>
    <x v="5"/>
    <n v="51024354"/>
    <n v="10"/>
    <s v="BRONCE"/>
    <n v="991"/>
    <d v="2026-02-27T16:00:53"/>
  </r>
  <r>
    <n v="24959"/>
    <x v="5"/>
    <n v="51024788"/>
    <n v="10"/>
    <s v="BRONCE"/>
    <n v="991"/>
    <d v="2026-02-27T16:00:53"/>
  </r>
  <r>
    <n v="24960"/>
    <x v="5"/>
    <n v="51024907"/>
    <n v="10"/>
    <s v="BRONCE"/>
    <n v="991"/>
    <d v="2026-02-27T16:00:53"/>
  </r>
  <r>
    <n v="24961"/>
    <x v="5"/>
    <n v="51025598"/>
    <n v="10"/>
    <s v="BRONCE"/>
    <n v="991"/>
    <d v="2026-02-27T16:00:53"/>
  </r>
  <r>
    <n v="24962"/>
    <x v="5"/>
    <n v="51025601"/>
    <n v="6.9349999999999996"/>
    <s v="BRONCE"/>
    <n v="1190"/>
    <d v="2026-02-27T16:00:53"/>
  </r>
  <r>
    <n v="24963"/>
    <x v="5"/>
    <n v="51025881"/>
    <n v="10"/>
    <s v="BRONCE"/>
    <n v="991"/>
    <d v="2026-02-27T16:00:53"/>
  </r>
  <r>
    <n v="24964"/>
    <x v="5"/>
    <n v="51028856"/>
    <n v="10"/>
    <s v="BRONCE"/>
    <n v="991"/>
    <d v="2026-02-27T16:00:53"/>
  </r>
  <r>
    <n v="24965"/>
    <x v="5"/>
    <n v="51030087"/>
    <n v="10"/>
    <s v="BRONCE"/>
    <n v="991"/>
    <d v="2026-02-27T16:00:53"/>
  </r>
  <r>
    <n v="24966"/>
    <x v="5"/>
    <n v="51030206"/>
    <n v="9.9849999999999994"/>
    <s v="BRONCE"/>
    <n v="1171"/>
    <d v="2026-02-27T16:00:53"/>
  </r>
  <r>
    <n v="24967"/>
    <x v="5"/>
    <n v="51030630"/>
    <n v="10"/>
    <s v="BRONCE"/>
    <n v="991"/>
    <d v="2026-02-27T16:00:53"/>
  </r>
  <r>
    <n v="24968"/>
    <x v="5"/>
    <n v="51030745"/>
    <n v="10"/>
    <s v="BRONCE"/>
    <n v="991"/>
    <d v="2026-02-27T16:00:53"/>
  </r>
  <r>
    <n v="24969"/>
    <x v="5"/>
    <n v="51030796"/>
    <n v="10"/>
    <s v="BRONCE"/>
    <n v="991"/>
    <d v="2026-02-27T16:00:53"/>
  </r>
  <r>
    <n v="24970"/>
    <x v="5"/>
    <n v="51030966"/>
    <n v="10"/>
    <s v="BRONCE"/>
    <n v="991"/>
    <d v="2026-02-27T16:00:53"/>
  </r>
  <r>
    <n v="24971"/>
    <x v="5"/>
    <n v="51031067"/>
    <n v="10"/>
    <s v="BRONCE"/>
    <n v="991"/>
    <d v="2026-02-27T16:00:53"/>
  </r>
  <r>
    <n v="24972"/>
    <x v="5"/>
    <n v="51031091"/>
    <n v="10"/>
    <s v="BRONCE"/>
    <n v="991"/>
    <d v="2026-02-27T16:00:53"/>
  </r>
  <r>
    <n v="24973"/>
    <x v="5"/>
    <n v="51031156"/>
    <n v="10"/>
    <s v="BRONCE"/>
    <n v="991"/>
    <d v="2026-02-27T16:00:53"/>
  </r>
  <r>
    <n v="24974"/>
    <x v="5"/>
    <n v="51031423"/>
    <n v="10"/>
    <s v="BRONCE"/>
    <n v="991"/>
    <d v="2026-02-27T16:00:53"/>
  </r>
  <r>
    <n v="24975"/>
    <x v="5"/>
    <n v="51031555"/>
    <n v="10"/>
    <s v="BRONCE"/>
    <n v="991"/>
    <d v="2026-02-27T16:00:53"/>
  </r>
  <r>
    <n v="24976"/>
    <x v="5"/>
    <n v="51032021"/>
    <n v="10"/>
    <s v="BRONCE"/>
    <n v="991"/>
    <d v="2026-02-27T16:00:53"/>
  </r>
  <r>
    <n v="24977"/>
    <x v="5"/>
    <n v="51032055"/>
    <n v="10"/>
    <s v="BRONCE"/>
    <n v="991"/>
    <d v="2026-02-27T16:00:53"/>
  </r>
  <r>
    <n v="24978"/>
    <x v="5"/>
    <n v="51032144"/>
    <n v="9.9849999999999994"/>
    <s v="BRONCE"/>
    <n v="1171"/>
    <d v="2026-02-27T16:00:53"/>
  </r>
  <r>
    <n v="24979"/>
    <x v="5"/>
    <n v="51032209"/>
    <n v="10"/>
    <s v="BRONCE"/>
    <n v="991"/>
    <d v="2026-02-27T16:00:53"/>
  </r>
  <r>
    <n v="24980"/>
    <x v="5"/>
    <n v="51032217"/>
    <n v="10"/>
    <s v="BRONCE"/>
    <n v="991"/>
    <d v="2026-02-27T16:00:53"/>
  </r>
  <r>
    <n v="24981"/>
    <x v="5"/>
    <n v="51032497"/>
    <n v="9.9849999999999994"/>
    <s v="BRONCE"/>
    <n v="1171"/>
    <d v="2026-02-27T16:00:53"/>
  </r>
  <r>
    <n v="24982"/>
    <x v="5"/>
    <n v="51033019"/>
    <n v="10"/>
    <s v="BRONCE"/>
    <n v="991"/>
    <d v="2026-02-27T16:00:53"/>
  </r>
  <r>
    <n v="24983"/>
    <x v="5"/>
    <n v="51033647"/>
    <n v="10"/>
    <s v="BRONCE"/>
    <n v="991"/>
    <d v="2026-02-27T16:00:53"/>
  </r>
  <r>
    <n v="24984"/>
    <x v="5"/>
    <n v="51034261"/>
    <n v="9.9980000000000011"/>
    <s v="BRONCE"/>
    <n v="1162"/>
    <d v="2026-02-27T16:00:53"/>
  </r>
  <r>
    <n v="24985"/>
    <x v="5"/>
    <n v="51034392"/>
    <n v="10"/>
    <s v="BRONCE"/>
    <n v="991"/>
    <d v="2026-02-27T16:00:53"/>
  </r>
  <r>
    <n v="24986"/>
    <x v="5"/>
    <n v="51036093"/>
    <n v="10"/>
    <s v="BRONCE"/>
    <n v="991"/>
    <d v="2026-02-27T16:00:53"/>
  </r>
  <r>
    <n v="24987"/>
    <x v="5"/>
    <n v="51036620"/>
    <n v="10"/>
    <s v="BRONCE"/>
    <n v="991"/>
    <d v="2026-02-27T16:00:53"/>
  </r>
  <r>
    <n v="24988"/>
    <x v="5"/>
    <n v="51036786"/>
    <n v="10"/>
    <s v="BRONCE"/>
    <n v="991"/>
    <d v="2026-02-27T16:00:53"/>
  </r>
  <r>
    <n v="24989"/>
    <x v="5"/>
    <n v="51037014"/>
    <n v="10"/>
    <s v="BRONCE"/>
    <n v="991"/>
    <d v="2026-02-27T16:00:53"/>
  </r>
  <r>
    <n v="24990"/>
    <x v="5"/>
    <n v="51038991"/>
    <n v="9.9980000000000011"/>
    <s v="BRONCE"/>
    <n v="1162"/>
    <d v="2026-02-27T16:00:53"/>
  </r>
  <r>
    <n v="24991"/>
    <x v="5"/>
    <n v="51039084"/>
    <n v="9.9849999999999994"/>
    <s v="BRONCE"/>
    <n v="1171"/>
    <d v="2026-02-27T16:00:53"/>
  </r>
  <r>
    <n v="24992"/>
    <x v="5"/>
    <n v="51039955"/>
    <n v="10"/>
    <s v="BRONCE"/>
    <n v="991"/>
    <d v="2026-02-27T16:00:53"/>
  </r>
  <r>
    <n v="24993"/>
    <x v="5"/>
    <n v="51039980"/>
    <n v="10"/>
    <s v="BRONCE"/>
    <n v="991"/>
    <d v="2026-02-27T16:00:53"/>
  </r>
  <r>
    <n v="24994"/>
    <x v="5"/>
    <n v="51040040"/>
    <n v="10"/>
    <s v="BRONCE"/>
    <n v="991"/>
    <d v="2026-02-27T16:00:53"/>
  </r>
  <r>
    <n v="24995"/>
    <x v="5"/>
    <n v="51040309"/>
    <n v="9.8350000000000009"/>
    <s v="BRONCE"/>
    <n v="1188"/>
    <d v="2026-02-27T16:00:53"/>
  </r>
  <r>
    <n v="24996"/>
    <x v="5"/>
    <n v="51040856"/>
    <n v="10"/>
    <s v="BRONCE"/>
    <n v="991"/>
    <d v="2026-02-27T16:00:53"/>
  </r>
  <r>
    <n v="24997"/>
    <x v="5"/>
    <n v="51040970"/>
    <n v="10"/>
    <s v="BRONCE"/>
    <n v="991"/>
    <d v="2026-02-27T16:00:53"/>
  </r>
  <r>
    <n v="24998"/>
    <x v="5"/>
    <n v="51041178"/>
    <n v="10"/>
    <s v="BRONCE"/>
    <n v="991"/>
    <d v="2026-02-27T16:00:53"/>
  </r>
  <r>
    <n v="24999"/>
    <x v="5"/>
    <n v="51041321"/>
    <n v="10"/>
    <s v="BRONCE"/>
    <n v="991"/>
    <d v="2026-02-27T16:00:53"/>
  </r>
  <r>
    <n v="25000"/>
    <x v="5"/>
    <n v="51041836"/>
    <n v="10"/>
    <s v="BRONCE"/>
    <n v="991"/>
    <d v="2026-02-27T16:00:53"/>
  </r>
  <r>
    <n v="25001"/>
    <x v="5"/>
    <n v="51041925"/>
    <n v="9.9849999999999994"/>
    <s v="BRONCE"/>
    <n v="1171"/>
    <d v="2026-02-27T16:00:53"/>
  </r>
  <r>
    <n v="25002"/>
    <x v="5"/>
    <n v="51042166"/>
    <n v="10"/>
    <s v="BRONCE"/>
    <n v="991"/>
    <d v="2026-02-27T16:00:53"/>
  </r>
  <r>
    <n v="25003"/>
    <x v="5"/>
    <n v="51042352"/>
    <n v="9.9980000000000011"/>
    <s v="BRONCE"/>
    <n v="1162"/>
    <d v="2026-02-27T16:00:53"/>
  </r>
  <r>
    <n v="25004"/>
    <x v="5"/>
    <n v="51042492"/>
    <n v="10"/>
    <s v="BRONCE"/>
    <n v="991"/>
    <d v="2026-02-27T16:00:53"/>
  </r>
  <r>
    <n v="25005"/>
    <x v="5"/>
    <n v="51042557"/>
    <n v="10"/>
    <s v="BRONCE"/>
    <n v="991"/>
    <d v="2026-02-27T16:00:53"/>
  </r>
  <r>
    <n v="25006"/>
    <x v="5"/>
    <n v="51042697"/>
    <n v="10"/>
    <s v="BRONCE"/>
    <n v="991"/>
    <d v="2026-02-27T16:00:53"/>
  </r>
  <r>
    <n v="25007"/>
    <x v="5"/>
    <n v="51042701"/>
    <n v="10"/>
    <s v="BRONCE"/>
    <n v="991"/>
    <d v="2026-02-27T16:00:53"/>
  </r>
  <r>
    <n v="25008"/>
    <x v="5"/>
    <n v="51042794"/>
    <n v="10"/>
    <s v="BRONCE"/>
    <n v="991"/>
    <d v="2026-02-27T16:00:53"/>
  </r>
  <r>
    <n v="25009"/>
    <x v="5"/>
    <n v="51042867"/>
    <n v="10"/>
    <s v="BRONCE"/>
    <n v="991"/>
    <d v="2026-02-27T16:00:53"/>
  </r>
  <r>
    <n v="25010"/>
    <x v="5"/>
    <n v="51042883"/>
    <n v="10"/>
    <s v="BRONCE"/>
    <n v="991"/>
    <d v="2026-02-27T16:00:53"/>
  </r>
  <r>
    <n v="25011"/>
    <x v="5"/>
    <n v="51043286"/>
    <n v="10"/>
    <s v="BRONCE"/>
    <n v="991"/>
    <d v="2026-02-27T16:00:53"/>
  </r>
  <r>
    <n v="25012"/>
    <x v="5"/>
    <n v="51043430"/>
    <n v="9.9700000000000006"/>
    <s v="BRONCE"/>
    <n v="1182"/>
    <d v="2026-02-27T16:00:53"/>
  </r>
  <r>
    <n v="25013"/>
    <x v="5"/>
    <n v="51043481"/>
    <n v="9.9980000000000011"/>
    <s v="BRONCE"/>
    <n v="1162"/>
    <d v="2026-02-27T16:00:53"/>
  </r>
  <r>
    <n v="25014"/>
    <x v="5"/>
    <n v="51043685"/>
    <n v="10"/>
    <s v="BRONCE"/>
    <n v="991"/>
    <d v="2026-02-27T16:00:53"/>
  </r>
  <r>
    <n v="25015"/>
    <x v="5"/>
    <n v="51044185"/>
    <n v="10"/>
    <s v="BRONCE"/>
    <n v="991"/>
    <d v="2026-02-27T16:00:53"/>
  </r>
  <r>
    <n v="25016"/>
    <x v="5"/>
    <n v="51054474"/>
    <n v="10"/>
    <s v="BRONCE"/>
    <n v="991"/>
    <d v="2026-02-27T16:00:53"/>
  </r>
  <r>
    <n v="25017"/>
    <x v="5"/>
    <n v="51054890"/>
    <n v="10"/>
    <s v="BRONCE"/>
    <n v="991"/>
    <d v="2026-02-27T16:00:53"/>
  </r>
  <r>
    <n v="25018"/>
    <x v="5"/>
    <n v="51054971"/>
    <n v="10"/>
    <s v="BRONCE"/>
    <n v="991"/>
    <d v="2026-02-27T16:00:53"/>
  </r>
  <r>
    <n v="25019"/>
    <x v="5"/>
    <n v="51055021"/>
    <n v="10"/>
    <s v="BRONCE"/>
    <n v="991"/>
    <d v="2026-02-27T16:00:53"/>
  </r>
  <r>
    <n v="25020"/>
    <x v="5"/>
    <n v="51055110"/>
    <n v="10"/>
    <s v="BRONCE"/>
    <n v="991"/>
    <d v="2026-02-27T16:00:53"/>
  </r>
  <r>
    <n v="25021"/>
    <x v="5"/>
    <n v="51055179"/>
    <n v="9.9980000000000011"/>
    <s v="BRONCE"/>
    <n v="1162"/>
    <d v="2026-02-27T16:00:53"/>
  </r>
  <r>
    <n v="25022"/>
    <x v="5"/>
    <n v="51055187"/>
    <n v="10"/>
    <s v="BRONCE"/>
    <n v="991"/>
    <d v="2026-02-27T16:00:53"/>
  </r>
  <r>
    <n v="25023"/>
    <x v="5"/>
    <n v="51055195"/>
    <n v="10"/>
    <s v="BRONCE"/>
    <n v="991"/>
    <d v="2026-02-27T16:00:53"/>
  </r>
  <r>
    <n v="25024"/>
    <x v="5"/>
    <n v="51055233"/>
    <n v="10"/>
    <s v="BRONCE"/>
    <n v="991"/>
    <d v="2026-02-27T16:00:53"/>
  </r>
  <r>
    <n v="25025"/>
    <x v="5"/>
    <n v="51055314"/>
    <n v="10"/>
    <s v="BRONCE"/>
    <n v="991"/>
    <d v="2026-02-27T16:00:53"/>
  </r>
  <r>
    <n v="25026"/>
    <x v="5"/>
    <n v="51055349"/>
    <n v="10"/>
    <s v="BRONCE"/>
    <n v="991"/>
    <d v="2026-02-27T16:00:53"/>
  </r>
  <r>
    <n v="25027"/>
    <x v="5"/>
    <n v="51055381"/>
    <n v="10"/>
    <s v="BRONCE"/>
    <n v="991"/>
    <d v="2026-02-27T16:00:53"/>
  </r>
  <r>
    <n v="25028"/>
    <x v="5"/>
    <n v="51055403"/>
    <n v="10"/>
    <s v="BRONCE"/>
    <n v="991"/>
    <d v="2026-02-27T16:00:53"/>
  </r>
  <r>
    <n v="25029"/>
    <x v="5"/>
    <n v="51055420"/>
    <n v="10"/>
    <s v="BRONCE"/>
    <n v="991"/>
    <d v="2026-02-27T16:00:53"/>
  </r>
  <r>
    <n v="25030"/>
    <x v="5"/>
    <n v="51055438"/>
    <n v="10"/>
    <s v="BRONCE"/>
    <n v="991"/>
    <d v="2026-02-27T16:00:53"/>
  </r>
  <r>
    <n v="25031"/>
    <x v="5"/>
    <n v="51055446"/>
    <n v="10"/>
    <s v="BRONCE"/>
    <n v="991"/>
    <d v="2026-02-27T16:00:53"/>
  </r>
  <r>
    <n v="25032"/>
    <x v="5"/>
    <n v="51055471"/>
    <n v="10"/>
    <s v="BRONCE"/>
    <n v="991"/>
    <d v="2026-02-27T16:00:53"/>
  </r>
  <r>
    <n v="25033"/>
    <x v="5"/>
    <n v="51055608"/>
    <n v="0"/>
    <s v="CERRADO"/>
    <n v="1192"/>
    <d v="2026-02-27T16:00:53"/>
  </r>
  <r>
    <n v="25034"/>
    <x v="5"/>
    <n v="51055683"/>
    <n v="10"/>
    <s v="BRONCE"/>
    <n v="991"/>
    <d v="2026-02-27T16:00:53"/>
  </r>
  <r>
    <n v="25035"/>
    <x v="5"/>
    <n v="51055713"/>
    <n v="10"/>
    <s v="BRONCE"/>
    <n v="991"/>
    <d v="2026-02-27T16:00:53"/>
  </r>
  <r>
    <n v="25036"/>
    <x v="5"/>
    <n v="51055748"/>
    <n v="10"/>
    <s v="BRONCE"/>
    <n v="991"/>
    <d v="2026-02-27T16:00:53"/>
  </r>
  <r>
    <n v="25037"/>
    <x v="5"/>
    <n v="51055781"/>
    <n v="10"/>
    <s v="BRONCE"/>
    <n v="991"/>
    <d v="2026-02-27T16:00:53"/>
  </r>
  <r>
    <n v="25038"/>
    <x v="5"/>
    <n v="51055900"/>
    <n v="10"/>
    <s v="BRONCE"/>
    <n v="991"/>
    <d v="2026-02-27T16:00:53"/>
  </r>
  <r>
    <n v="25039"/>
    <x v="5"/>
    <n v="51055934"/>
    <n v="10"/>
    <s v="BRONCE"/>
    <n v="991"/>
    <d v="2026-02-27T16:00:53"/>
  </r>
  <r>
    <n v="25040"/>
    <x v="5"/>
    <n v="51055969"/>
    <n v="10"/>
    <s v="BRONCE"/>
    <n v="991"/>
    <d v="2026-02-27T16:00:53"/>
  </r>
  <r>
    <n v="25041"/>
    <x v="5"/>
    <n v="51055977"/>
    <n v="10"/>
    <s v="BRONCE"/>
    <n v="991"/>
    <d v="2026-02-27T16:00:53"/>
  </r>
  <r>
    <n v="25042"/>
    <x v="5"/>
    <n v="51056035"/>
    <n v="10"/>
    <s v="BRONCE"/>
    <n v="991"/>
    <d v="2026-02-27T16:00:53"/>
  </r>
  <r>
    <n v="25043"/>
    <x v="5"/>
    <n v="51056043"/>
    <n v="9.9680000000000017"/>
    <s v="BRONCE"/>
    <n v="1183"/>
    <d v="2026-02-27T16:00:53"/>
  </r>
  <r>
    <n v="25044"/>
    <x v="5"/>
    <n v="51056141"/>
    <n v="9.9600000000000009"/>
    <s v="BRONCE"/>
    <n v="1184"/>
    <d v="2026-02-27T16:00:53"/>
  </r>
  <r>
    <n v="25045"/>
    <x v="5"/>
    <n v="51056167"/>
    <n v="10"/>
    <s v="BRONCE"/>
    <n v="991"/>
    <d v="2026-02-27T16:00:53"/>
  </r>
  <r>
    <n v="25046"/>
    <x v="5"/>
    <n v="51056230"/>
    <n v="10"/>
    <s v="BRONCE"/>
    <n v="991"/>
    <d v="2026-02-27T16:00:53"/>
  </r>
  <r>
    <n v="25047"/>
    <x v="5"/>
    <n v="51056256"/>
    <n v="10"/>
    <s v="BRONCE"/>
    <n v="991"/>
    <d v="2026-02-27T16:00:53"/>
  </r>
  <r>
    <n v="25048"/>
    <x v="5"/>
    <n v="51056370"/>
    <n v="10"/>
    <s v="BRONCE"/>
    <n v="991"/>
    <d v="2026-02-27T16:00:53"/>
  </r>
  <r>
    <n v="25049"/>
    <x v="5"/>
    <n v="51056680"/>
    <n v="0"/>
    <s v="CERRADO"/>
    <n v="1192"/>
    <d v="2026-02-27T16:00:53"/>
  </r>
  <r>
    <n v="25050"/>
    <x v="5"/>
    <n v="51056710"/>
    <n v="10"/>
    <s v="BRONCE"/>
    <n v="991"/>
    <d v="2026-02-27T16:00:53"/>
  </r>
  <r>
    <n v="25051"/>
    <x v="5"/>
    <n v="51056779"/>
    <n v="10"/>
    <s v="BRONCE"/>
    <n v="991"/>
    <d v="2026-02-27T16:00:53"/>
  </r>
  <r>
    <n v="25052"/>
    <x v="5"/>
    <n v="51056841"/>
    <n v="10"/>
    <s v="BRONCE"/>
    <n v="991"/>
    <d v="2026-02-27T16:00:53"/>
  </r>
  <r>
    <n v="25053"/>
    <x v="5"/>
    <n v="51056892"/>
    <n v="10"/>
    <s v="BRONCE"/>
    <n v="991"/>
    <d v="2026-02-27T16:00:5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FC34D6-78F4-4032-B773-4A88B615BB4D}"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outline="1" outlineData="1" compactData="0" multipleFieldFilters="0">
  <location ref="A1:B8" firstHeaderRow="1" firstDataRow="1" firstDataCol="1"/>
  <pivotFields count="7">
    <pivotField compact="0" showAll="0"/>
    <pivotField axis="axisRow" compact="0" showAll="0">
      <items count="7">
        <item x="0"/>
        <item x="1"/>
        <item x="2"/>
        <item x="3"/>
        <item x="4"/>
        <item x="5"/>
        <item t="default"/>
      </items>
    </pivotField>
    <pivotField compact="0" showAll="0"/>
    <pivotField dataField="1" compact="0" showAll="0"/>
    <pivotField compact="0" showAll="0"/>
    <pivotField compact="0" showAll="0"/>
    <pivotField compact="0" numFmtId="22" showAll="0"/>
  </pivotFields>
  <rowFields count="1">
    <field x="1"/>
  </rowFields>
  <rowItems count="7">
    <i>
      <x/>
    </i>
    <i>
      <x v="1"/>
    </i>
    <i>
      <x v="2"/>
    </i>
    <i>
      <x v="3"/>
    </i>
    <i>
      <x v="4"/>
    </i>
    <i>
      <x v="5"/>
    </i>
    <i t="grand">
      <x/>
    </i>
  </rowItems>
  <colItems count="1">
    <i/>
  </colItems>
  <dataFields count="1">
    <dataField name="Promedio de Puntaje final (0-100)" fld="3" subtotal="average" baseField="1"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9.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tabColor rgb="FFFFC000"/>
  </sheetPr>
  <dimension ref="A1:Q1195"/>
  <sheetViews>
    <sheetView workbookViewId="0"/>
  </sheetViews>
  <sheetFormatPr baseColWidth="10" defaultColWidth="8.88671875" defaultRowHeight="14.4" x14ac:dyDescent="0.3"/>
  <cols>
    <col min="1" max="1" width="9" customWidth="1"/>
    <col min="2" max="2" width="13.109375" customWidth="1"/>
    <col min="3" max="17" width="12.77734375" customWidth="1"/>
  </cols>
  <sheetData>
    <row r="1" spans="1:17" x14ac:dyDescent="0.3">
      <c r="A1" t="s">
        <v>0</v>
      </c>
      <c r="B1" t="s">
        <v>1</v>
      </c>
      <c r="C1" t="s">
        <v>2</v>
      </c>
      <c r="D1" t="s">
        <v>3</v>
      </c>
      <c r="E1" t="s">
        <v>4</v>
      </c>
      <c r="F1" t="s">
        <v>5</v>
      </c>
      <c r="G1" t="s">
        <v>6</v>
      </c>
      <c r="H1" t="s">
        <v>7</v>
      </c>
    </row>
    <row r="2" spans="1:17" x14ac:dyDescent="0.3">
      <c r="A2">
        <v>51015525</v>
      </c>
      <c r="B2" t="str">
        <f>VLOOKUP(A2,ASESORES!$A$2:$B$993,2,0)</f>
        <v>NELLI</v>
      </c>
      <c r="C2">
        <v>200863150.80000001</v>
      </c>
      <c r="D2">
        <v>260250487.46000001</v>
      </c>
      <c r="E2">
        <v>386117634.13999999</v>
      </c>
      <c r="F2">
        <v>377496481</v>
      </c>
      <c r="G2">
        <v>474584621</v>
      </c>
      <c r="H2">
        <v>562041621</v>
      </c>
      <c r="I2">
        <f t="shared" ref="I2:I65" si="0">IFERROR(F2/C2-1,0)</f>
        <v>0.87937149993168373</v>
      </c>
      <c r="J2">
        <f t="shared" ref="J2:J65" si="1">IFERROR(G2/D2-1,0)</f>
        <v>0.82356861511332502</v>
      </c>
      <c r="K2">
        <f t="shared" ref="K2:K65" si="2">IFERROR(H2/E2-1,0)</f>
        <v>0.45562277219437441</v>
      </c>
      <c r="L2">
        <f t="shared" ref="L2:L65" si="3">IFERROR(I2*LOG(F2),0)</f>
        <v>7.5422927682661607</v>
      </c>
      <c r="M2">
        <f t="shared" ref="M2:M65" si="4">IFERROR(J2*LOG(G2),0)</f>
        <v>7.1455396258467951</v>
      </c>
      <c r="N2">
        <f t="shared" ref="N2:N65" si="5">IFERROR(K2*LOG(H2),0)</f>
        <v>3.9865937698554452</v>
      </c>
      <c r="O2">
        <f t="shared" ref="O2:O65" si="6">RANK(L2,$L$2:$L$1194,1)/COUNT($L$2:$L$1194)*100</f>
        <v>94.803017602682317</v>
      </c>
      <c r="P2">
        <f t="shared" ref="P2:P65" si="7">RANK(M2,$M$2:$M$1194,1)/COUNT($M$2:$M$1194)*100</f>
        <v>94.132439228834869</v>
      </c>
      <c r="Q2">
        <f t="shared" ref="Q2:Q65" si="8">RANK(N2,$N$2:$N$1194,1)/COUNT($N$2:$N$1194)*100</f>
        <v>83.65465213746856</v>
      </c>
    </row>
    <row r="3" spans="1:17" x14ac:dyDescent="0.3">
      <c r="A3">
        <v>51017790</v>
      </c>
      <c r="B3" t="str">
        <f>VLOOKUP(A3,ASESORES!$A$2:$B$993,2,0)</f>
        <v>NELLI</v>
      </c>
      <c r="C3">
        <v>271580086.94999999</v>
      </c>
      <c r="D3">
        <v>389751009.88</v>
      </c>
      <c r="E3">
        <v>381686446.99000001</v>
      </c>
      <c r="F3">
        <v>310340214</v>
      </c>
      <c r="G3">
        <v>399161946</v>
      </c>
      <c r="H3">
        <v>558324155</v>
      </c>
      <c r="I3">
        <f t="shared" si="0"/>
        <v>0.14272079917676761</v>
      </c>
      <c r="J3">
        <f t="shared" si="1"/>
        <v>2.4146021129996642E-2</v>
      </c>
      <c r="K3">
        <f t="shared" si="2"/>
        <v>0.46278223762717929</v>
      </c>
      <c r="L3">
        <f t="shared" si="3"/>
        <v>1.2119619137279096</v>
      </c>
      <c r="M3">
        <f t="shared" si="4"/>
        <v>0.20768352866511658</v>
      </c>
      <c r="N3">
        <f t="shared" si="5"/>
        <v>4.0479036684743361</v>
      </c>
      <c r="O3">
        <f t="shared" si="6"/>
        <v>35.87594300083822</v>
      </c>
      <c r="P3">
        <f t="shared" si="7"/>
        <v>28.080469404861692</v>
      </c>
      <c r="Q3">
        <f t="shared" si="8"/>
        <v>84.49287510477788</v>
      </c>
    </row>
    <row r="4" spans="1:17" x14ac:dyDescent="0.3">
      <c r="A4">
        <v>51023871</v>
      </c>
      <c r="B4" t="str">
        <f>VLOOKUP(A4,ASESORES!$A$2:$B$993,2,0)</f>
        <v>MONTENEGRO</v>
      </c>
      <c r="C4">
        <v>235393686.5</v>
      </c>
      <c r="D4">
        <v>282292104.77999997</v>
      </c>
      <c r="E4">
        <v>322937528.11000001</v>
      </c>
      <c r="F4">
        <v>485639105</v>
      </c>
      <c r="G4">
        <v>569678275</v>
      </c>
      <c r="H4">
        <v>484572790</v>
      </c>
      <c r="I4">
        <f t="shared" si="0"/>
        <v>1.0630931620164756</v>
      </c>
      <c r="J4">
        <f t="shared" si="1"/>
        <v>1.0180453698624339</v>
      </c>
      <c r="K4">
        <f t="shared" si="2"/>
        <v>0.50051557289106174</v>
      </c>
      <c r="L4">
        <f t="shared" si="3"/>
        <v>9.2343606445140445</v>
      </c>
      <c r="M4">
        <f t="shared" si="4"/>
        <v>8.9136282332610879</v>
      </c>
      <c r="N4">
        <f t="shared" si="5"/>
        <v>4.3471574475325729</v>
      </c>
      <c r="O4">
        <f t="shared" si="6"/>
        <v>96.311818943839057</v>
      </c>
      <c r="P4">
        <f t="shared" si="7"/>
        <v>96.563285834031859</v>
      </c>
      <c r="Q4">
        <f t="shared" si="8"/>
        <v>86.839899413243927</v>
      </c>
    </row>
    <row r="5" spans="1:17" x14ac:dyDescent="0.3">
      <c r="A5">
        <v>51019601</v>
      </c>
      <c r="B5" t="str">
        <f>VLOOKUP(A5,ASESORES!$A$2:$B$993,2,0)</f>
        <v>CICHETTO</v>
      </c>
      <c r="C5">
        <v>204134881.19999999</v>
      </c>
      <c r="D5">
        <v>249875778.68000001</v>
      </c>
      <c r="E5">
        <v>313475120.16000003</v>
      </c>
      <c r="F5">
        <v>295446615</v>
      </c>
      <c r="G5">
        <v>389891416</v>
      </c>
      <c r="H5">
        <v>475583984</v>
      </c>
      <c r="I5">
        <f t="shared" si="0"/>
        <v>0.44731078423847537</v>
      </c>
      <c r="J5">
        <f t="shared" si="1"/>
        <v>0.56034097446199094</v>
      </c>
      <c r="K5">
        <f t="shared" si="2"/>
        <v>0.51713470516339033</v>
      </c>
      <c r="L5">
        <f t="shared" si="3"/>
        <v>3.7889366126551716</v>
      </c>
      <c r="M5">
        <f t="shared" si="4"/>
        <v>4.813857749668121</v>
      </c>
      <c r="N5">
        <f t="shared" si="5"/>
        <v>4.4872953404013129</v>
      </c>
      <c r="O5">
        <f t="shared" si="6"/>
        <v>75.188600167644594</v>
      </c>
      <c r="P5">
        <f t="shared" si="7"/>
        <v>83.319362950544843</v>
      </c>
      <c r="Q5">
        <f t="shared" si="8"/>
        <v>88.09723386420788</v>
      </c>
    </row>
    <row r="6" spans="1:17" x14ac:dyDescent="0.3">
      <c r="A6">
        <v>51021983</v>
      </c>
      <c r="B6" t="str">
        <f>VLOOKUP(A6,ASESORES!$A$2:$B$993,2,0)</f>
        <v>NELLI</v>
      </c>
      <c r="C6">
        <v>251580475.81</v>
      </c>
      <c r="D6">
        <v>276793432.47000003</v>
      </c>
      <c r="E6">
        <v>364817109.42000002</v>
      </c>
      <c r="F6">
        <v>256738064</v>
      </c>
      <c r="G6">
        <v>350515772</v>
      </c>
      <c r="H6">
        <v>376309990</v>
      </c>
      <c r="I6">
        <f t="shared" si="0"/>
        <v>2.0500749008421248E-2</v>
      </c>
      <c r="J6">
        <f t="shared" si="1"/>
        <v>0.266344251278398</v>
      </c>
      <c r="K6">
        <f t="shared" si="2"/>
        <v>3.1503129330397339E-2</v>
      </c>
      <c r="L6">
        <f t="shared" si="3"/>
        <v>0.17240084914940298</v>
      </c>
      <c r="M6">
        <f t="shared" si="4"/>
        <v>2.2758337386583229</v>
      </c>
      <c r="N6">
        <f t="shared" si="5"/>
        <v>0.2701565267717585</v>
      </c>
      <c r="O6">
        <f t="shared" si="6"/>
        <v>24.056999161777032</v>
      </c>
      <c r="P6">
        <f t="shared" si="7"/>
        <v>51.886001676445936</v>
      </c>
      <c r="Q6">
        <f t="shared" si="8"/>
        <v>34.702430846605196</v>
      </c>
    </row>
    <row r="7" spans="1:17" x14ac:dyDescent="0.3">
      <c r="A7">
        <v>51020201</v>
      </c>
      <c r="B7" t="str">
        <f>VLOOKUP(A7,ASESORES!$A$2:$B$993,2,0)</f>
        <v>NELLI</v>
      </c>
      <c r="C7">
        <v>165254169.19</v>
      </c>
      <c r="D7">
        <v>226818496</v>
      </c>
      <c r="E7">
        <v>256035537.81</v>
      </c>
      <c r="F7">
        <v>197312219</v>
      </c>
      <c r="G7">
        <v>319710110</v>
      </c>
      <c r="H7">
        <v>348624153</v>
      </c>
      <c r="I7">
        <f t="shared" si="0"/>
        <v>0.19399238135493846</v>
      </c>
      <c r="J7">
        <f t="shared" si="1"/>
        <v>0.40954161868704042</v>
      </c>
      <c r="K7">
        <f t="shared" si="2"/>
        <v>0.36162407758687221</v>
      </c>
      <c r="L7">
        <f t="shared" si="3"/>
        <v>1.6091966744298598</v>
      </c>
      <c r="M7">
        <f t="shared" si="4"/>
        <v>3.483051690276497</v>
      </c>
      <c r="N7">
        <f t="shared" si="5"/>
        <v>3.0891221412781422</v>
      </c>
      <c r="O7">
        <f t="shared" si="6"/>
        <v>41.324392288348697</v>
      </c>
      <c r="P7">
        <f t="shared" si="7"/>
        <v>69.740150880134109</v>
      </c>
      <c r="Q7">
        <f t="shared" si="8"/>
        <v>75.188600167644594</v>
      </c>
    </row>
    <row r="8" spans="1:17" x14ac:dyDescent="0.3">
      <c r="A8">
        <v>51031296</v>
      </c>
      <c r="B8" t="str">
        <f>VLOOKUP(A8,ASESORES!$A$2:$B$993,2,0)</f>
        <v>LÓPEZ</v>
      </c>
      <c r="C8">
        <v>134602663.21000001</v>
      </c>
      <c r="D8">
        <v>163090127.02000001</v>
      </c>
      <c r="E8">
        <v>219721411.66999999</v>
      </c>
      <c r="F8">
        <v>193037212</v>
      </c>
      <c r="G8">
        <v>267313537</v>
      </c>
      <c r="H8">
        <v>338281124</v>
      </c>
      <c r="I8">
        <f t="shared" si="0"/>
        <v>0.43412624532423605</v>
      </c>
      <c r="J8">
        <f t="shared" si="1"/>
        <v>0.63905407325618735</v>
      </c>
      <c r="K8">
        <f t="shared" si="2"/>
        <v>0.53959107320894639</v>
      </c>
      <c r="L8">
        <f t="shared" si="3"/>
        <v>3.5970142332857278</v>
      </c>
      <c r="M8">
        <f t="shared" si="4"/>
        <v>5.3853220650336446</v>
      </c>
      <c r="N8">
        <f t="shared" si="5"/>
        <v>4.6023221428829642</v>
      </c>
      <c r="O8">
        <f t="shared" si="6"/>
        <v>72.506286672254816</v>
      </c>
      <c r="P8">
        <f t="shared" si="7"/>
        <v>87.426655490360446</v>
      </c>
      <c r="Q8">
        <f t="shared" si="8"/>
        <v>89.186923721709974</v>
      </c>
    </row>
    <row r="9" spans="1:17" x14ac:dyDescent="0.3">
      <c r="A9">
        <v>51011864</v>
      </c>
      <c r="B9" t="str">
        <f>VLOOKUP(A9,ASESORES!$A$2:$B$993,2,0)</f>
        <v>CICHETTO</v>
      </c>
      <c r="C9">
        <v>102356552.25</v>
      </c>
      <c r="D9">
        <v>145810121.65000001</v>
      </c>
      <c r="E9">
        <v>174151795.97</v>
      </c>
      <c r="F9">
        <v>144725234</v>
      </c>
      <c r="G9">
        <v>272505308</v>
      </c>
      <c r="H9">
        <v>327369126</v>
      </c>
      <c r="I9">
        <f t="shared" si="0"/>
        <v>0.41393228688005168</v>
      </c>
      <c r="J9">
        <f t="shared" si="1"/>
        <v>0.86890529214505996</v>
      </c>
      <c r="K9">
        <f t="shared" si="2"/>
        <v>0.8797918458239371</v>
      </c>
      <c r="L9">
        <f t="shared" si="3"/>
        <v>3.377912747906274</v>
      </c>
      <c r="M9">
        <f t="shared" si="4"/>
        <v>7.3295419492797667</v>
      </c>
      <c r="N9">
        <f t="shared" si="5"/>
        <v>7.4914607520034915</v>
      </c>
      <c r="O9">
        <f t="shared" si="6"/>
        <v>69.572506286672251</v>
      </c>
      <c r="P9">
        <f t="shared" si="7"/>
        <v>94.551550712489515</v>
      </c>
      <c r="Q9">
        <f t="shared" si="8"/>
        <v>96.730930427493718</v>
      </c>
    </row>
    <row r="10" spans="1:17" x14ac:dyDescent="0.3">
      <c r="A10">
        <v>51005945</v>
      </c>
      <c r="B10" t="str">
        <f>VLOOKUP(A10,ASESORES!$A$2:$B$993,2,0)</f>
        <v>CICHETTO</v>
      </c>
      <c r="C10">
        <v>114550086.04000001</v>
      </c>
      <c r="D10">
        <v>166866434.69</v>
      </c>
      <c r="E10">
        <v>223688596.30000001</v>
      </c>
      <c r="F10">
        <v>212591388</v>
      </c>
      <c r="G10">
        <v>291704364</v>
      </c>
      <c r="H10">
        <v>319769046</v>
      </c>
      <c r="I10">
        <f t="shared" si="0"/>
        <v>0.85588152178047894</v>
      </c>
      <c r="J10">
        <f t="shared" si="1"/>
        <v>0.7481308601212735</v>
      </c>
      <c r="K10">
        <f t="shared" si="2"/>
        <v>0.42952770632590354</v>
      </c>
      <c r="L10">
        <f t="shared" si="3"/>
        <v>7.1273924585378881</v>
      </c>
      <c r="M10">
        <f t="shared" si="4"/>
        <v>6.332885032381709</v>
      </c>
      <c r="N10">
        <f t="shared" si="5"/>
        <v>3.6530628806986796</v>
      </c>
      <c r="O10">
        <f t="shared" si="6"/>
        <v>93.797150041911152</v>
      </c>
      <c r="P10">
        <f t="shared" si="7"/>
        <v>91.953059513830681</v>
      </c>
      <c r="Q10">
        <f t="shared" si="8"/>
        <v>80.637049455155079</v>
      </c>
    </row>
    <row r="11" spans="1:17" x14ac:dyDescent="0.3">
      <c r="A11">
        <v>51055586</v>
      </c>
      <c r="B11" t="str">
        <f>VLOOKUP(A11,ASESORES!$A$2:$B$993,2,0)</f>
        <v>PUGH</v>
      </c>
      <c r="C11">
        <v>134659725.91999999</v>
      </c>
      <c r="D11">
        <v>179875054.05000001</v>
      </c>
      <c r="E11">
        <v>234157068.72999999</v>
      </c>
      <c r="F11">
        <v>209912016</v>
      </c>
      <c r="G11">
        <v>272322165</v>
      </c>
      <c r="H11">
        <v>316001534</v>
      </c>
      <c r="I11">
        <f t="shared" si="0"/>
        <v>0.55883293661763922</v>
      </c>
      <c r="J11">
        <f t="shared" si="1"/>
        <v>0.51395181748939112</v>
      </c>
      <c r="K11">
        <f t="shared" si="2"/>
        <v>0.34952805701702983</v>
      </c>
      <c r="L11">
        <f t="shared" si="3"/>
        <v>4.6506285427917362</v>
      </c>
      <c r="M11">
        <f t="shared" si="4"/>
        <v>4.3352262339605945</v>
      </c>
      <c r="N11">
        <f t="shared" si="5"/>
        <v>2.9708798481319083</v>
      </c>
      <c r="O11">
        <f t="shared" si="6"/>
        <v>83.403185247275786</v>
      </c>
      <c r="P11">
        <f t="shared" si="7"/>
        <v>78.625314333612735</v>
      </c>
      <c r="Q11">
        <f t="shared" si="8"/>
        <v>73.512154233025981</v>
      </c>
    </row>
    <row r="12" spans="1:17" x14ac:dyDescent="0.3">
      <c r="A12">
        <v>51025458</v>
      </c>
      <c r="B12" t="str">
        <f>VLOOKUP(A12,ASESORES!$A$2:$B$993,2,0)</f>
        <v>METTLER</v>
      </c>
      <c r="C12">
        <v>50053961.510000013</v>
      </c>
      <c r="D12">
        <v>79399098.459999993</v>
      </c>
      <c r="E12">
        <v>92866935.859999999</v>
      </c>
      <c r="F12">
        <v>86505908</v>
      </c>
      <c r="G12">
        <v>188766499</v>
      </c>
      <c r="H12">
        <v>310171156</v>
      </c>
      <c r="I12">
        <f t="shared" si="0"/>
        <v>0.72825297719377202</v>
      </c>
      <c r="J12">
        <f t="shared" si="1"/>
        <v>1.3774388206069816</v>
      </c>
      <c r="K12">
        <f t="shared" si="2"/>
        <v>2.3399525151512846</v>
      </c>
      <c r="L12">
        <f t="shared" si="3"/>
        <v>5.7801772114091525</v>
      </c>
      <c r="M12">
        <f t="shared" si="4"/>
        <v>11.39958026283025</v>
      </c>
      <c r="N12">
        <f t="shared" si="5"/>
        <v>19.869944073840617</v>
      </c>
      <c r="O12">
        <f t="shared" si="6"/>
        <v>89.689857502095563</v>
      </c>
      <c r="P12">
        <f t="shared" si="7"/>
        <v>98.155909471919529</v>
      </c>
      <c r="Q12">
        <f t="shared" si="8"/>
        <v>99.58088851634534</v>
      </c>
    </row>
    <row r="13" spans="1:17" x14ac:dyDescent="0.3">
      <c r="A13">
        <v>51025709</v>
      </c>
      <c r="B13" t="str">
        <f>VLOOKUP(A13,ASESORES!$A$2:$B$993,2,0)</f>
        <v>PRADES</v>
      </c>
      <c r="C13">
        <v>160541614.05000001</v>
      </c>
      <c r="D13">
        <v>215406848.75</v>
      </c>
      <c r="E13">
        <v>304453186.45999998</v>
      </c>
      <c r="F13">
        <v>206993349</v>
      </c>
      <c r="G13">
        <v>245357319</v>
      </c>
      <c r="H13">
        <v>309340264</v>
      </c>
      <c r="I13">
        <f t="shared" si="0"/>
        <v>0.28934388896534191</v>
      </c>
      <c r="J13">
        <f t="shared" si="1"/>
        <v>0.13904140199720549</v>
      </c>
      <c r="K13">
        <f t="shared" si="2"/>
        <v>1.6051983547369142E-2</v>
      </c>
      <c r="L13">
        <f t="shared" si="3"/>
        <v>2.4061711626850641</v>
      </c>
      <c r="M13">
        <f t="shared" si="4"/>
        <v>1.1665294178678289</v>
      </c>
      <c r="N13">
        <f t="shared" si="5"/>
        <v>0.1362883462348056</v>
      </c>
      <c r="O13">
        <f t="shared" si="6"/>
        <v>54.149203688181061</v>
      </c>
      <c r="P13">
        <f t="shared" si="7"/>
        <v>37.217099748533109</v>
      </c>
      <c r="Q13">
        <f t="shared" si="8"/>
        <v>33.277451802179378</v>
      </c>
    </row>
    <row r="14" spans="1:17" x14ac:dyDescent="0.3">
      <c r="A14">
        <v>51019709</v>
      </c>
      <c r="B14" t="str">
        <f>VLOOKUP(A14,ASESORES!$A$2:$B$993,2,0)</f>
        <v>PRADES</v>
      </c>
      <c r="C14">
        <v>152422569.80000001</v>
      </c>
      <c r="D14">
        <v>192900010.63999999</v>
      </c>
      <c r="E14">
        <v>222969609.25999999</v>
      </c>
      <c r="F14">
        <v>176301562</v>
      </c>
      <c r="G14">
        <v>213687184</v>
      </c>
      <c r="H14">
        <v>305980573</v>
      </c>
      <c r="I14">
        <f t="shared" si="0"/>
        <v>0.1566630993778193</v>
      </c>
      <c r="J14">
        <f t="shared" si="1"/>
        <v>0.10776139042726185</v>
      </c>
      <c r="K14">
        <f t="shared" si="2"/>
        <v>0.37229721133521276</v>
      </c>
      <c r="L14">
        <f t="shared" si="3"/>
        <v>1.2918840483026712</v>
      </c>
      <c r="M14">
        <f t="shared" si="4"/>
        <v>0.89762851051489179</v>
      </c>
      <c r="N14">
        <f t="shared" si="5"/>
        <v>3.1592001579335904</v>
      </c>
      <c r="O14">
        <f t="shared" si="6"/>
        <v>36.630343671416597</v>
      </c>
      <c r="P14">
        <f t="shared" si="7"/>
        <v>33.528918692372173</v>
      </c>
      <c r="Q14">
        <f t="shared" si="8"/>
        <v>76.026823134953901</v>
      </c>
    </row>
    <row r="15" spans="1:17" x14ac:dyDescent="0.3">
      <c r="A15">
        <v>51019377</v>
      </c>
      <c r="B15" t="str">
        <f>VLOOKUP(A15,ASESORES!$A$2:$B$993,2,0)</f>
        <v>PRADES</v>
      </c>
      <c r="C15">
        <v>172548360.37</v>
      </c>
      <c r="D15">
        <v>175588887.72999999</v>
      </c>
      <c r="E15">
        <v>226548709.94999999</v>
      </c>
      <c r="F15">
        <v>234936479</v>
      </c>
      <c r="G15">
        <v>266241389</v>
      </c>
      <c r="H15">
        <v>301487799</v>
      </c>
      <c r="I15">
        <f t="shared" si="0"/>
        <v>0.36156888710051782</v>
      </c>
      <c r="J15">
        <f t="shared" si="1"/>
        <v>0.51627698336693606</v>
      </c>
      <c r="K15">
        <f t="shared" si="2"/>
        <v>0.33078576817559147</v>
      </c>
      <c r="L15">
        <f t="shared" si="3"/>
        <v>3.0266752402341179</v>
      </c>
      <c r="M15">
        <f t="shared" si="4"/>
        <v>4.3497758555012807</v>
      </c>
      <c r="N15">
        <f t="shared" si="5"/>
        <v>2.8048217549235877</v>
      </c>
      <c r="O15">
        <f t="shared" si="6"/>
        <v>64.543168482816426</v>
      </c>
      <c r="P15">
        <f t="shared" si="7"/>
        <v>78.792958927074594</v>
      </c>
      <c r="Q15">
        <f t="shared" si="8"/>
        <v>70.326906957250628</v>
      </c>
    </row>
    <row r="16" spans="1:17" x14ac:dyDescent="0.3">
      <c r="A16">
        <v>51017447</v>
      </c>
      <c r="B16" t="str">
        <f>VLOOKUP(A16,ASESORES!$A$2:$B$993,2,0)</f>
        <v>ROBERTS</v>
      </c>
      <c r="C16">
        <v>108372077.7</v>
      </c>
      <c r="D16">
        <v>154695485.72</v>
      </c>
      <c r="E16">
        <v>203069440.61000001</v>
      </c>
      <c r="F16">
        <v>161610480</v>
      </c>
      <c r="G16">
        <v>207033744</v>
      </c>
      <c r="H16">
        <v>298156496</v>
      </c>
      <c r="I16">
        <f t="shared" si="0"/>
        <v>0.49125571300180026</v>
      </c>
      <c r="J16">
        <f t="shared" si="1"/>
        <v>0.3383308700729164</v>
      </c>
      <c r="K16">
        <f t="shared" si="2"/>
        <v>0.46824896500609903</v>
      </c>
      <c r="L16">
        <f t="shared" si="3"/>
        <v>4.0324575467834256</v>
      </c>
      <c r="M16">
        <f t="shared" si="4"/>
        <v>2.8135734330988891</v>
      </c>
      <c r="N16">
        <f t="shared" si="5"/>
        <v>3.9681497611698169</v>
      </c>
      <c r="O16">
        <f t="shared" si="6"/>
        <v>77.451802179379712</v>
      </c>
      <c r="P16">
        <f t="shared" si="7"/>
        <v>60.18440905280805</v>
      </c>
      <c r="Q16">
        <f t="shared" si="8"/>
        <v>83.319362950544843</v>
      </c>
    </row>
    <row r="17" spans="1:17" x14ac:dyDescent="0.3">
      <c r="A17">
        <v>51055721</v>
      </c>
      <c r="B17" t="str">
        <f>VLOOKUP(A17,ASESORES!$A$2:$B$993,2,0)</f>
        <v>NELLI</v>
      </c>
      <c r="C17">
        <v>137401732.31999999</v>
      </c>
      <c r="D17">
        <v>184998128.77000001</v>
      </c>
      <c r="E17">
        <v>228427582.16</v>
      </c>
      <c r="F17">
        <v>178572743</v>
      </c>
      <c r="G17">
        <v>248097585</v>
      </c>
      <c r="H17">
        <v>289678308</v>
      </c>
      <c r="I17">
        <f t="shared" si="0"/>
        <v>0.29963967691553783</v>
      </c>
      <c r="J17">
        <f t="shared" si="1"/>
        <v>0.3410815917411183</v>
      </c>
      <c r="K17">
        <f t="shared" si="2"/>
        <v>0.26814067399749253</v>
      </c>
      <c r="L17">
        <f t="shared" si="3"/>
        <v>2.4725712314266857</v>
      </c>
      <c r="M17">
        <f t="shared" si="4"/>
        <v>2.8632512169307742</v>
      </c>
      <c r="N17">
        <f t="shared" si="5"/>
        <v>2.2689838528784994</v>
      </c>
      <c r="O17">
        <f t="shared" si="6"/>
        <v>55.406538139145013</v>
      </c>
      <c r="P17">
        <f t="shared" si="7"/>
        <v>61.022632020117349</v>
      </c>
      <c r="Q17">
        <f t="shared" si="8"/>
        <v>62.866722548197821</v>
      </c>
    </row>
    <row r="18" spans="1:17" x14ac:dyDescent="0.3">
      <c r="A18">
        <v>51023064</v>
      </c>
      <c r="B18" t="str">
        <f>VLOOKUP(A18,ASESORES!$A$2:$B$993,2,0)</f>
        <v>CICHETTO</v>
      </c>
      <c r="C18">
        <v>151672963.47</v>
      </c>
      <c r="D18">
        <v>182159521.00999999</v>
      </c>
      <c r="E18">
        <v>223382327.91999999</v>
      </c>
      <c r="F18">
        <v>200258764</v>
      </c>
      <c r="G18">
        <v>247357894</v>
      </c>
      <c r="H18">
        <v>285672003</v>
      </c>
      <c r="I18">
        <f t="shared" si="0"/>
        <v>0.32033263818709501</v>
      </c>
      <c r="J18">
        <f t="shared" si="1"/>
        <v>0.35791910644308733</v>
      </c>
      <c r="K18">
        <f t="shared" si="2"/>
        <v>0.27884781961045668</v>
      </c>
      <c r="L18">
        <f t="shared" si="3"/>
        <v>2.6592707163940457</v>
      </c>
      <c r="M18">
        <f t="shared" si="4"/>
        <v>3.0041316613591005</v>
      </c>
      <c r="N18">
        <f t="shared" si="5"/>
        <v>2.3579002654463661</v>
      </c>
      <c r="O18">
        <f t="shared" si="6"/>
        <v>58.507963118189444</v>
      </c>
      <c r="P18">
        <f t="shared" si="7"/>
        <v>63.285834031852474</v>
      </c>
      <c r="Q18">
        <f t="shared" si="8"/>
        <v>64.291701592623639</v>
      </c>
    </row>
    <row r="19" spans="1:17" x14ac:dyDescent="0.3">
      <c r="A19">
        <v>51055063</v>
      </c>
      <c r="B19" t="str">
        <f>VLOOKUP(A19,ASESORES!$A$2:$B$993,2,0)</f>
        <v>CICHETTO</v>
      </c>
      <c r="C19">
        <v>126165109.62</v>
      </c>
      <c r="D19">
        <v>172753400.50999999</v>
      </c>
      <c r="E19">
        <v>228619055.24000001</v>
      </c>
      <c r="F19">
        <v>182529109</v>
      </c>
      <c r="G19">
        <v>239824272</v>
      </c>
      <c r="H19">
        <v>272545093</v>
      </c>
      <c r="I19">
        <f t="shared" si="0"/>
        <v>0.44674791271346104</v>
      </c>
      <c r="J19">
        <f t="shared" si="1"/>
        <v>0.38824631695812872</v>
      </c>
      <c r="K19">
        <f t="shared" si="2"/>
        <v>0.19213638038127345</v>
      </c>
      <c r="L19">
        <f t="shared" si="3"/>
        <v>3.6907328870227563</v>
      </c>
      <c r="M19">
        <f t="shared" si="4"/>
        <v>3.2534626460961089</v>
      </c>
      <c r="N19">
        <f t="shared" si="5"/>
        <v>1.620754594810786</v>
      </c>
      <c r="O19">
        <f t="shared" si="6"/>
        <v>73.931265716680642</v>
      </c>
      <c r="P19">
        <f t="shared" si="7"/>
        <v>66.303436714165969</v>
      </c>
      <c r="Q19">
        <f t="shared" si="8"/>
        <v>53.813914501257329</v>
      </c>
    </row>
    <row r="20" spans="1:17" x14ac:dyDescent="0.3">
      <c r="A20">
        <v>51024893</v>
      </c>
      <c r="B20" t="str">
        <f>VLOOKUP(A20,ASESORES!$A$2:$B$993,2,0)</f>
        <v>PRADES</v>
      </c>
      <c r="C20">
        <v>269405734.22000003</v>
      </c>
      <c r="D20">
        <v>205010765.22999999</v>
      </c>
      <c r="E20">
        <v>260116550.99000001</v>
      </c>
      <c r="F20">
        <v>283504043</v>
      </c>
      <c r="G20">
        <v>229926280</v>
      </c>
      <c r="H20">
        <v>271998768</v>
      </c>
      <c r="I20">
        <f t="shared" si="0"/>
        <v>5.2331138462283544E-2</v>
      </c>
      <c r="J20">
        <f t="shared" si="1"/>
        <v>0.1215327143530609</v>
      </c>
      <c r="K20">
        <f t="shared" si="2"/>
        <v>4.5680357381244763E-2</v>
      </c>
      <c r="L20">
        <f t="shared" si="3"/>
        <v>0.44233204882136667</v>
      </c>
      <c r="M20">
        <f t="shared" si="4"/>
        <v>1.0162065604271637</v>
      </c>
      <c r="N20">
        <f t="shared" si="5"/>
        <v>0.38529403203504853</v>
      </c>
      <c r="O20">
        <f t="shared" si="6"/>
        <v>26.823134953897735</v>
      </c>
      <c r="P20">
        <f t="shared" si="7"/>
        <v>35.959765297569149</v>
      </c>
      <c r="Q20">
        <f t="shared" si="8"/>
        <v>35.959765297569149</v>
      </c>
    </row>
    <row r="21" spans="1:17" x14ac:dyDescent="0.3">
      <c r="A21">
        <v>51013638</v>
      </c>
      <c r="B21" t="str">
        <f>VLOOKUP(A21,ASESORES!$A$2:$B$993,2,0)</f>
        <v>LÓPEZ</v>
      </c>
      <c r="C21">
        <v>59209170.180000007</v>
      </c>
      <c r="D21">
        <v>73352083.329999998</v>
      </c>
      <c r="E21">
        <v>102659011.87</v>
      </c>
      <c r="F21">
        <v>91093441</v>
      </c>
      <c r="G21">
        <v>113900415</v>
      </c>
      <c r="H21">
        <v>270880029</v>
      </c>
      <c r="I21">
        <f t="shared" si="0"/>
        <v>0.53850224083650522</v>
      </c>
      <c r="J21">
        <f t="shared" si="1"/>
        <v>0.55279045705599317</v>
      </c>
      <c r="K21">
        <f t="shared" si="2"/>
        <v>1.6386385770303633</v>
      </c>
      <c r="L21">
        <f t="shared" si="3"/>
        <v>4.2862016433508341</v>
      </c>
      <c r="M21">
        <f t="shared" si="4"/>
        <v>4.4535703064348757</v>
      </c>
      <c r="N21">
        <f t="shared" si="5"/>
        <v>13.818273682817731</v>
      </c>
      <c r="O21">
        <f t="shared" si="6"/>
        <v>79.547359597652985</v>
      </c>
      <c r="P21">
        <f t="shared" si="7"/>
        <v>79.798826487845758</v>
      </c>
      <c r="Q21">
        <f t="shared" si="8"/>
        <v>98.994132439228835</v>
      </c>
    </row>
    <row r="22" spans="1:17" x14ac:dyDescent="0.3">
      <c r="A22">
        <v>51011015</v>
      </c>
      <c r="B22" t="str">
        <f>VLOOKUP(A22,ASESORES!$A$2:$B$993,2,0)</f>
        <v>CICHETTO</v>
      </c>
      <c r="C22">
        <v>170246670.94999999</v>
      </c>
      <c r="D22">
        <v>186380250.25</v>
      </c>
      <c r="E22">
        <v>214209474.03999999</v>
      </c>
      <c r="F22">
        <v>176730724</v>
      </c>
      <c r="G22">
        <v>226532398</v>
      </c>
      <c r="H22">
        <v>264468419</v>
      </c>
      <c r="I22">
        <f t="shared" si="0"/>
        <v>3.8086225203806334E-2</v>
      </c>
      <c r="J22">
        <f t="shared" si="1"/>
        <v>0.21543134369731853</v>
      </c>
      <c r="K22">
        <f t="shared" si="2"/>
        <v>0.23462521994062224</v>
      </c>
      <c r="L22">
        <f t="shared" si="3"/>
        <v>0.31410898431381684</v>
      </c>
      <c r="M22">
        <f t="shared" si="4"/>
        <v>1.7999569521026251</v>
      </c>
      <c r="N22">
        <f t="shared" si="5"/>
        <v>1.9761013097065929</v>
      </c>
      <c r="O22">
        <f t="shared" si="6"/>
        <v>25.649622799664712</v>
      </c>
      <c r="P22">
        <f t="shared" si="7"/>
        <v>45.599329421626152</v>
      </c>
      <c r="Q22">
        <f t="shared" si="8"/>
        <v>58.17267393126572</v>
      </c>
    </row>
    <row r="23" spans="1:17" x14ac:dyDescent="0.3">
      <c r="A23">
        <v>51020758</v>
      </c>
      <c r="B23" t="str">
        <f>VLOOKUP(A23,ASESORES!$A$2:$B$993,2,0)</f>
        <v>PRADES</v>
      </c>
      <c r="C23">
        <v>136151026.00999999</v>
      </c>
      <c r="D23">
        <v>185865454.96000001</v>
      </c>
      <c r="E23">
        <v>254483046.43000001</v>
      </c>
      <c r="F23">
        <v>188876507</v>
      </c>
      <c r="G23">
        <v>230535578</v>
      </c>
      <c r="H23">
        <v>257842489</v>
      </c>
      <c r="I23">
        <f t="shared" si="0"/>
        <v>0.38725731663694885</v>
      </c>
      <c r="J23">
        <f t="shared" si="1"/>
        <v>0.24033580123650955</v>
      </c>
      <c r="K23">
        <f t="shared" si="2"/>
        <v>1.3201046659601534E-2</v>
      </c>
      <c r="L23">
        <f t="shared" si="3"/>
        <v>3.2050104620192061</v>
      </c>
      <c r="M23">
        <f t="shared" si="4"/>
        <v>2.0098653277914997</v>
      </c>
      <c r="N23">
        <f t="shared" si="5"/>
        <v>0.11103868302491902</v>
      </c>
      <c r="O23">
        <f t="shared" si="6"/>
        <v>67.476948868398992</v>
      </c>
      <c r="P23">
        <f t="shared" si="7"/>
        <v>48.700754400670576</v>
      </c>
      <c r="Q23">
        <f t="shared" si="8"/>
        <v>33.02598491198659</v>
      </c>
    </row>
    <row r="24" spans="1:17" x14ac:dyDescent="0.3">
      <c r="A24">
        <v>51022734</v>
      </c>
      <c r="B24" t="str">
        <f>VLOOKUP(A24,ASESORES!$A$2:$B$993,2,0)</f>
        <v>ARGUELLO</v>
      </c>
      <c r="C24">
        <v>110317949.55</v>
      </c>
      <c r="D24">
        <v>150474161.59</v>
      </c>
      <c r="E24">
        <v>192709799.94999999</v>
      </c>
      <c r="F24">
        <v>194746110</v>
      </c>
      <c r="G24">
        <v>267163477</v>
      </c>
      <c r="H24">
        <v>247021037</v>
      </c>
      <c r="I24">
        <f t="shared" si="0"/>
        <v>0.76531662158689939</v>
      </c>
      <c r="J24">
        <f t="shared" si="1"/>
        <v>0.77547742533994457</v>
      </c>
      <c r="K24">
        <f t="shared" si="2"/>
        <v>0.28182913927621467</v>
      </c>
      <c r="L24">
        <f t="shared" si="3"/>
        <v>6.3440682502748826</v>
      </c>
      <c r="M24">
        <f t="shared" si="4"/>
        <v>6.5347753993066817</v>
      </c>
      <c r="N24">
        <f t="shared" si="5"/>
        <v>2.365316982643197</v>
      </c>
      <c r="O24">
        <f t="shared" si="6"/>
        <v>92.03688181056161</v>
      </c>
      <c r="P24">
        <f t="shared" si="7"/>
        <v>92.45599329421627</v>
      </c>
      <c r="Q24">
        <f t="shared" si="8"/>
        <v>64.375523889354568</v>
      </c>
    </row>
    <row r="25" spans="1:17" x14ac:dyDescent="0.3">
      <c r="A25">
        <v>51036034</v>
      </c>
      <c r="B25" t="str">
        <f>VLOOKUP(A25,ASESORES!$A$2:$B$993,2,0)</f>
        <v>NELLI</v>
      </c>
      <c r="C25">
        <v>32891595.73</v>
      </c>
      <c r="D25">
        <v>51575631.5</v>
      </c>
      <c r="E25">
        <v>116221399.38</v>
      </c>
      <c r="F25">
        <v>92518694</v>
      </c>
      <c r="G25">
        <v>129521473</v>
      </c>
      <c r="H25">
        <v>244455866</v>
      </c>
      <c r="I25">
        <f t="shared" si="0"/>
        <v>1.8128368948550251</v>
      </c>
      <c r="J25">
        <f t="shared" si="1"/>
        <v>1.511292043026172</v>
      </c>
      <c r="K25">
        <f t="shared" si="2"/>
        <v>1.1033636430475409</v>
      </c>
      <c r="L25">
        <f t="shared" si="3"/>
        <v>14.441474738902528</v>
      </c>
      <c r="M25">
        <f t="shared" si="4"/>
        <v>12.260117574631401</v>
      </c>
      <c r="N25">
        <f t="shared" si="5"/>
        <v>9.2552354216023485</v>
      </c>
      <c r="O25">
        <f t="shared" si="6"/>
        <v>98.910310142497906</v>
      </c>
      <c r="P25">
        <f t="shared" si="7"/>
        <v>98.323554065381387</v>
      </c>
      <c r="Q25">
        <f t="shared" si="8"/>
        <v>98.072087175188599</v>
      </c>
    </row>
    <row r="26" spans="1:17" x14ac:dyDescent="0.3">
      <c r="A26">
        <v>51019954</v>
      </c>
      <c r="B26" t="str">
        <f>VLOOKUP(A26,ASESORES!$A$2:$B$993,2,0)</f>
        <v>ARGUELLO</v>
      </c>
      <c r="C26">
        <v>124669201.97</v>
      </c>
      <c r="D26">
        <v>134064521.40000001</v>
      </c>
      <c r="E26">
        <v>180243626.44999999</v>
      </c>
      <c r="F26">
        <v>152674678</v>
      </c>
      <c r="G26">
        <v>216031969</v>
      </c>
      <c r="H26">
        <v>241268438</v>
      </c>
      <c r="I26">
        <f t="shared" si="0"/>
        <v>0.22463828746364434</v>
      </c>
      <c r="J26">
        <f t="shared" si="1"/>
        <v>0.61140297779036401</v>
      </c>
      <c r="K26">
        <f t="shared" si="2"/>
        <v>0.33856848506611925</v>
      </c>
      <c r="L26">
        <f t="shared" si="3"/>
        <v>1.8383874067379664</v>
      </c>
      <c r="M26">
        <f t="shared" si="4"/>
        <v>5.0957491383141233</v>
      </c>
      <c r="N26">
        <f t="shared" si="5"/>
        <v>2.8380504995990523</v>
      </c>
      <c r="O26">
        <f t="shared" si="6"/>
        <v>44.928751047778711</v>
      </c>
      <c r="P26">
        <f t="shared" si="7"/>
        <v>85.750209555741833</v>
      </c>
      <c r="Q26">
        <f t="shared" si="8"/>
        <v>71.081307627829005</v>
      </c>
    </row>
    <row r="27" spans="1:17" x14ac:dyDescent="0.3">
      <c r="A27">
        <v>51041895</v>
      </c>
      <c r="B27" t="str">
        <f>VLOOKUP(A27,ASESORES!$A$2:$B$993,2,0)</f>
        <v>CICHETTO</v>
      </c>
      <c r="C27">
        <v>133977178.45</v>
      </c>
      <c r="D27">
        <v>177218331.81</v>
      </c>
      <c r="E27">
        <v>213637288.99000001</v>
      </c>
      <c r="F27">
        <v>166613130</v>
      </c>
      <c r="G27">
        <v>221178255</v>
      </c>
      <c r="H27">
        <v>241159246</v>
      </c>
      <c r="I27">
        <f t="shared" si="0"/>
        <v>0.24359336364274653</v>
      </c>
      <c r="J27">
        <f t="shared" si="1"/>
        <v>0.24805516867820687</v>
      </c>
      <c r="K27">
        <f t="shared" si="2"/>
        <v>0.12882562374814754</v>
      </c>
      <c r="L27">
        <f t="shared" si="3"/>
        <v>2.0027538045553968</v>
      </c>
      <c r="M27">
        <f t="shared" si="4"/>
        <v>2.0699564903911516</v>
      </c>
      <c r="N27">
        <f t="shared" si="5"/>
        <v>1.0798555305985895</v>
      </c>
      <c r="O27">
        <f t="shared" si="6"/>
        <v>46.772841575859182</v>
      </c>
      <c r="P27">
        <f t="shared" si="7"/>
        <v>49.455155071248953</v>
      </c>
      <c r="Q27">
        <f t="shared" si="8"/>
        <v>44.844928751047782</v>
      </c>
    </row>
    <row r="28" spans="1:17" x14ac:dyDescent="0.3">
      <c r="A28">
        <v>51031075</v>
      </c>
      <c r="B28" t="str">
        <f>VLOOKUP(A28,ASESORES!$A$2:$B$993,2,0)</f>
        <v>PUGH</v>
      </c>
      <c r="C28">
        <v>95511363.310000002</v>
      </c>
      <c r="D28">
        <v>96907803.199999988</v>
      </c>
      <c r="E28">
        <v>152362745.09999999</v>
      </c>
      <c r="F28">
        <v>160739864</v>
      </c>
      <c r="G28">
        <v>212677237</v>
      </c>
      <c r="H28">
        <v>239010718</v>
      </c>
      <c r="I28">
        <f t="shared" si="0"/>
        <v>0.68293968832052676</v>
      </c>
      <c r="J28">
        <f t="shared" si="1"/>
        <v>1.1946347969633888</v>
      </c>
      <c r="K28">
        <f t="shared" si="2"/>
        <v>0.56869527287087451</v>
      </c>
      <c r="L28">
        <f t="shared" si="3"/>
        <v>5.6042874913413261</v>
      </c>
      <c r="M28">
        <f t="shared" si="4"/>
        <v>9.9485852973930218</v>
      </c>
      <c r="N28">
        <f t="shared" si="5"/>
        <v>4.7647663561713838</v>
      </c>
      <c r="O28">
        <f t="shared" si="6"/>
        <v>88.767812238055328</v>
      </c>
      <c r="P28">
        <f t="shared" si="7"/>
        <v>97.485331098072095</v>
      </c>
      <c r="Q28">
        <f t="shared" si="8"/>
        <v>89.941324392288351</v>
      </c>
    </row>
    <row r="29" spans="1:17" x14ac:dyDescent="0.3">
      <c r="A29">
        <v>51016815</v>
      </c>
      <c r="B29" t="str">
        <f>VLOOKUP(A29,ASESORES!$A$2:$B$993,2,0)</f>
        <v>ROBERTS</v>
      </c>
      <c r="C29">
        <v>88802682.569999993</v>
      </c>
      <c r="D29">
        <v>122975960.7</v>
      </c>
      <c r="E29">
        <v>139380056.87</v>
      </c>
      <c r="F29">
        <v>109611627</v>
      </c>
      <c r="G29">
        <v>194117347</v>
      </c>
      <c r="H29">
        <v>237746176</v>
      </c>
      <c r="I29">
        <f t="shared" si="0"/>
        <v>0.23432788095784218</v>
      </c>
      <c r="J29">
        <f t="shared" si="1"/>
        <v>0.57849831702920773</v>
      </c>
      <c r="K29">
        <f t="shared" si="2"/>
        <v>0.70574027116193694</v>
      </c>
      <c r="L29">
        <f t="shared" si="3"/>
        <v>1.8839625659460812</v>
      </c>
      <c r="M29">
        <f t="shared" si="4"/>
        <v>4.7946312762763652</v>
      </c>
      <c r="N29">
        <f t="shared" si="5"/>
        <v>5.9113606412200363</v>
      </c>
      <c r="O29">
        <f t="shared" si="6"/>
        <v>45.515507124895223</v>
      </c>
      <c r="P29">
        <f t="shared" si="7"/>
        <v>83.067896060352055</v>
      </c>
      <c r="Q29">
        <f t="shared" si="8"/>
        <v>94.04861693210394</v>
      </c>
    </row>
    <row r="30" spans="1:17" x14ac:dyDescent="0.3">
      <c r="A30">
        <v>51010761</v>
      </c>
      <c r="B30" t="str">
        <f>VLOOKUP(A30,ASESORES!$A$2:$B$993,2,0)</f>
        <v>CICHETTO</v>
      </c>
      <c r="C30">
        <v>94416078.50999999</v>
      </c>
      <c r="D30">
        <v>86473776.789999992</v>
      </c>
      <c r="E30">
        <v>122215718.8</v>
      </c>
      <c r="F30">
        <v>140887697</v>
      </c>
      <c r="G30">
        <v>293682748</v>
      </c>
      <c r="H30">
        <v>236678595</v>
      </c>
      <c r="I30">
        <f t="shared" si="0"/>
        <v>0.49220026105064307</v>
      </c>
      <c r="J30">
        <f t="shared" si="1"/>
        <v>2.3962058661228971</v>
      </c>
      <c r="K30">
        <f t="shared" si="2"/>
        <v>0.93656427605120784</v>
      </c>
      <c r="L30">
        <f t="shared" si="3"/>
        <v>4.0108774523498392</v>
      </c>
      <c r="M30">
        <f t="shared" si="4"/>
        <v>20.29077998009927</v>
      </c>
      <c r="N30">
        <f t="shared" si="5"/>
        <v>7.8429381449841271</v>
      </c>
      <c r="O30">
        <f t="shared" si="6"/>
        <v>77.284157585917853</v>
      </c>
      <c r="P30">
        <f t="shared" si="7"/>
        <v>98.994132439228835</v>
      </c>
      <c r="Q30">
        <f t="shared" si="8"/>
        <v>96.982397317686505</v>
      </c>
    </row>
    <row r="31" spans="1:17" x14ac:dyDescent="0.3">
      <c r="A31">
        <v>51013301</v>
      </c>
      <c r="B31" t="str">
        <f>VLOOKUP(A31,ASESORES!$A$2:$B$993,2,0)</f>
        <v>AYALA</v>
      </c>
      <c r="C31">
        <v>60516911.530000001</v>
      </c>
      <c r="D31">
        <v>86141986.719999999</v>
      </c>
      <c r="E31">
        <v>113989702.39</v>
      </c>
      <c r="F31">
        <v>118445875</v>
      </c>
      <c r="G31">
        <v>166020004</v>
      </c>
      <c r="H31">
        <v>235541840</v>
      </c>
      <c r="I31">
        <f t="shared" si="0"/>
        <v>0.95723595281763374</v>
      </c>
      <c r="J31">
        <f t="shared" si="1"/>
        <v>0.927283202088655</v>
      </c>
      <c r="K31">
        <f t="shared" si="2"/>
        <v>1.0663431438229933</v>
      </c>
      <c r="L31">
        <f t="shared" si="3"/>
        <v>7.7282635529017831</v>
      </c>
      <c r="M31">
        <f t="shared" si="4"/>
        <v>7.6224166759291396</v>
      </c>
      <c r="N31">
        <f t="shared" si="5"/>
        <v>8.9274973789646399</v>
      </c>
      <c r="O31">
        <f t="shared" si="6"/>
        <v>94.970662196144175</v>
      </c>
      <c r="P31">
        <f t="shared" si="7"/>
        <v>95.138306789606034</v>
      </c>
      <c r="Q31">
        <f t="shared" si="8"/>
        <v>97.904442581726741</v>
      </c>
    </row>
    <row r="32" spans="1:17" x14ac:dyDescent="0.3">
      <c r="A32">
        <v>51041933</v>
      </c>
      <c r="B32" t="str">
        <f>VLOOKUP(A32,ASESORES!$A$2:$B$993,2,0)</f>
        <v>PUGH</v>
      </c>
      <c r="C32">
        <v>78017346.879999995</v>
      </c>
      <c r="D32">
        <v>119154834.84</v>
      </c>
      <c r="E32">
        <v>154285988.47999999</v>
      </c>
      <c r="F32">
        <v>134738265</v>
      </c>
      <c r="G32">
        <v>187325271</v>
      </c>
      <c r="H32">
        <v>228724697</v>
      </c>
      <c r="I32">
        <f t="shared" si="0"/>
        <v>0.72702956955513431</v>
      </c>
      <c r="J32">
        <f t="shared" si="1"/>
        <v>0.57211640846583034</v>
      </c>
      <c r="K32">
        <f t="shared" si="2"/>
        <v>0.48247225333523702</v>
      </c>
      <c r="L32">
        <f t="shared" si="3"/>
        <v>5.910380306605802</v>
      </c>
      <c r="M32">
        <f t="shared" si="4"/>
        <v>4.7328881236380616</v>
      </c>
      <c r="N32">
        <f t="shared" si="5"/>
        <v>4.0331366088470659</v>
      </c>
      <c r="O32">
        <f t="shared" si="6"/>
        <v>90.276613579212068</v>
      </c>
      <c r="P32">
        <f t="shared" si="7"/>
        <v>82.06202849958089</v>
      </c>
      <c r="Q32">
        <f t="shared" si="8"/>
        <v>84.325230511316008</v>
      </c>
    </row>
    <row r="33" spans="1:17" x14ac:dyDescent="0.3">
      <c r="A33">
        <v>51014006</v>
      </c>
      <c r="B33" t="str">
        <f>VLOOKUP(A33,ASESORES!$A$2:$B$993,2,0)</f>
        <v>ARGUELLO</v>
      </c>
      <c r="C33">
        <v>134434730.69</v>
      </c>
      <c r="D33">
        <v>204859290.13999999</v>
      </c>
      <c r="E33">
        <v>205511843.06</v>
      </c>
      <c r="F33">
        <v>188319652</v>
      </c>
      <c r="G33">
        <v>253081245</v>
      </c>
      <c r="H33">
        <v>219460492</v>
      </c>
      <c r="I33">
        <f t="shared" si="0"/>
        <v>0.40082589546191039</v>
      </c>
      <c r="J33">
        <f t="shared" si="1"/>
        <v>0.23539061776034331</v>
      </c>
      <c r="K33">
        <f t="shared" si="2"/>
        <v>6.7872725641060283E-2</v>
      </c>
      <c r="L33">
        <f t="shared" si="3"/>
        <v>3.3167924559424358</v>
      </c>
      <c r="M33">
        <f t="shared" si="4"/>
        <v>1.9780485537141095</v>
      </c>
      <c r="N33">
        <f t="shared" si="5"/>
        <v>0.56615059091556963</v>
      </c>
      <c r="O33">
        <f t="shared" si="6"/>
        <v>69.069572506286676</v>
      </c>
      <c r="P33">
        <f t="shared" si="7"/>
        <v>47.862531433361269</v>
      </c>
      <c r="Q33">
        <f t="shared" si="8"/>
        <v>38.222967309304273</v>
      </c>
    </row>
    <row r="34" spans="1:17" x14ac:dyDescent="0.3">
      <c r="A34">
        <v>51000111</v>
      </c>
      <c r="B34" t="str">
        <f>VLOOKUP(A34,ASESORES!$A$2:$B$993,2,0)</f>
        <v>AYALA</v>
      </c>
      <c r="C34">
        <v>104589026.55</v>
      </c>
      <c r="D34">
        <v>144666021.65000001</v>
      </c>
      <c r="E34">
        <v>203510235.28999999</v>
      </c>
      <c r="F34">
        <v>144094336</v>
      </c>
      <c r="G34">
        <v>170387815</v>
      </c>
      <c r="H34">
        <v>215612874</v>
      </c>
      <c r="I34">
        <f t="shared" si="0"/>
        <v>0.37771944871400098</v>
      </c>
      <c r="J34">
        <f t="shared" si="1"/>
        <v>0.17780120761342566</v>
      </c>
      <c r="K34">
        <f t="shared" si="2"/>
        <v>5.9469435002882598E-2</v>
      </c>
      <c r="L34">
        <f t="shared" si="3"/>
        <v>3.0816796131288573</v>
      </c>
      <c r="M34">
        <f t="shared" si="4"/>
        <v>1.4635597116869519</v>
      </c>
      <c r="N34">
        <f t="shared" si="5"/>
        <v>0.495598925224079</v>
      </c>
      <c r="O34">
        <f t="shared" si="6"/>
        <v>65.632858340318521</v>
      </c>
      <c r="P34">
        <f t="shared" si="7"/>
        <v>41.492036881810563</v>
      </c>
      <c r="Q34">
        <f t="shared" si="8"/>
        <v>37.300922045264038</v>
      </c>
    </row>
    <row r="35" spans="1:17" x14ac:dyDescent="0.3">
      <c r="A35">
        <v>51042735</v>
      </c>
      <c r="B35" t="str">
        <f>VLOOKUP(A35,ASESORES!$A$2:$B$993,2,0)</f>
        <v>ARGUELLO</v>
      </c>
      <c r="C35">
        <v>88424170.019999996</v>
      </c>
      <c r="D35">
        <v>126237388.14</v>
      </c>
      <c r="E35">
        <v>170340972</v>
      </c>
      <c r="F35">
        <v>144624178</v>
      </c>
      <c r="G35">
        <v>188516855</v>
      </c>
      <c r="H35">
        <v>213739199</v>
      </c>
      <c r="I35">
        <f t="shared" si="0"/>
        <v>0.63557292047285885</v>
      </c>
      <c r="J35">
        <f t="shared" si="1"/>
        <v>0.493351991653461</v>
      </c>
      <c r="K35">
        <f t="shared" si="2"/>
        <v>0.25477268616266913</v>
      </c>
      <c r="L35">
        <f t="shared" si="3"/>
        <v>5.1864281428431731</v>
      </c>
      <c r="M35">
        <f t="shared" si="4"/>
        <v>4.0826604958311137</v>
      </c>
      <c r="N35">
        <f t="shared" si="5"/>
        <v>2.1222269673291083</v>
      </c>
      <c r="O35">
        <f t="shared" si="6"/>
        <v>86.420787929589267</v>
      </c>
      <c r="P35">
        <f t="shared" si="7"/>
        <v>76.362112321877618</v>
      </c>
      <c r="Q35">
        <f t="shared" si="8"/>
        <v>60.100586756077114</v>
      </c>
    </row>
    <row r="36" spans="1:17" x14ac:dyDescent="0.3">
      <c r="A36">
        <v>51023218</v>
      </c>
      <c r="B36" t="str">
        <f>VLOOKUP(A36,ASESORES!$A$2:$B$993,2,0)</f>
        <v>PRADES</v>
      </c>
      <c r="C36">
        <v>113218295.7</v>
      </c>
      <c r="D36">
        <v>154596932.31</v>
      </c>
      <c r="E36">
        <v>259002796.90000001</v>
      </c>
      <c r="F36">
        <v>243824052</v>
      </c>
      <c r="G36">
        <v>297061310</v>
      </c>
      <c r="H36">
        <v>212577022</v>
      </c>
      <c r="I36">
        <f t="shared" si="0"/>
        <v>1.1535746541007152</v>
      </c>
      <c r="J36">
        <f t="shared" si="1"/>
        <v>0.92152137536809842</v>
      </c>
      <c r="K36">
        <f t="shared" si="2"/>
        <v>-0.17924816046648651</v>
      </c>
      <c r="L36">
        <f t="shared" si="3"/>
        <v>9.6751189235447423</v>
      </c>
      <c r="M36">
        <f t="shared" si="4"/>
        <v>7.80790878388897</v>
      </c>
      <c r="N36">
        <f t="shared" si="5"/>
        <v>-1.4926919813835364</v>
      </c>
      <c r="O36">
        <f t="shared" si="6"/>
        <v>96.647108130762788</v>
      </c>
      <c r="P36">
        <f t="shared" si="7"/>
        <v>95.305951383067907</v>
      </c>
      <c r="Q36">
        <f t="shared" si="8"/>
        <v>5.699916177703269</v>
      </c>
    </row>
    <row r="37" spans="1:17" x14ac:dyDescent="0.3">
      <c r="A37">
        <v>51002776</v>
      </c>
      <c r="B37" t="str">
        <f>VLOOKUP(A37,ASESORES!$A$2:$B$993,2,0)</f>
        <v>NELLI</v>
      </c>
      <c r="C37">
        <v>85829607.180000007</v>
      </c>
      <c r="D37">
        <v>127992050.75</v>
      </c>
      <c r="E37">
        <v>170633051.47</v>
      </c>
      <c r="F37">
        <v>116612483</v>
      </c>
      <c r="G37">
        <v>170826874</v>
      </c>
      <c r="H37">
        <v>211866268</v>
      </c>
      <c r="I37">
        <f t="shared" si="0"/>
        <v>0.35865101602344285</v>
      </c>
      <c r="J37">
        <f t="shared" si="1"/>
        <v>0.33466784069009847</v>
      </c>
      <c r="K37">
        <f t="shared" si="2"/>
        <v>0.24164847416591773</v>
      </c>
      <c r="L37">
        <f t="shared" si="3"/>
        <v>2.8931463055920852</v>
      </c>
      <c r="M37">
        <f t="shared" si="4"/>
        <v>2.755171804707329</v>
      </c>
      <c r="N37">
        <f t="shared" si="5"/>
        <v>2.0119801337946268</v>
      </c>
      <c r="O37">
        <f t="shared" si="6"/>
        <v>61.777032690695719</v>
      </c>
      <c r="P37">
        <f t="shared" si="7"/>
        <v>59.094719195305956</v>
      </c>
      <c r="Q37">
        <f t="shared" si="8"/>
        <v>58.675607711651303</v>
      </c>
    </row>
    <row r="38" spans="1:17" x14ac:dyDescent="0.3">
      <c r="A38">
        <v>51015541</v>
      </c>
      <c r="B38" t="str">
        <f>VLOOKUP(A38,ASESORES!$A$2:$B$993,2,0)</f>
        <v>METTLER</v>
      </c>
      <c r="C38">
        <v>109839092.48999999</v>
      </c>
      <c r="D38">
        <v>133896396.81</v>
      </c>
      <c r="E38">
        <v>185433099</v>
      </c>
      <c r="F38">
        <v>144012323</v>
      </c>
      <c r="G38">
        <v>175206466</v>
      </c>
      <c r="H38">
        <v>211470412</v>
      </c>
      <c r="I38">
        <f t="shared" si="0"/>
        <v>0.31112083808514002</v>
      </c>
      <c r="J38">
        <f t="shared" si="1"/>
        <v>0.30852263521787893</v>
      </c>
      <c r="K38">
        <f t="shared" si="2"/>
        <v>0.14041351377080735</v>
      </c>
      <c r="L38">
        <f t="shared" si="3"/>
        <v>2.5382481383642386</v>
      </c>
      <c r="M38">
        <f t="shared" si="4"/>
        <v>2.5433218095901018</v>
      </c>
      <c r="N38">
        <f t="shared" si="5"/>
        <v>1.1689775509568843</v>
      </c>
      <c r="O38">
        <f t="shared" si="6"/>
        <v>56.24476110645432</v>
      </c>
      <c r="P38">
        <f t="shared" si="7"/>
        <v>56.160938809723383</v>
      </c>
      <c r="Q38">
        <f t="shared" si="8"/>
        <v>46.186085498742663</v>
      </c>
    </row>
    <row r="39" spans="1:17" x14ac:dyDescent="0.3">
      <c r="A39">
        <v>51031890</v>
      </c>
      <c r="B39" t="str">
        <f>VLOOKUP(A39,ASESORES!$A$2:$B$993,2,0)</f>
        <v>NELLI</v>
      </c>
      <c r="C39">
        <v>62803069.010000013</v>
      </c>
      <c r="D39">
        <v>125981283.03</v>
      </c>
      <c r="E39">
        <v>231056763.18000001</v>
      </c>
      <c r="F39">
        <v>228793846</v>
      </c>
      <c r="G39">
        <v>193714764</v>
      </c>
      <c r="H39">
        <v>209388427</v>
      </c>
      <c r="I39">
        <f t="shared" si="0"/>
        <v>2.643036074615551</v>
      </c>
      <c r="J39">
        <f t="shared" si="1"/>
        <v>0.53764717536549123</v>
      </c>
      <c r="K39">
        <f t="shared" si="2"/>
        <v>-9.3779276926508892E-2</v>
      </c>
      <c r="L39">
        <f t="shared" si="3"/>
        <v>22.094312951212899</v>
      </c>
      <c r="M39">
        <f t="shared" si="4"/>
        <v>4.4555696291700029</v>
      </c>
      <c r="N39">
        <f t="shared" si="5"/>
        <v>-0.78033292513924168</v>
      </c>
      <c r="O39">
        <f t="shared" si="6"/>
        <v>99.245599329421623</v>
      </c>
      <c r="P39">
        <f t="shared" si="7"/>
        <v>79.882648784576688</v>
      </c>
      <c r="Q39">
        <f t="shared" si="8"/>
        <v>9.0528080469404859</v>
      </c>
    </row>
    <row r="40" spans="1:17" x14ac:dyDescent="0.3">
      <c r="A40">
        <v>51057058</v>
      </c>
      <c r="B40" t="str">
        <f>VLOOKUP(A40,ASESORES!$A$2:$B$993,2,0)</f>
        <v>MONTENEGRO</v>
      </c>
      <c r="C40">
        <v>107300953.59999999</v>
      </c>
      <c r="D40">
        <v>160945437.84999999</v>
      </c>
      <c r="E40">
        <v>147085813.40000001</v>
      </c>
      <c r="F40">
        <v>137042359</v>
      </c>
      <c r="G40">
        <v>156263331</v>
      </c>
      <c r="H40">
        <v>209220155</v>
      </c>
      <c r="I40">
        <f t="shared" si="0"/>
        <v>0.27717745651050762</v>
      </c>
      <c r="J40">
        <f t="shared" si="1"/>
        <v>-2.909126790138461E-2</v>
      </c>
      <c r="K40">
        <f t="shared" si="2"/>
        <v>0.42243599272912613</v>
      </c>
      <c r="L40">
        <f t="shared" si="3"/>
        <v>2.2553527246153529</v>
      </c>
      <c r="M40">
        <f t="shared" si="4"/>
        <v>-0.23836969139436132</v>
      </c>
      <c r="N40">
        <f t="shared" si="5"/>
        <v>3.5149224078676595</v>
      </c>
      <c r="O40">
        <f t="shared" si="6"/>
        <v>51.634534786253141</v>
      </c>
      <c r="P40">
        <f t="shared" si="7"/>
        <v>9.7233864207879304</v>
      </c>
      <c r="Q40">
        <f t="shared" si="8"/>
        <v>79.295892707460183</v>
      </c>
    </row>
    <row r="41" spans="1:17" x14ac:dyDescent="0.3">
      <c r="A41">
        <v>51022289</v>
      </c>
      <c r="B41" t="str">
        <f>VLOOKUP(A41,ASESORES!$A$2:$B$993,2,0)</f>
        <v>BELUZZO</v>
      </c>
      <c r="C41">
        <v>101361396.95999999</v>
      </c>
      <c r="D41">
        <v>119338669.61</v>
      </c>
      <c r="E41">
        <v>162246740.53999999</v>
      </c>
      <c r="F41">
        <v>172242956</v>
      </c>
      <c r="G41">
        <v>187726003</v>
      </c>
      <c r="H41">
        <v>206054240</v>
      </c>
      <c r="I41">
        <f t="shared" si="0"/>
        <v>0.69929540402814139</v>
      </c>
      <c r="J41">
        <f t="shared" si="1"/>
        <v>0.57305258734231335</v>
      </c>
      <c r="K41">
        <f t="shared" si="2"/>
        <v>0.27000542084356871</v>
      </c>
      <c r="L41">
        <f t="shared" si="3"/>
        <v>5.7594958770060476</v>
      </c>
      <c r="M41">
        <f t="shared" si="4"/>
        <v>4.7411645829969613</v>
      </c>
      <c r="N41">
        <f t="shared" si="5"/>
        <v>2.2448200887720384</v>
      </c>
      <c r="O41">
        <f t="shared" si="6"/>
        <v>89.606035205364634</v>
      </c>
      <c r="P41">
        <f t="shared" si="7"/>
        <v>82.313495389773678</v>
      </c>
      <c r="Q41">
        <f t="shared" si="8"/>
        <v>62.447611064543175</v>
      </c>
    </row>
    <row r="42" spans="1:17" x14ac:dyDescent="0.3">
      <c r="A42">
        <v>51016688</v>
      </c>
      <c r="B42" t="str">
        <f>VLOOKUP(A42,ASESORES!$A$2:$B$993,2,0)</f>
        <v>BELUZZO</v>
      </c>
      <c r="C42">
        <v>92165400.260000005</v>
      </c>
      <c r="D42">
        <v>104662517.04000001</v>
      </c>
      <c r="E42">
        <v>137539468.03999999</v>
      </c>
      <c r="F42">
        <v>122748151</v>
      </c>
      <c r="G42">
        <v>171138976</v>
      </c>
      <c r="H42">
        <v>205769532</v>
      </c>
      <c r="I42">
        <f t="shared" si="0"/>
        <v>0.33182463976422372</v>
      </c>
      <c r="J42">
        <f t="shared" si="1"/>
        <v>0.63515058532935886</v>
      </c>
      <c r="K42">
        <f t="shared" si="2"/>
        <v>0.49607625310981263</v>
      </c>
      <c r="L42">
        <f t="shared" si="3"/>
        <v>2.6841344747872937</v>
      </c>
      <c r="M42">
        <f t="shared" si="4"/>
        <v>5.2294163915295391</v>
      </c>
      <c r="N42">
        <f t="shared" si="5"/>
        <v>4.1240709317926312</v>
      </c>
      <c r="O42">
        <f t="shared" si="6"/>
        <v>58.591785414920373</v>
      </c>
      <c r="P42">
        <f t="shared" si="7"/>
        <v>86.839899413243927</v>
      </c>
      <c r="Q42">
        <f t="shared" si="8"/>
        <v>85.163453478625314</v>
      </c>
    </row>
    <row r="43" spans="1:17" x14ac:dyDescent="0.3">
      <c r="A43">
        <v>51032527</v>
      </c>
      <c r="B43" t="str">
        <f>VLOOKUP(A43,ASESORES!$A$2:$B$993,2,0)</f>
        <v>ROBERTS</v>
      </c>
      <c r="C43">
        <v>82182977.479999989</v>
      </c>
      <c r="D43">
        <v>99138332.479999989</v>
      </c>
      <c r="E43">
        <v>119767871.55</v>
      </c>
      <c r="F43">
        <v>104439647</v>
      </c>
      <c r="G43">
        <v>172961922</v>
      </c>
      <c r="H43">
        <v>204352420</v>
      </c>
      <c r="I43">
        <f t="shared" si="0"/>
        <v>0.27081848580402657</v>
      </c>
      <c r="J43">
        <f t="shared" si="1"/>
        <v>0.74465232239903845</v>
      </c>
      <c r="K43">
        <f t="shared" si="2"/>
        <v>0.70623738532990576</v>
      </c>
      <c r="L43">
        <f t="shared" si="3"/>
        <v>2.1716569842114373</v>
      </c>
      <c r="M43">
        <f t="shared" si="4"/>
        <v>6.134408973595221</v>
      </c>
      <c r="N43">
        <f t="shared" si="5"/>
        <v>5.8691008905402038</v>
      </c>
      <c r="O43">
        <f t="shared" si="6"/>
        <v>49.538977367979882</v>
      </c>
      <c r="P43">
        <f t="shared" si="7"/>
        <v>91.366303436714162</v>
      </c>
      <c r="Q43">
        <f t="shared" si="8"/>
        <v>93.964794635373011</v>
      </c>
    </row>
    <row r="44" spans="1:17" x14ac:dyDescent="0.3">
      <c r="A44">
        <v>51028678</v>
      </c>
      <c r="B44" t="str">
        <f>VLOOKUP(A44,ASESORES!$A$2:$B$993,2,0)</f>
        <v>NELLI</v>
      </c>
      <c r="C44">
        <v>91582877.069999993</v>
      </c>
      <c r="D44">
        <v>126739009.19</v>
      </c>
      <c r="E44">
        <v>166184350.78999999</v>
      </c>
      <c r="F44">
        <v>141112154</v>
      </c>
      <c r="G44">
        <v>162408530</v>
      </c>
      <c r="H44">
        <v>197894528</v>
      </c>
      <c r="I44">
        <f t="shared" si="0"/>
        <v>0.54081372538824102</v>
      </c>
      <c r="J44">
        <f t="shared" si="1"/>
        <v>0.28144074218322368</v>
      </c>
      <c r="K44">
        <f t="shared" si="2"/>
        <v>0.19081325683951311</v>
      </c>
      <c r="L44">
        <f t="shared" si="3"/>
        <v>4.4073962949100185</v>
      </c>
      <c r="M44">
        <f t="shared" si="4"/>
        <v>2.3107998444289284</v>
      </c>
      <c r="N44">
        <f t="shared" si="5"/>
        <v>1.58306955079426</v>
      </c>
      <c r="O44">
        <f t="shared" si="6"/>
        <v>80.637049455155079</v>
      </c>
      <c r="P44">
        <f t="shared" si="7"/>
        <v>52.305113160100589</v>
      </c>
      <c r="Q44">
        <f t="shared" si="8"/>
        <v>53.39480301760269</v>
      </c>
    </row>
    <row r="45" spans="1:17" x14ac:dyDescent="0.3">
      <c r="A45">
        <v>51005287</v>
      </c>
      <c r="B45" t="str">
        <f>VLOOKUP(A45,ASESORES!$A$2:$B$993,2,0)</f>
        <v>NELLI</v>
      </c>
      <c r="C45">
        <v>100884123.22</v>
      </c>
      <c r="D45">
        <v>119565240.67</v>
      </c>
      <c r="E45">
        <v>150243914.03</v>
      </c>
      <c r="F45">
        <v>139345473</v>
      </c>
      <c r="G45">
        <v>170092660</v>
      </c>
      <c r="H45">
        <v>197872302</v>
      </c>
      <c r="I45">
        <f t="shared" si="0"/>
        <v>0.38124284131534325</v>
      </c>
      <c r="J45">
        <f t="shared" si="1"/>
        <v>0.4225928793925624</v>
      </c>
      <c r="K45">
        <f t="shared" si="2"/>
        <v>0.3170071032660251</v>
      </c>
      <c r="L45">
        <f t="shared" si="3"/>
        <v>3.1048771034428495</v>
      </c>
      <c r="M45">
        <f t="shared" si="4"/>
        <v>3.4782291156388858</v>
      </c>
      <c r="N45">
        <f t="shared" si="5"/>
        <v>2.6300129784208304</v>
      </c>
      <c r="O45">
        <f t="shared" si="6"/>
        <v>66.13579212070411</v>
      </c>
      <c r="P45">
        <f t="shared" si="7"/>
        <v>69.572506286672251</v>
      </c>
      <c r="Q45">
        <f t="shared" si="8"/>
        <v>67.896060352053638</v>
      </c>
    </row>
    <row r="46" spans="1:17" x14ac:dyDescent="0.3">
      <c r="A46">
        <v>51055624</v>
      </c>
      <c r="B46" t="str">
        <f>VLOOKUP(A46,ASESORES!$A$2:$B$993,2,0)</f>
        <v>BELUZZO</v>
      </c>
      <c r="C46">
        <v>63313561.239999987</v>
      </c>
      <c r="D46">
        <v>69152195.699999988</v>
      </c>
      <c r="E46">
        <v>88451211.689999998</v>
      </c>
      <c r="F46">
        <v>80521808</v>
      </c>
      <c r="G46">
        <v>115100099</v>
      </c>
      <c r="H46">
        <v>195880809</v>
      </c>
      <c r="I46">
        <f t="shared" si="0"/>
        <v>0.27179401099820399</v>
      </c>
      <c r="J46">
        <f t="shared" si="1"/>
        <v>0.66444605026474979</v>
      </c>
      <c r="K46">
        <f t="shared" si="2"/>
        <v>1.2145633197939065</v>
      </c>
      <c r="L46">
        <f t="shared" si="3"/>
        <v>2.1487799456014165</v>
      </c>
      <c r="M46">
        <f t="shared" si="4"/>
        <v>5.356149907873565</v>
      </c>
      <c r="N46">
        <f t="shared" si="5"/>
        <v>10.071149196424109</v>
      </c>
      <c r="O46">
        <f t="shared" si="6"/>
        <v>49.0360435875943</v>
      </c>
      <c r="P46">
        <f t="shared" si="7"/>
        <v>87.342833193629517</v>
      </c>
      <c r="Q46">
        <f t="shared" si="8"/>
        <v>98.491198658843246</v>
      </c>
    </row>
    <row r="47" spans="1:17" x14ac:dyDescent="0.3">
      <c r="A47">
        <v>51010884</v>
      </c>
      <c r="B47" t="str">
        <f>VLOOKUP(A47,ASESORES!$A$2:$B$993,2,0)</f>
        <v>MONTENEGRO</v>
      </c>
      <c r="C47">
        <v>107797457.31</v>
      </c>
      <c r="D47">
        <v>181837981.59999999</v>
      </c>
      <c r="E47">
        <v>221646540.59</v>
      </c>
      <c r="F47">
        <v>180472620</v>
      </c>
      <c r="G47">
        <v>204488964</v>
      </c>
      <c r="H47">
        <v>195068976</v>
      </c>
      <c r="I47">
        <f t="shared" si="0"/>
        <v>0.67418253179203846</v>
      </c>
      <c r="J47">
        <f t="shared" si="1"/>
        <v>0.1245668380208198</v>
      </c>
      <c r="K47">
        <f t="shared" si="2"/>
        <v>-0.11990967474273817</v>
      </c>
      <c r="L47">
        <f t="shared" si="3"/>
        <v>5.5663282894069184</v>
      </c>
      <c r="M47">
        <f t="shared" si="4"/>
        <v>1.0352338681231155</v>
      </c>
      <c r="N47">
        <f t="shared" si="5"/>
        <v>-0.99407377111929474</v>
      </c>
      <c r="O47">
        <f t="shared" si="6"/>
        <v>88.51634534786254</v>
      </c>
      <c r="P47">
        <f t="shared" si="7"/>
        <v>36.211232187761944</v>
      </c>
      <c r="Q47">
        <f t="shared" si="8"/>
        <v>7.7954735959765289</v>
      </c>
    </row>
    <row r="48" spans="1:17" x14ac:dyDescent="0.3">
      <c r="A48">
        <v>51007051</v>
      </c>
      <c r="B48" t="str">
        <f>VLOOKUP(A48,ASESORES!$A$2:$B$993,2,0)</f>
        <v>PUGH</v>
      </c>
      <c r="C48">
        <v>97291507.420000002</v>
      </c>
      <c r="D48">
        <v>161434039.22</v>
      </c>
      <c r="E48">
        <v>127406397.14</v>
      </c>
      <c r="F48">
        <v>111270462</v>
      </c>
      <c r="G48">
        <v>163424095</v>
      </c>
      <c r="H48">
        <v>194893190</v>
      </c>
      <c r="I48">
        <f t="shared" si="0"/>
        <v>0.14368113878279143</v>
      </c>
      <c r="J48">
        <f t="shared" si="1"/>
        <v>1.2327361624694166E-2</v>
      </c>
      <c r="K48">
        <f t="shared" si="2"/>
        <v>0.52969705112877818</v>
      </c>
      <c r="L48">
        <f t="shared" si="3"/>
        <v>1.1561130258555326</v>
      </c>
      <c r="M48">
        <f t="shared" si="4"/>
        <v>0.10124851756252333</v>
      </c>
      <c r="N48">
        <f t="shared" si="5"/>
        <v>4.3910808474685714</v>
      </c>
      <c r="O48">
        <f t="shared" si="6"/>
        <v>35.205364626990779</v>
      </c>
      <c r="P48">
        <f t="shared" si="7"/>
        <v>26.990779547359601</v>
      </c>
      <c r="Q48">
        <f t="shared" si="8"/>
        <v>87.091366303436715</v>
      </c>
    </row>
    <row r="49" spans="1:17" x14ac:dyDescent="0.3">
      <c r="A49">
        <v>51013808</v>
      </c>
      <c r="B49" t="str">
        <f>VLOOKUP(A49,ASESORES!$A$2:$B$993,2,0)</f>
        <v>PUGH</v>
      </c>
      <c r="C49">
        <v>63549011.290000007</v>
      </c>
      <c r="D49">
        <v>91529584.229999989</v>
      </c>
      <c r="E49">
        <v>111009078.14</v>
      </c>
      <c r="F49">
        <v>100395654</v>
      </c>
      <c r="G49">
        <v>141827948</v>
      </c>
      <c r="H49">
        <v>194526473</v>
      </c>
      <c r="I49">
        <f t="shared" si="0"/>
        <v>0.57981457086489918</v>
      </c>
      <c r="J49">
        <f t="shared" si="1"/>
        <v>0.54953121652566272</v>
      </c>
      <c r="K49">
        <f t="shared" si="2"/>
        <v>0.75234743193409237</v>
      </c>
      <c r="L49">
        <f t="shared" si="3"/>
        <v>4.6395108985576456</v>
      </c>
      <c r="M49">
        <f t="shared" si="4"/>
        <v>4.4796475894787431</v>
      </c>
      <c r="N49">
        <f t="shared" si="5"/>
        <v>6.2361918477653973</v>
      </c>
      <c r="O49">
        <f t="shared" si="6"/>
        <v>83.235540653813914</v>
      </c>
      <c r="P49">
        <f t="shared" si="7"/>
        <v>80.13411567476949</v>
      </c>
      <c r="Q49">
        <f t="shared" si="8"/>
        <v>95.305951383067907</v>
      </c>
    </row>
    <row r="50" spans="1:17" x14ac:dyDescent="0.3">
      <c r="A50">
        <v>51035828</v>
      </c>
      <c r="B50" t="str">
        <f>VLOOKUP(A50,ASESORES!$A$2:$B$993,2,0)</f>
        <v>METTLER</v>
      </c>
      <c r="C50">
        <v>69708821.640000001</v>
      </c>
      <c r="D50">
        <v>120416574.79000001</v>
      </c>
      <c r="E50">
        <v>151202183.03999999</v>
      </c>
      <c r="F50">
        <v>178104754</v>
      </c>
      <c r="G50">
        <v>156401513</v>
      </c>
      <c r="H50">
        <v>193293709</v>
      </c>
      <c r="I50">
        <f t="shared" si="0"/>
        <v>1.5549815620151115</v>
      </c>
      <c r="J50">
        <f t="shared" si="1"/>
        <v>0.29883708511686025</v>
      </c>
      <c r="K50">
        <f t="shared" si="2"/>
        <v>0.27837908893725993</v>
      </c>
      <c r="L50">
        <f t="shared" si="3"/>
        <v>12.829648295134152</v>
      </c>
      <c r="M50">
        <f t="shared" si="4"/>
        <v>2.4487430802523447</v>
      </c>
      <c r="N50">
        <f t="shared" si="5"/>
        <v>2.3067097395093774</v>
      </c>
      <c r="O50">
        <f t="shared" si="6"/>
        <v>98.407376362112316</v>
      </c>
      <c r="P50">
        <f t="shared" si="7"/>
        <v>54.735959765297572</v>
      </c>
      <c r="Q50">
        <f t="shared" si="8"/>
        <v>63.704945515507127</v>
      </c>
    </row>
    <row r="51" spans="1:17" x14ac:dyDescent="0.3">
      <c r="A51">
        <v>51056051</v>
      </c>
      <c r="B51" t="str">
        <f>VLOOKUP(A51,ASESORES!$A$2:$B$993,2,0)</f>
        <v>METTLER</v>
      </c>
      <c r="C51">
        <v>72794110.939999998</v>
      </c>
      <c r="D51">
        <v>105430325.38</v>
      </c>
      <c r="E51">
        <v>143600940.63999999</v>
      </c>
      <c r="F51">
        <v>124311909</v>
      </c>
      <c r="G51">
        <v>150854072</v>
      </c>
      <c r="H51">
        <v>192278885</v>
      </c>
      <c r="I51">
        <f t="shared" si="0"/>
        <v>0.70771931128416643</v>
      </c>
      <c r="J51">
        <f t="shared" si="1"/>
        <v>0.43084137752852691</v>
      </c>
      <c r="K51">
        <f t="shared" si="2"/>
        <v>0.33898067897781448</v>
      </c>
      <c r="L51">
        <f t="shared" si="3"/>
        <v>5.728642978535416</v>
      </c>
      <c r="M51">
        <f t="shared" si="4"/>
        <v>3.5236607802617534</v>
      </c>
      <c r="N51">
        <f t="shared" si="5"/>
        <v>2.808092756694887</v>
      </c>
      <c r="O51">
        <f t="shared" si="6"/>
        <v>89.438390611902761</v>
      </c>
      <c r="P51">
        <f t="shared" si="7"/>
        <v>70.578373847443416</v>
      </c>
      <c r="Q51">
        <f t="shared" si="8"/>
        <v>70.578373847443416</v>
      </c>
    </row>
    <row r="52" spans="1:17" x14ac:dyDescent="0.3">
      <c r="A52">
        <v>51024265</v>
      </c>
      <c r="B52" t="str">
        <f>VLOOKUP(A52,ASESORES!$A$2:$B$993,2,0)</f>
        <v>ARGUELLO</v>
      </c>
      <c r="C52">
        <v>77092978.600000009</v>
      </c>
      <c r="D52">
        <v>96795467.200000003</v>
      </c>
      <c r="E52">
        <v>119451574.12</v>
      </c>
      <c r="F52">
        <v>104857275</v>
      </c>
      <c r="G52">
        <v>166805497</v>
      </c>
      <c r="H52">
        <v>192044769</v>
      </c>
      <c r="I52">
        <f t="shared" si="0"/>
        <v>0.36014040324030216</v>
      </c>
      <c r="J52">
        <f t="shared" si="1"/>
        <v>0.72327797804151706</v>
      </c>
      <c r="K52">
        <f t="shared" si="2"/>
        <v>0.60772070535523892</v>
      </c>
      <c r="L52">
        <f t="shared" si="3"/>
        <v>2.8885416022225856</v>
      </c>
      <c r="M52">
        <f t="shared" si="4"/>
        <v>5.9469436831398523</v>
      </c>
      <c r="N52">
        <f t="shared" si="5"/>
        <v>5.033995199198352</v>
      </c>
      <c r="O52">
        <f t="shared" si="6"/>
        <v>61.525565800502932</v>
      </c>
      <c r="P52">
        <f t="shared" si="7"/>
        <v>90.444258172673926</v>
      </c>
      <c r="Q52">
        <f t="shared" si="8"/>
        <v>91.366303436714162</v>
      </c>
    </row>
    <row r="53" spans="1:17" x14ac:dyDescent="0.3">
      <c r="A53">
        <v>51018494</v>
      </c>
      <c r="B53" t="str">
        <f>VLOOKUP(A53,ASESORES!$A$2:$B$993,2,0)</f>
        <v>ARGUELLO</v>
      </c>
      <c r="C53">
        <v>96982004.00999999</v>
      </c>
      <c r="D53">
        <v>110667315.78</v>
      </c>
      <c r="E53">
        <v>125410435.44</v>
      </c>
      <c r="F53">
        <v>136014538</v>
      </c>
      <c r="G53">
        <v>148866620</v>
      </c>
      <c r="H53">
        <v>191078043</v>
      </c>
      <c r="I53">
        <f t="shared" si="0"/>
        <v>0.40247192650272812</v>
      </c>
      <c r="J53">
        <f t="shared" si="1"/>
        <v>0.34517241112035224</v>
      </c>
      <c r="K53">
        <f t="shared" si="2"/>
        <v>0.52362155772449492</v>
      </c>
      <c r="L53">
        <f t="shared" si="3"/>
        <v>3.2735397574178715</v>
      </c>
      <c r="M53">
        <f t="shared" si="4"/>
        <v>2.8210241592599865</v>
      </c>
      <c r="N53">
        <f t="shared" si="5"/>
        <v>4.3362204908972766</v>
      </c>
      <c r="O53">
        <f t="shared" si="6"/>
        <v>68.315171835708298</v>
      </c>
      <c r="P53">
        <f t="shared" si="7"/>
        <v>60.352053646269908</v>
      </c>
      <c r="Q53">
        <f t="shared" si="8"/>
        <v>86.756077116512998</v>
      </c>
    </row>
    <row r="54" spans="1:17" x14ac:dyDescent="0.3">
      <c r="A54">
        <v>51039882</v>
      </c>
      <c r="B54" t="str">
        <f>VLOOKUP(A54,ASESORES!$A$2:$B$993,2,0)</f>
        <v>ARGUELLO</v>
      </c>
      <c r="C54">
        <v>163901149.63</v>
      </c>
      <c r="D54">
        <v>245836843.68000001</v>
      </c>
      <c r="E54">
        <v>256153268.78999999</v>
      </c>
      <c r="F54">
        <v>122339901</v>
      </c>
      <c r="G54">
        <v>163034253</v>
      </c>
      <c r="H54">
        <v>189711448</v>
      </c>
      <c r="I54">
        <f t="shared" si="0"/>
        <v>-0.25357508915479099</v>
      </c>
      <c r="J54">
        <f t="shared" si="1"/>
        <v>-0.33681928811200557</v>
      </c>
      <c r="K54">
        <f t="shared" si="2"/>
        <v>-0.25938306820698998</v>
      </c>
      <c r="L54">
        <f t="shared" si="3"/>
        <v>-2.0508058082717691</v>
      </c>
      <c r="M54">
        <f t="shared" si="4"/>
        <v>-2.7660539187080353</v>
      </c>
      <c r="N54">
        <f t="shared" si="5"/>
        <v>-2.1471973010154062</v>
      </c>
      <c r="O54">
        <f t="shared" si="6"/>
        <v>5.1131601005867564</v>
      </c>
      <c r="P54">
        <f t="shared" si="7"/>
        <v>3.6881810561609383</v>
      </c>
      <c r="Q54">
        <f t="shared" si="8"/>
        <v>4.1072925398155906</v>
      </c>
    </row>
    <row r="55" spans="1:17" x14ac:dyDescent="0.3">
      <c r="A55">
        <v>51024192</v>
      </c>
      <c r="B55" t="str">
        <f>VLOOKUP(A55,ASESORES!$A$2:$B$993,2,0)</f>
        <v>ROBERTS</v>
      </c>
      <c r="C55">
        <v>98508273.150000006</v>
      </c>
      <c r="D55">
        <v>136248409.58000001</v>
      </c>
      <c r="E55">
        <v>166512931.78999999</v>
      </c>
      <c r="F55">
        <v>131947564</v>
      </c>
      <c r="G55">
        <v>193108222</v>
      </c>
      <c r="H55">
        <v>188652485</v>
      </c>
      <c r="I55">
        <f t="shared" si="0"/>
        <v>0.3394566748630492</v>
      </c>
      <c r="J55">
        <f t="shared" si="1"/>
        <v>0.41732459553308776</v>
      </c>
      <c r="K55">
        <f t="shared" si="2"/>
        <v>0.13295996276085997</v>
      </c>
      <c r="L55">
        <f t="shared" si="3"/>
        <v>2.7565244499007324</v>
      </c>
      <c r="M55">
        <f t="shared" si="4"/>
        <v>3.4578684530046089</v>
      </c>
      <c r="N55">
        <f t="shared" si="5"/>
        <v>1.1003317818450169</v>
      </c>
      <c r="O55">
        <f t="shared" si="6"/>
        <v>60.268231349538979</v>
      </c>
      <c r="P55">
        <f t="shared" si="7"/>
        <v>69.404861693210393</v>
      </c>
      <c r="Q55">
        <f t="shared" si="8"/>
        <v>45.01257334450964</v>
      </c>
    </row>
    <row r="56" spans="1:17" x14ac:dyDescent="0.3">
      <c r="A56">
        <v>51008332</v>
      </c>
      <c r="B56" t="str">
        <f>VLOOKUP(A56,ASESORES!$A$2:$B$993,2,0)</f>
        <v>BELUZZO</v>
      </c>
      <c r="C56">
        <v>45096911.390000001</v>
      </c>
      <c r="D56">
        <v>69639941</v>
      </c>
      <c r="E56">
        <v>56382949.57</v>
      </c>
      <c r="F56">
        <v>59486028</v>
      </c>
      <c r="G56">
        <v>157603720</v>
      </c>
      <c r="H56">
        <v>188351629</v>
      </c>
      <c r="I56">
        <f t="shared" si="0"/>
        <v>0.31907099990867027</v>
      </c>
      <c r="J56">
        <f t="shared" si="1"/>
        <v>1.2631225376827935</v>
      </c>
      <c r="K56">
        <f t="shared" si="2"/>
        <v>2.340577788789846</v>
      </c>
      <c r="L56">
        <f t="shared" si="3"/>
        <v>2.4805903585624263</v>
      </c>
      <c r="M56">
        <f t="shared" si="4"/>
        <v>10.354530955015408</v>
      </c>
      <c r="N56">
        <f t="shared" si="5"/>
        <v>19.368209535255502</v>
      </c>
      <c r="O56">
        <f t="shared" si="6"/>
        <v>55.574182732606872</v>
      </c>
      <c r="P56">
        <f t="shared" si="7"/>
        <v>97.736797988264883</v>
      </c>
      <c r="Q56">
        <f t="shared" si="8"/>
        <v>99.49706621961441</v>
      </c>
    </row>
    <row r="57" spans="1:17" x14ac:dyDescent="0.3">
      <c r="A57">
        <v>51015258</v>
      </c>
      <c r="B57" t="str">
        <f>VLOOKUP(A57,ASESORES!$A$2:$B$993,2,0)</f>
        <v>MONTENEGRO</v>
      </c>
      <c r="C57">
        <v>83247977.189999998</v>
      </c>
      <c r="D57">
        <v>83796964.25</v>
      </c>
      <c r="E57">
        <v>158858403.69999999</v>
      </c>
      <c r="F57">
        <v>91311453</v>
      </c>
      <c r="G57">
        <v>122036830</v>
      </c>
      <c r="H57">
        <v>185775866</v>
      </c>
      <c r="I57">
        <f t="shared" si="0"/>
        <v>9.6860921816711798E-2</v>
      </c>
      <c r="J57">
        <f t="shared" si="1"/>
        <v>0.45633951172640486</v>
      </c>
      <c r="K57">
        <f t="shared" si="2"/>
        <v>0.16944311206118456</v>
      </c>
      <c r="L57">
        <f t="shared" si="3"/>
        <v>0.77106381420673686</v>
      </c>
      <c r="M57">
        <f t="shared" si="4"/>
        <v>3.690185317093531</v>
      </c>
      <c r="N57">
        <f t="shared" si="5"/>
        <v>1.401123279653844</v>
      </c>
      <c r="O57">
        <f t="shared" si="6"/>
        <v>30.008382229673092</v>
      </c>
      <c r="P57">
        <f t="shared" si="7"/>
        <v>71.835708298407368</v>
      </c>
      <c r="Q57">
        <f t="shared" si="8"/>
        <v>50.377200335289189</v>
      </c>
    </row>
    <row r="58" spans="1:17" x14ac:dyDescent="0.3">
      <c r="A58">
        <v>51033710</v>
      </c>
      <c r="B58" t="str">
        <f>VLOOKUP(A58,ASESORES!$A$2:$B$993,2,0)</f>
        <v>METTLER</v>
      </c>
      <c r="C58">
        <v>105947299.23</v>
      </c>
      <c r="D58">
        <v>129747717.81</v>
      </c>
      <c r="E58">
        <v>145565005</v>
      </c>
      <c r="F58">
        <v>124623758</v>
      </c>
      <c r="G58">
        <v>155473794</v>
      </c>
      <c r="H58">
        <v>184366752</v>
      </c>
      <c r="I58">
        <f t="shared" si="0"/>
        <v>0.17628064996216142</v>
      </c>
      <c r="J58">
        <f t="shared" si="1"/>
        <v>0.19827767782145322</v>
      </c>
      <c r="K58">
        <f t="shared" si="2"/>
        <v>0.26655958277884162</v>
      </c>
      <c r="L58">
        <f t="shared" si="3"/>
        <v>1.4270977784671313</v>
      </c>
      <c r="M58">
        <f t="shared" si="4"/>
        <v>1.6242227664720388</v>
      </c>
      <c r="N58">
        <f t="shared" si="5"/>
        <v>2.2032969065073744</v>
      </c>
      <c r="O58">
        <f t="shared" si="6"/>
        <v>39.145012573344509</v>
      </c>
      <c r="P58">
        <f t="shared" si="7"/>
        <v>43.419949706621964</v>
      </c>
      <c r="Q58">
        <f t="shared" si="8"/>
        <v>61.609388097233861</v>
      </c>
    </row>
    <row r="59" spans="1:17" x14ac:dyDescent="0.3">
      <c r="A59">
        <v>51010329</v>
      </c>
      <c r="B59" t="str">
        <f>VLOOKUP(A59,ASESORES!$A$2:$B$993,2,0)</f>
        <v>NELLI</v>
      </c>
      <c r="C59">
        <v>255037621.25</v>
      </c>
      <c r="D59">
        <v>321766871.54000002</v>
      </c>
      <c r="E59">
        <v>270433319.77999997</v>
      </c>
      <c r="F59">
        <v>186563653</v>
      </c>
      <c r="G59">
        <v>181081801</v>
      </c>
      <c r="H59">
        <v>184353766</v>
      </c>
      <c r="I59">
        <f t="shared" si="0"/>
        <v>-0.26848575482469139</v>
      </c>
      <c r="J59">
        <f t="shared" si="1"/>
        <v>-0.43722670971896793</v>
      </c>
      <c r="K59">
        <f t="shared" si="2"/>
        <v>-0.31830232254674273</v>
      </c>
      <c r="L59">
        <f t="shared" si="3"/>
        <v>-2.2205992400112349</v>
      </c>
      <c r="M59">
        <f t="shared" si="4"/>
        <v>-3.6105634303674097</v>
      </c>
      <c r="N59">
        <f t="shared" si="5"/>
        <v>-2.6309762333717859</v>
      </c>
      <c r="O59">
        <f t="shared" si="6"/>
        <v>4.7778709136630342</v>
      </c>
      <c r="P59">
        <f t="shared" si="7"/>
        <v>2.5146689019279127</v>
      </c>
      <c r="Q59">
        <f t="shared" si="8"/>
        <v>3.5205364626990781</v>
      </c>
    </row>
    <row r="60" spans="1:17" x14ac:dyDescent="0.3">
      <c r="A60">
        <v>51011252</v>
      </c>
      <c r="B60" t="str">
        <f>VLOOKUP(A60,ASESORES!$A$2:$B$993,2,0)</f>
        <v>MONTENEGRO</v>
      </c>
      <c r="C60">
        <v>174568906.53</v>
      </c>
      <c r="D60">
        <v>133627605.81999999</v>
      </c>
      <c r="E60">
        <v>142693823.75</v>
      </c>
      <c r="F60">
        <v>118160250</v>
      </c>
      <c r="G60">
        <v>172117332</v>
      </c>
      <c r="H60">
        <v>183766803</v>
      </c>
      <c r="I60">
        <f t="shared" si="0"/>
        <v>-0.32313117869192853</v>
      </c>
      <c r="J60">
        <f t="shared" si="1"/>
        <v>0.28803723559820948</v>
      </c>
      <c r="K60">
        <f t="shared" si="2"/>
        <v>0.2878399230646449</v>
      </c>
      <c r="L60">
        <f t="shared" si="3"/>
        <v>-2.608467198817729</v>
      </c>
      <c r="M60">
        <f t="shared" si="4"/>
        <v>2.3722241522228313</v>
      </c>
      <c r="N60">
        <f t="shared" si="5"/>
        <v>2.378785994723156</v>
      </c>
      <c r="O60">
        <f t="shared" si="6"/>
        <v>3.9396479463537304</v>
      </c>
      <c r="P60">
        <f t="shared" si="7"/>
        <v>53.227158424140818</v>
      </c>
      <c r="Q60">
        <f t="shared" si="8"/>
        <v>64.710813076278299</v>
      </c>
    </row>
    <row r="61" spans="1:17" x14ac:dyDescent="0.3">
      <c r="A61">
        <v>51018648</v>
      </c>
      <c r="B61" t="str">
        <f>VLOOKUP(A61,ASESORES!$A$2:$B$993,2,0)</f>
        <v>PUGH</v>
      </c>
      <c r="C61">
        <v>84455097.890000001</v>
      </c>
      <c r="D61">
        <v>106452812.47</v>
      </c>
      <c r="E61">
        <v>135567715.41</v>
      </c>
      <c r="F61">
        <v>114508242</v>
      </c>
      <c r="G61">
        <v>145129052</v>
      </c>
      <c r="H61">
        <v>183559368</v>
      </c>
      <c r="I61">
        <f t="shared" si="0"/>
        <v>0.35584760258218195</v>
      </c>
      <c r="J61">
        <f t="shared" si="1"/>
        <v>0.36331815602241169</v>
      </c>
      <c r="K61">
        <f t="shared" si="2"/>
        <v>0.35400502578993787</v>
      </c>
      <c r="L61">
        <f t="shared" si="3"/>
        <v>2.867717736080774</v>
      </c>
      <c r="M61">
        <f t="shared" si="4"/>
        <v>2.9653135434048461</v>
      </c>
      <c r="N61">
        <f t="shared" si="5"/>
        <v>2.9254184320280348</v>
      </c>
      <c r="O61">
        <f t="shared" si="6"/>
        <v>61.106454316848279</v>
      </c>
      <c r="P61">
        <f t="shared" si="7"/>
        <v>62.782900251466891</v>
      </c>
      <c r="Q61">
        <f t="shared" si="8"/>
        <v>72.590108968985746</v>
      </c>
    </row>
    <row r="62" spans="1:17" x14ac:dyDescent="0.3">
      <c r="A62">
        <v>51024524</v>
      </c>
      <c r="B62" t="str">
        <f>VLOOKUP(A62,ASESORES!$A$2:$B$993,2,0)</f>
        <v>LÓPEZ</v>
      </c>
      <c r="C62">
        <v>84777248.379999995</v>
      </c>
      <c r="D62">
        <v>115062039.45999999</v>
      </c>
      <c r="E62">
        <v>145048616.46000001</v>
      </c>
      <c r="F62">
        <v>129704547</v>
      </c>
      <c r="G62">
        <v>171735549</v>
      </c>
      <c r="H62">
        <v>182091626</v>
      </c>
      <c r="I62">
        <f t="shared" si="0"/>
        <v>0.5299452326952252</v>
      </c>
      <c r="J62">
        <f t="shared" si="1"/>
        <v>0.49254741012740277</v>
      </c>
      <c r="K62">
        <f t="shared" si="2"/>
        <v>0.25538340484767974</v>
      </c>
      <c r="L62">
        <f t="shared" si="3"/>
        <v>4.2994219319657301</v>
      </c>
      <c r="M62">
        <f t="shared" si="4"/>
        <v>4.0560590656357256</v>
      </c>
      <c r="N62">
        <f t="shared" si="5"/>
        <v>2.1095409785868049</v>
      </c>
      <c r="O62">
        <f t="shared" si="6"/>
        <v>79.6311818943839</v>
      </c>
      <c r="P62">
        <f t="shared" si="7"/>
        <v>76.11064543168483</v>
      </c>
      <c r="Q62">
        <f t="shared" si="8"/>
        <v>59.765297569153397</v>
      </c>
    </row>
    <row r="63" spans="1:17" x14ac:dyDescent="0.3">
      <c r="A63">
        <v>51055772</v>
      </c>
      <c r="B63" t="str">
        <f>VLOOKUP(A63,ASESORES!$A$2:$B$993,2,0)</f>
        <v>NELLI</v>
      </c>
      <c r="C63">
        <v>86005111.179999992</v>
      </c>
      <c r="D63">
        <v>140858089.68000001</v>
      </c>
      <c r="E63">
        <v>152669509.5</v>
      </c>
      <c r="F63">
        <v>131833803</v>
      </c>
      <c r="G63">
        <v>150672730</v>
      </c>
      <c r="H63">
        <v>181760398</v>
      </c>
      <c r="I63">
        <f t="shared" si="0"/>
        <v>0.53286009623410857</v>
      </c>
      <c r="J63">
        <f t="shared" si="1"/>
        <v>6.9677505511375193E-2</v>
      </c>
      <c r="K63">
        <f t="shared" si="2"/>
        <v>0.19054812316666281</v>
      </c>
      <c r="L63">
        <f t="shared" si="3"/>
        <v>4.326838251584685</v>
      </c>
      <c r="M63">
        <f t="shared" si="4"/>
        <v>0.56982505489999946</v>
      </c>
      <c r="N63">
        <f t="shared" si="5"/>
        <v>1.5738320832430988</v>
      </c>
      <c r="O63">
        <f t="shared" si="6"/>
        <v>79.798826487845758</v>
      </c>
      <c r="P63">
        <f t="shared" si="7"/>
        <v>31.852472757753564</v>
      </c>
      <c r="Q63">
        <f t="shared" si="8"/>
        <v>53.227158424140818</v>
      </c>
    </row>
    <row r="64" spans="1:17" x14ac:dyDescent="0.3">
      <c r="A64">
        <v>51031083</v>
      </c>
      <c r="B64" t="str">
        <f>VLOOKUP(A64,ASESORES!$A$2:$B$993,2,0)</f>
        <v>NELLI</v>
      </c>
      <c r="C64">
        <v>114761338.08</v>
      </c>
      <c r="D64">
        <v>147098997.13</v>
      </c>
      <c r="E64">
        <v>168772611</v>
      </c>
      <c r="F64">
        <v>130419637</v>
      </c>
      <c r="G64">
        <v>145715384</v>
      </c>
      <c r="H64">
        <v>181447193</v>
      </c>
      <c r="I64">
        <f t="shared" si="0"/>
        <v>0.13644228258374458</v>
      </c>
      <c r="J64">
        <f t="shared" si="1"/>
        <v>-9.4059997484361446E-3</v>
      </c>
      <c r="K64">
        <f t="shared" si="2"/>
        <v>7.5098571533031455E-2</v>
      </c>
      <c r="L64">
        <f t="shared" si="3"/>
        <v>1.1072759211087102</v>
      </c>
      <c r="M64">
        <f t="shared" si="4"/>
        <v>-7.6785929786949092E-2</v>
      </c>
      <c r="N64">
        <f t="shared" si="5"/>
        <v>0.62022034672529058</v>
      </c>
      <c r="O64">
        <f t="shared" si="6"/>
        <v>34.031852472757748</v>
      </c>
      <c r="P64">
        <f t="shared" si="7"/>
        <v>10.393964794635373</v>
      </c>
      <c r="Q64">
        <f t="shared" si="8"/>
        <v>38.809723386420785</v>
      </c>
    </row>
    <row r="65" spans="1:17" x14ac:dyDescent="0.3">
      <c r="A65">
        <v>51056647</v>
      </c>
      <c r="B65" t="str">
        <f>VLOOKUP(A65,ASESORES!$A$2:$B$993,2,0)</f>
        <v>AYALA</v>
      </c>
      <c r="C65">
        <v>60391523.859999999</v>
      </c>
      <c r="D65">
        <v>86348630.450000003</v>
      </c>
      <c r="E65">
        <v>100126671.42</v>
      </c>
      <c r="F65">
        <v>69904523</v>
      </c>
      <c r="G65">
        <v>96584148</v>
      </c>
      <c r="H65">
        <v>180539829</v>
      </c>
      <c r="I65">
        <f t="shared" si="0"/>
        <v>0.15752209137913287</v>
      </c>
      <c r="J65">
        <f t="shared" si="1"/>
        <v>0.11853711514193455</v>
      </c>
      <c r="K65">
        <f t="shared" si="2"/>
        <v>0.80311425956318883</v>
      </c>
      <c r="L65">
        <f t="shared" si="3"/>
        <v>1.2356828770061972</v>
      </c>
      <c r="M65">
        <f t="shared" si="4"/>
        <v>0.9465077045079211</v>
      </c>
      <c r="N65">
        <f t="shared" si="5"/>
        <v>6.6309715329300563</v>
      </c>
      <c r="O65">
        <f t="shared" si="6"/>
        <v>36.127409891031014</v>
      </c>
      <c r="P65">
        <f t="shared" si="7"/>
        <v>34.199497066219614</v>
      </c>
      <c r="Q65">
        <f t="shared" si="8"/>
        <v>96.06035205364627</v>
      </c>
    </row>
    <row r="66" spans="1:17" x14ac:dyDescent="0.3">
      <c r="A66">
        <v>51024214</v>
      </c>
      <c r="B66" t="str">
        <f>VLOOKUP(A66,ASESORES!$A$2:$B$993,2,0)</f>
        <v>AYALA</v>
      </c>
      <c r="C66">
        <v>120360704.87</v>
      </c>
      <c r="D66">
        <v>152894559.05000001</v>
      </c>
      <c r="E66">
        <v>146345656.41999999</v>
      </c>
      <c r="F66">
        <v>108883042</v>
      </c>
      <c r="G66">
        <v>154019345</v>
      </c>
      <c r="H66">
        <v>180312689</v>
      </c>
      <c r="I66">
        <f t="shared" ref="I66:I129" si="9">IFERROR(F66/C66-1,0)</f>
        <v>-9.536054879702538E-2</v>
      </c>
      <c r="J66">
        <f t="shared" ref="J66:J129" si="10">IFERROR(G66/D66-1,0)</f>
        <v>7.3566120141146385E-3</v>
      </c>
      <c r="K66">
        <f t="shared" ref="K66:K129" si="11">IFERROR(H66/E66-1,0)</f>
        <v>0.23210140574666194</v>
      </c>
      <c r="L66">
        <f t="shared" ref="L66:L129" si="12">IFERROR(I66*LOG(F66),0)</f>
        <v>-0.76640893969802981</v>
      </c>
      <c r="M66">
        <f t="shared" ref="M66:M129" si="13">IFERROR(J66*LOG(G66),0)</f>
        <v>6.0232814613415266E-2</v>
      </c>
      <c r="N66">
        <f t="shared" ref="N66:N129" si="14">IFERROR(K66*LOG(H66),0)</f>
        <v>1.9162353078030434</v>
      </c>
      <c r="O66">
        <f t="shared" ref="O66:O129" si="15">RANK(L66,$L$2:$L$1194,1)/COUNT($L$2:$L$1194)*100</f>
        <v>7.7116512992455988</v>
      </c>
      <c r="P66">
        <f t="shared" ref="P66:P129" si="16">RANK(M66,$M$2:$M$1194,1)/COUNT($M$2:$M$1194)*100</f>
        <v>26.487845766974015</v>
      </c>
      <c r="Q66">
        <f t="shared" ref="Q66:Q129" si="17">RANK(N66,$N$2:$N$1194,1)/COUNT($N$2:$N$1194)*100</f>
        <v>57.166806370494548</v>
      </c>
    </row>
    <row r="67" spans="1:17" x14ac:dyDescent="0.3">
      <c r="A67">
        <v>51013425</v>
      </c>
      <c r="B67" t="str">
        <f>VLOOKUP(A67,ASESORES!$A$2:$B$993,2,0)</f>
        <v>BELUZZO</v>
      </c>
      <c r="C67">
        <v>67594386.860000014</v>
      </c>
      <c r="D67">
        <v>85352510.039999992</v>
      </c>
      <c r="E67">
        <v>113706470.27</v>
      </c>
      <c r="F67">
        <v>98477056</v>
      </c>
      <c r="G67">
        <v>144623480</v>
      </c>
      <c r="H67">
        <v>179951160</v>
      </c>
      <c r="I67">
        <f t="shared" si="9"/>
        <v>0.45688215508136021</v>
      </c>
      <c r="J67">
        <f t="shared" si="10"/>
        <v>0.69442562301006716</v>
      </c>
      <c r="K67">
        <f t="shared" si="11"/>
        <v>0.58259384512332213</v>
      </c>
      <c r="L67">
        <f t="shared" si="12"/>
        <v>3.652012147019208</v>
      </c>
      <c r="M67">
        <f t="shared" si="13"/>
        <v>5.6666789178279275</v>
      </c>
      <c r="N67">
        <f t="shared" si="14"/>
        <v>4.8094022899482338</v>
      </c>
      <c r="O67">
        <f t="shared" si="15"/>
        <v>73.512154233025981</v>
      </c>
      <c r="P67">
        <f t="shared" si="16"/>
        <v>89.522212908633691</v>
      </c>
      <c r="Q67">
        <f t="shared" si="17"/>
        <v>90.192791282481139</v>
      </c>
    </row>
    <row r="68" spans="1:17" x14ac:dyDescent="0.3">
      <c r="A68">
        <v>51025334</v>
      </c>
      <c r="B68" t="str">
        <f>VLOOKUP(A68,ASESORES!$A$2:$B$993,2,0)</f>
        <v>CICHETTO</v>
      </c>
      <c r="C68">
        <v>101141259.06</v>
      </c>
      <c r="D68">
        <v>123435745.17</v>
      </c>
      <c r="E68">
        <v>150551402.03</v>
      </c>
      <c r="F68">
        <v>114459374</v>
      </c>
      <c r="G68">
        <v>152044952</v>
      </c>
      <c r="H68">
        <v>179694870</v>
      </c>
      <c r="I68">
        <f t="shared" si="9"/>
        <v>0.13167835820690432</v>
      </c>
      <c r="J68">
        <f t="shared" si="10"/>
        <v>0.23177408448904657</v>
      </c>
      <c r="K68">
        <f t="shared" si="11"/>
        <v>0.19357819041892843</v>
      </c>
      <c r="L68">
        <f t="shared" si="12"/>
        <v>1.0611499812814869</v>
      </c>
      <c r="M68">
        <f t="shared" si="13"/>
        <v>1.8963690709675032</v>
      </c>
      <c r="N68">
        <f t="shared" si="14"/>
        <v>1.5978980794652664</v>
      </c>
      <c r="O68">
        <f t="shared" si="15"/>
        <v>33.445096395641237</v>
      </c>
      <c r="P68">
        <f t="shared" si="16"/>
        <v>46.689019279128246</v>
      </c>
      <c r="Q68">
        <f t="shared" si="17"/>
        <v>53.562447611064542</v>
      </c>
    </row>
    <row r="69" spans="1:17" x14ac:dyDescent="0.3">
      <c r="A69">
        <v>51056132</v>
      </c>
      <c r="B69" t="str">
        <f>VLOOKUP(A69,ASESORES!$A$2:$B$993,2,0)</f>
        <v>ROBERTS</v>
      </c>
      <c r="C69">
        <v>88990294.599999994</v>
      </c>
      <c r="D69">
        <v>118383423.31999999</v>
      </c>
      <c r="E69">
        <v>131141685.25</v>
      </c>
      <c r="F69">
        <v>117909944</v>
      </c>
      <c r="G69">
        <v>144995669</v>
      </c>
      <c r="H69">
        <v>179261207</v>
      </c>
      <c r="I69">
        <f t="shared" si="9"/>
        <v>0.324975319274873</v>
      </c>
      <c r="J69">
        <f t="shared" si="10"/>
        <v>0.2247970613931729</v>
      </c>
      <c r="K69">
        <f t="shared" si="11"/>
        <v>0.36692773665572509</v>
      </c>
      <c r="L69">
        <f t="shared" si="12"/>
        <v>2.6230546790411169</v>
      </c>
      <c r="M69">
        <f t="shared" si="13"/>
        <v>1.8346486277560934</v>
      </c>
      <c r="N69">
        <f t="shared" si="14"/>
        <v>3.0284330535533384</v>
      </c>
      <c r="O69">
        <f t="shared" si="15"/>
        <v>57.669740150880131</v>
      </c>
      <c r="P69">
        <f t="shared" si="16"/>
        <v>46.102263202011734</v>
      </c>
      <c r="Q69">
        <f t="shared" si="17"/>
        <v>74.434199497066217</v>
      </c>
    </row>
    <row r="70" spans="1:17" x14ac:dyDescent="0.3">
      <c r="A70">
        <v>51004531</v>
      </c>
      <c r="B70" t="str">
        <f>VLOOKUP(A70,ASESORES!$A$2:$B$993,2,0)</f>
        <v>PRADES</v>
      </c>
      <c r="C70">
        <v>73170431.270000011</v>
      </c>
      <c r="D70">
        <v>104030595.06</v>
      </c>
      <c r="E70">
        <v>149049288.88</v>
      </c>
      <c r="F70">
        <v>108851413</v>
      </c>
      <c r="G70">
        <v>134297622</v>
      </c>
      <c r="H70">
        <v>178911021</v>
      </c>
      <c r="I70">
        <f t="shared" si="9"/>
        <v>0.4876420858903594</v>
      </c>
      <c r="J70">
        <f t="shared" si="10"/>
        <v>0.290943514478057</v>
      </c>
      <c r="K70">
        <f t="shared" si="11"/>
        <v>0.20034803483055708</v>
      </c>
      <c r="L70">
        <f t="shared" si="12"/>
        <v>3.9190985303320813</v>
      </c>
      <c r="M70">
        <f t="shared" si="13"/>
        <v>2.3648087637270874</v>
      </c>
      <c r="N70">
        <f t="shared" si="14"/>
        <v>1.6533996239783764</v>
      </c>
      <c r="O70">
        <f t="shared" si="15"/>
        <v>76.61357921207042</v>
      </c>
      <c r="P70">
        <f t="shared" si="16"/>
        <v>53.059513830678959</v>
      </c>
      <c r="Q70">
        <f t="shared" si="17"/>
        <v>54.316848281642919</v>
      </c>
    </row>
    <row r="71" spans="1:17" x14ac:dyDescent="0.3">
      <c r="A71">
        <v>51039033</v>
      </c>
      <c r="B71" t="str">
        <f>VLOOKUP(A71,ASESORES!$A$2:$B$993,2,0)</f>
        <v>AYALA</v>
      </c>
      <c r="C71">
        <v>122913614.22</v>
      </c>
      <c r="D71">
        <v>150329030.52000001</v>
      </c>
      <c r="E71">
        <v>168761879.97</v>
      </c>
      <c r="F71">
        <v>142433436</v>
      </c>
      <c r="G71">
        <v>159818795</v>
      </c>
      <c r="H71">
        <v>178533233</v>
      </c>
      <c r="I71">
        <f t="shared" si="9"/>
        <v>0.1588092735200346</v>
      </c>
      <c r="J71">
        <f t="shared" si="10"/>
        <v>6.3126625956238414E-2</v>
      </c>
      <c r="K71">
        <f t="shared" si="11"/>
        <v>5.7900238085383915E-2</v>
      </c>
      <c r="L71">
        <f t="shared" si="12"/>
        <v>1.294869190524669</v>
      </c>
      <c r="M71">
        <f t="shared" si="13"/>
        <v>0.51786734688817215</v>
      </c>
      <c r="N71">
        <f t="shared" si="14"/>
        <v>0.47777649874079703</v>
      </c>
      <c r="O71">
        <f t="shared" si="15"/>
        <v>36.797988264878455</v>
      </c>
      <c r="P71">
        <f t="shared" si="16"/>
        <v>31.09807208717519</v>
      </c>
      <c r="Q71">
        <f t="shared" si="17"/>
        <v>36.965632858340321</v>
      </c>
    </row>
    <row r="72" spans="1:17" x14ac:dyDescent="0.3">
      <c r="A72">
        <v>51024117</v>
      </c>
      <c r="B72" t="str">
        <f>VLOOKUP(A72,ASESORES!$A$2:$B$993,2,0)</f>
        <v>LÓPEZ</v>
      </c>
      <c r="C72">
        <v>85128052.13000001</v>
      </c>
      <c r="D72">
        <v>102380964.68000001</v>
      </c>
      <c r="E72">
        <v>132174437.26000001</v>
      </c>
      <c r="F72">
        <v>118521044</v>
      </c>
      <c r="G72">
        <v>165969847</v>
      </c>
      <c r="H72">
        <v>178329237</v>
      </c>
      <c r="I72">
        <f t="shared" si="9"/>
        <v>0.39226777818204006</v>
      </c>
      <c r="J72">
        <f t="shared" si="10"/>
        <v>0.62110063641959412</v>
      </c>
      <c r="K72">
        <f t="shared" si="11"/>
        <v>0.34919611308205534</v>
      </c>
      <c r="L72">
        <f t="shared" si="12"/>
        <v>3.1670898098599403</v>
      </c>
      <c r="M72">
        <f t="shared" si="13"/>
        <v>5.1054653635552354</v>
      </c>
      <c r="N72">
        <f t="shared" si="14"/>
        <v>2.8812948431246319</v>
      </c>
      <c r="O72">
        <f t="shared" si="15"/>
        <v>66.974015088013417</v>
      </c>
      <c r="P72">
        <f t="shared" si="16"/>
        <v>85.917854149203691</v>
      </c>
      <c r="Q72">
        <f t="shared" si="17"/>
        <v>71.584241408214595</v>
      </c>
    </row>
    <row r="73" spans="1:17" x14ac:dyDescent="0.3">
      <c r="A73">
        <v>51031768</v>
      </c>
      <c r="B73" t="str">
        <f>VLOOKUP(A73,ASESORES!$A$2:$B$993,2,0)</f>
        <v>LÓPEZ</v>
      </c>
      <c r="C73">
        <v>74647730.549999997</v>
      </c>
      <c r="D73">
        <v>117206290.87</v>
      </c>
      <c r="E73">
        <v>162497887.94</v>
      </c>
      <c r="F73">
        <v>102873107</v>
      </c>
      <c r="G73">
        <v>185103218</v>
      </c>
      <c r="H73">
        <v>177353750</v>
      </c>
      <c r="I73">
        <f t="shared" si="9"/>
        <v>0.37811432768333519</v>
      </c>
      <c r="J73">
        <f t="shared" si="10"/>
        <v>0.57929422240064099</v>
      </c>
      <c r="K73">
        <f t="shared" si="11"/>
        <v>9.1421877836869614E-2</v>
      </c>
      <c r="L73">
        <f t="shared" si="12"/>
        <v>3.0295661297443939</v>
      </c>
      <c r="M73">
        <f t="shared" si="13"/>
        <v>4.7892651464259028</v>
      </c>
      <c r="N73">
        <f t="shared" si="14"/>
        <v>0.75412447712369446</v>
      </c>
      <c r="O73">
        <f t="shared" si="15"/>
        <v>64.626990779547356</v>
      </c>
      <c r="P73">
        <f t="shared" si="16"/>
        <v>82.984073763621126</v>
      </c>
      <c r="Q73">
        <f t="shared" si="17"/>
        <v>40.31852472757754</v>
      </c>
    </row>
    <row r="74" spans="1:17" x14ac:dyDescent="0.3">
      <c r="A74">
        <v>51022637</v>
      </c>
      <c r="B74" t="str">
        <f>VLOOKUP(A74,ASESORES!$A$2:$B$993,2,0)</f>
        <v>METTLER</v>
      </c>
      <c r="C74">
        <v>62685136.409999996</v>
      </c>
      <c r="D74">
        <v>93416194.870000005</v>
      </c>
      <c r="E74">
        <v>108120113.53</v>
      </c>
      <c r="F74">
        <v>104194600</v>
      </c>
      <c r="G74">
        <v>136104653</v>
      </c>
      <c r="H74">
        <v>176208828</v>
      </c>
      <c r="I74">
        <f t="shared" si="9"/>
        <v>0.66218989009614893</v>
      </c>
      <c r="J74">
        <f t="shared" si="10"/>
        <v>0.45697063757955658</v>
      </c>
      <c r="K74">
        <f t="shared" si="11"/>
        <v>0.62975067493901093</v>
      </c>
      <c r="L74">
        <f t="shared" si="12"/>
        <v>5.3093360395809563</v>
      </c>
      <c r="M74">
        <f t="shared" si="13"/>
        <v>3.7169411183036343</v>
      </c>
      <c r="N74">
        <f t="shared" si="14"/>
        <v>5.1929414861014038</v>
      </c>
      <c r="O74">
        <f t="shared" si="15"/>
        <v>87.510477787091361</v>
      </c>
      <c r="P74">
        <f t="shared" si="16"/>
        <v>72.003352891869227</v>
      </c>
      <c r="Q74">
        <f t="shared" si="17"/>
        <v>92.204526404023468</v>
      </c>
    </row>
    <row r="75" spans="1:17" x14ac:dyDescent="0.3">
      <c r="A75">
        <v>51010124</v>
      </c>
      <c r="B75" t="str">
        <f>VLOOKUP(A75,ASESORES!$A$2:$B$993,2,0)</f>
        <v>LÓPEZ</v>
      </c>
      <c r="C75">
        <v>68569856.879999995</v>
      </c>
      <c r="D75">
        <v>85616480.88000001</v>
      </c>
      <c r="E75">
        <v>119321440.05</v>
      </c>
      <c r="F75">
        <v>105557898</v>
      </c>
      <c r="G75">
        <v>139112797</v>
      </c>
      <c r="H75">
        <v>176107482</v>
      </c>
      <c r="I75">
        <f t="shared" si="9"/>
        <v>0.53942129680583362</v>
      </c>
      <c r="J75">
        <f t="shared" si="10"/>
        <v>0.62483666193872622</v>
      </c>
      <c r="K75">
        <f t="shared" si="11"/>
        <v>0.47590811782194886</v>
      </c>
      <c r="L75">
        <f t="shared" si="12"/>
        <v>4.3280417763325527</v>
      </c>
      <c r="M75">
        <f t="shared" si="13"/>
        <v>5.0882743048473476</v>
      </c>
      <c r="N75">
        <f t="shared" si="14"/>
        <v>3.92423259636525</v>
      </c>
      <c r="O75">
        <f t="shared" si="15"/>
        <v>79.966471081307631</v>
      </c>
      <c r="P75">
        <f t="shared" si="16"/>
        <v>85.58256496227996</v>
      </c>
      <c r="Q75">
        <f t="shared" si="17"/>
        <v>83.067896060352055</v>
      </c>
    </row>
    <row r="76" spans="1:17" x14ac:dyDescent="0.3">
      <c r="A76">
        <v>51012020</v>
      </c>
      <c r="B76" t="str">
        <f>VLOOKUP(A76,ASESORES!$A$2:$B$993,2,0)</f>
        <v>PRADES</v>
      </c>
      <c r="C76">
        <v>76671296.079999983</v>
      </c>
      <c r="D76">
        <v>93434802.930000007</v>
      </c>
      <c r="E76">
        <v>119214415.53</v>
      </c>
      <c r="F76">
        <v>111084787</v>
      </c>
      <c r="G76">
        <v>143020202</v>
      </c>
      <c r="H76">
        <v>175148315</v>
      </c>
      <c r="I76">
        <f t="shared" si="9"/>
        <v>0.44884451782440804</v>
      </c>
      <c r="J76">
        <f t="shared" si="10"/>
        <v>0.5306951747642541</v>
      </c>
      <c r="K76">
        <f t="shared" si="11"/>
        <v>0.46918738158745898</v>
      </c>
      <c r="L76">
        <f t="shared" si="12"/>
        <v>3.611247953515246</v>
      </c>
      <c r="M76">
        <f t="shared" si="13"/>
        <v>4.3280300416176738</v>
      </c>
      <c r="N76">
        <f t="shared" si="14"/>
        <v>3.8677020594142455</v>
      </c>
      <c r="O76">
        <f t="shared" si="15"/>
        <v>72.925398155909477</v>
      </c>
      <c r="P76">
        <f t="shared" si="16"/>
        <v>78.541492036881806</v>
      </c>
      <c r="Q76">
        <f t="shared" si="17"/>
        <v>82.313495389773678</v>
      </c>
    </row>
    <row r="77" spans="1:17" x14ac:dyDescent="0.3">
      <c r="A77">
        <v>51029968</v>
      </c>
      <c r="B77" t="str">
        <f>VLOOKUP(A77,ASESORES!$A$2:$B$993,2,0)</f>
        <v>PUGH</v>
      </c>
      <c r="C77">
        <v>58540019.920000002</v>
      </c>
      <c r="D77">
        <v>81803729.859999999</v>
      </c>
      <c r="E77">
        <v>115633327.98999999</v>
      </c>
      <c r="F77">
        <v>109102865</v>
      </c>
      <c r="G77">
        <v>138464656</v>
      </c>
      <c r="H77">
        <v>173801039</v>
      </c>
      <c r="I77">
        <f t="shared" si="9"/>
        <v>0.8637312585321717</v>
      </c>
      <c r="J77">
        <f t="shared" si="10"/>
        <v>0.69264477594078255</v>
      </c>
      <c r="K77">
        <f t="shared" si="11"/>
        <v>0.50303586363120467</v>
      </c>
      <c r="L77">
        <f t="shared" si="12"/>
        <v>6.9425303381605428</v>
      </c>
      <c r="M77">
        <f t="shared" si="13"/>
        <v>5.6390558797675112</v>
      </c>
      <c r="N77">
        <f t="shared" si="14"/>
        <v>4.1450418594925118</v>
      </c>
      <c r="O77">
        <f t="shared" si="15"/>
        <v>93.294216261525563</v>
      </c>
      <c r="P77">
        <f t="shared" si="16"/>
        <v>89.354568315171832</v>
      </c>
      <c r="Q77">
        <f t="shared" si="17"/>
        <v>85.414920368818102</v>
      </c>
    </row>
    <row r="78" spans="1:17" x14ac:dyDescent="0.3">
      <c r="A78">
        <v>51025202</v>
      </c>
      <c r="B78" t="str">
        <f>VLOOKUP(A78,ASESORES!$A$2:$B$993,2,0)</f>
        <v>MONTENEGRO</v>
      </c>
      <c r="C78">
        <v>85235471.579999998</v>
      </c>
      <c r="D78">
        <v>102909603.19</v>
      </c>
      <c r="E78">
        <v>122284874.2</v>
      </c>
      <c r="F78">
        <v>107303471</v>
      </c>
      <c r="G78">
        <v>138498376</v>
      </c>
      <c r="H78">
        <v>173432056</v>
      </c>
      <c r="I78">
        <f t="shared" si="9"/>
        <v>0.25890628644305091</v>
      </c>
      <c r="J78">
        <f t="shared" si="10"/>
        <v>0.34582557610579001</v>
      </c>
      <c r="K78">
        <f t="shared" si="11"/>
        <v>0.41826253765733523</v>
      </c>
      <c r="L78">
        <f t="shared" si="12"/>
        <v>2.0791763891883832</v>
      </c>
      <c r="M78">
        <f t="shared" si="13"/>
        <v>2.8155197971379753</v>
      </c>
      <c r="N78">
        <f t="shared" si="14"/>
        <v>3.4461191594681151</v>
      </c>
      <c r="O78">
        <f t="shared" si="15"/>
        <v>48.030176026823135</v>
      </c>
      <c r="P78">
        <f t="shared" si="16"/>
        <v>60.268231349538979</v>
      </c>
      <c r="Q78">
        <f t="shared" si="17"/>
        <v>78.373847443419947</v>
      </c>
    </row>
    <row r="79" spans="1:17" x14ac:dyDescent="0.3">
      <c r="A79">
        <v>51003667</v>
      </c>
      <c r="B79" t="str">
        <f>VLOOKUP(A79,ASESORES!$A$2:$B$993,2,0)</f>
        <v>CICHETTO</v>
      </c>
      <c r="C79">
        <v>65457339.729999997</v>
      </c>
      <c r="D79">
        <v>129006233.45</v>
      </c>
      <c r="E79">
        <v>129236280.77</v>
      </c>
      <c r="F79">
        <v>90135820</v>
      </c>
      <c r="G79">
        <v>145546666</v>
      </c>
      <c r="H79">
        <v>170897070</v>
      </c>
      <c r="I79">
        <f t="shared" si="9"/>
        <v>0.37701624251450472</v>
      </c>
      <c r="J79">
        <f t="shared" si="10"/>
        <v>0.12821421188465831</v>
      </c>
      <c r="K79">
        <f t="shared" si="11"/>
        <v>0.32236140642381317</v>
      </c>
      <c r="L79">
        <f t="shared" si="12"/>
        <v>2.9991255326258504</v>
      </c>
      <c r="M79">
        <f t="shared" si="13"/>
        <v>1.0466129015858947</v>
      </c>
      <c r="N79">
        <f t="shared" si="14"/>
        <v>2.6539159098122829</v>
      </c>
      <c r="O79">
        <f t="shared" si="15"/>
        <v>64.040234702430837</v>
      </c>
      <c r="P79">
        <f t="shared" si="16"/>
        <v>36.295054484492873</v>
      </c>
      <c r="Q79">
        <f t="shared" si="17"/>
        <v>68.231349538977369</v>
      </c>
    </row>
    <row r="80" spans="1:17" x14ac:dyDescent="0.3">
      <c r="A80">
        <v>51026691</v>
      </c>
      <c r="B80" t="str">
        <f>VLOOKUP(A80,ASESORES!$A$2:$B$993,2,0)</f>
        <v>METTLER</v>
      </c>
      <c r="C80">
        <v>104359721.88</v>
      </c>
      <c r="D80">
        <v>189818100.99000001</v>
      </c>
      <c r="E80">
        <v>233972888.93000001</v>
      </c>
      <c r="F80">
        <v>191319103</v>
      </c>
      <c r="G80">
        <v>201899495</v>
      </c>
      <c r="H80">
        <v>170098405</v>
      </c>
      <c r="I80">
        <f t="shared" si="9"/>
        <v>0.83326574231380079</v>
      </c>
      <c r="J80">
        <f t="shared" si="10"/>
        <v>6.3647217767901276E-2</v>
      </c>
      <c r="K80">
        <f t="shared" si="11"/>
        <v>-0.27299950956758057</v>
      </c>
      <c r="L80">
        <f t="shared" si="12"/>
        <v>6.9009055075223351</v>
      </c>
      <c r="M80">
        <f t="shared" si="13"/>
        <v>0.52859875074550977</v>
      </c>
      <c r="N80">
        <f t="shared" si="14"/>
        <v>-2.246977129268529</v>
      </c>
      <c r="O80">
        <f t="shared" si="15"/>
        <v>93.210393964794633</v>
      </c>
      <c r="P80">
        <f t="shared" si="16"/>
        <v>31.181894383906116</v>
      </c>
      <c r="Q80">
        <f t="shared" si="17"/>
        <v>3.9396479463537304</v>
      </c>
    </row>
    <row r="81" spans="1:17" x14ac:dyDescent="0.3">
      <c r="A81">
        <v>51023145</v>
      </c>
      <c r="B81" t="str">
        <f>VLOOKUP(A81,ASESORES!$A$2:$B$993,2,0)</f>
        <v>NELLI</v>
      </c>
      <c r="C81">
        <v>71068626.239999995</v>
      </c>
      <c r="D81">
        <v>94885495.060000002</v>
      </c>
      <c r="E81">
        <v>127636102.90000001</v>
      </c>
      <c r="F81">
        <v>109330568</v>
      </c>
      <c r="G81">
        <v>145165500</v>
      </c>
      <c r="H81">
        <v>169434410</v>
      </c>
      <c r="I81">
        <f t="shared" si="9"/>
        <v>0.53838020775565232</v>
      </c>
      <c r="J81">
        <f t="shared" si="10"/>
        <v>0.52990190869748721</v>
      </c>
      <c r="K81">
        <f t="shared" si="11"/>
        <v>0.32748028301011378</v>
      </c>
      <c r="L81">
        <f t="shared" si="12"/>
        <v>4.3278993750603645</v>
      </c>
      <c r="M81">
        <f t="shared" si="13"/>
        <v>4.324987001764927</v>
      </c>
      <c r="N81">
        <f t="shared" si="14"/>
        <v>2.6948357776743075</v>
      </c>
      <c r="O81">
        <f t="shared" si="15"/>
        <v>79.882648784576688</v>
      </c>
      <c r="P81">
        <f t="shared" si="16"/>
        <v>78.457669740150877</v>
      </c>
      <c r="Q81">
        <f t="shared" si="17"/>
        <v>69.069572506286676</v>
      </c>
    </row>
    <row r="82" spans="1:17" x14ac:dyDescent="0.3">
      <c r="A82">
        <v>51056001</v>
      </c>
      <c r="B82" t="str">
        <f>VLOOKUP(A82,ASESORES!$A$2:$B$993,2,0)</f>
        <v>BELUZZO</v>
      </c>
      <c r="C82">
        <v>92346201.870000005</v>
      </c>
      <c r="D82">
        <v>107251707.06</v>
      </c>
      <c r="E82">
        <v>114808676.42</v>
      </c>
      <c r="F82">
        <v>179510278</v>
      </c>
      <c r="G82">
        <v>150689616</v>
      </c>
      <c r="H82">
        <v>169362035</v>
      </c>
      <c r="I82">
        <f t="shared" si="9"/>
        <v>0.94388371546352134</v>
      </c>
      <c r="J82">
        <f t="shared" si="10"/>
        <v>0.405009021587875</v>
      </c>
      <c r="K82">
        <f t="shared" si="11"/>
        <v>0.47516755946588596</v>
      </c>
      <c r="L82">
        <f t="shared" si="12"/>
        <v>7.7909004946509635</v>
      </c>
      <c r="M82">
        <f t="shared" si="13"/>
        <v>3.3121975263981551</v>
      </c>
      <c r="N82">
        <f t="shared" si="14"/>
        <v>3.910066446132892</v>
      </c>
      <c r="O82">
        <f t="shared" si="15"/>
        <v>95.054484492875105</v>
      </c>
      <c r="P82">
        <f t="shared" si="16"/>
        <v>67.057837384744346</v>
      </c>
      <c r="Q82">
        <f t="shared" si="17"/>
        <v>82.900251466890197</v>
      </c>
    </row>
    <row r="83" spans="1:17" x14ac:dyDescent="0.3">
      <c r="A83">
        <v>51019652</v>
      </c>
      <c r="B83" t="str">
        <f>VLOOKUP(A83,ASESORES!$A$2:$B$993,2,0)</f>
        <v>ROBERTS</v>
      </c>
      <c r="C83">
        <v>51228288.07</v>
      </c>
      <c r="D83">
        <v>72967486.25</v>
      </c>
      <c r="E83">
        <v>102608390.08</v>
      </c>
      <c r="F83">
        <v>81715193</v>
      </c>
      <c r="G83">
        <v>136978305</v>
      </c>
      <c r="H83">
        <v>169305510</v>
      </c>
      <c r="I83">
        <f t="shared" si="9"/>
        <v>0.59511855809707526</v>
      </c>
      <c r="J83">
        <f t="shared" si="10"/>
        <v>0.87725125312234531</v>
      </c>
      <c r="K83">
        <f t="shared" si="11"/>
        <v>0.65001624007548209</v>
      </c>
      <c r="L83">
        <f t="shared" si="12"/>
        <v>4.7087582399832373</v>
      </c>
      <c r="M83">
        <f t="shared" si="13"/>
        <v>7.1378879771121584</v>
      </c>
      <c r="N83">
        <f t="shared" si="14"/>
        <v>5.3487698442542699</v>
      </c>
      <c r="O83">
        <f t="shared" si="15"/>
        <v>83.822296730930418</v>
      </c>
      <c r="P83">
        <f t="shared" si="16"/>
        <v>94.04861693210394</v>
      </c>
      <c r="Q83">
        <f t="shared" si="17"/>
        <v>92.791282481139987</v>
      </c>
    </row>
    <row r="84" spans="1:17" x14ac:dyDescent="0.3">
      <c r="A84">
        <v>51011368</v>
      </c>
      <c r="B84" t="str">
        <f>VLOOKUP(A84,ASESORES!$A$2:$B$993,2,0)</f>
        <v>PUGH</v>
      </c>
      <c r="C84">
        <v>50464011.140000001</v>
      </c>
      <c r="D84">
        <v>68304286.739999995</v>
      </c>
      <c r="E84">
        <v>89378480.430000007</v>
      </c>
      <c r="F84">
        <v>95637120</v>
      </c>
      <c r="G84">
        <v>131855750</v>
      </c>
      <c r="H84">
        <v>168743340</v>
      </c>
      <c r="I84">
        <f t="shared" si="9"/>
        <v>0.89515493991704909</v>
      </c>
      <c r="J84">
        <f t="shared" si="10"/>
        <v>0.93041690782759234</v>
      </c>
      <c r="K84">
        <f t="shared" si="11"/>
        <v>0.88796384977877829</v>
      </c>
      <c r="L84">
        <f t="shared" si="12"/>
        <v>7.1438972255927107</v>
      </c>
      <c r="M84">
        <f t="shared" si="13"/>
        <v>7.5550774710982953</v>
      </c>
      <c r="N84">
        <f t="shared" si="14"/>
        <v>7.305479841153117</v>
      </c>
      <c r="O84">
        <f t="shared" si="15"/>
        <v>93.880972338642081</v>
      </c>
      <c r="P84">
        <f t="shared" si="16"/>
        <v>94.886839899413246</v>
      </c>
      <c r="Q84">
        <f t="shared" si="17"/>
        <v>96.563285834031859</v>
      </c>
    </row>
    <row r="85" spans="1:17" x14ac:dyDescent="0.3">
      <c r="A85">
        <v>51055047</v>
      </c>
      <c r="B85" t="str">
        <f>VLOOKUP(A85,ASESORES!$A$2:$B$993,2,0)</f>
        <v>PUGH</v>
      </c>
      <c r="C85">
        <v>64358689.979999997</v>
      </c>
      <c r="D85">
        <v>103328348.87</v>
      </c>
      <c r="E85">
        <v>109518411.68000001</v>
      </c>
      <c r="F85">
        <v>94293390</v>
      </c>
      <c r="G85">
        <v>126218386</v>
      </c>
      <c r="H85">
        <v>168727237</v>
      </c>
      <c r="I85">
        <f t="shared" si="9"/>
        <v>0.46512289217357372</v>
      </c>
      <c r="J85">
        <f t="shared" si="10"/>
        <v>0.22152717410396749</v>
      </c>
      <c r="K85">
        <f t="shared" si="11"/>
        <v>0.54062896285422091</v>
      </c>
      <c r="L85">
        <f t="shared" si="12"/>
        <v>3.7091137824013831</v>
      </c>
      <c r="M85">
        <f t="shared" si="13"/>
        <v>1.7946188016087035</v>
      </c>
      <c r="N85">
        <f t="shared" si="14"/>
        <v>4.4478545990552005</v>
      </c>
      <c r="O85">
        <f t="shared" si="15"/>
        <v>74.266554903604359</v>
      </c>
      <c r="P85">
        <f t="shared" si="16"/>
        <v>45.431684828164293</v>
      </c>
      <c r="Q85">
        <f t="shared" si="17"/>
        <v>87.678122380553219</v>
      </c>
    </row>
    <row r="86" spans="1:17" x14ac:dyDescent="0.3">
      <c r="A86">
        <v>51018176</v>
      </c>
      <c r="B86" t="str">
        <f>VLOOKUP(A86,ASESORES!$A$2:$B$993,2,0)</f>
        <v>ARGUELLO</v>
      </c>
      <c r="C86">
        <v>78690576.460000008</v>
      </c>
      <c r="D86">
        <v>98505669.230000004</v>
      </c>
      <c r="E86">
        <v>115268228.45</v>
      </c>
      <c r="F86">
        <v>96680650</v>
      </c>
      <c r="G86">
        <v>123243204</v>
      </c>
      <c r="H86">
        <v>167133853</v>
      </c>
      <c r="I86">
        <f t="shared" si="9"/>
        <v>0.22861788983264986</v>
      </c>
      <c r="J86">
        <f t="shared" si="10"/>
        <v>0.25112803114144167</v>
      </c>
      <c r="K86">
        <f t="shared" si="11"/>
        <v>0.44995594403966921</v>
      </c>
      <c r="L86">
        <f t="shared" si="12"/>
        <v>1.8255914801653814</v>
      </c>
      <c r="M86">
        <f t="shared" si="13"/>
        <v>2.0318173776770396</v>
      </c>
      <c r="N86">
        <f t="shared" si="14"/>
        <v>3.7000167163622275</v>
      </c>
      <c r="O86">
        <f t="shared" si="15"/>
        <v>44.761106454316845</v>
      </c>
      <c r="P86">
        <f t="shared" si="16"/>
        <v>48.95222129086337</v>
      </c>
      <c r="Q86">
        <f t="shared" si="17"/>
        <v>81.139983235540655</v>
      </c>
    </row>
    <row r="87" spans="1:17" x14ac:dyDescent="0.3">
      <c r="A87">
        <v>51015622</v>
      </c>
      <c r="B87" t="str">
        <f>VLOOKUP(A87,ASESORES!$A$2:$B$993,2,0)</f>
        <v>PUGH</v>
      </c>
      <c r="C87">
        <v>60177198.75</v>
      </c>
      <c r="D87">
        <v>86518210.340000004</v>
      </c>
      <c r="E87">
        <v>110684165.59</v>
      </c>
      <c r="F87">
        <v>101074839</v>
      </c>
      <c r="G87">
        <v>141011567</v>
      </c>
      <c r="H87">
        <v>166176921</v>
      </c>
      <c r="I87">
        <f t="shared" si="9"/>
        <v>0.67962020664845246</v>
      </c>
      <c r="J87">
        <f t="shared" si="10"/>
        <v>0.62984840354246274</v>
      </c>
      <c r="K87">
        <f t="shared" si="11"/>
        <v>0.50136128428304838</v>
      </c>
      <c r="L87">
        <f t="shared" si="12"/>
        <v>5.4401171693797785</v>
      </c>
      <c r="M87">
        <f t="shared" si="13"/>
        <v>5.1327950872575787</v>
      </c>
      <c r="N87">
        <f t="shared" si="14"/>
        <v>4.1214758876552597</v>
      </c>
      <c r="O87">
        <f t="shared" si="15"/>
        <v>87.845766974015078</v>
      </c>
      <c r="P87">
        <f t="shared" si="16"/>
        <v>86.420787929589267</v>
      </c>
      <c r="Q87">
        <f t="shared" si="17"/>
        <v>85.079631181894385</v>
      </c>
    </row>
    <row r="88" spans="1:17" x14ac:dyDescent="0.3">
      <c r="A88">
        <v>51054946</v>
      </c>
      <c r="B88" t="str">
        <f>VLOOKUP(A88,ASESORES!$A$2:$B$993,2,0)</f>
        <v>LÓPEZ</v>
      </c>
      <c r="C88">
        <v>69558903.710000008</v>
      </c>
      <c r="D88">
        <v>91616217.700000003</v>
      </c>
      <c r="E88">
        <v>125637738.66</v>
      </c>
      <c r="F88">
        <v>157389770</v>
      </c>
      <c r="G88">
        <v>156158475</v>
      </c>
      <c r="H88">
        <v>166114899</v>
      </c>
      <c r="I88">
        <f t="shared" si="9"/>
        <v>1.262683303005725</v>
      </c>
      <c r="J88">
        <f t="shared" si="10"/>
        <v>0.70448506738561845</v>
      </c>
      <c r="K88">
        <f t="shared" si="11"/>
        <v>0.32217358233053695</v>
      </c>
      <c r="L88">
        <f t="shared" si="12"/>
        <v>10.350185362593974</v>
      </c>
      <c r="M88">
        <f t="shared" si="13"/>
        <v>5.7722445850626478</v>
      </c>
      <c r="N88">
        <f t="shared" si="14"/>
        <v>2.64839848252532</v>
      </c>
      <c r="O88">
        <f t="shared" si="15"/>
        <v>97.401508801341151</v>
      </c>
      <c r="P88">
        <f t="shared" si="16"/>
        <v>90.02514668901928</v>
      </c>
      <c r="Q88">
        <f t="shared" si="17"/>
        <v>68.14752724224644</v>
      </c>
    </row>
    <row r="89" spans="1:17" x14ac:dyDescent="0.3">
      <c r="A89">
        <v>51016220</v>
      </c>
      <c r="B89" t="str">
        <f>VLOOKUP(A89,ASESORES!$A$2:$B$993,2,0)</f>
        <v>NELLI</v>
      </c>
      <c r="C89">
        <v>78804055.300000012</v>
      </c>
      <c r="D89">
        <v>95948265.760000005</v>
      </c>
      <c r="E89">
        <v>131506581.47</v>
      </c>
      <c r="F89">
        <v>101267534</v>
      </c>
      <c r="G89">
        <v>147426881</v>
      </c>
      <c r="H89">
        <v>165812394</v>
      </c>
      <c r="I89">
        <f t="shared" si="9"/>
        <v>0.28505485681521758</v>
      </c>
      <c r="J89">
        <f t="shared" si="10"/>
        <v>0.53652470768743155</v>
      </c>
      <c r="K89">
        <f t="shared" si="11"/>
        <v>0.26086764743273338</v>
      </c>
      <c r="L89">
        <f t="shared" si="12"/>
        <v>2.2819981714214057</v>
      </c>
      <c r="M89">
        <f t="shared" si="13"/>
        <v>4.3826432141667873</v>
      </c>
      <c r="N89">
        <f t="shared" si="14"/>
        <v>2.1442321468991175</v>
      </c>
      <c r="O89">
        <f t="shared" si="15"/>
        <v>52.305113160100589</v>
      </c>
      <c r="P89">
        <f t="shared" si="16"/>
        <v>79.379715004191127</v>
      </c>
      <c r="Q89">
        <f t="shared" si="17"/>
        <v>60.603520536462696</v>
      </c>
    </row>
    <row r="90" spans="1:17" x14ac:dyDescent="0.3">
      <c r="A90">
        <v>51025385</v>
      </c>
      <c r="B90" t="str">
        <f>VLOOKUP(A90,ASESORES!$A$2:$B$993,2,0)</f>
        <v>NELLI</v>
      </c>
      <c r="C90">
        <v>81972411.099999994</v>
      </c>
      <c r="D90">
        <v>133296041.92</v>
      </c>
      <c r="E90">
        <v>135714964.47999999</v>
      </c>
      <c r="F90">
        <v>103574323</v>
      </c>
      <c r="G90">
        <v>140197045</v>
      </c>
      <c r="H90">
        <v>165475702</v>
      </c>
      <c r="I90">
        <f t="shared" si="9"/>
        <v>0.26352661352912188</v>
      </c>
      <c r="J90">
        <f t="shared" si="10"/>
        <v>5.1772002983717647E-2</v>
      </c>
      <c r="K90">
        <f t="shared" si="11"/>
        <v>0.21928854812754106</v>
      </c>
      <c r="L90">
        <f t="shared" si="12"/>
        <v>2.1122322433570715</v>
      </c>
      <c r="M90">
        <f t="shared" si="13"/>
        <v>0.42177298856205908</v>
      </c>
      <c r="N90">
        <f t="shared" si="14"/>
        <v>1.802274297220436</v>
      </c>
      <c r="O90">
        <f t="shared" si="15"/>
        <v>48.616932103939646</v>
      </c>
      <c r="P90">
        <f t="shared" si="16"/>
        <v>30.343671416596813</v>
      </c>
      <c r="Q90">
        <f t="shared" si="17"/>
        <v>55.993294216261525</v>
      </c>
    </row>
    <row r="91" spans="1:17" x14ac:dyDescent="0.3">
      <c r="A91">
        <v>51057163</v>
      </c>
      <c r="B91" t="str">
        <f>VLOOKUP(A91,ASESORES!$A$2:$B$993,2,0)</f>
        <v>CICHETTO</v>
      </c>
      <c r="C91">
        <v>83609036.50999999</v>
      </c>
      <c r="D91">
        <v>111999780.84</v>
      </c>
      <c r="E91">
        <v>144958421.94999999</v>
      </c>
      <c r="F91">
        <v>131609063</v>
      </c>
      <c r="G91">
        <v>144525492</v>
      </c>
      <c r="H91">
        <v>163496612</v>
      </c>
      <c r="I91">
        <f t="shared" si="9"/>
        <v>0.57410094044390769</v>
      </c>
      <c r="J91">
        <f t="shared" si="10"/>
        <v>0.29040870362474536</v>
      </c>
      <c r="K91">
        <f t="shared" si="11"/>
        <v>0.12788625731862835</v>
      </c>
      <c r="L91">
        <f t="shared" si="12"/>
        <v>4.6612896118740608</v>
      </c>
      <c r="M91">
        <f t="shared" si="13"/>
        <v>2.3697188912603315</v>
      </c>
      <c r="N91">
        <f t="shared" si="14"/>
        <v>1.0503948944603829</v>
      </c>
      <c r="O91">
        <f t="shared" si="15"/>
        <v>83.57082984073763</v>
      </c>
      <c r="P91">
        <f t="shared" si="16"/>
        <v>53.143336127409889</v>
      </c>
      <c r="Q91">
        <f t="shared" si="17"/>
        <v>44.425817267393128</v>
      </c>
    </row>
    <row r="92" spans="1:17" x14ac:dyDescent="0.3">
      <c r="A92">
        <v>51055985</v>
      </c>
      <c r="B92" t="str">
        <f>VLOOKUP(A92,ASESORES!$A$2:$B$993,2,0)</f>
        <v>NELLI</v>
      </c>
      <c r="C92">
        <v>108929461.39</v>
      </c>
      <c r="D92">
        <v>157118203.80000001</v>
      </c>
      <c r="E92">
        <v>208760231.5</v>
      </c>
      <c r="F92">
        <v>123255442</v>
      </c>
      <c r="G92">
        <v>159130383</v>
      </c>
      <c r="H92">
        <v>162997532</v>
      </c>
      <c r="I92">
        <f t="shared" si="9"/>
        <v>0.13151612453777495</v>
      </c>
      <c r="J92">
        <f t="shared" si="10"/>
        <v>1.2806785918717312E-2</v>
      </c>
      <c r="K92">
        <f t="shared" si="11"/>
        <v>-0.21921176831038336</v>
      </c>
      <c r="L92">
        <f t="shared" si="12"/>
        <v>1.0640714631101102</v>
      </c>
      <c r="M92">
        <f t="shared" si="13"/>
        <v>0.10503809621301037</v>
      </c>
      <c r="N92">
        <f t="shared" si="14"/>
        <v>-1.8002067249766935</v>
      </c>
      <c r="O92">
        <f t="shared" si="15"/>
        <v>33.612740989103102</v>
      </c>
      <c r="P92">
        <f t="shared" si="16"/>
        <v>27.07460184409053</v>
      </c>
      <c r="Q92">
        <f t="shared" si="17"/>
        <v>5.0293378038558254</v>
      </c>
    </row>
    <row r="93" spans="1:17" x14ac:dyDescent="0.3">
      <c r="A93">
        <v>51032993</v>
      </c>
      <c r="B93" t="str">
        <f>VLOOKUP(A93,ASESORES!$A$2:$B$993,2,0)</f>
        <v>ARGUELLO</v>
      </c>
      <c r="C93">
        <v>73341796.189999998</v>
      </c>
      <c r="D93">
        <v>93269970.640000001</v>
      </c>
      <c r="E93">
        <v>120110935</v>
      </c>
      <c r="F93">
        <v>128058893</v>
      </c>
      <c r="G93">
        <v>156212002</v>
      </c>
      <c r="H93">
        <v>162529471</v>
      </c>
      <c r="I93">
        <f t="shared" si="9"/>
        <v>0.74605613241662838</v>
      </c>
      <c r="J93">
        <f t="shared" si="10"/>
        <v>0.67483704485060181</v>
      </c>
      <c r="K93">
        <f t="shared" si="11"/>
        <v>0.35316131707741683</v>
      </c>
      <c r="L93">
        <f t="shared" si="12"/>
        <v>6.0485827569757022</v>
      </c>
      <c r="M93">
        <f t="shared" si="13"/>
        <v>5.5294220109073109</v>
      </c>
      <c r="N93">
        <f t="shared" si="14"/>
        <v>2.8997836025754697</v>
      </c>
      <c r="O93">
        <f t="shared" si="15"/>
        <v>90.779547359597657</v>
      </c>
      <c r="P93">
        <f t="shared" si="16"/>
        <v>88.683989941324398</v>
      </c>
      <c r="Q93">
        <f t="shared" si="17"/>
        <v>72.254819782062029</v>
      </c>
    </row>
    <row r="94" spans="1:17" x14ac:dyDescent="0.3">
      <c r="A94">
        <v>51015088</v>
      </c>
      <c r="B94" t="str">
        <f>VLOOKUP(A94,ASESORES!$A$2:$B$993,2,0)</f>
        <v>BELUZZO</v>
      </c>
      <c r="C94">
        <v>70106459</v>
      </c>
      <c r="D94">
        <v>100334264.90000001</v>
      </c>
      <c r="E94">
        <v>115374875.86</v>
      </c>
      <c r="F94">
        <v>101311347</v>
      </c>
      <c r="G94">
        <v>140560226</v>
      </c>
      <c r="H94">
        <v>162492115</v>
      </c>
      <c r="I94">
        <f t="shared" si="9"/>
        <v>0.44510717621610296</v>
      </c>
      <c r="J94">
        <f t="shared" si="10"/>
        <v>0.40091947790809002</v>
      </c>
      <c r="K94">
        <f t="shared" si="11"/>
        <v>0.40838387724181602</v>
      </c>
      <c r="L94">
        <f t="shared" si="12"/>
        <v>3.5633758660223527</v>
      </c>
      <c r="M94">
        <f t="shared" si="13"/>
        <v>3.2666367582255305</v>
      </c>
      <c r="N94">
        <f t="shared" si="14"/>
        <v>3.353171526584688</v>
      </c>
      <c r="O94">
        <f t="shared" si="15"/>
        <v>72.003352891869227</v>
      </c>
      <c r="P94">
        <f t="shared" si="16"/>
        <v>66.387259010896898</v>
      </c>
      <c r="Q94">
        <f t="shared" si="17"/>
        <v>77.535624476110641</v>
      </c>
    </row>
    <row r="95" spans="1:17" x14ac:dyDescent="0.3">
      <c r="A95">
        <v>51035658</v>
      </c>
      <c r="B95" t="str">
        <f>VLOOKUP(A95,ASESORES!$A$2:$B$993,2,0)</f>
        <v>PUGH</v>
      </c>
      <c r="C95">
        <v>73002486.679999992</v>
      </c>
      <c r="D95">
        <v>92661709.510000005</v>
      </c>
      <c r="E95">
        <v>98297773.530000001</v>
      </c>
      <c r="F95">
        <v>100077199</v>
      </c>
      <c r="G95">
        <v>118906883</v>
      </c>
      <c r="H95">
        <v>162199062</v>
      </c>
      <c r="I95">
        <f t="shared" si="9"/>
        <v>0.37087383664997109</v>
      </c>
      <c r="J95">
        <f t="shared" si="10"/>
        <v>0.28323644824583805</v>
      </c>
      <c r="K95">
        <f t="shared" si="11"/>
        <v>0.65007869634501581</v>
      </c>
      <c r="L95">
        <f t="shared" si="12"/>
        <v>2.9671149884695929</v>
      </c>
      <c r="M95">
        <f t="shared" si="13"/>
        <v>2.2871929480448139</v>
      </c>
      <c r="N95">
        <f t="shared" si="14"/>
        <v>5.3371775207240324</v>
      </c>
      <c r="O95">
        <f t="shared" si="15"/>
        <v>63.453478625314332</v>
      </c>
      <c r="P95">
        <f t="shared" si="16"/>
        <v>52.053646269907794</v>
      </c>
      <c r="Q95">
        <f t="shared" si="17"/>
        <v>92.623637887678129</v>
      </c>
    </row>
    <row r="96" spans="1:17" x14ac:dyDescent="0.3">
      <c r="A96">
        <v>51016726</v>
      </c>
      <c r="B96" t="str">
        <f>VLOOKUP(A96,ASESORES!$A$2:$B$993,2,0)</f>
        <v>LÓPEZ</v>
      </c>
      <c r="C96">
        <v>60278072.349999987</v>
      </c>
      <c r="D96">
        <v>84200124.159999996</v>
      </c>
      <c r="E96">
        <v>94884853.920000002</v>
      </c>
      <c r="F96">
        <v>90829200</v>
      </c>
      <c r="G96">
        <v>118808220</v>
      </c>
      <c r="H96">
        <v>161731017</v>
      </c>
      <c r="I96">
        <f t="shared" si="9"/>
        <v>0.50683650718966655</v>
      </c>
      <c r="J96">
        <f t="shared" si="10"/>
        <v>0.41102190982802478</v>
      </c>
      <c r="K96">
        <f t="shared" si="11"/>
        <v>0.70449771821706997</v>
      </c>
      <c r="L96">
        <f t="shared" si="12"/>
        <v>4.0335192102990138</v>
      </c>
      <c r="M96">
        <f t="shared" si="13"/>
        <v>3.3189388255896533</v>
      </c>
      <c r="N96">
        <f t="shared" si="14"/>
        <v>5.7830761614911497</v>
      </c>
      <c r="O96">
        <f t="shared" si="15"/>
        <v>77.535624476110641</v>
      </c>
      <c r="P96">
        <f t="shared" si="16"/>
        <v>67.309304274937134</v>
      </c>
      <c r="Q96">
        <f t="shared" si="17"/>
        <v>93.713327745180223</v>
      </c>
    </row>
    <row r="97" spans="1:17" x14ac:dyDescent="0.3">
      <c r="A97">
        <v>51019342</v>
      </c>
      <c r="B97" t="str">
        <f>VLOOKUP(A97,ASESORES!$A$2:$B$993,2,0)</f>
        <v>CICHETTO</v>
      </c>
      <c r="C97">
        <v>129216810.09</v>
      </c>
      <c r="D97">
        <v>178114491.94</v>
      </c>
      <c r="E97">
        <v>234309636.83000001</v>
      </c>
      <c r="F97">
        <v>106695590</v>
      </c>
      <c r="G97">
        <v>152105404</v>
      </c>
      <c r="H97">
        <v>161369067</v>
      </c>
      <c r="I97">
        <f t="shared" si="9"/>
        <v>-0.17429017226407217</v>
      </c>
      <c r="J97">
        <f t="shared" si="10"/>
        <v>-0.14602454666497022</v>
      </c>
      <c r="K97">
        <f t="shared" si="11"/>
        <v>-0.31129991415129454</v>
      </c>
      <c r="L97">
        <f t="shared" si="12"/>
        <v>-1.3992270310955577</v>
      </c>
      <c r="M97">
        <f t="shared" si="13"/>
        <v>-1.1947939623784336</v>
      </c>
      <c r="N97">
        <f t="shared" si="14"/>
        <v>-2.5550937510282647</v>
      </c>
      <c r="O97">
        <f t="shared" si="15"/>
        <v>6.2028499580888514</v>
      </c>
      <c r="P97">
        <f t="shared" si="16"/>
        <v>6.1190276613579213</v>
      </c>
      <c r="Q97">
        <f t="shared" si="17"/>
        <v>3.6043587594300082</v>
      </c>
    </row>
    <row r="98" spans="1:17" x14ac:dyDescent="0.3">
      <c r="A98">
        <v>51014162</v>
      </c>
      <c r="B98" t="str">
        <f>VLOOKUP(A98,ASESORES!$A$2:$B$993,2,0)</f>
        <v>PUGH</v>
      </c>
      <c r="C98">
        <v>75430557.519999996</v>
      </c>
      <c r="D98">
        <v>111563604.3</v>
      </c>
      <c r="E98">
        <v>140837489.53</v>
      </c>
      <c r="F98">
        <v>104917934</v>
      </c>
      <c r="G98">
        <v>131764613</v>
      </c>
      <c r="H98">
        <v>160702558</v>
      </c>
      <c r="I98">
        <f t="shared" si="9"/>
        <v>0.39092083433403757</v>
      </c>
      <c r="J98">
        <f t="shared" si="10"/>
        <v>0.18107167500324306</v>
      </c>
      <c r="K98">
        <f t="shared" si="11"/>
        <v>0.14104957803702201</v>
      </c>
      <c r="L98">
        <f t="shared" si="12"/>
        <v>3.1355172685420292</v>
      </c>
      <c r="M98">
        <f t="shared" si="13"/>
        <v>1.4702655677425323</v>
      </c>
      <c r="N98">
        <f t="shared" si="14"/>
        <v>1.1574560518559738</v>
      </c>
      <c r="O98">
        <f t="shared" si="15"/>
        <v>66.387259010896898</v>
      </c>
      <c r="P98">
        <f t="shared" si="16"/>
        <v>41.659681475272421</v>
      </c>
      <c r="Q98">
        <f t="shared" si="17"/>
        <v>45.934618608549876</v>
      </c>
    </row>
    <row r="99" spans="1:17" x14ac:dyDescent="0.3">
      <c r="A99">
        <v>51022360</v>
      </c>
      <c r="B99" t="str">
        <f>VLOOKUP(A99,ASESORES!$A$2:$B$993,2,0)</f>
        <v>CICHETTO</v>
      </c>
      <c r="C99">
        <v>37534300.640000001</v>
      </c>
      <c r="D99">
        <v>50633166.920000002</v>
      </c>
      <c r="E99">
        <v>65538987.739999987</v>
      </c>
      <c r="F99">
        <v>50125828</v>
      </c>
      <c r="G99">
        <v>90714801</v>
      </c>
      <c r="H99">
        <v>159238718</v>
      </c>
      <c r="I99">
        <f t="shared" si="9"/>
        <v>0.33546721652730915</v>
      </c>
      <c r="J99">
        <f t="shared" si="10"/>
        <v>0.79160827809425105</v>
      </c>
      <c r="K99">
        <f t="shared" si="11"/>
        <v>1.4296792411826167</v>
      </c>
      <c r="L99">
        <f t="shared" si="12"/>
        <v>2.5831182184713888</v>
      </c>
      <c r="M99">
        <f t="shared" si="13"/>
        <v>6.2993638996914063</v>
      </c>
      <c r="N99">
        <f t="shared" si="14"/>
        <v>11.726298722250673</v>
      </c>
      <c r="O99">
        <f t="shared" si="15"/>
        <v>56.831517183570831</v>
      </c>
      <c r="P99">
        <f t="shared" si="16"/>
        <v>91.869237217099752</v>
      </c>
      <c r="Q99">
        <f t="shared" si="17"/>
        <v>98.742665549036047</v>
      </c>
    </row>
    <row r="100" spans="1:17" x14ac:dyDescent="0.3">
      <c r="A100">
        <v>51040848</v>
      </c>
      <c r="B100" t="str">
        <f>VLOOKUP(A100,ASESORES!$A$2:$B$993,2,0)</f>
        <v>ROBERTS</v>
      </c>
      <c r="C100">
        <v>96063600.50999999</v>
      </c>
      <c r="D100">
        <v>115637868.79000001</v>
      </c>
      <c r="E100">
        <v>125789860.18000001</v>
      </c>
      <c r="F100">
        <v>112032087</v>
      </c>
      <c r="G100">
        <v>262495662</v>
      </c>
      <c r="H100">
        <v>158611045</v>
      </c>
      <c r="I100">
        <f t="shared" si="9"/>
        <v>0.16622827382300476</v>
      </c>
      <c r="J100">
        <f t="shared" si="10"/>
        <v>1.269980108996092</v>
      </c>
      <c r="K100">
        <f t="shared" si="11"/>
        <v>0.26092075126750491</v>
      </c>
      <c r="L100">
        <f t="shared" si="12"/>
        <v>1.3380282969411403</v>
      </c>
      <c r="M100">
        <f t="shared" si="13"/>
        <v>10.692117641142106</v>
      </c>
      <c r="N100">
        <f t="shared" si="14"/>
        <v>2.1396371582757427</v>
      </c>
      <c r="O100">
        <f t="shared" si="15"/>
        <v>37.887678122380549</v>
      </c>
      <c r="P100">
        <f t="shared" si="16"/>
        <v>98.072087175188599</v>
      </c>
      <c r="Q100">
        <f t="shared" si="17"/>
        <v>60.268231349538979</v>
      </c>
    </row>
    <row r="101" spans="1:17" x14ac:dyDescent="0.3">
      <c r="A101">
        <v>51022696</v>
      </c>
      <c r="B101" t="str">
        <f>VLOOKUP(A101,ASESORES!$A$2:$B$993,2,0)</f>
        <v>MONTENEGRO</v>
      </c>
      <c r="C101">
        <v>71158569.810000002</v>
      </c>
      <c r="D101">
        <v>89548700.790000007</v>
      </c>
      <c r="E101">
        <v>111293265.5</v>
      </c>
      <c r="F101">
        <v>107236750</v>
      </c>
      <c r="G101">
        <v>134929696</v>
      </c>
      <c r="H101">
        <v>158145109</v>
      </c>
      <c r="I101">
        <f t="shared" si="9"/>
        <v>0.50701103586443752</v>
      </c>
      <c r="J101">
        <f t="shared" si="10"/>
        <v>0.50677446807880133</v>
      </c>
      <c r="K101">
        <f t="shared" si="11"/>
        <v>0.42097644713282323</v>
      </c>
      <c r="L101">
        <f t="shared" si="12"/>
        <v>4.0714728490106333</v>
      </c>
      <c r="M101">
        <f t="shared" si="13"/>
        <v>4.1201309249625488</v>
      </c>
      <c r="N101">
        <f t="shared" si="14"/>
        <v>3.4516093657544769</v>
      </c>
      <c r="O101">
        <f t="shared" si="15"/>
        <v>78.12238055322716</v>
      </c>
      <c r="P101">
        <f t="shared" si="16"/>
        <v>76.781223805532278</v>
      </c>
      <c r="Q101">
        <f t="shared" si="17"/>
        <v>78.541492036881806</v>
      </c>
    </row>
    <row r="102" spans="1:17" x14ac:dyDescent="0.3">
      <c r="A102">
        <v>51056426</v>
      </c>
      <c r="B102" t="str">
        <f>VLOOKUP(A102,ASESORES!$A$2:$B$993,2,0)</f>
        <v>PUGH</v>
      </c>
      <c r="C102">
        <v>69253710.069999993</v>
      </c>
      <c r="D102">
        <v>88506031.950000003</v>
      </c>
      <c r="E102">
        <v>110962407.54000001</v>
      </c>
      <c r="F102">
        <v>108919222</v>
      </c>
      <c r="G102">
        <v>142126464</v>
      </c>
      <c r="H102">
        <v>157729078</v>
      </c>
      <c r="I102">
        <f t="shared" si="9"/>
        <v>0.57275649044516252</v>
      </c>
      <c r="J102">
        <f t="shared" si="10"/>
        <v>0.60583929556679217</v>
      </c>
      <c r="K102">
        <f t="shared" si="11"/>
        <v>0.42146409308162691</v>
      </c>
      <c r="L102">
        <f t="shared" si="12"/>
        <v>4.6033037842606834</v>
      </c>
      <c r="M102">
        <f t="shared" si="13"/>
        <v>4.9392108494501397</v>
      </c>
      <c r="N102">
        <f t="shared" si="14"/>
        <v>3.4551254470607291</v>
      </c>
      <c r="O102">
        <f t="shared" si="15"/>
        <v>82.732606873428324</v>
      </c>
      <c r="P102">
        <f t="shared" si="16"/>
        <v>84.241408214585078</v>
      </c>
      <c r="Q102">
        <f t="shared" si="17"/>
        <v>78.625314333612735</v>
      </c>
    </row>
    <row r="103" spans="1:17" x14ac:dyDescent="0.3">
      <c r="A103">
        <v>51011350</v>
      </c>
      <c r="B103" t="str">
        <f>VLOOKUP(A103,ASESORES!$A$2:$B$993,2,0)</f>
        <v>MONTENEGRO</v>
      </c>
      <c r="C103">
        <v>72006530.320000008</v>
      </c>
      <c r="D103">
        <v>91899079.859999999</v>
      </c>
      <c r="E103">
        <v>124268065.89</v>
      </c>
      <c r="F103">
        <v>113245832</v>
      </c>
      <c r="G103">
        <v>134689403</v>
      </c>
      <c r="H103">
        <v>156317590</v>
      </c>
      <c r="I103">
        <f t="shared" si="9"/>
        <v>0.57271613417187051</v>
      </c>
      <c r="J103">
        <f t="shared" si="10"/>
        <v>0.46562297691323162</v>
      </c>
      <c r="K103">
        <f t="shared" si="11"/>
        <v>0.25790635655639549</v>
      </c>
      <c r="L103">
        <f t="shared" si="12"/>
        <v>4.6126684742785962</v>
      </c>
      <c r="M103">
        <f t="shared" si="13"/>
        <v>3.785204431040099</v>
      </c>
      <c r="N103">
        <f t="shared" si="14"/>
        <v>2.1132867103852004</v>
      </c>
      <c r="O103">
        <f t="shared" si="15"/>
        <v>82.816429170159267</v>
      </c>
      <c r="P103">
        <f t="shared" si="16"/>
        <v>73.344509639564123</v>
      </c>
      <c r="Q103">
        <f t="shared" si="17"/>
        <v>59.932942162615255</v>
      </c>
    </row>
    <row r="104" spans="1:17" x14ac:dyDescent="0.3">
      <c r="A104">
        <v>51024087</v>
      </c>
      <c r="B104" t="str">
        <f>VLOOKUP(A104,ASESORES!$A$2:$B$993,2,0)</f>
        <v>PUGH</v>
      </c>
      <c r="C104">
        <v>58931524.25</v>
      </c>
      <c r="D104">
        <v>79483036.689999998</v>
      </c>
      <c r="E104">
        <v>106827520.23</v>
      </c>
      <c r="F104">
        <v>102170734</v>
      </c>
      <c r="G104">
        <v>118789908</v>
      </c>
      <c r="H104">
        <v>155654040</v>
      </c>
      <c r="I104">
        <f t="shared" si="9"/>
        <v>0.73371952109316085</v>
      </c>
      <c r="J104">
        <f t="shared" si="10"/>
        <v>0.49453157487307386</v>
      </c>
      <c r="K104">
        <f t="shared" si="11"/>
        <v>0.45705937631872695</v>
      </c>
      <c r="L104">
        <f t="shared" si="12"/>
        <v>5.8765992136810148</v>
      </c>
      <c r="M104">
        <f t="shared" si="13"/>
        <v>3.9932334456269492</v>
      </c>
      <c r="N104">
        <f t="shared" si="14"/>
        <v>3.7443037218821265</v>
      </c>
      <c r="O104">
        <f t="shared" si="15"/>
        <v>90.02514668901928</v>
      </c>
      <c r="P104">
        <f t="shared" si="16"/>
        <v>75.440067057837396</v>
      </c>
      <c r="Q104">
        <f t="shared" si="17"/>
        <v>81.810561609388103</v>
      </c>
    </row>
    <row r="105" spans="1:17" x14ac:dyDescent="0.3">
      <c r="A105">
        <v>51005171</v>
      </c>
      <c r="B105" t="str">
        <f>VLOOKUP(A105,ASESORES!$A$2:$B$993,2,0)</f>
        <v>LÓPEZ</v>
      </c>
      <c r="C105">
        <v>68978359.180000007</v>
      </c>
      <c r="D105">
        <v>87660931.799999997</v>
      </c>
      <c r="E105">
        <v>110651033.23</v>
      </c>
      <c r="F105">
        <v>97345811</v>
      </c>
      <c r="G105">
        <v>136421611</v>
      </c>
      <c r="H105">
        <v>155038963</v>
      </c>
      <c r="I105">
        <f t="shared" si="9"/>
        <v>0.41125147303047216</v>
      </c>
      <c r="J105">
        <f t="shared" si="10"/>
        <v>0.55624185368287415</v>
      </c>
      <c r="K105">
        <f t="shared" si="11"/>
        <v>0.40115242012910035</v>
      </c>
      <c r="L105">
        <f t="shared" si="12"/>
        <v>3.2852072433479256</v>
      </c>
      <c r="M105">
        <f t="shared" si="13"/>
        <v>4.524962496088146</v>
      </c>
      <c r="N105">
        <f t="shared" si="14"/>
        <v>3.2856151708579366</v>
      </c>
      <c r="O105">
        <f t="shared" si="15"/>
        <v>68.566638725901086</v>
      </c>
      <c r="P105">
        <f t="shared" si="16"/>
        <v>80.469404861693206</v>
      </c>
      <c r="Q105">
        <f t="shared" si="17"/>
        <v>76.781223805532278</v>
      </c>
    </row>
    <row r="106" spans="1:17" x14ac:dyDescent="0.3">
      <c r="A106">
        <v>51005864</v>
      </c>
      <c r="B106" t="str">
        <f>VLOOKUP(A106,ASESORES!$A$2:$B$993,2,0)</f>
        <v>ARGUELLO</v>
      </c>
      <c r="C106">
        <v>65309701.25</v>
      </c>
      <c r="D106">
        <v>100061216.42</v>
      </c>
      <c r="E106">
        <v>97289506.199999988</v>
      </c>
      <c r="F106">
        <v>69385969</v>
      </c>
      <c r="G106">
        <v>134328467</v>
      </c>
      <c r="H106">
        <v>153788970</v>
      </c>
      <c r="I106">
        <f t="shared" si="9"/>
        <v>6.2414429586753029E-2</v>
      </c>
      <c r="J106">
        <f t="shared" si="10"/>
        <v>0.34246286229587297</v>
      </c>
      <c r="K106">
        <f t="shared" si="11"/>
        <v>0.58073543598682598</v>
      </c>
      <c r="L106">
        <f t="shared" si="12"/>
        <v>0.48940849775303319</v>
      </c>
      <c r="M106">
        <f t="shared" si="13"/>
        <v>2.7835956985250561</v>
      </c>
      <c r="N106">
        <f t="shared" si="14"/>
        <v>4.7544375685967486</v>
      </c>
      <c r="O106">
        <f t="shared" si="15"/>
        <v>27.242246437552385</v>
      </c>
      <c r="P106">
        <f t="shared" si="16"/>
        <v>59.681475272422468</v>
      </c>
      <c r="Q106">
        <f t="shared" si="17"/>
        <v>89.857502095557422</v>
      </c>
    </row>
    <row r="107" spans="1:17" x14ac:dyDescent="0.3">
      <c r="A107">
        <v>51040317</v>
      </c>
      <c r="B107" t="str">
        <f>VLOOKUP(A107,ASESORES!$A$2:$B$993,2,0)</f>
        <v>NELLI</v>
      </c>
      <c r="C107">
        <v>69992307.099999994</v>
      </c>
      <c r="D107">
        <v>82529904.610000014</v>
      </c>
      <c r="E107">
        <v>115729310.56</v>
      </c>
      <c r="F107">
        <v>100736028</v>
      </c>
      <c r="G107">
        <v>129120657</v>
      </c>
      <c r="H107">
        <v>153430393</v>
      </c>
      <c r="I107">
        <f t="shared" si="9"/>
        <v>0.43924428517659209</v>
      </c>
      <c r="J107">
        <f t="shared" si="10"/>
        <v>0.56453176106488145</v>
      </c>
      <c r="K107">
        <f t="shared" si="11"/>
        <v>0.3257695242248404</v>
      </c>
      <c r="L107">
        <f t="shared" si="12"/>
        <v>3.5153531965921996</v>
      </c>
      <c r="M107">
        <f t="shared" si="13"/>
        <v>4.5789147018595244</v>
      </c>
      <c r="N107">
        <f t="shared" si="14"/>
        <v>2.6667204612951658</v>
      </c>
      <c r="O107">
        <f t="shared" si="15"/>
        <v>71.332774518021793</v>
      </c>
      <c r="P107">
        <f t="shared" si="16"/>
        <v>80.804694048616938</v>
      </c>
      <c r="Q107">
        <f t="shared" si="17"/>
        <v>68.566638725901086</v>
      </c>
    </row>
    <row r="108" spans="1:17" x14ac:dyDescent="0.3">
      <c r="A108">
        <v>51003926</v>
      </c>
      <c r="B108" t="str">
        <f>VLOOKUP(A108,ASESORES!$A$2:$B$993,2,0)</f>
        <v>ARGUELLO</v>
      </c>
      <c r="C108">
        <v>64657506.219999999</v>
      </c>
      <c r="D108">
        <v>88343937.390000015</v>
      </c>
      <c r="E108">
        <v>103086151.73</v>
      </c>
      <c r="F108">
        <v>83354617</v>
      </c>
      <c r="G108">
        <v>106708592</v>
      </c>
      <c r="H108">
        <v>153265606</v>
      </c>
      <c r="I108">
        <f t="shared" si="9"/>
        <v>0.28917154206941209</v>
      </c>
      <c r="J108">
        <f t="shared" si="10"/>
        <v>0.207876795539778</v>
      </c>
      <c r="K108">
        <f t="shared" si="11"/>
        <v>0.48677201959607963</v>
      </c>
      <c r="L108">
        <f t="shared" si="12"/>
        <v>2.2905074445032456</v>
      </c>
      <c r="M108">
        <f t="shared" si="13"/>
        <v>1.6688763630454155</v>
      </c>
      <c r="N108">
        <f t="shared" si="14"/>
        <v>3.9844454511780398</v>
      </c>
      <c r="O108">
        <f t="shared" si="15"/>
        <v>52.556580050293377</v>
      </c>
      <c r="P108">
        <f t="shared" si="16"/>
        <v>43.83906119027661</v>
      </c>
      <c r="Q108">
        <f t="shared" si="17"/>
        <v>83.57082984073763</v>
      </c>
    </row>
    <row r="109" spans="1:17" x14ac:dyDescent="0.3">
      <c r="A109">
        <v>51019911</v>
      </c>
      <c r="B109" t="str">
        <f>VLOOKUP(A109,ASESORES!$A$2:$B$993,2,0)</f>
        <v>PRADES</v>
      </c>
      <c r="C109">
        <v>92364331.350000009</v>
      </c>
      <c r="D109">
        <v>120416747.06</v>
      </c>
      <c r="E109">
        <v>159796933.44999999</v>
      </c>
      <c r="F109">
        <v>127345921</v>
      </c>
      <c r="G109">
        <v>151267074</v>
      </c>
      <c r="H109">
        <v>152928700</v>
      </c>
      <c r="I109">
        <f t="shared" si="9"/>
        <v>0.37873483344390602</v>
      </c>
      <c r="J109">
        <f t="shared" si="10"/>
        <v>0.25619631565556422</v>
      </c>
      <c r="K109">
        <f t="shared" si="11"/>
        <v>-4.2981009095202971E-2</v>
      </c>
      <c r="L109">
        <f t="shared" si="12"/>
        <v>3.0696401586953153</v>
      </c>
      <c r="M109">
        <f t="shared" si="13"/>
        <v>2.0956203798990147</v>
      </c>
      <c r="N109">
        <f t="shared" si="14"/>
        <v>-0.3517775960084642</v>
      </c>
      <c r="O109">
        <f t="shared" si="15"/>
        <v>65.381391450125733</v>
      </c>
      <c r="P109">
        <f t="shared" si="16"/>
        <v>49.79044425817267</v>
      </c>
      <c r="Q109">
        <f t="shared" si="17"/>
        <v>11.818943839061189</v>
      </c>
    </row>
    <row r="110" spans="1:17" x14ac:dyDescent="0.3">
      <c r="A110">
        <v>51022076</v>
      </c>
      <c r="B110" t="str">
        <f>VLOOKUP(A110,ASESORES!$A$2:$B$993,2,0)</f>
        <v>PUGH</v>
      </c>
      <c r="C110">
        <v>55947653</v>
      </c>
      <c r="D110">
        <v>72844354.429999992</v>
      </c>
      <c r="E110">
        <v>92021615.950000003</v>
      </c>
      <c r="F110">
        <v>78003410</v>
      </c>
      <c r="G110">
        <v>119015285</v>
      </c>
      <c r="H110">
        <v>152631705</v>
      </c>
      <c r="I110">
        <f t="shared" si="9"/>
        <v>0.39422130897966356</v>
      </c>
      <c r="J110">
        <f t="shared" si="10"/>
        <v>0.63382990941828043</v>
      </c>
      <c r="K110">
        <f t="shared" si="11"/>
        <v>0.65865056187377236</v>
      </c>
      <c r="L110">
        <f t="shared" si="12"/>
        <v>3.1112393495690194</v>
      </c>
      <c r="M110">
        <f t="shared" si="13"/>
        <v>5.1185585537812051</v>
      </c>
      <c r="N110">
        <f t="shared" si="14"/>
        <v>5.3901622164600624</v>
      </c>
      <c r="O110">
        <f t="shared" si="15"/>
        <v>66.219614417435039</v>
      </c>
      <c r="P110">
        <f t="shared" si="16"/>
        <v>86.253143336127408</v>
      </c>
      <c r="Q110">
        <f t="shared" si="17"/>
        <v>93.042749371332775</v>
      </c>
    </row>
    <row r="111" spans="1:17" x14ac:dyDescent="0.3">
      <c r="A111">
        <v>51055217</v>
      </c>
      <c r="B111" t="str">
        <f>VLOOKUP(A111,ASESORES!$A$2:$B$993,2,0)</f>
        <v>ARGUELLO</v>
      </c>
      <c r="C111">
        <v>80851816.980000004</v>
      </c>
      <c r="D111">
        <v>102516128.70999999</v>
      </c>
      <c r="E111">
        <v>131579114.95</v>
      </c>
      <c r="F111">
        <v>91276810</v>
      </c>
      <c r="G111">
        <v>107952400</v>
      </c>
      <c r="H111">
        <v>152200193</v>
      </c>
      <c r="I111">
        <f t="shared" si="9"/>
        <v>0.12893950203467641</v>
      </c>
      <c r="J111">
        <f t="shared" si="10"/>
        <v>5.3028448873428058E-2</v>
      </c>
      <c r="K111">
        <f t="shared" si="11"/>
        <v>0.1567199935782817</v>
      </c>
      <c r="L111">
        <f t="shared" si="12"/>
        <v>1.0264049129134691</v>
      </c>
      <c r="M111">
        <f t="shared" si="13"/>
        <v>0.42598984841611925</v>
      </c>
      <c r="N111">
        <f t="shared" si="14"/>
        <v>1.2823480580923903</v>
      </c>
      <c r="O111">
        <f t="shared" si="15"/>
        <v>33.193629505448449</v>
      </c>
      <c r="P111">
        <f t="shared" si="16"/>
        <v>30.427493713327745</v>
      </c>
      <c r="Q111">
        <f t="shared" si="17"/>
        <v>48.449287510477788</v>
      </c>
    </row>
    <row r="112" spans="1:17" x14ac:dyDescent="0.3">
      <c r="A112">
        <v>51036824</v>
      </c>
      <c r="B112" t="str">
        <f>VLOOKUP(A112,ASESORES!$A$2:$B$993,2,0)</f>
        <v>MONTENEGRO</v>
      </c>
      <c r="C112">
        <v>83853717.549999997</v>
      </c>
      <c r="D112">
        <v>102647834.66</v>
      </c>
      <c r="E112">
        <v>107667492.54000001</v>
      </c>
      <c r="F112">
        <v>95577994</v>
      </c>
      <c r="G112">
        <v>134489789</v>
      </c>
      <c r="H112">
        <v>151608177</v>
      </c>
      <c r="I112">
        <f t="shared" si="9"/>
        <v>0.13981820714161053</v>
      </c>
      <c r="J112">
        <f t="shared" si="10"/>
        <v>0.31020580653717622</v>
      </c>
      <c r="K112">
        <f t="shared" si="11"/>
        <v>0.40811468181703403</v>
      </c>
      <c r="L112">
        <f t="shared" si="12"/>
        <v>1.1157993355016729</v>
      </c>
      <c r="M112">
        <f t="shared" si="13"/>
        <v>2.5215666241887882</v>
      </c>
      <c r="N112">
        <f t="shared" si="14"/>
        <v>3.3386730113955747</v>
      </c>
      <c r="O112">
        <f t="shared" si="15"/>
        <v>34.283319362950543</v>
      </c>
      <c r="P112">
        <f t="shared" si="16"/>
        <v>55.909471919530596</v>
      </c>
      <c r="Q112">
        <f t="shared" si="17"/>
        <v>77.367979882648783</v>
      </c>
    </row>
    <row r="113" spans="1:17" x14ac:dyDescent="0.3">
      <c r="A113">
        <v>51024940</v>
      </c>
      <c r="B113" t="str">
        <f>VLOOKUP(A113,ASESORES!$A$2:$B$993,2,0)</f>
        <v>CICHETTO</v>
      </c>
      <c r="C113">
        <v>54551103.729999997</v>
      </c>
      <c r="D113">
        <v>78943851.950000003</v>
      </c>
      <c r="E113">
        <v>99422405.00999999</v>
      </c>
      <c r="F113">
        <v>83667528</v>
      </c>
      <c r="G113">
        <v>115187113</v>
      </c>
      <c r="H113">
        <v>151465962</v>
      </c>
      <c r="I113">
        <f t="shared" si="9"/>
        <v>0.53374583242369167</v>
      </c>
      <c r="J113">
        <f t="shared" si="10"/>
        <v>0.45910175592844249</v>
      </c>
      <c r="K113">
        <f t="shared" si="11"/>
        <v>0.5234590431076922</v>
      </c>
      <c r="L113">
        <f t="shared" si="12"/>
        <v>4.2286317476486248</v>
      </c>
      <c r="M113">
        <f t="shared" si="13"/>
        <v>3.7010046827286831</v>
      </c>
      <c r="N113">
        <f t="shared" si="14"/>
        <v>4.2820598870918021</v>
      </c>
      <c r="O113">
        <f t="shared" si="15"/>
        <v>79.044425817267395</v>
      </c>
      <c r="P113">
        <f t="shared" si="16"/>
        <v>71.919530595138298</v>
      </c>
      <c r="Q113">
        <f t="shared" si="17"/>
        <v>86.420787929589267</v>
      </c>
    </row>
    <row r="114" spans="1:17" x14ac:dyDescent="0.3">
      <c r="A114">
        <v>51033531</v>
      </c>
      <c r="B114" t="str">
        <f>VLOOKUP(A114,ASESORES!$A$2:$B$993,2,0)</f>
        <v>NELLI</v>
      </c>
      <c r="C114">
        <v>54411016.100000001</v>
      </c>
      <c r="D114">
        <v>85297781.050000012</v>
      </c>
      <c r="E114">
        <v>116854512.56999999</v>
      </c>
      <c r="F114">
        <v>86905040</v>
      </c>
      <c r="G114">
        <v>128000746</v>
      </c>
      <c r="H114">
        <v>150870227</v>
      </c>
      <c r="I114">
        <f t="shared" si="9"/>
        <v>0.59719568258531375</v>
      </c>
      <c r="J114">
        <f t="shared" si="10"/>
        <v>0.5006339487889877</v>
      </c>
      <c r="K114">
        <f t="shared" si="11"/>
        <v>0.29109457291709973</v>
      </c>
      <c r="L114">
        <f t="shared" si="12"/>
        <v>4.7411633762312579</v>
      </c>
      <c r="M114">
        <f t="shared" si="13"/>
        <v>4.0587458079284344</v>
      </c>
      <c r="N114">
        <f t="shared" si="14"/>
        <v>2.3807471056356304</v>
      </c>
      <c r="O114">
        <f t="shared" si="15"/>
        <v>83.989941324392291</v>
      </c>
      <c r="P114">
        <f t="shared" si="16"/>
        <v>76.194467728415759</v>
      </c>
      <c r="Q114">
        <f t="shared" si="17"/>
        <v>64.794635373009228</v>
      </c>
    </row>
    <row r="115" spans="1:17" x14ac:dyDescent="0.3">
      <c r="A115">
        <v>51032454</v>
      </c>
      <c r="B115" t="str">
        <f>VLOOKUP(A115,ASESORES!$A$2:$B$993,2,0)</f>
        <v>MONTENEGRO</v>
      </c>
      <c r="C115">
        <v>94282878.600000009</v>
      </c>
      <c r="D115">
        <v>119961230.81999999</v>
      </c>
      <c r="E115">
        <v>154398974.09999999</v>
      </c>
      <c r="F115">
        <v>106090994</v>
      </c>
      <c r="G115">
        <v>138994665</v>
      </c>
      <c r="H115">
        <v>150496263</v>
      </c>
      <c r="I115">
        <f t="shared" si="9"/>
        <v>0.12524135426641503</v>
      </c>
      <c r="J115">
        <f t="shared" si="10"/>
        <v>0.15866321185516497</v>
      </c>
      <c r="K115">
        <f t="shared" si="11"/>
        <v>-2.5276794245227996E-2</v>
      </c>
      <c r="L115">
        <f t="shared" si="12"/>
        <v>1.0051468465602398</v>
      </c>
      <c r="M115">
        <f t="shared" si="13"/>
        <v>1.2919942376188001</v>
      </c>
      <c r="N115">
        <f t="shared" si="14"/>
        <v>-0.20670163495886565</v>
      </c>
      <c r="O115">
        <f t="shared" si="15"/>
        <v>32.942162615255661</v>
      </c>
      <c r="P115">
        <f t="shared" si="16"/>
        <v>38.642078792958927</v>
      </c>
      <c r="Q115">
        <f t="shared" si="17"/>
        <v>13.327745180217937</v>
      </c>
    </row>
    <row r="116" spans="1:17" x14ac:dyDescent="0.3">
      <c r="A116">
        <v>51014260</v>
      </c>
      <c r="B116" t="str">
        <f>VLOOKUP(A116,ASESORES!$A$2:$B$993,2,0)</f>
        <v>AYALA</v>
      </c>
      <c r="C116">
        <v>65100497.020000003</v>
      </c>
      <c r="D116">
        <v>99669942.370000005</v>
      </c>
      <c r="E116">
        <v>117963554.70999999</v>
      </c>
      <c r="F116">
        <v>101807471</v>
      </c>
      <c r="G116">
        <v>125702779</v>
      </c>
      <c r="H116">
        <v>150381923</v>
      </c>
      <c r="I116">
        <f t="shared" si="9"/>
        <v>0.56385090222464784</v>
      </c>
      <c r="J116">
        <f t="shared" si="10"/>
        <v>0.26119044529352209</v>
      </c>
      <c r="K116">
        <f t="shared" si="11"/>
        <v>0.27481681413973047</v>
      </c>
      <c r="L116">
        <f t="shared" si="12"/>
        <v>4.5151937800560109</v>
      </c>
      <c r="M116">
        <f t="shared" si="13"/>
        <v>2.1154714955439715</v>
      </c>
      <c r="N116">
        <f t="shared" si="14"/>
        <v>2.2472308527442615</v>
      </c>
      <c r="O116">
        <f t="shared" si="15"/>
        <v>81.810561609388103</v>
      </c>
      <c r="P116">
        <f t="shared" si="16"/>
        <v>50.377200335289189</v>
      </c>
      <c r="Q116">
        <f t="shared" si="17"/>
        <v>62.531433361274104</v>
      </c>
    </row>
    <row r="117" spans="1:17" x14ac:dyDescent="0.3">
      <c r="A117">
        <v>51011414</v>
      </c>
      <c r="B117" t="str">
        <f>VLOOKUP(A117,ASESORES!$A$2:$B$993,2,0)</f>
        <v>LÓPEZ</v>
      </c>
      <c r="C117">
        <v>66731278.960000008</v>
      </c>
      <c r="D117">
        <v>88351544.760000005</v>
      </c>
      <c r="E117">
        <v>114344392.12</v>
      </c>
      <c r="F117">
        <v>95217350</v>
      </c>
      <c r="G117">
        <v>129456707</v>
      </c>
      <c r="H117">
        <v>150131190</v>
      </c>
      <c r="I117">
        <f t="shared" si="9"/>
        <v>0.42687734273870404</v>
      </c>
      <c r="J117">
        <f t="shared" si="10"/>
        <v>0.46524554099941229</v>
      </c>
      <c r="K117">
        <f t="shared" si="11"/>
        <v>0.31297379098787048</v>
      </c>
      <c r="L117">
        <f t="shared" si="12"/>
        <v>3.4059331231492576</v>
      </c>
      <c r="M117">
        <f t="shared" si="13"/>
        <v>3.7741297775438087</v>
      </c>
      <c r="N117">
        <f t="shared" si="14"/>
        <v>2.559021102926847</v>
      </c>
      <c r="O117">
        <f t="shared" si="15"/>
        <v>69.907795473595982</v>
      </c>
      <c r="P117">
        <f t="shared" si="16"/>
        <v>73.093042749371335</v>
      </c>
      <c r="Q117">
        <f t="shared" si="17"/>
        <v>66.722548197820615</v>
      </c>
    </row>
    <row r="118" spans="1:17" x14ac:dyDescent="0.3">
      <c r="A118">
        <v>51018559</v>
      </c>
      <c r="B118" t="str">
        <f>VLOOKUP(A118,ASESORES!$A$2:$B$993,2,0)</f>
        <v>AYALA</v>
      </c>
      <c r="C118">
        <v>113805268.45</v>
      </c>
      <c r="D118">
        <v>148442942.75</v>
      </c>
      <c r="E118">
        <v>192087452.71000001</v>
      </c>
      <c r="F118">
        <v>98862082</v>
      </c>
      <c r="G118">
        <v>130575784</v>
      </c>
      <c r="H118">
        <v>149618016</v>
      </c>
      <c r="I118">
        <f t="shared" si="9"/>
        <v>-0.13130487413739766</v>
      </c>
      <c r="J118">
        <f t="shared" si="10"/>
        <v>-0.12036381399478824</v>
      </c>
      <c r="K118">
        <f t="shared" si="11"/>
        <v>-0.22109427820940153</v>
      </c>
      <c r="L118">
        <f t="shared" si="12"/>
        <v>-1.0497863753514385</v>
      </c>
      <c r="M118">
        <f t="shared" si="13"/>
        <v>-0.97685618146066244</v>
      </c>
      <c r="N118">
        <f t="shared" si="14"/>
        <v>-1.8074421628672637</v>
      </c>
      <c r="O118">
        <f t="shared" si="15"/>
        <v>7.0410729253981561</v>
      </c>
      <c r="P118">
        <f t="shared" si="16"/>
        <v>6.6219614417435038</v>
      </c>
      <c r="Q118">
        <f t="shared" si="17"/>
        <v>4.9455155071248953</v>
      </c>
    </row>
    <row r="119" spans="1:17" x14ac:dyDescent="0.3">
      <c r="A119">
        <v>51014308</v>
      </c>
      <c r="B119" t="str">
        <f>VLOOKUP(A119,ASESORES!$A$2:$B$993,2,0)</f>
        <v>CICHETTO</v>
      </c>
      <c r="C119">
        <v>64822801.700000003</v>
      </c>
      <c r="D119">
        <v>102868066.23999999</v>
      </c>
      <c r="E119">
        <v>122337508.08</v>
      </c>
      <c r="F119">
        <v>83736225</v>
      </c>
      <c r="G119">
        <v>107960422</v>
      </c>
      <c r="H119">
        <v>149224922</v>
      </c>
      <c r="I119">
        <f t="shared" si="9"/>
        <v>0.29177114848462327</v>
      </c>
      <c r="J119">
        <f t="shared" si="10"/>
        <v>4.9503757056335695E-2</v>
      </c>
      <c r="K119">
        <f t="shared" si="11"/>
        <v>0.21978062445425617</v>
      </c>
      <c r="L119">
        <f t="shared" si="12"/>
        <v>2.311677535676659</v>
      </c>
      <c r="M119">
        <f t="shared" si="13"/>
        <v>0.39767677781459315</v>
      </c>
      <c r="N119">
        <f t="shared" si="14"/>
        <v>1.7964519584133889</v>
      </c>
      <c r="O119">
        <f t="shared" si="15"/>
        <v>52.891869237217101</v>
      </c>
      <c r="P119">
        <f t="shared" si="16"/>
        <v>30.092204526404025</v>
      </c>
      <c r="Q119">
        <f t="shared" si="17"/>
        <v>55.909471919530596</v>
      </c>
    </row>
    <row r="120" spans="1:17" x14ac:dyDescent="0.3">
      <c r="A120">
        <v>51056949</v>
      </c>
      <c r="B120" t="str">
        <f>VLOOKUP(A120,ASESORES!$A$2:$B$993,2,0)</f>
        <v>METTLER</v>
      </c>
      <c r="C120">
        <v>28964005</v>
      </c>
      <c r="D120">
        <v>63127439.939999998</v>
      </c>
      <c r="E120">
        <v>83709403.930000007</v>
      </c>
      <c r="F120">
        <v>55574987</v>
      </c>
      <c r="G120">
        <v>78299497</v>
      </c>
      <c r="H120">
        <v>149203193</v>
      </c>
      <c r="I120">
        <f t="shared" si="9"/>
        <v>0.91876044076086849</v>
      </c>
      <c r="J120">
        <f t="shared" si="10"/>
        <v>0.24034012902187074</v>
      </c>
      <c r="K120">
        <f t="shared" si="11"/>
        <v>0.78239464140453818</v>
      </c>
      <c r="L120">
        <f t="shared" si="12"/>
        <v>7.1156887834203593</v>
      </c>
      <c r="M120">
        <f t="shared" si="13"/>
        <v>1.8971870498309067</v>
      </c>
      <c r="N120">
        <f t="shared" si="14"/>
        <v>6.3951201989961275</v>
      </c>
      <c r="O120">
        <f t="shared" si="15"/>
        <v>93.713327745180223</v>
      </c>
      <c r="P120">
        <f t="shared" si="16"/>
        <v>46.772841575859182</v>
      </c>
      <c r="Q120">
        <f t="shared" si="17"/>
        <v>95.473595976529751</v>
      </c>
    </row>
    <row r="121" spans="1:17" x14ac:dyDescent="0.3">
      <c r="A121">
        <v>51022173</v>
      </c>
      <c r="B121" t="str">
        <f>VLOOKUP(A121,ASESORES!$A$2:$B$993,2,0)</f>
        <v>BELUZZO</v>
      </c>
      <c r="C121">
        <v>56730719.560000002</v>
      </c>
      <c r="D121">
        <v>64055977.170000002</v>
      </c>
      <c r="E121">
        <v>82917584.719999999</v>
      </c>
      <c r="F121">
        <v>80024135</v>
      </c>
      <c r="G121">
        <v>118574435</v>
      </c>
      <c r="H121">
        <v>148777527</v>
      </c>
      <c r="I121">
        <f t="shared" si="9"/>
        <v>0.4105961570849499</v>
      </c>
      <c r="J121">
        <f t="shared" si="10"/>
        <v>0.85110648902149899</v>
      </c>
      <c r="K121">
        <f t="shared" si="11"/>
        <v>0.79428196687589203</v>
      </c>
      <c r="L121">
        <f t="shared" si="12"/>
        <v>3.2450321664501534</v>
      </c>
      <c r="M121">
        <f t="shared" si="13"/>
        <v>6.8718261868225827</v>
      </c>
      <c r="N121">
        <f t="shared" si="14"/>
        <v>6.4912990292324286</v>
      </c>
      <c r="O121">
        <f t="shared" si="15"/>
        <v>67.812238055322709</v>
      </c>
      <c r="P121">
        <f t="shared" si="16"/>
        <v>93.461860854987421</v>
      </c>
      <c r="Q121">
        <f t="shared" si="17"/>
        <v>95.725062866722539</v>
      </c>
    </row>
    <row r="122" spans="1:17" x14ac:dyDescent="0.3">
      <c r="A122">
        <v>51023765</v>
      </c>
      <c r="B122" t="str">
        <f>VLOOKUP(A122,ASESORES!$A$2:$B$993,2,0)</f>
        <v>ROBERTS</v>
      </c>
      <c r="C122">
        <v>58948060.960000001</v>
      </c>
      <c r="D122">
        <v>74414863.829999998</v>
      </c>
      <c r="E122">
        <v>101143477.03</v>
      </c>
      <c r="F122">
        <v>97845831</v>
      </c>
      <c r="G122">
        <v>138809678</v>
      </c>
      <c r="H122">
        <v>148640690</v>
      </c>
      <c r="I122">
        <f t="shared" si="9"/>
        <v>0.65986513222877008</v>
      </c>
      <c r="J122">
        <f t="shared" si="10"/>
        <v>0.86534881414429909</v>
      </c>
      <c r="K122">
        <f t="shared" si="11"/>
        <v>0.46960233486843572</v>
      </c>
      <c r="L122">
        <f t="shared" si="12"/>
        <v>5.2726802685495002</v>
      </c>
      <c r="M122">
        <f t="shared" si="13"/>
        <v>7.0460332721393266</v>
      </c>
      <c r="N122">
        <f t="shared" si="14"/>
        <v>3.8376549507400832</v>
      </c>
      <c r="O122">
        <f t="shared" si="15"/>
        <v>87.091366303436715</v>
      </c>
      <c r="P122">
        <f t="shared" si="16"/>
        <v>93.964794635373011</v>
      </c>
      <c r="Q122">
        <f t="shared" si="17"/>
        <v>82.06202849958089</v>
      </c>
    </row>
    <row r="123" spans="1:17" x14ac:dyDescent="0.3">
      <c r="A123">
        <v>51038908</v>
      </c>
      <c r="B123" t="str">
        <f>VLOOKUP(A123,ASESORES!$A$2:$B$993,2,0)</f>
        <v>METTLER</v>
      </c>
      <c r="C123">
        <v>62005958.049999997</v>
      </c>
      <c r="D123">
        <v>103157939</v>
      </c>
      <c r="E123">
        <v>122347078.06</v>
      </c>
      <c r="F123">
        <v>119859829</v>
      </c>
      <c r="G123">
        <v>111717968</v>
      </c>
      <c r="H123">
        <v>148608329</v>
      </c>
      <c r="I123">
        <f t="shared" si="9"/>
        <v>0.93303728818040588</v>
      </c>
      <c r="J123">
        <f t="shared" si="10"/>
        <v>8.297983735405956E-2</v>
      </c>
      <c r="K123">
        <f t="shared" si="11"/>
        <v>0.21464550977769381</v>
      </c>
      <c r="L123">
        <f t="shared" si="12"/>
        <v>7.5377037580057467</v>
      </c>
      <c r="M123">
        <f t="shared" si="13"/>
        <v>0.66783193985783695</v>
      </c>
      <c r="N123">
        <f t="shared" si="14"/>
        <v>1.7540923680417482</v>
      </c>
      <c r="O123">
        <f t="shared" si="15"/>
        <v>94.719195305951388</v>
      </c>
      <c r="P123">
        <f t="shared" si="16"/>
        <v>32.523051131601008</v>
      </c>
      <c r="Q123">
        <f t="shared" si="17"/>
        <v>55.238893545683155</v>
      </c>
    </row>
    <row r="124" spans="1:17" x14ac:dyDescent="0.3">
      <c r="A124">
        <v>51013158</v>
      </c>
      <c r="B124" t="str">
        <f>VLOOKUP(A124,ASESORES!$A$2:$B$993,2,0)</f>
        <v>ARGUELLO</v>
      </c>
      <c r="C124">
        <v>66065292.650000013</v>
      </c>
      <c r="D124">
        <v>73846735.099999994</v>
      </c>
      <c r="E124">
        <v>104827668</v>
      </c>
      <c r="F124">
        <v>87726622</v>
      </c>
      <c r="G124">
        <v>116955985</v>
      </c>
      <c r="H124">
        <v>148419942</v>
      </c>
      <c r="I124">
        <f t="shared" si="9"/>
        <v>0.32787759625552781</v>
      </c>
      <c r="J124">
        <f t="shared" si="10"/>
        <v>0.58376649748459908</v>
      </c>
      <c r="K124">
        <f t="shared" si="11"/>
        <v>0.41584702618778091</v>
      </c>
      <c r="L124">
        <f t="shared" si="12"/>
        <v>2.6043748323849036</v>
      </c>
      <c r="M124">
        <f t="shared" si="13"/>
        <v>4.7098412077934464</v>
      </c>
      <c r="N124">
        <f t="shared" si="14"/>
        <v>3.3980907548136559</v>
      </c>
      <c r="O124">
        <f t="shared" si="15"/>
        <v>57.250628667225477</v>
      </c>
      <c r="P124">
        <f t="shared" si="16"/>
        <v>81.810561609388103</v>
      </c>
      <c r="Q124">
        <f t="shared" si="17"/>
        <v>77.954735959765301</v>
      </c>
    </row>
    <row r="125" spans="1:17" x14ac:dyDescent="0.3">
      <c r="A125">
        <v>51024176</v>
      </c>
      <c r="B125" t="str">
        <f>VLOOKUP(A125,ASESORES!$A$2:$B$993,2,0)</f>
        <v>AYALA</v>
      </c>
      <c r="C125">
        <v>92084009.159999996</v>
      </c>
      <c r="D125">
        <v>115144139.45999999</v>
      </c>
      <c r="E125">
        <v>140466638.18000001</v>
      </c>
      <c r="F125">
        <v>100011214</v>
      </c>
      <c r="G125">
        <v>125226918</v>
      </c>
      <c r="H125">
        <v>147882671</v>
      </c>
      <c r="I125">
        <f t="shared" si="9"/>
        <v>8.6086660564768991E-2</v>
      </c>
      <c r="J125">
        <f t="shared" si="10"/>
        <v>8.7566580351253309E-2</v>
      </c>
      <c r="K125">
        <f t="shared" si="11"/>
        <v>5.2795688115613304E-2</v>
      </c>
      <c r="L125">
        <f t="shared" si="12"/>
        <v>0.68869747685697125</v>
      </c>
      <c r="M125">
        <f t="shared" si="13"/>
        <v>0.70908769561997154</v>
      </c>
      <c r="N125">
        <f t="shared" si="14"/>
        <v>0.43133640496370457</v>
      </c>
      <c r="O125">
        <f t="shared" si="15"/>
        <v>29.505448449287506</v>
      </c>
      <c r="P125">
        <f t="shared" si="16"/>
        <v>32.690695725062866</v>
      </c>
      <c r="Q125">
        <f t="shared" si="17"/>
        <v>36.462699077954738</v>
      </c>
    </row>
    <row r="126" spans="1:17" x14ac:dyDescent="0.3">
      <c r="A126">
        <v>51000196</v>
      </c>
      <c r="B126" t="str">
        <f>VLOOKUP(A126,ASESORES!$A$2:$B$993,2,0)</f>
        <v>AYALA</v>
      </c>
      <c r="C126">
        <v>52847436.100000001</v>
      </c>
      <c r="D126">
        <v>58540666.75</v>
      </c>
      <c r="E126">
        <v>81507829.489999995</v>
      </c>
      <c r="F126">
        <v>60535838</v>
      </c>
      <c r="G126">
        <v>76690534</v>
      </c>
      <c r="H126">
        <v>147803864</v>
      </c>
      <c r="I126">
        <f t="shared" si="9"/>
        <v>0.14548296885116052</v>
      </c>
      <c r="J126">
        <f t="shared" si="10"/>
        <v>0.3100386151649015</v>
      </c>
      <c r="K126">
        <f t="shared" si="11"/>
        <v>0.81337013787287415</v>
      </c>
      <c r="L126">
        <f t="shared" si="12"/>
        <v>1.1321502906832805</v>
      </c>
      <c r="M126">
        <f t="shared" si="13"/>
        <v>2.4445744167595467</v>
      </c>
      <c r="N126">
        <f t="shared" si="14"/>
        <v>6.6449784556504445</v>
      </c>
      <c r="O126">
        <f t="shared" si="15"/>
        <v>34.702430846605196</v>
      </c>
      <c r="P126">
        <f t="shared" si="16"/>
        <v>54.568315171835714</v>
      </c>
      <c r="Q126">
        <f t="shared" si="17"/>
        <v>96.144174350377199</v>
      </c>
    </row>
    <row r="127" spans="1:17" x14ac:dyDescent="0.3">
      <c r="A127">
        <v>51024672</v>
      </c>
      <c r="B127" t="str">
        <f>VLOOKUP(A127,ASESORES!$A$2:$B$993,2,0)</f>
        <v>PRADES</v>
      </c>
      <c r="C127">
        <v>78017983.209999993</v>
      </c>
      <c r="D127">
        <v>91000719.25999999</v>
      </c>
      <c r="E127">
        <v>118003525.45</v>
      </c>
      <c r="F127">
        <v>97362765</v>
      </c>
      <c r="G127">
        <v>126585230</v>
      </c>
      <c r="H127">
        <v>147689352</v>
      </c>
      <c r="I127">
        <f t="shared" si="9"/>
        <v>0.24795285643221399</v>
      </c>
      <c r="J127">
        <f t="shared" si="10"/>
        <v>0.39103548883312444</v>
      </c>
      <c r="K127">
        <f t="shared" si="11"/>
        <v>0.25156728527215377</v>
      </c>
      <c r="L127">
        <f t="shared" si="12"/>
        <v>1.9807448375858383</v>
      </c>
      <c r="M127">
        <f t="shared" si="13"/>
        <v>3.1683193108184917</v>
      </c>
      <c r="N127">
        <f t="shared" si="14"/>
        <v>2.055140996908575</v>
      </c>
      <c r="O127">
        <f t="shared" si="15"/>
        <v>46.353730092204529</v>
      </c>
      <c r="P127">
        <f t="shared" si="16"/>
        <v>65.381391450125733</v>
      </c>
      <c r="Q127">
        <f t="shared" si="17"/>
        <v>59.597652975691531</v>
      </c>
    </row>
    <row r="128" spans="1:17" x14ac:dyDescent="0.3">
      <c r="A128">
        <v>51021657</v>
      </c>
      <c r="B128" t="str">
        <f>VLOOKUP(A128,ASESORES!$A$2:$B$993,2,0)</f>
        <v>ARGUELLO</v>
      </c>
      <c r="C128">
        <v>65650250.239999987</v>
      </c>
      <c r="D128">
        <v>92288185.640000015</v>
      </c>
      <c r="E128">
        <v>102490340.84</v>
      </c>
      <c r="F128">
        <v>64699993</v>
      </c>
      <c r="G128">
        <v>124260120</v>
      </c>
      <c r="H128">
        <v>147306555</v>
      </c>
      <c r="I128">
        <f t="shared" si="9"/>
        <v>-1.4474541018900888E-2</v>
      </c>
      <c r="J128">
        <f t="shared" si="10"/>
        <v>0.34643583182702153</v>
      </c>
      <c r="K128">
        <f t="shared" si="11"/>
        <v>0.43727256434792827</v>
      </c>
      <c r="L128">
        <f t="shared" si="12"/>
        <v>-0.11305925372513179</v>
      </c>
      <c r="M128">
        <f t="shared" si="13"/>
        <v>2.8041665593674008</v>
      </c>
      <c r="N128">
        <f t="shared" si="14"/>
        <v>3.5717394120062718</v>
      </c>
      <c r="O128">
        <f t="shared" si="15"/>
        <v>10.226320201173513</v>
      </c>
      <c r="P128">
        <f t="shared" si="16"/>
        <v>59.849119865884326</v>
      </c>
      <c r="Q128">
        <f t="shared" si="17"/>
        <v>79.882648784576688</v>
      </c>
    </row>
    <row r="129" spans="1:17" x14ac:dyDescent="0.3">
      <c r="A129">
        <v>51042263</v>
      </c>
      <c r="B129" t="str">
        <f>VLOOKUP(A129,ASESORES!$A$2:$B$993,2,0)</f>
        <v>CICHETTO</v>
      </c>
      <c r="C129">
        <v>80427754.770000011</v>
      </c>
      <c r="D129">
        <v>108326289.53</v>
      </c>
      <c r="E129">
        <v>134163869.91</v>
      </c>
      <c r="F129">
        <v>111133056</v>
      </c>
      <c r="G129">
        <v>135947188</v>
      </c>
      <c r="H129">
        <v>147025925</v>
      </c>
      <c r="I129">
        <f t="shared" si="9"/>
        <v>0.3817749397307959</v>
      </c>
      <c r="J129">
        <f t="shared" si="10"/>
        <v>0.25497871836873576</v>
      </c>
      <c r="K129">
        <f t="shared" si="11"/>
        <v>9.5868247529145911E-2</v>
      </c>
      <c r="L129">
        <f t="shared" si="12"/>
        <v>3.0717013245202924</v>
      </c>
      <c r="M129">
        <f t="shared" si="13"/>
        <v>2.0738363169708509</v>
      </c>
      <c r="N129">
        <f t="shared" si="14"/>
        <v>0.78299374202954397</v>
      </c>
      <c r="O129">
        <f t="shared" si="15"/>
        <v>65.465213746856662</v>
      </c>
      <c r="P129">
        <f t="shared" si="16"/>
        <v>49.538977367979882</v>
      </c>
      <c r="Q129">
        <f t="shared" si="17"/>
        <v>40.98910310142498</v>
      </c>
    </row>
    <row r="130" spans="1:17" x14ac:dyDescent="0.3">
      <c r="A130">
        <v>51055365</v>
      </c>
      <c r="B130" t="str">
        <f>VLOOKUP(A130,ASESORES!$A$2:$B$993,2,0)</f>
        <v>BELUZZO</v>
      </c>
      <c r="C130">
        <v>58694457.740000002</v>
      </c>
      <c r="D130">
        <v>78236910.789999992</v>
      </c>
      <c r="E130">
        <v>109151469.47</v>
      </c>
      <c r="F130">
        <v>91497874</v>
      </c>
      <c r="G130">
        <v>123809264</v>
      </c>
      <c r="H130">
        <v>145972425</v>
      </c>
      <c r="I130">
        <f t="shared" ref="I130:I193" si="18">IFERROR(F130/C130-1,0)</f>
        <v>0.55888439084504271</v>
      </c>
      <c r="J130">
        <f t="shared" ref="J130:J193" si="19">IFERROR(G130/D130-1,0)</f>
        <v>0.58249172608978994</v>
      </c>
      <c r="K130">
        <f t="shared" ref="K130:K193" si="20">IFERROR(H130/E130-1,0)</f>
        <v>0.3373381568639362</v>
      </c>
      <c r="L130">
        <f t="shared" ref="L130:L193" si="21">IFERROR(I130*LOG(F130),0)</f>
        <v>4.4495083387506567</v>
      </c>
      <c r="M130">
        <f t="shared" ref="M130:M193" si="22">IFERROR(J130*LOG(G130),0)</f>
        <v>4.7139617464355581</v>
      </c>
      <c r="N130">
        <f t="shared" ref="N130:N193" si="23">IFERROR(K130*LOG(H130),0)</f>
        <v>2.7541200715344627</v>
      </c>
      <c r="O130">
        <f t="shared" ref="O130:O193" si="24">RANK(L130,$L$2:$L$1194,1)/COUNT($L$2:$L$1194)*100</f>
        <v>80.972338642078796</v>
      </c>
      <c r="P130">
        <f t="shared" ref="P130:P193" si="25">RANK(M130,$M$2:$M$1194,1)/COUNT($M$2:$M$1194)*100</f>
        <v>81.894383906119032</v>
      </c>
      <c r="Q130">
        <f t="shared" ref="Q130:Q193" si="26">RANK(N130,$N$2:$N$1194,1)/COUNT($N$2:$N$1194)*100</f>
        <v>69.907795473595982</v>
      </c>
    </row>
    <row r="131" spans="1:17" x14ac:dyDescent="0.3">
      <c r="A131">
        <v>51031385</v>
      </c>
      <c r="B131" t="str">
        <f>VLOOKUP(A131,ASESORES!$A$2:$B$993,2,0)</f>
        <v>ROBERTS</v>
      </c>
      <c r="C131">
        <v>60296410.039999999</v>
      </c>
      <c r="D131">
        <v>84033173.50999999</v>
      </c>
      <c r="E131">
        <v>102480785.67</v>
      </c>
      <c r="F131">
        <v>86422603</v>
      </c>
      <c r="G131">
        <v>130023231</v>
      </c>
      <c r="H131">
        <v>144483379</v>
      </c>
      <c r="I131">
        <f t="shared" si="18"/>
        <v>0.43329599461507184</v>
      </c>
      <c r="J131">
        <f t="shared" si="19"/>
        <v>0.5472845492920384</v>
      </c>
      <c r="K131">
        <f t="shared" si="20"/>
        <v>0.40985822908553038</v>
      </c>
      <c r="L131">
        <f t="shared" si="21"/>
        <v>3.4389088384209598</v>
      </c>
      <c r="M131">
        <f t="shared" si="22"/>
        <v>4.4406783006450929</v>
      </c>
      <c r="N131">
        <f t="shared" si="23"/>
        <v>3.3443685099880804</v>
      </c>
      <c r="O131">
        <f t="shared" si="24"/>
        <v>70.578373847443416</v>
      </c>
      <c r="P131">
        <f t="shared" si="25"/>
        <v>79.715004191114829</v>
      </c>
      <c r="Q131">
        <f t="shared" si="26"/>
        <v>77.451802179379712</v>
      </c>
    </row>
    <row r="132" spans="1:17" x14ac:dyDescent="0.3">
      <c r="A132">
        <v>51041577</v>
      </c>
      <c r="B132" t="str">
        <f>VLOOKUP(A132,ASESORES!$A$2:$B$993,2,0)</f>
        <v>LÓPEZ</v>
      </c>
      <c r="C132">
        <v>58579162.82</v>
      </c>
      <c r="D132">
        <v>77558618.609999985</v>
      </c>
      <c r="E132">
        <v>106878241.25</v>
      </c>
      <c r="F132">
        <v>75940806</v>
      </c>
      <c r="G132">
        <v>124008584</v>
      </c>
      <c r="H132">
        <v>144345631</v>
      </c>
      <c r="I132">
        <f t="shared" si="18"/>
        <v>0.29637916187618196</v>
      </c>
      <c r="J132">
        <f t="shared" si="19"/>
        <v>0.59890140157822525</v>
      </c>
      <c r="K132">
        <f t="shared" si="20"/>
        <v>0.35056143618942648</v>
      </c>
      <c r="L132">
        <f t="shared" si="21"/>
        <v>2.3356086356216657</v>
      </c>
      <c r="M132">
        <f t="shared" si="22"/>
        <v>4.8471795957868284</v>
      </c>
      <c r="N132">
        <f t="shared" si="23"/>
        <v>2.8603722596625181</v>
      </c>
      <c r="O132">
        <f t="shared" si="24"/>
        <v>53.143336127409889</v>
      </c>
      <c r="P132">
        <f t="shared" si="25"/>
        <v>83.57082984073763</v>
      </c>
      <c r="Q132">
        <f t="shared" si="26"/>
        <v>71.332774518021793</v>
      </c>
    </row>
    <row r="133" spans="1:17" x14ac:dyDescent="0.3">
      <c r="A133">
        <v>51018877</v>
      </c>
      <c r="B133" t="str">
        <f>VLOOKUP(A133,ASESORES!$A$2:$B$993,2,0)</f>
        <v>BELUZZO</v>
      </c>
      <c r="C133">
        <v>25136141.129999999</v>
      </c>
      <c r="D133">
        <v>122438508.69</v>
      </c>
      <c r="E133">
        <v>165007278.38999999</v>
      </c>
      <c r="F133">
        <v>111778125</v>
      </c>
      <c r="G133">
        <v>103856215</v>
      </c>
      <c r="H133">
        <v>144218089</v>
      </c>
      <c r="I133">
        <f t="shared" si="18"/>
        <v>3.4469087129126894</v>
      </c>
      <c r="J133">
        <f t="shared" si="19"/>
        <v>-0.15176837654114361</v>
      </c>
      <c r="K133">
        <f t="shared" si="20"/>
        <v>-0.12598952963071164</v>
      </c>
      <c r="L133">
        <f t="shared" si="21"/>
        <v>27.741951248709469</v>
      </c>
      <c r="M133">
        <f t="shared" si="22"/>
        <v>-1.2166409447881781</v>
      </c>
      <c r="N133">
        <f t="shared" si="23"/>
        <v>-1.0279510588529726</v>
      </c>
      <c r="O133">
        <f t="shared" si="24"/>
        <v>99.49706621961441</v>
      </c>
      <c r="P133">
        <f t="shared" si="25"/>
        <v>6.0352053646269912</v>
      </c>
      <c r="Q133">
        <f t="shared" si="26"/>
        <v>7.5440067057837386</v>
      </c>
    </row>
    <row r="134" spans="1:17" x14ac:dyDescent="0.3">
      <c r="A134">
        <v>51030303</v>
      </c>
      <c r="B134" t="str">
        <f>VLOOKUP(A134,ASESORES!$A$2:$B$993,2,0)</f>
        <v>CICHETTO</v>
      </c>
      <c r="C134">
        <v>164006809.15000001</v>
      </c>
      <c r="D134">
        <v>122805151.81999999</v>
      </c>
      <c r="E134">
        <v>133411887.87</v>
      </c>
      <c r="F134">
        <v>110164548</v>
      </c>
      <c r="G134">
        <v>127077867</v>
      </c>
      <c r="H134">
        <v>144146681</v>
      </c>
      <c r="I134">
        <f t="shared" si="18"/>
        <v>-0.32829283996834591</v>
      </c>
      <c r="J134">
        <f t="shared" si="19"/>
        <v>3.4792637903845236E-2</v>
      </c>
      <c r="K134">
        <f t="shared" si="20"/>
        <v>8.0463542652662756E-2</v>
      </c>
      <c r="L134">
        <f t="shared" si="21"/>
        <v>-2.6401447603464971</v>
      </c>
      <c r="M134">
        <f t="shared" si="22"/>
        <v>0.28196197015536933</v>
      </c>
      <c r="N134">
        <f t="shared" si="23"/>
        <v>0.65648632571994081</v>
      </c>
      <c r="O134">
        <f t="shared" si="24"/>
        <v>3.8558256496227994</v>
      </c>
      <c r="P134">
        <f t="shared" si="25"/>
        <v>28.834870075440065</v>
      </c>
      <c r="Q134">
        <f t="shared" si="26"/>
        <v>39.312657166806368</v>
      </c>
    </row>
    <row r="135" spans="1:17" x14ac:dyDescent="0.3">
      <c r="A135">
        <v>51030613</v>
      </c>
      <c r="B135" t="str">
        <f>VLOOKUP(A135,ASESORES!$A$2:$B$993,2,0)</f>
        <v>ROBERTS</v>
      </c>
      <c r="C135">
        <v>99925856.950000003</v>
      </c>
      <c r="D135">
        <v>123954855</v>
      </c>
      <c r="E135">
        <v>118107559.51000001</v>
      </c>
      <c r="F135">
        <v>111790841</v>
      </c>
      <c r="G135">
        <v>135344790</v>
      </c>
      <c r="H135">
        <v>144012545</v>
      </c>
      <c r="I135">
        <f t="shared" si="18"/>
        <v>0.11873787638305555</v>
      </c>
      <c r="J135">
        <f t="shared" si="19"/>
        <v>9.1887768333075881E-2</v>
      </c>
      <c r="K135">
        <f t="shared" si="20"/>
        <v>0.21933384787115728</v>
      </c>
      <c r="L135">
        <f t="shared" si="21"/>
        <v>0.95565066322907</v>
      </c>
      <c r="M135">
        <f t="shared" si="22"/>
        <v>0.74718001667814304</v>
      </c>
      <c r="N135">
        <f t="shared" si="23"/>
        <v>1.7894133358297062</v>
      </c>
      <c r="O135">
        <f t="shared" si="24"/>
        <v>32.187761944677284</v>
      </c>
      <c r="P135">
        <f t="shared" si="25"/>
        <v>32.774518021793796</v>
      </c>
      <c r="Q135">
        <f t="shared" si="26"/>
        <v>55.741827326068737</v>
      </c>
    </row>
    <row r="136" spans="1:17" x14ac:dyDescent="0.3">
      <c r="A136">
        <v>51033761</v>
      </c>
      <c r="B136" t="str">
        <f>VLOOKUP(A136,ASESORES!$A$2:$B$993,2,0)</f>
        <v>CICHETTO</v>
      </c>
      <c r="C136">
        <v>80663048.189999998</v>
      </c>
      <c r="D136">
        <v>95878692.170000002</v>
      </c>
      <c r="E136">
        <v>124874052.28</v>
      </c>
      <c r="F136">
        <v>108013437</v>
      </c>
      <c r="G136">
        <v>122874020</v>
      </c>
      <c r="H136">
        <v>143696333</v>
      </c>
      <c r="I136">
        <f t="shared" si="18"/>
        <v>0.3390696164317617</v>
      </c>
      <c r="J136">
        <f t="shared" si="19"/>
        <v>0.28155711367167258</v>
      </c>
      <c r="K136">
        <f t="shared" si="20"/>
        <v>0.1507301186782628</v>
      </c>
      <c r="L136">
        <f t="shared" si="21"/>
        <v>2.7239082313756859</v>
      </c>
      <c r="M136">
        <f t="shared" si="22"/>
        <v>2.2776450276475675</v>
      </c>
      <c r="N136">
        <f t="shared" si="23"/>
        <v>1.2295727562830723</v>
      </c>
      <c r="O136">
        <f t="shared" si="24"/>
        <v>59.430008382229673</v>
      </c>
      <c r="P136">
        <f t="shared" si="25"/>
        <v>51.969823973176865</v>
      </c>
      <c r="Q136">
        <f t="shared" si="26"/>
        <v>47.443419949706623</v>
      </c>
    </row>
    <row r="137" spans="1:17" x14ac:dyDescent="0.3">
      <c r="A137">
        <v>51023170</v>
      </c>
      <c r="B137" t="str">
        <f>VLOOKUP(A137,ASESORES!$A$2:$B$993,2,0)</f>
        <v>ARGUELLO</v>
      </c>
      <c r="C137">
        <v>55881930.840000004</v>
      </c>
      <c r="D137">
        <v>68165608.939999998</v>
      </c>
      <c r="E137">
        <v>133200070.79000001</v>
      </c>
      <c r="F137">
        <v>98468342</v>
      </c>
      <c r="G137">
        <v>125209596</v>
      </c>
      <c r="H137">
        <v>143510694</v>
      </c>
      <c r="I137">
        <f t="shared" si="18"/>
        <v>0.76207837703268577</v>
      </c>
      <c r="J137">
        <f t="shared" si="19"/>
        <v>0.83684409113414726</v>
      </c>
      <c r="K137">
        <f t="shared" si="20"/>
        <v>7.7407040017684947E-2</v>
      </c>
      <c r="L137">
        <f t="shared" si="21"/>
        <v>6.0915185194061694</v>
      </c>
      <c r="M137">
        <f t="shared" si="22"/>
        <v>6.776460189638235</v>
      </c>
      <c r="N137">
        <f t="shared" si="23"/>
        <v>0.63140026669253235</v>
      </c>
      <c r="O137">
        <f t="shared" si="24"/>
        <v>90.947191953059516</v>
      </c>
      <c r="P137">
        <f t="shared" si="25"/>
        <v>93.126571668063704</v>
      </c>
      <c r="Q137">
        <f t="shared" si="26"/>
        <v>39.06119027661358</v>
      </c>
    </row>
    <row r="138" spans="1:17" x14ac:dyDescent="0.3">
      <c r="A138">
        <v>51030079</v>
      </c>
      <c r="B138" t="str">
        <f>VLOOKUP(A138,ASESORES!$A$2:$B$993,2,0)</f>
        <v>PUGH</v>
      </c>
      <c r="C138">
        <v>79403432.520000011</v>
      </c>
      <c r="D138">
        <v>100995252.2</v>
      </c>
      <c r="E138">
        <v>117723834.23</v>
      </c>
      <c r="F138">
        <v>91731833</v>
      </c>
      <c r="G138">
        <v>125669826</v>
      </c>
      <c r="H138">
        <v>143167448</v>
      </c>
      <c r="I138">
        <f t="shared" si="18"/>
        <v>0.15526281533099628</v>
      </c>
      <c r="J138">
        <f t="shared" si="19"/>
        <v>0.24431419559344381</v>
      </c>
      <c r="K138">
        <f t="shared" si="20"/>
        <v>0.2161296727754396</v>
      </c>
      <c r="L138">
        <f t="shared" si="21"/>
        <v>1.2362832834671968</v>
      </c>
      <c r="M138">
        <f t="shared" si="22"/>
        <v>1.9787571100536137</v>
      </c>
      <c r="N138">
        <f t="shared" si="23"/>
        <v>1.762719956223433</v>
      </c>
      <c r="O138">
        <f t="shared" si="24"/>
        <v>36.211232187761944</v>
      </c>
      <c r="P138">
        <f t="shared" si="25"/>
        <v>47.946353730092206</v>
      </c>
      <c r="Q138">
        <f t="shared" si="26"/>
        <v>55.574182732606872</v>
      </c>
    </row>
    <row r="139" spans="1:17" x14ac:dyDescent="0.3">
      <c r="A139">
        <v>51034317</v>
      </c>
      <c r="B139" t="str">
        <f>VLOOKUP(A139,ASESORES!$A$2:$B$993,2,0)</f>
        <v>ARGUELLO</v>
      </c>
      <c r="C139">
        <v>60153839.899999999</v>
      </c>
      <c r="D139">
        <v>83017445.109999999</v>
      </c>
      <c r="E139">
        <v>113334175.38</v>
      </c>
      <c r="F139">
        <v>89605261</v>
      </c>
      <c r="G139">
        <v>121283392</v>
      </c>
      <c r="H139">
        <v>143099743</v>
      </c>
      <c r="I139">
        <f t="shared" si="18"/>
        <v>0.48960168044068619</v>
      </c>
      <c r="J139">
        <f t="shared" si="19"/>
        <v>0.46093862367478011</v>
      </c>
      <c r="K139">
        <f t="shared" si="20"/>
        <v>0.26263541001819224</v>
      </c>
      <c r="L139">
        <f t="shared" si="21"/>
        <v>3.8934758495159842</v>
      </c>
      <c r="M139">
        <f t="shared" si="22"/>
        <v>3.7261362612368054</v>
      </c>
      <c r="N139">
        <f t="shared" si="23"/>
        <v>2.1419595543252399</v>
      </c>
      <c r="O139">
        <f t="shared" si="24"/>
        <v>76.278290025146688</v>
      </c>
      <c r="P139">
        <f t="shared" si="25"/>
        <v>72.254819782062029</v>
      </c>
      <c r="Q139">
        <f t="shared" si="26"/>
        <v>60.519698239731767</v>
      </c>
    </row>
    <row r="140" spans="1:17" x14ac:dyDescent="0.3">
      <c r="A140">
        <v>51012666</v>
      </c>
      <c r="B140" t="str">
        <f>VLOOKUP(A140,ASESORES!$A$2:$B$993,2,0)</f>
        <v>PUGH</v>
      </c>
      <c r="C140">
        <v>68598149.099999994</v>
      </c>
      <c r="D140">
        <v>95144021.400000006</v>
      </c>
      <c r="E140">
        <v>127278912.84999999</v>
      </c>
      <c r="F140">
        <v>127000700</v>
      </c>
      <c r="G140">
        <v>149719910</v>
      </c>
      <c r="H140">
        <v>142479430</v>
      </c>
      <c r="I140">
        <f t="shared" si="18"/>
        <v>0.851372109397045</v>
      </c>
      <c r="J140">
        <f t="shared" si="19"/>
        <v>0.5736134314793635</v>
      </c>
      <c r="K140">
        <f t="shared" si="20"/>
        <v>0.11942683049087655</v>
      </c>
      <c r="L140">
        <f t="shared" si="21"/>
        <v>6.899354506015511</v>
      </c>
      <c r="M140">
        <f t="shared" si="22"/>
        <v>4.6894501602108578</v>
      </c>
      <c r="N140">
        <f t="shared" si="23"/>
        <v>0.97377677815535513</v>
      </c>
      <c r="O140">
        <f t="shared" si="24"/>
        <v>93.126571668063704</v>
      </c>
      <c r="P140">
        <f t="shared" si="25"/>
        <v>81.642917015926244</v>
      </c>
      <c r="Q140">
        <f t="shared" si="26"/>
        <v>43.168482816429169</v>
      </c>
    </row>
    <row r="141" spans="1:17" x14ac:dyDescent="0.3">
      <c r="A141">
        <v>51036247</v>
      </c>
      <c r="B141" t="str">
        <f>VLOOKUP(A141,ASESORES!$A$2:$B$993,2,0)</f>
        <v>LÓPEZ</v>
      </c>
      <c r="C141">
        <v>81617123.789999992</v>
      </c>
      <c r="D141">
        <v>86448266.020000011</v>
      </c>
      <c r="E141">
        <v>162322581.03</v>
      </c>
      <c r="F141">
        <v>180700249</v>
      </c>
      <c r="G141">
        <v>230458035</v>
      </c>
      <c r="H141">
        <v>142442521</v>
      </c>
      <c r="I141">
        <f t="shared" si="18"/>
        <v>1.2139992272325091</v>
      </c>
      <c r="J141">
        <f t="shared" si="19"/>
        <v>1.6658491327828715</v>
      </c>
      <c r="K141">
        <f t="shared" si="20"/>
        <v>-0.12247254758920956</v>
      </c>
      <c r="L141">
        <f t="shared" si="21"/>
        <v>10.023941543013516</v>
      </c>
      <c r="M141">
        <f t="shared" si="22"/>
        <v>13.930816388725098</v>
      </c>
      <c r="N141">
        <f t="shared" si="23"/>
        <v>-0.99859702022808516</v>
      </c>
      <c r="O141">
        <f t="shared" si="24"/>
        <v>97.066219614417435</v>
      </c>
      <c r="P141">
        <f t="shared" si="25"/>
        <v>98.826487845766977</v>
      </c>
      <c r="Q141">
        <f t="shared" si="26"/>
        <v>7.7116512992455988</v>
      </c>
    </row>
    <row r="142" spans="1:17" x14ac:dyDescent="0.3">
      <c r="A142">
        <v>51011325</v>
      </c>
      <c r="B142" t="str">
        <f>VLOOKUP(A142,ASESORES!$A$2:$B$993,2,0)</f>
        <v>AYALA</v>
      </c>
      <c r="C142">
        <v>80047934</v>
      </c>
      <c r="D142">
        <v>115474752.15000001</v>
      </c>
      <c r="E142">
        <v>129724775.70999999</v>
      </c>
      <c r="F142">
        <v>71711505</v>
      </c>
      <c r="G142">
        <v>116509162</v>
      </c>
      <c r="H142">
        <v>141854618</v>
      </c>
      <c r="I142">
        <f t="shared" si="18"/>
        <v>-0.10414296264035994</v>
      </c>
      <c r="J142">
        <f t="shared" si="19"/>
        <v>8.9578875965570237E-3</v>
      </c>
      <c r="K142">
        <f t="shared" si="20"/>
        <v>9.3504438328082307E-2</v>
      </c>
      <c r="L142">
        <f t="shared" si="21"/>
        <v>-0.81810429477794644</v>
      </c>
      <c r="M142">
        <f t="shared" si="22"/>
        <v>7.2257546897251196E-2</v>
      </c>
      <c r="N142">
        <f t="shared" si="23"/>
        <v>0.76223354580333047</v>
      </c>
      <c r="O142">
        <f t="shared" si="24"/>
        <v>7.6278290025146687</v>
      </c>
      <c r="P142">
        <f t="shared" si="25"/>
        <v>26.571668063704944</v>
      </c>
      <c r="Q142">
        <f t="shared" si="26"/>
        <v>40.486169321039398</v>
      </c>
    </row>
    <row r="143" spans="1:17" x14ac:dyDescent="0.3">
      <c r="A143">
        <v>51004469</v>
      </c>
      <c r="B143" t="str">
        <f>VLOOKUP(A143,ASESORES!$A$2:$B$993,2,0)</f>
        <v>ARGUELLO</v>
      </c>
      <c r="C143">
        <v>56221431.149999999</v>
      </c>
      <c r="D143">
        <v>76429623.530000001</v>
      </c>
      <c r="E143">
        <v>105487643.79000001</v>
      </c>
      <c r="F143">
        <v>79722373</v>
      </c>
      <c r="G143">
        <v>116310811</v>
      </c>
      <c r="H143">
        <v>141497805</v>
      </c>
      <c r="I143">
        <f t="shared" si="18"/>
        <v>0.41800682354205776</v>
      </c>
      <c r="J143">
        <f t="shared" si="19"/>
        <v>0.52180274647494396</v>
      </c>
      <c r="K143">
        <f t="shared" si="20"/>
        <v>0.34136852351814184</v>
      </c>
      <c r="L143">
        <f t="shared" si="21"/>
        <v>3.3029144476140555</v>
      </c>
      <c r="M143">
        <f t="shared" si="22"/>
        <v>4.2086627118239344</v>
      </c>
      <c r="N143">
        <f t="shared" si="23"/>
        <v>2.7824093916355026</v>
      </c>
      <c r="O143">
        <f t="shared" si="24"/>
        <v>68.734283319362959</v>
      </c>
      <c r="P143">
        <f t="shared" si="25"/>
        <v>77.284157585917853</v>
      </c>
      <c r="Q143">
        <f t="shared" si="26"/>
        <v>70.15926236378877</v>
      </c>
    </row>
    <row r="144" spans="1:17" x14ac:dyDescent="0.3">
      <c r="A144">
        <v>51020251</v>
      </c>
      <c r="B144" t="str">
        <f>VLOOKUP(A144,ASESORES!$A$2:$B$993,2,0)</f>
        <v>BELUZZO</v>
      </c>
      <c r="C144">
        <v>68596347.530000001</v>
      </c>
      <c r="D144">
        <v>102681382.39</v>
      </c>
      <c r="E144">
        <v>139764280.81</v>
      </c>
      <c r="F144">
        <v>112645955</v>
      </c>
      <c r="G144">
        <v>134005207</v>
      </c>
      <c r="H144">
        <v>140911428</v>
      </c>
      <c r="I144">
        <f t="shared" si="18"/>
        <v>0.64215674822533808</v>
      </c>
      <c r="J144">
        <f t="shared" si="19"/>
        <v>0.30505846221496324</v>
      </c>
      <c r="K144">
        <f t="shared" si="20"/>
        <v>8.2077279212666721E-3</v>
      </c>
      <c r="L144">
        <f t="shared" si="21"/>
        <v>5.1704635081487993</v>
      </c>
      <c r="M144">
        <f t="shared" si="22"/>
        <v>2.4792472400868455</v>
      </c>
      <c r="N144">
        <f t="shared" si="23"/>
        <v>6.6884333386591915E-2</v>
      </c>
      <c r="O144">
        <f t="shared" si="24"/>
        <v>86.253143336127408</v>
      </c>
      <c r="P144">
        <f t="shared" si="25"/>
        <v>55.238893545683155</v>
      </c>
      <c r="Q144">
        <f t="shared" si="26"/>
        <v>32.774518021793796</v>
      </c>
    </row>
    <row r="145" spans="1:17" x14ac:dyDescent="0.3">
      <c r="A145">
        <v>51016793</v>
      </c>
      <c r="B145" t="str">
        <f>VLOOKUP(A145,ASESORES!$A$2:$B$993,2,0)</f>
        <v>PUGH</v>
      </c>
      <c r="C145">
        <v>83299325.209999993</v>
      </c>
      <c r="D145">
        <v>129291470.08</v>
      </c>
      <c r="E145">
        <v>138233691.50999999</v>
      </c>
      <c r="F145">
        <v>106120621</v>
      </c>
      <c r="G145">
        <v>91744405</v>
      </c>
      <c r="H145">
        <v>140809934</v>
      </c>
      <c r="I145">
        <f t="shared" si="18"/>
        <v>0.27396735486712354</v>
      </c>
      <c r="J145">
        <f t="shared" si="19"/>
        <v>-0.29040635903333367</v>
      </c>
      <c r="K145">
        <f t="shared" si="20"/>
        <v>1.8636863863348729E-2</v>
      </c>
      <c r="L145">
        <f t="shared" si="21"/>
        <v>2.1988071371692857</v>
      </c>
      <c r="M145">
        <f t="shared" si="22"/>
        <v>-2.3123837467910553</v>
      </c>
      <c r="N145">
        <f t="shared" si="23"/>
        <v>0.15186496938992805</v>
      </c>
      <c r="O145">
        <f t="shared" si="24"/>
        <v>50.377200335289189</v>
      </c>
      <c r="P145">
        <f t="shared" si="25"/>
        <v>4.2749371332774517</v>
      </c>
      <c r="Q145">
        <f t="shared" si="26"/>
        <v>33.528918692372173</v>
      </c>
    </row>
    <row r="146" spans="1:17" x14ac:dyDescent="0.3">
      <c r="A146">
        <v>51015401</v>
      </c>
      <c r="B146" t="str">
        <f>VLOOKUP(A146,ASESORES!$A$2:$B$993,2,0)</f>
        <v>PRADES</v>
      </c>
      <c r="C146">
        <v>59813852.350000001</v>
      </c>
      <c r="D146">
        <v>74491202.469999999</v>
      </c>
      <c r="E146">
        <v>92463211.560000002</v>
      </c>
      <c r="F146">
        <v>93251873</v>
      </c>
      <c r="G146">
        <v>123084055</v>
      </c>
      <c r="H146">
        <v>139576962</v>
      </c>
      <c r="I146">
        <f t="shared" si="18"/>
        <v>0.55903472751324967</v>
      </c>
      <c r="J146">
        <f t="shared" si="19"/>
        <v>0.65233008622152266</v>
      </c>
      <c r="K146">
        <f t="shared" si="20"/>
        <v>0.50954049340399088</v>
      </c>
      <c r="L146">
        <f t="shared" si="21"/>
        <v>4.4553153444082012</v>
      </c>
      <c r="M146">
        <f t="shared" si="22"/>
        <v>5.2774820348915474</v>
      </c>
      <c r="N146">
        <f t="shared" si="23"/>
        <v>4.1501124124455417</v>
      </c>
      <c r="O146">
        <f t="shared" si="24"/>
        <v>81.139983235540655</v>
      </c>
      <c r="P146">
        <f t="shared" si="25"/>
        <v>87.091366303436715</v>
      </c>
      <c r="Q146">
        <f t="shared" si="26"/>
        <v>85.58256496227996</v>
      </c>
    </row>
    <row r="147" spans="1:17" x14ac:dyDescent="0.3">
      <c r="A147">
        <v>51056281</v>
      </c>
      <c r="B147" t="str">
        <f>VLOOKUP(A147,ASESORES!$A$2:$B$993,2,0)</f>
        <v>LÓPEZ</v>
      </c>
      <c r="C147">
        <v>60843633.399999991</v>
      </c>
      <c r="D147">
        <v>80215300.379999995</v>
      </c>
      <c r="E147">
        <v>105193424.7</v>
      </c>
      <c r="F147">
        <v>88770900</v>
      </c>
      <c r="G147">
        <v>127237456</v>
      </c>
      <c r="H147">
        <v>139279480</v>
      </c>
      <c r="I147">
        <f t="shared" si="18"/>
        <v>0.45900063884087516</v>
      </c>
      <c r="J147">
        <f t="shared" si="19"/>
        <v>0.58619933350924658</v>
      </c>
      <c r="K147">
        <f t="shared" si="20"/>
        <v>0.32403218544514223</v>
      </c>
      <c r="L147">
        <f t="shared" si="21"/>
        <v>3.6482612936274204</v>
      </c>
      <c r="M147">
        <f t="shared" si="22"/>
        <v>4.7509198979775045</v>
      </c>
      <c r="N147">
        <f t="shared" si="23"/>
        <v>2.6388815469149485</v>
      </c>
      <c r="O147">
        <f t="shared" si="24"/>
        <v>73.428331936295052</v>
      </c>
      <c r="P147">
        <f t="shared" si="25"/>
        <v>82.397317686504607</v>
      </c>
      <c r="Q147">
        <f t="shared" si="26"/>
        <v>67.979882648784567</v>
      </c>
    </row>
    <row r="148" spans="1:17" x14ac:dyDescent="0.3">
      <c r="A148">
        <v>51055012</v>
      </c>
      <c r="B148" t="str">
        <f>VLOOKUP(A148,ASESORES!$A$2:$B$993,2,0)</f>
        <v>LÓPEZ</v>
      </c>
      <c r="C148">
        <v>50853245.869999997</v>
      </c>
      <c r="D148">
        <v>71237881.079999998</v>
      </c>
      <c r="E148">
        <v>84044756.769999996</v>
      </c>
      <c r="F148">
        <v>75833843</v>
      </c>
      <c r="G148">
        <v>117640817</v>
      </c>
      <c r="H148">
        <v>138911698</v>
      </c>
      <c r="I148">
        <f t="shared" si="18"/>
        <v>0.49122915760106634</v>
      </c>
      <c r="J148">
        <f t="shared" si="19"/>
        <v>0.6513800693747418</v>
      </c>
      <c r="K148">
        <f t="shared" si="20"/>
        <v>0.65283003174309751</v>
      </c>
      <c r="L148">
        <f t="shared" si="21"/>
        <v>3.8708184954829794</v>
      </c>
      <c r="M148">
        <f t="shared" si="22"/>
        <v>5.2570006507533007</v>
      </c>
      <c r="N148">
        <f t="shared" si="23"/>
        <v>5.3158244423264085</v>
      </c>
      <c r="O148">
        <f t="shared" si="24"/>
        <v>75.943000838222957</v>
      </c>
      <c r="P148">
        <f t="shared" si="25"/>
        <v>87.007544006705785</v>
      </c>
      <c r="Q148">
        <f t="shared" si="26"/>
        <v>92.5398155909472</v>
      </c>
    </row>
    <row r="149" spans="1:17" x14ac:dyDescent="0.3">
      <c r="A149">
        <v>51006615</v>
      </c>
      <c r="B149" t="str">
        <f>VLOOKUP(A149,ASESORES!$A$2:$B$993,2,0)</f>
        <v>MONTENEGRO</v>
      </c>
      <c r="C149">
        <v>35449669.810000002</v>
      </c>
      <c r="D149">
        <v>41154291.43</v>
      </c>
      <c r="E149">
        <v>67583410.210000008</v>
      </c>
      <c r="F149">
        <v>77675572</v>
      </c>
      <c r="G149">
        <v>104580279</v>
      </c>
      <c r="H149">
        <v>137726070</v>
      </c>
      <c r="I149">
        <f t="shared" si="18"/>
        <v>1.1911507897342526</v>
      </c>
      <c r="J149">
        <f t="shared" si="19"/>
        <v>1.5411755461245709</v>
      </c>
      <c r="K149">
        <f t="shared" si="20"/>
        <v>1.037868014828605</v>
      </c>
      <c r="L149">
        <f t="shared" si="21"/>
        <v>9.3985185658367918</v>
      </c>
      <c r="M149">
        <f t="shared" si="22"/>
        <v>12.359379919136927</v>
      </c>
      <c r="N149">
        <f t="shared" si="23"/>
        <v>8.447224539563754</v>
      </c>
      <c r="O149">
        <f t="shared" si="24"/>
        <v>96.47946353730093</v>
      </c>
      <c r="P149">
        <f t="shared" si="25"/>
        <v>98.491198658843246</v>
      </c>
      <c r="Q149">
        <f t="shared" si="26"/>
        <v>97.652975691533953</v>
      </c>
    </row>
    <row r="150" spans="1:17" x14ac:dyDescent="0.3">
      <c r="A150">
        <v>51011724</v>
      </c>
      <c r="B150" t="str">
        <f>VLOOKUP(A150,ASESORES!$A$2:$B$993,2,0)</f>
        <v>NELLI</v>
      </c>
      <c r="C150">
        <v>52674555.409999996</v>
      </c>
      <c r="D150">
        <v>73106235.680000007</v>
      </c>
      <c r="E150">
        <v>94467063.840000004</v>
      </c>
      <c r="F150">
        <v>85080158</v>
      </c>
      <c r="G150">
        <v>100618790</v>
      </c>
      <c r="H150">
        <v>137613813</v>
      </c>
      <c r="I150">
        <f t="shared" si="18"/>
        <v>0.61520410258361591</v>
      </c>
      <c r="J150">
        <f t="shared" si="19"/>
        <v>0.37633662934619849</v>
      </c>
      <c r="K150">
        <f t="shared" si="20"/>
        <v>0.45673854363758104</v>
      </c>
      <c r="L150">
        <f t="shared" si="21"/>
        <v>4.8784628954059759</v>
      </c>
      <c r="M150">
        <f t="shared" si="22"/>
        <v>3.0117012746110716</v>
      </c>
      <c r="N150">
        <f t="shared" si="23"/>
        <v>3.717240642027583</v>
      </c>
      <c r="O150">
        <f t="shared" si="24"/>
        <v>84.744341994970668</v>
      </c>
      <c r="P150">
        <f t="shared" si="25"/>
        <v>63.453478625314332</v>
      </c>
      <c r="Q150">
        <f t="shared" si="26"/>
        <v>81.307627829002513</v>
      </c>
    </row>
    <row r="151" spans="1:17" x14ac:dyDescent="0.3">
      <c r="A151">
        <v>51010469</v>
      </c>
      <c r="B151" t="str">
        <f>VLOOKUP(A151,ASESORES!$A$2:$B$993,2,0)</f>
        <v>LÓPEZ</v>
      </c>
      <c r="C151">
        <v>64469947.450000003</v>
      </c>
      <c r="D151">
        <v>80651539.5</v>
      </c>
      <c r="E151">
        <v>104997717.31999999</v>
      </c>
      <c r="F151">
        <v>90173334</v>
      </c>
      <c r="G151">
        <v>114901360</v>
      </c>
      <c r="H151">
        <v>137182169</v>
      </c>
      <c r="I151">
        <f t="shared" si="18"/>
        <v>0.39868787809908479</v>
      </c>
      <c r="J151">
        <f t="shared" si="19"/>
        <v>0.424664187594336</v>
      </c>
      <c r="K151">
        <f t="shared" si="20"/>
        <v>0.30652525122914742</v>
      </c>
      <c r="L151">
        <f t="shared" si="21"/>
        <v>3.1715932186635332</v>
      </c>
      <c r="M151">
        <f t="shared" si="22"/>
        <v>3.4229314396956827</v>
      </c>
      <c r="N151">
        <f t="shared" si="23"/>
        <v>2.4942872111662204</v>
      </c>
      <c r="O151">
        <f t="shared" si="24"/>
        <v>67.141659681475275</v>
      </c>
      <c r="P151">
        <f t="shared" si="25"/>
        <v>69.069572506286676</v>
      </c>
      <c r="Q151">
        <f t="shared" si="26"/>
        <v>65.884325230511323</v>
      </c>
    </row>
    <row r="152" spans="1:17" x14ac:dyDescent="0.3">
      <c r="A152">
        <v>51056191</v>
      </c>
      <c r="B152" t="str">
        <f>VLOOKUP(A152,ASESORES!$A$2:$B$993,2,0)</f>
        <v>PUGH</v>
      </c>
      <c r="C152">
        <v>58164056.630000003</v>
      </c>
      <c r="D152">
        <v>95733843.080000013</v>
      </c>
      <c r="E152">
        <v>122708663.48</v>
      </c>
      <c r="F152">
        <v>74148344</v>
      </c>
      <c r="G152">
        <v>116517637</v>
      </c>
      <c r="H152">
        <v>136913018</v>
      </c>
      <c r="I152">
        <f t="shared" si="18"/>
        <v>0.27481383342432797</v>
      </c>
      <c r="J152">
        <f t="shared" si="19"/>
        <v>0.2170997554400067</v>
      </c>
      <c r="K152">
        <f t="shared" si="20"/>
        <v>0.11575673727646074</v>
      </c>
      <c r="L152">
        <f t="shared" si="21"/>
        <v>2.1628127505920514</v>
      </c>
      <c r="M152">
        <f t="shared" si="22"/>
        <v>1.7512116585080677</v>
      </c>
      <c r="N152">
        <f t="shared" si="23"/>
        <v>0.94184829657258062</v>
      </c>
      <c r="O152">
        <f t="shared" si="24"/>
        <v>49.371332774518024</v>
      </c>
      <c r="P152">
        <f t="shared" si="25"/>
        <v>44.677284157585916</v>
      </c>
      <c r="Q152">
        <f t="shared" si="26"/>
        <v>42.833193629505452</v>
      </c>
    </row>
    <row r="153" spans="1:17" x14ac:dyDescent="0.3">
      <c r="A153">
        <v>51023781</v>
      </c>
      <c r="B153" t="str">
        <f>VLOOKUP(A153,ASESORES!$A$2:$B$993,2,0)</f>
        <v>CICHETTO</v>
      </c>
      <c r="C153">
        <v>71741471.100000009</v>
      </c>
      <c r="D153">
        <v>85889043.699999988</v>
      </c>
      <c r="E153">
        <v>107607986.01000001</v>
      </c>
      <c r="F153">
        <v>84788798</v>
      </c>
      <c r="G153">
        <v>121472009</v>
      </c>
      <c r="H153">
        <v>136623089</v>
      </c>
      <c r="I153">
        <f t="shared" si="18"/>
        <v>0.18186589569390632</v>
      </c>
      <c r="J153">
        <f t="shared" si="19"/>
        <v>0.41428992298816358</v>
      </c>
      <c r="K153">
        <f t="shared" si="20"/>
        <v>0.26963707867651787</v>
      </c>
      <c r="L153">
        <f t="shared" si="21"/>
        <v>1.4418943787706464</v>
      </c>
      <c r="M153">
        <f t="shared" si="22"/>
        <v>3.3493170282023237</v>
      </c>
      <c r="N153">
        <f t="shared" si="23"/>
        <v>2.193638951922213</v>
      </c>
      <c r="O153">
        <f t="shared" si="24"/>
        <v>39.396479463537297</v>
      </c>
      <c r="P153">
        <f t="shared" si="25"/>
        <v>67.896060352053638</v>
      </c>
      <c r="Q153">
        <f t="shared" si="26"/>
        <v>61.525565800502932</v>
      </c>
    </row>
    <row r="154" spans="1:17" x14ac:dyDescent="0.3">
      <c r="A154">
        <v>51056221</v>
      </c>
      <c r="B154" t="str">
        <f>VLOOKUP(A154,ASESORES!$A$2:$B$993,2,0)</f>
        <v>CICHETTO</v>
      </c>
      <c r="C154">
        <v>70321583.879999995</v>
      </c>
      <c r="D154">
        <v>178512197.24000001</v>
      </c>
      <c r="E154">
        <v>228592340.72999999</v>
      </c>
      <c r="F154">
        <v>109405048</v>
      </c>
      <c r="G154">
        <v>269059285</v>
      </c>
      <c r="H154">
        <v>136483546</v>
      </c>
      <c r="I154">
        <f t="shared" si="18"/>
        <v>0.55578190881897416</v>
      </c>
      <c r="J154">
        <f t="shared" si="19"/>
        <v>0.50723193798496768</v>
      </c>
      <c r="K154">
        <f t="shared" si="20"/>
        <v>-0.40293911176487562</v>
      </c>
      <c r="L154">
        <f t="shared" si="21"/>
        <v>4.4679515295691328</v>
      </c>
      <c r="M154">
        <f t="shared" si="22"/>
        <v>4.2758881297227145</v>
      </c>
      <c r="N154">
        <f t="shared" si="23"/>
        <v>-3.2779420291871224</v>
      </c>
      <c r="O154">
        <f t="shared" si="24"/>
        <v>81.223805532271584</v>
      </c>
      <c r="P154">
        <f t="shared" si="25"/>
        <v>77.954735959765301</v>
      </c>
      <c r="Q154">
        <f t="shared" si="26"/>
        <v>2.1793797150041909</v>
      </c>
    </row>
    <row r="155" spans="1:17" x14ac:dyDescent="0.3">
      <c r="A155">
        <v>51018443</v>
      </c>
      <c r="B155" t="str">
        <f>VLOOKUP(A155,ASESORES!$A$2:$B$993,2,0)</f>
        <v>CICHETTO</v>
      </c>
      <c r="C155">
        <v>55182828.130000003</v>
      </c>
      <c r="D155">
        <v>66437047.509999998</v>
      </c>
      <c r="E155">
        <v>88540207.680000007</v>
      </c>
      <c r="F155">
        <v>87074079</v>
      </c>
      <c r="G155">
        <v>101232139</v>
      </c>
      <c r="H155">
        <v>136407425</v>
      </c>
      <c r="I155">
        <f t="shared" si="18"/>
        <v>0.57791983395396884</v>
      </c>
      <c r="J155">
        <f t="shared" si="19"/>
        <v>0.52373024982428218</v>
      </c>
      <c r="K155">
        <f t="shared" si="20"/>
        <v>0.54062689228153382</v>
      </c>
      <c r="L155">
        <f t="shared" si="21"/>
        <v>4.5886192686528648</v>
      </c>
      <c r="M155">
        <f t="shared" si="22"/>
        <v>4.1926274125924428</v>
      </c>
      <c r="N155">
        <f t="shared" si="23"/>
        <v>4.3979121929423783</v>
      </c>
      <c r="O155">
        <f t="shared" si="24"/>
        <v>82.648784576697395</v>
      </c>
      <c r="P155">
        <f t="shared" si="25"/>
        <v>77.032690695725066</v>
      </c>
      <c r="Q155">
        <f t="shared" si="26"/>
        <v>87.259010896898573</v>
      </c>
    </row>
    <row r="156" spans="1:17" x14ac:dyDescent="0.3">
      <c r="A156">
        <v>51023757</v>
      </c>
      <c r="B156" t="str">
        <f>VLOOKUP(A156,ASESORES!$A$2:$B$993,2,0)</f>
        <v>LÓPEZ</v>
      </c>
      <c r="C156">
        <v>44052777.809999987</v>
      </c>
      <c r="D156">
        <v>59917453.280000001</v>
      </c>
      <c r="E156">
        <v>67986663.829999998</v>
      </c>
      <c r="F156">
        <v>79822074</v>
      </c>
      <c r="G156">
        <v>115123981</v>
      </c>
      <c r="H156">
        <v>136376522</v>
      </c>
      <c r="I156">
        <f t="shared" si="18"/>
        <v>0.81196460173915241</v>
      </c>
      <c r="J156">
        <f t="shared" si="19"/>
        <v>0.92137640533576426</v>
      </c>
      <c r="K156">
        <f t="shared" si="20"/>
        <v>1.0059304916183001</v>
      </c>
      <c r="L156">
        <f t="shared" si="21"/>
        <v>6.4162441609025622</v>
      </c>
      <c r="M156">
        <f t="shared" si="22"/>
        <v>7.4273679668267087</v>
      </c>
      <c r="N156">
        <f t="shared" si="23"/>
        <v>8.1829826155478731</v>
      </c>
      <c r="O156">
        <f t="shared" si="24"/>
        <v>92.120704107292539</v>
      </c>
      <c r="P156">
        <f t="shared" si="25"/>
        <v>94.719195305951388</v>
      </c>
      <c r="Q156">
        <f t="shared" si="26"/>
        <v>97.233864207879293</v>
      </c>
    </row>
    <row r="157" spans="1:17" x14ac:dyDescent="0.3">
      <c r="A157">
        <v>51055357</v>
      </c>
      <c r="B157" t="str">
        <f>VLOOKUP(A157,ASESORES!$A$2:$B$993,2,0)</f>
        <v>PRADES</v>
      </c>
      <c r="C157">
        <v>54077335.190000013</v>
      </c>
      <c r="D157">
        <v>70693983.269999996</v>
      </c>
      <c r="E157">
        <v>89650449.969999999</v>
      </c>
      <c r="F157">
        <v>72147920</v>
      </c>
      <c r="G157">
        <v>100459228</v>
      </c>
      <c r="H157">
        <v>135874112</v>
      </c>
      <c r="I157">
        <f t="shared" si="18"/>
        <v>0.3341618951175982</v>
      </c>
      <c r="J157">
        <f t="shared" si="19"/>
        <v>0.42104353656687099</v>
      </c>
      <c r="K157">
        <f t="shared" si="20"/>
        <v>0.51559877329637449</v>
      </c>
      <c r="L157">
        <f t="shared" si="21"/>
        <v>2.6259189622946013</v>
      </c>
      <c r="M157">
        <f t="shared" si="22"/>
        <v>3.3691861002939514</v>
      </c>
      <c r="N157">
        <f t="shared" si="23"/>
        <v>4.1934353152592312</v>
      </c>
      <c r="O157">
        <f t="shared" si="24"/>
        <v>57.75356244761106</v>
      </c>
      <c r="P157">
        <f t="shared" si="25"/>
        <v>68.231349538977369</v>
      </c>
      <c r="Q157">
        <f t="shared" si="26"/>
        <v>86.001676445934621</v>
      </c>
    </row>
    <row r="158" spans="1:17" x14ac:dyDescent="0.3">
      <c r="A158">
        <v>51021576</v>
      </c>
      <c r="B158" t="str">
        <f>VLOOKUP(A158,ASESORES!$A$2:$B$993,2,0)</f>
        <v>PUGH</v>
      </c>
      <c r="C158">
        <v>71462173.569999993</v>
      </c>
      <c r="D158">
        <v>88362754.560000002</v>
      </c>
      <c r="E158">
        <v>115198642.38</v>
      </c>
      <c r="F158">
        <v>97206027</v>
      </c>
      <c r="G158">
        <v>110323473</v>
      </c>
      <c r="H158">
        <v>135860568</v>
      </c>
      <c r="I158">
        <f t="shared" si="18"/>
        <v>0.36024447821731731</v>
      </c>
      <c r="J158">
        <f t="shared" si="19"/>
        <v>0.24852912914895886</v>
      </c>
      <c r="K158">
        <f t="shared" si="20"/>
        <v>0.17935910695755908</v>
      </c>
      <c r="L158">
        <f t="shared" si="21"/>
        <v>2.8775223664831588</v>
      </c>
      <c r="M158">
        <f t="shared" si="22"/>
        <v>1.9988372554445739</v>
      </c>
      <c r="N158">
        <f t="shared" si="23"/>
        <v>1.4587443736786583</v>
      </c>
      <c r="O158">
        <f t="shared" si="24"/>
        <v>61.274098910310137</v>
      </c>
      <c r="P158">
        <f t="shared" si="25"/>
        <v>48.449287510477788</v>
      </c>
      <c r="Q158">
        <f t="shared" si="26"/>
        <v>51.466890192791283</v>
      </c>
    </row>
    <row r="159" spans="1:17" x14ac:dyDescent="0.3">
      <c r="A159">
        <v>51018591</v>
      </c>
      <c r="B159" t="str">
        <f>VLOOKUP(A159,ASESORES!$A$2:$B$993,2,0)</f>
        <v>ARGUELLO</v>
      </c>
      <c r="C159">
        <v>63943699.260000013</v>
      </c>
      <c r="D159">
        <v>88641460.650000006</v>
      </c>
      <c r="E159">
        <v>106213795.03</v>
      </c>
      <c r="F159">
        <v>87014923</v>
      </c>
      <c r="G159">
        <v>101445921</v>
      </c>
      <c r="H159">
        <v>135776960</v>
      </c>
      <c r="I159">
        <f t="shared" si="18"/>
        <v>0.36080527099614002</v>
      </c>
      <c r="J159">
        <f t="shared" si="19"/>
        <v>0.14445227161314822</v>
      </c>
      <c r="K159">
        <f t="shared" si="20"/>
        <v>0.27833639652598707</v>
      </c>
      <c r="L159">
        <f t="shared" si="21"/>
        <v>2.8646472710370943</v>
      </c>
      <c r="M159">
        <f t="shared" si="22"/>
        <v>1.1565187734980282</v>
      </c>
      <c r="N159">
        <f t="shared" si="23"/>
        <v>2.2636615048861111</v>
      </c>
      <c r="O159">
        <f t="shared" si="24"/>
        <v>60.93880972338642</v>
      </c>
      <c r="P159">
        <f t="shared" si="25"/>
        <v>37.133277451802179</v>
      </c>
      <c r="Q159">
        <f t="shared" si="26"/>
        <v>62.782900251466891</v>
      </c>
    </row>
    <row r="160" spans="1:17" x14ac:dyDescent="0.3">
      <c r="A160">
        <v>51023471</v>
      </c>
      <c r="B160" t="str">
        <f>VLOOKUP(A160,ASESORES!$A$2:$B$993,2,0)</f>
        <v>BELUZZO</v>
      </c>
      <c r="C160">
        <v>55449394.049999997</v>
      </c>
      <c r="D160">
        <v>61869493.5</v>
      </c>
      <c r="E160">
        <v>85689637.859999999</v>
      </c>
      <c r="F160">
        <v>80326700</v>
      </c>
      <c r="G160">
        <v>116981325</v>
      </c>
      <c r="H160">
        <v>135716141</v>
      </c>
      <c r="I160">
        <f t="shared" si="18"/>
        <v>0.44864883334103811</v>
      </c>
      <c r="J160">
        <f t="shared" si="19"/>
        <v>0.89077554029111283</v>
      </c>
      <c r="K160">
        <f t="shared" si="20"/>
        <v>0.58381041616412777</v>
      </c>
      <c r="L160">
        <f t="shared" si="21"/>
        <v>3.5465061833195959</v>
      </c>
      <c r="M160">
        <f t="shared" si="22"/>
        <v>7.1868808666051178</v>
      </c>
      <c r="N160">
        <f t="shared" si="23"/>
        <v>4.747914981848667</v>
      </c>
      <c r="O160">
        <f t="shared" si="24"/>
        <v>71.751886001676439</v>
      </c>
      <c r="P160">
        <f t="shared" si="25"/>
        <v>94.300083822296727</v>
      </c>
      <c r="Q160">
        <f t="shared" si="26"/>
        <v>89.773679798826493</v>
      </c>
    </row>
    <row r="161" spans="1:17" x14ac:dyDescent="0.3">
      <c r="A161">
        <v>51031393</v>
      </c>
      <c r="B161" t="str">
        <f>VLOOKUP(A161,ASESORES!$A$2:$B$993,2,0)</f>
        <v>PUGH</v>
      </c>
      <c r="C161">
        <v>64365454.700000003</v>
      </c>
      <c r="D161">
        <v>65373899.409999996</v>
      </c>
      <c r="E161">
        <v>112797548.05</v>
      </c>
      <c r="F161">
        <v>77305291</v>
      </c>
      <c r="G161">
        <v>114133449</v>
      </c>
      <c r="H161">
        <v>135498416</v>
      </c>
      <c r="I161">
        <f t="shared" si="18"/>
        <v>0.20103697488522521</v>
      </c>
      <c r="J161">
        <f t="shared" si="19"/>
        <v>0.74585652729996776</v>
      </c>
      <c r="K161">
        <f t="shared" si="20"/>
        <v>0.2012532040141275</v>
      </c>
      <c r="L161">
        <f t="shared" si="21"/>
        <v>1.5858217187136199</v>
      </c>
      <c r="M161">
        <f t="shared" si="22"/>
        <v>6.0096740355050704</v>
      </c>
      <c r="N161">
        <f t="shared" si="23"/>
        <v>1.6365778162573932</v>
      </c>
      <c r="O161">
        <f t="shared" si="24"/>
        <v>41.156747694886839</v>
      </c>
      <c r="P161">
        <f t="shared" si="25"/>
        <v>90.863369656328587</v>
      </c>
      <c r="Q161">
        <f t="shared" si="26"/>
        <v>54.149203688181061</v>
      </c>
    </row>
    <row r="162" spans="1:17" x14ac:dyDescent="0.3">
      <c r="A162">
        <v>51025971</v>
      </c>
      <c r="B162" t="str">
        <f>VLOOKUP(A162,ASESORES!$A$2:$B$993,2,0)</f>
        <v>LÓPEZ</v>
      </c>
      <c r="C162">
        <v>100735264.03</v>
      </c>
      <c r="D162">
        <v>89228274.900000006</v>
      </c>
      <c r="E162">
        <v>92668783.050000012</v>
      </c>
      <c r="F162">
        <v>69388100</v>
      </c>
      <c r="G162">
        <v>122154425</v>
      </c>
      <c r="H162">
        <v>135348680</v>
      </c>
      <c r="I162">
        <f t="shared" si="18"/>
        <v>-0.31118361908164049</v>
      </c>
      <c r="J162">
        <f t="shared" si="19"/>
        <v>0.36901027322226065</v>
      </c>
      <c r="K162">
        <f t="shared" si="20"/>
        <v>0.46056390885128806</v>
      </c>
      <c r="L162">
        <f t="shared" si="21"/>
        <v>-2.4400794432148003</v>
      </c>
      <c r="M162">
        <f t="shared" si="22"/>
        <v>2.9841525748014019</v>
      </c>
      <c r="N162">
        <f t="shared" si="23"/>
        <v>3.7450542502289346</v>
      </c>
      <c r="O162">
        <f t="shared" si="24"/>
        <v>4.2749371332774517</v>
      </c>
      <c r="P162">
        <f t="shared" si="25"/>
        <v>63.118189438390615</v>
      </c>
      <c r="Q162">
        <f t="shared" si="26"/>
        <v>81.894383906119032</v>
      </c>
    </row>
    <row r="163" spans="1:17" x14ac:dyDescent="0.3">
      <c r="A163">
        <v>51020880</v>
      </c>
      <c r="B163" t="str">
        <f>VLOOKUP(A163,ASESORES!$A$2:$B$993,2,0)</f>
        <v>MONTENEGRO</v>
      </c>
      <c r="C163">
        <v>46402598.299999997</v>
      </c>
      <c r="D163">
        <v>67063899.979999997</v>
      </c>
      <c r="E163">
        <v>85866704.079999998</v>
      </c>
      <c r="F163">
        <v>73442881</v>
      </c>
      <c r="G163">
        <v>93700827</v>
      </c>
      <c r="H163">
        <v>135197445</v>
      </c>
      <c r="I163">
        <f t="shared" si="18"/>
        <v>0.58273208162138634</v>
      </c>
      <c r="J163">
        <f t="shared" si="19"/>
        <v>0.39718726510005764</v>
      </c>
      <c r="K163">
        <f t="shared" si="20"/>
        <v>0.57450372002213701</v>
      </c>
      <c r="L163">
        <f t="shared" si="21"/>
        <v>4.5837412454822699</v>
      </c>
      <c r="M163">
        <f t="shared" si="22"/>
        <v>3.166274968646638</v>
      </c>
      <c r="N163">
        <f t="shared" si="23"/>
        <v>4.6712716415911517</v>
      </c>
      <c r="O163">
        <f t="shared" si="24"/>
        <v>82.564962279966466</v>
      </c>
      <c r="P163">
        <f t="shared" si="25"/>
        <v>65.297569153394804</v>
      </c>
      <c r="Q163">
        <f t="shared" si="26"/>
        <v>89.438390611902761</v>
      </c>
    </row>
    <row r="164" spans="1:17" x14ac:dyDescent="0.3">
      <c r="A164">
        <v>51023056</v>
      </c>
      <c r="B164" t="str">
        <f>VLOOKUP(A164,ASESORES!$A$2:$B$993,2,0)</f>
        <v>MONTENEGRO</v>
      </c>
      <c r="C164">
        <v>45831814.020000003</v>
      </c>
      <c r="D164">
        <v>64670731.780000001</v>
      </c>
      <c r="E164">
        <v>90384454.299999997</v>
      </c>
      <c r="F164">
        <v>71464166</v>
      </c>
      <c r="G164">
        <v>101765534</v>
      </c>
      <c r="H164">
        <v>135139243</v>
      </c>
      <c r="I164">
        <f t="shared" si="18"/>
        <v>0.55926985497049264</v>
      </c>
      <c r="J164">
        <f t="shared" si="19"/>
        <v>0.57359490451091344</v>
      </c>
      <c r="K164">
        <f t="shared" si="20"/>
        <v>0.49516024682133875</v>
      </c>
      <c r="L164">
        <f t="shared" si="21"/>
        <v>4.3925548411212691</v>
      </c>
      <c r="M164">
        <f t="shared" si="22"/>
        <v>4.5931189679631172</v>
      </c>
      <c r="N164">
        <f t="shared" si="23"/>
        <v>4.0260397653977167</v>
      </c>
      <c r="O164">
        <f t="shared" si="24"/>
        <v>80.55322715842415</v>
      </c>
      <c r="P164">
        <f t="shared" si="25"/>
        <v>80.972338642078796</v>
      </c>
      <c r="Q164">
        <f t="shared" si="26"/>
        <v>84.157585917854149</v>
      </c>
    </row>
    <row r="165" spans="1:17" x14ac:dyDescent="0.3">
      <c r="A165">
        <v>51022688</v>
      </c>
      <c r="B165" t="str">
        <f>VLOOKUP(A165,ASESORES!$A$2:$B$993,2,0)</f>
        <v>NELLI</v>
      </c>
      <c r="C165">
        <v>60190928.560000002</v>
      </c>
      <c r="D165">
        <v>82031378.670000002</v>
      </c>
      <c r="E165">
        <v>104112813.34</v>
      </c>
      <c r="F165">
        <v>78820479</v>
      </c>
      <c r="G165">
        <v>113261236</v>
      </c>
      <c r="H165">
        <v>134797072</v>
      </c>
      <c r="I165">
        <f t="shared" si="18"/>
        <v>0.3095076099620151</v>
      </c>
      <c r="J165">
        <f t="shared" si="19"/>
        <v>0.38070623505711221</v>
      </c>
      <c r="K165">
        <f t="shared" si="20"/>
        <v>0.29472125164646901</v>
      </c>
      <c r="L165">
        <f t="shared" si="21"/>
        <v>2.4440698852230542</v>
      </c>
      <c r="M165">
        <f t="shared" si="22"/>
        <v>3.0662389673089874</v>
      </c>
      <c r="N165">
        <f t="shared" si="23"/>
        <v>2.3959896002906347</v>
      </c>
      <c r="O165">
        <f t="shared" si="24"/>
        <v>54.819782062028501</v>
      </c>
      <c r="P165">
        <f t="shared" si="25"/>
        <v>64.040234702430837</v>
      </c>
      <c r="Q165">
        <f t="shared" si="26"/>
        <v>65.046102263202016</v>
      </c>
    </row>
    <row r="166" spans="1:17" x14ac:dyDescent="0.3">
      <c r="A166">
        <v>51012747</v>
      </c>
      <c r="B166" t="str">
        <f>VLOOKUP(A166,ASESORES!$A$2:$B$993,2,0)</f>
        <v>ROBERTS</v>
      </c>
      <c r="C166">
        <v>93984224.310000002</v>
      </c>
      <c r="D166">
        <v>115345755.84999999</v>
      </c>
      <c r="E166">
        <v>156019086.19999999</v>
      </c>
      <c r="F166">
        <v>122016977</v>
      </c>
      <c r="G166">
        <v>120721319</v>
      </c>
      <c r="H166">
        <v>134158423</v>
      </c>
      <c r="I166">
        <f t="shared" si="18"/>
        <v>0.29827083104432539</v>
      </c>
      <c r="J166">
        <f t="shared" si="19"/>
        <v>4.6603909353982509E-2</v>
      </c>
      <c r="K166">
        <f t="shared" si="20"/>
        <v>-0.14011531366090002</v>
      </c>
      <c r="L166">
        <f t="shared" si="21"/>
        <v>2.411943291433845</v>
      </c>
      <c r="M166">
        <f t="shared" si="22"/>
        <v>0.37664272764447199</v>
      </c>
      <c r="N166">
        <f t="shared" si="23"/>
        <v>-1.1388037376237059</v>
      </c>
      <c r="O166">
        <f t="shared" si="24"/>
        <v>54.23302598491199</v>
      </c>
      <c r="P166">
        <f t="shared" si="25"/>
        <v>29.756915339480301</v>
      </c>
      <c r="Q166">
        <f t="shared" si="26"/>
        <v>6.873428331936295</v>
      </c>
    </row>
    <row r="167" spans="1:17" x14ac:dyDescent="0.3">
      <c r="A167">
        <v>51032900</v>
      </c>
      <c r="B167" t="str">
        <f>VLOOKUP(A167,ASESORES!$A$2:$B$993,2,0)</f>
        <v>MONTENEGRO</v>
      </c>
      <c r="C167">
        <v>107487629.47</v>
      </c>
      <c r="D167">
        <v>108415630.33</v>
      </c>
      <c r="E167">
        <v>102339605.36</v>
      </c>
      <c r="F167">
        <v>125023071</v>
      </c>
      <c r="G167">
        <v>127463749</v>
      </c>
      <c r="H167">
        <v>134030366</v>
      </c>
      <c r="I167">
        <f t="shared" si="18"/>
        <v>0.16313915951504154</v>
      </c>
      <c r="J167">
        <f t="shared" si="19"/>
        <v>0.17569531821214834</v>
      </c>
      <c r="K167">
        <f t="shared" si="20"/>
        <v>0.30966272078655588</v>
      </c>
      <c r="L167">
        <f t="shared" si="21"/>
        <v>1.3209361697078463</v>
      </c>
      <c r="M167">
        <f t="shared" si="22"/>
        <v>1.4240784933673871</v>
      </c>
      <c r="N167">
        <f t="shared" si="23"/>
        <v>2.5166918563904805</v>
      </c>
      <c r="O167">
        <f t="shared" si="24"/>
        <v>37.384744341994967</v>
      </c>
      <c r="P167">
        <f t="shared" si="25"/>
        <v>40.569991617770327</v>
      </c>
      <c r="Q167">
        <f t="shared" si="26"/>
        <v>66.13579212070411</v>
      </c>
    </row>
    <row r="168" spans="1:17" x14ac:dyDescent="0.3">
      <c r="A168">
        <v>51056434</v>
      </c>
      <c r="B168" t="str">
        <f>VLOOKUP(A168,ASESORES!$A$2:$B$993,2,0)</f>
        <v>MONTENEGRO</v>
      </c>
      <c r="C168">
        <v>45903423.740000002</v>
      </c>
      <c r="D168">
        <v>69575655.039999992</v>
      </c>
      <c r="E168">
        <v>98588224.430000007</v>
      </c>
      <c r="F168">
        <v>88838311</v>
      </c>
      <c r="G168">
        <v>119049585</v>
      </c>
      <c r="H168">
        <v>133967428</v>
      </c>
      <c r="I168">
        <f t="shared" si="18"/>
        <v>0.93533082637116594</v>
      </c>
      <c r="J168">
        <f t="shared" si="19"/>
        <v>0.71108105172070268</v>
      </c>
      <c r="K168">
        <f t="shared" si="20"/>
        <v>0.35885830964650411</v>
      </c>
      <c r="L168">
        <f t="shared" si="21"/>
        <v>7.4345708806568531</v>
      </c>
      <c r="M168">
        <f t="shared" si="22"/>
        <v>5.7424970784576521</v>
      </c>
      <c r="N168">
        <f t="shared" si="23"/>
        <v>2.9164412024309749</v>
      </c>
      <c r="O168">
        <f t="shared" si="24"/>
        <v>94.467728415758586</v>
      </c>
      <c r="P168">
        <f t="shared" si="25"/>
        <v>89.941324392288351</v>
      </c>
      <c r="Q168">
        <f t="shared" si="26"/>
        <v>72.422464375523887</v>
      </c>
    </row>
    <row r="169" spans="1:17" x14ac:dyDescent="0.3">
      <c r="A169">
        <v>51019261</v>
      </c>
      <c r="B169" t="str">
        <f>VLOOKUP(A169,ASESORES!$A$2:$B$993,2,0)</f>
        <v>PRADES</v>
      </c>
      <c r="C169">
        <v>126772126.3</v>
      </c>
      <c r="D169">
        <v>203594366.56</v>
      </c>
      <c r="E169">
        <v>198253090.15000001</v>
      </c>
      <c r="F169">
        <v>143709805</v>
      </c>
      <c r="G169">
        <v>167175651</v>
      </c>
      <c r="H169">
        <v>133722220</v>
      </c>
      <c r="I169">
        <f t="shared" si="18"/>
        <v>0.13360727783265092</v>
      </c>
      <c r="J169">
        <f t="shared" si="19"/>
        <v>-0.17887879795174622</v>
      </c>
      <c r="K169">
        <f t="shared" si="20"/>
        <v>-0.3254974240309465</v>
      </c>
      <c r="L169">
        <f t="shared" si="21"/>
        <v>1.0898995518729715</v>
      </c>
      <c r="M169">
        <f t="shared" si="22"/>
        <v>-1.4709513057150485</v>
      </c>
      <c r="N169">
        <f t="shared" si="23"/>
        <v>-2.6450583317752612</v>
      </c>
      <c r="O169">
        <f t="shared" si="24"/>
        <v>33.86420787929589</v>
      </c>
      <c r="P169">
        <f t="shared" si="25"/>
        <v>5.3646269907795476</v>
      </c>
      <c r="Q169">
        <f t="shared" si="26"/>
        <v>3.2690695725062868</v>
      </c>
    </row>
    <row r="170" spans="1:17" x14ac:dyDescent="0.3">
      <c r="A170">
        <v>51018486</v>
      </c>
      <c r="B170" t="str">
        <f>VLOOKUP(A170,ASESORES!$A$2:$B$993,2,0)</f>
        <v>ROBERTS</v>
      </c>
      <c r="C170">
        <v>51661596.899999999</v>
      </c>
      <c r="D170">
        <v>63805766.75</v>
      </c>
      <c r="E170">
        <v>92817069.140000001</v>
      </c>
      <c r="F170">
        <v>72703579</v>
      </c>
      <c r="G170">
        <v>100435474</v>
      </c>
      <c r="H170">
        <v>133658163</v>
      </c>
      <c r="I170">
        <f t="shared" si="18"/>
        <v>0.40730413619870132</v>
      </c>
      <c r="J170">
        <f t="shared" si="19"/>
        <v>0.57408145244175746</v>
      </c>
      <c r="K170">
        <f t="shared" si="20"/>
        <v>0.44001705977590833</v>
      </c>
      <c r="L170">
        <f t="shared" si="21"/>
        <v>3.2020441904375532</v>
      </c>
      <c r="M170">
        <f t="shared" si="22"/>
        <v>4.5937349878976281</v>
      </c>
      <c r="N170">
        <f t="shared" si="23"/>
        <v>3.5755766423284459</v>
      </c>
      <c r="O170">
        <f t="shared" si="24"/>
        <v>67.309304274937134</v>
      </c>
      <c r="P170">
        <f t="shared" si="25"/>
        <v>81.056160938809711</v>
      </c>
      <c r="Q170">
        <f t="shared" si="26"/>
        <v>80.05029337803856</v>
      </c>
    </row>
    <row r="171" spans="1:17" x14ac:dyDescent="0.3">
      <c r="A171">
        <v>51005732</v>
      </c>
      <c r="B171" t="str">
        <f>VLOOKUP(A171,ASESORES!$A$2:$B$993,2,0)</f>
        <v>BELUZZO</v>
      </c>
      <c r="C171">
        <v>73151102.289999992</v>
      </c>
      <c r="D171">
        <v>87250471.349999994</v>
      </c>
      <c r="E171">
        <v>101268409.68000001</v>
      </c>
      <c r="F171">
        <v>91621117</v>
      </c>
      <c r="G171">
        <v>106652012</v>
      </c>
      <c r="H171">
        <v>133389612</v>
      </c>
      <c r="I171">
        <f t="shared" si="18"/>
        <v>0.25249126987557258</v>
      </c>
      <c r="J171">
        <f t="shared" si="19"/>
        <v>0.22236602679396311</v>
      </c>
      <c r="K171">
        <f t="shared" si="20"/>
        <v>0.31718877013572544</v>
      </c>
      <c r="L171">
        <f t="shared" si="21"/>
        <v>2.0103343752880689</v>
      </c>
      <c r="M171">
        <f t="shared" si="22"/>
        <v>1.7851475815111548</v>
      </c>
      <c r="N171">
        <f t="shared" si="23"/>
        <v>2.5771974573294423</v>
      </c>
      <c r="O171">
        <f t="shared" si="24"/>
        <v>46.940486169321041</v>
      </c>
      <c r="P171">
        <f t="shared" si="25"/>
        <v>45.347862531433364</v>
      </c>
      <c r="Q171">
        <f t="shared" si="26"/>
        <v>66.974015088013417</v>
      </c>
    </row>
    <row r="172" spans="1:17" x14ac:dyDescent="0.3">
      <c r="A172">
        <v>51039785</v>
      </c>
      <c r="B172" t="str">
        <f>VLOOKUP(A172,ASESORES!$A$2:$B$993,2,0)</f>
        <v>MONTENEGRO</v>
      </c>
      <c r="C172">
        <v>43565860.979999997</v>
      </c>
      <c r="D172">
        <v>50350519.859999999</v>
      </c>
      <c r="E172">
        <v>61209556.719999999</v>
      </c>
      <c r="F172">
        <v>69260108</v>
      </c>
      <c r="G172">
        <v>98283572</v>
      </c>
      <c r="H172">
        <v>132944877</v>
      </c>
      <c r="I172">
        <f t="shared" si="18"/>
        <v>0.58977939244206823</v>
      </c>
      <c r="J172">
        <f t="shared" si="19"/>
        <v>0.9519872341592146</v>
      </c>
      <c r="K172">
        <f t="shared" si="20"/>
        <v>1.1719627477151904</v>
      </c>
      <c r="L172">
        <f t="shared" si="21"/>
        <v>4.6241553971676499</v>
      </c>
      <c r="M172">
        <f t="shared" si="22"/>
        <v>7.6087398165376641</v>
      </c>
      <c r="N172">
        <f t="shared" si="23"/>
        <v>9.5206404975516055</v>
      </c>
      <c r="O172">
        <f t="shared" si="24"/>
        <v>82.984073763621126</v>
      </c>
      <c r="P172">
        <f t="shared" si="25"/>
        <v>95.054484492875105</v>
      </c>
      <c r="Q172">
        <f t="shared" si="26"/>
        <v>98.239731768650458</v>
      </c>
    </row>
    <row r="173" spans="1:17" x14ac:dyDescent="0.3">
      <c r="A173">
        <v>51025865</v>
      </c>
      <c r="B173" t="str">
        <f>VLOOKUP(A173,ASESORES!$A$2:$B$993,2,0)</f>
        <v>METTLER</v>
      </c>
      <c r="C173">
        <v>62643733.75</v>
      </c>
      <c r="D173">
        <v>83122138.530000001</v>
      </c>
      <c r="E173">
        <v>95833868.379999995</v>
      </c>
      <c r="F173">
        <v>102223338</v>
      </c>
      <c r="G173">
        <v>120814852</v>
      </c>
      <c r="H173">
        <v>132814079</v>
      </c>
      <c r="I173">
        <f t="shared" si="18"/>
        <v>0.63182064479034983</v>
      </c>
      <c r="J173">
        <f t="shared" si="19"/>
        <v>0.45346178691488004</v>
      </c>
      <c r="K173">
        <f t="shared" si="20"/>
        <v>0.38587830424799563</v>
      </c>
      <c r="L173">
        <f t="shared" si="21"/>
        <v>5.0605990823150844</v>
      </c>
      <c r="M173">
        <f t="shared" si="22"/>
        <v>3.6649327251866568</v>
      </c>
      <c r="N173">
        <f t="shared" si="23"/>
        <v>3.1345836640891966</v>
      </c>
      <c r="O173">
        <f t="shared" si="24"/>
        <v>85.750209555741833</v>
      </c>
      <c r="P173">
        <f t="shared" si="25"/>
        <v>71.500419111483666</v>
      </c>
      <c r="Q173">
        <f t="shared" si="26"/>
        <v>75.943000838222957</v>
      </c>
    </row>
    <row r="174" spans="1:17" x14ac:dyDescent="0.3">
      <c r="A174">
        <v>51015657</v>
      </c>
      <c r="B174" t="str">
        <f>VLOOKUP(A174,ASESORES!$A$2:$B$993,2,0)</f>
        <v>METTLER</v>
      </c>
      <c r="C174">
        <v>64288976.760000013</v>
      </c>
      <c r="D174">
        <v>77635055.950000003</v>
      </c>
      <c r="E174">
        <v>89366507.109999999</v>
      </c>
      <c r="F174">
        <v>75915615</v>
      </c>
      <c r="G174">
        <v>108476293</v>
      </c>
      <c r="H174">
        <v>132805148</v>
      </c>
      <c r="I174">
        <f t="shared" si="18"/>
        <v>0.18084963901982598</v>
      </c>
      <c r="J174">
        <f t="shared" si="19"/>
        <v>0.39725915918529076</v>
      </c>
      <c r="K174">
        <f t="shared" si="20"/>
        <v>0.48607294046450722</v>
      </c>
      <c r="L174">
        <f t="shared" si="21"/>
        <v>1.4251550374396744</v>
      </c>
      <c r="M174">
        <f t="shared" si="22"/>
        <v>3.1921103605120984</v>
      </c>
      <c r="N174">
        <f t="shared" si="23"/>
        <v>3.9484749574053581</v>
      </c>
      <c r="O174">
        <f t="shared" si="24"/>
        <v>39.06119027661358</v>
      </c>
      <c r="P174">
        <f t="shared" si="25"/>
        <v>65.632858340318521</v>
      </c>
      <c r="Q174">
        <f t="shared" si="26"/>
        <v>83.235540653813914</v>
      </c>
    </row>
    <row r="175" spans="1:17" x14ac:dyDescent="0.3">
      <c r="A175">
        <v>51001168</v>
      </c>
      <c r="B175" t="str">
        <f>VLOOKUP(A175,ASESORES!$A$2:$B$993,2,0)</f>
        <v>ROBERTS</v>
      </c>
      <c r="C175">
        <v>58370070.150000013</v>
      </c>
      <c r="D175">
        <v>63354022.170000002</v>
      </c>
      <c r="E175">
        <v>83655896.829999998</v>
      </c>
      <c r="F175">
        <v>71769531</v>
      </c>
      <c r="G175">
        <v>94974292</v>
      </c>
      <c r="H175">
        <v>131795807</v>
      </c>
      <c r="I175">
        <f t="shared" si="18"/>
        <v>0.2295604719262101</v>
      </c>
      <c r="J175">
        <f t="shared" si="19"/>
        <v>0.49910437801647789</v>
      </c>
      <c r="K175">
        <f t="shared" si="20"/>
        <v>0.57545148631693888</v>
      </c>
      <c r="L175">
        <f t="shared" si="21"/>
        <v>1.8034133186649985</v>
      </c>
      <c r="M175">
        <f t="shared" si="22"/>
        <v>3.9816581129955271</v>
      </c>
      <c r="N175">
        <f t="shared" si="23"/>
        <v>4.6726094408271628</v>
      </c>
      <c r="O175">
        <f t="shared" si="24"/>
        <v>44.425817267393128</v>
      </c>
      <c r="P175">
        <f t="shared" si="25"/>
        <v>75.188600167644594</v>
      </c>
      <c r="Q175">
        <f t="shared" si="26"/>
        <v>89.522212908633691</v>
      </c>
    </row>
    <row r="176" spans="1:17" x14ac:dyDescent="0.3">
      <c r="A176">
        <v>51021380</v>
      </c>
      <c r="B176" t="str">
        <f>VLOOKUP(A176,ASESORES!$A$2:$B$993,2,0)</f>
        <v>LÓPEZ</v>
      </c>
      <c r="C176">
        <v>69646272.49000001</v>
      </c>
      <c r="D176">
        <v>69479376.650000006</v>
      </c>
      <c r="E176">
        <v>83576636.739999995</v>
      </c>
      <c r="F176">
        <v>89294022</v>
      </c>
      <c r="G176">
        <v>117632185</v>
      </c>
      <c r="H176">
        <v>130287199</v>
      </c>
      <c r="I176">
        <f t="shared" si="18"/>
        <v>0.28210769661536528</v>
      </c>
      <c r="J176">
        <f t="shared" si="19"/>
        <v>0.69305181870827837</v>
      </c>
      <c r="K176">
        <f t="shared" si="20"/>
        <v>0.55889497450480929</v>
      </c>
      <c r="L176">
        <f t="shared" si="21"/>
        <v>2.2429881892268595</v>
      </c>
      <c r="M176">
        <f t="shared" si="22"/>
        <v>5.5932928359268637</v>
      </c>
      <c r="N176">
        <f t="shared" si="23"/>
        <v>4.5353778052408744</v>
      </c>
      <c r="O176">
        <f t="shared" si="24"/>
        <v>51.131601005867566</v>
      </c>
      <c r="P176">
        <f t="shared" si="25"/>
        <v>89.019279128248115</v>
      </c>
      <c r="Q176">
        <f t="shared" si="26"/>
        <v>88.600167644593469</v>
      </c>
    </row>
    <row r="177" spans="1:17" x14ac:dyDescent="0.3">
      <c r="A177">
        <v>51011970</v>
      </c>
      <c r="B177" t="str">
        <f>VLOOKUP(A177,ASESORES!$A$2:$B$993,2,0)</f>
        <v>ROBERTS</v>
      </c>
      <c r="C177">
        <v>66114537.670000002</v>
      </c>
      <c r="D177">
        <v>83211036.080000013</v>
      </c>
      <c r="E177">
        <v>103649666.95</v>
      </c>
      <c r="F177">
        <v>85844136</v>
      </c>
      <c r="G177">
        <v>113908818</v>
      </c>
      <c r="H177">
        <v>129174421</v>
      </c>
      <c r="I177">
        <f t="shared" si="18"/>
        <v>0.29841543214711863</v>
      </c>
      <c r="J177">
        <f t="shared" si="19"/>
        <v>0.36891479022670493</v>
      </c>
      <c r="K177">
        <f t="shared" si="20"/>
        <v>0.24625987522287929</v>
      </c>
      <c r="L177">
        <f t="shared" si="21"/>
        <v>2.36754168735128</v>
      </c>
      <c r="M177">
        <f t="shared" si="22"/>
        <v>2.9721831630019322</v>
      </c>
      <c r="N177">
        <f t="shared" si="23"/>
        <v>1.9974573186072846</v>
      </c>
      <c r="O177">
        <f t="shared" si="24"/>
        <v>53.562447611064542</v>
      </c>
      <c r="P177">
        <f t="shared" si="25"/>
        <v>62.866722548197821</v>
      </c>
      <c r="Q177">
        <f t="shared" si="26"/>
        <v>58.424140821458501</v>
      </c>
    </row>
    <row r="178" spans="1:17" x14ac:dyDescent="0.3">
      <c r="A178">
        <v>51036697</v>
      </c>
      <c r="B178" t="str">
        <f>VLOOKUP(A178,ASESORES!$A$2:$B$993,2,0)</f>
        <v>ROBERTS</v>
      </c>
      <c r="C178">
        <v>82842195.079999998</v>
      </c>
      <c r="D178">
        <v>94083815.989999995</v>
      </c>
      <c r="E178">
        <v>101357869.40000001</v>
      </c>
      <c r="F178">
        <v>84867089</v>
      </c>
      <c r="G178">
        <v>126104535</v>
      </c>
      <c r="H178">
        <v>129131518</v>
      </c>
      <c r="I178">
        <f t="shared" si="18"/>
        <v>2.4442784477699764E-2</v>
      </c>
      <c r="J178">
        <f t="shared" si="19"/>
        <v>0.34034247732259737</v>
      </c>
      <c r="K178">
        <f t="shared" si="20"/>
        <v>0.27401571051571438</v>
      </c>
      <c r="L178">
        <f t="shared" si="21"/>
        <v>0.19380046603227583</v>
      </c>
      <c r="M178">
        <f t="shared" si="22"/>
        <v>2.7570227562802754</v>
      </c>
      <c r="N178">
        <f t="shared" si="23"/>
        <v>2.2225502667495607</v>
      </c>
      <c r="O178">
        <f t="shared" si="24"/>
        <v>24.392288348700756</v>
      </c>
      <c r="P178">
        <f t="shared" si="25"/>
        <v>59.178541492036885</v>
      </c>
      <c r="Q178">
        <f t="shared" si="26"/>
        <v>61.944677284157592</v>
      </c>
    </row>
    <row r="179" spans="1:17" x14ac:dyDescent="0.3">
      <c r="A179">
        <v>51009061</v>
      </c>
      <c r="B179" t="str">
        <f>VLOOKUP(A179,ASESORES!$A$2:$B$993,2,0)</f>
        <v>NELLI</v>
      </c>
      <c r="C179">
        <v>59185561.509999998</v>
      </c>
      <c r="D179">
        <v>73160745.299999997</v>
      </c>
      <c r="E179">
        <v>89833515.560000002</v>
      </c>
      <c r="F179">
        <v>64104309</v>
      </c>
      <c r="G179">
        <v>98804529</v>
      </c>
      <c r="H179">
        <v>128795752</v>
      </c>
      <c r="I179">
        <f t="shared" si="18"/>
        <v>8.3107220148091798E-2</v>
      </c>
      <c r="J179">
        <f t="shared" si="19"/>
        <v>0.35051288221362609</v>
      </c>
      <c r="K179">
        <f t="shared" si="20"/>
        <v>0.43371603790766744</v>
      </c>
      <c r="L179">
        <f t="shared" si="21"/>
        <v>0.64880869512599793</v>
      </c>
      <c r="M179">
        <f t="shared" si="22"/>
        <v>2.8022722771283632</v>
      </c>
      <c r="N179">
        <f t="shared" si="23"/>
        <v>3.5173943633866895</v>
      </c>
      <c r="O179">
        <f t="shared" si="24"/>
        <v>29.08633696563286</v>
      </c>
      <c r="P179">
        <f t="shared" si="25"/>
        <v>59.765297569153397</v>
      </c>
      <c r="Q179">
        <f t="shared" si="26"/>
        <v>79.463537300922056</v>
      </c>
    </row>
    <row r="180" spans="1:17" x14ac:dyDescent="0.3">
      <c r="A180">
        <v>51013824</v>
      </c>
      <c r="B180" t="str">
        <f>VLOOKUP(A180,ASESORES!$A$2:$B$993,2,0)</f>
        <v>NELLI</v>
      </c>
      <c r="C180">
        <v>59546554.200000003</v>
      </c>
      <c r="D180">
        <v>78961550.400000006</v>
      </c>
      <c r="E180">
        <v>95104794</v>
      </c>
      <c r="F180">
        <v>86159247</v>
      </c>
      <c r="G180">
        <v>117072890</v>
      </c>
      <c r="H180">
        <v>128364774</v>
      </c>
      <c r="I180">
        <f t="shared" si="18"/>
        <v>0.44692246524652801</v>
      </c>
      <c r="J180">
        <f t="shared" si="19"/>
        <v>0.48265693121446085</v>
      </c>
      <c r="K180">
        <f t="shared" si="20"/>
        <v>0.34971927913539247</v>
      </c>
      <c r="L180">
        <f t="shared" si="21"/>
        <v>3.5464646852695729</v>
      </c>
      <c r="M180">
        <f t="shared" si="22"/>
        <v>3.8942963763415359</v>
      </c>
      <c r="N180">
        <f t="shared" si="23"/>
        <v>2.8356798412499313</v>
      </c>
      <c r="O180">
        <f t="shared" si="24"/>
        <v>71.668063704945524</v>
      </c>
      <c r="P180">
        <f t="shared" si="25"/>
        <v>74.518021793797146</v>
      </c>
      <c r="Q180">
        <f t="shared" si="26"/>
        <v>70.997485331098076</v>
      </c>
    </row>
    <row r="181" spans="1:17" x14ac:dyDescent="0.3">
      <c r="A181">
        <v>51009240</v>
      </c>
      <c r="B181" t="str">
        <f>VLOOKUP(A181,ASESORES!$A$2:$B$993,2,0)</f>
        <v>METTLER</v>
      </c>
      <c r="C181">
        <v>70229762.950000003</v>
      </c>
      <c r="D181">
        <v>88899235.480000004</v>
      </c>
      <c r="E181">
        <v>93515629.109999999</v>
      </c>
      <c r="F181">
        <v>77419142</v>
      </c>
      <c r="G181">
        <v>99705855</v>
      </c>
      <c r="H181">
        <v>128163360</v>
      </c>
      <c r="I181">
        <f t="shared" si="18"/>
        <v>0.10236940505008496</v>
      </c>
      <c r="J181">
        <f t="shared" si="19"/>
        <v>0.12156032008206874</v>
      </c>
      <c r="K181">
        <f t="shared" si="20"/>
        <v>0.37050203500470258</v>
      </c>
      <c r="L181">
        <f t="shared" si="21"/>
        <v>0.80757671252192875</v>
      </c>
      <c r="M181">
        <f t="shared" si="22"/>
        <v>0.97232704392197411</v>
      </c>
      <c r="N181">
        <f t="shared" si="23"/>
        <v>3.003943018577695</v>
      </c>
      <c r="O181">
        <f t="shared" si="24"/>
        <v>30.343671416596813</v>
      </c>
      <c r="P181">
        <f t="shared" si="25"/>
        <v>34.953897736797991</v>
      </c>
      <c r="Q181">
        <f t="shared" si="26"/>
        <v>73.931265716680642</v>
      </c>
    </row>
    <row r="182" spans="1:17" x14ac:dyDescent="0.3">
      <c r="A182">
        <v>51001061</v>
      </c>
      <c r="B182" t="str">
        <f>VLOOKUP(A182,ASESORES!$A$2:$B$993,2,0)</f>
        <v>ARGUELLO</v>
      </c>
      <c r="C182">
        <v>57487782.829999998</v>
      </c>
      <c r="D182">
        <v>92020786.109999999</v>
      </c>
      <c r="E182">
        <v>100847959.72</v>
      </c>
      <c r="F182">
        <v>63151616</v>
      </c>
      <c r="G182">
        <v>98433741</v>
      </c>
      <c r="H182">
        <v>128058225</v>
      </c>
      <c r="I182">
        <f t="shared" si="18"/>
        <v>9.8522379733252397E-2</v>
      </c>
      <c r="J182">
        <f t="shared" si="19"/>
        <v>6.9690285870130042E-2</v>
      </c>
      <c r="K182">
        <f t="shared" si="20"/>
        <v>0.26981473254935584</v>
      </c>
      <c r="L182">
        <f t="shared" si="21"/>
        <v>0.76851244064988578</v>
      </c>
      <c r="M182">
        <f t="shared" si="22"/>
        <v>0.55704448972654441</v>
      </c>
      <c r="N182">
        <f t="shared" si="23"/>
        <v>2.1874979802980312</v>
      </c>
      <c r="O182">
        <f t="shared" si="24"/>
        <v>29.924559932942163</v>
      </c>
      <c r="P182">
        <f t="shared" si="25"/>
        <v>31.768650461022631</v>
      </c>
      <c r="Q182">
        <f t="shared" si="26"/>
        <v>61.35792120704108</v>
      </c>
    </row>
    <row r="183" spans="1:17" x14ac:dyDescent="0.3">
      <c r="A183">
        <v>51018621</v>
      </c>
      <c r="B183" t="str">
        <f>VLOOKUP(A183,ASESORES!$A$2:$B$993,2,0)</f>
        <v>METTLER</v>
      </c>
      <c r="C183">
        <v>78815722.090000004</v>
      </c>
      <c r="D183">
        <v>89508853.069999993</v>
      </c>
      <c r="E183">
        <v>103917369.86</v>
      </c>
      <c r="F183">
        <v>73901499</v>
      </c>
      <c r="G183">
        <v>111678863</v>
      </c>
      <c r="H183">
        <v>128017953</v>
      </c>
      <c r="I183">
        <f t="shared" si="18"/>
        <v>-6.2350797019767645E-2</v>
      </c>
      <c r="J183">
        <f t="shared" si="19"/>
        <v>0.24768510789275844</v>
      </c>
      <c r="K183">
        <f t="shared" si="20"/>
        <v>0.2319206420684905</v>
      </c>
      <c r="L183">
        <f t="shared" si="21"/>
        <v>-0.4906168014605185</v>
      </c>
      <c r="M183">
        <f t="shared" si="22"/>
        <v>1.9933625614301897</v>
      </c>
      <c r="N183">
        <f t="shared" si="23"/>
        <v>1.8802434675812465</v>
      </c>
      <c r="O183">
        <f t="shared" si="24"/>
        <v>8.3822296730930432</v>
      </c>
      <c r="P183">
        <f t="shared" si="25"/>
        <v>48.365465213746859</v>
      </c>
      <c r="Q183">
        <f t="shared" si="26"/>
        <v>56.831517183570831</v>
      </c>
    </row>
    <row r="184" spans="1:17" x14ac:dyDescent="0.3">
      <c r="A184">
        <v>51011031</v>
      </c>
      <c r="B184" t="str">
        <f>VLOOKUP(A184,ASESORES!$A$2:$B$993,2,0)</f>
        <v>PUGH</v>
      </c>
      <c r="C184">
        <v>50342524.369999997</v>
      </c>
      <c r="D184">
        <v>71266959.25</v>
      </c>
      <c r="E184">
        <v>86043452.159999996</v>
      </c>
      <c r="F184">
        <v>83801826</v>
      </c>
      <c r="G184">
        <v>116413252</v>
      </c>
      <c r="H184">
        <v>127192806</v>
      </c>
      <c r="I184">
        <f t="shared" si="18"/>
        <v>0.6646329727942486</v>
      </c>
      <c r="J184">
        <f t="shared" si="19"/>
        <v>0.63348139481620991</v>
      </c>
      <c r="K184">
        <f t="shared" si="20"/>
        <v>0.47823922456623102</v>
      </c>
      <c r="L184">
        <f t="shared" si="21"/>
        <v>5.2660555158068423</v>
      </c>
      <c r="M184">
        <f t="shared" si="22"/>
        <v>5.1096624645018922</v>
      </c>
      <c r="N184">
        <f t="shared" si="23"/>
        <v>3.8758718846713731</v>
      </c>
      <c r="O184">
        <f t="shared" si="24"/>
        <v>87.007544006705785</v>
      </c>
      <c r="P184">
        <f t="shared" si="25"/>
        <v>86.001676445934621</v>
      </c>
      <c r="Q184">
        <f t="shared" si="26"/>
        <v>82.481139983235536</v>
      </c>
    </row>
    <row r="185" spans="1:17" x14ac:dyDescent="0.3">
      <c r="A185">
        <v>51013239</v>
      </c>
      <c r="B185" t="str">
        <f>VLOOKUP(A185,ASESORES!$A$2:$B$993,2,0)</f>
        <v>NELLI</v>
      </c>
      <c r="C185">
        <v>59911974.289999999</v>
      </c>
      <c r="D185">
        <v>77327305.710000008</v>
      </c>
      <c r="E185">
        <v>93417981.549999997</v>
      </c>
      <c r="F185">
        <v>66587208</v>
      </c>
      <c r="G185">
        <v>92715360</v>
      </c>
      <c r="H185">
        <v>127182620</v>
      </c>
      <c r="I185">
        <f t="shared" si="18"/>
        <v>0.11141735502971351</v>
      </c>
      <c r="J185">
        <f t="shared" si="19"/>
        <v>0.19899897130400079</v>
      </c>
      <c r="K185">
        <f t="shared" si="20"/>
        <v>0.3614361805915085</v>
      </c>
      <c r="L185">
        <f t="shared" si="21"/>
        <v>0.87166151089223609</v>
      </c>
      <c r="M185">
        <f t="shared" si="22"/>
        <v>1.5854549903243567</v>
      </c>
      <c r="N185">
        <f t="shared" si="23"/>
        <v>2.9292334181056652</v>
      </c>
      <c r="O185">
        <f t="shared" si="24"/>
        <v>31.181894383906116</v>
      </c>
      <c r="P185">
        <f t="shared" si="25"/>
        <v>43.00083822296731</v>
      </c>
      <c r="Q185">
        <f t="shared" si="26"/>
        <v>72.757753562447618</v>
      </c>
    </row>
    <row r="186" spans="1:17" x14ac:dyDescent="0.3">
      <c r="A186">
        <v>51030281</v>
      </c>
      <c r="B186" t="str">
        <f>VLOOKUP(A186,ASESORES!$A$2:$B$993,2,0)</f>
        <v>MONTENEGRO</v>
      </c>
      <c r="C186">
        <v>63491582.619999997</v>
      </c>
      <c r="D186">
        <v>76054162.050000012</v>
      </c>
      <c r="E186">
        <v>93864668.459999993</v>
      </c>
      <c r="F186">
        <v>85835458</v>
      </c>
      <c r="G186">
        <v>102434091</v>
      </c>
      <c r="H186">
        <v>127128368</v>
      </c>
      <c r="I186">
        <f t="shared" si="18"/>
        <v>0.35191870257399493</v>
      </c>
      <c r="J186">
        <f t="shared" si="19"/>
        <v>0.34685713758383296</v>
      </c>
      <c r="K186">
        <f t="shared" si="20"/>
        <v>0.35437934300247576</v>
      </c>
      <c r="L186">
        <f t="shared" si="21"/>
        <v>2.7920057018497833</v>
      </c>
      <c r="M186">
        <f t="shared" si="22"/>
        <v>2.778479856239886</v>
      </c>
      <c r="N186">
        <f t="shared" si="23"/>
        <v>2.8719761226915228</v>
      </c>
      <c r="O186">
        <f t="shared" si="24"/>
        <v>60.519698239731767</v>
      </c>
      <c r="P186">
        <f t="shared" si="25"/>
        <v>59.597652975691531</v>
      </c>
      <c r="Q186">
        <f t="shared" si="26"/>
        <v>71.500419111483666</v>
      </c>
    </row>
    <row r="187" spans="1:17" x14ac:dyDescent="0.3">
      <c r="A187">
        <v>51055829</v>
      </c>
      <c r="B187" t="str">
        <f>VLOOKUP(A187,ASESORES!$A$2:$B$993,2,0)</f>
        <v>NELLI</v>
      </c>
      <c r="C187">
        <v>70376195.739999995</v>
      </c>
      <c r="D187">
        <v>78460106.260000005</v>
      </c>
      <c r="E187">
        <v>85361506.310000002</v>
      </c>
      <c r="F187">
        <v>73440741</v>
      </c>
      <c r="G187">
        <v>106311633</v>
      </c>
      <c r="H187">
        <v>126445638</v>
      </c>
      <c r="I187">
        <f t="shared" si="18"/>
        <v>4.3545196323509172E-2</v>
      </c>
      <c r="J187">
        <f t="shared" si="19"/>
        <v>0.35497691843171864</v>
      </c>
      <c r="K187">
        <f t="shared" si="20"/>
        <v>0.48129576744813174</v>
      </c>
      <c r="L187">
        <f t="shared" si="21"/>
        <v>0.34252377311695614</v>
      </c>
      <c r="M187">
        <f t="shared" si="22"/>
        <v>2.8492509140872775</v>
      </c>
      <c r="N187">
        <f t="shared" si="23"/>
        <v>3.8994120322708468</v>
      </c>
      <c r="O187">
        <f t="shared" si="24"/>
        <v>25.984911986588433</v>
      </c>
      <c r="P187">
        <f t="shared" si="25"/>
        <v>60.687342833193625</v>
      </c>
      <c r="Q187">
        <f t="shared" si="26"/>
        <v>82.732606873428324</v>
      </c>
    </row>
    <row r="188" spans="1:17" x14ac:dyDescent="0.3">
      <c r="A188">
        <v>51023919</v>
      </c>
      <c r="B188" t="str">
        <f>VLOOKUP(A188,ASESORES!$A$2:$B$993,2,0)</f>
        <v>NELLI</v>
      </c>
      <c r="C188">
        <v>71550047.360000014</v>
      </c>
      <c r="D188">
        <v>83895670.349999994</v>
      </c>
      <c r="E188">
        <v>107333917.81</v>
      </c>
      <c r="F188">
        <v>89475680</v>
      </c>
      <c r="G188">
        <v>104034757</v>
      </c>
      <c r="H188">
        <v>125681164</v>
      </c>
      <c r="I188">
        <f t="shared" si="18"/>
        <v>0.25053278511205135</v>
      </c>
      <c r="J188">
        <f t="shared" si="19"/>
        <v>0.24004917734112841</v>
      </c>
      <c r="K188">
        <f t="shared" si="20"/>
        <v>0.17093614548271563</v>
      </c>
      <c r="L188">
        <f t="shared" si="21"/>
        <v>1.9921628019532502</v>
      </c>
      <c r="M188">
        <f t="shared" si="22"/>
        <v>1.9245170932243139</v>
      </c>
      <c r="N188">
        <f t="shared" si="23"/>
        <v>1.3844580282336725</v>
      </c>
      <c r="O188">
        <f t="shared" si="24"/>
        <v>46.521374685666387</v>
      </c>
      <c r="P188">
        <f t="shared" si="25"/>
        <v>47.191953059513828</v>
      </c>
      <c r="Q188">
        <f t="shared" si="26"/>
        <v>50.041911148365472</v>
      </c>
    </row>
    <row r="189" spans="1:17" x14ac:dyDescent="0.3">
      <c r="A189">
        <v>51031610</v>
      </c>
      <c r="B189" t="str">
        <f>VLOOKUP(A189,ASESORES!$A$2:$B$993,2,0)</f>
        <v>CICHETTO</v>
      </c>
      <c r="C189">
        <v>61088225.670000002</v>
      </c>
      <c r="D189">
        <v>76032097.770000011</v>
      </c>
      <c r="E189">
        <v>117255527.97</v>
      </c>
      <c r="F189">
        <v>101577654</v>
      </c>
      <c r="G189">
        <v>96481421</v>
      </c>
      <c r="H189">
        <v>125087100</v>
      </c>
      <c r="I189">
        <f t="shared" si="18"/>
        <v>0.66280249403092539</v>
      </c>
      <c r="J189">
        <f t="shared" si="19"/>
        <v>0.26895645167992033</v>
      </c>
      <c r="K189">
        <f t="shared" si="20"/>
        <v>6.679064233119747E-2</v>
      </c>
      <c r="L189">
        <f t="shared" si="21"/>
        <v>5.3069258017817429</v>
      </c>
      <c r="M189">
        <f t="shared" si="22"/>
        <v>2.1474676438312601</v>
      </c>
      <c r="N189">
        <f t="shared" si="23"/>
        <v>0.54081802557154224</v>
      </c>
      <c r="O189">
        <f t="shared" si="24"/>
        <v>87.426655490360446</v>
      </c>
      <c r="P189">
        <f t="shared" si="25"/>
        <v>50.880134115674771</v>
      </c>
      <c r="Q189">
        <f t="shared" si="26"/>
        <v>37.887678122380549</v>
      </c>
    </row>
    <row r="190" spans="1:17" x14ac:dyDescent="0.3">
      <c r="A190">
        <v>51024141</v>
      </c>
      <c r="B190" t="str">
        <f>VLOOKUP(A190,ASESORES!$A$2:$B$993,2,0)</f>
        <v>AYALA</v>
      </c>
      <c r="C190">
        <v>26056903.510000002</v>
      </c>
      <c r="D190">
        <v>31743999.98</v>
      </c>
      <c r="E190">
        <v>41943857.669999987</v>
      </c>
      <c r="F190">
        <v>61385760</v>
      </c>
      <c r="G190">
        <v>114715482</v>
      </c>
      <c r="H190">
        <v>124977665</v>
      </c>
      <c r="I190">
        <f t="shared" si="18"/>
        <v>1.355834797348106</v>
      </c>
      <c r="J190">
        <f t="shared" si="19"/>
        <v>2.6137689664905297</v>
      </c>
      <c r="K190">
        <f t="shared" si="20"/>
        <v>1.9796416434387551</v>
      </c>
      <c r="L190">
        <f t="shared" si="21"/>
        <v>10.559333106468703</v>
      </c>
      <c r="M190">
        <f t="shared" si="22"/>
        <v>21.065989954725598</v>
      </c>
      <c r="N190">
        <f t="shared" si="23"/>
        <v>16.028826611528046</v>
      </c>
      <c r="O190">
        <f t="shared" si="24"/>
        <v>97.569153394803024</v>
      </c>
      <c r="P190">
        <f t="shared" si="25"/>
        <v>99.161777032690708</v>
      </c>
      <c r="Q190">
        <f t="shared" si="26"/>
        <v>99.161777032690708</v>
      </c>
    </row>
    <row r="191" spans="1:17" x14ac:dyDescent="0.3">
      <c r="A191">
        <v>51023137</v>
      </c>
      <c r="B191" t="str">
        <f>VLOOKUP(A191,ASESORES!$A$2:$B$993,2,0)</f>
        <v>MONTENEGRO</v>
      </c>
      <c r="C191">
        <v>44964840.520000003</v>
      </c>
      <c r="D191">
        <v>68752912.789999992</v>
      </c>
      <c r="E191">
        <v>87746824.299999997</v>
      </c>
      <c r="F191">
        <v>66980046</v>
      </c>
      <c r="G191">
        <v>95109241</v>
      </c>
      <c r="H191">
        <v>124870053</v>
      </c>
      <c r="I191">
        <f t="shared" si="18"/>
        <v>0.48960933087726199</v>
      </c>
      <c r="J191">
        <f t="shared" si="19"/>
        <v>0.38334853230877952</v>
      </c>
      <c r="K191">
        <f t="shared" si="20"/>
        <v>0.42307204843195678</v>
      </c>
      <c r="L191">
        <f t="shared" si="21"/>
        <v>3.8316559110776911</v>
      </c>
      <c r="M191">
        <f t="shared" si="22"/>
        <v>3.0584399685687513</v>
      </c>
      <c r="N191">
        <f t="shared" si="23"/>
        <v>3.4253851963537758</v>
      </c>
      <c r="O191">
        <f t="shared" si="24"/>
        <v>75.69153394803017</v>
      </c>
      <c r="P191">
        <f t="shared" si="25"/>
        <v>63.872590108968986</v>
      </c>
      <c r="Q191">
        <f t="shared" si="26"/>
        <v>78.206202849958089</v>
      </c>
    </row>
    <row r="192" spans="1:17" x14ac:dyDescent="0.3">
      <c r="A192">
        <v>51026578</v>
      </c>
      <c r="B192" t="str">
        <f>VLOOKUP(A192,ASESORES!$A$2:$B$993,2,0)</f>
        <v>PRADES</v>
      </c>
      <c r="C192">
        <v>53600432.030000001</v>
      </c>
      <c r="D192">
        <v>75136973.439999998</v>
      </c>
      <c r="E192">
        <v>91530945.659999996</v>
      </c>
      <c r="F192">
        <v>69794643</v>
      </c>
      <c r="G192">
        <v>110687381</v>
      </c>
      <c r="H192">
        <v>123866633</v>
      </c>
      <c r="I192">
        <f t="shared" si="18"/>
        <v>0.30212836644555674</v>
      </c>
      <c r="J192">
        <f t="shared" si="19"/>
        <v>0.4731413301919658</v>
      </c>
      <c r="K192">
        <f t="shared" si="20"/>
        <v>0.35327601071788162</v>
      </c>
      <c r="L192">
        <f t="shared" si="21"/>
        <v>2.3698411547944049</v>
      </c>
      <c r="M192">
        <f t="shared" si="22"/>
        <v>3.8059952807286566</v>
      </c>
      <c r="N192">
        <f t="shared" si="23"/>
        <v>2.8590466215293984</v>
      </c>
      <c r="O192">
        <f t="shared" si="24"/>
        <v>53.813914501257329</v>
      </c>
      <c r="P192">
        <f t="shared" si="25"/>
        <v>73.595976529756911</v>
      </c>
      <c r="Q192">
        <f t="shared" si="26"/>
        <v>71.248952221290864</v>
      </c>
    </row>
    <row r="193" spans="1:17" x14ac:dyDescent="0.3">
      <c r="A193">
        <v>51017986</v>
      </c>
      <c r="B193" t="str">
        <f>VLOOKUP(A193,ASESORES!$A$2:$B$993,2,0)</f>
        <v>ARGUELLO</v>
      </c>
      <c r="C193">
        <v>56477703.099999987</v>
      </c>
      <c r="D193">
        <v>75371109.569999993</v>
      </c>
      <c r="E193">
        <v>85102132.189999998</v>
      </c>
      <c r="F193">
        <v>80163416</v>
      </c>
      <c r="G193">
        <v>104527108</v>
      </c>
      <c r="H193">
        <v>123854689</v>
      </c>
      <c r="I193">
        <f t="shared" si="18"/>
        <v>0.41938166037067504</v>
      </c>
      <c r="J193">
        <f t="shared" si="19"/>
        <v>0.38683254892143704</v>
      </c>
      <c r="K193">
        <f t="shared" si="20"/>
        <v>0.45536528654159447</v>
      </c>
      <c r="L193">
        <f t="shared" si="21"/>
        <v>3.31478266878189</v>
      </c>
      <c r="M193">
        <f t="shared" si="22"/>
        <v>3.1020987692081259</v>
      </c>
      <c r="N193">
        <f t="shared" si="23"/>
        <v>3.6852313981785167</v>
      </c>
      <c r="O193">
        <f t="shared" si="24"/>
        <v>68.985750209555746</v>
      </c>
      <c r="P193">
        <f t="shared" si="25"/>
        <v>64.375523889354568</v>
      </c>
      <c r="Q193">
        <f t="shared" si="26"/>
        <v>80.972338642078796</v>
      </c>
    </row>
    <row r="194" spans="1:17" x14ac:dyDescent="0.3">
      <c r="A194">
        <v>51055373</v>
      </c>
      <c r="B194" t="str">
        <f>VLOOKUP(A194,ASESORES!$A$2:$B$993,2,0)</f>
        <v>PUGH</v>
      </c>
      <c r="C194">
        <v>57000395.75</v>
      </c>
      <c r="D194">
        <v>74819591.560000002</v>
      </c>
      <c r="E194">
        <v>102534883.61</v>
      </c>
      <c r="F194">
        <v>89729534</v>
      </c>
      <c r="G194">
        <v>107971868</v>
      </c>
      <c r="H194">
        <v>123843874</v>
      </c>
      <c r="I194">
        <f t="shared" ref="I194:I257" si="27">IFERROR(F194/C194-1,0)</f>
        <v>0.57419142129377243</v>
      </c>
      <c r="J194">
        <f t="shared" ref="J194:J257" si="28">IFERROR(G194/D194-1,0)</f>
        <v>0.44309619644761389</v>
      </c>
      <c r="K194">
        <f t="shared" ref="K194:K257" si="29">IFERROR(H194/E194-1,0)</f>
        <v>0.20782186159249494</v>
      </c>
      <c r="L194">
        <f t="shared" ref="L194:L257" si="30">IFERROR(I194*LOG(F194),0)</f>
        <v>4.5665072878452309</v>
      </c>
      <c r="M194">
        <f t="shared" ref="M194:M257" si="31">IFERROR(J194*LOG(G194),0)</f>
        <v>3.5595293784245325</v>
      </c>
      <c r="N194">
        <f t="shared" ref="N194:N257" si="32">IFERROR(K194*LOG(H194),0)</f>
        <v>1.6818762502214399</v>
      </c>
      <c r="O194">
        <f t="shared" ref="O194:O257" si="33">RANK(L194,$L$2:$L$1194,1)/COUNT($L$2:$L$1194)*100</f>
        <v>82.313495389773678</v>
      </c>
      <c r="P194">
        <f t="shared" ref="P194:P257" si="34">RANK(M194,$M$2:$M$1194,1)/COUNT($M$2:$M$1194)*100</f>
        <v>71.081307627829005</v>
      </c>
      <c r="Q194">
        <f t="shared" ref="Q194:Q257" si="35">RANK(N194,$N$2:$N$1194,1)/COUNT($N$2:$N$1194)*100</f>
        <v>54.652137468566643</v>
      </c>
    </row>
    <row r="195" spans="1:17" x14ac:dyDescent="0.3">
      <c r="A195">
        <v>51013794</v>
      </c>
      <c r="B195" t="str">
        <f>VLOOKUP(A195,ASESORES!$A$2:$B$993,2,0)</f>
        <v>NELLI</v>
      </c>
      <c r="C195">
        <v>87682310.25</v>
      </c>
      <c r="D195">
        <v>114014679.47</v>
      </c>
      <c r="E195">
        <v>210700591.46000001</v>
      </c>
      <c r="F195">
        <v>98503586</v>
      </c>
      <c r="G195">
        <v>117406300</v>
      </c>
      <c r="H195">
        <v>123837028</v>
      </c>
      <c r="I195">
        <f t="shared" si="27"/>
        <v>0.12341458293179497</v>
      </c>
      <c r="J195">
        <f t="shared" si="28"/>
        <v>2.9747226811196903E-2</v>
      </c>
      <c r="K195">
        <f t="shared" si="29"/>
        <v>-0.41226065317662119</v>
      </c>
      <c r="L195">
        <f t="shared" si="30"/>
        <v>0.98650854984684389</v>
      </c>
      <c r="M195">
        <f t="shared" si="31"/>
        <v>0.24005094042265118</v>
      </c>
      <c r="N195">
        <f t="shared" si="32"/>
        <v>-3.3363638417275467</v>
      </c>
      <c r="O195">
        <f t="shared" si="33"/>
        <v>32.774518021793796</v>
      </c>
      <c r="P195">
        <f t="shared" si="34"/>
        <v>28.583403185247274</v>
      </c>
      <c r="Q195">
        <f t="shared" si="35"/>
        <v>2.0117351215423303</v>
      </c>
    </row>
    <row r="196" spans="1:17" x14ac:dyDescent="0.3">
      <c r="A196">
        <v>51033141</v>
      </c>
      <c r="B196" t="str">
        <f>VLOOKUP(A196,ASESORES!$A$2:$B$993,2,0)</f>
        <v>ARGUELLO</v>
      </c>
      <c r="C196">
        <v>63807067.039999999</v>
      </c>
      <c r="D196">
        <v>104047407.90000001</v>
      </c>
      <c r="E196">
        <v>104569328.27</v>
      </c>
      <c r="F196">
        <v>88991509</v>
      </c>
      <c r="G196">
        <v>108902656</v>
      </c>
      <c r="H196">
        <v>123827021</v>
      </c>
      <c r="I196">
        <f t="shared" si="27"/>
        <v>0.39469674956556355</v>
      </c>
      <c r="J196">
        <f t="shared" si="28"/>
        <v>4.6663806412807318E-2</v>
      </c>
      <c r="K196">
        <f t="shared" si="29"/>
        <v>0.18416196267682117</v>
      </c>
      <c r="L196">
        <f t="shared" si="30"/>
        <v>3.1375820421463763</v>
      </c>
      <c r="M196">
        <f t="shared" si="31"/>
        <v>0.37503880737970074</v>
      </c>
      <c r="N196">
        <f t="shared" si="32"/>
        <v>1.4903887722308147</v>
      </c>
      <c r="O196">
        <f t="shared" si="33"/>
        <v>66.471081307627827</v>
      </c>
      <c r="P196">
        <f t="shared" si="34"/>
        <v>29.673093042749372</v>
      </c>
      <c r="Q196">
        <f t="shared" si="35"/>
        <v>52.221290863369653</v>
      </c>
    </row>
    <row r="197" spans="1:17" x14ac:dyDescent="0.3">
      <c r="A197">
        <v>51056612</v>
      </c>
      <c r="B197" t="str">
        <f>VLOOKUP(A197,ASESORES!$A$2:$B$993,2,0)</f>
        <v>AYALA</v>
      </c>
      <c r="C197">
        <v>82593726.75</v>
      </c>
      <c r="D197">
        <v>103721053.48999999</v>
      </c>
      <c r="E197">
        <v>99846960.620000005</v>
      </c>
      <c r="F197">
        <v>85173597</v>
      </c>
      <c r="G197">
        <v>108043836</v>
      </c>
      <c r="H197">
        <v>122862449</v>
      </c>
      <c r="I197">
        <f t="shared" si="27"/>
        <v>3.1235668270653605E-2</v>
      </c>
      <c r="J197">
        <f t="shared" si="28"/>
        <v>4.1677001578245498E-2</v>
      </c>
      <c r="K197">
        <f t="shared" si="29"/>
        <v>0.23050765128037209</v>
      </c>
      <c r="L197">
        <f t="shared" si="30"/>
        <v>0.24770837590575639</v>
      </c>
      <c r="M197">
        <f t="shared" si="31"/>
        <v>0.33481635967174345</v>
      </c>
      <c r="N197">
        <f t="shared" si="32"/>
        <v>1.8646730125922182</v>
      </c>
      <c r="O197">
        <f t="shared" si="33"/>
        <v>25.0628667225482</v>
      </c>
      <c r="P197">
        <f t="shared" si="34"/>
        <v>29.421626152556581</v>
      </c>
      <c r="Q197">
        <f t="shared" si="35"/>
        <v>56.663872590108966</v>
      </c>
    </row>
    <row r="198" spans="1:17" x14ac:dyDescent="0.3">
      <c r="A198">
        <v>51032071</v>
      </c>
      <c r="B198" t="str">
        <f>VLOOKUP(A198,ASESORES!$A$2:$B$993,2,0)</f>
        <v>PUGH</v>
      </c>
      <c r="C198">
        <v>43387295.920000002</v>
      </c>
      <c r="D198">
        <v>54999352.679999992</v>
      </c>
      <c r="E198">
        <v>71974478.620000005</v>
      </c>
      <c r="F198">
        <v>70597802</v>
      </c>
      <c r="G198">
        <v>96697655</v>
      </c>
      <c r="H198">
        <v>122391079</v>
      </c>
      <c r="I198">
        <f t="shared" si="27"/>
        <v>0.62715376708823478</v>
      </c>
      <c r="J198">
        <f t="shared" si="28"/>
        <v>0.75815987440090749</v>
      </c>
      <c r="K198">
        <f t="shared" si="29"/>
        <v>0.70047885509781826</v>
      </c>
      <c r="L198">
        <f t="shared" si="30"/>
        <v>4.922398955555968</v>
      </c>
      <c r="M198">
        <f t="shared" si="31"/>
        <v>6.054221947778748</v>
      </c>
      <c r="N198">
        <f t="shared" si="32"/>
        <v>5.6652976946839999</v>
      </c>
      <c r="O198">
        <f t="shared" si="33"/>
        <v>84.995808885163456</v>
      </c>
      <c r="P198">
        <f t="shared" si="34"/>
        <v>91.031014249790445</v>
      </c>
      <c r="Q198">
        <f t="shared" si="35"/>
        <v>93.461860854987421</v>
      </c>
    </row>
    <row r="199" spans="1:17" x14ac:dyDescent="0.3">
      <c r="A199">
        <v>51031121</v>
      </c>
      <c r="B199" t="str">
        <f>VLOOKUP(A199,ASESORES!$A$2:$B$993,2,0)</f>
        <v>PRADES</v>
      </c>
      <c r="C199">
        <v>61688513.920000002</v>
      </c>
      <c r="D199">
        <v>72912918.099999994</v>
      </c>
      <c r="E199">
        <v>99461510.459999993</v>
      </c>
      <c r="F199">
        <v>83142543</v>
      </c>
      <c r="G199">
        <v>111150868</v>
      </c>
      <c r="H199">
        <v>122380976</v>
      </c>
      <c r="I199">
        <f t="shared" si="27"/>
        <v>0.34777996286022383</v>
      </c>
      <c r="J199">
        <f t="shared" si="28"/>
        <v>0.52443313059500229</v>
      </c>
      <c r="K199">
        <f t="shared" si="29"/>
        <v>0.23043552660722399</v>
      </c>
      <c r="L199">
        <f t="shared" si="30"/>
        <v>2.7543558544257993</v>
      </c>
      <c r="M199">
        <f t="shared" si="31"/>
        <v>4.2195432689004084</v>
      </c>
      <c r="N199">
        <f t="shared" si="32"/>
        <v>1.86369661445581</v>
      </c>
      <c r="O199">
        <f t="shared" si="33"/>
        <v>60.18440905280805</v>
      </c>
      <c r="P199">
        <f t="shared" si="34"/>
        <v>77.367979882648783</v>
      </c>
      <c r="Q199">
        <f t="shared" si="35"/>
        <v>56.496227996647107</v>
      </c>
    </row>
    <row r="200" spans="1:17" x14ac:dyDescent="0.3">
      <c r="A200">
        <v>51056981</v>
      </c>
      <c r="B200" t="str">
        <f>VLOOKUP(A200,ASESORES!$A$2:$B$993,2,0)</f>
        <v>MONTENEGRO</v>
      </c>
      <c r="C200">
        <v>57934129.920000002</v>
      </c>
      <c r="D200">
        <v>71354160.099999994</v>
      </c>
      <c r="E200">
        <v>84056432.50999999</v>
      </c>
      <c r="F200">
        <v>63037728</v>
      </c>
      <c r="G200">
        <v>106631462</v>
      </c>
      <c r="H200">
        <v>122364530</v>
      </c>
      <c r="I200">
        <f t="shared" si="27"/>
        <v>8.809311690789956E-2</v>
      </c>
      <c r="J200">
        <f t="shared" si="28"/>
        <v>0.4943972692070131</v>
      </c>
      <c r="K200">
        <f t="shared" si="29"/>
        <v>0.45574260465363658</v>
      </c>
      <c r="L200">
        <f t="shared" si="30"/>
        <v>0.68709112325888544</v>
      </c>
      <c r="M200">
        <f t="shared" si="31"/>
        <v>3.9689646013508924</v>
      </c>
      <c r="N200">
        <f t="shared" si="32"/>
        <v>3.6858892042682587</v>
      </c>
      <c r="O200">
        <f t="shared" si="33"/>
        <v>29.421626152556581</v>
      </c>
      <c r="P200">
        <f t="shared" si="34"/>
        <v>75.104777870913665</v>
      </c>
      <c r="Q200">
        <f t="shared" si="35"/>
        <v>81.056160938809711</v>
      </c>
    </row>
    <row r="201" spans="1:17" x14ac:dyDescent="0.3">
      <c r="A201">
        <v>51022424</v>
      </c>
      <c r="B201" t="str">
        <f>VLOOKUP(A201,ASESORES!$A$2:$B$993,2,0)</f>
        <v>ARGUELLO</v>
      </c>
      <c r="C201">
        <v>7175518.7999999998</v>
      </c>
      <c r="D201">
        <v>4868615.8</v>
      </c>
      <c r="E201">
        <v>1448090.5</v>
      </c>
      <c r="F201">
        <v>0</v>
      </c>
      <c r="G201">
        <v>56932599</v>
      </c>
      <c r="H201">
        <v>122355455</v>
      </c>
      <c r="I201">
        <f t="shared" si="27"/>
        <v>-1</v>
      </c>
      <c r="J201">
        <f t="shared" si="28"/>
        <v>10.693795801262446</v>
      </c>
      <c r="K201">
        <f t="shared" si="29"/>
        <v>83.494342722364379</v>
      </c>
      <c r="L201">
        <f t="shared" si="30"/>
        <v>0</v>
      </c>
      <c r="M201">
        <f t="shared" si="31"/>
        <v>82.934247006141334</v>
      </c>
      <c r="N201">
        <f t="shared" si="32"/>
        <v>675.27079465587394</v>
      </c>
      <c r="O201">
        <f t="shared" si="33"/>
        <v>11.5674769488684</v>
      </c>
      <c r="P201">
        <f t="shared" si="34"/>
        <v>99.916177703269071</v>
      </c>
      <c r="Q201">
        <f t="shared" si="35"/>
        <v>99.916177703269071</v>
      </c>
    </row>
    <row r="202" spans="1:17" x14ac:dyDescent="0.3">
      <c r="A202">
        <v>51025920</v>
      </c>
      <c r="B202" t="str">
        <f>VLOOKUP(A202,ASESORES!$A$2:$B$993,2,0)</f>
        <v>ARGUELLO</v>
      </c>
      <c r="C202">
        <v>65164658</v>
      </c>
      <c r="D202">
        <v>83886516.620000005</v>
      </c>
      <c r="E202">
        <v>115324688.08</v>
      </c>
      <c r="F202">
        <v>94231277</v>
      </c>
      <c r="G202">
        <v>111079995</v>
      </c>
      <c r="H202">
        <v>122263488</v>
      </c>
      <c r="I202">
        <f t="shared" si="27"/>
        <v>0.44604882296781168</v>
      </c>
      <c r="J202">
        <f t="shared" si="28"/>
        <v>0.32416983653266396</v>
      </c>
      <c r="K202">
        <f t="shared" si="29"/>
        <v>6.0167515174084807E-2</v>
      </c>
      <c r="L202">
        <f t="shared" si="30"/>
        <v>3.5568803280395036</v>
      </c>
      <c r="M202">
        <f t="shared" si="31"/>
        <v>2.6081524587916567</v>
      </c>
      <c r="N202">
        <f t="shared" si="32"/>
        <v>0.48659255181354916</v>
      </c>
      <c r="O202">
        <f t="shared" si="33"/>
        <v>71.919530595138298</v>
      </c>
      <c r="P202">
        <f t="shared" si="34"/>
        <v>56.99916177703269</v>
      </c>
      <c r="Q202">
        <f t="shared" si="35"/>
        <v>37.04945515507125</v>
      </c>
    </row>
    <row r="203" spans="1:17" x14ac:dyDescent="0.3">
      <c r="A203">
        <v>51056388</v>
      </c>
      <c r="B203" t="str">
        <f>VLOOKUP(A203,ASESORES!$A$2:$B$993,2,0)</f>
        <v>METTLER</v>
      </c>
      <c r="C203">
        <v>54068127.469999999</v>
      </c>
      <c r="D203">
        <v>64617290.909999996</v>
      </c>
      <c r="E203">
        <v>81220957.689999998</v>
      </c>
      <c r="F203">
        <v>91076654</v>
      </c>
      <c r="G203">
        <v>108552838</v>
      </c>
      <c r="H203">
        <v>121402282</v>
      </c>
      <c r="I203">
        <f t="shared" si="27"/>
        <v>0.68447953094980751</v>
      </c>
      <c r="J203">
        <f t="shared" si="28"/>
        <v>0.67993483588153114</v>
      </c>
      <c r="K203">
        <f t="shared" si="29"/>
        <v>0.49471620937248773</v>
      </c>
      <c r="L203">
        <f t="shared" si="30"/>
        <v>5.4480512158601622</v>
      </c>
      <c r="M203">
        <f t="shared" si="31"/>
        <v>5.4637123683623354</v>
      </c>
      <c r="N203">
        <f t="shared" si="32"/>
        <v>3.999398063064949</v>
      </c>
      <c r="O203">
        <f t="shared" si="33"/>
        <v>88.01341156747695</v>
      </c>
      <c r="P203">
        <f t="shared" si="34"/>
        <v>88.01341156747695</v>
      </c>
      <c r="Q203">
        <f t="shared" si="35"/>
        <v>83.906119027661362</v>
      </c>
    </row>
    <row r="204" spans="1:17" x14ac:dyDescent="0.3">
      <c r="A204">
        <v>51033485</v>
      </c>
      <c r="B204" t="str">
        <f>VLOOKUP(A204,ASESORES!$A$2:$B$993,2,0)</f>
        <v>BELUZZO</v>
      </c>
      <c r="C204">
        <v>24104569.600000001</v>
      </c>
      <c r="D204">
        <v>28556640.989999998</v>
      </c>
      <c r="E204">
        <v>37649573.299999997</v>
      </c>
      <c r="F204">
        <v>29406120</v>
      </c>
      <c r="G204">
        <v>40912100</v>
      </c>
      <c r="H204">
        <v>121236210</v>
      </c>
      <c r="I204">
        <f t="shared" si="27"/>
        <v>0.21993964165201274</v>
      </c>
      <c r="J204">
        <f t="shared" si="28"/>
        <v>0.43266499776099909</v>
      </c>
      <c r="K204">
        <f t="shared" si="29"/>
        <v>2.2201217536773519</v>
      </c>
      <c r="L204">
        <f t="shared" si="30"/>
        <v>1.6426055169723954</v>
      </c>
      <c r="M204">
        <f t="shared" si="31"/>
        <v>3.2933818299821178</v>
      </c>
      <c r="N204">
        <f t="shared" si="32"/>
        <v>17.946648031858214</v>
      </c>
      <c r="O204">
        <f t="shared" si="33"/>
        <v>42.162615255658004</v>
      </c>
      <c r="P204">
        <f t="shared" si="34"/>
        <v>66.806370494551544</v>
      </c>
      <c r="Q204">
        <f t="shared" si="35"/>
        <v>99.329421626152552</v>
      </c>
    </row>
    <row r="205" spans="1:17" x14ac:dyDescent="0.3">
      <c r="A205">
        <v>51041615</v>
      </c>
      <c r="B205" t="str">
        <f>VLOOKUP(A205,ASESORES!$A$2:$B$993,2,0)</f>
        <v>ROBERTS</v>
      </c>
      <c r="C205">
        <v>70993177.50999999</v>
      </c>
      <c r="D205">
        <v>83483418.020000011</v>
      </c>
      <c r="E205">
        <v>101735160.92</v>
      </c>
      <c r="F205">
        <v>78539944</v>
      </c>
      <c r="G205">
        <v>117982410</v>
      </c>
      <c r="H205">
        <v>120880090</v>
      </c>
      <c r="I205">
        <f t="shared" si="27"/>
        <v>0.1063027005508661</v>
      </c>
      <c r="J205">
        <f t="shared" si="28"/>
        <v>0.41324364524383883</v>
      </c>
      <c r="K205">
        <f t="shared" si="29"/>
        <v>0.18818399564979038</v>
      </c>
      <c r="L205">
        <f t="shared" si="30"/>
        <v>0.83926945052125834</v>
      </c>
      <c r="M205">
        <f t="shared" si="31"/>
        <v>3.3356271895699203</v>
      </c>
      <c r="N205">
        <f t="shared" si="32"/>
        <v>1.5209698157585341</v>
      </c>
      <c r="O205">
        <f t="shared" si="33"/>
        <v>30.595138306789604</v>
      </c>
      <c r="P205">
        <f t="shared" si="34"/>
        <v>67.644593461860865</v>
      </c>
      <c r="Q205">
        <f t="shared" si="35"/>
        <v>52.556580050293377</v>
      </c>
    </row>
    <row r="206" spans="1:17" x14ac:dyDescent="0.3">
      <c r="A206">
        <v>51017641</v>
      </c>
      <c r="B206" t="str">
        <f>VLOOKUP(A206,ASESORES!$A$2:$B$993,2,0)</f>
        <v>METTLER</v>
      </c>
      <c r="C206">
        <v>47310769.409999996</v>
      </c>
      <c r="D206">
        <v>76442080.079999998</v>
      </c>
      <c r="E206">
        <v>102262025.86</v>
      </c>
      <c r="F206">
        <v>89087077</v>
      </c>
      <c r="G206">
        <v>99667167</v>
      </c>
      <c r="H206">
        <v>120640455</v>
      </c>
      <c r="I206">
        <f t="shared" si="27"/>
        <v>0.88301898512709065</v>
      </c>
      <c r="J206">
        <f t="shared" si="28"/>
        <v>0.30382594110068606</v>
      </c>
      <c r="K206">
        <f t="shared" si="29"/>
        <v>0.1797190011193468</v>
      </c>
      <c r="L206">
        <f t="shared" si="30"/>
        <v>7.0198373169154236</v>
      </c>
      <c r="M206">
        <f t="shared" si="31"/>
        <v>2.4301676234141087</v>
      </c>
      <c r="N206">
        <f t="shared" si="32"/>
        <v>1.4523978434900187</v>
      </c>
      <c r="O206">
        <f t="shared" si="33"/>
        <v>93.629505448449294</v>
      </c>
      <c r="P206">
        <f t="shared" si="34"/>
        <v>54.23302598491199</v>
      </c>
      <c r="Q206">
        <f t="shared" si="35"/>
        <v>51.299245599329424</v>
      </c>
    </row>
    <row r="207" spans="1:17" x14ac:dyDescent="0.3">
      <c r="A207">
        <v>51005741</v>
      </c>
      <c r="B207" t="str">
        <f>VLOOKUP(A207,ASESORES!$A$2:$B$993,2,0)</f>
        <v>ARGUELLO</v>
      </c>
      <c r="C207">
        <v>53477508.119999997</v>
      </c>
      <c r="D207">
        <v>73775405.979999989</v>
      </c>
      <c r="E207">
        <v>94741756.749999985</v>
      </c>
      <c r="F207">
        <v>70796725</v>
      </c>
      <c r="G207">
        <v>91758161</v>
      </c>
      <c r="H207">
        <v>120232895</v>
      </c>
      <c r="I207">
        <f t="shared" si="27"/>
        <v>0.32385983357969539</v>
      </c>
      <c r="J207">
        <f t="shared" si="28"/>
        <v>0.24374999745680848</v>
      </c>
      <c r="K207">
        <f t="shared" si="29"/>
        <v>0.26905916804207886</v>
      </c>
      <c r="L207">
        <f t="shared" si="30"/>
        <v>2.5423039581992954</v>
      </c>
      <c r="M207">
        <f t="shared" si="31"/>
        <v>1.9408946256014459</v>
      </c>
      <c r="N207">
        <f t="shared" si="32"/>
        <v>2.1740043480137445</v>
      </c>
      <c r="O207">
        <f t="shared" si="33"/>
        <v>56.496227996647107</v>
      </c>
      <c r="P207">
        <f t="shared" si="34"/>
        <v>47.275775356244758</v>
      </c>
      <c r="Q207">
        <f t="shared" si="35"/>
        <v>61.022632020117349</v>
      </c>
    </row>
    <row r="208" spans="1:17" x14ac:dyDescent="0.3">
      <c r="A208">
        <v>51011996</v>
      </c>
      <c r="B208" t="str">
        <f>VLOOKUP(A208,ASESORES!$A$2:$B$993,2,0)</f>
        <v>CICHETTO</v>
      </c>
      <c r="C208">
        <v>45268427.460000008</v>
      </c>
      <c r="D208">
        <v>56550261.369999997</v>
      </c>
      <c r="E208">
        <v>70849776.439999998</v>
      </c>
      <c r="F208">
        <v>62008259</v>
      </c>
      <c r="G208">
        <v>86974912</v>
      </c>
      <c r="H208">
        <v>120154014</v>
      </c>
      <c r="I208">
        <f t="shared" si="27"/>
        <v>0.36979043627684227</v>
      </c>
      <c r="J208">
        <f t="shared" si="28"/>
        <v>0.53801078709320205</v>
      </c>
      <c r="K208">
        <f t="shared" si="29"/>
        <v>0.69589827995793185</v>
      </c>
      <c r="L208">
        <f t="shared" si="30"/>
        <v>2.8815733142754074</v>
      </c>
      <c r="M208">
        <f t="shared" si="31"/>
        <v>4.271479613910663</v>
      </c>
      <c r="N208">
        <f t="shared" si="32"/>
        <v>5.622675974284415</v>
      </c>
      <c r="O208">
        <f t="shared" si="33"/>
        <v>61.35792120704108</v>
      </c>
      <c r="P208">
        <f t="shared" si="34"/>
        <v>77.870913663034372</v>
      </c>
      <c r="Q208">
        <f t="shared" si="35"/>
        <v>93.294216261525563</v>
      </c>
    </row>
    <row r="209" spans="1:17" x14ac:dyDescent="0.3">
      <c r="A209">
        <v>51025440</v>
      </c>
      <c r="B209" t="str">
        <f>VLOOKUP(A209,ASESORES!$A$2:$B$993,2,0)</f>
        <v>PRADES</v>
      </c>
      <c r="C209">
        <v>45219962.640000001</v>
      </c>
      <c r="D209">
        <v>57558342.57</v>
      </c>
      <c r="E209">
        <v>75774997</v>
      </c>
      <c r="F209">
        <v>61088916</v>
      </c>
      <c r="G209">
        <v>78395342</v>
      </c>
      <c r="H209">
        <v>120001284</v>
      </c>
      <c r="I209">
        <f t="shared" si="27"/>
        <v>0.35092805109845182</v>
      </c>
      <c r="J209">
        <f t="shared" si="28"/>
        <v>0.36201527875231876</v>
      </c>
      <c r="K209">
        <f t="shared" si="29"/>
        <v>0.58365277137523353</v>
      </c>
      <c r="L209">
        <f t="shared" si="30"/>
        <v>2.7323126175577261</v>
      </c>
      <c r="M209">
        <f t="shared" si="31"/>
        <v>2.8578536886869923</v>
      </c>
      <c r="N209">
        <f t="shared" si="32"/>
        <v>4.7154392368898028</v>
      </c>
      <c r="O209">
        <f t="shared" si="33"/>
        <v>59.681475272422468</v>
      </c>
      <c r="P209">
        <f t="shared" si="34"/>
        <v>60.854987426655491</v>
      </c>
      <c r="Q209">
        <f t="shared" si="35"/>
        <v>89.606035205364634</v>
      </c>
    </row>
    <row r="210" spans="1:17" x14ac:dyDescent="0.3">
      <c r="A210">
        <v>51055993</v>
      </c>
      <c r="B210" t="str">
        <f>VLOOKUP(A210,ASESORES!$A$2:$B$993,2,0)</f>
        <v>LÓPEZ</v>
      </c>
      <c r="C210">
        <v>50714815.509999998</v>
      </c>
      <c r="D210">
        <v>69011723.410000011</v>
      </c>
      <c r="E210">
        <v>53353754.130000003</v>
      </c>
      <c r="F210">
        <v>60630757</v>
      </c>
      <c r="G210">
        <v>89425552</v>
      </c>
      <c r="H210">
        <v>119736755</v>
      </c>
      <c r="I210">
        <f t="shared" si="27"/>
        <v>0.19552356427373319</v>
      </c>
      <c r="J210">
        <f t="shared" si="28"/>
        <v>0.29580233011601575</v>
      </c>
      <c r="K210">
        <f t="shared" si="29"/>
        <v>1.2442048727865216</v>
      </c>
      <c r="L210">
        <f t="shared" si="30"/>
        <v>1.5216998731731448</v>
      </c>
      <c r="M210">
        <f t="shared" si="31"/>
        <v>2.3520608778675847</v>
      </c>
      <c r="N210">
        <f t="shared" si="32"/>
        <v>10.050969999198809</v>
      </c>
      <c r="O210">
        <f t="shared" si="33"/>
        <v>40.569991617770327</v>
      </c>
      <c r="P210">
        <f t="shared" si="34"/>
        <v>52.808046940486165</v>
      </c>
      <c r="Q210">
        <f t="shared" si="35"/>
        <v>98.407376362112316</v>
      </c>
    </row>
    <row r="211" spans="1:17" x14ac:dyDescent="0.3">
      <c r="A211">
        <v>51021231</v>
      </c>
      <c r="B211" t="str">
        <f>VLOOKUP(A211,ASESORES!$A$2:$B$993,2,0)</f>
        <v>PUGH</v>
      </c>
      <c r="C211">
        <v>61634660.890000001</v>
      </c>
      <c r="D211">
        <v>82941538.719999999</v>
      </c>
      <c r="E211">
        <v>109451604.09</v>
      </c>
      <c r="F211">
        <v>86851228</v>
      </c>
      <c r="G211">
        <v>105124654</v>
      </c>
      <c r="H211">
        <v>119618724</v>
      </c>
      <c r="I211">
        <f t="shared" si="27"/>
        <v>0.40912964792658246</v>
      </c>
      <c r="J211">
        <f t="shared" si="28"/>
        <v>0.26745483170848039</v>
      </c>
      <c r="K211">
        <f t="shared" si="29"/>
        <v>9.2891465543435636E-2</v>
      </c>
      <c r="L211">
        <f t="shared" si="30"/>
        <v>3.2479886148610309</v>
      </c>
      <c r="M211">
        <f t="shared" si="31"/>
        <v>2.145443648298992</v>
      </c>
      <c r="N211">
        <f t="shared" si="32"/>
        <v>0.75035860283799338</v>
      </c>
      <c r="O211">
        <f t="shared" si="33"/>
        <v>67.896060352053638</v>
      </c>
      <c r="P211">
        <f t="shared" si="34"/>
        <v>50.796311818943842</v>
      </c>
      <c r="Q211">
        <f t="shared" si="35"/>
        <v>40.234702430846603</v>
      </c>
    </row>
    <row r="212" spans="1:17" x14ac:dyDescent="0.3">
      <c r="A212">
        <v>51024125</v>
      </c>
      <c r="B212" t="str">
        <f>VLOOKUP(A212,ASESORES!$A$2:$B$993,2,0)</f>
        <v>PUGH</v>
      </c>
      <c r="C212">
        <v>94589239.550000012</v>
      </c>
      <c r="D212">
        <v>100356930.54000001</v>
      </c>
      <c r="E212">
        <v>118056351.66</v>
      </c>
      <c r="F212">
        <v>101076441</v>
      </c>
      <c r="G212">
        <v>107117554</v>
      </c>
      <c r="H212">
        <v>119447517</v>
      </c>
      <c r="I212">
        <f t="shared" si="27"/>
        <v>6.8582869265703783E-2</v>
      </c>
      <c r="J212">
        <f t="shared" si="28"/>
        <v>6.7365785537904177E-2</v>
      </c>
      <c r="K212">
        <f t="shared" si="29"/>
        <v>1.1783909297879536E-2</v>
      </c>
      <c r="L212">
        <f t="shared" si="30"/>
        <v>0.54898186046145481</v>
      </c>
      <c r="M212">
        <f t="shared" si="31"/>
        <v>0.54093787025325424</v>
      </c>
      <c r="N212">
        <f t="shared" si="32"/>
        <v>9.5180722639682122E-2</v>
      </c>
      <c r="O212">
        <f t="shared" si="33"/>
        <v>28.248113998323554</v>
      </c>
      <c r="P212">
        <f t="shared" si="34"/>
        <v>31.349538977367981</v>
      </c>
      <c r="Q212">
        <f t="shared" si="35"/>
        <v>32.942162615255661</v>
      </c>
    </row>
    <row r="213" spans="1:17" x14ac:dyDescent="0.3">
      <c r="A213">
        <v>51014359</v>
      </c>
      <c r="B213" t="str">
        <f>VLOOKUP(A213,ASESORES!$A$2:$B$993,2,0)</f>
        <v>NELLI</v>
      </c>
      <c r="C213">
        <v>49977619.979999997</v>
      </c>
      <c r="D213">
        <v>68048107.109999999</v>
      </c>
      <c r="E213">
        <v>98788743.480000004</v>
      </c>
      <c r="F213">
        <v>41250068</v>
      </c>
      <c r="G213">
        <v>105041140</v>
      </c>
      <c r="H213">
        <v>118687795</v>
      </c>
      <c r="I213">
        <f t="shared" si="27"/>
        <v>-0.17462920370142843</v>
      </c>
      <c r="J213">
        <f t="shared" si="28"/>
        <v>0.54363059401785607</v>
      </c>
      <c r="K213">
        <f t="shared" si="29"/>
        <v>0.20143035348990557</v>
      </c>
      <c r="L213">
        <f t="shared" si="30"/>
        <v>-1.3298755457630682</v>
      </c>
      <c r="M213">
        <f t="shared" si="31"/>
        <v>4.3606563898358175</v>
      </c>
      <c r="N213">
        <f t="shared" si="32"/>
        <v>1.6264304671943806</v>
      </c>
      <c r="O213">
        <f t="shared" si="33"/>
        <v>6.2866722548197824</v>
      </c>
      <c r="P213">
        <f t="shared" si="34"/>
        <v>79.128248113998325</v>
      </c>
      <c r="Q213">
        <f t="shared" si="35"/>
        <v>53.897736797988259</v>
      </c>
    </row>
    <row r="214" spans="1:17" x14ac:dyDescent="0.3">
      <c r="A214">
        <v>51024681</v>
      </c>
      <c r="B214" t="str">
        <f>VLOOKUP(A214,ASESORES!$A$2:$B$993,2,0)</f>
        <v>NELLI</v>
      </c>
      <c r="C214">
        <v>40545176.670000002</v>
      </c>
      <c r="D214">
        <v>67754626.629999995</v>
      </c>
      <c r="E214">
        <v>96325787.760000005</v>
      </c>
      <c r="F214">
        <v>72899405</v>
      </c>
      <c r="G214">
        <v>89700412</v>
      </c>
      <c r="H214">
        <v>118658159</v>
      </c>
      <c r="I214">
        <f t="shared" si="27"/>
        <v>0.79797971022134884</v>
      </c>
      <c r="J214">
        <f t="shared" si="28"/>
        <v>0.32390091218188455</v>
      </c>
      <c r="K214">
        <f t="shared" si="29"/>
        <v>0.23184208257545835</v>
      </c>
      <c r="L214">
        <f t="shared" si="30"/>
        <v>6.2742942060237397</v>
      </c>
      <c r="M214">
        <f t="shared" si="31"/>
        <v>2.5759173727959488</v>
      </c>
      <c r="N214">
        <f t="shared" si="32"/>
        <v>1.8719619722874032</v>
      </c>
      <c r="O214">
        <f t="shared" si="33"/>
        <v>91.701592623637879</v>
      </c>
      <c r="P214">
        <f t="shared" si="34"/>
        <v>56.580050293378036</v>
      </c>
      <c r="Q214">
        <f t="shared" si="35"/>
        <v>56.747694886839895</v>
      </c>
    </row>
    <row r="215" spans="1:17" x14ac:dyDescent="0.3">
      <c r="A215">
        <v>51024001</v>
      </c>
      <c r="B215" t="str">
        <f>VLOOKUP(A215,ASESORES!$A$2:$B$993,2,0)</f>
        <v>ROBERTS</v>
      </c>
      <c r="C215">
        <v>47240967.380000003</v>
      </c>
      <c r="D215">
        <v>86804014.609999999</v>
      </c>
      <c r="E215">
        <v>122211962.73</v>
      </c>
      <c r="F215">
        <v>77273833</v>
      </c>
      <c r="G215">
        <v>92207199</v>
      </c>
      <c r="H215">
        <v>118545197</v>
      </c>
      <c r="I215">
        <f t="shared" si="27"/>
        <v>0.63573773539435918</v>
      </c>
      <c r="J215">
        <f t="shared" si="28"/>
        <v>6.2245789140926933E-2</v>
      </c>
      <c r="K215">
        <f t="shared" si="29"/>
        <v>-3.0003329036625503E-2</v>
      </c>
      <c r="L215">
        <f t="shared" si="30"/>
        <v>5.0147198896653755</v>
      </c>
      <c r="M215">
        <f t="shared" si="31"/>
        <v>0.49577307213761668</v>
      </c>
      <c r="N215">
        <f t="shared" si="32"/>
        <v>-0.24224339713677914</v>
      </c>
      <c r="O215">
        <f t="shared" si="33"/>
        <v>85.58256496227996</v>
      </c>
      <c r="P215">
        <f t="shared" si="34"/>
        <v>30.930427493713324</v>
      </c>
      <c r="Q215">
        <f t="shared" si="35"/>
        <v>12.740989103101425</v>
      </c>
    </row>
    <row r="216" spans="1:17" x14ac:dyDescent="0.3">
      <c r="A216">
        <v>51023480</v>
      </c>
      <c r="B216" t="str">
        <f>VLOOKUP(A216,ASESORES!$A$2:$B$993,2,0)</f>
        <v>METTLER</v>
      </c>
      <c r="C216">
        <v>0</v>
      </c>
      <c r="D216">
        <v>0</v>
      </c>
      <c r="E216">
        <v>49254712.200000003</v>
      </c>
      <c r="F216">
        <v>48656299</v>
      </c>
      <c r="G216">
        <v>94143610</v>
      </c>
      <c r="H216">
        <v>118492160</v>
      </c>
      <c r="I216">
        <f t="shared" si="27"/>
        <v>0</v>
      </c>
      <c r="J216">
        <f t="shared" si="28"/>
        <v>0</v>
      </c>
      <c r="K216">
        <f t="shared" si="29"/>
        <v>1.4057020071269442</v>
      </c>
      <c r="L216">
        <f t="shared" si="30"/>
        <v>0</v>
      </c>
      <c r="M216">
        <f t="shared" si="31"/>
        <v>0</v>
      </c>
      <c r="N216">
        <f t="shared" si="32"/>
        <v>11.349201698589518</v>
      </c>
      <c r="O216">
        <f t="shared" si="33"/>
        <v>11.5674769488684</v>
      </c>
      <c r="P216">
        <f t="shared" si="34"/>
        <v>11.064543168482817</v>
      </c>
      <c r="Q216">
        <f t="shared" si="35"/>
        <v>98.658843252305118</v>
      </c>
    </row>
    <row r="217" spans="1:17" x14ac:dyDescent="0.3">
      <c r="A217">
        <v>51020405</v>
      </c>
      <c r="B217" t="str">
        <f>VLOOKUP(A217,ASESORES!$A$2:$B$993,2,0)</f>
        <v>METTLER</v>
      </c>
      <c r="C217">
        <v>65120886.950000003</v>
      </c>
      <c r="D217">
        <v>85961933.25999999</v>
      </c>
      <c r="E217">
        <v>103803028.14</v>
      </c>
      <c r="F217">
        <v>77989175</v>
      </c>
      <c r="G217">
        <v>82627085</v>
      </c>
      <c r="H217">
        <v>118263441</v>
      </c>
      <c r="I217">
        <f t="shared" si="27"/>
        <v>0.1976061545334955</v>
      </c>
      <c r="J217">
        <f t="shared" si="28"/>
        <v>-3.8794477200895683E-2</v>
      </c>
      <c r="K217">
        <f t="shared" si="29"/>
        <v>0.13930627187963274</v>
      </c>
      <c r="L217">
        <f t="shared" si="30"/>
        <v>1.5595145546523954</v>
      </c>
      <c r="M217">
        <f t="shared" si="31"/>
        <v>-0.30714062566772116</v>
      </c>
      <c r="N217">
        <f t="shared" si="32"/>
        <v>1.1245987081435671</v>
      </c>
      <c r="O217">
        <f t="shared" si="33"/>
        <v>40.905280804694051</v>
      </c>
      <c r="P217">
        <f t="shared" si="34"/>
        <v>9.4719195305951374</v>
      </c>
      <c r="Q217">
        <f t="shared" si="35"/>
        <v>45.347862531433364</v>
      </c>
    </row>
    <row r="218" spans="1:17" x14ac:dyDescent="0.3">
      <c r="A218">
        <v>51044070</v>
      </c>
      <c r="B218" t="str">
        <f>VLOOKUP(A218,ASESORES!$A$2:$B$993,2,0)</f>
        <v>CICHETTO</v>
      </c>
      <c r="C218">
        <v>63709083.060000002</v>
      </c>
      <c r="D218">
        <v>108269145.16</v>
      </c>
      <c r="E218">
        <v>102947380.69</v>
      </c>
      <c r="F218">
        <v>76908320</v>
      </c>
      <c r="G218">
        <v>97132427</v>
      </c>
      <c r="H218">
        <v>118153145</v>
      </c>
      <c r="I218">
        <f t="shared" si="27"/>
        <v>0.20717982909233212</v>
      </c>
      <c r="J218">
        <f t="shared" si="28"/>
        <v>-0.10286142135455278</v>
      </c>
      <c r="K218">
        <f t="shared" si="29"/>
        <v>0.14770423694205803</v>
      </c>
      <c r="L218">
        <f t="shared" si="30"/>
        <v>1.6338146056270872</v>
      </c>
      <c r="M218">
        <f t="shared" si="31"/>
        <v>-0.8215916386413129</v>
      </c>
      <c r="N218">
        <f t="shared" si="32"/>
        <v>1.1923343712504364</v>
      </c>
      <c r="O218">
        <f t="shared" si="33"/>
        <v>41.994970662196145</v>
      </c>
      <c r="P218">
        <f t="shared" si="34"/>
        <v>7.0410729253981561</v>
      </c>
      <c r="Q218">
        <f t="shared" si="35"/>
        <v>46.772841575859182</v>
      </c>
    </row>
    <row r="219" spans="1:17" x14ac:dyDescent="0.3">
      <c r="A219">
        <v>51032110</v>
      </c>
      <c r="B219" t="str">
        <f>VLOOKUP(A219,ASESORES!$A$2:$B$993,2,0)</f>
        <v>ROBERTS</v>
      </c>
      <c r="C219">
        <v>55309263.740000002</v>
      </c>
      <c r="D219">
        <v>66207252.140000001</v>
      </c>
      <c r="E219">
        <v>76712002.079999998</v>
      </c>
      <c r="F219">
        <v>73958291</v>
      </c>
      <c r="G219">
        <v>91502819</v>
      </c>
      <c r="H219">
        <v>118032582</v>
      </c>
      <c r="I219">
        <f t="shared" si="27"/>
        <v>0.33717728277248615</v>
      </c>
      <c r="J219">
        <f t="shared" si="28"/>
        <v>0.38206640575432282</v>
      </c>
      <c r="K219">
        <f t="shared" si="29"/>
        <v>0.53864556783315809</v>
      </c>
      <c r="L219">
        <f t="shared" si="30"/>
        <v>2.653243610018365</v>
      </c>
      <c r="M219">
        <f t="shared" si="31"/>
        <v>3.0417966541020358</v>
      </c>
      <c r="N219">
        <f t="shared" si="32"/>
        <v>4.3479480510463802</v>
      </c>
      <c r="O219">
        <f t="shared" si="33"/>
        <v>58.424140821458501</v>
      </c>
      <c r="P219">
        <f t="shared" si="34"/>
        <v>63.704945515507127</v>
      </c>
      <c r="Q219">
        <f t="shared" si="35"/>
        <v>86.923721709974856</v>
      </c>
    </row>
    <row r="220" spans="1:17" x14ac:dyDescent="0.3">
      <c r="A220">
        <v>51036123</v>
      </c>
      <c r="B220" t="str">
        <f>VLOOKUP(A220,ASESORES!$A$2:$B$993,2,0)</f>
        <v>CICHETTO</v>
      </c>
      <c r="C220">
        <v>60191015.789999999</v>
      </c>
      <c r="D220">
        <v>67460059.700000003</v>
      </c>
      <c r="E220">
        <v>71537723.760000005</v>
      </c>
      <c r="F220">
        <v>69723744</v>
      </c>
      <c r="G220">
        <v>89684258</v>
      </c>
      <c r="H220">
        <v>117401479</v>
      </c>
      <c r="I220">
        <f t="shared" si="27"/>
        <v>0.15837460266925318</v>
      </c>
      <c r="J220">
        <f t="shared" si="28"/>
        <v>0.32944231592489981</v>
      </c>
      <c r="K220">
        <f t="shared" si="29"/>
        <v>0.64111286786069788</v>
      </c>
      <c r="L220">
        <f t="shared" si="30"/>
        <v>1.2421923018907113</v>
      </c>
      <c r="M220">
        <f t="shared" si="31"/>
        <v>2.6199612492022442</v>
      </c>
      <c r="N220">
        <f t="shared" si="32"/>
        <v>5.1735715639441207</v>
      </c>
      <c r="O220">
        <f t="shared" si="33"/>
        <v>36.295054484492873</v>
      </c>
      <c r="P220">
        <f t="shared" si="34"/>
        <v>57.41827326068735</v>
      </c>
      <c r="Q220">
        <f t="shared" si="35"/>
        <v>92.03688181056161</v>
      </c>
    </row>
    <row r="221" spans="1:17" x14ac:dyDescent="0.3">
      <c r="A221">
        <v>51056078</v>
      </c>
      <c r="B221" t="str">
        <f>VLOOKUP(A221,ASESORES!$A$2:$B$993,2,0)</f>
        <v>CICHETTO</v>
      </c>
      <c r="C221">
        <v>62287358.799999997</v>
      </c>
      <c r="D221">
        <v>73231505.219999999</v>
      </c>
      <c r="E221">
        <v>85530265.379999995</v>
      </c>
      <c r="F221">
        <v>76600801</v>
      </c>
      <c r="G221">
        <v>104098860</v>
      </c>
      <c r="H221">
        <v>117065629</v>
      </c>
      <c r="I221">
        <f t="shared" si="27"/>
        <v>0.22979690383018792</v>
      </c>
      <c r="J221">
        <f t="shared" si="28"/>
        <v>0.42150375971747644</v>
      </c>
      <c r="K221">
        <f t="shared" si="29"/>
        <v>0.36870414793982498</v>
      </c>
      <c r="L221">
        <f t="shared" si="30"/>
        <v>1.8117724039405869</v>
      </c>
      <c r="M221">
        <f t="shared" si="31"/>
        <v>3.3793836211712103</v>
      </c>
      <c r="N221">
        <f t="shared" si="32"/>
        <v>2.9748633882297293</v>
      </c>
      <c r="O221">
        <f t="shared" si="33"/>
        <v>44.593461860854987</v>
      </c>
      <c r="P221">
        <f t="shared" si="34"/>
        <v>68.398994132439228</v>
      </c>
      <c r="Q221">
        <f t="shared" si="35"/>
        <v>73.595976529756911</v>
      </c>
    </row>
    <row r="222" spans="1:17" x14ac:dyDescent="0.3">
      <c r="A222">
        <v>51012445</v>
      </c>
      <c r="B222" t="str">
        <f>VLOOKUP(A222,ASESORES!$A$2:$B$993,2,0)</f>
        <v>ARGUELLO</v>
      </c>
      <c r="C222">
        <v>71155985.950000003</v>
      </c>
      <c r="D222">
        <v>78949879.820000008</v>
      </c>
      <c r="E222">
        <v>94112539.090000004</v>
      </c>
      <c r="F222">
        <v>82968840</v>
      </c>
      <c r="G222">
        <v>113479865</v>
      </c>
      <c r="H222">
        <v>116815556</v>
      </c>
      <c r="I222">
        <f t="shared" si="27"/>
        <v>0.16601349685886824</v>
      </c>
      <c r="J222">
        <f t="shared" si="28"/>
        <v>0.43736589921005398</v>
      </c>
      <c r="K222">
        <f t="shared" si="29"/>
        <v>0.24123264688766977</v>
      </c>
      <c r="L222">
        <f t="shared" si="30"/>
        <v>1.3146467734989966</v>
      </c>
      <c r="M222">
        <f t="shared" si="31"/>
        <v>3.5229468086055173</v>
      </c>
      <c r="N222">
        <f t="shared" si="32"/>
        <v>1.9461445429023538</v>
      </c>
      <c r="O222">
        <f t="shared" si="33"/>
        <v>37.217099748533109</v>
      </c>
      <c r="P222">
        <f t="shared" si="34"/>
        <v>70.494551550712487</v>
      </c>
      <c r="Q222">
        <f t="shared" si="35"/>
        <v>57.585917854149201</v>
      </c>
    </row>
    <row r="223" spans="1:17" x14ac:dyDescent="0.3">
      <c r="A223">
        <v>51019661</v>
      </c>
      <c r="B223" t="str">
        <f>VLOOKUP(A223,ASESORES!$A$2:$B$993,2,0)</f>
        <v>ARGUELLO</v>
      </c>
      <c r="C223">
        <v>55608408.450000003</v>
      </c>
      <c r="D223">
        <v>73889125.909999996</v>
      </c>
      <c r="E223">
        <v>85756337.780000001</v>
      </c>
      <c r="F223">
        <v>77350697</v>
      </c>
      <c r="G223">
        <v>129383419</v>
      </c>
      <c r="H223">
        <v>116616262</v>
      </c>
      <c r="I223">
        <f t="shared" si="27"/>
        <v>0.39098922547926285</v>
      </c>
      <c r="J223">
        <f t="shared" si="28"/>
        <v>0.75104817395721191</v>
      </c>
      <c r="K223">
        <f t="shared" si="29"/>
        <v>0.35985590125324962</v>
      </c>
      <c r="L223">
        <f t="shared" si="30"/>
        <v>3.0843045200718122</v>
      </c>
      <c r="M223">
        <f t="shared" si="31"/>
        <v>6.0924116274165208</v>
      </c>
      <c r="N223">
        <f t="shared" si="32"/>
        <v>2.9028708720604652</v>
      </c>
      <c r="O223">
        <f t="shared" si="33"/>
        <v>65.884325230511323</v>
      </c>
      <c r="P223">
        <f t="shared" si="34"/>
        <v>91.198658843252304</v>
      </c>
      <c r="Q223">
        <f t="shared" si="35"/>
        <v>72.338642078792958</v>
      </c>
    </row>
    <row r="224" spans="1:17" x14ac:dyDescent="0.3">
      <c r="A224">
        <v>51021894</v>
      </c>
      <c r="B224" t="str">
        <f>VLOOKUP(A224,ASESORES!$A$2:$B$993,2,0)</f>
        <v>PUGH</v>
      </c>
      <c r="C224">
        <v>150519390.66999999</v>
      </c>
      <c r="D224">
        <v>133235970.45999999</v>
      </c>
      <c r="E224">
        <v>139995430.28999999</v>
      </c>
      <c r="F224">
        <v>123291215</v>
      </c>
      <c r="G224">
        <v>156963111</v>
      </c>
      <c r="H224">
        <v>116509458</v>
      </c>
      <c r="I224">
        <f t="shared" si="27"/>
        <v>-0.18089480397708546</v>
      </c>
      <c r="J224">
        <f t="shared" si="28"/>
        <v>0.17808359452842626</v>
      </c>
      <c r="K224">
        <f t="shared" si="29"/>
        <v>-0.16776242082580051</v>
      </c>
      <c r="L224">
        <f t="shared" si="30"/>
        <v>-1.4636075820917696</v>
      </c>
      <c r="M224">
        <f t="shared" si="31"/>
        <v>1.4595370962460323</v>
      </c>
      <c r="N224">
        <f t="shared" si="32"/>
        <v>-1.3532322791362976</v>
      </c>
      <c r="O224">
        <f t="shared" si="33"/>
        <v>5.9513830678960611</v>
      </c>
      <c r="P224">
        <f t="shared" si="34"/>
        <v>41.408214585079634</v>
      </c>
      <c r="Q224">
        <f t="shared" si="35"/>
        <v>5.9513830678960611</v>
      </c>
    </row>
    <row r="225" spans="1:17" x14ac:dyDescent="0.3">
      <c r="A225">
        <v>51018575</v>
      </c>
      <c r="B225" t="str">
        <f>VLOOKUP(A225,ASESORES!$A$2:$B$993,2,0)</f>
        <v>NELLI</v>
      </c>
      <c r="C225">
        <v>48325334.450000003</v>
      </c>
      <c r="D225">
        <v>60688630.729999997</v>
      </c>
      <c r="E225">
        <v>83736989.579999998</v>
      </c>
      <c r="F225">
        <v>77919487</v>
      </c>
      <c r="G225">
        <v>102662945</v>
      </c>
      <c r="H225">
        <v>116151581</v>
      </c>
      <c r="I225">
        <f t="shared" si="27"/>
        <v>0.61239415902273175</v>
      </c>
      <c r="J225">
        <f t="shared" si="28"/>
        <v>0.69163389855904245</v>
      </c>
      <c r="K225">
        <f t="shared" si="29"/>
        <v>0.38710003288369954</v>
      </c>
      <c r="L225">
        <f t="shared" si="30"/>
        <v>4.8327979672880472</v>
      </c>
      <c r="M225">
        <f t="shared" si="31"/>
        <v>5.5409653029713741</v>
      </c>
      <c r="N225">
        <f t="shared" si="32"/>
        <v>3.1219714913222534</v>
      </c>
      <c r="O225">
        <f t="shared" si="33"/>
        <v>84.660519698239739</v>
      </c>
      <c r="P225">
        <f t="shared" si="34"/>
        <v>88.851634534786257</v>
      </c>
      <c r="Q225">
        <f t="shared" si="35"/>
        <v>75.775356244761099</v>
      </c>
    </row>
    <row r="226" spans="1:17" x14ac:dyDescent="0.3">
      <c r="A226">
        <v>51031652</v>
      </c>
      <c r="B226" t="str">
        <f>VLOOKUP(A226,ASESORES!$A$2:$B$993,2,0)</f>
        <v>NELLI</v>
      </c>
      <c r="C226">
        <v>33640921.350000001</v>
      </c>
      <c r="D226">
        <v>51093827.930000007</v>
      </c>
      <c r="E226">
        <v>75683414.5</v>
      </c>
      <c r="F226">
        <v>61503951</v>
      </c>
      <c r="G226">
        <v>75343631</v>
      </c>
      <c r="H226">
        <v>116135653</v>
      </c>
      <c r="I226">
        <f t="shared" si="27"/>
        <v>0.82824811366232098</v>
      </c>
      <c r="J226">
        <f t="shared" si="28"/>
        <v>0.47461315881876986</v>
      </c>
      <c r="K226">
        <f t="shared" si="29"/>
        <v>0.53449277846733523</v>
      </c>
      <c r="L226">
        <f t="shared" si="30"/>
        <v>6.4511442302121624</v>
      </c>
      <c r="M226">
        <f t="shared" si="31"/>
        <v>3.7385499434166389</v>
      </c>
      <c r="N226">
        <f t="shared" si="32"/>
        <v>4.310665853721682</v>
      </c>
      <c r="O226">
        <f t="shared" si="33"/>
        <v>92.372170997485327</v>
      </c>
      <c r="P226">
        <f t="shared" si="34"/>
        <v>72.506286672254816</v>
      </c>
      <c r="Q226">
        <f t="shared" si="35"/>
        <v>86.672254819782054</v>
      </c>
    </row>
    <row r="227" spans="1:17" x14ac:dyDescent="0.3">
      <c r="A227">
        <v>51040627</v>
      </c>
      <c r="B227" t="str">
        <f>VLOOKUP(A227,ASESORES!$A$2:$B$993,2,0)</f>
        <v>METTLER</v>
      </c>
      <c r="C227">
        <v>28333443.550000001</v>
      </c>
      <c r="D227">
        <v>35442992.350000001</v>
      </c>
      <c r="E227">
        <v>66520779.989999987</v>
      </c>
      <c r="F227">
        <v>59626448</v>
      </c>
      <c r="G227">
        <v>79750470</v>
      </c>
      <c r="H227">
        <v>116036760</v>
      </c>
      <c r="I227">
        <f t="shared" si="27"/>
        <v>1.1044546842595135</v>
      </c>
      <c r="J227">
        <f t="shared" si="28"/>
        <v>1.2501054429169831</v>
      </c>
      <c r="K227">
        <f t="shared" si="29"/>
        <v>0.74436860207357314</v>
      </c>
      <c r="L227">
        <f t="shared" si="30"/>
        <v>8.5876199581443746</v>
      </c>
      <c r="M227">
        <f t="shared" si="31"/>
        <v>9.8779997458033897</v>
      </c>
      <c r="N227">
        <f t="shared" si="32"/>
        <v>6.0030317484817823</v>
      </c>
      <c r="O227">
        <f t="shared" si="33"/>
        <v>95.808885163453482</v>
      </c>
      <c r="P227">
        <f t="shared" si="34"/>
        <v>97.317686504610222</v>
      </c>
      <c r="Q227">
        <f t="shared" si="35"/>
        <v>94.467728415758586</v>
      </c>
    </row>
    <row r="228" spans="1:17" x14ac:dyDescent="0.3">
      <c r="A228">
        <v>51031253</v>
      </c>
      <c r="B228" t="str">
        <f>VLOOKUP(A228,ASESORES!$A$2:$B$993,2,0)</f>
        <v>BELUZZO</v>
      </c>
      <c r="C228">
        <v>70465227.629999995</v>
      </c>
      <c r="D228">
        <v>87821241.689999998</v>
      </c>
      <c r="E228">
        <v>97362166.199999988</v>
      </c>
      <c r="F228">
        <v>73471474</v>
      </c>
      <c r="G228">
        <v>106913528</v>
      </c>
      <c r="H228">
        <v>115992485</v>
      </c>
      <c r="I228">
        <f t="shared" si="27"/>
        <v>4.2662834863533838E-2</v>
      </c>
      <c r="J228">
        <f t="shared" si="28"/>
        <v>0.21739941206244628</v>
      </c>
      <c r="K228">
        <f t="shared" si="29"/>
        <v>0.19135070148018141</v>
      </c>
      <c r="L228">
        <f t="shared" si="30"/>
        <v>0.33559092536927626</v>
      </c>
      <c r="M228">
        <f t="shared" si="31"/>
        <v>1.7455069799111544</v>
      </c>
      <c r="N228">
        <f t="shared" si="32"/>
        <v>1.5431343093656633</v>
      </c>
      <c r="O228">
        <f t="shared" si="33"/>
        <v>25.901089689857503</v>
      </c>
      <c r="P228">
        <f t="shared" si="34"/>
        <v>44.509639564124058</v>
      </c>
      <c r="Q228">
        <f t="shared" si="35"/>
        <v>52.97569153394803</v>
      </c>
    </row>
    <row r="229" spans="1:17" x14ac:dyDescent="0.3">
      <c r="A229">
        <v>51034350</v>
      </c>
      <c r="B229" t="str">
        <f>VLOOKUP(A229,ASESORES!$A$2:$B$993,2,0)</f>
        <v>NELLI</v>
      </c>
      <c r="C229">
        <v>54253249.700000003</v>
      </c>
      <c r="D229">
        <v>68295687.700000003</v>
      </c>
      <c r="E229">
        <v>100804242.31999999</v>
      </c>
      <c r="F229">
        <v>84021140</v>
      </c>
      <c r="G229">
        <v>103561318</v>
      </c>
      <c r="H229">
        <v>115940326</v>
      </c>
      <c r="I229">
        <f t="shared" si="27"/>
        <v>0.54868400445328525</v>
      </c>
      <c r="J229">
        <f t="shared" si="28"/>
        <v>0.51636686718655</v>
      </c>
      <c r="K229">
        <f t="shared" si="29"/>
        <v>0.15015324089189597</v>
      </c>
      <c r="L229">
        <f t="shared" si="30"/>
        <v>4.3479852532973107</v>
      </c>
      <c r="M229">
        <f t="shared" si="31"/>
        <v>4.1387824585648589</v>
      </c>
      <c r="N229">
        <f t="shared" si="32"/>
        <v>1.2108709480671587</v>
      </c>
      <c r="O229">
        <f t="shared" si="33"/>
        <v>80.217937971500419</v>
      </c>
      <c r="P229">
        <f t="shared" si="34"/>
        <v>76.865046102263207</v>
      </c>
      <c r="Q229">
        <f t="shared" si="35"/>
        <v>47.108130762782899</v>
      </c>
    </row>
    <row r="230" spans="1:17" x14ac:dyDescent="0.3">
      <c r="A230">
        <v>51022220</v>
      </c>
      <c r="B230" t="str">
        <f>VLOOKUP(A230,ASESORES!$A$2:$B$993,2,0)</f>
        <v>CICHETTO</v>
      </c>
      <c r="C230">
        <v>100989664.37</v>
      </c>
      <c r="D230">
        <v>133621948.63</v>
      </c>
      <c r="E230">
        <v>175904953.69</v>
      </c>
      <c r="F230">
        <v>119962655</v>
      </c>
      <c r="G230">
        <v>121953023</v>
      </c>
      <c r="H230">
        <v>115860390</v>
      </c>
      <c r="I230">
        <f t="shared" si="27"/>
        <v>0.18787061773458191</v>
      </c>
      <c r="J230">
        <f t="shared" si="28"/>
        <v>-8.7327910943069131E-2</v>
      </c>
      <c r="K230">
        <f t="shared" si="29"/>
        <v>-0.34134663311311553</v>
      </c>
      <c r="L230">
        <f t="shared" si="30"/>
        <v>1.5178153756798809</v>
      </c>
      <c r="M230">
        <f t="shared" si="31"/>
        <v>-0.70615030463685169</v>
      </c>
      <c r="N230">
        <f t="shared" si="32"/>
        <v>-2.7525970571322258</v>
      </c>
      <c r="O230">
        <f t="shared" si="33"/>
        <v>40.486169321039398</v>
      </c>
      <c r="P230">
        <f t="shared" si="34"/>
        <v>7.7116512992455988</v>
      </c>
      <c r="Q230">
        <f t="shared" si="35"/>
        <v>3.0176026823134956</v>
      </c>
    </row>
    <row r="231" spans="1:17" x14ac:dyDescent="0.3">
      <c r="A231">
        <v>51019512</v>
      </c>
      <c r="B231" t="str">
        <f>VLOOKUP(A231,ASESORES!$A$2:$B$993,2,0)</f>
        <v>BELUZZO</v>
      </c>
      <c r="C231">
        <v>55227238.280000001</v>
      </c>
      <c r="D231">
        <v>80027458.980000004</v>
      </c>
      <c r="E231">
        <v>88436079.5</v>
      </c>
      <c r="F231">
        <v>73538093</v>
      </c>
      <c r="G231">
        <v>101051285</v>
      </c>
      <c r="H231">
        <v>115655682</v>
      </c>
      <c r="I231">
        <f t="shared" si="27"/>
        <v>0.33155477786458665</v>
      </c>
      <c r="J231">
        <f t="shared" si="28"/>
        <v>0.26270765419721931</v>
      </c>
      <c r="K231">
        <f t="shared" si="29"/>
        <v>0.3077884349226494</v>
      </c>
      <c r="L231">
        <f t="shared" si="30"/>
        <v>2.6081797592473732</v>
      </c>
      <c r="M231">
        <f t="shared" si="31"/>
        <v>2.1028544098443986</v>
      </c>
      <c r="N231">
        <f t="shared" si="32"/>
        <v>2.4817495434179442</v>
      </c>
      <c r="O231">
        <f t="shared" si="33"/>
        <v>57.41827326068735</v>
      </c>
      <c r="P231">
        <f t="shared" si="34"/>
        <v>49.874266554903606</v>
      </c>
      <c r="Q231">
        <f t="shared" si="35"/>
        <v>65.632858340318521</v>
      </c>
    </row>
    <row r="232" spans="1:17" x14ac:dyDescent="0.3">
      <c r="A232">
        <v>51014391</v>
      </c>
      <c r="B232" t="str">
        <f>VLOOKUP(A232,ASESORES!$A$2:$B$993,2,0)</f>
        <v>LÓPEZ</v>
      </c>
      <c r="C232">
        <v>60245966.759999998</v>
      </c>
      <c r="D232">
        <v>72944682.209999993</v>
      </c>
      <c r="E232">
        <v>95817024.219999999</v>
      </c>
      <c r="F232">
        <v>75718214</v>
      </c>
      <c r="G232">
        <v>91888847</v>
      </c>
      <c r="H232">
        <v>115612810</v>
      </c>
      <c r="I232">
        <f t="shared" si="27"/>
        <v>0.25681797590926414</v>
      </c>
      <c r="J232">
        <f t="shared" si="28"/>
        <v>0.25970590612022648</v>
      </c>
      <c r="K232">
        <f t="shared" si="29"/>
        <v>0.2065998807742977</v>
      </c>
      <c r="L232">
        <f t="shared" si="30"/>
        <v>2.0235202886267523</v>
      </c>
      <c r="M232">
        <f t="shared" si="31"/>
        <v>2.0681063817016287</v>
      </c>
      <c r="N232">
        <f t="shared" si="32"/>
        <v>1.6658160693898254</v>
      </c>
      <c r="O232">
        <f t="shared" si="33"/>
        <v>47.275775356244758</v>
      </c>
      <c r="P232">
        <f t="shared" si="34"/>
        <v>49.371332774518024</v>
      </c>
      <c r="Q232">
        <f t="shared" si="35"/>
        <v>54.400670578373841</v>
      </c>
    </row>
    <row r="233" spans="1:17" x14ac:dyDescent="0.3">
      <c r="A233">
        <v>51042689</v>
      </c>
      <c r="B233" t="str">
        <f>VLOOKUP(A233,ASESORES!$A$2:$B$993,2,0)</f>
        <v>LÓPEZ</v>
      </c>
      <c r="C233">
        <v>54796021.609999999</v>
      </c>
      <c r="D233">
        <v>68351972.439999998</v>
      </c>
      <c r="E233">
        <v>84648056.719999999</v>
      </c>
      <c r="F233">
        <v>64944007</v>
      </c>
      <c r="G233">
        <v>93554672</v>
      </c>
      <c r="H233">
        <v>115518700</v>
      </c>
      <c r="I233">
        <f t="shared" si="27"/>
        <v>0.18519566004675125</v>
      </c>
      <c r="J233">
        <f t="shared" si="28"/>
        <v>0.3687194189183518</v>
      </c>
      <c r="K233">
        <f t="shared" si="29"/>
        <v>0.36469405768066632</v>
      </c>
      <c r="L233">
        <f t="shared" si="30"/>
        <v>1.4468483317067788</v>
      </c>
      <c r="M233">
        <f t="shared" si="31"/>
        <v>2.9390866321247349</v>
      </c>
      <c r="N233">
        <f t="shared" si="32"/>
        <v>2.9404013803592286</v>
      </c>
      <c r="O233">
        <f t="shared" si="33"/>
        <v>39.480301760268233</v>
      </c>
      <c r="P233">
        <f t="shared" si="34"/>
        <v>62.363788767812231</v>
      </c>
      <c r="Q233">
        <f t="shared" si="35"/>
        <v>73.009220452640406</v>
      </c>
    </row>
    <row r="234" spans="1:17" x14ac:dyDescent="0.3">
      <c r="A234">
        <v>51013867</v>
      </c>
      <c r="B234" t="str">
        <f>VLOOKUP(A234,ASESORES!$A$2:$B$993,2,0)</f>
        <v>PRADES</v>
      </c>
      <c r="C234">
        <v>16679921.210000001</v>
      </c>
      <c r="D234">
        <v>50580727.709999993</v>
      </c>
      <c r="E234">
        <v>71845430.650000006</v>
      </c>
      <c r="F234">
        <v>73426352</v>
      </c>
      <c r="G234">
        <v>103090121</v>
      </c>
      <c r="H234">
        <v>115462359</v>
      </c>
      <c r="I234">
        <f t="shared" si="27"/>
        <v>3.4020802661813052</v>
      </c>
      <c r="J234">
        <f t="shared" si="28"/>
        <v>1.0381304434973306</v>
      </c>
      <c r="K234">
        <f t="shared" si="29"/>
        <v>0.60709397877344329</v>
      </c>
      <c r="L234">
        <f t="shared" si="30"/>
        <v>26.76025970238581</v>
      </c>
      <c r="M234">
        <f t="shared" si="31"/>
        <v>8.3187645693021626</v>
      </c>
      <c r="N234">
        <f t="shared" si="32"/>
        <v>4.8946590370146206</v>
      </c>
      <c r="O234">
        <f t="shared" si="33"/>
        <v>99.413243922883481</v>
      </c>
      <c r="P234">
        <f t="shared" si="34"/>
        <v>95.97652975691534</v>
      </c>
      <c r="Q234">
        <f t="shared" si="35"/>
        <v>90.695725062866728</v>
      </c>
    </row>
    <row r="235" spans="1:17" x14ac:dyDescent="0.3">
      <c r="A235">
        <v>51021258</v>
      </c>
      <c r="B235" t="str">
        <f>VLOOKUP(A235,ASESORES!$A$2:$B$993,2,0)</f>
        <v>CICHETTO</v>
      </c>
      <c r="C235">
        <v>40964216.229999997</v>
      </c>
      <c r="D235">
        <v>64182386.820000008</v>
      </c>
      <c r="E235">
        <v>77286929.719999999</v>
      </c>
      <c r="F235">
        <v>58615858</v>
      </c>
      <c r="G235">
        <v>100725492</v>
      </c>
      <c r="H235">
        <v>115438974</v>
      </c>
      <c r="I235">
        <f t="shared" si="27"/>
        <v>0.43090393017388884</v>
      </c>
      <c r="J235">
        <f t="shared" si="28"/>
        <v>0.56936344985868792</v>
      </c>
      <c r="K235">
        <f t="shared" si="29"/>
        <v>0.49364160820231384</v>
      </c>
      <c r="L235">
        <f t="shared" si="30"/>
        <v>3.3472682476293323</v>
      </c>
      <c r="M235">
        <f t="shared" si="31"/>
        <v>4.5566950570060953</v>
      </c>
      <c r="N235">
        <f t="shared" si="32"/>
        <v>3.9799126333471393</v>
      </c>
      <c r="O235">
        <f t="shared" si="33"/>
        <v>69.237217099748534</v>
      </c>
      <c r="P235">
        <f t="shared" si="34"/>
        <v>80.720871751886008</v>
      </c>
      <c r="Q235">
        <f t="shared" si="35"/>
        <v>83.487007544006701</v>
      </c>
    </row>
    <row r="236" spans="1:17" x14ac:dyDescent="0.3">
      <c r="A236">
        <v>51024591</v>
      </c>
      <c r="B236" t="str">
        <f>VLOOKUP(A236,ASESORES!$A$2:$B$993,2,0)</f>
        <v>ROBERTS</v>
      </c>
      <c r="C236">
        <v>59020334.340000004</v>
      </c>
      <c r="D236">
        <v>76056653.640000001</v>
      </c>
      <c r="E236">
        <v>126004083.09</v>
      </c>
      <c r="F236">
        <v>107030174</v>
      </c>
      <c r="G236">
        <v>90167152</v>
      </c>
      <c r="H236">
        <v>115431302</v>
      </c>
      <c r="I236">
        <f t="shared" si="27"/>
        <v>0.81344574199509689</v>
      </c>
      <c r="J236">
        <f t="shared" si="28"/>
        <v>0.18552615300154307</v>
      </c>
      <c r="K236">
        <f t="shared" si="29"/>
        <v>-8.3908241945209516E-2</v>
      </c>
      <c r="L236">
        <f t="shared" si="30"/>
        <v>6.5315676543074357</v>
      </c>
      <c r="M236">
        <f t="shared" si="31"/>
        <v>1.4758695177547758</v>
      </c>
      <c r="N236">
        <f t="shared" si="32"/>
        <v>-0.67649539878969267</v>
      </c>
      <c r="O236">
        <f t="shared" si="33"/>
        <v>92.5398155909472</v>
      </c>
      <c r="P236">
        <f t="shared" si="34"/>
        <v>41.82732606873428</v>
      </c>
      <c r="Q236">
        <f t="shared" si="35"/>
        <v>10.226320201173513</v>
      </c>
    </row>
    <row r="237" spans="1:17" x14ac:dyDescent="0.3">
      <c r="A237">
        <v>51021665</v>
      </c>
      <c r="B237" t="str">
        <f>VLOOKUP(A237,ASESORES!$A$2:$B$993,2,0)</f>
        <v>AYALA</v>
      </c>
      <c r="C237">
        <v>54955468.720000014</v>
      </c>
      <c r="D237">
        <v>68005025.400000006</v>
      </c>
      <c r="E237">
        <v>95837019.039999992</v>
      </c>
      <c r="F237">
        <v>86229204</v>
      </c>
      <c r="G237">
        <v>79068329</v>
      </c>
      <c r="H237">
        <v>115389103</v>
      </c>
      <c r="I237">
        <f t="shared" si="27"/>
        <v>0.56907412507644572</v>
      </c>
      <c r="J237">
        <f t="shared" si="28"/>
        <v>0.16268361837859113</v>
      </c>
      <c r="K237">
        <f t="shared" si="29"/>
        <v>0.20401389938724468</v>
      </c>
      <c r="L237">
        <f t="shared" si="30"/>
        <v>4.5159755715316532</v>
      </c>
      <c r="M237">
        <f t="shared" si="31"/>
        <v>1.2848756345348074</v>
      </c>
      <c r="N237">
        <f t="shared" si="32"/>
        <v>1.6447936777978933</v>
      </c>
      <c r="O237">
        <f t="shared" si="33"/>
        <v>81.894383906119032</v>
      </c>
      <c r="P237">
        <f t="shared" si="34"/>
        <v>38.558256496227997</v>
      </c>
      <c r="Q237">
        <f t="shared" si="35"/>
        <v>54.23302598491199</v>
      </c>
    </row>
    <row r="238" spans="1:17" x14ac:dyDescent="0.3">
      <c r="A238">
        <v>51030273</v>
      </c>
      <c r="B238" t="str">
        <f>VLOOKUP(A238,ASESORES!$A$2:$B$993,2,0)</f>
        <v>NELLI</v>
      </c>
      <c r="C238">
        <v>61881389.700000003</v>
      </c>
      <c r="D238">
        <v>76521550.629999995</v>
      </c>
      <c r="E238">
        <v>114802484.86</v>
      </c>
      <c r="F238">
        <v>89445009</v>
      </c>
      <c r="G238">
        <v>133270359</v>
      </c>
      <c r="H238">
        <v>115151370</v>
      </c>
      <c r="I238">
        <f t="shared" si="27"/>
        <v>0.44542663688756812</v>
      </c>
      <c r="J238">
        <f t="shared" si="28"/>
        <v>0.74160557258430471</v>
      </c>
      <c r="K238">
        <f t="shared" si="29"/>
        <v>3.0390033841642961E-3</v>
      </c>
      <c r="L238">
        <f t="shared" si="30"/>
        <v>3.5418348970356424</v>
      </c>
      <c r="M238">
        <f t="shared" si="31"/>
        <v>6.0253476895038514</v>
      </c>
      <c r="N238">
        <f t="shared" si="32"/>
        <v>2.4498224103818626E-2</v>
      </c>
      <c r="O238">
        <f t="shared" si="33"/>
        <v>71.584241408214595</v>
      </c>
      <c r="P238">
        <f t="shared" si="34"/>
        <v>90.947191953059516</v>
      </c>
      <c r="Q238">
        <f t="shared" si="35"/>
        <v>32.271584241408213</v>
      </c>
    </row>
    <row r="239" spans="1:17" x14ac:dyDescent="0.3">
      <c r="A239">
        <v>51024559</v>
      </c>
      <c r="B239" t="str">
        <f>VLOOKUP(A239,ASESORES!$A$2:$B$993,2,0)</f>
        <v>ARGUELLO</v>
      </c>
      <c r="C239">
        <v>106507213.63</v>
      </c>
      <c r="D239">
        <v>85101066.789999992</v>
      </c>
      <c r="E239">
        <v>124766233.73</v>
      </c>
      <c r="F239">
        <v>128478698</v>
      </c>
      <c r="G239">
        <v>117894333</v>
      </c>
      <c r="H239">
        <v>115131513</v>
      </c>
      <c r="I239">
        <f t="shared" si="27"/>
        <v>0.20629104472047954</v>
      </c>
      <c r="J239">
        <f t="shared" si="28"/>
        <v>0.38534494862352853</v>
      </c>
      <c r="K239">
        <f t="shared" si="29"/>
        <v>-7.7222181370401821E-2</v>
      </c>
      <c r="L239">
        <f t="shared" si="30"/>
        <v>1.6727792446151246</v>
      </c>
      <c r="M239">
        <f t="shared" si="31"/>
        <v>3.1103090283205566</v>
      </c>
      <c r="N239">
        <f t="shared" si="32"/>
        <v>-0.62250300149936544</v>
      </c>
      <c r="O239">
        <f t="shared" si="33"/>
        <v>42.917015926236381</v>
      </c>
      <c r="P239">
        <f t="shared" si="34"/>
        <v>64.543168482816426</v>
      </c>
      <c r="Q239">
        <f t="shared" si="35"/>
        <v>10.645431684828164</v>
      </c>
    </row>
    <row r="240" spans="1:17" x14ac:dyDescent="0.3">
      <c r="A240">
        <v>51007565</v>
      </c>
      <c r="B240" t="str">
        <f>VLOOKUP(A240,ASESORES!$A$2:$B$993,2,0)</f>
        <v>LÓPEZ</v>
      </c>
      <c r="C240">
        <v>44964072.32</v>
      </c>
      <c r="D240">
        <v>60068339.489999987</v>
      </c>
      <c r="E240">
        <v>92133555.5</v>
      </c>
      <c r="F240">
        <v>76311979</v>
      </c>
      <c r="G240">
        <v>98266555</v>
      </c>
      <c r="H240">
        <v>115025768</v>
      </c>
      <c r="I240">
        <f t="shared" si="27"/>
        <v>0.69717676941944751</v>
      </c>
      <c r="J240">
        <f t="shared" si="28"/>
        <v>0.63591262609080701</v>
      </c>
      <c r="K240">
        <f t="shared" si="29"/>
        <v>0.24846769861171802</v>
      </c>
      <c r="L240">
        <f t="shared" si="30"/>
        <v>5.4955605245766659</v>
      </c>
      <c r="M240">
        <f t="shared" si="31"/>
        <v>5.0824717171520213</v>
      </c>
      <c r="N240">
        <f t="shared" si="32"/>
        <v>2.0028472178209826</v>
      </c>
      <c r="O240">
        <f t="shared" si="33"/>
        <v>88.264878457669738</v>
      </c>
      <c r="P240">
        <f t="shared" si="34"/>
        <v>85.414920368818102</v>
      </c>
      <c r="Q240">
        <f t="shared" si="35"/>
        <v>58.507963118189444</v>
      </c>
    </row>
    <row r="241" spans="1:17" x14ac:dyDescent="0.3">
      <c r="A241">
        <v>51032136</v>
      </c>
      <c r="B241" t="str">
        <f>VLOOKUP(A241,ASESORES!$A$2:$B$993,2,0)</f>
        <v>ROBERTS</v>
      </c>
      <c r="C241">
        <v>54397403.590000004</v>
      </c>
      <c r="D241">
        <v>71463216.75</v>
      </c>
      <c r="E241">
        <v>83055926.040000007</v>
      </c>
      <c r="F241">
        <v>60313942</v>
      </c>
      <c r="G241">
        <v>77233696</v>
      </c>
      <c r="H241">
        <v>114954314</v>
      </c>
      <c r="I241">
        <f t="shared" si="27"/>
        <v>0.10876508839638155</v>
      </c>
      <c r="J241">
        <f t="shared" si="28"/>
        <v>8.0747544155294504E-2</v>
      </c>
      <c r="K241">
        <f t="shared" si="29"/>
        <v>0.38405914521544937</v>
      </c>
      <c r="L241">
        <f t="shared" si="30"/>
        <v>0.84623782042694673</v>
      </c>
      <c r="M241">
        <f t="shared" si="31"/>
        <v>0.63692102935669859</v>
      </c>
      <c r="N241">
        <f t="shared" si="32"/>
        <v>3.0957184467559435</v>
      </c>
      <c r="O241">
        <f t="shared" si="33"/>
        <v>30.762782900251466</v>
      </c>
      <c r="P241">
        <f t="shared" si="34"/>
        <v>32.271584241408213</v>
      </c>
      <c r="Q241">
        <f t="shared" si="35"/>
        <v>75.272422464375524</v>
      </c>
    </row>
    <row r="242" spans="1:17" x14ac:dyDescent="0.3">
      <c r="A242">
        <v>51057066</v>
      </c>
      <c r="B242" t="str">
        <f>VLOOKUP(A242,ASESORES!$A$2:$B$993,2,0)</f>
        <v>LÓPEZ</v>
      </c>
      <c r="C242">
        <v>61423826.640000001</v>
      </c>
      <c r="D242">
        <v>73624382.920000002</v>
      </c>
      <c r="E242">
        <v>90356724.200000003</v>
      </c>
      <c r="F242">
        <v>74048838</v>
      </c>
      <c r="G242">
        <v>96175620</v>
      </c>
      <c r="H242">
        <v>114944309</v>
      </c>
      <c r="I242">
        <f t="shared" si="27"/>
        <v>0.20553931675397163</v>
      </c>
      <c r="J242">
        <f t="shared" si="28"/>
        <v>0.30630120329163368</v>
      </c>
      <c r="K242">
        <f t="shared" si="29"/>
        <v>0.27211682381907321</v>
      </c>
      <c r="L242">
        <f t="shared" si="30"/>
        <v>1.617495403838056</v>
      </c>
      <c r="M242">
        <f t="shared" si="31"/>
        <v>2.4452224138272465</v>
      </c>
      <c r="N242">
        <f t="shared" si="32"/>
        <v>2.1933942498072865</v>
      </c>
      <c r="O242">
        <f t="shared" si="33"/>
        <v>41.659681475272421</v>
      </c>
      <c r="P242">
        <f t="shared" si="34"/>
        <v>54.652137468566643</v>
      </c>
      <c r="Q242">
        <f t="shared" si="35"/>
        <v>61.441743503772003</v>
      </c>
    </row>
    <row r="243" spans="1:17" x14ac:dyDescent="0.3">
      <c r="A243">
        <v>51021215</v>
      </c>
      <c r="B243" t="str">
        <f>VLOOKUP(A243,ASESORES!$A$2:$B$993,2,0)</f>
        <v>AYALA</v>
      </c>
      <c r="C243">
        <v>70390550.069999993</v>
      </c>
      <c r="D243">
        <v>91291004.680000007</v>
      </c>
      <c r="E243">
        <v>107733350.76000001</v>
      </c>
      <c r="F243">
        <v>93389939</v>
      </c>
      <c r="G243">
        <v>78927804</v>
      </c>
      <c r="H243">
        <v>114888247</v>
      </c>
      <c r="I243">
        <f t="shared" si="27"/>
        <v>0.32673972439664456</v>
      </c>
      <c r="J243">
        <f t="shared" si="28"/>
        <v>-0.13542627472812263</v>
      </c>
      <c r="K243">
        <f t="shared" si="29"/>
        <v>6.6413011286905244E-2</v>
      </c>
      <c r="L243">
        <f t="shared" si="30"/>
        <v>2.6042136553310149</v>
      </c>
      <c r="M243">
        <f t="shared" si="31"/>
        <v>-1.069492442231446</v>
      </c>
      <c r="N243">
        <f t="shared" si="32"/>
        <v>0.53530717459036092</v>
      </c>
      <c r="O243">
        <f t="shared" si="33"/>
        <v>57.166806370494548</v>
      </c>
      <c r="P243">
        <f t="shared" si="34"/>
        <v>6.3704945515507125</v>
      </c>
      <c r="Q243">
        <f t="shared" si="35"/>
        <v>37.552388935456833</v>
      </c>
    </row>
    <row r="244" spans="1:17" x14ac:dyDescent="0.3">
      <c r="A244">
        <v>51040937</v>
      </c>
      <c r="B244" t="str">
        <f>VLOOKUP(A244,ASESORES!$A$2:$B$993,2,0)</f>
        <v>PRADES</v>
      </c>
      <c r="C244">
        <v>40565848.659999996</v>
      </c>
      <c r="D244">
        <v>52592848.590000004</v>
      </c>
      <c r="E244">
        <v>76389732.629999995</v>
      </c>
      <c r="F244">
        <v>60426545</v>
      </c>
      <c r="G244">
        <v>71728710</v>
      </c>
      <c r="H244">
        <v>114561742</v>
      </c>
      <c r="I244">
        <f t="shared" si="27"/>
        <v>0.4895915405705209</v>
      </c>
      <c r="J244">
        <f t="shared" si="28"/>
        <v>0.36384911490872329</v>
      </c>
      <c r="K244">
        <f t="shared" si="29"/>
        <v>0.49970078511583882</v>
      </c>
      <c r="L244">
        <f t="shared" si="30"/>
        <v>3.8096232881956267</v>
      </c>
      <c r="M244">
        <f t="shared" si="31"/>
        <v>2.8582869524550749</v>
      </c>
      <c r="N244">
        <f t="shared" si="32"/>
        <v>4.0271084197959475</v>
      </c>
      <c r="O244">
        <f t="shared" si="33"/>
        <v>75.440067057837396</v>
      </c>
      <c r="P244">
        <f t="shared" si="34"/>
        <v>60.93880972338642</v>
      </c>
      <c r="Q244">
        <f t="shared" si="35"/>
        <v>84.241408214585078</v>
      </c>
    </row>
    <row r="245" spans="1:17" x14ac:dyDescent="0.3">
      <c r="A245">
        <v>51014430</v>
      </c>
      <c r="B245" t="str">
        <f>VLOOKUP(A245,ASESORES!$A$2:$B$993,2,0)</f>
        <v>AYALA</v>
      </c>
      <c r="C245">
        <v>46880840.630000003</v>
      </c>
      <c r="D245">
        <v>59302639.670000002</v>
      </c>
      <c r="E245">
        <v>77197502.949999988</v>
      </c>
      <c r="F245">
        <v>64893839</v>
      </c>
      <c r="G245">
        <v>85410286</v>
      </c>
      <c r="H245">
        <v>114402722</v>
      </c>
      <c r="I245">
        <f t="shared" si="27"/>
        <v>0.38422942353284317</v>
      </c>
      <c r="J245">
        <f t="shared" si="28"/>
        <v>0.44024425346461138</v>
      </c>
      <c r="K245">
        <f t="shared" si="29"/>
        <v>0.4819484779721106</v>
      </c>
      <c r="L245">
        <f t="shared" si="30"/>
        <v>3.0016784346391727</v>
      </c>
      <c r="M245">
        <f t="shared" si="31"/>
        <v>3.4918017763341163</v>
      </c>
      <c r="N245">
        <f t="shared" si="32"/>
        <v>3.8837511374813674</v>
      </c>
      <c r="O245">
        <f t="shared" si="33"/>
        <v>64.124056999161766</v>
      </c>
      <c r="P245">
        <f t="shared" si="34"/>
        <v>69.907795473595982</v>
      </c>
      <c r="Q245">
        <f t="shared" si="35"/>
        <v>82.564962279966466</v>
      </c>
    </row>
    <row r="246" spans="1:17" x14ac:dyDescent="0.3">
      <c r="A246">
        <v>51055853</v>
      </c>
      <c r="B246" t="str">
        <f>VLOOKUP(A246,ASESORES!$A$2:$B$993,2,0)</f>
        <v>ROBERTS</v>
      </c>
      <c r="C246">
        <v>80598218.449999988</v>
      </c>
      <c r="D246">
        <v>117292118.06</v>
      </c>
      <c r="E246">
        <v>141292200.28</v>
      </c>
      <c r="F246">
        <v>126091675</v>
      </c>
      <c r="G246">
        <v>94717574</v>
      </c>
      <c r="H246">
        <v>114155578</v>
      </c>
      <c r="I246">
        <f t="shared" si="27"/>
        <v>0.56444742110797885</v>
      </c>
      <c r="J246">
        <f t="shared" si="28"/>
        <v>-0.1924642885931358</v>
      </c>
      <c r="K246">
        <f t="shared" si="29"/>
        <v>-0.1920602993386975</v>
      </c>
      <c r="L246">
        <f t="shared" si="30"/>
        <v>4.572411555544452</v>
      </c>
      <c r="M246">
        <f t="shared" si="31"/>
        <v>-1.5351780343866357</v>
      </c>
      <c r="N246">
        <f t="shared" si="32"/>
        <v>-1.5475253121176125</v>
      </c>
      <c r="O246">
        <f t="shared" si="33"/>
        <v>82.481139983235536</v>
      </c>
      <c r="P246">
        <f t="shared" si="34"/>
        <v>5.1969823973176865</v>
      </c>
      <c r="Q246">
        <f t="shared" si="35"/>
        <v>5.3646269907795476</v>
      </c>
    </row>
    <row r="247" spans="1:17" x14ac:dyDescent="0.3">
      <c r="A247">
        <v>51056515</v>
      </c>
      <c r="B247" t="str">
        <f>VLOOKUP(A247,ASESORES!$A$2:$B$993,2,0)</f>
        <v>BELUZZO</v>
      </c>
      <c r="C247">
        <v>43383373.920000002</v>
      </c>
      <c r="D247">
        <v>64416706.070000008</v>
      </c>
      <c r="E247">
        <v>85951571.00999999</v>
      </c>
      <c r="F247">
        <v>75078021</v>
      </c>
      <c r="G247">
        <v>82056235</v>
      </c>
      <c r="H247">
        <v>113993569</v>
      </c>
      <c r="I247">
        <f t="shared" si="27"/>
        <v>0.73057128148782757</v>
      </c>
      <c r="J247">
        <f t="shared" si="28"/>
        <v>0.27383469298836172</v>
      </c>
      <c r="K247">
        <f t="shared" si="29"/>
        <v>0.32625346646354458</v>
      </c>
      <c r="L247">
        <f t="shared" si="30"/>
        <v>5.7536234906695976</v>
      </c>
      <c r="M247">
        <f t="shared" si="31"/>
        <v>2.1671583165050152</v>
      </c>
      <c r="N247">
        <f t="shared" si="32"/>
        <v>2.6285851434294356</v>
      </c>
      <c r="O247">
        <f t="shared" si="33"/>
        <v>89.522212908633691</v>
      </c>
      <c r="P247">
        <f t="shared" si="34"/>
        <v>51.04777870913663</v>
      </c>
      <c r="Q247">
        <f t="shared" si="35"/>
        <v>67.812238055322709</v>
      </c>
    </row>
    <row r="248" spans="1:17" x14ac:dyDescent="0.3">
      <c r="A248">
        <v>51020952</v>
      </c>
      <c r="B248" t="str">
        <f>VLOOKUP(A248,ASESORES!$A$2:$B$993,2,0)</f>
        <v>METTLER</v>
      </c>
      <c r="C248">
        <v>48418074.189999998</v>
      </c>
      <c r="D248">
        <v>61894427.280000001</v>
      </c>
      <c r="E248">
        <v>83955513.25</v>
      </c>
      <c r="F248">
        <v>76421244</v>
      </c>
      <c r="G248">
        <v>107030468</v>
      </c>
      <c r="H248">
        <v>113310180</v>
      </c>
      <c r="I248">
        <f t="shared" si="27"/>
        <v>0.5783619088217189</v>
      </c>
      <c r="J248">
        <f t="shared" si="28"/>
        <v>0.72924240038302846</v>
      </c>
      <c r="K248">
        <f t="shared" si="29"/>
        <v>0.34964549216188612</v>
      </c>
      <c r="L248">
        <f t="shared" si="30"/>
        <v>4.5593507562270741</v>
      </c>
      <c r="M248">
        <f t="shared" si="31"/>
        <v>5.8554572680781183</v>
      </c>
      <c r="N248">
        <f t="shared" si="32"/>
        <v>2.8161388238419085</v>
      </c>
      <c r="O248">
        <f t="shared" si="33"/>
        <v>82.229673093042749</v>
      </c>
      <c r="P248">
        <f t="shared" si="34"/>
        <v>90.192791282481139</v>
      </c>
      <c r="Q248">
        <f t="shared" si="35"/>
        <v>70.662196144174345</v>
      </c>
    </row>
    <row r="249" spans="1:17" x14ac:dyDescent="0.3">
      <c r="A249">
        <v>51022611</v>
      </c>
      <c r="B249" t="str">
        <f>VLOOKUP(A249,ASESORES!$A$2:$B$993,2,0)</f>
        <v>LÓPEZ</v>
      </c>
      <c r="C249">
        <v>63315209.719999999</v>
      </c>
      <c r="D249">
        <v>77244893.599999994</v>
      </c>
      <c r="E249">
        <v>97873405.260000005</v>
      </c>
      <c r="F249">
        <v>71307017</v>
      </c>
      <c r="G249">
        <v>111303624</v>
      </c>
      <c r="H249">
        <v>113076764</v>
      </c>
      <c r="I249">
        <f t="shared" si="27"/>
        <v>0.12622255087430512</v>
      </c>
      <c r="J249">
        <f t="shared" si="28"/>
        <v>0.44091885965132604</v>
      </c>
      <c r="K249">
        <f t="shared" si="29"/>
        <v>0.15533697534700441</v>
      </c>
      <c r="L249">
        <f t="shared" si="30"/>
        <v>0.9912423873344085</v>
      </c>
      <c r="M249">
        <f t="shared" si="31"/>
        <v>3.547857706940456</v>
      </c>
      <c r="N249">
        <f t="shared" si="32"/>
        <v>1.2509866608649176</v>
      </c>
      <c r="O249">
        <f t="shared" si="33"/>
        <v>32.858340318524725</v>
      </c>
      <c r="P249">
        <f t="shared" si="34"/>
        <v>70.997485331098076</v>
      </c>
      <c r="Q249">
        <f t="shared" si="35"/>
        <v>47.862531433361269</v>
      </c>
    </row>
    <row r="250" spans="1:17" x14ac:dyDescent="0.3">
      <c r="A250">
        <v>51056761</v>
      </c>
      <c r="B250" t="str">
        <f>VLOOKUP(A250,ASESORES!$A$2:$B$993,2,0)</f>
        <v>LÓPEZ</v>
      </c>
      <c r="C250">
        <v>24936010.949999999</v>
      </c>
      <c r="D250">
        <v>37455590.709999993</v>
      </c>
      <c r="E250">
        <v>53835673.100000001</v>
      </c>
      <c r="F250">
        <v>66918103</v>
      </c>
      <c r="G250">
        <v>81216406</v>
      </c>
      <c r="H250">
        <v>112912839</v>
      </c>
      <c r="I250">
        <f t="shared" si="27"/>
        <v>1.68359294251914</v>
      </c>
      <c r="J250">
        <f t="shared" si="28"/>
        <v>1.1683386768298019</v>
      </c>
      <c r="K250">
        <f t="shared" si="29"/>
        <v>1.0973609597165042</v>
      </c>
      <c r="L250">
        <f t="shared" si="30"/>
        <v>13.175030011772821</v>
      </c>
      <c r="M250">
        <f t="shared" si="31"/>
        <v>9.2411427330694789</v>
      </c>
      <c r="N250">
        <f t="shared" si="32"/>
        <v>8.8367661458118292</v>
      </c>
      <c r="O250">
        <f t="shared" si="33"/>
        <v>98.658843252305118</v>
      </c>
      <c r="P250">
        <f t="shared" si="34"/>
        <v>96.982397317686505</v>
      </c>
      <c r="Q250">
        <f t="shared" si="35"/>
        <v>97.820620284995812</v>
      </c>
    </row>
    <row r="251" spans="1:17" x14ac:dyDescent="0.3">
      <c r="A251">
        <v>51031741</v>
      </c>
      <c r="B251" t="str">
        <f>VLOOKUP(A251,ASESORES!$A$2:$B$993,2,0)</f>
        <v>NELLI</v>
      </c>
      <c r="C251">
        <v>38246344.299999997</v>
      </c>
      <c r="D251">
        <v>63344604.920000002</v>
      </c>
      <c r="E251">
        <v>81642879.060000002</v>
      </c>
      <c r="F251">
        <v>66973951</v>
      </c>
      <c r="G251">
        <v>102764770</v>
      </c>
      <c r="H251">
        <v>112721764</v>
      </c>
      <c r="I251">
        <f t="shared" si="27"/>
        <v>0.75112032864275613</v>
      </c>
      <c r="J251">
        <f t="shared" si="28"/>
        <v>0.62231290462360644</v>
      </c>
      <c r="K251">
        <f t="shared" si="29"/>
        <v>0.38066865472933498</v>
      </c>
      <c r="L251">
        <f t="shared" si="30"/>
        <v>5.8781970266052443</v>
      </c>
      <c r="M251">
        <f t="shared" si="31"/>
        <v>4.9858740694549706</v>
      </c>
      <c r="N251">
        <f t="shared" si="32"/>
        <v>3.0651469681484067</v>
      </c>
      <c r="O251">
        <f t="shared" si="33"/>
        <v>90.192791282481139</v>
      </c>
      <c r="P251">
        <f t="shared" si="34"/>
        <v>84.57669740150881</v>
      </c>
      <c r="Q251">
        <f t="shared" si="35"/>
        <v>74.937133277451807</v>
      </c>
    </row>
    <row r="252" spans="1:17" x14ac:dyDescent="0.3">
      <c r="A252">
        <v>51056469</v>
      </c>
      <c r="B252" t="str">
        <f>VLOOKUP(A252,ASESORES!$A$2:$B$993,2,0)</f>
        <v>ROBERTS</v>
      </c>
      <c r="C252">
        <v>47298917.399999999</v>
      </c>
      <c r="D252">
        <v>68204469.25</v>
      </c>
      <c r="E252">
        <v>71885905</v>
      </c>
      <c r="F252">
        <v>65649913</v>
      </c>
      <c r="G252">
        <v>105219874</v>
      </c>
      <c r="H252">
        <v>112655272</v>
      </c>
      <c r="I252">
        <f t="shared" si="27"/>
        <v>0.38797918871606152</v>
      </c>
      <c r="J252">
        <f t="shared" si="28"/>
        <v>0.54271230546963012</v>
      </c>
      <c r="K252">
        <f t="shared" si="29"/>
        <v>0.56713992819593773</v>
      </c>
      <c r="L252">
        <f t="shared" si="30"/>
        <v>3.0329241654192485</v>
      </c>
      <c r="M252">
        <f t="shared" si="31"/>
        <v>4.3536911794739801</v>
      </c>
      <c r="N252">
        <f t="shared" si="32"/>
        <v>4.566469779181614</v>
      </c>
      <c r="O252">
        <f t="shared" si="33"/>
        <v>64.878457669740158</v>
      </c>
      <c r="P252">
        <f t="shared" si="34"/>
        <v>78.960603520536466</v>
      </c>
      <c r="Q252">
        <f t="shared" si="35"/>
        <v>88.935456831517172</v>
      </c>
    </row>
    <row r="253" spans="1:17" x14ac:dyDescent="0.3">
      <c r="A253">
        <v>51031130</v>
      </c>
      <c r="B253" t="str">
        <f>VLOOKUP(A253,ASESORES!$A$2:$B$993,2,0)</f>
        <v>METTLER</v>
      </c>
      <c r="C253">
        <v>50357283.540000007</v>
      </c>
      <c r="D253">
        <v>62181171.5</v>
      </c>
      <c r="E253">
        <v>82820033.479999989</v>
      </c>
      <c r="F253">
        <v>74422636</v>
      </c>
      <c r="G253">
        <v>112378019</v>
      </c>
      <c r="H253">
        <v>112529053</v>
      </c>
      <c r="I253">
        <f t="shared" si="27"/>
        <v>0.47789218893994367</v>
      </c>
      <c r="J253">
        <f t="shared" si="28"/>
        <v>0.80726763888647546</v>
      </c>
      <c r="K253">
        <f t="shared" si="29"/>
        <v>0.35871779171852625</v>
      </c>
      <c r="L253">
        <f t="shared" si="30"/>
        <v>3.761826356259002</v>
      </c>
      <c r="M253">
        <f t="shared" si="31"/>
        <v>6.4990545426680839</v>
      </c>
      <c r="N253">
        <f t="shared" si="32"/>
        <v>2.8881318808241039</v>
      </c>
      <c r="O253">
        <f t="shared" si="33"/>
        <v>74.769488683989934</v>
      </c>
      <c r="P253">
        <f t="shared" si="34"/>
        <v>92.372170997485327</v>
      </c>
      <c r="Q253">
        <f t="shared" si="35"/>
        <v>71.668063704945524</v>
      </c>
    </row>
    <row r="254" spans="1:17" x14ac:dyDescent="0.3">
      <c r="A254">
        <v>51014855</v>
      </c>
      <c r="B254" t="str">
        <f>VLOOKUP(A254,ASESORES!$A$2:$B$993,2,0)</f>
        <v>PRADES</v>
      </c>
      <c r="C254">
        <v>55523641.299999997</v>
      </c>
      <c r="D254">
        <v>79771770.189999998</v>
      </c>
      <c r="E254">
        <v>85256281.5</v>
      </c>
      <c r="F254">
        <v>72983060</v>
      </c>
      <c r="G254">
        <v>102751340</v>
      </c>
      <c r="H254">
        <v>112478312</v>
      </c>
      <c r="I254">
        <f t="shared" si="27"/>
        <v>0.3144501745781576</v>
      </c>
      <c r="J254">
        <f t="shared" si="28"/>
        <v>0.28806643948438637</v>
      </c>
      <c r="K254">
        <f t="shared" si="29"/>
        <v>0.31929647905181047</v>
      </c>
      <c r="L254">
        <f t="shared" si="30"/>
        <v>2.4725915521264712</v>
      </c>
      <c r="M254">
        <f t="shared" si="31"/>
        <v>2.3079270973893871</v>
      </c>
      <c r="N254">
        <f t="shared" si="32"/>
        <v>2.5706779172894749</v>
      </c>
      <c r="O254">
        <f t="shared" si="33"/>
        <v>55.490360435875942</v>
      </c>
      <c r="P254">
        <f t="shared" si="34"/>
        <v>52.221290863369653</v>
      </c>
      <c r="Q254">
        <f t="shared" si="35"/>
        <v>66.890192791282473</v>
      </c>
    </row>
    <row r="255" spans="1:17" x14ac:dyDescent="0.3">
      <c r="A255">
        <v>51055055</v>
      </c>
      <c r="B255" t="str">
        <f>VLOOKUP(A255,ASESORES!$A$2:$B$993,2,0)</f>
        <v>AYALA</v>
      </c>
      <c r="C255">
        <v>55329313.25</v>
      </c>
      <c r="D255">
        <v>63719849.920000002</v>
      </c>
      <c r="E255">
        <v>82638610.090000004</v>
      </c>
      <c r="F255">
        <v>71620407</v>
      </c>
      <c r="G255">
        <v>95330158</v>
      </c>
      <c r="H255">
        <v>112358566</v>
      </c>
      <c r="I255">
        <f t="shared" si="27"/>
        <v>0.29443874852359575</v>
      </c>
      <c r="J255">
        <f t="shared" si="28"/>
        <v>0.49608258838786656</v>
      </c>
      <c r="K255">
        <f t="shared" si="29"/>
        <v>0.35963765457372299</v>
      </c>
      <c r="L255">
        <f t="shared" si="30"/>
        <v>2.3128272004834547</v>
      </c>
      <c r="M255">
        <f t="shared" si="31"/>
        <v>3.9583572269274145</v>
      </c>
      <c r="N255">
        <f t="shared" si="32"/>
        <v>2.8953011272733482</v>
      </c>
      <c r="O255">
        <f t="shared" si="33"/>
        <v>52.97569153394803</v>
      </c>
      <c r="P255">
        <f t="shared" si="34"/>
        <v>74.769488683989934</v>
      </c>
      <c r="Q255">
        <f t="shared" si="35"/>
        <v>71.835708298407368</v>
      </c>
    </row>
    <row r="256" spans="1:17" x14ac:dyDescent="0.3">
      <c r="A256">
        <v>51008634</v>
      </c>
      <c r="B256" t="str">
        <f>VLOOKUP(A256,ASESORES!$A$2:$B$993,2,0)</f>
        <v>METTLER</v>
      </c>
      <c r="C256">
        <v>68747549.599999994</v>
      </c>
      <c r="D256">
        <v>86269356.789999992</v>
      </c>
      <c r="E256">
        <v>100980100.18000001</v>
      </c>
      <c r="F256">
        <v>85066687</v>
      </c>
      <c r="G256">
        <v>110351835</v>
      </c>
      <c r="H256">
        <v>112242702</v>
      </c>
      <c r="I256">
        <f t="shared" si="27"/>
        <v>0.2373777319330086</v>
      </c>
      <c r="J256">
        <f t="shared" si="28"/>
        <v>0.2791544889875841</v>
      </c>
      <c r="K256">
        <f t="shared" si="29"/>
        <v>0.1115328842011849</v>
      </c>
      <c r="L256">
        <f t="shared" si="30"/>
        <v>1.8823483294271832</v>
      </c>
      <c r="M256">
        <f t="shared" si="31"/>
        <v>2.2451780179107685</v>
      </c>
      <c r="N256">
        <f t="shared" si="32"/>
        <v>0.89785735260121202</v>
      </c>
      <c r="O256">
        <f t="shared" si="33"/>
        <v>45.347862531433364</v>
      </c>
      <c r="P256">
        <f t="shared" si="34"/>
        <v>51.466890192791283</v>
      </c>
      <c r="Q256">
        <f t="shared" si="35"/>
        <v>42.414082145850799</v>
      </c>
    </row>
    <row r="257" spans="1:17" x14ac:dyDescent="0.3">
      <c r="A257">
        <v>51021835</v>
      </c>
      <c r="B257" t="str">
        <f>VLOOKUP(A257,ASESORES!$A$2:$B$993,2,0)</f>
        <v>ROBERTS</v>
      </c>
      <c r="C257">
        <v>27118356.27</v>
      </c>
      <c r="D257">
        <v>48125749.049999997</v>
      </c>
      <c r="E257">
        <v>63732476.170000002</v>
      </c>
      <c r="F257">
        <v>57135555</v>
      </c>
      <c r="G257">
        <v>95803970</v>
      </c>
      <c r="H257">
        <v>111931725</v>
      </c>
      <c r="I257">
        <f t="shared" si="27"/>
        <v>1.1068959501504478</v>
      </c>
      <c r="J257">
        <f t="shared" si="28"/>
        <v>0.9907008595432969</v>
      </c>
      <c r="K257">
        <f t="shared" si="29"/>
        <v>0.75627453578664228</v>
      </c>
      <c r="L257">
        <f t="shared" si="30"/>
        <v>8.5860883356008753</v>
      </c>
      <c r="M257">
        <f t="shared" si="31"/>
        <v>7.9071634998246632</v>
      </c>
      <c r="N257">
        <f t="shared" si="32"/>
        <v>6.087218342480333</v>
      </c>
      <c r="O257">
        <f t="shared" si="33"/>
        <v>95.725062866722539</v>
      </c>
      <c r="P257">
        <f t="shared" si="34"/>
        <v>95.473595976529751</v>
      </c>
      <c r="Q257">
        <f t="shared" si="35"/>
        <v>94.886839899413246</v>
      </c>
    </row>
    <row r="258" spans="1:17" x14ac:dyDescent="0.3">
      <c r="A258">
        <v>51030320</v>
      </c>
      <c r="B258" t="str">
        <f>VLOOKUP(A258,ASESORES!$A$2:$B$993,2,0)</f>
        <v>NELLI</v>
      </c>
      <c r="C258">
        <v>63227949.349999987</v>
      </c>
      <c r="D258">
        <v>66048340.520000003</v>
      </c>
      <c r="E258">
        <v>85909323.730000004</v>
      </c>
      <c r="F258">
        <v>66697013</v>
      </c>
      <c r="G258">
        <v>88691096</v>
      </c>
      <c r="H258">
        <v>111770985</v>
      </c>
      <c r="I258">
        <f t="shared" ref="I258:I321" si="36">IFERROR(F258/C258-1,0)</f>
        <v>5.4865983883122915E-2</v>
      </c>
      <c r="J258">
        <f t="shared" ref="J258:J321" si="37">IFERROR(G258/D258-1,0)</f>
        <v>0.34282095964460413</v>
      </c>
      <c r="K258">
        <f t="shared" ref="K258:K321" si="38">IFERROR(H258/E258-1,0)</f>
        <v>0.30103439472157034</v>
      </c>
      <c r="L258">
        <f t="shared" ref="L258:L321" si="39">IFERROR(I258*LOG(F258),0)</f>
        <v>0.42927729479956367</v>
      </c>
      <c r="M258">
        <f t="shared" ref="M258:M321" si="40">IFERROR(J258*LOG(G258),0)</f>
        <v>2.7246998561875464</v>
      </c>
      <c r="N258">
        <f t="shared" ref="N258:N321" si="41">IFERROR(K258*LOG(H258),0)</f>
        <v>2.4228238725876632</v>
      </c>
      <c r="O258">
        <f t="shared" ref="O258:O321" si="42">RANK(L258,$L$2:$L$1194,1)/COUNT($L$2:$L$1194)*100</f>
        <v>26.655490360435873</v>
      </c>
      <c r="P258">
        <f t="shared" ref="P258:P321" si="43">RANK(M258,$M$2:$M$1194,1)/COUNT($M$2:$M$1194)*100</f>
        <v>58.843252305113161</v>
      </c>
      <c r="Q258">
        <f t="shared" ref="Q258:Q321" si="44">RANK(N258,$N$2:$N$1194,1)/COUNT($N$2:$N$1194)*100</f>
        <v>65.297569153394804</v>
      </c>
    </row>
    <row r="259" spans="1:17" x14ac:dyDescent="0.3">
      <c r="A259">
        <v>51033701</v>
      </c>
      <c r="B259" t="str">
        <f>VLOOKUP(A259,ASESORES!$A$2:$B$993,2,0)</f>
        <v>AYALA</v>
      </c>
      <c r="C259">
        <v>49580650.609999999</v>
      </c>
      <c r="D259">
        <v>63247509.479999997</v>
      </c>
      <c r="E259">
        <v>79603655.00999999</v>
      </c>
      <c r="F259">
        <v>67008408</v>
      </c>
      <c r="G259">
        <v>107444825</v>
      </c>
      <c r="H259">
        <v>111704009</v>
      </c>
      <c r="I259">
        <f t="shared" si="36"/>
        <v>0.35150320085725073</v>
      </c>
      <c r="J259">
        <f t="shared" si="37"/>
        <v>0.6987993026662338</v>
      </c>
      <c r="K259">
        <f t="shared" si="38"/>
        <v>0.40325226254959645</v>
      </c>
      <c r="L259">
        <f t="shared" si="39"/>
        <v>2.7509094992719665</v>
      </c>
      <c r="M259">
        <f t="shared" si="40"/>
        <v>5.6121868289822991</v>
      </c>
      <c r="N259">
        <f t="shared" si="41"/>
        <v>3.2454019366259805</v>
      </c>
      <c r="O259">
        <f t="shared" si="42"/>
        <v>60.100586756077114</v>
      </c>
      <c r="P259">
        <f t="shared" si="43"/>
        <v>89.186923721709974</v>
      </c>
      <c r="Q259">
        <f t="shared" si="44"/>
        <v>76.445934618608547</v>
      </c>
    </row>
    <row r="260" spans="1:17" x14ac:dyDescent="0.3">
      <c r="A260">
        <v>51013280</v>
      </c>
      <c r="B260" t="str">
        <f>VLOOKUP(A260,ASESORES!$A$2:$B$993,2,0)</f>
        <v>AYALA</v>
      </c>
      <c r="C260">
        <v>43596236.439999998</v>
      </c>
      <c r="D260">
        <v>51366226.229999997</v>
      </c>
      <c r="E260">
        <v>56198642.619999997</v>
      </c>
      <c r="F260">
        <v>55826719</v>
      </c>
      <c r="G260">
        <v>90124797</v>
      </c>
      <c r="H260">
        <v>111509761</v>
      </c>
      <c r="I260">
        <f t="shared" si="36"/>
        <v>0.28053987129903746</v>
      </c>
      <c r="J260">
        <f t="shared" si="37"/>
        <v>0.7545535970747137</v>
      </c>
      <c r="K260">
        <f t="shared" si="38"/>
        <v>0.98420737230254485</v>
      </c>
      <c r="L260">
        <f t="shared" si="39"/>
        <v>2.173298087003499</v>
      </c>
      <c r="M260">
        <f t="shared" si="40"/>
        <v>6.0023563803643158</v>
      </c>
      <c r="N260">
        <f t="shared" si="41"/>
        <v>7.9202246686310653</v>
      </c>
      <c r="O260">
        <f t="shared" si="42"/>
        <v>49.622799664710811</v>
      </c>
      <c r="P260">
        <f t="shared" si="43"/>
        <v>90.779547359597657</v>
      </c>
      <c r="Q260">
        <f t="shared" si="44"/>
        <v>97.066219614417435</v>
      </c>
    </row>
    <row r="261" spans="1:17" x14ac:dyDescent="0.3">
      <c r="A261">
        <v>51022785</v>
      </c>
      <c r="B261" t="str">
        <f>VLOOKUP(A261,ASESORES!$A$2:$B$993,2,0)</f>
        <v>MONTENEGRO</v>
      </c>
      <c r="C261">
        <v>74173019.159999996</v>
      </c>
      <c r="D261">
        <v>111580871.23</v>
      </c>
      <c r="E261">
        <v>127626065.79000001</v>
      </c>
      <c r="F261">
        <v>102979603</v>
      </c>
      <c r="G261">
        <v>114463716</v>
      </c>
      <c r="H261">
        <v>111254797</v>
      </c>
      <c r="I261">
        <f t="shared" si="36"/>
        <v>0.38837011309814407</v>
      </c>
      <c r="J261">
        <f t="shared" si="37"/>
        <v>2.5836370860177649E-2</v>
      </c>
      <c r="K261">
        <f t="shared" si="38"/>
        <v>-0.12827527581190046</v>
      </c>
      <c r="L261">
        <f t="shared" si="39"/>
        <v>3.1119130949100988</v>
      </c>
      <c r="M261">
        <f t="shared" si="40"/>
        <v>0.20820673097716971</v>
      </c>
      <c r="N261">
        <f t="shared" si="41"/>
        <v>-1.0321437563670424</v>
      </c>
      <c r="O261">
        <f t="shared" si="42"/>
        <v>66.303436714165969</v>
      </c>
      <c r="P261">
        <f t="shared" si="43"/>
        <v>28.164291701592624</v>
      </c>
      <c r="Q261">
        <f t="shared" si="44"/>
        <v>7.4601844090528084</v>
      </c>
    </row>
    <row r="262" spans="1:17" x14ac:dyDescent="0.3">
      <c r="A262">
        <v>51036310</v>
      </c>
      <c r="B262" t="str">
        <f>VLOOKUP(A262,ASESORES!$A$2:$B$993,2,0)</f>
        <v>PRADES</v>
      </c>
      <c r="C262">
        <v>86223828.560000002</v>
      </c>
      <c r="D262">
        <v>98932715.049999997</v>
      </c>
      <c r="E262">
        <v>112853925.84999999</v>
      </c>
      <c r="F262">
        <v>75505498</v>
      </c>
      <c r="G262">
        <v>98848597</v>
      </c>
      <c r="H262">
        <v>111239147</v>
      </c>
      <c r="I262">
        <f t="shared" si="36"/>
        <v>-0.12430821895761113</v>
      </c>
      <c r="J262">
        <f t="shared" si="37"/>
        <v>-8.502551452013174E-4</v>
      </c>
      <c r="K262">
        <f t="shared" si="38"/>
        <v>-1.4308574893054926E-2</v>
      </c>
      <c r="L262">
        <f t="shared" si="39"/>
        <v>-0.97929748580850673</v>
      </c>
      <c r="M262">
        <f t="shared" si="40"/>
        <v>-6.7977648114929297E-3</v>
      </c>
      <c r="N262">
        <f t="shared" si="41"/>
        <v>-0.11513048019332124</v>
      </c>
      <c r="O262">
        <f t="shared" si="42"/>
        <v>7.2925398155909464</v>
      </c>
      <c r="P262">
        <f t="shared" si="43"/>
        <v>10.980720871751885</v>
      </c>
      <c r="Q262">
        <f t="shared" si="44"/>
        <v>13.914501257334452</v>
      </c>
    </row>
    <row r="263" spans="1:17" x14ac:dyDescent="0.3">
      <c r="A263">
        <v>51010710</v>
      </c>
      <c r="B263" t="str">
        <f>VLOOKUP(A263,ASESORES!$A$2:$B$993,2,0)</f>
        <v>ARGUELLO</v>
      </c>
      <c r="C263">
        <v>62599378.420000002</v>
      </c>
      <c r="D263">
        <v>55976903.560000002</v>
      </c>
      <c r="E263">
        <v>69771593.219999999</v>
      </c>
      <c r="F263">
        <v>34815464</v>
      </c>
      <c r="G263">
        <v>48693988</v>
      </c>
      <c r="H263">
        <v>111210124</v>
      </c>
      <c r="I263">
        <f t="shared" si="36"/>
        <v>-0.44383690575309709</v>
      </c>
      <c r="J263">
        <f t="shared" si="37"/>
        <v>-0.13010572391153541</v>
      </c>
      <c r="K263">
        <f t="shared" si="38"/>
        <v>0.59391693478086816</v>
      </c>
      <c r="L263">
        <f t="shared" si="39"/>
        <v>-3.3473168316263902</v>
      </c>
      <c r="M263">
        <f t="shared" si="40"/>
        <v>-1.0001845447332971</v>
      </c>
      <c r="N263">
        <f t="shared" si="41"/>
        <v>4.7787413743029079</v>
      </c>
      <c r="O263">
        <f t="shared" si="42"/>
        <v>3.3528918692372169</v>
      </c>
      <c r="P263">
        <f t="shared" si="43"/>
        <v>6.5381391450125736</v>
      </c>
      <c r="Q263">
        <f t="shared" si="44"/>
        <v>90.108968985750209</v>
      </c>
    </row>
    <row r="264" spans="1:17" x14ac:dyDescent="0.3">
      <c r="A264">
        <v>51034376</v>
      </c>
      <c r="B264" t="str">
        <f>VLOOKUP(A264,ASESORES!$A$2:$B$993,2,0)</f>
        <v>CICHETTO</v>
      </c>
      <c r="C264">
        <v>17570288.699999999</v>
      </c>
      <c r="D264">
        <v>54849407.959999993</v>
      </c>
      <c r="E264">
        <v>93463518.75</v>
      </c>
      <c r="F264">
        <v>105615670</v>
      </c>
      <c r="G264">
        <v>92167121</v>
      </c>
      <c r="H264">
        <v>111079132</v>
      </c>
      <c r="I264">
        <f t="shared" si="36"/>
        <v>5.0110378266009938</v>
      </c>
      <c r="J264">
        <f t="shared" si="37"/>
        <v>0.68036674283184029</v>
      </c>
      <c r="K264">
        <f t="shared" si="38"/>
        <v>0.18847581907459476</v>
      </c>
      <c r="L264">
        <f t="shared" si="39"/>
        <v>40.20720631451762</v>
      </c>
      <c r="M264">
        <f t="shared" si="40"/>
        <v>5.4188326459613076</v>
      </c>
      <c r="N264">
        <f t="shared" si="41"/>
        <v>1.5164071711523028</v>
      </c>
      <c r="O264">
        <f t="shared" si="42"/>
        <v>99.58088851634534</v>
      </c>
      <c r="P264">
        <f t="shared" si="43"/>
        <v>87.678122380553219</v>
      </c>
      <c r="Q264">
        <f t="shared" si="44"/>
        <v>52.472757753562448</v>
      </c>
    </row>
    <row r="265" spans="1:17" x14ac:dyDescent="0.3">
      <c r="A265">
        <v>51023561</v>
      </c>
      <c r="B265" t="str">
        <f>VLOOKUP(A265,ASESORES!$A$2:$B$993,2,0)</f>
        <v>LÓPEZ</v>
      </c>
      <c r="C265">
        <v>38278896.599999987</v>
      </c>
      <c r="D265">
        <v>50692334.049999997</v>
      </c>
      <c r="E265">
        <v>59488738.359999999</v>
      </c>
      <c r="F265">
        <v>41328445</v>
      </c>
      <c r="G265">
        <v>76330242</v>
      </c>
      <c r="H265">
        <v>111023533</v>
      </c>
      <c r="I265">
        <f t="shared" si="36"/>
        <v>7.966657011738465E-2</v>
      </c>
      <c r="J265">
        <f t="shared" si="37"/>
        <v>0.50575512906374054</v>
      </c>
      <c r="K265">
        <f t="shared" si="38"/>
        <v>0.86629496709333131</v>
      </c>
      <c r="L265">
        <f t="shared" si="39"/>
        <v>0.60676044017449271</v>
      </c>
      <c r="M265">
        <f t="shared" si="40"/>
        <v>3.9867142561723052</v>
      </c>
      <c r="N265">
        <f t="shared" si="41"/>
        <v>6.9697025602488125</v>
      </c>
      <c r="O265">
        <f t="shared" si="42"/>
        <v>28.918692372170995</v>
      </c>
      <c r="P265">
        <f t="shared" si="43"/>
        <v>75.272422464375524</v>
      </c>
      <c r="Q265">
        <f t="shared" si="44"/>
        <v>96.395641240570001</v>
      </c>
    </row>
    <row r="266" spans="1:17" x14ac:dyDescent="0.3">
      <c r="A266">
        <v>51025253</v>
      </c>
      <c r="B266" t="str">
        <f>VLOOKUP(A266,ASESORES!$A$2:$B$993,2,0)</f>
        <v>BELUZZO</v>
      </c>
      <c r="C266">
        <v>58769662.380000003</v>
      </c>
      <c r="D266">
        <v>88827313.530000001</v>
      </c>
      <c r="E266">
        <v>121176392.34999999</v>
      </c>
      <c r="F266">
        <v>87619693</v>
      </c>
      <c r="G266">
        <v>87576947</v>
      </c>
      <c r="H266">
        <v>111005391</v>
      </c>
      <c r="I266">
        <f t="shared" si="36"/>
        <v>0.4909000571325044</v>
      </c>
      <c r="J266">
        <f t="shared" si="37"/>
        <v>-1.4076374487873133E-2</v>
      </c>
      <c r="K266">
        <f t="shared" si="38"/>
        <v>-8.3935502227385772E-2</v>
      </c>
      <c r="L266">
        <f t="shared" si="39"/>
        <v>3.8990236416500208</v>
      </c>
      <c r="M266">
        <f t="shared" si="40"/>
        <v>-0.11180005317146734</v>
      </c>
      <c r="N266">
        <f t="shared" si="41"/>
        <v>-0.67528999518320076</v>
      </c>
      <c r="O266">
        <f t="shared" si="42"/>
        <v>76.445934618608547</v>
      </c>
      <c r="P266">
        <f t="shared" si="43"/>
        <v>10.226320201173513</v>
      </c>
      <c r="Q266">
        <f t="shared" si="44"/>
        <v>10.310142497904442</v>
      </c>
    </row>
    <row r="267" spans="1:17" x14ac:dyDescent="0.3">
      <c r="A267">
        <v>51030176</v>
      </c>
      <c r="B267" t="str">
        <f>VLOOKUP(A267,ASESORES!$A$2:$B$993,2,0)</f>
        <v>ARGUELLO</v>
      </c>
      <c r="C267">
        <v>68672840.939999998</v>
      </c>
      <c r="D267">
        <v>90192216.070000008</v>
      </c>
      <c r="E267">
        <v>106255483.26000001</v>
      </c>
      <c r="F267">
        <v>88391597</v>
      </c>
      <c r="G267">
        <v>105967273</v>
      </c>
      <c r="H267">
        <v>110971135</v>
      </c>
      <c r="I267">
        <f t="shared" si="36"/>
        <v>0.28714053168746045</v>
      </c>
      <c r="J267">
        <f t="shared" si="37"/>
        <v>0.17490486005750938</v>
      </c>
      <c r="K267">
        <f t="shared" si="38"/>
        <v>4.4380314270098475E-2</v>
      </c>
      <c r="L267">
        <f t="shared" si="39"/>
        <v>2.2817366739509772</v>
      </c>
      <c r="M267">
        <f t="shared" si="40"/>
        <v>1.4036415433034384</v>
      </c>
      <c r="N267">
        <f t="shared" si="41"/>
        <v>0.35704894941033449</v>
      </c>
      <c r="O267">
        <f t="shared" si="42"/>
        <v>52.221290863369653</v>
      </c>
      <c r="P267">
        <f t="shared" si="43"/>
        <v>40.150880134115674</v>
      </c>
      <c r="Q267">
        <f t="shared" si="44"/>
        <v>35.708298407376361</v>
      </c>
    </row>
    <row r="268" spans="1:17" x14ac:dyDescent="0.3">
      <c r="A268">
        <v>51024575</v>
      </c>
      <c r="B268" t="str">
        <f>VLOOKUP(A268,ASESORES!$A$2:$B$993,2,0)</f>
        <v>MONTENEGRO</v>
      </c>
      <c r="C268">
        <v>67469219.280000001</v>
      </c>
      <c r="D268">
        <v>75715529.370000005</v>
      </c>
      <c r="E268">
        <v>93777208.319999993</v>
      </c>
      <c r="F268">
        <v>91730226</v>
      </c>
      <c r="G268">
        <v>111382759</v>
      </c>
      <c r="H268">
        <v>110897535</v>
      </c>
      <c r="I268">
        <f t="shared" si="36"/>
        <v>0.35958629696478095</v>
      </c>
      <c r="J268">
        <f t="shared" si="37"/>
        <v>0.47106888014616533</v>
      </c>
      <c r="K268">
        <f t="shared" si="38"/>
        <v>0.18256383386440311</v>
      </c>
      <c r="L268">
        <f t="shared" si="39"/>
        <v>2.8632103712859935</v>
      </c>
      <c r="M268">
        <f t="shared" si="40"/>
        <v>3.7906055305051001</v>
      </c>
      <c r="N268">
        <f t="shared" si="41"/>
        <v>1.4687117839034394</v>
      </c>
      <c r="O268">
        <f t="shared" si="42"/>
        <v>60.854987426655491</v>
      </c>
      <c r="P268">
        <f t="shared" si="43"/>
        <v>73.428331936295052</v>
      </c>
      <c r="Q268">
        <f t="shared" si="44"/>
        <v>51.886001676445936</v>
      </c>
    </row>
    <row r="269" spans="1:17" x14ac:dyDescent="0.3">
      <c r="A269">
        <v>51005333</v>
      </c>
      <c r="B269" t="str">
        <f>VLOOKUP(A269,ASESORES!$A$2:$B$993,2,0)</f>
        <v>AYALA</v>
      </c>
      <c r="C269">
        <v>65293845.349999987</v>
      </c>
      <c r="D269">
        <v>88412512.700000003</v>
      </c>
      <c r="E269">
        <v>108002948.02</v>
      </c>
      <c r="F269">
        <v>81970145</v>
      </c>
      <c r="G269">
        <v>100678912</v>
      </c>
      <c r="H269">
        <v>110753090</v>
      </c>
      <c r="I269">
        <f t="shared" si="36"/>
        <v>0.25540385254703057</v>
      </c>
      <c r="J269">
        <f t="shared" si="37"/>
        <v>0.13874053485644233</v>
      </c>
      <c r="K269">
        <f t="shared" si="38"/>
        <v>2.546358252638381E-2</v>
      </c>
      <c r="L269">
        <f t="shared" si="39"/>
        <v>2.021178154360435</v>
      </c>
      <c r="M269">
        <f t="shared" si="40"/>
        <v>1.1103319698057506</v>
      </c>
      <c r="N269">
        <f t="shared" si="41"/>
        <v>0.20483811910483019</v>
      </c>
      <c r="O269">
        <f t="shared" si="42"/>
        <v>47.02430846605197</v>
      </c>
      <c r="P269">
        <f t="shared" si="43"/>
        <v>36.797988264878455</v>
      </c>
      <c r="Q269">
        <f t="shared" si="44"/>
        <v>34.115674769488685</v>
      </c>
    </row>
    <row r="270" spans="1:17" x14ac:dyDescent="0.3">
      <c r="A270">
        <v>51030931</v>
      </c>
      <c r="B270" t="str">
        <f>VLOOKUP(A270,ASESORES!$A$2:$B$993,2,0)</f>
        <v>MONTENEGRO</v>
      </c>
      <c r="C270">
        <v>43657134.799999997</v>
      </c>
      <c r="D270">
        <v>51112632.469999991</v>
      </c>
      <c r="E270">
        <v>75499952.199999988</v>
      </c>
      <c r="F270">
        <v>64921012</v>
      </c>
      <c r="G270">
        <v>82980037</v>
      </c>
      <c r="H270">
        <v>110549031</v>
      </c>
      <c r="I270">
        <f t="shared" si="36"/>
        <v>0.48706533989033107</v>
      </c>
      <c r="J270">
        <f t="shared" si="37"/>
        <v>0.62347413917105987</v>
      </c>
      <c r="K270">
        <f t="shared" si="38"/>
        <v>0.46422650317916392</v>
      </c>
      <c r="L270">
        <f t="shared" si="39"/>
        <v>3.8051420922759984</v>
      </c>
      <c r="M270">
        <f t="shared" si="40"/>
        <v>4.9372752634294681</v>
      </c>
      <c r="N270">
        <f t="shared" si="41"/>
        <v>3.7340313830148242</v>
      </c>
      <c r="O270">
        <f t="shared" si="42"/>
        <v>75.356244761106453</v>
      </c>
      <c r="P270">
        <f t="shared" si="43"/>
        <v>84.157585917854149</v>
      </c>
      <c r="Q270">
        <f t="shared" si="44"/>
        <v>81.559094719195301</v>
      </c>
    </row>
    <row r="271" spans="1:17" x14ac:dyDescent="0.3">
      <c r="A271">
        <v>51056027</v>
      </c>
      <c r="B271" t="str">
        <f>VLOOKUP(A271,ASESORES!$A$2:$B$993,2,0)</f>
        <v>MONTENEGRO</v>
      </c>
      <c r="C271">
        <v>44384407.32</v>
      </c>
      <c r="D271">
        <v>62634009.740000002</v>
      </c>
      <c r="E271">
        <v>83250032.459999993</v>
      </c>
      <c r="F271">
        <v>58657400</v>
      </c>
      <c r="G271">
        <v>85647319</v>
      </c>
      <c r="H271">
        <v>110338627</v>
      </c>
      <c r="I271">
        <f t="shared" si="36"/>
        <v>0.32157673250192231</v>
      </c>
      <c r="J271">
        <f t="shared" si="37"/>
        <v>0.36742513141870581</v>
      </c>
      <c r="K271">
        <f t="shared" si="38"/>
        <v>0.32538839613084281</v>
      </c>
      <c r="L271">
        <f t="shared" si="39"/>
        <v>2.4981118659025796</v>
      </c>
      <c r="M271">
        <f t="shared" si="40"/>
        <v>2.9146784005094477</v>
      </c>
      <c r="N271">
        <f t="shared" si="41"/>
        <v>2.6170102263114794</v>
      </c>
      <c r="O271">
        <f t="shared" si="42"/>
        <v>55.825649622799666</v>
      </c>
      <c r="P271">
        <f t="shared" si="43"/>
        <v>61.777032690695719</v>
      </c>
      <c r="Q271">
        <f t="shared" si="44"/>
        <v>67.393126571668063</v>
      </c>
    </row>
    <row r="272" spans="1:17" x14ac:dyDescent="0.3">
      <c r="A272">
        <v>51054911</v>
      </c>
      <c r="B272" t="str">
        <f>VLOOKUP(A272,ASESORES!$A$2:$B$993,2,0)</f>
        <v>BELUZZO</v>
      </c>
      <c r="C272">
        <v>73109769.290000007</v>
      </c>
      <c r="D272">
        <v>77117041.050000012</v>
      </c>
      <c r="E272">
        <v>86482847.840000004</v>
      </c>
      <c r="F272">
        <v>74372262</v>
      </c>
      <c r="G272">
        <v>107005771</v>
      </c>
      <c r="H272">
        <v>110327224</v>
      </c>
      <c r="I272">
        <f t="shared" si="36"/>
        <v>1.7268454301806679E-2</v>
      </c>
      <c r="J272">
        <f t="shared" si="37"/>
        <v>0.38757620291241679</v>
      </c>
      <c r="K272">
        <f t="shared" si="38"/>
        <v>0.27571219907228239</v>
      </c>
      <c r="L272">
        <f t="shared" si="39"/>
        <v>0.13592710098133001</v>
      </c>
      <c r="M272">
        <f t="shared" si="40"/>
        <v>3.1120071544243841</v>
      </c>
      <c r="N272">
        <f t="shared" si="41"/>
        <v>2.2174657311236401</v>
      </c>
      <c r="O272">
        <f t="shared" si="42"/>
        <v>23.805532271584244</v>
      </c>
      <c r="P272">
        <f t="shared" si="43"/>
        <v>64.626990779547356</v>
      </c>
      <c r="Q272">
        <f t="shared" si="44"/>
        <v>61.777032690695719</v>
      </c>
    </row>
    <row r="273" spans="1:17" x14ac:dyDescent="0.3">
      <c r="A273">
        <v>51030605</v>
      </c>
      <c r="B273" t="str">
        <f>VLOOKUP(A273,ASESORES!$A$2:$B$993,2,0)</f>
        <v>PUGH</v>
      </c>
      <c r="C273">
        <v>64023352.340000004</v>
      </c>
      <c r="D273">
        <v>87013067.849999994</v>
      </c>
      <c r="E273">
        <v>91763275.420000002</v>
      </c>
      <c r="F273">
        <v>73024144</v>
      </c>
      <c r="G273">
        <v>97112104</v>
      </c>
      <c r="H273">
        <v>110145457</v>
      </c>
      <c r="I273">
        <f t="shared" si="36"/>
        <v>0.14058607259739753</v>
      </c>
      <c r="J273">
        <f t="shared" si="37"/>
        <v>0.11606344195804619</v>
      </c>
      <c r="K273">
        <f t="shared" si="38"/>
        <v>0.20032176811327695</v>
      </c>
      <c r="L273">
        <f t="shared" si="39"/>
        <v>1.1054938686948661</v>
      </c>
      <c r="M273">
        <f t="shared" si="40"/>
        <v>0.92703043842884558</v>
      </c>
      <c r="N273">
        <f t="shared" si="41"/>
        <v>1.6109809662525698</v>
      </c>
      <c r="O273">
        <f t="shared" si="42"/>
        <v>33.948030176026819</v>
      </c>
      <c r="P273">
        <f t="shared" si="43"/>
        <v>33.780385582564968</v>
      </c>
      <c r="Q273">
        <f t="shared" si="44"/>
        <v>53.646269907795471</v>
      </c>
    </row>
    <row r="274" spans="1:17" x14ac:dyDescent="0.3">
      <c r="A274">
        <v>51044487</v>
      </c>
      <c r="B274" t="str">
        <f>VLOOKUP(A274,ASESORES!$A$2:$B$993,2,0)</f>
        <v>NELLI</v>
      </c>
      <c r="C274">
        <v>36118356.950000003</v>
      </c>
      <c r="D274">
        <v>52558416.350000001</v>
      </c>
      <c r="E274">
        <v>72375047.349999994</v>
      </c>
      <c r="F274">
        <v>67134597</v>
      </c>
      <c r="G274">
        <v>86056946</v>
      </c>
      <c r="H274">
        <v>109718229</v>
      </c>
      <c r="I274">
        <f t="shared" si="36"/>
        <v>0.85873895351709773</v>
      </c>
      <c r="J274">
        <f t="shared" si="37"/>
        <v>0.63735804798464013</v>
      </c>
      <c r="K274">
        <f t="shared" si="38"/>
        <v>0.51596762996798251</v>
      </c>
      <c r="L274">
        <f t="shared" si="39"/>
        <v>6.7213037489619882</v>
      </c>
      <c r="M274">
        <f t="shared" si="40"/>
        <v>5.0572996713432286</v>
      </c>
      <c r="N274">
        <f t="shared" si="41"/>
        <v>4.148523590986013</v>
      </c>
      <c r="O274">
        <f t="shared" si="42"/>
        <v>92.875104777870916</v>
      </c>
      <c r="P274">
        <f t="shared" si="43"/>
        <v>85.079631181894385</v>
      </c>
      <c r="Q274">
        <f t="shared" si="44"/>
        <v>85.498742665549031</v>
      </c>
    </row>
    <row r="275" spans="1:17" x14ac:dyDescent="0.3">
      <c r="A275">
        <v>51035674</v>
      </c>
      <c r="B275" t="str">
        <f>VLOOKUP(A275,ASESORES!$A$2:$B$993,2,0)</f>
        <v>CICHETTO</v>
      </c>
      <c r="C275">
        <v>49423727.810000002</v>
      </c>
      <c r="D275">
        <v>64033114.760000013</v>
      </c>
      <c r="E275">
        <v>78028145.620000005</v>
      </c>
      <c r="F275">
        <v>69934087</v>
      </c>
      <c r="G275">
        <v>92309797</v>
      </c>
      <c r="H275">
        <v>109596715</v>
      </c>
      <c r="I275">
        <f t="shared" si="36"/>
        <v>0.41499012921178502</v>
      </c>
      <c r="J275">
        <f t="shared" si="37"/>
        <v>0.44159467091336579</v>
      </c>
      <c r="K275">
        <f t="shared" si="38"/>
        <v>0.40457925956282637</v>
      </c>
      <c r="L275">
        <f t="shared" si="39"/>
        <v>3.2554684641688993</v>
      </c>
      <c r="M275">
        <f t="shared" si="40"/>
        <v>3.5174109791756387</v>
      </c>
      <c r="N275">
        <f t="shared" si="41"/>
        <v>3.2527353345570988</v>
      </c>
      <c r="O275">
        <f t="shared" si="42"/>
        <v>67.979882648784567</v>
      </c>
      <c r="P275">
        <f t="shared" si="43"/>
        <v>70.326906957250628</v>
      </c>
      <c r="Q275">
        <f t="shared" si="44"/>
        <v>76.61357921207042</v>
      </c>
    </row>
    <row r="276" spans="1:17" x14ac:dyDescent="0.3">
      <c r="A276">
        <v>51055128</v>
      </c>
      <c r="B276" t="str">
        <f>VLOOKUP(A276,ASESORES!$A$2:$B$993,2,0)</f>
        <v>LÓPEZ</v>
      </c>
      <c r="C276">
        <v>51496375.770000003</v>
      </c>
      <c r="D276">
        <v>60380060.210000001</v>
      </c>
      <c r="E276">
        <v>86038935.129999995</v>
      </c>
      <c r="F276">
        <v>69399384</v>
      </c>
      <c r="G276">
        <v>92712709</v>
      </c>
      <c r="H276">
        <v>109436941</v>
      </c>
      <c r="I276">
        <f t="shared" si="36"/>
        <v>0.34765569347949477</v>
      </c>
      <c r="J276">
        <f t="shared" si="37"/>
        <v>0.5354855340910234</v>
      </c>
      <c r="K276">
        <f t="shared" si="38"/>
        <v>0.27194671615411026</v>
      </c>
      <c r="L276">
        <f t="shared" si="39"/>
        <v>2.726091924362446</v>
      </c>
      <c r="M276">
        <f t="shared" si="40"/>
        <v>4.266287827730646</v>
      </c>
      <c r="N276">
        <f t="shared" si="41"/>
        <v>2.1862242354869692</v>
      </c>
      <c r="O276">
        <f t="shared" si="42"/>
        <v>59.597652975691531</v>
      </c>
      <c r="P276">
        <f t="shared" si="43"/>
        <v>77.787091366303443</v>
      </c>
      <c r="Q276">
        <f t="shared" si="44"/>
        <v>61.274098910310137</v>
      </c>
    </row>
    <row r="277" spans="1:17" x14ac:dyDescent="0.3">
      <c r="A277">
        <v>51011546</v>
      </c>
      <c r="B277" t="str">
        <f>VLOOKUP(A277,ASESORES!$A$2:$B$993,2,0)</f>
        <v>LÓPEZ</v>
      </c>
      <c r="C277">
        <v>38030424.130000003</v>
      </c>
      <c r="D277">
        <v>51296191.850000001</v>
      </c>
      <c r="E277">
        <v>83376683.449999988</v>
      </c>
      <c r="F277">
        <v>64259233</v>
      </c>
      <c r="G277">
        <v>97721505</v>
      </c>
      <c r="H277">
        <v>109337779</v>
      </c>
      <c r="I277">
        <f t="shared" si="36"/>
        <v>0.68967963071728167</v>
      </c>
      <c r="J277">
        <f t="shared" si="37"/>
        <v>0.90504404860611487</v>
      </c>
      <c r="K277">
        <f t="shared" si="38"/>
        <v>0.31137117088098831</v>
      </c>
      <c r="L277">
        <f t="shared" si="39"/>
        <v>5.3849740981641459</v>
      </c>
      <c r="M277">
        <f t="shared" si="40"/>
        <v>7.2312930308576613</v>
      </c>
      <c r="N277">
        <f t="shared" si="41"/>
        <v>2.5030413044805471</v>
      </c>
      <c r="O277">
        <f t="shared" si="42"/>
        <v>87.678122380553219</v>
      </c>
      <c r="P277">
        <f t="shared" si="43"/>
        <v>94.467728415758586</v>
      </c>
      <c r="Q277">
        <f t="shared" si="44"/>
        <v>66.051969823973181</v>
      </c>
    </row>
    <row r="278" spans="1:17" x14ac:dyDescent="0.3">
      <c r="A278">
        <v>51031482</v>
      </c>
      <c r="B278" t="str">
        <f>VLOOKUP(A278,ASESORES!$A$2:$B$993,2,0)</f>
        <v>ARGUELLO</v>
      </c>
      <c r="C278">
        <v>44286152.75</v>
      </c>
      <c r="D278">
        <v>61587055.570000008</v>
      </c>
      <c r="E278">
        <v>70432720.030000001</v>
      </c>
      <c r="F278">
        <v>62618622</v>
      </c>
      <c r="G278">
        <v>91335373</v>
      </c>
      <c r="H278">
        <v>108966196</v>
      </c>
      <c r="I278">
        <f t="shared" si="36"/>
        <v>0.41395488457732421</v>
      </c>
      <c r="J278">
        <f t="shared" si="37"/>
        <v>0.48302873314324923</v>
      </c>
      <c r="K278">
        <f t="shared" si="38"/>
        <v>0.54709623529500373</v>
      </c>
      <c r="L278">
        <f t="shared" si="39"/>
        <v>3.2274834999928039</v>
      </c>
      <c r="M278">
        <f t="shared" si="40"/>
        <v>3.8452173744206681</v>
      </c>
      <c r="N278">
        <f t="shared" si="41"/>
        <v>4.3971720802659524</v>
      </c>
      <c r="O278">
        <f t="shared" si="42"/>
        <v>67.72841575859178</v>
      </c>
      <c r="P278">
        <f t="shared" si="43"/>
        <v>74.182732606873429</v>
      </c>
      <c r="Q278">
        <f t="shared" si="44"/>
        <v>87.175188600167644</v>
      </c>
    </row>
    <row r="279" spans="1:17" x14ac:dyDescent="0.3">
      <c r="A279">
        <v>51030109</v>
      </c>
      <c r="B279" t="str">
        <f>VLOOKUP(A279,ASESORES!$A$2:$B$993,2,0)</f>
        <v>AYALA</v>
      </c>
      <c r="C279">
        <v>74800963.120000005</v>
      </c>
      <c r="D279">
        <v>85648485.530000001</v>
      </c>
      <c r="E279">
        <v>130471058.61</v>
      </c>
      <c r="F279">
        <v>107071088</v>
      </c>
      <c r="G279">
        <v>102832488</v>
      </c>
      <c r="H279">
        <v>108870851</v>
      </c>
      <c r="I279">
        <f t="shared" si="36"/>
        <v>0.43141322696915552</v>
      </c>
      <c r="J279">
        <f t="shared" si="37"/>
        <v>0.20063404931989104</v>
      </c>
      <c r="K279">
        <f t="shared" si="38"/>
        <v>-0.1655555480282157</v>
      </c>
      <c r="L279">
        <f t="shared" si="39"/>
        <v>3.4641068021096975</v>
      </c>
      <c r="M279">
        <f t="shared" si="40"/>
        <v>1.6075061545054619</v>
      </c>
      <c r="N279">
        <f t="shared" si="41"/>
        <v>-1.3305553073127498</v>
      </c>
      <c r="O279">
        <f t="shared" si="42"/>
        <v>70.829840737636204</v>
      </c>
      <c r="P279">
        <f t="shared" si="43"/>
        <v>43.252305113160098</v>
      </c>
      <c r="Q279">
        <f t="shared" si="44"/>
        <v>6.1190276613579213</v>
      </c>
    </row>
    <row r="280" spans="1:17" x14ac:dyDescent="0.3">
      <c r="A280">
        <v>51022009</v>
      </c>
      <c r="B280" t="str">
        <f>VLOOKUP(A280,ASESORES!$A$2:$B$993,2,0)</f>
        <v>PUGH</v>
      </c>
      <c r="C280">
        <v>31600944.32</v>
      </c>
      <c r="D280">
        <v>48737405.420000002</v>
      </c>
      <c r="E280">
        <v>69923750.930000007</v>
      </c>
      <c r="F280">
        <v>56228692</v>
      </c>
      <c r="G280">
        <v>79930886</v>
      </c>
      <c r="H280">
        <v>108523534</v>
      </c>
      <c r="I280">
        <f t="shared" si="36"/>
        <v>0.77933581448112865</v>
      </c>
      <c r="J280">
        <f t="shared" si="37"/>
        <v>0.64003162070665676</v>
      </c>
      <c r="K280">
        <f t="shared" si="38"/>
        <v>0.5520267799798364</v>
      </c>
      <c r="L280">
        <f t="shared" si="39"/>
        <v>6.0398198153215148</v>
      </c>
      <c r="M280">
        <f t="shared" si="40"/>
        <v>5.0579872506797976</v>
      </c>
      <c r="N280">
        <f t="shared" si="41"/>
        <v>4.4358243993386353</v>
      </c>
      <c r="O280">
        <f t="shared" si="42"/>
        <v>90.695725062866728</v>
      </c>
      <c r="P280">
        <f t="shared" si="43"/>
        <v>85.163453478625314</v>
      </c>
      <c r="Q280">
        <f t="shared" si="44"/>
        <v>87.510477787091361</v>
      </c>
    </row>
    <row r="281" spans="1:17" x14ac:dyDescent="0.3">
      <c r="A281">
        <v>51015932</v>
      </c>
      <c r="B281" t="str">
        <f>VLOOKUP(A281,ASESORES!$A$2:$B$993,2,0)</f>
        <v>LÓPEZ</v>
      </c>
      <c r="C281">
        <v>40871987.119999997</v>
      </c>
      <c r="D281">
        <v>55478196.86999999</v>
      </c>
      <c r="E281">
        <v>73138652.599999994</v>
      </c>
      <c r="F281">
        <v>68482845</v>
      </c>
      <c r="G281">
        <v>85032457</v>
      </c>
      <c r="H281">
        <v>108383381</v>
      </c>
      <c r="I281">
        <f t="shared" si="36"/>
        <v>0.67554478814388519</v>
      </c>
      <c r="J281">
        <f t="shared" si="37"/>
        <v>0.53271846955036084</v>
      </c>
      <c r="K281">
        <f t="shared" si="38"/>
        <v>0.4818892220062585</v>
      </c>
      <c r="L281">
        <f t="shared" si="39"/>
        <v>5.2932864430445221</v>
      </c>
      <c r="M281">
        <f t="shared" si="40"/>
        <v>4.2242362405400211</v>
      </c>
      <c r="N281">
        <f t="shared" si="41"/>
        <v>3.8719619217624555</v>
      </c>
      <c r="O281">
        <f t="shared" si="42"/>
        <v>87.259010896898573</v>
      </c>
      <c r="P281">
        <f t="shared" si="43"/>
        <v>77.535624476110641</v>
      </c>
      <c r="Q281">
        <f t="shared" si="44"/>
        <v>82.397317686504607</v>
      </c>
    </row>
    <row r="282" spans="1:17" x14ac:dyDescent="0.3">
      <c r="A282">
        <v>51030028</v>
      </c>
      <c r="B282" t="str">
        <f>VLOOKUP(A282,ASESORES!$A$2:$B$993,2,0)</f>
        <v>AYALA</v>
      </c>
      <c r="C282">
        <v>46879735.100000001</v>
      </c>
      <c r="D282">
        <v>59925839.100000001</v>
      </c>
      <c r="E282">
        <v>78957064.5</v>
      </c>
      <c r="F282">
        <v>76220433</v>
      </c>
      <c r="G282">
        <v>90113710</v>
      </c>
      <c r="H282">
        <v>108132904</v>
      </c>
      <c r="I282">
        <f t="shared" si="36"/>
        <v>0.62587166581493747</v>
      </c>
      <c r="J282">
        <f t="shared" si="37"/>
        <v>0.5037538289555632</v>
      </c>
      <c r="K282">
        <f t="shared" si="38"/>
        <v>0.36951525091209536</v>
      </c>
      <c r="L282">
        <f t="shared" si="39"/>
        <v>4.9331651644647394</v>
      </c>
      <c r="M282">
        <f t="shared" si="40"/>
        <v>4.0072563593289745</v>
      </c>
      <c r="N282">
        <f t="shared" si="41"/>
        <v>2.9686699568533368</v>
      </c>
      <c r="O282">
        <f t="shared" si="42"/>
        <v>85.079631181894385</v>
      </c>
      <c r="P282">
        <f t="shared" si="43"/>
        <v>75.69153394803017</v>
      </c>
      <c r="Q282">
        <f t="shared" si="44"/>
        <v>73.428331936295052</v>
      </c>
    </row>
    <row r="283" spans="1:17" x14ac:dyDescent="0.3">
      <c r="A283">
        <v>51030257</v>
      </c>
      <c r="B283" t="str">
        <f>VLOOKUP(A283,ASESORES!$A$2:$B$993,2,0)</f>
        <v>AYALA</v>
      </c>
      <c r="C283">
        <v>86977538.939999998</v>
      </c>
      <c r="D283">
        <v>97889679.49000001</v>
      </c>
      <c r="E283">
        <v>124616364.08</v>
      </c>
      <c r="F283">
        <v>103722477</v>
      </c>
      <c r="G283">
        <v>138945085</v>
      </c>
      <c r="H283">
        <v>108123146</v>
      </c>
      <c r="I283">
        <f t="shared" si="36"/>
        <v>0.1925202559657524</v>
      </c>
      <c r="J283">
        <f t="shared" si="37"/>
        <v>0.4194048414898941</v>
      </c>
      <c r="K283">
        <f t="shared" si="38"/>
        <v>-0.13235194431938202</v>
      </c>
      <c r="L283">
        <f t="shared" si="39"/>
        <v>1.5432178985738456</v>
      </c>
      <c r="M283">
        <f t="shared" si="40"/>
        <v>3.415147856870639</v>
      </c>
      <c r="N283">
        <f t="shared" si="41"/>
        <v>-1.063304756959961</v>
      </c>
      <c r="O283">
        <f t="shared" si="42"/>
        <v>40.821458507963122</v>
      </c>
      <c r="P283">
        <f t="shared" si="43"/>
        <v>68.818105616093888</v>
      </c>
      <c r="Q283">
        <f t="shared" si="44"/>
        <v>7.2087175188600163</v>
      </c>
    </row>
    <row r="284" spans="1:17" x14ac:dyDescent="0.3">
      <c r="A284">
        <v>51055489</v>
      </c>
      <c r="B284" t="str">
        <f>VLOOKUP(A284,ASESORES!$A$2:$B$993,2,0)</f>
        <v>PUGH</v>
      </c>
      <c r="C284">
        <v>48112295.880000003</v>
      </c>
      <c r="D284">
        <v>63879708.920000002</v>
      </c>
      <c r="E284">
        <v>79997116.5</v>
      </c>
      <c r="F284">
        <v>73190363</v>
      </c>
      <c r="G284">
        <v>83503682</v>
      </c>
      <c r="H284">
        <v>107673522</v>
      </c>
      <c r="I284">
        <f t="shared" si="36"/>
        <v>0.52124029130825167</v>
      </c>
      <c r="J284">
        <f t="shared" si="37"/>
        <v>0.30720198028103352</v>
      </c>
      <c r="K284">
        <f t="shared" si="38"/>
        <v>0.34596753871747365</v>
      </c>
      <c r="L284">
        <f t="shared" si="39"/>
        <v>4.0992702424003937</v>
      </c>
      <c r="M284">
        <f t="shared" si="40"/>
        <v>2.4335636553962146</v>
      </c>
      <c r="N284">
        <f t="shared" si="41"/>
        <v>2.7788489534358138</v>
      </c>
      <c r="O284">
        <f t="shared" si="42"/>
        <v>78.373847443419947</v>
      </c>
      <c r="P284">
        <f t="shared" si="43"/>
        <v>54.48449287510477</v>
      </c>
      <c r="Q284">
        <f t="shared" si="44"/>
        <v>70.075440067057841</v>
      </c>
    </row>
    <row r="285" spans="1:17" x14ac:dyDescent="0.3">
      <c r="A285">
        <v>51019423</v>
      </c>
      <c r="B285" t="str">
        <f>VLOOKUP(A285,ASESORES!$A$2:$B$993,2,0)</f>
        <v>PUGH</v>
      </c>
      <c r="C285">
        <v>25768336.02</v>
      </c>
      <c r="D285">
        <v>50654615.159999996</v>
      </c>
      <c r="E285">
        <v>65083459.289999999</v>
      </c>
      <c r="F285">
        <v>58587509</v>
      </c>
      <c r="G285">
        <v>110084042</v>
      </c>
      <c r="H285">
        <v>107654496</v>
      </c>
      <c r="I285">
        <f t="shared" si="36"/>
        <v>1.2736240692657654</v>
      </c>
      <c r="J285">
        <f t="shared" si="37"/>
        <v>1.173228276481491</v>
      </c>
      <c r="K285">
        <f t="shared" si="38"/>
        <v>0.65409917011803631</v>
      </c>
      <c r="L285">
        <f t="shared" si="39"/>
        <v>9.8932634557020567</v>
      </c>
      <c r="M285">
        <f t="shared" si="40"/>
        <v>9.4347784194442852</v>
      </c>
      <c r="N285">
        <f t="shared" si="41"/>
        <v>5.2537455781193563</v>
      </c>
      <c r="O285">
        <f t="shared" si="42"/>
        <v>96.898575020955576</v>
      </c>
      <c r="P285">
        <f t="shared" si="43"/>
        <v>97.150041911148364</v>
      </c>
      <c r="Q285">
        <f t="shared" si="44"/>
        <v>92.288348700754398</v>
      </c>
    </row>
    <row r="286" spans="1:17" x14ac:dyDescent="0.3">
      <c r="A286">
        <v>51000811</v>
      </c>
      <c r="B286" t="str">
        <f>VLOOKUP(A286,ASESORES!$A$2:$B$993,2,0)</f>
        <v>CICHETTO</v>
      </c>
      <c r="C286">
        <v>63352132.420000002</v>
      </c>
      <c r="D286">
        <v>80616120.239999995</v>
      </c>
      <c r="E286">
        <v>91671350.429999992</v>
      </c>
      <c r="F286">
        <v>85544509</v>
      </c>
      <c r="G286">
        <v>99544754</v>
      </c>
      <c r="H286">
        <v>107580987</v>
      </c>
      <c r="I286">
        <f t="shared" si="36"/>
        <v>0.35030196667845637</v>
      </c>
      <c r="J286">
        <f t="shared" si="37"/>
        <v>0.23479961208314282</v>
      </c>
      <c r="K286">
        <f t="shared" si="38"/>
        <v>0.1735508039902669</v>
      </c>
      <c r="L286">
        <f t="shared" si="39"/>
        <v>2.7786625059872105</v>
      </c>
      <c r="M286">
        <f t="shared" si="40"/>
        <v>1.877931612514175</v>
      </c>
      <c r="N286">
        <f t="shared" si="41"/>
        <v>1.393914157695368</v>
      </c>
      <c r="O286">
        <f t="shared" si="42"/>
        <v>60.435875943000838</v>
      </c>
      <c r="P286">
        <f t="shared" si="43"/>
        <v>46.2699077954736</v>
      </c>
      <c r="Q286">
        <f t="shared" si="44"/>
        <v>50.125733445096401</v>
      </c>
    </row>
    <row r="287" spans="1:17" x14ac:dyDescent="0.3">
      <c r="A287">
        <v>51057040</v>
      </c>
      <c r="B287" t="str">
        <f>VLOOKUP(A287,ASESORES!$A$2:$B$993,2,0)</f>
        <v>MONTENEGRO</v>
      </c>
      <c r="C287">
        <v>25424040.59</v>
      </c>
      <c r="D287">
        <v>33492146.329999998</v>
      </c>
      <c r="E287">
        <v>53976646.82</v>
      </c>
      <c r="F287">
        <v>38046246</v>
      </c>
      <c r="G287">
        <v>67247727</v>
      </c>
      <c r="H287">
        <v>107548726</v>
      </c>
      <c r="I287">
        <f t="shared" si="36"/>
        <v>0.49646732451192954</v>
      </c>
      <c r="J287">
        <f t="shared" si="37"/>
        <v>1.0078655556262168</v>
      </c>
      <c r="K287">
        <f t="shared" si="38"/>
        <v>0.99250476523024589</v>
      </c>
      <c r="L287">
        <f t="shared" si="39"/>
        <v>3.7633771240948595</v>
      </c>
      <c r="M287">
        <f t="shared" si="40"/>
        <v>7.8892466432581481</v>
      </c>
      <c r="N287">
        <f t="shared" si="41"/>
        <v>7.9714065031131209</v>
      </c>
      <c r="O287">
        <f t="shared" si="42"/>
        <v>74.853310980720863</v>
      </c>
      <c r="P287">
        <f t="shared" si="43"/>
        <v>95.389773679798822</v>
      </c>
      <c r="Q287">
        <f t="shared" si="44"/>
        <v>97.150041911148364</v>
      </c>
    </row>
    <row r="288" spans="1:17" x14ac:dyDescent="0.3">
      <c r="A288">
        <v>51055101</v>
      </c>
      <c r="B288" t="str">
        <f>VLOOKUP(A288,ASESORES!$A$2:$B$993,2,0)</f>
        <v>PUGH</v>
      </c>
      <c r="C288">
        <v>73568795.420000002</v>
      </c>
      <c r="D288">
        <v>76114600.829999998</v>
      </c>
      <c r="E288">
        <v>93519111.579999998</v>
      </c>
      <c r="F288">
        <v>74238548</v>
      </c>
      <c r="G288">
        <v>62679639</v>
      </c>
      <c r="H288">
        <v>107350613</v>
      </c>
      <c r="I288">
        <f t="shared" si="36"/>
        <v>9.1037589534588292E-3</v>
      </c>
      <c r="J288">
        <f t="shared" si="37"/>
        <v>-0.17650965364722382</v>
      </c>
      <c r="K288">
        <f t="shared" si="38"/>
        <v>0.1479002653716186</v>
      </c>
      <c r="L288">
        <f t="shared" si="39"/>
        <v>7.165231349880255E-2</v>
      </c>
      <c r="M288">
        <f t="shared" si="40"/>
        <v>-1.376268095577142</v>
      </c>
      <c r="N288">
        <f t="shared" si="41"/>
        <v>1.1877581209444139</v>
      </c>
      <c r="O288">
        <f t="shared" si="42"/>
        <v>23.47024308466052</v>
      </c>
      <c r="P288">
        <f t="shared" si="43"/>
        <v>5.699916177703269</v>
      </c>
      <c r="Q288">
        <f t="shared" si="44"/>
        <v>46.689019279128246</v>
      </c>
    </row>
    <row r="289" spans="1:17" x14ac:dyDescent="0.3">
      <c r="A289">
        <v>51016386</v>
      </c>
      <c r="B289" t="str">
        <f>VLOOKUP(A289,ASESORES!$A$2:$B$993,2,0)</f>
        <v>BELUZZO</v>
      </c>
      <c r="C289">
        <v>41732107.810000002</v>
      </c>
      <c r="D289">
        <v>84587495.650000006</v>
      </c>
      <c r="E289">
        <v>92986782.060000002</v>
      </c>
      <c r="F289">
        <v>76909480</v>
      </c>
      <c r="G289">
        <v>98348960</v>
      </c>
      <c r="H289">
        <v>107010287</v>
      </c>
      <c r="I289">
        <f t="shared" si="36"/>
        <v>0.84293303252635288</v>
      </c>
      <c r="J289">
        <f t="shared" si="37"/>
        <v>0.16268910959299676</v>
      </c>
      <c r="K289">
        <f t="shared" si="38"/>
        <v>0.15081181033828317</v>
      </c>
      <c r="L289">
        <f t="shared" si="39"/>
        <v>6.6473529304883288</v>
      </c>
      <c r="M289">
        <f t="shared" si="40"/>
        <v>1.300336597354862</v>
      </c>
      <c r="N289">
        <f t="shared" si="41"/>
        <v>1.2109321999794189</v>
      </c>
      <c r="O289">
        <f t="shared" si="42"/>
        <v>92.707460184409058</v>
      </c>
      <c r="P289">
        <f t="shared" si="43"/>
        <v>38.809723386420785</v>
      </c>
      <c r="Q289">
        <f t="shared" si="44"/>
        <v>47.191953059513828</v>
      </c>
    </row>
    <row r="290" spans="1:17" x14ac:dyDescent="0.3">
      <c r="A290">
        <v>51003594</v>
      </c>
      <c r="B290" t="str">
        <f>VLOOKUP(A290,ASESORES!$A$2:$B$993,2,0)</f>
        <v>BELUZZO</v>
      </c>
      <c r="C290">
        <v>41157370.229999997</v>
      </c>
      <c r="D290">
        <v>54913956.119999997</v>
      </c>
      <c r="E290">
        <v>68418889.060000002</v>
      </c>
      <c r="F290">
        <v>51043013</v>
      </c>
      <c r="G290">
        <v>80933589</v>
      </c>
      <c r="H290">
        <v>106691788</v>
      </c>
      <c r="I290">
        <f t="shared" si="36"/>
        <v>0.24019131238842517</v>
      </c>
      <c r="J290">
        <f t="shared" si="37"/>
        <v>0.47382550299492077</v>
      </c>
      <c r="K290">
        <f t="shared" si="38"/>
        <v>0.55939082709215793</v>
      </c>
      <c r="L290">
        <f t="shared" si="39"/>
        <v>1.8513793362523292</v>
      </c>
      <c r="M290">
        <f t="shared" si="40"/>
        <v>3.7470731062230489</v>
      </c>
      <c r="N290">
        <f t="shared" si="41"/>
        <v>4.4908628363669632</v>
      </c>
      <c r="O290">
        <f t="shared" si="42"/>
        <v>45.096395641240569</v>
      </c>
      <c r="P290">
        <f t="shared" si="43"/>
        <v>72.590108968985746</v>
      </c>
      <c r="Q290">
        <f t="shared" si="44"/>
        <v>88.181056160938809</v>
      </c>
    </row>
    <row r="291" spans="1:17" x14ac:dyDescent="0.3">
      <c r="A291">
        <v>51030923</v>
      </c>
      <c r="B291" t="str">
        <f>VLOOKUP(A291,ASESORES!$A$2:$B$993,2,0)</f>
        <v>ROBERTS</v>
      </c>
      <c r="C291">
        <v>52791721.149999999</v>
      </c>
      <c r="D291">
        <v>69067713.620000005</v>
      </c>
      <c r="E291">
        <v>96433276.99000001</v>
      </c>
      <c r="F291">
        <v>73068248</v>
      </c>
      <c r="G291">
        <v>86597030</v>
      </c>
      <c r="H291">
        <v>106665093</v>
      </c>
      <c r="I291">
        <f t="shared" si="36"/>
        <v>0.3840853529360635</v>
      </c>
      <c r="J291">
        <f t="shared" si="37"/>
        <v>0.25379899610465761</v>
      </c>
      <c r="K291">
        <f t="shared" si="38"/>
        <v>0.10610254394923246</v>
      </c>
      <c r="L291">
        <f t="shared" si="39"/>
        <v>3.0203430108814278</v>
      </c>
      <c r="M291">
        <f t="shared" si="40"/>
        <v>2.0145302923094262</v>
      </c>
      <c r="N291">
        <f t="shared" si="41"/>
        <v>0.85179359064617843</v>
      </c>
      <c r="O291">
        <f t="shared" si="42"/>
        <v>64.459346186085497</v>
      </c>
      <c r="P291">
        <f t="shared" si="43"/>
        <v>48.784576697401512</v>
      </c>
      <c r="Q291">
        <f t="shared" si="44"/>
        <v>41.743503772003351</v>
      </c>
    </row>
    <row r="292" spans="1:17" x14ac:dyDescent="0.3">
      <c r="A292">
        <v>51043197</v>
      </c>
      <c r="B292" t="str">
        <f>VLOOKUP(A292,ASESORES!$A$2:$B$993,2,0)</f>
        <v>BELUZZO</v>
      </c>
      <c r="C292">
        <v>67633240.939999998</v>
      </c>
      <c r="D292">
        <v>79247730.359999999</v>
      </c>
      <c r="E292">
        <v>91496168.270000011</v>
      </c>
      <c r="F292">
        <v>74326562</v>
      </c>
      <c r="G292">
        <v>90987661</v>
      </c>
      <c r="H292">
        <v>106516170</v>
      </c>
      <c r="I292">
        <f t="shared" si="36"/>
        <v>9.8964961119309747E-2</v>
      </c>
      <c r="J292">
        <f t="shared" si="37"/>
        <v>0.14814216869894969</v>
      </c>
      <c r="K292">
        <f t="shared" si="38"/>
        <v>0.16415989886786098</v>
      </c>
      <c r="L292">
        <f t="shared" si="39"/>
        <v>0.77896746436117936</v>
      </c>
      <c r="M292">
        <f t="shared" si="40"/>
        <v>1.179060928314404</v>
      </c>
      <c r="N292">
        <f t="shared" si="41"/>
        <v>1.3177797235661606</v>
      </c>
      <c r="O292">
        <f t="shared" si="42"/>
        <v>30.176026823134954</v>
      </c>
      <c r="P292">
        <f t="shared" si="43"/>
        <v>37.384744341994967</v>
      </c>
      <c r="Q292">
        <f t="shared" si="44"/>
        <v>49.0360435875943</v>
      </c>
    </row>
    <row r="293" spans="1:17" x14ac:dyDescent="0.3">
      <c r="A293">
        <v>51022823</v>
      </c>
      <c r="B293" t="str">
        <f>VLOOKUP(A293,ASESORES!$A$2:$B$993,2,0)</f>
        <v>CICHETTO</v>
      </c>
      <c r="C293">
        <v>72158409.560000002</v>
      </c>
      <c r="D293">
        <v>86451466.120000005</v>
      </c>
      <c r="E293">
        <v>103987875.09</v>
      </c>
      <c r="F293">
        <v>98224397</v>
      </c>
      <c r="G293">
        <v>91679883</v>
      </c>
      <c r="H293">
        <v>106448808</v>
      </c>
      <c r="I293">
        <f t="shared" si="36"/>
        <v>0.36123284311478665</v>
      </c>
      <c r="J293">
        <f t="shared" si="37"/>
        <v>6.0478059131381601E-2</v>
      </c>
      <c r="K293">
        <f t="shared" si="38"/>
        <v>2.3665575509357106E-2</v>
      </c>
      <c r="L293">
        <f t="shared" si="39"/>
        <v>2.8870521263121147</v>
      </c>
      <c r="M293">
        <f t="shared" si="40"/>
        <v>0.48154288083950336</v>
      </c>
      <c r="N293">
        <f t="shared" si="41"/>
        <v>0.18996690678883596</v>
      </c>
      <c r="O293">
        <f t="shared" si="42"/>
        <v>61.441743503772003</v>
      </c>
      <c r="P293">
        <f t="shared" si="43"/>
        <v>30.67896060352054</v>
      </c>
      <c r="Q293">
        <f t="shared" si="44"/>
        <v>33.86420787929589</v>
      </c>
    </row>
    <row r="294" spans="1:17" x14ac:dyDescent="0.3">
      <c r="A294">
        <v>51056060</v>
      </c>
      <c r="B294" t="str">
        <f>VLOOKUP(A294,ASESORES!$A$2:$B$993,2,0)</f>
        <v>LÓPEZ</v>
      </c>
      <c r="C294">
        <v>22702721.710000001</v>
      </c>
      <c r="D294">
        <v>37351895.020000003</v>
      </c>
      <c r="E294">
        <v>39702135.130000003</v>
      </c>
      <c r="F294">
        <v>38340245</v>
      </c>
      <c r="G294">
        <v>56580217</v>
      </c>
      <c r="H294">
        <v>106006849</v>
      </c>
      <c r="I294">
        <f t="shared" si="36"/>
        <v>0.68879509204889944</v>
      </c>
      <c r="J294">
        <f t="shared" si="37"/>
        <v>0.51478839212051297</v>
      </c>
      <c r="K294">
        <f t="shared" si="38"/>
        <v>1.6700541079942668</v>
      </c>
      <c r="L294">
        <f t="shared" si="39"/>
        <v>5.2235842637256864</v>
      </c>
      <c r="M294">
        <f t="shared" si="40"/>
        <v>3.9909817485919441</v>
      </c>
      <c r="N294">
        <f t="shared" si="41"/>
        <v>13.402741890336664</v>
      </c>
      <c r="O294">
        <f t="shared" si="42"/>
        <v>86.756077116512998</v>
      </c>
      <c r="P294">
        <f t="shared" si="43"/>
        <v>75.356244761106453</v>
      </c>
      <c r="Q294">
        <f t="shared" si="44"/>
        <v>98.826487845766977</v>
      </c>
    </row>
    <row r="295" spans="1:17" x14ac:dyDescent="0.3">
      <c r="A295">
        <v>51024419</v>
      </c>
      <c r="B295" t="str">
        <f>VLOOKUP(A295,ASESORES!$A$2:$B$993,2,0)</f>
        <v>PUGH</v>
      </c>
      <c r="C295">
        <v>96420610.359999999</v>
      </c>
      <c r="D295">
        <v>62757635.030000001</v>
      </c>
      <c r="E295">
        <v>73598308.840000004</v>
      </c>
      <c r="F295">
        <v>54300866</v>
      </c>
      <c r="G295">
        <v>88635412</v>
      </c>
      <c r="H295">
        <v>105824180</v>
      </c>
      <c r="I295">
        <f t="shared" si="36"/>
        <v>-0.4368334135486176</v>
      </c>
      <c r="J295">
        <f t="shared" si="37"/>
        <v>0.4123446805736013</v>
      </c>
      <c r="K295">
        <f t="shared" si="38"/>
        <v>0.43786157138553072</v>
      </c>
      <c r="L295">
        <f t="shared" si="39"/>
        <v>-3.3788220382971992</v>
      </c>
      <c r="M295">
        <f t="shared" si="40"/>
        <v>3.2771535801454457</v>
      </c>
      <c r="N295">
        <f t="shared" si="41"/>
        <v>3.5136573592589802</v>
      </c>
      <c r="O295">
        <f t="shared" si="42"/>
        <v>3.2690695725062868</v>
      </c>
      <c r="P295">
        <f t="shared" si="43"/>
        <v>66.471081307627827</v>
      </c>
      <c r="Q295">
        <f t="shared" si="44"/>
        <v>79.212070410729254</v>
      </c>
    </row>
    <row r="296" spans="1:17" x14ac:dyDescent="0.3">
      <c r="A296">
        <v>51025326</v>
      </c>
      <c r="B296" t="str">
        <f>VLOOKUP(A296,ASESORES!$A$2:$B$993,2,0)</f>
        <v>ARGUELLO</v>
      </c>
      <c r="C296">
        <v>69956464.409999996</v>
      </c>
      <c r="D296">
        <v>80834556.519999996</v>
      </c>
      <c r="E296">
        <v>79260684.159999996</v>
      </c>
      <c r="F296">
        <v>73205883</v>
      </c>
      <c r="G296">
        <v>103986336</v>
      </c>
      <c r="H296">
        <v>105585422</v>
      </c>
      <c r="I296">
        <f t="shared" si="36"/>
        <v>4.6449154018931793E-2</v>
      </c>
      <c r="J296">
        <f t="shared" si="37"/>
        <v>0.28640943275629671</v>
      </c>
      <c r="K296">
        <f t="shared" si="38"/>
        <v>0.3321285719267757</v>
      </c>
      <c r="L296">
        <f t="shared" si="39"/>
        <v>0.36530150767215114</v>
      </c>
      <c r="M296">
        <f t="shared" si="40"/>
        <v>2.2961376276116914</v>
      </c>
      <c r="N296">
        <f t="shared" si="41"/>
        <v>2.6648681249524113</v>
      </c>
      <c r="O296">
        <f t="shared" si="42"/>
        <v>26.320201173512153</v>
      </c>
      <c r="P296">
        <f t="shared" si="43"/>
        <v>52.137468566638724</v>
      </c>
      <c r="Q296">
        <f t="shared" si="44"/>
        <v>68.482816429170157</v>
      </c>
    </row>
    <row r="297" spans="1:17" x14ac:dyDescent="0.3">
      <c r="A297">
        <v>51020014</v>
      </c>
      <c r="B297" t="str">
        <f>VLOOKUP(A297,ASESORES!$A$2:$B$993,2,0)</f>
        <v>PRADES</v>
      </c>
      <c r="C297">
        <v>44576323.869999997</v>
      </c>
      <c r="D297">
        <v>56852427.420000002</v>
      </c>
      <c r="E297">
        <v>70966829.890000001</v>
      </c>
      <c r="F297">
        <v>66148115</v>
      </c>
      <c r="G297">
        <v>105658848</v>
      </c>
      <c r="H297">
        <v>105493514</v>
      </c>
      <c r="I297">
        <f t="shared" si="36"/>
        <v>0.48392934313988789</v>
      </c>
      <c r="J297">
        <f t="shared" si="37"/>
        <v>0.85847557958150578</v>
      </c>
      <c r="K297">
        <f t="shared" si="38"/>
        <v>0.48651861952291009</v>
      </c>
      <c r="L297">
        <f t="shared" si="39"/>
        <v>3.7845778836067208</v>
      </c>
      <c r="M297">
        <f t="shared" si="40"/>
        <v>6.8883272433352314</v>
      </c>
      <c r="N297">
        <f t="shared" si="41"/>
        <v>3.9034487203720656</v>
      </c>
      <c r="O297">
        <f t="shared" si="42"/>
        <v>75.020955574182736</v>
      </c>
      <c r="P297">
        <f t="shared" si="43"/>
        <v>93.545683151718364</v>
      </c>
      <c r="Q297">
        <f t="shared" si="44"/>
        <v>82.816429170159267</v>
      </c>
    </row>
    <row r="298" spans="1:17" x14ac:dyDescent="0.3">
      <c r="A298">
        <v>51055951</v>
      </c>
      <c r="B298" t="str">
        <f>VLOOKUP(A298,ASESORES!$A$2:$B$993,2,0)</f>
        <v>PUGH</v>
      </c>
      <c r="C298">
        <v>39207680.890000001</v>
      </c>
      <c r="D298">
        <v>74162639.469999999</v>
      </c>
      <c r="E298">
        <v>88110034.040000007</v>
      </c>
      <c r="F298">
        <v>68219625</v>
      </c>
      <c r="G298">
        <v>87497447</v>
      </c>
      <c r="H298">
        <v>105490467</v>
      </c>
      <c r="I298">
        <f t="shared" si="36"/>
        <v>0.73995562735258735</v>
      </c>
      <c r="J298">
        <f t="shared" si="37"/>
        <v>0.17980492098577683</v>
      </c>
      <c r="K298">
        <f t="shared" si="38"/>
        <v>0.19725827085834124</v>
      </c>
      <c r="L298">
        <f t="shared" si="39"/>
        <v>5.7967452912622495</v>
      </c>
      <c r="M298">
        <f t="shared" si="40"/>
        <v>1.4280098520157942</v>
      </c>
      <c r="N298">
        <f t="shared" si="41"/>
        <v>1.5826451655046656</v>
      </c>
      <c r="O298">
        <f t="shared" si="42"/>
        <v>89.773679798826493</v>
      </c>
      <c r="P298">
        <f t="shared" si="43"/>
        <v>40.821458507963122</v>
      </c>
      <c r="Q298">
        <f t="shared" si="44"/>
        <v>53.310980720871747</v>
      </c>
    </row>
    <row r="299" spans="1:17" x14ac:dyDescent="0.3">
      <c r="A299">
        <v>51016882</v>
      </c>
      <c r="B299" t="str">
        <f>VLOOKUP(A299,ASESORES!$A$2:$B$993,2,0)</f>
        <v>METTLER</v>
      </c>
      <c r="C299">
        <v>24136018.399999999</v>
      </c>
      <c r="D299">
        <v>25885715.600000001</v>
      </c>
      <c r="E299">
        <v>33403878.399999999</v>
      </c>
      <c r="F299">
        <v>28770550</v>
      </c>
      <c r="G299">
        <v>37740870</v>
      </c>
      <c r="H299">
        <v>105038397</v>
      </c>
      <c r="I299">
        <f t="shared" si="36"/>
        <v>0.19201723843564866</v>
      </c>
      <c r="J299">
        <f t="shared" si="37"/>
        <v>0.45798055511357005</v>
      </c>
      <c r="K299">
        <f t="shared" si="38"/>
        <v>2.1444970473847733</v>
      </c>
      <c r="L299">
        <f t="shared" si="39"/>
        <v>1.4322466281392359</v>
      </c>
      <c r="M299">
        <f t="shared" si="40"/>
        <v>3.4700325232833218</v>
      </c>
      <c r="N299">
        <f t="shared" si="41"/>
        <v>17.201757285028396</v>
      </c>
      <c r="O299">
        <f t="shared" si="42"/>
        <v>39.228834870075438</v>
      </c>
      <c r="P299">
        <f t="shared" si="43"/>
        <v>69.488683989941322</v>
      </c>
      <c r="Q299">
        <f t="shared" si="44"/>
        <v>99.245599329421623</v>
      </c>
    </row>
    <row r="300" spans="1:17" x14ac:dyDescent="0.3">
      <c r="A300">
        <v>51043405</v>
      </c>
      <c r="B300" t="str">
        <f>VLOOKUP(A300,ASESORES!$A$2:$B$993,2,0)</f>
        <v>METTLER</v>
      </c>
      <c r="C300">
        <v>56167152.619999997</v>
      </c>
      <c r="D300">
        <v>70521224.659999996</v>
      </c>
      <c r="E300">
        <v>85451340.649999991</v>
      </c>
      <c r="F300">
        <v>72444021</v>
      </c>
      <c r="G300">
        <v>95307597</v>
      </c>
      <c r="H300">
        <v>104520501</v>
      </c>
      <c r="I300">
        <f t="shared" si="36"/>
        <v>0.28979336891299234</v>
      </c>
      <c r="J300">
        <f t="shared" si="37"/>
        <v>0.35147393510962321</v>
      </c>
      <c r="K300">
        <f t="shared" si="38"/>
        <v>0.22315811788261297</v>
      </c>
      <c r="L300">
        <f t="shared" si="39"/>
        <v>2.2777766179899159</v>
      </c>
      <c r="M300">
        <f t="shared" si="40"/>
        <v>2.8044553481166412</v>
      </c>
      <c r="N300">
        <f t="shared" si="41"/>
        <v>1.7895499098168228</v>
      </c>
      <c r="O300">
        <f t="shared" si="42"/>
        <v>52.137468566638724</v>
      </c>
      <c r="P300">
        <f t="shared" si="43"/>
        <v>59.932942162615255</v>
      </c>
      <c r="Q300">
        <f t="shared" si="44"/>
        <v>55.825649622799666</v>
      </c>
    </row>
    <row r="301" spans="1:17" x14ac:dyDescent="0.3">
      <c r="A301">
        <v>51008987</v>
      </c>
      <c r="B301" t="str">
        <f>VLOOKUP(A301,ASESORES!$A$2:$B$993,2,0)</f>
        <v>ROBERTS</v>
      </c>
      <c r="C301">
        <v>41847501.329999998</v>
      </c>
      <c r="D301">
        <v>55928183.789999999</v>
      </c>
      <c r="E301">
        <v>62845348.560000002</v>
      </c>
      <c r="F301">
        <v>57889756</v>
      </c>
      <c r="G301">
        <v>90229920</v>
      </c>
      <c r="H301">
        <v>104056835</v>
      </c>
      <c r="I301">
        <f t="shared" si="36"/>
        <v>0.38335035928416339</v>
      </c>
      <c r="J301">
        <f t="shared" si="37"/>
        <v>0.61331754198914612</v>
      </c>
      <c r="K301">
        <f t="shared" si="38"/>
        <v>0.65576032887548363</v>
      </c>
      <c r="L301">
        <f t="shared" si="39"/>
        <v>2.9757961579812635</v>
      </c>
      <c r="M301">
        <f t="shared" si="40"/>
        <v>4.8791560586723302</v>
      </c>
      <c r="N301">
        <f t="shared" si="41"/>
        <v>5.2574080133593322</v>
      </c>
      <c r="O301">
        <f t="shared" si="42"/>
        <v>63.621123218776198</v>
      </c>
      <c r="P301">
        <f t="shared" si="43"/>
        <v>83.65465213746856</v>
      </c>
      <c r="Q301">
        <f t="shared" si="44"/>
        <v>92.372170997485327</v>
      </c>
    </row>
    <row r="302" spans="1:17" x14ac:dyDescent="0.3">
      <c r="A302">
        <v>51021088</v>
      </c>
      <c r="B302" t="str">
        <f>VLOOKUP(A302,ASESORES!$A$2:$B$993,2,0)</f>
        <v>PRADES</v>
      </c>
      <c r="C302">
        <v>48841450.380000003</v>
      </c>
      <c r="D302">
        <v>57724306.710000008</v>
      </c>
      <c r="E302">
        <v>71546333.669999987</v>
      </c>
      <c r="F302">
        <v>62477859</v>
      </c>
      <c r="G302">
        <v>83816112</v>
      </c>
      <c r="H302">
        <v>104006756</v>
      </c>
      <c r="I302">
        <f t="shared" si="36"/>
        <v>0.27919745449623146</v>
      </c>
      <c r="J302">
        <f t="shared" si="37"/>
        <v>0.4520072527000123</v>
      </c>
      <c r="K302">
        <f t="shared" si="38"/>
        <v>0.45369791385426295</v>
      </c>
      <c r="L302">
        <f t="shared" si="39"/>
        <v>2.1765468938636805</v>
      </c>
      <c r="M302">
        <f t="shared" si="40"/>
        <v>3.5814015005947963</v>
      </c>
      <c r="N302">
        <f t="shared" si="41"/>
        <v>3.6373241008483235</v>
      </c>
      <c r="O302">
        <f t="shared" si="42"/>
        <v>49.706621961441741</v>
      </c>
      <c r="P302">
        <f t="shared" si="43"/>
        <v>71.248952221290864</v>
      </c>
      <c r="Q302">
        <f t="shared" si="44"/>
        <v>80.469404861693206</v>
      </c>
    </row>
    <row r="303" spans="1:17" x14ac:dyDescent="0.3">
      <c r="A303">
        <v>51001702</v>
      </c>
      <c r="B303" t="str">
        <f>VLOOKUP(A303,ASESORES!$A$2:$B$993,2,0)</f>
        <v>MONTENEGRO</v>
      </c>
      <c r="C303">
        <v>32888713.170000002</v>
      </c>
      <c r="D303">
        <v>49888682.110000007</v>
      </c>
      <c r="E303">
        <v>67043317.539999999</v>
      </c>
      <c r="F303">
        <v>55349948</v>
      </c>
      <c r="G303">
        <v>85565731</v>
      </c>
      <c r="H303">
        <v>103964724</v>
      </c>
      <c r="I303">
        <f t="shared" si="36"/>
        <v>0.68294659976202388</v>
      </c>
      <c r="J303">
        <f t="shared" si="37"/>
        <v>0.71513311999974949</v>
      </c>
      <c r="K303">
        <f t="shared" si="38"/>
        <v>0.55070971745948594</v>
      </c>
      <c r="L303">
        <f t="shared" si="39"/>
        <v>5.2881355750491306</v>
      </c>
      <c r="M303">
        <f t="shared" si="40"/>
        <v>5.6726503511882678</v>
      </c>
      <c r="N303">
        <f t="shared" si="41"/>
        <v>4.4149770266978026</v>
      </c>
      <c r="O303">
        <f t="shared" si="42"/>
        <v>87.175188600167644</v>
      </c>
      <c r="P303">
        <f t="shared" si="43"/>
        <v>89.606035205364634</v>
      </c>
      <c r="Q303">
        <f t="shared" si="44"/>
        <v>87.342833193629517</v>
      </c>
    </row>
    <row r="304" spans="1:17" x14ac:dyDescent="0.3">
      <c r="A304">
        <v>51003730</v>
      </c>
      <c r="B304" t="str">
        <f>VLOOKUP(A304,ASESORES!$A$2:$B$993,2,0)</f>
        <v>BELUZZO</v>
      </c>
      <c r="C304">
        <v>48958943.25</v>
      </c>
      <c r="D304">
        <v>47033310.219999999</v>
      </c>
      <c r="E304">
        <v>59387730.420000002</v>
      </c>
      <c r="F304">
        <v>51886388</v>
      </c>
      <c r="G304">
        <v>69701527</v>
      </c>
      <c r="H304">
        <v>103835186</v>
      </c>
      <c r="I304">
        <f t="shared" si="36"/>
        <v>5.9793871265797716E-2</v>
      </c>
      <c r="J304">
        <f t="shared" si="37"/>
        <v>0.4819609054512346</v>
      </c>
      <c r="K304">
        <f t="shared" si="38"/>
        <v>0.74842825724539619</v>
      </c>
      <c r="L304">
        <f t="shared" si="39"/>
        <v>0.46131291213614678</v>
      </c>
      <c r="M304">
        <f t="shared" si="40"/>
        <v>3.7801361570122913</v>
      </c>
      <c r="N304">
        <f t="shared" si="41"/>
        <v>5.9996587774360011</v>
      </c>
      <c r="O304">
        <f t="shared" si="42"/>
        <v>26.990779547359601</v>
      </c>
      <c r="P304">
        <f t="shared" si="43"/>
        <v>73.260687342833194</v>
      </c>
      <c r="Q304">
        <f t="shared" si="44"/>
        <v>94.300083822296727</v>
      </c>
    </row>
    <row r="305" spans="1:17" x14ac:dyDescent="0.3">
      <c r="A305">
        <v>51012348</v>
      </c>
      <c r="B305" t="str">
        <f>VLOOKUP(A305,ASESORES!$A$2:$B$993,2,0)</f>
        <v>NELLI</v>
      </c>
      <c r="C305">
        <v>48253879.090000004</v>
      </c>
      <c r="D305">
        <v>68313701.849999994</v>
      </c>
      <c r="E305">
        <v>80421917.790000007</v>
      </c>
      <c r="F305">
        <v>62867905</v>
      </c>
      <c r="G305">
        <v>88819957</v>
      </c>
      <c r="H305">
        <v>103762551</v>
      </c>
      <c r="I305">
        <f t="shared" si="36"/>
        <v>0.30285701762427975</v>
      </c>
      <c r="J305">
        <f t="shared" si="37"/>
        <v>0.30017777685400038</v>
      </c>
      <c r="K305">
        <f t="shared" si="38"/>
        <v>0.29022726454929515</v>
      </c>
      <c r="L305">
        <f t="shared" si="39"/>
        <v>2.3618089455305342</v>
      </c>
      <c r="M305">
        <f t="shared" si="40"/>
        <v>2.3859662287765051</v>
      </c>
      <c r="N305">
        <f t="shared" si="41"/>
        <v>2.3264735475582063</v>
      </c>
      <c r="O305">
        <f t="shared" si="42"/>
        <v>53.310980720871747</v>
      </c>
      <c r="P305">
        <f t="shared" si="43"/>
        <v>53.646269907795471</v>
      </c>
      <c r="Q305">
        <f t="shared" si="44"/>
        <v>63.956412405699915</v>
      </c>
    </row>
    <row r="306" spans="1:17" x14ac:dyDescent="0.3">
      <c r="A306">
        <v>51031563</v>
      </c>
      <c r="B306" t="str">
        <f>VLOOKUP(A306,ASESORES!$A$2:$B$993,2,0)</f>
        <v>LÓPEZ</v>
      </c>
      <c r="C306">
        <v>44501403.240000002</v>
      </c>
      <c r="D306">
        <v>69602423.859999999</v>
      </c>
      <c r="E306">
        <v>78797886.729999989</v>
      </c>
      <c r="F306">
        <v>57116043</v>
      </c>
      <c r="G306">
        <v>92400486</v>
      </c>
      <c r="H306">
        <v>103723783</v>
      </c>
      <c r="I306">
        <f t="shared" si="36"/>
        <v>0.28346611211264805</v>
      </c>
      <c r="J306">
        <f t="shared" si="37"/>
        <v>0.32754695706943449</v>
      </c>
      <c r="K306">
        <f t="shared" si="38"/>
        <v>0.31632696388684001</v>
      </c>
      <c r="L306">
        <f t="shared" si="39"/>
        <v>2.1987780645741428</v>
      </c>
      <c r="M306">
        <f t="shared" si="40"/>
        <v>2.6091323633921712</v>
      </c>
      <c r="N306">
        <f t="shared" si="41"/>
        <v>2.5356384606827409</v>
      </c>
      <c r="O306">
        <f t="shared" si="42"/>
        <v>50.293378038558259</v>
      </c>
      <c r="P306">
        <f t="shared" si="43"/>
        <v>57.166806370494548</v>
      </c>
      <c r="Q306">
        <f t="shared" si="44"/>
        <v>66.638725901089686</v>
      </c>
    </row>
    <row r="307" spans="1:17" x14ac:dyDescent="0.3">
      <c r="A307">
        <v>51055080</v>
      </c>
      <c r="B307" t="str">
        <f>VLOOKUP(A307,ASESORES!$A$2:$B$993,2,0)</f>
        <v>NELLI</v>
      </c>
      <c r="C307">
        <v>64831388.680000007</v>
      </c>
      <c r="D307">
        <v>66681830.939999998</v>
      </c>
      <c r="E307">
        <v>90061886.830000013</v>
      </c>
      <c r="F307">
        <v>83639875</v>
      </c>
      <c r="G307">
        <v>113701750</v>
      </c>
      <c r="H307">
        <v>103646585</v>
      </c>
      <c r="I307">
        <f t="shared" si="36"/>
        <v>0.29011388932044069</v>
      </c>
      <c r="J307">
        <f t="shared" si="37"/>
        <v>0.70513839223023589</v>
      </c>
      <c r="K307">
        <f t="shared" si="38"/>
        <v>0.15083737025899024</v>
      </c>
      <c r="L307">
        <f t="shared" si="39"/>
        <v>2.2984021570522026</v>
      </c>
      <c r="M307">
        <f t="shared" si="40"/>
        <v>5.6804306956467947</v>
      </c>
      <c r="N307">
        <f t="shared" si="41"/>
        <v>1.20904523696082</v>
      </c>
      <c r="O307">
        <f t="shared" si="42"/>
        <v>52.724224643755235</v>
      </c>
      <c r="P307">
        <f t="shared" si="43"/>
        <v>89.689857502095563</v>
      </c>
      <c r="Q307">
        <f t="shared" si="44"/>
        <v>47.02430846605197</v>
      </c>
    </row>
    <row r="308" spans="1:17" x14ac:dyDescent="0.3">
      <c r="A308">
        <v>51018672</v>
      </c>
      <c r="B308" t="str">
        <f>VLOOKUP(A308,ASESORES!$A$2:$B$993,2,0)</f>
        <v>BELUZZO</v>
      </c>
      <c r="C308">
        <v>41694174.840000004</v>
      </c>
      <c r="D308">
        <v>70875556</v>
      </c>
      <c r="E308">
        <v>77513120.510000005</v>
      </c>
      <c r="F308">
        <v>60070906</v>
      </c>
      <c r="G308">
        <v>91542974</v>
      </c>
      <c r="H308">
        <v>103459039</v>
      </c>
      <c r="I308">
        <f t="shared" si="36"/>
        <v>0.44075056600880314</v>
      </c>
      <c r="J308">
        <f t="shared" si="37"/>
        <v>0.29160149375053934</v>
      </c>
      <c r="K308">
        <f t="shared" si="38"/>
        <v>0.33472937638541711</v>
      </c>
      <c r="L308">
        <f t="shared" si="39"/>
        <v>3.428450641054182</v>
      </c>
      <c r="M308">
        <f t="shared" si="40"/>
        <v>2.3216217477704388</v>
      </c>
      <c r="N308">
        <f t="shared" si="41"/>
        <v>2.6827784418149876</v>
      </c>
      <c r="O308">
        <f t="shared" si="42"/>
        <v>70.326906957250628</v>
      </c>
      <c r="P308">
        <f t="shared" si="43"/>
        <v>52.472757753562448</v>
      </c>
      <c r="Q308">
        <f t="shared" si="44"/>
        <v>68.734283319362959</v>
      </c>
    </row>
    <row r="309" spans="1:17" x14ac:dyDescent="0.3">
      <c r="A309">
        <v>51019130</v>
      </c>
      <c r="B309" t="str">
        <f>VLOOKUP(A309,ASESORES!$A$2:$B$993,2,0)</f>
        <v>ROBERTS</v>
      </c>
      <c r="C309">
        <v>60020046.850000001</v>
      </c>
      <c r="D309">
        <v>74003507.930000007</v>
      </c>
      <c r="E309">
        <v>80969338.770000011</v>
      </c>
      <c r="F309">
        <v>70690502</v>
      </c>
      <c r="G309">
        <v>98577828</v>
      </c>
      <c r="H309">
        <v>102936123</v>
      </c>
      <c r="I309">
        <f t="shared" si="36"/>
        <v>0.17778151984231583</v>
      </c>
      <c r="J309">
        <f t="shared" si="37"/>
        <v>0.33206966476839006</v>
      </c>
      <c r="K309">
        <f t="shared" si="38"/>
        <v>0.27129756230810309</v>
      </c>
      <c r="L309">
        <f t="shared" si="39"/>
        <v>1.395471340062211</v>
      </c>
      <c r="M309">
        <f t="shared" si="40"/>
        <v>2.6544915941066667</v>
      </c>
      <c r="N309">
        <f t="shared" si="41"/>
        <v>2.1737901138393574</v>
      </c>
      <c r="O309">
        <f t="shared" si="42"/>
        <v>38.558256496227997</v>
      </c>
      <c r="P309">
        <f t="shared" si="43"/>
        <v>58.005029337803862</v>
      </c>
      <c r="Q309">
        <f t="shared" si="44"/>
        <v>60.93880972338642</v>
      </c>
    </row>
    <row r="310" spans="1:17" x14ac:dyDescent="0.3">
      <c r="A310">
        <v>51036255</v>
      </c>
      <c r="B310" t="str">
        <f>VLOOKUP(A310,ASESORES!$A$2:$B$993,2,0)</f>
        <v>ROBERTS</v>
      </c>
      <c r="C310">
        <v>60372652.380000003</v>
      </c>
      <c r="D310">
        <v>82798406.840000004</v>
      </c>
      <c r="E310">
        <v>91400003.049999997</v>
      </c>
      <c r="F310">
        <v>77155599</v>
      </c>
      <c r="G310">
        <v>95279828</v>
      </c>
      <c r="H310">
        <v>102898409</v>
      </c>
      <c r="I310">
        <f t="shared" si="36"/>
        <v>0.27798922125143832</v>
      </c>
      <c r="J310">
        <f t="shared" si="37"/>
        <v>0.15074470193755229</v>
      </c>
      <c r="K310">
        <f t="shared" si="38"/>
        <v>0.1258031243577733</v>
      </c>
      <c r="L310">
        <f t="shared" si="39"/>
        <v>2.1926031343904926</v>
      </c>
      <c r="M310">
        <f t="shared" si="40"/>
        <v>1.2027921221504525</v>
      </c>
      <c r="N310">
        <f t="shared" si="41"/>
        <v>1.0079860430362855</v>
      </c>
      <c r="O310">
        <f t="shared" si="42"/>
        <v>50.041911148365472</v>
      </c>
      <c r="P310">
        <f t="shared" si="43"/>
        <v>37.636211232187762</v>
      </c>
      <c r="Q310">
        <f t="shared" si="44"/>
        <v>43.671416596814758</v>
      </c>
    </row>
    <row r="311" spans="1:17" x14ac:dyDescent="0.3">
      <c r="A311">
        <v>51056809</v>
      </c>
      <c r="B311" t="str">
        <f>VLOOKUP(A311,ASESORES!$A$2:$B$993,2,0)</f>
        <v>AYALA</v>
      </c>
      <c r="C311">
        <v>51521476.25</v>
      </c>
      <c r="D311">
        <v>84657902.239999995</v>
      </c>
      <c r="E311">
        <v>97118938.549999997</v>
      </c>
      <c r="F311">
        <v>71708126</v>
      </c>
      <c r="G311">
        <v>87703110</v>
      </c>
      <c r="H311">
        <v>102874866</v>
      </c>
      <c r="I311">
        <f t="shared" si="36"/>
        <v>0.39181039091441017</v>
      </c>
      <c r="J311">
        <f t="shared" si="37"/>
        <v>3.5970744365564578E-2</v>
      </c>
      <c r="K311">
        <f t="shared" si="38"/>
        <v>5.9266787054480297E-2</v>
      </c>
      <c r="L311">
        <f t="shared" si="39"/>
        <v>3.077893315048724</v>
      </c>
      <c r="M311">
        <f t="shared" si="40"/>
        <v>0.28571616183949988</v>
      </c>
      <c r="N311">
        <f t="shared" si="41"/>
        <v>0.47486382806228011</v>
      </c>
      <c r="O311">
        <f t="shared" si="42"/>
        <v>65.549036043587591</v>
      </c>
      <c r="P311">
        <f t="shared" si="43"/>
        <v>28.918692372170995</v>
      </c>
      <c r="Q311">
        <f t="shared" si="44"/>
        <v>36.881810561609392</v>
      </c>
    </row>
    <row r="312" spans="1:17" x14ac:dyDescent="0.3">
      <c r="A312">
        <v>51018699</v>
      </c>
      <c r="B312" t="str">
        <f>VLOOKUP(A312,ASESORES!$A$2:$B$993,2,0)</f>
        <v>ARGUELLO</v>
      </c>
      <c r="C312">
        <v>42000153.109999999</v>
      </c>
      <c r="D312">
        <v>54473215.950000003</v>
      </c>
      <c r="E312">
        <v>70120149.099999994</v>
      </c>
      <c r="F312">
        <v>57888481</v>
      </c>
      <c r="G312">
        <v>74622830</v>
      </c>
      <c r="H312">
        <v>102805434</v>
      </c>
      <c r="I312">
        <f t="shared" si="36"/>
        <v>0.37829214213547901</v>
      </c>
      <c r="J312">
        <f t="shared" si="37"/>
        <v>0.36989947625811137</v>
      </c>
      <c r="K312">
        <f t="shared" si="38"/>
        <v>0.46613256417048898</v>
      </c>
      <c r="L312">
        <f t="shared" si="39"/>
        <v>2.9365276143783139</v>
      </c>
      <c r="M312">
        <f t="shared" si="40"/>
        <v>2.9121711241083403</v>
      </c>
      <c r="N312">
        <f t="shared" si="41"/>
        <v>3.7346615952688458</v>
      </c>
      <c r="O312">
        <f t="shared" si="42"/>
        <v>62.950544844928743</v>
      </c>
      <c r="P312">
        <f t="shared" si="43"/>
        <v>61.69321039396479</v>
      </c>
      <c r="Q312">
        <f t="shared" si="44"/>
        <v>81.642917015926244</v>
      </c>
    </row>
    <row r="313" spans="1:17" x14ac:dyDescent="0.3">
      <c r="A313">
        <v>51010019</v>
      </c>
      <c r="B313" t="str">
        <f>VLOOKUP(A313,ASESORES!$A$2:$B$993,2,0)</f>
        <v>LÓPEZ</v>
      </c>
      <c r="C313">
        <v>61637975.950000003</v>
      </c>
      <c r="D313">
        <v>69948059.620000005</v>
      </c>
      <c r="E313">
        <v>89513309.729999989</v>
      </c>
      <c r="F313">
        <v>80066777</v>
      </c>
      <c r="G313">
        <v>114914372</v>
      </c>
      <c r="H313">
        <v>102602155</v>
      </c>
      <c r="I313">
        <f t="shared" si="36"/>
        <v>0.29898452643787699</v>
      </c>
      <c r="J313">
        <f t="shared" si="37"/>
        <v>0.64285289147810665</v>
      </c>
      <c r="K313">
        <f t="shared" si="38"/>
        <v>0.14622233620318625</v>
      </c>
      <c r="L313">
        <f t="shared" si="39"/>
        <v>2.3630099571360819</v>
      </c>
      <c r="M313">
        <f t="shared" si="40"/>
        <v>5.1816349560136192</v>
      </c>
      <c r="N313">
        <f t="shared" si="41"/>
        <v>1.1714100165688253</v>
      </c>
      <c r="O313">
        <f t="shared" si="42"/>
        <v>53.47862531433362</v>
      </c>
      <c r="P313">
        <f t="shared" si="43"/>
        <v>86.672254819782054</v>
      </c>
      <c r="Q313">
        <f t="shared" si="44"/>
        <v>46.353730092204529</v>
      </c>
    </row>
    <row r="314" spans="1:17" x14ac:dyDescent="0.3">
      <c r="A314">
        <v>51010647</v>
      </c>
      <c r="B314" t="str">
        <f>VLOOKUP(A314,ASESORES!$A$2:$B$993,2,0)</f>
        <v>ARGUELLO</v>
      </c>
      <c r="C314">
        <v>51228741.170000002</v>
      </c>
      <c r="D314">
        <v>63073216.780000001</v>
      </c>
      <c r="E314">
        <v>74250150.960000008</v>
      </c>
      <c r="F314">
        <v>60265058</v>
      </c>
      <c r="G314">
        <v>81061970</v>
      </c>
      <c r="H314">
        <v>102488272</v>
      </c>
      <c r="I314">
        <f t="shared" si="36"/>
        <v>0.17639154551960257</v>
      </c>
      <c r="J314">
        <f t="shared" si="37"/>
        <v>0.28520430918792283</v>
      </c>
      <c r="K314">
        <f t="shared" si="38"/>
        <v>0.38031062125668158</v>
      </c>
      <c r="L314">
        <f t="shared" si="39"/>
        <v>1.3723377917005846</v>
      </c>
      <c r="M314">
        <f t="shared" si="40"/>
        <v>2.2556287328801692</v>
      </c>
      <c r="N314">
        <f t="shared" si="41"/>
        <v>3.0465444705764515</v>
      </c>
      <c r="O314">
        <f t="shared" si="42"/>
        <v>38.30678960603521</v>
      </c>
      <c r="P314">
        <f t="shared" si="43"/>
        <v>51.550712489522212</v>
      </c>
      <c r="Q314">
        <f t="shared" si="44"/>
        <v>74.853310980720863</v>
      </c>
    </row>
    <row r="315" spans="1:17" x14ac:dyDescent="0.3">
      <c r="A315">
        <v>51054881</v>
      </c>
      <c r="B315" t="str">
        <f>VLOOKUP(A315,ASESORES!$A$2:$B$993,2,0)</f>
        <v>MONTENEGRO</v>
      </c>
      <c r="C315">
        <v>46507477.270000003</v>
      </c>
      <c r="D315">
        <v>63512401.380000003</v>
      </c>
      <c r="E315">
        <v>82709357.089999989</v>
      </c>
      <c r="F315">
        <v>73509403</v>
      </c>
      <c r="G315">
        <v>91800915</v>
      </c>
      <c r="H315">
        <v>102476939</v>
      </c>
      <c r="I315">
        <f t="shared" si="36"/>
        <v>0.58059321457579438</v>
      </c>
      <c r="J315">
        <f t="shared" si="37"/>
        <v>0.44540141776009157</v>
      </c>
      <c r="K315">
        <f t="shared" si="38"/>
        <v>0.2390005509109443</v>
      </c>
      <c r="L315">
        <f t="shared" si="39"/>
        <v>4.5671453087585343</v>
      </c>
      <c r="M315">
        <f t="shared" si="40"/>
        <v>3.5466633476303553</v>
      </c>
      <c r="N315">
        <f t="shared" si="41"/>
        <v>1.9145440616760565</v>
      </c>
      <c r="O315">
        <f t="shared" si="42"/>
        <v>82.397317686504607</v>
      </c>
      <c r="P315">
        <f t="shared" si="43"/>
        <v>70.829840737636204</v>
      </c>
      <c r="Q315">
        <f t="shared" si="44"/>
        <v>57.082984073763619</v>
      </c>
    </row>
    <row r="316" spans="1:17" x14ac:dyDescent="0.3">
      <c r="A316">
        <v>51019091</v>
      </c>
      <c r="B316" t="str">
        <f>VLOOKUP(A316,ASESORES!$A$2:$B$993,2,0)</f>
        <v>MONTENEGRO</v>
      </c>
      <c r="C316">
        <v>67582737.789999992</v>
      </c>
      <c r="D316">
        <v>85858522.300000012</v>
      </c>
      <c r="E316">
        <v>108796353.89</v>
      </c>
      <c r="F316">
        <v>67757241</v>
      </c>
      <c r="G316">
        <v>96140866</v>
      </c>
      <c r="H316">
        <v>102445893</v>
      </c>
      <c r="I316">
        <f t="shared" si="36"/>
        <v>2.5820677839694106E-3</v>
      </c>
      <c r="J316">
        <f t="shared" si="37"/>
        <v>0.11975915057182385</v>
      </c>
      <c r="K316">
        <f t="shared" si="38"/>
        <v>-5.8370162812815596E-2</v>
      </c>
      <c r="L316">
        <f t="shared" si="39"/>
        <v>2.0220058466013109E-2</v>
      </c>
      <c r="M316">
        <f t="shared" si="40"/>
        <v>0.95602628473802642</v>
      </c>
      <c r="N316">
        <f t="shared" si="41"/>
        <v>-0.46757387123809802</v>
      </c>
      <c r="O316">
        <f t="shared" si="42"/>
        <v>23.1349538977368</v>
      </c>
      <c r="P316">
        <f t="shared" si="43"/>
        <v>34.534786253143338</v>
      </c>
      <c r="Q316">
        <f t="shared" si="44"/>
        <v>11.483654652137469</v>
      </c>
    </row>
    <row r="317" spans="1:17" x14ac:dyDescent="0.3">
      <c r="A317">
        <v>51018931</v>
      </c>
      <c r="B317" t="str">
        <f>VLOOKUP(A317,ASESORES!$A$2:$B$993,2,0)</f>
        <v>ARGUELLO</v>
      </c>
      <c r="C317">
        <v>49622403.280000001</v>
      </c>
      <c r="D317">
        <v>39796231.079999998</v>
      </c>
      <c r="E317">
        <v>77460561.870000005</v>
      </c>
      <c r="F317">
        <v>74210827</v>
      </c>
      <c r="G317">
        <v>59114282</v>
      </c>
      <c r="H317">
        <v>102437262</v>
      </c>
      <c r="I317">
        <f t="shared" si="36"/>
        <v>0.49551053747350871</v>
      </c>
      <c r="J317">
        <f t="shared" si="37"/>
        <v>0.48542413177685284</v>
      </c>
      <c r="K317">
        <f t="shared" si="38"/>
        <v>0.32244408673303626</v>
      </c>
      <c r="L317">
        <f t="shared" si="39"/>
        <v>3.8998994678000773</v>
      </c>
      <c r="M317">
        <f t="shared" si="40"/>
        <v>3.7725670449432913</v>
      </c>
      <c r="N317">
        <f t="shared" si="41"/>
        <v>2.5829248018342073</v>
      </c>
      <c r="O317">
        <f t="shared" si="42"/>
        <v>76.529756915339476</v>
      </c>
      <c r="P317">
        <f t="shared" si="43"/>
        <v>73.009220452640406</v>
      </c>
      <c r="Q317">
        <f t="shared" si="44"/>
        <v>67.057837384744346</v>
      </c>
    </row>
    <row r="318" spans="1:17" x14ac:dyDescent="0.3">
      <c r="A318">
        <v>51057015</v>
      </c>
      <c r="B318" t="str">
        <f>VLOOKUP(A318,ASESORES!$A$2:$B$993,2,0)</f>
        <v>BELUZZO</v>
      </c>
      <c r="C318">
        <v>49799467.130000003</v>
      </c>
      <c r="D318">
        <v>70400506.939999998</v>
      </c>
      <c r="E318">
        <v>74126194.290000007</v>
      </c>
      <c r="F318">
        <v>66054267</v>
      </c>
      <c r="G318">
        <v>93661997</v>
      </c>
      <c r="H318">
        <v>102317765</v>
      </c>
      <c r="I318">
        <f t="shared" si="36"/>
        <v>0.32640509641533577</v>
      </c>
      <c r="J318">
        <f t="shared" si="37"/>
        <v>0.33041651361722435</v>
      </c>
      <c r="K318">
        <f t="shared" si="38"/>
        <v>0.38031860370043535</v>
      </c>
      <c r="L318">
        <f t="shared" si="39"/>
        <v>2.5524554999067108</v>
      </c>
      <c r="M318">
        <f t="shared" si="40"/>
        <v>2.6339361910973773</v>
      </c>
      <c r="N318">
        <f t="shared" si="41"/>
        <v>3.046333397131733</v>
      </c>
      <c r="O318">
        <f t="shared" si="42"/>
        <v>56.663872590108966</v>
      </c>
      <c r="P318">
        <f t="shared" si="43"/>
        <v>57.585917854149201</v>
      </c>
      <c r="Q318">
        <f t="shared" si="44"/>
        <v>74.769488683989934</v>
      </c>
    </row>
    <row r="319" spans="1:17" x14ac:dyDescent="0.3">
      <c r="A319">
        <v>51023421</v>
      </c>
      <c r="B319" t="str">
        <f>VLOOKUP(A319,ASESORES!$A$2:$B$993,2,0)</f>
        <v>LÓPEZ</v>
      </c>
      <c r="C319">
        <v>50458815.560000002</v>
      </c>
      <c r="D319">
        <v>60842125.369999997</v>
      </c>
      <c r="E319">
        <v>73523311.700000003</v>
      </c>
      <c r="F319">
        <v>65595941</v>
      </c>
      <c r="G319">
        <v>86376397</v>
      </c>
      <c r="H319">
        <v>102126336</v>
      </c>
      <c r="I319">
        <f t="shared" si="36"/>
        <v>0.29998970986547668</v>
      </c>
      <c r="J319">
        <f t="shared" si="37"/>
        <v>0.41968079640081779</v>
      </c>
      <c r="K319">
        <f t="shared" si="38"/>
        <v>0.38903340503363104</v>
      </c>
      <c r="L319">
        <f t="shared" si="39"/>
        <v>2.344982653256424</v>
      </c>
      <c r="M319">
        <f t="shared" si="40"/>
        <v>3.3307526095965891</v>
      </c>
      <c r="N319">
        <f t="shared" si="41"/>
        <v>3.1158221306342742</v>
      </c>
      <c r="O319">
        <f t="shared" si="42"/>
        <v>53.227158424140818</v>
      </c>
      <c r="P319">
        <f t="shared" si="43"/>
        <v>67.393126571668063</v>
      </c>
      <c r="Q319">
        <f t="shared" si="44"/>
        <v>75.69153394803017</v>
      </c>
    </row>
    <row r="320" spans="1:17" x14ac:dyDescent="0.3">
      <c r="A320">
        <v>51012305</v>
      </c>
      <c r="B320" t="str">
        <f>VLOOKUP(A320,ASESORES!$A$2:$B$993,2,0)</f>
        <v>ARGUELLO</v>
      </c>
      <c r="C320">
        <v>56874869.049999997</v>
      </c>
      <c r="D320">
        <v>78719127.879999995</v>
      </c>
      <c r="E320">
        <v>92690046.109999999</v>
      </c>
      <c r="F320">
        <v>80978959</v>
      </c>
      <c r="G320">
        <v>88573175</v>
      </c>
      <c r="H320">
        <v>102098746</v>
      </c>
      <c r="I320">
        <f t="shared" si="36"/>
        <v>0.42380915073069536</v>
      </c>
      <c r="J320">
        <f t="shared" si="37"/>
        <v>0.12517983094301544</v>
      </c>
      <c r="K320">
        <f t="shared" si="38"/>
        <v>0.10150712276951745</v>
      </c>
      <c r="L320">
        <f t="shared" si="39"/>
        <v>3.3516405013068251</v>
      </c>
      <c r="M320">
        <f t="shared" si="40"/>
        <v>0.99484194743960108</v>
      </c>
      <c r="N320">
        <f t="shared" si="41"/>
        <v>0.81297261782006591</v>
      </c>
      <c r="O320">
        <f t="shared" si="42"/>
        <v>69.321039396479463</v>
      </c>
      <c r="P320">
        <f t="shared" si="43"/>
        <v>35.289186923721708</v>
      </c>
      <c r="Q320">
        <f t="shared" si="44"/>
        <v>41.492036881810563</v>
      </c>
    </row>
    <row r="321" spans="1:17" x14ac:dyDescent="0.3">
      <c r="A321">
        <v>51014219</v>
      </c>
      <c r="B321" t="e">
        <f>VLOOKUP(A321,ASESORES!$A$2:$B$993,2,0)</f>
        <v>#N/A</v>
      </c>
      <c r="C321">
        <v>11560315.109999999</v>
      </c>
      <c r="D321">
        <v>11480087.720000001</v>
      </c>
      <c r="E321">
        <v>58080</v>
      </c>
      <c r="F321">
        <v>0</v>
      </c>
      <c r="G321">
        <v>54000</v>
      </c>
      <c r="H321">
        <v>102057646</v>
      </c>
      <c r="I321">
        <f t="shared" si="36"/>
        <v>-1</v>
      </c>
      <c r="J321">
        <f t="shared" si="37"/>
        <v>-0.99529620318963907</v>
      </c>
      <c r="K321">
        <f t="shared" si="38"/>
        <v>1756.1908746556473</v>
      </c>
      <c r="L321">
        <f t="shared" si="39"/>
        <v>0</v>
      </c>
      <c r="M321">
        <f t="shared" si="40"/>
        <v>-4.7101335411501406</v>
      </c>
      <c r="N321">
        <f t="shared" si="41"/>
        <v>14065.061466058356</v>
      </c>
      <c r="O321">
        <f t="shared" si="42"/>
        <v>11.5674769488684</v>
      </c>
      <c r="P321">
        <f t="shared" si="43"/>
        <v>1.3411567476948869</v>
      </c>
      <c r="Q321">
        <f t="shared" si="44"/>
        <v>100</v>
      </c>
    </row>
    <row r="322" spans="1:17" x14ac:dyDescent="0.3">
      <c r="A322">
        <v>51030753</v>
      </c>
      <c r="B322" t="str">
        <f>VLOOKUP(A322,ASESORES!$A$2:$B$993,2,0)</f>
        <v>BELUZZO</v>
      </c>
      <c r="C322">
        <v>50103068.640000001</v>
      </c>
      <c r="D322">
        <v>59794754.630000003</v>
      </c>
      <c r="E322">
        <v>74901054.930000007</v>
      </c>
      <c r="F322">
        <v>62696346</v>
      </c>
      <c r="G322">
        <v>89941146</v>
      </c>
      <c r="H322">
        <v>101998184</v>
      </c>
      <c r="I322">
        <f t="shared" ref="I322:I385" si="45">IFERROR(F322/C322-1,0)</f>
        <v>0.25134742645176233</v>
      </c>
      <c r="J322">
        <f t="shared" ref="J322:J385" si="46">IFERROR(G322/D322-1,0)</f>
        <v>0.50416447992036839</v>
      </c>
      <c r="K322">
        <f t="shared" ref="K322:K385" si="47">IFERROR(H322/E322-1,0)</f>
        <v>0.36177232877860077</v>
      </c>
      <c r="L322">
        <f t="shared" ref="L322:L385" si="48">IFERROR(I322*LOG(F322),0)</f>
        <v>1.9598167680549956</v>
      </c>
      <c r="M322">
        <f t="shared" ref="M322:M385" si="49">IFERROR(J322*LOG(G322),0)</f>
        <v>4.0101033085657392</v>
      </c>
      <c r="N322">
        <f t="shared" ref="N322:N385" si="50">IFERROR(K322*LOG(H322),0)</f>
        <v>2.897287137094045</v>
      </c>
      <c r="O322">
        <f t="shared" ref="O322:O385" si="51">RANK(L322,$L$2:$L$1194,1)/COUNT($L$2:$L$1194)*100</f>
        <v>46.186085498742663</v>
      </c>
      <c r="P322">
        <f t="shared" ref="P322:P385" si="52">RANK(M322,$M$2:$M$1194,1)/COUNT($M$2:$M$1194)*100</f>
        <v>75.775356244761099</v>
      </c>
      <c r="Q322">
        <f t="shared" ref="Q322:Q385" si="53">RANK(N322,$N$2:$N$1194,1)/COUNT($N$2:$N$1194)*100</f>
        <v>72.003352891869227</v>
      </c>
    </row>
    <row r="323" spans="1:17" x14ac:dyDescent="0.3">
      <c r="A323">
        <v>51042336</v>
      </c>
      <c r="B323" t="str">
        <f>VLOOKUP(A323,ASESORES!$A$2:$B$993,2,0)</f>
        <v>NELLI</v>
      </c>
      <c r="C323">
        <v>39816661.259999998</v>
      </c>
      <c r="D323">
        <v>50942239.61999999</v>
      </c>
      <c r="E323">
        <v>67478617.469999999</v>
      </c>
      <c r="F323">
        <v>62485757</v>
      </c>
      <c r="G323">
        <v>83901972</v>
      </c>
      <c r="H323">
        <v>101900805</v>
      </c>
      <c r="I323">
        <f t="shared" si="45"/>
        <v>0.5693369313909169</v>
      </c>
      <c r="J323">
        <f t="shared" si="46"/>
        <v>0.64700202868701462</v>
      </c>
      <c r="K323">
        <f t="shared" si="47"/>
        <v>0.51011992866189937</v>
      </c>
      <c r="L323">
        <f t="shared" si="48"/>
        <v>4.4384260525837256</v>
      </c>
      <c r="M323">
        <f t="shared" si="49"/>
        <v>5.1266966678348904</v>
      </c>
      <c r="N323">
        <f t="shared" si="50"/>
        <v>4.0851309936127018</v>
      </c>
      <c r="O323">
        <f t="shared" si="51"/>
        <v>80.804694048616938</v>
      </c>
      <c r="P323">
        <f t="shared" si="52"/>
        <v>86.336965632858337</v>
      </c>
      <c r="Q323">
        <f t="shared" si="53"/>
        <v>84.995808885163456</v>
      </c>
    </row>
    <row r="324" spans="1:17" x14ac:dyDescent="0.3">
      <c r="A324">
        <v>51023790</v>
      </c>
      <c r="B324" t="str">
        <f>VLOOKUP(A324,ASESORES!$A$2:$B$993,2,0)</f>
        <v>MONTENEGRO</v>
      </c>
      <c r="C324">
        <v>47993296.189999998</v>
      </c>
      <c r="D324">
        <v>60858852.729999997</v>
      </c>
      <c r="E324">
        <v>78328349.670000002</v>
      </c>
      <c r="F324">
        <v>65861281</v>
      </c>
      <c r="G324">
        <v>92152475</v>
      </c>
      <c r="H324">
        <v>101575115</v>
      </c>
      <c r="I324">
        <f t="shared" si="45"/>
        <v>0.37230168020264087</v>
      </c>
      <c r="J324">
        <f t="shared" si="46"/>
        <v>0.51420000322441184</v>
      </c>
      <c r="K324">
        <f t="shared" si="47"/>
        <v>0.29678609887658047</v>
      </c>
      <c r="L324">
        <f t="shared" si="48"/>
        <v>2.9108891504670931</v>
      </c>
      <c r="M324">
        <f t="shared" si="49"/>
        <v>4.0953495270584703</v>
      </c>
      <c r="N324">
        <f t="shared" si="50"/>
        <v>2.3763031740364084</v>
      </c>
      <c r="O324">
        <f t="shared" si="51"/>
        <v>61.944677284157592</v>
      </c>
      <c r="P324">
        <f t="shared" si="52"/>
        <v>76.529756915339476</v>
      </c>
      <c r="Q324">
        <f t="shared" si="53"/>
        <v>64.626990779547356</v>
      </c>
    </row>
    <row r="325" spans="1:17" x14ac:dyDescent="0.3">
      <c r="A325">
        <v>51022378</v>
      </c>
      <c r="B325" t="str">
        <f>VLOOKUP(A325,ASESORES!$A$2:$B$993,2,0)</f>
        <v>LÓPEZ</v>
      </c>
      <c r="C325">
        <v>110481718.44</v>
      </c>
      <c r="D325">
        <v>143449074.69999999</v>
      </c>
      <c r="E325">
        <v>114458919.39</v>
      </c>
      <c r="F325">
        <v>85514034</v>
      </c>
      <c r="G325">
        <v>92003505</v>
      </c>
      <c r="H325">
        <v>101368486</v>
      </c>
      <c r="I325">
        <f t="shared" si="45"/>
        <v>-0.2259892839516191</v>
      </c>
      <c r="J325">
        <f t="shared" si="46"/>
        <v>-0.35863298391843856</v>
      </c>
      <c r="K325">
        <f t="shared" si="47"/>
        <v>-0.11436796240751235</v>
      </c>
      <c r="L325">
        <f t="shared" si="48"/>
        <v>-1.7925554509762418</v>
      </c>
      <c r="M325">
        <f t="shared" si="49"/>
        <v>-2.8560829255262719</v>
      </c>
      <c r="N325">
        <f t="shared" si="50"/>
        <v>-0.91561880877784874</v>
      </c>
      <c r="O325">
        <f t="shared" si="51"/>
        <v>5.5322715842414087</v>
      </c>
      <c r="P325">
        <f t="shared" si="52"/>
        <v>3.5205364626990781</v>
      </c>
      <c r="Q325">
        <f t="shared" si="53"/>
        <v>7.8792958927074608</v>
      </c>
    </row>
    <row r="326" spans="1:17" x14ac:dyDescent="0.3">
      <c r="A326">
        <v>51052072</v>
      </c>
      <c r="B326" t="str">
        <f>VLOOKUP(A326,ASESORES!$A$2:$B$993,2,0)</f>
        <v>NELLI</v>
      </c>
      <c r="C326">
        <v>56335878.329999998</v>
      </c>
      <c r="D326">
        <v>78321204.519999996</v>
      </c>
      <c r="E326">
        <v>102812956.2</v>
      </c>
      <c r="F326">
        <v>78205086</v>
      </c>
      <c r="G326">
        <v>94073299</v>
      </c>
      <c r="H326">
        <v>101350149</v>
      </c>
      <c r="I326">
        <f t="shared" si="45"/>
        <v>0.38819324945812017</v>
      </c>
      <c r="J326">
        <f t="shared" si="46"/>
        <v>0.20112170869355794</v>
      </c>
      <c r="K326">
        <f t="shared" si="47"/>
        <v>-1.4227848843821111E-2</v>
      </c>
      <c r="L326">
        <f t="shared" si="48"/>
        <v>3.0641005425882826</v>
      </c>
      <c r="M326">
        <f t="shared" si="49"/>
        <v>1.6036371814106956</v>
      </c>
      <c r="N326">
        <f t="shared" si="50"/>
        <v>-0.11390565931255003</v>
      </c>
      <c r="O326">
        <f t="shared" si="51"/>
        <v>65.297569153394804</v>
      </c>
      <c r="P326">
        <f t="shared" si="52"/>
        <v>43.168482816429169</v>
      </c>
      <c r="Q326">
        <f t="shared" si="53"/>
        <v>13.998323554065381</v>
      </c>
    </row>
    <row r="327" spans="1:17" x14ac:dyDescent="0.3">
      <c r="A327">
        <v>51031946</v>
      </c>
      <c r="B327" t="str">
        <f>VLOOKUP(A327,ASESORES!$A$2:$B$993,2,0)</f>
        <v>PRADES</v>
      </c>
      <c r="C327">
        <v>53737034.579999998</v>
      </c>
      <c r="D327">
        <v>67387174.200000003</v>
      </c>
      <c r="E327">
        <v>77799620.150000006</v>
      </c>
      <c r="F327">
        <v>61237476</v>
      </c>
      <c r="G327">
        <v>89614799</v>
      </c>
      <c r="H327">
        <v>101211781</v>
      </c>
      <c r="I327">
        <f t="shared" si="45"/>
        <v>0.13957676449067646</v>
      </c>
      <c r="J327">
        <f t="shared" si="46"/>
        <v>0.32984948640271061</v>
      </c>
      <c r="K327">
        <f t="shared" si="47"/>
        <v>0.30092898660508416</v>
      </c>
      <c r="L327">
        <f t="shared" si="48"/>
        <v>1.0868866772904247</v>
      </c>
      <c r="M327">
        <f t="shared" si="49"/>
        <v>2.6230883712802906</v>
      </c>
      <c r="N327">
        <f t="shared" si="50"/>
        <v>2.4090060725630331</v>
      </c>
      <c r="O327">
        <f t="shared" si="51"/>
        <v>33.780385582564968</v>
      </c>
      <c r="P327">
        <f t="shared" si="52"/>
        <v>57.502095557418272</v>
      </c>
      <c r="Q327">
        <f t="shared" si="53"/>
        <v>65.129924559932945</v>
      </c>
    </row>
    <row r="328" spans="1:17" x14ac:dyDescent="0.3">
      <c r="A328">
        <v>51010752</v>
      </c>
      <c r="B328" t="str">
        <f>VLOOKUP(A328,ASESORES!$A$2:$B$993,2,0)</f>
        <v>ARGUELLO</v>
      </c>
      <c r="C328">
        <v>41694153.049999997</v>
      </c>
      <c r="D328">
        <v>64365977.020000003</v>
      </c>
      <c r="E328">
        <v>103154264.02</v>
      </c>
      <c r="F328">
        <v>64429054</v>
      </c>
      <c r="G328">
        <v>79766326</v>
      </c>
      <c r="H328">
        <v>101148972</v>
      </c>
      <c r="I328">
        <f t="shared" si="45"/>
        <v>0.54527791757122657</v>
      </c>
      <c r="J328">
        <f t="shared" si="46"/>
        <v>0.23926225768645981</v>
      </c>
      <c r="K328">
        <f t="shared" si="47"/>
        <v>-1.9439739491633579E-2</v>
      </c>
      <c r="L328">
        <f t="shared" si="48"/>
        <v>4.2581198373609004</v>
      </c>
      <c r="M328">
        <f t="shared" si="49"/>
        <v>1.8906071947214018</v>
      </c>
      <c r="N328">
        <f t="shared" si="50"/>
        <v>-0.15561436568143155</v>
      </c>
      <c r="O328">
        <f t="shared" si="51"/>
        <v>79.212070410729254</v>
      </c>
      <c r="P328">
        <f t="shared" si="52"/>
        <v>46.521374685666387</v>
      </c>
      <c r="Q328">
        <f t="shared" si="53"/>
        <v>13.663034367141661</v>
      </c>
    </row>
    <row r="329" spans="1:17" x14ac:dyDescent="0.3">
      <c r="A329">
        <v>51055594</v>
      </c>
      <c r="B329" t="str">
        <f>VLOOKUP(A329,ASESORES!$A$2:$B$993,2,0)</f>
        <v>PUGH</v>
      </c>
      <c r="C329">
        <v>42572322.810000002</v>
      </c>
      <c r="D329">
        <v>53662850.100000001</v>
      </c>
      <c r="E329">
        <v>68853018.359999999</v>
      </c>
      <c r="F329">
        <v>66170569</v>
      </c>
      <c r="G329">
        <v>73425218</v>
      </c>
      <c r="H329">
        <v>100789131</v>
      </c>
      <c r="I329">
        <f t="shared" si="45"/>
        <v>0.55430957562073413</v>
      </c>
      <c r="J329">
        <f t="shared" si="46"/>
        <v>0.36826907000230302</v>
      </c>
      <c r="K329">
        <f t="shared" si="47"/>
        <v>0.46383024885011004</v>
      </c>
      <c r="L329">
        <f t="shared" si="48"/>
        <v>4.3350694246922714</v>
      </c>
      <c r="M329">
        <f t="shared" si="49"/>
        <v>2.8967475130183153</v>
      </c>
      <c r="N329">
        <f t="shared" si="50"/>
        <v>3.7122253684683546</v>
      </c>
      <c r="O329">
        <f t="shared" si="51"/>
        <v>80.05029337803856</v>
      </c>
      <c r="P329">
        <f t="shared" si="52"/>
        <v>61.441743503772003</v>
      </c>
      <c r="Q329">
        <f t="shared" si="53"/>
        <v>81.223805532271584</v>
      </c>
    </row>
    <row r="330" spans="1:17" x14ac:dyDescent="0.3">
      <c r="A330">
        <v>51041585</v>
      </c>
      <c r="B330" t="str">
        <f>VLOOKUP(A330,ASESORES!$A$2:$B$993,2,0)</f>
        <v>ROBERTS</v>
      </c>
      <c r="C330">
        <v>36581377.090000004</v>
      </c>
      <c r="D330">
        <v>38936185.619999997</v>
      </c>
      <c r="E330">
        <v>67034987.779999986</v>
      </c>
      <c r="F330">
        <v>62141969</v>
      </c>
      <c r="G330">
        <v>82399935</v>
      </c>
      <c r="H330">
        <v>100692983</v>
      </c>
      <c r="I330">
        <f t="shared" si="45"/>
        <v>0.69873235901191144</v>
      </c>
      <c r="J330">
        <f t="shared" si="46"/>
        <v>1.1162816461835021</v>
      </c>
      <c r="K330">
        <f t="shared" si="47"/>
        <v>0.50209594026422621</v>
      </c>
      <c r="L330">
        <f t="shared" si="48"/>
        <v>5.4454902927108764</v>
      </c>
      <c r="M330">
        <f t="shared" si="49"/>
        <v>8.836403876518677</v>
      </c>
      <c r="N330">
        <f t="shared" si="50"/>
        <v>4.0182734117191137</v>
      </c>
      <c r="O330">
        <f t="shared" si="51"/>
        <v>87.929589270746021</v>
      </c>
      <c r="P330">
        <f t="shared" si="52"/>
        <v>96.47946353730093</v>
      </c>
      <c r="Q330">
        <f t="shared" si="53"/>
        <v>84.07376362112322</v>
      </c>
    </row>
    <row r="331" spans="1:17" x14ac:dyDescent="0.3">
      <c r="A331">
        <v>51017455</v>
      </c>
      <c r="B331" t="str">
        <f>VLOOKUP(A331,ASESORES!$A$2:$B$993,2,0)</f>
        <v>AYALA</v>
      </c>
      <c r="C331">
        <v>39024374.979999997</v>
      </c>
      <c r="D331">
        <v>50241195.43</v>
      </c>
      <c r="E331">
        <v>55152069.219999999</v>
      </c>
      <c r="F331">
        <v>47675660</v>
      </c>
      <c r="G331">
        <v>74282923</v>
      </c>
      <c r="H331">
        <v>100603311</v>
      </c>
      <c r="I331">
        <f t="shared" si="45"/>
        <v>0.22168926534848521</v>
      </c>
      <c r="J331">
        <f t="shared" si="46"/>
        <v>0.47852618482171327</v>
      </c>
      <c r="K331">
        <f t="shared" si="47"/>
        <v>0.82410764315471674</v>
      </c>
      <c r="L331">
        <f t="shared" si="48"/>
        <v>1.7021959576396157</v>
      </c>
      <c r="M331">
        <f t="shared" si="49"/>
        <v>3.7664264770031606</v>
      </c>
      <c r="N331">
        <f t="shared" si="50"/>
        <v>6.59501394038237</v>
      </c>
      <c r="O331">
        <f t="shared" si="51"/>
        <v>43.168482816429169</v>
      </c>
      <c r="P331">
        <f t="shared" si="52"/>
        <v>72.925398155909477</v>
      </c>
      <c r="Q331">
        <f t="shared" si="53"/>
        <v>95.808885163453482</v>
      </c>
    </row>
    <row r="332" spans="1:17" x14ac:dyDescent="0.3">
      <c r="A332">
        <v>51033345</v>
      </c>
      <c r="B332" t="str">
        <f>VLOOKUP(A332,ASESORES!$A$2:$B$993,2,0)</f>
        <v>LÓPEZ</v>
      </c>
      <c r="C332">
        <v>57348774.579999998</v>
      </c>
      <c r="D332">
        <v>81064800.109999999</v>
      </c>
      <c r="E332">
        <v>86369542.349999994</v>
      </c>
      <c r="F332">
        <v>83813360</v>
      </c>
      <c r="G332">
        <v>93016016</v>
      </c>
      <c r="H332">
        <v>100487637</v>
      </c>
      <c r="I332">
        <f t="shared" si="45"/>
        <v>0.46146732190559048</v>
      </c>
      <c r="J332">
        <f t="shared" si="46"/>
        <v>0.14742793263886322</v>
      </c>
      <c r="K332">
        <f t="shared" si="47"/>
        <v>0.16346149656308806</v>
      </c>
      <c r="L332">
        <f t="shared" si="48"/>
        <v>3.6563501467740913</v>
      </c>
      <c r="M332">
        <f t="shared" si="49"/>
        <v>1.1747879928609377</v>
      </c>
      <c r="N332">
        <f t="shared" si="50"/>
        <v>1.3080373067819382</v>
      </c>
      <c r="O332">
        <f t="shared" si="51"/>
        <v>73.67979882648784</v>
      </c>
      <c r="P332">
        <f t="shared" si="52"/>
        <v>37.300922045264038</v>
      </c>
      <c r="Q332">
        <f t="shared" si="53"/>
        <v>48.784576697401512</v>
      </c>
    </row>
    <row r="333" spans="1:17" x14ac:dyDescent="0.3">
      <c r="A333">
        <v>51012399</v>
      </c>
      <c r="B333" t="str">
        <f>VLOOKUP(A333,ASESORES!$A$2:$B$993,2,0)</f>
        <v>ARGUELLO</v>
      </c>
      <c r="C333">
        <v>48152299.850000001</v>
      </c>
      <c r="D333">
        <v>75868192</v>
      </c>
      <c r="E333">
        <v>87772489.980000004</v>
      </c>
      <c r="F333">
        <v>55540148</v>
      </c>
      <c r="G333">
        <v>84419385</v>
      </c>
      <c r="H333">
        <v>100195397</v>
      </c>
      <c r="I333">
        <f t="shared" si="45"/>
        <v>0.15342669349156735</v>
      </c>
      <c r="J333">
        <f t="shared" si="46"/>
        <v>0.11271117413737763</v>
      </c>
      <c r="K333">
        <f t="shared" si="47"/>
        <v>0.14153531502673222</v>
      </c>
      <c r="L333">
        <f t="shared" si="48"/>
        <v>1.1882294494182757</v>
      </c>
      <c r="M333">
        <f t="shared" si="49"/>
        <v>0.89339860528730097</v>
      </c>
      <c r="N333">
        <f t="shared" si="50"/>
        <v>1.1324025096643944</v>
      </c>
      <c r="O333">
        <f t="shared" si="51"/>
        <v>35.792120704107298</v>
      </c>
      <c r="P333">
        <f t="shared" si="52"/>
        <v>33.445096395641237</v>
      </c>
      <c r="Q333">
        <f t="shared" si="53"/>
        <v>45.515507124895223</v>
      </c>
    </row>
    <row r="334" spans="1:17" x14ac:dyDescent="0.3">
      <c r="A334">
        <v>51034236</v>
      </c>
      <c r="B334" t="str">
        <f>VLOOKUP(A334,ASESORES!$A$2:$B$993,2,0)</f>
        <v>CICHETTO</v>
      </c>
      <c r="C334">
        <v>43495812.210000001</v>
      </c>
      <c r="D334">
        <v>58405823.780000001</v>
      </c>
      <c r="E334">
        <v>78070084.159999996</v>
      </c>
      <c r="F334">
        <v>62902385</v>
      </c>
      <c r="G334">
        <v>81758343</v>
      </c>
      <c r="H334">
        <v>99907664</v>
      </c>
      <c r="I334">
        <f t="shared" si="45"/>
        <v>0.44617106346477842</v>
      </c>
      <c r="J334">
        <f t="shared" si="46"/>
        <v>0.39983203229806397</v>
      </c>
      <c r="K334">
        <f t="shared" si="47"/>
        <v>0.27971764184658987</v>
      </c>
      <c r="L334">
        <f t="shared" si="48"/>
        <v>3.4795395991561677</v>
      </c>
      <c r="M334">
        <f t="shared" si="49"/>
        <v>3.1636837825755011</v>
      </c>
      <c r="N334">
        <f t="shared" si="50"/>
        <v>2.2376289133400502</v>
      </c>
      <c r="O334">
        <f t="shared" si="51"/>
        <v>70.997485331098076</v>
      </c>
      <c r="P334">
        <f t="shared" si="52"/>
        <v>65.129924559932945</v>
      </c>
      <c r="Q334">
        <f t="shared" si="53"/>
        <v>62.279966471081302</v>
      </c>
    </row>
    <row r="335" spans="1:17" x14ac:dyDescent="0.3">
      <c r="A335">
        <v>51012941</v>
      </c>
      <c r="B335" t="str">
        <f>VLOOKUP(A335,ASESORES!$A$2:$B$993,2,0)</f>
        <v>LÓPEZ</v>
      </c>
      <c r="C335">
        <v>33045318.100000001</v>
      </c>
      <c r="D335">
        <v>45716237.25</v>
      </c>
      <c r="E335">
        <v>67142813.489999995</v>
      </c>
      <c r="F335">
        <v>71755252</v>
      </c>
      <c r="G335">
        <v>102536924</v>
      </c>
      <c r="H335">
        <v>99858212</v>
      </c>
      <c r="I335">
        <f t="shared" si="45"/>
        <v>1.1714196178368756</v>
      </c>
      <c r="J335">
        <f t="shared" si="46"/>
        <v>1.2428994634723574</v>
      </c>
      <c r="K335">
        <f t="shared" si="47"/>
        <v>0.48725093289205867</v>
      </c>
      <c r="L335">
        <f t="shared" si="48"/>
        <v>9.2025011320001457</v>
      </c>
      <c r="M335">
        <f t="shared" si="49"/>
        <v>9.9567188080703239</v>
      </c>
      <c r="N335">
        <f t="shared" si="50"/>
        <v>3.8977072120843119</v>
      </c>
      <c r="O335">
        <f t="shared" si="51"/>
        <v>96.227996647108128</v>
      </c>
      <c r="P335">
        <f t="shared" si="52"/>
        <v>97.569153394803024</v>
      </c>
      <c r="Q335">
        <f t="shared" si="53"/>
        <v>82.648784576697395</v>
      </c>
    </row>
    <row r="336" spans="1:17" x14ac:dyDescent="0.3">
      <c r="A336">
        <v>51011694</v>
      </c>
      <c r="B336" t="str">
        <f>VLOOKUP(A336,ASESORES!$A$2:$B$993,2,0)</f>
        <v>AYALA</v>
      </c>
      <c r="C336">
        <v>53793375.740000002</v>
      </c>
      <c r="D336">
        <v>75810075.280000001</v>
      </c>
      <c r="E336">
        <v>102633222.05</v>
      </c>
      <c r="F336">
        <v>62752931</v>
      </c>
      <c r="G336">
        <v>93775485</v>
      </c>
      <c r="H336">
        <v>99854882</v>
      </c>
      <c r="I336">
        <f t="shared" si="45"/>
        <v>0.16655499188792855</v>
      </c>
      <c r="J336">
        <f t="shared" si="46"/>
        <v>0.23697918322394251</v>
      </c>
      <c r="K336">
        <f t="shared" si="47"/>
        <v>-2.7070572223158562E-2</v>
      </c>
      <c r="L336">
        <f t="shared" si="48"/>
        <v>1.2987348701485415</v>
      </c>
      <c r="M336">
        <f t="shared" si="49"/>
        <v>1.8892192153973759</v>
      </c>
      <c r="N336">
        <f t="shared" si="50"/>
        <v>-0.21654750445104051</v>
      </c>
      <c r="O336">
        <f t="shared" si="51"/>
        <v>36.881810561609392</v>
      </c>
      <c r="P336">
        <f t="shared" si="52"/>
        <v>46.437552388935458</v>
      </c>
      <c r="Q336">
        <f t="shared" si="53"/>
        <v>13.243922883487008</v>
      </c>
    </row>
    <row r="337" spans="1:17" x14ac:dyDescent="0.3">
      <c r="A337">
        <v>51020197</v>
      </c>
      <c r="B337" t="str">
        <f>VLOOKUP(A337,ASESORES!$A$2:$B$993,2,0)</f>
        <v>MONTENEGRO</v>
      </c>
      <c r="C337">
        <v>46516002.68</v>
      </c>
      <c r="D337">
        <v>60009929.059999987</v>
      </c>
      <c r="E337">
        <v>72310224.200000003</v>
      </c>
      <c r="F337">
        <v>68143400</v>
      </c>
      <c r="G337">
        <v>87297194</v>
      </c>
      <c r="H337">
        <v>99786196</v>
      </c>
      <c r="I337">
        <f t="shared" si="45"/>
        <v>0.46494531073064249</v>
      </c>
      <c r="J337">
        <f t="shared" si="46"/>
        <v>0.45471250120488005</v>
      </c>
      <c r="K337">
        <f t="shared" si="47"/>
        <v>0.37997353906696918</v>
      </c>
      <c r="L337">
        <f t="shared" si="48"/>
        <v>3.6421136622180628</v>
      </c>
      <c r="M337">
        <f t="shared" si="49"/>
        <v>3.610872101375036</v>
      </c>
      <c r="N337">
        <f t="shared" si="50"/>
        <v>3.039435114585245</v>
      </c>
      <c r="O337">
        <f t="shared" si="51"/>
        <v>73.260687342833194</v>
      </c>
      <c r="P337">
        <f t="shared" si="52"/>
        <v>71.332774518021793</v>
      </c>
      <c r="Q337">
        <f t="shared" si="53"/>
        <v>74.685666387259005</v>
      </c>
    </row>
    <row r="338" spans="1:17" x14ac:dyDescent="0.3">
      <c r="A338">
        <v>51003284</v>
      </c>
      <c r="B338" t="str">
        <f>VLOOKUP(A338,ASESORES!$A$2:$B$993,2,0)</f>
        <v>ARGUELLO</v>
      </c>
      <c r="C338">
        <v>50009154.63000001</v>
      </c>
      <c r="D338">
        <v>71523809.939999998</v>
      </c>
      <c r="E338">
        <v>77706785.890000001</v>
      </c>
      <c r="F338">
        <v>63663114</v>
      </c>
      <c r="G338">
        <v>80059142</v>
      </c>
      <c r="H338">
        <v>99784612</v>
      </c>
      <c r="I338">
        <f t="shared" si="45"/>
        <v>0.27302919777430334</v>
      </c>
      <c r="J338">
        <f t="shared" si="46"/>
        <v>0.11933553409920594</v>
      </c>
      <c r="K338">
        <f t="shared" si="47"/>
        <v>0.28411709295572818</v>
      </c>
      <c r="L338">
        <f t="shared" si="48"/>
        <v>2.1306892467868015</v>
      </c>
      <c r="M338">
        <f t="shared" si="49"/>
        <v>0.94315776470729196</v>
      </c>
      <c r="N338">
        <f t="shared" si="50"/>
        <v>2.2726706887183568</v>
      </c>
      <c r="O338">
        <f t="shared" si="51"/>
        <v>48.700754400670576</v>
      </c>
      <c r="P338">
        <f t="shared" si="52"/>
        <v>33.948030176026819</v>
      </c>
      <c r="Q338">
        <f t="shared" si="53"/>
        <v>62.950544844928743</v>
      </c>
    </row>
    <row r="339" spans="1:17" x14ac:dyDescent="0.3">
      <c r="A339">
        <v>51025342</v>
      </c>
      <c r="B339" t="str">
        <f>VLOOKUP(A339,ASESORES!$A$2:$B$993,2,0)</f>
        <v>CICHETTO</v>
      </c>
      <c r="C339">
        <v>81279142.959999993</v>
      </c>
      <c r="D339">
        <v>97361927.489999995</v>
      </c>
      <c r="E339">
        <v>109365648.23999999</v>
      </c>
      <c r="F339">
        <v>96532023</v>
      </c>
      <c r="G339">
        <v>95986003</v>
      </c>
      <c r="H339">
        <v>99713339</v>
      </c>
      <c r="I339">
        <f t="shared" si="45"/>
        <v>0.18766044380544744</v>
      </c>
      <c r="J339">
        <f t="shared" si="46"/>
        <v>-1.4132058859879448E-2</v>
      </c>
      <c r="K339">
        <f t="shared" si="47"/>
        <v>-8.8257230632586392E-2</v>
      </c>
      <c r="L339">
        <f t="shared" si="48"/>
        <v>1.4984069800092226</v>
      </c>
      <c r="M339">
        <f t="shared" si="49"/>
        <v>-0.11280503197892759</v>
      </c>
      <c r="N339">
        <f t="shared" si="50"/>
        <v>-0.70594781117747529</v>
      </c>
      <c r="O339">
        <f t="shared" si="51"/>
        <v>40.067057837384745</v>
      </c>
      <c r="P339">
        <f t="shared" si="52"/>
        <v>10.142497904442582</v>
      </c>
      <c r="Q339">
        <f t="shared" si="53"/>
        <v>9.8910310142497906</v>
      </c>
    </row>
    <row r="340" spans="1:17" x14ac:dyDescent="0.3">
      <c r="A340">
        <v>51030389</v>
      </c>
      <c r="B340" t="str">
        <f>VLOOKUP(A340,ASESORES!$A$2:$B$993,2,0)</f>
        <v>CICHETTO</v>
      </c>
      <c r="C340">
        <v>48733603.240000002</v>
      </c>
      <c r="D340">
        <v>55020602.840000004</v>
      </c>
      <c r="E340">
        <v>78000414.590000004</v>
      </c>
      <c r="F340">
        <v>65680695</v>
      </c>
      <c r="G340">
        <v>87547148</v>
      </c>
      <c r="H340">
        <v>99681662</v>
      </c>
      <c r="I340">
        <f t="shared" si="45"/>
        <v>0.34774961491232426</v>
      </c>
      <c r="J340">
        <f t="shared" si="46"/>
        <v>0.59117027951487988</v>
      </c>
      <c r="K340">
        <f t="shared" si="47"/>
        <v>0.27796323293875957</v>
      </c>
      <c r="L340">
        <f t="shared" si="48"/>
        <v>2.7185109635542544</v>
      </c>
      <c r="M340">
        <f t="shared" si="49"/>
        <v>4.6952174247434044</v>
      </c>
      <c r="N340">
        <f t="shared" si="50"/>
        <v>2.223320959593905</v>
      </c>
      <c r="O340">
        <f t="shared" si="51"/>
        <v>59.262363788767814</v>
      </c>
      <c r="P340">
        <f t="shared" si="52"/>
        <v>81.726739312657173</v>
      </c>
      <c r="Q340">
        <f t="shared" si="53"/>
        <v>62.028499580888521</v>
      </c>
    </row>
    <row r="341" spans="1:17" x14ac:dyDescent="0.3">
      <c r="A341">
        <v>51013581</v>
      </c>
      <c r="B341" t="str">
        <f>VLOOKUP(A341,ASESORES!$A$2:$B$993,2,0)</f>
        <v>CICHETTO</v>
      </c>
      <c r="C341">
        <v>37437447.450000003</v>
      </c>
      <c r="D341">
        <v>51394294.109999999</v>
      </c>
      <c r="E341">
        <v>68832891.579999998</v>
      </c>
      <c r="F341">
        <v>66415520</v>
      </c>
      <c r="G341">
        <v>83353770</v>
      </c>
      <c r="H341">
        <v>98854019</v>
      </c>
      <c r="I341">
        <f t="shared" si="45"/>
        <v>0.77403975227483079</v>
      </c>
      <c r="J341">
        <f t="shared" si="46"/>
        <v>0.62184871771167138</v>
      </c>
      <c r="K341">
        <f t="shared" si="47"/>
        <v>0.4361450860321392</v>
      </c>
      <c r="L341">
        <f t="shared" si="48"/>
        <v>6.0547476058411958</v>
      </c>
      <c r="M341">
        <f t="shared" si="49"/>
        <v>4.925617208106992</v>
      </c>
      <c r="N341">
        <f t="shared" si="50"/>
        <v>3.4869774901658714</v>
      </c>
      <c r="O341">
        <f t="shared" si="51"/>
        <v>90.863369656328587</v>
      </c>
      <c r="P341">
        <f t="shared" si="52"/>
        <v>84.07376362112322</v>
      </c>
      <c r="Q341">
        <f t="shared" si="53"/>
        <v>79.044425817267395</v>
      </c>
    </row>
    <row r="342" spans="1:17" x14ac:dyDescent="0.3">
      <c r="A342">
        <v>51056833</v>
      </c>
      <c r="B342" t="str">
        <f>VLOOKUP(A342,ASESORES!$A$2:$B$993,2,0)</f>
        <v>AYALA</v>
      </c>
      <c r="C342">
        <v>52869238.090000004</v>
      </c>
      <c r="D342">
        <v>72048151.209999993</v>
      </c>
      <c r="E342">
        <v>73836553.560000002</v>
      </c>
      <c r="F342">
        <v>70434303</v>
      </c>
      <c r="G342">
        <v>89892547</v>
      </c>
      <c r="H342">
        <v>98717288</v>
      </c>
      <c r="I342">
        <f t="shared" si="45"/>
        <v>0.33223601369285394</v>
      </c>
      <c r="J342">
        <f t="shared" si="46"/>
        <v>0.24767319480535499</v>
      </c>
      <c r="K342">
        <f t="shared" si="47"/>
        <v>0.33697041966865049</v>
      </c>
      <c r="L342">
        <f t="shared" si="48"/>
        <v>2.6073165460034819</v>
      </c>
      <c r="M342">
        <f t="shared" si="49"/>
        <v>1.9699241558678477</v>
      </c>
      <c r="N342">
        <f t="shared" si="50"/>
        <v>2.693874036905787</v>
      </c>
      <c r="O342">
        <f t="shared" si="51"/>
        <v>57.334450963956407</v>
      </c>
      <c r="P342">
        <f t="shared" si="52"/>
        <v>47.77870913663034</v>
      </c>
      <c r="Q342">
        <f t="shared" si="53"/>
        <v>68.985750209555746</v>
      </c>
    </row>
    <row r="343" spans="1:17" x14ac:dyDescent="0.3">
      <c r="A343">
        <v>51056086</v>
      </c>
      <c r="B343" t="str">
        <f>VLOOKUP(A343,ASESORES!$A$2:$B$993,2,0)</f>
        <v>BELUZZO</v>
      </c>
      <c r="C343">
        <v>43830608.93</v>
      </c>
      <c r="D343">
        <v>57127771.239999987</v>
      </c>
      <c r="E343">
        <v>74371638.75999999</v>
      </c>
      <c r="F343">
        <v>61829862</v>
      </c>
      <c r="G343">
        <v>74689282</v>
      </c>
      <c r="H343">
        <v>98693297</v>
      </c>
      <c r="I343">
        <f t="shared" si="45"/>
        <v>0.41065487131939782</v>
      </c>
      <c r="J343">
        <f t="shared" si="46"/>
        <v>0.30740759491950409</v>
      </c>
      <c r="K343">
        <f t="shared" si="47"/>
        <v>0.32702867175600225</v>
      </c>
      <c r="L343">
        <f t="shared" si="48"/>
        <v>3.199493525941131</v>
      </c>
      <c r="M343">
        <f t="shared" si="49"/>
        <v>2.4202993934232957</v>
      </c>
      <c r="N343">
        <f t="shared" si="50"/>
        <v>2.6143612742625804</v>
      </c>
      <c r="O343">
        <f t="shared" si="51"/>
        <v>67.225481978206204</v>
      </c>
      <c r="P343">
        <f t="shared" si="52"/>
        <v>54.149203688181061</v>
      </c>
      <c r="Q343">
        <f t="shared" si="53"/>
        <v>67.309304274937134</v>
      </c>
    </row>
    <row r="344" spans="1:17" x14ac:dyDescent="0.3">
      <c r="A344">
        <v>51055241</v>
      </c>
      <c r="B344" t="str">
        <f>VLOOKUP(A344,ASESORES!$A$2:$B$993,2,0)</f>
        <v>METTLER</v>
      </c>
      <c r="C344">
        <v>46845562.75</v>
      </c>
      <c r="D344">
        <v>57844194.149999999</v>
      </c>
      <c r="E344">
        <v>68786000.420000002</v>
      </c>
      <c r="F344">
        <v>69608646</v>
      </c>
      <c r="G344">
        <v>93314790</v>
      </c>
      <c r="H344">
        <v>98636607</v>
      </c>
      <c r="I344">
        <f t="shared" si="45"/>
        <v>0.48591759632559861</v>
      </c>
      <c r="J344">
        <f t="shared" si="46"/>
        <v>0.61320926622330685</v>
      </c>
      <c r="K344">
        <f t="shared" si="47"/>
        <v>0.43396339949605101</v>
      </c>
      <c r="L344">
        <f t="shared" si="48"/>
        <v>3.8108880441894883</v>
      </c>
      <c r="M344">
        <f t="shared" si="49"/>
        <v>4.8872474875426954</v>
      </c>
      <c r="N344">
        <f t="shared" si="50"/>
        <v>3.4691199602314358</v>
      </c>
      <c r="O344">
        <f t="shared" si="51"/>
        <v>75.523889354568325</v>
      </c>
      <c r="P344">
        <f t="shared" si="52"/>
        <v>83.738474434199489</v>
      </c>
      <c r="Q344">
        <f t="shared" si="53"/>
        <v>78.792958927074594</v>
      </c>
    </row>
    <row r="345" spans="1:17" x14ac:dyDescent="0.3">
      <c r="A345">
        <v>51008669</v>
      </c>
      <c r="B345" t="str">
        <f>VLOOKUP(A345,ASESORES!$A$2:$B$993,2,0)</f>
        <v>PRADES</v>
      </c>
      <c r="C345">
        <v>62423873.810000002</v>
      </c>
      <c r="D345">
        <v>69084653.020000011</v>
      </c>
      <c r="E345">
        <v>76650299.069999993</v>
      </c>
      <c r="F345">
        <v>59991874</v>
      </c>
      <c r="G345">
        <v>91041561</v>
      </c>
      <c r="H345">
        <v>98627620</v>
      </c>
      <c r="I345">
        <f t="shared" si="45"/>
        <v>-3.8959450312268329E-2</v>
      </c>
      <c r="J345">
        <f t="shared" si="46"/>
        <v>0.31782613098807144</v>
      </c>
      <c r="K345">
        <f t="shared" si="47"/>
        <v>0.28672192015753883</v>
      </c>
      <c r="L345">
        <f t="shared" si="48"/>
        <v>-0.30303020549046711</v>
      </c>
      <c r="M345">
        <f t="shared" si="49"/>
        <v>2.5296543580384618</v>
      </c>
      <c r="N345">
        <f t="shared" si="50"/>
        <v>2.2920546149145333</v>
      </c>
      <c r="O345">
        <f t="shared" si="51"/>
        <v>9.2204526404023479</v>
      </c>
      <c r="P345">
        <f t="shared" si="52"/>
        <v>55.993294216261525</v>
      </c>
      <c r="Q345">
        <f t="shared" si="53"/>
        <v>63.202011735121545</v>
      </c>
    </row>
    <row r="346" spans="1:17" x14ac:dyDescent="0.3">
      <c r="A346">
        <v>51031521</v>
      </c>
      <c r="B346" t="str">
        <f>VLOOKUP(A346,ASESORES!$A$2:$B$993,2,0)</f>
        <v>NELLI</v>
      </c>
      <c r="C346">
        <v>42165098.200000003</v>
      </c>
      <c r="D346">
        <v>69437599</v>
      </c>
      <c r="E346">
        <v>110383560.59999999</v>
      </c>
      <c r="F346">
        <v>75944420</v>
      </c>
      <c r="G346">
        <v>104507510</v>
      </c>
      <c r="H346">
        <v>98492005</v>
      </c>
      <c r="I346">
        <f t="shared" si="45"/>
        <v>0.80112043472010686</v>
      </c>
      <c r="J346">
        <f t="shared" si="46"/>
        <v>0.50505650404185198</v>
      </c>
      <c r="K346">
        <f t="shared" si="47"/>
        <v>-0.10772940767051131</v>
      </c>
      <c r="L346">
        <f t="shared" si="48"/>
        <v>6.3132262769256045</v>
      </c>
      <c r="M346">
        <f t="shared" si="49"/>
        <v>4.050122601920366</v>
      </c>
      <c r="N346">
        <f t="shared" si="50"/>
        <v>-0.86112435268281884</v>
      </c>
      <c r="O346">
        <f t="shared" si="51"/>
        <v>91.869237217099752</v>
      </c>
      <c r="P346">
        <f t="shared" si="52"/>
        <v>76.026823134953901</v>
      </c>
      <c r="Q346">
        <f t="shared" si="53"/>
        <v>8.2984073763621122</v>
      </c>
    </row>
    <row r="347" spans="1:17" x14ac:dyDescent="0.3">
      <c r="A347">
        <v>51033477</v>
      </c>
      <c r="B347" t="str">
        <f>VLOOKUP(A347,ASESORES!$A$2:$B$993,2,0)</f>
        <v>METTLER</v>
      </c>
      <c r="C347">
        <v>74346712.74000001</v>
      </c>
      <c r="D347">
        <v>91681459.879999995</v>
      </c>
      <c r="E347">
        <v>109597566.42</v>
      </c>
      <c r="F347">
        <v>84064151</v>
      </c>
      <c r="G347">
        <v>105438630</v>
      </c>
      <c r="H347">
        <v>98321394</v>
      </c>
      <c r="I347">
        <f t="shared" si="45"/>
        <v>0.13070434323011848</v>
      </c>
      <c r="J347">
        <f t="shared" si="46"/>
        <v>0.15005400369940092</v>
      </c>
      <c r="K347">
        <f t="shared" si="47"/>
        <v>-0.10288706937878012</v>
      </c>
      <c r="L347">
        <f t="shared" si="48"/>
        <v>1.035781054047187</v>
      </c>
      <c r="M347">
        <f t="shared" si="49"/>
        <v>1.2038832348196178</v>
      </c>
      <c r="N347">
        <f t="shared" si="50"/>
        <v>-0.82234013210971946</v>
      </c>
      <c r="O347">
        <f t="shared" si="51"/>
        <v>33.277451802179378</v>
      </c>
      <c r="P347">
        <f t="shared" si="52"/>
        <v>37.720033528918698</v>
      </c>
      <c r="Q347">
        <f t="shared" si="53"/>
        <v>8.8013411567476947</v>
      </c>
    </row>
    <row r="348" spans="1:17" x14ac:dyDescent="0.3">
      <c r="A348">
        <v>51020651</v>
      </c>
      <c r="B348" t="str">
        <f>VLOOKUP(A348,ASESORES!$A$2:$B$993,2,0)</f>
        <v>BELUZZO</v>
      </c>
      <c r="C348">
        <v>42953961.289999992</v>
      </c>
      <c r="D348">
        <v>63147099.890000001</v>
      </c>
      <c r="E348">
        <v>89289267.420000002</v>
      </c>
      <c r="F348">
        <v>69240412</v>
      </c>
      <c r="G348">
        <v>84774036</v>
      </c>
      <c r="H348">
        <v>98245476</v>
      </c>
      <c r="I348">
        <f t="shared" si="45"/>
        <v>0.61196802158779451</v>
      </c>
      <c r="J348">
        <f t="shared" si="46"/>
        <v>0.34248502540375325</v>
      </c>
      <c r="K348">
        <f t="shared" si="47"/>
        <v>0.10030554442642781</v>
      </c>
      <c r="L348">
        <f t="shared" si="48"/>
        <v>4.7980493794996102</v>
      </c>
      <c r="M348">
        <f t="shared" si="49"/>
        <v>2.7153113069939208</v>
      </c>
      <c r="N348">
        <f t="shared" si="50"/>
        <v>0.80167326267228145</v>
      </c>
      <c r="O348">
        <f t="shared" si="51"/>
        <v>84.241408214585078</v>
      </c>
      <c r="P348">
        <f t="shared" si="52"/>
        <v>58.759430008382232</v>
      </c>
      <c r="Q348">
        <f t="shared" si="53"/>
        <v>41.240569991617768</v>
      </c>
    </row>
    <row r="349" spans="1:17" x14ac:dyDescent="0.3">
      <c r="A349">
        <v>51013409</v>
      </c>
      <c r="B349" t="str">
        <f>VLOOKUP(A349,ASESORES!$A$2:$B$993,2,0)</f>
        <v>PRADES</v>
      </c>
      <c r="C349">
        <v>56304679.350000001</v>
      </c>
      <c r="D349">
        <v>73735514.349999994</v>
      </c>
      <c r="E349">
        <v>79344568.010000005</v>
      </c>
      <c r="F349">
        <v>66046068</v>
      </c>
      <c r="G349">
        <v>96574962</v>
      </c>
      <c r="H349">
        <v>98101492</v>
      </c>
      <c r="I349">
        <f t="shared" si="45"/>
        <v>0.17301206156322779</v>
      </c>
      <c r="J349">
        <f t="shared" si="46"/>
        <v>0.30974826515196074</v>
      </c>
      <c r="K349">
        <f t="shared" si="47"/>
        <v>0.23639833778710617</v>
      </c>
      <c r="L349">
        <f t="shared" si="48"/>
        <v>1.3529278449292159</v>
      </c>
      <c r="M349">
        <f t="shared" si="49"/>
        <v>2.4732979405758728</v>
      </c>
      <c r="N349">
        <f t="shared" si="50"/>
        <v>1.8892188309291453</v>
      </c>
      <c r="O349">
        <f t="shared" si="51"/>
        <v>38.139145012573344</v>
      </c>
      <c r="P349">
        <f t="shared" si="52"/>
        <v>55.155071248952225</v>
      </c>
      <c r="Q349">
        <f t="shared" si="53"/>
        <v>56.91533948030176</v>
      </c>
    </row>
    <row r="350" spans="1:17" x14ac:dyDescent="0.3">
      <c r="A350">
        <v>51030397</v>
      </c>
      <c r="B350" t="str">
        <f>VLOOKUP(A350,ASESORES!$A$2:$B$993,2,0)</f>
        <v>PRADES</v>
      </c>
      <c r="C350">
        <v>46077751.979999997</v>
      </c>
      <c r="D350">
        <v>43755395.159999996</v>
      </c>
      <c r="E350">
        <v>47807016.259999998</v>
      </c>
      <c r="F350">
        <v>39771500</v>
      </c>
      <c r="G350">
        <v>67275446</v>
      </c>
      <c r="H350">
        <v>97990405</v>
      </c>
      <c r="I350">
        <f t="shared" si="45"/>
        <v>-0.13686110343962132</v>
      </c>
      <c r="J350">
        <f t="shared" si="46"/>
        <v>0.53753487436222258</v>
      </c>
      <c r="K350">
        <f t="shared" si="47"/>
        <v>1.0497076091734323</v>
      </c>
      <c r="L350">
        <f t="shared" si="48"/>
        <v>-1.0400858056070776</v>
      </c>
      <c r="M350">
        <f t="shared" si="49"/>
        <v>4.2077459062574016</v>
      </c>
      <c r="N350">
        <f t="shared" si="50"/>
        <v>8.3884061815033224</v>
      </c>
      <c r="O350">
        <f t="shared" si="51"/>
        <v>7.1248952221290862</v>
      </c>
      <c r="P350">
        <f t="shared" si="52"/>
        <v>77.200335289186924</v>
      </c>
      <c r="Q350">
        <f t="shared" si="53"/>
        <v>97.485331098072095</v>
      </c>
    </row>
    <row r="351" spans="1:17" x14ac:dyDescent="0.3">
      <c r="A351">
        <v>51010353</v>
      </c>
      <c r="B351" t="str">
        <f>VLOOKUP(A351,ASESORES!$A$2:$B$993,2,0)</f>
        <v>ROBERTS</v>
      </c>
      <c r="C351">
        <v>30084705.649999999</v>
      </c>
      <c r="D351">
        <v>37759447.039999999</v>
      </c>
      <c r="E351">
        <v>62777709.960000001</v>
      </c>
      <c r="F351">
        <v>61150240</v>
      </c>
      <c r="G351">
        <v>87136902</v>
      </c>
      <c r="H351">
        <v>97649737</v>
      </c>
      <c r="I351">
        <f t="shared" si="45"/>
        <v>1.0326022368777941</v>
      </c>
      <c r="J351">
        <f t="shared" si="46"/>
        <v>1.3076848002486003</v>
      </c>
      <c r="K351">
        <f t="shared" si="47"/>
        <v>0.55548421664663095</v>
      </c>
      <c r="L351">
        <f t="shared" si="48"/>
        <v>8.0402521633058956</v>
      </c>
      <c r="M351">
        <f t="shared" si="49"/>
        <v>10.383281617072043</v>
      </c>
      <c r="N351">
        <f t="shared" si="50"/>
        <v>4.4381361799939016</v>
      </c>
      <c r="O351">
        <f t="shared" si="51"/>
        <v>95.305951383067907</v>
      </c>
      <c r="P351">
        <f t="shared" si="52"/>
        <v>97.904442581726741</v>
      </c>
      <c r="Q351">
        <f t="shared" si="53"/>
        <v>87.59430008382229</v>
      </c>
    </row>
    <row r="352" spans="1:17" x14ac:dyDescent="0.3">
      <c r="A352">
        <v>51054814</v>
      </c>
      <c r="B352" t="str">
        <f>VLOOKUP(A352,ASESORES!$A$2:$B$993,2,0)</f>
        <v>ROBERTS</v>
      </c>
      <c r="C352">
        <v>51695294.880000003</v>
      </c>
      <c r="D352">
        <v>64427147.200000003</v>
      </c>
      <c r="E352">
        <v>83226559.609999999</v>
      </c>
      <c r="F352">
        <v>70975105</v>
      </c>
      <c r="G352">
        <v>80347741</v>
      </c>
      <c r="H352">
        <v>97444256</v>
      </c>
      <c r="I352">
        <f t="shared" si="45"/>
        <v>0.3729509651652847</v>
      </c>
      <c r="J352">
        <f t="shared" si="46"/>
        <v>0.24711002258998049</v>
      </c>
      <c r="K352">
        <f t="shared" si="47"/>
        <v>0.17083124013084516</v>
      </c>
      <c r="L352">
        <f t="shared" si="48"/>
        <v>2.9280775766092364</v>
      </c>
      <c r="M352">
        <f t="shared" si="49"/>
        <v>1.9533982224031174</v>
      </c>
      <c r="N352">
        <f t="shared" si="50"/>
        <v>1.3647291362755993</v>
      </c>
      <c r="O352">
        <f t="shared" si="51"/>
        <v>62.447611064543175</v>
      </c>
      <c r="P352">
        <f t="shared" si="52"/>
        <v>47.443419949706623</v>
      </c>
      <c r="Q352">
        <f t="shared" si="53"/>
        <v>49.874266554903606</v>
      </c>
    </row>
    <row r="353" spans="1:17" x14ac:dyDescent="0.3">
      <c r="A353">
        <v>51012372</v>
      </c>
      <c r="B353" t="str">
        <f>VLOOKUP(A353,ASESORES!$A$2:$B$993,2,0)</f>
        <v>METTLER</v>
      </c>
      <c r="C353">
        <v>49370615.140000001</v>
      </c>
      <c r="D353">
        <v>58866991.549999997</v>
      </c>
      <c r="E353">
        <v>69453143.099999994</v>
      </c>
      <c r="F353">
        <v>67596924</v>
      </c>
      <c r="G353">
        <v>93953559</v>
      </c>
      <c r="H353">
        <v>97071156</v>
      </c>
      <c r="I353">
        <f t="shared" si="45"/>
        <v>0.36917321788103608</v>
      </c>
      <c r="J353">
        <f t="shared" si="46"/>
        <v>0.59603126516493443</v>
      </c>
      <c r="K353">
        <f t="shared" si="47"/>
        <v>0.3976495759196248</v>
      </c>
      <c r="L353">
        <f t="shared" si="48"/>
        <v>2.8905993219273647</v>
      </c>
      <c r="M353">
        <f t="shared" si="49"/>
        <v>4.7521055631058626</v>
      </c>
      <c r="N353">
        <f t="shared" si="50"/>
        <v>3.1760630314887446</v>
      </c>
      <c r="O353">
        <f t="shared" si="51"/>
        <v>61.69321039396479</v>
      </c>
      <c r="P353">
        <f t="shared" si="52"/>
        <v>82.481139983235536</v>
      </c>
      <c r="Q353">
        <f t="shared" si="53"/>
        <v>76.11064543168483</v>
      </c>
    </row>
    <row r="354" spans="1:17" x14ac:dyDescent="0.3">
      <c r="A354">
        <v>51036212</v>
      </c>
      <c r="B354" t="str">
        <f>VLOOKUP(A354,ASESORES!$A$2:$B$993,2,0)</f>
        <v>PUGH</v>
      </c>
      <c r="C354">
        <v>62481823.680000007</v>
      </c>
      <c r="D354">
        <v>69016341.609999999</v>
      </c>
      <c r="E354">
        <v>82869125.179999992</v>
      </c>
      <c r="F354">
        <v>61286477</v>
      </c>
      <c r="G354">
        <v>78651237</v>
      </c>
      <c r="H354">
        <v>96875463</v>
      </c>
      <c r="I354">
        <f t="shared" si="45"/>
        <v>-1.9131110611014801E-2</v>
      </c>
      <c r="J354">
        <f t="shared" si="46"/>
        <v>0.13960310218187466</v>
      </c>
      <c r="K354">
        <f t="shared" si="47"/>
        <v>0.16901756582535232</v>
      </c>
      <c r="L354">
        <f t="shared" si="48"/>
        <v>-0.14898093462190684</v>
      </c>
      <c r="M354">
        <f t="shared" si="49"/>
        <v>1.1022649897346106</v>
      </c>
      <c r="N354">
        <f t="shared" si="50"/>
        <v>1.3498104151421877</v>
      </c>
      <c r="O354">
        <f t="shared" si="51"/>
        <v>9.8910310142497906</v>
      </c>
      <c r="P354">
        <f t="shared" si="52"/>
        <v>36.630343671416597</v>
      </c>
      <c r="Q354">
        <f t="shared" si="53"/>
        <v>49.538977367979882</v>
      </c>
    </row>
    <row r="355" spans="1:17" x14ac:dyDescent="0.3">
      <c r="A355">
        <v>51029984</v>
      </c>
      <c r="B355" t="str">
        <f>VLOOKUP(A355,ASESORES!$A$2:$B$993,2,0)</f>
        <v>PUGH</v>
      </c>
      <c r="C355">
        <v>42270079.729999997</v>
      </c>
      <c r="D355">
        <v>50463659.450000003</v>
      </c>
      <c r="E355">
        <v>55558176.880000003</v>
      </c>
      <c r="F355">
        <v>64433021</v>
      </c>
      <c r="G355">
        <v>78110174</v>
      </c>
      <c r="H355">
        <v>96739833</v>
      </c>
      <c r="I355">
        <f t="shared" si="45"/>
        <v>0.52431747021925967</v>
      </c>
      <c r="J355">
        <f t="shared" si="46"/>
        <v>0.54784997464150398</v>
      </c>
      <c r="K355">
        <f t="shared" si="47"/>
        <v>0.74123483585410255</v>
      </c>
      <c r="L355">
        <f t="shared" si="48"/>
        <v>4.0944520102995687</v>
      </c>
      <c r="M355">
        <f t="shared" si="49"/>
        <v>4.3240196613895705</v>
      </c>
      <c r="N355">
        <f t="shared" si="50"/>
        <v>5.9192088584534606</v>
      </c>
      <c r="O355">
        <f t="shared" si="51"/>
        <v>78.290025146689018</v>
      </c>
      <c r="P355">
        <f t="shared" si="52"/>
        <v>78.373847443419947</v>
      </c>
      <c r="Q355">
        <f t="shared" si="53"/>
        <v>94.216261525565798</v>
      </c>
    </row>
    <row r="356" spans="1:17" x14ac:dyDescent="0.3">
      <c r="A356">
        <v>51039777</v>
      </c>
      <c r="B356" t="str">
        <f>VLOOKUP(A356,ASESORES!$A$2:$B$993,2,0)</f>
        <v>PUGH</v>
      </c>
      <c r="C356">
        <v>26534093.640000001</v>
      </c>
      <c r="D356">
        <v>40992224.420000002</v>
      </c>
      <c r="E356">
        <v>55487871.619999997</v>
      </c>
      <c r="F356">
        <v>50548392</v>
      </c>
      <c r="G356">
        <v>74266575</v>
      </c>
      <c r="H356">
        <v>96604345</v>
      </c>
      <c r="I356">
        <f t="shared" si="45"/>
        <v>0.90503556239051552</v>
      </c>
      <c r="J356">
        <f t="shared" si="46"/>
        <v>0.81172346831135922</v>
      </c>
      <c r="K356">
        <f t="shared" si="47"/>
        <v>0.74099928830537487</v>
      </c>
      <c r="L356">
        <f t="shared" si="48"/>
        <v>6.9721291092578586</v>
      </c>
      <c r="M356">
        <f t="shared" si="49"/>
        <v>6.3889077135489627</v>
      </c>
      <c r="N356">
        <f t="shared" si="50"/>
        <v>5.9168768423558706</v>
      </c>
      <c r="O356">
        <f t="shared" si="51"/>
        <v>93.378038558256492</v>
      </c>
      <c r="P356">
        <f t="shared" si="52"/>
        <v>92.03688181056161</v>
      </c>
      <c r="Q356">
        <f t="shared" si="53"/>
        <v>94.132439228834869</v>
      </c>
    </row>
    <row r="357" spans="1:17" x14ac:dyDescent="0.3">
      <c r="A357">
        <v>51056183</v>
      </c>
      <c r="B357" t="str">
        <f>VLOOKUP(A357,ASESORES!$A$2:$B$993,2,0)</f>
        <v>CICHETTO</v>
      </c>
      <c r="C357">
        <v>50495222.119999997</v>
      </c>
      <c r="D357">
        <v>68747731.910000011</v>
      </c>
      <c r="E357">
        <v>91242633.170000002</v>
      </c>
      <c r="F357">
        <v>77205362</v>
      </c>
      <c r="G357">
        <v>93744191</v>
      </c>
      <c r="H357">
        <v>96395606</v>
      </c>
      <c r="I357">
        <f t="shared" si="45"/>
        <v>0.52896370703201101</v>
      </c>
      <c r="J357">
        <f t="shared" si="46"/>
        <v>0.36359685469658398</v>
      </c>
      <c r="K357">
        <f t="shared" si="47"/>
        <v>5.6475494524573344E-2</v>
      </c>
      <c r="L357">
        <f t="shared" si="48"/>
        <v>4.172279242122185</v>
      </c>
      <c r="M357">
        <f t="shared" si="49"/>
        <v>2.8985738971198796</v>
      </c>
      <c r="N357">
        <f t="shared" si="50"/>
        <v>0.45090358082362064</v>
      </c>
      <c r="O357">
        <f t="shared" si="51"/>
        <v>78.792958927074594</v>
      </c>
      <c r="P357">
        <f t="shared" si="52"/>
        <v>61.525565800502932</v>
      </c>
      <c r="Q357">
        <f t="shared" si="53"/>
        <v>36.630343671416597</v>
      </c>
    </row>
    <row r="358" spans="1:17" x14ac:dyDescent="0.3">
      <c r="A358">
        <v>51039238</v>
      </c>
      <c r="B358" t="str">
        <f>VLOOKUP(A358,ASESORES!$A$2:$B$993,2,0)</f>
        <v>ARGUELLO</v>
      </c>
      <c r="C358">
        <v>60104040.049999997</v>
      </c>
      <c r="D358">
        <v>85318644.810000002</v>
      </c>
      <c r="E358">
        <v>117297548.84</v>
      </c>
      <c r="F358">
        <v>75405593</v>
      </c>
      <c r="G358">
        <v>78093696</v>
      </c>
      <c r="H358">
        <v>96387525</v>
      </c>
      <c r="I358">
        <f t="shared" si="45"/>
        <v>0.25458443288123034</v>
      </c>
      <c r="J358">
        <f t="shared" si="46"/>
        <v>-8.4681945266354974E-2</v>
      </c>
      <c r="K358">
        <f t="shared" si="47"/>
        <v>-0.17826479791595962</v>
      </c>
      <c r="L358">
        <f t="shared" si="48"/>
        <v>2.0054643178098224</v>
      </c>
      <c r="M358">
        <f t="shared" si="49"/>
        <v>-0.66836207421518079</v>
      </c>
      <c r="N358">
        <f t="shared" si="50"/>
        <v>-1.4232698595985249</v>
      </c>
      <c r="O358">
        <f t="shared" si="51"/>
        <v>46.856663872590111</v>
      </c>
      <c r="P358">
        <f t="shared" si="52"/>
        <v>7.9631181894383909</v>
      </c>
      <c r="Q358">
        <f t="shared" si="53"/>
        <v>5.7837384744342</v>
      </c>
    </row>
    <row r="359" spans="1:17" x14ac:dyDescent="0.3">
      <c r="A359">
        <v>51007701</v>
      </c>
      <c r="B359" t="str">
        <f>VLOOKUP(A359,ASESORES!$A$2:$B$993,2,0)</f>
        <v>PUGH</v>
      </c>
      <c r="C359">
        <v>38951492.310000002</v>
      </c>
      <c r="D359">
        <v>56474208.619999997</v>
      </c>
      <c r="E359">
        <v>59159576.789999999</v>
      </c>
      <c r="F359">
        <v>51799206</v>
      </c>
      <c r="G359">
        <v>63040265</v>
      </c>
      <c r="H359">
        <v>96283981</v>
      </c>
      <c r="I359">
        <f t="shared" si="45"/>
        <v>0.32983880534665966</v>
      </c>
      <c r="J359">
        <f t="shared" si="46"/>
        <v>0.11626646110583438</v>
      </c>
      <c r="K359">
        <f t="shared" si="47"/>
        <v>0.62752991526260038</v>
      </c>
      <c r="L359">
        <f t="shared" si="48"/>
        <v>2.5444831162685064</v>
      </c>
      <c r="M359">
        <f t="shared" si="49"/>
        <v>0.9068339863384719</v>
      </c>
      <c r="N359">
        <f t="shared" si="50"/>
        <v>5.0099189892778524</v>
      </c>
      <c r="O359">
        <f t="shared" si="51"/>
        <v>56.580050293378036</v>
      </c>
      <c r="P359">
        <f t="shared" si="52"/>
        <v>33.696563285834031</v>
      </c>
      <c r="Q359">
        <f t="shared" si="53"/>
        <v>91.198658843252304</v>
      </c>
    </row>
    <row r="360" spans="1:17" x14ac:dyDescent="0.3">
      <c r="A360">
        <v>51034228</v>
      </c>
      <c r="B360" t="str">
        <f>VLOOKUP(A360,ASESORES!$A$2:$B$993,2,0)</f>
        <v>NELLI</v>
      </c>
      <c r="C360">
        <v>39623768.43</v>
      </c>
      <c r="D360">
        <v>51202786.479999997</v>
      </c>
      <c r="E360">
        <v>68677256.450000003</v>
      </c>
      <c r="F360">
        <v>67988528</v>
      </c>
      <c r="G360">
        <v>81832570</v>
      </c>
      <c r="H360">
        <v>96276166</v>
      </c>
      <c r="I360">
        <f t="shared" si="45"/>
        <v>0.71585214364730732</v>
      </c>
      <c r="J360">
        <f t="shared" si="46"/>
        <v>0.59820540298063873</v>
      </c>
      <c r="K360">
        <f t="shared" si="47"/>
        <v>0.40186389172510384</v>
      </c>
      <c r="L360">
        <f t="shared" si="48"/>
        <v>5.606865841793633</v>
      </c>
      <c r="M360">
        <f t="shared" si="49"/>
        <v>4.7335552006421846</v>
      </c>
      <c r="N360">
        <f t="shared" si="50"/>
        <v>3.2082879294300897</v>
      </c>
      <c r="O360">
        <f t="shared" si="51"/>
        <v>88.851634534786257</v>
      </c>
      <c r="P360">
        <f t="shared" si="52"/>
        <v>82.145850796311819</v>
      </c>
      <c r="Q360">
        <f t="shared" si="53"/>
        <v>76.362112321877618</v>
      </c>
    </row>
    <row r="361" spans="1:17" x14ac:dyDescent="0.3">
      <c r="A361">
        <v>51005295</v>
      </c>
      <c r="B361" t="str">
        <f>VLOOKUP(A361,ASESORES!$A$2:$B$993,2,0)</f>
        <v>AYALA</v>
      </c>
      <c r="C361">
        <v>33478950.899999999</v>
      </c>
      <c r="D361">
        <v>76099378.579999983</v>
      </c>
      <c r="E361">
        <v>95588807.930000007</v>
      </c>
      <c r="F361">
        <v>81258146</v>
      </c>
      <c r="G361">
        <v>76975564</v>
      </c>
      <c r="H361">
        <v>96069725</v>
      </c>
      <c r="I361">
        <f t="shared" si="45"/>
        <v>1.4271413474906707</v>
      </c>
      <c r="J361">
        <f t="shared" si="46"/>
        <v>1.1513700063646715E-2</v>
      </c>
      <c r="K361">
        <f t="shared" si="47"/>
        <v>5.0311022850308973E-3</v>
      </c>
      <c r="L361">
        <f t="shared" si="48"/>
        <v>11.288498119217543</v>
      </c>
      <c r="M361">
        <f t="shared" si="49"/>
        <v>9.0801101652514066E-2</v>
      </c>
      <c r="N361">
        <f t="shared" si="50"/>
        <v>4.0161209419753319E-2</v>
      </c>
      <c r="O361">
        <f t="shared" si="51"/>
        <v>97.904442581726741</v>
      </c>
      <c r="P361">
        <f t="shared" si="52"/>
        <v>26.73931265716681</v>
      </c>
      <c r="Q361">
        <f t="shared" si="53"/>
        <v>32.523051131601008</v>
      </c>
    </row>
    <row r="362" spans="1:17" x14ac:dyDescent="0.3">
      <c r="A362">
        <v>51023668</v>
      </c>
      <c r="B362" t="str">
        <f>VLOOKUP(A362,ASESORES!$A$2:$B$993,2,0)</f>
        <v>BELUZZO</v>
      </c>
      <c r="C362">
        <v>33520392.719999999</v>
      </c>
      <c r="D362">
        <v>47399719.859999999</v>
      </c>
      <c r="E362">
        <v>66263124.760000013</v>
      </c>
      <c r="F362">
        <v>50590010</v>
      </c>
      <c r="G362">
        <v>75174617</v>
      </c>
      <c r="H362">
        <v>95617205</v>
      </c>
      <c r="I362">
        <f t="shared" si="45"/>
        <v>0.50923082621926996</v>
      </c>
      <c r="J362">
        <f t="shared" si="46"/>
        <v>0.58597175726008599</v>
      </c>
      <c r="K362">
        <f t="shared" si="47"/>
        <v>0.44299269535383723</v>
      </c>
      <c r="L362">
        <f t="shared" si="48"/>
        <v>3.9231472656573017</v>
      </c>
      <c r="M362">
        <f t="shared" si="49"/>
        <v>4.6151552955105632</v>
      </c>
      <c r="N362">
        <f t="shared" si="50"/>
        <v>3.5353191727755866</v>
      </c>
      <c r="O362">
        <f t="shared" si="51"/>
        <v>76.781223805532278</v>
      </c>
      <c r="P362">
        <f t="shared" si="52"/>
        <v>81.391450125733442</v>
      </c>
      <c r="Q362">
        <f t="shared" si="53"/>
        <v>79.6311818943839</v>
      </c>
    </row>
    <row r="363" spans="1:17" x14ac:dyDescent="0.3">
      <c r="A363">
        <v>51018851</v>
      </c>
      <c r="B363" t="str">
        <f>VLOOKUP(A363,ASESORES!$A$2:$B$993,2,0)</f>
        <v>PRADES</v>
      </c>
      <c r="C363">
        <v>43927580.100000001</v>
      </c>
      <c r="D363">
        <v>74713740.820000008</v>
      </c>
      <c r="E363">
        <v>84700510.300000012</v>
      </c>
      <c r="F363">
        <v>64185151</v>
      </c>
      <c r="G363">
        <v>81833106</v>
      </c>
      <c r="H363">
        <v>95535845</v>
      </c>
      <c r="I363">
        <f t="shared" si="45"/>
        <v>0.46115836232918284</v>
      </c>
      <c r="J363">
        <f t="shared" si="46"/>
        <v>9.5288565421345117E-2</v>
      </c>
      <c r="K363">
        <f t="shared" si="47"/>
        <v>0.12792525879268513</v>
      </c>
      <c r="L363">
        <f t="shared" si="48"/>
        <v>3.6004637390246046</v>
      </c>
      <c r="M363">
        <f t="shared" si="49"/>
        <v>0.75401165605138731</v>
      </c>
      <c r="N363">
        <f t="shared" si="50"/>
        <v>1.0208648454335265</v>
      </c>
      <c r="O363">
        <f t="shared" si="51"/>
        <v>72.590108968985746</v>
      </c>
      <c r="P363">
        <f t="shared" si="52"/>
        <v>32.942162615255661</v>
      </c>
      <c r="Q363">
        <f t="shared" si="53"/>
        <v>43.83906119027661</v>
      </c>
    </row>
    <row r="364" spans="1:17" x14ac:dyDescent="0.3">
      <c r="A364">
        <v>51042042</v>
      </c>
      <c r="B364" t="str">
        <f>VLOOKUP(A364,ASESORES!$A$2:$B$993,2,0)</f>
        <v>METTLER</v>
      </c>
      <c r="C364">
        <v>50936142.75</v>
      </c>
      <c r="D364">
        <v>50350866.510000013</v>
      </c>
      <c r="E364">
        <v>58753438</v>
      </c>
      <c r="F364">
        <v>52345395</v>
      </c>
      <c r="G364">
        <v>63298960</v>
      </c>
      <c r="H364">
        <v>95149713</v>
      </c>
      <c r="I364">
        <f t="shared" si="45"/>
        <v>2.7667039039778851E-2</v>
      </c>
      <c r="J364">
        <f t="shared" si="46"/>
        <v>0.25715731202815362</v>
      </c>
      <c r="K364">
        <f t="shared" si="47"/>
        <v>0.61947481269096127</v>
      </c>
      <c r="L364">
        <f t="shared" si="48"/>
        <v>0.21355851228689798</v>
      </c>
      <c r="M364">
        <f t="shared" si="49"/>
        <v>2.0061861731976909</v>
      </c>
      <c r="N364">
        <f t="shared" si="50"/>
        <v>4.9424224808947832</v>
      </c>
      <c r="O364">
        <f t="shared" si="51"/>
        <v>24.643755238893544</v>
      </c>
      <c r="P364">
        <f t="shared" si="52"/>
        <v>48.616932103939646</v>
      </c>
      <c r="Q364">
        <f t="shared" si="53"/>
        <v>90.863369656328587</v>
      </c>
    </row>
    <row r="365" spans="1:17" x14ac:dyDescent="0.3">
      <c r="A365">
        <v>51010817</v>
      </c>
      <c r="B365" t="str">
        <f>VLOOKUP(A365,ASESORES!$A$2:$B$993,2,0)</f>
        <v>AYALA</v>
      </c>
      <c r="C365">
        <v>45778227.649999999</v>
      </c>
      <c r="D365">
        <v>60655920.700000003</v>
      </c>
      <c r="E365">
        <v>75186152.379999995</v>
      </c>
      <c r="F365">
        <v>58681014</v>
      </c>
      <c r="G365">
        <v>71714666</v>
      </c>
      <c r="H365">
        <v>95078643</v>
      </c>
      <c r="I365">
        <f t="shared" si="45"/>
        <v>0.2818542135062323</v>
      </c>
      <c r="J365">
        <f t="shared" si="46"/>
        <v>0.18231930489845816</v>
      </c>
      <c r="K365">
        <f t="shared" si="47"/>
        <v>0.26457652094578443</v>
      </c>
      <c r="L365">
        <f t="shared" si="48"/>
        <v>2.1895837839313073</v>
      </c>
      <c r="M365">
        <f t="shared" si="49"/>
        <v>1.4322289864859914</v>
      </c>
      <c r="N365">
        <f t="shared" si="50"/>
        <v>2.110813437257034</v>
      </c>
      <c r="O365">
        <f t="shared" si="51"/>
        <v>49.958088851634535</v>
      </c>
      <c r="P365">
        <f t="shared" si="52"/>
        <v>40.905280804694051</v>
      </c>
      <c r="Q365">
        <f t="shared" si="53"/>
        <v>59.849119865884326</v>
      </c>
    </row>
    <row r="366" spans="1:17" x14ac:dyDescent="0.3">
      <c r="A366">
        <v>51022408</v>
      </c>
      <c r="B366" t="str">
        <f>VLOOKUP(A366,ASESORES!$A$2:$B$993,2,0)</f>
        <v>ROBERTS</v>
      </c>
      <c r="C366">
        <v>34416897.600000001</v>
      </c>
      <c r="D366">
        <v>43299581.109999999</v>
      </c>
      <c r="E366">
        <v>62849257.899999999</v>
      </c>
      <c r="F366">
        <v>64422042</v>
      </c>
      <c r="G366">
        <v>79539141</v>
      </c>
      <c r="H366">
        <v>95024907</v>
      </c>
      <c r="I366">
        <f t="shared" si="45"/>
        <v>0.8718143264603837</v>
      </c>
      <c r="J366">
        <f t="shared" si="46"/>
        <v>0.83694943371243169</v>
      </c>
      <c r="K366">
        <f t="shared" si="47"/>
        <v>0.51194954682193639</v>
      </c>
      <c r="L366">
        <f t="shared" si="48"/>
        <v>6.8080281412690073</v>
      </c>
      <c r="M366">
        <f t="shared" si="49"/>
        <v>6.612386707257099</v>
      </c>
      <c r="N366">
        <f t="shared" si="50"/>
        <v>4.0842502688029061</v>
      </c>
      <c r="O366">
        <f t="shared" si="51"/>
        <v>93.042749371332775</v>
      </c>
      <c r="P366">
        <f t="shared" si="52"/>
        <v>92.623637887678129</v>
      </c>
      <c r="Q366">
        <f t="shared" si="53"/>
        <v>84.911986588432526</v>
      </c>
    </row>
    <row r="367" spans="1:17" x14ac:dyDescent="0.3">
      <c r="A367">
        <v>51032578</v>
      </c>
      <c r="B367" t="str">
        <f>VLOOKUP(A367,ASESORES!$A$2:$B$993,2,0)</f>
        <v>ROBERTS</v>
      </c>
      <c r="C367">
        <v>51199269.450000003</v>
      </c>
      <c r="D367">
        <v>73834606.409999996</v>
      </c>
      <c r="E367">
        <v>76979577.950000003</v>
      </c>
      <c r="F367">
        <v>47632449</v>
      </c>
      <c r="G367">
        <v>73410677</v>
      </c>
      <c r="H367">
        <v>94677157</v>
      </c>
      <c r="I367">
        <f t="shared" si="45"/>
        <v>-6.966545593943041E-2</v>
      </c>
      <c r="J367">
        <f t="shared" si="46"/>
        <v>-5.7416085845428677E-3</v>
      </c>
      <c r="K367">
        <f t="shared" si="47"/>
        <v>0.22989966327816158</v>
      </c>
      <c r="L367">
        <f t="shared" si="48"/>
        <v>-0.53488460696272544</v>
      </c>
      <c r="M367">
        <f t="shared" si="49"/>
        <v>-4.5162110714284602E-2</v>
      </c>
      <c r="N367">
        <f t="shared" si="50"/>
        <v>1.8337360876123732</v>
      </c>
      <c r="O367">
        <f t="shared" si="51"/>
        <v>8.2984073763621122</v>
      </c>
      <c r="P367">
        <f t="shared" si="52"/>
        <v>10.561609388097235</v>
      </c>
      <c r="Q367">
        <f t="shared" si="53"/>
        <v>56.077116512992454</v>
      </c>
    </row>
    <row r="368" spans="1:17" x14ac:dyDescent="0.3">
      <c r="A368">
        <v>51017978</v>
      </c>
      <c r="B368" t="str">
        <f>VLOOKUP(A368,ASESORES!$A$2:$B$993,2,0)</f>
        <v>CICHETTO</v>
      </c>
      <c r="C368">
        <v>47519937.289999999</v>
      </c>
      <c r="D368">
        <v>58038188.5</v>
      </c>
      <c r="E368">
        <v>72918854.510000005</v>
      </c>
      <c r="F368">
        <v>58325199</v>
      </c>
      <c r="G368">
        <v>84138747</v>
      </c>
      <c r="H368">
        <v>94630916</v>
      </c>
      <c r="I368">
        <f t="shared" si="45"/>
        <v>0.22738375356134655</v>
      </c>
      <c r="J368">
        <f t="shared" si="46"/>
        <v>0.44971352784382645</v>
      </c>
      <c r="K368">
        <f t="shared" si="47"/>
        <v>0.29775648062357352</v>
      </c>
      <c r="L368">
        <f t="shared" si="48"/>
        <v>1.7658295390222534</v>
      </c>
      <c r="M368">
        <f t="shared" si="49"/>
        <v>3.5639779273803462</v>
      </c>
      <c r="N368">
        <f t="shared" si="50"/>
        <v>2.3749155285059405</v>
      </c>
      <c r="O368">
        <f t="shared" si="51"/>
        <v>44.090528080469404</v>
      </c>
      <c r="P368">
        <f t="shared" si="52"/>
        <v>71.165129924559935</v>
      </c>
      <c r="Q368">
        <f t="shared" si="53"/>
        <v>64.459346186085497</v>
      </c>
    </row>
    <row r="369" spans="1:17" x14ac:dyDescent="0.3">
      <c r="A369">
        <v>51056868</v>
      </c>
      <c r="B369" t="str">
        <f>VLOOKUP(A369,ASESORES!$A$2:$B$993,2,0)</f>
        <v>ARGUELLO</v>
      </c>
      <c r="C369">
        <v>66627742.049999997</v>
      </c>
      <c r="D369">
        <v>47065764.739999987</v>
      </c>
      <c r="E369">
        <v>51574182.150000013</v>
      </c>
      <c r="F369">
        <v>65856434</v>
      </c>
      <c r="G369">
        <v>86609323</v>
      </c>
      <c r="H369">
        <v>94403507</v>
      </c>
      <c r="I369">
        <f t="shared" si="45"/>
        <v>-1.1576379842216156E-2</v>
      </c>
      <c r="J369">
        <f t="shared" si="46"/>
        <v>0.84017668635463516</v>
      </c>
      <c r="K369">
        <f t="shared" si="47"/>
        <v>0.83044118325393512</v>
      </c>
      <c r="L369">
        <f t="shared" si="48"/>
        <v>-9.0511062721853205E-2</v>
      </c>
      <c r="M369">
        <f t="shared" si="49"/>
        <v>6.6689567602035318</v>
      </c>
      <c r="N369">
        <f t="shared" si="50"/>
        <v>6.6227585776371001</v>
      </c>
      <c r="O369">
        <f t="shared" si="51"/>
        <v>10.393964794635373</v>
      </c>
      <c r="P369">
        <f t="shared" si="52"/>
        <v>92.791282481139987</v>
      </c>
      <c r="Q369">
        <f t="shared" si="53"/>
        <v>95.97652975691534</v>
      </c>
    </row>
    <row r="370" spans="1:17" x14ac:dyDescent="0.3">
      <c r="A370">
        <v>51056566</v>
      </c>
      <c r="B370" t="str">
        <f>VLOOKUP(A370,ASESORES!$A$2:$B$993,2,0)</f>
        <v>NELLI</v>
      </c>
      <c r="C370">
        <v>49416339.819999993</v>
      </c>
      <c r="D370">
        <v>60118625.750000007</v>
      </c>
      <c r="E370">
        <v>69695600.060000002</v>
      </c>
      <c r="F370">
        <v>55566421</v>
      </c>
      <c r="G370">
        <v>81600863</v>
      </c>
      <c r="H370">
        <v>94350418</v>
      </c>
      <c r="I370">
        <f t="shared" si="45"/>
        <v>0.12445440521094442</v>
      </c>
      <c r="J370">
        <f t="shared" si="46"/>
        <v>0.35733081024394497</v>
      </c>
      <c r="K370">
        <f t="shared" si="47"/>
        <v>0.3537499916605209</v>
      </c>
      <c r="L370">
        <f t="shared" si="48"/>
        <v>0.96387602382842552</v>
      </c>
      <c r="M370">
        <f t="shared" si="49"/>
        <v>2.8270922960704286</v>
      </c>
      <c r="N370">
        <f t="shared" si="50"/>
        <v>2.8210655628468406</v>
      </c>
      <c r="O370">
        <f t="shared" si="51"/>
        <v>32.35540653813915</v>
      </c>
      <c r="P370">
        <f t="shared" si="52"/>
        <v>60.519698239731767</v>
      </c>
      <c r="Q370">
        <f t="shared" si="53"/>
        <v>70.746018440905274</v>
      </c>
    </row>
    <row r="371" spans="1:17" x14ac:dyDescent="0.3">
      <c r="A371">
        <v>51005112</v>
      </c>
      <c r="B371" t="str">
        <f>VLOOKUP(A371,ASESORES!$A$2:$B$993,2,0)</f>
        <v>AYALA</v>
      </c>
      <c r="C371">
        <v>36149019.859999999</v>
      </c>
      <c r="D371">
        <v>67862976.849999994</v>
      </c>
      <c r="E371">
        <v>72670507.539999992</v>
      </c>
      <c r="F371">
        <v>45773643</v>
      </c>
      <c r="G371">
        <v>70339270</v>
      </c>
      <c r="H371">
        <v>93679517</v>
      </c>
      <c r="I371">
        <f t="shared" si="45"/>
        <v>0.26624852284445866</v>
      </c>
      <c r="J371">
        <f t="shared" si="46"/>
        <v>3.6489603977636342E-2</v>
      </c>
      <c r="K371">
        <f t="shared" si="47"/>
        <v>0.28909952842198106</v>
      </c>
      <c r="L371">
        <f t="shared" si="48"/>
        <v>2.0396275551293241</v>
      </c>
      <c r="M371">
        <f t="shared" si="49"/>
        <v>0.28634114212800493</v>
      </c>
      <c r="N371">
        <f t="shared" si="50"/>
        <v>2.3045987070104235</v>
      </c>
      <c r="O371">
        <f t="shared" si="51"/>
        <v>47.694886839899411</v>
      </c>
      <c r="P371">
        <f t="shared" si="52"/>
        <v>29.002514668901931</v>
      </c>
      <c r="Q371">
        <f t="shared" si="53"/>
        <v>63.621123218776198</v>
      </c>
    </row>
    <row r="372" spans="1:17" x14ac:dyDescent="0.3">
      <c r="A372">
        <v>51019946</v>
      </c>
      <c r="B372" t="str">
        <f>VLOOKUP(A372,ASESORES!$A$2:$B$993,2,0)</f>
        <v>METTLER</v>
      </c>
      <c r="C372">
        <v>45946843.900000013</v>
      </c>
      <c r="D372">
        <v>67630472.74000001</v>
      </c>
      <c r="E372">
        <v>93290952.950000003</v>
      </c>
      <c r="F372">
        <v>71172990</v>
      </c>
      <c r="G372">
        <v>85018375</v>
      </c>
      <c r="H372">
        <v>93515240</v>
      </c>
      <c r="I372">
        <f t="shared" si="45"/>
        <v>0.549028920352024</v>
      </c>
      <c r="J372">
        <f t="shared" si="46"/>
        <v>0.25710159275163424</v>
      </c>
      <c r="K372">
        <f t="shared" si="47"/>
        <v>2.4041672092276478E-3</v>
      </c>
      <c r="L372">
        <f t="shared" si="48"/>
        <v>4.3111481425919429</v>
      </c>
      <c r="M372">
        <f t="shared" si="49"/>
        <v>2.0386903705772328</v>
      </c>
      <c r="N372">
        <f t="shared" si="50"/>
        <v>1.9163334077337116E-2</v>
      </c>
      <c r="O372">
        <f t="shared" si="51"/>
        <v>79.715004191114829</v>
      </c>
      <c r="P372">
        <f t="shared" si="52"/>
        <v>49.119865884325229</v>
      </c>
      <c r="Q372">
        <f t="shared" si="53"/>
        <v>32.187761944677284</v>
      </c>
    </row>
    <row r="373" spans="1:17" x14ac:dyDescent="0.3">
      <c r="A373">
        <v>51027116</v>
      </c>
      <c r="B373" t="str">
        <f>VLOOKUP(A373,ASESORES!$A$2:$B$993,2,0)</f>
        <v>LÓPEZ</v>
      </c>
      <c r="C373">
        <v>26358269.039999999</v>
      </c>
      <c r="D373">
        <v>44385649.329999998</v>
      </c>
      <c r="E373">
        <v>68365537.5</v>
      </c>
      <c r="F373">
        <v>51535677</v>
      </c>
      <c r="G373">
        <v>75902640</v>
      </c>
      <c r="H373">
        <v>93228966</v>
      </c>
      <c r="I373">
        <f t="shared" si="45"/>
        <v>0.9551995968245115</v>
      </c>
      <c r="J373">
        <f t="shared" si="46"/>
        <v>0.71007163679585639</v>
      </c>
      <c r="K373">
        <f t="shared" si="47"/>
        <v>0.36368365420954962</v>
      </c>
      <c r="L373">
        <f t="shared" si="48"/>
        <v>7.3666024384570656</v>
      </c>
      <c r="M373">
        <f t="shared" si="49"/>
        <v>5.5955469022382545</v>
      </c>
      <c r="N373">
        <f t="shared" si="50"/>
        <v>2.8983953819008947</v>
      </c>
      <c r="O373">
        <f t="shared" si="51"/>
        <v>94.300083822296727</v>
      </c>
      <c r="P373">
        <f t="shared" si="52"/>
        <v>89.103101424979045</v>
      </c>
      <c r="Q373">
        <f t="shared" si="53"/>
        <v>72.1709974853311</v>
      </c>
    </row>
    <row r="374" spans="1:17" x14ac:dyDescent="0.3">
      <c r="A374">
        <v>51042051</v>
      </c>
      <c r="B374" t="str">
        <f>VLOOKUP(A374,ASESORES!$A$2:$B$993,2,0)</f>
        <v>ARGUELLO</v>
      </c>
      <c r="C374">
        <v>23203899.399999999</v>
      </c>
      <c r="D374">
        <v>44672081.409999996</v>
      </c>
      <c r="E374">
        <v>59273934.029999986</v>
      </c>
      <c r="F374">
        <v>42251490</v>
      </c>
      <c r="G374">
        <v>73407007</v>
      </c>
      <c r="H374">
        <v>93074831</v>
      </c>
      <c r="I374">
        <f t="shared" si="45"/>
        <v>0.8208788648687213</v>
      </c>
      <c r="J374">
        <f t="shared" si="46"/>
        <v>0.64324125232202833</v>
      </c>
      <c r="K374">
        <f t="shared" si="47"/>
        <v>0.5702489217755069</v>
      </c>
      <c r="L374">
        <f t="shared" si="48"/>
        <v>6.2598925484033821</v>
      </c>
      <c r="M374">
        <f t="shared" si="49"/>
        <v>5.0595668509260499</v>
      </c>
      <c r="N374">
        <f t="shared" si="50"/>
        <v>4.5442180019785576</v>
      </c>
      <c r="O374">
        <f t="shared" si="51"/>
        <v>91.450125733445091</v>
      </c>
      <c r="P374">
        <f t="shared" si="52"/>
        <v>85.247275775356243</v>
      </c>
      <c r="Q374">
        <f t="shared" si="53"/>
        <v>88.683989941324398</v>
      </c>
    </row>
    <row r="375" spans="1:17" x14ac:dyDescent="0.3">
      <c r="A375">
        <v>51024702</v>
      </c>
      <c r="B375" t="str">
        <f>VLOOKUP(A375,ASESORES!$A$2:$B$993,2,0)</f>
        <v>NELLI</v>
      </c>
      <c r="C375">
        <v>42130049.700000003</v>
      </c>
      <c r="D375">
        <v>60048313.030000001</v>
      </c>
      <c r="E375">
        <v>83208217.439999998</v>
      </c>
      <c r="F375">
        <v>51267778</v>
      </c>
      <c r="G375">
        <v>98067211</v>
      </c>
      <c r="H375">
        <v>92585246</v>
      </c>
      <c r="I375">
        <f t="shared" si="45"/>
        <v>0.21689336625681688</v>
      </c>
      <c r="J375">
        <f t="shared" si="46"/>
        <v>0.6331384855225799</v>
      </c>
      <c r="K375">
        <f t="shared" si="47"/>
        <v>0.1126935397547919</v>
      </c>
      <c r="L375">
        <f t="shared" si="48"/>
        <v>1.6722141258509662</v>
      </c>
      <c r="M375">
        <f t="shared" si="49"/>
        <v>5.0597412911222603</v>
      </c>
      <c r="N375">
        <f t="shared" si="50"/>
        <v>0.89777779333717866</v>
      </c>
      <c r="O375">
        <f t="shared" si="51"/>
        <v>42.833193629505452</v>
      </c>
      <c r="P375">
        <f t="shared" si="52"/>
        <v>85.331098072087173</v>
      </c>
      <c r="Q375">
        <f t="shared" si="53"/>
        <v>42.330259849119869</v>
      </c>
    </row>
    <row r="376" spans="1:17" x14ac:dyDescent="0.3">
      <c r="A376">
        <v>51000251</v>
      </c>
      <c r="B376" t="str">
        <f>VLOOKUP(A376,ASESORES!$A$2:$B$993,2,0)</f>
        <v>AYALA</v>
      </c>
      <c r="C376">
        <v>56463815.31000001</v>
      </c>
      <c r="D376">
        <v>71135045.290000007</v>
      </c>
      <c r="E376">
        <v>96703255.460000008</v>
      </c>
      <c r="F376">
        <v>81922815</v>
      </c>
      <c r="G376">
        <v>80118567</v>
      </c>
      <c r="H376">
        <v>92483621</v>
      </c>
      <c r="I376">
        <f t="shared" si="45"/>
        <v>0.45089053140004665</v>
      </c>
      <c r="J376">
        <f t="shared" si="46"/>
        <v>0.12628826864981102</v>
      </c>
      <c r="K376">
        <f t="shared" si="47"/>
        <v>-4.3634874957704017E-2</v>
      </c>
      <c r="L376">
        <f t="shared" si="48"/>
        <v>3.5680793256413232</v>
      </c>
      <c r="M376">
        <f t="shared" si="49"/>
        <v>0.99814877827607795</v>
      </c>
      <c r="N376">
        <f t="shared" si="50"/>
        <v>-0.3475982425564294</v>
      </c>
      <c r="O376">
        <f t="shared" si="51"/>
        <v>72.08717518860017</v>
      </c>
      <c r="P376">
        <f t="shared" si="52"/>
        <v>35.373009220452637</v>
      </c>
      <c r="Q376">
        <f t="shared" si="53"/>
        <v>11.902766135792122</v>
      </c>
    </row>
    <row r="377" spans="1:17" x14ac:dyDescent="0.3">
      <c r="A377">
        <v>51036778</v>
      </c>
      <c r="B377" t="str">
        <f>VLOOKUP(A377,ASESORES!$A$2:$B$993,2,0)</f>
        <v>CICHETTO</v>
      </c>
      <c r="C377">
        <v>45268183.189999998</v>
      </c>
      <c r="D377">
        <v>56960424.059999987</v>
      </c>
      <c r="E377">
        <v>83365658.180000007</v>
      </c>
      <c r="F377">
        <v>59584499</v>
      </c>
      <c r="G377">
        <v>79353453</v>
      </c>
      <c r="H377">
        <v>92333002</v>
      </c>
      <c r="I377">
        <f t="shared" si="45"/>
        <v>0.31625558617873928</v>
      </c>
      <c r="J377">
        <f t="shared" si="46"/>
        <v>0.39313311495736114</v>
      </c>
      <c r="K377">
        <f t="shared" si="47"/>
        <v>0.10756640103096227</v>
      </c>
      <c r="L377">
        <f t="shared" si="48"/>
        <v>2.458929336894998</v>
      </c>
      <c r="M377">
        <f t="shared" si="49"/>
        <v>3.105580921349449</v>
      </c>
      <c r="N377">
        <f t="shared" si="50"/>
        <v>0.85680478067299404</v>
      </c>
      <c r="O377">
        <f t="shared" si="51"/>
        <v>55.238893545683155</v>
      </c>
      <c r="P377">
        <f t="shared" si="52"/>
        <v>64.459346186085497</v>
      </c>
      <c r="Q377">
        <f t="shared" si="53"/>
        <v>41.911148365465209</v>
      </c>
    </row>
    <row r="378" spans="1:17" x14ac:dyDescent="0.3">
      <c r="A378">
        <v>51056850</v>
      </c>
      <c r="B378" t="str">
        <f>VLOOKUP(A378,ASESORES!$A$2:$B$993,2,0)</f>
        <v>METTLER</v>
      </c>
      <c r="C378">
        <v>35505729.609999999</v>
      </c>
      <c r="D378">
        <v>44364617.289999999</v>
      </c>
      <c r="E378">
        <v>52504720.040000007</v>
      </c>
      <c r="F378">
        <v>38111146</v>
      </c>
      <c r="G378">
        <v>72335741</v>
      </c>
      <c r="H378">
        <v>92321421</v>
      </c>
      <c r="I378">
        <f t="shared" si="45"/>
        <v>7.3380167612897118E-2</v>
      </c>
      <c r="J378">
        <f t="shared" si="46"/>
        <v>0.63048270037268694</v>
      </c>
      <c r="K378">
        <f t="shared" si="47"/>
        <v>0.75834517219911235</v>
      </c>
      <c r="L378">
        <f t="shared" si="48"/>
        <v>0.55629886704226317</v>
      </c>
      <c r="M378">
        <f t="shared" si="49"/>
        <v>4.9551860614455592</v>
      </c>
      <c r="N378">
        <f t="shared" si="50"/>
        <v>6.0404486811704583</v>
      </c>
      <c r="O378">
        <f t="shared" si="51"/>
        <v>28.331936295054483</v>
      </c>
      <c r="P378">
        <f t="shared" si="52"/>
        <v>84.49287510477788</v>
      </c>
      <c r="Q378">
        <f t="shared" si="53"/>
        <v>94.803017602682317</v>
      </c>
    </row>
    <row r="379" spans="1:17" x14ac:dyDescent="0.3">
      <c r="A379">
        <v>51054989</v>
      </c>
      <c r="B379" t="str">
        <f>VLOOKUP(A379,ASESORES!$A$2:$B$993,2,0)</f>
        <v>ROBERTS</v>
      </c>
      <c r="C379">
        <v>40184483.969999999</v>
      </c>
      <c r="D379">
        <v>55189702.400000013</v>
      </c>
      <c r="E379">
        <v>68513946.25999999</v>
      </c>
      <c r="F379">
        <v>55793587</v>
      </c>
      <c r="G379">
        <v>75672028</v>
      </c>
      <c r="H379">
        <v>92249412</v>
      </c>
      <c r="I379">
        <f t="shared" si="45"/>
        <v>0.38843607004268321</v>
      </c>
      <c r="J379">
        <f t="shared" si="46"/>
        <v>0.3711258569859579</v>
      </c>
      <c r="K379">
        <f t="shared" si="47"/>
        <v>0.34643261752764221</v>
      </c>
      <c r="L379">
        <f t="shared" si="48"/>
        <v>3.009052755273439</v>
      </c>
      <c r="M379">
        <f t="shared" si="49"/>
        <v>2.9240766424995894</v>
      </c>
      <c r="N379">
        <f t="shared" si="50"/>
        <v>2.7593231907594262</v>
      </c>
      <c r="O379">
        <f t="shared" si="51"/>
        <v>64.20787929589271</v>
      </c>
      <c r="P379">
        <f t="shared" si="52"/>
        <v>61.944677284157592</v>
      </c>
      <c r="Q379">
        <f t="shared" si="53"/>
        <v>69.991617770326911</v>
      </c>
    </row>
    <row r="380" spans="1:17" x14ac:dyDescent="0.3">
      <c r="A380">
        <v>51018737</v>
      </c>
      <c r="B380" t="str">
        <f>VLOOKUP(A380,ASESORES!$A$2:$B$993,2,0)</f>
        <v>PRADES</v>
      </c>
      <c r="C380">
        <v>55542307.190000013</v>
      </c>
      <c r="D380">
        <v>51115486.490000002</v>
      </c>
      <c r="E380">
        <v>67883036.200000003</v>
      </c>
      <c r="F380">
        <v>46821615</v>
      </c>
      <c r="G380">
        <v>73535786</v>
      </c>
      <c r="H380">
        <v>92139592</v>
      </c>
      <c r="I380">
        <f t="shared" si="45"/>
        <v>-0.15700990166231532</v>
      </c>
      <c r="J380">
        <f t="shared" si="46"/>
        <v>0.43862048567974021</v>
      </c>
      <c r="K380">
        <f t="shared" si="47"/>
        <v>0.35732868118235395</v>
      </c>
      <c r="L380">
        <f t="shared" si="48"/>
        <v>-1.2043360333327422</v>
      </c>
      <c r="M380">
        <f t="shared" si="49"/>
        <v>3.4504074974171846</v>
      </c>
      <c r="N380">
        <f t="shared" si="50"/>
        <v>2.8459250873085775</v>
      </c>
      <c r="O380">
        <f t="shared" si="51"/>
        <v>6.4543168482816426</v>
      </c>
      <c r="P380">
        <f t="shared" si="52"/>
        <v>69.321039396479463</v>
      </c>
      <c r="Q380">
        <f t="shared" si="53"/>
        <v>71.165129924559935</v>
      </c>
    </row>
    <row r="381" spans="1:17" x14ac:dyDescent="0.3">
      <c r="A381">
        <v>51023811</v>
      </c>
      <c r="B381" t="str">
        <f>VLOOKUP(A381,ASESORES!$A$2:$B$993,2,0)</f>
        <v>LÓPEZ</v>
      </c>
      <c r="C381">
        <v>42133379.790000007</v>
      </c>
      <c r="D381">
        <v>44855289.790000007</v>
      </c>
      <c r="E381">
        <v>58380613.770000003</v>
      </c>
      <c r="F381">
        <v>58056381</v>
      </c>
      <c r="G381">
        <v>78237312</v>
      </c>
      <c r="H381">
        <v>92029065</v>
      </c>
      <c r="I381">
        <f t="shared" si="45"/>
        <v>0.37791891581835979</v>
      </c>
      <c r="J381">
        <f t="shared" si="46"/>
        <v>0.74421595237229177</v>
      </c>
      <c r="K381">
        <f t="shared" si="47"/>
        <v>0.5763634374000175</v>
      </c>
      <c r="L381">
        <f t="shared" si="48"/>
        <v>2.9341057595268007</v>
      </c>
      <c r="M381">
        <f t="shared" si="49"/>
        <v>5.8744045586683189</v>
      </c>
      <c r="N381">
        <f t="shared" si="50"/>
        <v>4.5901151937804583</v>
      </c>
      <c r="O381">
        <f t="shared" si="51"/>
        <v>62.699077954735962</v>
      </c>
      <c r="P381">
        <f t="shared" si="52"/>
        <v>90.276613579212068</v>
      </c>
      <c r="Q381">
        <f t="shared" si="53"/>
        <v>89.103101424979045</v>
      </c>
    </row>
    <row r="382" spans="1:17" x14ac:dyDescent="0.3">
      <c r="A382">
        <v>51040899</v>
      </c>
      <c r="B382" t="str">
        <f>VLOOKUP(A382,ASESORES!$A$2:$B$993,2,0)</f>
        <v>PRADES</v>
      </c>
      <c r="C382">
        <v>21680587.039999999</v>
      </c>
      <c r="D382">
        <v>24882062.25</v>
      </c>
      <c r="E382">
        <v>66571336.010000013</v>
      </c>
      <c r="F382">
        <v>54603913</v>
      </c>
      <c r="G382">
        <v>81108715</v>
      </c>
      <c r="H382">
        <v>91774385</v>
      </c>
      <c r="I382">
        <f t="shared" si="45"/>
        <v>1.5185624770794952</v>
      </c>
      <c r="J382">
        <f t="shared" si="46"/>
        <v>2.2597263918508204</v>
      </c>
      <c r="K382">
        <f t="shared" si="47"/>
        <v>0.37858709920158606</v>
      </c>
      <c r="L382">
        <f t="shared" si="48"/>
        <v>11.749457687856861</v>
      </c>
      <c r="M382">
        <f t="shared" si="49"/>
        <v>17.872328612035982</v>
      </c>
      <c r="N382">
        <f t="shared" si="50"/>
        <v>3.0145836279554086</v>
      </c>
      <c r="O382">
        <f t="shared" si="51"/>
        <v>98.155909471919529</v>
      </c>
      <c r="P382">
        <f t="shared" si="52"/>
        <v>98.910310142497906</v>
      </c>
      <c r="Q382">
        <f t="shared" si="53"/>
        <v>74.0989103101425</v>
      </c>
    </row>
    <row r="383" spans="1:17" x14ac:dyDescent="0.3">
      <c r="A383">
        <v>51022149</v>
      </c>
      <c r="B383" t="str">
        <f>VLOOKUP(A383,ASESORES!$A$2:$B$993,2,0)</f>
        <v>ROBERTS</v>
      </c>
      <c r="C383">
        <v>30466108.940000001</v>
      </c>
      <c r="D383">
        <v>40895476.939999998</v>
      </c>
      <c r="E383">
        <v>63348582.229999997</v>
      </c>
      <c r="F383">
        <v>55339292</v>
      </c>
      <c r="G383">
        <v>74369075</v>
      </c>
      <c r="H383">
        <v>91705831</v>
      </c>
      <c r="I383">
        <f t="shared" si="45"/>
        <v>0.81642139168429018</v>
      </c>
      <c r="J383">
        <f t="shared" si="46"/>
        <v>0.81851589869243879</v>
      </c>
      <c r="K383">
        <f t="shared" si="47"/>
        <v>0.44763825442917105</v>
      </c>
      <c r="L383">
        <f t="shared" si="48"/>
        <v>6.321578266396557</v>
      </c>
      <c r="M383">
        <f t="shared" si="49"/>
        <v>6.4428598076974488</v>
      </c>
      <c r="N383">
        <f t="shared" si="50"/>
        <v>3.5642734720462288</v>
      </c>
      <c r="O383">
        <f t="shared" si="51"/>
        <v>91.953059513830681</v>
      </c>
      <c r="P383">
        <f t="shared" si="52"/>
        <v>92.204526404023468</v>
      </c>
      <c r="Q383">
        <f t="shared" si="53"/>
        <v>79.798826487845758</v>
      </c>
    </row>
    <row r="384" spans="1:17" x14ac:dyDescent="0.3">
      <c r="A384">
        <v>51014189</v>
      </c>
      <c r="B384" t="str">
        <f>VLOOKUP(A384,ASESORES!$A$2:$B$993,2,0)</f>
        <v>LÓPEZ</v>
      </c>
      <c r="C384">
        <v>33685206.759999998</v>
      </c>
      <c r="D384">
        <v>47036569.810000002</v>
      </c>
      <c r="E384">
        <v>57952014.840000004</v>
      </c>
      <c r="F384">
        <v>55251890</v>
      </c>
      <c r="G384">
        <v>88242890</v>
      </c>
      <c r="H384">
        <v>91461707</v>
      </c>
      <c r="I384">
        <f t="shared" si="45"/>
        <v>0.64024197309097963</v>
      </c>
      <c r="J384">
        <f t="shared" si="46"/>
        <v>0.87604857999741959</v>
      </c>
      <c r="K384">
        <f t="shared" si="47"/>
        <v>0.57823170173663629</v>
      </c>
      <c r="L384">
        <f t="shared" si="48"/>
        <v>4.9569756083159477</v>
      </c>
      <c r="M384">
        <f t="shared" si="49"/>
        <v>6.9608014384769454</v>
      </c>
      <c r="N384">
        <f t="shared" si="50"/>
        <v>4.6034409498729119</v>
      </c>
      <c r="O384">
        <f t="shared" si="51"/>
        <v>85.331098072087173</v>
      </c>
      <c r="P384">
        <f t="shared" si="52"/>
        <v>93.713327745180223</v>
      </c>
      <c r="Q384">
        <f t="shared" si="53"/>
        <v>89.270746018440903</v>
      </c>
    </row>
    <row r="385" spans="1:17" x14ac:dyDescent="0.3">
      <c r="A385">
        <v>51011538</v>
      </c>
      <c r="B385" t="str">
        <f>VLOOKUP(A385,ASESORES!$A$2:$B$993,2,0)</f>
        <v>CICHETTO</v>
      </c>
      <c r="C385">
        <v>56415875.18</v>
      </c>
      <c r="D385">
        <v>71176633.299999997</v>
      </c>
      <c r="E385">
        <v>89078973.049999997</v>
      </c>
      <c r="F385">
        <v>62517666</v>
      </c>
      <c r="G385">
        <v>76417650</v>
      </c>
      <c r="H385">
        <v>91403345</v>
      </c>
      <c r="I385">
        <f t="shared" si="45"/>
        <v>0.10815733692921858</v>
      </c>
      <c r="J385">
        <f t="shared" si="46"/>
        <v>7.3633950595974662E-2</v>
      </c>
      <c r="K385">
        <f t="shared" si="47"/>
        <v>2.6093385121260138E-2</v>
      </c>
      <c r="L385">
        <f t="shared" si="48"/>
        <v>0.8431948967752726</v>
      </c>
      <c r="M385">
        <f t="shared" si="49"/>
        <v>0.58047069383235372</v>
      </c>
      <c r="N385">
        <f t="shared" si="50"/>
        <v>0.20772844973657059</v>
      </c>
      <c r="O385">
        <f t="shared" si="51"/>
        <v>30.67896060352054</v>
      </c>
      <c r="P385">
        <f t="shared" si="52"/>
        <v>32.020117351215418</v>
      </c>
      <c r="Q385">
        <f t="shared" si="53"/>
        <v>34.199497066219614</v>
      </c>
    </row>
    <row r="386" spans="1:17" x14ac:dyDescent="0.3">
      <c r="A386">
        <v>51011686</v>
      </c>
      <c r="B386" t="str">
        <f>VLOOKUP(A386,ASESORES!$A$2:$B$993,2,0)</f>
        <v>LÓPEZ</v>
      </c>
      <c r="C386">
        <v>50539298.460000001</v>
      </c>
      <c r="D386">
        <v>54636118.150000013</v>
      </c>
      <c r="E386">
        <v>64282267.219999999</v>
      </c>
      <c r="F386">
        <v>55267182</v>
      </c>
      <c r="G386">
        <v>75268122</v>
      </c>
      <c r="H386">
        <v>91111005</v>
      </c>
      <c r="I386">
        <f t="shared" ref="I386:I449" si="54">IFERROR(F386/C386-1,0)</f>
        <v>9.35486578576461E-2</v>
      </c>
      <c r="J386">
        <f t="shared" ref="J386:J449" si="55">IFERROR(G386/D386-1,0)</f>
        <v>0.37762572724065291</v>
      </c>
      <c r="K386">
        <f t="shared" ref="K386:K449" si="56">IFERROR(H386/E386-1,0)</f>
        <v>0.41735830020091202</v>
      </c>
      <c r="L386">
        <f t="shared" ref="L386:L449" si="57">IFERROR(I386*LOG(F386),0)</f>
        <v>0.72429742639082872</v>
      </c>
      <c r="M386">
        <f t="shared" ref="M386:M449" si="58">IFERROR(J386*LOG(G386),0)</f>
        <v>2.9744109873424454</v>
      </c>
      <c r="N386">
        <f t="shared" ref="N386:N449" si="59">IFERROR(K386*LOG(H386),0)</f>
        <v>3.3219929549216385</v>
      </c>
      <c r="O386">
        <f t="shared" ref="O386:O449" si="60">RANK(L386,$L$2:$L$1194,1)/COUNT($L$2:$L$1194)*100</f>
        <v>29.589270746018443</v>
      </c>
      <c r="P386">
        <f t="shared" ref="P386:P449" si="61">RANK(M386,$M$2:$M$1194,1)/COUNT($M$2:$M$1194)*100</f>
        <v>62.950544844928743</v>
      </c>
      <c r="Q386">
        <f t="shared" ref="Q386:Q449" si="62">RANK(N386,$N$2:$N$1194,1)/COUNT($N$2:$N$1194)*100</f>
        <v>77.200335289186924</v>
      </c>
    </row>
    <row r="387" spans="1:17" x14ac:dyDescent="0.3">
      <c r="A387">
        <v>51055896</v>
      </c>
      <c r="B387" t="str">
        <f>VLOOKUP(A387,ASESORES!$A$2:$B$993,2,0)</f>
        <v>LÓPEZ</v>
      </c>
      <c r="C387">
        <v>69648721.959999993</v>
      </c>
      <c r="D387">
        <v>87664636.430000007</v>
      </c>
      <c r="E387">
        <v>70752914.140000001</v>
      </c>
      <c r="F387">
        <v>78603570</v>
      </c>
      <c r="G387">
        <v>79492495</v>
      </c>
      <c r="H387">
        <v>91110898</v>
      </c>
      <c r="I387">
        <f t="shared" si="54"/>
        <v>0.12857160602520268</v>
      </c>
      <c r="J387">
        <f t="shared" si="55"/>
        <v>-9.3220502163668284E-2</v>
      </c>
      <c r="K387">
        <f t="shared" si="56"/>
        <v>0.28773350338216885</v>
      </c>
      <c r="L387">
        <f t="shared" si="57"/>
        <v>1.0151296930849529</v>
      </c>
      <c r="M387">
        <f t="shared" si="58"/>
        <v>-0.73647236893030432</v>
      </c>
      <c r="N387">
        <f t="shared" si="59"/>
        <v>2.2902350556383655</v>
      </c>
      <c r="O387">
        <f t="shared" si="60"/>
        <v>33.02598491198659</v>
      </c>
      <c r="P387">
        <f t="shared" si="61"/>
        <v>7.5440067057837386</v>
      </c>
      <c r="Q387">
        <f t="shared" si="62"/>
        <v>63.118189438390615</v>
      </c>
    </row>
    <row r="388" spans="1:17" x14ac:dyDescent="0.3">
      <c r="A388">
        <v>51054962</v>
      </c>
      <c r="B388" t="str">
        <f>VLOOKUP(A388,ASESORES!$A$2:$B$993,2,0)</f>
        <v>CICHETTO</v>
      </c>
      <c r="C388">
        <v>60340573.649999999</v>
      </c>
      <c r="D388">
        <v>82625655.450000003</v>
      </c>
      <c r="E388">
        <v>98844546.049999997</v>
      </c>
      <c r="F388">
        <v>78401161</v>
      </c>
      <c r="G388">
        <v>86656204</v>
      </c>
      <c r="H388">
        <v>91034765</v>
      </c>
      <c r="I388">
        <f t="shared" si="54"/>
        <v>0.29931083278655568</v>
      </c>
      <c r="J388">
        <f t="shared" si="55"/>
        <v>4.8780836025428487E-2</v>
      </c>
      <c r="K388">
        <f t="shared" si="56"/>
        <v>-7.9010743253850935E-2</v>
      </c>
      <c r="L388">
        <f t="shared" si="57"/>
        <v>2.3628562399534028</v>
      </c>
      <c r="M388">
        <f t="shared" si="58"/>
        <v>0.38721250365228604</v>
      </c>
      <c r="N388">
        <f t="shared" si="59"/>
        <v>-0.6288628825444611</v>
      </c>
      <c r="O388">
        <f t="shared" si="60"/>
        <v>53.39480301760269</v>
      </c>
      <c r="P388">
        <f t="shared" si="61"/>
        <v>29.924559932942163</v>
      </c>
      <c r="Q388">
        <f t="shared" si="62"/>
        <v>10.561609388097235</v>
      </c>
    </row>
    <row r="389" spans="1:17" x14ac:dyDescent="0.3">
      <c r="A389">
        <v>51021584</v>
      </c>
      <c r="B389" t="str">
        <f>VLOOKUP(A389,ASESORES!$A$2:$B$993,2,0)</f>
        <v>CICHETTO</v>
      </c>
      <c r="C389">
        <v>49684247.549999997</v>
      </c>
      <c r="D389">
        <v>54158502.969999999</v>
      </c>
      <c r="E389">
        <v>70559445.50999999</v>
      </c>
      <c r="F389">
        <v>63086116</v>
      </c>
      <c r="G389">
        <v>71456338</v>
      </c>
      <c r="H389">
        <v>91034533</v>
      </c>
      <c r="I389">
        <f t="shared" si="54"/>
        <v>0.26974079533987028</v>
      </c>
      <c r="J389">
        <f t="shared" si="55"/>
        <v>0.31939278379946701</v>
      </c>
      <c r="K389">
        <f t="shared" si="56"/>
        <v>0.29018209173849296</v>
      </c>
      <c r="L389">
        <f t="shared" si="57"/>
        <v>2.1039603441610346</v>
      </c>
      <c r="M389">
        <f t="shared" si="58"/>
        <v>2.5085239410308251</v>
      </c>
      <c r="N389">
        <f t="shared" si="59"/>
        <v>2.3096190945983119</v>
      </c>
      <c r="O389">
        <f t="shared" si="60"/>
        <v>48.533109807208717</v>
      </c>
      <c r="P389">
        <f t="shared" si="61"/>
        <v>55.574182732606872</v>
      </c>
      <c r="Q389">
        <f t="shared" si="62"/>
        <v>63.788767812238056</v>
      </c>
    </row>
    <row r="390" spans="1:17" x14ac:dyDescent="0.3">
      <c r="A390">
        <v>51014642</v>
      </c>
      <c r="B390" t="str">
        <f>VLOOKUP(A390,ASESORES!$A$2:$B$993,2,0)</f>
        <v>PRADES</v>
      </c>
      <c r="C390">
        <v>65923873.190000013</v>
      </c>
      <c r="D390">
        <v>59727748.979999997</v>
      </c>
      <c r="E390">
        <v>82941722.409999996</v>
      </c>
      <c r="F390">
        <v>63391622</v>
      </c>
      <c r="G390">
        <v>89742802</v>
      </c>
      <c r="H390">
        <v>90969574</v>
      </c>
      <c r="I390">
        <f t="shared" si="54"/>
        <v>-3.8411747785233707E-2</v>
      </c>
      <c r="J390">
        <f t="shared" si="55"/>
        <v>0.5025311271993631</v>
      </c>
      <c r="K390">
        <f t="shared" si="56"/>
        <v>9.6789062931638803E-2</v>
      </c>
      <c r="L390">
        <f t="shared" si="57"/>
        <v>-0.29968968017990116</v>
      </c>
      <c r="M390">
        <f t="shared" si="58"/>
        <v>3.9966298662649375</v>
      </c>
      <c r="N390">
        <f t="shared" si="59"/>
        <v>0.77033410138998837</v>
      </c>
      <c r="O390">
        <f t="shared" si="60"/>
        <v>9.3042749371332771</v>
      </c>
      <c r="P390">
        <f t="shared" si="61"/>
        <v>75.60771165129924</v>
      </c>
      <c r="Q390">
        <f t="shared" si="62"/>
        <v>40.653813914501256</v>
      </c>
    </row>
    <row r="391" spans="1:17" x14ac:dyDescent="0.3">
      <c r="A391">
        <v>51038878</v>
      </c>
      <c r="B391" t="str">
        <f>VLOOKUP(A391,ASESORES!$A$2:$B$993,2,0)</f>
        <v>AYALA</v>
      </c>
      <c r="C391">
        <v>60133617.590000004</v>
      </c>
      <c r="D391">
        <v>77045519.239999995</v>
      </c>
      <c r="E391">
        <v>90446507.980000004</v>
      </c>
      <c r="F391">
        <v>59528077</v>
      </c>
      <c r="G391">
        <v>80775275</v>
      </c>
      <c r="H391">
        <v>90646330</v>
      </c>
      <c r="I391">
        <f t="shared" si="54"/>
        <v>-1.0069917864058531E-2</v>
      </c>
      <c r="J391">
        <f t="shared" si="55"/>
        <v>4.840976862498203E-2</v>
      </c>
      <c r="K391">
        <f t="shared" si="56"/>
        <v>2.209283967537834E-3</v>
      </c>
      <c r="L391">
        <f t="shared" si="57"/>
        <v>-7.8290810478560693E-2</v>
      </c>
      <c r="M391">
        <f t="shared" si="58"/>
        <v>0.38278951998790184</v>
      </c>
      <c r="N391">
        <f t="shared" si="59"/>
        <v>1.7580046277274126E-2</v>
      </c>
      <c r="O391">
        <f t="shared" si="60"/>
        <v>10.729253981559095</v>
      </c>
      <c r="P391">
        <f t="shared" si="61"/>
        <v>29.840737636211234</v>
      </c>
      <c r="Q391">
        <f t="shared" si="62"/>
        <v>32.020117351215418</v>
      </c>
    </row>
    <row r="392" spans="1:17" x14ac:dyDescent="0.3">
      <c r="A392">
        <v>51055292</v>
      </c>
      <c r="B392" t="str">
        <f>VLOOKUP(A392,ASESORES!$A$2:$B$993,2,0)</f>
        <v>PRADES</v>
      </c>
      <c r="C392">
        <v>68468201.510000005</v>
      </c>
      <c r="D392">
        <v>71060174.430000007</v>
      </c>
      <c r="E392">
        <v>90395915.74000001</v>
      </c>
      <c r="F392">
        <v>78341557</v>
      </c>
      <c r="G392">
        <v>89915035</v>
      </c>
      <c r="H392">
        <v>90483433</v>
      </c>
      <c r="I392">
        <f t="shared" si="54"/>
        <v>0.14420351743221937</v>
      </c>
      <c r="J392">
        <f t="shared" si="55"/>
        <v>0.2653365365514766</v>
      </c>
      <c r="K392">
        <f t="shared" si="56"/>
        <v>9.6815502430125377E-4</v>
      </c>
      <c r="L392">
        <f t="shared" si="57"/>
        <v>1.1383414416332112</v>
      </c>
      <c r="M392">
        <f t="shared" si="58"/>
        <v>2.1104423194813764</v>
      </c>
      <c r="N392">
        <f t="shared" si="59"/>
        <v>7.7031923209754669E-3</v>
      </c>
      <c r="O392">
        <f t="shared" si="60"/>
        <v>34.953897736797991</v>
      </c>
      <c r="P392">
        <f t="shared" si="61"/>
        <v>50.20955574182733</v>
      </c>
      <c r="Q392">
        <f t="shared" si="62"/>
        <v>31.852472757753564</v>
      </c>
    </row>
    <row r="393" spans="1:17" x14ac:dyDescent="0.3">
      <c r="A393">
        <v>51011601</v>
      </c>
      <c r="B393" t="str">
        <f>VLOOKUP(A393,ASESORES!$A$2:$B$993,2,0)</f>
        <v>MONTENEGRO</v>
      </c>
      <c r="C393">
        <v>47000974.689999998</v>
      </c>
      <c r="D393">
        <v>60840417.509999998</v>
      </c>
      <c r="E393">
        <v>76393270.620000005</v>
      </c>
      <c r="F393">
        <v>57102701</v>
      </c>
      <c r="G393">
        <v>78083260</v>
      </c>
      <c r="H393">
        <v>90328309</v>
      </c>
      <c r="I393">
        <f t="shared" si="54"/>
        <v>0.21492588986988093</v>
      </c>
      <c r="J393">
        <f t="shared" si="55"/>
        <v>0.28341098229915818</v>
      </c>
      <c r="K393">
        <f t="shared" si="56"/>
        <v>0.18241185731288434</v>
      </c>
      <c r="L393">
        <f t="shared" si="57"/>
        <v>1.6671063331704157</v>
      </c>
      <c r="M393">
        <f t="shared" si="58"/>
        <v>2.2368375977681758</v>
      </c>
      <c r="N393">
        <f t="shared" si="59"/>
        <v>1.4512366104151992</v>
      </c>
      <c r="O393">
        <f t="shared" si="60"/>
        <v>42.749371332774516</v>
      </c>
      <c r="P393">
        <f t="shared" si="61"/>
        <v>51.299245599329424</v>
      </c>
      <c r="Q393">
        <f t="shared" si="62"/>
        <v>51.215423302598495</v>
      </c>
    </row>
    <row r="394" spans="1:17" x14ac:dyDescent="0.3">
      <c r="A394">
        <v>51022866</v>
      </c>
      <c r="B394" t="str">
        <f>VLOOKUP(A394,ASESORES!$A$2:$B$993,2,0)</f>
        <v>ARGUELLO</v>
      </c>
      <c r="C394">
        <v>32556229.77</v>
      </c>
      <c r="D394">
        <v>48965181.640000001</v>
      </c>
      <c r="E394">
        <v>80987402.549999997</v>
      </c>
      <c r="F394">
        <v>72991604</v>
      </c>
      <c r="G394">
        <v>83358835</v>
      </c>
      <c r="H394">
        <v>89984277</v>
      </c>
      <c r="I394">
        <f t="shared" si="54"/>
        <v>1.2420164901053896</v>
      </c>
      <c r="J394">
        <f t="shared" si="55"/>
        <v>0.70241041099097212</v>
      </c>
      <c r="K394">
        <f t="shared" si="56"/>
        <v>0.11108980121254675</v>
      </c>
      <c r="L394">
        <f t="shared" si="57"/>
        <v>9.7663146172308863</v>
      </c>
      <c r="M394">
        <f t="shared" si="58"/>
        <v>5.5637588943762744</v>
      </c>
      <c r="N394">
        <f t="shared" si="59"/>
        <v>0.88362678991205179</v>
      </c>
      <c r="O394">
        <f t="shared" si="60"/>
        <v>96.730930427493718</v>
      </c>
      <c r="P394">
        <f t="shared" si="61"/>
        <v>88.935456831517172</v>
      </c>
      <c r="Q394">
        <f t="shared" si="62"/>
        <v>42.162615255658004</v>
      </c>
    </row>
    <row r="395" spans="1:17" x14ac:dyDescent="0.3">
      <c r="A395">
        <v>51017820</v>
      </c>
      <c r="B395" t="str">
        <f>VLOOKUP(A395,ASESORES!$A$2:$B$993,2,0)</f>
        <v>MONTENEGRO</v>
      </c>
      <c r="C395">
        <v>65716266.109999999</v>
      </c>
      <c r="D395">
        <v>95866262.739999995</v>
      </c>
      <c r="E395">
        <v>84577765.270000011</v>
      </c>
      <c r="F395">
        <v>79449022</v>
      </c>
      <c r="G395">
        <v>93989633</v>
      </c>
      <c r="H395">
        <v>89826221</v>
      </c>
      <c r="I395">
        <f t="shared" si="54"/>
        <v>0.20897042243716735</v>
      </c>
      <c r="J395">
        <f t="shared" si="55"/>
        <v>-1.9575497013893495E-2</v>
      </c>
      <c r="K395">
        <f t="shared" si="56"/>
        <v>6.2054793162779731E-2</v>
      </c>
      <c r="L395">
        <f t="shared" si="57"/>
        <v>1.6508848427352616</v>
      </c>
      <c r="M395">
        <f t="shared" si="58"/>
        <v>-0.15607700282755929</v>
      </c>
      <c r="N395">
        <f t="shared" si="59"/>
        <v>0.49354678612543429</v>
      </c>
      <c r="O395">
        <f t="shared" si="60"/>
        <v>42.414082145850799</v>
      </c>
      <c r="P395">
        <f t="shared" si="61"/>
        <v>9.8910310142497906</v>
      </c>
      <c r="Q395">
        <f t="shared" si="62"/>
        <v>37.217099748533109</v>
      </c>
    </row>
    <row r="396" spans="1:17" x14ac:dyDescent="0.3">
      <c r="A396">
        <v>51030761</v>
      </c>
      <c r="B396" t="str">
        <f>VLOOKUP(A396,ASESORES!$A$2:$B$993,2,0)</f>
        <v>LÓPEZ</v>
      </c>
      <c r="C396">
        <v>64621276.810000002</v>
      </c>
      <c r="D396">
        <v>73284465.430000007</v>
      </c>
      <c r="E396">
        <v>82719540.429999992</v>
      </c>
      <c r="F396">
        <v>64251009</v>
      </c>
      <c r="G396">
        <v>73802858</v>
      </c>
      <c r="H396">
        <v>89821407</v>
      </c>
      <c r="I396">
        <f t="shared" si="54"/>
        <v>-5.7298126604441446E-3</v>
      </c>
      <c r="J396">
        <f t="shared" si="55"/>
        <v>7.0737033688967887E-3</v>
      </c>
      <c r="K396">
        <f t="shared" si="56"/>
        <v>8.5854763373713894E-2</v>
      </c>
      <c r="L396">
        <f t="shared" si="57"/>
        <v>-4.4737689401526892E-2</v>
      </c>
      <c r="M396">
        <f t="shared" si="58"/>
        <v>5.5656415760872359E-2</v>
      </c>
      <c r="N396">
        <f t="shared" si="59"/>
        <v>0.68283554536496649</v>
      </c>
      <c r="O396">
        <f t="shared" si="60"/>
        <v>11.316010058675607</v>
      </c>
      <c r="P396">
        <f t="shared" si="61"/>
        <v>26.404023470243082</v>
      </c>
      <c r="Q396">
        <f t="shared" si="62"/>
        <v>39.480301760268233</v>
      </c>
    </row>
    <row r="397" spans="1:17" x14ac:dyDescent="0.3">
      <c r="A397">
        <v>51008294</v>
      </c>
      <c r="B397" t="str">
        <f>VLOOKUP(A397,ASESORES!$A$2:$B$993,2,0)</f>
        <v>NELLI</v>
      </c>
      <c r="C397">
        <v>29206857.260000002</v>
      </c>
      <c r="D397">
        <v>37655715.869999997</v>
      </c>
      <c r="E397">
        <v>48166045.530000001</v>
      </c>
      <c r="F397">
        <v>50448527</v>
      </c>
      <c r="G397">
        <v>76356587</v>
      </c>
      <c r="H397">
        <v>89811698</v>
      </c>
      <c r="I397">
        <f t="shared" si="54"/>
        <v>0.72728364955209823</v>
      </c>
      <c r="J397">
        <f t="shared" si="55"/>
        <v>1.02775555412645</v>
      </c>
      <c r="K397">
        <f t="shared" si="56"/>
        <v>0.86462677207040373</v>
      </c>
      <c r="L397">
        <f t="shared" si="57"/>
        <v>5.602155761895248</v>
      </c>
      <c r="M397">
        <f t="shared" si="58"/>
        <v>8.1016392809080902</v>
      </c>
      <c r="N397">
        <f t="shared" si="59"/>
        <v>6.8766645588705311</v>
      </c>
      <c r="O397">
        <f t="shared" si="60"/>
        <v>88.683989941324398</v>
      </c>
      <c r="P397">
        <f t="shared" si="61"/>
        <v>95.725062866722539</v>
      </c>
      <c r="Q397">
        <f t="shared" si="62"/>
        <v>96.311818943839057</v>
      </c>
    </row>
    <row r="398" spans="1:17" x14ac:dyDescent="0.3">
      <c r="A398">
        <v>51055501</v>
      </c>
      <c r="B398" t="str">
        <f>VLOOKUP(A398,ASESORES!$A$2:$B$993,2,0)</f>
        <v>LÓPEZ</v>
      </c>
      <c r="C398">
        <v>47281743.329999998</v>
      </c>
      <c r="D398">
        <v>69488097.430000007</v>
      </c>
      <c r="E398">
        <v>83865199.909999996</v>
      </c>
      <c r="F398">
        <v>57741534</v>
      </c>
      <c r="G398">
        <v>81499906</v>
      </c>
      <c r="H398">
        <v>89774679</v>
      </c>
      <c r="I398">
        <f t="shared" si="54"/>
        <v>0.22122261010971056</v>
      </c>
      <c r="J398">
        <f t="shared" si="55"/>
        <v>0.1728613822259315</v>
      </c>
      <c r="K398">
        <f t="shared" si="56"/>
        <v>7.0464019597422656E-2</v>
      </c>
      <c r="L398">
        <f t="shared" si="57"/>
        <v>1.7170167039232105</v>
      </c>
      <c r="M398">
        <f t="shared" si="58"/>
        <v>1.3675335526669683</v>
      </c>
      <c r="N398">
        <f t="shared" si="59"/>
        <v>0.56041118951785518</v>
      </c>
      <c r="O398">
        <f t="shared" si="60"/>
        <v>43.503772003352893</v>
      </c>
      <c r="P398">
        <f t="shared" si="61"/>
        <v>39.396479463537297</v>
      </c>
      <c r="Q398">
        <f t="shared" si="62"/>
        <v>38.055322715842415</v>
      </c>
    </row>
    <row r="399" spans="1:17" x14ac:dyDescent="0.3">
      <c r="A399">
        <v>51038886</v>
      </c>
      <c r="B399" t="str">
        <f>VLOOKUP(A399,ASESORES!$A$2:$B$993,2,0)</f>
        <v>LÓPEZ</v>
      </c>
      <c r="C399">
        <v>25000213.699999999</v>
      </c>
      <c r="D399">
        <v>33941409.520000003</v>
      </c>
      <c r="E399">
        <v>45217025.299999997</v>
      </c>
      <c r="F399">
        <v>52976361</v>
      </c>
      <c r="G399">
        <v>63780718</v>
      </c>
      <c r="H399">
        <v>89772940</v>
      </c>
      <c r="I399">
        <f t="shared" si="54"/>
        <v>1.1190363264774814</v>
      </c>
      <c r="J399">
        <f t="shared" si="55"/>
        <v>0.87914170041810324</v>
      </c>
      <c r="K399">
        <f t="shared" si="56"/>
        <v>0.98537916646188584</v>
      </c>
      <c r="L399">
        <f t="shared" si="57"/>
        <v>8.6435284841723519</v>
      </c>
      <c r="M399">
        <f t="shared" si="58"/>
        <v>6.8614279138033076</v>
      </c>
      <c r="N399">
        <f t="shared" si="59"/>
        <v>7.8368638325487501</v>
      </c>
      <c r="O399">
        <f t="shared" si="60"/>
        <v>95.892707460184411</v>
      </c>
      <c r="P399">
        <f t="shared" si="61"/>
        <v>93.378038558256492</v>
      </c>
      <c r="Q399">
        <f t="shared" si="62"/>
        <v>96.898575020955576</v>
      </c>
    </row>
    <row r="400" spans="1:17" x14ac:dyDescent="0.3">
      <c r="A400">
        <v>51020316</v>
      </c>
      <c r="B400" t="str">
        <f>VLOOKUP(A400,ASESORES!$A$2:$B$993,2,0)</f>
        <v>BELUZZO</v>
      </c>
      <c r="C400">
        <v>39675514.840000004</v>
      </c>
      <c r="D400">
        <v>51217859.979999997</v>
      </c>
      <c r="E400">
        <v>66248165.299999997</v>
      </c>
      <c r="F400">
        <v>51274504</v>
      </c>
      <c r="G400">
        <v>76148234</v>
      </c>
      <c r="H400">
        <v>88948375</v>
      </c>
      <c r="I400">
        <f t="shared" si="54"/>
        <v>0.29234627973387117</v>
      </c>
      <c r="J400">
        <f t="shared" si="55"/>
        <v>0.48675157512896949</v>
      </c>
      <c r="K400">
        <f t="shared" si="56"/>
        <v>0.34265416403916626</v>
      </c>
      <c r="L400">
        <f t="shared" si="57"/>
        <v>2.2539610112687862</v>
      </c>
      <c r="M400">
        <f t="shared" si="58"/>
        <v>3.8364103397070815</v>
      </c>
      <c r="N400">
        <f t="shared" si="59"/>
        <v>2.7238052425117618</v>
      </c>
      <c r="O400">
        <f t="shared" si="60"/>
        <v>51.550712489522212</v>
      </c>
      <c r="P400">
        <f t="shared" si="61"/>
        <v>74.0989103101425</v>
      </c>
      <c r="Q400">
        <f t="shared" si="62"/>
        <v>69.321039396479463</v>
      </c>
    </row>
    <row r="401" spans="1:17" x14ac:dyDescent="0.3">
      <c r="A401">
        <v>51055675</v>
      </c>
      <c r="B401" t="str">
        <f>VLOOKUP(A401,ASESORES!$A$2:$B$993,2,0)</f>
        <v>PRADES</v>
      </c>
      <c r="C401">
        <v>29100010.420000002</v>
      </c>
      <c r="D401">
        <v>38745099.299999997</v>
      </c>
      <c r="E401">
        <v>58556580.399999991</v>
      </c>
      <c r="F401">
        <v>66016266</v>
      </c>
      <c r="G401">
        <v>73114249</v>
      </c>
      <c r="H401">
        <v>88939527</v>
      </c>
      <c r="I401">
        <f t="shared" si="54"/>
        <v>1.2685993938554745</v>
      </c>
      <c r="J401">
        <f t="shared" si="55"/>
        <v>0.88705798464684804</v>
      </c>
      <c r="K401">
        <f t="shared" si="56"/>
        <v>0.51886476963740202</v>
      </c>
      <c r="L401">
        <f t="shared" si="57"/>
        <v>9.9200044632013658</v>
      </c>
      <c r="M401">
        <f t="shared" si="58"/>
        <v>6.975825786185788</v>
      </c>
      <c r="N401">
        <f t="shared" si="59"/>
        <v>4.124505250241902</v>
      </c>
      <c r="O401">
        <f t="shared" si="60"/>
        <v>96.982397317686505</v>
      </c>
      <c r="P401">
        <f t="shared" si="61"/>
        <v>93.797150041911152</v>
      </c>
      <c r="Q401">
        <f t="shared" si="62"/>
        <v>85.247275775356243</v>
      </c>
    </row>
    <row r="402" spans="1:17" x14ac:dyDescent="0.3">
      <c r="A402">
        <v>51012577</v>
      </c>
      <c r="B402" t="str">
        <f>VLOOKUP(A402,ASESORES!$A$2:$B$993,2,0)</f>
        <v>PRADES</v>
      </c>
      <c r="C402">
        <v>22234345.440000001</v>
      </c>
      <c r="D402">
        <v>34488621.240000002</v>
      </c>
      <c r="E402">
        <v>30965664</v>
      </c>
      <c r="F402">
        <v>44041844</v>
      </c>
      <c r="G402">
        <v>94418768</v>
      </c>
      <c r="H402">
        <v>88899622</v>
      </c>
      <c r="I402">
        <f t="shared" si="54"/>
        <v>0.98080236357072614</v>
      </c>
      <c r="J402">
        <f t="shared" si="55"/>
        <v>1.7376788229067515</v>
      </c>
      <c r="K402">
        <f t="shared" si="56"/>
        <v>1.8709095984507229</v>
      </c>
      <c r="L402">
        <f t="shared" si="57"/>
        <v>7.4971213436013597</v>
      </c>
      <c r="M402">
        <f t="shared" si="58"/>
        <v>13.858089970353777</v>
      </c>
      <c r="N402">
        <f t="shared" si="59"/>
        <v>14.871673146899935</v>
      </c>
      <c r="O402">
        <f t="shared" si="60"/>
        <v>94.635373009220459</v>
      </c>
      <c r="P402">
        <f t="shared" si="61"/>
        <v>98.742665549036047</v>
      </c>
      <c r="Q402">
        <f t="shared" si="62"/>
        <v>99.077954735959764</v>
      </c>
    </row>
    <row r="403" spans="1:17" x14ac:dyDescent="0.3">
      <c r="A403">
        <v>51017706</v>
      </c>
      <c r="B403" t="str">
        <f>VLOOKUP(A403,ASESORES!$A$2:$B$993,2,0)</f>
        <v>ROBERTS</v>
      </c>
      <c r="C403">
        <v>31363425.600000001</v>
      </c>
      <c r="D403">
        <v>41313774.549999997</v>
      </c>
      <c r="E403">
        <v>53678356.399999999</v>
      </c>
      <c r="F403">
        <v>44947843</v>
      </c>
      <c r="G403">
        <v>69847043</v>
      </c>
      <c r="H403">
        <v>88639376</v>
      </c>
      <c r="I403">
        <f t="shared" si="54"/>
        <v>0.4331292625127019</v>
      </c>
      <c r="J403">
        <f t="shared" si="55"/>
        <v>0.6906478229305244</v>
      </c>
      <c r="K403">
        <f t="shared" si="56"/>
        <v>0.65130570205014693</v>
      </c>
      <c r="L403">
        <f t="shared" si="57"/>
        <v>3.3146121426906716</v>
      </c>
      <c r="M403">
        <f t="shared" si="58"/>
        <v>5.417543756089704</v>
      </c>
      <c r="N403">
        <f t="shared" si="59"/>
        <v>5.1763345810058361</v>
      </c>
      <c r="O403">
        <f t="shared" si="60"/>
        <v>68.901927912824817</v>
      </c>
      <c r="P403">
        <f t="shared" si="61"/>
        <v>87.59430008382229</v>
      </c>
      <c r="Q403">
        <f t="shared" si="62"/>
        <v>92.120704107292539</v>
      </c>
    </row>
    <row r="404" spans="1:17" x14ac:dyDescent="0.3">
      <c r="A404">
        <v>51011236</v>
      </c>
      <c r="B404" t="str">
        <f>VLOOKUP(A404,ASESORES!$A$2:$B$993,2,0)</f>
        <v>ARGUELLO</v>
      </c>
      <c r="C404">
        <v>37217765.450000003</v>
      </c>
      <c r="D404">
        <v>55532017.950000003</v>
      </c>
      <c r="E404">
        <v>76789173.840000004</v>
      </c>
      <c r="F404">
        <v>62223180</v>
      </c>
      <c r="G404">
        <v>76155280</v>
      </c>
      <c r="H404">
        <v>88468841</v>
      </c>
      <c r="I404">
        <f t="shared" si="54"/>
        <v>0.67186770209494129</v>
      </c>
      <c r="J404">
        <f t="shared" si="55"/>
        <v>0.37137606035798654</v>
      </c>
      <c r="K404">
        <f t="shared" si="56"/>
        <v>0.15210044041281212</v>
      </c>
      <c r="L404">
        <f t="shared" si="57"/>
        <v>5.2365047565639617</v>
      </c>
      <c r="M404">
        <f t="shared" si="58"/>
        <v>2.9270747020662444</v>
      </c>
      <c r="N404">
        <f t="shared" si="59"/>
        <v>1.2087103102423966</v>
      </c>
      <c r="O404">
        <f t="shared" si="60"/>
        <v>86.839899413243927</v>
      </c>
      <c r="P404">
        <f t="shared" si="61"/>
        <v>62.028499580888521</v>
      </c>
      <c r="Q404">
        <f t="shared" si="62"/>
        <v>46.940486169321041</v>
      </c>
    </row>
    <row r="405" spans="1:17" x14ac:dyDescent="0.3">
      <c r="A405">
        <v>51030524</v>
      </c>
      <c r="B405" t="str">
        <f>VLOOKUP(A405,ASESORES!$A$2:$B$993,2,0)</f>
        <v>AYALA</v>
      </c>
      <c r="C405">
        <v>82951073.780000001</v>
      </c>
      <c r="D405">
        <v>98786196.340000004</v>
      </c>
      <c r="E405">
        <v>117679284.58</v>
      </c>
      <c r="F405">
        <v>99664775</v>
      </c>
      <c r="G405">
        <v>100887982</v>
      </c>
      <c r="H405">
        <v>88449913</v>
      </c>
      <c r="I405">
        <f t="shared" si="54"/>
        <v>0.2014886662507529</v>
      </c>
      <c r="J405">
        <f t="shared" si="55"/>
        <v>2.127610676258973E-2</v>
      </c>
      <c r="K405">
        <f t="shared" si="56"/>
        <v>-0.24838162200186953</v>
      </c>
      <c r="L405">
        <f t="shared" si="57"/>
        <v>1.6116154971993701</v>
      </c>
      <c r="M405">
        <f t="shared" si="58"/>
        <v>0.1702905423338742</v>
      </c>
      <c r="N405">
        <f t="shared" si="59"/>
        <v>-1.9738135922713993</v>
      </c>
      <c r="O405">
        <f t="shared" si="60"/>
        <v>41.408214585079634</v>
      </c>
      <c r="P405">
        <f t="shared" si="61"/>
        <v>27.661357921207042</v>
      </c>
      <c r="Q405">
        <f t="shared" si="62"/>
        <v>4.1911148365465216</v>
      </c>
    </row>
    <row r="406" spans="1:17" x14ac:dyDescent="0.3">
      <c r="A406">
        <v>51003365</v>
      </c>
      <c r="B406" t="str">
        <f>VLOOKUP(A406,ASESORES!$A$2:$B$993,2,0)</f>
        <v>ARGUELLO</v>
      </c>
      <c r="C406">
        <v>34721233.649999999</v>
      </c>
      <c r="D406">
        <v>53232661.299999997</v>
      </c>
      <c r="E406">
        <v>64123826.939999998</v>
      </c>
      <c r="F406">
        <v>50656435</v>
      </c>
      <c r="G406">
        <v>64412315</v>
      </c>
      <c r="H406">
        <v>88263124</v>
      </c>
      <c r="I406">
        <f t="shared" si="54"/>
        <v>0.45894686550113417</v>
      </c>
      <c r="J406">
        <f t="shared" si="55"/>
        <v>0.21001493119037429</v>
      </c>
      <c r="K406">
        <f t="shared" si="56"/>
        <v>0.37644816617989596</v>
      </c>
      <c r="L406">
        <f t="shared" si="57"/>
        <v>3.5360179098729101</v>
      </c>
      <c r="M406">
        <f t="shared" si="58"/>
        <v>1.6400000679075115</v>
      </c>
      <c r="N406">
        <f t="shared" si="59"/>
        <v>2.9911740444262032</v>
      </c>
      <c r="O406">
        <f t="shared" si="60"/>
        <v>71.500419111483666</v>
      </c>
      <c r="P406">
        <f t="shared" si="61"/>
        <v>43.587594300083822</v>
      </c>
      <c r="Q406">
        <f t="shared" si="62"/>
        <v>73.763621123218783</v>
      </c>
    </row>
    <row r="407" spans="1:17" x14ac:dyDescent="0.3">
      <c r="A407">
        <v>51031989</v>
      </c>
      <c r="B407" t="str">
        <f>VLOOKUP(A407,ASESORES!$A$2:$B$993,2,0)</f>
        <v>MONTENEGRO</v>
      </c>
      <c r="C407">
        <v>50439886.939999998</v>
      </c>
      <c r="D407">
        <v>64543692.479999997</v>
      </c>
      <c r="E407">
        <v>81890623.88000001</v>
      </c>
      <c r="F407">
        <v>71490097</v>
      </c>
      <c r="G407">
        <v>92779924</v>
      </c>
      <c r="H407">
        <v>88236527</v>
      </c>
      <c r="I407">
        <f t="shared" si="54"/>
        <v>0.41733261783556252</v>
      </c>
      <c r="J407">
        <f t="shared" si="55"/>
        <v>0.43747468474552331</v>
      </c>
      <c r="K407">
        <f t="shared" si="56"/>
        <v>7.7492426108501489E-2</v>
      </c>
      <c r="L407">
        <f t="shared" si="57"/>
        <v>3.2778329968666546</v>
      </c>
      <c r="M407">
        <f t="shared" si="58"/>
        <v>3.4855594323138965</v>
      </c>
      <c r="N407">
        <f t="shared" si="59"/>
        <v>0.6157275719773343</v>
      </c>
      <c r="O407">
        <f t="shared" si="60"/>
        <v>68.398994132439228</v>
      </c>
      <c r="P407">
        <f t="shared" si="61"/>
        <v>69.823973176865053</v>
      </c>
      <c r="Q407">
        <f t="shared" si="62"/>
        <v>38.725901089689856</v>
      </c>
    </row>
    <row r="408" spans="1:17" x14ac:dyDescent="0.3">
      <c r="A408">
        <v>51010922</v>
      </c>
      <c r="B408" t="str">
        <f>VLOOKUP(A408,ASESORES!$A$2:$B$993,2,0)</f>
        <v>MONTENEGRO</v>
      </c>
      <c r="C408">
        <v>41380524.780000001</v>
      </c>
      <c r="D408">
        <v>57197343.299999997</v>
      </c>
      <c r="E408">
        <v>68665598.090000004</v>
      </c>
      <c r="F408">
        <v>55532044</v>
      </c>
      <c r="G408">
        <v>74856846</v>
      </c>
      <c r="H408">
        <v>88183320</v>
      </c>
      <c r="I408">
        <f t="shared" si="54"/>
        <v>0.3419850109498781</v>
      </c>
      <c r="J408">
        <f t="shared" si="55"/>
        <v>0.30874690468359578</v>
      </c>
      <c r="K408">
        <f t="shared" si="56"/>
        <v>0.28424309192527697</v>
      </c>
      <c r="L408">
        <f t="shared" si="57"/>
        <v>2.6485178480572285</v>
      </c>
      <c r="M408">
        <f t="shared" si="58"/>
        <v>2.4311446100151661</v>
      </c>
      <c r="N408">
        <f t="shared" si="59"/>
        <v>2.2584212098052787</v>
      </c>
      <c r="O408">
        <f t="shared" si="60"/>
        <v>58.17267393126572</v>
      </c>
      <c r="P408">
        <f t="shared" si="61"/>
        <v>54.316848281642919</v>
      </c>
      <c r="Q408">
        <f t="shared" si="62"/>
        <v>62.699077954735962</v>
      </c>
    </row>
    <row r="409" spans="1:17" x14ac:dyDescent="0.3">
      <c r="A409">
        <v>51040031</v>
      </c>
      <c r="B409" t="str">
        <f>VLOOKUP(A409,ASESORES!$A$2:$B$993,2,0)</f>
        <v>MONTENEGRO</v>
      </c>
      <c r="C409">
        <v>37783697.25</v>
      </c>
      <c r="D409">
        <v>45565607.010000013</v>
      </c>
      <c r="E409">
        <v>56014561.319999993</v>
      </c>
      <c r="F409">
        <v>52422175</v>
      </c>
      <c r="G409">
        <v>74467160</v>
      </c>
      <c r="H409">
        <v>87811467</v>
      </c>
      <c r="I409">
        <f t="shared" si="54"/>
        <v>0.38742841001352768</v>
      </c>
      <c r="J409">
        <f t="shared" si="55"/>
        <v>0.63428438435281098</v>
      </c>
      <c r="K409">
        <f t="shared" si="56"/>
        <v>0.5676542836486862</v>
      </c>
      <c r="L409">
        <f t="shared" si="57"/>
        <v>2.9907594364324166</v>
      </c>
      <c r="M409">
        <f t="shared" si="58"/>
        <v>4.9930643412350344</v>
      </c>
      <c r="N409">
        <f t="shared" si="59"/>
        <v>4.5091908845935444</v>
      </c>
      <c r="O409">
        <f t="shared" si="60"/>
        <v>63.704945515507127</v>
      </c>
      <c r="P409">
        <f t="shared" si="61"/>
        <v>84.744341994970668</v>
      </c>
      <c r="Q409">
        <f t="shared" si="62"/>
        <v>88.432523051131611</v>
      </c>
    </row>
    <row r="410" spans="1:17" x14ac:dyDescent="0.3">
      <c r="A410">
        <v>51027108</v>
      </c>
      <c r="B410" t="str">
        <f>VLOOKUP(A410,ASESORES!$A$2:$B$993,2,0)</f>
        <v>PRADES</v>
      </c>
      <c r="C410">
        <v>36132215.489999987</v>
      </c>
      <c r="D410">
        <v>50116275.040000007</v>
      </c>
      <c r="E410">
        <v>66542379.799999997</v>
      </c>
      <c r="F410">
        <v>46728484</v>
      </c>
      <c r="G410">
        <v>64637532</v>
      </c>
      <c r="H410">
        <v>87706839</v>
      </c>
      <c r="I410">
        <f t="shared" si="54"/>
        <v>0.29326373615071155</v>
      </c>
      <c r="J410">
        <f t="shared" si="55"/>
        <v>0.28975132226826394</v>
      </c>
      <c r="K410">
        <f t="shared" si="56"/>
        <v>0.31805984792867292</v>
      </c>
      <c r="L410">
        <f t="shared" si="57"/>
        <v>2.2492101815771743</v>
      </c>
      <c r="M410">
        <f t="shared" si="58"/>
        <v>2.2630982884425257</v>
      </c>
      <c r="N410">
        <f t="shared" si="59"/>
        <v>2.5263600140911362</v>
      </c>
      <c r="O410">
        <f t="shared" si="60"/>
        <v>51.215423302598495</v>
      </c>
      <c r="P410">
        <f t="shared" si="61"/>
        <v>51.802179379715007</v>
      </c>
      <c r="Q410">
        <f t="shared" si="62"/>
        <v>66.471081307627827</v>
      </c>
    </row>
    <row r="411" spans="1:17" x14ac:dyDescent="0.3">
      <c r="A411">
        <v>51022971</v>
      </c>
      <c r="B411" t="str">
        <f>VLOOKUP(A411,ASESORES!$A$2:$B$993,2,0)</f>
        <v>AYALA</v>
      </c>
      <c r="C411">
        <v>48903938.560000002</v>
      </c>
      <c r="D411">
        <v>56672146.630000003</v>
      </c>
      <c r="E411">
        <v>64824917.189999998</v>
      </c>
      <c r="F411">
        <v>54387624</v>
      </c>
      <c r="G411">
        <v>80722334</v>
      </c>
      <c r="H411">
        <v>87537255</v>
      </c>
      <c r="I411">
        <f t="shared" si="54"/>
        <v>0.11213177509766603</v>
      </c>
      <c r="J411">
        <f t="shared" si="55"/>
        <v>0.4243740320446725</v>
      </c>
      <c r="K411">
        <f t="shared" si="56"/>
        <v>0.35036431660114253</v>
      </c>
      <c r="L411">
        <f t="shared" si="57"/>
        <v>0.86739535596325812</v>
      </c>
      <c r="M411">
        <f t="shared" si="58"/>
        <v>3.3555228023069255</v>
      </c>
      <c r="N411">
        <f t="shared" si="59"/>
        <v>2.7826609960793904</v>
      </c>
      <c r="O411">
        <f t="shared" si="60"/>
        <v>31.09807208717519</v>
      </c>
      <c r="P411">
        <f t="shared" si="61"/>
        <v>67.979882648784567</v>
      </c>
      <c r="Q411">
        <f t="shared" si="62"/>
        <v>70.243084660519699</v>
      </c>
    </row>
    <row r="412" spans="1:17" x14ac:dyDescent="0.3">
      <c r="A412">
        <v>51023005</v>
      </c>
      <c r="B412" t="str">
        <f>VLOOKUP(A412,ASESORES!$A$2:$B$993,2,0)</f>
        <v>ROBERTS</v>
      </c>
      <c r="C412">
        <v>44136978.140000001</v>
      </c>
      <c r="D412">
        <v>47559903.649999999</v>
      </c>
      <c r="E412">
        <v>56053017.319999993</v>
      </c>
      <c r="F412">
        <v>55697860</v>
      </c>
      <c r="G412">
        <v>76679370</v>
      </c>
      <c r="H412">
        <v>87281433</v>
      </c>
      <c r="I412">
        <f t="shared" si="54"/>
        <v>0.26193188449217186</v>
      </c>
      <c r="J412">
        <f t="shared" si="55"/>
        <v>0.61226924605008115</v>
      </c>
      <c r="K412">
        <f t="shared" si="56"/>
        <v>0.55712283072507418</v>
      </c>
      <c r="L412">
        <f t="shared" si="57"/>
        <v>2.0288820776900423</v>
      </c>
      <c r="M412">
        <f t="shared" si="58"/>
        <v>4.8275461826110497</v>
      </c>
      <c r="N412">
        <f t="shared" si="59"/>
        <v>4.4240688696403199</v>
      </c>
      <c r="O412">
        <f t="shared" si="60"/>
        <v>47.443419949706623</v>
      </c>
      <c r="P412">
        <f t="shared" si="61"/>
        <v>83.487007544006701</v>
      </c>
      <c r="Q412">
        <f t="shared" si="62"/>
        <v>87.426655490360446</v>
      </c>
    </row>
    <row r="413" spans="1:17" x14ac:dyDescent="0.3">
      <c r="A413">
        <v>51002610</v>
      </c>
      <c r="B413" t="str">
        <f>VLOOKUP(A413,ASESORES!$A$2:$B$993,2,0)</f>
        <v>MONTENEGRO</v>
      </c>
      <c r="C413">
        <v>37462660.479999997</v>
      </c>
      <c r="D413">
        <v>57908431.520000003</v>
      </c>
      <c r="E413">
        <v>70021737.810000002</v>
      </c>
      <c r="F413">
        <v>74805358</v>
      </c>
      <c r="G413">
        <v>75397887</v>
      </c>
      <c r="H413">
        <v>87093750</v>
      </c>
      <c r="I413">
        <f t="shared" si="54"/>
        <v>0.99679779923628131</v>
      </c>
      <c r="J413">
        <f t="shared" si="55"/>
        <v>0.30201915370406152</v>
      </c>
      <c r="K413">
        <f t="shared" si="56"/>
        <v>0.24381017558181628</v>
      </c>
      <c r="L413">
        <f t="shared" si="57"/>
        <v>7.8487187923816535</v>
      </c>
      <c r="M413">
        <f t="shared" si="58"/>
        <v>2.3791133514823892</v>
      </c>
      <c r="N413">
        <f t="shared" si="59"/>
        <v>1.9358496222451516</v>
      </c>
      <c r="O413">
        <f t="shared" si="60"/>
        <v>95.138306789606034</v>
      </c>
      <c r="P413">
        <f t="shared" si="61"/>
        <v>53.310980720871747</v>
      </c>
      <c r="Q413">
        <f t="shared" si="62"/>
        <v>57.41827326068735</v>
      </c>
    </row>
    <row r="414" spans="1:17" x14ac:dyDescent="0.3">
      <c r="A414">
        <v>51056116</v>
      </c>
      <c r="B414" t="str">
        <f>VLOOKUP(A414,ASESORES!$A$2:$B$993,2,0)</f>
        <v>MONTENEGRO</v>
      </c>
      <c r="C414">
        <v>29026457.600000001</v>
      </c>
      <c r="D414">
        <v>38143461.369999997</v>
      </c>
      <c r="E414">
        <v>49398653.950000003</v>
      </c>
      <c r="F414">
        <v>36669026</v>
      </c>
      <c r="G414">
        <v>79311630</v>
      </c>
      <c r="H414">
        <v>86802013</v>
      </c>
      <c r="I414">
        <f t="shared" si="54"/>
        <v>0.26329662769458984</v>
      </c>
      <c r="J414">
        <f t="shared" si="55"/>
        <v>1.0792981850980872</v>
      </c>
      <c r="K414">
        <f t="shared" si="56"/>
        <v>0.75717364865566328</v>
      </c>
      <c r="L414">
        <f t="shared" si="57"/>
        <v>1.9916545161558659</v>
      </c>
      <c r="M414">
        <f t="shared" si="58"/>
        <v>8.5257399532276299</v>
      </c>
      <c r="N414">
        <f t="shared" si="59"/>
        <v>6.0108455712722266</v>
      </c>
      <c r="O414">
        <f t="shared" si="60"/>
        <v>46.437552388935458</v>
      </c>
      <c r="P414">
        <f t="shared" si="61"/>
        <v>96.227996647108128</v>
      </c>
      <c r="Q414">
        <f t="shared" si="62"/>
        <v>94.719195305951388</v>
      </c>
    </row>
    <row r="415" spans="1:17" x14ac:dyDescent="0.3">
      <c r="A415">
        <v>51020979</v>
      </c>
      <c r="B415" t="str">
        <f>VLOOKUP(A415,ASESORES!$A$2:$B$993,2,0)</f>
        <v>NELLI</v>
      </c>
      <c r="C415">
        <v>31065298.510000002</v>
      </c>
      <c r="D415">
        <v>45149019.140000001</v>
      </c>
      <c r="E415">
        <v>64094291.359999999</v>
      </c>
      <c r="F415">
        <v>53631621</v>
      </c>
      <c r="G415">
        <v>70910215</v>
      </c>
      <c r="H415">
        <v>86758894</v>
      </c>
      <c r="I415">
        <f t="shared" si="54"/>
        <v>0.72641576203543767</v>
      </c>
      <c r="J415">
        <f t="shared" si="55"/>
        <v>0.57058151762098275</v>
      </c>
      <c r="K415">
        <f t="shared" si="56"/>
        <v>0.35361343668969147</v>
      </c>
      <c r="L415">
        <f t="shared" si="57"/>
        <v>5.6147731902984086</v>
      </c>
      <c r="M415">
        <f t="shared" si="58"/>
        <v>4.4794693427361754</v>
      </c>
      <c r="N415">
        <f t="shared" si="59"/>
        <v>2.8070944975383547</v>
      </c>
      <c r="O415">
        <f t="shared" si="60"/>
        <v>88.935456831517172</v>
      </c>
      <c r="P415">
        <f t="shared" si="61"/>
        <v>80.05029337803856</v>
      </c>
      <c r="Q415">
        <f t="shared" si="62"/>
        <v>70.410729253981557</v>
      </c>
    </row>
    <row r="416" spans="1:17" x14ac:dyDescent="0.3">
      <c r="A416">
        <v>51015207</v>
      </c>
      <c r="B416" t="str">
        <f>VLOOKUP(A416,ASESORES!$A$2:$B$993,2,0)</f>
        <v>NELLI</v>
      </c>
      <c r="C416">
        <v>38719919.560000002</v>
      </c>
      <c r="D416">
        <v>51937228.82</v>
      </c>
      <c r="E416">
        <v>78900585.200000003</v>
      </c>
      <c r="F416">
        <v>57510818</v>
      </c>
      <c r="G416">
        <v>73234124</v>
      </c>
      <c r="H416">
        <v>86718670</v>
      </c>
      <c r="I416">
        <f t="shared" si="54"/>
        <v>0.48530313733947228</v>
      </c>
      <c r="J416">
        <f t="shared" si="55"/>
        <v>0.4100506643088162</v>
      </c>
      <c r="K416">
        <f t="shared" si="56"/>
        <v>9.9087792317160028E-2</v>
      </c>
      <c r="L416">
        <f t="shared" si="57"/>
        <v>3.7658307990553985</v>
      </c>
      <c r="M416">
        <f t="shared" si="58"/>
        <v>3.2249309916050386</v>
      </c>
      <c r="N416">
        <f t="shared" si="59"/>
        <v>0.78657005354050091</v>
      </c>
      <c r="O416">
        <f t="shared" si="60"/>
        <v>74.937133277451807</v>
      </c>
      <c r="P416">
        <f t="shared" si="61"/>
        <v>65.968147527242252</v>
      </c>
      <c r="Q416">
        <f t="shared" si="62"/>
        <v>41.07292539815591</v>
      </c>
    </row>
    <row r="417" spans="1:17" x14ac:dyDescent="0.3">
      <c r="A417">
        <v>51007549</v>
      </c>
      <c r="B417" t="str">
        <f>VLOOKUP(A417,ASESORES!$A$2:$B$993,2,0)</f>
        <v>MONTENEGRO</v>
      </c>
      <c r="C417">
        <v>54277458.859999999</v>
      </c>
      <c r="D417">
        <v>63947382.530000001</v>
      </c>
      <c r="E417">
        <v>83062808.070000008</v>
      </c>
      <c r="F417">
        <v>79838251</v>
      </c>
      <c r="G417">
        <v>80997267</v>
      </c>
      <c r="H417">
        <v>86665609</v>
      </c>
      <c r="I417">
        <f t="shared" si="54"/>
        <v>0.47092831309457517</v>
      </c>
      <c r="J417">
        <f t="shared" si="55"/>
        <v>0.26662364893514279</v>
      </c>
      <c r="K417">
        <f t="shared" si="56"/>
        <v>4.3374417669142407E-2</v>
      </c>
      <c r="L417">
        <f t="shared" si="57"/>
        <v>3.7213749027214242</v>
      </c>
      <c r="M417">
        <f t="shared" si="58"/>
        <v>2.1085852262687759</v>
      </c>
      <c r="N417">
        <f t="shared" si="59"/>
        <v>0.34429948220000112</v>
      </c>
      <c r="O417">
        <f t="shared" si="60"/>
        <v>74.350377200335288</v>
      </c>
      <c r="P417">
        <f t="shared" si="61"/>
        <v>50.125733445096401</v>
      </c>
      <c r="Q417">
        <f t="shared" si="62"/>
        <v>35.540653813914503</v>
      </c>
    </row>
    <row r="418" spans="1:17" x14ac:dyDescent="0.3">
      <c r="A418">
        <v>51032624</v>
      </c>
      <c r="B418" t="str">
        <f>VLOOKUP(A418,ASESORES!$A$2:$B$993,2,0)</f>
        <v>NELLI</v>
      </c>
      <c r="C418">
        <v>56396315.439999998</v>
      </c>
      <c r="D418">
        <v>53125228.780000009</v>
      </c>
      <c r="E418">
        <v>63095041.599999987</v>
      </c>
      <c r="F418">
        <v>60191096</v>
      </c>
      <c r="G418">
        <v>69510584</v>
      </c>
      <c r="H418">
        <v>86552908</v>
      </c>
      <c r="I418">
        <f t="shared" si="54"/>
        <v>6.7287739108369049E-2</v>
      </c>
      <c r="J418">
        <f t="shared" si="55"/>
        <v>0.30842888767320598</v>
      </c>
      <c r="K418">
        <f t="shared" si="56"/>
        <v>0.3717862102178251</v>
      </c>
      <c r="L418">
        <f t="shared" si="57"/>
        <v>0.52346713651217203</v>
      </c>
      <c r="M418">
        <f t="shared" si="58"/>
        <v>2.4187150476658159</v>
      </c>
      <c r="N418">
        <f t="shared" si="59"/>
        <v>2.9509718692377365</v>
      </c>
      <c r="O418">
        <f t="shared" si="60"/>
        <v>27.577535624476113</v>
      </c>
      <c r="P418">
        <f t="shared" si="61"/>
        <v>54.065381391450131</v>
      </c>
      <c r="Q418">
        <f t="shared" si="62"/>
        <v>73.093042749371335</v>
      </c>
    </row>
    <row r="419" spans="1:17" x14ac:dyDescent="0.3">
      <c r="A419">
        <v>51002555</v>
      </c>
      <c r="B419" t="str">
        <f>VLOOKUP(A419,ASESORES!$A$2:$B$993,2,0)</f>
        <v>BELUZZO</v>
      </c>
      <c r="C419">
        <v>36554271.07</v>
      </c>
      <c r="D419">
        <v>52907275.799999997</v>
      </c>
      <c r="E419">
        <v>70875522.75999999</v>
      </c>
      <c r="F419">
        <v>47105501</v>
      </c>
      <c r="G419">
        <v>71180910</v>
      </c>
      <c r="H419">
        <v>86544593</v>
      </c>
      <c r="I419">
        <f t="shared" si="54"/>
        <v>0.28864561161115221</v>
      </c>
      <c r="J419">
        <f t="shared" si="55"/>
        <v>0.34538981498646737</v>
      </c>
      <c r="K419">
        <f t="shared" si="56"/>
        <v>0.2210787254869202</v>
      </c>
      <c r="L419">
        <f t="shared" si="57"/>
        <v>2.2147984527637656</v>
      </c>
      <c r="M419">
        <f t="shared" si="58"/>
        <v>2.7121263888591742</v>
      </c>
      <c r="N419">
        <f t="shared" si="59"/>
        <v>1.7547548897916991</v>
      </c>
      <c r="O419">
        <f t="shared" si="60"/>
        <v>50.628667225481983</v>
      </c>
      <c r="P419">
        <f t="shared" si="61"/>
        <v>58.675607711651303</v>
      </c>
      <c r="Q419">
        <f t="shared" si="62"/>
        <v>55.322715842414084</v>
      </c>
    </row>
    <row r="420" spans="1:17" x14ac:dyDescent="0.3">
      <c r="A420">
        <v>51029879</v>
      </c>
      <c r="B420" t="str">
        <f>VLOOKUP(A420,ASESORES!$A$2:$B$993,2,0)</f>
        <v>LÓPEZ</v>
      </c>
      <c r="C420">
        <v>40351257.93</v>
      </c>
      <c r="D420">
        <v>52670634.600000001</v>
      </c>
      <c r="E420">
        <v>73188853.099999994</v>
      </c>
      <c r="F420">
        <v>63560202</v>
      </c>
      <c r="G420">
        <v>84432737</v>
      </c>
      <c r="H420">
        <v>86526696</v>
      </c>
      <c r="I420">
        <f t="shared" si="54"/>
        <v>0.57517275199355855</v>
      </c>
      <c r="J420">
        <f t="shared" si="55"/>
        <v>0.60303246089994889</v>
      </c>
      <c r="K420">
        <f t="shared" si="56"/>
        <v>0.18223871990146012</v>
      </c>
      <c r="L420">
        <f t="shared" si="57"/>
        <v>4.4881795453506985</v>
      </c>
      <c r="M420">
        <f t="shared" si="58"/>
        <v>4.7799433549218735</v>
      </c>
      <c r="N420">
        <f t="shared" si="59"/>
        <v>1.4464560776450857</v>
      </c>
      <c r="O420">
        <f t="shared" si="60"/>
        <v>81.559094719195301</v>
      </c>
      <c r="P420">
        <f t="shared" si="61"/>
        <v>82.816429170159267</v>
      </c>
      <c r="Q420">
        <f t="shared" si="62"/>
        <v>50.880134115674771</v>
      </c>
    </row>
    <row r="421" spans="1:17" x14ac:dyDescent="0.3">
      <c r="A421">
        <v>51011147</v>
      </c>
      <c r="B421" t="str">
        <f>VLOOKUP(A421,ASESORES!$A$2:$B$993,2,0)</f>
        <v>ROBERTS</v>
      </c>
      <c r="C421">
        <v>69969736.959999993</v>
      </c>
      <c r="D421">
        <v>85261246.210000008</v>
      </c>
      <c r="E421">
        <v>135515556.22</v>
      </c>
      <c r="F421">
        <v>85924792</v>
      </c>
      <c r="G421">
        <v>96635599</v>
      </c>
      <c r="H421">
        <v>86412772</v>
      </c>
      <c r="I421">
        <f t="shared" si="54"/>
        <v>0.22802794083849598</v>
      </c>
      <c r="J421">
        <f t="shared" si="55"/>
        <v>0.13340589418532245</v>
      </c>
      <c r="K421">
        <f t="shared" si="56"/>
        <v>-0.36234057247483142</v>
      </c>
      <c r="L421">
        <f t="shared" si="57"/>
        <v>1.8092007015303497</v>
      </c>
      <c r="M421">
        <f t="shared" si="58"/>
        <v>1.0652643607531829</v>
      </c>
      <c r="N421">
        <f t="shared" si="59"/>
        <v>-2.8757441931525105</v>
      </c>
      <c r="O421">
        <f t="shared" si="60"/>
        <v>44.509639564124058</v>
      </c>
      <c r="P421">
        <f t="shared" si="61"/>
        <v>36.378876781223809</v>
      </c>
      <c r="Q421">
        <f t="shared" si="62"/>
        <v>2.7661357921207044</v>
      </c>
    </row>
    <row r="422" spans="1:17" x14ac:dyDescent="0.3">
      <c r="A422">
        <v>51030427</v>
      </c>
      <c r="B422" t="str">
        <f>VLOOKUP(A422,ASESORES!$A$2:$B$993,2,0)</f>
        <v>BELUZZO</v>
      </c>
      <c r="C422">
        <v>32153242.050000001</v>
      </c>
      <c r="D422">
        <v>42369902.520000003</v>
      </c>
      <c r="E422">
        <v>57706849.890000001</v>
      </c>
      <c r="F422">
        <v>56705950</v>
      </c>
      <c r="G422">
        <v>87875029</v>
      </c>
      <c r="H422">
        <v>86325026</v>
      </c>
      <c r="I422">
        <f t="shared" si="54"/>
        <v>0.76361531169451702</v>
      </c>
      <c r="J422">
        <f t="shared" si="55"/>
        <v>1.0739964874481376</v>
      </c>
      <c r="K422">
        <f t="shared" si="56"/>
        <v>0.49592338109863165</v>
      </c>
      <c r="L422">
        <f t="shared" si="57"/>
        <v>5.9207895435299456</v>
      </c>
      <c r="M422">
        <f t="shared" si="58"/>
        <v>8.5316836237317126</v>
      </c>
      <c r="N422">
        <f t="shared" si="59"/>
        <v>3.9357157539650127</v>
      </c>
      <c r="O422">
        <f t="shared" si="60"/>
        <v>90.360435875942997</v>
      </c>
      <c r="P422">
        <f t="shared" si="61"/>
        <v>96.311818943839057</v>
      </c>
      <c r="Q422">
        <f t="shared" si="62"/>
        <v>83.151718357082984</v>
      </c>
    </row>
    <row r="423" spans="1:17" x14ac:dyDescent="0.3">
      <c r="A423">
        <v>51032675</v>
      </c>
      <c r="B423" t="str">
        <f>VLOOKUP(A423,ASESORES!$A$2:$B$993,2,0)</f>
        <v>NELLI</v>
      </c>
      <c r="C423">
        <v>36722706.960000001</v>
      </c>
      <c r="D423">
        <v>40630950.149999999</v>
      </c>
      <c r="E423">
        <v>56278984.840000004</v>
      </c>
      <c r="F423">
        <v>47611057</v>
      </c>
      <c r="G423">
        <v>64477289</v>
      </c>
      <c r="H423">
        <v>86252660</v>
      </c>
      <c r="I423">
        <f t="shared" si="54"/>
        <v>0.29650183609449243</v>
      </c>
      <c r="J423">
        <f t="shared" si="55"/>
        <v>0.58690084189429181</v>
      </c>
      <c r="K423">
        <f t="shared" si="56"/>
        <v>0.53259089951985694</v>
      </c>
      <c r="L423">
        <f t="shared" si="57"/>
        <v>2.2764544665859452</v>
      </c>
      <c r="M423">
        <f t="shared" si="58"/>
        <v>4.5833474073721199</v>
      </c>
      <c r="N423">
        <f t="shared" si="59"/>
        <v>4.2265202127924448</v>
      </c>
      <c r="O423">
        <f t="shared" si="60"/>
        <v>52.053646269907794</v>
      </c>
      <c r="P423">
        <f t="shared" si="61"/>
        <v>80.888516345347867</v>
      </c>
      <c r="Q423">
        <f t="shared" si="62"/>
        <v>86.08549874266555</v>
      </c>
    </row>
    <row r="424" spans="1:17" x14ac:dyDescent="0.3">
      <c r="A424">
        <v>51042921</v>
      </c>
      <c r="B424" t="str">
        <f>VLOOKUP(A424,ASESORES!$A$2:$B$993,2,0)</f>
        <v>PUGH</v>
      </c>
      <c r="C424">
        <v>38019593.320000008</v>
      </c>
      <c r="D424">
        <v>49056563.82</v>
      </c>
      <c r="E424">
        <v>72699815.489999995</v>
      </c>
      <c r="F424">
        <v>51654526</v>
      </c>
      <c r="G424">
        <v>64067835</v>
      </c>
      <c r="H424">
        <v>86181926</v>
      </c>
      <c r="I424">
        <f t="shared" si="54"/>
        <v>0.35862910382125013</v>
      </c>
      <c r="J424">
        <f t="shared" si="55"/>
        <v>0.30599923865601064</v>
      </c>
      <c r="K424">
        <f t="shared" si="56"/>
        <v>0.18544903338653596</v>
      </c>
      <c r="L424">
        <f t="shared" si="57"/>
        <v>2.7661451462327076</v>
      </c>
      <c r="M424">
        <f t="shared" si="58"/>
        <v>2.3888259112801884</v>
      </c>
      <c r="N424">
        <f t="shared" si="59"/>
        <v>1.4716152629763983</v>
      </c>
      <c r="O424">
        <f t="shared" si="60"/>
        <v>60.352053646269908</v>
      </c>
      <c r="P424">
        <f t="shared" si="61"/>
        <v>53.813914501257329</v>
      </c>
      <c r="Q424">
        <f t="shared" si="62"/>
        <v>52.053646269907794</v>
      </c>
    </row>
    <row r="425" spans="1:17" x14ac:dyDescent="0.3">
      <c r="A425">
        <v>51056272</v>
      </c>
      <c r="B425" t="str">
        <f>VLOOKUP(A425,ASESORES!$A$2:$B$993,2,0)</f>
        <v>LÓPEZ</v>
      </c>
      <c r="C425">
        <v>31016131.149999999</v>
      </c>
      <c r="D425">
        <v>36942368.810000002</v>
      </c>
      <c r="E425">
        <v>42272987.349999987</v>
      </c>
      <c r="F425">
        <v>35009255</v>
      </c>
      <c r="G425">
        <v>62649730</v>
      </c>
      <c r="H425">
        <v>86168061</v>
      </c>
      <c r="I425">
        <f t="shared" si="54"/>
        <v>0.12874345387206687</v>
      </c>
      <c r="J425">
        <f t="shared" si="55"/>
        <v>0.69587744419467823</v>
      </c>
      <c r="K425">
        <f t="shared" si="56"/>
        <v>1.0383716979017814</v>
      </c>
      <c r="L425">
        <f t="shared" si="57"/>
        <v>0.97126415920254794</v>
      </c>
      <c r="M425">
        <f t="shared" si="58"/>
        <v>5.4257002080394736</v>
      </c>
      <c r="N425">
        <f t="shared" si="59"/>
        <v>8.2398390320774126</v>
      </c>
      <c r="O425">
        <f t="shared" si="60"/>
        <v>32.523051131601008</v>
      </c>
      <c r="P425">
        <f t="shared" si="61"/>
        <v>87.761944677284148</v>
      </c>
      <c r="Q425">
        <f t="shared" si="62"/>
        <v>97.401508801341151</v>
      </c>
    </row>
    <row r="426" spans="1:17" x14ac:dyDescent="0.3">
      <c r="A426">
        <v>51007883</v>
      </c>
      <c r="B426" t="str">
        <f>VLOOKUP(A426,ASESORES!$A$2:$B$993,2,0)</f>
        <v>CICHETTO</v>
      </c>
      <c r="C426">
        <v>49685665.859999999</v>
      </c>
      <c r="D426">
        <v>54664634.810000002</v>
      </c>
      <c r="E426">
        <v>77367836.709999993</v>
      </c>
      <c r="F426">
        <v>60022577</v>
      </c>
      <c r="G426">
        <v>91764423</v>
      </c>
      <c r="H426">
        <v>86090981</v>
      </c>
      <c r="I426">
        <f t="shared" si="54"/>
        <v>0.20804614290822743</v>
      </c>
      <c r="J426">
        <f t="shared" si="55"/>
        <v>0.67867988726073403</v>
      </c>
      <c r="K426">
        <f t="shared" si="56"/>
        <v>0.11274897503851911</v>
      </c>
      <c r="L426">
        <f t="shared" si="57"/>
        <v>1.6182483586420384</v>
      </c>
      <c r="M426">
        <f t="shared" si="58"/>
        <v>5.4041069221284932</v>
      </c>
      <c r="N426">
        <f t="shared" si="59"/>
        <v>0.89465834275544376</v>
      </c>
      <c r="O426">
        <f t="shared" si="60"/>
        <v>41.743503772003351</v>
      </c>
      <c r="P426">
        <f t="shared" si="61"/>
        <v>87.510477787091361</v>
      </c>
      <c r="Q426">
        <f t="shared" si="62"/>
        <v>42.24643755238894</v>
      </c>
    </row>
    <row r="427" spans="1:17" x14ac:dyDescent="0.3">
      <c r="A427">
        <v>51030010</v>
      </c>
      <c r="B427" t="str">
        <f>VLOOKUP(A427,ASESORES!$A$2:$B$993,2,0)</f>
        <v>NELLI</v>
      </c>
      <c r="C427">
        <v>41351932.700000003</v>
      </c>
      <c r="D427">
        <v>51242613.729999997</v>
      </c>
      <c r="E427">
        <v>68861933.569999993</v>
      </c>
      <c r="F427">
        <v>60522590</v>
      </c>
      <c r="G427">
        <v>70539376</v>
      </c>
      <c r="H427">
        <v>85952710</v>
      </c>
      <c r="I427">
        <f t="shared" si="54"/>
        <v>0.46359761317758186</v>
      </c>
      <c r="J427">
        <f t="shared" si="55"/>
        <v>0.37657646371583708</v>
      </c>
      <c r="K427">
        <f t="shared" si="56"/>
        <v>0.2481890290319364</v>
      </c>
      <c r="L427">
        <f t="shared" si="57"/>
        <v>3.6076783812258557</v>
      </c>
      <c r="M427">
        <f t="shared" si="58"/>
        <v>2.9555346227372161</v>
      </c>
      <c r="N427">
        <f t="shared" si="59"/>
        <v>1.9691961797818669</v>
      </c>
      <c r="O427">
        <f t="shared" si="60"/>
        <v>72.841575859178548</v>
      </c>
      <c r="P427">
        <f t="shared" si="61"/>
        <v>62.531433361274104</v>
      </c>
      <c r="Q427">
        <f t="shared" si="62"/>
        <v>57.921207041072932</v>
      </c>
    </row>
    <row r="428" spans="1:17" x14ac:dyDescent="0.3">
      <c r="A428">
        <v>51056124</v>
      </c>
      <c r="B428" t="str">
        <f>VLOOKUP(A428,ASESORES!$A$2:$B$993,2,0)</f>
        <v>PRADES</v>
      </c>
      <c r="C428">
        <v>44673218.159999996</v>
      </c>
      <c r="D428">
        <v>58035329.299999997</v>
      </c>
      <c r="E428">
        <v>76926954.909999996</v>
      </c>
      <c r="F428">
        <v>56324581</v>
      </c>
      <c r="G428">
        <v>82969865</v>
      </c>
      <c r="H428">
        <v>85876260</v>
      </c>
      <c r="I428">
        <f t="shared" si="54"/>
        <v>0.26081315203820554</v>
      </c>
      <c r="J428">
        <f t="shared" si="55"/>
        <v>0.42964408061005011</v>
      </c>
      <c r="K428">
        <f t="shared" si="56"/>
        <v>0.11633510127198154</v>
      </c>
      <c r="L428">
        <f t="shared" si="57"/>
        <v>2.0214839679683911</v>
      </c>
      <c r="M428">
        <f t="shared" si="58"/>
        <v>3.4023172675727458</v>
      </c>
      <c r="N428">
        <f t="shared" si="59"/>
        <v>0.92298793315041094</v>
      </c>
      <c r="O428">
        <f t="shared" si="60"/>
        <v>47.108130762782899</v>
      </c>
      <c r="P428">
        <f t="shared" si="61"/>
        <v>68.65046102263203</v>
      </c>
      <c r="Q428">
        <f t="shared" si="62"/>
        <v>42.665549036043586</v>
      </c>
    </row>
    <row r="429" spans="1:17" x14ac:dyDescent="0.3">
      <c r="A429">
        <v>51043758</v>
      </c>
      <c r="B429" t="str">
        <f>VLOOKUP(A429,ASESORES!$A$2:$B$993,2,0)</f>
        <v>AYALA</v>
      </c>
      <c r="C429">
        <v>25485375.550000001</v>
      </c>
      <c r="D429">
        <v>30528776.5</v>
      </c>
      <c r="E429">
        <v>38983081.920000002</v>
      </c>
      <c r="F429">
        <v>46834885</v>
      </c>
      <c r="G429">
        <v>65590250</v>
      </c>
      <c r="H429">
        <v>85822191</v>
      </c>
      <c r="I429">
        <f t="shared" si="54"/>
        <v>0.83771610146039222</v>
      </c>
      <c r="J429">
        <f t="shared" si="55"/>
        <v>1.1484729333977732</v>
      </c>
      <c r="K429">
        <f t="shared" si="56"/>
        <v>1.201524014343502</v>
      </c>
      <c r="L429">
        <f t="shared" si="57"/>
        <v>6.4257595424924467</v>
      </c>
      <c r="M429">
        <f t="shared" si="58"/>
        <v>8.9774283449634442</v>
      </c>
      <c r="N429">
        <f t="shared" si="59"/>
        <v>9.532410436787865</v>
      </c>
      <c r="O429">
        <f t="shared" si="60"/>
        <v>92.204526404023468</v>
      </c>
      <c r="P429">
        <f t="shared" si="61"/>
        <v>96.647108130762788</v>
      </c>
      <c r="Q429">
        <f t="shared" si="62"/>
        <v>98.323554065381387</v>
      </c>
    </row>
    <row r="430" spans="1:17" x14ac:dyDescent="0.3">
      <c r="A430">
        <v>51055039</v>
      </c>
      <c r="B430" t="str">
        <f>VLOOKUP(A430,ASESORES!$A$2:$B$993,2,0)</f>
        <v>PUGH</v>
      </c>
      <c r="C430">
        <v>63550279.909999996</v>
      </c>
      <c r="D430">
        <v>80512014.959999993</v>
      </c>
      <c r="E430">
        <v>95122664.849999994</v>
      </c>
      <c r="F430">
        <v>81681791</v>
      </c>
      <c r="G430">
        <v>72426803</v>
      </c>
      <c r="H430">
        <v>85816895</v>
      </c>
      <c r="I430">
        <f t="shared" si="54"/>
        <v>0.28530969675787232</v>
      </c>
      <c r="J430">
        <f t="shared" si="55"/>
        <v>-0.10042242718700922</v>
      </c>
      <c r="K430">
        <f t="shared" si="56"/>
        <v>-9.7829154226013015E-2</v>
      </c>
      <c r="L430">
        <f t="shared" si="57"/>
        <v>2.257406056290975</v>
      </c>
      <c r="M430">
        <f t="shared" si="58"/>
        <v>-0.78931016669598919</v>
      </c>
      <c r="N430">
        <f t="shared" si="59"/>
        <v>-0.77613471671847867</v>
      </c>
      <c r="O430">
        <f t="shared" si="60"/>
        <v>51.802179379715007</v>
      </c>
      <c r="P430">
        <f t="shared" si="61"/>
        <v>7.2087175188600163</v>
      </c>
      <c r="Q430">
        <f t="shared" si="62"/>
        <v>9.2204526404023479</v>
      </c>
    </row>
    <row r="431" spans="1:17" x14ac:dyDescent="0.3">
      <c r="A431">
        <v>51056582</v>
      </c>
      <c r="B431" t="str">
        <f>VLOOKUP(A431,ASESORES!$A$2:$B$993,2,0)</f>
        <v>PUGH</v>
      </c>
      <c r="C431">
        <v>35228822.849999987</v>
      </c>
      <c r="D431">
        <v>42543060.560000002</v>
      </c>
      <c r="E431">
        <v>56113328.819999993</v>
      </c>
      <c r="F431">
        <v>54241294</v>
      </c>
      <c r="G431">
        <v>66829451</v>
      </c>
      <c r="H431">
        <v>85650642</v>
      </c>
      <c r="I431">
        <f t="shared" si="54"/>
        <v>0.53968511042656142</v>
      </c>
      <c r="J431">
        <f t="shared" si="55"/>
        <v>0.57086608533365935</v>
      </c>
      <c r="K431">
        <f t="shared" si="56"/>
        <v>0.52638675696374437</v>
      </c>
      <c r="L431">
        <f t="shared" si="57"/>
        <v>4.1741027626138258</v>
      </c>
      <c r="M431">
        <f t="shared" si="58"/>
        <v>4.4670087891866856</v>
      </c>
      <c r="N431">
        <f t="shared" si="59"/>
        <v>4.1756843462955455</v>
      </c>
      <c r="O431">
        <f t="shared" si="60"/>
        <v>78.876781223805537</v>
      </c>
      <c r="P431">
        <f t="shared" si="61"/>
        <v>79.966471081307631</v>
      </c>
      <c r="Q431">
        <f t="shared" si="62"/>
        <v>85.834031852472762</v>
      </c>
    </row>
    <row r="432" spans="1:17" x14ac:dyDescent="0.3">
      <c r="A432">
        <v>51021321</v>
      </c>
      <c r="B432" t="str">
        <f>VLOOKUP(A432,ASESORES!$A$2:$B$993,2,0)</f>
        <v>BELUZZO</v>
      </c>
      <c r="C432">
        <v>36610078.859999999</v>
      </c>
      <c r="D432">
        <v>53812462.719999999</v>
      </c>
      <c r="E432">
        <v>64171178.960000001</v>
      </c>
      <c r="F432">
        <v>45381081</v>
      </c>
      <c r="G432">
        <v>63826788</v>
      </c>
      <c r="H432">
        <v>85402005</v>
      </c>
      <c r="I432">
        <f t="shared" si="54"/>
        <v>0.23957889229195728</v>
      </c>
      <c r="J432">
        <f t="shared" si="55"/>
        <v>0.18609676595005697</v>
      </c>
      <c r="K432">
        <f t="shared" si="56"/>
        <v>0.33084675058305946</v>
      </c>
      <c r="L432">
        <f t="shared" si="57"/>
        <v>1.8344255918147416</v>
      </c>
      <c r="M432">
        <f t="shared" si="58"/>
        <v>1.4524858146091142</v>
      </c>
      <c r="N432">
        <f t="shared" si="59"/>
        <v>2.6241004372631287</v>
      </c>
      <c r="O432">
        <f t="shared" si="60"/>
        <v>44.844928751047782</v>
      </c>
      <c r="P432">
        <f t="shared" si="61"/>
        <v>41.324392288348697</v>
      </c>
      <c r="Q432">
        <f t="shared" si="62"/>
        <v>67.644593461860865</v>
      </c>
    </row>
    <row r="433" spans="1:17" x14ac:dyDescent="0.3">
      <c r="A433">
        <v>51055322</v>
      </c>
      <c r="B433" t="str">
        <f>VLOOKUP(A433,ASESORES!$A$2:$B$993,2,0)</f>
        <v>LÓPEZ</v>
      </c>
      <c r="C433">
        <v>33442042.579999998</v>
      </c>
      <c r="D433">
        <v>50583808.940000013</v>
      </c>
      <c r="E433">
        <v>68106513.680000007</v>
      </c>
      <c r="F433">
        <v>52301793</v>
      </c>
      <c r="G433">
        <v>58265757</v>
      </c>
      <c r="H433">
        <v>85178777</v>
      </c>
      <c r="I433">
        <f t="shared" si="54"/>
        <v>0.56395330443359537</v>
      </c>
      <c r="J433">
        <f t="shared" si="55"/>
        <v>0.15186574955460408</v>
      </c>
      <c r="K433">
        <f t="shared" si="56"/>
        <v>0.25067005191624414</v>
      </c>
      <c r="L433">
        <f t="shared" si="57"/>
        <v>4.3528829292191933</v>
      </c>
      <c r="M433">
        <f t="shared" si="58"/>
        <v>1.1793003255695036</v>
      </c>
      <c r="N433">
        <f t="shared" si="59"/>
        <v>1.9878965837927369</v>
      </c>
      <c r="O433">
        <f t="shared" si="60"/>
        <v>80.301760268231348</v>
      </c>
      <c r="P433">
        <f t="shared" si="61"/>
        <v>37.468566638725903</v>
      </c>
      <c r="Q433">
        <f t="shared" si="62"/>
        <v>58.256496227996649</v>
      </c>
    </row>
    <row r="434" spans="1:17" x14ac:dyDescent="0.3">
      <c r="A434">
        <v>51010027</v>
      </c>
      <c r="B434" t="str">
        <f>VLOOKUP(A434,ASESORES!$A$2:$B$993,2,0)</f>
        <v>LÓPEZ</v>
      </c>
      <c r="C434">
        <v>57840892.600000001</v>
      </c>
      <c r="D434">
        <v>78127260.879999995</v>
      </c>
      <c r="E434">
        <v>87746083.539999992</v>
      </c>
      <c r="F434">
        <v>29880620</v>
      </c>
      <c r="G434">
        <v>42963049</v>
      </c>
      <c r="H434">
        <v>85026243</v>
      </c>
      <c r="I434">
        <f t="shared" si="54"/>
        <v>-0.48339974269345909</v>
      </c>
      <c r="J434">
        <f t="shared" si="55"/>
        <v>-0.45008888682288073</v>
      </c>
      <c r="K434">
        <f t="shared" si="56"/>
        <v>-3.0996717235363791E-2</v>
      </c>
      <c r="L434">
        <f t="shared" si="57"/>
        <v>-3.6136014113559214</v>
      </c>
      <c r="M434">
        <f t="shared" si="58"/>
        <v>-3.4355712742223612</v>
      </c>
      <c r="N434">
        <f t="shared" si="59"/>
        <v>-0.24579011182174726</v>
      </c>
      <c r="O434">
        <f t="shared" si="60"/>
        <v>2.6823134953897738</v>
      </c>
      <c r="P434">
        <f t="shared" si="61"/>
        <v>2.8499580888516345</v>
      </c>
      <c r="Q434">
        <f t="shared" si="62"/>
        <v>12.657166806370496</v>
      </c>
    </row>
    <row r="435" spans="1:17" x14ac:dyDescent="0.3">
      <c r="A435">
        <v>51011295</v>
      </c>
      <c r="B435" t="str">
        <f>VLOOKUP(A435,ASESORES!$A$2:$B$993,2,0)</f>
        <v>CICHETTO</v>
      </c>
      <c r="C435">
        <v>38698488.780000001</v>
      </c>
      <c r="D435">
        <v>43961078.130000003</v>
      </c>
      <c r="E435">
        <v>59431349.739999987</v>
      </c>
      <c r="F435">
        <v>52000498</v>
      </c>
      <c r="G435">
        <v>63004697</v>
      </c>
      <c r="H435">
        <v>84814629</v>
      </c>
      <c r="I435">
        <f t="shared" si="54"/>
        <v>0.3437345911780072</v>
      </c>
      <c r="J435">
        <f t="shared" si="55"/>
        <v>0.43319271683203353</v>
      </c>
      <c r="K435">
        <f t="shared" si="56"/>
        <v>0.42710252032044838</v>
      </c>
      <c r="L435">
        <f t="shared" si="57"/>
        <v>2.6522586845081757</v>
      </c>
      <c r="M435">
        <f t="shared" si="58"/>
        <v>3.3786315479689266</v>
      </c>
      <c r="N435">
        <f t="shared" si="59"/>
        <v>3.3862698467508086</v>
      </c>
      <c r="O435">
        <f t="shared" si="60"/>
        <v>58.340318524727572</v>
      </c>
      <c r="P435">
        <f t="shared" si="61"/>
        <v>68.315171835708298</v>
      </c>
      <c r="Q435">
        <f t="shared" si="62"/>
        <v>77.870913663034372</v>
      </c>
    </row>
    <row r="436" spans="1:17" x14ac:dyDescent="0.3">
      <c r="A436">
        <v>51017145</v>
      </c>
      <c r="B436" t="str">
        <f>VLOOKUP(A436,ASESORES!$A$2:$B$993,2,0)</f>
        <v>ARGUELLO</v>
      </c>
      <c r="C436">
        <v>25442279.699999999</v>
      </c>
      <c r="D436">
        <v>39638850.010000013</v>
      </c>
      <c r="E436">
        <v>55866928.239999987</v>
      </c>
      <c r="F436">
        <v>43515476</v>
      </c>
      <c r="G436">
        <v>81320743</v>
      </c>
      <c r="H436">
        <v>84577314</v>
      </c>
      <c r="I436">
        <f t="shared" si="54"/>
        <v>0.71036072683376728</v>
      </c>
      <c r="J436">
        <f t="shared" si="55"/>
        <v>1.0515414291656939</v>
      </c>
      <c r="K436">
        <f t="shared" si="56"/>
        <v>0.51390664682086018</v>
      </c>
      <c r="L436">
        <f t="shared" si="57"/>
        <v>5.4261925180866371</v>
      </c>
      <c r="M436">
        <f t="shared" si="58"/>
        <v>8.3179044199334022</v>
      </c>
      <c r="N436">
        <f t="shared" si="59"/>
        <v>4.0738684644591103</v>
      </c>
      <c r="O436">
        <f t="shared" si="60"/>
        <v>87.761944677284148</v>
      </c>
      <c r="P436">
        <f t="shared" si="61"/>
        <v>95.892707460184411</v>
      </c>
      <c r="Q436">
        <f t="shared" si="62"/>
        <v>84.660519698239739</v>
      </c>
    </row>
    <row r="437" spans="1:17" x14ac:dyDescent="0.3">
      <c r="A437">
        <v>51055888</v>
      </c>
      <c r="B437" t="str">
        <f>VLOOKUP(A437,ASESORES!$A$2:$B$993,2,0)</f>
        <v>ROBERTS</v>
      </c>
      <c r="C437">
        <v>49664541.890000001</v>
      </c>
      <c r="D437">
        <v>64581235.020000003</v>
      </c>
      <c r="E437">
        <v>81152316.760000005</v>
      </c>
      <c r="F437">
        <v>66840720</v>
      </c>
      <c r="G437">
        <v>75068418</v>
      </c>
      <c r="H437">
        <v>84539310</v>
      </c>
      <c r="I437">
        <f t="shared" si="54"/>
        <v>0.34584388491980511</v>
      </c>
      <c r="J437">
        <f t="shared" si="55"/>
        <v>0.16238746404822146</v>
      </c>
      <c r="K437">
        <f t="shared" si="56"/>
        <v>4.1736248270233478E-2</v>
      </c>
      <c r="L437">
        <f t="shared" si="57"/>
        <v>2.7062426203950807</v>
      </c>
      <c r="M437">
        <f t="shared" si="58"/>
        <v>1.278875533255128</v>
      </c>
      <c r="N437">
        <f t="shared" si="59"/>
        <v>0.33084568990777136</v>
      </c>
      <c r="O437">
        <f t="shared" si="60"/>
        <v>58.92707460184409</v>
      </c>
      <c r="P437">
        <f t="shared" si="61"/>
        <v>38.474434199497068</v>
      </c>
      <c r="Q437">
        <f t="shared" si="62"/>
        <v>35.289186923721708</v>
      </c>
    </row>
    <row r="438" spans="1:17" x14ac:dyDescent="0.3">
      <c r="A438">
        <v>51031881</v>
      </c>
      <c r="B438" t="str">
        <f>VLOOKUP(A438,ASESORES!$A$2:$B$993,2,0)</f>
        <v>MONTENEGRO</v>
      </c>
      <c r="C438">
        <v>38272854.109999999</v>
      </c>
      <c r="D438">
        <v>43378027.939999998</v>
      </c>
      <c r="E438">
        <v>65491793.460000001</v>
      </c>
      <c r="F438">
        <v>58783514</v>
      </c>
      <c r="G438">
        <v>87051420</v>
      </c>
      <c r="H438">
        <v>84510671</v>
      </c>
      <c r="I438">
        <f t="shared" si="54"/>
        <v>0.53590620210999473</v>
      </c>
      <c r="J438">
        <f t="shared" si="55"/>
        <v>1.0068090721046277</v>
      </c>
      <c r="K438">
        <f t="shared" si="56"/>
        <v>0.29040092712709176</v>
      </c>
      <c r="L438">
        <f t="shared" si="57"/>
        <v>4.1635922318376135</v>
      </c>
      <c r="M438">
        <f t="shared" si="58"/>
        <v>7.9938383661327341</v>
      </c>
      <c r="N438">
        <f t="shared" si="59"/>
        <v>2.3019824633575001</v>
      </c>
      <c r="O438">
        <f t="shared" si="60"/>
        <v>78.709136630343664</v>
      </c>
      <c r="P438">
        <f t="shared" si="61"/>
        <v>95.641240569991609</v>
      </c>
      <c r="Q438">
        <f t="shared" si="62"/>
        <v>63.453478625314332</v>
      </c>
    </row>
    <row r="439" spans="1:17" x14ac:dyDescent="0.3">
      <c r="A439">
        <v>51010060</v>
      </c>
      <c r="B439" t="str">
        <f>VLOOKUP(A439,ASESORES!$A$2:$B$993,2,0)</f>
        <v>AYALA</v>
      </c>
      <c r="C439">
        <v>42663753.450000003</v>
      </c>
      <c r="D439">
        <v>50248978.599999987</v>
      </c>
      <c r="E439">
        <v>72808969.75</v>
      </c>
      <c r="F439">
        <v>53289640</v>
      </c>
      <c r="G439">
        <v>77370125</v>
      </c>
      <c r="H439">
        <v>84031409</v>
      </c>
      <c r="I439">
        <f t="shared" si="54"/>
        <v>0.24906122154613186</v>
      </c>
      <c r="J439">
        <f t="shared" si="55"/>
        <v>0.53973527732561744</v>
      </c>
      <c r="K439">
        <f t="shared" si="56"/>
        <v>0.15413539414901556</v>
      </c>
      <c r="L439">
        <f t="shared" si="57"/>
        <v>1.9244070908212996</v>
      </c>
      <c r="M439">
        <f t="shared" si="58"/>
        <v>4.2577412969741992</v>
      </c>
      <c r="N439">
        <f t="shared" si="59"/>
        <v>1.221436936463802</v>
      </c>
      <c r="O439">
        <f t="shared" si="60"/>
        <v>45.850796311818939</v>
      </c>
      <c r="P439">
        <f t="shared" si="61"/>
        <v>77.61944677284157</v>
      </c>
      <c r="Q439">
        <f t="shared" si="62"/>
        <v>47.359597652975694</v>
      </c>
    </row>
    <row r="440" spans="1:17" x14ac:dyDescent="0.3">
      <c r="A440">
        <v>51056400</v>
      </c>
      <c r="B440" t="str">
        <f>VLOOKUP(A440,ASESORES!$A$2:$B$993,2,0)</f>
        <v>PUGH</v>
      </c>
      <c r="C440">
        <v>46285835.510000013</v>
      </c>
      <c r="D440">
        <v>49493160.799999997</v>
      </c>
      <c r="E440">
        <v>67552694.140000001</v>
      </c>
      <c r="F440">
        <v>58394127</v>
      </c>
      <c r="G440">
        <v>80234459</v>
      </c>
      <c r="H440">
        <v>84022645</v>
      </c>
      <c r="I440">
        <f t="shared" si="54"/>
        <v>0.26159820507904641</v>
      </c>
      <c r="J440">
        <f t="shared" si="55"/>
        <v>0.62112214502170171</v>
      </c>
      <c r="K440">
        <f t="shared" si="56"/>
        <v>0.24380894159256994</v>
      </c>
      <c r="L440">
        <f t="shared" si="57"/>
        <v>2.0316682348694237</v>
      </c>
      <c r="M440">
        <f t="shared" si="58"/>
        <v>4.9095736150141072</v>
      </c>
      <c r="N440">
        <f t="shared" si="59"/>
        <v>1.9320386865701169</v>
      </c>
      <c r="O440">
        <f t="shared" si="60"/>
        <v>47.527242246437552</v>
      </c>
      <c r="P440">
        <f t="shared" si="61"/>
        <v>83.906119027661362</v>
      </c>
      <c r="Q440">
        <f t="shared" si="62"/>
        <v>57.334450963956407</v>
      </c>
    </row>
    <row r="441" spans="1:17" x14ac:dyDescent="0.3">
      <c r="A441">
        <v>51056531</v>
      </c>
      <c r="B441" t="str">
        <f>VLOOKUP(A441,ASESORES!$A$2:$B$993,2,0)</f>
        <v>BELUZZO</v>
      </c>
      <c r="C441">
        <v>36889220.479999997</v>
      </c>
      <c r="D441">
        <v>64365619.630000003</v>
      </c>
      <c r="E441">
        <v>65220812.540000007</v>
      </c>
      <c r="F441">
        <v>65262084</v>
      </c>
      <c r="G441">
        <v>66682519</v>
      </c>
      <c r="H441">
        <v>83969579</v>
      </c>
      <c r="I441">
        <f t="shared" si="54"/>
        <v>0.76913697689499139</v>
      </c>
      <c r="J441">
        <f t="shared" si="55"/>
        <v>3.59959149514677E-2</v>
      </c>
      <c r="K441">
        <f t="shared" si="56"/>
        <v>0.28746600555614599</v>
      </c>
      <c r="L441">
        <f t="shared" si="57"/>
        <v>6.0105446892395973</v>
      </c>
      <c r="M441">
        <f t="shared" si="58"/>
        <v>0.28163247043701706</v>
      </c>
      <c r="N441">
        <f t="shared" si="59"/>
        <v>2.2779156919114412</v>
      </c>
      <c r="O441">
        <f t="shared" si="60"/>
        <v>90.611902766135785</v>
      </c>
      <c r="P441">
        <f t="shared" si="61"/>
        <v>28.751047778709136</v>
      </c>
      <c r="Q441">
        <f t="shared" si="62"/>
        <v>63.034367141659686</v>
      </c>
    </row>
    <row r="442" spans="1:17" x14ac:dyDescent="0.3">
      <c r="A442">
        <v>51011643</v>
      </c>
      <c r="B442" t="str">
        <f>VLOOKUP(A442,ASESORES!$A$2:$B$993,2,0)</f>
        <v>AYALA</v>
      </c>
      <c r="C442">
        <v>46197326.689999998</v>
      </c>
      <c r="D442">
        <v>55586187.93</v>
      </c>
      <c r="E442">
        <v>70563520.310000002</v>
      </c>
      <c r="F442">
        <v>60640434</v>
      </c>
      <c r="G442">
        <v>62495347</v>
      </c>
      <c r="H442">
        <v>83617930</v>
      </c>
      <c r="I442">
        <f t="shared" si="54"/>
        <v>0.312639460870068</v>
      </c>
      <c r="J442">
        <f t="shared" si="55"/>
        <v>0.12429632840986948</v>
      </c>
      <c r="K442">
        <f t="shared" si="56"/>
        <v>0.18500224524866815</v>
      </c>
      <c r="L442">
        <f t="shared" si="57"/>
        <v>2.4331986098192111</v>
      </c>
      <c r="M442">
        <f t="shared" si="58"/>
        <v>0.96899524393704672</v>
      </c>
      <c r="N442">
        <f t="shared" si="59"/>
        <v>1.4656431787872546</v>
      </c>
      <c r="O442">
        <f t="shared" si="60"/>
        <v>54.568315171835714</v>
      </c>
      <c r="P442">
        <f t="shared" si="61"/>
        <v>34.786253143336126</v>
      </c>
      <c r="Q442">
        <f t="shared" si="62"/>
        <v>51.718357082984078</v>
      </c>
    </row>
    <row r="443" spans="1:17" x14ac:dyDescent="0.3">
      <c r="A443">
        <v>51016742</v>
      </c>
      <c r="B443" t="str">
        <f>VLOOKUP(A443,ASESORES!$A$2:$B$993,2,0)</f>
        <v>NELLI</v>
      </c>
      <c r="C443">
        <v>38946381.219999999</v>
      </c>
      <c r="D443">
        <v>49480099.320000008</v>
      </c>
      <c r="E443">
        <v>63941840.25</v>
      </c>
      <c r="F443">
        <v>55058713</v>
      </c>
      <c r="G443">
        <v>70583420</v>
      </c>
      <c r="H443">
        <v>83456538</v>
      </c>
      <c r="I443">
        <f t="shared" si="54"/>
        <v>0.41370549137761459</v>
      </c>
      <c r="J443">
        <f t="shared" si="55"/>
        <v>0.42650117865608173</v>
      </c>
      <c r="K443">
        <f t="shared" si="56"/>
        <v>0.30519449665041498</v>
      </c>
      <c r="L443">
        <f t="shared" si="57"/>
        <v>3.2024222469683976</v>
      </c>
      <c r="M443">
        <f t="shared" si="58"/>
        <v>3.347480951420656</v>
      </c>
      <c r="N443">
        <f t="shared" si="59"/>
        <v>2.4175861088491137</v>
      </c>
      <c r="O443">
        <f t="shared" si="60"/>
        <v>67.393126571668063</v>
      </c>
      <c r="P443">
        <f t="shared" si="61"/>
        <v>67.812238055322709</v>
      </c>
      <c r="Q443">
        <f t="shared" si="62"/>
        <v>65.213746856663874</v>
      </c>
    </row>
    <row r="444" spans="1:17" x14ac:dyDescent="0.3">
      <c r="A444">
        <v>51010990</v>
      </c>
      <c r="B444" t="str">
        <f>VLOOKUP(A444,ASESORES!$A$2:$B$993,2,0)</f>
        <v>ARGUELLO</v>
      </c>
      <c r="C444">
        <v>40265750.759999998</v>
      </c>
      <c r="D444">
        <v>46435625.169999987</v>
      </c>
      <c r="E444">
        <v>53223317.180000007</v>
      </c>
      <c r="F444">
        <v>41964742</v>
      </c>
      <c r="G444">
        <v>68704579</v>
      </c>
      <c r="H444">
        <v>83416378</v>
      </c>
      <c r="I444">
        <f t="shared" si="54"/>
        <v>4.2194450815698614E-2</v>
      </c>
      <c r="J444">
        <f t="shared" si="55"/>
        <v>0.47956614664869424</v>
      </c>
      <c r="K444">
        <f t="shared" si="56"/>
        <v>0.56729009802015473</v>
      </c>
      <c r="L444">
        <f t="shared" si="57"/>
        <v>0.32164342753125513</v>
      </c>
      <c r="M444">
        <f t="shared" si="58"/>
        <v>3.758353025212017</v>
      </c>
      <c r="N444">
        <f t="shared" si="59"/>
        <v>4.4936474426074122</v>
      </c>
      <c r="O444">
        <f t="shared" si="60"/>
        <v>25.817267393126571</v>
      </c>
      <c r="P444">
        <f t="shared" si="61"/>
        <v>72.757753562447618</v>
      </c>
      <c r="Q444">
        <f t="shared" si="62"/>
        <v>88.264878457669738</v>
      </c>
    </row>
    <row r="445" spans="1:17" x14ac:dyDescent="0.3">
      <c r="A445">
        <v>51039998</v>
      </c>
      <c r="B445" t="str">
        <f>VLOOKUP(A445,ASESORES!$A$2:$B$993,2,0)</f>
        <v>LÓPEZ</v>
      </c>
      <c r="C445">
        <v>50842545.700000003</v>
      </c>
      <c r="D445">
        <v>70705793.900000006</v>
      </c>
      <c r="E445">
        <v>86427706.680000007</v>
      </c>
      <c r="F445">
        <v>62943424</v>
      </c>
      <c r="G445">
        <v>73942726</v>
      </c>
      <c r="H445">
        <v>83405436</v>
      </c>
      <c r="I445">
        <f t="shared" si="54"/>
        <v>0.23800693166314058</v>
      </c>
      <c r="J445">
        <f t="shared" si="55"/>
        <v>4.5780294958260859E-2</v>
      </c>
      <c r="K445">
        <f t="shared" si="56"/>
        <v>-3.4968770965889573E-2</v>
      </c>
      <c r="L445">
        <f t="shared" si="57"/>
        <v>1.8562042463278232</v>
      </c>
      <c r="M445">
        <f t="shared" si="58"/>
        <v>0.36024035503521168</v>
      </c>
      <c r="N445">
        <f t="shared" si="59"/>
        <v>-0.27699443124507911</v>
      </c>
      <c r="O445">
        <f t="shared" si="60"/>
        <v>45.180217937971499</v>
      </c>
      <c r="P445">
        <f t="shared" si="61"/>
        <v>29.505448449287506</v>
      </c>
      <c r="Q445">
        <f t="shared" si="62"/>
        <v>12.489522212908634</v>
      </c>
    </row>
    <row r="446" spans="1:17" x14ac:dyDescent="0.3">
      <c r="A446">
        <v>51056736</v>
      </c>
      <c r="B446" t="str">
        <f>VLOOKUP(A446,ASESORES!$A$2:$B$993,2,0)</f>
        <v>METTLER</v>
      </c>
      <c r="C446">
        <v>42649290.899999999</v>
      </c>
      <c r="D446">
        <v>59010651.649999991</v>
      </c>
      <c r="E446">
        <v>69607085.00999999</v>
      </c>
      <c r="F446">
        <v>59337280</v>
      </c>
      <c r="G446">
        <v>82601485</v>
      </c>
      <c r="H446">
        <v>83000238</v>
      </c>
      <c r="I446">
        <f t="shared" si="54"/>
        <v>0.39128409283822352</v>
      </c>
      <c r="J446">
        <f t="shared" si="55"/>
        <v>0.39977245955391871</v>
      </c>
      <c r="K446">
        <f t="shared" si="56"/>
        <v>0.19241077238151694</v>
      </c>
      <c r="L446">
        <f t="shared" si="57"/>
        <v>3.0415794518118049</v>
      </c>
      <c r="M446">
        <f t="shared" si="58"/>
        <v>3.1649937070865644</v>
      </c>
      <c r="N446">
        <f t="shared" si="59"/>
        <v>1.5237161719174908</v>
      </c>
      <c r="O446">
        <f t="shared" si="60"/>
        <v>65.046102263202016</v>
      </c>
      <c r="P446">
        <f t="shared" si="61"/>
        <v>65.213746856663874</v>
      </c>
      <c r="Q446">
        <f t="shared" si="62"/>
        <v>52.640402347024306</v>
      </c>
    </row>
    <row r="447" spans="1:17" x14ac:dyDescent="0.3">
      <c r="A447">
        <v>51044436</v>
      </c>
      <c r="B447" t="str">
        <f>VLOOKUP(A447,ASESORES!$A$2:$B$993,2,0)</f>
        <v>ARGUELLO</v>
      </c>
      <c r="C447">
        <v>36149103.909999996</v>
      </c>
      <c r="D447">
        <v>50614673.150000013</v>
      </c>
      <c r="E447">
        <v>61157718.25</v>
      </c>
      <c r="F447">
        <v>67102857</v>
      </c>
      <c r="G447">
        <v>73361479</v>
      </c>
      <c r="H447">
        <v>82996709</v>
      </c>
      <c r="I447">
        <f t="shared" si="54"/>
        <v>0.85627995557138026</v>
      </c>
      <c r="J447">
        <f t="shared" si="55"/>
        <v>0.44941129586253159</v>
      </c>
      <c r="K447">
        <f t="shared" si="56"/>
        <v>0.35709296185195716</v>
      </c>
      <c r="L447">
        <f t="shared" si="57"/>
        <v>6.7018814453995219</v>
      </c>
      <c r="M447">
        <f t="shared" si="58"/>
        <v>3.5348302016431092</v>
      </c>
      <c r="N447">
        <f t="shared" si="59"/>
        <v>2.8278409018672948</v>
      </c>
      <c r="O447">
        <f t="shared" si="60"/>
        <v>92.791282481139987</v>
      </c>
      <c r="P447">
        <f t="shared" si="61"/>
        <v>70.746018440905274</v>
      </c>
      <c r="Q447">
        <f t="shared" si="62"/>
        <v>70.913663034367147</v>
      </c>
    </row>
    <row r="448" spans="1:17" x14ac:dyDescent="0.3">
      <c r="A448">
        <v>51017552</v>
      </c>
      <c r="B448" t="str">
        <f>VLOOKUP(A448,ASESORES!$A$2:$B$993,2,0)</f>
        <v>PRADES</v>
      </c>
      <c r="C448">
        <v>26948529.09</v>
      </c>
      <c r="D448">
        <v>34023668.25</v>
      </c>
      <c r="E448">
        <v>54386225.700000003</v>
      </c>
      <c r="F448">
        <v>48718675</v>
      </c>
      <c r="G448">
        <v>76583235</v>
      </c>
      <c r="H448">
        <v>82980509</v>
      </c>
      <c r="I448">
        <f t="shared" si="54"/>
        <v>0.8078417132636162</v>
      </c>
      <c r="J448">
        <f t="shared" si="55"/>
        <v>1.2508811935644242</v>
      </c>
      <c r="K448">
        <f t="shared" si="56"/>
        <v>0.52576333312278356</v>
      </c>
      <c r="L448">
        <f t="shared" si="57"/>
        <v>6.2104410781559594</v>
      </c>
      <c r="M448">
        <f t="shared" si="58"/>
        <v>9.862114582511941</v>
      </c>
      <c r="N448">
        <f t="shared" si="59"/>
        <v>4.1635072663380406</v>
      </c>
      <c r="O448">
        <f t="shared" si="60"/>
        <v>91.366303436714162</v>
      </c>
      <c r="P448">
        <f t="shared" si="61"/>
        <v>97.233864207879293</v>
      </c>
      <c r="Q448">
        <f t="shared" si="62"/>
        <v>85.666387259010904</v>
      </c>
    </row>
    <row r="449" spans="1:17" x14ac:dyDescent="0.3">
      <c r="A449">
        <v>51055276</v>
      </c>
      <c r="B449" t="str">
        <f>VLOOKUP(A449,ASESORES!$A$2:$B$993,2,0)</f>
        <v>BELUZZO</v>
      </c>
      <c r="C449">
        <v>43627631.030000001</v>
      </c>
      <c r="D449">
        <v>59997666.229999997</v>
      </c>
      <c r="E449">
        <v>73654058.200000003</v>
      </c>
      <c r="F449">
        <v>49989758</v>
      </c>
      <c r="G449">
        <v>80971255</v>
      </c>
      <c r="H449">
        <v>82744011</v>
      </c>
      <c r="I449">
        <f t="shared" si="54"/>
        <v>0.14582792647222043</v>
      </c>
      <c r="J449">
        <f t="shared" si="55"/>
        <v>0.34957340989894714</v>
      </c>
      <c r="K449">
        <f t="shared" si="56"/>
        <v>0.12341414746377133</v>
      </c>
      <c r="L449">
        <f t="shared" si="57"/>
        <v>1.1227118573943577</v>
      </c>
      <c r="M449">
        <f t="shared" si="58"/>
        <v>2.7645421890450153</v>
      </c>
      <c r="N449">
        <f t="shared" si="59"/>
        <v>0.97716070855660209</v>
      </c>
      <c r="O449">
        <f t="shared" si="60"/>
        <v>34.534786253143338</v>
      </c>
      <c r="P449">
        <f t="shared" si="61"/>
        <v>59.346186085498744</v>
      </c>
      <c r="Q449">
        <f t="shared" si="62"/>
        <v>43.252305113160098</v>
      </c>
    </row>
    <row r="450" spans="1:17" x14ac:dyDescent="0.3">
      <c r="A450">
        <v>51020189</v>
      </c>
      <c r="B450" t="str">
        <f>VLOOKUP(A450,ASESORES!$A$2:$B$993,2,0)</f>
        <v>BELUZZO</v>
      </c>
      <c r="C450">
        <v>34018222.849999987</v>
      </c>
      <c r="D450">
        <v>53393785.799999997</v>
      </c>
      <c r="E450">
        <v>57815940.969999999</v>
      </c>
      <c r="F450">
        <v>51963657</v>
      </c>
      <c r="G450">
        <v>57811078</v>
      </c>
      <c r="H450">
        <v>82485093</v>
      </c>
      <c r="I450">
        <f t="shared" ref="I450:I513" si="63">IFERROR(F450/C450-1,0)</f>
        <v>0.52752415166214428</v>
      </c>
      <c r="J450">
        <f t="shared" ref="J450:J513" si="64">IFERROR(G450/D450-1,0)</f>
        <v>8.2730455123487534E-2</v>
      </c>
      <c r="K450">
        <f t="shared" ref="K450:K513" si="65">IFERROR(H450/E450-1,0)</f>
        <v>0.42668426070935217</v>
      </c>
      <c r="L450">
        <f t="shared" ref="L450:L513" si="66">IFERROR(I450*LOG(F450),0)</f>
        <v>4.0702179426431391</v>
      </c>
      <c r="M450">
        <f t="shared" ref="M450:M513" si="67">IFERROR(J450*LOG(G450),0)</f>
        <v>0.64215470830569199</v>
      </c>
      <c r="N450">
        <f t="shared" ref="N450:N513" si="68">IFERROR(K450*LOG(H450),0)</f>
        <v>3.3777928142296179</v>
      </c>
      <c r="O450">
        <f t="shared" ref="O450:O513" si="69">RANK(L450,$L$2:$L$1194,1)/COUNT($L$2:$L$1194)*100</f>
        <v>78.038558256496231</v>
      </c>
      <c r="P450">
        <f t="shared" ref="P450:P513" si="70">RANK(M450,$M$2:$M$1194,1)/COUNT($M$2:$M$1194)*100</f>
        <v>32.35540653813915</v>
      </c>
      <c r="Q450">
        <f t="shared" ref="Q450:Q513" si="71">RANK(N450,$N$2:$N$1194,1)/COUNT($N$2:$N$1194)*100</f>
        <v>77.787091366303443</v>
      </c>
    </row>
    <row r="451" spans="1:17" x14ac:dyDescent="0.3">
      <c r="A451">
        <v>51041259</v>
      </c>
      <c r="B451" t="str">
        <f>VLOOKUP(A451,ASESORES!$A$2:$B$993,2,0)</f>
        <v>ARGUELLO</v>
      </c>
      <c r="C451">
        <v>57008399.840000004</v>
      </c>
      <c r="D451">
        <v>66374213.220000014</v>
      </c>
      <c r="E451">
        <v>71729732.680000007</v>
      </c>
      <c r="F451">
        <v>56959810</v>
      </c>
      <c r="G451">
        <v>71035536</v>
      </c>
      <c r="H451">
        <v>82481028</v>
      </c>
      <c r="I451">
        <f t="shared" si="63"/>
        <v>-8.5232772953414138E-4</v>
      </c>
      <c r="J451">
        <f t="shared" si="64"/>
        <v>7.0227917648527871E-2</v>
      </c>
      <c r="K451">
        <f t="shared" si="65"/>
        <v>0.14988617576428975</v>
      </c>
      <c r="L451">
        <f t="shared" si="66"/>
        <v>-6.6102861180931819E-3</v>
      </c>
      <c r="M451">
        <f t="shared" si="67"/>
        <v>0.55139278619538812</v>
      </c>
      <c r="N451">
        <f t="shared" si="68"/>
        <v>1.1865520368178846</v>
      </c>
      <c r="O451">
        <f t="shared" si="69"/>
        <v>11.483654652137469</v>
      </c>
      <c r="P451">
        <f t="shared" si="70"/>
        <v>31.517183570829843</v>
      </c>
      <c r="Q451">
        <f t="shared" si="71"/>
        <v>46.605196982397317</v>
      </c>
    </row>
    <row r="452" spans="1:17" x14ac:dyDescent="0.3">
      <c r="A452">
        <v>51022751</v>
      </c>
      <c r="B452" t="str">
        <f>VLOOKUP(A452,ASESORES!$A$2:$B$993,2,0)</f>
        <v>CICHETTO</v>
      </c>
      <c r="C452">
        <v>62433506.740000002</v>
      </c>
      <c r="D452">
        <v>65148045.649999999</v>
      </c>
      <c r="E452">
        <v>73320456.950000003</v>
      </c>
      <c r="F452">
        <v>64356325</v>
      </c>
      <c r="G452">
        <v>79623100</v>
      </c>
      <c r="H452">
        <v>82457423</v>
      </c>
      <c r="I452">
        <f t="shared" si="63"/>
        <v>3.0797857759415015E-2</v>
      </c>
      <c r="J452">
        <f t="shared" si="64"/>
        <v>0.22218708490144867</v>
      </c>
      <c r="K452">
        <f t="shared" si="65"/>
        <v>0.12461687269940014</v>
      </c>
      <c r="L452">
        <f t="shared" si="66"/>
        <v>0.24048788219412198</v>
      </c>
      <c r="M452">
        <f t="shared" si="67"/>
        <v>1.755508841355087</v>
      </c>
      <c r="N452">
        <f t="shared" si="68"/>
        <v>0.98649579599847492</v>
      </c>
      <c r="O452">
        <f t="shared" si="69"/>
        <v>24.979044425817268</v>
      </c>
      <c r="P452">
        <f t="shared" si="70"/>
        <v>44.761106454316845</v>
      </c>
      <c r="Q452">
        <f t="shared" si="71"/>
        <v>43.419949706621964</v>
      </c>
    </row>
    <row r="453" spans="1:17" x14ac:dyDescent="0.3">
      <c r="A453">
        <v>51016645</v>
      </c>
      <c r="B453" t="str">
        <f>VLOOKUP(A453,ASESORES!$A$2:$B$993,2,0)</f>
        <v>BELUZZO</v>
      </c>
      <c r="C453">
        <v>99424831.530000001</v>
      </c>
      <c r="D453">
        <v>73020154.289999992</v>
      </c>
      <c r="E453">
        <v>78585944.940000013</v>
      </c>
      <c r="F453">
        <v>62760043</v>
      </c>
      <c r="G453">
        <v>89628604</v>
      </c>
      <c r="H453">
        <v>82416636</v>
      </c>
      <c r="I453">
        <f t="shared" si="63"/>
        <v>-0.36876892790044036</v>
      </c>
      <c r="J453">
        <f t="shared" si="64"/>
        <v>0.2274502138688923</v>
      </c>
      <c r="K453">
        <f t="shared" si="65"/>
        <v>4.8745243986373143E-2</v>
      </c>
      <c r="L453">
        <f t="shared" si="66"/>
        <v>-2.875543285745779</v>
      </c>
      <c r="M453">
        <f t="shared" si="67"/>
        <v>1.8087856872684787</v>
      </c>
      <c r="N453">
        <f t="shared" si="68"/>
        <v>0.38586807691798092</v>
      </c>
      <c r="O453">
        <f t="shared" si="69"/>
        <v>3.6881810561609383</v>
      </c>
      <c r="P453">
        <f t="shared" si="70"/>
        <v>45.683151718357081</v>
      </c>
      <c r="Q453">
        <f t="shared" si="71"/>
        <v>36.043587594300085</v>
      </c>
    </row>
    <row r="454" spans="1:17" x14ac:dyDescent="0.3">
      <c r="A454">
        <v>51011155</v>
      </c>
      <c r="B454" t="str">
        <f>VLOOKUP(A454,ASESORES!$A$2:$B$993,2,0)</f>
        <v>CICHETTO</v>
      </c>
      <c r="C454">
        <v>35202124.359999999</v>
      </c>
      <c r="D454">
        <v>59349036.479999997</v>
      </c>
      <c r="E454">
        <v>62742066.189999998</v>
      </c>
      <c r="F454">
        <v>50648080</v>
      </c>
      <c r="G454">
        <v>85720144</v>
      </c>
      <c r="H454">
        <v>82139110</v>
      </c>
      <c r="I454">
        <f t="shared" si="63"/>
        <v>0.43877907713862752</v>
      </c>
      <c r="J454">
        <f t="shared" si="64"/>
        <v>0.44433926958337033</v>
      </c>
      <c r="K454">
        <f t="shared" si="65"/>
        <v>0.3091553241370868</v>
      </c>
      <c r="L454">
        <f t="shared" si="66"/>
        <v>3.3806010369701478</v>
      </c>
      <c r="M454">
        <f t="shared" si="67"/>
        <v>3.5249802577468494</v>
      </c>
      <c r="N454">
        <f t="shared" si="68"/>
        <v>2.4468252684362977</v>
      </c>
      <c r="O454">
        <f t="shared" si="69"/>
        <v>69.65632858340318</v>
      </c>
      <c r="P454">
        <f t="shared" si="70"/>
        <v>70.662196144174345</v>
      </c>
      <c r="Q454">
        <f t="shared" si="71"/>
        <v>65.381391450125733</v>
      </c>
    </row>
    <row r="455" spans="1:17" x14ac:dyDescent="0.3">
      <c r="A455">
        <v>51014022</v>
      </c>
      <c r="B455" t="str">
        <f>VLOOKUP(A455,ASESORES!$A$2:$B$993,2,0)</f>
        <v>NELLI</v>
      </c>
      <c r="C455">
        <v>36805636.930000007</v>
      </c>
      <c r="D455">
        <v>60316903</v>
      </c>
      <c r="E455">
        <v>73278666.310000002</v>
      </c>
      <c r="F455">
        <v>64904351</v>
      </c>
      <c r="G455">
        <v>84128677</v>
      </c>
      <c r="H455">
        <v>82095216</v>
      </c>
      <c r="I455">
        <f t="shared" si="63"/>
        <v>0.76343507173752867</v>
      </c>
      <c r="J455">
        <f t="shared" si="64"/>
        <v>0.39477779553767878</v>
      </c>
      <c r="K455">
        <f t="shared" si="65"/>
        <v>0.12031536781390417</v>
      </c>
      <c r="L455">
        <f t="shared" si="66"/>
        <v>5.964163817809192</v>
      </c>
      <c r="M455">
        <f t="shared" si="67"/>
        <v>3.1285919454872682</v>
      </c>
      <c r="N455">
        <f t="shared" si="68"/>
        <v>0.95221406310302492</v>
      </c>
      <c r="O455">
        <f t="shared" si="69"/>
        <v>90.528080469404856</v>
      </c>
      <c r="P455">
        <f t="shared" si="70"/>
        <v>64.878457669740158</v>
      </c>
      <c r="Q455">
        <f t="shared" si="71"/>
        <v>43.00083822296731</v>
      </c>
    </row>
    <row r="456" spans="1:17" x14ac:dyDescent="0.3">
      <c r="A456">
        <v>51018991</v>
      </c>
      <c r="B456" t="str">
        <f>VLOOKUP(A456,ASESORES!$A$2:$B$993,2,0)</f>
        <v>PRADES</v>
      </c>
      <c r="C456">
        <v>61446459.5</v>
      </c>
      <c r="D456">
        <v>58789394.630000003</v>
      </c>
      <c r="E456">
        <v>68151671.919999987</v>
      </c>
      <c r="F456">
        <v>57656044</v>
      </c>
      <c r="G456">
        <v>80244966</v>
      </c>
      <c r="H456">
        <v>82047265</v>
      </c>
      <c r="I456">
        <f t="shared" si="63"/>
        <v>-6.1686475198786672E-2</v>
      </c>
      <c r="J456">
        <f t="shared" si="64"/>
        <v>0.36495649436490885</v>
      </c>
      <c r="K456">
        <f t="shared" si="65"/>
        <v>0.20389218178405644</v>
      </c>
      <c r="L456">
        <f t="shared" si="66"/>
        <v>-0.47873916277400991</v>
      </c>
      <c r="M456">
        <f t="shared" si="67"/>
        <v>2.884768609325953</v>
      </c>
      <c r="N456">
        <f t="shared" si="68"/>
        <v>1.6136157978946215</v>
      </c>
      <c r="O456">
        <f t="shared" si="69"/>
        <v>8.4660519698239725</v>
      </c>
      <c r="P456">
        <f t="shared" si="70"/>
        <v>61.274098910310137</v>
      </c>
      <c r="Q456">
        <f t="shared" si="71"/>
        <v>53.7300922045264</v>
      </c>
    </row>
    <row r="457" spans="1:17" x14ac:dyDescent="0.3">
      <c r="A457">
        <v>51030478</v>
      </c>
      <c r="B457" t="str">
        <f>VLOOKUP(A457,ASESORES!$A$2:$B$993,2,0)</f>
        <v>ROBERTS</v>
      </c>
      <c r="C457">
        <v>37581039.240000002</v>
      </c>
      <c r="D457">
        <v>56860971.549999997</v>
      </c>
      <c r="E457">
        <v>71487984.060000002</v>
      </c>
      <c r="F457">
        <v>51575378</v>
      </c>
      <c r="G457">
        <v>77130245</v>
      </c>
      <c r="H457">
        <v>81553246</v>
      </c>
      <c r="I457">
        <f t="shared" si="63"/>
        <v>0.37237764157157449</v>
      </c>
      <c r="J457">
        <f t="shared" si="64"/>
        <v>0.35647075485118052</v>
      </c>
      <c r="K457">
        <f t="shared" si="65"/>
        <v>0.14079655584569584</v>
      </c>
      <c r="L457">
        <f t="shared" si="66"/>
        <v>2.8719411189803434</v>
      </c>
      <c r="M457">
        <f t="shared" si="67"/>
        <v>2.8115649463673349</v>
      </c>
      <c r="N457">
        <f t="shared" si="68"/>
        <v>1.1139036800013413</v>
      </c>
      <c r="O457">
        <f t="shared" si="69"/>
        <v>61.190276613579208</v>
      </c>
      <c r="P457">
        <f t="shared" si="70"/>
        <v>60.100586756077114</v>
      </c>
      <c r="Q457">
        <f t="shared" si="71"/>
        <v>45.096395641240569</v>
      </c>
    </row>
    <row r="458" spans="1:17" x14ac:dyDescent="0.3">
      <c r="A458">
        <v>51028040</v>
      </c>
      <c r="B458" t="str">
        <f>VLOOKUP(A458,ASESORES!$A$2:$B$993,2,0)</f>
        <v>PRADES</v>
      </c>
      <c r="C458">
        <v>35766878.260000013</v>
      </c>
      <c r="D458">
        <v>46594063.979999997</v>
      </c>
      <c r="E458">
        <v>61597367.109999999</v>
      </c>
      <c r="F458">
        <v>57132878</v>
      </c>
      <c r="G458">
        <v>72405047</v>
      </c>
      <c r="H458">
        <v>81532338</v>
      </c>
      <c r="I458">
        <f t="shared" si="63"/>
        <v>0.59736831335081075</v>
      </c>
      <c r="J458">
        <f t="shared" si="64"/>
        <v>0.55395431982664345</v>
      </c>
      <c r="K458">
        <f t="shared" si="65"/>
        <v>0.32363348995745733</v>
      </c>
      <c r="L458">
        <f t="shared" si="66"/>
        <v>4.6337179674111431</v>
      </c>
      <c r="M458">
        <f t="shared" si="67"/>
        <v>4.3539529016384737</v>
      </c>
      <c r="N458">
        <f t="shared" si="68"/>
        <v>2.5603713045176604</v>
      </c>
      <c r="O458">
        <f t="shared" si="69"/>
        <v>83.151718357082984</v>
      </c>
      <c r="P458">
        <f t="shared" si="70"/>
        <v>79.044425817267395</v>
      </c>
      <c r="Q458">
        <f t="shared" si="71"/>
        <v>66.806370494551544</v>
      </c>
    </row>
    <row r="459" spans="1:17" x14ac:dyDescent="0.3">
      <c r="A459">
        <v>51055616</v>
      </c>
      <c r="B459" t="str">
        <f>VLOOKUP(A459,ASESORES!$A$2:$B$993,2,0)</f>
        <v>MONTENEGRO</v>
      </c>
      <c r="C459">
        <v>39063389.340000004</v>
      </c>
      <c r="D459">
        <v>47229420.029999986</v>
      </c>
      <c r="E459">
        <v>50145847.259999998</v>
      </c>
      <c r="F459">
        <v>58565194</v>
      </c>
      <c r="G459">
        <v>76138183</v>
      </c>
      <c r="H459">
        <v>81479381</v>
      </c>
      <c r="I459">
        <f t="shared" si="63"/>
        <v>0.4992348331646328</v>
      </c>
      <c r="J459">
        <f t="shared" si="64"/>
        <v>0.6120922711233221</v>
      </c>
      <c r="K459">
        <f t="shared" si="65"/>
        <v>0.62484802734590406</v>
      </c>
      <c r="L459">
        <f t="shared" si="66"/>
        <v>3.8778762529222686</v>
      </c>
      <c r="M459">
        <f t="shared" si="67"/>
        <v>4.8242679794452554</v>
      </c>
      <c r="N459">
        <f t="shared" si="68"/>
        <v>4.9432025627057792</v>
      </c>
      <c r="O459">
        <f t="shared" si="69"/>
        <v>76.026823134953901</v>
      </c>
      <c r="P459">
        <f t="shared" si="70"/>
        <v>83.403185247275786</v>
      </c>
      <c r="Q459">
        <f t="shared" si="71"/>
        <v>90.947191953059516</v>
      </c>
    </row>
    <row r="460" spans="1:17" x14ac:dyDescent="0.3">
      <c r="A460">
        <v>51036239</v>
      </c>
      <c r="B460" t="str">
        <f>VLOOKUP(A460,ASESORES!$A$2:$B$993,2,0)</f>
        <v>AYALA</v>
      </c>
      <c r="C460">
        <v>70680475.680000007</v>
      </c>
      <c r="D460">
        <v>86529778.520000011</v>
      </c>
      <c r="E460">
        <v>95380184.580000013</v>
      </c>
      <c r="F460">
        <v>74855045</v>
      </c>
      <c r="G460">
        <v>75356412</v>
      </c>
      <c r="H460">
        <v>81478146</v>
      </c>
      <c r="I460">
        <f t="shared" si="63"/>
        <v>5.9062552704087778E-2</v>
      </c>
      <c r="J460">
        <f t="shared" si="64"/>
        <v>-0.12912741383496618</v>
      </c>
      <c r="K460">
        <f t="shared" si="65"/>
        <v>-0.14575394922138885</v>
      </c>
      <c r="L460">
        <f t="shared" si="66"/>
        <v>0.46507159729183284</v>
      </c>
      <c r="M460">
        <f t="shared" si="67"/>
        <v>-1.0171521614292782</v>
      </c>
      <c r="N460">
        <f t="shared" si="68"/>
        <v>-1.153065488353874</v>
      </c>
      <c r="O460">
        <f t="shared" si="69"/>
        <v>27.07460184409053</v>
      </c>
      <c r="P460">
        <f t="shared" si="70"/>
        <v>6.4543168482816426</v>
      </c>
      <c r="Q460">
        <f t="shared" si="71"/>
        <v>6.6219614417435038</v>
      </c>
    </row>
    <row r="461" spans="1:17" x14ac:dyDescent="0.3">
      <c r="A461">
        <v>51025873</v>
      </c>
      <c r="B461" t="str">
        <f>VLOOKUP(A461,ASESORES!$A$2:$B$993,2,0)</f>
        <v>ROBERTS</v>
      </c>
      <c r="C461">
        <v>44798344.530000001</v>
      </c>
      <c r="D461">
        <v>45634222.549999997</v>
      </c>
      <c r="E461">
        <v>79270429.769999996</v>
      </c>
      <c r="F461">
        <v>66909578</v>
      </c>
      <c r="G461">
        <v>102136191</v>
      </c>
      <c r="H461">
        <v>81393917</v>
      </c>
      <c r="I461">
        <f t="shared" si="63"/>
        <v>0.49357255724467275</v>
      </c>
      <c r="J461">
        <f t="shared" si="64"/>
        <v>1.2381490314224717</v>
      </c>
      <c r="K461">
        <f t="shared" si="65"/>
        <v>2.6787885926204957E-2</v>
      </c>
      <c r="L461">
        <f t="shared" si="66"/>
        <v>3.8624462673706934</v>
      </c>
      <c r="M461">
        <f t="shared" si="67"/>
        <v>9.9165580354574256</v>
      </c>
      <c r="N461">
        <f t="shared" si="68"/>
        <v>0.21190803473768924</v>
      </c>
      <c r="O461">
        <f t="shared" si="69"/>
        <v>75.859178541492028</v>
      </c>
      <c r="P461">
        <f t="shared" si="70"/>
        <v>97.401508801341151</v>
      </c>
      <c r="Q461">
        <f t="shared" si="71"/>
        <v>34.283319362950543</v>
      </c>
    </row>
    <row r="462" spans="1:17" x14ac:dyDescent="0.3">
      <c r="A462">
        <v>51034155</v>
      </c>
      <c r="B462" t="str">
        <f>VLOOKUP(A462,ASESORES!$A$2:$B$993,2,0)</f>
        <v>ROBERTS</v>
      </c>
      <c r="C462">
        <v>42662720.859999999</v>
      </c>
      <c r="D462">
        <v>57962472.649999999</v>
      </c>
      <c r="E462">
        <v>81089123.140000001</v>
      </c>
      <c r="F462">
        <v>61306789</v>
      </c>
      <c r="G462">
        <v>69328034</v>
      </c>
      <c r="H462">
        <v>81380304</v>
      </c>
      <c r="I462">
        <f t="shared" si="63"/>
        <v>0.43701076171821085</v>
      </c>
      <c r="J462">
        <f t="shared" si="64"/>
        <v>0.19608482575665276</v>
      </c>
      <c r="K462">
        <f t="shared" si="65"/>
        <v>3.5908744443724494E-3</v>
      </c>
      <c r="L462">
        <f t="shared" si="66"/>
        <v>3.4032250521266629</v>
      </c>
      <c r="M462">
        <f t="shared" si="67"/>
        <v>1.537483252425869</v>
      </c>
      <c r="N462">
        <f t="shared" si="68"/>
        <v>2.8405681624266255E-2</v>
      </c>
      <c r="O462">
        <f t="shared" si="69"/>
        <v>69.823973176865053</v>
      </c>
      <c r="P462">
        <f t="shared" si="70"/>
        <v>42.581726739312657</v>
      </c>
      <c r="Q462">
        <f t="shared" si="71"/>
        <v>32.439228834870079</v>
      </c>
    </row>
    <row r="463" spans="1:17" x14ac:dyDescent="0.3">
      <c r="A463">
        <v>51021207</v>
      </c>
      <c r="B463" t="str">
        <f>VLOOKUP(A463,ASESORES!$A$2:$B$993,2,0)</f>
        <v>NELLI</v>
      </c>
      <c r="C463">
        <v>58283254.959999993</v>
      </c>
      <c r="D463">
        <v>77086939.060000002</v>
      </c>
      <c r="E463">
        <v>98272796.290000007</v>
      </c>
      <c r="F463">
        <v>77502588</v>
      </c>
      <c r="G463">
        <v>86381974</v>
      </c>
      <c r="H463">
        <v>81229410</v>
      </c>
      <c r="I463">
        <f t="shared" si="63"/>
        <v>0.32975737290565377</v>
      </c>
      <c r="J463">
        <f t="shared" si="64"/>
        <v>0.12057859675509075</v>
      </c>
      <c r="K463">
        <f t="shared" si="65"/>
        <v>-0.1734293409104336</v>
      </c>
      <c r="L463">
        <f t="shared" si="66"/>
        <v>2.6015601857491553</v>
      </c>
      <c r="M463">
        <f t="shared" si="67"/>
        <v>0.95696276358491827</v>
      </c>
      <c r="N463">
        <f t="shared" si="68"/>
        <v>-1.3717763642014331</v>
      </c>
      <c r="O463">
        <f t="shared" si="69"/>
        <v>56.99916177703269</v>
      </c>
      <c r="P463">
        <f t="shared" si="70"/>
        <v>34.702430846605196</v>
      </c>
      <c r="Q463">
        <f t="shared" si="71"/>
        <v>5.8675607711651301</v>
      </c>
    </row>
    <row r="464" spans="1:17" x14ac:dyDescent="0.3">
      <c r="A464">
        <v>51054831</v>
      </c>
      <c r="B464" t="str">
        <f>VLOOKUP(A464,ASESORES!$A$2:$B$993,2,0)</f>
        <v>NELLI</v>
      </c>
      <c r="C464">
        <v>68410938.670000002</v>
      </c>
      <c r="D464">
        <v>233728086.06999999</v>
      </c>
      <c r="E464">
        <v>119463875.3</v>
      </c>
      <c r="F464">
        <v>54212560</v>
      </c>
      <c r="G464">
        <v>192932973</v>
      </c>
      <c r="H464">
        <v>81175770</v>
      </c>
      <c r="I464">
        <f t="shared" si="63"/>
        <v>-0.20754544442797374</v>
      </c>
      <c r="J464">
        <f t="shared" si="64"/>
        <v>-0.17454091100451719</v>
      </c>
      <c r="K464">
        <f t="shared" si="65"/>
        <v>-0.32049944139054731</v>
      </c>
      <c r="L464">
        <f t="shared" si="66"/>
        <v>-1.6051772042780743</v>
      </c>
      <c r="M464">
        <f t="shared" si="67"/>
        <v>-1.4461423909800037</v>
      </c>
      <c r="N464">
        <f t="shared" si="68"/>
        <v>-2.5349667483221738</v>
      </c>
      <c r="O464">
        <f t="shared" si="69"/>
        <v>5.8675607711651301</v>
      </c>
      <c r="P464">
        <f t="shared" si="70"/>
        <v>5.4484492875104777</v>
      </c>
      <c r="Q464">
        <f t="shared" si="71"/>
        <v>3.6881810561609383</v>
      </c>
    </row>
    <row r="465" spans="1:17" x14ac:dyDescent="0.3">
      <c r="A465">
        <v>51010051</v>
      </c>
      <c r="B465" t="str">
        <f>VLOOKUP(A465,ASESORES!$A$2:$B$993,2,0)</f>
        <v>MONTENEGRO</v>
      </c>
      <c r="C465">
        <v>42860817.450000003</v>
      </c>
      <c r="D465">
        <v>55299242.509999998</v>
      </c>
      <c r="E465">
        <v>62326371.450000003</v>
      </c>
      <c r="F465">
        <v>53940516</v>
      </c>
      <c r="G465">
        <v>79046201</v>
      </c>
      <c r="H465">
        <v>81119435</v>
      </c>
      <c r="I465">
        <f t="shared" si="63"/>
        <v>0.25850413522619364</v>
      </c>
      <c r="J465">
        <f t="shared" si="64"/>
        <v>0.4294264697333916</v>
      </c>
      <c r="K465">
        <f t="shared" si="65"/>
        <v>0.30152667502994834</v>
      </c>
      <c r="L465">
        <f t="shared" si="66"/>
        <v>1.9987320256988113</v>
      </c>
      <c r="M465">
        <f t="shared" si="67"/>
        <v>3.3915591572176695</v>
      </c>
      <c r="N465">
        <f t="shared" si="68"/>
        <v>2.384812138656295</v>
      </c>
      <c r="O465">
        <f t="shared" si="69"/>
        <v>46.605196982397317</v>
      </c>
      <c r="P465">
        <f t="shared" si="70"/>
        <v>68.566638725901086</v>
      </c>
      <c r="Q465">
        <f t="shared" si="71"/>
        <v>64.878457669740158</v>
      </c>
    </row>
    <row r="466" spans="1:17" x14ac:dyDescent="0.3">
      <c r="A466">
        <v>51015754</v>
      </c>
      <c r="B466" t="str">
        <f>VLOOKUP(A466,ASESORES!$A$2:$B$993,2,0)</f>
        <v>CICHETTO</v>
      </c>
      <c r="C466">
        <v>43488704.229999997</v>
      </c>
      <c r="D466">
        <v>62374530</v>
      </c>
      <c r="E466">
        <v>91437092.669999987</v>
      </c>
      <c r="F466">
        <v>78046971</v>
      </c>
      <c r="G466">
        <v>96123584</v>
      </c>
      <c r="H466">
        <v>81113100</v>
      </c>
      <c r="I466">
        <f t="shared" si="63"/>
        <v>0.79464926311050044</v>
      </c>
      <c r="J466">
        <f t="shared" si="64"/>
        <v>0.54107107500449292</v>
      </c>
      <c r="K466">
        <f t="shared" si="65"/>
        <v>-0.11290814666712645</v>
      </c>
      <c r="L466">
        <f t="shared" si="66"/>
        <v>6.2716549215417938</v>
      </c>
      <c r="M466">
        <f t="shared" si="67"/>
        <v>4.3192783854645658</v>
      </c>
      <c r="N466">
        <f t="shared" si="68"/>
        <v>-0.89300080659656222</v>
      </c>
      <c r="O466">
        <f t="shared" si="69"/>
        <v>91.53394803017602</v>
      </c>
      <c r="P466">
        <f t="shared" si="70"/>
        <v>78.290025146689018</v>
      </c>
      <c r="Q466">
        <f t="shared" si="71"/>
        <v>8.046940486169321</v>
      </c>
    </row>
    <row r="467" spans="1:17" x14ac:dyDescent="0.3">
      <c r="A467">
        <v>51023528</v>
      </c>
      <c r="B467" t="str">
        <f>VLOOKUP(A467,ASESORES!$A$2:$B$993,2,0)</f>
        <v>LÓPEZ</v>
      </c>
      <c r="C467">
        <v>26125319.449999999</v>
      </c>
      <c r="D467">
        <v>38293866.209999993</v>
      </c>
      <c r="E467">
        <v>60380029.810000002</v>
      </c>
      <c r="F467">
        <v>45950568</v>
      </c>
      <c r="G467">
        <v>65250210</v>
      </c>
      <c r="H467">
        <v>81062895</v>
      </c>
      <c r="I467">
        <f t="shared" si="63"/>
        <v>0.75885190946440284</v>
      </c>
      <c r="J467">
        <f t="shared" si="64"/>
        <v>0.70393372249680741</v>
      </c>
      <c r="K467">
        <f t="shared" si="65"/>
        <v>0.34254479925040626</v>
      </c>
      <c r="L467">
        <f t="shared" si="66"/>
        <v>5.814544068283821</v>
      </c>
      <c r="M467">
        <f t="shared" si="67"/>
        <v>5.5009477362934192</v>
      </c>
      <c r="N467">
        <f t="shared" si="68"/>
        <v>2.7091258818558357</v>
      </c>
      <c r="O467">
        <f t="shared" si="69"/>
        <v>89.857502095557422</v>
      </c>
      <c r="P467">
        <f t="shared" si="70"/>
        <v>88.432523051131611</v>
      </c>
      <c r="Q467">
        <f t="shared" si="71"/>
        <v>69.237217099748534</v>
      </c>
    </row>
    <row r="468" spans="1:17" x14ac:dyDescent="0.3">
      <c r="A468">
        <v>51013735</v>
      </c>
      <c r="B468" t="str">
        <f>VLOOKUP(A468,ASESORES!$A$2:$B$993,2,0)</f>
        <v>AYALA</v>
      </c>
      <c r="C468">
        <v>36828191.200000003</v>
      </c>
      <c r="D468">
        <v>43446577.260000013</v>
      </c>
      <c r="E468">
        <v>58658085.099999987</v>
      </c>
      <c r="F468">
        <v>44763932</v>
      </c>
      <c r="G468">
        <v>71560667</v>
      </c>
      <c r="H468">
        <v>81050893</v>
      </c>
      <c r="I468">
        <f t="shared" si="63"/>
        <v>0.2154800586568042</v>
      </c>
      <c r="J468">
        <f t="shared" si="64"/>
        <v>0.64709561749260747</v>
      </c>
      <c r="K468">
        <f t="shared" si="65"/>
        <v>0.38175143054576144</v>
      </c>
      <c r="L468">
        <f t="shared" si="66"/>
        <v>1.6486224632062809</v>
      </c>
      <c r="M468">
        <f t="shared" si="67"/>
        <v>5.082725368045363</v>
      </c>
      <c r="N468">
        <f t="shared" si="68"/>
        <v>3.0191796055807401</v>
      </c>
      <c r="O468">
        <f t="shared" si="69"/>
        <v>42.24643755238894</v>
      </c>
      <c r="P468">
        <f t="shared" si="70"/>
        <v>85.498742665549031</v>
      </c>
      <c r="Q468">
        <f t="shared" si="71"/>
        <v>74.266554903604359</v>
      </c>
    </row>
    <row r="469" spans="1:17" x14ac:dyDescent="0.3">
      <c r="A469">
        <v>51036611</v>
      </c>
      <c r="B469" t="str">
        <f>VLOOKUP(A469,ASESORES!$A$2:$B$993,2,0)</f>
        <v>AYALA</v>
      </c>
      <c r="C469">
        <v>34731697.210000001</v>
      </c>
      <c r="D469">
        <v>38729507.399999999</v>
      </c>
      <c r="E469">
        <v>51384156.439999998</v>
      </c>
      <c r="F469">
        <v>45681380</v>
      </c>
      <c r="G469">
        <v>63980731</v>
      </c>
      <c r="H469">
        <v>81011385</v>
      </c>
      <c r="I469">
        <f t="shared" si="63"/>
        <v>0.31526483499479974</v>
      </c>
      <c r="J469">
        <f t="shared" si="64"/>
        <v>0.65198927885150448</v>
      </c>
      <c r="K469">
        <f t="shared" si="65"/>
        <v>0.57658295110079272</v>
      </c>
      <c r="L469">
        <f t="shared" si="66"/>
        <v>2.4148464197656856</v>
      </c>
      <c r="M469">
        <f t="shared" si="67"/>
        <v>5.0894603871058184</v>
      </c>
      <c r="N469">
        <f t="shared" si="68"/>
        <v>4.5599328245142399</v>
      </c>
      <c r="O469">
        <f t="shared" si="69"/>
        <v>54.316848281642919</v>
      </c>
      <c r="P469">
        <f t="shared" si="70"/>
        <v>85.666387259010904</v>
      </c>
      <c r="Q469">
        <f t="shared" si="71"/>
        <v>88.851634534786257</v>
      </c>
    </row>
    <row r="470" spans="1:17" x14ac:dyDescent="0.3">
      <c r="A470">
        <v>51010035</v>
      </c>
      <c r="B470" t="str">
        <f>VLOOKUP(A470,ASESORES!$A$2:$B$993,2,0)</f>
        <v>AYALA</v>
      </c>
      <c r="C470">
        <v>43406422.549999997</v>
      </c>
      <c r="D470">
        <v>36529052.149999999</v>
      </c>
      <c r="E470">
        <v>47011191.150000013</v>
      </c>
      <c r="F470">
        <v>49726155</v>
      </c>
      <c r="G470">
        <v>66648381</v>
      </c>
      <c r="H470">
        <v>80975083</v>
      </c>
      <c r="I470">
        <f t="shared" si="63"/>
        <v>0.14559440927711287</v>
      </c>
      <c r="J470">
        <f t="shared" si="64"/>
        <v>0.82453080704969794</v>
      </c>
      <c r="K470">
        <f t="shared" si="65"/>
        <v>0.72246397121975447</v>
      </c>
      <c r="L470">
        <f t="shared" si="66"/>
        <v>1.1205797289621775</v>
      </c>
      <c r="M470">
        <f t="shared" si="67"/>
        <v>6.4509555564909684</v>
      </c>
      <c r="N470">
        <f t="shared" si="68"/>
        <v>5.7134989595726031</v>
      </c>
      <c r="O470">
        <f t="shared" si="69"/>
        <v>34.367141659681479</v>
      </c>
      <c r="P470">
        <f t="shared" si="70"/>
        <v>92.288348700754398</v>
      </c>
      <c r="Q470">
        <f t="shared" si="71"/>
        <v>93.545683151718364</v>
      </c>
    </row>
    <row r="471" spans="1:17" x14ac:dyDescent="0.3">
      <c r="A471">
        <v>51035682</v>
      </c>
      <c r="B471" t="str">
        <f>VLOOKUP(A471,ASESORES!$A$2:$B$993,2,0)</f>
        <v>CICHETTO</v>
      </c>
      <c r="C471">
        <v>48869227.920000002</v>
      </c>
      <c r="D471">
        <v>61695737.469999999</v>
      </c>
      <c r="E471">
        <v>73404222.929999992</v>
      </c>
      <c r="F471">
        <v>54444691</v>
      </c>
      <c r="G471">
        <v>63465350</v>
      </c>
      <c r="H471">
        <v>80911377</v>
      </c>
      <c r="I471">
        <f t="shared" si="63"/>
        <v>0.11408944477549654</v>
      </c>
      <c r="J471">
        <f t="shared" si="64"/>
        <v>2.868289775870636E-2</v>
      </c>
      <c r="K471">
        <f t="shared" si="65"/>
        <v>0.10227141941355344</v>
      </c>
      <c r="L471">
        <f t="shared" si="66"/>
        <v>0.88259087206057485</v>
      </c>
      <c r="M471">
        <f t="shared" si="67"/>
        <v>0.22379936183520913</v>
      </c>
      <c r="N471">
        <f t="shared" si="68"/>
        <v>0.80876336574341312</v>
      </c>
      <c r="O471">
        <f t="shared" si="69"/>
        <v>31.517183570829843</v>
      </c>
      <c r="P471">
        <f t="shared" si="70"/>
        <v>28.248113998323554</v>
      </c>
      <c r="Q471">
        <f t="shared" si="71"/>
        <v>41.408214585079634</v>
      </c>
    </row>
    <row r="472" spans="1:17" x14ac:dyDescent="0.3">
      <c r="A472">
        <v>51016416</v>
      </c>
      <c r="B472" t="str">
        <f>VLOOKUP(A472,ASESORES!$A$2:$B$993,2,0)</f>
        <v>CICHETTO</v>
      </c>
      <c r="C472">
        <v>56078965.330000013</v>
      </c>
      <c r="D472">
        <v>63751292.600000001</v>
      </c>
      <c r="E472">
        <v>71796665.039999992</v>
      </c>
      <c r="F472">
        <v>55486594</v>
      </c>
      <c r="G472">
        <v>71511140</v>
      </c>
      <c r="H472">
        <v>80605635</v>
      </c>
      <c r="I472">
        <f t="shared" si="63"/>
        <v>-1.0563164397099145E-2</v>
      </c>
      <c r="J472">
        <f t="shared" si="64"/>
        <v>0.12172062845357901</v>
      </c>
      <c r="K472">
        <f t="shared" si="65"/>
        <v>0.12269330274731116</v>
      </c>
      <c r="L472">
        <f t="shared" si="66"/>
        <v>-8.1803131671814425E-2</v>
      </c>
      <c r="M472">
        <f t="shared" si="67"/>
        <v>0.95603930304767426</v>
      </c>
      <c r="N472">
        <f t="shared" si="68"/>
        <v>0.97005808409962135</v>
      </c>
      <c r="O472">
        <f t="shared" si="69"/>
        <v>10.645431684828164</v>
      </c>
      <c r="P472">
        <f t="shared" si="70"/>
        <v>34.618608549874267</v>
      </c>
      <c r="Q472">
        <f t="shared" si="71"/>
        <v>43.08466051969824</v>
      </c>
    </row>
    <row r="473" spans="1:17" x14ac:dyDescent="0.3">
      <c r="A473">
        <v>51038762</v>
      </c>
      <c r="B473" t="str">
        <f>VLOOKUP(A473,ASESORES!$A$2:$B$993,2,0)</f>
        <v>AYALA</v>
      </c>
      <c r="C473">
        <v>54065693.289999999</v>
      </c>
      <c r="D473">
        <v>53803452.280000001</v>
      </c>
      <c r="E473">
        <v>64167309.899999999</v>
      </c>
      <c r="F473">
        <v>46638074</v>
      </c>
      <c r="G473">
        <v>61557857</v>
      </c>
      <c r="H473">
        <v>80543572</v>
      </c>
      <c r="I473">
        <f t="shared" si="63"/>
        <v>-0.13738137510157133</v>
      </c>
      <c r="J473">
        <f t="shared" si="64"/>
        <v>0.1441246684254589</v>
      </c>
      <c r="K473">
        <f t="shared" si="65"/>
        <v>0.25521191593540693</v>
      </c>
      <c r="L473">
        <f t="shared" si="66"/>
        <v>-1.0535421299114891</v>
      </c>
      <c r="M473">
        <f t="shared" si="67"/>
        <v>1.1226279006176949</v>
      </c>
      <c r="N473">
        <f t="shared" si="68"/>
        <v>2.0177132898808723</v>
      </c>
      <c r="O473">
        <f t="shared" si="69"/>
        <v>6.957250628667226</v>
      </c>
      <c r="P473">
        <f t="shared" si="70"/>
        <v>36.965632858340321</v>
      </c>
      <c r="Q473">
        <f t="shared" si="71"/>
        <v>58.843252305113161</v>
      </c>
    </row>
    <row r="474" spans="1:17" x14ac:dyDescent="0.3">
      <c r="A474">
        <v>51023307</v>
      </c>
      <c r="B474" t="str">
        <f>VLOOKUP(A474,ASESORES!$A$2:$B$993,2,0)</f>
        <v>NELLI</v>
      </c>
      <c r="C474">
        <v>38600079.719999999</v>
      </c>
      <c r="D474">
        <v>47269235.040000007</v>
      </c>
      <c r="E474">
        <v>58659982.990000002</v>
      </c>
      <c r="F474">
        <v>51241293</v>
      </c>
      <c r="G474">
        <v>67934685</v>
      </c>
      <c r="H474">
        <v>80424121</v>
      </c>
      <c r="I474">
        <f t="shared" si="63"/>
        <v>0.32749189565663417</v>
      </c>
      <c r="J474">
        <f t="shared" si="64"/>
        <v>0.43718604590306032</v>
      </c>
      <c r="K474">
        <f t="shared" si="65"/>
        <v>0.37102189432462351</v>
      </c>
      <c r="L474">
        <f t="shared" si="66"/>
        <v>2.5248380947932025</v>
      </c>
      <c r="M474">
        <f t="shared" si="67"/>
        <v>3.4240811428918914</v>
      </c>
      <c r="N474">
        <f t="shared" si="68"/>
        <v>2.9330714089102634</v>
      </c>
      <c r="O474">
        <f t="shared" si="69"/>
        <v>55.993294216261525</v>
      </c>
      <c r="P474">
        <f t="shared" si="70"/>
        <v>69.153394803017605</v>
      </c>
      <c r="Q474">
        <f t="shared" si="71"/>
        <v>72.841575859178548</v>
      </c>
    </row>
    <row r="475" spans="1:17" x14ac:dyDescent="0.3">
      <c r="A475">
        <v>51012062</v>
      </c>
      <c r="B475" t="str">
        <f>VLOOKUP(A475,ASESORES!$A$2:$B$993,2,0)</f>
        <v>BELUZZO</v>
      </c>
      <c r="C475">
        <v>36408319.219999999</v>
      </c>
      <c r="D475">
        <v>54341944.630000003</v>
      </c>
      <c r="E475">
        <v>71691616.820000008</v>
      </c>
      <c r="F475">
        <v>55487640</v>
      </c>
      <c r="G475">
        <v>67867278</v>
      </c>
      <c r="H475">
        <v>80274286</v>
      </c>
      <c r="I475">
        <f t="shared" si="63"/>
        <v>0.52403739553896389</v>
      </c>
      <c r="J475">
        <f t="shared" si="64"/>
        <v>0.2488930689192379</v>
      </c>
      <c r="K475">
        <f t="shared" si="65"/>
        <v>0.11971649630317249</v>
      </c>
      <c r="L475">
        <f t="shared" si="66"/>
        <v>4.0582484353820911</v>
      </c>
      <c r="M475">
        <f t="shared" si="67"/>
        <v>1.9492459994026365</v>
      </c>
      <c r="N475">
        <f t="shared" si="68"/>
        <v>0.94630819752474449</v>
      </c>
      <c r="O475">
        <f t="shared" si="69"/>
        <v>77.870913663034372</v>
      </c>
      <c r="P475">
        <f t="shared" si="70"/>
        <v>47.359597652975694</v>
      </c>
      <c r="Q475">
        <f t="shared" si="71"/>
        <v>42.917015926236381</v>
      </c>
    </row>
    <row r="476" spans="1:17" x14ac:dyDescent="0.3">
      <c r="A476">
        <v>51021631</v>
      </c>
      <c r="B476" t="str">
        <f>VLOOKUP(A476,ASESORES!$A$2:$B$993,2,0)</f>
        <v>METTLER</v>
      </c>
      <c r="C476">
        <v>27292769.079999998</v>
      </c>
      <c r="D476">
        <v>31761199.07</v>
      </c>
      <c r="E476">
        <v>45612489.189999998</v>
      </c>
      <c r="F476">
        <v>44052192</v>
      </c>
      <c r="G476">
        <v>50069108</v>
      </c>
      <c r="H476">
        <v>80262230</v>
      </c>
      <c r="I476">
        <f t="shared" si="63"/>
        <v>0.61406092107675581</v>
      </c>
      <c r="J476">
        <f t="shared" si="64"/>
        <v>0.5764237329217432</v>
      </c>
      <c r="K476">
        <f t="shared" si="65"/>
        <v>0.75965467847338064</v>
      </c>
      <c r="L476">
        <f t="shared" si="66"/>
        <v>4.6938617381081977</v>
      </c>
      <c r="M476">
        <f t="shared" si="67"/>
        <v>4.4382147973351174</v>
      </c>
      <c r="N476">
        <f t="shared" si="68"/>
        <v>6.0046989308163381</v>
      </c>
      <c r="O476">
        <f t="shared" si="69"/>
        <v>83.738474434199489</v>
      </c>
      <c r="P476">
        <f t="shared" si="70"/>
        <v>79.6311818943839</v>
      </c>
      <c r="Q476">
        <f t="shared" si="71"/>
        <v>94.551550712489515</v>
      </c>
    </row>
    <row r="477" spans="1:17" x14ac:dyDescent="0.3">
      <c r="A477">
        <v>51008618</v>
      </c>
      <c r="B477" t="str">
        <f>VLOOKUP(A477,ASESORES!$A$2:$B$993,2,0)</f>
        <v>LÓPEZ</v>
      </c>
      <c r="C477">
        <v>25499011.5</v>
      </c>
      <c r="D477">
        <v>49393585.939999998</v>
      </c>
      <c r="E477">
        <v>101836022.97</v>
      </c>
      <c r="F477">
        <v>79011461</v>
      </c>
      <c r="G477">
        <v>86740504</v>
      </c>
      <c r="H477">
        <v>80057430</v>
      </c>
      <c r="I477">
        <f t="shared" si="63"/>
        <v>2.0986087833247966</v>
      </c>
      <c r="J477">
        <f t="shared" si="64"/>
        <v>0.756108659641892</v>
      </c>
      <c r="K477">
        <f t="shared" si="65"/>
        <v>-0.21385942159598847</v>
      </c>
      <c r="L477">
        <f t="shared" si="66"/>
        <v>16.574161795898032</v>
      </c>
      <c r="M477">
        <f t="shared" si="67"/>
        <v>6.0021583519456767</v>
      </c>
      <c r="N477">
        <f t="shared" si="68"/>
        <v>-1.6902169042888633</v>
      </c>
      <c r="O477">
        <f t="shared" si="69"/>
        <v>99.077954735959764</v>
      </c>
      <c r="P477">
        <f t="shared" si="70"/>
        <v>90.695725062866728</v>
      </c>
      <c r="Q477">
        <f t="shared" si="71"/>
        <v>5.1131601005867564</v>
      </c>
    </row>
    <row r="478" spans="1:17" x14ac:dyDescent="0.3">
      <c r="A478">
        <v>51010574</v>
      </c>
      <c r="B478" t="str">
        <f>VLOOKUP(A478,ASESORES!$A$2:$B$993,2,0)</f>
        <v>MONTENEGRO</v>
      </c>
      <c r="C478">
        <v>45583349.420000002</v>
      </c>
      <c r="D478">
        <v>59084556.099999987</v>
      </c>
      <c r="E478">
        <v>70569860.120000005</v>
      </c>
      <c r="F478">
        <v>78168340</v>
      </c>
      <c r="G478">
        <v>82883890</v>
      </c>
      <c r="H478">
        <v>79844917</v>
      </c>
      <c r="I478">
        <f t="shared" si="63"/>
        <v>0.7148441480191694</v>
      </c>
      <c r="J478">
        <f t="shared" si="64"/>
        <v>0.40280126433919361</v>
      </c>
      <c r="K478">
        <f t="shared" si="65"/>
        <v>0.13143085255133413</v>
      </c>
      <c r="L478">
        <f t="shared" si="66"/>
        <v>5.6422869413379528</v>
      </c>
      <c r="M478">
        <f t="shared" si="67"/>
        <v>3.1895697782547692</v>
      </c>
      <c r="N478">
        <f t="shared" si="68"/>
        <v>1.0385990962634388</v>
      </c>
      <c r="O478">
        <f t="shared" si="69"/>
        <v>89.019279128248115</v>
      </c>
      <c r="P478">
        <f t="shared" si="70"/>
        <v>65.549036043587591</v>
      </c>
      <c r="Q478">
        <f t="shared" si="71"/>
        <v>44.341994970662199</v>
      </c>
    </row>
    <row r="479" spans="1:17" x14ac:dyDescent="0.3">
      <c r="A479">
        <v>51056493</v>
      </c>
      <c r="B479" t="str">
        <f>VLOOKUP(A479,ASESORES!$A$2:$B$993,2,0)</f>
        <v>AYALA</v>
      </c>
      <c r="C479">
        <v>41440658.530000001</v>
      </c>
      <c r="D479">
        <v>43647479.450000003</v>
      </c>
      <c r="E479">
        <v>57690496.400000013</v>
      </c>
      <c r="F479">
        <v>46154720</v>
      </c>
      <c r="G479">
        <v>61615697</v>
      </c>
      <c r="H479">
        <v>79701854</v>
      </c>
      <c r="I479">
        <f t="shared" si="63"/>
        <v>0.11375450191235159</v>
      </c>
      <c r="J479">
        <f t="shared" si="64"/>
        <v>0.41166678526267098</v>
      </c>
      <c r="K479">
        <f t="shared" si="65"/>
        <v>0.38154217719645045</v>
      </c>
      <c r="L479">
        <f t="shared" si="66"/>
        <v>0.87183908735215043</v>
      </c>
      <c r="M479">
        <f t="shared" si="67"/>
        <v>3.2067572026677733</v>
      </c>
      <c r="N479">
        <f t="shared" si="68"/>
        <v>3.0147434655183871</v>
      </c>
      <c r="O479">
        <f t="shared" si="69"/>
        <v>31.265716680637052</v>
      </c>
      <c r="P479">
        <f t="shared" si="70"/>
        <v>65.800502933780379</v>
      </c>
      <c r="Q479">
        <f t="shared" si="71"/>
        <v>74.182732606873429</v>
      </c>
    </row>
    <row r="480" spans="1:17" x14ac:dyDescent="0.3">
      <c r="A480">
        <v>51024206</v>
      </c>
      <c r="B480" t="str">
        <f>VLOOKUP(A480,ASESORES!$A$2:$B$993,2,0)</f>
        <v>MONTENEGRO</v>
      </c>
      <c r="C480">
        <v>62556933.450000003</v>
      </c>
      <c r="D480">
        <v>47143495.600000001</v>
      </c>
      <c r="E480">
        <v>66279144.299999997</v>
      </c>
      <c r="F480">
        <v>53641885</v>
      </c>
      <c r="G480">
        <v>69842186</v>
      </c>
      <c r="H480">
        <v>79614069</v>
      </c>
      <c r="I480">
        <f t="shared" si="63"/>
        <v>-0.14251095695292593</v>
      </c>
      <c r="J480">
        <f t="shared" si="64"/>
        <v>0.48148085141145103</v>
      </c>
      <c r="K480">
        <f t="shared" si="65"/>
        <v>0.20119337448959795</v>
      </c>
      <c r="L480">
        <f t="shared" si="66"/>
        <v>-1.1015390161938829</v>
      </c>
      <c r="M480">
        <f t="shared" si="67"/>
        <v>3.7767925284480564</v>
      </c>
      <c r="N480">
        <f t="shared" si="68"/>
        <v>1.5896268038683656</v>
      </c>
      <c r="O480">
        <f t="shared" si="69"/>
        <v>6.6219614417435038</v>
      </c>
      <c r="P480">
        <f t="shared" si="70"/>
        <v>73.176865046102265</v>
      </c>
      <c r="Q480">
        <f t="shared" si="71"/>
        <v>53.47862531433362</v>
      </c>
    </row>
    <row r="481" spans="1:17" x14ac:dyDescent="0.3">
      <c r="A481">
        <v>51056442</v>
      </c>
      <c r="B481" t="str">
        <f>VLOOKUP(A481,ASESORES!$A$2:$B$993,2,0)</f>
        <v>PUGH</v>
      </c>
      <c r="C481">
        <v>28037715.579999998</v>
      </c>
      <c r="D481">
        <v>46936182.700000003</v>
      </c>
      <c r="E481">
        <v>57135358</v>
      </c>
      <c r="F481">
        <v>51002402</v>
      </c>
      <c r="G481">
        <v>67939097</v>
      </c>
      <c r="H481">
        <v>79581966</v>
      </c>
      <c r="I481">
        <f t="shared" si="63"/>
        <v>0.81906410507927707</v>
      </c>
      <c r="J481">
        <f t="shared" si="64"/>
        <v>0.44747810946287281</v>
      </c>
      <c r="K481">
        <f t="shared" si="65"/>
        <v>0.39286719792671998</v>
      </c>
      <c r="L481">
        <f t="shared" si="66"/>
        <v>6.3130108217068832</v>
      </c>
      <c r="M481">
        <f t="shared" si="67"/>
        <v>3.5047021478680653</v>
      </c>
      <c r="N481">
        <f t="shared" si="68"/>
        <v>3.1039709183025339</v>
      </c>
      <c r="O481">
        <f t="shared" si="69"/>
        <v>91.785414920368808</v>
      </c>
      <c r="P481">
        <f t="shared" si="70"/>
        <v>70.075440067057841</v>
      </c>
      <c r="Q481">
        <f t="shared" si="71"/>
        <v>75.356244761106453</v>
      </c>
    </row>
    <row r="482" spans="1:17" x14ac:dyDescent="0.3">
      <c r="A482">
        <v>51033621</v>
      </c>
      <c r="B482" t="str">
        <f>VLOOKUP(A482,ASESORES!$A$2:$B$993,2,0)</f>
        <v>AYALA</v>
      </c>
      <c r="C482">
        <v>32038961.100000001</v>
      </c>
      <c r="D482">
        <v>43443188.299999997</v>
      </c>
      <c r="E482">
        <v>55840926.789999999</v>
      </c>
      <c r="F482">
        <v>48517338</v>
      </c>
      <c r="G482">
        <v>65075477</v>
      </c>
      <c r="H482">
        <v>79543704</v>
      </c>
      <c r="I482">
        <f t="shared" si="63"/>
        <v>0.51432307210485662</v>
      </c>
      <c r="J482">
        <f t="shared" si="64"/>
        <v>0.4979443163935553</v>
      </c>
      <c r="K482">
        <f t="shared" si="65"/>
        <v>0.42446962420839873</v>
      </c>
      <c r="L482">
        <f t="shared" si="66"/>
        <v>3.9530341386218288</v>
      </c>
      <c r="M482">
        <f t="shared" si="67"/>
        <v>3.8906467660973427</v>
      </c>
      <c r="N482">
        <f t="shared" si="68"/>
        <v>3.3535671793177091</v>
      </c>
      <c r="O482">
        <f t="shared" si="69"/>
        <v>76.948868398994136</v>
      </c>
      <c r="P482">
        <f t="shared" si="70"/>
        <v>74.434199497066217</v>
      </c>
      <c r="Q482">
        <f t="shared" si="71"/>
        <v>77.61944677284157</v>
      </c>
    </row>
    <row r="483" spans="1:17" x14ac:dyDescent="0.3">
      <c r="A483">
        <v>51016394</v>
      </c>
      <c r="B483" t="str">
        <f>VLOOKUP(A483,ASESORES!$A$2:$B$993,2,0)</f>
        <v>METTLER</v>
      </c>
      <c r="C483">
        <v>35276558.200000003</v>
      </c>
      <c r="D483">
        <v>46160184.719999999</v>
      </c>
      <c r="E483">
        <v>57050982.909999996</v>
      </c>
      <c r="F483">
        <v>51932551</v>
      </c>
      <c r="G483">
        <v>68128342</v>
      </c>
      <c r="H483">
        <v>79517609</v>
      </c>
      <c r="I483">
        <f t="shared" si="63"/>
        <v>0.47215470130529891</v>
      </c>
      <c r="J483">
        <f t="shared" si="64"/>
        <v>0.47591138149154277</v>
      </c>
      <c r="K483">
        <f t="shared" si="65"/>
        <v>0.39379910641402849</v>
      </c>
      <c r="L483">
        <f t="shared" si="66"/>
        <v>3.6428811063476987</v>
      </c>
      <c r="M483">
        <f t="shared" si="67"/>
        <v>3.727969864442239</v>
      </c>
      <c r="N483">
        <f t="shared" si="68"/>
        <v>3.1111953928637015</v>
      </c>
      <c r="O483">
        <f t="shared" si="69"/>
        <v>73.344509639564123</v>
      </c>
      <c r="P483">
        <f t="shared" si="70"/>
        <v>72.338642078792958</v>
      </c>
      <c r="Q483">
        <f t="shared" si="71"/>
        <v>75.523889354568325</v>
      </c>
    </row>
    <row r="484" spans="1:17" x14ac:dyDescent="0.3">
      <c r="A484">
        <v>51001389</v>
      </c>
      <c r="B484" t="str">
        <f>VLOOKUP(A484,ASESORES!$A$2:$B$993,2,0)</f>
        <v>NELLI</v>
      </c>
      <c r="C484">
        <v>30594182.920000002</v>
      </c>
      <c r="D484">
        <v>33962498.859999999</v>
      </c>
      <c r="E484">
        <v>54456710.239999987</v>
      </c>
      <c r="F484">
        <v>45286605</v>
      </c>
      <c r="G484">
        <v>67564620</v>
      </c>
      <c r="H484">
        <v>79473142</v>
      </c>
      <c r="I484">
        <f t="shared" si="63"/>
        <v>0.48023580555881695</v>
      </c>
      <c r="J484">
        <f t="shared" si="64"/>
        <v>0.98938895157610318</v>
      </c>
      <c r="K484">
        <f t="shared" si="65"/>
        <v>0.45938198708200217</v>
      </c>
      <c r="L484">
        <f t="shared" si="66"/>
        <v>3.676670807024192</v>
      </c>
      <c r="M484">
        <f t="shared" si="67"/>
        <v>7.7466378074826538</v>
      </c>
      <c r="N484">
        <f t="shared" si="68"/>
        <v>3.6292189380885729</v>
      </c>
      <c r="O484">
        <f t="shared" si="69"/>
        <v>73.763621123218783</v>
      </c>
      <c r="P484">
        <f t="shared" si="70"/>
        <v>95.222129086336977</v>
      </c>
      <c r="Q484">
        <f t="shared" si="71"/>
        <v>80.385582564962277</v>
      </c>
    </row>
    <row r="485" spans="1:17" x14ac:dyDescent="0.3">
      <c r="A485">
        <v>51042891</v>
      </c>
      <c r="B485" t="str">
        <f>VLOOKUP(A485,ASESORES!$A$2:$B$993,2,0)</f>
        <v>ROBERTS</v>
      </c>
      <c r="C485">
        <v>21099088.440000001</v>
      </c>
      <c r="D485">
        <v>32610624.300000001</v>
      </c>
      <c r="E485">
        <v>51668690.359999999</v>
      </c>
      <c r="F485">
        <v>55024569</v>
      </c>
      <c r="G485">
        <v>75486957</v>
      </c>
      <c r="H485">
        <v>79415160</v>
      </c>
      <c r="I485">
        <f t="shared" si="63"/>
        <v>1.6079121454215772</v>
      </c>
      <c r="J485">
        <f t="shared" si="64"/>
        <v>1.314796438901662</v>
      </c>
      <c r="K485">
        <f t="shared" si="65"/>
        <v>0.53700741100030469</v>
      </c>
      <c r="L485">
        <f t="shared" si="66"/>
        <v>12.446135049004672</v>
      </c>
      <c r="M485">
        <f t="shared" si="67"/>
        <v>10.357797944723663</v>
      </c>
      <c r="N485">
        <f t="shared" si="68"/>
        <v>4.2423066801606373</v>
      </c>
      <c r="O485">
        <f t="shared" si="69"/>
        <v>98.239731768650458</v>
      </c>
      <c r="P485">
        <f t="shared" si="70"/>
        <v>97.820620284995812</v>
      </c>
      <c r="Q485">
        <f t="shared" si="71"/>
        <v>86.253143336127408</v>
      </c>
    </row>
    <row r="486" spans="1:17" x14ac:dyDescent="0.3">
      <c r="A486">
        <v>51055411</v>
      </c>
      <c r="B486" t="str">
        <f>VLOOKUP(A486,ASESORES!$A$2:$B$993,2,0)</f>
        <v>AYALA</v>
      </c>
      <c r="C486">
        <v>38997826.799999997</v>
      </c>
      <c r="D486">
        <v>51396697.739999987</v>
      </c>
      <c r="E486">
        <v>64208956.369999997</v>
      </c>
      <c r="F486">
        <v>55469286</v>
      </c>
      <c r="G486">
        <v>71956953</v>
      </c>
      <c r="H486">
        <v>79245846</v>
      </c>
      <c r="I486">
        <f t="shared" si="63"/>
        <v>0.42236864337271229</v>
      </c>
      <c r="J486">
        <f t="shared" si="64"/>
        <v>0.40003066663947928</v>
      </c>
      <c r="K486">
        <f t="shared" si="65"/>
        <v>0.2341867938695481</v>
      </c>
      <c r="L486">
        <f t="shared" si="66"/>
        <v>3.2708449805974809</v>
      </c>
      <c r="M486">
        <f t="shared" si="67"/>
        <v>3.1430700560045204</v>
      </c>
      <c r="N486">
        <f t="shared" si="68"/>
        <v>1.8498359828233983</v>
      </c>
      <c r="O486">
        <f t="shared" si="69"/>
        <v>68.231349538977369</v>
      </c>
      <c r="P486">
        <f t="shared" si="70"/>
        <v>65.046102263202016</v>
      </c>
      <c r="Q486">
        <f t="shared" si="71"/>
        <v>56.24476110645432</v>
      </c>
    </row>
    <row r="487" spans="1:17" x14ac:dyDescent="0.3">
      <c r="A487">
        <v>51038657</v>
      </c>
      <c r="B487" t="str">
        <f>VLOOKUP(A487,ASESORES!$A$2:$B$993,2,0)</f>
        <v>LÓPEZ</v>
      </c>
      <c r="C487">
        <v>39084995.399999999</v>
      </c>
      <c r="D487">
        <v>68381370.900000006</v>
      </c>
      <c r="E487">
        <v>69392119.030000001</v>
      </c>
      <c r="F487">
        <v>53814737</v>
      </c>
      <c r="G487">
        <v>64195902</v>
      </c>
      <c r="H487">
        <v>79200774</v>
      </c>
      <c r="I487">
        <f t="shared" si="63"/>
        <v>0.37686435547079533</v>
      </c>
      <c r="J487">
        <f t="shared" si="64"/>
        <v>-6.1207736038529803E-2</v>
      </c>
      <c r="K487">
        <f t="shared" si="65"/>
        <v>0.14135113766679264</v>
      </c>
      <c r="L487">
        <f t="shared" si="66"/>
        <v>2.9135011062977565</v>
      </c>
      <c r="M487">
        <f t="shared" si="67"/>
        <v>-0.47787984626757718</v>
      </c>
      <c r="N487">
        <f t="shared" si="68"/>
        <v>1.1164943904604552</v>
      </c>
      <c r="O487">
        <f t="shared" si="69"/>
        <v>62.028499580888521</v>
      </c>
      <c r="P487">
        <f t="shared" si="70"/>
        <v>8.7175188600167637</v>
      </c>
      <c r="Q487">
        <f t="shared" si="71"/>
        <v>45.180217937971499</v>
      </c>
    </row>
    <row r="488" spans="1:17" x14ac:dyDescent="0.3">
      <c r="A488">
        <v>51055632</v>
      </c>
      <c r="B488" t="str">
        <f>VLOOKUP(A488,ASESORES!$A$2:$B$993,2,0)</f>
        <v>MONTENEGRO</v>
      </c>
      <c r="C488">
        <v>52693645.990000002</v>
      </c>
      <c r="D488">
        <v>65586195.439999998</v>
      </c>
      <c r="E488">
        <v>80439138.229999989</v>
      </c>
      <c r="F488">
        <v>59250853</v>
      </c>
      <c r="G488">
        <v>66808662</v>
      </c>
      <c r="H488">
        <v>79121149</v>
      </c>
      <c r="I488">
        <f t="shared" si="63"/>
        <v>0.12444018413993208</v>
      </c>
      <c r="J488">
        <f t="shared" si="64"/>
        <v>1.8639083297922854E-2</v>
      </c>
      <c r="K488">
        <f t="shared" si="65"/>
        <v>-1.6384924789117683E-2</v>
      </c>
      <c r="L488">
        <f t="shared" si="66"/>
        <v>0.96723554815999313</v>
      </c>
      <c r="M488">
        <f t="shared" si="67"/>
        <v>0.14584770986832257</v>
      </c>
      <c r="N488">
        <f t="shared" si="68"/>
        <v>-0.12941292997543838</v>
      </c>
      <c r="O488">
        <f t="shared" si="69"/>
        <v>32.439228834870079</v>
      </c>
      <c r="P488">
        <f t="shared" si="70"/>
        <v>27.409891031014251</v>
      </c>
      <c r="Q488">
        <f t="shared" si="71"/>
        <v>13.830678960603521</v>
      </c>
    </row>
    <row r="489" spans="1:17" x14ac:dyDescent="0.3">
      <c r="A489">
        <v>51026799</v>
      </c>
      <c r="B489" t="str">
        <f>VLOOKUP(A489,ASESORES!$A$2:$B$993,2,0)</f>
        <v>PUGH</v>
      </c>
      <c r="C489">
        <v>43320583.450000003</v>
      </c>
      <c r="D489">
        <v>56174214.090000004</v>
      </c>
      <c r="E489">
        <v>59744938.999999993</v>
      </c>
      <c r="F489">
        <v>51839508</v>
      </c>
      <c r="G489">
        <v>67393849</v>
      </c>
      <c r="H489">
        <v>78789515</v>
      </c>
      <c r="I489">
        <f t="shared" si="63"/>
        <v>0.1966484260266812</v>
      </c>
      <c r="J489">
        <f t="shared" si="64"/>
        <v>0.19972927243849581</v>
      </c>
      <c r="K489">
        <f t="shared" si="65"/>
        <v>0.31876467394167074</v>
      </c>
      <c r="L489">
        <f t="shared" si="66"/>
        <v>1.5170759176248811</v>
      </c>
      <c r="M489">
        <f t="shared" si="67"/>
        <v>1.5636046288314367</v>
      </c>
      <c r="N489">
        <f t="shared" si="68"/>
        <v>2.5171151834636492</v>
      </c>
      <c r="O489">
        <f t="shared" si="69"/>
        <v>40.402347024308469</v>
      </c>
      <c r="P489">
        <f t="shared" si="70"/>
        <v>42.749371332774516</v>
      </c>
      <c r="Q489">
        <f t="shared" si="71"/>
        <v>66.219614417435039</v>
      </c>
    </row>
    <row r="490" spans="1:17" x14ac:dyDescent="0.3">
      <c r="A490">
        <v>51018869</v>
      </c>
      <c r="B490" t="str">
        <f>VLOOKUP(A490,ASESORES!$A$2:$B$993,2,0)</f>
        <v>LÓPEZ</v>
      </c>
      <c r="C490">
        <v>42399669.850000001</v>
      </c>
      <c r="D490">
        <v>56310466.369999997</v>
      </c>
      <c r="E490">
        <v>69836691.5</v>
      </c>
      <c r="F490">
        <v>54117506</v>
      </c>
      <c r="G490">
        <v>66534343</v>
      </c>
      <c r="H490">
        <v>78689129</v>
      </c>
      <c r="I490">
        <f t="shared" si="63"/>
        <v>0.2763662120826631</v>
      </c>
      <c r="J490">
        <f t="shared" si="64"/>
        <v>0.18156263460547151</v>
      </c>
      <c r="K490">
        <f t="shared" si="65"/>
        <v>0.12675911916589011</v>
      </c>
      <c r="L490">
        <f t="shared" si="66"/>
        <v>2.1372332673472543</v>
      </c>
      <c r="M490">
        <f t="shared" si="67"/>
        <v>1.4203728192964502</v>
      </c>
      <c r="N490">
        <f t="shared" si="68"/>
        <v>1.0008791972214297</v>
      </c>
      <c r="O490">
        <f t="shared" si="69"/>
        <v>48.868398994132441</v>
      </c>
      <c r="P490">
        <f t="shared" si="70"/>
        <v>40.486169321039398</v>
      </c>
      <c r="Q490">
        <f t="shared" si="71"/>
        <v>43.587594300083822</v>
      </c>
    </row>
    <row r="491" spans="1:17" x14ac:dyDescent="0.3">
      <c r="A491">
        <v>51055144</v>
      </c>
      <c r="B491" t="str">
        <f>VLOOKUP(A491,ASESORES!$A$2:$B$993,2,0)</f>
        <v>ARGUELLO</v>
      </c>
      <c r="C491">
        <v>0</v>
      </c>
      <c r="D491">
        <v>15858406.58</v>
      </c>
      <c r="E491">
        <v>46451613.939999998</v>
      </c>
      <c r="F491">
        <v>42069544</v>
      </c>
      <c r="G491">
        <v>71021624</v>
      </c>
      <c r="H491">
        <v>78639623</v>
      </c>
      <c r="I491">
        <f t="shared" si="63"/>
        <v>0</v>
      </c>
      <c r="J491">
        <f t="shared" si="64"/>
        <v>3.478484243780815</v>
      </c>
      <c r="K491">
        <f t="shared" si="65"/>
        <v>0.69293629068682483</v>
      </c>
      <c r="L491">
        <f t="shared" si="66"/>
        <v>0</v>
      </c>
      <c r="M491">
        <f t="shared" si="67"/>
        <v>27.310938489612113</v>
      </c>
      <c r="N491">
        <f t="shared" si="68"/>
        <v>5.471176480116748</v>
      </c>
      <c r="O491">
        <f t="shared" si="69"/>
        <v>11.5674769488684</v>
      </c>
      <c r="P491">
        <f t="shared" si="70"/>
        <v>99.413243922883481</v>
      </c>
      <c r="Q491">
        <f t="shared" si="71"/>
        <v>93.126571668063704</v>
      </c>
    </row>
    <row r="492" spans="1:17" x14ac:dyDescent="0.3">
      <c r="A492">
        <v>51056884</v>
      </c>
      <c r="B492" t="str">
        <f>VLOOKUP(A492,ASESORES!$A$2:$B$993,2,0)</f>
        <v>CICHETTO</v>
      </c>
      <c r="C492">
        <v>30179402.289999999</v>
      </c>
      <c r="D492">
        <v>44146151.810000002</v>
      </c>
      <c r="E492">
        <v>51055403.340000004</v>
      </c>
      <c r="F492">
        <v>55638119</v>
      </c>
      <c r="G492">
        <v>68744999</v>
      </c>
      <c r="H492">
        <v>78541622</v>
      </c>
      <c r="I492">
        <f t="shared" si="63"/>
        <v>0.84357922219141468</v>
      </c>
      <c r="J492">
        <f t="shared" si="64"/>
        <v>0.55721384948501584</v>
      </c>
      <c r="K492">
        <f t="shared" si="65"/>
        <v>0.53836062124428596</v>
      </c>
      <c r="L492">
        <f t="shared" si="66"/>
        <v>6.5338352577131946</v>
      </c>
      <c r="M492">
        <f t="shared" si="67"/>
        <v>4.3670192882358441</v>
      </c>
      <c r="N492">
        <f t="shared" si="68"/>
        <v>4.250410868562934</v>
      </c>
      <c r="O492">
        <f t="shared" si="69"/>
        <v>92.623637887678129</v>
      </c>
      <c r="P492">
        <f t="shared" si="70"/>
        <v>79.295892707460183</v>
      </c>
      <c r="Q492">
        <f t="shared" si="71"/>
        <v>86.336965632858337</v>
      </c>
    </row>
    <row r="493" spans="1:17" x14ac:dyDescent="0.3">
      <c r="A493">
        <v>51030443</v>
      </c>
      <c r="B493" t="str">
        <f>VLOOKUP(A493,ASESORES!$A$2:$B$993,2,0)</f>
        <v>CICHETTO</v>
      </c>
      <c r="C493">
        <v>26756401.579999998</v>
      </c>
      <c r="D493">
        <v>57827602.329999998</v>
      </c>
      <c r="E493">
        <v>46496077.020000003</v>
      </c>
      <c r="F493">
        <v>42660963</v>
      </c>
      <c r="G493">
        <v>51379368</v>
      </c>
      <c r="H493">
        <v>78160654</v>
      </c>
      <c r="I493">
        <f t="shared" si="63"/>
        <v>0.59442079206526865</v>
      </c>
      <c r="J493">
        <f t="shared" si="64"/>
        <v>-0.11150789709734799</v>
      </c>
      <c r="K493">
        <f t="shared" si="65"/>
        <v>0.68101609876419622</v>
      </c>
      <c r="L493">
        <f t="shared" si="66"/>
        <v>4.5354488652471279</v>
      </c>
      <c r="M493">
        <f t="shared" si="67"/>
        <v>-0.85981383935034739</v>
      </c>
      <c r="N493">
        <f t="shared" si="68"/>
        <v>5.3752520210909855</v>
      </c>
      <c r="O493">
        <f t="shared" si="69"/>
        <v>81.978206202849961</v>
      </c>
      <c r="P493">
        <f t="shared" si="70"/>
        <v>6.873428331936295</v>
      </c>
      <c r="Q493">
        <f t="shared" si="71"/>
        <v>92.875104777870916</v>
      </c>
    </row>
    <row r="494" spans="1:17" x14ac:dyDescent="0.3">
      <c r="A494">
        <v>51016475</v>
      </c>
      <c r="B494" t="str">
        <f>VLOOKUP(A494,ASESORES!$A$2:$B$993,2,0)</f>
        <v>PUGH</v>
      </c>
      <c r="C494">
        <v>35232699.32</v>
      </c>
      <c r="D494">
        <v>37989938.079999998</v>
      </c>
      <c r="E494">
        <v>47286283.090000004</v>
      </c>
      <c r="F494">
        <v>37963623</v>
      </c>
      <c r="G494">
        <v>58626490</v>
      </c>
      <c r="H494">
        <v>77818220</v>
      </c>
      <c r="I494">
        <f t="shared" si="63"/>
        <v>7.7511054580191585E-2</v>
      </c>
      <c r="J494">
        <f t="shared" si="64"/>
        <v>0.5432109911983305</v>
      </c>
      <c r="K494">
        <f t="shared" si="65"/>
        <v>0.64568274169252304</v>
      </c>
      <c r="L494">
        <f t="shared" si="66"/>
        <v>0.58748477975435609</v>
      </c>
      <c r="M494">
        <f t="shared" si="67"/>
        <v>4.2197139836180471</v>
      </c>
      <c r="N494">
        <f t="shared" si="68"/>
        <v>5.0951350039292542</v>
      </c>
      <c r="O494">
        <f t="shared" si="69"/>
        <v>28.583403185247274</v>
      </c>
      <c r="P494">
        <f t="shared" si="70"/>
        <v>77.451802179379712</v>
      </c>
      <c r="Q494">
        <f t="shared" si="71"/>
        <v>91.785414920368808</v>
      </c>
    </row>
    <row r="495" spans="1:17" x14ac:dyDescent="0.3">
      <c r="A495">
        <v>51018893</v>
      </c>
      <c r="B495" t="str">
        <f>VLOOKUP(A495,ASESORES!$A$2:$B$993,2,0)</f>
        <v>PUGH</v>
      </c>
      <c r="C495">
        <v>33820404</v>
      </c>
      <c r="D495">
        <v>51516015.020000003</v>
      </c>
      <c r="E495">
        <v>61908224.150000013</v>
      </c>
      <c r="F495">
        <v>56467174</v>
      </c>
      <c r="G495">
        <v>76560012</v>
      </c>
      <c r="H495">
        <v>77781802</v>
      </c>
      <c r="I495">
        <f t="shared" si="63"/>
        <v>0.66961855334430664</v>
      </c>
      <c r="J495">
        <f t="shared" si="64"/>
        <v>0.48614002791708932</v>
      </c>
      <c r="K495">
        <f t="shared" si="65"/>
        <v>0.25640499413356177</v>
      </c>
      <c r="L495">
        <f t="shared" si="66"/>
        <v>5.1907464589921188</v>
      </c>
      <c r="M495">
        <f t="shared" si="67"/>
        <v>3.8327289488976337</v>
      </c>
      <c r="N495">
        <f t="shared" si="68"/>
        <v>2.0232605273986848</v>
      </c>
      <c r="O495">
        <f t="shared" si="69"/>
        <v>86.588432523051125</v>
      </c>
      <c r="P495">
        <f t="shared" si="70"/>
        <v>73.847443419949713</v>
      </c>
      <c r="Q495">
        <f t="shared" si="71"/>
        <v>59.094719195305956</v>
      </c>
    </row>
    <row r="496" spans="1:17" x14ac:dyDescent="0.3">
      <c r="A496">
        <v>51039157</v>
      </c>
      <c r="B496" t="str">
        <f>VLOOKUP(A496,ASESORES!$A$2:$B$993,2,0)</f>
        <v>ROBERTS</v>
      </c>
      <c r="C496">
        <v>56345876.950000003</v>
      </c>
      <c r="D496">
        <v>72855586.38000001</v>
      </c>
      <c r="E496">
        <v>81980221.099999994</v>
      </c>
      <c r="F496">
        <v>73881718</v>
      </c>
      <c r="G496">
        <v>82067739</v>
      </c>
      <c r="H496">
        <v>77382127</v>
      </c>
      <c r="I496">
        <f t="shared" si="63"/>
        <v>0.31121782105833384</v>
      </c>
      <c r="J496">
        <f t="shared" si="64"/>
        <v>0.12644401174607611</v>
      </c>
      <c r="K496">
        <f t="shared" si="65"/>
        <v>-5.6087847023383985E-2</v>
      </c>
      <c r="L496">
        <f t="shared" si="66"/>
        <v>2.4488289356071546</v>
      </c>
      <c r="M496">
        <f t="shared" si="67"/>
        <v>1.0006997165796589</v>
      </c>
      <c r="N496">
        <f t="shared" si="68"/>
        <v>-0.44245687072809181</v>
      </c>
      <c r="O496">
        <f t="shared" si="69"/>
        <v>55.155071248952225</v>
      </c>
      <c r="P496">
        <f t="shared" si="70"/>
        <v>35.540653813914503</v>
      </c>
      <c r="Q496">
        <f t="shared" si="71"/>
        <v>11.651299245599329</v>
      </c>
    </row>
    <row r="497" spans="1:17" x14ac:dyDescent="0.3">
      <c r="A497">
        <v>51054822</v>
      </c>
      <c r="B497" t="str">
        <f>VLOOKUP(A497,ASESORES!$A$2:$B$993,2,0)</f>
        <v>NELLI</v>
      </c>
      <c r="C497">
        <v>33188472.350000001</v>
      </c>
      <c r="D497">
        <v>41674714.700000003</v>
      </c>
      <c r="E497">
        <v>62584571.109999999</v>
      </c>
      <c r="F497">
        <v>52464148</v>
      </c>
      <c r="G497">
        <v>62179539</v>
      </c>
      <c r="H497">
        <v>77244917</v>
      </c>
      <c r="I497">
        <f t="shared" si="63"/>
        <v>0.58079430251329422</v>
      </c>
      <c r="J497">
        <f t="shared" si="64"/>
        <v>0.49202074801486262</v>
      </c>
      <c r="K497">
        <f t="shared" si="65"/>
        <v>0.2342485636632814</v>
      </c>
      <c r="L497">
        <f t="shared" si="66"/>
        <v>4.483652228471974</v>
      </c>
      <c r="M497">
        <f t="shared" si="67"/>
        <v>3.834636271658066</v>
      </c>
      <c r="N497">
        <f t="shared" si="68"/>
        <v>1.8477221969819737</v>
      </c>
      <c r="O497">
        <f t="shared" si="69"/>
        <v>81.391450125733442</v>
      </c>
      <c r="P497">
        <f t="shared" si="70"/>
        <v>73.931265716680642</v>
      </c>
      <c r="Q497">
        <f t="shared" si="71"/>
        <v>56.160938809723383</v>
      </c>
    </row>
    <row r="498" spans="1:17" x14ac:dyDescent="0.3">
      <c r="A498">
        <v>51003390</v>
      </c>
      <c r="B498" t="str">
        <f>VLOOKUP(A498,ASESORES!$A$2:$B$993,2,0)</f>
        <v>LÓPEZ</v>
      </c>
      <c r="C498">
        <v>34058202.340000004</v>
      </c>
      <c r="D498">
        <v>45955560.859999999</v>
      </c>
      <c r="E498">
        <v>55234070.689999998</v>
      </c>
      <c r="F498">
        <v>47022848</v>
      </c>
      <c r="G498">
        <v>74845536</v>
      </c>
      <c r="H498">
        <v>77136485</v>
      </c>
      <c r="I498">
        <f t="shared" si="63"/>
        <v>0.38066147856469623</v>
      </c>
      <c r="J498">
        <f t="shared" si="64"/>
        <v>0.62865025688645249</v>
      </c>
      <c r="K498">
        <f t="shared" si="65"/>
        <v>0.39653811563023877</v>
      </c>
      <c r="L498">
        <f t="shared" si="66"/>
        <v>2.9205524609929232</v>
      </c>
      <c r="M498">
        <f t="shared" si="67"/>
        <v>4.9500964176228068</v>
      </c>
      <c r="N498">
        <f t="shared" si="68"/>
        <v>3.1275991563424728</v>
      </c>
      <c r="O498">
        <f t="shared" si="69"/>
        <v>62.19614417435038</v>
      </c>
      <c r="P498">
        <f t="shared" si="70"/>
        <v>84.409052808046937</v>
      </c>
      <c r="Q498">
        <f t="shared" si="71"/>
        <v>75.859178541492028</v>
      </c>
    </row>
    <row r="499" spans="1:17" x14ac:dyDescent="0.3">
      <c r="A499">
        <v>51056477</v>
      </c>
      <c r="B499" t="str">
        <f>VLOOKUP(A499,ASESORES!$A$2:$B$993,2,0)</f>
        <v>BELUZZO</v>
      </c>
      <c r="C499">
        <v>33820394.979999997</v>
      </c>
      <c r="D499">
        <v>37811866.770000003</v>
      </c>
      <c r="E499">
        <v>52615652.579999998</v>
      </c>
      <c r="F499">
        <v>44575303</v>
      </c>
      <c r="G499">
        <v>72589778</v>
      </c>
      <c r="H499">
        <v>76731020</v>
      </c>
      <c r="I499">
        <f t="shared" si="63"/>
        <v>0.31800066280597905</v>
      </c>
      <c r="J499">
        <f t="shared" si="64"/>
        <v>0.91976181555767167</v>
      </c>
      <c r="K499">
        <f t="shared" si="65"/>
        <v>0.45833067229059932</v>
      </c>
      <c r="L499">
        <f t="shared" si="66"/>
        <v>2.4324170585272964</v>
      </c>
      <c r="M499">
        <f t="shared" si="67"/>
        <v>7.2301330925139604</v>
      </c>
      <c r="N499">
        <f t="shared" si="68"/>
        <v>3.6139240463127109</v>
      </c>
      <c r="O499">
        <f t="shared" si="69"/>
        <v>54.48449287510477</v>
      </c>
      <c r="P499">
        <f t="shared" si="70"/>
        <v>94.383906119027657</v>
      </c>
      <c r="Q499">
        <f t="shared" si="71"/>
        <v>80.301760268231348</v>
      </c>
    </row>
    <row r="500" spans="1:17" x14ac:dyDescent="0.3">
      <c r="A500">
        <v>51026527</v>
      </c>
      <c r="B500" t="str">
        <f>VLOOKUP(A500,ASESORES!$A$2:$B$993,2,0)</f>
        <v>AYALA</v>
      </c>
      <c r="C500">
        <v>34093944.409999996</v>
      </c>
      <c r="D500">
        <v>50331866.049999997</v>
      </c>
      <c r="E500">
        <v>75343432.099999994</v>
      </c>
      <c r="F500">
        <v>58320578</v>
      </c>
      <c r="G500">
        <v>66638782</v>
      </c>
      <c r="H500">
        <v>76684027</v>
      </c>
      <c r="I500">
        <f t="shared" si="63"/>
        <v>0.71058465100606427</v>
      </c>
      <c r="J500">
        <f t="shared" si="64"/>
        <v>0.32398790725940119</v>
      </c>
      <c r="K500">
        <f t="shared" si="65"/>
        <v>1.7793122275352236E-2</v>
      </c>
      <c r="L500">
        <f t="shared" si="66"/>
        <v>5.51827378739201</v>
      </c>
      <c r="M500">
        <f t="shared" si="67"/>
        <v>2.5347929540897165</v>
      </c>
      <c r="N500">
        <f t="shared" si="68"/>
        <v>0.14029351859414949</v>
      </c>
      <c r="O500">
        <f t="shared" si="69"/>
        <v>88.348700754400667</v>
      </c>
      <c r="P500">
        <f t="shared" si="70"/>
        <v>56.077116512992454</v>
      </c>
      <c r="Q500">
        <f t="shared" si="71"/>
        <v>33.361274098910307</v>
      </c>
    </row>
    <row r="501" spans="1:17" x14ac:dyDescent="0.3">
      <c r="A501">
        <v>51030982</v>
      </c>
      <c r="B501" t="str">
        <f>VLOOKUP(A501,ASESORES!$A$2:$B$993,2,0)</f>
        <v>ROBERTS</v>
      </c>
      <c r="C501">
        <v>21907721.190000001</v>
      </c>
      <c r="D501">
        <v>31161726.800000001</v>
      </c>
      <c r="E501">
        <v>47501434.369999997</v>
      </c>
      <c r="F501">
        <v>39987454</v>
      </c>
      <c r="G501">
        <v>59806093</v>
      </c>
      <c r="H501">
        <v>76589364</v>
      </c>
      <c r="I501">
        <f t="shared" si="63"/>
        <v>0.82526761470073273</v>
      </c>
      <c r="J501">
        <f t="shared" si="64"/>
        <v>0.91921626756576269</v>
      </c>
      <c r="K501">
        <f t="shared" si="65"/>
        <v>0.61235897432964204</v>
      </c>
      <c r="L501">
        <f t="shared" si="66"/>
        <v>6.2736214831853916</v>
      </c>
      <c r="M501">
        <f t="shared" si="67"/>
        <v>7.1485109096643598</v>
      </c>
      <c r="N501">
        <f t="shared" si="68"/>
        <v>4.8279413135345708</v>
      </c>
      <c r="O501">
        <f t="shared" si="69"/>
        <v>91.61777032690695</v>
      </c>
      <c r="P501">
        <f t="shared" si="70"/>
        <v>94.216261525565798</v>
      </c>
      <c r="Q501">
        <f t="shared" si="71"/>
        <v>90.528080469404856</v>
      </c>
    </row>
    <row r="502" spans="1:17" x14ac:dyDescent="0.3">
      <c r="A502">
        <v>51023196</v>
      </c>
      <c r="B502" t="str">
        <f>VLOOKUP(A502,ASESORES!$A$2:$B$993,2,0)</f>
        <v>BELUZZO</v>
      </c>
      <c r="C502">
        <v>30379116.199999999</v>
      </c>
      <c r="D502">
        <v>41620976.530000001</v>
      </c>
      <c r="E502">
        <v>39036970.850000001</v>
      </c>
      <c r="F502">
        <v>35147249</v>
      </c>
      <c r="G502">
        <v>56095595</v>
      </c>
      <c r="H502">
        <v>76555622</v>
      </c>
      <c r="I502">
        <f t="shared" si="63"/>
        <v>0.15695429612267664</v>
      </c>
      <c r="J502">
        <f t="shared" si="64"/>
        <v>0.34777219750158506</v>
      </c>
      <c r="K502">
        <f t="shared" si="65"/>
        <v>0.9611055963887627</v>
      </c>
      <c r="L502">
        <f t="shared" si="66"/>
        <v>1.1843600635975811</v>
      </c>
      <c r="M502">
        <f t="shared" si="67"/>
        <v>2.6948619827651172</v>
      </c>
      <c r="N502">
        <f t="shared" si="68"/>
        <v>7.5773345024259839</v>
      </c>
      <c r="O502">
        <f t="shared" si="69"/>
        <v>35.708298407376361</v>
      </c>
      <c r="P502">
        <f t="shared" si="70"/>
        <v>58.507963118189444</v>
      </c>
      <c r="Q502">
        <f t="shared" si="71"/>
        <v>96.814752724224633</v>
      </c>
    </row>
    <row r="503" spans="1:17" x14ac:dyDescent="0.3">
      <c r="A503">
        <v>51014596</v>
      </c>
      <c r="B503" t="str">
        <f>VLOOKUP(A503,ASESORES!$A$2:$B$993,2,0)</f>
        <v>ROBERTS</v>
      </c>
      <c r="C503">
        <v>3363242.4</v>
      </c>
      <c r="D503">
        <v>43592791.200000003</v>
      </c>
      <c r="E503">
        <v>70433773.840000004</v>
      </c>
      <c r="F503">
        <v>54681203</v>
      </c>
      <c r="G503">
        <v>68569548</v>
      </c>
      <c r="H503">
        <v>76554061</v>
      </c>
      <c r="I503">
        <f t="shared" si="63"/>
        <v>15.258478128130164</v>
      </c>
      <c r="J503">
        <f t="shared" si="64"/>
        <v>0.57295612674602014</v>
      </c>
      <c r="K503">
        <f t="shared" si="65"/>
        <v>8.6894210352878032E-2</v>
      </c>
      <c r="L503">
        <f t="shared" si="66"/>
        <v>118.06763280647958</v>
      </c>
      <c r="M503">
        <f t="shared" si="67"/>
        <v>4.4897594306848037</v>
      </c>
      <c r="N503">
        <f t="shared" si="68"/>
        <v>0.68507119412957673</v>
      </c>
      <c r="O503">
        <f t="shared" si="69"/>
        <v>99.832355406538142</v>
      </c>
      <c r="P503">
        <f t="shared" si="70"/>
        <v>80.217937971500419</v>
      </c>
      <c r="Q503">
        <f t="shared" si="71"/>
        <v>39.564124056999162</v>
      </c>
    </row>
    <row r="504" spans="1:17" x14ac:dyDescent="0.3">
      <c r="A504">
        <v>51030125</v>
      </c>
      <c r="B504" t="str">
        <f>VLOOKUP(A504,ASESORES!$A$2:$B$993,2,0)</f>
        <v>MONTENEGRO</v>
      </c>
      <c r="C504">
        <v>58316586.07</v>
      </c>
      <c r="D504">
        <v>76408786.340000004</v>
      </c>
      <c r="E504">
        <v>71558797.180000007</v>
      </c>
      <c r="F504">
        <v>57321194</v>
      </c>
      <c r="G504">
        <v>73784175</v>
      </c>
      <c r="H504">
        <v>76431658</v>
      </c>
      <c r="I504">
        <f t="shared" si="63"/>
        <v>-1.7068764430160366E-2</v>
      </c>
      <c r="J504">
        <f t="shared" si="64"/>
        <v>-3.4349601213676362E-2</v>
      </c>
      <c r="K504">
        <f t="shared" si="65"/>
        <v>6.8095901720409469E-2</v>
      </c>
      <c r="L504">
        <f t="shared" si="66"/>
        <v>-0.13242485500455986</v>
      </c>
      <c r="M504">
        <f t="shared" si="67"/>
        <v>-0.27026139916607844</v>
      </c>
      <c r="N504">
        <f t="shared" si="68"/>
        <v>0.53681860255466529</v>
      </c>
      <c r="O504">
        <f t="shared" si="69"/>
        <v>10.058675607711651</v>
      </c>
      <c r="P504">
        <f t="shared" si="70"/>
        <v>9.5557418273260684</v>
      </c>
      <c r="Q504">
        <f t="shared" si="71"/>
        <v>37.720033528918698</v>
      </c>
    </row>
    <row r="505" spans="1:17" x14ac:dyDescent="0.3">
      <c r="A505">
        <v>51021550</v>
      </c>
      <c r="B505" t="str">
        <f>VLOOKUP(A505,ASESORES!$A$2:$B$993,2,0)</f>
        <v>PRADES</v>
      </c>
      <c r="C505">
        <v>35948496.799999997</v>
      </c>
      <c r="D505">
        <v>44546490.75</v>
      </c>
      <c r="E505">
        <v>63266093.190000013</v>
      </c>
      <c r="F505">
        <v>54992105</v>
      </c>
      <c r="G505">
        <v>67283312</v>
      </c>
      <c r="H505">
        <v>76393195</v>
      </c>
      <c r="I505">
        <f t="shared" si="63"/>
        <v>0.52974699626383281</v>
      </c>
      <c r="J505">
        <f t="shared" si="64"/>
        <v>0.51040656328242862</v>
      </c>
      <c r="K505">
        <f t="shared" si="65"/>
        <v>0.20749031824324637</v>
      </c>
      <c r="L505">
        <f t="shared" si="66"/>
        <v>4.1004008574248356</v>
      </c>
      <c r="M505">
        <f t="shared" si="67"/>
        <v>3.9954152939877017</v>
      </c>
      <c r="N505">
        <f t="shared" si="68"/>
        <v>1.6356575230263264</v>
      </c>
      <c r="O505">
        <f t="shared" si="69"/>
        <v>78.457669740150877</v>
      </c>
      <c r="P505">
        <f t="shared" si="70"/>
        <v>75.523889354568325</v>
      </c>
      <c r="Q505">
        <f t="shared" si="71"/>
        <v>54.065381391450131</v>
      </c>
    </row>
    <row r="506" spans="1:17" x14ac:dyDescent="0.3">
      <c r="A506">
        <v>51031407</v>
      </c>
      <c r="B506" t="str">
        <f>VLOOKUP(A506,ASESORES!$A$2:$B$993,2,0)</f>
        <v>PUGH</v>
      </c>
      <c r="C506">
        <v>30873494.809999999</v>
      </c>
      <c r="D506">
        <v>41475579.119999997</v>
      </c>
      <c r="E506">
        <v>65520079.630000003</v>
      </c>
      <c r="F506">
        <v>45814846</v>
      </c>
      <c r="G506">
        <v>61889583</v>
      </c>
      <c r="H506">
        <v>76289903</v>
      </c>
      <c r="I506">
        <f t="shared" si="63"/>
        <v>0.48395399620131307</v>
      </c>
      <c r="J506">
        <f t="shared" si="64"/>
        <v>0.49219334155496175</v>
      </c>
      <c r="K506">
        <f t="shared" si="65"/>
        <v>0.16437439378612662</v>
      </c>
      <c r="L506">
        <f t="shared" si="66"/>
        <v>3.7075745804568392</v>
      </c>
      <c r="M506">
        <f t="shared" si="67"/>
        <v>3.8349822812573233</v>
      </c>
      <c r="N506">
        <f t="shared" si="68"/>
        <v>1.2956757449712701</v>
      </c>
      <c r="O506">
        <f t="shared" si="69"/>
        <v>74.182732606873429</v>
      </c>
      <c r="P506">
        <f t="shared" si="70"/>
        <v>74.015088013411571</v>
      </c>
      <c r="Q506">
        <f t="shared" si="71"/>
        <v>48.700754400670576</v>
      </c>
    </row>
    <row r="507" spans="1:17" x14ac:dyDescent="0.3">
      <c r="A507">
        <v>51038754</v>
      </c>
      <c r="B507" t="str">
        <f>VLOOKUP(A507,ASESORES!$A$2:$B$993,2,0)</f>
        <v>ROBERTS</v>
      </c>
      <c r="C507">
        <v>36017635.020000003</v>
      </c>
      <c r="D507">
        <v>64777426.509999998</v>
      </c>
      <c r="E507">
        <v>65738812.240000002</v>
      </c>
      <c r="F507">
        <v>50999337</v>
      </c>
      <c r="G507">
        <v>80899317</v>
      </c>
      <c r="H507">
        <v>76280027</v>
      </c>
      <c r="I507">
        <f t="shared" si="63"/>
        <v>0.41595462810595141</v>
      </c>
      <c r="J507">
        <f t="shared" si="64"/>
        <v>0.24888130570471478</v>
      </c>
      <c r="K507">
        <f t="shared" si="65"/>
        <v>0.16034994245889345</v>
      </c>
      <c r="L507">
        <f t="shared" si="66"/>
        <v>3.2059971377756784</v>
      </c>
      <c r="M507">
        <f t="shared" si="67"/>
        <v>1.9681396409672778</v>
      </c>
      <c r="N507">
        <f t="shared" si="68"/>
        <v>1.2639441243261196</v>
      </c>
      <c r="O507">
        <f t="shared" si="69"/>
        <v>67.560771165129935</v>
      </c>
      <c r="P507">
        <f t="shared" si="70"/>
        <v>47.694886839899411</v>
      </c>
      <c r="Q507">
        <f t="shared" si="71"/>
        <v>48.197820620285</v>
      </c>
    </row>
    <row r="508" spans="1:17" x14ac:dyDescent="0.3">
      <c r="A508">
        <v>51004761</v>
      </c>
      <c r="B508" t="str">
        <f>VLOOKUP(A508,ASESORES!$A$2:$B$993,2,0)</f>
        <v>CICHETTO</v>
      </c>
      <c r="C508">
        <v>50727603.340000004</v>
      </c>
      <c r="D508">
        <v>71803674.5</v>
      </c>
      <c r="E508">
        <v>74640433.140000001</v>
      </c>
      <c r="F508">
        <v>59289490</v>
      </c>
      <c r="G508">
        <v>59084420</v>
      </c>
      <c r="H508">
        <v>76231594</v>
      </c>
      <c r="I508">
        <f t="shared" si="63"/>
        <v>0.16878161190889007</v>
      </c>
      <c r="J508">
        <f t="shared" si="64"/>
        <v>-0.17713932592683679</v>
      </c>
      <c r="K508">
        <f t="shared" si="65"/>
        <v>2.1317679882906448E-2</v>
      </c>
      <c r="L508">
        <f t="shared" si="66"/>
        <v>1.311935708005429</v>
      </c>
      <c r="M508">
        <f t="shared" si="67"/>
        <v>-1.3766334845424446</v>
      </c>
      <c r="N508">
        <f t="shared" si="68"/>
        <v>0.16802883074405359</v>
      </c>
      <c r="O508">
        <f t="shared" si="69"/>
        <v>36.965632858340321</v>
      </c>
      <c r="P508">
        <f t="shared" si="70"/>
        <v>5.6160938809723389</v>
      </c>
      <c r="Q508">
        <f t="shared" si="71"/>
        <v>33.696563285834031</v>
      </c>
    </row>
    <row r="509" spans="1:17" x14ac:dyDescent="0.3">
      <c r="A509">
        <v>51023358</v>
      </c>
      <c r="B509" t="str">
        <f>VLOOKUP(A509,ASESORES!$A$2:$B$993,2,0)</f>
        <v>ROBERTS</v>
      </c>
      <c r="C509">
        <v>51122137.349999987</v>
      </c>
      <c r="D509">
        <v>67664720.349999994</v>
      </c>
      <c r="E509">
        <v>78217735.549999997</v>
      </c>
      <c r="F509">
        <v>70441888</v>
      </c>
      <c r="G509">
        <v>70427450</v>
      </c>
      <c r="H509">
        <v>75400211</v>
      </c>
      <c r="I509">
        <f t="shared" si="63"/>
        <v>0.37791359382590484</v>
      </c>
      <c r="J509">
        <f t="shared" si="64"/>
        <v>4.0829691391756517E-2</v>
      </c>
      <c r="K509">
        <f t="shared" si="65"/>
        <v>-3.6021556111131892E-2</v>
      </c>
      <c r="L509">
        <f t="shared" si="66"/>
        <v>2.9658020122296298</v>
      </c>
      <c r="M509">
        <f t="shared" si="67"/>
        <v>0.32042088251108286</v>
      </c>
      <c r="N509">
        <f t="shared" si="68"/>
        <v>-0.28375521772160833</v>
      </c>
      <c r="O509">
        <f t="shared" si="69"/>
        <v>63.369656328583403</v>
      </c>
      <c r="P509">
        <f t="shared" si="70"/>
        <v>29.253981559094722</v>
      </c>
      <c r="Q509">
        <f t="shared" si="71"/>
        <v>12.405699916177703</v>
      </c>
    </row>
    <row r="510" spans="1:17" x14ac:dyDescent="0.3">
      <c r="A510">
        <v>51022670</v>
      </c>
      <c r="B510" t="str">
        <f>VLOOKUP(A510,ASESORES!$A$2:$B$993,2,0)</f>
        <v>MONTENEGRO</v>
      </c>
      <c r="C510">
        <v>30095965.699999999</v>
      </c>
      <c r="D510">
        <v>43845024.329999998</v>
      </c>
      <c r="E510">
        <v>58040125.760000013</v>
      </c>
      <c r="F510">
        <v>48203982</v>
      </c>
      <c r="G510">
        <v>69055404</v>
      </c>
      <c r="H510">
        <v>75359402</v>
      </c>
      <c r="I510">
        <f t="shared" si="63"/>
        <v>0.60167586847030474</v>
      </c>
      <c r="J510">
        <f t="shared" si="64"/>
        <v>0.57498838363627836</v>
      </c>
      <c r="K510">
        <f t="shared" si="65"/>
        <v>0.29840176969320176</v>
      </c>
      <c r="L510">
        <f t="shared" si="66"/>
        <v>4.6227255857778422</v>
      </c>
      <c r="M510">
        <f t="shared" si="67"/>
        <v>4.5074475975059425</v>
      </c>
      <c r="N510">
        <f t="shared" si="68"/>
        <v>2.3505517532684403</v>
      </c>
      <c r="O510">
        <f t="shared" si="69"/>
        <v>82.900251466890197</v>
      </c>
      <c r="P510">
        <f t="shared" si="70"/>
        <v>80.385582564962277</v>
      </c>
      <c r="Q510">
        <f t="shared" si="71"/>
        <v>64.040234702430837</v>
      </c>
    </row>
    <row r="511" spans="1:17" x14ac:dyDescent="0.3">
      <c r="A511">
        <v>51029976</v>
      </c>
      <c r="B511" t="str">
        <f>VLOOKUP(A511,ASESORES!$A$2:$B$993,2,0)</f>
        <v>MONTENEGRO</v>
      </c>
      <c r="C511">
        <v>61553686.140000001</v>
      </c>
      <c r="D511">
        <v>52632909.900000013</v>
      </c>
      <c r="E511">
        <v>54505875.950000003</v>
      </c>
      <c r="F511">
        <v>44931470</v>
      </c>
      <c r="G511">
        <v>66706200</v>
      </c>
      <c r="H511">
        <v>75329399</v>
      </c>
      <c r="I511">
        <f t="shared" si="63"/>
        <v>-0.27004420339983881</v>
      </c>
      <c r="J511">
        <f t="shared" si="64"/>
        <v>0.26738575022240951</v>
      </c>
      <c r="K511">
        <f t="shared" si="65"/>
        <v>0.38204180167844815</v>
      </c>
      <c r="L511">
        <f t="shared" si="66"/>
        <v>-2.0665269381576632</v>
      </c>
      <c r="M511">
        <f t="shared" si="67"/>
        <v>2.0920705495840863</v>
      </c>
      <c r="N511">
        <f t="shared" si="68"/>
        <v>3.0093297102991112</v>
      </c>
      <c r="O511">
        <f t="shared" si="69"/>
        <v>5.0293378038558254</v>
      </c>
      <c r="P511">
        <f t="shared" si="70"/>
        <v>49.706621961441741</v>
      </c>
      <c r="Q511">
        <f t="shared" si="71"/>
        <v>74.015088013411571</v>
      </c>
    </row>
    <row r="512" spans="1:17" x14ac:dyDescent="0.3">
      <c r="A512">
        <v>51032195</v>
      </c>
      <c r="B512" t="str">
        <f>VLOOKUP(A512,ASESORES!$A$2:$B$993,2,0)</f>
        <v>METTLER</v>
      </c>
      <c r="C512">
        <v>0</v>
      </c>
      <c r="D512">
        <v>0</v>
      </c>
      <c r="E512">
        <v>0</v>
      </c>
      <c r="F512">
        <v>0</v>
      </c>
      <c r="G512">
        <v>1618490</v>
      </c>
      <c r="H512">
        <v>75322105</v>
      </c>
      <c r="I512">
        <f t="shared" si="63"/>
        <v>0</v>
      </c>
      <c r="J512">
        <f t="shared" si="64"/>
        <v>0</v>
      </c>
      <c r="K512">
        <f t="shared" si="65"/>
        <v>0</v>
      </c>
      <c r="L512">
        <f t="shared" si="66"/>
        <v>0</v>
      </c>
      <c r="M512">
        <f t="shared" si="67"/>
        <v>0</v>
      </c>
      <c r="N512">
        <f t="shared" si="68"/>
        <v>0</v>
      </c>
      <c r="O512">
        <f t="shared" si="69"/>
        <v>11.5674769488684</v>
      </c>
      <c r="P512">
        <f t="shared" si="70"/>
        <v>11.064543168482817</v>
      </c>
      <c r="Q512">
        <f t="shared" si="71"/>
        <v>14.668901927912826</v>
      </c>
    </row>
    <row r="513" spans="1:17" x14ac:dyDescent="0.3">
      <c r="A513">
        <v>51042875</v>
      </c>
      <c r="B513" t="str">
        <f>VLOOKUP(A513,ASESORES!$A$2:$B$993,2,0)</f>
        <v>CICHETTO</v>
      </c>
      <c r="C513">
        <v>46210296.189999998</v>
      </c>
      <c r="D513">
        <v>59903383.210000001</v>
      </c>
      <c r="E513">
        <v>68996173</v>
      </c>
      <c r="F513">
        <v>56147495</v>
      </c>
      <c r="G513">
        <v>70533491</v>
      </c>
      <c r="H513">
        <v>75223218</v>
      </c>
      <c r="I513">
        <f t="shared" si="63"/>
        <v>0.21504295858961475</v>
      </c>
      <c r="J513">
        <f t="shared" si="64"/>
        <v>0.17745421410898632</v>
      </c>
      <c r="K513">
        <f t="shared" si="65"/>
        <v>9.0252034703432127E-2</v>
      </c>
      <c r="L513">
        <f t="shared" si="66"/>
        <v>1.6664389331088745</v>
      </c>
      <c r="M513">
        <f t="shared" si="67"/>
        <v>1.3927308340755589</v>
      </c>
      <c r="N513">
        <f t="shared" si="68"/>
        <v>0.71085678576589584</v>
      </c>
      <c r="O513">
        <f t="shared" si="69"/>
        <v>42.665549036043586</v>
      </c>
      <c r="P513">
        <f t="shared" si="70"/>
        <v>39.899413243922879</v>
      </c>
      <c r="Q513">
        <f t="shared" si="71"/>
        <v>39.81559094719195</v>
      </c>
    </row>
    <row r="514" spans="1:17" x14ac:dyDescent="0.3">
      <c r="A514">
        <v>51010728</v>
      </c>
      <c r="B514" t="str">
        <f>VLOOKUP(A514,ASESORES!$A$2:$B$993,2,0)</f>
        <v>PUGH</v>
      </c>
      <c r="C514">
        <v>24766122.010000002</v>
      </c>
      <c r="D514">
        <v>32719952.670000002</v>
      </c>
      <c r="E514">
        <v>43158826.280000001</v>
      </c>
      <c r="F514">
        <v>56147130</v>
      </c>
      <c r="G514">
        <v>71560860</v>
      </c>
      <c r="H514">
        <v>75153005</v>
      </c>
      <c r="I514">
        <f t="shared" ref="I514:I577" si="72">IFERROR(F514/C514-1,0)</f>
        <v>1.2670941367941682</v>
      </c>
      <c r="J514">
        <f t="shared" ref="J514:J577" si="73">IFERROR(G514/D514-1,0)</f>
        <v>1.1870710120437344</v>
      </c>
      <c r="K514">
        <f t="shared" ref="K514:K577" si="74">IFERROR(H514/E514-1,0)</f>
        <v>0.74131253042963885</v>
      </c>
      <c r="L514">
        <f t="shared" ref="L514:L577" si="75">IFERROR(I514*LOG(F514),0)</f>
        <v>9.8191275177774351</v>
      </c>
      <c r="M514">
        <f t="shared" ref="M514:M577" si="76">IFERROR(J514*LOG(G514),0)</f>
        <v>9.3240576557978248</v>
      </c>
      <c r="N514">
        <f t="shared" ref="N514:N577" si="77">IFERROR(K514*LOG(H514),0)</f>
        <v>5.8385377186735541</v>
      </c>
      <c r="O514">
        <f t="shared" ref="O514:O577" si="78">RANK(L514,$L$2:$L$1194,1)/COUNT($L$2:$L$1194)*100</f>
        <v>96.814752724224633</v>
      </c>
      <c r="P514">
        <f t="shared" ref="P514:P577" si="79">RANK(M514,$M$2:$M$1194,1)/COUNT($M$2:$M$1194)*100</f>
        <v>97.066219614417435</v>
      </c>
      <c r="Q514">
        <f t="shared" ref="Q514:Q577" si="80">RANK(N514,$N$2:$N$1194,1)/COUNT($N$2:$N$1194)*100</f>
        <v>93.797150041911152</v>
      </c>
    </row>
    <row r="515" spans="1:17" x14ac:dyDescent="0.3">
      <c r="A515">
        <v>51056655</v>
      </c>
      <c r="B515" t="str">
        <f>VLOOKUP(A515,ASESORES!$A$2:$B$993,2,0)</f>
        <v>NELLI</v>
      </c>
      <c r="C515">
        <v>39874838.260000013</v>
      </c>
      <c r="D515">
        <v>51747528.530000009</v>
      </c>
      <c r="E515">
        <v>81842076.370000005</v>
      </c>
      <c r="F515">
        <v>55183640</v>
      </c>
      <c r="G515">
        <v>74014661</v>
      </c>
      <c r="H515">
        <v>75126732</v>
      </c>
      <c r="I515">
        <f t="shared" si="72"/>
        <v>0.3839213501050569</v>
      </c>
      <c r="J515">
        <f t="shared" si="73"/>
        <v>0.43030330341459466</v>
      </c>
      <c r="K515">
        <f t="shared" si="74"/>
        <v>-8.2052468215011887E-2</v>
      </c>
      <c r="L515">
        <f t="shared" si="75"/>
        <v>2.9722462794634059</v>
      </c>
      <c r="M515">
        <f t="shared" si="76"/>
        <v>3.386193425309735</v>
      </c>
      <c r="N515">
        <f t="shared" si="77"/>
        <v>-0.64622837767530794</v>
      </c>
      <c r="O515">
        <f t="shared" si="78"/>
        <v>63.537300922045262</v>
      </c>
      <c r="P515">
        <f t="shared" si="79"/>
        <v>68.482816429170157</v>
      </c>
      <c r="Q515">
        <f t="shared" si="80"/>
        <v>10.393964794635373</v>
      </c>
    </row>
    <row r="516" spans="1:17" x14ac:dyDescent="0.3">
      <c r="A516">
        <v>51056817</v>
      </c>
      <c r="B516" t="str">
        <f>VLOOKUP(A516,ASESORES!$A$2:$B$993,2,0)</f>
        <v>AYALA</v>
      </c>
      <c r="C516">
        <v>45707209.270000003</v>
      </c>
      <c r="D516">
        <v>60385169.600000001</v>
      </c>
      <c r="E516">
        <v>73169396.719999999</v>
      </c>
      <c r="F516">
        <v>57030684</v>
      </c>
      <c r="G516">
        <v>78985717</v>
      </c>
      <c r="H516">
        <v>74983891</v>
      </c>
      <c r="I516">
        <f t="shared" si="72"/>
        <v>0.24773935908251077</v>
      </c>
      <c r="J516">
        <f t="shared" si="73"/>
        <v>0.30803171578738109</v>
      </c>
      <c r="K516">
        <f t="shared" si="74"/>
        <v>2.4798540938414382E-2</v>
      </c>
      <c r="L516">
        <f t="shared" si="75"/>
        <v>1.9214933686693259</v>
      </c>
      <c r="M516">
        <f t="shared" si="76"/>
        <v>2.4326954349445105</v>
      </c>
      <c r="N516">
        <f t="shared" si="77"/>
        <v>0.19528771565991196</v>
      </c>
      <c r="O516">
        <f t="shared" si="78"/>
        <v>45.76697401508801</v>
      </c>
      <c r="P516">
        <f t="shared" si="79"/>
        <v>54.400670578373841</v>
      </c>
      <c r="Q516">
        <f t="shared" si="80"/>
        <v>34.031852472757748</v>
      </c>
    </row>
    <row r="517" spans="1:17" x14ac:dyDescent="0.3">
      <c r="A517">
        <v>51018826</v>
      </c>
      <c r="B517" t="str">
        <f>VLOOKUP(A517,ASESORES!$A$2:$B$993,2,0)</f>
        <v>ARGUELLO</v>
      </c>
      <c r="C517">
        <v>35515528.439999998</v>
      </c>
      <c r="D517">
        <v>42799402.950000003</v>
      </c>
      <c r="E517">
        <v>51891000.649999999</v>
      </c>
      <c r="F517">
        <v>40123330</v>
      </c>
      <c r="G517">
        <v>60282218</v>
      </c>
      <c r="H517">
        <v>74827740</v>
      </c>
      <c r="I517">
        <f t="shared" si="72"/>
        <v>0.12974047585366577</v>
      </c>
      <c r="J517">
        <f t="shared" si="73"/>
        <v>0.40848268538755383</v>
      </c>
      <c r="K517">
        <f t="shared" si="74"/>
        <v>0.44201767286597904</v>
      </c>
      <c r="L517">
        <f t="shared" si="75"/>
        <v>0.98646834095676539</v>
      </c>
      <c r="M517">
        <f t="shared" si="76"/>
        <v>3.1780725867141397</v>
      </c>
      <c r="N517">
        <f t="shared" si="77"/>
        <v>3.4804748390743709</v>
      </c>
      <c r="O517">
        <f t="shared" si="78"/>
        <v>32.690695725062866</v>
      </c>
      <c r="P517">
        <f t="shared" si="79"/>
        <v>65.465213746856662</v>
      </c>
      <c r="Q517">
        <f t="shared" si="80"/>
        <v>78.960603520536466</v>
      </c>
    </row>
    <row r="518" spans="1:17" x14ac:dyDescent="0.3">
      <c r="A518">
        <v>51019814</v>
      </c>
      <c r="B518" t="str">
        <f>VLOOKUP(A518,ASESORES!$A$2:$B$993,2,0)</f>
        <v>MONTENEGRO</v>
      </c>
      <c r="C518">
        <v>49457582.950000003</v>
      </c>
      <c r="D518">
        <v>68379793.109999999</v>
      </c>
      <c r="E518">
        <v>77388241.199999988</v>
      </c>
      <c r="F518">
        <v>58272895</v>
      </c>
      <c r="G518">
        <v>66822360</v>
      </c>
      <c r="H518">
        <v>74758340</v>
      </c>
      <c r="I518">
        <f t="shared" si="72"/>
        <v>0.17823984764706324</v>
      </c>
      <c r="J518">
        <f t="shared" si="73"/>
        <v>-2.2776218516698532E-2</v>
      </c>
      <c r="K518">
        <f t="shared" si="74"/>
        <v>-3.3983214493831793E-2</v>
      </c>
      <c r="L518">
        <f t="shared" si="75"/>
        <v>1.3841155826933547</v>
      </c>
      <c r="M518">
        <f t="shared" si="76"/>
        <v>-0.17822212901555631</v>
      </c>
      <c r="N518">
        <f t="shared" si="77"/>
        <v>-0.26757226471552131</v>
      </c>
      <c r="O518">
        <f t="shared" si="78"/>
        <v>38.390611902766139</v>
      </c>
      <c r="P518">
        <f t="shared" si="79"/>
        <v>9.8072087175188596</v>
      </c>
      <c r="Q518">
        <f t="shared" si="80"/>
        <v>12.573344509639565</v>
      </c>
    </row>
    <row r="519" spans="1:17" x14ac:dyDescent="0.3">
      <c r="A519">
        <v>51033281</v>
      </c>
      <c r="B519" t="str">
        <f>VLOOKUP(A519,ASESORES!$A$2:$B$993,2,0)</f>
        <v>METTLER</v>
      </c>
      <c r="C519">
        <v>33819141.119999997</v>
      </c>
      <c r="D519">
        <v>40633696.549999997</v>
      </c>
      <c r="E519">
        <v>47689641.229999997</v>
      </c>
      <c r="F519">
        <v>35003995</v>
      </c>
      <c r="G519">
        <v>46418393</v>
      </c>
      <c r="H519">
        <v>74705343</v>
      </c>
      <c r="I519">
        <f t="shared" si="72"/>
        <v>3.5035008009097535E-2</v>
      </c>
      <c r="J519">
        <f t="shared" si="73"/>
        <v>0.14236205270868973</v>
      </c>
      <c r="K519">
        <f t="shared" si="74"/>
        <v>0.56648993519803015</v>
      </c>
      <c r="L519">
        <f t="shared" si="75"/>
        <v>0.2643082209977366</v>
      </c>
      <c r="M519">
        <f t="shared" si="76"/>
        <v>1.0914457402810742</v>
      </c>
      <c r="N519">
        <f t="shared" si="77"/>
        <v>4.4601744739856066</v>
      </c>
      <c r="O519">
        <f t="shared" si="78"/>
        <v>25.48197820620285</v>
      </c>
      <c r="P519">
        <f t="shared" si="79"/>
        <v>36.546521374685668</v>
      </c>
      <c r="Q519">
        <f t="shared" si="80"/>
        <v>87.761944677284148</v>
      </c>
    </row>
    <row r="520" spans="1:17" x14ac:dyDescent="0.3">
      <c r="A520">
        <v>51056523</v>
      </c>
      <c r="B520" t="str">
        <f>VLOOKUP(A520,ASESORES!$A$2:$B$993,2,0)</f>
        <v>CICHETTO</v>
      </c>
      <c r="C520">
        <v>53203710.979999997</v>
      </c>
      <c r="D520">
        <v>67937716.530000001</v>
      </c>
      <c r="E520">
        <v>78035192.439999998</v>
      </c>
      <c r="F520">
        <v>68409094</v>
      </c>
      <c r="G520">
        <v>68047550</v>
      </c>
      <c r="H520">
        <v>74649558</v>
      </c>
      <c r="I520">
        <f t="shared" si="72"/>
        <v>0.28579553455802942</v>
      </c>
      <c r="J520">
        <f t="shared" si="73"/>
        <v>1.6166788583702463E-3</v>
      </c>
      <c r="K520">
        <f t="shared" si="74"/>
        <v>-4.3385994628041158E-2</v>
      </c>
      <c r="L520">
        <f t="shared" si="75"/>
        <v>2.2392405478629298</v>
      </c>
      <c r="M520">
        <f t="shared" si="76"/>
        <v>1.2663142359625993E-2</v>
      </c>
      <c r="N520">
        <f t="shared" si="77"/>
        <v>-0.34157911756758014</v>
      </c>
      <c r="O520">
        <f t="shared" si="78"/>
        <v>50.9639564124057</v>
      </c>
      <c r="P520">
        <f t="shared" si="79"/>
        <v>26.236378876781224</v>
      </c>
      <c r="Q520">
        <f t="shared" si="80"/>
        <v>12.070410729253982</v>
      </c>
    </row>
    <row r="521" spans="1:17" x14ac:dyDescent="0.3">
      <c r="A521">
        <v>51025792</v>
      </c>
      <c r="B521" t="str">
        <f>VLOOKUP(A521,ASESORES!$A$2:$B$993,2,0)</f>
        <v>METTLER</v>
      </c>
      <c r="C521">
        <v>50952740.470000014</v>
      </c>
      <c r="D521">
        <v>67828975.650000006</v>
      </c>
      <c r="E521">
        <v>80789118.060000002</v>
      </c>
      <c r="F521">
        <v>74477638</v>
      </c>
      <c r="G521">
        <v>76192120</v>
      </c>
      <c r="H521">
        <v>74620298</v>
      </c>
      <c r="I521">
        <f t="shared" si="72"/>
        <v>0.46170033864716253</v>
      </c>
      <c r="J521">
        <f t="shared" si="73"/>
        <v>0.12329751805709299</v>
      </c>
      <c r="K521">
        <f t="shared" si="74"/>
        <v>-7.6357066497725334E-2</v>
      </c>
      <c r="L521">
        <f t="shared" si="75"/>
        <v>3.6345170215062934</v>
      </c>
      <c r="M521">
        <f t="shared" si="76"/>
        <v>0.97181994766665414</v>
      </c>
      <c r="N521">
        <f t="shared" si="77"/>
        <v>-0.6011482638791229</v>
      </c>
      <c r="O521">
        <f t="shared" si="78"/>
        <v>73.176865046102265</v>
      </c>
      <c r="P521">
        <f t="shared" si="79"/>
        <v>34.870075440067055</v>
      </c>
      <c r="Q521">
        <f t="shared" si="80"/>
        <v>10.813076278290024</v>
      </c>
    </row>
    <row r="522" spans="1:17" x14ac:dyDescent="0.3">
      <c r="A522">
        <v>51056728</v>
      </c>
      <c r="B522" t="str">
        <f>VLOOKUP(A522,ASESORES!$A$2:$B$993,2,0)</f>
        <v>CICHETTO</v>
      </c>
      <c r="C522">
        <v>39462260</v>
      </c>
      <c r="D522">
        <v>66205944.170000002</v>
      </c>
      <c r="E522">
        <v>76225653.070000008</v>
      </c>
      <c r="F522">
        <v>62230813</v>
      </c>
      <c r="G522">
        <v>77290640</v>
      </c>
      <c r="H522">
        <v>74587937</v>
      </c>
      <c r="I522">
        <f t="shared" si="72"/>
        <v>0.57697032557182482</v>
      </c>
      <c r="J522">
        <f t="shared" si="73"/>
        <v>0.16742750169890064</v>
      </c>
      <c r="K522">
        <f t="shared" si="74"/>
        <v>-2.1485103820574003E-2</v>
      </c>
      <c r="L522">
        <f t="shared" si="75"/>
        <v>4.4969098762813831</v>
      </c>
      <c r="M522">
        <f t="shared" si="76"/>
        <v>1.3206893805300839</v>
      </c>
      <c r="N522">
        <f t="shared" si="77"/>
        <v>-0.16914510211560624</v>
      </c>
      <c r="O522">
        <f t="shared" si="78"/>
        <v>81.642917015926244</v>
      </c>
      <c r="P522">
        <f t="shared" si="79"/>
        <v>39.06119027661358</v>
      </c>
      <c r="Q522">
        <f t="shared" si="80"/>
        <v>13.57921207041073</v>
      </c>
    </row>
    <row r="523" spans="1:17" x14ac:dyDescent="0.3">
      <c r="A523">
        <v>51011708</v>
      </c>
      <c r="B523" t="str">
        <f>VLOOKUP(A523,ASESORES!$A$2:$B$993,2,0)</f>
        <v>ARGUELLO</v>
      </c>
      <c r="C523">
        <v>39778274.420000002</v>
      </c>
      <c r="D523">
        <v>60825357.420000002</v>
      </c>
      <c r="E523">
        <v>86190714.449999988</v>
      </c>
      <c r="F523">
        <v>65572678</v>
      </c>
      <c r="G523">
        <v>74297877</v>
      </c>
      <c r="H523">
        <v>74314026</v>
      </c>
      <c r="I523">
        <f t="shared" si="72"/>
        <v>0.6484545636054766</v>
      </c>
      <c r="J523">
        <f t="shared" si="73"/>
        <v>0.22149511571254821</v>
      </c>
      <c r="K523">
        <f t="shared" si="74"/>
        <v>-0.1377954519322353</v>
      </c>
      <c r="L523">
        <f t="shared" si="75"/>
        <v>5.0687896503633629</v>
      </c>
      <c r="M523">
        <f t="shared" si="76"/>
        <v>1.7433828294488056</v>
      </c>
      <c r="N523">
        <f t="shared" si="77"/>
        <v>-1.0845977567078133</v>
      </c>
      <c r="O523">
        <f t="shared" si="78"/>
        <v>85.917854149203691</v>
      </c>
      <c r="P523">
        <f t="shared" si="79"/>
        <v>44.341994970662199</v>
      </c>
      <c r="Q523">
        <f t="shared" si="80"/>
        <v>7.1248952221290862</v>
      </c>
    </row>
    <row r="524" spans="1:17" x14ac:dyDescent="0.3">
      <c r="A524">
        <v>51056558</v>
      </c>
      <c r="B524" t="str">
        <f>VLOOKUP(A524,ASESORES!$A$2:$B$993,2,0)</f>
        <v>CICHETTO</v>
      </c>
      <c r="C524">
        <v>40172951.509999998</v>
      </c>
      <c r="D524">
        <v>57239162.510000013</v>
      </c>
      <c r="E524">
        <v>60025745.420000002</v>
      </c>
      <c r="F524">
        <v>65858940</v>
      </c>
      <c r="G524">
        <v>70535320</v>
      </c>
      <c r="H524">
        <v>74239589</v>
      </c>
      <c r="I524">
        <f t="shared" si="72"/>
        <v>0.63938514658566103</v>
      </c>
      <c r="J524">
        <f t="shared" si="73"/>
        <v>0.23229126540202394</v>
      </c>
      <c r="K524">
        <f t="shared" si="74"/>
        <v>0.23679578621716013</v>
      </c>
      <c r="L524">
        <f t="shared" si="75"/>
        <v>4.999106129368335</v>
      </c>
      <c r="M524">
        <f t="shared" si="76"/>
        <v>1.8231163100187795</v>
      </c>
      <c r="N524">
        <f t="shared" si="77"/>
        <v>1.8637333352000836</v>
      </c>
      <c r="O524">
        <f t="shared" si="78"/>
        <v>85.498742665549031</v>
      </c>
      <c r="P524">
        <f t="shared" si="79"/>
        <v>46.018440905280805</v>
      </c>
      <c r="Q524">
        <f t="shared" si="80"/>
        <v>56.580050293378036</v>
      </c>
    </row>
    <row r="525" spans="1:17" x14ac:dyDescent="0.3">
      <c r="A525">
        <v>51041801</v>
      </c>
      <c r="B525" t="str">
        <f>VLOOKUP(A525,ASESORES!$A$2:$B$993,2,0)</f>
        <v>ARGUELLO</v>
      </c>
      <c r="C525">
        <v>31237001.719999999</v>
      </c>
      <c r="D525">
        <v>38250994.939999998</v>
      </c>
      <c r="E525">
        <v>47272028.619999997</v>
      </c>
      <c r="F525">
        <v>45244109</v>
      </c>
      <c r="G525">
        <v>62349384</v>
      </c>
      <c r="H525">
        <v>74211883</v>
      </c>
      <c r="I525">
        <f t="shared" si="72"/>
        <v>0.44841394848186478</v>
      </c>
      <c r="J525">
        <f t="shared" si="73"/>
        <v>0.63000685597329986</v>
      </c>
      <c r="K525">
        <f t="shared" si="74"/>
        <v>0.56988995747481419</v>
      </c>
      <c r="L525">
        <f t="shared" si="75"/>
        <v>3.432860802203237</v>
      </c>
      <c r="M525">
        <f t="shared" si="76"/>
        <v>4.9107977064274495</v>
      </c>
      <c r="N525">
        <f t="shared" si="77"/>
        <v>4.4853037804171372</v>
      </c>
      <c r="O525">
        <f t="shared" si="78"/>
        <v>70.494551550712487</v>
      </c>
      <c r="P525">
        <f t="shared" si="79"/>
        <v>83.989941324392291</v>
      </c>
      <c r="Q525">
        <f t="shared" si="80"/>
        <v>88.01341156747695</v>
      </c>
    </row>
    <row r="526" spans="1:17" x14ac:dyDescent="0.3">
      <c r="A526">
        <v>51055390</v>
      </c>
      <c r="B526" t="str">
        <f>VLOOKUP(A526,ASESORES!$A$2:$B$993,2,0)</f>
        <v>AYALA</v>
      </c>
      <c r="C526">
        <v>31219685.280000001</v>
      </c>
      <c r="D526">
        <v>43196448.75</v>
      </c>
      <c r="E526">
        <v>50560508.75</v>
      </c>
      <c r="F526">
        <v>53362385</v>
      </c>
      <c r="G526">
        <v>69545299</v>
      </c>
      <c r="H526">
        <v>74040787</v>
      </c>
      <c r="I526">
        <f t="shared" si="72"/>
        <v>0.70925441821109847</v>
      </c>
      <c r="J526">
        <f t="shared" si="73"/>
        <v>0.60997723221402556</v>
      </c>
      <c r="K526">
        <f t="shared" si="74"/>
        <v>0.46439956461078924</v>
      </c>
      <c r="L526">
        <f t="shared" si="75"/>
        <v>5.4805757287640589</v>
      </c>
      <c r="M526">
        <f t="shared" si="76"/>
        <v>4.7836047939025885</v>
      </c>
      <c r="N526">
        <f t="shared" si="77"/>
        <v>3.6545789183502349</v>
      </c>
      <c r="O526">
        <f t="shared" si="78"/>
        <v>88.09723386420788</v>
      </c>
      <c r="P526">
        <f t="shared" si="79"/>
        <v>82.900251466890197</v>
      </c>
      <c r="Q526">
        <f t="shared" si="80"/>
        <v>80.720871751886008</v>
      </c>
    </row>
    <row r="527" spans="1:17" x14ac:dyDescent="0.3">
      <c r="A527">
        <v>51017081</v>
      </c>
      <c r="B527" t="str">
        <f>VLOOKUP(A527,ASESORES!$A$2:$B$993,2,0)</f>
        <v>AYALA</v>
      </c>
      <c r="C527">
        <v>36786689.909999996</v>
      </c>
      <c r="D527">
        <v>46926919.549999997</v>
      </c>
      <c r="E527">
        <v>53753535.710000001</v>
      </c>
      <c r="F527">
        <v>38505879</v>
      </c>
      <c r="G527">
        <v>59498762</v>
      </c>
      <c r="H527">
        <v>73995199</v>
      </c>
      <c r="I527">
        <f t="shared" si="72"/>
        <v>4.6733997927132398E-2</v>
      </c>
      <c r="J527">
        <f t="shared" si="73"/>
        <v>0.26790257213889523</v>
      </c>
      <c r="K527">
        <f t="shared" si="74"/>
        <v>0.37656431381934863</v>
      </c>
      <c r="L527">
        <f t="shared" si="75"/>
        <v>0.35450200504661539</v>
      </c>
      <c r="M527">
        <f t="shared" si="76"/>
        <v>2.0828106713977346</v>
      </c>
      <c r="N527">
        <f t="shared" si="77"/>
        <v>2.9632612322844905</v>
      </c>
      <c r="O527">
        <f t="shared" si="78"/>
        <v>26.152556580050295</v>
      </c>
      <c r="P527">
        <f t="shared" si="79"/>
        <v>49.622799664710811</v>
      </c>
      <c r="Q527">
        <f t="shared" si="80"/>
        <v>73.260687342833194</v>
      </c>
    </row>
    <row r="528" spans="1:17" x14ac:dyDescent="0.3">
      <c r="A528">
        <v>51056345</v>
      </c>
      <c r="B528" t="str">
        <f>VLOOKUP(A528,ASESORES!$A$2:$B$993,2,0)</f>
        <v>AYALA</v>
      </c>
      <c r="C528">
        <v>40731719.909999996</v>
      </c>
      <c r="D528">
        <v>51370385.569999993</v>
      </c>
      <c r="E528">
        <v>68585188.400000006</v>
      </c>
      <c r="F528">
        <v>56055810</v>
      </c>
      <c r="G528">
        <v>75685269</v>
      </c>
      <c r="H528">
        <v>73994920</v>
      </c>
      <c r="I528">
        <f t="shared" si="72"/>
        <v>0.37622005954719828</v>
      </c>
      <c r="J528">
        <f t="shared" si="73"/>
        <v>0.47332491590640813</v>
      </c>
      <c r="K528">
        <f t="shared" si="74"/>
        <v>7.8876091561483452E-2</v>
      </c>
      <c r="L528">
        <f t="shared" si="75"/>
        <v>2.9151865157512145</v>
      </c>
      <c r="M528">
        <f t="shared" si="76"/>
        <v>3.7293323888448096</v>
      </c>
      <c r="N528">
        <f t="shared" si="77"/>
        <v>0.62069188997286806</v>
      </c>
      <c r="O528">
        <f t="shared" si="78"/>
        <v>62.112321877619451</v>
      </c>
      <c r="P528">
        <f t="shared" si="79"/>
        <v>72.422464375523887</v>
      </c>
      <c r="Q528">
        <f t="shared" si="80"/>
        <v>38.893545683151721</v>
      </c>
    </row>
    <row r="529" spans="1:17" x14ac:dyDescent="0.3">
      <c r="A529">
        <v>51055942</v>
      </c>
      <c r="B529" t="str">
        <f>VLOOKUP(A529,ASESORES!$A$2:$B$993,2,0)</f>
        <v>PUGH</v>
      </c>
      <c r="C529">
        <v>36634311.359999999</v>
      </c>
      <c r="D529">
        <v>40989492.890000001</v>
      </c>
      <c r="E529">
        <v>52069775.840000004</v>
      </c>
      <c r="F529">
        <v>48307125</v>
      </c>
      <c r="G529">
        <v>60035896</v>
      </c>
      <c r="H529">
        <v>73940012</v>
      </c>
      <c r="I529">
        <f t="shared" si="72"/>
        <v>0.31863062813691179</v>
      </c>
      <c r="J529">
        <f t="shared" si="73"/>
        <v>0.46466549759747466</v>
      </c>
      <c r="K529">
        <f t="shared" si="74"/>
        <v>0.42001786654897177</v>
      </c>
      <c r="L529">
        <f t="shared" si="75"/>
        <v>2.4483613124651726</v>
      </c>
      <c r="M529">
        <f t="shared" si="76"/>
        <v>3.6143592162549805</v>
      </c>
      <c r="N529">
        <f t="shared" si="77"/>
        <v>3.3050699867437912</v>
      </c>
      <c r="O529">
        <f t="shared" si="78"/>
        <v>55.071248952221282</v>
      </c>
      <c r="P529">
        <f t="shared" si="79"/>
        <v>71.416596814752722</v>
      </c>
      <c r="Q529">
        <f t="shared" si="80"/>
        <v>77.116512992455995</v>
      </c>
    </row>
    <row r="530" spans="1:17" x14ac:dyDescent="0.3">
      <c r="A530">
        <v>51036735</v>
      </c>
      <c r="B530" t="str">
        <f>VLOOKUP(A530,ASESORES!$A$2:$B$993,2,0)</f>
        <v>MONTENEGRO</v>
      </c>
      <c r="C530">
        <v>24629322.010000002</v>
      </c>
      <c r="D530">
        <v>38435344.5</v>
      </c>
      <c r="E530">
        <v>50090195.270000003</v>
      </c>
      <c r="F530">
        <v>45346043</v>
      </c>
      <c r="G530">
        <v>65549386</v>
      </c>
      <c r="H530">
        <v>73932575</v>
      </c>
      <c r="I530">
        <f t="shared" si="72"/>
        <v>0.84114053085134022</v>
      </c>
      <c r="J530">
        <f t="shared" si="73"/>
        <v>0.70544551773173247</v>
      </c>
      <c r="K530">
        <f t="shared" si="74"/>
        <v>0.4759889555527379</v>
      </c>
      <c r="L530">
        <f t="shared" si="75"/>
        <v>6.4402256116270475</v>
      </c>
      <c r="M530">
        <f t="shared" si="76"/>
        <v>5.5141633026763808</v>
      </c>
      <c r="N530">
        <f t="shared" si="77"/>
        <v>3.745478949335832</v>
      </c>
      <c r="O530">
        <f t="shared" si="78"/>
        <v>92.288348700754398</v>
      </c>
      <c r="P530">
        <f t="shared" si="79"/>
        <v>88.51634534786254</v>
      </c>
      <c r="Q530">
        <f t="shared" si="80"/>
        <v>81.978206202849961</v>
      </c>
    </row>
    <row r="531" spans="1:17" x14ac:dyDescent="0.3">
      <c r="A531">
        <v>51001427</v>
      </c>
      <c r="B531" t="str">
        <f>VLOOKUP(A531,ASESORES!$A$2:$B$993,2,0)</f>
        <v>BELUZZO</v>
      </c>
      <c r="C531">
        <v>25417783.010000002</v>
      </c>
      <c r="D531">
        <v>40733166.490000002</v>
      </c>
      <c r="E531">
        <v>52084187.609999999</v>
      </c>
      <c r="F531">
        <v>37256106</v>
      </c>
      <c r="G531">
        <v>53006988</v>
      </c>
      <c r="H531">
        <v>73829650</v>
      </c>
      <c r="I531">
        <f t="shared" si="72"/>
        <v>0.46574962833471756</v>
      </c>
      <c r="J531">
        <f t="shared" si="73"/>
        <v>0.30132254788031809</v>
      </c>
      <c r="K531">
        <f t="shared" si="74"/>
        <v>0.41750602990733676</v>
      </c>
      <c r="L531">
        <f t="shared" si="75"/>
        <v>3.5262824033085769</v>
      </c>
      <c r="M531">
        <f t="shared" si="76"/>
        <v>2.3275157385473517</v>
      </c>
      <c r="N531">
        <f t="shared" si="77"/>
        <v>3.2850338077074834</v>
      </c>
      <c r="O531">
        <f t="shared" si="78"/>
        <v>71.416596814752722</v>
      </c>
      <c r="P531">
        <f t="shared" si="79"/>
        <v>52.556580050293377</v>
      </c>
      <c r="Q531">
        <f t="shared" si="80"/>
        <v>76.697401508801349</v>
      </c>
    </row>
    <row r="532" spans="1:17" x14ac:dyDescent="0.3">
      <c r="A532">
        <v>51010272</v>
      </c>
      <c r="B532" t="str">
        <f>VLOOKUP(A532,ASESORES!$A$2:$B$993,2,0)</f>
        <v>ROBERTS</v>
      </c>
      <c r="C532">
        <v>33963394.350000001</v>
      </c>
      <c r="D532">
        <v>37002183.869999997</v>
      </c>
      <c r="E532">
        <v>48639237.93</v>
      </c>
      <c r="F532">
        <v>38934617</v>
      </c>
      <c r="G532">
        <v>61306559</v>
      </c>
      <c r="H532">
        <v>73811229</v>
      </c>
      <c r="I532">
        <f t="shared" si="72"/>
        <v>0.14637001822522477</v>
      </c>
      <c r="J532">
        <f t="shared" si="73"/>
        <v>0.65683623473113673</v>
      </c>
      <c r="K532">
        <f t="shared" si="74"/>
        <v>0.51752437211756286</v>
      </c>
      <c r="L532">
        <f t="shared" si="75"/>
        <v>1.1109976050280093</v>
      </c>
      <c r="M532">
        <f t="shared" si="76"/>
        <v>5.1151167369597603</v>
      </c>
      <c r="N532">
        <f t="shared" si="77"/>
        <v>4.0719451237681747</v>
      </c>
      <c r="O532">
        <f t="shared" si="78"/>
        <v>34.115674769488685</v>
      </c>
      <c r="P532">
        <f t="shared" si="79"/>
        <v>86.169321039396479</v>
      </c>
      <c r="Q532">
        <f t="shared" si="80"/>
        <v>84.57669740150881</v>
      </c>
    </row>
    <row r="533" spans="1:17" x14ac:dyDescent="0.3">
      <c r="A533">
        <v>51056451</v>
      </c>
      <c r="B533" t="str">
        <f>VLOOKUP(A533,ASESORES!$A$2:$B$993,2,0)</f>
        <v>METTLER</v>
      </c>
      <c r="C533">
        <v>30880463.27</v>
      </c>
      <c r="D533">
        <v>41635721.810000002</v>
      </c>
      <c r="E533">
        <v>57064248.43</v>
      </c>
      <c r="F533">
        <v>39747424</v>
      </c>
      <c r="G533">
        <v>56330997</v>
      </c>
      <c r="H533">
        <v>73753477</v>
      </c>
      <c r="I533">
        <f t="shared" si="72"/>
        <v>0.28713820296258796</v>
      </c>
      <c r="J533">
        <f t="shared" si="73"/>
        <v>0.35294873130962534</v>
      </c>
      <c r="K533">
        <f t="shared" si="74"/>
        <v>0.29246382856461284</v>
      </c>
      <c r="L533">
        <f t="shared" si="75"/>
        <v>2.1820519264606237</v>
      </c>
      <c r="M533">
        <f t="shared" si="76"/>
        <v>2.7356164748952705</v>
      </c>
      <c r="N533">
        <f t="shared" si="77"/>
        <v>2.301041792062489</v>
      </c>
      <c r="O533">
        <f t="shared" si="78"/>
        <v>49.79044425817267</v>
      </c>
      <c r="P533">
        <f t="shared" si="79"/>
        <v>58.92707460184409</v>
      </c>
      <c r="Q533">
        <f t="shared" si="80"/>
        <v>63.369656328583403</v>
      </c>
    </row>
    <row r="534" spans="1:17" x14ac:dyDescent="0.3">
      <c r="A534">
        <v>51018907</v>
      </c>
      <c r="B534" t="str">
        <f>VLOOKUP(A534,ASESORES!$A$2:$B$993,2,0)</f>
        <v>ROBERTS</v>
      </c>
      <c r="C534">
        <v>34888435.840000004</v>
      </c>
      <c r="D534">
        <v>47870152.299999997</v>
      </c>
      <c r="E534">
        <v>64149968.560000002</v>
      </c>
      <c r="F534">
        <v>55909546</v>
      </c>
      <c r="G534">
        <v>68104464</v>
      </c>
      <c r="H534">
        <v>73705899</v>
      </c>
      <c r="I534">
        <f t="shared" si="72"/>
        <v>0.60252372036407098</v>
      </c>
      <c r="J534">
        <f t="shared" si="73"/>
        <v>0.42269160902586056</v>
      </c>
      <c r="K534">
        <f t="shared" si="74"/>
        <v>0.14896235578139461</v>
      </c>
      <c r="L534">
        <f t="shared" si="75"/>
        <v>4.6680440675155266</v>
      </c>
      <c r="M534">
        <f t="shared" si="76"/>
        <v>3.311017589383729</v>
      </c>
      <c r="N534">
        <f t="shared" si="77"/>
        <v>1.1719616689335126</v>
      </c>
      <c r="O534">
        <f t="shared" si="78"/>
        <v>83.65465213746856</v>
      </c>
      <c r="P534">
        <f t="shared" si="79"/>
        <v>66.974015088013417</v>
      </c>
      <c r="Q534">
        <f t="shared" si="80"/>
        <v>46.437552388935458</v>
      </c>
    </row>
    <row r="535" spans="1:17" x14ac:dyDescent="0.3">
      <c r="A535">
        <v>51004108</v>
      </c>
      <c r="B535" t="str">
        <f>VLOOKUP(A535,ASESORES!$A$2:$B$993,2,0)</f>
        <v>PUGH</v>
      </c>
      <c r="C535">
        <v>27094926.210000001</v>
      </c>
      <c r="D535">
        <v>28189526.469999999</v>
      </c>
      <c r="E535">
        <v>41465922.010000013</v>
      </c>
      <c r="F535">
        <v>40211884</v>
      </c>
      <c r="G535">
        <v>71894929</v>
      </c>
      <c r="H535">
        <v>73691637</v>
      </c>
      <c r="I535">
        <f t="shared" si="72"/>
        <v>0.48411122024605802</v>
      </c>
      <c r="J535">
        <f t="shared" si="73"/>
        <v>1.5504127952100362</v>
      </c>
      <c r="K535">
        <f t="shared" si="74"/>
        <v>0.77716142383686448</v>
      </c>
      <c r="L535">
        <f t="shared" si="75"/>
        <v>3.6813532979662549</v>
      </c>
      <c r="M535">
        <f t="shared" si="76"/>
        <v>12.181125509104811</v>
      </c>
      <c r="N535">
        <f t="shared" si="77"/>
        <v>6.1142539334416872</v>
      </c>
      <c r="O535">
        <f t="shared" si="78"/>
        <v>73.847443419949713</v>
      </c>
      <c r="P535">
        <f t="shared" si="79"/>
        <v>98.239731768650458</v>
      </c>
      <c r="Q535">
        <f t="shared" si="80"/>
        <v>95.054484492875105</v>
      </c>
    </row>
    <row r="536" spans="1:17" x14ac:dyDescent="0.3">
      <c r="A536">
        <v>51030869</v>
      </c>
      <c r="B536" t="str">
        <f>VLOOKUP(A536,ASESORES!$A$2:$B$993,2,0)</f>
        <v>MONTENEGRO</v>
      </c>
      <c r="C536">
        <v>32254698.710000001</v>
      </c>
      <c r="D536">
        <v>52839555.509999998</v>
      </c>
      <c r="E536">
        <v>61963285.759999998</v>
      </c>
      <c r="F536">
        <v>40283708</v>
      </c>
      <c r="G536">
        <v>60404445</v>
      </c>
      <c r="H536">
        <v>73510227</v>
      </c>
      <c r="I536">
        <f t="shared" si="72"/>
        <v>0.24892526084922761</v>
      </c>
      <c r="J536">
        <f t="shared" si="73"/>
        <v>0.14316716741813496</v>
      </c>
      <c r="K536">
        <f t="shared" si="74"/>
        <v>0.1863513385123623</v>
      </c>
      <c r="L536">
        <f t="shared" si="75"/>
        <v>1.8931088294662339</v>
      </c>
      <c r="M536">
        <f t="shared" si="76"/>
        <v>1.1139935936628729</v>
      </c>
      <c r="N536">
        <f t="shared" si="77"/>
        <v>1.465904434998202</v>
      </c>
      <c r="O536">
        <f t="shared" si="78"/>
        <v>45.683151718357081</v>
      </c>
      <c r="P536">
        <f t="shared" si="79"/>
        <v>36.881810561609392</v>
      </c>
      <c r="Q536">
        <f t="shared" si="80"/>
        <v>51.802179379715007</v>
      </c>
    </row>
    <row r="537" spans="1:17" x14ac:dyDescent="0.3">
      <c r="A537">
        <v>51031113</v>
      </c>
      <c r="B537" t="str">
        <f>VLOOKUP(A537,ASESORES!$A$2:$B$993,2,0)</f>
        <v>METTLER</v>
      </c>
      <c r="C537">
        <v>30895438.300000001</v>
      </c>
      <c r="D537">
        <v>44796541.5</v>
      </c>
      <c r="E537">
        <v>58527028.600000001</v>
      </c>
      <c r="F537">
        <v>46572085</v>
      </c>
      <c r="G537">
        <v>66331580</v>
      </c>
      <c r="H537">
        <v>73507161</v>
      </c>
      <c r="I537">
        <f t="shared" si="72"/>
        <v>0.50740975246174114</v>
      </c>
      <c r="J537">
        <f t="shared" si="73"/>
        <v>0.48072993536788999</v>
      </c>
      <c r="K537">
        <f t="shared" si="74"/>
        <v>0.25595238231520256</v>
      </c>
      <c r="L537">
        <f t="shared" si="75"/>
        <v>3.89088175386054</v>
      </c>
      <c r="M537">
        <f t="shared" si="76"/>
        <v>3.7601351145699526</v>
      </c>
      <c r="N537">
        <f t="shared" si="77"/>
        <v>2.0134058139210231</v>
      </c>
      <c r="O537">
        <f t="shared" si="78"/>
        <v>76.194467728415759</v>
      </c>
      <c r="P537">
        <f t="shared" si="79"/>
        <v>72.841575859178548</v>
      </c>
      <c r="Q537">
        <f t="shared" si="80"/>
        <v>58.759430008382232</v>
      </c>
    </row>
    <row r="538" spans="1:17" x14ac:dyDescent="0.3">
      <c r="A538">
        <v>51033329</v>
      </c>
      <c r="B538" t="str">
        <f>VLOOKUP(A538,ASESORES!$A$2:$B$993,2,0)</f>
        <v>AYALA</v>
      </c>
      <c r="C538">
        <v>23818743.030000001</v>
      </c>
      <c r="D538">
        <v>41444222.899999999</v>
      </c>
      <c r="E538">
        <v>49740125.210000001</v>
      </c>
      <c r="F538">
        <v>35558645</v>
      </c>
      <c r="G538">
        <v>54676638</v>
      </c>
      <c r="H538">
        <v>73318672</v>
      </c>
      <c r="I538">
        <f t="shared" si="72"/>
        <v>0.49288503407646012</v>
      </c>
      <c r="J538">
        <f t="shared" si="73"/>
        <v>0.31928250004658665</v>
      </c>
      <c r="K538">
        <f t="shared" si="74"/>
        <v>0.47403472931466717</v>
      </c>
      <c r="L538">
        <f t="shared" si="75"/>
        <v>3.7217478838676681</v>
      </c>
      <c r="M538">
        <f t="shared" si="76"/>
        <v>2.470544704359853</v>
      </c>
      <c r="N538">
        <f t="shared" si="77"/>
        <v>3.728384869224795</v>
      </c>
      <c r="O538">
        <f t="shared" si="78"/>
        <v>74.434199497066217</v>
      </c>
      <c r="P538">
        <f t="shared" si="79"/>
        <v>55.071248952221282</v>
      </c>
      <c r="Q538">
        <f t="shared" si="80"/>
        <v>81.391450125733442</v>
      </c>
    </row>
    <row r="539" spans="1:17" x14ac:dyDescent="0.3">
      <c r="A539">
        <v>51042905</v>
      </c>
      <c r="B539" t="str">
        <f>VLOOKUP(A539,ASESORES!$A$2:$B$993,2,0)</f>
        <v>NELLI</v>
      </c>
      <c r="C539">
        <v>30179424.98</v>
      </c>
      <c r="D539">
        <v>38013714.439999998</v>
      </c>
      <c r="E539">
        <v>47980605.559999987</v>
      </c>
      <c r="F539">
        <v>38317919</v>
      </c>
      <c r="G539">
        <v>54403392</v>
      </c>
      <c r="H539">
        <v>73238789</v>
      </c>
      <c r="I539">
        <f t="shared" si="72"/>
        <v>0.26967028117313063</v>
      </c>
      <c r="J539">
        <f t="shared" si="73"/>
        <v>0.431151698839352</v>
      </c>
      <c r="K539">
        <f t="shared" si="74"/>
        <v>0.52642485740232114</v>
      </c>
      <c r="L539">
        <f t="shared" si="75"/>
        <v>2.0450181266768981</v>
      </c>
      <c r="M539">
        <f t="shared" si="76"/>
        <v>3.3352282821696448</v>
      </c>
      <c r="N539">
        <f t="shared" si="77"/>
        <v>4.1401952408426812</v>
      </c>
      <c r="O539">
        <f t="shared" si="78"/>
        <v>47.77870913663034</v>
      </c>
      <c r="P539">
        <f t="shared" si="79"/>
        <v>67.560771165129935</v>
      </c>
      <c r="Q539">
        <f t="shared" si="80"/>
        <v>85.331098072087173</v>
      </c>
    </row>
    <row r="540" spans="1:17" x14ac:dyDescent="0.3">
      <c r="A540">
        <v>51010833</v>
      </c>
      <c r="B540" t="str">
        <f>VLOOKUP(A540,ASESORES!$A$2:$B$993,2,0)</f>
        <v>PRADES</v>
      </c>
      <c r="C540">
        <v>43489251.739999987</v>
      </c>
      <c r="D540">
        <v>47628145.290000007</v>
      </c>
      <c r="E540">
        <v>54502026.200000003</v>
      </c>
      <c r="F540">
        <v>44604170</v>
      </c>
      <c r="G540">
        <v>58015722</v>
      </c>
      <c r="H540">
        <v>73221536</v>
      </c>
      <c r="I540">
        <f t="shared" si="72"/>
        <v>2.5636639293440622E-2</v>
      </c>
      <c r="J540">
        <f t="shared" si="73"/>
        <v>0.21809744315575874</v>
      </c>
      <c r="K540">
        <f t="shared" si="74"/>
        <v>0.34346447472075803</v>
      </c>
      <c r="L540">
        <f t="shared" si="75"/>
        <v>0.19610427954898549</v>
      </c>
      <c r="M540">
        <f t="shared" si="76"/>
        <v>1.6932094672908349</v>
      </c>
      <c r="N540">
        <f t="shared" si="77"/>
        <v>2.7012240463404265</v>
      </c>
      <c r="O540">
        <f t="shared" si="78"/>
        <v>24.476110645431685</v>
      </c>
      <c r="P540">
        <f t="shared" si="79"/>
        <v>43.922883487007539</v>
      </c>
      <c r="Q540">
        <f t="shared" si="80"/>
        <v>69.153394803017605</v>
      </c>
    </row>
    <row r="541" spans="1:17" x14ac:dyDescent="0.3">
      <c r="A541">
        <v>51042956</v>
      </c>
      <c r="B541" t="str">
        <f>VLOOKUP(A541,ASESORES!$A$2:$B$993,2,0)</f>
        <v>NELLI</v>
      </c>
      <c r="C541">
        <v>25551577.100000001</v>
      </c>
      <c r="D541">
        <v>42147051.75</v>
      </c>
      <c r="E541">
        <v>55433505.799999997</v>
      </c>
      <c r="F541">
        <v>45936427</v>
      </c>
      <c r="G541">
        <v>73470001</v>
      </c>
      <c r="H541">
        <v>73181985</v>
      </c>
      <c r="I541">
        <f t="shared" si="72"/>
        <v>0.79779223882035821</v>
      </c>
      <c r="J541">
        <f t="shared" si="73"/>
        <v>0.7431824516646055</v>
      </c>
      <c r="K541">
        <f t="shared" si="74"/>
        <v>0.32017601888711877</v>
      </c>
      <c r="L541">
        <f t="shared" si="75"/>
        <v>6.1128095564636142</v>
      </c>
      <c r="M541">
        <f t="shared" si="76"/>
        <v>5.8459549488681972</v>
      </c>
      <c r="N541">
        <f t="shared" si="77"/>
        <v>2.5179936229314515</v>
      </c>
      <c r="O541">
        <f t="shared" si="78"/>
        <v>91.031014249790445</v>
      </c>
      <c r="P541">
        <f t="shared" si="79"/>
        <v>90.108968985750209</v>
      </c>
      <c r="Q541">
        <f t="shared" si="80"/>
        <v>66.303436714165969</v>
      </c>
    </row>
    <row r="542" spans="1:17" x14ac:dyDescent="0.3">
      <c r="A542">
        <v>51039645</v>
      </c>
      <c r="B542" t="str">
        <f>VLOOKUP(A542,ASESORES!$A$2:$B$993,2,0)</f>
        <v>LÓPEZ</v>
      </c>
      <c r="C542">
        <v>42716667.970000014</v>
      </c>
      <c r="D542">
        <v>51137017.409999996</v>
      </c>
      <c r="E542">
        <v>62365061.169999987</v>
      </c>
      <c r="F542">
        <v>51681930</v>
      </c>
      <c r="G542">
        <v>68706362</v>
      </c>
      <c r="H542">
        <v>73012531</v>
      </c>
      <c r="I542">
        <f t="shared" si="72"/>
        <v>0.20987737237127924</v>
      </c>
      <c r="J542">
        <f t="shared" si="73"/>
        <v>0.343573901644179</v>
      </c>
      <c r="K542">
        <f t="shared" si="74"/>
        <v>0.17072812293050155</v>
      </c>
      <c r="L542">
        <f t="shared" si="75"/>
        <v>1.6188552634976097</v>
      </c>
      <c r="M542">
        <f t="shared" si="76"/>
        <v>2.6925876204080681</v>
      </c>
      <c r="N542">
        <f t="shared" si="77"/>
        <v>1.3425030785804739</v>
      </c>
      <c r="O542">
        <f t="shared" si="78"/>
        <v>41.82732606873428</v>
      </c>
      <c r="P542">
        <f t="shared" si="79"/>
        <v>58.424140821458501</v>
      </c>
      <c r="Q542">
        <f t="shared" si="80"/>
        <v>49.287510477787087</v>
      </c>
    </row>
    <row r="543" spans="1:17" x14ac:dyDescent="0.3">
      <c r="A543">
        <v>51021622</v>
      </c>
      <c r="B543" t="str">
        <f>VLOOKUP(A543,ASESORES!$A$2:$B$993,2,0)</f>
        <v>PRADES</v>
      </c>
      <c r="C543">
        <v>36921860.790000007</v>
      </c>
      <c r="D543">
        <v>48705420.270000003</v>
      </c>
      <c r="E543">
        <v>65751068.760000013</v>
      </c>
      <c r="F543">
        <v>51951305</v>
      </c>
      <c r="G543">
        <v>72237268</v>
      </c>
      <c r="H543">
        <v>72897262</v>
      </c>
      <c r="I543">
        <f t="shared" si="72"/>
        <v>0.40706085469209619</v>
      </c>
      <c r="J543">
        <f t="shared" si="73"/>
        <v>0.4831463849310913</v>
      </c>
      <c r="K543">
        <f t="shared" si="74"/>
        <v>0.10868558298397435</v>
      </c>
      <c r="L543">
        <f t="shared" si="75"/>
        <v>3.1407172900234923</v>
      </c>
      <c r="M543">
        <f t="shared" si="76"/>
        <v>3.7969321182575375</v>
      </c>
      <c r="N543">
        <f t="shared" si="77"/>
        <v>0.85456335241619941</v>
      </c>
      <c r="O543">
        <f t="shared" si="78"/>
        <v>66.554903604358756</v>
      </c>
      <c r="P543">
        <f t="shared" si="79"/>
        <v>73.512154233025981</v>
      </c>
      <c r="Q543">
        <f t="shared" si="80"/>
        <v>41.82732606873428</v>
      </c>
    </row>
    <row r="544" spans="1:17" x14ac:dyDescent="0.3">
      <c r="A544">
        <v>51031491</v>
      </c>
      <c r="B544" t="str">
        <f>VLOOKUP(A544,ASESORES!$A$2:$B$993,2,0)</f>
        <v>ARGUELLO</v>
      </c>
      <c r="C544">
        <v>35943766.299999997</v>
      </c>
      <c r="D544">
        <v>43486082.649999999</v>
      </c>
      <c r="E544">
        <v>58263004.260000013</v>
      </c>
      <c r="F544">
        <v>51269414</v>
      </c>
      <c r="G544">
        <v>61032361</v>
      </c>
      <c r="H544">
        <v>72821664</v>
      </c>
      <c r="I544">
        <f t="shared" si="72"/>
        <v>0.42637845939923125</v>
      </c>
      <c r="J544">
        <f t="shared" si="73"/>
        <v>0.40349181348943608</v>
      </c>
      <c r="K544">
        <f t="shared" si="74"/>
        <v>0.24987828768718523</v>
      </c>
      <c r="L544">
        <f t="shared" si="75"/>
        <v>3.2873175269782644</v>
      </c>
      <c r="M544">
        <f t="shared" si="76"/>
        <v>3.1414097923073192</v>
      </c>
      <c r="N544">
        <f t="shared" si="77"/>
        <v>1.9646082157009006</v>
      </c>
      <c r="O544">
        <f t="shared" si="78"/>
        <v>68.65046102263203</v>
      </c>
      <c r="P544">
        <f t="shared" si="79"/>
        <v>64.962279966471087</v>
      </c>
      <c r="Q544">
        <f t="shared" si="80"/>
        <v>57.75356244761106</v>
      </c>
    </row>
    <row r="545" spans="1:17" x14ac:dyDescent="0.3">
      <c r="A545">
        <v>51020162</v>
      </c>
      <c r="B545" t="str">
        <f>VLOOKUP(A545,ASESORES!$A$2:$B$993,2,0)</f>
        <v>METTLER</v>
      </c>
      <c r="C545">
        <v>46217209.350000001</v>
      </c>
      <c r="D545">
        <v>66289378.329999998</v>
      </c>
      <c r="E545">
        <v>79584273.050000012</v>
      </c>
      <c r="F545">
        <v>61745910</v>
      </c>
      <c r="G545">
        <v>68232909</v>
      </c>
      <c r="H545">
        <v>72580724</v>
      </c>
      <c r="I545">
        <f t="shared" si="72"/>
        <v>0.33599390504956994</v>
      </c>
      <c r="J545">
        <f t="shared" si="73"/>
        <v>2.931888515117409E-2</v>
      </c>
      <c r="K545">
        <f t="shared" si="74"/>
        <v>-8.8001671455865793E-2</v>
      </c>
      <c r="L545">
        <f t="shared" si="75"/>
        <v>2.6175968703384425</v>
      </c>
      <c r="M545">
        <f t="shared" si="76"/>
        <v>0.22968396705144845</v>
      </c>
      <c r="N545">
        <f t="shared" si="77"/>
        <v>-0.69176541306537442</v>
      </c>
      <c r="O545">
        <f t="shared" si="78"/>
        <v>57.585917854149201</v>
      </c>
      <c r="P545">
        <f t="shared" si="79"/>
        <v>28.415758591785416</v>
      </c>
      <c r="Q545">
        <f t="shared" si="80"/>
        <v>9.9748533109807198</v>
      </c>
    </row>
    <row r="546" spans="1:17" x14ac:dyDescent="0.3">
      <c r="A546">
        <v>51017056</v>
      </c>
      <c r="B546" t="str">
        <f>VLOOKUP(A546,ASESORES!$A$2:$B$993,2,0)</f>
        <v>PRADES</v>
      </c>
      <c r="C546">
        <v>84450825.840000004</v>
      </c>
      <c r="D546">
        <v>121154957</v>
      </c>
      <c r="E546">
        <v>86929753.680000007</v>
      </c>
      <c r="F546">
        <v>39288610</v>
      </c>
      <c r="G546">
        <v>59151110</v>
      </c>
      <c r="H546">
        <v>72527880</v>
      </c>
      <c r="I546">
        <f t="shared" si="72"/>
        <v>-0.53477530137554896</v>
      </c>
      <c r="J546">
        <f t="shared" si="73"/>
        <v>-0.51177309237128443</v>
      </c>
      <c r="K546">
        <f t="shared" si="74"/>
        <v>-0.16567254674406673</v>
      </c>
      <c r="L546">
        <f t="shared" si="75"/>
        <v>-4.0612262440138078</v>
      </c>
      <c r="M546">
        <f t="shared" si="76"/>
        <v>-3.9774814865098689</v>
      </c>
      <c r="N546">
        <f t="shared" si="77"/>
        <v>-1.3022698792544258</v>
      </c>
      <c r="O546">
        <f t="shared" si="78"/>
        <v>2.4308466051969826</v>
      </c>
      <c r="P546">
        <f t="shared" si="79"/>
        <v>2.0955574182732608</v>
      </c>
      <c r="Q546">
        <f t="shared" si="80"/>
        <v>6.2866722548197824</v>
      </c>
    </row>
    <row r="547" spans="1:17" x14ac:dyDescent="0.3">
      <c r="A547">
        <v>51056019</v>
      </c>
      <c r="B547" t="str">
        <f>VLOOKUP(A547,ASESORES!$A$2:$B$993,2,0)</f>
        <v>ROBERTS</v>
      </c>
      <c r="C547">
        <v>32328024.77</v>
      </c>
      <c r="D547">
        <v>50553333.770000003</v>
      </c>
      <c r="E547">
        <v>55733247.590000004</v>
      </c>
      <c r="F547">
        <v>52844716</v>
      </c>
      <c r="G547">
        <v>59157131</v>
      </c>
      <c r="H547">
        <v>72433404</v>
      </c>
      <c r="I547">
        <f t="shared" si="72"/>
        <v>0.63464103903555635</v>
      </c>
      <c r="J547">
        <f t="shared" si="73"/>
        <v>0.17019247967194939</v>
      </c>
      <c r="K547">
        <f t="shared" si="74"/>
        <v>0.29964441571491052</v>
      </c>
      <c r="L547">
        <f t="shared" si="75"/>
        <v>4.901333739742304</v>
      </c>
      <c r="M547">
        <f t="shared" si="76"/>
        <v>1.3227371609625329</v>
      </c>
      <c r="N547">
        <f t="shared" si="77"/>
        <v>2.3551867978378436</v>
      </c>
      <c r="O547">
        <f t="shared" si="78"/>
        <v>84.911986588432526</v>
      </c>
      <c r="P547">
        <f t="shared" si="79"/>
        <v>39.145012573344509</v>
      </c>
      <c r="Q547">
        <f t="shared" si="80"/>
        <v>64.20787929589271</v>
      </c>
    </row>
    <row r="548" spans="1:17" x14ac:dyDescent="0.3">
      <c r="A548">
        <v>51017579</v>
      </c>
      <c r="B548" t="str">
        <f>VLOOKUP(A548,ASESORES!$A$2:$B$993,2,0)</f>
        <v>ROBERTS</v>
      </c>
      <c r="C548">
        <v>35482062.150000013</v>
      </c>
      <c r="D548">
        <v>52703336.840000004</v>
      </c>
      <c r="E548">
        <v>53631056.950000003</v>
      </c>
      <c r="F548">
        <v>42932619</v>
      </c>
      <c r="G548">
        <v>58706442</v>
      </c>
      <c r="H548">
        <v>72396315</v>
      </c>
      <c r="I548">
        <f t="shared" si="72"/>
        <v>0.20998094244079857</v>
      </c>
      <c r="J548">
        <f t="shared" si="73"/>
        <v>0.113903701737607</v>
      </c>
      <c r="K548">
        <f t="shared" si="74"/>
        <v>0.34989536132943955</v>
      </c>
      <c r="L548">
        <f t="shared" si="75"/>
        <v>1.6027398879994714</v>
      </c>
      <c r="M548">
        <f t="shared" si="76"/>
        <v>0.88488206570563155</v>
      </c>
      <c r="N548">
        <f t="shared" si="77"/>
        <v>2.7500783310703678</v>
      </c>
      <c r="O548">
        <f t="shared" si="78"/>
        <v>41.240569991617768</v>
      </c>
      <c r="P548">
        <f t="shared" si="79"/>
        <v>33.361274098910307</v>
      </c>
      <c r="Q548">
        <f t="shared" si="80"/>
        <v>69.740150880134109</v>
      </c>
    </row>
    <row r="549" spans="1:17" x14ac:dyDescent="0.3">
      <c r="A549">
        <v>51015487</v>
      </c>
      <c r="B549" t="str">
        <f>VLOOKUP(A549,ASESORES!$A$2:$B$993,2,0)</f>
        <v>LÓPEZ</v>
      </c>
      <c r="C549">
        <v>38559217.549999997</v>
      </c>
      <c r="D549">
        <v>50570368.010000013</v>
      </c>
      <c r="E549">
        <v>62987081.109999999</v>
      </c>
      <c r="F549">
        <v>52239460</v>
      </c>
      <c r="G549">
        <v>60368798</v>
      </c>
      <c r="H549">
        <v>72343480</v>
      </c>
      <c r="I549">
        <f t="shared" si="72"/>
        <v>0.35478527105122759</v>
      </c>
      <c r="J549">
        <f t="shared" si="73"/>
        <v>0.19375832875217358</v>
      </c>
      <c r="K549">
        <f t="shared" si="74"/>
        <v>0.14854472893671766</v>
      </c>
      <c r="L549">
        <f t="shared" si="75"/>
        <v>2.7382322532957608</v>
      </c>
      <c r="M549">
        <f t="shared" si="76"/>
        <v>1.5075972318996709</v>
      </c>
      <c r="N549">
        <f t="shared" si="77"/>
        <v>1.1674723529087685</v>
      </c>
      <c r="O549">
        <f t="shared" si="78"/>
        <v>59.849119865884326</v>
      </c>
      <c r="P549">
        <f t="shared" si="79"/>
        <v>42.414082145850799</v>
      </c>
      <c r="Q549">
        <f t="shared" si="80"/>
        <v>46.018440905280805</v>
      </c>
    </row>
    <row r="550" spans="1:17" x14ac:dyDescent="0.3">
      <c r="A550">
        <v>51040333</v>
      </c>
      <c r="B550" t="str">
        <f>VLOOKUP(A550,ASESORES!$A$2:$B$993,2,0)</f>
        <v>LÓPEZ</v>
      </c>
      <c r="C550">
        <v>41426344.219999999</v>
      </c>
      <c r="D550">
        <v>50189980.189999998</v>
      </c>
      <c r="E550">
        <v>58246713.420000002</v>
      </c>
      <c r="F550">
        <v>47423819</v>
      </c>
      <c r="G550">
        <v>62375772</v>
      </c>
      <c r="H550">
        <v>72035102</v>
      </c>
      <c r="I550">
        <f t="shared" si="72"/>
        <v>0.14477441572323224</v>
      </c>
      <c r="J550">
        <f t="shared" si="73"/>
        <v>0.24279331778712154</v>
      </c>
      <c r="K550">
        <f t="shared" si="74"/>
        <v>0.23672388999145699</v>
      </c>
      <c r="L550">
        <f t="shared" si="75"/>
        <v>1.111287911916095</v>
      </c>
      <c r="M550">
        <f t="shared" si="76"/>
        <v>1.8925777807595952</v>
      </c>
      <c r="N550">
        <f t="shared" si="77"/>
        <v>1.8600684229944695</v>
      </c>
      <c r="O550">
        <f t="shared" si="78"/>
        <v>34.199497066219614</v>
      </c>
      <c r="P550">
        <f t="shared" si="79"/>
        <v>46.605196982397317</v>
      </c>
      <c r="Q550">
        <f t="shared" si="80"/>
        <v>56.412405699916178</v>
      </c>
    </row>
    <row r="551" spans="1:17" x14ac:dyDescent="0.3">
      <c r="A551">
        <v>51017153</v>
      </c>
      <c r="B551" t="str">
        <f>VLOOKUP(A551,ASESORES!$A$2:$B$993,2,0)</f>
        <v>METTLER</v>
      </c>
      <c r="C551">
        <v>43932569.5</v>
      </c>
      <c r="D551">
        <v>61449323.270000003</v>
      </c>
      <c r="E551">
        <v>62392809.140000001</v>
      </c>
      <c r="F551">
        <v>43642810</v>
      </c>
      <c r="G551">
        <v>74955067</v>
      </c>
      <c r="H551">
        <v>71973448</v>
      </c>
      <c r="I551">
        <f t="shared" si="72"/>
        <v>-6.5955509385809963E-3</v>
      </c>
      <c r="J551">
        <f t="shared" si="73"/>
        <v>0.21978669595200562</v>
      </c>
      <c r="K551">
        <f t="shared" si="74"/>
        <v>0.15355357439512773</v>
      </c>
      <c r="L551">
        <f t="shared" si="75"/>
        <v>-5.0389433415046467E-2</v>
      </c>
      <c r="M551">
        <f t="shared" si="76"/>
        <v>1.7307764923444193</v>
      </c>
      <c r="N551">
        <f t="shared" si="77"/>
        <v>1.2064968926452431</v>
      </c>
      <c r="O551">
        <f t="shared" si="78"/>
        <v>11.148365465213747</v>
      </c>
      <c r="P551">
        <f t="shared" si="79"/>
        <v>44.174350377200334</v>
      </c>
      <c r="Q551">
        <f t="shared" si="80"/>
        <v>46.856663872590111</v>
      </c>
    </row>
    <row r="552" spans="1:17" x14ac:dyDescent="0.3">
      <c r="A552">
        <v>51021886</v>
      </c>
      <c r="B552" t="str">
        <f>VLOOKUP(A552,ASESORES!$A$2:$B$993,2,0)</f>
        <v>MONTENEGRO</v>
      </c>
      <c r="C552">
        <v>32069581.399999999</v>
      </c>
      <c r="D552">
        <v>40940179.090000004</v>
      </c>
      <c r="E552">
        <v>51910145.880000003</v>
      </c>
      <c r="F552">
        <v>45342504</v>
      </c>
      <c r="G552">
        <v>70377342</v>
      </c>
      <c r="H552">
        <v>71972145</v>
      </c>
      <c r="I552">
        <f t="shared" si="72"/>
        <v>0.41387888524170147</v>
      </c>
      <c r="J552">
        <f t="shared" si="73"/>
        <v>0.71902867951035132</v>
      </c>
      <c r="K552">
        <f t="shared" si="74"/>
        <v>0.38647549106059254</v>
      </c>
      <c r="L552">
        <f t="shared" si="75"/>
        <v>3.1688659611805292</v>
      </c>
      <c r="M552">
        <f t="shared" si="76"/>
        <v>5.64252928719233</v>
      </c>
      <c r="N552">
        <f t="shared" si="77"/>
        <v>3.0366014877060858</v>
      </c>
      <c r="O552">
        <f t="shared" si="78"/>
        <v>67.057837384744346</v>
      </c>
      <c r="P552">
        <f t="shared" si="79"/>
        <v>89.438390611902761</v>
      </c>
      <c r="Q552">
        <f t="shared" si="80"/>
        <v>74.601844090528076</v>
      </c>
    </row>
    <row r="553" spans="1:17" x14ac:dyDescent="0.3">
      <c r="A553">
        <v>51023188</v>
      </c>
      <c r="B553" t="str">
        <f>VLOOKUP(A553,ASESORES!$A$2:$B$993,2,0)</f>
        <v>MONTENEGRO</v>
      </c>
      <c r="C553">
        <v>38569153.359999999</v>
      </c>
      <c r="D553">
        <v>46559758.090000004</v>
      </c>
      <c r="E553">
        <v>57465620.909999996</v>
      </c>
      <c r="F553">
        <v>50091775</v>
      </c>
      <c r="G553">
        <v>64063780</v>
      </c>
      <c r="H553">
        <v>71866792</v>
      </c>
      <c r="I553">
        <f t="shared" si="72"/>
        <v>0.29875225759946522</v>
      </c>
      <c r="J553">
        <f t="shared" si="73"/>
        <v>0.37594744105338185</v>
      </c>
      <c r="K553">
        <f t="shared" si="74"/>
        <v>0.25060498541474829</v>
      </c>
      <c r="L553">
        <f t="shared" si="75"/>
        <v>2.3003226013129119</v>
      </c>
      <c r="M553">
        <f t="shared" si="76"/>
        <v>2.9348760152515365</v>
      </c>
      <c r="N553">
        <f t="shared" si="77"/>
        <v>1.9688851498051343</v>
      </c>
      <c r="O553">
        <f t="shared" si="78"/>
        <v>52.808046940486165</v>
      </c>
      <c r="P553">
        <f t="shared" si="79"/>
        <v>62.279966471081302</v>
      </c>
      <c r="Q553">
        <f t="shared" si="80"/>
        <v>57.837384744341989</v>
      </c>
    </row>
    <row r="554" spans="1:17" x14ac:dyDescent="0.3">
      <c r="A554">
        <v>51055667</v>
      </c>
      <c r="B554" t="str">
        <f>VLOOKUP(A554,ASESORES!$A$2:$B$993,2,0)</f>
        <v>AYALA</v>
      </c>
      <c r="C554">
        <v>58629943.299999997</v>
      </c>
      <c r="D554">
        <v>74373386.349999994</v>
      </c>
      <c r="E554">
        <v>83825253.140000001</v>
      </c>
      <c r="F554">
        <v>57954044</v>
      </c>
      <c r="G554">
        <v>67145915</v>
      </c>
      <c r="H554">
        <v>71830587</v>
      </c>
      <c r="I554">
        <f t="shared" si="72"/>
        <v>-1.1528227079148468E-2</v>
      </c>
      <c r="J554">
        <f t="shared" si="73"/>
        <v>-9.717819376930914E-2</v>
      </c>
      <c r="K554">
        <f t="shared" si="74"/>
        <v>-0.14309132022503068</v>
      </c>
      <c r="L554">
        <f t="shared" si="75"/>
        <v>-8.9494592260377523E-2</v>
      </c>
      <c r="M554">
        <f t="shared" si="76"/>
        <v>-0.76061562697034102</v>
      </c>
      <c r="N554">
        <f t="shared" si="77"/>
        <v>-1.1241696863609476</v>
      </c>
      <c r="O554">
        <f t="shared" si="78"/>
        <v>10.477787091366302</v>
      </c>
      <c r="P554">
        <f t="shared" si="79"/>
        <v>7.4601844090528084</v>
      </c>
      <c r="Q554">
        <f t="shared" si="80"/>
        <v>6.957250628667226</v>
      </c>
    </row>
    <row r="555" spans="1:17" x14ac:dyDescent="0.3">
      <c r="A555">
        <v>51020081</v>
      </c>
      <c r="B555" t="str">
        <f>VLOOKUP(A555,ASESORES!$A$2:$B$993,2,0)</f>
        <v>BELUZZO</v>
      </c>
      <c r="C555">
        <v>38172579.590000004</v>
      </c>
      <c r="D555">
        <v>42192825.759999998</v>
      </c>
      <c r="E555">
        <v>59956570.909999996</v>
      </c>
      <c r="F555">
        <v>54049300</v>
      </c>
      <c r="G555">
        <v>70922107</v>
      </c>
      <c r="H555">
        <v>71715264</v>
      </c>
      <c r="I555">
        <f t="shared" si="72"/>
        <v>0.41591950506166975</v>
      </c>
      <c r="J555">
        <f t="shared" si="73"/>
        <v>0.68090441259888745</v>
      </c>
      <c r="K555">
        <f t="shared" si="74"/>
        <v>0.196120173511104</v>
      </c>
      <c r="L555">
        <f t="shared" si="75"/>
        <v>3.2162182202063865</v>
      </c>
      <c r="M555">
        <f t="shared" si="76"/>
        <v>5.3456318538243819</v>
      </c>
      <c r="N555">
        <f t="shared" si="77"/>
        <v>1.5406439103200564</v>
      </c>
      <c r="O555">
        <f t="shared" si="78"/>
        <v>67.644593461860865</v>
      </c>
      <c r="P555">
        <f t="shared" si="79"/>
        <v>87.259010896898573</v>
      </c>
      <c r="Q555">
        <f t="shared" si="80"/>
        <v>52.808046940486165</v>
      </c>
    </row>
    <row r="556" spans="1:17" x14ac:dyDescent="0.3">
      <c r="A556">
        <v>51018729</v>
      </c>
      <c r="B556" t="str">
        <f>VLOOKUP(A556,ASESORES!$A$2:$B$993,2,0)</f>
        <v>PRADES</v>
      </c>
      <c r="C556">
        <v>31299648.300000001</v>
      </c>
      <c r="D556">
        <v>48583202.780000001</v>
      </c>
      <c r="E556">
        <v>66339046.75999999</v>
      </c>
      <c r="F556">
        <v>52030575</v>
      </c>
      <c r="G556">
        <v>61015161</v>
      </c>
      <c r="H556">
        <v>71525116</v>
      </c>
      <c r="I556">
        <f t="shared" si="72"/>
        <v>0.66233736881957239</v>
      </c>
      <c r="J556">
        <f t="shared" si="73"/>
        <v>0.25589005064766535</v>
      </c>
      <c r="K556">
        <f t="shared" si="74"/>
        <v>7.8175214949380623E-2</v>
      </c>
      <c r="L556">
        <f t="shared" si="75"/>
        <v>5.1107664350756608</v>
      </c>
      <c r="M556">
        <f t="shared" si="76"/>
        <v>1.9922160631241699</v>
      </c>
      <c r="N556">
        <f t="shared" si="77"/>
        <v>0.61402398708486661</v>
      </c>
      <c r="O556">
        <f t="shared" si="78"/>
        <v>86.08549874266555</v>
      </c>
      <c r="P556">
        <f t="shared" si="79"/>
        <v>48.28164291701593</v>
      </c>
      <c r="Q556">
        <f t="shared" si="80"/>
        <v>38.642078792958927</v>
      </c>
    </row>
    <row r="557" spans="1:17" x14ac:dyDescent="0.3">
      <c r="A557">
        <v>51030222</v>
      </c>
      <c r="B557" t="str">
        <f>VLOOKUP(A557,ASESORES!$A$2:$B$993,2,0)</f>
        <v>METTLER</v>
      </c>
      <c r="C557">
        <v>45047316.239999987</v>
      </c>
      <c r="D557">
        <v>53817984.020000003</v>
      </c>
      <c r="E557">
        <v>64744321.709999993</v>
      </c>
      <c r="F557">
        <v>52815859</v>
      </c>
      <c r="G557">
        <v>62518354</v>
      </c>
      <c r="H557">
        <v>71504137</v>
      </c>
      <c r="I557">
        <f t="shared" si="72"/>
        <v>0.17245295410299932</v>
      </c>
      <c r="J557">
        <f t="shared" si="73"/>
        <v>0.16166287419400072</v>
      </c>
      <c r="K557">
        <f t="shared" si="74"/>
        <v>0.10440784784615209</v>
      </c>
      <c r="L557">
        <f t="shared" si="75"/>
        <v>1.3318135255801744</v>
      </c>
      <c r="M557">
        <f t="shared" si="76"/>
        <v>1.2603249853908076</v>
      </c>
      <c r="N557">
        <f t="shared" si="77"/>
        <v>0.82005381366942576</v>
      </c>
      <c r="O557">
        <f t="shared" si="78"/>
        <v>37.720033528918698</v>
      </c>
      <c r="P557">
        <f t="shared" si="79"/>
        <v>38.30678960603521</v>
      </c>
      <c r="Q557">
        <f t="shared" si="80"/>
        <v>41.575859178541492</v>
      </c>
    </row>
    <row r="558" spans="1:17" x14ac:dyDescent="0.3">
      <c r="A558">
        <v>51002717</v>
      </c>
      <c r="B558" t="str">
        <f>VLOOKUP(A558,ASESORES!$A$2:$B$993,2,0)</f>
        <v>MONTENEGRO</v>
      </c>
      <c r="C558">
        <v>66094371.450000003</v>
      </c>
      <c r="D558">
        <v>247853224.53999999</v>
      </c>
      <c r="E558">
        <v>246104281.75</v>
      </c>
      <c r="F558">
        <v>94381299</v>
      </c>
      <c r="G558">
        <v>121211764</v>
      </c>
      <c r="H558">
        <v>71482073</v>
      </c>
      <c r="I558">
        <f t="shared" si="72"/>
        <v>0.42797785846861247</v>
      </c>
      <c r="J558">
        <f t="shared" si="73"/>
        <v>-0.51095345148338733</v>
      </c>
      <c r="K558">
        <f t="shared" si="74"/>
        <v>-0.70954559387709637</v>
      </c>
      <c r="L558">
        <f t="shared" si="75"/>
        <v>3.4130746105758711</v>
      </c>
      <c r="M558">
        <f t="shared" si="76"/>
        <v>-4.1303151012604928</v>
      </c>
      <c r="N558">
        <f t="shared" si="77"/>
        <v>-5.5729109731903703</v>
      </c>
      <c r="O558">
        <f t="shared" si="78"/>
        <v>70.15926236378877</v>
      </c>
      <c r="P558">
        <f t="shared" si="79"/>
        <v>1.9279128248113997</v>
      </c>
      <c r="Q558">
        <f t="shared" si="80"/>
        <v>0.50293378038558256</v>
      </c>
    </row>
    <row r="559" spans="1:17" x14ac:dyDescent="0.3">
      <c r="A559">
        <v>51055454</v>
      </c>
      <c r="B559" t="str">
        <f>VLOOKUP(A559,ASESORES!$A$2:$B$993,2,0)</f>
        <v>METTLER</v>
      </c>
      <c r="C559">
        <v>0</v>
      </c>
      <c r="D559">
        <v>0</v>
      </c>
      <c r="E559">
        <v>0</v>
      </c>
      <c r="F559">
        <v>0</v>
      </c>
      <c r="G559">
        <v>34349950</v>
      </c>
      <c r="H559">
        <v>71470808</v>
      </c>
      <c r="I559">
        <f t="shared" si="72"/>
        <v>0</v>
      </c>
      <c r="J559">
        <f t="shared" si="73"/>
        <v>0</v>
      </c>
      <c r="K559">
        <f t="shared" si="74"/>
        <v>0</v>
      </c>
      <c r="L559">
        <f t="shared" si="75"/>
        <v>0</v>
      </c>
      <c r="M559">
        <f t="shared" si="76"/>
        <v>0</v>
      </c>
      <c r="N559">
        <f t="shared" si="77"/>
        <v>0</v>
      </c>
      <c r="O559">
        <f t="shared" si="78"/>
        <v>11.5674769488684</v>
      </c>
      <c r="P559">
        <f t="shared" si="79"/>
        <v>11.064543168482817</v>
      </c>
      <c r="Q559">
        <f t="shared" si="80"/>
        <v>14.668901927912826</v>
      </c>
    </row>
    <row r="560" spans="1:17" x14ac:dyDescent="0.3">
      <c r="A560">
        <v>51055756</v>
      </c>
      <c r="B560" t="str">
        <f>VLOOKUP(A560,ASESORES!$A$2:$B$993,2,0)</f>
        <v>LÓPEZ</v>
      </c>
      <c r="C560">
        <v>28547453.199999999</v>
      </c>
      <c r="D560">
        <v>37175046.240000002</v>
      </c>
      <c r="E560">
        <v>45873119.599999987</v>
      </c>
      <c r="F560">
        <v>36860853</v>
      </c>
      <c r="G560">
        <v>57606281</v>
      </c>
      <c r="H560">
        <v>71300970</v>
      </c>
      <c r="I560">
        <f t="shared" si="72"/>
        <v>0.29121336119748853</v>
      </c>
      <c r="J560">
        <f t="shared" si="73"/>
        <v>0.54959540946088126</v>
      </c>
      <c r="K560">
        <f t="shared" si="74"/>
        <v>0.55430828820283717</v>
      </c>
      <c r="L560">
        <f t="shared" si="75"/>
        <v>2.2034849373341756</v>
      </c>
      <c r="M560">
        <f t="shared" si="76"/>
        <v>4.2651185985230979</v>
      </c>
      <c r="N560">
        <f t="shared" si="77"/>
        <v>4.3530358894231815</v>
      </c>
      <c r="O560">
        <f t="shared" si="78"/>
        <v>50.461022632020111</v>
      </c>
      <c r="P560">
        <f t="shared" si="79"/>
        <v>77.703269069572514</v>
      </c>
      <c r="Q560">
        <f t="shared" si="80"/>
        <v>87.007544006705785</v>
      </c>
    </row>
    <row r="561" spans="1:17" x14ac:dyDescent="0.3">
      <c r="A561">
        <v>51011490</v>
      </c>
      <c r="B561" t="str">
        <f>VLOOKUP(A561,ASESORES!$A$2:$B$993,2,0)</f>
        <v>MONTENEGRO</v>
      </c>
      <c r="C561">
        <v>46012336.32</v>
      </c>
      <c r="D561">
        <v>56055306.599999987</v>
      </c>
      <c r="E561">
        <v>68937875.669999987</v>
      </c>
      <c r="F561">
        <v>56314696</v>
      </c>
      <c r="G561">
        <v>67303416</v>
      </c>
      <c r="H561">
        <v>71292934</v>
      </c>
      <c r="I561">
        <f t="shared" si="72"/>
        <v>0.22390429402129519</v>
      </c>
      <c r="J561">
        <f t="shared" si="73"/>
        <v>0.20066092012062997</v>
      </c>
      <c r="K561">
        <f t="shared" si="74"/>
        <v>3.4162038024981856E-2</v>
      </c>
      <c r="L561">
        <f t="shared" si="75"/>
        <v>1.7353974898235118</v>
      </c>
      <c r="M561">
        <f t="shared" si="76"/>
        <v>1.5707811287288607</v>
      </c>
      <c r="N561">
        <f t="shared" si="77"/>
        <v>0.26827607273843673</v>
      </c>
      <c r="O561">
        <f t="shared" si="78"/>
        <v>43.83906119027661</v>
      </c>
      <c r="P561">
        <f t="shared" si="79"/>
        <v>42.833193629505452</v>
      </c>
      <c r="Q561">
        <f t="shared" si="80"/>
        <v>34.618608549874267</v>
      </c>
    </row>
    <row r="562" spans="1:17" x14ac:dyDescent="0.3">
      <c r="A562">
        <v>51010736</v>
      </c>
      <c r="B562" t="str">
        <f>VLOOKUP(A562,ASESORES!$A$2:$B$993,2,0)</f>
        <v>AYALA</v>
      </c>
      <c r="C562">
        <v>40525106.189999998</v>
      </c>
      <c r="D562">
        <v>52987206.82</v>
      </c>
      <c r="E562">
        <v>60680413.729999997</v>
      </c>
      <c r="F562">
        <v>45602186</v>
      </c>
      <c r="G562">
        <v>69114860</v>
      </c>
      <c r="H562">
        <v>71229841</v>
      </c>
      <c r="I562">
        <f t="shared" si="72"/>
        <v>0.1252823320485914</v>
      </c>
      <c r="J562">
        <f t="shared" si="73"/>
        <v>0.30436881179237063</v>
      </c>
      <c r="K562">
        <f t="shared" si="74"/>
        <v>0.17385226338337301</v>
      </c>
      <c r="L562">
        <f t="shared" si="75"/>
        <v>0.95953558481614987</v>
      </c>
      <c r="M562">
        <f t="shared" si="76"/>
        <v>2.3861210419153993</v>
      </c>
      <c r="N562">
        <f t="shared" si="77"/>
        <v>1.3652030579224674</v>
      </c>
      <c r="O562">
        <f t="shared" si="78"/>
        <v>32.271584241408213</v>
      </c>
      <c r="P562">
        <f t="shared" si="79"/>
        <v>53.7300922045264</v>
      </c>
      <c r="Q562">
        <f t="shared" si="80"/>
        <v>49.958088851634535</v>
      </c>
    </row>
    <row r="563" spans="1:17" x14ac:dyDescent="0.3">
      <c r="A563">
        <v>51016149</v>
      </c>
      <c r="B563" t="str">
        <f>VLOOKUP(A563,ASESORES!$A$2:$B$993,2,0)</f>
        <v>PRADES</v>
      </c>
      <c r="C563">
        <v>43735588.359999999</v>
      </c>
      <c r="D563">
        <v>51198021.840000004</v>
      </c>
      <c r="E563">
        <v>55672255.289999999</v>
      </c>
      <c r="F563">
        <v>49846195</v>
      </c>
      <c r="G563">
        <v>60585625</v>
      </c>
      <c r="H563">
        <v>70988812</v>
      </c>
      <c r="I563">
        <f t="shared" si="72"/>
        <v>0.13971703295041715</v>
      </c>
      <c r="J563">
        <f t="shared" si="73"/>
        <v>0.18335870845434976</v>
      </c>
      <c r="K563">
        <f t="shared" si="74"/>
        <v>0.27512010480292504</v>
      </c>
      <c r="L563">
        <f t="shared" si="75"/>
        <v>1.0754903054782041</v>
      </c>
      <c r="M563">
        <f t="shared" si="76"/>
        <v>1.4269652371807704</v>
      </c>
      <c r="N563">
        <f t="shared" si="77"/>
        <v>2.1600201904000356</v>
      </c>
      <c r="O563">
        <f t="shared" si="78"/>
        <v>33.696563285834031</v>
      </c>
      <c r="P563">
        <f t="shared" si="79"/>
        <v>40.653813914501256</v>
      </c>
      <c r="Q563">
        <f t="shared" si="80"/>
        <v>60.771165129924562</v>
      </c>
    </row>
    <row r="564" spans="1:17" x14ac:dyDescent="0.3">
      <c r="A564">
        <v>51013930</v>
      </c>
      <c r="B564" t="str">
        <f>VLOOKUP(A564,ASESORES!$A$2:$B$993,2,0)</f>
        <v>NELLI</v>
      </c>
      <c r="C564">
        <v>28108092.690000001</v>
      </c>
      <c r="D564">
        <v>45913786.599999987</v>
      </c>
      <c r="E564">
        <v>65619549.5</v>
      </c>
      <c r="F564">
        <v>48333354</v>
      </c>
      <c r="G564">
        <v>60732336</v>
      </c>
      <c r="H564">
        <v>70924029</v>
      </c>
      <c r="I564">
        <f t="shared" si="72"/>
        <v>0.71955296053209361</v>
      </c>
      <c r="J564">
        <f t="shared" si="73"/>
        <v>0.32274727260243052</v>
      </c>
      <c r="K564">
        <f t="shared" si="74"/>
        <v>8.0836877735650958E-2</v>
      </c>
      <c r="L564">
        <f t="shared" si="75"/>
        <v>5.5292226302535088</v>
      </c>
      <c r="M564">
        <f t="shared" si="76"/>
        <v>2.5120775720283395</v>
      </c>
      <c r="N564">
        <f t="shared" si="77"/>
        <v>0.63463362609943264</v>
      </c>
      <c r="O564">
        <f t="shared" si="78"/>
        <v>88.432523051131611</v>
      </c>
      <c r="P564">
        <f t="shared" si="79"/>
        <v>55.658005029337808</v>
      </c>
      <c r="Q564">
        <f t="shared" si="80"/>
        <v>39.145012573344509</v>
      </c>
    </row>
    <row r="565" spans="1:17" x14ac:dyDescent="0.3">
      <c r="A565">
        <v>51055641</v>
      </c>
      <c r="B565" t="str">
        <f>VLOOKUP(A565,ASESORES!$A$2:$B$993,2,0)</f>
        <v>ROBERTS</v>
      </c>
      <c r="C565">
        <v>41403749.649999999</v>
      </c>
      <c r="D565">
        <v>61570572.039999999</v>
      </c>
      <c r="E565">
        <v>72970286.019999996</v>
      </c>
      <c r="F565">
        <v>59329537</v>
      </c>
      <c r="G565">
        <v>69565563</v>
      </c>
      <c r="H565">
        <v>70831829</v>
      </c>
      <c r="I565">
        <f t="shared" si="72"/>
        <v>0.43295081970915161</v>
      </c>
      <c r="J565">
        <f t="shared" si="73"/>
        <v>0.12985084749262965</v>
      </c>
      <c r="K565">
        <f t="shared" si="74"/>
        <v>-2.9305860462351507E-2</v>
      </c>
      <c r="L565">
        <f t="shared" si="75"/>
        <v>3.3654440335952742</v>
      </c>
      <c r="M565">
        <f t="shared" si="76"/>
        <v>1.0183415467798242</v>
      </c>
      <c r="N565">
        <f t="shared" si="77"/>
        <v>-0.23005769973426907</v>
      </c>
      <c r="O565">
        <f t="shared" si="78"/>
        <v>69.488683989941322</v>
      </c>
      <c r="P565">
        <f t="shared" si="79"/>
        <v>36.043587594300085</v>
      </c>
      <c r="Q565">
        <f t="shared" si="80"/>
        <v>12.992455993294216</v>
      </c>
    </row>
    <row r="566" spans="1:17" x14ac:dyDescent="0.3">
      <c r="A566">
        <v>51021461</v>
      </c>
      <c r="B566" t="str">
        <f>VLOOKUP(A566,ASESORES!$A$2:$B$993,2,0)</f>
        <v>METTLER</v>
      </c>
      <c r="C566">
        <v>29002838.02</v>
      </c>
      <c r="D566">
        <v>29874201.93</v>
      </c>
      <c r="E566">
        <v>34145044.979999997</v>
      </c>
      <c r="F566">
        <v>31050215</v>
      </c>
      <c r="G566">
        <v>55311935</v>
      </c>
      <c r="H566">
        <v>70826707</v>
      </c>
      <c r="I566">
        <f t="shared" si="72"/>
        <v>7.0592297849891628E-2</v>
      </c>
      <c r="J566">
        <f t="shared" si="73"/>
        <v>0.85149498318330474</v>
      </c>
      <c r="K566">
        <f t="shared" si="74"/>
        <v>1.0742894625409281</v>
      </c>
      <c r="L566">
        <f t="shared" si="75"/>
        <v>0.52888205657935339</v>
      </c>
      <c r="M566">
        <f t="shared" si="76"/>
        <v>6.5929714080355213</v>
      </c>
      <c r="N566">
        <f t="shared" si="77"/>
        <v>8.433383969989821</v>
      </c>
      <c r="O566">
        <f t="shared" si="78"/>
        <v>27.829002514668904</v>
      </c>
      <c r="P566">
        <f t="shared" si="79"/>
        <v>92.5398155909472</v>
      </c>
      <c r="Q566">
        <f t="shared" si="80"/>
        <v>97.569153394803024</v>
      </c>
    </row>
    <row r="567" spans="1:17" x14ac:dyDescent="0.3">
      <c r="A567">
        <v>51039637</v>
      </c>
      <c r="B567" t="str">
        <f>VLOOKUP(A567,ASESORES!$A$2:$B$993,2,0)</f>
        <v>NELLI</v>
      </c>
      <c r="C567">
        <v>25535499.59</v>
      </c>
      <c r="D567">
        <v>34645472.369999997</v>
      </c>
      <c r="E567">
        <v>46263958.059999987</v>
      </c>
      <c r="F567">
        <v>42894423</v>
      </c>
      <c r="G567">
        <v>55912721</v>
      </c>
      <c r="H567">
        <v>70822318</v>
      </c>
      <c r="I567">
        <f t="shared" si="72"/>
        <v>0.67979572315859271</v>
      </c>
      <c r="J567">
        <f t="shared" si="73"/>
        <v>0.61385361997302756</v>
      </c>
      <c r="K567">
        <f t="shared" si="74"/>
        <v>0.53083136354546534</v>
      </c>
      <c r="L567">
        <f t="shared" si="75"/>
        <v>5.1884734418237857</v>
      </c>
      <c r="M567">
        <f t="shared" si="76"/>
        <v>4.7558374446371321</v>
      </c>
      <c r="N567">
        <f t="shared" si="77"/>
        <v>4.1671165179005474</v>
      </c>
      <c r="O567">
        <f t="shared" si="78"/>
        <v>86.504610226320196</v>
      </c>
      <c r="P567">
        <f t="shared" si="79"/>
        <v>82.564962279966466</v>
      </c>
      <c r="Q567">
        <f t="shared" si="80"/>
        <v>85.750209555741833</v>
      </c>
    </row>
    <row r="568" spans="1:17" x14ac:dyDescent="0.3">
      <c r="A568">
        <v>51020308</v>
      </c>
      <c r="B568" t="str">
        <f>VLOOKUP(A568,ASESORES!$A$2:$B$993,2,0)</f>
        <v>AYALA</v>
      </c>
      <c r="C568">
        <v>36148349.850000001</v>
      </c>
      <c r="D568">
        <v>46726298.969999999</v>
      </c>
      <c r="E568">
        <v>51413329.890000001</v>
      </c>
      <c r="F568">
        <v>36480620</v>
      </c>
      <c r="G568">
        <v>57686800</v>
      </c>
      <c r="H568">
        <v>70814787</v>
      </c>
      <c r="I568">
        <f t="shared" si="72"/>
        <v>9.1918483521038485E-3</v>
      </c>
      <c r="J568">
        <f t="shared" si="73"/>
        <v>0.23456813981858571</v>
      </c>
      <c r="K568">
        <f t="shared" si="74"/>
        <v>0.37736239126136861</v>
      </c>
      <c r="L568">
        <f t="shared" si="75"/>
        <v>6.9509329069884065E-2</v>
      </c>
      <c r="M568">
        <f t="shared" si="76"/>
        <v>1.8205012655048971</v>
      </c>
      <c r="N568">
        <f t="shared" si="77"/>
        <v>2.9623415466768774</v>
      </c>
      <c r="O568">
        <f t="shared" si="78"/>
        <v>23.386420787929591</v>
      </c>
      <c r="P568">
        <f t="shared" si="79"/>
        <v>45.934618608549876</v>
      </c>
      <c r="Q568">
        <f t="shared" si="80"/>
        <v>73.176865046102265</v>
      </c>
    </row>
    <row r="569" spans="1:17" x14ac:dyDescent="0.3">
      <c r="A569">
        <v>51040597</v>
      </c>
      <c r="B569" t="str">
        <f>VLOOKUP(A569,ASESORES!$A$2:$B$993,2,0)</f>
        <v>MONTENEGRO</v>
      </c>
      <c r="C569">
        <v>23652110.289999999</v>
      </c>
      <c r="D569">
        <v>31272768.609999999</v>
      </c>
      <c r="E569">
        <v>39619876.229999997</v>
      </c>
      <c r="F569">
        <v>36340378</v>
      </c>
      <c r="G569">
        <v>53630807</v>
      </c>
      <c r="H569">
        <v>70715015</v>
      </c>
      <c r="I569">
        <f t="shared" si="72"/>
        <v>0.53645393812342146</v>
      </c>
      <c r="J569">
        <f t="shared" si="73"/>
        <v>0.71493632907355176</v>
      </c>
      <c r="K569">
        <f t="shared" si="74"/>
        <v>0.78483684778537754</v>
      </c>
      <c r="L569">
        <f t="shared" si="75"/>
        <v>4.0558006890364293</v>
      </c>
      <c r="M569">
        <f t="shared" si="76"/>
        <v>5.5260391083949738</v>
      </c>
      <c r="N569">
        <f t="shared" si="77"/>
        <v>6.1605859704908887</v>
      </c>
      <c r="O569">
        <f t="shared" si="78"/>
        <v>77.787091366303443</v>
      </c>
      <c r="P569">
        <f t="shared" si="79"/>
        <v>88.600167644593469</v>
      </c>
      <c r="Q569">
        <f t="shared" si="80"/>
        <v>95.222129086336977</v>
      </c>
    </row>
    <row r="570" spans="1:17" x14ac:dyDescent="0.3">
      <c r="A570">
        <v>51014197</v>
      </c>
      <c r="B570" t="str">
        <f>VLOOKUP(A570,ASESORES!$A$2:$B$993,2,0)</f>
        <v>PUGH</v>
      </c>
      <c r="C570">
        <v>25025765.550000001</v>
      </c>
      <c r="D570">
        <v>32934428.699999999</v>
      </c>
      <c r="E570">
        <v>41334286.159999996</v>
      </c>
      <c r="F570">
        <v>40867300</v>
      </c>
      <c r="G570">
        <v>59335186</v>
      </c>
      <c r="H570">
        <v>70592930</v>
      </c>
      <c r="I570">
        <f t="shared" si="72"/>
        <v>0.63300898501384695</v>
      </c>
      <c r="J570">
        <f t="shared" si="73"/>
        <v>0.80161576629990239</v>
      </c>
      <c r="K570">
        <f t="shared" si="74"/>
        <v>0.70785409784853548</v>
      </c>
      <c r="L570">
        <f t="shared" si="75"/>
        <v>4.81806936208078</v>
      </c>
      <c r="M570">
        <f t="shared" si="76"/>
        <v>6.2312097025466269</v>
      </c>
      <c r="N570">
        <f t="shared" si="77"/>
        <v>5.5557777840544516</v>
      </c>
      <c r="O570">
        <f t="shared" si="78"/>
        <v>84.49287510477788</v>
      </c>
      <c r="P570">
        <f t="shared" si="79"/>
        <v>91.701592623637879</v>
      </c>
      <c r="Q570">
        <f t="shared" si="80"/>
        <v>93.210393964794633</v>
      </c>
    </row>
    <row r="571" spans="1:17" x14ac:dyDescent="0.3">
      <c r="A571">
        <v>51056621</v>
      </c>
      <c r="B571" t="str">
        <f>VLOOKUP(A571,ASESORES!$A$2:$B$993,2,0)</f>
        <v>PRADES</v>
      </c>
      <c r="C571">
        <v>40201764.799999997</v>
      </c>
      <c r="D571">
        <v>51800772.429999992</v>
      </c>
      <c r="E571">
        <v>65502069.409999996</v>
      </c>
      <c r="F571">
        <v>54486197</v>
      </c>
      <c r="G571">
        <v>65163840</v>
      </c>
      <c r="H571">
        <v>70485365</v>
      </c>
      <c r="I571">
        <f t="shared" si="72"/>
        <v>0.3553185356678672</v>
      </c>
      <c r="J571">
        <f t="shared" si="73"/>
        <v>0.25797043061583569</v>
      </c>
      <c r="K571">
        <f t="shared" si="74"/>
        <v>7.6078445076411816E-2</v>
      </c>
      <c r="L571">
        <f t="shared" si="75"/>
        <v>2.7488459893708135</v>
      </c>
      <c r="M571">
        <f t="shared" si="76"/>
        <v>2.0157826651502586</v>
      </c>
      <c r="N571">
        <f t="shared" si="77"/>
        <v>0.59707116515205561</v>
      </c>
      <c r="O571">
        <f t="shared" si="78"/>
        <v>60.016764459346184</v>
      </c>
      <c r="P571">
        <f t="shared" si="79"/>
        <v>48.868398994132441</v>
      </c>
      <c r="Q571">
        <f t="shared" si="80"/>
        <v>38.474434199497068</v>
      </c>
    </row>
    <row r="572" spans="1:17" x14ac:dyDescent="0.3">
      <c r="A572">
        <v>51018524</v>
      </c>
      <c r="B572" t="str">
        <f>VLOOKUP(A572,ASESORES!$A$2:$B$993,2,0)</f>
        <v>CICHETTO</v>
      </c>
      <c r="C572">
        <v>37172740.460000001</v>
      </c>
      <c r="D572">
        <v>46167008.450000003</v>
      </c>
      <c r="E572">
        <v>57602242.439999998</v>
      </c>
      <c r="F572">
        <v>48018732</v>
      </c>
      <c r="G572">
        <v>61819678</v>
      </c>
      <c r="H572">
        <v>70417291</v>
      </c>
      <c r="I572">
        <f t="shared" si="72"/>
        <v>0.29177271855086673</v>
      </c>
      <c r="J572">
        <f t="shared" si="73"/>
        <v>0.33904448383204677</v>
      </c>
      <c r="K572">
        <f t="shared" si="74"/>
        <v>0.22247482072158031</v>
      </c>
      <c r="L572">
        <f t="shared" si="75"/>
        <v>2.241226078666211</v>
      </c>
      <c r="M572">
        <f t="shared" si="76"/>
        <v>2.6415385435670395</v>
      </c>
      <c r="N572">
        <f t="shared" si="77"/>
        <v>1.7459110483420419</v>
      </c>
      <c r="O572">
        <f t="shared" si="78"/>
        <v>51.04777870913663</v>
      </c>
      <c r="P572">
        <f t="shared" si="79"/>
        <v>57.837384744341989</v>
      </c>
      <c r="Q572">
        <f t="shared" si="80"/>
        <v>54.98742665549036</v>
      </c>
    </row>
    <row r="573" spans="1:17" x14ac:dyDescent="0.3">
      <c r="A573">
        <v>51056701</v>
      </c>
      <c r="B573" t="str">
        <f>VLOOKUP(A573,ASESORES!$A$2:$B$993,2,0)</f>
        <v>CICHETTO</v>
      </c>
      <c r="C573">
        <v>35343632.880000003</v>
      </c>
      <c r="D573">
        <v>51081129.079999998</v>
      </c>
      <c r="E573">
        <v>53907565.039999999</v>
      </c>
      <c r="F573">
        <v>41836516</v>
      </c>
      <c r="G573">
        <v>60098350</v>
      </c>
      <c r="H573">
        <v>70309771</v>
      </c>
      <c r="I573">
        <f t="shared" si="72"/>
        <v>0.18370729296687949</v>
      </c>
      <c r="J573">
        <f t="shared" si="73"/>
        <v>0.17652743943615268</v>
      </c>
      <c r="K573">
        <f t="shared" si="74"/>
        <v>0.30426538367721467</v>
      </c>
      <c r="L573">
        <f t="shared" si="75"/>
        <v>1.4001353310907105</v>
      </c>
      <c r="M573">
        <f t="shared" si="76"/>
        <v>1.3731826874324122</v>
      </c>
      <c r="N573">
        <f t="shared" si="77"/>
        <v>2.3875752376411317</v>
      </c>
      <c r="O573">
        <f t="shared" si="78"/>
        <v>38.725901089689856</v>
      </c>
      <c r="P573">
        <f t="shared" si="79"/>
        <v>39.480301760268233</v>
      </c>
      <c r="Q573">
        <f t="shared" si="80"/>
        <v>64.962279966471087</v>
      </c>
    </row>
    <row r="574" spans="1:17" x14ac:dyDescent="0.3">
      <c r="A574">
        <v>51057007</v>
      </c>
      <c r="B574" t="str">
        <f>VLOOKUP(A574,ASESORES!$A$2:$B$993,2,0)</f>
        <v>MONTENEGRO</v>
      </c>
      <c r="C574">
        <v>38897708.520000003</v>
      </c>
      <c r="D574">
        <v>66168835.109999999</v>
      </c>
      <c r="E574">
        <v>82488094.870000005</v>
      </c>
      <c r="F574">
        <v>57221138</v>
      </c>
      <c r="G574">
        <v>82037583</v>
      </c>
      <c r="H574">
        <v>70291276</v>
      </c>
      <c r="I574">
        <f t="shared" si="72"/>
        <v>0.47106706737181336</v>
      </c>
      <c r="J574">
        <f t="shared" si="73"/>
        <v>0.23982208336627919</v>
      </c>
      <c r="K574">
        <f t="shared" si="74"/>
        <v>-0.14786156583228172</v>
      </c>
      <c r="L574">
        <f t="shared" si="75"/>
        <v>3.6543293860440884</v>
      </c>
      <c r="M574">
        <f t="shared" si="76"/>
        <v>1.8979550510704182</v>
      </c>
      <c r="N574">
        <f t="shared" si="77"/>
        <v>-1.1602551319501357</v>
      </c>
      <c r="O574">
        <f t="shared" si="78"/>
        <v>73.595976529756911</v>
      </c>
      <c r="P574">
        <f t="shared" si="79"/>
        <v>46.856663872590111</v>
      </c>
      <c r="Q574">
        <f t="shared" si="80"/>
        <v>6.5381391450125736</v>
      </c>
    </row>
    <row r="575" spans="1:17" x14ac:dyDescent="0.3">
      <c r="A575">
        <v>51011091</v>
      </c>
      <c r="B575" t="str">
        <f>VLOOKUP(A575,ASESORES!$A$2:$B$993,2,0)</f>
        <v>METTLER</v>
      </c>
      <c r="C575">
        <v>31776967.5</v>
      </c>
      <c r="D575">
        <v>35973670.140000001</v>
      </c>
      <c r="E575">
        <v>52126135.869999997</v>
      </c>
      <c r="F575">
        <v>48383161</v>
      </c>
      <c r="G575">
        <v>56495713</v>
      </c>
      <c r="H575">
        <v>70258490</v>
      </c>
      <c r="I575">
        <f t="shared" si="72"/>
        <v>0.52258584775277872</v>
      </c>
      <c r="J575">
        <f t="shared" si="73"/>
        <v>0.57047398222460033</v>
      </c>
      <c r="K575">
        <f t="shared" si="74"/>
        <v>0.34785532875909309</v>
      </c>
      <c r="L575">
        <f t="shared" si="75"/>
        <v>4.0159124533793138</v>
      </c>
      <c r="M575">
        <f t="shared" si="76"/>
        <v>4.4223231491261243</v>
      </c>
      <c r="N575">
        <f t="shared" si="77"/>
        <v>2.7295159948074992</v>
      </c>
      <c r="O575">
        <f t="shared" si="78"/>
        <v>77.367979882648783</v>
      </c>
      <c r="P575">
        <f t="shared" si="79"/>
        <v>79.547359597652985</v>
      </c>
      <c r="Q575">
        <f t="shared" si="80"/>
        <v>69.488683989941322</v>
      </c>
    </row>
    <row r="576" spans="1:17" x14ac:dyDescent="0.3">
      <c r="A576">
        <v>51011953</v>
      </c>
      <c r="B576" t="str">
        <f>VLOOKUP(A576,ASESORES!$A$2:$B$993,2,0)</f>
        <v>NELLI</v>
      </c>
      <c r="C576">
        <v>18610645</v>
      </c>
      <c r="D576">
        <v>0</v>
      </c>
      <c r="E576">
        <v>0</v>
      </c>
      <c r="F576">
        <v>3658442</v>
      </c>
      <c r="G576">
        <v>56108980</v>
      </c>
      <c r="H576">
        <v>70209417</v>
      </c>
      <c r="I576">
        <f t="shared" si="72"/>
        <v>-0.80342207376477281</v>
      </c>
      <c r="J576">
        <f t="shared" si="73"/>
        <v>0</v>
      </c>
      <c r="K576">
        <f t="shared" si="74"/>
        <v>0</v>
      </c>
      <c r="L576">
        <f t="shared" si="75"/>
        <v>-5.2730970230329071</v>
      </c>
      <c r="M576">
        <f t="shared" si="76"/>
        <v>0</v>
      </c>
      <c r="N576">
        <f t="shared" si="77"/>
        <v>0</v>
      </c>
      <c r="O576">
        <f t="shared" si="78"/>
        <v>0.92204526404023457</v>
      </c>
      <c r="P576">
        <f t="shared" si="79"/>
        <v>11.064543168482817</v>
      </c>
      <c r="Q576">
        <f t="shared" si="80"/>
        <v>14.668901927912826</v>
      </c>
    </row>
    <row r="577" spans="1:17" x14ac:dyDescent="0.3">
      <c r="A577">
        <v>51022955</v>
      </c>
      <c r="B577" t="str">
        <f>VLOOKUP(A577,ASESORES!$A$2:$B$993,2,0)</f>
        <v>MONTENEGRO</v>
      </c>
      <c r="C577">
        <v>40918666.599999987</v>
      </c>
      <c r="D577">
        <v>47224154.359999999</v>
      </c>
      <c r="E577">
        <v>62067643.350000001</v>
      </c>
      <c r="F577">
        <v>49893438</v>
      </c>
      <c r="G577">
        <v>58277064</v>
      </c>
      <c r="H577">
        <v>70193232</v>
      </c>
      <c r="I577">
        <f t="shared" si="72"/>
        <v>0.21933196132055821</v>
      </c>
      <c r="J577">
        <f t="shared" si="73"/>
        <v>0.23405203946567821</v>
      </c>
      <c r="K577">
        <f t="shared" si="74"/>
        <v>0.13091505028118644</v>
      </c>
      <c r="L577">
        <f t="shared" si="75"/>
        <v>1.6884269640165506</v>
      </c>
      <c r="M577">
        <f t="shared" si="76"/>
        <v>1.8175305656974932</v>
      </c>
      <c r="N577">
        <f t="shared" si="77"/>
        <v>1.0271981358222941</v>
      </c>
      <c r="O577">
        <f t="shared" si="78"/>
        <v>43.08466051969824</v>
      </c>
      <c r="P577">
        <f t="shared" si="79"/>
        <v>45.76697401508801</v>
      </c>
      <c r="Q577">
        <f t="shared" si="80"/>
        <v>44.006705783738475</v>
      </c>
    </row>
    <row r="578" spans="1:17" x14ac:dyDescent="0.3">
      <c r="A578">
        <v>51021673</v>
      </c>
      <c r="B578" t="str">
        <f>VLOOKUP(A578,ASESORES!$A$2:$B$993,2,0)</f>
        <v>ARGUELLO</v>
      </c>
      <c r="C578">
        <v>139364715.33000001</v>
      </c>
      <c r="D578">
        <v>121317847.34999999</v>
      </c>
      <c r="E578">
        <v>59385754.840000004</v>
      </c>
      <c r="F578">
        <v>48834327</v>
      </c>
      <c r="G578">
        <v>62263604</v>
      </c>
      <c r="H578">
        <v>70094207</v>
      </c>
      <c r="I578">
        <f t="shared" ref="I578:I641" si="81">IFERROR(F578/C578-1,0)</f>
        <v>-0.64959332149198745</v>
      </c>
      <c r="J578">
        <f t="shared" ref="J578:J641" si="82">IFERROR(G578/D578-1,0)</f>
        <v>-0.48677292451150633</v>
      </c>
      <c r="K578">
        <f t="shared" ref="K578:K641" si="83">IFERROR(H578/E578-1,0)</f>
        <v>0.18032021633557127</v>
      </c>
      <c r="L578">
        <f t="shared" ref="L578:L641" si="84">IFERROR(I578*LOG(F578),0)</f>
        <v>-4.9945445452270398</v>
      </c>
      <c r="M578">
        <f t="shared" ref="M578:M641" si="85">IFERROR(J578*LOG(G578),0)</f>
        <v>-3.7940222027861457</v>
      </c>
      <c r="N578">
        <f t="shared" ref="N578:N641" si="86">IFERROR(K578*LOG(H578),0)</f>
        <v>1.4147350984018427</v>
      </c>
      <c r="O578">
        <f t="shared" ref="O578:O641" si="87">RANK(L578,$L$2:$L$1194,1)/COUNT($L$2:$L$1194)*100</f>
        <v>1.0896898575020955</v>
      </c>
      <c r="P578">
        <f t="shared" ref="P578:P641" si="88">RANK(M578,$M$2:$M$1194,1)/COUNT($M$2:$M$1194)*100</f>
        <v>2.1793797150041909</v>
      </c>
      <c r="Q578">
        <f t="shared" ref="Q578:Q641" si="89">RANK(N578,$N$2:$N$1194,1)/COUNT($N$2:$N$1194)*100</f>
        <v>50.628667225481983</v>
      </c>
    </row>
    <row r="579" spans="1:17" x14ac:dyDescent="0.3">
      <c r="A579">
        <v>51013476</v>
      </c>
      <c r="B579" t="str">
        <f>VLOOKUP(A579,ASESORES!$A$2:$B$993,2,0)</f>
        <v>ROBERTS</v>
      </c>
      <c r="C579">
        <v>19603221.539999999</v>
      </c>
      <c r="D579">
        <v>28840523.100000001</v>
      </c>
      <c r="E579">
        <v>45667620.900000013</v>
      </c>
      <c r="F579">
        <v>55742260</v>
      </c>
      <c r="G579">
        <v>39341710</v>
      </c>
      <c r="H579">
        <v>69976737</v>
      </c>
      <c r="I579">
        <f t="shared" si="81"/>
        <v>1.843525483107916</v>
      </c>
      <c r="J579">
        <f t="shared" si="82"/>
        <v>0.36411222028077561</v>
      </c>
      <c r="K579">
        <f t="shared" si="83"/>
        <v>0.5323052880996475</v>
      </c>
      <c r="L579">
        <f t="shared" si="84"/>
        <v>14.280288656554569</v>
      </c>
      <c r="M579">
        <f t="shared" si="85"/>
        <v>2.7653788732803313</v>
      </c>
      <c r="N579">
        <f t="shared" si="86"/>
        <v>4.1759103327860592</v>
      </c>
      <c r="O579">
        <f t="shared" si="87"/>
        <v>98.742665549036047</v>
      </c>
      <c r="P579">
        <f t="shared" si="88"/>
        <v>59.430008382229673</v>
      </c>
      <c r="Q579">
        <f t="shared" si="89"/>
        <v>85.917854149203691</v>
      </c>
    </row>
    <row r="580" spans="1:17" x14ac:dyDescent="0.3">
      <c r="A580">
        <v>51022998</v>
      </c>
      <c r="B580" t="str">
        <f>VLOOKUP(A580,ASESORES!$A$2:$B$993,2,0)</f>
        <v>BELUZZO</v>
      </c>
      <c r="C580">
        <v>22568204.32</v>
      </c>
      <c r="D580">
        <v>34268034.689999998</v>
      </c>
      <c r="E580">
        <v>38231227.909999996</v>
      </c>
      <c r="F580">
        <v>31198685</v>
      </c>
      <c r="G580">
        <v>47016336</v>
      </c>
      <c r="H580">
        <v>69826134</v>
      </c>
      <c r="I580">
        <f t="shared" si="81"/>
        <v>0.38241769516202262</v>
      </c>
      <c r="J580">
        <f t="shared" si="82"/>
        <v>0.37201728740283357</v>
      </c>
      <c r="K580">
        <f t="shared" si="83"/>
        <v>0.82641619998126825</v>
      </c>
      <c r="L580">
        <f t="shared" si="84"/>
        <v>2.8658903269588833</v>
      </c>
      <c r="M580">
        <f t="shared" si="85"/>
        <v>2.8542091799295046</v>
      </c>
      <c r="N580">
        <f t="shared" si="86"/>
        <v>6.4824235460946475</v>
      </c>
      <c r="O580">
        <f t="shared" si="87"/>
        <v>61.022632020117349</v>
      </c>
      <c r="P580">
        <f t="shared" si="88"/>
        <v>60.771165129924562</v>
      </c>
      <c r="Q580">
        <f t="shared" si="89"/>
        <v>95.641240569991609</v>
      </c>
    </row>
    <row r="581" spans="1:17" x14ac:dyDescent="0.3">
      <c r="A581">
        <v>51056485</v>
      </c>
      <c r="B581" t="str">
        <f>VLOOKUP(A581,ASESORES!$A$2:$B$993,2,0)</f>
        <v>PUGH</v>
      </c>
      <c r="C581">
        <v>32494613.390000001</v>
      </c>
      <c r="D581">
        <v>44876250.349999987</v>
      </c>
      <c r="E581">
        <v>58602466.599999987</v>
      </c>
      <c r="F581">
        <v>54307589</v>
      </c>
      <c r="G581">
        <v>59301055</v>
      </c>
      <c r="H581">
        <v>69620045</v>
      </c>
      <c r="I581">
        <f t="shared" si="81"/>
        <v>0.67127973945099462</v>
      </c>
      <c r="J581">
        <f t="shared" si="82"/>
        <v>0.32143515863062788</v>
      </c>
      <c r="K581">
        <f t="shared" si="83"/>
        <v>0.18800536972619541</v>
      </c>
      <c r="L581">
        <f t="shared" si="84"/>
        <v>5.192255156301</v>
      </c>
      <c r="M581">
        <f t="shared" si="85"/>
        <v>2.4985355519485668</v>
      </c>
      <c r="N581">
        <f t="shared" si="86"/>
        <v>1.4744761616721482</v>
      </c>
      <c r="O581">
        <f t="shared" si="87"/>
        <v>86.672254819782054</v>
      </c>
      <c r="P581">
        <f t="shared" si="88"/>
        <v>55.490360435875942</v>
      </c>
      <c r="Q581">
        <f t="shared" si="89"/>
        <v>52.137468566638724</v>
      </c>
    </row>
    <row r="582" spans="1:17" x14ac:dyDescent="0.3">
      <c r="A582">
        <v>51055705</v>
      </c>
      <c r="B582" t="str">
        <f>VLOOKUP(A582,ASESORES!$A$2:$B$993,2,0)</f>
        <v>LÓPEZ</v>
      </c>
      <c r="C582">
        <v>32251449.699999999</v>
      </c>
      <c r="D582">
        <v>45963303.920000002</v>
      </c>
      <c r="E582">
        <v>60690479.759999998</v>
      </c>
      <c r="F582">
        <v>49898378</v>
      </c>
      <c r="G582">
        <v>66565380</v>
      </c>
      <c r="H582">
        <v>69617034</v>
      </c>
      <c r="I582">
        <f t="shared" si="81"/>
        <v>0.54716697897769229</v>
      </c>
      <c r="J582">
        <f t="shared" si="82"/>
        <v>0.4482287895547783</v>
      </c>
      <c r="K582">
        <f t="shared" si="83"/>
        <v>0.14708327031356472</v>
      </c>
      <c r="L582">
        <f t="shared" si="84"/>
        <v>4.2121386950722064</v>
      </c>
      <c r="M582">
        <f t="shared" si="85"/>
        <v>3.5066051677083481</v>
      </c>
      <c r="N582">
        <f t="shared" si="86"/>
        <v>1.153532246296411</v>
      </c>
      <c r="O582">
        <f t="shared" si="87"/>
        <v>78.960603520536466</v>
      </c>
      <c r="P582">
        <f t="shared" si="88"/>
        <v>70.15926236378877</v>
      </c>
      <c r="Q582">
        <f t="shared" si="89"/>
        <v>45.850796311818939</v>
      </c>
    </row>
    <row r="583" spans="1:17" x14ac:dyDescent="0.3">
      <c r="A583">
        <v>51041798</v>
      </c>
      <c r="B583" t="str">
        <f>VLOOKUP(A583,ASESORES!$A$2:$B$993,2,0)</f>
        <v>LÓPEZ</v>
      </c>
      <c r="C583">
        <v>43668407.219999999</v>
      </c>
      <c r="D583">
        <v>66683204.350000001</v>
      </c>
      <c r="E583">
        <v>57625841.539999999</v>
      </c>
      <c r="F583">
        <v>48238099</v>
      </c>
      <c r="G583">
        <v>67712060</v>
      </c>
      <c r="H583">
        <v>69593454</v>
      </c>
      <c r="I583">
        <f t="shared" si="81"/>
        <v>0.1046452589163156</v>
      </c>
      <c r="J583">
        <f t="shared" si="82"/>
        <v>1.5429007349434531E-2</v>
      </c>
      <c r="K583">
        <f t="shared" si="83"/>
        <v>0.20767787749690192</v>
      </c>
      <c r="L583">
        <f t="shared" si="84"/>
        <v>0.80403035521159139</v>
      </c>
      <c r="M583">
        <f t="shared" si="85"/>
        <v>0.12081940367404824</v>
      </c>
      <c r="N583">
        <f t="shared" si="86"/>
        <v>1.6287279576803182</v>
      </c>
      <c r="O583">
        <f t="shared" si="87"/>
        <v>30.259849119865883</v>
      </c>
      <c r="P583">
        <f t="shared" si="88"/>
        <v>27.15842414082146</v>
      </c>
      <c r="Q583">
        <f t="shared" si="89"/>
        <v>53.981559094719202</v>
      </c>
    </row>
    <row r="584" spans="1:17" x14ac:dyDescent="0.3">
      <c r="A584">
        <v>51020600</v>
      </c>
      <c r="B584" t="str">
        <f>VLOOKUP(A584,ASESORES!$A$2:$B$993,2,0)</f>
        <v>PRADES</v>
      </c>
      <c r="C584">
        <v>19527401.210000001</v>
      </c>
      <c r="D584">
        <v>29601173.050000001</v>
      </c>
      <c r="E584">
        <v>43059969.840000004</v>
      </c>
      <c r="F584">
        <v>32688854</v>
      </c>
      <c r="G584">
        <v>50670921</v>
      </c>
      <c r="H584">
        <v>69555554</v>
      </c>
      <c r="I584">
        <f t="shared" si="81"/>
        <v>0.67399919981466905</v>
      </c>
      <c r="J584">
        <f t="shared" si="82"/>
        <v>0.71178760093090299</v>
      </c>
      <c r="K584">
        <f t="shared" si="83"/>
        <v>0.61531822382716261</v>
      </c>
      <c r="L584">
        <f t="shared" si="84"/>
        <v>5.0646993818066965</v>
      </c>
      <c r="M584">
        <f t="shared" si="85"/>
        <v>5.4841517806826703</v>
      </c>
      <c r="N584">
        <f t="shared" si="86"/>
        <v>4.8255296824896945</v>
      </c>
      <c r="O584">
        <f t="shared" si="87"/>
        <v>85.834031852472762</v>
      </c>
      <c r="P584">
        <f t="shared" si="88"/>
        <v>88.181056160938809</v>
      </c>
      <c r="Q584">
        <f t="shared" si="89"/>
        <v>90.444258172673926</v>
      </c>
    </row>
    <row r="585" spans="1:17" x14ac:dyDescent="0.3">
      <c r="A585">
        <v>51033795</v>
      </c>
      <c r="B585" t="str">
        <f>VLOOKUP(A585,ASESORES!$A$2:$B$993,2,0)</f>
        <v>AYALA</v>
      </c>
      <c r="C585">
        <v>43966477.790000007</v>
      </c>
      <c r="D585">
        <v>60989707.739999987</v>
      </c>
      <c r="E585">
        <v>60629996.760000013</v>
      </c>
      <c r="F585">
        <v>48182986</v>
      </c>
      <c r="G585">
        <v>62533319</v>
      </c>
      <c r="H585">
        <v>69532325</v>
      </c>
      <c r="I585">
        <f t="shared" si="81"/>
        <v>9.5902797357104275E-2</v>
      </c>
      <c r="J585">
        <f t="shared" si="82"/>
        <v>2.5309372961425769E-2</v>
      </c>
      <c r="K585">
        <f t="shared" si="83"/>
        <v>0.14683042579136663</v>
      </c>
      <c r="L585">
        <f t="shared" si="84"/>
        <v>0.73681099864671329</v>
      </c>
      <c r="M585">
        <f t="shared" si="85"/>
        <v>0.19731469309056096</v>
      </c>
      <c r="N585">
        <f t="shared" si="86"/>
        <v>1.1514716198479711</v>
      </c>
      <c r="O585">
        <f t="shared" si="87"/>
        <v>29.673093042749372</v>
      </c>
      <c r="P585">
        <f t="shared" si="88"/>
        <v>27.996647108130762</v>
      </c>
      <c r="Q585">
        <f t="shared" si="89"/>
        <v>45.76697401508801</v>
      </c>
    </row>
    <row r="586" spans="1:17" x14ac:dyDescent="0.3">
      <c r="A586">
        <v>51030419</v>
      </c>
      <c r="B586" t="str">
        <f>VLOOKUP(A586,ASESORES!$A$2:$B$993,2,0)</f>
        <v>PRADES</v>
      </c>
      <c r="C586">
        <v>50193074.43</v>
      </c>
      <c r="D586">
        <v>72398503.219999999</v>
      </c>
      <c r="E586">
        <v>67603601.020000011</v>
      </c>
      <c r="F586">
        <v>62086255</v>
      </c>
      <c r="G586">
        <v>81401581</v>
      </c>
      <c r="H586">
        <v>69215276</v>
      </c>
      <c r="I586">
        <f t="shared" si="81"/>
        <v>0.23694863693967183</v>
      </c>
      <c r="J586">
        <f t="shared" si="82"/>
        <v>0.12435447391283794</v>
      </c>
      <c r="K586">
        <f t="shared" si="83"/>
        <v>2.3840075908429625E-2</v>
      </c>
      <c r="L586">
        <f t="shared" si="84"/>
        <v>1.846539652941265</v>
      </c>
      <c r="M586">
        <f t="shared" si="85"/>
        <v>0.98372258512801103</v>
      </c>
      <c r="N586">
        <f t="shared" si="86"/>
        <v>0.18691100974487923</v>
      </c>
      <c r="O586">
        <f t="shared" si="87"/>
        <v>45.01257334450964</v>
      </c>
      <c r="P586">
        <f t="shared" si="88"/>
        <v>35.12154233025985</v>
      </c>
      <c r="Q586">
        <f t="shared" si="89"/>
        <v>33.780385582564968</v>
      </c>
    </row>
    <row r="587" spans="1:17" x14ac:dyDescent="0.3">
      <c r="A587">
        <v>51038819</v>
      </c>
      <c r="B587" t="str">
        <f>VLOOKUP(A587,ASESORES!$A$2:$B$993,2,0)</f>
        <v>PRADES</v>
      </c>
      <c r="C587">
        <v>27784570.010000002</v>
      </c>
      <c r="D587">
        <v>41035971.909999996</v>
      </c>
      <c r="E587">
        <v>55374174.850000001</v>
      </c>
      <c r="F587">
        <v>46842359</v>
      </c>
      <c r="G587">
        <v>65197018</v>
      </c>
      <c r="H587">
        <v>68796151</v>
      </c>
      <c r="I587">
        <f t="shared" si="81"/>
        <v>0.68591268402357386</v>
      </c>
      <c r="J587">
        <f t="shared" si="82"/>
        <v>0.58877723532392401</v>
      </c>
      <c r="K587">
        <f t="shared" si="83"/>
        <v>0.24238692831736164</v>
      </c>
      <c r="L587">
        <f t="shared" si="84"/>
        <v>5.2613884188091182</v>
      </c>
      <c r="M587">
        <f t="shared" si="85"/>
        <v>4.6008394004151256</v>
      </c>
      <c r="N587">
        <f t="shared" si="86"/>
        <v>1.8997230976399107</v>
      </c>
      <c r="O587">
        <f t="shared" si="87"/>
        <v>86.923721709974856</v>
      </c>
      <c r="P587">
        <f t="shared" si="88"/>
        <v>81.139983235540655</v>
      </c>
      <c r="Q587">
        <f t="shared" si="89"/>
        <v>56.99916177703269</v>
      </c>
    </row>
    <row r="588" spans="1:17" x14ac:dyDescent="0.3">
      <c r="A588">
        <v>51021851</v>
      </c>
      <c r="B588" t="str">
        <f>VLOOKUP(A588,ASESORES!$A$2:$B$993,2,0)</f>
        <v>AYALA</v>
      </c>
      <c r="C588">
        <v>32527696.629999999</v>
      </c>
      <c r="D588">
        <v>36065255.229999997</v>
      </c>
      <c r="E588">
        <v>41718226.020000003</v>
      </c>
      <c r="F588">
        <v>33660930</v>
      </c>
      <c r="G588">
        <v>48010555</v>
      </c>
      <c r="H588">
        <v>68689745</v>
      </c>
      <c r="I588">
        <f t="shared" si="81"/>
        <v>3.4839029116953579E-2</v>
      </c>
      <c r="J588">
        <f t="shared" si="82"/>
        <v>0.33121350989535214</v>
      </c>
      <c r="K588">
        <f t="shared" si="83"/>
        <v>0.64651644025011201</v>
      </c>
      <c r="L588">
        <f t="shared" si="84"/>
        <v>0.26223776573757857</v>
      </c>
      <c r="M588">
        <f t="shared" si="85"/>
        <v>2.5441624978470205</v>
      </c>
      <c r="N588">
        <f t="shared" si="86"/>
        <v>5.066679456482194</v>
      </c>
      <c r="O588">
        <f t="shared" si="87"/>
        <v>25.398155909471921</v>
      </c>
      <c r="P588">
        <f t="shared" si="88"/>
        <v>56.24476110645432</v>
      </c>
      <c r="Q588">
        <f t="shared" si="89"/>
        <v>91.701592623637879</v>
      </c>
    </row>
    <row r="589" spans="1:17" x14ac:dyDescent="0.3">
      <c r="A589">
        <v>51004086</v>
      </c>
      <c r="B589" t="str">
        <f>VLOOKUP(A589,ASESORES!$A$2:$B$993,2,0)</f>
        <v>NELLI</v>
      </c>
      <c r="C589">
        <v>29320436.949999999</v>
      </c>
      <c r="D589">
        <v>53269458</v>
      </c>
      <c r="E589">
        <v>68106120.699999988</v>
      </c>
      <c r="F589">
        <v>41100727</v>
      </c>
      <c r="G589">
        <v>42297010</v>
      </c>
      <c r="H589">
        <v>68613425</v>
      </c>
      <c r="I589">
        <f t="shared" si="81"/>
        <v>0.40177743838159286</v>
      </c>
      <c r="J589">
        <f t="shared" si="82"/>
        <v>-0.20598009463509093</v>
      </c>
      <c r="K589">
        <f t="shared" si="83"/>
        <v>7.4487328713763734E-3</v>
      </c>
      <c r="L589">
        <f t="shared" si="84"/>
        <v>3.0590729498814513</v>
      </c>
      <c r="M589">
        <f t="shared" si="85"/>
        <v>-1.5708679871173545</v>
      </c>
      <c r="N589">
        <f t="shared" si="86"/>
        <v>5.8371318047001915E-2</v>
      </c>
      <c r="O589">
        <f t="shared" si="87"/>
        <v>65.213746856663874</v>
      </c>
      <c r="P589">
        <f t="shared" si="88"/>
        <v>5.1131601005867564</v>
      </c>
      <c r="Q589">
        <f t="shared" si="89"/>
        <v>32.690695725062866</v>
      </c>
    </row>
    <row r="590" spans="1:17" x14ac:dyDescent="0.3">
      <c r="A590">
        <v>51017111</v>
      </c>
      <c r="B590" t="str">
        <f>VLOOKUP(A590,ASESORES!$A$2:$B$993,2,0)</f>
        <v>CICHETTO</v>
      </c>
      <c r="C590">
        <v>37257108.829999998</v>
      </c>
      <c r="D590">
        <v>48969123.729999997</v>
      </c>
      <c r="E590">
        <v>59846627.030000001</v>
      </c>
      <c r="F590">
        <v>53434295</v>
      </c>
      <c r="G590">
        <v>63061457</v>
      </c>
      <c r="H590">
        <v>68560503</v>
      </c>
      <c r="I590">
        <f t="shared" si="81"/>
        <v>0.43420401308686318</v>
      </c>
      <c r="J590">
        <f t="shared" si="82"/>
        <v>0.28777997637247088</v>
      </c>
      <c r="K590">
        <f t="shared" si="83"/>
        <v>0.14560346008525915</v>
      </c>
      <c r="L590">
        <f t="shared" si="84"/>
        <v>3.3554504927910203</v>
      </c>
      <c r="M590">
        <f t="shared" si="85"/>
        <v>2.2446158998210763</v>
      </c>
      <c r="N590">
        <f t="shared" si="86"/>
        <v>1.1409594871802138</v>
      </c>
      <c r="O590">
        <f t="shared" si="87"/>
        <v>69.404861693210393</v>
      </c>
      <c r="P590">
        <f t="shared" si="88"/>
        <v>51.383067896060354</v>
      </c>
      <c r="Q590">
        <f t="shared" si="89"/>
        <v>45.599329421626152</v>
      </c>
    </row>
    <row r="591" spans="1:17" x14ac:dyDescent="0.3">
      <c r="A591">
        <v>51022106</v>
      </c>
      <c r="B591" t="str">
        <f>VLOOKUP(A591,ASESORES!$A$2:$B$993,2,0)</f>
        <v>PUGH</v>
      </c>
      <c r="C591">
        <v>45897040.350000001</v>
      </c>
      <c r="D591">
        <v>55637283.689999998</v>
      </c>
      <c r="E591">
        <v>69092256.600000009</v>
      </c>
      <c r="F591">
        <v>55817560</v>
      </c>
      <c r="G591">
        <v>69222335</v>
      </c>
      <c r="H591">
        <v>68423287</v>
      </c>
      <c r="I591">
        <f t="shared" si="81"/>
        <v>0.21614726296834075</v>
      </c>
      <c r="J591">
        <f t="shared" si="82"/>
        <v>0.2441717209936638</v>
      </c>
      <c r="K591">
        <f t="shared" si="83"/>
        <v>-9.682265899533693E-3</v>
      </c>
      <c r="L591">
        <f t="shared" si="84"/>
        <v>1.6744433156137448</v>
      </c>
      <c r="M591">
        <f t="shared" si="85"/>
        <v>1.9143664186014793</v>
      </c>
      <c r="N591">
        <f t="shared" si="86"/>
        <v>-7.5862527861314741E-2</v>
      </c>
      <c r="O591">
        <f t="shared" si="87"/>
        <v>43.00083822296731</v>
      </c>
      <c r="P591">
        <f t="shared" si="88"/>
        <v>47.108130762782899</v>
      </c>
      <c r="Q591">
        <f t="shared" si="89"/>
        <v>14.249790444258172</v>
      </c>
    </row>
    <row r="592" spans="1:17" x14ac:dyDescent="0.3">
      <c r="A592">
        <v>51056205</v>
      </c>
      <c r="B592" t="str">
        <f>VLOOKUP(A592,ASESORES!$A$2:$B$993,2,0)</f>
        <v>PRADES</v>
      </c>
      <c r="C592">
        <v>24225522.640000001</v>
      </c>
      <c r="D592">
        <v>32811282.359999999</v>
      </c>
      <c r="E592">
        <v>48089394.390000001</v>
      </c>
      <c r="F592">
        <v>38452031</v>
      </c>
      <c r="G592">
        <v>60744597</v>
      </c>
      <c r="H592">
        <v>68341472</v>
      </c>
      <c r="I592">
        <f t="shared" si="81"/>
        <v>0.58725289734347697</v>
      </c>
      <c r="J592">
        <f t="shared" si="82"/>
        <v>0.85133260972613822</v>
      </c>
      <c r="K592">
        <f t="shared" si="83"/>
        <v>0.42113397074119407</v>
      </c>
      <c r="L592">
        <f t="shared" si="84"/>
        <v>4.4542658255092151</v>
      </c>
      <c r="M592">
        <f t="shared" si="85"/>
        <v>6.6263538848839456</v>
      </c>
      <c r="N592">
        <f t="shared" si="86"/>
        <v>3.2994517208863257</v>
      </c>
      <c r="O592">
        <f t="shared" si="87"/>
        <v>81.056160938809711</v>
      </c>
      <c r="P592">
        <f t="shared" si="88"/>
        <v>92.707460184409058</v>
      </c>
      <c r="Q592">
        <f t="shared" si="89"/>
        <v>76.948868398994136</v>
      </c>
    </row>
    <row r="593" spans="1:17" x14ac:dyDescent="0.3">
      <c r="A593">
        <v>51055870</v>
      </c>
      <c r="B593" t="str">
        <f>VLOOKUP(A593,ASESORES!$A$2:$B$993,2,0)</f>
        <v>LÓPEZ</v>
      </c>
      <c r="C593">
        <v>24634751.780000001</v>
      </c>
      <c r="D593">
        <v>28659524.640000001</v>
      </c>
      <c r="E593">
        <v>35293045.359999999</v>
      </c>
      <c r="F593">
        <v>40994498</v>
      </c>
      <c r="G593">
        <v>40714899</v>
      </c>
      <c r="H593">
        <v>68265978</v>
      </c>
      <c r="I593">
        <f t="shared" si="81"/>
        <v>0.66409218838899942</v>
      </c>
      <c r="J593">
        <f t="shared" si="82"/>
        <v>0.42064111360641188</v>
      </c>
      <c r="K593">
        <f t="shared" si="83"/>
        <v>0.93426147570054874</v>
      </c>
      <c r="L593">
        <f t="shared" si="84"/>
        <v>5.0555515851181223</v>
      </c>
      <c r="M593">
        <f t="shared" si="85"/>
        <v>3.2009751283740444</v>
      </c>
      <c r="N593">
        <f t="shared" si="86"/>
        <v>7.3191952856231959</v>
      </c>
      <c r="O593">
        <f t="shared" si="87"/>
        <v>85.666387259010904</v>
      </c>
      <c r="P593">
        <f t="shared" si="88"/>
        <v>65.71668063704945</v>
      </c>
      <c r="Q593">
        <f t="shared" si="89"/>
        <v>96.647108130762788</v>
      </c>
    </row>
    <row r="594" spans="1:17" x14ac:dyDescent="0.3">
      <c r="A594">
        <v>51017226</v>
      </c>
      <c r="B594" t="str">
        <f>VLOOKUP(A594,ASESORES!$A$2:$B$993,2,0)</f>
        <v>MONTENEGRO</v>
      </c>
      <c r="C594">
        <v>43684669.810000002</v>
      </c>
      <c r="D594">
        <v>55684747.670000002</v>
      </c>
      <c r="E594">
        <v>56131408.649999999</v>
      </c>
      <c r="F594">
        <v>43407083</v>
      </c>
      <c r="G594">
        <v>56964248</v>
      </c>
      <c r="H594">
        <v>68225112</v>
      </c>
      <c r="I594">
        <f t="shared" si="81"/>
        <v>-6.3543300477564291E-3</v>
      </c>
      <c r="J594">
        <f t="shared" si="82"/>
        <v>2.2977572558694037E-2</v>
      </c>
      <c r="K594">
        <f t="shared" si="83"/>
        <v>0.21545340907812771</v>
      </c>
      <c r="L594">
        <f t="shared" si="84"/>
        <v>-4.8531580823512672E-2</v>
      </c>
      <c r="M594">
        <f t="shared" si="85"/>
        <v>0.17820491615900139</v>
      </c>
      <c r="N594">
        <f t="shared" si="86"/>
        <v>1.6878499967613421</v>
      </c>
      <c r="O594">
        <f t="shared" si="87"/>
        <v>11.232187761944678</v>
      </c>
      <c r="P594">
        <f t="shared" si="88"/>
        <v>27.829002514668904</v>
      </c>
      <c r="Q594">
        <f t="shared" si="89"/>
        <v>54.735959765297572</v>
      </c>
    </row>
    <row r="595" spans="1:17" x14ac:dyDescent="0.3">
      <c r="A595">
        <v>51056965</v>
      </c>
      <c r="B595" t="str">
        <f>VLOOKUP(A595,ASESORES!$A$2:$B$993,2,0)</f>
        <v>MONTENEGRO</v>
      </c>
      <c r="C595">
        <v>64332418.07</v>
      </c>
      <c r="D595">
        <v>95816877</v>
      </c>
      <c r="E595">
        <v>187730069.30000001</v>
      </c>
      <c r="F595">
        <v>52474470</v>
      </c>
      <c r="G595">
        <v>80864790</v>
      </c>
      <c r="H595">
        <v>68182067</v>
      </c>
      <c r="I595">
        <f t="shared" si="81"/>
        <v>-0.18432305866534326</v>
      </c>
      <c r="J595">
        <f t="shared" si="82"/>
        <v>-0.15604857378100523</v>
      </c>
      <c r="K595">
        <f t="shared" si="83"/>
        <v>-0.63680795913923416</v>
      </c>
      <c r="L595">
        <f t="shared" si="84"/>
        <v>-1.4229644393111218</v>
      </c>
      <c r="M595">
        <f t="shared" si="85"/>
        <v>-1.2339945860128996</v>
      </c>
      <c r="N595">
        <f t="shared" si="86"/>
        <v>-4.9885435091437555</v>
      </c>
      <c r="O595">
        <f t="shared" si="87"/>
        <v>6.1190276613579213</v>
      </c>
      <c r="P595">
        <f t="shared" si="88"/>
        <v>5.9513830678960611</v>
      </c>
      <c r="Q595">
        <f t="shared" si="89"/>
        <v>0.7544006705783739</v>
      </c>
    </row>
    <row r="596" spans="1:17" x14ac:dyDescent="0.3">
      <c r="A596">
        <v>51033671</v>
      </c>
      <c r="B596" t="str">
        <f>VLOOKUP(A596,ASESORES!$A$2:$B$993,2,0)</f>
        <v>MONTENEGRO</v>
      </c>
      <c r="C596">
        <v>27060019.949999999</v>
      </c>
      <c r="D596">
        <v>37090529.25</v>
      </c>
      <c r="E596">
        <v>49390620.899999999</v>
      </c>
      <c r="F596">
        <v>42458800</v>
      </c>
      <c r="G596">
        <v>51423204</v>
      </c>
      <c r="H596">
        <v>67896442</v>
      </c>
      <c r="I596">
        <f t="shared" si="81"/>
        <v>0.56906018836841255</v>
      </c>
      <c r="J596">
        <f t="shared" si="82"/>
        <v>0.38642410986896336</v>
      </c>
      <c r="K596">
        <f t="shared" si="83"/>
        <v>0.37468290057475273</v>
      </c>
      <c r="L596">
        <f t="shared" si="84"/>
        <v>4.3407727451485449</v>
      </c>
      <c r="M596">
        <f t="shared" si="85"/>
        <v>2.9797778038420395</v>
      </c>
      <c r="N596">
        <f t="shared" si="86"/>
        <v>2.9344591569615526</v>
      </c>
      <c r="O596">
        <f t="shared" si="87"/>
        <v>80.13411567476949</v>
      </c>
      <c r="P596">
        <f t="shared" si="88"/>
        <v>63.034367141659686</v>
      </c>
      <c r="Q596">
        <f t="shared" si="89"/>
        <v>72.925398155909477</v>
      </c>
    </row>
    <row r="597" spans="1:17" x14ac:dyDescent="0.3">
      <c r="A597">
        <v>51038797</v>
      </c>
      <c r="B597" t="str">
        <f>VLOOKUP(A597,ASESORES!$A$2:$B$993,2,0)</f>
        <v>NELLI</v>
      </c>
      <c r="C597">
        <v>26529776.969999999</v>
      </c>
      <c r="D597">
        <v>42092897.239999987</v>
      </c>
      <c r="E597">
        <v>46610602.419999987</v>
      </c>
      <c r="F597">
        <v>39889208</v>
      </c>
      <c r="G597">
        <v>56119678</v>
      </c>
      <c r="H597">
        <v>67869920</v>
      </c>
      <c r="I597">
        <f t="shared" si="81"/>
        <v>0.5035636388917597</v>
      </c>
      <c r="J597">
        <f t="shared" si="82"/>
        <v>0.33323391070051267</v>
      </c>
      <c r="K597">
        <f t="shared" si="83"/>
        <v>0.45610475892235902</v>
      </c>
      <c r="L597">
        <f t="shared" si="84"/>
        <v>3.8275144107025989</v>
      </c>
      <c r="M597">
        <f t="shared" si="85"/>
        <v>2.5822679527329151</v>
      </c>
      <c r="N597">
        <f t="shared" si="86"/>
        <v>3.572065303876804</v>
      </c>
      <c r="O597">
        <f t="shared" si="87"/>
        <v>75.60771165129924</v>
      </c>
      <c r="P597">
        <f t="shared" si="88"/>
        <v>56.663872590108966</v>
      </c>
      <c r="Q597">
        <f t="shared" si="89"/>
        <v>79.966471081307631</v>
      </c>
    </row>
    <row r="598" spans="1:17" x14ac:dyDescent="0.3">
      <c r="A598">
        <v>51013492</v>
      </c>
      <c r="B598" t="str">
        <f>VLOOKUP(A598,ASESORES!$A$2:$B$993,2,0)</f>
        <v>PUGH</v>
      </c>
      <c r="C598">
        <v>43141802.380000003</v>
      </c>
      <c r="D598">
        <v>50499995.850000001</v>
      </c>
      <c r="E598">
        <v>52411668</v>
      </c>
      <c r="F598">
        <v>41190395</v>
      </c>
      <c r="G598">
        <v>61158526</v>
      </c>
      <c r="H598">
        <v>67818585</v>
      </c>
      <c r="I598">
        <f t="shared" si="81"/>
        <v>-4.5232402735789545E-2</v>
      </c>
      <c r="J598">
        <f t="shared" si="82"/>
        <v>0.2110600203148334</v>
      </c>
      <c r="K598">
        <f t="shared" si="83"/>
        <v>0.29395967707038051</v>
      </c>
      <c r="L598">
        <f t="shared" si="84"/>
        <v>-0.34443551746399742</v>
      </c>
      <c r="M598">
        <f t="shared" si="85"/>
        <v>1.6434097746699561</v>
      </c>
      <c r="N598">
        <f t="shared" si="86"/>
        <v>2.3021007419928172</v>
      </c>
      <c r="O598">
        <f t="shared" si="87"/>
        <v>8.8851634534786257</v>
      </c>
      <c r="P598">
        <f t="shared" si="88"/>
        <v>43.671416596814758</v>
      </c>
      <c r="Q598">
        <f t="shared" si="89"/>
        <v>63.537300922045262</v>
      </c>
    </row>
    <row r="599" spans="1:17" x14ac:dyDescent="0.3">
      <c r="A599">
        <v>51019415</v>
      </c>
      <c r="B599" t="str">
        <f>VLOOKUP(A599,ASESORES!$A$2:$B$993,2,0)</f>
        <v>MONTENEGRO</v>
      </c>
      <c r="C599">
        <v>27349754.449999999</v>
      </c>
      <c r="D599">
        <v>38162837.020000003</v>
      </c>
      <c r="E599">
        <v>53085494.299999997</v>
      </c>
      <c r="F599">
        <v>40185437</v>
      </c>
      <c r="G599">
        <v>61286131</v>
      </c>
      <c r="H599">
        <v>67593013</v>
      </c>
      <c r="I599">
        <f t="shared" si="81"/>
        <v>0.46931618978392686</v>
      </c>
      <c r="J599">
        <f t="shared" si="82"/>
        <v>0.60591129448478287</v>
      </c>
      <c r="K599">
        <f t="shared" si="83"/>
        <v>0.27328593039021598</v>
      </c>
      <c r="L599">
        <f t="shared" si="84"/>
        <v>3.5687125470096319</v>
      </c>
      <c r="M599">
        <f t="shared" si="85"/>
        <v>4.7184507143506336</v>
      </c>
      <c r="N599">
        <f t="shared" si="86"/>
        <v>2.1398019998669495</v>
      </c>
      <c r="O599">
        <f t="shared" si="87"/>
        <v>72.1709974853311</v>
      </c>
      <c r="P599">
        <f t="shared" si="88"/>
        <v>81.978206202849961</v>
      </c>
      <c r="Q599">
        <f t="shared" si="89"/>
        <v>60.352053646269908</v>
      </c>
    </row>
    <row r="600" spans="1:17" x14ac:dyDescent="0.3">
      <c r="A600">
        <v>51036107</v>
      </c>
      <c r="B600" t="str">
        <f>VLOOKUP(A600,ASESORES!$A$2:$B$993,2,0)</f>
        <v>MONTENEGRO</v>
      </c>
      <c r="C600">
        <v>31491083.870000001</v>
      </c>
      <c r="D600">
        <v>92393383.370000005</v>
      </c>
      <c r="E600">
        <v>56948785.409999996</v>
      </c>
      <c r="F600">
        <v>48360565</v>
      </c>
      <c r="G600">
        <v>57104340</v>
      </c>
      <c r="H600">
        <v>67501498</v>
      </c>
      <c r="I600">
        <f t="shared" si="81"/>
        <v>0.53569071168333848</v>
      </c>
      <c r="J600">
        <f t="shared" si="82"/>
        <v>-0.38194340420115303</v>
      </c>
      <c r="K600">
        <f t="shared" si="83"/>
        <v>0.18530180255867212</v>
      </c>
      <c r="L600">
        <f t="shared" si="84"/>
        <v>4.1165106488372256</v>
      </c>
      <c r="M600">
        <f t="shared" si="85"/>
        <v>-2.9626086075852678</v>
      </c>
      <c r="N600">
        <f t="shared" si="86"/>
        <v>1.4507858878262865</v>
      </c>
      <c r="O600">
        <f t="shared" si="87"/>
        <v>78.541492036881806</v>
      </c>
      <c r="P600">
        <f t="shared" si="88"/>
        <v>3.2690695725062868</v>
      </c>
      <c r="Q600">
        <f t="shared" si="89"/>
        <v>51.04777870913663</v>
      </c>
    </row>
    <row r="601" spans="1:17" x14ac:dyDescent="0.3">
      <c r="A601">
        <v>51056990</v>
      </c>
      <c r="B601" t="str">
        <f>VLOOKUP(A601,ASESORES!$A$2:$B$993,2,0)</f>
        <v>BELUZZO</v>
      </c>
      <c r="C601">
        <v>32399994.149999999</v>
      </c>
      <c r="D601">
        <v>46108423.490000002</v>
      </c>
      <c r="E601">
        <v>61711093.309999987</v>
      </c>
      <c r="F601">
        <v>42028817</v>
      </c>
      <c r="G601">
        <v>68179236</v>
      </c>
      <c r="H601">
        <v>67446860</v>
      </c>
      <c r="I601">
        <f t="shared" si="81"/>
        <v>0.29718594409067212</v>
      </c>
      <c r="J601">
        <f t="shared" si="82"/>
        <v>0.47867202648528462</v>
      </c>
      <c r="K601">
        <f t="shared" si="83"/>
        <v>9.2945471913565392E-2</v>
      </c>
      <c r="L601">
        <f t="shared" si="84"/>
        <v>2.2656110618287109</v>
      </c>
      <c r="M601">
        <f t="shared" si="85"/>
        <v>3.7497501400017099</v>
      </c>
      <c r="N601">
        <f t="shared" si="86"/>
        <v>0.72766654312953127</v>
      </c>
      <c r="O601">
        <f t="shared" si="87"/>
        <v>51.969823973176865</v>
      </c>
      <c r="P601">
        <f t="shared" si="88"/>
        <v>72.673931265716689</v>
      </c>
      <c r="Q601">
        <f t="shared" si="89"/>
        <v>39.983235540653816</v>
      </c>
    </row>
    <row r="602" spans="1:17" x14ac:dyDescent="0.3">
      <c r="A602">
        <v>51025296</v>
      </c>
      <c r="B602" t="str">
        <f>VLOOKUP(A602,ASESORES!$A$2:$B$993,2,0)</f>
        <v>MONTENEGRO</v>
      </c>
      <c r="C602">
        <v>45315820.799999997</v>
      </c>
      <c r="D602">
        <v>49245191.509999998</v>
      </c>
      <c r="E602">
        <v>61509856.060000002</v>
      </c>
      <c r="F602">
        <v>52726075</v>
      </c>
      <c r="G602">
        <v>69886710</v>
      </c>
      <c r="H602">
        <v>67443243</v>
      </c>
      <c r="I602">
        <f t="shared" si="81"/>
        <v>0.16352466024404455</v>
      </c>
      <c r="J602">
        <f t="shared" si="82"/>
        <v>0.41915805090956804</v>
      </c>
      <c r="K602">
        <f t="shared" si="83"/>
        <v>9.6462377252391152E-2</v>
      </c>
      <c r="L602">
        <f t="shared" si="84"/>
        <v>1.2627415869737051</v>
      </c>
      <c r="M602">
        <f t="shared" si="85"/>
        <v>3.288041149435696</v>
      </c>
      <c r="N602">
        <f t="shared" si="86"/>
        <v>0.75519801377845486</v>
      </c>
      <c r="O602">
        <f t="shared" si="87"/>
        <v>36.546521374685668</v>
      </c>
      <c r="P602">
        <f t="shared" si="88"/>
        <v>66.722548197820615</v>
      </c>
      <c r="Q602">
        <f t="shared" si="89"/>
        <v>40.402347024308469</v>
      </c>
    </row>
    <row r="603" spans="1:17" x14ac:dyDescent="0.3">
      <c r="A603">
        <v>51056639</v>
      </c>
      <c r="B603" t="str">
        <f>VLOOKUP(A603,ASESORES!$A$2:$B$993,2,0)</f>
        <v>BELUZZO</v>
      </c>
      <c r="C603">
        <v>52285890.799999997</v>
      </c>
      <c r="D603">
        <v>66786169.639999993</v>
      </c>
      <c r="E603">
        <v>64691589.119999997</v>
      </c>
      <c r="F603">
        <v>45682870</v>
      </c>
      <c r="G603">
        <v>54707231</v>
      </c>
      <c r="H603">
        <v>67233938</v>
      </c>
      <c r="I603">
        <f t="shared" si="81"/>
        <v>-0.12628685672120166</v>
      </c>
      <c r="J603">
        <f t="shared" si="82"/>
        <v>-0.18085988019839361</v>
      </c>
      <c r="K603">
        <f t="shared" si="83"/>
        <v>3.929952741281495E-2</v>
      </c>
      <c r="L603">
        <f t="shared" si="84"/>
        <v>-0.96732617766976081</v>
      </c>
      <c r="M603">
        <f t="shared" si="85"/>
        <v>-1.399501843483304</v>
      </c>
      <c r="N603">
        <f t="shared" si="86"/>
        <v>0.30762053077050322</v>
      </c>
      <c r="O603">
        <f t="shared" si="87"/>
        <v>7.3763621123218766</v>
      </c>
      <c r="P603">
        <f t="shared" si="88"/>
        <v>5.5322715842414087</v>
      </c>
      <c r="Q603">
        <f t="shared" si="89"/>
        <v>34.870075440067055</v>
      </c>
    </row>
    <row r="604" spans="1:17" x14ac:dyDescent="0.3">
      <c r="A604">
        <v>51015029</v>
      </c>
      <c r="B604" t="str">
        <f>VLOOKUP(A604,ASESORES!$A$2:$B$993,2,0)</f>
        <v>PUGH</v>
      </c>
      <c r="C604">
        <v>28860126.809999999</v>
      </c>
      <c r="D604">
        <v>34417258.789999999</v>
      </c>
      <c r="E604">
        <v>40848438.070000008</v>
      </c>
      <c r="F604">
        <v>35060283</v>
      </c>
      <c r="G604">
        <v>59799958</v>
      </c>
      <c r="H604">
        <v>67161117</v>
      </c>
      <c r="I604">
        <f t="shared" si="81"/>
        <v>0.21483468284178353</v>
      </c>
      <c r="J604">
        <f t="shared" si="82"/>
        <v>0.73749915311021197</v>
      </c>
      <c r="K604">
        <f t="shared" si="83"/>
        <v>0.64415385687230486</v>
      </c>
      <c r="L604">
        <f t="shared" si="84"/>
        <v>1.6208880272787038</v>
      </c>
      <c r="M604">
        <f t="shared" si="85"/>
        <v>5.7353103122284406</v>
      </c>
      <c r="N604">
        <f t="shared" si="86"/>
        <v>5.0418681902806561</v>
      </c>
      <c r="O604">
        <f t="shared" si="87"/>
        <v>41.911148365465209</v>
      </c>
      <c r="P604">
        <f t="shared" si="88"/>
        <v>89.773679798826493</v>
      </c>
      <c r="Q604">
        <f t="shared" si="89"/>
        <v>91.450125733445091</v>
      </c>
    </row>
    <row r="605" spans="1:17" x14ac:dyDescent="0.3">
      <c r="A605">
        <v>51055730</v>
      </c>
      <c r="B605" t="str">
        <f>VLOOKUP(A605,ASESORES!$A$2:$B$993,2,0)</f>
        <v>PRADES</v>
      </c>
      <c r="C605">
        <v>34243046.670000002</v>
      </c>
      <c r="D605">
        <v>40338559.509999998</v>
      </c>
      <c r="E605">
        <v>58990937.390000001</v>
      </c>
      <c r="F605">
        <v>47985536</v>
      </c>
      <c r="G605">
        <v>57589211</v>
      </c>
      <c r="H605">
        <v>67028145</v>
      </c>
      <c r="I605">
        <f t="shared" si="81"/>
        <v>0.40132203954970103</v>
      </c>
      <c r="J605">
        <f t="shared" si="82"/>
        <v>0.42764669089692053</v>
      </c>
      <c r="K605">
        <f t="shared" si="83"/>
        <v>0.13624478548059904</v>
      </c>
      <c r="L605">
        <f t="shared" si="84"/>
        <v>3.0825988717688051</v>
      </c>
      <c r="M605">
        <f t="shared" si="85"/>
        <v>3.3186842038456512</v>
      </c>
      <c r="N605">
        <f t="shared" si="86"/>
        <v>1.0662867333961545</v>
      </c>
      <c r="O605">
        <f t="shared" si="87"/>
        <v>65.800502933780379</v>
      </c>
      <c r="P605">
        <f t="shared" si="88"/>
        <v>67.225481978206204</v>
      </c>
      <c r="Q605">
        <f t="shared" si="89"/>
        <v>44.509639564124058</v>
      </c>
    </row>
    <row r="606" spans="1:17" x14ac:dyDescent="0.3">
      <c r="A606">
        <v>51018257</v>
      </c>
      <c r="B606" t="str">
        <f>VLOOKUP(A606,ASESORES!$A$2:$B$993,2,0)</f>
        <v>ARGUELLO</v>
      </c>
      <c r="C606">
        <v>32442206.219999999</v>
      </c>
      <c r="D606">
        <v>49718936.390000001</v>
      </c>
      <c r="E606">
        <v>54715622.049999997</v>
      </c>
      <c r="F606">
        <v>36443526</v>
      </c>
      <c r="G606">
        <v>58852264</v>
      </c>
      <c r="H606">
        <v>66992538</v>
      </c>
      <c r="I606">
        <f t="shared" si="81"/>
        <v>0.12333685794566174</v>
      </c>
      <c r="J606">
        <f t="shared" si="82"/>
        <v>0.18369917526709179</v>
      </c>
      <c r="K606">
        <f t="shared" si="83"/>
        <v>0.22437679569431124</v>
      </c>
      <c r="L606">
        <f t="shared" si="84"/>
        <v>0.93262649980445766</v>
      </c>
      <c r="M606">
        <f t="shared" si="85"/>
        <v>1.4272990871699667</v>
      </c>
      <c r="N606">
        <f t="shared" si="86"/>
        <v>1.7559787336672286</v>
      </c>
      <c r="O606">
        <f t="shared" si="87"/>
        <v>31.601005867560772</v>
      </c>
      <c r="P606">
        <f t="shared" si="88"/>
        <v>40.737636211232186</v>
      </c>
      <c r="Q606">
        <f t="shared" si="89"/>
        <v>55.406538139145013</v>
      </c>
    </row>
    <row r="607" spans="1:17" x14ac:dyDescent="0.3">
      <c r="A607">
        <v>51055845</v>
      </c>
      <c r="B607" t="str">
        <f>VLOOKUP(A607,ASESORES!$A$2:$B$993,2,0)</f>
        <v>BELUZZO</v>
      </c>
      <c r="C607">
        <v>29211475.039999999</v>
      </c>
      <c r="D607">
        <v>38313406.020000003</v>
      </c>
      <c r="E607">
        <v>48651387.799999997</v>
      </c>
      <c r="F607">
        <v>47448904</v>
      </c>
      <c r="G607">
        <v>57891600</v>
      </c>
      <c r="H607">
        <v>66854358</v>
      </c>
      <c r="I607">
        <f t="shared" si="81"/>
        <v>0.62432413751880156</v>
      </c>
      <c r="J607">
        <f t="shared" si="82"/>
        <v>0.51100113547148407</v>
      </c>
      <c r="K607">
        <f t="shared" si="83"/>
        <v>0.37415109872775321</v>
      </c>
      <c r="L607">
        <f t="shared" si="84"/>
        <v>4.7924532925456722</v>
      </c>
      <c r="M607">
        <f t="shared" si="85"/>
        <v>3.9667053616599599</v>
      </c>
      <c r="N607">
        <f t="shared" si="86"/>
        <v>2.9277808834157844</v>
      </c>
      <c r="O607">
        <f t="shared" si="87"/>
        <v>84.157585917854149</v>
      </c>
      <c r="P607">
        <f t="shared" si="88"/>
        <v>75.020955574182736</v>
      </c>
      <c r="Q607">
        <f t="shared" si="89"/>
        <v>72.673931265716689</v>
      </c>
    </row>
    <row r="608" spans="1:17" x14ac:dyDescent="0.3">
      <c r="A608">
        <v>51028015</v>
      </c>
      <c r="B608" t="str">
        <f>VLOOKUP(A608,ASESORES!$A$2:$B$993,2,0)</f>
        <v>CICHETTO</v>
      </c>
      <c r="C608">
        <v>23710373.66</v>
      </c>
      <c r="D608">
        <v>31567303.440000009</v>
      </c>
      <c r="E608">
        <v>41609311.100000001</v>
      </c>
      <c r="F608">
        <v>41147013</v>
      </c>
      <c r="G608">
        <v>54011737</v>
      </c>
      <c r="H608">
        <v>66783805</v>
      </c>
      <c r="I608">
        <f t="shared" si="81"/>
        <v>0.73540128848395381</v>
      </c>
      <c r="J608">
        <f t="shared" si="82"/>
        <v>0.7110025600590224</v>
      </c>
      <c r="K608">
        <f t="shared" si="83"/>
        <v>0.60502068490146188</v>
      </c>
      <c r="L608">
        <f t="shared" si="84"/>
        <v>5.599594206918403</v>
      </c>
      <c r="M608">
        <f t="shared" si="85"/>
        <v>5.497818866206214</v>
      </c>
      <c r="N608">
        <f t="shared" si="86"/>
        <v>4.7340879039308037</v>
      </c>
      <c r="O608">
        <f t="shared" si="87"/>
        <v>88.600167644593469</v>
      </c>
      <c r="P608">
        <f t="shared" si="88"/>
        <v>88.348700754400667</v>
      </c>
      <c r="Q608">
        <f t="shared" si="89"/>
        <v>89.689857502095563</v>
      </c>
    </row>
    <row r="609" spans="1:17" x14ac:dyDescent="0.3">
      <c r="A609">
        <v>51012887</v>
      </c>
      <c r="B609" t="str">
        <f>VLOOKUP(A609,ASESORES!$A$2:$B$993,2,0)</f>
        <v>ARGUELLO</v>
      </c>
      <c r="C609">
        <v>26810144.440000001</v>
      </c>
      <c r="D609">
        <v>43319887.969999999</v>
      </c>
      <c r="E609">
        <v>51852843.600000001</v>
      </c>
      <c r="F609">
        <v>37761494</v>
      </c>
      <c r="G609">
        <v>51754390</v>
      </c>
      <c r="H609">
        <v>66686846</v>
      </c>
      <c r="I609">
        <f t="shared" si="81"/>
        <v>0.40847782765619445</v>
      </c>
      <c r="J609">
        <f t="shared" si="82"/>
        <v>0.19470276644854412</v>
      </c>
      <c r="K609">
        <f t="shared" si="83"/>
        <v>0.28607886029224439</v>
      </c>
      <c r="L609">
        <f t="shared" si="84"/>
        <v>3.0950565843692495</v>
      </c>
      <c r="M609">
        <f t="shared" si="85"/>
        <v>1.5019268589420889</v>
      </c>
      <c r="N609">
        <f t="shared" si="86"/>
        <v>2.2382924969027731</v>
      </c>
      <c r="O609">
        <f t="shared" si="87"/>
        <v>66.051969823973181</v>
      </c>
      <c r="P609">
        <f t="shared" si="88"/>
        <v>42.330259849119869</v>
      </c>
      <c r="Q609">
        <f t="shared" si="89"/>
        <v>62.363788767812231</v>
      </c>
    </row>
    <row r="610" spans="1:17" x14ac:dyDescent="0.3">
      <c r="A610">
        <v>51010311</v>
      </c>
      <c r="B610" t="str">
        <f>VLOOKUP(A610,ASESORES!$A$2:$B$993,2,0)</f>
        <v>ROBERTS</v>
      </c>
      <c r="C610">
        <v>31943954.350000001</v>
      </c>
      <c r="D610">
        <v>43671192.220000014</v>
      </c>
      <c r="E610">
        <v>56441831.82</v>
      </c>
      <c r="F610">
        <v>39115408</v>
      </c>
      <c r="G610">
        <v>50680384</v>
      </c>
      <c r="H610">
        <v>66644390</v>
      </c>
      <c r="I610">
        <f t="shared" si="81"/>
        <v>0.22450112379402398</v>
      </c>
      <c r="J610">
        <f t="shared" si="82"/>
        <v>0.16049920837265352</v>
      </c>
      <c r="K610">
        <f t="shared" si="83"/>
        <v>0.18076235038822319</v>
      </c>
      <c r="L610">
        <f t="shared" si="84"/>
        <v>1.7044906278354024</v>
      </c>
      <c r="M610">
        <f t="shared" si="85"/>
        <v>1.2366207040789319</v>
      </c>
      <c r="N610">
        <f t="shared" si="86"/>
        <v>1.4142418967102364</v>
      </c>
      <c r="O610">
        <f t="shared" si="87"/>
        <v>43.252305113160098</v>
      </c>
      <c r="P610">
        <f t="shared" si="88"/>
        <v>37.971500419111479</v>
      </c>
      <c r="Q610">
        <f t="shared" si="89"/>
        <v>50.54484492875104</v>
      </c>
    </row>
    <row r="611" spans="1:17" x14ac:dyDescent="0.3">
      <c r="A611">
        <v>51036638</v>
      </c>
      <c r="B611" t="str">
        <f>VLOOKUP(A611,ASESORES!$A$2:$B$993,2,0)</f>
        <v>BELUZZO</v>
      </c>
      <c r="C611">
        <v>42029159.400000013</v>
      </c>
      <c r="D611">
        <v>48202617.569999993</v>
      </c>
      <c r="E611">
        <v>64018950.450000003</v>
      </c>
      <c r="F611">
        <v>56288539</v>
      </c>
      <c r="G611">
        <v>63937136</v>
      </c>
      <c r="H611">
        <v>66633019</v>
      </c>
      <c r="I611">
        <f t="shared" si="81"/>
        <v>0.33927349020451691</v>
      </c>
      <c r="J611">
        <f t="shared" si="82"/>
        <v>0.32642456412559517</v>
      </c>
      <c r="K611">
        <f t="shared" si="83"/>
        <v>4.0832730490351299E-2</v>
      </c>
      <c r="L611">
        <f t="shared" si="84"/>
        <v>2.6295120359624469</v>
      </c>
      <c r="M611">
        <f t="shared" si="85"/>
        <v>2.5479895789915274</v>
      </c>
      <c r="N611">
        <f t="shared" si="86"/>
        <v>0.3194626044127537</v>
      </c>
      <c r="O611">
        <f t="shared" si="87"/>
        <v>57.837384744341989</v>
      </c>
      <c r="P611">
        <f t="shared" si="88"/>
        <v>56.328583403185249</v>
      </c>
      <c r="Q611">
        <f t="shared" si="89"/>
        <v>35.03772003352892</v>
      </c>
    </row>
    <row r="612" spans="1:17" x14ac:dyDescent="0.3">
      <c r="A612">
        <v>51033442</v>
      </c>
      <c r="B612" t="str">
        <f>VLOOKUP(A612,ASESORES!$A$2:$B$993,2,0)</f>
        <v>METTLER</v>
      </c>
      <c r="C612">
        <v>10868035.300000001</v>
      </c>
      <c r="D612">
        <v>23368160.699999999</v>
      </c>
      <c r="E612">
        <v>36717622.600000001</v>
      </c>
      <c r="F612">
        <v>41415150</v>
      </c>
      <c r="G612">
        <v>49188050</v>
      </c>
      <c r="H612">
        <v>66549900</v>
      </c>
      <c r="I612">
        <f t="shared" si="81"/>
        <v>2.8107301694170976</v>
      </c>
      <c r="J612">
        <f t="shared" si="82"/>
        <v>1.1049174828723256</v>
      </c>
      <c r="K612">
        <f t="shared" si="83"/>
        <v>0.81247845823220577</v>
      </c>
      <c r="L612">
        <f t="shared" si="84"/>
        <v>21.409779277335915</v>
      </c>
      <c r="M612">
        <f t="shared" si="85"/>
        <v>8.4988701542785243</v>
      </c>
      <c r="N612">
        <f t="shared" si="86"/>
        <v>6.3561387439466319</v>
      </c>
      <c r="O612">
        <f t="shared" si="87"/>
        <v>99.161777032690708</v>
      </c>
      <c r="P612">
        <f t="shared" si="88"/>
        <v>96.144174350377199</v>
      </c>
      <c r="Q612">
        <f t="shared" si="89"/>
        <v>95.389773679798822</v>
      </c>
    </row>
    <row r="613" spans="1:17" x14ac:dyDescent="0.3">
      <c r="A613">
        <v>51014774</v>
      </c>
      <c r="B613" t="str">
        <f>VLOOKUP(A613,ASESORES!$A$2:$B$993,2,0)</f>
        <v>PUGH</v>
      </c>
      <c r="C613">
        <v>29078658.530000001</v>
      </c>
      <c r="D613">
        <v>39643902.899999999</v>
      </c>
      <c r="E613">
        <v>52851713.500000007</v>
      </c>
      <c r="F613">
        <v>54420924</v>
      </c>
      <c r="G613">
        <v>67450020</v>
      </c>
      <c r="H613">
        <v>66538265</v>
      </c>
      <c r="I613">
        <f t="shared" si="81"/>
        <v>0.87150737864522787</v>
      </c>
      <c r="J613">
        <f t="shared" si="82"/>
        <v>0.70139706401107138</v>
      </c>
      <c r="K613">
        <f t="shared" si="83"/>
        <v>0.25896135798889452</v>
      </c>
      <c r="L613">
        <f t="shared" si="84"/>
        <v>6.7417770711611569</v>
      </c>
      <c r="M613">
        <f t="shared" si="85"/>
        <v>5.4912250470593769</v>
      </c>
      <c r="N613">
        <f t="shared" si="86"/>
        <v>2.0258732121253917</v>
      </c>
      <c r="O613">
        <f t="shared" si="87"/>
        <v>92.958927074601846</v>
      </c>
      <c r="P613">
        <f t="shared" si="88"/>
        <v>88.264878457669738</v>
      </c>
      <c r="Q613">
        <f t="shared" si="89"/>
        <v>59.346186085498744</v>
      </c>
    </row>
    <row r="614" spans="1:17" x14ac:dyDescent="0.3">
      <c r="A614">
        <v>51043847</v>
      </c>
      <c r="B614" t="str">
        <f>VLOOKUP(A614,ASESORES!$A$2:$B$993,2,0)</f>
        <v>AYALA</v>
      </c>
      <c r="C614">
        <v>46219764.329999998</v>
      </c>
      <c r="D614">
        <v>45200898.719999999</v>
      </c>
      <c r="E614">
        <v>56492227.219999999</v>
      </c>
      <c r="F614">
        <v>47011661</v>
      </c>
      <c r="G614">
        <v>55592467</v>
      </c>
      <c r="H614">
        <v>66340504</v>
      </c>
      <c r="I614">
        <f t="shared" si="81"/>
        <v>1.7133290952026758E-2</v>
      </c>
      <c r="J614">
        <f t="shared" si="82"/>
        <v>0.22989738200497456</v>
      </c>
      <c r="K614">
        <f t="shared" si="83"/>
        <v>0.17432976649420207</v>
      </c>
      <c r="L614">
        <f t="shared" si="84"/>
        <v>0.13145013071667941</v>
      </c>
      <c r="M614">
        <f t="shared" si="85"/>
        <v>1.7805588897887932</v>
      </c>
      <c r="N614">
        <f t="shared" si="86"/>
        <v>1.3635688659514595</v>
      </c>
      <c r="O614">
        <f t="shared" si="87"/>
        <v>23.721709974853312</v>
      </c>
      <c r="P614">
        <f t="shared" si="88"/>
        <v>45.180217937971499</v>
      </c>
      <c r="Q614">
        <f t="shared" si="89"/>
        <v>49.79044425817267</v>
      </c>
    </row>
    <row r="615" spans="1:17" x14ac:dyDescent="0.3">
      <c r="A615">
        <v>51032381</v>
      </c>
      <c r="B615" t="str">
        <f>VLOOKUP(A615,ASESORES!$A$2:$B$993,2,0)</f>
        <v>CICHETTO</v>
      </c>
      <c r="C615">
        <v>38103209.829999998</v>
      </c>
      <c r="D615">
        <v>44044776.640000001</v>
      </c>
      <c r="E615">
        <v>67850694.909999996</v>
      </c>
      <c r="F615">
        <v>50204502</v>
      </c>
      <c r="G615">
        <v>56623817</v>
      </c>
      <c r="H615">
        <v>66226675</v>
      </c>
      <c r="I615">
        <f t="shared" si="81"/>
        <v>0.31759246068745184</v>
      </c>
      <c r="J615">
        <f t="shared" si="82"/>
        <v>0.28559664322547906</v>
      </c>
      <c r="K615">
        <f t="shared" si="83"/>
        <v>-2.3935199369058302E-2</v>
      </c>
      <c r="L615">
        <f t="shared" si="84"/>
        <v>2.4456978116159274</v>
      </c>
      <c r="M615">
        <f t="shared" si="85"/>
        <v>2.2142305298048681</v>
      </c>
      <c r="N615">
        <f t="shared" si="86"/>
        <v>-0.18719798296016721</v>
      </c>
      <c r="O615">
        <f t="shared" si="87"/>
        <v>54.98742665549036</v>
      </c>
      <c r="P615">
        <f t="shared" si="88"/>
        <v>51.215423302598495</v>
      </c>
      <c r="Q615">
        <f t="shared" si="89"/>
        <v>13.411567476948868</v>
      </c>
    </row>
    <row r="616" spans="1:17" x14ac:dyDescent="0.3">
      <c r="A616">
        <v>51018508</v>
      </c>
      <c r="B616" t="str">
        <f>VLOOKUP(A616,ASESORES!$A$2:$B$993,2,0)</f>
        <v>CICHETTO</v>
      </c>
      <c r="C616">
        <v>32009399.98</v>
      </c>
      <c r="D616">
        <v>43609040.010000013</v>
      </c>
      <c r="E616">
        <v>52462040.609999999</v>
      </c>
      <c r="F616">
        <v>39199378</v>
      </c>
      <c r="G616">
        <v>52631959</v>
      </c>
      <c r="H616">
        <v>66135057</v>
      </c>
      <c r="I616">
        <f t="shared" si="81"/>
        <v>0.22462083089631224</v>
      </c>
      <c r="J616">
        <f t="shared" si="82"/>
        <v>0.20690478368546827</v>
      </c>
      <c r="K616">
        <f t="shared" si="83"/>
        <v>0.26062685002370523</v>
      </c>
      <c r="L616">
        <f t="shared" si="84"/>
        <v>1.7056086777103641</v>
      </c>
      <c r="M616">
        <f t="shared" si="85"/>
        <v>1.5975634648364849</v>
      </c>
      <c r="N616">
        <f t="shared" si="86"/>
        <v>2.0382144881857753</v>
      </c>
      <c r="O616">
        <f t="shared" si="87"/>
        <v>43.336127409891027</v>
      </c>
      <c r="P616">
        <f t="shared" si="88"/>
        <v>43.08466051969824</v>
      </c>
      <c r="Q616">
        <f t="shared" si="89"/>
        <v>59.513830678960602</v>
      </c>
    </row>
    <row r="617" spans="1:17" x14ac:dyDescent="0.3">
      <c r="A617">
        <v>51003616</v>
      </c>
      <c r="B617" t="str">
        <f>VLOOKUP(A617,ASESORES!$A$2:$B$993,2,0)</f>
        <v>MONTENEGRO</v>
      </c>
      <c r="C617">
        <v>20270103.620000001</v>
      </c>
      <c r="D617">
        <v>30833835.52</v>
      </c>
      <c r="E617">
        <v>49289294.819999993</v>
      </c>
      <c r="F617">
        <v>43837598</v>
      </c>
      <c r="G617">
        <v>58407080</v>
      </c>
      <c r="H617">
        <v>66037146</v>
      </c>
      <c r="I617">
        <f t="shared" si="81"/>
        <v>1.1626726148921382</v>
      </c>
      <c r="J617">
        <f t="shared" si="82"/>
        <v>0.89425282372395554</v>
      </c>
      <c r="K617">
        <f t="shared" si="83"/>
        <v>0.33978678820952157</v>
      </c>
      <c r="L617">
        <f t="shared" si="84"/>
        <v>8.884965943155839</v>
      </c>
      <c r="M617">
        <f t="shared" si="85"/>
        <v>6.9451836989816798</v>
      </c>
      <c r="N617">
        <f t="shared" si="86"/>
        <v>2.6570607494450389</v>
      </c>
      <c r="O617">
        <f t="shared" si="87"/>
        <v>96.144174350377199</v>
      </c>
      <c r="P617">
        <f t="shared" si="88"/>
        <v>93.629505448449294</v>
      </c>
      <c r="Q617">
        <f t="shared" si="89"/>
        <v>68.398994132439228</v>
      </c>
    </row>
    <row r="618" spans="1:17" x14ac:dyDescent="0.3">
      <c r="A618">
        <v>51038932</v>
      </c>
      <c r="B618" t="str">
        <f>VLOOKUP(A618,ASESORES!$A$2:$B$993,2,0)</f>
        <v>BELUZZO</v>
      </c>
      <c r="C618">
        <v>40222053.810000002</v>
      </c>
      <c r="D618">
        <v>53279803.599999987</v>
      </c>
      <c r="E618">
        <v>55750857.759999998</v>
      </c>
      <c r="F618">
        <v>43093940</v>
      </c>
      <c r="G618">
        <v>62939979</v>
      </c>
      <c r="H618">
        <v>66023206</v>
      </c>
      <c r="I618">
        <f t="shared" si="81"/>
        <v>7.1400784344980206E-2</v>
      </c>
      <c r="J618">
        <f t="shared" si="82"/>
        <v>0.18131026669174921</v>
      </c>
      <c r="K618">
        <f t="shared" si="83"/>
        <v>0.18425453262479108</v>
      </c>
      <c r="L618">
        <f t="shared" si="84"/>
        <v>0.54510330488542302</v>
      </c>
      <c r="M618">
        <f t="shared" si="85"/>
        <v>1.4140254606084712</v>
      </c>
      <c r="N618">
        <f t="shared" si="86"/>
        <v>1.4408145440096032</v>
      </c>
      <c r="O618">
        <f t="shared" si="87"/>
        <v>28.164291701592624</v>
      </c>
      <c r="P618">
        <f t="shared" si="88"/>
        <v>40.31852472757754</v>
      </c>
      <c r="Q618">
        <f t="shared" si="89"/>
        <v>50.796311818943842</v>
      </c>
    </row>
    <row r="619" spans="1:17" x14ac:dyDescent="0.3">
      <c r="A619">
        <v>51039211</v>
      </c>
      <c r="B619" t="str">
        <f>VLOOKUP(A619,ASESORES!$A$2:$B$993,2,0)</f>
        <v>AYALA</v>
      </c>
      <c r="C619">
        <v>46340671.670000002</v>
      </c>
      <c r="D619">
        <v>64869618.200000003</v>
      </c>
      <c r="E619">
        <v>65860211.810000002</v>
      </c>
      <c r="F619">
        <v>52039036</v>
      </c>
      <c r="G619">
        <v>67257809</v>
      </c>
      <c r="H619">
        <v>66016609</v>
      </c>
      <c r="I619">
        <f t="shared" si="81"/>
        <v>0.12296680485296041</v>
      </c>
      <c r="J619">
        <f t="shared" si="82"/>
        <v>3.6815243657469132E-2</v>
      </c>
      <c r="K619">
        <f t="shared" si="83"/>
        <v>2.3746839814482446E-3</v>
      </c>
      <c r="L619">
        <f t="shared" si="84"/>
        <v>0.94885235218696362</v>
      </c>
      <c r="M619">
        <f t="shared" si="85"/>
        <v>0.28818025536168596</v>
      </c>
      <c r="N619">
        <f t="shared" si="86"/>
        <v>1.856920522457679E-2</v>
      </c>
      <c r="O619">
        <f t="shared" si="87"/>
        <v>32.020117351215418</v>
      </c>
      <c r="P619">
        <f t="shared" si="88"/>
        <v>29.08633696563286</v>
      </c>
      <c r="Q619">
        <f t="shared" si="89"/>
        <v>32.103939647946355</v>
      </c>
    </row>
    <row r="620" spans="1:17" x14ac:dyDescent="0.3">
      <c r="A620">
        <v>51018664</v>
      </c>
      <c r="B620" t="e">
        <f>VLOOKUP(A620,ASESORES!$A$2:$B$993,2,0)</f>
        <v>#N/A</v>
      </c>
      <c r="C620">
        <v>79545859.050000012</v>
      </c>
      <c r="D620">
        <v>93943650.400000006</v>
      </c>
      <c r="E620">
        <v>115248111.5</v>
      </c>
      <c r="F620">
        <v>55207511</v>
      </c>
      <c r="G620">
        <v>51121207</v>
      </c>
      <c r="H620">
        <v>66013452</v>
      </c>
      <c r="I620">
        <f t="shared" si="81"/>
        <v>-0.30596624815757778</v>
      </c>
      <c r="J620">
        <f t="shared" si="82"/>
        <v>-0.45583116280522995</v>
      </c>
      <c r="K620">
        <f t="shared" si="83"/>
        <v>-0.42720578115503438</v>
      </c>
      <c r="L620">
        <f t="shared" si="84"/>
        <v>-2.3687901326004757</v>
      </c>
      <c r="M620">
        <f t="shared" si="85"/>
        <v>-3.5138206026520868</v>
      </c>
      <c r="N620">
        <f t="shared" si="86"/>
        <v>-3.3405921864279438</v>
      </c>
      <c r="O620">
        <f t="shared" si="87"/>
        <v>4.3587594300083818</v>
      </c>
      <c r="P620">
        <f t="shared" si="88"/>
        <v>2.6823134953897738</v>
      </c>
      <c r="Q620">
        <f t="shared" si="89"/>
        <v>1.9279128248113997</v>
      </c>
    </row>
    <row r="621" spans="1:17" x14ac:dyDescent="0.3">
      <c r="A621">
        <v>51056671</v>
      </c>
      <c r="B621" t="str">
        <f>VLOOKUP(A621,ASESORES!$A$2:$B$993,2,0)</f>
        <v>METTLER</v>
      </c>
      <c r="C621">
        <v>38405254.57</v>
      </c>
      <c r="D621">
        <v>41880512.530000001</v>
      </c>
      <c r="E621">
        <v>45457437.369999997</v>
      </c>
      <c r="F621">
        <v>43747730</v>
      </c>
      <c r="G621">
        <v>57580570</v>
      </c>
      <c r="H621">
        <v>65960148</v>
      </c>
      <c r="I621">
        <f t="shared" si="81"/>
        <v>0.13910792910544156</v>
      </c>
      <c r="J621">
        <f t="shared" si="82"/>
        <v>0.37487739575187096</v>
      </c>
      <c r="K621">
        <f t="shared" si="83"/>
        <v>0.45103093830649876</v>
      </c>
      <c r="L621">
        <f t="shared" si="84"/>
        <v>1.0629174992044368</v>
      </c>
      <c r="M621">
        <f t="shared" si="85"/>
        <v>2.9091520420954491</v>
      </c>
      <c r="N621">
        <f t="shared" si="86"/>
        <v>3.5267379265983392</v>
      </c>
      <c r="O621">
        <f t="shared" si="87"/>
        <v>33.528918692372173</v>
      </c>
      <c r="P621">
        <f t="shared" si="88"/>
        <v>61.609388097233861</v>
      </c>
      <c r="Q621">
        <f t="shared" si="89"/>
        <v>79.547359597652985</v>
      </c>
    </row>
    <row r="622" spans="1:17" x14ac:dyDescent="0.3">
      <c r="A622">
        <v>51055462</v>
      </c>
      <c r="B622" t="str">
        <f>VLOOKUP(A622,ASESORES!$A$2:$B$993,2,0)</f>
        <v>CICHETTO</v>
      </c>
      <c r="C622">
        <v>36226860.149999999</v>
      </c>
      <c r="D622">
        <v>43307786.010000013</v>
      </c>
      <c r="E622">
        <v>55255770.869999997</v>
      </c>
      <c r="F622">
        <v>47855640</v>
      </c>
      <c r="G622">
        <v>65617325</v>
      </c>
      <c r="H622">
        <v>65928622</v>
      </c>
      <c r="I622">
        <f t="shared" si="81"/>
        <v>0.32099883351331515</v>
      </c>
      <c r="J622">
        <f t="shared" si="82"/>
        <v>0.51513921734185608</v>
      </c>
      <c r="K622">
        <f t="shared" si="83"/>
        <v>0.19315360118873315</v>
      </c>
      <c r="L622">
        <f t="shared" si="84"/>
        <v>2.4652495757618298</v>
      </c>
      <c r="M622">
        <f t="shared" si="85"/>
        <v>4.0268528031998656</v>
      </c>
      <c r="N622">
        <f t="shared" si="86"/>
        <v>1.5102823007674397</v>
      </c>
      <c r="O622">
        <f t="shared" si="87"/>
        <v>55.322715842414084</v>
      </c>
      <c r="P622">
        <f t="shared" si="88"/>
        <v>75.859178541492028</v>
      </c>
      <c r="Q622">
        <f t="shared" si="89"/>
        <v>52.305113160100589</v>
      </c>
    </row>
    <row r="623" spans="1:17" x14ac:dyDescent="0.3">
      <c r="A623">
        <v>51014081</v>
      </c>
      <c r="B623" t="str">
        <f>VLOOKUP(A623,ASESORES!$A$2:$B$993,2,0)</f>
        <v>NELLI</v>
      </c>
      <c r="C623">
        <v>19727211.52</v>
      </c>
      <c r="D623">
        <v>37367272.329999998</v>
      </c>
      <c r="E623">
        <v>40709522.119999997</v>
      </c>
      <c r="F623">
        <v>30947665</v>
      </c>
      <c r="G623">
        <v>37187270</v>
      </c>
      <c r="H623">
        <v>65828706</v>
      </c>
      <c r="I623">
        <f t="shared" si="81"/>
        <v>0.56878051257393314</v>
      </c>
      <c r="J623">
        <f t="shared" si="82"/>
        <v>-4.8171118408202318E-3</v>
      </c>
      <c r="K623">
        <f t="shared" si="83"/>
        <v>0.61703460448284919</v>
      </c>
      <c r="L623">
        <f t="shared" si="84"/>
        <v>4.260523169120872</v>
      </c>
      <c r="M623">
        <f t="shared" si="85"/>
        <v>-3.6467436007793702E-2</v>
      </c>
      <c r="N623">
        <f t="shared" si="86"/>
        <v>4.8242328035577717</v>
      </c>
      <c r="O623">
        <f t="shared" si="87"/>
        <v>79.295892707460183</v>
      </c>
      <c r="P623">
        <f t="shared" si="88"/>
        <v>10.813076278290024</v>
      </c>
      <c r="Q623">
        <f t="shared" si="89"/>
        <v>90.360435875942997</v>
      </c>
    </row>
    <row r="624" spans="1:17" x14ac:dyDescent="0.3">
      <c r="A624">
        <v>51055918</v>
      </c>
      <c r="B624" t="str">
        <f>VLOOKUP(A624,ASESORES!$A$2:$B$993,2,0)</f>
        <v>BELUZZO</v>
      </c>
      <c r="C624">
        <v>38001410.520000003</v>
      </c>
      <c r="D624">
        <v>42191401.600000001</v>
      </c>
      <c r="E624">
        <v>54997433.520000003</v>
      </c>
      <c r="F624">
        <v>44259275</v>
      </c>
      <c r="G624">
        <v>64254020</v>
      </c>
      <c r="H624">
        <v>65804498</v>
      </c>
      <c r="I624">
        <f t="shared" si="81"/>
        <v>0.16467453166525248</v>
      </c>
      <c r="J624">
        <f t="shared" si="82"/>
        <v>0.52291740884000393</v>
      </c>
      <c r="K624">
        <f t="shared" si="83"/>
        <v>0.19650125084600489</v>
      </c>
      <c r="L624">
        <f t="shared" si="84"/>
        <v>1.2591021764853656</v>
      </c>
      <c r="M624">
        <f t="shared" si="85"/>
        <v>4.0828869955172546</v>
      </c>
      <c r="N624">
        <f t="shared" si="86"/>
        <v>1.5362970009802468</v>
      </c>
      <c r="O624">
        <f t="shared" si="87"/>
        <v>36.462699077954738</v>
      </c>
      <c r="P624">
        <f t="shared" si="88"/>
        <v>76.445934618608547</v>
      </c>
      <c r="Q624">
        <f t="shared" si="89"/>
        <v>52.724224643755235</v>
      </c>
    </row>
    <row r="625" spans="1:17" x14ac:dyDescent="0.3">
      <c r="A625">
        <v>51016785</v>
      </c>
      <c r="B625" t="str">
        <f>VLOOKUP(A625,ASESORES!$A$2:$B$993,2,0)</f>
        <v>BELUZZO</v>
      </c>
      <c r="C625">
        <v>24270448.710000001</v>
      </c>
      <c r="D625">
        <v>31697491.82</v>
      </c>
      <c r="E625">
        <v>41734846.049999997</v>
      </c>
      <c r="F625">
        <v>39346066</v>
      </c>
      <c r="G625">
        <v>57158150</v>
      </c>
      <c r="H625">
        <v>65798461</v>
      </c>
      <c r="I625">
        <f t="shared" si="81"/>
        <v>0.62115115670640586</v>
      </c>
      <c r="J625">
        <f t="shared" si="82"/>
        <v>0.80323889109532698</v>
      </c>
      <c r="K625">
        <f t="shared" si="83"/>
        <v>0.57658329256015084</v>
      </c>
      <c r="L625">
        <f t="shared" si="84"/>
        <v>4.7175817375746485</v>
      </c>
      <c r="M625">
        <f t="shared" si="85"/>
        <v>6.2307868624501124</v>
      </c>
      <c r="N625">
        <f t="shared" si="86"/>
        <v>4.5078525708680335</v>
      </c>
      <c r="O625">
        <f t="shared" si="87"/>
        <v>83.906119027661362</v>
      </c>
      <c r="P625">
        <f t="shared" si="88"/>
        <v>91.61777032690695</v>
      </c>
      <c r="Q625">
        <f t="shared" si="89"/>
        <v>88.348700754400667</v>
      </c>
    </row>
    <row r="626" spans="1:17" x14ac:dyDescent="0.3">
      <c r="A626">
        <v>51055268</v>
      </c>
      <c r="B626" t="str">
        <f>VLOOKUP(A626,ASESORES!$A$2:$B$993,2,0)</f>
        <v>CICHETTO</v>
      </c>
      <c r="C626">
        <v>64986472.109999999</v>
      </c>
      <c r="D626">
        <v>93255584.36999999</v>
      </c>
      <c r="E626">
        <v>107451866.89</v>
      </c>
      <c r="F626">
        <v>76614255</v>
      </c>
      <c r="G626">
        <v>60679255</v>
      </c>
      <c r="H626">
        <v>65757053</v>
      </c>
      <c r="I626">
        <f t="shared" si="81"/>
        <v>0.17892620590817909</v>
      </c>
      <c r="J626">
        <f t="shared" si="82"/>
        <v>-0.34932309512694115</v>
      </c>
      <c r="K626">
        <f t="shared" si="83"/>
        <v>-0.38803247534715779</v>
      </c>
      <c r="L626">
        <f t="shared" si="84"/>
        <v>1.4107095998634676</v>
      </c>
      <c r="M626">
        <f t="shared" si="85"/>
        <v>-2.7187957061420702</v>
      </c>
      <c r="N626">
        <f t="shared" si="86"/>
        <v>-3.033615518860949</v>
      </c>
      <c r="O626">
        <f t="shared" si="87"/>
        <v>38.809723386420785</v>
      </c>
      <c r="P626">
        <f t="shared" si="88"/>
        <v>3.8558256496227994</v>
      </c>
      <c r="Q626">
        <f t="shared" si="89"/>
        <v>2.5984911986588433</v>
      </c>
    </row>
    <row r="627" spans="1:17" x14ac:dyDescent="0.3">
      <c r="A627">
        <v>51015533</v>
      </c>
      <c r="B627" t="str">
        <f>VLOOKUP(A627,ASESORES!$A$2:$B$993,2,0)</f>
        <v>ARGUELLO</v>
      </c>
      <c r="C627">
        <v>32690813</v>
      </c>
      <c r="D627">
        <v>43841622.310000002</v>
      </c>
      <c r="E627">
        <v>59810850.210000001</v>
      </c>
      <c r="F627">
        <v>42332233</v>
      </c>
      <c r="G627">
        <v>57168045</v>
      </c>
      <c r="H627">
        <v>65745152</v>
      </c>
      <c r="I627">
        <f t="shared" si="81"/>
        <v>0.29492750761505993</v>
      </c>
      <c r="J627">
        <f t="shared" si="82"/>
        <v>0.30396737136618968</v>
      </c>
      <c r="K627">
        <f t="shared" si="83"/>
        <v>9.9217813643582398E-2</v>
      </c>
      <c r="L627">
        <f t="shared" si="84"/>
        <v>2.2493151218837109</v>
      </c>
      <c r="M627">
        <f t="shared" si="85"/>
        <v>2.3579215102615092</v>
      </c>
      <c r="N627">
        <f t="shared" si="86"/>
        <v>0.7756713470292248</v>
      </c>
      <c r="O627">
        <f t="shared" si="87"/>
        <v>51.299245599329424</v>
      </c>
      <c r="P627">
        <f t="shared" si="88"/>
        <v>52.891869237217101</v>
      </c>
      <c r="Q627">
        <f t="shared" si="89"/>
        <v>40.821458507963122</v>
      </c>
    </row>
    <row r="628" spans="1:17" x14ac:dyDescent="0.3">
      <c r="A628">
        <v>51018371</v>
      </c>
      <c r="B628" t="str">
        <f>VLOOKUP(A628,ASESORES!$A$2:$B$993,2,0)</f>
        <v>NELLI</v>
      </c>
      <c r="C628">
        <v>32052195.399999999</v>
      </c>
      <c r="D628">
        <v>58003406.210000001</v>
      </c>
      <c r="E628">
        <v>87350709.5</v>
      </c>
      <c r="F628">
        <v>48980515</v>
      </c>
      <c r="G628">
        <v>54646682</v>
      </c>
      <c r="H628">
        <v>65585650</v>
      </c>
      <c r="I628">
        <f t="shared" si="81"/>
        <v>0.52814852114623023</v>
      </c>
      <c r="J628">
        <f t="shared" si="82"/>
        <v>-5.7871156701505777E-2</v>
      </c>
      <c r="K628">
        <f t="shared" si="83"/>
        <v>-0.24916866302041885</v>
      </c>
      <c r="L628">
        <f t="shared" si="84"/>
        <v>4.0614744583783953</v>
      </c>
      <c r="M628">
        <f t="shared" si="85"/>
        <v>-0.44778176703557937</v>
      </c>
      <c r="N628">
        <f t="shared" si="86"/>
        <v>-1.9477038045260926</v>
      </c>
      <c r="O628">
        <f t="shared" si="87"/>
        <v>77.954735959765301</v>
      </c>
      <c r="P628">
        <f t="shared" si="88"/>
        <v>8.8013411567476947</v>
      </c>
      <c r="Q628">
        <f t="shared" si="89"/>
        <v>4.3587594300083818</v>
      </c>
    </row>
    <row r="629" spans="1:17" x14ac:dyDescent="0.3">
      <c r="A629">
        <v>51004027</v>
      </c>
      <c r="B629" t="str">
        <f>VLOOKUP(A629,ASESORES!$A$2:$B$993,2,0)</f>
        <v>AYALA</v>
      </c>
      <c r="C629">
        <v>37458447</v>
      </c>
      <c r="D629">
        <v>44456766.049999997</v>
      </c>
      <c r="E629">
        <v>54629873.899999999</v>
      </c>
      <c r="F629">
        <v>45370090</v>
      </c>
      <c r="G629">
        <v>55405196</v>
      </c>
      <c r="H629">
        <v>65429160</v>
      </c>
      <c r="I629">
        <f t="shared" si="81"/>
        <v>0.21121118555715879</v>
      </c>
      <c r="J629">
        <f t="shared" si="82"/>
        <v>0.24627139854676861</v>
      </c>
      <c r="K629">
        <f t="shared" si="83"/>
        <v>0.19768096334558805</v>
      </c>
      <c r="L629">
        <f t="shared" si="84"/>
        <v>1.6171953933652268</v>
      </c>
      <c r="M629">
        <f t="shared" si="85"/>
        <v>1.9070150102601595</v>
      </c>
      <c r="N629">
        <f t="shared" si="86"/>
        <v>1.5450292087142572</v>
      </c>
      <c r="O629">
        <f t="shared" si="87"/>
        <v>41.575859178541492</v>
      </c>
      <c r="P629">
        <f t="shared" si="88"/>
        <v>47.02430846605197</v>
      </c>
      <c r="Q629">
        <f t="shared" si="89"/>
        <v>53.059513830678959</v>
      </c>
    </row>
    <row r="630" spans="1:17" x14ac:dyDescent="0.3">
      <c r="A630">
        <v>51011660</v>
      </c>
      <c r="B630" t="str">
        <f>VLOOKUP(A630,ASESORES!$A$2:$B$993,2,0)</f>
        <v>PUGH</v>
      </c>
      <c r="C630">
        <v>44036194.450000003</v>
      </c>
      <c r="D630">
        <v>49002441.740000002</v>
      </c>
      <c r="E630">
        <v>56341912.990000002</v>
      </c>
      <c r="F630">
        <v>51662770</v>
      </c>
      <c r="G630">
        <v>58349756</v>
      </c>
      <c r="H630">
        <v>65340772</v>
      </c>
      <c r="I630">
        <f t="shared" si="81"/>
        <v>0.17318879719861879</v>
      </c>
      <c r="J630">
        <f t="shared" si="82"/>
        <v>0.19075201006503972</v>
      </c>
      <c r="K630">
        <f t="shared" si="83"/>
        <v>0.15971873393076286</v>
      </c>
      <c r="L630">
        <f t="shared" si="84"/>
        <v>1.3358359663649446</v>
      </c>
      <c r="M630">
        <f t="shared" si="85"/>
        <v>1.4813875579447005</v>
      </c>
      <c r="N630">
        <f t="shared" si="86"/>
        <v>1.2482313356585928</v>
      </c>
      <c r="O630">
        <f t="shared" si="87"/>
        <v>37.80385582564962</v>
      </c>
      <c r="P630">
        <f t="shared" si="88"/>
        <v>41.911148365465209</v>
      </c>
      <c r="Q630">
        <f t="shared" si="89"/>
        <v>47.77870913663034</v>
      </c>
    </row>
    <row r="631" spans="1:17" x14ac:dyDescent="0.3">
      <c r="A631">
        <v>51022556</v>
      </c>
      <c r="B631" t="str">
        <f>VLOOKUP(A631,ASESORES!$A$2:$B$993,2,0)</f>
        <v>NELLI</v>
      </c>
      <c r="C631">
        <v>18759538.59</v>
      </c>
      <c r="D631">
        <v>27184349.899999999</v>
      </c>
      <c r="E631">
        <v>27757044.600000001</v>
      </c>
      <c r="F631">
        <v>21733765</v>
      </c>
      <c r="G631">
        <v>48974998</v>
      </c>
      <c r="H631">
        <v>65208485</v>
      </c>
      <c r="I631">
        <f t="shared" si="81"/>
        <v>0.15854475288563052</v>
      </c>
      <c r="J631">
        <f t="shared" si="82"/>
        <v>0.80158797911882385</v>
      </c>
      <c r="K631">
        <f t="shared" si="83"/>
        <v>1.3492589337122727</v>
      </c>
      <c r="L631">
        <f t="shared" si="84"/>
        <v>1.1632642502105439</v>
      </c>
      <c r="M631">
        <f t="shared" si="85"/>
        <v>6.1641910603593919</v>
      </c>
      <c r="N631">
        <f t="shared" si="86"/>
        <v>10.543519631547817</v>
      </c>
      <c r="O631">
        <f t="shared" si="87"/>
        <v>35.456831517183574</v>
      </c>
      <c r="P631">
        <f t="shared" si="88"/>
        <v>91.450125733445091</v>
      </c>
      <c r="Q631">
        <f t="shared" si="89"/>
        <v>98.575020955574175</v>
      </c>
    </row>
    <row r="632" spans="1:17" x14ac:dyDescent="0.3">
      <c r="A632">
        <v>51018427</v>
      </c>
      <c r="B632" t="str">
        <f>VLOOKUP(A632,ASESORES!$A$2:$B$993,2,0)</f>
        <v>ROBERTS</v>
      </c>
      <c r="C632">
        <v>42274707.420000002</v>
      </c>
      <c r="D632">
        <v>49415113.369999997</v>
      </c>
      <c r="E632">
        <v>55547035.229999997</v>
      </c>
      <c r="F632">
        <v>48064460</v>
      </c>
      <c r="G632">
        <v>77562220</v>
      </c>
      <c r="H632">
        <v>65191117</v>
      </c>
      <c r="I632">
        <f t="shared" si="81"/>
        <v>0.13695547369444094</v>
      </c>
      <c r="J632">
        <f t="shared" si="82"/>
        <v>0.56960522217658527</v>
      </c>
      <c r="K632">
        <f t="shared" si="83"/>
        <v>0.17362009925583566</v>
      </c>
      <c r="L632">
        <f t="shared" si="84"/>
        <v>1.0520678539901813</v>
      </c>
      <c r="M632">
        <f t="shared" si="85"/>
        <v>4.4939859727473115</v>
      </c>
      <c r="N632">
        <f t="shared" si="86"/>
        <v>1.3567001695023122</v>
      </c>
      <c r="O632">
        <f t="shared" si="87"/>
        <v>33.361274098910307</v>
      </c>
      <c r="P632">
        <f t="shared" si="88"/>
        <v>80.301760268231348</v>
      </c>
      <c r="Q632">
        <f t="shared" si="89"/>
        <v>49.622799664710811</v>
      </c>
    </row>
    <row r="633" spans="1:17" x14ac:dyDescent="0.3">
      <c r="A633">
        <v>51024516</v>
      </c>
      <c r="B633" t="str">
        <f>VLOOKUP(A633,ASESORES!$A$2:$B$993,2,0)</f>
        <v>NELLI</v>
      </c>
      <c r="C633">
        <v>21320975.550000001</v>
      </c>
      <c r="D633">
        <v>26669726.809999999</v>
      </c>
      <c r="E633">
        <v>39671924.880000003</v>
      </c>
      <c r="F633">
        <v>53717621</v>
      </c>
      <c r="G633">
        <v>41773934</v>
      </c>
      <c r="H633">
        <v>65089637</v>
      </c>
      <c r="I633">
        <f t="shared" si="81"/>
        <v>1.5194729422219142</v>
      </c>
      <c r="J633">
        <f t="shared" si="82"/>
        <v>0.56634277874704653</v>
      </c>
      <c r="K633">
        <f t="shared" si="83"/>
        <v>0.64069772759662458</v>
      </c>
      <c r="L633">
        <f t="shared" si="84"/>
        <v>11.745703273386333</v>
      </c>
      <c r="M633">
        <f t="shared" si="85"/>
        <v>4.3160447273524083</v>
      </c>
      <c r="N633">
        <f t="shared" si="86"/>
        <v>5.006099286537431</v>
      </c>
      <c r="O633">
        <f t="shared" si="87"/>
        <v>98.072087175188599</v>
      </c>
      <c r="P633">
        <f t="shared" si="88"/>
        <v>78.206202849958089</v>
      </c>
      <c r="Q633">
        <f t="shared" si="89"/>
        <v>91.031014249790445</v>
      </c>
    </row>
    <row r="634" spans="1:17" x14ac:dyDescent="0.3">
      <c r="A634">
        <v>51011856</v>
      </c>
      <c r="B634" t="str">
        <f>VLOOKUP(A634,ASESORES!$A$2:$B$993,2,0)</f>
        <v>ARGUELLO</v>
      </c>
      <c r="C634">
        <v>30572672.300000001</v>
      </c>
      <c r="D634">
        <v>42183666.560000002</v>
      </c>
      <c r="E634">
        <v>47516615.469999999</v>
      </c>
      <c r="F634">
        <v>42318839</v>
      </c>
      <c r="G634">
        <v>55719179</v>
      </c>
      <c r="H634">
        <v>64932281</v>
      </c>
      <c r="I634">
        <f t="shared" si="81"/>
        <v>0.38420477558319299</v>
      </c>
      <c r="J634">
        <f t="shared" si="82"/>
        <v>0.32087093284666812</v>
      </c>
      <c r="K634">
        <f t="shared" si="83"/>
        <v>0.36651738255632971</v>
      </c>
      <c r="L634">
        <f t="shared" si="84"/>
        <v>2.9301506857830732</v>
      </c>
      <c r="M634">
        <f t="shared" si="85"/>
        <v>2.4854677566966918</v>
      </c>
      <c r="N634">
        <f t="shared" si="86"/>
        <v>2.8634026322188713</v>
      </c>
      <c r="O634">
        <f t="shared" si="87"/>
        <v>62.531433361274104</v>
      </c>
      <c r="P634">
        <f t="shared" si="88"/>
        <v>55.322715842414084</v>
      </c>
      <c r="Q634">
        <f t="shared" si="89"/>
        <v>71.416596814752722</v>
      </c>
    </row>
    <row r="635" spans="1:17" x14ac:dyDescent="0.3">
      <c r="A635">
        <v>51032322</v>
      </c>
      <c r="B635" t="str">
        <f>VLOOKUP(A635,ASESORES!$A$2:$B$993,2,0)</f>
        <v>LÓPEZ</v>
      </c>
      <c r="C635">
        <v>27957782.52</v>
      </c>
      <c r="D635">
        <v>36841241.109999999</v>
      </c>
      <c r="E635">
        <v>43412392.530000001</v>
      </c>
      <c r="F635">
        <v>36401920</v>
      </c>
      <c r="G635">
        <v>49485632</v>
      </c>
      <c r="H635">
        <v>64858504</v>
      </c>
      <c r="I635">
        <f t="shared" si="81"/>
        <v>0.30203173209317891</v>
      </c>
      <c r="J635">
        <f t="shared" si="82"/>
        <v>0.34321294584638395</v>
      </c>
      <c r="K635">
        <f t="shared" si="83"/>
        <v>0.4940089734787072</v>
      </c>
      <c r="L635">
        <f t="shared" si="84"/>
        <v>2.2836994661480223</v>
      </c>
      <c r="M635">
        <f t="shared" si="85"/>
        <v>2.640844845932985</v>
      </c>
      <c r="N635">
        <f t="shared" si="86"/>
        <v>3.8591817625516085</v>
      </c>
      <c r="O635">
        <f t="shared" si="87"/>
        <v>52.388935456831518</v>
      </c>
      <c r="P635">
        <f t="shared" si="88"/>
        <v>57.75356244761106</v>
      </c>
      <c r="Q635">
        <f t="shared" si="89"/>
        <v>82.229673093042749</v>
      </c>
    </row>
    <row r="636" spans="1:17" x14ac:dyDescent="0.3">
      <c r="A636">
        <v>51013859</v>
      </c>
      <c r="B636" t="str">
        <f>VLOOKUP(A636,ASESORES!$A$2:$B$993,2,0)</f>
        <v>LÓPEZ</v>
      </c>
      <c r="C636">
        <v>26753235.899999999</v>
      </c>
      <c r="D636">
        <v>60016943.729999997</v>
      </c>
      <c r="E636">
        <v>50370616.079999998</v>
      </c>
      <c r="F636">
        <v>40829740</v>
      </c>
      <c r="G636">
        <v>60756934</v>
      </c>
      <c r="H636">
        <v>64674062</v>
      </c>
      <c r="I636">
        <f t="shared" si="81"/>
        <v>0.52616080359834161</v>
      </c>
      <c r="J636">
        <f t="shared" si="82"/>
        <v>1.2329689317887027E-2</v>
      </c>
      <c r="K636">
        <f t="shared" si="83"/>
        <v>0.28396408527707662</v>
      </c>
      <c r="L636">
        <f t="shared" si="84"/>
        <v>4.004597571592889</v>
      </c>
      <c r="M636">
        <f t="shared" si="85"/>
        <v>9.5969318603757708E-2</v>
      </c>
      <c r="N636">
        <f t="shared" si="86"/>
        <v>2.2179668391666976</v>
      </c>
      <c r="O636">
        <f t="shared" si="87"/>
        <v>77.200335289186924</v>
      </c>
      <c r="P636">
        <f t="shared" si="88"/>
        <v>26.823134953897735</v>
      </c>
      <c r="Q636">
        <f t="shared" si="89"/>
        <v>61.860854987426649</v>
      </c>
    </row>
    <row r="637" spans="1:17" x14ac:dyDescent="0.3">
      <c r="A637">
        <v>51008430</v>
      </c>
      <c r="B637" t="str">
        <f>VLOOKUP(A637,ASESORES!$A$2:$B$993,2,0)</f>
        <v>METTLER</v>
      </c>
      <c r="C637">
        <v>30362412.600000001</v>
      </c>
      <c r="D637">
        <v>37271660.090000004</v>
      </c>
      <c r="E637">
        <v>50340623.200000003</v>
      </c>
      <c r="F637">
        <v>37023790</v>
      </c>
      <c r="G637">
        <v>50536960</v>
      </c>
      <c r="H637">
        <v>64673045</v>
      </c>
      <c r="I637">
        <f t="shared" si="81"/>
        <v>0.21939552326615841</v>
      </c>
      <c r="J637">
        <f t="shared" si="82"/>
        <v>0.35590848054441993</v>
      </c>
      <c r="K637">
        <f t="shared" si="83"/>
        <v>0.2847088670924518</v>
      </c>
      <c r="L637">
        <f t="shared" si="84"/>
        <v>1.6604908216697047</v>
      </c>
      <c r="M637">
        <f t="shared" si="85"/>
        <v>2.7417798144084822</v>
      </c>
      <c r="N637">
        <f t="shared" si="86"/>
        <v>2.2237821845659802</v>
      </c>
      <c r="O637">
        <f t="shared" si="87"/>
        <v>42.497904442581728</v>
      </c>
      <c r="P637">
        <f t="shared" si="88"/>
        <v>59.010896898575012</v>
      </c>
      <c r="Q637">
        <f t="shared" si="89"/>
        <v>62.112321877619451</v>
      </c>
    </row>
    <row r="638" spans="1:17" x14ac:dyDescent="0.3">
      <c r="A638">
        <v>51042158</v>
      </c>
      <c r="B638" t="str">
        <f>VLOOKUP(A638,ASESORES!$A$2:$B$993,2,0)</f>
        <v>CICHETTO</v>
      </c>
      <c r="C638">
        <v>31722576.09</v>
      </c>
      <c r="D638">
        <v>45478674.549999997</v>
      </c>
      <c r="E638">
        <v>51513200.710000001</v>
      </c>
      <c r="F638">
        <v>46601955</v>
      </c>
      <c r="G638">
        <v>70750091</v>
      </c>
      <c r="H638">
        <v>64654115</v>
      </c>
      <c r="I638">
        <f t="shared" si="81"/>
        <v>0.46904699251995718</v>
      </c>
      <c r="J638">
        <f t="shared" si="82"/>
        <v>0.55567618669748597</v>
      </c>
      <c r="K638">
        <f t="shared" si="83"/>
        <v>0.25509799641413111</v>
      </c>
      <c r="L638">
        <f t="shared" si="84"/>
        <v>3.5968418974994947</v>
      </c>
      <c r="M638">
        <f t="shared" si="85"/>
        <v>4.3619063675287544</v>
      </c>
      <c r="N638">
        <f t="shared" si="86"/>
        <v>1.9924674341151494</v>
      </c>
      <c r="O638">
        <f t="shared" si="87"/>
        <v>72.422464375523887</v>
      </c>
      <c r="P638">
        <f t="shared" si="88"/>
        <v>79.212070410729254</v>
      </c>
      <c r="Q638">
        <f t="shared" si="89"/>
        <v>58.340318524727572</v>
      </c>
    </row>
    <row r="639" spans="1:17" x14ac:dyDescent="0.3">
      <c r="A639">
        <v>51011627</v>
      </c>
      <c r="B639" t="str">
        <f>VLOOKUP(A639,ASESORES!$A$2:$B$993,2,0)</f>
        <v>BELUZZO</v>
      </c>
      <c r="C639">
        <v>41451956.369999997</v>
      </c>
      <c r="D639">
        <v>59796512.600000001</v>
      </c>
      <c r="E639">
        <v>65229185.969999999</v>
      </c>
      <c r="F639">
        <v>49082109</v>
      </c>
      <c r="G639">
        <v>55139325</v>
      </c>
      <c r="H639">
        <v>64449656</v>
      </c>
      <c r="I639">
        <f t="shared" si="81"/>
        <v>0.18407219581853496</v>
      </c>
      <c r="J639">
        <f t="shared" si="82"/>
        <v>-7.788393331821164E-2</v>
      </c>
      <c r="K639">
        <f t="shared" si="83"/>
        <v>-1.1950631583207527E-2</v>
      </c>
      <c r="L639">
        <f t="shared" si="84"/>
        <v>1.4156851241625654</v>
      </c>
      <c r="M639">
        <f t="shared" si="85"/>
        <v>-0.60293546699064793</v>
      </c>
      <c r="N639">
        <f t="shared" si="86"/>
        <v>-9.3325118386203554E-2</v>
      </c>
      <c r="O639">
        <f t="shared" si="87"/>
        <v>38.977367979882651</v>
      </c>
      <c r="P639">
        <f t="shared" si="88"/>
        <v>8.130762782900252</v>
      </c>
      <c r="Q639">
        <f t="shared" si="89"/>
        <v>14.082145850796312</v>
      </c>
    </row>
    <row r="640" spans="1:17" x14ac:dyDescent="0.3">
      <c r="A640">
        <v>51010426</v>
      </c>
      <c r="B640" t="str">
        <f>VLOOKUP(A640,ASESORES!$A$2:$B$993,2,0)</f>
        <v>METTLER</v>
      </c>
      <c r="C640">
        <v>31149248.210000001</v>
      </c>
      <c r="D640">
        <v>42443218.329999998</v>
      </c>
      <c r="E640">
        <v>50428798.950000003</v>
      </c>
      <c r="F640">
        <v>49308413</v>
      </c>
      <c r="G640">
        <v>61625774</v>
      </c>
      <c r="H640">
        <v>64193098</v>
      </c>
      <c r="I640">
        <f t="shared" si="81"/>
        <v>0.58297281101539622</v>
      </c>
      <c r="J640">
        <f t="shared" si="82"/>
        <v>0.45195808481943645</v>
      </c>
      <c r="K640">
        <f t="shared" si="83"/>
        <v>0.27294520862270111</v>
      </c>
      <c r="L640">
        <f t="shared" si="84"/>
        <v>4.4847637948119852</v>
      </c>
      <c r="M640">
        <f t="shared" si="85"/>
        <v>3.5206460895905067</v>
      </c>
      <c r="N640">
        <f t="shared" si="86"/>
        <v>2.1310165325577413</v>
      </c>
      <c r="O640">
        <f t="shared" si="87"/>
        <v>81.475272422464371</v>
      </c>
      <c r="P640">
        <f t="shared" si="88"/>
        <v>70.410729253981557</v>
      </c>
      <c r="Q640">
        <f t="shared" si="89"/>
        <v>60.18440905280805</v>
      </c>
    </row>
    <row r="641" spans="1:17" x14ac:dyDescent="0.3">
      <c r="A641">
        <v>51033205</v>
      </c>
      <c r="B641" t="str">
        <f>VLOOKUP(A641,ASESORES!$A$2:$B$993,2,0)</f>
        <v>ROBERTS</v>
      </c>
      <c r="C641">
        <v>23447498.870000001</v>
      </c>
      <c r="D641">
        <v>27599465.57</v>
      </c>
      <c r="E641">
        <v>39040174.689999998</v>
      </c>
      <c r="F641">
        <v>30500410</v>
      </c>
      <c r="G641">
        <v>47792037</v>
      </c>
      <c r="H641">
        <v>64150701</v>
      </c>
      <c r="I641">
        <f t="shared" si="81"/>
        <v>0.30079588313889949</v>
      </c>
      <c r="J641">
        <f t="shared" si="82"/>
        <v>0.73162907371470531</v>
      </c>
      <c r="K641">
        <f t="shared" si="83"/>
        <v>0.64319707863479358</v>
      </c>
      <c r="L641">
        <f t="shared" si="84"/>
        <v>2.2512483359043389</v>
      </c>
      <c r="M641">
        <f t="shared" si="85"/>
        <v>5.6184397815429721</v>
      </c>
      <c r="N641">
        <f t="shared" si="86"/>
        <v>5.0215691369381634</v>
      </c>
      <c r="O641">
        <f t="shared" si="87"/>
        <v>51.466890192791283</v>
      </c>
      <c r="P641">
        <f t="shared" si="88"/>
        <v>89.270746018440903</v>
      </c>
      <c r="Q641">
        <f t="shared" si="89"/>
        <v>91.282481139983247</v>
      </c>
    </row>
    <row r="642" spans="1:17" x14ac:dyDescent="0.3">
      <c r="A642">
        <v>51035976</v>
      </c>
      <c r="B642" t="str">
        <f>VLOOKUP(A642,ASESORES!$A$2:$B$993,2,0)</f>
        <v>PRADES</v>
      </c>
      <c r="C642">
        <v>38031674.329999998</v>
      </c>
      <c r="D642">
        <v>35730801.460000001</v>
      </c>
      <c r="E642">
        <v>37938714.439999998</v>
      </c>
      <c r="F642">
        <v>28729220</v>
      </c>
      <c r="G642">
        <v>42719890</v>
      </c>
      <c r="H642">
        <v>64070030</v>
      </c>
      <c r="I642">
        <f t="shared" ref="I642:I705" si="90">IFERROR(F642/C642-1,0)</f>
        <v>-0.24459754911873743</v>
      </c>
      <c r="J642">
        <f t="shared" ref="J642:J705" si="91">IFERROR(G642/D642-1,0)</f>
        <v>0.19560402382309161</v>
      </c>
      <c r="K642">
        <f t="shared" ref="K642:K705" si="92">IFERROR(H642/E642-1,0)</f>
        <v>0.68877704333726508</v>
      </c>
      <c r="L642">
        <f t="shared" ref="L642:L705" si="93">IFERROR(I642*LOG(F642),0)</f>
        <v>-1.8242877305825613</v>
      </c>
      <c r="M642">
        <f t="shared" ref="M642:M705" si="94">IFERROR(J642*LOG(G642),0)</f>
        <v>1.4925819569026839</v>
      </c>
      <c r="N642">
        <f t="shared" ref="N642:N705" si="95">IFERROR(K642*LOG(H642),0)</f>
        <v>5.377044699210936</v>
      </c>
      <c r="O642">
        <f t="shared" ref="O642:O705" si="96">RANK(L642,$L$2:$L$1194,1)/COUNT($L$2:$L$1194)*100</f>
        <v>5.4484492875104777</v>
      </c>
      <c r="P642">
        <f t="shared" ref="P642:P705" si="97">RANK(M642,$M$2:$M$1194,1)/COUNT($M$2:$M$1194)*100</f>
        <v>42.162615255658004</v>
      </c>
      <c r="Q642">
        <f t="shared" ref="Q642:Q705" si="98">RANK(N642,$N$2:$N$1194,1)/COUNT($N$2:$N$1194)*100</f>
        <v>92.958927074601846</v>
      </c>
    </row>
    <row r="643" spans="1:17" x14ac:dyDescent="0.3">
      <c r="A643">
        <v>51010914</v>
      </c>
      <c r="B643" t="str">
        <f>VLOOKUP(A643,ASESORES!$A$2:$B$993,2,0)</f>
        <v>LÓPEZ</v>
      </c>
      <c r="C643">
        <v>29952944.859999999</v>
      </c>
      <c r="D643">
        <v>31291503.940000001</v>
      </c>
      <c r="E643">
        <v>58121614.739999987</v>
      </c>
      <c r="F643">
        <v>38483694</v>
      </c>
      <c r="G643">
        <v>58679462</v>
      </c>
      <c r="H643">
        <v>64016340</v>
      </c>
      <c r="I643">
        <f t="shared" si="90"/>
        <v>0.2848050226738208</v>
      </c>
      <c r="J643">
        <f t="shared" si="91"/>
        <v>0.87525221262982855</v>
      </c>
      <c r="K643">
        <f t="shared" si="92"/>
        <v>0.10142053496568115</v>
      </c>
      <c r="L643">
        <f t="shared" si="93"/>
        <v>2.1603249175490786</v>
      </c>
      <c r="M643">
        <f t="shared" si="94"/>
        <v>6.799384668272582</v>
      </c>
      <c r="N643">
        <f t="shared" si="95"/>
        <v>0.79171819315556569</v>
      </c>
      <c r="O643">
        <f t="shared" si="96"/>
        <v>49.287510477787087</v>
      </c>
      <c r="P643">
        <f t="shared" si="97"/>
        <v>93.210393964794633</v>
      </c>
      <c r="Q643">
        <f t="shared" si="98"/>
        <v>41.156747694886839</v>
      </c>
    </row>
    <row r="644" spans="1:17" x14ac:dyDescent="0.3">
      <c r="A644">
        <v>51023129</v>
      </c>
      <c r="B644" t="str">
        <f>VLOOKUP(A644,ASESORES!$A$2:$B$993,2,0)</f>
        <v>PUGH</v>
      </c>
      <c r="C644">
        <v>32157968.489999998</v>
      </c>
      <c r="D644">
        <v>41231224.640000001</v>
      </c>
      <c r="E644">
        <v>42020504.729999997</v>
      </c>
      <c r="F644">
        <v>44567329</v>
      </c>
      <c r="G644">
        <v>57305834</v>
      </c>
      <c r="H644">
        <v>64002655</v>
      </c>
      <c r="I644">
        <f t="shared" si="90"/>
        <v>0.38588757600962498</v>
      </c>
      <c r="J644">
        <f t="shared" si="91"/>
        <v>0.38986495066181948</v>
      </c>
      <c r="K644">
        <f t="shared" si="92"/>
        <v>0.52312913448433984</v>
      </c>
      <c r="L644">
        <f t="shared" si="93"/>
        <v>2.9516604772625525</v>
      </c>
      <c r="M644">
        <f t="shared" si="94"/>
        <v>3.0246498069726027</v>
      </c>
      <c r="N644">
        <f t="shared" si="95"/>
        <v>4.083649598145815</v>
      </c>
      <c r="O644">
        <f t="shared" si="96"/>
        <v>63.202011735121545</v>
      </c>
      <c r="P644">
        <f t="shared" si="97"/>
        <v>63.537300922045262</v>
      </c>
      <c r="Q644">
        <f t="shared" si="98"/>
        <v>84.828164291701597</v>
      </c>
    </row>
    <row r="645" spans="1:17" x14ac:dyDescent="0.3">
      <c r="A645">
        <v>51054857</v>
      </c>
      <c r="B645" t="str">
        <f>VLOOKUP(A645,ASESORES!$A$2:$B$993,2,0)</f>
        <v>LÓPEZ</v>
      </c>
      <c r="C645">
        <v>23352277.75</v>
      </c>
      <c r="D645">
        <v>31718469.600000001</v>
      </c>
      <c r="E645">
        <v>57155776.760000013</v>
      </c>
      <c r="F645">
        <v>61654065</v>
      </c>
      <c r="G645">
        <v>68796330</v>
      </c>
      <c r="H645">
        <v>63843481</v>
      </c>
      <c r="I645">
        <f t="shared" si="90"/>
        <v>1.6401735051305648</v>
      </c>
      <c r="J645">
        <f t="shared" si="91"/>
        <v>1.1689675090755323</v>
      </c>
      <c r="K645">
        <f t="shared" si="92"/>
        <v>0.11700836939163639</v>
      </c>
      <c r="L645">
        <f t="shared" si="93"/>
        <v>12.776888812482456</v>
      </c>
      <c r="M645">
        <f t="shared" si="94"/>
        <v>9.1618591521009662</v>
      </c>
      <c r="N645">
        <f t="shared" si="95"/>
        <v>0.91326396141557442</v>
      </c>
      <c r="O645">
        <f t="shared" si="96"/>
        <v>98.323554065381387</v>
      </c>
      <c r="P645">
        <f t="shared" si="97"/>
        <v>96.898575020955576</v>
      </c>
      <c r="Q645">
        <f t="shared" si="98"/>
        <v>42.581726739312657</v>
      </c>
    </row>
    <row r="646" spans="1:17" x14ac:dyDescent="0.3">
      <c r="A646">
        <v>51055926</v>
      </c>
      <c r="B646" t="str">
        <f>VLOOKUP(A646,ASESORES!$A$2:$B$993,2,0)</f>
        <v>PUGH</v>
      </c>
      <c r="C646">
        <v>29682930.699999999</v>
      </c>
      <c r="D646">
        <v>38783287.890000001</v>
      </c>
      <c r="E646">
        <v>46201970.950000003</v>
      </c>
      <c r="F646">
        <v>36642553</v>
      </c>
      <c r="G646">
        <v>43598546</v>
      </c>
      <c r="H646">
        <v>63831195</v>
      </c>
      <c r="I646">
        <f t="shared" si="90"/>
        <v>0.23446547008244045</v>
      </c>
      <c r="J646">
        <f t="shared" si="91"/>
        <v>0.12415806838392318</v>
      </c>
      <c r="K646">
        <f t="shared" si="92"/>
        <v>0.38156865794921235</v>
      </c>
      <c r="L646">
        <f t="shared" si="93"/>
        <v>1.7734934686362536</v>
      </c>
      <c r="M646">
        <f t="shared" si="94"/>
        <v>0.94850208772606659</v>
      </c>
      <c r="N646">
        <f t="shared" si="95"/>
        <v>2.9781559575365515</v>
      </c>
      <c r="O646">
        <f t="shared" si="96"/>
        <v>44.25817267393127</v>
      </c>
      <c r="P646">
        <f t="shared" si="97"/>
        <v>34.367141659681479</v>
      </c>
      <c r="Q646">
        <f t="shared" si="98"/>
        <v>73.67979882648784</v>
      </c>
    </row>
    <row r="647" spans="1:17" x14ac:dyDescent="0.3">
      <c r="A647">
        <v>51021282</v>
      </c>
      <c r="B647" t="str">
        <f>VLOOKUP(A647,ASESORES!$A$2:$B$993,2,0)</f>
        <v>PRADES</v>
      </c>
      <c r="C647">
        <v>62403813.400000013</v>
      </c>
      <c r="D647">
        <v>64909289.460000001</v>
      </c>
      <c r="E647">
        <v>84434891.459999993</v>
      </c>
      <c r="F647">
        <v>43277020</v>
      </c>
      <c r="G647">
        <v>58071140</v>
      </c>
      <c r="H647">
        <v>63696049</v>
      </c>
      <c r="I647">
        <f t="shared" si="90"/>
        <v>-0.30650039409290342</v>
      </c>
      <c r="J647">
        <f t="shared" si="91"/>
        <v>-0.1053493192867867</v>
      </c>
      <c r="K647">
        <f t="shared" si="92"/>
        <v>-0.24561934173652333</v>
      </c>
      <c r="L647">
        <f t="shared" si="93"/>
        <v>-2.3405158866083156</v>
      </c>
      <c r="M647">
        <f t="shared" si="94"/>
        <v>-0.81792793803096697</v>
      </c>
      <c r="N647">
        <f t="shared" si="95"/>
        <v>-1.9168409736959842</v>
      </c>
      <c r="O647">
        <f t="shared" si="96"/>
        <v>4.4425817267393128</v>
      </c>
      <c r="P647">
        <f t="shared" si="97"/>
        <v>7.1248952221290862</v>
      </c>
      <c r="Q647">
        <f t="shared" si="98"/>
        <v>4.610226320201174</v>
      </c>
    </row>
    <row r="648" spans="1:17" x14ac:dyDescent="0.3">
      <c r="A648">
        <v>51031369</v>
      </c>
      <c r="B648" t="str">
        <f>VLOOKUP(A648,ASESORES!$A$2:$B$993,2,0)</f>
        <v>BELUZZO</v>
      </c>
      <c r="C648">
        <v>29309963.699999999</v>
      </c>
      <c r="D648">
        <v>37116451.710000001</v>
      </c>
      <c r="E648">
        <v>43371035.630000003</v>
      </c>
      <c r="F648">
        <v>36132680</v>
      </c>
      <c r="G648">
        <v>43899168</v>
      </c>
      <c r="H648">
        <v>63647207</v>
      </c>
      <c r="I648">
        <f t="shared" si="90"/>
        <v>0.23277805355999126</v>
      </c>
      <c r="J648">
        <f t="shared" si="91"/>
        <v>0.18274150619232232</v>
      </c>
      <c r="K648">
        <f t="shared" si="92"/>
        <v>0.46750489296536069</v>
      </c>
      <c r="L648">
        <f t="shared" si="93"/>
        <v>1.7593132917033856</v>
      </c>
      <c r="M648">
        <f t="shared" si="94"/>
        <v>1.3965939733236865</v>
      </c>
      <c r="N648">
        <f t="shared" si="95"/>
        <v>3.6483050299669548</v>
      </c>
      <c r="O648">
        <f t="shared" si="96"/>
        <v>44.006705783738475</v>
      </c>
      <c r="P648">
        <f t="shared" si="97"/>
        <v>39.983235540653816</v>
      </c>
      <c r="Q648">
        <f t="shared" si="98"/>
        <v>80.55322715842415</v>
      </c>
    </row>
    <row r="649" spans="1:17" x14ac:dyDescent="0.3">
      <c r="A649">
        <v>51024621</v>
      </c>
      <c r="B649" t="str">
        <f>VLOOKUP(A649,ASESORES!$A$2:$B$993,2,0)</f>
        <v>ARGUELLO</v>
      </c>
      <c r="C649">
        <v>32546310.140000001</v>
      </c>
      <c r="D649">
        <v>42989473.280000001</v>
      </c>
      <c r="E649">
        <v>61861525.799999997</v>
      </c>
      <c r="F649">
        <v>47856332</v>
      </c>
      <c r="G649">
        <v>61301150</v>
      </c>
      <c r="H649">
        <v>63549950</v>
      </c>
      <c r="I649">
        <f t="shared" si="90"/>
        <v>0.4704072994493993</v>
      </c>
      <c r="J649">
        <f t="shared" si="91"/>
        <v>0.42595722447520989</v>
      </c>
      <c r="K649">
        <f t="shared" si="92"/>
        <v>2.7293607426669864E-2</v>
      </c>
      <c r="L649">
        <f t="shared" si="93"/>
        <v>3.6126995571278089</v>
      </c>
      <c r="M649">
        <f t="shared" si="94"/>
        <v>3.3171285198686866</v>
      </c>
      <c r="N649">
        <f t="shared" si="95"/>
        <v>0.21297516333401376</v>
      </c>
      <c r="O649">
        <f t="shared" si="96"/>
        <v>73.009220452640406</v>
      </c>
      <c r="P649">
        <f t="shared" si="97"/>
        <v>67.141659681475275</v>
      </c>
      <c r="Q649">
        <f t="shared" si="98"/>
        <v>34.367141659681479</v>
      </c>
    </row>
    <row r="650" spans="1:17" x14ac:dyDescent="0.3">
      <c r="A650">
        <v>51032284</v>
      </c>
      <c r="B650" t="str">
        <f>VLOOKUP(A650,ASESORES!$A$2:$B$993,2,0)</f>
        <v>NELLI</v>
      </c>
      <c r="C650">
        <v>39006017.899999999</v>
      </c>
      <c r="D650">
        <v>48047518.649999999</v>
      </c>
      <c r="E650">
        <v>56372121.520000003</v>
      </c>
      <c r="F650">
        <v>50987819</v>
      </c>
      <c r="G650">
        <v>60194810</v>
      </c>
      <c r="H650">
        <v>63514108</v>
      </c>
      <c r="I650">
        <f t="shared" si="90"/>
        <v>0.30717827004842757</v>
      </c>
      <c r="J650">
        <f t="shared" si="91"/>
        <v>0.25281828679825069</v>
      </c>
      <c r="K650">
        <f t="shared" si="92"/>
        <v>0.126693590509382</v>
      </c>
      <c r="L650">
        <f t="shared" si="93"/>
        <v>2.3675662060984726</v>
      </c>
      <c r="M650">
        <f t="shared" si="94"/>
        <v>1.9668147905552824</v>
      </c>
      <c r="N650">
        <f t="shared" si="95"/>
        <v>0.98857364231980727</v>
      </c>
      <c r="O650">
        <f t="shared" si="96"/>
        <v>53.646269907795471</v>
      </c>
      <c r="P650">
        <f t="shared" si="97"/>
        <v>47.611064543168489</v>
      </c>
      <c r="Q650">
        <f t="shared" si="98"/>
        <v>43.503772003352893</v>
      </c>
    </row>
    <row r="651" spans="1:17" x14ac:dyDescent="0.3">
      <c r="A651">
        <v>51018966</v>
      </c>
      <c r="B651" t="str">
        <f>VLOOKUP(A651,ASESORES!$A$2:$B$993,2,0)</f>
        <v>CICHETTO</v>
      </c>
      <c r="C651">
        <v>27098727.18</v>
      </c>
      <c r="D651">
        <v>40990942.049999997</v>
      </c>
      <c r="E651">
        <v>43187163.460000001</v>
      </c>
      <c r="F651">
        <v>43506892</v>
      </c>
      <c r="G651">
        <v>58041612</v>
      </c>
      <c r="H651">
        <v>63187649</v>
      </c>
      <c r="I651">
        <f t="shared" si="90"/>
        <v>0.60549577517094288</v>
      </c>
      <c r="J651">
        <f t="shared" si="91"/>
        <v>0.41596189541586792</v>
      </c>
      <c r="K651">
        <f t="shared" si="92"/>
        <v>0.46311181234499155</v>
      </c>
      <c r="L651">
        <f t="shared" si="93"/>
        <v>4.6251146335610311</v>
      </c>
      <c r="M651">
        <f t="shared" si="94"/>
        <v>3.2294197836554814</v>
      </c>
      <c r="N651">
        <f t="shared" si="95"/>
        <v>3.6125649142018164</v>
      </c>
      <c r="O651">
        <f t="shared" si="96"/>
        <v>83.067896060352055</v>
      </c>
      <c r="P651">
        <f t="shared" si="97"/>
        <v>66.13579212070411</v>
      </c>
      <c r="Q651">
        <f t="shared" si="98"/>
        <v>80.217937971500419</v>
      </c>
    </row>
    <row r="652" spans="1:17" x14ac:dyDescent="0.3">
      <c r="A652">
        <v>51012623</v>
      </c>
      <c r="B652" t="str">
        <f>VLOOKUP(A652,ASESORES!$A$2:$B$993,2,0)</f>
        <v>METTLER</v>
      </c>
      <c r="C652">
        <v>26965442.510000002</v>
      </c>
      <c r="D652">
        <v>43666087.890000001</v>
      </c>
      <c r="E652">
        <v>70791171.629999995</v>
      </c>
      <c r="F652">
        <v>37678378</v>
      </c>
      <c r="G652">
        <v>53649301</v>
      </c>
      <c r="H652">
        <v>63099103</v>
      </c>
      <c r="I652">
        <f t="shared" si="90"/>
        <v>0.39728387494576278</v>
      </c>
      <c r="J652">
        <f t="shared" si="91"/>
        <v>0.22862623130216941</v>
      </c>
      <c r="K652">
        <f t="shared" si="92"/>
        <v>-0.10865858627405789</v>
      </c>
      <c r="L652">
        <f t="shared" si="93"/>
        <v>3.0098592656737937</v>
      </c>
      <c r="M652">
        <f t="shared" si="94"/>
        <v>1.7671811024502788</v>
      </c>
      <c r="N652">
        <f t="shared" si="95"/>
        <v>-0.84753949223843761</v>
      </c>
      <c r="O652">
        <f t="shared" si="96"/>
        <v>64.291701592623639</v>
      </c>
      <c r="P652">
        <f t="shared" si="97"/>
        <v>44.928751047778711</v>
      </c>
      <c r="Q652">
        <f t="shared" si="98"/>
        <v>8.7175188600167637</v>
      </c>
    </row>
    <row r="653" spans="1:17" x14ac:dyDescent="0.3">
      <c r="A653">
        <v>51019121</v>
      </c>
      <c r="B653" t="str">
        <f>VLOOKUP(A653,ASESORES!$A$2:$B$993,2,0)</f>
        <v>BELUZZO</v>
      </c>
      <c r="C653">
        <v>23059304.120000001</v>
      </c>
      <c r="D653">
        <v>28518432.34</v>
      </c>
      <c r="E653">
        <v>38398310.600000001</v>
      </c>
      <c r="F653">
        <v>45176983</v>
      </c>
      <c r="G653">
        <v>49771512</v>
      </c>
      <c r="H653">
        <v>63054285</v>
      </c>
      <c r="I653">
        <f t="shared" si="90"/>
        <v>0.95916506260987711</v>
      </c>
      <c r="J653">
        <f t="shared" si="91"/>
        <v>0.74524011020726388</v>
      </c>
      <c r="K653">
        <f t="shared" si="92"/>
        <v>0.64211091620265193</v>
      </c>
      <c r="L653">
        <f t="shared" si="93"/>
        <v>7.3423291589952253</v>
      </c>
      <c r="M653">
        <f t="shared" si="94"/>
        <v>5.7360988452169508</v>
      </c>
      <c r="N653">
        <f t="shared" si="95"/>
        <v>5.0082818913922909</v>
      </c>
      <c r="O653">
        <f t="shared" si="96"/>
        <v>94.216261525565798</v>
      </c>
      <c r="P653">
        <f t="shared" si="97"/>
        <v>89.857502095557422</v>
      </c>
      <c r="Q653">
        <f t="shared" si="98"/>
        <v>91.114836546521374</v>
      </c>
    </row>
    <row r="654" spans="1:17" x14ac:dyDescent="0.3">
      <c r="A654">
        <v>51036085</v>
      </c>
      <c r="B654" t="str">
        <f>VLOOKUP(A654,ASESORES!$A$2:$B$993,2,0)</f>
        <v>AYALA</v>
      </c>
      <c r="C654">
        <v>39259281.549999997</v>
      </c>
      <c r="D654">
        <v>45171186.590000004</v>
      </c>
      <c r="E654">
        <v>43782790.849999987</v>
      </c>
      <c r="F654">
        <v>33749654</v>
      </c>
      <c r="G654">
        <v>55098642</v>
      </c>
      <c r="H654">
        <v>62869606</v>
      </c>
      <c r="I654">
        <f t="shared" si="90"/>
        <v>-0.14033948998743195</v>
      </c>
      <c r="J654">
        <f t="shared" si="91"/>
        <v>0.21977406748481876</v>
      </c>
      <c r="K654">
        <f t="shared" si="92"/>
        <v>0.43594331881198523</v>
      </c>
      <c r="L654">
        <f t="shared" si="93"/>
        <v>-1.0565134775334826</v>
      </c>
      <c r="M654">
        <f t="shared" si="94"/>
        <v>1.7013020214794217</v>
      </c>
      <c r="N654">
        <f t="shared" si="95"/>
        <v>3.3996781371707239</v>
      </c>
      <c r="O654">
        <f t="shared" si="96"/>
        <v>6.873428331936295</v>
      </c>
      <c r="P654">
        <f t="shared" si="97"/>
        <v>44.006705783738475</v>
      </c>
      <c r="Q654">
        <f t="shared" si="98"/>
        <v>78.12238055322716</v>
      </c>
    </row>
    <row r="655" spans="1:17" x14ac:dyDescent="0.3">
      <c r="A655">
        <v>51002164</v>
      </c>
      <c r="B655" t="str">
        <f>VLOOKUP(A655,ASESORES!$A$2:$B$993,2,0)</f>
        <v>PRADES</v>
      </c>
      <c r="C655">
        <v>38476841.770000003</v>
      </c>
      <c r="D655">
        <v>59704463.869999997</v>
      </c>
      <c r="E655">
        <v>70649029.390000001</v>
      </c>
      <c r="F655">
        <v>63524326</v>
      </c>
      <c r="G655">
        <v>76100643</v>
      </c>
      <c r="H655">
        <v>62684787</v>
      </c>
      <c r="I655">
        <f t="shared" si="90"/>
        <v>0.65097557589898813</v>
      </c>
      <c r="J655">
        <f t="shared" si="91"/>
        <v>0.27462233252275592</v>
      </c>
      <c r="K655">
        <f t="shared" si="92"/>
        <v>-0.11272967879056661</v>
      </c>
      <c r="L655">
        <f t="shared" si="93"/>
        <v>5.0795234030623702</v>
      </c>
      <c r="M655">
        <f t="shared" si="94"/>
        <v>2.1644052456824543</v>
      </c>
      <c r="N655">
        <f t="shared" si="95"/>
        <v>-0.87897158515354112</v>
      </c>
      <c r="O655">
        <f t="shared" si="96"/>
        <v>86.001676445934621</v>
      </c>
      <c r="P655">
        <f t="shared" si="97"/>
        <v>50.9639564124057</v>
      </c>
      <c r="Q655">
        <f t="shared" si="98"/>
        <v>8.130762782900252</v>
      </c>
    </row>
    <row r="656" spans="1:17" x14ac:dyDescent="0.3">
      <c r="A656">
        <v>51013182</v>
      </c>
      <c r="B656" t="str">
        <f>VLOOKUP(A656,ASESORES!$A$2:$B$993,2,0)</f>
        <v>ROBERTS</v>
      </c>
      <c r="C656">
        <v>16138064.59</v>
      </c>
      <c r="D656">
        <v>19043755.629999999</v>
      </c>
      <c r="E656">
        <v>18451404.199999999</v>
      </c>
      <c r="F656">
        <v>31183539</v>
      </c>
      <c r="G656">
        <v>50304806</v>
      </c>
      <c r="H656">
        <v>62662960</v>
      </c>
      <c r="I656">
        <f t="shared" si="90"/>
        <v>0.93229732264939469</v>
      </c>
      <c r="J656">
        <f t="shared" si="91"/>
        <v>1.6415380966532598</v>
      </c>
      <c r="K656">
        <f t="shared" si="92"/>
        <v>2.3961079233200042</v>
      </c>
      <c r="L656">
        <f t="shared" si="93"/>
        <v>6.9865665879101142</v>
      </c>
      <c r="M656">
        <f t="shared" si="94"/>
        <v>12.642485364481926</v>
      </c>
      <c r="N656">
        <f t="shared" si="95"/>
        <v>18.682479609426593</v>
      </c>
      <c r="O656">
        <f t="shared" si="96"/>
        <v>93.461860854987421</v>
      </c>
      <c r="P656">
        <f t="shared" si="97"/>
        <v>98.575020955574175</v>
      </c>
      <c r="Q656">
        <f t="shared" si="98"/>
        <v>99.413243922883481</v>
      </c>
    </row>
    <row r="657" spans="1:17" x14ac:dyDescent="0.3">
      <c r="A657">
        <v>51033086</v>
      </c>
      <c r="B657" t="str">
        <f>VLOOKUP(A657,ASESORES!$A$2:$B$993,2,0)</f>
        <v>MONTENEGRO</v>
      </c>
      <c r="C657">
        <v>38691571.689999998</v>
      </c>
      <c r="D657">
        <v>62041995.880000003</v>
      </c>
      <c r="E657">
        <v>73928616.560000002</v>
      </c>
      <c r="F657">
        <v>74580310</v>
      </c>
      <c r="G657">
        <v>58681186</v>
      </c>
      <c r="H657">
        <v>62445201</v>
      </c>
      <c r="I657">
        <f t="shared" si="90"/>
        <v>0.92755958836574215</v>
      </c>
      <c r="J657">
        <f t="shared" si="91"/>
        <v>-5.4169918815964446E-2</v>
      </c>
      <c r="K657">
        <f t="shared" si="92"/>
        <v>-0.1553311301406558</v>
      </c>
      <c r="L657">
        <f t="shared" si="93"/>
        <v>7.3023280476681656</v>
      </c>
      <c r="M657">
        <f t="shared" si="94"/>
        <v>-0.42081895380022794</v>
      </c>
      <c r="N657">
        <f t="shared" si="95"/>
        <v>-1.2108836802213454</v>
      </c>
      <c r="O657">
        <f t="shared" si="96"/>
        <v>94.132439228834869</v>
      </c>
      <c r="P657">
        <f t="shared" si="97"/>
        <v>8.9689857502095549</v>
      </c>
      <c r="Q657">
        <f t="shared" si="98"/>
        <v>6.4543168482816426</v>
      </c>
    </row>
    <row r="658" spans="1:17" x14ac:dyDescent="0.3">
      <c r="A658">
        <v>51029038</v>
      </c>
      <c r="B658" t="str">
        <f>VLOOKUP(A658,ASESORES!$A$2:$B$993,2,0)</f>
        <v>ROBERTS</v>
      </c>
      <c r="C658">
        <v>27977728.66</v>
      </c>
      <c r="D658">
        <v>33584052.039999999</v>
      </c>
      <c r="E658">
        <v>46569726.25</v>
      </c>
      <c r="F658">
        <v>34367425</v>
      </c>
      <c r="G658">
        <v>57184792</v>
      </c>
      <c r="H658">
        <v>62431071</v>
      </c>
      <c r="I658">
        <f t="shared" si="90"/>
        <v>0.22838509936424556</v>
      </c>
      <c r="J658">
        <f t="shared" si="91"/>
        <v>0.70273652303452061</v>
      </c>
      <c r="K658">
        <f t="shared" si="92"/>
        <v>0.34059347192318956</v>
      </c>
      <c r="L658">
        <f t="shared" si="93"/>
        <v>1.7211436799525082</v>
      </c>
      <c r="M658">
        <f t="shared" si="94"/>
        <v>5.4513243589409868</v>
      </c>
      <c r="N658">
        <f t="shared" si="95"/>
        <v>2.6550626184919852</v>
      </c>
      <c r="O658">
        <f t="shared" si="96"/>
        <v>43.587594300083822</v>
      </c>
      <c r="P658">
        <f t="shared" si="97"/>
        <v>87.845766974015078</v>
      </c>
      <c r="Q658">
        <f t="shared" si="98"/>
        <v>68.315171835708298</v>
      </c>
    </row>
    <row r="659" spans="1:17" x14ac:dyDescent="0.3">
      <c r="A659">
        <v>51024168</v>
      </c>
      <c r="B659" t="str">
        <f>VLOOKUP(A659,ASESORES!$A$2:$B$993,2,0)</f>
        <v>CICHETTO</v>
      </c>
      <c r="C659">
        <v>33203221.300000001</v>
      </c>
      <c r="D659">
        <v>44681376.619999997</v>
      </c>
      <c r="E659">
        <v>56342266.540000007</v>
      </c>
      <c r="F659">
        <v>40337338</v>
      </c>
      <c r="G659">
        <v>45454201</v>
      </c>
      <c r="H659">
        <v>62372931</v>
      </c>
      <c r="I659">
        <f t="shared" si="90"/>
        <v>0.21486218567594229</v>
      </c>
      <c r="J659">
        <f t="shared" si="91"/>
        <v>1.7296342200300074E-2</v>
      </c>
      <c r="K659">
        <f t="shared" si="92"/>
        <v>0.10703624171240156</v>
      </c>
      <c r="L659">
        <f t="shared" si="93"/>
        <v>1.6341788799584767</v>
      </c>
      <c r="M659">
        <f t="shared" si="94"/>
        <v>0.13244802081383203</v>
      </c>
      <c r="N659">
        <f t="shared" si="95"/>
        <v>0.83434709234727344</v>
      </c>
      <c r="O659">
        <f t="shared" si="96"/>
        <v>42.078792958927075</v>
      </c>
      <c r="P659">
        <f t="shared" si="97"/>
        <v>27.242246437552385</v>
      </c>
      <c r="Q659">
        <f t="shared" si="98"/>
        <v>41.659681475272421</v>
      </c>
    </row>
    <row r="660" spans="1:17" x14ac:dyDescent="0.3">
      <c r="A660">
        <v>51023455</v>
      </c>
      <c r="B660" t="str">
        <f>VLOOKUP(A660,ASESORES!$A$2:$B$993,2,0)</f>
        <v>AYALA</v>
      </c>
      <c r="C660">
        <v>39870470.450000003</v>
      </c>
      <c r="D660">
        <v>50002553.979999997</v>
      </c>
      <c r="E660">
        <v>55605180.5</v>
      </c>
      <c r="F660">
        <v>44955684</v>
      </c>
      <c r="G660">
        <v>54015893</v>
      </c>
      <c r="H660">
        <v>62227422</v>
      </c>
      <c r="I660">
        <f t="shared" si="90"/>
        <v>0.12754335458311594</v>
      </c>
      <c r="J660">
        <f t="shared" si="91"/>
        <v>8.0262680614379356E-2</v>
      </c>
      <c r="K660">
        <f t="shared" si="92"/>
        <v>0.11909396643357728</v>
      </c>
      <c r="L660">
        <f t="shared" si="93"/>
        <v>0.9760618210404064</v>
      </c>
      <c r="M660">
        <f t="shared" si="94"/>
        <v>0.62063290833953522</v>
      </c>
      <c r="N660">
        <f t="shared" si="95"/>
        <v>0.92821620795802429</v>
      </c>
      <c r="O660">
        <f t="shared" si="96"/>
        <v>32.606873428331937</v>
      </c>
      <c r="P660">
        <f t="shared" si="97"/>
        <v>32.187761944677284</v>
      </c>
      <c r="Q660">
        <f t="shared" si="98"/>
        <v>42.749371332774516</v>
      </c>
    </row>
    <row r="661" spans="1:17" x14ac:dyDescent="0.3">
      <c r="A661">
        <v>51016131</v>
      </c>
      <c r="B661" t="str">
        <f>VLOOKUP(A661,ASESORES!$A$2:$B$993,2,0)</f>
        <v>MONTENEGRO</v>
      </c>
      <c r="C661">
        <v>33676058.68</v>
      </c>
      <c r="D661">
        <v>40976612.830000013</v>
      </c>
      <c r="E661">
        <v>56483037.469999999</v>
      </c>
      <c r="F661">
        <v>45260991</v>
      </c>
      <c r="G661">
        <v>55975785</v>
      </c>
      <c r="H661">
        <v>62027660</v>
      </c>
      <c r="I661">
        <f t="shared" si="90"/>
        <v>0.34401093162604024</v>
      </c>
      <c r="J661">
        <f t="shared" si="91"/>
        <v>0.36604226494335124</v>
      </c>
      <c r="K661">
        <f t="shared" si="92"/>
        <v>9.8164383120240783E-2</v>
      </c>
      <c r="L661">
        <f t="shared" si="93"/>
        <v>2.6336527657060418</v>
      </c>
      <c r="M661">
        <f t="shared" si="94"/>
        <v>2.8360955393560041</v>
      </c>
      <c r="N661">
        <f t="shared" si="95"/>
        <v>0.76495433847397099</v>
      </c>
      <c r="O661">
        <f t="shared" si="96"/>
        <v>57.921207041072932</v>
      </c>
      <c r="P661">
        <f t="shared" si="97"/>
        <v>60.603520536462696</v>
      </c>
      <c r="Q661">
        <f t="shared" si="98"/>
        <v>40.569991617770327</v>
      </c>
    </row>
    <row r="662" spans="1:17" x14ac:dyDescent="0.3">
      <c r="A662">
        <v>51016408</v>
      </c>
      <c r="B662" t="str">
        <f>VLOOKUP(A662,ASESORES!$A$2:$B$993,2,0)</f>
        <v>MONTENEGRO</v>
      </c>
      <c r="C662">
        <v>7424540.5</v>
      </c>
      <c r="D662">
        <v>12145801.060000001</v>
      </c>
      <c r="E662">
        <v>33991575.880000003</v>
      </c>
      <c r="F662">
        <v>33132102</v>
      </c>
      <c r="G662">
        <v>55861185</v>
      </c>
      <c r="H662">
        <v>61978457</v>
      </c>
      <c r="I662">
        <f t="shared" si="90"/>
        <v>3.462512124487704</v>
      </c>
      <c r="J662">
        <f t="shared" si="91"/>
        <v>3.5992178468959706</v>
      </c>
      <c r="K662">
        <f t="shared" si="92"/>
        <v>0.8233475617253434</v>
      </c>
      <c r="L662">
        <f t="shared" si="93"/>
        <v>26.03895330600794</v>
      </c>
      <c r="M662">
        <f t="shared" si="94"/>
        <v>27.883537093165888</v>
      </c>
      <c r="N662">
        <f t="shared" si="95"/>
        <v>6.4157224300834796</v>
      </c>
      <c r="O662">
        <f t="shared" si="96"/>
        <v>99.329421626152552</v>
      </c>
      <c r="P662">
        <f t="shared" si="97"/>
        <v>99.49706621961441</v>
      </c>
      <c r="Q662">
        <f t="shared" si="98"/>
        <v>95.55741827326068</v>
      </c>
    </row>
    <row r="663" spans="1:17" x14ac:dyDescent="0.3">
      <c r="A663">
        <v>51056914</v>
      </c>
      <c r="B663" t="str">
        <f>VLOOKUP(A663,ASESORES!$A$2:$B$993,2,0)</f>
        <v>CICHETTO</v>
      </c>
      <c r="C663">
        <v>29313719.949999999</v>
      </c>
      <c r="D663">
        <v>33798015.030000001</v>
      </c>
      <c r="E663">
        <v>42785196.159999996</v>
      </c>
      <c r="F663">
        <v>44466940</v>
      </c>
      <c r="G663">
        <v>55691238</v>
      </c>
      <c r="H663">
        <v>61805693</v>
      </c>
      <c r="I663">
        <f t="shared" si="90"/>
        <v>0.51693268803299741</v>
      </c>
      <c r="J663">
        <f t="shared" si="91"/>
        <v>0.64776653157195785</v>
      </c>
      <c r="K663">
        <f t="shared" si="92"/>
        <v>0.44455789728930406</v>
      </c>
      <c r="L663">
        <f t="shared" si="93"/>
        <v>3.9535204509391297</v>
      </c>
      <c r="M663">
        <f t="shared" si="94"/>
        <v>5.0174614965245041</v>
      </c>
      <c r="N663">
        <f t="shared" si="95"/>
        <v>3.4635632389416733</v>
      </c>
      <c r="O663">
        <f t="shared" si="96"/>
        <v>77.032690695725066</v>
      </c>
      <c r="P663">
        <f t="shared" si="97"/>
        <v>84.995808885163456</v>
      </c>
      <c r="Q663">
        <f t="shared" si="98"/>
        <v>78.709136630343664</v>
      </c>
    </row>
    <row r="664" spans="1:17" x14ac:dyDescent="0.3">
      <c r="A664">
        <v>51016858</v>
      </c>
      <c r="B664" t="str">
        <f>VLOOKUP(A664,ASESORES!$A$2:$B$993,2,0)</f>
        <v>PRADES</v>
      </c>
      <c r="C664">
        <v>23182081.170000002</v>
      </c>
      <c r="D664">
        <v>27445423.960000001</v>
      </c>
      <c r="E664">
        <v>38237408.799999997</v>
      </c>
      <c r="F664">
        <v>34209842</v>
      </c>
      <c r="G664">
        <v>42199400</v>
      </c>
      <c r="H664">
        <v>61662498</v>
      </c>
      <c r="I664">
        <f t="shared" si="90"/>
        <v>0.47570193327901267</v>
      </c>
      <c r="J664">
        <f t="shared" si="91"/>
        <v>0.53757508215223782</v>
      </c>
      <c r="K664">
        <f t="shared" si="92"/>
        <v>0.61262229672843316</v>
      </c>
      <c r="L664">
        <f t="shared" si="93"/>
        <v>3.5840102288431779</v>
      </c>
      <c r="M664">
        <f t="shared" si="94"/>
        <v>4.0991746478183435</v>
      </c>
      <c r="N664">
        <f t="shared" si="95"/>
        <v>4.7723406266569262</v>
      </c>
      <c r="O664">
        <f t="shared" si="96"/>
        <v>72.338642078792958</v>
      </c>
      <c r="P664">
        <f t="shared" si="97"/>
        <v>76.61357921207042</v>
      </c>
      <c r="Q664">
        <f t="shared" si="98"/>
        <v>90.02514668901928</v>
      </c>
    </row>
    <row r="665" spans="1:17" x14ac:dyDescent="0.3">
      <c r="A665">
        <v>51035666</v>
      </c>
      <c r="B665" t="str">
        <f>VLOOKUP(A665,ASESORES!$A$2:$B$993,2,0)</f>
        <v>METTLER</v>
      </c>
      <c r="C665">
        <v>29583993.48</v>
      </c>
      <c r="D665">
        <v>36594097.539999999</v>
      </c>
      <c r="E665">
        <v>46484628.619999997</v>
      </c>
      <c r="F665">
        <v>36329893</v>
      </c>
      <c r="G665">
        <v>49141124</v>
      </c>
      <c r="H665">
        <v>61374282</v>
      </c>
      <c r="I665">
        <f t="shared" si="90"/>
        <v>0.22802531796663983</v>
      </c>
      <c r="J665">
        <f t="shared" si="91"/>
        <v>0.34287022507619414</v>
      </c>
      <c r="K665">
        <f t="shared" si="92"/>
        <v>0.32031348473748444</v>
      </c>
      <c r="L665">
        <f t="shared" si="93"/>
        <v>1.7239316295934306</v>
      </c>
      <c r="M665">
        <f t="shared" si="94"/>
        <v>2.6371675077403331</v>
      </c>
      <c r="N665">
        <f t="shared" si="95"/>
        <v>2.4945970707118175</v>
      </c>
      <c r="O665">
        <f t="shared" si="96"/>
        <v>43.671416596814758</v>
      </c>
      <c r="P665">
        <f t="shared" si="97"/>
        <v>57.669740150880131</v>
      </c>
      <c r="Q665">
        <f t="shared" si="98"/>
        <v>65.968147527242252</v>
      </c>
    </row>
    <row r="666" spans="1:17" x14ac:dyDescent="0.3">
      <c r="A666">
        <v>51022068</v>
      </c>
      <c r="B666" t="str">
        <f>VLOOKUP(A666,ASESORES!$A$2:$B$993,2,0)</f>
        <v>PRADES</v>
      </c>
      <c r="C666">
        <v>30076088.670000002</v>
      </c>
      <c r="D666">
        <v>34251777.950000003</v>
      </c>
      <c r="E666">
        <v>48650484.119999997</v>
      </c>
      <c r="F666">
        <v>39919461</v>
      </c>
      <c r="G666">
        <v>48563034</v>
      </c>
      <c r="H666">
        <v>61295032</v>
      </c>
      <c r="I666">
        <f t="shared" si="90"/>
        <v>0.32728232843050731</v>
      </c>
      <c r="J666">
        <f t="shared" si="91"/>
        <v>0.41782520226807662</v>
      </c>
      <c r="K666">
        <f t="shared" si="92"/>
        <v>0.25990590039785211</v>
      </c>
      <c r="L666">
        <f t="shared" si="93"/>
        <v>2.4877334172121999</v>
      </c>
      <c r="M666">
        <f t="shared" si="94"/>
        <v>3.2115322804599993</v>
      </c>
      <c r="N666">
        <f t="shared" si="95"/>
        <v>2.0239977781684284</v>
      </c>
      <c r="O666">
        <f t="shared" si="96"/>
        <v>55.741827326068737</v>
      </c>
      <c r="P666">
        <f t="shared" si="97"/>
        <v>65.884325230511323</v>
      </c>
      <c r="Q666">
        <f t="shared" si="98"/>
        <v>59.178541492036885</v>
      </c>
    </row>
    <row r="667" spans="1:17" x14ac:dyDescent="0.3">
      <c r="A667">
        <v>51013611</v>
      </c>
      <c r="B667" t="str">
        <f>VLOOKUP(A667,ASESORES!$A$2:$B$993,2,0)</f>
        <v>METTLER</v>
      </c>
      <c r="C667">
        <v>33547778.120000001</v>
      </c>
      <c r="D667">
        <v>44406648.5</v>
      </c>
      <c r="E667">
        <v>53489892.260000013</v>
      </c>
      <c r="F667">
        <v>43057125</v>
      </c>
      <c r="G667">
        <v>53795949</v>
      </c>
      <c r="H667">
        <v>61174161</v>
      </c>
      <c r="I667">
        <f t="shared" si="90"/>
        <v>0.28345683120906484</v>
      </c>
      <c r="J667">
        <f t="shared" si="91"/>
        <v>0.21143907088597325</v>
      </c>
      <c r="K667">
        <f t="shared" si="92"/>
        <v>0.14365833273039352</v>
      </c>
      <c r="L667">
        <f t="shared" si="93"/>
        <v>2.1639222129013449</v>
      </c>
      <c r="M667">
        <f t="shared" si="94"/>
        <v>1.6345825070076001</v>
      </c>
      <c r="N667">
        <f t="shared" si="95"/>
        <v>1.118605379695188</v>
      </c>
      <c r="O667">
        <f t="shared" si="96"/>
        <v>49.455155071248953</v>
      </c>
      <c r="P667">
        <f t="shared" si="97"/>
        <v>43.503772003352893</v>
      </c>
      <c r="Q667">
        <f t="shared" si="98"/>
        <v>45.264040234702428</v>
      </c>
    </row>
    <row r="668" spans="1:17" x14ac:dyDescent="0.3">
      <c r="A668">
        <v>51013115</v>
      </c>
      <c r="B668" t="str">
        <f>VLOOKUP(A668,ASESORES!$A$2:$B$993,2,0)</f>
        <v>ARGUELLO</v>
      </c>
      <c r="C668">
        <v>40817929.719999999</v>
      </c>
      <c r="D668">
        <v>39199166.319999993</v>
      </c>
      <c r="E668">
        <v>67683408.939999998</v>
      </c>
      <c r="F668">
        <v>41794653</v>
      </c>
      <c r="G668">
        <v>46865347</v>
      </c>
      <c r="H668">
        <v>60900698</v>
      </c>
      <c r="I668">
        <f t="shared" si="90"/>
        <v>2.3928780482010303E-2</v>
      </c>
      <c r="J668">
        <f t="shared" si="91"/>
        <v>0.19556999292836008</v>
      </c>
      <c r="K668">
        <f t="shared" si="92"/>
        <v>-0.10021231268083342</v>
      </c>
      <c r="L668">
        <f t="shared" si="93"/>
        <v>0.18236412482798309</v>
      </c>
      <c r="M668">
        <f t="shared" si="94"/>
        <v>1.5001884395114375</v>
      </c>
      <c r="N668">
        <f t="shared" si="95"/>
        <v>-0.78011500104670883</v>
      </c>
      <c r="O668">
        <f t="shared" si="96"/>
        <v>24.140821458507965</v>
      </c>
      <c r="P668">
        <f t="shared" si="97"/>
        <v>42.24643755238894</v>
      </c>
      <c r="Q668">
        <f t="shared" si="98"/>
        <v>9.1366303436714169</v>
      </c>
    </row>
    <row r="669" spans="1:17" x14ac:dyDescent="0.3">
      <c r="A669">
        <v>51056744</v>
      </c>
      <c r="B669" t="str">
        <f>VLOOKUP(A669,ASESORES!$A$2:$B$993,2,0)</f>
        <v>ROBERTS</v>
      </c>
      <c r="C669">
        <v>27825160.199999999</v>
      </c>
      <c r="D669">
        <v>44994279.049999997</v>
      </c>
      <c r="E669">
        <v>44038261.510000013</v>
      </c>
      <c r="F669">
        <v>38941094</v>
      </c>
      <c r="G669">
        <v>54888040</v>
      </c>
      <c r="H669">
        <v>60822047</v>
      </c>
      <c r="I669">
        <f t="shared" si="90"/>
        <v>0.39949217614926802</v>
      </c>
      <c r="J669">
        <f t="shared" si="91"/>
        <v>0.21988930946099927</v>
      </c>
      <c r="K669">
        <f t="shared" si="92"/>
        <v>0.38111825749953376</v>
      </c>
      <c r="L669">
        <f t="shared" si="93"/>
        <v>3.0323086690258383</v>
      </c>
      <c r="M669">
        <f t="shared" si="94"/>
        <v>1.7018284120581972</v>
      </c>
      <c r="N669">
        <f t="shared" si="95"/>
        <v>2.9666477769679234</v>
      </c>
      <c r="O669">
        <f t="shared" si="96"/>
        <v>64.794635373009228</v>
      </c>
      <c r="P669">
        <f t="shared" si="97"/>
        <v>44.090528080469404</v>
      </c>
      <c r="Q669">
        <f t="shared" si="98"/>
        <v>73.344509639564123</v>
      </c>
    </row>
    <row r="670" spans="1:17" x14ac:dyDescent="0.3">
      <c r="A670">
        <v>51031822</v>
      </c>
      <c r="B670" t="str">
        <f>VLOOKUP(A670,ASESORES!$A$2:$B$993,2,0)</f>
        <v>MONTENEGRO</v>
      </c>
      <c r="C670">
        <v>22699125.350000001</v>
      </c>
      <c r="D670">
        <v>35409561.599999987</v>
      </c>
      <c r="E670">
        <v>40365894.200000003</v>
      </c>
      <c r="F670">
        <v>29336180</v>
      </c>
      <c r="G670">
        <v>52904480</v>
      </c>
      <c r="H670">
        <v>60698980</v>
      </c>
      <c r="I670">
        <f t="shared" si="90"/>
        <v>0.29239252824338435</v>
      </c>
      <c r="J670">
        <f t="shared" si="91"/>
        <v>0.49407328443174015</v>
      </c>
      <c r="K670">
        <f t="shared" si="92"/>
        <v>0.50371944442147387</v>
      </c>
      <c r="L670">
        <f t="shared" si="93"/>
        <v>2.183413006816481</v>
      </c>
      <c r="M670">
        <f t="shared" si="94"/>
        <v>3.8159712820791447</v>
      </c>
      <c r="N670">
        <f t="shared" si="95"/>
        <v>3.9205398071888191</v>
      </c>
      <c r="O670">
        <f t="shared" si="96"/>
        <v>49.874266554903606</v>
      </c>
      <c r="P670">
        <f t="shared" si="97"/>
        <v>73.67979882648784</v>
      </c>
      <c r="Q670">
        <f t="shared" si="98"/>
        <v>82.984073763621126</v>
      </c>
    </row>
    <row r="671" spans="1:17" x14ac:dyDescent="0.3">
      <c r="A671">
        <v>51025938</v>
      </c>
      <c r="B671" t="str">
        <f>VLOOKUP(A671,ASESORES!$A$2:$B$993,2,0)</f>
        <v>PRADES</v>
      </c>
      <c r="C671">
        <v>39268651.450000003</v>
      </c>
      <c r="D671">
        <v>52376063.649999991</v>
      </c>
      <c r="E671">
        <v>59950898.200000003</v>
      </c>
      <c r="F671">
        <v>48885060</v>
      </c>
      <c r="G671">
        <v>55173194</v>
      </c>
      <c r="H671">
        <v>60555504</v>
      </c>
      <c r="I671">
        <f t="shared" si="90"/>
        <v>0.24488766980563059</v>
      </c>
      <c r="J671">
        <f t="shared" si="91"/>
        <v>5.3404745509163742E-2</v>
      </c>
      <c r="K671">
        <f t="shared" si="92"/>
        <v>1.0085016541086622E-2</v>
      </c>
      <c r="L671">
        <f t="shared" si="93"/>
        <v>1.882984430725607</v>
      </c>
      <c r="M671">
        <f t="shared" si="94"/>
        <v>0.41344502037979869</v>
      </c>
      <c r="N671">
        <f t="shared" si="95"/>
        <v>7.848314801413174E-2</v>
      </c>
      <c r="O671">
        <f t="shared" si="96"/>
        <v>45.431684828164293</v>
      </c>
      <c r="P671">
        <f t="shared" si="97"/>
        <v>30.259849119865883</v>
      </c>
      <c r="Q671">
        <f t="shared" si="98"/>
        <v>32.858340318524725</v>
      </c>
    </row>
    <row r="672" spans="1:17" x14ac:dyDescent="0.3">
      <c r="A672">
        <v>51030141</v>
      </c>
      <c r="B672" t="str">
        <f>VLOOKUP(A672,ASESORES!$A$2:$B$993,2,0)</f>
        <v>ROBERTS</v>
      </c>
      <c r="C672">
        <v>27427404.559999999</v>
      </c>
      <c r="D672">
        <v>35493954.330000013</v>
      </c>
      <c r="E672">
        <v>44747329.649999999</v>
      </c>
      <c r="F672">
        <v>36151396</v>
      </c>
      <c r="G672">
        <v>50356962</v>
      </c>
      <c r="H672">
        <v>60464095</v>
      </c>
      <c r="I672">
        <f t="shared" si="90"/>
        <v>0.3180757195204329</v>
      </c>
      <c r="J672">
        <f t="shared" si="91"/>
        <v>0.41874758534406387</v>
      </c>
      <c r="K672">
        <f t="shared" si="92"/>
        <v>0.3512335925502541</v>
      </c>
      <c r="L672">
        <f t="shared" si="93"/>
        <v>2.4040560706297156</v>
      </c>
      <c r="M672">
        <f t="shared" si="94"/>
        <v>3.2252188268237894</v>
      </c>
      <c r="N672">
        <f t="shared" si="95"/>
        <v>2.7331233423410035</v>
      </c>
      <c r="O672">
        <f t="shared" si="96"/>
        <v>54.065381391450131</v>
      </c>
      <c r="P672">
        <f t="shared" si="97"/>
        <v>66.051969823973181</v>
      </c>
      <c r="Q672">
        <f t="shared" si="98"/>
        <v>69.572506286672251</v>
      </c>
    </row>
    <row r="673" spans="1:17" x14ac:dyDescent="0.3">
      <c r="A673">
        <v>51004698</v>
      </c>
      <c r="B673" t="str">
        <f>VLOOKUP(A673,ASESORES!$A$2:$B$993,2,0)</f>
        <v>AYALA</v>
      </c>
      <c r="C673">
        <v>42752598.189999998</v>
      </c>
      <c r="D673">
        <v>55256436.100000001</v>
      </c>
      <c r="E673">
        <v>66733101.909999996</v>
      </c>
      <c r="F673">
        <v>54577560</v>
      </c>
      <c r="G673">
        <v>64051064</v>
      </c>
      <c r="H673">
        <v>60086114</v>
      </c>
      <c r="I673">
        <f t="shared" si="90"/>
        <v>0.27659048363441707</v>
      </c>
      <c r="J673">
        <f t="shared" si="91"/>
        <v>0.15916024486421776</v>
      </c>
      <c r="K673">
        <f t="shared" si="92"/>
        <v>-9.9605558856899812E-2</v>
      </c>
      <c r="L673">
        <f t="shared" si="93"/>
        <v>2.1399844761633529</v>
      </c>
      <c r="M673">
        <f t="shared" si="94"/>
        <v>1.2424886451710357</v>
      </c>
      <c r="N673">
        <f t="shared" si="95"/>
        <v>-0.77480914318796623</v>
      </c>
      <c r="O673">
        <f t="shared" si="96"/>
        <v>48.95222129086337</v>
      </c>
      <c r="P673">
        <f t="shared" si="97"/>
        <v>38.055322715842415</v>
      </c>
      <c r="Q673">
        <f t="shared" si="98"/>
        <v>9.3042749371332771</v>
      </c>
    </row>
    <row r="674" spans="1:17" x14ac:dyDescent="0.3">
      <c r="A674">
        <v>51029585</v>
      </c>
      <c r="B674" t="str">
        <f>VLOOKUP(A674,ASESORES!$A$2:$B$993,2,0)</f>
        <v>CICHETTO</v>
      </c>
      <c r="C674">
        <v>26417932.899999999</v>
      </c>
      <c r="D674">
        <v>35194475.200000003</v>
      </c>
      <c r="E674">
        <v>47908703.700000003</v>
      </c>
      <c r="F674">
        <v>33704137</v>
      </c>
      <c r="G674">
        <v>49217261</v>
      </c>
      <c r="H674">
        <v>60067648</v>
      </c>
      <c r="I674">
        <f t="shared" si="90"/>
        <v>0.275805231528921</v>
      </c>
      <c r="J674">
        <f t="shared" si="91"/>
        <v>0.39843713311002849</v>
      </c>
      <c r="K674">
        <f t="shared" si="92"/>
        <v>0.25379405746684802</v>
      </c>
      <c r="L674">
        <f t="shared" si="93"/>
        <v>2.0761744110062477</v>
      </c>
      <c r="M674">
        <f t="shared" si="94"/>
        <v>3.0648252207484412</v>
      </c>
      <c r="N674">
        <f t="shared" si="95"/>
        <v>1.9741727663305479</v>
      </c>
      <c r="O674">
        <f t="shared" si="96"/>
        <v>47.946353730092206</v>
      </c>
      <c r="P674">
        <f t="shared" si="97"/>
        <v>63.956412405699915</v>
      </c>
      <c r="Q674">
        <f t="shared" si="98"/>
        <v>58.005029337803862</v>
      </c>
    </row>
    <row r="675" spans="1:17" x14ac:dyDescent="0.3">
      <c r="A675">
        <v>51018389</v>
      </c>
      <c r="B675" t="str">
        <f>VLOOKUP(A675,ASESORES!$A$2:$B$993,2,0)</f>
        <v>METTLER</v>
      </c>
      <c r="C675">
        <v>28477084.870000001</v>
      </c>
      <c r="D675">
        <v>42781338.82</v>
      </c>
      <c r="E675">
        <v>51844655.669999987</v>
      </c>
      <c r="F675">
        <v>39445288</v>
      </c>
      <c r="G675">
        <v>52854870</v>
      </c>
      <c r="H675">
        <v>60054317</v>
      </c>
      <c r="I675">
        <f t="shared" si="90"/>
        <v>0.38515891567099159</v>
      </c>
      <c r="J675">
        <f t="shared" si="91"/>
        <v>0.23546554310475876</v>
      </c>
      <c r="K675">
        <f t="shared" si="92"/>
        <v>0.1583511593221083</v>
      </c>
      <c r="L675">
        <f t="shared" si="93"/>
        <v>2.9256652482142349</v>
      </c>
      <c r="M675">
        <f t="shared" si="94"/>
        <v>1.8185204060856979</v>
      </c>
      <c r="N675">
        <f t="shared" si="95"/>
        <v>1.2317414969892437</v>
      </c>
      <c r="O675">
        <f t="shared" si="96"/>
        <v>62.279966471081302</v>
      </c>
      <c r="P675">
        <f t="shared" si="97"/>
        <v>45.850796311818939</v>
      </c>
      <c r="Q675">
        <f t="shared" si="98"/>
        <v>47.527242246437552</v>
      </c>
    </row>
    <row r="676" spans="1:17" x14ac:dyDescent="0.3">
      <c r="A676">
        <v>51017137</v>
      </c>
      <c r="B676" t="str">
        <f>VLOOKUP(A676,ASESORES!$A$2:$B$993,2,0)</f>
        <v>CICHETTO</v>
      </c>
      <c r="C676">
        <v>39598768.219999999</v>
      </c>
      <c r="D676">
        <v>42624618.920000002</v>
      </c>
      <c r="E676">
        <v>52026000.810000002</v>
      </c>
      <c r="F676">
        <v>40848372</v>
      </c>
      <c r="G676">
        <v>50455893</v>
      </c>
      <c r="H676">
        <v>59949803</v>
      </c>
      <c r="I676">
        <f t="shared" si="90"/>
        <v>3.1556632596689393E-2</v>
      </c>
      <c r="J676">
        <f t="shared" si="91"/>
        <v>0.18372654767185415</v>
      </c>
      <c r="K676">
        <f t="shared" si="92"/>
        <v>0.15230465664539317</v>
      </c>
      <c r="L676">
        <f t="shared" si="93"/>
        <v>0.24018304529487977</v>
      </c>
      <c r="M676">
        <f t="shared" si="94"/>
        <v>1.4152294098550744</v>
      </c>
      <c r="N676">
        <f t="shared" si="95"/>
        <v>1.1845932942947111</v>
      </c>
      <c r="O676">
        <f t="shared" si="96"/>
        <v>24.895222129086335</v>
      </c>
      <c r="P676">
        <f t="shared" si="97"/>
        <v>40.402347024308469</v>
      </c>
      <c r="Q676">
        <f t="shared" si="98"/>
        <v>46.521374685666387</v>
      </c>
    </row>
    <row r="677" spans="1:17" x14ac:dyDescent="0.3">
      <c r="A677">
        <v>51041232</v>
      </c>
      <c r="B677" t="str">
        <f>VLOOKUP(A677,ASESORES!$A$2:$B$993,2,0)</f>
        <v>ARGUELLO</v>
      </c>
      <c r="C677">
        <v>18175649.190000001</v>
      </c>
      <c r="D677">
        <v>33239552.18</v>
      </c>
      <c r="E677">
        <v>41192607.409999996</v>
      </c>
      <c r="F677">
        <v>37093076</v>
      </c>
      <c r="G677">
        <v>49114355</v>
      </c>
      <c r="H677">
        <v>59749271</v>
      </c>
      <c r="I677">
        <f t="shared" si="90"/>
        <v>1.0408116162589733</v>
      </c>
      <c r="J677">
        <f t="shared" si="91"/>
        <v>0.4775877464905125</v>
      </c>
      <c r="K677">
        <f t="shared" si="92"/>
        <v>0.45048528745221295</v>
      </c>
      <c r="L677">
        <f t="shared" si="93"/>
        <v>7.8782079244751069</v>
      </c>
      <c r="M677">
        <f t="shared" si="94"/>
        <v>3.6732269090350416</v>
      </c>
      <c r="N677">
        <f t="shared" si="95"/>
        <v>3.5031234315145565</v>
      </c>
      <c r="O677">
        <f t="shared" si="96"/>
        <v>95.222129086336977</v>
      </c>
      <c r="P677">
        <f t="shared" si="97"/>
        <v>71.668063704945524</v>
      </c>
      <c r="Q677">
        <f t="shared" si="98"/>
        <v>79.128248113998325</v>
      </c>
    </row>
    <row r="678" spans="1:17" x14ac:dyDescent="0.3">
      <c r="A678">
        <v>51022769</v>
      </c>
      <c r="B678" t="str">
        <f>VLOOKUP(A678,ASESORES!$A$2:$B$993,2,0)</f>
        <v>BELUZZO</v>
      </c>
      <c r="C678">
        <v>41732325.899999999</v>
      </c>
      <c r="D678">
        <v>39661132</v>
      </c>
      <c r="E678">
        <v>47350355.799999997</v>
      </c>
      <c r="F678">
        <v>39638125</v>
      </c>
      <c r="G678">
        <v>43102618</v>
      </c>
      <c r="H678">
        <v>59663937</v>
      </c>
      <c r="I678">
        <f t="shared" si="90"/>
        <v>-5.0181744123684147E-2</v>
      </c>
      <c r="J678">
        <f t="shared" si="91"/>
        <v>8.6772258542696212E-2</v>
      </c>
      <c r="K678">
        <f t="shared" si="92"/>
        <v>0.26005255909819391</v>
      </c>
      <c r="L678">
        <f t="shared" si="93"/>
        <v>-0.38128656755211937</v>
      </c>
      <c r="M678">
        <f t="shared" si="94"/>
        <v>0.66246312451735911</v>
      </c>
      <c r="N678">
        <f t="shared" si="95"/>
        <v>2.0220937803400059</v>
      </c>
      <c r="O678">
        <f t="shared" si="96"/>
        <v>8.7175188600167637</v>
      </c>
      <c r="P678">
        <f t="shared" si="97"/>
        <v>32.439228834870079</v>
      </c>
      <c r="Q678">
        <f t="shared" si="98"/>
        <v>59.010896898575012</v>
      </c>
    </row>
    <row r="679" spans="1:17" x14ac:dyDescent="0.3">
      <c r="A679">
        <v>51031164</v>
      </c>
      <c r="B679" t="str">
        <f>VLOOKUP(A679,ASESORES!$A$2:$B$993,2,0)</f>
        <v>BELUZZO</v>
      </c>
      <c r="C679">
        <v>27338908.350000001</v>
      </c>
      <c r="D679">
        <v>78465003.24000001</v>
      </c>
      <c r="E679">
        <v>107028306.59999999</v>
      </c>
      <c r="F679">
        <v>56505370</v>
      </c>
      <c r="G679">
        <v>41199999</v>
      </c>
      <c r="H679">
        <v>59627588</v>
      </c>
      <c r="I679">
        <f t="shared" si="90"/>
        <v>1.0668480714958757</v>
      </c>
      <c r="J679">
        <f t="shared" si="91"/>
        <v>-0.47492516027837239</v>
      </c>
      <c r="K679">
        <f t="shared" si="92"/>
        <v>-0.44288020716941812</v>
      </c>
      <c r="L679">
        <f t="shared" si="93"/>
        <v>8.2703019710992454</v>
      </c>
      <c r="M679">
        <f t="shared" si="94"/>
        <v>-3.6165062758216213</v>
      </c>
      <c r="N679">
        <f t="shared" si="95"/>
        <v>-3.4435916853818656</v>
      </c>
      <c r="O679">
        <f t="shared" si="96"/>
        <v>95.389773679798822</v>
      </c>
      <c r="P679">
        <f t="shared" si="97"/>
        <v>2.4308466051969826</v>
      </c>
      <c r="Q679">
        <f t="shared" si="98"/>
        <v>1.6764459346186085</v>
      </c>
    </row>
    <row r="680" spans="1:17" x14ac:dyDescent="0.3">
      <c r="A680">
        <v>51030371</v>
      </c>
      <c r="B680" t="str">
        <f>VLOOKUP(A680,ASESORES!$A$2:$B$993,2,0)</f>
        <v>PUGH</v>
      </c>
      <c r="C680">
        <v>24546440.620000001</v>
      </c>
      <c r="D680">
        <v>35887913.909999996</v>
      </c>
      <c r="E680">
        <v>46953637.880000003</v>
      </c>
      <c r="F680">
        <v>44377246</v>
      </c>
      <c r="G680">
        <v>63254222</v>
      </c>
      <c r="H680">
        <v>59609329</v>
      </c>
      <c r="I680">
        <f t="shared" si="90"/>
        <v>0.80788924500288695</v>
      </c>
      <c r="J680">
        <f t="shared" si="91"/>
        <v>0.76254942426103267</v>
      </c>
      <c r="K680">
        <f t="shared" si="92"/>
        <v>0.26953590161308272</v>
      </c>
      <c r="L680">
        <f t="shared" si="93"/>
        <v>6.1780585990928429</v>
      </c>
      <c r="M680">
        <f t="shared" si="94"/>
        <v>5.9487163209151532</v>
      </c>
      <c r="N680">
        <f t="shared" si="95"/>
        <v>2.0957263321613984</v>
      </c>
      <c r="O680">
        <f t="shared" si="96"/>
        <v>91.198658843252304</v>
      </c>
      <c r="P680">
        <f t="shared" si="97"/>
        <v>90.528080469404856</v>
      </c>
      <c r="Q680">
        <f t="shared" si="98"/>
        <v>59.681475272422468</v>
      </c>
    </row>
    <row r="681" spans="1:17" x14ac:dyDescent="0.3">
      <c r="A681">
        <v>51040392</v>
      </c>
      <c r="B681" t="str">
        <f>VLOOKUP(A681,ASESORES!$A$2:$B$993,2,0)</f>
        <v>ARGUELLO</v>
      </c>
      <c r="C681">
        <v>40841351.710000001</v>
      </c>
      <c r="D681">
        <v>48501887.469999999</v>
      </c>
      <c r="E681">
        <v>59276754.810000002</v>
      </c>
      <c r="F681">
        <v>45530849</v>
      </c>
      <c r="G681">
        <v>50010809</v>
      </c>
      <c r="H681">
        <v>59487095</v>
      </c>
      <c r="I681">
        <f t="shared" si="90"/>
        <v>0.11482228412268181</v>
      </c>
      <c r="J681">
        <f t="shared" si="91"/>
        <v>3.1110573396412988E-2</v>
      </c>
      <c r="K681">
        <f t="shared" si="92"/>
        <v>3.548443073076557E-3</v>
      </c>
      <c r="L681">
        <f t="shared" si="93"/>
        <v>0.87934415855743697</v>
      </c>
      <c r="M681">
        <f t="shared" si="94"/>
        <v>0.23952229192149332</v>
      </c>
      <c r="N681">
        <f t="shared" si="95"/>
        <v>2.7587096593628943E-2</v>
      </c>
      <c r="O681">
        <f t="shared" si="96"/>
        <v>31.349538977367981</v>
      </c>
      <c r="P681">
        <f t="shared" si="97"/>
        <v>28.499580888516345</v>
      </c>
      <c r="Q681">
        <f t="shared" si="98"/>
        <v>32.35540653813915</v>
      </c>
    </row>
    <row r="682" spans="1:17" x14ac:dyDescent="0.3">
      <c r="A682">
        <v>51014693</v>
      </c>
      <c r="B682" t="str">
        <f>VLOOKUP(A682,ASESORES!$A$2:$B$993,2,0)</f>
        <v>PUGH</v>
      </c>
      <c r="C682">
        <v>29944601.199999999</v>
      </c>
      <c r="D682">
        <v>33537666.59999999</v>
      </c>
      <c r="E682">
        <v>47562896.700000003</v>
      </c>
      <c r="F682">
        <v>59388670</v>
      </c>
      <c r="G682">
        <v>59938589</v>
      </c>
      <c r="H682">
        <v>59458011</v>
      </c>
      <c r="I682">
        <f t="shared" si="90"/>
        <v>0.98328471978447984</v>
      </c>
      <c r="J682">
        <f t="shared" si="91"/>
        <v>0.78720212455090777</v>
      </c>
      <c r="K682">
        <f t="shared" si="92"/>
        <v>0.25009230146405259</v>
      </c>
      <c r="L682">
        <f t="shared" si="93"/>
        <v>7.6437639654519041</v>
      </c>
      <c r="M682">
        <f t="shared" si="94"/>
        <v>6.1226270928259394</v>
      </c>
      <c r="N682">
        <f t="shared" si="95"/>
        <v>1.9442701652534917</v>
      </c>
      <c r="O682">
        <f t="shared" si="96"/>
        <v>94.886839899413246</v>
      </c>
      <c r="P682">
        <f t="shared" si="97"/>
        <v>91.282481139983247</v>
      </c>
      <c r="Q682">
        <f t="shared" si="98"/>
        <v>57.502095557418272</v>
      </c>
    </row>
    <row r="683" spans="1:17" x14ac:dyDescent="0.3">
      <c r="A683">
        <v>51055551</v>
      </c>
      <c r="B683" t="str">
        <f>VLOOKUP(A683,ASESORES!$A$2:$B$993,2,0)</f>
        <v>NELLI</v>
      </c>
      <c r="C683">
        <v>40254987.159999996</v>
      </c>
      <c r="D683">
        <v>65277644.439999998</v>
      </c>
      <c r="E683">
        <v>104260436.93000001</v>
      </c>
      <c r="F683">
        <v>52998414</v>
      </c>
      <c r="G683">
        <v>46771282</v>
      </c>
      <c r="H683">
        <v>58998021</v>
      </c>
      <c r="I683">
        <f t="shared" si="90"/>
        <v>0.31656765382508212</v>
      </c>
      <c r="J683">
        <f t="shared" si="91"/>
        <v>-0.28350230157293954</v>
      </c>
      <c r="K683">
        <f t="shared" si="92"/>
        <v>-0.43412839292424021</v>
      </c>
      <c r="L683">
        <f t="shared" si="93"/>
        <v>2.4452517753442233</v>
      </c>
      <c r="M683">
        <f t="shared" si="94"/>
        <v>-2.1744567772171779</v>
      </c>
      <c r="N683">
        <f t="shared" si="95"/>
        <v>-3.3735411712958308</v>
      </c>
      <c r="O683">
        <f t="shared" si="96"/>
        <v>54.903604358759431</v>
      </c>
      <c r="P683">
        <f t="shared" si="97"/>
        <v>4.3587594300083818</v>
      </c>
      <c r="Q683">
        <f t="shared" si="98"/>
        <v>1.8440905280804691</v>
      </c>
    </row>
    <row r="684" spans="1:17" x14ac:dyDescent="0.3">
      <c r="A684">
        <v>51012593</v>
      </c>
      <c r="B684" t="str">
        <f>VLOOKUP(A684,ASESORES!$A$2:$B$993,2,0)</f>
        <v>ROBERTS</v>
      </c>
      <c r="C684">
        <v>26998271.149999999</v>
      </c>
      <c r="D684">
        <v>33965377.450000003</v>
      </c>
      <c r="E684">
        <v>45500130.640000001</v>
      </c>
      <c r="F684">
        <v>34260485</v>
      </c>
      <c r="G684">
        <v>60164262</v>
      </c>
      <c r="H684">
        <v>58923950</v>
      </c>
      <c r="I684">
        <f t="shared" si="90"/>
        <v>0.26898810704032816</v>
      </c>
      <c r="J684">
        <f t="shared" si="91"/>
        <v>0.77134089231209169</v>
      </c>
      <c r="K684">
        <f t="shared" si="92"/>
        <v>0.2950281498356595</v>
      </c>
      <c r="L684">
        <f t="shared" si="93"/>
        <v>2.0267698422947191</v>
      </c>
      <c r="M684">
        <f t="shared" si="94"/>
        <v>6.0005219725644618</v>
      </c>
      <c r="N684">
        <f t="shared" si="95"/>
        <v>2.2924548288731725</v>
      </c>
      <c r="O684">
        <f t="shared" si="96"/>
        <v>47.359597652975694</v>
      </c>
      <c r="P684">
        <f t="shared" si="97"/>
        <v>90.611902766135785</v>
      </c>
      <c r="Q684">
        <f t="shared" si="98"/>
        <v>63.285834031852474</v>
      </c>
    </row>
    <row r="685" spans="1:17" x14ac:dyDescent="0.3">
      <c r="A685">
        <v>51015908</v>
      </c>
      <c r="B685" t="str">
        <f>VLOOKUP(A685,ASESORES!$A$2:$B$993,2,0)</f>
        <v>BELUZZO</v>
      </c>
      <c r="C685">
        <v>27508478.809999999</v>
      </c>
      <c r="D685">
        <v>30345545.210000001</v>
      </c>
      <c r="E685">
        <v>34981808.990000002</v>
      </c>
      <c r="F685">
        <v>33017232</v>
      </c>
      <c r="G685">
        <v>49684776</v>
      </c>
      <c r="H685">
        <v>58881585</v>
      </c>
      <c r="I685">
        <f t="shared" si="90"/>
        <v>0.20025655464443326</v>
      </c>
      <c r="J685">
        <f t="shared" si="91"/>
        <v>0.63730048862747046</v>
      </c>
      <c r="K685">
        <f t="shared" si="92"/>
        <v>0.68320583469059737</v>
      </c>
      <c r="L685">
        <f t="shared" si="93"/>
        <v>1.5056771001110245</v>
      </c>
      <c r="M685">
        <f t="shared" si="94"/>
        <v>4.9048068927318642</v>
      </c>
      <c r="N685">
        <f t="shared" si="95"/>
        <v>5.3084953243700426</v>
      </c>
      <c r="O685">
        <f t="shared" si="96"/>
        <v>40.234702430846603</v>
      </c>
      <c r="P685">
        <f t="shared" si="97"/>
        <v>83.822296730930418</v>
      </c>
      <c r="Q685">
        <f t="shared" si="98"/>
        <v>92.45599329421627</v>
      </c>
    </row>
    <row r="686" spans="1:17" x14ac:dyDescent="0.3">
      <c r="A686">
        <v>51015924</v>
      </c>
      <c r="B686" t="str">
        <f>VLOOKUP(A686,ASESORES!$A$2:$B$993,2,0)</f>
        <v>ROBERTS</v>
      </c>
      <c r="C686">
        <v>15461112.48</v>
      </c>
      <c r="D686">
        <v>22245538.73</v>
      </c>
      <c r="E686">
        <v>33219812.57</v>
      </c>
      <c r="F686">
        <v>36009372</v>
      </c>
      <c r="G686">
        <v>57668850</v>
      </c>
      <c r="H686">
        <v>58871856</v>
      </c>
      <c r="I686">
        <f t="shared" si="90"/>
        <v>1.3290285253781429</v>
      </c>
      <c r="J686">
        <f t="shared" si="91"/>
        <v>1.5923782156926887</v>
      </c>
      <c r="K686">
        <f t="shared" si="92"/>
        <v>0.77219109457486024</v>
      </c>
      <c r="L686">
        <f t="shared" si="93"/>
        <v>10.042691812083095</v>
      </c>
      <c r="M686">
        <f t="shared" si="94"/>
        <v>12.358353845120766</v>
      </c>
      <c r="N686">
        <f t="shared" si="95"/>
        <v>5.9998535529513157</v>
      </c>
      <c r="O686">
        <f t="shared" si="96"/>
        <v>97.150041911148364</v>
      </c>
      <c r="P686">
        <f t="shared" si="97"/>
        <v>98.407376362112316</v>
      </c>
      <c r="Q686">
        <f t="shared" si="98"/>
        <v>94.383906119027657</v>
      </c>
    </row>
    <row r="687" spans="1:17" x14ac:dyDescent="0.3">
      <c r="A687">
        <v>51034252</v>
      </c>
      <c r="B687" t="str">
        <f>VLOOKUP(A687,ASESORES!$A$2:$B$993,2,0)</f>
        <v>LÓPEZ</v>
      </c>
      <c r="C687">
        <v>17398377.530000001</v>
      </c>
      <c r="D687">
        <v>25115916.109999999</v>
      </c>
      <c r="E687">
        <v>28582990.390000001</v>
      </c>
      <c r="F687">
        <v>30533480</v>
      </c>
      <c r="G687">
        <v>47198273</v>
      </c>
      <c r="H687">
        <v>58821291</v>
      </c>
      <c r="I687">
        <f t="shared" si="90"/>
        <v>0.75496134322589326</v>
      </c>
      <c r="J687">
        <f t="shared" si="91"/>
        <v>0.87921765597902368</v>
      </c>
      <c r="K687">
        <f t="shared" si="92"/>
        <v>1.057912422647671</v>
      </c>
      <c r="L687">
        <f t="shared" si="93"/>
        <v>5.6507167730239116</v>
      </c>
      <c r="M687">
        <f t="shared" si="94"/>
        <v>6.747051324787976</v>
      </c>
      <c r="N687">
        <f t="shared" si="95"/>
        <v>8.2194871208562237</v>
      </c>
      <c r="O687">
        <f t="shared" si="96"/>
        <v>89.103101424979045</v>
      </c>
      <c r="P687">
        <f t="shared" si="97"/>
        <v>93.042749371332775</v>
      </c>
      <c r="Q687">
        <f t="shared" si="98"/>
        <v>97.317686504610222</v>
      </c>
    </row>
    <row r="688" spans="1:17" x14ac:dyDescent="0.3">
      <c r="A688">
        <v>51017676</v>
      </c>
      <c r="B688" t="str">
        <f>VLOOKUP(A688,ASESORES!$A$2:$B$993,2,0)</f>
        <v>PRADES</v>
      </c>
      <c r="C688">
        <v>26516550.960000001</v>
      </c>
      <c r="D688">
        <v>27844222.649999999</v>
      </c>
      <c r="E688">
        <v>43488749.039999999</v>
      </c>
      <c r="F688">
        <v>37002554</v>
      </c>
      <c r="G688">
        <v>54388489</v>
      </c>
      <c r="H688">
        <v>58812564</v>
      </c>
      <c r="I688">
        <f t="shared" si="90"/>
        <v>0.3954512431054118</v>
      </c>
      <c r="J688">
        <f t="shared" si="91"/>
        <v>0.95331324862825739</v>
      </c>
      <c r="K688">
        <f t="shared" si="92"/>
        <v>0.35236274434809545</v>
      </c>
      <c r="L688">
        <f t="shared" si="93"/>
        <v>2.992866634305563</v>
      </c>
      <c r="M688">
        <f t="shared" si="94"/>
        <v>7.3743613018374665</v>
      </c>
      <c r="N688">
        <f t="shared" si="95"/>
        <v>2.7376718112782958</v>
      </c>
      <c r="O688">
        <f t="shared" si="96"/>
        <v>63.788767812238056</v>
      </c>
      <c r="P688">
        <f t="shared" si="97"/>
        <v>94.635373009220459</v>
      </c>
      <c r="Q688">
        <f t="shared" si="98"/>
        <v>69.65632858340318</v>
      </c>
    </row>
    <row r="689" spans="1:17" x14ac:dyDescent="0.3">
      <c r="A689">
        <v>51033655</v>
      </c>
      <c r="B689" t="str">
        <f>VLOOKUP(A689,ASESORES!$A$2:$B$993,2,0)</f>
        <v>METTLER</v>
      </c>
      <c r="C689">
        <v>22779613.600000001</v>
      </c>
      <c r="D689">
        <v>30524016.760000002</v>
      </c>
      <c r="E689">
        <v>39106683.399999999</v>
      </c>
      <c r="F689">
        <v>34726450</v>
      </c>
      <c r="G689">
        <v>38518567</v>
      </c>
      <c r="H689">
        <v>58532669</v>
      </c>
      <c r="I689">
        <f t="shared" si="90"/>
        <v>0.52445298720958111</v>
      </c>
      <c r="J689">
        <f t="shared" si="91"/>
        <v>0.26191016414577528</v>
      </c>
      <c r="K689">
        <f t="shared" si="92"/>
        <v>0.49674336740098002</v>
      </c>
      <c r="L689">
        <f t="shared" si="93"/>
        <v>3.9547218663960275</v>
      </c>
      <c r="M689">
        <f t="shared" si="94"/>
        <v>1.9867641067474018</v>
      </c>
      <c r="N689">
        <f t="shared" si="95"/>
        <v>3.8584036012605822</v>
      </c>
      <c r="O689">
        <f t="shared" si="96"/>
        <v>77.116512992455995</v>
      </c>
      <c r="P689">
        <f t="shared" si="97"/>
        <v>48.030176026823135</v>
      </c>
      <c r="Q689">
        <f t="shared" si="98"/>
        <v>82.145850796311819</v>
      </c>
    </row>
    <row r="690" spans="1:17" x14ac:dyDescent="0.3">
      <c r="A690">
        <v>51014740</v>
      </c>
      <c r="B690" t="str">
        <f>VLOOKUP(A690,ASESORES!$A$2:$B$993,2,0)</f>
        <v>AYALA</v>
      </c>
      <c r="C690">
        <v>34651393.829999998</v>
      </c>
      <c r="D690">
        <v>39490624.32</v>
      </c>
      <c r="E690">
        <v>48161529.829999998</v>
      </c>
      <c r="F690">
        <v>44729691</v>
      </c>
      <c r="G690">
        <v>54173827</v>
      </c>
      <c r="H690">
        <v>58524373</v>
      </c>
      <c r="I690">
        <f t="shared" si="90"/>
        <v>0.29084824753209659</v>
      </c>
      <c r="J690">
        <f t="shared" si="91"/>
        <v>0.37181490373561155</v>
      </c>
      <c r="K690">
        <f t="shared" si="92"/>
        <v>0.21516848004161493</v>
      </c>
      <c r="L690">
        <f t="shared" si="93"/>
        <v>2.2251624095112668</v>
      </c>
      <c r="M690">
        <f t="shared" si="94"/>
        <v>2.8755382045973632</v>
      </c>
      <c r="N690">
        <f t="shared" si="95"/>
        <v>1.6712860466831909</v>
      </c>
      <c r="O690">
        <f t="shared" si="96"/>
        <v>50.712489522212913</v>
      </c>
      <c r="P690">
        <f t="shared" si="97"/>
        <v>61.190276613579208</v>
      </c>
      <c r="Q690">
        <f t="shared" si="98"/>
        <v>54.48449287510477</v>
      </c>
    </row>
    <row r="691" spans="1:17" x14ac:dyDescent="0.3">
      <c r="A691">
        <v>51011287</v>
      </c>
      <c r="B691" t="str">
        <f>VLOOKUP(A691,ASESORES!$A$2:$B$993,2,0)</f>
        <v>METTLER</v>
      </c>
      <c r="C691">
        <v>33767310.350000001</v>
      </c>
      <c r="D691">
        <v>39611300.260000013</v>
      </c>
      <c r="E691">
        <v>46663670.510000013</v>
      </c>
      <c r="F691">
        <v>41619352</v>
      </c>
      <c r="G691">
        <v>52989386</v>
      </c>
      <c r="H691">
        <v>58359227</v>
      </c>
      <c r="I691">
        <f t="shared" si="90"/>
        <v>0.23253381950215046</v>
      </c>
      <c r="J691">
        <f t="shared" si="91"/>
        <v>0.33773407215085394</v>
      </c>
      <c r="K691">
        <f t="shared" si="92"/>
        <v>0.25063515926149948</v>
      </c>
      <c r="L691">
        <f t="shared" si="93"/>
        <v>1.7717438413029891</v>
      </c>
      <c r="M691">
        <f t="shared" si="94"/>
        <v>2.6087217669617928</v>
      </c>
      <c r="N691">
        <f t="shared" si="95"/>
        <v>1.9464600990919703</v>
      </c>
      <c r="O691">
        <f t="shared" si="96"/>
        <v>44.174350377200334</v>
      </c>
      <c r="P691">
        <f t="shared" si="97"/>
        <v>57.082984073763619</v>
      </c>
      <c r="Q691">
        <f t="shared" si="98"/>
        <v>57.669740150880131</v>
      </c>
    </row>
    <row r="692" spans="1:17" x14ac:dyDescent="0.3">
      <c r="A692">
        <v>51026306</v>
      </c>
      <c r="B692" t="str">
        <f>VLOOKUP(A692,ASESORES!$A$2:$B$993,2,0)</f>
        <v>ROBERTS</v>
      </c>
      <c r="C692">
        <v>30451957.43</v>
      </c>
      <c r="D692">
        <v>42352531.549999997</v>
      </c>
      <c r="E692">
        <v>45716581.130000003</v>
      </c>
      <c r="F692">
        <v>44088723</v>
      </c>
      <c r="G692">
        <v>58347916</v>
      </c>
      <c r="H692">
        <v>58315611</v>
      </c>
      <c r="I692">
        <f t="shared" si="90"/>
        <v>0.44781244691238231</v>
      </c>
      <c r="J692">
        <f t="shared" si="91"/>
        <v>0.37767245226218371</v>
      </c>
      <c r="K692">
        <f t="shared" si="92"/>
        <v>0.27558994042387597</v>
      </c>
      <c r="L692">
        <f t="shared" si="93"/>
        <v>3.4232250117142828</v>
      </c>
      <c r="M692">
        <f t="shared" si="94"/>
        <v>2.9330138379080877</v>
      </c>
      <c r="N692">
        <f t="shared" si="95"/>
        <v>2.1401721787249812</v>
      </c>
      <c r="O692">
        <f t="shared" si="96"/>
        <v>70.243084660519699</v>
      </c>
      <c r="P692">
        <f t="shared" si="97"/>
        <v>62.19614417435038</v>
      </c>
      <c r="Q692">
        <f t="shared" si="98"/>
        <v>60.435875943000838</v>
      </c>
    </row>
    <row r="693" spans="1:17" x14ac:dyDescent="0.3">
      <c r="A693">
        <v>51040325</v>
      </c>
      <c r="B693" t="str">
        <f>VLOOKUP(A693,ASESORES!$A$2:$B$993,2,0)</f>
        <v>PRADES</v>
      </c>
      <c r="C693">
        <v>33602065.090000004</v>
      </c>
      <c r="D693">
        <v>46359193.149999999</v>
      </c>
      <c r="E693">
        <v>56396008.18</v>
      </c>
      <c r="F693">
        <v>46532339</v>
      </c>
      <c r="G693">
        <v>54992762</v>
      </c>
      <c r="H693">
        <v>58218416</v>
      </c>
      <c r="I693">
        <f t="shared" si="90"/>
        <v>0.3848059300929112</v>
      </c>
      <c r="J693">
        <f t="shared" si="91"/>
        <v>0.18623207746660286</v>
      </c>
      <c r="K693">
        <f t="shared" si="92"/>
        <v>3.231448251059521E-2</v>
      </c>
      <c r="L693">
        <f t="shared" si="93"/>
        <v>2.9505975496232031</v>
      </c>
      <c r="M693">
        <f t="shared" si="94"/>
        <v>1.4414931795585049</v>
      </c>
      <c r="N693">
        <f t="shared" si="95"/>
        <v>0.25092390800573444</v>
      </c>
      <c r="O693">
        <f t="shared" si="96"/>
        <v>63.118189438390615</v>
      </c>
      <c r="P693">
        <f t="shared" si="97"/>
        <v>41.240569991617768</v>
      </c>
      <c r="Q693">
        <f t="shared" si="98"/>
        <v>34.534786253143338</v>
      </c>
    </row>
    <row r="694" spans="1:17" x14ac:dyDescent="0.3">
      <c r="A694">
        <v>51055543</v>
      </c>
      <c r="B694" t="str">
        <f>VLOOKUP(A694,ASESORES!$A$2:$B$993,2,0)</f>
        <v>LÓPEZ</v>
      </c>
      <c r="C694">
        <v>24397988.07</v>
      </c>
      <c r="D694">
        <v>28914588.600000001</v>
      </c>
      <c r="E694">
        <v>41459373.350000001</v>
      </c>
      <c r="F694">
        <v>41968805</v>
      </c>
      <c r="G694">
        <v>48550963</v>
      </c>
      <c r="H694">
        <v>58088551</v>
      </c>
      <c r="I694">
        <f t="shared" si="90"/>
        <v>0.72017483079292277</v>
      </c>
      <c r="J694">
        <f t="shared" si="91"/>
        <v>0.67911650660663381</v>
      </c>
      <c r="K694">
        <f t="shared" si="92"/>
        <v>0.40109573074384142</v>
      </c>
      <c r="L694">
        <f t="shared" si="93"/>
        <v>5.4898398768159069</v>
      </c>
      <c r="M694">
        <f t="shared" si="94"/>
        <v>5.2198238319511026</v>
      </c>
      <c r="N694">
        <f t="shared" si="95"/>
        <v>3.1141435700169695</v>
      </c>
      <c r="O694">
        <f t="shared" si="96"/>
        <v>88.181056160938809</v>
      </c>
      <c r="P694">
        <f t="shared" si="97"/>
        <v>86.756077116512998</v>
      </c>
      <c r="Q694">
        <f t="shared" si="98"/>
        <v>75.60771165129924</v>
      </c>
    </row>
    <row r="695" spans="1:17" x14ac:dyDescent="0.3">
      <c r="A695">
        <v>51037031</v>
      </c>
      <c r="B695" t="str">
        <f>VLOOKUP(A695,ASESORES!$A$2:$B$993,2,0)</f>
        <v>METTLER</v>
      </c>
      <c r="C695">
        <v>28821021.48</v>
      </c>
      <c r="D695">
        <v>35518618.400000013</v>
      </c>
      <c r="E695">
        <v>45475195.140000001</v>
      </c>
      <c r="F695">
        <v>38256450</v>
      </c>
      <c r="G695">
        <v>49916200</v>
      </c>
      <c r="H695">
        <v>58064611</v>
      </c>
      <c r="I695">
        <f t="shared" si="90"/>
        <v>0.32738008701556964</v>
      </c>
      <c r="J695">
        <f t="shared" si="91"/>
        <v>0.40535308659415592</v>
      </c>
      <c r="K695">
        <f t="shared" si="92"/>
        <v>0.27684138179599249</v>
      </c>
      <c r="L695">
        <f t="shared" si="93"/>
        <v>2.4824265137898363</v>
      </c>
      <c r="M695">
        <f t="shared" si="94"/>
        <v>3.1205059599148557</v>
      </c>
      <c r="N695">
        <f t="shared" si="95"/>
        <v>2.1493719935759832</v>
      </c>
      <c r="O695">
        <f t="shared" si="96"/>
        <v>55.658005029337808</v>
      </c>
      <c r="P695">
        <f t="shared" si="97"/>
        <v>64.710813076278299</v>
      </c>
      <c r="Q695">
        <f t="shared" si="98"/>
        <v>60.687342833193625</v>
      </c>
    </row>
    <row r="696" spans="1:17" x14ac:dyDescent="0.3">
      <c r="A696">
        <v>51057244</v>
      </c>
      <c r="B696" t="str">
        <f>VLOOKUP(A696,ASESORES!$A$2:$B$993,2,0)</f>
        <v>METTLER</v>
      </c>
      <c r="C696">
        <v>36323945.57</v>
      </c>
      <c r="D696">
        <v>46108424.5</v>
      </c>
      <c r="E696">
        <v>55778827.799999997</v>
      </c>
      <c r="F696">
        <v>49536740</v>
      </c>
      <c r="G696">
        <v>56696969</v>
      </c>
      <c r="H696">
        <v>57971787</v>
      </c>
      <c r="I696">
        <f t="shared" si="90"/>
        <v>0.36374887756996488</v>
      </c>
      <c r="J696">
        <f t="shared" si="91"/>
        <v>0.22964446551410589</v>
      </c>
      <c r="K696">
        <f t="shared" si="92"/>
        <v>3.9315261479912378E-2</v>
      </c>
      <c r="L696">
        <f t="shared" si="93"/>
        <v>2.7990212128741994</v>
      </c>
      <c r="M696">
        <f t="shared" si="94"/>
        <v>1.7805621058128036</v>
      </c>
      <c r="N696">
        <f t="shared" si="95"/>
        <v>0.30521289400811435</v>
      </c>
      <c r="O696">
        <f t="shared" si="96"/>
        <v>60.603520536462696</v>
      </c>
      <c r="P696">
        <f t="shared" si="97"/>
        <v>45.264040234702428</v>
      </c>
      <c r="Q696">
        <f t="shared" si="98"/>
        <v>34.786253143336126</v>
      </c>
    </row>
    <row r="697" spans="1:17" x14ac:dyDescent="0.3">
      <c r="A697">
        <v>51032004</v>
      </c>
      <c r="B697" t="str">
        <f>VLOOKUP(A697,ASESORES!$A$2:$B$993,2,0)</f>
        <v>MONTENEGRO</v>
      </c>
      <c r="C697">
        <v>26438454.890000001</v>
      </c>
      <c r="D697">
        <v>87250811.519999996</v>
      </c>
      <c r="E697">
        <v>87850314.38000001</v>
      </c>
      <c r="F697">
        <v>75408720</v>
      </c>
      <c r="G697">
        <v>54875698</v>
      </c>
      <c r="H697">
        <v>57937460</v>
      </c>
      <c r="I697">
        <f t="shared" si="90"/>
        <v>1.85223627151231</v>
      </c>
      <c r="J697">
        <f t="shared" si="91"/>
        <v>-0.37105802176497626</v>
      </c>
      <c r="K697">
        <f t="shared" si="92"/>
        <v>-0.34049797762374279</v>
      </c>
      <c r="L697">
        <f t="shared" si="93"/>
        <v>14.590845956215441</v>
      </c>
      <c r="M697">
        <f t="shared" si="94"/>
        <v>-2.8717590537719455</v>
      </c>
      <c r="N697">
        <f t="shared" si="95"/>
        <v>-2.6432719936626023</v>
      </c>
      <c r="O697">
        <f t="shared" si="96"/>
        <v>98.994132439228835</v>
      </c>
      <c r="P697">
        <f t="shared" si="97"/>
        <v>3.4367141659681475</v>
      </c>
      <c r="Q697">
        <f t="shared" si="98"/>
        <v>3.3528918692372169</v>
      </c>
    </row>
    <row r="698" spans="1:17" x14ac:dyDescent="0.3">
      <c r="A698">
        <v>51019253</v>
      </c>
      <c r="B698" t="str">
        <f>VLOOKUP(A698,ASESORES!$A$2:$B$993,2,0)</f>
        <v>PRADES</v>
      </c>
      <c r="C698">
        <v>16827082.25</v>
      </c>
      <c r="D698">
        <v>24760654.329999998</v>
      </c>
      <c r="E698">
        <v>35067911.700000003</v>
      </c>
      <c r="F698">
        <v>21624600</v>
      </c>
      <c r="G698">
        <v>31370960</v>
      </c>
      <c r="H698">
        <v>57846290</v>
      </c>
      <c r="I698">
        <f t="shared" si="90"/>
        <v>0.28510692933708093</v>
      </c>
      <c r="J698">
        <f t="shared" si="91"/>
        <v>0.26696813347097037</v>
      </c>
      <c r="K698">
        <f t="shared" si="92"/>
        <v>0.64955046353672641</v>
      </c>
      <c r="L698">
        <f t="shared" si="93"/>
        <v>2.0912445247539249</v>
      </c>
      <c r="M698">
        <f t="shared" si="94"/>
        <v>2.0013340366780517</v>
      </c>
      <c r="N698">
        <f t="shared" si="95"/>
        <v>5.0419896559403057</v>
      </c>
      <c r="O698">
        <f t="shared" si="96"/>
        <v>48.197820620285</v>
      </c>
      <c r="P698">
        <f t="shared" si="97"/>
        <v>48.533109807208717</v>
      </c>
      <c r="Q698">
        <f t="shared" si="98"/>
        <v>91.53394803017602</v>
      </c>
    </row>
    <row r="699" spans="1:17" x14ac:dyDescent="0.3">
      <c r="A699">
        <v>51008413</v>
      </c>
      <c r="B699" t="str">
        <f>VLOOKUP(A699,ASESORES!$A$2:$B$993,2,0)</f>
        <v>CICHETTO</v>
      </c>
      <c r="C699">
        <v>27706104.800000001</v>
      </c>
      <c r="D699">
        <v>36855310.950000003</v>
      </c>
      <c r="E699">
        <v>40879297.960000001</v>
      </c>
      <c r="F699">
        <v>37663341</v>
      </c>
      <c r="G699">
        <v>48617468</v>
      </c>
      <c r="H699">
        <v>57735731</v>
      </c>
      <c r="I699">
        <f t="shared" si="90"/>
        <v>0.35938780539081772</v>
      </c>
      <c r="J699">
        <f t="shared" si="91"/>
        <v>0.31914415444648414</v>
      </c>
      <c r="K699">
        <f t="shared" si="92"/>
        <v>0.41234644138198884</v>
      </c>
      <c r="L699">
        <f t="shared" si="93"/>
        <v>2.7226928465628881</v>
      </c>
      <c r="M699">
        <f t="shared" si="94"/>
        <v>2.4531948408037727</v>
      </c>
      <c r="N699">
        <f t="shared" si="95"/>
        <v>3.200404089182276</v>
      </c>
      <c r="O699">
        <f t="shared" si="96"/>
        <v>59.346186085498744</v>
      </c>
      <c r="P699">
        <f t="shared" si="97"/>
        <v>54.819782062028501</v>
      </c>
      <c r="Q699">
        <f t="shared" si="98"/>
        <v>76.278290025146688</v>
      </c>
    </row>
    <row r="700" spans="1:17" x14ac:dyDescent="0.3">
      <c r="A700">
        <v>51018265</v>
      </c>
      <c r="B700" t="str">
        <f>VLOOKUP(A700,ASESORES!$A$2:$B$993,2,0)</f>
        <v>PRADES</v>
      </c>
      <c r="C700">
        <v>27379265.550000001</v>
      </c>
      <c r="D700">
        <v>37550620.130000003</v>
      </c>
      <c r="E700">
        <v>50549441.979999997</v>
      </c>
      <c r="F700">
        <v>40837621</v>
      </c>
      <c r="G700">
        <v>59512970</v>
      </c>
      <c r="H700">
        <v>57530044</v>
      </c>
      <c r="I700">
        <f t="shared" si="90"/>
        <v>0.49155282947317769</v>
      </c>
      <c r="J700">
        <f t="shared" si="91"/>
        <v>0.5848731603890025</v>
      </c>
      <c r="K700">
        <f t="shared" si="92"/>
        <v>0.13809454163236645</v>
      </c>
      <c r="L700">
        <f t="shared" si="93"/>
        <v>3.7412382917617122</v>
      </c>
      <c r="M700">
        <f t="shared" si="94"/>
        <v>4.5471616715072205</v>
      </c>
      <c r="N700">
        <f t="shared" si="95"/>
        <v>1.0715991025655975</v>
      </c>
      <c r="O700">
        <f t="shared" si="96"/>
        <v>74.601844090528076</v>
      </c>
      <c r="P700">
        <f t="shared" si="97"/>
        <v>80.637049455155079</v>
      </c>
      <c r="Q700">
        <f t="shared" si="98"/>
        <v>44.593461860854987</v>
      </c>
    </row>
    <row r="701" spans="1:17" x14ac:dyDescent="0.3">
      <c r="A701">
        <v>51022050</v>
      </c>
      <c r="B701" t="str">
        <f>VLOOKUP(A701,ASESORES!$A$2:$B$993,2,0)</f>
        <v>NELLI</v>
      </c>
      <c r="C701">
        <v>44227217.369999997</v>
      </c>
      <c r="D701">
        <v>59623269.099999987</v>
      </c>
      <c r="E701">
        <v>66980600.859999999</v>
      </c>
      <c r="F701">
        <v>55409658</v>
      </c>
      <c r="G701">
        <v>57215130</v>
      </c>
      <c r="H701">
        <v>57406655</v>
      </c>
      <c r="I701">
        <f t="shared" si="90"/>
        <v>0.25284070070357223</v>
      </c>
      <c r="J701">
        <f t="shared" si="91"/>
        <v>-4.0389249639449676E-2</v>
      </c>
      <c r="K701">
        <f t="shared" si="92"/>
        <v>-0.14293609996140599</v>
      </c>
      <c r="L701">
        <f t="shared" si="93"/>
        <v>1.9578935760946445</v>
      </c>
      <c r="M701">
        <f t="shared" si="94"/>
        <v>-0.31332004387854212</v>
      </c>
      <c r="N701">
        <f t="shared" si="95"/>
        <v>-1.1090358026070499</v>
      </c>
      <c r="O701">
        <f t="shared" si="96"/>
        <v>46.102263202011734</v>
      </c>
      <c r="P701">
        <f t="shared" si="97"/>
        <v>9.3880972338642081</v>
      </c>
      <c r="Q701">
        <f t="shared" si="98"/>
        <v>7.0410729253981561</v>
      </c>
    </row>
    <row r="702" spans="1:17" x14ac:dyDescent="0.3">
      <c r="A702">
        <v>51016076</v>
      </c>
      <c r="B702" t="str">
        <f>VLOOKUP(A702,ASESORES!$A$2:$B$993,2,0)</f>
        <v>MONTENEGRO</v>
      </c>
      <c r="C702">
        <v>25822717.280000001</v>
      </c>
      <c r="D702">
        <v>37023226.700000003</v>
      </c>
      <c r="E702">
        <v>44822129.899999999</v>
      </c>
      <c r="F702">
        <v>40265520</v>
      </c>
      <c r="G702">
        <v>52852140</v>
      </c>
      <c r="H702">
        <v>57405502</v>
      </c>
      <c r="I702">
        <f t="shared" si="90"/>
        <v>0.55930607779941588</v>
      </c>
      <c r="J702">
        <f t="shared" si="91"/>
        <v>0.42754007986019205</v>
      </c>
      <c r="K702">
        <f t="shared" si="92"/>
        <v>0.28074016402330759</v>
      </c>
      <c r="L702">
        <f t="shared" si="93"/>
        <v>4.2534854226961061</v>
      </c>
      <c r="M702">
        <f t="shared" si="94"/>
        <v>3.3019187908167722</v>
      </c>
      <c r="N702">
        <f t="shared" si="95"/>
        <v>2.1782498836063904</v>
      </c>
      <c r="O702">
        <f t="shared" si="96"/>
        <v>79.128248113998325</v>
      </c>
      <c r="P702">
        <f t="shared" si="97"/>
        <v>66.890192791282473</v>
      </c>
      <c r="Q702">
        <f t="shared" si="98"/>
        <v>61.106454316848279</v>
      </c>
    </row>
    <row r="703" spans="1:17" x14ac:dyDescent="0.3">
      <c r="A703">
        <v>51014634</v>
      </c>
      <c r="B703" t="str">
        <f>VLOOKUP(A703,ASESORES!$A$2:$B$993,2,0)</f>
        <v>PRADES</v>
      </c>
      <c r="C703">
        <v>27925322.699999999</v>
      </c>
      <c r="D703">
        <v>41624283.349999987</v>
      </c>
      <c r="E703">
        <v>44414007</v>
      </c>
      <c r="F703">
        <v>44291475</v>
      </c>
      <c r="G703">
        <v>74409815</v>
      </c>
      <c r="H703">
        <v>57223608</v>
      </c>
      <c r="I703">
        <f t="shared" si="90"/>
        <v>0.58606851121544956</v>
      </c>
      <c r="J703">
        <f t="shared" si="91"/>
        <v>0.78765396089396034</v>
      </c>
      <c r="K703">
        <f t="shared" si="92"/>
        <v>0.28841354035000721</v>
      </c>
      <c r="L703">
        <f t="shared" si="93"/>
        <v>4.4812674627498437</v>
      </c>
      <c r="M703">
        <f t="shared" si="94"/>
        <v>6.2001207252424937</v>
      </c>
      <c r="N703">
        <f t="shared" si="95"/>
        <v>2.2373897386320021</v>
      </c>
      <c r="O703">
        <f t="shared" si="96"/>
        <v>81.307627829002513</v>
      </c>
      <c r="P703">
        <f t="shared" si="97"/>
        <v>91.53394803017602</v>
      </c>
      <c r="Q703">
        <f t="shared" si="98"/>
        <v>62.19614417435038</v>
      </c>
    </row>
    <row r="704" spans="1:17" x14ac:dyDescent="0.3">
      <c r="A704">
        <v>51004655</v>
      </c>
      <c r="B704" t="str">
        <f>VLOOKUP(A704,ASESORES!$A$2:$B$993,2,0)</f>
        <v>AYALA</v>
      </c>
      <c r="C704">
        <v>36004001.099999987</v>
      </c>
      <c r="D704">
        <v>36792374.420000002</v>
      </c>
      <c r="E704">
        <v>50182014.799999997</v>
      </c>
      <c r="F704">
        <v>39938070</v>
      </c>
      <c r="G704">
        <v>50771948</v>
      </c>
      <c r="H704">
        <v>57160102</v>
      </c>
      <c r="I704">
        <f t="shared" si="90"/>
        <v>0.10926754748932654</v>
      </c>
      <c r="J704">
        <f t="shared" si="91"/>
        <v>0.37995845064027267</v>
      </c>
      <c r="K704">
        <f t="shared" si="92"/>
        <v>0.13905554067151571</v>
      </c>
      <c r="L704">
        <f t="shared" si="93"/>
        <v>0.83058492307551945</v>
      </c>
      <c r="M704">
        <f t="shared" si="94"/>
        <v>2.9278168903641517</v>
      </c>
      <c r="N704">
        <f t="shared" si="95"/>
        <v>1.0786667604730518</v>
      </c>
      <c r="O704">
        <f t="shared" si="96"/>
        <v>30.511316010058675</v>
      </c>
      <c r="P704">
        <f t="shared" si="97"/>
        <v>62.112321877619451</v>
      </c>
      <c r="Q704">
        <f t="shared" si="98"/>
        <v>44.677284157585916</v>
      </c>
    </row>
    <row r="705" spans="1:17" x14ac:dyDescent="0.3">
      <c r="A705">
        <v>51030974</v>
      </c>
      <c r="B705" t="str">
        <f>VLOOKUP(A705,ASESORES!$A$2:$B$993,2,0)</f>
        <v>CICHETTO</v>
      </c>
      <c r="C705">
        <v>44577478.100000001</v>
      </c>
      <c r="D705">
        <v>69931991.75</v>
      </c>
      <c r="E705">
        <v>39716488.170000002</v>
      </c>
      <c r="F705">
        <v>39587689</v>
      </c>
      <c r="G705">
        <v>37306590</v>
      </c>
      <c r="H705">
        <v>57121356</v>
      </c>
      <c r="I705">
        <f t="shared" si="90"/>
        <v>-0.11193520388942779</v>
      </c>
      <c r="J705">
        <f t="shared" si="91"/>
        <v>-0.46653042382422916</v>
      </c>
      <c r="K705">
        <f t="shared" si="92"/>
        <v>0.43822776463773128</v>
      </c>
      <c r="L705">
        <f t="shared" si="93"/>
        <v>-0.85043444442990079</v>
      </c>
      <c r="M705">
        <f t="shared" si="94"/>
        <v>-3.5324683237402055</v>
      </c>
      <c r="N705">
        <f t="shared" si="95"/>
        <v>3.3992444711593248</v>
      </c>
      <c r="O705">
        <f t="shared" si="96"/>
        <v>7.5440067057837386</v>
      </c>
      <c r="P705">
        <f t="shared" si="97"/>
        <v>2.5984911986588433</v>
      </c>
      <c r="Q705">
        <f t="shared" si="98"/>
        <v>78.038558256496231</v>
      </c>
    </row>
    <row r="706" spans="1:17" x14ac:dyDescent="0.3">
      <c r="A706">
        <v>51056787</v>
      </c>
      <c r="B706" t="str">
        <f>VLOOKUP(A706,ASESORES!$A$2:$B$993,2,0)</f>
        <v>METTLER</v>
      </c>
      <c r="C706">
        <v>23846964.239999998</v>
      </c>
      <c r="D706">
        <v>32058988.800000001</v>
      </c>
      <c r="E706">
        <v>48293236.289999999</v>
      </c>
      <c r="F706">
        <v>37620447</v>
      </c>
      <c r="G706">
        <v>53824516</v>
      </c>
      <c r="H706">
        <v>57103889</v>
      </c>
      <c r="I706">
        <f t="shared" ref="I706:I769" si="99">IFERROR(F706/C706-1,0)</f>
        <v>0.57757803556801912</v>
      </c>
      <c r="J706">
        <f t="shared" ref="J706:J769" si="100">IFERROR(G706/D706-1,0)</f>
        <v>0.67892120165686576</v>
      </c>
      <c r="K706">
        <f t="shared" ref="K706:K769" si="101">IFERROR(H706/E706-1,0)</f>
        <v>0.18244071813891694</v>
      </c>
      <c r="L706">
        <f t="shared" ref="L706:L769" si="102">IFERROR(I706*LOG(F706),0)</f>
        <v>4.3753984844797884</v>
      </c>
      <c r="M706">
        <f t="shared" ref="M706:M769" si="103">IFERROR(J706*LOG(G706),0)</f>
        <v>5.2487263220560632</v>
      </c>
      <c r="N706">
        <f t="shared" ref="N706:N769" si="104">IFERROR(K706*LOG(H706),0)</f>
        <v>1.4151316581939022</v>
      </c>
      <c r="O706">
        <f t="shared" ref="O706:O769" si="105">RANK(L706,$L$2:$L$1194,1)/COUNT($L$2:$L$1194)*100</f>
        <v>80.469404861693206</v>
      </c>
      <c r="P706">
        <f t="shared" ref="P706:P769" si="106">RANK(M706,$M$2:$M$1194,1)/COUNT($M$2:$M$1194)*100</f>
        <v>86.923721709974856</v>
      </c>
      <c r="Q706">
        <f t="shared" ref="Q706:Q769" si="107">RANK(N706,$N$2:$N$1194,1)/COUNT($N$2:$N$1194)*100</f>
        <v>50.712489522212913</v>
      </c>
    </row>
    <row r="707" spans="1:17" x14ac:dyDescent="0.3">
      <c r="A707">
        <v>51032802</v>
      </c>
      <c r="B707" t="str">
        <f>VLOOKUP(A707,ASESORES!$A$2:$B$993,2,0)</f>
        <v>AYALA</v>
      </c>
      <c r="C707">
        <v>15360791.380000001</v>
      </c>
      <c r="D707">
        <v>17709050.5</v>
      </c>
      <c r="E707">
        <v>20838253</v>
      </c>
      <c r="F707">
        <v>16812568</v>
      </c>
      <c r="G707">
        <v>30616419</v>
      </c>
      <c r="H707">
        <v>57062267</v>
      </c>
      <c r="I707">
        <f t="shared" si="99"/>
        <v>9.4511837579555724E-2</v>
      </c>
      <c r="J707">
        <f t="shared" si="100"/>
        <v>0.72885717390664162</v>
      </c>
      <c r="K707">
        <f t="shared" si="101"/>
        <v>1.7383421729259165</v>
      </c>
      <c r="L707">
        <f t="shared" si="102"/>
        <v>0.68290795211099231</v>
      </c>
      <c r="M707">
        <f t="shared" si="103"/>
        <v>5.4561915627156612</v>
      </c>
      <c r="N707">
        <f t="shared" si="104"/>
        <v>13.483188612084792</v>
      </c>
      <c r="O707">
        <f t="shared" si="105"/>
        <v>29.253981559094722</v>
      </c>
      <c r="P707">
        <f t="shared" si="106"/>
        <v>87.929589270746021</v>
      </c>
      <c r="Q707">
        <f t="shared" si="107"/>
        <v>98.910310142497906</v>
      </c>
    </row>
    <row r="708" spans="1:17" x14ac:dyDescent="0.3">
      <c r="A708">
        <v>51043677</v>
      </c>
      <c r="B708" t="str">
        <f>VLOOKUP(A708,ASESORES!$A$2:$B$993,2,0)</f>
        <v>MONTENEGRO</v>
      </c>
      <c r="C708">
        <v>22873518.329999998</v>
      </c>
      <c r="D708">
        <v>30351000.620000001</v>
      </c>
      <c r="E708">
        <v>36067682.899999999</v>
      </c>
      <c r="F708">
        <v>31838307</v>
      </c>
      <c r="G708">
        <v>49191502</v>
      </c>
      <c r="H708">
        <v>56907349</v>
      </c>
      <c r="I708">
        <f t="shared" si="99"/>
        <v>0.39192871602276158</v>
      </c>
      <c r="J708">
        <f t="shared" si="100"/>
        <v>0.62075387944820903</v>
      </c>
      <c r="K708">
        <f t="shared" si="101"/>
        <v>0.57779331591051553</v>
      </c>
      <c r="L708">
        <f t="shared" si="102"/>
        <v>2.940621546595604</v>
      </c>
      <c r="M708">
        <f t="shared" si="103"/>
        <v>4.7747706095547162</v>
      </c>
      <c r="N708">
        <f t="shared" si="104"/>
        <v>4.4808844391013842</v>
      </c>
      <c r="O708">
        <f t="shared" si="105"/>
        <v>63.034367141659686</v>
      </c>
      <c r="P708">
        <f t="shared" si="106"/>
        <v>82.732606873428324</v>
      </c>
      <c r="Q708">
        <f t="shared" si="107"/>
        <v>87.929589270746021</v>
      </c>
    </row>
    <row r="709" spans="1:17" x14ac:dyDescent="0.3">
      <c r="A709">
        <v>51022467</v>
      </c>
      <c r="B709" t="str">
        <f>VLOOKUP(A709,ASESORES!$A$2:$B$993,2,0)</f>
        <v>PUGH</v>
      </c>
      <c r="C709">
        <v>25770460.100000001</v>
      </c>
      <c r="D709">
        <v>37293408.180000007</v>
      </c>
      <c r="E709">
        <v>45329834.209999993</v>
      </c>
      <c r="F709">
        <v>34987311</v>
      </c>
      <c r="G709">
        <v>42255150</v>
      </c>
      <c r="H709">
        <v>56873382</v>
      </c>
      <c r="I709">
        <f t="shared" si="99"/>
        <v>0.35765177898395373</v>
      </c>
      <c r="J709">
        <f t="shared" si="100"/>
        <v>0.13304608138928198</v>
      </c>
      <c r="K709">
        <f t="shared" si="101"/>
        <v>0.25465673967661329</v>
      </c>
      <c r="L709">
        <f t="shared" si="102"/>
        <v>2.6980930342253933</v>
      </c>
      <c r="M709">
        <f t="shared" si="103"/>
        <v>1.014593404276777</v>
      </c>
      <c r="N709">
        <f t="shared" si="104"/>
        <v>1.9748398563145664</v>
      </c>
      <c r="O709">
        <f t="shared" si="105"/>
        <v>58.843252305113161</v>
      </c>
      <c r="P709">
        <f t="shared" si="106"/>
        <v>35.87594300083822</v>
      </c>
      <c r="Q709">
        <f t="shared" si="107"/>
        <v>58.088851634534791</v>
      </c>
    </row>
    <row r="710" spans="1:17" x14ac:dyDescent="0.3">
      <c r="A710">
        <v>51055225</v>
      </c>
      <c r="B710" t="str">
        <f>VLOOKUP(A710,ASESORES!$A$2:$B$993,2,0)</f>
        <v>ROBERTS</v>
      </c>
      <c r="C710">
        <v>26040781.739999998</v>
      </c>
      <c r="D710">
        <v>32055250.510000002</v>
      </c>
      <c r="E710">
        <v>40598869.799999997</v>
      </c>
      <c r="F710">
        <v>37769929</v>
      </c>
      <c r="G710">
        <v>49892238</v>
      </c>
      <c r="H710">
        <v>56760052</v>
      </c>
      <c r="I710">
        <f t="shared" si="99"/>
        <v>0.45041456040405348</v>
      </c>
      <c r="J710">
        <f t="shared" si="100"/>
        <v>0.55644511292886478</v>
      </c>
      <c r="K710">
        <f t="shared" si="101"/>
        <v>0.39806975611917172</v>
      </c>
      <c r="L710">
        <f t="shared" si="102"/>
        <v>3.4128569605753944</v>
      </c>
      <c r="M710">
        <f t="shared" si="103"/>
        <v>4.2835328338817797</v>
      </c>
      <c r="N710">
        <f t="shared" si="104"/>
        <v>3.0866499202268263</v>
      </c>
      <c r="O710">
        <f t="shared" si="105"/>
        <v>70.075440067057841</v>
      </c>
      <c r="P710">
        <f t="shared" si="106"/>
        <v>78.038558256496231</v>
      </c>
      <c r="Q710">
        <f t="shared" si="107"/>
        <v>75.104777870913665</v>
      </c>
    </row>
    <row r="711" spans="1:17" x14ac:dyDescent="0.3">
      <c r="A711">
        <v>51041666</v>
      </c>
      <c r="B711" t="str">
        <f>VLOOKUP(A711,ASESORES!$A$2:$B$993,2,0)</f>
        <v>METTLER</v>
      </c>
      <c r="C711">
        <v>0</v>
      </c>
      <c r="D711">
        <v>13379974.85</v>
      </c>
      <c r="E711">
        <v>33971030.700000003</v>
      </c>
      <c r="F711">
        <v>36066855</v>
      </c>
      <c r="G711">
        <v>51374111</v>
      </c>
      <c r="H711">
        <v>56477691</v>
      </c>
      <c r="I711">
        <f t="shared" si="99"/>
        <v>0</v>
      </c>
      <c r="J711">
        <f t="shared" si="100"/>
        <v>2.839626873439153</v>
      </c>
      <c r="K711">
        <f t="shared" si="101"/>
        <v>0.66252509377055779</v>
      </c>
      <c r="L711">
        <f t="shared" si="102"/>
        <v>0</v>
      </c>
      <c r="M711">
        <f t="shared" si="103"/>
        <v>21.895636784518537</v>
      </c>
      <c r="N711">
        <f t="shared" si="104"/>
        <v>5.1358129919150421</v>
      </c>
      <c r="O711">
        <f t="shared" si="105"/>
        <v>11.5674769488684</v>
      </c>
      <c r="P711">
        <f t="shared" si="106"/>
        <v>99.245599329421623</v>
      </c>
      <c r="Q711">
        <f t="shared" si="107"/>
        <v>91.953059513830681</v>
      </c>
    </row>
    <row r="712" spans="1:17" x14ac:dyDescent="0.3">
      <c r="A712">
        <v>51024753</v>
      </c>
      <c r="B712" t="str">
        <f>VLOOKUP(A712,ASESORES!$A$2:$B$993,2,0)</f>
        <v>PUGH</v>
      </c>
      <c r="C712">
        <v>19113602.66</v>
      </c>
      <c r="D712">
        <v>27035192.940000009</v>
      </c>
      <c r="E712">
        <v>35379534.890000001</v>
      </c>
      <c r="F712">
        <v>33505256</v>
      </c>
      <c r="G712">
        <v>41391936</v>
      </c>
      <c r="H712">
        <v>56423262</v>
      </c>
      <c r="I712">
        <f t="shared" si="99"/>
        <v>0.75295346439936917</v>
      </c>
      <c r="J712">
        <f t="shared" si="100"/>
        <v>0.53103904573059002</v>
      </c>
      <c r="K712">
        <f t="shared" si="101"/>
        <v>0.59479942784516338</v>
      </c>
      <c r="L712">
        <f t="shared" si="102"/>
        <v>5.666059858584906</v>
      </c>
      <c r="M712">
        <f t="shared" si="103"/>
        <v>4.0448796659103863</v>
      </c>
      <c r="N712">
        <f t="shared" si="104"/>
        <v>4.6105628966317322</v>
      </c>
      <c r="O712">
        <f t="shared" si="105"/>
        <v>89.270746018440903</v>
      </c>
      <c r="P712">
        <f t="shared" si="106"/>
        <v>75.943000838222957</v>
      </c>
      <c r="Q712">
        <f t="shared" si="107"/>
        <v>89.354568315171832</v>
      </c>
    </row>
    <row r="713" spans="1:17" x14ac:dyDescent="0.3">
      <c r="A713">
        <v>51023901</v>
      </c>
      <c r="B713" t="str">
        <f>VLOOKUP(A713,ASESORES!$A$2:$B$993,2,0)</f>
        <v>METTLER</v>
      </c>
      <c r="C713">
        <v>25987316.850000001</v>
      </c>
      <c r="D713">
        <v>25122739.100000001</v>
      </c>
      <c r="E713">
        <v>31751321.809999999</v>
      </c>
      <c r="F713">
        <v>29928205</v>
      </c>
      <c r="G713">
        <v>40770960</v>
      </c>
      <c r="H713">
        <v>56357430</v>
      </c>
      <c r="I713">
        <f t="shared" si="99"/>
        <v>0.15164659640496891</v>
      </c>
      <c r="J713">
        <f t="shared" si="100"/>
        <v>0.62287081188531701</v>
      </c>
      <c r="K713">
        <f t="shared" si="101"/>
        <v>0.77496327041888291</v>
      </c>
      <c r="L713">
        <f t="shared" si="102"/>
        <v>1.1337221880542498</v>
      </c>
      <c r="M713">
        <f t="shared" si="103"/>
        <v>4.7402654672006683</v>
      </c>
      <c r="N713">
        <f t="shared" si="104"/>
        <v>6.0067024755274323</v>
      </c>
      <c r="O713">
        <f t="shared" si="105"/>
        <v>34.786253143336126</v>
      </c>
      <c r="P713">
        <f t="shared" si="106"/>
        <v>82.229673093042749</v>
      </c>
      <c r="Q713">
        <f t="shared" si="107"/>
        <v>94.635373009220459</v>
      </c>
    </row>
    <row r="714" spans="1:17" x14ac:dyDescent="0.3">
      <c r="A714">
        <v>51038401</v>
      </c>
      <c r="B714" t="str">
        <f>VLOOKUP(A714,ASESORES!$A$2:$B$993,2,0)</f>
        <v>PUGH</v>
      </c>
      <c r="C714">
        <v>30593630.199999999</v>
      </c>
      <c r="D714">
        <v>41916054.369999997</v>
      </c>
      <c r="E714">
        <v>54853407.119999997</v>
      </c>
      <c r="F714">
        <v>56318265</v>
      </c>
      <c r="G714">
        <v>59394976</v>
      </c>
      <c r="H714">
        <v>56206205</v>
      </c>
      <c r="I714">
        <f t="shared" si="99"/>
        <v>0.84084937393274761</v>
      </c>
      <c r="J714">
        <f t="shared" si="100"/>
        <v>0.4169982574149429</v>
      </c>
      <c r="K714">
        <f t="shared" si="101"/>
        <v>2.4662057491534828E-2</v>
      </c>
      <c r="L714">
        <f t="shared" si="102"/>
        <v>6.517128583733701</v>
      </c>
      <c r="M714">
        <f t="shared" si="103"/>
        <v>3.2416400831422365</v>
      </c>
      <c r="N714">
        <f t="shared" si="104"/>
        <v>0.1911256250423648</v>
      </c>
      <c r="O714">
        <f t="shared" si="105"/>
        <v>92.45599329421627</v>
      </c>
      <c r="P714">
        <f t="shared" si="106"/>
        <v>66.219614417435039</v>
      </c>
      <c r="Q714">
        <f t="shared" si="107"/>
        <v>33.948030176026819</v>
      </c>
    </row>
    <row r="715" spans="1:17" x14ac:dyDescent="0.3">
      <c r="A715">
        <v>51023226</v>
      </c>
      <c r="B715" t="str">
        <f>VLOOKUP(A715,ASESORES!$A$2:$B$993,2,0)</f>
        <v>PUGH</v>
      </c>
      <c r="C715">
        <v>26185440.25</v>
      </c>
      <c r="D715">
        <v>29969830.359999999</v>
      </c>
      <c r="E715">
        <v>41726918.799999997</v>
      </c>
      <c r="F715">
        <v>38145698</v>
      </c>
      <c r="G715">
        <v>39911760</v>
      </c>
      <c r="H715">
        <v>56178085</v>
      </c>
      <c r="I715">
        <f t="shared" si="99"/>
        <v>0.45675221175630232</v>
      </c>
      <c r="J715">
        <f t="shared" si="100"/>
        <v>0.33173126175813294</v>
      </c>
      <c r="K715">
        <f t="shared" si="101"/>
        <v>0.34632718196292989</v>
      </c>
      <c r="L715">
        <f t="shared" si="102"/>
        <v>3.4628420306438095</v>
      </c>
      <c r="M715">
        <f t="shared" si="103"/>
        <v>2.5215227854778832</v>
      </c>
      <c r="N715">
        <f t="shared" si="104"/>
        <v>2.683885676603555</v>
      </c>
      <c r="O715">
        <f t="shared" si="105"/>
        <v>70.746018440905274</v>
      </c>
      <c r="P715">
        <f t="shared" si="106"/>
        <v>55.825649622799666</v>
      </c>
      <c r="Q715">
        <f t="shared" si="107"/>
        <v>68.901927912824817</v>
      </c>
    </row>
    <row r="716" spans="1:17" x14ac:dyDescent="0.3">
      <c r="A716">
        <v>51019717</v>
      </c>
      <c r="B716" t="str">
        <f>VLOOKUP(A716,ASESORES!$A$2:$B$993,2,0)</f>
        <v>METTLER</v>
      </c>
      <c r="C716">
        <v>27393910.809999999</v>
      </c>
      <c r="D716">
        <v>36134131.979999997</v>
      </c>
      <c r="E716">
        <v>48352518.700000003</v>
      </c>
      <c r="F716">
        <v>46570404</v>
      </c>
      <c r="G716">
        <v>68432210</v>
      </c>
      <c r="H716">
        <v>56173828</v>
      </c>
      <c r="I716">
        <f t="shared" si="99"/>
        <v>0.70002758361174644</v>
      </c>
      <c r="J716">
        <f t="shared" si="100"/>
        <v>0.89383849148159356</v>
      </c>
      <c r="K716">
        <f t="shared" si="101"/>
        <v>0.16175598521613299</v>
      </c>
      <c r="L716">
        <f t="shared" si="102"/>
        <v>5.3678885179982059</v>
      </c>
      <c r="M716">
        <f t="shared" si="103"/>
        <v>7.0034574843635253</v>
      </c>
      <c r="N716">
        <f t="shared" si="104"/>
        <v>1.2535335103950944</v>
      </c>
      <c r="O716">
        <f t="shared" si="105"/>
        <v>87.59430008382229</v>
      </c>
      <c r="P716">
        <f t="shared" si="106"/>
        <v>93.880972338642081</v>
      </c>
      <c r="Q716">
        <f t="shared" si="107"/>
        <v>47.946353730092206</v>
      </c>
    </row>
    <row r="717" spans="1:17" x14ac:dyDescent="0.3">
      <c r="A717">
        <v>51007115</v>
      </c>
      <c r="B717" t="str">
        <f>VLOOKUP(A717,ASESORES!$A$2:$B$993,2,0)</f>
        <v>METTLER</v>
      </c>
      <c r="C717">
        <v>32677510.899999999</v>
      </c>
      <c r="D717">
        <v>39594025.799999997</v>
      </c>
      <c r="E717">
        <v>44459306.299999997</v>
      </c>
      <c r="F717">
        <v>48022291</v>
      </c>
      <c r="G717">
        <v>51204840</v>
      </c>
      <c r="H717">
        <v>56079047</v>
      </c>
      <c r="I717">
        <f t="shared" si="99"/>
        <v>0.46958228082176245</v>
      </c>
      <c r="J717">
        <f t="shared" si="100"/>
        <v>0.29324661903917848</v>
      </c>
      <c r="K717">
        <f t="shared" si="101"/>
        <v>0.26135677020223791</v>
      </c>
      <c r="L717">
        <f t="shared" si="102"/>
        <v>3.6070694652949085</v>
      </c>
      <c r="M717">
        <f t="shared" si="103"/>
        <v>2.2607293898115315</v>
      </c>
      <c r="N717">
        <f t="shared" si="104"/>
        <v>2.0252015042068239</v>
      </c>
      <c r="O717">
        <f t="shared" si="105"/>
        <v>72.757753562447618</v>
      </c>
      <c r="P717">
        <f t="shared" si="106"/>
        <v>51.634534786253141</v>
      </c>
      <c r="Q717">
        <f t="shared" si="107"/>
        <v>59.262363788767814</v>
      </c>
    </row>
    <row r="718" spans="1:17" x14ac:dyDescent="0.3">
      <c r="A718">
        <v>51016637</v>
      </c>
      <c r="B718" t="str">
        <f>VLOOKUP(A718,ASESORES!$A$2:$B$993,2,0)</f>
        <v>AYALA</v>
      </c>
      <c r="C718">
        <v>19553389.16</v>
      </c>
      <c r="D718">
        <v>28244309.739999998</v>
      </c>
      <c r="E718">
        <v>31251085.350000001</v>
      </c>
      <c r="F718">
        <v>26184961</v>
      </c>
      <c r="G718">
        <v>36209362</v>
      </c>
      <c r="H718">
        <v>55899097</v>
      </c>
      <c r="I718">
        <f t="shared" si="99"/>
        <v>0.33915204089355933</v>
      </c>
      <c r="J718">
        <f t="shared" si="100"/>
        <v>0.28200555557283735</v>
      </c>
      <c r="K718">
        <f t="shared" si="101"/>
        <v>0.78870897999067413</v>
      </c>
      <c r="L718">
        <f t="shared" si="102"/>
        <v>2.5158474519879768</v>
      </c>
      <c r="M718">
        <f t="shared" si="103"/>
        <v>2.1316294796878377</v>
      </c>
      <c r="N718">
        <f t="shared" si="104"/>
        <v>6.110447731312564</v>
      </c>
      <c r="O718">
        <f t="shared" si="105"/>
        <v>55.909471919530596</v>
      </c>
      <c r="P718">
        <f t="shared" si="106"/>
        <v>50.54484492875104</v>
      </c>
      <c r="Q718">
        <f t="shared" si="107"/>
        <v>94.970662196144175</v>
      </c>
    </row>
    <row r="719" spans="1:17" x14ac:dyDescent="0.3">
      <c r="A719">
        <v>51023439</v>
      </c>
      <c r="B719" t="str">
        <f>VLOOKUP(A719,ASESORES!$A$2:$B$993,2,0)</f>
        <v>NELLI</v>
      </c>
      <c r="C719">
        <v>20483437.199999999</v>
      </c>
      <c r="D719">
        <v>42552657.469999999</v>
      </c>
      <c r="E719">
        <v>61243328.299999997</v>
      </c>
      <c r="F719">
        <v>34862735</v>
      </c>
      <c r="G719">
        <v>55399220</v>
      </c>
      <c r="H719">
        <v>55797630</v>
      </c>
      <c r="I719">
        <f t="shared" si="99"/>
        <v>0.70199633292014108</v>
      </c>
      <c r="J719">
        <f t="shared" si="100"/>
        <v>0.30189800811046741</v>
      </c>
      <c r="K719">
        <f t="shared" si="101"/>
        <v>-8.8919045570552302E-2</v>
      </c>
      <c r="L719">
        <f t="shared" si="102"/>
        <v>5.2947100827873026</v>
      </c>
      <c r="M719">
        <f t="shared" si="103"/>
        <v>2.3377483277522475</v>
      </c>
      <c r="N719">
        <f t="shared" si="104"/>
        <v>-0.68882167913232917</v>
      </c>
      <c r="O719">
        <f t="shared" si="105"/>
        <v>87.342833193629517</v>
      </c>
      <c r="P719">
        <f t="shared" si="106"/>
        <v>52.724224643755235</v>
      </c>
      <c r="Q719">
        <f t="shared" si="107"/>
        <v>10.058675607711651</v>
      </c>
    </row>
    <row r="720" spans="1:17" x14ac:dyDescent="0.3">
      <c r="A720">
        <v>51031334</v>
      </c>
      <c r="B720" t="str">
        <f>VLOOKUP(A720,ASESORES!$A$2:$B$993,2,0)</f>
        <v>BELUZZO</v>
      </c>
      <c r="C720">
        <v>37540477.079999998</v>
      </c>
      <c r="D720">
        <v>54281164.789999999</v>
      </c>
      <c r="E720">
        <v>60749008.619999997</v>
      </c>
      <c r="F720">
        <v>40077554</v>
      </c>
      <c r="G720">
        <v>61348754</v>
      </c>
      <c r="H720">
        <v>55733694</v>
      </c>
      <c r="I720">
        <f t="shared" si="99"/>
        <v>6.7582436807966051E-2</v>
      </c>
      <c r="J720">
        <f t="shared" si="100"/>
        <v>0.13020334470239736</v>
      </c>
      <c r="K720">
        <f t="shared" si="101"/>
        <v>-8.255796652373415E-2</v>
      </c>
      <c r="L720">
        <f t="shared" si="102"/>
        <v>0.51382259044356005</v>
      </c>
      <c r="M720">
        <f t="shared" si="103"/>
        <v>1.0139983560977206</v>
      </c>
      <c r="N720">
        <f t="shared" si="104"/>
        <v>-0.63950373640067049</v>
      </c>
      <c r="O720">
        <f t="shared" si="105"/>
        <v>27.49371332774518</v>
      </c>
      <c r="P720">
        <f t="shared" si="106"/>
        <v>35.792120704107298</v>
      </c>
      <c r="Q720">
        <f t="shared" si="107"/>
        <v>10.477787091366302</v>
      </c>
    </row>
    <row r="721" spans="1:17" x14ac:dyDescent="0.3">
      <c r="A721">
        <v>51005368</v>
      </c>
      <c r="B721" t="str">
        <f>VLOOKUP(A721,ASESORES!$A$2:$B$993,2,0)</f>
        <v>PRADES</v>
      </c>
      <c r="C721">
        <v>27480646.170000002</v>
      </c>
      <c r="D721">
        <v>31427001.079999998</v>
      </c>
      <c r="E721">
        <v>48400004.669999987</v>
      </c>
      <c r="F721">
        <v>36278622</v>
      </c>
      <c r="G721">
        <v>52434840</v>
      </c>
      <c r="H721">
        <v>55695486</v>
      </c>
      <c r="I721">
        <f t="shared" si="99"/>
        <v>0.32015170879076882</v>
      </c>
      <c r="J721">
        <f t="shared" si="100"/>
        <v>0.66846463862469196</v>
      </c>
      <c r="K721">
        <f t="shared" si="101"/>
        <v>0.15073307078670606</v>
      </c>
      <c r="L721">
        <f t="shared" si="102"/>
        <v>2.4202351158934694</v>
      </c>
      <c r="M721">
        <f t="shared" si="103"/>
        <v>5.1602929582805412</v>
      </c>
      <c r="N721">
        <f t="shared" si="104"/>
        <v>1.1675512340537835</v>
      </c>
      <c r="O721">
        <f t="shared" si="105"/>
        <v>54.400670578373841</v>
      </c>
      <c r="P721">
        <f t="shared" si="106"/>
        <v>86.588432523051125</v>
      </c>
      <c r="Q721">
        <f t="shared" si="107"/>
        <v>46.102263202011734</v>
      </c>
    </row>
    <row r="722" spans="1:17" x14ac:dyDescent="0.3">
      <c r="A722">
        <v>51023803</v>
      </c>
      <c r="B722" t="str">
        <f>VLOOKUP(A722,ASESORES!$A$2:$B$993,2,0)</f>
        <v>LÓPEZ</v>
      </c>
      <c r="C722">
        <v>15124907</v>
      </c>
      <c r="D722">
        <v>27831815.899999999</v>
      </c>
      <c r="E722">
        <v>35851842.149999999</v>
      </c>
      <c r="F722">
        <v>36508280</v>
      </c>
      <c r="G722">
        <v>46040213</v>
      </c>
      <c r="H722">
        <v>55684327</v>
      </c>
      <c r="I722">
        <f t="shared" si="99"/>
        <v>1.4137854203004356</v>
      </c>
      <c r="J722">
        <f t="shared" si="100"/>
        <v>0.65422957544067417</v>
      </c>
      <c r="K722">
        <f t="shared" si="101"/>
        <v>0.55317896266036093</v>
      </c>
      <c r="L722">
        <f t="shared" si="102"/>
        <v>10.691598665314061</v>
      </c>
      <c r="M722">
        <f t="shared" si="103"/>
        <v>5.0134510781407071</v>
      </c>
      <c r="N722">
        <f t="shared" si="104"/>
        <v>4.2847765322384692</v>
      </c>
      <c r="O722">
        <f t="shared" si="105"/>
        <v>97.652975691533953</v>
      </c>
      <c r="P722">
        <f t="shared" si="106"/>
        <v>84.911986588432526</v>
      </c>
      <c r="Q722">
        <f t="shared" si="107"/>
        <v>86.504610226320196</v>
      </c>
    </row>
    <row r="723" spans="1:17" x14ac:dyDescent="0.3">
      <c r="A723">
        <v>51016777</v>
      </c>
      <c r="B723" t="str">
        <f>VLOOKUP(A723,ASESORES!$A$2:$B$993,2,0)</f>
        <v>AYALA</v>
      </c>
      <c r="C723">
        <v>28986127.600000001</v>
      </c>
      <c r="D723">
        <v>37183217.350000001</v>
      </c>
      <c r="E723">
        <v>46794264.280000001</v>
      </c>
      <c r="F723">
        <v>42782872</v>
      </c>
      <c r="G723">
        <v>49554600</v>
      </c>
      <c r="H723">
        <v>55634200</v>
      </c>
      <c r="I723">
        <f t="shared" si="99"/>
        <v>0.47597749483445995</v>
      </c>
      <c r="J723">
        <f t="shared" si="100"/>
        <v>0.33271415255839876</v>
      </c>
      <c r="K723">
        <f t="shared" si="101"/>
        <v>0.1889106679208592</v>
      </c>
      <c r="L723">
        <f t="shared" si="102"/>
        <v>3.6323127461898981</v>
      </c>
      <c r="M723">
        <f t="shared" si="103"/>
        <v>2.5602633435758526</v>
      </c>
      <c r="N723">
        <f t="shared" si="104"/>
        <v>1.4631777016732079</v>
      </c>
      <c r="O723">
        <f t="shared" si="105"/>
        <v>73.093042749371335</v>
      </c>
      <c r="P723">
        <f t="shared" si="106"/>
        <v>56.496227996647107</v>
      </c>
      <c r="Q723">
        <f t="shared" si="107"/>
        <v>51.634534786253141</v>
      </c>
    </row>
    <row r="724" spans="1:17" x14ac:dyDescent="0.3">
      <c r="A724">
        <v>51056094</v>
      </c>
      <c r="B724" t="str">
        <f>VLOOKUP(A724,ASESORES!$A$2:$B$993,2,0)</f>
        <v>AYALA</v>
      </c>
      <c r="C724">
        <v>21749718.329999998</v>
      </c>
      <c r="D724">
        <v>32579931.100000001</v>
      </c>
      <c r="E724">
        <v>43456158.770000003</v>
      </c>
      <c r="F724">
        <v>35607902</v>
      </c>
      <c r="G724">
        <v>46735155</v>
      </c>
      <c r="H724">
        <v>55353835</v>
      </c>
      <c r="I724">
        <f t="shared" si="99"/>
        <v>0.63716612140604223</v>
      </c>
      <c r="J724">
        <f t="shared" si="100"/>
        <v>0.4344767905294924</v>
      </c>
      <c r="K724">
        <f t="shared" si="101"/>
        <v>0.27378573179858612</v>
      </c>
      <c r="L724">
        <f t="shared" si="102"/>
        <v>4.8115895213928681</v>
      </c>
      <c r="M724">
        <f t="shared" si="103"/>
        <v>3.3322821738030046</v>
      </c>
      <c r="N724">
        <f t="shared" si="104"/>
        <v>2.119963363536391</v>
      </c>
      <c r="O724">
        <f t="shared" si="105"/>
        <v>84.409052808046937</v>
      </c>
      <c r="P724">
        <f t="shared" si="106"/>
        <v>67.476948868398992</v>
      </c>
      <c r="Q724">
        <f t="shared" si="107"/>
        <v>60.016764459346184</v>
      </c>
    </row>
    <row r="725" spans="1:17" x14ac:dyDescent="0.3">
      <c r="A725">
        <v>51018044</v>
      </c>
      <c r="B725" t="str">
        <f>VLOOKUP(A725,ASESORES!$A$2:$B$993,2,0)</f>
        <v>NELLI</v>
      </c>
      <c r="C725">
        <v>38110017.049999997</v>
      </c>
      <c r="D725">
        <v>76719764.300000012</v>
      </c>
      <c r="E725">
        <v>56917722.700000003</v>
      </c>
      <c r="F725">
        <v>32737200</v>
      </c>
      <c r="G725">
        <v>34933809</v>
      </c>
      <c r="H725">
        <v>55207695</v>
      </c>
      <c r="I725">
        <f t="shared" si="99"/>
        <v>-0.14098175403466517</v>
      </c>
      <c r="J725">
        <f t="shared" si="100"/>
        <v>-0.54465698221651082</v>
      </c>
      <c r="K725">
        <f t="shared" si="101"/>
        <v>-3.0043853107285412E-2</v>
      </c>
      <c r="L725">
        <f t="shared" si="102"/>
        <v>-1.0594837367719883</v>
      </c>
      <c r="M725">
        <f t="shared" si="103"/>
        <v>-4.1084815705710183</v>
      </c>
      <c r="N725">
        <f t="shared" si="104"/>
        <v>-0.23259949919286496</v>
      </c>
      <c r="O725">
        <f t="shared" si="105"/>
        <v>6.7896060352053649</v>
      </c>
      <c r="P725">
        <f t="shared" si="106"/>
        <v>2.0117351215423303</v>
      </c>
      <c r="Q725">
        <f t="shared" si="107"/>
        <v>12.908633696563285</v>
      </c>
    </row>
    <row r="726" spans="1:17" x14ac:dyDescent="0.3">
      <c r="A726">
        <v>51031318</v>
      </c>
      <c r="B726" t="str">
        <f>VLOOKUP(A726,ASESORES!$A$2:$B$993,2,0)</f>
        <v>PUGH</v>
      </c>
      <c r="C726">
        <v>34320788.799999997</v>
      </c>
      <c r="D726">
        <v>42862472.390000001</v>
      </c>
      <c r="E726">
        <v>52781853.880000003</v>
      </c>
      <c r="F726">
        <v>45669134</v>
      </c>
      <c r="G726">
        <v>51392490</v>
      </c>
      <c r="H726">
        <v>55167082</v>
      </c>
      <c r="I726">
        <f t="shared" si="99"/>
        <v>0.33065513925484158</v>
      </c>
      <c r="J726">
        <f t="shared" si="100"/>
        <v>0.19900899631702273</v>
      </c>
      <c r="K726">
        <f t="shared" si="101"/>
        <v>4.5190305846831924E-2</v>
      </c>
      <c r="L726">
        <f t="shared" si="102"/>
        <v>2.5326936357651499</v>
      </c>
      <c r="M726">
        <f t="shared" si="103"/>
        <v>1.5345384020475665</v>
      </c>
      <c r="N726">
        <f t="shared" si="104"/>
        <v>0.34984888755817206</v>
      </c>
      <c r="O726">
        <f t="shared" si="105"/>
        <v>56.077116512992454</v>
      </c>
      <c r="P726">
        <f t="shared" si="106"/>
        <v>42.497904442581728</v>
      </c>
      <c r="Q726">
        <f t="shared" si="107"/>
        <v>35.624476110645432</v>
      </c>
    </row>
    <row r="727" spans="1:17" x14ac:dyDescent="0.3">
      <c r="A727">
        <v>51031750</v>
      </c>
      <c r="B727" t="str">
        <f>VLOOKUP(A727,ASESORES!$A$2:$B$993,2,0)</f>
        <v>ROBERTS</v>
      </c>
      <c r="C727">
        <v>22349782.34</v>
      </c>
      <c r="D727">
        <v>30532182.359999999</v>
      </c>
      <c r="E727">
        <v>33107354.920000002</v>
      </c>
      <c r="F727">
        <v>29939355</v>
      </c>
      <c r="G727">
        <v>41645677</v>
      </c>
      <c r="H727">
        <v>55034746</v>
      </c>
      <c r="I727">
        <f t="shared" si="99"/>
        <v>0.33958150216151051</v>
      </c>
      <c r="J727">
        <f t="shared" si="100"/>
        <v>0.36399280303525616</v>
      </c>
      <c r="K727">
        <f t="shared" si="101"/>
        <v>0.66231177733723934</v>
      </c>
      <c r="L727">
        <f t="shared" si="102"/>
        <v>2.5387936382522476</v>
      </c>
      <c r="M727">
        <f t="shared" si="103"/>
        <v>2.7734686154521966</v>
      </c>
      <c r="N727">
        <f t="shared" si="104"/>
        <v>5.1267150269596735</v>
      </c>
      <c r="O727">
        <f t="shared" si="105"/>
        <v>56.328583403185249</v>
      </c>
      <c r="P727">
        <f t="shared" si="106"/>
        <v>59.513830678960602</v>
      </c>
      <c r="Q727">
        <f t="shared" si="107"/>
        <v>91.869237217099752</v>
      </c>
    </row>
    <row r="728" spans="1:17" x14ac:dyDescent="0.3">
      <c r="A728">
        <v>51032063</v>
      </c>
      <c r="B728" t="str">
        <f>VLOOKUP(A728,ASESORES!$A$2:$B$993,2,0)</f>
        <v>BELUZZO</v>
      </c>
      <c r="C728">
        <v>23180067.359999999</v>
      </c>
      <c r="D728">
        <v>30618826.75</v>
      </c>
      <c r="E728">
        <v>37086820.069999993</v>
      </c>
      <c r="F728">
        <v>34565762</v>
      </c>
      <c r="G728">
        <v>47771374</v>
      </c>
      <c r="H728">
        <v>54999842</v>
      </c>
      <c r="I728">
        <f t="shared" si="99"/>
        <v>0.4911847089645387</v>
      </c>
      <c r="J728">
        <f t="shared" si="100"/>
        <v>0.56019609732433651</v>
      </c>
      <c r="K728">
        <f t="shared" si="101"/>
        <v>0.48300236839367305</v>
      </c>
      <c r="L728">
        <f t="shared" si="102"/>
        <v>3.7028677079627683</v>
      </c>
      <c r="M728">
        <f t="shared" si="103"/>
        <v>4.3018397945230769</v>
      </c>
      <c r="N728">
        <f t="shared" si="104"/>
        <v>3.7386129086524824</v>
      </c>
      <c r="O728">
        <f t="shared" si="105"/>
        <v>74.0989103101425</v>
      </c>
      <c r="P728">
        <f t="shared" si="106"/>
        <v>78.12238055322716</v>
      </c>
      <c r="Q728">
        <f t="shared" si="107"/>
        <v>81.726739312657173</v>
      </c>
    </row>
    <row r="729" spans="1:17" x14ac:dyDescent="0.3">
      <c r="A729">
        <v>51029232</v>
      </c>
      <c r="B729" t="str">
        <f>VLOOKUP(A729,ASESORES!$A$2:$B$993,2,0)</f>
        <v>PUGH</v>
      </c>
      <c r="C729">
        <v>8940403.0999999996</v>
      </c>
      <c r="D729">
        <v>38535068.739999987</v>
      </c>
      <c r="E729">
        <v>9756417</v>
      </c>
      <c r="F729">
        <v>0</v>
      </c>
      <c r="G729">
        <v>10091347</v>
      </c>
      <c r="H729">
        <v>54955538</v>
      </c>
      <c r="I729">
        <f t="shared" si="99"/>
        <v>-1</v>
      </c>
      <c r="J729">
        <f t="shared" si="100"/>
        <v>-0.73812562608653065</v>
      </c>
      <c r="K729">
        <f t="shared" si="101"/>
        <v>4.6327582144141646</v>
      </c>
      <c r="L729">
        <f t="shared" si="102"/>
        <v>0</v>
      </c>
      <c r="M729">
        <f t="shared" si="103"/>
        <v>-5.1697943440665464</v>
      </c>
      <c r="N729">
        <f t="shared" si="104"/>
        <v>35.857601688813361</v>
      </c>
      <c r="O729">
        <f t="shared" si="105"/>
        <v>11.5674769488684</v>
      </c>
      <c r="P729">
        <f t="shared" si="106"/>
        <v>0.83822296730930423</v>
      </c>
      <c r="Q729">
        <f t="shared" si="107"/>
        <v>99.664710813076269</v>
      </c>
    </row>
    <row r="730" spans="1:17" x14ac:dyDescent="0.3">
      <c r="A730">
        <v>51035879</v>
      </c>
      <c r="B730" t="str">
        <f>VLOOKUP(A730,ASESORES!$A$2:$B$993,2,0)</f>
        <v>METTLER</v>
      </c>
      <c r="C730">
        <v>37495264.880000003</v>
      </c>
      <c r="D730">
        <v>45102109.350000001</v>
      </c>
      <c r="E730">
        <v>53763294.310000002</v>
      </c>
      <c r="F730">
        <v>47274933</v>
      </c>
      <c r="G730">
        <v>66349245</v>
      </c>
      <c r="H730">
        <v>54782909</v>
      </c>
      <c r="I730">
        <f t="shared" si="99"/>
        <v>0.26082408408898794</v>
      </c>
      <c r="J730">
        <f t="shared" si="100"/>
        <v>0.4710896221087717</v>
      </c>
      <c r="K730">
        <f t="shared" si="101"/>
        <v>1.8964884929128178E-2</v>
      </c>
      <c r="L730">
        <f t="shared" si="102"/>
        <v>2.0017285809561933</v>
      </c>
      <c r="M730">
        <f t="shared" si="103"/>
        <v>3.684785758518129</v>
      </c>
      <c r="N730">
        <f t="shared" si="104"/>
        <v>0.14676251363514475</v>
      </c>
      <c r="O730">
        <f t="shared" si="105"/>
        <v>46.689019279128246</v>
      </c>
      <c r="P730">
        <f t="shared" si="106"/>
        <v>71.751886001676439</v>
      </c>
      <c r="Q730">
        <f t="shared" si="107"/>
        <v>33.445096395641237</v>
      </c>
    </row>
    <row r="731" spans="1:17" x14ac:dyDescent="0.3">
      <c r="A731">
        <v>51001044</v>
      </c>
      <c r="B731" t="str">
        <f>VLOOKUP(A731,ASESORES!$A$2:$B$993,2,0)</f>
        <v>METTLER</v>
      </c>
      <c r="C731">
        <v>21986642.620000001</v>
      </c>
      <c r="D731">
        <v>26095652.25</v>
      </c>
      <c r="E731">
        <v>38085836.390000001</v>
      </c>
      <c r="F731">
        <v>32195967</v>
      </c>
      <c r="G731">
        <v>42994130</v>
      </c>
      <c r="H731">
        <v>54692050</v>
      </c>
      <c r="I731">
        <f t="shared" si="99"/>
        <v>0.46434212610128833</v>
      </c>
      <c r="J731">
        <f t="shared" si="100"/>
        <v>0.64755912548612393</v>
      </c>
      <c r="K731">
        <f t="shared" si="101"/>
        <v>0.4360207148912767</v>
      </c>
      <c r="L731">
        <f t="shared" si="102"/>
        <v>3.4861884985883518</v>
      </c>
      <c r="M731">
        <f t="shared" si="103"/>
        <v>4.9430837635502822</v>
      </c>
      <c r="N731">
        <f t="shared" si="104"/>
        <v>3.3738952424021553</v>
      </c>
      <c r="O731">
        <f t="shared" si="105"/>
        <v>71.081307627829005</v>
      </c>
      <c r="P731">
        <f t="shared" si="106"/>
        <v>84.325230511316008</v>
      </c>
      <c r="Q731">
        <f t="shared" si="107"/>
        <v>77.703269069572514</v>
      </c>
    </row>
    <row r="732" spans="1:17" x14ac:dyDescent="0.3">
      <c r="A732">
        <v>51028929</v>
      </c>
      <c r="B732" t="str">
        <f>VLOOKUP(A732,ASESORES!$A$2:$B$993,2,0)</f>
        <v>BELUZZO</v>
      </c>
      <c r="C732">
        <v>24648135.800000001</v>
      </c>
      <c r="D732">
        <v>29450145.66</v>
      </c>
      <c r="E732">
        <v>36139375.57</v>
      </c>
      <c r="F732">
        <v>28022685</v>
      </c>
      <c r="G732">
        <v>40394527</v>
      </c>
      <c r="H732">
        <v>54681611</v>
      </c>
      <c r="I732">
        <f t="shared" si="99"/>
        <v>0.13690890164602232</v>
      </c>
      <c r="J732">
        <f t="shared" si="100"/>
        <v>0.3716240138963034</v>
      </c>
      <c r="K732">
        <f t="shared" si="101"/>
        <v>0.51307570032815586</v>
      </c>
      <c r="L732">
        <f t="shared" si="102"/>
        <v>1.0196303791817476</v>
      </c>
      <c r="M732">
        <f t="shared" si="103"/>
        <v>2.8266921085191945</v>
      </c>
      <c r="N732">
        <f t="shared" si="104"/>
        <v>3.9700983445556441</v>
      </c>
      <c r="O732">
        <f t="shared" si="105"/>
        <v>33.10980720871752</v>
      </c>
      <c r="P732">
        <f t="shared" si="106"/>
        <v>60.435875943000838</v>
      </c>
      <c r="Q732">
        <f t="shared" si="107"/>
        <v>83.403185247275786</v>
      </c>
    </row>
    <row r="733" spans="1:17" x14ac:dyDescent="0.3">
      <c r="A733">
        <v>51054873</v>
      </c>
      <c r="B733" t="str">
        <f>VLOOKUP(A733,ASESORES!$A$2:$B$993,2,0)</f>
        <v>ROBERTS</v>
      </c>
      <c r="C733">
        <v>28863144.699999999</v>
      </c>
      <c r="D733">
        <v>33338249.550000001</v>
      </c>
      <c r="E733">
        <v>39730625.810000002</v>
      </c>
      <c r="F733">
        <v>29657855</v>
      </c>
      <c r="G733">
        <v>39528386</v>
      </c>
      <c r="H733">
        <v>54608792</v>
      </c>
      <c r="I733">
        <f t="shared" si="99"/>
        <v>2.7533739246368372E-2</v>
      </c>
      <c r="J733">
        <f t="shared" si="100"/>
        <v>0.1856767086921034</v>
      </c>
      <c r="K733">
        <f t="shared" si="101"/>
        <v>0.37447600904024103</v>
      </c>
      <c r="L733">
        <f t="shared" si="102"/>
        <v>0.20573594714595467</v>
      </c>
      <c r="M733">
        <f t="shared" si="103"/>
        <v>1.4105690745503203</v>
      </c>
      <c r="N733">
        <f t="shared" si="104"/>
        <v>2.8974192079685679</v>
      </c>
      <c r="O733">
        <f t="shared" si="105"/>
        <v>24.559932942162614</v>
      </c>
      <c r="P733">
        <f t="shared" si="106"/>
        <v>40.234702430846603</v>
      </c>
      <c r="Q733">
        <f t="shared" si="107"/>
        <v>72.08717518860017</v>
      </c>
    </row>
    <row r="734" spans="1:17" x14ac:dyDescent="0.3">
      <c r="A734">
        <v>51013913</v>
      </c>
      <c r="B734" t="str">
        <f>VLOOKUP(A734,ASESORES!$A$2:$B$993,2,0)</f>
        <v>BELUZZO</v>
      </c>
      <c r="C734">
        <v>17715714.75</v>
      </c>
      <c r="D734">
        <v>24417687.050000001</v>
      </c>
      <c r="E734">
        <v>34552960.719999999</v>
      </c>
      <c r="F734">
        <v>19573901</v>
      </c>
      <c r="G734">
        <v>24940342</v>
      </c>
      <c r="H734">
        <v>54557685</v>
      </c>
      <c r="I734">
        <f t="shared" si="99"/>
        <v>0.10488914933562032</v>
      </c>
      <c r="J734">
        <f t="shared" si="100"/>
        <v>2.1404768966436505E-2</v>
      </c>
      <c r="K734">
        <f t="shared" si="101"/>
        <v>0.57895832551393589</v>
      </c>
      <c r="L734">
        <f t="shared" si="102"/>
        <v>0.76481783839764739</v>
      </c>
      <c r="M734">
        <f t="shared" si="103"/>
        <v>0.1583289870365272</v>
      </c>
      <c r="N734">
        <f t="shared" si="104"/>
        <v>4.4793171562852789</v>
      </c>
      <c r="O734">
        <f t="shared" si="105"/>
        <v>29.840737636211234</v>
      </c>
      <c r="P734">
        <f t="shared" si="106"/>
        <v>27.577535624476113</v>
      </c>
      <c r="Q734">
        <f t="shared" si="107"/>
        <v>87.845766974015078</v>
      </c>
    </row>
    <row r="735" spans="1:17" x14ac:dyDescent="0.3">
      <c r="A735">
        <v>51033302</v>
      </c>
      <c r="B735" t="str">
        <f>VLOOKUP(A735,ASESORES!$A$2:$B$993,2,0)</f>
        <v>ARGUELLO</v>
      </c>
      <c r="C735">
        <v>40334226.439999998</v>
      </c>
      <c r="D735">
        <v>46064231.960000001</v>
      </c>
      <c r="E735">
        <v>49536458.030000001</v>
      </c>
      <c r="F735">
        <v>41527445</v>
      </c>
      <c r="G735">
        <v>46976579</v>
      </c>
      <c r="H735">
        <v>54493111</v>
      </c>
      <c r="I735">
        <f t="shared" si="99"/>
        <v>2.9583276173028805E-2</v>
      </c>
      <c r="J735">
        <f t="shared" si="100"/>
        <v>1.9805975291029343E-2</v>
      </c>
      <c r="K735">
        <f t="shared" si="101"/>
        <v>0.10006070613684526</v>
      </c>
      <c r="L735">
        <f t="shared" si="102"/>
        <v>0.22537531454682747</v>
      </c>
      <c r="M735">
        <f t="shared" si="103"/>
        <v>0.15194909318145572</v>
      </c>
      <c r="N735">
        <f t="shared" si="104"/>
        <v>0.77410380365105058</v>
      </c>
      <c r="O735">
        <f t="shared" si="105"/>
        <v>24.811399832355406</v>
      </c>
      <c r="P735">
        <f t="shared" si="106"/>
        <v>27.49371332774518</v>
      </c>
      <c r="Q735">
        <f t="shared" si="107"/>
        <v>40.737636211232186</v>
      </c>
    </row>
    <row r="736" spans="1:17" x14ac:dyDescent="0.3">
      <c r="A736">
        <v>51054806</v>
      </c>
      <c r="B736" t="str">
        <f>VLOOKUP(A736,ASESORES!$A$2:$B$993,2,0)</f>
        <v>ROBERTS</v>
      </c>
      <c r="C736">
        <v>36189099.07</v>
      </c>
      <c r="D736">
        <v>39973278.270000003</v>
      </c>
      <c r="E736">
        <v>54304459.159999996</v>
      </c>
      <c r="F736">
        <v>58580963</v>
      </c>
      <c r="G736">
        <v>46605523</v>
      </c>
      <c r="H736">
        <v>54074927</v>
      </c>
      <c r="I736">
        <f t="shared" si="99"/>
        <v>0.61874610049528367</v>
      </c>
      <c r="J736">
        <f t="shared" si="100"/>
        <v>0.16591695795382155</v>
      </c>
      <c r="K736">
        <f t="shared" si="101"/>
        <v>-4.2267644968844165E-3</v>
      </c>
      <c r="L736">
        <f t="shared" si="102"/>
        <v>4.8062690481044639</v>
      </c>
      <c r="M736">
        <f t="shared" si="103"/>
        <v>1.2723238033318287</v>
      </c>
      <c r="N736">
        <f t="shared" si="104"/>
        <v>-3.2685552701449662E-2</v>
      </c>
      <c r="O736">
        <f t="shared" si="105"/>
        <v>84.325230511316008</v>
      </c>
      <c r="P736">
        <f t="shared" si="106"/>
        <v>38.390611902766139</v>
      </c>
      <c r="Q736">
        <f t="shared" si="107"/>
        <v>14.585079631181893</v>
      </c>
    </row>
    <row r="737" spans="1:17" x14ac:dyDescent="0.3">
      <c r="A737">
        <v>51030567</v>
      </c>
      <c r="B737" t="str">
        <f>VLOOKUP(A737,ASESORES!$A$2:$B$993,2,0)</f>
        <v>NELLI</v>
      </c>
      <c r="C737">
        <v>39652714.049999997</v>
      </c>
      <c r="D737">
        <v>51820778.880000003</v>
      </c>
      <c r="E737">
        <v>50460586.299999997</v>
      </c>
      <c r="F737">
        <v>50950830</v>
      </c>
      <c r="G737">
        <v>53481826</v>
      </c>
      <c r="H737">
        <v>53983145</v>
      </c>
      <c r="I737">
        <f t="shared" si="99"/>
        <v>0.2849266745210346</v>
      </c>
      <c r="J737">
        <f t="shared" si="100"/>
        <v>3.205368880785131E-2</v>
      </c>
      <c r="K737">
        <f t="shared" si="101"/>
        <v>6.980812071935838E-2</v>
      </c>
      <c r="L737">
        <f t="shared" si="102"/>
        <v>2.195972979440139</v>
      </c>
      <c r="M737">
        <f t="shared" si="103"/>
        <v>0.24771751743405623</v>
      </c>
      <c r="N737">
        <f t="shared" si="104"/>
        <v>0.53977441263631509</v>
      </c>
      <c r="O737">
        <f t="shared" si="105"/>
        <v>50.125733445096401</v>
      </c>
      <c r="P737">
        <f t="shared" si="106"/>
        <v>28.667225481978203</v>
      </c>
      <c r="Q737">
        <f t="shared" si="107"/>
        <v>37.80385582564962</v>
      </c>
    </row>
    <row r="738" spans="1:17" x14ac:dyDescent="0.3">
      <c r="A738">
        <v>51014375</v>
      </c>
      <c r="B738" t="str">
        <f>VLOOKUP(A738,ASESORES!$A$2:$B$993,2,0)</f>
        <v>ROBERTS</v>
      </c>
      <c r="C738">
        <v>37100420.68</v>
      </c>
      <c r="D738">
        <v>49546419.57</v>
      </c>
      <c r="E738">
        <v>58557706.219999999</v>
      </c>
      <c r="F738">
        <v>39736324</v>
      </c>
      <c r="G738">
        <v>55520449</v>
      </c>
      <c r="H738">
        <v>53946680</v>
      </c>
      <c r="I738">
        <f t="shared" si="99"/>
        <v>7.1047801391129761E-2</v>
      </c>
      <c r="J738">
        <f t="shared" si="100"/>
        <v>0.12057439229407474</v>
      </c>
      <c r="K738">
        <f t="shared" si="101"/>
        <v>-7.8743286198343809E-2</v>
      </c>
      <c r="L738">
        <f t="shared" si="102"/>
        <v>0.53990557760015523</v>
      </c>
      <c r="M738">
        <f t="shared" si="103"/>
        <v>0.9337827104654004</v>
      </c>
      <c r="N738">
        <f t="shared" si="104"/>
        <v>-0.60884031101004676</v>
      </c>
      <c r="O738">
        <f t="shared" si="105"/>
        <v>27.996647108130762</v>
      </c>
      <c r="P738">
        <f t="shared" si="106"/>
        <v>33.86420787929589</v>
      </c>
      <c r="Q738">
        <f t="shared" si="107"/>
        <v>10.729253981559095</v>
      </c>
    </row>
    <row r="739" spans="1:17" x14ac:dyDescent="0.3">
      <c r="A739">
        <v>51056337</v>
      </c>
      <c r="B739" t="str">
        <f>VLOOKUP(A739,ASESORES!$A$2:$B$993,2,0)</f>
        <v>LÓPEZ</v>
      </c>
      <c r="C739">
        <v>21873957.16</v>
      </c>
      <c r="D739">
        <v>23776912.510000002</v>
      </c>
      <c r="E739">
        <v>40070467.530000001</v>
      </c>
      <c r="F739">
        <v>28407460</v>
      </c>
      <c r="G739">
        <v>46806136</v>
      </c>
      <c r="H739">
        <v>53695299</v>
      </c>
      <c r="I739">
        <f t="shared" si="99"/>
        <v>0.29868865483322549</v>
      </c>
      <c r="J739">
        <f t="shared" si="100"/>
        <v>0.96855399035995338</v>
      </c>
      <c r="K739">
        <f t="shared" si="101"/>
        <v>0.34002177438532111</v>
      </c>
      <c r="L739">
        <f t="shared" si="102"/>
        <v>2.2262556985899318</v>
      </c>
      <c r="M739">
        <f t="shared" si="103"/>
        <v>7.4291023746918539</v>
      </c>
      <c r="N739">
        <f t="shared" si="104"/>
        <v>2.6283466447350432</v>
      </c>
      <c r="O739">
        <f t="shared" si="105"/>
        <v>50.796311818943842</v>
      </c>
      <c r="P739">
        <f t="shared" si="106"/>
        <v>94.803017602682317</v>
      </c>
      <c r="Q739">
        <f t="shared" si="107"/>
        <v>67.72841575859178</v>
      </c>
    </row>
    <row r="740" spans="1:17" x14ac:dyDescent="0.3">
      <c r="A740">
        <v>51054938</v>
      </c>
      <c r="B740" t="str">
        <f>VLOOKUP(A740,ASESORES!$A$2:$B$993,2,0)</f>
        <v>NELLI</v>
      </c>
      <c r="C740">
        <v>23277747.600000001</v>
      </c>
      <c r="D740">
        <v>32900580.100000001</v>
      </c>
      <c r="E740">
        <v>43240285.5</v>
      </c>
      <c r="F740">
        <v>27807625</v>
      </c>
      <c r="G740">
        <v>46986822</v>
      </c>
      <c r="H740">
        <v>53636087</v>
      </c>
      <c r="I740">
        <f t="shared" si="99"/>
        <v>0.19460119070970583</v>
      </c>
      <c r="J740">
        <f t="shared" si="100"/>
        <v>0.42814570008144015</v>
      </c>
      <c r="K740">
        <f t="shared" si="101"/>
        <v>0.2404193538453856</v>
      </c>
      <c r="L740">
        <f t="shared" si="102"/>
        <v>1.4486431584134396</v>
      </c>
      <c r="M740">
        <f t="shared" si="103"/>
        <v>3.28472356638922</v>
      </c>
      <c r="N740">
        <f t="shared" si="104"/>
        <v>1.8583110783237824</v>
      </c>
      <c r="O740">
        <f t="shared" si="105"/>
        <v>39.564124056999162</v>
      </c>
      <c r="P740">
        <f t="shared" si="106"/>
        <v>66.638725901089686</v>
      </c>
      <c r="Q740">
        <f t="shared" si="107"/>
        <v>56.328583403185249</v>
      </c>
    </row>
    <row r="741" spans="1:17" x14ac:dyDescent="0.3">
      <c r="A741">
        <v>51024834</v>
      </c>
      <c r="B741" t="str">
        <f>VLOOKUP(A741,ASESORES!$A$2:$B$993,2,0)</f>
        <v>MONTENEGRO</v>
      </c>
      <c r="C741">
        <v>32076730.649999999</v>
      </c>
      <c r="D741">
        <v>37879889.409999996</v>
      </c>
      <c r="E741">
        <v>45120666.240000002</v>
      </c>
      <c r="F741">
        <v>36995821</v>
      </c>
      <c r="G741">
        <v>48260672</v>
      </c>
      <c r="H741">
        <v>53635767</v>
      </c>
      <c r="I741">
        <f t="shared" si="99"/>
        <v>0.15335385652839295</v>
      </c>
      <c r="J741">
        <f t="shared" si="100"/>
        <v>0.27404469104018969</v>
      </c>
      <c r="K741">
        <f t="shared" si="101"/>
        <v>0.18871841817910173</v>
      </c>
      <c r="L741">
        <f t="shared" si="102"/>
        <v>1.1606053986628035</v>
      </c>
      <c r="M741">
        <f t="shared" si="103"/>
        <v>2.1056479697616068</v>
      </c>
      <c r="N741">
        <f t="shared" si="104"/>
        <v>1.4586904257749</v>
      </c>
      <c r="O741">
        <f t="shared" si="105"/>
        <v>35.373009220452637</v>
      </c>
      <c r="P741">
        <f t="shared" si="106"/>
        <v>50.041911148365472</v>
      </c>
      <c r="Q741">
        <f t="shared" si="107"/>
        <v>51.383067896060354</v>
      </c>
    </row>
    <row r="742" spans="1:17" x14ac:dyDescent="0.3">
      <c r="A742">
        <v>51016831</v>
      </c>
      <c r="B742" t="str">
        <f>VLOOKUP(A742,ASESORES!$A$2:$B$993,2,0)</f>
        <v>MONTENEGRO</v>
      </c>
      <c r="C742">
        <v>30130980.079999998</v>
      </c>
      <c r="D742">
        <v>42885794.140000001</v>
      </c>
      <c r="E742">
        <v>52159752.780000001</v>
      </c>
      <c r="F742">
        <v>44226427</v>
      </c>
      <c r="G742">
        <v>53773092</v>
      </c>
      <c r="H742">
        <v>53612446</v>
      </c>
      <c r="I742">
        <f t="shared" si="99"/>
        <v>0.4678057893429135</v>
      </c>
      <c r="J742">
        <f t="shared" si="100"/>
        <v>0.25386723222283325</v>
      </c>
      <c r="K742">
        <f t="shared" si="101"/>
        <v>2.7850845576802952E-2</v>
      </c>
      <c r="L742">
        <f t="shared" si="102"/>
        <v>3.5766942350823436</v>
      </c>
      <c r="M742">
        <f t="shared" si="103"/>
        <v>1.9625371424827582</v>
      </c>
      <c r="N742">
        <f t="shared" si="104"/>
        <v>0.21526658325521789</v>
      </c>
      <c r="O742">
        <f t="shared" si="105"/>
        <v>72.254819782062029</v>
      </c>
      <c r="P742">
        <f t="shared" si="106"/>
        <v>47.527242246437552</v>
      </c>
      <c r="Q742">
        <f t="shared" si="107"/>
        <v>34.450963956412409</v>
      </c>
    </row>
    <row r="743" spans="1:17" x14ac:dyDescent="0.3">
      <c r="A743">
        <v>51023927</v>
      </c>
      <c r="B743" t="str">
        <f>VLOOKUP(A743,ASESORES!$A$2:$B$993,2,0)</f>
        <v>ARGUELLO</v>
      </c>
      <c r="C743">
        <v>34989858.140000001</v>
      </c>
      <c r="D743">
        <v>53581862.32</v>
      </c>
      <c r="E743">
        <v>81064182.469999999</v>
      </c>
      <c r="F743">
        <v>45954400</v>
      </c>
      <c r="G743">
        <v>50866744</v>
      </c>
      <c r="H743">
        <v>53425082</v>
      </c>
      <c r="I743">
        <f t="shared" si="99"/>
        <v>0.31336342708590359</v>
      </c>
      <c r="J743">
        <f t="shared" si="100"/>
        <v>-5.0672339527597088E-2</v>
      </c>
      <c r="K743">
        <f t="shared" si="101"/>
        <v>-0.34095329932215868</v>
      </c>
      <c r="L743">
        <f t="shared" si="102"/>
        <v>2.4010930795546663</v>
      </c>
      <c r="M743">
        <f t="shared" si="103"/>
        <v>-0.39050303711226075</v>
      </c>
      <c r="N743">
        <f t="shared" si="104"/>
        <v>-2.6348002213805222</v>
      </c>
      <c r="O743">
        <f t="shared" si="105"/>
        <v>53.897736797988259</v>
      </c>
      <c r="P743">
        <f t="shared" si="106"/>
        <v>9.2204526404023479</v>
      </c>
      <c r="Q743">
        <f t="shared" si="107"/>
        <v>3.4367141659681475</v>
      </c>
    </row>
    <row r="744" spans="1:17" x14ac:dyDescent="0.3">
      <c r="A744">
        <v>51020111</v>
      </c>
      <c r="B744" t="str">
        <f>VLOOKUP(A744,ASESORES!$A$2:$B$993,2,0)</f>
        <v>BELUZZO</v>
      </c>
      <c r="C744">
        <v>22204807.850000001</v>
      </c>
      <c r="D744">
        <v>28667599.75</v>
      </c>
      <c r="E744">
        <v>36404887.840000004</v>
      </c>
      <c r="F744">
        <v>28901595</v>
      </c>
      <c r="G744">
        <v>46006335</v>
      </c>
      <c r="H744">
        <v>53280596</v>
      </c>
      <c r="I744">
        <f t="shared" si="99"/>
        <v>0.30159176315502312</v>
      </c>
      <c r="J744">
        <f t="shared" si="100"/>
        <v>0.60481991520758549</v>
      </c>
      <c r="K744">
        <f t="shared" si="101"/>
        <v>0.46355610911834066</v>
      </c>
      <c r="L744">
        <f t="shared" si="102"/>
        <v>2.2501525637240225</v>
      </c>
      <c r="M744">
        <f t="shared" si="103"/>
        <v>4.6346247137437553</v>
      </c>
      <c r="N744">
        <f t="shared" si="104"/>
        <v>3.5816982968860156</v>
      </c>
      <c r="O744">
        <f t="shared" si="105"/>
        <v>51.383067896060354</v>
      </c>
      <c r="P744">
        <f t="shared" si="106"/>
        <v>81.475272422464371</v>
      </c>
      <c r="Q744">
        <f t="shared" si="107"/>
        <v>80.13411567476949</v>
      </c>
    </row>
    <row r="745" spans="1:17" x14ac:dyDescent="0.3">
      <c r="A745">
        <v>51055250</v>
      </c>
      <c r="B745" t="str">
        <f>VLOOKUP(A745,ASESORES!$A$2:$B$993,2,0)</f>
        <v>METTLER</v>
      </c>
      <c r="C745">
        <v>22191719.34</v>
      </c>
      <c r="D745">
        <v>28668512.359999999</v>
      </c>
      <c r="E745">
        <v>32614960.789999999</v>
      </c>
      <c r="F745">
        <v>34756995</v>
      </c>
      <c r="G745">
        <v>33811164</v>
      </c>
      <c r="H745">
        <v>53277845</v>
      </c>
      <c r="I745">
        <f t="shared" si="99"/>
        <v>0.56621460768708509</v>
      </c>
      <c r="J745">
        <f t="shared" si="100"/>
        <v>0.1793832751215696</v>
      </c>
      <c r="K745">
        <f t="shared" si="101"/>
        <v>0.63354005982234396</v>
      </c>
      <c r="L745">
        <f t="shared" si="102"/>
        <v>4.2698482629534622</v>
      </c>
      <c r="M745">
        <f t="shared" si="103"/>
        <v>1.3505874633184973</v>
      </c>
      <c r="N745">
        <f t="shared" si="104"/>
        <v>4.8950768268800164</v>
      </c>
      <c r="O745">
        <f t="shared" si="105"/>
        <v>79.379715004191127</v>
      </c>
      <c r="P745">
        <f t="shared" si="106"/>
        <v>39.312657166806368</v>
      </c>
      <c r="Q745">
        <f t="shared" si="107"/>
        <v>90.779547359597657</v>
      </c>
    </row>
    <row r="746" spans="1:17" x14ac:dyDescent="0.3">
      <c r="A746">
        <v>51018036</v>
      </c>
      <c r="B746" t="str">
        <f>VLOOKUP(A746,ASESORES!$A$2:$B$993,2,0)</f>
        <v>CICHETTO</v>
      </c>
      <c r="C746">
        <v>36584250.930000007</v>
      </c>
      <c r="D746">
        <v>43521959.82</v>
      </c>
      <c r="E746">
        <v>48634289.010000013</v>
      </c>
      <c r="F746">
        <v>38344733</v>
      </c>
      <c r="G746">
        <v>44522593</v>
      </c>
      <c r="H746">
        <v>53268555</v>
      </c>
      <c r="I746">
        <f t="shared" si="99"/>
        <v>4.8121309723369254E-2</v>
      </c>
      <c r="J746">
        <f t="shared" si="100"/>
        <v>2.299145498360966E-2</v>
      </c>
      <c r="K746">
        <f t="shared" si="101"/>
        <v>9.5288038220258775E-2</v>
      </c>
      <c r="L746">
        <f t="shared" si="102"/>
        <v>0.36493785170965182</v>
      </c>
      <c r="M746">
        <f t="shared" si="103"/>
        <v>0.17585199309895966</v>
      </c>
      <c r="N746">
        <f t="shared" si="104"/>
        <v>0.73624025594860987</v>
      </c>
      <c r="O746">
        <f t="shared" si="105"/>
        <v>26.236378876781224</v>
      </c>
      <c r="P746">
        <f t="shared" si="106"/>
        <v>27.745180217937971</v>
      </c>
      <c r="Q746">
        <f t="shared" si="107"/>
        <v>40.150880134115674</v>
      </c>
    </row>
    <row r="747" spans="1:17" x14ac:dyDescent="0.3">
      <c r="A747">
        <v>51009797</v>
      </c>
      <c r="B747" t="str">
        <f>VLOOKUP(A747,ASESORES!$A$2:$B$993,2,0)</f>
        <v>PUGH</v>
      </c>
      <c r="C747">
        <v>32050266.68</v>
      </c>
      <c r="D747">
        <v>47577892.350000001</v>
      </c>
      <c r="E747">
        <v>53654897.540000007</v>
      </c>
      <c r="F747">
        <v>52090149</v>
      </c>
      <c r="G747">
        <v>61980674</v>
      </c>
      <c r="H747">
        <v>53224508</v>
      </c>
      <c r="I747">
        <f t="shared" si="99"/>
        <v>0.62526413649173418</v>
      </c>
      <c r="J747">
        <f t="shared" si="100"/>
        <v>0.30272004367171168</v>
      </c>
      <c r="K747">
        <f t="shared" si="101"/>
        <v>-8.0214399753377741E-3</v>
      </c>
      <c r="L747">
        <f t="shared" si="102"/>
        <v>4.8250105265651531</v>
      </c>
      <c r="M747">
        <f t="shared" si="103"/>
        <v>2.3588721658031933</v>
      </c>
      <c r="N747">
        <f t="shared" si="104"/>
        <v>-6.1974540887918032E-2</v>
      </c>
      <c r="O747">
        <f t="shared" si="105"/>
        <v>84.57669740150881</v>
      </c>
      <c r="P747">
        <f t="shared" si="106"/>
        <v>52.97569153394803</v>
      </c>
      <c r="Q747">
        <f t="shared" si="107"/>
        <v>14.417435037720033</v>
      </c>
    </row>
    <row r="748" spans="1:17" x14ac:dyDescent="0.3">
      <c r="A748">
        <v>51041917</v>
      </c>
      <c r="B748" t="str">
        <f>VLOOKUP(A748,ASESORES!$A$2:$B$993,2,0)</f>
        <v>ROBERTS</v>
      </c>
      <c r="C748">
        <v>22005808.91</v>
      </c>
      <c r="D748">
        <v>32560948.57</v>
      </c>
      <c r="E748">
        <v>47620235.299999997</v>
      </c>
      <c r="F748">
        <v>43577600</v>
      </c>
      <c r="G748">
        <v>45123786</v>
      </c>
      <c r="H748">
        <v>53219891</v>
      </c>
      <c r="I748">
        <f t="shared" si="99"/>
        <v>0.98027712492755614</v>
      </c>
      <c r="J748">
        <f t="shared" si="100"/>
        <v>0.38582529016291489</v>
      </c>
      <c r="K748">
        <f t="shared" si="101"/>
        <v>0.11758983685660218</v>
      </c>
      <c r="L748">
        <f t="shared" si="102"/>
        <v>7.4885950722898427</v>
      </c>
      <c r="M748">
        <f t="shared" si="103"/>
        <v>2.953263234988607</v>
      </c>
      <c r="N748">
        <f t="shared" si="104"/>
        <v>0.90850777893666379</v>
      </c>
      <c r="O748">
        <f t="shared" si="105"/>
        <v>94.551550712489515</v>
      </c>
      <c r="P748">
        <f t="shared" si="106"/>
        <v>62.447611064543175</v>
      </c>
      <c r="Q748">
        <f t="shared" si="107"/>
        <v>42.497904442581728</v>
      </c>
    </row>
    <row r="749" spans="1:17" x14ac:dyDescent="0.3">
      <c r="A749">
        <v>51017846</v>
      </c>
      <c r="B749" t="str">
        <f>VLOOKUP(A749,ASESORES!$A$2:$B$993,2,0)</f>
        <v>CICHETTO</v>
      </c>
      <c r="C749">
        <v>15885434.76</v>
      </c>
      <c r="D749">
        <v>32525946.760000002</v>
      </c>
      <c r="E749">
        <v>33487699.109999999</v>
      </c>
      <c r="F749">
        <v>26869990</v>
      </c>
      <c r="G749">
        <v>38122140</v>
      </c>
      <c r="H749">
        <v>53147164</v>
      </c>
      <c r="I749">
        <f t="shared" si="99"/>
        <v>0.69148596849608679</v>
      </c>
      <c r="J749">
        <f t="shared" si="100"/>
        <v>0.17205320051996531</v>
      </c>
      <c r="K749">
        <f t="shared" si="101"/>
        <v>0.58706526314103646</v>
      </c>
      <c r="L749">
        <f t="shared" si="102"/>
        <v>5.1372342357766758</v>
      </c>
      <c r="M749">
        <f t="shared" si="103"/>
        <v>1.3043658133442717</v>
      </c>
      <c r="N749">
        <f t="shared" si="104"/>
        <v>4.5353610048466733</v>
      </c>
      <c r="O749">
        <f t="shared" si="105"/>
        <v>86.169321039396479</v>
      </c>
      <c r="P749">
        <f t="shared" si="106"/>
        <v>38.893545683151721</v>
      </c>
      <c r="Q749">
        <f t="shared" si="107"/>
        <v>88.51634534786254</v>
      </c>
    </row>
    <row r="750" spans="1:17" x14ac:dyDescent="0.3">
      <c r="A750">
        <v>51015851</v>
      </c>
      <c r="B750" t="str">
        <f>VLOOKUP(A750,ASESORES!$A$2:$B$993,2,0)</f>
        <v>ROBERTS</v>
      </c>
      <c r="C750">
        <v>24532418.93</v>
      </c>
      <c r="D750">
        <v>28185414.199999999</v>
      </c>
      <c r="E750">
        <v>36387659.540000007</v>
      </c>
      <c r="F750">
        <v>32014430</v>
      </c>
      <c r="G750">
        <v>43700730</v>
      </c>
      <c r="H750">
        <v>52740740</v>
      </c>
      <c r="I750">
        <f t="shared" si="99"/>
        <v>0.30498464465933539</v>
      </c>
      <c r="J750">
        <f t="shared" si="100"/>
        <v>0.55047322313255198</v>
      </c>
      <c r="K750">
        <f t="shared" si="101"/>
        <v>0.44941281375966158</v>
      </c>
      <c r="L750">
        <f t="shared" si="102"/>
        <v>2.2890152138816791</v>
      </c>
      <c r="M750">
        <f t="shared" si="103"/>
        <v>4.2058844364359915</v>
      </c>
      <c r="N750">
        <f t="shared" si="104"/>
        <v>3.4704314605632911</v>
      </c>
      <c r="O750">
        <f t="shared" si="105"/>
        <v>52.472757753562448</v>
      </c>
      <c r="P750">
        <f t="shared" si="106"/>
        <v>77.116512992455995</v>
      </c>
      <c r="Q750">
        <f t="shared" si="107"/>
        <v>78.876781223805537</v>
      </c>
    </row>
    <row r="751" spans="1:17" x14ac:dyDescent="0.3">
      <c r="A751">
        <v>51036603</v>
      </c>
      <c r="B751" t="str">
        <f>VLOOKUP(A751,ASESORES!$A$2:$B$993,2,0)</f>
        <v>CICHETTO</v>
      </c>
      <c r="C751">
        <v>34679788.009999998</v>
      </c>
      <c r="D751">
        <v>38808319.109999999</v>
      </c>
      <c r="E751">
        <v>56894212.219999999</v>
      </c>
      <c r="F751">
        <v>35864097</v>
      </c>
      <c r="G751">
        <v>47572251</v>
      </c>
      <c r="H751">
        <v>52630276</v>
      </c>
      <c r="I751">
        <f t="shared" si="99"/>
        <v>3.4149833605052748E-2</v>
      </c>
      <c r="J751">
        <f t="shared" si="100"/>
        <v>0.22582611385870965</v>
      </c>
      <c r="K751">
        <f t="shared" si="101"/>
        <v>-7.4944990951137491E-2</v>
      </c>
      <c r="L751">
        <f t="shared" si="102"/>
        <v>0.25799037854401818</v>
      </c>
      <c r="M751">
        <f t="shared" si="103"/>
        <v>1.7337469511590944</v>
      </c>
      <c r="N751">
        <f t="shared" si="104"/>
        <v>-0.57866793573497866</v>
      </c>
      <c r="O751">
        <f t="shared" si="105"/>
        <v>25.314333612740992</v>
      </c>
      <c r="P751">
        <f t="shared" si="106"/>
        <v>44.25817267393127</v>
      </c>
      <c r="Q751">
        <f t="shared" si="107"/>
        <v>10.980720871751885</v>
      </c>
    </row>
    <row r="752" spans="1:17" x14ac:dyDescent="0.3">
      <c r="A752">
        <v>51020910</v>
      </c>
      <c r="B752" t="str">
        <f>VLOOKUP(A752,ASESORES!$A$2:$B$993,2,0)</f>
        <v>METTLER</v>
      </c>
      <c r="C752">
        <v>26473468.350000001</v>
      </c>
      <c r="D752">
        <v>32857686.699999999</v>
      </c>
      <c r="E752">
        <v>46446243</v>
      </c>
      <c r="F752">
        <v>42622792</v>
      </c>
      <c r="G752">
        <v>54561100</v>
      </c>
      <c r="H752">
        <v>52579588</v>
      </c>
      <c r="I752">
        <f t="shared" si="99"/>
        <v>0.61001918738010752</v>
      </c>
      <c r="J752">
        <f t="shared" si="100"/>
        <v>0.66052773276945276</v>
      </c>
      <c r="K752">
        <f t="shared" si="101"/>
        <v>0.13205255374476677</v>
      </c>
      <c r="L752">
        <f t="shared" si="102"/>
        <v>4.6542279486115969</v>
      </c>
      <c r="M752">
        <f t="shared" si="103"/>
        <v>5.1104258643027425</v>
      </c>
      <c r="N752">
        <f t="shared" si="104"/>
        <v>1.0195536254523672</v>
      </c>
      <c r="O752">
        <f t="shared" si="105"/>
        <v>83.487007544006701</v>
      </c>
      <c r="P752">
        <f t="shared" si="106"/>
        <v>86.08549874266555</v>
      </c>
      <c r="Q752">
        <f t="shared" si="107"/>
        <v>43.75523889354568</v>
      </c>
    </row>
    <row r="753" spans="1:17" x14ac:dyDescent="0.3">
      <c r="A753">
        <v>51031326</v>
      </c>
      <c r="B753" t="str">
        <f>VLOOKUP(A753,ASESORES!$A$2:$B$993,2,0)</f>
        <v>METTLER</v>
      </c>
      <c r="C753">
        <v>35718968.299999997</v>
      </c>
      <c r="D753">
        <v>40073043.649999999</v>
      </c>
      <c r="E753">
        <v>53593348.829999998</v>
      </c>
      <c r="F753">
        <v>43438499</v>
      </c>
      <c r="G753">
        <v>53291571</v>
      </c>
      <c r="H753">
        <v>52337366</v>
      </c>
      <c r="I753">
        <f t="shared" si="99"/>
        <v>0.21611852378166274</v>
      </c>
      <c r="J753">
        <f t="shared" si="100"/>
        <v>0.32986082777867565</v>
      </c>
      <c r="K753">
        <f t="shared" si="101"/>
        <v>-2.3435423563174185E-2</v>
      </c>
      <c r="L753">
        <f t="shared" si="102"/>
        <v>1.6506862287593314</v>
      </c>
      <c r="M753">
        <f t="shared" si="103"/>
        <v>2.5487219764066276</v>
      </c>
      <c r="N753">
        <f t="shared" si="104"/>
        <v>-0.18089362538974879</v>
      </c>
      <c r="O753">
        <f t="shared" si="105"/>
        <v>42.330259849119869</v>
      </c>
      <c r="P753">
        <f t="shared" si="106"/>
        <v>56.412405699916178</v>
      </c>
      <c r="Q753">
        <f t="shared" si="107"/>
        <v>13.495389773679801</v>
      </c>
    </row>
    <row r="754" spans="1:17" x14ac:dyDescent="0.3">
      <c r="A754">
        <v>51033604</v>
      </c>
      <c r="B754" t="str">
        <f>VLOOKUP(A754,ASESORES!$A$2:$B$993,2,0)</f>
        <v>PRADES</v>
      </c>
      <c r="C754">
        <v>23890226.41</v>
      </c>
      <c r="D754">
        <v>35415717.200000003</v>
      </c>
      <c r="E754">
        <v>52431840.200000003</v>
      </c>
      <c r="F754">
        <v>34881078</v>
      </c>
      <c r="G754">
        <v>43060386</v>
      </c>
      <c r="H754">
        <v>52145386</v>
      </c>
      <c r="I754">
        <f t="shared" si="99"/>
        <v>0.46005640136585035</v>
      </c>
      <c r="J754">
        <f t="shared" si="100"/>
        <v>0.21585525874935541</v>
      </c>
      <c r="K754">
        <f t="shared" si="101"/>
        <v>-5.4633634621125138E-3</v>
      </c>
      <c r="L754">
        <f t="shared" si="102"/>
        <v>3.470016765609838</v>
      </c>
      <c r="M754">
        <f t="shared" si="103"/>
        <v>1.6478558644296022</v>
      </c>
      <c r="N754">
        <f t="shared" si="104"/>
        <v>-4.2161955304188072E-2</v>
      </c>
      <c r="O754">
        <f t="shared" si="105"/>
        <v>70.913663034367147</v>
      </c>
      <c r="P754">
        <f t="shared" si="106"/>
        <v>43.75523889354568</v>
      </c>
      <c r="Q754">
        <f t="shared" si="107"/>
        <v>14.501257334450965</v>
      </c>
    </row>
    <row r="755" spans="1:17" x14ac:dyDescent="0.3">
      <c r="A755">
        <v>51026217</v>
      </c>
      <c r="B755" t="str">
        <f>VLOOKUP(A755,ASESORES!$A$2:$B$993,2,0)</f>
        <v>METTLER</v>
      </c>
      <c r="C755">
        <v>25423031.399999999</v>
      </c>
      <c r="D755">
        <v>36679227.229999997</v>
      </c>
      <c r="E755">
        <v>43779038.400000013</v>
      </c>
      <c r="F755">
        <v>25554465</v>
      </c>
      <c r="G755">
        <v>56103980</v>
      </c>
      <c r="H755">
        <v>52061345</v>
      </c>
      <c r="I755">
        <f t="shared" si="99"/>
        <v>5.1698634176253755E-3</v>
      </c>
      <c r="J755">
        <f t="shared" si="100"/>
        <v>0.52958456971286649</v>
      </c>
      <c r="K755">
        <f t="shared" si="101"/>
        <v>0.18918429693055994</v>
      </c>
      <c r="L755">
        <f t="shared" si="102"/>
        <v>3.8295591591118193E-2</v>
      </c>
      <c r="M755">
        <f t="shared" si="103"/>
        <v>4.1037474790029442</v>
      </c>
      <c r="N755">
        <f t="shared" si="104"/>
        <v>1.4598435376523646</v>
      </c>
      <c r="O755">
        <f t="shared" si="105"/>
        <v>23.218776194467729</v>
      </c>
      <c r="P755">
        <f t="shared" si="106"/>
        <v>76.697401508801349</v>
      </c>
      <c r="Q755">
        <f t="shared" si="107"/>
        <v>51.550712489522212</v>
      </c>
    </row>
    <row r="756" spans="1:17" x14ac:dyDescent="0.3">
      <c r="A756">
        <v>51039165</v>
      </c>
      <c r="B756" t="str">
        <f>VLOOKUP(A756,ASESORES!$A$2:$B$993,2,0)</f>
        <v>BELUZZO</v>
      </c>
      <c r="C756">
        <v>1719255.1</v>
      </c>
      <c r="D756">
        <v>11530873.1</v>
      </c>
      <c r="E756">
        <v>39749404.840000004</v>
      </c>
      <c r="F756">
        <v>37279571</v>
      </c>
      <c r="G756">
        <v>44622280</v>
      </c>
      <c r="H756">
        <v>51985620</v>
      </c>
      <c r="I756">
        <f t="shared" si="99"/>
        <v>20.683559932438182</v>
      </c>
      <c r="J756">
        <f t="shared" si="100"/>
        <v>2.8698093035123247</v>
      </c>
      <c r="K756">
        <f t="shared" si="101"/>
        <v>0.30783392126884479</v>
      </c>
      <c r="L756">
        <f t="shared" si="102"/>
        <v>156.60497226106185</v>
      </c>
      <c r="M756">
        <f t="shared" si="103"/>
        <v>21.952754800025943</v>
      </c>
      <c r="N756">
        <f t="shared" si="104"/>
        <v>2.3752105900963043</v>
      </c>
      <c r="O756">
        <f t="shared" si="105"/>
        <v>99.916177703269071</v>
      </c>
      <c r="P756">
        <f t="shared" si="106"/>
        <v>99.329421626152552</v>
      </c>
      <c r="Q756">
        <f t="shared" si="107"/>
        <v>64.543168482816426</v>
      </c>
    </row>
    <row r="757" spans="1:17" x14ac:dyDescent="0.3">
      <c r="A757">
        <v>51006844</v>
      </c>
      <c r="B757" t="str">
        <f>VLOOKUP(A757,ASESORES!$A$2:$B$993,2,0)</f>
        <v>LÓPEZ</v>
      </c>
      <c r="C757">
        <v>39189226.07</v>
      </c>
      <c r="D757">
        <v>55079436.079999998</v>
      </c>
      <c r="E757">
        <v>56991098</v>
      </c>
      <c r="F757">
        <v>46858955</v>
      </c>
      <c r="G757">
        <v>55082566</v>
      </c>
      <c r="H757">
        <v>51639417</v>
      </c>
      <c r="I757">
        <f t="shared" si="99"/>
        <v>0.19571014023855149</v>
      </c>
      <c r="J757">
        <f t="shared" si="100"/>
        <v>5.6825563635953813E-5</v>
      </c>
      <c r="K757">
        <f t="shared" si="101"/>
        <v>-9.390380581893687E-2</v>
      </c>
      <c r="L757">
        <f t="shared" si="102"/>
        <v>1.5012518953267742</v>
      </c>
      <c r="M757">
        <f t="shared" si="103"/>
        <v>4.3988749295458137E-4</v>
      </c>
      <c r="N757">
        <f t="shared" si="104"/>
        <v>-0.72427830114559699</v>
      </c>
      <c r="O757">
        <f t="shared" si="105"/>
        <v>40.150880134115674</v>
      </c>
      <c r="P757">
        <f t="shared" si="106"/>
        <v>26.152556580050295</v>
      </c>
      <c r="Q757">
        <f t="shared" si="107"/>
        <v>9.8072087175188596</v>
      </c>
    </row>
    <row r="758" spans="1:17" x14ac:dyDescent="0.3">
      <c r="A758">
        <v>51020995</v>
      </c>
      <c r="B758" t="str">
        <f>VLOOKUP(A758,ASESORES!$A$2:$B$993,2,0)</f>
        <v>NELLI</v>
      </c>
      <c r="C758">
        <v>40086940.990000002</v>
      </c>
      <c r="D758">
        <v>62028564.270000003</v>
      </c>
      <c r="E758">
        <v>64744751.489999987</v>
      </c>
      <c r="F758">
        <v>42931494</v>
      </c>
      <c r="G758">
        <v>61711646</v>
      </c>
      <c r="H758">
        <v>51528080</v>
      </c>
      <c r="I758">
        <f t="shared" si="99"/>
        <v>7.0959592818758521E-2</v>
      </c>
      <c r="J758">
        <f t="shared" si="100"/>
        <v>-5.1092311055356276E-3</v>
      </c>
      <c r="K758">
        <f t="shared" si="101"/>
        <v>-0.20413502540111439</v>
      </c>
      <c r="L758">
        <f t="shared" si="102"/>
        <v>0.54161867718074219</v>
      </c>
      <c r="M758">
        <f t="shared" si="103"/>
        <v>-3.9802786065472585E-2</v>
      </c>
      <c r="N758">
        <f t="shared" si="104"/>
        <v>-1.5742982897534075</v>
      </c>
      <c r="O758">
        <f t="shared" si="105"/>
        <v>28.080469404861692</v>
      </c>
      <c r="P758">
        <f t="shared" si="106"/>
        <v>10.729253981559095</v>
      </c>
      <c r="Q758">
        <f t="shared" si="107"/>
        <v>5.2808046940486175</v>
      </c>
    </row>
    <row r="759" spans="1:17" x14ac:dyDescent="0.3">
      <c r="A759">
        <v>51023251</v>
      </c>
      <c r="B759" t="str">
        <f>VLOOKUP(A759,ASESORES!$A$2:$B$993,2,0)</f>
        <v>NELLI</v>
      </c>
      <c r="C759">
        <v>23967845.34</v>
      </c>
      <c r="D759">
        <v>38827894.469999999</v>
      </c>
      <c r="E759">
        <v>43362859.189999998</v>
      </c>
      <c r="F759">
        <v>34414247</v>
      </c>
      <c r="G759">
        <v>39333606</v>
      </c>
      <c r="H759">
        <v>51521828</v>
      </c>
      <c r="I759">
        <f t="shared" si="99"/>
        <v>0.43585067876610384</v>
      </c>
      <c r="J759">
        <f t="shared" si="100"/>
        <v>1.3024438664598126E-2</v>
      </c>
      <c r="K759">
        <f t="shared" si="101"/>
        <v>0.18815569273812005</v>
      </c>
      <c r="L759">
        <f t="shared" si="102"/>
        <v>3.2848924912830824</v>
      </c>
      <c r="M759">
        <f t="shared" si="103"/>
        <v>9.8917534805828891E-2</v>
      </c>
      <c r="N759">
        <f t="shared" si="104"/>
        <v>1.451055058562893</v>
      </c>
      <c r="O759">
        <f t="shared" si="105"/>
        <v>68.482816429170157</v>
      </c>
      <c r="P759">
        <f t="shared" si="106"/>
        <v>26.906957250628665</v>
      </c>
      <c r="Q759">
        <f t="shared" si="107"/>
        <v>51.131601005867566</v>
      </c>
    </row>
    <row r="760" spans="1:17" x14ac:dyDescent="0.3">
      <c r="A760">
        <v>51010205</v>
      </c>
      <c r="B760" t="str">
        <f>VLOOKUP(A760,ASESORES!$A$2:$B$993,2,0)</f>
        <v>MONTENEGRO</v>
      </c>
      <c r="C760">
        <v>29596595.129999999</v>
      </c>
      <c r="D760">
        <v>39186018.340000004</v>
      </c>
      <c r="E760">
        <v>43810587.880000003</v>
      </c>
      <c r="F760">
        <v>28352949</v>
      </c>
      <c r="G760">
        <v>44371311</v>
      </c>
      <c r="H760">
        <v>51289976</v>
      </c>
      <c r="I760">
        <f t="shared" si="99"/>
        <v>-4.2019905483634545E-2</v>
      </c>
      <c r="J760">
        <f t="shared" si="100"/>
        <v>0.13232507102429936</v>
      </c>
      <c r="K760">
        <f t="shared" si="101"/>
        <v>0.1707210170401392</v>
      </c>
      <c r="L760">
        <f t="shared" si="102"/>
        <v>-0.31315747351350953</v>
      </c>
      <c r="M760">
        <f t="shared" si="103"/>
        <v>1.0119033497669159</v>
      </c>
      <c r="N760">
        <f t="shared" si="104"/>
        <v>1.3162645891035887</v>
      </c>
      <c r="O760">
        <f t="shared" si="105"/>
        <v>9.1366303436714169</v>
      </c>
      <c r="P760">
        <f t="shared" si="106"/>
        <v>35.708298407376361</v>
      </c>
      <c r="Q760">
        <f t="shared" si="107"/>
        <v>48.95222129086337</v>
      </c>
    </row>
    <row r="761" spans="1:17" x14ac:dyDescent="0.3">
      <c r="A761">
        <v>51056922</v>
      </c>
      <c r="B761" t="str">
        <f>VLOOKUP(A761,ASESORES!$A$2:$B$993,2,0)</f>
        <v>LÓPEZ</v>
      </c>
      <c r="C761">
        <v>19560645.100000001</v>
      </c>
      <c r="D761">
        <v>27505635.5</v>
      </c>
      <c r="E761">
        <v>38043148.350000001</v>
      </c>
      <c r="F761">
        <v>27663050</v>
      </c>
      <c r="G761">
        <v>43168790</v>
      </c>
      <c r="H761">
        <v>51212038</v>
      </c>
      <c r="I761">
        <f t="shared" si="99"/>
        <v>0.41421971814211789</v>
      </c>
      <c r="J761">
        <f t="shared" si="100"/>
        <v>0.56945255818575791</v>
      </c>
      <c r="K761">
        <f t="shared" si="101"/>
        <v>0.3461566726508849</v>
      </c>
      <c r="L761">
        <f t="shared" si="102"/>
        <v>3.0825817460053586</v>
      </c>
      <c r="M761">
        <f t="shared" si="103"/>
        <v>4.3478670179375873</v>
      </c>
      <c r="N761">
        <f t="shared" si="104"/>
        <v>2.6686505801956923</v>
      </c>
      <c r="O761">
        <f t="shared" si="105"/>
        <v>65.71668063704945</v>
      </c>
      <c r="P761">
        <f t="shared" si="106"/>
        <v>78.709136630343664</v>
      </c>
      <c r="Q761">
        <f t="shared" si="107"/>
        <v>68.65046102263203</v>
      </c>
    </row>
    <row r="762" spans="1:17" x14ac:dyDescent="0.3">
      <c r="A762">
        <v>51056299</v>
      </c>
      <c r="B762" t="str">
        <f>VLOOKUP(A762,ASESORES!$A$2:$B$993,2,0)</f>
        <v>NELLI</v>
      </c>
      <c r="C762">
        <v>28405745.789999999</v>
      </c>
      <c r="D762">
        <v>34368358.890000001</v>
      </c>
      <c r="E762">
        <v>42439391.25</v>
      </c>
      <c r="F762">
        <v>26898281</v>
      </c>
      <c r="G762">
        <v>48213620</v>
      </c>
      <c r="H762">
        <v>51046448</v>
      </c>
      <c r="I762">
        <f t="shared" si="99"/>
        <v>-5.3069009387906596E-2</v>
      </c>
      <c r="J762">
        <f t="shared" si="100"/>
        <v>0.40284906108881713</v>
      </c>
      <c r="K762">
        <f t="shared" si="101"/>
        <v>0.20280820474775307</v>
      </c>
      <c r="L762">
        <f t="shared" si="102"/>
        <v>-0.39428812063286622</v>
      </c>
      <c r="M762">
        <f t="shared" si="103"/>
        <v>3.0951577161990245</v>
      </c>
      <c r="N762">
        <f t="shared" si="104"/>
        <v>1.5632386509230016</v>
      </c>
      <c r="O762">
        <f t="shared" si="105"/>
        <v>8.5498742665549035</v>
      </c>
      <c r="P762">
        <f t="shared" si="106"/>
        <v>64.20787929589271</v>
      </c>
      <c r="Q762">
        <f t="shared" si="107"/>
        <v>53.143336127409889</v>
      </c>
    </row>
    <row r="763" spans="1:17" x14ac:dyDescent="0.3">
      <c r="A763">
        <v>51010175</v>
      </c>
      <c r="B763" t="str">
        <f>VLOOKUP(A763,ASESORES!$A$2:$B$993,2,0)</f>
        <v>AYALA</v>
      </c>
      <c r="C763">
        <v>32111056.690000001</v>
      </c>
      <c r="D763">
        <v>37431475</v>
      </c>
      <c r="E763">
        <v>49988669.07</v>
      </c>
      <c r="F763">
        <v>35714867</v>
      </c>
      <c r="G763">
        <v>46120104</v>
      </c>
      <c r="H763">
        <v>51038466</v>
      </c>
      <c r="I763">
        <f t="shared" si="99"/>
        <v>0.11222957702049996</v>
      </c>
      <c r="J763">
        <f t="shared" si="100"/>
        <v>0.23212093565642289</v>
      </c>
      <c r="K763">
        <f t="shared" si="101"/>
        <v>2.100069774872293E-2</v>
      </c>
      <c r="L763">
        <f t="shared" si="102"/>
        <v>0.84765305274209257</v>
      </c>
      <c r="M763">
        <f t="shared" si="103"/>
        <v>1.7789493820859086</v>
      </c>
      <c r="N763">
        <f t="shared" si="104"/>
        <v>0.16187122804572471</v>
      </c>
      <c r="O763">
        <f t="shared" si="105"/>
        <v>30.846605196982395</v>
      </c>
      <c r="P763">
        <f t="shared" si="106"/>
        <v>45.096395641240569</v>
      </c>
      <c r="Q763">
        <f t="shared" si="107"/>
        <v>33.612740989103102</v>
      </c>
    </row>
    <row r="764" spans="1:17" x14ac:dyDescent="0.3">
      <c r="A764">
        <v>51015355</v>
      </c>
      <c r="B764" t="str">
        <f>VLOOKUP(A764,ASESORES!$A$2:$B$993,2,0)</f>
        <v>BELUZZO</v>
      </c>
      <c r="C764">
        <v>17794814</v>
      </c>
      <c r="D764">
        <v>27775710.25</v>
      </c>
      <c r="E764">
        <v>29944430.280000001</v>
      </c>
      <c r="F764">
        <v>41459410</v>
      </c>
      <c r="G764">
        <v>32247800</v>
      </c>
      <c r="H764">
        <v>50713963</v>
      </c>
      <c r="I764">
        <f t="shared" si="99"/>
        <v>1.329859137611666</v>
      </c>
      <c r="J764">
        <f t="shared" si="100"/>
        <v>0.1610072149280144</v>
      </c>
      <c r="K764">
        <f t="shared" si="101"/>
        <v>0.69360253395343596</v>
      </c>
      <c r="L764">
        <f t="shared" si="102"/>
        <v>10.130365709622607</v>
      </c>
      <c r="M764">
        <f t="shared" si="103"/>
        <v>1.2089226880466069</v>
      </c>
      <c r="N764">
        <f t="shared" si="104"/>
        <v>5.3442959927337128</v>
      </c>
      <c r="O764">
        <f t="shared" si="105"/>
        <v>97.233864207879293</v>
      </c>
      <c r="P764">
        <f t="shared" si="106"/>
        <v>37.80385582564962</v>
      </c>
      <c r="Q764">
        <f t="shared" si="107"/>
        <v>92.707460184409058</v>
      </c>
    </row>
    <row r="765" spans="1:17" x14ac:dyDescent="0.3">
      <c r="A765">
        <v>51010191</v>
      </c>
      <c r="B765" t="str">
        <f>VLOOKUP(A765,ASESORES!$A$2:$B$993,2,0)</f>
        <v>MONTENEGRO</v>
      </c>
      <c r="C765">
        <v>5290268.7</v>
      </c>
      <c r="D765">
        <v>6198325.5999999996</v>
      </c>
      <c r="E765">
        <v>6858502.79</v>
      </c>
      <c r="F765">
        <v>3730190</v>
      </c>
      <c r="G765">
        <v>33024528</v>
      </c>
      <c r="H765">
        <v>50388179</v>
      </c>
      <c r="I765">
        <f t="shared" si="99"/>
        <v>-0.29489592844310542</v>
      </c>
      <c r="J765">
        <f t="shared" si="100"/>
        <v>4.3279756713651834</v>
      </c>
      <c r="K765">
        <f t="shared" si="101"/>
        <v>6.3468190569912997</v>
      </c>
      <c r="L765">
        <f t="shared" si="102"/>
        <v>-1.937976701006046</v>
      </c>
      <c r="M765">
        <f t="shared" si="103"/>
        <v>32.541341964942397</v>
      </c>
      <c r="N765">
        <f t="shared" si="104"/>
        <v>48.885286344616453</v>
      </c>
      <c r="O765">
        <f t="shared" si="105"/>
        <v>5.2808046940486175</v>
      </c>
      <c r="P765">
        <f t="shared" si="106"/>
        <v>99.664710813076269</v>
      </c>
      <c r="Q765">
        <f t="shared" si="107"/>
        <v>99.832355406538142</v>
      </c>
    </row>
    <row r="766" spans="1:17" x14ac:dyDescent="0.3">
      <c r="A766">
        <v>51013051</v>
      </c>
      <c r="B766" t="str">
        <f>VLOOKUP(A766,ASESORES!$A$2:$B$993,2,0)</f>
        <v>ARGUELLO</v>
      </c>
      <c r="C766">
        <v>40195465.329999998</v>
      </c>
      <c r="D766">
        <v>35747620.479999997</v>
      </c>
      <c r="E766">
        <v>52010487.200000003</v>
      </c>
      <c r="F766">
        <v>34816990</v>
      </c>
      <c r="G766">
        <v>48228120</v>
      </c>
      <c r="H766">
        <v>50377825</v>
      </c>
      <c r="I766">
        <f t="shared" si="99"/>
        <v>-0.13380801256667518</v>
      </c>
      <c r="J766">
        <f t="shared" si="100"/>
        <v>0.34912811964596546</v>
      </c>
      <c r="K766">
        <f t="shared" si="101"/>
        <v>-3.1391019155844413E-2</v>
      </c>
      <c r="L766">
        <f t="shared" si="102"/>
        <v>-1.0091520947100301</v>
      </c>
      <c r="M766">
        <f t="shared" si="103"/>
        <v>2.682456197880227</v>
      </c>
      <c r="N766">
        <f t="shared" si="104"/>
        <v>-0.24178114497026371</v>
      </c>
      <c r="O766">
        <f t="shared" si="105"/>
        <v>7.2087175188600163</v>
      </c>
      <c r="P766">
        <f t="shared" si="106"/>
        <v>58.340318524727572</v>
      </c>
      <c r="Q766">
        <f t="shared" si="107"/>
        <v>12.824811399832356</v>
      </c>
    </row>
    <row r="767" spans="1:17" x14ac:dyDescent="0.3">
      <c r="A767">
        <v>51032632</v>
      </c>
      <c r="B767" t="str">
        <f>VLOOKUP(A767,ASESORES!$A$2:$B$993,2,0)</f>
        <v>LÓPEZ</v>
      </c>
      <c r="C767">
        <v>27542223.670000002</v>
      </c>
      <c r="D767">
        <v>28896472.809999999</v>
      </c>
      <c r="E767">
        <v>32918649.449999999</v>
      </c>
      <c r="F767">
        <v>32355515</v>
      </c>
      <c r="G767">
        <v>38370822</v>
      </c>
      <c r="H767">
        <v>50202682</v>
      </c>
      <c r="I767">
        <f t="shared" si="99"/>
        <v>0.17476044736514185</v>
      </c>
      <c r="J767">
        <f t="shared" si="100"/>
        <v>0.32787216807724984</v>
      </c>
      <c r="K767">
        <f t="shared" si="101"/>
        <v>0.52505290583845632</v>
      </c>
      <c r="L767">
        <f t="shared" si="102"/>
        <v>1.3124419275403731</v>
      </c>
      <c r="M767">
        <f t="shared" si="103"/>
        <v>2.486582884335478</v>
      </c>
      <c r="N767">
        <f t="shared" si="104"/>
        <v>4.04328904603127</v>
      </c>
      <c r="O767">
        <f t="shared" si="105"/>
        <v>37.04945515507125</v>
      </c>
      <c r="P767">
        <f t="shared" si="106"/>
        <v>55.406538139145013</v>
      </c>
      <c r="Q767">
        <f t="shared" si="107"/>
        <v>84.409052808046937</v>
      </c>
    </row>
    <row r="768" spans="1:17" x14ac:dyDescent="0.3">
      <c r="A768">
        <v>51026322</v>
      </c>
      <c r="B768" t="str">
        <f>VLOOKUP(A768,ASESORES!$A$2:$B$993,2,0)</f>
        <v>MONTENEGRO</v>
      </c>
      <c r="C768">
        <v>36957853.149999999</v>
      </c>
      <c r="D768">
        <v>39022911.939999998</v>
      </c>
      <c r="E768">
        <v>42921472.670000002</v>
      </c>
      <c r="F768">
        <v>36325258</v>
      </c>
      <c r="G768">
        <v>54762693</v>
      </c>
      <c r="H768">
        <v>50086277</v>
      </c>
      <c r="I768">
        <f t="shared" si="99"/>
        <v>-1.7116663877430827E-2</v>
      </c>
      <c r="J768">
        <f t="shared" si="100"/>
        <v>0.40334716907341095</v>
      </c>
      <c r="K768">
        <f t="shared" si="101"/>
        <v>0.16692820363099625</v>
      </c>
      <c r="L768">
        <f t="shared" si="102"/>
        <v>-0.129405551290459</v>
      </c>
      <c r="M768">
        <f t="shared" si="103"/>
        <v>3.1212959356954997</v>
      </c>
      <c r="N768">
        <f t="shared" si="104"/>
        <v>1.2853002195726286</v>
      </c>
      <c r="O768">
        <f t="shared" si="105"/>
        <v>10.142497904442582</v>
      </c>
      <c r="P768">
        <f t="shared" si="106"/>
        <v>64.794635373009228</v>
      </c>
      <c r="Q768">
        <f t="shared" si="107"/>
        <v>48.533109807208717</v>
      </c>
    </row>
    <row r="769" spans="1:17" x14ac:dyDescent="0.3">
      <c r="A769">
        <v>51019555</v>
      </c>
      <c r="B769" t="str">
        <f>VLOOKUP(A769,ASESORES!$A$2:$B$993,2,0)</f>
        <v>PUGH</v>
      </c>
      <c r="C769">
        <v>28183908.039999999</v>
      </c>
      <c r="D769">
        <v>44179102.380000003</v>
      </c>
      <c r="E769">
        <v>46412461.329999998</v>
      </c>
      <c r="F769">
        <v>36371262</v>
      </c>
      <c r="G769">
        <v>45883340</v>
      </c>
      <c r="H769">
        <v>50051458</v>
      </c>
      <c r="I769">
        <f t="shared" si="99"/>
        <v>0.29049746927857201</v>
      </c>
      <c r="J769">
        <f t="shared" si="100"/>
        <v>3.8575650662642458E-2</v>
      </c>
      <c r="K769">
        <f t="shared" si="101"/>
        <v>7.8405595517250237E-2</v>
      </c>
      <c r="L769">
        <f t="shared" si="102"/>
        <v>2.1963811724123201</v>
      </c>
      <c r="M769">
        <f t="shared" si="103"/>
        <v>0.29555332770778353</v>
      </c>
      <c r="N769">
        <f t="shared" si="104"/>
        <v>0.60367735408687817</v>
      </c>
      <c r="O769">
        <f t="shared" si="105"/>
        <v>50.20955574182733</v>
      </c>
      <c r="P769">
        <f t="shared" si="106"/>
        <v>29.170159262363786</v>
      </c>
      <c r="Q769">
        <f t="shared" si="107"/>
        <v>38.558256496227997</v>
      </c>
    </row>
    <row r="770" spans="1:17" x14ac:dyDescent="0.3">
      <c r="A770">
        <v>51009991</v>
      </c>
      <c r="B770" t="str">
        <f>VLOOKUP(A770,ASESORES!$A$2:$B$993,2,0)</f>
        <v>MONTENEGRO</v>
      </c>
      <c r="C770">
        <v>19074363.949999999</v>
      </c>
      <c r="D770">
        <v>35116963.990000002</v>
      </c>
      <c r="E770">
        <v>45358791.18</v>
      </c>
      <c r="F770">
        <v>29700383</v>
      </c>
      <c r="G770">
        <v>44256035</v>
      </c>
      <c r="H770">
        <v>49959616</v>
      </c>
      <c r="I770">
        <f t="shared" ref="I770:I833" si="108">IFERROR(F770/C770-1,0)</f>
        <v>0.55708379466042435</v>
      </c>
      <c r="J770">
        <f t="shared" ref="J770:J833" si="109">IFERROR(G770/D770-1,0)</f>
        <v>0.26024661507191982</v>
      </c>
      <c r="K770">
        <f t="shared" ref="K770:K833" si="110">IFERROR(H770/E770-1,0)</f>
        <v>0.101431821711083</v>
      </c>
      <c r="L770">
        <f t="shared" ref="L770:L833" si="111">IFERROR(I770*LOG(F770),0)</f>
        <v>4.1629546392852772</v>
      </c>
      <c r="M770">
        <f t="shared" ref="M770:M833" si="112">IFERROR(J770*LOG(G770),0)</f>
        <v>1.9898384625504413</v>
      </c>
      <c r="N770">
        <f t="shared" ref="N770:N833" si="113">IFERROR(K770*LOG(H770),0)</f>
        <v>0.78088495912448497</v>
      </c>
      <c r="O770">
        <f t="shared" ref="O770:O833" si="114">RANK(L770,$L$2:$L$1194,1)/COUNT($L$2:$L$1194)*100</f>
        <v>78.625314333612735</v>
      </c>
      <c r="P770">
        <f t="shared" ref="P770:P833" si="115">RANK(M770,$M$2:$M$1194,1)/COUNT($M$2:$M$1194)*100</f>
        <v>48.113998323554064</v>
      </c>
      <c r="Q770">
        <f t="shared" ref="Q770:Q833" si="116">RANK(N770,$N$2:$N$1194,1)/COUNT($N$2:$N$1194)*100</f>
        <v>40.905280804694051</v>
      </c>
    </row>
    <row r="771" spans="1:17" x14ac:dyDescent="0.3">
      <c r="A771">
        <v>51025822</v>
      </c>
      <c r="B771" t="str">
        <f>VLOOKUP(A771,ASESORES!$A$2:$B$993,2,0)</f>
        <v>LÓPEZ</v>
      </c>
      <c r="C771">
        <v>31293926.300000001</v>
      </c>
      <c r="D771">
        <v>30763658.469999999</v>
      </c>
      <c r="E771">
        <v>36293572.460000001</v>
      </c>
      <c r="F771">
        <v>33012290</v>
      </c>
      <c r="G771">
        <v>38375740</v>
      </c>
      <c r="H771">
        <v>49942420</v>
      </c>
      <c r="I771">
        <f t="shared" si="108"/>
        <v>5.4910453981608542E-2</v>
      </c>
      <c r="J771">
        <f t="shared" si="109"/>
        <v>0.24743746058106608</v>
      </c>
      <c r="K771">
        <f t="shared" si="110"/>
        <v>0.37606789893837855</v>
      </c>
      <c r="L771">
        <f t="shared" si="111"/>
        <v>0.41285389336765305</v>
      </c>
      <c r="M771">
        <f t="shared" si="112"/>
        <v>1.8765797463575258</v>
      </c>
      <c r="N771">
        <f t="shared" si="113"/>
        <v>2.895147280974097</v>
      </c>
      <c r="O771">
        <f t="shared" si="114"/>
        <v>26.487845766974015</v>
      </c>
      <c r="P771">
        <f t="shared" si="115"/>
        <v>46.186085498742663</v>
      </c>
      <c r="Q771">
        <f t="shared" si="116"/>
        <v>71.751886001676439</v>
      </c>
    </row>
    <row r="772" spans="1:17" x14ac:dyDescent="0.3">
      <c r="A772">
        <v>51012500</v>
      </c>
      <c r="B772" t="str">
        <f>VLOOKUP(A772,ASESORES!$A$2:$B$993,2,0)</f>
        <v>ARGUELLO</v>
      </c>
      <c r="C772">
        <v>24666655.059999999</v>
      </c>
      <c r="D772">
        <v>31631857.059999999</v>
      </c>
      <c r="E772">
        <v>36790444.579999998</v>
      </c>
      <c r="F772">
        <v>26421295</v>
      </c>
      <c r="G772">
        <v>41609061</v>
      </c>
      <c r="H772">
        <v>49934707</v>
      </c>
      <c r="I772">
        <f t="shared" si="108"/>
        <v>7.1134085093092603E-2</v>
      </c>
      <c r="J772">
        <f t="shared" si="109"/>
        <v>0.31541631972713535</v>
      </c>
      <c r="K772">
        <f t="shared" si="110"/>
        <v>0.35727381307986361</v>
      </c>
      <c r="L772">
        <f t="shared" si="111"/>
        <v>0.52795391451286011</v>
      </c>
      <c r="M772">
        <f t="shared" si="112"/>
        <v>2.4032162114881364</v>
      </c>
      <c r="N772">
        <f t="shared" si="113"/>
        <v>2.7504376179159187</v>
      </c>
      <c r="O772">
        <f t="shared" si="114"/>
        <v>27.745180217937971</v>
      </c>
      <c r="P772">
        <f t="shared" si="115"/>
        <v>53.981559094719202</v>
      </c>
      <c r="Q772">
        <f t="shared" si="116"/>
        <v>69.823973176865053</v>
      </c>
    </row>
    <row r="773" spans="1:17" x14ac:dyDescent="0.3">
      <c r="A773">
        <v>51015797</v>
      </c>
      <c r="B773" t="str">
        <f>VLOOKUP(A773,ASESORES!$A$2:$B$993,2,0)</f>
        <v>ROBERTS</v>
      </c>
      <c r="C773">
        <v>16160195.109999999</v>
      </c>
      <c r="D773">
        <v>27693880.5</v>
      </c>
      <c r="E773">
        <v>37734595.770000003</v>
      </c>
      <c r="F773">
        <v>33956778</v>
      </c>
      <c r="G773">
        <v>47473206</v>
      </c>
      <c r="H773">
        <v>49928343</v>
      </c>
      <c r="I773">
        <f t="shared" si="108"/>
        <v>1.1012603974680601</v>
      </c>
      <c r="J773">
        <f t="shared" si="109"/>
        <v>0.71421285651897004</v>
      </c>
      <c r="K773">
        <f t="shared" si="110"/>
        <v>0.32314503391856508</v>
      </c>
      <c r="L773">
        <f t="shared" si="111"/>
        <v>8.2935110835496388</v>
      </c>
      <c r="M773">
        <f t="shared" si="112"/>
        <v>5.4826182552759821</v>
      </c>
      <c r="N773">
        <f t="shared" si="113"/>
        <v>2.4876826519115429</v>
      </c>
      <c r="O773">
        <f t="shared" si="114"/>
        <v>95.473595976529751</v>
      </c>
      <c r="P773">
        <f t="shared" si="115"/>
        <v>88.09723386420788</v>
      </c>
      <c r="Q773">
        <f t="shared" si="116"/>
        <v>65.800502933780379</v>
      </c>
    </row>
    <row r="774" spans="1:17" x14ac:dyDescent="0.3">
      <c r="A774">
        <v>51014782</v>
      </c>
      <c r="B774" t="str">
        <f>VLOOKUP(A774,ASESORES!$A$2:$B$993,2,0)</f>
        <v>METTLER</v>
      </c>
      <c r="C774">
        <v>19484791.899999999</v>
      </c>
      <c r="D774">
        <v>26924425.800000001</v>
      </c>
      <c r="E774">
        <v>36520234.579999998</v>
      </c>
      <c r="F774">
        <v>31315170</v>
      </c>
      <c r="G774">
        <v>39061089</v>
      </c>
      <c r="H774">
        <v>49838380</v>
      </c>
      <c r="I774">
        <f t="shared" si="108"/>
        <v>0.60715958172486317</v>
      </c>
      <c r="J774">
        <f t="shared" si="109"/>
        <v>0.45076776344845948</v>
      </c>
      <c r="K774">
        <f t="shared" si="110"/>
        <v>0.36467852885297658</v>
      </c>
      <c r="L774">
        <f t="shared" si="111"/>
        <v>4.5511193331051478</v>
      </c>
      <c r="M774">
        <f t="shared" si="112"/>
        <v>3.4221136199666371</v>
      </c>
      <c r="N774">
        <f t="shared" si="113"/>
        <v>2.8071362850428008</v>
      </c>
      <c r="O774">
        <f t="shared" si="114"/>
        <v>82.145850796311819</v>
      </c>
      <c r="P774">
        <f t="shared" si="115"/>
        <v>68.985750209555746</v>
      </c>
      <c r="Q774">
        <f t="shared" si="116"/>
        <v>70.494551550712487</v>
      </c>
    </row>
    <row r="775" spans="1:17" x14ac:dyDescent="0.3">
      <c r="A775">
        <v>51013077</v>
      </c>
      <c r="B775" t="str">
        <f>VLOOKUP(A775,ASESORES!$A$2:$B$993,2,0)</f>
        <v>PRADES</v>
      </c>
      <c r="C775">
        <v>19533997</v>
      </c>
      <c r="D775">
        <v>23988290.75</v>
      </c>
      <c r="E775">
        <v>32546730.949999999</v>
      </c>
      <c r="F775">
        <v>38619360</v>
      </c>
      <c r="G775">
        <v>52022665</v>
      </c>
      <c r="H775">
        <v>49416330</v>
      </c>
      <c r="I775">
        <f t="shared" si="108"/>
        <v>0.9770331694020431</v>
      </c>
      <c r="J775">
        <f t="shared" si="109"/>
        <v>1.1686691036959354</v>
      </c>
      <c r="K775">
        <f t="shared" si="110"/>
        <v>0.5183193075801058</v>
      </c>
      <c r="L775">
        <f t="shared" si="111"/>
        <v>7.4125602054982762</v>
      </c>
      <c r="M775">
        <f t="shared" si="112"/>
        <v>9.0176758854921601</v>
      </c>
      <c r="N775">
        <f t="shared" si="113"/>
        <v>3.9878816242300688</v>
      </c>
      <c r="O775">
        <f t="shared" si="114"/>
        <v>94.383906119027657</v>
      </c>
      <c r="P775">
        <f t="shared" si="115"/>
        <v>96.730930427493718</v>
      </c>
      <c r="Q775">
        <f t="shared" si="116"/>
        <v>83.738474434199489</v>
      </c>
    </row>
    <row r="776" spans="1:17" x14ac:dyDescent="0.3">
      <c r="A776">
        <v>51002539</v>
      </c>
      <c r="B776" t="str">
        <f>VLOOKUP(A776,ASESORES!$A$2:$B$993,2,0)</f>
        <v>ARGUELLO</v>
      </c>
      <c r="C776">
        <v>39575598.630000003</v>
      </c>
      <c r="D776">
        <v>67248994.920000002</v>
      </c>
      <c r="E776">
        <v>103259762.88</v>
      </c>
      <c r="F776">
        <v>51157665</v>
      </c>
      <c r="G776">
        <v>49623350</v>
      </c>
      <c r="H776">
        <v>49330333</v>
      </c>
      <c r="I776">
        <f t="shared" si="108"/>
        <v>0.29265675747025321</v>
      </c>
      <c r="J776">
        <f t="shared" si="109"/>
        <v>-0.26209529140127108</v>
      </c>
      <c r="K776">
        <f t="shared" si="110"/>
        <v>-0.52226954987948537</v>
      </c>
      <c r="L776">
        <f t="shared" si="111"/>
        <v>2.2560648130889365</v>
      </c>
      <c r="M776">
        <f t="shared" si="112"/>
        <v>-2.017003085542683</v>
      </c>
      <c r="N776">
        <f t="shared" si="113"/>
        <v>-4.0178792105703538</v>
      </c>
      <c r="O776">
        <f t="shared" si="114"/>
        <v>51.718357082984078</v>
      </c>
      <c r="P776">
        <f t="shared" si="115"/>
        <v>4.526404023470243</v>
      </c>
      <c r="Q776">
        <f t="shared" si="116"/>
        <v>1.3411567476948869</v>
      </c>
    </row>
    <row r="777" spans="1:17" x14ac:dyDescent="0.3">
      <c r="A777">
        <v>51031806</v>
      </c>
      <c r="B777" t="str">
        <f>VLOOKUP(A777,ASESORES!$A$2:$B$993,2,0)</f>
        <v>ROBERTS</v>
      </c>
      <c r="C777">
        <v>29760730.91</v>
      </c>
      <c r="D777">
        <v>39894476.299999997</v>
      </c>
      <c r="E777">
        <v>46709625.670000002</v>
      </c>
      <c r="F777">
        <v>34594271</v>
      </c>
      <c r="G777">
        <v>45103165</v>
      </c>
      <c r="H777">
        <v>49277519</v>
      </c>
      <c r="I777">
        <f t="shared" si="108"/>
        <v>0.16241335283791258</v>
      </c>
      <c r="J777">
        <f t="shared" si="109"/>
        <v>0.13056165121285224</v>
      </c>
      <c r="K777">
        <f t="shared" si="110"/>
        <v>5.497567777875112E-2</v>
      </c>
      <c r="L777">
        <f t="shared" si="111"/>
        <v>1.2244349464545103</v>
      </c>
      <c r="M777">
        <f t="shared" si="112"/>
        <v>0.99934590705501458</v>
      </c>
      <c r="N777">
        <f t="shared" si="113"/>
        <v>0.4229085835666086</v>
      </c>
      <c r="O777">
        <f t="shared" si="114"/>
        <v>35.959765297569149</v>
      </c>
      <c r="P777">
        <f t="shared" si="115"/>
        <v>35.456831517183574</v>
      </c>
      <c r="Q777">
        <f t="shared" si="116"/>
        <v>36.378876781223809</v>
      </c>
    </row>
    <row r="778" spans="1:17" x14ac:dyDescent="0.3">
      <c r="A778">
        <v>51044410</v>
      </c>
      <c r="B778" t="str">
        <f>VLOOKUP(A778,ASESORES!$A$2:$B$993,2,0)</f>
        <v>METTLER</v>
      </c>
      <c r="C778">
        <v>21053738.859999999</v>
      </c>
      <c r="D778">
        <v>28771478.760000002</v>
      </c>
      <c r="E778">
        <v>42688634.609999999</v>
      </c>
      <c r="F778">
        <v>34729953</v>
      </c>
      <c r="G778">
        <v>40379810</v>
      </c>
      <c r="H778">
        <v>48959542</v>
      </c>
      <c r="I778">
        <f t="shared" si="108"/>
        <v>0.6495860061218599</v>
      </c>
      <c r="J778">
        <f t="shared" si="109"/>
        <v>0.40346661834214315</v>
      </c>
      <c r="K778">
        <f t="shared" si="110"/>
        <v>0.14689875765037974</v>
      </c>
      <c r="L778">
        <f t="shared" si="111"/>
        <v>4.8983359217538176</v>
      </c>
      <c r="M778">
        <f t="shared" si="112"/>
        <v>3.0688333770224636</v>
      </c>
      <c r="N778">
        <f t="shared" si="113"/>
        <v>1.1296275527311299</v>
      </c>
      <c r="O778">
        <f t="shared" si="114"/>
        <v>84.828164291701597</v>
      </c>
      <c r="P778">
        <f t="shared" si="115"/>
        <v>64.124056999161766</v>
      </c>
      <c r="Q778">
        <f t="shared" si="116"/>
        <v>45.431684828164293</v>
      </c>
    </row>
    <row r="779" spans="1:17" x14ac:dyDescent="0.3">
      <c r="A779">
        <v>51033248</v>
      </c>
      <c r="B779" t="str">
        <f>VLOOKUP(A779,ASESORES!$A$2:$B$993,2,0)</f>
        <v>MONTENEGRO</v>
      </c>
      <c r="C779">
        <v>35038760.399999999</v>
      </c>
      <c r="D779">
        <v>42424556.520000003</v>
      </c>
      <c r="E779">
        <v>54784865.340000004</v>
      </c>
      <c r="F779">
        <v>39407910</v>
      </c>
      <c r="G779">
        <v>39362920</v>
      </c>
      <c r="H779">
        <v>48957753</v>
      </c>
      <c r="I779">
        <f t="shared" si="108"/>
        <v>0.12469475375618599</v>
      </c>
      <c r="J779">
        <f t="shared" si="109"/>
        <v>-7.2166612243941053E-2</v>
      </c>
      <c r="K779">
        <f t="shared" si="110"/>
        <v>-0.10636354226365985</v>
      </c>
      <c r="L779">
        <f t="shared" si="111"/>
        <v>0.94712940202827089</v>
      </c>
      <c r="M779">
        <f t="shared" si="112"/>
        <v>-0.54811172068395375</v>
      </c>
      <c r="N779">
        <f t="shared" si="113"/>
        <v>-0.81791665165880278</v>
      </c>
      <c r="O779">
        <f t="shared" si="114"/>
        <v>31.936295054484493</v>
      </c>
      <c r="P779">
        <f t="shared" si="115"/>
        <v>8.2145850796311812</v>
      </c>
      <c r="Q779">
        <f t="shared" si="116"/>
        <v>8.8851634534786257</v>
      </c>
    </row>
    <row r="780" spans="1:17" x14ac:dyDescent="0.3">
      <c r="A780">
        <v>51025318</v>
      </c>
      <c r="B780" t="str">
        <f>VLOOKUP(A780,ASESORES!$A$2:$B$993,2,0)</f>
        <v>ROBERTS</v>
      </c>
      <c r="C780">
        <v>27978285.199999999</v>
      </c>
      <c r="D780">
        <v>23008414.300000001</v>
      </c>
      <c r="E780">
        <v>23001181.100000001</v>
      </c>
      <c r="F780">
        <v>28932180</v>
      </c>
      <c r="G780">
        <v>47723833</v>
      </c>
      <c r="H780">
        <v>48941636</v>
      </c>
      <c r="I780">
        <f t="shared" si="108"/>
        <v>3.409411238684501E-2</v>
      </c>
      <c r="J780">
        <f t="shared" si="109"/>
        <v>1.0741904408423313</v>
      </c>
      <c r="K780">
        <f t="shared" si="110"/>
        <v>1.127787950854402</v>
      </c>
      <c r="L780">
        <f t="shared" si="111"/>
        <v>0.2543891677746643</v>
      </c>
      <c r="M780">
        <f t="shared" si="112"/>
        <v>8.2484240756124461</v>
      </c>
      <c r="N780">
        <f t="shared" si="113"/>
        <v>8.6723267386972598</v>
      </c>
      <c r="O780">
        <f t="shared" si="114"/>
        <v>25.230511316010055</v>
      </c>
      <c r="P780">
        <f t="shared" si="115"/>
        <v>95.808885163453482</v>
      </c>
      <c r="Q780">
        <f t="shared" si="116"/>
        <v>97.736797988264883</v>
      </c>
    </row>
    <row r="781" spans="1:17" x14ac:dyDescent="0.3">
      <c r="A781">
        <v>51031687</v>
      </c>
      <c r="B781" t="str">
        <f>VLOOKUP(A781,ASESORES!$A$2:$B$993,2,0)</f>
        <v>METTLER</v>
      </c>
      <c r="C781">
        <v>21546508.289999999</v>
      </c>
      <c r="D781">
        <v>31143155.530000001</v>
      </c>
      <c r="E781">
        <v>36591414.579999998</v>
      </c>
      <c r="F781">
        <v>33245599</v>
      </c>
      <c r="G781">
        <v>43420180</v>
      </c>
      <c r="H781">
        <v>48889433</v>
      </c>
      <c r="I781">
        <f t="shared" si="108"/>
        <v>0.54296921582554947</v>
      </c>
      <c r="J781">
        <f t="shared" si="109"/>
        <v>0.39421260501921918</v>
      </c>
      <c r="K781">
        <f t="shared" si="110"/>
        <v>0.33609027038604311</v>
      </c>
      <c r="L781">
        <f t="shared" si="111"/>
        <v>4.0840700997115693</v>
      </c>
      <c r="M781">
        <f t="shared" si="112"/>
        <v>3.0108743096590569</v>
      </c>
      <c r="N781">
        <f t="shared" si="113"/>
        <v>2.5842703485812333</v>
      </c>
      <c r="O781">
        <f t="shared" si="114"/>
        <v>78.206202849958089</v>
      </c>
      <c r="P781">
        <f t="shared" si="115"/>
        <v>63.369656328583403</v>
      </c>
      <c r="Q781">
        <f t="shared" si="116"/>
        <v>67.141659681475275</v>
      </c>
    </row>
    <row r="782" spans="1:17" x14ac:dyDescent="0.3">
      <c r="A782">
        <v>51055861</v>
      </c>
      <c r="B782" t="str">
        <f>VLOOKUP(A782,ASESORES!$A$2:$B$993,2,0)</f>
        <v>PRADES</v>
      </c>
      <c r="C782">
        <v>31126001.41</v>
      </c>
      <c r="D782">
        <v>40006432.520000003</v>
      </c>
      <c r="E782">
        <v>45666616.390000001</v>
      </c>
      <c r="F782">
        <v>33559022</v>
      </c>
      <c r="G782">
        <v>42892983</v>
      </c>
      <c r="H782">
        <v>48852473</v>
      </c>
      <c r="I782">
        <f t="shared" si="108"/>
        <v>7.8166821300031497E-2</v>
      </c>
      <c r="J782">
        <f t="shared" si="109"/>
        <v>7.2152158994855498E-2</v>
      </c>
      <c r="K782">
        <f t="shared" si="110"/>
        <v>6.9763360236551941E-2</v>
      </c>
      <c r="L782">
        <f t="shared" si="111"/>
        <v>0.58826859036556356</v>
      </c>
      <c r="M782">
        <f t="shared" si="112"/>
        <v>0.55069314624720711</v>
      </c>
      <c r="N782">
        <f t="shared" si="113"/>
        <v>0.53640256244133311</v>
      </c>
      <c r="O782">
        <f t="shared" si="114"/>
        <v>28.667225481978203</v>
      </c>
      <c r="P782">
        <f t="shared" si="115"/>
        <v>31.43336127409891</v>
      </c>
      <c r="Q782">
        <f t="shared" si="116"/>
        <v>37.636211232187762</v>
      </c>
    </row>
    <row r="783" spans="1:17" x14ac:dyDescent="0.3">
      <c r="A783">
        <v>51019407</v>
      </c>
      <c r="B783" t="str">
        <f>VLOOKUP(A783,ASESORES!$A$2:$B$993,2,0)</f>
        <v>NELLI</v>
      </c>
      <c r="C783">
        <v>28589902.469999999</v>
      </c>
      <c r="D783">
        <v>38924684.590000004</v>
      </c>
      <c r="E783">
        <v>44714676.299999997</v>
      </c>
      <c r="F783">
        <v>38287358</v>
      </c>
      <c r="G783">
        <v>41684366</v>
      </c>
      <c r="H783">
        <v>48760176</v>
      </c>
      <c r="I783">
        <f t="shared" si="108"/>
        <v>0.33919162684013182</v>
      </c>
      <c r="J783">
        <f t="shared" si="109"/>
        <v>7.0897977442031079E-2</v>
      </c>
      <c r="K783">
        <f t="shared" si="110"/>
        <v>9.0473643885016886E-2</v>
      </c>
      <c r="L783">
        <f t="shared" si="111"/>
        <v>2.5721088972422814</v>
      </c>
      <c r="M783">
        <f t="shared" si="112"/>
        <v>0.54024068807540104</v>
      </c>
      <c r="N783">
        <f t="shared" si="113"/>
        <v>0.69556727890843384</v>
      </c>
      <c r="O783">
        <f t="shared" si="114"/>
        <v>56.747694886839895</v>
      </c>
      <c r="P783">
        <f t="shared" si="115"/>
        <v>31.265716680637052</v>
      </c>
      <c r="Q783">
        <f t="shared" si="116"/>
        <v>39.731768650461028</v>
      </c>
    </row>
    <row r="784" spans="1:17" x14ac:dyDescent="0.3">
      <c r="A784">
        <v>51012411</v>
      </c>
      <c r="B784" t="str">
        <f>VLOOKUP(A784,ASESORES!$A$2:$B$993,2,0)</f>
        <v>ROBERTS</v>
      </c>
      <c r="C784">
        <v>31457314.899999999</v>
      </c>
      <c r="D784">
        <v>36967093.219999999</v>
      </c>
      <c r="E784">
        <v>42810719.100000001</v>
      </c>
      <c r="F784">
        <v>42661716</v>
      </c>
      <c r="G784">
        <v>19400560</v>
      </c>
      <c r="H784">
        <v>48523822</v>
      </c>
      <c r="I784">
        <f t="shared" si="108"/>
        <v>0.35617792350102961</v>
      </c>
      <c r="J784">
        <f t="shared" si="109"/>
        <v>-0.47519379236710246</v>
      </c>
      <c r="K784">
        <f t="shared" si="110"/>
        <v>0.13345029049044865</v>
      </c>
      <c r="L784">
        <f t="shared" si="111"/>
        <v>2.7176512051480741</v>
      </c>
      <c r="M784">
        <f t="shared" si="112"/>
        <v>-3.4631240991679326</v>
      </c>
      <c r="N784">
        <f t="shared" si="113"/>
        <v>1.025692927571431</v>
      </c>
      <c r="O784">
        <f t="shared" si="114"/>
        <v>59.178541492036885</v>
      </c>
      <c r="P784">
        <f t="shared" si="115"/>
        <v>2.7661357921207044</v>
      </c>
      <c r="Q784">
        <f t="shared" si="116"/>
        <v>43.922883487007539</v>
      </c>
    </row>
    <row r="785" spans="1:17" x14ac:dyDescent="0.3">
      <c r="A785">
        <v>51020171</v>
      </c>
      <c r="B785" t="str">
        <f>VLOOKUP(A785,ASESORES!$A$2:$B$993,2,0)</f>
        <v>AYALA</v>
      </c>
      <c r="C785">
        <v>29433120.800000001</v>
      </c>
      <c r="D785">
        <v>36640065.299999997</v>
      </c>
      <c r="E785">
        <v>55900181</v>
      </c>
      <c r="F785">
        <v>37435210</v>
      </c>
      <c r="G785">
        <v>23110060</v>
      </c>
      <c r="H785">
        <v>48345970</v>
      </c>
      <c r="I785">
        <f t="shared" si="108"/>
        <v>0.27187362340455579</v>
      </c>
      <c r="J785">
        <f t="shared" si="109"/>
        <v>-0.36926804549117431</v>
      </c>
      <c r="K785">
        <f t="shared" si="110"/>
        <v>-0.13513750518983114</v>
      </c>
      <c r="L785">
        <f t="shared" si="111"/>
        <v>2.0589751490770021</v>
      </c>
      <c r="M785">
        <f t="shared" si="112"/>
        <v>-2.7192164296225454</v>
      </c>
      <c r="N785">
        <f t="shared" si="113"/>
        <v>-1.0384452769782533</v>
      </c>
      <c r="O785">
        <f t="shared" si="114"/>
        <v>47.862531433361269</v>
      </c>
      <c r="P785">
        <f t="shared" si="115"/>
        <v>3.7720033528918693</v>
      </c>
      <c r="Q785">
        <f t="shared" si="116"/>
        <v>7.3763621123218766</v>
      </c>
    </row>
    <row r="786" spans="1:17" x14ac:dyDescent="0.3">
      <c r="A786">
        <v>51029488</v>
      </c>
      <c r="B786" t="str">
        <f>VLOOKUP(A786,ASESORES!$A$2:$B$993,2,0)</f>
        <v>PRADES</v>
      </c>
      <c r="C786">
        <v>38045265.799999997</v>
      </c>
      <c r="D786">
        <v>42181665.280000001</v>
      </c>
      <c r="E786">
        <v>45948896.609999999</v>
      </c>
      <c r="F786">
        <v>34519913</v>
      </c>
      <c r="G786">
        <v>37584623</v>
      </c>
      <c r="H786">
        <v>48182678</v>
      </c>
      <c r="I786">
        <f t="shared" si="108"/>
        <v>-9.2662062568636294E-2</v>
      </c>
      <c r="J786">
        <f t="shared" si="109"/>
        <v>-0.10898200081682508</v>
      </c>
      <c r="K786">
        <f t="shared" si="110"/>
        <v>4.861447292107246E-2</v>
      </c>
      <c r="L786">
        <f t="shared" si="111"/>
        <v>-0.69849308549307598</v>
      </c>
      <c r="M786">
        <f t="shared" si="112"/>
        <v>-0.82553976762155346</v>
      </c>
      <c r="N786">
        <f t="shared" si="113"/>
        <v>0.37349969328989702</v>
      </c>
      <c r="O786">
        <f t="shared" si="114"/>
        <v>7.7954735959765289</v>
      </c>
      <c r="P786">
        <f t="shared" si="115"/>
        <v>6.957250628667226</v>
      </c>
      <c r="Q786">
        <f t="shared" si="116"/>
        <v>35.792120704107298</v>
      </c>
    </row>
    <row r="787" spans="1:17" x14ac:dyDescent="0.3">
      <c r="A787">
        <v>51017633</v>
      </c>
      <c r="B787" t="str">
        <f>VLOOKUP(A787,ASESORES!$A$2:$B$993,2,0)</f>
        <v>PRADES</v>
      </c>
      <c r="C787">
        <v>20883615.32</v>
      </c>
      <c r="D787">
        <v>27279380.579999998</v>
      </c>
      <c r="E787">
        <v>33623495.189999998</v>
      </c>
      <c r="F787">
        <v>28548076</v>
      </c>
      <c r="G787">
        <v>98350649</v>
      </c>
      <c r="H787">
        <v>48061414</v>
      </c>
      <c r="I787">
        <f t="shared" si="108"/>
        <v>0.36700832507002912</v>
      </c>
      <c r="J787">
        <f t="shared" si="109"/>
        <v>2.6053109311472498</v>
      </c>
      <c r="K787">
        <f t="shared" si="110"/>
        <v>0.42939970185770582</v>
      </c>
      <c r="L787">
        <f t="shared" si="111"/>
        <v>2.7362587700408234</v>
      </c>
      <c r="M787">
        <f t="shared" si="112"/>
        <v>20.823669887814116</v>
      </c>
      <c r="N787">
        <f t="shared" si="113"/>
        <v>3.2985611456820023</v>
      </c>
      <c r="O787">
        <f t="shared" si="114"/>
        <v>59.765297569153397</v>
      </c>
      <c r="P787">
        <f t="shared" si="115"/>
        <v>99.077954735959764</v>
      </c>
      <c r="Q787">
        <f t="shared" si="116"/>
        <v>76.865046102263207</v>
      </c>
    </row>
    <row r="788" spans="1:17" x14ac:dyDescent="0.3">
      <c r="A788">
        <v>51056663</v>
      </c>
      <c r="B788" t="str">
        <f>VLOOKUP(A788,ASESORES!$A$2:$B$993,2,0)</f>
        <v>LÓPEZ</v>
      </c>
      <c r="C788">
        <v>27084609.140000001</v>
      </c>
      <c r="D788">
        <v>26376596.149999999</v>
      </c>
      <c r="E788">
        <v>35537587.18</v>
      </c>
      <c r="F788">
        <v>29790158</v>
      </c>
      <c r="G788">
        <v>40002561</v>
      </c>
      <c r="H788">
        <v>47953514</v>
      </c>
      <c r="I788">
        <f t="shared" si="108"/>
        <v>9.9892483070922466E-2</v>
      </c>
      <c r="J788">
        <f t="shared" si="109"/>
        <v>0.51659299678059489</v>
      </c>
      <c r="K788">
        <f t="shared" si="110"/>
        <v>0.34937450190730712</v>
      </c>
      <c r="L788">
        <f t="shared" si="111"/>
        <v>0.74660369130583693</v>
      </c>
      <c r="M788">
        <f t="shared" si="112"/>
        <v>3.927185316398222</v>
      </c>
      <c r="N788">
        <f t="shared" si="113"/>
        <v>2.6834828145801874</v>
      </c>
      <c r="O788">
        <f t="shared" si="114"/>
        <v>29.756915339480301</v>
      </c>
      <c r="P788">
        <f t="shared" si="115"/>
        <v>74.601844090528076</v>
      </c>
      <c r="Q788">
        <f t="shared" si="116"/>
        <v>68.818105616093888</v>
      </c>
    </row>
    <row r="789" spans="1:17" x14ac:dyDescent="0.3">
      <c r="A789">
        <v>51026063</v>
      </c>
      <c r="B789" t="str">
        <f>VLOOKUP(A789,ASESORES!$A$2:$B$993,2,0)</f>
        <v>METTLER</v>
      </c>
      <c r="C789">
        <v>12755900.6</v>
      </c>
      <c r="D789">
        <v>17488804.199999999</v>
      </c>
      <c r="E789">
        <v>25430701.949999999</v>
      </c>
      <c r="F789">
        <v>17968264</v>
      </c>
      <c r="G789">
        <v>37392424</v>
      </c>
      <c r="H789">
        <v>47856651</v>
      </c>
      <c r="I789">
        <f t="shared" si="108"/>
        <v>0.40862370783917834</v>
      </c>
      <c r="J789">
        <f t="shared" si="109"/>
        <v>1.1380777995101576</v>
      </c>
      <c r="K789">
        <f t="shared" si="110"/>
        <v>0.88184545963742078</v>
      </c>
      <c r="L789">
        <f t="shared" si="111"/>
        <v>2.9643631892420235</v>
      </c>
      <c r="M789">
        <f t="shared" si="112"/>
        <v>8.618416917990567</v>
      </c>
      <c r="N789">
        <f t="shared" si="113"/>
        <v>6.7725222506095681</v>
      </c>
      <c r="O789">
        <f t="shared" si="114"/>
        <v>63.285834031852474</v>
      </c>
      <c r="P789">
        <f t="shared" si="115"/>
        <v>96.395641240570001</v>
      </c>
      <c r="Q789">
        <f t="shared" si="116"/>
        <v>96.227996647108128</v>
      </c>
    </row>
    <row r="790" spans="1:17" x14ac:dyDescent="0.3">
      <c r="A790">
        <v>51043995</v>
      </c>
      <c r="B790" t="str">
        <f>VLOOKUP(A790,ASESORES!$A$2:$B$993,2,0)</f>
        <v>MONTENEGRO</v>
      </c>
      <c r="C790">
        <v>23854944.300000001</v>
      </c>
      <c r="D790">
        <v>33631038.270000003</v>
      </c>
      <c r="E790">
        <v>36135851.219999999</v>
      </c>
      <c r="F790">
        <v>29878412</v>
      </c>
      <c r="G790">
        <v>39815050</v>
      </c>
      <c r="H790">
        <v>47694450</v>
      </c>
      <c r="I790">
        <f t="shared" si="108"/>
        <v>0.25250395156026406</v>
      </c>
      <c r="J790">
        <f t="shared" si="109"/>
        <v>0.18387810927372827</v>
      </c>
      <c r="K790">
        <f t="shared" si="110"/>
        <v>0.31986513088150792</v>
      </c>
      <c r="L790">
        <f t="shared" si="111"/>
        <v>1.887557310992461</v>
      </c>
      <c r="M790">
        <f t="shared" si="112"/>
        <v>1.397482321562368</v>
      </c>
      <c r="N790">
        <f t="shared" si="113"/>
        <v>2.4560741222043676</v>
      </c>
      <c r="O790">
        <f t="shared" si="114"/>
        <v>45.599329421626152</v>
      </c>
      <c r="P790">
        <f t="shared" si="115"/>
        <v>40.067057837384745</v>
      </c>
      <c r="Q790">
        <f t="shared" si="116"/>
        <v>65.549036043587591</v>
      </c>
    </row>
    <row r="791" spans="1:17" x14ac:dyDescent="0.3">
      <c r="A791">
        <v>51011074</v>
      </c>
      <c r="B791" t="str">
        <f>VLOOKUP(A791,ASESORES!$A$2:$B$993,2,0)</f>
        <v>AYALA</v>
      </c>
      <c r="C791">
        <v>31154999.039999999</v>
      </c>
      <c r="D791">
        <v>39281243.150000013</v>
      </c>
      <c r="E791">
        <v>45513521.979999997</v>
      </c>
      <c r="F791">
        <v>46788864</v>
      </c>
      <c r="G791">
        <v>91554650</v>
      </c>
      <c r="H791">
        <v>47507884</v>
      </c>
      <c r="I791">
        <f t="shared" si="108"/>
        <v>0.50180919408559865</v>
      </c>
      <c r="J791">
        <f t="shared" si="109"/>
        <v>1.3307472640412086</v>
      </c>
      <c r="K791">
        <f t="shared" si="110"/>
        <v>4.3819109865335992E-2</v>
      </c>
      <c r="L791">
        <f t="shared" si="111"/>
        <v>3.8489480269295417</v>
      </c>
      <c r="M791">
        <f t="shared" si="112"/>
        <v>10.594984418422193</v>
      </c>
      <c r="N791">
        <f t="shared" si="113"/>
        <v>0.33638903906593381</v>
      </c>
      <c r="O791">
        <f t="shared" si="114"/>
        <v>75.775356244761099</v>
      </c>
      <c r="P791">
        <f t="shared" si="115"/>
        <v>97.98826487845767</v>
      </c>
      <c r="Q791">
        <f t="shared" si="116"/>
        <v>35.373009220452637</v>
      </c>
    </row>
    <row r="792" spans="1:17" x14ac:dyDescent="0.3">
      <c r="A792">
        <v>51003225</v>
      </c>
      <c r="B792" t="str">
        <f>VLOOKUP(A792,ASESORES!$A$2:$B$993,2,0)</f>
        <v>NELLI</v>
      </c>
      <c r="C792">
        <v>25430728.25</v>
      </c>
      <c r="D792">
        <v>35895436.850000001</v>
      </c>
      <c r="E792">
        <v>43935012.309999987</v>
      </c>
      <c r="F792">
        <v>33682541</v>
      </c>
      <c r="G792">
        <v>47045152</v>
      </c>
      <c r="H792">
        <v>47230299</v>
      </c>
      <c r="I792">
        <f t="shared" si="108"/>
        <v>0.32448196799083018</v>
      </c>
      <c r="J792">
        <f t="shared" si="109"/>
        <v>0.31061650528429219</v>
      </c>
      <c r="K792">
        <f t="shared" si="110"/>
        <v>7.5003659194377237E-2</v>
      </c>
      <c r="L792">
        <f t="shared" si="111"/>
        <v>2.4425071386503174</v>
      </c>
      <c r="M792">
        <f t="shared" si="112"/>
        <v>2.3832097575402718</v>
      </c>
      <c r="N792">
        <f t="shared" si="113"/>
        <v>0.57559463358763874</v>
      </c>
      <c r="O792">
        <f t="shared" si="114"/>
        <v>54.652137468566643</v>
      </c>
      <c r="P792">
        <f t="shared" si="115"/>
        <v>53.47862531433362</v>
      </c>
      <c r="Q792">
        <f t="shared" si="116"/>
        <v>38.30678960603521</v>
      </c>
    </row>
    <row r="793" spans="1:17" x14ac:dyDescent="0.3">
      <c r="A793">
        <v>51024966</v>
      </c>
      <c r="B793" t="str">
        <f>VLOOKUP(A793,ASESORES!$A$2:$B$993,2,0)</f>
        <v>BELUZZO</v>
      </c>
      <c r="C793">
        <v>24198296.66</v>
      </c>
      <c r="D793">
        <v>30080006.699999999</v>
      </c>
      <c r="E793">
        <v>36562835.100000001</v>
      </c>
      <c r="F793">
        <v>32841585</v>
      </c>
      <c r="G793">
        <v>45291970</v>
      </c>
      <c r="H793">
        <v>47094215</v>
      </c>
      <c r="I793">
        <f t="shared" si="108"/>
        <v>0.35718581606974986</v>
      </c>
      <c r="J793">
        <f t="shared" si="109"/>
        <v>0.50571675238356906</v>
      </c>
      <c r="K793">
        <f t="shared" si="110"/>
        <v>0.28803510097607288</v>
      </c>
      <c r="L793">
        <f t="shared" si="111"/>
        <v>2.6847600792516024</v>
      </c>
      <c r="M793">
        <f t="shared" si="112"/>
        <v>3.8717781829961844</v>
      </c>
      <c r="N793">
        <f t="shared" si="113"/>
        <v>2.2100839865538275</v>
      </c>
      <c r="O793">
        <f t="shared" si="114"/>
        <v>58.675607711651303</v>
      </c>
      <c r="P793">
        <f t="shared" si="115"/>
        <v>74.350377200335288</v>
      </c>
      <c r="Q793">
        <f t="shared" si="116"/>
        <v>61.69321039396479</v>
      </c>
    </row>
    <row r="794" spans="1:17" x14ac:dyDescent="0.3">
      <c r="A794">
        <v>51038673</v>
      </c>
      <c r="B794" t="str">
        <f>VLOOKUP(A794,ASESORES!$A$2:$B$993,2,0)</f>
        <v>NELLI</v>
      </c>
      <c r="C794">
        <v>46896395.990000002</v>
      </c>
      <c r="D794">
        <v>59067875.979999997</v>
      </c>
      <c r="E794">
        <v>72722246.489999995</v>
      </c>
      <c r="F794">
        <v>62176310</v>
      </c>
      <c r="G794">
        <v>68498764</v>
      </c>
      <c r="H794">
        <v>47013500</v>
      </c>
      <c r="I794">
        <f t="shared" si="108"/>
        <v>0.32582277779423019</v>
      </c>
      <c r="J794">
        <f t="shared" si="109"/>
        <v>0.15966187819574285</v>
      </c>
      <c r="K794">
        <f t="shared" si="110"/>
        <v>-0.35351969625326674</v>
      </c>
      <c r="L794">
        <f t="shared" si="111"/>
        <v>2.539340528418669</v>
      </c>
      <c r="M794">
        <f t="shared" si="112"/>
        <v>1.2510598224321581</v>
      </c>
      <c r="N794">
        <f t="shared" si="113"/>
        <v>-2.7122817975479894</v>
      </c>
      <c r="O794">
        <f t="shared" si="114"/>
        <v>56.412405699916178</v>
      </c>
      <c r="P794">
        <f t="shared" si="115"/>
        <v>38.222967309304273</v>
      </c>
      <c r="Q794">
        <f t="shared" si="116"/>
        <v>3.1014249790444257</v>
      </c>
    </row>
    <row r="795" spans="1:17" x14ac:dyDescent="0.3">
      <c r="A795">
        <v>51013271</v>
      </c>
      <c r="B795" t="str">
        <f>VLOOKUP(A795,ASESORES!$A$2:$B$993,2,0)</f>
        <v>METTLER</v>
      </c>
      <c r="C795">
        <v>20699450.199999999</v>
      </c>
      <c r="D795">
        <v>32745022.530000001</v>
      </c>
      <c r="E795">
        <v>40365539.350000001</v>
      </c>
      <c r="F795">
        <v>40320798</v>
      </c>
      <c r="G795">
        <v>43318371</v>
      </c>
      <c r="H795">
        <v>47004825</v>
      </c>
      <c r="I795">
        <f t="shared" si="108"/>
        <v>0.94791637509289983</v>
      </c>
      <c r="J795">
        <f t="shared" si="109"/>
        <v>0.32289941044667225</v>
      </c>
      <c r="K795">
        <f t="shared" si="110"/>
        <v>0.16447905210512181</v>
      </c>
      <c r="L795">
        <f t="shared" si="111"/>
        <v>7.2094055929222982</v>
      </c>
      <c r="M795">
        <f t="shared" si="112"/>
        <v>2.4658769241889855</v>
      </c>
      <c r="N795">
        <f t="shared" si="113"/>
        <v>1.2619067161687278</v>
      </c>
      <c r="O795">
        <f t="shared" si="114"/>
        <v>93.964794635373011</v>
      </c>
      <c r="P795">
        <f t="shared" si="115"/>
        <v>54.98742665549036</v>
      </c>
      <c r="Q795">
        <f t="shared" si="116"/>
        <v>48.113998323554064</v>
      </c>
    </row>
    <row r="796" spans="1:17" x14ac:dyDescent="0.3">
      <c r="A796">
        <v>51038894</v>
      </c>
      <c r="B796" t="str">
        <f>VLOOKUP(A796,ASESORES!$A$2:$B$993,2,0)</f>
        <v>AYALA</v>
      </c>
      <c r="C796">
        <v>25912308.079999998</v>
      </c>
      <c r="D796">
        <v>34205629.789999999</v>
      </c>
      <c r="E796">
        <v>39748592.899999999</v>
      </c>
      <c r="F796">
        <v>39711019</v>
      </c>
      <c r="G796">
        <v>44645865</v>
      </c>
      <c r="H796">
        <v>46985445</v>
      </c>
      <c r="I796">
        <f t="shared" si="108"/>
        <v>0.53251570170433093</v>
      </c>
      <c r="J796">
        <f t="shared" si="109"/>
        <v>0.30521979200781146</v>
      </c>
      <c r="K796">
        <f t="shared" si="110"/>
        <v>0.18206561722088033</v>
      </c>
      <c r="L796">
        <f t="shared" si="111"/>
        <v>4.0465394400588188</v>
      </c>
      <c r="M796">
        <f t="shared" si="112"/>
        <v>2.3348646394985035</v>
      </c>
      <c r="N796">
        <f t="shared" si="113"/>
        <v>1.3968007415981141</v>
      </c>
      <c r="O796">
        <f t="shared" si="114"/>
        <v>77.703269069572514</v>
      </c>
      <c r="P796">
        <f t="shared" si="115"/>
        <v>52.640402347024306</v>
      </c>
      <c r="Q796">
        <f t="shared" si="116"/>
        <v>50.293378038558259</v>
      </c>
    </row>
    <row r="797" spans="1:17" x14ac:dyDescent="0.3">
      <c r="A797">
        <v>51021843</v>
      </c>
      <c r="B797" t="str">
        <f>VLOOKUP(A797,ASESORES!$A$2:$B$993,2,0)</f>
        <v>PRADES</v>
      </c>
      <c r="C797">
        <v>26554041.550000001</v>
      </c>
      <c r="D797">
        <v>34448030.700000003</v>
      </c>
      <c r="E797">
        <v>41864098.099999987</v>
      </c>
      <c r="F797">
        <v>33953920</v>
      </c>
      <c r="G797">
        <v>44233466</v>
      </c>
      <c r="H797">
        <v>46634185</v>
      </c>
      <c r="I797">
        <f t="shared" si="108"/>
        <v>0.27867239855245307</v>
      </c>
      <c r="J797">
        <f t="shared" si="109"/>
        <v>0.28406370701475248</v>
      </c>
      <c r="K797">
        <f t="shared" si="110"/>
        <v>0.11394218713623783</v>
      </c>
      <c r="L797">
        <f t="shared" si="111"/>
        <v>2.0986511575373976</v>
      </c>
      <c r="M797">
        <f t="shared" si="112"/>
        <v>2.1718803636483974</v>
      </c>
      <c r="N797">
        <f t="shared" si="113"/>
        <v>0.87378895083909069</v>
      </c>
      <c r="O797">
        <f t="shared" si="114"/>
        <v>48.449287510477788</v>
      </c>
      <c r="P797">
        <f t="shared" si="115"/>
        <v>51.131601005867566</v>
      </c>
      <c r="Q797">
        <f t="shared" si="116"/>
        <v>42.078792958927075</v>
      </c>
    </row>
    <row r="798" spans="1:17" x14ac:dyDescent="0.3">
      <c r="A798">
        <v>51024109</v>
      </c>
      <c r="B798" t="str">
        <f>VLOOKUP(A798,ASESORES!$A$2:$B$993,2,0)</f>
        <v>MONTENEGRO</v>
      </c>
      <c r="C798">
        <v>19786231.399999999</v>
      </c>
      <c r="D798">
        <v>30306313.199999999</v>
      </c>
      <c r="E798">
        <v>39197763.899999999</v>
      </c>
      <c r="F798">
        <v>35158204</v>
      </c>
      <c r="G798">
        <v>43805860</v>
      </c>
      <c r="H798">
        <v>46612334</v>
      </c>
      <c r="I798">
        <f t="shared" si="108"/>
        <v>0.77690249796633859</v>
      </c>
      <c r="J798">
        <f t="shared" si="109"/>
        <v>0.44543678773833828</v>
      </c>
      <c r="K798">
        <f t="shared" si="110"/>
        <v>0.18915798663708983</v>
      </c>
      <c r="L798">
        <f t="shared" si="111"/>
        <v>5.8625269787621281</v>
      </c>
      <c r="M798">
        <f t="shared" si="112"/>
        <v>3.4038195614029472</v>
      </c>
      <c r="N798">
        <f t="shared" si="113"/>
        <v>1.4505581812585826</v>
      </c>
      <c r="O798">
        <f t="shared" si="114"/>
        <v>89.941324392288351</v>
      </c>
      <c r="P798">
        <f t="shared" si="115"/>
        <v>68.734283319362959</v>
      </c>
      <c r="Q798">
        <f t="shared" si="116"/>
        <v>50.9639564124057</v>
      </c>
    </row>
    <row r="799" spans="1:17" x14ac:dyDescent="0.3">
      <c r="A799">
        <v>51056159</v>
      </c>
      <c r="B799" t="str">
        <f>VLOOKUP(A799,ASESORES!$A$2:$B$993,2,0)</f>
        <v>MONTENEGRO</v>
      </c>
      <c r="C799">
        <v>18468153.5</v>
      </c>
      <c r="D799">
        <v>29784536.32</v>
      </c>
      <c r="E799">
        <v>35045202.990000002</v>
      </c>
      <c r="F799">
        <v>29696715</v>
      </c>
      <c r="G799">
        <v>39134015</v>
      </c>
      <c r="H799">
        <v>46605415</v>
      </c>
      <c r="I799">
        <f t="shared" si="108"/>
        <v>0.60799589412119626</v>
      </c>
      <c r="J799">
        <f t="shared" si="109"/>
        <v>0.31390378482145187</v>
      </c>
      <c r="K799">
        <f t="shared" si="110"/>
        <v>0.32986574548587022</v>
      </c>
      <c r="L799">
        <f t="shared" si="111"/>
        <v>4.543376031888628</v>
      </c>
      <c r="M799">
        <f t="shared" si="112"/>
        <v>2.3833315648629108</v>
      </c>
      <c r="N799">
        <f t="shared" si="113"/>
        <v>2.5295544830421539</v>
      </c>
      <c r="O799">
        <f t="shared" si="114"/>
        <v>82.06202849958089</v>
      </c>
      <c r="P799">
        <f t="shared" si="115"/>
        <v>53.562447611064542</v>
      </c>
      <c r="Q799">
        <f t="shared" si="116"/>
        <v>66.554903604358756</v>
      </c>
    </row>
    <row r="800" spans="1:17" x14ac:dyDescent="0.3">
      <c r="A800">
        <v>51036981</v>
      </c>
      <c r="B800" t="str">
        <f>VLOOKUP(A800,ASESORES!$A$2:$B$993,2,0)</f>
        <v>CICHETTO</v>
      </c>
      <c r="C800">
        <v>19584943.260000002</v>
      </c>
      <c r="D800">
        <v>26345461.809999999</v>
      </c>
      <c r="E800">
        <v>33250653.789999999</v>
      </c>
      <c r="F800">
        <v>25930165</v>
      </c>
      <c r="G800">
        <v>35144693</v>
      </c>
      <c r="H800">
        <v>46542955</v>
      </c>
      <c r="I800">
        <f t="shared" si="108"/>
        <v>0.32398468842947259</v>
      </c>
      <c r="J800">
        <f t="shared" si="109"/>
        <v>0.3339941904779995</v>
      </c>
      <c r="K800">
        <f t="shared" si="110"/>
        <v>0.39976059700809885</v>
      </c>
      <c r="L800">
        <f t="shared" si="111"/>
        <v>2.4019593938149217</v>
      </c>
      <c r="M800">
        <f t="shared" si="112"/>
        <v>2.5202733199876151</v>
      </c>
      <c r="N800">
        <f t="shared" si="113"/>
        <v>3.0653058740496757</v>
      </c>
      <c r="O800">
        <f t="shared" si="114"/>
        <v>53.981559094719202</v>
      </c>
      <c r="P800">
        <f t="shared" si="115"/>
        <v>55.741827326068737</v>
      </c>
      <c r="Q800">
        <f t="shared" si="116"/>
        <v>75.020955574182736</v>
      </c>
    </row>
    <row r="801" spans="1:17" x14ac:dyDescent="0.3">
      <c r="A801">
        <v>51032519</v>
      </c>
      <c r="B801" t="str">
        <f>VLOOKUP(A801,ASESORES!$A$2:$B$993,2,0)</f>
        <v>PRADES</v>
      </c>
      <c r="C801">
        <v>21972283.09</v>
      </c>
      <c r="D801">
        <v>20618272.199999999</v>
      </c>
      <c r="E801">
        <v>29858745.66</v>
      </c>
      <c r="F801">
        <v>34430753</v>
      </c>
      <c r="G801">
        <v>43099990</v>
      </c>
      <c r="H801">
        <v>46379652</v>
      </c>
      <c r="I801">
        <f t="shared" si="108"/>
        <v>0.56700843781091126</v>
      </c>
      <c r="J801">
        <f t="shared" si="109"/>
        <v>1.0903783586677065</v>
      </c>
      <c r="K801">
        <f t="shared" si="110"/>
        <v>0.55330208871205477</v>
      </c>
      <c r="L801">
        <f t="shared" si="111"/>
        <v>4.2735122726354886</v>
      </c>
      <c r="M801">
        <f t="shared" si="112"/>
        <v>8.3244686852524588</v>
      </c>
      <c r="N801">
        <f t="shared" si="113"/>
        <v>4.2417950105754727</v>
      </c>
      <c r="O801">
        <f t="shared" si="114"/>
        <v>79.463537300922056</v>
      </c>
      <c r="P801">
        <f t="shared" si="115"/>
        <v>96.06035205364627</v>
      </c>
      <c r="Q801">
        <f t="shared" si="116"/>
        <v>86.169321039396479</v>
      </c>
    </row>
    <row r="802" spans="1:17" x14ac:dyDescent="0.3">
      <c r="A802">
        <v>51055519</v>
      </c>
      <c r="B802" t="str">
        <f>VLOOKUP(A802,ASESORES!$A$2:$B$993,2,0)</f>
        <v>PRADES</v>
      </c>
      <c r="C802">
        <v>31822950.98</v>
      </c>
      <c r="D802">
        <v>39561657.049999997</v>
      </c>
      <c r="E802">
        <v>45656726.140000008</v>
      </c>
      <c r="F802">
        <v>33613860</v>
      </c>
      <c r="G802">
        <v>40755350</v>
      </c>
      <c r="H802">
        <v>46365030</v>
      </c>
      <c r="I802">
        <f t="shared" si="108"/>
        <v>5.6277276771897977E-2</v>
      </c>
      <c r="J802">
        <f t="shared" si="109"/>
        <v>3.0172976538656027E-2</v>
      </c>
      <c r="K802">
        <f t="shared" si="110"/>
        <v>1.5513680455932821E-2</v>
      </c>
      <c r="L802">
        <f t="shared" si="111"/>
        <v>0.42357195838974759</v>
      </c>
      <c r="M802">
        <f t="shared" si="112"/>
        <v>0.22962192220943287</v>
      </c>
      <c r="N802">
        <f t="shared" si="113"/>
        <v>0.11893083043135814</v>
      </c>
      <c r="O802">
        <f t="shared" si="114"/>
        <v>26.571668063704944</v>
      </c>
      <c r="P802">
        <f t="shared" si="115"/>
        <v>28.331936295054483</v>
      </c>
      <c r="Q802">
        <f t="shared" si="116"/>
        <v>33.10980720871752</v>
      </c>
    </row>
    <row r="803" spans="1:17" x14ac:dyDescent="0.3">
      <c r="A803">
        <v>51032969</v>
      </c>
      <c r="B803" t="str">
        <f>VLOOKUP(A803,ASESORES!$A$2:$B$993,2,0)</f>
        <v>MONTENEGRO</v>
      </c>
      <c r="C803">
        <v>19794792.699999999</v>
      </c>
      <c r="D803">
        <v>25759020.800000001</v>
      </c>
      <c r="E803">
        <v>31954148.010000002</v>
      </c>
      <c r="F803">
        <v>27604532</v>
      </c>
      <c r="G803">
        <v>37418926</v>
      </c>
      <c r="H803">
        <v>46338273</v>
      </c>
      <c r="I803">
        <f t="shared" si="108"/>
        <v>0.39453503850030214</v>
      </c>
      <c r="J803">
        <f t="shared" si="109"/>
        <v>0.45265327787615273</v>
      </c>
      <c r="K803">
        <f t="shared" si="110"/>
        <v>0.45014891292042924</v>
      </c>
      <c r="L803">
        <f t="shared" si="111"/>
        <v>2.935727484105668</v>
      </c>
      <c r="M803">
        <f t="shared" si="112"/>
        <v>3.4279846088384862</v>
      </c>
      <c r="N803">
        <f t="shared" si="113"/>
        <v>3.4508144872257929</v>
      </c>
      <c r="O803">
        <f t="shared" si="114"/>
        <v>62.866722548197821</v>
      </c>
      <c r="P803">
        <f t="shared" si="115"/>
        <v>69.237217099748534</v>
      </c>
      <c r="Q803">
        <f t="shared" si="116"/>
        <v>78.457669740150877</v>
      </c>
    </row>
    <row r="804" spans="1:17" x14ac:dyDescent="0.3">
      <c r="A804">
        <v>51017587</v>
      </c>
      <c r="B804" t="str">
        <f>VLOOKUP(A804,ASESORES!$A$2:$B$993,2,0)</f>
        <v>PUGH</v>
      </c>
      <c r="C804">
        <v>20763242.920000002</v>
      </c>
      <c r="D804">
        <v>33398557.620000001</v>
      </c>
      <c r="E804">
        <v>39288696.399999999</v>
      </c>
      <c r="F804">
        <v>24734315</v>
      </c>
      <c r="G804">
        <v>38636727</v>
      </c>
      <c r="H804">
        <v>46207311</v>
      </c>
      <c r="I804">
        <f t="shared" si="108"/>
        <v>0.19125490634099829</v>
      </c>
      <c r="J804">
        <f t="shared" si="109"/>
        <v>0.15683819162487533</v>
      </c>
      <c r="K804">
        <f t="shared" si="110"/>
        <v>0.17609682259653692</v>
      </c>
      <c r="L804">
        <f t="shared" si="111"/>
        <v>1.4140048775112004</v>
      </c>
      <c r="M804">
        <f t="shared" si="112"/>
        <v>1.1899314115023536</v>
      </c>
      <c r="N804">
        <f t="shared" si="113"/>
        <v>1.349731199653939</v>
      </c>
      <c r="O804">
        <f t="shared" si="114"/>
        <v>38.893545683151721</v>
      </c>
      <c r="P804">
        <f t="shared" si="115"/>
        <v>37.552388935456833</v>
      </c>
      <c r="Q804">
        <f t="shared" si="116"/>
        <v>49.455155071248953</v>
      </c>
    </row>
    <row r="805" spans="1:17" x14ac:dyDescent="0.3">
      <c r="A805">
        <v>51018214</v>
      </c>
      <c r="B805" t="str">
        <f>VLOOKUP(A805,ASESORES!$A$2:$B$993,2,0)</f>
        <v>ROBERTS</v>
      </c>
      <c r="C805">
        <v>24784436.850000001</v>
      </c>
      <c r="D805">
        <v>34583647.799999997</v>
      </c>
      <c r="E805">
        <v>40213779.350000001</v>
      </c>
      <c r="F805">
        <v>27620594</v>
      </c>
      <c r="G805">
        <v>29490590</v>
      </c>
      <c r="H805">
        <v>45878190</v>
      </c>
      <c r="I805">
        <f t="shared" si="108"/>
        <v>0.11443298740919339</v>
      </c>
      <c r="J805">
        <f t="shared" si="109"/>
        <v>-0.14726780209692047</v>
      </c>
      <c r="K805">
        <f t="shared" si="110"/>
        <v>0.14085745586605758</v>
      </c>
      <c r="L805">
        <f t="shared" si="111"/>
        <v>0.85152252381671278</v>
      </c>
      <c r="M805">
        <f t="shared" si="112"/>
        <v>-1.1000438657053517</v>
      </c>
      <c r="N805">
        <f t="shared" si="113"/>
        <v>1.0791943678357769</v>
      </c>
      <c r="O805">
        <f t="shared" si="114"/>
        <v>30.930427493713324</v>
      </c>
      <c r="P805">
        <f t="shared" si="115"/>
        <v>6.2866722548197824</v>
      </c>
      <c r="Q805">
        <f t="shared" si="116"/>
        <v>44.761106454316845</v>
      </c>
    </row>
    <row r="806" spans="1:17" x14ac:dyDescent="0.3">
      <c r="A806">
        <v>51016661</v>
      </c>
      <c r="B806" t="str">
        <f>VLOOKUP(A806,ASESORES!$A$2:$B$993,2,0)</f>
        <v>MONTENEGRO</v>
      </c>
      <c r="C806">
        <v>22459067.149999999</v>
      </c>
      <c r="D806">
        <v>25269152.050000001</v>
      </c>
      <c r="E806">
        <v>32623276.199999999</v>
      </c>
      <c r="F806">
        <v>25317990</v>
      </c>
      <c r="G806">
        <v>38031625</v>
      </c>
      <c r="H806">
        <v>45850095</v>
      </c>
      <c r="I806">
        <f t="shared" si="108"/>
        <v>0.12729481731835879</v>
      </c>
      <c r="J806">
        <f t="shared" si="109"/>
        <v>0.50506138570645076</v>
      </c>
      <c r="K806">
        <f t="shared" si="110"/>
        <v>0.40544115553912397</v>
      </c>
      <c r="L806">
        <f t="shared" si="111"/>
        <v>0.94241817059759703</v>
      </c>
      <c r="M806">
        <f t="shared" si="112"/>
        <v>3.8284384780435543</v>
      </c>
      <c r="N806">
        <f t="shared" si="113"/>
        <v>3.1062226398239465</v>
      </c>
      <c r="O806">
        <f t="shared" si="114"/>
        <v>31.768650461022631</v>
      </c>
      <c r="P806">
        <f t="shared" si="115"/>
        <v>73.763621123218783</v>
      </c>
      <c r="Q806">
        <f t="shared" si="116"/>
        <v>75.440067057837396</v>
      </c>
    </row>
    <row r="807" spans="1:17" x14ac:dyDescent="0.3">
      <c r="A807">
        <v>51002296</v>
      </c>
      <c r="B807" t="str">
        <f>VLOOKUP(A807,ASESORES!$A$2:$B$993,2,0)</f>
        <v>LÓPEZ</v>
      </c>
      <c r="C807">
        <v>26120942.25</v>
      </c>
      <c r="D807">
        <v>29886170.75</v>
      </c>
      <c r="E807">
        <v>35663568.700000003</v>
      </c>
      <c r="F807">
        <v>30399390</v>
      </c>
      <c r="G807">
        <v>36801120</v>
      </c>
      <c r="H807">
        <v>45831562</v>
      </c>
      <c r="I807">
        <f t="shared" si="108"/>
        <v>0.16379377547148022</v>
      </c>
      <c r="J807">
        <f t="shared" si="109"/>
        <v>0.23137622105702516</v>
      </c>
      <c r="K807">
        <f t="shared" si="110"/>
        <v>0.28510868852000204</v>
      </c>
      <c r="L807">
        <f t="shared" si="111"/>
        <v>1.2256466882461881</v>
      </c>
      <c r="M807">
        <f t="shared" si="112"/>
        <v>1.7505603355824706</v>
      </c>
      <c r="N807">
        <f t="shared" si="113"/>
        <v>2.1842646084133821</v>
      </c>
      <c r="O807">
        <f t="shared" si="114"/>
        <v>36.043587594300085</v>
      </c>
      <c r="P807">
        <f t="shared" si="115"/>
        <v>44.593461860854987</v>
      </c>
      <c r="Q807">
        <f t="shared" si="116"/>
        <v>61.190276613579208</v>
      </c>
    </row>
    <row r="808" spans="1:17" x14ac:dyDescent="0.3">
      <c r="A808">
        <v>51016998</v>
      </c>
      <c r="B808" t="str">
        <f>VLOOKUP(A808,ASESORES!$A$2:$B$993,2,0)</f>
        <v>ROBERTS</v>
      </c>
      <c r="C808">
        <v>47034928.750000007</v>
      </c>
      <c r="D808">
        <v>49023001.889999993</v>
      </c>
      <c r="E808">
        <v>47763177.440000013</v>
      </c>
      <c r="F808">
        <v>28192650</v>
      </c>
      <c r="G808">
        <v>44628132</v>
      </c>
      <c r="H808">
        <v>45775785</v>
      </c>
      <c r="I808">
        <f t="shared" si="108"/>
        <v>-0.4006018346525082</v>
      </c>
      <c r="J808">
        <f t="shared" si="109"/>
        <v>-8.9649138579098064E-2</v>
      </c>
      <c r="K808">
        <f t="shared" si="110"/>
        <v>-4.1609301276000155E-2</v>
      </c>
      <c r="L808">
        <f t="shared" si="111"/>
        <v>-2.9845381098667665</v>
      </c>
      <c r="M808">
        <f t="shared" si="112"/>
        <v>-0.6857808312249033</v>
      </c>
      <c r="N808">
        <f t="shared" si="113"/>
        <v>-0.3187537029957439</v>
      </c>
      <c r="O808">
        <f t="shared" si="114"/>
        <v>3.6043587594300082</v>
      </c>
      <c r="P808">
        <f t="shared" si="115"/>
        <v>7.8792958927074608</v>
      </c>
      <c r="Q808">
        <f t="shared" si="116"/>
        <v>12.238055322715843</v>
      </c>
    </row>
    <row r="809" spans="1:17" x14ac:dyDescent="0.3">
      <c r="A809">
        <v>51005325</v>
      </c>
      <c r="B809" t="str">
        <f>VLOOKUP(A809,ASESORES!$A$2:$B$993,2,0)</f>
        <v>METTLER</v>
      </c>
      <c r="C809">
        <v>25860708.93</v>
      </c>
      <c r="D809">
        <v>31073481.449999999</v>
      </c>
      <c r="E809">
        <v>36188434.399999999</v>
      </c>
      <c r="F809">
        <v>27709759</v>
      </c>
      <c r="G809">
        <v>36066630</v>
      </c>
      <c r="H809">
        <v>45683546</v>
      </c>
      <c r="I809">
        <f t="shared" si="108"/>
        <v>7.150036277060412E-2</v>
      </c>
      <c r="J809">
        <f t="shared" si="109"/>
        <v>0.1606884171647911</v>
      </c>
      <c r="K809">
        <f t="shared" si="110"/>
        <v>0.2623797287013887</v>
      </c>
      <c r="L809">
        <f t="shared" si="111"/>
        <v>0.53215094149403797</v>
      </c>
      <c r="M809">
        <f t="shared" si="112"/>
        <v>1.2143393315117728</v>
      </c>
      <c r="N809">
        <f t="shared" si="113"/>
        <v>2.009765700050691</v>
      </c>
      <c r="O809">
        <f t="shared" si="114"/>
        <v>27.912824811399833</v>
      </c>
      <c r="P809">
        <f t="shared" si="115"/>
        <v>37.887678122380549</v>
      </c>
      <c r="Q809">
        <f t="shared" si="116"/>
        <v>58.591785414920373</v>
      </c>
    </row>
    <row r="810" spans="1:17" x14ac:dyDescent="0.3">
      <c r="A810">
        <v>51011937</v>
      </c>
      <c r="B810" t="str">
        <f>VLOOKUP(A810,ASESORES!$A$2:$B$993,2,0)</f>
        <v>LÓPEZ</v>
      </c>
      <c r="C810">
        <v>28521987.559999999</v>
      </c>
      <c r="D810">
        <v>27136772.739999998</v>
      </c>
      <c r="E810">
        <v>34328641.340000004</v>
      </c>
      <c r="F810">
        <v>29117358</v>
      </c>
      <c r="G810">
        <v>41257376</v>
      </c>
      <c r="H810">
        <v>45639257</v>
      </c>
      <c r="I810">
        <f t="shared" si="108"/>
        <v>2.087408665849666E-2</v>
      </c>
      <c r="J810">
        <f t="shared" si="109"/>
        <v>0.52034939435469529</v>
      </c>
      <c r="K810">
        <f t="shared" si="110"/>
        <v>0.32948043436897634</v>
      </c>
      <c r="L810">
        <f t="shared" si="111"/>
        <v>0.155807354974107</v>
      </c>
      <c r="M810">
        <f t="shared" si="112"/>
        <v>3.9627216468601558</v>
      </c>
      <c r="N810">
        <f t="shared" si="113"/>
        <v>2.5236021975588261</v>
      </c>
      <c r="O810">
        <f t="shared" si="114"/>
        <v>23.973176865046103</v>
      </c>
      <c r="P810">
        <f t="shared" si="115"/>
        <v>74.853310980720863</v>
      </c>
      <c r="Q810">
        <f t="shared" si="116"/>
        <v>66.387259010896898</v>
      </c>
    </row>
    <row r="811" spans="1:17" x14ac:dyDescent="0.3">
      <c r="A811">
        <v>51033191</v>
      </c>
      <c r="B811" t="str">
        <f>VLOOKUP(A811,ASESORES!$A$2:$B$993,2,0)</f>
        <v>LÓPEZ</v>
      </c>
      <c r="C811">
        <v>28574940.5</v>
      </c>
      <c r="D811">
        <v>37796222.890000001</v>
      </c>
      <c r="E811">
        <v>43653317.270000003</v>
      </c>
      <c r="F811">
        <v>36497165</v>
      </c>
      <c r="G811">
        <v>50517439</v>
      </c>
      <c r="H811">
        <v>45531657</v>
      </c>
      <c r="I811">
        <f t="shared" si="108"/>
        <v>0.27724377938774714</v>
      </c>
      <c r="J811">
        <f t="shared" si="109"/>
        <v>0.33657374037144172</v>
      </c>
      <c r="K811">
        <f t="shared" si="110"/>
        <v>4.3028567986764577E-2</v>
      </c>
      <c r="L811">
        <f t="shared" si="111"/>
        <v>2.0965893021764499</v>
      </c>
      <c r="M811">
        <f t="shared" si="112"/>
        <v>2.5927760607309138</v>
      </c>
      <c r="N811">
        <f t="shared" si="113"/>
        <v>0.32952626118627831</v>
      </c>
      <c r="O811">
        <f t="shared" si="114"/>
        <v>48.28164291701593</v>
      </c>
      <c r="P811">
        <f t="shared" si="115"/>
        <v>56.91533948030176</v>
      </c>
      <c r="Q811">
        <f t="shared" si="116"/>
        <v>35.205364626990779</v>
      </c>
    </row>
    <row r="812" spans="1:17" x14ac:dyDescent="0.3">
      <c r="A812">
        <v>51032560</v>
      </c>
      <c r="B812" t="str">
        <f>VLOOKUP(A812,ASESORES!$A$2:$B$993,2,0)</f>
        <v>METTLER</v>
      </c>
      <c r="C812">
        <v>24183179.469999999</v>
      </c>
      <c r="D812">
        <v>29455161.199999999</v>
      </c>
      <c r="E812">
        <v>35817436.100000001</v>
      </c>
      <c r="F812">
        <v>31570596</v>
      </c>
      <c r="G812">
        <v>42882965</v>
      </c>
      <c r="H812">
        <v>45295995</v>
      </c>
      <c r="I812">
        <f t="shared" si="108"/>
        <v>0.3054774720240705</v>
      </c>
      <c r="J812">
        <f t="shared" si="109"/>
        <v>0.45587269778717077</v>
      </c>
      <c r="K812">
        <f t="shared" si="110"/>
        <v>0.26463532659167632</v>
      </c>
      <c r="L812">
        <f t="shared" si="111"/>
        <v>2.2908619458487118</v>
      </c>
      <c r="M812">
        <f t="shared" si="112"/>
        <v>3.4793502645954457</v>
      </c>
      <c r="N812">
        <f t="shared" si="113"/>
        <v>2.0260638866584917</v>
      </c>
      <c r="O812">
        <f t="shared" si="114"/>
        <v>52.640402347024306</v>
      </c>
      <c r="P812">
        <f t="shared" si="115"/>
        <v>69.65632858340318</v>
      </c>
      <c r="Q812">
        <f t="shared" si="116"/>
        <v>59.430008382229673</v>
      </c>
    </row>
    <row r="813" spans="1:17" x14ac:dyDescent="0.3">
      <c r="A813">
        <v>51056302</v>
      </c>
      <c r="B813" t="str">
        <f>VLOOKUP(A813,ASESORES!$A$2:$B$993,2,0)</f>
        <v>PUGH</v>
      </c>
      <c r="C813">
        <v>29204032.07</v>
      </c>
      <c r="D813">
        <v>34691099.179999992</v>
      </c>
      <c r="E813">
        <v>39437429.409999996</v>
      </c>
      <c r="F813">
        <v>36666488</v>
      </c>
      <c r="G813">
        <v>41237217</v>
      </c>
      <c r="H813">
        <v>45029910</v>
      </c>
      <c r="I813">
        <f t="shared" si="108"/>
        <v>0.25552827472977091</v>
      </c>
      <c r="J813">
        <f t="shared" si="109"/>
        <v>0.18869733086387641</v>
      </c>
      <c r="K813">
        <f t="shared" si="110"/>
        <v>0.14180641775252067</v>
      </c>
      <c r="L813">
        <f t="shared" si="111"/>
        <v>1.9328846874577761</v>
      </c>
      <c r="M813">
        <f t="shared" si="112"/>
        <v>1.4369847737457229</v>
      </c>
      <c r="N813">
        <f t="shared" si="113"/>
        <v>1.0853155712712033</v>
      </c>
      <c r="O813">
        <f t="shared" si="114"/>
        <v>46.018440905280805</v>
      </c>
      <c r="P813">
        <f t="shared" si="115"/>
        <v>41.07292539815591</v>
      </c>
      <c r="Q813">
        <f t="shared" si="116"/>
        <v>44.928751047778711</v>
      </c>
    </row>
    <row r="814" spans="1:17" x14ac:dyDescent="0.3">
      <c r="A814">
        <v>51032659</v>
      </c>
      <c r="B814" t="str">
        <f>VLOOKUP(A814,ASESORES!$A$2:$B$993,2,0)</f>
        <v>BELUZZO</v>
      </c>
      <c r="C814">
        <v>24423539.710000001</v>
      </c>
      <c r="D814">
        <v>27537534.699999999</v>
      </c>
      <c r="E814">
        <v>34420785.270000003</v>
      </c>
      <c r="F814">
        <v>28547506</v>
      </c>
      <c r="G814">
        <v>42634219</v>
      </c>
      <c r="H814">
        <v>44839334</v>
      </c>
      <c r="I814">
        <f t="shared" si="108"/>
        <v>0.16885211312394155</v>
      </c>
      <c r="J814">
        <f t="shared" si="109"/>
        <v>0.54822207087404973</v>
      </c>
      <c r="K814">
        <f t="shared" si="110"/>
        <v>0.30268190130689598</v>
      </c>
      <c r="L814">
        <f t="shared" si="111"/>
        <v>1.2588884405347625</v>
      </c>
      <c r="M814">
        <f t="shared" si="112"/>
        <v>4.1828019019180873</v>
      </c>
      <c r="N814">
        <f t="shared" si="113"/>
        <v>2.3160187406978601</v>
      </c>
      <c r="O814">
        <f t="shared" si="114"/>
        <v>36.378876781223809</v>
      </c>
      <c r="P814">
        <f t="shared" si="115"/>
        <v>76.948868398994136</v>
      </c>
      <c r="Q814">
        <f t="shared" si="116"/>
        <v>63.872590108968986</v>
      </c>
    </row>
    <row r="815" spans="1:17" x14ac:dyDescent="0.3">
      <c r="A815">
        <v>51017129</v>
      </c>
      <c r="B815" t="str">
        <f>VLOOKUP(A815,ASESORES!$A$2:$B$993,2,0)</f>
        <v>METTLER</v>
      </c>
      <c r="C815">
        <v>22993040.379999999</v>
      </c>
      <c r="D815">
        <v>25321747.289999999</v>
      </c>
      <c r="E815">
        <v>28078611.050000001</v>
      </c>
      <c r="F815">
        <v>24382167</v>
      </c>
      <c r="G815">
        <v>33333235</v>
      </c>
      <c r="H815">
        <v>44809080</v>
      </c>
      <c r="I815">
        <f t="shared" si="108"/>
        <v>6.0415090698849205E-2</v>
      </c>
      <c r="J815">
        <f t="shared" si="109"/>
        <v>0.31638763384878565</v>
      </c>
      <c r="K815">
        <f t="shared" si="110"/>
        <v>0.59584389413734895</v>
      </c>
      <c r="L815">
        <f t="shared" si="111"/>
        <v>0.44629064309659083</v>
      </c>
      <c r="M815">
        <f t="shared" si="112"/>
        <v>2.3801454006040292</v>
      </c>
      <c r="N815">
        <f t="shared" si="113"/>
        <v>4.5590197291554464</v>
      </c>
      <c r="O815">
        <f t="shared" si="114"/>
        <v>26.906957250628665</v>
      </c>
      <c r="P815">
        <f t="shared" si="115"/>
        <v>53.39480301760269</v>
      </c>
      <c r="Q815">
        <f t="shared" si="116"/>
        <v>88.767812238055328</v>
      </c>
    </row>
    <row r="816" spans="1:17" x14ac:dyDescent="0.3">
      <c r="A816">
        <v>51036191</v>
      </c>
      <c r="B816" t="str">
        <f>VLOOKUP(A816,ASESORES!$A$2:$B$993,2,0)</f>
        <v>PRADES</v>
      </c>
      <c r="C816">
        <v>20992584.289999999</v>
      </c>
      <c r="D816">
        <v>26784897.800000001</v>
      </c>
      <c r="E816">
        <v>33819419.5</v>
      </c>
      <c r="F816">
        <v>28662187</v>
      </c>
      <c r="G816">
        <v>40734494</v>
      </c>
      <c r="H816">
        <v>44664251</v>
      </c>
      <c r="I816">
        <f t="shared" si="108"/>
        <v>0.36534819172566024</v>
      </c>
      <c r="J816">
        <f t="shared" si="109"/>
        <v>0.5208007999194233</v>
      </c>
      <c r="K816">
        <f t="shared" si="110"/>
        <v>0.3206687654706788</v>
      </c>
      <c r="L816">
        <f t="shared" si="111"/>
        <v>2.7245144770762533</v>
      </c>
      <c r="M816">
        <f t="shared" si="112"/>
        <v>3.9632744666934823</v>
      </c>
      <c r="N816">
        <f t="shared" si="113"/>
        <v>2.4531032468833796</v>
      </c>
      <c r="O816">
        <f t="shared" si="114"/>
        <v>59.513830678960602</v>
      </c>
      <c r="P816">
        <f t="shared" si="115"/>
        <v>74.937133277451807</v>
      </c>
      <c r="Q816">
        <f t="shared" si="116"/>
        <v>65.465213746856662</v>
      </c>
    </row>
    <row r="817" spans="1:17" x14ac:dyDescent="0.3">
      <c r="A817">
        <v>51011562</v>
      </c>
      <c r="B817" t="str">
        <f>VLOOKUP(A817,ASESORES!$A$2:$B$993,2,0)</f>
        <v>CICHETTO</v>
      </c>
      <c r="C817">
        <v>16066360.6</v>
      </c>
      <c r="D817">
        <v>18589738.530000001</v>
      </c>
      <c r="E817">
        <v>30024764.93</v>
      </c>
      <c r="F817">
        <v>27267229</v>
      </c>
      <c r="G817">
        <v>30970608</v>
      </c>
      <c r="H817">
        <v>44663073</v>
      </c>
      <c r="I817">
        <f t="shared" si="108"/>
        <v>0.69716276628323648</v>
      </c>
      <c r="J817">
        <f t="shared" si="109"/>
        <v>0.66600557345224787</v>
      </c>
      <c r="K817">
        <f t="shared" si="110"/>
        <v>0.48754113826129464</v>
      </c>
      <c r="L817">
        <f t="shared" si="111"/>
        <v>5.1838520524969285</v>
      </c>
      <c r="M817">
        <f t="shared" si="112"/>
        <v>4.9890142714962424</v>
      </c>
      <c r="N817">
        <f t="shared" si="113"/>
        <v>3.7296646485620388</v>
      </c>
      <c r="O817">
        <f t="shared" si="114"/>
        <v>86.336965632858337</v>
      </c>
      <c r="P817">
        <f t="shared" si="115"/>
        <v>84.660519698239739</v>
      </c>
      <c r="Q817">
        <f t="shared" si="116"/>
        <v>81.475272422464371</v>
      </c>
    </row>
    <row r="818" spans="1:17" x14ac:dyDescent="0.3">
      <c r="A818">
        <v>51018346</v>
      </c>
      <c r="B818" t="str">
        <f>VLOOKUP(A818,ASESORES!$A$2:$B$993,2,0)</f>
        <v>ROBERTS</v>
      </c>
      <c r="C818">
        <v>17212206.710000001</v>
      </c>
      <c r="D818">
        <v>24791365.57</v>
      </c>
      <c r="E818">
        <v>32918520.059999999</v>
      </c>
      <c r="F818">
        <v>24052925</v>
      </c>
      <c r="G818">
        <v>34749072</v>
      </c>
      <c r="H818">
        <v>44661376</v>
      </c>
      <c r="I818">
        <f t="shared" si="108"/>
        <v>0.39743412365746567</v>
      </c>
      <c r="J818">
        <f t="shared" si="109"/>
        <v>0.40166026360604379</v>
      </c>
      <c r="K818">
        <f t="shared" si="110"/>
        <v>0.35672490496524478</v>
      </c>
      <c r="L818">
        <f t="shared" si="111"/>
        <v>2.9335279947514676</v>
      </c>
      <c r="M818">
        <f t="shared" si="112"/>
        <v>3.0288972379369392</v>
      </c>
      <c r="N818">
        <f t="shared" si="113"/>
        <v>2.7289213011452151</v>
      </c>
      <c r="O818">
        <f t="shared" si="114"/>
        <v>62.615255658005033</v>
      </c>
      <c r="P818">
        <f t="shared" si="115"/>
        <v>63.621123218776198</v>
      </c>
      <c r="Q818">
        <f t="shared" si="116"/>
        <v>69.404861693210393</v>
      </c>
    </row>
    <row r="819" spans="1:17" x14ac:dyDescent="0.3">
      <c r="A819">
        <v>51042514</v>
      </c>
      <c r="B819" t="str">
        <f>VLOOKUP(A819,ASESORES!$A$2:$B$993,2,0)</f>
        <v>LÓPEZ</v>
      </c>
      <c r="C819">
        <v>24377992</v>
      </c>
      <c r="D819">
        <v>44536884.059999987</v>
      </c>
      <c r="E819">
        <v>34031986.130000003</v>
      </c>
      <c r="F819">
        <v>35852020</v>
      </c>
      <c r="G819">
        <v>48082614</v>
      </c>
      <c r="H819">
        <v>44502232</v>
      </c>
      <c r="I819">
        <f t="shared" si="108"/>
        <v>0.47067157951319372</v>
      </c>
      <c r="J819">
        <f t="shared" si="109"/>
        <v>7.9613336559944736E-2</v>
      </c>
      <c r="K819">
        <f t="shared" si="110"/>
        <v>0.30765897206246873</v>
      </c>
      <c r="L819">
        <f t="shared" si="111"/>
        <v>3.555694862696237</v>
      </c>
      <c r="M819">
        <f t="shared" si="112"/>
        <v>0.61158870166271573</v>
      </c>
      <c r="N819">
        <f t="shared" si="113"/>
        <v>2.3530932805217399</v>
      </c>
      <c r="O819">
        <f t="shared" si="114"/>
        <v>71.835708298407368</v>
      </c>
      <c r="P819">
        <f t="shared" si="115"/>
        <v>32.103939647946355</v>
      </c>
      <c r="Q819">
        <f t="shared" si="116"/>
        <v>64.124056999161766</v>
      </c>
    </row>
    <row r="820" spans="1:17" x14ac:dyDescent="0.3">
      <c r="A820">
        <v>51056906</v>
      </c>
      <c r="B820" t="str">
        <f>VLOOKUP(A820,ASESORES!$A$2:$B$993,2,0)</f>
        <v>PRADES</v>
      </c>
      <c r="C820">
        <v>24430329.350000001</v>
      </c>
      <c r="D820">
        <v>33915308.729999997</v>
      </c>
      <c r="E820">
        <v>38272298.18</v>
      </c>
      <c r="F820">
        <v>37115995</v>
      </c>
      <c r="G820">
        <v>41100284</v>
      </c>
      <c r="H820">
        <v>44364140</v>
      </c>
      <c r="I820">
        <f t="shared" si="108"/>
        <v>0.51925888792817276</v>
      </c>
      <c r="J820">
        <f t="shared" si="109"/>
        <v>0.21185050465557143</v>
      </c>
      <c r="K820">
        <f t="shared" si="110"/>
        <v>0.15917104824354178</v>
      </c>
      <c r="L820">
        <f t="shared" si="111"/>
        <v>3.9305618828085684</v>
      </c>
      <c r="M820">
        <f t="shared" si="112"/>
        <v>1.6129968680857463</v>
      </c>
      <c r="N820">
        <f t="shared" si="113"/>
        <v>1.2171861100765522</v>
      </c>
      <c r="O820">
        <f t="shared" si="114"/>
        <v>76.865046102263207</v>
      </c>
      <c r="P820">
        <f t="shared" si="115"/>
        <v>43.336127409891027</v>
      </c>
      <c r="Q820">
        <f t="shared" si="116"/>
        <v>47.275775356244758</v>
      </c>
    </row>
    <row r="821" spans="1:17" x14ac:dyDescent="0.3">
      <c r="A821">
        <v>51043375</v>
      </c>
      <c r="B821" t="str">
        <f>VLOOKUP(A821,ASESORES!$A$2:$B$993,2,0)</f>
        <v>LÓPEZ</v>
      </c>
      <c r="C821">
        <v>16716995.800000001</v>
      </c>
      <c r="D821">
        <v>20168264.25</v>
      </c>
      <c r="E821">
        <v>33432648.899999999</v>
      </c>
      <c r="F821">
        <v>32340000</v>
      </c>
      <c r="G821">
        <v>35919280</v>
      </c>
      <c r="H821">
        <v>44308715</v>
      </c>
      <c r="I821">
        <f t="shared" si="108"/>
        <v>0.93455812198026633</v>
      </c>
      <c r="J821">
        <f t="shared" si="109"/>
        <v>0.78098023482610812</v>
      </c>
      <c r="K821">
        <f t="shared" si="110"/>
        <v>0.32531272447275339</v>
      </c>
      <c r="L821">
        <f t="shared" si="111"/>
        <v>7.0182885255115126</v>
      </c>
      <c r="M821">
        <f t="shared" si="112"/>
        <v>5.9005615409436647</v>
      </c>
      <c r="N821">
        <f t="shared" si="113"/>
        <v>2.487500219733052</v>
      </c>
      <c r="O821">
        <f t="shared" si="114"/>
        <v>93.545683151718364</v>
      </c>
      <c r="P821">
        <f t="shared" si="115"/>
        <v>90.360435875942997</v>
      </c>
      <c r="Q821">
        <f t="shared" si="116"/>
        <v>65.71668063704945</v>
      </c>
    </row>
    <row r="822" spans="1:17" x14ac:dyDescent="0.3">
      <c r="A822">
        <v>51055691</v>
      </c>
      <c r="B822" t="str">
        <f>VLOOKUP(A822,ASESORES!$A$2:$B$993,2,0)</f>
        <v>MONTENEGRO</v>
      </c>
      <c r="C822">
        <v>22403289.219999999</v>
      </c>
      <c r="D822">
        <v>32304691.300000001</v>
      </c>
      <c r="E822">
        <v>38001854.57</v>
      </c>
      <c r="F822">
        <v>31044569</v>
      </c>
      <c r="G822">
        <v>36349264</v>
      </c>
      <c r="H822">
        <v>44174051</v>
      </c>
      <c r="I822">
        <f t="shared" si="108"/>
        <v>0.38571478032277984</v>
      </c>
      <c r="J822">
        <f t="shared" si="109"/>
        <v>0.12520078469222207</v>
      </c>
      <c r="K822">
        <f t="shared" si="110"/>
        <v>0.16241829510269601</v>
      </c>
      <c r="L822">
        <f t="shared" si="111"/>
        <v>2.8897695933075989</v>
      </c>
      <c r="M822">
        <f t="shared" si="112"/>
        <v>0.94657998449747038</v>
      </c>
      <c r="N822">
        <f t="shared" si="113"/>
        <v>1.2417150269863189</v>
      </c>
      <c r="O822">
        <f t="shared" si="114"/>
        <v>61.609388097233861</v>
      </c>
      <c r="P822">
        <f t="shared" si="115"/>
        <v>34.283319362950543</v>
      </c>
      <c r="Q822">
        <f t="shared" si="116"/>
        <v>47.694886839899411</v>
      </c>
    </row>
    <row r="823" spans="1:17" x14ac:dyDescent="0.3">
      <c r="A823">
        <v>51018958</v>
      </c>
      <c r="B823" t="str">
        <f>VLOOKUP(A823,ASESORES!$A$2:$B$993,2,0)</f>
        <v>LÓPEZ</v>
      </c>
      <c r="C823">
        <v>25264009.050000001</v>
      </c>
      <c r="D823">
        <v>21095301.699999999</v>
      </c>
      <c r="E823">
        <v>31994300.899999999</v>
      </c>
      <c r="F823">
        <v>29748090</v>
      </c>
      <c r="G823">
        <v>31425840</v>
      </c>
      <c r="H823">
        <v>44119370</v>
      </c>
      <c r="I823">
        <f t="shared" si="108"/>
        <v>0.17748889105943388</v>
      </c>
      <c r="J823">
        <f t="shared" si="109"/>
        <v>0.48970801398872621</v>
      </c>
      <c r="K823">
        <f t="shared" si="110"/>
        <v>0.3789759037991669</v>
      </c>
      <c r="L823">
        <f t="shared" si="111"/>
        <v>1.326455965682438</v>
      </c>
      <c r="M823">
        <f t="shared" si="112"/>
        <v>3.6714814756683998</v>
      </c>
      <c r="N823">
        <f t="shared" si="113"/>
        <v>2.8971302990598855</v>
      </c>
      <c r="O823">
        <f t="shared" si="114"/>
        <v>37.552388935456833</v>
      </c>
      <c r="P823">
        <f t="shared" si="115"/>
        <v>71.584241408214595</v>
      </c>
      <c r="Q823">
        <f t="shared" si="116"/>
        <v>71.919530595138298</v>
      </c>
    </row>
    <row r="824" spans="1:17" x14ac:dyDescent="0.3">
      <c r="A824">
        <v>51054903</v>
      </c>
      <c r="B824" t="str">
        <f>VLOOKUP(A824,ASESORES!$A$2:$B$993,2,0)</f>
        <v>PUGH</v>
      </c>
      <c r="C824">
        <v>21067221.190000001</v>
      </c>
      <c r="D824">
        <v>29268780.059999999</v>
      </c>
      <c r="E824">
        <v>35988093.789999999</v>
      </c>
      <c r="F824">
        <v>31437947</v>
      </c>
      <c r="G824">
        <v>44862116</v>
      </c>
      <c r="H824">
        <v>43860822</v>
      </c>
      <c r="I824">
        <f t="shared" si="108"/>
        <v>0.49226833080969801</v>
      </c>
      <c r="J824">
        <f t="shared" si="109"/>
        <v>0.5327634396798977</v>
      </c>
      <c r="K824">
        <f t="shared" si="110"/>
        <v>0.21875924454180429</v>
      </c>
      <c r="L824">
        <f t="shared" si="111"/>
        <v>3.6907592532573723</v>
      </c>
      <c r="M824">
        <f t="shared" si="112"/>
        <v>4.07664177775123</v>
      </c>
      <c r="N824">
        <f t="shared" si="113"/>
        <v>1.6717749401861113</v>
      </c>
      <c r="O824">
        <f t="shared" si="114"/>
        <v>74.015088013411571</v>
      </c>
      <c r="P824">
        <f t="shared" si="115"/>
        <v>76.278290025146688</v>
      </c>
      <c r="Q824">
        <f t="shared" si="116"/>
        <v>54.568315171835714</v>
      </c>
    </row>
    <row r="825" spans="1:17" x14ac:dyDescent="0.3">
      <c r="A825">
        <v>51022084</v>
      </c>
      <c r="B825" t="str">
        <f>VLOOKUP(A825,ASESORES!$A$2:$B$993,2,0)</f>
        <v>NELLI</v>
      </c>
      <c r="C825">
        <v>21423145.109999999</v>
      </c>
      <c r="D825">
        <v>28124729.699999999</v>
      </c>
      <c r="E825">
        <v>29871769.510000002</v>
      </c>
      <c r="F825">
        <v>31398450</v>
      </c>
      <c r="G825">
        <v>35958124</v>
      </c>
      <c r="H825">
        <v>43616305</v>
      </c>
      <c r="I825">
        <f t="shared" si="108"/>
        <v>0.46563213938851944</v>
      </c>
      <c r="J825">
        <f t="shared" si="109"/>
        <v>0.27852336301742309</v>
      </c>
      <c r="K825">
        <f t="shared" si="110"/>
        <v>0.4601178877400891</v>
      </c>
      <c r="L825">
        <f t="shared" si="111"/>
        <v>3.4908014083612118</v>
      </c>
      <c r="M825">
        <f t="shared" si="112"/>
        <v>2.1044659978828113</v>
      </c>
      <c r="N825">
        <f t="shared" si="113"/>
        <v>3.5151391016458802</v>
      </c>
      <c r="O825">
        <f t="shared" si="114"/>
        <v>71.248952221290864</v>
      </c>
      <c r="P825">
        <f t="shared" si="115"/>
        <v>49.958088851634535</v>
      </c>
      <c r="Q825">
        <f t="shared" si="116"/>
        <v>79.379715004191127</v>
      </c>
    </row>
    <row r="826" spans="1:17" x14ac:dyDescent="0.3">
      <c r="A826">
        <v>51019202</v>
      </c>
      <c r="B826" t="str">
        <f>VLOOKUP(A826,ASESORES!$A$2:$B$993,2,0)</f>
        <v>BELUZZO</v>
      </c>
      <c r="C826">
        <v>23504047.390000001</v>
      </c>
      <c r="D826">
        <v>32990421.77</v>
      </c>
      <c r="E826">
        <v>39126850.210000001</v>
      </c>
      <c r="F826">
        <v>32110060</v>
      </c>
      <c r="G826">
        <v>45086710</v>
      </c>
      <c r="H826">
        <v>43582802</v>
      </c>
      <c r="I826">
        <f t="shared" si="108"/>
        <v>0.36615024073094338</v>
      </c>
      <c r="J826">
        <f t="shared" si="109"/>
        <v>0.36666061180823761</v>
      </c>
      <c r="K826">
        <f t="shared" si="110"/>
        <v>0.11388475602007819</v>
      </c>
      <c r="L826">
        <f t="shared" si="111"/>
        <v>2.7485584520990258</v>
      </c>
      <c r="M826">
        <f t="shared" si="112"/>
        <v>2.8064381226038386</v>
      </c>
      <c r="N826">
        <f t="shared" si="113"/>
        <v>0.8700015418148952</v>
      </c>
      <c r="O826">
        <f t="shared" si="114"/>
        <v>59.932942162615255</v>
      </c>
      <c r="P826">
        <f t="shared" si="115"/>
        <v>60.016764459346184</v>
      </c>
      <c r="Q826">
        <f t="shared" si="116"/>
        <v>41.994970662196145</v>
      </c>
    </row>
    <row r="827" spans="1:17" x14ac:dyDescent="0.3">
      <c r="A827">
        <v>51054920</v>
      </c>
      <c r="B827" t="str">
        <f>VLOOKUP(A827,ASESORES!$A$2:$B$993,2,0)</f>
        <v>ROBERTS</v>
      </c>
      <c r="C827">
        <v>33047809.98</v>
      </c>
      <c r="D827">
        <v>43256771.549999997</v>
      </c>
      <c r="E827">
        <v>54167754.560000002</v>
      </c>
      <c r="F827">
        <v>5117660</v>
      </c>
      <c r="G827">
        <v>35636960</v>
      </c>
      <c r="H827">
        <v>43529007</v>
      </c>
      <c r="I827">
        <f t="shared" si="108"/>
        <v>-0.84514374770681855</v>
      </c>
      <c r="J827">
        <f t="shared" si="109"/>
        <v>-0.17615303400976989</v>
      </c>
      <c r="K827">
        <f t="shared" si="110"/>
        <v>-0.1964037026533153</v>
      </c>
      <c r="L827">
        <f t="shared" si="111"/>
        <v>-5.6701297715222463</v>
      </c>
      <c r="M827">
        <f t="shared" si="112"/>
        <v>-1.3302902119650366</v>
      </c>
      <c r="N827">
        <f t="shared" si="113"/>
        <v>-1.5002844322099906</v>
      </c>
      <c r="O827">
        <f t="shared" si="114"/>
        <v>0.33528918692372173</v>
      </c>
      <c r="P827">
        <f t="shared" si="115"/>
        <v>5.7837384744342</v>
      </c>
      <c r="Q827">
        <f t="shared" si="116"/>
        <v>5.6160938809723389</v>
      </c>
    </row>
    <row r="828" spans="1:17" x14ac:dyDescent="0.3">
      <c r="A828">
        <v>51010663</v>
      </c>
      <c r="B828" t="str">
        <f>VLOOKUP(A828,ASESORES!$A$2:$B$993,2,0)</f>
        <v>CICHETTO</v>
      </c>
      <c r="C828">
        <v>25021693.030000001</v>
      </c>
      <c r="D828">
        <v>32242802.32</v>
      </c>
      <c r="E828">
        <v>36792505.909999996</v>
      </c>
      <c r="F828">
        <v>33835057</v>
      </c>
      <c r="G828">
        <v>40680700</v>
      </c>
      <c r="H828">
        <v>43210912</v>
      </c>
      <c r="I828">
        <f t="shared" si="108"/>
        <v>0.35222892229686975</v>
      </c>
      <c r="J828">
        <f t="shared" si="109"/>
        <v>0.26169864505747453</v>
      </c>
      <c r="K828">
        <f t="shared" si="110"/>
        <v>0.17444873436183972</v>
      </c>
      <c r="L828">
        <f t="shared" si="111"/>
        <v>2.6520607931504543</v>
      </c>
      <c r="M828">
        <f t="shared" si="112"/>
        <v>1.9913666385226563</v>
      </c>
      <c r="N828">
        <f t="shared" si="113"/>
        <v>1.3320196104067352</v>
      </c>
      <c r="O828">
        <f t="shared" si="114"/>
        <v>58.256496227996649</v>
      </c>
      <c r="P828">
        <f t="shared" si="115"/>
        <v>48.197820620285</v>
      </c>
      <c r="Q828">
        <f t="shared" si="116"/>
        <v>49.203688181056158</v>
      </c>
    </row>
    <row r="829" spans="1:17" x14ac:dyDescent="0.3">
      <c r="A829">
        <v>51016866</v>
      </c>
      <c r="B829" t="str">
        <f>VLOOKUP(A829,ASESORES!$A$2:$B$993,2,0)</f>
        <v>BELUZZO</v>
      </c>
      <c r="C829">
        <v>25285441.02</v>
      </c>
      <c r="D829">
        <v>39290039.329999998</v>
      </c>
      <c r="E829">
        <v>45963179.229999997</v>
      </c>
      <c r="F829">
        <v>38272068</v>
      </c>
      <c r="G829">
        <v>49707590</v>
      </c>
      <c r="H829">
        <v>43058897</v>
      </c>
      <c r="I829">
        <f t="shared" si="108"/>
        <v>0.51360096783473064</v>
      </c>
      <c r="J829">
        <f t="shared" si="109"/>
        <v>0.26514482672064066</v>
      </c>
      <c r="K829">
        <f t="shared" si="110"/>
        <v>-6.3187148466535614E-2</v>
      </c>
      <c r="L829">
        <f t="shared" si="111"/>
        <v>3.8945754980225811</v>
      </c>
      <c r="M829">
        <f t="shared" si="112"/>
        <v>2.0406666651528442</v>
      </c>
      <c r="N829">
        <f t="shared" si="113"/>
        <v>-0.48237466590998868</v>
      </c>
      <c r="O829">
        <f t="shared" si="114"/>
        <v>76.362112321877618</v>
      </c>
      <c r="P829">
        <f t="shared" si="115"/>
        <v>49.203688181056158</v>
      </c>
      <c r="Q829">
        <f t="shared" si="116"/>
        <v>11.399832355406538</v>
      </c>
    </row>
    <row r="830" spans="1:17" x14ac:dyDescent="0.3">
      <c r="A830">
        <v>51030184</v>
      </c>
      <c r="B830" t="str">
        <f>VLOOKUP(A830,ASESORES!$A$2:$B$993,2,0)</f>
        <v>AYALA</v>
      </c>
      <c r="C830">
        <v>31288038.77</v>
      </c>
      <c r="D830">
        <v>32513563.620000001</v>
      </c>
      <c r="E830">
        <v>40537125.43</v>
      </c>
      <c r="F830">
        <v>32334641</v>
      </c>
      <c r="G830">
        <v>46761000</v>
      </c>
      <c r="H830">
        <v>42205768</v>
      </c>
      <c r="I830">
        <f t="shared" si="108"/>
        <v>3.3450553986257514E-2</v>
      </c>
      <c r="J830">
        <f t="shared" si="109"/>
        <v>0.43819977860673509</v>
      </c>
      <c r="K830">
        <f t="shared" si="110"/>
        <v>4.1163317632904928E-2</v>
      </c>
      <c r="L830">
        <f t="shared" si="111"/>
        <v>0.25120255630773491</v>
      </c>
      <c r="M830">
        <f t="shared" si="112"/>
        <v>3.3609413787723135</v>
      </c>
      <c r="N830">
        <f t="shared" si="113"/>
        <v>0.3138856017747555</v>
      </c>
      <c r="O830">
        <f t="shared" si="114"/>
        <v>25.14668901927913</v>
      </c>
      <c r="P830">
        <f t="shared" si="115"/>
        <v>68.063704945515497</v>
      </c>
      <c r="Q830">
        <f t="shared" si="116"/>
        <v>34.953897736797991</v>
      </c>
    </row>
    <row r="831" spans="1:17" x14ac:dyDescent="0.3">
      <c r="A831">
        <v>51015428</v>
      </c>
      <c r="B831" t="str">
        <f>VLOOKUP(A831,ASESORES!$A$2:$B$993,2,0)</f>
        <v>AYALA</v>
      </c>
      <c r="C831">
        <v>17284498.27</v>
      </c>
      <c r="D831">
        <v>24677926.84</v>
      </c>
      <c r="E831">
        <v>33350019.68</v>
      </c>
      <c r="F831">
        <v>36875325</v>
      </c>
      <c r="G831">
        <v>33735550</v>
      </c>
      <c r="H831">
        <v>42175422</v>
      </c>
      <c r="I831">
        <f t="shared" si="108"/>
        <v>1.1334333472671867</v>
      </c>
      <c r="J831">
        <f t="shared" si="109"/>
        <v>0.36703339055688677</v>
      </c>
      <c r="K831">
        <f t="shared" si="110"/>
        <v>0.26462959856340329</v>
      </c>
      <c r="L831">
        <f t="shared" si="111"/>
        <v>8.5763907498889225</v>
      </c>
      <c r="M831">
        <f t="shared" si="112"/>
        <v>2.7630595877985118</v>
      </c>
      <c r="N831">
        <f t="shared" si="113"/>
        <v>2.0178164177715185</v>
      </c>
      <c r="O831">
        <f t="shared" si="114"/>
        <v>95.641240569991609</v>
      </c>
      <c r="P831">
        <f t="shared" si="115"/>
        <v>59.262363788767814</v>
      </c>
      <c r="Q831">
        <f t="shared" si="116"/>
        <v>58.92707460184409</v>
      </c>
    </row>
    <row r="832" spans="1:17" x14ac:dyDescent="0.3">
      <c r="A832">
        <v>51036557</v>
      </c>
      <c r="B832" t="str">
        <f>VLOOKUP(A832,ASESORES!$A$2:$B$993,2,0)</f>
        <v>MONTENEGRO</v>
      </c>
      <c r="C832">
        <v>23726570.620000001</v>
      </c>
      <c r="D832">
        <v>35737920.829999998</v>
      </c>
      <c r="E832">
        <v>44083206.840000004</v>
      </c>
      <c r="F832">
        <v>31959655</v>
      </c>
      <c r="G832">
        <v>37271759</v>
      </c>
      <c r="H832">
        <v>42118823</v>
      </c>
      <c r="I832">
        <f t="shared" si="108"/>
        <v>0.34699849851288778</v>
      </c>
      <c r="J832">
        <f t="shared" si="109"/>
        <v>4.2919065641682019E-2</v>
      </c>
      <c r="K832">
        <f t="shared" si="110"/>
        <v>-4.456081988612437E-2</v>
      </c>
      <c r="L832">
        <f t="shared" si="111"/>
        <v>2.6040856545708344</v>
      </c>
      <c r="M832">
        <f t="shared" si="112"/>
        <v>0.32495655046662286</v>
      </c>
      <c r="N832">
        <f t="shared" si="113"/>
        <v>-0.33975291185207707</v>
      </c>
      <c r="O832">
        <f t="shared" si="114"/>
        <v>57.082984073763619</v>
      </c>
      <c r="P832">
        <f t="shared" si="115"/>
        <v>29.337803855825651</v>
      </c>
      <c r="Q832">
        <f t="shared" si="116"/>
        <v>12.154233025984912</v>
      </c>
    </row>
    <row r="833" spans="1:17" x14ac:dyDescent="0.3">
      <c r="A833">
        <v>51056175</v>
      </c>
      <c r="B833" t="str">
        <f>VLOOKUP(A833,ASESORES!$A$2:$B$993,2,0)</f>
        <v>PRADES</v>
      </c>
      <c r="C833">
        <v>39613408.799999997</v>
      </c>
      <c r="D833">
        <v>104191000.3</v>
      </c>
      <c r="E833">
        <v>85641050.599999994</v>
      </c>
      <c r="F833">
        <v>19341227</v>
      </c>
      <c r="G833">
        <v>29113341</v>
      </c>
      <c r="H833">
        <v>41942520</v>
      </c>
      <c r="I833">
        <f t="shared" si="108"/>
        <v>-0.5117505010071236</v>
      </c>
      <c r="J833">
        <f t="shared" si="109"/>
        <v>-0.72057720037073103</v>
      </c>
      <c r="K833">
        <f t="shared" si="110"/>
        <v>-0.51025215470675223</v>
      </c>
      <c r="L833">
        <f t="shared" si="111"/>
        <v>-3.7288618488879264</v>
      </c>
      <c r="M833">
        <f t="shared" si="112"/>
        <v>-5.3784545507040011</v>
      </c>
      <c r="N833">
        <f t="shared" si="113"/>
        <v>-3.8894758935645655</v>
      </c>
      <c r="O833">
        <f t="shared" si="114"/>
        <v>2.5984911986588433</v>
      </c>
      <c r="P833">
        <f t="shared" si="115"/>
        <v>0.58675607711651301</v>
      </c>
      <c r="Q833">
        <f t="shared" si="116"/>
        <v>1.4249790444258172</v>
      </c>
    </row>
    <row r="834" spans="1:17" x14ac:dyDescent="0.3">
      <c r="A834">
        <v>51039190</v>
      </c>
      <c r="B834" t="str">
        <f>VLOOKUP(A834,ASESORES!$A$2:$B$993,2,0)</f>
        <v>BELUZZO</v>
      </c>
      <c r="C834">
        <v>40614716</v>
      </c>
      <c r="D834">
        <v>43692718.060000002</v>
      </c>
      <c r="E834">
        <v>35744237.740000002</v>
      </c>
      <c r="F834">
        <v>31823065</v>
      </c>
      <c r="G834">
        <v>37107031</v>
      </c>
      <c r="H834">
        <v>41911218</v>
      </c>
      <c r="I834">
        <f t="shared" ref="I834:I897" si="117">IFERROR(F834/C834-1,0)</f>
        <v>-0.21646466763426342</v>
      </c>
      <c r="J834">
        <f t="shared" ref="J834:J897" si="118">IFERROR(G834/D834-1,0)</f>
        <v>-0.15072733746974409</v>
      </c>
      <c r="K834">
        <f t="shared" ref="K834:K897" si="119">IFERROR(H834/E834-1,0)</f>
        <v>0.17253075320441846</v>
      </c>
      <c r="L834">
        <f t="shared" ref="L834:L897" si="120">IFERROR(I834*LOG(F834),0)</f>
        <v>-1.6240785546468304</v>
      </c>
      <c r="M834">
        <f t="shared" ref="M834:M897" si="121">IFERROR(J834*LOG(G834),0)</f>
        <v>-1.1409239801839288</v>
      </c>
      <c r="N834">
        <f t="shared" ref="N834:N897" si="122">IFERROR(K834*LOG(H834),0)</f>
        <v>1.3150863847671408</v>
      </c>
      <c r="O834">
        <f t="shared" ref="O834:O897" si="123">RANK(L834,$L$2:$L$1194,1)/COUNT($L$2:$L$1194)*100</f>
        <v>5.7837384744342</v>
      </c>
      <c r="P834">
        <f t="shared" ref="P834:P897" si="124">RANK(M834,$M$2:$M$1194,1)/COUNT($M$2:$M$1194)*100</f>
        <v>6.2028499580888514</v>
      </c>
      <c r="Q834">
        <f t="shared" ref="Q834:Q897" si="125">RANK(N834,$N$2:$N$1194,1)/COUNT($N$2:$N$1194)*100</f>
        <v>48.868398994132441</v>
      </c>
    </row>
    <row r="835" spans="1:17" x14ac:dyDescent="0.3">
      <c r="A835">
        <v>51056604</v>
      </c>
      <c r="B835" t="str">
        <f>VLOOKUP(A835,ASESORES!$A$2:$B$993,2,0)</f>
        <v>PUGH</v>
      </c>
      <c r="C835">
        <v>18572283.370000001</v>
      </c>
      <c r="D835">
        <v>27591851.989999998</v>
      </c>
      <c r="E835">
        <v>39450296.630000003</v>
      </c>
      <c r="F835">
        <v>36492937</v>
      </c>
      <c r="G835">
        <v>38681800</v>
      </c>
      <c r="H835">
        <v>41827964</v>
      </c>
      <c r="I835">
        <f t="shared" si="117"/>
        <v>0.96491385970060173</v>
      </c>
      <c r="J835">
        <f t="shared" si="118"/>
        <v>0.4019283668968392</v>
      </c>
      <c r="K835">
        <f t="shared" si="119"/>
        <v>6.0269949103295195E-2</v>
      </c>
      <c r="L835">
        <f t="shared" si="120"/>
        <v>7.296880097827998</v>
      </c>
      <c r="M835">
        <f t="shared" si="121"/>
        <v>3.0496341667533113</v>
      </c>
      <c r="N835">
        <f t="shared" si="122"/>
        <v>0.45934541164217246</v>
      </c>
      <c r="O835">
        <f t="shared" si="123"/>
        <v>94.04861693210394</v>
      </c>
      <c r="P835">
        <f t="shared" si="124"/>
        <v>63.788767812238056</v>
      </c>
      <c r="Q835">
        <f t="shared" si="125"/>
        <v>36.714165968147526</v>
      </c>
    </row>
    <row r="836" spans="1:17" x14ac:dyDescent="0.3">
      <c r="A836">
        <v>51021789</v>
      </c>
      <c r="B836" t="str">
        <f>VLOOKUP(A836,ASESORES!$A$2:$B$993,2,0)</f>
        <v>CICHETTO</v>
      </c>
      <c r="C836">
        <v>24537234.48</v>
      </c>
      <c r="D836">
        <v>26864428.66</v>
      </c>
      <c r="E836">
        <v>36690171.530000001</v>
      </c>
      <c r="F836">
        <v>16213853</v>
      </c>
      <c r="G836">
        <v>32006507</v>
      </c>
      <c r="H836">
        <v>41668011</v>
      </c>
      <c r="I836">
        <f t="shared" si="117"/>
        <v>-0.33921432697659093</v>
      </c>
      <c r="J836">
        <f t="shared" si="118"/>
        <v>0.19140843846258071</v>
      </c>
      <c r="K836">
        <f t="shared" si="119"/>
        <v>0.13567228667573361</v>
      </c>
      <c r="L836">
        <f t="shared" si="120"/>
        <v>-2.4456967055098393</v>
      </c>
      <c r="M836">
        <f t="shared" si="121"/>
        <v>1.4365659395430397</v>
      </c>
      <c r="N836">
        <f t="shared" si="122"/>
        <v>1.0337960658429182</v>
      </c>
      <c r="O836">
        <f t="shared" si="123"/>
        <v>4.1911148365465216</v>
      </c>
      <c r="P836">
        <f t="shared" si="124"/>
        <v>40.98910310142498</v>
      </c>
      <c r="Q836">
        <f t="shared" si="125"/>
        <v>44.174350377200334</v>
      </c>
    </row>
    <row r="837" spans="1:17" x14ac:dyDescent="0.3">
      <c r="A837">
        <v>51056795</v>
      </c>
      <c r="B837" t="str">
        <f>VLOOKUP(A837,ASESORES!$A$2:$B$993,2,0)</f>
        <v>LÓPEZ</v>
      </c>
      <c r="C837">
        <v>32976737.93</v>
      </c>
      <c r="D837">
        <v>38092003.119999997</v>
      </c>
      <c r="E837">
        <v>39429948.359999999</v>
      </c>
      <c r="F837">
        <v>32708030</v>
      </c>
      <c r="G837">
        <v>40865790</v>
      </c>
      <c r="H837">
        <v>41574428</v>
      </c>
      <c r="I837">
        <f t="shared" si="117"/>
        <v>-8.1484084499318099E-3</v>
      </c>
      <c r="J837">
        <f t="shared" si="118"/>
        <v>7.2818089173778411E-2</v>
      </c>
      <c r="K837">
        <f t="shared" si="119"/>
        <v>5.4387077061847755E-2</v>
      </c>
      <c r="L837">
        <f t="shared" si="120"/>
        <v>-6.1232473308751839E-2</v>
      </c>
      <c r="M837">
        <f t="shared" si="121"/>
        <v>0.55424468385410941</v>
      </c>
      <c r="N837">
        <f t="shared" si="122"/>
        <v>0.41436569215860686</v>
      </c>
      <c r="O837">
        <f t="shared" si="123"/>
        <v>10.896898575020955</v>
      </c>
      <c r="P837">
        <f t="shared" si="124"/>
        <v>31.601005867560772</v>
      </c>
      <c r="Q837">
        <f t="shared" si="125"/>
        <v>36.295054484492873</v>
      </c>
    </row>
    <row r="838" spans="1:17" x14ac:dyDescent="0.3">
      <c r="A838">
        <v>51056931</v>
      </c>
      <c r="B838" t="str">
        <f>VLOOKUP(A838,ASESORES!$A$2:$B$993,2,0)</f>
        <v>METTLER</v>
      </c>
      <c r="C838">
        <v>44542926.649999999</v>
      </c>
      <c r="D838">
        <v>52377024.259999998</v>
      </c>
      <c r="E838">
        <v>65570449.390000001</v>
      </c>
      <c r="F838">
        <v>52123712</v>
      </c>
      <c r="G838">
        <v>59345613</v>
      </c>
      <c r="H838">
        <v>41135284</v>
      </c>
      <c r="I838">
        <f t="shared" si="117"/>
        <v>0.17019055370040448</v>
      </c>
      <c r="J838">
        <f t="shared" si="118"/>
        <v>0.13304667148343263</v>
      </c>
      <c r="K838">
        <f t="shared" si="119"/>
        <v>-0.37265514598907956</v>
      </c>
      <c r="L838">
        <f t="shared" si="120"/>
        <v>1.3133665168454551</v>
      </c>
      <c r="M838">
        <f t="shared" si="121"/>
        <v>1.0342234820605809</v>
      </c>
      <c r="N838">
        <f t="shared" si="122"/>
        <v>-2.8374762161056069</v>
      </c>
      <c r="O838">
        <f t="shared" si="123"/>
        <v>37.133277451802179</v>
      </c>
      <c r="P838">
        <f t="shared" si="124"/>
        <v>36.127409891031014</v>
      </c>
      <c r="Q838">
        <f t="shared" si="125"/>
        <v>2.8499580888516345</v>
      </c>
    </row>
    <row r="839" spans="1:17" x14ac:dyDescent="0.3">
      <c r="A839">
        <v>51014120</v>
      </c>
      <c r="B839" t="str">
        <f>VLOOKUP(A839,ASESORES!$A$2:$B$993,2,0)</f>
        <v>METTLER</v>
      </c>
      <c r="C839">
        <v>14378534.439999999</v>
      </c>
      <c r="D839">
        <v>25533811.210000001</v>
      </c>
      <c r="E839">
        <v>35939814.299999997</v>
      </c>
      <c r="F839">
        <v>35546886</v>
      </c>
      <c r="G839">
        <v>40270101</v>
      </c>
      <c r="H839">
        <v>40824840</v>
      </c>
      <c r="I839">
        <f t="shared" si="117"/>
        <v>1.4722189975851254</v>
      </c>
      <c r="J839">
        <f t="shared" si="118"/>
        <v>0.57712848539542394</v>
      </c>
      <c r="K839">
        <f t="shared" si="119"/>
        <v>0.13592239679435414</v>
      </c>
      <c r="L839">
        <f t="shared" si="120"/>
        <v>11.116433505691289</v>
      </c>
      <c r="M839">
        <f t="shared" si="121"/>
        <v>4.389052157986689</v>
      </c>
      <c r="N839">
        <f t="shared" si="122"/>
        <v>1.0344950986827901</v>
      </c>
      <c r="O839">
        <f t="shared" si="123"/>
        <v>97.820620284995812</v>
      </c>
      <c r="P839">
        <f t="shared" si="124"/>
        <v>79.463537300922056</v>
      </c>
      <c r="Q839">
        <f t="shared" si="125"/>
        <v>44.25817267393127</v>
      </c>
    </row>
    <row r="840" spans="1:17" x14ac:dyDescent="0.3">
      <c r="A840">
        <v>51036182</v>
      </c>
      <c r="B840" t="str">
        <f>VLOOKUP(A840,ASESORES!$A$2:$B$993,2,0)</f>
        <v>PRADES</v>
      </c>
      <c r="C840">
        <v>24393002.300000001</v>
      </c>
      <c r="D840">
        <v>32656981.449999999</v>
      </c>
      <c r="E840">
        <v>38566354.640000001</v>
      </c>
      <c r="F840">
        <v>30244050</v>
      </c>
      <c r="G840">
        <v>36541592</v>
      </c>
      <c r="H840">
        <v>40779865</v>
      </c>
      <c r="I840">
        <f t="shared" si="117"/>
        <v>0.23986582824206093</v>
      </c>
      <c r="J840">
        <f t="shared" si="118"/>
        <v>0.11895191709459119</v>
      </c>
      <c r="K840">
        <f t="shared" si="119"/>
        <v>5.7394855714576698E-2</v>
      </c>
      <c r="L840">
        <f t="shared" si="120"/>
        <v>1.7943498967575398</v>
      </c>
      <c r="M840">
        <f t="shared" si="121"/>
        <v>0.89960806745109734</v>
      </c>
      <c r="N840">
        <f t="shared" si="122"/>
        <v>0.43680043768085974</v>
      </c>
      <c r="O840">
        <f t="shared" si="123"/>
        <v>44.341994970662199</v>
      </c>
      <c r="P840">
        <f t="shared" si="124"/>
        <v>33.612740989103102</v>
      </c>
      <c r="Q840">
        <f t="shared" si="125"/>
        <v>36.546521374685668</v>
      </c>
    </row>
    <row r="841" spans="1:17" x14ac:dyDescent="0.3">
      <c r="A841">
        <v>51011465</v>
      </c>
      <c r="B841" t="str">
        <f>VLOOKUP(A841,ASESORES!$A$2:$B$993,2,0)</f>
        <v>METTLER</v>
      </c>
      <c r="C841">
        <v>27547035.100000001</v>
      </c>
      <c r="D841">
        <v>28445848.609999999</v>
      </c>
      <c r="E841">
        <v>51143125.25</v>
      </c>
      <c r="F841">
        <v>35668222</v>
      </c>
      <c r="G841">
        <v>32031660</v>
      </c>
      <c r="H841">
        <v>40776419</v>
      </c>
      <c r="I841">
        <f t="shared" si="117"/>
        <v>0.29481165107311313</v>
      </c>
      <c r="J841">
        <f t="shared" si="118"/>
        <v>0.12605745882861186</v>
      </c>
      <c r="K841">
        <f t="shared" si="119"/>
        <v>-0.20269989757812068</v>
      </c>
      <c r="L841">
        <f t="shared" si="120"/>
        <v>2.2265005668978008</v>
      </c>
      <c r="M841">
        <f t="shared" si="121"/>
        <v>0.94613427199973366</v>
      </c>
      <c r="N841">
        <f t="shared" si="122"/>
        <v>-1.5426291416956517</v>
      </c>
      <c r="O841">
        <f t="shared" si="123"/>
        <v>50.880134115674771</v>
      </c>
      <c r="P841">
        <f t="shared" si="124"/>
        <v>34.115674769488685</v>
      </c>
      <c r="Q841">
        <f t="shared" si="125"/>
        <v>5.5322715842414087</v>
      </c>
    </row>
    <row r="842" spans="1:17" x14ac:dyDescent="0.3">
      <c r="A842">
        <v>51006151</v>
      </c>
      <c r="B842" t="str">
        <f>VLOOKUP(A842,ASESORES!$A$2:$B$993,2,0)</f>
        <v>PUGH</v>
      </c>
      <c r="C842">
        <v>25136203.02</v>
      </c>
      <c r="D842">
        <v>33644824.840000004</v>
      </c>
      <c r="E842">
        <v>34910945.310000002</v>
      </c>
      <c r="F842">
        <v>32696327</v>
      </c>
      <c r="G842">
        <v>37513530</v>
      </c>
      <c r="H842">
        <v>40764981</v>
      </c>
      <c r="I842">
        <f t="shared" si="117"/>
        <v>0.30076634780458589</v>
      </c>
      <c r="J842">
        <f t="shared" si="118"/>
        <v>0.11498663400382836</v>
      </c>
      <c r="K842">
        <f t="shared" si="119"/>
        <v>0.16768482314121558</v>
      </c>
      <c r="L842">
        <f t="shared" si="120"/>
        <v>2.2601084102341953</v>
      </c>
      <c r="M842">
        <f t="shared" si="121"/>
        <v>0.87093037571843557</v>
      </c>
      <c r="N842">
        <f t="shared" si="122"/>
        <v>1.2761296706044647</v>
      </c>
      <c r="O842">
        <f t="shared" si="123"/>
        <v>51.886001676445936</v>
      </c>
      <c r="P842">
        <f t="shared" si="124"/>
        <v>33.277451802179378</v>
      </c>
      <c r="Q842">
        <f t="shared" si="125"/>
        <v>48.365465213746859</v>
      </c>
    </row>
    <row r="843" spans="1:17" x14ac:dyDescent="0.3">
      <c r="A843">
        <v>51033418</v>
      </c>
      <c r="B843" t="str">
        <f>VLOOKUP(A843,ASESORES!$A$2:$B$993,2,0)</f>
        <v>PRADES</v>
      </c>
      <c r="C843">
        <v>26761297.989999998</v>
      </c>
      <c r="D843">
        <v>35854641.189999998</v>
      </c>
      <c r="E843">
        <v>39911642.619999997</v>
      </c>
      <c r="F843">
        <v>25770774</v>
      </c>
      <c r="G843">
        <v>35734246</v>
      </c>
      <c r="H843">
        <v>40615447</v>
      </c>
      <c r="I843">
        <f t="shared" si="117"/>
        <v>-3.701330146131665E-2</v>
      </c>
      <c r="J843">
        <f t="shared" si="118"/>
        <v>-3.3578690513733633E-3</v>
      </c>
      <c r="K843">
        <f t="shared" si="119"/>
        <v>1.7634061987900296E-2</v>
      </c>
      <c r="L843">
        <f t="shared" si="120"/>
        <v>-0.2743102949324594</v>
      </c>
      <c r="M843">
        <f t="shared" si="121"/>
        <v>-2.5362269097405729E-2</v>
      </c>
      <c r="N843">
        <f t="shared" si="122"/>
        <v>0.13417213292527511</v>
      </c>
      <c r="O843">
        <f t="shared" si="123"/>
        <v>9.5557418273260684</v>
      </c>
      <c r="P843">
        <f t="shared" si="124"/>
        <v>10.896898575020955</v>
      </c>
      <c r="Q843">
        <f t="shared" si="125"/>
        <v>33.193629505448449</v>
      </c>
    </row>
    <row r="844" spans="1:17" x14ac:dyDescent="0.3">
      <c r="A844">
        <v>51007841</v>
      </c>
      <c r="B844" t="str">
        <f>VLOOKUP(A844,ASESORES!$A$2:$B$993,2,0)</f>
        <v>METTLER</v>
      </c>
      <c r="C844">
        <v>23981494.25</v>
      </c>
      <c r="D844">
        <v>50622</v>
      </c>
      <c r="E844">
        <v>0</v>
      </c>
      <c r="F844">
        <v>0</v>
      </c>
      <c r="G844">
        <v>12491496</v>
      </c>
      <c r="H844">
        <v>40562200</v>
      </c>
      <c r="I844">
        <f t="shared" si="117"/>
        <v>-1</v>
      </c>
      <c r="J844">
        <f t="shared" si="118"/>
        <v>245.76022282801944</v>
      </c>
      <c r="K844">
        <f t="shared" si="119"/>
        <v>0</v>
      </c>
      <c r="L844">
        <f t="shared" si="120"/>
        <v>0</v>
      </c>
      <c r="M844">
        <f t="shared" si="121"/>
        <v>1744.065549352096</v>
      </c>
      <c r="N844">
        <f t="shared" si="122"/>
        <v>0</v>
      </c>
      <c r="O844">
        <f t="shared" si="123"/>
        <v>11.5674769488684</v>
      </c>
      <c r="P844">
        <f t="shared" si="124"/>
        <v>100</v>
      </c>
      <c r="Q844">
        <f t="shared" si="125"/>
        <v>14.668901927912826</v>
      </c>
    </row>
    <row r="845" spans="1:17" x14ac:dyDescent="0.3">
      <c r="A845">
        <v>51016602</v>
      </c>
      <c r="B845" t="str">
        <f>VLOOKUP(A845,ASESORES!$A$2:$B$993,2,0)</f>
        <v>BELUZZO</v>
      </c>
      <c r="C845">
        <v>43288219.609999999</v>
      </c>
      <c r="D845">
        <v>55758789.399999999</v>
      </c>
      <c r="E845">
        <v>65594978.140000001</v>
      </c>
      <c r="F845">
        <v>57442547</v>
      </c>
      <c r="G845">
        <v>76376075</v>
      </c>
      <c r="H845">
        <v>40508691</v>
      </c>
      <c r="I845">
        <f t="shared" si="117"/>
        <v>0.32697873734521088</v>
      </c>
      <c r="J845">
        <f t="shared" si="118"/>
        <v>0.3697584869014392</v>
      </c>
      <c r="K845">
        <f t="shared" si="119"/>
        <v>-0.38244219071859575</v>
      </c>
      <c r="L845">
        <f t="shared" si="120"/>
        <v>2.5371044341534641</v>
      </c>
      <c r="M845">
        <f t="shared" si="121"/>
        <v>2.9147903768778742</v>
      </c>
      <c r="N845">
        <f t="shared" si="122"/>
        <v>-2.9094474032749544</v>
      </c>
      <c r="O845">
        <f t="shared" si="123"/>
        <v>56.160938809723383</v>
      </c>
      <c r="P845">
        <f t="shared" si="124"/>
        <v>61.860854987426649</v>
      </c>
      <c r="Q845">
        <f t="shared" si="125"/>
        <v>2.6823134953897738</v>
      </c>
    </row>
    <row r="846" spans="1:17" x14ac:dyDescent="0.3">
      <c r="A846">
        <v>51036077</v>
      </c>
      <c r="B846" t="str">
        <f>VLOOKUP(A846,ASESORES!$A$2:$B$993,2,0)</f>
        <v>LÓPEZ</v>
      </c>
      <c r="C846">
        <v>23472773.649999999</v>
      </c>
      <c r="D846">
        <v>39413396.189999998</v>
      </c>
      <c r="E846">
        <v>41467006.979999997</v>
      </c>
      <c r="F846">
        <v>21591920</v>
      </c>
      <c r="G846">
        <v>35424636</v>
      </c>
      <c r="H846">
        <v>40280066</v>
      </c>
      <c r="I846">
        <f t="shared" si="117"/>
        <v>-8.0129160620095674E-2</v>
      </c>
      <c r="J846">
        <f t="shared" si="118"/>
        <v>-0.10120315871211394</v>
      </c>
      <c r="K846">
        <f t="shared" si="119"/>
        <v>-2.8623743704783711E-2</v>
      </c>
      <c r="L846">
        <f t="shared" si="120"/>
        <v>-0.58769060260353556</v>
      </c>
      <c r="M846">
        <f t="shared" si="121"/>
        <v>-0.76401355220022904</v>
      </c>
      <c r="N846">
        <f t="shared" si="122"/>
        <v>-0.21768615197762262</v>
      </c>
      <c r="O846">
        <f t="shared" si="123"/>
        <v>8.046940486169321</v>
      </c>
      <c r="P846">
        <f t="shared" si="124"/>
        <v>7.3763621123218766</v>
      </c>
      <c r="Q846">
        <f t="shared" si="125"/>
        <v>13.160100586756077</v>
      </c>
    </row>
    <row r="847" spans="1:17" x14ac:dyDescent="0.3">
      <c r="A847">
        <v>51013662</v>
      </c>
      <c r="B847" t="str">
        <f>VLOOKUP(A847,ASESORES!$A$2:$B$993,2,0)</f>
        <v>PRADES</v>
      </c>
      <c r="C847">
        <v>22047341.699999999</v>
      </c>
      <c r="D847">
        <v>27262173.649999999</v>
      </c>
      <c r="E847">
        <v>37759233.059999987</v>
      </c>
      <c r="F847">
        <v>30604605</v>
      </c>
      <c r="G847">
        <v>36698167</v>
      </c>
      <c r="H847">
        <v>40255763</v>
      </c>
      <c r="I847">
        <f t="shared" si="117"/>
        <v>0.38813129566545435</v>
      </c>
      <c r="J847">
        <f t="shared" si="118"/>
        <v>0.34612035970213273</v>
      </c>
      <c r="K847">
        <f t="shared" si="119"/>
        <v>6.6117072241191677E-2</v>
      </c>
      <c r="L847">
        <f t="shared" si="120"/>
        <v>2.9054681214634419</v>
      </c>
      <c r="M847">
        <f t="shared" si="121"/>
        <v>2.618277431281566</v>
      </c>
      <c r="N847">
        <f t="shared" si="122"/>
        <v>0.5028089663961407</v>
      </c>
      <c r="O847">
        <f t="shared" si="123"/>
        <v>61.860854987426649</v>
      </c>
      <c r="P847">
        <f t="shared" si="124"/>
        <v>57.334450963956407</v>
      </c>
      <c r="Q847">
        <f t="shared" si="125"/>
        <v>37.384744341994967</v>
      </c>
    </row>
    <row r="848" spans="1:17" x14ac:dyDescent="0.3">
      <c r="A848">
        <v>51010248</v>
      </c>
      <c r="B848" t="str">
        <f>VLOOKUP(A848,ASESORES!$A$2:$B$993,2,0)</f>
        <v>BELUZZO</v>
      </c>
      <c r="C848">
        <v>18512560.719999999</v>
      </c>
      <c r="D848">
        <v>24877823.800000001</v>
      </c>
      <c r="E848">
        <v>32252652.640000001</v>
      </c>
      <c r="F848">
        <v>20901715</v>
      </c>
      <c r="G848">
        <v>29457290</v>
      </c>
      <c r="H848">
        <v>39845666</v>
      </c>
      <c r="I848">
        <f t="shared" si="117"/>
        <v>0.12905585111296269</v>
      </c>
      <c r="J848">
        <f t="shared" si="118"/>
        <v>0.18407824722996868</v>
      </c>
      <c r="K848">
        <f t="shared" si="119"/>
        <v>0.23542291062853793</v>
      </c>
      <c r="L848">
        <f t="shared" si="120"/>
        <v>0.94471230821085572</v>
      </c>
      <c r="M848">
        <f t="shared" si="121"/>
        <v>1.374915917060048</v>
      </c>
      <c r="N848">
        <f t="shared" si="122"/>
        <v>1.7893038381487214</v>
      </c>
      <c r="O848">
        <f t="shared" si="123"/>
        <v>31.852472757753564</v>
      </c>
      <c r="P848">
        <f t="shared" si="124"/>
        <v>39.647946353730092</v>
      </c>
      <c r="Q848">
        <f t="shared" si="125"/>
        <v>55.658005029337808</v>
      </c>
    </row>
    <row r="849" spans="1:17" x14ac:dyDescent="0.3">
      <c r="A849">
        <v>51055764</v>
      </c>
      <c r="B849" t="str">
        <f>VLOOKUP(A849,ASESORES!$A$2:$B$993,2,0)</f>
        <v>ROBERTS</v>
      </c>
      <c r="C849">
        <v>22174709.399999999</v>
      </c>
      <c r="D849">
        <v>26368258.120000001</v>
      </c>
      <c r="E849">
        <v>28212570.940000001</v>
      </c>
      <c r="F849">
        <v>26778591</v>
      </c>
      <c r="G849">
        <v>33055422</v>
      </c>
      <c r="H849">
        <v>39325778</v>
      </c>
      <c r="I849">
        <f t="shared" si="117"/>
        <v>0.20761857650319437</v>
      </c>
      <c r="J849">
        <f t="shared" si="118"/>
        <v>0.25360658446102913</v>
      </c>
      <c r="K849">
        <f t="shared" si="119"/>
        <v>0.39390976042681758</v>
      </c>
      <c r="L849">
        <f t="shared" si="120"/>
        <v>1.5421467134411737</v>
      </c>
      <c r="M849">
        <f t="shared" si="121"/>
        <v>1.9069294603834019</v>
      </c>
      <c r="N849">
        <f t="shared" si="122"/>
        <v>2.991617524911848</v>
      </c>
      <c r="O849">
        <f t="shared" si="123"/>
        <v>40.737636211232186</v>
      </c>
      <c r="P849">
        <f t="shared" si="124"/>
        <v>46.940486169321041</v>
      </c>
      <c r="Q849">
        <f t="shared" si="125"/>
        <v>73.847443419949713</v>
      </c>
    </row>
    <row r="850" spans="1:17" x14ac:dyDescent="0.3">
      <c r="A850">
        <v>51012496</v>
      </c>
      <c r="B850" t="str">
        <f>VLOOKUP(A850,ASESORES!$A$2:$B$993,2,0)</f>
        <v>PUGH</v>
      </c>
      <c r="C850">
        <v>15119008.77</v>
      </c>
      <c r="D850">
        <v>20782354.870000001</v>
      </c>
      <c r="E850">
        <v>33102812.809999999</v>
      </c>
      <c r="F850">
        <v>24839770</v>
      </c>
      <c r="G850">
        <v>33506880</v>
      </c>
      <c r="H850">
        <v>39215554</v>
      </c>
      <c r="I850">
        <f t="shared" si="117"/>
        <v>0.64294963895308332</v>
      </c>
      <c r="J850">
        <f t="shared" si="118"/>
        <v>0.61227542353096198</v>
      </c>
      <c r="K850">
        <f t="shared" si="119"/>
        <v>0.18465926823455336</v>
      </c>
      <c r="L850">
        <f t="shared" si="120"/>
        <v>4.7547074602910442</v>
      </c>
      <c r="M850">
        <f t="shared" si="121"/>
        <v>4.6074546010370714</v>
      </c>
      <c r="N850">
        <f t="shared" si="122"/>
        <v>1.4022024631462946</v>
      </c>
      <c r="O850">
        <f t="shared" si="123"/>
        <v>84.07376362112322</v>
      </c>
      <c r="P850">
        <f t="shared" si="124"/>
        <v>81.223805532271584</v>
      </c>
      <c r="Q850">
        <f t="shared" si="125"/>
        <v>50.461022632020111</v>
      </c>
    </row>
    <row r="851" spans="1:17" x14ac:dyDescent="0.3">
      <c r="A851">
        <v>51016874</v>
      </c>
      <c r="B851" t="str">
        <f>VLOOKUP(A851,ASESORES!$A$2:$B$993,2,0)</f>
        <v>NELLI</v>
      </c>
      <c r="C851">
        <v>27750</v>
      </c>
      <c r="D851">
        <v>0</v>
      </c>
      <c r="E851">
        <v>6313866.0999999996</v>
      </c>
      <c r="F851">
        <v>14248810</v>
      </c>
      <c r="G851">
        <v>23150420</v>
      </c>
      <c r="H851">
        <v>39211764</v>
      </c>
      <c r="I851">
        <f t="shared" si="117"/>
        <v>512.47063063063058</v>
      </c>
      <c r="J851">
        <f t="shared" si="118"/>
        <v>0</v>
      </c>
      <c r="K851">
        <f t="shared" si="119"/>
        <v>5.2104205852575811</v>
      </c>
      <c r="L851">
        <f t="shared" si="120"/>
        <v>3666.1014281925759</v>
      </c>
      <c r="M851">
        <f t="shared" si="121"/>
        <v>0</v>
      </c>
      <c r="N851">
        <f t="shared" si="122"/>
        <v>39.564893019451844</v>
      </c>
      <c r="O851">
        <f t="shared" si="123"/>
        <v>100</v>
      </c>
      <c r="P851">
        <f t="shared" si="124"/>
        <v>11.064543168482817</v>
      </c>
      <c r="Q851">
        <f t="shared" si="125"/>
        <v>99.748533109807212</v>
      </c>
    </row>
    <row r="852" spans="1:17" x14ac:dyDescent="0.3">
      <c r="A852">
        <v>51011481</v>
      </c>
      <c r="B852" t="str">
        <f>VLOOKUP(A852,ASESORES!$A$2:$B$993,2,0)</f>
        <v>ARGUELLO</v>
      </c>
      <c r="C852">
        <v>17747050.100000001</v>
      </c>
      <c r="D852">
        <v>27655052.760000002</v>
      </c>
      <c r="E852">
        <v>36831120.950000003</v>
      </c>
      <c r="F852">
        <v>22667740</v>
      </c>
      <c r="G852">
        <v>46074142</v>
      </c>
      <c r="H852">
        <v>39082232</v>
      </c>
      <c r="I852">
        <f t="shared" si="117"/>
        <v>0.27726804580328523</v>
      </c>
      <c r="J852">
        <f t="shared" si="118"/>
        <v>0.66602979932264628</v>
      </c>
      <c r="K852">
        <f t="shared" si="119"/>
        <v>6.1119808247378282E-2</v>
      </c>
      <c r="L852">
        <f t="shared" si="120"/>
        <v>2.0394196639714668</v>
      </c>
      <c r="M852">
        <f t="shared" si="121"/>
        <v>5.1040908986413953</v>
      </c>
      <c r="N852">
        <f t="shared" si="122"/>
        <v>0.46402032260746212</v>
      </c>
      <c r="O852">
        <f t="shared" si="123"/>
        <v>47.611064543168489</v>
      </c>
      <c r="P852">
        <f t="shared" si="124"/>
        <v>85.834031852472762</v>
      </c>
      <c r="Q852">
        <f t="shared" si="125"/>
        <v>36.797988264878455</v>
      </c>
    </row>
    <row r="853" spans="1:17" x14ac:dyDescent="0.3">
      <c r="A853">
        <v>51042654</v>
      </c>
      <c r="B853" t="str">
        <f>VLOOKUP(A853,ASESORES!$A$2:$B$993,2,0)</f>
        <v>BELUZZO</v>
      </c>
      <c r="C853">
        <v>27861199.149999999</v>
      </c>
      <c r="D853">
        <v>29508569.800000001</v>
      </c>
      <c r="E853">
        <v>36774264.799999997</v>
      </c>
      <c r="F853">
        <v>29393882</v>
      </c>
      <c r="G853">
        <v>31131210</v>
      </c>
      <c r="H853">
        <v>38751359</v>
      </c>
      <c r="I853">
        <f t="shared" si="117"/>
        <v>5.5011374124577239E-2</v>
      </c>
      <c r="J853">
        <f t="shared" si="118"/>
        <v>5.4988778209101863E-2</v>
      </c>
      <c r="K853">
        <f t="shared" si="119"/>
        <v>5.3762983726597824E-2</v>
      </c>
      <c r="L853">
        <f t="shared" si="120"/>
        <v>0.41083907693655169</v>
      </c>
      <c r="M853">
        <f t="shared" si="121"/>
        <v>0.41204169297954574</v>
      </c>
      <c r="N853">
        <f t="shared" si="122"/>
        <v>0.40796894714448206</v>
      </c>
      <c r="O853">
        <f t="shared" si="123"/>
        <v>26.404023470243082</v>
      </c>
      <c r="P853">
        <f t="shared" si="124"/>
        <v>30.176026823134954</v>
      </c>
      <c r="Q853">
        <f t="shared" si="125"/>
        <v>36.127409891031014</v>
      </c>
    </row>
    <row r="854" spans="1:17" x14ac:dyDescent="0.3">
      <c r="A854">
        <v>51057074</v>
      </c>
      <c r="B854" t="str">
        <f>VLOOKUP(A854,ASESORES!$A$2:$B$993,2,0)</f>
        <v>BELUZZO</v>
      </c>
      <c r="C854">
        <v>18801251.75</v>
      </c>
      <c r="D854">
        <v>24150518.100000001</v>
      </c>
      <c r="E854">
        <v>32779116.530000001</v>
      </c>
      <c r="F854">
        <v>25382717</v>
      </c>
      <c r="G854">
        <v>35337781</v>
      </c>
      <c r="H854">
        <v>38669057</v>
      </c>
      <c r="I854">
        <f t="shared" si="117"/>
        <v>0.3500546313359163</v>
      </c>
      <c r="J854">
        <f t="shared" si="118"/>
        <v>0.46323076191065216</v>
      </c>
      <c r="K854">
        <f t="shared" si="119"/>
        <v>0.17968576012747106</v>
      </c>
      <c r="L854">
        <f t="shared" si="120"/>
        <v>2.591992857506995</v>
      </c>
      <c r="M854">
        <f t="shared" si="121"/>
        <v>3.4965766304175445</v>
      </c>
      <c r="N854">
        <f t="shared" si="122"/>
        <v>1.3633411924717256</v>
      </c>
      <c r="O854">
        <f t="shared" si="123"/>
        <v>56.91533948030176</v>
      </c>
      <c r="P854">
        <f t="shared" si="124"/>
        <v>69.991617770326911</v>
      </c>
      <c r="Q854">
        <f t="shared" si="125"/>
        <v>49.706621961441741</v>
      </c>
    </row>
    <row r="855" spans="1:17" x14ac:dyDescent="0.3">
      <c r="A855">
        <v>51042913</v>
      </c>
      <c r="B855" t="str">
        <f>VLOOKUP(A855,ASESORES!$A$2:$B$993,2,0)</f>
        <v>ROBERTS</v>
      </c>
      <c r="C855">
        <v>8398729.6000000015</v>
      </c>
      <c r="D855">
        <v>4003443.3</v>
      </c>
      <c r="E855">
        <v>25155192.989999998</v>
      </c>
      <c r="F855">
        <v>19291380</v>
      </c>
      <c r="G855">
        <v>28205650</v>
      </c>
      <c r="H855">
        <v>38439020</v>
      </c>
      <c r="I855">
        <f t="shared" si="117"/>
        <v>1.2969402420099341</v>
      </c>
      <c r="J855">
        <f t="shared" si="118"/>
        <v>6.0453476885759816</v>
      </c>
      <c r="K855">
        <f t="shared" si="119"/>
        <v>0.52807493924935311</v>
      </c>
      <c r="L855">
        <f t="shared" si="120"/>
        <v>9.4486808359997188</v>
      </c>
      <c r="M855">
        <f t="shared" si="121"/>
        <v>45.039872196848222</v>
      </c>
      <c r="N855">
        <f t="shared" si="122"/>
        <v>4.005328175150292</v>
      </c>
      <c r="O855">
        <f t="shared" si="123"/>
        <v>96.563285834031859</v>
      </c>
      <c r="P855">
        <f t="shared" si="124"/>
        <v>99.832355406538142</v>
      </c>
      <c r="Q855">
        <f t="shared" si="125"/>
        <v>83.989941324392291</v>
      </c>
    </row>
    <row r="856" spans="1:17" x14ac:dyDescent="0.3">
      <c r="A856">
        <v>51025857</v>
      </c>
      <c r="B856" t="str">
        <f>VLOOKUP(A856,ASESORES!$A$2:$B$993,2,0)</f>
        <v>BELUZZO</v>
      </c>
      <c r="C856">
        <v>16271267.560000001</v>
      </c>
      <c r="D856">
        <v>23473346.969999999</v>
      </c>
      <c r="E856">
        <v>36303226.43</v>
      </c>
      <c r="F856">
        <v>27133599</v>
      </c>
      <c r="G856">
        <v>37752492</v>
      </c>
      <c r="H856">
        <v>38140001</v>
      </c>
      <c r="I856">
        <f t="shared" si="117"/>
        <v>0.66757745823706438</v>
      </c>
      <c r="J856">
        <f t="shared" si="118"/>
        <v>0.60831312416799332</v>
      </c>
      <c r="K856">
        <f t="shared" si="119"/>
        <v>5.0595353378347196E-2</v>
      </c>
      <c r="L856">
        <f t="shared" si="120"/>
        <v>4.9624419774760682</v>
      </c>
      <c r="M856">
        <f t="shared" si="121"/>
        <v>4.6091554643123827</v>
      </c>
      <c r="N856">
        <f t="shared" si="122"/>
        <v>0.38358263561718076</v>
      </c>
      <c r="O856">
        <f t="shared" si="123"/>
        <v>85.414920368818102</v>
      </c>
      <c r="P856">
        <f t="shared" si="124"/>
        <v>81.307627829002513</v>
      </c>
      <c r="Q856">
        <f t="shared" si="125"/>
        <v>35.87594300083822</v>
      </c>
    </row>
    <row r="857" spans="1:17" x14ac:dyDescent="0.3">
      <c r="A857">
        <v>51026071</v>
      </c>
      <c r="B857" t="str">
        <f>VLOOKUP(A857,ASESORES!$A$2:$B$993,2,0)</f>
        <v>PRADES</v>
      </c>
      <c r="C857">
        <v>23450780.030000001</v>
      </c>
      <c r="D857">
        <v>34426963.040000007</v>
      </c>
      <c r="E857">
        <v>32075625.57</v>
      </c>
      <c r="F857">
        <v>22796912</v>
      </c>
      <c r="G857">
        <v>31962224</v>
      </c>
      <c r="H857">
        <v>37554238</v>
      </c>
      <c r="I857">
        <f t="shared" si="117"/>
        <v>-2.7882570608036228E-2</v>
      </c>
      <c r="J857">
        <f t="shared" si="118"/>
        <v>-7.1593275222571195E-2</v>
      </c>
      <c r="K857">
        <f t="shared" si="119"/>
        <v>0.17080297991519422</v>
      </c>
      <c r="L857">
        <f t="shared" si="120"/>
        <v>-0.20515649773038855</v>
      </c>
      <c r="M857">
        <f t="shared" si="121"/>
        <v>-0.53728154153023455</v>
      </c>
      <c r="N857">
        <f t="shared" si="122"/>
        <v>1.2937743212335513</v>
      </c>
      <c r="O857">
        <f t="shared" si="123"/>
        <v>9.8072087175188596</v>
      </c>
      <c r="P857">
        <f t="shared" si="124"/>
        <v>8.2984073763621122</v>
      </c>
      <c r="Q857">
        <f t="shared" si="125"/>
        <v>48.616932103939646</v>
      </c>
    </row>
    <row r="858" spans="1:17" x14ac:dyDescent="0.3">
      <c r="A858">
        <v>51017595</v>
      </c>
      <c r="B858" t="str">
        <f>VLOOKUP(A858,ASESORES!$A$2:$B$993,2,0)</f>
        <v>MONTENEGRO</v>
      </c>
      <c r="C858">
        <v>22521208.219999999</v>
      </c>
      <c r="D858">
        <v>30244243.32</v>
      </c>
      <c r="E858">
        <v>33026870.02</v>
      </c>
      <c r="F858">
        <v>23581244</v>
      </c>
      <c r="G858">
        <v>34198861</v>
      </c>
      <c r="H858">
        <v>37515206</v>
      </c>
      <c r="I858">
        <f t="shared" si="117"/>
        <v>4.7068335306213127E-2</v>
      </c>
      <c r="J858">
        <f t="shared" si="118"/>
        <v>0.13075604630468241</v>
      </c>
      <c r="K858">
        <f t="shared" si="119"/>
        <v>0.13589952597027843</v>
      </c>
      <c r="L858">
        <f t="shared" si="120"/>
        <v>0.34701444206988458</v>
      </c>
      <c r="M858">
        <f t="shared" si="121"/>
        <v>0.98511757512545017</v>
      </c>
      <c r="N858">
        <f t="shared" si="122"/>
        <v>1.0293311865018617</v>
      </c>
      <c r="O858">
        <f t="shared" si="123"/>
        <v>26.068734283319362</v>
      </c>
      <c r="P858">
        <f t="shared" si="124"/>
        <v>35.205364626990779</v>
      </c>
      <c r="Q858">
        <f t="shared" si="125"/>
        <v>44.090528080469404</v>
      </c>
    </row>
    <row r="859" spans="1:17" x14ac:dyDescent="0.3">
      <c r="A859">
        <v>51014707</v>
      </c>
      <c r="B859" t="str">
        <f>VLOOKUP(A859,ASESORES!$A$2:$B$993,2,0)</f>
        <v>PUGH</v>
      </c>
      <c r="C859">
        <v>33444800.280000001</v>
      </c>
      <c r="D859">
        <v>41721316.109999999</v>
      </c>
      <c r="E859">
        <v>59157157.469999999</v>
      </c>
      <c r="F859">
        <v>46518362</v>
      </c>
      <c r="G859">
        <v>66647935</v>
      </c>
      <c r="H859">
        <v>37259222</v>
      </c>
      <c r="I859">
        <f t="shared" si="117"/>
        <v>0.39089967978723417</v>
      </c>
      <c r="J859">
        <f t="shared" si="118"/>
        <v>0.59745523905046349</v>
      </c>
      <c r="K859">
        <f t="shared" si="119"/>
        <v>-0.37016544415787667</v>
      </c>
      <c r="L859">
        <f t="shared" si="120"/>
        <v>2.9972719281578377</v>
      </c>
      <c r="M859">
        <f t="shared" si="121"/>
        <v>4.6743623518772308</v>
      </c>
      <c r="N859">
        <f t="shared" si="122"/>
        <v>-2.8026091158356965</v>
      </c>
      <c r="O859">
        <f t="shared" si="123"/>
        <v>63.872590108968986</v>
      </c>
      <c r="P859">
        <f t="shared" si="124"/>
        <v>81.559094719195301</v>
      </c>
      <c r="Q859">
        <f t="shared" si="125"/>
        <v>2.933780385582565</v>
      </c>
    </row>
    <row r="860" spans="1:17" x14ac:dyDescent="0.3">
      <c r="A860">
        <v>51032390</v>
      </c>
      <c r="B860" t="str">
        <f>VLOOKUP(A860,ASESORES!$A$2:$B$993,2,0)</f>
        <v>PRADES</v>
      </c>
      <c r="C860">
        <v>27407468.25</v>
      </c>
      <c r="D860">
        <v>35497452.399999999</v>
      </c>
      <c r="E860">
        <v>39239768.890000001</v>
      </c>
      <c r="F860">
        <v>26865945</v>
      </c>
      <c r="G860">
        <v>33437876</v>
      </c>
      <c r="H860">
        <v>37161194</v>
      </c>
      <c r="I860">
        <f t="shared" si="117"/>
        <v>-1.9758236881292413E-2</v>
      </c>
      <c r="J860">
        <f t="shared" si="118"/>
        <v>-5.8020400359773405E-2</v>
      </c>
      <c r="K860">
        <f t="shared" si="119"/>
        <v>-5.297112976956686E-2</v>
      </c>
      <c r="L860">
        <f t="shared" si="120"/>
        <v>-0.14678793535216614</v>
      </c>
      <c r="M860">
        <f t="shared" si="121"/>
        <v>-0.43655934078542047</v>
      </c>
      <c r="N860">
        <f t="shared" si="122"/>
        <v>-0.40099620172349815</v>
      </c>
      <c r="O860">
        <f t="shared" si="123"/>
        <v>9.9748533109807198</v>
      </c>
      <c r="P860">
        <f t="shared" si="124"/>
        <v>8.8851634534786257</v>
      </c>
      <c r="Q860">
        <f t="shared" si="125"/>
        <v>11.73512154233026</v>
      </c>
    </row>
    <row r="861" spans="1:17" x14ac:dyDescent="0.3">
      <c r="A861">
        <v>51030249</v>
      </c>
      <c r="B861" t="str">
        <f>VLOOKUP(A861,ASESORES!$A$2:$B$993,2,0)</f>
        <v>METTLER</v>
      </c>
      <c r="C861">
        <v>17338493.129999999</v>
      </c>
      <c r="D861">
        <v>24461412.100000001</v>
      </c>
      <c r="E861">
        <v>28485772.030000001</v>
      </c>
      <c r="F861">
        <v>25764720</v>
      </c>
      <c r="G861">
        <v>28883754</v>
      </c>
      <c r="H861">
        <v>36643841</v>
      </c>
      <c r="I861">
        <f t="shared" si="117"/>
        <v>0.48598380532968499</v>
      </c>
      <c r="J861">
        <f t="shared" si="118"/>
        <v>0.18078849585302548</v>
      </c>
      <c r="K861">
        <f t="shared" si="119"/>
        <v>0.28639100816394469</v>
      </c>
      <c r="L861">
        <f t="shared" si="120"/>
        <v>3.6016383384548472</v>
      </c>
      <c r="M861">
        <f t="shared" si="121"/>
        <v>1.3488003492033775</v>
      </c>
      <c r="N861">
        <f t="shared" si="122"/>
        <v>2.1662618692910742</v>
      </c>
      <c r="O861">
        <f t="shared" si="123"/>
        <v>72.673931265716689</v>
      </c>
      <c r="P861">
        <f t="shared" si="124"/>
        <v>39.228834870075438</v>
      </c>
      <c r="Q861">
        <f t="shared" si="125"/>
        <v>60.854987426655491</v>
      </c>
    </row>
    <row r="862" spans="1:17" x14ac:dyDescent="0.3">
      <c r="A862">
        <v>51029518</v>
      </c>
      <c r="B862" t="str">
        <f>VLOOKUP(A862,ASESORES!$A$2:$B$993,2,0)</f>
        <v>NELLI</v>
      </c>
      <c r="C862">
        <v>21329417.739999998</v>
      </c>
      <c r="D862">
        <v>24449304.399999999</v>
      </c>
      <c r="E862">
        <v>27254756</v>
      </c>
      <c r="F862">
        <v>21113538</v>
      </c>
      <c r="G862">
        <v>32472310</v>
      </c>
      <c r="H862">
        <v>36629660</v>
      </c>
      <c r="I862">
        <f t="shared" si="117"/>
        <v>-1.0121220496101424E-2</v>
      </c>
      <c r="J862">
        <f t="shared" si="118"/>
        <v>0.32814862413836199</v>
      </c>
      <c r="K862">
        <f t="shared" si="119"/>
        <v>0.34397313995399559</v>
      </c>
      <c r="L862">
        <f t="shared" si="120"/>
        <v>-7.4133497062103204E-2</v>
      </c>
      <c r="M862">
        <f t="shared" si="121"/>
        <v>2.4648927166457706</v>
      </c>
      <c r="N862">
        <f t="shared" si="122"/>
        <v>2.6017553484076972</v>
      </c>
      <c r="O862">
        <f t="shared" si="123"/>
        <v>10.813076278290024</v>
      </c>
      <c r="P862">
        <f t="shared" si="124"/>
        <v>54.903604358759431</v>
      </c>
      <c r="Q862">
        <f t="shared" si="125"/>
        <v>67.225481978206204</v>
      </c>
    </row>
    <row r="863" spans="1:17" x14ac:dyDescent="0.3">
      <c r="A863">
        <v>51044011</v>
      </c>
      <c r="B863" t="str">
        <f>VLOOKUP(A863,ASESORES!$A$2:$B$993,2,0)</f>
        <v>MONTENEGRO</v>
      </c>
      <c r="C863">
        <v>25688562.969999999</v>
      </c>
      <c r="D863">
        <v>33553232.699999999</v>
      </c>
      <c r="E863">
        <v>43625859.510000013</v>
      </c>
      <c r="F863">
        <v>36770185</v>
      </c>
      <c r="G863">
        <v>42497918</v>
      </c>
      <c r="H863">
        <v>36627783</v>
      </c>
      <c r="I863">
        <f t="shared" si="117"/>
        <v>0.4313834932277647</v>
      </c>
      <c r="J863">
        <f t="shared" si="118"/>
        <v>0.26658192311824558</v>
      </c>
      <c r="K863">
        <f t="shared" si="119"/>
        <v>-0.16041120080157734</v>
      </c>
      <c r="L863">
        <f t="shared" si="120"/>
        <v>3.2636300126395987</v>
      </c>
      <c r="M863">
        <f t="shared" si="121"/>
        <v>2.0335849195120304</v>
      </c>
      <c r="N863">
        <f t="shared" si="122"/>
        <v>-1.2133199462047082</v>
      </c>
      <c r="O863">
        <f t="shared" si="123"/>
        <v>68.063704945515497</v>
      </c>
      <c r="P863">
        <f t="shared" si="124"/>
        <v>49.0360435875943</v>
      </c>
      <c r="Q863">
        <f t="shared" si="125"/>
        <v>6.3704945515507125</v>
      </c>
    </row>
    <row r="864" spans="1:17" x14ac:dyDescent="0.3">
      <c r="A864">
        <v>51013956</v>
      </c>
      <c r="B864" t="str">
        <f>VLOOKUP(A864,ASESORES!$A$2:$B$993,2,0)</f>
        <v>AYALA</v>
      </c>
      <c r="C864">
        <v>19122561.550000001</v>
      </c>
      <c r="D864">
        <v>35812784.920000002</v>
      </c>
      <c r="E864">
        <v>41183256.75</v>
      </c>
      <c r="F864">
        <v>27520350</v>
      </c>
      <c r="G864">
        <v>33528920</v>
      </c>
      <c r="H864">
        <v>36502175</v>
      </c>
      <c r="I864">
        <f t="shared" si="117"/>
        <v>0.4391560423556331</v>
      </c>
      <c r="J864">
        <f t="shared" si="118"/>
        <v>-6.3772335078151277E-2</v>
      </c>
      <c r="K864">
        <f t="shared" si="119"/>
        <v>-0.1136646812178107</v>
      </c>
      <c r="L864">
        <f t="shared" si="120"/>
        <v>3.2671689864491049</v>
      </c>
      <c r="M864">
        <f t="shared" si="121"/>
        <v>-0.47991357807703433</v>
      </c>
      <c r="N864">
        <f t="shared" si="122"/>
        <v>-0.8595685491766093</v>
      </c>
      <c r="O864">
        <f t="shared" si="123"/>
        <v>68.14752724224644</v>
      </c>
      <c r="P864">
        <f t="shared" si="124"/>
        <v>8.6336965632858345</v>
      </c>
      <c r="Q864">
        <f t="shared" si="125"/>
        <v>8.3822296730930432</v>
      </c>
    </row>
    <row r="865" spans="1:17" x14ac:dyDescent="0.3">
      <c r="A865">
        <v>51023846</v>
      </c>
      <c r="B865" t="str">
        <f>VLOOKUP(A865,ASESORES!$A$2:$B$993,2,0)</f>
        <v>CICHETTO</v>
      </c>
      <c r="C865">
        <v>14802362.300000001</v>
      </c>
      <c r="D865">
        <v>17074230.670000002</v>
      </c>
      <c r="E865">
        <v>22022096.039999999</v>
      </c>
      <c r="F865">
        <v>20931405</v>
      </c>
      <c r="G865">
        <v>31636996</v>
      </c>
      <c r="H865">
        <v>36245600</v>
      </c>
      <c r="I865">
        <f t="shared" si="117"/>
        <v>0.41405841687850042</v>
      </c>
      <c r="J865">
        <f t="shared" si="118"/>
        <v>0.85290901894556614</v>
      </c>
      <c r="K865">
        <f t="shared" si="119"/>
        <v>0.64587421352468133</v>
      </c>
      <c r="L865">
        <f t="shared" si="120"/>
        <v>3.0312381878852954</v>
      </c>
      <c r="M865">
        <f t="shared" si="121"/>
        <v>6.3969841637068834</v>
      </c>
      <c r="N865">
        <f t="shared" si="122"/>
        <v>4.8823280674200893</v>
      </c>
      <c r="O865">
        <f t="shared" si="123"/>
        <v>64.710813076278299</v>
      </c>
      <c r="P865">
        <f t="shared" si="124"/>
        <v>92.120704107292539</v>
      </c>
      <c r="Q865">
        <f t="shared" si="125"/>
        <v>90.611902766135785</v>
      </c>
    </row>
    <row r="866" spans="1:17" x14ac:dyDescent="0.3">
      <c r="A866">
        <v>51019563</v>
      </c>
      <c r="B866" t="str">
        <f>VLOOKUP(A866,ASESORES!$A$2:$B$993,2,0)</f>
        <v>ARGUELLO</v>
      </c>
      <c r="C866">
        <v>13854861.630000001</v>
      </c>
      <c r="D866">
        <v>22916822.609999999</v>
      </c>
      <c r="E866">
        <v>33710212.590000004</v>
      </c>
      <c r="F866">
        <v>24866076</v>
      </c>
      <c r="G866">
        <v>27775286</v>
      </c>
      <c r="H866">
        <v>36169644</v>
      </c>
      <c r="I866">
        <f t="shared" si="117"/>
        <v>0.79475455360430036</v>
      </c>
      <c r="J866">
        <f t="shared" si="118"/>
        <v>0.21200423255359846</v>
      </c>
      <c r="K866">
        <f t="shared" si="119"/>
        <v>7.2958051018924053E-2</v>
      </c>
      <c r="L866">
        <f t="shared" si="120"/>
        <v>5.8776925439163357</v>
      </c>
      <c r="M866">
        <f t="shared" si="121"/>
        <v>1.5780871160647463</v>
      </c>
      <c r="N866">
        <f t="shared" si="122"/>
        <v>0.551442064259971</v>
      </c>
      <c r="O866">
        <f t="shared" si="123"/>
        <v>90.108968985750209</v>
      </c>
      <c r="P866">
        <f t="shared" si="124"/>
        <v>42.917015926236381</v>
      </c>
      <c r="Q866">
        <f t="shared" si="125"/>
        <v>37.971500419111479</v>
      </c>
    </row>
    <row r="867" spans="1:17" x14ac:dyDescent="0.3">
      <c r="A867">
        <v>51030711</v>
      </c>
      <c r="B867" t="str">
        <f>VLOOKUP(A867,ASESORES!$A$2:$B$993,2,0)</f>
        <v>NELLI</v>
      </c>
      <c r="C867">
        <v>12715891.74</v>
      </c>
      <c r="D867">
        <v>18162712.449999999</v>
      </c>
      <c r="E867">
        <v>25637431.93</v>
      </c>
      <c r="F867">
        <v>17481932</v>
      </c>
      <c r="G867">
        <v>26389316</v>
      </c>
      <c r="H867">
        <v>35939413</v>
      </c>
      <c r="I867">
        <f t="shared" si="117"/>
        <v>0.37480975439635178</v>
      </c>
      <c r="J867">
        <f t="shared" si="118"/>
        <v>0.45293915061679013</v>
      </c>
      <c r="K867">
        <f t="shared" si="119"/>
        <v>0.40183358060699503</v>
      </c>
      <c r="L867">
        <f t="shared" si="120"/>
        <v>2.7145931641831624</v>
      </c>
      <c r="M867">
        <f t="shared" si="121"/>
        <v>3.3614553552122568</v>
      </c>
      <c r="N867">
        <f t="shared" si="122"/>
        <v>3.0360821402148166</v>
      </c>
      <c r="O867">
        <f t="shared" si="123"/>
        <v>59.010896898575012</v>
      </c>
      <c r="P867">
        <f t="shared" si="124"/>
        <v>68.14752724224644</v>
      </c>
      <c r="Q867">
        <f t="shared" si="125"/>
        <v>74.518021793797146</v>
      </c>
    </row>
    <row r="868" spans="1:17" x14ac:dyDescent="0.3">
      <c r="A868">
        <v>51056574</v>
      </c>
      <c r="B868" t="str">
        <f>VLOOKUP(A868,ASESORES!$A$2:$B$993,2,0)</f>
        <v>PUGH</v>
      </c>
      <c r="C868">
        <v>10768775.689999999</v>
      </c>
      <c r="D868">
        <v>15628848.720000001</v>
      </c>
      <c r="E868">
        <v>16133273.210000001</v>
      </c>
      <c r="F868">
        <v>13673360</v>
      </c>
      <c r="G868">
        <v>36901340</v>
      </c>
      <c r="H868">
        <v>35818947</v>
      </c>
      <c r="I868">
        <f t="shared" si="117"/>
        <v>0.26972279798688992</v>
      </c>
      <c r="J868">
        <f t="shared" si="118"/>
        <v>1.3611041773523547</v>
      </c>
      <c r="K868">
        <f t="shared" si="119"/>
        <v>1.2201909391702417</v>
      </c>
      <c r="L868">
        <f t="shared" si="120"/>
        <v>1.9247082380575593</v>
      </c>
      <c r="M868">
        <f t="shared" si="121"/>
        <v>10.299532662872309</v>
      </c>
      <c r="N868">
        <f t="shared" si="122"/>
        <v>9.2174600095726493</v>
      </c>
      <c r="O868">
        <f t="shared" si="123"/>
        <v>45.934618608549876</v>
      </c>
      <c r="P868">
        <f t="shared" si="124"/>
        <v>97.652975691533953</v>
      </c>
      <c r="Q868">
        <f t="shared" si="125"/>
        <v>97.98826487845767</v>
      </c>
    </row>
    <row r="869" spans="1:17" x14ac:dyDescent="0.3">
      <c r="A869">
        <v>51056957</v>
      </c>
      <c r="B869" t="str">
        <f>VLOOKUP(A869,ASESORES!$A$2:$B$993,2,0)</f>
        <v>PRADES</v>
      </c>
      <c r="C869">
        <v>15922034.199999999</v>
      </c>
      <c r="D869">
        <v>16672323.66</v>
      </c>
      <c r="E869">
        <v>20116379.93</v>
      </c>
      <c r="F869">
        <v>21815905</v>
      </c>
      <c r="G869">
        <v>34178896</v>
      </c>
      <c r="H869">
        <v>35205178</v>
      </c>
      <c r="I869">
        <f t="shared" si="117"/>
        <v>0.37017071600059759</v>
      </c>
      <c r="J869">
        <f t="shared" si="118"/>
        <v>1.0500379369434576</v>
      </c>
      <c r="K869">
        <f t="shared" si="119"/>
        <v>0.75007521842922364</v>
      </c>
      <c r="L869">
        <f t="shared" si="120"/>
        <v>2.7165989425031776</v>
      </c>
      <c r="M869">
        <f t="shared" si="121"/>
        <v>7.9107317399079369</v>
      </c>
      <c r="N869">
        <f t="shared" si="122"/>
        <v>5.6605225522540294</v>
      </c>
      <c r="O869">
        <f t="shared" si="123"/>
        <v>59.094719195305956</v>
      </c>
      <c r="P869">
        <f t="shared" si="124"/>
        <v>95.55741827326068</v>
      </c>
      <c r="Q869">
        <f t="shared" si="125"/>
        <v>93.378038558256492</v>
      </c>
    </row>
    <row r="870" spans="1:17" x14ac:dyDescent="0.3">
      <c r="A870">
        <v>51055331</v>
      </c>
      <c r="B870" t="str">
        <f>VLOOKUP(A870,ASESORES!$A$2:$B$993,2,0)</f>
        <v>PRADES</v>
      </c>
      <c r="C870">
        <v>22835293.289999999</v>
      </c>
      <c r="D870">
        <v>31899611.010000002</v>
      </c>
      <c r="E870">
        <v>38720153.530000001</v>
      </c>
      <c r="F870">
        <v>27791246</v>
      </c>
      <c r="G870">
        <v>36455864</v>
      </c>
      <c r="H870">
        <v>34994627</v>
      </c>
      <c r="I870">
        <f t="shared" si="117"/>
        <v>0.2170303944451768</v>
      </c>
      <c r="J870">
        <f t="shared" si="118"/>
        <v>0.14283098902277169</v>
      </c>
      <c r="K870">
        <f t="shared" si="119"/>
        <v>-9.6216729283201352E-2</v>
      </c>
      <c r="L870">
        <f t="shared" si="120"/>
        <v>1.6155542934657161</v>
      </c>
      <c r="M870">
        <f t="shared" si="121"/>
        <v>1.0800547158487266</v>
      </c>
      <c r="N870">
        <f t="shared" si="122"/>
        <v>-0.72585913741634922</v>
      </c>
      <c r="O870">
        <f t="shared" si="123"/>
        <v>41.492036881810563</v>
      </c>
      <c r="P870">
        <f t="shared" si="124"/>
        <v>36.462699077954738</v>
      </c>
      <c r="Q870">
        <f t="shared" si="125"/>
        <v>9.7233864207879304</v>
      </c>
    </row>
    <row r="871" spans="1:17" x14ac:dyDescent="0.3">
      <c r="A871">
        <v>51018397</v>
      </c>
      <c r="B871" t="str">
        <f>VLOOKUP(A871,ASESORES!$A$2:$B$993,2,0)</f>
        <v>LÓPEZ</v>
      </c>
      <c r="C871">
        <v>28312658.190000001</v>
      </c>
      <c r="D871">
        <v>42700228.479999997</v>
      </c>
      <c r="E871">
        <v>39461786.960000001</v>
      </c>
      <c r="F871">
        <v>34189013</v>
      </c>
      <c r="G871">
        <v>40456574</v>
      </c>
      <c r="H871">
        <v>34891058</v>
      </c>
      <c r="I871">
        <f t="shared" si="117"/>
        <v>0.2075522111193191</v>
      </c>
      <c r="J871">
        <f t="shared" si="118"/>
        <v>-5.2544320249969689E-2</v>
      </c>
      <c r="K871">
        <f t="shared" si="119"/>
        <v>-0.11582671014450174</v>
      </c>
      <c r="L871">
        <f t="shared" si="120"/>
        <v>1.563674814548202</v>
      </c>
      <c r="M871">
        <f t="shared" si="121"/>
        <v>-0.3997040715377484</v>
      </c>
      <c r="N871">
        <f t="shared" si="122"/>
        <v>-0.87364776425067747</v>
      </c>
      <c r="O871">
        <f t="shared" si="123"/>
        <v>40.98910310142498</v>
      </c>
      <c r="P871">
        <f t="shared" si="124"/>
        <v>9.1366303436714169</v>
      </c>
      <c r="Q871">
        <f t="shared" si="125"/>
        <v>8.2145850796311812</v>
      </c>
    </row>
    <row r="872" spans="1:17" x14ac:dyDescent="0.3">
      <c r="A872">
        <v>51025148</v>
      </c>
      <c r="B872" t="str">
        <f>VLOOKUP(A872,ASESORES!$A$2:$B$993,2,0)</f>
        <v>MONTENEGRO</v>
      </c>
      <c r="C872">
        <v>27624679.420000002</v>
      </c>
      <c r="D872">
        <v>48765810.700000003</v>
      </c>
      <c r="E872">
        <v>38816520.5</v>
      </c>
      <c r="F872">
        <v>28811250</v>
      </c>
      <c r="G872">
        <v>29413192</v>
      </c>
      <c r="H872">
        <v>34863796</v>
      </c>
      <c r="I872">
        <f t="shared" si="117"/>
        <v>4.2953279636647412E-2</v>
      </c>
      <c r="J872">
        <f t="shared" si="118"/>
        <v>-0.39684808726044618</v>
      </c>
      <c r="K872">
        <f t="shared" si="119"/>
        <v>-0.10183098456751161</v>
      </c>
      <c r="L872">
        <f t="shared" si="120"/>
        <v>0.32041265688757387</v>
      </c>
      <c r="M872">
        <f t="shared" si="121"/>
        <v>-2.9638766699822567</v>
      </c>
      <c r="N872">
        <f t="shared" si="122"/>
        <v>-0.76804743879668003</v>
      </c>
      <c r="O872">
        <f t="shared" si="123"/>
        <v>25.733445096395641</v>
      </c>
      <c r="P872">
        <f t="shared" si="124"/>
        <v>3.1852472757753563</v>
      </c>
      <c r="Q872">
        <f t="shared" si="125"/>
        <v>9.4719195305951374</v>
      </c>
    </row>
    <row r="873" spans="1:17" x14ac:dyDescent="0.3">
      <c r="A873">
        <v>51005392</v>
      </c>
      <c r="B873" t="str">
        <f>VLOOKUP(A873,ASESORES!$A$2:$B$993,2,0)</f>
        <v>ARGUELLO</v>
      </c>
      <c r="C873">
        <v>15775680.550000001</v>
      </c>
      <c r="D873">
        <v>19633658.710000001</v>
      </c>
      <c r="E873">
        <v>37691211</v>
      </c>
      <c r="F873">
        <v>33906070</v>
      </c>
      <c r="G873">
        <v>24415388</v>
      </c>
      <c r="H873">
        <v>34838174</v>
      </c>
      <c r="I873">
        <f t="shared" si="117"/>
        <v>1.1492619537101363</v>
      </c>
      <c r="J873">
        <f t="shared" si="118"/>
        <v>0.24354754050830696</v>
      </c>
      <c r="K873">
        <f t="shared" si="119"/>
        <v>-7.5695020783492439E-2</v>
      </c>
      <c r="L873">
        <f t="shared" si="120"/>
        <v>8.6542613791026817</v>
      </c>
      <c r="M873">
        <f t="shared" si="121"/>
        <v>1.7992473072662885</v>
      </c>
      <c r="N873">
        <f t="shared" si="122"/>
        <v>-0.57089603903619324</v>
      </c>
      <c r="O873">
        <f t="shared" si="123"/>
        <v>95.97652975691534</v>
      </c>
      <c r="P873">
        <f t="shared" si="124"/>
        <v>45.515507124895223</v>
      </c>
      <c r="Q873">
        <f t="shared" si="125"/>
        <v>11.148365465213747</v>
      </c>
    </row>
    <row r="874" spans="1:17" x14ac:dyDescent="0.3">
      <c r="A874">
        <v>51023153</v>
      </c>
      <c r="B874" t="str">
        <f>VLOOKUP(A874,ASESORES!$A$2:$B$993,2,0)</f>
        <v>AYALA</v>
      </c>
      <c r="C874">
        <v>17311898.02</v>
      </c>
      <c r="D874">
        <v>28048797.899999999</v>
      </c>
      <c r="E874">
        <v>33291164.640000001</v>
      </c>
      <c r="F874">
        <v>22525568</v>
      </c>
      <c r="G874">
        <v>33409651</v>
      </c>
      <c r="H874">
        <v>34805046</v>
      </c>
      <c r="I874">
        <f t="shared" si="117"/>
        <v>0.30116108435809741</v>
      </c>
      <c r="J874">
        <f t="shared" si="118"/>
        <v>0.19112594839581343</v>
      </c>
      <c r="K874">
        <f t="shared" si="119"/>
        <v>4.5473968134507325E-2</v>
      </c>
      <c r="L874">
        <f t="shared" si="120"/>
        <v>2.2143398020648273</v>
      </c>
      <c r="M874">
        <f t="shared" si="121"/>
        <v>1.4380071599472433</v>
      </c>
      <c r="N874">
        <f t="shared" si="122"/>
        <v>0.34294839763404389</v>
      </c>
      <c r="O874">
        <f t="shared" si="123"/>
        <v>50.54484492875104</v>
      </c>
      <c r="P874">
        <f t="shared" si="124"/>
        <v>41.156747694886839</v>
      </c>
      <c r="Q874">
        <f t="shared" si="125"/>
        <v>35.456831517183574</v>
      </c>
    </row>
    <row r="875" spans="1:17" x14ac:dyDescent="0.3">
      <c r="A875">
        <v>51024095</v>
      </c>
      <c r="B875" t="str">
        <f>VLOOKUP(A875,ASESORES!$A$2:$B$993,2,0)</f>
        <v>CICHETTO</v>
      </c>
      <c r="C875">
        <v>12873994.539999999</v>
      </c>
      <c r="D875">
        <v>20505643.600000001</v>
      </c>
      <c r="E875">
        <v>28946515.710000001</v>
      </c>
      <c r="F875">
        <v>27946096</v>
      </c>
      <c r="G875">
        <v>32388873</v>
      </c>
      <c r="H875">
        <v>34760923</v>
      </c>
      <c r="I875">
        <f t="shared" si="117"/>
        <v>1.1707400848408316</v>
      </c>
      <c r="J875">
        <f t="shared" si="118"/>
        <v>0.57951018908765173</v>
      </c>
      <c r="K875">
        <f t="shared" si="119"/>
        <v>0.20086725975075903</v>
      </c>
      <c r="L875">
        <f t="shared" si="120"/>
        <v>8.7177066509254058</v>
      </c>
      <c r="M875">
        <f t="shared" si="121"/>
        <v>4.3523509113943843</v>
      </c>
      <c r="N875">
        <f t="shared" si="122"/>
        <v>1.514758344894259</v>
      </c>
      <c r="O875">
        <f t="shared" si="123"/>
        <v>96.06035205364627</v>
      </c>
      <c r="P875">
        <f t="shared" si="124"/>
        <v>78.876781223805537</v>
      </c>
      <c r="Q875">
        <f t="shared" si="125"/>
        <v>52.388935456831518</v>
      </c>
    </row>
    <row r="876" spans="1:17" x14ac:dyDescent="0.3">
      <c r="A876">
        <v>51002024</v>
      </c>
      <c r="B876" t="str">
        <f>VLOOKUP(A876,ASESORES!$A$2:$B$993,2,0)</f>
        <v>NELLI</v>
      </c>
      <c r="C876">
        <v>21198312.359999999</v>
      </c>
      <c r="D876">
        <v>25310907.43</v>
      </c>
      <c r="E876">
        <v>28222029.100000001</v>
      </c>
      <c r="F876">
        <v>22872030</v>
      </c>
      <c r="G876">
        <v>27583055</v>
      </c>
      <c r="H876">
        <v>34727520</v>
      </c>
      <c r="I876">
        <f t="shared" si="117"/>
        <v>7.8955230566288392E-2</v>
      </c>
      <c r="J876">
        <f t="shared" si="118"/>
        <v>8.9769502586340089E-2</v>
      </c>
      <c r="K876">
        <f t="shared" si="119"/>
        <v>0.23051109744621434</v>
      </c>
      <c r="L876">
        <f t="shared" si="120"/>
        <v>0.58105560034280612</v>
      </c>
      <c r="M876">
        <f t="shared" si="121"/>
        <v>0.66794276406472863</v>
      </c>
      <c r="N876">
        <f t="shared" si="122"/>
        <v>1.7382089862298846</v>
      </c>
      <c r="O876">
        <f t="shared" si="123"/>
        <v>28.499580888516345</v>
      </c>
      <c r="P876">
        <f t="shared" si="124"/>
        <v>32.606873428331937</v>
      </c>
      <c r="Q876">
        <f t="shared" si="125"/>
        <v>54.903604358759431</v>
      </c>
    </row>
    <row r="877" spans="1:17" x14ac:dyDescent="0.3">
      <c r="A877">
        <v>51056311</v>
      </c>
      <c r="B877" t="str">
        <f>VLOOKUP(A877,ASESORES!$A$2:$B$993,2,0)</f>
        <v>AYALA</v>
      </c>
      <c r="C877">
        <v>11816986.699999999</v>
      </c>
      <c r="D877">
        <v>13610051.15</v>
      </c>
      <c r="E877">
        <v>18402827.300000001</v>
      </c>
      <c r="F877">
        <v>14359605</v>
      </c>
      <c r="G877">
        <v>19987634</v>
      </c>
      <c r="H877">
        <v>34567650</v>
      </c>
      <c r="I877">
        <f t="shared" si="117"/>
        <v>0.21516638416797074</v>
      </c>
      <c r="J877">
        <f t="shared" si="118"/>
        <v>0.46859359893000829</v>
      </c>
      <c r="K877">
        <f t="shared" si="119"/>
        <v>0.87838800182621934</v>
      </c>
      <c r="L877">
        <f t="shared" si="120"/>
        <v>1.5399764713270176</v>
      </c>
      <c r="M877">
        <f t="shared" si="121"/>
        <v>3.4210900538902216</v>
      </c>
      <c r="N877">
        <f t="shared" si="122"/>
        <v>6.6218771512937185</v>
      </c>
      <c r="O877">
        <f t="shared" si="123"/>
        <v>40.653813914501256</v>
      </c>
      <c r="P877">
        <f t="shared" si="124"/>
        <v>68.901927912824817</v>
      </c>
      <c r="Q877">
        <f t="shared" si="125"/>
        <v>95.892707460184411</v>
      </c>
    </row>
    <row r="878" spans="1:17" x14ac:dyDescent="0.3">
      <c r="A878">
        <v>51016467</v>
      </c>
      <c r="B878" t="str">
        <f>VLOOKUP(A878,ASESORES!$A$2:$B$993,2,0)</f>
        <v>MONTENEGRO</v>
      </c>
      <c r="C878">
        <v>19327857.199999999</v>
      </c>
      <c r="D878">
        <v>25531087.149999999</v>
      </c>
      <c r="E878">
        <v>28048450.600000001</v>
      </c>
      <c r="F878">
        <v>23190317</v>
      </c>
      <c r="G878">
        <v>30039740</v>
      </c>
      <c r="H878">
        <v>34550557</v>
      </c>
      <c r="I878">
        <f t="shared" si="117"/>
        <v>0.19983900750260108</v>
      </c>
      <c r="J878">
        <f t="shared" si="118"/>
        <v>0.17659462848216401</v>
      </c>
      <c r="K878">
        <f t="shared" si="119"/>
        <v>0.23181695462351137</v>
      </c>
      <c r="L878">
        <f t="shared" si="120"/>
        <v>1.4718755779358834</v>
      </c>
      <c r="M878">
        <f t="shared" si="121"/>
        <v>1.3205209769451436</v>
      </c>
      <c r="N878">
        <f t="shared" si="122"/>
        <v>1.7475416929896814</v>
      </c>
      <c r="O878">
        <f t="shared" si="123"/>
        <v>39.81559094719195</v>
      </c>
      <c r="P878">
        <f t="shared" si="124"/>
        <v>38.977367979882651</v>
      </c>
      <c r="Q878">
        <f t="shared" si="125"/>
        <v>55.071248952221282</v>
      </c>
    </row>
    <row r="879" spans="1:17" x14ac:dyDescent="0.3">
      <c r="A879">
        <v>51021614</v>
      </c>
      <c r="B879" t="str">
        <f>VLOOKUP(A879,ASESORES!$A$2:$B$993,2,0)</f>
        <v>METTLER</v>
      </c>
      <c r="C879">
        <v>26812098.449999999</v>
      </c>
      <c r="D879">
        <v>35900607.030000001</v>
      </c>
      <c r="E879">
        <v>39897044.760000013</v>
      </c>
      <c r="F879">
        <v>32744506</v>
      </c>
      <c r="G879">
        <v>35542229</v>
      </c>
      <c r="H879">
        <v>34535876</v>
      </c>
      <c r="I879">
        <f t="shared" si="117"/>
        <v>0.22125860685850207</v>
      </c>
      <c r="J879">
        <f t="shared" si="118"/>
        <v>-9.9825061370278911E-3</v>
      </c>
      <c r="K879">
        <f t="shared" si="119"/>
        <v>-0.13437508447680857</v>
      </c>
      <c r="L879">
        <f t="shared" si="120"/>
        <v>1.6627890622094283</v>
      </c>
      <c r="M879">
        <f t="shared" si="121"/>
        <v>-7.5375354914811246E-2</v>
      </c>
      <c r="N879">
        <f t="shared" si="122"/>
        <v>-1.0129557320658809</v>
      </c>
      <c r="O879">
        <f t="shared" si="123"/>
        <v>42.581726739312657</v>
      </c>
      <c r="P879">
        <f t="shared" si="124"/>
        <v>10.477787091366302</v>
      </c>
      <c r="Q879">
        <f t="shared" si="125"/>
        <v>7.6278290025146687</v>
      </c>
    </row>
    <row r="880" spans="1:17" x14ac:dyDescent="0.3">
      <c r="A880">
        <v>51042506</v>
      </c>
      <c r="B880" t="str">
        <f>VLOOKUP(A880,ASESORES!$A$2:$B$993,2,0)</f>
        <v>BELUZZO</v>
      </c>
      <c r="C880">
        <v>19748766.039999999</v>
      </c>
      <c r="D880">
        <v>17404351.199999999</v>
      </c>
      <c r="E880">
        <v>25392926.949999999</v>
      </c>
      <c r="F880">
        <v>19602979</v>
      </c>
      <c r="G880">
        <v>29746315</v>
      </c>
      <c r="H880">
        <v>34287425</v>
      </c>
      <c r="I880">
        <f t="shared" si="117"/>
        <v>-7.3820835035827148E-3</v>
      </c>
      <c r="J880">
        <f t="shared" si="118"/>
        <v>0.70913093272905225</v>
      </c>
      <c r="K880">
        <f t="shared" si="119"/>
        <v>0.35027462834488254</v>
      </c>
      <c r="L880">
        <f t="shared" si="120"/>
        <v>-5.3832530490236147E-2</v>
      </c>
      <c r="M880">
        <f t="shared" si="121"/>
        <v>5.2996426363807814</v>
      </c>
      <c r="N880">
        <f t="shared" si="122"/>
        <v>2.6393665663426367</v>
      </c>
      <c r="O880">
        <f t="shared" si="123"/>
        <v>10.980720871751885</v>
      </c>
      <c r="P880">
        <f t="shared" si="124"/>
        <v>87.175188600167644</v>
      </c>
      <c r="Q880">
        <f t="shared" si="125"/>
        <v>68.063704945515497</v>
      </c>
    </row>
    <row r="881" spans="1:17" x14ac:dyDescent="0.3">
      <c r="A881">
        <v>51023412</v>
      </c>
      <c r="B881" t="str">
        <f>VLOOKUP(A881,ASESORES!$A$2:$B$993,2,0)</f>
        <v>LÓPEZ</v>
      </c>
      <c r="C881">
        <v>23668812.27</v>
      </c>
      <c r="D881">
        <v>20629044.129999999</v>
      </c>
      <c r="E881">
        <v>23992197.800000001</v>
      </c>
      <c r="F881">
        <v>25596386</v>
      </c>
      <c r="G881">
        <v>28820424</v>
      </c>
      <c r="H881">
        <v>34183935</v>
      </c>
      <c r="I881">
        <f t="shared" si="117"/>
        <v>8.1439394085827566E-2</v>
      </c>
      <c r="J881">
        <f t="shared" si="118"/>
        <v>0.39707995282668485</v>
      </c>
      <c r="K881">
        <f t="shared" si="119"/>
        <v>0.42479381359551804</v>
      </c>
      <c r="L881">
        <f t="shared" si="120"/>
        <v>0.60331758060214025</v>
      </c>
      <c r="M881">
        <f t="shared" si="121"/>
        <v>2.9620974693426638</v>
      </c>
      <c r="N881">
        <f t="shared" si="122"/>
        <v>3.2003210012723011</v>
      </c>
      <c r="O881">
        <f t="shared" si="123"/>
        <v>28.834870075440065</v>
      </c>
      <c r="P881">
        <f t="shared" si="124"/>
        <v>62.699077954735962</v>
      </c>
      <c r="Q881">
        <f t="shared" si="125"/>
        <v>76.194467728415759</v>
      </c>
    </row>
    <row r="882" spans="1:17" x14ac:dyDescent="0.3">
      <c r="A882">
        <v>51033116</v>
      </c>
      <c r="B882" t="str">
        <f>VLOOKUP(A882,ASESORES!$A$2:$B$993,2,0)</f>
        <v>ARGUELLO</v>
      </c>
      <c r="C882">
        <v>18441080.920000002</v>
      </c>
      <c r="D882">
        <v>24820633.739999998</v>
      </c>
      <c r="E882">
        <v>28343850.760000002</v>
      </c>
      <c r="F882">
        <v>18358492</v>
      </c>
      <c r="G882">
        <v>29762197</v>
      </c>
      <c r="H882">
        <v>34148438</v>
      </c>
      <c r="I882">
        <f t="shared" si="117"/>
        <v>-4.4785292336324556E-3</v>
      </c>
      <c r="J882">
        <f t="shared" si="118"/>
        <v>0.19909093827996682</v>
      </c>
      <c r="K882">
        <f t="shared" si="119"/>
        <v>0.20479176556319123</v>
      </c>
      <c r="L882">
        <f t="shared" si="120"/>
        <v>-3.2531306373396823E-2</v>
      </c>
      <c r="M882">
        <f t="shared" si="121"/>
        <v>1.487938974654673</v>
      </c>
      <c r="N882">
        <f t="shared" si="122"/>
        <v>1.5427723156213393</v>
      </c>
      <c r="O882">
        <f t="shared" si="123"/>
        <v>11.399832355406538</v>
      </c>
      <c r="P882">
        <f t="shared" si="124"/>
        <v>41.994970662196145</v>
      </c>
      <c r="Q882">
        <f t="shared" si="125"/>
        <v>52.891869237217101</v>
      </c>
    </row>
    <row r="883" spans="1:17" x14ac:dyDescent="0.3">
      <c r="A883">
        <v>51003292</v>
      </c>
      <c r="B883" t="str">
        <f>VLOOKUP(A883,ASESORES!$A$2:$B$993,2,0)</f>
        <v>BELUZZO</v>
      </c>
      <c r="C883">
        <v>16187464.9</v>
      </c>
      <c r="D883">
        <v>20178191.600000001</v>
      </c>
      <c r="E883">
        <v>28937607.199999999</v>
      </c>
      <c r="F883">
        <v>23123970</v>
      </c>
      <c r="G883">
        <v>38133560</v>
      </c>
      <c r="H883">
        <v>33783790</v>
      </c>
      <c r="I883">
        <f t="shared" si="117"/>
        <v>0.42851089672478615</v>
      </c>
      <c r="J883">
        <f t="shared" si="118"/>
        <v>0.88984031651280371</v>
      </c>
      <c r="K883">
        <f t="shared" si="119"/>
        <v>0.16747005951480332</v>
      </c>
      <c r="L883">
        <f t="shared" si="120"/>
        <v>3.1555809813911417</v>
      </c>
      <c r="M883">
        <f t="shared" si="121"/>
        <v>6.7461529329729801</v>
      </c>
      <c r="N883">
        <f t="shared" si="122"/>
        <v>1.2608332386011147</v>
      </c>
      <c r="O883">
        <f t="shared" si="123"/>
        <v>66.722548197820615</v>
      </c>
      <c r="P883">
        <f t="shared" si="124"/>
        <v>92.958927074601846</v>
      </c>
      <c r="Q883">
        <f t="shared" si="125"/>
        <v>48.030176026823135</v>
      </c>
    </row>
    <row r="884" spans="1:17" x14ac:dyDescent="0.3">
      <c r="A884">
        <v>51014251</v>
      </c>
      <c r="B884" t="str">
        <f>VLOOKUP(A884,ASESORES!$A$2:$B$993,2,0)</f>
        <v>ROBERTS</v>
      </c>
      <c r="C884">
        <v>42306789.170000002</v>
      </c>
      <c r="D884">
        <v>56727191.090000004</v>
      </c>
      <c r="E884">
        <v>60437512.959999993</v>
      </c>
      <c r="F884">
        <v>53707749</v>
      </c>
      <c r="G884">
        <v>63852216</v>
      </c>
      <c r="H884">
        <v>33734697</v>
      </c>
      <c r="I884">
        <f t="shared" si="117"/>
        <v>0.26948298496933654</v>
      </c>
      <c r="J884">
        <f t="shared" si="118"/>
        <v>0.1256015814126219</v>
      </c>
      <c r="K884">
        <f t="shared" si="119"/>
        <v>-0.44182519518420627</v>
      </c>
      <c r="L884">
        <f t="shared" si="120"/>
        <v>2.0831134313709412</v>
      </c>
      <c r="M884">
        <f t="shared" si="121"/>
        <v>0.98034244555215933</v>
      </c>
      <c r="N884">
        <f t="shared" si="122"/>
        <v>-3.3260940075927214</v>
      </c>
      <c r="O884">
        <f t="shared" si="123"/>
        <v>48.113998323554064</v>
      </c>
      <c r="P884">
        <f t="shared" si="124"/>
        <v>35.03772003352892</v>
      </c>
      <c r="Q884">
        <f t="shared" si="125"/>
        <v>2.0955574182732608</v>
      </c>
    </row>
    <row r="885" spans="1:17" x14ac:dyDescent="0.3">
      <c r="A885">
        <v>51042999</v>
      </c>
      <c r="B885" t="str">
        <f>VLOOKUP(A885,ASESORES!$A$2:$B$993,2,0)</f>
        <v>PRADES</v>
      </c>
      <c r="C885">
        <v>25679175.100000001</v>
      </c>
      <c r="D885">
        <v>44275308.200000003</v>
      </c>
      <c r="E885">
        <v>37462670.600000001</v>
      </c>
      <c r="F885">
        <v>14311240</v>
      </c>
      <c r="G885">
        <v>34703907</v>
      </c>
      <c r="H885">
        <v>33619974</v>
      </c>
      <c r="I885">
        <f t="shared" si="117"/>
        <v>-0.4426908207031931</v>
      </c>
      <c r="J885">
        <f t="shared" si="118"/>
        <v>-0.21617921114776117</v>
      </c>
      <c r="K885">
        <f t="shared" si="119"/>
        <v>-0.10257401670664668</v>
      </c>
      <c r="L885">
        <f t="shared" si="120"/>
        <v>-3.1677526410922572</v>
      </c>
      <c r="M885">
        <f t="shared" si="121"/>
        <v>-1.630073047964576</v>
      </c>
      <c r="N885">
        <f t="shared" si="122"/>
        <v>-0.77203332470713137</v>
      </c>
      <c r="O885">
        <f t="shared" si="123"/>
        <v>3.5205364626990781</v>
      </c>
      <c r="P885">
        <f t="shared" si="124"/>
        <v>4.9455155071248953</v>
      </c>
      <c r="Q885">
        <f t="shared" si="125"/>
        <v>9.3880972338642081</v>
      </c>
    </row>
    <row r="886" spans="1:17" x14ac:dyDescent="0.3">
      <c r="A886">
        <v>51041712</v>
      </c>
      <c r="B886" t="str">
        <f>VLOOKUP(A886,ASESORES!$A$2:$B$993,2,0)</f>
        <v>PRADES</v>
      </c>
      <c r="C886">
        <v>17830752.91</v>
      </c>
      <c r="D886">
        <v>25092849.43</v>
      </c>
      <c r="E886">
        <v>30288427.940000001</v>
      </c>
      <c r="F886">
        <v>21656015</v>
      </c>
      <c r="G886">
        <v>32157207</v>
      </c>
      <c r="H886">
        <v>33524003</v>
      </c>
      <c r="I886">
        <f t="shared" si="117"/>
        <v>0.2145317199620147</v>
      </c>
      <c r="J886">
        <f t="shared" si="118"/>
        <v>0.28152871158403148</v>
      </c>
      <c r="K886">
        <f t="shared" si="119"/>
        <v>0.10682545381389641</v>
      </c>
      <c r="L886">
        <f t="shared" si="120"/>
        <v>1.5737142818697778</v>
      </c>
      <c r="M886">
        <f t="shared" si="121"/>
        <v>2.1135143932868208</v>
      </c>
      <c r="N886">
        <f t="shared" si="122"/>
        <v>0.80389955601437135</v>
      </c>
      <c r="O886">
        <f t="shared" si="123"/>
        <v>41.07292539815591</v>
      </c>
      <c r="P886">
        <f t="shared" si="124"/>
        <v>50.293378038558259</v>
      </c>
      <c r="Q886">
        <f t="shared" si="125"/>
        <v>41.324392288348697</v>
      </c>
    </row>
    <row r="887" spans="1:17" x14ac:dyDescent="0.3">
      <c r="A887">
        <v>51023293</v>
      </c>
      <c r="B887" t="str">
        <f>VLOOKUP(A887,ASESORES!$A$2:$B$993,2,0)</f>
        <v>NELLI</v>
      </c>
      <c r="C887">
        <v>24710433.969999999</v>
      </c>
      <c r="D887">
        <v>29641472.449999999</v>
      </c>
      <c r="E887">
        <v>35564698.520000003</v>
      </c>
      <c r="F887">
        <v>26363860</v>
      </c>
      <c r="G887">
        <v>36606250</v>
      </c>
      <c r="H887">
        <v>33410835</v>
      </c>
      <c r="I887">
        <f t="shared" si="117"/>
        <v>6.6912059578045469E-2</v>
      </c>
      <c r="J887">
        <f t="shared" si="118"/>
        <v>0.23496732700267731</v>
      </c>
      <c r="K887">
        <f t="shared" si="119"/>
        <v>-6.0561838273105795E-2</v>
      </c>
      <c r="L887">
        <f t="shared" si="120"/>
        <v>0.49655499611910281</v>
      </c>
      <c r="M887">
        <f t="shared" si="121"/>
        <v>1.7771883577022769</v>
      </c>
      <c r="N887">
        <f t="shared" si="122"/>
        <v>-0.455660447641202</v>
      </c>
      <c r="O887">
        <f t="shared" si="123"/>
        <v>27.326068734283322</v>
      </c>
      <c r="P887">
        <f t="shared" si="124"/>
        <v>45.01257334450964</v>
      </c>
      <c r="Q887">
        <f t="shared" si="125"/>
        <v>11.5674769488684</v>
      </c>
    </row>
    <row r="888" spans="1:17" x14ac:dyDescent="0.3">
      <c r="A888">
        <v>51033507</v>
      </c>
      <c r="B888" t="str">
        <f>VLOOKUP(A888,ASESORES!$A$2:$B$993,2,0)</f>
        <v>MONTENEGRO</v>
      </c>
      <c r="C888">
        <v>22299318.34</v>
      </c>
      <c r="D888">
        <v>33193786.050000001</v>
      </c>
      <c r="E888">
        <v>40401319.079999998</v>
      </c>
      <c r="F888">
        <v>28683861</v>
      </c>
      <c r="G888">
        <v>31503280</v>
      </c>
      <c r="H888">
        <v>33242235</v>
      </c>
      <c r="I888">
        <f t="shared" si="117"/>
        <v>0.2863111133109193</v>
      </c>
      <c r="J888">
        <f t="shared" si="118"/>
        <v>-5.0928389050094558E-2</v>
      </c>
      <c r="K888">
        <f t="shared" si="119"/>
        <v>-0.17719926584139634</v>
      </c>
      <c r="L888">
        <f t="shared" si="120"/>
        <v>2.1352045265805804</v>
      </c>
      <c r="M888">
        <f t="shared" si="121"/>
        <v>-0.38187918005406069</v>
      </c>
      <c r="N888">
        <f t="shared" si="122"/>
        <v>-1.3328379840444484</v>
      </c>
      <c r="O888">
        <f t="shared" si="123"/>
        <v>48.784576697401512</v>
      </c>
      <c r="P888">
        <f t="shared" si="124"/>
        <v>9.3042749371332771</v>
      </c>
      <c r="Q888">
        <f t="shared" si="125"/>
        <v>6.0352053646269912</v>
      </c>
    </row>
    <row r="889" spans="1:17" x14ac:dyDescent="0.3">
      <c r="A889">
        <v>51013875</v>
      </c>
      <c r="B889" t="str">
        <f>VLOOKUP(A889,ASESORES!$A$2:$B$993,2,0)</f>
        <v>ROBERTS</v>
      </c>
      <c r="C889">
        <v>21852051.210000001</v>
      </c>
      <c r="D889">
        <v>21750755.460000001</v>
      </c>
      <c r="E889">
        <v>22982049.640000001</v>
      </c>
      <c r="F889">
        <v>29591975</v>
      </c>
      <c r="G889">
        <v>32526418</v>
      </c>
      <c r="H889">
        <v>33156042</v>
      </c>
      <c r="I889">
        <f t="shared" si="117"/>
        <v>0.35419667085797557</v>
      </c>
      <c r="J889">
        <f t="shared" si="118"/>
        <v>0.49541555279845895</v>
      </c>
      <c r="K889">
        <f t="shared" si="119"/>
        <v>0.44269299385257099</v>
      </c>
      <c r="L889">
        <f t="shared" si="120"/>
        <v>2.6462649409885657</v>
      </c>
      <c r="M889">
        <f t="shared" si="121"/>
        <v>3.7216786690267365</v>
      </c>
      <c r="N889">
        <f t="shared" si="122"/>
        <v>3.3293004087527711</v>
      </c>
      <c r="O889">
        <f t="shared" si="123"/>
        <v>58.088851634534791</v>
      </c>
      <c r="P889">
        <f t="shared" si="124"/>
        <v>72.1709974853311</v>
      </c>
      <c r="Q889">
        <f t="shared" si="125"/>
        <v>77.284157585917853</v>
      </c>
    </row>
    <row r="890" spans="1:17" x14ac:dyDescent="0.3">
      <c r="A890">
        <v>51013395</v>
      </c>
      <c r="B890" t="str">
        <f>VLOOKUP(A890,ASESORES!$A$2:$B$993,2,0)</f>
        <v>CICHETTO</v>
      </c>
      <c r="C890">
        <v>26039578.390000001</v>
      </c>
      <c r="D890">
        <v>82356215.88000001</v>
      </c>
      <c r="E890">
        <v>48577210.659999996</v>
      </c>
      <c r="F890">
        <v>27582807</v>
      </c>
      <c r="G890">
        <v>28197238</v>
      </c>
      <c r="H890">
        <v>32878890</v>
      </c>
      <c r="I890">
        <f t="shared" si="117"/>
        <v>5.9264731052352415E-2</v>
      </c>
      <c r="J890">
        <f t="shared" si="118"/>
        <v>-0.65761858168561593</v>
      </c>
      <c r="K890">
        <f t="shared" si="119"/>
        <v>-0.3231622492669487</v>
      </c>
      <c r="L890">
        <f t="shared" si="120"/>
        <v>0.44096743722691012</v>
      </c>
      <c r="M890">
        <f t="shared" si="121"/>
        <v>-4.8993942778399315</v>
      </c>
      <c r="N890">
        <f t="shared" si="122"/>
        <v>-2.4291838528486598</v>
      </c>
      <c r="O890">
        <f t="shared" si="123"/>
        <v>26.73931265716681</v>
      </c>
      <c r="P890">
        <f t="shared" si="124"/>
        <v>1.0896898575020955</v>
      </c>
      <c r="Q890">
        <f t="shared" si="125"/>
        <v>3.7720033528918693</v>
      </c>
    </row>
    <row r="891" spans="1:17" x14ac:dyDescent="0.3">
      <c r="A891">
        <v>51056108</v>
      </c>
      <c r="B891" t="str">
        <f>VLOOKUP(A891,ASESORES!$A$2:$B$993,2,0)</f>
        <v>BELUZZO</v>
      </c>
      <c r="C891">
        <v>20979316.579999998</v>
      </c>
      <c r="D891">
        <v>25349383.18</v>
      </c>
      <c r="E891">
        <v>26843230.239999998</v>
      </c>
      <c r="F891">
        <v>21124870</v>
      </c>
      <c r="G891">
        <v>25201950</v>
      </c>
      <c r="H891">
        <v>32103120</v>
      </c>
      <c r="I891">
        <f t="shared" si="117"/>
        <v>6.9379485954639275E-3</v>
      </c>
      <c r="J891">
        <f t="shared" si="118"/>
        <v>-5.8160460533935865E-3</v>
      </c>
      <c r="K891">
        <f t="shared" si="119"/>
        <v>0.19594846495642915</v>
      </c>
      <c r="L891">
        <f t="shared" si="120"/>
        <v>5.0819044556792856E-2</v>
      </c>
      <c r="M891">
        <f t="shared" si="121"/>
        <v>-4.3047081851981035E-2</v>
      </c>
      <c r="N891">
        <f t="shared" si="122"/>
        <v>1.4708964092229344</v>
      </c>
      <c r="O891">
        <f t="shared" si="123"/>
        <v>23.302598491198658</v>
      </c>
      <c r="P891">
        <f t="shared" si="124"/>
        <v>10.645431684828164</v>
      </c>
      <c r="Q891">
        <f t="shared" si="125"/>
        <v>51.969823973176865</v>
      </c>
    </row>
    <row r="892" spans="1:17" x14ac:dyDescent="0.3">
      <c r="A892">
        <v>51055837</v>
      </c>
      <c r="B892" t="str">
        <f>VLOOKUP(A892,ASESORES!$A$2:$B$993,2,0)</f>
        <v>BELUZZO</v>
      </c>
      <c r="C892">
        <v>28029077.77</v>
      </c>
      <c r="D892">
        <v>29330382.649999999</v>
      </c>
      <c r="E892">
        <v>32776175.010000002</v>
      </c>
      <c r="F892">
        <v>21009303</v>
      </c>
      <c r="G892">
        <v>27743574</v>
      </c>
      <c r="H892">
        <v>31810541</v>
      </c>
      <c r="I892">
        <f t="shared" si="117"/>
        <v>-0.25044615551045291</v>
      </c>
      <c r="J892">
        <f t="shared" si="118"/>
        <v>-5.4101191550598449E-2</v>
      </c>
      <c r="K892">
        <f t="shared" si="119"/>
        <v>-2.9461461250600118E-2</v>
      </c>
      <c r="L892">
        <f t="shared" si="120"/>
        <v>-1.8338698454518008</v>
      </c>
      <c r="M892">
        <f t="shared" si="121"/>
        <v>-0.40268395513932959</v>
      </c>
      <c r="N892">
        <f t="shared" si="122"/>
        <v>-0.22103670642238027</v>
      </c>
      <c r="O892">
        <f t="shared" si="123"/>
        <v>5.3646269907795476</v>
      </c>
      <c r="P892">
        <f t="shared" si="124"/>
        <v>9.0528080469404859</v>
      </c>
      <c r="Q892">
        <f t="shared" si="125"/>
        <v>13.076278290025147</v>
      </c>
    </row>
    <row r="893" spans="1:17" x14ac:dyDescent="0.3">
      <c r="A893">
        <v>51056248</v>
      </c>
      <c r="B893" t="str">
        <f>VLOOKUP(A893,ASESORES!$A$2:$B$993,2,0)</f>
        <v>MONTENEGRO</v>
      </c>
      <c r="C893">
        <v>19883078.5</v>
      </c>
      <c r="D893">
        <v>27893620.699999999</v>
      </c>
      <c r="E893">
        <v>33294027.699999999</v>
      </c>
      <c r="F893">
        <v>19132180</v>
      </c>
      <c r="G893">
        <v>28091765</v>
      </c>
      <c r="H893">
        <v>31752716</v>
      </c>
      <c r="I893">
        <f t="shared" si="117"/>
        <v>-3.7765706150584277E-2</v>
      </c>
      <c r="J893">
        <f t="shared" si="118"/>
        <v>7.1035704590334259E-3</v>
      </c>
      <c r="K893">
        <f t="shared" si="119"/>
        <v>-4.6293939378202587E-2</v>
      </c>
      <c r="L893">
        <f t="shared" si="120"/>
        <v>-0.27500097678473956</v>
      </c>
      <c r="M893">
        <f t="shared" si="121"/>
        <v>5.2911505935803863E-2</v>
      </c>
      <c r="N893">
        <f t="shared" si="122"/>
        <v>-0.3472869892421569</v>
      </c>
      <c r="O893">
        <f t="shared" si="123"/>
        <v>9.4719195305951374</v>
      </c>
      <c r="P893">
        <f t="shared" si="124"/>
        <v>26.320201173512153</v>
      </c>
      <c r="Q893">
        <f t="shared" si="125"/>
        <v>11.986588432523051</v>
      </c>
    </row>
    <row r="894" spans="1:17" x14ac:dyDescent="0.3">
      <c r="A894">
        <v>51025245</v>
      </c>
      <c r="B894" t="str">
        <f>VLOOKUP(A894,ASESORES!$A$2:$B$993,2,0)</f>
        <v>PUGH</v>
      </c>
      <c r="C894">
        <v>12917156.4</v>
      </c>
      <c r="D894">
        <v>17293500.649999999</v>
      </c>
      <c r="E894">
        <v>22846590.66</v>
      </c>
      <c r="F894">
        <v>22895330</v>
      </c>
      <c r="G894">
        <v>29185189</v>
      </c>
      <c r="H894">
        <v>31448008</v>
      </c>
      <c r="I894">
        <f t="shared" si="117"/>
        <v>0.77247447433554339</v>
      </c>
      <c r="J894">
        <f t="shared" si="118"/>
        <v>0.68763916517966539</v>
      </c>
      <c r="K894">
        <f t="shared" si="119"/>
        <v>0.37648581654940028</v>
      </c>
      <c r="L894">
        <f t="shared" si="120"/>
        <v>5.68521662367354</v>
      </c>
      <c r="M894">
        <f t="shared" si="121"/>
        <v>5.1333381163739684</v>
      </c>
      <c r="N894">
        <f t="shared" si="122"/>
        <v>2.8227374759542792</v>
      </c>
      <c r="O894">
        <f t="shared" si="123"/>
        <v>89.354568315171832</v>
      </c>
      <c r="P894">
        <f t="shared" si="124"/>
        <v>86.504610226320196</v>
      </c>
      <c r="Q894">
        <f t="shared" si="125"/>
        <v>70.829840737636204</v>
      </c>
    </row>
    <row r="895" spans="1:17" x14ac:dyDescent="0.3">
      <c r="A895">
        <v>51016360</v>
      </c>
      <c r="B895" t="str">
        <f>VLOOKUP(A895,ASESORES!$A$2:$B$993,2,0)</f>
        <v>ARGUELLO</v>
      </c>
      <c r="C895">
        <v>27438064.149999999</v>
      </c>
      <c r="D895">
        <v>19841258.510000002</v>
      </c>
      <c r="E895">
        <v>24113721.760000002</v>
      </c>
      <c r="F895">
        <v>18639300</v>
      </c>
      <c r="G895">
        <v>27733670</v>
      </c>
      <c r="H895">
        <v>31373000</v>
      </c>
      <c r="I895">
        <f t="shared" si="117"/>
        <v>-0.32067729348172691</v>
      </c>
      <c r="J895">
        <f t="shared" si="118"/>
        <v>0.39777776626529104</v>
      </c>
      <c r="K895">
        <f t="shared" si="119"/>
        <v>0.30104346032729534</v>
      </c>
      <c r="L895">
        <f t="shared" si="120"/>
        <v>-2.3314616860545976</v>
      </c>
      <c r="M895">
        <f t="shared" si="121"/>
        <v>2.9606628354427205</v>
      </c>
      <c r="N895">
        <f t="shared" si="122"/>
        <v>2.256789173677884</v>
      </c>
      <c r="O895">
        <f t="shared" si="123"/>
        <v>4.526404023470243</v>
      </c>
      <c r="P895">
        <f t="shared" si="124"/>
        <v>62.615255658005033</v>
      </c>
      <c r="Q895">
        <f t="shared" si="125"/>
        <v>62.615255658005033</v>
      </c>
    </row>
    <row r="896" spans="1:17" x14ac:dyDescent="0.3">
      <c r="A896">
        <v>51040881</v>
      </c>
      <c r="B896" t="str">
        <f>VLOOKUP(A896,ASESORES!$A$2:$B$993,2,0)</f>
        <v>NELLI</v>
      </c>
      <c r="C896">
        <v>23728164.109999999</v>
      </c>
      <c r="D896">
        <v>29909478.219999999</v>
      </c>
      <c r="E896">
        <v>35282337.850000001</v>
      </c>
      <c r="F896">
        <v>27482200</v>
      </c>
      <c r="G896">
        <v>31844880</v>
      </c>
      <c r="H896">
        <v>31262725</v>
      </c>
      <c r="I896">
        <f t="shared" si="117"/>
        <v>0.15821012837726878</v>
      </c>
      <c r="J896">
        <f t="shared" si="118"/>
        <v>6.4708644054707332E-2</v>
      </c>
      <c r="K896">
        <f t="shared" si="119"/>
        <v>-0.11392705514835944</v>
      </c>
      <c r="L896">
        <f t="shared" si="120"/>
        <v>1.1769332921620872</v>
      </c>
      <c r="M896">
        <f t="shared" si="121"/>
        <v>0.4855115198845889</v>
      </c>
      <c r="N896">
        <f t="shared" si="122"/>
        <v>-0.85388633504510825</v>
      </c>
      <c r="O896">
        <f t="shared" si="123"/>
        <v>35.624476110645432</v>
      </c>
      <c r="P896">
        <f t="shared" si="124"/>
        <v>30.762782900251466</v>
      </c>
      <c r="Q896">
        <f t="shared" si="125"/>
        <v>8.4660519698239725</v>
      </c>
    </row>
    <row r="897" spans="1:17" x14ac:dyDescent="0.3">
      <c r="A897">
        <v>51031776</v>
      </c>
      <c r="B897" t="str">
        <f>VLOOKUP(A897,ASESORES!$A$2:$B$993,2,0)</f>
        <v>METTLER</v>
      </c>
      <c r="C897">
        <v>0</v>
      </c>
      <c r="D897">
        <v>0</v>
      </c>
      <c r="E897">
        <v>13766426.699999999</v>
      </c>
      <c r="F897">
        <v>8534860</v>
      </c>
      <c r="G897">
        <v>19672450</v>
      </c>
      <c r="H897">
        <v>30924021</v>
      </c>
      <c r="I897">
        <f t="shared" si="117"/>
        <v>0</v>
      </c>
      <c r="J897">
        <f t="shared" si="118"/>
        <v>0</v>
      </c>
      <c r="K897">
        <f t="shared" si="119"/>
        <v>1.2463360808073749</v>
      </c>
      <c r="L897">
        <f t="shared" si="120"/>
        <v>0</v>
      </c>
      <c r="M897">
        <f t="shared" si="121"/>
        <v>0</v>
      </c>
      <c r="N897">
        <f t="shared" si="122"/>
        <v>9.3354261102766607</v>
      </c>
      <c r="O897">
        <f t="shared" si="123"/>
        <v>11.5674769488684</v>
      </c>
      <c r="P897">
        <f t="shared" si="124"/>
        <v>11.064543168482817</v>
      </c>
      <c r="Q897">
        <f t="shared" si="125"/>
        <v>98.155909471919529</v>
      </c>
    </row>
    <row r="898" spans="1:17" x14ac:dyDescent="0.3">
      <c r="A898">
        <v>51013166</v>
      </c>
      <c r="B898" t="str">
        <f>VLOOKUP(A898,ASESORES!$A$2:$B$993,2,0)</f>
        <v>BELUZZO</v>
      </c>
      <c r="C898">
        <v>21920060.940000001</v>
      </c>
      <c r="D898">
        <v>26708293.469999999</v>
      </c>
      <c r="E898">
        <v>26967890.5</v>
      </c>
      <c r="F898">
        <v>25315177</v>
      </c>
      <c r="G898">
        <v>28123455</v>
      </c>
      <c r="H898">
        <v>30500114</v>
      </c>
      <c r="I898">
        <f t="shared" ref="I898:I961" si="126">IFERROR(F898/C898-1,0)</f>
        <v>0.15488625096860686</v>
      </c>
      <c r="J898">
        <f t="shared" ref="J898:J961" si="127">IFERROR(G898/D898-1,0)</f>
        <v>5.2985846197533215E-2</v>
      </c>
      <c r="K898">
        <f t="shared" ref="K898:K961" si="128">IFERROR(H898/E898-1,0)</f>
        <v>0.13097885798668596</v>
      </c>
      <c r="L898">
        <f t="shared" ref="L898:L961" si="129">IFERROR(I898*LOG(F898),0)</f>
        <v>1.1466819226656173</v>
      </c>
      <c r="M898">
        <f t="shared" ref="M898:M961" si="130">IFERROR(J898*LOG(G898),0)</f>
        <v>0.3946952070341283</v>
      </c>
      <c r="N898">
        <f t="shared" ref="N898:N961" si="131">IFERROR(K898*LOG(H898),0)</f>
        <v>0.98028525840052816</v>
      </c>
      <c r="O898">
        <f t="shared" ref="O898:O961" si="132">RANK(L898,$L$2:$L$1194,1)/COUNT($L$2:$L$1194)*100</f>
        <v>35.03772003352892</v>
      </c>
      <c r="P898">
        <f t="shared" ref="P898:P961" si="133">RANK(M898,$M$2:$M$1194,1)/COUNT($M$2:$M$1194)*100</f>
        <v>30.008382229673092</v>
      </c>
      <c r="Q898">
        <f t="shared" ref="Q898:Q961" si="134">RANK(N898,$N$2:$N$1194,1)/COUNT($N$2:$N$1194)*100</f>
        <v>43.336127409891027</v>
      </c>
    </row>
    <row r="899" spans="1:17" x14ac:dyDescent="0.3">
      <c r="A899">
        <v>51032918</v>
      </c>
      <c r="B899" t="str">
        <f>VLOOKUP(A899,ASESORES!$A$2:$B$993,2,0)</f>
        <v>LÓPEZ</v>
      </c>
      <c r="C899">
        <v>17128003.239999998</v>
      </c>
      <c r="D899">
        <v>24985577.309999999</v>
      </c>
      <c r="E899">
        <v>34258690.479999997</v>
      </c>
      <c r="F899">
        <v>28471521</v>
      </c>
      <c r="G899">
        <v>33585021</v>
      </c>
      <c r="H899">
        <v>30359572</v>
      </c>
      <c r="I899">
        <f t="shared" si="126"/>
        <v>0.66227905267491072</v>
      </c>
      <c r="J899">
        <f t="shared" si="127"/>
        <v>0.34417630552639822</v>
      </c>
      <c r="K899">
        <f t="shared" si="128"/>
        <v>-0.11381399654713242</v>
      </c>
      <c r="L899">
        <f t="shared" si="129"/>
        <v>4.9369000358244337</v>
      </c>
      <c r="M899">
        <f t="shared" si="130"/>
        <v>2.5903209957873505</v>
      </c>
      <c r="N899">
        <f t="shared" si="131"/>
        <v>-0.8515899706722464</v>
      </c>
      <c r="O899">
        <f t="shared" si="132"/>
        <v>85.163453478625314</v>
      </c>
      <c r="P899">
        <f t="shared" si="133"/>
        <v>56.747694886839895</v>
      </c>
      <c r="Q899">
        <f t="shared" si="134"/>
        <v>8.6336965632858345</v>
      </c>
    </row>
    <row r="900" spans="1:17" x14ac:dyDescent="0.3">
      <c r="A900">
        <v>51025717</v>
      </c>
      <c r="B900" t="str">
        <f>VLOOKUP(A900,ASESORES!$A$2:$B$993,2,0)</f>
        <v>PRADES</v>
      </c>
      <c r="C900">
        <v>21972258.199999999</v>
      </c>
      <c r="D900">
        <v>28064688.829999998</v>
      </c>
      <c r="E900">
        <v>30824778.079999998</v>
      </c>
      <c r="F900">
        <v>26379470</v>
      </c>
      <c r="G900">
        <v>28350190</v>
      </c>
      <c r="H900">
        <v>30290900</v>
      </c>
      <c r="I900">
        <f t="shared" si="126"/>
        <v>0.20058073958005829</v>
      </c>
      <c r="J900">
        <f t="shared" si="127"/>
        <v>1.0172967593883087E-2</v>
      </c>
      <c r="K900">
        <f t="shared" si="128"/>
        <v>-1.7319770433201986E-2</v>
      </c>
      <c r="L900">
        <f t="shared" si="129"/>
        <v>1.4885630360828694</v>
      </c>
      <c r="M900">
        <f t="shared" si="130"/>
        <v>7.5814610413420691E-2</v>
      </c>
      <c r="N900">
        <f t="shared" si="131"/>
        <v>-0.1295746094488465</v>
      </c>
      <c r="O900">
        <f t="shared" si="132"/>
        <v>39.899413243922879</v>
      </c>
      <c r="P900">
        <f t="shared" si="133"/>
        <v>26.655490360435873</v>
      </c>
      <c r="Q900">
        <f t="shared" si="134"/>
        <v>13.74685666387259</v>
      </c>
    </row>
    <row r="901" spans="1:17" x14ac:dyDescent="0.3">
      <c r="A901">
        <v>51033001</v>
      </c>
      <c r="B901" t="str">
        <f>VLOOKUP(A901,ASESORES!$A$2:$B$993,2,0)</f>
        <v>ROBERTS</v>
      </c>
      <c r="C901">
        <v>14576360.5</v>
      </c>
      <c r="D901">
        <v>18071807.75</v>
      </c>
      <c r="E901">
        <v>24487351.399999999</v>
      </c>
      <c r="F901">
        <v>20171557</v>
      </c>
      <c r="G901">
        <v>25382335</v>
      </c>
      <c r="H901">
        <v>30223930</v>
      </c>
      <c r="I901">
        <f t="shared" si="126"/>
        <v>0.38385415207040197</v>
      </c>
      <c r="J901">
        <f t="shared" si="127"/>
        <v>0.40452661687926605</v>
      </c>
      <c r="K901">
        <f t="shared" si="128"/>
        <v>0.23426701019204565</v>
      </c>
      <c r="L901">
        <f t="shared" si="129"/>
        <v>2.8039545568437316</v>
      </c>
      <c r="M901">
        <f t="shared" si="130"/>
        <v>2.9953301062745461</v>
      </c>
      <c r="N901">
        <f t="shared" si="131"/>
        <v>1.7523994486671974</v>
      </c>
      <c r="O901">
        <f t="shared" si="132"/>
        <v>60.687342833193625</v>
      </c>
      <c r="P901">
        <f t="shared" si="133"/>
        <v>63.202011735121545</v>
      </c>
      <c r="Q901">
        <f t="shared" si="134"/>
        <v>55.155071248952225</v>
      </c>
    </row>
    <row r="902" spans="1:17" x14ac:dyDescent="0.3">
      <c r="A902">
        <v>51012674</v>
      </c>
      <c r="B902" t="str">
        <f>VLOOKUP(A902,ASESORES!$A$2:$B$993,2,0)</f>
        <v>ARGUELLO</v>
      </c>
      <c r="C902">
        <v>10027928.25</v>
      </c>
      <c r="D902">
        <v>13121606.449999999</v>
      </c>
      <c r="E902">
        <v>16927776.059999999</v>
      </c>
      <c r="F902">
        <v>15245493</v>
      </c>
      <c r="G902">
        <v>13789858</v>
      </c>
      <c r="H902">
        <v>30152231</v>
      </c>
      <c r="I902">
        <f t="shared" si="126"/>
        <v>0.52030335877203759</v>
      </c>
      <c r="J902">
        <f t="shared" si="127"/>
        <v>5.0927571448387665E-2</v>
      </c>
      <c r="K902">
        <f t="shared" si="128"/>
        <v>0.78122813611937647</v>
      </c>
      <c r="L902">
        <f t="shared" si="129"/>
        <v>3.7374126348815211</v>
      </c>
      <c r="M902">
        <f t="shared" si="130"/>
        <v>0.36360044152329557</v>
      </c>
      <c r="N902">
        <f t="shared" si="131"/>
        <v>5.843054794644905</v>
      </c>
      <c r="O902">
        <f t="shared" si="132"/>
        <v>74.518021793797146</v>
      </c>
      <c r="P902">
        <f t="shared" si="133"/>
        <v>29.589270746018443</v>
      </c>
      <c r="Q902">
        <f t="shared" si="134"/>
        <v>93.880972338642081</v>
      </c>
    </row>
    <row r="903" spans="1:17" x14ac:dyDescent="0.3">
      <c r="A903">
        <v>51007743</v>
      </c>
      <c r="B903" t="str">
        <f>VLOOKUP(A903,ASESORES!$A$2:$B$993,2,0)</f>
        <v>PRADES</v>
      </c>
      <c r="C903">
        <v>10535930.800000001</v>
      </c>
      <c r="D903">
        <v>14705189.76</v>
      </c>
      <c r="E903">
        <v>18688018.879999999</v>
      </c>
      <c r="F903">
        <v>16432150</v>
      </c>
      <c r="G903">
        <v>25689550</v>
      </c>
      <c r="H903">
        <v>30123030</v>
      </c>
      <c r="I903">
        <f t="shared" si="126"/>
        <v>0.55962964373304347</v>
      </c>
      <c r="J903">
        <f t="shared" si="127"/>
        <v>0.7469716759370808</v>
      </c>
      <c r="K903">
        <f t="shared" si="128"/>
        <v>0.61188995973445848</v>
      </c>
      <c r="L903">
        <f t="shared" si="129"/>
        <v>4.0381164811568624</v>
      </c>
      <c r="M903">
        <f t="shared" si="130"/>
        <v>5.5348782287463649</v>
      </c>
      <c r="N903">
        <f t="shared" si="131"/>
        <v>4.5762629964487562</v>
      </c>
      <c r="O903">
        <f t="shared" si="132"/>
        <v>77.61944677284157</v>
      </c>
      <c r="P903">
        <f t="shared" si="133"/>
        <v>88.767812238055328</v>
      </c>
      <c r="Q903">
        <f t="shared" si="134"/>
        <v>89.019279128248115</v>
      </c>
    </row>
    <row r="904" spans="1:17" x14ac:dyDescent="0.3">
      <c r="A904">
        <v>51032705</v>
      </c>
      <c r="B904" t="str">
        <f>VLOOKUP(A904,ASESORES!$A$2:$B$993,2,0)</f>
        <v>METTLER</v>
      </c>
      <c r="C904">
        <v>34314659.840000004</v>
      </c>
      <c r="D904">
        <v>29603532.030000001</v>
      </c>
      <c r="E904">
        <v>40750495.100000001</v>
      </c>
      <c r="F904">
        <v>38295321</v>
      </c>
      <c r="G904">
        <v>31575130</v>
      </c>
      <c r="H904">
        <v>30054848</v>
      </c>
      <c r="I904">
        <f t="shared" si="126"/>
        <v>0.11600468075629333</v>
      </c>
      <c r="J904">
        <f t="shared" si="127"/>
        <v>6.6600092448495518E-2</v>
      </c>
      <c r="K904">
        <f t="shared" si="128"/>
        <v>-0.26246667859502892</v>
      </c>
      <c r="L904">
        <f t="shared" si="129"/>
        <v>0.8796803977076223</v>
      </c>
      <c r="M904">
        <f t="shared" si="130"/>
        <v>0.49945708011287759</v>
      </c>
      <c r="N904">
        <f t="shared" si="131"/>
        <v>-1.9627033910552749</v>
      </c>
      <c r="O904">
        <f t="shared" si="132"/>
        <v>31.43336127409891</v>
      </c>
      <c r="P904">
        <f t="shared" si="133"/>
        <v>31.014249790444261</v>
      </c>
      <c r="Q904">
        <f t="shared" si="134"/>
        <v>4.2749371332774517</v>
      </c>
    </row>
    <row r="905" spans="1:17" x14ac:dyDescent="0.3">
      <c r="A905">
        <v>51041887</v>
      </c>
      <c r="B905" t="str">
        <f>VLOOKUP(A905,ASESORES!$A$2:$B$993,2,0)</f>
        <v>BELUZZO</v>
      </c>
      <c r="C905">
        <v>15296932.75</v>
      </c>
      <c r="D905">
        <v>21012786.600000001</v>
      </c>
      <c r="E905">
        <v>25735236.199999999</v>
      </c>
      <c r="F905">
        <v>20257020</v>
      </c>
      <c r="G905">
        <v>31436975</v>
      </c>
      <c r="H905">
        <v>29768346</v>
      </c>
      <c r="I905">
        <f t="shared" si="126"/>
        <v>0.32425371354267085</v>
      </c>
      <c r="J905">
        <f t="shared" si="127"/>
        <v>0.49608786299671448</v>
      </c>
      <c r="K905">
        <f t="shared" si="128"/>
        <v>0.15671547634756111</v>
      </c>
      <c r="L905">
        <f t="shared" si="129"/>
        <v>2.3691842575987199</v>
      </c>
      <c r="M905">
        <f t="shared" si="130"/>
        <v>3.7193893594670948</v>
      </c>
      <c r="N905">
        <f t="shared" si="131"/>
        <v>1.171253028680763</v>
      </c>
      <c r="O905">
        <f t="shared" si="132"/>
        <v>53.7300922045264</v>
      </c>
      <c r="P905">
        <f t="shared" si="133"/>
        <v>72.08717518860017</v>
      </c>
      <c r="Q905">
        <f t="shared" si="134"/>
        <v>46.2699077954736</v>
      </c>
    </row>
    <row r="906" spans="1:17" x14ac:dyDescent="0.3">
      <c r="A906">
        <v>51030826</v>
      </c>
      <c r="B906" t="str">
        <f>VLOOKUP(A906,ASESORES!$A$2:$B$993,2,0)</f>
        <v>METTLER</v>
      </c>
      <c r="C906">
        <v>10122063.789999999</v>
      </c>
      <c r="D906">
        <v>16502887.380000001</v>
      </c>
      <c r="E906">
        <v>19603526.18</v>
      </c>
      <c r="F906">
        <v>14796934</v>
      </c>
      <c r="G906">
        <v>18645189</v>
      </c>
      <c r="H906">
        <v>28965528</v>
      </c>
      <c r="I906">
        <f t="shared" si="126"/>
        <v>0.46184951082984638</v>
      </c>
      <c r="J906">
        <f t="shared" si="127"/>
        <v>0.1298137453568442</v>
      </c>
      <c r="K906">
        <f t="shared" si="128"/>
        <v>0.47756723632462328</v>
      </c>
      <c r="L906">
        <f t="shared" si="129"/>
        <v>3.3115403091565705</v>
      </c>
      <c r="M906">
        <f t="shared" si="130"/>
        <v>0.94381950587913055</v>
      </c>
      <c r="N906">
        <f t="shared" si="131"/>
        <v>3.5635501016064484</v>
      </c>
      <c r="O906">
        <f t="shared" si="132"/>
        <v>68.818105616093888</v>
      </c>
      <c r="P906">
        <f t="shared" si="133"/>
        <v>34.031852472757748</v>
      </c>
      <c r="Q906">
        <f t="shared" si="134"/>
        <v>79.715004191114829</v>
      </c>
    </row>
    <row r="907" spans="1:17" x14ac:dyDescent="0.3">
      <c r="A907">
        <v>51011007</v>
      </c>
      <c r="B907" t="str">
        <f>VLOOKUP(A907,ASESORES!$A$2:$B$993,2,0)</f>
        <v>AYALA</v>
      </c>
      <c r="C907">
        <v>17658214.800000001</v>
      </c>
      <c r="D907">
        <v>23484938.100000001</v>
      </c>
      <c r="E907">
        <v>26592010.5</v>
      </c>
      <c r="F907">
        <v>20375256</v>
      </c>
      <c r="G907">
        <v>27862680</v>
      </c>
      <c r="H907">
        <v>28942270</v>
      </c>
      <c r="I907">
        <f t="shared" si="126"/>
        <v>0.15386839670791641</v>
      </c>
      <c r="J907">
        <f t="shared" si="127"/>
        <v>0.1864063631489834</v>
      </c>
      <c r="K907">
        <f t="shared" si="128"/>
        <v>8.8382166515766025E-2</v>
      </c>
      <c r="L907">
        <f t="shared" si="129"/>
        <v>1.1246399713746353</v>
      </c>
      <c r="M907">
        <f t="shared" si="130"/>
        <v>1.3877996399546089</v>
      </c>
      <c r="N907">
        <f t="shared" si="131"/>
        <v>0.65946641589422872</v>
      </c>
      <c r="O907">
        <f t="shared" si="132"/>
        <v>34.618608549874267</v>
      </c>
      <c r="P907">
        <f t="shared" si="133"/>
        <v>39.731768650461028</v>
      </c>
      <c r="Q907">
        <f t="shared" si="134"/>
        <v>39.396479463537297</v>
      </c>
    </row>
    <row r="908" spans="1:17" x14ac:dyDescent="0.3">
      <c r="A908">
        <v>51007514</v>
      </c>
      <c r="B908" t="str">
        <f>VLOOKUP(A908,ASESORES!$A$2:$B$993,2,0)</f>
        <v>AYALA</v>
      </c>
      <c r="C908">
        <v>22881386.469999999</v>
      </c>
      <c r="D908">
        <v>22028050.350000001</v>
      </c>
      <c r="E908">
        <v>38547760.700000003</v>
      </c>
      <c r="F908">
        <v>32142770</v>
      </c>
      <c r="G908">
        <v>33596519</v>
      </c>
      <c r="H908">
        <v>28747528</v>
      </c>
      <c r="I908">
        <f t="shared" si="126"/>
        <v>0.40475622148783197</v>
      </c>
      <c r="J908">
        <f t="shared" si="127"/>
        <v>0.52516988413366317</v>
      </c>
      <c r="K908">
        <f t="shared" si="128"/>
        <v>-0.25423610923266948</v>
      </c>
      <c r="L908">
        <f t="shared" si="129"/>
        <v>3.03853867117558</v>
      </c>
      <c r="M908">
        <f t="shared" si="130"/>
        <v>3.9525830958413977</v>
      </c>
      <c r="N908">
        <f t="shared" si="131"/>
        <v>-1.8962455728766898</v>
      </c>
      <c r="O908">
        <f t="shared" si="132"/>
        <v>64.962279966471087</v>
      </c>
      <c r="P908">
        <f t="shared" si="133"/>
        <v>74.685666387259005</v>
      </c>
      <c r="Q908">
        <f t="shared" si="134"/>
        <v>4.7778709136630342</v>
      </c>
    </row>
    <row r="909" spans="1:17" x14ac:dyDescent="0.3">
      <c r="A909">
        <v>51024281</v>
      </c>
      <c r="B909" t="str">
        <f>VLOOKUP(A909,ASESORES!$A$2:$B$993,2,0)</f>
        <v>AYALA</v>
      </c>
      <c r="C909">
        <v>10199500</v>
      </c>
      <c r="D909">
        <v>15761526.5</v>
      </c>
      <c r="E909">
        <v>31598455.539999999</v>
      </c>
      <c r="F909">
        <v>24303118</v>
      </c>
      <c r="G909">
        <v>28632175</v>
      </c>
      <c r="H909">
        <v>28719970</v>
      </c>
      <c r="I909">
        <f t="shared" si="126"/>
        <v>1.3827754301681456</v>
      </c>
      <c r="J909">
        <f t="shared" si="127"/>
        <v>0.81658642010340809</v>
      </c>
      <c r="K909">
        <f t="shared" si="128"/>
        <v>-9.1095766891396646E-2</v>
      </c>
      <c r="L909">
        <f t="shared" si="129"/>
        <v>10.212711942967481</v>
      </c>
      <c r="M909">
        <f t="shared" si="130"/>
        <v>6.0891659905699704</v>
      </c>
      <c r="N909">
        <f t="shared" si="131"/>
        <v>-0.67940898945011452</v>
      </c>
      <c r="O909">
        <f t="shared" si="132"/>
        <v>97.317686504610222</v>
      </c>
      <c r="P909">
        <f t="shared" si="133"/>
        <v>91.114836546521374</v>
      </c>
      <c r="Q909">
        <f t="shared" si="134"/>
        <v>10.142497904442582</v>
      </c>
    </row>
    <row r="910" spans="1:17" x14ac:dyDescent="0.3">
      <c r="A910">
        <v>51020961</v>
      </c>
      <c r="B910" t="str">
        <f>VLOOKUP(A910,ASESORES!$A$2:$B$993,2,0)</f>
        <v>ARGUELLO</v>
      </c>
      <c r="C910">
        <v>19106729.449999999</v>
      </c>
      <c r="D910">
        <v>20349484.800000001</v>
      </c>
      <c r="E910">
        <v>24393736.539999999</v>
      </c>
      <c r="F910">
        <v>21258560</v>
      </c>
      <c r="G910">
        <v>24410800</v>
      </c>
      <c r="H910">
        <v>28716990</v>
      </c>
      <c r="I910">
        <f t="shared" si="126"/>
        <v>0.11262160568249424</v>
      </c>
      <c r="J910">
        <f t="shared" si="127"/>
        <v>0.19957828121525711</v>
      </c>
      <c r="K910">
        <f t="shared" si="128"/>
        <v>0.17722801313816272</v>
      </c>
      <c r="L910">
        <f t="shared" si="129"/>
        <v>0.82523862711355234</v>
      </c>
      <c r="M910">
        <f t="shared" si="130"/>
        <v>1.4744009203942872</v>
      </c>
      <c r="N910">
        <f t="shared" si="131"/>
        <v>1.3217911419586965</v>
      </c>
      <c r="O910">
        <f t="shared" si="132"/>
        <v>30.427493713327745</v>
      </c>
      <c r="P910">
        <f t="shared" si="133"/>
        <v>41.743503772003351</v>
      </c>
      <c r="Q910">
        <f t="shared" si="134"/>
        <v>49.119865884325229</v>
      </c>
    </row>
    <row r="911" spans="1:17" x14ac:dyDescent="0.3">
      <c r="A911">
        <v>51022718</v>
      </c>
      <c r="B911" t="str">
        <f>VLOOKUP(A911,ASESORES!$A$2:$B$993,2,0)</f>
        <v>CICHETTO</v>
      </c>
      <c r="C911">
        <v>15849250.5</v>
      </c>
      <c r="D911">
        <v>18172132.75</v>
      </c>
      <c r="E911">
        <v>20348633.100000001</v>
      </c>
      <c r="F911">
        <v>1563310</v>
      </c>
      <c r="G911">
        <v>20108487</v>
      </c>
      <c r="H911">
        <v>28596632</v>
      </c>
      <c r="I911">
        <f t="shared" si="126"/>
        <v>-0.90136379004168055</v>
      </c>
      <c r="J911">
        <f t="shared" si="127"/>
        <v>0.10655624612911763</v>
      </c>
      <c r="K911">
        <f t="shared" si="128"/>
        <v>0.40533429736860294</v>
      </c>
      <c r="L911">
        <f t="shared" si="129"/>
        <v>-5.5830879723790696</v>
      </c>
      <c r="M911">
        <f t="shared" si="130"/>
        <v>0.77822069235604685</v>
      </c>
      <c r="N911">
        <f t="shared" si="131"/>
        <v>3.0223001555301647</v>
      </c>
      <c r="O911">
        <f t="shared" si="132"/>
        <v>0.50293378038558256</v>
      </c>
      <c r="P911">
        <f t="shared" si="133"/>
        <v>33.10980720871752</v>
      </c>
      <c r="Q911">
        <f t="shared" si="134"/>
        <v>74.350377200335288</v>
      </c>
    </row>
    <row r="912" spans="1:17" x14ac:dyDescent="0.3">
      <c r="A912">
        <v>51039815</v>
      </c>
      <c r="B912" t="str">
        <f>VLOOKUP(A912,ASESORES!$A$2:$B$993,2,0)</f>
        <v>AYALA</v>
      </c>
      <c r="C912">
        <v>39189398.710000001</v>
      </c>
      <c r="D912">
        <v>52448560.760000013</v>
      </c>
      <c r="E912">
        <v>66112221.390000001</v>
      </c>
      <c r="F912">
        <v>54450529</v>
      </c>
      <c r="G912">
        <v>70296200</v>
      </c>
      <c r="H912">
        <v>28075363</v>
      </c>
      <c r="I912">
        <f t="shared" si="126"/>
        <v>0.38941986333936285</v>
      </c>
      <c r="J912">
        <f t="shared" si="127"/>
        <v>0.34028844607708519</v>
      </c>
      <c r="K912">
        <f t="shared" si="128"/>
        <v>-0.57533777553197418</v>
      </c>
      <c r="L912">
        <f t="shared" si="129"/>
        <v>3.0125528818942819</v>
      </c>
      <c r="M912">
        <f t="shared" si="130"/>
        <v>2.6702202453716977</v>
      </c>
      <c r="N912">
        <f t="shared" si="131"/>
        <v>-4.2853029556676674</v>
      </c>
      <c r="O912">
        <f t="shared" si="132"/>
        <v>64.375523889354568</v>
      </c>
      <c r="P912">
        <f t="shared" si="133"/>
        <v>58.17267393126572</v>
      </c>
      <c r="Q912">
        <f t="shared" si="134"/>
        <v>1.0896898575020955</v>
      </c>
    </row>
    <row r="913" spans="1:17" x14ac:dyDescent="0.3">
      <c r="A913">
        <v>51023277</v>
      </c>
      <c r="B913" t="str">
        <f>VLOOKUP(A913,ASESORES!$A$2:$B$993,2,0)</f>
        <v>PUGH</v>
      </c>
      <c r="C913">
        <v>17956510.199999999</v>
      </c>
      <c r="D913">
        <v>27778731.5</v>
      </c>
      <c r="E913">
        <v>34809333.850000001</v>
      </c>
      <c r="F913">
        <v>22179020</v>
      </c>
      <c r="G913">
        <v>45088200</v>
      </c>
      <c r="H913">
        <v>27581040</v>
      </c>
      <c r="I913">
        <f t="shared" si="126"/>
        <v>0.23515202859406403</v>
      </c>
      <c r="J913">
        <f t="shared" si="127"/>
        <v>0.62311947181605465</v>
      </c>
      <c r="K913">
        <f t="shared" si="128"/>
        <v>-0.20765389769158138</v>
      </c>
      <c r="L913">
        <f t="shared" si="129"/>
        <v>1.7274132461357141</v>
      </c>
      <c r="M913">
        <f t="shared" si="130"/>
        <v>4.7693956301585461</v>
      </c>
      <c r="N913">
        <f t="shared" si="131"/>
        <v>-1.5450718002105996</v>
      </c>
      <c r="O913">
        <f t="shared" si="132"/>
        <v>43.75523889354568</v>
      </c>
      <c r="P913">
        <f t="shared" si="133"/>
        <v>82.648784576697395</v>
      </c>
      <c r="Q913">
        <f t="shared" si="134"/>
        <v>5.4484492875104777</v>
      </c>
    </row>
    <row r="914" spans="1:17" x14ac:dyDescent="0.3">
      <c r="A914">
        <v>51056353</v>
      </c>
      <c r="B914" t="str">
        <f>VLOOKUP(A914,ASESORES!$A$2:$B$993,2,0)</f>
        <v>BELUZZO</v>
      </c>
      <c r="C914">
        <v>4755371.3999999994</v>
      </c>
      <c r="D914">
        <v>5645831.7400000002</v>
      </c>
      <c r="E914">
        <v>13939862.6</v>
      </c>
      <c r="F914">
        <v>8634950</v>
      </c>
      <c r="G914">
        <v>12838802</v>
      </c>
      <c r="H914">
        <v>27311390</v>
      </c>
      <c r="I914">
        <f t="shared" si="126"/>
        <v>0.81583083079483565</v>
      </c>
      <c r="J914">
        <f t="shared" si="127"/>
        <v>1.2740319923172203</v>
      </c>
      <c r="K914">
        <f t="shared" si="128"/>
        <v>0.95922949771398747</v>
      </c>
      <c r="L914">
        <f t="shared" si="129"/>
        <v>5.6588146174029559</v>
      </c>
      <c r="M914">
        <f t="shared" si="130"/>
        <v>9.0564876327253003</v>
      </c>
      <c r="N914">
        <f t="shared" si="131"/>
        <v>7.133160331853178</v>
      </c>
      <c r="O914">
        <f t="shared" si="132"/>
        <v>89.186923721709974</v>
      </c>
      <c r="P914">
        <f t="shared" si="133"/>
        <v>96.814752724224633</v>
      </c>
      <c r="Q914">
        <f t="shared" si="134"/>
        <v>96.47946353730093</v>
      </c>
    </row>
    <row r="915" spans="1:17" x14ac:dyDescent="0.3">
      <c r="A915">
        <v>51001419</v>
      </c>
      <c r="B915" t="str">
        <f>VLOOKUP(A915,ASESORES!$A$2:$B$993,2,0)</f>
        <v>METTLER</v>
      </c>
      <c r="C915">
        <v>13194418.75</v>
      </c>
      <c r="D915">
        <v>16550649.9</v>
      </c>
      <c r="E915">
        <v>20173434.050000001</v>
      </c>
      <c r="F915">
        <v>19236245</v>
      </c>
      <c r="G915">
        <v>21358180</v>
      </c>
      <c r="H915">
        <v>27291545</v>
      </c>
      <c r="I915">
        <f t="shared" si="126"/>
        <v>0.45790772329398743</v>
      </c>
      <c r="J915">
        <f t="shared" si="127"/>
        <v>0.29047379583565469</v>
      </c>
      <c r="K915">
        <f t="shared" si="128"/>
        <v>0.35284577392018179</v>
      </c>
      <c r="L915">
        <f t="shared" si="129"/>
        <v>3.3354549426688931</v>
      </c>
      <c r="M915">
        <f t="shared" si="130"/>
        <v>2.1290463472785501</v>
      </c>
      <c r="N915">
        <f t="shared" si="131"/>
        <v>2.6237710976644015</v>
      </c>
      <c r="O915">
        <f t="shared" si="132"/>
        <v>69.153394803017605</v>
      </c>
      <c r="P915">
        <f t="shared" si="133"/>
        <v>50.461022632020111</v>
      </c>
      <c r="Q915">
        <f t="shared" si="134"/>
        <v>67.560771165129935</v>
      </c>
    </row>
    <row r="916" spans="1:17" x14ac:dyDescent="0.3">
      <c r="A916">
        <v>51018001</v>
      </c>
      <c r="B916" t="str">
        <f>VLOOKUP(A916,ASESORES!$A$2:$B$993,2,0)</f>
        <v>ARGUELLO</v>
      </c>
      <c r="C916">
        <v>21471727.350000001</v>
      </c>
      <c r="D916">
        <v>25485868.800000001</v>
      </c>
      <c r="E916">
        <v>30787176.699999999</v>
      </c>
      <c r="F916">
        <v>15391150</v>
      </c>
      <c r="G916">
        <v>25083690</v>
      </c>
      <c r="H916">
        <v>27044814</v>
      </c>
      <c r="I916">
        <f t="shared" si="126"/>
        <v>-0.28318994792004948</v>
      </c>
      <c r="J916">
        <f t="shared" si="127"/>
        <v>-1.5780462622486779E-2</v>
      </c>
      <c r="K916">
        <f t="shared" si="128"/>
        <v>-0.12155589115776244</v>
      </c>
      <c r="L916">
        <f t="shared" si="129"/>
        <v>-2.035362920219578</v>
      </c>
      <c r="M916">
        <f t="shared" si="130"/>
        <v>-0.11676581980903285</v>
      </c>
      <c r="N916">
        <f t="shared" si="131"/>
        <v>-0.90341359365042895</v>
      </c>
      <c r="O916">
        <f t="shared" si="132"/>
        <v>5.1969823973176865</v>
      </c>
      <c r="P916">
        <f t="shared" si="133"/>
        <v>10.058675607711651</v>
      </c>
      <c r="Q916">
        <f t="shared" si="134"/>
        <v>7.9631181894383909</v>
      </c>
    </row>
    <row r="917" spans="1:17" x14ac:dyDescent="0.3">
      <c r="A917">
        <v>51020707</v>
      </c>
      <c r="B917" t="str">
        <f>VLOOKUP(A917,ASESORES!$A$2:$B$993,2,0)</f>
        <v>ARGUELLO</v>
      </c>
      <c r="C917">
        <v>18089377.059999999</v>
      </c>
      <c r="D917">
        <v>34714438.759999998</v>
      </c>
      <c r="E917">
        <v>22763333.100000001</v>
      </c>
      <c r="F917">
        <v>17879924</v>
      </c>
      <c r="G917">
        <v>27247055</v>
      </c>
      <c r="H917">
        <v>26645401</v>
      </c>
      <c r="I917">
        <f t="shared" si="126"/>
        <v>-1.157878788779021E-2</v>
      </c>
      <c r="J917">
        <f t="shared" si="127"/>
        <v>-0.2151088718912072</v>
      </c>
      <c r="K917">
        <f t="shared" si="128"/>
        <v>0.17054039858512637</v>
      </c>
      <c r="L917">
        <f t="shared" si="129"/>
        <v>-8.3973603759807947E-2</v>
      </c>
      <c r="M917">
        <f t="shared" si="130"/>
        <v>-1.5994032045085735</v>
      </c>
      <c r="N917">
        <f t="shared" si="131"/>
        <v>1.2663685800553399</v>
      </c>
      <c r="O917">
        <f t="shared" si="132"/>
        <v>10.561609388097235</v>
      </c>
      <c r="P917">
        <f t="shared" si="133"/>
        <v>5.0293378038558254</v>
      </c>
      <c r="Q917">
        <f t="shared" si="134"/>
        <v>48.28164291701593</v>
      </c>
    </row>
    <row r="918" spans="1:17" x14ac:dyDescent="0.3">
      <c r="A918">
        <v>51018923</v>
      </c>
      <c r="B918" t="str">
        <f>VLOOKUP(A918,ASESORES!$A$2:$B$993,2,0)</f>
        <v>LÓPEZ</v>
      </c>
      <c r="C918">
        <v>7585156.9899999993</v>
      </c>
      <c r="D918">
        <v>11667832.02</v>
      </c>
      <c r="E918">
        <v>17823899.93</v>
      </c>
      <c r="F918">
        <v>12394145</v>
      </c>
      <c r="G918">
        <v>19371016</v>
      </c>
      <c r="H918">
        <v>26599749</v>
      </c>
      <c r="I918">
        <f t="shared" si="126"/>
        <v>0.6339997993897819</v>
      </c>
      <c r="J918">
        <f t="shared" si="127"/>
        <v>0.66020696619525054</v>
      </c>
      <c r="K918">
        <f t="shared" si="128"/>
        <v>0.49236413492364139</v>
      </c>
      <c r="L918">
        <f t="shared" si="129"/>
        <v>4.497097884111187</v>
      </c>
      <c r="M918">
        <f t="shared" si="130"/>
        <v>4.8110287781025196</v>
      </c>
      <c r="N918">
        <f t="shared" si="131"/>
        <v>3.6557434061919039</v>
      </c>
      <c r="O918">
        <f t="shared" si="132"/>
        <v>81.726739312657173</v>
      </c>
      <c r="P918">
        <f t="shared" si="133"/>
        <v>83.235540653813914</v>
      </c>
      <c r="Q918">
        <f t="shared" si="134"/>
        <v>80.804694048616938</v>
      </c>
    </row>
    <row r="919" spans="1:17" x14ac:dyDescent="0.3">
      <c r="A919">
        <v>51012721</v>
      </c>
      <c r="B919" t="str">
        <f>VLOOKUP(A919,ASESORES!$A$2:$B$993,2,0)</f>
        <v>LÓPEZ</v>
      </c>
      <c r="C919">
        <v>15406550.02</v>
      </c>
      <c r="D919">
        <v>20762270.809999999</v>
      </c>
      <c r="E919">
        <v>26628352.699999999</v>
      </c>
      <c r="F919">
        <v>22040786</v>
      </c>
      <c r="G919">
        <v>26751656</v>
      </c>
      <c r="H919">
        <v>26328183</v>
      </c>
      <c r="I919">
        <f t="shared" si="126"/>
        <v>0.4306113939452878</v>
      </c>
      <c r="J919">
        <f t="shared" si="127"/>
        <v>0.28847447588031927</v>
      </c>
      <c r="K919">
        <f t="shared" si="128"/>
        <v>-1.1272559868113818E-2</v>
      </c>
      <c r="L919">
        <f t="shared" si="129"/>
        <v>3.1620772480717267</v>
      </c>
      <c r="M919">
        <f t="shared" si="130"/>
        <v>2.1426010920522258</v>
      </c>
      <c r="N919">
        <f t="shared" si="131"/>
        <v>-8.364713870611995E-2</v>
      </c>
      <c r="O919">
        <f t="shared" si="132"/>
        <v>66.806370494551544</v>
      </c>
      <c r="P919">
        <f t="shared" si="133"/>
        <v>50.628667225481983</v>
      </c>
      <c r="Q919">
        <f t="shared" si="134"/>
        <v>14.165968147527241</v>
      </c>
    </row>
    <row r="920" spans="1:17" x14ac:dyDescent="0.3">
      <c r="A920">
        <v>51020634</v>
      </c>
      <c r="B920" t="str">
        <f>VLOOKUP(A920,ASESORES!$A$2:$B$993,2,0)</f>
        <v>BELUZZO</v>
      </c>
      <c r="C920">
        <v>23173233.940000001</v>
      </c>
      <c r="D920">
        <v>27095880.300000001</v>
      </c>
      <c r="E920">
        <v>33563379.229999997</v>
      </c>
      <c r="F920">
        <v>25022956</v>
      </c>
      <c r="G920">
        <v>26540894</v>
      </c>
      <c r="H920">
        <v>26100590</v>
      </c>
      <c r="I920">
        <f t="shared" si="126"/>
        <v>7.9821489947811575E-2</v>
      </c>
      <c r="J920">
        <f t="shared" si="127"/>
        <v>-2.0482312951463744E-2</v>
      </c>
      <c r="K920">
        <f t="shared" si="128"/>
        <v>-0.22234916153286266</v>
      </c>
      <c r="L920">
        <f t="shared" si="129"/>
        <v>0.59054641116887541</v>
      </c>
      <c r="M920">
        <f t="shared" si="130"/>
        <v>-0.15205896156899484</v>
      </c>
      <c r="N920">
        <f t="shared" si="131"/>
        <v>-1.6490859810599474</v>
      </c>
      <c r="O920">
        <f t="shared" si="132"/>
        <v>28.751047778709136</v>
      </c>
      <c r="P920">
        <f t="shared" si="133"/>
        <v>9.9748533109807198</v>
      </c>
      <c r="Q920">
        <f t="shared" si="134"/>
        <v>5.1969823973176865</v>
      </c>
    </row>
    <row r="921" spans="1:17" x14ac:dyDescent="0.3">
      <c r="A921">
        <v>51056507</v>
      </c>
      <c r="B921" t="str">
        <f>VLOOKUP(A921,ASESORES!$A$2:$B$993,2,0)</f>
        <v>PRADES</v>
      </c>
      <c r="C921">
        <v>15654761.01</v>
      </c>
      <c r="D921">
        <v>18074285.850000001</v>
      </c>
      <c r="E921">
        <v>20724033.629999999</v>
      </c>
      <c r="F921">
        <v>16135949</v>
      </c>
      <c r="G921">
        <v>20421460</v>
      </c>
      <c r="H921">
        <v>25477887</v>
      </c>
      <c r="I921">
        <f t="shared" si="126"/>
        <v>3.0737485528691488E-2</v>
      </c>
      <c r="J921">
        <f t="shared" si="127"/>
        <v>0.12986262193037068</v>
      </c>
      <c r="K921">
        <f t="shared" si="128"/>
        <v>0.22938842191021869</v>
      </c>
      <c r="L921">
        <f t="shared" si="129"/>
        <v>0.22154947952348339</v>
      </c>
      <c r="M921">
        <f t="shared" si="130"/>
        <v>0.94930703683581175</v>
      </c>
      <c r="N921">
        <f t="shared" si="131"/>
        <v>1.6988881363615449</v>
      </c>
      <c r="O921">
        <f t="shared" si="132"/>
        <v>24.727577535624476</v>
      </c>
      <c r="P921">
        <f t="shared" si="133"/>
        <v>34.450963956412409</v>
      </c>
      <c r="Q921">
        <f t="shared" si="134"/>
        <v>54.819782062028501</v>
      </c>
    </row>
    <row r="922" spans="1:17" x14ac:dyDescent="0.3">
      <c r="A922">
        <v>51002105</v>
      </c>
      <c r="B922" t="str">
        <f>VLOOKUP(A922,ASESORES!$A$2:$B$993,2,0)</f>
        <v>ARGUELLO</v>
      </c>
      <c r="C922">
        <v>13666328.6</v>
      </c>
      <c r="D922">
        <v>18977006.25</v>
      </c>
      <c r="E922">
        <v>23119783.949999999</v>
      </c>
      <c r="F922">
        <v>16498640</v>
      </c>
      <c r="G922">
        <v>24238830</v>
      </c>
      <c r="H922">
        <v>25399991</v>
      </c>
      <c r="I922">
        <f t="shared" si="126"/>
        <v>0.2072474241545752</v>
      </c>
      <c r="J922">
        <f t="shared" si="127"/>
        <v>0.27727364794433784</v>
      </c>
      <c r="K922">
        <f t="shared" si="128"/>
        <v>9.8625794035588354E-2</v>
      </c>
      <c r="L922">
        <f t="shared" si="129"/>
        <v>1.4957975372991983</v>
      </c>
      <c r="M922">
        <f t="shared" si="130"/>
        <v>2.0475304842467614</v>
      </c>
      <c r="N922">
        <f t="shared" si="131"/>
        <v>0.73030758982621646</v>
      </c>
      <c r="O922">
        <f t="shared" si="132"/>
        <v>39.983235540653816</v>
      </c>
      <c r="P922">
        <f t="shared" si="133"/>
        <v>49.287510477787087</v>
      </c>
      <c r="Q922">
        <f t="shared" si="134"/>
        <v>40.067057837384745</v>
      </c>
    </row>
    <row r="923" spans="1:17" x14ac:dyDescent="0.3">
      <c r="A923">
        <v>51055136</v>
      </c>
      <c r="B923" t="str">
        <f>VLOOKUP(A923,ASESORES!$A$2:$B$993,2,0)</f>
        <v>ROBERTS</v>
      </c>
      <c r="C923">
        <v>13922980.300000001</v>
      </c>
      <c r="D923">
        <v>11467697.41</v>
      </c>
      <c r="E923">
        <v>16463726.800000001</v>
      </c>
      <c r="F923">
        <v>13361948</v>
      </c>
      <c r="G923">
        <v>17037483</v>
      </c>
      <c r="H923">
        <v>25341002</v>
      </c>
      <c r="I923">
        <f t="shared" si="126"/>
        <v>-4.0295417210351236E-2</v>
      </c>
      <c r="J923">
        <f t="shared" si="127"/>
        <v>0.48569345622453075</v>
      </c>
      <c r="K923">
        <f t="shared" si="128"/>
        <v>0.53920204749753253</v>
      </c>
      <c r="L923">
        <f t="shared" si="129"/>
        <v>-0.28713989566292247</v>
      </c>
      <c r="M923">
        <f t="shared" si="130"/>
        <v>3.5122462993307599</v>
      </c>
      <c r="N923">
        <f t="shared" si="131"/>
        <v>3.9921569432006878</v>
      </c>
      <c r="O923">
        <f t="shared" si="132"/>
        <v>9.3880972338642081</v>
      </c>
      <c r="P923">
        <f t="shared" si="133"/>
        <v>70.243084660519699</v>
      </c>
      <c r="Q923">
        <f t="shared" si="134"/>
        <v>83.822296730930418</v>
      </c>
    </row>
    <row r="924" spans="1:17" x14ac:dyDescent="0.3">
      <c r="A924">
        <v>51008685</v>
      </c>
      <c r="B924" t="str">
        <f>VLOOKUP(A924,ASESORES!$A$2:$B$993,2,0)</f>
        <v>AYALA</v>
      </c>
      <c r="C924">
        <v>5977866.1500000004</v>
      </c>
      <c r="D924">
        <v>11613137.779999999</v>
      </c>
      <c r="E924">
        <v>17293798.199999999</v>
      </c>
      <c r="F924">
        <v>14682230</v>
      </c>
      <c r="G924">
        <v>22171230</v>
      </c>
      <c r="H924">
        <v>25012782</v>
      </c>
      <c r="I924">
        <f t="shared" si="126"/>
        <v>1.4560988204796121</v>
      </c>
      <c r="J924">
        <f t="shared" si="127"/>
        <v>0.90915068950469302</v>
      </c>
      <c r="K924">
        <f t="shared" si="128"/>
        <v>0.44634404257128435</v>
      </c>
      <c r="L924">
        <f t="shared" si="129"/>
        <v>10.435557411453631</v>
      </c>
      <c r="M924">
        <f t="shared" si="130"/>
        <v>6.6784298500517112</v>
      </c>
      <c r="N924">
        <f t="shared" si="131"/>
        <v>3.302125533789134</v>
      </c>
      <c r="O924">
        <f t="shared" si="132"/>
        <v>97.485331098072095</v>
      </c>
      <c r="P924">
        <f t="shared" si="133"/>
        <v>92.875104777870916</v>
      </c>
      <c r="Q924">
        <f t="shared" si="134"/>
        <v>77.032690695725066</v>
      </c>
    </row>
    <row r="925" spans="1:17" x14ac:dyDescent="0.3">
      <c r="A925">
        <v>51055306</v>
      </c>
      <c r="B925" t="str">
        <f>VLOOKUP(A925,ASESORES!$A$2:$B$993,2,0)</f>
        <v>ARGUELLO</v>
      </c>
      <c r="C925">
        <v>20246785.879999999</v>
      </c>
      <c r="D925">
        <v>17829963.5</v>
      </c>
      <c r="E925">
        <v>26737141</v>
      </c>
      <c r="F925">
        <v>24008770</v>
      </c>
      <c r="G925">
        <v>27100720</v>
      </c>
      <c r="H925">
        <v>24798200</v>
      </c>
      <c r="I925">
        <f t="shared" si="126"/>
        <v>0.18580648515259557</v>
      </c>
      <c r="J925">
        <f t="shared" si="127"/>
        <v>0.51995375649535114</v>
      </c>
      <c r="K925">
        <f t="shared" si="128"/>
        <v>-7.2518636154852878E-2</v>
      </c>
      <c r="L925">
        <f t="shared" si="129"/>
        <v>1.3713205923195555</v>
      </c>
      <c r="M925">
        <f t="shared" si="130"/>
        <v>3.8648063040860725</v>
      </c>
      <c r="N925">
        <f t="shared" si="131"/>
        <v>-0.53623326503648761</v>
      </c>
      <c r="O925">
        <f t="shared" si="132"/>
        <v>38.222967309304273</v>
      </c>
      <c r="P925">
        <f t="shared" si="133"/>
        <v>74.266554903604359</v>
      </c>
      <c r="Q925">
        <f t="shared" si="134"/>
        <v>11.316010058675607</v>
      </c>
    </row>
    <row r="926" spans="1:17" x14ac:dyDescent="0.3">
      <c r="A926">
        <v>51024036</v>
      </c>
      <c r="B926" t="str">
        <f>VLOOKUP(A926,ASESORES!$A$2:$B$993,2,0)</f>
        <v>LÓPEZ</v>
      </c>
      <c r="C926">
        <v>13143994.199999999</v>
      </c>
      <c r="D926">
        <v>17625355.149999999</v>
      </c>
      <c r="E926">
        <v>16785279.149999999</v>
      </c>
      <c r="F926">
        <v>14110130</v>
      </c>
      <c r="G926">
        <v>19436670</v>
      </c>
      <c r="H926">
        <v>24594986</v>
      </c>
      <c r="I926">
        <f t="shared" si="126"/>
        <v>7.35039733964582E-2</v>
      </c>
      <c r="J926">
        <f t="shared" si="127"/>
        <v>0.10276756607653392</v>
      </c>
      <c r="K926">
        <f t="shared" si="128"/>
        <v>0.46527119270459094</v>
      </c>
      <c r="L926">
        <f t="shared" si="129"/>
        <v>0.52551893752603829</v>
      </c>
      <c r="M926">
        <f t="shared" si="130"/>
        <v>0.74903392872585495</v>
      </c>
      <c r="N926">
        <f t="shared" si="131"/>
        <v>3.4387480032269528</v>
      </c>
      <c r="O926">
        <f t="shared" si="132"/>
        <v>27.661357921207042</v>
      </c>
      <c r="P926">
        <f t="shared" si="133"/>
        <v>32.858340318524725</v>
      </c>
      <c r="Q926">
        <f t="shared" si="134"/>
        <v>78.290025146689018</v>
      </c>
    </row>
    <row r="927" spans="1:17" x14ac:dyDescent="0.3">
      <c r="A927">
        <v>51011597</v>
      </c>
      <c r="B927" t="str">
        <f>VLOOKUP(A927,ASESORES!$A$2:$B$993,2,0)</f>
        <v>AYALA</v>
      </c>
      <c r="C927">
        <v>5731747.3499999996</v>
      </c>
      <c r="D927">
        <v>15891647.609999999</v>
      </c>
      <c r="E927">
        <v>19765069</v>
      </c>
      <c r="F927">
        <v>16200510</v>
      </c>
      <c r="G927">
        <v>26166350</v>
      </c>
      <c r="H927">
        <v>24478236</v>
      </c>
      <c r="I927">
        <f t="shared" si="126"/>
        <v>1.8264522161815107</v>
      </c>
      <c r="J927">
        <f t="shared" si="127"/>
        <v>0.64654733367826056</v>
      </c>
      <c r="K927">
        <f t="shared" si="128"/>
        <v>0.23845942556537492</v>
      </c>
      <c r="L927">
        <f t="shared" si="129"/>
        <v>13.167859647193723</v>
      </c>
      <c r="M927">
        <f t="shared" si="130"/>
        <v>4.7959220530862501</v>
      </c>
      <c r="N927">
        <f t="shared" si="131"/>
        <v>1.7619242624709262</v>
      </c>
      <c r="O927">
        <f t="shared" si="132"/>
        <v>98.575020955574175</v>
      </c>
      <c r="P927">
        <f t="shared" si="133"/>
        <v>83.151718357082984</v>
      </c>
      <c r="Q927">
        <f t="shared" si="134"/>
        <v>55.490360435875942</v>
      </c>
    </row>
    <row r="928" spans="1:17" x14ac:dyDescent="0.3">
      <c r="A928">
        <v>51043260</v>
      </c>
      <c r="B928" t="str">
        <f>VLOOKUP(A928,ASESORES!$A$2:$B$993,2,0)</f>
        <v>ARGUELLO</v>
      </c>
      <c r="C928">
        <v>11077325.02</v>
      </c>
      <c r="D928">
        <v>13378113.93</v>
      </c>
      <c r="E928">
        <v>18005768.920000002</v>
      </c>
      <c r="F928">
        <v>17754507</v>
      </c>
      <c r="G928">
        <v>22475902</v>
      </c>
      <c r="H928">
        <v>24400525</v>
      </c>
      <c r="I928">
        <f t="shared" si="126"/>
        <v>0.60277927820519972</v>
      </c>
      <c r="J928">
        <f t="shared" si="127"/>
        <v>0.6800501264680141</v>
      </c>
      <c r="K928">
        <f t="shared" si="128"/>
        <v>0.35515040254109831</v>
      </c>
      <c r="L928">
        <f t="shared" si="129"/>
        <v>4.3697330159378343</v>
      </c>
      <c r="M928">
        <f t="shared" si="130"/>
        <v>4.9995361638810483</v>
      </c>
      <c r="N928">
        <f t="shared" si="131"/>
        <v>2.6236377892020255</v>
      </c>
      <c r="O928">
        <f t="shared" si="132"/>
        <v>80.385582564962277</v>
      </c>
      <c r="P928">
        <f t="shared" si="133"/>
        <v>84.828164291701597</v>
      </c>
      <c r="Q928">
        <f t="shared" si="134"/>
        <v>67.476948868398992</v>
      </c>
    </row>
    <row r="929" spans="1:17" x14ac:dyDescent="0.3">
      <c r="A929">
        <v>51004035</v>
      </c>
      <c r="B929" t="str">
        <f>VLOOKUP(A929,ASESORES!$A$2:$B$993,2,0)</f>
        <v>PUGH</v>
      </c>
      <c r="C929">
        <v>14537990.6</v>
      </c>
      <c r="D929">
        <v>18932706.300000001</v>
      </c>
      <c r="E929">
        <v>22258146.5</v>
      </c>
      <c r="F929">
        <v>14926390</v>
      </c>
      <c r="G929">
        <v>22713490</v>
      </c>
      <c r="H929">
        <v>24324930</v>
      </c>
      <c r="I929">
        <f t="shared" si="126"/>
        <v>2.6716168051450051E-2</v>
      </c>
      <c r="J929">
        <f t="shared" si="127"/>
        <v>0.19969589344973881</v>
      </c>
      <c r="K929">
        <f t="shared" si="128"/>
        <v>9.2855148563246281E-2</v>
      </c>
      <c r="L929">
        <f t="shared" si="129"/>
        <v>0.19166058162353544</v>
      </c>
      <c r="M929">
        <f t="shared" si="130"/>
        <v>1.4690196799046851</v>
      </c>
      <c r="N929">
        <f t="shared" si="131"/>
        <v>0.68583291853676087</v>
      </c>
      <c r="O929">
        <f t="shared" si="132"/>
        <v>24.224643755238894</v>
      </c>
      <c r="P929">
        <f t="shared" si="133"/>
        <v>41.575859178541492</v>
      </c>
      <c r="Q929">
        <f t="shared" si="134"/>
        <v>39.647946353730092</v>
      </c>
    </row>
    <row r="930" spans="1:17" x14ac:dyDescent="0.3">
      <c r="A930">
        <v>51043537</v>
      </c>
      <c r="B930" t="str">
        <f>VLOOKUP(A930,ASESORES!$A$2:$B$993,2,0)</f>
        <v>AYALA</v>
      </c>
      <c r="C930">
        <v>13409352.939999999</v>
      </c>
      <c r="D930">
        <v>16583375.07</v>
      </c>
      <c r="E930">
        <v>23527745.899999999</v>
      </c>
      <c r="F930">
        <v>18613667</v>
      </c>
      <c r="G930">
        <v>22429100</v>
      </c>
      <c r="H930">
        <v>23562600</v>
      </c>
      <c r="I930">
        <f t="shared" si="126"/>
        <v>0.38811075249392313</v>
      </c>
      <c r="J930">
        <f t="shared" si="127"/>
        <v>0.35250513875038347</v>
      </c>
      <c r="K930">
        <f t="shared" si="128"/>
        <v>1.4814041323014671E-3</v>
      </c>
      <c r="L930">
        <f t="shared" si="129"/>
        <v>2.8214999447700166</v>
      </c>
      <c r="M930">
        <f t="shared" si="130"/>
        <v>2.5911989501392543</v>
      </c>
      <c r="N930">
        <f t="shared" si="131"/>
        <v>1.0921241928588009E-2</v>
      </c>
      <c r="O930">
        <f t="shared" si="132"/>
        <v>60.771165129924562</v>
      </c>
      <c r="P930">
        <f t="shared" si="133"/>
        <v>56.831517183570831</v>
      </c>
      <c r="Q930">
        <f t="shared" si="134"/>
        <v>31.936295054484493</v>
      </c>
    </row>
    <row r="931" spans="1:17" x14ac:dyDescent="0.3">
      <c r="A931">
        <v>51056752</v>
      </c>
      <c r="B931" t="str">
        <f>VLOOKUP(A931,ASESORES!$A$2:$B$993,2,0)</f>
        <v>BELUZZO</v>
      </c>
      <c r="C931">
        <v>3995870.72</v>
      </c>
      <c r="D931">
        <v>6905554.5</v>
      </c>
      <c r="E931">
        <v>14235111.449999999</v>
      </c>
      <c r="F931">
        <v>10452629</v>
      </c>
      <c r="G931">
        <v>19345040</v>
      </c>
      <c r="H931">
        <v>23548680</v>
      </c>
      <c r="I931">
        <f t="shared" si="126"/>
        <v>1.6158576521714894</v>
      </c>
      <c r="J931">
        <f t="shared" si="127"/>
        <v>1.8013738795342213</v>
      </c>
      <c r="K931">
        <f t="shared" si="128"/>
        <v>0.65426734330204361</v>
      </c>
      <c r="L931">
        <f t="shared" si="129"/>
        <v>11.342069294750875</v>
      </c>
      <c r="M931">
        <f t="shared" si="130"/>
        <v>13.125836206590703</v>
      </c>
      <c r="N931">
        <f t="shared" si="131"/>
        <v>4.8232369814628582</v>
      </c>
      <c r="O931">
        <f t="shared" si="132"/>
        <v>97.98826487845767</v>
      </c>
      <c r="P931">
        <f t="shared" si="133"/>
        <v>98.658843252305118</v>
      </c>
      <c r="Q931">
        <f t="shared" si="134"/>
        <v>90.276613579212068</v>
      </c>
    </row>
    <row r="932" spans="1:17" x14ac:dyDescent="0.3">
      <c r="A932">
        <v>51031857</v>
      </c>
      <c r="B932" t="str">
        <f>VLOOKUP(A932,ASESORES!$A$2:$B$993,2,0)</f>
        <v>CICHETTO</v>
      </c>
      <c r="C932">
        <v>13149352.84</v>
      </c>
      <c r="D932">
        <v>19061805.460000001</v>
      </c>
      <c r="E932">
        <v>25773742.23</v>
      </c>
      <c r="F932">
        <v>16965498</v>
      </c>
      <c r="G932">
        <v>22624110</v>
      </c>
      <c r="H932">
        <v>22994553</v>
      </c>
      <c r="I932">
        <f t="shared" si="126"/>
        <v>0.29021543542366457</v>
      </c>
      <c r="J932">
        <f t="shared" si="127"/>
        <v>0.18688180127927922</v>
      </c>
      <c r="K932">
        <f t="shared" si="128"/>
        <v>-0.10783025628172427</v>
      </c>
      <c r="L932">
        <f t="shared" si="129"/>
        <v>2.0981318223172769</v>
      </c>
      <c r="M932">
        <f t="shared" si="130"/>
        <v>1.3744355702472153</v>
      </c>
      <c r="N932">
        <f t="shared" si="131"/>
        <v>-0.79380590733475309</v>
      </c>
      <c r="O932">
        <f t="shared" si="132"/>
        <v>48.365465213746859</v>
      </c>
      <c r="P932">
        <f t="shared" si="133"/>
        <v>39.564124056999162</v>
      </c>
      <c r="Q932">
        <f t="shared" si="134"/>
        <v>8.9689857502095549</v>
      </c>
    </row>
    <row r="933" spans="1:17" x14ac:dyDescent="0.3">
      <c r="A933">
        <v>51014138</v>
      </c>
      <c r="B933" t="str">
        <f>VLOOKUP(A933,ASESORES!$A$2:$B$993,2,0)</f>
        <v>METTLER</v>
      </c>
      <c r="C933">
        <v>15809947.1</v>
      </c>
      <c r="D933">
        <v>19213048.789999999</v>
      </c>
      <c r="E933">
        <v>22798710</v>
      </c>
      <c r="F933">
        <v>19747080</v>
      </c>
      <c r="G933">
        <v>25439160</v>
      </c>
      <c r="H933">
        <v>22932720</v>
      </c>
      <c r="I933">
        <f t="shared" si="126"/>
        <v>0.24902884716167084</v>
      </c>
      <c r="J933">
        <f t="shared" si="127"/>
        <v>0.32405638886632948</v>
      </c>
      <c r="K933">
        <f t="shared" si="128"/>
        <v>5.8779641479715927E-3</v>
      </c>
      <c r="L933">
        <f t="shared" si="129"/>
        <v>1.8167906730658194</v>
      </c>
      <c r="M933">
        <f t="shared" si="130"/>
        <v>2.3998004843577276</v>
      </c>
      <c r="N933">
        <f t="shared" si="131"/>
        <v>4.326449394442853E-2</v>
      </c>
      <c r="O933">
        <f t="shared" si="132"/>
        <v>44.677284157585916</v>
      </c>
      <c r="P933">
        <f t="shared" si="133"/>
        <v>53.897736797988259</v>
      </c>
      <c r="Q933">
        <f t="shared" si="134"/>
        <v>32.606873428331937</v>
      </c>
    </row>
    <row r="934" spans="1:17" x14ac:dyDescent="0.3">
      <c r="A934">
        <v>51055578</v>
      </c>
      <c r="B934" t="str">
        <f>VLOOKUP(A934,ASESORES!$A$2:$B$993,2,0)</f>
        <v>ROBERTS</v>
      </c>
      <c r="C934">
        <v>12633620.9</v>
      </c>
      <c r="D934">
        <v>16531701.65</v>
      </c>
      <c r="E934">
        <v>20668498.600000001</v>
      </c>
      <c r="F934">
        <v>15631775</v>
      </c>
      <c r="G934">
        <v>23025105</v>
      </c>
      <c r="H934">
        <v>22258620</v>
      </c>
      <c r="I934">
        <f t="shared" si="126"/>
        <v>0.23731550311122596</v>
      </c>
      <c r="J934">
        <f t="shared" si="127"/>
        <v>0.39278493451398577</v>
      </c>
      <c r="K934">
        <f t="shared" si="128"/>
        <v>7.6934538438123257E-2</v>
      </c>
      <c r="L934">
        <f t="shared" si="129"/>
        <v>1.707249697982993</v>
      </c>
      <c r="M934">
        <f t="shared" si="130"/>
        <v>2.8917618809392267</v>
      </c>
      <c r="N934">
        <f t="shared" si="131"/>
        <v>0.5652763854036853</v>
      </c>
      <c r="O934">
        <f t="shared" si="132"/>
        <v>43.419949706621964</v>
      </c>
      <c r="P934">
        <f t="shared" si="133"/>
        <v>61.35792120704108</v>
      </c>
      <c r="Q934">
        <f t="shared" si="134"/>
        <v>38.139145012573344</v>
      </c>
    </row>
    <row r="935" spans="1:17" x14ac:dyDescent="0.3">
      <c r="A935">
        <v>51024028</v>
      </c>
      <c r="B935" t="str">
        <f>VLOOKUP(A935,ASESORES!$A$2:$B$993,2,0)</f>
        <v>ARGUELLO</v>
      </c>
      <c r="C935">
        <v>13386634.33</v>
      </c>
      <c r="D935">
        <v>21166368.170000002</v>
      </c>
      <c r="E935">
        <v>24784885</v>
      </c>
      <c r="F935">
        <v>38823793</v>
      </c>
      <c r="G935">
        <v>21693670</v>
      </c>
      <c r="H935">
        <v>22225845</v>
      </c>
      <c r="I935">
        <f t="shared" si="126"/>
        <v>1.9001907457047871</v>
      </c>
      <c r="J935">
        <f t="shared" si="127"/>
        <v>2.4912248797947623E-2</v>
      </c>
      <c r="K935">
        <f t="shared" si="128"/>
        <v>-0.10325002516654813</v>
      </c>
      <c r="L935">
        <f t="shared" si="129"/>
        <v>14.420733717064429</v>
      </c>
      <c r="M935">
        <f t="shared" si="130"/>
        <v>0.18276455369464814</v>
      </c>
      <c r="N935">
        <f t="shared" si="131"/>
        <v>-0.75856330244053072</v>
      </c>
      <c r="O935">
        <f t="shared" si="132"/>
        <v>98.826487845766977</v>
      </c>
      <c r="P935">
        <f t="shared" si="133"/>
        <v>27.912824811399833</v>
      </c>
      <c r="Q935">
        <f t="shared" si="134"/>
        <v>9.5557418273260684</v>
      </c>
    </row>
    <row r="936" spans="1:17" x14ac:dyDescent="0.3">
      <c r="A936">
        <v>51057031</v>
      </c>
      <c r="B936" t="str">
        <f>VLOOKUP(A936,ASESORES!$A$2:$B$993,2,0)</f>
        <v>PRADES</v>
      </c>
      <c r="C936">
        <v>9237136.9900000002</v>
      </c>
      <c r="D936">
        <v>15551076.789999999</v>
      </c>
      <c r="E936">
        <v>19568587.120000001</v>
      </c>
      <c r="F936">
        <v>15217910</v>
      </c>
      <c r="G936">
        <v>17347451</v>
      </c>
      <c r="H936">
        <v>21142715</v>
      </c>
      <c r="I936">
        <f t="shared" si="126"/>
        <v>0.64747042470786176</v>
      </c>
      <c r="J936">
        <f t="shared" si="127"/>
        <v>0.1155144582113532</v>
      </c>
      <c r="K936">
        <f t="shared" si="128"/>
        <v>8.0441570479616642E-2</v>
      </c>
      <c r="L936">
        <f t="shared" si="129"/>
        <v>4.6503624495807205</v>
      </c>
      <c r="M936">
        <f t="shared" si="130"/>
        <v>0.83623638622036867</v>
      </c>
      <c r="N936">
        <f t="shared" si="131"/>
        <v>0.58924743519779421</v>
      </c>
      <c r="O936">
        <f t="shared" si="132"/>
        <v>83.319362950544843</v>
      </c>
      <c r="P936">
        <f t="shared" si="133"/>
        <v>33.193629505448449</v>
      </c>
      <c r="Q936">
        <f t="shared" si="134"/>
        <v>38.390611902766139</v>
      </c>
    </row>
    <row r="937" spans="1:17" x14ac:dyDescent="0.3">
      <c r="A937">
        <v>51011929</v>
      </c>
      <c r="B937" t="str">
        <f>VLOOKUP(A937,ASESORES!$A$2:$B$993,2,0)</f>
        <v>ARGUELLO</v>
      </c>
      <c r="C937">
        <v>13843164.699999999</v>
      </c>
      <c r="D937">
        <v>20086839.140000001</v>
      </c>
      <c r="E937">
        <v>21268855.300000001</v>
      </c>
      <c r="F937">
        <v>29380950</v>
      </c>
      <c r="G937">
        <v>27152720</v>
      </c>
      <c r="H937">
        <v>21083867</v>
      </c>
      <c r="I937">
        <f t="shared" si="126"/>
        <v>1.122415692995403</v>
      </c>
      <c r="J937">
        <f t="shared" si="127"/>
        <v>0.35176668717027426</v>
      </c>
      <c r="K937">
        <f t="shared" si="128"/>
        <v>-8.6976142999102279E-3</v>
      </c>
      <c r="L937">
        <f t="shared" si="129"/>
        <v>8.3822742885225683</v>
      </c>
      <c r="M937">
        <f t="shared" si="130"/>
        <v>2.6149678920670683</v>
      </c>
      <c r="N937">
        <f t="shared" si="131"/>
        <v>-6.3700894582447667E-2</v>
      </c>
      <c r="O937">
        <f t="shared" si="132"/>
        <v>95.55741827326068</v>
      </c>
      <c r="P937">
        <f t="shared" si="133"/>
        <v>57.250628667225477</v>
      </c>
      <c r="Q937">
        <f t="shared" si="134"/>
        <v>14.333612740989102</v>
      </c>
    </row>
    <row r="938" spans="1:17" x14ac:dyDescent="0.3">
      <c r="A938">
        <v>51017773</v>
      </c>
      <c r="B938" t="str">
        <f>VLOOKUP(A938,ASESORES!$A$2:$B$993,2,0)</f>
        <v>AYALA</v>
      </c>
      <c r="C938">
        <v>12627857.33</v>
      </c>
      <c r="D938">
        <v>17701480.260000002</v>
      </c>
      <c r="E938">
        <v>17734065.109999999</v>
      </c>
      <c r="F938">
        <v>14700927</v>
      </c>
      <c r="G938">
        <v>18040955</v>
      </c>
      <c r="H938">
        <v>20514291</v>
      </c>
      <c r="I938">
        <f t="shared" si="126"/>
        <v>0.16416638356176305</v>
      </c>
      <c r="J938">
        <f t="shared" si="127"/>
        <v>1.917775999598792E-2</v>
      </c>
      <c r="K938">
        <f t="shared" si="128"/>
        <v>0.15677318611130331</v>
      </c>
      <c r="L938">
        <f t="shared" si="129"/>
        <v>1.1766370625914135</v>
      </c>
      <c r="M938">
        <f t="shared" si="130"/>
        <v>0.13915880360533867</v>
      </c>
      <c r="N938">
        <f t="shared" si="131"/>
        <v>1.1463343963795971</v>
      </c>
      <c r="O938">
        <f t="shared" si="132"/>
        <v>35.540653813914503</v>
      </c>
      <c r="P938">
        <f t="shared" si="133"/>
        <v>27.326068734283322</v>
      </c>
      <c r="Q938">
        <f t="shared" si="134"/>
        <v>45.683151718357081</v>
      </c>
    </row>
    <row r="939" spans="1:17" x14ac:dyDescent="0.3">
      <c r="A939">
        <v>51003063</v>
      </c>
      <c r="B939" t="str">
        <f>VLOOKUP(A939,ASESORES!$A$2:$B$993,2,0)</f>
        <v>AYALA</v>
      </c>
      <c r="C939">
        <v>11947327.4</v>
      </c>
      <c r="D939">
        <v>17212588.350000001</v>
      </c>
      <c r="E939">
        <v>18835033.399999999</v>
      </c>
      <c r="F939">
        <v>13884570</v>
      </c>
      <c r="G939">
        <v>20272590</v>
      </c>
      <c r="H939">
        <v>19889430</v>
      </c>
      <c r="I939">
        <f t="shared" si="126"/>
        <v>0.16214861576489481</v>
      </c>
      <c r="J939">
        <f t="shared" si="127"/>
        <v>0.17777696112740649</v>
      </c>
      <c r="K939">
        <f t="shared" si="128"/>
        <v>5.5980606862104265E-2</v>
      </c>
      <c r="L939">
        <f t="shared" si="129"/>
        <v>1.1581517472865259</v>
      </c>
      <c r="M939">
        <f t="shared" si="130"/>
        <v>1.2990001194128022</v>
      </c>
      <c r="N939">
        <f t="shared" si="131"/>
        <v>0.40858130768823586</v>
      </c>
      <c r="O939">
        <f t="shared" si="132"/>
        <v>35.289186923721708</v>
      </c>
      <c r="P939">
        <f t="shared" si="133"/>
        <v>38.725901089689856</v>
      </c>
      <c r="Q939">
        <f t="shared" si="134"/>
        <v>36.211232187761944</v>
      </c>
    </row>
    <row r="940" spans="1:17" x14ac:dyDescent="0.3">
      <c r="A940">
        <v>51022572</v>
      </c>
      <c r="B940" t="str">
        <f>VLOOKUP(A940,ASESORES!$A$2:$B$993,2,0)</f>
        <v>ARGUELLO</v>
      </c>
      <c r="C940">
        <v>14396090.449999999</v>
      </c>
      <c r="D940">
        <v>19465246.260000002</v>
      </c>
      <c r="E940">
        <v>20597096.109999999</v>
      </c>
      <c r="F940">
        <v>18652520</v>
      </c>
      <c r="G940">
        <v>16871335</v>
      </c>
      <c r="H940">
        <v>19758955</v>
      </c>
      <c r="I940">
        <f t="shared" si="126"/>
        <v>0.29566565761609254</v>
      </c>
      <c r="J940">
        <f t="shared" si="127"/>
        <v>-0.13325858945490687</v>
      </c>
      <c r="K940">
        <f t="shared" si="128"/>
        <v>-4.0692197847883915E-2</v>
      </c>
      <c r="L940">
        <f t="shared" si="129"/>
        <v>2.1497073885284657</v>
      </c>
      <c r="M940">
        <f t="shared" si="130"/>
        <v>-0.96307974134440533</v>
      </c>
      <c r="N940">
        <f t="shared" si="131"/>
        <v>-0.296880671006095</v>
      </c>
      <c r="O940">
        <f t="shared" si="132"/>
        <v>49.119865884325229</v>
      </c>
      <c r="P940">
        <f t="shared" si="133"/>
        <v>6.7057837384744339</v>
      </c>
      <c r="Q940">
        <f t="shared" si="134"/>
        <v>12.321877619446772</v>
      </c>
    </row>
    <row r="941" spans="1:17" x14ac:dyDescent="0.3">
      <c r="A941">
        <v>51022343</v>
      </c>
      <c r="B941" t="str">
        <f>VLOOKUP(A941,ASESORES!$A$2:$B$993,2,0)</f>
        <v>METTLER</v>
      </c>
      <c r="C941">
        <v>32316337.91</v>
      </c>
      <c r="D941">
        <v>25099200.079999998</v>
      </c>
      <c r="E941">
        <v>26432249.449999999</v>
      </c>
      <c r="F941">
        <v>27126650</v>
      </c>
      <c r="G941">
        <v>17575760</v>
      </c>
      <c r="H941">
        <v>19734972</v>
      </c>
      <c r="I941">
        <f t="shared" si="126"/>
        <v>-0.16059022295326653</v>
      </c>
      <c r="J941">
        <f t="shared" si="127"/>
        <v>-0.29974820137773883</v>
      </c>
      <c r="K941">
        <f t="shared" si="128"/>
        <v>-0.2533752362873527</v>
      </c>
      <c r="L941">
        <f t="shared" si="129"/>
        <v>-1.1937307472713057</v>
      </c>
      <c r="M941">
        <f t="shared" si="130"/>
        <v>-2.1716499746841178</v>
      </c>
      <c r="N941">
        <f t="shared" si="131"/>
        <v>-1.8484322756473655</v>
      </c>
      <c r="O941">
        <f t="shared" si="132"/>
        <v>6.5381391450125736</v>
      </c>
      <c r="P941">
        <f t="shared" si="133"/>
        <v>4.4425817267393128</v>
      </c>
      <c r="Q941">
        <f t="shared" si="134"/>
        <v>4.8616932103939652</v>
      </c>
    </row>
    <row r="942" spans="1:17" x14ac:dyDescent="0.3">
      <c r="A942">
        <v>51015835</v>
      </c>
      <c r="B942" t="str">
        <f>VLOOKUP(A942,ASESORES!$A$2:$B$993,2,0)</f>
        <v>PUGH</v>
      </c>
      <c r="C942">
        <v>6799195.7300000004</v>
      </c>
      <c r="D942">
        <v>9187711.9000000004</v>
      </c>
      <c r="E942">
        <v>10615144.6</v>
      </c>
      <c r="F942">
        <v>6109740</v>
      </c>
      <c r="G942">
        <v>12901940</v>
      </c>
      <c r="H942">
        <v>19566350</v>
      </c>
      <c r="I942">
        <f t="shared" si="126"/>
        <v>-0.10140254191505682</v>
      </c>
      <c r="J942">
        <f t="shared" si="127"/>
        <v>0.40426040133017227</v>
      </c>
      <c r="K942">
        <f t="shared" si="128"/>
        <v>0.84324856017505412</v>
      </c>
      <c r="L942">
        <f t="shared" si="129"/>
        <v>-0.68811995423758643</v>
      </c>
      <c r="M942">
        <f t="shared" si="130"/>
        <v>2.8745562512534741</v>
      </c>
      <c r="N942">
        <f t="shared" si="131"/>
        <v>6.1485551554085838</v>
      </c>
      <c r="O942">
        <f t="shared" si="132"/>
        <v>7.8792958927074608</v>
      </c>
      <c r="P942">
        <f t="shared" si="133"/>
        <v>61.106454316848279</v>
      </c>
      <c r="Q942">
        <f t="shared" si="134"/>
        <v>95.138306789606034</v>
      </c>
    </row>
    <row r="943" spans="1:17" x14ac:dyDescent="0.3">
      <c r="A943">
        <v>51056329</v>
      </c>
      <c r="B943" t="str">
        <f>VLOOKUP(A943,ASESORES!$A$2:$B$993,2,0)</f>
        <v>AYALA</v>
      </c>
      <c r="C943">
        <v>14337883.550000001</v>
      </c>
      <c r="D943">
        <v>45288658.899999999</v>
      </c>
      <c r="E943">
        <v>33676575.899999999</v>
      </c>
      <c r="F943">
        <v>20099430</v>
      </c>
      <c r="G943">
        <v>24620180</v>
      </c>
      <c r="H943">
        <v>19292358</v>
      </c>
      <c r="I943">
        <f t="shared" si="126"/>
        <v>0.40184078981447713</v>
      </c>
      <c r="J943">
        <f t="shared" si="127"/>
        <v>-0.45637206757738635</v>
      </c>
      <c r="K943">
        <f t="shared" si="128"/>
        <v>-0.42712827879867676</v>
      </c>
      <c r="L943">
        <f t="shared" si="129"/>
        <v>2.9347171228173603</v>
      </c>
      <c r="M943">
        <f t="shared" si="130"/>
        <v>-3.3731788578570185</v>
      </c>
      <c r="N943">
        <f t="shared" si="131"/>
        <v>-3.1117940888452695</v>
      </c>
      <c r="O943">
        <f t="shared" si="132"/>
        <v>62.782900251466891</v>
      </c>
      <c r="P943">
        <f t="shared" si="133"/>
        <v>2.933780385582565</v>
      </c>
      <c r="Q943">
        <f t="shared" si="134"/>
        <v>2.4308466051969826</v>
      </c>
    </row>
    <row r="944" spans="1:17" x14ac:dyDescent="0.3">
      <c r="A944">
        <v>51030915</v>
      </c>
      <c r="B944" t="str">
        <f>VLOOKUP(A944,ASESORES!$A$2:$B$993,2,0)</f>
        <v>BELUZZO</v>
      </c>
      <c r="C944">
        <v>23166339.5</v>
      </c>
      <c r="D944">
        <v>32356640.300000001</v>
      </c>
      <c r="E944">
        <v>33816944.710000001</v>
      </c>
      <c r="F944">
        <v>22868320</v>
      </c>
      <c r="G944">
        <v>25784304</v>
      </c>
      <c r="H944">
        <v>19150999</v>
      </c>
      <c r="I944">
        <f t="shared" si="126"/>
        <v>-1.2864332753130925E-2</v>
      </c>
      <c r="J944">
        <f t="shared" si="127"/>
        <v>-0.20312171594651007</v>
      </c>
      <c r="K944">
        <f t="shared" si="128"/>
        <v>-0.43368630240753647</v>
      </c>
      <c r="L944">
        <f t="shared" si="129"/>
        <v>-9.4671638338346464E-2</v>
      </c>
      <c r="M944">
        <f t="shared" si="130"/>
        <v>-1.5054072289613345</v>
      </c>
      <c r="N944">
        <f t="shared" si="131"/>
        <v>-3.1581866762610304</v>
      </c>
      <c r="O944">
        <f t="shared" si="132"/>
        <v>10.310142497904442</v>
      </c>
      <c r="P944">
        <f t="shared" si="133"/>
        <v>5.2808046940486175</v>
      </c>
      <c r="Q944">
        <f t="shared" si="134"/>
        <v>2.347024308466052</v>
      </c>
    </row>
    <row r="945" spans="1:17" x14ac:dyDescent="0.3">
      <c r="A945">
        <v>51017871</v>
      </c>
      <c r="B945" t="str">
        <f>VLOOKUP(A945,ASESORES!$A$2:$B$993,2,0)</f>
        <v>METTLER</v>
      </c>
      <c r="C945">
        <v>42386582.450000003</v>
      </c>
      <c r="D945">
        <v>50033151.049999997</v>
      </c>
      <c r="E945">
        <v>54934977.25</v>
      </c>
      <c r="F945">
        <v>40882430</v>
      </c>
      <c r="G945">
        <v>37410220</v>
      </c>
      <c r="H945">
        <v>19136450</v>
      </c>
      <c r="I945">
        <f t="shared" si="126"/>
        <v>-3.5486523400992009E-2</v>
      </c>
      <c r="J945">
        <f t="shared" si="127"/>
        <v>-0.25229134653912622</v>
      </c>
      <c r="K945">
        <f t="shared" si="128"/>
        <v>-0.6516527182142412</v>
      </c>
      <c r="L945">
        <f t="shared" si="129"/>
        <v>-0.27010697528626526</v>
      </c>
      <c r="M945">
        <f t="shared" si="130"/>
        <v>-1.9105999105733937</v>
      </c>
      <c r="N945">
        <f t="shared" si="131"/>
        <v>-4.7452447586831825</v>
      </c>
      <c r="O945">
        <f t="shared" si="132"/>
        <v>9.6395641240569994</v>
      </c>
      <c r="P945">
        <f t="shared" si="133"/>
        <v>4.6940486169321041</v>
      </c>
      <c r="Q945">
        <f t="shared" si="134"/>
        <v>0.92204526404023457</v>
      </c>
    </row>
    <row r="946" spans="1:17" x14ac:dyDescent="0.3">
      <c r="A946">
        <v>51017218</v>
      </c>
      <c r="B946" t="str">
        <f>VLOOKUP(A946,ASESORES!$A$2:$B$993,2,0)</f>
        <v>BELUZZO</v>
      </c>
      <c r="C946">
        <v>7344468</v>
      </c>
      <c r="D946">
        <v>9905512.5899999999</v>
      </c>
      <c r="E946">
        <v>11909227.359999999</v>
      </c>
      <c r="F946">
        <v>10901945</v>
      </c>
      <c r="G946">
        <v>13655250</v>
      </c>
      <c r="H946">
        <v>18584630</v>
      </c>
      <c r="I946">
        <f t="shared" si="126"/>
        <v>0.48437504254903141</v>
      </c>
      <c r="J946">
        <f t="shared" si="127"/>
        <v>0.37855056726549474</v>
      </c>
      <c r="K946">
        <f t="shared" si="128"/>
        <v>0.56052357035528133</v>
      </c>
      <c r="L946">
        <f t="shared" si="129"/>
        <v>3.4087912929938811</v>
      </c>
      <c r="M946">
        <f t="shared" si="130"/>
        <v>2.7010717322373616</v>
      </c>
      <c r="N946">
        <f t="shared" si="131"/>
        <v>4.0745321082417894</v>
      </c>
      <c r="O946">
        <f t="shared" si="132"/>
        <v>69.991617770326911</v>
      </c>
      <c r="P946">
        <f t="shared" si="133"/>
        <v>58.591785414920373</v>
      </c>
      <c r="Q946">
        <f t="shared" si="134"/>
        <v>84.744341994970668</v>
      </c>
    </row>
    <row r="947" spans="1:17" x14ac:dyDescent="0.3">
      <c r="A947">
        <v>51039025</v>
      </c>
      <c r="B947" t="str">
        <f>VLOOKUP(A947,ASESORES!$A$2:$B$993,2,0)</f>
        <v>ARGUELLO</v>
      </c>
      <c r="C947">
        <v>12011912.76</v>
      </c>
      <c r="D947">
        <v>19062492.600000001</v>
      </c>
      <c r="E947">
        <v>20373699.399999999</v>
      </c>
      <c r="F947">
        <v>14184670</v>
      </c>
      <c r="G947">
        <v>16995970</v>
      </c>
      <c r="H947">
        <v>18273208</v>
      </c>
      <c r="I947">
        <f t="shared" si="126"/>
        <v>0.18088353482180963</v>
      </c>
      <c r="J947">
        <f t="shared" si="127"/>
        <v>-0.10840778503436643</v>
      </c>
      <c r="K947">
        <f t="shared" si="128"/>
        <v>-0.10309818353361977</v>
      </c>
      <c r="L947">
        <f t="shared" si="129"/>
        <v>1.2936463439196804</v>
      </c>
      <c r="M947">
        <f t="shared" si="130"/>
        <v>-0.7838257901041964</v>
      </c>
      <c r="N947">
        <f t="shared" si="131"/>
        <v>-0.7486799148035217</v>
      </c>
      <c r="O947">
        <f t="shared" si="132"/>
        <v>36.714165968147526</v>
      </c>
      <c r="P947">
        <f t="shared" si="133"/>
        <v>7.2925398155909464</v>
      </c>
      <c r="Q947">
        <f t="shared" si="134"/>
        <v>9.6395641240569994</v>
      </c>
    </row>
    <row r="948" spans="1:17" x14ac:dyDescent="0.3">
      <c r="A948">
        <v>51026497</v>
      </c>
      <c r="B948" t="str">
        <f>VLOOKUP(A948,ASESORES!$A$2:$B$993,2,0)</f>
        <v>NELLI</v>
      </c>
      <c r="C948">
        <v>11699935.35</v>
      </c>
      <c r="D948">
        <v>13018829.07</v>
      </c>
      <c r="E948">
        <v>16747940.18</v>
      </c>
      <c r="F948">
        <v>15944748</v>
      </c>
      <c r="G948">
        <v>15828712</v>
      </c>
      <c r="H948">
        <v>17972324</v>
      </c>
      <c r="I948">
        <f t="shared" si="126"/>
        <v>0.36280650473850695</v>
      </c>
      <c r="J948">
        <f t="shared" si="127"/>
        <v>0.21583223152341446</v>
      </c>
      <c r="K948">
        <f t="shared" si="128"/>
        <v>7.3106531719174139E-2</v>
      </c>
      <c r="L948">
        <f t="shared" si="129"/>
        <v>2.6131565381171868</v>
      </c>
      <c r="M948">
        <f t="shared" si="130"/>
        <v>1.55387240467406</v>
      </c>
      <c r="N948">
        <f t="shared" si="131"/>
        <v>0.53035895493265417</v>
      </c>
      <c r="O948">
        <f t="shared" si="132"/>
        <v>57.502095557418272</v>
      </c>
      <c r="P948">
        <f t="shared" si="133"/>
        <v>42.665549036043586</v>
      </c>
      <c r="Q948">
        <f t="shared" si="134"/>
        <v>37.468566638725903</v>
      </c>
    </row>
    <row r="949" spans="1:17" x14ac:dyDescent="0.3">
      <c r="A949">
        <v>51043693</v>
      </c>
      <c r="B949" t="str">
        <f>VLOOKUP(A949,ASESORES!$A$2:$B$993,2,0)</f>
        <v>PRADES</v>
      </c>
      <c r="C949">
        <v>12243487.5</v>
      </c>
      <c r="D949">
        <v>13795346.25</v>
      </c>
      <c r="E949">
        <v>16438799.699999999</v>
      </c>
      <c r="F949">
        <v>14189598</v>
      </c>
      <c r="G949">
        <v>17158394</v>
      </c>
      <c r="H949">
        <v>17854357</v>
      </c>
      <c r="I949">
        <f t="shared" si="126"/>
        <v>0.15895066662991253</v>
      </c>
      <c r="J949">
        <f t="shared" si="127"/>
        <v>0.24378132227018234</v>
      </c>
      <c r="K949">
        <f t="shared" si="128"/>
        <v>8.6110745664721433E-2</v>
      </c>
      <c r="L949">
        <f t="shared" si="129"/>
        <v>1.1368104138093083</v>
      </c>
      <c r="M949">
        <f t="shared" si="130"/>
        <v>1.7636302802815309</v>
      </c>
      <c r="N949">
        <f t="shared" si="131"/>
        <v>0.62445310166274437</v>
      </c>
      <c r="O949">
        <f t="shared" si="132"/>
        <v>34.870075440067055</v>
      </c>
      <c r="P949">
        <f t="shared" si="133"/>
        <v>44.844928751047782</v>
      </c>
      <c r="Q949">
        <f t="shared" si="134"/>
        <v>38.977367979882651</v>
      </c>
    </row>
    <row r="950" spans="1:17" x14ac:dyDescent="0.3">
      <c r="A950">
        <v>51001532</v>
      </c>
      <c r="B950" t="str">
        <f>VLOOKUP(A950,ASESORES!$A$2:$B$993,2,0)</f>
        <v>ARGUELLO</v>
      </c>
      <c r="C950">
        <v>11499316.300000001</v>
      </c>
      <c r="D950">
        <v>17107336.199999999</v>
      </c>
      <c r="E950">
        <v>19373157.300000001</v>
      </c>
      <c r="F950">
        <v>16423080</v>
      </c>
      <c r="G950">
        <v>19815110</v>
      </c>
      <c r="H950">
        <v>17835100</v>
      </c>
      <c r="I950">
        <f t="shared" si="126"/>
        <v>0.42817882137914576</v>
      </c>
      <c r="J950">
        <f t="shared" si="127"/>
        <v>0.15828143951482065</v>
      </c>
      <c r="K950">
        <f t="shared" si="128"/>
        <v>-7.9391153242739709E-2</v>
      </c>
      <c r="L950">
        <f t="shared" si="129"/>
        <v>3.0895048499483635</v>
      </c>
      <c r="M950">
        <f t="shared" si="130"/>
        <v>1.1549791081894145</v>
      </c>
      <c r="N950">
        <f t="shared" si="131"/>
        <v>-0.57568712829504154</v>
      </c>
      <c r="O950">
        <f t="shared" si="132"/>
        <v>65.968147527242252</v>
      </c>
      <c r="P950">
        <f t="shared" si="133"/>
        <v>37.04945515507125</v>
      </c>
      <c r="Q950">
        <f t="shared" si="134"/>
        <v>11.064543168482817</v>
      </c>
    </row>
    <row r="951" spans="1:17" x14ac:dyDescent="0.3">
      <c r="A951">
        <v>51002709</v>
      </c>
      <c r="B951" t="str">
        <f>VLOOKUP(A951,ASESORES!$A$2:$B$993,2,0)</f>
        <v>BELUZZO</v>
      </c>
      <c r="C951">
        <v>14072892.699999999</v>
      </c>
      <c r="D951">
        <v>14975273.359999999</v>
      </c>
      <c r="E951">
        <v>16596298.16</v>
      </c>
      <c r="F951">
        <v>13967590</v>
      </c>
      <c r="G951">
        <v>21303460</v>
      </c>
      <c r="H951">
        <v>17722110</v>
      </c>
      <c r="I951">
        <f t="shared" si="126"/>
        <v>-7.4826620400508803E-3</v>
      </c>
      <c r="J951">
        <f t="shared" si="127"/>
        <v>0.42257570114900389</v>
      </c>
      <c r="K951">
        <f t="shared" si="128"/>
        <v>6.7835117756163577E-2</v>
      </c>
      <c r="L951">
        <f t="shared" si="129"/>
        <v>-5.3464529258069778E-2</v>
      </c>
      <c r="M951">
        <f t="shared" si="130"/>
        <v>3.0968249583910095</v>
      </c>
      <c r="N951">
        <f t="shared" si="131"/>
        <v>0.49170389760674382</v>
      </c>
      <c r="O951">
        <f t="shared" si="132"/>
        <v>11.064543168482817</v>
      </c>
      <c r="P951">
        <f t="shared" si="133"/>
        <v>64.291701592623639</v>
      </c>
      <c r="Q951">
        <f t="shared" si="134"/>
        <v>37.133277451802179</v>
      </c>
    </row>
    <row r="952" spans="1:17" x14ac:dyDescent="0.3">
      <c r="A952">
        <v>51015151</v>
      </c>
      <c r="B952" t="e">
        <f>VLOOKUP(A952,ASESORES!$A$2:$B$993,2,0)</f>
        <v>#N/A</v>
      </c>
      <c r="C952">
        <v>6571520.5999999996</v>
      </c>
      <c r="D952">
        <v>0</v>
      </c>
      <c r="E952">
        <v>0</v>
      </c>
      <c r="F952">
        <v>0</v>
      </c>
      <c r="G952">
        <v>0</v>
      </c>
      <c r="H952">
        <v>17538300</v>
      </c>
      <c r="I952">
        <f t="shared" si="126"/>
        <v>-1</v>
      </c>
      <c r="J952">
        <f t="shared" si="127"/>
        <v>0</v>
      </c>
      <c r="K952">
        <f t="shared" si="128"/>
        <v>0</v>
      </c>
      <c r="L952">
        <f t="shared" si="129"/>
        <v>0</v>
      </c>
      <c r="M952">
        <f t="shared" si="130"/>
        <v>0</v>
      </c>
      <c r="N952">
        <f t="shared" si="131"/>
        <v>0</v>
      </c>
      <c r="O952">
        <f t="shared" si="132"/>
        <v>11.5674769488684</v>
      </c>
      <c r="P952">
        <f t="shared" si="133"/>
        <v>11.064543168482817</v>
      </c>
      <c r="Q952">
        <f t="shared" si="134"/>
        <v>14.668901927912826</v>
      </c>
    </row>
    <row r="953" spans="1:17" x14ac:dyDescent="0.3">
      <c r="A953">
        <v>51009941</v>
      </c>
      <c r="B953" t="str">
        <f>VLOOKUP(A953,ASESORES!$A$2:$B$993,2,0)</f>
        <v>ARGUELLO</v>
      </c>
      <c r="C953">
        <v>11086735.23</v>
      </c>
      <c r="D953">
        <v>11267472.35</v>
      </c>
      <c r="E953">
        <v>14659247.98</v>
      </c>
      <c r="F953">
        <v>12556718</v>
      </c>
      <c r="G953">
        <v>16482918</v>
      </c>
      <c r="H953">
        <v>17484848</v>
      </c>
      <c r="I953">
        <f t="shared" si="126"/>
        <v>0.13258932765186993</v>
      </c>
      <c r="J953">
        <f t="shared" si="127"/>
        <v>0.46287627677204823</v>
      </c>
      <c r="K953">
        <f t="shared" si="128"/>
        <v>0.19275204456975148</v>
      </c>
      <c r="L953">
        <f t="shared" si="129"/>
        <v>0.94123521461033</v>
      </c>
      <c r="M953">
        <f t="shared" si="130"/>
        <v>3.3405938726581654</v>
      </c>
      <c r="N953">
        <f t="shared" si="131"/>
        <v>1.3960378818804109</v>
      </c>
      <c r="O953">
        <f t="shared" si="132"/>
        <v>31.684828164291702</v>
      </c>
      <c r="P953">
        <f t="shared" si="133"/>
        <v>67.72841575859178</v>
      </c>
      <c r="Q953">
        <f t="shared" si="134"/>
        <v>50.20955574182733</v>
      </c>
    </row>
    <row r="954" spans="1:17" x14ac:dyDescent="0.3">
      <c r="A954">
        <v>51024818</v>
      </c>
      <c r="B954" t="str">
        <f>VLOOKUP(A954,ASESORES!$A$2:$B$993,2,0)</f>
        <v>METTLER</v>
      </c>
      <c r="C954">
        <v>18873950.850000001</v>
      </c>
      <c r="D954">
        <v>19022117.100000001</v>
      </c>
      <c r="E954">
        <v>18829622.800000001</v>
      </c>
      <c r="F954">
        <v>15683857</v>
      </c>
      <c r="G954">
        <v>14687500</v>
      </c>
      <c r="H954">
        <v>16602880</v>
      </c>
      <c r="I954">
        <f t="shared" si="126"/>
        <v>-0.16902098958258127</v>
      </c>
      <c r="J954">
        <f t="shared" si="127"/>
        <v>-0.22787248533971027</v>
      </c>
      <c r="K954">
        <f t="shared" si="128"/>
        <v>-0.11825742998951638</v>
      </c>
      <c r="L954">
        <f t="shared" si="129"/>
        <v>-1.2161825652412186</v>
      </c>
      <c r="M954">
        <f t="shared" si="130"/>
        <v>-1.6331502256282218</v>
      </c>
      <c r="N954">
        <f t="shared" si="131"/>
        <v>-0.85384033636418966</v>
      </c>
      <c r="O954">
        <f t="shared" si="132"/>
        <v>6.3704945515507125</v>
      </c>
      <c r="P954">
        <f t="shared" si="133"/>
        <v>4.8616932103939652</v>
      </c>
      <c r="Q954">
        <f t="shared" si="134"/>
        <v>8.5498742665549035</v>
      </c>
    </row>
    <row r="955" spans="1:17" x14ac:dyDescent="0.3">
      <c r="A955">
        <v>51010523</v>
      </c>
      <c r="B955" t="str">
        <f>VLOOKUP(A955,ASESORES!$A$2:$B$993,2,0)</f>
        <v>AYALA</v>
      </c>
      <c r="C955">
        <v>35088776.68</v>
      </c>
      <c r="D955">
        <v>36146278.950000003</v>
      </c>
      <c r="E955">
        <v>26017483</v>
      </c>
      <c r="F955">
        <v>13162150</v>
      </c>
      <c r="G955">
        <v>12981390</v>
      </c>
      <c r="H955">
        <v>16469550</v>
      </c>
      <c r="I955">
        <f t="shared" si="126"/>
        <v>-0.62489002908151536</v>
      </c>
      <c r="J955">
        <f t="shared" si="127"/>
        <v>-0.64086510763786375</v>
      </c>
      <c r="K955">
        <f t="shared" si="128"/>
        <v>-0.36698142552836488</v>
      </c>
      <c r="L955">
        <f t="shared" si="129"/>
        <v>-4.4487963534942763</v>
      </c>
      <c r="M955">
        <f t="shared" si="130"/>
        <v>-4.5586793549798337</v>
      </c>
      <c r="N955">
        <f t="shared" si="131"/>
        <v>-2.6483881499748683</v>
      </c>
      <c r="O955">
        <f t="shared" si="132"/>
        <v>1.8440905280804691</v>
      </c>
      <c r="P955">
        <f t="shared" si="133"/>
        <v>1.4249790444258172</v>
      </c>
      <c r="Q955">
        <f t="shared" si="134"/>
        <v>3.1852472757753563</v>
      </c>
    </row>
    <row r="956" spans="1:17" x14ac:dyDescent="0.3">
      <c r="A956">
        <v>51000552</v>
      </c>
      <c r="B956" t="str">
        <f>VLOOKUP(A956,ASESORES!$A$2:$B$993,2,0)</f>
        <v>METTLER</v>
      </c>
      <c r="C956">
        <v>11306132.1</v>
      </c>
      <c r="D956">
        <v>18734369.75</v>
      </c>
      <c r="E956">
        <v>23977475.100000001</v>
      </c>
      <c r="F956">
        <v>28170450</v>
      </c>
      <c r="G956">
        <v>26997190</v>
      </c>
      <c r="H956">
        <v>16398360</v>
      </c>
      <c r="I956">
        <f t="shared" si="126"/>
        <v>1.4916080716941207</v>
      </c>
      <c r="J956">
        <f t="shared" si="127"/>
        <v>0.44105141300523343</v>
      </c>
      <c r="K956">
        <f t="shared" si="128"/>
        <v>-0.31609312775388931</v>
      </c>
      <c r="L956">
        <f t="shared" si="129"/>
        <v>11.11217254147938</v>
      </c>
      <c r="M956">
        <f t="shared" si="130"/>
        <v>3.2775935527079048</v>
      </c>
      <c r="N956">
        <f t="shared" si="131"/>
        <v>-2.2805488297487551</v>
      </c>
      <c r="O956">
        <f t="shared" si="132"/>
        <v>97.736797988264883</v>
      </c>
      <c r="P956">
        <f t="shared" si="133"/>
        <v>66.554903604358756</v>
      </c>
      <c r="Q956">
        <f t="shared" si="134"/>
        <v>3.8558256496227994</v>
      </c>
    </row>
    <row r="957" spans="1:17" x14ac:dyDescent="0.3">
      <c r="A957">
        <v>51052331</v>
      </c>
      <c r="B957" t="str">
        <f>VLOOKUP(A957,ASESORES!$A$2:$B$993,2,0)</f>
        <v>PUGH</v>
      </c>
      <c r="C957">
        <v>7628724.8300000001</v>
      </c>
      <c r="D957">
        <v>8956598.4900000002</v>
      </c>
      <c r="E957">
        <v>11610997.84</v>
      </c>
      <c r="F957">
        <v>8193917</v>
      </c>
      <c r="G957">
        <v>10236440</v>
      </c>
      <c r="H957">
        <v>16309815</v>
      </c>
      <c r="I957">
        <f t="shared" si="126"/>
        <v>7.4087371427709492E-2</v>
      </c>
      <c r="J957">
        <f t="shared" si="127"/>
        <v>0.1428937013788143</v>
      </c>
      <c r="K957">
        <f t="shared" si="128"/>
        <v>0.4046867654916384</v>
      </c>
      <c r="L957">
        <f t="shared" si="129"/>
        <v>0.51220241710275793</v>
      </c>
      <c r="M957">
        <f t="shared" si="130"/>
        <v>1.0017061299960301</v>
      </c>
      <c r="N957">
        <f t="shared" si="131"/>
        <v>2.9187826712172193</v>
      </c>
      <c r="O957">
        <f t="shared" si="132"/>
        <v>27.409891031014251</v>
      </c>
      <c r="P957">
        <f t="shared" si="133"/>
        <v>35.624476110645432</v>
      </c>
      <c r="Q957">
        <f t="shared" si="134"/>
        <v>72.506286672254816</v>
      </c>
    </row>
    <row r="958" spans="1:17" x14ac:dyDescent="0.3">
      <c r="A958">
        <v>51024460</v>
      </c>
      <c r="B958" t="str">
        <f>VLOOKUP(A958,ASESORES!$A$2:$B$993,2,0)</f>
        <v>PUGH</v>
      </c>
      <c r="C958">
        <v>13146126.220000001</v>
      </c>
      <c r="D958">
        <v>16468467.59</v>
      </c>
      <c r="E958">
        <v>17419143.289999999</v>
      </c>
      <c r="F958">
        <v>13427620</v>
      </c>
      <c r="G958">
        <v>14951390</v>
      </c>
      <c r="H958">
        <v>16014086</v>
      </c>
      <c r="I958">
        <f t="shared" si="126"/>
        <v>2.1412678935924578E-2</v>
      </c>
      <c r="J958">
        <f t="shared" si="127"/>
        <v>-9.2120143037546565E-2</v>
      </c>
      <c r="K958">
        <f t="shared" si="128"/>
        <v>-8.0661675870512872E-2</v>
      </c>
      <c r="L958">
        <f t="shared" si="129"/>
        <v>0.15262955494768998</v>
      </c>
      <c r="M958">
        <f t="shared" si="130"/>
        <v>-0.6609326924775063</v>
      </c>
      <c r="N958">
        <f t="shared" si="131"/>
        <v>-0.58112721775254339</v>
      </c>
      <c r="O958">
        <f t="shared" si="132"/>
        <v>23.88935456831517</v>
      </c>
      <c r="P958">
        <f t="shared" si="133"/>
        <v>8.046940486169321</v>
      </c>
      <c r="Q958">
        <f t="shared" si="134"/>
        <v>10.896898575020955</v>
      </c>
    </row>
    <row r="959" spans="1:17" x14ac:dyDescent="0.3">
      <c r="A959">
        <v>51024885</v>
      </c>
      <c r="B959" t="str">
        <f>VLOOKUP(A959,ASESORES!$A$2:$B$993,2,0)</f>
        <v>PUGH</v>
      </c>
      <c r="C959">
        <v>7700423.75</v>
      </c>
      <c r="D959">
        <v>13638938.4</v>
      </c>
      <c r="E959">
        <v>18100992</v>
      </c>
      <c r="F959">
        <v>11929070</v>
      </c>
      <c r="G959">
        <v>16451508</v>
      </c>
      <c r="H959">
        <v>15453461</v>
      </c>
      <c r="I959">
        <f t="shared" si="126"/>
        <v>0.54914461687903859</v>
      </c>
      <c r="J959">
        <f t="shared" si="127"/>
        <v>0.20621616708819501</v>
      </c>
      <c r="K959">
        <f t="shared" si="128"/>
        <v>-0.14626441467959328</v>
      </c>
      <c r="L959">
        <f t="shared" si="129"/>
        <v>3.8860804130432216</v>
      </c>
      <c r="M959">
        <f t="shared" si="130"/>
        <v>1.4880982830524949</v>
      </c>
      <c r="N959">
        <f t="shared" si="131"/>
        <v>-1.0514986449689598</v>
      </c>
      <c r="O959">
        <f t="shared" si="132"/>
        <v>76.11064543168483</v>
      </c>
      <c r="P959">
        <f t="shared" si="133"/>
        <v>42.078792958927075</v>
      </c>
      <c r="Q959">
        <f t="shared" si="134"/>
        <v>7.2925398155909464</v>
      </c>
    </row>
    <row r="960" spans="1:17" x14ac:dyDescent="0.3">
      <c r="A960">
        <v>51005554</v>
      </c>
      <c r="B960" t="str">
        <f>VLOOKUP(A960,ASESORES!$A$2:$B$993,2,0)</f>
        <v>PUGH</v>
      </c>
      <c r="C960">
        <v>3620713.5</v>
      </c>
      <c r="D960">
        <v>5075269.1000000006</v>
      </c>
      <c r="E960">
        <v>8838450.3399999999</v>
      </c>
      <c r="F960">
        <v>8512020</v>
      </c>
      <c r="G960">
        <v>10545095</v>
      </c>
      <c r="H960">
        <v>14136445</v>
      </c>
      <c r="I960">
        <f t="shared" si="126"/>
        <v>1.3509233746332043</v>
      </c>
      <c r="J960">
        <f t="shared" si="127"/>
        <v>1.077741060075021</v>
      </c>
      <c r="K960">
        <f t="shared" si="128"/>
        <v>0.59942574277110205</v>
      </c>
      <c r="L960">
        <f t="shared" si="129"/>
        <v>9.361943074103813</v>
      </c>
      <c r="M960">
        <f t="shared" si="130"/>
        <v>7.569029887188484</v>
      </c>
      <c r="N960">
        <f t="shared" si="131"/>
        <v>4.2860979901472644</v>
      </c>
      <c r="O960">
        <f t="shared" si="132"/>
        <v>96.395641240570001</v>
      </c>
      <c r="P960">
        <f t="shared" si="133"/>
        <v>94.970662196144175</v>
      </c>
      <c r="Q960">
        <f t="shared" si="134"/>
        <v>86.588432523051125</v>
      </c>
    </row>
    <row r="961" spans="1:17" x14ac:dyDescent="0.3">
      <c r="A961">
        <v>51024478</v>
      </c>
      <c r="B961" t="str">
        <f>VLOOKUP(A961,ASESORES!$A$2:$B$993,2,0)</f>
        <v>NELLI</v>
      </c>
      <c r="C961">
        <v>10078484.1</v>
      </c>
      <c r="D961">
        <v>12077601.300000001</v>
      </c>
      <c r="E961">
        <v>14713263.199999999</v>
      </c>
      <c r="F961">
        <v>11008834</v>
      </c>
      <c r="G961">
        <v>9930210</v>
      </c>
      <c r="H961">
        <v>13600270</v>
      </c>
      <c r="I961">
        <f t="shared" si="126"/>
        <v>9.2310499353766895E-2</v>
      </c>
      <c r="J961">
        <f t="shared" si="127"/>
        <v>-0.17779948573066418</v>
      </c>
      <c r="K961">
        <f t="shared" si="128"/>
        <v>-7.5645571269329248E-2</v>
      </c>
      <c r="L961">
        <f t="shared" si="129"/>
        <v>0.65002665785848524</v>
      </c>
      <c r="M961">
        <f t="shared" si="130"/>
        <v>-1.2440556110437804</v>
      </c>
      <c r="N961">
        <f t="shared" si="131"/>
        <v>-0.53962127810701865</v>
      </c>
      <c r="O961">
        <f t="shared" si="132"/>
        <v>29.170159262363786</v>
      </c>
      <c r="P961">
        <f t="shared" si="133"/>
        <v>5.8675607711651301</v>
      </c>
      <c r="Q961">
        <f t="shared" si="134"/>
        <v>11.232187761944678</v>
      </c>
    </row>
    <row r="962" spans="1:17" x14ac:dyDescent="0.3">
      <c r="A962">
        <v>51012691</v>
      </c>
      <c r="B962" t="str">
        <f>VLOOKUP(A962,ASESORES!$A$2:$B$993,2,0)</f>
        <v>ARGUELLO</v>
      </c>
      <c r="C962">
        <v>17223351.300000001</v>
      </c>
      <c r="D962">
        <v>22754081.899999999</v>
      </c>
      <c r="E962">
        <v>24151031.440000001</v>
      </c>
      <c r="F962">
        <v>20325978</v>
      </c>
      <c r="G962">
        <v>21187982</v>
      </c>
      <c r="H962">
        <v>13435155</v>
      </c>
      <c r="I962">
        <f t="shared" ref="I962:I1025" si="135">IFERROR(F962/C962-1,0)</f>
        <v>0.18014070815590921</v>
      </c>
      <c r="J962">
        <f t="shared" ref="J962:J1025" si="136">IFERROR(G962/D962-1,0)</f>
        <v>-6.8827206779105365E-2</v>
      </c>
      <c r="K962">
        <f t="shared" ref="K962:K1025" si="137">IFERROR(H962/E962-1,0)</f>
        <v>-0.44370264129803971</v>
      </c>
      <c r="L962">
        <f t="shared" ref="L962:L1025" si="138">IFERROR(I962*LOG(F962),0)</f>
        <v>1.3164775636554729</v>
      </c>
      <c r="M962">
        <f t="shared" ref="M962:M1025" si="139">IFERROR(J962*LOG(G962),0)</f>
        <v>-0.50423428345892674</v>
      </c>
      <c r="N962">
        <f t="shared" ref="N962:N1025" si="140">IFERROR(K962*LOG(H962),0)</f>
        <v>-3.1628201054657712</v>
      </c>
      <c r="O962">
        <f t="shared" ref="O962:O1025" si="141">RANK(L962,$L$2:$L$1194,1)/COUNT($L$2:$L$1194)*100</f>
        <v>37.300922045264038</v>
      </c>
      <c r="P962">
        <f t="shared" ref="P962:P1025" si="142">RANK(M962,$M$2:$M$1194,1)/COUNT($M$2:$M$1194)*100</f>
        <v>8.5498742665549035</v>
      </c>
      <c r="Q962">
        <f t="shared" ref="Q962:Q1025" si="143">RANK(N962,$N$2:$N$1194,1)/COUNT($N$2:$N$1194)*100</f>
        <v>2.2632020117351215</v>
      </c>
    </row>
    <row r="963" spans="1:17" x14ac:dyDescent="0.3">
      <c r="A963">
        <v>51015681</v>
      </c>
      <c r="B963" t="str">
        <f>VLOOKUP(A963,ASESORES!$A$2:$B$993,2,0)</f>
        <v>CICHETTO</v>
      </c>
      <c r="C963">
        <v>17840140.640000001</v>
      </c>
      <c r="D963">
        <v>2596786</v>
      </c>
      <c r="E963">
        <v>70024311.390000001</v>
      </c>
      <c r="F963">
        <v>7171361</v>
      </c>
      <c r="G963">
        <v>13649300</v>
      </c>
      <c r="H963">
        <v>13310609</v>
      </c>
      <c r="I963">
        <f t="shared" si="135"/>
        <v>-0.59802105013001738</v>
      </c>
      <c r="J963">
        <f t="shared" si="136"/>
        <v>4.2562282760304466</v>
      </c>
      <c r="K963">
        <f t="shared" si="137"/>
        <v>-0.80991446062401617</v>
      </c>
      <c r="L963">
        <f t="shared" si="138"/>
        <v>-4.0997940591669542</v>
      </c>
      <c r="M963">
        <f t="shared" si="139"/>
        <v>30.368658548948588</v>
      </c>
      <c r="N963">
        <f t="shared" si="140"/>
        <v>-5.7699909207730409</v>
      </c>
      <c r="O963">
        <f t="shared" si="141"/>
        <v>2.347024308466052</v>
      </c>
      <c r="P963">
        <f t="shared" si="142"/>
        <v>99.58088851634534</v>
      </c>
      <c r="Q963">
        <f t="shared" si="143"/>
        <v>0.25146689019279128</v>
      </c>
    </row>
    <row r="964" spans="1:17" x14ac:dyDescent="0.3">
      <c r="A964">
        <v>51019008</v>
      </c>
      <c r="B964" t="str">
        <f>VLOOKUP(A964,ASESORES!$A$2:$B$993,2,0)</f>
        <v>MONTENEGRO</v>
      </c>
      <c r="C964">
        <v>8077974.1999999993</v>
      </c>
      <c r="D964">
        <v>10137332.140000001</v>
      </c>
      <c r="E964">
        <v>10381850.199999999</v>
      </c>
      <c r="F964">
        <v>7436590</v>
      </c>
      <c r="G964">
        <v>12816590</v>
      </c>
      <c r="H964">
        <v>13192340</v>
      </c>
      <c r="I964">
        <f t="shared" si="135"/>
        <v>-7.9399139452562162E-2</v>
      </c>
      <c r="J964">
        <f t="shared" si="136"/>
        <v>0.26429615040708332</v>
      </c>
      <c r="K964">
        <f t="shared" si="137"/>
        <v>0.27071184286592787</v>
      </c>
      <c r="L964">
        <f t="shared" si="138"/>
        <v>-0.54558116961615366</v>
      </c>
      <c r="M964">
        <f t="shared" si="139"/>
        <v>1.8785569074859376</v>
      </c>
      <c r="N964">
        <f t="shared" si="140"/>
        <v>1.9275554459270399</v>
      </c>
      <c r="O964">
        <f t="shared" si="141"/>
        <v>8.2145850796311812</v>
      </c>
      <c r="P964">
        <f t="shared" si="142"/>
        <v>46.353730092204529</v>
      </c>
      <c r="Q964">
        <f t="shared" si="143"/>
        <v>57.250628667225477</v>
      </c>
    </row>
    <row r="965" spans="1:17" x14ac:dyDescent="0.3">
      <c r="A965">
        <v>51015762</v>
      </c>
      <c r="B965" t="str">
        <f>VLOOKUP(A965,ASESORES!$A$2:$B$993,2,0)</f>
        <v>METTLER</v>
      </c>
      <c r="C965">
        <v>12868223.279999999</v>
      </c>
      <c r="D965">
        <v>15887651.33</v>
      </c>
      <c r="E965">
        <v>22681871.09</v>
      </c>
      <c r="F965">
        <v>19571250</v>
      </c>
      <c r="G965">
        <v>16890653</v>
      </c>
      <c r="H965">
        <v>12898765</v>
      </c>
      <c r="I965">
        <f t="shared" si="135"/>
        <v>0.52089760755223713</v>
      </c>
      <c r="J965">
        <f t="shared" si="136"/>
        <v>6.3130896390335201E-2</v>
      </c>
      <c r="K965">
        <f t="shared" si="137"/>
        <v>-0.43131830046918762</v>
      </c>
      <c r="L965">
        <f t="shared" si="138"/>
        <v>3.7981866654748555</v>
      </c>
      <c r="M965">
        <f t="shared" si="139"/>
        <v>0.45628779854389256</v>
      </c>
      <c r="N965">
        <f t="shared" si="140"/>
        <v>-3.0669095350532651</v>
      </c>
      <c r="O965">
        <f t="shared" si="141"/>
        <v>75.272422464375524</v>
      </c>
      <c r="P965">
        <f t="shared" si="142"/>
        <v>30.595138306789604</v>
      </c>
      <c r="Q965">
        <f t="shared" si="143"/>
        <v>2.5146689019279127</v>
      </c>
    </row>
    <row r="966" spans="1:17" x14ac:dyDescent="0.3">
      <c r="A966">
        <v>51017714</v>
      </c>
      <c r="B966" t="str">
        <f>VLOOKUP(A966,ASESORES!$A$2:$B$993,2,0)</f>
        <v>ROBERTS</v>
      </c>
      <c r="C966">
        <v>5710669.5</v>
      </c>
      <c r="D966">
        <v>7648105.4199999999</v>
      </c>
      <c r="E966">
        <v>12277310.699999999</v>
      </c>
      <c r="F966">
        <v>9746570</v>
      </c>
      <c r="G966">
        <v>7060540</v>
      </c>
      <c r="H966">
        <v>12838733</v>
      </c>
      <c r="I966">
        <f t="shared" si="135"/>
        <v>0.70672983264046363</v>
      </c>
      <c r="J966">
        <f t="shared" si="136"/>
        <v>-7.6824963534563806E-2</v>
      </c>
      <c r="K966">
        <f t="shared" si="137"/>
        <v>4.5728442793257607E-2</v>
      </c>
      <c r="L966">
        <f t="shared" si="138"/>
        <v>4.9392300673776521</v>
      </c>
      <c r="M966">
        <f t="shared" si="139"/>
        <v>-0.52616172328705069</v>
      </c>
      <c r="N966">
        <f t="shared" si="140"/>
        <v>0.32506164926606596</v>
      </c>
      <c r="O966">
        <f t="shared" si="141"/>
        <v>85.247275775356243</v>
      </c>
      <c r="P966">
        <f t="shared" si="142"/>
        <v>8.4660519698239725</v>
      </c>
      <c r="Q966">
        <f t="shared" si="143"/>
        <v>35.12154233025985</v>
      </c>
    </row>
    <row r="967" spans="1:17" x14ac:dyDescent="0.3">
      <c r="A967">
        <v>51031997</v>
      </c>
      <c r="B967" t="str">
        <f>VLOOKUP(A967,ASESORES!$A$2:$B$993,2,0)</f>
        <v>PUGH</v>
      </c>
      <c r="C967">
        <v>13542667.67</v>
      </c>
      <c r="D967">
        <v>18711223.239999998</v>
      </c>
      <c r="E967">
        <v>25056865.559999999</v>
      </c>
      <c r="F967">
        <v>16058298</v>
      </c>
      <c r="G967">
        <v>18471171</v>
      </c>
      <c r="H967">
        <v>12596951</v>
      </c>
      <c r="I967">
        <f t="shared" si="135"/>
        <v>0.18575589324787734</v>
      </c>
      <c r="J967">
        <f t="shared" si="136"/>
        <v>-1.2829318367963527E-2</v>
      </c>
      <c r="K967">
        <f t="shared" si="137"/>
        <v>-0.49726549117502628</v>
      </c>
      <c r="L967">
        <f t="shared" si="138"/>
        <v>1.3385011495175108</v>
      </c>
      <c r="M967">
        <f t="shared" si="139"/>
        <v>-9.3224170447194069E-2</v>
      </c>
      <c r="N967">
        <f t="shared" si="140"/>
        <v>-3.5307169815091402</v>
      </c>
      <c r="O967">
        <f t="shared" si="141"/>
        <v>37.971500419111479</v>
      </c>
      <c r="P967">
        <f t="shared" si="142"/>
        <v>10.310142497904442</v>
      </c>
      <c r="Q967">
        <f t="shared" si="143"/>
        <v>1.5926236378876781</v>
      </c>
    </row>
    <row r="968" spans="1:17" x14ac:dyDescent="0.3">
      <c r="A968">
        <v>51039181</v>
      </c>
      <c r="B968" t="str">
        <f>VLOOKUP(A968,ASESORES!$A$2:$B$993,2,0)</f>
        <v>METTLER</v>
      </c>
      <c r="C968">
        <v>5223424.8499999996</v>
      </c>
      <c r="D968">
        <v>4932100.7</v>
      </c>
      <c r="E968">
        <v>6910007.7200000007</v>
      </c>
      <c r="F968">
        <v>7447984</v>
      </c>
      <c r="G968">
        <v>9742655</v>
      </c>
      <c r="H968">
        <v>12481088</v>
      </c>
      <c r="I968">
        <f t="shared" si="135"/>
        <v>0.42588133530819361</v>
      </c>
      <c r="J968">
        <f t="shared" si="136"/>
        <v>0.9753560587276735</v>
      </c>
      <c r="K968">
        <f t="shared" si="137"/>
        <v>0.80623358261602629</v>
      </c>
      <c r="L968">
        <f t="shared" si="138"/>
        <v>2.9266730327551955</v>
      </c>
      <c r="M968">
        <f t="shared" si="139"/>
        <v>6.816448770352169</v>
      </c>
      <c r="N968">
        <f t="shared" si="140"/>
        <v>5.7212370320948196</v>
      </c>
      <c r="O968">
        <f t="shared" si="141"/>
        <v>62.363788767812231</v>
      </c>
      <c r="P968">
        <f t="shared" si="142"/>
        <v>93.294216261525563</v>
      </c>
      <c r="Q968">
        <f t="shared" si="143"/>
        <v>93.629505448449294</v>
      </c>
    </row>
    <row r="969" spans="1:17" x14ac:dyDescent="0.3">
      <c r="A969">
        <v>51057121</v>
      </c>
      <c r="B969" t="str">
        <f>VLOOKUP(A969,ASESORES!$A$2:$B$993,2,0)</f>
        <v>ROBERTS</v>
      </c>
      <c r="C969">
        <v>7246233.7000000002</v>
      </c>
      <c r="D969">
        <v>10149092</v>
      </c>
      <c r="E969">
        <v>8371016.3999999994</v>
      </c>
      <c r="F969">
        <v>8419200</v>
      </c>
      <c r="G969">
        <v>6707330</v>
      </c>
      <c r="H969">
        <v>12209087</v>
      </c>
      <c r="I969">
        <f t="shared" si="135"/>
        <v>0.16187254628566561</v>
      </c>
      <c r="J969">
        <f t="shared" si="136"/>
        <v>-0.33912018927407495</v>
      </c>
      <c r="K969">
        <f t="shared" si="137"/>
        <v>0.45849517150629415</v>
      </c>
      <c r="L969">
        <f t="shared" si="138"/>
        <v>1.1210112223881117</v>
      </c>
      <c r="M969">
        <f t="shared" si="139"/>
        <v>-2.3150208175742892</v>
      </c>
      <c r="N969">
        <f t="shared" si="140"/>
        <v>3.2492100239031081</v>
      </c>
      <c r="O969">
        <f t="shared" si="141"/>
        <v>34.450963956412409</v>
      </c>
      <c r="P969">
        <f t="shared" si="142"/>
        <v>4.1911148365465216</v>
      </c>
      <c r="Q969">
        <f t="shared" si="143"/>
        <v>76.529756915339476</v>
      </c>
    </row>
    <row r="970" spans="1:17" x14ac:dyDescent="0.3">
      <c r="A970">
        <v>51018290</v>
      </c>
      <c r="B970" t="str">
        <f>VLOOKUP(A970,ASESORES!$A$2:$B$993,2,0)</f>
        <v>ROBERTS</v>
      </c>
      <c r="C970">
        <v>4909159.8000000007</v>
      </c>
      <c r="D970">
        <v>7212636.0999999996</v>
      </c>
      <c r="E970">
        <v>7113083.1199999992</v>
      </c>
      <c r="F970">
        <v>5922410</v>
      </c>
      <c r="G970">
        <v>8510021</v>
      </c>
      <c r="H970">
        <v>12174993</v>
      </c>
      <c r="I970">
        <f t="shared" si="135"/>
        <v>0.20639992203961244</v>
      </c>
      <c r="J970">
        <f t="shared" si="136"/>
        <v>0.17987666118355827</v>
      </c>
      <c r="K970">
        <f t="shared" si="137"/>
        <v>0.71163373105641448</v>
      </c>
      <c r="L970">
        <f t="shared" si="138"/>
        <v>1.3978431561557145</v>
      </c>
      <c r="M970">
        <f t="shared" si="139"/>
        <v>1.2465327842792022</v>
      </c>
      <c r="N970">
        <f t="shared" si="140"/>
        <v>5.0422585416320196</v>
      </c>
      <c r="O970">
        <f t="shared" si="141"/>
        <v>38.642078792958927</v>
      </c>
      <c r="P970">
        <f t="shared" si="142"/>
        <v>38.139145012573344</v>
      </c>
      <c r="Q970">
        <f t="shared" si="143"/>
        <v>91.61777032690695</v>
      </c>
    </row>
    <row r="971" spans="1:17" x14ac:dyDescent="0.3">
      <c r="A971">
        <v>51043561</v>
      </c>
      <c r="B971" t="str">
        <f>VLOOKUP(A971,ASESORES!$A$2:$B$993,2,0)</f>
        <v>PUGH</v>
      </c>
      <c r="C971">
        <v>8027667.5899999999</v>
      </c>
      <c r="D971">
        <v>11316756.6</v>
      </c>
      <c r="E971">
        <v>15944895.199999999</v>
      </c>
      <c r="F971">
        <v>13007955</v>
      </c>
      <c r="G971">
        <v>9823100</v>
      </c>
      <c r="H971">
        <v>11572417</v>
      </c>
      <c r="I971">
        <f t="shared" si="135"/>
        <v>0.62039033806082156</v>
      </c>
      <c r="J971">
        <f t="shared" si="136"/>
        <v>-0.13198627953171671</v>
      </c>
      <c r="K971">
        <f t="shared" si="137"/>
        <v>-0.27422432980305822</v>
      </c>
      <c r="L971">
        <f t="shared" si="138"/>
        <v>4.4135865425792637</v>
      </c>
      <c r="M971">
        <f t="shared" si="139"/>
        <v>-0.9228808736849432</v>
      </c>
      <c r="N971">
        <f t="shared" si="140"/>
        <v>-1.9369627329740207</v>
      </c>
      <c r="O971">
        <f t="shared" si="141"/>
        <v>80.720871751886008</v>
      </c>
      <c r="P971">
        <f t="shared" si="142"/>
        <v>6.7896060352053649</v>
      </c>
      <c r="Q971">
        <f t="shared" si="143"/>
        <v>4.4425817267393128</v>
      </c>
    </row>
    <row r="972" spans="1:17" x14ac:dyDescent="0.3">
      <c r="A972">
        <v>51036964</v>
      </c>
      <c r="B972" t="str">
        <f>VLOOKUP(A972,ASESORES!$A$2:$B$993,2,0)</f>
        <v>PUGH</v>
      </c>
      <c r="C972">
        <v>6960999.5999999996</v>
      </c>
      <c r="D972">
        <v>7371027.5999999996</v>
      </c>
      <c r="E972">
        <v>9646364.0999999996</v>
      </c>
      <c r="F972">
        <v>6746750</v>
      </c>
      <c r="G972">
        <v>8844350</v>
      </c>
      <c r="H972">
        <v>11336660</v>
      </c>
      <c r="I972">
        <f t="shared" si="135"/>
        <v>-3.0778568066574752E-2</v>
      </c>
      <c r="J972">
        <f t="shared" si="136"/>
        <v>0.199880190382139</v>
      </c>
      <c r="K972">
        <f t="shared" si="137"/>
        <v>0.17522621813539052</v>
      </c>
      <c r="L972">
        <f t="shared" si="138"/>
        <v>-0.21018975352470609</v>
      </c>
      <c r="M972">
        <f t="shared" si="139"/>
        <v>1.388500906752008</v>
      </c>
      <c r="N972">
        <f t="shared" si="140"/>
        <v>1.236130748789031</v>
      </c>
      <c r="O972">
        <f t="shared" si="141"/>
        <v>9.7233864207879304</v>
      </c>
      <c r="P972">
        <f t="shared" si="142"/>
        <v>39.81559094719195</v>
      </c>
      <c r="Q972">
        <f t="shared" si="143"/>
        <v>47.611064543168489</v>
      </c>
    </row>
    <row r="973" spans="1:17" x14ac:dyDescent="0.3">
      <c r="A973">
        <v>51030290</v>
      </c>
      <c r="B973" t="str">
        <f>VLOOKUP(A973,ASESORES!$A$2:$B$993,2,0)</f>
        <v>CICHETTO</v>
      </c>
      <c r="C973">
        <v>7224793.1099999994</v>
      </c>
      <c r="D973">
        <v>6147449.2999999998</v>
      </c>
      <c r="E973">
        <v>7202285.5999999996</v>
      </c>
      <c r="F973">
        <v>5692940</v>
      </c>
      <c r="G973">
        <v>8159648</v>
      </c>
      <c r="H973">
        <v>10969648</v>
      </c>
      <c r="I973">
        <f t="shared" si="135"/>
        <v>-0.21202726315854314</v>
      </c>
      <c r="J973">
        <f t="shared" si="136"/>
        <v>0.3273225368446715</v>
      </c>
      <c r="K973">
        <f t="shared" si="137"/>
        <v>0.52307872934114141</v>
      </c>
      <c r="L973">
        <f t="shared" si="138"/>
        <v>-1.4323155324217682</v>
      </c>
      <c r="M973">
        <f t="shared" si="139"/>
        <v>2.262345824366037</v>
      </c>
      <c r="N973">
        <f t="shared" si="140"/>
        <v>3.682575047607346</v>
      </c>
      <c r="O973">
        <f t="shared" si="141"/>
        <v>6.0352053646269912</v>
      </c>
      <c r="P973">
        <f t="shared" si="142"/>
        <v>51.718357082984078</v>
      </c>
      <c r="Q973">
        <f t="shared" si="143"/>
        <v>80.888516345347867</v>
      </c>
    </row>
    <row r="974" spans="1:17" x14ac:dyDescent="0.3">
      <c r="A974">
        <v>51023331</v>
      </c>
      <c r="B974" t="str">
        <f>VLOOKUP(A974,ASESORES!$A$2:$B$993,2,0)</f>
        <v>ARGUELLO</v>
      </c>
      <c r="C974">
        <v>7244340.5999999996</v>
      </c>
      <c r="D974">
        <v>12426276.699999999</v>
      </c>
      <c r="E974">
        <v>15690777.18</v>
      </c>
      <c r="F974">
        <v>3226710</v>
      </c>
      <c r="G974">
        <v>13392843</v>
      </c>
      <c r="H974">
        <v>10842702</v>
      </c>
      <c r="I974">
        <f t="shared" si="135"/>
        <v>-0.55458886071701263</v>
      </c>
      <c r="J974">
        <f t="shared" si="136"/>
        <v>7.7784063829835715E-2</v>
      </c>
      <c r="K974">
        <f t="shared" si="137"/>
        <v>-0.30897610261010666</v>
      </c>
      <c r="L974">
        <f t="shared" si="138"/>
        <v>-3.6096857570414946</v>
      </c>
      <c r="M974">
        <f t="shared" si="139"/>
        <v>0.55435712705320239</v>
      </c>
      <c r="N974">
        <f t="shared" si="140"/>
        <v>-2.1736893728183335</v>
      </c>
      <c r="O974">
        <f t="shared" si="141"/>
        <v>2.7661357921207044</v>
      </c>
      <c r="P974">
        <f t="shared" si="142"/>
        <v>31.684828164291702</v>
      </c>
      <c r="Q974">
        <f t="shared" si="143"/>
        <v>4.0234702430846605</v>
      </c>
    </row>
    <row r="975" spans="1:17" x14ac:dyDescent="0.3">
      <c r="A975">
        <v>51024010</v>
      </c>
      <c r="B975" t="str">
        <f>VLOOKUP(A975,ASESORES!$A$2:$B$993,2,0)</f>
        <v>ROBERTS</v>
      </c>
      <c r="C975">
        <v>18630244.879999999</v>
      </c>
      <c r="D975">
        <v>29063494.699999999</v>
      </c>
      <c r="E975">
        <v>40375297.869999997</v>
      </c>
      <c r="F975">
        <v>26523472</v>
      </c>
      <c r="G975">
        <v>30728644</v>
      </c>
      <c r="H975">
        <v>10526301</v>
      </c>
      <c r="I975">
        <f t="shared" si="135"/>
        <v>0.42367811968341673</v>
      </c>
      <c r="J975">
        <f t="shared" si="136"/>
        <v>5.729349884410162E-2</v>
      </c>
      <c r="K975">
        <f t="shared" si="137"/>
        <v>-0.73928858595935354</v>
      </c>
      <c r="L975">
        <f t="shared" si="138"/>
        <v>3.1452297580263293</v>
      </c>
      <c r="M975">
        <f t="shared" si="139"/>
        <v>0.42898755890628737</v>
      </c>
      <c r="N975">
        <f t="shared" si="140"/>
        <v>-5.1914883349595584</v>
      </c>
      <c r="O975">
        <f t="shared" si="141"/>
        <v>66.638725901089686</v>
      </c>
      <c r="P975">
        <f t="shared" si="142"/>
        <v>30.511316010058675</v>
      </c>
      <c r="Q975">
        <f t="shared" si="143"/>
        <v>0.58675607711651301</v>
      </c>
    </row>
    <row r="976" spans="1:17" x14ac:dyDescent="0.3">
      <c r="A976">
        <v>51024664</v>
      </c>
      <c r="B976" t="str">
        <f>VLOOKUP(A976,ASESORES!$A$2:$B$993,2,0)</f>
        <v>METTLER</v>
      </c>
      <c r="C976">
        <v>5567595.2999999998</v>
      </c>
      <c r="D976">
        <v>8693207.8900000006</v>
      </c>
      <c r="E976">
        <v>8346242.7599999998</v>
      </c>
      <c r="F976">
        <v>7209500</v>
      </c>
      <c r="G976">
        <v>10849150</v>
      </c>
      <c r="H976">
        <v>9952880</v>
      </c>
      <c r="I976">
        <f t="shared" si="135"/>
        <v>0.29490374417120435</v>
      </c>
      <c r="J976">
        <f t="shared" si="136"/>
        <v>0.24800305448579341</v>
      </c>
      <c r="K976">
        <f t="shared" si="137"/>
        <v>0.19249826373370427</v>
      </c>
      <c r="L976">
        <f t="shared" si="138"/>
        <v>2.0224219047753054</v>
      </c>
      <c r="M976">
        <f t="shared" si="139"/>
        <v>1.744799626534137</v>
      </c>
      <c r="N976">
        <f t="shared" si="140"/>
        <v>1.3470929875170445</v>
      </c>
      <c r="O976">
        <f t="shared" si="141"/>
        <v>47.191953059513828</v>
      </c>
      <c r="P976">
        <f t="shared" si="142"/>
        <v>44.425817267393128</v>
      </c>
      <c r="Q976">
        <f t="shared" si="143"/>
        <v>49.371332774518024</v>
      </c>
    </row>
    <row r="977" spans="1:17" x14ac:dyDescent="0.3">
      <c r="A977">
        <v>51009185</v>
      </c>
      <c r="B977" t="str">
        <f>VLOOKUP(A977,ASESORES!$A$2:$B$993,2,0)</f>
        <v>AYALA</v>
      </c>
      <c r="C977">
        <v>7578115.7399999993</v>
      </c>
      <c r="D977">
        <v>8901100.1899999995</v>
      </c>
      <c r="E977">
        <v>11141691.98</v>
      </c>
      <c r="F977">
        <v>9024827</v>
      </c>
      <c r="G977">
        <v>11818246</v>
      </c>
      <c r="H977">
        <v>9310855</v>
      </c>
      <c r="I977">
        <f t="shared" si="135"/>
        <v>0.19090646139959855</v>
      </c>
      <c r="J977">
        <f t="shared" si="136"/>
        <v>0.32772867934654726</v>
      </c>
      <c r="K977">
        <f t="shared" si="137"/>
        <v>-0.16432306540931685</v>
      </c>
      <c r="L977">
        <f t="shared" si="138"/>
        <v>1.327838225115372</v>
      </c>
      <c r="M977">
        <f t="shared" si="139"/>
        <v>2.3178784627195532</v>
      </c>
      <c r="N977">
        <f t="shared" si="140"/>
        <v>-1.1451657278530973</v>
      </c>
      <c r="O977">
        <f t="shared" si="141"/>
        <v>37.636211232187762</v>
      </c>
      <c r="P977">
        <f t="shared" si="142"/>
        <v>52.388935456831518</v>
      </c>
      <c r="Q977">
        <f t="shared" si="143"/>
        <v>6.7896060352053649</v>
      </c>
    </row>
    <row r="978" spans="1:17" x14ac:dyDescent="0.3">
      <c r="A978">
        <v>51039424</v>
      </c>
      <c r="B978" t="e">
        <f>VLOOKUP(A978,ASESORES!$A$2:$B$993,2,0)</f>
        <v>#N/A</v>
      </c>
      <c r="C978">
        <v>28056959.719999999</v>
      </c>
      <c r="D978">
        <v>36769641.260000013</v>
      </c>
      <c r="E978">
        <v>50430973.119999997</v>
      </c>
      <c r="F978">
        <v>9995425</v>
      </c>
      <c r="G978">
        <v>0</v>
      </c>
      <c r="H978">
        <v>9095635</v>
      </c>
      <c r="I978">
        <f t="shared" si="135"/>
        <v>-0.6437452560879251</v>
      </c>
      <c r="J978">
        <f t="shared" si="136"/>
        <v>-1</v>
      </c>
      <c r="K978">
        <f t="shared" si="137"/>
        <v>-0.81964188994812714</v>
      </c>
      <c r="L978">
        <f t="shared" si="138"/>
        <v>-4.5060888577799449</v>
      </c>
      <c r="M978">
        <f t="shared" si="139"/>
        <v>0</v>
      </c>
      <c r="N978">
        <f t="shared" si="140"/>
        <v>-5.7037510517606798</v>
      </c>
      <c r="O978">
        <f t="shared" si="141"/>
        <v>1.760268231349539</v>
      </c>
      <c r="P978">
        <f t="shared" si="142"/>
        <v>11.064543168482817</v>
      </c>
      <c r="Q978">
        <f t="shared" si="143"/>
        <v>0.33528918692372173</v>
      </c>
    </row>
    <row r="979" spans="1:17" x14ac:dyDescent="0.3">
      <c r="A979">
        <v>51038941</v>
      </c>
      <c r="B979" t="str">
        <f>VLOOKUP(A979,ASESORES!$A$2:$B$993,2,0)</f>
        <v>ARGUELLO</v>
      </c>
      <c r="C979">
        <v>14673414.390000001</v>
      </c>
      <c r="D979">
        <v>17299496.109999999</v>
      </c>
      <c r="E979">
        <v>18186966.84</v>
      </c>
      <c r="F979">
        <v>22148621</v>
      </c>
      <c r="G979">
        <v>13054488</v>
      </c>
      <c r="H979">
        <v>8378263</v>
      </c>
      <c r="I979">
        <f t="shared" si="135"/>
        <v>0.50943879940406966</v>
      </c>
      <c r="J979">
        <f t="shared" si="136"/>
        <v>-0.24538333850927407</v>
      </c>
      <c r="K979">
        <f t="shared" si="137"/>
        <v>-0.53932598691646372</v>
      </c>
      <c r="L979">
        <f t="shared" si="138"/>
        <v>3.7420045998261831</v>
      </c>
      <c r="M979">
        <f t="shared" si="139"/>
        <v>-1.7460889063949456</v>
      </c>
      <c r="N979">
        <f t="shared" si="140"/>
        <v>-3.7338368577302603</v>
      </c>
      <c r="O979">
        <f t="shared" si="141"/>
        <v>74.685666387259005</v>
      </c>
      <c r="P979">
        <f t="shared" si="142"/>
        <v>4.7778709136630342</v>
      </c>
      <c r="Q979">
        <f t="shared" si="143"/>
        <v>1.5088013411567478</v>
      </c>
    </row>
    <row r="980" spans="1:17" x14ac:dyDescent="0.3">
      <c r="A980">
        <v>51015126</v>
      </c>
      <c r="B980" t="str">
        <f>VLOOKUP(A980,ASESORES!$A$2:$B$993,2,0)</f>
        <v>METTLER</v>
      </c>
      <c r="C980">
        <v>11792219.6</v>
      </c>
      <c r="D980">
        <v>15190659.800000001</v>
      </c>
      <c r="E980">
        <v>11366214.5</v>
      </c>
      <c r="F980">
        <v>5564500</v>
      </c>
      <c r="G980">
        <v>7053400</v>
      </c>
      <c r="H980">
        <v>8239495</v>
      </c>
      <c r="I980">
        <f t="shared" si="135"/>
        <v>-0.52812106721621777</v>
      </c>
      <c r="J980">
        <f t="shared" si="136"/>
        <v>-0.53567520483869968</v>
      </c>
      <c r="K980">
        <f t="shared" si="137"/>
        <v>-0.27508890492960514</v>
      </c>
      <c r="L980">
        <f t="shared" si="138"/>
        <v>-3.5624016554490558</v>
      </c>
      <c r="M980">
        <f t="shared" si="139"/>
        <v>-3.6685172765291227</v>
      </c>
      <c r="N980">
        <f t="shared" si="140"/>
        <v>-1.9024875211520229</v>
      </c>
      <c r="O980">
        <f t="shared" si="141"/>
        <v>3.0176026823134956</v>
      </c>
      <c r="P980">
        <f t="shared" si="142"/>
        <v>2.347024308466052</v>
      </c>
      <c r="Q980">
        <f t="shared" si="143"/>
        <v>4.6940486169321041</v>
      </c>
    </row>
    <row r="981" spans="1:17" x14ac:dyDescent="0.3">
      <c r="A981">
        <v>51017234</v>
      </c>
      <c r="B981" t="e">
        <f>VLOOKUP(A981,ASESORES!$A$2:$B$993,2,0)</f>
        <v>#N/A</v>
      </c>
      <c r="C981">
        <v>33399192.899999999</v>
      </c>
      <c r="D981">
        <v>35455691.530000001</v>
      </c>
      <c r="E981">
        <v>43446760.909999996</v>
      </c>
      <c r="F981">
        <v>31791835</v>
      </c>
      <c r="G981">
        <v>0</v>
      </c>
      <c r="H981">
        <v>8196250</v>
      </c>
      <c r="I981">
        <f t="shared" si="135"/>
        <v>-4.8125650964457867E-2</v>
      </c>
      <c r="J981">
        <f t="shared" si="136"/>
        <v>-1</v>
      </c>
      <c r="K981">
        <f t="shared" si="137"/>
        <v>-0.81134957294104071</v>
      </c>
      <c r="L981">
        <f t="shared" si="138"/>
        <v>-0.36105382178762496</v>
      </c>
      <c r="M981">
        <f t="shared" si="139"/>
        <v>0</v>
      </c>
      <c r="N981">
        <f t="shared" si="140"/>
        <v>-5.6093587373006031</v>
      </c>
      <c r="O981">
        <f t="shared" si="141"/>
        <v>8.8013411567476947</v>
      </c>
      <c r="P981">
        <f t="shared" si="142"/>
        <v>11.064543168482817</v>
      </c>
      <c r="Q981">
        <f t="shared" si="143"/>
        <v>0.41911148365465212</v>
      </c>
    </row>
    <row r="982" spans="1:17" x14ac:dyDescent="0.3">
      <c r="A982">
        <v>51012852</v>
      </c>
      <c r="B982" t="str">
        <f>VLOOKUP(A982,ASESORES!$A$2:$B$993,2,0)</f>
        <v>CICHETTO</v>
      </c>
      <c r="C982">
        <v>15520148.9</v>
      </c>
      <c r="D982">
        <v>20345012.25</v>
      </c>
      <c r="E982">
        <v>25339877.199999999</v>
      </c>
      <c r="F982">
        <v>22204320</v>
      </c>
      <c r="G982">
        <v>29996480</v>
      </c>
      <c r="H982">
        <v>7178720</v>
      </c>
      <c r="I982">
        <f t="shared" si="135"/>
        <v>0.43067699563114359</v>
      </c>
      <c r="J982">
        <f t="shared" si="136"/>
        <v>0.47438987165023705</v>
      </c>
      <c r="K982">
        <f t="shared" si="137"/>
        <v>-0.71670265237118036</v>
      </c>
      <c r="L982">
        <f t="shared" si="138"/>
        <v>3.1639416214394727</v>
      </c>
      <c r="M982">
        <f t="shared" si="139"/>
        <v>3.5470464173327443</v>
      </c>
      <c r="N982">
        <f t="shared" si="140"/>
        <v>-4.9137470799794611</v>
      </c>
      <c r="O982">
        <f t="shared" si="141"/>
        <v>66.890192791282473</v>
      </c>
      <c r="P982">
        <f t="shared" si="142"/>
        <v>70.913663034367147</v>
      </c>
      <c r="Q982">
        <f t="shared" si="143"/>
        <v>0.83822296730930423</v>
      </c>
    </row>
    <row r="983" spans="1:17" x14ac:dyDescent="0.3">
      <c r="A983">
        <v>51010396</v>
      </c>
      <c r="B983" t="str">
        <f>VLOOKUP(A983,ASESORES!$A$2:$B$993,2,0)</f>
        <v>BELUZZO</v>
      </c>
      <c r="C983">
        <v>26937803.100000001</v>
      </c>
      <c r="D983">
        <v>36964402.599999987</v>
      </c>
      <c r="E983">
        <v>46363210.409999996</v>
      </c>
      <c r="F983">
        <v>42643888</v>
      </c>
      <c r="G983">
        <v>49833999</v>
      </c>
      <c r="H983">
        <v>7108730</v>
      </c>
      <c r="I983">
        <f t="shared" si="135"/>
        <v>0.58304995554741423</v>
      </c>
      <c r="J983">
        <f t="shared" si="136"/>
        <v>0.34816189346449811</v>
      </c>
      <c r="K983">
        <f t="shared" si="137"/>
        <v>-0.84667304232955509</v>
      </c>
      <c r="L983">
        <f t="shared" si="138"/>
        <v>4.4485876646026998</v>
      </c>
      <c r="M983">
        <f t="shared" si="139"/>
        <v>2.679985136333034</v>
      </c>
      <c r="N983">
        <f t="shared" si="140"/>
        <v>-5.8012275944744083</v>
      </c>
      <c r="O983">
        <f t="shared" si="141"/>
        <v>80.888516345347867</v>
      </c>
      <c r="P983">
        <f t="shared" si="142"/>
        <v>58.256496227996649</v>
      </c>
      <c r="Q983">
        <f t="shared" si="143"/>
        <v>0.16764459346186086</v>
      </c>
    </row>
    <row r="984" spans="1:17" x14ac:dyDescent="0.3">
      <c r="A984">
        <v>51022629</v>
      </c>
      <c r="B984" t="str">
        <f>VLOOKUP(A984,ASESORES!$A$2:$B$993,2,0)</f>
        <v>ARGUELLO</v>
      </c>
      <c r="C984">
        <v>2337750.56</v>
      </c>
      <c r="D984">
        <v>4702538.0999999996</v>
      </c>
      <c r="E984">
        <v>5174371.9000000004</v>
      </c>
      <c r="F984">
        <v>2968975</v>
      </c>
      <c r="G984">
        <v>4202700</v>
      </c>
      <c r="H984">
        <v>5662995</v>
      </c>
      <c r="I984">
        <f t="shared" si="135"/>
        <v>0.27001359802903857</v>
      </c>
      <c r="J984">
        <f t="shared" si="136"/>
        <v>-0.1062911324418615</v>
      </c>
      <c r="K984">
        <f t="shared" si="137"/>
        <v>9.443138402943152E-2</v>
      </c>
      <c r="L984">
        <f t="shared" si="138"/>
        <v>1.7476917806731107</v>
      </c>
      <c r="M984">
        <f t="shared" si="139"/>
        <v>-0.70402233333463349</v>
      </c>
      <c r="N984">
        <f t="shared" si="140"/>
        <v>0.63769949701993911</v>
      </c>
      <c r="O984">
        <f t="shared" si="141"/>
        <v>43.922883487007539</v>
      </c>
      <c r="P984">
        <f t="shared" si="142"/>
        <v>7.7954735959765289</v>
      </c>
      <c r="Q984">
        <f t="shared" si="143"/>
        <v>39.228834870075438</v>
      </c>
    </row>
    <row r="985" spans="1:17" x14ac:dyDescent="0.3">
      <c r="A985">
        <v>51021274</v>
      </c>
      <c r="B985" t="str">
        <f>VLOOKUP(A985,ASESORES!$A$2:$B$993,2,0)</f>
        <v>AYALA</v>
      </c>
      <c r="C985">
        <v>4816296.8</v>
      </c>
      <c r="D985">
        <v>4692543.9000000004</v>
      </c>
      <c r="E985">
        <v>6397715.2999999998</v>
      </c>
      <c r="F985">
        <v>5841230</v>
      </c>
      <c r="G985">
        <v>6174128</v>
      </c>
      <c r="H985">
        <v>5302635</v>
      </c>
      <c r="I985">
        <f t="shared" si="135"/>
        <v>0.21280524074014706</v>
      </c>
      <c r="J985">
        <f t="shared" si="136"/>
        <v>0.31573153742898374</v>
      </c>
      <c r="K985">
        <f t="shared" si="137"/>
        <v>-0.17116740096265304</v>
      </c>
      <c r="L985">
        <f t="shared" si="138"/>
        <v>1.4399475780285129</v>
      </c>
      <c r="M985">
        <f t="shared" si="139"/>
        <v>2.1439988833373538</v>
      </c>
      <c r="N985">
        <f t="shared" si="140"/>
        <v>-1.1510137729122192</v>
      </c>
      <c r="O985">
        <f t="shared" si="141"/>
        <v>39.312657166806368</v>
      </c>
      <c r="P985">
        <f t="shared" si="142"/>
        <v>50.712489522212913</v>
      </c>
      <c r="Q985">
        <f t="shared" si="143"/>
        <v>6.7057837384744339</v>
      </c>
    </row>
    <row r="986" spans="1:17" x14ac:dyDescent="0.3">
      <c r="A986">
        <v>51021819</v>
      </c>
      <c r="B986" t="str">
        <f>VLOOKUP(A986,ASESORES!$A$2:$B$993,2,0)</f>
        <v>BELUZZO</v>
      </c>
      <c r="C986">
        <v>17263208.079999998</v>
      </c>
      <c r="D986">
        <v>14401563.619999999</v>
      </c>
      <c r="E986">
        <v>12899739.6</v>
      </c>
      <c r="F986">
        <v>11709489</v>
      </c>
      <c r="G986">
        <v>15391881</v>
      </c>
      <c r="H986">
        <v>5058104</v>
      </c>
      <c r="I986">
        <f t="shared" si="135"/>
        <v>-0.32170840172135595</v>
      </c>
      <c r="J986">
        <f t="shared" si="136"/>
        <v>6.8764573495666115E-2</v>
      </c>
      <c r="K986">
        <f t="shared" si="137"/>
        <v>-0.6078909995981624</v>
      </c>
      <c r="L986">
        <f t="shared" si="138"/>
        <v>-2.2740080441340385</v>
      </c>
      <c r="M986">
        <f t="shared" si="139"/>
        <v>0.49423104813484003</v>
      </c>
      <c r="N986">
        <f t="shared" si="140"/>
        <v>-4.0752938174721738</v>
      </c>
      <c r="O986">
        <f t="shared" si="141"/>
        <v>4.610226320201174</v>
      </c>
      <c r="P986">
        <f t="shared" si="142"/>
        <v>30.846605196982395</v>
      </c>
      <c r="Q986">
        <f t="shared" si="143"/>
        <v>1.2573344509639564</v>
      </c>
    </row>
    <row r="987" spans="1:17" x14ac:dyDescent="0.3">
      <c r="A987">
        <v>51011171</v>
      </c>
      <c r="B987" t="str">
        <f>VLOOKUP(A987,ASESORES!$A$2:$B$993,2,0)</f>
        <v>PRADES</v>
      </c>
      <c r="C987">
        <v>5035377.45</v>
      </c>
      <c r="D987">
        <v>4472045.6500000004</v>
      </c>
      <c r="E987">
        <v>5737342.7100000009</v>
      </c>
      <c r="F987">
        <v>5496002</v>
      </c>
      <c r="G987">
        <v>4109630</v>
      </c>
      <c r="H987">
        <v>4603512</v>
      </c>
      <c r="I987">
        <f t="shared" si="135"/>
        <v>9.1477660726307475E-2</v>
      </c>
      <c r="J987">
        <f t="shared" si="136"/>
        <v>-8.1040239381277357E-2</v>
      </c>
      <c r="K987">
        <f t="shared" si="137"/>
        <v>-0.19762297065220991</v>
      </c>
      <c r="L987">
        <f t="shared" si="138"/>
        <v>0.61656372195938824</v>
      </c>
      <c r="M987">
        <f t="shared" si="139"/>
        <v>-0.53598415589618964</v>
      </c>
      <c r="N987">
        <f t="shared" si="140"/>
        <v>-1.3167794971488822</v>
      </c>
      <c r="O987">
        <f t="shared" si="141"/>
        <v>29.002514668901931</v>
      </c>
      <c r="P987">
        <f t="shared" si="142"/>
        <v>8.3822296730930432</v>
      </c>
      <c r="Q987">
        <f t="shared" si="143"/>
        <v>6.2028499580888514</v>
      </c>
    </row>
    <row r="988" spans="1:17" x14ac:dyDescent="0.3">
      <c r="A988">
        <v>51012470</v>
      </c>
      <c r="B988" t="str">
        <f>VLOOKUP(A988,ASESORES!$A$2:$B$993,2,0)</f>
        <v>AYALA</v>
      </c>
      <c r="C988">
        <v>3406780.35</v>
      </c>
      <c r="D988">
        <v>1705413.2</v>
      </c>
      <c r="E988">
        <v>4148967.8</v>
      </c>
      <c r="F988">
        <v>3549600</v>
      </c>
      <c r="G988">
        <v>3343650</v>
      </c>
      <c r="H988">
        <v>4596570</v>
      </c>
      <c r="I988">
        <f t="shared" si="135"/>
        <v>4.1922177342604394E-2</v>
      </c>
      <c r="J988">
        <f t="shared" si="136"/>
        <v>0.96060989794144902</v>
      </c>
      <c r="K988">
        <f t="shared" si="137"/>
        <v>0.10788278472539603</v>
      </c>
      <c r="L988">
        <f t="shared" si="138"/>
        <v>0.27459778309120852</v>
      </c>
      <c r="M988">
        <f t="shared" si="139"/>
        <v>6.2672310873300408</v>
      </c>
      <c r="N988">
        <f t="shared" si="140"/>
        <v>0.71876191983591076</v>
      </c>
      <c r="O988">
        <f t="shared" si="141"/>
        <v>25.565800502933783</v>
      </c>
      <c r="P988">
        <f t="shared" si="142"/>
        <v>91.785414920368808</v>
      </c>
      <c r="Q988">
        <f t="shared" si="143"/>
        <v>39.899413243922879</v>
      </c>
    </row>
    <row r="989" spans="1:17" x14ac:dyDescent="0.3">
      <c r="A989">
        <v>51032713</v>
      </c>
      <c r="B989" t="str">
        <f>VLOOKUP(A989,ASESORES!$A$2:$B$993,2,0)</f>
        <v>ROBERTS</v>
      </c>
      <c r="C989">
        <v>28607649.109999999</v>
      </c>
      <c r="D989">
        <v>32736358.579999998</v>
      </c>
      <c r="E989">
        <v>37291510.75</v>
      </c>
      <c r="F989">
        <v>36101534</v>
      </c>
      <c r="G989">
        <v>51980236</v>
      </c>
      <c r="H989">
        <v>3505390</v>
      </c>
      <c r="I989">
        <f t="shared" si="135"/>
        <v>0.26195388726927793</v>
      </c>
      <c r="J989">
        <f t="shared" si="136"/>
        <v>0.58784416638681636</v>
      </c>
      <c r="K989">
        <f t="shared" si="137"/>
        <v>-0.90600032207062031</v>
      </c>
      <c r="L989">
        <f t="shared" si="138"/>
        <v>1.9797232237321256</v>
      </c>
      <c r="M989">
        <f t="shared" si="139"/>
        <v>4.5357105022524848</v>
      </c>
      <c r="N989">
        <f t="shared" si="140"/>
        <v>-5.9295332349823662</v>
      </c>
      <c r="O989">
        <f t="shared" si="141"/>
        <v>46.2699077954736</v>
      </c>
      <c r="P989">
        <f t="shared" si="142"/>
        <v>80.55322715842415</v>
      </c>
      <c r="Q989">
        <f t="shared" si="143"/>
        <v>8.3822296730930432E-2</v>
      </c>
    </row>
    <row r="990" spans="1:17" x14ac:dyDescent="0.3">
      <c r="A990">
        <v>51010744</v>
      </c>
      <c r="B990" t="str">
        <f>VLOOKUP(A990,ASESORES!$A$2:$B$993,2,0)</f>
        <v>AYALA</v>
      </c>
      <c r="C990">
        <v>3049314.9</v>
      </c>
      <c r="D990">
        <v>4338639.2</v>
      </c>
      <c r="E990">
        <v>4705499.0999999996</v>
      </c>
      <c r="F990">
        <v>3409450</v>
      </c>
      <c r="G990">
        <v>5054700</v>
      </c>
      <c r="H990">
        <v>3317350</v>
      </c>
      <c r="I990">
        <f t="shared" si="135"/>
        <v>0.11810361074876208</v>
      </c>
      <c r="J990">
        <f t="shared" si="136"/>
        <v>0.16504271661953362</v>
      </c>
      <c r="K990">
        <f t="shared" si="137"/>
        <v>-0.29500570938372928</v>
      </c>
      <c r="L990">
        <f t="shared" si="138"/>
        <v>0.77153360676423366</v>
      </c>
      <c r="M990">
        <f t="shared" si="139"/>
        <v>1.1063960977317073</v>
      </c>
      <c r="N990">
        <f t="shared" si="140"/>
        <v>-1.9236706615970871</v>
      </c>
      <c r="O990">
        <f t="shared" si="141"/>
        <v>30.092204526404025</v>
      </c>
      <c r="P990">
        <f t="shared" si="142"/>
        <v>36.714165968147526</v>
      </c>
      <c r="Q990">
        <f t="shared" si="143"/>
        <v>4.526404023470243</v>
      </c>
    </row>
    <row r="991" spans="1:17" x14ac:dyDescent="0.3">
      <c r="A991">
        <v>51057546</v>
      </c>
      <c r="B991" t="e">
        <f>VLOOKUP(A991,ASESORES!$A$2:$B$993,2,0)</f>
        <v>#N/A</v>
      </c>
      <c r="C991">
        <v>0</v>
      </c>
      <c r="D991">
        <v>0</v>
      </c>
      <c r="E991">
        <v>0</v>
      </c>
      <c r="F991">
        <v>2678000</v>
      </c>
      <c r="G991">
        <v>0</v>
      </c>
      <c r="H991">
        <v>255000</v>
      </c>
      <c r="I991">
        <f t="shared" si="135"/>
        <v>0</v>
      </c>
      <c r="J991">
        <f t="shared" si="136"/>
        <v>0</v>
      </c>
      <c r="K991">
        <f t="shared" si="137"/>
        <v>0</v>
      </c>
      <c r="L991">
        <f t="shared" si="138"/>
        <v>0</v>
      </c>
      <c r="M991">
        <f t="shared" si="139"/>
        <v>0</v>
      </c>
      <c r="N991">
        <f t="shared" si="140"/>
        <v>0</v>
      </c>
      <c r="O991">
        <f t="shared" si="141"/>
        <v>11.5674769488684</v>
      </c>
      <c r="P991">
        <f t="shared" si="142"/>
        <v>11.064543168482817</v>
      </c>
      <c r="Q991">
        <f t="shared" si="143"/>
        <v>14.668901927912826</v>
      </c>
    </row>
    <row r="992" spans="1:17" x14ac:dyDescent="0.3">
      <c r="A992">
        <v>51023889</v>
      </c>
      <c r="B992" t="str">
        <f>VLOOKUP(A992,ASESORES!$A$2:$B$993,2,0)</f>
        <v>ARGUELLO</v>
      </c>
      <c r="C992">
        <v>11776431.93</v>
      </c>
      <c r="D992">
        <v>14940457.42</v>
      </c>
      <c r="E992">
        <v>19964598.5</v>
      </c>
      <c r="F992">
        <v>15599330</v>
      </c>
      <c r="G992">
        <v>20387785</v>
      </c>
      <c r="H992">
        <v>119000</v>
      </c>
      <c r="I992">
        <f t="shared" si="135"/>
        <v>0.32462277986435928</v>
      </c>
      <c r="J992">
        <f t="shared" si="136"/>
        <v>0.36460246342310443</v>
      </c>
      <c r="K992">
        <f t="shared" si="137"/>
        <v>-0.99403944937835842</v>
      </c>
      <c r="L992">
        <f t="shared" si="138"/>
        <v>2.3350460479074115</v>
      </c>
      <c r="M992">
        <f t="shared" si="139"/>
        <v>2.6650143245055009</v>
      </c>
      <c r="N992">
        <f t="shared" si="140"/>
        <v>-5.0452939067966316</v>
      </c>
      <c r="O992">
        <f t="shared" si="141"/>
        <v>53.059513830678959</v>
      </c>
      <c r="P992">
        <f t="shared" si="142"/>
        <v>58.088851634534791</v>
      </c>
      <c r="Q992">
        <f t="shared" si="143"/>
        <v>0.67057837384744345</v>
      </c>
    </row>
    <row r="993" spans="1:17" x14ac:dyDescent="0.3">
      <c r="A993">
        <v>51031041</v>
      </c>
      <c r="B993" t="str">
        <f>VLOOKUP(A993,ASESORES!$A$2:$B$993,2,0)</f>
        <v>CICHETTO</v>
      </c>
      <c r="C993">
        <v>4827037.8499999996</v>
      </c>
      <c r="D993">
        <v>7554302.8399999999</v>
      </c>
      <c r="E993">
        <v>11360254.859999999</v>
      </c>
      <c r="F993">
        <v>9091620</v>
      </c>
      <c r="G993">
        <v>2615100</v>
      </c>
      <c r="H993">
        <v>42500</v>
      </c>
      <c r="I993">
        <f t="shared" si="135"/>
        <v>0.88347808376932457</v>
      </c>
      <c r="J993">
        <f t="shared" si="136"/>
        <v>-0.65382642774750077</v>
      </c>
      <c r="K993">
        <f t="shared" si="137"/>
        <v>-0.99625888674825025</v>
      </c>
      <c r="L993">
        <f t="shared" si="138"/>
        <v>6.1478070595776515</v>
      </c>
      <c r="M993">
        <f t="shared" si="139"/>
        <v>-4.1959234507615433</v>
      </c>
      <c r="N993">
        <f t="shared" si="140"/>
        <v>-4.6110736028898485</v>
      </c>
      <c r="O993">
        <f t="shared" si="141"/>
        <v>91.114836546521374</v>
      </c>
      <c r="P993">
        <f t="shared" si="142"/>
        <v>1.760268231349539</v>
      </c>
      <c r="Q993">
        <f t="shared" si="143"/>
        <v>1.0058675607711651</v>
      </c>
    </row>
    <row r="994" spans="1:17" x14ac:dyDescent="0.3">
      <c r="A994">
        <v>51022262</v>
      </c>
      <c r="B994" t="str">
        <f>VLOOKUP(A994,ASESORES!$A$2:$B$993,2,0)</f>
        <v>MONTENEGRO</v>
      </c>
      <c r="C994">
        <v>9020188.3500000015</v>
      </c>
      <c r="D994">
        <v>2242019.2400000002</v>
      </c>
      <c r="E994">
        <v>1635448</v>
      </c>
      <c r="F994">
        <v>891000</v>
      </c>
      <c r="G994">
        <v>1131900</v>
      </c>
      <c r="H994">
        <v>17000</v>
      </c>
      <c r="I994">
        <f t="shared" si="135"/>
        <v>-0.90122157482443255</v>
      </c>
      <c r="J994">
        <f t="shared" si="136"/>
        <v>-0.4951426018984566</v>
      </c>
      <c r="K994">
        <f t="shared" si="137"/>
        <v>-0.98960529469600989</v>
      </c>
      <c r="L994">
        <f t="shared" si="138"/>
        <v>-5.3621581544448915</v>
      </c>
      <c r="M994">
        <f t="shared" si="139"/>
        <v>-2.9974982741829623</v>
      </c>
      <c r="N994">
        <f t="shared" si="140"/>
        <v>-4.1864746515369644</v>
      </c>
      <c r="O994">
        <f t="shared" si="141"/>
        <v>0.7544006705783739</v>
      </c>
      <c r="P994">
        <f t="shared" si="142"/>
        <v>3.0176026823134956</v>
      </c>
      <c r="Q994">
        <f t="shared" si="143"/>
        <v>1.173512154233026</v>
      </c>
    </row>
    <row r="995" spans="1:17" x14ac:dyDescent="0.3">
      <c r="A995">
        <v>51017731</v>
      </c>
      <c r="B995" t="e">
        <f>VLOOKUP(A995,ASESORES!$A$2:$B$993,2,0)</f>
        <v>#N/A</v>
      </c>
      <c r="C995">
        <v>2594285.1</v>
      </c>
      <c r="D995">
        <v>4821134.3499999996</v>
      </c>
      <c r="E995">
        <v>4639202.4000000004</v>
      </c>
      <c r="F995">
        <v>3056210</v>
      </c>
      <c r="G995">
        <v>722422</v>
      </c>
      <c r="H995">
        <v>2500</v>
      </c>
      <c r="I995">
        <f t="shared" si="135"/>
        <v>0.17805479436319471</v>
      </c>
      <c r="J995">
        <f t="shared" si="136"/>
        <v>-0.85015518184014094</v>
      </c>
      <c r="K995">
        <f t="shared" si="137"/>
        <v>-0.9994611142639519</v>
      </c>
      <c r="L995">
        <f t="shared" si="138"/>
        <v>1.1547179597326971</v>
      </c>
      <c r="M995">
        <f t="shared" si="139"/>
        <v>-4.9808814966201744</v>
      </c>
      <c r="N995">
        <f t="shared" si="140"/>
        <v>-3.3961089072694168</v>
      </c>
      <c r="O995">
        <f t="shared" si="141"/>
        <v>35.12154233025985</v>
      </c>
      <c r="P995">
        <f t="shared" si="142"/>
        <v>0.92204526404023457</v>
      </c>
      <c r="Q995">
        <f t="shared" si="143"/>
        <v>1.760268231349539</v>
      </c>
    </row>
    <row r="996" spans="1:17" x14ac:dyDescent="0.3">
      <c r="A996">
        <v>51000269</v>
      </c>
      <c r="B996" t="e">
        <f>VLOOKUP(A996,ASESORES!$A$2:$B$993,2,0)</f>
        <v>#N/A</v>
      </c>
      <c r="C996">
        <v>42187020.200000003</v>
      </c>
      <c r="D996">
        <v>44896438.700000003</v>
      </c>
      <c r="E996">
        <v>40771253.100000001</v>
      </c>
      <c r="F996">
        <v>565550</v>
      </c>
      <c r="G996">
        <v>0</v>
      </c>
      <c r="H996">
        <v>0</v>
      </c>
      <c r="I996">
        <f t="shared" si="135"/>
        <v>-0.98659421790591406</v>
      </c>
      <c r="J996">
        <f t="shared" si="136"/>
        <v>-1</v>
      </c>
      <c r="K996">
        <f t="shared" si="137"/>
        <v>-1</v>
      </c>
      <c r="L996">
        <f t="shared" si="138"/>
        <v>-5.6753546339037664</v>
      </c>
      <c r="M996">
        <f t="shared" si="139"/>
        <v>0</v>
      </c>
      <c r="N996">
        <f t="shared" si="140"/>
        <v>0</v>
      </c>
      <c r="O996">
        <f t="shared" si="141"/>
        <v>0.25146689019279128</v>
      </c>
      <c r="P996">
        <f t="shared" si="142"/>
        <v>11.064543168482817</v>
      </c>
      <c r="Q996">
        <f t="shared" si="143"/>
        <v>14.668901927912826</v>
      </c>
    </row>
    <row r="997" spans="1:17" x14ac:dyDescent="0.3">
      <c r="A997">
        <v>51000862</v>
      </c>
      <c r="B997" t="e">
        <f>VLOOKUP(A997,ASESORES!$A$2:$B$993,2,0)</f>
        <v>#N/A</v>
      </c>
      <c r="C997">
        <v>19948996.699999999</v>
      </c>
      <c r="D997">
        <v>6866256.0999999996</v>
      </c>
      <c r="E997">
        <v>0</v>
      </c>
      <c r="F997">
        <v>0</v>
      </c>
      <c r="G997">
        <v>0</v>
      </c>
      <c r="H997">
        <v>0</v>
      </c>
      <c r="I997">
        <f t="shared" si="135"/>
        <v>-1</v>
      </c>
      <c r="J997">
        <f t="shared" si="136"/>
        <v>-1</v>
      </c>
      <c r="K997">
        <f t="shared" si="137"/>
        <v>0</v>
      </c>
      <c r="L997">
        <f t="shared" si="138"/>
        <v>0</v>
      </c>
      <c r="M997">
        <f t="shared" si="139"/>
        <v>0</v>
      </c>
      <c r="N997">
        <f t="shared" si="140"/>
        <v>0</v>
      </c>
      <c r="O997">
        <f t="shared" si="141"/>
        <v>11.5674769488684</v>
      </c>
      <c r="P997">
        <f t="shared" si="142"/>
        <v>11.064543168482817</v>
      </c>
      <c r="Q997">
        <f t="shared" si="143"/>
        <v>14.668901927912826</v>
      </c>
    </row>
    <row r="998" spans="1:17" x14ac:dyDescent="0.3">
      <c r="A998">
        <v>51001494</v>
      </c>
      <c r="B998" t="e">
        <f>VLOOKUP(A998,ASESORES!$A$2:$B$993,2,0)</f>
        <v>#N/A</v>
      </c>
      <c r="C998">
        <v>31655088.100000001</v>
      </c>
      <c r="D998">
        <v>20114901.010000002</v>
      </c>
      <c r="E998">
        <v>0</v>
      </c>
      <c r="F998">
        <v>0</v>
      </c>
      <c r="G998">
        <v>0</v>
      </c>
      <c r="H998">
        <v>0</v>
      </c>
      <c r="I998">
        <f t="shared" si="135"/>
        <v>-1</v>
      </c>
      <c r="J998">
        <f t="shared" si="136"/>
        <v>-1</v>
      </c>
      <c r="K998">
        <f t="shared" si="137"/>
        <v>0</v>
      </c>
      <c r="L998">
        <f t="shared" si="138"/>
        <v>0</v>
      </c>
      <c r="M998">
        <f t="shared" si="139"/>
        <v>0</v>
      </c>
      <c r="N998">
        <f t="shared" si="140"/>
        <v>0</v>
      </c>
      <c r="O998">
        <f t="shared" si="141"/>
        <v>11.5674769488684</v>
      </c>
      <c r="P998">
        <f t="shared" si="142"/>
        <v>11.064543168482817</v>
      </c>
      <c r="Q998">
        <f t="shared" si="143"/>
        <v>14.668901927912826</v>
      </c>
    </row>
    <row r="999" spans="1:17" x14ac:dyDescent="0.3">
      <c r="A999">
        <v>51001745</v>
      </c>
      <c r="B999" t="e">
        <f>VLOOKUP(A999,ASESORES!$A$2:$B$993,2,0)</f>
        <v>#N/A</v>
      </c>
      <c r="C999">
        <v>36954782.289999999</v>
      </c>
      <c r="D999">
        <v>10323327.869999999</v>
      </c>
      <c r="E999">
        <v>0</v>
      </c>
      <c r="F999">
        <v>0</v>
      </c>
      <c r="G999">
        <v>0</v>
      </c>
      <c r="H999">
        <v>0</v>
      </c>
      <c r="I999">
        <f t="shared" si="135"/>
        <v>-1</v>
      </c>
      <c r="J999">
        <f t="shared" si="136"/>
        <v>-1</v>
      </c>
      <c r="K999">
        <f t="shared" si="137"/>
        <v>0</v>
      </c>
      <c r="L999">
        <f t="shared" si="138"/>
        <v>0</v>
      </c>
      <c r="M999">
        <f t="shared" si="139"/>
        <v>0</v>
      </c>
      <c r="N999">
        <f t="shared" si="140"/>
        <v>0</v>
      </c>
      <c r="O999">
        <f t="shared" si="141"/>
        <v>11.5674769488684</v>
      </c>
      <c r="P999">
        <f t="shared" si="142"/>
        <v>11.064543168482817</v>
      </c>
      <c r="Q999">
        <f t="shared" si="143"/>
        <v>14.668901927912826</v>
      </c>
    </row>
    <row r="1000" spans="1:17" x14ac:dyDescent="0.3">
      <c r="A1000">
        <v>51001923</v>
      </c>
      <c r="B1000" t="e">
        <f>VLOOKUP(A1000,ASESORES!$A$2:$B$993,2,0)</f>
        <v>#N/A</v>
      </c>
      <c r="C1000">
        <v>27317584.66</v>
      </c>
      <c r="D1000">
        <v>36603922</v>
      </c>
      <c r="E1000">
        <v>36661636.650000013</v>
      </c>
      <c r="F1000">
        <v>0</v>
      </c>
      <c r="G1000">
        <v>0</v>
      </c>
      <c r="H1000">
        <v>0</v>
      </c>
      <c r="I1000">
        <f t="shared" si="135"/>
        <v>-1</v>
      </c>
      <c r="J1000">
        <f t="shared" si="136"/>
        <v>-1</v>
      </c>
      <c r="K1000">
        <f t="shared" si="137"/>
        <v>-1</v>
      </c>
      <c r="L1000">
        <f t="shared" si="138"/>
        <v>0</v>
      </c>
      <c r="M1000">
        <f t="shared" si="139"/>
        <v>0</v>
      </c>
      <c r="N1000">
        <f t="shared" si="140"/>
        <v>0</v>
      </c>
      <c r="O1000">
        <f t="shared" si="141"/>
        <v>11.5674769488684</v>
      </c>
      <c r="P1000">
        <f t="shared" si="142"/>
        <v>11.064543168482817</v>
      </c>
      <c r="Q1000">
        <f t="shared" si="143"/>
        <v>14.668901927912826</v>
      </c>
    </row>
    <row r="1001" spans="1:17" x14ac:dyDescent="0.3">
      <c r="A1001">
        <v>51003721</v>
      </c>
      <c r="B1001" t="e">
        <f>VLOOKUP(A1001,ASESORES!$A$2:$B$993,2,0)</f>
        <v>#N/A</v>
      </c>
      <c r="C1001">
        <v>22397514.199999999</v>
      </c>
      <c r="D1001">
        <v>14125119.66</v>
      </c>
      <c r="E1001">
        <v>0</v>
      </c>
      <c r="F1001">
        <v>0</v>
      </c>
      <c r="G1001">
        <v>0</v>
      </c>
      <c r="H1001">
        <v>0</v>
      </c>
      <c r="I1001">
        <f t="shared" si="135"/>
        <v>-1</v>
      </c>
      <c r="J1001">
        <f t="shared" si="136"/>
        <v>-1</v>
      </c>
      <c r="K1001">
        <f t="shared" si="137"/>
        <v>0</v>
      </c>
      <c r="L1001">
        <f t="shared" si="138"/>
        <v>0</v>
      </c>
      <c r="M1001">
        <f t="shared" si="139"/>
        <v>0</v>
      </c>
      <c r="N1001">
        <f t="shared" si="140"/>
        <v>0</v>
      </c>
      <c r="O1001">
        <f t="shared" si="141"/>
        <v>11.5674769488684</v>
      </c>
      <c r="P1001">
        <f t="shared" si="142"/>
        <v>11.064543168482817</v>
      </c>
      <c r="Q1001">
        <f t="shared" si="143"/>
        <v>14.668901927912826</v>
      </c>
    </row>
    <row r="1002" spans="1:17" x14ac:dyDescent="0.3">
      <c r="A1002">
        <v>51004167</v>
      </c>
      <c r="B1002" t="e">
        <f>VLOOKUP(A1002,ASESORES!$A$2:$B$993,2,0)</f>
        <v>#N/A</v>
      </c>
      <c r="C1002">
        <v>15791830.050000001</v>
      </c>
      <c r="D1002">
        <v>630901.69999999995</v>
      </c>
      <c r="E1002">
        <v>0</v>
      </c>
      <c r="F1002">
        <v>0</v>
      </c>
      <c r="G1002">
        <v>0</v>
      </c>
      <c r="H1002">
        <v>0</v>
      </c>
      <c r="I1002">
        <f t="shared" si="135"/>
        <v>-1</v>
      </c>
      <c r="J1002">
        <f t="shared" si="136"/>
        <v>-1</v>
      </c>
      <c r="K1002">
        <f t="shared" si="137"/>
        <v>0</v>
      </c>
      <c r="L1002">
        <f t="shared" si="138"/>
        <v>0</v>
      </c>
      <c r="M1002">
        <f t="shared" si="139"/>
        <v>0</v>
      </c>
      <c r="N1002">
        <f t="shared" si="140"/>
        <v>0</v>
      </c>
      <c r="O1002">
        <f t="shared" si="141"/>
        <v>11.5674769488684</v>
      </c>
      <c r="P1002">
        <f t="shared" si="142"/>
        <v>11.064543168482817</v>
      </c>
      <c r="Q1002">
        <f t="shared" si="143"/>
        <v>14.668901927912826</v>
      </c>
    </row>
    <row r="1003" spans="1:17" x14ac:dyDescent="0.3">
      <c r="A1003">
        <v>51004671</v>
      </c>
      <c r="B1003" t="e">
        <f>VLOOKUP(A1003,ASESORES!$A$2:$B$993,2,0)</f>
        <v>#N/A</v>
      </c>
      <c r="C1003">
        <v>16501660.689999999</v>
      </c>
      <c r="D1003">
        <v>8275179.8300000001</v>
      </c>
      <c r="E1003">
        <v>0</v>
      </c>
      <c r="F1003">
        <v>0</v>
      </c>
      <c r="G1003">
        <v>0</v>
      </c>
      <c r="H1003">
        <v>0</v>
      </c>
      <c r="I1003">
        <f t="shared" si="135"/>
        <v>-1</v>
      </c>
      <c r="J1003">
        <f t="shared" si="136"/>
        <v>-1</v>
      </c>
      <c r="K1003">
        <f t="shared" si="137"/>
        <v>0</v>
      </c>
      <c r="L1003">
        <f t="shared" si="138"/>
        <v>0</v>
      </c>
      <c r="M1003">
        <f t="shared" si="139"/>
        <v>0</v>
      </c>
      <c r="N1003">
        <f t="shared" si="140"/>
        <v>0</v>
      </c>
      <c r="O1003">
        <f t="shared" si="141"/>
        <v>11.5674769488684</v>
      </c>
      <c r="P1003">
        <f t="shared" si="142"/>
        <v>11.064543168482817</v>
      </c>
      <c r="Q1003">
        <f t="shared" si="143"/>
        <v>14.668901927912826</v>
      </c>
    </row>
    <row r="1004" spans="1:17" x14ac:dyDescent="0.3">
      <c r="A1004">
        <v>51005058</v>
      </c>
      <c r="B1004" t="e">
        <f>VLOOKUP(A1004,ASESORES!$A$2:$B$993,2,0)</f>
        <v>#N/A</v>
      </c>
      <c r="C1004">
        <v>17002881.960000001</v>
      </c>
      <c r="D1004">
        <v>2454845.25</v>
      </c>
      <c r="E1004">
        <v>0</v>
      </c>
      <c r="F1004">
        <v>0</v>
      </c>
      <c r="G1004">
        <v>0</v>
      </c>
      <c r="H1004">
        <v>0</v>
      </c>
      <c r="I1004">
        <f t="shared" si="135"/>
        <v>-1</v>
      </c>
      <c r="J1004">
        <f t="shared" si="136"/>
        <v>-1</v>
      </c>
      <c r="K1004">
        <f t="shared" si="137"/>
        <v>0</v>
      </c>
      <c r="L1004">
        <f t="shared" si="138"/>
        <v>0</v>
      </c>
      <c r="M1004">
        <f t="shared" si="139"/>
        <v>0</v>
      </c>
      <c r="N1004">
        <f t="shared" si="140"/>
        <v>0</v>
      </c>
      <c r="O1004">
        <f t="shared" si="141"/>
        <v>11.5674769488684</v>
      </c>
      <c r="P1004">
        <f t="shared" si="142"/>
        <v>11.064543168482817</v>
      </c>
      <c r="Q1004">
        <f t="shared" si="143"/>
        <v>14.668901927912826</v>
      </c>
    </row>
    <row r="1005" spans="1:17" x14ac:dyDescent="0.3">
      <c r="A1005">
        <v>51005201</v>
      </c>
      <c r="B1005" t="e">
        <f>VLOOKUP(A1005,ASESORES!$A$2:$B$993,2,0)</f>
        <v>#N/A</v>
      </c>
      <c r="C1005">
        <v>44318116.670000002</v>
      </c>
      <c r="D1005">
        <v>0</v>
      </c>
      <c r="E1005">
        <v>0</v>
      </c>
      <c r="F1005">
        <v>0</v>
      </c>
      <c r="G1005">
        <v>0</v>
      </c>
      <c r="H1005">
        <v>0</v>
      </c>
      <c r="I1005">
        <f t="shared" si="135"/>
        <v>-1</v>
      </c>
      <c r="J1005">
        <f t="shared" si="136"/>
        <v>0</v>
      </c>
      <c r="K1005">
        <f t="shared" si="137"/>
        <v>0</v>
      </c>
      <c r="L1005">
        <f t="shared" si="138"/>
        <v>0</v>
      </c>
      <c r="M1005">
        <f t="shared" si="139"/>
        <v>0</v>
      </c>
      <c r="N1005">
        <f t="shared" si="140"/>
        <v>0</v>
      </c>
      <c r="O1005">
        <f t="shared" si="141"/>
        <v>11.5674769488684</v>
      </c>
      <c r="P1005">
        <f t="shared" si="142"/>
        <v>11.064543168482817</v>
      </c>
      <c r="Q1005">
        <f t="shared" si="143"/>
        <v>14.668901927912826</v>
      </c>
    </row>
    <row r="1006" spans="1:17" x14ac:dyDescent="0.3">
      <c r="A1006">
        <v>51005384</v>
      </c>
      <c r="B1006" t="str">
        <f>VLOOKUP(A1006,ASESORES!$A$2:$B$993,2,0)</f>
        <v>NELLI</v>
      </c>
      <c r="C1006">
        <v>25986915.469999999</v>
      </c>
      <c r="D1006">
        <v>35507944.549999997</v>
      </c>
      <c r="E1006">
        <v>45491269.799999997</v>
      </c>
      <c r="F1006">
        <v>46146626</v>
      </c>
      <c r="G1006">
        <v>38208051</v>
      </c>
      <c r="H1006">
        <v>0</v>
      </c>
      <c r="I1006">
        <f t="shared" si="135"/>
        <v>0.77576388599381563</v>
      </c>
      <c r="J1006">
        <f t="shared" si="136"/>
        <v>7.6042319098417188E-2</v>
      </c>
      <c r="K1006">
        <f t="shared" si="137"/>
        <v>-1</v>
      </c>
      <c r="L1006">
        <f t="shared" si="138"/>
        <v>5.945562992880177</v>
      </c>
      <c r="M1006">
        <f t="shared" si="139"/>
        <v>0.57656464120424633</v>
      </c>
      <c r="N1006">
        <f t="shared" si="140"/>
        <v>0</v>
      </c>
      <c r="O1006">
        <f t="shared" si="141"/>
        <v>90.444258172673926</v>
      </c>
      <c r="P1006">
        <f t="shared" si="142"/>
        <v>31.936295054484493</v>
      </c>
      <c r="Q1006">
        <f t="shared" si="143"/>
        <v>14.668901927912826</v>
      </c>
    </row>
    <row r="1007" spans="1:17" x14ac:dyDescent="0.3">
      <c r="A1007">
        <v>51005902</v>
      </c>
      <c r="B1007" t="str">
        <f>VLOOKUP(A1007,ASESORES!$A$2:$B$993,2,0)</f>
        <v>PRADES</v>
      </c>
      <c r="C1007">
        <v>30754185.600000001</v>
      </c>
      <c r="D1007">
        <v>36423471.960000001</v>
      </c>
      <c r="E1007">
        <v>44359316.960000001</v>
      </c>
      <c r="F1007">
        <v>44782863</v>
      </c>
      <c r="G1007">
        <v>40130335</v>
      </c>
      <c r="H1007">
        <v>0</v>
      </c>
      <c r="I1007">
        <f t="shared" si="135"/>
        <v>0.45615506072773382</v>
      </c>
      <c r="J1007">
        <f t="shared" si="136"/>
        <v>0.10177127112074458</v>
      </c>
      <c r="K1007">
        <f t="shared" si="137"/>
        <v>-1</v>
      </c>
      <c r="L1007">
        <f t="shared" si="138"/>
        <v>3.4900933927988076</v>
      </c>
      <c r="M1007">
        <f t="shared" si="139"/>
        <v>0.77381509027694095</v>
      </c>
      <c r="N1007">
        <f t="shared" si="140"/>
        <v>0</v>
      </c>
      <c r="O1007">
        <f t="shared" si="141"/>
        <v>71.165129924559935</v>
      </c>
      <c r="P1007">
        <f t="shared" si="142"/>
        <v>33.02598491198659</v>
      </c>
      <c r="Q1007">
        <f t="shared" si="143"/>
        <v>14.668901927912826</v>
      </c>
    </row>
    <row r="1008" spans="1:17" x14ac:dyDescent="0.3">
      <c r="A1008">
        <v>51006445</v>
      </c>
      <c r="B1008" t="e">
        <f>VLOOKUP(A1008,ASESORES!$A$2:$B$993,2,0)</f>
        <v>#N/A</v>
      </c>
      <c r="C1008">
        <v>65148561.579999998</v>
      </c>
      <c r="D1008">
        <v>96123244.469999999</v>
      </c>
      <c r="E1008">
        <v>109088306.28</v>
      </c>
      <c r="F1008">
        <v>65872810</v>
      </c>
      <c r="G1008">
        <v>23189887</v>
      </c>
      <c r="H1008">
        <v>0</v>
      </c>
      <c r="I1008">
        <f t="shared" si="135"/>
        <v>1.1116875068847953E-2</v>
      </c>
      <c r="J1008">
        <f t="shared" si="136"/>
        <v>-0.75874839506444713</v>
      </c>
      <c r="K1008">
        <f t="shared" si="137"/>
        <v>-1</v>
      </c>
      <c r="L1008">
        <f t="shared" si="138"/>
        <v>8.6919579913761494E-2</v>
      </c>
      <c r="M1008">
        <f t="shared" si="139"/>
        <v>-5.5884085165091975</v>
      </c>
      <c r="N1008">
        <f t="shared" si="140"/>
        <v>0</v>
      </c>
      <c r="O1008">
        <f t="shared" si="141"/>
        <v>23.637887678122379</v>
      </c>
      <c r="P1008">
        <f t="shared" si="142"/>
        <v>0.33528918692372173</v>
      </c>
      <c r="Q1008">
        <f t="shared" si="143"/>
        <v>14.668901927912826</v>
      </c>
    </row>
    <row r="1009" spans="1:17" x14ac:dyDescent="0.3">
      <c r="A1009">
        <v>51006453</v>
      </c>
      <c r="B1009" t="e">
        <f>VLOOKUP(A1009,ASESORES!$A$2:$B$993,2,0)</f>
        <v>#N/A</v>
      </c>
      <c r="C1009">
        <v>39737701.689999998</v>
      </c>
      <c r="D1009">
        <v>19057348.109999999</v>
      </c>
      <c r="E1009">
        <v>0</v>
      </c>
      <c r="F1009">
        <v>0</v>
      </c>
      <c r="G1009">
        <v>0</v>
      </c>
      <c r="H1009">
        <v>0</v>
      </c>
      <c r="I1009">
        <f t="shared" si="135"/>
        <v>-1</v>
      </c>
      <c r="J1009">
        <f t="shared" si="136"/>
        <v>-1</v>
      </c>
      <c r="K1009">
        <f t="shared" si="137"/>
        <v>0</v>
      </c>
      <c r="L1009">
        <f t="shared" si="138"/>
        <v>0</v>
      </c>
      <c r="M1009">
        <f t="shared" si="139"/>
        <v>0</v>
      </c>
      <c r="N1009">
        <f t="shared" si="140"/>
        <v>0</v>
      </c>
      <c r="O1009">
        <f t="shared" si="141"/>
        <v>11.5674769488684</v>
      </c>
      <c r="P1009">
        <f t="shared" si="142"/>
        <v>11.064543168482817</v>
      </c>
      <c r="Q1009">
        <f t="shared" si="143"/>
        <v>14.668901927912826</v>
      </c>
    </row>
    <row r="1010" spans="1:17" x14ac:dyDescent="0.3">
      <c r="A1010">
        <v>51006518</v>
      </c>
      <c r="B1010" t="e">
        <f>VLOOKUP(A1010,ASESORES!$A$2:$B$993,2,0)</f>
        <v>#N/A</v>
      </c>
      <c r="C1010">
        <v>0</v>
      </c>
      <c r="D1010">
        <v>0</v>
      </c>
      <c r="E1010">
        <v>0</v>
      </c>
      <c r="F1010">
        <v>0</v>
      </c>
      <c r="G1010">
        <v>0</v>
      </c>
      <c r="H1010">
        <v>0</v>
      </c>
      <c r="I1010">
        <f t="shared" si="135"/>
        <v>0</v>
      </c>
      <c r="J1010">
        <f t="shared" si="136"/>
        <v>0</v>
      </c>
      <c r="K1010">
        <f t="shared" si="137"/>
        <v>0</v>
      </c>
      <c r="L1010">
        <f t="shared" si="138"/>
        <v>0</v>
      </c>
      <c r="M1010">
        <f t="shared" si="139"/>
        <v>0</v>
      </c>
      <c r="N1010">
        <f t="shared" si="140"/>
        <v>0</v>
      </c>
      <c r="O1010">
        <f t="shared" si="141"/>
        <v>11.5674769488684</v>
      </c>
      <c r="P1010">
        <f t="shared" si="142"/>
        <v>11.064543168482817</v>
      </c>
      <c r="Q1010">
        <f t="shared" si="143"/>
        <v>14.668901927912826</v>
      </c>
    </row>
    <row r="1011" spans="1:17" x14ac:dyDescent="0.3">
      <c r="A1011">
        <v>51006674</v>
      </c>
      <c r="B1011" t="e">
        <f>VLOOKUP(A1011,ASESORES!$A$2:$B$993,2,0)</f>
        <v>#N/A</v>
      </c>
      <c r="C1011">
        <v>8348587.8099999996</v>
      </c>
      <c r="D1011">
        <v>0</v>
      </c>
      <c r="E1011">
        <v>0</v>
      </c>
      <c r="F1011">
        <v>0</v>
      </c>
      <c r="G1011">
        <v>0</v>
      </c>
      <c r="H1011">
        <v>0</v>
      </c>
      <c r="I1011">
        <f t="shared" si="135"/>
        <v>-1</v>
      </c>
      <c r="J1011">
        <f t="shared" si="136"/>
        <v>0</v>
      </c>
      <c r="K1011">
        <f t="shared" si="137"/>
        <v>0</v>
      </c>
      <c r="L1011">
        <f t="shared" si="138"/>
        <v>0</v>
      </c>
      <c r="M1011">
        <f t="shared" si="139"/>
        <v>0</v>
      </c>
      <c r="N1011">
        <f t="shared" si="140"/>
        <v>0</v>
      </c>
      <c r="O1011">
        <f t="shared" si="141"/>
        <v>11.5674769488684</v>
      </c>
      <c r="P1011">
        <f t="shared" si="142"/>
        <v>11.064543168482817</v>
      </c>
      <c r="Q1011">
        <f t="shared" si="143"/>
        <v>14.668901927912826</v>
      </c>
    </row>
    <row r="1012" spans="1:17" x14ac:dyDescent="0.3">
      <c r="A1012">
        <v>51010094</v>
      </c>
      <c r="B1012" t="e">
        <f>VLOOKUP(A1012,ASESORES!$A$2:$B$993,2,0)</f>
        <v>#N/A</v>
      </c>
      <c r="C1012">
        <v>46169641.789999999</v>
      </c>
      <c r="D1012">
        <v>10458732.35</v>
      </c>
      <c r="E1012">
        <v>0</v>
      </c>
      <c r="F1012">
        <v>0</v>
      </c>
      <c r="G1012">
        <v>0</v>
      </c>
      <c r="H1012">
        <v>0</v>
      </c>
      <c r="I1012">
        <f t="shared" si="135"/>
        <v>-1</v>
      </c>
      <c r="J1012">
        <f t="shared" si="136"/>
        <v>-1</v>
      </c>
      <c r="K1012">
        <f t="shared" si="137"/>
        <v>0</v>
      </c>
      <c r="L1012">
        <f t="shared" si="138"/>
        <v>0</v>
      </c>
      <c r="M1012">
        <f t="shared" si="139"/>
        <v>0</v>
      </c>
      <c r="N1012">
        <f t="shared" si="140"/>
        <v>0</v>
      </c>
      <c r="O1012">
        <f t="shared" si="141"/>
        <v>11.5674769488684</v>
      </c>
      <c r="P1012">
        <f t="shared" si="142"/>
        <v>11.064543168482817</v>
      </c>
      <c r="Q1012">
        <f t="shared" si="143"/>
        <v>14.668901927912826</v>
      </c>
    </row>
    <row r="1013" spans="1:17" x14ac:dyDescent="0.3">
      <c r="A1013">
        <v>51010108</v>
      </c>
      <c r="B1013" t="e">
        <f>VLOOKUP(A1013,ASESORES!$A$2:$B$993,2,0)</f>
        <v>#N/A</v>
      </c>
      <c r="C1013">
        <v>0</v>
      </c>
      <c r="D1013">
        <v>0</v>
      </c>
      <c r="E1013">
        <v>0</v>
      </c>
      <c r="F1013">
        <v>0</v>
      </c>
      <c r="G1013">
        <v>0</v>
      </c>
      <c r="H1013">
        <v>0</v>
      </c>
      <c r="I1013">
        <f t="shared" si="135"/>
        <v>0</v>
      </c>
      <c r="J1013">
        <f t="shared" si="136"/>
        <v>0</v>
      </c>
      <c r="K1013">
        <f t="shared" si="137"/>
        <v>0</v>
      </c>
      <c r="L1013">
        <f t="shared" si="138"/>
        <v>0</v>
      </c>
      <c r="M1013">
        <f t="shared" si="139"/>
        <v>0</v>
      </c>
      <c r="N1013">
        <f t="shared" si="140"/>
        <v>0</v>
      </c>
      <c r="O1013">
        <f t="shared" si="141"/>
        <v>11.5674769488684</v>
      </c>
      <c r="P1013">
        <f t="shared" si="142"/>
        <v>11.064543168482817</v>
      </c>
      <c r="Q1013">
        <f t="shared" si="143"/>
        <v>14.668901927912826</v>
      </c>
    </row>
    <row r="1014" spans="1:17" x14ac:dyDescent="0.3">
      <c r="A1014">
        <v>51010167</v>
      </c>
      <c r="B1014" t="e">
        <f>VLOOKUP(A1014,ASESORES!$A$2:$B$993,2,0)</f>
        <v>#N/A</v>
      </c>
      <c r="C1014">
        <v>2913820.5</v>
      </c>
      <c r="D1014">
        <v>1800990.6</v>
      </c>
      <c r="E1014">
        <v>0</v>
      </c>
      <c r="F1014">
        <v>0</v>
      </c>
      <c r="G1014">
        <v>0</v>
      </c>
      <c r="H1014">
        <v>0</v>
      </c>
      <c r="I1014">
        <f t="shared" si="135"/>
        <v>-1</v>
      </c>
      <c r="J1014">
        <f t="shared" si="136"/>
        <v>-1</v>
      </c>
      <c r="K1014">
        <f t="shared" si="137"/>
        <v>0</v>
      </c>
      <c r="L1014">
        <f t="shared" si="138"/>
        <v>0</v>
      </c>
      <c r="M1014">
        <f t="shared" si="139"/>
        <v>0</v>
      </c>
      <c r="N1014">
        <f t="shared" si="140"/>
        <v>0</v>
      </c>
      <c r="O1014">
        <f t="shared" si="141"/>
        <v>11.5674769488684</v>
      </c>
      <c r="P1014">
        <f t="shared" si="142"/>
        <v>11.064543168482817</v>
      </c>
      <c r="Q1014">
        <f t="shared" si="143"/>
        <v>14.668901927912826</v>
      </c>
    </row>
    <row r="1015" spans="1:17" x14ac:dyDescent="0.3">
      <c r="A1015">
        <v>51010388</v>
      </c>
      <c r="B1015" t="e">
        <f>VLOOKUP(A1015,ASESORES!$A$2:$B$993,2,0)</f>
        <v>#N/A</v>
      </c>
      <c r="C1015">
        <v>16708946.689999999</v>
      </c>
      <c r="D1015">
        <v>10241070.58</v>
      </c>
      <c r="E1015">
        <v>0</v>
      </c>
      <c r="F1015">
        <v>0</v>
      </c>
      <c r="G1015">
        <v>0</v>
      </c>
      <c r="H1015">
        <v>0</v>
      </c>
      <c r="I1015">
        <f t="shared" si="135"/>
        <v>-1</v>
      </c>
      <c r="J1015">
        <f t="shared" si="136"/>
        <v>-1</v>
      </c>
      <c r="K1015">
        <f t="shared" si="137"/>
        <v>0</v>
      </c>
      <c r="L1015">
        <f t="shared" si="138"/>
        <v>0</v>
      </c>
      <c r="M1015">
        <f t="shared" si="139"/>
        <v>0</v>
      </c>
      <c r="N1015">
        <f t="shared" si="140"/>
        <v>0</v>
      </c>
      <c r="O1015">
        <f t="shared" si="141"/>
        <v>11.5674769488684</v>
      </c>
      <c r="P1015">
        <f t="shared" si="142"/>
        <v>11.064543168482817</v>
      </c>
      <c r="Q1015">
        <f t="shared" si="143"/>
        <v>14.668901927912826</v>
      </c>
    </row>
    <row r="1016" spans="1:17" x14ac:dyDescent="0.3">
      <c r="A1016">
        <v>51010477</v>
      </c>
      <c r="B1016" t="e">
        <f>VLOOKUP(A1016,ASESORES!$A$2:$B$993,2,0)</f>
        <v>#N/A</v>
      </c>
      <c r="C1016">
        <v>4446403.2</v>
      </c>
      <c r="D1016">
        <v>0</v>
      </c>
      <c r="E1016">
        <v>0</v>
      </c>
      <c r="F1016">
        <v>0</v>
      </c>
      <c r="G1016">
        <v>0</v>
      </c>
      <c r="H1016">
        <v>0</v>
      </c>
      <c r="I1016">
        <f t="shared" si="135"/>
        <v>-1</v>
      </c>
      <c r="J1016">
        <f t="shared" si="136"/>
        <v>0</v>
      </c>
      <c r="K1016">
        <f t="shared" si="137"/>
        <v>0</v>
      </c>
      <c r="L1016">
        <f t="shared" si="138"/>
        <v>0</v>
      </c>
      <c r="M1016">
        <f t="shared" si="139"/>
        <v>0</v>
      </c>
      <c r="N1016">
        <f t="shared" si="140"/>
        <v>0</v>
      </c>
      <c r="O1016">
        <f t="shared" si="141"/>
        <v>11.5674769488684</v>
      </c>
      <c r="P1016">
        <f t="shared" si="142"/>
        <v>11.064543168482817</v>
      </c>
      <c r="Q1016">
        <f t="shared" si="143"/>
        <v>14.668901927912826</v>
      </c>
    </row>
    <row r="1017" spans="1:17" x14ac:dyDescent="0.3">
      <c r="A1017">
        <v>51010485</v>
      </c>
      <c r="B1017" t="e">
        <f>VLOOKUP(A1017,ASESORES!$A$2:$B$993,2,0)</f>
        <v>#N/A</v>
      </c>
      <c r="C1017">
        <v>0</v>
      </c>
      <c r="D1017">
        <v>0</v>
      </c>
      <c r="E1017">
        <v>0</v>
      </c>
      <c r="F1017">
        <v>0</v>
      </c>
      <c r="G1017">
        <v>0</v>
      </c>
      <c r="H1017">
        <v>0</v>
      </c>
      <c r="I1017">
        <f t="shared" si="135"/>
        <v>0</v>
      </c>
      <c r="J1017">
        <f t="shared" si="136"/>
        <v>0</v>
      </c>
      <c r="K1017">
        <f t="shared" si="137"/>
        <v>0</v>
      </c>
      <c r="L1017">
        <f t="shared" si="138"/>
        <v>0</v>
      </c>
      <c r="M1017">
        <f t="shared" si="139"/>
        <v>0</v>
      </c>
      <c r="N1017">
        <f t="shared" si="140"/>
        <v>0</v>
      </c>
      <c r="O1017">
        <f t="shared" si="141"/>
        <v>11.5674769488684</v>
      </c>
      <c r="P1017">
        <f t="shared" si="142"/>
        <v>11.064543168482817</v>
      </c>
      <c r="Q1017">
        <f t="shared" si="143"/>
        <v>14.668901927912826</v>
      </c>
    </row>
    <row r="1018" spans="1:17" x14ac:dyDescent="0.3">
      <c r="A1018">
        <v>51010612</v>
      </c>
      <c r="B1018" t="e">
        <f>VLOOKUP(A1018,ASESORES!$A$2:$B$993,2,0)</f>
        <v>#N/A</v>
      </c>
      <c r="C1018">
        <v>3156562.5</v>
      </c>
      <c r="D1018">
        <v>0</v>
      </c>
      <c r="E1018">
        <v>0</v>
      </c>
      <c r="F1018">
        <v>0</v>
      </c>
      <c r="G1018">
        <v>0</v>
      </c>
      <c r="H1018">
        <v>0</v>
      </c>
      <c r="I1018">
        <f t="shared" si="135"/>
        <v>-1</v>
      </c>
      <c r="J1018">
        <f t="shared" si="136"/>
        <v>0</v>
      </c>
      <c r="K1018">
        <f t="shared" si="137"/>
        <v>0</v>
      </c>
      <c r="L1018">
        <f t="shared" si="138"/>
        <v>0</v>
      </c>
      <c r="M1018">
        <f t="shared" si="139"/>
        <v>0</v>
      </c>
      <c r="N1018">
        <f t="shared" si="140"/>
        <v>0</v>
      </c>
      <c r="O1018">
        <f t="shared" si="141"/>
        <v>11.5674769488684</v>
      </c>
      <c r="P1018">
        <f t="shared" si="142"/>
        <v>11.064543168482817</v>
      </c>
      <c r="Q1018">
        <f t="shared" si="143"/>
        <v>14.668901927912826</v>
      </c>
    </row>
    <row r="1019" spans="1:17" x14ac:dyDescent="0.3">
      <c r="A1019">
        <v>51010639</v>
      </c>
      <c r="B1019" t="e">
        <f>VLOOKUP(A1019,ASESORES!$A$2:$B$993,2,0)</f>
        <v>#N/A</v>
      </c>
      <c r="C1019">
        <v>9373886.5500000007</v>
      </c>
      <c r="D1019">
        <v>0</v>
      </c>
      <c r="E1019">
        <v>0</v>
      </c>
      <c r="F1019">
        <v>0</v>
      </c>
      <c r="G1019">
        <v>0</v>
      </c>
      <c r="H1019">
        <v>0</v>
      </c>
      <c r="I1019">
        <f t="shared" si="135"/>
        <v>-1</v>
      </c>
      <c r="J1019">
        <f t="shared" si="136"/>
        <v>0</v>
      </c>
      <c r="K1019">
        <f t="shared" si="137"/>
        <v>0</v>
      </c>
      <c r="L1019">
        <f t="shared" si="138"/>
        <v>0</v>
      </c>
      <c r="M1019">
        <f t="shared" si="139"/>
        <v>0</v>
      </c>
      <c r="N1019">
        <f t="shared" si="140"/>
        <v>0</v>
      </c>
      <c r="O1019">
        <f t="shared" si="141"/>
        <v>11.5674769488684</v>
      </c>
      <c r="P1019">
        <f t="shared" si="142"/>
        <v>11.064543168482817</v>
      </c>
      <c r="Q1019">
        <f t="shared" si="143"/>
        <v>14.668901927912826</v>
      </c>
    </row>
    <row r="1020" spans="1:17" x14ac:dyDescent="0.3">
      <c r="A1020">
        <v>51010965</v>
      </c>
      <c r="B1020" t="e">
        <f>VLOOKUP(A1020,ASESORES!$A$2:$B$993,2,0)</f>
        <v>#N/A</v>
      </c>
      <c r="C1020">
        <v>9085964.5</v>
      </c>
      <c r="D1020">
        <v>0</v>
      </c>
      <c r="E1020">
        <v>0</v>
      </c>
      <c r="F1020">
        <v>0</v>
      </c>
      <c r="G1020">
        <v>0</v>
      </c>
      <c r="H1020">
        <v>0</v>
      </c>
      <c r="I1020">
        <f t="shared" si="135"/>
        <v>-1</v>
      </c>
      <c r="J1020">
        <f t="shared" si="136"/>
        <v>0</v>
      </c>
      <c r="K1020">
        <f t="shared" si="137"/>
        <v>0</v>
      </c>
      <c r="L1020">
        <f t="shared" si="138"/>
        <v>0</v>
      </c>
      <c r="M1020">
        <f t="shared" si="139"/>
        <v>0</v>
      </c>
      <c r="N1020">
        <f t="shared" si="140"/>
        <v>0</v>
      </c>
      <c r="O1020">
        <f t="shared" si="141"/>
        <v>11.5674769488684</v>
      </c>
      <c r="P1020">
        <f t="shared" si="142"/>
        <v>11.064543168482817</v>
      </c>
      <c r="Q1020">
        <f t="shared" si="143"/>
        <v>14.668901927912826</v>
      </c>
    </row>
    <row r="1021" spans="1:17" x14ac:dyDescent="0.3">
      <c r="A1021">
        <v>51011082</v>
      </c>
      <c r="B1021" t="e">
        <f>VLOOKUP(A1021,ASESORES!$A$2:$B$993,2,0)</f>
        <v>#N/A</v>
      </c>
      <c r="C1021">
        <v>8472488.6199999992</v>
      </c>
      <c r="D1021">
        <v>13369381.5</v>
      </c>
      <c r="E1021">
        <v>14747413.699999999</v>
      </c>
      <c r="F1021">
        <v>12982430</v>
      </c>
      <c r="G1021">
        <v>4800</v>
      </c>
      <c r="H1021">
        <v>0</v>
      </c>
      <c r="I1021">
        <f t="shared" si="135"/>
        <v>0.53230421217137036</v>
      </c>
      <c r="J1021">
        <f t="shared" si="136"/>
        <v>-0.99964097067616775</v>
      </c>
      <c r="K1021">
        <f t="shared" si="137"/>
        <v>-1</v>
      </c>
      <c r="L1021">
        <f t="shared" si="138"/>
        <v>3.7864693559384182</v>
      </c>
      <c r="M1021">
        <f t="shared" si="139"/>
        <v>-3.6799195638232689</v>
      </c>
      <c r="N1021">
        <f t="shared" si="140"/>
        <v>0</v>
      </c>
      <c r="O1021">
        <f t="shared" si="141"/>
        <v>75.104777870913665</v>
      </c>
      <c r="P1021">
        <f t="shared" si="142"/>
        <v>2.2632020117351215</v>
      </c>
      <c r="Q1021">
        <f t="shared" si="143"/>
        <v>14.668901927912826</v>
      </c>
    </row>
    <row r="1022" spans="1:17" x14ac:dyDescent="0.3">
      <c r="A1022">
        <v>51011104</v>
      </c>
      <c r="B1022" t="e">
        <f>VLOOKUP(A1022,ASESORES!$A$2:$B$993,2,0)</f>
        <v>#N/A</v>
      </c>
      <c r="C1022">
        <v>17975419.149999999</v>
      </c>
      <c r="D1022">
        <v>26553997.199999999</v>
      </c>
      <c r="E1022">
        <v>31295881.919999991</v>
      </c>
      <c r="F1022">
        <v>25390996</v>
      </c>
      <c r="G1022">
        <v>15486219</v>
      </c>
      <c r="H1022">
        <v>0</v>
      </c>
      <c r="I1022">
        <f t="shared" si="135"/>
        <v>0.41253985724166009</v>
      </c>
      <c r="J1022">
        <f t="shared" si="136"/>
        <v>-0.41680271774676547</v>
      </c>
      <c r="K1022">
        <f t="shared" si="137"/>
        <v>-1</v>
      </c>
      <c r="L1022">
        <f t="shared" si="138"/>
        <v>3.0547255216477645</v>
      </c>
      <c r="M1022">
        <f t="shared" si="139"/>
        <v>-2.9967887817504657</v>
      </c>
      <c r="N1022">
        <f t="shared" si="140"/>
        <v>0</v>
      </c>
      <c r="O1022">
        <f t="shared" si="141"/>
        <v>65.129924559932945</v>
      </c>
      <c r="P1022">
        <f t="shared" si="142"/>
        <v>3.1014249790444257</v>
      </c>
      <c r="Q1022">
        <f t="shared" si="143"/>
        <v>14.668901927912826</v>
      </c>
    </row>
    <row r="1023" spans="1:17" x14ac:dyDescent="0.3">
      <c r="A1023">
        <v>51011163</v>
      </c>
      <c r="B1023" t="str">
        <f>VLOOKUP(A1023,ASESORES!$A$2:$B$993,2,0)</f>
        <v>ARGUELLO</v>
      </c>
      <c r="C1023">
        <v>28511894.27</v>
      </c>
      <c r="D1023">
        <v>35930537.649999999</v>
      </c>
      <c r="E1023">
        <v>42582235.849999987</v>
      </c>
      <c r="F1023">
        <v>41449171</v>
      </c>
      <c r="G1023">
        <v>34716110</v>
      </c>
      <c r="H1023">
        <v>0</v>
      </c>
      <c r="I1023">
        <f t="shared" si="135"/>
        <v>0.45375016501841148</v>
      </c>
      <c r="J1023">
        <f t="shared" si="136"/>
        <v>-3.3799317500610715E-2</v>
      </c>
      <c r="K1023">
        <f t="shared" si="137"/>
        <v>-1</v>
      </c>
      <c r="L1023">
        <f t="shared" si="138"/>
        <v>3.4564490734731836</v>
      </c>
      <c r="M1023">
        <f t="shared" si="139"/>
        <v>-0.25486480327769057</v>
      </c>
      <c r="N1023">
        <f t="shared" si="140"/>
        <v>0</v>
      </c>
      <c r="O1023">
        <f t="shared" si="141"/>
        <v>70.662196144174345</v>
      </c>
      <c r="P1023">
        <f t="shared" si="142"/>
        <v>9.6395641240569994</v>
      </c>
      <c r="Q1023">
        <f t="shared" si="143"/>
        <v>14.668901927912826</v>
      </c>
    </row>
    <row r="1024" spans="1:17" x14ac:dyDescent="0.3">
      <c r="A1024">
        <v>51011406</v>
      </c>
      <c r="B1024" t="e">
        <f>VLOOKUP(A1024,ASESORES!$A$2:$B$993,2,0)</f>
        <v>#N/A</v>
      </c>
      <c r="C1024">
        <v>37925716.150000013</v>
      </c>
      <c r="D1024">
        <v>51688201.599999987</v>
      </c>
      <c r="E1024">
        <v>47952802.770000003</v>
      </c>
      <c r="F1024">
        <v>1500</v>
      </c>
      <c r="G1024">
        <v>0</v>
      </c>
      <c r="H1024">
        <v>0</v>
      </c>
      <c r="I1024">
        <f t="shared" si="135"/>
        <v>-0.99996044899998549</v>
      </c>
      <c r="J1024">
        <f t="shared" si="136"/>
        <v>-1</v>
      </c>
      <c r="K1024">
        <f t="shared" si="137"/>
        <v>-1</v>
      </c>
      <c r="L1024">
        <f t="shared" si="138"/>
        <v>-3.1759656414702482</v>
      </c>
      <c r="M1024">
        <f t="shared" si="139"/>
        <v>0</v>
      </c>
      <c r="N1024">
        <f t="shared" si="140"/>
        <v>0</v>
      </c>
      <c r="O1024">
        <f t="shared" si="141"/>
        <v>3.4367141659681475</v>
      </c>
      <c r="P1024">
        <f t="shared" si="142"/>
        <v>11.064543168482817</v>
      </c>
      <c r="Q1024">
        <f t="shared" si="143"/>
        <v>14.668901927912826</v>
      </c>
    </row>
    <row r="1025" spans="1:17" x14ac:dyDescent="0.3">
      <c r="A1025">
        <v>51011503</v>
      </c>
      <c r="B1025" t="e">
        <f>VLOOKUP(A1025,ASESORES!$A$2:$B$993,2,0)</f>
        <v>#N/A</v>
      </c>
      <c r="C1025">
        <v>3516683.5</v>
      </c>
      <c r="D1025">
        <v>0</v>
      </c>
      <c r="E1025">
        <v>31996411.25</v>
      </c>
      <c r="F1025">
        <v>3201200</v>
      </c>
      <c r="G1025">
        <v>0</v>
      </c>
      <c r="H1025">
        <v>0</v>
      </c>
      <c r="I1025">
        <f t="shared" si="135"/>
        <v>-8.9710518447281395E-2</v>
      </c>
      <c r="J1025">
        <f t="shared" si="136"/>
        <v>0</v>
      </c>
      <c r="K1025">
        <f t="shared" si="137"/>
        <v>-1</v>
      </c>
      <c r="L1025">
        <f t="shared" si="138"/>
        <v>-0.58359498468732851</v>
      </c>
      <c r="M1025">
        <f t="shared" si="139"/>
        <v>0</v>
      </c>
      <c r="N1025">
        <f t="shared" si="140"/>
        <v>0</v>
      </c>
      <c r="O1025">
        <f t="shared" si="141"/>
        <v>8.130762782900252</v>
      </c>
      <c r="P1025">
        <f t="shared" si="142"/>
        <v>11.064543168482817</v>
      </c>
      <c r="Q1025">
        <f t="shared" si="143"/>
        <v>14.668901927912826</v>
      </c>
    </row>
    <row r="1026" spans="1:17" x14ac:dyDescent="0.3">
      <c r="A1026">
        <v>51011511</v>
      </c>
      <c r="B1026" t="e">
        <f>VLOOKUP(A1026,ASESORES!$A$2:$B$993,2,0)</f>
        <v>#N/A</v>
      </c>
      <c r="C1026">
        <v>39226950.840000004</v>
      </c>
      <c r="D1026">
        <v>51473137.590000004</v>
      </c>
      <c r="E1026">
        <v>74281561.780000001</v>
      </c>
      <c r="F1026">
        <v>50180086</v>
      </c>
      <c r="G1026">
        <v>29400</v>
      </c>
      <c r="H1026">
        <v>0</v>
      </c>
      <c r="I1026">
        <f t="shared" ref="I1026:I1089" si="144">IFERROR(F1026/C1026-1,0)</f>
        <v>0.27922474027298105</v>
      </c>
      <c r="J1026">
        <f t="shared" ref="J1026:J1089" si="145">IFERROR(G1026/D1026-1,0)</f>
        <v>-0.99942882829031754</v>
      </c>
      <c r="K1026">
        <f t="shared" ref="K1026:K1089" si="146">IFERROR(H1026/E1026-1,0)</f>
        <v>-1</v>
      </c>
      <c r="L1026">
        <f t="shared" ref="L1026:L1089" si="147">IFERROR(I1026*LOG(F1026),0)</f>
        <v>2.1501788804877271</v>
      </c>
      <c r="M1026">
        <f t="shared" ref="M1026:M1089" si="148">IFERROR(J1026*LOG(G1026),0)</f>
        <v>-4.4657951368279916</v>
      </c>
      <c r="N1026">
        <f t="shared" ref="N1026:N1089" si="149">IFERROR(K1026*LOG(H1026),0)</f>
        <v>0</v>
      </c>
      <c r="O1026">
        <f t="shared" ref="O1026:O1089" si="150">RANK(L1026,$L$2:$L$1194,1)/COUNT($L$2:$L$1194)*100</f>
        <v>49.203688181056158</v>
      </c>
      <c r="P1026">
        <f t="shared" ref="P1026:P1089" si="151">RANK(M1026,$M$2:$M$1194,1)/COUNT($M$2:$M$1194)*100</f>
        <v>1.5926236378876781</v>
      </c>
      <c r="Q1026">
        <f t="shared" ref="Q1026:Q1089" si="152">RANK(N1026,$N$2:$N$1194,1)/COUNT($N$2:$N$1194)*100</f>
        <v>14.668901927912826</v>
      </c>
    </row>
    <row r="1027" spans="1:17" x14ac:dyDescent="0.3">
      <c r="A1027">
        <v>51011881</v>
      </c>
      <c r="B1027" t="e">
        <f>VLOOKUP(A1027,ASESORES!$A$2:$B$993,2,0)</f>
        <v>#N/A</v>
      </c>
      <c r="C1027">
        <v>47715380.380000003</v>
      </c>
      <c r="D1027">
        <v>45601048.609999999</v>
      </c>
      <c r="E1027">
        <v>0</v>
      </c>
      <c r="F1027">
        <v>0</v>
      </c>
      <c r="G1027">
        <v>0</v>
      </c>
      <c r="H1027">
        <v>0</v>
      </c>
      <c r="I1027">
        <f t="shared" si="144"/>
        <v>-1</v>
      </c>
      <c r="J1027">
        <f t="shared" si="145"/>
        <v>-1</v>
      </c>
      <c r="K1027">
        <f t="shared" si="146"/>
        <v>0</v>
      </c>
      <c r="L1027">
        <f t="shared" si="147"/>
        <v>0</v>
      </c>
      <c r="M1027">
        <f t="shared" si="148"/>
        <v>0</v>
      </c>
      <c r="N1027">
        <f t="shared" si="149"/>
        <v>0</v>
      </c>
      <c r="O1027">
        <f t="shared" si="150"/>
        <v>11.5674769488684</v>
      </c>
      <c r="P1027">
        <f t="shared" si="151"/>
        <v>11.064543168482817</v>
      </c>
      <c r="Q1027">
        <f t="shared" si="152"/>
        <v>14.668901927912826</v>
      </c>
    </row>
    <row r="1028" spans="1:17" x14ac:dyDescent="0.3">
      <c r="A1028">
        <v>51011911</v>
      </c>
      <c r="B1028" t="e">
        <f>VLOOKUP(A1028,ASESORES!$A$2:$B$993,2,0)</f>
        <v>#N/A</v>
      </c>
      <c r="C1028">
        <v>53493798.920000002</v>
      </c>
      <c r="D1028">
        <v>68062696.549999997</v>
      </c>
      <c r="E1028">
        <v>243771331</v>
      </c>
      <c r="F1028">
        <v>388886635</v>
      </c>
      <c r="G1028">
        <v>0</v>
      </c>
      <c r="H1028">
        <v>0</v>
      </c>
      <c r="I1028">
        <f t="shared" si="144"/>
        <v>6.269751688070988</v>
      </c>
      <c r="J1028">
        <f t="shared" si="145"/>
        <v>-1</v>
      </c>
      <c r="K1028">
        <f t="shared" si="146"/>
        <v>-1</v>
      </c>
      <c r="L1028">
        <f t="shared" si="147"/>
        <v>53.856057366439479</v>
      </c>
      <c r="M1028">
        <f t="shared" si="148"/>
        <v>0</v>
      </c>
      <c r="N1028">
        <f t="shared" si="149"/>
        <v>0</v>
      </c>
      <c r="O1028">
        <f t="shared" si="150"/>
        <v>99.664710813076269</v>
      </c>
      <c r="P1028">
        <f t="shared" si="151"/>
        <v>11.064543168482817</v>
      </c>
      <c r="Q1028">
        <f t="shared" si="152"/>
        <v>14.668901927912826</v>
      </c>
    </row>
    <row r="1029" spans="1:17" x14ac:dyDescent="0.3">
      <c r="A1029">
        <v>51011945</v>
      </c>
      <c r="B1029" t="e">
        <f>VLOOKUP(A1029,ASESORES!$A$2:$B$993,2,0)</f>
        <v>#N/A</v>
      </c>
      <c r="C1029">
        <v>9733796.3200000003</v>
      </c>
      <c r="D1029">
        <v>1564713.15</v>
      </c>
      <c r="E1029">
        <v>0</v>
      </c>
      <c r="F1029">
        <v>0</v>
      </c>
      <c r="G1029">
        <v>0</v>
      </c>
      <c r="H1029">
        <v>0</v>
      </c>
      <c r="I1029">
        <f t="shared" si="144"/>
        <v>-1</v>
      </c>
      <c r="J1029">
        <f t="shared" si="145"/>
        <v>-1</v>
      </c>
      <c r="K1029">
        <f t="shared" si="146"/>
        <v>0</v>
      </c>
      <c r="L1029">
        <f t="shared" si="147"/>
        <v>0</v>
      </c>
      <c r="M1029">
        <f t="shared" si="148"/>
        <v>0</v>
      </c>
      <c r="N1029">
        <f t="shared" si="149"/>
        <v>0</v>
      </c>
      <c r="O1029">
        <f t="shared" si="150"/>
        <v>11.5674769488684</v>
      </c>
      <c r="P1029">
        <f t="shared" si="151"/>
        <v>11.064543168482817</v>
      </c>
      <c r="Q1029">
        <f t="shared" si="152"/>
        <v>14.668901927912826</v>
      </c>
    </row>
    <row r="1030" spans="1:17" x14ac:dyDescent="0.3">
      <c r="A1030">
        <v>51012089</v>
      </c>
      <c r="B1030" t="e">
        <f>VLOOKUP(A1030,ASESORES!$A$2:$B$993,2,0)</f>
        <v>#N/A</v>
      </c>
      <c r="C1030">
        <v>33807419.650000013</v>
      </c>
      <c r="D1030">
        <v>18263973.559999999</v>
      </c>
      <c r="E1030">
        <v>0</v>
      </c>
      <c r="F1030">
        <v>0</v>
      </c>
      <c r="G1030">
        <v>0</v>
      </c>
      <c r="H1030">
        <v>0</v>
      </c>
      <c r="I1030">
        <f t="shared" si="144"/>
        <v>-1</v>
      </c>
      <c r="J1030">
        <f t="shared" si="145"/>
        <v>-1</v>
      </c>
      <c r="K1030">
        <f t="shared" si="146"/>
        <v>0</v>
      </c>
      <c r="L1030">
        <f t="shared" si="147"/>
        <v>0</v>
      </c>
      <c r="M1030">
        <f t="shared" si="148"/>
        <v>0</v>
      </c>
      <c r="N1030">
        <f t="shared" si="149"/>
        <v>0</v>
      </c>
      <c r="O1030">
        <f t="shared" si="150"/>
        <v>11.5674769488684</v>
      </c>
      <c r="P1030">
        <f t="shared" si="151"/>
        <v>11.064543168482817</v>
      </c>
      <c r="Q1030">
        <f t="shared" si="152"/>
        <v>14.668901927912826</v>
      </c>
    </row>
    <row r="1031" spans="1:17" x14ac:dyDescent="0.3">
      <c r="A1031">
        <v>51012283</v>
      </c>
      <c r="B1031" t="e">
        <f>VLOOKUP(A1031,ASESORES!$A$2:$B$993,2,0)</f>
        <v>#N/A</v>
      </c>
      <c r="C1031">
        <v>24123096.059999999</v>
      </c>
      <c r="D1031">
        <v>29896903.09</v>
      </c>
      <c r="E1031">
        <v>33618139.420000002</v>
      </c>
      <c r="F1031">
        <v>11920171</v>
      </c>
      <c r="G1031">
        <v>3965990</v>
      </c>
      <c r="H1031">
        <v>0</v>
      </c>
      <c r="I1031">
        <f t="shared" si="144"/>
        <v>-0.50586065029332716</v>
      </c>
      <c r="J1031">
        <f t="shared" si="145"/>
        <v>-0.86734445410412575</v>
      </c>
      <c r="K1031">
        <f t="shared" si="146"/>
        <v>-1</v>
      </c>
      <c r="L1031">
        <f t="shared" si="147"/>
        <v>-3.5796128598202293</v>
      </c>
      <c r="M1031">
        <f t="shared" si="148"/>
        <v>-5.7230436793464463</v>
      </c>
      <c r="N1031">
        <f t="shared" si="149"/>
        <v>0</v>
      </c>
      <c r="O1031">
        <f t="shared" si="150"/>
        <v>2.933780385582565</v>
      </c>
      <c r="P1031">
        <f t="shared" si="151"/>
        <v>0.16764459346186086</v>
      </c>
      <c r="Q1031">
        <f t="shared" si="152"/>
        <v>14.668901927912826</v>
      </c>
    </row>
    <row r="1032" spans="1:17" x14ac:dyDescent="0.3">
      <c r="A1032">
        <v>51012429</v>
      </c>
      <c r="B1032" t="e">
        <f>VLOOKUP(A1032,ASESORES!$A$2:$B$993,2,0)</f>
        <v>#N/A</v>
      </c>
      <c r="C1032">
        <v>34317710.450000003</v>
      </c>
      <c r="D1032">
        <v>42430734.090000004</v>
      </c>
      <c r="E1032">
        <v>53563919.079999998</v>
      </c>
      <c r="F1032">
        <v>17507060</v>
      </c>
      <c r="G1032">
        <v>0</v>
      </c>
      <c r="H1032">
        <v>0</v>
      </c>
      <c r="I1032">
        <f t="shared" si="144"/>
        <v>-0.48985349633078457</v>
      </c>
      <c r="J1032">
        <f t="shared" si="145"/>
        <v>-1</v>
      </c>
      <c r="K1032">
        <f t="shared" si="146"/>
        <v>-1</v>
      </c>
      <c r="L1032">
        <f t="shared" si="147"/>
        <v>-3.54811332056302</v>
      </c>
      <c r="M1032">
        <f t="shared" si="148"/>
        <v>0</v>
      </c>
      <c r="N1032">
        <f t="shared" si="149"/>
        <v>0</v>
      </c>
      <c r="O1032">
        <f t="shared" si="150"/>
        <v>3.1014249790444257</v>
      </c>
      <c r="P1032">
        <f t="shared" si="151"/>
        <v>11.064543168482817</v>
      </c>
      <c r="Q1032">
        <f t="shared" si="152"/>
        <v>14.668901927912826</v>
      </c>
    </row>
    <row r="1033" spans="1:17" x14ac:dyDescent="0.3">
      <c r="A1033">
        <v>51012569</v>
      </c>
      <c r="B1033" t="e">
        <f>VLOOKUP(A1033,ASESORES!$A$2:$B$993,2,0)</f>
        <v>#N/A</v>
      </c>
      <c r="C1033">
        <v>8060288.8999999994</v>
      </c>
      <c r="D1033">
        <v>1909440.2</v>
      </c>
      <c r="E1033">
        <v>0</v>
      </c>
      <c r="F1033">
        <v>0</v>
      </c>
      <c r="G1033">
        <v>0</v>
      </c>
      <c r="H1033">
        <v>0</v>
      </c>
      <c r="I1033">
        <f t="shared" si="144"/>
        <v>-1</v>
      </c>
      <c r="J1033">
        <f t="shared" si="145"/>
        <v>-1</v>
      </c>
      <c r="K1033">
        <f t="shared" si="146"/>
        <v>0</v>
      </c>
      <c r="L1033">
        <f t="shared" si="147"/>
        <v>0</v>
      </c>
      <c r="M1033">
        <f t="shared" si="148"/>
        <v>0</v>
      </c>
      <c r="N1033">
        <f t="shared" si="149"/>
        <v>0</v>
      </c>
      <c r="O1033">
        <f t="shared" si="150"/>
        <v>11.5674769488684</v>
      </c>
      <c r="P1033">
        <f t="shared" si="151"/>
        <v>11.064543168482817</v>
      </c>
      <c r="Q1033">
        <f t="shared" si="152"/>
        <v>14.668901927912826</v>
      </c>
    </row>
    <row r="1034" spans="1:17" x14ac:dyDescent="0.3">
      <c r="A1034">
        <v>51012631</v>
      </c>
      <c r="B1034" t="e">
        <f>VLOOKUP(A1034,ASESORES!$A$2:$B$993,2,0)</f>
        <v>#N/A</v>
      </c>
      <c r="C1034">
        <v>30126924.34</v>
      </c>
      <c r="D1034">
        <v>9348256.0500000007</v>
      </c>
      <c r="E1034">
        <v>0</v>
      </c>
      <c r="F1034">
        <v>0</v>
      </c>
      <c r="G1034">
        <v>0</v>
      </c>
      <c r="H1034">
        <v>0</v>
      </c>
      <c r="I1034">
        <f t="shared" si="144"/>
        <v>-1</v>
      </c>
      <c r="J1034">
        <f t="shared" si="145"/>
        <v>-1</v>
      </c>
      <c r="K1034">
        <f t="shared" si="146"/>
        <v>0</v>
      </c>
      <c r="L1034">
        <f t="shared" si="147"/>
        <v>0</v>
      </c>
      <c r="M1034">
        <f t="shared" si="148"/>
        <v>0</v>
      </c>
      <c r="N1034">
        <f t="shared" si="149"/>
        <v>0</v>
      </c>
      <c r="O1034">
        <f t="shared" si="150"/>
        <v>11.5674769488684</v>
      </c>
      <c r="P1034">
        <f t="shared" si="151"/>
        <v>11.064543168482817</v>
      </c>
      <c r="Q1034">
        <f t="shared" si="152"/>
        <v>14.668901927912826</v>
      </c>
    </row>
    <row r="1035" spans="1:17" x14ac:dyDescent="0.3">
      <c r="A1035">
        <v>51012844</v>
      </c>
      <c r="B1035" t="e">
        <f>VLOOKUP(A1035,ASESORES!$A$2:$B$993,2,0)</f>
        <v>#N/A</v>
      </c>
      <c r="C1035">
        <v>81014860.560000002</v>
      </c>
      <c r="D1035">
        <v>122797470.69</v>
      </c>
      <c r="E1035">
        <v>139491102.22</v>
      </c>
      <c r="F1035">
        <v>62903274</v>
      </c>
      <c r="G1035">
        <v>63360</v>
      </c>
      <c r="H1035">
        <v>0</v>
      </c>
      <c r="I1035">
        <f t="shared" si="144"/>
        <v>-0.2235588191451181</v>
      </c>
      <c r="J1035">
        <f t="shared" si="145"/>
        <v>-0.99948402846048878</v>
      </c>
      <c r="K1035">
        <f t="shared" si="146"/>
        <v>-1</v>
      </c>
      <c r="L1035">
        <f t="shared" si="147"/>
        <v>-1.743462182727753</v>
      </c>
      <c r="M1035">
        <f t="shared" si="148"/>
        <v>-4.7993375686164557</v>
      </c>
      <c r="N1035">
        <f t="shared" si="149"/>
        <v>0</v>
      </c>
      <c r="O1035">
        <f t="shared" si="150"/>
        <v>5.6160938809723389</v>
      </c>
      <c r="P1035">
        <f t="shared" si="151"/>
        <v>1.173512154233026</v>
      </c>
      <c r="Q1035">
        <f t="shared" si="152"/>
        <v>14.668901927912826</v>
      </c>
    </row>
    <row r="1036" spans="1:17" x14ac:dyDescent="0.3">
      <c r="A1036">
        <v>51012925</v>
      </c>
      <c r="B1036" t="e">
        <f>VLOOKUP(A1036,ASESORES!$A$2:$B$993,2,0)</f>
        <v>#N/A</v>
      </c>
      <c r="C1036">
        <v>29325979.350000001</v>
      </c>
      <c r="D1036">
        <v>0</v>
      </c>
      <c r="E1036">
        <v>0</v>
      </c>
      <c r="F1036">
        <v>0</v>
      </c>
      <c r="G1036">
        <v>0</v>
      </c>
      <c r="H1036">
        <v>0</v>
      </c>
      <c r="I1036">
        <f t="shared" si="144"/>
        <v>-1</v>
      </c>
      <c r="J1036">
        <f t="shared" si="145"/>
        <v>0</v>
      </c>
      <c r="K1036">
        <f t="shared" si="146"/>
        <v>0</v>
      </c>
      <c r="L1036">
        <f t="shared" si="147"/>
        <v>0</v>
      </c>
      <c r="M1036">
        <f t="shared" si="148"/>
        <v>0</v>
      </c>
      <c r="N1036">
        <f t="shared" si="149"/>
        <v>0</v>
      </c>
      <c r="O1036">
        <f t="shared" si="150"/>
        <v>11.5674769488684</v>
      </c>
      <c r="P1036">
        <f t="shared" si="151"/>
        <v>11.064543168482817</v>
      </c>
      <c r="Q1036">
        <f t="shared" si="152"/>
        <v>14.668901927912826</v>
      </c>
    </row>
    <row r="1037" spans="1:17" x14ac:dyDescent="0.3">
      <c r="A1037">
        <v>51012968</v>
      </c>
      <c r="B1037" t="e">
        <f>VLOOKUP(A1037,ASESORES!$A$2:$B$993,2,0)</f>
        <v>#N/A</v>
      </c>
      <c r="C1037">
        <v>22339644.73</v>
      </c>
      <c r="D1037">
        <v>32289212.579999998</v>
      </c>
      <c r="E1037">
        <v>34384744.900000013</v>
      </c>
      <c r="F1037">
        <v>21145704</v>
      </c>
      <c r="G1037">
        <v>0</v>
      </c>
      <c r="H1037">
        <v>0</v>
      </c>
      <c r="I1037">
        <f t="shared" si="144"/>
        <v>-5.3444929157564158E-2</v>
      </c>
      <c r="J1037">
        <f t="shared" si="145"/>
        <v>-1</v>
      </c>
      <c r="K1037">
        <f t="shared" si="146"/>
        <v>-1</v>
      </c>
      <c r="L1037">
        <f t="shared" si="147"/>
        <v>-0.39149597879583981</v>
      </c>
      <c r="M1037">
        <f t="shared" si="148"/>
        <v>0</v>
      </c>
      <c r="N1037">
        <f t="shared" si="149"/>
        <v>0</v>
      </c>
      <c r="O1037">
        <f t="shared" si="150"/>
        <v>8.6336965632858345</v>
      </c>
      <c r="P1037">
        <f t="shared" si="151"/>
        <v>11.064543168482817</v>
      </c>
      <c r="Q1037">
        <f t="shared" si="152"/>
        <v>14.668901927912826</v>
      </c>
    </row>
    <row r="1038" spans="1:17" x14ac:dyDescent="0.3">
      <c r="A1038">
        <v>51013042</v>
      </c>
      <c r="B1038" t="e">
        <f>VLOOKUP(A1038,ASESORES!$A$2:$B$993,2,0)</f>
        <v>#N/A</v>
      </c>
      <c r="C1038">
        <v>3166110.9</v>
      </c>
      <c r="D1038">
        <v>4104360.8</v>
      </c>
      <c r="E1038">
        <v>5352754.76</v>
      </c>
      <c r="F1038">
        <v>3831900</v>
      </c>
      <c r="G1038">
        <v>557000</v>
      </c>
      <c r="H1038">
        <v>0</v>
      </c>
      <c r="I1038">
        <f t="shared" si="144"/>
        <v>0.21028609579026436</v>
      </c>
      <c r="J1038">
        <f t="shared" si="145"/>
        <v>-0.86429068321673863</v>
      </c>
      <c r="K1038">
        <f t="shared" si="146"/>
        <v>-1</v>
      </c>
      <c r="L1038">
        <f t="shared" si="147"/>
        <v>1.3844004621267327</v>
      </c>
      <c r="M1038">
        <f t="shared" si="148"/>
        <v>-4.9660891123011499</v>
      </c>
      <c r="N1038">
        <f t="shared" si="149"/>
        <v>0</v>
      </c>
      <c r="O1038">
        <f t="shared" si="150"/>
        <v>38.474434199497068</v>
      </c>
      <c r="P1038">
        <f t="shared" si="151"/>
        <v>1.0058675607711651</v>
      </c>
      <c r="Q1038">
        <f t="shared" si="152"/>
        <v>14.668901927912826</v>
      </c>
    </row>
    <row r="1039" spans="1:17" x14ac:dyDescent="0.3">
      <c r="A1039">
        <v>51013123</v>
      </c>
      <c r="B1039" t="e">
        <f>VLOOKUP(A1039,ASESORES!$A$2:$B$993,2,0)</f>
        <v>#N/A</v>
      </c>
      <c r="C1039">
        <v>38658589.460000001</v>
      </c>
      <c r="D1039">
        <v>48715434.119999997</v>
      </c>
      <c r="E1039">
        <v>62676704.640000001</v>
      </c>
      <c r="F1039">
        <v>25613960</v>
      </c>
      <c r="G1039">
        <v>0</v>
      </c>
      <c r="H1039">
        <v>0</v>
      </c>
      <c r="I1039">
        <f t="shared" si="144"/>
        <v>-0.33743159391517019</v>
      </c>
      <c r="J1039">
        <f t="shared" si="145"/>
        <v>-1</v>
      </c>
      <c r="K1039">
        <f t="shared" si="146"/>
        <v>-1</v>
      </c>
      <c r="L1039">
        <f t="shared" si="147"/>
        <v>-2.4998541104658858</v>
      </c>
      <c r="M1039">
        <f t="shared" si="148"/>
        <v>0</v>
      </c>
      <c r="N1039">
        <f t="shared" si="149"/>
        <v>0</v>
      </c>
      <c r="O1039">
        <f t="shared" si="150"/>
        <v>4.1072925398155906</v>
      </c>
      <c r="P1039">
        <f t="shared" si="151"/>
        <v>11.064543168482817</v>
      </c>
      <c r="Q1039">
        <f t="shared" si="152"/>
        <v>14.668901927912826</v>
      </c>
    </row>
    <row r="1040" spans="1:17" x14ac:dyDescent="0.3">
      <c r="A1040">
        <v>51013174</v>
      </c>
      <c r="B1040" t="e">
        <f>VLOOKUP(A1040,ASESORES!$A$2:$B$993,2,0)</f>
        <v>#N/A</v>
      </c>
      <c r="C1040">
        <v>10066673.449999999</v>
      </c>
      <c r="D1040">
        <v>0</v>
      </c>
      <c r="E1040">
        <v>0</v>
      </c>
      <c r="F1040">
        <v>0</v>
      </c>
      <c r="G1040">
        <v>0</v>
      </c>
      <c r="H1040">
        <v>0</v>
      </c>
      <c r="I1040">
        <f t="shared" si="144"/>
        <v>-1</v>
      </c>
      <c r="J1040">
        <f t="shared" si="145"/>
        <v>0</v>
      </c>
      <c r="K1040">
        <f t="shared" si="146"/>
        <v>0</v>
      </c>
      <c r="L1040">
        <f t="shared" si="147"/>
        <v>0</v>
      </c>
      <c r="M1040">
        <f t="shared" si="148"/>
        <v>0</v>
      </c>
      <c r="N1040">
        <f t="shared" si="149"/>
        <v>0</v>
      </c>
      <c r="O1040">
        <f t="shared" si="150"/>
        <v>11.5674769488684</v>
      </c>
      <c r="P1040">
        <f t="shared" si="151"/>
        <v>11.064543168482817</v>
      </c>
      <c r="Q1040">
        <f t="shared" si="152"/>
        <v>14.668901927912826</v>
      </c>
    </row>
    <row r="1041" spans="1:17" x14ac:dyDescent="0.3">
      <c r="A1041">
        <v>51013263</v>
      </c>
      <c r="B1041" t="e">
        <f>VLOOKUP(A1041,ASESORES!$A$2:$B$993,2,0)</f>
        <v>#N/A</v>
      </c>
      <c r="C1041">
        <v>0</v>
      </c>
      <c r="D1041">
        <v>0</v>
      </c>
      <c r="E1041">
        <v>0</v>
      </c>
      <c r="F1041">
        <v>0</v>
      </c>
      <c r="G1041">
        <v>0</v>
      </c>
      <c r="H1041">
        <v>0</v>
      </c>
      <c r="I1041">
        <f t="shared" si="144"/>
        <v>0</v>
      </c>
      <c r="J1041">
        <f t="shared" si="145"/>
        <v>0</v>
      </c>
      <c r="K1041">
        <f t="shared" si="146"/>
        <v>0</v>
      </c>
      <c r="L1041">
        <f t="shared" si="147"/>
        <v>0</v>
      </c>
      <c r="M1041">
        <f t="shared" si="148"/>
        <v>0</v>
      </c>
      <c r="N1041">
        <f t="shared" si="149"/>
        <v>0</v>
      </c>
      <c r="O1041">
        <f t="shared" si="150"/>
        <v>11.5674769488684</v>
      </c>
      <c r="P1041">
        <f t="shared" si="151"/>
        <v>11.064543168482817</v>
      </c>
      <c r="Q1041">
        <f t="shared" si="152"/>
        <v>14.668901927912826</v>
      </c>
    </row>
    <row r="1042" spans="1:17" x14ac:dyDescent="0.3">
      <c r="A1042">
        <v>51013751</v>
      </c>
      <c r="B1042" t="e">
        <f>VLOOKUP(A1042,ASESORES!$A$2:$B$993,2,0)</f>
        <v>#N/A</v>
      </c>
      <c r="C1042">
        <v>21460823.399999999</v>
      </c>
      <c r="D1042">
        <v>19554115</v>
      </c>
      <c r="E1042">
        <v>29340147.84</v>
      </c>
      <c r="F1042">
        <v>22859320</v>
      </c>
      <c r="G1042">
        <v>0</v>
      </c>
      <c r="H1042">
        <v>0</v>
      </c>
      <c r="I1042">
        <f t="shared" si="144"/>
        <v>6.5165095203197243E-2</v>
      </c>
      <c r="J1042">
        <f t="shared" si="145"/>
        <v>-1</v>
      </c>
      <c r="K1042">
        <f t="shared" si="146"/>
        <v>-1</v>
      </c>
      <c r="L1042">
        <f t="shared" si="147"/>
        <v>0.47955406102141934</v>
      </c>
      <c r="M1042">
        <f t="shared" si="148"/>
        <v>0</v>
      </c>
      <c r="N1042">
        <f t="shared" si="149"/>
        <v>0</v>
      </c>
      <c r="O1042">
        <f t="shared" si="150"/>
        <v>27.15842414082146</v>
      </c>
      <c r="P1042">
        <f t="shared" si="151"/>
        <v>11.064543168482817</v>
      </c>
      <c r="Q1042">
        <f t="shared" si="152"/>
        <v>14.668901927912826</v>
      </c>
    </row>
    <row r="1043" spans="1:17" x14ac:dyDescent="0.3">
      <c r="A1043">
        <v>51013905</v>
      </c>
      <c r="B1043" t="e">
        <f>VLOOKUP(A1043,ASESORES!$A$2:$B$993,2,0)</f>
        <v>#N/A</v>
      </c>
      <c r="C1043">
        <v>18916734.989999998</v>
      </c>
      <c r="D1043">
        <v>26105691.859999999</v>
      </c>
      <c r="E1043">
        <v>18486479.780000001</v>
      </c>
      <c r="F1043">
        <v>0</v>
      </c>
      <c r="G1043">
        <v>0</v>
      </c>
      <c r="H1043">
        <v>0</v>
      </c>
      <c r="I1043">
        <f t="shared" si="144"/>
        <v>-1</v>
      </c>
      <c r="J1043">
        <f t="shared" si="145"/>
        <v>-1</v>
      </c>
      <c r="K1043">
        <f t="shared" si="146"/>
        <v>-1</v>
      </c>
      <c r="L1043">
        <f t="shared" si="147"/>
        <v>0</v>
      </c>
      <c r="M1043">
        <f t="shared" si="148"/>
        <v>0</v>
      </c>
      <c r="N1043">
        <f t="shared" si="149"/>
        <v>0</v>
      </c>
      <c r="O1043">
        <f t="shared" si="150"/>
        <v>11.5674769488684</v>
      </c>
      <c r="P1043">
        <f t="shared" si="151"/>
        <v>11.064543168482817</v>
      </c>
      <c r="Q1043">
        <f t="shared" si="152"/>
        <v>14.668901927912826</v>
      </c>
    </row>
    <row r="1044" spans="1:17" x14ac:dyDescent="0.3">
      <c r="A1044">
        <v>51014073</v>
      </c>
      <c r="B1044" t="e">
        <f>VLOOKUP(A1044,ASESORES!$A$2:$B$993,2,0)</f>
        <v>#N/A</v>
      </c>
      <c r="C1044">
        <v>12522304.630000001</v>
      </c>
      <c r="D1044">
        <v>15165764.6</v>
      </c>
      <c r="E1044">
        <v>17037437</v>
      </c>
      <c r="F1044">
        <v>9600</v>
      </c>
      <c r="G1044">
        <v>0</v>
      </c>
      <c r="H1044">
        <v>0</v>
      </c>
      <c r="I1044">
        <f t="shared" si="144"/>
        <v>-0.99923336795552786</v>
      </c>
      <c r="J1044">
        <f t="shared" si="145"/>
        <v>-1</v>
      </c>
      <c r="K1044">
        <f t="shared" si="146"/>
        <v>-1</v>
      </c>
      <c r="L1044">
        <f t="shared" si="147"/>
        <v>-3.9792182963025406</v>
      </c>
      <c r="M1044">
        <f t="shared" si="148"/>
        <v>0</v>
      </c>
      <c r="N1044">
        <f t="shared" si="149"/>
        <v>0</v>
      </c>
      <c r="O1044">
        <f t="shared" si="150"/>
        <v>2.5146689019279127</v>
      </c>
      <c r="P1044">
        <f t="shared" si="151"/>
        <v>11.064543168482817</v>
      </c>
      <c r="Q1044">
        <f t="shared" si="152"/>
        <v>14.668901927912826</v>
      </c>
    </row>
    <row r="1045" spans="1:17" x14ac:dyDescent="0.3">
      <c r="A1045">
        <v>51014154</v>
      </c>
      <c r="B1045" t="e">
        <f>VLOOKUP(A1045,ASESORES!$A$2:$B$993,2,0)</f>
        <v>#N/A</v>
      </c>
      <c r="C1045">
        <v>4321748.95</v>
      </c>
      <c r="D1045">
        <v>1311200.45</v>
      </c>
      <c r="E1045">
        <v>0</v>
      </c>
      <c r="F1045">
        <v>0</v>
      </c>
      <c r="G1045">
        <v>0</v>
      </c>
      <c r="H1045">
        <v>0</v>
      </c>
      <c r="I1045">
        <f t="shared" si="144"/>
        <v>-1</v>
      </c>
      <c r="J1045">
        <f t="shared" si="145"/>
        <v>-1</v>
      </c>
      <c r="K1045">
        <f t="shared" si="146"/>
        <v>0</v>
      </c>
      <c r="L1045">
        <f t="shared" si="147"/>
        <v>0</v>
      </c>
      <c r="M1045">
        <f t="shared" si="148"/>
        <v>0</v>
      </c>
      <c r="N1045">
        <f t="shared" si="149"/>
        <v>0</v>
      </c>
      <c r="O1045">
        <f t="shared" si="150"/>
        <v>11.5674769488684</v>
      </c>
      <c r="P1045">
        <f t="shared" si="151"/>
        <v>11.064543168482817</v>
      </c>
      <c r="Q1045">
        <f t="shared" si="152"/>
        <v>14.668901927912826</v>
      </c>
    </row>
    <row r="1046" spans="1:17" x14ac:dyDescent="0.3">
      <c r="A1046">
        <v>51014227</v>
      </c>
      <c r="B1046" t="e">
        <f>VLOOKUP(A1046,ASESORES!$A$2:$B$993,2,0)</f>
        <v>#N/A</v>
      </c>
      <c r="C1046">
        <v>33290668.350000001</v>
      </c>
      <c r="D1046">
        <v>45093822.299999997</v>
      </c>
      <c r="E1046">
        <v>48776900.149999999</v>
      </c>
      <c r="F1046">
        <v>39175765</v>
      </c>
      <c r="G1046">
        <v>14200</v>
      </c>
      <c r="H1046">
        <v>0</v>
      </c>
      <c r="I1046">
        <f t="shared" si="144"/>
        <v>0.17677916790757364</v>
      </c>
      <c r="J1046">
        <f t="shared" si="145"/>
        <v>-0.99968510098998642</v>
      </c>
      <c r="K1046">
        <f t="shared" si="146"/>
        <v>-1</v>
      </c>
      <c r="L1046">
        <f t="shared" si="147"/>
        <v>1.3422873130573258</v>
      </c>
      <c r="M1046">
        <f t="shared" si="148"/>
        <v>-4.1509807928941198</v>
      </c>
      <c r="N1046">
        <f t="shared" si="149"/>
        <v>0</v>
      </c>
      <c r="O1046">
        <f t="shared" si="150"/>
        <v>38.055322715842415</v>
      </c>
      <c r="P1046">
        <f t="shared" si="151"/>
        <v>1.8440905280804691</v>
      </c>
      <c r="Q1046">
        <f t="shared" si="152"/>
        <v>14.668901927912826</v>
      </c>
    </row>
    <row r="1047" spans="1:17" x14ac:dyDescent="0.3">
      <c r="A1047">
        <v>51014651</v>
      </c>
      <c r="B1047" t="e">
        <f>VLOOKUP(A1047,ASESORES!$A$2:$B$993,2,0)</f>
        <v>#N/A</v>
      </c>
      <c r="C1047">
        <v>16485843.98</v>
      </c>
      <c r="D1047">
        <v>0</v>
      </c>
      <c r="E1047">
        <v>0</v>
      </c>
      <c r="F1047">
        <v>0</v>
      </c>
      <c r="G1047">
        <v>0</v>
      </c>
      <c r="H1047">
        <v>0</v>
      </c>
      <c r="I1047">
        <f t="shared" si="144"/>
        <v>-1</v>
      </c>
      <c r="J1047">
        <f t="shared" si="145"/>
        <v>0</v>
      </c>
      <c r="K1047">
        <f t="shared" si="146"/>
        <v>0</v>
      </c>
      <c r="L1047">
        <f t="shared" si="147"/>
        <v>0</v>
      </c>
      <c r="M1047">
        <f t="shared" si="148"/>
        <v>0</v>
      </c>
      <c r="N1047">
        <f t="shared" si="149"/>
        <v>0</v>
      </c>
      <c r="O1047">
        <f t="shared" si="150"/>
        <v>11.5674769488684</v>
      </c>
      <c r="P1047">
        <f t="shared" si="151"/>
        <v>11.064543168482817</v>
      </c>
      <c r="Q1047">
        <f t="shared" si="152"/>
        <v>14.668901927912826</v>
      </c>
    </row>
    <row r="1048" spans="1:17" x14ac:dyDescent="0.3">
      <c r="A1048">
        <v>51014723</v>
      </c>
      <c r="B1048" t="e">
        <f>VLOOKUP(A1048,ASESORES!$A$2:$B$993,2,0)</f>
        <v>#N/A</v>
      </c>
      <c r="C1048">
        <v>24942012.850000001</v>
      </c>
      <c r="D1048">
        <v>31330994.399999999</v>
      </c>
      <c r="E1048">
        <v>32626377.300000001</v>
      </c>
      <c r="F1048">
        <v>23861080</v>
      </c>
      <c r="G1048">
        <v>6525358</v>
      </c>
      <c r="H1048">
        <v>0</v>
      </c>
      <c r="I1048">
        <f t="shared" si="144"/>
        <v>-4.3337835502718969E-2</v>
      </c>
      <c r="J1048">
        <f t="shared" si="145"/>
        <v>-0.7917283468028069</v>
      </c>
      <c r="K1048">
        <f t="shared" si="146"/>
        <v>-1</v>
      </c>
      <c r="L1048">
        <f t="shared" si="147"/>
        <v>-0.31973311980569202</v>
      </c>
      <c r="M1048">
        <f t="shared" si="148"/>
        <v>-5.395315430847579</v>
      </c>
      <c r="N1048">
        <f t="shared" si="149"/>
        <v>0</v>
      </c>
      <c r="O1048">
        <f t="shared" si="150"/>
        <v>9.0528080469404859</v>
      </c>
      <c r="P1048">
        <f t="shared" si="151"/>
        <v>0.50293378038558256</v>
      </c>
      <c r="Q1048">
        <f t="shared" si="152"/>
        <v>14.668901927912826</v>
      </c>
    </row>
    <row r="1049" spans="1:17" x14ac:dyDescent="0.3">
      <c r="A1049">
        <v>51015282</v>
      </c>
      <c r="B1049" t="e">
        <f>VLOOKUP(A1049,ASESORES!$A$2:$B$993,2,0)</f>
        <v>#N/A</v>
      </c>
      <c r="C1049">
        <v>6496431.8999999994</v>
      </c>
      <c r="D1049">
        <v>9336225.7000000011</v>
      </c>
      <c r="E1049">
        <v>83490</v>
      </c>
      <c r="F1049">
        <v>0</v>
      </c>
      <c r="G1049">
        <v>0</v>
      </c>
      <c r="H1049">
        <v>0</v>
      </c>
      <c r="I1049">
        <f t="shared" si="144"/>
        <v>-1</v>
      </c>
      <c r="J1049">
        <f t="shared" si="145"/>
        <v>-1</v>
      </c>
      <c r="K1049">
        <f t="shared" si="146"/>
        <v>-1</v>
      </c>
      <c r="L1049">
        <f t="shared" si="147"/>
        <v>0</v>
      </c>
      <c r="M1049">
        <f t="shared" si="148"/>
        <v>0</v>
      </c>
      <c r="N1049">
        <f t="shared" si="149"/>
        <v>0</v>
      </c>
      <c r="O1049">
        <f t="shared" si="150"/>
        <v>11.5674769488684</v>
      </c>
      <c r="P1049">
        <f t="shared" si="151"/>
        <v>11.064543168482817</v>
      </c>
      <c r="Q1049">
        <f t="shared" si="152"/>
        <v>14.668901927912826</v>
      </c>
    </row>
    <row r="1050" spans="1:17" x14ac:dyDescent="0.3">
      <c r="A1050">
        <v>51015576</v>
      </c>
      <c r="B1050" t="e">
        <f>VLOOKUP(A1050,ASESORES!$A$2:$B$993,2,0)</f>
        <v>#N/A</v>
      </c>
      <c r="C1050">
        <v>14635292.779999999</v>
      </c>
      <c r="D1050">
        <v>23473687.079999998</v>
      </c>
      <c r="E1050">
        <v>23642433.539999999</v>
      </c>
      <c r="F1050">
        <v>12384855</v>
      </c>
      <c r="G1050">
        <v>0</v>
      </c>
      <c r="H1050">
        <v>0</v>
      </c>
      <c r="I1050">
        <f t="shared" si="144"/>
        <v>-0.1537678687969507</v>
      </c>
      <c r="J1050">
        <f t="shared" si="145"/>
        <v>-1</v>
      </c>
      <c r="K1050">
        <f t="shared" si="146"/>
        <v>-1</v>
      </c>
      <c r="L1050">
        <f t="shared" si="147"/>
        <v>-1.0906587213460475</v>
      </c>
      <c r="M1050">
        <f t="shared" si="148"/>
        <v>0</v>
      </c>
      <c r="N1050">
        <f t="shared" si="149"/>
        <v>0</v>
      </c>
      <c r="O1050">
        <f t="shared" si="150"/>
        <v>6.7057837384744339</v>
      </c>
      <c r="P1050">
        <f t="shared" si="151"/>
        <v>11.064543168482817</v>
      </c>
      <c r="Q1050">
        <f t="shared" si="152"/>
        <v>14.668901927912826</v>
      </c>
    </row>
    <row r="1051" spans="1:17" x14ac:dyDescent="0.3">
      <c r="A1051">
        <v>51015690</v>
      </c>
      <c r="B1051" t="e">
        <f>VLOOKUP(A1051,ASESORES!$A$2:$B$993,2,0)</f>
        <v>#N/A</v>
      </c>
      <c r="C1051">
        <v>7180621.7199999997</v>
      </c>
      <c r="D1051">
        <v>0</v>
      </c>
      <c r="E1051">
        <v>0</v>
      </c>
      <c r="F1051">
        <v>0</v>
      </c>
      <c r="G1051">
        <v>0</v>
      </c>
      <c r="H1051">
        <v>0</v>
      </c>
      <c r="I1051">
        <f t="shared" si="144"/>
        <v>-1</v>
      </c>
      <c r="J1051">
        <f t="shared" si="145"/>
        <v>0</v>
      </c>
      <c r="K1051">
        <f t="shared" si="146"/>
        <v>0</v>
      </c>
      <c r="L1051">
        <f t="shared" si="147"/>
        <v>0</v>
      </c>
      <c r="M1051">
        <f t="shared" si="148"/>
        <v>0</v>
      </c>
      <c r="N1051">
        <f t="shared" si="149"/>
        <v>0</v>
      </c>
      <c r="O1051">
        <f t="shared" si="150"/>
        <v>11.5674769488684</v>
      </c>
      <c r="P1051">
        <f t="shared" si="151"/>
        <v>11.064543168482817</v>
      </c>
      <c r="Q1051">
        <f t="shared" si="152"/>
        <v>14.668901927912826</v>
      </c>
    </row>
    <row r="1052" spans="1:17" x14ac:dyDescent="0.3">
      <c r="A1052">
        <v>51015738</v>
      </c>
      <c r="B1052" t="e">
        <f>VLOOKUP(A1052,ASESORES!$A$2:$B$993,2,0)</f>
        <v>#N/A</v>
      </c>
      <c r="C1052">
        <v>26213329.059999999</v>
      </c>
      <c r="D1052">
        <v>0</v>
      </c>
      <c r="E1052">
        <v>0</v>
      </c>
      <c r="F1052">
        <v>0</v>
      </c>
      <c r="G1052">
        <v>0</v>
      </c>
      <c r="H1052">
        <v>0</v>
      </c>
      <c r="I1052">
        <f t="shared" si="144"/>
        <v>-1</v>
      </c>
      <c r="J1052">
        <f t="shared" si="145"/>
        <v>0</v>
      </c>
      <c r="K1052">
        <f t="shared" si="146"/>
        <v>0</v>
      </c>
      <c r="L1052">
        <f t="shared" si="147"/>
        <v>0</v>
      </c>
      <c r="M1052">
        <f t="shared" si="148"/>
        <v>0</v>
      </c>
      <c r="N1052">
        <f t="shared" si="149"/>
        <v>0</v>
      </c>
      <c r="O1052">
        <f t="shared" si="150"/>
        <v>11.5674769488684</v>
      </c>
      <c r="P1052">
        <f t="shared" si="151"/>
        <v>11.064543168482817</v>
      </c>
      <c r="Q1052">
        <f t="shared" si="152"/>
        <v>14.668901927912826</v>
      </c>
    </row>
    <row r="1053" spans="1:17" x14ac:dyDescent="0.3">
      <c r="A1053">
        <v>51015959</v>
      </c>
      <c r="B1053" t="e">
        <f>VLOOKUP(A1053,ASESORES!$A$2:$B$993,2,0)</f>
        <v>#N/A</v>
      </c>
      <c r="C1053">
        <v>24727505.949999999</v>
      </c>
      <c r="D1053">
        <v>2919445.1</v>
      </c>
      <c r="E1053">
        <v>0</v>
      </c>
      <c r="F1053">
        <v>0</v>
      </c>
      <c r="G1053">
        <v>0</v>
      </c>
      <c r="H1053">
        <v>0</v>
      </c>
      <c r="I1053">
        <f t="shared" si="144"/>
        <v>-1</v>
      </c>
      <c r="J1053">
        <f t="shared" si="145"/>
        <v>-1</v>
      </c>
      <c r="K1053">
        <f t="shared" si="146"/>
        <v>0</v>
      </c>
      <c r="L1053">
        <f t="shared" si="147"/>
        <v>0</v>
      </c>
      <c r="M1053">
        <f t="shared" si="148"/>
        <v>0</v>
      </c>
      <c r="N1053">
        <f t="shared" si="149"/>
        <v>0</v>
      </c>
      <c r="O1053">
        <f t="shared" si="150"/>
        <v>11.5674769488684</v>
      </c>
      <c r="P1053">
        <f t="shared" si="151"/>
        <v>11.064543168482817</v>
      </c>
      <c r="Q1053">
        <f t="shared" si="152"/>
        <v>14.668901927912826</v>
      </c>
    </row>
    <row r="1054" spans="1:17" x14ac:dyDescent="0.3">
      <c r="A1054">
        <v>51015991</v>
      </c>
      <c r="B1054" t="e">
        <f>VLOOKUP(A1054,ASESORES!$A$2:$B$993,2,0)</f>
        <v>#N/A</v>
      </c>
      <c r="C1054">
        <v>15650921</v>
      </c>
      <c r="D1054">
        <v>1838150.6</v>
      </c>
      <c r="E1054">
        <v>0</v>
      </c>
      <c r="F1054">
        <v>0</v>
      </c>
      <c r="G1054">
        <v>0</v>
      </c>
      <c r="H1054">
        <v>0</v>
      </c>
      <c r="I1054">
        <f t="shared" si="144"/>
        <v>-1</v>
      </c>
      <c r="J1054">
        <f t="shared" si="145"/>
        <v>-1</v>
      </c>
      <c r="K1054">
        <f t="shared" si="146"/>
        <v>0</v>
      </c>
      <c r="L1054">
        <f t="shared" si="147"/>
        <v>0</v>
      </c>
      <c r="M1054">
        <f t="shared" si="148"/>
        <v>0</v>
      </c>
      <c r="N1054">
        <f t="shared" si="149"/>
        <v>0</v>
      </c>
      <c r="O1054">
        <f t="shared" si="150"/>
        <v>11.5674769488684</v>
      </c>
      <c r="P1054">
        <f t="shared" si="151"/>
        <v>11.064543168482817</v>
      </c>
      <c r="Q1054">
        <f t="shared" si="152"/>
        <v>14.668901927912826</v>
      </c>
    </row>
    <row r="1055" spans="1:17" x14ac:dyDescent="0.3">
      <c r="A1055">
        <v>51016122</v>
      </c>
      <c r="B1055" t="e">
        <f>VLOOKUP(A1055,ASESORES!$A$2:$B$993,2,0)</f>
        <v>#N/A</v>
      </c>
      <c r="C1055">
        <v>36535519.609999999</v>
      </c>
      <c r="D1055">
        <v>58920632.400000013</v>
      </c>
      <c r="E1055">
        <v>70549466.819999993</v>
      </c>
      <c r="F1055">
        <v>50752959</v>
      </c>
      <c r="G1055">
        <v>0</v>
      </c>
      <c r="H1055">
        <v>0</v>
      </c>
      <c r="I1055">
        <f t="shared" si="144"/>
        <v>0.38914019950351553</v>
      </c>
      <c r="J1055">
        <f t="shared" si="145"/>
        <v>-1</v>
      </c>
      <c r="K1055">
        <f t="shared" si="146"/>
        <v>-1</v>
      </c>
      <c r="L1055">
        <f t="shared" si="147"/>
        <v>2.9985047738423143</v>
      </c>
      <c r="M1055">
        <f t="shared" si="148"/>
        <v>0</v>
      </c>
      <c r="N1055">
        <f t="shared" si="149"/>
        <v>0</v>
      </c>
      <c r="O1055">
        <f t="shared" si="150"/>
        <v>63.956412405699915</v>
      </c>
      <c r="P1055">
        <f t="shared" si="151"/>
        <v>11.064543168482817</v>
      </c>
      <c r="Q1055">
        <f t="shared" si="152"/>
        <v>14.668901927912826</v>
      </c>
    </row>
    <row r="1056" spans="1:17" x14ac:dyDescent="0.3">
      <c r="A1056">
        <v>51016190</v>
      </c>
      <c r="B1056" t="e">
        <f>VLOOKUP(A1056,ASESORES!$A$2:$B$993,2,0)</f>
        <v>#N/A</v>
      </c>
      <c r="C1056">
        <v>27394697.949999999</v>
      </c>
      <c r="D1056">
        <v>38694530.719999999</v>
      </c>
      <c r="E1056">
        <v>42803141.969999999</v>
      </c>
      <c r="F1056">
        <v>9719447</v>
      </c>
      <c r="G1056">
        <v>0</v>
      </c>
      <c r="H1056">
        <v>0</v>
      </c>
      <c r="I1056">
        <f t="shared" si="144"/>
        <v>-0.64520700254700203</v>
      </c>
      <c r="J1056">
        <f t="shared" si="145"/>
        <v>-1</v>
      </c>
      <c r="K1056">
        <f t="shared" si="146"/>
        <v>-1</v>
      </c>
      <c r="L1056">
        <f t="shared" si="147"/>
        <v>-4.5084752631587452</v>
      </c>
      <c r="M1056">
        <f t="shared" si="148"/>
        <v>0</v>
      </c>
      <c r="N1056">
        <f t="shared" si="149"/>
        <v>0</v>
      </c>
      <c r="O1056">
        <f t="shared" si="150"/>
        <v>1.6764459346186085</v>
      </c>
      <c r="P1056">
        <f t="shared" si="151"/>
        <v>11.064543168482817</v>
      </c>
      <c r="Q1056">
        <f t="shared" si="152"/>
        <v>14.668901927912826</v>
      </c>
    </row>
    <row r="1057" spans="1:17" x14ac:dyDescent="0.3">
      <c r="A1057">
        <v>51016505</v>
      </c>
      <c r="B1057" t="e">
        <f>VLOOKUP(A1057,ASESORES!$A$2:$B$993,2,0)</f>
        <v>#N/A</v>
      </c>
      <c r="C1057">
        <v>11960049</v>
      </c>
      <c r="D1057">
        <v>17945257.699999999</v>
      </c>
      <c r="E1057">
        <v>24299123.149999999</v>
      </c>
      <c r="F1057">
        <v>14414440</v>
      </c>
      <c r="G1057">
        <v>1481000</v>
      </c>
      <c r="H1057">
        <v>0</v>
      </c>
      <c r="I1057">
        <f t="shared" si="144"/>
        <v>0.20521579802892109</v>
      </c>
      <c r="J1057">
        <f t="shared" si="145"/>
        <v>-0.91747123252512552</v>
      </c>
      <c r="K1057">
        <f t="shared" si="146"/>
        <v>-1</v>
      </c>
      <c r="L1057">
        <f t="shared" si="147"/>
        <v>1.469098398271198</v>
      </c>
      <c r="M1057">
        <f t="shared" si="148"/>
        <v>-5.6613067549056009</v>
      </c>
      <c r="N1057">
        <f t="shared" si="149"/>
        <v>0</v>
      </c>
      <c r="O1057">
        <f t="shared" si="150"/>
        <v>39.731768650461028</v>
      </c>
      <c r="P1057">
        <f t="shared" si="151"/>
        <v>0.25146689019279128</v>
      </c>
      <c r="Q1057">
        <f t="shared" si="152"/>
        <v>14.668901927912826</v>
      </c>
    </row>
    <row r="1058" spans="1:17" x14ac:dyDescent="0.3">
      <c r="A1058">
        <v>51016670</v>
      </c>
      <c r="B1058" t="e">
        <f>VLOOKUP(A1058,ASESORES!$A$2:$B$993,2,0)</f>
        <v>#N/A</v>
      </c>
      <c r="C1058">
        <v>45815558.030000001</v>
      </c>
      <c r="D1058">
        <v>46743202.329999998</v>
      </c>
      <c r="E1058">
        <v>68560487.909999996</v>
      </c>
      <c r="F1058">
        <v>18361570</v>
      </c>
      <c r="G1058">
        <v>0</v>
      </c>
      <c r="H1058">
        <v>0</v>
      </c>
      <c r="I1058">
        <f t="shared" si="144"/>
        <v>-0.59922849814517476</v>
      </c>
      <c r="J1058">
        <f t="shared" si="145"/>
        <v>-1</v>
      </c>
      <c r="K1058">
        <f t="shared" si="146"/>
        <v>-1</v>
      </c>
      <c r="L1058">
        <f t="shared" si="147"/>
        <v>-4.3527417677020308</v>
      </c>
      <c r="M1058">
        <f t="shared" si="148"/>
        <v>0</v>
      </c>
      <c r="N1058">
        <f t="shared" si="149"/>
        <v>0</v>
      </c>
      <c r="O1058">
        <f t="shared" si="150"/>
        <v>2.0117351215423303</v>
      </c>
      <c r="P1058">
        <f t="shared" si="151"/>
        <v>11.064543168482817</v>
      </c>
      <c r="Q1058">
        <f t="shared" si="152"/>
        <v>14.668901927912826</v>
      </c>
    </row>
    <row r="1059" spans="1:17" x14ac:dyDescent="0.3">
      <c r="A1059">
        <v>51016751</v>
      </c>
      <c r="B1059" t="e">
        <f>VLOOKUP(A1059,ASESORES!$A$2:$B$993,2,0)</f>
        <v>#N/A</v>
      </c>
      <c r="C1059">
        <v>9951922.6999999993</v>
      </c>
      <c r="D1059">
        <v>695084.8</v>
      </c>
      <c r="E1059">
        <v>19348131.420000002</v>
      </c>
      <c r="F1059">
        <v>13710622</v>
      </c>
      <c r="G1059">
        <v>0</v>
      </c>
      <c r="H1059">
        <v>0</v>
      </c>
      <c r="I1059">
        <f t="shared" si="144"/>
        <v>0.37768574106790442</v>
      </c>
      <c r="J1059">
        <f t="shared" si="145"/>
        <v>-1</v>
      </c>
      <c r="K1059">
        <f t="shared" si="146"/>
        <v>-1</v>
      </c>
      <c r="L1059">
        <f t="shared" si="147"/>
        <v>2.6955647215986058</v>
      </c>
      <c r="M1059">
        <f t="shared" si="148"/>
        <v>0</v>
      </c>
      <c r="N1059">
        <f t="shared" si="149"/>
        <v>0</v>
      </c>
      <c r="O1059">
        <f t="shared" si="150"/>
        <v>58.759430008382232</v>
      </c>
      <c r="P1059">
        <f t="shared" si="151"/>
        <v>11.064543168482817</v>
      </c>
      <c r="Q1059">
        <f t="shared" si="152"/>
        <v>14.668901927912826</v>
      </c>
    </row>
    <row r="1060" spans="1:17" x14ac:dyDescent="0.3">
      <c r="A1060">
        <v>51016769</v>
      </c>
      <c r="B1060" t="e">
        <f>VLOOKUP(A1060,ASESORES!$A$2:$B$993,2,0)</f>
        <v>#N/A</v>
      </c>
      <c r="C1060">
        <v>12869797.67</v>
      </c>
      <c r="D1060">
        <v>6992106.2999999998</v>
      </c>
      <c r="E1060">
        <v>0</v>
      </c>
      <c r="F1060">
        <v>0</v>
      </c>
      <c r="G1060">
        <v>0</v>
      </c>
      <c r="H1060">
        <v>0</v>
      </c>
      <c r="I1060">
        <f t="shared" si="144"/>
        <v>-1</v>
      </c>
      <c r="J1060">
        <f t="shared" si="145"/>
        <v>-1</v>
      </c>
      <c r="K1060">
        <f t="shared" si="146"/>
        <v>0</v>
      </c>
      <c r="L1060">
        <f t="shared" si="147"/>
        <v>0</v>
      </c>
      <c r="M1060">
        <f t="shared" si="148"/>
        <v>0</v>
      </c>
      <c r="N1060">
        <f t="shared" si="149"/>
        <v>0</v>
      </c>
      <c r="O1060">
        <f t="shared" si="150"/>
        <v>11.5674769488684</v>
      </c>
      <c r="P1060">
        <f t="shared" si="151"/>
        <v>11.064543168482817</v>
      </c>
      <c r="Q1060">
        <f t="shared" si="152"/>
        <v>14.668901927912826</v>
      </c>
    </row>
    <row r="1061" spans="1:17" x14ac:dyDescent="0.3">
      <c r="A1061">
        <v>51016807</v>
      </c>
      <c r="B1061" t="e">
        <f>VLOOKUP(A1061,ASESORES!$A$2:$B$993,2,0)</f>
        <v>#N/A</v>
      </c>
      <c r="C1061">
        <v>7923100.6900000004</v>
      </c>
      <c r="D1061">
        <v>15488472.359999999</v>
      </c>
      <c r="E1061">
        <v>19072147.050000001</v>
      </c>
      <c r="F1061">
        <v>14777609</v>
      </c>
      <c r="G1061">
        <v>9683934</v>
      </c>
      <c r="H1061">
        <v>0</v>
      </c>
      <c r="I1061">
        <f t="shared" si="144"/>
        <v>0.86512952165953094</v>
      </c>
      <c r="J1061">
        <f t="shared" si="145"/>
        <v>-0.37476506559746992</v>
      </c>
      <c r="K1061">
        <f t="shared" si="146"/>
        <v>-1</v>
      </c>
      <c r="L1061">
        <f t="shared" si="147"/>
        <v>6.2026362272908546</v>
      </c>
      <c r="M1061">
        <f t="shared" si="148"/>
        <v>-2.6181281689209008</v>
      </c>
      <c r="N1061">
        <f t="shared" si="149"/>
        <v>0</v>
      </c>
      <c r="O1061">
        <f t="shared" si="150"/>
        <v>91.282481139983247</v>
      </c>
      <c r="P1061">
        <f t="shared" si="151"/>
        <v>4.0234702430846605</v>
      </c>
      <c r="Q1061">
        <f t="shared" si="152"/>
        <v>14.668901927912826</v>
      </c>
    </row>
    <row r="1062" spans="1:17" x14ac:dyDescent="0.3">
      <c r="A1062">
        <v>51016912</v>
      </c>
      <c r="B1062" t="e">
        <f>VLOOKUP(A1062,ASESORES!$A$2:$B$993,2,0)</f>
        <v>#N/A</v>
      </c>
      <c r="C1062">
        <v>43559991.739999987</v>
      </c>
      <c r="D1062">
        <v>58203540.579999998</v>
      </c>
      <c r="E1062">
        <v>65236882.750000007</v>
      </c>
      <c r="F1062">
        <v>51044110</v>
      </c>
      <c r="G1062">
        <v>0</v>
      </c>
      <c r="H1062">
        <v>0</v>
      </c>
      <c r="I1062">
        <f t="shared" si="144"/>
        <v>0.17181174653730591</v>
      </c>
      <c r="J1062">
        <f t="shared" si="145"/>
        <v>-1</v>
      </c>
      <c r="K1062">
        <f t="shared" si="146"/>
        <v>-1</v>
      </c>
      <c r="L1062">
        <f t="shared" si="147"/>
        <v>1.3243156019189839</v>
      </c>
      <c r="M1062">
        <f t="shared" si="148"/>
        <v>0</v>
      </c>
      <c r="N1062">
        <f t="shared" si="149"/>
        <v>0</v>
      </c>
      <c r="O1062">
        <f t="shared" si="150"/>
        <v>37.468566638725903</v>
      </c>
      <c r="P1062">
        <f t="shared" si="151"/>
        <v>11.064543168482817</v>
      </c>
      <c r="Q1062">
        <f t="shared" si="152"/>
        <v>14.668901927912826</v>
      </c>
    </row>
    <row r="1063" spans="1:17" x14ac:dyDescent="0.3">
      <c r="A1063">
        <v>51017005</v>
      </c>
      <c r="B1063" t="e">
        <f>VLOOKUP(A1063,ASESORES!$A$2:$B$993,2,0)</f>
        <v>#N/A</v>
      </c>
      <c r="C1063">
        <v>17546266.41</v>
      </c>
      <c r="D1063">
        <v>4826008.5</v>
      </c>
      <c r="E1063">
        <v>0</v>
      </c>
      <c r="F1063">
        <v>0</v>
      </c>
      <c r="G1063">
        <v>0</v>
      </c>
      <c r="H1063">
        <v>0</v>
      </c>
      <c r="I1063">
        <f t="shared" si="144"/>
        <v>-1</v>
      </c>
      <c r="J1063">
        <f t="shared" si="145"/>
        <v>-1</v>
      </c>
      <c r="K1063">
        <f t="shared" si="146"/>
        <v>0</v>
      </c>
      <c r="L1063">
        <f t="shared" si="147"/>
        <v>0</v>
      </c>
      <c r="M1063">
        <f t="shared" si="148"/>
        <v>0</v>
      </c>
      <c r="N1063">
        <f t="shared" si="149"/>
        <v>0</v>
      </c>
      <c r="O1063">
        <f t="shared" si="150"/>
        <v>11.5674769488684</v>
      </c>
      <c r="P1063">
        <f t="shared" si="151"/>
        <v>11.064543168482817</v>
      </c>
      <c r="Q1063">
        <f t="shared" si="152"/>
        <v>14.668901927912826</v>
      </c>
    </row>
    <row r="1064" spans="1:17" x14ac:dyDescent="0.3">
      <c r="A1064">
        <v>51017200</v>
      </c>
      <c r="B1064" t="e">
        <f>VLOOKUP(A1064,ASESORES!$A$2:$B$993,2,0)</f>
        <v>#N/A</v>
      </c>
      <c r="C1064">
        <v>20357332.16</v>
      </c>
      <c r="D1064">
        <v>1351678.9</v>
      </c>
      <c r="E1064">
        <v>0</v>
      </c>
      <c r="F1064">
        <v>0</v>
      </c>
      <c r="G1064">
        <v>0</v>
      </c>
      <c r="H1064">
        <v>0</v>
      </c>
      <c r="I1064">
        <f t="shared" si="144"/>
        <v>-1</v>
      </c>
      <c r="J1064">
        <f t="shared" si="145"/>
        <v>-1</v>
      </c>
      <c r="K1064">
        <f t="shared" si="146"/>
        <v>0</v>
      </c>
      <c r="L1064">
        <f t="shared" si="147"/>
        <v>0</v>
      </c>
      <c r="M1064">
        <f t="shared" si="148"/>
        <v>0</v>
      </c>
      <c r="N1064">
        <f t="shared" si="149"/>
        <v>0</v>
      </c>
      <c r="O1064">
        <f t="shared" si="150"/>
        <v>11.5674769488684</v>
      </c>
      <c r="P1064">
        <f t="shared" si="151"/>
        <v>11.064543168482817</v>
      </c>
      <c r="Q1064">
        <f t="shared" si="152"/>
        <v>14.668901927912826</v>
      </c>
    </row>
    <row r="1065" spans="1:17" x14ac:dyDescent="0.3">
      <c r="A1065">
        <v>51017692</v>
      </c>
      <c r="B1065" t="e">
        <f>VLOOKUP(A1065,ASESORES!$A$2:$B$993,2,0)</f>
        <v>#N/A</v>
      </c>
      <c r="C1065">
        <v>16361345.35</v>
      </c>
      <c r="D1065">
        <v>0</v>
      </c>
      <c r="E1065">
        <v>0</v>
      </c>
      <c r="F1065">
        <v>0</v>
      </c>
      <c r="G1065">
        <v>0</v>
      </c>
      <c r="H1065">
        <v>0</v>
      </c>
      <c r="I1065">
        <f t="shared" si="144"/>
        <v>-1</v>
      </c>
      <c r="J1065">
        <f t="shared" si="145"/>
        <v>0</v>
      </c>
      <c r="K1065">
        <f t="shared" si="146"/>
        <v>0</v>
      </c>
      <c r="L1065">
        <f t="shared" si="147"/>
        <v>0</v>
      </c>
      <c r="M1065">
        <f t="shared" si="148"/>
        <v>0</v>
      </c>
      <c r="N1065">
        <f t="shared" si="149"/>
        <v>0</v>
      </c>
      <c r="O1065">
        <f t="shared" si="150"/>
        <v>11.5674769488684</v>
      </c>
      <c r="P1065">
        <f t="shared" si="151"/>
        <v>11.064543168482817</v>
      </c>
      <c r="Q1065">
        <f t="shared" si="152"/>
        <v>14.668901927912826</v>
      </c>
    </row>
    <row r="1066" spans="1:17" x14ac:dyDescent="0.3">
      <c r="A1066">
        <v>51017781</v>
      </c>
      <c r="B1066" t="e">
        <f>VLOOKUP(A1066,ASESORES!$A$2:$B$993,2,0)</f>
        <v>#N/A</v>
      </c>
      <c r="C1066">
        <v>15408115.539999999</v>
      </c>
      <c r="D1066">
        <v>24041900.760000002</v>
      </c>
      <c r="E1066">
        <v>24509668.370000001</v>
      </c>
      <c r="F1066">
        <v>4761990</v>
      </c>
      <c r="G1066">
        <v>0</v>
      </c>
      <c r="H1066">
        <v>0</v>
      </c>
      <c r="I1066">
        <f t="shared" si="144"/>
        <v>-0.69094273808904738</v>
      </c>
      <c r="J1066">
        <f t="shared" si="145"/>
        <v>-1</v>
      </c>
      <c r="K1066">
        <f t="shared" si="146"/>
        <v>-1</v>
      </c>
      <c r="L1066">
        <f t="shared" si="147"/>
        <v>-4.6139694561065543</v>
      </c>
      <c r="M1066">
        <f t="shared" si="148"/>
        <v>0</v>
      </c>
      <c r="N1066">
        <f t="shared" si="149"/>
        <v>0</v>
      </c>
      <c r="O1066">
        <f t="shared" si="150"/>
        <v>1.5926236378876781</v>
      </c>
      <c r="P1066">
        <f t="shared" si="151"/>
        <v>11.064543168482817</v>
      </c>
      <c r="Q1066">
        <f t="shared" si="152"/>
        <v>14.668901927912826</v>
      </c>
    </row>
    <row r="1067" spans="1:17" x14ac:dyDescent="0.3">
      <c r="A1067">
        <v>51018010</v>
      </c>
      <c r="B1067" t="e">
        <f>VLOOKUP(A1067,ASESORES!$A$2:$B$993,2,0)</f>
        <v>#N/A</v>
      </c>
      <c r="C1067">
        <v>27447130.370000001</v>
      </c>
      <c r="D1067">
        <v>36750185.810000002</v>
      </c>
      <c r="E1067">
        <v>46002958.399999999</v>
      </c>
      <c r="F1067">
        <v>19102505</v>
      </c>
      <c r="G1067">
        <v>0</v>
      </c>
      <c r="H1067">
        <v>0</v>
      </c>
      <c r="I1067">
        <f t="shared" si="144"/>
        <v>-0.30402542114642206</v>
      </c>
      <c r="J1067">
        <f t="shared" si="145"/>
        <v>-1</v>
      </c>
      <c r="K1067">
        <f t="shared" si="146"/>
        <v>-1</v>
      </c>
      <c r="L1067">
        <f t="shared" si="147"/>
        <v>-2.2136365515603318</v>
      </c>
      <c r="M1067">
        <f t="shared" si="148"/>
        <v>0</v>
      </c>
      <c r="N1067">
        <f t="shared" si="149"/>
        <v>0</v>
      </c>
      <c r="O1067">
        <f t="shared" si="150"/>
        <v>4.8616932103939652</v>
      </c>
      <c r="P1067">
        <f t="shared" si="151"/>
        <v>11.064543168482817</v>
      </c>
      <c r="Q1067">
        <f t="shared" si="152"/>
        <v>14.668901927912826</v>
      </c>
    </row>
    <row r="1068" spans="1:17" x14ac:dyDescent="0.3">
      <c r="A1068">
        <v>51018168</v>
      </c>
      <c r="B1068" t="e">
        <f>VLOOKUP(A1068,ASESORES!$A$2:$B$993,2,0)</f>
        <v>#N/A</v>
      </c>
      <c r="C1068">
        <v>12804180.48</v>
      </c>
      <c r="D1068">
        <v>15420722.300000001</v>
      </c>
      <c r="E1068">
        <v>15764766.800000001</v>
      </c>
      <c r="F1068">
        <v>4387700</v>
      </c>
      <c r="G1068">
        <v>198000</v>
      </c>
      <c r="H1068">
        <v>0</v>
      </c>
      <c r="I1068">
        <f t="shared" si="144"/>
        <v>-0.65732285585527772</v>
      </c>
      <c r="J1068">
        <f t="shared" si="145"/>
        <v>-0.98716013451587803</v>
      </c>
      <c r="K1068">
        <f t="shared" si="146"/>
        <v>-1</v>
      </c>
      <c r="L1068">
        <f t="shared" si="147"/>
        <v>-4.3660941454145235</v>
      </c>
      <c r="M1068">
        <f t="shared" si="148"/>
        <v>-5.2286567217041418</v>
      </c>
      <c r="N1068">
        <f t="shared" si="149"/>
        <v>0</v>
      </c>
      <c r="O1068">
        <f t="shared" si="150"/>
        <v>1.9279128248113997</v>
      </c>
      <c r="P1068">
        <f t="shared" si="151"/>
        <v>0.67057837384744345</v>
      </c>
      <c r="Q1068">
        <f t="shared" si="152"/>
        <v>14.668901927912826</v>
      </c>
    </row>
    <row r="1069" spans="1:17" x14ac:dyDescent="0.3">
      <c r="A1069">
        <v>51018192</v>
      </c>
      <c r="B1069" t="e">
        <f>VLOOKUP(A1069,ASESORES!$A$2:$B$993,2,0)</f>
        <v>#N/A</v>
      </c>
      <c r="C1069">
        <v>17947699.98</v>
      </c>
      <c r="D1069">
        <v>0</v>
      </c>
      <c r="E1069">
        <v>0</v>
      </c>
      <c r="F1069">
        <v>0</v>
      </c>
      <c r="G1069">
        <v>0</v>
      </c>
      <c r="H1069">
        <v>0</v>
      </c>
      <c r="I1069">
        <f t="shared" si="144"/>
        <v>-1</v>
      </c>
      <c r="J1069">
        <f t="shared" si="145"/>
        <v>0</v>
      </c>
      <c r="K1069">
        <f t="shared" si="146"/>
        <v>0</v>
      </c>
      <c r="L1069">
        <f t="shared" si="147"/>
        <v>0</v>
      </c>
      <c r="M1069">
        <f t="shared" si="148"/>
        <v>0</v>
      </c>
      <c r="N1069">
        <f t="shared" si="149"/>
        <v>0</v>
      </c>
      <c r="O1069">
        <f t="shared" si="150"/>
        <v>11.5674769488684</v>
      </c>
      <c r="P1069">
        <f t="shared" si="151"/>
        <v>11.064543168482817</v>
      </c>
      <c r="Q1069">
        <f t="shared" si="152"/>
        <v>14.668901927912826</v>
      </c>
    </row>
    <row r="1070" spans="1:17" x14ac:dyDescent="0.3">
      <c r="A1070">
        <v>51018281</v>
      </c>
      <c r="B1070" t="e">
        <f>VLOOKUP(A1070,ASESORES!$A$2:$B$993,2,0)</f>
        <v>#N/A</v>
      </c>
      <c r="C1070">
        <v>12052247.5</v>
      </c>
      <c r="D1070">
        <v>6866137.5600000015</v>
      </c>
      <c r="E1070">
        <v>6707548.5600000015</v>
      </c>
      <c r="F1070">
        <v>130700</v>
      </c>
      <c r="G1070">
        <v>0</v>
      </c>
      <c r="H1070">
        <v>0</v>
      </c>
      <c r="I1070">
        <f t="shared" si="144"/>
        <v>-0.98915554961844254</v>
      </c>
      <c r="J1070">
        <f t="shared" si="145"/>
        <v>-1</v>
      </c>
      <c r="K1070">
        <f t="shared" si="146"/>
        <v>-1</v>
      </c>
      <c r="L1070">
        <f t="shared" si="147"/>
        <v>-5.0607923908326535</v>
      </c>
      <c r="M1070">
        <f t="shared" si="148"/>
        <v>0</v>
      </c>
      <c r="N1070">
        <f t="shared" si="149"/>
        <v>0</v>
      </c>
      <c r="O1070">
        <f t="shared" si="150"/>
        <v>1.0058675607711651</v>
      </c>
      <c r="P1070">
        <f t="shared" si="151"/>
        <v>11.064543168482817</v>
      </c>
      <c r="Q1070">
        <f t="shared" si="152"/>
        <v>14.668901927912826</v>
      </c>
    </row>
    <row r="1071" spans="1:17" x14ac:dyDescent="0.3">
      <c r="A1071">
        <v>51018915</v>
      </c>
      <c r="B1071" t="e">
        <f>VLOOKUP(A1071,ASESORES!$A$2:$B$993,2,0)</f>
        <v>#N/A</v>
      </c>
      <c r="C1071">
        <v>6937.5</v>
      </c>
      <c r="D1071">
        <v>0</v>
      </c>
      <c r="E1071">
        <v>0</v>
      </c>
      <c r="F1071">
        <v>0</v>
      </c>
      <c r="G1071">
        <v>0</v>
      </c>
      <c r="H1071">
        <v>0</v>
      </c>
      <c r="I1071">
        <f t="shared" si="144"/>
        <v>-1</v>
      </c>
      <c r="J1071">
        <f t="shared" si="145"/>
        <v>0</v>
      </c>
      <c r="K1071">
        <f t="shared" si="146"/>
        <v>0</v>
      </c>
      <c r="L1071">
        <f t="shared" si="147"/>
        <v>0</v>
      </c>
      <c r="M1071">
        <f t="shared" si="148"/>
        <v>0</v>
      </c>
      <c r="N1071">
        <f t="shared" si="149"/>
        <v>0</v>
      </c>
      <c r="O1071">
        <f t="shared" si="150"/>
        <v>11.5674769488684</v>
      </c>
      <c r="P1071">
        <f t="shared" si="151"/>
        <v>11.064543168482817</v>
      </c>
      <c r="Q1071">
        <f t="shared" si="152"/>
        <v>14.668901927912826</v>
      </c>
    </row>
    <row r="1072" spans="1:17" x14ac:dyDescent="0.3">
      <c r="A1072">
        <v>51019075</v>
      </c>
      <c r="B1072" t="e">
        <f>VLOOKUP(A1072,ASESORES!$A$2:$B$993,2,0)</f>
        <v>#N/A</v>
      </c>
      <c r="C1072">
        <v>19240337.399999999</v>
      </c>
      <c r="D1072">
        <v>0</v>
      </c>
      <c r="E1072">
        <v>0</v>
      </c>
      <c r="F1072">
        <v>0</v>
      </c>
      <c r="G1072">
        <v>0</v>
      </c>
      <c r="H1072">
        <v>0</v>
      </c>
      <c r="I1072">
        <f t="shared" si="144"/>
        <v>-1</v>
      </c>
      <c r="J1072">
        <f t="shared" si="145"/>
        <v>0</v>
      </c>
      <c r="K1072">
        <f t="shared" si="146"/>
        <v>0</v>
      </c>
      <c r="L1072">
        <f t="shared" si="147"/>
        <v>0</v>
      </c>
      <c r="M1072">
        <f t="shared" si="148"/>
        <v>0</v>
      </c>
      <c r="N1072">
        <f t="shared" si="149"/>
        <v>0</v>
      </c>
      <c r="O1072">
        <f t="shared" si="150"/>
        <v>11.5674769488684</v>
      </c>
      <c r="P1072">
        <f t="shared" si="151"/>
        <v>11.064543168482817</v>
      </c>
      <c r="Q1072">
        <f t="shared" si="152"/>
        <v>14.668901927912826</v>
      </c>
    </row>
    <row r="1073" spans="1:17" x14ac:dyDescent="0.3">
      <c r="A1073">
        <v>51019156</v>
      </c>
      <c r="B1073" t="e">
        <f>VLOOKUP(A1073,ASESORES!$A$2:$B$993,2,0)</f>
        <v>#N/A</v>
      </c>
      <c r="C1073">
        <v>11301373.050000001</v>
      </c>
      <c r="D1073">
        <v>15156756.050000001</v>
      </c>
      <c r="E1073">
        <v>27720</v>
      </c>
      <c r="F1073">
        <v>0</v>
      </c>
      <c r="G1073">
        <v>0</v>
      </c>
      <c r="H1073">
        <v>0</v>
      </c>
      <c r="I1073">
        <f t="shared" si="144"/>
        <v>-1</v>
      </c>
      <c r="J1073">
        <f t="shared" si="145"/>
        <v>-1</v>
      </c>
      <c r="K1073">
        <f t="shared" si="146"/>
        <v>-1</v>
      </c>
      <c r="L1073">
        <f t="shared" si="147"/>
        <v>0</v>
      </c>
      <c r="M1073">
        <f t="shared" si="148"/>
        <v>0</v>
      </c>
      <c r="N1073">
        <f t="shared" si="149"/>
        <v>0</v>
      </c>
      <c r="O1073">
        <f t="shared" si="150"/>
        <v>11.5674769488684</v>
      </c>
      <c r="P1073">
        <f t="shared" si="151"/>
        <v>11.064543168482817</v>
      </c>
      <c r="Q1073">
        <f t="shared" si="152"/>
        <v>14.668901927912826</v>
      </c>
    </row>
    <row r="1074" spans="1:17" x14ac:dyDescent="0.3">
      <c r="A1074">
        <v>51019181</v>
      </c>
      <c r="B1074" t="e">
        <f>VLOOKUP(A1074,ASESORES!$A$2:$B$993,2,0)</f>
        <v>#N/A</v>
      </c>
      <c r="C1074">
        <v>6891171.0999999996</v>
      </c>
      <c r="D1074">
        <v>7761996.4900000002</v>
      </c>
      <c r="E1074">
        <v>405042</v>
      </c>
      <c r="F1074">
        <v>0</v>
      </c>
      <c r="G1074">
        <v>0</v>
      </c>
      <c r="H1074">
        <v>0</v>
      </c>
      <c r="I1074">
        <f t="shared" si="144"/>
        <v>-1</v>
      </c>
      <c r="J1074">
        <f t="shared" si="145"/>
        <v>-1</v>
      </c>
      <c r="K1074">
        <f t="shared" si="146"/>
        <v>-1</v>
      </c>
      <c r="L1074">
        <f t="shared" si="147"/>
        <v>0</v>
      </c>
      <c r="M1074">
        <f t="shared" si="148"/>
        <v>0</v>
      </c>
      <c r="N1074">
        <f t="shared" si="149"/>
        <v>0</v>
      </c>
      <c r="O1074">
        <f t="shared" si="150"/>
        <v>11.5674769488684</v>
      </c>
      <c r="P1074">
        <f t="shared" si="151"/>
        <v>11.064543168482817</v>
      </c>
      <c r="Q1074">
        <f t="shared" si="152"/>
        <v>14.668901927912826</v>
      </c>
    </row>
    <row r="1075" spans="1:17" x14ac:dyDescent="0.3">
      <c r="A1075">
        <v>51019237</v>
      </c>
      <c r="B1075" t="e">
        <f>VLOOKUP(A1075,ASESORES!$A$2:$B$993,2,0)</f>
        <v>#N/A</v>
      </c>
      <c r="C1075">
        <v>3754169.1</v>
      </c>
      <c r="D1075">
        <v>0</v>
      </c>
      <c r="E1075">
        <v>0</v>
      </c>
      <c r="F1075">
        <v>0</v>
      </c>
      <c r="G1075">
        <v>0</v>
      </c>
      <c r="H1075">
        <v>0</v>
      </c>
      <c r="I1075">
        <f t="shared" si="144"/>
        <v>-1</v>
      </c>
      <c r="J1075">
        <f t="shared" si="145"/>
        <v>0</v>
      </c>
      <c r="K1075">
        <f t="shared" si="146"/>
        <v>0</v>
      </c>
      <c r="L1075">
        <f t="shared" si="147"/>
        <v>0</v>
      </c>
      <c r="M1075">
        <f t="shared" si="148"/>
        <v>0</v>
      </c>
      <c r="N1075">
        <f t="shared" si="149"/>
        <v>0</v>
      </c>
      <c r="O1075">
        <f t="shared" si="150"/>
        <v>11.5674769488684</v>
      </c>
      <c r="P1075">
        <f t="shared" si="151"/>
        <v>11.064543168482817</v>
      </c>
      <c r="Q1075">
        <f t="shared" si="152"/>
        <v>14.668901927912826</v>
      </c>
    </row>
    <row r="1076" spans="1:17" x14ac:dyDescent="0.3">
      <c r="A1076">
        <v>51019351</v>
      </c>
      <c r="B1076" t="e">
        <f>VLOOKUP(A1076,ASESORES!$A$2:$B$993,2,0)</f>
        <v>#N/A</v>
      </c>
      <c r="C1076">
        <v>24902139.289999999</v>
      </c>
      <c r="D1076">
        <v>35440114.640000001</v>
      </c>
      <c r="E1076">
        <v>23062785.309999999</v>
      </c>
      <c r="F1076">
        <v>0</v>
      </c>
      <c r="G1076">
        <v>0</v>
      </c>
      <c r="H1076">
        <v>0</v>
      </c>
      <c r="I1076">
        <f t="shared" si="144"/>
        <v>-1</v>
      </c>
      <c r="J1076">
        <f t="shared" si="145"/>
        <v>-1</v>
      </c>
      <c r="K1076">
        <f t="shared" si="146"/>
        <v>-1</v>
      </c>
      <c r="L1076">
        <f t="shared" si="147"/>
        <v>0</v>
      </c>
      <c r="M1076">
        <f t="shared" si="148"/>
        <v>0</v>
      </c>
      <c r="N1076">
        <f t="shared" si="149"/>
        <v>0</v>
      </c>
      <c r="O1076">
        <f t="shared" si="150"/>
        <v>11.5674769488684</v>
      </c>
      <c r="P1076">
        <f t="shared" si="151"/>
        <v>11.064543168482817</v>
      </c>
      <c r="Q1076">
        <f t="shared" si="152"/>
        <v>14.668901927912826</v>
      </c>
    </row>
    <row r="1077" spans="1:17" x14ac:dyDescent="0.3">
      <c r="A1077">
        <v>51019725</v>
      </c>
      <c r="B1077" t="e">
        <f>VLOOKUP(A1077,ASESORES!$A$2:$B$993,2,0)</f>
        <v>#N/A</v>
      </c>
      <c r="C1077">
        <v>31631348.93</v>
      </c>
      <c r="D1077">
        <v>39794498.859999999</v>
      </c>
      <c r="E1077">
        <v>57637557.100000009</v>
      </c>
      <c r="F1077">
        <v>45800298</v>
      </c>
      <c r="G1077">
        <v>26422581</v>
      </c>
      <c r="H1077">
        <v>0</v>
      </c>
      <c r="I1077">
        <f t="shared" si="144"/>
        <v>0.4479400831547149</v>
      </c>
      <c r="J1077">
        <f t="shared" si="145"/>
        <v>-0.33602428081940172</v>
      </c>
      <c r="K1077">
        <f t="shared" si="146"/>
        <v>-1</v>
      </c>
      <c r="L1077">
        <f t="shared" si="147"/>
        <v>3.4316099850206769</v>
      </c>
      <c r="M1077">
        <f t="shared" si="148"/>
        <v>-2.4939638915850559</v>
      </c>
      <c r="N1077">
        <f t="shared" si="149"/>
        <v>0</v>
      </c>
      <c r="O1077">
        <f t="shared" si="150"/>
        <v>70.410729253981557</v>
      </c>
      <c r="P1077">
        <f t="shared" si="151"/>
        <v>4.1072925398155906</v>
      </c>
      <c r="Q1077">
        <f t="shared" si="152"/>
        <v>14.668901927912826</v>
      </c>
    </row>
    <row r="1078" spans="1:17" x14ac:dyDescent="0.3">
      <c r="A1078">
        <v>51019768</v>
      </c>
      <c r="B1078" t="e">
        <f>VLOOKUP(A1078,ASESORES!$A$2:$B$993,2,0)</f>
        <v>#N/A</v>
      </c>
      <c r="C1078">
        <v>8819284.4499999993</v>
      </c>
      <c r="D1078">
        <v>9867972.8000000007</v>
      </c>
      <c r="E1078">
        <v>10787927</v>
      </c>
      <c r="F1078">
        <v>0</v>
      </c>
      <c r="G1078">
        <v>0</v>
      </c>
      <c r="H1078">
        <v>0</v>
      </c>
      <c r="I1078">
        <f t="shared" si="144"/>
        <v>-1</v>
      </c>
      <c r="J1078">
        <f t="shared" si="145"/>
        <v>-1</v>
      </c>
      <c r="K1078">
        <f t="shared" si="146"/>
        <v>-1</v>
      </c>
      <c r="L1078">
        <f t="shared" si="147"/>
        <v>0</v>
      </c>
      <c r="M1078">
        <f t="shared" si="148"/>
        <v>0</v>
      </c>
      <c r="N1078">
        <f t="shared" si="149"/>
        <v>0</v>
      </c>
      <c r="O1078">
        <f t="shared" si="150"/>
        <v>11.5674769488684</v>
      </c>
      <c r="P1078">
        <f t="shared" si="151"/>
        <v>11.064543168482817</v>
      </c>
      <c r="Q1078">
        <f t="shared" si="152"/>
        <v>14.668901927912826</v>
      </c>
    </row>
    <row r="1079" spans="1:17" x14ac:dyDescent="0.3">
      <c r="A1079">
        <v>51020120</v>
      </c>
      <c r="B1079" t="e">
        <f>VLOOKUP(A1079,ASESORES!$A$2:$B$993,2,0)</f>
        <v>#N/A</v>
      </c>
      <c r="C1079">
        <v>19871724.129999999</v>
      </c>
      <c r="D1079">
        <v>30835579.800000001</v>
      </c>
      <c r="E1079">
        <v>924</v>
      </c>
      <c r="F1079">
        <v>0</v>
      </c>
      <c r="G1079">
        <v>0</v>
      </c>
      <c r="H1079">
        <v>0</v>
      </c>
      <c r="I1079">
        <f t="shared" si="144"/>
        <v>-1</v>
      </c>
      <c r="J1079">
        <f t="shared" si="145"/>
        <v>-1</v>
      </c>
      <c r="K1079">
        <f t="shared" si="146"/>
        <v>-1</v>
      </c>
      <c r="L1079">
        <f t="shared" si="147"/>
        <v>0</v>
      </c>
      <c r="M1079">
        <f t="shared" si="148"/>
        <v>0</v>
      </c>
      <c r="N1079">
        <f t="shared" si="149"/>
        <v>0</v>
      </c>
      <c r="O1079">
        <f t="shared" si="150"/>
        <v>11.5674769488684</v>
      </c>
      <c r="P1079">
        <f t="shared" si="151"/>
        <v>11.064543168482817</v>
      </c>
      <c r="Q1079">
        <f t="shared" si="152"/>
        <v>14.668901927912826</v>
      </c>
    </row>
    <row r="1080" spans="1:17" x14ac:dyDescent="0.3">
      <c r="A1080">
        <v>51020154</v>
      </c>
      <c r="B1080" t="e">
        <f>VLOOKUP(A1080,ASESORES!$A$2:$B$993,2,0)</f>
        <v>#N/A</v>
      </c>
      <c r="C1080">
        <v>0</v>
      </c>
      <c r="D1080">
        <v>0</v>
      </c>
      <c r="E1080">
        <v>0</v>
      </c>
      <c r="F1080">
        <v>0</v>
      </c>
      <c r="G1080">
        <v>0</v>
      </c>
      <c r="H1080">
        <v>0</v>
      </c>
      <c r="I1080">
        <f t="shared" si="144"/>
        <v>0</v>
      </c>
      <c r="J1080">
        <f t="shared" si="145"/>
        <v>0</v>
      </c>
      <c r="K1080">
        <f t="shared" si="146"/>
        <v>0</v>
      </c>
      <c r="L1080">
        <f t="shared" si="147"/>
        <v>0</v>
      </c>
      <c r="M1080">
        <f t="shared" si="148"/>
        <v>0</v>
      </c>
      <c r="N1080">
        <f t="shared" si="149"/>
        <v>0</v>
      </c>
      <c r="O1080">
        <f t="shared" si="150"/>
        <v>11.5674769488684</v>
      </c>
      <c r="P1080">
        <f t="shared" si="151"/>
        <v>11.064543168482817</v>
      </c>
      <c r="Q1080">
        <f t="shared" si="152"/>
        <v>14.668901927912826</v>
      </c>
    </row>
    <row r="1081" spans="1:17" x14ac:dyDescent="0.3">
      <c r="A1081">
        <v>51020740</v>
      </c>
      <c r="B1081" t="e">
        <f>VLOOKUP(A1081,ASESORES!$A$2:$B$993,2,0)</f>
        <v>#N/A</v>
      </c>
      <c r="C1081">
        <v>46994881.130000003</v>
      </c>
      <c r="D1081">
        <v>69973539.120000005</v>
      </c>
      <c r="E1081">
        <v>79812704.090000004</v>
      </c>
      <c r="F1081">
        <v>67293985</v>
      </c>
      <c r="G1081">
        <v>93275373</v>
      </c>
      <c r="H1081">
        <v>0</v>
      </c>
      <c r="I1081">
        <f t="shared" si="144"/>
        <v>0.4319428708383668</v>
      </c>
      <c r="J1081">
        <f t="shared" si="145"/>
        <v>0.33300922281548306</v>
      </c>
      <c r="K1081">
        <f t="shared" si="146"/>
        <v>-1</v>
      </c>
      <c r="L1081">
        <f t="shared" si="147"/>
        <v>3.381238532990916</v>
      </c>
      <c r="M1081">
        <f t="shared" si="148"/>
        <v>2.6540059128328637</v>
      </c>
      <c r="N1081">
        <f t="shared" si="149"/>
        <v>0</v>
      </c>
      <c r="O1081">
        <f t="shared" si="150"/>
        <v>69.740150880134109</v>
      </c>
      <c r="P1081">
        <f t="shared" si="151"/>
        <v>57.921207041072932</v>
      </c>
      <c r="Q1081">
        <f t="shared" si="152"/>
        <v>14.668901927912826</v>
      </c>
    </row>
    <row r="1082" spans="1:17" x14ac:dyDescent="0.3">
      <c r="A1082">
        <v>51021151</v>
      </c>
      <c r="B1082" t="e">
        <f>VLOOKUP(A1082,ASESORES!$A$2:$B$993,2,0)</f>
        <v>#N/A</v>
      </c>
      <c r="C1082">
        <v>1387.5</v>
      </c>
      <c r="D1082">
        <v>0</v>
      </c>
      <c r="E1082">
        <v>0</v>
      </c>
      <c r="F1082">
        <v>0</v>
      </c>
      <c r="G1082">
        <v>0</v>
      </c>
      <c r="H1082">
        <v>0</v>
      </c>
      <c r="I1082">
        <f t="shared" si="144"/>
        <v>-1</v>
      </c>
      <c r="J1082">
        <f t="shared" si="145"/>
        <v>0</v>
      </c>
      <c r="K1082">
        <f t="shared" si="146"/>
        <v>0</v>
      </c>
      <c r="L1082">
        <f t="shared" si="147"/>
        <v>0</v>
      </c>
      <c r="M1082">
        <f t="shared" si="148"/>
        <v>0</v>
      </c>
      <c r="N1082">
        <f t="shared" si="149"/>
        <v>0</v>
      </c>
      <c r="O1082">
        <f t="shared" si="150"/>
        <v>11.5674769488684</v>
      </c>
      <c r="P1082">
        <f t="shared" si="151"/>
        <v>11.064543168482817</v>
      </c>
      <c r="Q1082">
        <f t="shared" si="152"/>
        <v>14.668901927912826</v>
      </c>
    </row>
    <row r="1083" spans="1:17" x14ac:dyDescent="0.3">
      <c r="A1083">
        <v>51021525</v>
      </c>
      <c r="B1083" t="e">
        <f>VLOOKUP(A1083,ASESORES!$A$2:$B$993,2,0)</f>
        <v>#N/A</v>
      </c>
      <c r="C1083">
        <v>0</v>
      </c>
      <c r="D1083">
        <v>0</v>
      </c>
      <c r="E1083">
        <v>0</v>
      </c>
      <c r="F1083">
        <v>0</v>
      </c>
      <c r="G1083">
        <v>0</v>
      </c>
      <c r="H1083">
        <v>0</v>
      </c>
      <c r="I1083">
        <f t="shared" si="144"/>
        <v>0</v>
      </c>
      <c r="J1083">
        <f t="shared" si="145"/>
        <v>0</v>
      </c>
      <c r="K1083">
        <f t="shared" si="146"/>
        <v>0</v>
      </c>
      <c r="L1083">
        <f t="shared" si="147"/>
        <v>0</v>
      </c>
      <c r="M1083">
        <f t="shared" si="148"/>
        <v>0</v>
      </c>
      <c r="N1083">
        <f t="shared" si="149"/>
        <v>0</v>
      </c>
      <c r="O1083">
        <f t="shared" si="150"/>
        <v>11.5674769488684</v>
      </c>
      <c r="P1083">
        <f t="shared" si="151"/>
        <v>11.064543168482817</v>
      </c>
      <c r="Q1083">
        <f t="shared" si="152"/>
        <v>14.668901927912826</v>
      </c>
    </row>
    <row r="1084" spans="1:17" x14ac:dyDescent="0.3">
      <c r="A1084">
        <v>51021649</v>
      </c>
      <c r="B1084" t="e">
        <f>VLOOKUP(A1084,ASESORES!$A$2:$B$993,2,0)</f>
        <v>#N/A</v>
      </c>
      <c r="C1084">
        <v>8965427.870000001</v>
      </c>
      <c r="D1084">
        <v>11437843.199999999</v>
      </c>
      <c r="E1084">
        <v>15690091.25</v>
      </c>
      <c r="F1084">
        <v>10182620</v>
      </c>
      <c r="G1084">
        <v>0</v>
      </c>
      <c r="H1084">
        <v>0</v>
      </c>
      <c r="I1084">
        <f t="shared" si="144"/>
        <v>0.13576509093034494</v>
      </c>
      <c r="J1084">
        <f t="shared" si="145"/>
        <v>-1</v>
      </c>
      <c r="K1084">
        <f t="shared" si="146"/>
        <v>-1</v>
      </c>
      <c r="L1084">
        <f t="shared" si="147"/>
        <v>0.95142268724831602</v>
      </c>
      <c r="M1084">
        <f t="shared" si="148"/>
        <v>0</v>
      </c>
      <c r="N1084">
        <f t="shared" si="149"/>
        <v>0</v>
      </c>
      <c r="O1084">
        <f t="shared" si="150"/>
        <v>32.103939647946355</v>
      </c>
      <c r="P1084">
        <f t="shared" si="151"/>
        <v>11.064543168482817</v>
      </c>
      <c r="Q1084">
        <f t="shared" si="152"/>
        <v>14.668901927912826</v>
      </c>
    </row>
    <row r="1085" spans="1:17" x14ac:dyDescent="0.3">
      <c r="A1085">
        <v>51021908</v>
      </c>
      <c r="B1085" t="e">
        <f>VLOOKUP(A1085,ASESORES!$A$2:$B$993,2,0)</f>
        <v>#N/A</v>
      </c>
      <c r="C1085">
        <v>17433897.109999999</v>
      </c>
      <c r="D1085">
        <v>0</v>
      </c>
      <c r="E1085">
        <v>0</v>
      </c>
      <c r="F1085">
        <v>0</v>
      </c>
      <c r="G1085">
        <v>0</v>
      </c>
      <c r="H1085">
        <v>0</v>
      </c>
      <c r="I1085">
        <f t="shared" si="144"/>
        <v>-1</v>
      </c>
      <c r="J1085">
        <f t="shared" si="145"/>
        <v>0</v>
      </c>
      <c r="K1085">
        <f t="shared" si="146"/>
        <v>0</v>
      </c>
      <c r="L1085">
        <f t="shared" si="147"/>
        <v>0</v>
      </c>
      <c r="M1085">
        <f t="shared" si="148"/>
        <v>0</v>
      </c>
      <c r="N1085">
        <f t="shared" si="149"/>
        <v>0</v>
      </c>
      <c r="O1085">
        <f t="shared" si="150"/>
        <v>11.5674769488684</v>
      </c>
      <c r="P1085">
        <f t="shared" si="151"/>
        <v>11.064543168482817</v>
      </c>
      <c r="Q1085">
        <f t="shared" si="152"/>
        <v>14.668901927912826</v>
      </c>
    </row>
    <row r="1086" spans="1:17" x14ac:dyDescent="0.3">
      <c r="A1086">
        <v>51021924</v>
      </c>
      <c r="B1086" t="e">
        <f>VLOOKUP(A1086,ASESORES!$A$2:$B$993,2,0)</f>
        <v>#N/A</v>
      </c>
      <c r="C1086">
        <v>9676596.4800000004</v>
      </c>
      <c r="D1086">
        <v>10754159.699999999</v>
      </c>
      <c r="E1086">
        <v>300766</v>
      </c>
      <c r="F1086">
        <v>0</v>
      </c>
      <c r="G1086">
        <v>0</v>
      </c>
      <c r="H1086">
        <v>0</v>
      </c>
      <c r="I1086">
        <f t="shared" si="144"/>
        <v>-1</v>
      </c>
      <c r="J1086">
        <f t="shared" si="145"/>
        <v>-1</v>
      </c>
      <c r="K1086">
        <f t="shared" si="146"/>
        <v>-1</v>
      </c>
      <c r="L1086">
        <f t="shared" si="147"/>
        <v>0</v>
      </c>
      <c r="M1086">
        <f t="shared" si="148"/>
        <v>0</v>
      </c>
      <c r="N1086">
        <f t="shared" si="149"/>
        <v>0</v>
      </c>
      <c r="O1086">
        <f t="shared" si="150"/>
        <v>11.5674769488684</v>
      </c>
      <c r="P1086">
        <f t="shared" si="151"/>
        <v>11.064543168482817</v>
      </c>
      <c r="Q1086">
        <f t="shared" si="152"/>
        <v>14.668901927912826</v>
      </c>
    </row>
    <row r="1087" spans="1:17" x14ac:dyDescent="0.3">
      <c r="A1087">
        <v>51022203</v>
      </c>
      <c r="B1087" t="e">
        <f>VLOOKUP(A1087,ASESORES!$A$2:$B$993,2,0)</f>
        <v>#N/A</v>
      </c>
      <c r="C1087">
        <v>7402433.5399999991</v>
      </c>
      <c r="D1087">
        <v>10522204.300000001</v>
      </c>
      <c r="E1087">
        <v>0</v>
      </c>
      <c r="F1087">
        <v>0</v>
      </c>
      <c r="G1087">
        <v>0</v>
      </c>
      <c r="H1087">
        <v>0</v>
      </c>
      <c r="I1087">
        <f t="shared" si="144"/>
        <v>-1</v>
      </c>
      <c r="J1087">
        <f t="shared" si="145"/>
        <v>-1</v>
      </c>
      <c r="K1087">
        <f t="shared" si="146"/>
        <v>0</v>
      </c>
      <c r="L1087">
        <f t="shared" si="147"/>
        <v>0</v>
      </c>
      <c r="M1087">
        <f t="shared" si="148"/>
        <v>0</v>
      </c>
      <c r="N1087">
        <f t="shared" si="149"/>
        <v>0</v>
      </c>
      <c r="O1087">
        <f t="shared" si="150"/>
        <v>11.5674769488684</v>
      </c>
      <c r="P1087">
        <f t="shared" si="151"/>
        <v>11.064543168482817</v>
      </c>
      <c r="Q1087">
        <f t="shared" si="152"/>
        <v>14.668901927912826</v>
      </c>
    </row>
    <row r="1088" spans="1:17" x14ac:dyDescent="0.3">
      <c r="A1088">
        <v>51022271</v>
      </c>
      <c r="B1088" t="e">
        <f>VLOOKUP(A1088,ASESORES!$A$2:$B$993,2,0)</f>
        <v>#N/A</v>
      </c>
      <c r="C1088">
        <v>19022082.5</v>
      </c>
      <c r="D1088">
        <v>19646781.100000001</v>
      </c>
      <c r="E1088">
        <v>46200</v>
      </c>
      <c r="F1088">
        <v>0</v>
      </c>
      <c r="G1088">
        <v>0</v>
      </c>
      <c r="H1088">
        <v>0</v>
      </c>
      <c r="I1088">
        <f t="shared" si="144"/>
        <v>-1</v>
      </c>
      <c r="J1088">
        <f t="shared" si="145"/>
        <v>-1</v>
      </c>
      <c r="K1088">
        <f t="shared" si="146"/>
        <v>-1</v>
      </c>
      <c r="L1088">
        <f t="shared" si="147"/>
        <v>0</v>
      </c>
      <c r="M1088">
        <f t="shared" si="148"/>
        <v>0</v>
      </c>
      <c r="N1088">
        <f t="shared" si="149"/>
        <v>0</v>
      </c>
      <c r="O1088">
        <f t="shared" si="150"/>
        <v>11.5674769488684</v>
      </c>
      <c r="P1088">
        <f t="shared" si="151"/>
        <v>11.064543168482817</v>
      </c>
      <c r="Q1088">
        <f t="shared" si="152"/>
        <v>14.668901927912826</v>
      </c>
    </row>
    <row r="1089" spans="1:17" x14ac:dyDescent="0.3">
      <c r="A1089">
        <v>51022297</v>
      </c>
      <c r="B1089" t="e">
        <f>VLOOKUP(A1089,ASESORES!$A$2:$B$993,2,0)</f>
        <v>#N/A</v>
      </c>
      <c r="C1089">
        <v>46930688.310000002</v>
      </c>
      <c r="D1089">
        <v>15603872.199999999</v>
      </c>
      <c r="E1089">
        <v>0</v>
      </c>
      <c r="F1089">
        <v>0</v>
      </c>
      <c r="G1089">
        <v>0</v>
      </c>
      <c r="H1089">
        <v>0</v>
      </c>
      <c r="I1089">
        <f t="shared" si="144"/>
        <v>-1</v>
      </c>
      <c r="J1089">
        <f t="shared" si="145"/>
        <v>-1</v>
      </c>
      <c r="K1089">
        <f t="shared" si="146"/>
        <v>0</v>
      </c>
      <c r="L1089">
        <f t="shared" si="147"/>
        <v>0</v>
      </c>
      <c r="M1089">
        <f t="shared" si="148"/>
        <v>0</v>
      </c>
      <c r="N1089">
        <f t="shared" si="149"/>
        <v>0</v>
      </c>
      <c r="O1089">
        <f t="shared" si="150"/>
        <v>11.5674769488684</v>
      </c>
      <c r="P1089">
        <f t="shared" si="151"/>
        <v>11.064543168482817</v>
      </c>
      <c r="Q1089">
        <f t="shared" si="152"/>
        <v>14.668901927912826</v>
      </c>
    </row>
    <row r="1090" spans="1:17" x14ac:dyDescent="0.3">
      <c r="A1090">
        <v>51022807</v>
      </c>
      <c r="B1090" t="e">
        <f>VLOOKUP(A1090,ASESORES!$A$2:$B$993,2,0)</f>
        <v>#N/A</v>
      </c>
      <c r="C1090">
        <v>49082384.599999987</v>
      </c>
      <c r="D1090">
        <v>61757520.159999996</v>
      </c>
      <c r="E1090">
        <v>77182997.579999998</v>
      </c>
      <c r="F1090">
        <v>65686182</v>
      </c>
      <c r="G1090">
        <v>14206840</v>
      </c>
      <c r="H1090">
        <v>0</v>
      </c>
      <c r="I1090">
        <f t="shared" ref="I1090:I1153" si="153">IFERROR(F1090/C1090-1,0)</f>
        <v>0.33828424464935258</v>
      </c>
      <c r="J1090">
        <f t="shared" ref="J1090:J1153" si="154">IFERROR(G1090/D1090-1,0)</f>
        <v>-0.76995773205929841</v>
      </c>
      <c r="K1090">
        <f t="shared" ref="K1090:K1153" si="155">IFERROR(H1090/E1090-1,0)</f>
        <v>-1</v>
      </c>
      <c r="L1090">
        <f t="shared" ref="L1090:L1153" si="156">IFERROR(I1090*LOG(F1090),0)</f>
        <v>2.6445282936835803</v>
      </c>
      <c r="M1090">
        <f t="shared" ref="M1090:M1153" si="157">IFERROR(J1090*LOG(G1090),0)</f>
        <v>-5.5071207454872493</v>
      </c>
      <c r="N1090">
        <f t="shared" ref="N1090:N1153" si="158">IFERROR(K1090*LOG(H1090),0)</f>
        <v>0</v>
      </c>
      <c r="O1090">
        <f t="shared" ref="O1090:O1153" si="159">RANK(L1090,$L$2:$L$1194,1)/COUNT($L$2:$L$1194)*100</f>
        <v>58.005029337803862</v>
      </c>
      <c r="P1090">
        <f t="shared" ref="P1090:P1153" si="160">RANK(M1090,$M$2:$M$1194,1)/COUNT($M$2:$M$1194)*100</f>
        <v>0.41911148365465212</v>
      </c>
      <c r="Q1090">
        <f t="shared" ref="Q1090:Q1153" si="161">RANK(N1090,$N$2:$N$1194,1)/COUNT($N$2:$N$1194)*100</f>
        <v>14.668901927912826</v>
      </c>
    </row>
    <row r="1091" spans="1:17" x14ac:dyDescent="0.3">
      <c r="A1091">
        <v>51022891</v>
      </c>
      <c r="B1091" t="e">
        <f>VLOOKUP(A1091,ASESORES!$A$2:$B$993,2,0)</f>
        <v>#N/A</v>
      </c>
      <c r="C1091">
        <v>53982430.089999989</v>
      </c>
      <c r="D1091">
        <v>0</v>
      </c>
      <c r="E1091">
        <v>0</v>
      </c>
      <c r="F1091">
        <v>0</v>
      </c>
      <c r="G1091">
        <v>0</v>
      </c>
      <c r="H1091">
        <v>0</v>
      </c>
      <c r="I1091">
        <f t="shared" si="153"/>
        <v>-1</v>
      </c>
      <c r="J1091">
        <f t="shared" si="154"/>
        <v>0</v>
      </c>
      <c r="K1091">
        <f t="shared" si="155"/>
        <v>0</v>
      </c>
      <c r="L1091">
        <f t="shared" si="156"/>
        <v>0</v>
      </c>
      <c r="M1091">
        <f t="shared" si="157"/>
        <v>0</v>
      </c>
      <c r="N1091">
        <f t="shared" si="158"/>
        <v>0</v>
      </c>
      <c r="O1091">
        <f t="shared" si="159"/>
        <v>11.5674769488684</v>
      </c>
      <c r="P1091">
        <f t="shared" si="160"/>
        <v>11.064543168482817</v>
      </c>
      <c r="Q1091">
        <f t="shared" si="161"/>
        <v>14.668901927912826</v>
      </c>
    </row>
    <row r="1092" spans="1:17" x14ac:dyDescent="0.3">
      <c r="A1092">
        <v>51022939</v>
      </c>
      <c r="B1092" t="e">
        <f>VLOOKUP(A1092,ASESORES!$A$2:$B$993,2,0)</f>
        <v>#N/A</v>
      </c>
      <c r="C1092">
        <v>42983758.579999998</v>
      </c>
      <c r="D1092">
        <v>43337580.799999997</v>
      </c>
      <c r="E1092">
        <v>32642344.100000001</v>
      </c>
      <c r="F1092">
        <v>9818820</v>
      </c>
      <c r="G1092">
        <v>52000</v>
      </c>
      <c r="H1092">
        <v>0</v>
      </c>
      <c r="I1092">
        <f t="shared" si="153"/>
        <v>-0.77156906877453435</v>
      </c>
      <c r="J1092">
        <f t="shared" si="154"/>
        <v>-0.99880011761062581</v>
      </c>
      <c r="K1092">
        <f t="shared" si="155"/>
        <v>-1</v>
      </c>
      <c r="L1092">
        <f t="shared" si="156"/>
        <v>-5.3948566818005848</v>
      </c>
      <c r="M1092">
        <f t="shared" si="157"/>
        <v>-4.7103446942745419</v>
      </c>
      <c r="N1092">
        <f t="shared" si="158"/>
        <v>0</v>
      </c>
      <c r="O1092">
        <f t="shared" si="159"/>
        <v>0.67057837384744345</v>
      </c>
      <c r="P1092">
        <f t="shared" si="160"/>
        <v>1.2573344509639564</v>
      </c>
      <c r="Q1092">
        <f t="shared" si="161"/>
        <v>14.668901927912826</v>
      </c>
    </row>
    <row r="1093" spans="1:17" x14ac:dyDescent="0.3">
      <c r="A1093">
        <v>51023323</v>
      </c>
      <c r="B1093" t="e">
        <f>VLOOKUP(A1093,ASESORES!$A$2:$B$993,2,0)</f>
        <v>#N/A</v>
      </c>
      <c r="C1093">
        <v>24017639.210000001</v>
      </c>
      <c r="D1093">
        <v>34779448.229999997</v>
      </c>
      <c r="E1093">
        <v>55890436.5</v>
      </c>
      <c r="F1093">
        <v>26809026</v>
      </c>
      <c r="G1093">
        <v>0</v>
      </c>
      <c r="H1093">
        <v>0</v>
      </c>
      <c r="I1093">
        <f t="shared" si="153"/>
        <v>0.11622236330529012</v>
      </c>
      <c r="J1093">
        <f t="shared" si="154"/>
        <v>-1</v>
      </c>
      <c r="K1093">
        <f t="shared" si="155"/>
        <v>-1</v>
      </c>
      <c r="L1093">
        <f t="shared" si="156"/>
        <v>0.86333237728770129</v>
      </c>
      <c r="M1093">
        <f t="shared" si="157"/>
        <v>0</v>
      </c>
      <c r="N1093">
        <f t="shared" si="158"/>
        <v>0</v>
      </c>
      <c r="O1093">
        <f t="shared" si="159"/>
        <v>31.014249790444261</v>
      </c>
      <c r="P1093">
        <f t="shared" si="160"/>
        <v>11.064543168482817</v>
      </c>
      <c r="Q1093">
        <f t="shared" si="161"/>
        <v>14.668901927912826</v>
      </c>
    </row>
    <row r="1094" spans="1:17" x14ac:dyDescent="0.3">
      <c r="A1094">
        <v>51023447</v>
      </c>
      <c r="B1094" t="e">
        <f>VLOOKUP(A1094,ASESORES!$A$2:$B$993,2,0)</f>
        <v>#N/A</v>
      </c>
      <c r="C1094">
        <v>0</v>
      </c>
      <c r="D1094">
        <v>0</v>
      </c>
      <c r="E1094">
        <v>0</v>
      </c>
      <c r="F1094">
        <v>0</v>
      </c>
      <c r="G1094">
        <v>0</v>
      </c>
      <c r="H1094">
        <v>0</v>
      </c>
      <c r="I1094">
        <f t="shared" si="153"/>
        <v>0</v>
      </c>
      <c r="J1094">
        <f t="shared" si="154"/>
        <v>0</v>
      </c>
      <c r="K1094">
        <f t="shared" si="155"/>
        <v>0</v>
      </c>
      <c r="L1094">
        <f t="shared" si="156"/>
        <v>0</v>
      </c>
      <c r="M1094">
        <f t="shared" si="157"/>
        <v>0</v>
      </c>
      <c r="N1094">
        <f t="shared" si="158"/>
        <v>0</v>
      </c>
      <c r="O1094">
        <f t="shared" si="159"/>
        <v>11.5674769488684</v>
      </c>
      <c r="P1094">
        <f t="shared" si="160"/>
        <v>11.064543168482817</v>
      </c>
      <c r="Q1094">
        <f t="shared" si="161"/>
        <v>14.668901927912826</v>
      </c>
    </row>
    <row r="1095" spans="1:17" x14ac:dyDescent="0.3">
      <c r="A1095">
        <v>51023463</v>
      </c>
      <c r="B1095" t="e">
        <f>VLOOKUP(A1095,ASESORES!$A$2:$B$993,2,0)</f>
        <v>#N/A</v>
      </c>
      <c r="C1095">
        <v>11841511.59</v>
      </c>
      <c r="D1095">
        <v>2860</v>
      </c>
      <c r="E1095">
        <v>0</v>
      </c>
      <c r="F1095">
        <v>0</v>
      </c>
      <c r="G1095">
        <v>0</v>
      </c>
      <c r="H1095">
        <v>0</v>
      </c>
      <c r="I1095">
        <f t="shared" si="153"/>
        <v>-1</v>
      </c>
      <c r="J1095">
        <f t="shared" si="154"/>
        <v>-1</v>
      </c>
      <c r="K1095">
        <f t="shared" si="155"/>
        <v>0</v>
      </c>
      <c r="L1095">
        <f t="shared" si="156"/>
        <v>0</v>
      </c>
      <c r="M1095">
        <f t="shared" si="157"/>
        <v>0</v>
      </c>
      <c r="N1095">
        <f t="shared" si="158"/>
        <v>0</v>
      </c>
      <c r="O1095">
        <f t="shared" si="159"/>
        <v>11.5674769488684</v>
      </c>
      <c r="P1095">
        <f t="shared" si="160"/>
        <v>11.064543168482817</v>
      </c>
      <c r="Q1095">
        <f t="shared" si="161"/>
        <v>14.668901927912826</v>
      </c>
    </row>
    <row r="1096" spans="1:17" x14ac:dyDescent="0.3">
      <c r="A1096">
        <v>51023510</v>
      </c>
      <c r="B1096" t="e">
        <f>VLOOKUP(A1096,ASESORES!$A$2:$B$993,2,0)</f>
        <v>#N/A</v>
      </c>
      <c r="C1096">
        <v>24922884.84</v>
      </c>
      <c r="D1096">
        <v>36442160.68</v>
      </c>
      <c r="E1096">
        <v>40284908.140000001</v>
      </c>
      <c r="F1096">
        <v>7112970</v>
      </c>
      <c r="G1096">
        <v>0</v>
      </c>
      <c r="H1096">
        <v>0</v>
      </c>
      <c r="I1096">
        <f t="shared" si="153"/>
        <v>-0.7146008559737822</v>
      </c>
      <c r="J1096">
        <f t="shared" si="154"/>
        <v>-1</v>
      </c>
      <c r="K1096">
        <f t="shared" si="155"/>
        <v>-1</v>
      </c>
      <c r="L1096">
        <f t="shared" si="156"/>
        <v>-4.8964814933406808</v>
      </c>
      <c r="M1096">
        <f t="shared" si="157"/>
        <v>0</v>
      </c>
      <c r="N1096">
        <f t="shared" si="158"/>
        <v>0</v>
      </c>
      <c r="O1096">
        <f t="shared" si="159"/>
        <v>1.173512154233026</v>
      </c>
      <c r="P1096">
        <f t="shared" si="160"/>
        <v>11.064543168482817</v>
      </c>
      <c r="Q1096">
        <f t="shared" si="161"/>
        <v>14.668901927912826</v>
      </c>
    </row>
    <row r="1097" spans="1:17" x14ac:dyDescent="0.3">
      <c r="A1097">
        <v>51024338</v>
      </c>
      <c r="B1097" t="e">
        <f>VLOOKUP(A1097,ASESORES!$A$2:$B$993,2,0)</f>
        <v>#N/A</v>
      </c>
      <c r="C1097">
        <v>34782933.530000001</v>
      </c>
      <c r="D1097">
        <v>11285809.98</v>
      </c>
      <c r="E1097">
        <v>0</v>
      </c>
      <c r="F1097">
        <v>0</v>
      </c>
      <c r="G1097">
        <v>0</v>
      </c>
      <c r="H1097">
        <v>0</v>
      </c>
      <c r="I1097">
        <f t="shared" si="153"/>
        <v>-1</v>
      </c>
      <c r="J1097">
        <f t="shared" si="154"/>
        <v>-1</v>
      </c>
      <c r="K1097">
        <f t="shared" si="155"/>
        <v>0</v>
      </c>
      <c r="L1097">
        <f t="shared" si="156"/>
        <v>0</v>
      </c>
      <c r="M1097">
        <f t="shared" si="157"/>
        <v>0</v>
      </c>
      <c r="N1097">
        <f t="shared" si="158"/>
        <v>0</v>
      </c>
      <c r="O1097">
        <f t="shared" si="159"/>
        <v>11.5674769488684</v>
      </c>
      <c r="P1097">
        <f t="shared" si="160"/>
        <v>11.064543168482817</v>
      </c>
      <c r="Q1097">
        <f t="shared" si="161"/>
        <v>14.668901927912826</v>
      </c>
    </row>
    <row r="1098" spans="1:17" x14ac:dyDescent="0.3">
      <c r="A1098">
        <v>51024346</v>
      </c>
      <c r="B1098" t="e">
        <f>VLOOKUP(A1098,ASESORES!$A$2:$B$993,2,0)</f>
        <v>#N/A</v>
      </c>
      <c r="C1098">
        <v>3936637.2</v>
      </c>
      <c r="D1098">
        <v>0</v>
      </c>
      <c r="E1098">
        <v>0</v>
      </c>
      <c r="F1098">
        <v>0</v>
      </c>
      <c r="G1098">
        <v>0</v>
      </c>
      <c r="H1098">
        <v>0</v>
      </c>
      <c r="I1098">
        <f t="shared" si="153"/>
        <v>-1</v>
      </c>
      <c r="J1098">
        <f t="shared" si="154"/>
        <v>0</v>
      </c>
      <c r="K1098">
        <f t="shared" si="155"/>
        <v>0</v>
      </c>
      <c r="L1098">
        <f t="shared" si="156"/>
        <v>0</v>
      </c>
      <c r="M1098">
        <f t="shared" si="157"/>
        <v>0</v>
      </c>
      <c r="N1098">
        <f t="shared" si="158"/>
        <v>0</v>
      </c>
      <c r="O1098">
        <f t="shared" si="159"/>
        <v>11.5674769488684</v>
      </c>
      <c r="P1098">
        <f t="shared" si="160"/>
        <v>11.064543168482817</v>
      </c>
      <c r="Q1098">
        <f t="shared" si="161"/>
        <v>14.668901927912826</v>
      </c>
    </row>
    <row r="1099" spans="1:17" x14ac:dyDescent="0.3">
      <c r="A1099">
        <v>51024354</v>
      </c>
      <c r="B1099" t="e">
        <f>VLOOKUP(A1099,ASESORES!$A$2:$B$993,2,0)</f>
        <v>#N/A</v>
      </c>
      <c r="C1099">
        <v>11096087</v>
      </c>
      <c r="D1099">
        <v>2934267.1</v>
      </c>
      <c r="E1099">
        <v>0</v>
      </c>
      <c r="F1099">
        <v>0</v>
      </c>
      <c r="G1099">
        <v>0</v>
      </c>
      <c r="H1099">
        <v>0</v>
      </c>
      <c r="I1099">
        <f t="shared" si="153"/>
        <v>-1</v>
      </c>
      <c r="J1099">
        <f t="shared" si="154"/>
        <v>-1</v>
      </c>
      <c r="K1099">
        <f t="shared" si="155"/>
        <v>0</v>
      </c>
      <c r="L1099">
        <f t="shared" si="156"/>
        <v>0</v>
      </c>
      <c r="M1099">
        <f t="shared" si="157"/>
        <v>0</v>
      </c>
      <c r="N1099">
        <f t="shared" si="158"/>
        <v>0</v>
      </c>
      <c r="O1099">
        <f t="shared" si="159"/>
        <v>11.5674769488684</v>
      </c>
      <c r="P1099">
        <f t="shared" si="160"/>
        <v>11.064543168482817</v>
      </c>
      <c r="Q1099">
        <f t="shared" si="161"/>
        <v>14.668901927912826</v>
      </c>
    </row>
    <row r="1100" spans="1:17" x14ac:dyDescent="0.3">
      <c r="A1100">
        <v>51024788</v>
      </c>
      <c r="B1100" t="e">
        <f>VLOOKUP(A1100,ASESORES!$A$2:$B$993,2,0)</f>
        <v>#N/A</v>
      </c>
      <c r="C1100">
        <v>4637468.97</v>
      </c>
      <c r="D1100">
        <v>0</v>
      </c>
      <c r="E1100">
        <v>0</v>
      </c>
      <c r="F1100">
        <v>0</v>
      </c>
      <c r="G1100">
        <v>0</v>
      </c>
      <c r="H1100">
        <v>0</v>
      </c>
      <c r="I1100">
        <f t="shared" si="153"/>
        <v>-1</v>
      </c>
      <c r="J1100">
        <f t="shared" si="154"/>
        <v>0</v>
      </c>
      <c r="K1100">
        <f t="shared" si="155"/>
        <v>0</v>
      </c>
      <c r="L1100">
        <f t="shared" si="156"/>
        <v>0</v>
      </c>
      <c r="M1100">
        <f t="shared" si="157"/>
        <v>0</v>
      </c>
      <c r="N1100">
        <f t="shared" si="158"/>
        <v>0</v>
      </c>
      <c r="O1100">
        <f t="shared" si="159"/>
        <v>11.5674769488684</v>
      </c>
      <c r="P1100">
        <f t="shared" si="160"/>
        <v>11.064543168482817</v>
      </c>
      <c r="Q1100">
        <f t="shared" si="161"/>
        <v>14.668901927912826</v>
      </c>
    </row>
    <row r="1101" spans="1:17" x14ac:dyDescent="0.3">
      <c r="A1101">
        <v>51024907</v>
      </c>
      <c r="B1101" t="e">
        <f>VLOOKUP(A1101,ASESORES!$A$2:$B$993,2,0)</f>
        <v>#N/A</v>
      </c>
      <c r="C1101">
        <v>3482939.5</v>
      </c>
      <c r="D1101">
        <v>0</v>
      </c>
      <c r="E1101">
        <v>0</v>
      </c>
      <c r="F1101">
        <v>0</v>
      </c>
      <c r="G1101">
        <v>0</v>
      </c>
      <c r="H1101">
        <v>0</v>
      </c>
      <c r="I1101">
        <f t="shared" si="153"/>
        <v>-1</v>
      </c>
      <c r="J1101">
        <f t="shared" si="154"/>
        <v>0</v>
      </c>
      <c r="K1101">
        <f t="shared" si="155"/>
        <v>0</v>
      </c>
      <c r="L1101">
        <f t="shared" si="156"/>
        <v>0</v>
      </c>
      <c r="M1101">
        <f t="shared" si="157"/>
        <v>0</v>
      </c>
      <c r="N1101">
        <f t="shared" si="158"/>
        <v>0</v>
      </c>
      <c r="O1101">
        <f t="shared" si="159"/>
        <v>11.5674769488684</v>
      </c>
      <c r="P1101">
        <f t="shared" si="160"/>
        <v>11.064543168482817</v>
      </c>
      <c r="Q1101">
        <f t="shared" si="161"/>
        <v>14.668901927912826</v>
      </c>
    </row>
    <row r="1102" spans="1:17" x14ac:dyDescent="0.3">
      <c r="A1102">
        <v>51025598</v>
      </c>
      <c r="B1102" t="e">
        <f>VLOOKUP(A1102,ASESORES!$A$2:$B$993,2,0)</f>
        <v>#N/A</v>
      </c>
      <c r="C1102">
        <v>97591118.499999985</v>
      </c>
      <c r="D1102">
        <v>132048290.39</v>
      </c>
      <c r="E1102">
        <v>147035275.47</v>
      </c>
      <c r="F1102">
        <v>54220881</v>
      </c>
      <c r="G1102">
        <v>0</v>
      </c>
      <c r="H1102">
        <v>0</v>
      </c>
      <c r="I1102">
        <f t="shared" si="153"/>
        <v>-0.44440762813882484</v>
      </c>
      <c r="J1102">
        <f t="shared" si="154"/>
        <v>-1</v>
      </c>
      <c r="K1102">
        <f t="shared" si="155"/>
        <v>-1</v>
      </c>
      <c r="L1102">
        <f t="shared" si="156"/>
        <v>-3.4371226209472856</v>
      </c>
      <c r="M1102">
        <f t="shared" si="157"/>
        <v>0</v>
      </c>
      <c r="N1102">
        <f t="shared" si="158"/>
        <v>0</v>
      </c>
      <c r="O1102">
        <f t="shared" si="159"/>
        <v>3.1852472757753563</v>
      </c>
      <c r="P1102">
        <f t="shared" si="160"/>
        <v>11.064543168482817</v>
      </c>
      <c r="Q1102">
        <f t="shared" si="161"/>
        <v>14.668901927912826</v>
      </c>
    </row>
    <row r="1103" spans="1:17" x14ac:dyDescent="0.3">
      <c r="A1103">
        <v>51025601</v>
      </c>
      <c r="B1103" t="e">
        <f>VLOOKUP(A1103,ASESORES!$A$2:$B$993,2,0)</f>
        <v>#N/A</v>
      </c>
      <c r="C1103">
        <v>24376484.82</v>
      </c>
      <c r="D1103">
        <v>68849523.870000005</v>
      </c>
      <c r="E1103">
        <v>199956405.34</v>
      </c>
      <c r="F1103">
        <v>65428380</v>
      </c>
      <c r="G1103">
        <v>0</v>
      </c>
      <c r="H1103">
        <v>0</v>
      </c>
      <c r="I1103">
        <f t="shared" si="153"/>
        <v>1.6840777283162027</v>
      </c>
      <c r="J1103">
        <f t="shared" si="154"/>
        <v>-1</v>
      </c>
      <c r="K1103">
        <f t="shared" si="155"/>
        <v>-1</v>
      </c>
      <c r="L1103">
        <f t="shared" si="156"/>
        <v>13.162357732152177</v>
      </c>
      <c r="M1103">
        <f t="shared" si="157"/>
        <v>0</v>
      </c>
      <c r="N1103">
        <f t="shared" si="158"/>
        <v>0</v>
      </c>
      <c r="O1103">
        <f t="shared" si="159"/>
        <v>98.491198658843246</v>
      </c>
      <c r="P1103">
        <f t="shared" si="160"/>
        <v>11.064543168482817</v>
      </c>
      <c r="Q1103">
        <f t="shared" si="161"/>
        <v>14.668901927912826</v>
      </c>
    </row>
    <row r="1104" spans="1:17" x14ac:dyDescent="0.3">
      <c r="A1104">
        <v>51025881</v>
      </c>
      <c r="B1104" t="e">
        <f>VLOOKUP(A1104,ASESORES!$A$2:$B$993,2,0)</f>
        <v>#N/A</v>
      </c>
      <c r="C1104">
        <v>66281800.340000004</v>
      </c>
      <c r="D1104">
        <v>90419474.799999997</v>
      </c>
      <c r="E1104">
        <v>97499034.079999998</v>
      </c>
      <c r="F1104">
        <v>0</v>
      </c>
      <c r="G1104">
        <v>0</v>
      </c>
      <c r="H1104">
        <v>0</v>
      </c>
      <c r="I1104">
        <f t="shared" si="153"/>
        <v>-1</v>
      </c>
      <c r="J1104">
        <f t="shared" si="154"/>
        <v>-1</v>
      </c>
      <c r="K1104">
        <f t="shared" si="155"/>
        <v>-1</v>
      </c>
      <c r="L1104">
        <f t="shared" si="156"/>
        <v>0</v>
      </c>
      <c r="M1104">
        <f t="shared" si="157"/>
        <v>0</v>
      </c>
      <c r="N1104">
        <f t="shared" si="158"/>
        <v>0</v>
      </c>
      <c r="O1104">
        <f t="shared" si="159"/>
        <v>11.5674769488684</v>
      </c>
      <c r="P1104">
        <f t="shared" si="160"/>
        <v>11.064543168482817</v>
      </c>
      <c r="Q1104">
        <f t="shared" si="161"/>
        <v>14.668901927912826</v>
      </c>
    </row>
    <row r="1105" spans="1:17" x14ac:dyDescent="0.3">
      <c r="A1105">
        <v>51028856</v>
      </c>
      <c r="B1105" t="e">
        <f>VLOOKUP(A1105,ASESORES!$A$2:$B$993,2,0)</f>
        <v>#N/A</v>
      </c>
      <c r="C1105">
        <v>12970932.140000001</v>
      </c>
      <c r="D1105">
        <v>11162314.619999999</v>
      </c>
      <c r="E1105">
        <v>0</v>
      </c>
      <c r="F1105">
        <v>0</v>
      </c>
      <c r="G1105">
        <v>0</v>
      </c>
      <c r="H1105">
        <v>0</v>
      </c>
      <c r="I1105">
        <f t="shared" si="153"/>
        <v>-1</v>
      </c>
      <c r="J1105">
        <f t="shared" si="154"/>
        <v>-1</v>
      </c>
      <c r="K1105">
        <f t="shared" si="155"/>
        <v>0</v>
      </c>
      <c r="L1105">
        <f t="shared" si="156"/>
        <v>0</v>
      </c>
      <c r="M1105">
        <f t="shared" si="157"/>
        <v>0</v>
      </c>
      <c r="N1105">
        <f t="shared" si="158"/>
        <v>0</v>
      </c>
      <c r="O1105">
        <f t="shared" si="159"/>
        <v>11.5674769488684</v>
      </c>
      <c r="P1105">
        <f t="shared" si="160"/>
        <v>11.064543168482817</v>
      </c>
      <c r="Q1105">
        <f t="shared" si="161"/>
        <v>14.668901927912826</v>
      </c>
    </row>
    <row r="1106" spans="1:17" x14ac:dyDescent="0.3">
      <c r="A1106">
        <v>51030087</v>
      </c>
      <c r="B1106" t="e">
        <f>VLOOKUP(A1106,ASESORES!$A$2:$B$993,2,0)</f>
        <v>#N/A</v>
      </c>
      <c r="C1106">
        <v>6937.5</v>
      </c>
      <c r="D1106">
        <v>0</v>
      </c>
      <c r="E1106">
        <v>0</v>
      </c>
      <c r="F1106">
        <v>0</v>
      </c>
      <c r="G1106">
        <v>0</v>
      </c>
      <c r="H1106">
        <v>0</v>
      </c>
      <c r="I1106">
        <f t="shared" si="153"/>
        <v>-1</v>
      </c>
      <c r="J1106">
        <f t="shared" si="154"/>
        <v>0</v>
      </c>
      <c r="K1106">
        <f t="shared" si="155"/>
        <v>0</v>
      </c>
      <c r="L1106">
        <f t="shared" si="156"/>
        <v>0</v>
      </c>
      <c r="M1106">
        <f t="shared" si="157"/>
        <v>0</v>
      </c>
      <c r="N1106">
        <f t="shared" si="158"/>
        <v>0</v>
      </c>
      <c r="O1106">
        <f t="shared" si="159"/>
        <v>11.5674769488684</v>
      </c>
      <c r="P1106">
        <f t="shared" si="160"/>
        <v>11.064543168482817</v>
      </c>
      <c r="Q1106">
        <f t="shared" si="161"/>
        <v>14.668901927912826</v>
      </c>
    </row>
    <row r="1107" spans="1:17" x14ac:dyDescent="0.3">
      <c r="A1107">
        <v>51030206</v>
      </c>
      <c r="B1107" t="e">
        <f>VLOOKUP(A1107,ASESORES!$A$2:$B$993,2,0)</f>
        <v>#N/A</v>
      </c>
      <c r="C1107">
        <v>38297132.469999999</v>
      </c>
      <c r="D1107">
        <v>43735701.18</v>
      </c>
      <c r="E1107">
        <v>47148059.719999999</v>
      </c>
      <c r="F1107">
        <v>13419290</v>
      </c>
      <c r="G1107">
        <v>0</v>
      </c>
      <c r="H1107">
        <v>0</v>
      </c>
      <c r="I1107">
        <f t="shared" si="153"/>
        <v>-0.64960065846935189</v>
      </c>
      <c r="J1107">
        <f t="shared" si="154"/>
        <v>-1</v>
      </c>
      <c r="K1107">
        <f t="shared" si="155"/>
        <v>-1</v>
      </c>
      <c r="L1107">
        <f t="shared" si="156"/>
        <v>-4.6301778015317954</v>
      </c>
      <c r="M1107">
        <f t="shared" si="157"/>
        <v>0</v>
      </c>
      <c r="N1107">
        <f t="shared" si="158"/>
        <v>0</v>
      </c>
      <c r="O1107">
        <f t="shared" si="159"/>
        <v>1.5088013411567478</v>
      </c>
      <c r="P1107">
        <f t="shared" si="160"/>
        <v>11.064543168482817</v>
      </c>
      <c r="Q1107">
        <f t="shared" si="161"/>
        <v>14.668901927912826</v>
      </c>
    </row>
    <row r="1108" spans="1:17" x14ac:dyDescent="0.3">
      <c r="A1108">
        <v>51030630</v>
      </c>
      <c r="B1108" t="e">
        <f>VLOOKUP(A1108,ASESORES!$A$2:$B$993,2,0)</f>
        <v>#N/A</v>
      </c>
      <c r="C1108">
        <v>15166174.199999999</v>
      </c>
      <c r="D1108">
        <v>14428205.4</v>
      </c>
      <c r="E1108">
        <v>11324480.800000001</v>
      </c>
      <c r="F1108">
        <v>0</v>
      </c>
      <c r="G1108">
        <v>0</v>
      </c>
      <c r="H1108">
        <v>0</v>
      </c>
      <c r="I1108">
        <f t="shared" si="153"/>
        <v>-1</v>
      </c>
      <c r="J1108">
        <f t="shared" si="154"/>
        <v>-1</v>
      </c>
      <c r="K1108">
        <f t="shared" si="155"/>
        <v>-1</v>
      </c>
      <c r="L1108">
        <f t="shared" si="156"/>
        <v>0</v>
      </c>
      <c r="M1108">
        <f t="shared" si="157"/>
        <v>0</v>
      </c>
      <c r="N1108">
        <f t="shared" si="158"/>
        <v>0</v>
      </c>
      <c r="O1108">
        <f t="shared" si="159"/>
        <v>11.5674769488684</v>
      </c>
      <c r="P1108">
        <f t="shared" si="160"/>
        <v>11.064543168482817</v>
      </c>
      <c r="Q1108">
        <f t="shared" si="161"/>
        <v>14.668901927912826</v>
      </c>
    </row>
    <row r="1109" spans="1:17" x14ac:dyDescent="0.3">
      <c r="A1109">
        <v>51030745</v>
      </c>
      <c r="B1109" t="e">
        <f>VLOOKUP(A1109,ASESORES!$A$2:$B$993,2,0)</f>
        <v>#N/A</v>
      </c>
      <c r="C1109">
        <v>33748208.219999999</v>
      </c>
      <c r="D1109">
        <v>50964605.869999997</v>
      </c>
      <c r="E1109">
        <v>28978832.109999999</v>
      </c>
      <c r="F1109">
        <v>0</v>
      </c>
      <c r="G1109">
        <v>0</v>
      </c>
      <c r="H1109">
        <v>0</v>
      </c>
      <c r="I1109">
        <f t="shared" si="153"/>
        <v>-1</v>
      </c>
      <c r="J1109">
        <f t="shared" si="154"/>
        <v>-1</v>
      </c>
      <c r="K1109">
        <f t="shared" si="155"/>
        <v>-1</v>
      </c>
      <c r="L1109">
        <f t="shared" si="156"/>
        <v>0</v>
      </c>
      <c r="M1109">
        <f t="shared" si="157"/>
        <v>0</v>
      </c>
      <c r="N1109">
        <f t="shared" si="158"/>
        <v>0</v>
      </c>
      <c r="O1109">
        <f t="shared" si="159"/>
        <v>11.5674769488684</v>
      </c>
      <c r="P1109">
        <f t="shared" si="160"/>
        <v>11.064543168482817</v>
      </c>
      <c r="Q1109">
        <f t="shared" si="161"/>
        <v>14.668901927912826</v>
      </c>
    </row>
    <row r="1110" spans="1:17" x14ac:dyDescent="0.3">
      <c r="A1110">
        <v>51030796</v>
      </c>
      <c r="B1110" t="e">
        <f>VLOOKUP(A1110,ASESORES!$A$2:$B$993,2,0)</f>
        <v>#N/A</v>
      </c>
      <c r="C1110">
        <v>2170649.08</v>
      </c>
      <c r="D1110">
        <v>10272384.67</v>
      </c>
      <c r="E1110">
        <v>0</v>
      </c>
      <c r="F1110">
        <v>0</v>
      </c>
      <c r="G1110">
        <v>0</v>
      </c>
      <c r="H1110">
        <v>0</v>
      </c>
      <c r="I1110">
        <f t="shared" si="153"/>
        <v>-1</v>
      </c>
      <c r="J1110">
        <f t="shared" si="154"/>
        <v>-1</v>
      </c>
      <c r="K1110">
        <f t="shared" si="155"/>
        <v>0</v>
      </c>
      <c r="L1110">
        <f t="shared" si="156"/>
        <v>0</v>
      </c>
      <c r="M1110">
        <f t="shared" si="157"/>
        <v>0</v>
      </c>
      <c r="N1110">
        <f t="shared" si="158"/>
        <v>0</v>
      </c>
      <c r="O1110">
        <f t="shared" si="159"/>
        <v>11.5674769488684</v>
      </c>
      <c r="P1110">
        <f t="shared" si="160"/>
        <v>11.064543168482817</v>
      </c>
      <c r="Q1110">
        <f t="shared" si="161"/>
        <v>14.668901927912826</v>
      </c>
    </row>
    <row r="1111" spans="1:17" x14ac:dyDescent="0.3">
      <c r="A1111">
        <v>51030966</v>
      </c>
      <c r="B1111" t="e">
        <f>VLOOKUP(A1111,ASESORES!$A$2:$B$993,2,0)</f>
        <v>#N/A</v>
      </c>
      <c r="C1111">
        <v>0</v>
      </c>
      <c r="D1111">
        <v>0</v>
      </c>
      <c r="E1111">
        <v>0</v>
      </c>
      <c r="F1111">
        <v>0</v>
      </c>
      <c r="G1111">
        <v>0</v>
      </c>
      <c r="H1111">
        <v>0</v>
      </c>
      <c r="I1111">
        <f t="shared" si="153"/>
        <v>0</v>
      </c>
      <c r="J1111">
        <f t="shared" si="154"/>
        <v>0</v>
      </c>
      <c r="K1111">
        <f t="shared" si="155"/>
        <v>0</v>
      </c>
      <c r="L1111">
        <f t="shared" si="156"/>
        <v>0</v>
      </c>
      <c r="M1111">
        <f t="shared" si="157"/>
        <v>0</v>
      </c>
      <c r="N1111">
        <f t="shared" si="158"/>
        <v>0</v>
      </c>
      <c r="O1111">
        <f t="shared" si="159"/>
        <v>11.5674769488684</v>
      </c>
      <c r="P1111">
        <f t="shared" si="160"/>
        <v>11.064543168482817</v>
      </c>
      <c r="Q1111">
        <f t="shared" si="161"/>
        <v>14.668901927912826</v>
      </c>
    </row>
    <row r="1112" spans="1:17" x14ac:dyDescent="0.3">
      <c r="A1112">
        <v>51031067</v>
      </c>
      <c r="B1112" t="e">
        <f>VLOOKUP(A1112,ASESORES!$A$2:$B$993,2,0)</f>
        <v>#N/A</v>
      </c>
      <c r="C1112">
        <v>14078943.93</v>
      </c>
      <c r="D1112">
        <v>17228731.800000001</v>
      </c>
      <c r="E1112">
        <v>0</v>
      </c>
      <c r="F1112">
        <v>0</v>
      </c>
      <c r="G1112">
        <v>0</v>
      </c>
      <c r="H1112">
        <v>0</v>
      </c>
      <c r="I1112">
        <f t="shared" si="153"/>
        <v>-1</v>
      </c>
      <c r="J1112">
        <f t="shared" si="154"/>
        <v>-1</v>
      </c>
      <c r="K1112">
        <f t="shared" si="155"/>
        <v>0</v>
      </c>
      <c r="L1112">
        <f t="shared" si="156"/>
        <v>0</v>
      </c>
      <c r="M1112">
        <f t="shared" si="157"/>
        <v>0</v>
      </c>
      <c r="N1112">
        <f t="shared" si="158"/>
        <v>0</v>
      </c>
      <c r="O1112">
        <f t="shared" si="159"/>
        <v>11.5674769488684</v>
      </c>
      <c r="P1112">
        <f t="shared" si="160"/>
        <v>11.064543168482817</v>
      </c>
      <c r="Q1112">
        <f t="shared" si="161"/>
        <v>14.668901927912826</v>
      </c>
    </row>
    <row r="1113" spans="1:17" x14ac:dyDescent="0.3">
      <c r="A1113">
        <v>51031091</v>
      </c>
      <c r="B1113" t="e">
        <f>VLOOKUP(A1113,ASESORES!$A$2:$B$993,2,0)</f>
        <v>#N/A</v>
      </c>
      <c r="C1113">
        <v>0</v>
      </c>
      <c r="D1113">
        <v>0</v>
      </c>
      <c r="E1113">
        <v>0</v>
      </c>
      <c r="F1113">
        <v>0</v>
      </c>
      <c r="G1113">
        <v>0</v>
      </c>
      <c r="H1113">
        <v>0</v>
      </c>
      <c r="I1113">
        <f t="shared" si="153"/>
        <v>0</v>
      </c>
      <c r="J1113">
        <f t="shared" si="154"/>
        <v>0</v>
      </c>
      <c r="K1113">
        <f t="shared" si="155"/>
        <v>0</v>
      </c>
      <c r="L1113">
        <f t="shared" si="156"/>
        <v>0</v>
      </c>
      <c r="M1113">
        <f t="shared" si="157"/>
        <v>0</v>
      </c>
      <c r="N1113">
        <f t="shared" si="158"/>
        <v>0</v>
      </c>
      <c r="O1113">
        <f t="shared" si="159"/>
        <v>11.5674769488684</v>
      </c>
      <c r="P1113">
        <f t="shared" si="160"/>
        <v>11.064543168482817</v>
      </c>
      <c r="Q1113">
        <f t="shared" si="161"/>
        <v>14.668901927912826</v>
      </c>
    </row>
    <row r="1114" spans="1:17" x14ac:dyDescent="0.3">
      <c r="A1114">
        <v>51031156</v>
      </c>
      <c r="B1114" t="e">
        <f>VLOOKUP(A1114,ASESORES!$A$2:$B$993,2,0)</f>
        <v>#N/A</v>
      </c>
      <c r="C1114">
        <v>23540632.34</v>
      </c>
      <c r="D1114">
        <v>4727578.4400000004</v>
      </c>
      <c r="E1114">
        <v>0</v>
      </c>
      <c r="F1114">
        <v>0</v>
      </c>
      <c r="G1114">
        <v>0</v>
      </c>
      <c r="H1114">
        <v>0</v>
      </c>
      <c r="I1114">
        <f t="shared" si="153"/>
        <v>-1</v>
      </c>
      <c r="J1114">
        <f t="shared" si="154"/>
        <v>-1</v>
      </c>
      <c r="K1114">
        <f t="shared" si="155"/>
        <v>0</v>
      </c>
      <c r="L1114">
        <f t="shared" si="156"/>
        <v>0</v>
      </c>
      <c r="M1114">
        <f t="shared" si="157"/>
        <v>0</v>
      </c>
      <c r="N1114">
        <f t="shared" si="158"/>
        <v>0</v>
      </c>
      <c r="O1114">
        <f t="shared" si="159"/>
        <v>11.5674769488684</v>
      </c>
      <c r="P1114">
        <f t="shared" si="160"/>
        <v>11.064543168482817</v>
      </c>
      <c r="Q1114">
        <f t="shared" si="161"/>
        <v>14.668901927912826</v>
      </c>
    </row>
    <row r="1115" spans="1:17" x14ac:dyDescent="0.3">
      <c r="A1115">
        <v>51031423</v>
      </c>
      <c r="B1115" t="e">
        <f>VLOOKUP(A1115,ASESORES!$A$2:$B$993,2,0)</f>
        <v>#N/A</v>
      </c>
      <c r="C1115">
        <v>0</v>
      </c>
      <c r="D1115">
        <v>0</v>
      </c>
      <c r="E1115">
        <v>0</v>
      </c>
      <c r="F1115">
        <v>0</v>
      </c>
      <c r="G1115">
        <v>0</v>
      </c>
      <c r="H1115">
        <v>0</v>
      </c>
      <c r="I1115">
        <f t="shared" si="153"/>
        <v>0</v>
      </c>
      <c r="J1115">
        <f t="shared" si="154"/>
        <v>0</v>
      </c>
      <c r="K1115">
        <f t="shared" si="155"/>
        <v>0</v>
      </c>
      <c r="L1115">
        <f t="shared" si="156"/>
        <v>0</v>
      </c>
      <c r="M1115">
        <f t="shared" si="157"/>
        <v>0</v>
      </c>
      <c r="N1115">
        <f t="shared" si="158"/>
        <v>0</v>
      </c>
      <c r="O1115">
        <f t="shared" si="159"/>
        <v>11.5674769488684</v>
      </c>
      <c r="P1115">
        <f t="shared" si="160"/>
        <v>11.064543168482817</v>
      </c>
      <c r="Q1115">
        <f t="shared" si="161"/>
        <v>14.668901927912826</v>
      </c>
    </row>
    <row r="1116" spans="1:17" x14ac:dyDescent="0.3">
      <c r="A1116">
        <v>51031555</v>
      </c>
      <c r="B1116" t="e">
        <f>VLOOKUP(A1116,ASESORES!$A$2:$B$993,2,0)</f>
        <v>#N/A</v>
      </c>
      <c r="C1116">
        <v>33010404.609999999</v>
      </c>
      <c r="D1116">
        <v>829571.6</v>
      </c>
      <c r="E1116">
        <v>0</v>
      </c>
      <c r="F1116">
        <v>0</v>
      </c>
      <c r="G1116">
        <v>0</v>
      </c>
      <c r="H1116">
        <v>0</v>
      </c>
      <c r="I1116">
        <f t="shared" si="153"/>
        <v>-1</v>
      </c>
      <c r="J1116">
        <f t="shared" si="154"/>
        <v>-1</v>
      </c>
      <c r="K1116">
        <f t="shared" si="155"/>
        <v>0</v>
      </c>
      <c r="L1116">
        <f t="shared" si="156"/>
        <v>0</v>
      </c>
      <c r="M1116">
        <f t="shared" si="157"/>
        <v>0</v>
      </c>
      <c r="N1116">
        <f t="shared" si="158"/>
        <v>0</v>
      </c>
      <c r="O1116">
        <f t="shared" si="159"/>
        <v>11.5674769488684</v>
      </c>
      <c r="P1116">
        <f t="shared" si="160"/>
        <v>11.064543168482817</v>
      </c>
      <c r="Q1116">
        <f t="shared" si="161"/>
        <v>14.668901927912826</v>
      </c>
    </row>
    <row r="1117" spans="1:17" x14ac:dyDescent="0.3">
      <c r="A1117">
        <v>51032021</v>
      </c>
      <c r="B1117" t="e">
        <f>VLOOKUP(A1117,ASESORES!$A$2:$B$993,2,0)</f>
        <v>#N/A</v>
      </c>
      <c r="C1117">
        <v>21420904.469999999</v>
      </c>
      <c r="D1117">
        <v>6323803.3000000007</v>
      </c>
      <c r="E1117">
        <v>0</v>
      </c>
      <c r="F1117">
        <v>0</v>
      </c>
      <c r="G1117">
        <v>0</v>
      </c>
      <c r="H1117">
        <v>0</v>
      </c>
      <c r="I1117">
        <f t="shared" si="153"/>
        <v>-1</v>
      </c>
      <c r="J1117">
        <f t="shared" si="154"/>
        <v>-1</v>
      </c>
      <c r="K1117">
        <f t="shared" si="155"/>
        <v>0</v>
      </c>
      <c r="L1117">
        <f t="shared" si="156"/>
        <v>0</v>
      </c>
      <c r="M1117">
        <f t="shared" si="157"/>
        <v>0</v>
      </c>
      <c r="N1117">
        <f t="shared" si="158"/>
        <v>0</v>
      </c>
      <c r="O1117">
        <f t="shared" si="159"/>
        <v>11.5674769488684</v>
      </c>
      <c r="P1117">
        <f t="shared" si="160"/>
        <v>11.064543168482817</v>
      </c>
      <c r="Q1117">
        <f t="shared" si="161"/>
        <v>14.668901927912826</v>
      </c>
    </row>
    <row r="1118" spans="1:17" x14ac:dyDescent="0.3">
      <c r="A1118">
        <v>51032055</v>
      </c>
      <c r="B1118" t="e">
        <f>VLOOKUP(A1118,ASESORES!$A$2:$B$993,2,0)</f>
        <v>#N/A</v>
      </c>
      <c r="C1118">
        <v>22934434.260000002</v>
      </c>
      <c r="D1118">
        <v>0</v>
      </c>
      <c r="E1118">
        <v>0</v>
      </c>
      <c r="F1118">
        <v>0</v>
      </c>
      <c r="G1118">
        <v>0</v>
      </c>
      <c r="H1118">
        <v>0</v>
      </c>
      <c r="I1118">
        <f t="shared" si="153"/>
        <v>-1</v>
      </c>
      <c r="J1118">
        <f t="shared" si="154"/>
        <v>0</v>
      </c>
      <c r="K1118">
        <f t="shared" si="155"/>
        <v>0</v>
      </c>
      <c r="L1118">
        <f t="shared" si="156"/>
        <v>0</v>
      </c>
      <c r="M1118">
        <f t="shared" si="157"/>
        <v>0</v>
      </c>
      <c r="N1118">
        <f t="shared" si="158"/>
        <v>0</v>
      </c>
      <c r="O1118">
        <f t="shared" si="159"/>
        <v>11.5674769488684</v>
      </c>
      <c r="P1118">
        <f t="shared" si="160"/>
        <v>11.064543168482817</v>
      </c>
      <c r="Q1118">
        <f t="shared" si="161"/>
        <v>14.668901927912826</v>
      </c>
    </row>
    <row r="1119" spans="1:17" x14ac:dyDescent="0.3">
      <c r="A1119">
        <v>51032144</v>
      </c>
      <c r="B1119" t="e">
        <f>VLOOKUP(A1119,ASESORES!$A$2:$B$993,2,0)</f>
        <v>#N/A</v>
      </c>
      <c r="C1119">
        <v>31185797.699999999</v>
      </c>
      <c r="D1119">
        <v>47435658.469999999</v>
      </c>
      <c r="E1119">
        <v>53880417.359999999</v>
      </c>
      <c r="F1119">
        <v>31490248</v>
      </c>
      <c r="G1119">
        <v>0</v>
      </c>
      <c r="H1119">
        <v>0</v>
      </c>
      <c r="I1119">
        <f t="shared" si="153"/>
        <v>9.7624663293445213E-3</v>
      </c>
      <c r="J1119">
        <f t="shared" si="154"/>
        <v>-1</v>
      </c>
      <c r="K1119">
        <f t="shared" si="155"/>
        <v>-1</v>
      </c>
      <c r="L1119">
        <f t="shared" si="156"/>
        <v>7.320069152144118E-2</v>
      </c>
      <c r="M1119">
        <f t="shared" si="157"/>
        <v>0</v>
      </c>
      <c r="N1119">
        <f t="shared" si="158"/>
        <v>0</v>
      </c>
      <c r="O1119">
        <f t="shared" si="159"/>
        <v>23.55406538139145</v>
      </c>
      <c r="P1119">
        <f t="shared" si="160"/>
        <v>11.064543168482817</v>
      </c>
      <c r="Q1119">
        <f t="shared" si="161"/>
        <v>14.668901927912826</v>
      </c>
    </row>
    <row r="1120" spans="1:17" x14ac:dyDescent="0.3">
      <c r="A1120">
        <v>51032209</v>
      </c>
      <c r="B1120" t="e">
        <f>VLOOKUP(A1120,ASESORES!$A$2:$B$993,2,0)</f>
        <v>#N/A</v>
      </c>
      <c r="C1120">
        <v>24716924.32</v>
      </c>
      <c r="D1120">
        <v>26358489.170000002</v>
      </c>
      <c r="E1120">
        <v>29002559.260000002</v>
      </c>
      <c r="F1120">
        <v>53300</v>
      </c>
      <c r="G1120">
        <v>0</v>
      </c>
      <c r="H1120">
        <v>0</v>
      </c>
      <c r="I1120">
        <f t="shared" si="153"/>
        <v>-0.99784358282972641</v>
      </c>
      <c r="J1120">
        <f t="shared" si="154"/>
        <v>-1</v>
      </c>
      <c r="K1120">
        <f t="shared" si="155"/>
        <v>-1</v>
      </c>
      <c r="L1120">
        <f t="shared" si="156"/>
        <v>-4.7165344133138278</v>
      </c>
      <c r="M1120">
        <f t="shared" si="157"/>
        <v>0</v>
      </c>
      <c r="N1120">
        <f t="shared" si="158"/>
        <v>0</v>
      </c>
      <c r="O1120">
        <f t="shared" si="159"/>
        <v>1.4249790444258172</v>
      </c>
      <c r="P1120">
        <f t="shared" si="160"/>
        <v>11.064543168482817</v>
      </c>
      <c r="Q1120">
        <f t="shared" si="161"/>
        <v>14.668901927912826</v>
      </c>
    </row>
    <row r="1121" spans="1:17" x14ac:dyDescent="0.3">
      <c r="A1121">
        <v>51032217</v>
      </c>
      <c r="B1121" t="e">
        <f>VLOOKUP(A1121,ASESORES!$A$2:$B$993,2,0)</f>
        <v>#N/A</v>
      </c>
      <c r="C1121">
        <v>17917549.760000002</v>
      </c>
      <c r="D1121">
        <v>0</v>
      </c>
      <c r="E1121">
        <v>0</v>
      </c>
      <c r="F1121">
        <v>0</v>
      </c>
      <c r="G1121">
        <v>0</v>
      </c>
      <c r="H1121">
        <v>0</v>
      </c>
      <c r="I1121">
        <f t="shared" si="153"/>
        <v>-1</v>
      </c>
      <c r="J1121">
        <f t="shared" si="154"/>
        <v>0</v>
      </c>
      <c r="K1121">
        <f t="shared" si="155"/>
        <v>0</v>
      </c>
      <c r="L1121">
        <f t="shared" si="156"/>
        <v>0</v>
      </c>
      <c r="M1121">
        <f t="shared" si="157"/>
        <v>0</v>
      </c>
      <c r="N1121">
        <f t="shared" si="158"/>
        <v>0</v>
      </c>
      <c r="O1121">
        <f t="shared" si="159"/>
        <v>11.5674769488684</v>
      </c>
      <c r="P1121">
        <f t="shared" si="160"/>
        <v>11.064543168482817</v>
      </c>
      <c r="Q1121">
        <f t="shared" si="161"/>
        <v>14.668901927912826</v>
      </c>
    </row>
    <row r="1122" spans="1:17" x14ac:dyDescent="0.3">
      <c r="A1122">
        <v>51032497</v>
      </c>
      <c r="B1122" t="str">
        <f>VLOOKUP(A1122,ASESORES!$A$2:$B$993,2,0)</f>
        <v>CICHETTO</v>
      </c>
      <c r="C1122">
        <v>22827364.66</v>
      </c>
      <c r="D1122">
        <v>30675129.079999998</v>
      </c>
      <c r="E1122">
        <v>32762347.469999999</v>
      </c>
      <c r="F1122">
        <v>24549992</v>
      </c>
      <c r="G1122">
        <v>27667779</v>
      </c>
      <c r="H1122">
        <v>0</v>
      </c>
      <c r="I1122">
        <f t="shared" si="153"/>
        <v>7.546325936688314E-2</v>
      </c>
      <c r="J1122">
        <f t="shared" si="154"/>
        <v>-9.8038709866775209E-2</v>
      </c>
      <c r="K1122">
        <f t="shared" si="155"/>
        <v>-1</v>
      </c>
      <c r="L1122">
        <f t="shared" si="156"/>
        <v>0.55767736213222274</v>
      </c>
      <c r="M1122">
        <f t="shared" si="157"/>
        <v>-0.72960155904120594</v>
      </c>
      <c r="N1122">
        <f t="shared" si="158"/>
        <v>0</v>
      </c>
      <c r="O1122">
        <f t="shared" si="159"/>
        <v>28.415758591785416</v>
      </c>
      <c r="P1122">
        <f t="shared" si="160"/>
        <v>7.6278290025146687</v>
      </c>
      <c r="Q1122">
        <f t="shared" si="161"/>
        <v>14.668901927912826</v>
      </c>
    </row>
    <row r="1123" spans="1:17" x14ac:dyDescent="0.3">
      <c r="A1123">
        <v>51033019</v>
      </c>
      <c r="B1123" t="e">
        <f>VLOOKUP(A1123,ASESORES!$A$2:$B$993,2,0)</f>
        <v>#N/A</v>
      </c>
      <c r="C1123">
        <v>23472757.469999999</v>
      </c>
      <c r="D1123">
        <v>23725959.949999999</v>
      </c>
      <c r="E1123">
        <v>13397106.5</v>
      </c>
      <c r="F1123">
        <v>0</v>
      </c>
      <c r="G1123">
        <v>0</v>
      </c>
      <c r="H1123">
        <v>0</v>
      </c>
      <c r="I1123">
        <f t="shared" si="153"/>
        <v>-1</v>
      </c>
      <c r="J1123">
        <f t="shared" si="154"/>
        <v>-1</v>
      </c>
      <c r="K1123">
        <f t="shared" si="155"/>
        <v>-1</v>
      </c>
      <c r="L1123">
        <f t="shared" si="156"/>
        <v>0</v>
      </c>
      <c r="M1123">
        <f t="shared" si="157"/>
        <v>0</v>
      </c>
      <c r="N1123">
        <f t="shared" si="158"/>
        <v>0</v>
      </c>
      <c r="O1123">
        <f t="shared" si="159"/>
        <v>11.5674769488684</v>
      </c>
      <c r="P1123">
        <f t="shared" si="160"/>
        <v>11.064543168482817</v>
      </c>
      <c r="Q1123">
        <f t="shared" si="161"/>
        <v>14.668901927912826</v>
      </c>
    </row>
    <row r="1124" spans="1:17" x14ac:dyDescent="0.3">
      <c r="A1124">
        <v>51033647</v>
      </c>
      <c r="B1124" t="e">
        <f>VLOOKUP(A1124,ASESORES!$A$2:$B$993,2,0)</f>
        <v>#N/A</v>
      </c>
      <c r="C1124">
        <v>19344337.949999999</v>
      </c>
      <c r="D1124">
        <v>1586906.75</v>
      </c>
      <c r="E1124">
        <v>0</v>
      </c>
      <c r="F1124">
        <v>0</v>
      </c>
      <c r="G1124">
        <v>0</v>
      </c>
      <c r="H1124">
        <v>0</v>
      </c>
      <c r="I1124">
        <f t="shared" si="153"/>
        <v>-1</v>
      </c>
      <c r="J1124">
        <f t="shared" si="154"/>
        <v>-1</v>
      </c>
      <c r="K1124">
        <f t="shared" si="155"/>
        <v>0</v>
      </c>
      <c r="L1124">
        <f t="shared" si="156"/>
        <v>0</v>
      </c>
      <c r="M1124">
        <f t="shared" si="157"/>
        <v>0</v>
      </c>
      <c r="N1124">
        <f t="shared" si="158"/>
        <v>0</v>
      </c>
      <c r="O1124">
        <f t="shared" si="159"/>
        <v>11.5674769488684</v>
      </c>
      <c r="P1124">
        <f t="shared" si="160"/>
        <v>11.064543168482817</v>
      </c>
      <c r="Q1124">
        <f t="shared" si="161"/>
        <v>14.668901927912826</v>
      </c>
    </row>
    <row r="1125" spans="1:17" x14ac:dyDescent="0.3">
      <c r="A1125">
        <v>51034261</v>
      </c>
      <c r="B1125" t="e">
        <f>VLOOKUP(A1125,ASESORES!$A$2:$B$993,2,0)</f>
        <v>#N/A</v>
      </c>
      <c r="C1125">
        <v>4464599.4800000004</v>
      </c>
      <c r="D1125">
        <v>7948129.5700000003</v>
      </c>
      <c r="E1125">
        <v>11796241.380000001</v>
      </c>
      <c r="F1125">
        <v>20400</v>
      </c>
      <c r="G1125">
        <v>0</v>
      </c>
      <c r="H1125">
        <v>0</v>
      </c>
      <c r="I1125">
        <f t="shared" si="153"/>
        <v>-0.99543072114500175</v>
      </c>
      <c r="J1125">
        <f t="shared" si="154"/>
        <v>-1</v>
      </c>
      <c r="K1125">
        <f t="shared" si="155"/>
        <v>-1</v>
      </c>
      <c r="L1125">
        <f t="shared" si="156"/>
        <v>-4.2899382654290168</v>
      </c>
      <c r="M1125">
        <f t="shared" si="157"/>
        <v>0</v>
      </c>
      <c r="N1125">
        <f t="shared" si="158"/>
        <v>0</v>
      </c>
      <c r="O1125">
        <f t="shared" si="159"/>
        <v>2.0955574182732608</v>
      </c>
      <c r="P1125">
        <f t="shared" si="160"/>
        <v>11.064543168482817</v>
      </c>
      <c r="Q1125">
        <f t="shared" si="161"/>
        <v>14.668901927912826</v>
      </c>
    </row>
    <row r="1126" spans="1:17" x14ac:dyDescent="0.3">
      <c r="A1126">
        <v>51034392</v>
      </c>
      <c r="B1126" t="e">
        <f>VLOOKUP(A1126,ASESORES!$A$2:$B$993,2,0)</f>
        <v>#N/A</v>
      </c>
      <c r="C1126">
        <v>0</v>
      </c>
      <c r="D1126">
        <v>0</v>
      </c>
      <c r="E1126">
        <v>0</v>
      </c>
      <c r="F1126">
        <v>0</v>
      </c>
      <c r="G1126">
        <v>0</v>
      </c>
      <c r="H1126">
        <v>0</v>
      </c>
      <c r="I1126">
        <f t="shared" si="153"/>
        <v>0</v>
      </c>
      <c r="J1126">
        <f t="shared" si="154"/>
        <v>0</v>
      </c>
      <c r="K1126">
        <f t="shared" si="155"/>
        <v>0</v>
      </c>
      <c r="L1126">
        <f t="shared" si="156"/>
        <v>0</v>
      </c>
      <c r="M1126">
        <f t="shared" si="157"/>
        <v>0</v>
      </c>
      <c r="N1126">
        <f t="shared" si="158"/>
        <v>0</v>
      </c>
      <c r="O1126">
        <f t="shared" si="159"/>
        <v>11.5674769488684</v>
      </c>
      <c r="P1126">
        <f t="shared" si="160"/>
        <v>11.064543168482817</v>
      </c>
      <c r="Q1126">
        <f t="shared" si="161"/>
        <v>14.668901927912826</v>
      </c>
    </row>
    <row r="1127" spans="1:17" x14ac:dyDescent="0.3">
      <c r="A1127">
        <v>51036093</v>
      </c>
      <c r="B1127" t="e">
        <f>VLOOKUP(A1127,ASESORES!$A$2:$B$993,2,0)</f>
        <v>#N/A</v>
      </c>
      <c r="C1127">
        <v>32755222.57</v>
      </c>
      <c r="D1127">
        <v>13866885.74</v>
      </c>
      <c r="E1127">
        <v>0</v>
      </c>
      <c r="F1127">
        <v>0</v>
      </c>
      <c r="G1127">
        <v>0</v>
      </c>
      <c r="H1127">
        <v>0</v>
      </c>
      <c r="I1127">
        <f t="shared" si="153"/>
        <v>-1</v>
      </c>
      <c r="J1127">
        <f t="shared" si="154"/>
        <v>-1</v>
      </c>
      <c r="K1127">
        <f t="shared" si="155"/>
        <v>0</v>
      </c>
      <c r="L1127">
        <f t="shared" si="156"/>
        <v>0</v>
      </c>
      <c r="M1127">
        <f t="shared" si="157"/>
        <v>0</v>
      </c>
      <c r="N1127">
        <f t="shared" si="158"/>
        <v>0</v>
      </c>
      <c r="O1127">
        <f t="shared" si="159"/>
        <v>11.5674769488684</v>
      </c>
      <c r="P1127">
        <f t="shared" si="160"/>
        <v>11.064543168482817</v>
      </c>
      <c r="Q1127">
        <f t="shared" si="161"/>
        <v>14.668901927912826</v>
      </c>
    </row>
    <row r="1128" spans="1:17" x14ac:dyDescent="0.3">
      <c r="A1128">
        <v>51036620</v>
      </c>
      <c r="B1128" t="e">
        <f>VLOOKUP(A1128,ASESORES!$A$2:$B$993,2,0)</f>
        <v>#N/A</v>
      </c>
      <c r="C1128">
        <v>5844989.8100000015</v>
      </c>
      <c r="D1128">
        <v>2075804.5</v>
      </c>
      <c r="E1128">
        <v>0</v>
      </c>
      <c r="F1128">
        <v>0</v>
      </c>
      <c r="G1128">
        <v>0</v>
      </c>
      <c r="H1128">
        <v>0</v>
      </c>
      <c r="I1128">
        <f t="shared" si="153"/>
        <v>-1</v>
      </c>
      <c r="J1128">
        <f t="shared" si="154"/>
        <v>-1</v>
      </c>
      <c r="K1128">
        <f t="shared" si="155"/>
        <v>0</v>
      </c>
      <c r="L1128">
        <f t="shared" si="156"/>
        <v>0</v>
      </c>
      <c r="M1128">
        <f t="shared" si="157"/>
        <v>0</v>
      </c>
      <c r="N1128">
        <f t="shared" si="158"/>
        <v>0</v>
      </c>
      <c r="O1128">
        <f t="shared" si="159"/>
        <v>11.5674769488684</v>
      </c>
      <c r="P1128">
        <f t="shared" si="160"/>
        <v>11.064543168482817</v>
      </c>
      <c r="Q1128">
        <f t="shared" si="161"/>
        <v>14.668901927912826</v>
      </c>
    </row>
    <row r="1129" spans="1:17" x14ac:dyDescent="0.3">
      <c r="A1129">
        <v>51036786</v>
      </c>
      <c r="B1129" t="e">
        <f>VLOOKUP(A1129,ASESORES!$A$2:$B$993,2,0)</f>
        <v>#N/A</v>
      </c>
      <c r="C1129">
        <v>9039218.2799999993</v>
      </c>
      <c r="D1129">
        <v>0</v>
      </c>
      <c r="E1129">
        <v>0</v>
      </c>
      <c r="F1129">
        <v>0</v>
      </c>
      <c r="G1129">
        <v>0</v>
      </c>
      <c r="H1129">
        <v>0</v>
      </c>
      <c r="I1129">
        <f t="shared" si="153"/>
        <v>-1</v>
      </c>
      <c r="J1129">
        <f t="shared" si="154"/>
        <v>0</v>
      </c>
      <c r="K1129">
        <f t="shared" si="155"/>
        <v>0</v>
      </c>
      <c r="L1129">
        <f t="shared" si="156"/>
        <v>0</v>
      </c>
      <c r="M1129">
        <f t="shared" si="157"/>
        <v>0</v>
      </c>
      <c r="N1129">
        <f t="shared" si="158"/>
        <v>0</v>
      </c>
      <c r="O1129">
        <f t="shared" si="159"/>
        <v>11.5674769488684</v>
      </c>
      <c r="P1129">
        <f t="shared" si="160"/>
        <v>11.064543168482817</v>
      </c>
      <c r="Q1129">
        <f t="shared" si="161"/>
        <v>14.668901927912826</v>
      </c>
    </row>
    <row r="1130" spans="1:17" x14ac:dyDescent="0.3">
      <c r="A1130">
        <v>51037014</v>
      </c>
      <c r="B1130" t="e">
        <f>VLOOKUP(A1130,ASESORES!$A$2:$B$993,2,0)</f>
        <v>#N/A</v>
      </c>
      <c r="C1130">
        <v>20257736.699999999</v>
      </c>
      <c r="D1130">
        <v>26349115.100000001</v>
      </c>
      <c r="E1130">
        <v>19637994.640000001</v>
      </c>
      <c r="F1130">
        <v>0</v>
      </c>
      <c r="G1130">
        <v>0</v>
      </c>
      <c r="H1130">
        <v>0</v>
      </c>
      <c r="I1130">
        <f t="shared" si="153"/>
        <v>-1</v>
      </c>
      <c r="J1130">
        <f t="shared" si="154"/>
        <v>-1</v>
      </c>
      <c r="K1130">
        <f t="shared" si="155"/>
        <v>-1</v>
      </c>
      <c r="L1130">
        <f t="shared" si="156"/>
        <v>0</v>
      </c>
      <c r="M1130">
        <f t="shared" si="157"/>
        <v>0</v>
      </c>
      <c r="N1130">
        <f t="shared" si="158"/>
        <v>0</v>
      </c>
      <c r="O1130">
        <f t="shared" si="159"/>
        <v>11.5674769488684</v>
      </c>
      <c r="P1130">
        <f t="shared" si="160"/>
        <v>11.064543168482817</v>
      </c>
      <c r="Q1130">
        <f t="shared" si="161"/>
        <v>14.668901927912826</v>
      </c>
    </row>
    <row r="1131" spans="1:17" x14ac:dyDescent="0.3">
      <c r="A1131">
        <v>51038991</v>
      </c>
      <c r="B1131" t="e">
        <f>VLOOKUP(A1131,ASESORES!$A$2:$B$993,2,0)</f>
        <v>#N/A</v>
      </c>
      <c r="C1131">
        <v>18842924.800000001</v>
      </c>
      <c r="D1131">
        <v>34533203.130000003</v>
      </c>
      <c r="E1131">
        <v>43472191.799999997</v>
      </c>
      <c r="F1131">
        <v>13135035</v>
      </c>
      <c r="G1131">
        <v>0</v>
      </c>
      <c r="H1131">
        <v>0</v>
      </c>
      <c r="I1131">
        <f t="shared" si="153"/>
        <v>-0.30291952340647244</v>
      </c>
      <c r="J1131">
        <f t="shared" si="154"/>
        <v>-1</v>
      </c>
      <c r="K1131">
        <f t="shared" si="155"/>
        <v>-1</v>
      </c>
      <c r="L1131">
        <f t="shared" si="156"/>
        <v>-2.1563117969133097</v>
      </c>
      <c r="M1131">
        <f t="shared" si="157"/>
        <v>0</v>
      </c>
      <c r="N1131">
        <f t="shared" si="158"/>
        <v>0</v>
      </c>
      <c r="O1131">
        <f t="shared" si="159"/>
        <v>4.9455155071248953</v>
      </c>
      <c r="P1131">
        <f t="shared" si="160"/>
        <v>11.064543168482817</v>
      </c>
      <c r="Q1131">
        <f t="shared" si="161"/>
        <v>14.668901927912826</v>
      </c>
    </row>
    <row r="1132" spans="1:17" x14ac:dyDescent="0.3">
      <c r="A1132">
        <v>51039084</v>
      </c>
      <c r="B1132" t="e">
        <f>VLOOKUP(A1132,ASESORES!$A$2:$B$993,2,0)</f>
        <v>#N/A</v>
      </c>
      <c r="C1132">
        <v>53145542.530000001</v>
      </c>
      <c r="D1132">
        <v>69064337.600000009</v>
      </c>
      <c r="E1132">
        <v>65888768.049999997</v>
      </c>
      <c r="F1132">
        <v>34417654</v>
      </c>
      <c r="G1132">
        <v>0</v>
      </c>
      <c r="H1132">
        <v>0</v>
      </c>
      <c r="I1132">
        <f t="shared" si="153"/>
        <v>-0.35238869787486582</v>
      </c>
      <c r="J1132">
        <f t="shared" si="154"/>
        <v>-1</v>
      </c>
      <c r="K1132">
        <f t="shared" si="155"/>
        <v>-1</v>
      </c>
      <c r="L1132">
        <f t="shared" si="156"/>
        <v>-2.6558765359009668</v>
      </c>
      <c r="M1132">
        <f t="shared" si="157"/>
        <v>0</v>
      </c>
      <c r="N1132">
        <f t="shared" si="158"/>
        <v>0</v>
      </c>
      <c r="O1132">
        <f t="shared" si="159"/>
        <v>3.7720033528918693</v>
      </c>
      <c r="P1132">
        <f t="shared" si="160"/>
        <v>11.064543168482817</v>
      </c>
      <c r="Q1132">
        <f t="shared" si="161"/>
        <v>14.668901927912826</v>
      </c>
    </row>
    <row r="1133" spans="1:17" x14ac:dyDescent="0.3">
      <c r="A1133">
        <v>51039955</v>
      </c>
      <c r="B1133" t="e">
        <f>VLOOKUP(A1133,ASESORES!$A$2:$B$993,2,0)</f>
        <v>#N/A</v>
      </c>
      <c r="C1133">
        <v>0</v>
      </c>
      <c r="D1133">
        <v>0</v>
      </c>
      <c r="E1133">
        <v>0</v>
      </c>
      <c r="F1133">
        <v>0</v>
      </c>
      <c r="G1133">
        <v>0</v>
      </c>
      <c r="H1133">
        <v>0</v>
      </c>
      <c r="I1133">
        <f t="shared" si="153"/>
        <v>0</v>
      </c>
      <c r="J1133">
        <f t="shared" si="154"/>
        <v>0</v>
      </c>
      <c r="K1133">
        <f t="shared" si="155"/>
        <v>0</v>
      </c>
      <c r="L1133">
        <f t="shared" si="156"/>
        <v>0</v>
      </c>
      <c r="M1133">
        <f t="shared" si="157"/>
        <v>0</v>
      </c>
      <c r="N1133">
        <f t="shared" si="158"/>
        <v>0</v>
      </c>
      <c r="O1133">
        <f t="shared" si="159"/>
        <v>11.5674769488684</v>
      </c>
      <c r="P1133">
        <f t="shared" si="160"/>
        <v>11.064543168482817</v>
      </c>
      <c r="Q1133">
        <f t="shared" si="161"/>
        <v>14.668901927912826</v>
      </c>
    </row>
    <row r="1134" spans="1:17" x14ac:dyDescent="0.3">
      <c r="A1134">
        <v>51039980</v>
      </c>
      <c r="B1134" t="e">
        <f>VLOOKUP(A1134,ASESORES!$A$2:$B$993,2,0)</f>
        <v>#N/A</v>
      </c>
      <c r="C1134">
        <v>31516621.34</v>
      </c>
      <c r="D1134">
        <v>33129069.260000002</v>
      </c>
      <c r="E1134">
        <v>56892</v>
      </c>
      <c r="F1134">
        <v>0</v>
      </c>
      <c r="G1134">
        <v>0</v>
      </c>
      <c r="H1134">
        <v>0</v>
      </c>
      <c r="I1134">
        <f t="shared" si="153"/>
        <v>-1</v>
      </c>
      <c r="J1134">
        <f t="shared" si="154"/>
        <v>-1</v>
      </c>
      <c r="K1134">
        <f t="shared" si="155"/>
        <v>-1</v>
      </c>
      <c r="L1134">
        <f t="shared" si="156"/>
        <v>0</v>
      </c>
      <c r="M1134">
        <f t="shared" si="157"/>
        <v>0</v>
      </c>
      <c r="N1134">
        <f t="shared" si="158"/>
        <v>0</v>
      </c>
      <c r="O1134">
        <f t="shared" si="159"/>
        <v>11.5674769488684</v>
      </c>
      <c r="P1134">
        <f t="shared" si="160"/>
        <v>11.064543168482817</v>
      </c>
      <c r="Q1134">
        <f t="shared" si="161"/>
        <v>14.668901927912826</v>
      </c>
    </row>
    <row r="1135" spans="1:17" x14ac:dyDescent="0.3">
      <c r="A1135">
        <v>51040040</v>
      </c>
      <c r="B1135" t="e">
        <f>VLOOKUP(A1135,ASESORES!$A$2:$B$993,2,0)</f>
        <v>#N/A</v>
      </c>
      <c r="C1135">
        <v>23027348.960000001</v>
      </c>
      <c r="D1135">
        <v>18719331.399999999</v>
      </c>
      <c r="E1135">
        <v>27700895.379999999</v>
      </c>
      <c r="F1135">
        <v>2604303</v>
      </c>
      <c r="G1135">
        <v>0</v>
      </c>
      <c r="H1135">
        <v>0</v>
      </c>
      <c r="I1135">
        <f t="shared" si="153"/>
        <v>-0.88690391566463678</v>
      </c>
      <c r="J1135">
        <f t="shared" si="154"/>
        <v>-1</v>
      </c>
      <c r="K1135">
        <f t="shared" si="155"/>
        <v>-1</v>
      </c>
      <c r="L1135">
        <f t="shared" si="156"/>
        <v>-5.6901019229992196</v>
      </c>
      <c r="M1135">
        <f t="shared" si="157"/>
        <v>0</v>
      </c>
      <c r="N1135">
        <f t="shared" si="158"/>
        <v>0</v>
      </c>
      <c r="O1135">
        <f t="shared" si="159"/>
        <v>0.16764459346186086</v>
      </c>
      <c r="P1135">
        <f t="shared" si="160"/>
        <v>11.064543168482817</v>
      </c>
      <c r="Q1135">
        <f t="shared" si="161"/>
        <v>14.668901927912826</v>
      </c>
    </row>
    <row r="1136" spans="1:17" x14ac:dyDescent="0.3">
      <c r="A1136">
        <v>51040309</v>
      </c>
      <c r="B1136" t="e">
        <f>VLOOKUP(A1136,ASESORES!$A$2:$B$993,2,0)</f>
        <v>#N/A</v>
      </c>
      <c r="C1136">
        <v>16328435</v>
      </c>
      <c r="D1136">
        <v>22931019.73</v>
      </c>
      <c r="E1136">
        <v>24593703</v>
      </c>
      <c r="F1136">
        <v>19703160</v>
      </c>
      <c r="G1136">
        <v>14019489</v>
      </c>
      <c r="H1136">
        <v>0</v>
      </c>
      <c r="I1136">
        <f t="shared" si="153"/>
        <v>0.20667779857653223</v>
      </c>
      <c r="J1136">
        <f t="shared" si="154"/>
        <v>-0.3886233946387172</v>
      </c>
      <c r="K1136">
        <f t="shared" si="155"/>
        <v>-1</v>
      </c>
      <c r="L1136">
        <f t="shared" si="156"/>
        <v>1.5076186181540705</v>
      </c>
      <c r="M1136">
        <f t="shared" si="157"/>
        <v>-2.7773873220001524</v>
      </c>
      <c r="N1136">
        <f t="shared" si="158"/>
        <v>0</v>
      </c>
      <c r="O1136">
        <f t="shared" si="159"/>
        <v>40.31852472757754</v>
      </c>
      <c r="P1136">
        <f t="shared" si="160"/>
        <v>3.6043587594300082</v>
      </c>
      <c r="Q1136">
        <f t="shared" si="161"/>
        <v>14.668901927912826</v>
      </c>
    </row>
    <row r="1137" spans="1:17" x14ac:dyDescent="0.3">
      <c r="A1137">
        <v>51040856</v>
      </c>
      <c r="B1137" t="e">
        <f>VLOOKUP(A1137,ASESORES!$A$2:$B$993,2,0)</f>
        <v>#N/A</v>
      </c>
      <c r="C1137">
        <v>4195467</v>
      </c>
      <c r="D1137">
        <v>0</v>
      </c>
      <c r="E1137">
        <v>0</v>
      </c>
      <c r="F1137">
        <v>0</v>
      </c>
      <c r="G1137">
        <v>0</v>
      </c>
      <c r="H1137">
        <v>0</v>
      </c>
      <c r="I1137">
        <f t="shared" si="153"/>
        <v>-1</v>
      </c>
      <c r="J1137">
        <f t="shared" si="154"/>
        <v>0</v>
      </c>
      <c r="K1137">
        <f t="shared" si="155"/>
        <v>0</v>
      </c>
      <c r="L1137">
        <f t="shared" si="156"/>
        <v>0</v>
      </c>
      <c r="M1137">
        <f t="shared" si="157"/>
        <v>0</v>
      </c>
      <c r="N1137">
        <f t="shared" si="158"/>
        <v>0</v>
      </c>
      <c r="O1137">
        <f t="shared" si="159"/>
        <v>11.5674769488684</v>
      </c>
      <c r="P1137">
        <f t="shared" si="160"/>
        <v>11.064543168482817</v>
      </c>
      <c r="Q1137">
        <f t="shared" si="161"/>
        <v>14.668901927912826</v>
      </c>
    </row>
    <row r="1138" spans="1:17" x14ac:dyDescent="0.3">
      <c r="A1138">
        <v>51040970</v>
      </c>
      <c r="B1138" t="e">
        <f>VLOOKUP(A1138,ASESORES!$A$2:$B$993,2,0)</f>
        <v>#N/A</v>
      </c>
      <c r="C1138">
        <v>30088634.800000001</v>
      </c>
      <c r="D1138">
        <v>42662748.799999997</v>
      </c>
      <c r="E1138">
        <v>36601873.200000003</v>
      </c>
      <c r="F1138">
        <v>0</v>
      </c>
      <c r="G1138">
        <v>0</v>
      </c>
      <c r="H1138">
        <v>0</v>
      </c>
      <c r="I1138">
        <f t="shared" si="153"/>
        <v>-1</v>
      </c>
      <c r="J1138">
        <f t="shared" si="154"/>
        <v>-1</v>
      </c>
      <c r="K1138">
        <f t="shared" si="155"/>
        <v>-1</v>
      </c>
      <c r="L1138">
        <f t="shared" si="156"/>
        <v>0</v>
      </c>
      <c r="M1138">
        <f t="shared" si="157"/>
        <v>0</v>
      </c>
      <c r="N1138">
        <f t="shared" si="158"/>
        <v>0</v>
      </c>
      <c r="O1138">
        <f t="shared" si="159"/>
        <v>11.5674769488684</v>
      </c>
      <c r="P1138">
        <f t="shared" si="160"/>
        <v>11.064543168482817</v>
      </c>
      <c r="Q1138">
        <f t="shared" si="161"/>
        <v>14.668901927912826</v>
      </c>
    </row>
    <row r="1139" spans="1:17" x14ac:dyDescent="0.3">
      <c r="A1139">
        <v>51041178</v>
      </c>
      <c r="B1139" t="e">
        <f>VLOOKUP(A1139,ASESORES!$A$2:$B$993,2,0)</f>
        <v>#N/A</v>
      </c>
      <c r="C1139">
        <v>38946202.32</v>
      </c>
      <c r="D1139">
        <v>0</v>
      </c>
      <c r="E1139">
        <v>0</v>
      </c>
      <c r="F1139">
        <v>0</v>
      </c>
      <c r="G1139">
        <v>0</v>
      </c>
      <c r="H1139">
        <v>0</v>
      </c>
      <c r="I1139">
        <f t="shared" si="153"/>
        <v>-1</v>
      </c>
      <c r="J1139">
        <f t="shared" si="154"/>
        <v>0</v>
      </c>
      <c r="K1139">
        <f t="shared" si="155"/>
        <v>0</v>
      </c>
      <c r="L1139">
        <f t="shared" si="156"/>
        <v>0</v>
      </c>
      <c r="M1139">
        <f t="shared" si="157"/>
        <v>0</v>
      </c>
      <c r="N1139">
        <f t="shared" si="158"/>
        <v>0</v>
      </c>
      <c r="O1139">
        <f t="shared" si="159"/>
        <v>11.5674769488684</v>
      </c>
      <c r="P1139">
        <f t="shared" si="160"/>
        <v>11.064543168482817</v>
      </c>
      <c r="Q1139">
        <f t="shared" si="161"/>
        <v>14.668901927912826</v>
      </c>
    </row>
    <row r="1140" spans="1:17" x14ac:dyDescent="0.3">
      <c r="A1140">
        <v>51041321</v>
      </c>
      <c r="B1140" t="e">
        <f>VLOOKUP(A1140,ASESORES!$A$2:$B$993,2,0)</f>
        <v>#N/A</v>
      </c>
      <c r="C1140">
        <v>39306562.5</v>
      </c>
      <c r="D1140">
        <v>47593846.950000003</v>
      </c>
      <c r="E1140">
        <v>55637585.419999987</v>
      </c>
      <c r="F1140">
        <v>18000</v>
      </c>
      <c r="G1140">
        <v>0</v>
      </c>
      <c r="H1140">
        <v>0</v>
      </c>
      <c r="I1140">
        <f t="shared" si="153"/>
        <v>-0.99954206120161238</v>
      </c>
      <c r="J1140">
        <f t="shared" si="154"/>
        <v>-1</v>
      </c>
      <c r="K1140">
        <f t="shared" si="155"/>
        <v>-1</v>
      </c>
      <c r="L1140">
        <f t="shared" si="156"/>
        <v>-4.2533238507255078</v>
      </c>
      <c r="M1140">
        <f t="shared" si="157"/>
        <v>0</v>
      </c>
      <c r="N1140">
        <f t="shared" si="158"/>
        <v>0</v>
      </c>
      <c r="O1140">
        <f t="shared" si="159"/>
        <v>2.1793797150041909</v>
      </c>
      <c r="P1140">
        <f t="shared" si="160"/>
        <v>11.064543168482817</v>
      </c>
      <c r="Q1140">
        <f t="shared" si="161"/>
        <v>14.668901927912826</v>
      </c>
    </row>
    <row r="1141" spans="1:17" x14ac:dyDescent="0.3">
      <c r="A1141">
        <v>51041836</v>
      </c>
      <c r="B1141" t="e">
        <f>VLOOKUP(A1141,ASESORES!$A$2:$B$993,2,0)</f>
        <v>#N/A</v>
      </c>
      <c r="C1141">
        <v>27113444.510000002</v>
      </c>
      <c r="D1141">
        <v>11647809.85</v>
      </c>
      <c r="E1141">
        <v>0</v>
      </c>
      <c r="F1141">
        <v>0</v>
      </c>
      <c r="G1141">
        <v>0</v>
      </c>
      <c r="H1141">
        <v>0</v>
      </c>
      <c r="I1141">
        <f t="shared" si="153"/>
        <v>-1</v>
      </c>
      <c r="J1141">
        <f t="shared" si="154"/>
        <v>-1</v>
      </c>
      <c r="K1141">
        <f t="shared" si="155"/>
        <v>0</v>
      </c>
      <c r="L1141">
        <f t="shared" si="156"/>
        <v>0</v>
      </c>
      <c r="M1141">
        <f t="shared" si="157"/>
        <v>0</v>
      </c>
      <c r="N1141">
        <f t="shared" si="158"/>
        <v>0</v>
      </c>
      <c r="O1141">
        <f t="shared" si="159"/>
        <v>11.5674769488684</v>
      </c>
      <c r="P1141">
        <f t="shared" si="160"/>
        <v>11.064543168482817</v>
      </c>
      <c r="Q1141">
        <f t="shared" si="161"/>
        <v>14.668901927912826</v>
      </c>
    </row>
    <row r="1142" spans="1:17" x14ac:dyDescent="0.3">
      <c r="A1142">
        <v>51041925</v>
      </c>
      <c r="B1142" t="e">
        <f>VLOOKUP(A1142,ASESORES!$A$2:$B$993,2,0)</f>
        <v>#N/A</v>
      </c>
      <c r="C1142">
        <v>38833619.150000013</v>
      </c>
      <c r="D1142">
        <v>41068274.409999996</v>
      </c>
      <c r="E1142">
        <v>42589526.140000001</v>
      </c>
      <c r="F1142">
        <v>19694100</v>
      </c>
      <c r="G1142">
        <v>0</v>
      </c>
      <c r="H1142">
        <v>0</v>
      </c>
      <c r="I1142">
        <f t="shared" si="153"/>
        <v>-0.49285952658883214</v>
      </c>
      <c r="J1142">
        <f t="shared" si="154"/>
        <v>-1</v>
      </c>
      <c r="K1142">
        <f t="shared" si="155"/>
        <v>-1</v>
      </c>
      <c r="L1142">
        <f t="shared" si="156"/>
        <v>-3.5950830561438556</v>
      </c>
      <c r="M1142">
        <f t="shared" si="157"/>
        <v>0</v>
      </c>
      <c r="N1142">
        <f t="shared" si="158"/>
        <v>0</v>
      </c>
      <c r="O1142">
        <f t="shared" si="159"/>
        <v>2.8499580888516345</v>
      </c>
      <c r="P1142">
        <f t="shared" si="160"/>
        <v>11.064543168482817</v>
      </c>
      <c r="Q1142">
        <f t="shared" si="161"/>
        <v>14.668901927912826</v>
      </c>
    </row>
    <row r="1143" spans="1:17" x14ac:dyDescent="0.3">
      <c r="A1143">
        <v>51042166</v>
      </c>
      <c r="B1143" t="e">
        <f>VLOOKUP(A1143,ASESORES!$A$2:$B$993,2,0)</f>
        <v>#N/A</v>
      </c>
      <c r="C1143">
        <v>16389296.42</v>
      </c>
      <c r="D1143">
        <v>22041962.280000001</v>
      </c>
      <c r="E1143">
        <v>4660418.4000000004</v>
      </c>
      <c r="F1143">
        <v>0</v>
      </c>
      <c r="G1143">
        <v>0</v>
      </c>
      <c r="H1143">
        <v>0</v>
      </c>
      <c r="I1143">
        <f t="shared" si="153"/>
        <v>-1</v>
      </c>
      <c r="J1143">
        <f t="shared" si="154"/>
        <v>-1</v>
      </c>
      <c r="K1143">
        <f t="shared" si="155"/>
        <v>-1</v>
      </c>
      <c r="L1143">
        <f t="shared" si="156"/>
        <v>0</v>
      </c>
      <c r="M1143">
        <f t="shared" si="157"/>
        <v>0</v>
      </c>
      <c r="N1143">
        <f t="shared" si="158"/>
        <v>0</v>
      </c>
      <c r="O1143">
        <f t="shared" si="159"/>
        <v>11.5674769488684</v>
      </c>
      <c r="P1143">
        <f t="shared" si="160"/>
        <v>11.064543168482817</v>
      </c>
      <c r="Q1143">
        <f t="shared" si="161"/>
        <v>14.668901927912826</v>
      </c>
    </row>
    <row r="1144" spans="1:17" x14ac:dyDescent="0.3">
      <c r="A1144">
        <v>51042352</v>
      </c>
      <c r="B1144" t="e">
        <f>VLOOKUP(A1144,ASESORES!$A$2:$B$993,2,0)</f>
        <v>#N/A</v>
      </c>
      <c r="C1144">
        <v>11049135.300000001</v>
      </c>
      <c r="D1144">
        <v>21954401.899999999</v>
      </c>
      <c r="E1144">
        <v>24509498.800000001</v>
      </c>
      <c r="F1144">
        <v>8309170</v>
      </c>
      <c r="G1144">
        <v>0</v>
      </c>
      <c r="H1144">
        <v>0</v>
      </c>
      <c r="I1144">
        <f t="shared" si="153"/>
        <v>-0.24798006591520338</v>
      </c>
      <c r="J1144">
        <f t="shared" si="154"/>
        <v>-1</v>
      </c>
      <c r="K1144">
        <f t="shared" si="155"/>
        <v>-1</v>
      </c>
      <c r="L1144">
        <f t="shared" si="156"/>
        <v>-1.7159123607700979</v>
      </c>
      <c r="M1144">
        <f t="shared" si="157"/>
        <v>0</v>
      </c>
      <c r="N1144">
        <f t="shared" si="158"/>
        <v>0</v>
      </c>
      <c r="O1144">
        <f t="shared" si="159"/>
        <v>5.699916177703269</v>
      </c>
      <c r="P1144">
        <f t="shared" si="160"/>
        <v>11.064543168482817</v>
      </c>
      <c r="Q1144">
        <f t="shared" si="161"/>
        <v>14.668901927912826</v>
      </c>
    </row>
    <row r="1145" spans="1:17" x14ac:dyDescent="0.3">
      <c r="A1145">
        <v>51042492</v>
      </c>
      <c r="B1145" t="e">
        <f>VLOOKUP(A1145,ASESORES!$A$2:$B$993,2,0)</f>
        <v>#N/A</v>
      </c>
      <c r="C1145">
        <v>46180732.549999997</v>
      </c>
      <c r="D1145">
        <v>54985704.969999999</v>
      </c>
      <c r="E1145">
        <v>78439582.109999999</v>
      </c>
      <c r="F1145">
        <v>50296775</v>
      </c>
      <c r="G1145">
        <v>26000</v>
      </c>
      <c r="H1145">
        <v>0</v>
      </c>
      <c r="I1145">
        <f t="shared" si="153"/>
        <v>8.9128998669381287E-2</v>
      </c>
      <c r="J1145">
        <f t="shared" si="154"/>
        <v>-0.99952714982895674</v>
      </c>
      <c r="K1145">
        <f t="shared" si="155"/>
        <v>-1</v>
      </c>
      <c r="L1145">
        <f t="shared" si="156"/>
        <v>0.68643056082239362</v>
      </c>
      <c r="M1145">
        <f t="shared" si="157"/>
        <v>-4.4128857270680788</v>
      </c>
      <c r="N1145">
        <f t="shared" si="158"/>
        <v>0</v>
      </c>
      <c r="O1145">
        <f t="shared" si="159"/>
        <v>29.337803855825651</v>
      </c>
      <c r="P1145">
        <f t="shared" si="160"/>
        <v>1.6764459346186085</v>
      </c>
      <c r="Q1145">
        <f t="shared" si="161"/>
        <v>14.668901927912826</v>
      </c>
    </row>
    <row r="1146" spans="1:17" x14ac:dyDescent="0.3">
      <c r="A1146">
        <v>51042557</v>
      </c>
      <c r="B1146" t="e">
        <f>VLOOKUP(A1146,ASESORES!$A$2:$B$993,2,0)</f>
        <v>#N/A</v>
      </c>
      <c r="C1146">
        <v>18892834.890000001</v>
      </c>
      <c r="D1146">
        <v>20437205.800000001</v>
      </c>
      <c r="E1146">
        <v>25138036.5</v>
      </c>
      <c r="F1146">
        <v>5351300</v>
      </c>
      <c r="G1146">
        <v>0</v>
      </c>
      <c r="H1146">
        <v>0</v>
      </c>
      <c r="I1146">
        <f t="shared" si="153"/>
        <v>-0.71675505390498861</v>
      </c>
      <c r="J1146">
        <f t="shared" si="154"/>
        <v>-1</v>
      </c>
      <c r="K1146">
        <f t="shared" si="155"/>
        <v>-1</v>
      </c>
      <c r="L1146">
        <f t="shared" si="156"/>
        <v>-4.8226572073388461</v>
      </c>
      <c r="M1146">
        <f t="shared" si="157"/>
        <v>0</v>
      </c>
      <c r="N1146">
        <f t="shared" si="158"/>
        <v>0</v>
      </c>
      <c r="O1146">
        <f t="shared" si="159"/>
        <v>1.3411567476948869</v>
      </c>
      <c r="P1146">
        <f t="shared" si="160"/>
        <v>11.064543168482817</v>
      </c>
      <c r="Q1146">
        <f t="shared" si="161"/>
        <v>14.668901927912826</v>
      </c>
    </row>
    <row r="1147" spans="1:17" x14ac:dyDescent="0.3">
      <c r="A1147">
        <v>51042697</v>
      </c>
      <c r="B1147" t="e">
        <f>VLOOKUP(A1147,ASESORES!$A$2:$B$993,2,0)</f>
        <v>#N/A</v>
      </c>
      <c r="C1147">
        <v>30901848.969999999</v>
      </c>
      <c r="D1147">
        <v>15125883.369999999</v>
      </c>
      <c r="E1147">
        <v>0</v>
      </c>
      <c r="F1147">
        <v>0</v>
      </c>
      <c r="G1147">
        <v>0</v>
      </c>
      <c r="H1147">
        <v>0</v>
      </c>
      <c r="I1147">
        <f t="shared" si="153"/>
        <v>-1</v>
      </c>
      <c r="J1147">
        <f t="shared" si="154"/>
        <v>-1</v>
      </c>
      <c r="K1147">
        <f t="shared" si="155"/>
        <v>0</v>
      </c>
      <c r="L1147">
        <f t="shared" si="156"/>
        <v>0</v>
      </c>
      <c r="M1147">
        <f t="shared" si="157"/>
        <v>0</v>
      </c>
      <c r="N1147">
        <f t="shared" si="158"/>
        <v>0</v>
      </c>
      <c r="O1147">
        <f t="shared" si="159"/>
        <v>11.5674769488684</v>
      </c>
      <c r="P1147">
        <f t="shared" si="160"/>
        <v>11.064543168482817</v>
      </c>
      <c r="Q1147">
        <f t="shared" si="161"/>
        <v>14.668901927912826</v>
      </c>
    </row>
    <row r="1148" spans="1:17" x14ac:dyDescent="0.3">
      <c r="A1148">
        <v>51042701</v>
      </c>
      <c r="B1148" t="e">
        <f>VLOOKUP(A1148,ASESORES!$A$2:$B$993,2,0)</f>
        <v>#N/A</v>
      </c>
      <c r="C1148">
        <v>23779605.300000001</v>
      </c>
      <c r="D1148">
        <v>32228129.329999998</v>
      </c>
      <c r="E1148">
        <v>36741345.299999997</v>
      </c>
      <c r="F1148">
        <v>20652700</v>
      </c>
      <c r="G1148">
        <v>0</v>
      </c>
      <c r="H1148">
        <v>0</v>
      </c>
      <c r="I1148">
        <f t="shared" si="153"/>
        <v>-0.13149525656761007</v>
      </c>
      <c r="J1148">
        <f t="shared" si="154"/>
        <v>-1</v>
      </c>
      <c r="K1148">
        <f t="shared" si="155"/>
        <v>-1</v>
      </c>
      <c r="L1148">
        <f t="shared" si="156"/>
        <v>-0.96188475590785327</v>
      </c>
      <c r="M1148">
        <f t="shared" si="157"/>
        <v>0</v>
      </c>
      <c r="N1148">
        <f t="shared" si="158"/>
        <v>0</v>
      </c>
      <c r="O1148">
        <f t="shared" si="159"/>
        <v>7.4601844090528084</v>
      </c>
      <c r="P1148">
        <f t="shared" si="160"/>
        <v>11.064543168482817</v>
      </c>
      <c r="Q1148">
        <f t="shared" si="161"/>
        <v>14.668901927912826</v>
      </c>
    </row>
    <row r="1149" spans="1:17" x14ac:dyDescent="0.3">
      <c r="A1149">
        <v>51042794</v>
      </c>
      <c r="B1149" t="e">
        <f>VLOOKUP(A1149,ASESORES!$A$2:$B$993,2,0)</f>
        <v>#N/A</v>
      </c>
      <c r="C1149">
        <v>0</v>
      </c>
      <c r="D1149">
        <v>0</v>
      </c>
      <c r="E1149">
        <v>0</v>
      </c>
      <c r="F1149">
        <v>0</v>
      </c>
      <c r="G1149">
        <v>0</v>
      </c>
      <c r="H1149">
        <v>0</v>
      </c>
      <c r="I1149">
        <f t="shared" si="153"/>
        <v>0</v>
      </c>
      <c r="J1149">
        <f t="shared" si="154"/>
        <v>0</v>
      </c>
      <c r="K1149">
        <f t="shared" si="155"/>
        <v>0</v>
      </c>
      <c r="L1149">
        <f t="shared" si="156"/>
        <v>0</v>
      </c>
      <c r="M1149">
        <f t="shared" si="157"/>
        <v>0</v>
      </c>
      <c r="N1149">
        <f t="shared" si="158"/>
        <v>0</v>
      </c>
      <c r="O1149">
        <f t="shared" si="159"/>
        <v>11.5674769488684</v>
      </c>
      <c r="P1149">
        <f t="shared" si="160"/>
        <v>11.064543168482817</v>
      </c>
      <c r="Q1149">
        <f t="shared" si="161"/>
        <v>14.668901927912826</v>
      </c>
    </row>
    <row r="1150" spans="1:17" x14ac:dyDescent="0.3">
      <c r="A1150">
        <v>51042867</v>
      </c>
      <c r="B1150" t="e">
        <f>VLOOKUP(A1150,ASESORES!$A$2:$B$993,2,0)</f>
        <v>#N/A</v>
      </c>
      <c r="C1150">
        <v>9282576.1400000006</v>
      </c>
      <c r="D1150">
        <v>13270390.800000001</v>
      </c>
      <c r="E1150">
        <v>9781926.0999999996</v>
      </c>
      <c r="F1150">
        <v>0</v>
      </c>
      <c r="G1150">
        <v>0</v>
      </c>
      <c r="H1150">
        <v>0</v>
      </c>
      <c r="I1150">
        <f t="shared" si="153"/>
        <v>-1</v>
      </c>
      <c r="J1150">
        <f t="shared" si="154"/>
        <v>-1</v>
      </c>
      <c r="K1150">
        <f t="shared" si="155"/>
        <v>-1</v>
      </c>
      <c r="L1150">
        <f t="shared" si="156"/>
        <v>0</v>
      </c>
      <c r="M1150">
        <f t="shared" si="157"/>
        <v>0</v>
      </c>
      <c r="N1150">
        <f t="shared" si="158"/>
        <v>0</v>
      </c>
      <c r="O1150">
        <f t="shared" si="159"/>
        <v>11.5674769488684</v>
      </c>
      <c r="P1150">
        <f t="shared" si="160"/>
        <v>11.064543168482817</v>
      </c>
      <c r="Q1150">
        <f t="shared" si="161"/>
        <v>14.668901927912826</v>
      </c>
    </row>
    <row r="1151" spans="1:17" x14ac:dyDescent="0.3">
      <c r="A1151">
        <v>51042883</v>
      </c>
      <c r="B1151" t="e">
        <f>VLOOKUP(A1151,ASESORES!$A$2:$B$993,2,0)</f>
        <v>#N/A</v>
      </c>
      <c r="C1151">
        <v>4014276</v>
      </c>
      <c r="D1151">
        <v>40788088.979999997</v>
      </c>
      <c r="E1151">
        <v>54138952.310000002</v>
      </c>
      <c r="F1151">
        <v>48813681</v>
      </c>
      <c r="G1151">
        <v>26073308</v>
      </c>
      <c r="H1151">
        <v>0</v>
      </c>
      <c r="I1151">
        <f t="shared" si="153"/>
        <v>11.160021134570718</v>
      </c>
      <c r="J1151">
        <f t="shared" si="154"/>
        <v>-0.3607617161768778</v>
      </c>
      <c r="K1151">
        <f t="shared" si="155"/>
        <v>-1</v>
      </c>
      <c r="L1151">
        <f t="shared" si="156"/>
        <v>85.804286288952255</v>
      </c>
      <c r="M1151">
        <f t="shared" si="157"/>
        <v>-2.67547964514084</v>
      </c>
      <c r="N1151">
        <f t="shared" si="158"/>
        <v>0</v>
      </c>
      <c r="O1151">
        <f t="shared" si="159"/>
        <v>99.748533109807212</v>
      </c>
      <c r="P1151">
        <f t="shared" si="160"/>
        <v>3.9396479463537304</v>
      </c>
      <c r="Q1151">
        <f t="shared" si="161"/>
        <v>14.668901927912826</v>
      </c>
    </row>
    <row r="1152" spans="1:17" x14ac:dyDescent="0.3">
      <c r="A1152">
        <v>51043286</v>
      </c>
      <c r="B1152" t="e">
        <f>VLOOKUP(A1152,ASESORES!$A$2:$B$993,2,0)</f>
        <v>#N/A</v>
      </c>
      <c r="C1152">
        <v>89296688.829999998</v>
      </c>
      <c r="D1152">
        <v>102403413.08</v>
      </c>
      <c r="E1152">
        <v>124793250.78</v>
      </c>
      <c r="F1152">
        <v>1125440</v>
      </c>
      <c r="G1152">
        <v>0</v>
      </c>
      <c r="H1152">
        <v>0</v>
      </c>
      <c r="I1152">
        <f t="shared" si="153"/>
        <v>-0.98739662114300142</v>
      </c>
      <c r="J1152">
        <f t="shared" si="154"/>
        <v>-1</v>
      </c>
      <c r="K1152">
        <f t="shared" si="155"/>
        <v>-1</v>
      </c>
      <c r="L1152">
        <f t="shared" si="156"/>
        <v>-5.9750552385163633</v>
      </c>
      <c r="M1152">
        <f t="shared" si="157"/>
        <v>0</v>
      </c>
      <c r="N1152">
        <f t="shared" si="158"/>
        <v>0</v>
      </c>
      <c r="O1152">
        <f t="shared" si="159"/>
        <v>8.3822296730930432E-2</v>
      </c>
      <c r="P1152">
        <f t="shared" si="160"/>
        <v>11.064543168482817</v>
      </c>
      <c r="Q1152">
        <f t="shared" si="161"/>
        <v>14.668901927912826</v>
      </c>
    </row>
    <row r="1153" spans="1:17" x14ac:dyDescent="0.3">
      <c r="A1153">
        <v>51043430</v>
      </c>
      <c r="B1153" t="e">
        <f>VLOOKUP(A1153,ASESORES!$A$2:$B$993,2,0)</f>
        <v>#N/A</v>
      </c>
      <c r="C1153">
        <v>25184758.260000002</v>
      </c>
      <c r="D1153">
        <v>34896070.609999999</v>
      </c>
      <c r="E1153">
        <v>36585567.549999997</v>
      </c>
      <c r="F1153">
        <v>33366157</v>
      </c>
      <c r="G1153">
        <v>158900</v>
      </c>
      <c r="H1153">
        <v>0</v>
      </c>
      <c r="I1153">
        <f t="shared" si="153"/>
        <v>0.32485516261612113</v>
      </c>
      <c r="J1153">
        <f t="shared" si="154"/>
        <v>-0.99544647872318137</v>
      </c>
      <c r="K1153">
        <f t="shared" si="155"/>
        <v>-1</v>
      </c>
      <c r="L1153">
        <f t="shared" si="156"/>
        <v>2.4439848554319981</v>
      </c>
      <c r="M1153">
        <f t="shared" si="157"/>
        <v>-5.1774404688780757</v>
      </c>
      <c r="N1153">
        <f t="shared" si="158"/>
        <v>0</v>
      </c>
      <c r="O1153">
        <f t="shared" si="159"/>
        <v>54.735959765297572</v>
      </c>
      <c r="P1153">
        <f t="shared" si="160"/>
        <v>0.7544006705783739</v>
      </c>
      <c r="Q1153">
        <f t="shared" si="161"/>
        <v>14.668901927912826</v>
      </c>
    </row>
    <row r="1154" spans="1:17" x14ac:dyDescent="0.3">
      <c r="A1154">
        <v>51043481</v>
      </c>
      <c r="B1154" t="e">
        <f>VLOOKUP(A1154,ASESORES!$A$2:$B$993,2,0)</f>
        <v>#N/A</v>
      </c>
      <c r="C1154">
        <v>16563762.9</v>
      </c>
      <c r="D1154">
        <v>15873097.02</v>
      </c>
      <c r="E1154">
        <v>17450970.899999999</v>
      </c>
      <c r="F1154">
        <v>15068524</v>
      </c>
      <c r="G1154">
        <v>0</v>
      </c>
      <c r="H1154">
        <v>0</v>
      </c>
      <c r="I1154">
        <f t="shared" ref="I1154:I1195" si="162">IFERROR(F1154/C1154-1,0)</f>
        <v>-9.0271691826740663E-2</v>
      </c>
      <c r="J1154">
        <f t="shared" ref="J1154:J1195" si="163">IFERROR(G1154/D1154-1,0)</f>
        <v>-1</v>
      </c>
      <c r="K1154">
        <f t="shared" ref="K1154:K1195" si="164">IFERROR(H1154/E1154-1,0)</f>
        <v>-1</v>
      </c>
      <c r="L1154">
        <f t="shared" ref="L1154:L1194" si="165">IFERROR(I1154*LOG(F1154),0)</f>
        <v>-0.64797658741885245</v>
      </c>
      <c r="M1154">
        <f t="shared" ref="M1154:M1194" si="166">IFERROR(J1154*LOG(G1154),0)</f>
        <v>0</v>
      </c>
      <c r="N1154">
        <f t="shared" ref="N1154:N1194" si="167">IFERROR(K1154*LOG(H1154),0)</f>
        <v>0</v>
      </c>
      <c r="O1154">
        <f t="shared" ref="O1154:O1194" si="168">RANK(L1154,$L$2:$L$1194,1)/COUNT($L$2:$L$1194)*100</f>
        <v>7.9631181894383909</v>
      </c>
      <c r="P1154">
        <f t="shared" ref="P1154:P1194" si="169">RANK(M1154,$M$2:$M$1194,1)/COUNT($M$2:$M$1194)*100</f>
        <v>11.064543168482817</v>
      </c>
      <c r="Q1154">
        <f t="shared" ref="Q1154:Q1194" si="170">RANK(N1154,$N$2:$N$1194,1)/COUNT($N$2:$N$1194)*100</f>
        <v>14.668901927912826</v>
      </c>
    </row>
    <row r="1155" spans="1:17" x14ac:dyDescent="0.3">
      <c r="A1155">
        <v>51043685</v>
      </c>
      <c r="B1155" t="e">
        <f>VLOOKUP(A1155,ASESORES!$A$2:$B$993,2,0)</f>
        <v>#N/A</v>
      </c>
      <c r="C1155">
        <v>16375612.34</v>
      </c>
      <c r="D1155">
        <v>23391729.350000001</v>
      </c>
      <c r="E1155">
        <v>18150739.77</v>
      </c>
      <c r="F1155">
        <v>0</v>
      </c>
      <c r="G1155">
        <v>0</v>
      </c>
      <c r="H1155">
        <v>0</v>
      </c>
      <c r="I1155">
        <f t="shared" si="162"/>
        <v>-1</v>
      </c>
      <c r="J1155">
        <f t="shared" si="163"/>
        <v>-1</v>
      </c>
      <c r="K1155">
        <f t="shared" si="164"/>
        <v>-1</v>
      </c>
      <c r="L1155">
        <f t="shared" si="165"/>
        <v>0</v>
      </c>
      <c r="M1155">
        <f t="shared" si="166"/>
        <v>0</v>
      </c>
      <c r="N1155">
        <f t="shared" si="167"/>
        <v>0</v>
      </c>
      <c r="O1155">
        <f t="shared" si="168"/>
        <v>11.5674769488684</v>
      </c>
      <c r="P1155">
        <f t="shared" si="169"/>
        <v>11.064543168482817</v>
      </c>
      <c r="Q1155">
        <f t="shared" si="170"/>
        <v>14.668901927912826</v>
      </c>
    </row>
    <row r="1156" spans="1:17" x14ac:dyDescent="0.3">
      <c r="A1156">
        <v>51044185</v>
      </c>
      <c r="B1156" t="e">
        <f>VLOOKUP(A1156,ASESORES!$A$2:$B$993,2,0)</f>
        <v>#N/A</v>
      </c>
      <c r="C1156">
        <v>46930186.409999996</v>
      </c>
      <c r="D1156">
        <v>51623145.57</v>
      </c>
      <c r="E1156">
        <v>62944860.299999997</v>
      </c>
      <c r="F1156">
        <v>31143743</v>
      </c>
      <c r="G1156">
        <v>0</v>
      </c>
      <c r="H1156">
        <v>0</v>
      </c>
      <c r="I1156">
        <f t="shared" si="162"/>
        <v>-0.33638143416017163</v>
      </c>
      <c r="J1156">
        <f t="shared" si="163"/>
        <v>-1</v>
      </c>
      <c r="K1156">
        <f t="shared" si="164"/>
        <v>-1</v>
      </c>
      <c r="L1156">
        <f t="shared" si="165"/>
        <v>-2.5206308187194115</v>
      </c>
      <c r="M1156">
        <f t="shared" si="166"/>
        <v>0</v>
      </c>
      <c r="N1156">
        <f t="shared" si="167"/>
        <v>0</v>
      </c>
      <c r="O1156">
        <f t="shared" si="168"/>
        <v>4.0234702430846605</v>
      </c>
      <c r="P1156">
        <f t="shared" si="169"/>
        <v>11.064543168482817</v>
      </c>
      <c r="Q1156">
        <f t="shared" si="170"/>
        <v>14.668901927912826</v>
      </c>
    </row>
    <row r="1157" spans="1:17" x14ac:dyDescent="0.3">
      <c r="A1157">
        <v>51054474</v>
      </c>
      <c r="B1157" t="e">
        <f>VLOOKUP(A1157,ASESORES!$A$2:$B$993,2,0)</f>
        <v>#N/A</v>
      </c>
      <c r="C1157">
        <v>0</v>
      </c>
      <c r="D1157">
        <v>0</v>
      </c>
      <c r="E1157">
        <v>0</v>
      </c>
      <c r="F1157">
        <v>1200</v>
      </c>
      <c r="G1157">
        <v>0</v>
      </c>
      <c r="H1157">
        <v>0</v>
      </c>
      <c r="I1157">
        <f t="shared" si="162"/>
        <v>0</v>
      </c>
      <c r="J1157">
        <f t="shared" si="163"/>
        <v>0</v>
      </c>
      <c r="K1157">
        <f t="shared" si="164"/>
        <v>0</v>
      </c>
      <c r="L1157">
        <f t="shared" si="165"/>
        <v>0</v>
      </c>
      <c r="M1157">
        <f t="shared" si="166"/>
        <v>0</v>
      </c>
      <c r="N1157">
        <f t="shared" si="167"/>
        <v>0</v>
      </c>
      <c r="O1157">
        <f t="shared" si="168"/>
        <v>11.5674769488684</v>
      </c>
      <c r="P1157">
        <f t="shared" si="169"/>
        <v>11.064543168482817</v>
      </c>
      <c r="Q1157">
        <f t="shared" si="170"/>
        <v>14.668901927912826</v>
      </c>
    </row>
    <row r="1158" spans="1:17" x14ac:dyDescent="0.3">
      <c r="A1158">
        <v>51054890</v>
      </c>
      <c r="B1158" t="e">
        <f>VLOOKUP(A1158,ASESORES!$A$2:$B$993,2,0)</f>
        <v>#N/A</v>
      </c>
      <c r="C1158">
        <v>26647378.859999999</v>
      </c>
      <c r="D1158">
        <v>6018243.8499999996</v>
      </c>
      <c r="E1158">
        <v>0</v>
      </c>
      <c r="F1158">
        <v>0</v>
      </c>
      <c r="G1158">
        <v>0</v>
      </c>
      <c r="H1158">
        <v>0</v>
      </c>
      <c r="I1158">
        <f t="shared" si="162"/>
        <v>-1</v>
      </c>
      <c r="J1158">
        <f t="shared" si="163"/>
        <v>-1</v>
      </c>
      <c r="K1158">
        <f t="shared" si="164"/>
        <v>0</v>
      </c>
      <c r="L1158">
        <f t="shared" si="165"/>
        <v>0</v>
      </c>
      <c r="M1158">
        <f t="shared" si="166"/>
        <v>0</v>
      </c>
      <c r="N1158">
        <f t="shared" si="167"/>
        <v>0</v>
      </c>
      <c r="O1158">
        <f t="shared" si="168"/>
        <v>11.5674769488684</v>
      </c>
      <c r="P1158">
        <f t="shared" si="169"/>
        <v>11.064543168482817</v>
      </c>
      <c r="Q1158">
        <f t="shared" si="170"/>
        <v>14.668901927912826</v>
      </c>
    </row>
    <row r="1159" spans="1:17" x14ac:dyDescent="0.3">
      <c r="A1159">
        <v>51054971</v>
      </c>
      <c r="B1159" t="e">
        <f>VLOOKUP(A1159,ASESORES!$A$2:$B$993,2,0)</f>
        <v>#N/A</v>
      </c>
      <c r="C1159">
        <v>1084279</v>
      </c>
      <c r="D1159">
        <v>0</v>
      </c>
      <c r="E1159">
        <v>0</v>
      </c>
      <c r="F1159">
        <v>0</v>
      </c>
      <c r="G1159">
        <v>0</v>
      </c>
      <c r="H1159">
        <v>0</v>
      </c>
      <c r="I1159">
        <f t="shared" si="162"/>
        <v>-1</v>
      </c>
      <c r="J1159">
        <f t="shared" si="163"/>
        <v>0</v>
      </c>
      <c r="K1159">
        <f t="shared" si="164"/>
        <v>0</v>
      </c>
      <c r="L1159">
        <f t="shared" si="165"/>
        <v>0</v>
      </c>
      <c r="M1159">
        <f t="shared" si="166"/>
        <v>0</v>
      </c>
      <c r="N1159">
        <f t="shared" si="167"/>
        <v>0</v>
      </c>
      <c r="O1159">
        <f t="shared" si="168"/>
        <v>11.5674769488684</v>
      </c>
      <c r="P1159">
        <f t="shared" si="169"/>
        <v>11.064543168482817</v>
      </c>
      <c r="Q1159">
        <f t="shared" si="170"/>
        <v>14.668901927912826</v>
      </c>
    </row>
    <row r="1160" spans="1:17" x14ac:dyDescent="0.3">
      <c r="A1160">
        <v>51055021</v>
      </c>
      <c r="B1160" t="e">
        <f>VLOOKUP(A1160,ASESORES!$A$2:$B$993,2,0)</f>
        <v>#N/A</v>
      </c>
      <c r="C1160">
        <v>21230790.760000002</v>
      </c>
      <c r="D1160">
        <v>19398044.600000001</v>
      </c>
      <c r="E1160">
        <v>21084621.800000001</v>
      </c>
      <c r="F1160">
        <v>2977780</v>
      </c>
      <c r="G1160">
        <v>0</v>
      </c>
      <c r="H1160">
        <v>0</v>
      </c>
      <c r="I1160">
        <f t="shared" si="162"/>
        <v>-0.85974238860616037</v>
      </c>
      <c r="J1160">
        <f t="shared" si="163"/>
        <v>-1</v>
      </c>
      <c r="K1160">
        <f t="shared" si="164"/>
        <v>-1</v>
      </c>
      <c r="L1160">
        <f t="shared" si="165"/>
        <v>-5.5658798949746515</v>
      </c>
      <c r="M1160">
        <f t="shared" si="166"/>
        <v>0</v>
      </c>
      <c r="N1160">
        <f t="shared" si="167"/>
        <v>0</v>
      </c>
      <c r="O1160">
        <f t="shared" si="168"/>
        <v>0.58675607711651301</v>
      </c>
      <c r="P1160">
        <f t="shared" si="169"/>
        <v>11.064543168482817</v>
      </c>
      <c r="Q1160">
        <f t="shared" si="170"/>
        <v>14.668901927912826</v>
      </c>
    </row>
    <row r="1161" spans="1:17" x14ac:dyDescent="0.3">
      <c r="A1161">
        <v>51055110</v>
      </c>
      <c r="B1161" t="e">
        <f>VLOOKUP(A1161,ASESORES!$A$2:$B$993,2,0)</f>
        <v>#N/A</v>
      </c>
      <c r="C1161">
        <v>19826111.43</v>
      </c>
      <c r="D1161">
        <v>0</v>
      </c>
      <c r="E1161">
        <v>0</v>
      </c>
      <c r="F1161">
        <v>0</v>
      </c>
      <c r="G1161">
        <v>0</v>
      </c>
      <c r="H1161">
        <v>0</v>
      </c>
      <c r="I1161">
        <f t="shared" si="162"/>
        <v>-1</v>
      </c>
      <c r="J1161">
        <f t="shared" si="163"/>
        <v>0</v>
      </c>
      <c r="K1161">
        <f t="shared" si="164"/>
        <v>0</v>
      </c>
      <c r="L1161">
        <f t="shared" si="165"/>
        <v>0</v>
      </c>
      <c r="M1161">
        <f t="shared" si="166"/>
        <v>0</v>
      </c>
      <c r="N1161">
        <f t="shared" si="167"/>
        <v>0</v>
      </c>
      <c r="O1161">
        <f t="shared" si="168"/>
        <v>11.5674769488684</v>
      </c>
      <c r="P1161">
        <f t="shared" si="169"/>
        <v>11.064543168482817</v>
      </c>
      <c r="Q1161">
        <f t="shared" si="170"/>
        <v>14.668901927912826</v>
      </c>
    </row>
    <row r="1162" spans="1:17" x14ac:dyDescent="0.3">
      <c r="A1162">
        <v>51055179</v>
      </c>
      <c r="B1162" t="e">
        <f>VLOOKUP(A1162,ASESORES!$A$2:$B$993,2,0)</f>
        <v>#N/A</v>
      </c>
      <c r="C1162">
        <v>19566440.02</v>
      </c>
      <c r="D1162">
        <v>22008090.800000001</v>
      </c>
      <c r="E1162">
        <v>29919195.850000001</v>
      </c>
      <c r="F1162">
        <v>18645873</v>
      </c>
      <c r="G1162">
        <v>12838816</v>
      </c>
      <c r="H1162">
        <v>0</v>
      </c>
      <c r="I1162">
        <f t="shared" si="162"/>
        <v>-4.704826320265898E-2</v>
      </c>
      <c r="J1162">
        <f t="shared" si="163"/>
        <v>-0.41663199608391299</v>
      </c>
      <c r="K1162">
        <f t="shared" si="164"/>
        <v>-1</v>
      </c>
      <c r="L1162">
        <f t="shared" si="165"/>
        <v>-0.34206828953412766</v>
      </c>
      <c r="M1162">
        <f t="shared" si="166"/>
        <v>-2.9616389494607303</v>
      </c>
      <c r="N1162">
        <f t="shared" si="167"/>
        <v>0</v>
      </c>
      <c r="O1162">
        <f t="shared" si="168"/>
        <v>8.9689857502095549</v>
      </c>
      <c r="P1162">
        <f t="shared" si="169"/>
        <v>3.3528918692372169</v>
      </c>
      <c r="Q1162">
        <f t="shared" si="170"/>
        <v>14.668901927912826</v>
      </c>
    </row>
    <row r="1163" spans="1:17" x14ac:dyDescent="0.3">
      <c r="A1163">
        <v>51055187</v>
      </c>
      <c r="B1163" t="e">
        <f>VLOOKUP(A1163,ASESORES!$A$2:$B$993,2,0)</f>
        <v>#N/A</v>
      </c>
      <c r="C1163">
        <v>22956977.399999999</v>
      </c>
      <c r="D1163">
        <v>30604104.699999999</v>
      </c>
      <c r="E1163">
        <v>23919110.350000001</v>
      </c>
      <c r="F1163">
        <v>0</v>
      </c>
      <c r="G1163">
        <v>0</v>
      </c>
      <c r="H1163">
        <v>0</v>
      </c>
      <c r="I1163">
        <f t="shared" si="162"/>
        <v>-1</v>
      </c>
      <c r="J1163">
        <f t="shared" si="163"/>
        <v>-1</v>
      </c>
      <c r="K1163">
        <f t="shared" si="164"/>
        <v>-1</v>
      </c>
      <c r="L1163">
        <f t="shared" si="165"/>
        <v>0</v>
      </c>
      <c r="M1163">
        <f t="shared" si="166"/>
        <v>0</v>
      </c>
      <c r="N1163">
        <f t="shared" si="167"/>
        <v>0</v>
      </c>
      <c r="O1163">
        <f t="shared" si="168"/>
        <v>11.5674769488684</v>
      </c>
      <c r="P1163">
        <f t="shared" si="169"/>
        <v>11.064543168482817</v>
      </c>
      <c r="Q1163">
        <f t="shared" si="170"/>
        <v>14.668901927912826</v>
      </c>
    </row>
    <row r="1164" spans="1:17" x14ac:dyDescent="0.3">
      <c r="A1164">
        <v>51055195</v>
      </c>
      <c r="B1164" t="e">
        <f>VLOOKUP(A1164,ASESORES!$A$2:$B$993,2,0)</f>
        <v>#N/A</v>
      </c>
      <c r="C1164">
        <v>15501184.42</v>
      </c>
      <c r="D1164">
        <v>25795660.379999999</v>
      </c>
      <c r="E1164">
        <v>23457366.699999999</v>
      </c>
      <c r="F1164">
        <v>0</v>
      </c>
      <c r="G1164">
        <v>0</v>
      </c>
      <c r="H1164">
        <v>0</v>
      </c>
      <c r="I1164">
        <f t="shared" si="162"/>
        <v>-1</v>
      </c>
      <c r="J1164">
        <f t="shared" si="163"/>
        <v>-1</v>
      </c>
      <c r="K1164">
        <f t="shared" si="164"/>
        <v>-1</v>
      </c>
      <c r="L1164">
        <f t="shared" si="165"/>
        <v>0</v>
      </c>
      <c r="M1164">
        <f t="shared" si="166"/>
        <v>0</v>
      </c>
      <c r="N1164">
        <f t="shared" si="167"/>
        <v>0</v>
      </c>
      <c r="O1164">
        <f t="shared" si="168"/>
        <v>11.5674769488684</v>
      </c>
      <c r="P1164">
        <f t="shared" si="169"/>
        <v>11.064543168482817</v>
      </c>
      <c r="Q1164">
        <f t="shared" si="170"/>
        <v>14.668901927912826</v>
      </c>
    </row>
    <row r="1165" spans="1:17" x14ac:dyDescent="0.3">
      <c r="A1165">
        <v>51055233</v>
      </c>
      <c r="B1165" t="e">
        <f>VLOOKUP(A1165,ASESORES!$A$2:$B$993,2,0)</f>
        <v>#N/A</v>
      </c>
      <c r="C1165">
        <v>36891737.700000003</v>
      </c>
      <c r="D1165">
        <v>46675783.770000003</v>
      </c>
      <c r="E1165">
        <v>53482955.399999999</v>
      </c>
      <c r="F1165">
        <v>8830529</v>
      </c>
      <c r="G1165">
        <v>0</v>
      </c>
      <c r="H1165">
        <v>0</v>
      </c>
      <c r="I1165">
        <f t="shared" si="162"/>
        <v>-0.7606366750243917</v>
      </c>
      <c r="J1165">
        <f t="shared" si="163"/>
        <v>-1</v>
      </c>
      <c r="K1165">
        <f t="shared" si="164"/>
        <v>-1</v>
      </c>
      <c r="L1165">
        <f t="shared" si="165"/>
        <v>-5.2833722443162658</v>
      </c>
      <c r="M1165">
        <f t="shared" si="166"/>
        <v>0</v>
      </c>
      <c r="N1165">
        <f t="shared" si="167"/>
        <v>0</v>
      </c>
      <c r="O1165">
        <f t="shared" si="168"/>
        <v>0.83822296730930423</v>
      </c>
      <c r="P1165">
        <f t="shared" si="169"/>
        <v>11.064543168482817</v>
      </c>
      <c r="Q1165">
        <f t="shared" si="170"/>
        <v>14.668901927912826</v>
      </c>
    </row>
    <row r="1166" spans="1:17" x14ac:dyDescent="0.3">
      <c r="A1166">
        <v>51055314</v>
      </c>
      <c r="B1166" t="e">
        <f>VLOOKUP(A1166,ASESORES!$A$2:$B$993,2,0)</f>
        <v>#N/A</v>
      </c>
      <c r="C1166">
        <v>32711952.43</v>
      </c>
      <c r="D1166">
        <v>43380545.560000002</v>
      </c>
      <c r="E1166">
        <v>35985967.849999987</v>
      </c>
      <c r="F1166">
        <v>0</v>
      </c>
      <c r="G1166">
        <v>0</v>
      </c>
      <c r="H1166">
        <v>0</v>
      </c>
      <c r="I1166">
        <f t="shared" si="162"/>
        <v>-1</v>
      </c>
      <c r="J1166">
        <f t="shared" si="163"/>
        <v>-1</v>
      </c>
      <c r="K1166">
        <f t="shared" si="164"/>
        <v>-1</v>
      </c>
      <c r="L1166">
        <f t="shared" si="165"/>
        <v>0</v>
      </c>
      <c r="M1166">
        <f t="shared" si="166"/>
        <v>0</v>
      </c>
      <c r="N1166">
        <f t="shared" si="167"/>
        <v>0</v>
      </c>
      <c r="O1166">
        <f t="shared" si="168"/>
        <v>11.5674769488684</v>
      </c>
      <c r="P1166">
        <f t="shared" si="169"/>
        <v>11.064543168482817</v>
      </c>
      <c r="Q1166">
        <f t="shared" si="170"/>
        <v>14.668901927912826</v>
      </c>
    </row>
    <row r="1167" spans="1:17" x14ac:dyDescent="0.3">
      <c r="A1167">
        <v>51055349</v>
      </c>
      <c r="B1167" t="e">
        <f>VLOOKUP(A1167,ASESORES!$A$2:$B$993,2,0)</f>
        <v>#N/A</v>
      </c>
      <c r="C1167">
        <v>45294907.810000002</v>
      </c>
      <c r="D1167">
        <v>36990789.599999987</v>
      </c>
      <c r="E1167">
        <v>37579387.100000001</v>
      </c>
      <c r="F1167">
        <v>31785840</v>
      </c>
      <c r="G1167">
        <v>13534740</v>
      </c>
      <c r="H1167">
        <v>0</v>
      </c>
      <c r="I1167">
        <f t="shared" si="162"/>
        <v>-0.29824694349013625</v>
      </c>
      <c r="J1167">
        <f t="shared" si="163"/>
        <v>-0.63410513410613967</v>
      </c>
      <c r="K1167">
        <f t="shared" si="164"/>
        <v>-1</v>
      </c>
      <c r="L1167">
        <f t="shared" si="165"/>
        <v>-2.2375182682735515</v>
      </c>
      <c r="M1167">
        <f t="shared" si="166"/>
        <v>-4.5220890062855119</v>
      </c>
      <c r="N1167">
        <f t="shared" si="167"/>
        <v>0</v>
      </c>
      <c r="O1167">
        <f t="shared" si="168"/>
        <v>4.6940486169321041</v>
      </c>
      <c r="P1167">
        <f t="shared" si="169"/>
        <v>1.5088013411567478</v>
      </c>
      <c r="Q1167">
        <f t="shared" si="170"/>
        <v>14.668901927912826</v>
      </c>
    </row>
    <row r="1168" spans="1:17" x14ac:dyDescent="0.3">
      <c r="A1168">
        <v>51055381</v>
      </c>
      <c r="B1168" t="e">
        <f>VLOOKUP(A1168,ASESORES!$A$2:$B$993,2,0)</f>
        <v>#N/A</v>
      </c>
      <c r="C1168">
        <v>6871689.6199999992</v>
      </c>
      <c r="D1168">
        <v>0</v>
      </c>
      <c r="E1168">
        <v>0</v>
      </c>
      <c r="F1168">
        <v>0</v>
      </c>
      <c r="G1168">
        <v>0</v>
      </c>
      <c r="H1168">
        <v>0</v>
      </c>
      <c r="I1168">
        <f t="shared" si="162"/>
        <v>-1</v>
      </c>
      <c r="J1168">
        <f t="shared" si="163"/>
        <v>0</v>
      </c>
      <c r="K1168">
        <f t="shared" si="164"/>
        <v>0</v>
      </c>
      <c r="L1168">
        <f t="shared" si="165"/>
        <v>0</v>
      </c>
      <c r="M1168">
        <f t="shared" si="166"/>
        <v>0</v>
      </c>
      <c r="N1168">
        <f t="shared" si="167"/>
        <v>0</v>
      </c>
      <c r="O1168">
        <f t="shared" si="168"/>
        <v>11.5674769488684</v>
      </c>
      <c r="P1168">
        <f t="shared" si="169"/>
        <v>11.064543168482817</v>
      </c>
      <c r="Q1168">
        <f t="shared" si="170"/>
        <v>14.668901927912826</v>
      </c>
    </row>
    <row r="1169" spans="1:17" x14ac:dyDescent="0.3">
      <c r="A1169">
        <v>51055403</v>
      </c>
      <c r="B1169" t="e">
        <f>VLOOKUP(A1169,ASESORES!$A$2:$B$993,2,0)</f>
        <v>#N/A</v>
      </c>
      <c r="C1169">
        <v>38531959</v>
      </c>
      <c r="D1169">
        <v>45642730.140000001</v>
      </c>
      <c r="E1169">
        <v>55309061.350000001</v>
      </c>
      <c r="F1169">
        <v>11933552</v>
      </c>
      <c r="G1169">
        <v>0</v>
      </c>
      <c r="H1169">
        <v>0</v>
      </c>
      <c r="I1169">
        <f t="shared" si="162"/>
        <v>-0.69029469796747156</v>
      </c>
      <c r="J1169">
        <f t="shared" si="163"/>
        <v>-1</v>
      </c>
      <c r="K1169">
        <f t="shared" si="164"/>
        <v>-1</v>
      </c>
      <c r="L1169">
        <f t="shared" si="165"/>
        <v>-4.8850566232680919</v>
      </c>
      <c r="M1169">
        <f t="shared" si="166"/>
        <v>0</v>
      </c>
      <c r="N1169">
        <f t="shared" si="167"/>
        <v>0</v>
      </c>
      <c r="O1169">
        <f t="shared" si="168"/>
        <v>1.2573344509639564</v>
      </c>
      <c r="P1169">
        <f t="shared" si="169"/>
        <v>11.064543168482817</v>
      </c>
      <c r="Q1169">
        <f t="shared" si="170"/>
        <v>14.668901927912826</v>
      </c>
    </row>
    <row r="1170" spans="1:17" x14ac:dyDescent="0.3">
      <c r="A1170">
        <v>51055420</v>
      </c>
      <c r="B1170" t="e">
        <f>VLOOKUP(A1170,ASESORES!$A$2:$B$993,2,0)</f>
        <v>#N/A</v>
      </c>
      <c r="C1170">
        <v>22776097.649999999</v>
      </c>
      <c r="D1170">
        <v>24435139.649999999</v>
      </c>
      <c r="E1170">
        <v>7696022.4000000004</v>
      </c>
      <c r="F1170">
        <v>0</v>
      </c>
      <c r="G1170">
        <v>0</v>
      </c>
      <c r="H1170">
        <v>0</v>
      </c>
      <c r="I1170">
        <f t="shared" si="162"/>
        <v>-1</v>
      </c>
      <c r="J1170">
        <f t="shared" si="163"/>
        <v>-1</v>
      </c>
      <c r="K1170">
        <f t="shared" si="164"/>
        <v>-1</v>
      </c>
      <c r="L1170">
        <f t="shared" si="165"/>
        <v>0</v>
      </c>
      <c r="M1170">
        <f t="shared" si="166"/>
        <v>0</v>
      </c>
      <c r="N1170">
        <f t="shared" si="167"/>
        <v>0</v>
      </c>
      <c r="O1170">
        <f t="shared" si="168"/>
        <v>11.5674769488684</v>
      </c>
      <c r="P1170">
        <f t="shared" si="169"/>
        <v>11.064543168482817</v>
      </c>
      <c r="Q1170">
        <f t="shared" si="170"/>
        <v>14.668901927912826</v>
      </c>
    </row>
    <row r="1171" spans="1:17" x14ac:dyDescent="0.3">
      <c r="A1171">
        <v>51055438</v>
      </c>
      <c r="B1171" t="e">
        <f>VLOOKUP(A1171,ASESORES!$A$2:$B$993,2,0)</f>
        <v>#N/A</v>
      </c>
      <c r="C1171">
        <v>31257465.879999999</v>
      </c>
      <c r="D1171">
        <v>40750256.280000001</v>
      </c>
      <c r="E1171">
        <v>30459513.82</v>
      </c>
      <c r="F1171">
        <v>18000</v>
      </c>
      <c r="G1171">
        <v>0</v>
      </c>
      <c r="H1171">
        <v>0</v>
      </c>
      <c r="I1171">
        <f t="shared" si="162"/>
        <v>-0.99942413757823156</v>
      </c>
      <c r="J1171">
        <f t="shared" si="163"/>
        <v>-1</v>
      </c>
      <c r="K1171">
        <f t="shared" si="164"/>
        <v>-1</v>
      </c>
      <c r="L1171">
        <f t="shared" si="165"/>
        <v>-4.2528220535732331</v>
      </c>
      <c r="M1171">
        <f t="shared" si="166"/>
        <v>0</v>
      </c>
      <c r="N1171">
        <f t="shared" si="167"/>
        <v>0</v>
      </c>
      <c r="O1171">
        <f t="shared" si="168"/>
        <v>2.2632020117351215</v>
      </c>
      <c r="P1171">
        <f t="shared" si="169"/>
        <v>11.064543168482817</v>
      </c>
      <c r="Q1171">
        <f t="shared" si="170"/>
        <v>14.668901927912826</v>
      </c>
    </row>
    <row r="1172" spans="1:17" x14ac:dyDescent="0.3">
      <c r="A1172">
        <v>51055446</v>
      </c>
      <c r="B1172" t="e">
        <f>VLOOKUP(A1172,ASESORES!$A$2:$B$993,2,0)</f>
        <v>#N/A</v>
      </c>
      <c r="C1172">
        <v>53282323.770000003</v>
      </c>
      <c r="D1172">
        <v>61920236.579999998</v>
      </c>
      <c r="E1172">
        <v>166980</v>
      </c>
      <c r="F1172">
        <v>0</v>
      </c>
      <c r="G1172">
        <v>0</v>
      </c>
      <c r="H1172">
        <v>0</v>
      </c>
      <c r="I1172">
        <f t="shared" si="162"/>
        <v>-1</v>
      </c>
      <c r="J1172">
        <f t="shared" si="163"/>
        <v>-1</v>
      </c>
      <c r="K1172">
        <f t="shared" si="164"/>
        <v>-1</v>
      </c>
      <c r="L1172">
        <f t="shared" si="165"/>
        <v>0</v>
      </c>
      <c r="M1172">
        <f t="shared" si="166"/>
        <v>0</v>
      </c>
      <c r="N1172">
        <f t="shared" si="167"/>
        <v>0</v>
      </c>
      <c r="O1172">
        <f t="shared" si="168"/>
        <v>11.5674769488684</v>
      </c>
      <c r="P1172">
        <f t="shared" si="169"/>
        <v>11.064543168482817</v>
      </c>
      <c r="Q1172">
        <f t="shared" si="170"/>
        <v>14.668901927912826</v>
      </c>
    </row>
    <row r="1173" spans="1:17" x14ac:dyDescent="0.3">
      <c r="A1173">
        <v>51055471</v>
      </c>
      <c r="B1173" t="e">
        <f>VLOOKUP(A1173,ASESORES!$A$2:$B$993,2,0)</f>
        <v>#N/A</v>
      </c>
      <c r="C1173">
        <v>32753743.52</v>
      </c>
      <c r="D1173">
        <v>36738106.030000001</v>
      </c>
      <c r="E1173">
        <v>0</v>
      </c>
      <c r="F1173">
        <v>0</v>
      </c>
      <c r="G1173">
        <v>0</v>
      </c>
      <c r="H1173">
        <v>0</v>
      </c>
      <c r="I1173">
        <f t="shared" si="162"/>
        <v>-1</v>
      </c>
      <c r="J1173">
        <f t="shared" si="163"/>
        <v>-1</v>
      </c>
      <c r="K1173">
        <f t="shared" si="164"/>
        <v>0</v>
      </c>
      <c r="L1173">
        <f t="shared" si="165"/>
        <v>0</v>
      </c>
      <c r="M1173">
        <f t="shared" si="166"/>
        <v>0</v>
      </c>
      <c r="N1173">
        <f t="shared" si="167"/>
        <v>0</v>
      </c>
      <c r="O1173">
        <f t="shared" si="168"/>
        <v>11.5674769488684</v>
      </c>
      <c r="P1173">
        <f t="shared" si="169"/>
        <v>11.064543168482817</v>
      </c>
      <c r="Q1173">
        <f t="shared" si="170"/>
        <v>14.668901927912826</v>
      </c>
    </row>
    <row r="1174" spans="1:17" x14ac:dyDescent="0.3">
      <c r="A1174">
        <v>51055608</v>
      </c>
      <c r="B1174" t="e">
        <f>VLOOKUP(A1174,ASESORES!$A$2:$B$993,2,0)</f>
        <v>#N/A</v>
      </c>
      <c r="C1174">
        <v>65815710.509999998</v>
      </c>
      <c r="D1174">
        <v>68953533.019999996</v>
      </c>
      <c r="E1174">
        <v>68674539.390000001</v>
      </c>
      <c r="F1174">
        <v>0</v>
      </c>
      <c r="G1174">
        <v>0</v>
      </c>
      <c r="H1174">
        <v>0</v>
      </c>
      <c r="I1174">
        <f t="shared" si="162"/>
        <v>-1</v>
      </c>
      <c r="J1174">
        <f t="shared" si="163"/>
        <v>-1</v>
      </c>
      <c r="K1174">
        <f t="shared" si="164"/>
        <v>-1</v>
      </c>
      <c r="L1174">
        <f t="shared" si="165"/>
        <v>0</v>
      </c>
      <c r="M1174">
        <f t="shared" si="166"/>
        <v>0</v>
      </c>
      <c r="N1174">
        <f t="shared" si="167"/>
        <v>0</v>
      </c>
      <c r="O1174">
        <f t="shared" si="168"/>
        <v>11.5674769488684</v>
      </c>
      <c r="P1174">
        <f t="shared" si="169"/>
        <v>11.064543168482817</v>
      </c>
      <c r="Q1174">
        <f t="shared" si="170"/>
        <v>14.668901927912826</v>
      </c>
    </row>
    <row r="1175" spans="1:17" x14ac:dyDescent="0.3">
      <c r="A1175">
        <v>51055683</v>
      </c>
      <c r="B1175" t="e">
        <f>VLOOKUP(A1175,ASESORES!$A$2:$B$993,2,0)</f>
        <v>#N/A</v>
      </c>
      <c r="C1175">
        <v>17331590.640000001</v>
      </c>
      <c r="D1175">
        <v>25293539.050000001</v>
      </c>
      <c r="E1175">
        <v>5276020.2</v>
      </c>
      <c r="F1175">
        <v>0</v>
      </c>
      <c r="G1175">
        <v>0</v>
      </c>
      <c r="H1175">
        <v>0</v>
      </c>
      <c r="I1175">
        <f t="shared" si="162"/>
        <v>-1</v>
      </c>
      <c r="J1175">
        <f t="shared" si="163"/>
        <v>-1</v>
      </c>
      <c r="K1175">
        <f t="shared" si="164"/>
        <v>-1</v>
      </c>
      <c r="L1175">
        <f t="shared" si="165"/>
        <v>0</v>
      </c>
      <c r="M1175">
        <f t="shared" si="166"/>
        <v>0</v>
      </c>
      <c r="N1175">
        <f t="shared" si="167"/>
        <v>0</v>
      </c>
      <c r="O1175">
        <f t="shared" si="168"/>
        <v>11.5674769488684</v>
      </c>
      <c r="P1175">
        <f t="shared" si="169"/>
        <v>11.064543168482817</v>
      </c>
      <c r="Q1175">
        <f t="shared" si="170"/>
        <v>14.668901927912826</v>
      </c>
    </row>
    <row r="1176" spans="1:17" x14ac:dyDescent="0.3">
      <c r="A1176">
        <v>51055713</v>
      </c>
      <c r="B1176" t="e">
        <f>VLOOKUP(A1176,ASESORES!$A$2:$B$993,2,0)</f>
        <v>#N/A</v>
      </c>
      <c r="C1176">
        <v>5211160.6500000004</v>
      </c>
      <c r="D1176">
        <v>0</v>
      </c>
      <c r="E1176">
        <v>0</v>
      </c>
      <c r="F1176">
        <v>0</v>
      </c>
      <c r="G1176">
        <v>0</v>
      </c>
      <c r="H1176">
        <v>0</v>
      </c>
      <c r="I1176">
        <f t="shared" si="162"/>
        <v>-1</v>
      </c>
      <c r="J1176">
        <f t="shared" si="163"/>
        <v>0</v>
      </c>
      <c r="K1176">
        <f t="shared" si="164"/>
        <v>0</v>
      </c>
      <c r="L1176">
        <f t="shared" si="165"/>
        <v>0</v>
      </c>
      <c r="M1176">
        <f t="shared" si="166"/>
        <v>0</v>
      </c>
      <c r="N1176">
        <f t="shared" si="167"/>
        <v>0</v>
      </c>
      <c r="O1176">
        <f t="shared" si="168"/>
        <v>11.5674769488684</v>
      </c>
      <c r="P1176">
        <f t="shared" si="169"/>
        <v>11.064543168482817</v>
      </c>
      <c r="Q1176">
        <f t="shared" si="170"/>
        <v>14.668901927912826</v>
      </c>
    </row>
    <row r="1177" spans="1:17" x14ac:dyDescent="0.3">
      <c r="A1177">
        <v>51055748</v>
      </c>
      <c r="B1177" t="e">
        <f>VLOOKUP(A1177,ASESORES!$A$2:$B$993,2,0)</f>
        <v>#N/A</v>
      </c>
      <c r="C1177">
        <v>15497719.5</v>
      </c>
      <c r="D1177">
        <v>3789914.7</v>
      </c>
      <c r="E1177">
        <v>0</v>
      </c>
      <c r="F1177">
        <v>0</v>
      </c>
      <c r="G1177">
        <v>0</v>
      </c>
      <c r="H1177">
        <v>0</v>
      </c>
      <c r="I1177">
        <f t="shared" si="162"/>
        <v>-1</v>
      </c>
      <c r="J1177">
        <f t="shared" si="163"/>
        <v>-1</v>
      </c>
      <c r="K1177">
        <f t="shared" si="164"/>
        <v>0</v>
      </c>
      <c r="L1177">
        <f t="shared" si="165"/>
        <v>0</v>
      </c>
      <c r="M1177">
        <f t="shared" si="166"/>
        <v>0</v>
      </c>
      <c r="N1177">
        <f t="shared" si="167"/>
        <v>0</v>
      </c>
      <c r="O1177">
        <f t="shared" si="168"/>
        <v>11.5674769488684</v>
      </c>
      <c r="P1177">
        <f t="shared" si="169"/>
        <v>11.064543168482817</v>
      </c>
      <c r="Q1177">
        <f t="shared" si="170"/>
        <v>14.668901927912826</v>
      </c>
    </row>
    <row r="1178" spans="1:17" x14ac:dyDescent="0.3">
      <c r="A1178">
        <v>51055781</v>
      </c>
      <c r="B1178" t="e">
        <f>VLOOKUP(A1178,ASESORES!$A$2:$B$993,2,0)</f>
        <v>#N/A</v>
      </c>
      <c r="C1178">
        <v>16374796.699999999</v>
      </c>
      <c r="D1178">
        <v>19813249</v>
      </c>
      <c r="E1178">
        <v>23852122.629999999</v>
      </c>
      <c r="F1178">
        <v>20582240</v>
      </c>
      <c r="G1178">
        <v>0</v>
      </c>
      <c r="H1178">
        <v>0</v>
      </c>
      <c r="I1178">
        <f t="shared" si="162"/>
        <v>0.25694629234694566</v>
      </c>
      <c r="J1178">
        <f t="shared" si="163"/>
        <v>-1</v>
      </c>
      <c r="K1178">
        <f t="shared" si="164"/>
        <v>-1</v>
      </c>
      <c r="L1178">
        <f t="shared" si="165"/>
        <v>1.8791748174412366</v>
      </c>
      <c r="M1178">
        <f t="shared" si="166"/>
        <v>0</v>
      </c>
      <c r="N1178">
        <f t="shared" si="167"/>
        <v>0</v>
      </c>
      <c r="O1178">
        <f t="shared" si="168"/>
        <v>45.264040234702428</v>
      </c>
      <c r="P1178">
        <f t="shared" si="169"/>
        <v>11.064543168482817</v>
      </c>
      <c r="Q1178">
        <f t="shared" si="170"/>
        <v>14.668901927912826</v>
      </c>
    </row>
    <row r="1179" spans="1:17" x14ac:dyDescent="0.3">
      <c r="A1179">
        <v>51055900</v>
      </c>
      <c r="B1179" t="e">
        <f>VLOOKUP(A1179,ASESORES!$A$2:$B$993,2,0)</f>
        <v>#N/A</v>
      </c>
      <c r="C1179">
        <v>0</v>
      </c>
      <c r="D1179">
        <v>0</v>
      </c>
      <c r="E1179">
        <v>0</v>
      </c>
      <c r="F1179">
        <v>0</v>
      </c>
      <c r="G1179">
        <v>0</v>
      </c>
      <c r="H1179">
        <v>0</v>
      </c>
      <c r="I1179">
        <f t="shared" si="162"/>
        <v>0</v>
      </c>
      <c r="J1179">
        <f t="shared" si="163"/>
        <v>0</v>
      </c>
      <c r="K1179">
        <f t="shared" si="164"/>
        <v>0</v>
      </c>
      <c r="L1179">
        <f t="shared" si="165"/>
        <v>0</v>
      </c>
      <c r="M1179">
        <f t="shared" si="166"/>
        <v>0</v>
      </c>
      <c r="N1179">
        <f t="shared" si="167"/>
        <v>0</v>
      </c>
      <c r="O1179">
        <f t="shared" si="168"/>
        <v>11.5674769488684</v>
      </c>
      <c r="P1179">
        <f t="shared" si="169"/>
        <v>11.064543168482817</v>
      </c>
      <c r="Q1179">
        <f t="shared" si="170"/>
        <v>14.668901927912826</v>
      </c>
    </row>
    <row r="1180" spans="1:17" x14ac:dyDescent="0.3">
      <c r="A1180">
        <v>51055934</v>
      </c>
      <c r="B1180" t="e">
        <f>VLOOKUP(A1180,ASESORES!$A$2:$B$993,2,0)</f>
        <v>#N/A</v>
      </c>
      <c r="C1180">
        <v>0</v>
      </c>
      <c r="D1180">
        <v>0</v>
      </c>
      <c r="E1180">
        <v>0</v>
      </c>
      <c r="F1180">
        <v>0</v>
      </c>
      <c r="G1180">
        <v>0</v>
      </c>
      <c r="H1180">
        <v>0</v>
      </c>
      <c r="I1180">
        <f t="shared" si="162"/>
        <v>0</v>
      </c>
      <c r="J1180">
        <f t="shared" si="163"/>
        <v>0</v>
      </c>
      <c r="K1180">
        <f t="shared" si="164"/>
        <v>0</v>
      </c>
      <c r="L1180">
        <f t="shared" si="165"/>
        <v>0</v>
      </c>
      <c r="M1180">
        <f t="shared" si="166"/>
        <v>0</v>
      </c>
      <c r="N1180">
        <f t="shared" si="167"/>
        <v>0</v>
      </c>
      <c r="O1180">
        <f t="shared" si="168"/>
        <v>11.5674769488684</v>
      </c>
      <c r="P1180">
        <f t="shared" si="169"/>
        <v>11.064543168482817</v>
      </c>
      <c r="Q1180">
        <f t="shared" si="170"/>
        <v>14.668901927912826</v>
      </c>
    </row>
    <row r="1181" spans="1:17" x14ac:dyDescent="0.3">
      <c r="A1181">
        <v>51055969</v>
      </c>
      <c r="B1181" t="e">
        <f>VLOOKUP(A1181,ASESORES!$A$2:$B$993,2,0)</f>
        <v>#N/A</v>
      </c>
      <c r="C1181">
        <v>40740309.100000001</v>
      </c>
      <c r="D1181">
        <v>0</v>
      </c>
      <c r="E1181">
        <v>0</v>
      </c>
      <c r="F1181">
        <v>0</v>
      </c>
      <c r="G1181">
        <v>0</v>
      </c>
      <c r="H1181">
        <v>0</v>
      </c>
      <c r="I1181">
        <f t="shared" si="162"/>
        <v>-1</v>
      </c>
      <c r="J1181">
        <f t="shared" si="163"/>
        <v>0</v>
      </c>
      <c r="K1181">
        <f t="shared" si="164"/>
        <v>0</v>
      </c>
      <c r="L1181">
        <f t="shared" si="165"/>
        <v>0</v>
      </c>
      <c r="M1181">
        <f t="shared" si="166"/>
        <v>0</v>
      </c>
      <c r="N1181">
        <f t="shared" si="167"/>
        <v>0</v>
      </c>
      <c r="O1181">
        <f t="shared" si="168"/>
        <v>11.5674769488684</v>
      </c>
      <c r="P1181">
        <f t="shared" si="169"/>
        <v>11.064543168482817</v>
      </c>
      <c r="Q1181">
        <f t="shared" si="170"/>
        <v>14.668901927912826</v>
      </c>
    </row>
    <row r="1182" spans="1:17" x14ac:dyDescent="0.3">
      <c r="A1182">
        <v>51055977</v>
      </c>
      <c r="B1182" t="e">
        <f>VLOOKUP(A1182,ASESORES!$A$2:$B$993,2,0)</f>
        <v>#N/A</v>
      </c>
      <c r="C1182">
        <v>27105073.34</v>
      </c>
      <c r="D1182">
        <v>35114312.380000003</v>
      </c>
      <c r="E1182">
        <v>11756514.949999999</v>
      </c>
      <c r="F1182">
        <v>0</v>
      </c>
      <c r="G1182">
        <v>0</v>
      </c>
      <c r="H1182">
        <v>0</v>
      </c>
      <c r="I1182">
        <f t="shared" si="162"/>
        <v>-1</v>
      </c>
      <c r="J1182">
        <f t="shared" si="163"/>
        <v>-1</v>
      </c>
      <c r="K1182">
        <f t="shared" si="164"/>
        <v>-1</v>
      </c>
      <c r="L1182">
        <f t="shared" si="165"/>
        <v>0</v>
      </c>
      <c r="M1182">
        <f t="shared" si="166"/>
        <v>0</v>
      </c>
      <c r="N1182">
        <f t="shared" si="167"/>
        <v>0</v>
      </c>
      <c r="O1182">
        <f t="shared" si="168"/>
        <v>11.5674769488684</v>
      </c>
      <c r="P1182">
        <f t="shared" si="169"/>
        <v>11.064543168482817</v>
      </c>
      <c r="Q1182">
        <f t="shared" si="170"/>
        <v>14.668901927912826</v>
      </c>
    </row>
    <row r="1183" spans="1:17" x14ac:dyDescent="0.3">
      <c r="A1183">
        <v>51056035</v>
      </c>
      <c r="B1183" t="e">
        <f>VLOOKUP(A1183,ASESORES!$A$2:$B$993,2,0)</f>
        <v>#N/A</v>
      </c>
      <c r="C1183">
        <v>7378896.25</v>
      </c>
      <c r="D1183">
        <v>0</v>
      </c>
      <c r="E1183">
        <v>0</v>
      </c>
      <c r="F1183">
        <v>0</v>
      </c>
      <c r="G1183">
        <v>0</v>
      </c>
      <c r="H1183">
        <v>0</v>
      </c>
      <c r="I1183">
        <f t="shared" si="162"/>
        <v>-1</v>
      </c>
      <c r="J1183">
        <f t="shared" si="163"/>
        <v>0</v>
      </c>
      <c r="K1183">
        <f t="shared" si="164"/>
        <v>0</v>
      </c>
      <c r="L1183">
        <f t="shared" si="165"/>
        <v>0</v>
      </c>
      <c r="M1183">
        <f t="shared" si="166"/>
        <v>0</v>
      </c>
      <c r="N1183">
        <f t="shared" si="167"/>
        <v>0</v>
      </c>
      <c r="O1183">
        <f t="shared" si="168"/>
        <v>11.5674769488684</v>
      </c>
      <c r="P1183">
        <f t="shared" si="169"/>
        <v>11.064543168482817</v>
      </c>
      <c r="Q1183">
        <f t="shared" si="170"/>
        <v>14.668901927912826</v>
      </c>
    </row>
    <row r="1184" spans="1:17" x14ac:dyDescent="0.3">
      <c r="A1184">
        <v>51056043</v>
      </c>
      <c r="B1184" t="e">
        <f>VLOOKUP(A1184,ASESORES!$A$2:$B$993,2,0)</f>
        <v>#N/A</v>
      </c>
      <c r="C1184">
        <v>11855342.699999999</v>
      </c>
      <c r="D1184">
        <v>2511140.2000000002</v>
      </c>
      <c r="E1184">
        <v>0</v>
      </c>
      <c r="F1184">
        <v>14261750</v>
      </c>
      <c r="G1184">
        <v>15111770</v>
      </c>
      <c r="H1184">
        <v>0</v>
      </c>
      <c r="I1184">
        <f t="shared" si="162"/>
        <v>0.20298082990042965</v>
      </c>
      <c r="J1184">
        <f t="shared" si="163"/>
        <v>5.0178917927402056</v>
      </c>
      <c r="K1184">
        <f t="shared" si="164"/>
        <v>0</v>
      </c>
      <c r="L1184">
        <f t="shared" si="165"/>
        <v>1.4521599361033617</v>
      </c>
      <c r="M1184">
        <f t="shared" si="166"/>
        <v>36.025027497165063</v>
      </c>
      <c r="N1184">
        <f t="shared" si="167"/>
        <v>0</v>
      </c>
      <c r="O1184">
        <f t="shared" si="168"/>
        <v>39.647946353730092</v>
      </c>
      <c r="P1184">
        <f t="shared" si="169"/>
        <v>99.748533109807212</v>
      </c>
      <c r="Q1184">
        <f t="shared" si="170"/>
        <v>14.668901927912826</v>
      </c>
    </row>
    <row r="1185" spans="1:17" x14ac:dyDescent="0.3">
      <c r="A1185">
        <v>51056141</v>
      </c>
      <c r="B1185" t="str">
        <f>VLOOKUP(A1185,ASESORES!$A$2:$B$993,2,0)</f>
        <v>MONTENEGRO</v>
      </c>
      <c r="C1185">
        <v>17440653.600000001</v>
      </c>
      <c r="D1185">
        <v>25526988.050000001</v>
      </c>
      <c r="E1185">
        <v>31319860.300000001</v>
      </c>
      <c r="F1185">
        <v>26647515</v>
      </c>
      <c r="G1185">
        <v>18560276</v>
      </c>
      <c r="H1185">
        <v>0</v>
      </c>
      <c r="I1185">
        <f t="shared" si="162"/>
        <v>0.52789658066484368</v>
      </c>
      <c r="J1185">
        <f t="shared" si="163"/>
        <v>-0.27291555260472655</v>
      </c>
      <c r="K1185">
        <f t="shared" si="164"/>
        <v>-1</v>
      </c>
      <c r="L1185">
        <f t="shared" si="165"/>
        <v>3.9199787892227822</v>
      </c>
      <c r="M1185">
        <f t="shared" si="166"/>
        <v>-1.9837097363930198</v>
      </c>
      <c r="N1185">
        <f t="shared" si="167"/>
        <v>0</v>
      </c>
      <c r="O1185">
        <f t="shared" si="168"/>
        <v>76.697401508801349</v>
      </c>
      <c r="P1185">
        <f t="shared" si="169"/>
        <v>4.610226320201174</v>
      </c>
      <c r="Q1185">
        <f t="shared" si="170"/>
        <v>14.668901927912826</v>
      </c>
    </row>
    <row r="1186" spans="1:17" x14ac:dyDescent="0.3">
      <c r="A1186">
        <v>51056167</v>
      </c>
      <c r="B1186" t="e">
        <f>VLOOKUP(A1186,ASESORES!$A$2:$B$993,2,0)</f>
        <v>#N/A</v>
      </c>
      <c r="C1186">
        <v>32800474.109999999</v>
      </c>
      <c r="D1186">
        <v>9455990.9600000009</v>
      </c>
      <c r="E1186">
        <v>0</v>
      </c>
      <c r="F1186">
        <v>0</v>
      </c>
      <c r="G1186">
        <v>0</v>
      </c>
      <c r="H1186">
        <v>0</v>
      </c>
      <c r="I1186">
        <f t="shared" si="162"/>
        <v>-1</v>
      </c>
      <c r="J1186">
        <f t="shared" si="163"/>
        <v>-1</v>
      </c>
      <c r="K1186">
        <f t="shared" si="164"/>
        <v>0</v>
      </c>
      <c r="L1186">
        <f t="shared" si="165"/>
        <v>0</v>
      </c>
      <c r="M1186">
        <f t="shared" si="166"/>
        <v>0</v>
      </c>
      <c r="N1186">
        <f t="shared" si="167"/>
        <v>0</v>
      </c>
      <c r="O1186">
        <f t="shared" si="168"/>
        <v>11.5674769488684</v>
      </c>
      <c r="P1186">
        <f t="shared" si="169"/>
        <v>11.064543168482817</v>
      </c>
      <c r="Q1186">
        <f t="shared" si="170"/>
        <v>14.668901927912826</v>
      </c>
    </row>
    <row r="1187" spans="1:17" x14ac:dyDescent="0.3">
      <c r="A1187">
        <v>51056230</v>
      </c>
      <c r="B1187" t="e">
        <f>VLOOKUP(A1187,ASESORES!$A$2:$B$993,2,0)</f>
        <v>#N/A</v>
      </c>
      <c r="C1187">
        <v>20910104.690000001</v>
      </c>
      <c r="D1187">
        <v>22991988.899999999</v>
      </c>
      <c r="E1187">
        <v>24124987.07</v>
      </c>
      <c r="F1187">
        <v>2339400</v>
      </c>
      <c r="G1187">
        <v>0</v>
      </c>
      <c r="H1187">
        <v>0</v>
      </c>
      <c r="I1187">
        <f t="shared" si="162"/>
        <v>-0.88812107664296924</v>
      </c>
      <c r="J1187">
        <f t="shared" si="163"/>
        <v>-1</v>
      </c>
      <c r="K1187">
        <f t="shared" si="164"/>
        <v>-1</v>
      </c>
      <c r="L1187">
        <f t="shared" si="165"/>
        <v>-5.6565359329774401</v>
      </c>
      <c r="M1187">
        <f t="shared" si="166"/>
        <v>0</v>
      </c>
      <c r="N1187">
        <f t="shared" si="167"/>
        <v>0</v>
      </c>
      <c r="O1187">
        <f t="shared" si="168"/>
        <v>0.41911148365465212</v>
      </c>
      <c r="P1187">
        <f t="shared" si="169"/>
        <v>11.064543168482817</v>
      </c>
      <c r="Q1187">
        <f t="shared" si="170"/>
        <v>14.668901927912826</v>
      </c>
    </row>
    <row r="1188" spans="1:17" x14ac:dyDescent="0.3">
      <c r="A1188">
        <v>51056256</v>
      </c>
      <c r="B1188" t="e">
        <f>VLOOKUP(A1188,ASESORES!$A$2:$B$993,2,0)</f>
        <v>#N/A</v>
      </c>
      <c r="C1188">
        <v>31668388.039999999</v>
      </c>
      <c r="D1188">
        <v>32978720.449999999</v>
      </c>
      <c r="E1188">
        <v>0</v>
      </c>
      <c r="F1188">
        <v>0</v>
      </c>
      <c r="G1188">
        <v>0</v>
      </c>
      <c r="H1188">
        <v>0</v>
      </c>
      <c r="I1188">
        <f t="shared" si="162"/>
        <v>-1</v>
      </c>
      <c r="J1188">
        <f t="shared" si="163"/>
        <v>-1</v>
      </c>
      <c r="K1188">
        <f t="shared" si="164"/>
        <v>0</v>
      </c>
      <c r="L1188">
        <f t="shared" si="165"/>
        <v>0</v>
      </c>
      <c r="M1188">
        <f t="shared" si="166"/>
        <v>0</v>
      </c>
      <c r="N1188">
        <f t="shared" si="167"/>
        <v>0</v>
      </c>
      <c r="O1188">
        <f t="shared" si="168"/>
        <v>11.5674769488684</v>
      </c>
      <c r="P1188">
        <f t="shared" si="169"/>
        <v>11.064543168482817</v>
      </c>
      <c r="Q1188">
        <f t="shared" si="170"/>
        <v>14.668901927912826</v>
      </c>
    </row>
    <row r="1189" spans="1:17" x14ac:dyDescent="0.3">
      <c r="A1189">
        <v>51056370</v>
      </c>
      <c r="B1189" t="e">
        <f>VLOOKUP(A1189,ASESORES!$A$2:$B$993,2,0)</f>
        <v>#N/A</v>
      </c>
      <c r="C1189">
        <v>22266193.25</v>
      </c>
      <c r="D1189">
        <v>2201914</v>
      </c>
      <c r="E1189">
        <v>0</v>
      </c>
      <c r="F1189">
        <v>0</v>
      </c>
      <c r="G1189">
        <v>0</v>
      </c>
      <c r="H1189">
        <v>0</v>
      </c>
      <c r="I1189">
        <f t="shared" si="162"/>
        <v>-1</v>
      </c>
      <c r="J1189">
        <f t="shared" si="163"/>
        <v>-1</v>
      </c>
      <c r="K1189">
        <f t="shared" si="164"/>
        <v>0</v>
      </c>
      <c r="L1189">
        <f t="shared" si="165"/>
        <v>0</v>
      </c>
      <c r="M1189">
        <f t="shared" si="166"/>
        <v>0</v>
      </c>
      <c r="N1189">
        <f t="shared" si="167"/>
        <v>0</v>
      </c>
      <c r="O1189">
        <f t="shared" si="168"/>
        <v>11.5674769488684</v>
      </c>
      <c r="P1189">
        <f t="shared" si="169"/>
        <v>11.064543168482817</v>
      </c>
      <c r="Q1189">
        <f t="shared" si="170"/>
        <v>14.668901927912826</v>
      </c>
    </row>
    <row r="1190" spans="1:17" x14ac:dyDescent="0.3">
      <c r="A1190">
        <v>51056680</v>
      </c>
      <c r="B1190" t="e">
        <f>VLOOKUP(A1190,ASESORES!$A$2:$B$993,2,0)</f>
        <v>#N/A</v>
      </c>
      <c r="C1190">
        <v>27620690.920000002</v>
      </c>
      <c r="D1190">
        <v>15955186.630000001</v>
      </c>
      <c r="E1190">
        <v>0</v>
      </c>
      <c r="F1190">
        <v>0</v>
      </c>
      <c r="G1190">
        <v>0</v>
      </c>
      <c r="H1190">
        <v>0</v>
      </c>
      <c r="I1190">
        <f t="shared" si="162"/>
        <v>-1</v>
      </c>
      <c r="J1190">
        <f t="shared" si="163"/>
        <v>-1</v>
      </c>
      <c r="K1190">
        <f t="shared" si="164"/>
        <v>0</v>
      </c>
      <c r="L1190">
        <f t="shared" si="165"/>
        <v>0</v>
      </c>
      <c r="M1190">
        <f t="shared" si="166"/>
        <v>0</v>
      </c>
      <c r="N1190">
        <f t="shared" si="167"/>
        <v>0</v>
      </c>
      <c r="O1190">
        <f t="shared" si="168"/>
        <v>11.5674769488684</v>
      </c>
      <c r="P1190">
        <f t="shared" si="169"/>
        <v>11.064543168482817</v>
      </c>
      <c r="Q1190">
        <f t="shared" si="170"/>
        <v>14.668901927912826</v>
      </c>
    </row>
    <row r="1191" spans="1:17" x14ac:dyDescent="0.3">
      <c r="A1191">
        <v>51056710</v>
      </c>
      <c r="B1191" t="e">
        <f>VLOOKUP(A1191,ASESORES!$A$2:$B$993,2,0)</f>
        <v>#N/A</v>
      </c>
      <c r="C1191">
        <v>8214315.9100000001</v>
      </c>
      <c r="D1191">
        <v>0</v>
      </c>
      <c r="E1191">
        <v>0</v>
      </c>
      <c r="F1191">
        <v>0</v>
      </c>
      <c r="G1191">
        <v>0</v>
      </c>
      <c r="H1191">
        <v>0</v>
      </c>
      <c r="I1191">
        <f t="shared" si="162"/>
        <v>-1</v>
      </c>
      <c r="J1191">
        <f t="shared" si="163"/>
        <v>0</v>
      </c>
      <c r="K1191">
        <f t="shared" si="164"/>
        <v>0</v>
      </c>
      <c r="L1191">
        <f t="shared" si="165"/>
        <v>0</v>
      </c>
      <c r="M1191">
        <f t="shared" si="166"/>
        <v>0</v>
      </c>
      <c r="N1191">
        <f t="shared" si="167"/>
        <v>0</v>
      </c>
      <c r="O1191">
        <f t="shared" si="168"/>
        <v>11.5674769488684</v>
      </c>
      <c r="P1191">
        <f t="shared" si="169"/>
        <v>11.064543168482817</v>
      </c>
      <c r="Q1191">
        <f t="shared" si="170"/>
        <v>14.668901927912826</v>
      </c>
    </row>
    <row r="1192" spans="1:17" x14ac:dyDescent="0.3">
      <c r="A1192">
        <v>51056779</v>
      </c>
      <c r="B1192" t="e">
        <f>VLOOKUP(A1192,ASESORES!$A$2:$B$993,2,0)</f>
        <v>#N/A</v>
      </c>
      <c r="C1192">
        <v>58296692.549999997</v>
      </c>
      <c r="D1192">
        <v>0</v>
      </c>
      <c r="E1192">
        <v>0</v>
      </c>
      <c r="F1192">
        <v>0</v>
      </c>
      <c r="G1192">
        <v>0</v>
      </c>
      <c r="H1192">
        <v>0</v>
      </c>
      <c r="I1192">
        <f t="shared" si="162"/>
        <v>-1</v>
      </c>
      <c r="J1192">
        <f t="shared" si="163"/>
        <v>0</v>
      </c>
      <c r="K1192">
        <f t="shared" si="164"/>
        <v>0</v>
      </c>
      <c r="L1192">
        <f t="shared" si="165"/>
        <v>0</v>
      </c>
      <c r="M1192">
        <f t="shared" si="166"/>
        <v>0</v>
      </c>
      <c r="N1192">
        <f t="shared" si="167"/>
        <v>0</v>
      </c>
      <c r="O1192">
        <f t="shared" si="168"/>
        <v>11.5674769488684</v>
      </c>
      <c r="P1192">
        <f t="shared" si="169"/>
        <v>11.064543168482817</v>
      </c>
      <c r="Q1192">
        <f t="shared" si="170"/>
        <v>14.668901927912826</v>
      </c>
    </row>
    <row r="1193" spans="1:17" x14ac:dyDescent="0.3">
      <c r="A1193">
        <v>51056841</v>
      </c>
      <c r="B1193" t="e">
        <f>VLOOKUP(A1193,ASESORES!$A$2:$B$993,2,0)</f>
        <v>#N/A</v>
      </c>
      <c r="C1193">
        <v>20143957.800000001</v>
      </c>
      <c r="D1193">
        <v>22037213.879999999</v>
      </c>
      <c r="E1193">
        <v>5768199.6399999997</v>
      </c>
      <c r="F1193">
        <v>0</v>
      </c>
      <c r="G1193">
        <v>0</v>
      </c>
      <c r="H1193">
        <v>0</v>
      </c>
      <c r="I1193">
        <f t="shared" si="162"/>
        <v>-1</v>
      </c>
      <c r="J1193">
        <f t="shared" si="163"/>
        <v>-1</v>
      </c>
      <c r="K1193">
        <f t="shared" si="164"/>
        <v>-1</v>
      </c>
      <c r="L1193">
        <f t="shared" si="165"/>
        <v>0</v>
      </c>
      <c r="M1193">
        <f t="shared" si="166"/>
        <v>0</v>
      </c>
      <c r="N1193">
        <f t="shared" si="167"/>
        <v>0</v>
      </c>
      <c r="O1193">
        <f t="shared" si="168"/>
        <v>11.5674769488684</v>
      </c>
      <c r="P1193">
        <f t="shared" si="169"/>
        <v>11.064543168482817</v>
      </c>
      <c r="Q1193">
        <f t="shared" si="170"/>
        <v>14.668901927912826</v>
      </c>
    </row>
    <row r="1194" spans="1:17" x14ac:dyDescent="0.3">
      <c r="A1194">
        <v>51056892</v>
      </c>
      <c r="B1194" t="e">
        <f>VLOOKUP(A1194,ASESORES!$A$2:$B$993,2,0)</f>
        <v>#N/A</v>
      </c>
      <c r="C1194">
        <v>17244961.579999998</v>
      </c>
      <c r="D1194">
        <v>58528057.509999998</v>
      </c>
      <c r="E1194">
        <v>29305644.75</v>
      </c>
      <c r="F1194">
        <v>17701860</v>
      </c>
      <c r="G1194">
        <v>3683560</v>
      </c>
      <c r="H1194">
        <v>0</v>
      </c>
      <c r="I1194">
        <f t="shared" si="162"/>
        <v>2.6494603532772887E-2</v>
      </c>
      <c r="J1194">
        <f t="shared" si="163"/>
        <v>-0.93706334779057665</v>
      </c>
      <c r="K1194">
        <f t="shared" si="164"/>
        <v>-1</v>
      </c>
      <c r="L1194">
        <f t="shared" si="165"/>
        <v>0.19203338719830138</v>
      </c>
      <c r="M1194">
        <f t="shared" si="166"/>
        <v>-6.1530088387051407</v>
      </c>
      <c r="N1194">
        <f t="shared" si="167"/>
        <v>0</v>
      </c>
      <c r="O1194">
        <f t="shared" si="168"/>
        <v>24.308466051969823</v>
      </c>
      <c r="P1194">
        <f t="shared" si="169"/>
        <v>8.3822296730930432E-2</v>
      </c>
      <c r="Q1194">
        <f t="shared" si="170"/>
        <v>14.668901927912826</v>
      </c>
    </row>
    <row r="1195" spans="1:17" x14ac:dyDescent="0.3">
      <c r="A1195" t="s">
        <v>8</v>
      </c>
      <c r="C1195">
        <f t="shared" ref="C1195:H1195" si="171">SUM(C2:C1194)</f>
        <v>48895759282.829933</v>
      </c>
      <c r="D1195">
        <f t="shared" si="171"/>
        <v>62480369556.600044</v>
      </c>
      <c r="E1195">
        <f t="shared" si="171"/>
        <v>76114609626.259933</v>
      </c>
      <c r="F1195">
        <f t="shared" si="171"/>
        <v>61620295565</v>
      </c>
      <c r="G1195">
        <f t="shared" si="171"/>
        <v>78196044789</v>
      </c>
      <c r="H1195">
        <f t="shared" si="171"/>
        <v>89629735525</v>
      </c>
      <c r="I1195">
        <f t="shared" si="162"/>
        <v>0.26023803431637016</v>
      </c>
      <c r="J1195">
        <f t="shared" si="163"/>
        <v>0.25152980598431562</v>
      </c>
      <c r="K1195">
        <f t="shared" si="164"/>
        <v>0.17756283537552653</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tabColor rgb="FFFFC000"/>
  </sheetPr>
  <dimension ref="A1:H1201"/>
  <sheetViews>
    <sheetView workbookViewId="0"/>
  </sheetViews>
  <sheetFormatPr baseColWidth="10" defaultColWidth="8.88671875" defaultRowHeight="14.4" x14ac:dyDescent="0.3"/>
  <cols>
    <col min="1" max="1" width="11.5546875" customWidth="1"/>
    <col min="3" max="8" width="12.77734375" customWidth="1"/>
  </cols>
  <sheetData>
    <row r="1" spans="1:8" x14ac:dyDescent="0.3">
      <c r="A1" t="s">
        <v>0</v>
      </c>
      <c r="B1" t="s">
        <v>1</v>
      </c>
      <c r="C1" t="s">
        <v>2</v>
      </c>
      <c r="D1" t="s">
        <v>5</v>
      </c>
      <c r="E1" t="s">
        <v>3</v>
      </c>
      <c r="F1" t="s">
        <v>6</v>
      </c>
      <c r="G1" t="s">
        <v>4</v>
      </c>
      <c r="H1" t="s">
        <v>7</v>
      </c>
    </row>
    <row r="2" spans="1:8" x14ac:dyDescent="0.3">
      <c r="A2">
        <v>51022734</v>
      </c>
      <c r="B2" t="str">
        <f>VLOOKUP(A2,VENTAS!$A$2:$B$1195,2,0)</f>
        <v>ARGUELLO</v>
      </c>
      <c r="C2">
        <v>4678000</v>
      </c>
      <c r="D2">
        <v>11436400</v>
      </c>
      <c r="E2">
        <v>6060600</v>
      </c>
      <c r="F2">
        <v>14110000</v>
      </c>
      <c r="G2">
        <v>8483200</v>
      </c>
      <c r="H2">
        <v>20540000</v>
      </c>
    </row>
    <row r="3" spans="1:8" x14ac:dyDescent="0.3">
      <c r="A3">
        <v>51022289</v>
      </c>
      <c r="B3" t="str">
        <f>VLOOKUP(A3,VENTAS!$A$2:$B$1195,2,0)</f>
        <v>BELUZZO</v>
      </c>
      <c r="C3">
        <v>5776200</v>
      </c>
      <c r="D3">
        <v>13251600</v>
      </c>
      <c r="E3">
        <v>7519600.0000000009</v>
      </c>
      <c r="F3">
        <v>16970000</v>
      </c>
      <c r="G3">
        <v>11198400</v>
      </c>
      <c r="H3">
        <v>19855000</v>
      </c>
    </row>
    <row r="4" spans="1:8" x14ac:dyDescent="0.3">
      <c r="A4">
        <v>51031296</v>
      </c>
      <c r="B4" t="str">
        <f>VLOOKUP(A4,VENTAS!$A$2:$B$1195,2,0)</f>
        <v>LÓPEZ</v>
      </c>
      <c r="C4">
        <v>4782400</v>
      </c>
      <c r="D4">
        <v>11900000</v>
      </c>
      <c r="E4">
        <v>6791000</v>
      </c>
      <c r="F4">
        <v>15836000</v>
      </c>
      <c r="G4">
        <v>9707200</v>
      </c>
      <c r="H4">
        <v>19817500</v>
      </c>
    </row>
    <row r="5" spans="1:8" x14ac:dyDescent="0.3">
      <c r="A5">
        <v>51055721</v>
      </c>
      <c r="B5" t="str">
        <f>VLOOKUP(A5,VENTAS!$A$2:$B$1195,2,0)</f>
        <v>NELLI</v>
      </c>
      <c r="C5">
        <v>4379200</v>
      </c>
      <c r="D5">
        <v>11164400</v>
      </c>
      <c r="E5">
        <v>6836800</v>
      </c>
      <c r="F5">
        <v>14096000</v>
      </c>
      <c r="G5">
        <v>9558400</v>
      </c>
      <c r="H5">
        <v>17320000</v>
      </c>
    </row>
    <row r="6" spans="1:8" x14ac:dyDescent="0.3">
      <c r="A6">
        <v>51033531</v>
      </c>
      <c r="B6" t="str">
        <f>VLOOKUP(A6,VENTAS!$A$2:$B$1195,2,0)</f>
        <v>NELLI</v>
      </c>
      <c r="C6">
        <v>4216200</v>
      </c>
      <c r="D6">
        <v>10316800</v>
      </c>
      <c r="E6">
        <v>6233800</v>
      </c>
      <c r="F6">
        <v>13248000</v>
      </c>
      <c r="G6">
        <v>8563200</v>
      </c>
      <c r="H6">
        <v>17085000</v>
      </c>
    </row>
    <row r="7" spans="1:8" x14ac:dyDescent="0.3">
      <c r="A7">
        <v>51000111</v>
      </c>
      <c r="B7" t="str">
        <f>VLOOKUP(A7,VENTAS!$A$2:$B$1195,2,0)</f>
        <v>AYALA</v>
      </c>
      <c r="C7">
        <v>4094600</v>
      </c>
      <c r="D7">
        <v>11505600</v>
      </c>
      <c r="E7">
        <v>5349600</v>
      </c>
      <c r="F7">
        <v>13282000</v>
      </c>
      <c r="G7">
        <v>7795200.0000000009</v>
      </c>
      <c r="H7">
        <v>16912500</v>
      </c>
    </row>
    <row r="8" spans="1:8" x14ac:dyDescent="0.3">
      <c r="A8">
        <v>51028678</v>
      </c>
      <c r="B8" t="str">
        <f>VLOOKUP(A8,VENTAS!$A$2:$B$1195,2,0)</f>
        <v>NELLI</v>
      </c>
      <c r="C8">
        <v>4209800</v>
      </c>
      <c r="D8">
        <v>11235200</v>
      </c>
      <c r="E8">
        <v>6789800</v>
      </c>
      <c r="F8">
        <v>13360000</v>
      </c>
      <c r="G8">
        <v>9489600</v>
      </c>
      <c r="H8">
        <v>16707500</v>
      </c>
    </row>
    <row r="9" spans="1:8" x14ac:dyDescent="0.3">
      <c r="A9">
        <v>51014162</v>
      </c>
      <c r="B9" t="str">
        <f>VLOOKUP(A9,VENTAS!$A$2:$B$1195,2,0)</f>
        <v>PUGH</v>
      </c>
      <c r="C9">
        <v>3701400</v>
      </c>
      <c r="D9">
        <v>9090400</v>
      </c>
      <c r="E9">
        <v>5402800</v>
      </c>
      <c r="F9">
        <v>11602000</v>
      </c>
      <c r="G9">
        <v>7963200</v>
      </c>
      <c r="H9">
        <v>15975000</v>
      </c>
    </row>
    <row r="10" spans="1:8" x14ac:dyDescent="0.3">
      <c r="A10">
        <v>51011015</v>
      </c>
      <c r="B10" t="str">
        <f>VLOOKUP(A10,VENTAS!$A$2:$B$1195,2,0)</f>
        <v>CICHETTO</v>
      </c>
      <c r="C10">
        <v>4961200</v>
      </c>
      <c r="D10">
        <v>9866000</v>
      </c>
      <c r="E10">
        <v>6389400</v>
      </c>
      <c r="F10">
        <v>11452000</v>
      </c>
      <c r="G10">
        <v>8350400</v>
      </c>
      <c r="H10">
        <v>14957500</v>
      </c>
    </row>
    <row r="11" spans="1:8" x14ac:dyDescent="0.3">
      <c r="A11">
        <v>51003667</v>
      </c>
      <c r="B11" t="str">
        <f>VLOOKUP(A11,VENTAS!$A$2:$B$1195,2,0)</f>
        <v>CICHETTO</v>
      </c>
      <c r="C11">
        <v>2041200</v>
      </c>
      <c r="D11">
        <v>4334400</v>
      </c>
      <c r="E11">
        <v>2693800</v>
      </c>
      <c r="F11">
        <v>5722000</v>
      </c>
      <c r="G11">
        <v>3899200</v>
      </c>
      <c r="H11">
        <v>14747500</v>
      </c>
    </row>
    <row r="12" spans="1:8" x14ac:dyDescent="0.3">
      <c r="A12">
        <v>51035658</v>
      </c>
      <c r="B12" t="str">
        <f>VLOOKUP(A12,VENTAS!$A$2:$B$1195,2,0)</f>
        <v>PUGH</v>
      </c>
      <c r="C12">
        <v>3839200</v>
      </c>
      <c r="D12">
        <v>8213600</v>
      </c>
      <c r="E12">
        <v>4765200</v>
      </c>
      <c r="F12">
        <v>10354000</v>
      </c>
      <c r="G12">
        <v>7041599.9999999991</v>
      </c>
      <c r="H12">
        <v>14452500</v>
      </c>
    </row>
    <row r="13" spans="1:8" x14ac:dyDescent="0.3">
      <c r="A13">
        <v>51018648</v>
      </c>
      <c r="B13" t="str">
        <f>VLOOKUP(A13,VENTAS!$A$2:$B$1195,2,0)</f>
        <v>PUGH</v>
      </c>
      <c r="C13">
        <v>3632400</v>
      </c>
      <c r="D13">
        <v>8177999.9999999991</v>
      </c>
      <c r="E13">
        <v>4569800</v>
      </c>
      <c r="F13">
        <v>10822000</v>
      </c>
      <c r="G13">
        <v>6499200</v>
      </c>
      <c r="H13">
        <v>14047500</v>
      </c>
    </row>
    <row r="14" spans="1:8" x14ac:dyDescent="0.3">
      <c r="A14">
        <v>51019261</v>
      </c>
      <c r="B14" t="str">
        <f>VLOOKUP(A14,VENTAS!$A$2:$B$1195,2,0)</f>
        <v>PRADES</v>
      </c>
      <c r="C14">
        <v>2443400</v>
      </c>
      <c r="D14">
        <v>8349200.0000000009</v>
      </c>
      <c r="E14">
        <v>25300600</v>
      </c>
      <c r="F14">
        <v>22200000</v>
      </c>
      <c r="G14">
        <v>14912000</v>
      </c>
      <c r="H14">
        <v>14007500</v>
      </c>
    </row>
    <row r="15" spans="1:8" x14ac:dyDescent="0.3">
      <c r="A15">
        <v>51032527</v>
      </c>
      <c r="B15" t="str">
        <f>VLOOKUP(A15,VENTAS!$A$2:$B$1195,2,0)</f>
        <v>ROBERTS</v>
      </c>
      <c r="C15">
        <v>3610800</v>
      </c>
      <c r="D15">
        <v>8949600</v>
      </c>
      <c r="E15">
        <v>5114400</v>
      </c>
      <c r="F15">
        <v>13348000</v>
      </c>
      <c r="G15">
        <v>7228800</v>
      </c>
      <c r="H15">
        <v>13857500</v>
      </c>
    </row>
    <row r="16" spans="1:8" x14ac:dyDescent="0.3">
      <c r="A16">
        <v>51022076</v>
      </c>
      <c r="B16" t="str">
        <f>VLOOKUP(A16,VENTAS!$A$2:$B$1195,2,0)</f>
        <v>PUGH</v>
      </c>
      <c r="C16">
        <v>2432800</v>
      </c>
      <c r="D16">
        <v>7386400</v>
      </c>
      <c r="E16">
        <v>3515000</v>
      </c>
      <c r="F16">
        <v>12200000</v>
      </c>
      <c r="G16">
        <v>4379200</v>
      </c>
      <c r="H16">
        <v>13795000</v>
      </c>
    </row>
    <row r="17" spans="1:8" x14ac:dyDescent="0.3">
      <c r="A17">
        <v>51004531</v>
      </c>
      <c r="B17" t="str">
        <f>VLOOKUP(A17,VENTAS!$A$2:$B$1195,2,0)</f>
        <v>PRADES</v>
      </c>
      <c r="C17">
        <v>2812200</v>
      </c>
      <c r="D17">
        <v>7276799.9999999991</v>
      </c>
      <c r="E17">
        <v>4030600</v>
      </c>
      <c r="F17">
        <v>9742000</v>
      </c>
      <c r="G17">
        <v>5803200</v>
      </c>
      <c r="H17">
        <v>13530000</v>
      </c>
    </row>
    <row r="18" spans="1:8" x14ac:dyDescent="0.3">
      <c r="A18">
        <v>51024117</v>
      </c>
      <c r="B18" t="str">
        <f>VLOOKUP(A18,VENTAS!$A$2:$B$1195,2,0)</f>
        <v>LÓPEZ</v>
      </c>
      <c r="C18">
        <v>4665600</v>
      </c>
      <c r="D18">
        <v>8862000</v>
      </c>
      <c r="E18">
        <v>5111800</v>
      </c>
      <c r="F18">
        <v>12854000</v>
      </c>
      <c r="G18">
        <v>7428800</v>
      </c>
      <c r="H18">
        <v>13240000</v>
      </c>
    </row>
    <row r="19" spans="1:8" x14ac:dyDescent="0.3">
      <c r="A19">
        <v>51041933</v>
      </c>
      <c r="B19" t="str">
        <f>VLOOKUP(A19,VENTAS!$A$2:$B$1195,2,0)</f>
        <v>PUGH</v>
      </c>
      <c r="C19">
        <v>3339600</v>
      </c>
      <c r="D19">
        <v>8117600</v>
      </c>
      <c r="E19">
        <v>5190600</v>
      </c>
      <c r="F19">
        <v>10686000</v>
      </c>
      <c r="G19">
        <v>7910400</v>
      </c>
      <c r="H19">
        <v>13125000</v>
      </c>
    </row>
    <row r="20" spans="1:8" x14ac:dyDescent="0.3">
      <c r="A20">
        <v>51019377</v>
      </c>
      <c r="B20" t="str">
        <f>VLOOKUP(A20,VENTAS!$A$2:$B$1195,2,0)</f>
        <v>PRADES</v>
      </c>
      <c r="C20">
        <v>2201000</v>
      </c>
      <c r="D20">
        <v>6126000</v>
      </c>
      <c r="E20">
        <v>3659400</v>
      </c>
      <c r="F20">
        <v>9498000</v>
      </c>
      <c r="G20">
        <v>4555200</v>
      </c>
      <c r="H20">
        <v>13000000</v>
      </c>
    </row>
    <row r="21" spans="1:8" x14ac:dyDescent="0.3">
      <c r="A21">
        <v>51016688</v>
      </c>
      <c r="B21" t="str">
        <f>VLOOKUP(A21,VENTAS!$A$2:$B$1195,2,0)</f>
        <v>BELUZZO</v>
      </c>
      <c r="C21">
        <v>3375800</v>
      </c>
      <c r="D21">
        <v>8244400</v>
      </c>
      <c r="E21">
        <v>4649600</v>
      </c>
      <c r="F21">
        <v>10050000</v>
      </c>
      <c r="G21">
        <v>7084800</v>
      </c>
      <c r="H21">
        <v>12975000</v>
      </c>
    </row>
    <row r="22" spans="1:8" x14ac:dyDescent="0.3">
      <c r="A22">
        <v>51023919</v>
      </c>
      <c r="B22" t="str">
        <f>VLOOKUP(A22,VENTAS!$A$2:$B$1195,2,0)</f>
        <v>NELLI</v>
      </c>
      <c r="C22">
        <v>4173200</v>
      </c>
      <c r="D22">
        <v>8801600</v>
      </c>
      <c r="E22">
        <v>5260000</v>
      </c>
      <c r="F22">
        <v>10982000</v>
      </c>
      <c r="G22">
        <v>7340799.9999999991</v>
      </c>
      <c r="H22">
        <v>12947500</v>
      </c>
    </row>
    <row r="23" spans="1:8" x14ac:dyDescent="0.3">
      <c r="A23">
        <v>51019709</v>
      </c>
      <c r="B23" t="str">
        <f>VLOOKUP(A23,VENTAS!$A$2:$B$1195,2,0)</f>
        <v>PRADES</v>
      </c>
      <c r="C23">
        <v>2983600</v>
      </c>
      <c r="D23">
        <v>7556400</v>
      </c>
      <c r="E23">
        <v>4297600</v>
      </c>
      <c r="F23">
        <v>9970000</v>
      </c>
      <c r="G23">
        <v>5790400</v>
      </c>
      <c r="H23">
        <v>12825000</v>
      </c>
    </row>
    <row r="24" spans="1:8" x14ac:dyDescent="0.3">
      <c r="A24">
        <v>51055624</v>
      </c>
      <c r="B24" t="str">
        <f>VLOOKUP(A24,VENTAS!$A$2:$B$1195,2,0)</f>
        <v>BELUZZO</v>
      </c>
      <c r="C24">
        <v>3550800</v>
      </c>
      <c r="D24">
        <v>7984400</v>
      </c>
      <c r="E24">
        <v>4648800</v>
      </c>
      <c r="F24">
        <v>10066000</v>
      </c>
      <c r="G24">
        <v>6235200</v>
      </c>
      <c r="H24">
        <v>12605000</v>
      </c>
    </row>
    <row r="25" spans="1:8" x14ac:dyDescent="0.3">
      <c r="A25">
        <v>51055047</v>
      </c>
      <c r="B25" t="str">
        <f>VLOOKUP(A25,VENTAS!$A$2:$B$1195,2,0)</f>
        <v>PUGH</v>
      </c>
      <c r="C25">
        <v>2653600</v>
      </c>
      <c r="D25">
        <v>6840800</v>
      </c>
      <c r="E25">
        <v>3852800</v>
      </c>
      <c r="F25">
        <v>9646000</v>
      </c>
      <c r="G25">
        <v>5347200</v>
      </c>
      <c r="H25">
        <v>12257500</v>
      </c>
    </row>
    <row r="26" spans="1:8" x14ac:dyDescent="0.3">
      <c r="A26">
        <v>51005732</v>
      </c>
      <c r="B26" t="str">
        <f>VLOOKUP(A26,VENTAS!$A$2:$B$1195,2,0)</f>
        <v>BELUZZO</v>
      </c>
      <c r="C26">
        <v>4172200</v>
      </c>
      <c r="D26">
        <v>8540400</v>
      </c>
      <c r="E26">
        <v>4845200</v>
      </c>
      <c r="F26">
        <v>9596000</v>
      </c>
      <c r="G26">
        <v>7240000</v>
      </c>
      <c r="H26">
        <v>12210000</v>
      </c>
    </row>
    <row r="27" spans="1:8" x14ac:dyDescent="0.3">
      <c r="A27">
        <v>51010124</v>
      </c>
      <c r="B27" t="str">
        <f>VLOOKUP(A27,VENTAS!$A$2:$B$1195,2,0)</f>
        <v>LÓPEZ</v>
      </c>
      <c r="C27">
        <v>2804400</v>
      </c>
      <c r="D27">
        <v>8073200</v>
      </c>
      <c r="E27">
        <v>3671000</v>
      </c>
      <c r="F27">
        <v>9840000</v>
      </c>
      <c r="G27">
        <v>5776000</v>
      </c>
      <c r="H27">
        <v>12192500</v>
      </c>
    </row>
    <row r="28" spans="1:8" x14ac:dyDescent="0.3">
      <c r="A28">
        <v>51013808</v>
      </c>
      <c r="B28" t="str">
        <f>VLOOKUP(A28,VENTAS!$A$2:$B$1195,2,0)</f>
        <v>PUGH</v>
      </c>
      <c r="C28">
        <v>2923000</v>
      </c>
      <c r="D28">
        <v>7464400</v>
      </c>
      <c r="E28">
        <v>4580800</v>
      </c>
      <c r="F28">
        <v>8498000</v>
      </c>
      <c r="G28">
        <v>6065600</v>
      </c>
      <c r="H28">
        <v>12157500</v>
      </c>
    </row>
    <row r="29" spans="1:8" x14ac:dyDescent="0.3">
      <c r="A29">
        <v>51012747</v>
      </c>
      <c r="B29" t="str">
        <f>VLOOKUP(A29,VENTAS!$A$2:$B$1195,2,0)</f>
        <v>ROBERTS</v>
      </c>
      <c r="C29">
        <v>3471200</v>
      </c>
      <c r="D29">
        <v>8922400</v>
      </c>
      <c r="E29">
        <v>5198800</v>
      </c>
      <c r="F29">
        <v>9686000</v>
      </c>
      <c r="G29">
        <v>7862400</v>
      </c>
      <c r="H29">
        <v>11822500</v>
      </c>
    </row>
    <row r="30" spans="1:8" x14ac:dyDescent="0.3">
      <c r="A30">
        <v>51029968</v>
      </c>
      <c r="B30" t="str">
        <f>VLOOKUP(A30,VENTAS!$A$2:$B$1195,2,0)</f>
        <v>PUGH</v>
      </c>
      <c r="C30">
        <v>3042600</v>
      </c>
      <c r="D30">
        <v>6834000</v>
      </c>
      <c r="E30">
        <v>4370000</v>
      </c>
      <c r="F30">
        <v>8488000</v>
      </c>
      <c r="G30">
        <v>5915200</v>
      </c>
      <c r="H30">
        <v>11807500</v>
      </c>
    </row>
    <row r="31" spans="1:8" x14ac:dyDescent="0.3">
      <c r="A31">
        <v>51025709</v>
      </c>
      <c r="B31" t="str">
        <f>VLOOKUP(A31,VENTAS!$A$2:$B$1195,2,0)</f>
        <v>PRADES</v>
      </c>
      <c r="C31">
        <v>2659400</v>
      </c>
      <c r="D31">
        <v>6560400</v>
      </c>
      <c r="E31">
        <v>3920600</v>
      </c>
      <c r="F31">
        <v>8140000</v>
      </c>
      <c r="G31">
        <v>5433600</v>
      </c>
      <c r="H31">
        <v>11710000</v>
      </c>
    </row>
    <row r="32" spans="1:8" x14ac:dyDescent="0.3">
      <c r="A32">
        <v>51055063</v>
      </c>
      <c r="B32" t="str">
        <f>VLOOKUP(A32,VENTAS!$A$2:$B$1195,2,0)</f>
        <v>CICHETTO</v>
      </c>
      <c r="C32">
        <v>3633400</v>
      </c>
      <c r="D32">
        <v>7724000</v>
      </c>
      <c r="E32">
        <v>5150600</v>
      </c>
      <c r="F32">
        <v>9770000</v>
      </c>
      <c r="G32">
        <v>6180800</v>
      </c>
      <c r="H32">
        <v>11582500</v>
      </c>
    </row>
    <row r="33" spans="1:8" x14ac:dyDescent="0.3">
      <c r="A33">
        <v>51018486</v>
      </c>
      <c r="B33" t="str">
        <f>VLOOKUP(A33,VENTAS!$A$2:$B$1195,2,0)</f>
        <v>ROBERTS</v>
      </c>
      <c r="C33">
        <v>3201600</v>
      </c>
      <c r="D33">
        <v>6926000</v>
      </c>
      <c r="E33">
        <v>4373000</v>
      </c>
      <c r="F33">
        <v>8300000</v>
      </c>
      <c r="G33">
        <v>5716800</v>
      </c>
      <c r="H33">
        <v>11560000</v>
      </c>
    </row>
    <row r="34" spans="1:8" x14ac:dyDescent="0.3">
      <c r="A34">
        <v>51018699</v>
      </c>
      <c r="B34" t="str">
        <f>VLOOKUP(A34,VENTAS!$A$2:$B$1195,2,0)</f>
        <v>ARGUELLO</v>
      </c>
      <c r="C34">
        <v>2585800</v>
      </c>
      <c r="D34">
        <v>6482800</v>
      </c>
      <c r="E34">
        <v>3641600</v>
      </c>
      <c r="F34">
        <v>7938000</v>
      </c>
      <c r="G34">
        <v>5416000</v>
      </c>
      <c r="H34">
        <v>11365000</v>
      </c>
    </row>
    <row r="35" spans="1:8" x14ac:dyDescent="0.3">
      <c r="A35">
        <v>51021231</v>
      </c>
      <c r="B35" t="str">
        <f>VLOOKUP(A35,VENTAS!$A$2:$B$1195,2,0)</f>
        <v>PUGH</v>
      </c>
      <c r="C35">
        <v>3298400</v>
      </c>
      <c r="D35">
        <v>7979600</v>
      </c>
      <c r="E35">
        <v>4333600</v>
      </c>
      <c r="F35">
        <v>8954000</v>
      </c>
      <c r="G35">
        <v>6545600</v>
      </c>
      <c r="H35">
        <v>11330000</v>
      </c>
    </row>
    <row r="36" spans="1:8" x14ac:dyDescent="0.3">
      <c r="A36">
        <v>51015932</v>
      </c>
      <c r="B36" t="str">
        <f>VLOOKUP(A36,VENTAS!$A$2:$B$1195,2,0)</f>
        <v>LÓPEZ</v>
      </c>
      <c r="C36">
        <v>2365400</v>
      </c>
      <c r="D36">
        <v>6343200</v>
      </c>
      <c r="E36">
        <v>3502800</v>
      </c>
      <c r="F36">
        <v>7406000</v>
      </c>
      <c r="G36">
        <v>4793600</v>
      </c>
      <c r="H36">
        <v>10877500</v>
      </c>
    </row>
    <row r="37" spans="1:8" x14ac:dyDescent="0.3">
      <c r="A37">
        <v>51056086</v>
      </c>
      <c r="B37" t="str">
        <f>VLOOKUP(A37,VENTAS!$A$2:$B$1195,2,0)</f>
        <v>BELUZZO</v>
      </c>
      <c r="C37">
        <v>2533200</v>
      </c>
      <c r="D37">
        <v>6181200</v>
      </c>
      <c r="E37">
        <v>3542200</v>
      </c>
      <c r="F37">
        <v>7824000</v>
      </c>
      <c r="G37">
        <v>5291200</v>
      </c>
      <c r="H37">
        <v>10630000</v>
      </c>
    </row>
    <row r="38" spans="1:8" x14ac:dyDescent="0.3">
      <c r="A38">
        <v>51010329</v>
      </c>
      <c r="B38" t="str">
        <f>VLOOKUP(A38,VENTAS!$A$2:$B$1195,2,0)</f>
        <v>NELLI</v>
      </c>
      <c r="C38">
        <v>2642400</v>
      </c>
      <c r="D38">
        <v>6963199.9999999991</v>
      </c>
      <c r="E38">
        <v>4164800</v>
      </c>
      <c r="F38">
        <v>8100000</v>
      </c>
      <c r="G38">
        <v>6332800</v>
      </c>
      <c r="H38">
        <v>10560000</v>
      </c>
    </row>
    <row r="39" spans="1:8" x14ac:dyDescent="0.3">
      <c r="A39">
        <v>51018176</v>
      </c>
      <c r="B39" t="str">
        <f>VLOOKUP(A39,VENTAS!$A$2:$B$1195,2,0)</f>
        <v>ARGUELLO</v>
      </c>
      <c r="C39">
        <v>3195600</v>
      </c>
      <c r="D39">
        <v>6627200</v>
      </c>
      <c r="E39">
        <v>4418200</v>
      </c>
      <c r="F39">
        <v>8460000</v>
      </c>
      <c r="G39">
        <v>5736000</v>
      </c>
      <c r="H39">
        <v>10532500</v>
      </c>
    </row>
    <row r="40" spans="1:8" x14ac:dyDescent="0.3">
      <c r="A40">
        <v>51031393</v>
      </c>
      <c r="B40" t="str">
        <f>VLOOKUP(A40,VENTAS!$A$2:$B$1195,2,0)</f>
        <v>PUGH</v>
      </c>
      <c r="C40">
        <v>3352400</v>
      </c>
      <c r="D40">
        <v>6852800</v>
      </c>
      <c r="E40">
        <v>3560000</v>
      </c>
      <c r="F40">
        <v>8836000</v>
      </c>
      <c r="G40">
        <v>6209600</v>
      </c>
      <c r="H40">
        <v>10532500</v>
      </c>
    </row>
    <row r="41" spans="1:8" x14ac:dyDescent="0.3">
      <c r="A41">
        <v>51024087</v>
      </c>
      <c r="B41" t="str">
        <f>VLOOKUP(A41,VENTAS!$A$2:$B$1195,2,0)</f>
        <v>PUGH</v>
      </c>
      <c r="C41">
        <v>2829000</v>
      </c>
      <c r="D41">
        <v>6299200</v>
      </c>
      <c r="E41">
        <v>3994000</v>
      </c>
      <c r="F41">
        <v>7932000</v>
      </c>
      <c r="G41">
        <v>5451200</v>
      </c>
      <c r="H41">
        <v>10472500</v>
      </c>
    </row>
    <row r="42" spans="1:8" x14ac:dyDescent="0.3">
      <c r="A42">
        <v>51055365</v>
      </c>
      <c r="B42" t="str">
        <f>VLOOKUP(A42,VENTAS!$A$2:$B$1195,2,0)</f>
        <v>BELUZZO</v>
      </c>
      <c r="C42">
        <v>2544800</v>
      </c>
      <c r="D42">
        <v>6677600</v>
      </c>
      <c r="E42">
        <v>3449000</v>
      </c>
      <c r="F42">
        <v>8460000</v>
      </c>
      <c r="G42">
        <v>5766400</v>
      </c>
      <c r="H42">
        <v>10440000</v>
      </c>
    </row>
    <row r="43" spans="1:8" x14ac:dyDescent="0.3">
      <c r="A43">
        <v>51020197</v>
      </c>
      <c r="B43" t="str">
        <f>VLOOKUP(A43,VENTAS!$A$2:$B$1195,2,0)</f>
        <v>MONTENEGRO</v>
      </c>
      <c r="C43">
        <v>2094800</v>
      </c>
      <c r="D43">
        <v>6917600</v>
      </c>
      <c r="E43">
        <v>3298600</v>
      </c>
      <c r="F43">
        <v>8472000</v>
      </c>
      <c r="G43">
        <v>5116800</v>
      </c>
      <c r="H43">
        <v>10425000</v>
      </c>
    </row>
    <row r="44" spans="1:8" x14ac:dyDescent="0.3">
      <c r="A44">
        <v>51005287</v>
      </c>
      <c r="B44" t="str">
        <f>VLOOKUP(A44,VENTAS!$A$2:$B$1195,2,0)</f>
        <v>NELLI</v>
      </c>
      <c r="C44">
        <v>2604800</v>
      </c>
      <c r="D44">
        <v>6944800.0000000009</v>
      </c>
      <c r="E44">
        <v>3841400</v>
      </c>
      <c r="F44">
        <v>8430000</v>
      </c>
      <c r="G44">
        <v>5804800</v>
      </c>
      <c r="H44">
        <v>10390000</v>
      </c>
    </row>
    <row r="45" spans="1:8" x14ac:dyDescent="0.3">
      <c r="A45">
        <v>51036824</v>
      </c>
      <c r="B45" t="str">
        <f>VLOOKUP(A45,VENTAS!$A$2:$B$1195,2,0)</f>
        <v>MONTENEGRO</v>
      </c>
      <c r="C45">
        <v>2672200</v>
      </c>
      <c r="D45">
        <v>5867200</v>
      </c>
      <c r="E45">
        <v>3520400</v>
      </c>
      <c r="F45">
        <v>7574000</v>
      </c>
      <c r="G45">
        <v>4411200</v>
      </c>
      <c r="H45">
        <v>10342500</v>
      </c>
    </row>
    <row r="46" spans="1:8" x14ac:dyDescent="0.3">
      <c r="A46">
        <v>51014006</v>
      </c>
      <c r="B46" t="str">
        <f>VLOOKUP(A46,VENTAS!$A$2:$B$1195,2,0)</f>
        <v>ARGUELLO</v>
      </c>
      <c r="C46">
        <v>3018000</v>
      </c>
      <c r="D46">
        <v>10406800</v>
      </c>
      <c r="E46">
        <v>6009600</v>
      </c>
      <c r="F46">
        <v>8376000</v>
      </c>
      <c r="G46">
        <v>7894399.9999999991</v>
      </c>
      <c r="H46">
        <v>10162500</v>
      </c>
    </row>
    <row r="47" spans="1:8" x14ac:dyDescent="0.3">
      <c r="A47">
        <v>51055586</v>
      </c>
      <c r="B47" t="str">
        <f>VLOOKUP(A47,VENTAS!$A$2:$B$1195,2,0)</f>
        <v>PUGH</v>
      </c>
      <c r="C47">
        <v>2992800</v>
      </c>
      <c r="D47">
        <v>6910000</v>
      </c>
      <c r="E47">
        <v>4243000</v>
      </c>
      <c r="F47">
        <v>8740000</v>
      </c>
      <c r="G47">
        <v>5843200</v>
      </c>
      <c r="H47">
        <v>10157500</v>
      </c>
    </row>
    <row r="48" spans="1:8" x14ac:dyDescent="0.3">
      <c r="A48">
        <v>51023145</v>
      </c>
      <c r="B48" t="str">
        <f>VLOOKUP(A48,VENTAS!$A$2:$B$1195,2,0)</f>
        <v>NELLI</v>
      </c>
      <c r="C48">
        <v>2709600</v>
      </c>
      <c r="D48">
        <v>6516800</v>
      </c>
      <c r="E48">
        <v>4184000</v>
      </c>
      <c r="F48">
        <v>7530000</v>
      </c>
      <c r="G48">
        <v>5833600</v>
      </c>
      <c r="H48">
        <v>10127500</v>
      </c>
    </row>
    <row r="49" spans="1:8" x14ac:dyDescent="0.3">
      <c r="A49">
        <v>51024192</v>
      </c>
      <c r="B49" t="str">
        <f>VLOOKUP(A49,VENTAS!$A$2:$B$1195,2,0)</f>
        <v>ROBERTS</v>
      </c>
      <c r="C49">
        <v>2949800</v>
      </c>
      <c r="D49">
        <v>6490400</v>
      </c>
      <c r="E49">
        <v>4070800</v>
      </c>
      <c r="F49">
        <v>7990000</v>
      </c>
      <c r="G49">
        <v>5883200</v>
      </c>
      <c r="H49">
        <v>10000000</v>
      </c>
    </row>
    <row r="50" spans="1:8" x14ac:dyDescent="0.3">
      <c r="A50">
        <v>51057066</v>
      </c>
      <c r="B50" t="str">
        <f>VLOOKUP(A50,VENTAS!$A$2:$B$1195,2,0)</f>
        <v>LÓPEZ</v>
      </c>
      <c r="C50">
        <v>2521400</v>
      </c>
      <c r="D50">
        <v>6479200</v>
      </c>
      <c r="E50">
        <v>3251600</v>
      </c>
      <c r="F50">
        <v>6594000</v>
      </c>
      <c r="G50">
        <v>4732800</v>
      </c>
      <c r="H50">
        <v>9990000</v>
      </c>
    </row>
    <row r="51" spans="1:8" x14ac:dyDescent="0.3">
      <c r="A51">
        <v>51055039</v>
      </c>
      <c r="B51" t="str">
        <f>VLOOKUP(A51,VENTAS!$A$2:$B$1195,2,0)</f>
        <v>PUGH</v>
      </c>
      <c r="C51">
        <v>2353200</v>
      </c>
      <c r="D51">
        <v>6335600</v>
      </c>
      <c r="E51">
        <v>3408000</v>
      </c>
      <c r="F51">
        <v>7064000</v>
      </c>
      <c r="G51">
        <v>5024000</v>
      </c>
      <c r="H51">
        <v>9950000</v>
      </c>
    </row>
    <row r="52" spans="1:8" x14ac:dyDescent="0.3">
      <c r="A52">
        <v>51004469</v>
      </c>
      <c r="B52" t="str">
        <f>VLOOKUP(A52,VENTAS!$A$2:$B$1195,2,0)</f>
        <v>ARGUELLO</v>
      </c>
      <c r="C52">
        <v>1752600</v>
      </c>
      <c r="D52">
        <v>3760400</v>
      </c>
      <c r="E52">
        <v>2283800</v>
      </c>
      <c r="F52">
        <v>4992000</v>
      </c>
      <c r="G52">
        <v>3180800</v>
      </c>
      <c r="H52">
        <v>9947500</v>
      </c>
    </row>
    <row r="53" spans="1:8" x14ac:dyDescent="0.3">
      <c r="A53">
        <v>51016815</v>
      </c>
      <c r="B53" t="str">
        <f>VLOOKUP(A53,VENTAS!$A$2:$B$1195,2,0)</f>
        <v>ROBERTS</v>
      </c>
      <c r="C53">
        <v>3027800</v>
      </c>
      <c r="D53">
        <v>7498400.0000000009</v>
      </c>
      <c r="E53">
        <v>4088000</v>
      </c>
      <c r="F53">
        <v>8268000</v>
      </c>
      <c r="G53">
        <v>7399999.9999999991</v>
      </c>
      <c r="H53">
        <v>9932500</v>
      </c>
    </row>
    <row r="54" spans="1:8" x14ac:dyDescent="0.3">
      <c r="A54">
        <v>51011970</v>
      </c>
      <c r="B54" t="str">
        <f>VLOOKUP(A54,VENTAS!$A$2:$B$1195,2,0)</f>
        <v>ROBERTS</v>
      </c>
      <c r="C54">
        <v>3065800</v>
      </c>
      <c r="D54">
        <v>6902400</v>
      </c>
      <c r="E54">
        <v>4252400</v>
      </c>
      <c r="F54">
        <v>8244000</v>
      </c>
      <c r="G54">
        <v>5512000</v>
      </c>
      <c r="H54">
        <v>9897499.9999999981</v>
      </c>
    </row>
    <row r="55" spans="1:8" x14ac:dyDescent="0.3">
      <c r="A55">
        <v>51001168</v>
      </c>
      <c r="B55" t="str">
        <f>VLOOKUP(A55,VENTAS!$A$2:$B$1195,2,0)</f>
        <v>ROBERTS</v>
      </c>
      <c r="C55">
        <v>2284200</v>
      </c>
      <c r="D55">
        <v>6003200</v>
      </c>
      <c r="E55">
        <v>3267400</v>
      </c>
      <c r="F55">
        <v>7616000</v>
      </c>
      <c r="G55">
        <v>4825600</v>
      </c>
      <c r="H55">
        <v>9825000</v>
      </c>
    </row>
    <row r="56" spans="1:8" x14ac:dyDescent="0.3">
      <c r="A56">
        <v>51005945</v>
      </c>
      <c r="B56" t="str">
        <f>VLOOKUP(A56,VENTAS!$A$2:$B$1195,2,0)</f>
        <v>CICHETTO</v>
      </c>
      <c r="C56">
        <v>2463600</v>
      </c>
      <c r="D56">
        <v>5739600</v>
      </c>
      <c r="E56">
        <v>3392000</v>
      </c>
      <c r="F56">
        <v>7276000</v>
      </c>
      <c r="G56">
        <v>5136000</v>
      </c>
      <c r="H56">
        <v>9805000</v>
      </c>
    </row>
    <row r="57" spans="1:8" x14ac:dyDescent="0.3">
      <c r="A57">
        <v>51031385</v>
      </c>
      <c r="B57" t="str">
        <f>VLOOKUP(A57,VENTAS!$A$2:$B$1195,2,0)</f>
        <v>ROBERTS</v>
      </c>
      <c r="C57">
        <v>2811400</v>
      </c>
      <c r="D57">
        <v>5752000</v>
      </c>
      <c r="E57">
        <v>3783400</v>
      </c>
      <c r="F57">
        <v>7312000</v>
      </c>
      <c r="G57">
        <v>5248000</v>
      </c>
      <c r="H57">
        <v>9785000</v>
      </c>
    </row>
    <row r="58" spans="1:8" x14ac:dyDescent="0.3">
      <c r="A58">
        <v>51010469</v>
      </c>
      <c r="B58" t="str">
        <f>VLOOKUP(A58,VENTAS!$A$2:$B$1195,2,0)</f>
        <v>LÓPEZ</v>
      </c>
      <c r="C58">
        <v>2632600</v>
      </c>
      <c r="D58">
        <v>6449600</v>
      </c>
      <c r="E58">
        <v>3972800</v>
      </c>
      <c r="F58">
        <v>7798000</v>
      </c>
      <c r="G58">
        <v>5547200</v>
      </c>
      <c r="H58">
        <v>9780000</v>
      </c>
    </row>
    <row r="59" spans="1:8" x14ac:dyDescent="0.3">
      <c r="A59">
        <v>51015622</v>
      </c>
      <c r="B59" t="str">
        <f>VLOOKUP(A59,VENTAS!$A$2:$B$1195,2,0)</f>
        <v>PUGH</v>
      </c>
      <c r="C59">
        <v>2473600</v>
      </c>
      <c r="D59">
        <v>6102800</v>
      </c>
      <c r="E59">
        <v>3367400</v>
      </c>
      <c r="F59">
        <v>7758000</v>
      </c>
      <c r="G59">
        <v>4712000</v>
      </c>
      <c r="H59">
        <v>9777499.9999999981</v>
      </c>
    </row>
    <row r="60" spans="1:8" x14ac:dyDescent="0.3">
      <c r="A60">
        <v>51018591</v>
      </c>
      <c r="B60" t="str">
        <f>VLOOKUP(A60,VENTAS!$A$2:$B$1195,2,0)</f>
        <v>ARGUELLO</v>
      </c>
      <c r="C60">
        <v>2502600</v>
      </c>
      <c r="D60">
        <v>5392000</v>
      </c>
      <c r="E60">
        <v>3481000</v>
      </c>
      <c r="F60">
        <v>6600000</v>
      </c>
      <c r="G60">
        <v>4801600</v>
      </c>
      <c r="H60">
        <v>9695000</v>
      </c>
    </row>
    <row r="61" spans="1:8" x14ac:dyDescent="0.3">
      <c r="A61">
        <v>51015541</v>
      </c>
      <c r="B61" t="str">
        <f>VLOOKUP(A61,VENTAS!$A$2:$B$1195,2,0)</f>
        <v>METTLER</v>
      </c>
      <c r="C61">
        <v>2419200</v>
      </c>
      <c r="D61">
        <v>6113200</v>
      </c>
      <c r="E61">
        <v>3445400</v>
      </c>
      <c r="F61">
        <v>7858000</v>
      </c>
      <c r="G61">
        <v>5040000</v>
      </c>
      <c r="H61">
        <v>9645000</v>
      </c>
    </row>
    <row r="62" spans="1:8" x14ac:dyDescent="0.3">
      <c r="A62">
        <v>51005864</v>
      </c>
      <c r="B62" t="str">
        <f>VLOOKUP(A62,VENTAS!$A$2:$B$1195,2,0)</f>
        <v>ARGUELLO</v>
      </c>
      <c r="C62">
        <v>2373400</v>
      </c>
      <c r="D62">
        <v>6671600</v>
      </c>
      <c r="E62">
        <v>3428800</v>
      </c>
      <c r="F62">
        <v>7588000</v>
      </c>
      <c r="G62">
        <v>5934400</v>
      </c>
      <c r="H62">
        <v>9540000</v>
      </c>
    </row>
    <row r="63" spans="1:8" x14ac:dyDescent="0.3">
      <c r="A63">
        <v>51055012</v>
      </c>
      <c r="B63" t="str">
        <f>VLOOKUP(A63,VENTAS!$A$2:$B$1195,2,0)</f>
        <v>LÓPEZ</v>
      </c>
      <c r="C63">
        <v>1716000</v>
      </c>
      <c r="D63">
        <v>5014800</v>
      </c>
      <c r="E63">
        <v>2791800</v>
      </c>
      <c r="F63">
        <v>5902000</v>
      </c>
      <c r="G63">
        <v>4308800</v>
      </c>
      <c r="H63">
        <v>9515000</v>
      </c>
    </row>
    <row r="64" spans="1:8" x14ac:dyDescent="0.3">
      <c r="A64">
        <v>51030176</v>
      </c>
      <c r="B64" t="str">
        <f>VLOOKUP(A64,VENTAS!$A$2:$B$1195,2,0)</f>
        <v>ARGUELLO</v>
      </c>
      <c r="C64">
        <v>3042800</v>
      </c>
      <c r="D64">
        <v>6666400</v>
      </c>
      <c r="E64">
        <v>4124200</v>
      </c>
      <c r="F64">
        <v>7798000</v>
      </c>
      <c r="G64">
        <v>5656000</v>
      </c>
      <c r="H64">
        <v>9400000</v>
      </c>
    </row>
    <row r="65" spans="1:8" x14ac:dyDescent="0.3">
      <c r="A65">
        <v>51054946</v>
      </c>
      <c r="B65" t="str">
        <f>VLOOKUP(A65,VENTAS!$A$2:$B$1195,2,0)</f>
        <v>LÓPEZ</v>
      </c>
      <c r="C65">
        <v>2480600</v>
      </c>
      <c r="D65">
        <v>5770400</v>
      </c>
      <c r="E65">
        <v>3312800</v>
      </c>
      <c r="F65">
        <v>7524000</v>
      </c>
      <c r="G65">
        <v>4801600</v>
      </c>
      <c r="H65">
        <v>9255000</v>
      </c>
    </row>
    <row r="66" spans="1:8" x14ac:dyDescent="0.3">
      <c r="A66">
        <v>51015525</v>
      </c>
      <c r="B66" t="str">
        <f>VLOOKUP(A66,VENTAS!$A$2:$B$1195,2,0)</f>
        <v>NELLI</v>
      </c>
      <c r="C66">
        <v>1879200</v>
      </c>
      <c r="D66">
        <v>6471600</v>
      </c>
      <c r="E66">
        <v>2523200</v>
      </c>
      <c r="F66">
        <v>7710000</v>
      </c>
      <c r="G66">
        <v>4838400</v>
      </c>
      <c r="H66">
        <v>9197500</v>
      </c>
    </row>
    <row r="67" spans="1:8" x14ac:dyDescent="0.3">
      <c r="A67">
        <v>51024575</v>
      </c>
      <c r="B67" t="str">
        <f>VLOOKUP(A67,VENTAS!$A$2:$B$1195,2,0)</f>
        <v>MONTENEGRO</v>
      </c>
      <c r="C67">
        <v>3632400</v>
      </c>
      <c r="D67">
        <v>7305200</v>
      </c>
      <c r="E67">
        <v>4560600</v>
      </c>
      <c r="F67">
        <v>8134000</v>
      </c>
      <c r="G67">
        <v>6457600</v>
      </c>
      <c r="H67">
        <v>9155000</v>
      </c>
    </row>
    <row r="68" spans="1:8" x14ac:dyDescent="0.3">
      <c r="A68">
        <v>51032675</v>
      </c>
      <c r="B68" t="str">
        <f>VLOOKUP(A68,VENTAS!$A$2:$B$1195,2,0)</f>
        <v>NELLI</v>
      </c>
      <c r="C68">
        <v>2033400</v>
      </c>
      <c r="D68">
        <v>4668400</v>
      </c>
      <c r="E68">
        <v>2786600</v>
      </c>
      <c r="F68">
        <v>6722000</v>
      </c>
      <c r="G68">
        <v>3993600</v>
      </c>
      <c r="H68">
        <v>9150000</v>
      </c>
    </row>
    <row r="69" spans="1:8" x14ac:dyDescent="0.3">
      <c r="A69">
        <v>51034228</v>
      </c>
      <c r="B69" t="str">
        <f>VLOOKUP(A69,VENTAS!$A$2:$B$1195,2,0)</f>
        <v>NELLI</v>
      </c>
      <c r="C69">
        <v>2331200</v>
      </c>
      <c r="D69">
        <v>5367600</v>
      </c>
      <c r="E69">
        <v>2834800</v>
      </c>
      <c r="F69">
        <v>6746000</v>
      </c>
      <c r="G69">
        <v>4096000</v>
      </c>
      <c r="H69">
        <v>9075000</v>
      </c>
    </row>
    <row r="70" spans="1:8" x14ac:dyDescent="0.3">
      <c r="A70">
        <v>51010647</v>
      </c>
      <c r="B70" t="str">
        <f>VLOOKUP(A70,VENTAS!$A$2:$B$1195,2,0)</f>
        <v>ARGUELLO</v>
      </c>
      <c r="C70">
        <v>2351600</v>
      </c>
      <c r="D70">
        <v>6048400</v>
      </c>
      <c r="E70">
        <v>3420000</v>
      </c>
      <c r="F70">
        <v>7354000</v>
      </c>
      <c r="G70">
        <v>4892800</v>
      </c>
      <c r="H70">
        <v>9040000</v>
      </c>
    </row>
    <row r="71" spans="1:8" x14ac:dyDescent="0.3">
      <c r="A71">
        <v>51002776</v>
      </c>
      <c r="B71" t="str">
        <f>VLOOKUP(A71,VENTAS!$A$2:$B$1195,2,0)</f>
        <v>NELLI</v>
      </c>
      <c r="C71">
        <v>1712600</v>
      </c>
      <c r="D71">
        <v>4810400</v>
      </c>
      <c r="E71">
        <v>2744600</v>
      </c>
      <c r="F71">
        <v>7040000</v>
      </c>
      <c r="G71">
        <v>3996800</v>
      </c>
      <c r="H71">
        <v>9000000</v>
      </c>
    </row>
    <row r="72" spans="1:8" x14ac:dyDescent="0.3">
      <c r="A72">
        <v>51020979</v>
      </c>
      <c r="B72" t="str">
        <f>VLOOKUP(A72,VENTAS!$A$2:$B$1195,2,0)</f>
        <v>NELLI</v>
      </c>
      <c r="C72">
        <v>2001600</v>
      </c>
      <c r="D72">
        <v>5442000</v>
      </c>
      <c r="E72">
        <v>3017400</v>
      </c>
      <c r="F72">
        <v>6818000</v>
      </c>
      <c r="G72">
        <v>4473600</v>
      </c>
      <c r="H72">
        <v>8977500</v>
      </c>
    </row>
    <row r="73" spans="1:8" x14ac:dyDescent="0.3">
      <c r="A73">
        <v>51007051</v>
      </c>
      <c r="B73" t="str">
        <f>VLOOKUP(A73,VENTAS!$A$2:$B$1195,2,0)</f>
        <v>PUGH</v>
      </c>
      <c r="C73">
        <v>2855000</v>
      </c>
      <c r="D73">
        <v>6544000</v>
      </c>
      <c r="E73">
        <v>3864200</v>
      </c>
      <c r="F73">
        <v>7906000</v>
      </c>
      <c r="G73">
        <v>5748800</v>
      </c>
      <c r="H73">
        <v>8967500</v>
      </c>
    </row>
    <row r="74" spans="1:8" x14ac:dyDescent="0.3">
      <c r="A74">
        <v>51032900</v>
      </c>
      <c r="B74" t="str">
        <f>VLOOKUP(A74,VENTAS!$A$2:$B$1195,2,0)</f>
        <v>MONTENEGRO</v>
      </c>
      <c r="C74">
        <v>2530600</v>
      </c>
      <c r="D74">
        <v>5845600</v>
      </c>
      <c r="E74">
        <v>3821200</v>
      </c>
      <c r="F74">
        <v>6784000</v>
      </c>
      <c r="G74">
        <v>5315200</v>
      </c>
      <c r="H74">
        <v>8967500</v>
      </c>
    </row>
    <row r="75" spans="1:8" x14ac:dyDescent="0.3">
      <c r="A75">
        <v>51013638</v>
      </c>
      <c r="B75" t="str">
        <f>VLOOKUP(A75,VENTAS!$A$2:$B$1195,2,0)</f>
        <v>LÓPEZ</v>
      </c>
      <c r="C75">
        <v>1829000</v>
      </c>
      <c r="D75">
        <v>4449200</v>
      </c>
      <c r="E75">
        <v>2648000</v>
      </c>
      <c r="F75">
        <v>6184000</v>
      </c>
      <c r="G75">
        <v>3964800</v>
      </c>
      <c r="H75">
        <v>8957500</v>
      </c>
    </row>
    <row r="76" spans="1:8" x14ac:dyDescent="0.3">
      <c r="A76">
        <v>51056051</v>
      </c>
      <c r="B76" t="str">
        <f>VLOOKUP(A76,VENTAS!$A$2:$B$1195,2,0)</f>
        <v>METTLER</v>
      </c>
      <c r="C76">
        <v>1929000</v>
      </c>
      <c r="D76">
        <v>5779600</v>
      </c>
      <c r="E76">
        <v>3312000</v>
      </c>
      <c r="F76">
        <v>7422000</v>
      </c>
      <c r="G76">
        <v>4974400</v>
      </c>
      <c r="H76">
        <v>8927500</v>
      </c>
    </row>
    <row r="77" spans="1:8" x14ac:dyDescent="0.3">
      <c r="A77">
        <v>51055373</v>
      </c>
      <c r="B77" t="str">
        <f>VLOOKUP(A77,VENTAS!$A$2:$B$1195,2,0)</f>
        <v>PUGH</v>
      </c>
      <c r="C77">
        <v>1906200</v>
      </c>
      <c r="D77">
        <v>4643600</v>
      </c>
      <c r="E77">
        <v>2580000</v>
      </c>
      <c r="F77">
        <v>6758000</v>
      </c>
      <c r="G77">
        <v>3768000</v>
      </c>
      <c r="H77">
        <v>8872500</v>
      </c>
    </row>
    <row r="78" spans="1:8" x14ac:dyDescent="0.3">
      <c r="A78">
        <v>51024419</v>
      </c>
      <c r="B78" t="str">
        <f>VLOOKUP(A78,VENTAS!$A$2:$B$1195,2,0)</f>
        <v>PUGH</v>
      </c>
      <c r="C78">
        <v>2509200</v>
      </c>
      <c r="D78">
        <v>4711200</v>
      </c>
      <c r="E78">
        <v>3634400</v>
      </c>
      <c r="F78">
        <v>7196000</v>
      </c>
      <c r="G78">
        <v>5201600</v>
      </c>
      <c r="H78">
        <v>8785000</v>
      </c>
    </row>
    <row r="79" spans="1:8" x14ac:dyDescent="0.3">
      <c r="A79">
        <v>51013824</v>
      </c>
      <c r="B79" t="str">
        <f>VLOOKUP(A79,VENTAS!$A$2:$B$1195,2,0)</f>
        <v>NELLI</v>
      </c>
      <c r="C79">
        <v>2735400</v>
      </c>
      <c r="D79">
        <v>5028800</v>
      </c>
      <c r="E79">
        <v>3512200</v>
      </c>
      <c r="F79">
        <v>6748000</v>
      </c>
      <c r="G79">
        <v>4345600</v>
      </c>
      <c r="H79">
        <v>8770000</v>
      </c>
    </row>
    <row r="80" spans="1:8" x14ac:dyDescent="0.3">
      <c r="A80">
        <v>51019911</v>
      </c>
      <c r="B80" t="str">
        <f>VLOOKUP(A80,VENTAS!$A$2:$B$1195,2,0)</f>
        <v>PRADES</v>
      </c>
      <c r="C80">
        <v>2678600</v>
      </c>
      <c r="D80">
        <v>5573200</v>
      </c>
      <c r="E80">
        <v>3158600</v>
      </c>
      <c r="F80">
        <v>6634000</v>
      </c>
      <c r="G80">
        <v>4915200</v>
      </c>
      <c r="H80">
        <v>8725000</v>
      </c>
    </row>
    <row r="81" spans="1:8" x14ac:dyDescent="0.3">
      <c r="A81">
        <v>51001061</v>
      </c>
      <c r="B81" t="str">
        <f>VLOOKUP(A81,VENTAS!$A$2:$B$1195,2,0)</f>
        <v>ARGUELLO</v>
      </c>
      <c r="C81">
        <v>2234000</v>
      </c>
      <c r="D81">
        <v>4930000</v>
      </c>
      <c r="E81">
        <v>3325800</v>
      </c>
      <c r="F81">
        <v>7616000</v>
      </c>
      <c r="G81">
        <v>5078400</v>
      </c>
      <c r="H81">
        <v>8710000</v>
      </c>
    </row>
    <row r="82" spans="1:8" x14ac:dyDescent="0.3">
      <c r="A82">
        <v>51027116</v>
      </c>
      <c r="B82" t="str">
        <f>VLOOKUP(A82,VENTAS!$A$2:$B$1195,2,0)</f>
        <v>LÓPEZ</v>
      </c>
      <c r="C82">
        <v>1377200</v>
      </c>
      <c r="D82">
        <v>4039200</v>
      </c>
      <c r="E82">
        <v>2436400</v>
      </c>
      <c r="F82">
        <v>6178000</v>
      </c>
      <c r="G82">
        <v>4036800</v>
      </c>
      <c r="H82">
        <v>8602500</v>
      </c>
    </row>
    <row r="83" spans="1:8" x14ac:dyDescent="0.3">
      <c r="A83">
        <v>51014260</v>
      </c>
      <c r="B83" t="str">
        <f>VLOOKUP(A83,VENTAS!$A$2:$B$1195,2,0)</f>
        <v>AYALA</v>
      </c>
      <c r="C83">
        <v>2660400</v>
      </c>
      <c r="D83">
        <v>5917200</v>
      </c>
      <c r="E83">
        <v>3802000</v>
      </c>
      <c r="F83">
        <v>7090000</v>
      </c>
      <c r="G83">
        <v>4985600</v>
      </c>
      <c r="H83">
        <v>8597500</v>
      </c>
    </row>
    <row r="84" spans="1:8" x14ac:dyDescent="0.3">
      <c r="A84">
        <v>51042956</v>
      </c>
      <c r="B84" t="str">
        <f>VLOOKUP(A84,VENTAS!$A$2:$B$1195,2,0)</f>
        <v>NELLI</v>
      </c>
      <c r="C84">
        <v>1882000</v>
      </c>
      <c r="D84">
        <v>4284800</v>
      </c>
      <c r="E84">
        <v>2664800</v>
      </c>
      <c r="F84">
        <v>6014000</v>
      </c>
      <c r="G84">
        <v>3889600</v>
      </c>
      <c r="H84">
        <v>8490000</v>
      </c>
    </row>
    <row r="85" spans="1:8" x14ac:dyDescent="0.3">
      <c r="A85">
        <v>51025865</v>
      </c>
      <c r="B85" t="str">
        <f>VLOOKUP(A85,VENTAS!$A$2:$B$1195,2,0)</f>
        <v>METTLER</v>
      </c>
      <c r="C85">
        <v>2533400</v>
      </c>
      <c r="D85">
        <v>5380400</v>
      </c>
      <c r="E85">
        <v>3766400</v>
      </c>
      <c r="F85">
        <v>6900000</v>
      </c>
      <c r="G85">
        <v>4604800</v>
      </c>
      <c r="H85">
        <v>8477500</v>
      </c>
    </row>
    <row r="86" spans="1:8" x14ac:dyDescent="0.3">
      <c r="A86">
        <v>51019601</v>
      </c>
      <c r="B86" t="str">
        <f>VLOOKUP(A86,VENTAS!$A$2:$B$1195,2,0)</f>
        <v>CICHETTO</v>
      </c>
      <c r="C86">
        <v>2875200</v>
      </c>
      <c r="D86">
        <v>5700400</v>
      </c>
      <c r="E86">
        <v>3741200</v>
      </c>
      <c r="F86">
        <v>7054000</v>
      </c>
      <c r="G86">
        <v>4755200</v>
      </c>
      <c r="H86">
        <v>8420000</v>
      </c>
    </row>
    <row r="87" spans="1:8" x14ac:dyDescent="0.3">
      <c r="A87">
        <v>51023871</v>
      </c>
      <c r="B87" t="str">
        <f>VLOOKUP(A87,VENTAS!$A$2:$B$1195,2,0)</f>
        <v>MONTENEGRO</v>
      </c>
      <c r="C87">
        <v>2202400</v>
      </c>
      <c r="D87">
        <v>5386400</v>
      </c>
      <c r="E87">
        <v>3025400</v>
      </c>
      <c r="F87">
        <v>6834000</v>
      </c>
      <c r="G87">
        <v>4616000</v>
      </c>
      <c r="H87">
        <v>8362500</v>
      </c>
    </row>
    <row r="88" spans="1:8" x14ac:dyDescent="0.3">
      <c r="A88">
        <v>51055942</v>
      </c>
      <c r="B88" t="str">
        <f>VLOOKUP(A88,VENTAS!$A$2:$B$1195,2,0)</f>
        <v>PUGH</v>
      </c>
      <c r="C88">
        <v>2214600</v>
      </c>
      <c r="D88">
        <v>5406000</v>
      </c>
      <c r="E88">
        <v>2885000</v>
      </c>
      <c r="F88">
        <v>6212000</v>
      </c>
      <c r="G88">
        <v>3966400</v>
      </c>
      <c r="H88">
        <v>8312500</v>
      </c>
    </row>
    <row r="89" spans="1:8" x14ac:dyDescent="0.3">
      <c r="A89">
        <v>51011414</v>
      </c>
      <c r="B89" t="str">
        <f>VLOOKUP(A89,VENTAS!$A$2:$B$1195,2,0)</f>
        <v>LÓPEZ</v>
      </c>
      <c r="C89">
        <v>2098400</v>
      </c>
      <c r="D89">
        <v>4857200</v>
      </c>
      <c r="E89">
        <v>2729200</v>
      </c>
      <c r="F89">
        <v>6392000</v>
      </c>
      <c r="G89">
        <v>4184000</v>
      </c>
      <c r="H89">
        <v>8297500.0000000009</v>
      </c>
    </row>
    <row r="90" spans="1:8" x14ac:dyDescent="0.3">
      <c r="A90">
        <v>51056281</v>
      </c>
      <c r="B90" t="str">
        <f>VLOOKUP(A90,VENTAS!$A$2:$B$1195,2,0)</f>
        <v>LÓPEZ</v>
      </c>
      <c r="C90">
        <v>1702400</v>
      </c>
      <c r="D90">
        <v>4889600</v>
      </c>
      <c r="E90">
        <v>2705000</v>
      </c>
      <c r="F90">
        <v>6734000</v>
      </c>
      <c r="G90">
        <v>3785600</v>
      </c>
      <c r="H90">
        <v>8267500.0000000009</v>
      </c>
    </row>
    <row r="91" spans="1:8" x14ac:dyDescent="0.3">
      <c r="A91">
        <v>51024621</v>
      </c>
      <c r="B91" t="str">
        <f>VLOOKUP(A91,VENTAS!$A$2:$B$1195,2,0)</f>
        <v>ARGUELLO</v>
      </c>
      <c r="C91">
        <v>2667600</v>
      </c>
      <c r="D91">
        <v>6228800</v>
      </c>
      <c r="E91">
        <v>3883400</v>
      </c>
      <c r="F91">
        <v>7236000</v>
      </c>
      <c r="G91">
        <v>5931200</v>
      </c>
      <c r="H91">
        <v>8250000</v>
      </c>
    </row>
    <row r="92" spans="1:8" x14ac:dyDescent="0.3">
      <c r="A92">
        <v>51031083</v>
      </c>
      <c r="B92" t="str">
        <f>VLOOKUP(A92,VENTAS!$A$2:$B$1195,2,0)</f>
        <v>NELLI</v>
      </c>
      <c r="C92">
        <v>2235200</v>
      </c>
      <c r="D92">
        <v>6000000</v>
      </c>
      <c r="E92">
        <v>2937800</v>
      </c>
      <c r="F92">
        <v>7116000</v>
      </c>
      <c r="G92">
        <v>4668800</v>
      </c>
      <c r="H92">
        <v>8250000</v>
      </c>
    </row>
    <row r="93" spans="1:8" x14ac:dyDescent="0.3">
      <c r="A93">
        <v>51020201</v>
      </c>
      <c r="B93" t="str">
        <f>VLOOKUP(A93,VENTAS!$A$2:$B$1195,2,0)</f>
        <v>NELLI</v>
      </c>
      <c r="C93">
        <v>2175200</v>
      </c>
      <c r="D93">
        <v>5528000</v>
      </c>
      <c r="E93">
        <v>3227400</v>
      </c>
      <c r="F93">
        <v>6642000</v>
      </c>
      <c r="G93">
        <v>4790400</v>
      </c>
      <c r="H93">
        <v>8242500</v>
      </c>
    </row>
    <row r="94" spans="1:8" x14ac:dyDescent="0.3">
      <c r="A94">
        <v>51056426</v>
      </c>
      <c r="B94" t="str">
        <f>VLOOKUP(A94,VENTAS!$A$2:$B$1195,2,0)</f>
        <v>PUGH</v>
      </c>
      <c r="C94">
        <v>1930200</v>
      </c>
      <c r="D94">
        <v>5037600</v>
      </c>
      <c r="E94">
        <v>2626400</v>
      </c>
      <c r="F94">
        <v>6430000</v>
      </c>
      <c r="G94">
        <v>3659200</v>
      </c>
      <c r="H94">
        <v>8237500</v>
      </c>
    </row>
    <row r="95" spans="1:8" x14ac:dyDescent="0.3">
      <c r="A95">
        <v>51024681</v>
      </c>
      <c r="B95" t="str">
        <f>VLOOKUP(A95,VENTAS!$A$2:$B$1195,2,0)</f>
        <v>NELLI</v>
      </c>
      <c r="C95">
        <v>1972600</v>
      </c>
      <c r="D95">
        <v>5876400</v>
      </c>
      <c r="E95">
        <v>3235000</v>
      </c>
      <c r="F95">
        <v>7218000</v>
      </c>
      <c r="G95">
        <v>5198400</v>
      </c>
      <c r="H95">
        <v>8215000</v>
      </c>
    </row>
    <row r="96" spans="1:8" x14ac:dyDescent="0.3">
      <c r="A96">
        <v>51015207</v>
      </c>
      <c r="B96" t="str">
        <f>VLOOKUP(A96,VENTAS!$A$2:$B$1195,2,0)</f>
        <v>NELLI</v>
      </c>
      <c r="C96">
        <v>2225000</v>
      </c>
      <c r="D96">
        <v>6835200</v>
      </c>
      <c r="E96">
        <v>3132600</v>
      </c>
      <c r="F96">
        <v>6722000</v>
      </c>
      <c r="G96">
        <v>5865600</v>
      </c>
      <c r="H96">
        <v>8152500</v>
      </c>
    </row>
    <row r="97" spans="1:8" x14ac:dyDescent="0.3">
      <c r="A97">
        <v>51056582</v>
      </c>
      <c r="B97" t="str">
        <f>VLOOKUP(A97,VENTAS!$A$2:$B$1195,2,0)</f>
        <v>PUGH</v>
      </c>
      <c r="C97">
        <v>1466800</v>
      </c>
      <c r="D97">
        <v>4169200</v>
      </c>
      <c r="E97">
        <v>2028400</v>
      </c>
      <c r="F97">
        <v>5886000</v>
      </c>
      <c r="G97">
        <v>2947200</v>
      </c>
      <c r="H97">
        <v>8100000</v>
      </c>
    </row>
    <row r="98" spans="1:8" x14ac:dyDescent="0.3">
      <c r="A98">
        <v>51031482</v>
      </c>
      <c r="B98" t="str">
        <f>VLOOKUP(A98,VENTAS!$A$2:$B$1195,2,0)</f>
        <v>ARGUELLO</v>
      </c>
      <c r="C98">
        <v>1801000</v>
      </c>
      <c r="D98">
        <v>4598800</v>
      </c>
      <c r="E98">
        <v>2904800</v>
      </c>
      <c r="F98">
        <v>6608000</v>
      </c>
      <c r="G98">
        <v>3809600</v>
      </c>
      <c r="H98">
        <v>8092500</v>
      </c>
    </row>
    <row r="99" spans="1:8" x14ac:dyDescent="0.3">
      <c r="A99">
        <v>51055357</v>
      </c>
      <c r="B99" t="str">
        <f>VLOOKUP(A99,VENTAS!$A$2:$B$1195,2,0)</f>
        <v>PRADES</v>
      </c>
      <c r="C99">
        <v>2204000</v>
      </c>
      <c r="D99">
        <v>4308400</v>
      </c>
      <c r="E99">
        <v>2982400</v>
      </c>
      <c r="F99">
        <v>5562000</v>
      </c>
      <c r="G99">
        <v>3846400</v>
      </c>
      <c r="H99">
        <v>8067500</v>
      </c>
    </row>
    <row r="100" spans="1:8" x14ac:dyDescent="0.3">
      <c r="A100">
        <v>51031075</v>
      </c>
      <c r="B100" t="str">
        <f>VLOOKUP(A100,VENTAS!$A$2:$B$1195,2,0)</f>
        <v>PUGH</v>
      </c>
      <c r="C100">
        <v>1670800</v>
      </c>
      <c r="D100">
        <v>5559200</v>
      </c>
      <c r="E100">
        <v>2267600</v>
      </c>
      <c r="F100">
        <v>7404000</v>
      </c>
      <c r="G100">
        <v>3481600</v>
      </c>
      <c r="H100">
        <v>8047500</v>
      </c>
    </row>
    <row r="101" spans="1:8" x14ac:dyDescent="0.3">
      <c r="A101">
        <v>51015088</v>
      </c>
      <c r="B101" t="str">
        <f>VLOOKUP(A101,VENTAS!$A$2:$B$1195,2,0)</f>
        <v>BELUZZO</v>
      </c>
      <c r="C101">
        <v>1880600</v>
      </c>
      <c r="D101">
        <v>4459600</v>
      </c>
      <c r="E101">
        <v>2641800</v>
      </c>
      <c r="F101">
        <v>6190000</v>
      </c>
      <c r="G101">
        <v>3579200</v>
      </c>
      <c r="H101">
        <v>8022500</v>
      </c>
    </row>
    <row r="102" spans="1:8" x14ac:dyDescent="0.3">
      <c r="A102">
        <v>51012445</v>
      </c>
      <c r="B102" t="str">
        <f>VLOOKUP(A102,VENTAS!$A$2:$B$1195,2,0)</f>
        <v>ARGUELLO</v>
      </c>
      <c r="C102">
        <v>3040000</v>
      </c>
      <c r="D102">
        <v>6115600</v>
      </c>
      <c r="E102">
        <v>3765800</v>
      </c>
      <c r="F102">
        <v>6704000</v>
      </c>
      <c r="G102">
        <v>5488000</v>
      </c>
      <c r="H102">
        <v>7970000</v>
      </c>
    </row>
    <row r="103" spans="1:8" x14ac:dyDescent="0.3">
      <c r="A103">
        <v>51013409</v>
      </c>
      <c r="B103" t="str">
        <f>VLOOKUP(A103,VENTAS!$A$2:$B$1195,2,0)</f>
        <v>PRADES</v>
      </c>
      <c r="C103">
        <v>2205600</v>
      </c>
      <c r="D103">
        <v>4721200</v>
      </c>
      <c r="E103">
        <v>3021800</v>
      </c>
      <c r="F103">
        <v>5448000</v>
      </c>
      <c r="G103">
        <v>4112000</v>
      </c>
      <c r="H103">
        <v>7970000</v>
      </c>
    </row>
    <row r="104" spans="1:8" x14ac:dyDescent="0.3">
      <c r="A104">
        <v>51011546</v>
      </c>
      <c r="B104" t="str">
        <f>VLOOKUP(A104,VENTAS!$A$2:$B$1195,2,0)</f>
        <v>LÓPEZ</v>
      </c>
      <c r="C104">
        <v>1543400</v>
      </c>
      <c r="D104">
        <v>4498400</v>
      </c>
      <c r="E104">
        <v>2354600</v>
      </c>
      <c r="F104">
        <v>6226000</v>
      </c>
      <c r="G104">
        <v>3851200</v>
      </c>
      <c r="H104">
        <v>7942500</v>
      </c>
    </row>
    <row r="105" spans="1:8" x14ac:dyDescent="0.3">
      <c r="A105">
        <v>51015401</v>
      </c>
      <c r="B105" t="str">
        <f>VLOOKUP(A105,VENTAS!$A$2:$B$1195,2,0)</f>
        <v>PRADES</v>
      </c>
      <c r="C105">
        <v>1946000</v>
      </c>
      <c r="D105">
        <v>5148000</v>
      </c>
      <c r="E105">
        <v>2799600</v>
      </c>
      <c r="F105">
        <v>6294000</v>
      </c>
      <c r="G105">
        <v>3886400</v>
      </c>
      <c r="H105">
        <v>7937500</v>
      </c>
    </row>
    <row r="106" spans="1:8" x14ac:dyDescent="0.3">
      <c r="A106">
        <v>51056191</v>
      </c>
      <c r="B106" t="str">
        <f>VLOOKUP(A106,VENTAS!$A$2:$B$1195,2,0)</f>
        <v>PUGH</v>
      </c>
      <c r="C106">
        <v>2198200</v>
      </c>
      <c r="D106">
        <v>5070400</v>
      </c>
      <c r="E106">
        <v>4011000</v>
      </c>
      <c r="F106">
        <v>6790000</v>
      </c>
      <c r="G106">
        <v>5428800</v>
      </c>
      <c r="H106">
        <v>7917500</v>
      </c>
    </row>
    <row r="107" spans="1:8" x14ac:dyDescent="0.3">
      <c r="A107">
        <v>51025202</v>
      </c>
      <c r="B107" t="str">
        <f>VLOOKUP(A107,VENTAS!$A$2:$B$1195,2,0)</f>
        <v>MONTENEGRO</v>
      </c>
      <c r="C107">
        <v>2285800</v>
      </c>
      <c r="D107">
        <v>4910400</v>
      </c>
      <c r="E107">
        <v>2905600</v>
      </c>
      <c r="F107">
        <v>5776000</v>
      </c>
      <c r="G107">
        <v>4302400</v>
      </c>
      <c r="H107">
        <v>7910000</v>
      </c>
    </row>
    <row r="108" spans="1:8" x14ac:dyDescent="0.3">
      <c r="A108">
        <v>51020880</v>
      </c>
      <c r="B108" t="str">
        <f>VLOOKUP(A108,VENTAS!$A$2:$B$1195,2,0)</f>
        <v>MONTENEGRO</v>
      </c>
      <c r="C108">
        <v>2007200</v>
      </c>
      <c r="D108">
        <v>4901200</v>
      </c>
      <c r="E108">
        <v>2651000</v>
      </c>
      <c r="F108">
        <v>5814000</v>
      </c>
      <c r="G108">
        <v>3945600</v>
      </c>
      <c r="H108">
        <v>7892500</v>
      </c>
    </row>
    <row r="109" spans="1:8" x14ac:dyDescent="0.3">
      <c r="A109">
        <v>51016793</v>
      </c>
      <c r="B109" t="str">
        <f>VLOOKUP(A109,VENTAS!$A$2:$B$1195,2,0)</f>
        <v>PUGH</v>
      </c>
      <c r="C109">
        <v>1850400</v>
      </c>
      <c r="D109">
        <v>5444800</v>
      </c>
      <c r="E109">
        <v>2828000</v>
      </c>
      <c r="F109">
        <v>5336000</v>
      </c>
      <c r="G109">
        <v>4681600</v>
      </c>
      <c r="H109">
        <v>7832500</v>
      </c>
    </row>
    <row r="110" spans="1:8" x14ac:dyDescent="0.3">
      <c r="A110">
        <v>51018664</v>
      </c>
      <c r="B110" t="e">
        <f>VLOOKUP(A110,VENTAS!$A$2:$B$1195,2,0)</f>
        <v>#N/A</v>
      </c>
      <c r="C110">
        <v>1695600</v>
      </c>
      <c r="D110">
        <v>4042400</v>
      </c>
      <c r="E110">
        <v>2351200</v>
      </c>
      <c r="F110">
        <v>3760000</v>
      </c>
      <c r="G110">
        <v>3222400</v>
      </c>
      <c r="H110">
        <v>7792500</v>
      </c>
    </row>
    <row r="111" spans="1:8" x14ac:dyDescent="0.3">
      <c r="A111">
        <v>51025385</v>
      </c>
      <c r="B111" t="str">
        <f>VLOOKUP(A111,VENTAS!$A$2:$B$1195,2,0)</f>
        <v>NELLI</v>
      </c>
      <c r="C111">
        <v>1946200</v>
      </c>
      <c r="D111">
        <v>5268000</v>
      </c>
      <c r="E111">
        <v>2783000</v>
      </c>
      <c r="F111">
        <v>6220000</v>
      </c>
      <c r="G111">
        <v>4032000</v>
      </c>
      <c r="H111">
        <v>7790000</v>
      </c>
    </row>
    <row r="112" spans="1:8" x14ac:dyDescent="0.3">
      <c r="A112">
        <v>51021550</v>
      </c>
      <c r="B112" t="str">
        <f>VLOOKUP(A112,VENTAS!$A$2:$B$1195,2,0)</f>
        <v>PRADES</v>
      </c>
      <c r="C112">
        <v>2257600</v>
      </c>
      <c r="D112">
        <v>4547600</v>
      </c>
      <c r="E112">
        <v>2928200</v>
      </c>
      <c r="F112">
        <v>6126000</v>
      </c>
      <c r="G112">
        <v>4051200</v>
      </c>
      <c r="H112">
        <v>7787500</v>
      </c>
    </row>
    <row r="113" spans="1:8" x14ac:dyDescent="0.3">
      <c r="A113">
        <v>51012305</v>
      </c>
      <c r="B113" t="str">
        <f>VLOOKUP(A113,VENTAS!$A$2:$B$1195,2,0)</f>
        <v>ARGUELLO</v>
      </c>
      <c r="C113">
        <v>2244200</v>
      </c>
      <c r="D113">
        <v>4347200</v>
      </c>
      <c r="E113">
        <v>2836800</v>
      </c>
      <c r="F113">
        <v>5722000</v>
      </c>
      <c r="G113">
        <v>3753600</v>
      </c>
      <c r="H113">
        <v>7764999.9999999991</v>
      </c>
    </row>
    <row r="114" spans="1:8" x14ac:dyDescent="0.3">
      <c r="A114">
        <v>51034350</v>
      </c>
      <c r="B114" t="str">
        <f>VLOOKUP(A114,VENTAS!$A$2:$B$1195,2,0)</f>
        <v>NELLI</v>
      </c>
      <c r="C114">
        <v>1941400</v>
      </c>
      <c r="D114">
        <v>4706800</v>
      </c>
      <c r="E114">
        <v>2806400</v>
      </c>
      <c r="F114">
        <v>5838000</v>
      </c>
      <c r="G114">
        <v>3777600</v>
      </c>
      <c r="H114">
        <v>7712500</v>
      </c>
    </row>
    <row r="115" spans="1:8" x14ac:dyDescent="0.3">
      <c r="A115">
        <v>51007701</v>
      </c>
      <c r="B115" t="str">
        <f>VLOOKUP(A115,VENTAS!$A$2:$B$1195,2,0)</f>
        <v>PUGH</v>
      </c>
      <c r="C115">
        <v>1799400</v>
      </c>
      <c r="D115">
        <v>4283200</v>
      </c>
      <c r="E115">
        <v>2586000</v>
      </c>
      <c r="F115">
        <v>5184000</v>
      </c>
      <c r="G115">
        <v>3472000</v>
      </c>
      <c r="H115">
        <v>7705000.0000000009</v>
      </c>
    </row>
    <row r="116" spans="1:8" x14ac:dyDescent="0.3">
      <c r="A116">
        <v>51030605</v>
      </c>
      <c r="B116" t="str">
        <f>VLOOKUP(A116,VENTAS!$A$2:$B$1195,2,0)</f>
        <v>PUGH</v>
      </c>
      <c r="C116">
        <v>1640200</v>
      </c>
      <c r="D116">
        <v>4523600</v>
      </c>
      <c r="E116">
        <v>2401400</v>
      </c>
      <c r="F116">
        <v>5792000</v>
      </c>
      <c r="G116">
        <v>3723200</v>
      </c>
      <c r="H116">
        <v>7605000.0000000009</v>
      </c>
    </row>
    <row r="117" spans="1:8" x14ac:dyDescent="0.3">
      <c r="A117">
        <v>51030320</v>
      </c>
      <c r="B117" t="str">
        <f>VLOOKUP(A117,VENTAS!$A$2:$B$1195,2,0)</f>
        <v>NELLI</v>
      </c>
      <c r="C117">
        <v>2045200</v>
      </c>
      <c r="D117">
        <v>4236800</v>
      </c>
      <c r="E117">
        <v>2784000</v>
      </c>
      <c r="F117">
        <v>5900000</v>
      </c>
      <c r="G117">
        <v>3710400</v>
      </c>
      <c r="H117">
        <v>7575000</v>
      </c>
    </row>
    <row r="118" spans="1:8" x14ac:dyDescent="0.3">
      <c r="A118">
        <v>51020758</v>
      </c>
      <c r="B118" t="str">
        <f>VLOOKUP(A118,VENTAS!$A$2:$B$1195,2,0)</f>
        <v>PRADES</v>
      </c>
      <c r="C118">
        <v>2567600</v>
      </c>
      <c r="D118">
        <v>5386000</v>
      </c>
      <c r="E118">
        <v>3333800</v>
      </c>
      <c r="F118">
        <v>6830000</v>
      </c>
      <c r="G118">
        <v>4841600</v>
      </c>
      <c r="H118">
        <v>7565000</v>
      </c>
    </row>
    <row r="119" spans="1:8" x14ac:dyDescent="0.3">
      <c r="A119">
        <v>51032624</v>
      </c>
      <c r="B119" t="str">
        <f>VLOOKUP(A119,VENTAS!$A$2:$B$1195,2,0)</f>
        <v>NELLI</v>
      </c>
      <c r="C119">
        <v>2533000</v>
      </c>
      <c r="D119">
        <v>4888000</v>
      </c>
      <c r="E119">
        <v>3047600</v>
      </c>
      <c r="F119">
        <v>6268000</v>
      </c>
      <c r="G119">
        <v>4099200</v>
      </c>
      <c r="H119">
        <v>7507500</v>
      </c>
    </row>
    <row r="120" spans="1:8" x14ac:dyDescent="0.3">
      <c r="A120">
        <v>51023471</v>
      </c>
      <c r="B120" t="str">
        <f>VLOOKUP(A120,VENTAS!$A$2:$B$1195,2,0)</f>
        <v>BELUZZO</v>
      </c>
      <c r="C120">
        <v>2016200</v>
      </c>
      <c r="D120">
        <v>5096000</v>
      </c>
      <c r="E120">
        <v>2909200</v>
      </c>
      <c r="F120">
        <v>6556000</v>
      </c>
      <c r="G120">
        <v>4169600</v>
      </c>
      <c r="H120">
        <v>7502500</v>
      </c>
    </row>
    <row r="121" spans="1:8" x14ac:dyDescent="0.3">
      <c r="A121">
        <v>51017447</v>
      </c>
      <c r="B121" t="str">
        <f>VLOOKUP(A121,VENTAS!$A$2:$B$1195,2,0)</f>
        <v>ROBERTS</v>
      </c>
      <c r="C121">
        <v>2320400</v>
      </c>
      <c r="D121">
        <v>4946000</v>
      </c>
      <c r="E121">
        <v>3218600</v>
      </c>
      <c r="F121">
        <v>6282000</v>
      </c>
      <c r="G121">
        <v>4283200</v>
      </c>
      <c r="H121">
        <v>7500000</v>
      </c>
    </row>
    <row r="122" spans="1:8" x14ac:dyDescent="0.3">
      <c r="A122">
        <v>51016220</v>
      </c>
      <c r="B122" t="str">
        <f>VLOOKUP(A122,VENTAS!$A$2:$B$1195,2,0)</f>
        <v>NELLI</v>
      </c>
      <c r="C122">
        <v>1551800</v>
      </c>
      <c r="D122">
        <v>4418800</v>
      </c>
      <c r="E122">
        <v>2364400</v>
      </c>
      <c r="F122">
        <v>6518000</v>
      </c>
      <c r="G122">
        <v>3660800</v>
      </c>
      <c r="H122">
        <v>7497500</v>
      </c>
    </row>
    <row r="123" spans="1:8" x14ac:dyDescent="0.3">
      <c r="A123">
        <v>51020651</v>
      </c>
      <c r="B123" t="str">
        <f>VLOOKUP(A123,VENTAS!$A$2:$B$1195,2,0)</f>
        <v>BELUZZO</v>
      </c>
      <c r="C123">
        <v>2026800</v>
      </c>
      <c r="D123">
        <v>4986400</v>
      </c>
      <c r="E123">
        <v>2651000</v>
      </c>
      <c r="F123">
        <v>6548000</v>
      </c>
      <c r="G123">
        <v>3899200</v>
      </c>
      <c r="H123">
        <v>7490000</v>
      </c>
    </row>
    <row r="124" spans="1:8" x14ac:dyDescent="0.3">
      <c r="A124">
        <v>51018907</v>
      </c>
      <c r="B124" t="str">
        <f>VLOOKUP(A124,VENTAS!$A$2:$B$1195,2,0)</f>
        <v>ROBERTS</v>
      </c>
      <c r="C124">
        <v>1929600</v>
      </c>
      <c r="D124">
        <v>4370000</v>
      </c>
      <c r="E124">
        <v>3057600</v>
      </c>
      <c r="F124">
        <v>5510000</v>
      </c>
      <c r="G124">
        <v>3832000</v>
      </c>
      <c r="H124">
        <v>7470000</v>
      </c>
    </row>
    <row r="125" spans="1:8" x14ac:dyDescent="0.3">
      <c r="A125">
        <v>51024672</v>
      </c>
      <c r="B125" t="str">
        <f>VLOOKUP(A125,VENTAS!$A$2:$B$1195,2,0)</f>
        <v>PRADES</v>
      </c>
      <c r="C125">
        <v>2134600</v>
      </c>
      <c r="D125">
        <v>4522800</v>
      </c>
      <c r="E125">
        <v>2672400</v>
      </c>
      <c r="F125">
        <v>5992000</v>
      </c>
      <c r="G125">
        <v>3537600</v>
      </c>
      <c r="H125">
        <v>7447500</v>
      </c>
    </row>
    <row r="126" spans="1:8" x14ac:dyDescent="0.3">
      <c r="A126">
        <v>51023668</v>
      </c>
      <c r="B126" t="str">
        <f>VLOOKUP(A126,VENTAS!$A$2:$B$1195,2,0)</f>
        <v>BELUZZO</v>
      </c>
      <c r="C126">
        <v>1523200</v>
      </c>
      <c r="D126">
        <v>3924000</v>
      </c>
      <c r="E126">
        <v>2053200</v>
      </c>
      <c r="F126">
        <v>5816000</v>
      </c>
      <c r="G126">
        <v>2852800</v>
      </c>
      <c r="H126">
        <v>7425000</v>
      </c>
    </row>
    <row r="127" spans="1:8" x14ac:dyDescent="0.3">
      <c r="A127">
        <v>51042735</v>
      </c>
      <c r="B127" t="str">
        <f>VLOOKUP(A127,VENTAS!$A$2:$B$1195,2,0)</f>
        <v>ARGUELLO</v>
      </c>
      <c r="C127">
        <v>2098400</v>
      </c>
      <c r="D127">
        <v>5652400</v>
      </c>
      <c r="E127">
        <v>3232800</v>
      </c>
      <c r="F127">
        <v>6680000</v>
      </c>
      <c r="G127">
        <v>5046400</v>
      </c>
      <c r="H127">
        <v>7402500</v>
      </c>
    </row>
    <row r="128" spans="1:8" x14ac:dyDescent="0.3">
      <c r="A128">
        <v>51036212</v>
      </c>
      <c r="B128" t="str">
        <f>VLOOKUP(A128,VENTAS!$A$2:$B$1195,2,0)</f>
        <v>PUGH</v>
      </c>
      <c r="C128">
        <v>1934800</v>
      </c>
      <c r="D128">
        <v>5039600</v>
      </c>
      <c r="E128">
        <v>2515800</v>
      </c>
      <c r="F128">
        <v>6078000</v>
      </c>
      <c r="G128">
        <v>4097600</v>
      </c>
      <c r="H128">
        <v>7392500</v>
      </c>
    </row>
    <row r="129" spans="1:8" x14ac:dyDescent="0.3">
      <c r="A129">
        <v>51023170</v>
      </c>
      <c r="B129" t="str">
        <f>VLOOKUP(A129,VENTAS!$A$2:$B$1195,2,0)</f>
        <v>ARGUELLO</v>
      </c>
      <c r="C129">
        <v>1992600</v>
      </c>
      <c r="D129">
        <v>5025200</v>
      </c>
      <c r="E129">
        <v>2746200</v>
      </c>
      <c r="F129">
        <v>6656000</v>
      </c>
      <c r="G129">
        <v>4683200</v>
      </c>
      <c r="H129">
        <v>7370000</v>
      </c>
    </row>
    <row r="130" spans="1:8" x14ac:dyDescent="0.3">
      <c r="A130">
        <v>51038908</v>
      </c>
      <c r="B130" t="str">
        <f>VLOOKUP(A130,VENTAS!$A$2:$B$1195,2,0)</f>
        <v>METTLER</v>
      </c>
      <c r="C130">
        <v>1532200</v>
      </c>
      <c r="D130">
        <v>5192400</v>
      </c>
      <c r="E130">
        <v>2013400</v>
      </c>
      <c r="F130">
        <v>5676000</v>
      </c>
      <c r="G130">
        <v>3003200</v>
      </c>
      <c r="H130">
        <v>7305000</v>
      </c>
    </row>
    <row r="131" spans="1:8" x14ac:dyDescent="0.3">
      <c r="A131">
        <v>51005741</v>
      </c>
      <c r="B131" t="str">
        <f>VLOOKUP(A131,VENTAS!$A$2:$B$1195,2,0)</f>
        <v>ARGUELLO</v>
      </c>
      <c r="C131">
        <v>1911000</v>
      </c>
      <c r="D131">
        <v>4511600</v>
      </c>
      <c r="E131">
        <v>3018400</v>
      </c>
      <c r="F131">
        <v>6122000</v>
      </c>
      <c r="G131">
        <v>4070400</v>
      </c>
      <c r="H131">
        <v>7302500</v>
      </c>
    </row>
    <row r="132" spans="1:8" x14ac:dyDescent="0.3">
      <c r="A132">
        <v>51013425</v>
      </c>
      <c r="B132" t="str">
        <f>VLOOKUP(A132,VENTAS!$A$2:$B$1195,2,0)</f>
        <v>BELUZZO</v>
      </c>
      <c r="C132">
        <v>2324800</v>
      </c>
      <c r="D132">
        <v>4897600</v>
      </c>
      <c r="E132">
        <v>2863000</v>
      </c>
      <c r="F132">
        <v>5874000</v>
      </c>
      <c r="G132">
        <v>4057600</v>
      </c>
      <c r="H132">
        <v>7285000</v>
      </c>
    </row>
    <row r="133" spans="1:8" x14ac:dyDescent="0.3">
      <c r="A133">
        <v>51056949</v>
      </c>
      <c r="B133" t="str">
        <f>VLOOKUP(A133,VENTAS!$A$2:$B$1195,2,0)</f>
        <v>METTLER</v>
      </c>
      <c r="C133">
        <v>736000</v>
      </c>
      <c r="D133">
        <v>2324000</v>
      </c>
      <c r="E133">
        <v>1099400</v>
      </c>
      <c r="F133">
        <v>3002000</v>
      </c>
      <c r="G133">
        <v>1449600</v>
      </c>
      <c r="H133">
        <v>7282500</v>
      </c>
    </row>
    <row r="134" spans="1:8" x14ac:dyDescent="0.3">
      <c r="A134">
        <v>51024516</v>
      </c>
      <c r="B134" t="str">
        <f>VLOOKUP(A134,VENTAS!$A$2:$B$1195,2,0)</f>
        <v>NELLI</v>
      </c>
      <c r="C134">
        <v>1811800</v>
      </c>
      <c r="D134">
        <v>4484800</v>
      </c>
      <c r="E134">
        <v>2419000</v>
      </c>
      <c r="F134">
        <v>5794000</v>
      </c>
      <c r="G134">
        <v>3385600</v>
      </c>
      <c r="H134">
        <v>7260000</v>
      </c>
    </row>
    <row r="135" spans="1:8" x14ac:dyDescent="0.3">
      <c r="A135">
        <v>51041615</v>
      </c>
      <c r="B135" t="str">
        <f>VLOOKUP(A135,VENTAS!$A$2:$B$1195,2,0)</f>
        <v>ROBERTS</v>
      </c>
      <c r="C135">
        <v>2238000</v>
      </c>
      <c r="D135">
        <v>4568400</v>
      </c>
      <c r="E135">
        <v>3188400</v>
      </c>
      <c r="F135">
        <v>5932000</v>
      </c>
      <c r="G135">
        <v>3712000</v>
      </c>
      <c r="H135">
        <v>7257500</v>
      </c>
    </row>
    <row r="136" spans="1:8" x14ac:dyDescent="0.3">
      <c r="A136">
        <v>51018575</v>
      </c>
      <c r="B136" t="str">
        <f>VLOOKUP(A136,VENTAS!$A$2:$B$1195,2,0)</f>
        <v>NELLI</v>
      </c>
      <c r="C136">
        <v>2142200</v>
      </c>
      <c r="D136">
        <v>5050400</v>
      </c>
      <c r="E136">
        <v>3186400</v>
      </c>
      <c r="F136">
        <v>6522000</v>
      </c>
      <c r="G136">
        <v>4201600</v>
      </c>
      <c r="H136">
        <v>7247500</v>
      </c>
    </row>
    <row r="137" spans="1:8" x14ac:dyDescent="0.3">
      <c r="A137">
        <v>51039777</v>
      </c>
      <c r="B137" t="str">
        <f>VLOOKUP(A137,VENTAS!$A$2:$B$1195,2,0)</f>
        <v>PUGH</v>
      </c>
      <c r="C137">
        <v>1445000</v>
      </c>
      <c r="D137">
        <v>4769600</v>
      </c>
      <c r="E137">
        <v>2055200</v>
      </c>
      <c r="F137">
        <v>5810000</v>
      </c>
      <c r="G137">
        <v>3009600</v>
      </c>
      <c r="H137">
        <v>7247500</v>
      </c>
    </row>
    <row r="138" spans="1:8" x14ac:dyDescent="0.3">
      <c r="A138">
        <v>51020251</v>
      </c>
      <c r="B138" t="str">
        <f>VLOOKUP(A138,VENTAS!$A$2:$B$1195,2,0)</f>
        <v>BELUZZO</v>
      </c>
      <c r="C138">
        <v>2105600</v>
      </c>
      <c r="D138">
        <v>4208400</v>
      </c>
      <c r="E138">
        <v>2659800</v>
      </c>
      <c r="F138">
        <v>4976000</v>
      </c>
      <c r="G138">
        <v>3368000</v>
      </c>
      <c r="H138">
        <v>7195000</v>
      </c>
    </row>
    <row r="139" spans="1:8" x14ac:dyDescent="0.3">
      <c r="A139">
        <v>51011856</v>
      </c>
      <c r="B139" t="str">
        <f>VLOOKUP(A139,VENTAS!$A$2:$B$1195,2,0)</f>
        <v>ARGUELLO</v>
      </c>
      <c r="C139">
        <v>2233400</v>
      </c>
      <c r="D139">
        <v>4959600</v>
      </c>
      <c r="E139">
        <v>3002400</v>
      </c>
      <c r="F139">
        <v>5750000</v>
      </c>
      <c r="G139">
        <v>4595200</v>
      </c>
      <c r="H139">
        <v>7190000</v>
      </c>
    </row>
    <row r="140" spans="1:8" x14ac:dyDescent="0.3">
      <c r="A140">
        <v>51002296</v>
      </c>
      <c r="B140" t="str">
        <f>VLOOKUP(A140,VENTAS!$A$2:$B$1195,2,0)</f>
        <v>LÓPEZ</v>
      </c>
      <c r="C140">
        <v>1895400</v>
      </c>
      <c r="D140">
        <v>3882000</v>
      </c>
      <c r="E140">
        <v>2437800</v>
      </c>
      <c r="F140">
        <v>4898000</v>
      </c>
      <c r="G140">
        <v>3340800</v>
      </c>
      <c r="H140">
        <v>7142499.9999999991</v>
      </c>
    </row>
    <row r="141" spans="1:8" x14ac:dyDescent="0.3">
      <c r="A141">
        <v>51039238</v>
      </c>
      <c r="B141" t="str">
        <f>VLOOKUP(A141,VENTAS!$A$2:$B$1195,2,0)</f>
        <v>ARGUELLO</v>
      </c>
      <c r="C141">
        <v>2018800</v>
      </c>
      <c r="D141">
        <v>4528400</v>
      </c>
      <c r="E141">
        <v>2660800</v>
      </c>
      <c r="F141">
        <v>4754000</v>
      </c>
      <c r="G141">
        <v>3827200</v>
      </c>
      <c r="H141">
        <v>7127500</v>
      </c>
    </row>
    <row r="142" spans="1:8" x14ac:dyDescent="0.3">
      <c r="A142">
        <v>51055951</v>
      </c>
      <c r="B142" t="str">
        <f>VLOOKUP(A142,VENTAS!$A$2:$B$1195,2,0)</f>
        <v>PUGH</v>
      </c>
      <c r="C142">
        <v>1193600</v>
      </c>
      <c r="D142">
        <v>4914400</v>
      </c>
      <c r="E142">
        <v>2636600</v>
      </c>
      <c r="F142">
        <v>6286000</v>
      </c>
      <c r="G142">
        <v>3214400</v>
      </c>
      <c r="H142">
        <v>7125000</v>
      </c>
    </row>
    <row r="143" spans="1:8" x14ac:dyDescent="0.3">
      <c r="A143">
        <v>51022360</v>
      </c>
      <c r="B143" t="str">
        <f>VLOOKUP(A143,VENTAS!$A$2:$B$1195,2,0)</f>
        <v>CICHETTO</v>
      </c>
      <c r="C143">
        <v>1408400</v>
      </c>
      <c r="D143">
        <v>3316400</v>
      </c>
      <c r="E143">
        <v>1956200</v>
      </c>
      <c r="F143">
        <v>4118000</v>
      </c>
      <c r="G143">
        <v>2886400</v>
      </c>
      <c r="H143">
        <v>7122499.9999999991</v>
      </c>
    </row>
    <row r="144" spans="1:8" x14ac:dyDescent="0.3">
      <c r="A144">
        <v>51055594</v>
      </c>
      <c r="B144" t="str">
        <f>VLOOKUP(A144,VENTAS!$A$2:$B$1195,2,0)</f>
        <v>PUGH</v>
      </c>
      <c r="C144">
        <v>2148000</v>
      </c>
      <c r="D144">
        <v>5018800</v>
      </c>
      <c r="E144">
        <v>2768800</v>
      </c>
      <c r="F144">
        <v>6930000</v>
      </c>
      <c r="G144">
        <v>4003200</v>
      </c>
      <c r="H144">
        <v>7047500</v>
      </c>
    </row>
    <row r="145" spans="1:8" x14ac:dyDescent="0.3">
      <c r="A145">
        <v>51056132</v>
      </c>
      <c r="B145" t="str">
        <f>VLOOKUP(A145,VENTAS!$A$2:$B$1195,2,0)</f>
        <v>ROBERTS</v>
      </c>
      <c r="C145">
        <v>2324600</v>
      </c>
      <c r="D145">
        <v>4939600</v>
      </c>
      <c r="E145">
        <v>3022400</v>
      </c>
      <c r="F145">
        <v>5784000</v>
      </c>
      <c r="G145">
        <v>4369600</v>
      </c>
      <c r="H145">
        <v>7027500</v>
      </c>
    </row>
    <row r="146" spans="1:8" x14ac:dyDescent="0.3">
      <c r="A146">
        <v>51010728</v>
      </c>
      <c r="B146" t="str">
        <f>VLOOKUP(A146,VENTAS!$A$2:$B$1195,2,0)</f>
        <v>PUGH</v>
      </c>
      <c r="C146">
        <v>1366400</v>
      </c>
      <c r="D146">
        <v>4496400</v>
      </c>
      <c r="E146">
        <v>1936800</v>
      </c>
      <c r="F146">
        <v>5720000</v>
      </c>
      <c r="G146">
        <v>2376000</v>
      </c>
      <c r="H146">
        <v>7010000</v>
      </c>
    </row>
    <row r="147" spans="1:8" x14ac:dyDescent="0.3">
      <c r="A147">
        <v>51003730</v>
      </c>
      <c r="B147" t="str">
        <f>VLOOKUP(A147,VENTAS!$A$2:$B$1195,2,0)</f>
        <v>BELUZZO</v>
      </c>
      <c r="C147">
        <v>1942400</v>
      </c>
      <c r="D147">
        <v>4616400</v>
      </c>
      <c r="E147">
        <v>2532000</v>
      </c>
      <c r="F147">
        <v>5374000</v>
      </c>
      <c r="G147">
        <v>3793600</v>
      </c>
      <c r="H147">
        <v>6987500</v>
      </c>
    </row>
    <row r="148" spans="1:8" x14ac:dyDescent="0.3">
      <c r="A148">
        <v>51052072</v>
      </c>
      <c r="B148" t="str">
        <f>VLOOKUP(A148,VENTAS!$A$2:$B$1195,2,0)</f>
        <v>NELLI</v>
      </c>
      <c r="C148">
        <v>1724600</v>
      </c>
      <c r="D148">
        <v>3996800</v>
      </c>
      <c r="E148">
        <v>2378200</v>
      </c>
      <c r="F148">
        <v>5232000</v>
      </c>
      <c r="G148">
        <v>3272000</v>
      </c>
      <c r="H148">
        <v>6985000</v>
      </c>
    </row>
    <row r="149" spans="1:8" x14ac:dyDescent="0.3">
      <c r="A149">
        <v>51010710</v>
      </c>
      <c r="B149" t="str">
        <f>VLOOKUP(A149,VENTAS!$A$2:$B$1195,2,0)</f>
        <v>ARGUELLO</v>
      </c>
      <c r="C149">
        <v>1513800</v>
      </c>
      <c r="D149">
        <v>3434800</v>
      </c>
      <c r="E149">
        <v>2025400</v>
      </c>
      <c r="F149">
        <v>3710000</v>
      </c>
      <c r="G149">
        <v>2988800</v>
      </c>
      <c r="H149">
        <v>6982500.0000000009</v>
      </c>
    </row>
    <row r="150" spans="1:8" x14ac:dyDescent="0.3">
      <c r="A150">
        <v>51004027</v>
      </c>
      <c r="B150" t="str">
        <f>VLOOKUP(A150,VENTAS!$A$2:$B$1195,2,0)</f>
        <v>AYALA</v>
      </c>
      <c r="C150">
        <v>2007600</v>
      </c>
      <c r="D150">
        <v>4896400</v>
      </c>
      <c r="E150">
        <v>2872400</v>
      </c>
      <c r="F150">
        <v>6000000</v>
      </c>
      <c r="G150">
        <v>4067200</v>
      </c>
      <c r="H150">
        <v>6962500.0000000009</v>
      </c>
    </row>
    <row r="151" spans="1:8" x14ac:dyDescent="0.3">
      <c r="A151">
        <v>51036310</v>
      </c>
      <c r="B151" t="str">
        <f>VLOOKUP(A151,VENTAS!$A$2:$B$1195,2,0)</f>
        <v>PRADES</v>
      </c>
      <c r="C151">
        <v>1979000</v>
      </c>
      <c r="D151">
        <v>4101600</v>
      </c>
      <c r="E151">
        <v>2468400</v>
      </c>
      <c r="F151">
        <v>6262000</v>
      </c>
      <c r="G151">
        <v>3787200</v>
      </c>
      <c r="H151">
        <v>6957500</v>
      </c>
    </row>
    <row r="152" spans="1:8" x14ac:dyDescent="0.3">
      <c r="A152">
        <v>51040848</v>
      </c>
      <c r="B152" t="str">
        <f>VLOOKUP(A152,VENTAS!$A$2:$B$1195,2,0)</f>
        <v>ROBERTS</v>
      </c>
      <c r="C152">
        <v>2293000</v>
      </c>
      <c r="D152">
        <v>5037600</v>
      </c>
      <c r="E152">
        <v>2944200</v>
      </c>
      <c r="F152">
        <v>5652000</v>
      </c>
      <c r="G152">
        <v>4300800</v>
      </c>
      <c r="H152">
        <v>6952500</v>
      </c>
    </row>
    <row r="153" spans="1:8" x14ac:dyDescent="0.3">
      <c r="A153">
        <v>51013794</v>
      </c>
      <c r="B153" t="str">
        <f>VLOOKUP(A153,VENTAS!$A$2:$B$1195,2,0)</f>
        <v>NELLI</v>
      </c>
      <c r="C153">
        <v>1445400</v>
      </c>
      <c r="D153">
        <v>3540800</v>
      </c>
      <c r="E153">
        <v>2083600</v>
      </c>
      <c r="F153">
        <v>4986000</v>
      </c>
      <c r="G153">
        <v>4300800</v>
      </c>
      <c r="H153">
        <v>6922500</v>
      </c>
    </row>
    <row r="154" spans="1:8" x14ac:dyDescent="0.3">
      <c r="A154">
        <v>51024001</v>
      </c>
      <c r="B154" t="str">
        <f>VLOOKUP(A154,VENTAS!$A$2:$B$1195,2,0)</f>
        <v>ROBERTS</v>
      </c>
      <c r="C154">
        <v>2054800</v>
      </c>
      <c r="D154">
        <v>4084800</v>
      </c>
      <c r="E154">
        <v>2913000</v>
      </c>
      <c r="F154">
        <v>5162000</v>
      </c>
      <c r="G154">
        <v>3776000</v>
      </c>
      <c r="H154">
        <v>6847500</v>
      </c>
    </row>
    <row r="155" spans="1:8" x14ac:dyDescent="0.3">
      <c r="A155">
        <v>51012020</v>
      </c>
      <c r="B155" t="str">
        <f>VLOOKUP(A155,VENTAS!$A$2:$B$1195,2,0)</f>
        <v>PRADES</v>
      </c>
      <c r="C155">
        <v>1591800</v>
      </c>
      <c r="D155">
        <v>4403600</v>
      </c>
      <c r="E155">
        <v>2198600</v>
      </c>
      <c r="F155">
        <v>6084000</v>
      </c>
      <c r="G155">
        <v>3185600</v>
      </c>
      <c r="H155">
        <v>6810000</v>
      </c>
    </row>
    <row r="156" spans="1:8" x14ac:dyDescent="0.3">
      <c r="A156">
        <v>51020600</v>
      </c>
      <c r="B156" t="str">
        <f>VLOOKUP(A156,VENTAS!$A$2:$B$1195,2,0)</f>
        <v>PRADES</v>
      </c>
      <c r="C156">
        <v>1070400</v>
      </c>
      <c r="D156">
        <v>3140400</v>
      </c>
      <c r="E156">
        <v>1580600</v>
      </c>
      <c r="F156">
        <v>4376000</v>
      </c>
      <c r="G156">
        <v>2505600</v>
      </c>
      <c r="H156">
        <v>6802500</v>
      </c>
    </row>
    <row r="157" spans="1:8" x14ac:dyDescent="0.3">
      <c r="A157">
        <v>51015258</v>
      </c>
      <c r="B157" t="str">
        <f>VLOOKUP(A157,VENTAS!$A$2:$B$1195,2,0)</f>
        <v>MONTENEGRO</v>
      </c>
      <c r="C157">
        <v>1884000</v>
      </c>
      <c r="D157">
        <v>4164800</v>
      </c>
      <c r="E157">
        <v>2191000</v>
      </c>
      <c r="F157">
        <v>5198000</v>
      </c>
      <c r="G157">
        <v>3952000</v>
      </c>
      <c r="H157">
        <v>6800000</v>
      </c>
    </row>
    <row r="158" spans="1:8" x14ac:dyDescent="0.3">
      <c r="A158">
        <v>51020316</v>
      </c>
      <c r="B158" t="str">
        <f>VLOOKUP(A158,VENTAS!$A$2:$B$1195,2,0)</f>
        <v>BELUZZO</v>
      </c>
      <c r="C158">
        <v>1725200</v>
      </c>
      <c r="D158">
        <v>3962000</v>
      </c>
      <c r="E158">
        <v>2512800</v>
      </c>
      <c r="F158">
        <v>5162000</v>
      </c>
      <c r="G158">
        <v>3488000</v>
      </c>
      <c r="H158">
        <v>6797500</v>
      </c>
    </row>
    <row r="159" spans="1:8" x14ac:dyDescent="0.3">
      <c r="A159">
        <v>51017552</v>
      </c>
      <c r="B159" t="str">
        <f>VLOOKUP(A159,VENTAS!$A$2:$B$1195,2,0)</f>
        <v>PRADES</v>
      </c>
      <c r="C159">
        <v>1242800</v>
      </c>
      <c r="D159">
        <v>4293600</v>
      </c>
      <c r="E159">
        <v>1845000</v>
      </c>
      <c r="F159">
        <v>6308000</v>
      </c>
      <c r="G159">
        <v>3084800</v>
      </c>
      <c r="H159">
        <v>6790000</v>
      </c>
    </row>
    <row r="160" spans="1:8" x14ac:dyDescent="0.3">
      <c r="A160">
        <v>51034236</v>
      </c>
      <c r="B160" t="str">
        <f>VLOOKUP(A160,VENTAS!$A$2:$B$1195,2,0)</f>
        <v>CICHETTO</v>
      </c>
      <c r="C160">
        <v>1486400</v>
      </c>
      <c r="D160">
        <v>3496400</v>
      </c>
      <c r="E160">
        <v>2222200</v>
      </c>
      <c r="F160">
        <v>4848000</v>
      </c>
      <c r="G160">
        <v>3724800</v>
      </c>
      <c r="H160">
        <v>6787500</v>
      </c>
    </row>
    <row r="161" spans="1:8" x14ac:dyDescent="0.3">
      <c r="A161">
        <v>51011724</v>
      </c>
      <c r="B161" t="str">
        <f>VLOOKUP(A161,VENTAS!$A$2:$B$1195,2,0)</f>
        <v>NELLI</v>
      </c>
      <c r="C161">
        <v>2027800</v>
      </c>
      <c r="D161">
        <v>4852800</v>
      </c>
      <c r="E161">
        <v>2961800</v>
      </c>
      <c r="F161">
        <v>5570000</v>
      </c>
      <c r="G161">
        <v>4092800</v>
      </c>
      <c r="H161">
        <v>6750000</v>
      </c>
    </row>
    <row r="162" spans="1:8" x14ac:dyDescent="0.3">
      <c r="A162">
        <v>51015487</v>
      </c>
      <c r="B162" t="str">
        <f>VLOOKUP(A162,VENTAS!$A$2:$B$1195,2,0)</f>
        <v>LÓPEZ</v>
      </c>
      <c r="C162">
        <v>1656400</v>
      </c>
      <c r="D162">
        <v>3858400</v>
      </c>
      <c r="E162">
        <v>2160400</v>
      </c>
      <c r="F162">
        <v>4916000</v>
      </c>
      <c r="G162">
        <v>3164800</v>
      </c>
      <c r="H162">
        <v>6725000</v>
      </c>
    </row>
    <row r="163" spans="1:8" x14ac:dyDescent="0.3">
      <c r="A163">
        <v>51014022</v>
      </c>
      <c r="B163" t="str">
        <f>VLOOKUP(A163,VENTAS!$A$2:$B$1195,2,0)</f>
        <v>NELLI</v>
      </c>
      <c r="C163">
        <v>1443600</v>
      </c>
      <c r="D163">
        <v>3925200</v>
      </c>
      <c r="E163">
        <v>2570400</v>
      </c>
      <c r="F163">
        <v>5658000</v>
      </c>
      <c r="G163">
        <v>3460800</v>
      </c>
      <c r="H163">
        <v>6717500</v>
      </c>
    </row>
    <row r="164" spans="1:8" x14ac:dyDescent="0.3">
      <c r="A164">
        <v>51020014</v>
      </c>
      <c r="B164" t="str">
        <f>VLOOKUP(A164,VENTAS!$A$2:$B$1195,2,0)</f>
        <v>PRADES</v>
      </c>
      <c r="C164">
        <v>1226400</v>
      </c>
      <c r="D164">
        <v>3640800</v>
      </c>
      <c r="E164">
        <v>1883400</v>
      </c>
      <c r="F164">
        <v>5150000</v>
      </c>
      <c r="G164">
        <v>2812800</v>
      </c>
      <c r="H164">
        <v>6717500</v>
      </c>
    </row>
    <row r="165" spans="1:8" x14ac:dyDescent="0.3">
      <c r="A165">
        <v>51011147</v>
      </c>
      <c r="B165" t="str">
        <f>VLOOKUP(A165,VENTAS!$A$2:$B$1195,2,0)</f>
        <v>ROBERTS</v>
      </c>
      <c r="C165">
        <v>2110200</v>
      </c>
      <c r="D165">
        <v>4335600</v>
      </c>
      <c r="E165">
        <v>2717000</v>
      </c>
      <c r="F165">
        <v>5110000</v>
      </c>
      <c r="G165">
        <v>4156800</v>
      </c>
      <c r="H165">
        <v>6707500</v>
      </c>
    </row>
    <row r="166" spans="1:8" x14ac:dyDescent="0.3">
      <c r="A166">
        <v>51028040</v>
      </c>
      <c r="B166" t="str">
        <f>VLOOKUP(A166,VENTAS!$A$2:$B$1195,2,0)</f>
        <v>PRADES</v>
      </c>
      <c r="C166">
        <v>1658400</v>
      </c>
      <c r="D166">
        <v>4464000</v>
      </c>
      <c r="E166">
        <v>2116000</v>
      </c>
      <c r="F166">
        <v>5244000</v>
      </c>
      <c r="G166">
        <v>3067200</v>
      </c>
      <c r="H166">
        <v>6705000</v>
      </c>
    </row>
    <row r="167" spans="1:8" x14ac:dyDescent="0.3">
      <c r="A167">
        <v>51016149</v>
      </c>
      <c r="B167" t="str">
        <f>VLOOKUP(A167,VENTAS!$A$2:$B$1195,2,0)</f>
        <v>PRADES</v>
      </c>
      <c r="C167">
        <v>1984000</v>
      </c>
      <c r="D167">
        <v>5716400</v>
      </c>
      <c r="E167">
        <v>2992000</v>
      </c>
      <c r="F167">
        <v>5762000</v>
      </c>
      <c r="G167">
        <v>4107200</v>
      </c>
      <c r="H167">
        <v>6700000</v>
      </c>
    </row>
    <row r="168" spans="1:8" x14ac:dyDescent="0.3">
      <c r="A168">
        <v>51054814</v>
      </c>
      <c r="B168" t="str">
        <f>VLOOKUP(A168,VENTAS!$A$2:$B$1195,2,0)</f>
        <v>ROBERTS</v>
      </c>
      <c r="C168">
        <v>1532000</v>
      </c>
      <c r="D168">
        <v>3572000</v>
      </c>
      <c r="E168">
        <v>1953000</v>
      </c>
      <c r="F168">
        <v>4240000</v>
      </c>
      <c r="G168">
        <v>2785600</v>
      </c>
      <c r="H168">
        <v>6690000</v>
      </c>
    </row>
    <row r="169" spans="1:8" x14ac:dyDescent="0.3">
      <c r="A169">
        <v>51011031</v>
      </c>
      <c r="B169" t="str">
        <f>VLOOKUP(A169,VENTAS!$A$2:$B$1195,2,0)</f>
        <v>PUGH</v>
      </c>
      <c r="C169">
        <v>1399200</v>
      </c>
      <c r="D169">
        <v>3387600</v>
      </c>
      <c r="E169">
        <v>2016400</v>
      </c>
      <c r="F169">
        <v>4968000</v>
      </c>
      <c r="G169">
        <v>2776000</v>
      </c>
      <c r="H169">
        <v>6682500</v>
      </c>
    </row>
    <row r="170" spans="1:8" x14ac:dyDescent="0.3">
      <c r="A170">
        <v>51017820</v>
      </c>
      <c r="B170" t="str">
        <f>VLOOKUP(A170,VENTAS!$A$2:$B$1195,2,0)</f>
        <v>MONTENEGRO</v>
      </c>
      <c r="C170">
        <v>1980200</v>
      </c>
      <c r="D170">
        <v>4178800</v>
      </c>
      <c r="E170">
        <v>2585400</v>
      </c>
      <c r="F170">
        <v>5414000</v>
      </c>
      <c r="G170">
        <v>3377600</v>
      </c>
      <c r="H170">
        <v>6682500</v>
      </c>
    </row>
    <row r="171" spans="1:8" x14ac:dyDescent="0.3">
      <c r="A171">
        <v>51018991</v>
      </c>
      <c r="B171" t="str">
        <f>VLOOKUP(A171,VENTAS!$A$2:$B$1195,2,0)</f>
        <v>PRADES</v>
      </c>
      <c r="C171">
        <v>9459200</v>
      </c>
      <c r="D171">
        <v>5597200</v>
      </c>
      <c r="E171">
        <v>6289000</v>
      </c>
      <c r="F171">
        <v>5432000</v>
      </c>
      <c r="G171">
        <v>7134400</v>
      </c>
      <c r="H171">
        <v>6680000</v>
      </c>
    </row>
    <row r="172" spans="1:8" x14ac:dyDescent="0.3">
      <c r="A172">
        <v>51032322</v>
      </c>
      <c r="B172" t="str">
        <f>VLOOKUP(A172,VENTAS!$A$2:$B$1195,2,0)</f>
        <v>LÓPEZ</v>
      </c>
      <c r="C172">
        <v>1072400</v>
      </c>
      <c r="D172">
        <v>2500800</v>
      </c>
      <c r="E172">
        <v>1618600</v>
      </c>
      <c r="F172">
        <v>4586000</v>
      </c>
      <c r="G172">
        <v>2307200</v>
      </c>
      <c r="H172">
        <v>6657500</v>
      </c>
    </row>
    <row r="173" spans="1:8" x14ac:dyDescent="0.3">
      <c r="A173">
        <v>51021576</v>
      </c>
      <c r="B173" t="str">
        <f>VLOOKUP(A173,VENTAS!$A$2:$B$1195,2,0)</f>
        <v>PUGH</v>
      </c>
      <c r="C173">
        <v>2365200</v>
      </c>
      <c r="D173">
        <v>4725600</v>
      </c>
      <c r="E173">
        <v>3347800</v>
      </c>
      <c r="F173">
        <v>5702000</v>
      </c>
      <c r="G173">
        <v>4432000</v>
      </c>
      <c r="H173">
        <v>6655000</v>
      </c>
    </row>
    <row r="174" spans="1:8" x14ac:dyDescent="0.3">
      <c r="A174">
        <v>51011864</v>
      </c>
      <c r="B174" t="str">
        <f>VLOOKUP(A174,VENTAS!$A$2:$B$1195,2,0)</f>
        <v>CICHETTO</v>
      </c>
      <c r="C174">
        <v>1814600</v>
      </c>
      <c r="D174">
        <v>4995200</v>
      </c>
      <c r="E174">
        <v>2600200</v>
      </c>
      <c r="F174">
        <v>5658000</v>
      </c>
      <c r="G174">
        <v>4088000</v>
      </c>
      <c r="H174">
        <v>6652500</v>
      </c>
    </row>
    <row r="175" spans="1:8" x14ac:dyDescent="0.3">
      <c r="A175">
        <v>51035674</v>
      </c>
      <c r="B175" t="str">
        <f>VLOOKUP(A175,VENTAS!$A$2:$B$1195,2,0)</f>
        <v>CICHETTO</v>
      </c>
      <c r="C175">
        <v>2015400</v>
      </c>
      <c r="D175">
        <v>4427600</v>
      </c>
      <c r="E175">
        <v>2475000</v>
      </c>
      <c r="F175">
        <v>5114000</v>
      </c>
      <c r="G175">
        <v>3454400</v>
      </c>
      <c r="H175">
        <v>6645000</v>
      </c>
    </row>
    <row r="176" spans="1:8" x14ac:dyDescent="0.3">
      <c r="A176">
        <v>51013930</v>
      </c>
      <c r="B176" t="str">
        <f>VLOOKUP(A176,VENTAS!$A$2:$B$1195,2,0)</f>
        <v>NELLI</v>
      </c>
      <c r="C176">
        <v>1655200</v>
      </c>
      <c r="D176">
        <v>3216400</v>
      </c>
      <c r="E176">
        <v>1928600</v>
      </c>
      <c r="F176">
        <v>4484000</v>
      </c>
      <c r="G176">
        <v>2942400</v>
      </c>
      <c r="H176">
        <v>6617500</v>
      </c>
    </row>
    <row r="177" spans="1:8" x14ac:dyDescent="0.3">
      <c r="A177">
        <v>51022696</v>
      </c>
      <c r="B177" t="str">
        <f>VLOOKUP(A177,VENTAS!$A$2:$B$1195,2,0)</f>
        <v>MONTENEGRO</v>
      </c>
      <c r="C177">
        <v>1650200</v>
      </c>
      <c r="D177">
        <v>4207600</v>
      </c>
      <c r="E177">
        <v>2272400</v>
      </c>
      <c r="F177">
        <v>5056000</v>
      </c>
      <c r="G177">
        <v>3176000</v>
      </c>
      <c r="H177">
        <v>6600000</v>
      </c>
    </row>
    <row r="178" spans="1:8" x14ac:dyDescent="0.3">
      <c r="A178">
        <v>51017145</v>
      </c>
      <c r="B178" t="str">
        <f>VLOOKUP(A178,VENTAS!$A$2:$B$1195,2,0)</f>
        <v>ARGUELLO</v>
      </c>
      <c r="C178">
        <v>1457000</v>
      </c>
      <c r="D178">
        <v>4117600</v>
      </c>
      <c r="E178">
        <v>2458200</v>
      </c>
      <c r="F178">
        <v>4938000</v>
      </c>
      <c r="G178">
        <v>3452800</v>
      </c>
      <c r="H178">
        <v>6575000</v>
      </c>
    </row>
    <row r="179" spans="1:8" x14ac:dyDescent="0.3">
      <c r="A179">
        <v>51036247</v>
      </c>
      <c r="B179" t="str">
        <f>VLOOKUP(A179,VENTAS!$A$2:$B$1195,2,0)</f>
        <v>LÓPEZ</v>
      </c>
      <c r="C179">
        <v>2092200</v>
      </c>
      <c r="D179">
        <v>3866000</v>
      </c>
      <c r="E179">
        <v>2770200</v>
      </c>
      <c r="F179">
        <v>5306000</v>
      </c>
      <c r="G179">
        <v>3860800</v>
      </c>
      <c r="H179">
        <v>6517500</v>
      </c>
    </row>
    <row r="180" spans="1:8" x14ac:dyDescent="0.3">
      <c r="A180">
        <v>51021843</v>
      </c>
      <c r="B180" t="str">
        <f>VLOOKUP(A180,VENTAS!$A$2:$B$1195,2,0)</f>
        <v>PRADES</v>
      </c>
      <c r="C180">
        <v>2069800</v>
      </c>
      <c r="D180">
        <v>4719600</v>
      </c>
      <c r="E180">
        <v>2914400</v>
      </c>
      <c r="F180">
        <v>5160000</v>
      </c>
      <c r="G180">
        <v>4046400</v>
      </c>
      <c r="H180">
        <v>6505000</v>
      </c>
    </row>
    <row r="181" spans="1:8" x14ac:dyDescent="0.3">
      <c r="A181">
        <v>51032110</v>
      </c>
      <c r="B181" t="str">
        <f>VLOOKUP(A181,VENTAS!$A$2:$B$1195,2,0)</f>
        <v>ROBERTS</v>
      </c>
      <c r="C181">
        <v>1489000</v>
      </c>
      <c r="D181">
        <v>3772800</v>
      </c>
      <c r="E181">
        <v>1751000</v>
      </c>
      <c r="F181">
        <v>5256000</v>
      </c>
      <c r="G181">
        <v>2585600</v>
      </c>
      <c r="H181">
        <v>6505000</v>
      </c>
    </row>
    <row r="182" spans="1:8" x14ac:dyDescent="0.3">
      <c r="A182">
        <v>51021983</v>
      </c>
      <c r="B182" t="str">
        <f>VLOOKUP(A182,VENTAS!$A$2:$B$1195,2,0)</f>
        <v>NELLI</v>
      </c>
      <c r="C182">
        <v>1813400</v>
      </c>
      <c r="D182">
        <v>4262400</v>
      </c>
      <c r="E182">
        <v>2480800</v>
      </c>
      <c r="F182">
        <v>5012000</v>
      </c>
      <c r="G182">
        <v>3830400</v>
      </c>
      <c r="H182">
        <v>6499999.9999999991</v>
      </c>
    </row>
    <row r="183" spans="1:8" x14ac:dyDescent="0.3">
      <c r="A183">
        <v>51009061</v>
      </c>
      <c r="B183" t="str">
        <f>VLOOKUP(A183,VENTAS!$A$2:$B$1195,2,0)</f>
        <v>NELLI</v>
      </c>
      <c r="C183">
        <v>1770600</v>
      </c>
      <c r="D183">
        <v>3620000</v>
      </c>
      <c r="E183">
        <v>2210000</v>
      </c>
      <c r="F183">
        <v>5138000</v>
      </c>
      <c r="G183">
        <v>3323200</v>
      </c>
      <c r="H183">
        <v>6487500</v>
      </c>
    </row>
    <row r="184" spans="1:8" x14ac:dyDescent="0.3">
      <c r="A184">
        <v>51024591</v>
      </c>
      <c r="B184" t="str">
        <f>VLOOKUP(A184,VENTAS!$A$2:$B$1195,2,0)</f>
        <v>ROBERTS</v>
      </c>
      <c r="C184">
        <v>2335200</v>
      </c>
      <c r="D184">
        <v>4424800</v>
      </c>
      <c r="E184">
        <v>2852200</v>
      </c>
      <c r="F184">
        <v>5352000</v>
      </c>
      <c r="G184">
        <v>3921600</v>
      </c>
      <c r="H184">
        <v>6487500</v>
      </c>
    </row>
    <row r="185" spans="1:8" x14ac:dyDescent="0.3">
      <c r="A185">
        <v>51033302</v>
      </c>
      <c r="B185" t="str">
        <f>VLOOKUP(A185,VENTAS!$A$2:$B$1195,2,0)</f>
        <v>ARGUELLO</v>
      </c>
      <c r="C185">
        <v>2109600</v>
      </c>
      <c r="D185">
        <v>4274000</v>
      </c>
      <c r="E185">
        <v>2525000</v>
      </c>
      <c r="F185">
        <v>4580000</v>
      </c>
      <c r="G185">
        <v>3555200</v>
      </c>
      <c r="H185">
        <v>6477500</v>
      </c>
    </row>
    <row r="186" spans="1:8" x14ac:dyDescent="0.3">
      <c r="A186">
        <v>51006615</v>
      </c>
      <c r="B186" t="str">
        <f>VLOOKUP(A186,VENTAS!$A$2:$B$1195,2,0)</f>
        <v>MONTENEGRO</v>
      </c>
      <c r="C186">
        <v>1216600</v>
      </c>
      <c r="D186">
        <v>3584400</v>
      </c>
      <c r="E186">
        <v>1755000</v>
      </c>
      <c r="F186">
        <v>4694000</v>
      </c>
      <c r="G186">
        <v>2704000</v>
      </c>
      <c r="H186">
        <v>6427500</v>
      </c>
    </row>
    <row r="187" spans="1:8" x14ac:dyDescent="0.3">
      <c r="A187">
        <v>51032136</v>
      </c>
      <c r="B187" t="str">
        <f>VLOOKUP(A187,VENTAS!$A$2:$B$1195,2,0)</f>
        <v>ROBERTS</v>
      </c>
      <c r="C187">
        <v>1860400</v>
      </c>
      <c r="D187">
        <v>3330400</v>
      </c>
      <c r="E187">
        <v>2754400</v>
      </c>
      <c r="F187">
        <v>3906000</v>
      </c>
      <c r="G187">
        <v>3588800</v>
      </c>
      <c r="H187">
        <v>6405000</v>
      </c>
    </row>
    <row r="188" spans="1:8" x14ac:dyDescent="0.3">
      <c r="A188">
        <v>51024940</v>
      </c>
      <c r="B188" t="str">
        <f>VLOOKUP(A188,VENTAS!$A$2:$B$1195,2,0)</f>
        <v>CICHETTO</v>
      </c>
      <c r="C188">
        <v>1568600</v>
      </c>
      <c r="D188">
        <v>3594800</v>
      </c>
      <c r="E188">
        <v>2505600</v>
      </c>
      <c r="F188">
        <v>5200000</v>
      </c>
      <c r="G188">
        <v>3273600</v>
      </c>
      <c r="H188">
        <v>6400000.0000000009</v>
      </c>
    </row>
    <row r="189" spans="1:8" x14ac:dyDescent="0.3">
      <c r="A189">
        <v>51031768</v>
      </c>
      <c r="B189" t="str">
        <f>VLOOKUP(A189,VENTAS!$A$2:$B$1195,2,0)</f>
        <v>LÓPEZ</v>
      </c>
      <c r="C189">
        <v>1390000</v>
      </c>
      <c r="D189">
        <v>3970800</v>
      </c>
      <c r="E189">
        <v>2497200</v>
      </c>
      <c r="F189">
        <v>5952000</v>
      </c>
      <c r="G189">
        <v>3595200</v>
      </c>
      <c r="H189">
        <v>6355000</v>
      </c>
    </row>
    <row r="190" spans="1:8" x14ac:dyDescent="0.3">
      <c r="A190">
        <v>51022688</v>
      </c>
      <c r="B190" t="str">
        <f>VLOOKUP(A190,VENTAS!$A$2:$B$1195,2,0)</f>
        <v>NELLI</v>
      </c>
      <c r="C190">
        <v>1671600</v>
      </c>
      <c r="D190">
        <v>3666000</v>
      </c>
      <c r="E190">
        <v>2176000</v>
      </c>
      <c r="F190">
        <v>4904000</v>
      </c>
      <c r="G190">
        <v>3219200</v>
      </c>
      <c r="H190">
        <v>6335000</v>
      </c>
    </row>
    <row r="191" spans="1:8" x14ac:dyDescent="0.3">
      <c r="A191">
        <v>51003365</v>
      </c>
      <c r="B191" t="str">
        <f>VLOOKUP(A191,VENTAS!$A$2:$B$1195,2,0)</f>
        <v>ARGUELLO</v>
      </c>
      <c r="C191">
        <v>1613400</v>
      </c>
      <c r="D191">
        <v>3772000</v>
      </c>
      <c r="E191">
        <v>2365000</v>
      </c>
      <c r="F191">
        <v>4416000</v>
      </c>
      <c r="G191">
        <v>3281600</v>
      </c>
      <c r="H191">
        <v>6325000</v>
      </c>
    </row>
    <row r="192" spans="1:8" x14ac:dyDescent="0.3">
      <c r="A192">
        <v>51017641</v>
      </c>
      <c r="B192" t="str">
        <f>VLOOKUP(A192,VENTAS!$A$2:$B$1195,2,0)</f>
        <v>METTLER</v>
      </c>
      <c r="C192">
        <v>1720400</v>
      </c>
      <c r="D192">
        <v>4471600</v>
      </c>
      <c r="E192">
        <v>2487200</v>
      </c>
      <c r="F192">
        <v>5068000</v>
      </c>
      <c r="G192">
        <v>3596800</v>
      </c>
      <c r="H192">
        <v>6300000</v>
      </c>
    </row>
    <row r="193" spans="1:8" x14ac:dyDescent="0.3">
      <c r="A193">
        <v>51010752</v>
      </c>
      <c r="B193" t="str">
        <f>VLOOKUP(A193,VENTAS!$A$2:$B$1195,2,0)</f>
        <v>ARGUELLO</v>
      </c>
      <c r="C193">
        <v>1801400</v>
      </c>
      <c r="D193">
        <v>4470800</v>
      </c>
      <c r="E193">
        <v>2413400</v>
      </c>
      <c r="F193">
        <v>4948000</v>
      </c>
      <c r="G193">
        <v>3828800</v>
      </c>
      <c r="H193">
        <v>6277500</v>
      </c>
    </row>
    <row r="194" spans="1:8" x14ac:dyDescent="0.3">
      <c r="A194">
        <v>51019946</v>
      </c>
      <c r="B194" t="str">
        <f>VLOOKUP(A194,VENTAS!$A$2:$B$1195,2,0)</f>
        <v>METTLER</v>
      </c>
      <c r="C194">
        <v>2197000</v>
      </c>
      <c r="D194">
        <v>4462400</v>
      </c>
      <c r="E194">
        <v>3015600</v>
      </c>
      <c r="F194">
        <v>5226000</v>
      </c>
      <c r="G194">
        <v>3864000</v>
      </c>
      <c r="H194">
        <v>6250000</v>
      </c>
    </row>
    <row r="195" spans="1:8" x14ac:dyDescent="0.3">
      <c r="A195">
        <v>51023064</v>
      </c>
      <c r="B195" t="str">
        <f>VLOOKUP(A195,VENTAS!$A$2:$B$1195,2,0)</f>
        <v>CICHETTO</v>
      </c>
      <c r="C195">
        <v>2032400</v>
      </c>
      <c r="D195">
        <v>4670000</v>
      </c>
      <c r="E195">
        <v>2667600</v>
      </c>
      <c r="F195">
        <v>5534000</v>
      </c>
      <c r="G195">
        <v>3632000</v>
      </c>
      <c r="H195">
        <v>6250000</v>
      </c>
    </row>
    <row r="196" spans="1:8" x14ac:dyDescent="0.3">
      <c r="A196">
        <v>51023421</v>
      </c>
      <c r="B196" t="str">
        <f>VLOOKUP(A196,VENTAS!$A$2:$B$1195,2,0)</f>
        <v>LÓPEZ</v>
      </c>
      <c r="C196">
        <v>1878600</v>
      </c>
      <c r="D196">
        <v>4229600</v>
      </c>
      <c r="E196">
        <v>2580600</v>
      </c>
      <c r="F196">
        <v>4734000</v>
      </c>
      <c r="G196">
        <v>3512000</v>
      </c>
      <c r="H196">
        <v>6245000</v>
      </c>
    </row>
    <row r="197" spans="1:8" x14ac:dyDescent="0.3">
      <c r="A197">
        <v>51015533</v>
      </c>
      <c r="B197" t="str">
        <f>VLOOKUP(A197,VENTAS!$A$2:$B$1195,2,0)</f>
        <v>ARGUELLO</v>
      </c>
      <c r="C197">
        <v>2095200</v>
      </c>
      <c r="D197">
        <v>3812000</v>
      </c>
      <c r="E197">
        <v>2510800</v>
      </c>
      <c r="F197">
        <v>5778000</v>
      </c>
      <c r="G197">
        <v>3393600</v>
      </c>
      <c r="H197">
        <v>6240000</v>
      </c>
    </row>
    <row r="198" spans="1:8" x14ac:dyDescent="0.3">
      <c r="A198">
        <v>51034317</v>
      </c>
      <c r="B198" t="str">
        <f>VLOOKUP(A198,VENTAS!$A$2:$B$1195,2,0)</f>
        <v>ARGUELLO</v>
      </c>
      <c r="C198">
        <v>1570000</v>
      </c>
      <c r="D198">
        <v>3795600</v>
      </c>
      <c r="E198">
        <v>2284800</v>
      </c>
      <c r="F198">
        <v>4494000</v>
      </c>
      <c r="G198">
        <v>3601600</v>
      </c>
      <c r="H198">
        <v>6235000</v>
      </c>
    </row>
    <row r="199" spans="1:8" x14ac:dyDescent="0.3">
      <c r="A199">
        <v>51056469</v>
      </c>
      <c r="B199" t="str">
        <f>VLOOKUP(A199,VENTAS!$A$2:$B$1195,2,0)</f>
        <v>ROBERTS</v>
      </c>
      <c r="C199">
        <v>1569800</v>
      </c>
      <c r="D199">
        <v>3204000</v>
      </c>
      <c r="E199">
        <v>2608000</v>
      </c>
      <c r="F199">
        <v>5058000</v>
      </c>
      <c r="G199">
        <v>2928000</v>
      </c>
      <c r="H199">
        <v>6227500</v>
      </c>
    </row>
    <row r="200" spans="1:8" x14ac:dyDescent="0.3">
      <c r="A200">
        <v>51010019</v>
      </c>
      <c r="B200" t="str">
        <f>VLOOKUP(A200,VENTAS!$A$2:$B$1195,2,0)</f>
        <v>LÓPEZ</v>
      </c>
      <c r="C200">
        <v>1705400</v>
      </c>
      <c r="D200">
        <v>4781600</v>
      </c>
      <c r="E200">
        <v>2488800</v>
      </c>
      <c r="F200">
        <v>6086000</v>
      </c>
      <c r="G200">
        <v>3545600</v>
      </c>
      <c r="H200">
        <v>6225000</v>
      </c>
    </row>
    <row r="201" spans="1:8" x14ac:dyDescent="0.3">
      <c r="A201">
        <v>51021851</v>
      </c>
      <c r="B201" t="str">
        <f>VLOOKUP(A201,VENTAS!$A$2:$B$1195,2,0)</f>
        <v>AYALA</v>
      </c>
      <c r="C201">
        <v>1583200</v>
      </c>
      <c r="D201">
        <v>2817200</v>
      </c>
      <c r="E201">
        <v>1912800</v>
      </c>
      <c r="F201">
        <v>4170000</v>
      </c>
      <c r="G201">
        <v>2417600</v>
      </c>
      <c r="H201">
        <v>6210000</v>
      </c>
    </row>
    <row r="202" spans="1:8" x14ac:dyDescent="0.3">
      <c r="A202">
        <v>51030257</v>
      </c>
      <c r="B202" t="str">
        <f>VLOOKUP(A202,VENTAS!$A$2:$B$1195,2,0)</f>
        <v>AYALA</v>
      </c>
      <c r="C202">
        <v>1880400</v>
      </c>
      <c r="D202">
        <v>4220800</v>
      </c>
      <c r="E202">
        <v>2477800</v>
      </c>
      <c r="F202">
        <v>4858000</v>
      </c>
      <c r="G202">
        <v>3692800</v>
      </c>
      <c r="H202">
        <v>6202500</v>
      </c>
    </row>
    <row r="203" spans="1:8" x14ac:dyDescent="0.3">
      <c r="A203">
        <v>51036255</v>
      </c>
      <c r="B203" t="str">
        <f>VLOOKUP(A203,VENTAS!$A$2:$B$1195,2,0)</f>
        <v>ROBERTS</v>
      </c>
      <c r="C203">
        <v>2095600</v>
      </c>
      <c r="D203">
        <v>4114000</v>
      </c>
      <c r="E203">
        <v>2834400</v>
      </c>
      <c r="F203">
        <v>4978000</v>
      </c>
      <c r="G203">
        <v>3654400</v>
      </c>
      <c r="H203">
        <v>6175000</v>
      </c>
    </row>
    <row r="204" spans="1:8" x14ac:dyDescent="0.3">
      <c r="A204">
        <v>51023781</v>
      </c>
      <c r="B204" t="str">
        <f>VLOOKUP(A204,VENTAS!$A$2:$B$1195,2,0)</f>
        <v>CICHETTO</v>
      </c>
      <c r="C204">
        <v>2127400</v>
      </c>
      <c r="D204">
        <v>4032000</v>
      </c>
      <c r="E204">
        <v>2753200</v>
      </c>
      <c r="F204">
        <v>5004000</v>
      </c>
      <c r="G204">
        <v>3920000</v>
      </c>
      <c r="H204">
        <v>6150000</v>
      </c>
    </row>
    <row r="205" spans="1:8" x14ac:dyDescent="0.3">
      <c r="A205">
        <v>51022173</v>
      </c>
      <c r="B205" t="str">
        <f>VLOOKUP(A205,VENTAS!$A$2:$B$1195,2,0)</f>
        <v>BELUZZO</v>
      </c>
      <c r="C205">
        <v>1573800</v>
      </c>
      <c r="D205">
        <v>3563200</v>
      </c>
      <c r="E205">
        <v>2016000</v>
      </c>
      <c r="F205">
        <v>4728000</v>
      </c>
      <c r="G205">
        <v>3041600</v>
      </c>
      <c r="H205">
        <v>6137500</v>
      </c>
    </row>
    <row r="206" spans="1:8" x14ac:dyDescent="0.3">
      <c r="A206">
        <v>51056221</v>
      </c>
      <c r="B206" t="str">
        <f>VLOOKUP(A206,VENTAS!$A$2:$B$1195,2,0)</f>
        <v>CICHETTO</v>
      </c>
      <c r="C206">
        <v>1608400</v>
      </c>
      <c r="D206">
        <v>3322400</v>
      </c>
      <c r="E206">
        <v>2193600</v>
      </c>
      <c r="F206">
        <v>4792000</v>
      </c>
      <c r="G206">
        <v>3089600</v>
      </c>
      <c r="H206">
        <v>6120000</v>
      </c>
    </row>
    <row r="207" spans="1:8" x14ac:dyDescent="0.3">
      <c r="A207">
        <v>51016386</v>
      </c>
      <c r="B207" t="str">
        <f>VLOOKUP(A207,VENTAS!$A$2:$B$1195,2,0)</f>
        <v>BELUZZO</v>
      </c>
      <c r="C207">
        <v>1579400</v>
      </c>
      <c r="D207">
        <v>3971600</v>
      </c>
      <c r="E207">
        <v>2493600</v>
      </c>
      <c r="F207">
        <v>4722000</v>
      </c>
      <c r="G207">
        <v>3419200</v>
      </c>
      <c r="H207">
        <v>6115000</v>
      </c>
    </row>
    <row r="208" spans="1:8" x14ac:dyDescent="0.3">
      <c r="A208">
        <v>51023307</v>
      </c>
      <c r="B208" t="str">
        <f>VLOOKUP(A208,VENTAS!$A$2:$B$1195,2,0)</f>
        <v>NELLI</v>
      </c>
      <c r="C208">
        <v>1893800</v>
      </c>
      <c r="D208">
        <v>4085200</v>
      </c>
      <c r="E208">
        <v>2323400</v>
      </c>
      <c r="F208">
        <v>5112000</v>
      </c>
      <c r="G208">
        <v>3692800</v>
      </c>
      <c r="H208">
        <v>6115000</v>
      </c>
    </row>
    <row r="209" spans="1:8" x14ac:dyDescent="0.3">
      <c r="A209">
        <v>51056442</v>
      </c>
      <c r="B209" t="str">
        <f>VLOOKUP(A209,VENTAS!$A$2:$B$1195,2,0)</f>
        <v>PUGH</v>
      </c>
      <c r="C209">
        <v>1027000</v>
      </c>
      <c r="D209">
        <v>3089200</v>
      </c>
      <c r="E209">
        <v>1680600</v>
      </c>
      <c r="F209">
        <v>4400000</v>
      </c>
      <c r="G209">
        <v>2697600</v>
      </c>
      <c r="H209">
        <v>6110000</v>
      </c>
    </row>
    <row r="210" spans="1:8" x14ac:dyDescent="0.3">
      <c r="A210">
        <v>51024893</v>
      </c>
      <c r="B210" t="str">
        <f>VLOOKUP(A210,VENTAS!$A$2:$B$1195,2,0)</f>
        <v>PRADES</v>
      </c>
      <c r="C210">
        <v>2006200</v>
      </c>
      <c r="D210">
        <v>4139600</v>
      </c>
      <c r="E210">
        <v>2543600</v>
      </c>
      <c r="F210">
        <v>4766000</v>
      </c>
      <c r="G210">
        <v>3428800</v>
      </c>
      <c r="H210">
        <v>6102500</v>
      </c>
    </row>
    <row r="211" spans="1:8" x14ac:dyDescent="0.3">
      <c r="A211">
        <v>51017986</v>
      </c>
      <c r="B211" t="str">
        <f>VLOOKUP(A211,VENTAS!$A$2:$B$1195,2,0)</f>
        <v>ARGUELLO</v>
      </c>
      <c r="C211">
        <v>1744400</v>
      </c>
      <c r="D211">
        <v>4217600</v>
      </c>
      <c r="E211">
        <v>2294000</v>
      </c>
      <c r="F211">
        <v>4840000</v>
      </c>
      <c r="G211">
        <v>3216000</v>
      </c>
      <c r="H211">
        <v>6097500</v>
      </c>
    </row>
    <row r="212" spans="1:8" x14ac:dyDescent="0.3">
      <c r="A212">
        <v>51025971</v>
      </c>
      <c r="B212" t="str">
        <f>VLOOKUP(A212,VENTAS!$A$2:$B$1195,2,0)</f>
        <v>LÓPEZ</v>
      </c>
      <c r="C212">
        <v>1720600</v>
      </c>
      <c r="D212">
        <v>3798800</v>
      </c>
      <c r="E212">
        <v>2293800</v>
      </c>
      <c r="F212">
        <v>4864000</v>
      </c>
      <c r="G212">
        <v>3329600</v>
      </c>
      <c r="H212">
        <v>6080000</v>
      </c>
    </row>
    <row r="213" spans="1:8" x14ac:dyDescent="0.3">
      <c r="A213">
        <v>51039033</v>
      </c>
      <c r="B213" t="str">
        <f>VLOOKUP(A213,VENTAS!$A$2:$B$1195,2,0)</f>
        <v>AYALA</v>
      </c>
      <c r="C213">
        <v>1889400</v>
      </c>
      <c r="D213">
        <v>4446000</v>
      </c>
      <c r="E213">
        <v>2630600</v>
      </c>
      <c r="F213">
        <v>4846000</v>
      </c>
      <c r="G213">
        <v>3907200</v>
      </c>
      <c r="H213">
        <v>6080000</v>
      </c>
    </row>
    <row r="214" spans="1:8" x14ac:dyDescent="0.3">
      <c r="A214">
        <v>51056485</v>
      </c>
      <c r="B214" t="str">
        <f>VLOOKUP(A214,VENTAS!$A$2:$B$1195,2,0)</f>
        <v>PUGH</v>
      </c>
      <c r="C214">
        <v>2060400</v>
      </c>
      <c r="D214">
        <v>4691200</v>
      </c>
      <c r="E214">
        <v>3114800</v>
      </c>
      <c r="F214">
        <v>4914000</v>
      </c>
      <c r="G214">
        <v>4083200</v>
      </c>
      <c r="H214">
        <v>6065000</v>
      </c>
    </row>
    <row r="215" spans="1:8" x14ac:dyDescent="0.3">
      <c r="A215">
        <v>51018931</v>
      </c>
      <c r="B215" t="str">
        <f>VLOOKUP(A215,VENTAS!$A$2:$B$1195,2,0)</f>
        <v>ARGUELLO</v>
      </c>
      <c r="C215">
        <v>1813000</v>
      </c>
      <c r="D215">
        <v>4559200</v>
      </c>
      <c r="E215">
        <v>1457000</v>
      </c>
      <c r="F215">
        <v>2724000</v>
      </c>
      <c r="G215">
        <v>3532800</v>
      </c>
      <c r="H215">
        <v>6047500</v>
      </c>
    </row>
    <row r="216" spans="1:8" x14ac:dyDescent="0.3">
      <c r="A216">
        <v>51031521</v>
      </c>
      <c r="B216" t="str">
        <f>VLOOKUP(A216,VENTAS!$A$2:$B$1195,2,0)</f>
        <v>NELLI</v>
      </c>
      <c r="C216">
        <v>1999000</v>
      </c>
      <c r="D216">
        <v>4230400</v>
      </c>
      <c r="E216">
        <v>2624600</v>
      </c>
      <c r="F216">
        <v>4980000</v>
      </c>
      <c r="G216">
        <v>3668800</v>
      </c>
      <c r="H216">
        <v>6027500</v>
      </c>
    </row>
    <row r="217" spans="1:8" x14ac:dyDescent="0.3">
      <c r="A217">
        <v>51041895</v>
      </c>
      <c r="B217" t="str">
        <f>VLOOKUP(A217,VENTAS!$A$2:$B$1195,2,0)</f>
        <v>CICHETTO</v>
      </c>
      <c r="C217">
        <v>2267600</v>
      </c>
      <c r="D217">
        <v>4180400</v>
      </c>
      <c r="E217">
        <v>3062600</v>
      </c>
      <c r="F217">
        <v>4874000</v>
      </c>
      <c r="G217">
        <v>3974400</v>
      </c>
      <c r="H217">
        <v>6025000</v>
      </c>
    </row>
    <row r="218" spans="1:8" x14ac:dyDescent="0.3">
      <c r="A218">
        <v>51055551</v>
      </c>
      <c r="B218" t="str">
        <f>VLOOKUP(A218,VENTAS!$A$2:$B$1195,2,0)</f>
        <v>NELLI</v>
      </c>
      <c r="C218">
        <v>1335000</v>
      </c>
      <c r="D218">
        <v>3781200</v>
      </c>
      <c r="E218">
        <v>2050800</v>
      </c>
      <c r="F218">
        <v>3870000</v>
      </c>
      <c r="G218">
        <v>3188800</v>
      </c>
      <c r="H218">
        <v>6015000</v>
      </c>
    </row>
    <row r="219" spans="1:8" x14ac:dyDescent="0.3">
      <c r="A219">
        <v>51055101</v>
      </c>
      <c r="B219" t="str">
        <f>VLOOKUP(A219,VENTAS!$A$2:$B$1195,2,0)</f>
        <v>PUGH</v>
      </c>
      <c r="C219">
        <v>1945400</v>
      </c>
      <c r="D219">
        <v>3209600</v>
      </c>
      <c r="E219">
        <v>2343400</v>
      </c>
      <c r="F219">
        <v>4380000</v>
      </c>
      <c r="G219">
        <v>2771200</v>
      </c>
      <c r="H219">
        <v>6010000</v>
      </c>
    </row>
    <row r="220" spans="1:8" x14ac:dyDescent="0.3">
      <c r="A220">
        <v>51012666</v>
      </c>
      <c r="B220" t="str">
        <f>VLOOKUP(A220,VENTAS!$A$2:$B$1195,2,0)</f>
        <v>PUGH</v>
      </c>
      <c r="C220">
        <v>1962800</v>
      </c>
      <c r="D220">
        <v>4150400</v>
      </c>
      <c r="E220">
        <v>2605000</v>
      </c>
      <c r="F220">
        <v>5448000</v>
      </c>
      <c r="G220">
        <v>3592000</v>
      </c>
      <c r="H220">
        <v>6007500</v>
      </c>
    </row>
    <row r="221" spans="1:8" x14ac:dyDescent="0.3">
      <c r="A221">
        <v>51021088</v>
      </c>
      <c r="B221" t="str">
        <f>VLOOKUP(A221,VENTAS!$A$2:$B$1195,2,0)</f>
        <v>PRADES</v>
      </c>
      <c r="C221">
        <v>1804400</v>
      </c>
      <c r="D221">
        <v>3345600</v>
      </c>
      <c r="E221">
        <v>2135000</v>
      </c>
      <c r="F221">
        <v>4400000</v>
      </c>
      <c r="G221">
        <v>2905600</v>
      </c>
      <c r="H221">
        <v>5935000</v>
      </c>
    </row>
    <row r="222" spans="1:8" x14ac:dyDescent="0.3">
      <c r="A222">
        <v>51044487</v>
      </c>
      <c r="B222" t="str">
        <f>VLOOKUP(A222,VENTAS!$A$2:$B$1195,2,0)</f>
        <v>NELLI</v>
      </c>
      <c r="C222">
        <v>1488400</v>
      </c>
      <c r="D222">
        <v>4122800</v>
      </c>
      <c r="E222">
        <v>2355800</v>
      </c>
      <c r="F222">
        <v>5446000</v>
      </c>
      <c r="G222">
        <v>3288000</v>
      </c>
      <c r="H222">
        <v>5915000</v>
      </c>
    </row>
    <row r="223" spans="1:8" x14ac:dyDescent="0.3">
      <c r="A223">
        <v>51040392</v>
      </c>
      <c r="B223" t="str">
        <f>VLOOKUP(A223,VENTAS!$A$2:$B$1195,2,0)</f>
        <v>ARGUELLO</v>
      </c>
      <c r="C223">
        <v>2165400</v>
      </c>
      <c r="D223">
        <v>4177200</v>
      </c>
      <c r="E223">
        <v>3042000</v>
      </c>
      <c r="F223">
        <v>4568000</v>
      </c>
      <c r="G223">
        <v>4227200</v>
      </c>
      <c r="H223">
        <v>5885000</v>
      </c>
    </row>
    <row r="224" spans="1:8" x14ac:dyDescent="0.3">
      <c r="A224">
        <v>51056647</v>
      </c>
      <c r="B224" t="str">
        <f>VLOOKUP(A224,VENTAS!$A$2:$B$1195,2,0)</f>
        <v>AYALA</v>
      </c>
      <c r="C224">
        <v>2045000</v>
      </c>
      <c r="D224">
        <v>3587600</v>
      </c>
      <c r="E224">
        <v>2591000</v>
      </c>
      <c r="F224">
        <v>5064000</v>
      </c>
      <c r="G224">
        <v>3160000</v>
      </c>
      <c r="H224">
        <v>5882500</v>
      </c>
    </row>
    <row r="225" spans="1:8" x14ac:dyDescent="0.3">
      <c r="A225">
        <v>51041259</v>
      </c>
      <c r="B225" t="str">
        <f>VLOOKUP(A225,VENTAS!$A$2:$B$1195,2,0)</f>
        <v>ARGUELLO</v>
      </c>
      <c r="C225">
        <v>1880800</v>
      </c>
      <c r="D225">
        <v>3808800</v>
      </c>
      <c r="E225">
        <v>2448200</v>
      </c>
      <c r="F225">
        <v>4280000</v>
      </c>
      <c r="G225">
        <v>3110400</v>
      </c>
      <c r="H225">
        <v>5845000</v>
      </c>
    </row>
    <row r="226" spans="1:8" x14ac:dyDescent="0.3">
      <c r="A226">
        <v>51041577</v>
      </c>
      <c r="B226" t="str">
        <f>VLOOKUP(A226,VENTAS!$A$2:$B$1195,2,0)</f>
        <v>LÓPEZ</v>
      </c>
      <c r="C226">
        <v>1490400</v>
      </c>
      <c r="D226">
        <v>3589600</v>
      </c>
      <c r="E226">
        <v>1972200</v>
      </c>
      <c r="F226">
        <v>4736000</v>
      </c>
      <c r="G226">
        <v>2859200</v>
      </c>
      <c r="H226">
        <v>5842500</v>
      </c>
    </row>
    <row r="227" spans="1:8" x14ac:dyDescent="0.3">
      <c r="A227">
        <v>51011953</v>
      </c>
      <c r="B227" t="str">
        <f>VLOOKUP(A227,VENTAS!$A$2:$B$1195,2,0)</f>
        <v>NELLI</v>
      </c>
      <c r="C227">
        <v>841600</v>
      </c>
      <c r="D227">
        <v>172000</v>
      </c>
      <c r="E227">
        <v>0</v>
      </c>
      <c r="F227">
        <v>3420000</v>
      </c>
      <c r="G227">
        <v>0</v>
      </c>
      <c r="H227">
        <v>5837499.9999999991</v>
      </c>
    </row>
    <row r="228" spans="1:8" x14ac:dyDescent="0.3">
      <c r="A228">
        <v>51038819</v>
      </c>
      <c r="B228" t="str">
        <f>VLOOKUP(A228,VENTAS!$A$2:$B$1195,2,0)</f>
        <v>PRADES</v>
      </c>
      <c r="C228">
        <v>1487400</v>
      </c>
      <c r="D228">
        <v>3980800</v>
      </c>
      <c r="E228">
        <v>2106400</v>
      </c>
      <c r="F228">
        <v>4534000</v>
      </c>
      <c r="G228">
        <v>2947200</v>
      </c>
      <c r="H228">
        <v>5827499.9999999991</v>
      </c>
    </row>
    <row r="229" spans="1:8" x14ac:dyDescent="0.3">
      <c r="A229">
        <v>51025440</v>
      </c>
      <c r="B229" t="str">
        <f>VLOOKUP(A229,VENTAS!$A$2:$B$1195,2,0)</f>
        <v>PRADES</v>
      </c>
      <c r="C229">
        <v>1708400</v>
      </c>
      <c r="D229">
        <v>3293600</v>
      </c>
      <c r="E229">
        <v>2252400</v>
      </c>
      <c r="F229">
        <v>4656000</v>
      </c>
      <c r="G229">
        <v>2910400</v>
      </c>
      <c r="H229">
        <v>5780000</v>
      </c>
    </row>
    <row r="230" spans="1:8" x14ac:dyDescent="0.3">
      <c r="A230">
        <v>51032578</v>
      </c>
      <c r="B230" t="str">
        <f>VLOOKUP(A230,VENTAS!$A$2:$B$1195,2,0)</f>
        <v>ROBERTS</v>
      </c>
      <c r="C230">
        <v>1399800</v>
      </c>
      <c r="D230">
        <v>3024400</v>
      </c>
      <c r="E230">
        <v>1821600</v>
      </c>
      <c r="F230">
        <v>4212000</v>
      </c>
      <c r="G230">
        <v>2569600</v>
      </c>
      <c r="H230">
        <v>5772500</v>
      </c>
    </row>
    <row r="231" spans="1:8" x14ac:dyDescent="0.3">
      <c r="A231">
        <v>51057163</v>
      </c>
      <c r="B231" t="str">
        <f>VLOOKUP(A231,VENTAS!$A$2:$B$1195,2,0)</f>
        <v>CICHETTO</v>
      </c>
      <c r="C231">
        <v>1893600</v>
      </c>
      <c r="D231">
        <v>7723599.9999999991</v>
      </c>
      <c r="E231">
        <v>2944200</v>
      </c>
      <c r="F231">
        <v>5538000</v>
      </c>
      <c r="G231">
        <v>2828800</v>
      </c>
      <c r="H231">
        <v>5762500</v>
      </c>
    </row>
    <row r="232" spans="1:8" x14ac:dyDescent="0.3">
      <c r="A232">
        <v>51012399</v>
      </c>
      <c r="B232" t="str">
        <f>VLOOKUP(A232,VENTAS!$A$2:$B$1195,2,0)</f>
        <v>ARGUELLO</v>
      </c>
      <c r="C232">
        <v>1622600</v>
      </c>
      <c r="D232">
        <v>3474800</v>
      </c>
      <c r="E232">
        <v>2366800</v>
      </c>
      <c r="F232">
        <v>4474000</v>
      </c>
      <c r="G232">
        <v>3651200</v>
      </c>
      <c r="H232">
        <v>5755000</v>
      </c>
    </row>
    <row r="233" spans="1:8" x14ac:dyDescent="0.3">
      <c r="A233">
        <v>51036778</v>
      </c>
      <c r="B233" t="str">
        <f>VLOOKUP(A233,VENTAS!$A$2:$B$1195,2,0)</f>
        <v>CICHETTO</v>
      </c>
      <c r="C233">
        <v>1983800</v>
      </c>
      <c r="D233">
        <v>3927200</v>
      </c>
      <c r="E233">
        <v>2578000</v>
      </c>
      <c r="F233">
        <v>4558000</v>
      </c>
      <c r="G233">
        <v>3664000</v>
      </c>
      <c r="H233">
        <v>5747500.0000000009</v>
      </c>
    </row>
    <row r="234" spans="1:8" x14ac:dyDescent="0.3">
      <c r="A234">
        <v>51022751</v>
      </c>
      <c r="B234" t="str">
        <f>VLOOKUP(A234,VENTAS!$A$2:$B$1195,2,0)</f>
        <v>CICHETTO</v>
      </c>
      <c r="C234">
        <v>1675000</v>
      </c>
      <c r="D234">
        <v>3602400</v>
      </c>
      <c r="E234">
        <v>2211000</v>
      </c>
      <c r="F234">
        <v>4126000</v>
      </c>
      <c r="G234">
        <v>2886400</v>
      </c>
      <c r="H234">
        <v>5740000</v>
      </c>
    </row>
    <row r="235" spans="1:8" x14ac:dyDescent="0.3">
      <c r="A235">
        <v>51033141</v>
      </c>
      <c r="B235" t="str">
        <f>VLOOKUP(A235,VENTAS!$A$2:$B$1195,2,0)</f>
        <v>ARGUELLO</v>
      </c>
      <c r="C235">
        <v>1643600</v>
      </c>
      <c r="D235">
        <v>3811600</v>
      </c>
      <c r="E235">
        <v>2252200</v>
      </c>
      <c r="F235">
        <v>4226000</v>
      </c>
      <c r="G235">
        <v>3190400</v>
      </c>
      <c r="H235">
        <v>5712500</v>
      </c>
    </row>
    <row r="236" spans="1:8" x14ac:dyDescent="0.3">
      <c r="A236">
        <v>51001702</v>
      </c>
      <c r="B236" t="str">
        <f>VLOOKUP(A236,VENTAS!$A$2:$B$1195,2,0)</f>
        <v>MONTENEGRO</v>
      </c>
      <c r="C236">
        <v>1385600</v>
      </c>
      <c r="D236">
        <v>3793600</v>
      </c>
      <c r="E236">
        <v>2214800</v>
      </c>
      <c r="F236">
        <v>4526000</v>
      </c>
      <c r="G236">
        <v>3350400</v>
      </c>
      <c r="H236">
        <v>5702500</v>
      </c>
    </row>
    <row r="237" spans="1:8" x14ac:dyDescent="0.3">
      <c r="A237">
        <v>51023528</v>
      </c>
      <c r="B237" t="str">
        <f>VLOOKUP(A237,VENTAS!$A$2:$B$1195,2,0)</f>
        <v>LÓPEZ</v>
      </c>
      <c r="C237">
        <v>1557000</v>
      </c>
      <c r="D237">
        <v>3458400</v>
      </c>
      <c r="E237">
        <v>2011600</v>
      </c>
      <c r="F237">
        <v>4252000</v>
      </c>
      <c r="G237">
        <v>2809600</v>
      </c>
      <c r="H237">
        <v>5692500</v>
      </c>
    </row>
    <row r="238" spans="1:8" x14ac:dyDescent="0.3">
      <c r="A238">
        <v>51055055</v>
      </c>
      <c r="B238" t="str">
        <f>VLOOKUP(A238,VENTAS!$A$2:$B$1195,2,0)</f>
        <v>AYALA</v>
      </c>
      <c r="C238">
        <v>1657000</v>
      </c>
      <c r="D238">
        <v>3236400</v>
      </c>
      <c r="E238">
        <v>2242600</v>
      </c>
      <c r="F238">
        <v>4238000</v>
      </c>
      <c r="G238">
        <v>2577600</v>
      </c>
      <c r="H238">
        <v>5692500</v>
      </c>
    </row>
    <row r="239" spans="1:8" x14ac:dyDescent="0.3">
      <c r="A239">
        <v>51022998</v>
      </c>
      <c r="B239" t="str">
        <f>VLOOKUP(A239,VENTAS!$A$2:$B$1195,2,0)</f>
        <v>BELUZZO</v>
      </c>
      <c r="C239">
        <v>1131000</v>
      </c>
      <c r="D239">
        <v>2228400</v>
      </c>
      <c r="E239">
        <v>1697200</v>
      </c>
      <c r="F239">
        <v>3996000</v>
      </c>
      <c r="G239">
        <v>2403200</v>
      </c>
      <c r="H239">
        <v>5685000</v>
      </c>
    </row>
    <row r="240" spans="1:8" x14ac:dyDescent="0.3">
      <c r="A240">
        <v>51022149</v>
      </c>
      <c r="B240" t="str">
        <f>VLOOKUP(A240,VENTAS!$A$2:$B$1195,2,0)</f>
        <v>ROBERTS</v>
      </c>
      <c r="C240">
        <v>1189400</v>
      </c>
      <c r="D240">
        <v>3310400</v>
      </c>
      <c r="E240">
        <v>1675600</v>
      </c>
      <c r="F240">
        <v>4292000</v>
      </c>
      <c r="G240">
        <v>2675200</v>
      </c>
      <c r="H240">
        <v>5682500</v>
      </c>
    </row>
    <row r="241" spans="1:8" x14ac:dyDescent="0.3">
      <c r="A241">
        <v>51054881</v>
      </c>
      <c r="B241" t="str">
        <f>VLOOKUP(A241,VENTAS!$A$2:$B$1195,2,0)</f>
        <v>MONTENEGRO</v>
      </c>
      <c r="C241">
        <v>1360800</v>
      </c>
      <c r="D241">
        <v>2914800</v>
      </c>
      <c r="E241">
        <v>1907000</v>
      </c>
      <c r="F241">
        <v>3954000</v>
      </c>
      <c r="G241">
        <v>2616000</v>
      </c>
      <c r="H241">
        <v>5680000</v>
      </c>
    </row>
    <row r="242" spans="1:8" x14ac:dyDescent="0.3">
      <c r="A242">
        <v>51023811</v>
      </c>
      <c r="B242" t="str">
        <f>VLOOKUP(A242,VENTAS!$A$2:$B$1195,2,0)</f>
        <v>LÓPEZ</v>
      </c>
      <c r="C242">
        <v>1824400</v>
      </c>
      <c r="D242">
        <v>3404400</v>
      </c>
      <c r="E242">
        <v>1930800</v>
      </c>
      <c r="F242">
        <v>4700000</v>
      </c>
      <c r="G242">
        <v>2608000</v>
      </c>
      <c r="H242">
        <v>5677500.0000000009</v>
      </c>
    </row>
    <row r="243" spans="1:8" x14ac:dyDescent="0.3">
      <c r="A243">
        <v>51018524</v>
      </c>
      <c r="B243" t="str">
        <f>VLOOKUP(A243,VENTAS!$A$2:$B$1195,2,0)</f>
        <v>CICHETTO</v>
      </c>
      <c r="C243">
        <v>1822400</v>
      </c>
      <c r="D243">
        <v>3721600</v>
      </c>
      <c r="E243">
        <v>2471600</v>
      </c>
      <c r="F243">
        <v>4524000</v>
      </c>
      <c r="G243">
        <v>3152000</v>
      </c>
      <c r="H243">
        <v>5650000</v>
      </c>
    </row>
    <row r="244" spans="1:8" x14ac:dyDescent="0.3">
      <c r="A244">
        <v>51018851</v>
      </c>
      <c r="B244" t="str">
        <f>VLOOKUP(A244,VENTAS!$A$2:$B$1195,2,0)</f>
        <v>PRADES</v>
      </c>
      <c r="C244">
        <v>894000</v>
      </c>
      <c r="D244">
        <v>3157600</v>
      </c>
      <c r="E244">
        <v>1764600</v>
      </c>
      <c r="F244">
        <v>4082000</v>
      </c>
      <c r="G244">
        <v>2540800</v>
      </c>
      <c r="H244">
        <v>5650000</v>
      </c>
    </row>
    <row r="245" spans="1:8" x14ac:dyDescent="0.3">
      <c r="A245">
        <v>51055217</v>
      </c>
      <c r="B245" t="str">
        <f>VLOOKUP(A245,VENTAS!$A$2:$B$1195,2,0)</f>
        <v>ARGUELLO</v>
      </c>
      <c r="C245">
        <v>1525400</v>
      </c>
      <c r="D245">
        <v>3404000</v>
      </c>
      <c r="E245">
        <v>2167600</v>
      </c>
      <c r="F245">
        <v>4012000</v>
      </c>
      <c r="G245">
        <v>3214400</v>
      </c>
      <c r="H245">
        <v>5647500</v>
      </c>
    </row>
    <row r="246" spans="1:8" x14ac:dyDescent="0.3">
      <c r="A246">
        <v>51024176</v>
      </c>
      <c r="B246" t="str">
        <f>VLOOKUP(A246,VENTAS!$A$2:$B$1195,2,0)</f>
        <v>AYALA</v>
      </c>
      <c r="C246">
        <v>1887400</v>
      </c>
      <c r="D246">
        <v>3821600</v>
      </c>
      <c r="E246">
        <v>2231200</v>
      </c>
      <c r="F246">
        <v>4246000</v>
      </c>
      <c r="G246">
        <v>3315200</v>
      </c>
      <c r="H246">
        <v>5627500</v>
      </c>
    </row>
    <row r="247" spans="1:8" x14ac:dyDescent="0.3">
      <c r="A247">
        <v>51056477</v>
      </c>
      <c r="B247" t="str">
        <f>VLOOKUP(A247,VENTAS!$A$2:$B$1195,2,0)</f>
        <v>BELUZZO</v>
      </c>
      <c r="C247">
        <v>1502800</v>
      </c>
      <c r="D247">
        <v>3491200</v>
      </c>
      <c r="E247">
        <v>1976200</v>
      </c>
      <c r="F247">
        <v>4506000</v>
      </c>
      <c r="G247">
        <v>3065600</v>
      </c>
      <c r="H247">
        <v>5622500</v>
      </c>
    </row>
    <row r="248" spans="1:8" x14ac:dyDescent="0.3">
      <c r="A248">
        <v>51011252</v>
      </c>
      <c r="B248" t="str">
        <f>VLOOKUP(A248,VENTAS!$A$2:$B$1195,2,0)</f>
        <v>MONTENEGRO</v>
      </c>
      <c r="C248">
        <v>1488800</v>
      </c>
      <c r="D248">
        <v>4111600</v>
      </c>
      <c r="E248">
        <v>2329600</v>
      </c>
      <c r="F248">
        <v>4858000</v>
      </c>
      <c r="G248">
        <v>3209600</v>
      </c>
      <c r="H248">
        <v>5607500</v>
      </c>
    </row>
    <row r="249" spans="1:8" x14ac:dyDescent="0.3">
      <c r="A249">
        <v>51042051</v>
      </c>
      <c r="B249" t="str">
        <f>VLOOKUP(A249,VENTAS!$A$2:$B$1195,2,0)</f>
        <v>ARGUELLO</v>
      </c>
      <c r="C249">
        <v>977000</v>
      </c>
      <c r="D249">
        <v>2784400</v>
      </c>
      <c r="E249">
        <v>1714400</v>
      </c>
      <c r="F249">
        <v>3926000</v>
      </c>
      <c r="G249">
        <v>2425600</v>
      </c>
      <c r="H249">
        <v>5605000</v>
      </c>
    </row>
    <row r="250" spans="1:8" x14ac:dyDescent="0.3">
      <c r="A250">
        <v>51056124</v>
      </c>
      <c r="B250" t="str">
        <f>VLOOKUP(A250,VENTAS!$A$2:$B$1195,2,0)</f>
        <v>PRADES</v>
      </c>
      <c r="C250">
        <v>1053800</v>
      </c>
      <c r="D250">
        <v>3072800</v>
      </c>
      <c r="E250">
        <v>1731400</v>
      </c>
      <c r="F250">
        <v>3844000</v>
      </c>
      <c r="G250">
        <v>2744000</v>
      </c>
      <c r="H250">
        <v>5605000</v>
      </c>
    </row>
    <row r="251" spans="1:8" x14ac:dyDescent="0.3">
      <c r="A251">
        <v>51043197</v>
      </c>
      <c r="B251" t="str">
        <f>VLOOKUP(A251,VENTAS!$A$2:$B$1195,2,0)</f>
        <v>BELUZZO</v>
      </c>
      <c r="C251">
        <v>1676800</v>
      </c>
      <c r="D251">
        <v>3656000</v>
      </c>
      <c r="E251">
        <v>2069400</v>
      </c>
      <c r="F251">
        <v>4114000</v>
      </c>
      <c r="G251">
        <v>3227200</v>
      </c>
      <c r="H251">
        <v>5597500</v>
      </c>
    </row>
    <row r="252" spans="1:8" x14ac:dyDescent="0.3">
      <c r="A252">
        <v>51023056</v>
      </c>
      <c r="B252" t="str">
        <f>VLOOKUP(A252,VENTAS!$A$2:$B$1195,2,0)</f>
        <v>MONTENEGRO</v>
      </c>
      <c r="C252">
        <v>1519400</v>
      </c>
      <c r="D252">
        <v>3508800</v>
      </c>
      <c r="E252">
        <v>2050400</v>
      </c>
      <c r="F252">
        <v>4476000</v>
      </c>
      <c r="G252">
        <v>2857600</v>
      </c>
      <c r="H252">
        <v>5587500</v>
      </c>
    </row>
    <row r="253" spans="1:8" x14ac:dyDescent="0.3">
      <c r="A253">
        <v>51039637</v>
      </c>
      <c r="B253" t="str">
        <f>VLOOKUP(A253,VENTAS!$A$2:$B$1195,2,0)</f>
        <v>NELLI</v>
      </c>
      <c r="C253">
        <v>1487800</v>
      </c>
      <c r="D253">
        <v>3832800</v>
      </c>
      <c r="E253">
        <v>2265400</v>
      </c>
      <c r="F253">
        <v>4752000</v>
      </c>
      <c r="G253">
        <v>3172800</v>
      </c>
      <c r="H253">
        <v>5580000</v>
      </c>
    </row>
    <row r="254" spans="1:8" x14ac:dyDescent="0.3">
      <c r="A254">
        <v>51001427</v>
      </c>
      <c r="B254" t="str">
        <f>VLOOKUP(A254,VENTAS!$A$2:$B$1195,2,0)</f>
        <v>BELUZZO</v>
      </c>
      <c r="C254">
        <v>1043200</v>
      </c>
      <c r="D254">
        <v>2731200</v>
      </c>
      <c r="E254">
        <v>1696400</v>
      </c>
      <c r="F254">
        <v>3808000</v>
      </c>
      <c r="G254">
        <v>2548800</v>
      </c>
      <c r="H254">
        <v>5577500</v>
      </c>
    </row>
    <row r="255" spans="1:8" x14ac:dyDescent="0.3">
      <c r="A255">
        <v>51056612</v>
      </c>
      <c r="B255" t="str">
        <f>VLOOKUP(A255,VENTAS!$A$2:$B$1195,2,0)</f>
        <v>AYALA</v>
      </c>
      <c r="C255">
        <v>1609400</v>
      </c>
      <c r="D255">
        <v>3969600</v>
      </c>
      <c r="E255">
        <v>2493400</v>
      </c>
      <c r="F255">
        <v>4622000</v>
      </c>
      <c r="G255">
        <v>2883200</v>
      </c>
      <c r="H255">
        <v>5560000</v>
      </c>
    </row>
    <row r="256" spans="1:8" x14ac:dyDescent="0.3">
      <c r="A256">
        <v>51020952</v>
      </c>
      <c r="B256" t="str">
        <f>VLOOKUP(A256,VENTAS!$A$2:$B$1195,2,0)</f>
        <v>METTLER</v>
      </c>
      <c r="C256">
        <v>1280400</v>
      </c>
      <c r="D256">
        <v>3852000</v>
      </c>
      <c r="E256">
        <v>1828400</v>
      </c>
      <c r="F256">
        <v>5128000</v>
      </c>
      <c r="G256">
        <v>3212800</v>
      </c>
      <c r="H256">
        <v>5545000</v>
      </c>
    </row>
    <row r="257" spans="1:8" x14ac:dyDescent="0.3">
      <c r="A257">
        <v>51016726</v>
      </c>
      <c r="B257" t="str">
        <f>VLOOKUP(A257,VENTAS!$A$2:$B$1195,2,0)</f>
        <v>LÓPEZ</v>
      </c>
      <c r="C257">
        <v>1576600</v>
      </c>
      <c r="D257">
        <v>4012000</v>
      </c>
      <c r="E257">
        <v>2317800</v>
      </c>
      <c r="F257">
        <v>4602000</v>
      </c>
      <c r="G257">
        <v>3318400</v>
      </c>
      <c r="H257">
        <v>5542500</v>
      </c>
    </row>
    <row r="258" spans="1:8" x14ac:dyDescent="0.3">
      <c r="A258">
        <v>51016742</v>
      </c>
      <c r="B258" t="str">
        <f>VLOOKUP(A258,VENTAS!$A$2:$B$1195,2,0)</f>
        <v>NELLI</v>
      </c>
      <c r="C258">
        <v>1352800</v>
      </c>
      <c r="D258">
        <v>3598400</v>
      </c>
      <c r="E258">
        <v>1856200</v>
      </c>
      <c r="F258">
        <v>4512000</v>
      </c>
      <c r="G258">
        <v>2668800</v>
      </c>
      <c r="H258">
        <v>5532500</v>
      </c>
    </row>
    <row r="259" spans="1:8" x14ac:dyDescent="0.3">
      <c r="A259">
        <v>51023757</v>
      </c>
      <c r="B259" t="str">
        <f>VLOOKUP(A259,VENTAS!$A$2:$B$1195,2,0)</f>
        <v>LÓPEZ</v>
      </c>
      <c r="C259">
        <v>1165600</v>
      </c>
      <c r="D259">
        <v>3427600</v>
      </c>
      <c r="E259">
        <v>2039200</v>
      </c>
      <c r="F259">
        <v>4578000</v>
      </c>
      <c r="G259">
        <v>2769600</v>
      </c>
      <c r="H259">
        <v>5525000</v>
      </c>
    </row>
    <row r="260" spans="1:8" x14ac:dyDescent="0.3">
      <c r="A260">
        <v>51030761</v>
      </c>
      <c r="B260" t="str">
        <f>VLOOKUP(A260,VENTAS!$A$2:$B$1195,2,0)</f>
        <v>LÓPEZ</v>
      </c>
      <c r="C260">
        <v>998800</v>
      </c>
      <c r="D260">
        <v>3304800</v>
      </c>
      <c r="E260">
        <v>1785400</v>
      </c>
      <c r="F260">
        <v>4122000</v>
      </c>
      <c r="G260">
        <v>2435200</v>
      </c>
      <c r="H260">
        <v>5525000</v>
      </c>
    </row>
    <row r="261" spans="1:8" x14ac:dyDescent="0.3">
      <c r="A261">
        <v>51024559</v>
      </c>
      <c r="B261" t="str">
        <f>VLOOKUP(A261,VENTAS!$A$2:$B$1195,2,0)</f>
        <v>ARGUELLO</v>
      </c>
      <c r="C261">
        <v>1260600</v>
      </c>
      <c r="D261">
        <v>3210400</v>
      </c>
      <c r="E261">
        <v>1762000</v>
      </c>
      <c r="F261">
        <v>3762000</v>
      </c>
      <c r="G261">
        <v>2408000</v>
      </c>
      <c r="H261">
        <v>5520000</v>
      </c>
    </row>
    <row r="262" spans="1:8" x14ac:dyDescent="0.3">
      <c r="A262">
        <v>51055888</v>
      </c>
      <c r="B262" t="str">
        <f>VLOOKUP(A262,VENTAS!$A$2:$B$1195,2,0)</f>
        <v>ROBERTS</v>
      </c>
      <c r="C262">
        <v>1677800</v>
      </c>
      <c r="D262">
        <v>3642400</v>
      </c>
      <c r="E262">
        <v>2353400</v>
      </c>
      <c r="F262">
        <v>4382000</v>
      </c>
      <c r="G262">
        <v>3089600</v>
      </c>
      <c r="H262">
        <v>5515000</v>
      </c>
    </row>
    <row r="263" spans="1:8" x14ac:dyDescent="0.3">
      <c r="A263">
        <v>51025920</v>
      </c>
      <c r="B263" t="str">
        <f>VLOOKUP(A263,VENTAS!$A$2:$B$1195,2,0)</f>
        <v>ARGUELLO</v>
      </c>
      <c r="C263">
        <v>1890600</v>
      </c>
      <c r="D263">
        <v>4243600</v>
      </c>
      <c r="E263">
        <v>2802800</v>
      </c>
      <c r="F263">
        <v>4492000</v>
      </c>
      <c r="G263">
        <v>3716800</v>
      </c>
      <c r="H263">
        <v>5510000</v>
      </c>
    </row>
    <row r="264" spans="1:8" x14ac:dyDescent="0.3">
      <c r="A264">
        <v>51031741</v>
      </c>
      <c r="B264" t="str">
        <f>VLOOKUP(A264,VENTAS!$A$2:$B$1195,2,0)</f>
        <v>NELLI</v>
      </c>
      <c r="C264">
        <v>1521200</v>
      </c>
      <c r="D264">
        <v>3110000</v>
      </c>
      <c r="E264">
        <v>2312600</v>
      </c>
      <c r="F264">
        <v>4436000</v>
      </c>
      <c r="G264">
        <v>3030400</v>
      </c>
      <c r="H264">
        <v>5510000</v>
      </c>
    </row>
    <row r="265" spans="1:8" x14ac:dyDescent="0.3">
      <c r="A265">
        <v>51056566</v>
      </c>
      <c r="B265" t="str">
        <f>VLOOKUP(A265,VENTAS!$A$2:$B$1195,2,0)</f>
        <v>NELLI</v>
      </c>
      <c r="C265">
        <v>1732800</v>
      </c>
      <c r="D265">
        <v>3664800</v>
      </c>
      <c r="E265">
        <v>2041400</v>
      </c>
      <c r="F265">
        <v>4722000</v>
      </c>
      <c r="G265">
        <v>2641600</v>
      </c>
      <c r="H265">
        <v>5500000</v>
      </c>
    </row>
    <row r="266" spans="1:8" x14ac:dyDescent="0.3">
      <c r="A266">
        <v>51018559</v>
      </c>
      <c r="B266" t="str">
        <f>VLOOKUP(A266,VENTAS!$A$2:$B$1195,2,0)</f>
        <v>AYALA</v>
      </c>
      <c r="C266">
        <v>1737400</v>
      </c>
      <c r="D266">
        <v>3804800</v>
      </c>
      <c r="E266">
        <v>2589600</v>
      </c>
      <c r="F266">
        <v>4350000</v>
      </c>
      <c r="G266">
        <v>3651200</v>
      </c>
      <c r="H266">
        <v>5497500</v>
      </c>
    </row>
    <row r="267" spans="1:8" x14ac:dyDescent="0.3">
      <c r="A267">
        <v>51023196</v>
      </c>
      <c r="B267" t="str">
        <f>VLOOKUP(A267,VENTAS!$A$2:$B$1195,2,0)</f>
        <v>BELUZZO</v>
      </c>
      <c r="C267">
        <v>1059600</v>
      </c>
      <c r="D267">
        <v>2500000</v>
      </c>
      <c r="E267">
        <v>1394800</v>
      </c>
      <c r="F267">
        <v>3462000</v>
      </c>
      <c r="G267">
        <v>2137600</v>
      </c>
      <c r="H267">
        <v>5492500</v>
      </c>
    </row>
    <row r="268" spans="1:8" x14ac:dyDescent="0.3">
      <c r="A268">
        <v>51031121</v>
      </c>
      <c r="B268" t="str">
        <f>VLOOKUP(A268,VENTAS!$A$2:$B$1195,2,0)</f>
        <v>PRADES</v>
      </c>
      <c r="C268">
        <v>1225400</v>
      </c>
      <c r="D268">
        <v>3050000</v>
      </c>
      <c r="E268">
        <v>1808800</v>
      </c>
      <c r="F268">
        <v>4150000</v>
      </c>
      <c r="G268">
        <v>2553600</v>
      </c>
      <c r="H268">
        <v>5475000</v>
      </c>
    </row>
    <row r="269" spans="1:8" x14ac:dyDescent="0.3">
      <c r="A269">
        <v>51023188</v>
      </c>
      <c r="B269" t="str">
        <f>VLOOKUP(A269,VENTAS!$A$2:$B$1195,2,0)</f>
        <v>MONTENEGRO</v>
      </c>
      <c r="C269">
        <v>1559200</v>
      </c>
      <c r="D269">
        <v>3830400</v>
      </c>
      <c r="E269">
        <v>2275800</v>
      </c>
      <c r="F269">
        <v>4476000</v>
      </c>
      <c r="G269">
        <v>3176000</v>
      </c>
      <c r="H269">
        <v>5460000</v>
      </c>
    </row>
    <row r="270" spans="1:8" x14ac:dyDescent="0.3">
      <c r="A270">
        <v>51055411</v>
      </c>
      <c r="B270" t="str">
        <f>VLOOKUP(A270,VENTAS!$A$2:$B$1195,2,0)</f>
        <v>AYALA</v>
      </c>
      <c r="C270">
        <v>1463600</v>
      </c>
      <c r="D270">
        <v>3455200</v>
      </c>
      <c r="E270">
        <v>2236200</v>
      </c>
      <c r="F270">
        <v>4334000</v>
      </c>
      <c r="G270">
        <v>2876800</v>
      </c>
      <c r="H270">
        <v>5455000</v>
      </c>
    </row>
    <row r="271" spans="1:8" x14ac:dyDescent="0.3">
      <c r="A271">
        <v>51002164</v>
      </c>
      <c r="B271" t="str">
        <f>VLOOKUP(A271,VENTAS!$A$2:$B$1195,2,0)</f>
        <v>PRADES</v>
      </c>
      <c r="C271">
        <v>1885400</v>
      </c>
      <c r="D271">
        <v>4510000</v>
      </c>
      <c r="E271">
        <v>2867000</v>
      </c>
      <c r="F271">
        <v>5100000</v>
      </c>
      <c r="G271">
        <v>3548800</v>
      </c>
      <c r="H271">
        <v>5417500</v>
      </c>
    </row>
    <row r="272" spans="1:8" x14ac:dyDescent="0.3">
      <c r="A272">
        <v>51022467</v>
      </c>
      <c r="B272" t="str">
        <f>VLOOKUP(A272,VENTAS!$A$2:$B$1195,2,0)</f>
        <v>PUGH</v>
      </c>
      <c r="C272">
        <v>1078600</v>
      </c>
      <c r="D272">
        <v>3159200</v>
      </c>
      <c r="E272">
        <v>1753600</v>
      </c>
      <c r="F272">
        <v>3730000</v>
      </c>
      <c r="G272">
        <v>2651200</v>
      </c>
      <c r="H272">
        <v>5380000</v>
      </c>
    </row>
    <row r="273" spans="1:8" x14ac:dyDescent="0.3">
      <c r="A273">
        <v>51014855</v>
      </c>
      <c r="B273" t="str">
        <f>VLOOKUP(A273,VENTAS!$A$2:$B$1195,2,0)</f>
        <v>PRADES</v>
      </c>
      <c r="C273">
        <v>2049800</v>
      </c>
      <c r="D273">
        <v>3661600</v>
      </c>
      <c r="E273">
        <v>2612800</v>
      </c>
      <c r="F273">
        <v>4638000</v>
      </c>
      <c r="G273">
        <v>3697600</v>
      </c>
      <c r="H273">
        <v>5377500</v>
      </c>
    </row>
    <row r="274" spans="1:8" x14ac:dyDescent="0.3">
      <c r="A274">
        <v>51011996</v>
      </c>
      <c r="B274" t="str">
        <f>VLOOKUP(A274,VENTAS!$A$2:$B$1195,2,0)</f>
        <v>CICHETTO</v>
      </c>
      <c r="C274">
        <v>1338200</v>
      </c>
      <c r="D274">
        <v>2963200</v>
      </c>
      <c r="E274">
        <v>1667200</v>
      </c>
      <c r="F274">
        <v>3902000</v>
      </c>
      <c r="G274">
        <v>2272000</v>
      </c>
      <c r="H274">
        <v>5370000</v>
      </c>
    </row>
    <row r="275" spans="1:8" x14ac:dyDescent="0.3">
      <c r="A275">
        <v>51018869</v>
      </c>
      <c r="B275" t="str">
        <f>VLOOKUP(A275,VENTAS!$A$2:$B$1195,2,0)</f>
        <v>LÓPEZ</v>
      </c>
      <c r="C275">
        <v>1776600</v>
      </c>
      <c r="D275">
        <v>3386400</v>
      </c>
      <c r="E275">
        <v>2345600</v>
      </c>
      <c r="F275">
        <v>4160000</v>
      </c>
      <c r="G275">
        <v>2892800</v>
      </c>
      <c r="H275">
        <v>5355000</v>
      </c>
    </row>
    <row r="276" spans="1:8" x14ac:dyDescent="0.3">
      <c r="A276">
        <v>51042336</v>
      </c>
      <c r="B276" t="str">
        <f>VLOOKUP(A276,VENTAS!$A$2:$B$1195,2,0)</f>
        <v>NELLI</v>
      </c>
      <c r="C276">
        <v>1114800</v>
      </c>
      <c r="D276">
        <v>3766800</v>
      </c>
      <c r="E276">
        <v>1989600</v>
      </c>
      <c r="F276">
        <v>4668000</v>
      </c>
      <c r="G276">
        <v>3244800</v>
      </c>
      <c r="H276">
        <v>5352500</v>
      </c>
    </row>
    <row r="277" spans="1:8" x14ac:dyDescent="0.3">
      <c r="A277">
        <v>51003284</v>
      </c>
      <c r="B277" t="str">
        <f>VLOOKUP(A277,VENTAS!$A$2:$B$1195,2,0)</f>
        <v>ARGUELLO</v>
      </c>
      <c r="C277">
        <v>1594600</v>
      </c>
      <c r="D277">
        <v>3166400</v>
      </c>
      <c r="E277">
        <v>2123200</v>
      </c>
      <c r="F277">
        <v>4420000</v>
      </c>
      <c r="G277">
        <v>2451200</v>
      </c>
      <c r="H277">
        <v>5345000</v>
      </c>
    </row>
    <row r="278" spans="1:8" x14ac:dyDescent="0.3">
      <c r="A278">
        <v>51011350</v>
      </c>
      <c r="B278" t="str">
        <f>VLOOKUP(A278,VENTAS!$A$2:$B$1195,2,0)</f>
        <v>MONTENEGRO</v>
      </c>
      <c r="C278">
        <v>1099800</v>
      </c>
      <c r="D278">
        <v>3260400</v>
      </c>
      <c r="E278">
        <v>1513400</v>
      </c>
      <c r="F278">
        <v>3994000</v>
      </c>
      <c r="G278">
        <v>2504000</v>
      </c>
      <c r="H278">
        <v>5342500</v>
      </c>
    </row>
    <row r="279" spans="1:8" x14ac:dyDescent="0.3">
      <c r="A279">
        <v>51039157</v>
      </c>
      <c r="B279" t="str">
        <f>VLOOKUP(A279,VENTAS!$A$2:$B$1195,2,0)</f>
        <v>ROBERTS</v>
      </c>
      <c r="C279">
        <v>1971800</v>
      </c>
      <c r="D279">
        <v>4303600</v>
      </c>
      <c r="E279">
        <v>2589600</v>
      </c>
      <c r="F279">
        <v>4974000</v>
      </c>
      <c r="G279">
        <v>3705600</v>
      </c>
      <c r="H279">
        <v>5330000</v>
      </c>
    </row>
    <row r="280" spans="1:8" x14ac:dyDescent="0.3">
      <c r="A280">
        <v>51013280</v>
      </c>
      <c r="B280" t="str">
        <f>VLOOKUP(A280,VENTAS!$A$2:$B$1195,2,0)</f>
        <v>AYALA</v>
      </c>
      <c r="C280">
        <v>1456000</v>
      </c>
      <c r="D280">
        <v>2918000</v>
      </c>
      <c r="E280">
        <v>1999400</v>
      </c>
      <c r="F280">
        <v>4500000</v>
      </c>
      <c r="G280">
        <v>2344000</v>
      </c>
      <c r="H280">
        <v>5315000</v>
      </c>
    </row>
    <row r="281" spans="1:8" x14ac:dyDescent="0.3">
      <c r="A281">
        <v>51021657</v>
      </c>
      <c r="B281" t="str">
        <f>VLOOKUP(A281,VENTAS!$A$2:$B$1195,2,0)</f>
        <v>ARGUELLO</v>
      </c>
      <c r="C281">
        <v>1834400</v>
      </c>
      <c r="D281">
        <v>2285600</v>
      </c>
      <c r="E281">
        <v>2316200</v>
      </c>
      <c r="F281">
        <v>4630000</v>
      </c>
      <c r="G281">
        <v>2579200</v>
      </c>
      <c r="H281">
        <v>5267500</v>
      </c>
    </row>
    <row r="282" spans="1:8" x14ac:dyDescent="0.3">
      <c r="A282">
        <v>51032071</v>
      </c>
      <c r="B282" t="str">
        <f>VLOOKUP(A282,VENTAS!$A$2:$B$1195,2,0)</f>
        <v>PUGH</v>
      </c>
      <c r="C282">
        <v>867799.99999999988</v>
      </c>
      <c r="D282">
        <v>3423600</v>
      </c>
      <c r="E282">
        <v>1166400</v>
      </c>
      <c r="F282">
        <v>4338000</v>
      </c>
      <c r="G282">
        <v>2790400</v>
      </c>
      <c r="H282">
        <v>5267500</v>
      </c>
    </row>
    <row r="283" spans="1:8" x14ac:dyDescent="0.3">
      <c r="A283">
        <v>51014308</v>
      </c>
      <c r="B283" t="str">
        <f>VLOOKUP(A283,VENTAS!$A$2:$B$1195,2,0)</f>
        <v>CICHETTO</v>
      </c>
      <c r="C283">
        <v>1566600</v>
      </c>
      <c r="D283">
        <v>3344000</v>
      </c>
      <c r="E283">
        <v>2054600</v>
      </c>
      <c r="F283">
        <v>3938000</v>
      </c>
      <c r="G283">
        <v>2728000</v>
      </c>
      <c r="H283">
        <v>5262500</v>
      </c>
    </row>
    <row r="284" spans="1:8" x14ac:dyDescent="0.3">
      <c r="A284">
        <v>51008332</v>
      </c>
      <c r="B284" t="str">
        <f>VLOOKUP(A284,VENTAS!$A$2:$B$1195,2,0)</f>
        <v>BELUZZO</v>
      </c>
      <c r="C284">
        <v>1940000</v>
      </c>
      <c r="D284">
        <v>4024000</v>
      </c>
      <c r="E284">
        <v>2623000</v>
      </c>
      <c r="F284">
        <v>4038000</v>
      </c>
      <c r="G284">
        <v>3297600</v>
      </c>
      <c r="H284">
        <v>5244999.9999999991</v>
      </c>
    </row>
    <row r="285" spans="1:8" x14ac:dyDescent="0.3">
      <c r="A285">
        <v>51040317</v>
      </c>
      <c r="B285" t="str">
        <f>VLOOKUP(A285,VENTAS!$A$2:$B$1195,2,0)</f>
        <v>NELLI</v>
      </c>
      <c r="C285">
        <v>1239400</v>
      </c>
      <c r="D285">
        <v>3368000</v>
      </c>
      <c r="E285">
        <v>1689400</v>
      </c>
      <c r="F285">
        <v>3954000</v>
      </c>
      <c r="G285">
        <v>2275200</v>
      </c>
      <c r="H285">
        <v>5242500</v>
      </c>
    </row>
    <row r="286" spans="1:8" x14ac:dyDescent="0.3">
      <c r="A286">
        <v>51030281</v>
      </c>
      <c r="B286" t="str">
        <f>VLOOKUP(A286,VENTAS!$A$2:$B$1195,2,0)</f>
        <v>MONTENEGRO</v>
      </c>
      <c r="C286">
        <v>1555400</v>
      </c>
      <c r="D286">
        <v>3574400</v>
      </c>
      <c r="E286">
        <v>2286800</v>
      </c>
      <c r="F286">
        <v>4158000</v>
      </c>
      <c r="G286">
        <v>3259200</v>
      </c>
      <c r="H286">
        <v>5232500</v>
      </c>
    </row>
    <row r="287" spans="1:8" x14ac:dyDescent="0.3">
      <c r="A287">
        <v>51056302</v>
      </c>
      <c r="B287" t="str">
        <f>VLOOKUP(A287,VENTAS!$A$2:$B$1195,2,0)</f>
        <v>PUGH</v>
      </c>
      <c r="C287">
        <v>1359000</v>
      </c>
      <c r="D287">
        <v>3673200</v>
      </c>
      <c r="E287">
        <v>1885800</v>
      </c>
      <c r="F287">
        <v>4062000</v>
      </c>
      <c r="G287">
        <v>2662400</v>
      </c>
      <c r="H287">
        <v>5200000</v>
      </c>
    </row>
    <row r="288" spans="1:8" x14ac:dyDescent="0.3">
      <c r="A288">
        <v>51042689</v>
      </c>
      <c r="B288" t="str">
        <f>VLOOKUP(A288,VENTAS!$A$2:$B$1195,2,0)</f>
        <v>LÓPEZ</v>
      </c>
      <c r="C288">
        <v>1667800</v>
      </c>
      <c r="D288">
        <v>3010400</v>
      </c>
      <c r="E288">
        <v>2039600</v>
      </c>
      <c r="F288">
        <v>4220000</v>
      </c>
      <c r="G288">
        <v>2739200</v>
      </c>
      <c r="H288">
        <v>5197500</v>
      </c>
    </row>
    <row r="289" spans="1:8" x14ac:dyDescent="0.3">
      <c r="A289">
        <v>51031652</v>
      </c>
      <c r="B289" t="str">
        <f>VLOOKUP(A289,VENTAS!$A$2:$B$1195,2,0)</f>
        <v>NELLI</v>
      </c>
      <c r="C289">
        <v>1401000</v>
      </c>
      <c r="D289">
        <v>3092000</v>
      </c>
      <c r="E289">
        <v>1980000</v>
      </c>
      <c r="F289">
        <v>4488000</v>
      </c>
      <c r="G289">
        <v>2835200</v>
      </c>
      <c r="H289">
        <v>5182500</v>
      </c>
    </row>
    <row r="290" spans="1:8" x14ac:dyDescent="0.3">
      <c r="A290">
        <v>51018443</v>
      </c>
      <c r="B290" t="str">
        <f>VLOOKUP(A290,VENTAS!$A$2:$B$1195,2,0)</f>
        <v>CICHETTO</v>
      </c>
      <c r="C290">
        <v>1566000</v>
      </c>
      <c r="D290">
        <v>3590400</v>
      </c>
      <c r="E290">
        <v>2176000</v>
      </c>
      <c r="F290">
        <v>4024000</v>
      </c>
      <c r="G290">
        <v>2817600</v>
      </c>
      <c r="H290">
        <v>5177500</v>
      </c>
    </row>
    <row r="291" spans="1:8" x14ac:dyDescent="0.3">
      <c r="A291">
        <v>51027108</v>
      </c>
      <c r="B291" t="str">
        <f>VLOOKUP(A291,VENTAS!$A$2:$B$1195,2,0)</f>
        <v>PRADES</v>
      </c>
      <c r="C291">
        <v>1100200</v>
      </c>
      <c r="D291">
        <v>2506800</v>
      </c>
      <c r="E291">
        <v>1881200</v>
      </c>
      <c r="F291">
        <v>3534000</v>
      </c>
      <c r="G291">
        <v>2299200</v>
      </c>
      <c r="H291">
        <v>5152500</v>
      </c>
    </row>
    <row r="292" spans="1:8" x14ac:dyDescent="0.3">
      <c r="A292">
        <v>51010922</v>
      </c>
      <c r="B292" t="str">
        <f>VLOOKUP(A292,VENTAS!$A$2:$B$1195,2,0)</f>
        <v>MONTENEGRO</v>
      </c>
      <c r="C292">
        <v>1375600</v>
      </c>
      <c r="D292">
        <v>3203600</v>
      </c>
      <c r="E292">
        <v>1996600</v>
      </c>
      <c r="F292">
        <v>4018000</v>
      </c>
      <c r="G292">
        <v>2806400</v>
      </c>
      <c r="H292">
        <v>5147500</v>
      </c>
    </row>
    <row r="293" spans="1:8" x14ac:dyDescent="0.3">
      <c r="A293">
        <v>51014359</v>
      </c>
      <c r="B293" t="str">
        <f>VLOOKUP(A293,VENTAS!$A$2:$B$1195,2,0)</f>
        <v>NELLI</v>
      </c>
      <c r="C293">
        <v>1292200</v>
      </c>
      <c r="D293">
        <v>1554400</v>
      </c>
      <c r="E293">
        <v>1532200</v>
      </c>
      <c r="F293">
        <v>3810000</v>
      </c>
      <c r="G293">
        <v>2532800</v>
      </c>
      <c r="H293">
        <v>5135000.0000000009</v>
      </c>
    </row>
    <row r="294" spans="1:8" x14ac:dyDescent="0.3">
      <c r="A294">
        <v>51055128</v>
      </c>
      <c r="B294" t="str">
        <f>VLOOKUP(A294,VENTAS!$A$2:$B$1195,2,0)</f>
        <v>LÓPEZ</v>
      </c>
      <c r="C294">
        <v>1439600</v>
      </c>
      <c r="D294">
        <v>3933200</v>
      </c>
      <c r="E294">
        <v>2076800</v>
      </c>
      <c r="F294">
        <v>4434000</v>
      </c>
      <c r="G294">
        <v>3161600</v>
      </c>
      <c r="H294">
        <v>5135000.0000000009</v>
      </c>
    </row>
    <row r="295" spans="1:8" x14ac:dyDescent="0.3">
      <c r="A295">
        <v>51016645</v>
      </c>
      <c r="B295" t="str">
        <f>VLOOKUP(A295,VENTAS!$A$2:$B$1195,2,0)</f>
        <v>BELUZZO</v>
      </c>
      <c r="C295">
        <v>1887400</v>
      </c>
      <c r="D295">
        <v>3832000</v>
      </c>
      <c r="E295">
        <v>2502600</v>
      </c>
      <c r="F295">
        <v>4568000</v>
      </c>
      <c r="G295">
        <v>3544000</v>
      </c>
      <c r="H295">
        <v>5132500</v>
      </c>
    </row>
    <row r="296" spans="1:8" x14ac:dyDescent="0.3">
      <c r="A296">
        <v>51038762</v>
      </c>
      <c r="B296" t="str">
        <f>VLOOKUP(A296,VENTAS!$A$2:$B$1195,2,0)</f>
        <v>AYALA</v>
      </c>
      <c r="C296">
        <v>1505000</v>
      </c>
      <c r="D296">
        <v>2585600</v>
      </c>
      <c r="E296">
        <v>2047000</v>
      </c>
      <c r="F296">
        <v>3626000</v>
      </c>
      <c r="G296">
        <v>2640000</v>
      </c>
      <c r="H296">
        <v>5130000</v>
      </c>
    </row>
    <row r="297" spans="1:8" x14ac:dyDescent="0.3">
      <c r="A297">
        <v>51011643</v>
      </c>
      <c r="B297" t="str">
        <f>VLOOKUP(A297,VENTAS!$A$2:$B$1195,2,0)</f>
        <v>AYALA</v>
      </c>
      <c r="C297">
        <v>1376400</v>
      </c>
      <c r="D297">
        <v>3156000</v>
      </c>
      <c r="E297">
        <v>2110600</v>
      </c>
      <c r="F297">
        <v>3822000</v>
      </c>
      <c r="G297">
        <v>3017600</v>
      </c>
      <c r="H297">
        <v>5110000</v>
      </c>
    </row>
    <row r="298" spans="1:8" x14ac:dyDescent="0.3">
      <c r="A298">
        <v>51005333</v>
      </c>
      <c r="B298" t="str">
        <f>VLOOKUP(A298,VENTAS!$A$2:$B$1195,2,0)</f>
        <v>AYALA</v>
      </c>
      <c r="C298">
        <v>1589200</v>
      </c>
      <c r="D298">
        <v>3262000</v>
      </c>
      <c r="E298">
        <v>2054600</v>
      </c>
      <c r="F298">
        <v>4200000</v>
      </c>
      <c r="G298">
        <v>2724800</v>
      </c>
      <c r="H298">
        <v>5107500</v>
      </c>
    </row>
    <row r="299" spans="1:8" x14ac:dyDescent="0.3">
      <c r="A299">
        <v>51014197</v>
      </c>
      <c r="B299" t="str">
        <f>VLOOKUP(A299,VENTAS!$A$2:$B$1195,2,0)</f>
        <v>PUGH</v>
      </c>
      <c r="C299">
        <v>1236200</v>
      </c>
      <c r="D299">
        <v>3238400</v>
      </c>
      <c r="E299">
        <v>1693800</v>
      </c>
      <c r="F299">
        <v>3794000</v>
      </c>
      <c r="G299">
        <v>2710400</v>
      </c>
      <c r="H299">
        <v>5095000.0000000009</v>
      </c>
    </row>
    <row r="300" spans="1:8" x14ac:dyDescent="0.3">
      <c r="A300">
        <v>51019563</v>
      </c>
      <c r="B300" t="str">
        <f>VLOOKUP(A300,VENTAS!$A$2:$B$1195,2,0)</f>
        <v>ARGUELLO</v>
      </c>
      <c r="C300">
        <v>1438600</v>
      </c>
      <c r="D300">
        <v>3037600</v>
      </c>
      <c r="E300">
        <v>2286800</v>
      </c>
      <c r="F300">
        <v>3612000</v>
      </c>
      <c r="G300">
        <v>2884800</v>
      </c>
      <c r="H300">
        <v>5087500</v>
      </c>
    </row>
    <row r="301" spans="1:8" x14ac:dyDescent="0.3">
      <c r="A301">
        <v>51019954</v>
      </c>
      <c r="B301" t="str">
        <f>VLOOKUP(A301,VENTAS!$A$2:$B$1195,2,0)</f>
        <v>ARGUELLO</v>
      </c>
      <c r="C301">
        <v>1452800</v>
      </c>
      <c r="D301">
        <v>3421200</v>
      </c>
      <c r="E301">
        <v>1918200</v>
      </c>
      <c r="F301">
        <v>4418000</v>
      </c>
      <c r="G301">
        <v>2660800</v>
      </c>
      <c r="H301">
        <v>5087500</v>
      </c>
    </row>
    <row r="302" spans="1:8" x14ac:dyDescent="0.3">
      <c r="A302">
        <v>51023561</v>
      </c>
      <c r="B302" t="str">
        <f>VLOOKUP(A302,VENTAS!$A$2:$B$1195,2,0)</f>
        <v>LÓPEZ</v>
      </c>
      <c r="C302">
        <v>1251400</v>
      </c>
      <c r="D302">
        <v>3015600</v>
      </c>
      <c r="E302">
        <v>2080000</v>
      </c>
      <c r="F302">
        <v>3730000</v>
      </c>
      <c r="G302">
        <v>3024000</v>
      </c>
      <c r="H302">
        <v>5087500</v>
      </c>
    </row>
    <row r="303" spans="1:8" x14ac:dyDescent="0.3">
      <c r="A303">
        <v>51008618</v>
      </c>
      <c r="B303" t="str">
        <f>VLOOKUP(A303,VENTAS!$A$2:$B$1195,2,0)</f>
        <v>LÓPEZ</v>
      </c>
      <c r="C303">
        <v>1049200</v>
      </c>
      <c r="D303">
        <v>4344800</v>
      </c>
      <c r="E303">
        <v>2039600</v>
      </c>
      <c r="F303">
        <v>4944000</v>
      </c>
      <c r="G303">
        <v>3246400</v>
      </c>
      <c r="H303">
        <v>5085000.0000000009</v>
      </c>
    </row>
    <row r="304" spans="1:8" x14ac:dyDescent="0.3">
      <c r="A304">
        <v>51018371</v>
      </c>
      <c r="B304" t="str">
        <f>VLOOKUP(A304,VENTAS!$A$2:$B$1195,2,0)</f>
        <v>NELLI</v>
      </c>
      <c r="C304">
        <v>1690000</v>
      </c>
      <c r="D304">
        <v>3376800</v>
      </c>
      <c r="E304">
        <v>2575000</v>
      </c>
      <c r="F304">
        <v>3838000</v>
      </c>
      <c r="G304">
        <v>3168000</v>
      </c>
      <c r="H304">
        <v>5075000.0000000009</v>
      </c>
    </row>
    <row r="305" spans="1:8" x14ac:dyDescent="0.3">
      <c r="A305">
        <v>51014219</v>
      </c>
      <c r="B305" t="e">
        <f>VLOOKUP(A305,VENTAS!$A$2:$B$1195,2,0)</f>
        <v>#N/A</v>
      </c>
      <c r="C305">
        <v>696400</v>
      </c>
      <c r="D305">
        <v>0</v>
      </c>
      <c r="E305">
        <v>716000</v>
      </c>
      <c r="F305">
        <v>0</v>
      </c>
      <c r="G305">
        <v>3200</v>
      </c>
      <c r="H305">
        <v>5072500</v>
      </c>
    </row>
    <row r="306" spans="1:8" x14ac:dyDescent="0.3">
      <c r="A306">
        <v>51009797</v>
      </c>
      <c r="B306" t="str">
        <f>VLOOKUP(A306,VENTAS!$A$2:$B$1195,2,0)</f>
        <v>PUGH</v>
      </c>
      <c r="C306">
        <v>1524200</v>
      </c>
      <c r="D306">
        <v>3480800</v>
      </c>
      <c r="E306">
        <v>2287000</v>
      </c>
      <c r="F306">
        <v>4300000</v>
      </c>
      <c r="G306">
        <v>2972800</v>
      </c>
      <c r="H306">
        <v>5067500</v>
      </c>
    </row>
    <row r="307" spans="1:8" x14ac:dyDescent="0.3">
      <c r="A307">
        <v>51005171</v>
      </c>
      <c r="B307" t="str">
        <f>VLOOKUP(A307,VENTAS!$A$2:$B$1195,2,0)</f>
        <v>LÓPEZ</v>
      </c>
      <c r="C307">
        <v>1738800</v>
      </c>
      <c r="D307">
        <v>3742000</v>
      </c>
      <c r="E307">
        <v>2226000</v>
      </c>
      <c r="F307">
        <v>4442000</v>
      </c>
      <c r="G307">
        <v>3164800</v>
      </c>
      <c r="H307">
        <v>5052500</v>
      </c>
    </row>
    <row r="308" spans="1:8" x14ac:dyDescent="0.3">
      <c r="A308">
        <v>51010914</v>
      </c>
      <c r="B308" t="str">
        <f>VLOOKUP(A308,VENTAS!$A$2:$B$1195,2,0)</f>
        <v>LÓPEZ</v>
      </c>
      <c r="C308">
        <v>1041600</v>
      </c>
      <c r="D308">
        <v>2648400</v>
      </c>
      <c r="E308">
        <v>1505200</v>
      </c>
      <c r="F308">
        <v>3568000</v>
      </c>
      <c r="G308">
        <v>2086400</v>
      </c>
      <c r="H308">
        <v>5040000</v>
      </c>
    </row>
    <row r="309" spans="1:8" x14ac:dyDescent="0.3">
      <c r="A309">
        <v>51024265</v>
      </c>
      <c r="B309" t="str">
        <f>VLOOKUP(A309,VENTAS!$A$2:$B$1195,2,0)</f>
        <v>ARGUELLO</v>
      </c>
      <c r="C309">
        <v>1272000</v>
      </c>
      <c r="D309">
        <v>3070000</v>
      </c>
      <c r="E309">
        <v>1819600</v>
      </c>
      <c r="F309">
        <v>3586000</v>
      </c>
      <c r="G309">
        <v>2403200</v>
      </c>
      <c r="H309">
        <v>5035000.0000000009</v>
      </c>
    </row>
    <row r="310" spans="1:8" x14ac:dyDescent="0.3">
      <c r="A310">
        <v>51030389</v>
      </c>
      <c r="B310" t="str">
        <f>VLOOKUP(A310,VENTAS!$A$2:$B$1195,2,0)</f>
        <v>CICHETTO</v>
      </c>
      <c r="C310">
        <v>1369000</v>
      </c>
      <c r="D310">
        <v>3138400</v>
      </c>
      <c r="E310">
        <v>1878600</v>
      </c>
      <c r="F310">
        <v>3906000</v>
      </c>
      <c r="G310">
        <v>2806400</v>
      </c>
      <c r="H310">
        <v>5035000.0000000009</v>
      </c>
    </row>
    <row r="311" spans="1:8" x14ac:dyDescent="0.3">
      <c r="A311">
        <v>51022424</v>
      </c>
      <c r="B311" t="str">
        <f>VLOOKUP(A311,VENTAS!$A$2:$B$1195,2,0)</f>
        <v>ARGUELLO</v>
      </c>
      <c r="C311">
        <v>493200</v>
      </c>
      <c r="D311">
        <v>0</v>
      </c>
      <c r="E311">
        <v>410200.00000000012</v>
      </c>
      <c r="F311">
        <v>2370000</v>
      </c>
      <c r="G311">
        <v>134400</v>
      </c>
      <c r="H311">
        <v>5030000</v>
      </c>
    </row>
    <row r="312" spans="1:8" x14ac:dyDescent="0.3">
      <c r="A312">
        <v>51011538</v>
      </c>
      <c r="B312" t="str">
        <f>VLOOKUP(A312,VENTAS!$A$2:$B$1195,2,0)</f>
        <v>CICHETTO</v>
      </c>
      <c r="C312">
        <v>1843800</v>
      </c>
      <c r="D312">
        <v>3705600</v>
      </c>
      <c r="E312">
        <v>2388600</v>
      </c>
      <c r="F312">
        <v>4404000</v>
      </c>
      <c r="G312">
        <v>3320000</v>
      </c>
      <c r="H312">
        <v>4990000</v>
      </c>
    </row>
    <row r="313" spans="1:8" x14ac:dyDescent="0.3">
      <c r="A313">
        <v>51029984</v>
      </c>
      <c r="B313" t="str">
        <f>VLOOKUP(A313,VENTAS!$A$2:$B$1195,2,0)</f>
        <v>PUGH</v>
      </c>
      <c r="C313">
        <v>1153400</v>
      </c>
      <c r="D313">
        <v>3143200</v>
      </c>
      <c r="E313">
        <v>1523000</v>
      </c>
      <c r="F313">
        <v>3474000</v>
      </c>
      <c r="G313">
        <v>2217600</v>
      </c>
      <c r="H313">
        <v>4977500</v>
      </c>
    </row>
    <row r="314" spans="1:8" x14ac:dyDescent="0.3">
      <c r="A314">
        <v>51054911</v>
      </c>
      <c r="B314" t="str">
        <f>VLOOKUP(A314,VENTAS!$A$2:$B$1195,2,0)</f>
        <v>BELUZZO</v>
      </c>
      <c r="C314">
        <v>1237600</v>
      </c>
      <c r="D314">
        <v>2591200</v>
      </c>
      <c r="E314">
        <v>1679400</v>
      </c>
      <c r="F314">
        <v>3360000</v>
      </c>
      <c r="G314">
        <v>2144000</v>
      </c>
      <c r="H314">
        <v>4965000</v>
      </c>
    </row>
    <row r="315" spans="1:8" x14ac:dyDescent="0.3">
      <c r="A315">
        <v>51010353</v>
      </c>
      <c r="B315" t="str">
        <f>VLOOKUP(A315,VENTAS!$A$2:$B$1195,2,0)</f>
        <v>ROBERTS</v>
      </c>
      <c r="C315">
        <v>855999.99999999988</v>
      </c>
      <c r="D315">
        <v>3219600</v>
      </c>
      <c r="E315">
        <v>1357400</v>
      </c>
      <c r="F315">
        <v>4018000</v>
      </c>
      <c r="G315">
        <v>2288000</v>
      </c>
      <c r="H315">
        <v>4960000</v>
      </c>
    </row>
    <row r="316" spans="1:8" x14ac:dyDescent="0.3">
      <c r="A316">
        <v>51013239</v>
      </c>
      <c r="B316" t="str">
        <f>VLOOKUP(A316,VENTAS!$A$2:$B$1195,2,0)</f>
        <v>NELLI</v>
      </c>
      <c r="C316">
        <v>1408800</v>
      </c>
      <c r="D316">
        <v>2868400</v>
      </c>
      <c r="E316">
        <v>2010400</v>
      </c>
      <c r="F316">
        <v>3978000</v>
      </c>
      <c r="G316">
        <v>2670400</v>
      </c>
      <c r="H316">
        <v>4957500</v>
      </c>
    </row>
    <row r="317" spans="1:8" x14ac:dyDescent="0.3">
      <c r="A317">
        <v>51024702</v>
      </c>
      <c r="B317" t="str">
        <f>VLOOKUP(A317,VENTAS!$A$2:$B$1195,2,0)</f>
        <v>NELLI</v>
      </c>
      <c r="C317">
        <v>1459600</v>
      </c>
      <c r="D317">
        <v>3734800</v>
      </c>
      <c r="E317">
        <v>2377000</v>
      </c>
      <c r="F317">
        <v>4714000</v>
      </c>
      <c r="G317">
        <v>3366400</v>
      </c>
      <c r="H317">
        <v>4945000</v>
      </c>
    </row>
    <row r="318" spans="1:8" x14ac:dyDescent="0.3">
      <c r="A318">
        <v>51038886</v>
      </c>
      <c r="B318" t="str">
        <f>VLOOKUP(A318,VENTAS!$A$2:$B$1195,2,0)</f>
        <v>LÓPEZ</v>
      </c>
      <c r="C318">
        <v>994800.00000000012</v>
      </c>
      <c r="D318">
        <v>2864400</v>
      </c>
      <c r="E318">
        <v>1128400</v>
      </c>
      <c r="F318">
        <v>3942000</v>
      </c>
      <c r="G318">
        <v>1678400</v>
      </c>
      <c r="H318">
        <v>4942500</v>
      </c>
    </row>
    <row r="319" spans="1:8" x14ac:dyDescent="0.3">
      <c r="A319">
        <v>51033710</v>
      </c>
      <c r="B319" t="str">
        <f>VLOOKUP(A319,VENTAS!$A$2:$B$1195,2,0)</f>
        <v>METTLER</v>
      </c>
      <c r="C319">
        <v>1697800</v>
      </c>
      <c r="D319">
        <v>3790800</v>
      </c>
      <c r="E319">
        <v>2105200</v>
      </c>
      <c r="F319">
        <v>4378000</v>
      </c>
      <c r="G319">
        <v>3132800</v>
      </c>
      <c r="H319">
        <v>4940000</v>
      </c>
    </row>
    <row r="320" spans="1:8" x14ac:dyDescent="0.3">
      <c r="A320">
        <v>51017579</v>
      </c>
      <c r="B320" t="str">
        <f>VLOOKUP(A320,VENTAS!$A$2:$B$1195,2,0)</f>
        <v>ROBERTS</v>
      </c>
      <c r="C320">
        <v>1200400</v>
      </c>
      <c r="D320">
        <v>2510400</v>
      </c>
      <c r="E320">
        <v>1651400</v>
      </c>
      <c r="F320">
        <v>3424000</v>
      </c>
      <c r="G320">
        <v>2222400</v>
      </c>
      <c r="H320">
        <v>4930000</v>
      </c>
    </row>
    <row r="321" spans="1:8" x14ac:dyDescent="0.3">
      <c r="A321">
        <v>51031253</v>
      </c>
      <c r="B321" t="str">
        <f>VLOOKUP(A321,VENTAS!$A$2:$B$1195,2,0)</f>
        <v>BELUZZO</v>
      </c>
      <c r="C321">
        <v>1306400</v>
      </c>
      <c r="D321">
        <v>2966800</v>
      </c>
      <c r="E321">
        <v>2123200</v>
      </c>
      <c r="F321">
        <v>3510000</v>
      </c>
      <c r="G321">
        <v>3052800</v>
      </c>
      <c r="H321">
        <v>4927500</v>
      </c>
    </row>
    <row r="322" spans="1:8" x14ac:dyDescent="0.3">
      <c r="A322">
        <v>51014774</v>
      </c>
      <c r="B322" t="str">
        <f>VLOOKUP(A322,VENTAS!$A$2:$B$1195,2,0)</f>
        <v>PUGH</v>
      </c>
      <c r="C322">
        <v>1470200</v>
      </c>
      <c r="D322">
        <v>3772400</v>
      </c>
      <c r="E322">
        <v>2216600</v>
      </c>
      <c r="F322">
        <v>4596000</v>
      </c>
      <c r="G322">
        <v>3062400</v>
      </c>
      <c r="H322">
        <v>4912500</v>
      </c>
    </row>
    <row r="323" spans="1:8" x14ac:dyDescent="0.3">
      <c r="A323">
        <v>51056345</v>
      </c>
      <c r="B323" t="str">
        <f>VLOOKUP(A323,VENTAS!$A$2:$B$1195,2,0)</f>
        <v>AYALA</v>
      </c>
      <c r="C323">
        <v>1569400</v>
      </c>
      <c r="D323">
        <v>3184000</v>
      </c>
      <c r="E323">
        <v>2023600</v>
      </c>
      <c r="F323">
        <v>4118000</v>
      </c>
      <c r="G323">
        <v>2956800</v>
      </c>
      <c r="H323">
        <v>4910000</v>
      </c>
    </row>
    <row r="324" spans="1:8" x14ac:dyDescent="0.3">
      <c r="A324">
        <v>51056833</v>
      </c>
      <c r="B324" t="str">
        <f>VLOOKUP(A324,VENTAS!$A$2:$B$1195,2,0)</f>
        <v>AYALA</v>
      </c>
      <c r="C324">
        <v>1424600</v>
      </c>
      <c r="D324">
        <v>2977200</v>
      </c>
      <c r="E324">
        <v>2042000</v>
      </c>
      <c r="F324">
        <v>3780000</v>
      </c>
      <c r="G324">
        <v>2606400</v>
      </c>
      <c r="H324">
        <v>4910000</v>
      </c>
    </row>
    <row r="325" spans="1:8" x14ac:dyDescent="0.3">
      <c r="A325">
        <v>51038932</v>
      </c>
      <c r="B325" t="str">
        <f>VLOOKUP(A325,VENTAS!$A$2:$B$1195,2,0)</f>
        <v>BELUZZO</v>
      </c>
      <c r="C325">
        <v>1349000</v>
      </c>
      <c r="D325">
        <v>2858800</v>
      </c>
      <c r="E325">
        <v>1796600</v>
      </c>
      <c r="F325">
        <v>3672000</v>
      </c>
      <c r="G325">
        <v>2628800</v>
      </c>
      <c r="H325">
        <v>4892500</v>
      </c>
    </row>
    <row r="326" spans="1:8" x14ac:dyDescent="0.3">
      <c r="A326">
        <v>51032063</v>
      </c>
      <c r="B326" t="str">
        <f>VLOOKUP(A326,VENTAS!$A$2:$B$1195,2,0)</f>
        <v>BELUZZO</v>
      </c>
      <c r="C326">
        <v>1059600</v>
      </c>
      <c r="D326">
        <v>2033600</v>
      </c>
      <c r="E326">
        <v>1410000</v>
      </c>
      <c r="F326">
        <v>3384000</v>
      </c>
      <c r="G326">
        <v>1785600</v>
      </c>
      <c r="H326">
        <v>4882500</v>
      </c>
    </row>
    <row r="327" spans="1:8" x14ac:dyDescent="0.3">
      <c r="A327">
        <v>51031750</v>
      </c>
      <c r="B327" t="str">
        <f>VLOOKUP(A327,VENTAS!$A$2:$B$1195,2,0)</f>
        <v>ROBERTS</v>
      </c>
      <c r="C327">
        <v>880999.99999999988</v>
      </c>
      <c r="D327">
        <v>2707200</v>
      </c>
      <c r="E327">
        <v>1704800</v>
      </c>
      <c r="F327">
        <v>3834000</v>
      </c>
      <c r="G327">
        <v>2352000</v>
      </c>
      <c r="H327">
        <v>4865000</v>
      </c>
    </row>
    <row r="328" spans="1:8" x14ac:dyDescent="0.3">
      <c r="A328">
        <v>51030028</v>
      </c>
      <c r="B328" t="str">
        <f>VLOOKUP(A328,VENTAS!$A$2:$B$1195,2,0)</f>
        <v>AYALA</v>
      </c>
      <c r="C328">
        <v>1493800</v>
      </c>
      <c r="D328">
        <v>3144800</v>
      </c>
      <c r="E328">
        <v>2036600</v>
      </c>
      <c r="F328">
        <v>3512000</v>
      </c>
      <c r="G328">
        <v>2672000</v>
      </c>
      <c r="H328">
        <v>4857500</v>
      </c>
    </row>
    <row r="329" spans="1:8" x14ac:dyDescent="0.3">
      <c r="A329">
        <v>51030109</v>
      </c>
      <c r="B329" t="str">
        <f>VLOOKUP(A329,VENTAS!$A$2:$B$1195,2,0)</f>
        <v>AYALA</v>
      </c>
      <c r="C329">
        <v>1733800</v>
      </c>
      <c r="D329">
        <v>3391600</v>
      </c>
      <c r="E329">
        <v>2208800</v>
      </c>
      <c r="F329">
        <v>3946000</v>
      </c>
      <c r="G329">
        <v>2852800</v>
      </c>
      <c r="H329">
        <v>4857500</v>
      </c>
    </row>
    <row r="330" spans="1:8" x14ac:dyDescent="0.3">
      <c r="A330">
        <v>51026578</v>
      </c>
      <c r="B330" t="str">
        <f>VLOOKUP(A330,VENTAS!$A$2:$B$1195,2,0)</f>
        <v>PRADES</v>
      </c>
      <c r="C330">
        <v>1224600</v>
      </c>
      <c r="D330">
        <v>2588800</v>
      </c>
      <c r="E330">
        <v>1671600</v>
      </c>
      <c r="F330">
        <v>3582000</v>
      </c>
      <c r="G330">
        <v>2412800</v>
      </c>
      <c r="H330">
        <v>4855000</v>
      </c>
    </row>
    <row r="331" spans="1:8" x14ac:dyDescent="0.3">
      <c r="A331">
        <v>51055080</v>
      </c>
      <c r="B331" t="str">
        <f>VLOOKUP(A331,VENTAS!$A$2:$B$1195,2,0)</f>
        <v>NELLI</v>
      </c>
      <c r="C331">
        <v>1511800</v>
      </c>
      <c r="D331">
        <v>3210000</v>
      </c>
      <c r="E331">
        <v>2114200</v>
      </c>
      <c r="F331">
        <v>3680000</v>
      </c>
      <c r="G331">
        <v>2864000</v>
      </c>
      <c r="H331">
        <v>4850000</v>
      </c>
    </row>
    <row r="332" spans="1:8" x14ac:dyDescent="0.3">
      <c r="A332">
        <v>51010736</v>
      </c>
      <c r="B332" t="str">
        <f>VLOOKUP(A332,VENTAS!$A$2:$B$1195,2,0)</f>
        <v>AYALA</v>
      </c>
      <c r="C332">
        <v>1653000</v>
      </c>
      <c r="D332">
        <v>2658400</v>
      </c>
      <c r="E332">
        <v>2393200</v>
      </c>
      <c r="F332">
        <v>3626000</v>
      </c>
      <c r="G332">
        <v>2892800</v>
      </c>
      <c r="H332">
        <v>4837500</v>
      </c>
    </row>
    <row r="333" spans="1:8" x14ac:dyDescent="0.3">
      <c r="A333">
        <v>51014391</v>
      </c>
      <c r="B333" t="str">
        <f>VLOOKUP(A333,VENTAS!$A$2:$B$1195,2,0)</f>
        <v>LÓPEZ</v>
      </c>
      <c r="C333">
        <v>1536600</v>
      </c>
      <c r="D333">
        <v>3202800</v>
      </c>
      <c r="E333">
        <v>1916800</v>
      </c>
      <c r="F333">
        <v>4156000</v>
      </c>
      <c r="G333">
        <v>2838400</v>
      </c>
      <c r="H333">
        <v>4822500</v>
      </c>
    </row>
    <row r="334" spans="1:8" x14ac:dyDescent="0.3">
      <c r="A334">
        <v>51013581</v>
      </c>
      <c r="B334" t="str">
        <f>VLOOKUP(A334,VENTAS!$A$2:$B$1195,2,0)</f>
        <v>CICHETTO</v>
      </c>
      <c r="C334">
        <v>1397800</v>
      </c>
      <c r="D334">
        <v>3364400</v>
      </c>
      <c r="E334">
        <v>1993200</v>
      </c>
      <c r="F334">
        <v>4154000</v>
      </c>
      <c r="G334">
        <v>2747200</v>
      </c>
      <c r="H334">
        <v>4812500</v>
      </c>
    </row>
    <row r="335" spans="1:8" x14ac:dyDescent="0.3">
      <c r="A335">
        <v>51019512</v>
      </c>
      <c r="B335" t="str">
        <f>VLOOKUP(A335,VENTAS!$A$2:$B$1195,2,0)</f>
        <v>BELUZZO</v>
      </c>
      <c r="C335">
        <v>1218400</v>
      </c>
      <c r="D335">
        <v>3205200</v>
      </c>
      <c r="E335">
        <v>1805200</v>
      </c>
      <c r="F335">
        <v>3898000</v>
      </c>
      <c r="G335">
        <v>2849600</v>
      </c>
      <c r="H335">
        <v>4802500</v>
      </c>
    </row>
    <row r="336" spans="1:8" x14ac:dyDescent="0.3">
      <c r="A336">
        <v>51018427</v>
      </c>
      <c r="B336" t="str">
        <f>VLOOKUP(A336,VENTAS!$A$2:$B$1195,2,0)</f>
        <v>ROBERTS</v>
      </c>
      <c r="C336">
        <v>1485000</v>
      </c>
      <c r="D336">
        <v>3482800</v>
      </c>
      <c r="E336">
        <v>1900800</v>
      </c>
      <c r="F336">
        <v>3934000</v>
      </c>
      <c r="G336">
        <v>2852800</v>
      </c>
      <c r="H336">
        <v>4800000</v>
      </c>
    </row>
    <row r="337" spans="1:8" x14ac:dyDescent="0.3">
      <c r="A337">
        <v>51033418</v>
      </c>
      <c r="B337" t="str">
        <f>VLOOKUP(A337,VENTAS!$A$2:$B$1195,2,0)</f>
        <v>PRADES</v>
      </c>
      <c r="C337">
        <v>1472000</v>
      </c>
      <c r="D337">
        <v>2424800</v>
      </c>
      <c r="E337">
        <v>2145400</v>
      </c>
      <c r="F337">
        <v>3942000</v>
      </c>
      <c r="G337">
        <v>2745600</v>
      </c>
      <c r="H337">
        <v>4782500</v>
      </c>
    </row>
    <row r="338" spans="1:8" x14ac:dyDescent="0.3">
      <c r="A338">
        <v>51011155</v>
      </c>
      <c r="B338" t="str">
        <f>VLOOKUP(A338,VENTAS!$A$2:$B$1195,2,0)</f>
        <v>CICHETTO</v>
      </c>
      <c r="C338">
        <v>1261600</v>
      </c>
      <c r="D338">
        <v>2923600</v>
      </c>
      <c r="E338">
        <v>1944400</v>
      </c>
      <c r="F338">
        <v>3922000</v>
      </c>
      <c r="G338">
        <v>2648000</v>
      </c>
      <c r="H338">
        <v>4765000</v>
      </c>
    </row>
    <row r="339" spans="1:8" x14ac:dyDescent="0.3">
      <c r="A339">
        <v>51056001</v>
      </c>
      <c r="B339" t="str">
        <f>VLOOKUP(A339,VENTAS!$A$2:$B$1195,2,0)</f>
        <v>BELUZZO</v>
      </c>
      <c r="C339">
        <v>1225200</v>
      </c>
      <c r="D339">
        <v>3468000</v>
      </c>
      <c r="E339">
        <v>1938600</v>
      </c>
      <c r="F339">
        <v>3962000</v>
      </c>
      <c r="G339">
        <v>3166400</v>
      </c>
      <c r="H339">
        <v>4755000</v>
      </c>
    </row>
    <row r="340" spans="1:8" x14ac:dyDescent="0.3">
      <c r="A340">
        <v>51016475</v>
      </c>
      <c r="B340" t="str">
        <f>VLOOKUP(A340,VENTAS!$A$2:$B$1195,2,0)</f>
        <v>PUGH</v>
      </c>
      <c r="C340">
        <v>1948600</v>
      </c>
      <c r="D340">
        <v>3281600</v>
      </c>
      <c r="E340">
        <v>1903000</v>
      </c>
      <c r="F340">
        <v>4362000</v>
      </c>
      <c r="G340">
        <v>2632000</v>
      </c>
      <c r="H340">
        <v>4740000</v>
      </c>
    </row>
    <row r="341" spans="1:8" x14ac:dyDescent="0.3">
      <c r="A341">
        <v>51056736</v>
      </c>
      <c r="B341" t="str">
        <f>VLOOKUP(A341,VENTAS!$A$2:$B$1195,2,0)</f>
        <v>METTLER</v>
      </c>
      <c r="C341">
        <v>1343000</v>
      </c>
      <c r="D341">
        <v>2971200</v>
      </c>
      <c r="E341">
        <v>1649400</v>
      </c>
      <c r="F341">
        <v>3784000</v>
      </c>
      <c r="G341">
        <v>2268800</v>
      </c>
      <c r="H341">
        <v>4737500</v>
      </c>
    </row>
    <row r="342" spans="1:8" x14ac:dyDescent="0.3">
      <c r="A342">
        <v>51035976</v>
      </c>
      <c r="B342" t="str">
        <f>VLOOKUP(A342,VENTAS!$A$2:$B$1195,2,0)</f>
        <v>PRADES</v>
      </c>
      <c r="C342">
        <v>1678200</v>
      </c>
      <c r="D342">
        <v>2946400</v>
      </c>
      <c r="E342">
        <v>2201000</v>
      </c>
      <c r="F342">
        <v>3770000</v>
      </c>
      <c r="G342">
        <v>3009600</v>
      </c>
      <c r="H342">
        <v>4735000</v>
      </c>
    </row>
    <row r="343" spans="1:8" x14ac:dyDescent="0.3">
      <c r="A343">
        <v>51056639</v>
      </c>
      <c r="B343" t="str">
        <f>VLOOKUP(A343,VENTAS!$A$2:$B$1195,2,0)</f>
        <v>BELUZZO</v>
      </c>
      <c r="C343">
        <v>1274200</v>
      </c>
      <c r="D343">
        <v>2940000</v>
      </c>
      <c r="E343">
        <v>1637200</v>
      </c>
      <c r="F343">
        <v>3870000</v>
      </c>
      <c r="G343">
        <v>2606400</v>
      </c>
      <c r="H343">
        <v>4735000</v>
      </c>
    </row>
    <row r="344" spans="1:8" x14ac:dyDescent="0.3">
      <c r="A344">
        <v>51030923</v>
      </c>
      <c r="B344" t="str">
        <f>VLOOKUP(A344,VENTAS!$A$2:$B$1195,2,0)</f>
        <v>ROBERTS</v>
      </c>
      <c r="C344">
        <v>1162400</v>
      </c>
      <c r="D344">
        <v>2713600</v>
      </c>
      <c r="E344">
        <v>1430600</v>
      </c>
      <c r="F344">
        <v>3238000</v>
      </c>
      <c r="G344">
        <v>2043200</v>
      </c>
      <c r="H344">
        <v>4727500</v>
      </c>
    </row>
    <row r="345" spans="1:8" x14ac:dyDescent="0.3">
      <c r="A345">
        <v>51017706</v>
      </c>
      <c r="B345" t="str">
        <f>VLOOKUP(A345,VENTAS!$A$2:$B$1195,2,0)</f>
        <v>ROBERTS</v>
      </c>
      <c r="C345">
        <v>976399.99999999988</v>
      </c>
      <c r="D345">
        <v>2709600</v>
      </c>
      <c r="E345">
        <v>1472400</v>
      </c>
      <c r="F345">
        <v>3926000</v>
      </c>
      <c r="G345">
        <v>2454400</v>
      </c>
      <c r="H345">
        <v>4717500</v>
      </c>
    </row>
    <row r="346" spans="1:8" x14ac:dyDescent="0.3">
      <c r="A346">
        <v>51031407</v>
      </c>
      <c r="B346" t="str">
        <f>VLOOKUP(A346,VENTAS!$A$2:$B$1195,2,0)</f>
        <v>PUGH</v>
      </c>
      <c r="C346">
        <v>1473200</v>
      </c>
      <c r="D346">
        <v>2560000</v>
      </c>
      <c r="E346">
        <v>2031400</v>
      </c>
      <c r="F346">
        <v>3308000</v>
      </c>
      <c r="G346">
        <v>2800000</v>
      </c>
      <c r="H346">
        <v>4717500</v>
      </c>
    </row>
    <row r="347" spans="1:8" x14ac:dyDescent="0.3">
      <c r="A347">
        <v>51033761</v>
      </c>
      <c r="B347" t="str">
        <f>VLOOKUP(A347,VENTAS!$A$2:$B$1195,2,0)</f>
        <v>CICHETTO</v>
      </c>
      <c r="C347">
        <v>1444400</v>
      </c>
      <c r="D347">
        <v>3078000</v>
      </c>
      <c r="E347">
        <v>2009400</v>
      </c>
      <c r="F347">
        <v>3408000</v>
      </c>
      <c r="G347">
        <v>2822400</v>
      </c>
      <c r="H347">
        <v>4715000</v>
      </c>
    </row>
    <row r="348" spans="1:8" x14ac:dyDescent="0.3">
      <c r="A348">
        <v>51021622</v>
      </c>
      <c r="B348" t="str">
        <f>VLOOKUP(A348,VENTAS!$A$2:$B$1195,2,0)</f>
        <v>PRADES</v>
      </c>
      <c r="C348">
        <v>1462800</v>
      </c>
      <c r="D348">
        <v>3284800</v>
      </c>
      <c r="E348">
        <v>2433600</v>
      </c>
      <c r="F348">
        <v>4466000</v>
      </c>
      <c r="G348">
        <v>3308800</v>
      </c>
      <c r="H348">
        <v>4707500</v>
      </c>
    </row>
    <row r="349" spans="1:8" x14ac:dyDescent="0.3">
      <c r="A349">
        <v>51000811</v>
      </c>
      <c r="B349" t="str">
        <f>VLOOKUP(A349,VENTAS!$A$2:$B$1195,2,0)</f>
        <v>CICHETTO</v>
      </c>
      <c r="C349">
        <v>1352800</v>
      </c>
      <c r="D349">
        <v>3213200</v>
      </c>
      <c r="E349">
        <v>2283400</v>
      </c>
      <c r="F349">
        <v>4248000</v>
      </c>
      <c r="G349">
        <v>2694400</v>
      </c>
      <c r="H349">
        <v>4702500</v>
      </c>
    </row>
    <row r="350" spans="1:8" x14ac:dyDescent="0.3">
      <c r="A350">
        <v>51016394</v>
      </c>
      <c r="B350" t="str">
        <f>VLOOKUP(A350,VENTAS!$A$2:$B$1195,2,0)</f>
        <v>METTLER</v>
      </c>
      <c r="C350">
        <v>1439800</v>
      </c>
      <c r="D350">
        <v>3124400</v>
      </c>
      <c r="E350">
        <v>1991800</v>
      </c>
      <c r="F350">
        <v>3872000</v>
      </c>
      <c r="G350">
        <v>2492800</v>
      </c>
      <c r="H350">
        <v>4692500</v>
      </c>
    </row>
    <row r="351" spans="1:8" x14ac:dyDescent="0.3">
      <c r="A351">
        <v>51041232</v>
      </c>
      <c r="B351" t="str">
        <f>VLOOKUP(A351,VENTAS!$A$2:$B$1195,2,0)</f>
        <v>ARGUELLO</v>
      </c>
      <c r="C351">
        <v>1018200</v>
      </c>
      <c r="D351">
        <v>2751200</v>
      </c>
      <c r="E351">
        <v>1509000</v>
      </c>
      <c r="F351">
        <v>3960000</v>
      </c>
      <c r="G351">
        <v>2144000</v>
      </c>
      <c r="H351">
        <v>4692500</v>
      </c>
    </row>
    <row r="352" spans="1:8" x14ac:dyDescent="0.3">
      <c r="A352">
        <v>51012372</v>
      </c>
      <c r="B352" t="str">
        <f>VLOOKUP(A352,VENTAS!$A$2:$B$1195,2,0)</f>
        <v>METTLER</v>
      </c>
      <c r="C352">
        <v>1202600</v>
      </c>
      <c r="D352">
        <v>2966800</v>
      </c>
      <c r="E352">
        <v>1677000</v>
      </c>
      <c r="F352">
        <v>3748000</v>
      </c>
      <c r="G352">
        <v>2486400</v>
      </c>
      <c r="H352">
        <v>4687500</v>
      </c>
    </row>
    <row r="353" spans="1:8" x14ac:dyDescent="0.3">
      <c r="A353">
        <v>51019652</v>
      </c>
      <c r="B353" t="str">
        <f>VLOOKUP(A353,VENTAS!$A$2:$B$1195,2,0)</f>
        <v>ROBERTS</v>
      </c>
      <c r="C353">
        <v>1283200</v>
      </c>
      <c r="D353">
        <v>2888800</v>
      </c>
      <c r="E353">
        <v>2086200</v>
      </c>
      <c r="F353">
        <v>3926000</v>
      </c>
      <c r="G353">
        <v>2892800</v>
      </c>
      <c r="H353">
        <v>4687500</v>
      </c>
    </row>
    <row r="354" spans="1:8" x14ac:dyDescent="0.3">
      <c r="A354">
        <v>51022408</v>
      </c>
      <c r="B354" t="str">
        <f>VLOOKUP(A354,VENTAS!$A$2:$B$1195,2,0)</f>
        <v>ROBERTS</v>
      </c>
      <c r="C354">
        <v>1114000</v>
      </c>
      <c r="D354">
        <v>3324000</v>
      </c>
      <c r="E354">
        <v>1493000</v>
      </c>
      <c r="F354">
        <v>3464000</v>
      </c>
      <c r="G354">
        <v>2081600</v>
      </c>
      <c r="H354">
        <v>4685000</v>
      </c>
    </row>
    <row r="355" spans="1:8" x14ac:dyDescent="0.3">
      <c r="A355">
        <v>51024214</v>
      </c>
      <c r="B355" t="str">
        <f>VLOOKUP(A355,VENTAS!$A$2:$B$1195,2,0)</f>
        <v>AYALA</v>
      </c>
      <c r="C355">
        <v>1282000</v>
      </c>
      <c r="D355">
        <v>3224400</v>
      </c>
      <c r="E355">
        <v>1905600</v>
      </c>
      <c r="F355">
        <v>3916000</v>
      </c>
      <c r="G355">
        <v>2505600</v>
      </c>
      <c r="H355">
        <v>4685000</v>
      </c>
    </row>
    <row r="356" spans="1:8" x14ac:dyDescent="0.3">
      <c r="A356">
        <v>51017790</v>
      </c>
      <c r="B356" t="str">
        <f>VLOOKUP(A356,VENTAS!$A$2:$B$1195,2,0)</f>
        <v>NELLI</v>
      </c>
      <c r="C356">
        <v>1392600</v>
      </c>
      <c r="D356">
        <v>2553200</v>
      </c>
      <c r="E356">
        <v>1741200</v>
      </c>
      <c r="F356">
        <v>3596000</v>
      </c>
      <c r="G356">
        <v>2267200</v>
      </c>
      <c r="H356">
        <v>4682500</v>
      </c>
    </row>
    <row r="357" spans="1:8" x14ac:dyDescent="0.3">
      <c r="A357">
        <v>51055144</v>
      </c>
      <c r="B357" t="str">
        <f>VLOOKUP(A357,VENTAS!$A$2:$B$1195,2,0)</f>
        <v>ARGUELLO</v>
      </c>
      <c r="C357">
        <v>0</v>
      </c>
      <c r="D357">
        <v>2334400</v>
      </c>
      <c r="E357">
        <v>536600</v>
      </c>
      <c r="F357">
        <v>3736000</v>
      </c>
      <c r="G357">
        <v>2043200</v>
      </c>
      <c r="H357">
        <v>4677500</v>
      </c>
    </row>
    <row r="358" spans="1:8" x14ac:dyDescent="0.3">
      <c r="A358">
        <v>51038657</v>
      </c>
      <c r="B358" t="str">
        <f>VLOOKUP(A358,VENTAS!$A$2:$B$1195,2,0)</f>
        <v>LÓPEZ</v>
      </c>
      <c r="C358">
        <v>1417000</v>
      </c>
      <c r="D358">
        <v>3456000</v>
      </c>
      <c r="E358">
        <v>1943000</v>
      </c>
      <c r="F358">
        <v>3566000</v>
      </c>
      <c r="G358">
        <v>2784000</v>
      </c>
      <c r="H358">
        <v>4670000</v>
      </c>
    </row>
    <row r="359" spans="1:8" x14ac:dyDescent="0.3">
      <c r="A359">
        <v>51056744</v>
      </c>
      <c r="B359" t="str">
        <f>VLOOKUP(A359,VENTAS!$A$2:$B$1195,2,0)</f>
        <v>ROBERTS</v>
      </c>
      <c r="C359">
        <v>1042600</v>
      </c>
      <c r="D359">
        <v>2854400</v>
      </c>
      <c r="E359">
        <v>1747600</v>
      </c>
      <c r="F359">
        <v>3812000</v>
      </c>
      <c r="G359">
        <v>2190400</v>
      </c>
      <c r="H359">
        <v>4660000</v>
      </c>
    </row>
    <row r="360" spans="1:8" x14ac:dyDescent="0.3">
      <c r="A360">
        <v>51056655</v>
      </c>
      <c r="B360" t="str">
        <f>VLOOKUP(A360,VENTAS!$A$2:$B$1195,2,0)</f>
        <v>NELLI</v>
      </c>
      <c r="C360">
        <v>1538600</v>
      </c>
      <c r="D360">
        <v>3265600</v>
      </c>
      <c r="E360">
        <v>1995200</v>
      </c>
      <c r="F360">
        <v>4382000</v>
      </c>
      <c r="G360">
        <v>2704000</v>
      </c>
      <c r="H360">
        <v>4645000</v>
      </c>
    </row>
    <row r="361" spans="1:8" x14ac:dyDescent="0.3">
      <c r="A361">
        <v>51022785</v>
      </c>
      <c r="B361" t="str">
        <f>VLOOKUP(A361,VENTAS!$A$2:$B$1195,2,0)</f>
        <v>MONTENEGRO</v>
      </c>
      <c r="C361">
        <v>1242200</v>
      </c>
      <c r="D361">
        <v>2719200</v>
      </c>
      <c r="E361">
        <v>2179200</v>
      </c>
      <c r="F361">
        <v>3560000</v>
      </c>
      <c r="G361">
        <v>2668800</v>
      </c>
      <c r="H361">
        <v>4627500</v>
      </c>
    </row>
    <row r="362" spans="1:8" x14ac:dyDescent="0.3">
      <c r="A362">
        <v>51011325</v>
      </c>
      <c r="B362" t="str">
        <f>VLOOKUP(A362,VENTAS!$A$2:$B$1195,2,0)</f>
        <v>AYALA</v>
      </c>
      <c r="C362">
        <v>1322400</v>
      </c>
      <c r="D362">
        <v>2306400</v>
      </c>
      <c r="E362">
        <v>1943400</v>
      </c>
      <c r="F362">
        <v>3430000</v>
      </c>
      <c r="G362">
        <v>2600000</v>
      </c>
      <c r="H362">
        <v>4615000</v>
      </c>
    </row>
    <row r="363" spans="1:8" x14ac:dyDescent="0.3">
      <c r="A363">
        <v>51036034</v>
      </c>
      <c r="B363" t="str">
        <f>VLOOKUP(A363,VENTAS!$A$2:$B$1195,2,0)</f>
        <v>NELLI</v>
      </c>
      <c r="C363">
        <v>1352200</v>
      </c>
      <c r="D363">
        <v>2876400</v>
      </c>
      <c r="E363">
        <v>1997400</v>
      </c>
      <c r="F363">
        <v>3506000</v>
      </c>
      <c r="G363">
        <v>2497600</v>
      </c>
      <c r="H363">
        <v>4615000</v>
      </c>
    </row>
    <row r="364" spans="1:8" x14ac:dyDescent="0.3">
      <c r="A364">
        <v>51003926</v>
      </c>
      <c r="B364" t="str">
        <f>VLOOKUP(A364,VENTAS!$A$2:$B$1195,2,0)</f>
        <v>ARGUELLO</v>
      </c>
      <c r="C364">
        <v>1332600</v>
      </c>
      <c r="D364">
        <v>2494400</v>
      </c>
      <c r="E364">
        <v>1805400</v>
      </c>
      <c r="F364">
        <v>3504000</v>
      </c>
      <c r="G364">
        <v>2379200</v>
      </c>
      <c r="H364">
        <v>4605000</v>
      </c>
    </row>
    <row r="365" spans="1:8" x14ac:dyDescent="0.3">
      <c r="A365">
        <v>51019661</v>
      </c>
      <c r="B365" t="str">
        <f>VLOOKUP(A365,VENTAS!$A$2:$B$1195,2,0)</f>
        <v>ARGUELLO</v>
      </c>
      <c r="C365">
        <v>1208600</v>
      </c>
      <c r="D365">
        <v>2910000</v>
      </c>
      <c r="E365">
        <v>1706800</v>
      </c>
      <c r="F365">
        <v>3372000</v>
      </c>
      <c r="G365">
        <v>2595200</v>
      </c>
      <c r="H365">
        <v>4602500</v>
      </c>
    </row>
    <row r="366" spans="1:8" x14ac:dyDescent="0.3">
      <c r="A366">
        <v>51012348</v>
      </c>
      <c r="B366" t="str">
        <f>VLOOKUP(A366,VENTAS!$A$2:$B$1195,2,0)</f>
        <v>NELLI</v>
      </c>
      <c r="C366">
        <v>1575400</v>
      </c>
      <c r="D366">
        <v>2780000</v>
      </c>
      <c r="E366">
        <v>2140000</v>
      </c>
      <c r="F366">
        <v>3890000</v>
      </c>
      <c r="G366">
        <v>2692800</v>
      </c>
      <c r="H366">
        <v>4585000</v>
      </c>
    </row>
    <row r="367" spans="1:8" x14ac:dyDescent="0.3">
      <c r="A367">
        <v>51029879</v>
      </c>
      <c r="B367" t="str">
        <f>VLOOKUP(A367,VENTAS!$A$2:$B$1195,2,0)</f>
        <v>LÓPEZ</v>
      </c>
      <c r="C367">
        <v>1015000</v>
      </c>
      <c r="D367">
        <v>2907200</v>
      </c>
      <c r="E367">
        <v>1436200</v>
      </c>
      <c r="F367">
        <v>3772000</v>
      </c>
      <c r="G367">
        <v>2238400</v>
      </c>
      <c r="H367">
        <v>4575000</v>
      </c>
    </row>
    <row r="368" spans="1:8" x14ac:dyDescent="0.3">
      <c r="A368">
        <v>51033281</v>
      </c>
      <c r="B368" t="str">
        <f>VLOOKUP(A368,VENTAS!$A$2:$B$1195,2,0)</f>
        <v>METTLER</v>
      </c>
      <c r="C368">
        <v>1457600</v>
      </c>
      <c r="D368">
        <v>2704800</v>
      </c>
      <c r="E368">
        <v>2042600</v>
      </c>
      <c r="F368">
        <v>3160000</v>
      </c>
      <c r="G368">
        <v>2628800</v>
      </c>
      <c r="H368">
        <v>4562500</v>
      </c>
    </row>
    <row r="369" spans="1:8" x14ac:dyDescent="0.3">
      <c r="A369">
        <v>51056868</v>
      </c>
      <c r="B369" t="str">
        <f>VLOOKUP(A369,VENTAS!$A$2:$B$1195,2,0)</f>
        <v>ARGUELLO</v>
      </c>
      <c r="C369">
        <v>1149400</v>
      </c>
      <c r="D369">
        <v>2112400</v>
      </c>
      <c r="E369">
        <v>1326600</v>
      </c>
      <c r="F369">
        <v>3228000</v>
      </c>
      <c r="G369">
        <v>2059200</v>
      </c>
      <c r="H369">
        <v>4545000</v>
      </c>
    </row>
    <row r="370" spans="1:8" x14ac:dyDescent="0.3">
      <c r="A370">
        <v>51056183</v>
      </c>
      <c r="B370" t="str">
        <f>VLOOKUP(A370,VENTAS!$A$2:$B$1195,2,0)</f>
        <v>CICHETTO</v>
      </c>
      <c r="C370">
        <v>1343000</v>
      </c>
      <c r="D370">
        <v>2613600</v>
      </c>
      <c r="E370">
        <v>1978200</v>
      </c>
      <c r="F370">
        <v>3406000</v>
      </c>
      <c r="G370">
        <v>2896000</v>
      </c>
      <c r="H370">
        <v>4542500</v>
      </c>
    </row>
    <row r="371" spans="1:8" x14ac:dyDescent="0.3">
      <c r="A371">
        <v>51022611</v>
      </c>
      <c r="B371" t="str">
        <f>VLOOKUP(A371,VENTAS!$A$2:$B$1195,2,0)</f>
        <v>LÓPEZ</v>
      </c>
      <c r="C371">
        <v>1363200</v>
      </c>
      <c r="D371">
        <v>2962400</v>
      </c>
      <c r="E371">
        <v>1779000</v>
      </c>
      <c r="F371">
        <v>4098000</v>
      </c>
      <c r="G371">
        <v>2464000</v>
      </c>
      <c r="H371">
        <v>4537500</v>
      </c>
    </row>
    <row r="372" spans="1:8" x14ac:dyDescent="0.3">
      <c r="A372">
        <v>51030478</v>
      </c>
      <c r="B372" t="str">
        <f>VLOOKUP(A372,VENTAS!$A$2:$B$1195,2,0)</f>
        <v>ROBERTS</v>
      </c>
      <c r="C372">
        <v>1167000</v>
      </c>
      <c r="D372">
        <v>3043600</v>
      </c>
      <c r="E372">
        <v>1776600</v>
      </c>
      <c r="F372">
        <v>3986000</v>
      </c>
      <c r="G372">
        <v>2867200</v>
      </c>
      <c r="H372">
        <v>4535000</v>
      </c>
    </row>
    <row r="373" spans="1:8" x14ac:dyDescent="0.3">
      <c r="A373">
        <v>51036735</v>
      </c>
      <c r="B373" t="str">
        <f>VLOOKUP(A373,VENTAS!$A$2:$B$1195,2,0)</f>
        <v>MONTENEGRO</v>
      </c>
      <c r="C373">
        <v>936200</v>
      </c>
      <c r="D373">
        <v>2145200</v>
      </c>
      <c r="E373">
        <v>1463800</v>
      </c>
      <c r="F373">
        <v>3152000</v>
      </c>
      <c r="G373">
        <v>2003200</v>
      </c>
      <c r="H373">
        <v>4535000</v>
      </c>
    </row>
    <row r="374" spans="1:8" x14ac:dyDescent="0.3">
      <c r="A374">
        <v>51055641</v>
      </c>
      <c r="B374" t="str">
        <f>VLOOKUP(A374,VENTAS!$A$2:$B$1195,2,0)</f>
        <v>ROBERTS</v>
      </c>
      <c r="C374">
        <v>1076800</v>
      </c>
      <c r="D374">
        <v>2574400</v>
      </c>
      <c r="E374">
        <v>1526600</v>
      </c>
      <c r="F374">
        <v>3696000</v>
      </c>
      <c r="G374">
        <v>2204800</v>
      </c>
      <c r="H374">
        <v>4535000</v>
      </c>
    </row>
    <row r="375" spans="1:8" x14ac:dyDescent="0.3">
      <c r="A375">
        <v>51016416</v>
      </c>
      <c r="B375" t="str">
        <f>VLOOKUP(A375,VENTAS!$A$2:$B$1195,2,0)</f>
        <v>CICHETTO</v>
      </c>
      <c r="C375">
        <v>1367400</v>
      </c>
      <c r="D375">
        <v>2680000</v>
      </c>
      <c r="E375">
        <v>1762600</v>
      </c>
      <c r="F375">
        <v>3632000</v>
      </c>
      <c r="G375">
        <v>2416000</v>
      </c>
      <c r="H375">
        <v>4532500</v>
      </c>
    </row>
    <row r="376" spans="1:8" x14ac:dyDescent="0.3">
      <c r="A376">
        <v>51054822</v>
      </c>
      <c r="B376" t="str">
        <f>VLOOKUP(A376,VENTAS!$A$2:$B$1195,2,0)</f>
        <v>NELLI</v>
      </c>
      <c r="C376">
        <v>1147400</v>
      </c>
      <c r="D376">
        <v>2586400</v>
      </c>
      <c r="E376">
        <v>1621000</v>
      </c>
      <c r="F376">
        <v>3846000</v>
      </c>
      <c r="G376">
        <v>2393600</v>
      </c>
      <c r="H376">
        <v>4532500</v>
      </c>
    </row>
    <row r="377" spans="1:8" x14ac:dyDescent="0.3">
      <c r="A377">
        <v>51054962</v>
      </c>
      <c r="B377" t="str">
        <f>VLOOKUP(A377,VENTAS!$A$2:$B$1195,2,0)</f>
        <v>CICHETTO</v>
      </c>
      <c r="C377">
        <v>1916400</v>
      </c>
      <c r="D377">
        <v>3527600</v>
      </c>
      <c r="E377">
        <v>2557000</v>
      </c>
      <c r="F377">
        <v>4100000</v>
      </c>
      <c r="G377">
        <v>3411200</v>
      </c>
      <c r="H377">
        <v>4525000</v>
      </c>
    </row>
    <row r="378" spans="1:8" x14ac:dyDescent="0.3">
      <c r="A378">
        <v>51012887</v>
      </c>
      <c r="B378" t="str">
        <f>VLOOKUP(A378,VENTAS!$A$2:$B$1195,2,0)</f>
        <v>ARGUELLO</v>
      </c>
      <c r="C378">
        <v>1037600</v>
      </c>
      <c r="D378">
        <v>2861200</v>
      </c>
      <c r="E378">
        <v>1918400</v>
      </c>
      <c r="F378">
        <v>3448000</v>
      </c>
      <c r="G378">
        <v>2816000</v>
      </c>
      <c r="H378">
        <v>4522500</v>
      </c>
    </row>
    <row r="379" spans="1:8" x14ac:dyDescent="0.3">
      <c r="A379">
        <v>51015908</v>
      </c>
      <c r="B379" t="str">
        <f>VLOOKUP(A379,VENTAS!$A$2:$B$1195,2,0)</f>
        <v>BELUZZO</v>
      </c>
      <c r="C379">
        <v>1350200</v>
      </c>
      <c r="D379">
        <v>3100800</v>
      </c>
      <c r="E379">
        <v>1732000</v>
      </c>
      <c r="F379">
        <v>3778000</v>
      </c>
      <c r="G379">
        <v>2380800</v>
      </c>
      <c r="H379">
        <v>4517500</v>
      </c>
    </row>
    <row r="380" spans="1:8" x14ac:dyDescent="0.3">
      <c r="A380">
        <v>51000251</v>
      </c>
      <c r="B380" t="str">
        <f>VLOOKUP(A380,VENTAS!$A$2:$B$1195,2,0)</f>
        <v>AYALA</v>
      </c>
      <c r="C380">
        <v>1301600</v>
      </c>
      <c r="D380">
        <v>2677200</v>
      </c>
      <c r="E380">
        <v>1802600</v>
      </c>
      <c r="F380">
        <v>3528000</v>
      </c>
      <c r="G380">
        <v>2307200</v>
      </c>
      <c r="H380">
        <v>4507500</v>
      </c>
    </row>
    <row r="381" spans="1:8" x14ac:dyDescent="0.3">
      <c r="A381">
        <v>51033701</v>
      </c>
      <c r="B381" t="str">
        <f>VLOOKUP(A381,VENTAS!$A$2:$B$1195,2,0)</f>
        <v>AYALA</v>
      </c>
      <c r="C381">
        <v>1468200</v>
      </c>
      <c r="D381">
        <v>2744400</v>
      </c>
      <c r="E381">
        <v>2134000</v>
      </c>
      <c r="F381">
        <v>3710000</v>
      </c>
      <c r="G381">
        <v>2524800</v>
      </c>
      <c r="H381">
        <v>4507500</v>
      </c>
    </row>
    <row r="382" spans="1:8" x14ac:dyDescent="0.3">
      <c r="A382">
        <v>51018044</v>
      </c>
      <c r="B382" t="str">
        <f>VLOOKUP(A382,VENTAS!$A$2:$B$1195,2,0)</f>
        <v>NELLI</v>
      </c>
      <c r="C382">
        <v>1326200</v>
      </c>
      <c r="D382">
        <v>2945200</v>
      </c>
      <c r="E382">
        <v>1548000</v>
      </c>
      <c r="F382">
        <v>3466000</v>
      </c>
      <c r="G382">
        <v>2499200</v>
      </c>
      <c r="H382">
        <v>4505000</v>
      </c>
    </row>
    <row r="383" spans="1:8" x14ac:dyDescent="0.3">
      <c r="A383">
        <v>51032454</v>
      </c>
      <c r="B383" t="str">
        <f>VLOOKUP(A383,VENTAS!$A$2:$B$1195,2,0)</f>
        <v>MONTENEGRO</v>
      </c>
      <c r="C383">
        <v>1286000</v>
      </c>
      <c r="D383">
        <v>3127600</v>
      </c>
      <c r="E383">
        <v>1743000</v>
      </c>
      <c r="F383">
        <v>3630000</v>
      </c>
      <c r="G383">
        <v>2419200</v>
      </c>
      <c r="H383">
        <v>4505000</v>
      </c>
    </row>
    <row r="384" spans="1:8" x14ac:dyDescent="0.3">
      <c r="A384">
        <v>51055985</v>
      </c>
      <c r="B384" t="str">
        <f>VLOOKUP(A384,VENTAS!$A$2:$B$1195,2,0)</f>
        <v>NELLI</v>
      </c>
      <c r="C384">
        <v>1740000</v>
      </c>
      <c r="D384">
        <v>3111600</v>
      </c>
      <c r="E384">
        <v>2287600</v>
      </c>
      <c r="F384">
        <v>4358000</v>
      </c>
      <c r="G384">
        <v>3108800</v>
      </c>
      <c r="H384">
        <v>4490000</v>
      </c>
    </row>
    <row r="385" spans="1:8" x14ac:dyDescent="0.3">
      <c r="A385">
        <v>51031318</v>
      </c>
      <c r="B385" t="str">
        <f>VLOOKUP(A385,VENTAS!$A$2:$B$1195,2,0)</f>
        <v>PUGH</v>
      </c>
      <c r="C385">
        <v>1524000</v>
      </c>
      <c r="D385">
        <v>3452800</v>
      </c>
      <c r="E385">
        <v>2002200</v>
      </c>
      <c r="F385">
        <v>4224000</v>
      </c>
      <c r="G385">
        <v>2692800</v>
      </c>
      <c r="H385">
        <v>4470000</v>
      </c>
    </row>
    <row r="386" spans="1:8" x14ac:dyDescent="0.3">
      <c r="A386">
        <v>51055292</v>
      </c>
      <c r="B386" t="str">
        <f>VLOOKUP(A386,VENTAS!$A$2:$B$1195,2,0)</f>
        <v>PRADES</v>
      </c>
      <c r="C386">
        <v>1704200</v>
      </c>
      <c r="D386">
        <v>2964000</v>
      </c>
      <c r="E386">
        <v>2664800</v>
      </c>
      <c r="F386">
        <v>3976000</v>
      </c>
      <c r="G386">
        <v>3499200</v>
      </c>
      <c r="H386">
        <v>4467500</v>
      </c>
    </row>
    <row r="387" spans="1:8" x14ac:dyDescent="0.3">
      <c r="A387">
        <v>51055489</v>
      </c>
      <c r="B387" t="str">
        <f>VLOOKUP(A387,VENTAS!$A$2:$B$1195,2,0)</f>
        <v>PUGH</v>
      </c>
      <c r="C387">
        <v>1586000</v>
      </c>
      <c r="D387">
        <v>3262400</v>
      </c>
      <c r="E387">
        <v>2050400</v>
      </c>
      <c r="F387">
        <v>3306000</v>
      </c>
      <c r="G387">
        <v>2912000</v>
      </c>
      <c r="H387">
        <v>4467500</v>
      </c>
    </row>
    <row r="388" spans="1:8" x14ac:dyDescent="0.3">
      <c r="A388">
        <v>51017455</v>
      </c>
      <c r="B388" t="str">
        <f>VLOOKUP(A388,VENTAS!$A$2:$B$1195,2,0)</f>
        <v>AYALA</v>
      </c>
      <c r="C388">
        <v>1398200</v>
      </c>
      <c r="D388">
        <v>2502000</v>
      </c>
      <c r="E388">
        <v>1783000</v>
      </c>
      <c r="F388">
        <v>3530000</v>
      </c>
      <c r="G388">
        <v>2416000</v>
      </c>
      <c r="H388">
        <v>4457500</v>
      </c>
    </row>
    <row r="389" spans="1:8" x14ac:dyDescent="0.3">
      <c r="A389">
        <v>51018494</v>
      </c>
      <c r="B389" t="str">
        <f>VLOOKUP(A389,VENTAS!$A$2:$B$1195,2,0)</f>
        <v>ARGUELLO</v>
      </c>
      <c r="C389">
        <v>1117800</v>
      </c>
      <c r="D389">
        <v>2684400</v>
      </c>
      <c r="E389">
        <v>1503200</v>
      </c>
      <c r="F389">
        <v>3264000</v>
      </c>
      <c r="G389">
        <v>2412800</v>
      </c>
      <c r="H389">
        <v>4447500</v>
      </c>
    </row>
    <row r="390" spans="1:8" x14ac:dyDescent="0.3">
      <c r="A390">
        <v>51055543</v>
      </c>
      <c r="B390" t="str">
        <f>VLOOKUP(A390,VENTAS!$A$2:$B$1195,2,0)</f>
        <v>LÓPEZ</v>
      </c>
      <c r="C390">
        <v>1103400</v>
      </c>
      <c r="D390">
        <v>3089600</v>
      </c>
      <c r="E390">
        <v>1342800</v>
      </c>
      <c r="F390">
        <v>4078000</v>
      </c>
      <c r="G390">
        <v>2025600</v>
      </c>
      <c r="H390">
        <v>4447500</v>
      </c>
    </row>
    <row r="391" spans="1:8" x14ac:dyDescent="0.3">
      <c r="A391">
        <v>51022050</v>
      </c>
      <c r="B391" t="str">
        <f>VLOOKUP(A391,VENTAS!$A$2:$B$1195,2,0)</f>
        <v>NELLI</v>
      </c>
      <c r="C391">
        <v>1441600</v>
      </c>
      <c r="D391">
        <v>3436000</v>
      </c>
      <c r="E391">
        <v>2179000</v>
      </c>
      <c r="F391">
        <v>3976000</v>
      </c>
      <c r="G391">
        <v>3126400</v>
      </c>
      <c r="H391">
        <v>4445000</v>
      </c>
    </row>
    <row r="392" spans="1:8" x14ac:dyDescent="0.3">
      <c r="A392">
        <v>51029585</v>
      </c>
      <c r="B392" t="str">
        <f>VLOOKUP(A392,VENTAS!$A$2:$B$1195,2,0)</f>
        <v>CICHETTO</v>
      </c>
      <c r="C392">
        <v>1327800</v>
      </c>
      <c r="D392">
        <v>2830400</v>
      </c>
      <c r="E392">
        <v>1801400</v>
      </c>
      <c r="F392">
        <v>3662000</v>
      </c>
      <c r="G392">
        <v>2416000</v>
      </c>
      <c r="H392">
        <v>4440000</v>
      </c>
    </row>
    <row r="393" spans="1:8" x14ac:dyDescent="0.3">
      <c r="A393">
        <v>51032284</v>
      </c>
      <c r="B393" t="str">
        <f>VLOOKUP(A393,VENTAS!$A$2:$B$1195,2,0)</f>
        <v>NELLI</v>
      </c>
      <c r="C393">
        <v>1537200</v>
      </c>
      <c r="D393">
        <v>3257600</v>
      </c>
      <c r="E393">
        <v>1996600</v>
      </c>
      <c r="F393">
        <v>3848000</v>
      </c>
      <c r="G393">
        <v>2521600</v>
      </c>
      <c r="H393">
        <v>4437500</v>
      </c>
    </row>
    <row r="394" spans="1:8" x14ac:dyDescent="0.3">
      <c r="A394">
        <v>51030125</v>
      </c>
      <c r="B394" t="str">
        <f>VLOOKUP(A394,VENTAS!$A$2:$B$1195,2,0)</f>
        <v>MONTENEGRO</v>
      </c>
      <c r="C394">
        <v>1603400</v>
      </c>
      <c r="D394">
        <v>3141600</v>
      </c>
      <c r="E394">
        <v>2146000</v>
      </c>
      <c r="F394">
        <v>3602000</v>
      </c>
      <c r="G394">
        <v>2979200</v>
      </c>
      <c r="H394">
        <v>4425000</v>
      </c>
    </row>
    <row r="395" spans="1:8" x14ac:dyDescent="0.3">
      <c r="A395">
        <v>51055772</v>
      </c>
      <c r="B395" t="str">
        <f>VLOOKUP(A395,VENTAS!$A$2:$B$1195,2,0)</f>
        <v>NELLI</v>
      </c>
      <c r="C395">
        <v>1430200</v>
      </c>
      <c r="D395">
        <v>3406800</v>
      </c>
      <c r="E395">
        <v>2049200</v>
      </c>
      <c r="F395">
        <v>3586000</v>
      </c>
      <c r="G395">
        <v>2712000</v>
      </c>
      <c r="H395">
        <v>4420000</v>
      </c>
    </row>
    <row r="396" spans="1:8" x14ac:dyDescent="0.3">
      <c r="A396">
        <v>51023251</v>
      </c>
      <c r="B396" t="str">
        <f>VLOOKUP(A396,VENTAS!$A$2:$B$1195,2,0)</f>
        <v>NELLI</v>
      </c>
      <c r="C396">
        <v>678200</v>
      </c>
      <c r="D396">
        <v>1938800</v>
      </c>
      <c r="E396">
        <v>1097800</v>
      </c>
      <c r="F396">
        <v>3018000</v>
      </c>
      <c r="G396">
        <v>1737600</v>
      </c>
      <c r="H396">
        <v>4415000</v>
      </c>
    </row>
    <row r="397" spans="1:8" x14ac:dyDescent="0.3">
      <c r="A397">
        <v>51040333</v>
      </c>
      <c r="B397" t="str">
        <f>VLOOKUP(A397,VENTAS!$A$2:$B$1195,2,0)</f>
        <v>LÓPEZ</v>
      </c>
      <c r="C397">
        <v>2612600</v>
      </c>
      <c r="D397">
        <v>3149600</v>
      </c>
      <c r="E397">
        <v>1907600</v>
      </c>
      <c r="F397">
        <v>3794000</v>
      </c>
      <c r="G397">
        <v>3425600</v>
      </c>
      <c r="H397">
        <v>4412500</v>
      </c>
    </row>
    <row r="398" spans="1:8" x14ac:dyDescent="0.3">
      <c r="A398">
        <v>51042921</v>
      </c>
      <c r="B398" t="str">
        <f>VLOOKUP(A398,VENTAS!$A$2:$B$1195,2,0)</f>
        <v>PUGH</v>
      </c>
      <c r="C398">
        <v>1159600</v>
      </c>
      <c r="D398">
        <v>3029600</v>
      </c>
      <c r="E398">
        <v>1643200</v>
      </c>
      <c r="F398">
        <v>3914000</v>
      </c>
      <c r="G398">
        <v>2478400</v>
      </c>
      <c r="H398">
        <v>4412500</v>
      </c>
    </row>
    <row r="399" spans="1:8" x14ac:dyDescent="0.3">
      <c r="A399">
        <v>51008669</v>
      </c>
      <c r="B399" t="str">
        <f>VLOOKUP(A399,VENTAS!$A$2:$B$1195,2,0)</f>
        <v>PRADES</v>
      </c>
      <c r="C399">
        <v>1495400</v>
      </c>
      <c r="D399">
        <v>3500000</v>
      </c>
      <c r="E399">
        <v>2018800</v>
      </c>
      <c r="F399">
        <v>4390000</v>
      </c>
      <c r="G399">
        <v>2891200</v>
      </c>
      <c r="H399">
        <v>4410000</v>
      </c>
    </row>
    <row r="400" spans="1:8" x14ac:dyDescent="0.3">
      <c r="A400">
        <v>51019407</v>
      </c>
      <c r="B400" t="str">
        <f>VLOOKUP(A400,VENTAS!$A$2:$B$1195,2,0)</f>
        <v>NELLI</v>
      </c>
      <c r="C400">
        <v>1121400</v>
      </c>
      <c r="D400">
        <v>2967200</v>
      </c>
      <c r="E400">
        <v>1638000</v>
      </c>
      <c r="F400">
        <v>3122000</v>
      </c>
      <c r="G400">
        <v>2249600</v>
      </c>
      <c r="H400">
        <v>4407500</v>
      </c>
    </row>
    <row r="401" spans="1:8" x14ac:dyDescent="0.3">
      <c r="A401">
        <v>51023765</v>
      </c>
      <c r="B401" t="str">
        <f>VLOOKUP(A401,VENTAS!$A$2:$B$1195,2,0)</f>
        <v>ROBERTS</v>
      </c>
      <c r="C401">
        <v>1333000</v>
      </c>
      <c r="D401">
        <v>3266400</v>
      </c>
      <c r="E401">
        <v>1830800</v>
      </c>
      <c r="F401">
        <v>3878000</v>
      </c>
      <c r="G401">
        <v>2769600</v>
      </c>
      <c r="H401">
        <v>4407500</v>
      </c>
    </row>
    <row r="402" spans="1:8" x14ac:dyDescent="0.3">
      <c r="A402">
        <v>51056078</v>
      </c>
      <c r="B402" t="str">
        <f>VLOOKUP(A402,VENTAS!$A$2:$B$1195,2,0)</f>
        <v>CICHETTO</v>
      </c>
      <c r="C402">
        <v>1474000</v>
      </c>
      <c r="D402">
        <v>3177600</v>
      </c>
      <c r="E402">
        <v>1660400</v>
      </c>
      <c r="F402">
        <v>3532000</v>
      </c>
      <c r="G402">
        <v>2390400</v>
      </c>
      <c r="H402">
        <v>4380000</v>
      </c>
    </row>
    <row r="403" spans="1:8" x14ac:dyDescent="0.3">
      <c r="A403">
        <v>51030427</v>
      </c>
      <c r="B403" t="str">
        <f>VLOOKUP(A403,VENTAS!$A$2:$B$1195,2,0)</f>
        <v>BELUZZO</v>
      </c>
      <c r="C403">
        <v>1042800</v>
      </c>
      <c r="D403">
        <v>2570400</v>
      </c>
      <c r="E403">
        <v>1440800</v>
      </c>
      <c r="F403">
        <v>3564000</v>
      </c>
      <c r="G403">
        <v>2067200</v>
      </c>
      <c r="H403">
        <v>4377500</v>
      </c>
    </row>
    <row r="404" spans="1:8" x14ac:dyDescent="0.3">
      <c r="A404">
        <v>51023218</v>
      </c>
      <c r="B404" t="str">
        <f>VLOOKUP(A404,VENTAS!$A$2:$B$1195,2,0)</f>
        <v>PRADES</v>
      </c>
      <c r="C404">
        <v>1100600</v>
      </c>
      <c r="D404">
        <v>2369600</v>
      </c>
      <c r="E404">
        <v>1432200</v>
      </c>
      <c r="F404">
        <v>3046000</v>
      </c>
      <c r="G404">
        <v>1944000</v>
      </c>
      <c r="H404">
        <v>4362500</v>
      </c>
    </row>
    <row r="405" spans="1:8" x14ac:dyDescent="0.3">
      <c r="A405">
        <v>51056761</v>
      </c>
      <c r="B405" t="str">
        <f>VLOOKUP(A405,VENTAS!$A$2:$B$1195,2,0)</f>
        <v>LÓPEZ</v>
      </c>
      <c r="C405">
        <v>769000</v>
      </c>
      <c r="D405">
        <v>2623600</v>
      </c>
      <c r="E405">
        <v>1145400</v>
      </c>
      <c r="F405">
        <v>3262000</v>
      </c>
      <c r="G405">
        <v>1852800</v>
      </c>
      <c r="H405">
        <v>4360000</v>
      </c>
    </row>
    <row r="406" spans="1:8" x14ac:dyDescent="0.3">
      <c r="A406">
        <v>51015851</v>
      </c>
      <c r="B406" t="str">
        <f>VLOOKUP(A406,VENTAS!$A$2:$B$1195,2,0)</f>
        <v>ROBERTS</v>
      </c>
      <c r="C406">
        <v>946400.00000000012</v>
      </c>
      <c r="D406">
        <v>2491600</v>
      </c>
      <c r="E406">
        <v>1347800</v>
      </c>
      <c r="F406">
        <v>3380000</v>
      </c>
      <c r="G406">
        <v>1622400</v>
      </c>
      <c r="H406">
        <v>4357500</v>
      </c>
    </row>
    <row r="407" spans="1:8" x14ac:dyDescent="0.3">
      <c r="A407">
        <v>51030273</v>
      </c>
      <c r="B407" t="str">
        <f>VLOOKUP(A407,VENTAS!$A$2:$B$1195,2,0)</f>
        <v>NELLI</v>
      </c>
      <c r="C407">
        <v>1933600</v>
      </c>
      <c r="D407">
        <v>4028000</v>
      </c>
      <c r="E407">
        <v>2407000</v>
      </c>
      <c r="F407">
        <v>4726000</v>
      </c>
      <c r="G407">
        <v>3430400</v>
      </c>
      <c r="H407">
        <v>4352500</v>
      </c>
    </row>
    <row r="408" spans="1:8" x14ac:dyDescent="0.3">
      <c r="A408">
        <v>51019415</v>
      </c>
      <c r="B408" t="str">
        <f>VLOOKUP(A408,VENTAS!$A$2:$B$1195,2,0)</f>
        <v>MONTENEGRO</v>
      </c>
      <c r="C408">
        <v>1020000</v>
      </c>
      <c r="D408">
        <v>2032800</v>
      </c>
      <c r="E408">
        <v>1227000</v>
      </c>
      <c r="F408">
        <v>2760000</v>
      </c>
      <c r="G408">
        <v>1859200</v>
      </c>
      <c r="H408">
        <v>4345000</v>
      </c>
    </row>
    <row r="409" spans="1:8" x14ac:dyDescent="0.3">
      <c r="A409">
        <v>51042042</v>
      </c>
      <c r="B409" t="str">
        <f>VLOOKUP(A409,VENTAS!$A$2:$B$1195,2,0)</f>
        <v>METTLER</v>
      </c>
      <c r="C409">
        <v>959000</v>
      </c>
      <c r="D409">
        <v>2365600</v>
      </c>
      <c r="E409">
        <v>1486000</v>
      </c>
      <c r="F409">
        <v>2992000</v>
      </c>
      <c r="G409">
        <v>2070400</v>
      </c>
      <c r="H409">
        <v>4342500</v>
      </c>
    </row>
    <row r="410" spans="1:8" x14ac:dyDescent="0.3">
      <c r="A410">
        <v>51010817</v>
      </c>
      <c r="B410" t="str">
        <f>VLOOKUP(A410,VENTAS!$A$2:$B$1195,2,0)</f>
        <v>AYALA</v>
      </c>
      <c r="C410">
        <v>1355000</v>
      </c>
      <c r="D410">
        <v>3059600</v>
      </c>
      <c r="E410">
        <v>1787400</v>
      </c>
      <c r="F410">
        <v>3606000</v>
      </c>
      <c r="G410">
        <v>2784000</v>
      </c>
      <c r="H410">
        <v>4327500</v>
      </c>
    </row>
    <row r="411" spans="1:8" x14ac:dyDescent="0.3">
      <c r="A411">
        <v>51003594</v>
      </c>
      <c r="B411" t="str">
        <f>VLOOKUP(A411,VENTAS!$A$2:$B$1195,2,0)</f>
        <v>BELUZZO</v>
      </c>
      <c r="C411">
        <v>1233000</v>
      </c>
      <c r="D411">
        <v>2477200</v>
      </c>
      <c r="E411">
        <v>1823600</v>
      </c>
      <c r="F411">
        <v>3082000</v>
      </c>
      <c r="G411">
        <v>2539200</v>
      </c>
      <c r="H411">
        <v>4317500</v>
      </c>
    </row>
    <row r="412" spans="1:8" x14ac:dyDescent="0.3">
      <c r="A412">
        <v>51044436</v>
      </c>
      <c r="B412" t="str">
        <f>VLOOKUP(A412,VENTAS!$A$2:$B$1195,2,0)</f>
        <v>ARGUELLO</v>
      </c>
      <c r="C412">
        <v>1443000</v>
      </c>
      <c r="D412">
        <v>2923200</v>
      </c>
      <c r="E412">
        <v>1838200</v>
      </c>
      <c r="F412">
        <v>3174000</v>
      </c>
      <c r="G412">
        <v>2422400</v>
      </c>
      <c r="H412">
        <v>4315000</v>
      </c>
    </row>
    <row r="413" spans="1:8" x14ac:dyDescent="0.3">
      <c r="A413">
        <v>51030753</v>
      </c>
      <c r="B413" t="str">
        <f>VLOOKUP(A413,VENTAS!$A$2:$B$1195,2,0)</f>
        <v>BELUZZO</v>
      </c>
      <c r="C413">
        <v>1387000</v>
      </c>
      <c r="D413">
        <v>2709600</v>
      </c>
      <c r="E413">
        <v>2071800</v>
      </c>
      <c r="F413">
        <v>3848000</v>
      </c>
      <c r="G413">
        <v>2590400</v>
      </c>
      <c r="H413">
        <v>4312500</v>
      </c>
    </row>
    <row r="414" spans="1:8" x14ac:dyDescent="0.3">
      <c r="A414">
        <v>51024834</v>
      </c>
      <c r="B414" t="str">
        <f>VLOOKUP(A414,VENTAS!$A$2:$B$1195,2,0)</f>
        <v>MONTENEGRO</v>
      </c>
      <c r="C414">
        <v>1425000</v>
      </c>
      <c r="D414">
        <v>2862000</v>
      </c>
      <c r="E414">
        <v>1846400</v>
      </c>
      <c r="F414">
        <v>3280000</v>
      </c>
      <c r="G414">
        <v>2689600</v>
      </c>
      <c r="H414">
        <v>4297500</v>
      </c>
    </row>
    <row r="415" spans="1:8" x14ac:dyDescent="0.3">
      <c r="A415">
        <v>51004655</v>
      </c>
      <c r="B415" t="str">
        <f>VLOOKUP(A415,VENTAS!$A$2:$B$1195,2,0)</f>
        <v>AYALA</v>
      </c>
      <c r="C415">
        <v>1316800</v>
      </c>
      <c r="D415">
        <v>3016400</v>
      </c>
      <c r="E415">
        <v>1889000</v>
      </c>
      <c r="F415">
        <v>3948000</v>
      </c>
      <c r="G415">
        <v>2558400</v>
      </c>
      <c r="H415">
        <v>4295000</v>
      </c>
    </row>
    <row r="416" spans="1:8" x14ac:dyDescent="0.3">
      <c r="A416">
        <v>51001389</v>
      </c>
      <c r="B416" t="str">
        <f>VLOOKUP(A416,VENTAS!$A$2:$B$1195,2,0)</f>
        <v>NELLI</v>
      </c>
      <c r="C416">
        <v>1214200</v>
      </c>
      <c r="D416">
        <v>2744400</v>
      </c>
      <c r="E416">
        <v>1309000</v>
      </c>
      <c r="F416">
        <v>3094000</v>
      </c>
      <c r="G416">
        <v>1955200</v>
      </c>
      <c r="H416">
        <v>4285000</v>
      </c>
    </row>
    <row r="417" spans="1:8" x14ac:dyDescent="0.3">
      <c r="A417">
        <v>51022106</v>
      </c>
      <c r="B417" t="str">
        <f>VLOOKUP(A417,VENTAS!$A$2:$B$1195,2,0)</f>
        <v>PUGH</v>
      </c>
      <c r="C417">
        <v>1265800</v>
      </c>
      <c r="D417">
        <v>2577600</v>
      </c>
      <c r="E417">
        <v>1649000</v>
      </c>
      <c r="F417">
        <v>3524000</v>
      </c>
      <c r="G417">
        <v>2153600</v>
      </c>
      <c r="H417">
        <v>4285000</v>
      </c>
    </row>
    <row r="418" spans="1:8" x14ac:dyDescent="0.3">
      <c r="A418">
        <v>51017978</v>
      </c>
      <c r="B418" t="str">
        <f>VLOOKUP(A418,VENTAS!$A$2:$B$1195,2,0)</f>
        <v>CICHETTO</v>
      </c>
      <c r="C418">
        <v>1122200</v>
      </c>
      <c r="D418">
        <v>2514000</v>
      </c>
      <c r="E418">
        <v>1422400</v>
      </c>
      <c r="F418">
        <v>3312000</v>
      </c>
      <c r="G418">
        <v>1996800</v>
      </c>
      <c r="H418">
        <v>4282500</v>
      </c>
    </row>
    <row r="419" spans="1:8" x14ac:dyDescent="0.3">
      <c r="A419">
        <v>51042263</v>
      </c>
      <c r="B419" t="str">
        <f>VLOOKUP(A419,VENTAS!$A$2:$B$1195,2,0)</f>
        <v>CICHETTO</v>
      </c>
      <c r="C419">
        <v>1432000</v>
      </c>
      <c r="D419">
        <v>2717200</v>
      </c>
      <c r="E419">
        <v>1962600</v>
      </c>
      <c r="F419">
        <v>3678000</v>
      </c>
      <c r="G419">
        <v>2395200</v>
      </c>
      <c r="H419">
        <v>4280000</v>
      </c>
    </row>
    <row r="420" spans="1:8" x14ac:dyDescent="0.3">
      <c r="A420">
        <v>51026306</v>
      </c>
      <c r="B420" t="str">
        <f>VLOOKUP(A420,VENTAS!$A$2:$B$1195,2,0)</f>
        <v>ROBERTS</v>
      </c>
      <c r="C420">
        <v>1351200</v>
      </c>
      <c r="D420">
        <v>2544000</v>
      </c>
      <c r="E420">
        <v>1662200</v>
      </c>
      <c r="F420">
        <v>3250000</v>
      </c>
      <c r="G420">
        <v>2156800</v>
      </c>
      <c r="H420">
        <v>4275000</v>
      </c>
    </row>
    <row r="421" spans="1:8" x14ac:dyDescent="0.3">
      <c r="A421">
        <v>51018621</v>
      </c>
      <c r="B421" t="str">
        <f>VLOOKUP(A421,VENTAS!$A$2:$B$1195,2,0)</f>
        <v>METTLER</v>
      </c>
      <c r="C421">
        <v>1569800</v>
      </c>
      <c r="D421">
        <v>2602800</v>
      </c>
      <c r="E421">
        <v>2358600</v>
      </c>
      <c r="F421">
        <v>3934000</v>
      </c>
      <c r="G421">
        <v>2606400</v>
      </c>
      <c r="H421">
        <v>4272500</v>
      </c>
    </row>
    <row r="422" spans="1:8" x14ac:dyDescent="0.3">
      <c r="A422">
        <v>51024524</v>
      </c>
      <c r="B422" t="str">
        <f>VLOOKUP(A422,VENTAS!$A$2:$B$1195,2,0)</f>
        <v>LÓPEZ</v>
      </c>
      <c r="C422">
        <v>712199.99999999988</v>
      </c>
      <c r="D422">
        <v>2798000</v>
      </c>
      <c r="E422">
        <v>1064400</v>
      </c>
      <c r="F422">
        <v>2958000</v>
      </c>
      <c r="G422">
        <v>2262400</v>
      </c>
      <c r="H422">
        <v>4267500</v>
      </c>
    </row>
    <row r="423" spans="1:8" x14ac:dyDescent="0.3">
      <c r="A423">
        <v>51030010</v>
      </c>
      <c r="B423" t="str">
        <f>VLOOKUP(A423,VENTAS!$A$2:$B$1195,2,0)</f>
        <v>NELLI</v>
      </c>
      <c r="C423">
        <v>1266000</v>
      </c>
      <c r="D423">
        <v>2917200</v>
      </c>
      <c r="E423">
        <v>1498800</v>
      </c>
      <c r="F423">
        <v>3514000</v>
      </c>
      <c r="G423">
        <v>2427200</v>
      </c>
      <c r="H423">
        <v>4267500</v>
      </c>
    </row>
    <row r="424" spans="1:8" x14ac:dyDescent="0.3">
      <c r="A424">
        <v>51055616</v>
      </c>
      <c r="B424" t="str">
        <f>VLOOKUP(A424,VENTAS!$A$2:$B$1195,2,0)</f>
        <v>MONTENEGRO</v>
      </c>
      <c r="C424">
        <v>482600</v>
      </c>
      <c r="D424">
        <v>2280400</v>
      </c>
      <c r="E424">
        <v>675600</v>
      </c>
      <c r="F424">
        <v>3252000</v>
      </c>
      <c r="G424">
        <v>1388800</v>
      </c>
      <c r="H424">
        <v>4267500</v>
      </c>
    </row>
    <row r="425" spans="1:8" x14ac:dyDescent="0.3">
      <c r="A425">
        <v>51021894</v>
      </c>
      <c r="B425" t="str">
        <f>VLOOKUP(A425,VENTAS!$A$2:$B$1195,2,0)</f>
        <v>PUGH</v>
      </c>
      <c r="C425">
        <v>2301400</v>
      </c>
      <c r="D425">
        <v>4393200</v>
      </c>
      <c r="E425">
        <v>3077200</v>
      </c>
      <c r="F425">
        <v>6370000</v>
      </c>
      <c r="G425">
        <v>4188800</v>
      </c>
      <c r="H425">
        <v>4262500</v>
      </c>
    </row>
    <row r="426" spans="1:8" x14ac:dyDescent="0.3">
      <c r="A426">
        <v>51012577</v>
      </c>
      <c r="B426" t="str">
        <f>VLOOKUP(A426,VENTAS!$A$2:$B$1195,2,0)</f>
        <v>PRADES</v>
      </c>
      <c r="C426">
        <v>912400</v>
      </c>
      <c r="D426">
        <v>2183200</v>
      </c>
      <c r="E426">
        <v>1190200</v>
      </c>
      <c r="F426">
        <v>3128000</v>
      </c>
      <c r="G426">
        <v>1944000</v>
      </c>
      <c r="H426">
        <v>4250000</v>
      </c>
    </row>
    <row r="427" spans="1:8" x14ac:dyDescent="0.3">
      <c r="A427">
        <v>51041585</v>
      </c>
      <c r="B427" t="str">
        <f>VLOOKUP(A427,VENTAS!$A$2:$B$1195,2,0)</f>
        <v>ROBERTS</v>
      </c>
      <c r="C427">
        <v>1058000</v>
      </c>
      <c r="D427">
        <v>2728400</v>
      </c>
      <c r="E427">
        <v>1373400</v>
      </c>
      <c r="F427">
        <v>3994000</v>
      </c>
      <c r="G427">
        <v>2240000</v>
      </c>
      <c r="H427">
        <v>4247500</v>
      </c>
    </row>
    <row r="428" spans="1:8" x14ac:dyDescent="0.3">
      <c r="A428">
        <v>51056787</v>
      </c>
      <c r="B428" t="str">
        <f>VLOOKUP(A428,VENTAS!$A$2:$B$1195,2,0)</f>
        <v>METTLER</v>
      </c>
      <c r="C428">
        <v>800000</v>
      </c>
      <c r="D428">
        <v>2477600</v>
      </c>
      <c r="E428">
        <v>1288600</v>
      </c>
      <c r="F428">
        <v>3160000</v>
      </c>
      <c r="G428">
        <v>1894400</v>
      </c>
      <c r="H428">
        <v>4245000</v>
      </c>
    </row>
    <row r="429" spans="1:8" x14ac:dyDescent="0.3">
      <c r="A429">
        <v>51021207</v>
      </c>
      <c r="B429" t="str">
        <f>VLOOKUP(A429,VENTAS!$A$2:$B$1195,2,0)</f>
        <v>NELLI</v>
      </c>
      <c r="C429">
        <v>1113000</v>
      </c>
      <c r="D429">
        <v>2668000</v>
      </c>
      <c r="E429">
        <v>1629400</v>
      </c>
      <c r="F429">
        <v>3586000</v>
      </c>
      <c r="G429">
        <v>2544000</v>
      </c>
      <c r="H429">
        <v>4237500</v>
      </c>
    </row>
    <row r="430" spans="1:8" x14ac:dyDescent="0.3">
      <c r="A430">
        <v>51018672</v>
      </c>
      <c r="B430" t="str">
        <f>VLOOKUP(A430,VENTAS!$A$2:$B$1195,2,0)</f>
        <v>BELUZZO</v>
      </c>
      <c r="C430">
        <v>1160800</v>
      </c>
      <c r="D430">
        <v>2686400</v>
      </c>
      <c r="E430">
        <v>1724400</v>
      </c>
      <c r="F430">
        <v>3544000</v>
      </c>
      <c r="G430">
        <v>2356800</v>
      </c>
      <c r="H430">
        <v>4232500</v>
      </c>
    </row>
    <row r="431" spans="1:8" x14ac:dyDescent="0.3">
      <c r="A431">
        <v>51030982</v>
      </c>
      <c r="B431" t="str">
        <f>VLOOKUP(A431,VENTAS!$A$2:$B$1195,2,0)</f>
        <v>ROBERTS</v>
      </c>
      <c r="C431">
        <v>960000</v>
      </c>
      <c r="D431">
        <v>2713200</v>
      </c>
      <c r="E431">
        <v>1453800</v>
      </c>
      <c r="F431">
        <v>3648000</v>
      </c>
      <c r="G431">
        <v>2217600</v>
      </c>
      <c r="H431">
        <v>4230000</v>
      </c>
    </row>
    <row r="432" spans="1:8" x14ac:dyDescent="0.3">
      <c r="A432">
        <v>51014596</v>
      </c>
      <c r="B432" t="str">
        <f>VLOOKUP(A432,VENTAS!$A$2:$B$1195,2,0)</f>
        <v>ROBERTS</v>
      </c>
      <c r="C432">
        <v>221000</v>
      </c>
      <c r="D432">
        <v>2619600</v>
      </c>
      <c r="E432">
        <v>1363400</v>
      </c>
      <c r="F432">
        <v>3244000</v>
      </c>
      <c r="G432">
        <v>2142400</v>
      </c>
      <c r="H432">
        <v>4225000</v>
      </c>
    </row>
    <row r="433" spans="1:8" x14ac:dyDescent="0.3">
      <c r="A433">
        <v>51025334</v>
      </c>
      <c r="B433" t="str">
        <f>VLOOKUP(A433,VENTAS!$A$2:$B$1195,2,0)</f>
        <v>CICHETTO</v>
      </c>
      <c r="C433">
        <v>1441400</v>
      </c>
      <c r="D433">
        <v>2703600</v>
      </c>
      <c r="E433">
        <v>1990200</v>
      </c>
      <c r="F433">
        <v>3544000</v>
      </c>
      <c r="G433">
        <v>2444800</v>
      </c>
      <c r="H433">
        <v>4190000</v>
      </c>
    </row>
    <row r="434" spans="1:8" x14ac:dyDescent="0.3">
      <c r="A434">
        <v>51040031</v>
      </c>
      <c r="B434" t="str">
        <f>VLOOKUP(A434,VENTAS!$A$2:$B$1195,2,0)</f>
        <v>MONTENEGRO</v>
      </c>
      <c r="C434">
        <v>970400</v>
      </c>
      <c r="D434">
        <v>2739200</v>
      </c>
      <c r="E434">
        <v>1339600</v>
      </c>
      <c r="F434">
        <v>3502000</v>
      </c>
      <c r="G434">
        <v>2182400</v>
      </c>
      <c r="H434">
        <v>4190000</v>
      </c>
    </row>
    <row r="435" spans="1:8" x14ac:dyDescent="0.3">
      <c r="A435">
        <v>51023226</v>
      </c>
      <c r="B435" t="str">
        <f>VLOOKUP(A435,VENTAS!$A$2:$B$1195,2,0)</f>
        <v>PUGH</v>
      </c>
      <c r="C435">
        <v>915800</v>
      </c>
      <c r="D435">
        <v>2321600</v>
      </c>
      <c r="E435">
        <v>1134400</v>
      </c>
      <c r="F435">
        <v>2904000</v>
      </c>
      <c r="G435">
        <v>1686400</v>
      </c>
      <c r="H435">
        <v>4182500</v>
      </c>
    </row>
    <row r="436" spans="1:8" x14ac:dyDescent="0.3">
      <c r="A436">
        <v>51015797</v>
      </c>
      <c r="B436" t="str">
        <f>VLOOKUP(A436,VENTAS!$A$2:$B$1195,2,0)</f>
        <v>ROBERTS</v>
      </c>
      <c r="C436">
        <v>1133400</v>
      </c>
      <c r="D436">
        <v>2688000</v>
      </c>
      <c r="E436">
        <v>1598400</v>
      </c>
      <c r="F436">
        <v>3690000</v>
      </c>
      <c r="G436">
        <v>2107200</v>
      </c>
      <c r="H436">
        <v>4175000</v>
      </c>
    </row>
    <row r="437" spans="1:8" x14ac:dyDescent="0.3">
      <c r="A437">
        <v>51033604</v>
      </c>
      <c r="B437" t="str">
        <f>VLOOKUP(A437,VENTAS!$A$2:$B$1195,2,0)</f>
        <v>PRADES</v>
      </c>
      <c r="C437">
        <v>936200</v>
      </c>
      <c r="D437">
        <v>2233600</v>
      </c>
      <c r="E437">
        <v>1419800</v>
      </c>
      <c r="F437">
        <v>3014000</v>
      </c>
      <c r="G437">
        <v>2086400</v>
      </c>
      <c r="H437">
        <v>4175000</v>
      </c>
    </row>
    <row r="438" spans="1:8" x14ac:dyDescent="0.3">
      <c r="A438">
        <v>51024125</v>
      </c>
      <c r="B438" t="str">
        <f>VLOOKUP(A438,VENTAS!$A$2:$B$1195,2,0)</f>
        <v>PUGH</v>
      </c>
      <c r="C438">
        <v>1396600</v>
      </c>
      <c r="D438">
        <v>2987200</v>
      </c>
      <c r="E438">
        <v>1833000</v>
      </c>
      <c r="F438">
        <v>3408000</v>
      </c>
      <c r="G438">
        <v>2291200</v>
      </c>
      <c r="H438">
        <v>4172500</v>
      </c>
    </row>
    <row r="439" spans="1:8" x14ac:dyDescent="0.3">
      <c r="A439">
        <v>51022823</v>
      </c>
      <c r="B439" t="str">
        <f>VLOOKUP(A439,VENTAS!$A$2:$B$1195,2,0)</f>
        <v>CICHETTO</v>
      </c>
      <c r="C439">
        <v>1162000</v>
      </c>
      <c r="D439">
        <v>2518800</v>
      </c>
      <c r="E439">
        <v>1572400</v>
      </c>
      <c r="F439">
        <v>2936000</v>
      </c>
      <c r="G439">
        <v>2176000</v>
      </c>
      <c r="H439">
        <v>4165000</v>
      </c>
    </row>
    <row r="440" spans="1:8" x14ac:dyDescent="0.3">
      <c r="A440">
        <v>51009240</v>
      </c>
      <c r="B440" t="str">
        <f>VLOOKUP(A440,VENTAS!$A$2:$B$1195,2,0)</f>
        <v>METTLER</v>
      </c>
      <c r="C440">
        <v>1194000</v>
      </c>
      <c r="D440">
        <v>2437600</v>
      </c>
      <c r="E440">
        <v>1432400</v>
      </c>
      <c r="F440">
        <v>2982000</v>
      </c>
      <c r="G440">
        <v>2000000</v>
      </c>
      <c r="H440">
        <v>4162500</v>
      </c>
    </row>
    <row r="441" spans="1:8" x14ac:dyDescent="0.3">
      <c r="A441">
        <v>51017587</v>
      </c>
      <c r="B441" t="str">
        <f>VLOOKUP(A441,VENTAS!$A$2:$B$1195,2,0)</f>
        <v>PUGH</v>
      </c>
      <c r="C441">
        <v>912600.00000000012</v>
      </c>
      <c r="D441">
        <v>1914800</v>
      </c>
      <c r="E441">
        <v>1455400</v>
      </c>
      <c r="F441">
        <v>3140000</v>
      </c>
      <c r="G441">
        <v>1835200</v>
      </c>
      <c r="H441">
        <v>4140000</v>
      </c>
    </row>
    <row r="442" spans="1:8" x14ac:dyDescent="0.3">
      <c r="A442">
        <v>51039645</v>
      </c>
      <c r="B442" t="str">
        <f>VLOOKUP(A442,VENTAS!$A$2:$B$1195,2,0)</f>
        <v>LÓPEZ</v>
      </c>
      <c r="C442">
        <v>1511800</v>
      </c>
      <c r="D442">
        <v>3030800</v>
      </c>
      <c r="E442">
        <v>2178400</v>
      </c>
      <c r="F442">
        <v>3464000</v>
      </c>
      <c r="G442">
        <v>2756800</v>
      </c>
      <c r="H442">
        <v>4140000</v>
      </c>
    </row>
    <row r="443" spans="1:8" x14ac:dyDescent="0.3">
      <c r="A443">
        <v>51031130</v>
      </c>
      <c r="B443" t="str">
        <f>VLOOKUP(A443,VENTAS!$A$2:$B$1195,2,0)</f>
        <v>METTLER</v>
      </c>
      <c r="C443">
        <v>1404800</v>
      </c>
      <c r="D443">
        <v>2509600</v>
      </c>
      <c r="E443">
        <v>1890800</v>
      </c>
      <c r="F443">
        <v>3562000</v>
      </c>
      <c r="G443">
        <v>2216000</v>
      </c>
      <c r="H443">
        <v>4132500</v>
      </c>
    </row>
    <row r="444" spans="1:8" x14ac:dyDescent="0.3">
      <c r="A444">
        <v>51021321</v>
      </c>
      <c r="B444" t="str">
        <f>VLOOKUP(A444,VENTAS!$A$2:$B$1195,2,0)</f>
        <v>BELUZZO</v>
      </c>
      <c r="C444">
        <v>1183600</v>
      </c>
      <c r="D444">
        <v>2729200</v>
      </c>
      <c r="E444">
        <v>1787200</v>
      </c>
      <c r="F444">
        <v>3526000</v>
      </c>
      <c r="G444">
        <v>2436800</v>
      </c>
      <c r="H444">
        <v>4122500</v>
      </c>
    </row>
    <row r="445" spans="1:8" x14ac:dyDescent="0.3">
      <c r="A445">
        <v>51026527</v>
      </c>
      <c r="B445" t="str">
        <f>VLOOKUP(A445,VENTAS!$A$2:$B$1195,2,0)</f>
        <v>AYALA</v>
      </c>
      <c r="C445">
        <v>975200</v>
      </c>
      <c r="D445">
        <v>2547600</v>
      </c>
      <c r="E445">
        <v>1430000</v>
      </c>
      <c r="F445">
        <v>3166000</v>
      </c>
      <c r="G445">
        <v>2209600</v>
      </c>
      <c r="H445">
        <v>4122500</v>
      </c>
    </row>
    <row r="446" spans="1:8" x14ac:dyDescent="0.3">
      <c r="A446">
        <v>51043995</v>
      </c>
      <c r="B446" t="str">
        <f>VLOOKUP(A446,VENTAS!$A$2:$B$1195,2,0)</f>
        <v>MONTENEGRO</v>
      </c>
      <c r="C446">
        <v>1358000</v>
      </c>
      <c r="D446">
        <v>2740000</v>
      </c>
      <c r="E446">
        <v>1835800</v>
      </c>
      <c r="F446">
        <v>3780000</v>
      </c>
      <c r="G446">
        <v>2508800</v>
      </c>
      <c r="H446">
        <v>4112500</v>
      </c>
    </row>
    <row r="447" spans="1:8" x14ac:dyDescent="0.3">
      <c r="A447">
        <v>51004108</v>
      </c>
      <c r="B447" t="str">
        <f>VLOOKUP(A447,VENTAS!$A$2:$B$1195,2,0)</f>
        <v>PUGH</v>
      </c>
      <c r="C447">
        <v>1069400</v>
      </c>
      <c r="D447">
        <v>2680800</v>
      </c>
      <c r="E447">
        <v>1323600</v>
      </c>
      <c r="F447">
        <v>3172000</v>
      </c>
      <c r="G447">
        <v>2062400</v>
      </c>
      <c r="H447">
        <v>4105000</v>
      </c>
    </row>
    <row r="448" spans="1:8" x14ac:dyDescent="0.3">
      <c r="A448">
        <v>51007115</v>
      </c>
      <c r="B448" t="str">
        <f>VLOOKUP(A448,VENTAS!$A$2:$B$1195,2,0)</f>
        <v>METTLER</v>
      </c>
      <c r="C448">
        <v>1538000</v>
      </c>
      <c r="D448">
        <v>2550800</v>
      </c>
      <c r="E448">
        <v>2006400</v>
      </c>
      <c r="F448">
        <v>3386000</v>
      </c>
      <c r="G448">
        <v>2496000</v>
      </c>
      <c r="H448">
        <v>4105000</v>
      </c>
    </row>
    <row r="449" spans="1:8" x14ac:dyDescent="0.3">
      <c r="A449">
        <v>51024109</v>
      </c>
      <c r="B449" t="str">
        <f>VLOOKUP(A449,VENTAS!$A$2:$B$1195,2,0)</f>
        <v>MONTENEGRO</v>
      </c>
      <c r="C449">
        <v>1187000</v>
      </c>
      <c r="D449">
        <v>2855200</v>
      </c>
      <c r="E449">
        <v>1446000</v>
      </c>
      <c r="F449">
        <v>3328000</v>
      </c>
      <c r="G449">
        <v>2246400</v>
      </c>
      <c r="H449">
        <v>4105000</v>
      </c>
    </row>
    <row r="450" spans="1:8" x14ac:dyDescent="0.3">
      <c r="A450">
        <v>51008987</v>
      </c>
      <c r="B450" t="str">
        <f>VLOOKUP(A450,VENTAS!$A$2:$B$1195,2,0)</f>
        <v>ROBERTS</v>
      </c>
      <c r="C450">
        <v>1234000</v>
      </c>
      <c r="D450">
        <v>2760000</v>
      </c>
      <c r="E450">
        <v>1805800</v>
      </c>
      <c r="F450">
        <v>3376000</v>
      </c>
      <c r="G450">
        <v>2500800</v>
      </c>
      <c r="H450">
        <v>4102500</v>
      </c>
    </row>
    <row r="451" spans="1:8" x14ac:dyDescent="0.3">
      <c r="A451">
        <v>51055501</v>
      </c>
      <c r="B451" t="str">
        <f>VLOOKUP(A451,VENTAS!$A$2:$B$1195,2,0)</f>
        <v>LÓPEZ</v>
      </c>
      <c r="C451">
        <v>1005000</v>
      </c>
      <c r="D451">
        <v>2225600</v>
      </c>
      <c r="E451">
        <v>1386800</v>
      </c>
      <c r="F451">
        <v>2722000</v>
      </c>
      <c r="G451">
        <v>1921600</v>
      </c>
      <c r="H451">
        <v>4092500</v>
      </c>
    </row>
    <row r="452" spans="1:8" x14ac:dyDescent="0.3">
      <c r="A452">
        <v>51020405</v>
      </c>
      <c r="B452" t="str">
        <f>VLOOKUP(A452,VENTAS!$A$2:$B$1195,2,0)</f>
        <v>METTLER</v>
      </c>
      <c r="C452">
        <v>984800</v>
      </c>
      <c r="D452">
        <v>2243200</v>
      </c>
      <c r="E452">
        <v>1504800</v>
      </c>
      <c r="F452">
        <v>2732000</v>
      </c>
      <c r="G452">
        <v>1886400</v>
      </c>
      <c r="H452">
        <v>4085000</v>
      </c>
    </row>
    <row r="453" spans="1:8" x14ac:dyDescent="0.3">
      <c r="A453">
        <v>51041798</v>
      </c>
      <c r="B453" t="str">
        <f>VLOOKUP(A453,VENTAS!$A$2:$B$1195,2,0)</f>
        <v>LÓPEZ</v>
      </c>
      <c r="C453">
        <v>1885400</v>
      </c>
      <c r="D453">
        <v>4366000</v>
      </c>
      <c r="E453">
        <v>2700800</v>
      </c>
      <c r="F453">
        <v>5538000</v>
      </c>
      <c r="G453">
        <v>3531200</v>
      </c>
      <c r="H453">
        <v>4082500</v>
      </c>
    </row>
    <row r="454" spans="1:8" x14ac:dyDescent="0.3">
      <c r="A454">
        <v>51007565</v>
      </c>
      <c r="B454" t="str">
        <f>VLOOKUP(A454,VENTAS!$A$2:$B$1195,2,0)</f>
        <v>LÓPEZ</v>
      </c>
      <c r="C454">
        <v>980799.99999999988</v>
      </c>
      <c r="D454">
        <v>2307200</v>
      </c>
      <c r="E454">
        <v>1290800</v>
      </c>
      <c r="F454">
        <v>3328000</v>
      </c>
      <c r="G454">
        <v>2048000</v>
      </c>
      <c r="H454">
        <v>4065000</v>
      </c>
    </row>
    <row r="455" spans="1:8" x14ac:dyDescent="0.3">
      <c r="A455">
        <v>51012941</v>
      </c>
      <c r="B455" t="str">
        <f>VLOOKUP(A455,VENTAS!$A$2:$B$1195,2,0)</f>
        <v>LÓPEZ</v>
      </c>
      <c r="C455">
        <v>833600</v>
      </c>
      <c r="D455">
        <v>2280400</v>
      </c>
      <c r="E455">
        <v>1263000</v>
      </c>
      <c r="F455">
        <v>3152000</v>
      </c>
      <c r="G455">
        <v>1758400</v>
      </c>
      <c r="H455">
        <v>4065000</v>
      </c>
    </row>
    <row r="456" spans="1:8" x14ac:dyDescent="0.3">
      <c r="A456">
        <v>51024966</v>
      </c>
      <c r="B456" t="str">
        <f>VLOOKUP(A456,VENTAS!$A$2:$B$1195,2,0)</f>
        <v>BELUZZO</v>
      </c>
      <c r="C456">
        <v>1332000</v>
      </c>
      <c r="D456">
        <v>3109200</v>
      </c>
      <c r="E456">
        <v>1815200</v>
      </c>
      <c r="F456">
        <v>3564000</v>
      </c>
      <c r="G456">
        <v>2436800</v>
      </c>
      <c r="H456">
        <v>4055000</v>
      </c>
    </row>
    <row r="457" spans="1:8" x14ac:dyDescent="0.3">
      <c r="A457">
        <v>51005112</v>
      </c>
      <c r="B457" t="str">
        <f>VLOOKUP(A457,VENTAS!$A$2:$B$1195,2,0)</f>
        <v>AYALA</v>
      </c>
      <c r="C457">
        <v>944400</v>
      </c>
      <c r="D457">
        <v>2120400</v>
      </c>
      <c r="E457">
        <v>1707400</v>
      </c>
      <c r="F457">
        <v>3154000</v>
      </c>
      <c r="G457">
        <v>2233600</v>
      </c>
      <c r="H457">
        <v>4045000</v>
      </c>
    </row>
    <row r="458" spans="1:8" x14ac:dyDescent="0.3">
      <c r="A458">
        <v>51040937</v>
      </c>
      <c r="B458" t="str">
        <f>VLOOKUP(A458,VENTAS!$A$2:$B$1195,2,0)</f>
        <v>PRADES</v>
      </c>
      <c r="C458">
        <v>1157000</v>
      </c>
      <c r="D458">
        <v>2620400</v>
      </c>
      <c r="E458">
        <v>1366400</v>
      </c>
      <c r="F458">
        <v>3064000</v>
      </c>
      <c r="G458">
        <v>2036800</v>
      </c>
      <c r="H458">
        <v>4042500</v>
      </c>
    </row>
    <row r="459" spans="1:8" x14ac:dyDescent="0.3">
      <c r="A459">
        <v>51018737</v>
      </c>
      <c r="B459" t="str">
        <f>VLOOKUP(A459,VENTAS!$A$2:$B$1195,2,0)</f>
        <v>PRADES</v>
      </c>
      <c r="C459">
        <v>1359000</v>
      </c>
      <c r="D459">
        <v>2528400</v>
      </c>
      <c r="E459">
        <v>1736200</v>
      </c>
      <c r="F459">
        <v>4256000</v>
      </c>
      <c r="G459">
        <v>2836800</v>
      </c>
      <c r="H459">
        <v>4040000</v>
      </c>
    </row>
    <row r="460" spans="1:8" x14ac:dyDescent="0.3">
      <c r="A460">
        <v>51034155</v>
      </c>
      <c r="B460" t="str">
        <f>VLOOKUP(A460,VENTAS!$A$2:$B$1195,2,0)</f>
        <v>ROBERTS</v>
      </c>
      <c r="C460">
        <v>1303800</v>
      </c>
      <c r="D460">
        <v>2557200</v>
      </c>
      <c r="E460">
        <v>1782600</v>
      </c>
      <c r="F460">
        <v>3272000</v>
      </c>
      <c r="G460">
        <v>2280000</v>
      </c>
      <c r="H460">
        <v>4040000</v>
      </c>
    </row>
    <row r="461" spans="1:8" x14ac:dyDescent="0.3">
      <c r="A461">
        <v>51040899</v>
      </c>
      <c r="B461" t="str">
        <f>VLOOKUP(A461,VENTAS!$A$2:$B$1195,2,0)</f>
        <v>PRADES</v>
      </c>
      <c r="C461">
        <v>528600</v>
      </c>
      <c r="D461">
        <v>2311200</v>
      </c>
      <c r="E461">
        <v>853200</v>
      </c>
      <c r="F461">
        <v>2802000</v>
      </c>
      <c r="G461">
        <v>2036800</v>
      </c>
      <c r="H461">
        <v>4037500</v>
      </c>
    </row>
    <row r="462" spans="1:8" x14ac:dyDescent="0.3">
      <c r="A462">
        <v>51055896</v>
      </c>
      <c r="B462" t="str">
        <f>VLOOKUP(A462,VENTAS!$A$2:$B$1195,2,0)</f>
        <v>LÓPEZ</v>
      </c>
      <c r="C462">
        <v>1261000</v>
      </c>
      <c r="D462">
        <v>2888400</v>
      </c>
      <c r="E462">
        <v>1818200</v>
      </c>
      <c r="F462">
        <v>3182000</v>
      </c>
      <c r="G462">
        <v>1891200</v>
      </c>
      <c r="H462">
        <v>4030000</v>
      </c>
    </row>
    <row r="463" spans="1:8" x14ac:dyDescent="0.3">
      <c r="A463">
        <v>51031822</v>
      </c>
      <c r="B463" t="str">
        <f>VLOOKUP(A463,VENTAS!$A$2:$B$1195,2,0)</f>
        <v>MONTENEGRO</v>
      </c>
      <c r="C463">
        <v>1141200</v>
      </c>
      <c r="D463">
        <v>2091200</v>
      </c>
      <c r="E463">
        <v>1619200</v>
      </c>
      <c r="F463">
        <v>2640000</v>
      </c>
      <c r="G463">
        <v>2192000</v>
      </c>
      <c r="H463">
        <v>4020000</v>
      </c>
    </row>
    <row r="464" spans="1:8" x14ac:dyDescent="0.3">
      <c r="A464">
        <v>51011490</v>
      </c>
      <c r="B464" t="str">
        <f>VLOOKUP(A464,VENTAS!$A$2:$B$1195,2,0)</f>
        <v>MONTENEGRO</v>
      </c>
      <c r="C464">
        <v>1475800</v>
      </c>
      <c r="D464">
        <v>2876000</v>
      </c>
      <c r="E464">
        <v>1978400</v>
      </c>
      <c r="F464">
        <v>3418000</v>
      </c>
      <c r="G464">
        <v>2705600</v>
      </c>
      <c r="H464">
        <v>4017500</v>
      </c>
    </row>
    <row r="465" spans="1:8" x14ac:dyDescent="0.3">
      <c r="A465">
        <v>51014693</v>
      </c>
      <c r="B465" t="str">
        <f>VLOOKUP(A465,VENTAS!$A$2:$B$1195,2,0)</f>
        <v>PUGH</v>
      </c>
      <c r="C465">
        <v>1236200</v>
      </c>
      <c r="D465">
        <v>2665200</v>
      </c>
      <c r="E465">
        <v>1370200</v>
      </c>
      <c r="F465">
        <v>3018000</v>
      </c>
      <c r="G465">
        <v>2036800</v>
      </c>
      <c r="H465">
        <v>4017500</v>
      </c>
    </row>
    <row r="466" spans="1:8" x14ac:dyDescent="0.3">
      <c r="A466">
        <v>51013735</v>
      </c>
      <c r="B466" t="str">
        <f>VLOOKUP(A466,VENTAS!$A$2:$B$1195,2,0)</f>
        <v>AYALA</v>
      </c>
      <c r="C466">
        <v>1061800</v>
      </c>
      <c r="D466">
        <v>1836000</v>
      </c>
      <c r="E466">
        <v>1437200</v>
      </c>
      <c r="F466">
        <v>2918000</v>
      </c>
      <c r="G466">
        <v>1880000</v>
      </c>
      <c r="H466">
        <v>4000000</v>
      </c>
    </row>
    <row r="467" spans="1:8" x14ac:dyDescent="0.3">
      <c r="A467">
        <v>51014081</v>
      </c>
      <c r="B467" t="str">
        <f>VLOOKUP(A467,VENTAS!$A$2:$B$1195,2,0)</f>
        <v>NELLI</v>
      </c>
      <c r="C467">
        <v>890400</v>
      </c>
      <c r="D467">
        <v>2324800</v>
      </c>
      <c r="E467">
        <v>1555800</v>
      </c>
      <c r="F467">
        <v>2522000</v>
      </c>
      <c r="G467">
        <v>2169600</v>
      </c>
      <c r="H467">
        <v>4000000</v>
      </c>
    </row>
    <row r="468" spans="1:8" x14ac:dyDescent="0.3">
      <c r="A468">
        <v>51016076</v>
      </c>
      <c r="B468" t="str">
        <f>VLOOKUP(A468,VENTAS!$A$2:$B$1195,2,0)</f>
        <v>MONTENEGRO</v>
      </c>
      <c r="C468">
        <v>1184200</v>
      </c>
      <c r="D468">
        <v>2562800</v>
      </c>
      <c r="E468">
        <v>1586400</v>
      </c>
      <c r="F468">
        <v>3068000</v>
      </c>
      <c r="G468">
        <v>2371200</v>
      </c>
      <c r="H468">
        <v>3992500</v>
      </c>
    </row>
    <row r="469" spans="1:8" x14ac:dyDescent="0.3">
      <c r="A469">
        <v>51023129</v>
      </c>
      <c r="B469" t="str">
        <f>VLOOKUP(A469,VENTAS!$A$2:$B$1195,2,0)</f>
        <v>PUGH</v>
      </c>
      <c r="C469">
        <v>1113600</v>
      </c>
      <c r="D469">
        <v>2565600</v>
      </c>
      <c r="E469">
        <v>1180400</v>
      </c>
      <c r="F469">
        <v>3042000</v>
      </c>
      <c r="G469">
        <v>1960000</v>
      </c>
      <c r="H469">
        <v>3985000</v>
      </c>
    </row>
    <row r="470" spans="1:8" x14ac:dyDescent="0.3">
      <c r="A470">
        <v>51013115</v>
      </c>
      <c r="B470" t="str">
        <f>VLOOKUP(A470,VENTAS!$A$2:$B$1195,2,0)</f>
        <v>ARGUELLO</v>
      </c>
      <c r="C470">
        <v>1106000</v>
      </c>
      <c r="D470">
        <v>2120400</v>
      </c>
      <c r="E470">
        <v>1505000</v>
      </c>
      <c r="F470">
        <v>2770000</v>
      </c>
      <c r="G470">
        <v>2123200</v>
      </c>
      <c r="H470">
        <v>3977500</v>
      </c>
    </row>
    <row r="471" spans="1:8" x14ac:dyDescent="0.3">
      <c r="A471">
        <v>51010833</v>
      </c>
      <c r="B471" t="str">
        <f>VLOOKUP(A471,VENTAS!$A$2:$B$1195,2,0)</f>
        <v>PRADES</v>
      </c>
      <c r="C471">
        <v>1332600</v>
      </c>
      <c r="D471">
        <v>2648800</v>
      </c>
      <c r="E471">
        <v>1810400</v>
      </c>
      <c r="F471">
        <v>3174000</v>
      </c>
      <c r="G471">
        <v>2257600</v>
      </c>
      <c r="H471">
        <v>3975000</v>
      </c>
    </row>
    <row r="472" spans="1:8" x14ac:dyDescent="0.3">
      <c r="A472">
        <v>51010990</v>
      </c>
      <c r="B472" t="str">
        <f>VLOOKUP(A472,VENTAS!$A$2:$B$1195,2,0)</f>
        <v>ARGUELLO</v>
      </c>
      <c r="C472">
        <v>1146800</v>
      </c>
      <c r="D472">
        <v>1846400</v>
      </c>
      <c r="E472">
        <v>1375800</v>
      </c>
      <c r="F472">
        <v>2820000</v>
      </c>
      <c r="G472">
        <v>1724800</v>
      </c>
      <c r="H472">
        <v>3970000</v>
      </c>
    </row>
    <row r="473" spans="1:8" x14ac:dyDescent="0.3">
      <c r="A473">
        <v>51056621</v>
      </c>
      <c r="B473" t="str">
        <f>VLOOKUP(A473,VENTAS!$A$2:$B$1195,2,0)</f>
        <v>PRADES</v>
      </c>
      <c r="C473">
        <v>1171200</v>
      </c>
      <c r="D473">
        <v>2297200</v>
      </c>
      <c r="E473">
        <v>1701200</v>
      </c>
      <c r="F473">
        <v>2900000</v>
      </c>
      <c r="G473">
        <v>2352000</v>
      </c>
      <c r="H473">
        <v>3965000</v>
      </c>
    </row>
    <row r="474" spans="1:8" x14ac:dyDescent="0.3">
      <c r="A474">
        <v>51025822</v>
      </c>
      <c r="B474" t="str">
        <f>VLOOKUP(A474,VENTAS!$A$2:$B$1195,2,0)</f>
        <v>LÓPEZ</v>
      </c>
      <c r="C474">
        <v>1039400</v>
      </c>
      <c r="D474">
        <v>2126000</v>
      </c>
      <c r="E474">
        <v>1326200</v>
      </c>
      <c r="F474">
        <v>2792000</v>
      </c>
      <c r="G474">
        <v>1800000</v>
      </c>
      <c r="H474">
        <v>3960000</v>
      </c>
    </row>
    <row r="475" spans="1:8" x14ac:dyDescent="0.3">
      <c r="A475">
        <v>51011937</v>
      </c>
      <c r="B475" t="str">
        <f>VLOOKUP(A475,VENTAS!$A$2:$B$1195,2,0)</f>
        <v>LÓPEZ</v>
      </c>
      <c r="C475">
        <v>1124200</v>
      </c>
      <c r="D475">
        <v>2205600</v>
      </c>
      <c r="E475">
        <v>1516200</v>
      </c>
      <c r="F475">
        <v>2802000</v>
      </c>
      <c r="G475">
        <v>2003200</v>
      </c>
      <c r="H475">
        <v>3952500</v>
      </c>
    </row>
    <row r="476" spans="1:8" x14ac:dyDescent="0.3">
      <c r="A476">
        <v>51018826</v>
      </c>
      <c r="B476" t="str">
        <f>VLOOKUP(A476,VENTAS!$A$2:$B$1195,2,0)</f>
        <v>ARGUELLO</v>
      </c>
      <c r="C476">
        <v>1227400</v>
      </c>
      <c r="D476">
        <v>2422800</v>
      </c>
      <c r="E476">
        <v>1571200</v>
      </c>
      <c r="F476">
        <v>3046000</v>
      </c>
      <c r="G476">
        <v>2158400</v>
      </c>
      <c r="H476">
        <v>3942500</v>
      </c>
    </row>
    <row r="477" spans="1:8" x14ac:dyDescent="0.3">
      <c r="A477">
        <v>51000196</v>
      </c>
      <c r="B477" t="str">
        <f>VLOOKUP(A477,VENTAS!$A$2:$B$1195,2,0)</f>
        <v>AYALA</v>
      </c>
      <c r="C477">
        <v>1351000</v>
      </c>
      <c r="D477">
        <v>2429200</v>
      </c>
      <c r="E477">
        <v>1714600</v>
      </c>
      <c r="F477">
        <v>3022000</v>
      </c>
      <c r="G477">
        <v>2348800</v>
      </c>
      <c r="H477">
        <v>3937500</v>
      </c>
    </row>
    <row r="478" spans="1:8" x14ac:dyDescent="0.3">
      <c r="A478">
        <v>51029038</v>
      </c>
      <c r="B478" t="str">
        <f>VLOOKUP(A478,VENTAS!$A$2:$B$1195,2,0)</f>
        <v>ROBERTS</v>
      </c>
      <c r="C478">
        <v>1342800</v>
      </c>
      <c r="D478">
        <v>1803600</v>
      </c>
      <c r="E478">
        <v>1269800</v>
      </c>
      <c r="F478">
        <v>3008000</v>
      </c>
      <c r="G478">
        <v>1788800</v>
      </c>
      <c r="H478">
        <v>3937500</v>
      </c>
    </row>
    <row r="479" spans="1:8" x14ac:dyDescent="0.3">
      <c r="A479">
        <v>51021665</v>
      </c>
      <c r="B479" t="str">
        <f>VLOOKUP(A479,VENTAS!$A$2:$B$1195,2,0)</f>
        <v>AYALA</v>
      </c>
      <c r="C479">
        <v>1011200</v>
      </c>
      <c r="D479">
        <v>2725600</v>
      </c>
      <c r="E479">
        <v>1489200</v>
      </c>
      <c r="F479">
        <v>2492000</v>
      </c>
      <c r="G479">
        <v>2214400</v>
      </c>
      <c r="H479">
        <v>3927500</v>
      </c>
    </row>
    <row r="480" spans="1:8" x14ac:dyDescent="0.3">
      <c r="A480">
        <v>51056272</v>
      </c>
      <c r="B480" t="str">
        <f>VLOOKUP(A480,VENTAS!$A$2:$B$1195,2,0)</f>
        <v>LÓPEZ</v>
      </c>
      <c r="C480">
        <v>846800</v>
      </c>
      <c r="D480">
        <v>1965600</v>
      </c>
      <c r="E480">
        <v>1319200</v>
      </c>
      <c r="F480">
        <v>2862000</v>
      </c>
      <c r="G480">
        <v>1987200</v>
      </c>
      <c r="H480">
        <v>3917500</v>
      </c>
    </row>
    <row r="481" spans="1:8" x14ac:dyDescent="0.3">
      <c r="A481">
        <v>51056981</v>
      </c>
      <c r="B481" t="str">
        <f>VLOOKUP(A481,VENTAS!$A$2:$B$1195,2,0)</f>
        <v>MONTENEGRO</v>
      </c>
      <c r="C481">
        <v>898800</v>
      </c>
      <c r="D481">
        <v>2291600</v>
      </c>
      <c r="E481">
        <v>1166600</v>
      </c>
      <c r="F481">
        <v>2840000</v>
      </c>
      <c r="G481">
        <v>1761600</v>
      </c>
      <c r="H481">
        <v>3915000</v>
      </c>
    </row>
    <row r="482" spans="1:8" x14ac:dyDescent="0.3">
      <c r="A482">
        <v>51018214</v>
      </c>
      <c r="B482" t="str">
        <f>VLOOKUP(A482,VENTAS!$A$2:$B$1195,2,0)</f>
        <v>ROBERTS</v>
      </c>
      <c r="C482">
        <v>1167400</v>
      </c>
      <c r="D482">
        <v>2244000</v>
      </c>
      <c r="E482">
        <v>1664400</v>
      </c>
      <c r="F482">
        <v>2582000</v>
      </c>
      <c r="G482">
        <v>2388800</v>
      </c>
      <c r="H482">
        <v>3910000</v>
      </c>
    </row>
    <row r="483" spans="1:8" x14ac:dyDescent="0.3">
      <c r="A483">
        <v>51038894</v>
      </c>
      <c r="B483" t="str">
        <f>VLOOKUP(A483,VENTAS!$A$2:$B$1195,2,0)</f>
        <v>AYALA</v>
      </c>
      <c r="C483">
        <v>966200.00000000012</v>
      </c>
      <c r="D483">
        <v>2967200</v>
      </c>
      <c r="E483">
        <v>1320400</v>
      </c>
      <c r="F483">
        <v>3622000</v>
      </c>
      <c r="G483">
        <v>1891200</v>
      </c>
      <c r="H483">
        <v>3905000</v>
      </c>
    </row>
    <row r="484" spans="1:8" x14ac:dyDescent="0.3">
      <c r="A484">
        <v>51016858</v>
      </c>
      <c r="B484" t="str">
        <f>VLOOKUP(A484,VENTAS!$A$2:$B$1195,2,0)</f>
        <v>PRADES</v>
      </c>
      <c r="C484">
        <v>1044000</v>
      </c>
      <c r="D484">
        <v>2409200</v>
      </c>
      <c r="E484">
        <v>1397600</v>
      </c>
      <c r="F484">
        <v>2906000</v>
      </c>
      <c r="G484">
        <v>2174400</v>
      </c>
      <c r="H484">
        <v>3902500</v>
      </c>
    </row>
    <row r="485" spans="1:8" x14ac:dyDescent="0.3">
      <c r="A485">
        <v>51013867</v>
      </c>
      <c r="B485" t="str">
        <f>VLOOKUP(A485,VENTAS!$A$2:$B$1195,2,0)</f>
        <v>PRADES</v>
      </c>
      <c r="C485">
        <v>376999.99999999988</v>
      </c>
      <c r="D485">
        <v>2453200</v>
      </c>
      <c r="E485">
        <v>1273800</v>
      </c>
      <c r="F485">
        <v>3012000</v>
      </c>
      <c r="G485">
        <v>2064000</v>
      </c>
      <c r="H485">
        <v>3900000</v>
      </c>
    </row>
    <row r="486" spans="1:8" x14ac:dyDescent="0.3">
      <c r="A486">
        <v>51016785</v>
      </c>
      <c r="B486" t="str">
        <f>VLOOKUP(A486,VENTAS!$A$2:$B$1195,2,0)</f>
        <v>BELUZZO</v>
      </c>
      <c r="C486">
        <v>910600</v>
      </c>
      <c r="D486">
        <v>2194800</v>
      </c>
      <c r="E486">
        <v>1253200</v>
      </c>
      <c r="F486">
        <v>2898000</v>
      </c>
      <c r="G486">
        <v>1848000</v>
      </c>
      <c r="H486">
        <v>3900000</v>
      </c>
    </row>
    <row r="487" spans="1:8" x14ac:dyDescent="0.3">
      <c r="A487">
        <v>51055632</v>
      </c>
      <c r="B487" t="str">
        <f>VLOOKUP(A487,VENTAS!$A$2:$B$1195,2,0)</f>
        <v>MONTENEGRO</v>
      </c>
      <c r="C487">
        <v>1371400</v>
      </c>
      <c r="D487">
        <v>2509200</v>
      </c>
      <c r="E487">
        <v>1715800</v>
      </c>
      <c r="F487">
        <v>2872000</v>
      </c>
      <c r="G487">
        <v>2332800</v>
      </c>
      <c r="H487">
        <v>3895000</v>
      </c>
    </row>
    <row r="488" spans="1:8" x14ac:dyDescent="0.3">
      <c r="A488">
        <v>51011694</v>
      </c>
      <c r="B488" t="str">
        <f>VLOOKUP(A488,VENTAS!$A$2:$B$1195,2,0)</f>
        <v>AYALA</v>
      </c>
      <c r="C488">
        <v>1001000</v>
      </c>
      <c r="D488">
        <v>2216000</v>
      </c>
      <c r="E488">
        <v>1650800</v>
      </c>
      <c r="F488">
        <v>2846000</v>
      </c>
      <c r="G488">
        <v>2441600</v>
      </c>
      <c r="H488">
        <v>3887500</v>
      </c>
    </row>
    <row r="489" spans="1:8" x14ac:dyDescent="0.3">
      <c r="A489">
        <v>51023358</v>
      </c>
      <c r="B489" t="str">
        <f>VLOOKUP(A489,VENTAS!$A$2:$B$1195,2,0)</f>
        <v>ROBERTS</v>
      </c>
      <c r="C489">
        <v>1347800</v>
      </c>
      <c r="D489">
        <v>2953600</v>
      </c>
      <c r="E489">
        <v>1745800</v>
      </c>
      <c r="F489">
        <v>3498000</v>
      </c>
      <c r="G489">
        <v>2468800</v>
      </c>
      <c r="H489">
        <v>3877500</v>
      </c>
    </row>
    <row r="490" spans="1:8" x14ac:dyDescent="0.3">
      <c r="A490">
        <v>51031610</v>
      </c>
      <c r="B490" t="str">
        <f>VLOOKUP(A490,VENTAS!$A$2:$B$1195,2,0)</f>
        <v>CICHETTO</v>
      </c>
      <c r="C490">
        <v>1427200</v>
      </c>
      <c r="D490">
        <v>2859200</v>
      </c>
      <c r="E490">
        <v>1980400</v>
      </c>
      <c r="F490">
        <v>3078000</v>
      </c>
      <c r="G490">
        <v>2430400</v>
      </c>
      <c r="H490">
        <v>3877500</v>
      </c>
    </row>
    <row r="491" spans="1:8" x14ac:dyDescent="0.3">
      <c r="A491">
        <v>51017226</v>
      </c>
      <c r="B491" t="str">
        <f>VLOOKUP(A491,VENTAS!$A$2:$B$1195,2,0)</f>
        <v>MONTENEGRO</v>
      </c>
      <c r="C491">
        <v>1416400</v>
      </c>
      <c r="D491">
        <v>2048800</v>
      </c>
      <c r="E491">
        <v>1829000</v>
      </c>
      <c r="F491">
        <v>2964000</v>
      </c>
      <c r="G491">
        <v>1921600</v>
      </c>
      <c r="H491">
        <v>3855000</v>
      </c>
    </row>
    <row r="492" spans="1:8" x14ac:dyDescent="0.3">
      <c r="A492">
        <v>51024141</v>
      </c>
      <c r="B492" t="str">
        <f>VLOOKUP(A492,VENTAS!$A$2:$B$1195,2,0)</f>
        <v>AYALA</v>
      </c>
      <c r="C492">
        <v>766200</v>
      </c>
      <c r="D492">
        <v>2246800</v>
      </c>
      <c r="E492">
        <v>925400</v>
      </c>
      <c r="F492">
        <v>2844000</v>
      </c>
      <c r="G492">
        <v>1387200</v>
      </c>
      <c r="H492">
        <v>3845000</v>
      </c>
    </row>
    <row r="493" spans="1:8" x14ac:dyDescent="0.3">
      <c r="A493">
        <v>51056604</v>
      </c>
      <c r="B493" t="str">
        <f>VLOOKUP(A493,VENTAS!$A$2:$B$1195,2,0)</f>
        <v>PUGH</v>
      </c>
      <c r="C493">
        <v>787400</v>
      </c>
      <c r="D493">
        <v>2346000</v>
      </c>
      <c r="E493">
        <v>1140400</v>
      </c>
      <c r="F493">
        <v>3010000</v>
      </c>
      <c r="G493">
        <v>1736000</v>
      </c>
      <c r="H493">
        <v>3845000</v>
      </c>
    </row>
    <row r="494" spans="1:8" x14ac:dyDescent="0.3">
      <c r="A494">
        <v>51013301</v>
      </c>
      <c r="B494" t="str">
        <f>VLOOKUP(A494,VENTAS!$A$2:$B$1195,2,0)</f>
        <v>AYALA</v>
      </c>
      <c r="C494">
        <v>1085600</v>
      </c>
      <c r="D494">
        <v>2160000</v>
      </c>
      <c r="E494">
        <v>1500400</v>
      </c>
      <c r="F494">
        <v>3146000</v>
      </c>
      <c r="G494">
        <v>1864000</v>
      </c>
      <c r="H494">
        <v>3835000</v>
      </c>
    </row>
    <row r="495" spans="1:8" x14ac:dyDescent="0.3">
      <c r="A495">
        <v>51020081</v>
      </c>
      <c r="B495" t="str">
        <f>VLOOKUP(A495,VENTAS!$A$2:$B$1195,2,0)</f>
        <v>BELUZZO</v>
      </c>
      <c r="C495">
        <v>974600</v>
      </c>
      <c r="D495">
        <v>2107200</v>
      </c>
      <c r="E495">
        <v>1243800</v>
      </c>
      <c r="F495">
        <v>2778000</v>
      </c>
      <c r="G495">
        <v>1804800</v>
      </c>
      <c r="H495">
        <v>3822500</v>
      </c>
    </row>
    <row r="496" spans="1:8" x14ac:dyDescent="0.3">
      <c r="A496">
        <v>51038401</v>
      </c>
      <c r="B496" t="str">
        <f>VLOOKUP(A496,VENTAS!$A$2:$B$1195,2,0)</f>
        <v>PUGH</v>
      </c>
      <c r="C496">
        <v>821400</v>
      </c>
      <c r="D496">
        <v>2338400</v>
      </c>
      <c r="E496">
        <v>1299600</v>
      </c>
      <c r="F496">
        <v>3328000</v>
      </c>
      <c r="G496">
        <v>1785600</v>
      </c>
      <c r="H496">
        <v>3822500</v>
      </c>
    </row>
    <row r="497" spans="1:8" x14ac:dyDescent="0.3">
      <c r="A497">
        <v>51056914</v>
      </c>
      <c r="B497" t="str">
        <f>VLOOKUP(A497,VENTAS!$A$2:$B$1195,2,0)</f>
        <v>CICHETTO</v>
      </c>
      <c r="C497">
        <v>1386800</v>
      </c>
      <c r="D497">
        <v>2558000</v>
      </c>
      <c r="E497">
        <v>1664400</v>
      </c>
      <c r="F497">
        <v>3102000</v>
      </c>
      <c r="G497">
        <v>2371200</v>
      </c>
      <c r="H497">
        <v>3822500</v>
      </c>
    </row>
    <row r="498" spans="1:8" x14ac:dyDescent="0.3">
      <c r="A498">
        <v>51035682</v>
      </c>
      <c r="B498" t="str">
        <f>VLOOKUP(A498,VENTAS!$A$2:$B$1195,2,0)</f>
        <v>CICHETTO</v>
      </c>
      <c r="C498">
        <v>1300400</v>
      </c>
      <c r="D498">
        <v>2517200</v>
      </c>
      <c r="E498">
        <v>1732600</v>
      </c>
      <c r="F498">
        <v>3046000</v>
      </c>
      <c r="G498">
        <v>2320000</v>
      </c>
      <c r="H498">
        <v>3807500</v>
      </c>
    </row>
    <row r="499" spans="1:8" x14ac:dyDescent="0.3">
      <c r="A499">
        <v>51010175</v>
      </c>
      <c r="B499" t="str">
        <f>VLOOKUP(A499,VENTAS!$A$2:$B$1195,2,0)</f>
        <v>AYALA</v>
      </c>
      <c r="C499">
        <v>1021400</v>
      </c>
      <c r="D499">
        <v>2420800</v>
      </c>
      <c r="E499">
        <v>1502200</v>
      </c>
      <c r="F499">
        <v>3064000</v>
      </c>
      <c r="G499">
        <v>2216000</v>
      </c>
      <c r="H499">
        <v>3805000</v>
      </c>
    </row>
    <row r="500" spans="1:8" x14ac:dyDescent="0.3">
      <c r="A500">
        <v>51015657</v>
      </c>
      <c r="B500" t="str">
        <f>VLOOKUP(A500,VENTAS!$A$2:$B$1195,2,0)</f>
        <v>METTLER</v>
      </c>
      <c r="C500">
        <v>1031200</v>
      </c>
      <c r="D500">
        <v>2473600</v>
      </c>
      <c r="E500">
        <v>1285600</v>
      </c>
      <c r="F500">
        <v>2902000</v>
      </c>
      <c r="G500">
        <v>1819200</v>
      </c>
      <c r="H500">
        <v>3802500</v>
      </c>
    </row>
    <row r="501" spans="1:8" x14ac:dyDescent="0.3">
      <c r="A501">
        <v>51017633</v>
      </c>
      <c r="B501" t="str">
        <f>VLOOKUP(A501,VENTAS!$A$2:$B$1195,2,0)</f>
        <v>PRADES</v>
      </c>
      <c r="C501">
        <v>1380600</v>
      </c>
      <c r="D501">
        <v>2295200</v>
      </c>
      <c r="E501">
        <v>1834600</v>
      </c>
      <c r="F501">
        <v>2748000</v>
      </c>
      <c r="G501">
        <v>2432000</v>
      </c>
      <c r="H501">
        <v>3800000</v>
      </c>
    </row>
    <row r="502" spans="1:8" x14ac:dyDescent="0.3">
      <c r="A502">
        <v>51055241</v>
      </c>
      <c r="B502" t="str">
        <f>VLOOKUP(A502,VENTAS!$A$2:$B$1195,2,0)</f>
        <v>METTLER</v>
      </c>
      <c r="C502">
        <v>1282400</v>
      </c>
      <c r="D502">
        <v>2310400</v>
      </c>
      <c r="E502">
        <v>1480000</v>
      </c>
      <c r="F502">
        <v>3002000</v>
      </c>
      <c r="G502">
        <v>1947200</v>
      </c>
      <c r="H502">
        <v>3797500</v>
      </c>
    </row>
    <row r="503" spans="1:8" x14ac:dyDescent="0.3">
      <c r="A503">
        <v>51006844</v>
      </c>
      <c r="B503" t="str">
        <f>VLOOKUP(A503,VENTAS!$A$2:$B$1195,2,0)</f>
        <v>LÓPEZ</v>
      </c>
      <c r="C503">
        <v>1443200</v>
      </c>
      <c r="D503">
        <v>3164400</v>
      </c>
      <c r="E503">
        <v>1734600</v>
      </c>
      <c r="F503">
        <v>3970000</v>
      </c>
      <c r="G503">
        <v>2678400</v>
      </c>
      <c r="H503">
        <v>3782500</v>
      </c>
    </row>
    <row r="504" spans="1:8" x14ac:dyDescent="0.3">
      <c r="A504">
        <v>51021835</v>
      </c>
      <c r="B504" t="str">
        <f>VLOOKUP(A504,VENTAS!$A$2:$B$1195,2,0)</f>
        <v>ROBERTS</v>
      </c>
      <c r="C504">
        <v>759800</v>
      </c>
      <c r="D504">
        <v>2261200</v>
      </c>
      <c r="E504">
        <v>1202000</v>
      </c>
      <c r="F504">
        <v>2868000</v>
      </c>
      <c r="G504">
        <v>1828800</v>
      </c>
      <c r="H504">
        <v>3777500</v>
      </c>
    </row>
    <row r="505" spans="1:8" x14ac:dyDescent="0.3">
      <c r="A505">
        <v>51033795</v>
      </c>
      <c r="B505" t="str">
        <f>VLOOKUP(A505,VENTAS!$A$2:$B$1195,2,0)</f>
        <v>AYALA</v>
      </c>
      <c r="C505">
        <v>980400</v>
      </c>
      <c r="D505">
        <v>2720000</v>
      </c>
      <c r="E505">
        <v>1401200</v>
      </c>
      <c r="F505">
        <v>3032000</v>
      </c>
      <c r="G505">
        <v>2041600</v>
      </c>
      <c r="H505">
        <v>3772500</v>
      </c>
    </row>
    <row r="506" spans="1:8" x14ac:dyDescent="0.3">
      <c r="A506">
        <v>51056507</v>
      </c>
      <c r="B506" t="str">
        <f>VLOOKUP(A506,VENTAS!$A$2:$B$1195,2,0)</f>
        <v>PRADES</v>
      </c>
      <c r="C506">
        <v>974199.99999999988</v>
      </c>
      <c r="D506">
        <v>2106400</v>
      </c>
      <c r="E506">
        <v>1281600</v>
      </c>
      <c r="F506">
        <v>2906000</v>
      </c>
      <c r="G506">
        <v>1763200</v>
      </c>
      <c r="H506">
        <v>3755000</v>
      </c>
    </row>
    <row r="507" spans="1:8" x14ac:dyDescent="0.3">
      <c r="A507">
        <v>51054873</v>
      </c>
      <c r="B507" t="str">
        <f>VLOOKUP(A507,VENTAS!$A$2:$B$1195,2,0)</f>
        <v>ROBERTS</v>
      </c>
      <c r="C507">
        <v>1142000</v>
      </c>
      <c r="D507">
        <v>2159200</v>
      </c>
      <c r="E507">
        <v>1403400</v>
      </c>
      <c r="F507">
        <v>2788000</v>
      </c>
      <c r="G507">
        <v>1894400</v>
      </c>
      <c r="H507">
        <v>3747500</v>
      </c>
    </row>
    <row r="508" spans="1:8" x14ac:dyDescent="0.3">
      <c r="A508">
        <v>51055853</v>
      </c>
      <c r="B508" t="str">
        <f>VLOOKUP(A508,VENTAS!$A$2:$B$1195,2,0)</f>
        <v>ROBERTS</v>
      </c>
      <c r="C508">
        <v>722400</v>
      </c>
      <c r="D508">
        <v>2090800</v>
      </c>
      <c r="E508">
        <v>1150800</v>
      </c>
      <c r="F508">
        <v>2768000</v>
      </c>
      <c r="G508">
        <v>1918400</v>
      </c>
      <c r="H508">
        <v>3747500</v>
      </c>
    </row>
    <row r="509" spans="1:8" x14ac:dyDescent="0.3">
      <c r="A509">
        <v>51042905</v>
      </c>
      <c r="B509" t="str">
        <f>VLOOKUP(A509,VENTAS!$A$2:$B$1195,2,0)</f>
        <v>NELLI</v>
      </c>
      <c r="C509">
        <v>1173200</v>
      </c>
      <c r="D509">
        <v>2359200</v>
      </c>
      <c r="E509">
        <v>1565400</v>
      </c>
      <c r="F509">
        <v>3032000</v>
      </c>
      <c r="G509">
        <v>2316800</v>
      </c>
      <c r="H509">
        <v>3732500</v>
      </c>
    </row>
    <row r="510" spans="1:8" x14ac:dyDescent="0.3">
      <c r="A510">
        <v>51019130</v>
      </c>
      <c r="B510" t="str">
        <f>VLOOKUP(A510,VENTAS!$A$2:$B$1195,2,0)</f>
        <v>ROBERTS</v>
      </c>
      <c r="C510">
        <v>695200</v>
      </c>
      <c r="D510">
        <v>1919200</v>
      </c>
      <c r="E510">
        <v>954400</v>
      </c>
      <c r="F510">
        <v>2212000</v>
      </c>
      <c r="G510">
        <v>1480000</v>
      </c>
      <c r="H510">
        <v>3725000</v>
      </c>
    </row>
    <row r="511" spans="1:8" x14ac:dyDescent="0.3">
      <c r="A511">
        <v>51020910</v>
      </c>
      <c r="B511" t="str">
        <f>VLOOKUP(A511,VENTAS!$A$2:$B$1195,2,0)</f>
        <v>METTLER</v>
      </c>
      <c r="C511">
        <v>1421800</v>
      </c>
      <c r="D511">
        <v>2670800</v>
      </c>
      <c r="E511">
        <v>1683000</v>
      </c>
      <c r="F511">
        <v>3318000</v>
      </c>
      <c r="G511">
        <v>1987200</v>
      </c>
      <c r="H511">
        <v>3712500</v>
      </c>
    </row>
    <row r="512" spans="1:8" x14ac:dyDescent="0.3">
      <c r="A512">
        <v>51026691</v>
      </c>
      <c r="B512" t="str">
        <f>VLOOKUP(A512,VENTAS!$A$2:$B$1195,2,0)</f>
        <v>METTLER</v>
      </c>
      <c r="C512">
        <v>1060600</v>
      </c>
      <c r="D512">
        <v>2936800</v>
      </c>
      <c r="E512">
        <v>1512800</v>
      </c>
      <c r="F512">
        <v>3310000</v>
      </c>
      <c r="G512">
        <v>2278400</v>
      </c>
      <c r="H512">
        <v>3710000</v>
      </c>
    </row>
    <row r="513" spans="1:8" x14ac:dyDescent="0.3">
      <c r="A513">
        <v>51023005</v>
      </c>
      <c r="B513" t="str">
        <f>VLOOKUP(A513,VENTAS!$A$2:$B$1195,2,0)</f>
        <v>ROBERTS</v>
      </c>
      <c r="C513">
        <v>1536600</v>
      </c>
      <c r="D513">
        <v>2812800</v>
      </c>
      <c r="E513">
        <v>1419800</v>
      </c>
      <c r="F513">
        <v>3358000</v>
      </c>
      <c r="G513">
        <v>2184000</v>
      </c>
      <c r="H513">
        <v>3697500</v>
      </c>
    </row>
    <row r="514" spans="1:8" x14ac:dyDescent="0.3">
      <c r="A514">
        <v>51032993</v>
      </c>
      <c r="B514" t="str">
        <f>VLOOKUP(A514,VENTAS!$A$2:$B$1195,2,0)</f>
        <v>ARGUELLO</v>
      </c>
      <c r="C514">
        <v>724400</v>
      </c>
      <c r="D514">
        <v>2360000</v>
      </c>
      <c r="E514">
        <v>1083200</v>
      </c>
      <c r="F514">
        <v>2660000</v>
      </c>
      <c r="G514">
        <v>1961600</v>
      </c>
      <c r="H514">
        <v>3697500</v>
      </c>
    </row>
    <row r="515" spans="1:8" x14ac:dyDescent="0.3">
      <c r="A515">
        <v>51039998</v>
      </c>
      <c r="B515" t="str">
        <f>VLOOKUP(A515,VENTAS!$A$2:$B$1195,2,0)</f>
        <v>LÓPEZ</v>
      </c>
      <c r="C515">
        <v>991799.99999999988</v>
      </c>
      <c r="D515">
        <v>2079600</v>
      </c>
      <c r="E515">
        <v>1262800</v>
      </c>
      <c r="F515">
        <v>3142000</v>
      </c>
      <c r="G515">
        <v>1540800</v>
      </c>
      <c r="H515">
        <v>3687500</v>
      </c>
    </row>
    <row r="516" spans="1:8" x14ac:dyDescent="0.3">
      <c r="A516">
        <v>51055845</v>
      </c>
      <c r="B516" t="str">
        <f>VLOOKUP(A516,VENTAS!$A$2:$B$1195,2,0)</f>
        <v>BELUZZO</v>
      </c>
      <c r="C516">
        <v>1196000</v>
      </c>
      <c r="D516">
        <v>2657200</v>
      </c>
      <c r="E516">
        <v>1513800</v>
      </c>
      <c r="F516">
        <v>2924000</v>
      </c>
      <c r="G516">
        <v>1987200</v>
      </c>
      <c r="H516">
        <v>3675000</v>
      </c>
    </row>
    <row r="517" spans="1:8" x14ac:dyDescent="0.3">
      <c r="A517">
        <v>51017846</v>
      </c>
      <c r="B517" t="str">
        <f>VLOOKUP(A517,VENTAS!$A$2:$B$1195,2,0)</f>
        <v>CICHETTO</v>
      </c>
      <c r="C517">
        <v>511200</v>
      </c>
      <c r="D517">
        <v>1206400</v>
      </c>
      <c r="E517">
        <v>1466800</v>
      </c>
      <c r="F517">
        <v>2094000</v>
      </c>
      <c r="G517">
        <v>1569600</v>
      </c>
      <c r="H517">
        <v>3672500</v>
      </c>
    </row>
    <row r="518" spans="1:8" x14ac:dyDescent="0.3">
      <c r="A518">
        <v>51056850</v>
      </c>
      <c r="B518" t="str">
        <f>VLOOKUP(A518,VENTAS!$A$2:$B$1195,2,0)</f>
        <v>METTLER</v>
      </c>
      <c r="C518">
        <v>1316000</v>
      </c>
      <c r="D518">
        <v>2500000</v>
      </c>
      <c r="E518">
        <v>1911000</v>
      </c>
      <c r="F518">
        <v>3242000</v>
      </c>
      <c r="G518">
        <v>2566400</v>
      </c>
      <c r="H518">
        <v>3672500</v>
      </c>
    </row>
    <row r="519" spans="1:8" x14ac:dyDescent="0.3">
      <c r="A519">
        <v>51025253</v>
      </c>
      <c r="B519" t="str">
        <f>VLOOKUP(A519,VENTAS!$A$2:$B$1195,2,0)</f>
        <v>BELUZZO</v>
      </c>
      <c r="C519">
        <v>1303600</v>
      </c>
      <c r="D519">
        <v>2326800</v>
      </c>
      <c r="E519">
        <v>1544200</v>
      </c>
      <c r="F519">
        <v>2878000</v>
      </c>
      <c r="G519">
        <v>1982400</v>
      </c>
      <c r="H519">
        <v>3670000</v>
      </c>
    </row>
    <row r="520" spans="1:8" x14ac:dyDescent="0.3">
      <c r="A520">
        <v>51041801</v>
      </c>
      <c r="B520" t="str">
        <f>VLOOKUP(A520,VENTAS!$A$2:$B$1195,2,0)</f>
        <v>ARGUELLO</v>
      </c>
      <c r="C520">
        <v>1015800</v>
      </c>
      <c r="D520">
        <v>2537200</v>
      </c>
      <c r="E520">
        <v>1359000</v>
      </c>
      <c r="F520">
        <v>2936000</v>
      </c>
      <c r="G520">
        <v>2028800</v>
      </c>
      <c r="H520">
        <v>3660000</v>
      </c>
    </row>
    <row r="521" spans="1:8" x14ac:dyDescent="0.3">
      <c r="A521">
        <v>51013158</v>
      </c>
      <c r="B521" t="str">
        <f>VLOOKUP(A521,VENTAS!$A$2:$B$1195,2,0)</f>
        <v>ARGUELLO</v>
      </c>
      <c r="C521">
        <v>994800.00000000012</v>
      </c>
      <c r="D521">
        <v>2277600</v>
      </c>
      <c r="E521">
        <v>1409800</v>
      </c>
      <c r="F521">
        <v>3222000</v>
      </c>
      <c r="G521">
        <v>1870400</v>
      </c>
      <c r="H521">
        <v>3657500</v>
      </c>
    </row>
    <row r="522" spans="1:8" x14ac:dyDescent="0.3">
      <c r="A522">
        <v>51043677</v>
      </c>
      <c r="B522" t="str">
        <f>VLOOKUP(A522,VENTAS!$A$2:$B$1195,2,0)</f>
        <v>MONTENEGRO</v>
      </c>
      <c r="C522">
        <v>1092000</v>
      </c>
      <c r="D522">
        <v>2033200</v>
      </c>
      <c r="E522">
        <v>1317800</v>
      </c>
      <c r="F522">
        <v>2828000</v>
      </c>
      <c r="G522">
        <v>1958400</v>
      </c>
      <c r="H522">
        <v>3652500</v>
      </c>
    </row>
    <row r="523" spans="1:8" x14ac:dyDescent="0.3">
      <c r="A523">
        <v>51025326</v>
      </c>
      <c r="B523" t="str">
        <f>VLOOKUP(A523,VENTAS!$A$2:$B$1195,2,0)</f>
        <v>ARGUELLO</v>
      </c>
      <c r="C523">
        <v>2370000</v>
      </c>
      <c r="D523">
        <v>2386000</v>
      </c>
      <c r="E523">
        <v>2678800</v>
      </c>
      <c r="F523">
        <v>2906000</v>
      </c>
      <c r="G523">
        <v>2142400</v>
      </c>
      <c r="H523">
        <v>3645000</v>
      </c>
    </row>
    <row r="524" spans="1:8" x14ac:dyDescent="0.3">
      <c r="A524">
        <v>51031369</v>
      </c>
      <c r="B524" t="str">
        <f>VLOOKUP(A524,VENTAS!$A$2:$B$1195,2,0)</f>
        <v>BELUZZO</v>
      </c>
      <c r="C524">
        <v>1092400</v>
      </c>
      <c r="D524">
        <v>2513600</v>
      </c>
      <c r="E524">
        <v>1482400</v>
      </c>
      <c r="F524">
        <v>3058000</v>
      </c>
      <c r="G524">
        <v>2148800</v>
      </c>
      <c r="H524">
        <v>3642500</v>
      </c>
    </row>
    <row r="525" spans="1:8" x14ac:dyDescent="0.3">
      <c r="A525">
        <v>51031687</v>
      </c>
      <c r="B525" t="str">
        <f>VLOOKUP(A525,VENTAS!$A$2:$B$1195,2,0)</f>
        <v>METTLER</v>
      </c>
      <c r="C525">
        <v>776600</v>
      </c>
      <c r="D525">
        <v>1774800</v>
      </c>
      <c r="E525">
        <v>1097200</v>
      </c>
      <c r="F525">
        <v>2332000</v>
      </c>
      <c r="G525">
        <v>1600000</v>
      </c>
      <c r="H525">
        <v>3642500</v>
      </c>
    </row>
    <row r="526" spans="1:8" x14ac:dyDescent="0.3">
      <c r="A526">
        <v>51035828</v>
      </c>
      <c r="B526" t="str">
        <f>VLOOKUP(A526,VENTAS!$A$2:$B$1195,2,0)</f>
        <v>METTLER</v>
      </c>
      <c r="C526">
        <v>1075200</v>
      </c>
      <c r="D526">
        <v>2860400</v>
      </c>
      <c r="E526">
        <v>1477800</v>
      </c>
      <c r="F526">
        <v>3198000</v>
      </c>
      <c r="G526">
        <v>2249600</v>
      </c>
      <c r="H526">
        <v>3640000</v>
      </c>
    </row>
    <row r="527" spans="1:8" x14ac:dyDescent="0.3">
      <c r="A527">
        <v>51038878</v>
      </c>
      <c r="B527" t="str">
        <f>VLOOKUP(A527,VENTAS!$A$2:$B$1195,2,0)</f>
        <v>AYALA</v>
      </c>
      <c r="C527">
        <v>1201200</v>
      </c>
      <c r="D527">
        <v>2581200</v>
      </c>
      <c r="E527">
        <v>1566000</v>
      </c>
      <c r="F527">
        <v>3006000</v>
      </c>
      <c r="G527">
        <v>2224000</v>
      </c>
      <c r="H527">
        <v>3635000</v>
      </c>
    </row>
    <row r="528" spans="1:8" x14ac:dyDescent="0.3">
      <c r="A528">
        <v>51056205</v>
      </c>
      <c r="B528" t="str">
        <f>VLOOKUP(A528,VENTAS!$A$2:$B$1195,2,0)</f>
        <v>PRADES</v>
      </c>
      <c r="C528">
        <v>780399.99999999988</v>
      </c>
      <c r="D528">
        <v>1769600</v>
      </c>
      <c r="E528">
        <v>1164400</v>
      </c>
      <c r="F528">
        <v>2374000</v>
      </c>
      <c r="G528">
        <v>1768000</v>
      </c>
      <c r="H528">
        <v>3632500</v>
      </c>
    </row>
    <row r="529" spans="1:8" x14ac:dyDescent="0.3">
      <c r="A529">
        <v>51021631</v>
      </c>
      <c r="B529" t="str">
        <f>VLOOKUP(A529,VENTAS!$A$2:$B$1195,2,0)</f>
        <v>METTLER</v>
      </c>
      <c r="C529">
        <v>912000</v>
      </c>
      <c r="D529">
        <v>2024800</v>
      </c>
      <c r="E529">
        <v>1359200</v>
      </c>
      <c r="F529">
        <v>2550000</v>
      </c>
      <c r="G529">
        <v>1883200</v>
      </c>
      <c r="H529">
        <v>3617500</v>
      </c>
    </row>
    <row r="530" spans="1:8" x14ac:dyDescent="0.3">
      <c r="A530">
        <v>51014430</v>
      </c>
      <c r="B530" t="str">
        <f>VLOOKUP(A530,VENTAS!$A$2:$B$1195,2,0)</f>
        <v>AYALA</v>
      </c>
      <c r="C530">
        <v>709600</v>
      </c>
      <c r="D530">
        <v>1857600</v>
      </c>
      <c r="E530">
        <v>1222400</v>
      </c>
      <c r="F530">
        <v>1888000</v>
      </c>
      <c r="G530">
        <v>1862400</v>
      </c>
      <c r="H530">
        <v>3607500</v>
      </c>
    </row>
    <row r="531" spans="1:8" x14ac:dyDescent="0.3">
      <c r="A531">
        <v>51022220</v>
      </c>
      <c r="B531" t="str">
        <f>VLOOKUP(A531,VENTAS!$A$2:$B$1195,2,0)</f>
        <v>CICHETTO</v>
      </c>
      <c r="C531">
        <v>1200200</v>
      </c>
      <c r="D531">
        <v>2478800</v>
      </c>
      <c r="E531">
        <v>1682600</v>
      </c>
      <c r="F531">
        <v>3036000</v>
      </c>
      <c r="G531">
        <v>2156800</v>
      </c>
      <c r="H531">
        <v>3605000</v>
      </c>
    </row>
    <row r="532" spans="1:8" x14ac:dyDescent="0.3">
      <c r="A532">
        <v>51030303</v>
      </c>
      <c r="B532" t="str">
        <f>VLOOKUP(A532,VENTAS!$A$2:$B$1195,2,0)</f>
        <v>CICHETTO</v>
      </c>
      <c r="C532">
        <v>1235400</v>
      </c>
      <c r="D532">
        <v>2367200</v>
      </c>
      <c r="E532">
        <v>1619600</v>
      </c>
      <c r="F532">
        <v>2866000</v>
      </c>
      <c r="G532">
        <v>2196800</v>
      </c>
      <c r="H532">
        <v>3605000</v>
      </c>
    </row>
    <row r="533" spans="1:8" x14ac:dyDescent="0.3">
      <c r="A533">
        <v>51004698</v>
      </c>
      <c r="B533" t="str">
        <f>VLOOKUP(A533,VENTAS!$A$2:$B$1195,2,0)</f>
        <v>AYALA</v>
      </c>
      <c r="C533">
        <v>1887400</v>
      </c>
      <c r="D533">
        <v>2910400</v>
      </c>
      <c r="E533">
        <v>2388400</v>
      </c>
      <c r="F533">
        <v>3144000</v>
      </c>
      <c r="G533">
        <v>3593600</v>
      </c>
      <c r="H533">
        <v>3602500</v>
      </c>
    </row>
    <row r="534" spans="1:8" x14ac:dyDescent="0.3">
      <c r="A534">
        <v>51036638</v>
      </c>
      <c r="B534" t="str">
        <f>VLOOKUP(A534,VENTAS!$A$2:$B$1195,2,0)</f>
        <v>BELUZZO</v>
      </c>
      <c r="C534">
        <v>1275600</v>
      </c>
      <c r="D534">
        <v>2752800</v>
      </c>
      <c r="E534">
        <v>1614800</v>
      </c>
      <c r="F534">
        <v>2774000</v>
      </c>
      <c r="G534">
        <v>2201600</v>
      </c>
      <c r="H534">
        <v>3597500</v>
      </c>
    </row>
    <row r="535" spans="1:8" x14ac:dyDescent="0.3">
      <c r="A535">
        <v>51010060</v>
      </c>
      <c r="B535" t="str">
        <f>VLOOKUP(A535,VENTAS!$A$2:$B$1195,2,0)</f>
        <v>AYALA</v>
      </c>
      <c r="C535">
        <v>854000</v>
      </c>
      <c r="D535">
        <v>2108800</v>
      </c>
      <c r="E535">
        <v>1193800</v>
      </c>
      <c r="F535">
        <v>2802000</v>
      </c>
      <c r="G535">
        <v>1856000</v>
      </c>
      <c r="H535">
        <v>3595000</v>
      </c>
    </row>
    <row r="536" spans="1:8" x14ac:dyDescent="0.3">
      <c r="A536">
        <v>51055390</v>
      </c>
      <c r="B536" t="str">
        <f>VLOOKUP(A536,VENTAS!$A$2:$B$1195,2,0)</f>
        <v>AYALA</v>
      </c>
      <c r="C536">
        <v>867600</v>
      </c>
      <c r="D536">
        <v>2175600</v>
      </c>
      <c r="E536">
        <v>1413400</v>
      </c>
      <c r="F536">
        <v>2988000</v>
      </c>
      <c r="G536">
        <v>1964800</v>
      </c>
      <c r="H536">
        <v>3577500</v>
      </c>
    </row>
    <row r="537" spans="1:8" x14ac:dyDescent="0.3">
      <c r="A537">
        <v>51056809</v>
      </c>
      <c r="B537" t="str">
        <f>VLOOKUP(A537,VENTAS!$A$2:$B$1195,2,0)</f>
        <v>AYALA</v>
      </c>
      <c r="C537">
        <v>1037200</v>
      </c>
      <c r="D537">
        <v>2302000</v>
      </c>
      <c r="E537">
        <v>1406000</v>
      </c>
      <c r="F537">
        <v>2936000</v>
      </c>
      <c r="G537">
        <v>1916800</v>
      </c>
      <c r="H537">
        <v>3577500</v>
      </c>
    </row>
    <row r="538" spans="1:8" x14ac:dyDescent="0.3">
      <c r="A538">
        <v>51022866</v>
      </c>
      <c r="B538" t="str">
        <f>VLOOKUP(A538,VENTAS!$A$2:$B$1195,2,0)</f>
        <v>ARGUELLO</v>
      </c>
      <c r="C538">
        <v>967400</v>
      </c>
      <c r="D538">
        <v>2564400</v>
      </c>
      <c r="E538">
        <v>1549600</v>
      </c>
      <c r="F538">
        <v>2906000</v>
      </c>
      <c r="G538">
        <v>2193600</v>
      </c>
      <c r="H538">
        <v>3572500</v>
      </c>
    </row>
    <row r="539" spans="1:8" x14ac:dyDescent="0.3">
      <c r="A539">
        <v>51020961</v>
      </c>
      <c r="B539" t="str">
        <f>VLOOKUP(A539,VENTAS!$A$2:$B$1195,2,0)</f>
        <v>ARGUELLO</v>
      </c>
      <c r="C539">
        <v>1587800</v>
      </c>
      <c r="D539">
        <v>2884000</v>
      </c>
      <c r="E539">
        <v>2090600</v>
      </c>
      <c r="F539">
        <v>2992000</v>
      </c>
      <c r="G539">
        <v>2486400</v>
      </c>
      <c r="H539">
        <v>3567500</v>
      </c>
    </row>
    <row r="540" spans="1:8" x14ac:dyDescent="0.3">
      <c r="A540">
        <v>51015029</v>
      </c>
      <c r="B540" t="str">
        <f>VLOOKUP(A540,VENTAS!$A$2:$B$1195,2,0)</f>
        <v>PUGH</v>
      </c>
      <c r="C540">
        <v>1042000</v>
      </c>
      <c r="D540">
        <v>2070800</v>
      </c>
      <c r="E540">
        <v>1023400</v>
      </c>
      <c r="F540">
        <v>2382000</v>
      </c>
      <c r="G540">
        <v>1593600</v>
      </c>
      <c r="H540">
        <v>3562500</v>
      </c>
    </row>
    <row r="541" spans="1:8" x14ac:dyDescent="0.3">
      <c r="A541">
        <v>51031563</v>
      </c>
      <c r="B541" t="str">
        <f>VLOOKUP(A541,VENTAS!$A$2:$B$1195,2,0)</f>
        <v>LÓPEZ</v>
      </c>
      <c r="C541">
        <v>943800</v>
      </c>
      <c r="D541">
        <v>2102000</v>
      </c>
      <c r="E541">
        <v>1437800</v>
      </c>
      <c r="F541">
        <v>3038000</v>
      </c>
      <c r="G541">
        <v>1796800</v>
      </c>
      <c r="H541">
        <v>3560000</v>
      </c>
    </row>
    <row r="542" spans="1:8" x14ac:dyDescent="0.3">
      <c r="A542">
        <v>51030443</v>
      </c>
      <c r="B542" t="str">
        <f>VLOOKUP(A542,VENTAS!$A$2:$B$1195,2,0)</f>
        <v>CICHETTO</v>
      </c>
      <c r="C542">
        <v>852800</v>
      </c>
      <c r="D542">
        <v>2316000</v>
      </c>
      <c r="E542">
        <v>1208200</v>
      </c>
      <c r="F542">
        <v>2690000</v>
      </c>
      <c r="G542">
        <v>1785600</v>
      </c>
      <c r="H542">
        <v>3557500</v>
      </c>
    </row>
    <row r="543" spans="1:8" x14ac:dyDescent="0.3">
      <c r="A543">
        <v>51019555</v>
      </c>
      <c r="B543" t="str">
        <f>VLOOKUP(A543,VENTAS!$A$2:$B$1195,2,0)</f>
        <v>PUGH</v>
      </c>
      <c r="C543">
        <v>1074600</v>
      </c>
      <c r="D543">
        <v>2586800</v>
      </c>
      <c r="E543">
        <v>1554200</v>
      </c>
      <c r="F543">
        <v>3608000</v>
      </c>
      <c r="G543">
        <v>2128000</v>
      </c>
      <c r="H543">
        <v>3555000</v>
      </c>
    </row>
    <row r="544" spans="1:8" x14ac:dyDescent="0.3">
      <c r="A544">
        <v>51007883</v>
      </c>
      <c r="B544" t="str">
        <f>VLOOKUP(A544,VENTAS!$A$2:$B$1195,2,0)</f>
        <v>CICHETTO</v>
      </c>
      <c r="C544">
        <v>1014800</v>
      </c>
      <c r="D544">
        <v>2548800</v>
      </c>
      <c r="E544">
        <v>1575200</v>
      </c>
      <c r="F544">
        <v>3064000</v>
      </c>
      <c r="G544">
        <v>2118400</v>
      </c>
      <c r="H544">
        <v>3552500</v>
      </c>
    </row>
    <row r="545" spans="1:8" x14ac:dyDescent="0.3">
      <c r="A545">
        <v>51018729</v>
      </c>
      <c r="B545" t="str">
        <f>VLOOKUP(A545,VENTAS!$A$2:$B$1195,2,0)</f>
        <v>PRADES</v>
      </c>
      <c r="C545">
        <v>1333800</v>
      </c>
      <c r="D545">
        <v>2587600</v>
      </c>
      <c r="E545">
        <v>1865800</v>
      </c>
      <c r="F545">
        <v>3214000</v>
      </c>
      <c r="G545">
        <v>2310400</v>
      </c>
      <c r="H545">
        <v>3552500</v>
      </c>
    </row>
    <row r="546" spans="1:8" x14ac:dyDescent="0.3">
      <c r="A546">
        <v>51055705</v>
      </c>
      <c r="B546" t="str">
        <f>VLOOKUP(A546,VENTAS!$A$2:$B$1195,2,0)</f>
        <v>LÓPEZ</v>
      </c>
      <c r="C546">
        <v>1009600</v>
      </c>
      <c r="D546">
        <v>2539600</v>
      </c>
      <c r="E546">
        <v>1567000</v>
      </c>
      <c r="F546">
        <v>3196000</v>
      </c>
      <c r="G546">
        <v>2268800</v>
      </c>
      <c r="H546">
        <v>3542500</v>
      </c>
    </row>
    <row r="547" spans="1:8" x14ac:dyDescent="0.3">
      <c r="A547">
        <v>51055225</v>
      </c>
      <c r="B547" t="str">
        <f>VLOOKUP(A547,VENTAS!$A$2:$B$1195,2,0)</f>
        <v>ROBERTS</v>
      </c>
      <c r="C547">
        <v>927400</v>
      </c>
      <c r="D547">
        <v>1881600</v>
      </c>
      <c r="E547">
        <v>1157400</v>
      </c>
      <c r="F547">
        <v>2464000</v>
      </c>
      <c r="G547">
        <v>1576000</v>
      </c>
      <c r="H547">
        <v>3537500</v>
      </c>
    </row>
    <row r="548" spans="1:8" x14ac:dyDescent="0.3">
      <c r="A548">
        <v>51024168</v>
      </c>
      <c r="B548" t="str">
        <f>VLOOKUP(A548,VENTAS!$A$2:$B$1195,2,0)</f>
        <v>CICHETTO</v>
      </c>
      <c r="C548">
        <v>873599.99999999988</v>
      </c>
      <c r="D548">
        <v>1774800</v>
      </c>
      <c r="E548">
        <v>1344600</v>
      </c>
      <c r="F548">
        <v>2612000</v>
      </c>
      <c r="G548">
        <v>1750400</v>
      </c>
      <c r="H548">
        <v>3535000</v>
      </c>
    </row>
    <row r="549" spans="1:8" x14ac:dyDescent="0.3">
      <c r="A549">
        <v>51057015</v>
      </c>
      <c r="B549" t="str">
        <f>VLOOKUP(A549,VENTAS!$A$2:$B$1195,2,0)</f>
        <v>BELUZZO</v>
      </c>
      <c r="C549">
        <v>1132400</v>
      </c>
      <c r="D549">
        <v>1889200</v>
      </c>
      <c r="E549">
        <v>1485000</v>
      </c>
      <c r="F549">
        <v>2320000</v>
      </c>
      <c r="G549">
        <v>1956800</v>
      </c>
      <c r="H549">
        <v>3530000</v>
      </c>
    </row>
    <row r="550" spans="1:8" x14ac:dyDescent="0.3">
      <c r="A550">
        <v>51056434</v>
      </c>
      <c r="B550" t="str">
        <f>VLOOKUP(A550,VENTAS!$A$2:$B$1195,2,0)</f>
        <v>MONTENEGRO</v>
      </c>
      <c r="C550">
        <v>1088600</v>
      </c>
      <c r="D550">
        <v>2343200</v>
      </c>
      <c r="E550">
        <v>1414800</v>
      </c>
      <c r="F550">
        <v>2882000</v>
      </c>
      <c r="G550">
        <v>1915200</v>
      </c>
      <c r="H550">
        <v>3525000</v>
      </c>
    </row>
    <row r="551" spans="1:8" x14ac:dyDescent="0.3">
      <c r="A551">
        <v>51028015</v>
      </c>
      <c r="B551" t="str">
        <f>VLOOKUP(A551,VENTAS!$A$2:$B$1195,2,0)</f>
        <v>CICHETTO</v>
      </c>
      <c r="C551">
        <v>982400</v>
      </c>
      <c r="D551">
        <v>2174800</v>
      </c>
      <c r="E551">
        <v>1407200</v>
      </c>
      <c r="F551">
        <v>2568000</v>
      </c>
      <c r="G551">
        <v>1982400</v>
      </c>
      <c r="H551">
        <v>3522500</v>
      </c>
    </row>
    <row r="552" spans="1:8" x14ac:dyDescent="0.3">
      <c r="A552">
        <v>51011287</v>
      </c>
      <c r="B552" t="str">
        <f>VLOOKUP(A552,VENTAS!$A$2:$B$1195,2,0)</f>
        <v>METTLER</v>
      </c>
      <c r="C552">
        <v>875000</v>
      </c>
      <c r="D552">
        <v>2564400</v>
      </c>
      <c r="E552">
        <v>996200</v>
      </c>
      <c r="F552">
        <v>2720000</v>
      </c>
      <c r="G552">
        <v>1598400</v>
      </c>
      <c r="H552">
        <v>3515000</v>
      </c>
    </row>
    <row r="553" spans="1:8" x14ac:dyDescent="0.3">
      <c r="A553">
        <v>51023803</v>
      </c>
      <c r="B553" t="str">
        <f>VLOOKUP(A553,VENTAS!$A$2:$B$1195,2,0)</f>
        <v>LÓPEZ</v>
      </c>
      <c r="C553">
        <v>787200</v>
      </c>
      <c r="D553">
        <v>2187200</v>
      </c>
      <c r="E553">
        <v>1183000</v>
      </c>
      <c r="F553">
        <v>2864000</v>
      </c>
      <c r="G553">
        <v>1587200</v>
      </c>
      <c r="H553">
        <v>3515000</v>
      </c>
    </row>
    <row r="554" spans="1:8" x14ac:dyDescent="0.3">
      <c r="A554">
        <v>51055756</v>
      </c>
      <c r="B554" t="str">
        <f>VLOOKUP(A554,VENTAS!$A$2:$B$1195,2,0)</f>
        <v>LÓPEZ</v>
      </c>
      <c r="C554">
        <v>1168800</v>
      </c>
      <c r="D554">
        <v>2153600</v>
      </c>
      <c r="E554">
        <v>1486400</v>
      </c>
      <c r="F554">
        <v>2862000</v>
      </c>
      <c r="G554">
        <v>2164800</v>
      </c>
      <c r="H554">
        <v>3512500</v>
      </c>
    </row>
    <row r="555" spans="1:8" x14ac:dyDescent="0.3">
      <c r="A555">
        <v>51039882</v>
      </c>
      <c r="B555" t="str">
        <f>VLOOKUP(A555,VENTAS!$A$2:$B$1195,2,0)</f>
        <v>ARGUELLO</v>
      </c>
      <c r="C555">
        <v>1022400</v>
      </c>
      <c r="D555">
        <v>2675600</v>
      </c>
      <c r="E555">
        <v>1510200</v>
      </c>
      <c r="F555">
        <v>2994000</v>
      </c>
      <c r="G555">
        <v>2209600</v>
      </c>
      <c r="H555">
        <v>3510000</v>
      </c>
    </row>
    <row r="556" spans="1:8" x14ac:dyDescent="0.3">
      <c r="A556">
        <v>51055764</v>
      </c>
      <c r="B556" t="str">
        <f>VLOOKUP(A556,VENTAS!$A$2:$B$1195,2,0)</f>
        <v>ROBERTS</v>
      </c>
      <c r="C556">
        <v>1191000</v>
      </c>
      <c r="D556">
        <v>2485600</v>
      </c>
      <c r="E556">
        <v>1314400</v>
      </c>
      <c r="F556">
        <v>2988000</v>
      </c>
      <c r="G556">
        <v>1784000</v>
      </c>
      <c r="H556">
        <v>3487500</v>
      </c>
    </row>
    <row r="557" spans="1:8" x14ac:dyDescent="0.3">
      <c r="A557">
        <v>51014634</v>
      </c>
      <c r="B557" t="str">
        <f>VLOOKUP(A557,VENTAS!$A$2:$B$1195,2,0)</f>
        <v>PRADES</v>
      </c>
      <c r="C557">
        <v>1007400</v>
      </c>
      <c r="D557">
        <v>2297600</v>
      </c>
      <c r="E557">
        <v>1356600</v>
      </c>
      <c r="F557">
        <v>2882000</v>
      </c>
      <c r="G557">
        <v>1881600</v>
      </c>
      <c r="H557">
        <v>3475000</v>
      </c>
    </row>
    <row r="558" spans="1:8" x14ac:dyDescent="0.3">
      <c r="A558">
        <v>51023790</v>
      </c>
      <c r="B558" t="str">
        <f>VLOOKUP(A558,VENTAS!$A$2:$B$1195,2,0)</f>
        <v>MONTENEGRO</v>
      </c>
      <c r="C558">
        <v>948000</v>
      </c>
      <c r="D558">
        <v>2354800</v>
      </c>
      <c r="E558">
        <v>1362200</v>
      </c>
      <c r="F558">
        <v>2894000</v>
      </c>
      <c r="G558">
        <v>1921600</v>
      </c>
      <c r="H558">
        <v>3472500</v>
      </c>
    </row>
    <row r="559" spans="1:8" x14ac:dyDescent="0.3">
      <c r="A559">
        <v>51015754</v>
      </c>
      <c r="B559" t="str">
        <f>VLOOKUP(A559,VENTAS!$A$2:$B$1195,2,0)</f>
        <v>CICHETTO</v>
      </c>
      <c r="C559">
        <v>1063400</v>
      </c>
      <c r="D559">
        <v>1765200</v>
      </c>
      <c r="E559">
        <v>1484200</v>
      </c>
      <c r="F559">
        <v>2562000</v>
      </c>
      <c r="G559">
        <v>1904000</v>
      </c>
      <c r="H559">
        <v>3467500</v>
      </c>
    </row>
    <row r="560" spans="1:8" x14ac:dyDescent="0.3">
      <c r="A560">
        <v>51023455</v>
      </c>
      <c r="B560" t="str">
        <f>VLOOKUP(A560,VENTAS!$A$2:$B$1195,2,0)</f>
        <v>AYALA</v>
      </c>
      <c r="C560">
        <v>1278800</v>
      </c>
      <c r="D560">
        <v>2314000</v>
      </c>
      <c r="E560">
        <v>1608600</v>
      </c>
      <c r="F560">
        <v>2924000</v>
      </c>
      <c r="G560">
        <v>2153600</v>
      </c>
      <c r="H560">
        <v>3467500</v>
      </c>
    </row>
    <row r="561" spans="1:8" x14ac:dyDescent="0.3">
      <c r="A561">
        <v>51011236</v>
      </c>
      <c r="B561" t="str">
        <f>VLOOKUP(A561,VENTAS!$A$2:$B$1195,2,0)</f>
        <v>ARGUELLO</v>
      </c>
      <c r="C561">
        <v>919000</v>
      </c>
      <c r="D561">
        <v>2514400</v>
      </c>
      <c r="E561">
        <v>1235600</v>
      </c>
      <c r="F561">
        <v>3016000</v>
      </c>
      <c r="G561">
        <v>2212800</v>
      </c>
      <c r="H561">
        <v>3465000</v>
      </c>
    </row>
    <row r="562" spans="1:8" x14ac:dyDescent="0.3">
      <c r="A562">
        <v>51056027</v>
      </c>
      <c r="B562" t="str">
        <f>VLOOKUP(A562,VENTAS!$A$2:$B$1195,2,0)</f>
        <v>MONTENEGRO</v>
      </c>
      <c r="C562">
        <v>802200</v>
      </c>
      <c r="D562">
        <v>1844400</v>
      </c>
      <c r="E562">
        <v>1302400</v>
      </c>
      <c r="F562">
        <v>2408000</v>
      </c>
      <c r="G562">
        <v>1691200</v>
      </c>
      <c r="H562">
        <v>3460000</v>
      </c>
    </row>
    <row r="563" spans="1:8" x14ac:dyDescent="0.3">
      <c r="A563">
        <v>51042875</v>
      </c>
      <c r="B563" t="str">
        <f>VLOOKUP(A563,VENTAS!$A$2:$B$1195,2,0)</f>
        <v>CICHETTO</v>
      </c>
      <c r="C563">
        <v>1135000</v>
      </c>
      <c r="D563">
        <v>2431200</v>
      </c>
      <c r="E563">
        <v>1584400</v>
      </c>
      <c r="F563">
        <v>2618000</v>
      </c>
      <c r="G563">
        <v>2052800</v>
      </c>
      <c r="H563">
        <v>3447500</v>
      </c>
    </row>
    <row r="564" spans="1:8" x14ac:dyDescent="0.3">
      <c r="A564">
        <v>51030869</v>
      </c>
      <c r="B564" t="str">
        <f>VLOOKUP(A564,VENTAS!$A$2:$B$1195,2,0)</f>
        <v>MONTENEGRO</v>
      </c>
      <c r="C564">
        <v>1233600</v>
      </c>
      <c r="D564">
        <v>2200400</v>
      </c>
      <c r="E564">
        <v>1548400</v>
      </c>
      <c r="F564">
        <v>2824000</v>
      </c>
      <c r="G564">
        <v>2572800</v>
      </c>
      <c r="H564">
        <v>3437500</v>
      </c>
    </row>
    <row r="565" spans="1:8" x14ac:dyDescent="0.3">
      <c r="A565">
        <v>51055322</v>
      </c>
      <c r="B565" t="str">
        <f>VLOOKUP(A565,VENTAS!$A$2:$B$1195,2,0)</f>
        <v>LÓPEZ</v>
      </c>
      <c r="C565">
        <v>853799.99999999988</v>
      </c>
      <c r="D565">
        <v>2144000</v>
      </c>
      <c r="E565">
        <v>947800</v>
      </c>
      <c r="F565">
        <v>2222000</v>
      </c>
      <c r="G565">
        <v>1700800</v>
      </c>
      <c r="H565">
        <v>3437500</v>
      </c>
    </row>
    <row r="566" spans="1:8" x14ac:dyDescent="0.3">
      <c r="A566">
        <v>51017676</v>
      </c>
      <c r="B566" t="str">
        <f>VLOOKUP(A566,VENTAS!$A$2:$B$1195,2,0)</f>
        <v>PRADES</v>
      </c>
      <c r="C566">
        <v>1167800</v>
      </c>
      <c r="D566">
        <v>2692000</v>
      </c>
      <c r="E566">
        <v>1675000</v>
      </c>
      <c r="F566">
        <v>2986000</v>
      </c>
      <c r="G566">
        <v>2150400</v>
      </c>
      <c r="H566">
        <v>3430000</v>
      </c>
    </row>
    <row r="567" spans="1:8" x14ac:dyDescent="0.3">
      <c r="A567">
        <v>51010027</v>
      </c>
      <c r="B567" t="str">
        <f>VLOOKUP(A567,VENTAS!$A$2:$B$1195,2,0)</f>
        <v>LÓPEZ</v>
      </c>
      <c r="C567">
        <v>1870400</v>
      </c>
      <c r="D567">
        <v>1435200</v>
      </c>
      <c r="E567">
        <v>2423600</v>
      </c>
      <c r="F567">
        <v>1294000</v>
      </c>
      <c r="G567">
        <v>2987200</v>
      </c>
      <c r="H567">
        <v>3427500</v>
      </c>
    </row>
    <row r="568" spans="1:8" x14ac:dyDescent="0.3">
      <c r="A568">
        <v>51014189</v>
      </c>
      <c r="B568" t="str">
        <f>VLOOKUP(A568,VENTAS!$A$2:$B$1195,2,0)</f>
        <v>LÓPEZ</v>
      </c>
      <c r="C568">
        <v>863200</v>
      </c>
      <c r="D568">
        <v>1983200</v>
      </c>
      <c r="E568">
        <v>1212400</v>
      </c>
      <c r="F568">
        <v>2468000</v>
      </c>
      <c r="G568">
        <v>1777600</v>
      </c>
      <c r="H568">
        <v>3427500</v>
      </c>
    </row>
    <row r="569" spans="1:8" x14ac:dyDescent="0.3">
      <c r="A569">
        <v>51023137</v>
      </c>
      <c r="B569" t="str">
        <f>VLOOKUP(A569,VENTAS!$A$2:$B$1195,2,0)</f>
        <v>MONTENEGRO</v>
      </c>
      <c r="C569">
        <v>963600</v>
      </c>
      <c r="D569">
        <v>1826400</v>
      </c>
      <c r="E569">
        <v>1118400</v>
      </c>
      <c r="F569">
        <v>2486000</v>
      </c>
      <c r="G569">
        <v>1459200</v>
      </c>
      <c r="H569">
        <v>3420000</v>
      </c>
    </row>
    <row r="570" spans="1:8" x14ac:dyDescent="0.3">
      <c r="A570">
        <v>51031989</v>
      </c>
      <c r="B570" t="str">
        <f>VLOOKUP(A570,VENTAS!$A$2:$B$1195,2,0)</f>
        <v>MONTENEGRO</v>
      </c>
      <c r="C570">
        <v>1179200</v>
      </c>
      <c r="D570">
        <v>2592400</v>
      </c>
      <c r="E570">
        <v>1483600</v>
      </c>
      <c r="F570">
        <v>3004000</v>
      </c>
      <c r="G570">
        <v>2148800</v>
      </c>
      <c r="H570">
        <v>3420000</v>
      </c>
    </row>
    <row r="571" spans="1:8" x14ac:dyDescent="0.3">
      <c r="A571">
        <v>51029518</v>
      </c>
      <c r="B571" t="str">
        <f>VLOOKUP(A571,VENTAS!$A$2:$B$1195,2,0)</f>
        <v>NELLI</v>
      </c>
      <c r="C571">
        <v>1171600</v>
      </c>
      <c r="D571">
        <v>1868400</v>
      </c>
      <c r="E571">
        <v>1218600</v>
      </c>
      <c r="F571">
        <v>2320000</v>
      </c>
      <c r="G571">
        <v>1590400</v>
      </c>
      <c r="H571">
        <v>3412500</v>
      </c>
    </row>
    <row r="572" spans="1:8" x14ac:dyDescent="0.3">
      <c r="A572">
        <v>51036239</v>
      </c>
      <c r="B572" t="str">
        <f>VLOOKUP(A572,VENTAS!$A$2:$B$1195,2,0)</f>
        <v>AYALA</v>
      </c>
      <c r="C572">
        <v>1268800</v>
      </c>
      <c r="D572">
        <v>2509600</v>
      </c>
      <c r="E572">
        <v>1583600</v>
      </c>
      <c r="F572">
        <v>2788000</v>
      </c>
      <c r="G572">
        <v>2235200</v>
      </c>
      <c r="H572">
        <v>3412500</v>
      </c>
    </row>
    <row r="573" spans="1:8" x14ac:dyDescent="0.3">
      <c r="A573">
        <v>51020162</v>
      </c>
      <c r="B573" t="str">
        <f>VLOOKUP(A573,VENTAS!$A$2:$B$1195,2,0)</f>
        <v>METTLER</v>
      </c>
      <c r="C573">
        <v>1150400</v>
      </c>
      <c r="D573">
        <v>2837200</v>
      </c>
      <c r="E573">
        <v>1607200</v>
      </c>
      <c r="F573">
        <v>3460000</v>
      </c>
      <c r="G573">
        <v>2398400</v>
      </c>
      <c r="H573">
        <v>3407500</v>
      </c>
    </row>
    <row r="574" spans="1:8" x14ac:dyDescent="0.3">
      <c r="A574">
        <v>51055519</v>
      </c>
      <c r="B574" t="str">
        <f>VLOOKUP(A574,VENTAS!$A$2:$B$1195,2,0)</f>
        <v>PRADES</v>
      </c>
      <c r="C574">
        <v>788600.00000000012</v>
      </c>
      <c r="D574">
        <v>1867200</v>
      </c>
      <c r="E574">
        <v>1222400</v>
      </c>
      <c r="F574">
        <v>2564000</v>
      </c>
      <c r="G574">
        <v>1678400</v>
      </c>
      <c r="H574">
        <v>3405000</v>
      </c>
    </row>
    <row r="575" spans="1:8" x14ac:dyDescent="0.3">
      <c r="A575">
        <v>51019342</v>
      </c>
      <c r="B575" t="str">
        <f>VLOOKUP(A575,VENTAS!$A$2:$B$1195,2,0)</f>
        <v>CICHETTO</v>
      </c>
      <c r="C575">
        <v>850600</v>
      </c>
      <c r="D575">
        <v>1722800</v>
      </c>
      <c r="E575">
        <v>1243000</v>
      </c>
      <c r="F575">
        <v>2402000</v>
      </c>
      <c r="G575">
        <v>1516800</v>
      </c>
      <c r="H575">
        <v>3402500</v>
      </c>
    </row>
    <row r="576" spans="1:8" x14ac:dyDescent="0.3">
      <c r="A576">
        <v>51021886</v>
      </c>
      <c r="B576" t="str">
        <f>VLOOKUP(A576,VENTAS!$A$2:$B$1195,2,0)</f>
        <v>MONTENEGRO</v>
      </c>
      <c r="C576">
        <v>1031400</v>
      </c>
      <c r="D576">
        <v>2174000</v>
      </c>
      <c r="E576">
        <v>1269600</v>
      </c>
      <c r="F576">
        <v>3094000</v>
      </c>
      <c r="G576">
        <v>1792000</v>
      </c>
      <c r="H576">
        <v>3390000</v>
      </c>
    </row>
    <row r="577" spans="1:8" x14ac:dyDescent="0.3">
      <c r="A577">
        <v>51042891</v>
      </c>
      <c r="B577" t="str">
        <f>VLOOKUP(A577,VENTAS!$A$2:$B$1195,2,0)</f>
        <v>ROBERTS</v>
      </c>
      <c r="C577">
        <v>618800</v>
      </c>
      <c r="D577">
        <v>1595200</v>
      </c>
      <c r="E577">
        <v>1093200</v>
      </c>
      <c r="F577">
        <v>2336000</v>
      </c>
      <c r="G577">
        <v>1475200</v>
      </c>
      <c r="H577">
        <v>3390000</v>
      </c>
    </row>
    <row r="578" spans="1:8" x14ac:dyDescent="0.3">
      <c r="A578">
        <v>51018893</v>
      </c>
      <c r="B578" t="str">
        <f>VLOOKUP(A578,VENTAS!$A$2:$B$1195,2,0)</f>
        <v>PUGH</v>
      </c>
      <c r="C578">
        <v>957999.99999999988</v>
      </c>
      <c r="D578">
        <v>2934800</v>
      </c>
      <c r="E578">
        <v>1710000</v>
      </c>
      <c r="F578">
        <v>3142000</v>
      </c>
      <c r="G578">
        <v>2190400</v>
      </c>
      <c r="H578">
        <v>3387500</v>
      </c>
    </row>
    <row r="579" spans="1:8" x14ac:dyDescent="0.3">
      <c r="A579">
        <v>51055926</v>
      </c>
      <c r="B579" t="str">
        <f>VLOOKUP(A579,VENTAS!$A$2:$B$1195,2,0)</f>
        <v>PUGH</v>
      </c>
      <c r="C579">
        <v>903800.00000000012</v>
      </c>
      <c r="D579">
        <v>2500800</v>
      </c>
      <c r="E579">
        <v>1337400</v>
      </c>
      <c r="F579">
        <v>2504000</v>
      </c>
      <c r="G579">
        <v>2148800</v>
      </c>
      <c r="H579">
        <v>3382500</v>
      </c>
    </row>
    <row r="580" spans="1:8" x14ac:dyDescent="0.3">
      <c r="A580">
        <v>51056493</v>
      </c>
      <c r="B580" t="str">
        <f>VLOOKUP(A580,VENTAS!$A$2:$B$1195,2,0)</f>
        <v>AYALA</v>
      </c>
      <c r="C580">
        <v>1029200</v>
      </c>
      <c r="D580">
        <v>2443600</v>
      </c>
      <c r="E580">
        <v>1267000</v>
      </c>
      <c r="F580">
        <v>2906000</v>
      </c>
      <c r="G580">
        <v>1932800</v>
      </c>
      <c r="H580">
        <v>3382500</v>
      </c>
    </row>
    <row r="581" spans="1:8" x14ac:dyDescent="0.3">
      <c r="A581">
        <v>51055276</v>
      </c>
      <c r="B581" t="str">
        <f>VLOOKUP(A581,VENTAS!$A$2:$B$1195,2,0)</f>
        <v>BELUZZO</v>
      </c>
      <c r="C581">
        <v>719800</v>
      </c>
      <c r="D581">
        <v>1696800</v>
      </c>
      <c r="E581">
        <v>912000.00000000012</v>
      </c>
      <c r="F581">
        <v>2484000</v>
      </c>
      <c r="G581">
        <v>1209600</v>
      </c>
      <c r="H581">
        <v>3380000</v>
      </c>
    </row>
    <row r="582" spans="1:8" x14ac:dyDescent="0.3">
      <c r="A582">
        <v>51011368</v>
      </c>
      <c r="B582" t="str">
        <f>VLOOKUP(A582,VENTAS!$A$2:$B$1195,2,0)</f>
        <v>PUGH</v>
      </c>
      <c r="C582">
        <v>605400</v>
      </c>
      <c r="D582">
        <v>1813600</v>
      </c>
      <c r="E582">
        <v>814800</v>
      </c>
      <c r="F582">
        <v>2216000</v>
      </c>
      <c r="G582">
        <v>1168000</v>
      </c>
      <c r="H582">
        <v>3377500</v>
      </c>
    </row>
    <row r="583" spans="1:8" x14ac:dyDescent="0.3">
      <c r="A583">
        <v>51055675</v>
      </c>
      <c r="B583" t="str">
        <f>VLOOKUP(A583,VENTAS!$A$2:$B$1195,2,0)</f>
        <v>PRADES</v>
      </c>
      <c r="C583">
        <v>908600</v>
      </c>
      <c r="D583">
        <v>1832000</v>
      </c>
      <c r="E583">
        <v>1244000</v>
      </c>
      <c r="F583">
        <v>2588000</v>
      </c>
      <c r="G583">
        <v>1732800</v>
      </c>
      <c r="H583">
        <v>3365000</v>
      </c>
    </row>
    <row r="584" spans="1:8" x14ac:dyDescent="0.3">
      <c r="A584">
        <v>51013476</v>
      </c>
      <c r="B584" t="str">
        <f>VLOOKUP(A584,VENTAS!$A$2:$B$1195,2,0)</f>
        <v>ROBERTS</v>
      </c>
      <c r="C584">
        <v>695000</v>
      </c>
      <c r="D584">
        <v>2025200</v>
      </c>
      <c r="E584">
        <v>816600.00000000012</v>
      </c>
      <c r="F584">
        <v>2410000</v>
      </c>
      <c r="G584">
        <v>1552000</v>
      </c>
      <c r="H584">
        <v>3362500</v>
      </c>
    </row>
    <row r="585" spans="1:8" x14ac:dyDescent="0.3">
      <c r="A585">
        <v>51055730</v>
      </c>
      <c r="B585" t="str">
        <f>VLOOKUP(A585,VENTAS!$A$2:$B$1195,2,0)</f>
        <v>PRADES</v>
      </c>
      <c r="C585">
        <v>764999.99999999988</v>
      </c>
      <c r="D585">
        <v>1971600</v>
      </c>
      <c r="E585">
        <v>1222000</v>
      </c>
      <c r="F585">
        <v>2614000</v>
      </c>
      <c r="G585">
        <v>1824000</v>
      </c>
      <c r="H585">
        <v>3360000</v>
      </c>
    </row>
    <row r="586" spans="1:8" x14ac:dyDescent="0.3">
      <c r="A586">
        <v>51016131</v>
      </c>
      <c r="B586" t="str">
        <f>VLOOKUP(A586,VENTAS!$A$2:$B$1195,2,0)</f>
        <v>MONTENEGRO</v>
      </c>
      <c r="C586">
        <v>1124800</v>
      </c>
      <c r="D586">
        <v>2526800</v>
      </c>
      <c r="E586">
        <v>1469200</v>
      </c>
      <c r="F586">
        <v>2846000</v>
      </c>
      <c r="G586">
        <v>2145600</v>
      </c>
      <c r="H586">
        <v>3355000</v>
      </c>
    </row>
    <row r="587" spans="1:8" x14ac:dyDescent="0.3">
      <c r="A587">
        <v>51019121</v>
      </c>
      <c r="B587" t="str">
        <f>VLOOKUP(A587,VENTAS!$A$2:$B$1195,2,0)</f>
        <v>BELUZZO</v>
      </c>
      <c r="C587">
        <v>825800</v>
      </c>
      <c r="D587">
        <v>1837600</v>
      </c>
      <c r="E587">
        <v>1086000</v>
      </c>
      <c r="F587">
        <v>2350000</v>
      </c>
      <c r="G587">
        <v>1430400</v>
      </c>
      <c r="H587">
        <v>3352500</v>
      </c>
    </row>
    <row r="588" spans="1:8" x14ac:dyDescent="0.3">
      <c r="A588">
        <v>51033205</v>
      </c>
      <c r="B588" t="str">
        <f>VLOOKUP(A588,VENTAS!$A$2:$B$1195,2,0)</f>
        <v>ROBERTS</v>
      </c>
      <c r="C588">
        <v>978400</v>
      </c>
      <c r="D588">
        <v>1784400</v>
      </c>
      <c r="E588">
        <v>1308800</v>
      </c>
      <c r="F588">
        <v>2346000</v>
      </c>
      <c r="G588">
        <v>1884800</v>
      </c>
      <c r="H588">
        <v>3352500</v>
      </c>
    </row>
    <row r="589" spans="1:8" x14ac:dyDescent="0.3">
      <c r="A589">
        <v>51044070</v>
      </c>
      <c r="B589" t="str">
        <f>VLOOKUP(A589,VENTAS!$A$2:$B$1195,2,0)</f>
        <v>CICHETTO</v>
      </c>
      <c r="C589">
        <v>1192600</v>
      </c>
      <c r="D589">
        <v>2464000</v>
      </c>
      <c r="E589">
        <v>1624200</v>
      </c>
      <c r="F589">
        <v>2970000</v>
      </c>
      <c r="G589">
        <v>2124800</v>
      </c>
      <c r="H589">
        <v>3350000</v>
      </c>
    </row>
    <row r="590" spans="1:8" x14ac:dyDescent="0.3">
      <c r="A590">
        <v>51054989</v>
      </c>
      <c r="B590" t="str">
        <f>VLOOKUP(A590,VENTAS!$A$2:$B$1195,2,0)</f>
        <v>ROBERTS</v>
      </c>
      <c r="C590">
        <v>1083400</v>
      </c>
      <c r="D590">
        <v>2515200</v>
      </c>
      <c r="E590">
        <v>1555000</v>
      </c>
      <c r="F590">
        <v>2904000</v>
      </c>
      <c r="G590">
        <v>2115200</v>
      </c>
      <c r="H590">
        <v>3350000</v>
      </c>
    </row>
    <row r="591" spans="1:8" x14ac:dyDescent="0.3">
      <c r="A591">
        <v>51022378</v>
      </c>
      <c r="B591" t="str">
        <f>VLOOKUP(A591,VENTAS!$A$2:$B$1195,2,0)</f>
        <v>LÓPEZ</v>
      </c>
      <c r="C591">
        <v>838800</v>
      </c>
      <c r="D591">
        <v>2693600</v>
      </c>
      <c r="E591">
        <v>1326000</v>
      </c>
      <c r="F591">
        <v>3714000</v>
      </c>
      <c r="G591">
        <v>1953600</v>
      </c>
      <c r="H591">
        <v>3347500</v>
      </c>
    </row>
    <row r="592" spans="1:8" x14ac:dyDescent="0.3">
      <c r="A592">
        <v>51026217</v>
      </c>
      <c r="B592" t="str">
        <f>VLOOKUP(A592,VENTAS!$A$2:$B$1195,2,0)</f>
        <v>METTLER</v>
      </c>
      <c r="C592">
        <v>906800</v>
      </c>
      <c r="D592">
        <v>1838400</v>
      </c>
      <c r="E592">
        <v>1326400</v>
      </c>
      <c r="F592">
        <v>2830000</v>
      </c>
      <c r="G592">
        <v>1841600</v>
      </c>
      <c r="H592">
        <v>3347500</v>
      </c>
    </row>
    <row r="593" spans="1:8" x14ac:dyDescent="0.3">
      <c r="A593">
        <v>51017111</v>
      </c>
      <c r="B593" t="str">
        <f>VLOOKUP(A593,VENTAS!$A$2:$B$1195,2,0)</f>
        <v>CICHETTO</v>
      </c>
      <c r="C593">
        <v>982000</v>
      </c>
      <c r="D593">
        <v>2442800</v>
      </c>
      <c r="E593">
        <v>1329600</v>
      </c>
      <c r="F593">
        <v>3164000</v>
      </c>
      <c r="G593">
        <v>2110400</v>
      </c>
      <c r="H593">
        <v>3342500</v>
      </c>
    </row>
    <row r="594" spans="1:8" x14ac:dyDescent="0.3">
      <c r="A594">
        <v>51025342</v>
      </c>
      <c r="B594" t="str">
        <f>VLOOKUP(A594,VENTAS!$A$2:$B$1195,2,0)</f>
        <v>CICHETTO</v>
      </c>
      <c r="C594">
        <v>998200</v>
      </c>
      <c r="D594">
        <v>2300000</v>
      </c>
      <c r="E594">
        <v>1420200</v>
      </c>
      <c r="F594">
        <v>2562000</v>
      </c>
      <c r="G594">
        <v>2011200</v>
      </c>
      <c r="H594">
        <v>3342500</v>
      </c>
    </row>
    <row r="595" spans="1:8" x14ac:dyDescent="0.3">
      <c r="A595">
        <v>51040627</v>
      </c>
      <c r="B595" t="str">
        <f>VLOOKUP(A595,VENTAS!$A$2:$B$1195,2,0)</f>
        <v>METTLER</v>
      </c>
      <c r="C595">
        <v>1067000</v>
      </c>
      <c r="D595">
        <v>2255200</v>
      </c>
      <c r="E595">
        <v>1159400</v>
      </c>
      <c r="F595">
        <v>2444000</v>
      </c>
      <c r="G595">
        <v>1683200</v>
      </c>
      <c r="H595">
        <v>3342500</v>
      </c>
    </row>
    <row r="596" spans="1:8" x14ac:dyDescent="0.3">
      <c r="A596">
        <v>51032519</v>
      </c>
      <c r="B596" t="str">
        <f>VLOOKUP(A596,VENTAS!$A$2:$B$1195,2,0)</f>
        <v>PRADES</v>
      </c>
      <c r="C596">
        <v>893000</v>
      </c>
      <c r="D596">
        <v>2106000</v>
      </c>
      <c r="E596">
        <v>1242200</v>
      </c>
      <c r="F596">
        <v>2826000</v>
      </c>
      <c r="G596">
        <v>1832000</v>
      </c>
      <c r="H596">
        <v>3335000</v>
      </c>
    </row>
    <row r="597" spans="1:8" x14ac:dyDescent="0.3">
      <c r="A597">
        <v>51057058</v>
      </c>
      <c r="B597" t="str">
        <f>VLOOKUP(A597,VENTAS!$A$2:$B$1195,2,0)</f>
        <v>MONTENEGRO</v>
      </c>
      <c r="C597">
        <v>1083200</v>
      </c>
      <c r="D597">
        <v>2260000</v>
      </c>
      <c r="E597">
        <v>1535200</v>
      </c>
      <c r="F597">
        <v>2690000</v>
      </c>
      <c r="G597">
        <v>1936000</v>
      </c>
      <c r="H597">
        <v>3335000</v>
      </c>
    </row>
    <row r="598" spans="1:8" x14ac:dyDescent="0.3">
      <c r="A598">
        <v>51056817</v>
      </c>
      <c r="B598" t="str">
        <f>VLOOKUP(A598,VENTAS!$A$2:$B$1195,2,0)</f>
        <v>AYALA</v>
      </c>
      <c r="C598">
        <v>1075400</v>
      </c>
      <c r="D598">
        <v>2459200</v>
      </c>
      <c r="E598">
        <v>1493400</v>
      </c>
      <c r="F598">
        <v>3024000</v>
      </c>
      <c r="G598">
        <v>2227200</v>
      </c>
      <c r="H598">
        <v>3315000</v>
      </c>
    </row>
    <row r="599" spans="1:8" x14ac:dyDescent="0.3">
      <c r="A599">
        <v>51019091</v>
      </c>
      <c r="B599" t="str">
        <f>VLOOKUP(A599,VENTAS!$A$2:$B$1195,2,0)</f>
        <v>MONTENEGRO</v>
      </c>
      <c r="C599">
        <v>1431800</v>
      </c>
      <c r="D599">
        <v>2167200</v>
      </c>
      <c r="E599">
        <v>1789800</v>
      </c>
      <c r="F599">
        <v>2692000</v>
      </c>
      <c r="G599">
        <v>2004800</v>
      </c>
      <c r="H599">
        <v>3302500</v>
      </c>
    </row>
    <row r="600" spans="1:8" x14ac:dyDescent="0.3">
      <c r="A600">
        <v>51041917</v>
      </c>
      <c r="B600" t="str">
        <f>VLOOKUP(A600,VENTAS!$A$2:$B$1195,2,0)</f>
        <v>ROBERTS</v>
      </c>
      <c r="C600">
        <v>1043400</v>
      </c>
      <c r="D600">
        <v>2380800</v>
      </c>
      <c r="E600">
        <v>1575800</v>
      </c>
      <c r="F600">
        <v>2834000</v>
      </c>
      <c r="G600">
        <v>2364800</v>
      </c>
      <c r="H600">
        <v>3302500</v>
      </c>
    </row>
    <row r="601" spans="1:8" x14ac:dyDescent="0.3">
      <c r="A601">
        <v>51031806</v>
      </c>
      <c r="B601" t="str">
        <f>VLOOKUP(A601,VENTAS!$A$2:$B$1195,2,0)</f>
        <v>ROBERTS</v>
      </c>
      <c r="C601">
        <v>1027800</v>
      </c>
      <c r="D601">
        <v>2114400</v>
      </c>
      <c r="E601">
        <v>1480600</v>
      </c>
      <c r="F601">
        <v>2506000</v>
      </c>
      <c r="G601">
        <v>1964800</v>
      </c>
      <c r="H601">
        <v>3290000</v>
      </c>
    </row>
    <row r="602" spans="1:8" x14ac:dyDescent="0.3">
      <c r="A602">
        <v>51032705</v>
      </c>
      <c r="B602" t="str">
        <f>VLOOKUP(A602,VENTAS!$A$2:$B$1195,2,0)</f>
        <v>METTLER</v>
      </c>
      <c r="C602">
        <v>1010200</v>
      </c>
      <c r="D602">
        <v>1973600</v>
      </c>
      <c r="E602">
        <v>1220400</v>
      </c>
      <c r="F602">
        <v>2640000</v>
      </c>
      <c r="G602">
        <v>1545600</v>
      </c>
      <c r="H602">
        <v>3267500</v>
      </c>
    </row>
    <row r="603" spans="1:8" x14ac:dyDescent="0.3">
      <c r="A603">
        <v>51017081</v>
      </c>
      <c r="B603" t="str">
        <f>VLOOKUP(A603,VENTAS!$A$2:$B$1195,2,0)</f>
        <v>AYALA</v>
      </c>
      <c r="C603">
        <v>935600</v>
      </c>
      <c r="D603">
        <v>1980800</v>
      </c>
      <c r="E603">
        <v>1203200</v>
      </c>
      <c r="F603">
        <v>2580000</v>
      </c>
      <c r="G603">
        <v>1753600</v>
      </c>
      <c r="H603">
        <v>3265000</v>
      </c>
    </row>
    <row r="604" spans="1:8" x14ac:dyDescent="0.3">
      <c r="A604">
        <v>51013077</v>
      </c>
      <c r="B604" t="str">
        <f>VLOOKUP(A604,VENTAS!$A$2:$B$1195,2,0)</f>
        <v>PRADES</v>
      </c>
      <c r="C604">
        <v>893000</v>
      </c>
      <c r="D604">
        <v>2416000</v>
      </c>
      <c r="E604">
        <v>1176000</v>
      </c>
      <c r="F604">
        <v>2776000</v>
      </c>
      <c r="G604">
        <v>1819200</v>
      </c>
      <c r="H604">
        <v>3242500</v>
      </c>
    </row>
    <row r="605" spans="1:8" x14ac:dyDescent="0.3">
      <c r="A605">
        <v>51034252</v>
      </c>
      <c r="B605" t="str">
        <f>VLOOKUP(A605,VENTAS!$A$2:$B$1195,2,0)</f>
        <v>LÓPEZ</v>
      </c>
      <c r="C605">
        <v>939000.00000000012</v>
      </c>
      <c r="D605">
        <v>2066000</v>
      </c>
      <c r="E605">
        <v>1290400</v>
      </c>
      <c r="F605">
        <v>2866000</v>
      </c>
      <c r="G605">
        <v>1462400</v>
      </c>
      <c r="H605">
        <v>3240000</v>
      </c>
    </row>
    <row r="606" spans="1:8" x14ac:dyDescent="0.3">
      <c r="A606">
        <v>51022009</v>
      </c>
      <c r="B606" t="str">
        <f>VLOOKUP(A606,VENTAS!$A$2:$B$1195,2,0)</f>
        <v>PUGH</v>
      </c>
      <c r="C606">
        <v>943400.00000000012</v>
      </c>
      <c r="D606">
        <v>1765600</v>
      </c>
      <c r="E606">
        <v>1082200</v>
      </c>
      <c r="F606">
        <v>1962000</v>
      </c>
      <c r="G606">
        <v>1515200</v>
      </c>
      <c r="H606">
        <v>3217500</v>
      </c>
    </row>
    <row r="607" spans="1:8" x14ac:dyDescent="0.3">
      <c r="A607">
        <v>51056922</v>
      </c>
      <c r="B607" t="str">
        <f>VLOOKUP(A607,VENTAS!$A$2:$B$1195,2,0)</f>
        <v>LÓPEZ</v>
      </c>
      <c r="C607">
        <v>794000</v>
      </c>
      <c r="D607">
        <v>1942800</v>
      </c>
      <c r="E607">
        <v>1219400</v>
      </c>
      <c r="F607">
        <v>2578000</v>
      </c>
      <c r="G607">
        <v>1712000</v>
      </c>
      <c r="H607">
        <v>3210000</v>
      </c>
    </row>
    <row r="608" spans="1:8" x14ac:dyDescent="0.3">
      <c r="A608">
        <v>51030222</v>
      </c>
      <c r="B608" t="str">
        <f>VLOOKUP(A608,VENTAS!$A$2:$B$1195,2,0)</f>
        <v>METTLER</v>
      </c>
      <c r="C608">
        <v>1045600</v>
      </c>
      <c r="D608">
        <v>1906800</v>
      </c>
      <c r="E608">
        <v>1448200</v>
      </c>
      <c r="F608">
        <v>2362000</v>
      </c>
      <c r="G608">
        <v>2105600</v>
      </c>
      <c r="H608">
        <v>3205000</v>
      </c>
    </row>
    <row r="609" spans="1:8" x14ac:dyDescent="0.3">
      <c r="A609">
        <v>51011686</v>
      </c>
      <c r="B609" t="str">
        <f>VLOOKUP(A609,VENTAS!$A$2:$B$1195,2,0)</f>
        <v>LÓPEZ</v>
      </c>
      <c r="C609">
        <v>765200</v>
      </c>
      <c r="D609">
        <v>1972000</v>
      </c>
      <c r="E609">
        <v>1106200</v>
      </c>
      <c r="F609">
        <v>2652000</v>
      </c>
      <c r="G609">
        <v>1494400</v>
      </c>
      <c r="H609">
        <v>3200000</v>
      </c>
    </row>
    <row r="610" spans="1:8" x14ac:dyDescent="0.3">
      <c r="A610">
        <v>51023439</v>
      </c>
      <c r="B610" t="str">
        <f>VLOOKUP(A610,VENTAS!$A$2:$B$1195,2,0)</f>
        <v>NELLI</v>
      </c>
      <c r="C610">
        <v>750400.00000000012</v>
      </c>
      <c r="D610">
        <v>1716400</v>
      </c>
      <c r="E610">
        <v>1527800</v>
      </c>
      <c r="F610">
        <v>2294000</v>
      </c>
      <c r="G610">
        <v>2027200</v>
      </c>
      <c r="H610">
        <v>3200000</v>
      </c>
    </row>
    <row r="611" spans="1:8" x14ac:dyDescent="0.3">
      <c r="A611">
        <v>51056311</v>
      </c>
      <c r="B611" t="str">
        <f>VLOOKUP(A611,VENTAS!$A$2:$B$1195,2,0)</f>
        <v>AYALA</v>
      </c>
      <c r="C611">
        <v>625400</v>
      </c>
      <c r="D611">
        <v>1206800</v>
      </c>
      <c r="E611">
        <v>933000</v>
      </c>
      <c r="F611">
        <v>1298000</v>
      </c>
      <c r="G611">
        <v>1084800</v>
      </c>
      <c r="H611">
        <v>3200000</v>
      </c>
    </row>
    <row r="612" spans="1:8" x14ac:dyDescent="0.3">
      <c r="A612">
        <v>51056400</v>
      </c>
      <c r="B612" t="str">
        <f>VLOOKUP(A612,VENTAS!$A$2:$B$1195,2,0)</f>
        <v>PUGH</v>
      </c>
      <c r="C612">
        <v>1252000</v>
      </c>
      <c r="D612">
        <v>2584400</v>
      </c>
      <c r="E612">
        <v>1647400</v>
      </c>
      <c r="F612">
        <v>2768000</v>
      </c>
      <c r="G612">
        <v>2118400</v>
      </c>
      <c r="H612">
        <v>3192500</v>
      </c>
    </row>
    <row r="613" spans="1:8" x14ac:dyDescent="0.3">
      <c r="A613">
        <v>51025458</v>
      </c>
      <c r="B613" t="str">
        <f>VLOOKUP(A613,VENTAS!$A$2:$B$1195,2,0)</f>
        <v>METTLER</v>
      </c>
      <c r="C613">
        <v>935400.00000000012</v>
      </c>
      <c r="D613">
        <v>2244000</v>
      </c>
      <c r="E613">
        <v>1296800</v>
      </c>
      <c r="F613">
        <v>2802000</v>
      </c>
      <c r="G613">
        <v>2369600</v>
      </c>
      <c r="H613">
        <v>3190000</v>
      </c>
    </row>
    <row r="614" spans="1:8" x14ac:dyDescent="0.3">
      <c r="A614">
        <v>51011660</v>
      </c>
      <c r="B614" t="str">
        <f>VLOOKUP(A614,VENTAS!$A$2:$B$1195,2,0)</f>
        <v>PUGH</v>
      </c>
      <c r="C614">
        <v>1018000</v>
      </c>
      <c r="D614">
        <v>2204800</v>
      </c>
      <c r="E614">
        <v>1363800</v>
      </c>
      <c r="F614">
        <v>2606000</v>
      </c>
      <c r="G614">
        <v>1752000</v>
      </c>
      <c r="H614">
        <v>3182500</v>
      </c>
    </row>
    <row r="615" spans="1:8" x14ac:dyDescent="0.3">
      <c r="A615">
        <v>51025857</v>
      </c>
      <c r="B615" t="str">
        <f>VLOOKUP(A615,VENTAS!$A$2:$B$1195,2,0)</f>
        <v>BELUZZO</v>
      </c>
      <c r="C615">
        <v>589200</v>
      </c>
      <c r="D615">
        <v>1395600</v>
      </c>
      <c r="E615">
        <v>903400</v>
      </c>
      <c r="F615">
        <v>2098000</v>
      </c>
      <c r="G615">
        <v>1273600</v>
      </c>
      <c r="H615">
        <v>3177500</v>
      </c>
    </row>
    <row r="616" spans="1:8" x14ac:dyDescent="0.3">
      <c r="A616">
        <v>51026799</v>
      </c>
      <c r="B616" t="str">
        <f>VLOOKUP(A616,VENTAS!$A$2:$B$1195,2,0)</f>
        <v>PUGH</v>
      </c>
      <c r="C616">
        <v>1041200</v>
      </c>
      <c r="D616">
        <v>2006400</v>
      </c>
      <c r="E616">
        <v>1171000</v>
      </c>
      <c r="F616">
        <v>2942000</v>
      </c>
      <c r="G616">
        <v>1603200</v>
      </c>
      <c r="H616">
        <v>3167500</v>
      </c>
    </row>
    <row r="617" spans="1:8" x14ac:dyDescent="0.3">
      <c r="A617">
        <v>51039165</v>
      </c>
      <c r="B617" t="str">
        <f>VLOOKUP(A617,VENTAS!$A$2:$B$1195,2,0)</f>
        <v>BELUZZO</v>
      </c>
      <c r="C617">
        <v>66400</v>
      </c>
      <c r="D617">
        <v>2022800</v>
      </c>
      <c r="E617">
        <v>342000</v>
      </c>
      <c r="F617">
        <v>2554000</v>
      </c>
      <c r="G617">
        <v>1332800</v>
      </c>
      <c r="H617">
        <v>3165000</v>
      </c>
    </row>
    <row r="618" spans="1:8" x14ac:dyDescent="0.3">
      <c r="A618">
        <v>51044011</v>
      </c>
      <c r="B618" t="str">
        <f>VLOOKUP(A618,VENTAS!$A$2:$B$1195,2,0)</f>
        <v>MONTENEGRO</v>
      </c>
      <c r="C618">
        <v>1179000</v>
      </c>
      <c r="D618">
        <v>2438400</v>
      </c>
      <c r="E618">
        <v>1450200</v>
      </c>
      <c r="F618">
        <v>2766000</v>
      </c>
      <c r="G618">
        <v>2115200</v>
      </c>
      <c r="H618">
        <v>3165000</v>
      </c>
    </row>
    <row r="619" spans="1:8" x14ac:dyDescent="0.3">
      <c r="A619">
        <v>51010884</v>
      </c>
      <c r="B619" t="str">
        <f>VLOOKUP(A619,VENTAS!$A$2:$B$1195,2,0)</f>
        <v>MONTENEGRO</v>
      </c>
      <c r="C619">
        <v>1008600</v>
      </c>
      <c r="D619">
        <v>2085200</v>
      </c>
      <c r="E619">
        <v>1245000</v>
      </c>
      <c r="F619">
        <v>2540000</v>
      </c>
      <c r="G619">
        <v>1832000</v>
      </c>
      <c r="H619">
        <v>3162500</v>
      </c>
    </row>
    <row r="620" spans="1:8" x14ac:dyDescent="0.3">
      <c r="A620">
        <v>51056116</v>
      </c>
      <c r="B620" t="str">
        <f>VLOOKUP(A620,VENTAS!$A$2:$B$1195,2,0)</f>
        <v>MONTENEGRO</v>
      </c>
      <c r="C620">
        <v>690199.99999999988</v>
      </c>
      <c r="D620">
        <v>1342000</v>
      </c>
      <c r="E620">
        <v>978600</v>
      </c>
      <c r="F620">
        <v>2668000</v>
      </c>
      <c r="G620">
        <v>1444800</v>
      </c>
      <c r="H620">
        <v>3150000</v>
      </c>
    </row>
    <row r="621" spans="1:8" x14ac:dyDescent="0.3">
      <c r="A621">
        <v>51056019</v>
      </c>
      <c r="B621" t="str">
        <f>VLOOKUP(A621,VENTAS!$A$2:$B$1195,2,0)</f>
        <v>ROBERTS</v>
      </c>
      <c r="C621">
        <v>1031000</v>
      </c>
      <c r="D621">
        <v>2236000</v>
      </c>
      <c r="E621">
        <v>1393600</v>
      </c>
      <c r="F621">
        <v>2370000</v>
      </c>
      <c r="G621">
        <v>1894400</v>
      </c>
      <c r="H621">
        <v>3127500</v>
      </c>
    </row>
    <row r="622" spans="1:8" x14ac:dyDescent="0.3">
      <c r="A622">
        <v>51022556</v>
      </c>
      <c r="B622" t="str">
        <f>VLOOKUP(A622,VENTAS!$A$2:$B$1195,2,0)</f>
        <v>NELLI</v>
      </c>
      <c r="C622">
        <v>998399.99999999988</v>
      </c>
      <c r="D622">
        <v>1570800</v>
      </c>
      <c r="E622">
        <v>1367800</v>
      </c>
      <c r="F622">
        <v>2322000</v>
      </c>
      <c r="G622">
        <v>1902400</v>
      </c>
      <c r="H622">
        <v>3112500</v>
      </c>
    </row>
    <row r="623" spans="1:8" x14ac:dyDescent="0.3">
      <c r="A623">
        <v>51030397</v>
      </c>
      <c r="B623" t="str">
        <f>VLOOKUP(A623,VENTAS!$A$2:$B$1195,2,0)</f>
        <v>PRADES</v>
      </c>
      <c r="C623">
        <v>1120800</v>
      </c>
      <c r="D623">
        <v>2191600</v>
      </c>
      <c r="E623">
        <v>1314800</v>
      </c>
      <c r="F623">
        <v>2352000</v>
      </c>
      <c r="G623">
        <v>1884800</v>
      </c>
      <c r="H623">
        <v>3107500</v>
      </c>
    </row>
    <row r="624" spans="1:8" x14ac:dyDescent="0.3">
      <c r="A624">
        <v>51056299</v>
      </c>
      <c r="B624" t="str">
        <f>VLOOKUP(A624,VENTAS!$A$2:$B$1195,2,0)</f>
        <v>NELLI</v>
      </c>
      <c r="C624">
        <v>962399.99999999988</v>
      </c>
      <c r="D624">
        <v>1710000</v>
      </c>
      <c r="E624">
        <v>1300600</v>
      </c>
      <c r="F624">
        <v>2408000</v>
      </c>
      <c r="G624">
        <v>1875200</v>
      </c>
      <c r="H624">
        <v>3102500</v>
      </c>
    </row>
    <row r="625" spans="1:8" x14ac:dyDescent="0.3">
      <c r="A625">
        <v>51011091</v>
      </c>
      <c r="B625" t="str">
        <f>VLOOKUP(A625,VENTAS!$A$2:$B$1195,2,0)</f>
        <v>METTLER</v>
      </c>
      <c r="C625">
        <v>821800</v>
      </c>
      <c r="D625">
        <v>1753600</v>
      </c>
      <c r="E625">
        <v>1039000</v>
      </c>
      <c r="F625">
        <v>1736000</v>
      </c>
      <c r="G625">
        <v>1316800</v>
      </c>
      <c r="H625">
        <v>3095000</v>
      </c>
    </row>
    <row r="626" spans="1:8" x14ac:dyDescent="0.3">
      <c r="A626">
        <v>51002610</v>
      </c>
      <c r="B626" t="str">
        <f>VLOOKUP(A626,VENTAS!$A$2:$B$1195,2,0)</f>
        <v>MONTENEGRO</v>
      </c>
      <c r="C626">
        <v>924400.00000000012</v>
      </c>
      <c r="D626">
        <v>2087600</v>
      </c>
      <c r="E626">
        <v>1220800</v>
      </c>
      <c r="F626">
        <v>2322000</v>
      </c>
      <c r="G626">
        <v>1566400</v>
      </c>
      <c r="H626">
        <v>3087500</v>
      </c>
    </row>
    <row r="627" spans="1:8" x14ac:dyDescent="0.3">
      <c r="A627">
        <v>51056094</v>
      </c>
      <c r="B627" t="str">
        <f>VLOOKUP(A627,VENTAS!$A$2:$B$1195,2,0)</f>
        <v>AYALA</v>
      </c>
      <c r="C627">
        <v>615200</v>
      </c>
      <c r="D627">
        <v>1944000</v>
      </c>
      <c r="E627">
        <v>1046000</v>
      </c>
      <c r="F627">
        <v>2500000</v>
      </c>
      <c r="G627">
        <v>1604800</v>
      </c>
      <c r="H627">
        <v>3085000</v>
      </c>
    </row>
    <row r="628" spans="1:8" x14ac:dyDescent="0.3">
      <c r="A628">
        <v>51036123</v>
      </c>
      <c r="B628" t="str">
        <f>VLOOKUP(A628,VENTAS!$A$2:$B$1195,2,0)</f>
        <v>CICHETTO</v>
      </c>
      <c r="C628">
        <v>905199.99999999988</v>
      </c>
      <c r="D628">
        <v>1771600</v>
      </c>
      <c r="E628">
        <v>1131200</v>
      </c>
      <c r="F628">
        <v>2104000</v>
      </c>
      <c r="G628">
        <v>1456000</v>
      </c>
      <c r="H628">
        <v>3082500</v>
      </c>
    </row>
    <row r="629" spans="1:8" x14ac:dyDescent="0.3">
      <c r="A629">
        <v>51014375</v>
      </c>
      <c r="B629" t="str">
        <f>VLOOKUP(A629,VENTAS!$A$2:$B$1195,2,0)</f>
        <v>ROBERTS</v>
      </c>
      <c r="C629">
        <v>1055000</v>
      </c>
      <c r="D629">
        <v>1754800</v>
      </c>
      <c r="E629">
        <v>1417400</v>
      </c>
      <c r="F629">
        <v>2528000</v>
      </c>
      <c r="G629">
        <v>1692800</v>
      </c>
      <c r="H629">
        <v>3072500</v>
      </c>
    </row>
    <row r="630" spans="1:8" x14ac:dyDescent="0.3">
      <c r="A630">
        <v>51031334</v>
      </c>
      <c r="B630" t="str">
        <f>VLOOKUP(A630,VENTAS!$A$2:$B$1195,2,0)</f>
        <v>BELUZZO</v>
      </c>
      <c r="C630">
        <v>739600</v>
      </c>
      <c r="D630">
        <v>1389200</v>
      </c>
      <c r="E630">
        <v>1130400</v>
      </c>
      <c r="F630">
        <v>2358000</v>
      </c>
      <c r="G630">
        <v>1225600</v>
      </c>
      <c r="H630">
        <v>3067500</v>
      </c>
    </row>
    <row r="631" spans="1:8" x14ac:dyDescent="0.3">
      <c r="A631">
        <v>51022769</v>
      </c>
      <c r="B631" t="str">
        <f>VLOOKUP(A631,VENTAS!$A$2:$B$1195,2,0)</f>
        <v>BELUZZO</v>
      </c>
      <c r="C631">
        <v>707799.99999999988</v>
      </c>
      <c r="D631">
        <v>1628400</v>
      </c>
      <c r="E631">
        <v>964799.99999999988</v>
      </c>
      <c r="F631">
        <v>2212000</v>
      </c>
      <c r="G631">
        <v>1268800</v>
      </c>
      <c r="H631">
        <v>3062500</v>
      </c>
    </row>
    <row r="632" spans="1:8" x14ac:dyDescent="0.3">
      <c r="A632">
        <v>51031164</v>
      </c>
      <c r="B632" t="str">
        <f>VLOOKUP(A632,VENTAS!$A$2:$B$1195,2,0)</f>
        <v>BELUZZO</v>
      </c>
      <c r="C632">
        <v>510199.99999999988</v>
      </c>
      <c r="D632">
        <v>1640000</v>
      </c>
      <c r="E632">
        <v>1044800</v>
      </c>
      <c r="F632">
        <v>2140000</v>
      </c>
      <c r="G632">
        <v>1315200</v>
      </c>
      <c r="H632">
        <v>3060000</v>
      </c>
    </row>
    <row r="633" spans="1:8" x14ac:dyDescent="0.3">
      <c r="A633">
        <v>51056451</v>
      </c>
      <c r="B633" t="str">
        <f>VLOOKUP(A633,VENTAS!$A$2:$B$1195,2,0)</f>
        <v>METTLER</v>
      </c>
      <c r="C633">
        <v>1231200</v>
      </c>
      <c r="D633">
        <v>2449600</v>
      </c>
      <c r="E633">
        <v>1715000</v>
      </c>
      <c r="F633">
        <v>3196000</v>
      </c>
      <c r="G633">
        <v>2292800</v>
      </c>
      <c r="H633">
        <v>3060000</v>
      </c>
    </row>
    <row r="634" spans="1:8" x14ac:dyDescent="0.3">
      <c r="A634">
        <v>51003390</v>
      </c>
      <c r="B634" t="str">
        <f>VLOOKUP(A634,VENTAS!$A$2:$B$1195,2,0)</f>
        <v>LÓPEZ</v>
      </c>
      <c r="C634">
        <v>951000</v>
      </c>
      <c r="D634">
        <v>1964000</v>
      </c>
      <c r="E634">
        <v>1230400</v>
      </c>
      <c r="F634">
        <v>2366000</v>
      </c>
      <c r="G634">
        <v>1620800</v>
      </c>
      <c r="H634">
        <v>3055000</v>
      </c>
    </row>
    <row r="635" spans="1:8" x14ac:dyDescent="0.3">
      <c r="A635">
        <v>51017137</v>
      </c>
      <c r="B635" t="str">
        <f>VLOOKUP(A635,VENTAS!$A$2:$B$1195,2,0)</f>
        <v>CICHETTO</v>
      </c>
      <c r="C635">
        <v>940600</v>
      </c>
      <c r="D635">
        <v>2184000</v>
      </c>
      <c r="E635">
        <v>1440600</v>
      </c>
      <c r="F635">
        <v>2482000</v>
      </c>
      <c r="G635">
        <v>2072000</v>
      </c>
      <c r="H635">
        <v>3055000</v>
      </c>
    </row>
    <row r="636" spans="1:8" x14ac:dyDescent="0.3">
      <c r="A636">
        <v>51019814</v>
      </c>
      <c r="B636" t="str">
        <f>VLOOKUP(A636,VENTAS!$A$2:$B$1195,2,0)</f>
        <v>MONTENEGRO</v>
      </c>
      <c r="C636">
        <v>1091400</v>
      </c>
      <c r="D636">
        <v>2071600</v>
      </c>
      <c r="E636">
        <v>1535200</v>
      </c>
      <c r="F636">
        <v>2576000</v>
      </c>
      <c r="G636">
        <v>2072000</v>
      </c>
      <c r="H636">
        <v>3047500</v>
      </c>
    </row>
    <row r="637" spans="1:8" x14ac:dyDescent="0.3">
      <c r="A637">
        <v>51021673</v>
      </c>
      <c r="B637" t="str">
        <f>VLOOKUP(A637,VENTAS!$A$2:$B$1195,2,0)</f>
        <v>ARGUELLO</v>
      </c>
      <c r="C637">
        <v>1008000</v>
      </c>
      <c r="D637">
        <v>1978800</v>
      </c>
      <c r="E637">
        <v>1322400</v>
      </c>
      <c r="F637">
        <v>2326000</v>
      </c>
      <c r="G637">
        <v>1790400</v>
      </c>
      <c r="H637">
        <v>3047500</v>
      </c>
    </row>
    <row r="638" spans="1:8" x14ac:dyDescent="0.3">
      <c r="A638">
        <v>51002555</v>
      </c>
      <c r="B638" t="str">
        <f>VLOOKUP(A638,VENTAS!$A$2:$B$1195,2,0)</f>
        <v>BELUZZO</v>
      </c>
      <c r="C638">
        <v>654400</v>
      </c>
      <c r="D638">
        <v>1818800</v>
      </c>
      <c r="E638">
        <v>960600.00000000012</v>
      </c>
      <c r="F638">
        <v>2050000</v>
      </c>
      <c r="G638">
        <v>1264000</v>
      </c>
      <c r="H638">
        <v>3045000</v>
      </c>
    </row>
    <row r="639" spans="1:8" x14ac:dyDescent="0.3">
      <c r="A639">
        <v>51013182</v>
      </c>
      <c r="B639" t="str">
        <f>VLOOKUP(A639,VENTAS!$A$2:$B$1195,2,0)</f>
        <v>ROBERTS</v>
      </c>
      <c r="C639">
        <v>428600</v>
      </c>
      <c r="D639">
        <v>1437200</v>
      </c>
      <c r="E639">
        <v>549000</v>
      </c>
      <c r="F639">
        <v>2252000</v>
      </c>
      <c r="G639">
        <v>614400</v>
      </c>
      <c r="H639">
        <v>3040000</v>
      </c>
    </row>
    <row r="640" spans="1:8" x14ac:dyDescent="0.3">
      <c r="A640">
        <v>51032004</v>
      </c>
      <c r="B640" t="str">
        <f>VLOOKUP(A640,VENTAS!$A$2:$B$1195,2,0)</f>
        <v>MONTENEGRO</v>
      </c>
      <c r="C640">
        <v>478800</v>
      </c>
      <c r="D640">
        <v>1752800</v>
      </c>
      <c r="E640">
        <v>825799.99999999988</v>
      </c>
      <c r="F640">
        <v>2256000</v>
      </c>
      <c r="G640">
        <v>1190400</v>
      </c>
      <c r="H640">
        <v>3030000</v>
      </c>
    </row>
    <row r="641" spans="1:8" x14ac:dyDescent="0.3">
      <c r="A641">
        <v>51042514</v>
      </c>
      <c r="B641" t="str">
        <f>VLOOKUP(A641,VENTAS!$A$2:$B$1195,2,0)</f>
        <v>LÓPEZ</v>
      </c>
      <c r="C641">
        <v>348600</v>
      </c>
      <c r="D641">
        <v>1247200</v>
      </c>
      <c r="E641">
        <v>706000</v>
      </c>
      <c r="F641">
        <v>2350000</v>
      </c>
      <c r="G641">
        <v>804800</v>
      </c>
      <c r="H641">
        <v>3017500</v>
      </c>
    </row>
    <row r="642" spans="1:8" x14ac:dyDescent="0.3">
      <c r="A642">
        <v>51010574</v>
      </c>
      <c r="B642" t="str">
        <f>VLOOKUP(A642,VENTAS!$A$2:$B$1195,2,0)</f>
        <v>MONTENEGRO</v>
      </c>
      <c r="C642">
        <v>751799.99999999988</v>
      </c>
      <c r="D642">
        <v>1728800</v>
      </c>
      <c r="E642">
        <v>1109200</v>
      </c>
      <c r="F642">
        <v>1946000</v>
      </c>
      <c r="G642">
        <v>1542400</v>
      </c>
      <c r="H642">
        <v>3012500</v>
      </c>
    </row>
    <row r="643" spans="1:8" x14ac:dyDescent="0.3">
      <c r="A643">
        <v>51012062</v>
      </c>
      <c r="B643" t="str">
        <f>VLOOKUP(A643,VENTAS!$A$2:$B$1195,2,0)</f>
        <v>BELUZZO</v>
      </c>
      <c r="C643">
        <v>789400</v>
      </c>
      <c r="D643">
        <v>1974000</v>
      </c>
      <c r="E643">
        <v>1065400</v>
      </c>
      <c r="F643">
        <v>2512000</v>
      </c>
      <c r="G643">
        <v>1542400</v>
      </c>
      <c r="H643">
        <v>3010000</v>
      </c>
    </row>
    <row r="644" spans="1:8" x14ac:dyDescent="0.3">
      <c r="A644">
        <v>51026322</v>
      </c>
      <c r="B644" t="str">
        <f>VLOOKUP(A644,VENTAS!$A$2:$B$1195,2,0)</f>
        <v>MONTENEGRO</v>
      </c>
      <c r="C644">
        <v>725000</v>
      </c>
      <c r="D644">
        <v>1696000</v>
      </c>
      <c r="E644">
        <v>1073400</v>
      </c>
      <c r="F644">
        <v>2264000</v>
      </c>
      <c r="G644">
        <v>1132800</v>
      </c>
      <c r="H644">
        <v>3010000</v>
      </c>
    </row>
    <row r="645" spans="1:8" x14ac:dyDescent="0.3">
      <c r="A645">
        <v>51040597</v>
      </c>
      <c r="B645" t="str">
        <f>VLOOKUP(A645,VENTAS!$A$2:$B$1195,2,0)</f>
        <v>MONTENEGRO</v>
      </c>
      <c r="C645">
        <v>687600</v>
      </c>
      <c r="D645">
        <v>2098400</v>
      </c>
      <c r="E645">
        <v>832800</v>
      </c>
      <c r="F645">
        <v>2608000</v>
      </c>
      <c r="G645">
        <v>1470400</v>
      </c>
      <c r="H645">
        <v>3005000</v>
      </c>
    </row>
    <row r="646" spans="1:8" x14ac:dyDescent="0.3">
      <c r="A646">
        <v>51032390</v>
      </c>
      <c r="B646" t="str">
        <f>VLOOKUP(A646,VENTAS!$A$2:$B$1195,2,0)</f>
        <v>PRADES</v>
      </c>
      <c r="C646">
        <v>689400</v>
      </c>
      <c r="D646">
        <v>1746800</v>
      </c>
      <c r="E646">
        <v>1146400</v>
      </c>
      <c r="F646">
        <v>2584000</v>
      </c>
      <c r="G646">
        <v>1673600</v>
      </c>
      <c r="H646">
        <v>2997500</v>
      </c>
    </row>
    <row r="647" spans="1:8" x14ac:dyDescent="0.3">
      <c r="A647">
        <v>51040325</v>
      </c>
      <c r="B647" t="str">
        <f>VLOOKUP(A647,VENTAS!$A$2:$B$1195,2,0)</f>
        <v>PRADES</v>
      </c>
      <c r="C647">
        <v>968800</v>
      </c>
      <c r="D647">
        <v>2617200</v>
      </c>
      <c r="E647">
        <v>1429800</v>
      </c>
      <c r="F647">
        <v>2740000</v>
      </c>
      <c r="G647">
        <v>2070400</v>
      </c>
      <c r="H647">
        <v>2995000</v>
      </c>
    </row>
    <row r="648" spans="1:8" x14ac:dyDescent="0.3">
      <c r="A648">
        <v>51018265</v>
      </c>
      <c r="B648" t="str">
        <f>VLOOKUP(A648,VENTAS!$A$2:$B$1195,2,0)</f>
        <v>PRADES</v>
      </c>
      <c r="C648">
        <v>846800</v>
      </c>
      <c r="D648">
        <v>2080400</v>
      </c>
      <c r="E648">
        <v>1002800</v>
      </c>
      <c r="F648">
        <v>2590000</v>
      </c>
      <c r="G648">
        <v>1560000</v>
      </c>
      <c r="H648">
        <v>2992500</v>
      </c>
    </row>
    <row r="649" spans="1:8" x14ac:dyDescent="0.3">
      <c r="A649">
        <v>51030567</v>
      </c>
      <c r="B649" t="str">
        <f>VLOOKUP(A649,VENTAS!$A$2:$B$1195,2,0)</f>
        <v>NELLI</v>
      </c>
      <c r="C649">
        <v>1097400</v>
      </c>
      <c r="D649">
        <v>1995600</v>
      </c>
      <c r="E649">
        <v>1454600</v>
      </c>
      <c r="F649">
        <v>2404000</v>
      </c>
      <c r="G649">
        <v>1752000</v>
      </c>
      <c r="H649">
        <v>2990000</v>
      </c>
    </row>
    <row r="650" spans="1:8" x14ac:dyDescent="0.3">
      <c r="A650">
        <v>51055691</v>
      </c>
      <c r="B650" t="str">
        <f>VLOOKUP(A650,VENTAS!$A$2:$B$1195,2,0)</f>
        <v>MONTENEGRO</v>
      </c>
      <c r="C650">
        <v>578600</v>
      </c>
      <c r="D650">
        <v>1614800</v>
      </c>
      <c r="E650">
        <v>1165600</v>
      </c>
      <c r="F650">
        <v>2102000</v>
      </c>
      <c r="G650">
        <v>1947200</v>
      </c>
      <c r="H650">
        <v>2990000</v>
      </c>
    </row>
    <row r="651" spans="1:8" x14ac:dyDescent="0.3">
      <c r="A651">
        <v>51039190</v>
      </c>
      <c r="B651" t="str">
        <f>VLOOKUP(A651,VENTAS!$A$2:$B$1195,2,0)</f>
        <v>BELUZZO</v>
      </c>
      <c r="C651">
        <v>1634000</v>
      </c>
      <c r="D651">
        <v>2397200</v>
      </c>
      <c r="E651">
        <v>2080400</v>
      </c>
      <c r="F651">
        <v>2682000</v>
      </c>
      <c r="G651">
        <v>2353600</v>
      </c>
      <c r="H651">
        <v>2977500</v>
      </c>
    </row>
    <row r="652" spans="1:8" x14ac:dyDescent="0.3">
      <c r="A652">
        <v>51026497</v>
      </c>
      <c r="B652" t="str">
        <f>VLOOKUP(A652,VENTAS!$A$2:$B$1195,2,0)</f>
        <v>NELLI</v>
      </c>
      <c r="C652">
        <v>783399.99999999988</v>
      </c>
      <c r="D652">
        <v>1992400</v>
      </c>
      <c r="E652">
        <v>977600</v>
      </c>
      <c r="F652">
        <v>2330000</v>
      </c>
      <c r="G652">
        <v>1649600</v>
      </c>
      <c r="H652">
        <v>2965000</v>
      </c>
    </row>
    <row r="653" spans="1:8" x14ac:dyDescent="0.3">
      <c r="A653">
        <v>51032632</v>
      </c>
      <c r="B653" t="str">
        <f>VLOOKUP(A653,VENTAS!$A$2:$B$1195,2,0)</f>
        <v>LÓPEZ</v>
      </c>
      <c r="C653">
        <v>705000</v>
      </c>
      <c r="D653">
        <v>1840800</v>
      </c>
      <c r="E653">
        <v>1066200</v>
      </c>
      <c r="F653">
        <v>2276000</v>
      </c>
      <c r="G653">
        <v>1448000</v>
      </c>
      <c r="H653">
        <v>2965000</v>
      </c>
    </row>
    <row r="654" spans="1:8" x14ac:dyDescent="0.3">
      <c r="A654">
        <v>51025318</v>
      </c>
      <c r="B654" t="str">
        <f>VLOOKUP(A654,VENTAS!$A$2:$B$1195,2,0)</f>
        <v>ROBERTS</v>
      </c>
      <c r="C654">
        <v>997400</v>
      </c>
      <c r="D654">
        <v>1934800</v>
      </c>
      <c r="E654">
        <v>917799.99999999988</v>
      </c>
      <c r="F654">
        <v>2732000</v>
      </c>
      <c r="G654">
        <v>1100800</v>
      </c>
      <c r="H654">
        <v>2962500</v>
      </c>
    </row>
    <row r="655" spans="1:8" x14ac:dyDescent="0.3">
      <c r="A655">
        <v>51030931</v>
      </c>
      <c r="B655" t="str">
        <f>VLOOKUP(A655,VENTAS!$A$2:$B$1195,2,0)</f>
        <v>MONTENEGRO</v>
      </c>
      <c r="C655">
        <v>672200</v>
      </c>
      <c r="D655">
        <v>1747200</v>
      </c>
      <c r="E655">
        <v>1046200</v>
      </c>
      <c r="F655">
        <v>2246000</v>
      </c>
      <c r="G655">
        <v>1468800</v>
      </c>
      <c r="H655">
        <v>2962500</v>
      </c>
    </row>
    <row r="656" spans="1:8" x14ac:dyDescent="0.3">
      <c r="A656">
        <v>51014642</v>
      </c>
      <c r="B656" t="str">
        <f>VLOOKUP(A656,VENTAS!$A$2:$B$1195,2,0)</f>
        <v>PRADES</v>
      </c>
      <c r="C656">
        <v>857200</v>
      </c>
      <c r="D656">
        <v>1765200</v>
      </c>
      <c r="E656">
        <v>1122800</v>
      </c>
      <c r="F656">
        <v>2542000</v>
      </c>
      <c r="G656">
        <v>1446400</v>
      </c>
      <c r="H656">
        <v>2957500</v>
      </c>
    </row>
    <row r="657" spans="1:8" x14ac:dyDescent="0.3">
      <c r="A657">
        <v>51043847</v>
      </c>
      <c r="B657" t="str">
        <f>VLOOKUP(A657,VENTAS!$A$2:$B$1195,2,0)</f>
        <v>AYALA</v>
      </c>
      <c r="C657">
        <v>791399.99999999988</v>
      </c>
      <c r="D657">
        <v>1996000</v>
      </c>
      <c r="E657">
        <v>1126200</v>
      </c>
      <c r="F657">
        <v>2172000</v>
      </c>
      <c r="G657">
        <v>1780800</v>
      </c>
      <c r="H657">
        <v>2957500</v>
      </c>
    </row>
    <row r="658" spans="1:8" x14ac:dyDescent="0.3">
      <c r="A658">
        <v>51033116</v>
      </c>
      <c r="B658" t="str">
        <f>VLOOKUP(A658,VENTAS!$A$2:$B$1195,2,0)</f>
        <v>ARGUELLO</v>
      </c>
      <c r="C658">
        <v>949999.99999999988</v>
      </c>
      <c r="D658">
        <v>1715200</v>
      </c>
      <c r="E658">
        <v>1518200</v>
      </c>
      <c r="F658">
        <v>2620000</v>
      </c>
      <c r="G658">
        <v>1827200</v>
      </c>
      <c r="H658">
        <v>2945000</v>
      </c>
    </row>
    <row r="659" spans="1:8" x14ac:dyDescent="0.3">
      <c r="A659">
        <v>51056337</v>
      </c>
      <c r="B659" t="str">
        <f>VLOOKUP(A659,VENTAS!$A$2:$B$1195,2,0)</f>
        <v>LÓPEZ</v>
      </c>
      <c r="C659">
        <v>793400</v>
      </c>
      <c r="D659">
        <v>1795600</v>
      </c>
      <c r="E659">
        <v>1006200</v>
      </c>
      <c r="F659">
        <v>2246000</v>
      </c>
      <c r="G659">
        <v>1712000</v>
      </c>
      <c r="H659">
        <v>2942500</v>
      </c>
    </row>
    <row r="660" spans="1:8" x14ac:dyDescent="0.3">
      <c r="A660">
        <v>51033329</v>
      </c>
      <c r="B660" t="str">
        <f>VLOOKUP(A660,VENTAS!$A$2:$B$1195,2,0)</f>
        <v>AYALA</v>
      </c>
      <c r="C660">
        <v>774400</v>
      </c>
      <c r="D660">
        <v>1566000</v>
      </c>
      <c r="E660">
        <v>1107600</v>
      </c>
      <c r="F660">
        <v>2530000</v>
      </c>
      <c r="G660">
        <v>1502400</v>
      </c>
      <c r="H660">
        <v>2940000</v>
      </c>
    </row>
    <row r="661" spans="1:8" x14ac:dyDescent="0.3">
      <c r="A661">
        <v>51003225</v>
      </c>
      <c r="B661" t="str">
        <f>VLOOKUP(A661,VENTAS!$A$2:$B$1195,2,0)</f>
        <v>NELLI</v>
      </c>
      <c r="C661">
        <v>740200.00000000012</v>
      </c>
      <c r="D661">
        <v>1791600</v>
      </c>
      <c r="E661">
        <v>1101200</v>
      </c>
      <c r="F661">
        <v>2216000</v>
      </c>
      <c r="G661">
        <v>1588800</v>
      </c>
      <c r="H661">
        <v>2932500</v>
      </c>
    </row>
    <row r="662" spans="1:8" x14ac:dyDescent="0.3">
      <c r="A662">
        <v>51024036</v>
      </c>
      <c r="B662" t="str">
        <f>VLOOKUP(A662,VENTAS!$A$2:$B$1195,2,0)</f>
        <v>LÓPEZ</v>
      </c>
      <c r="C662">
        <v>962000</v>
      </c>
      <c r="D662">
        <v>2207200</v>
      </c>
      <c r="E662">
        <v>1256000</v>
      </c>
      <c r="F662">
        <v>2472000</v>
      </c>
      <c r="G662">
        <v>1728000</v>
      </c>
      <c r="H662">
        <v>2932500</v>
      </c>
    </row>
    <row r="663" spans="1:8" x14ac:dyDescent="0.3">
      <c r="A663">
        <v>51056671</v>
      </c>
      <c r="B663" t="str">
        <f>VLOOKUP(A663,VENTAS!$A$2:$B$1195,2,0)</f>
        <v>METTLER</v>
      </c>
      <c r="C663">
        <v>760400</v>
      </c>
      <c r="D663">
        <v>1830400</v>
      </c>
      <c r="E663">
        <v>1071400</v>
      </c>
      <c r="F663">
        <v>2380000</v>
      </c>
      <c r="G663">
        <v>1518400</v>
      </c>
      <c r="H663">
        <v>2932500</v>
      </c>
    </row>
    <row r="664" spans="1:8" x14ac:dyDescent="0.3">
      <c r="A664">
        <v>51030079</v>
      </c>
      <c r="B664" t="str">
        <f>VLOOKUP(A664,VENTAS!$A$2:$B$1195,2,0)</f>
        <v>PUGH</v>
      </c>
      <c r="C664">
        <v>964800</v>
      </c>
      <c r="D664">
        <v>1926400</v>
      </c>
      <c r="E664">
        <v>1245000</v>
      </c>
      <c r="F664">
        <v>2338000</v>
      </c>
      <c r="G664">
        <v>1580800</v>
      </c>
      <c r="H664">
        <v>2912500</v>
      </c>
    </row>
    <row r="665" spans="1:8" x14ac:dyDescent="0.3">
      <c r="A665">
        <v>51010035</v>
      </c>
      <c r="B665" t="str">
        <f>VLOOKUP(A665,VENTAS!$A$2:$B$1195,2,0)</f>
        <v>AYALA</v>
      </c>
      <c r="C665">
        <v>693600</v>
      </c>
      <c r="D665">
        <v>1864000</v>
      </c>
      <c r="E665">
        <v>1136800</v>
      </c>
      <c r="F665">
        <v>1944000</v>
      </c>
      <c r="G665">
        <v>1584000</v>
      </c>
      <c r="H665">
        <v>2905000</v>
      </c>
    </row>
    <row r="666" spans="1:8" x14ac:dyDescent="0.3">
      <c r="A666">
        <v>51011465</v>
      </c>
      <c r="B666" t="str">
        <f>VLOOKUP(A666,VENTAS!$A$2:$B$1195,2,0)</f>
        <v>METTLER</v>
      </c>
      <c r="C666">
        <v>961800.00000000012</v>
      </c>
      <c r="D666">
        <v>1872800</v>
      </c>
      <c r="E666">
        <v>996600</v>
      </c>
      <c r="F666">
        <v>2008000</v>
      </c>
      <c r="G666">
        <v>1473600</v>
      </c>
      <c r="H666">
        <v>2900000</v>
      </c>
    </row>
    <row r="667" spans="1:8" x14ac:dyDescent="0.3">
      <c r="A667">
        <v>51006151</v>
      </c>
      <c r="B667" t="str">
        <f>VLOOKUP(A667,VENTAS!$A$2:$B$1195,2,0)</f>
        <v>PUGH</v>
      </c>
      <c r="C667">
        <v>1318000</v>
      </c>
      <c r="D667">
        <v>2707200</v>
      </c>
      <c r="E667">
        <v>1751400</v>
      </c>
      <c r="F667">
        <v>2724000</v>
      </c>
      <c r="G667">
        <v>2267200</v>
      </c>
      <c r="H667">
        <v>2897500</v>
      </c>
    </row>
    <row r="668" spans="1:8" x14ac:dyDescent="0.3">
      <c r="A668">
        <v>51011627</v>
      </c>
      <c r="B668" t="str">
        <f>VLOOKUP(A668,VENTAS!$A$2:$B$1195,2,0)</f>
        <v>BELUZZO</v>
      </c>
      <c r="C668">
        <v>990400.00000000012</v>
      </c>
      <c r="D668">
        <v>2636800</v>
      </c>
      <c r="E668">
        <v>1334600</v>
      </c>
      <c r="F668">
        <v>2900000</v>
      </c>
      <c r="G668">
        <v>1921600</v>
      </c>
      <c r="H668">
        <v>2887500</v>
      </c>
    </row>
    <row r="669" spans="1:8" x14ac:dyDescent="0.3">
      <c r="A669">
        <v>51013859</v>
      </c>
      <c r="B669" t="str">
        <f>VLOOKUP(A669,VENTAS!$A$2:$B$1195,2,0)</f>
        <v>LÓPEZ</v>
      </c>
      <c r="C669">
        <v>683000</v>
      </c>
      <c r="D669">
        <v>1631600</v>
      </c>
      <c r="E669">
        <v>1031000</v>
      </c>
      <c r="F669">
        <v>2210000</v>
      </c>
      <c r="G669">
        <v>1193600</v>
      </c>
      <c r="H669">
        <v>2867500</v>
      </c>
    </row>
    <row r="670" spans="1:8" x14ac:dyDescent="0.3">
      <c r="A670">
        <v>51023293</v>
      </c>
      <c r="B670" t="str">
        <f>VLOOKUP(A670,VENTAS!$A$2:$B$1195,2,0)</f>
        <v>NELLI</v>
      </c>
      <c r="C670">
        <v>1064400</v>
      </c>
      <c r="D670">
        <v>1917600</v>
      </c>
      <c r="E670">
        <v>1374400</v>
      </c>
      <c r="F670">
        <v>2460000</v>
      </c>
      <c r="G670">
        <v>1953600</v>
      </c>
      <c r="H670">
        <v>2865000</v>
      </c>
    </row>
    <row r="671" spans="1:8" x14ac:dyDescent="0.3">
      <c r="A671">
        <v>51023927</v>
      </c>
      <c r="B671" t="str">
        <f>VLOOKUP(A671,VENTAS!$A$2:$B$1195,2,0)</f>
        <v>ARGUELLO</v>
      </c>
      <c r="C671">
        <v>588800</v>
      </c>
      <c r="D671">
        <v>1248800</v>
      </c>
      <c r="E671">
        <v>972200</v>
      </c>
      <c r="F671">
        <v>1826000</v>
      </c>
      <c r="G671">
        <v>1264000</v>
      </c>
      <c r="H671">
        <v>2862500</v>
      </c>
    </row>
    <row r="672" spans="1:8" x14ac:dyDescent="0.3">
      <c r="A672">
        <v>51056990</v>
      </c>
      <c r="B672" t="str">
        <f>VLOOKUP(A672,VENTAS!$A$2:$B$1195,2,0)</f>
        <v>BELUZZO</v>
      </c>
      <c r="C672">
        <v>896399.99999999988</v>
      </c>
      <c r="D672">
        <v>1664400</v>
      </c>
      <c r="E672">
        <v>1108800</v>
      </c>
      <c r="F672">
        <v>2398000</v>
      </c>
      <c r="G672">
        <v>1496000</v>
      </c>
      <c r="H672">
        <v>2862500</v>
      </c>
    </row>
    <row r="673" spans="1:8" x14ac:dyDescent="0.3">
      <c r="A673">
        <v>51005295</v>
      </c>
      <c r="B673" t="str">
        <f>VLOOKUP(A673,VENTAS!$A$2:$B$1195,2,0)</f>
        <v>AYALA</v>
      </c>
      <c r="C673">
        <v>895600</v>
      </c>
      <c r="D673">
        <v>2024400</v>
      </c>
      <c r="E673">
        <v>1179200</v>
      </c>
      <c r="F673">
        <v>2202000</v>
      </c>
      <c r="G673">
        <v>1692800</v>
      </c>
      <c r="H673">
        <v>2852500</v>
      </c>
    </row>
    <row r="674" spans="1:8" x14ac:dyDescent="0.3">
      <c r="A674">
        <v>51017056</v>
      </c>
      <c r="B674" t="str">
        <f>VLOOKUP(A674,VENTAS!$A$2:$B$1195,2,0)</f>
        <v>PRADES</v>
      </c>
      <c r="C674">
        <v>695200</v>
      </c>
      <c r="D674">
        <v>1481200</v>
      </c>
      <c r="E674">
        <v>950200</v>
      </c>
      <c r="F674">
        <v>1962000</v>
      </c>
      <c r="G674">
        <v>1278400</v>
      </c>
      <c r="H674">
        <v>2847500</v>
      </c>
    </row>
    <row r="675" spans="1:8" x14ac:dyDescent="0.3">
      <c r="A675">
        <v>51012623</v>
      </c>
      <c r="B675" t="str">
        <f>VLOOKUP(A675,VENTAS!$A$2:$B$1195,2,0)</f>
        <v>METTLER</v>
      </c>
      <c r="C675">
        <v>573000</v>
      </c>
      <c r="D675">
        <v>1357200</v>
      </c>
      <c r="E675">
        <v>888000</v>
      </c>
      <c r="F675">
        <v>2030000</v>
      </c>
      <c r="G675">
        <v>1238400</v>
      </c>
      <c r="H675">
        <v>2837500</v>
      </c>
    </row>
    <row r="676" spans="1:8" x14ac:dyDescent="0.3">
      <c r="A676">
        <v>51014707</v>
      </c>
      <c r="B676" t="str">
        <f>VLOOKUP(A676,VENTAS!$A$2:$B$1195,2,0)</f>
        <v>PUGH</v>
      </c>
      <c r="C676">
        <v>1369000</v>
      </c>
      <c r="D676">
        <v>3621200</v>
      </c>
      <c r="E676">
        <v>1801800</v>
      </c>
      <c r="F676">
        <v>4426000</v>
      </c>
      <c r="G676">
        <v>2958400</v>
      </c>
      <c r="H676">
        <v>2827500</v>
      </c>
    </row>
    <row r="677" spans="1:8" x14ac:dyDescent="0.3">
      <c r="A677">
        <v>51032659</v>
      </c>
      <c r="B677" t="str">
        <f>VLOOKUP(A677,VENTAS!$A$2:$B$1195,2,0)</f>
        <v>BELUZZO</v>
      </c>
      <c r="C677">
        <v>1062200</v>
      </c>
      <c r="D677">
        <v>1416800</v>
      </c>
      <c r="E677">
        <v>1452200</v>
      </c>
      <c r="F677">
        <v>1894000</v>
      </c>
      <c r="G677">
        <v>1635200</v>
      </c>
      <c r="H677">
        <v>2827500</v>
      </c>
    </row>
    <row r="678" spans="1:8" x14ac:dyDescent="0.3">
      <c r="A678">
        <v>51043375</v>
      </c>
      <c r="B678" t="str">
        <f>VLOOKUP(A678,VENTAS!$A$2:$B$1195,2,0)</f>
        <v>LÓPEZ</v>
      </c>
      <c r="C678">
        <v>670000</v>
      </c>
      <c r="D678">
        <v>1668400</v>
      </c>
      <c r="E678">
        <v>728200</v>
      </c>
      <c r="F678">
        <v>2074000</v>
      </c>
      <c r="G678">
        <v>1206400</v>
      </c>
      <c r="H678">
        <v>2822500</v>
      </c>
    </row>
    <row r="679" spans="1:8" x14ac:dyDescent="0.3">
      <c r="A679">
        <v>51011708</v>
      </c>
      <c r="B679" t="str">
        <f>VLOOKUP(A679,VENTAS!$A$2:$B$1195,2,0)</f>
        <v>ARGUELLO</v>
      </c>
      <c r="C679">
        <v>1118200</v>
      </c>
      <c r="D679">
        <v>1874000</v>
      </c>
      <c r="E679">
        <v>1511800</v>
      </c>
      <c r="F679">
        <v>2524000</v>
      </c>
      <c r="G679">
        <v>1974400</v>
      </c>
      <c r="H679">
        <v>2810000</v>
      </c>
    </row>
    <row r="680" spans="1:8" x14ac:dyDescent="0.3">
      <c r="A680">
        <v>51015924</v>
      </c>
      <c r="B680" t="str">
        <f>VLOOKUP(A680,VENTAS!$A$2:$B$1195,2,0)</f>
        <v>ROBERTS</v>
      </c>
      <c r="C680">
        <v>512800.00000000012</v>
      </c>
      <c r="D680">
        <v>1570800</v>
      </c>
      <c r="E680">
        <v>819200.00000000012</v>
      </c>
      <c r="F680">
        <v>2282000</v>
      </c>
      <c r="G680">
        <v>1456000</v>
      </c>
      <c r="H680">
        <v>2810000</v>
      </c>
    </row>
    <row r="681" spans="1:8" x14ac:dyDescent="0.3">
      <c r="A681">
        <v>51021258</v>
      </c>
      <c r="B681" t="str">
        <f>VLOOKUP(A681,VENTAS!$A$2:$B$1195,2,0)</f>
        <v>CICHETTO</v>
      </c>
      <c r="C681">
        <v>1123200</v>
      </c>
      <c r="D681">
        <v>2178800</v>
      </c>
      <c r="E681">
        <v>1533000</v>
      </c>
      <c r="F681">
        <v>2882000</v>
      </c>
      <c r="G681">
        <v>2049600</v>
      </c>
      <c r="H681">
        <v>2797500</v>
      </c>
    </row>
    <row r="682" spans="1:8" x14ac:dyDescent="0.3">
      <c r="A682">
        <v>51024753</v>
      </c>
      <c r="B682" t="str">
        <f>VLOOKUP(A682,VENTAS!$A$2:$B$1195,2,0)</f>
        <v>PUGH</v>
      </c>
      <c r="C682">
        <v>579800</v>
      </c>
      <c r="D682">
        <v>1844000</v>
      </c>
      <c r="E682">
        <v>849000</v>
      </c>
      <c r="F682">
        <v>2294000</v>
      </c>
      <c r="G682">
        <v>1267200</v>
      </c>
      <c r="H682">
        <v>2785000</v>
      </c>
    </row>
    <row r="683" spans="1:8" x14ac:dyDescent="0.3">
      <c r="A683">
        <v>51031113</v>
      </c>
      <c r="B683" t="str">
        <f>VLOOKUP(A683,VENTAS!$A$2:$B$1195,2,0)</f>
        <v>METTLER</v>
      </c>
      <c r="C683">
        <v>777000</v>
      </c>
      <c r="D683">
        <v>1950000</v>
      </c>
      <c r="E683">
        <v>1113000</v>
      </c>
      <c r="F683">
        <v>2472000</v>
      </c>
      <c r="G683">
        <v>1558400</v>
      </c>
      <c r="H683">
        <v>2780000</v>
      </c>
    </row>
    <row r="684" spans="1:8" x14ac:dyDescent="0.3">
      <c r="A684">
        <v>51054857</v>
      </c>
      <c r="B684" t="str">
        <f>VLOOKUP(A684,VENTAS!$A$2:$B$1195,2,0)</f>
        <v>LÓPEZ</v>
      </c>
      <c r="C684">
        <v>475600</v>
      </c>
      <c r="D684">
        <v>1359600</v>
      </c>
      <c r="E684">
        <v>916000.00000000012</v>
      </c>
      <c r="F684">
        <v>2092000</v>
      </c>
      <c r="G684">
        <v>1246400</v>
      </c>
      <c r="H684">
        <v>2775000</v>
      </c>
    </row>
    <row r="685" spans="1:8" x14ac:dyDescent="0.3">
      <c r="A685">
        <v>51019202</v>
      </c>
      <c r="B685" t="str">
        <f>VLOOKUP(A685,VENTAS!$A$2:$B$1195,2,0)</f>
        <v>BELUZZO</v>
      </c>
      <c r="C685">
        <v>1022600</v>
      </c>
      <c r="D685">
        <v>1812000</v>
      </c>
      <c r="E685">
        <v>1420400</v>
      </c>
      <c r="F685">
        <v>2458000</v>
      </c>
      <c r="G685">
        <v>1545600</v>
      </c>
      <c r="H685">
        <v>2772500</v>
      </c>
    </row>
    <row r="686" spans="1:8" x14ac:dyDescent="0.3">
      <c r="A686">
        <v>51057244</v>
      </c>
      <c r="B686" t="str">
        <f>VLOOKUP(A686,VENTAS!$A$2:$B$1195,2,0)</f>
        <v>METTLER</v>
      </c>
      <c r="C686">
        <v>1309200</v>
      </c>
      <c r="D686">
        <v>2466400</v>
      </c>
      <c r="E686">
        <v>1758600</v>
      </c>
      <c r="F686">
        <v>2910000</v>
      </c>
      <c r="G686">
        <v>2304000</v>
      </c>
      <c r="H686">
        <v>2770000</v>
      </c>
    </row>
    <row r="687" spans="1:8" x14ac:dyDescent="0.3">
      <c r="A687">
        <v>51020308</v>
      </c>
      <c r="B687" t="str">
        <f>VLOOKUP(A687,VENTAS!$A$2:$B$1195,2,0)</f>
        <v>AYALA</v>
      </c>
      <c r="C687">
        <v>625800</v>
      </c>
      <c r="D687">
        <v>1149600</v>
      </c>
      <c r="E687">
        <v>926000</v>
      </c>
      <c r="F687">
        <v>1910000</v>
      </c>
      <c r="G687">
        <v>1244800</v>
      </c>
      <c r="H687">
        <v>2767500</v>
      </c>
    </row>
    <row r="688" spans="1:8" x14ac:dyDescent="0.3">
      <c r="A688">
        <v>51030524</v>
      </c>
      <c r="B688" t="str">
        <f>VLOOKUP(A688,VENTAS!$A$2:$B$1195,2,0)</f>
        <v>AYALA</v>
      </c>
      <c r="C688">
        <v>745400</v>
      </c>
      <c r="D688">
        <v>1972000</v>
      </c>
      <c r="E688">
        <v>1278400</v>
      </c>
      <c r="F688">
        <v>2390000</v>
      </c>
      <c r="G688">
        <v>1577600</v>
      </c>
      <c r="H688">
        <v>2760000</v>
      </c>
    </row>
    <row r="689" spans="1:8" x14ac:dyDescent="0.3">
      <c r="A689">
        <v>51056574</v>
      </c>
      <c r="B689" t="str">
        <f>VLOOKUP(A689,VENTAS!$A$2:$B$1195,2,0)</f>
        <v>PUGH</v>
      </c>
      <c r="C689">
        <v>575200</v>
      </c>
      <c r="D689">
        <v>1400400</v>
      </c>
      <c r="E689">
        <v>814200</v>
      </c>
      <c r="F689">
        <v>1648000</v>
      </c>
      <c r="G689">
        <v>1244800</v>
      </c>
      <c r="H689">
        <v>2747500</v>
      </c>
    </row>
    <row r="690" spans="1:8" x14ac:dyDescent="0.3">
      <c r="A690">
        <v>51007549</v>
      </c>
      <c r="B690" t="str">
        <f>VLOOKUP(A690,VENTAS!$A$2:$B$1195,2,0)</f>
        <v>MONTENEGRO</v>
      </c>
      <c r="C690">
        <v>649600</v>
      </c>
      <c r="D690">
        <v>1232000</v>
      </c>
      <c r="E690">
        <v>788600</v>
      </c>
      <c r="F690">
        <v>1920000</v>
      </c>
      <c r="G690">
        <v>1011200</v>
      </c>
      <c r="H690">
        <v>2742500</v>
      </c>
    </row>
    <row r="691" spans="1:8" x14ac:dyDescent="0.3">
      <c r="A691">
        <v>51018877</v>
      </c>
      <c r="B691" t="str">
        <f>VLOOKUP(A691,VENTAS!$A$2:$B$1195,2,0)</f>
        <v>BELUZZO</v>
      </c>
      <c r="C691">
        <v>789999.99999999988</v>
      </c>
      <c r="D691">
        <v>1491600</v>
      </c>
      <c r="E691">
        <v>1011400</v>
      </c>
      <c r="F691">
        <v>1974000</v>
      </c>
      <c r="G691">
        <v>1364800</v>
      </c>
      <c r="H691">
        <v>2742500</v>
      </c>
    </row>
    <row r="692" spans="1:8" x14ac:dyDescent="0.3">
      <c r="A692">
        <v>51010761</v>
      </c>
      <c r="B692" t="str">
        <f>VLOOKUP(A692,VENTAS!$A$2:$B$1195,2,0)</f>
        <v>CICHETTO</v>
      </c>
      <c r="C692">
        <v>702600</v>
      </c>
      <c r="D692">
        <v>1594800</v>
      </c>
      <c r="E692">
        <v>936600</v>
      </c>
      <c r="F692">
        <v>1744000</v>
      </c>
      <c r="G692">
        <v>1241600</v>
      </c>
      <c r="H692">
        <v>2740000</v>
      </c>
    </row>
    <row r="693" spans="1:8" x14ac:dyDescent="0.3">
      <c r="A693">
        <v>51019423</v>
      </c>
      <c r="B693" t="str">
        <f>VLOOKUP(A693,VENTAS!$A$2:$B$1195,2,0)</f>
        <v>PUGH</v>
      </c>
      <c r="C693">
        <v>585200</v>
      </c>
      <c r="D693">
        <v>1576000</v>
      </c>
      <c r="E693">
        <v>1015000</v>
      </c>
      <c r="F693">
        <v>2028000</v>
      </c>
      <c r="G693">
        <v>1337600</v>
      </c>
      <c r="H693">
        <v>2730000</v>
      </c>
    </row>
    <row r="694" spans="1:8" x14ac:dyDescent="0.3">
      <c r="A694">
        <v>51055462</v>
      </c>
      <c r="B694" t="str">
        <f>VLOOKUP(A694,VENTAS!$A$2:$B$1195,2,0)</f>
        <v>CICHETTO</v>
      </c>
      <c r="C694">
        <v>830000</v>
      </c>
      <c r="D694">
        <v>1765200</v>
      </c>
      <c r="E694">
        <v>1014600</v>
      </c>
      <c r="F694">
        <v>2330000</v>
      </c>
      <c r="G694">
        <v>1619200</v>
      </c>
      <c r="H694">
        <v>2730000</v>
      </c>
    </row>
    <row r="695" spans="1:8" x14ac:dyDescent="0.3">
      <c r="A695">
        <v>51022637</v>
      </c>
      <c r="B695" t="str">
        <f>VLOOKUP(A695,VENTAS!$A$2:$B$1195,2,0)</f>
        <v>METTLER</v>
      </c>
      <c r="C695">
        <v>737400</v>
      </c>
      <c r="D695">
        <v>1200400</v>
      </c>
      <c r="E695">
        <v>883800</v>
      </c>
      <c r="F695">
        <v>1596000</v>
      </c>
      <c r="G695">
        <v>860799.99999999988</v>
      </c>
      <c r="H695">
        <v>2727500</v>
      </c>
    </row>
    <row r="696" spans="1:8" x14ac:dyDescent="0.3">
      <c r="A696">
        <v>51013051</v>
      </c>
      <c r="B696" t="str">
        <f>VLOOKUP(A696,VENTAS!$A$2:$B$1195,2,0)</f>
        <v>ARGUELLO</v>
      </c>
      <c r="C696">
        <v>825199.99999999988</v>
      </c>
      <c r="D696">
        <v>1736000</v>
      </c>
      <c r="E696">
        <v>1111800</v>
      </c>
      <c r="F696">
        <v>2252000</v>
      </c>
      <c r="G696">
        <v>1712000</v>
      </c>
      <c r="H696">
        <v>2702500</v>
      </c>
    </row>
    <row r="697" spans="1:8" x14ac:dyDescent="0.3">
      <c r="A697">
        <v>51029976</v>
      </c>
      <c r="B697" t="str">
        <f>VLOOKUP(A697,VENTAS!$A$2:$B$1195,2,0)</f>
        <v>MONTENEGRO</v>
      </c>
      <c r="C697">
        <v>838000</v>
      </c>
      <c r="D697">
        <v>1768000</v>
      </c>
      <c r="E697">
        <v>1097600</v>
      </c>
      <c r="F697">
        <v>2216000</v>
      </c>
      <c r="G697">
        <v>1643200</v>
      </c>
      <c r="H697">
        <v>2702500</v>
      </c>
    </row>
    <row r="698" spans="1:8" x14ac:dyDescent="0.3">
      <c r="A698">
        <v>51030711</v>
      </c>
      <c r="B698" t="str">
        <f>VLOOKUP(A698,VENTAS!$A$2:$B$1195,2,0)</f>
        <v>NELLI</v>
      </c>
      <c r="C698">
        <v>667000</v>
      </c>
      <c r="D698">
        <v>1638800</v>
      </c>
      <c r="E698">
        <v>1138000</v>
      </c>
      <c r="F698">
        <v>2114000</v>
      </c>
      <c r="G698">
        <v>1553600</v>
      </c>
      <c r="H698">
        <v>2702500</v>
      </c>
    </row>
    <row r="699" spans="1:8" x14ac:dyDescent="0.3">
      <c r="A699">
        <v>51056523</v>
      </c>
      <c r="B699" t="str">
        <f>VLOOKUP(A699,VENTAS!$A$2:$B$1195,2,0)</f>
        <v>CICHETTO</v>
      </c>
      <c r="C699">
        <v>1114000</v>
      </c>
      <c r="D699">
        <v>2525600</v>
      </c>
      <c r="E699">
        <v>1552400</v>
      </c>
      <c r="F699">
        <v>2396000</v>
      </c>
      <c r="G699">
        <v>2302400</v>
      </c>
      <c r="H699">
        <v>2685000</v>
      </c>
    </row>
    <row r="700" spans="1:8" x14ac:dyDescent="0.3">
      <c r="A700">
        <v>51010311</v>
      </c>
      <c r="B700" t="str">
        <f>VLOOKUP(A700,VENTAS!$A$2:$B$1195,2,0)</f>
        <v>ROBERTS</v>
      </c>
      <c r="C700">
        <v>684400</v>
      </c>
      <c r="D700">
        <v>1667200</v>
      </c>
      <c r="E700">
        <v>1087200</v>
      </c>
      <c r="F700">
        <v>2276000</v>
      </c>
      <c r="G700">
        <v>1587200</v>
      </c>
      <c r="H700">
        <v>2680000</v>
      </c>
    </row>
    <row r="701" spans="1:8" x14ac:dyDescent="0.3">
      <c r="A701">
        <v>51025938</v>
      </c>
      <c r="B701" t="str">
        <f>VLOOKUP(A701,VENTAS!$A$2:$B$1195,2,0)</f>
        <v>PRADES</v>
      </c>
      <c r="C701">
        <v>864600</v>
      </c>
      <c r="D701">
        <v>2099600</v>
      </c>
      <c r="E701">
        <v>1093200</v>
      </c>
      <c r="F701">
        <v>2522000</v>
      </c>
      <c r="G701">
        <v>1744000</v>
      </c>
      <c r="H701">
        <v>2677500</v>
      </c>
    </row>
    <row r="702" spans="1:8" x14ac:dyDescent="0.3">
      <c r="A702">
        <v>51008430</v>
      </c>
      <c r="B702" t="str">
        <f>VLOOKUP(A702,VENTAS!$A$2:$B$1195,2,0)</f>
        <v>METTLER</v>
      </c>
      <c r="C702">
        <v>678600</v>
      </c>
      <c r="D702">
        <v>1502000</v>
      </c>
      <c r="E702">
        <v>1072000</v>
      </c>
      <c r="F702">
        <v>2082000</v>
      </c>
      <c r="G702">
        <v>1712000</v>
      </c>
      <c r="H702">
        <v>2667500</v>
      </c>
    </row>
    <row r="703" spans="1:8" x14ac:dyDescent="0.3">
      <c r="A703">
        <v>51036085</v>
      </c>
      <c r="B703" t="str">
        <f>VLOOKUP(A703,VENTAS!$A$2:$B$1195,2,0)</f>
        <v>AYALA</v>
      </c>
      <c r="C703">
        <v>1039000</v>
      </c>
      <c r="D703">
        <v>1686400</v>
      </c>
      <c r="E703">
        <v>1309600</v>
      </c>
      <c r="F703">
        <v>2410000</v>
      </c>
      <c r="G703">
        <v>1593600</v>
      </c>
      <c r="H703">
        <v>2665000</v>
      </c>
    </row>
    <row r="704" spans="1:8" x14ac:dyDescent="0.3">
      <c r="A704">
        <v>51056663</v>
      </c>
      <c r="B704" t="str">
        <f>VLOOKUP(A704,VENTAS!$A$2:$B$1195,2,0)</f>
        <v>LÓPEZ</v>
      </c>
      <c r="C704">
        <v>922000</v>
      </c>
      <c r="D704">
        <v>1922000</v>
      </c>
      <c r="E704">
        <v>1057000</v>
      </c>
      <c r="F704">
        <v>2060000</v>
      </c>
      <c r="G704">
        <v>1584000</v>
      </c>
      <c r="H704">
        <v>2662500</v>
      </c>
    </row>
    <row r="705" spans="1:8" x14ac:dyDescent="0.3">
      <c r="A705">
        <v>51013662</v>
      </c>
      <c r="B705" t="str">
        <f>VLOOKUP(A705,VENTAS!$A$2:$B$1195,2,0)</f>
        <v>PRADES</v>
      </c>
      <c r="C705">
        <v>744200</v>
      </c>
      <c r="D705">
        <v>2173600</v>
      </c>
      <c r="E705">
        <v>1229800</v>
      </c>
      <c r="F705">
        <v>2602000</v>
      </c>
      <c r="G705">
        <v>1777600</v>
      </c>
      <c r="H705">
        <v>2650000</v>
      </c>
    </row>
    <row r="706" spans="1:8" x14ac:dyDescent="0.3">
      <c r="A706">
        <v>51032802</v>
      </c>
      <c r="B706" t="str">
        <f>VLOOKUP(A706,VENTAS!$A$2:$B$1195,2,0)</f>
        <v>AYALA</v>
      </c>
      <c r="C706">
        <v>544800</v>
      </c>
      <c r="D706">
        <v>1173200</v>
      </c>
      <c r="E706">
        <v>779999.99999999988</v>
      </c>
      <c r="F706">
        <v>1572000</v>
      </c>
      <c r="G706">
        <v>1040000</v>
      </c>
      <c r="H706">
        <v>2647500</v>
      </c>
    </row>
    <row r="707" spans="1:8" x14ac:dyDescent="0.3">
      <c r="A707">
        <v>51030371</v>
      </c>
      <c r="B707" t="str">
        <f>VLOOKUP(A707,VENTAS!$A$2:$B$1195,2,0)</f>
        <v>PUGH</v>
      </c>
      <c r="C707">
        <v>924600</v>
      </c>
      <c r="D707">
        <v>1757600</v>
      </c>
      <c r="E707">
        <v>1057400</v>
      </c>
      <c r="F707">
        <v>2272000</v>
      </c>
      <c r="G707">
        <v>1465600</v>
      </c>
      <c r="H707">
        <v>2632500</v>
      </c>
    </row>
    <row r="708" spans="1:8" x14ac:dyDescent="0.3">
      <c r="A708">
        <v>51043758</v>
      </c>
      <c r="B708" t="str">
        <f>VLOOKUP(A708,VENTAS!$A$2:$B$1195,2,0)</f>
        <v>AYALA</v>
      </c>
      <c r="C708">
        <v>579200</v>
      </c>
      <c r="D708">
        <v>1708000</v>
      </c>
      <c r="E708">
        <v>829399.99999999988</v>
      </c>
      <c r="F708">
        <v>2046000</v>
      </c>
      <c r="G708">
        <v>1368000</v>
      </c>
      <c r="H708">
        <v>2632500</v>
      </c>
    </row>
    <row r="709" spans="1:8" x14ac:dyDescent="0.3">
      <c r="A709">
        <v>51020995</v>
      </c>
      <c r="B709" t="str">
        <f>VLOOKUP(A709,VENTAS!$A$2:$B$1195,2,0)</f>
        <v>NELLI</v>
      </c>
      <c r="C709">
        <v>1002000</v>
      </c>
      <c r="D709">
        <v>2096000</v>
      </c>
      <c r="E709">
        <v>882400</v>
      </c>
      <c r="F709">
        <v>2060000</v>
      </c>
      <c r="G709">
        <v>1499200</v>
      </c>
      <c r="H709">
        <v>2625000</v>
      </c>
    </row>
    <row r="710" spans="1:8" x14ac:dyDescent="0.3">
      <c r="A710">
        <v>51005368</v>
      </c>
      <c r="B710" t="str">
        <f>VLOOKUP(A710,VENTAS!$A$2:$B$1195,2,0)</f>
        <v>PRADES</v>
      </c>
      <c r="C710">
        <v>736399.99999999988</v>
      </c>
      <c r="D710">
        <v>1863600</v>
      </c>
      <c r="E710">
        <v>1081400</v>
      </c>
      <c r="F710">
        <v>2126000</v>
      </c>
      <c r="G710">
        <v>1608000</v>
      </c>
      <c r="H710">
        <v>2615000</v>
      </c>
    </row>
    <row r="711" spans="1:8" x14ac:dyDescent="0.3">
      <c r="A711">
        <v>51055829</v>
      </c>
      <c r="B711" t="str">
        <f>VLOOKUP(A711,VENTAS!$A$2:$B$1195,2,0)</f>
        <v>NELLI</v>
      </c>
      <c r="C711">
        <v>581400</v>
      </c>
      <c r="D711">
        <v>1729200</v>
      </c>
      <c r="E711">
        <v>878000</v>
      </c>
      <c r="F711">
        <v>2542000</v>
      </c>
      <c r="G711">
        <v>1065600</v>
      </c>
      <c r="H711">
        <v>2595000</v>
      </c>
    </row>
    <row r="712" spans="1:8" x14ac:dyDescent="0.3">
      <c r="A712">
        <v>51030974</v>
      </c>
      <c r="B712" t="str">
        <f>VLOOKUP(A712,VENTAS!$A$2:$B$1195,2,0)</f>
        <v>CICHETTO</v>
      </c>
      <c r="C712">
        <v>340200</v>
      </c>
      <c r="D712">
        <v>1460000</v>
      </c>
      <c r="E712">
        <v>556400</v>
      </c>
      <c r="F712">
        <v>1412000</v>
      </c>
      <c r="G712">
        <v>1140800</v>
      </c>
      <c r="H712">
        <v>2590000</v>
      </c>
    </row>
    <row r="713" spans="1:8" x14ac:dyDescent="0.3">
      <c r="A713">
        <v>51036107</v>
      </c>
      <c r="B713" t="str">
        <f>VLOOKUP(A713,VENTAS!$A$2:$B$1195,2,0)</f>
        <v>MONTENEGRO</v>
      </c>
      <c r="C713">
        <v>758800</v>
      </c>
      <c r="D713">
        <v>1894400</v>
      </c>
      <c r="E713">
        <v>1179000</v>
      </c>
      <c r="F713">
        <v>2300000</v>
      </c>
      <c r="G713">
        <v>1440000</v>
      </c>
      <c r="H713">
        <v>2590000</v>
      </c>
    </row>
    <row r="714" spans="1:8" x14ac:dyDescent="0.3">
      <c r="A714">
        <v>51042654</v>
      </c>
      <c r="B714" t="str">
        <f>VLOOKUP(A714,VENTAS!$A$2:$B$1195,2,0)</f>
        <v>BELUZZO</v>
      </c>
      <c r="C714">
        <v>728800</v>
      </c>
      <c r="D714">
        <v>1562400</v>
      </c>
      <c r="E714">
        <v>1048600</v>
      </c>
      <c r="F714">
        <v>1676000</v>
      </c>
      <c r="G714">
        <v>1585600</v>
      </c>
      <c r="H714">
        <v>2585000</v>
      </c>
    </row>
    <row r="715" spans="1:8" x14ac:dyDescent="0.3">
      <c r="A715">
        <v>51033191</v>
      </c>
      <c r="B715" t="str">
        <f>VLOOKUP(A715,VENTAS!$A$2:$B$1195,2,0)</f>
        <v>LÓPEZ</v>
      </c>
      <c r="C715">
        <v>1107200</v>
      </c>
      <c r="D715">
        <v>1832400</v>
      </c>
      <c r="E715">
        <v>1431800</v>
      </c>
      <c r="F715">
        <v>1878000</v>
      </c>
      <c r="G715">
        <v>1774400</v>
      </c>
      <c r="H715">
        <v>2580000</v>
      </c>
    </row>
    <row r="716" spans="1:8" x14ac:dyDescent="0.3">
      <c r="A716">
        <v>51031491</v>
      </c>
      <c r="B716" t="str">
        <f>VLOOKUP(A716,VENTAS!$A$2:$B$1195,2,0)</f>
        <v>ARGUELLO</v>
      </c>
      <c r="C716">
        <v>678200</v>
      </c>
      <c r="D716">
        <v>1605200</v>
      </c>
      <c r="E716">
        <v>864800.00000000012</v>
      </c>
      <c r="F716">
        <v>1990000</v>
      </c>
      <c r="G716">
        <v>1304000</v>
      </c>
      <c r="H716">
        <v>2567500</v>
      </c>
    </row>
    <row r="717" spans="1:8" x14ac:dyDescent="0.3">
      <c r="A717">
        <v>51012500</v>
      </c>
      <c r="B717" t="str">
        <f>VLOOKUP(A717,VENTAS!$A$2:$B$1195,2,0)</f>
        <v>ARGUELLO</v>
      </c>
      <c r="C717">
        <v>962000</v>
      </c>
      <c r="D717">
        <v>1650400</v>
      </c>
      <c r="E717">
        <v>1253800</v>
      </c>
      <c r="F717">
        <v>1986000</v>
      </c>
      <c r="G717">
        <v>1659200</v>
      </c>
      <c r="H717">
        <v>2562500</v>
      </c>
    </row>
    <row r="718" spans="1:8" x14ac:dyDescent="0.3">
      <c r="A718">
        <v>51055667</v>
      </c>
      <c r="B718" t="str">
        <f>VLOOKUP(A718,VENTAS!$A$2:$B$1195,2,0)</f>
        <v>AYALA</v>
      </c>
      <c r="C718">
        <v>753400.00000000012</v>
      </c>
      <c r="D718">
        <v>1506000</v>
      </c>
      <c r="E718">
        <v>958800.00000000012</v>
      </c>
      <c r="F718">
        <v>2000000</v>
      </c>
      <c r="G718">
        <v>1288000</v>
      </c>
      <c r="H718">
        <v>2560000</v>
      </c>
    </row>
    <row r="719" spans="1:8" x14ac:dyDescent="0.3">
      <c r="A719">
        <v>51013913</v>
      </c>
      <c r="B719" t="str">
        <f>VLOOKUP(A719,VENTAS!$A$2:$B$1195,2,0)</f>
        <v>BELUZZO</v>
      </c>
      <c r="C719">
        <v>516200</v>
      </c>
      <c r="D719">
        <v>1017600</v>
      </c>
      <c r="E719">
        <v>674000</v>
      </c>
      <c r="F719">
        <v>1096000</v>
      </c>
      <c r="G719">
        <v>900800</v>
      </c>
      <c r="H719">
        <v>2557500</v>
      </c>
    </row>
    <row r="720" spans="1:8" x14ac:dyDescent="0.3">
      <c r="A720">
        <v>51029488</v>
      </c>
      <c r="B720" t="str">
        <f>VLOOKUP(A720,VENTAS!$A$2:$B$1195,2,0)</f>
        <v>PRADES</v>
      </c>
      <c r="C720">
        <v>772200</v>
      </c>
      <c r="D720">
        <v>1412800</v>
      </c>
      <c r="E720">
        <v>949200</v>
      </c>
      <c r="F720">
        <v>1874000</v>
      </c>
      <c r="G720">
        <v>1424000</v>
      </c>
      <c r="H720">
        <v>2545000</v>
      </c>
    </row>
    <row r="721" spans="1:8" x14ac:dyDescent="0.3">
      <c r="A721">
        <v>51016637</v>
      </c>
      <c r="B721" t="str">
        <f>VLOOKUP(A721,VENTAS!$A$2:$B$1195,2,0)</f>
        <v>AYALA</v>
      </c>
      <c r="C721">
        <v>515800</v>
      </c>
      <c r="D721">
        <v>1269600</v>
      </c>
      <c r="E721">
        <v>654600</v>
      </c>
      <c r="F721">
        <v>1664000</v>
      </c>
      <c r="G721">
        <v>908799.99999999988</v>
      </c>
      <c r="H721">
        <v>2540000</v>
      </c>
    </row>
    <row r="722" spans="1:8" x14ac:dyDescent="0.3">
      <c r="A722">
        <v>51021584</v>
      </c>
      <c r="B722" t="str">
        <f>VLOOKUP(A722,VENTAS!$A$2:$B$1195,2,0)</f>
        <v>CICHETTO</v>
      </c>
      <c r="C722">
        <v>1095000</v>
      </c>
      <c r="D722">
        <v>1969600</v>
      </c>
      <c r="E722">
        <v>1380200</v>
      </c>
      <c r="F722">
        <v>2334000</v>
      </c>
      <c r="G722">
        <v>1708800</v>
      </c>
      <c r="H722">
        <v>2522500</v>
      </c>
    </row>
    <row r="723" spans="1:8" x14ac:dyDescent="0.3">
      <c r="A723">
        <v>51025296</v>
      </c>
      <c r="B723" t="str">
        <f>VLOOKUP(A723,VENTAS!$A$2:$B$1195,2,0)</f>
        <v>MONTENEGRO</v>
      </c>
      <c r="C723">
        <v>1033600</v>
      </c>
      <c r="D723">
        <v>1801200</v>
      </c>
      <c r="E723">
        <v>1296800</v>
      </c>
      <c r="F723">
        <v>2318000</v>
      </c>
      <c r="G723">
        <v>1641600</v>
      </c>
      <c r="H723">
        <v>2517500</v>
      </c>
    </row>
    <row r="724" spans="1:8" x14ac:dyDescent="0.3">
      <c r="A724">
        <v>51022670</v>
      </c>
      <c r="B724" t="str">
        <f>VLOOKUP(A724,VENTAS!$A$2:$B$1195,2,0)</f>
        <v>MONTENEGRO</v>
      </c>
      <c r="C724">
        <v>752000</v>
      </c>
      <c r="D724">
        <v>1555600</v>
      </c>
      <c r="E724">
        <v>1137600</v>
      </c>
      <c r="F724">
        <v>1946000</v>
      </c>
      <c r="G724">
        <v>1552000</v>
      </c>
      <c r="H724">
        <v>2512500</v>
      </c>
    </row>
    <row r="725" spans="1:8" x14ac:dyDescent="0.3">
      <c r="A725">
        <v>51031881</v>
      </c>
      <c r="B725" t="str">
        <f>VLOOKUP(A725,VENTAS!$A$2:$B$1195,2,0)</f>
        <v>MONTENEGRO</v>
      </c>
      <c r="C725">
        <v>496000</v>
      </c>
      <c r="D725">
        <v>1643200</v>
      </c>
      <c r="E725">
        <v>722800</v>
      </c>
      <c r="F725">
        <v>1980000</v>
      </c>
      <c r="G725">
        <v>1324800</v>
      </c>
      <c r="H725">
        <v>2505000</v>
      </c>
    </row>
    <row r="726" spans="1:8" x14ac:dyDescent="0.3">
      <c r="A726">
        <v>51036182</v>
      </c>
      <c r="B726" t="str">
        <f>VLOOKUP(A726,VENTAS!$A$2:$B$1195,2,0)</f>
        <v>PRADES</v>
      </c>
      <c r="C726">
        <v>605200</v>
      </c>
      <c r="D726">
        <v>1348400</v>
      </c>
      <c r="E726">
        <v>838800</v>
      </c>
      <c r="F726">
        <v>1982000</v>
      </c>
      <c r="G726">
        <v>1035200</v>
      </c>
      <c r="H726">
        <v>2497500</v>
      </c>
    </row>
    <row r="727" spans="1:8" x14ac:dyDescent="0.3">
      <c r="A727">
        <v>51025873</v>
      </c>
      <c r="B727" t="str">
        <f>VLOOKUP(A727,VENTAS!$A$2:$B$1195,2,0)</f>
        <v>ROBERTS</v>
      </c>
      <c r="C727">
        <v>797000</v>
      </c>
      <c r="D727">
        <v>1426000</v>
      </c>
      <c r="E727">
        <v>873999.99999999988</v>
      </c>
      <c r="F727">
        <v>1924000</v>
      </c>
      <c r="G727">
        <v>1448000</v>
      </c>
      <c r="H727">
        <v>2482500</v>
      </c>
    </row>
    <row r="728" spans="1:8" x14ac:dyDescent="0.3">
      <c r="A728">
        <v>51021380</v>
      </c>
      <c r="B728" t="str">
        <f>VLOOKUP(A728,VENTAS!$A$2:$B$1195,2,0)</f>
        <v>LÓPEZ</v>
      </c>
      <c r="C728">
        <v>754200</v>
      </c>
      <c r="D728">
        <v>1897600</v>
      </c>
      <c r="E728">
        <v>1058600</v>
      </c>
      <c r="F728">
        <v>2182000</v>
      </c>
      <c r="G728">
        <v>1512000</v>
      </c>
      <c r="H728">
        <v>2477500</v>
      </c>
    </row>
    <row r="729" spans="1:8" x14ac:dyDescent="0.3">
      <c r="A729">
        <v>51013271</v>
      </c>
      <c r="B729" t="str">
        <f>VLOOKUP(A729,VENTAS!$A$2:$B$1195,2,0)</f>
        <v>METTLER</v>
      </c>
      <c r="C729">
        <v>688000</v>
      </c>
      <c r="D729">
        <v>1367200</v>
      </c>
      <c r="E729">
        <v>920599.99999999988</v>
      </c>
      <c r="F729">
        <v>1788000</v>
      </c>
      <c r="G729">
        <v>1262400</v>
      </c>
      <c r="H729">
        <v>2470000</v>
      </c>
    </row>
    <row r="730" spans="1:8" x14ac:dyDescent="0.3">
      <c r="A730">
        <v>51016866</v>
      </c>
      <c r="B730" t="str">
        <f>VLOOKUP(A730,VENTAS!$A$2:$B$1195,2,0)</f>
        <v>BELUZZO</v>
      </c>
      <c r="C730">
        <v>702400</v>
      </c>
      <c r="D730">
        <v>1726800</v>
      </c>
      <c r="E730">
        <v>963000.00000000012</v>
      </c>
      <c r="F730">
        <v>1992000</v>
      </c>
      <c r="G730">
        <v>1542400</v>
      </c>
      <c r="H730">
        <v>2460000</v>
      </c>
    </row>
    <row r="731" spans="1:8" x14ac:dyDescent="0.3">
      <c r="A731">
        <v>51033655</v>
      </c>
      <c r="B731" t="str">
        <f>VLOOKUP(A731,VENTAS!$A$2:$B$1195,2,0)</f>
        <v>METTLER</v>
      </c>
      <c r="C731">
        <v>631200</v>
      </c>
      <c r="D731">
        <v>1678800</v>
      </c>
      <c r="E731">
        <v>866400.00000000012</v>
      </c>
      <c r="F731">
        <v>1864000</v>
      </c>
      <c r="G731">
        <v>1169600</v>
      </c>
      <c r="H731">
        <v>2460000</v>
      </c>
    </row>
    <row r="732" spans="1:8" x14ac:dyDescent="0.3">
      <c r="A732">
        <v>51021215</v>
      </c>
      <c r="B732" t="str">
        <f>VLOOKUP(A732,VENTAS!$A$2:$B$1195,2,0)</f>
        <v>AYALA</v>
      </c>
      <c r="C732">
        <v>844999.99999999988</v>
      </c>
      <c r="D732">
        <v>1873200</v>
      </c>
      <c r="E732">
        <v>1161600</v>
      </c>
      <c r="F732">
        <v>1974000</v>
      </c>
      <c r="G732">
        <v>1763200</v>
      </c>
      <c r="H732">
        <v>2457500</v>
      </c>
    </row>
    <row r="733" spans="1:8" x14ac:dyDescent="0.3">
      <c r="A733">
        <v>51036981</v>
      </c>
      <c r="B733" t="str">
        <f>VLOOKUP(A733,VENTAS!$A$2:$B$1195,2,0)</f>
        <v>CICHETTO</v>
      </c>
      <c r="C733">
        <v>877999.99999999988</v>
      </c>
      <c r="D733">
        <v>1838000</v>
      </c>
      <c r="E733">
        <v>1118800</v>
      </c>
      <c r="F733">
        <v>1814000</v>
      </c>
      <c r="G733">
        <v>1508800</v>
      </c>
      <c r="H733">
        <v>2450000</v>
      </c>
    </row>
    <row r="734" spans="1:8" x14ac:dyDescent="0.3">
      <c r="A734">
        <v>51025792</v>
      </c>
      <c r="B734" t="str">
        <f>VLOOKUP(A734,VENTAS!$A$2:$B$1195,2,0)</f>
        <v>METTLER</v>
      </c>
      <c r="C734">
        <v>921000</v>
      </c>
      <c r="D734">
        <v>2406400</v>
      </c>
      <c r="E734">
        <v>1369200</v>
      </c>
      <c r="F734">
        <v>2094000</v>
      </c>
      <c r="G734">
        <v>1920000</v>
      </c>
      <c r="H734">
        <v>2447500</v>
      </c>
    </row>
    <row r="735" spans="1:8" x14ac:dyDescent="0.3">
      <c r="A735">
        <v>51038673</v>
      </c>
      <c r="B735" t="str">
        <f>VLOOKUP(A735,VENTAS!$A$2:$B$1195,2,0)</f>
        <v>NELLI</v>
      </c>
      <c r="C735">
        <v>1596800</v>
      </c>
      <c r="D735">
        <v>3454400</v>
      </c>
      <c r="E735">
        <v>2057800</v>
      </c>
      <c r="F735">
        <v>3668000</v>
      </c>
      <c r="G735">
        <v>3140800</v>
      </c>
      <c r="H735">
        <v>2447500</v>
      </c>
    </row>
    <row r="736" spans="1:8" x14ac:dyDescent="0.3">
      <c r="A736">
        <v>51020189</v>
      </c>
      <c r="B736" t="str">
        <f>VLOOKUP(A736,VENTAS!$A$2:$B$1195,2,0)</f>
        <v>BELUZZO</v>
      </c>
      <c r="C736">
        <v>434400</v>
      </c>
      <c r="D736">
        <v>1375600</v>
      </c>
      <c r="E736">
        <v>669000</v>
      </c>
      <c r="F736">
        <v>2136000</v>
      </c>
      <c r="G736">
        <v>854400</v>
      </c>
      <c r="H736">
        <v>2445000</v>
      </c>
    </row>
    <row r="737" spans="1:8" x14ac:dyDescent="0.3">
      <c r="A737">
        <v>51025245</v>
      </c>
      <c r="B737" t="str">
        <f>VLOOKUP(A737,VENTAS!$A$2:$B$1195,2,0)</f>
        <v>PUGH</v>
      </c>
      <c r="C737">
        <v>706600</v>
      </c>
      <c r="D737">
        <v>1451200</v>
      </c>
      <c r="E737">
        <v>1117400</v>
      </c>
      <c r="F737">
        <v>1760000</v>
      </c>
      <c r="G737">
        <v>1366400</v>
      </c>
      <c r="H737">
        <v>2440000</v>
      </c>
    </row>
    <row r="738" spans="1:8" x14ac:dyDescent="0.3">
      <c r="A738">
        <v>51026071</v>
      </c>
      <c r="B738" t="str">
        <f>VLOOKUP(A738,VENTAS!$A$2:$B$1195,2,0)</f>
        <v>PRADES</v>
      </c>
      <c r="C738">
        <v>503000</v>
      </c>
      <c r="D738">
        <v>1175600</v>
      </c>
      <c r="E738">
        <v>709400</v>
      </c>
      <c r="F738">
        <v>1950000</v>
      </c>
      <c r="G738">
        <v>1086400</v>
      </c>
      <c r="H738">
        <v>2440000</v>
      </c>
    </row>
    <row r="739" spans="1:8" x14ac:dyDescent="0.3">
      <c r="A739">
        <v>51039785</v>
      </c>
      <c r="B739" t="str">
        <f>VLOOKUP(A739,VENTAS!$A$2:$B$1195,2,0)</f>
        <v>MONTENEGRO</v>
      </c>
      <c r="C739">
        <v>710600</v>
      </c>
      <c r="D739">
        <v>1574400</v>
      </c>
      <c r="E739">
        <v>1116600</v>
      </c>
      <c r="F739">
        <v>1836000</v>
      </c>
      <c r="G739">
        <v>1374400</v>
      </c>
      <c r="H739">
        <v>2440000</v>
      </c>
    </row>
    <row r="740" spans="1:8" x14ac:dyDescent="0.3">
      <c r="A740">
        <v>51056906</v>
      </c>
      <c r="B740" t="str">
        <f>VLOOKUP(A740,VENTAS!$A$2:$B$1195,2,0)</f>
        <v>PRADES</v>
      </c>
      <c r="C740">
        <v>926400</v>
      </c>
      <c r="D740">
        <v>1962000</v>
      </c>
      <c r="E740">
        <v>1269800</v>
      </c>
      <c r="F740">
        <v>2204000</v>
      </c>
      <c r="G740">
        <v>1619200</v>
      </c>
      <c r="H740">
        <v>2440000</v>
      </c>
    </row>
    <row r="741" spans="1:8" x14ac:dyDescent="0.3">
      <c r="A741">
        <v>51004761</v>
      </c>
      <c r="B741" t="str">
        <f>VLOOKUP(A741,VENTAS!$A$2:$B$1195,2,0)</f>
        <v>CICHETTO</v>
      </c>
      <c r="C741">
        <v>1038200</v>
      </c>
      <c r="D741">
        <v>1866000</v>
      </c>
      <c r="E741">
        <v>1431000</v>
      </c>
      <c r="F741">
        <v>1970000</v>
      </c>
      <c r="G741">
        <v>1960000</v>
      </c>
      <c r="H741">
        <v>2437500</v>
      </c>
    </row>
    <row r="742" spans="1:8" x14ac:dyDescent="0.3">
      <c r="A742">
        <v>51012411</v>
      </c>
      <c r="B742" t="str">
        <f>VLOOKUP(A742,VENTAS!$A$2:$B$1195,2,0)</f>
        <v>ROBERTS</v>
      </c>
      <c r="C742">
        <v>962200</v>
      </c>
      <c r="D742">
        <v>1981200</v>
      </c>
      <c r="E742">
        <v>1314800</v>
      </c>
      <c r="F742">
        <v>866000</v>
      </c>
      <c r="G742">
        <v>1881600</v>
      </c>
      <c r="H742">
        <v>2430000</v>
      </c>
    </row>
    <row r="743" spans="1:8" x14ac:dyDescent="0.3">
      <c r="A743">
        <v>51016467</v>
      </c>
      <c r="B743" t="str">
        <f>VLOOKUP(A743,VENTAS!$A$2:$B$1195,2,0)</f>
        <v>MONTENEGRO</v>
      </c>
      <c r="C743">
        <v>699400</v>
      </c>
      <c r="D743">
        <v>1777200</v>
      </c>
      <c r="E743">
        <v>837400</v>
      </c>
      <c r="F743">
        <v>2068000</v>
      </c>
      <c r="G743">
        <v>1350400</v>
      </c>
      <c r="H743">
        <v>2430000</v>
      </c>
    </row>
    <row r="744" spans="1:8" x14ac:dyDescent="0.3">
      <c r="A744">
        <v>51055861</v>
      </c>
      <c r="B744" t="str">
        <f>VLOOKUP(A744,VENTAS!$A$2:$B$1195,2,0)</f>
        <v>PRADES</v>
      </c>
      <c r="C744">
        <v>1067800</v>
      </c>
      <c r="D744">
        <v>1790800</v>
      </c>
      <c r="E744">
        <v>1296600</v>
      </c>
      <c r="F744">
        <v>2090000</v>
      </c>
      <c r="G744">
        <v>1673600</v>
      </c>
      <c r="H744">
        <v>2422500</v>
      </c>
    </row>
    <row r="745" spans="1:8" x14ac:dyDescent="0.3">
      <c r="A745">
        <v>51002539</v>
      </c>
      <c r="B745" t="str">
        <f>VLOOKUP(A745,VENTAS!$A$2:$B$1195,2,0)</f>
        <v>ARGUELLO</v>
      </c>
      <c r="C745">
        <v>672400</v>
      </c>
      <c r="D745">
        <v>1669200</v>
      </c>
      <c r="E745">
        <v>870599.99999999988</v>
      </c>
      <c r="F745">
        <v>2536000</v>
      </c>
      <c r="G745">
        <v>1345600</v>
      </c>
      <c r="H745">
        <v>2417500</v>
      </c>
    </row>
    <row r="746" spans="1:8" x14ac:dyDescent="0.3">
      <c r="A746">
        <v>51033001</v>
      </c>
      <c r="B746" t="str">
        <f>VLOOKUP(A746,VENTAS!$A$2:$B$1195,2,0)</f>
        <v>ROBERTS</v>
      </c>
      <c r="C746">
        <v>653000</v>
      </c>
      <c r="D746">
        <v>1414800</v>
      </c>
      <c r="E746">
        <v>1051400</v>
      </c>
      <c r="F746">
        <v>1724000</v>
      </c>
      <c r="G746">
        <v>1228800</v>
      </c>
      <c r="H746">
        <v>2402500</v>
      </c>
    </row>
    <row r="747" spans="1:8" x14ac:dyDescent="0.3">
      <c r="A747">
        <v>51032969</v>
      </c>
      <c r="B747" t="str">
        <f>VLOOKUP(A747,VENTAS!$A$2:$B$1195,2,0)</f>
        <v>MONTENEGRO</v>
      </c>
      <c r="C747">
        <v>993400</v>
      </c>
      <c r="D747">
        <v>1804400</v>
      </c>
      <c r="E747">
        <v>1219200</v>
      </c>
      <c r="F747">
        <v>2128000</v>
      </c>
      <c r="G747">
        <v>1673600</v>
      </c>
      <c r="H747">
        <v>2397500</v>
      </c>
    </row>
    <row r="748" spans="1:8" x14ac:dyDescent="0.3">
      <c r="A748">
        <v>51033485</v>
      </c>
      <c r="B748" t="str">
        <f>VLOOKUP(A748,VENTAS!$A$2:$B$1195,2,0)</f>
        <v>BELUZZO</v>
      </c>
      <c r="C748">
        <v>750600</v>
      </c>
      <c r="D748">
        <v>1544800</v>
      </c>
      <c r="E748">
        <v>1019600</v>
      </c>
      <c r="F748">
        <v>2098000</v>
      </c>
      <c r="G748">
        <v>1561600</v>
      </c>
      <c r="H748">
        <v>2395000</v>
      </c>
    </row>
    <row r="749" spans="1:8" x14ac:dyDescent="0.3">
      <c r="A749">
        <v>51014120</v>
      </c>
      <c r="B749" t="str">
        <f>VLOOKUP(A749,VENTAS!$A$2:$B$1195,2,0)</f>
        <v>METTLER</v>
      </c>
      <c r="C749">
        <v>789800</v>
      </c>
      <c r="D749">
        <v>1756400</v>
      </c>
      <c r="E749">
        <v>1154800</v>
      </c>
      <c r="F749">
        <v>1984000</v>
      </c>
      <c r="G749">
        <v>1544000</v>
      </c>
      <c r="H749">
        <v>2392500</v>
      </c>
    </row>
    <row r="750" spans="1:8" x14ac:dyDescent="0.3">
      <c r="A750">
        <v>51036603</v>
      </c>
      <c r="B750" t="str">
        <f>VLOOKUP(A750,VENTAS!$A$2:$B$1195,2,0)</f>
        <v>CICHETTO</v>
      </c>
      <c r="C750">
        <v>1096800</v>
      </c>
      <c r="D750">
        <v>1666000</v>
      </c>
      <c r="E750">
        <v>1437600</v>
      </c>
      <c r="F750">
        <v>2054000</v>
      </c>
      <c r="G750">
        <v>1891200</v>
      </c>
      <c r="H750">
        <v>2392500</v>
      </c>
    </row>
    <row r="751" spans="1:8" x14ac:dyDescent="0.3">
      <c r="A751">
        <v>51038754</v>
      </c>
      <c r="B751" t="str">
        <f>VLOOKUP(A751,VENTAS!$A$2:$B$1195,2,0)</f>
        <v>ROBERTS</v>
      </c>
      <c r="C751">
        <v>478400</v>
      </c>
      <c r="D751">
        <v>1172000</v>
      </c>
      <c r="E751">
        <v>631600</v>
      </c>
      <c r="F751">
        <v>1554000</v>
      </c>
      <c r="G751">
        <v>934400</v>
      </c>
      <c r="H751">
        <v>2387500</v>
      </c>
    </row>
    <row r="752" spans="1:8" x14ac:dyDescent="0.3">
      <c r="A752">
        <v>51012593</v>
      </c>
      <c r="B752" t="str">
        <f>VLOOKUP(A752,VENTAS!$A$2:$B$1195,2,0)</f>
        <v>ROBERTS</v>
      </c>
      <c r="C752">
        <v>706400.00000000012</v>
      </c>
      <c r="D752">
        <v>1163200</v>
      </c>
      <c r="E752">
        <v>1072200</v>
      </c>
      <c r="F752">
        <v>1862000</v>
      </c>
      <c r="G752">
        <v>1300800</v>
      </c>
      <c r="H752">
        <v>2380000</v>
      </c>
    </row>
    <row r="753" spans="1:8" x14ac:dyDescent="0.3">
      <c r="A753">
        <v>51056728</v>
      </c>
      <c r="B753" t="str">
        <f>VLOOKUP(A753,VENTAS!$A$2:$B$1195,2,0)</f>
        <v>CICHETTO</v>
      </c>
      <c r="C753">
        <v>645800</v>
      </c>
      <c r="D753">
        <v>1762800</v>
      </c>
      <c r="E753">
        <v>945200</v>
      </c>
      <c r="F753">
        <v>2004000</v>
      </c>
      <c r="G753">
        <v>1528000</v>
      </c>
      <c r="H753">
        <v>2377500</v>
      </c>
    </row>
    <row r="754" spans="1:8" x14ac:dyDescent="0.3">
      <c r="A754">
        <v>51016777</v>
      </c>
      <c r="B754" t="str">
        <f>VLOOKUP(A754,VENTAS!$A$2:$B$1195,2,0)</f>
        <v>AYALA</v>
      </c>
      <c r="C754">
        <v>814600</v>
      </c>
      <c r="D754">
        <v>1504400</v>
      </c>
      <c r="E754">
        <v>867400.00000000012</v>
      </c>
      <c r="F754">
        <v>1798000</v>
      </c>
      <c r="G754">
        <v>1376000</v>
      </c>
      <c r="H754">
        <v>2375000</v>
      </c>
    </row>
    <row r="755" spans="1:8" x14ac:dyDescent="0.3">
      <c r="A755">
        <v>51033086</v>
      </c>
      <c r="B755" t="str">
        <f>VLOOKUP(A755,VENTAS!$A$2:$B$1195,2,0)</f>
        <v>MONTENEGRO</v>
      </c>
      <c r="C755">
        <v>1029000</v>
      </c>
      <c r="D755">
        <v>1412000</v>
      </c>
      <c r="E755">
        <v>923199.99999999988</v>
      </c>
      <c r="F755">
        <v>2040000</v>
      </c>
      <c r="G755">
        <v>1057600</v>
      </c>
      <c r="H755">
        <v>2370000</v>
      </c>
    </row>
    <row r="756" spans="1:8" x14ac:dyDescent="0.3">
      <c r="A756">
        <v>51042158</v>
      </c>
      <c r="B756" t="str">
        <f>VLOOKUP(A756,VENTAS!$A$2:$B$1195,2,0)</f>
        <v>CICHETTO</v>
      </c>
      <c r="C756">
        <v>520200</v>
      </c>
      <c r="D756">
        <v>1688000</v>
      </c>
      <c r="E756">
        <v>1018200</v>
      </c>
      <c r="F756">
        <v>2530000</v>
      </c>
      <c r="G756">
        <v>1464000</v>
      </c>
      <c r="H756">
        <v>2370000</v>
      </c>
    </row>
    <row r="757" spans="1:8" x14ac:dyDescent="0.3">
      <c r="A757">
        <v>51030141</v>
      </c>
      <c r="B757" t="str">
        <f>VLOOKUP(A757,VENTAS!$A$2:$B$1195,2,0)</f>
        <v>ROBERTS</v>
      </c>
      <c r="C757">
        <v>775999.99999999988</v>
      </c>
      <c r="D757">
        <v>1823200</v>
      </c>
      <c r="E757">
        <v>1036600</v>
      </c>
      <c r="F757">
        <v>1942000</v>
      </c>
      <c r="G757">
        <v>1512000</v>
      </c>
      <c r="H757">
        <v>2365000</v>
      </c>
    </row>
    <row r="758" spans="1:8" x14ac:dyDescent="0.3">
      <c r="A758">
        <v>51041887</v>
      </c>
      <c r="B758" t="str">
        <f>VLOOKUP(A758,VENTAS!$A$2:$B$1195,2,0)</f>
        <v>BELUZZO</v>
      </c>
      <c r="C758">
        <v>726800</v>
      </c>
      <c r="D758">
        <v>1319600</v>
      </c>
      <c r="E758">
        <v>885400</v>
      </c>
      <c r="F758">
        <v>1692000</v>
      </c>
      <c r="G758">
        <v>1430400</v>
      </c>
      <c r="H758">
        <v>2357500</v>
      </c>
    </row>
    <row r="759" spans="1:8" x14ac:dyDescent="0.3">
      <c r="A759">
        <v>51056957</v>
      </c>
      <c r="B759" t="str">
        <f>VLOOKUP(A759,VENTAS!$A$2:$B$1195,2,0)</f>
        <v>PRADES</v>
      </c>
      <c r="C759">
        <v>728800</v>
      </c>
      <c r="D759">
        <v>1536400</v>
      </c>
      <c r="E759">
        <v>948800</v>
      </c>
      <c r="F759">
        <v>2298000</v>
      </c>
      <c r="G759">
        <v>1225600</v>
      </c>
      <c r="H759">
        <v>2357500</v>
      </c>
    </row>
    <row r="760" spans="1:8" x14ac:dyDescent="0.3">
      <c r="A760">
        <v>51042506</v>
      </c>
      <c r="B760" t="str">
        <f>VLOOKUP(A760,VENTAS!$A$2:$B$1195,2,0)</f>
        <v>BELUZZO</v>
      </c>
      <c r="C760">
        <v>733200</v>
      </c>
      <c r="D760">
        <v>1358800</v>
      </c>
      <c r="E760">
        <v>955000</v>
      </c>
      <c r="F760">
        <v>1768000</v>
      </c>
      <c r="G760">
        <v>1444800</v>
      </c>
      <c r="H760">
        <v>2355000</v>
      </c>
    </row>
    <row r="761" spans="1:8" x14ac:dyDescent="0.3">
      <c r="A761">
        <v>51010426</v>
      </c>
      <c r="B761" t="str">
        <f>VLOOKUP(A761,VENTAS!$A$2:$B$1195,2,0)</f>
        <v>METTLER</v>
      </c>
      <c r="C761">
        <v>737800</v>
      </c>
      <c r="D761">
        <v>1529200</v>
      </c>
      <c r="E761">
        <v>1054000</v>
      </c>
      <c r="F761">
        <v>1942000</v>
      </c>
      <c r="G761">
        <v>1393600</v>
      </c>
      <c r="H761">
        <v>2347500</v>
      </c>
    </row>
    <row r="762" spans="1:8" x14ac:dyDescent="0.3">
      <c r="A762">
        <v>51013611</v>
      </c>
      <c r="B762" t="str">
        <f>VLOOKUP(A762,VENTAS!$A$2:$B$1195,2,0)</f>
        <v>METTLER</v>
      </c>
      <c r="C762">
        <v>681600</v>
      </c>
      <c r="D762">
        <v>1547200</v>
      </c>
      <c r="E762">
        <v>942400</v>
      </c>
      <c r="F762">
        <v>1914000</v>
      </c>
      <c r="G762">
        <v>1368000</v>
      </c>
      <c r="H762">
        <v>2335000</v>
      </c>
    </row>
    <row r="763" spans="1:8" x14ac:dyDescent="0.3">
      <c r="A763">
        <v>51033621</v>
      </c>
      <c r="B763" t="str">
        <f>VLOOKUP(A763,VENTAS!$A$2:$B$1195,2,0)</f>
        <v>AYALA</v>
      </c>
      <c r="C763">
        <v>775000</v>
      </c>
      <c r="D763">
        <v>1678400</v>
      </c>
      <c r="E763">
        <v>875199.99999999988</v>
      </c>
      <c r="F763">
        <v>1882000</v>
      </c>
      <c r="G763">
        <v>1284800</v>
      </c>
      <c r="H763">
        <v>2335000</v>
      </c>
    </row>
    <row r="764" spans="1:8" x14ac:dyDescent="0.3">
      <c r="A764">
        <v>51022084</v>
      </c>
      <c r="B764" t="str">
        <f>VLOOKUP(A764,VENTAS!$A$2:$B$1195,2,0)</f>
        <v>NELLI</v>
      </c>
      <c r="C764">
        <v>679800</v>
      </c>
      <c r="D764">
        <v>1543600</v>
      </c>
      <c r="E764">
        <v>769200</v>
      </c>
      <c r="F764">
        <v>1702000</v>
      </c>
      <c r="G764">
        <v>924800.00000000012</v>
      </c>
      <c r="H764">
        <v>2330000</v>
      </c>
    </row>
    <row r="765" spans="1:8" x14ac:dyDescent="0.3">
      <c r="A765">
        <v>51056701</v>
      </c>
      <c r="B765" t="str">
        <f>VLOOKUP(A765,VENTAS!$A$2:$B$1195,2,0)</f>
        <v>CICHETTO</v>
      </c>
      <c r="C765">
        <v>729200</v>
      </c>
      <c r="D765">
        <v>1512800</v>
      </c>
      <c r="E765">
        <v>1169400</v>
      </c>
      <c r="F765">
        <v>1790000</v>
      </c>
      <c r="G765">
        <v>1478400</v>
      </c>
      <c r="H765">
        <v>2292500</v>
      </c>
    </row>
    <row r="766" spans="1:8" x14ac:dyDescent="0.3">
      <c r="A766">
        <v>51036697</v>
      </c>
      <c r="B766" t="str">
        <f>VLOOKUP(A766,VENTAS!$A$2:$B$1195,2,0)</f>
        <v>ROBERTS</v>
      </c>
      <c r="C766">
        <v>803800</v>
      </c>
      <c r="D766">
        <v>1318400</v>
      </c>
      <c r="E766">
        <v>1048000</v>
      </c>
      <c r="F766">
        <v>1830000</v>
      </c>
      <c r="G766">
        <v>1328000</v>
      </c>
      <c r="H766">
        <v>2290000</v>
      </c>
    </row>
    <row r="767" spans="1:8" x14ac:dyDescent="0.3">
      <c r="A767">
        <v>51010205</v>
      </c>
      <c r="B767" t="str">
        <f>VLOOKUP(A767,VENTAS!$A$2:$B$1195,2,0)</f>
        <v>MONTENEGRO</v>
      </c>
      <c r="C767">
        <v>918600</v>
      </c>
      <c r="D767">
        <v>1291600</v>
      </c>
      <c r="E767">
        <v>931600</v>
      </c>
      <c r="F767">
        <v>1740000</v>
      </c>
      <c r="G767">
        <v>1286400</v>
      </c>
      <c r="H767">
        <v>2285000</v>
      </c>
    </row>
    <row r="768" spans="1:8" x14ac:dyDescent="0.3">
      <c r="A768">
        <v>51032918</v>
      </c>
      <c r="B768" t="str">
        <f>VLOOKUP(A768,VENTAS!$A$2:$B$1195,2,0)</f>
        <v>LÓPEZ</v>
      </c>
      <c r="C768">
        <v>704200.00000000012</v>
      </c>
      <c r="D768">
        <v>1828400</v>
      </c>
      <c r="E768">
        <v>1078000</v>
      </c>
      <c r="F768">
        <v>2086000</v>
      </c>
      <c r="G768">
        <v>1320000</v>
      </c>
      <c r="H768">
        <v>2282500</v>
      </c>
    </row>
    <row r="769" spans="1:8" x14ac:dyDescent="0.3">
      <c r="A769">
        <v>51019253</v>
      </c>
      <c r="B769" t="str">
        <f>VLOOKUP(A769,VENTAS!$A$2:$B$1195,2,0)</f>
        <v>PRADES</v>
      </c>
      <c r="C769">
        <v>562600</v>
      </c>
      <c r="D769">
        <v>985600</v>
      </c>
      <c r="E769">
        <v>775800</v>
      </c>
      <c r="F769">
        <v>1878000</v>
      </c>
      <c r="G769">
        <v>993600</v>
      </c>
      <c r="H769">
        <v>2277500</v>
      </c>
    </row>
    <row r="770" spans="1:8" x14ac:dyDescent="0.3">
      <c r="A770">
        <v>51018257</v>
      </c>
      <c r="B770" t="str">
        <f>VLOOKUP(A770,VENTAS!$A$2:$B$1195,2,0)</f>
        <v>ARGUELLO</v>
      </c>
      <c r="C770">
        <v>801800.00000000012</v>
      </c>
      <c r="D770">
        <v>1548400</v>
      </c>
      <c r="E770">
        <v>1206400</v>
      </c>
      <c r="F770">
        <v>1828000</v>
      </c>
      <c r="G770">
        <v>1561600</v>
      </c>
      <c r="H770">
        <v>2272500</v>
      </c>
    </row>
    <row r="771" spans="1:8" x14ac:dyDescent="0.3">
      <c r="A771">
        <v>51023412</v>
      </c>
      <c r="B771" t="str">
        <f>VLOOKUP(A771,VENTAS!$A$2:$B$1195,2,0)</f>
        <v>LÓPEZ</v>
      </c>
      <c r="C771">
        <v>682200</v>
      </c>
      <c r="D771">
        <v>1211200</v>
      </c>
      <c r="E771">
        <v>980800</v>
      </c>
      <c r="F771">
        <v>1690000</v>
      </c>
      <c r="G771">
        <v>1238400</v>
      </c>
      <c r="H771">
        <v>2265000</v>
      </c>
    </row>
    <row r="772" spans="1:8" x14ac:dyDescent="0.3">
      <c r="A772">
        <v>51017595</v>
      </c>
      <c r="B772" t="str">
        <f>VLOOKUP(A772,VENTAS!$A$2:$B$1195,2,0)</f>
        <v>MONTENEGRO</v>
      </c>
      <c r="C772">
        <v>620200</v>
      </c>
      <c r="D772">
        <v>1528800</v>
      </c>
      <c r="E772">
        <v>788400</v>
      </c>
      <c r="F772">
        <v>1634000</v>
      </c>
      <c r="G772">
        <v>1368000</v>
      </c>
      <c r="H772">
        <v>2262500</v>
      </c>
    </row>
    <row r="773" spans="1:8" x14ac:dyDescent="0.3">
      <c r="A773">
        <v>51056515</v>
      </c>
      <c r="B773" t="str">
        <f>VLOOKUP(A773,VENTAS!$A$2:$B$1195,2,0)</f>
        <v>BELUZZO</v>
      </c>
      <c r="C773">
        <v>467999.99999999988</v>
      </c>
      <c r="D773">
        <v>1400400</v>
      </c>
      <c r="E773">
        <v>879800</v>
      </c>
      <c r="F773">
        <v>1704000</v>
      </c>
      <c r="G773">
        <v>1331200</v>
      </c>
      <c r="H773">
        <v>2260000</v>
      </c>
    </row>
    <row r="774" spans="1:8" x14ac:dyDescent="0.3">
      <c r="A774">
        <v>51010272</v>
      </c>
      <c r="B774" t="str">
        <f>VLOOKUP(A774,VENTAS!$A$2:$B$1195,2,0)</f>
        <v>ROBERTS</v>
      </c>
      <c r="C774">
        <v>724400</v>
      </c>
      <c r="D774">
        <v>1798400</v>
      </c>
      <c r="E774">
        <v>1038800</v>
      </c>
      <c r="F774">
        <v>2004000</v>
      </c>
      <c r="G774">
        <v>1625600</v>
      </c>
      <c r="H774">
        <v>2242500</v>
      </c>
    </row>
    <row r="775" spans="1:8" x14ac:dyDescent="0.3">
      <c r="A775">
        <v>51042913</v>
      </c>
      <c r="B775" t="str">
        <f>VLOOKUP(A775,VENTAS!$A$2:$B$1195,2,0)</f>
        <v>ROBERTS</v>
      </c>
      <c r="C775">
        <v>283800</v>
      </c>
      <c r="D775">
        <v>1257600</v>
      </c>
      <c r="E775">
        <v>208800</v>
      </c>
      <c r="F775">
        <v>1804000</v>
      </c>
      <c r="G775">
        <v>947200</v>
      </c>
      <c r="H775">
        <v>2242500</v>
      </c>
    </row>
    <row r="776" spans="1:8" x14ac:dyDescent="0.3">
      <c r="A776">
        <v>51055993</v>
      </c>
      <c r="B776" t="str">
        <f>VLOOKUP(A776,VENTAS!$A$2:$B$1195,2,0)</f>
        <v>LÓPEZ</v>
      </c>
      <c r="C776">
        <v>532200</v>
      </c>
      <c r="D776">
        <v>1277200</v>
      </c>
      <c r="E776">
        <v>826399.99999999988</v>
      </c>
      <c r="F776">
        <v>1688000</v>
      </c>
      <c r="G776">
        <v>995200</v>
      </c>
      <c r="H776">
        <v>2242500</v>
      </c>
    </row>
    <row r="777" spans="1:8" x14ac:dyDescent="0.3">
      <c r="A777">
        <v>51011481</v>
      </c>
      <c r="B777" t="str">
        <f>VLOOKUP(A777,VENTAS!$A$2:$B$1195,2,0)</f>
        <v>ARGUELLO</v>
      </c>
      <c r="C777">
        <v>389600</v>
      </c>
      <c r="D777">
        <v>1262800</v>
      </c>
      <c r="E777">
        <v>631800</v>
      </c>
      <c r="F777">
        <v>1980000</v>
      </c>
      <c r="G777">
        <v>944000</v>
      </c>
      <c r="H777">
        <v>2240000</v>
      </c>
    </row>
    <row r="778" spans="1:8" x14ac:dyDescent="0.3">
      <c r="A778">
        <v>51039211</v>
      </c>
      <c r="B778" t="str">
        <f>VLOOKUP(A778,VENTAS!$A$2:$B$1195,2,0)</f>
        <v>AYALA</v>
      </c>
      <c r="C778">
        <v>692600</v>
      </c>
      <c r="D778">
        <v>1260000</v>
      </c>
      <c r="E778">
        <v>979000</v>
      </c>
      <c r="F778">
        <v>2092000</v>
      </c>
      <c r="G778">
        <v>1131200</v>
      </c>
      <c r="H778">
        <v>2240000</v>
      </c>
    </row>
    <row r="779" spans="1:8" x14ac:dyDescent="0.3">
      <c r="A779">
        <v>51043260</v>
      </c>
      <c r="B779" t="str">
        <f>VLOOKUP(A779,VENTAS!$A$2:$B$1195,2,0)</f>
        <v>ARGUELLO</v>
      </c>
      <c r="C779">
        <v>501399.99999999988</v>
      </c>
      <c r="D779">
        <v>1411200</v>
      </c>
      <c r="E779">
        <v>736200</v>
      </c>
      <c r="F779">
        <v>1832000</v>
      </c>
      <c r="G779">
        <v>886400</v>
      </c>
      <c r="H779">
        <v>2225000</v>
      </c>
    </row>
    <row r="780" spans="1:8" x14ac:dyDescent="0.3">
      <c r="A780">
        <v>51033248</v>
      </c>
      <c r="B780" t="str">
        <f>VLOOKUP(A780,VENTAS!$A$2:$B$1195,2,0)</f>
        <v>MONTENEGRO</v>
      </c>
      <c r="C780">
        <v>759000</v>
      </c>
      <c r="D780">
        <v>1883200</v>
      </c>
      <c r="E780">
        <v>1033200</v>
      </c>
      <c r="F780">
        <v>1908000</v>
      </c>
      <c r="G780">
        <v>1296000</v>
      </c>
      <c r="H780">
        <v>2222500</v>
      </c>
    </row>
    <row r="781" spans="1:8" x14ac:dyDescent="0.3">
      <c r="A781">
        <v>51013166</v>
      </c>
      <c r="B781" t="str">
        <f>VLOOKUP(A781,VENTAS!$A$2:$B$1195,2,0)</f>
        <v>BELUZZO</v>
      </c>
      <c r="C781">
        <v>836400</v>
      </c>
      <c r="D781">
        <v>1570800</v>
      </c>
      <c r="E781">
        <v>942600</v>
      </c>
      <c r="F781">
        <v>1574000</v>
      </c>
      <c r="G781">
        <v>1342400</v>
      </c>
      <c r="H781">
        <v>2217500</v>
      </c>
    </row>
    <row r="782" spans="1:8" x14ac:dyDescent="0.3">
      <c r="A782">
        <v>51018036</v>
      </c>
      <c r="B782" t="str">
        <f>VLOOKUP(A782,VENTAS!$A$2:$B$1195,2,0)</f>
        <v>CICHETTO</v>
      </c>
      <c r="C782">
        <v>697400</v>
      </c>
      <c r="D782">
        <v>1592400</v>
      </c>
      <c r="E782">
        <v>1024200</v>
      </c>
      <c r="F782">
        <v>2030000</v>
      </c>
      <c r="G782">
        <v>1262400</v>
      </c>
      <c r="H782">
        <v>2195000</v>
      </c>
    </row>
    <row r="783" spans="1:8" x14ac:dyDescent="0.3">
      <c r="A783">
        <v>51021461</v>
      </c>
      <c r="B783" t="str">
        <f>VLOOKUP(A783,VENTAS!$A$2:$B$1195,2,0)</f>
        <v>METTLER</v>
      </c>
      <c r="C783">
        <v>347800</v>
      </c>
      <c r="D783">
        <v>1594000</v>
      </c>
      <c r="E783">
        <v>548600</v>
      </c>
      <c r="F783">
        <v>1352000</v>
      </c>
      <c r="G783">
        <v>872000.00000000012</v>
      </c>
      <c r="H783">
        <v>2192500</v>
      </c>
    </row>
    <row r="784" spans="1:8" x14ac:dyDescent="0.3">
      <c r="A784">
        <v>51024028</v>
      </c>
      <c r="B784" t="str">
        <f>VLOOKUP(A784,VENTAS!$A$2:$B$1195,2,0)</f>
        <v>ARGUELLO</v>
      </c>
      <c r="C784">
        <v>859400</v>
      </c>
      <c r="D784">
        <v>1577200</v>
      </c>
      <c r="E784">
        <v>1260000</v>
      </c>
      <c r="F784">
        <v>1592000</v>
      </c>
      <c r="G784">
        <v>1635200</v>
      </c>
      <c r="H784">
        <v>2192500</v>
      </c>
    </row>
    <row r="785" spans="1:8" x14ac:dyDescent="0.3">
      <c r="A785">
        <v>51056388</v>
      </c>
      <c r="B785" t="str">
        <f>VLOOKUP(A785,VENTAS!$A$2:$B$1195,2,0)</f>
        <v>METTLER</v>
      </c>
      <c r="C785">
        <v>638000</v>
      </c>
      <c r="D785">
        <v>1920800</v>
      </c>
      <c r="E785">
        <v>1064600</v>
      </c>
      <c r="F785">
        <v>2038000</v>
      </c>
      <c r="G785">
        <v>1646400</v>
      </c>
      <c r="H785">
        <v>2192500</v>
      </c>
    </row>
    <row r="786" spans="1:8" x14ac:dyDescent="0.3">
      <c r="A786">
        <v>51005554</v>
      </c>
      <c r="B786" t="str">
        <f>VLOOKUP(A786,VENTAS!$A$2:$B$1195,2,0)</f>
        <v>PUGH</v>
      </c>
      <c r="C786">
        <v>419600.00000000012</v>
      </c>
      <c r="D786">
        <v>1522800</v>
      </c>
      <c r="E786">
        <v>622200</v>
      </c>
      <c r="F786">
        <v>1646000</v>
      </c>
      <c r="G786">
        <v>1060800</v>
      </c>
      <c r="H786">
        <v>2187500</v>
      </c>
    </row>
    <row r="787" spans="1:8" x14ac:dyDescent="0.3">
      <c r="A787">
        <v>51014740</v>
      </c>
      <c r="B787" t="str">
        <f>VLOOKUP(A787,VENTAS!$A$2:$B$1195,2,0)</f>
        <v>AYALA</v>
      </c>
      <c r="C787">
        <v>916400</v>
      </c>
      <c r="D787">
        <v>1625600</v>
      </c>
      <c r="E787">
        <v>1206200</v>
      </c>
      <c r="F787">
        <v>2126000</v>
      </c>
      <c r="G787">
        <v>1515200</v>
      </c>
      <c r="H787">
        <v>2167500</v>
      </c>
    </row>
    <row r="788" spans="1:8" x14ac:dyDescent="0.3">
      <c r="A788">
        <v>51018958</v>
      </c>
      <c r="B788" t="str">
        <f>VLOOKUP(A788,VENTAS!$A$2:$B$1195,2,0)</f>
        <v>LÓPEZ</v>
      </c>
      <c r="C788">
        <v>827399.99999999988</v>
      </c>
      <c r="D788">
        <v>1531600</v>
      </c>
      <c r="E788">
        <v>770800</v>
      </c>
      <c r="F788">
        <v>1434000</v>
      </c>
      <c r="G788">
        <v>1372800</v>
      </c>
      <c r="H788">
        <v>2167500</v>
      </c>
    </row>
    <row r="789" spans="1:8" x14ac:dyDescent="0.3">
      <c r="A789">
        <v>51018508</v>
      </c>
      <c r="B789" t="str">
        <f>VLOOKUP(A789,VENTAS!$A$2:$B$1195,2,0)</f>
        <v>CICHETTO</v>
      </c>
      <c r="C789">
        <v>946600</v>
      </c>
      <c r="D789">
        <v>1429600</v>
      </c>
      <c r="E789">
        <v>1253200</v>
      </c>
      <c r="F789">
        <v>2254000</v>
      </c>
      <c r="G789">
        <v>1528000</v>
      </c>
      <c r="H789">
        <v>2162500</v>
      </c>
    </row>
    <row r="790" spans="1:8" x14ac:dyDescent="0.3">
      <c r="A790">
        <v>51018966</v>
      </c>
      <c r="B790" t="str">
        <f>VLOOKUP(A790,VENTAS!$A$2:$B$1195,2,0)</f>
        <v>CICHETTO</v>
      </c>
      <c r="C790">
        <v>594000</v>
      </c>
      <c r="D790">
        <v>1933200</v>
      </c>
      <c r="E790">
        <v>908600</v>
      </c>
      <c r="F790">
        <v>2174000</v>
      </c>
      <c r="G790">
        <v>1166400</v>
      </c>
      <c r="H790">
        <v>2157500</v>
      </c>
    </row>
    <row r="791" spans="1:8" x14ac:dyDescent="0.3">
      <c r="A791">
        <v>51030184</v>
      </c>
      <c r="B791" t="str">
        <f>VLOOKUP(A791,VENTAS!$A$2:$B$1195,2,0)</f>
        <v>AYALA</v>
      </c>
      <c r="C791">
        <v>877000</v>
      </c>
      <c r="D791">
        <v>1773200</v>
      </c>
      <c r="E791">
        <v>925000</v>
      </c>
      <c r="F791">
        <v>2102000</v>
      </c>
      <c r="G791">
        <v>1568000</v>
      </c>
      <c r="H791">
        <v>2140000</v>
      </c>
    </row>
    <row r="792" spans="1:8" x14ac:dyDescent="0.3">
      <c r="A792">
        <v>51055918</v>
      </c>
      <c r="B792" t="str">
        <f>VLOOKUP(A792,VENTAS!$A$2:$B$1195,2,0)</f>
        <v>BELUZZO</v>
      </c>
      <c r="C792">
        <v>917800.00000000012</v>
      </c>
      <c r="D792">
        <v>1476400</v>
      </c>
      <c r="E792">
        <v>1110800</v>
      </c>
      <c r="F792">
        <v>2018000</v>
      </c>
      <c r="G792">
        <v>1569600</v>
      </c>
      <c r="H792">
        <v>2135000</v>
      </c>
    </row>
    <row r="793" spans="1:8" x14ac:dyDescent="0.3">
      <c r="A793">
        <v>51055268</v>
      </c>
      <c r="B793" t="str">
        <f>VLOOKUP(A793,VENTAS!$A$2:$B$1195,2,0)</f>
        <v>CICHETTO</v>
      </c>
      <c r="C793">
        <v>524600</v>
      </c>
      <c r="D793">
        <v>1373600</v>
      </c>
      <c r="E793">
        <v>733000</v>
      </c>
      <c r="F793">
        <v>1672000</v>
      </c>
      <c r="G793">
        <v>1014400</v>
      </c>
      <c r="H793">
        <v>2130000</v>
      </c>
    </row>
    <row r="794" spans="1:8" x14ac:dyDescent="0.3">
      <c r="A794">
        <v>51008294</v>
      </c>
      <c r="B794" t="str">
        <f>VLOOKUP(A794,VENTAS!$A$2:$B$1195,2,0)</f>
        <v>NELLI</v>
      </c>
      <c r="C794">
        <v>494600</v>
      </c>
      <c r="D794">
        <v>994800</v>
      </c>
      <c r="E794">
        <v>598400</v>
      </c>
      <c r="F794">
        <v>1790000</v>
      </c>
      <c r="G794">
        <v>832000</v>
      </c>
      <c r="H794">
        <v>2122500</v>
      </c>
    </row>
    <row r="795" spans="1:8" x14ac:dyDescent="0.3">
      <c r="A795">
        <v>51012496</v>
      </c>
      <c r="B795" t="str">
        <f>VLOOKUP(A795,VENTAS!$A$2:$B$1195,2,0)</f>
        <v>PUGH</v>
      </c>
      <c r="C795">
        <v>477800</v>
      </c>
      <c r="D795">
        <v>1294000</v>
      </c>
      <c r="E795">
        <v>780999.99999999988</v>
      </c>
      <c r="F795">
        <v>1558000</v>
      </c>
      <c r="G795">
        <v>1344000</v>
      </c>
      <c r="H795">
        <v>2122500</v>
      </c>
    </row>
    <row r="796" spans="1:8" x14ac:dyDescent="0.3">
      <c r="A796">
        <v>51031946</v>
      </c>
      <c r="B796" t="str">
        <f>VLOOKUP(A796,VENTAS!$A$2:$B$1195,2,0)</f>
        <v>PRADES</v>
      </c>
      <c r="C796">
        <v>774599.99999999988</v>
      </c>
      <c r="D796">
        <v>1389600</v>
      </c>
      <c r="E796">
        <v>999800</v>
      </c>
      <c r="F796">
        <v>1848000</v>
      </c>
      <c r="G796">
        <v>1233600</v>
      </c>
      <c r="H796">
        <v>2122500</v>
      </c>
    </row>
    <row r="797" spans="1:8" x14ac:dyDescent="0.3">
      <c r="A797">
        <v>51002024</v>
      </c>
      <c r="B797" t="str">
        <f>VLOOKUP(A797,VENTAS!$A$2:$B$1195,2,0)</f>
        <v>NELLI</v>
      </c>
      <c r="C797">
        <v>912800</v>
      </c>
      <c r="D797">
        <v>1786400</v>
      </c>
      <c r="E797">
        <v>1163600</v>
      </c>
      <c r="F797">
        <v>1980000</v>
      </c>
      <c r="G797">
        <v>1676800</v>
      </c>
      <c r="H797">
        <v>2117500</v>
      </c>
    </row>
    <row r="798" spans="1:8" x14ac:dyDescent="0.3">
      <c r="A798">
        <v>51030613</v>
      </c>
      <c r="B798" t="str">
        <f>VLOOKUP(A798,VENTAS!$A$2:$B$1195,2,0)</f>
        <v>ROBERTS</v>
      </c>
      <c r="C798">
        <v>783600</v>
      </c>
      <c r="D798">
        <v>1546400</v>
      </c>
      <c r="E798">
        <v>929400</v>
      </c>
      <c r="F798">
        <v>1532000</v>
      </c>
      <c r="G798">
        <v>1246400</v>
      </c>
      <c r="H798">
        <v>2117500</v>
      </c>
    </row>
    <row r="799" spans="1:8" x14ac:dyDescent="0.3">
      <c r="A799">
        <v>51033442</v>
      </c>
      <c r="B799" t="str">
        <f>VLOOKUP(A799,VENTAS!$A$2:$B$1195,2,0)</f>
        <v>METTLER</v>
      </c>
      <c r="C799">
        <v>320200</v>
      </c>
      <c r="D799">
        <v>1488400</v>
      </c>
      <c r="E799">
        <v>614600</v>
      </c>
      <c r="F799">
        <v>1750000</v>
      </c>
      <c r="G799">
        <v>1180800</v>
      </c>
      <c r="H799">
        <v>2100000</v>
      </c>
    </row>
    <row r="800" spans="1:8" x14ac:dyDescent="0.3">
      <c r="A800">
        <v>51005392</v>
      </c>
      <c r="B800" t="str">
        <f>VLOOKUP(A800,VENTAS!$A$2:$B$1195,2,0)</f>
        <v>ARGUELLO</v>
      </c>
      <c r="C800">
        <v>420400</v>
      </c>
      <c r="D800">
        <v>1304000</v>
      </c>
      <c r="E800">
        <v>685800</v>
      </c>
      <c r="F800">
        <v>1430000</v>
      </c>
      <c r="G800">
        <v>1206400</v>
      </c>
      <c r="H800">
        <v>2090000</v>
      </c>
    </row>
    <row r="801" spans="1:8" x14ac:dyDescent="0.3">
      <c r="A801">
        <v>51018001</v>
      </c>
      <c r="B801" t="str">
        <f>VLOOKUP(A801,VENTAS!$A$2:$B$1195,2,0)</f>
        <v>ARGUELLO</v>
      </c>
      <c r="C801">
        <v>927000</v>
      </c>
      <c r="D801">
        <v>1282800</v>
      </c>
      <c r="E801">
        <v>1224400</v>
      </c>
      <c r="F801">
        <v>1830000</v>
      </c>
      <c r="G801">
        <v>1761600</v>
      </c>
      <c r="H801">
        <v>2080000</v>
      </c>
    </row>
    <row r="802" spans="1:8" x14ac:dyDescent="0.3">
      <c r="A802">
        <v>51001532</v>
      </c>
      <c r="B802" t="str">
        <f>VLOOKUP(A802,VENTAS!$A$2:$B$1195,2,0)</f>
        <v>ARGUELLO</v>
      </c>
      <c r="C802">
        <v>698999.99999999988</v>
      </c>
      <c r="D802">
        <v>1514800</v>
      </c>
      <c r="E802">
        <v>969799.99999999988</v>
      </c>
      <c r="F802">
        <v>2210000</v>
      </c>
      <c r="G802">
        <v>1193600</v>
      </c>
      <c r="H802">
        <v>2077500</v>
      </c>
    </row>
    <row r="803" spans="1:8" x14ac:dyDescent="0.3">
      <c r="A803">
        <v>51032560</v>
      </c>
      <c r="B803" t="str">
        <f>VLOOKUP(A803,VENTAS!$A$2:$B$1195,2,0)</f>
        <v>METTLER</v>
      </c>
      <c r="C803">
        <v>511600</v>
      </c>
      <c r="D803">
        <v>1255600</v>
      </c>
      <c r="E803">
        <v>658400</v>
      </c>
      <c r="F803">
        <v>1548000</v>
      </c>
      <c r="G803">
        <v>1070400</v>
      </c>
      <c r="H803">
        <v>2072500</v>
      </c>
    </row>
    <row r="804" spans="1:8" x14ac:dyDescent="0.3">
      <c r="A804">
        <v>51044410</v>
      </c>
      <c r="B804" t="str">
        <f>VLOOKUP(A804,VENTAS!$A$2:$B$1195,2,0)</f>
        <v>METTLER</v>
      </c>
      <c r="C804">
        <v>468400.00000000012</v>
      </c>
      <c r="D804">
        <v>1005200</v>
      </c>
      <c r="E804">
        <v>884000</v>
      </c>
      <c r="F804">
        <v>1658000</v>
      </c>
      <c r="G804">
        <v>1244800</v>
      </c>
      <c r="H804">
        <v>2065000</v>
      </c>
    </row>
    <row r="805" spans="1:8" x14ac:dyDescent="0.3">
      <c r="A805">
        <v>51056965</v>
      </c>
      <c r="B805" t="str">
        <f>VLOOKUP(A805,VENTAS!$A$2:$B$1195,2,0)</f>
        <v>MONTENEGRO</v>
      </c>
      <c r="C805">
        <v>602400</v>
      </c>
      <c r="D805">
        <v>1548400</v>
      </c>
      <c r="E805">
        <v>908000</v>
      </c>
      <c r="F805">
        <v>1796000</v>
      </c>
      <c r="G805">
        <v>1345600</v>
      </c>
      <c r="H805">
        <v>2065000</v>
      </c>
    </row>
    <row r="806" spans="1:8" x14ac:dyDescent="0.3">
      <c r="A806">
        <v>51013395</v>
      </c>
      <c r="B806" t="str">
        <f>VLOOKUP(A806,VENTAS!$A$2:$B$1195,2,0)</f>
        <v>CICHETTO</v>
      </c>
      <c r="C806">
        <v>735000.00000000012</v>
      </c>
      <c r="D806">
        <v>1383600</v>
      </c>
      <c r="E806">
        <v>905400</v>
      </c>
      <c r="F806">
        <v>1510000</v>
      </c>
      <c r="G806">
        <v>1203200</v>
      </c>
      <c r="H806">
        <v>2062500</v>
      </c>
    </row>
    <row r="807" spans="1:8" x14ac:dyDescent="0.3">
      <c r="A807">
        <v>51054806</v>
      </c>
      <c r="B807" t="str">
        <f>VLOOKUP(A807,VENTAS!$A$2:$B$1195,2,0)</f>
        <v>ROBERTS</v>
      </c>
      <c r="C807">
        <v>735400</v>
      </c>
      <c r="D807">
        <v>1544400</v>
      </c>
      <c r="E807">
        <v>974000</v>
      </c>
      <c r="F807">
        <v>1714000</v>
      </c>
      <c r="G807">
        <v>1291200</v>
      </c>
      <c r="H807">
        <v>2060000</v>
      </c>
    </row>
    <row r="808" spans="1:8" x14ac:dyDescent="0.3">
      <c r="A808">
        <v>51023901</v>
      </c>
      <c r="B808" t="str">
        <f>VLOOKUP(A808,VENTAS!$A$2:$B$1195,2,0)</f>
        <v>METTLER</v>
      </c>
      <c r="C808">
        <v>995800</v>
      </c>
      <c r="D808">
        <v>1357600</v>
      </c>
      <c r="E808">
        <v>1098400</v>
      </c>
      <c r="F808">
        <v>1770000</v>
      </c>
      <c r="G808">
        <v>1348800</v>
      </c>
      <c r="H808">
        <v>2052500</v>
      </c>
    </row>
    <row r="809" spans="1:8" x14ac:dyDescent="0.3">
      <c r="A809">
        <v>51020707</v>
      </c>
      <c r="B809" t="str">
        <f>VLOOKUP(A809,VENTAS!$A$2:$B$1195,2,0)</f>
        <v>ARGUELLO</v>
      </c>
      <c r="C809">
        <v>507400</v>
      </c>
      <c r="D809">
        <v>2041600</v>
      </c>
      <c r="E809">
        <v>1061000</v>
      </c>
      <c r="F809">
        <v>2110000</v>
      </c>
      <c r="G809">
        <v>1632000</v>
      </c>
      <c r="H809">
        <v>2050000</v>
      </c>
    </row>
    <row r="810" spans="1:8" x14ac:dyDescent="0.3">
      <c r="A810">
        <v>51033671</v>
      </c>
      <c r="B810" t="str">
        <f>VLOOKUP(A810,VENTAS!$A$2:$B$1195,2,0)</f>
        <v>MONTENEGRO</v>
      </c>
      <c r="C810">
        <v>553400</v>
      </c>
      <c r="D810">
        <v>1318400</v>
      </c>
      <c r="E810">
        <v>790800</v>
      </c>
      <c r="F810">
        <v>1660000</v>
      </c>
      <c r="G810">
        <v>1070400</v>
      </c>
      <c r="H810">
        <v>2032500</v>
      </c>
    </row>
    <row r="811" spans="1:8" x14ac:dyDescent="0.3">
      <c r="A811">
        <v>51011007</v>
      </c>
      <c r="B811" t="str">
        <f>VLOOKUP(A811,VENTAS!$A$2:$B$1195,2,0)</f>
        <v>AYALA</v>
      </c>
      <c r="C811">
        <v>610400</v>
      </c>
      <c r="D811">
        <v>1272400</v>
      </c>
      <c r="E811">
        <v>1073200</v>
      </c>
      <c r="F811">
        <v>1622000</v>
      </c>
      <c r="G811">
        <v>1195200</v>
      </c>
      <c r="H811">
        <v>2030000</v>
      </c>
    </row>
    <row r="812" spans="1:8" x14ac:dyDescent="0.3">
      <c r="A812">
        <v>51055331</v>
      </c>
      <c r="B812" t="str">
        <f>VLOOKUP(A812,VENTAS!$A$2:$B$1195,2,0)</f>
        <v>PRADES</v>
      </c>
      <c r="C812">
        <v>597200</v>
      </c>
      <c r="D812">
        <v>1254400</v>
      </c>
      <c r="E812">
        <v>992400</v>
      </c>
      <c r="F812">
        <v>1574000</v>
      </c>
      <c r="G812">
        <v>1268800</v>
      </c>
      <c r="H812">
        <v>2022500</v>
      </c>
    </row>
    <row r="813" spans="1:8" x14ac:dyDescent="0.3">
      <c r="A813">
        <v>51014782</v>
      </c>
      <c r="B813" t="str">
        <f>VLOOKUP(A813,VENTAS!$A$2:$B$1195,2,0)</f>
        <v>METTLER</v>
      </c>
      <c r="C813">
        <v>343800</v>
      </c>
      <c r="D813">
        <v>846400</v>
      </c>
      <c r="E813">
        <v>439200</v>
      </c>
      <c r="F813">
        <v>1230000</v>
      </c>
      <c r="G813">
        <v>563200</v>
      </c>
      <c r="H813">
        <v>2020000</v>
      </c>
    </row>
    <row r="814" spans="1:8" x14ac:dyDescent="0.3">
      <c r="A814">
        <v>51057074</v>
      </c>
      <c r="B814" t="str">
        <f>VLOOKUP(A814,VENTAS!$A$2:$B$1195,2,0)</f>
        <v>BELUZZO</v>
      </c>
      <c r="C814">
        <v>527000</v>
      </c>
      <c r="D814">
        <v>1194400</v>
      </c>
      <c r="E814">
        <v>846200</v>
      </c>
      <c r="F814">
        <v>1740000</v>
      </c>
      <c r="G814">
        <v>1164800</v>
      </c>
      <c r="H814">
        <v>2020000</v>
      </c>
    </row>
    <row r="815" spans="1:8" x14ac:dyDescent="0.3">
      <c r="A815">
        <v>51033477</v>
      </c>
      <c r="B815" t="str">
        <f>VLOOKUP(A815,VENTAS!$A$2:$B$1195,2,0)</f>
        <v>METTLER</v>
      </c>
      <c r="C815">
        <v>814400</v>
      </c>
      <c r="D815">
        <v>1548400</v>
      </c>
      <c r="E815">
        <v>1023200</v>
      </c>
      <c r="F815">
        <v>1798000</v>
      </c>
      <c r="G815">
        <v>1454400</v>
      </c>
      <c r="H815">
        <v>2015000</v>
      </c>
    </row>
    <row r="816" spans="1:8" x14ac:dyDescent="0.3">
      <c r="A816">
        <v>51020634</v>
      </c>
      <c r="B816" t="str">
        <f>VLOOKUP(A816,VENTAS!$A$2:$B$1195,2,0)</f>
        <v>BELUZZO</v>
      </c>
      <c r="C816">
        <v>751400</v>
      </c>
      <c r="D816">
        <v>1324800</v>
      </c>
      <c r="E816">
        <v>908000</v>
      </c>
      <c r="F816">
        <v>1610000</v>
      </c>
      <c r="G816">
        <v>1404800</v>
      </c>
      <c r="H816">
        <v>2010000</v>
      </c>
    </row>
    <row r="817" spans="1:8" x14ac:dyDescent="0.3">
      <c r="A817">
        <v>51013875</v>
      </c>
      <c r="B817" t="str">
        <f>VLOOKUP(A817,VENTAS!$A$2:$B$1195,2,0)</f>
        <v>ROBERTS</v>
      </c>
      <c r="C817">
        <v>502600</v>
      </c>
      <c r="D817">
        <v>1149200</v>
      </c>
      <c r="E817">
        <v>706200</v>
      </c>
      <c r="F817">
        <v>1364000</v>
      </c>
      <c r="G817">
        <v>849600</v>
      </c>
      <c r="H817">
        <v>2000000</v>
      </c>
    </row>
    <row r="818" spans="1:8" x14ac:dyDescent="0.3">
      <c r="A818">
        <v>51003616</v>
      </c>
      <c r="B818" t="str">
        <f>VLOOKUP(A818,VENTAS!$A$2:$B$1195,2,0)</f>
        <v>MONTENEGRO</v>
      </c>
      <c r="C818">
        <v>582000</v>
      </c>
      <c r="D818">
        <v>1304000</v>
      </c>
      <c r="E818">
        <v>866400.00000000012</v>
      </c>
      <c r="F818">
        <v>1628000</v>
      </c>
      <c r="G818">
        <v>1137600</v>
      </c>
      <c r="H818">
        <v>1997500</v>
      </c>
    </row>
    <row r="819" spans="1:8" x14ac:dyDescent="0.3">
      <c r="A819">
        <v>51056558</v>
      </c>
      <c r="B819" t="str">
        <f>VLOOKUP(A819,VENTAS!$A$2:$B$1195,2,0)</f>
        <v>CICHETTO</v>
      </c>
      <c r="C819">
        <v>639600</v>
      </c>
      <c r="D819">
        <v>1232000</v>
      </c>
      <c r="E819">
        <v>756200</v>
      </c>
      <c r="F819">
        <v>1404000</v>
      </c>
      <c r="G819">
        <v>1048000</v>
      </c>
      <c r="H819">
        <v>1995000</v>
      </c>
    </row>
    <row r="820" spans="1:8" x14ac:dyDescent="0.3">
      <c r="A820">
        <v>51009941</v>
      </c>
      <c r="B820" t="str">
        <f>VLOOKUP(A820,VENTAS!$A$2:$B$1195,2,0)</f>
        <v>ARGUELLO</v>
      </c>
      <c r="C820">
        <v>738000.00000000012</v>
      </c>
      <c r="D820">
        <v>1396400</v>
      </c>
      <c r="E820">
        <v>928400</v>
      </c>
      <c r="F820">
        <v>1852000</v>
      </c>
      <c r="G820">
        <v>995200</v>
      </c>
      <c r="H820">
        <v>1987500</v>
      </c>
    </row>
    <row r="821" spans="1:8" x14ac:dyDescent="0.3">
      <c r="A821">
        <v>51056175</v>
      </c>
      <c r="B821" t="str">
        <f>VLOOKUP(A821,VENTAS!$A$2:$B$1195,2,0)</f>
        <v>PRADES</v>
      </c>
      <c r="C821">
        <v>516200</v>
      </c>
      <c r="D821">
        <v>999600</v>
      </c>
      <c r="E821">
        <v>788000</v>
      </c>
      <c r="F821">
        <v>1492000</v>
      </c>
      <c r="G821">
        <v>1376000</v>
      </c>
      <c r="H821">
        <v>1987500</v>
      </c>
    </row>
    <row r="822" spans="1:8" x14ac:dyDescent="0.3">
      <c r="A822">
        <v>51056884</v>
      </c>
      <c r="B822" t="str">
        <f>VLOOKUP(A822,VENTAS!$A$2:$B$1195,2,0)</f>
        <v>CICHETTO</v>
      </c>
      <c r="C822">
        <v>561400</v>
      </c>
      <c r="D822">
        <v>1484000</v>
      </c>
      <c r="E822">
        <v>732000</v>
      </c>
      <c r="F822">
        <v>1950000</v>
      </c>
      <c r="G822">
        <v>1238400</v>
      </c>
      <c r="H822">
        <v>1980000</v>
      </c>
    </row>
    <row r="823" spans="1:8" x14ac:dyDescent="0.3">
      <c r="A823">
        <v>51020111</v>
      </c>
      <c r="B823" t="str">
        <f>VLOOKUP(A823,VENTAS!$A$2:$B$1195,2,0)</f>
        <v>BELUZZO</v>
      </c>
      <c r="C823">
        <v>592000</v>
      </c>
      <c r="D823">
        <v>1334800</v>
      </c>
      <c r="E823">
        <v>627600</v>
      </c>
      <c r="F823">
        <v>1604000</v>
      </c>
      <c r="G823">
        <v>849600</v>
      </c>
      <c r="H823">
        <v>1955000</v>
      </c>
    </row>
    <row r="824" spans="1:8" x14ac:dyDescent="0.3">
      <c r="A824">
        <v>51039025</v>
      </c>
      <c r="B824" t="str">
        <f>VLOOKUP(A824,VENTAS!$A$2:$B$1195,2,0)</f>
        <v>ARGUELLO</v>
      </c>
      <c r="C824">
        <v>547600</v>
      </c>
      <c r="D824">
        <v>1358800</v>
      </c>
      <c r="E824">
        <v>841000</v>
      </c>
      <c r="F824">
        <v>1616000</v>
      </c>
      <c r="G824">
        <v>1206400</v>
      </c>
      <c r="H824">
        <v>1947500</v>
      </c>
    </row>
    <row r="825" spans="1:8" x14ac:dyDescent="0.3">
      <c r="A825">
        <v>51055250</v>
      </c>
      <c r="B825" t="str">
        <f>VLOOKUP(A825,VENTAS!$A$2:$B$1195,2,0)</f>
        <v>METTLER</v>
      </c>
      <c r="C825">
        <v>545200</v>
      </c>
      <c r="D825">
        <v>1303600</v>
      </c>
      <c r="E825">
        <v>698400</v>
      </c>
      <c r="F825">
        <v>1438000</v>
      </c>
      <c r="G825">
        <v>1020800</v>
      </c>
      <c r="H825">
        <v>1940000</v>
      </c>
    </row>
    <row r="826" spans="1:8" x14ac:dyDescent="0.3">
      <c r="A826">
        <v>51025717</v>
      </c>
      <c r="B826" t="str">
        <f>VLOOKUP(A826,VENTAS!$A$2:$B$1195,2,0)</f>
        <v>PRADES</v>
      </c>
      <c r="C826">
        <v>661800</v>
      </c>
      <c r="D826">
        <v>1353600</v>
      </c>
      <c r="E826">
        <v>727600</v>
      </c>
      <c r="F826">
        <v>1722000</v>
      </c>
      <c r="G826">
        <v>1033600</v>
      </c>
      <c r="H826">
        <v>1932500</v>
      </c>
    </row>
    <row r="827" spans="1:8" x14ac:dyDescent="0.3">
      <c r="A827">
        <v>51019717</v>
      </c>
      <c r="B827" t="str">
        <f>VLOOKUP(A827,VENTAS!$A$2:$B$1195,2,0)</f>
        <v>METTLER</v>
      </c>
      <c r="C827">
        <v>639800</v>
      </c>
      <c r="D827">
        <v>1220800</v>
      </c>
      <c r="E827">
        <v>689000</v>
      </c>
      <c r="F827">
        <v>1452000</v>
      </c>
      <c r="G827">
        <v>1028800</v>
      </c>
      <c r="H827">
        <v>1927500</v>
      </c>
    </row>
    <row r="828" spans="1:8" x14ac:dyDescent="0.3">
      <c r="A828">
        <v>51024885</v>
      </c>
      <c r="B828" t="str">
        <f>VLOOKUP(A828,VENTAS!$A$2:$B$1195,2,0)</f>
        <v>PUGH</v>
      </c>
      <c r="C828">
        <v>569000</v>
      </c>
      <c r="D828">
        <v>1252800</v>
      </c>
      <c r="E828">
        <v>1010200</v>
      </c>
      <c r="F828">
        <v>1738000</v>
      </c>
      <c r="G828">
        <v>1403200</v>
      </c>
      <c r="H828">
        <v>1925000</v>
      </c>
    </row>
    <row r="829" spans="1:8" x14ac:dyDescent="0.3">
      <c r="A829">
        <v>51038797</v>
      </c>
      <c r="B829" t="str">
        <f>VLOOKUP(A829,VENTAS!$A$2:$B$1195,2,0)</f>
        <v>NELLI</v>
      </c>
      <c r="C829">
        <v>527200</v>
      </c>
      <c r="D829">
        <v>1364800</v>
      </c>
      <c r="E829">
        <v>778599.99999999988</v>
      </c>
      <c r="F829">
        <v>1608000</v>
      </c>
      <c r="G829">
        <v>911999.99999999988</v>
      </c>
      <c r="H829">
        <v>1925000</v>
      </c>
    </row>
    <row r="830" spans="1:8" x14ac:dyDescent="0.3">
      <c r="A830">
        <v>51008413</v>
      </c>
      <c r="B830" t="str">
        <f>VLOOKUP(A830,VENTAS!$A$2:$B$1195,2,0)</f>
        <v>CICHETTO</v>
      </c>
      <c r="C830">
        <v>670400</v>
      </c>
      <c r="D830">
        <v>1450800</v>
      </c>
      <c r="E830">
        <v>939800</v>
      </c>
      <c r="F830">
        <v>1714000</v>
      </c>
      <c r="G830">
        <v>1286400</v>
      </c>
      <c r="H830">
        <v>1915000</v>
      </c>
    </row>
    <row r="831" spans="1:8" x14ac:dyDescent="0.3">
      <c r="A831">
        <v>51057040</v>
      </c>
      <c r="B831" t="str">
        <f>VLOOKUP(A831,VENTAS!$A$2:$B$1195,2,0)</f>
        <v>MONTENEGRO</v>
      </c>
      <c r="C831">
        <v>621000</v>
      </c>
      <c r="D831">
        <v>1162400</v>
      </c>
      <c r="E831">
        <v>858400</v>
      </c>
      <c r="F831">
        <v>1536000</v>
      </c>
      <c r="G831">
        <v>1315200</v>
      </c>
      <c r="H831">
        <v>1915000</v>
      </c>
    </row>
    <row r="832" spans="1:8" x14ac:dyDescent="0.3">
      <c r="A832">
        <v>51021789</v>
      </c>
      <c r="B832" t="str">
        <f>VLOOKUP(A832,VENTAS!$A$2:$B$1195,2,0)</f>
        <v>CICHETTO</v>
      </c>
      <c r="C832">
        <v>705400</v>
      </c>
      <c r="D832">
        <v>1054000</v>
      </c>
      <c r="E832">
        <v>1207200</v>
      </c>
      <c r="F832">
        <v>1446000</v>
      </c>
      <c r="G832">
        <v>1569600</v>
      </c>
      <c r="H832">
        <v>1912500</v>
      </c>
    </row>
    <row r="833" spans="1:8" x14ac:dyDescent="0.3">
      <c r="A833">
        <v>51028929</v>
      </c>
      <c r="B833" t="str">
        <f>VLOOKUP(A833,VENTAS!$A$2:$B$1195,2,0)</f>
        <v>BELUZZO</v>
      </c>
      <c r="C833">
        <v>652200</v>
      </c>
      <c r="D833">
        <v>1134400</v>
      </c>
      <c r="E833">
        <v>797200</v>
      </c>
      <c r="F833">
        <v>1344000</v>
      </c>
      <c r="G833">
        <v>1096000</v>
      </c>
      <c r="H833">
        <v>1905000</v>
      </c>
    </row>
    <row r="834" spans="1:8" x14ac:dyDescent="0.3">
      <c r="A834">
        <v>51003292</v>
      </c>
      <c r="B834" t="str">
        <f>VLOOKUP(A834,VENTAS!$A$2:$B$1195,2,0)</f>
        <v>BELUZZO</v>
      </c>
      <c r="C834">
        <v>372000</v>
      </c>
      <c r="D834">
        <v>885200</v>
      </c>
      <c r="E834">
        <v>615200</v>
      </c>
      <c r="F834">
        <v>1220000</v>
      </c>
      <c r="G834">
        <v>755200</v>
      </c>
      <c r="H834">
        <v>1900000</v>
      </c>
    </row>
    <row r="835" spans="1:8" x14ac:dyDescent="0.3">
      <c r="A835">
        <v>51055454</v>
      </c>
      <c r="B835" t="str">
        <f>VLOOKUP(A835,VENTAS!$A$2:$B$1195,2,0)</f>
        <v>METTLER</v>
      </c>
      <c r="C835">
        <v>0</v>
      </c>
      <c r="D835">
        <v>0</v>
      </c>
      <c r="E835">
        <v>0</v>
      </c>
      <c r="F835">
        <v>894000</v>
      </c>
      <c r="G835">
        <v>0</v>
      </c>
      <c r="H835">
        <v>1900000</v>
      </c>
    </row>
    <row r="836" spans="1:8" x14ac:dyDescent="0.3">
      <c r="A836">
        <v>51054903</v>
      </c>
      <c r="B836" t="str">
        <f>VLOOKUP(A836,VENTAS!$A$2:$B$1195,2,0)</f>
        <v>PUGH</v>
      </c>
      <c r="C836">
        <v>518800</v>
      </c>
      <c r="D836">
        <v>1118800</v>
      </c>
      <c r="E836">
        <v>742800</v>
      </c>
      <c r="F836">
        <v>1394000</v>
      </c>
      <c r="G836">
        <v>947200</v>
      </c>
      <c r="H836">
        <v>1897500</v>
      </c>
    </row>
    <row r="837" spans="1:8" x14ac:dyDescent="0.3">
      <c r="A837">
        <v>51031857</v>
      </c>
      <c r="B837" t="str">
        <f>VLOOKUP(A837,VENTAS!$A$2:$B$1195,2,0)</f>
        <v>CICHETTO</v>
      </c>
      <c r="C837">
        <v>583000</v>
      </c>
      <c r="D837">
        <v>1155200</v>
      </c>
      <c r="E837">
        <v>808800</v>
      </c>
      <c r="F837">
        <v>1402000</v>
      </c>
      <c r="G837">
        <v>1054400</v>
      </c>
      <c r="H837">
        <v>1892500</v>
      </c>
    </row>
    <row r="838" spans="1:8" x14ac:dyDescent="0.3">
      <c r="A838">
        <v>51030419</v>
      </c>
      <c r="B838" t="str">
        <f>VLOOKUP(A838,VENTAS!$A$2:$B$1195,2,0)</f>
        <v>PRADES</v>
      </c>
      <c r="C838">
        <v>790400</v>
      </c>
      <c r="D838">
        <v>1224400</v>
      </c>
      <c r="E838">
        <v>806800</v>
      </c>
      <c r="F838">
        <v>1500000</v>
      </c>
      <c r="G838">
        <v>1051200</v>
      </c>
      <c r="H838">
        <v>1890000</v>
      </c>
    </row>
    <row r="839" spans="1:8" x14ac:dyDescent="0.3">
      <c r="A839">
        <v>51022343</v>
      </c>
      <c r="B839" t="str">
        <f>VLOOKUP(A839,VENTAS!$A$2:$B$1195,2,0)</f>
        <v>METTLER</v>
      </c>
      <c r="C839">
        <v>459600.00000000012</v>
      </c>
      <c r="D839">
        <v>914399.99999999988</v>
      </c>
      <c r="E839">
        <v>518400</v>
      </c>
      <c r="F839">
        <v>1418000</v>
      </c>
      <c r="G839">
        <v>745600</v>
      </c>
      <c r="H839">
        <v>1885000</v>
      </c>
    </row>
    <row r="840" spans="1:8" x14ac:dyDescent="0.3">
      <c r="A840">
        <v>51054920</v>
      </c>
      <c r="B840" t="str">
        <f>VLOOKUP(A840,VENTAS!$A$2:$B$1195,2,0)</f>
        <v>ROBERTS</v>
      </c>
      <c r="C840">
        <v>494799.99999999988</v>
      </c>
      <c r="D840">
        <v>186000</v>
      </c>
      <c r="E840">
        <v>751800</v>
      </c>
      <c r="F840">
        <v>1330000</v>
      </c>
      <c r="G840">
        <v>836800</v>
      </c>
      <c r="H840">
        <v>1885000</v>
      </c>
    </row>
    <row r="841" spans="1:8" x14ac:dyDescent="0.3">
      <c r="A841">
        <v>51022718</v>
      </c>
      <c r="B841" t="str">
        <f>VLOOKUP(A841,VENTAS!$A$2:$B$1195,2,0)</f>
        <v>CICHETTO</v>
      </c>
      <c r="C841">
        <v>617800</v>
      </c>
      <c r="D841">
        <v>118800</v>
      </c>
      <c r="E841">
        <v>794400</v>
      </c>
      <c r="F841">
        <v>1330000</v>
      </c>
      <c r="G841">
        <v>1139200</v>
      </c>
      <c r="H841">
        <v>1882500</v>
      </c>
    </row>
    <row r="842" spans="1:8" x14ac:dyDescent="0.3">
      <c r="A842">
        <v>51011562</v>
      </c>
      <c r="B842" t="str">
        <f>VLOOKUP(A842,VENTAS!$A$2:$B$1195,2,0)</f>
        <v>CICHETTO</v>
      </c>
      <c r="C842">
        <v>358000</v>
      </c>
      <c r="D842">
        <v>1110000</v>
      </c>
      <c r="E842">
        <v>518800</v>
      </c>
      <c r="F842">
        <v>1314000</v>
      </c>
      <c r="G842">
        <v>843200</v>
      </c>
      <c r="H842">
        <v>1877500</v>
      </c>
    </row>
    <row r="843" spans="1:8" x14ac:dyDescent="0.3">
      <c r="A843">
        <v>51056060</v>
      </c>
      <c r="B843" t="str">
        <f>VLOOKUP(A843,VENTAS!$A$2:$B$1195,2,0)</f>
        <v>LÓPEZ</v>
      </c>
      <c r="C843">
        <v>514200</v>
      </c>
      <c r="D843">
        <v>1278000</v>
      </c>
      <c r="E843">
        <v>618000</v>
      </c>
      <c r="F843">
        <v>1394000</v>
      </c>
      <c r="G843">
        <v>1084800</v>
      </c>
      <c r="H843">
        <v>1875000</v>
      </c>
    </row>
    <row r="844" spans="1:8" x14ac:dyDescent="0.3">
      <c r="A844">
        <v>51004086</v>
      </c>
      <c r="B844" t="str">
        <f>VLOOKUP(A844,VENTAS!$A$2:$B$1195,2,0)</f>
        <v>NELLI</v>
      </c>
      <c r="C844">
        <v>454799.99999999988</v>
      </c>
      <c r="D844">
        <v>1390400</v>
      </c>
      <c r="E844">
        <v>698200</v>
      </c>
      <c r="F844">
        <v>1574000</v>
      </c>
      <c r="G844">
        <v>990400</v>
      </c>
      <c r="H844">
        <v>1865000</v>
      </c>
    </row>
    <row r="845" spans="1:8" x14ac:dyDescent="0.3">
      <c r="A845">
        <v>51012721</v>
      </c>
      <c r="B845" t="str">
        <f>VLOOKUP(A845,VENTAS!$A$2:$B$1195,2,0)</f>
        <v>LÓPEZ</v>
      </c>
      <c r="C845">
        <v>579800</v>
      </c>
      <c r="D845">
        <v>1453600</v>
      </c>
      <c r="E845">
        <v>845200</v>
      </c>
      <c r="F845">
        <v>1818000</v>
      </c>
      <c r="G845">
        <v>1182400</v>
      </c>
      <c r="H845">
        <v>1862500</v>
      </c>
    </row>
    <row r="846" spans="1:8" x14ac:dyDescent="0.3">
      <c r="A846">
        <v>51016408</v>
      </c>
      <c r="B846" t="str">
        <f>VLOOKUP(A846,VENTAS!$A$2:$B$1195,2,0)</f>
        <v>MONTENEGRO</v>
      </c>
      <c r="C846">
        <v>210600</v>
      </c>
      <c r="D846">
        <v>1085600</v>
      </c>
      <c r="E846">
        <v>385600</v>
      </c>
      <c r="F846">
        <v>1490000</v>
      </c>
      <c r="G846">
        <v>910399.99999999988</v>
      </c>
      <c r="H846">
        <v>1850000</v>
      </c>
    </row>
    <row r="847" spans="1:8" x14ac:dyDescent="0.3">
      <c r="A847">
        <v>51005325</v>
      </c>
      <c r="B847" t="str">
        <f>VLOOKUP(A847,VENTAS!$A$2:$B$1195,2,0)</f>
        <v>METTLER</v>
      </c>
      <c r="C847">
        <v>749800</v>
      </c>
      <c r="D847">
        <v>1237600</v>
      </c>
      <c r="E847">
        <v>962400.00000000012</v>
      </c>
      <c r="F847">
        <v>1350000</v>
      </c>
      <c r="G847">
        <v>1150400</v>
      </c>
      <c r="H847">
        <v>1845000</v>
      </c>
    </row>
    <row r="848" spans="1:8" x14ac:dyDescent="0.3">
      <c r="A848">
        <v>51056248</v>
      </c>
      <c r="B848" t="str">
        <f>VLOOKUP(A848,VENTAS!$A$2:$B$1195,2,0)</f>
        <v>MONTENEGRO</v>
      </c>
      <c r="C848">
        <v>531400</v>
      </c>
      <c r="D848">
        <v>981600</v>
      </c>
      <c r="E848">
        <v>751200</v>
      </c>
      <c r="F848">
        <v>1322000</v>
      </c>
      <c r="G848">
        <v>1244800</v>
      </c>
      <c r="H848">
        <v>1845000</v>
      </c>
    </row>
    <row r="849" spans="1:8" x14ac:dyDescent="0.3">
      <c r="A849">
        <v>51024281</v>
      </c>
      <c r="B849" t="str">
        <f>VLOOKUP(A849,VENTAS!$A$2:$B$1195,2,0)</f>
        <v>AYALA</v>
      </c>
      <c r="C849">
        <v>478000</v>
      </c>
      <c r="D849">
        <v>1221200</v>
      </c>
      <c r="E849">
        <v>639400</v>
      </c>
      <c r="F849">
        <v>1534000</v>
      </c>
      <c r="G849">
        <v>1043200</v>
      </c>
      <c r="H849">
        <v>1832500</v>
      </c>
    </row>
    <row r="850" spans="1:8" x14ac:dyDescent="0.3">
      <c r="A850">
        <v>51017129</v>
      </c>
      <c r="B850" t="str">
        <f>VLOOKUP(A850,VENTAS!$A$2:$B$1195,2,0)</f>
        <v>METTLER</v>
      </c>
      <c r="C850">
        <v>327800</v>
      </c>
      <c r="D850">
        <v>950800</v>
      </c>
      <c r="E850">
        <v>573600</v>
      </c>
      <c r="F850">
        <v>1922000</v>
      </c>
      <c r="G850">
        <v>947200</v>
      </c>
      <c r="H850">
        <v>1825000</v>
      </c>
    </row>
    <row r="851" spans="1:8" x14ac:dyDescent="0.3">
      <c r="A851">
        <v>51022971</v>
      </c>
      <c r="B851" t="str">
        <f>VLOOKUP(A851,VENTAS!$A$2:$B$1195,2,0)</f>
        <v>AYALA</v>
      </c>
      <c r="C851">
        <v>645200</v>
      </c>
      <c r="D851">
        <v>1118800</v>
      </c>
      <c r="E851">
        <v>863600.00000000012</v>
      </c>
      <c r="F851">
        <v>1440000</v>
      </c>
      <c r="G851">
        <v>1110400</v>
      </c>
      <c r="H851">
        <v>1822500</v>
      </c>
    </row>
    <row r="852" spans="1:8" x14ac:dyDescent="0.3">
      <c r="A852">
        <v>51043693</v>
      </c>
      <c r="B852" t="str">
        <f>VLOOKUP(A852,VENTAS!$A$2:$B$1195,2,0)</f>
        <v>PRADES</v>
      </c>
      <c r="C852">
        <v>487200</v>
      </c>
      <c r="D852">
        <v>1235600</v>
      </c>
      <c r="E852">
        <v>694600</v>
      </c>
      <c r="F852">
        <v>1442000</v>
      </c>
      <c r="G852">
        <v>1179200</v>
      </c>
      <c r="H852">
        <v>1822500</v>
      </c>
    </row>
    <row r="853" spans="1:8" x14ac:dyDescent="0.3">
      <c r="A853">
        <v>51002105</v>
      </c>
      <c r="B853" t="str">
        <f>VLOOKUP(A853,VENTAS!$A$2:$B$1195,2,0)</f>
        <v>ARGUELLO</v>
      </c>
      <c r="C853">
        <v>597800</v>
      </c>
      <c r="D853">
        <v>1653600</v>
      </c>
      <c r="E853">
        <v>945800</v>
      </c>
      <c r="F853">
        <v>2258000</v>
      </c>
      <c r="G853">
        <v>1355200</v>
      </c>
      <c r="H853">
        <v>1800000</v>
      </c>
    </row>
    <row r="854" spans="1:8" x14ac:dyDescent="0.3">
      <c r="A854">
        <v>51014138</v>
      </c>
      <c r="B854" t="str">
        <f>VLOOKUP(A854,VENTAS!$A$2:$B$1195,2,0)</f>
        <v>METTLER</v>
      </c>
      <c r="C854">
        <v>522600</v>
      </c>
      <c r="D854">
        <v>1147600</v>
      </c>
      <c r="E854">
        <v>813600</v>
      </c>
      <c r="F854">
        <v>1352000</v>
      </c>
      <c r="G854">
        <v>980800</v>
      </c>
      <c r="H854">
        <v>1795000</v>
      </c>
    </row>
    <row r="855" spans="1:8" x14ac:dyDescent="0.3">
      <c r="A855">
        <v>51029232</v>
      </c>
      <c r="B855" t="str">
        <f>VLOOKUP(A855,VENTAS!$A$2:$B$1195,2,0)</f>
        <v>PUGH</v>
      </c>
      <c r="C855">
        <v>286800</v>
      </c>
      <c r="D855">
        <v>0</v>
      </c>
      <c r="E855">
        <v>522400</v>
      </c>
      <c r="F855">
        <v>268000</v>
      </c>
      <c r="G855">
        <v>156800</v>
      </c>
      <c r="H855">
        <v>1795000</v>
      </c>
    </row>
    <row r="856" spans="1:8" x14ac:dyDescent="0.3">
      <c r="A856">
        <v>51014251</v>
      </c>
      <c r="B856" t="str">
        <f>VLOOKUP(A856,VENTAS!$A$2:$B$1195,2,0)</f>
        <v>ROBERTS</v>
      </c>
      <c r="C856">
        <v>1213400</v>
      </c>
      <c r="D856">
        <v>2997600</v>
      </c>
      <c r="E856">
        <v>1824000</v>
      </c>
      <c r="F856">
        <v>3438000</v>
      </c>
      <c r="G856">
        <v>2659200</v>
      </c>
      <c r="H856">
        <v>1787500</v>
      </c>
    </row>
    <row r="857" spans="1:8" x14ac:dyDescent="0.3">
      <c r="A857">
        <v>51055136</v>
      </c>
      <c r="B857" t="str">
        <f>VLOOKUP(A857,VENTAS!$A$2:$B$1195,2,0)</f>
        <v>ROBERTS</v>
      </c>
      <c r="C857">
        <v>551000</v>
      </c>
      <c r="D857">
        <v>1091600</v>
      </c>
      <c r="E857">
        <v>712200</v>
      </c>
      <c r="F857">
        <v>1302000</v>
      </c>
      <c r="G857">
        <v>945600</v>
      </c>
      <c r="H857">
        <v>1782500</v>
      </c>
    </row>
    <row r="858" spans="1:8" x14ac:dyDescent="0.3">
      <c r="A858">
        <v>51031326</v>
      </c>
      <c r="B858" t="str">
        <f>VLOOKUP(A858,VENTAS!$A$2:$B$1195,2,0)</f>
        <v>METTLER</v>
      </c>
      <c r="C858">
        <v>479200</v>
      </c>
      <c r="D858">
        <v>948400.00000000012</v>
      </c>
      <c r="E858">
        <v>610600</v>
      </c>
      <c r="F858">
        <v>1460000</v>
      </c>
      <c r="G858">
        <v>840000</v>
      </c>
      <c r="H858">
        <v>1767500</v>
      </c>
    </row>
    <row r="859" spans="1:8" x14ac:dyDescent="0.3">
      <c r="A859">
        <v>51008634</v>
      </c>
      <c r="B859" t="str">
        <f>VLOOKUP(A859,VENTAS!$A$2:$B$1195,2,0)</f>
        <v>METTLER</v>
      </c>
      <c r="C859">
        <v>586400</v>
      </c>
      <c r="D859">
        <v>1314400</v>
      </c>
      <c r="E859">
        <v>837600</v>
      </c>
      <c r="F859">
        <v>1362000</v>
      </c>
      <c r="G859">
        <v>1064000</v>
      </c>
      <c r="H859">
        <v>1765000</v>
      </c>
    </row>
    <row r="860" spans="1:8" x14ac:dyDescent="0.3">
      <c r="A860">
        <v>51022955</v>
      </c>
      <c r="B860" t="str">
        <f>VLOOKUP(A860,VENTAS!$A$2:$B$1195,2,0)</f>
        <v>MONTENEGRO</v>
      </c>
      <c r="C860">
        <v>512800.00000000012</v>
      </c>
      <c r="D860">
        <v>1325600</v>
      </c>
      <c r="E860">
        <v>779199.99999999988</v>
      </c>
      <c r="F860">
        <v>1558000</v>
      </c>
      <c r="G860">
        <v>1102400</v>
      </c>
      <c r="H860">
        <v>1752500</v>
      </c>
    </row>
    <row r="861" spans="1:8" x14ac:dyDescent="0.3">
      <c r="A861">
        <v>51016874</v>
      </c>
      <c r="B861" t="str">
        <f>VLOOKUP(A861,VENTAS!$A$2:$B$1195,2,0)</f>
        <v>NELLI</v>
      </c>
      <c r="C861">
        <v>0</v>
      </c>
      <c r="D861">
        <v>947600</v>
      </c>
      <c r="E861">
        <v>0</v>
      </c>
      <c r="F861">
        <v>1366000</v>
      </c>
      <c r="G861">
        <v>214400</v>
      </c>
      <c r="H861">
        <v>1750000</v>
      </c>
    </row>
    <row r="862" spans="1:8" x14ac:dyDescent="0.3">
      <c r="A862">
        <v>51033345</v>
      </c>
      <c r="B862" t="str">
        <f>VLOOKUP(A862,VENTAS!$A$2:$B$1195,2,0)</f>
        <v>LÓPEZ</v>
      </c>
      <c r="C862">
        <v>498000</v>
      </c>
      <c r="D862">
        <v>1294000</v>
      </c>
      <c r="E862">
        <v>681600</v>
      </c>
      <c r="F862">
        <v>1426000</v>
      </c>
      <c r="G862">
        <v>833600</v>
      </c>
      <c r="H862">
        <v>1750000</v>
      </c>
    </row>
    <row r="863" spans="1:8" x14ac:dyDescent="0.3">
      <c r="A863">
        <v>51007514</v>
      </c>
      <c r="B863" t="str">
        <f>VLOOKUP(A863,VENTAS!$A$2:$B$1195,2,0)</f>
        <v>AYALA</v>
      </c>
      <c r="C863">
        <v>685600</v>
      </c>
      <c r="D863">
        <v>1347200</v>
      </c>
      <c r="E863">
        <v>724000</v>
      </c>
      <c r="F863">
        <v>1592000</v>
      </c>
      <c r="G863">
        <v>1105600</v>
      </c>
      <c r="H863">
        <v>1730000</v>
      </c>
    </row>
    <row r="864" spans="1:8" x14ac:dyDescent="0.3">
      <c r="A864">
        <v>51031890</v>
      </c>
      <c r="B864" t="str">
        <f>VLOOKUP(A864,VENTAS!$A$2:$B$1195,2,0)</f>
        <v>NELLI</v>
      </c>
      <c r="C864">
        <v>506400</v>
      </c>
      <c r="D864">
        <v>966000.00000000012</v>
      </c>
      <c r="E864">
        <v>602000</v>
      </c>
      <c r="F864">
        <v>1308000</v>
      </c>
      <c r="G864">
        <v>968000.00000000012</v>
      </c>
      <c r="H864">
        <v>1730000</v>
      </c>
    </row>
    <row r="865" spans="1:8" x14ac:dyDescent="0.3">
      <c r="A865">
        <v>51011074</v>
      </c>
      <c r="B865" t="str">
        <f>VLOOKUP(A865,VENTAS!$A$2:$B$1195,2,0)</f>
        <v>AYALA</v>
      </c>
      <c r="C865">
        <v>650000</v>
      </c>
      <c r="D865">
        <v>1888800</v>
      </c>
      <c r="E865">
        <v>954000</v>
      </c>
      <c r="F865">
        <v>3156000</v>
      </c>
      <c r="G865">
        <v>1457600</v>
      </c>
      <c r="H865">
        <v>1727500</v>
      </c>
    </row>
    <row r="866" spans="1:8" x14ac:dyDescent="0.3">
      <c r="A866">
        <v>51015428</v>
      </c>
      <c r="B866" t="str">
        <f>VLOOKUP(A866,VENTAS!$A$2:$B$1195,2,0)</f>
        <v>AYALA</v>
      </c>
      <c r="C866">
        <v>453800</v>
      </c>
      <c r="D866">
        <v>1154000</v>
      </c>
      <c r="E866">
        <v>643800</v>
      </c>
      <c r="F866">
        <v>1272000</v>
      </c>
      <c r="G866">
        <v>985600</v>
      </c>
      <c r="H866">
        <v>1682500</v>
      </c>
    </row>
    <row r="867" spans="1:8" x14ac:dyDescent="0.3">
      <c r="A867">
        <v>51016661</v>
      </c>
      <c r="B867" t="str">
        <f>VLOOKUP(A867,VENTAS!$A$2:$B$1195,2,0)</f>
        <v>MONTENEGRO</v>
      </c>
      <c r="C867">
        <v>552800</v>
      </c>
      <c r="D867">
        <v>1050400</v>
      </c>
      <c r="E867">
        <v>732000</v>
      </c>
      <c r="F867">
        <v>1216000</v>
      </c>
      <c r="G867">
        <v>1094400</v>
      </c>
      <c r="H867">
        <v>1677500</v>
      </c>
    </row>
    <row r="868" spans="1:8" x14ac:dyDescent="0.3">
      <c r="A868">
        <v>51004035</v>
      </c>
      <c r="B868" t="str">
        <f>VLOOKUP(A868,VENTAS!$A$2:$B$1195,2,0)</f>
        <v>PUGH</v>
      </c>
      <c r="C868">
        <v>478200</v>
      </c>
      <c r="D868">
        <v>1003600</v>
      </c>
      <c r="E868">
        <v>713600</v>
      </c>
      <c r="F868">
        <v>1432000</v>
      </c>
      <c r="G868">
        <v>984000</v>
      </c>
      <c r="H868">
        <v>1672500</v>
      </c>
    </row>
    <row r="869" spans="1:8" x14ac:dyDescent="0.3">
      <c r="A869">
        <v>51017153</v>
      </c>
      <c r="B869" t="str">
        <f>VLOOKUP(A869,VENTAS!$A$2:$B$1195,2,0)</f>
        <v>METTLER</v>
      </c>
      <c r="C869">
        <v>583000</v>
      </c>
      <c r="D869">
        <v>895200</v>
      </c>
      <c r="E869">
        <v>799000</v>
      </c>
      <c r="F869">
        <v>1450000</v>
      </c>
      <c r="G869">
        <v>920000.00000000012</v>
      </c>
      <c r="H869">
        <v>1640000</v>
      </c>
    </row>
    <row r="870" spans="1:8" x14ac:dyDescent="0.3">
      <c r="A870">
        <v>51010051</v>
      </c>
      <c r="B870" t="str">
        <f>VLOOKUP(A870,VENTAS!$A$2:$B$1195,2,0)</f>
        <v>MONTENEGRO</v>
      </c>
      <c r="C870">
        <v>327000</v>
      </c>
      <c r="D870">
        <v>1145200</v>
      </c>
      <c r="E870">
        <v>567200</v>
      </c>
      <c r="F870">
        <v>1426000</v>
      </c>
      <c r="G870">
        <v>884800</v>
      </c>
      <c r="H870">
        <v>1630000</v>
      </c>
    </row>
    <row r="871" spans="1:8" x14ac:dyDescent="0.3">
      <c r="A871">
        <v>51010248</v>
      </c>
      <c r="B871" t="str">
        <f>VLOOKUP(A871,VENTAS!$A$2:$B$1195,2,0)</f>
        <v>BELUZZO</v>
      </c>
      <c r="C871">
        <v>498800</v>
      </c>
      <c r="D871">
        <v>974000</v>
      </c>
      <c r="E871">
        <v>696600</v>
      </c>
      <c r="F871">
        <v>1162000</v>
      </c>
      <c r="G871">
        <v>857600</v>
      </c>
      <c r="H871">
        <v>1625000</v>
      </c>
    </row>
    <row r="872" spans="1:8" x14ac:dyDescent="0.3">
      <c r="A872">
        <v>51016831</v>
      </c>
      <c r="B872" t="str">
        <f>VLOOKUP(A872,VENTAS!$A$2:$B$1195,2,0)</f>
        <v>MONTENEGRO</v>
      </c>
      <c r="C872">
        <v>445400</v>
      </c>
      <c r="D872">
        <v>978000</v>
      </c>
      <c r="E872">
        <v>749600</v>
      </c>
      <c r="F872">
        <v>1306000</v>
      </c>
      <c r="G872">
        <v>1126400</v>
      </c>
      <c r="H872">
        <v>1617500</v>
      </c>
    </row>
    <row r="873" spans="1:8" x14ac:dyDescent="0.3">
      <c r="A873">
        <v>51055870</v>
      </c>
      <c r="B873" t="str">
        <f>VLOOKUP(A873,VENTAS!$A$2:$B$1195,2,0)</f>
        <v>LÓPEZ</v>
      </c>
      <c r="C873">
        <v>617800</v>
      </c>
      <c r="D873">
        <v>1168000</v>
      </c>
      <c r="E873">
        <v>768000</v>
      </c>
      <c r="F873">
        <v>1440000</v>
      </c>
      <c r="G873">
        <v>1011200</v>
      </c>
      <c r="H873">
        <v>1615000</v>
      </c>
    </row>
    <row r="874" spans="1:8" x14ac:dyDescent="0.3">
      <c r="A874">
        <v>51010663</v>
      </c>
      <c r="B874" t="str">
        <f>VLOOKUP(A874,VENTAS!$A$2:$B$1195,2,0)</f>
        <v>CICHETTO</v>
      </c>
      <c r="C874">
        <v>611600</v>
      </c>
      <c r="D874">
        <v>1063200</v>
      </c>
      <c r="E874">
        <v>793400</v>
      </c>
      <c r="F874">
        <v>1272000</v>
      </c>
      <c r="G874">
        <v>878400</v>
      </c>
      <c r="H874">
        <v>1612500</v>
      </c>
    </row>
    <row r="875" spans="1:8" x14ac:dyDescent="0.3">
      <c r="A875">
        <v>51023153</v>
      </c>
      <c r="B875" t="str">
        <f>VLOOKUP(A875,VENTAS!$A$2:$B$1195,2,0)</f>
        <v>AYALA</v>
      </c>
      <c r="C875">
        <v>391400</v>
      </c>
      <c r="D875">
        <v>1089600</v>
      </c>
      <c r="E875">
        <v>637400</v>
      </c>
      <c r="F875">
        <v>1472000</v>
      </c>
      <c r="G875">
        <v>939200</v>
      </c>
      <c r="H875">
        <v>1610000</v>
      </c>
    </row>
    <row r="876" spans="1:8" x14ac:dyDescent="0.3">
      <c r="A876">
        <v>51056329</v>
      </c>
      <c r="B876" t="str">
        <f>VLOOKUP(A876,VENTAS!$A$2:$B$1195,2,0)</f>
        <v>AYALA</v>
      </c>
      <c r="C876">
        <v>576800</v>
      </c>
      <c r="D876">
        <v>966399.99999999988</v>
      </c>
      <c r="E876">
        <v>857000</v>
      </c>
      <c r="F876">
        <v>1304000</v>
      </c>
      <c r="G876">
        <v>1019200</v>
      </c>
      <c r="H876">
        <v>1607500</v>
      </c>
    </row>
    <row r="877" spans="1:8" x14ac:dyDescent="0.3">
      <c r="A877">
        <v>51018346</v>
      </c>
      <c r="B877" t="str">
        <f>VLOOKUP(A877,VENTAS!$A$2:$B$1195,2,0)</f>
        <v>ROBERTS</v>
      </c>
      <c r="C877">
        <v>367200</v>
      </c>
      <c r="D877">
        <v>1306400</v>
      </c>
      <c r="E877">
        <v>508399.99999999988</v>
      </c>
      <c r="F877">
        <v>1570000</v>
      </c>
      <c r="G877">
        <v>862399.99999999988</v>
      </c>
      <c r="H877">
        <v>1605000</v>
      </c>
    </row>
    <row r="878" spans="1:8" x14ac:dyDescent="0.3">
      <c r="A878">
        <v>51043405</v>
      </c>
      <c r="B878" t="str">
        <f>VLOOKUP(A878,VENTAS!$A$2:$B$1195,2,0)</f>
        <v>METTLER</v>
      </c>
      <c r="C878">
        <v>691400</v>
      </c>
      <c r="D878">
        <v>1258400</v>
      </c>
      <c r="E878">
        <v>782999.99999999988</v>
      </c>
      <c r="F878">
        <v>1292000</v>
      </c>
      <c r="G878">
        <v>1142400</v>
      </c>
      <c r="H878">
        <v>1605000</v>
      </c>
    </row>
    <row r="879" spans="1:8" x14ac:dyDescent="0.3">
      <c r="A879">
        <v>51012691</v>
      </c>
      <c r="B879" t="str">
        <f>VLOOKUP(A879,VENTAS!$A$2:$B$1195,2,0)</f>
        <v>ARGUELLO</v>
      </c>
      <c r="C879">
        <v>1225800</v>
      </c>
      <c r="D879">
        <v>2468800</v>
      </c>
      <c r="E879">
        <v>1427000</v>
      </c>
      <c r="F879">
        <v>2428000</v>
      </c>
      <c r="G879">
        <v>2140800</v>
      </c>
      <c r="H879">
        <v>1602500</v>
      </c>
    </row>
    <row r="880" spans="1:8" x14ac:dyDescent="0.3">
      <c r="A880">
        <v>51013956</v>
      </c>
      <c r="B880" t="str">
        <f>VLOOKUP(A880,VENTAS!$A$2:$B$1195,2,0)</f>
        <v>AYALA</v>
      </c>
      <c r="C880">
        <v>446200</v>
      </c>
      <c r="D880">
        <v>945199.99999999988</v>
      </c>
      <c r="E880">
        <v>679400</v>
      </c>
      <c r="F880">
        <v>1040000</v>
      </c>
      <c r="G880">
        <v>886400</v>
      </c>
      <c r="H880">
        <v>1600000</v>
      </c>
    </row>
    <row r="881" spans="1:8" x14ac:dyDescent="0.3">
      <c r="A881">
        <v>51022068</v>
      </c>
      <c r="B881" t="str">
        <f>VLOOKUP(A881,VENTAS!$A$2:$B$1195,2,0)</f>
        <v>PRADES</v>
      </c>
      <c r="C881">
        <v>461800.00000000012</v>
      </c>
      <c r="D881">
        <v>895200</v>
      </c>
      <c r="E881">
        <v>507999.99999999988</v>
      </c>
      <c r="F881">
        <v>1202000</v>
      </c>
      <c r="G881">
        <v>729600</v>
      </c>
      <c r="H881">
        <v>1595000</v>
      </c>
    </row>
    <row r="882" spans="1:8" x14ac:dyDescent="0.3">
      <c r="A882">
        <v>51003063</v>
      </c>
      <c r="B882" t="str">
        <f>VLOOKUP(A882,VENTAS!$A$2:$B$1195,2,0)</f>
        <v>AYALA</v>
      </c>
      <c r="C882">
        <v>478000</v>
      </c>
      <c r="D882">
        <v>909200.00000000012</v>
      </c>
      <c r="E882">
        <v>798000</v>
      </c>
      <c r="F882">
        <v>1366000</v>
      </c>
      <c r="G882">
        <v>923200.00000000012</v>
      </c>
      <c r="H882">
        <v>1592500</v>
      </c>
    </row>
    <row r="883" spans="1:8" x14ac:dyDescent="0.3">
      <c r="A883">
        <v>51036077</v>
      </c>
      <c r="B883" t="str">
        <f>VLOOKUP(A883,VENTAS!$A$2:$B$1195,2,0)</f>
        <v>LÓPEZ</v>
      </c>
      <c r="C883">
        <v>464000.00000000012</v>
      </c>
      <c r="D883">
        <v>858800</v>
      </c>
      <c r="E883">
        <v>753600</v>
      </c>
      <c r="F883">
        <v>1316000</v>
      </c>
      <c r="G883">
        <v>1235200</v>
      </c>
      <c r="H883">
        <v>1590000</v>
      </c>
    </row>
    <row r="884" spans="1:8" x14ac:dyDescent="0.3">
      <c r="A884">
        <v>51009991</v>
      </c>
      <c r="B884" t="str">
        <f>VLOOKUP(A884,VENTAS!$A$2:$B$1195,2,0)</f>
        <v>MONTENEGRO</v>
      </c>
      <c r="C884">
        <v>226600</v>
      </c>
      <c r="D884">
        <v>741200</v>
      </c>
      <c r="E884">
        <v>381200</v>
      </c>
      <c r="F884">
        <v>1034000</v>
      </c>
      <c r="G884">
        <v>820800</v>
      </c>
      <c r="H884">
        <v>1587500</v>
      </c>
    </row>
    <row r="885" spans="1:8" x14ac:dyDescent="0.3">
      <c r="A885">
        <v>51018397</v>
      </c>
      <c r="B885" t="str">
        <f>VLOOKUP(A885,VENTAS!$A$2:$B$1195,2,0)</f>
        <v>LÓPEZ</v>
      </c>
      <c r="C885">
        <v>666000</v>
      </c>
      <c r="D885">
        <v>1449600</v>
      </c>
      <c r="E885">
        <v>859200</v>
      </c>
      <c r="F885">
        <v>1524000</v>
      </c>
      <c r="G885">
        <v>964799.99999999988</v>
      </c>
      <c r="H885">
        <v>1585000</v>
      </c>
    </row>
    <row r="886" spans="1:8" x14ac:dyDescent="0.3">
      <c r="A886">
        <v>51055837</v>
      </c>
      <c r="B886" t="str">
        <f>VLOOKUP(A886,VENTAS!$A$2:$B$1195,2,0)</f>
        <v>BELUZZO</v>
      </c>
      <c r="C886">
        <v>542600</v>
      </c>
      <c r="D886">
        <v>1088800</v>
      </c>
      <c r="E886">
        <v>657000</v>
      </c>
      <c r="F886">
        <v>1518000</v>
      </c>
      <c r="G886">
        <v>843200</v>
      </c>
      <c r="H886">
        <v>1585000</v>
      </c>
    </row>
    <row r="887" spans="1:8" x14ac:dyDescent="0.3">
      <c r="A887">
        <v>51013492</v>
      </c>
      <c r="B887" t="str">
        <f>VLOOKUP(A887,VENTAS!$A$2:$B$1195,2,0)</f>
        <v>PUGH</v>
      </c>
      <c r="C887">
        <v>627600</v>
      </c>
      <c r="D887">
        <v>1182800</v>
      </c>
      <c r="E887">
        <v>874399.99999999988</v>
      </c>
      <c r="F887">
        <v>1384000</v>
      </c>
      <c r="G887">
        <v>1078400</v>
      </c>
      <c r="H887">
        <v>1582500</v>
      </c>
    </row>
    <row r="888" spans="1:8" x14ac:dyDescent="0.3">
      <c r="A888">
        <v>51036611</v>
      </c>
      <c r="B888" t="str">
        <f>VLOOKUP(A888,VENTAS!$A$2:$B$1195,2,0)</f>
        <v>AYALA</v>
      </c>
      <c r="C888">
        <v>742999.99999999988</v>
      </c>
      <c r="D888">
        <v>1254000</v>
      </c>
      <c r="E888">
        <v>918999.99999999988</v>
      </c>
      <c r="F888">
        <v>1216000</v>
      </c>
      <c r="G888">
        <v>1238400</v>
      </c>
      <c r="H888">
        <v>1582500</v>
      </c>
    </row>
    <row r="889" spans="1:8" x14ac:dyDescent="0.3">
      <c r="A889">
        <v>51026063</v>
      </c>
      <c r="B889" t="str">
        <f>VLOOKUP(A889,VENTAS!$A$2:$B$1195,2,0)</f>
        <v>METTLER</v>
      </c>
      <c r="C889">
        <v>300800</v>
      </c>
      <c r="D889">
        <v>576800</v>
      </c>
      <c r="E889">
        <v>624400</v>
      </c>
      <c r="F889">
        <v>1138000</v>
      </c>
      <c r="G889">
        <v>737600</v>
      </c>
      <c r="H889">
        <v>1565000</v>
      </c>
    </row>
    <row r="890" spans="1:8" x14ac:dyDescent="0.3">
      <c r="A890">
        <v>51018923</v>
      </c>
      <c r="B890" t="str">
        <f>VLOOKUP(A890,VENTAS!$A$2:$B$1195,2,0)</f>
        <v>LÓPEZ</v>
      </c>
      <c r="C890">
        <v>382200.00000000012</v>
      </c>
      <c r="D890">
        <v>876800</v>
      </c>
      <c r="E890">
        <v>570400</v>
      </c>
      <c r="F890">
        <v>1102000</v>
      </c>
      <c r="G890">
        <v>820800</v>
      </c>
      <c r="H890">
        <v>1555000</v>
      </c>
    </row>
    <row r="891" spans="1:8" x14ac:dyDescent="0.3">
      <c r="A891">
        <v>51052331</v>
      </c>
      <c r="B891" t="str">
        <f>VLOOKUP(A891,VENTAS!$A$2:$B$1195,2,0)</f>
        <v>PUGH</v>
      </c>
      <c r="C891">
        <v>361800</v>
      </c>
      <c r="D891">
        <v>607600</v>
      </c>
      <c r="E891">
        <v>458599.99999999988</v>
      </c>
      <c r="F891">
        <v>916000</v>
      </c>
      <c r="G891">
        <v>596800</v>
      </c>
      <c r="H891">
        <v>1545000</v>
      </c>
    </row>
    <row r="892" spans="1:8" x14ac:dyDescent="0.3">
      <c r="A892">
        <v>51037031</v>
      </c>
      <c r="B892" t="str">
        <f>VLOOKUP(A892,VENTAS!$A$2:$B$1195,2,0)</f>
        <v>METTLER</v>
      </c>
      <c r="C892">
        <v>372000</v>
      </c>
      <c r="D892">
        <v>916800</v>
      </c>
      <c r="E892">
        <v>616400</v>
      </c>
      <c r="F892">
        <v>1234000</v>
      </c>
      <c r="G892">
        <v>806400</v>
      </c>
      <c r="H892">
        <v>1542500</v>
      </c>
    </row>
    <row r="893" spans="1:8" x14ac:dyDescent="0.3">
      <c r="A893">
        <v>51043537</v>
      </c>
      <c r="B893" t="str">
        <f>VLOOKUP(A893,VENTAS!$A$2:$B$1195,2,0)</f>
        <v>AYALA</v>
      </c>
      <c r="C893">
        <v>416999.99999999988</v>
      </c>
      <c r="D893">
        <v>971600</v>
      </c>
      <c r="E893">
        <v>539600</v>
      </c>
      <c r="F893">
        <v>1088000</v>
      </c>
      <c r="G893">
        <v>844800</v>
      </c>
      <c r="H893">
        <v>1542500</v>
      </c>
    </row>
    <row r="894" spans="1:8" x14ac:dyDescent="0.3">
      <c r="A894">
        <v>51031997</v>
      </c>
      <c r="B894" t="str">
        <f>VLOOKUP(A894,VENTAS!$A$2:$B$1195,2,0)</f>
        <v>PUGH</v>
      </c>
      <c r="C894">
        <v>1019400</v>
      </c>
      <c r="D894">
        <v>1854000</v>
      </c>
      <c r="E894">
        <v>1323200</v>
      </c>
      <c r="F894">
        <v>2148000</v>
      </c>
      <c r="G894">
        <v>1609600</v>
      </c>
      <c r="H894">
        <v>1512500</v>
      </c>
    </row>
    <row r="895" spans="1:8" x14ac:dyDescent="0.3">
      <c r="A895">
        <v>51056795</v>
      </c>
      <c r="B895" t="str">
        <f>VLOOKUP(A895,VENTAS!$A$2:$B$1195,2,0)</f>
        <v>LÓPEZ</v>
      </c>
      <c r="C895">
        <v>535400</v>
      </c>
      <c r="D895">
        <v>1146400</v>
      </c>
      <c r="E895">
        <v>794000</v>
      </c>
      <c r="F895">
        <v>1336000</v>
      </c>
      <c r="G895">
        <v>972800.00000000012</v>
      </c>
      <c r="H895">
        <v>1487500</v>
      </c>
    </row>
    <row r="896" spans="1:8" x14ac:dyDescent="0.3">
      <c r="A896">
        <v>51007743</v>
      </c>
      <c r="B896" t="str">
        <f>VLOOKUP(A896,VENTAS!$A$2:$B$1195,2,0)</f>
        <v>PRADES</v>
      </c>
      <c r="C896">
        <v>534800</v>
      </c>
      <c r="D896">
        <v>1156000</v>
      </c>
      <c r="E896">
        <v>701200</v>
      </c>
      <c r="F896">
        <v>1526000</v>
      </c>
      <c r="G896">
        <v>923200.00000000012</v>
      </c>
      <c r="H896">
        <v>1482500</v>
      </c>
    </row>
    <row r="897" spans="1:8" x14ac:dyDescent="0.3">
      <c r="A897">
        <v>51040881</v>
      </c>
      <c r="B897" t="str">
        <f>VLOOKUP(A897,VENTAS!$A$2:$B$1195,2,0)</f>
        <v>NELLI</v>
      </c>
      <c r="C897">
        <v>580800</v>
      </c>
      <c r="D897">
        <v>1253200</v>
      </c>
      <c r="E897">
        <v>705800</v>
      </c>
      <c r="F897">
        <v>1534000</v>
      </c>
      <c r="G897">
        <v>958399.99999999988</v>
      </c>
      <c r="H897">
        <v>1480000</v>
      </c>
    </row>
    <row r="898" spans="1:8" x14ac:dyDescent="0.3">
      <c r="A898">
        <v>51030249</v>
      </c>
      <c r="B898" t="str">
        <f>VLOOKUP(A898,VENTAS!$A$2:$B$1195,2,0)</f>
        <v>METTLER</v>
      </c>
      <c r="C898">
        <v>437800</v>
      </c>
      <c r="D898">
        <v>1375200</v>
      </c>
      <c r="E898">
        <v>621000</v>
      </c>
      <c r="F898">
        <v>1450000</v>
      </c>
      <c r="G898">
        <v>1126400</v>
      </c>
      <c r="H898">
        <v>1467500</v>
      </c>
    </row>
    <row r="899" spans="1:8" x14ac:dyDescent="0.3">
      <c r="A899">
        <v>51041712</v>
      </c>
      <c r="B899" t="str">
        <f>VLOOKUP(A899,VENTAS!$A$2:$B$1195,2,0)</f>
        <v>PRADES</v>
      </c>
      <c r="C899">
        <v>375800</v>
      </c>
      <c r="D899">
        <v>764400</v>
      </c>
      <c r="E899">
        <v>613400</v>
      </c>
      <c r="F899">
        <v>996000</v>
      </c>
      <c r="G899">
        <v>987200</v>
      </c>
      <c r="H899">
        <v>1452500</v>
      </c>
    </row>
    <row r="900" spans="1:8" x14ac:dyDescent="0.3">
      <c r="A900">
        <v>51056931</v>
      </c>
      <c r="B900" t="str">
        <f>VLOOKUP(A900,VENTAS!$A$2:$B$1195,2,0)</f>
        <v>METTLER</v>
      </c>
      <c r="C900">
        <v>686400</v>
      </c>
      <c r="D900">
        <v>1666000</v>
      </c>
      <c r="E900">
        <v>939800</v>
      </c>
      <c r="F900">
        <v>1856000</v>
      </c>
      <c r="G900">
        <v>1336000</v>
      </c>
      <c r="H900">
        <v>1445000</v>
      </c>
    </row>
    <row r="901" spans="1:8" x14ac:dyDescent="0.3">
      <c r="A901">
        <v>51021614</v>
      </c>
      <c r="B901" t="str">
        <f>VLOOKUP(A901,VENTAS!$A$2:$B$1195,2,0)</f>
        <v>METTLER</v>
      </c>
      <c r="C901">
        <v>496600</v>
      </c>
      <c r="D901">
        <v>1027600</v>
      </c>
      <c r="E901">
        <v>669600</v>
      </c>
      <c r="F901">
        <v>1030000</v>
      </c>
      <c r="G901">
        <v>904000</v>
      </c>
      <c r="H901">
        <v>1442500</v>
      </c>
    </row>
    <row r="902" spans="1:8" x14ac:dyDescent="0.3">
      <c r="A902">
        <v>51022572</v>
      </c>
      <c r="B902" t="str">
        <f>VLOOKUP(A902,VENTAS!$A$2:$B$1195,2,0)</f>
        <v>ARGUELLO</v>
      </c>
      <c r="C902">
        <v>471200</v>
      </c>
      <c r="D902">
        <v>751600</v>
      </c>
      <c r="E902">
        <v>665400</v>
      </c>
      <c r="F902">
        <v>908000</v>
      </c>
      <c r="G902">
        <v>812800</v>
      </c>
      <c r="H902">
        <v>1432500</v>
      </c>
    </row>
    <row r="903" spans="1:8" x14ac:dyDescent="0.3">
      <c r="A903">
        <v>51002717</v>
      </c>
      <c r="B903" t="str">
        <f>VLOOKUP(A903,VENTAS!$A$2:$B$1195,2,0)</f>
        <v>MONTENEGRO</v>
      </c>
      <c r="C903">
        <v>435800</v>
      </c>
      <c r="D903">
        <v>1221600</v>
      </c>
      <c r="E903">
        <v>876199.99999999988</v>
      </c>
      <c r="F903">
        <v>1694000</v>
      </c>
      <c r="G903">
        <v>1206400</v>
      </c>
      <c r="H903">
        <v>1430000</v>
      </c>
    </row>
    <row r="904" spans="1:8" x14ac:dyDescent="0.3">
      <c r="A904">
        <v>51011601</v>
      </c>
      <c r="B904" t="str">
        <f>VLOOKUP(A904,VENTAS!$A$2:$B$1195,2,0)</f>
        <v>MONTENEGRO</v>
      </c>
      <c r="C904">
        <v>495600</v>
      </c>
      <c r="D904">
        <v>1029200</v>
      </c>
      <c r="E904">
        <v>786600</v>
      </c>
      <c r="F904">
        <v>1174000</v>
      </c>
      <c r="G904">
        <v>1059200</v>
      </c>
      <c r="H904">
        <v>1420000</v>
      </c>
    </row>
    <row r="905" spans="1:8" x14ac:dyDescent="0.3">
      <c r="A905">
        <v>51043561</v>
      </c>
      <c r="B905" t="str">
        <f>VLOOKUP(A905,VENTAS!$A$2:$B$1195,2,0)</f>
        <v>PUGH</v>
      </c>
      <c r="C905">
        <v>565200</v>
      </c>
      <c r="D905">
        <v>1246000</v>
      </c>
      <c r="E905">
        <v>807400</v>
      </c>
      <c r="F905">
        <v>964000</v>
      </c>
      <c r="G905">
        <v>1137600</v>
      </c>
      <c r="H905">
        <v>1420000</v>
      </c>
    </row>
    <row r="906" spans="1:8" x14ac:dyDescent="0.3">
      <c r="A906">
        <v>51030826</v>
      </c>
      <c r="B906" t="str">
        <f>VLOOKUP(A906,VENTAS!$A$2:$B$1195,2,0)</f>
        <v>METTLER</v>
      </c>
      <c r="C906">
        <v>437800</v>
      </c>
      <c r="D906">
        <v>960000</v>
      </c>
      <c r="E906">
        <v>523800</v>
      </c>
      <c r="F906">
        <v>1334000</v>
      </c>
      <c r="G906">
        <v>857600</v>
      </c>
      <c r="H906">
        <v>1412500</v>
      </c>
    </row>
    <row r="907" spans="1:8" x14ac:dyDescent="0.3">
      <c r="A907">
        <v>51036191</v>
      </c>
      <c r="B907" t="str">
        <f>VLOOKUP(A907,VENTAS!$A$2:$B$1195,2,0)</f>
        <v>PRADES</v>
      </c>
      <c r="C907">
        <v>421600</v>
      </c>
      <c r="D907">
        <v>1076000</v>
      </c>
      <c r="E907">
        <v>579000</v>
      </c>
      <c r="F907">
        <v>1182000</v>
      </c>
      <c r="G907">
        <v>763200</v>
      </c>
      <c r="H907">
        <v>1410000</v>
      </c>
    </row>
    <row r="908" spans="1:8" x14ac:dyDescent="0.3">
      <c r="A908">
        <v>51001044</v>
      </c>
      <c r="B908" t="str">
        <f>VLOOKUP(A908,VENTAS!$A$2:$B$1195,2,0)</f>
        <v>METTLER</v>
      </c>
      <c r="C908">
        <v>408600.00000000012</v>
      </c>
      <c r="D908">
        <v>940799.99999999988</v>
      </c>
      <c r="E908">
        <v>575600</v>
      </c>
      <c r="F908">
        <v>1068000</v>
      </c>
      <c r="G908">
        <v>835200</v>
      </c>
      <c r="H908">
        <v>1405000</v>
      </c>
    </row>
    <row r="909" spans="1:8" x14ac:dyDescent="0.3">
      <c r="A909">
        <v>51015355</v>
      </c>
      <c r="B909" t="str">
        <f>VLOOKUP(A909,VENTAS!$A$2:$B$1195,2,0)</f>
        <v>BELUZZO</v>
      </c>
      <c r="C909">
        <v>407000</v>
      </c>
      <c r="D909">
        <v>716400</v>
      </c>
      <c r="E909">
        <v>599800</v>
      </c>
      <c r="F909">
        <v>874000</v>
      </c>
      <c r="G909">
        <v>947200</v>
      </c>
      <c r="H909">
        <v>1405000</v>
      </c>
    </row>
    <row r="910" spans="1:8" x14ac:dyDescent="0.3">
      <c r="A910">
        <v>51019008</v>
      </c>
      <c r="B910" t="str">
        <f>VLOOKUP(A910,VENTAS!$A$2:$B$1195,2,0)</f>
        <v>MONTENEGRO</v>
      </c>
      <c r="C910">
        <v>464000.00000000012</v>
      </c>
      <c r="D910">
        <v>882400</v>
      </c>
      <c r="E910">
        <v>799800</v>
      </c>
      <c r="F910">
        <v>1408000</v>
      </c>
      <c r="G910">
        <v>785600</v>
      </c>
      <c r="H910">
        <v>1395000</v>
      </c>
    </row>
    <row r="911" spans="1:8" x14ac:dyDescent="0.3">
      <c r="A911">
        <v>51039815</v>
      </c>
      <c r="B911" t="str">
        <f>VLOOKUP(A911,VENTAS!$A$2:$B$1195,2,0)</f>
        <v>AYALA</v>
      </c>
      <c r="C911">
        <v>1044800</v>
      </c>
      <c r="D911">
        <v>2708800</v>
      </c>
      <c r="E911">
        <v>1365400</v>
      </c>
      <c r="F911">
        <v>3028000</v>
      </c>
      <c r="G911">
        <v>2289600</v>
      </c>
      <c r="H911">
        <v>1395000</v>
      </c>
    </row>
    <row r="912" spans="1:8" x14ac:dyDescent="0.3">
      <c r="A912">
        <v>51024206</v>
      </c>
      <c r="B912" t="str">
        <f>VLOOKUP(A912,VENTAS!$A$2:$B$1195,2,0)</f>
        <v>MONTENEGRO</v>
      </c>
      <c r="C912">
        <v>589000</v>
      </c>
      <c r="D912">
        <v>1176800</v>
      </c>
      <c r="E912">
        <v>675400</v>
      </c>
      <c r="F912">
        <v>1290000</v>
      </c>
      <c r="G912">
        <v>952000</v>
      </c>
      <c r="H912">
        <v>1390000</v>
      </c>
    </row>
    <row r="913" spans="1:8" x14ac:dyDescent="0.3">
      <c r="A913">
        <v>51036964</v>
      </c>
      <c r="B913" t="str">
        <f>VLOOKUP(A913,VENTAS!$A$2:$B$1195,2,0)</f>
        <v>PUGH</v>
      </c>
      <c r="C913">
        <v>476000</v>
      </c>
      <c r="D913">
        <v>1227600</v>
      </c>
      <c r="E913">
        <v>701600</v>
      </c>
      <c r="F913">
        <v>1246000</v>
      </c>
      <c r="G913">
        <v>1027200</v>
      </c>
      <c r="H913">
        <v>1377500</v>
      </c>
    </row>
    <row r="914" spans="1:8" x14ac:dyDescent="0.3">
      <c r="A914">
        <v>51011929</v>
      </c>
      <c r="B914" t="str">
        <f>VLOOKUP(A914,VENTAS!$A$2:$B$1195,2,0)</f>
        <v>ARGUELLO</v>
      </c>
      <c r="C914">
        <v>635400</v>
      </c>
      <c r="D914">
        <v>1297200</v>
      </c>
      <c r="E914">
        <v>989000</v>
      </c>
      <c r="F914">
        <v>1898000</v>
      </c>
      <c r="G914">
        <v>1497600</v>
      </c>
      <c r="H914">
        <v>1372500</v>
      </c>
    </row>
    <row r="915" spans="1:8" x14ac:dyDescent="0.3">
      <c r="A915">
        <v>51034376</v>
      </c>
      <c r="B915" t="str">
        <f>VLOOKUP(A915,VENTAS!$A$2:$B$1195,2,0)</f>
        <v>CICHETTO</v>
      </c>
      <c r="C915">
        <v>655000</v>
      </c>
      <c r="D915">
        <v>2158000</v>
      </c>
      <c r="E915">
        <v>1078600</v>
      </c>
      <c r="F915">
        <v>1964000</v>
      </c>
      <c r="G915">
        <v>1619200</v>
      </c>
      <c r="H915">
        <v>1345000</v>
      </c>
    </row>
    <row r="916" spans="1:8" x14ac:dyDescent="0.3">
      <c r="A916">
        <v>51023331</v>
      </c>
      <c r="B916" t="str">
        <f>VLOOKUP(A916,VENTAS!$A$2:$B$1195,2,0)</f>
        <v>ARGUELLO</v>
      </c>
      <c r="C916">
        <v>527600</v>
      </c>
      <c r="D916">
        <v>496399.99999999988</v>
      </c>
      <c r="E916">
        <v>917399.99999999988</v>
      </c>
      <c r="F916">
        <v>1556000</v>
      </c>
      <c r="G916">
        <v>1118400</v>
      </c>
      <c r="H916">
        <v>1335000</v>
      </c>
    </row>
    <row r="917" spans="1:8" x14ac:dyDescent="0.3">
      <c r="A917">
        <v>51056752</v>
      </c>
      <c r="B917" t="str">
        <f>VLOOKUP(A917,VENTAS!$A$2:$B$1195,2,0)</f>
        <v>BELUZZO</v>
      </c>
      <c r="C917">
        <v>184600</v>
      </c>
      <c r="D917">
        <v>606800</v>
      </c>
      <c r="E917">
        <v>335800</v>
      </c>
      <c r="F917">
        <v>972000</v>
      </c>
      <c r="G917">
        <v>499200</v>
      </c>
      <c r="H917">
        <v>1332500</v>
      </c>
    </row>
    <row r="918" spans="1:8" x14ac:dyDescent="0.3">
      <c r="A918">
        <v>51057121</v>
      </c>
      <c r="B918" t="str">
        <f>VLOOKUP(A918,VENTAS!$A$2:$B$1195,2,0)</f>
        <v>ROBERTS</v>
      </c>
      <c r="C918">
        <v>318800</v>
      </c>
      <c r="D918">
        <v>877200</v>
      </c>
      <c r="E918">
        <v>517200</v>
      </c>
      <c r="F918">
        <v>544000</v>
      </c>
      <c r="G918">
        <v>540800</v>
      </c>
      <c r="H918">
        <v>1290000</v>
      </c>
    </row>
    <row r="919" spans="1:8" x14ac:dyDescent="0.3">
      <c r="A919">
        <v>51024460</v>
      </c>
      <c r="B919" t="str">
        <f>VLOOKUP(A919,VENTAS!$A$2:$B$1195,2,0)</f>
        <v>PUGH</v>
      </c>
      <c r="C919">
        <v>537000</v>
      </c>
      <c r="D919">
        <v>1026400</v>
      </c>
      <c r="E919">
        <v>601000</v>
      </c>
      <c r="F919">
        <v>1108000</v>
      </c>
      <c r="G919">
        <v>814400</v>
      </c>
      <c r="H919">
        <v>1270000</v>
      </c>
    </row>
    <row r="920" spans="1:8" x14ac:dyDescent="0.3">
      <c r="A920">
        <v>51035879</v>
      </c>
      <c r="B920" t="str">
        <f>VLOOKUP(A920,VENTAS!$A$2:$B$1195,2,0)</f>
        <v>METTLER</v>
      </c>
      <c r="C920">
        <v>529800</v>
      </c>
      <c r="D920">
        <v>1430800</v>
      </c>
      <c r="E920">
        <v>982800</v>
      </c>
      <c r="F920">
        <v>1410000</v>
      </c>
      <c r="G920">
        <v>1185600</v>
      </c>
      <c r="H920">
        <v>1270000</v>
      </c>
    </row>
    <row r="921" spans="1:8" x14ac:dyDescent="0.3">
      <c r="A921">
        <v>51041666</v>
      </c>
      <c r="B921" t="str">
        <f>VLOOKUP(A921,VENTAS!$A$2:$B$1195,2,0)</f>
        <v>METTLER</v>
      </c>
      <c r="C921">
        <v>0</v>
      </c>
      <c r="D921">
        <v>580800</v>
      </c>
      <c r="E921">
        <v>188400</v>
      </c>
      <c r="F921">
        <v>1320000</v>
      </c>
      <c r="G921">
        <v>316800</v>
      </c>
      <c r="H921">
        <v>1267500</v>
      </c>
    </row>
    <row r="922" spans="1:8" x14ac:dyDescent="0.3">
      <c r="A922">
        <v>51033507</v>
      </c>
      <c r="B922" t="str">
        <f>VLOOKUP(A922,VENTAS!$A$2:$B$1195,2,0)</f>
        <v>MONTENEGRO</v>
      </c>
      <c r="C922">
        <v>360400</v>
      </c>
      <c r="D922">
        <v>859600</v>
      </c>
      <c r="E922">
        <v>466800</v>
      </c>
      <c r="F922">
        <v>950000</v>
      </c>
      <c r="G922">
        <v>748800</v>
      </c>
      <c r="H922">
        <v>1257500</v>
      </c>
    </row>
    <row r="923" spans="1:8" x14ac:dyDescent="0.3">
      <c r="A923">
        <v>51017773</v>
      </c>
      <c r="B923" t="str">
        <f>VLOOKUP(A923,VENTAS!$A$2:$B$1195,2,0)</f>
        <v>AYALA</v>
      </c>
      <c r="C923">
        <v>285000</v>
      </c>
      <c r="D923">
        <v>842000</v>
      </c>
      <c r="E923">
        <v>465800</v>
      </c>
      <c r="F923">
        <v>1064000</v>
      </c>
      <c r="G923">
        <v>755200</v>
      </c>
      <c r="H923">
        <v>1247500</v>
      </c>
    </row>
    <row r="924" spans="1:8" x14ac:dyDescent="0.3">
      <c r="A924">
        <v>51025148</v>
      </c>
      <c r="B924" t="str">
        <f>VLOOKUP(A924,VENTAS!$A$2:$B$1195,2,0)</f>
        <v>MONTENEGRO</v>
      </c>
      <c r="C924">
        <v>628800</v>
      </c>
      <c r="D924">
        <v>988799.99999999988</v>
      </c>
      <c r="E924">
        <v>961200.00000000012</v>
      </c>
      <c r="F924">
        <v>1082000</v>
      </c>
      <c r="G924">
        <v>945600</v>
      </c>
      <c r="H924">
        <v>1240000</v>
      </c>
    </row>
    <row r="925" spans="1:8" x14ac:dyDescent="0.3">
      <c r="A925">
        <v>51054938</v>
      </c>
      <c r="B925" t="str">
        <f>VLOOKUP(A925,VENTAS!$A$2:$B$1195,2,0)</f>
        <v>NELLI</v>
      </c>
      <c r="C925">
        <v>326600</v>
      </c>
      <c r="D925">
        <v>786000</v>
      </c>
      <c r="E925">
        <v>610800</v>
      </c>
      <c r="F925">
        <v>1116000</v>
      </c>
      <c r="G925">
        <v>863999.99999999988</v>
      </c>
      <c r="H925">
        <v>1222500</v>
      </c>
    </row>
    <row r="926" spans="1:8" x14ac:dyDescent="0.3">
      <c r="A926">
        <v>51011597</v>
      </c>
      <c r="B926" t="str">
        <f>VLOOKUP(A926,VENTAS!$A$2:$B$1195,2,0)</f>
        <v>AYALA</v>
      </c>
      <c r="C926">
        <v>244000</v>
      </c>
      <c r="D926">
        <v>614000</v>
      </c>
      <c r="E926">
        <v>460199.99999999988</v>
      </c>
      <c r="F926">
        <v>976000</v>
      </c>
      <c r="G926">
        <v>614400</v>
      </c>
      <c r="H926">
        <v>1207500</v>
      </c>
    </row>
    <row r="927" spans="1:8" x14ac:dyDescent="0.3">
      <c r="A927">
        <v>51023846</v>
      </c>
      <c r="B927" t="str">
        <f>VLOOKUP(A927,VENTAS!$A$2:$B$1195,2,0)</f>
        <v>CICHETTO</v>
      </c>
      <c r="C927">
        <v>503400</v>
      </c>
      <c r="D927">
        <v>986800</v>
      </c>
      <c r="E927">
        <v>561000</v>
      </c>
      <c r="F927">
        <v>1292000</v>
      </c>
      <c r="G927">
        <v>699200</v>
      </c>
      <c r="H927">
        <v>1197500</v>
      </c>
    </row>
    <row r="928" spans="1:8" x14ac:dyDescent="0.3">
      <c r="A928">
        <v>51017218</v>
      </c>
      <c r="B928" t="str">
        <f>VLOOKUP(A928,VENTAS!$A$2:$B$1195,2,0)</f>
        <v>BELUZZO</v>
      </c>
      <c r="C928">
        <v>353800</v>
      </c>
      <c r="D928">
        <v>821200</v>
      </c>
      <c r="E928">
        <v>500400</v>
      </c>
      <c r="F928">
        <v>816000</v>
      </c>
      <c r="G928">
        <v>705600</v>
      </c>
      <c r="H928">
        <v>1190000</v>
      </c>
    </row>
    <row r="929" spans="1:8" x14ac:dyDescent="0.3">
      <c r="A929">
        <v>51001419</v>
      </c>
      <c r="B929" t="str">
        <f>VLOOKUP(A929,VENTAS!$A$2:$B$1195,2,0)</f>
        <v>METTLER</v>
      </c>
      <c r="C929">
        <v>474999.99999999988</v>
      </c>
      <c r="D929">
        <v>1022800</v>
      </c>
      <c r="E929">
        <v>685200</v>
      </c>
      <c r="F929">
        <v>1038000</v>
      </c>
      <c r="G929">
        <v>904000</v>
      </c>
      <c r="H929">
        <v>1185000</v>
      </c>
    </row>
    <row r="930" spans="1:8" x14ac:dyDescent="0.3">
      <c r="A930">
        <v>51024095</v>
      </c>
      <c r="B930" t="str">
        <f>VLOOKUP(A930,VENTAS!$A$2:$B$1195,2,0)</f>
        <v>CICHETTO</v>
      </c>
      <c r="C930">
        <v>308800</v>
      </c>
      <c r="D930">
        <v>696400</v>
      </c>
      <c r="E930">
        <v>548600</v>
      </c>
      <c r="F930">
        <v>944000</v>
      </c>
      <c r="G930">
        <v>612800</v>
      </c>
      <c r="H930">
        <v>1175000</v>
      </c>
    </row>
    <row r="931" spans="1:8" x14ac:dyDescent="0.3">
      <c r="A931">
        <v>51057007</v>
      </c>
      <c r="B931" t="str">
        <f>VLOOKUP(A931,VENTAS!$A$2:$B$1195,2,0)</f>
        <v>MONTENEGRO</v>
      </c>
      <c r="C931">
        <v>476200</v>
      </c>
      <c r="D931">
        <v>1071600</v>
      </c>
      <c r="E931">
        <v>821400.00000000012</v>
      </c>
      <c r="F931">
        <v>1310000</v>
      </c>
      <c r="G931">
        <v>1064000</v>
      </c>
      <c r="H931">
        <v>1167500</v>
      </c>
    </row>
    <row r="932" spans="1:8" x14ac:dyDescent="0.3">
      <c r="A932">
        <v>51024478</v>
      </c>
      <c r="B932" t="str">
        <f>VLOOKUP(A932,VENTAS!$A$2:$B$1195,2,0)</f>
        <v>NELLI</v>
      </c>
      <c r="C932">
        <v>609800</v>
      </c>
      <c r="D932">
        <v>1058800</v>
      </c>
      <c r="E932">
        <v>840400</v>
      </c>
      <c r="F932">
        <v>1038000</v>
      </c>
      <c r="G932">
        <v>1038400</v>
      </c>
      <c r="H932">
        <v>1147500</v>
      </c>
    </row>
    <row r="933" spans="1:8" x14ac:dyDescent="0.3">
      <c r="A933">
        <v>51023480</v>
      </c>
      <c r="B933" t="str">
        <f>VLOOKUP(A933,VENTAS!$A$2:$B$1195,2,0)</f>
        <v>METTLER</v>
      </c>
      <c r="C933">
        <v>0</v>
      </c>
      <c r="D933">
        <v>429200</v>
      </c>
      <c r="E933">
        <v>0</v>
      </c>
      <c r="F933">
        <v>886000</v>
      </c>
      <c r="G933">
        <v>332800</v>
      </c>
      <c r="H933">
        <v>1142500</v>
      </c>
    </row>
    <row r="934" spans="1:8" x14ac:dyDescent="0.3">
      <c r="A934">
        <v>51032195</v>
      </c>
      <c r="B934" t="str">
        <f>VLOOKUP(A934,VENTAS!$A$2:$B$1195,2,0)</f>
        <v>METTLER</v>
      </c>
      <c r="C934">
        <v>0</v>
      </c>
      <c r="D934">
        <v>0</v>
      </c>
      <c r="E934">
        <v>0</v>
      </c>
      <c r="F934">
        <v>46000</v>
      </c>
      <c r="G934">
        <v>0</v>
      </c>
      <c r="H934">
        <v>1115000</v>
      </c>
    </row>
    <row r="935" spans="1:8" x14ac:dyDescent="0.3">
      <c r="A935">
        <v>51010191</v>
      </c>
      <c r="B935" t="str">
        <f>VLOOKUP(A935,VENTAS!$A$2:$B$1195,2,0)</f>
        <v>MONTENEGRO</v>
      </c>
      <c r="C935">
        <v>118600</v>
      </c>
      <c r="D935">
        <v>93600</v>
      </c>
      <c r="E935">
        <v>161600</v>
      </c>
      <c r="F935">
        <v>448000</v>
      </c>
      <c r="G935">
        <v>144000</v>
      </c>
      <c r="H935">
        <v>1110000</v>
      </c>
    </row>
    <row r="936" spans="1:8" x14ac:dyDescent="0.3">
      <c r="A936">
        <v>51017714</v>
      </c>
      <c r="B936" t="str">
        <f>VLOOKUP(A936,VENTAS!$A$2:$B$1195,2,0)</f>
        <v>ROBERTS</v>
      </c>
      <c r="C936">
        <v>307800</v>
      </c>
      <c r="D936">
        <v>851200</v>
      </c>
      <c r="E936">
        <v>589000</v>
      </c>
      <c r="F936">
        <v>552000</v>
      </c>
      <c r="G936">
        <v>931200</v>
      </c>
      <c r="H936">
        <v>1110000</v>
      </c>
    </row>
    <row r="937" spans="1:8" x14ac:dyDescent="0.3">
      <c r="A937">
        <v>51018389</v>
      </c>
      <c r="B937" t="str">
        <f>VLOOKUP(A937,VENTAS!$A$2:$B$1195,2,0)</f>
        <v>METTLER</v>
      </c>
      <c r="C937">
        <v>433400</v>
      </c>
      <c r="D937">
        <v>683200</v>
      </c>
      <c r="E937">
        <v>566200</v>
      </c>
      <c r="F937">
        <v>870000</v>
      </c>
      <c r="G937">
        <v>755200</v>
      </c>
      <c r="H937">
        <v>1095000</v>
      </c>
    </row>
    <row r="938" spans="1:8" x14ac:dyDescent="0.3">
      <c r="A938">
        <v>51011295</v>
      </c>
      <c r="B938" t="str">
        <f>VLOOKUP(A938,VENTAS!$A$2:$B$1195,2,0)</f>
        <v>CICHETTO</v>
      </c>
      <c r="C938">
        <v>379800</v>
      </c>
      <c r="D938">
        <v>820800</v>
      </c>
      <c r="E938">
        <v>597800</v>
      </c>
      <c r="F938">
        <v>836000</v>
      </c>
      <c r="G938">
        <v>769600</v>
      </c>
      <c r="H938">
        <v>1077500</v>
      </c>
    </row>
    <row r="939" spans="1:8" x14ac:dyDescent="0.3">
      <c r="A939">
        <v>51002709</v>
      </c>
      <c r="B939" t="str">
        <f>VLOOKUP(A939,VENTAS!$A$2:$B$1195,2,0)</f>
        <v>BELUZZO</v>
      </c>
      <c r="C939">
        <v>441800</v>
      </c>
      <c r="D939">
        <v>1056800</v>
      </c>
      <c r="E939">
        <v>584800</v>
      </c>
      <c r="F939">
        <v>1222000</v>
      </c>
      <c r="G939">
        <v>764800</v>
      </c>
      <c r="H939">
        <v>1072500</v>
      </c>
    </row>
    <row r="940" spans="1:8" x14ac:dyDescent="0.3">
      <c r="A940">
        <v>51023277</v>
      </c>
      <c r="B940" t="str">
        <f>VLOOKUP(A940,VENTAS!$A$2:$B$1195,2,0)</f>
        <v>PUGH</v>
      </c>
      <c r="C940">
        <v>278600</v>
      </c>
      <c r="D940">
        <v>666000</v>
      </c>
      <c r="E940">
        <v>326000</v>
      </c>
      <c r="F940">
        <v>954000</v>
      </c>
      <c r="G940">
        <v>528000</v>
      </c>
      <c r="H940">
        <v>1072500</v>
      </c>
    </row>
    <row r="941" spans="1:8" x14ac:dyDescent="0.3">
      <c r="A941">
        <v>51010523</v>
      </c>
      <c r="B941" t="str">
        <f>VLOOKUP(A941,VENTAS!$A$2:$B$1195,2,0)</f>
        <v>AYALA</v>
      </c>
      <c r="C941">
        <v>910000</v>
      </c>
      <c r="D941">
        <v>799200</v>
      </c>
      <c r="E941">
        <v>1085600</v>
      </c>
      <c r="F941">
        <v>668000</v>
      </c>
      <c r="G941">
        <v>788800</v>
      </c>
      <c r="H941">
        <v>1062500</v>
      </c>
    </row>
    <row r="942" spans="1:8" x14ac:dyDescent="0.3">
      <c r="A942">
        <v>51030915</v>
      </c>
      <c r="B942" t="str">
        <f>VLOOKUP(A942,VENTAS!$A$2:$B$1195,2,0)</f>
        <v>BELUZZO</v>
      </c>
      <c r="C942">
        <v>596000</v>
      </c>
      <c r="D942">
        <v>1182400</v>
      </c>
      <c r="E942">
        <v>778999.99999999988</v>
      </c>
      <c r="F942">
        <v>1500000</v>
      </c>
      <c r="G942">
        <v>1096000</v>
      </c>
      <c r="H942">
        <v>1062500</v>
      </c>
    </row>
    <row r="943" spans="1:8" x14ac:dyDescent="0.3">
      <c r="A943">
        <v>51012674</v>
      </c>
      <c r="B943" t="str">
        <f>VLOOKUP(A943,VENTAS!$A$2:$B$1195,2,0)</f>
        <v>ARGUELLO</v>
      </c>
      <c r="C943">
        <v>346000</v>
      </c>
      <c r="D943">
        <v>768400</v>
      </c>
      <c r="E943">
        <v>445200</v>
      </c>
      <c r="F943">
        <v>620000</v>
      </c>
      <c r="G943">
        <v>705600</v>
      </c>
      <c r="H943">
        <v>1052500</v>
      </c>
    </row>
    <row r="944" spans="1:8" x14ac:dyDescent="0.3">
      <c r="A944">
        <v>51056108</v>
      </c>
      <c r="B944" t="str">
        <f>VLOOKUP(A944,VENTAS!$A$2:$B$1195,2,0)</f>
        <v>BELUZZO</v>
      </c>
      <c r="C944">
        <v>224200</v>
      </c>
      <c r="D944">
        <v>655600</v>
      </c>
      <c r="E944">
        <v>394800</v>
      </c>
      <c r="F944">
        <v>698000</v>
      </c>
      <c r="G944">
        <v>692800</v>
      </c>
      <c r="H944">
        <v>1052500</v>
      </c>
    </row>
    <row r="945" spans="1:8" x14ac:dyDescent="0.3">
      <c r="A945">
        <v>51042999</v>
      </c>
      <c r="B945" t="str">
        <f>VLOOKUP(A945,VENTAS!$A$2:$B$1195,2,0)</f>
        <v>PRADES</v>
      </c>
      <c r="C945">
        <v>254800</v>
      </c>
      <c r="D945">
        <v>502400.00000000012</v>
      </c>
      <c r="E945">
        <v>426600</v>
      </c>
      <c r="F945">
        <v>882000</v>
      </c>
      <c r="G945">
        <v>625600</v>
      </c>
      <c r="H945">
        <v>1050000</v>
      </c>
    </row>
    <row r="946" spans="1:8" x14ac:dyDescent="0.3">
      <c r="A946">
        <v>51055578</v>
      </c>
      <c r="B946" t="str">
        <f>VLOOKUP(A946,VENTAS!$A$2:$B$1195,2,0)</f>
        <v>ROBERTS</v>
      </c>
      <c r="C946">
        <v>310000</v>
      </c>
      <c r="D946">
        <v>504000</v>
      </c>
      <c r="E946">
        <v>523200</v>
      </c>
      <c r="F946">
        <v>802000</v>
      </c>
      <c r="G946">
        <v>748800</v>
      </c>
      <c r="H946">
        <v>950000</v>
      </c>
    </row>
    <row r="947" spans="1:8" x14ac:dyDescent="0.3">
      <c r="A947">
        <v>51056353</v>
      </c>
      <c r="B947" t="str">
        <f>VLOOKUP(A947,VENTAS!$A$2:$B$1195,2,0)</f>
        <v>BELUZZO</v>
      </c>
      <c r="C947">
        <v>155200</v>
      </c>
      <c r="D947">
        <v>384400</v>
      </c>
      <c r="E947">
        <v>235000</v>
      </c>
      <c r="F947">
        <v>802000</v>
      </c>
      <c r="G947">
        <v>467200</v>
      </c>
      <c r="H947">
        <v>947500</v>
      </c>
    </row>
    <row r="948" spans="1:8" x14ac:dyDescent="0.3">
      <c r="A948">
        <v>51056531</v>
      </c>
      <c r="B948" t="str">
        <f>VLOOKUP(A948,VENTAS!$A$2:$B$1195,2,0)</f>
        <v>BELUZZO</v>
      </c>
      <c r="C948">
        <v>372400</v>
      </c>
      <c r="D948">
        <v>692400</v>
      </c>
      <c r="E948">
        <v>452600</v>
      </c>
      <c r="F948">
        <v>734000</v>
      </c>
      <c r="G948">
        <v>512000.00000000012</v>
      </c>
      <c r="H948">
        <v>932500</v>
      </c>
    </row>
    <row r="949" spans="1:8" x14ac:dyDescent="0.3">
      <c r="A949">
        <v>51032381</v>
      </c>
      <c r="B949" t="str">
        <f>VLOOKUP(A949,VENTAS!$A$2:$B$1195,2,0)</f>
        <v>CICHETTO</v>
      </c>
      <c r="C949">
        <v>572000</v>
      </c>
      <c r="D949">
        <v>936399.99999999988</v>
      </c>
      <c r="E949">
        <v>723800</v>
      </c>
      <c r="F949">
        <v>1084000</v>
      </c>
      <c r="G949">
        <v>939200</v>
      </c>
      <c r="H949">
        <v>927500</v>
      </c>
    </row>
    <row r="950" spans="1:8" x14ac:dyDescent="0.3">
      <c r="A950">
        <v>51021282</v>
      </c>
      <c r="B950" t="str">
        <f>VLOOKUP(A950,VENTAS!$A$2:$B$1195,2,0)</f>
        <v>PRADES</v>
      </c>
      <c r="C950">
        <v>393200.00000000012</v>
      </c>
      <c r="D950">
        <v>1147200</v>
      </c>
      <c r="E950">
        <v>634400</v>
      </c>
      <c r="F950">
        <v>1150000</v>
      </c>
      <c r="G950">
        <v>817600</v>
      </c>
      <c r="H950">
        <v>922500</v>
      </c>
    </row>
    <row r="951" spans="1:8" x14ac:dyDescent="0.3">
      <c r="A951">
        <v>51016602</v>
      </c>
      <c r="B951" t="str">
        <f>VLOOKUP(A951,VENTAS!$A$2:$B$1195,2,0)</f>
        <v>BELUZZO</v>
      </c>
      <c r="C951">
        <v>599000</v>
      </c>
      <c r="D951">
        <v>989200</v>
      </c>
      <c r="E951">
        <v>672600</v>
      </c>
      <c r="F951">
        <v>1530000</v>
      </c>
      <c r="G951">
        <v>998400</v>
      </c>
      <c r="H951">
        <v>910000</v>
      </c>
    </row>
    <row r="952" spans="1:8" x14ac:dyDescent="0.3">
      <c r="A952">
        <v>51020171</v>
      </c>
      <c r="B952" t="str">
        <f>VLOOKUP(A952,VENTAS!$A$2:$B$1195,2,0)</f>
        <v>AYALA</v>
      </c>
      <c r="C952">
        <v>349000</v>
      </c>
      <c r="D952">
        <v>938400</v>
      </c>
      <c r="E952">
        <v>528400</v>
      </c>
      <c r="F952">
        <v>800000</v>
      </c>
      <c r="G952">
        <v>833600</v>
      </c>
      <c r="H952">
        <v>910000</v>
      </c>
    </row>
    <row r="953" spans="1:8" x14ac:dyDescent="0.3">
      <c r="A953">
        <v>51011171</v>
      </c>
      <c r="B953" t="str">
        <f>VLOOKUP(A953,VENTAS!$A$2:$B$1195,2,0)</f>
        <v>PRADES</v>
      </c>
      <c r="C953">
        <v>692800</v>
      </c>
      <c r="D953">
        <v>1006400</v>
      </c>
      <c r="E953">
        <v>682600</v>
      </c>
      <c r="F953">
        <v>938000</v>
      </c>
      <c r="G953">
        <v>886400</v>
      </c>
      <c r="H953">
        <v>892500</v>
      </c>
    </row>
    <row r="954" spans="1:8" x14ac:dyDescent="0.3">
      <c r="A954">
        <v>51015835</v>
      </c>
      <c r="B954" t="str">
        <f>VLOOKUP(A954,VENTAS!$A$2:$B$1195,2,0)</f>
        <v>PUGH</v>
      </c>
      <c r="C954">
        <v>300200</v>
      </c>
      <c r="D954">
        <v>564400</v>
      </c>
      <c r="E954">
        <v>471200</v>
      </c>
      <c r="F954">
        <v>822000</v>
      </c>
      <c r="G954">
        <v>652800</v>
      </c>
      <c r="H954">
        <v>887500</v>
      </c>
    </row>
    <row r="955" spans="1:8" x14ac:dyDescent="0.3">
      <c r="A955">
        <v>51024664</v>
      </c>
      <c r="B955" t="str">
        <f>VLOOKUP(A955,VENTAS!$A$2:$B$1195,2,0)</f>
        <v>METTLER</v>
      </c>
      <c r="C955">
        <v>362400</v>
      </c>
      <c r="D955">
        <v>904800.00000000012</v>
      </c>
      <c r="E955">
        <v>597800</v>
      </c>
      <c r="F955">
        <v>936000</v>
      </c>
      <c r="G955">
        <v>720000</v>
      </c>
      <c r="H955">
        <v>865000</v>
      </c>
    </row>
    <row r="956" spans="1:8" x14ac:dyDescent="0.3">
      <c r="A956">
        <v>51024010</v>
      </c>
      <c r="B956" t="str">
        <f>VLOOKUP(A956,VENTAS!$A$2:$B$1195,2,0)</f>
        <v>ROBERTS</v>
      </c>
      <c r="C956">
        <v>914400</v>
      </c>
      <c r="D956">
        <v>2061200</v>
      </c>
      <c r="E956">
        <v>1306000</v>
      </c>
      <c r="F956">
        <v>2668000</v>
      </c>
      <c r="G956">
        <v>1836800</v>
      </c>
      <c r="H956">
        <v>845000</v>
      </c>
    </row>
    <row r="957" spans="1:8" x14ac:dyDescent="0.3">
      <c r="A957">
        <v>51016998</v>
      </c>
      <c r="B957" t="str">
        <f>VLOOKUP(A957,VENTAS!$A$2:$B$1195,2,0)</f>
        <v>ROBERTS</v>
      </c>
      <c r="C957">
        <v>565600</v>
      </c>
      <c r="D957">
        <v>553600</v>
      </c>
      <c r="E957">
        <v>654800</v>
      </c>
      <c r="F957">
        <v>782000</v>
      </c>
      <c r="G957">
        <v>753600</v>
      </c>
      <c r="H957">
        <v>817499.99999999988</v>
      </c>
    </row>
    <row r="958" spans="1:8" x14ac:dyDescent="0.3">
      <c r="A958">
        <v>51015126</v>
      </c>
      <c r="B958" t="str">
        <f>VLOOKUP(A958,VENTAS!$A$2:$B$1195,2,0)</f>
        <v>METTLER</v>
      </c>
      <c r="C958">
        <v>223400</v>
      </c>
      <c r="D958">
        <v>395600</v>
      </c>
      <c r="E958">
        <v>308200</v>
      </c>
      <c r="F958">
        <v>558000</v>
      </c>
      <c r="G958">
        <v>449600</v>
      </c>
      <c r="H958">
        <v>792500.00000000012</v>
      </c>
    </row>
    <row r="959" spans="1:8" x14ac:dyDescent="0.3">
      <c r="A959">
        <v>51024818</v>
      </c>
      <c r="B959" t="str">
        <f>VLOOKUP(A959,VENTAS!$A$2:$B$1195,2,0)</f>
        <v>METTLER</v>
      </c>
      <c r="C959">
        <v>670400</v>
      </c>
      <c r="D959">
        <v>750800</v>
      </c>
      <c r="E959">
        <v>565800</v>
      </c>
      <c r="F959">
        <v>576000</v>
      </c>
      <c r="G959">
        <v>728000</v>
      </c>
      <c r="H959">
        <v>777500</v>
      </c>
    </row>
    <row r="960" spans="1:8" x14ac:dyDescent="0.3">
      <c r="A960">
        <v>51030290</v>
      </c>
      <c r="B960" t="str">
        <f>VLOOKUP(A960,VENTAS!$A$2:$B$1195,2,0)</f>
        <v>CICHETTO</v>
      </c>
      <c r="C960">
        <v>247000</v>
      </c>
      <c r="D960">
        <v>408000</v>
      </c>
      <c r="E960">
        <v>335200</v>
      </c>
      <c r="F960">
        <v>538000</v>
      </c>
      <c r="G960">
        <v>443200</v>
      </c>
      <c r="H960">
        <v>762500</v>
      </c>
    </row>
    <row r="961" spans="1:8" x14ac:dyDescent="0.3">
      <c r="A961">
        <v>51010396</v>
      </c>
      <c r="B961" t="str">
        <f>VLOOKUP(A961,VENTAS!$A$2:$B$1195,2,0)</f>
        <v>BELUZZO</v>
      </c>
      <c r="C961">
        <v>1554000</v>
      </c>
      <c r="D961">
        <v>3670000</v>
      </c>
      <c r="E961">
        <v>2149800</v>
      </c>
      <c r="F961">
        <v>4138000</v>
      </c>
      <c r="G961">
        <v>2990400</v>
      </c>
      <c r="H961">
        <v>747500</v>
      </c>
    </row>
    <row r="962" spans="1:8" x14ac:dyDescent="0.3">
      <c r="A962">
        <v>51012470</v>
      </c>
      <c r="B962" t="str">
        <f>VLOOKUP(A962,VENTAS!$A$2:$B$1195,2,0)</f>
        <v>AYALA</v>
      </c>
      <c r="C962">
        <v>292200</v>
      </c>
      <c r="D962">
        <v>417600</v>
      </c>
      <c r="E962">
        <v>159400</v>
      </c>
      <c r="F962">
        <v>444000</v>
      </c>
      <c r="G962">
        <v>398400</v>
      </c>
      <c r="H962">
        <v>745000</v>
      </c>
    </row>
    <row r="963" spans="1:8" x14ac:dyDescent="0.3">
      <c r="A963">
        <v>51031776</v>
      </c>
      <c r="B963" t="str">
        <f>VLOOKUP(A963,VENTAS!$A$2:$B$1195,2,0)</f>
        <v>METTLER</v>
      </c>
      <c r="C963">
        <v>0</v>
      </c>
      <c r="D963">
        <v>170000</v>
      </c>
      <c r="E963">
        <v>0</v>
      </c>
      <c r="F963">
        <v>300000</v>
      </c>
      <c r="G963">
        <v>248000</v>
      </c>
      <c r="H963">
        <v>735000</v>
      </c>
    </row>
    <row r="964" spans="1:8" x14ac:dyDescent="0.3">
      <c r="A964">
        <v>51009185</v>
      </c>
      <c r="B964" t="str">
        <f>VLOOKUP(A964,VENTAS!$A$2:$B$1195,2,0)</f>
        <v>AYALA</v>
      </c>
      <c r="C964">
        <v>336200</v>
      </c>
      <c r="D964">
        <v>606000</v>
      </c>
      <c r="E964">
        <v>383800</v>
      </c>
      <c r="F964">
        <v>698000</v>
      </c>
      <c r="G964">
        <v>510400.00000000012</v>
      </c>
      <c r="H964">
        <v>730000</v>
      </c>
    </row>
    <row r="965" spans="1:8" x14ac:dyDescent="0.3">
      <c r="A965">
        <v>51056159</v>
      </c>
      <c r="B965" t="str">
        <f>VLOOKUP(A965,VENTAS!$A$2:$B$1195,2,0)</f>
        <v>MONTENEGRO</v>
      </c>
      <c r="C965">
        <v>380400</v>
      </c>
      <c r="D965">
        <v>654000</v>
      </c>
      <c r="E965">
        <v>429600</v>
      </c>
      <c r="F965">
        <v>772000</v>
      </c>
      <c r="G965">
        <v>768000</v>
      </c>
      <c r="H965">
        <v>722500</v>
      </c>
    </row>
    <row r="966" spans="1:8" x14ac:dyDescent="0.3">
      <c r="A966">
        <v>51036557</v>
      </c>
      <c r="B966" t="str">
        <f>VLOOKUP(A966,VENTAS!$A$2:$B$1195,2,0)</f>
        <v>MONTENEGRO</v>
      </c>
      <c r="C966">
        <v>428200</v>
      </c>
      <c r="D966">
        <v>490800</v>
      </c>
      <c r="E966">
        <v>559600</v>
      </c>
      <c r="F966">
        <v>620000</v>
      </c>
      <c r="G966">
        <v>659200</v>
      </c>
      <c r="H966">
        <v>717500</v>
      </c>
    </row>
    <row r="967" spans="1:8" x14ac:dyDescent="0.3">
      <c r="A967">
        <v>51015151</v>
      </c>
      <c r="B967" t="e">
        <f>VLOOKUP(A967,VENTAS!$A$2:$B$1195,2,0)</f>
        <v>#N/A</v>
      </c>
      <c r="C967">
        <v>114400</v>
      </c>
      <c r="D967">
        <v>0</v>
      </c>
      <c r="E967">
        <v>0</v>
      </c>
      <c r="F967">
        <v>0</v>
      </c>
      <c r="G967">
        <v>0</v>
      </c>
      <c r="H967">
        <v>687500</v>
      </c>
    </row>
    <row r="968" spans="1:8" x14ac:dyDescent="0.3">
      <c r="A968">
        <v>51055306</v>
      </c>
      <c r="B968" t="str">
        <f>VLOOKUP(A968,VENTAS!$A$2:$B$1195,2,0)</f>
        <v>ARGUELLO</v>
      </c>
      <c r="C968">
        <v>253400</v>
      </c>
      <c r="D968">
        <v>562400</v>
      </c>
      <c r="E968">
        <v>278000</v>
      </c>
      <c r="F968">
        <v>610000</v>
      </c>
      <c r="G968">
        <v>484800.00000000012</v>
      </c>
      <c r="H968">
        <v>675000</v>
      </c>
    </row>
    <row r="969" spans="1:8" x14ac:dyDescent="0.3">
      <c r="A969">
        <v>51007841</v>
      </c>
      <c r="B969" t="str">
        <f>VLOOKUP(A969,VENTAS!$A$2:$B$1195,2,0)</f>
        <v>METTLER</v>
      </c>
      <c r="C969">
        <v>863800</v>
      </c>
      <c r="D969">
        <v>0</v>
      </c>
      <c r="E969">
        <v>0</v>
      </c>
      <c r="F969">
        <v>250000</v>
      </c>
      <c r="G969">
        <v>0</v>
      </c>
      <c r="H969">
        <v>672500</v>
      </c>
    </row>
    <row r="970" spans="1:8" x14ac:dyDescent="0.3">
      <c r="A970">
        <v>51000552</v>
      </c>
      <c r="B970" t="str">
        <f>VLOOKUP(A970,VENTAS!$A$2:$B$1195,2,0)</f>
        <v>METTLER</v>
      </c>
      <c r="C970">
        <v>175400</v>
      </c>
      <c r="D970">
        <v>471600</v>
      </c>
      <c r="E970">
        <v>285000</v>
      </c>
      <c r="F970">
        <v>526000</v>
      </c>
      <c r="G970">
        <v>393600</v>
      </c>
      <c r="H970">
        <v>652500</v>
      </c>
    </row>
    <row r="971" spans="1:8" x14ac:dyDescent="0.3">
      <c r="A971">
        <v>51015762</v>
      </c>
      <c r="B971" t="str">
        <f>VLOOKUP(A971,VENTAS!$A$2:$B$1195,2,0)</f>
        <v>METTLER</v>
      </c>
      <c r="C971">
        <v>308000</v>
      </c>
      <c r="D971">
        <v>729600</v>
      </c>
      <c r="E971">
        <v>474600</v>
      </c>
      <c r="F971">
        <v>706000</v>
      </c>
      <c r="G971">
        <v>619200</v>
      </c>
      <c r="H971">
        <v>602500</v>
      </c>
    </row>
    <row r="972" spans="1:8" x14ac:dyDescent="0.3">
      <c r="A972">
        <v>51008685</v>
      </c>
      <c r="B972" t="str">
        <f>VLOOKUP(A972,VENTAS!$A$2:$B$1195,2,0)</f>
        <v>AYALA</v>
      </c>
      <c r="C972">
        <v>315800</v>
      </c>
      <c r="D972">
        <v>481199.99999999988</v>
      </c>
      <c r="E972">
        <v>500600</v>
      </c>
      <c r="F972">
        <v>488000</v>
      </c>
      <c r="G972">
        <v>556800</v>
      </c>
      <c r="H972">
        <v>595000</v>
      </c>
    </row>
    <row r="973" spans="1:8" x14ac:dyDescent="0.3">
      <c r="A973">
        <v>51057031</v>
      </c>
      <c r="B973" t="str">
        <f>VLOOKUP(A973,VENTAS!$A$2:$B$1195,2,0)</f>
        <v>PRADES</v>
      </c>
      <c r="C973">
        <v>159800</v>
      </c>
      <c r="D973">
        <v>606800</v>
      </c>
      <c r="E973">
        <v>261400</v>
      </c>
      <c r="F973">
        <v>540000</v>
      </c>
      <c r="G973">
        <v>326400</v>
      </c>
      <c r="H973">
        <v>585000</v>
      </c>
    </row>
    <row r="974" spans="1:8" x14ac:dyDescent="0.3">
      <c r="A974">
        <v>51022629</v>
      </c>
      <c r="B974" t="str">
        <f>VLOOKUP(A974,VENTAS!$A$2:$B$1195,2,0)</f>
        <v>ARGUELLO</v>
      </c>
      <c r="C974">
        <v>194600</v>
      </c>
      <c r="D974">
        <v>374800</v>
      </c>
      <c r="E974">
        <v>433600.00000000012</v>
      </c>
      <c r="F974">
        <v>592000</v>
      </c>
      <c r="G974">
        <v>494400</v>
      </c>
      <c r="H974">
        <v>577500</v>
      </c>
    </row>
    <row r="975" spans="1:8" x14ac:dyDescent="0.3">
      <c r="A975">
        <v>51018290</v>
      </c>
      <c r="B975" t="str">
        <f>VLOOKUP(A975,VENTAS!$A$2:$B$1195,2,0)</f>
        <v>ROBERTS</v>
      </c>
      <c r="C975">
        <v>167000</v>
      </c>
      <c r="D975">
        <v>360400</v>
      </c>
      <c r="E975">
        <v>253200</v>
      </c>
      <c r="F975">
        <v>350000</v>
      </c>
      <c r="G975">
        <v>272000</v>
      </c>
      <c r="H975">
        <v>552500</v>
      </c>
    </row>
    <row r="976" spans="1:8" x14ac:dyDescent="0.3">
      <c r="A976">
        <v>51038941</v>
      </c>
      <c r="B976" t="str">
        <f>VLOOKUP(A976,VENTAS!$A$2:$B$1195,2,0)</f>
        <v>ARGUELLO</v>
      </c>
      <c r="C976">
        <v>456999.99999999988</v>
      </c>
      <c r="D976">
        <v>764800</v>
      </c>
      <c r="E976">
        <v>503800.00000000012</v>
      </c>
      <c r="F976">
        <v>402000</v>
      </c>
      <c r="G976">
        <v>648000</v>
      </c>
      <c r="H976">
        <v>550000</v>
      </c>
    </row>
    <row r="977" spans="1:8" x14ac:dyDescent="0.3">
      <c r="A977">
        <v>51016882</v>
      </c>
      <c r="B977" t="str">
        <f>VLOOKUP(A977,VENTAS!$A$2:$B$1195,2,0)</f>
        <v>METTLER</v>
      </c>
      <c r="C977">
        <v>961400</v>
      </c>
      <c r="D977">
        <v>2047200</v>
      </c>
      <c r="E977">
        <v>1157600</v>
      </c>
      <c r="F977">
        <v>2606000</v>
      </c>
      <c r="G977">
        <v>1459200</v>
      </c>
      <c r="H977">
        <v>495000</v>
      </c>
    </row>
    <row r="978" spans="1:8" x14ac:dyDescent="0.3">
      <c r="A978">
        <v>51039424</v>
      </c>
      <c r="B978" t="e">
        <f>VLOOKUP(A978,VENTAS!$A$2:$B$1195,2,0)</f>
        <v>#N/A</v>
      </c>
      <c r="C978">
        <v>1545000</v>
      </c>
      <c r="D978">
        <v>988799.99999999988</v>
      </c>
      <c r="E978">
        <v>2118800</v>
      </c>
      <c r="F978">
        <v>0</v>
      </c>
      <c r="G978">
        <v>3126400</v>
      </c>
      <c r="H978">
        <v>475000</v>
      </c>
    </row>
    <row r="979" spans="1:8" x14ac:dyDescent="0.3">
      <c r="A979">
        <v>51039181</v>
      </c>
      <c r="B979" t="str">
        <f>VLOOKUP(A979,VENTAS!$A$2:$B$1195,2,0)</f>
        <v>METTLER</v>
      </c>
      <c r="C979">
        <v>140400</v>
      </c>
      <c r="D979">
        <v>261200</v>
      </c>
      <c r="E979">
        <v>97599.999999999985</v>
      </c>
      <c r="F979">
        <v>296000</v>
      </c>
      <c r="G979">
        <v>164800</v>
      </c>
      <c r="H979">
        <v>467500</v>
      </c>
    </row>
    <row r="980" spans="1:8" x14ac:dyDescent="0.3">
      <c r="A980">
        <v>51035666</v>
      </c>
      <c r="B980" t="str">
        <f>VLOOKUP(A980,VENTAS!$A$2:$B$1195,2,0)</f>
        <v>METTLER</v>
      </c>
      <c r="C980">
        <v>113400</v>
      </c>
      <c r="D980">
        <v>294400</v>
      </c>
      <c r="E980">
        <v>183400</v>
      </c>
      <c r="F980">
        <v>452000</v>
      </c>
      <c r="G980">
        <v>256000</v>
      </c>
      <c r="H980">
        <v>462500</v>
      </c>
    </row>
    <row r="981" spans="1:8" x14ac:dyDescent="0.3">
      <c r="A981">
        <v>51015681</v>
      </c>
      <c r="B981" t="str">
        <f>VLOOKUP(A981,VENTAS!$A$2:$B$1195,2,0)</f>
        <v>CICHETTO</v>
      </c>
      <c r="C981">
        <v>775000</v>
      </c>
      <c r="D981">
        <v>215200</v>
      </c>
      <c r="E981">
        <v>10800</v>
      </c>
      <c r="F981">
        <v>274000</v>
      </c>
      <c r="G981">
        <v>182400</v>
      </c>
      <c r="H981">
        <v>445000</v>
      </c>
    </row>
    <row r="982" spans="1:8" x14ac:dyDescent="0.3">
      <c r="A982">
        <v>51017871</v>
      </c>
      <c r="B982" t="str">
        <f>VLOOKUP(A982,VENTAS!$A$2:$B$1195,2,0)</f>
        <v>METTLER</v>
      </c>
      <c r="C982">
        <v>362000.00000000012</v>
      </c>
      <c r="D982">
        <v>614800</v>
      </c>
      <c r="E982">
        <v>439800</v>
      </c>
      <c r="F982">
        <v>578000</v>
      </c>
      <c r="G982">
        <v>659200</v>
      </c>
      <c r="H982">
        <v>437500</v>
      </c>
    </row>
    <row r="983" spans="1:8" x14ac:dyDescent="0.3">
      <c r="A983">
        <v>51021819</v>
      </c>
      <c r="B983" t="str">
        <f>VLOOKUP(A983,VENTAS!$A$2:$B$1195,2,0)</f>
        <v>BELUZZO</v>
      </c>
      <c r="C983">
        <v>444000</v>
      </c>
      <c r="D983">
        <v>909599.99999999988</v>
      </c>
      <c r="E983">
        <v>504800.00000000012</v>
      </c>
      <c r="F983">
        <v>1050000</v>
      </c>
      <c r="G983">
        <v>708800</v>
      </c>
      <c r="H983">
        <v>377500</v>
      </c>
    </row>
    <row r="984" spans="1:8" x14ac:dyDescent="0.3">
      <c r="A984">
        <v>51021274</v>
      </c>
      <c r="B984" t="str">
        <f>VLOOKUP(A984,VENTAS!$A$2:$B$1195,2,0)</f>
        <v>AYALA</v>
      </c>
      <c r="C984">
        <v>211400</v>
      </c>
      <c r="D984">
        <v>599200</v>
      </c>
      <c r="E984">
        <v>235800</v>
      </c>
      <c r="F984">
        <v>478000</v>
      </c>
      <c r="G984">
        <v>350400</v>
      </c>
      <c r="H984">
        <v>362500</v>
      </c>
    </row>
    <row r="985" spans="1:8" x14ac:dyDescent="0.3">
      <c r="A985">
        <v>51012852</v>
      </c>
      <c r="B985" t="str">
        <f>VLOOKUP(A985,VENTAS!$A$2:$B$1195,2,0)</f>
        <v>CICHETTO</v>
      </c>
      <c r="C985">
        <v>432399.99999999988</v>
      </c>
      <c r="D985">
        <v>996800.00000000012</v>
      </c>
      <c r="E985">
        <v>678000</v>
      </c>
      <c r="F985">
        <v>1232000</v>
      </c>
      <c r="G985">
        <v>968000.00000000012</v>
      </c>
      <c r="H985">
        <v>347500</v>
      </c>
    </row>
    <row r="986" spans="1:8" x14ac:dyDescent="0.3">
      <c r="A986">
        <v>51016360</v>
      </c>
      <c r="B986" t="str">
        <f>VLOOKUP(A986,VENTAS!$A$2:$B$1195,2,0)</f>
        <v>ARGUELLO</v>
      </c>
      <c r="C986">
        <v>190600</v>
      </c>
      <c r="D986">
        <v>186400</v>
      </c>
      <c r="E986">
        <v>191000</v>
      </c>
      <c r="F986">
        <v>266000</v>
      </c>
      <c r="G986">
        <v>201600</v>
      </c>
      <c r="H986">
        <v>312500</v>
      </c>
    </row>
    <row r="987" spans="1:8" x14ac:dyDescent="0.3">
      <c r="A987">
        <v>51010744</v>
      </c>
      <c r="B987" t="str">
        <f>VLOOKUP(A987,VENTAS!$A$2:$B$1195,2,0)</f>
        <v>AYALA</v>
      </c>
      <c r="C987">
        <v>99600</v>
      </c>
      <c r="D987">
        <v>198000</v>
      </c>
      <c r="E987">
        <v>81200</v>
      </c>
      <c r="F987">
        <v>252000</v>
      </c>
      <c r="G987">
        <v>169600</v>
      </c>
      <c r="H987">
        <v>295000</v>
      </c>
    </row>
    <row r="988" spans="1:8" x14ac:dyDescent="0.3">
      <c r="A988">
        <v>51054831</v>
      </c>
      <c r="B988" t="str">
        <f>VLOOKUP(A988,VENTAS!$A$2:$B$1195,2,0)</f>
        <v>NELLI</v>
      </c>
      <c r="C988">
        <v>184000</v>
      </c>
      <c r="D988">
        <v>426400</v>
      </c>
      <c r="E988">
        <v>280400</v>
      </c>
      <c r="F988">
        <v>1006000</v>
      </c>
      <c r="G988">
        <v>545600</v>
      </c>
      <c r="H988">
        <v>292500</v>
      </c>
    </row>
    <row r="989" spans="1:8" x14ac:dyDescent="0.3">
      <c r="A989">
        <v>51032713</v>
      </c>
      <c r="B989" t="str">
        <f>VLOOKUP(A989,VENTAS!$A$2:$B$1195,2,0)</f>
        <v>ROBERTS</v>
      </c>
      <c r="C989">
        <v>785800</v>
      </c>
      <c r="D989">
        <v>2694000</v>
      </c>
      <c r="E989">
        <v>1126000</v>
      </c>
      <c r="F989">
        <v>2966000</v>
      </c>
      <c r="G989">
        <v>1724800</v>
      </c>
      <c r="H989">
        <v>277500</v>
      </c>
    </row>
    <row r="990" spans="1:8" x14ac:dyDescent="0.3">
      <c r="A990">
        <v>51057546</v>
      </c>
      <c r="B990" t="e">
        <f>VLOOKUP(A990,VENTAS!$A$2:$B$1195,2,0)</f>
        <v>#N/A</v>
      </c>
      <c r="C990">
        <v>0</v>
      </c>
      <c r="D990">
        <v>2678000</v>
      </c>
      <c r="E990">
        <v>0</v>
      </c>
      <c r="F990">
        <v>0</v>
      </c>
      <c r="G990">
        <v>0</v>
      </c>
      <c r="H990">
        <v>150000</v>
      </c>
    </row>
    <row r="991" spans="1:8" x14ac:dyDescent="0.3">
      <c r="A991">
        <v>51017234</v>
      </c>
      <c r="B991" t="e">
        <f>VLOOKUP(A991,VENTAS!$A$2:$B$1195,2,0)</f>
        <v>#N/A</v>
      </c>
      <c r="C991">
        <v>1023600</v>
      </c>
      <c r="D991">
        <v>1235200</v>
      </c>
      <c r="E991">
        <v>1038800</v>
      </c>
      <c r="F991">
        <v>0</v>
      </c>
      <c r="G991">
        <v>1379200</v>
      </c>
      <c r="H991">
        <v>115000</v>
      </c>
    </row>
    <row r="992" spans="1:8" x14ac:dyDescent="0.3">
      <c r="A992">
        <v>51000153</v>
      </c>
      <c r="B992" t="e">
        <f>VLOOKUP(A992,VENTAS!$A$2:$B$1195,2,0)</f>
        <v>#N/A</v>
      </c>
      <c r="C992">
        <v>0</v>
      </c>
      <c r="D992">
        <v>0</v>
      </c>
      <c r="E992">
        <v>0</v>
      </c>
      <c r="F992">
        <v>0</v>
      </c>
      <c r="G992">
        <v>0</v>
      </c>
      <c r="H992">
        <v>0</v>
      </c>
    </row>
    <row r="993" spans="1:8" x14ac:dyDescent="0.3">
      <c r="A993">
        <v>51000269</v>
      </c>
      <c r="B993" t="e">
        <f>VLOOKUP(A993,VENTAS!$A$2:$B$1195,2,0)</f>
        <v>#N/A</v>
      </c>
      <c r="C993">
        <v>934800</v>
      </c>
      <c r="D993">
        <v>59200</v>
      </c>
      <c r="E993">
        <v>1284600</v>
      </c>
      <c r="F993">
        <v>0</v>
      </c>
      <c r="G993">
        <v>1529600</v>
      </c>
      <c r="H993">
        <v>0</v>
      </c>
    </row>
    <row r="994" spans="1:8" x14ac:dyDescent="0.3">
      <c r="A994">
        <v>51000307</v>
      </c>
      <c r="B994" t="e">
        <f>VLOOKUP(A994,VENTAS!$A$2:$B$1195,2,0)</f>
        <v>#N/A</v>
      </c>
      <c r="C994">
        <v>0</v>
      </c>
      <c r="D994">
        <v>0</v>
      </c>
      <c r="E994">
        <v>0</v>
      </c>
      <c r="F994">
        <v>0</v>
      </c>
      <c r="G994">
        <v>0</v>
      </c>
      <c r="H994">
        <v>0</v>
      </c>
    </row>
    <row r="995" spans="1:8" x14ac:dyDescent="0.3">
      <c r="A995">
        <v>51000862</v>
      </c>
      <c r="B995" t="e">
        <f>VLOOKUP(A995,VENTAS!$A$2:$B$1195,2,0)</f>
        <v>#N/A</v>
      </c>
      <c r="C995">
        <v>783800</v>
      </c>
      <c r="D995">
        <v>0</v>
      </c>
      <c r="E995">
        <v>246000</v>
      </c>
      <c r="F995">
        <v>0</v>
      </c>
      <c r="G995">
        <v>0</v>
      </c>
      <c r="H995">
        <v>0</v>
      </c>
    </row>
    <row r="996" spans="1:8" x14ac:dyDescent="0.3">
      <c r="A996">
        <v>51001494</v>
      </c>
      <c r="B996" t="e">
        <f>VLOOKUP(A996,VENTAS!$A$2:$B$1195,2,0)</f>
        <v>#N/A</v>
      </c>
      <c r="C996">
        <v>1353800</v>
      </c>
      <c r="D996">
        <v>0</v>
      </c>
      <c r="E996">
        <v>990400</v>
      </c>
      <c r="F996">
        <v>0</v>
      </c>
      <c r="G996">
        <v>0</v>
      </c>
      <c r="H996">
        <v>0</v>
      </c>
    </row>
    <row r="997" spans="1:8" x14ac:dyDescent="0.3">
      <c r="A997">
        <v>51001745</v>
      </c>
      <c r="B997" t="e">
        <f>VLOOKUP(A997,VENTAS!$A$2:$B$1195,2,0)</f>
        <v>#N/A</v>
      </c>
      <c r="C997">
        <v>1798400</v>
      </c>
      <c r="D997">
        <v>0</v>
      </c>
      <c r="E997">
        <v>503000.00000000012</v>
      </c>
      <c r="F997">
        <v>0</v>
      </c>
      <c r="G997">
        <v>0</v>
      </c>
      <c r="H997">
        <v>0</v>
      </c>
    </row>
    <row r="998" spans="1:8" x14ac:dyDescent="0.3">
      <c r="A998">
        <v>51001923</v>
      </c>
      <c r="B998" t="e">
        <f>VLOOKUP(A998,VENTAS!$A$2:$B$1195,2,0)</f>
        <v>#N/A</v>
      </c>
      <c r="C998">
        <v>1630600</v>
      </c>
      <c r="D998">
        <v>0</v>
      </c>
      <c r="E998">
        <v>2593400</v>
      </c>
      <c r="F998">
        <v>0</v>
      </c>
      <c r="G998">
        <v>2939200</v>
      </c>
      <c r="H998">
        <v>0</v>
      </c>
    </row>
    <row r="999" spans="1:8" x14ac:dyDescent="0.3">
      <c r="A999">
        <v>51003721</v>
      </c>
      <c r="B999" t="e">
        <f>VLOOKUP(A999,VENTAS!$A$2:$B$1195,2,0)</f>
        <v>#N/A</v>
      </c>
      <c r="C999">
        <v>1239200</v>
      </c>
      <c r="D999">
        <v>0</v>
      </c>
      <c r="E999">
        <v>849200</v>
      </c>
      <c r="F999">
        <v>0</v>
      </c>
      <c r="G999">
        <v>0</v>
      </c>
      <c r="H999">
        <v>0</v>
      </c>
    </row>
    <row r="1000" spans="1:8" x14ac:dyDescent="0.3">
      <c r="A1000">
        <v>51004167</v>
      </c>
      <c r="B1000" t="e">
        <f>VLOOKUP(A1000,VENTAS!$A$2:$B$1195,2,0)</f>
        <v>#N/A</v>
      </c>
      <c r="C1000">
        <v>649000</v>
      </c>
      <c r="D1000">
        <v>0</v>
      </c>
      <c r="E1000">
        <v>26000</v>
      </c>
      <c r="F1000">
        <v>0</v>
      </c>
      <c r="G1000">
        <v>0</v>
      </c>
      <c r="H1000">
        <v>0</v>
      </c>
    </row>
    <row r="1001" spans="1:8" x14ac:dyDescent="0.3">
      <c r="A1001">
        <v>51004671</v>
      </c>
      <c r="B1001" t="e">
        <f>VLOOKUP(A1001,VENTAS!$A$2:$B$1195,2,0)</f>
        <v>#N/A</v>
      </c>
      <c r="C1001">
        <v>625400</v>
      </c>
      <c r="D1001">
        <v>0</v>
      </c>
      <c r="E1001">
        <v>312000</v>
      </c>
      <c r="F1001">
        <v>0</v>
      </c>
      <c r="G1001">
        <v>0</v>
      </c>
      <c r="H1001">
        <v>0</v>
      </c>
    </row>
    <row r="1002" spans="1:8" x14ac:dyDescent="0.3">
      <c r="A1002">
        <v>51005058</v>
      </c>
      <c r="B1002" t="e">
        <f>VLOOKUP(A1002,VENTAS!$A$2:$B$1195,2,0)</f>
        <v>#N/A</v>
      </c>
      <c r="C1002">
        <v>974000</v>
      </c>
      <c r="D1002">
        <v>0</v>
      </c>
      <c r="E1002">
        <v>137000</v>
      </c>
      <c r="F1002">
        <v>0</v>
      </c>
      <c r="G1002">
        <v>0</v>
      </c>
      <c r="H1002">
        <v>0</v>
      </c>
    </row>
    <row r="1003" spans="1:8" x14ac:dyDescent="0.3">
      <c r="A1003">
        <v>51005201</v>
      </c>
      <c r="B1003" t="e">
        <f>VLOOKUP(A1003,VENTAS!$A$2:$B$1195,2,0)</f>
        <v>#N/A</v>
      </c>
      <c r="C1003">
        <v>1578200</v>
      </c>
      <c r="D1003">
        <v>0</v>
      </c>
      <c r="E1003">
        <v>0</v>
      </c>
      <c r="F1003">
        <v>0</v>
      </c>
      <c r="G1003">
        <v>0</v>
      </c>
      <c r="H1003">
        <v>0</v>
      </c>
    </row>
    <row r="1004" spans="1:8" x14ac:dyDescent="0.3">
      <c r="A1004">
        <v>51005384</v>
      </c>
      <c r="B1004" t="str">
        <f>VLOOKUP(A1004,VENTAS!$A$2:$B$1195,2,0)</f>
        <v>NELLI</v>
      </c>
      <c r="C1004">
        <v>1156200</v>
      </c>
      <c r="D1004">
        <v>3088400</v>
      </c>
      <c r="E1004">
        <v>1509800</v>
      </c>
      <c r="F1004">
        <v>2506000</v>
      </c>
      <c r="G1004">
        <v>2145600</v>
      </c>
      <c r="H1004">
        <v>0</v>
      </c>
    </row>
    <row r="1005" spans="1:8" x14ac:dyDescent="0.3">
      <c r="A1005">
        <v>51005902</v>
      </c>
      <c r="B1005" t="str">
        <f>VLOOKUP(A1005,VENTAS!$A$2:$B$1195,2,0)</f>
        <v>PRADES</v>
      </c>
      <c r="C1005">
        <v>1373800</v>
      </c>
      <c r="D1005">
        <v>3318400</v>
      </c>
      <c r="E1005">
        <v>1778600</v>
      </c>
      <c r="F1005">
        <v>2644000</v>
      </c>
      <c r="G1005">
        <v>2497600</v>
      </c>
      <c r="H1005">
        <v>0</v>
      </c>
    </row>
    <row r="1006" spans="1:8" x14ac:dyDescent="0.3">
      <c r="A1006">
        <v>51006445</v>
      </c>
      <c r="B1006" t="e">
        <f>VLOOKUP(A1006,VENTAS!$A$2:$B$1195,2,0)</f>
        <v>#N/A</v>
      </c>
      <c r="C1006">
        <v>1309800</v>
      </c>
      <c r="D1006">
        <v>2018000</v>
      </c>
      <c r="E1006">
        <v>1744600</v>
      </c>
      <c r="F1006">
        <v>1206000</v>
      </c>
      <c r="G1006">
        <v>2360000</v>
      </c>
      <c r="H1006">
        <v>0</v>
      </c>
    </row>
    <row r="1007" spans="1:8" x14ac:dyDescent="0.3">
      <c r="A1007">
        <v>51006453</v>
      </c>
      <c r="B1007" t="e">
        <f>VLOOKUP(A1007,VENTAS!$A$2:$B$1195,2,0)</f>
        <v>#N/A</v>
      </c>
      <c r="C1007">
        <v>1753800</v>
      </c>
      <c r="D1007">
        <v>0</v>
      </c>
      <c r="E1007">
        <v>915000.00000000012</v>
      </c>
      <c r="F1007">
        <v>0</v>
      </c>
      <c r="G1007">
        <v>0</v>
      </c>
      <c r="H1007">
        <v>0</v>
      </c>
    </row>
    <row r="1008" spans="1:8" x14ac:dyDescent="0.3">
      <c r="A1008">
        <v>51006518</v>
      </c>
      <c r="B1008" t="e">
        <f>VLOOKUP(A1008,VENTAS!$A$2:$B$1195,2,0)</f>
        <v>#N/A</v>
      </c>
      <c r="C1008">
        <v>0</v>
      </c>
      <c r="D1008">
        <v>0</v>
      </c>
      <c r="E1008">
        <v>0</v>
      </c>
      <c r="F1008">
        <v>0</v>
      </c>
      <c r="G1008">
        <v>0</v>
      </c>
      <c r="H1008">
        <v>0</v>
      </c>
    </row>
    <row r="1009" spans="1:8" x14ac:dyDescent="0.3">
      <c r="A1009">
        <v>51006674</v>
      </c>
      <c r="B1009" t="e">
        <f>VLOOKUP(A1009,VENTAS!$A$2:$B$1195,2,0)</f>
        <v>#N/A</v>
      </c>
      <c r="C1009">
        <v>108800</v>
      </c>
      <c r="D1009">
        <v>0</v>
      </c>
      <c r="E1009">
        <v>0</v>
      </c>
      <c r="F1009">
        <v>0</v>
      </c>
      <c r="G1009">
        <v>0</v>
      </c>
      <c r="H1009">
        <v>0</v>
      </c>
    </row>
    <row r="1010" spans="1:8" x14ac:dyDescent="0.3">
      <c r="A1010">
        <v>51010094</v>
      </c>
      <c r="B1010" t="e">
        <f>VLOOKUP(A1010,VENTAS!$A$2:$B$1195,2,0)</f>
        <v>#N/A</v>
      </c>
      <c r="C1010">
        <v>1185600</v>
      </c>
      <c r="D1010">
        <v>0</v>
      </c>
      <c r="E1010">
        <v>327000</v>
      </c>
      <c r="F1010">
        <v>0</v>
      </c>
      <c r="G1010">
        <v>0</v>
      </c>
      <c r="H1010">
        <v>0</v>
      </c>
    </row>
    <row r="1011" spans="1:8" x14ac:dyDescent="0.3">
      <c r="A1011">
        <v>51010108</v>
      </c>
      <c r="B1011" t="e">
        <f>VLOOKUP(A1011,VENTAS!$A$2:$B$1195,2,0)</f>
        <v>#N/A</v>
      </c>
      <c r="C1011">
        <v>0</v>
      </c>
      <c r="D1011">
        <v>0</v>
      </c>
      <c r="E1011">
        <v>0</v>
      </c>
      <c r="F1011">
        <v>0</v>
      </c>
      <c r="G1011">
        <v>0</v>
      </c>
      <c r="H1011">
        <v>0</v>
      </c>
    </row>
    <row r="1012" spans="1:8" x14ac:dyDescent="0.3">
      <c r="A1012">
        <v>51010167</v>
      </c>
      <c r="B1012" t="e">
        <f>VLOOKUP(A1012,VENTAS!$A$2:$B$1195,2,0)</f>
        <v>#N/A</v>
      </c>
      <c r="C1012">
        <v>118400</v>
      </c>
      <c r="D1012">
        <v>0</v>
      </c>
      <c r="E1012">
        <v>63000.000000000007</v>
      </c>
      <c r="F1012">
        <v>0</v>
      </c>
      <c r="G1012">
        <v>0</v>
      </c>
      <c r="H1012">
        <v>0</v>
      </c>
    </row>
    <row r="1013" spans="1:8" x14ac:dyDescent="0.3">
      <c r="A1013">
        <v>51010388</v>
      </c>
      <c r="B1013" t="e">
        <f>VLOOKUP(A1013,VENTAS!$A$2:$B$1195,2,0)</f>
        <v>#N/A</v>
      </c>
      <c r="C1013">
        <v>930600</v>
      </c>
      <c r="D1013">
        <v>0</v>
      </c>
      <c r="E1013">
        <v>654600</v>
      </c>
      <c r="F1013">
        <v>0</v>
      </c>
      <c r="G1013">
        <v>0</v>
      </c>
      <c r="H1013">
        <v>0</v>
      </c>
    </row>
    <row r="1014" spans="1:8" x14ac:dyDescent="0.3">
      <c r="A1014">
        <v>51010477</v>
      </c>
      <c r="B1014" t="e">
        <f>VLOOKUP(A1014,VENTAS!$A$2:$B$1195,2,0)</f>
        <v>#N/A</v>
      </c>
      <c r="C1014">
        <v>122400</v>
      </c>
      <c r="D1014">
        <v>0</v>
      </c>
      <c r="E1014">
        <v>0</v>
      </c>
      <c r="F1014">
        <v>0</v>
      </c>
      <c r="G1014">
        <v>0</v>
      </c>
      <c r="H1014">
        <v>0</v>
      </c>
    </row>
    <row r="1015" spans="1:8" x14ac:dyDescent="0.3">
      <c r="A1015">
        <v>51010485</v>
      </c>
      <c r="B1015" t="e">
        <f>VLOOKUP(A1015,VENTAS!$A$2:$B$1195,2,0)</f>
        <v>#N/A</v>
      </c>
      <c r="C1015">
        <v>0</v>
      </c>
      <c r="D1015">
        <v>0</v>
      </c>
      <c r="E1015">
        <v>0</v>
      </c>
      <c r="F1015">
        <v>0</v>
      </c>
      <c r="G1015">
        <v>0</v>
      </c>
      <c r="H1015">
        <v>0</v>
      </c>
    </row>
    <row r="1016" spans="1:8" x14ac:dyDescent="0.3">
      <c r="A1016">
        <v>51010612</v>
      </c>
      <c r="B1016" t="e">
        <f>VLOOKUP(A1016,VENTAS!$A$2:$B$1195,2,0)</f>
        <v>#N/A</v>
      </c>
      <c r="C1016">
        <v>112000</v>
      </c>
      <c r="D1016">
        <v>0</v>
      </c>
      <c r="E1016">
        <v>0</v>
      </c>
      <c r="F1016">
        <v>0</v>
      </c>
      <c r="G1016">
        <v>0</v>
      </c>
      <c r="H1016">
        <v>0</v>
      </c>
    </row>
    <row r="1017" spans="1:8" x14ac:dyDescent="0.3">
      <c r="A1017">
        <v>51010639</v>
      </c>
      <c r="B1017" t="e">
        <f>VLOOKUP(A1017,VENTAS!$A$2:$B$1195,2,0)</f>
        <v>#N/A</v>
      </c>
      <c r="C1017">
        <v>421600</v>
      </c>
      <c r="D1017">
        <v>0</v>
      </c>
      <c r="E1017">
        <v>0</v>
      </c>
      <c r="F1017">
        <v>0</v>
      </c>
      <c r="G1017">
        <v>0</v>
      </c>
      <c r="H1017">
        <v>0</v>
      </c>
    </row>
    <row r="1018" spans="1:8" x14ac:dyDescent="0.3">
      <c r="A1018">
        <v>51010965</v>
      </c>
      <c r="B1018" t="e">
        <f>VLOOKUP(A1018,VENTAS!$A$2:$B$1195,2,0)</f>
        <v>#N/A</v>
      </c>
      <c r="C1018">
        <v>410399.99999999988</v>
      </c>
      <c r="D1018">
        <v>0</v>
      </c>
      <c r="E1018">
        <v>0</v>
      </c>
      <c r="F1018">
        <v>0</v>
      </c>
      <c r="G1018">
        <v>0</v>
      </c>
      <c r="H1018">
        <v>0</v>
      </c>
    </row>
    <row r="1019" spans="1:8" x14ac:dyDescent="0.3">
      <c r="A1019">
        <v>51011082</v>
      </c>
      <c r="B1019" t="e">
        <f>VLOOKUP(A1019,VENTAS!$A$2:$B$1195,2,0)</f>
        <v>#N/A</v>
      </c>
      <c r="C1019">
        <v>481599.99999999988</v>
      </c>
      <c r="D1019">
        <v>773200</v>
      </c>
      <c r="E1019">
        <v>531800</v>
      </c>
      <c r="F1019">
        <v>0</v>
      </c>
      <c r="G1019">
        <v>590400</v>
      </c>
      <c r="H1019">
        <v>0</v>
      </c>
    </row>
    <row r="1020" spans="1:8" x14ac:dyDescent="0.3">
      <c r="A1020">
        <v>51011104</v>
      </c>
      <c r="B1020" t="e">
        <f>VLOOKUP(A1020,VENTAS!$A$2:$B$1195,2,0)</f>
        <v>#N/A</v>
      </c>
      <c r="C1020">
        <v>765400</v>
      </c>
      <c r="D1020">
        <v>2120000</v>
      </c>
      <c r="E1020">
        <v>1082800</v>
      </c>
      <c r="F1020">
        <v>1362000</v>
      </c>
      <c r="G1020">
        <v>1625600</v>
      </c>
      <c r="H1020">
        <v>0</v>
      </c>
    </row>
    <row r="1021" spans="1:8" x14ac:dyDescent="0.3">
      <c r="A1021">
        <v>51011163</v>
      </c>
      <c r="B1021" t="str">
        <f>VLOOKUP(A1021,VENTAS!$A$2:$B$1195,2,0)</f>
        <v>ARGUELLO</v>
      </c>
      <c r="C1021">
        <v>2059000</v>
      </c>
      <c r="D1021">
        <v>4038800</v>
      </c>
      <c r="E1021">
        <v>2768600</v>
      </c>
      <c r="F1021">
        <v>3250000</v>
      </c>
      <c r="G1021">
        <v>3640000</v>
      </c>
      <c r="H1021">
        <v>0</v>
      </c>
    </row>
    <row r="1022" spans="1:8" x14ac:dyDescent="0.3">
      <c r="A1022">
        <v>51011406</v>
      </c>
      <c r="B1022" t="e">
        <f>VLOOKUP(A1022,VENTAS!$A$2:$B$1195,2,0)</f>
        <v>#N/A</v>
      </c>
      <c r="C1022">
        <v>1389400</v>
      </c>
      <c r="D1022">
        <v>0</v>
      </c>
      <c r="E1022">
        <v>2068800</v>
      </c>
      <c r="F1022">
        <v>0</v>
      </c>
      <c r="G1022">
        <v>2329600</v>
      </c>
      <c r="H1022">
        <v>0</v>
      </c>
    </row>
    <row r="1023" spans="1:8" x14ac:dyDescent="0.3">
      <c r="A1023">
        <v>51011503</v>
      </c>
      <c r="B1023" t="e">
        <f>VLOOKUP(A1023,VENTAS!$A$2:$B$1195,2,0)</f>
        <v>#N/A</v>
      </c>
      <c r="C1023">
        <v>116000</v>
      </c>
      <c r="D1023">
        <v>156800</v>
      </c>
      <c r="E1023">
        <v>0</v>
      </c>
      <c r="F1023">
        <v>0</v>
      </c>
      <c r="G1023">
        <v>1299200</v>
      </c>
      <c r="H1023">
        <v>0</v>
      </c>
    </row>
    <row r="1024" spans="1:8" x14ac:dyDescent="0.3">
      <c r="A1024">
        <v>51011511</v>
      </c>
      <c r="B1024" t="e">
        <f>VLOOKUP(A1024,VENTAS!$A$2:$B$1195,2,0)</f>
        <v>#N/A</v>
      </c>
      <c r="C1024">
        <v>849399.99999999988</v>
      </c>
      <c r="D1024">
        <v>1850000</v>
      </c>
      <c r="E1024">
        <v>1167600</v>
      </c>
      <c r="F1024">
        <v>0</v>
      </c>
      <c r="G1024">
        <v>1608000</v>
      </c>
      <c r="H1024">
        <v>0</v>
      </c>
    </row>
    <row r="1025" spans="1:8" x14ac:dyDescent="0.3">
      <c r="A1025">
        <v>51011881</v>
      </c>
      <c r="B1025" t="e">
        <f>VLOOKUP(A1025,VENTAS!$A$2:$B$1195,2,0)</f>
        <v>#N/A</v>
      </c>
      <c r="C1025">
        <v>879800</v>
      </c>
      <c r="D1025">
        <v>0</v>
      </c>
      <c r="E1025">
        <v>1013800</v>
      </c>
      <c r="F1025">
        <v>0</v>
      </c>
      <c r="G1025">
        <v>0</v>
      </c>
      <c r="H1025">
        <v>0</v>
      </c>
    </row>
    <row r="1026" spans="1:8" x14ac:dyDescent="0.3">
      <c r="A1026">
        <v>51011911</v>
      </c>
      <c r="B1026" t="e">
        <f>VLOOKUP(A1026,VENTAS!$A$2:$B$1195,2,0)</f>
        <v>#N/A</v>
      </c>
      <c r="C1026">
        <v>884800</v>
      </c>
      <c r="D1026">
        <v>1580400</v>
      </c>
      <c r="E1026">
        <v>950600</v>
      </c>
      <c r="F1026">
        <v>0</v>
      </c>
      <c r="G1026">
        <v>1393600</v>
      </c>
      <c r="H1026">
        <v>0</v>
      </c>
    </row>
    <row r="1027" spans="1:8" x14ac:dyDescent="0.3">
      <c r="A1027">
        <v>51011945</v>
      </c>
      <c r="B1027" t="e">
        <f>VLOOKUP(A1027,VENTAS!$A$2:$B$1195,2,0)</f>
        <v>#N/A</v>
      </c>
      <c r="C1027">
        <v>453800</v>
      </c>
      <c r="D1027">
        <v>0</v>
      </c>
      <c r="E1027">
        <v>80000</v>
      </c>
      <c r="F1027">
        <v>0</v>
      </c>
      <c r="G1027">
        <v>0</v>
      </c>
      <c r="H1027">
        <v>0</v>
      </c>
    </row>
    <row r="1028" spans="1:8" x14ac:dyDescent="0.3">
      <c r="A1028">
        <v>51012089</v>
      </c>
      <c r="B1028" t="e">
        <f>VLOOKUP(A1028,VENTAS!$A$2:$B$1195,2,0)</f>
        <v>#N/A</v>
      </c>
      <c r="C1028">
        <v>1807800</v>
      </c>
      <c r="D1028">
        <v>0</v>
      </c>
      <c r="E1028">
        <v>1057000</v>
      </c>
      <c r="F1028">
        <v>0</v>
      </c>
      <c r="G1028">
        <v>0</v>
      </c>
      <c r="H1028">
        <v>0</v>
      </c>
    </row>
    <row r="1029" spans="1:8" x14ac:dyDescent="0.3">
      <c r="A1029">
        <v>51012283</v>
      </c>
      <c r="B1029" t="e">
        <f>VLOOKUP(A1029,VENTAS!$A$2:$B$1195,2,0)</f>
        <v>#N/A</v>
      </c>
      <c r="C1029">
        <v>620200</v>
      </c>
      <c r="D1029">
        <v>550000</v>
      </c>
      <c r="E1029">
        <v>703000</v>
      </c>
      <c r="F1029">
        <v>174000</v>
      </c>
      <c r="G1029">
        <v>923200.00000000012</v>
      </c>
      <c r="H1029">
        <v>0</v>
      </c>
    </row>
    <row r="1030" spans="1:8" x14ac:dyDescent="0.3">
      <c r="A1030">
        <v>51012429</v>
      </c>
      <c r="B1030" t="e">
        <f>VLOOKUP(A1030,VENTAS!$A$2:$B$1195,2,0)</f>
        <v>#N/A</v>
      </c>
      <c r="C1030">
        <v>1324600</v>
      </c>
      <c r="D1030">
        <v>1443200</v>
      </c>
      <c r="E1030">
        <v>1777200</v>
      </c>
      <c r="F1030">
        <v>0</v>
      </c>
      <c r="G1030">
        <v>2808000</v>
      </c>
      <c r="H1030">
        <v>0</v>
      </c>
    </row>
    <row r="1031" spans="1:8" x14ac:dyDescent="0.3">
      <c r="A1031">
        <v>51012569</v>
      </c>
      <c r="B1031" t="e">
        <f>VLOOKUP(A1031,VENTAS!$A$2:$B$1195,2,0)</f>
        <v>#N/A</v>
      </c>
      <c r="C1031">
        <v>368000</v>
      </c>
      <c r="D1031">
        <v>0</v>
      </c>
      <c r="E1031">
        <v>145000</v>
      </c>
      <c r="F1031">
        <v>0</v>
      </c>
      <c r="G1031">
        <v>0</v>
      </c>
      <c r="H1031">
        <v>0</v>
      </c>
    </row>
    <row r="1032" spans="1:8" x14ac:dyDescent="0.3">
      <c r="A1032">
        <v>51012631</v>
      </c>
      <c r="B1032" t="e">
        <f>VLOOKUP(A1032,VENTAS!$A$2:$B$1195,2,0)</f>
        <v>#N/A</v>
      </c>
      <c r="C1032">
        <v>737400</v>
      </c>
      <c r="D1032">
        <v>0</v>
      </c>
      <c r="E1032">
        <v>196000</v>
      </c>
      <c r="F1032">
        <v>0</v>
      </c>
      <c r="G1032">
        <v>0</v>
      </c>
      <c r="H1032">
        <v>0</v>
      </c>
    </row>
    <row r="1033" spans="1:8" x14ac:dyDescent="0.3">
      <c r="A1033">
        <v>51012844</v>
      </c>
      <c r="B1033" t="e">
        <f>VLOOKUP(A1033,VENTAS!$A$2:$B$1195,2,0)</f>
        <v>#N/A</v>
      </c>
      <c r="C1033">
        <v>230800</v>
      </c>
      <c r="D1033">
        <v>342800</v>
      </c>
      <c r="E1033">
        <v>717600</v>
      </c>
      <c r="F1033">
        <v>0</v>
      </c>
      <c r="G1033">
        <v>718400</v>
      </c>
      <c r="H1033">
        <v>0</v>
      </c>
    </row>
    <row r="1034" spans="1:8" x14ac:dyDescent="0.3">
      <c r="A1034">
        <v>51012925</v>
      </c>
      <c r="B1034" t="e">
        <f>VLOOKUP(A1034,VENTAS!$A$2:$B$1195,2,0)</f>
        <v>#N/A</v>
      </c>
      <c r="C1034">
        <v>1112800</v>
      </c>
      <c r="D1034">
        <v>0</v>
      </c>
      <c r="E1034">
        <v>0</v>
      </c>
      <c r="F1034">
        <v>0</v>
      </c>
      <c r="G1034">
        <v>0</v>
      </c>
      <c r="H1034">
        <v>0</v>
      </c>
    </row>
    <row r="1035" spans="1:8" x14ac:dyDescent="0.3">
      <c r="A1035">
        <v>51012968</v>
      </c>
      <c r="B1035" t="e">
        <f>VLOOKUP(A1035,VENTAS!$A$2:$B$1195,2,0)</f>
        <v>#N/A</v>
      </c>
      <c r="C1035">
        <v>713400</v>
      </c>
      <c r="D1035">
        <v>1135600</v>
      </c>
      <c r="E1035">
        <v>921599.99999999988</v>
      </c>
      <c r="F1035">
        <v>0</v>
      </c>
      <c r="G1035">
        <v>1240000</v>
      </c>
      <c r="H1035">
        <v>0</v>
      </c>
    </row>
    <row r="1036" spans="1:8" x14ac:dyDescent="0.3">
      <c r="A1036">
        <v>51013042</v>
      </c>
      <c r="B1036" t="e">
        <f>VLOOKUP(A1036,VENTAS!$A$2:$B$1195,2,0)</f>
        <v>#N/A</v>
      </c>
      <c r="C1036">
        <v>137800</v>
      </c>
      <c r="D1036">
        <v>404400</v>
      </c>
      <c r="E1036">
        <v>221400</v>
      </c>
      <c r="F1036">
        <v>54000</v>
      </c>
      <c r="G1036">
        <v>289600</v>
      </c>
      <c r="H1036">
        <v>0</v>
      </c>
    </row>
    <row r="1037" spans="1:8" x14ac:dyDescent="0.3">
      <c r="A1037">
        <v>51013123</v>
      </c>
      <c r="B1037" t="e">
        <f>VLOOKUP(A1037,VENTAS!$A$2:$B$1195,2,0)</f>
        <v>#N/A</v>
      </c>
      <c r="C1037">
        <v>1267800</v>
      </c>
      <c r="D1037">
        <v>1308800</v>
      </c>
      <c r="E1037">
        <v>1658800</v>
      </c>
      <c r="F1037">
        <v>0</v>
      </c>
      <c r="G1037">
        <v>2332800</v>
      </c>
      <c r="H1037">
        <v>0</v>
      </c>
    </row>
    <row r="1038" spans="1:8" x14ac:dyDescent="0.3">
      <c r="A1038">
        <v>51013174</v>
      </c>
      <c r="B1038" t="e">
        <f>VLOOKUP(A1038,VENTAS!$A$2:$B$1195,2,0)</f>
        <v>#N/A</v>
      </c>
      <c r="C1038">
        <v>286200</v>
      </c>
      <c r="D1038">
        <v>0</v>
      </c>
      <c r="E1038">
        <v>0</v>
      </c>
      <c r="F1038">
        <v>0</v>
      </c>
      <c r="G1038">
        <v>0</v>
      </c>
      <c r="H1038">
        <v>0</v>
      </c>
    </row>
    <row r="1039" spans="1:8" x14ac:dyDescent="0.3">
      <c r="A1039">
        <v>51013263</v>
      </c>
      <c r="B1039" t="e">
        <f>VLOOKUP(A1039,VENTAS!$A$2:$B$1195,2,0)</f>
        <v>#N/A</v>
      </c>
      <c r="C1039">
        <v>0</v>
      </c>
      <c r="D1039">
        <v>0</v>
      </c>
      <c r="E1039">
        <v>0</v>
      </c>
      <c r="F1039">
        <v>0</v>
      </c>
      <c r="G1039">
        <v>0</v>
      </c>
      <c r="H1039">
        <v>0</v>
      </c>
    </row>
    <row r="1040" spans="1:8" x14ac:dyDescent="0.3">
      <c r="A1040">
        <v>51013743</v>
      </c>
      <c r="B1040" t="e">
        <f>VLOOKUP(A1040,VENTAS!$A$2:$B$1195,2,0)</f>
        <v>#N/A</v>
      </c>
      <c r="C1040">
        <v>0</v>
      </c>
      <c r="D1040">
        <v>0</v>
      </c>
      <c r="E1040">
        <v>0</v>
      </c>
      <c r="F1040">
        <v>0</v>
      </c>
      <c r="G1040">
        <v>0</v>
      </c>
      <c r="H1040">
        <v>0</v>
      </c>
    </row>
    <row r="1041" spans="1:8" x14ac:dyDescent="0.3">
      <c r="A1041">
        <v>51013751</v>
      </c>
      <c r="B1041" t="e">
        <f>VLOOKUP(A1041,VENTAS!$A$2:$B$1195,2,0)</f>
        <v>#N/A</v>
      </c>
      <c r="C1041">
        <v>579600</v>
      </c>
      <c r="D1041">
        <v>1602800</v>
      </c>
      <c r="E1041">
        <v>712600</v>
      </c>
      <c r="F1041">
        <v>0</v>
      </c>
      <c r="G1041">
        <v>1296000</v>
      </c>
      <c r="H1041">
        <v>0</v>
      </c>
    </row>
    <row r="1042" spans="1:8" x14ac:dyDescent="0.3">
      <c r="A1042">
        <v>51013905</v>
      </c>
      <c r="B1042" t="e">
        <f>VLOOKUP(A1042,VENTAS!$A$2:$B$1195,2,0)</f>
        <v>#N/A</v>
      </c>
      <c r="C1042">
        <v>733200</v>
      </c>
      <c r="D1042">
        <v>0</v>
      </c>
      <c r="E1042">
        <v>1017600</v>
      </c>
      <c r="F1042">
        <v>0</v>
      </c>
      <c r="G1042">
        <v>1052800</v>
      </c>
      <c r="H1042">
        <v>0</v>
      </c>
    </row>
    <row r="1043" spans="1:8" x14ac:dyDescent="0.3">
      <c r="A1043">
        <v>51014073</v>
      </c>
      <c r="B1043" t="e">
        <f>VLOOKUP(A1043,VENTAS!$A$2:$B$1195,2,0)</f>
        <v>#N/A</v>
      </c>
      <c r="C1043">
        <v>456400</v>
      </c>
      <c r="D1043">
        <v>9600</v>
      </c>
      <c r="E1043">
        <v>666600</v>
      </c>
      <c r="F1043">
        <v>0</v>
      </c>
      <c r="G1043">
        <v>1059200</v>
      </c>
      <c r="H1043">
        <v>0</v>
      </c>
    </row>
    <row r="1044" spans="1:8" x14ac:dyDescent="0.3">
      <c r="A1044">
        <v>51014154</v>
      </c>
      <c r="B1044" t="e">
        <f>VLOOKUP(A1044,VENTAS!$A$2:$B$1195,2,0)</f>
        <v>#N/A</v>
      </c>
      <c r="C1044">
        <v>132400</v>
      </c>
      <c r="D1044">
        <v>0</v>
      </c>
      <c r="E1044">
        <v>59000</v>
      </c>
      <c r="F1044">
        <v>0</v>
      </c>
      <c r="G1044">
        <v>0</v>
      </c>
      <c r="H1044">
        <v>0</v>
      </c>
    </row>
    <row r="1045" spans="1:8" x14ac:dyDescent="0.3">
      <c r="A1045">
        <v>51014227</v>
      </c>
      <c r="B1045" t="e">
        <f>VLOOKUP(A1045,VENTAS!$A$2:$B$1195,2,0)</f>
        <v>#N/A</v>
      </c>
      <c r="C1045">
        <v>1181400</v>
      </c>
      <c r="D1045">
        <v>2181600</v>
      </c>
      <c r="E1045">
        <v>1455400</v>
      </c>
      <c r="F1045">
        <v>0</v>
      </c>
      <c r="G1045">
        <v>1825600</v>
      </c>
      <c r="H1045">
        <v>0</v>
      </c>
    </row>
    <row r="1046" spans="1:8" x14ac:dyDescent="0.3">
      <c r="A1046">
        <v>51014651</v>
      </c>
      <c r="B1046" t="e">
        <f>VLOOKUP(A1046,VENTAS!$A$2:$B$1195,2,0)</f>
        <v>#N/A</v>
      </c>
      <c r="C1046">
        <v>888600</v>
      </c>
      <c r="D1046">
        <v>0</v>
      </c>
      <c r="E1046">
        <v>0</v>
      </c>
      <c r="F1046">
        <v>0</v>
      </c>
      <c r="G1046">
        <v>0</v>
      </c>
      <c r="H1046">
        <v>0</v>
      </c>
    </row>
    <row r="1047" spans="1:8" x14ac:dyDescent="0.3">
      <c r="A1047">
        <v>51014723</v>
      </c>
      <c r="B1047" t="e">
        <f>VLOOKUP(A1047,VENTAS!$A$2:$B$1195,2,0)</f>
        <v>#N/A</v>
      </c>
      <c r="C1047">
        <v>1212800</v>
      </c>
      <c r="D1047">
        <v>2450000</v>
      </c>
      <c r="E1047">
        <v>1717000</v>
      </c>
      <c r="F1047">
        <v>572000</v>
      </c>
      <c r="G1047">
        <v>2091200</v>
      </c>
      <c r="H1047">
        <v>0</v>
      </c>
    </row>
    <row r="1048" spans="1:8" x14ac:dyDescent="0.3">
      <c r="A1048">
        <v>51015282</v>
      </c>
      <c r="B1048" t="e">
        <f>VLOOKUP(A1048,VENTAS!$A$2:$B$1195,2,0)</f>
        <v>#N/A</v>
      </c>
      <c r="C1048">
        <v>147200</v>
      </c>
      <c r="D1048">
        <v>0</v>
      </c>
      <c r="E1048">
        <v>155200</v>
      </c>
      <c r="F1048">
        <v>0</v>
      </c>
      <c r="G1048">
        <v>0</v>
      </c>
      <c r="H1048">
        <v>0</v>
      </c>
    </row>
    <row r="1049" spans="1:8" x14ac:dyDescent="0.3">
      <c r="A1049">
        <v>51015576</v>
      </c>
      <c r="B1049" t="e">
        <f>VLOOKUP(A1049,VENTAS!$A$2:$B$1195,2,0)</f>
        <v>#N/A</v>
      </c>
      <c r="C1049">
        <v>506800</v>
      </c>
      <c r="D1049">
        <v>823200</v>
      </c>
      <c r="E1049">
        <v>619400</v>
      </c>
      <c r="F1049">
        <v>0</v>
      </c>
      <c r="G1049">
        <v>883200</v>
      </c>
      <c r="H1049">
        <v>0</v>
      </c>
    </row>
    <row r="1050" spans="1:8" x14ac:dyDescent="0.3">
      <c r="A1050">
        <v>51015690</v>
      </c>
      <c r="B1050" t="e">
        <f>VLOOKUP(A1050,VENTAS!$A$2:$B$1195,2,0)</f>
        <v>#N/A</v>
      </c>
      <c r="C1050">
        <v>230400</v>
      </c>
      <c r="D1050">
        <v>0</v>
      </c>
      <c r="E1050">
        <v>0</v>
      </c>
      <c r="F1050">
        <v>0</v>
      </c>
      <c r="G1050">
        <v>0</v>
      </c>
      <c r="H1050">
        <v>0</v>
      </c>
    </row>
    <row r="1051" spans="1:8" x14ac:dyDescent="0.3">
      <c r="A1051">
        <v>51015738</v>
      </c>
      <c r="B1051" t="e">
        <f>VLOOKUP(A1051,VENTAS!$A$2:$B$1195,2,0)</f>
        <v>#N/A</v>
      </c>
      <c r="C1051">
        <v>771800</v>
      </c>
      <c r="D1051">
        <v>0</v>
      </c>
      <c r="E1051">
        <v>0</v>
      </c>
      <c r="F1051">
        <v>0</v>
      </c>
      <c r="G1051">
        <v>0</v>
      </c>
      <c r="H1051">
        <v>0</v>
      </c>
    </row>
    <row r="1052" spans="1:8" x14ac:dyDescent="0.3">
      <c r="A1052">
        <v>51015959</v>
      </c>
      <c r="B1052" t="e">
        <f>VLOOKUP(A1052,VENTAS!$A$2:$B$1195,2,0)</f>
        <v>#N/A</v>
      </c>
      <c r="C1052">
        <v>889799.99999999988</v>
      </c>
      <c r="D1052">
        <v>0</v>
      </c>
      <c r="E1052">
        <v>146000</v>
      </c>
      <c r="F1052">
        <v>0</v>
      </c>
      <c r="G1052">
        <v>0</v>
      </c>
      <c r="H1052">
        <v>0</v>
      </c>
    </row>
    <row r="1053" spans="1:8" x14ac:dyDescent="0.3">
      <c r="A1053">
        <v>51015991</v>
      </c>
      <c r="B1053" t="e">
        <f>VLOOKUP(A1053,VENTAS!$A$2:$B$1195,2,0)</f>
        <v>#N/A</v>
      </c>
      <c r="C1053">
        <v>837200</v>
      </c>
      <c r="D1053">
        <v>0</v>
      </c>
      <c r="E1053">
        <v>86000</v>
      </c>
      <c r="F1053">
        <v>0</v>
      </c>
      <c r="G1053">
        <v>0</v>
      </c>
      <c r="H1053">
        <v>0</v>
      </c>
    </row>
    <row r="1054" spans="1:8" x14ac:dyDescent="0.3">
      <c r="A1054">
        <v>51016122</v>
      </c>
      <c r="B1054" t="e">
        <f>VLOOKUP(A1054,VENTAS!$A$2:$B$1195,2,0)</f>
        <v>#N/A</v>
      </c>
      <c r="C1054">
        <v>910800</v>
      </c>
      <c r="D1054">
        <v>1814800</v>
      </c>
      <c r="E1054">
        <v>1106600</v>
      </c>
      <c r="F1054">
        <v>0</v>
      </c>
      <c r="G1054">
        <v>1619200</v>
      </c>
      <c r="H1054">
        <v>0</v>
      </c>
    </row>
    <row r="1055" spans="1:8" x14ac:dyDescent="0.3">
      <c r="A1055">
        <v>51016190</v>
      </c>
      <c r="B1055" t="e">
        <f>VLOOKUP(A1055,VENTAS!$A$2:$B$1195,2,0)</f>
        <v>#N/A</v>
      </c>
      <c r="C1055">
        <v>812600</v>
      </c>
      <c r="D1055">
        <v>451200</v>
      </c>
      <c r="E1055">
        <v>1457000</v>
      </c>
      <c r="F1055">
        <v>0</v>
      </c>
      <c r="G1055">
        <v>1504000</v>
      </c>
      <c r="H1055">
        <v>0</v>
      </c>
    </row>
    <row r="1056" spans="1:8" x14ac:dyDescent="0.3">
      <c r="A1056">
        <v>51016505</v>
      </c>
      <c r="B1056" t="e">
        <f>VLOOKUP(A1056,VENTAS!$A$2:$B$1195,2,0)</f>
        <v>#N/A</v>
      </c>
      <c r="C1056">
        <v>900600</v>
      </c>
      <c r="D1056">
        <v>1200000</v>
      </c>
      <c r="E1056">
        <v>1389600</v>
      </c>
      <c r="F1056">
        <v>168000</v>
      </c>
      <c r="G1056">
        <v>1974400</v>
      </c>
      <c r="H1056">
        <v>0</v>
      </c>
    </row>
    <row r="1057" spans="1:8" x14ac:dyDescent="0.3">
      <c r="A1057">
        <v>51016670</v>
      </c>
      <c r="B1057" t="e">
        <f>VLOOKUP(A1057,VENTAS!$A$2:$B$1195,2,0)</f>
        <v>#N/A</v>
      </c>
      <c r="C1057">
        <v>1070800</v>
      </c>
      <c r="D1057">
        <v>691200</v>
      </c>
      <c r="E1057">
        <v>1258400</v>
      </c>
      <c r="F1057">
        <v>0</v>
      </c>
      <c r="G1057">
        <v>2164800</v>
      </c>
      <c r="H1057">
        <v>0</v>
      </c>
    </row>
    <row r="1058" spans="1:8" x14ac:dyDescent="0.3">
      <c r="A1058">
        <v>51016751</v>
      </c>
      <c r="B1058" t="e">
        <f>VLOOKUP(A1058,VENTAS!$A$2:$B$1195,2,0)</f>
        <v>#N/A</v>
      </c>
      <c r="C1058">
        <v>588800</v>
      </c>
      <c r="D1058">
        <v>1394000</v>
      </c>
      <c r="E1058">
        <v>70800</v>
      </c>
      <c r="F1058">
        <v>0</v>
      </c>
      <c r="G1058">
        <v>1419200</v>
      </c>
      <c r="H1058">
        <v>0</v>
      </c>
    </row>
    <row r="1059" spans="1:8" x14ac:dyDescent="0.3">
      <c r="A1059">
        <v>51016769</v>
      </c>
      <c r="B1059" t="e">
        <f>VLOOKUP(A1059,VENTAS!$A$2:$B$1195,2,0)</f>
        <v>#N/A</v>
      </c>
      <c r="C1059">
        <v>580600</v>
      </c>
      <c r="D1059">
        <v>0</v>
      </c>
      <c r="E1059">
        <v>306000</v>
      </c>
      <c r="F1059">
        <v>0</v>
      </c>
      <c r="G1059">
        <v>0</v>
      </c>
      <c r="H1059">
        <v>0</v>
      </c>
    </row>
    <row r="1060" spans="1:8" x14ac:dyDescent="0.3">
      <c r="A1060">
        <v>51016807</v>
      </c>
      <c r="B1060" t="e">
        <f>VLOOKUP(A1060,VENTAS!$A$2:$B$1195,2,0)</f>
        <v>#N/A</v>
      </c>
      <c r="C1060">
        <v>477400</v>
      </c>
      <c r="D1060">
        <v>1222000</v>
      </c>
      <c r="E1060">
        <v>836200</v>
      </c>
      <c r="F1060">
        <v>1010000</v>
      </c>
      <c r="G1060">
        <v>1147200</v>
      </c>
      <c r="H1060">
        <v>0</v>
      </c>
    </row>
    <row r="1061" spans="1:8" x14ac:dyDescent="0.3">
      <c r="A1061">
        <v>51016912</v>
      </c>
      <c r="B1061" t="e">
        <f>VLOOKUP(A1061,VENTAS!$A$2:$B$1195,2,0)</f>
        <v>#N/A</v>
      </c>
      <c r="C1061">
        <v>694599.99999999988</v>
      </c>
      <c r="D1061">
        <v>1434400</v>
      </c>
      <c r="E1061">
        <v>788000</v>
      </c>
      <c r="F1061">
        <v>0</v>
      </c>
      <c r="G1061">
        <v>1168000</v>
      </c>
      <c r="H1061">
        <v>0</v>
      </c>
    </row>
    <row r="1062" spans="1:8" x14ac:dyDescent="0.3">
      <c r="A1062">
        <v>51017005</v>
      </c>
      <c r="B1062" t="e">
        <f>VLOOKUP(A1062,VENTAS!$A$2:$B$1195,2,0)</f>
        <v>#N/A</v>
      </c>
      <c r="C1062">
        <v>507999.99999999988</v>
      </c>
      <c r="D1062">
        <v>0</v>
      </c>
      <c r="E1062">
        <v>128000</v>
      </c>
      <c r="F1062">
        <v>0</v>
      </c>
      <c r="G1062">
        <v>0</v>
      </c>
      <c r="H1062">
        <v>0</v>
      </c>
    </row>
    <row r="1063" spans="1:8" x14ac:dyDescent="0.3">
      <c r="A1063">
        <v>51017200</v>
      </c>
      <c r="B1063" t="e">
        <f>VLOOKUP(A1063,VENTAS!$A$2:$B$1195,2,0)</f>
        <v>#N/A</v>
      </c>
      <c r="C1063">
        <v>855400.00000000012</v>
      </c>
      <c r="D1063">
        <v>0</v>
      </c>
      <c r="E1063">
        <v>57000.000000000007</v>
      </c>
      <c r="F1063">
        <v>0</v>
      </c>
      <c r="G1063">
        <v>0</v>
      </c>
      <c r="H1063">
        <v>0</v>
      </c>
    </row>
    <row r="1064" spans="1:8" x14ac:dyDescent="0.3">
      <c r="A1064">
        <v>51017692</v>
      </c>
      <c r="B1064" t="e">
        <f>VLOOKUP(A1064,VENTAS!$A$2:$B$1195,2,0)</f>
        <v>#N/A</v>
      </c>
      <c r="C1064">
        <v>848000.00000000012</v>
      </c>
      <c r="D1064">
        <v>0</v>
      </c>
      <c r="E1064">
        <v>0</v>
      </c>
      <c r="F1064">
        <v>0</v>
      </c>
      <c r="G1064">
        <v>0</v>
      </c>
      <c r="H1064">
        <v>0</v>
      </c>
    </row>
    <row r="1065" spans="1:8" x14ac:dyDescent="0.3">
      <c r="A1065">
        <v>51017731</v>
      </c>
      <c r="B1065" t="e">
        <f>VLOOKUP(A1065,VENTAS!$A$2:$B$1195,2,0)</f>
        <v>#N/A</v>
      </c>
      <c r="C1065">
        <v>161600</v>
      </c>
      <c r="D1065">
        <v>371200</v>
      </c>
      <c r="E1065">
        <v>264200</v>
      </c>
      <c r="F1065">
        <v>126000</v>
      </c>
      <c r="G1065">
        <v>321600</v>
      </c>
      <c r="H1065">
        <v>0</v>
      </c>
    </row>
    <row r="1066" spans="1:8" x14ac:dyDescent="0.3">
      <c r="A1066">
        <v>51017781</v>
      </c>
      <c r="B1066" t="e">
        <f>VLOOKUP(A1066,VENTAS!$A$2:$B$1195,2,0)</f>
        <v>#N/A</v>
      </c>
      <c r="C1066">
        <v>795200.00000000012</v>
      </c>
      <c r="D1066">
        <v>398400</v>
      </c>
      <c r="E1066">
        <v>1233600</v>
      </c>
      <c r="F1066">
        <v>0</v>
      </c>
      <c r="G1066">
        <v>1548800</v>
      </c>
      <c r="H1066">
        <v>0</v>
      </c>
    </row>
    <row r="1067" spans="1:8" x14ac:dyDescent="0.3">
      <c r="A1067">
        <v>51018010</v>
      </c>
      <c r="B1067" t="e">
        <f>VLOOKUP(A1067,VENTAS!$A$2:$B$1195,2,0)</f>
        <v>#N/A</v>
      </c>
      <c r="C1067">
        <v>475400.00000000012</v>
      </c>
      <c r="D1067">
        <v>324800</v>
      </c>
      <c r="E1067">
        <v>659000</v>
      </c>
      <c r="F1067">
        <v>0</v>
      </c>
      <c r="G1067">
        <v>808000</v>
      </c>
      <c r="H1067">
        <v>0</v>
      </c>
    </row>
    <row r="1068" spans="1:8" x14ac:dyDescent="0.3">
      <c r="A1068">
        <v>51018168</v>
      </c>
      <c r="B1068" t="e">
        <f>VLOOKUP(A1068,VENTAS!$A$2:$B$1195,2,0)</f>
        <v>#N/A</v>
      </c>
      <c r="C1068">
        <v>686400</v>
      </c>
      <c r="D1068">
        <v>525200</v>
      </c>
      <c r="E1068">
        <v>901000</v>
      </c>
      <c r="F1068">
        <v>0</v>
      </c>
      <c r="G1068">
        <v>1236800</v>
      </c>
      <c r="H1068">
        <v>0</v>
      </c>
    </row>
    <row r="1069" spans="1:8" x14ac:dyDescent="0.3">
      <c r="A1069">
        <v>51018192</v>
      </c>
      <c r="B1069" t="e">
        <f>VLOOKUP(A1069,VENTAS!$A$2:$B$1195,2,0)</f>
        <v>#N/A</v>
      </c>
      <c r="C1069">
        <v>529600</v>
      </c>
      <c r="D1069">
        <v>0</v>
      </c>
      <c r="E1069">
        <v>0</v>
      </c>
      <c r="F1069">
        <v>0</v>
      </c>
      <c r="G1069">
        <v>0</v>
      </c>
      <c r="H1069">
        <v>0</v>
      </c>
    </row>
    <row r="1070" spans="1:8" x14ac:dyDescent="0.3">
      <c r="A1070">
        <v>51018281</v>
      </c>
      <c r="B1070" t="e">
        <f>VLOOKUP(A1070,VENTAS!$A$2:$B$1195,2,0)</f>
        <v>#N/A</v>
      </c>
      <c r="C1070">
        <v>220400</v>
      </c>
      <c r="D1070">
        <v>3200</v>
      </c>
      <c r="E1070">
        <v>191000</v>
      </c>
      <c r="F1070">
        <v>0</v>
      </c>
      <c r="G1070">
        <v>187200</v>
      </c>
      <c r="H1070">
        <v>0</v>
      </c>
    </row>
    <row r="1071" spans="1:8" x14ac:dyDescent="0.3">
      <c r="A1071">
        <v>51018915</v>
      </c>
      <c r="B1071" t="e">
        <f>VLOOKUP(A1071,VENTAS!$A$2:$B$1195,2,0)</f>
        <v>#N/A</v>
      </c>
      <c r="C1071">
        <v>0</v>
      </c>
      <c r="D1071">
        <v>0</v>
      </c>
      <c r="E1071">
        <v>0</v>
      </c>
      <c r="F1071">
        <v>0</v>
      </c>
      <c r="G1071">
        <v>0</v>
      </c>
      <c r="H1071">
        <v>0</v>
      </c>
    </row>
    <row r="1072" spans="1:8" x14ac:dyDescent="0.3">
      <c r="A1072">
        <v>51019075</v>
      </c>
      <c r="B1072" t="e">
        <f>VLOOKUP(A1072,VENTAS!$A$2:$B$1195,2,0)</f>
        <v>#N/A</v>
      </c>
      <c r="C1072">
        <v>612800</v>
      </c>
      <c r="D1072">
        <v>0</v>
      </c>
      <c r="E1072">
        <v>0</v>
      </c>
      <c r="F1072">
        <v>0</v>
      </c>
      <c r="G1072">
        <v>0</v>
      </c>
      <c r="H1072">
        <v>0</v>
      </c>
    </row>
    <row r="1073" spans="1:8" x14ac:dyDescent="0.3">
      <c r="A1073">
        <v>51019156</v>
      </c>
      <c r="B1073" t="e">
        <f>VLOOKUP(A1073,VENTAS!$A$2:$B$1195,2,0)</f>
        <v>#N/A</v>
      </c>
      <c r="C1073">
        <v>265800</v>
      </c>
      <c r="D1073">
        <v>0</v>
      </c>
      <c r="E1073">
        <v>406600</v>
      </c>
      <c r="F1073">
        <v>0</v>
      </c>
      <c r="G1073">
        <v>0</v>
      </c>
      <c r="H1073">
        <v>0</v>
      </c>
    </row>
    <row r="1074" spans="1:8" x14ac:dyDescent="0.3">
      <c r="A1074">
        <v>51019181</v>
      </c>
      <c r="B1074" t="e">
        <f>VLOOKUP(A1074,VENTAS!$A$2:$B$1195,2,0)</f>
        <v>#N/A</v>
      </c>
      <c r="C1074">
        <v>448000</v>
      </c>
      <c r="D1074">
        <v>0</v>
      </c>
      <c r="E1074">
        <v>572200</v>
      </c>
      <c r="F1074">
        <v>0</v>
      </c>
      <c r="G1074">
        <v>28800</v>
      </c>
      <c r="H1074">
        <v>0</v>
      </c>
    </row>
    <row r="1075" spans="1:8" x14ac:dyDescent="0.3">
      <c r="A1075">
        <v>51019237</v>
      </c>
      <c r="B1075" t="e">
        <f>VLOOKUP(A1075,VENTAS!$A$2:$B$1195,2,0)</f>
        <v>#N/A</v>
      </c>
      <c r="C1075">
        <v>81600</v>
      </c>
      <c r="D1075">
        <v>0</v>
      </c>
      <c r="E1075">
        <v>0</v>
      </c>
      <c r="F1075">
        <v>0</v>
      </c>
      <c r="G1075">
        <v>0</v>
      </c>
      <c r="H1075">
        <v>0</v>
      </c>
    </row>
    <row r="1076" spans="1:8" x14ac:dyDescent="0.3">
      <c r="A1076">
        <v>51019351</v>
      </c>
      <c r="B1076" t="e">
        <f>VLOOKUP(A1076,VENTAS!$A$2:$B$1195,2,0)</f>
        <v>#N/A</v>
      </c>
      <c r="C1076">
        <v>716400</v>
      </c>
      <c r="D1076">
        <v>0</v>
      </c>
      <c r="E1076">
        <v>907600</v>
      </c>
      <c r="F1076">
        <v>0</v>
      </c>
      <c r="G1076">
        <v>1041600</v>
      </c>
      <c r="H1076">
        <v>0</v>
      </c>
    </row>
    <row r="1077" spans="1:8" x14ac:dyDescent="0.3">
      <c r="A1077">
        <v>51019725</v>
      </c>
      <c r="B1077" t="e">
        <f>VLOOKUP(A1077,VENTAS!$A$2:$B$1195,2,0)</f>
        <v>#N/A</v>
      </c>
      <c r="C1077">
        <v>1044600</v>
      </c>
      <c r="D1077">
        <v>2608800</v>
      </c>
      <c r="E1077">
        <v>1677400</v>
      </c>
      <c r="F1077">
        <v>1762000</v>
      </c>
      <c r="G1077">
        <v>2468800</v>
      </c>
      <c r="H1077">
        <v>0</v>
      </c>
    </row>
    <row r="1078" spans="1:8" x14ac:dyDescent="0.3">
      <c r="A1078">
        <v>51019768</v>
      </c>
      <c r="B1078" t="e">
        <f>VLOOKUP(A1078,VENTAS!$A$2:$B$1195,2,0)</f>
        <v>#N/A</v>
      </c>
      <c r="C1078">
        <v>376200</v>
      </c>
      <c r="D1078">
        <v>0</v>
      </c>
      <c r="E1078">
        <v>385800</v>
      </c>
      <c r="F1078">
        <v>0</v>
      </c>
      <c r="G1078">
        <v>515200</v>
      </c>
      <c r="H1078">
        <v>0</v>
      </c>
    </row>
    <row r="1079" spans="1:8" x14ac:dyDescent="0.3">
      <c r="A1079">
        <v>51020120</v>
      </c>
      <c r="B1079" t="e">
        <f>VLOOKUP(A1079,VENTAS!$A$2:$B$1195,2,0)</f>
        <v>#N/A</v>
      </c>
      <c r="C1079">
        <v>755400</v>
      </c>
      <c r="D1079">
        <v>0</v>
      </c>
      <c r="E1079">
        <v>1223600</v>
      </c>
      <c r="F1079">
        <v>0</v>
      </c>
      <c r="G1079">
        <v>0</v>
      </c>
      <c r="H1079">
        <v>0</v>
      </c>
    </row>
    <row r="1080" spans="1:8" x14ac:dyDescent="0.3">
      <c r="A1080">
        <v>51020154</v>
      </c>
      <c r="B1080" t="e">
        <f>VLOOKUP(A1080,VENTAS!$A$2:$B$1195,2,0)</f>
        <v>#N/A</v>
      </c>
      <c r="C1080">
        <v>0</v>
      </c>
      <c r="D1080">
        <v>0</v>
      </c>
      <c r="E1080">
        <v>0</v>
      </c>
      <c r="F1080">
        <v>0</v>
      </c>
      <c r="G1080">
        <v>0</v>
      </c>
      <c r="H1080">
        <v>0</v>
      </c>
    </row>
    <row r="1081" spans="1:8" x14ac:dyDescent="0.3">
      <c r="A1081">
        <v>51020740</v>
      </c>
      <c r="B1081" t="e">
        <f>VLOOKUP(A1081,VENTAS!$A$2:$B$1195,2,0)</f>
        <v>#N/A</v>
      </c>
      <c r="C1081">
        <v>858400</v>
      </c>
      <c r="D1081">
        <v>2078000</v>
      </c>
      <c r="E1081">
        <v>1594200</v>
      </c>
      <c r="F1081">
        <v>1038000</v>
      </c>
      <c r="G1081">
        <v>2339200</v>
      </c>
      <c r="H1081">
        <v>0</v>
      </c>
    </row>
    <row r="1082" spans="1:8" x14ac:dyDescent="0.3">
      <c r="A1082">
        <v>51021151</v>
      </c>
      <c r="B1082" t="e">
        <f>VLOOKUP(A1082,VENTAS!$A$2:$B$1195,2,0)</f>
        <v>#N/A</v>
      </c>
      <c r="C1082">
        <v>0</v>
      </c>
      <c r="D1082">
        <v>0</v>
      </c>
      <c r="E1082">
        <v>0</v>
      </c>
      <c r="F1082">
        <v>0</v>
      </c>
      <c r="G1082">
        <v>0</v>
      </c>
      <c r="H1082">
        <v>0</v>
      </c>
    </row>
    <row r="1083" spans="1:8" x14ac:dyDescent="0.3">
      <c r="A1083">
        <v>51021525</v>
      </c>
      <c r="B1083" t="e">
        <f>VLOOKUP(A1083,VENTAS!$A$2:$B$1195,2,0)</f>
        <v>#N/A</v>
      </c>
      <c r="C1083">
        <v>0</v>
      </c>
      <c r="D1083">
        <v>0</v>
      </c>
      <c r="E1083">
        <v>0</v>
      </c>
      <c r="F1083">
        <v>0</v>
      </c>
      <c r="G1083">
        <v>0</v>
      </c>
      <c r="H1083">
        <v>0</v>
      </c>
    </row>
    <row r="1084" spans="1:8" x14ac:dyDescent="0.3">
      <c r="A1084">
        <v>51021649</v>
      </c>
      <c r="B1084" t="e">
        <f>VLOOKUP(A1084,VENTAS!$A$2:$B$1195,2,0)</f>
        <v>#N/A</v>
      </c>
      <c r="C1084">
        <v>492599.99999999988</v>
      </c>
      <c r="D1084">
        <v>1023600</v>
      </c>
      <c r="E1084">
        <v>835200</v>
      </c>
      <c r="F1084">
        <v>0</v>
      </c>
      <c r="G1084">
        <v>1084800</v>
      </c>
      <c r="H1084">
        <v>0</v>
      </c>
    </row>
    <row r="1085" spans="1:8" x14ac:dyDescent="0.3">
      <c r="A1085">
        <v>51021908</v>
      </c>
      <c r="B1085" t="e">
        <f>VLOOKUP(A1085,VENTAS!$A$2:$B$1195,2,0)</f>
        <v>#N/A</v>
      </c>
      <c r="C1085">
        <v>544800</v>
      </c>
      <c r="D1085">
        <v>0</v>
      </c>
      <c r="E1085">
        <v>0</v>
      </c>
      <c r="F1085">
        <v>0</v>
      </c>
      <c r="G1085">
        <v>0</v>
      </c>
      <c r="H1085">
        <v>0</v>
      </c>
    </row>
    <row r="1086" spans="1:8" x14ac:dyDescent="0.3">
      <c r="A1086">
        <v>51021924</v>
      </c>
      <c r="B1086" t="e">
        <f>VLOOKUP(A1086,VENTAS!$A$2:$B$1195,2,0)</f>
        <v>#N/A</v>
      </c>
      <c r="C1086">
        <v>225000</v>
      </c>
      <c r="D1086">
        <v>0</v>
      </c>
      <c r="E1086">
        <v>299200</v>
      </c>
      <c r="F1086">
        <v>0</v>
      </c>
      <c r="G1086">
        <v>14400</v>
      </c>
      <c r="H1086">
        <v>0</v>
      </c>
    </row>
    <row r="1087" spans="1:8" x14ac:dyDescent="0.3">
      <c r="A1087">
        <v>51022203</v>
      </c>
      <c r="B1087" t="e">
        <f>VLOOKUP(A1087,VENTAS!$A$2:$B$1195,2,0)</f>
        <v>#N/A</v>
      </c>
      <c r="C1087">
        <v>278000</v>
      </c>
      <c r="D1087">
        <v>0</v>
      </c>
      <c r="E1087">
        <v>459399.99999999988</v>
      </c>
      <c r="F1087">
        <v>0</v>
      </c>
      <c r="G1087">
        <v>0</v>
      </c>
      <c r="H1087">
        <v>0</v>
      </c>
    </row>
    <row r="1088" spans="1:8" x14ac:dyDescent="0.3">
      <c r="A1088">
        <v>51022262</v>
      </c>
      <c r="B1088" t="str">
        <f>VLOOKUP(A1088,VENTAS!$A$2:$B$1195,2,0)</f>
        <v>MONTENEGRO</v>
      </c>
      <c r="C1088">
        <v>465600</v>
      </c>
      <c r="D1088">
        <v>207600</v>
      </c>
      <c r="E1088">
        <v>187000</v>
      </c>
      <c r="F1088">
        <v>196000</v>
      </c>
      <c r="G1088">
        <v>225600</v>
      </c>
      <c r="H1088">
        <v>0</v>
      </c>
    </row>
    <row r="1089" spans="1:8" x14ac:dyDescent="0.3">
      <c r="A1089">
        <v>51022271</v>
      </c>
      <c r="B1089" t="e">
        <f>VLOOKUP(A1089,VENTAS!$A$2:$B$1195,2,0)</f>
        <v>#N/A</v>
      </c>
      <c r="C1089">
        <v>597800</v>
      </c>
      <c r="D1089">
        <v>0</v>
      </c>
      <c r="E1089">
        <v>833200</v>
      </c>
      <c r="F1089">
        <v>0</v>
      </c>
      <c r="G1089">
        <v>0</v>
      </c>
      <c r="H1089">
        <v>0</v>
      </c>
    </row>
    <row r="1090" spans="1:8" x14ac:dyDescent="0.3">
      <c r="A1090">
        <v>51022297</v>
      </c>
      <c r="B1090" t="e">
        <f>VLOOKUP(A1090,VENTAS!$A$2:$B$1195,2,0)</f>
        <v>#N/A</v>
      </c>
      <c r="C1090">
        <v>277800</v>
      </c>
      <c r="D1090">
        <v>0</v>
      </c>
      <c r="E1090">
        <v>367600</v>
      </c>
      <c r="F1090">
        <v>0</v>
      </c>
      <c r="G1090">
        <v>0</v>
      </c>
      <c r="H1090">
        <v>0</v>
      </c>
    </row>
    <row r="1091" spans="1:8" x14ac:dyDescent="0.3">
      <c r="A1091">
        <v>51022807</v>
      </c>
      <c r="B1091" t="e">
        <f>VLOOKUP(A1091,VENTAS!$A$2:$B$1195,2,0)</f>
        <v>#N/A</v>
      </c>
      <c r="C1091">
        <v>2896400</v>
      </c>
      <c r="D1091">
        <v>3844400</v>
      </c>
      <c r="E1091">
        <v>3723400</v>
      </c>
      <c r="F1091">
        <v>912000</v>
      </c>
      <c r="G1091">
        <v>3158400</v>
      </c>
      <c r="H1091">
        <v>0</v>
      </c>
    </row>
    <row r="1092" spans="1:8" x14ac:dyDescent="0.3">
      <c r="A1092">
        <v>51022891</v>
      </c>
      <c r="B1092" t="e">
        <f>VLOOKUP(A1092,VENTAS!$A$2:$B$1195,2,0)</f>
        <v>#N/A</v>
      </c>
      <c r="C1092">
        <v>2051000</v>
      </c>
      <c r="D1092">
        <v>0</v>
      </c>
      <c r="E1092">
        <v>0</v>
      </c>
      <c r="F1092">
        <v>0</v>
      </c>
      <c r="G1092">
        <v>0</v>
      </c>
      <c r="H1092">
        <v>0</v>
      </c>
    </row>
    <row r="1093" spans="1:8" x14ac:dyDescent="0.3">
      <c r="A1093">
        <v>51022939</v>
      </c>
      <c r="B1093" t="e">
        <f>VLOOKUP(A1093,VENTAS!$A$2:$B$1195,2,0)</f>
        <v>#N/A</v>
      </c>
      <c r="C1093">
        <v>792199.99999999988</v>
      </c>
      <c r="D1093">
        <v>553600</v>
      </c>
      <c r="E1093">
        <v>1052200</v>
      </c>
      <c r="F1093">
        <v>0</v>
      </c>
      <c r="G1093">
        <v>1339200</v>
      </c>
      <c r="H1093">
        <v>0</v>
      </c>
    </row>
    <row r="1094" spans="1:8" x14ac:dyDescent="0.3">
      <c r="A1094">
        <v>51023323</v>
      </c>
      <c r="B1094" t="e">
        <f>VLOOKUP(A1094,VENTAS!$A$2:$B$1195,2,0)</f>
        <v>#N/A</v>
      </c>
      <c r="C1094">
        <v>821400</v>
      </c>
      <c r="D1094">
        <v>1407200</v>
      </c>
      <c r="E1094">
        <v>1072400</v>
      </c>
      <c r="F1094">
        <v>0</v>
      </c>
      <c r="G1094">
        <v>1569600</v>
      </c>
      <c r="H1094">
        <v>0</v>
      </c>
    </row>
    <row r="1095" spans="1:8" x14ac:dyDescent="0.3">
      <c r="A1095">
        <v>51023447</v>
      </c>
      <c r="B1095" t="e">
        <f>VLOOKUP(A1095,VENTAS!$A$2:$B$1195,2,0)</f>
        <v>#N/A</v>
      </c>
      <c r="C1095">
        <v>0</v>
      </c>
      <c r="D1095">
        <v>0</v>
      </c>
      <c r="E1095">
        <v>0</v>
      </c>
      <c r="F1095">
        <v>0</v>
      </c>
      <c r="G1095">
        <v>0</v>
      </c>
      <c r="H1095">
        <v>0</v>
      </c>
    </row>
    <row r="1096" spans="1:8" x14ac:dyDescent="0.3">
      <c r="A1096">
        <v>51023463</v>
      </c>
      <c r="B1096" t="e">
        <f>VLOOKUP(A1096,VENTAS!$A$2:$B$1195,2,0)</f>
        <v>#N/A</v>
      </c>
      <c r="C1096">
        <v>288600</v>
      </c>
      <c r="D1096">
        <v>0</v>
      </c>
      <c r="E1096">
        <v>0</v>
      </c>
      <c r="F1096">
        <v>0</v>
      </c>
      <c r="G1096">
        <v>0</v>
      </c>
      <c r="H1096">
        <v>0</v>
      </c>
    </row>
    <row r="1097" spans="1:8" x14ac:dyDescent="0.3">
      <c r="A1097">
        <v>51023510</v>
      </c>
      <c r="B1097" t="e">
        <f>VLOOKUP(A1097,VENTAS!$A$2:$B$1195,2,0)</f>
        <v>#N/A</v>
      </c>
      <c r="C1097">
        <v>865000</v>
      </c>
      <c r="D1097">
        <v>425600</v>
      </c>
      <c r="E1097">
        <v>1410800</v>
      </c>
      <c r="F1097">
        <v>0</v>
      </c>
      <c r="G1097">
        <v>1868800</v>
      </c>
      <c r="H1097">
        <v>0</v>
      </c>
    </row>
    <row r="1098" spans="1:8" x14ac:dyDescent="0.3">
      <c r="A1098">
        <v>51023889</v>
      </c>
      <c r="B1098" t="str">
        <f>VLOOKUP(A1098,VENTAS!$A$2:$B$1195,2,0)</f>
        <v>ARGUELLO</v>
      </c>
      <c r="C1098">
        <v>585800</v>
      </c>
      <c r="D1098">
        <v>1314800</v>
      </c>
      <c r="E1098">
        <v>706000</v>
      </c>
      <c r="F1098">
        <v>1658000</v>
      </c>
      <c r="G1098">
        <v>1187200</v>
      </c>
      <c r="H1098">
        <v>0</v>
      </c>
    </row>
    <row r="1099" spans="1:8" x14ac:dyDescent="0.3">
      <c r="A1099">
        <v>51024338</v>
      </c>
      <c r="B1099" t="e">
        <f>VLOOKUP(A1099,VENTAS!$A$2:$B$1195,2,0)</f>
        <v>#N/A</v>
      </c>
      <c r="C1099">
        <v>1641800</v>
      </c>
      <c r="D1099">
        <v>0</v>
      </c>
      <c r="E1099">
        <v>508999.99999999988</v>
      </c>
      <c r="F1099">
        <v>0</v>
      </c>
      <c r="G1099">
        <v>0</v>
      </c>
      <c r="H1099">
        <v>0</v>
      </c>
    </row>
    <row r="1100" spans="1:8" x14ac:dyDescent="0.3">
      <c r="A1100">
        <v>51024346</v>
      </c>
      <c r="B1100" t="e">
        <f>VLOOKUP(A1100,VENTAS!$A$2:$B$1195,2,0)</f>
        <v>#N/A</v>
      </c>
      <c r="C1100">
        <v>141600</v>
      </c>
      <c r="D1100">
        <v>0</v>
      </c>
      <c r="E1100">
        <v>0</v>
      </c>
      <c r="F1100">
        <v>0</v>
      </c>
      <c r="G1100">
        <v>0</v>
      </c>
      <c r="H1100">
        <v>0</v>
      </c>
    </row>
    <row r="1101" spans="1:8" x14ac:dyDescent="0.3">
      <c r="A1101">
        <v>51024354</v>
      </c>
      <c r="B1101" t="e">
        <f>VLOOKUP(A1101,VENTAS!$A$2:$B$1195,2,0)</f>
        <v>#N/A</v>
      </c>
      <c r="C1101">
        <v>925400</v>
      </c>
      <c r="D1101">
        <v>0</v>
      </c>
      <c r="E1101">
        <v>295000</v>
      </c>
      <c r="F1101">
        <v>0</v>
      </c>
      <c r="G1101">
        <v>0</v>
      </c>
      <c r="H1101">
        <v>0</v>
      </c>
    </row>
    <row r="1102" spans="1:8" x14ac:dyDescent="0.3">
      <c r="A1102">
        <v>51024788</v>
      </c>
      <c r="B1102" t="e">
        <f>VLOOKUP(A1102,VENTAS!$A$2:$B$1195,2,0)</f>
        <v>#N/A</v>
      </c>
      <c r="C1102">
        <v>204800</v>
      </c>
      <c r="D1102">
        <v>0</v>
      </c>
      <c r="E1102">
        <v>0</v>
      </c>
      <c r="F1102">
        <v>0</v>
      </c>
      <c r="G1102">
        <v>0</v>
      </c>
      <c r="H1102">
        <v>0</v>
      </c>
    </row>
    <row r="1103" spans="1:8" x14ac:dyDescent="0.3">
      <c r="A1103">
        <v>51024907</v>
      </c>
      <c r="B1103" t="e">
        <f>VLOOKUP(A1103,VENTAS!$A$2:$B$1195,2,0)</f>
        <v>#N/A</v>
      </c>
      <c r="C1103">
        <v>98400</v>
      </c>
      <c r="D1103">
        <v>0</v>
      </c>
      <c r="E1103">
        <v>0</v>
      </c>
      <c r="F1103">
        <v>0</v>
      </c>
      <c r="G1103">
        <v>0</v>
      </c>
      <c r="H1103">
        <v>0</v>
      </c>
    </row>
    <row r="1104" spans="1:8" x14ac:dyDescent="0.3">
      <c r="A1104">
        <v>51025466</v>
      </c>
      <c r="B1104" t="e">
        <f>VLOOKUP(A1104,VENTAS!$A$2:$B$1195,2,0)</f>
        <v>#N/A</v>
      </c>
      <c r="C1104">
        <v>0</v>
      </c>
      <c r="D1104">
        <v>0</v>
      </c>
      <c r="E1104">
        <v>0</v>
      </c>
      <c r="F1104">
        <v>0</v>
      </c>
      <c r="G1104">
        <v>0</v>
      </c>
      <c r="H1104">
        <v>0</v>
      </c>
    </row>
    <row r="1105" spans="1:8" x14ac:dyDescent="0.3">
      <c r="A1105">
        <v>51025598</v>
      </c>
      <c r="B1105" t="e">
        <f>VLOOKUP(A1105,VENTAS!$A$2:$B$1195,2,0)</f>
        <v>#N/A</v>
      </c>
      <c r="C1105">
        <v>3864200</v>
      </c>
      <c r="D1105">
        <v>4704000</v>
      </c>
      <c r="E1105">
        <v>4472800</v>
      </c>
      <c r="F1105">
        <v>0</v>
      </c>
      <c r="G1105">
        <v>8083199.9999999991</v>
      </c>
      <c r="H1105">
        <v>0</v>
      </c>
    </row>
    <row r="1106" spans="1:8" x14ac:dyDescent="0.3">
      <c r="A1106">
        <v>51025601</v>
      </c>
      <c r="B1106" t="e">
        <f>VLOOKUP(A1106,VENTAS!$A$2:$B$1195,2,0)</f>
        <v>#N/A</v>
      </c>
      <c r="C1106">
        <v>328600</v>
      </c>
      <c r="D1106">
        <v>272000</v>
      </c>
      <c r="E1106">
        <v>1016000</v>
      </c>
      <c r="F1106">
        <v>0</v>
      </c>
      <c r="G1106">
        <v>1113600</v>
      </c>
      <c r="H1106">
        <v>0</v>
      </c>
    </row>
    <row r="1107" spans="1:8" x14ac:dyDescent="0.3">
      <c r="A1107">
        <v>51025881</v>
      </c>
      <c r="B1107" t="e">
        <f>VLOOKUP(A1107,VENTAS!$A$2:$B$1195,2,0)</f>
        <v>#N/A</v>
      </c>
      <c r="C1107">
        <v>1015000</v>
      </c>
      <c r="D1107">
        <v>0</v>
      </c>
      <c r="E1107">
        <v>1293600</v>
      </c>
      <c r="F1107">
        <v>0</v>
      </c>
      <c r="G1107">
        <v>1438400</v>
      </c>
      <c r="H1107">
        <v>0</v>
      </c>
    </row>
    <row r="1108" spans="1:8" x14ac:dyDescent="0.3">
      <c r="A1108">
        <v>51028856</v>
      </c>
      <c r="B1108" t="e">
        <f>VLOOKUP(A1108,VENTAS!$A$2:$B$1195,2,0)</f>
        <v>#N/A</v>
      </c>
      <c r="C1108">
        <v>358000</v>
      </c>
      <c r="D1108">
        <v>0</v>
      </c>
      <c r="E1108">
        <v>347000</v>
      </c>
      <c r="F1108">
        <v>0</v>
      </c>
      <c r="G1108">
        <v>0</v>
      </c>
      <c r="H1108">
        <v>0</v>
      </c>
    </row>
    <row r="1109" spans="1:8" x14ac:dyDescent="0.3">
      <c r="A1109">
        <v>51030087</v>
      </c>
      <c r="B1109" t="e">
        <f>VLOOKUP(A1109,VENTAS!$A$2:$B$1195,2,0)</f>
        <v>#N/A</v>
      </c>
      <c r="C1109">
        <v>0</v>
      </c>
      <c r="D1109">
        <v>0</v>
      </c>
      <c r="E1109">
        <v>0</v>
      </c>
      <c r="F1109">
        <v>0</v>
      </c>
      <c r="G1109">
        <v>0</v>
      </c>
      <c r="H1109">
        <v>0</v>
      </c>
    </row>
    <row r="1110" spans="1:8" x14ac:dyDescent="0.3">
      <c r="A1110">
        <v>51030206</v>
      </c>
      <c r="B1110" t="e">
        <f>VLOOKUP(A1110,VENTAS!$A$2:$B$1195,2,0)</f>
        <v>#N/A</v>
      </c>
      <c r="C1110">
        <v>1084000</v>
      </c>
      <c r="D1110">
        <v>819200</v>
      </c>
      <c r="E1110">
        <v>1595800</v>
      </c>
      <c r="F1110">
        <v>0</v>
      </c>
      <c r="G1110">
        <v>1985600</v>
      </c>
      <c r="H1110">
        <v>0</v>
      </c>
    </row>
    <row r="1111" spans="1:8" x14ac:dyDescent="0.3">
      <c r="A1111">
        <v>51030630</v>
      </c>
      <c r="B1111" t="e">
        <f>VLOOKUP(A1111,VENTAS!$A$2:$B$1195,2,0)</f>
        <v>#N/A</v>
      </c>
      <c r="C1111">
        <v>872000</v>
      </c>
      <c r="D1111">
        <v>0</v>
      </c>
      <c r="E1111">
        <v>1056400</v>
      </c>
      <c r="F1111">
        <v>0</v>
      </c>
      <c r="G1111">
        <v>915199.99999999988</v>
      </c>
      <c r="H1111">
        <v>0</v>
      </c>
    </row>
    <row r="1112" spans="1:8" x14ac:dyDescent="0.3">
      <c r="A1112">
        <v>51030745</v>
      </c>
      <c r="B1112" t="e">
        <f>VLOOKUP(A1112,VENTAS!$A$2:$B$1195,2,0)</f>
        <v>#N/A</v>
      </c>
      <c r="C1112">
        <v>1143200</v>
      </c>
      <c r="D1112">
        <v>0</v>
      </c>
      <c r="E1112">
        <v>1933200</v>
      </c>
      <c r="F1112">
        <v>0</v>
      </c>
      <c r="G1112">
        <v>1355200</v>
      </c>
      <c r="H1112">
        <v>0</v>
      </c>
    </row>
    <row r="1113" spans="1:8" x14ac:dyDescent="0.3">
      <c r="A1113">
        <v>51030796</v>
      </c>
      <c r="B1113" t="e">
        <f>VLOOKUP(A1113,VENTAS!$A$2:$B$1195,2,0)</f>
        <v>#N/A</v>
      </c>
      <c r="C1113">
        <v>152600</v>
      </c>
      <c r="D1113">
        <v>0</v>
      </c>
      <c r="E1113">
        <v>788000</v>
      </c>
      <c r="F1113">
        <v>0</v>
      </c>
      <c r="G1113">
        <v>0</v>
      </c>
      <c r="H1113">
        <v>0</v>
      </c>
    </row>
    <row r="1114" spans="1:8" x14ac:dyDescent="0.3">
      <c r="A1114">
        <v>51030966</v>
      </c>
      <c r="B1114" t="e">
        <f>VLOOKUP(A1114,VENTAS!$A$2:$B$1195,2,0)</f>
        <v>#N/A</v>
      </c>
      <c r="C1114">
        <v>0</v>
      </c>
      <c r="D1114">
        <v>0</v>
      </c>
      <c r="E1114">
        <v>0</v>
      </c>
      <c r="F1114">
        <v>0</v>
      </c>
      <c r="G1114">
        <v>0</v>
      </c>
      <c r="H1114">
        <v>0</v>
      </c>
    </row>
    <row r="1115" spans="1:8" x14ac:dyDescent="0.3">
      <c r="A1115">
        <v>51031041</v>
      </c>
      <c r="B1115" t="str">
        <f>VLOOKUP(A1115,VENTAS!$A$2:$B$1195,2,0)</f>
        <v>CICHETTO</v>
      </c>
      <c r="C1115">
        <v>142000</v>
      </c>
      <c r="D1115">
        <v>426800</v>
      </c>
      <c r="E1115">
        <v>241200</v>
      </c>
      <c r="F1115">
        <v>82000</v>
      </c>
      <c r="G1115">
        <v>328000</v>
      </c>
      <c r="H1115">
        <v>0</v>
      </c>
    </row>
    <row r="1116" spans="1:8" x14ac:dyDescent="0.3">
      <c r="A1116">
        <v>51031067</v>
      </c>
      <c r="B1116" t="e">
        <f>VLOOKUP(A1116,VENTAS!$A$2:$B$1195,2,0)</f>
        <v>#N/A</v>
      </c>
      <c r="C1116">
        <v>732200</v>
      </c>
      <c r="D1116">
        <v>0</v>
      </c>
      <c r="E1116">
        <v>844200</v>
      </c>
      <c r="F1116">
        <v>0</v>
      </c>
      <c r="G1116">
        <v>0</v>
      </c>
      <c r="H1116">
        <v>0</v>
      </c>
    </row>
    <row r="1117" spans="1:8" x14ac:dyDescent="0.3">
      <c r="A1117">
        <v>51031091</v>
      </c>
      <c r="B1117" t="e">
        <f>VLOOKUP(A1117,VENTAS!$A$2:$B$1195,2,0)</f>
        <v>#N/A</v>
      </c>
      <c r="C1117">
        <v>0</v>
      </c>
      <c r="D1117">
        <v>0</v>
      </c>
      <c r="E1117">
        <v>0</v>
      </c>
      <c r="F1117">
        <v>0</v>
      </c>
      <c r="G1117">
        <v>0</v>
      </c>
      <c r="H1117">
        <v>0</v>
      </c>
    </row>
    <row r="1118" spans="1:8" x14ac:dyDescent="0.3">
      <c r="A1118">
        <v>51031156</v>
      </c>
      <c r="B1118" t="e">
        <f>VLOOKUP(A1118,VENTAS!$A$2:$B$1195,2,0)</f>
        <v>#N/A</v>
      </c>
      <c r="C1118">
        <v>899600</v>
      </c>
      <c r="D1118">
        <v>0</v>
      </c>
      <c r="E1118">
        <v>162000</v>
      </c>
      <c r="F1118">
        <v>0</v>
      </c>
      <c r="G1118">
        <v>0</v>
      </c>
      <c r="H1118">
        <v>0</v>
      </c>
    </row>
    <row r="1119" spans="1:8" x14ac:dyDescent="0.3">
      <c r="A1119">
        <v>51031423</v>
      </c>
      <c r="B1119" t="e">
        <f>VLOOKUP(A1119,VENTAS!$A$2:$B$1195,2,0)</f>
        <v>#N/A</v>
      </c>
      <c r="C1119">
        <v>0</v>
      </c>
      <c r="D1119">
        <v>0</v>
      </c>
      <c r="E1119">
        <v>0</v>
      </c>
      <c r="F1119">
        <v>0</v>
      </c>
      <c r="G1119">
        <v>0</v>
      </c>
      <c r="H1119">
        <v>0</v>
      </c>
    </row>
    <row r="1120" spans="1:8" x14ac:dyDescent="0.3">
      <c r="A1120">
        <v>51031555</v>
      </c>
      <c r="B1120" t="e">
        <f>VLOOKUP(A1120,VENTAS!$A$2:$B$1195,2,0)</f>
        <v>#N/A</v>
      </c>
      <c r="C1120">
        <v>838399.99999999988</v>
      </c>
      <c r="D1120">
        <v>0</v>
      </c>
      <c r="E1120">
        <v>28000</v>
      </c>
      <c r="F1120">
        <v>0</v>
      </c>
      <c r="G1120">
        <v>0</v>
      </c>
      <c r="H1120">
        <v>0</v>
      </c>
    </row>
    <row r="1121" spans="1:8" x14ac:dyDescent="0.3">
      <c r="A1121">
        <v>51032021</v>
      </c>
      <c r="B1121" t="e">
        <f>VLOOKUP(A1121,VENTAS!$A$2:$B$1195,2,0)</f>
        <v>#N/A</v>
      </c>
      <c r="C1121">
        <v>1349600</v>
      </c>
      <c r="D1121">
        <v>0</v>
      </c>
      <c r="E1121">
        <v>429000</v>
      </c>
      <c r="F1121">
        <v>0</v>
      </c>
      <c r="G1121">
        <v>0</v>
      </c>
      <c r="H1121">
        <v>0</v>
      </c>
    </row>
    <row r="1122" spans="1:8" x14ac:dyDescent="0.3">
      <c r="A1122">
        <v>51032055</v>
      </c>
      <c r="B1122" t="e">
        <f>VLOOKUP(A1122,VENTAS!$A$2:$B$1195,2,0)</f>
        <v>#N/A</v>
      </c>
      <c r="C1122">
        <v>720800</v>
      </c>
      <c r="D1122">
        <v>0</v>
      </c>
      <c r="E1122">
        <v>0</v>
      </c>
      <c r="F1122">
        <v>0</v>
      </c>
      <c r="G1122">
        <v>0</v>
      </c>
      <c r="H1122">
        <v>0</v>
      </c>
    </row>
    <row r="1123" spans="1:8" x14ac:dyDescent="0.3">
      <c r="A1123">
        <v>51032144</v>
      </c>
      <c r="B1123" t="e">
        <f>VLOOKUP(A1123,VENTAS!$A$2:$B$1195,2,0)</f>
        <v>#N/A</v>
      </c>
      <c r="C1123">
        <v>1118400</v>
      </c>
      <c r="D1123">
        <v>1851600</v>
      </c>
      <c r="E1123">
        <v>1560200</v>
      </c>
      <c r="F1123">
        <v>0</v>
      </c>
      <c r="G1123">
        <v>2243200</v>
      </c>
      <c r="H1123">
        <v>0</v>
      </c>
    </row>
    <row r="1124" spans="1:8" x14ac:dyDescent="0.3">
      <c r="A1124">
        <v>51032209</v>
      </c>
      <c r="B1124" t="e">
        <f>VLOOKUP(A1124,VENTAS!$A$2:$B$1195,2,0)</f>
        <v>#N/A</v>
      </c>
      <c r="C1124">
        <v>1306600</v>
      </c>
      <c r="D1124">
        <v>41600</v>
      </c>
      <c r="E1124">
        <v>1485000</v>
      </c>
      <c r="F1124">
        <v>0</v>
      </c>
      <c r="G1124">
        <v>1912000</v>
      </c>
      <c r="H1124">
        <v>0</v>
      </c>
    </row>
    <row r="1125" spans="1:8" x14ac:dyDescent="0.3">
      <c r="A1125">
        <v>51032217</v>
      </c>
      <c r="B1125" t="e">
        <f>VLOOKUP(A1125,VENTAS!$A$2:$B$1195,2,0)</f>
        <v>#N/A</v>
      </c>
      <c r="C1125">
        <v>1249200</v>
      </c>
      <c r="D1125">
        <v>0</v>
      </c>
      <c r="E1125">
        <v>0</v>
      </c>
      <c r="F1125">
        <v>0</v>
      </c>
      <c r="G1125">
        <v>0</v>
      </c>
      <c r="H1125">
        <v>0</v>
      </c>
    </row>
    <row r="1126" spans="1:8" x14ac:dyDescent="0.3">
      <c r="A1126">
        <v>51032497</v>
      </c>
      <c r="B1126" t="str">
        <f>VLOOKUP(A1126,VENTAS!$A$2:$B$1195,2,0)</f>
        <v>CICHETTO</v>
      </c>
      <c r="C1126">
        <v>789600</v>
      </c>
      <c r="D1126">
        <v>1082000</v>
      </c>
      <c r="E1126">
        <v>1157200</v>
      </c>
      <c r="F1126">
        <v>1520000</v>
      </c>
      <c r="G1126">
        <v>1305600</v>
      </c>
      <c r="H1126">
        <v>0</v>
      </c>
    </row>
    <row r="1127" spans="1:8" x14ac:dyDescent="0.3">
      <c r="A1127">
        <v>51033019</v>
      </c>
      <c r="B1127" t="e">
        <f>VLOOKUP(A1127,VENTAS!$A$2:$B$1195,2,0)</f>
        <v>#N/A</v>
      </c>
      <c r="C1127">
        <v>1354800</v>
      </c>
      <c r="D1127">
        <v>0</v>
      </c>
      <c r="E1127">
        <v>1742000</v>
      </c>
      <c r="F1127">
        <v>0</v>
      </c>
      <c r="G1127">
        <v>1040000</v>
      </c>
      <c r="H1127">
        <v>0</v>
      </c>
    </row>
    <row r="1128" spans="1:8" x14ac:dyDescent="0.3">
      <c r="A1128">
        <v>51033311</v>
      </c>
      <c r="B1128" t="e">
        <f>VLOOKUP(A1128,VENTAS!$A$2:$B$1195,2,0)</f>
        <v>#N/A</v>
      </c>
      <c r="C1128">
        <v>0</v>
      </c>
      <c r="D1128">
        <v>0</v>
      </c>
      <c r="E1128">
        <v>0</v>
      </c>
      <c r="F1128">
        <v>0</v>
      </c>
      <c r="G1128">
        <v>0</v>
      </c>
      <c r="H1128">
        <v>0</v>
      </c>
    </row>
    <row r="1129" spans="1:8" x14ac:dyDescent="0.3">
      <c r="A1129">
        <v>51033647</v>
      </c>
      <c r="B1129" t="e">
        <f>VLOOKUP(A1129,VENTAS!$A$2:$B$1195,2,0)</f>
        <v>#N/A</v>
      </c>
      <c r="C1129">
        <v>598400</v>
      </c>
      <c r="D1129">
        <v>0</v>
      </c>
      <c r="E1129">
        <v>75000</v>
      </c>
      <c r="F1129">
        <v>0</v>
      </c>
      <c r="G1129">
        <v>0</v>
      </c>
      <c r="H1129">
        <v>0</v>
      </c>
    </row>
    <row r="1130" spans="1:8" x14ac:dyDescent="0.3">
      <c r="A1130">
        <v>51034261</v>
      </c>
      <c r="B1130" t="e">
        <f>VLOOKUP(A1130,VENTAS!$A$2:$B$1195,2,0)</f>
        <v>#N/A</v>
      </c>
      <c r="C1130">
        <v>299800</v>
      </c>
      <c r="D1130">
        <v>14400</v>
      </c>
      <c r="E1130">
        <v>483199.99999999988</v>
      </c>
      <c r="F1130">
        <v>0</v>
      </c>
      <c r="G1130">
        <v>656000</v>
      </c>
      <c r="H1130">
        <v>0</v>
      </c>
    </row>
    <row r="1131" spans="1:8" x14ac:dyDescent="0.3">
      <c r="A1131">
        <v>51034392</v>
      </c>
      <c r="B1131" t="e">
        <f>VLOOKUP(A1131,VENTAS!$A$2:$B$1195,2,0)</f>
        <v>#N/A</v>
      </c>
      <c r="C1131">
        <v>0</v>
      </c>
      <c r="D1131">
        <v>0</v>
      </c>
      <c r="E1131">
        <v>0</v>
      </c>
      <c r="F1131">
        <v>0</v>
      </c>
      <c r="G1131">
        <v>0</v>
      </c>
      <c r="H1131">
        <v>0</v>
      </c>
    </row>
    <row r="1132" spans="1:8" x14ac:dyDescent="0.3">
      <c r="A1132">
        <v>51036093</v>
      </c>
      <c r="B1132" t="e">
        <f>VLOOKUP(A1132,VENTAS!$A$2:$B$1195,2,0)</f>
        <v>#N/A</v>
      </c>
      <c r="C1132">
        <v>1689400</v>
      </c>
      <c r="D1132">
        <v>0</v>
      </c>
      <c r="E1132">
        <v>821000.00000000012</v>
      </c>
      <c r="F1132">
        <v>0</v>
      </c>
      <c r="G1132">
        <v>0</v>
      </c>
      <c r="H1132">
        <v>0</v>
      </c>
    </row>
    <row r="1133" spans="1:8" x14ac:dyDescent="0.3">
      <c r="A1133">
        <v>51036620</v>
      </c>
      <c r="B1133" t="e">
        <f>VLOOKUP(A1133,VENTAS!$A$2:$B$1195,2,0)</f>
        <v>#N/A</v>
      </c>
      <c r="C1133">
        <v>141400</v>
      </c>
      <c r="D1133">
        <v>0</v>
      </c>
      <c r="E1133">
        <v>54000.000000000007</v>
      </c>
      <c r="F1133">
        <v>0</v>
      </c>
      <c r="G1133">
        <v>0</v>
      </c>
      <c r="H1133">
        <v>0</v>
      </c>
    </row>
    <row r="1134" spans="1:8" x14ac:dyDescent="0.3">
      <c r="A1134">
        <v>51036786</v>
      </c>
      <c r="B1134" t="e">
        <f>VLOOKUP(A1134,VENTAS!$A$2:$B$1195,2,0)</f>
        <v>#N/A</v>
      </c>
      <c r="C1134">
        <v>280000</v>
      </c>
      <c r="D1134">
        <v>0</v>
      </c>
      <c r="E1134">
        <v>0</v>
      </c>
      <c r="F1134">
        <v>0</v>
      </c>
      <c r="G1134">
        <v>0</v>
      </c>
      <c r="H1134">
        <v>0</v>
      </c>
    </row>
    <row r="1135" spans="1:8" x14ac:dyDescent="0.3">
      <c r="A1135">
        <v>51037014</v>
      </c>
      <c r="B1135" t="e">
        <f>VLOOKUP(A1135,VENTAS!$A$2:$B$1195,2,0)</f>
        <v>#N/A</v>
      </c>
      <c r="C1135">
        <v>730000</v>
      </c>
      <c r="D1135">
        <v>0</v>
      </c>
      <c r="E1135">
        <v>1264400</v>
      </c>
      <c r="F1135">
        <v>0</v>
      </c>
      <c r="G1135">
        <v>1208000</v>
      </c>
      <c r="H1135">
        <v>0</v>
      </c>
    </row>
    <row r="1136" spans="1:8" x14ac:dyDescent="0.3">
      <c r="A1136">
        <v>51038991</v>
      </c>
      <c r="B1136" t="e">
        <f>VLOOKUP(A1136,VENTAS!$A$2:$B$1195,2,0)</f>
        <v>#N/A</v>
      </c>
      <c r="C1136">
        <v>602200</v>
      </c>
      <c r="D1136">
        <v>643600</v>
      </c>
      <c r="E1136">
        <v>1097600</v>
      </c>
      <c r="F1136">
        <v>0</v>
      </c>
      <c r="G1136">
        <v>1395200</v>
      </c>
      <c r="H1136">
        <v>0</v>
      </c>
    </row>
    <row r="1137" spans="1:8" x14ac:dyDescent="0.3">
      <c r="A1137">
        <v>51039084</v>
      </c>
      <c r="B1137" t="e">
        <f>VLOOKUP(A1137,VENTAS!$A$2:$B$1195,2,0)</f>
        <v>#N/A</v>
      </c>
      <c r="C1137">
        <v>1315600</v>
      </c>
      <c r="D1137">
        <v>2301200</v>
      </c>
      <c r="E1137">
        <v>1812000</v>
      </c>
      <c r="F1137">
        <v>0</v>
      </c>
      <c r="G1137">
        <v>2784000</v>
      </c>
      <c r="H1137">
        <v>0</v>
      </c>
    </row>
    <row r="1138" spans="1:8" x14ac:dyDescent="0.3">
      <c r="A1138">
        <v>51039955</v>
      </c>
      <c r="B1138" t="e">
        <f>VLOOKUP(A1138,VENTAS!$A$2:$B$1195,2,0)</f>
        <v>#N/A</v>
      </c>
      <c r="C1138">
        <v>0</v>
      </c>
      <c r="D1138">
        <v>0</v>
      </c>
      <c r="E1138">
        <v>0</v>
      </c>
      <c r="F1138">
        <v>0</v>
      </c>
      <c r="G1138">
        <v>0</v>
      </c>
      <c r="H1138">
        <v>0</v>
      </c>
    </row>
    <row r="1139" spans="1:8" x14ac:dyDescent="0.3">
      <c r="A1139">
        <v>51039980</v>
      </c>
      <c r="B1139" t="e">
        <f>VLOOKUP(A1139,VENTAS!$A$2:$B$1195,2,0)</f>
        <v>#N/A</v>
      </c>
      <c r="C1139">
        <v>1422400</v>
      </c>
      <c r="D1139">
        <v>0</v>
      </c>
      <c r="E1139">
        <v>1788200</v>
      </c>
      <c r="F1139">
        <v>0</v>
      </c>
      <c r="G1139">
        <v>0</v>
      </c>
      <c r="H1139">
        <v>0</v>
      </c>
    </row>
    <row r="1140" spans="1:8" x14ac:dyDescent="0.3">
      <c r="A1140">
        <v>51040040</v>
      </c>
      <c r="B1140" t="e">
        <f>VLOOKUP(A1140,VENTAS!$A$2:$B$1195,2,0)</f>
        <v>#N/A</v>
      </c>
      <c r="C1140">
        <v>510800</v>
      </c>
      <c r="D1140">
        <v>184000</v>
      </c>
      <c r="E1140">
        <v>690000</v>
      </c>
      <c r="F1140">
        <v>0</v>
      </c>
      <c r="G1140">
        <v>750400</v>
      </c>
      <c r="H1140">
        <v>0</v>
      </c>
    </row>
    <row r="1141" spans="1:8" x14ac:dyDescent="0.3">
      <c r="A1141">
        <v>51040309</v>
      </c>
      <c r="B1141" t="e">
        <f>VLOOKUP(A1141,VENTAS!$A$2:$B$1195,2,0)</f>
        <v>#N/A</v>
      </c>
      <c r="C1141">
        <v>1008600</v>
      </c>
      <c r="D1141">
        <v>2032000</v>
      </c>
      <c r="E1141">
        <v>1384600</v>
      </c>
      <c r="F1141">
        <v>1720000</v>
      </c>
      <c r="G1141">
        <v>1755200</v>
      </c>
      <c r="H1141">
        <v>0</v>
      </c>
    </row>
    <row r="1142" spans="1:8" x14ac:dyDescent="0.3">
      <c r="A1142">
        <v>51040856</v>
      </c>
      <c r="B1142" t="e">
        <f>VLOOKUP(A1142,VENTAS!$A$2:$B$1195,2,0)</f>
        <v>#N/A</v>
      </c>
      <c r="C1142">
        <v>271200</v>
      </c>
      <c r="D1142">
        <v>0</v>
      </c>
      <c r="E1142">
        <v>0</v>
      </c>
      <c r="F1142">
        <v>0</v>
      </c>
      <c r="G1142">
        <v>0</v>
      </c>
      <c r="H1142">
        <v>0</v>
      </c>
    </row>
    <row r="1143" spans="1:8" x14ac:dyDescent="0.3">
      <c r="A1143">
        <v>51040970</v>
      </c>
      <c r="B1143" t="e">
        <f>VLOOKUP(A1143,VENTAS!$A$2:$B$1195,2,0)</f>
        <v>#N/A</v>
      </c>
      <c r="C1143">
        <v>598400</v>
      </c>
      <c r="D1143">
        <v>0</v>
      </c>
      <c r="E1143">
        <v>823999.99999999988</v>
      </c>
      <c r="F1143">
        <v>0</v>
      </c>
      <c r="G1143">
        <v>683200</v>
      </c>
      <c r="H1143">
        <v>0</v>
      </c>
    </row>
    <row r="1144" spans="1:8" x14ac:dyDescent="0.3">
      <c r="A1144">
        <v>51041178</v>
      </c>
      <c r="B1144" t="e">
        <f>VLOOKUP(A1144,VENTAS!$A$2:$B$1195,2,0)</f>
        <v>#N/A</v>
      </c>
      <c r="C1144">
        <v>1623200</v>
      </c>
      <c r="D1144">
        <v>0</v>
      </c>
      <c r="E1144">
        <v>0</v>
      </c>
      <c r="F1144">
        <v>0</v>
      </c>
      <c r="G1144">
        <v>0</v>
      </c>
      <c r="H1144">
        <v>0</v>
      </c>
    </row>
    <row r="1145" spans="1:8" x14ac:dyDescent="0.3">
      <c r="A1145">
        <v>51041321</v>
      </c>
      <c r="B1145" t="e">
        <f>VLOOKUP(A1145,VENTAS!$A$2:$B$1195,2,0)</f>
        <v>#N/A</v>
      </c>
      <c r="C1145">
        <v>1414800</v>
      </c>
      <c r="D1145">
        <v>0</v>
      </c>
      <c r="E1145">
        <v>1846400</v>
      </c>
      <c r="F1145">
        <v>0</v>
      </c>
      <c r="G1145">
        <v>2464000</v>
      </c>
      <c r="H1145">
        <v>0</v>
      </c>
    </row>
    <row r="1146" spans="1:8" x14ac:dyDescent="0.3">
      <c r="A1146">
        <v>51041836</v>
      </c>
      <c r="B1146" t="e">
        <f>VLOOKUP(A1146,VENTAS!$A$2:$B$1195,2,0)</f>
        <v>#N/A</v>
      </c>
      <c r="C1146">
        <v>992200</v>
      </c>
      <c r="D1146">
        <v>0</v>
      </c>
      <c r="E1146">
        <v>478000</v>
      </c>
      <c r="F1146">
        <v>0</v>
      </c>
      <c r="G1146">
        <v>0</v>
      </c>
      <c r="H1146">
        <v>0</v>
      </c>
    </row>
    <row r="1147" spans="1:8" x14ac:dyDescent="0.3">
      <c r="A1147">
        <v>51041925</v>
      </c>
      <c r="B1147" t="e">
        <f>VLOOKUP(A1147,VENTAS!$A$2:$B$1195,2,0)</f>
        <v>#N/A</v>
      </c>
      <c r="C1147">
        <v>1220600</v>
      </c>
      <c r="D1147">
        <v>1606800</v>
      </c>
      <c r="E1147">
        <v>1737800</v>
      </c>
      <c r="F1147">
        <v>0</v>
      </c>
      <c r="G1147">
        <v>2123200</v>
      </c>
      <c r="H1147">
        <v>0</v>
      </c>
    </row>
    <row r="1148" spans="1:8" x14ac:dyDescent="0.3">
      <c r="A1148">
        <v>51042166</v>
      </c>
      <c r="B1148" t="e">
        <f>VLOOKUP(A1148,VENTAS!$A$2:$B$1195,2,0)</f>
        <v>#N/A</v>
      </c>
      <c r="C1148">
        <v>829599.99999999988</v>
      </c>
      <c r="D1148">
        <v>0</v>
      </c>
      <c r="E1148">
        <v>1201200</v>
      </c>
      <c r="F1148">
        <v>0</v>
      </c>
      <c r="G1148">
        <v>268800</v>
      </c>
      <c r="H1148">
        <v>0</v>
      </c>
    </row>
    <row r="1149" spans="1:8" x14ac:dyDescent="0.3">
      <c r="A1149">
        <v>51042352</v>
      </c>
      <c r="B1149" t="e">
        <f>VLOOKUP(A1149,VENTAS!$A$2:$B$1195,2,0)</f>
        <v>#N/A</v>
      </c>
      <c r="C1149">
        <v>404800</v>
      </c>
      <c r="D1149">
        <v>492400</v>
      </c>
      <c r="E1149">
        <v>687800</v>
      </c>
      <c r="F1149">
        <v>0</v>
      </c>
      <c r="G1149">
        <v>868800.00000000012</v>
      </c>
      <c r="H1149">
        <v>0</v>
      </c>
    </row>
    <row r="1150" spans="1:8" x14ac:dyDescent="0.3">
      <c r="A1150">
        <v>51042492</v>
      </c>
      <c r="B1150" t="e">
        <f>VLOOKUP(A1150,VENTAS!$A$2:$B$1195,2,0)</f>
        <v>#N/A</v>
      </c>
      <c r="C1150">
        <v>1425600</v>
      </c>
      <c r="D1150">
        <v>2593600</v>
      </c>
      <c r="E1150">
        <v>1827200</v>
      </c>
      <c r="F1150">
        <v>0</v>
      </c>
      <c r="G1150">
        <v>2846400</v>
      </c>
      <c r="H1150">
        <v>0</v>
      </c>
    </row>
    <row r="1151" spans="1:8" x14ac:dyDescent="0.3">
      <c r="A1151">
        <v>51042557</v>
      </c>
      <c r="B1151" t="e">
        <f>VLOOKUP(A1151,VENTAS!$A$2:$B$1195,2,0)</f>
        <v>#N/A</v>
      </c>
      <c r="C1151">
        <v>1099600</v>
      </c>
      <c r="D1151">
        <v>644800</v>
      </c>
      <c r="E1151">
        <v>1364600</v>
      </c>
      <c r="F1151">
        <v>0</v>
      </c>
      <c r="G1151">
        <v>2161600</v>
      </c>
      <c r="H1151">
        <v>0</v>
      </c>
    </row>
    <row r="1152" spans="1:8" x14ac:dyDescent="0.3">
      <c r="A1152">
        <v>51042697</v>
      </c>
      <c r="B1152" t="e">
        <f>VLOOKUP(A1152,VENTAS!$A$2:$B$1195,2,0)</f>
        <v>#N/A</v>
      </c>
      <c r="C1152">
        <v>1317600</v>
      </c>
      <c r="D1152">
        <v>0</v>
      </c>
      <c r="E1152">
        <v>655000</v>
      </c>
      <c r="F1152">
        <v>0</v>
      </c>
      <c r="G1152">
        <v>0</v>
      </c>
      <c r="H1152">
        <v>0</v>
      </c>
    </row>
    <row r="1153" spans="1:8" x14ac:dyDescent="0.3">
      <c r="A1153">
        <v>51042701</v>
      </c>
      <c r="B1153" t="e">
        <f>VLOOKUP(A1153,VENTAS!$A$2:$B$1195,2,0)</f>
        <v>#N/A</v>
      </c>
      <c r="C1153">
        <v>1231200</v>
      </c>
      <c r="D1153">
        <v>2240400</v>
      </c>
      <c r="E1153">
        <v>1607000</v>
      </c>
      <c r="F1153">
        <v>0</v>
      </c>
      <c r="G1153">
        <v>2249600</v>
      </c>
      <c r="H1153">
        <v>0</v>
      </c>
    </row>
    <row r="1154" spans="1:8" x14ac:dyDescent="0.3">
      <c r="A1154">
        <v>51042794</v>
      </c>
      <c r="B1154" t="e">
        <f>VLOOKUP(A1154,VENTAS!$A$2:$B$1195,2,0)</f>
        <v>#N/A</v>
      </c>
      <c r="C1154">
        <v>0</v>
      </c>
      <c r="D1154">
        <v>0</v>
      </c>
      <c r="E1154">
        <v>0</v>
      </c>
      <c r="F1154">
        <v>0</v>
      </c>
      <c r="G1154">
        <v>0</v>
      </c>
      <c r="H1154">
        <v>0</v>
      </c>
    </row>
    <row r="1155" spans="1:8" x14ac:dyDescent="0.3">
      <c r="A1155">
        <v>51042867</v>
      </c>
      <c r="B1155" t="e">
        <f>VLOOKUP(A1155,VENTAS!$A$2:$B$1195,2,0)</f>
        <v>#N/A</v>
      </c>
      <c r="C1155">
        <v>507600</v>
      </c>
      <c r="D1155">
        <v>0</v>
      </c>
      <c r="E1155">
        <v>727000</v>
      </c>
      <c r="F1155">
        <v>0</v>
      </c>
      <c r="G1155">
        <v>628800</v>
      </c>
      <c r="H1155">
        <v>0</v>
      </c>
    </row>
    <row r="1156" spans="1:8" x14ac:dyDescent="0.3">
      <c r="A1156">
        <v>51042883</v>
      </c>
      <c r="B1156" t="e">
        <f>VLOOKUP(A1156,VENTAS!$A$2:$B$1195,2,0)</f>
        <v>#N/A</v>
      </c>
      <c r="C1156">
        <v>120000</v>
      </c>
      <c r="D1156">
        <v>2879200</v>
      </c>
      <c r="E1156">
        <v>1037200</v>
      </c>
      <c r="F1156">
        <v>1190000</v>
      </c>
      <c r="G1156">
        <v>1968000</v>
      </c>
      <c r="H1156">
        <v>0</v>
      </c>
    </row>
    <row r="1157" spans="1:8" x14ac:dyDescent="0.3">
      <c r="A1157">
        <v>51043286</v>
      </c>
      <c r="B1157" t="e">
        <f>VLOOKUP(A1157,VENTAS!$A$2:$B$1195,2,0)</f>
        <v>#N/A</v>
      </c>
      <c r="C1157">
        <v>1392600</v>
      </c>
      <c r="D1157">
        <v>102400</v>
      </c>
      <c r="E1157">
        <v>2245200</v>
      </c>
      <c r="F1157">
        <v>0</v>
      </c>
      <c r="G1157">
        <v>3155200</v>
      </c>
      <c r="H1157">
        <v>0</v>
      </c>
    </row>
    <row r="1158" spans="1:8" x14ac:dyDescent="0.3">
      <c r="A1158">
        <v>51043430</v>
      </c>
      <c r="B1158" t="e">
        <f>VLOOKUP(A1158,VENTAS!$A$2:$B$1195,2,0)</f>
        <v>#N/A</v>
      </c>
      <c r="C1158">
        <v>843800</v>
      </c>
      <c r="D1158">
        <v>2010400</v>
      </c>
      <c r="E1158">
        <v>1051600</v>
      </c>
      <c r="F1158">
        <v>0</v>
      </c>
      <c r="G1158">
        <v>1520000</v>
      </c>
      <c r="H1158">
        <v>0</v>
      </c>
    </row>
    <row r="1159" spans="1:8" x14ac:dyDescent="0.3">
      <c r="A1159">
        <v>51043481</v>
      </c>
      <c r="B1159" t="e">
        <f>VLOOKUP(A1159,VENTAS!$A$2:$B$1195,2,0)</f>
        <v>#N/A</v>
      </c>
      <c r="C1159">
        <v>177400</v>
      </c>
      <c r="D1159">
        <v>250000</v>
      </c>
      <c r="E1159">
        <v>190600</v>
      </c>
      <c r="F1159">
        <v>0</v>
      </c>
      <c r="G1159">
        <v>227200</v>
      </c>
      <c r="H1159">
        <v>0</v>
      </c>
    </row>
    <row r="1160" spans="1:8" x14ac:dyDescent="0.3">
      <c r="A1160">
        <v>51043685</v>
      </c>
      <c r="B1160" t="e">
        <f>VLOOKUP(A1160,VENTAS!$A$2:$B$1195,2,0)</f>
        <v>#N/A</v>
      </c>
      <c r="C1160">
        <v>922000</v>
      </c>
      <c r="D1160">
        <v>0</v>
      </c>
      <c r="E1160">
        <v>1295800</v>
      </c>
      <c r="F1160">
        <v>0</v>
      </c>
      <c r="G1160">
        <v>1049600</v>
      </c>
      <c r="H1160">
        <v>0</v>
      </c>
    </row>
    <row r="1161" spans="1:8" x14ac:dyDescent="0.3">
      <c r="A1161">
        <v>51044185</v>
      </c>
      <c r="B1161" t="e">
        <f>VLOOKUP(A1161,VENTAS!$A$2:$B$1195,2,0)</f>
        <v>#N/A</v>
      </c>
      <c r="C1161">
        <v>839000</v>
      </c>
      <c r="D1161">
        <v>1226400</v>
      </c>
      <c r="E1161">
        <v>1228800</v>
      </c>
      <c r="F1161">
        <v>0</v>
      </c>
      <c r="G1161">
        <v>1676800</v>
      </c>
      <c r="H1161">
        <v>0</v>
      </c>
    </row>
    <row r="1162" spans="1:8" x14ac:dyDescent="0.3">
      <c r="A1162">
        <v>51054474</v>
      </c>
      <c r="B1162" t="e">
        <f>VLOOKUP(A1162,VENTAS!$A$2:$B$1195,2,0)</f>
        <v>#N/A</v>
      </c>
      <c r="C1162">
        <v>0</v>
      </c>
      <c r="D1162">
        <v>0</v>
      </c>
      <c r="E1162">
        <v>0</v>
      </c>
      <c r="F1162">
        <v>0</v>
      </c>
      <c r="G1162">
        <v>0</v>
      </c>
      <c r="H1162">
        <v>0</v>
      </c>
    </row>
    <row r="1163" spans="1:8" x14ac:dyDescent="0.3">
      <c r="A1163">
        <v>51054695</v>
      </c>
      <c r="B1163" t="e">
        <f>VLOOKUP(A1163,VENTAS!$A$2:$B$1195,2,0)</f>
        <v>#N/A</v>
      </c>
      <c r="C1163">
        <v>0</v>
      </c>
      <c r="D1163">
        <v>0</v>
      </c>
      <c r="E1163">
        <v>0</v>
      </c>
      <c r="F1163">
        <v>0</v>
      </c>
      <c r="G1163">
        <v>0</v>
      </c>
      <c r="H1163">
        <v>0</v>
      </c>
    </row>
    <row r="1164" spans="1:8" x14ac:dyDescent="0.3">
      <c r="A1164">
        <v>51054890</v>
      </c>
      <c r="B1164" t="e">
        <f>VLOOKUP(A1164,VENTAS!$A$2:$B$1195,2,0)</f>
        <v>#N/A</v>
      </c>
      <c r="C1164">
        <v>414000</v>
      </c>
      <c r="D1164">
        <v>0</v>
      </c>
      <c r="E1164">
        <v>111000</v>
      </c>
      <c r="F1164">
        <v>0</v>
      </c>
      <c r="G1164">
        <v>0</v>
      </c>
      <c r="H1164">
        <v>0</v>
      </c>
    </row>
    <row r="1165" spans="1:8" x14ac:dyDescent="0.3">
      <c r="A1165">
        <v>51054971</v>
      </c>
      <c r="B1165" t="e">
        <f>VLOOKUP(A1165,VENTAS!$A$2:$B$1195,2,0)</f>
        <v>#N/A</v>
      </c>
      <c r="C1165">
        <v>58400</v>
      </c>
      <c r="D1165">
        <v>0</v>
      </c>
      <c r="E1165">
        <v>0</v>
      </c>
      <c r="F1165">
        <v>0</v>
      </c>
      <c r="G1165">
        <v>0</v>
      </c>
      <c r="H1165">
        <v>0</v>
      </c>
    </row>
    <row r="1166" spans="1:8" x14ac:dyDescent="0.3">
      <c r="A1166">
        <v>51055021</v>
      </c>
      <c r="B1166" t="e">
        <f>VLOOKUP(A1166,VENTAS!$A$2:$B$1195,2,0)</f>
        <v>#N/A</v>
      </c>
      <c r="C1166">
        <v>462000</v>
      </c>
      <c r="D1166">
        <v>144000</v>
      </c>
      <c r="E1166">
        <v>634600</v>
      </c>
      <c r="F1166">
        <v>0</v>
      </c>
      <c r="G1166">
        <v>849600</v>
      </c>
      <c r="H1166">
        <v>0</v>
      </c>
    </row>
    <row r="1167" spans="1:8" x14ac:dyDescent="0.3">
      <c r="A1167">
        <v>51055110</v>
      </c>
      <c r="B1167" t="e">
        <f>VLOOKUP(A1167,VENTAS!$A$2:$B$1195,2,0)</f>
        <v>#N/A</v>
      </c>
      <c r="C1167">
        <v>589400</v>
      </c>
      <c r="D1167">
        <v>0</v>
      </c>
      <c r="E1167">
        <v>0</v>
      </c>
      <c r="F1167">
        <v>0</v>
      </c>
      <c r="G1167">
        <v>0</v>
      </c>
      <c r="H1167">
        <v>0</v>
      </c>
    </row>
    <row r="1168" spans="1:8" x14ac:dyDescent="0.3">
      <c r="A1168">
        <v>51055179</v>
      </c>
      <c r="B1168" t="e">
        <f>VLOOKUP(A1168,VENTAS!$A$2:$B$1195,2,0)</f>
        <v>#N/A</v>
      </c>
      <c r="C1168">
        <v>665800</v>
      </c>
      <c r="D1168">
        <v>968400</v>
      </c>
      <c r="E1168">
        <v>798000</v>
      </c>
      <c r="F1168">
        <v>544000</v>
      </c>
      <c r="G1168">
        <v>1070400</v>
      </c>
      <c r="H1168">
        <v>0</v>
      </c>
    </row>
    <row r="1169" spans="1:8" x14ac:dyDescent="0.3">
      <c r="A1169">
        <v>51055187</v>
      </c>
      <c r="B1169" t="e">
        <f>VLOOKUP(A1169,VENTAS!$A$2:$B$1195,2,0)</f>
        <v>#N/A</v>
      </c>
      <c r="C1169">
        <v>538200</v>
      </c>
      <c r="D1169">
        <v>0</v>
      </c>
      <c r="E1169">
        <v>801800</v>
      </c>
      <c r="F1169">
        <v>0</v>
      </c>
      <c r="G1169">
        <v>841600</v>
      </c>
      <c r="H1169">
        <v>0</v>
      </c>
    </row>
    <row r="1170" spans="1:8" x14ac:dyDescent="0.3">
      <c r="A1170">
        <v>51055195</v>
      </c>
      <c r="B1170" t="e">
        <f>VLOOKUP(A1170,VENTAS!$A$2:$B$1195,2,0)</f>
        <v>#N/A</v>
      </c>
      <c r="C1170">
        <v>594800</v>
      </c>
      <c r="D1170">
        <v>0</v>
      </c>
      <c r="E1170">
        <v>755600</v>
      </c>
      <c r="F1170">
        <v>0</v>
      </c>
      <c r="G1170">
        <v>488000.00000000012</v>
      </c>
      <c r="H1170">
        <v>0</v>
      </c>
    </row>
    <row r="1171" spans="1:8" x14ac:dyDescent="0.3">
      <c r="A1171">
        <v>51055233</v>
      </c>
      <c r="B1171" t="e">
        <f>VLOOKUP(A1171,VENTAS!$A$2:$B$1195,2,0)</f>
        <v>#N/A</v>
      </c>
      <c r="C1171">
        <v>2074800</v>
      </c>
      <c r="D1171">
        <v>993600</v>
      </c>
      <c r="E1171">
        <v>2708600</v>
      </c>
      <c r="F1171">
        <v>0</v>
      </c>
      <c r="G1171">
        <v>3956800</v>
      </c>
      <c r="H1171">
        <v>0</v>
      </c>
    </row>
    <row r="1172" spans="1:8" x14ac:dyDescent="0.3">
      <c r="A1172">
        <v>51055314</v>
      </c>
      <c r="B1172" t="e">
        <f>VLOOKUP(A1172,VENTAS!$A$2:$B$1195,2,0)</f>
        <v>#N/A</v>
      </c>
      <c r="C1172">
        <v>1166600</v>
      </c>
      <c r="D1172">
        <v>0</v>
      </c>
      <c r="E1172">
        <v>1501600</v>
      </c>
      <c r="F1172">
        <v>0</v>
      </c>
      <c r="G1172">
        <v>1496000</v>
      </c>
      <c r="H1172">
        <v>0</v>
      </c>
    </row>
    <row r="1173" spans="1:8" x14ac:dyDescent="0.3">
      <c r="A1173">
        <v>51055349</v>
      </c>
      <c r="B1173" t="e">
        <f>VLOOKUP(A1173,VENTAS!$A$2:$B$1195,2,0)</f>
        <v>#N/A</v>
      </c>
      <c r="C1173">
        <v>661000</v>
      </c>
      <c r="D1173">
        <v>1451600</v>
      </c>
      <c r="E1173">
        <v>852800</v>
      </c>
      <c r="F1173">
        <v>908000</v>
      </c>
      <c r="G1173">
        <v>1118400</v>
      </c>
      <c r="H1173">
        <v>0</v>
      </c>
    </row>
    <row r="1174" spans="1:8" x14ac:dyDescent="0.3">
      <c r="A1174">
        <v>51055381</v>
      </c>
      <c r="B1174" t="e">
        <f>VLOOKUP(A1174,VENTAS!$A$2:$B$1195,2,0)</f>
        <v>#N/A</v>
      </c>
      <c r="C1174">
        <v>316800</v>
      </c>
      <c r="D1174">
        <v>0</v>
      </c>
      <c r="E1174">
        <v>0</v>
      </c>
      <c r="F1174">
        <v>0</v>
      </c>
      <c r="G1174">
        <v>0</v>
      </c>
      <c r="H1174">
        <v>0</v>
      </c>
    </row>
    <row r="1175" spans="1:8" x14ac:dyDescent="0.3">
      <c r="A1175">
        <v>51055403</v>
      </c>
      <c r="B1175" t="e">
        <f>VLOOKUP(A1175,VENTAS!$A$2:$B$1195,2,0)</f>
        <v>#N/A</v>
      </c>
      <c r="C1175">
        <v>2144600</v>
      </c>
      <c r="D1175">
        <v>1084800</v>
      </c>
      <c r="E1175">
        <v>2906800</v>
      </c>
      <c r="F1175">
        <v>0</v>
      </c>
      <c r="G1175">
        <v>4123200</v>
      </c>
      <c r="H1175">
        <v>0</v>
      </c>
    </row>
    <row r="1176" spans="1:8" x14ac:dyDescent="0.3">
      <c r="A1176">
        <v>51055420</v>
      </c>
      <c r="B1176" t="e">
        <f>VLOOKUP(A1176,VENTAS!$A$2:$B$1195,2,0)</f>
        <v>#N/A</v>
      </c>
      <c r="C1176">
        <v>477000</v>
      </c>
      <c r="D1176">
        <v>0</v>
      </c>
      <c r="E1176">
        <v>608200</v>
      </c>
      <c r="F1176">
        <v>0</v>
      </c>
      <c r="G1176">
        <v>187200</v>
      </c>
      <c r="H1176">
        <v>0</v>
      </c>
    </row>
    <row r="1177" spans="1:8" x14ac:dyDescent="0.3">
      <c r="A1177">
        <v>51055438</v>
      </c>
      <c r="B1177" t="e">
        <f>VLOOKUP(A1177,VENTAS!$A$2:$B$1195,2,0)</f>
        <v>#N/A</v>
      </c>
      <c r="C1177">
        <v>1025600</v>
      </c>
      <c r="D1177">
        <v>0</v>
      </c>
      <c r="E1177">
        <v>1484800</v>
      </c>
      <c r="F1177">
        <v>0</v>
      </c>
      <c r="G1177">
        <v>2094400</v>
      </c>
      <c r="H1177">
        <v>0</v>
      </c>
    </row>
    <row r="1178" spans="1:8" x14ac:dyDescent="0.3">
      <c r="A1178">
        <v>51055446</v>
      </c>
      <c r="B1178" t="e">
        <f>VLOOKUP(A1178,VENTAS!$A$2:$B$1195,2,0)</f>
        <v>#N/A</v>
      </c>
      <c r="C1178">
        <v>1910000</v>
      </c>
      <c r="D1178">
        <v>0</v>
      </c>
      <c r="E1178">
        <v>2560800</v>
      </c>
      <c r="F1178">
        <v>0</v>
      </c>
      <c r="G1178">
        <v>0</v>
      </c>
      <c r="H1178">
        <v>0</v>
      </c>
    </row>
    <row r="1179" spans="1:8" x14ac:dyDescent="0.3">
      <c r="A1179">
        <v>51055471</v>
      </c>
      <c r="B1179" t="e">
        <f>VLOOKUP(A1179,VENTAS!$A$2:$B$1195,2,0)</f>
        <v>#N/A</v>
      </c>
      <c r="C1179">
        <v>1710800</v>
      </c>
      <c r="D1179">
        <v>0</v>
      </c>
      <c r="E1179">
        <v>2133000</v>
      </c>
      <c r="F1179">
        <v>0</v>
      </c>
      <c r="G1179">
        <v>0</v>
      </c>
      <c r="H1179">
        <v>0</v>
      </c>
    </row>
    <row r="1180" spans="1:8" x14ac:dyDescent="0.3">
      <c r="A1180">
        <v>51055608</v>
      </c>
      <c r="B1180" t="e">
        <f>VLOOKUP(A1180,VENTAS!$A$2:$B$1195,2,0)</f>
        <v>#N/A</v>
      </c>
      <c r="C1180">
        <v>722600</v>
      </c>
      <c r="D1180">
        <v>0</v>
      </c>
      <c r="E1180">
        <v>643200</v>
      </c>
      <c r="F1180">
        <v>0</v>
      </c>
      <c r="G1180">
        <v>342400</v>
      </c>
      <c r="H1180">
        <v>0</v>
      </c>
    </row>
    <row r="1181" spans="1:8" x14ac:dyDescent="0.3">
      <c r="A1181">
        <v>51055683</v>
      </c>
      <c r="B1181" t="e">
        <f>VLOOKUP(A1181,VENTAS!$A$2:$B$1195,2,0)</f>
        <v>#N/A</v>
      </c>
      <c r="C1181">
        <v>776799.99999999988</v>
      </c>
      <c r="D1181">
        <v>0</v>
      </c>
      <c r="E1181">
        <v>985600</v>
      </c>
      <c r="F1181">
        <v>0</v>
      </c>
      <c r="G1181">
        <v>284800</v>
      </c>
      <c r="H1181">
        <v>0</v>
      </c>
    </row>
    <row r="1182" spans="1:8" x14ac:dyDescent="0.3">
      <c r="A1182">
        <v>51055713</v>
      </c>
      <c r="B1182" t="e">
        <f>VLOOKUP(A1182,VENTAS!$A$2:$B$1195,2,0)</f>
        <v>#N/A</v>
      </c>
      <c r="C1182">
        <v>118400</v>
      </c>
      <c r="D1182">
        <v>0</v>
      </c>
      <c r="E1182">
        <v>0</v>
      </c>
      <c r="F1182">
        <v>0</v>
      </c>
      <c r="G1182">
        <v>0</v>
      </c>
      <c r="H1182">
        <v>0</v>
      </c>
    </row>
    <row r="1183" spans="1:8" x14ac:dyDescent="0.3">
      <c r="A1183">
        <v>51055748</v>
      </c>
      <c r="B1183" t="e">
        <f>VLOOKUP(A1183,VENTAS!$A$2:$B$1195,2,0)</f>
        <v>#N/A</v>
      </c>
      <c r="C1183">
        <v>743600</v>
      </c>
      <c r="D1183">
        <v>0</v>
      </c>
      <c r="E1183">
        <v>174000</v>
      </c>
      <c r="F1183">
        <v>0</v>
      </c>
      <c r="G1183">
        <v>0</v>
      </c>
      <c r="H1183">
        <v>0</v>
      </c>
    </row>
    <row r="1184" spans="1:8" x14ac:dyDescent="0.3">
      <c r="A1184">
        <v>51055781</v>
      </c>
      <c r="B1184" t="e">
        <f>VLOOKUP(A1184,VENTAS!$A$2:$B$1195,2,0)</f>
        <v>#N/A</v>
      </c>
      <c r="C1184">
        <v>533600</v>
      </c>
      <c r="D1184">
        <v>1342400</v>
      </c>
      <c r="E1184">
        <v>799200</v>
      </c>
      <c r="F1184">
        <v>0</v>
      </c>
      <c r="G1184">
        <v>1004800</v>
      </c>
      <c r="H1184">
        <v>0</v>
      </c>
    </row>
    <row r="1185" spans="1:8" x14ac:dyDescent="0.3">
      <c r="A1185">
        <v>51055900</v>
      </c>
      <c r="B1185" t="e">
        <f>VLOOKUP(A1185,VENTAS!$A$2:$B$1195,2,0)</f>
        <v>#N/A</v>
      </c>
      <c r="C1185">
        <v>0</v>
      </c>
      <c r="D1185">
        <v>0</v>
      </c>
      <c r="E1185">
        <v>0</v>
      </c>
      <c r="F1185">
        <v>0</v>
      </c>
      <c r="G1185">
        <v>0</v>
      </c>
      <c r="H1185">
        <v>0</v>
      </c>
    </row>
    <row r="1186" spans="1:8" x14ac:dyDescent="0.3">
      <c r="A1186">
        <v>51055934</v>
      </c>
      <c r="B1186" t="e">
        <f>VLOOKUP(A1186,VENTAS!$A$2:$B$1195,2,0)</f>
        <v>#N/A</v>
      </c>
      <c r="C1186">
        <v>0</v>
      </c>
      <c r="D1186">
        <v>0</v>
      </c>
      <c r="E1186">
        <v>0</v>
      </c>
      <c r="F1186">
        <v>0</v>
      </c>
      <c r="G1186">
        <v>0</v>
      </c>
      <c r="H1186">
        <v>0</v>
      </c>
    </row>
    <row r="1187" spans="1:8" x14ac:dyDescent="0.3">
      <c r="A1187">
        <v>51055969</v>
      </c>
      <c r="B1187" t="e">
        <f>VLOOKUP(A1187,VENTAS!$A$2:$B$1195,2,0)</f>
        <v>#N/A</v>
      </c>
      <c r="C1187">
        <v>806600</v>
      </c>
      <c r="D1187">
        <v>0</v>
      </c>
      <c r="E1187">
        <v>0</v>
      </c>
      <c r="F1187">
        <v>0</v>
      </c>
      <c r="G1187">
        <v>0</v>
      </c>
      <c r="H1187">
        <v>0</v>
      </c>
    </row>
    <row r="1188" spans="1:8" x14ac:dyDescent="0.3">
      <c r="A1188">
        <v>51055977</v>
      </c>
      <c r="B1188" t="e">
        <f>VLOOKUP(A1188,VENTAS!$A$2:$B$1195,2,0)</f>
        <v>#N/A</v>
      </c>
      <c r="C1188">
        <v>483000</v>
      </c>
      <c r="D1188">
        <v>0</v>
      </c>
      <c r="E1188">
        <v>515800</v>
      </c>
      <c r="F1188">
        <v>0</v>
      </c>
      <c r="G1188">
        <v>232000</v>
      </c>
      <c r="H1188">
        <v>0</v>
      </c>
    </row>
    <row r="1189" spans="1:8" x14ac:dyDescent="0.3">
      <c r="A1189">
        <v>51056035</v>
      </c>
      <c r="B1189" t="e">
        <f>VLOOKUP(A1189,VENTAS!$A$2:$B$1195,2,0)</f>
        <v>#N/A</v>
      </c>
      <c r="C1189">
        <v>272000</v>
      </c>
      <c r="D1189">
        <v>0</v>
      </c>
      <c r="E1189">
        <v>0</v>
      </c>
      <c r="F1189">
        <v>0</v>
      </c>
      <c r="G1189">
        <v>0</v>
      </c>
      <c r="H1189">
        <v>0</v>
      </c>
    </row>
    <row r="1190" spans="1:8" x14ac:dyDescent="0.3">
      <c r="A1190">
        <v>51056043</v>
      </c>
      <c r="B1190" t="e">
        <f>VLOOKUP(A1190,VENTAS!$A$2:$B$1195,2,0)</f>
        <v>#N/A</v>
      </c>
      <c r="C1190">
        <v>168400</v>
      </c>
      <c r="D1190">
        <v>22800</v>
      </c>
      <c r="E1190">
        <v>51400.000000000007</v>
      </c>
      <c r="F1190">
        <v>30000</v>
      </c>
      <c r="G1190">
        <v>0</v>
      </c>
      <c r="H1190">
        <v>0</v>
      </c>
    </row>
    <row r="1191" spans="1:8" x14ac:dyDescent="0.3">
      <c r="A1191">
        <v>51056141</v>
      </c>
      <c r="B1191" t="str">
        <f>VLOOKUP(A1191,VENTAS!$A$2:$B$1195,2,0)</f>
        <v>MONTENEGRO</v>
      </c>
      <c r="C1191">
        <v>463599.99999999988</v>
      </c>
      <c r="D1191">
        <v>1145200</v>
      </c>
      <c r="E1191">
        <v>806400</v>
      </c>
      <c r="F1191">
        <v>1004000</v>
      </c>
      <c r="G1191">
        <v>1035200</v>
      </c>
      <c r="H1191">
        <v>0</v>
      </c>
    </row>
    <row r="1192" spans="1:8" x14ac:dyDescent="0.3">
      <c r="A1192">
        <v>51056167</v>
      </c>
      <c r="B1192" t="e">
        <f>VLOOKUP(A1192,VENTAS!$A$2:$B$1195,2,0)</f>
        <v>#N/A</v>
      </c>
      <c r="C1192">
        <v>1336600</v>
      </c>
      <c r="D1192">
        <v>0</v>
      </c>
      <c r="E1192">
        <v>366000</v>
      </c>
      <c r="F1192">
        <v>0</v>
      </c>
      <c r="G1192">
        <v>0</v>
      </c>
      <c r="H1192">
        <v>0</v>
      </c>
    </row>
    <row r="1193" spans="1:8" x14ac:dyDescent="0.3">
      <c r="A1193">
        <v>51056230</v>
      </c>
      <c r="B1193" t="e">
        <f>VLOOKUP(A1193,VENTAS!$A$2:$B$1195,2,0)</f>
        <v>#N/A</v>
      </c>
      <c r="C1193">
        <v>822999.99999999988</v>
      </c>
      <c r="D1193">
        <v>193600</v>
      </c>
      <c r="E1193">
        <v>1058400</v>
      </c>
      <c r="F1193">
        <v>0</v>
      </c>
      <c r="G1193">
        <v>1302400</v>
      </c>
      <c r="H1193">
        <v>0</v>
      </c>
    </row>
    <row r="1194" spans="1:8" x14ac:dyDescent="0.3">
      <c r="A1194">
        <v>51056256</v>
      </c>
      <c r="B1194" t="e">
        <f>VLOOKUP(A1194,VENTAS!$A$2:$B$1195,2,0)</f>
        <v>#N/A</v>
      </c>
      <c r="C1194">
        <v>1181400</v>
      </c>
      <c r="D1194">
        <v>0</v>
      </c>
      <c r="E1194">
        <v>1397800</v>
      </c>
      <c r="F1194">
        <v>0</v>
      </c>
      <c r="G1194">
        <v>0</v>
      </c>
      <c r="H1194">
        <v>0</v>
      </c>
    </row>
    <row r="1195" spans="1:8" x14ac:dyDescent="0.3">
      <c r="A1195">
        <v>51056370</v>
      </c>
      <c r="B1195" t="e">
        <f>VLOOKUP(A1195,VENTAS!$A$2:$B$1195,2,0)</f>
        <v>#N/A</v>
      </c>
      <c r="C1195">
        <v>835200</v>
      </c>
      <c r="D1195">
        <v>0</v>
      </c>
      <c r="E1195">
        <v>97000</v>
      </c>
      <c r="F1195">
        <v>0</v>
      </c>
      <c r="G1195">
        <v>0</v>
      </c>
      <c r="H1195">
        <v>0</v>
      </c>
    </row>
    <row r="1196" spans="1:8" x14ac:dyDescent="0.3">
      <c r="A1196">
        <v>51056680</v>
      </c>
      <c r="B1196" t="e">
        <f>VLOOKUP(A1196,VENTAS!$A$2:$B$1195,2,0)</f>
        <v>#N/A</v>
      </c>
      <c r="C1196">
        <v>433600</v>
      </c>
      <c r="D1196">
        <v>0</v>
      </c>
      <c r="E1196">
        <v>232800</v>
      </c>
      <c r="F1196">
        <v>0</v>
      </c>
      <c r="G1196">
        <v>0</v>
      </c>
      <c r="H1196">
        <v>0</v>
      </c>
    </row>
    <row r="1197" spans="1:8" x14ac:dyDescent="0.3">
      <c r="A1197">
        <v>51056710</v>
      </c>
      <c r="B1197" t="e">
        <f>VLOOKUP(A1197,VENTAS!$A$2:$B$1195,2,0)</f>
        <v>#N/A</v>
      </c>
      <c r="C1197">
        <v>626400</v>
      </c>
      <c r="D1197">
        <v>0</v>
      </c>
      <c r="E1197">
        <v>0</v>
      </c>
      <c r="F1197">
        <v>0</v>
      </c>
      <c r="G1197">
        <v>0</v>
      </c>
      <c r="H1197">
        <v>0</v>
      </c>
    </row>
    <row r="1198" spans="1:8" x14ac:dyDescent="0.3">
      <c r="A1198">
        <v>51056779</v>
      </c>
      <c r="B1198" t="e">
        <f>VLOOKUP(A1198,VENTAS!$A$2:$B$1195,2,0)</f>
        <v>#N/A</v>
      </c>
      <c r="C1198">
        <v>2415400</v>
      </c>
      <c r="D1198">
        <v>0</v>
      </c>
      <c r="E1198">
        <v>0</v>
      </c>
      <c r="F1198">
        <v>0</v>
      </c>
      <c r="G1198">
        <v>0</v>
      </c>
      <c r="H1198">
        <v>0</v>
      </c>
    </row>
    <row r="1199" spans="1:8" x14ac:dyDescent="0.3">
      <c r="A1199">
        <v>51056841</v>
      </c>
      <c r="B1199" t="e">
        <f>VLOOKUP(A1199,VENTAS!$A$2:$B$1195,2,0)</f>
        <v>#N/A</v>
      </c>
      <c r="C1199">
        <v>1215600</v>
      </c>
      <c r="D1199">
        <v>0</v>
      </c>
      <c r="E1199">
        <v>1774600</v>
      </c>
      <c r="F1199">
        <v>0</v>
      </c>
      <c r="G1199">
        <v>537600</v>
      </c>
      <c r="H1199">
        <v>0</v>
      </c>
    </row>
    <row r="1200" spans="1:8" x14ac:dyDescent="0.3">
      <c r="A1200">
        <v>51056892</v>
      </c>
      <c r="B1200" t="e">
        <f>VLOOKUP(A1200,VENTAS!$A$2:$B$1195,2,0)</f>
        <v>#N/A</v>
      </c>
      <c r="C1200">
        <v>680400</v>
      </c>
      <c r="D1200">
        <v>1344000</v>
      </c>
      <c r="E1200">
        <v>860800</v>
      </c>
      <c r="F1200">
        <v>346000</v>
      </c>
      <c r="G1200">
        <v>1494400</v>
      </c>
      <c r="H1200">
        <v>0</v>
      </c>
    </row>
    <row r="1201" spans="1:8" x14ac:dyDescent="0.3">
      <c r="A1201" t="s">
        <v>8</v>
      </c>
      <c r="C1201">
        <f t="shared" ref="C1201:H1201" si="0">SUM(C2:C1200)</f>
        <v>1379182200</v>
      </c>
      <c r="D1201">
        <f t="shared" si="0"/>
        <v>2874102400</v>
      </c>
      <c r="E1201">
        <f t="shared" si="0"/>
        <v>1854730800</v>
      </c>
      <c r="F1201">
        <f t="shared" si="0"/>
        <v>3514308000</v>
      </c>
      <c r="G1201">
        <f t="shared" si="0"/>
        <v>2537452800</v>
      </c>
      <c r="H1201">
        <f t="shared" si="0"/>
        <v>4376527500</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rgb="FFFFC000"/>
  </sheetPr>
  <dimension ref="A1:G314"/>
  <sheetViews>
    <sheetView workbookViewId="0"/>
  </sheetViews>
  <sheetFormatPr baseColWidth="10" defaultColWidth="8.88671875" defaultRowHeight="14.4" x14ac:dyDescent="0.3"/>
  <cols>
    <col min="1" max="1" width="20" customWidth="1"/>
    <col min="2" max="2" width="15" customWidth="1"/>
    <col min="3" max="3" width="24.5546875" customWidth="1"/>
    <col min="4" max="4" width="15" customWidth="1"/>
    <col min="5" max="5" width="25.6640625" customWidth="1"/>
    <col min="6" max="6" width="12" customWidth="1"/>
    <col min="7" max="7" width="16.44140625" customWidth="1"/>
  </cols>
  <sheetData>
    <row r="1" spans="1:7" x14ac:dyDescent="0.3">
      <c r="A1" t="s">
        <v>13</v>
      </c>
      <c r="B1" t="s">
        <v>14</v>
      </c>
      <c r="C1" t="s">
        <v>15</v>
      </c>
      <c r="D1" t="s">
        <v>16</v>
      </c>
      <c r="E1" t="s">
        <v>17</v>
      </c>
      <c r="F1" t="s">
        <v>18</v>
      </c>
      <c r="G1" t="s">
        <v>19</v>
      </c>
    </row>
    <row r="2" spans="1:7" x14ac:dyDescent="0.3">
      <c r="A2">
        <v>51055608</v>
      </c>
      <c r="B2">
        <v>100</v>
      </c>
      <c r="C2">
        <v>100</v>
      </c>
      <c r="D2">
        <v>0</v>
      </c>
      <c r="E2">
        <v>99.5</v>
      </c>
      <c r="F2">
        <f>IF(D2=0,0,ROUND(B2*0.2 + C2*0.2 + D2*0.3 + E2*0.3,2))</f>
        <v>0</v>
      </c>
      <c r="G2" t="s">
        <v>20</v>
      </c>
    </row>
    <row r="3" spans="1:7" x14ac:dyDescent="0.3">
      <c r="A3">
        <v>51056680</v>
      </c>
      <c r="B3">
        <v>100</v>
      </c>
      <c r="C3">
        <v>100</v>
      </c>
      <c r="D3">
        <v>0</v>
      </c>
      <c r="E3">
        <v>100</v>
      </c>
      <c r="F3">
        <f>IF(D3=0,0,ROUND(B3*0.2 + C3*0.2 + D3*0.3 + E3*0.3,2))</f>
        <v>0</v>
      </c>
      <c r="G3" t="s">
        <v>20</v>
      </c>
    </row>
    <row r="4" spans="1:7" x14ac:dyDescent="0.3">
      <c r="A4">
        <v>51011911</v>
      </c>
      <c r="B4">
        <v>100</v>
      </c>
      <c r="C4">
        <v>99</v>
      </c>
      <c r="D4">
        <v>0</v>
      </c>
      <c r="E4">
        <v>92.5</v>
      </c>
      <c r="F4">
        <f t="shared" ref="F4:F67" si="0">ROUND(B4*0.2 + C4*0.2 + D4*0.3 + E4*0.3, 2)</f>
        <v>67.55</v>
      </c>
    </row>
    <row r="5" spans="1:7" x14ac:dyDescent="0.3">
      <c r="A5">
        <v>51006445</v>
      </c>
      <c r="B5">
        <v>100</v>
      </c>
      <c r="C5">
        <v>100</v>
      </c>
      <c r="D5">
        <v>100</v>
      </c>
      <c r="E5">
        <v>92</v>
      </c>
      <c r="F5">
        <f t="shared" si="0"/>
        <v>97.6</v>
      </c>
    </row>
    <row r="6" spans="1:7" x14ac:dyDescent="0.3">
      <c r="A6">
        <v>51018001</v>
      </c>
      <c r="B6">
        <v>92</v>
      </c>
      <c r="C6">
        <v>99.9</v>
      </c>
      <c r="D6">
        <v>100</v>
      </c>
      <c r="E6">
        <v>98.5</v>
      </c>
      <c r="F6">
        <f t="shared" si="0"/>
        <v>97.93</v>
      </c>
    </row>
    <row r="7" spans="1:7" x14ac:dyDescent="0.3">
      <c r="A7">
        <v>51034376</v>
      </c>
      <c r="B7">
        <v>100</v>
      </c>
      <c r="C7">
        <v>100</v>
      </c>
      <c r="D7">
        <v>100</v>
      </c>
      <c r="E7">
        <v>93.5</v>
      </c>
      <c r="F7">
        <f t="shared" si="0"/>
        <v>98.05</v>
      </c>
    </row>
    <row r="8" spans="1:7" x14ac:dyDescent="0.3">
      <c r="A8">
        <v>51040309</v>
      </c>
      <c r="B8">
        <v>100</v>
      </c>
      <c r="C8">
        <v>100</v>
      </c>
      <c r="D8">
        <v>100</v>
      </c>
      <c r="E8">
        <v>94.5</v>
      </c>
      <c r="F8">
        <f t="shared" si="0"/>
        <v>98.35</v>
      </c>
    </row>
    <row r="9" spans="1:7" x14ac:dyDescent="0.3">
      <c r="A9">
        <v>51055306</v>
      </c>
      <c r="B9">
        <v>98</v>
      </c>
      <c r="C9">
        <v>100</v>
      </c>
      <c r="D9">
        <v>100</v>
      </c>
      <c r="E9">
        <v>96.5</v>
      </c>
      <c r="F9">
        <f t="shared" si="0"/>
        <v>98.55</v>
      </c>
    </row>
    <row r="10" spans="1:7" x14ac:dyDescent="0.3">
      <c r="A10">
        <v>51012674</v>
      </c>
      <c r="B10">
        <v>100</v>
      </c>
      <c r="C10">
        <v>99.9</v>
      </c>
      <c r="D10">
        <v>100</v>
      </c>
      <c r="E10">
        <v>96</v>
      </c>
      <c r="F10">
        <f t="shared" si="0"/>
        <v>98.78</v>
      </c>
    </row>
    <row r="11" spans="1:7" ht="13.8" customHeight="1" x14ac:dyDescent="0.3">
      <c r="A11">
        <v>51039777</v>
      </c>
      <c r="B11">
        <v>100</v>
      </c>
      <c r="C11">
        <v>100</v>
      </c>
      <c r="D11">
        <v>100</v>
      </c>
      <c r="E11">
        <v>96</v>
      </c>
      <c r="F11">
        <f t="shared" si="0"/>
        <v>98.8</v>
      </c>
    </row>
    <row r="12" spans="1:7" x14ac:dyDescent="0.3">
      <c r="A12">
        <v>51011074</v>
      </c>
      <c r="B12">
        <v>98</v>
      </c>
      <c r="C12">
        <v>100</v>
      </c>
      <c r="D12">
        <v>99</v>
      </c>
      <c r="E12">
        <v>99</v>
      </c>
      <c r="F12">
        <f t="shared" si="0"/>
        <v>99</v>
      </c>
    </row>
    <row r="13" spans="1:7" x14ac:dyDescent="0.3">
      <c r="A13">
        <v>51016360</v>
      </c>
      <c r="B13">
        <v>100</v>
      </c>
      <c r="C13">
        <v>100</v>
      </c>
      <c r="D13">
        <v>100</v>
      </c>
      <c r="E13">
        <v>97</v>
      </c>
      <c r="F13">
        <f t="shared" si="0"/>
        <v>99.1</v>
      </c>
    </row>
    <row r="14" spans="1:7" x14ac:dyDescent="0.3">
      <c r="A14">
        <v>51017871</v>
      </c>
      <c r="B14">
        <v>94</v>
      </c>
      <c r="C14">
        <v>100</v>
      </c>
      <c r="D14">
        <v>100</v>
      </c>
      <c r="E14">
        <v>98.5</v>
      </c>
      <c r="F14">
        <f t="shared" si="0"/>
        <v>98.35</v>
      </c>
    </row>
    <row r="15" spans="1:7" x14ac:dyDescent="0.3">
      <c r="A15">
        <v>51011082</v>
      </c>
      <c r="B15">
        <v>100</v>
      </c>
      <c r="C15">
        <v>99.9</v>
      </c>
      <c r="D15">
        <v>100</v>
      </c>
      <c r="E15">
        <v>97.5</v>
      </c>
      <c r="F15">
        <f t="shared" si="0"/>
        <v>99.23</v>
      </c>
    </row>
    <row r="16" spans="1:7" x14ac:dyDescent="0.3">
      <c r="A16">
        <v>51010019</v>
      </c>
      <c r="B16">
        <v>100</v>
      </c>
      <c r="C16">
        <v>100</v>
      </c>
      <c r="D16">
        <v>100</v>
      </c>
      <c r="E16">
        <v>97.5</v>
      </c>
      <c r="F16">
        <f t="shared" si="0"/>
        <v>99.25</v>
      </c>
    </row>
    <row r="17" spans="1:6" x14ac:dyDescent="0.3">
      <c r="A17">
        <v>51030915</v>
      </c>
      <c r="B17">
        <v>100</v>
      </c>
      <c r="C17">
        <v>100</v>
      </c>
      <c r="D17">
        <v>100</v>
      </c>
      <c r="E17">
        <v>97.5</v>
      </c>
      <c r="F17">
        <f t="shared" si="0"/>
        <v>99.25</v>
      </c>
    </row>
    <row r="18" spans="1:6" x14ac:dyDescent="0.3">
      <c r="A18">
        <v>51012283</v>
      </c>
      <c r="B18">
        <v>98</v>
      </c>
      <c r="C18">
        <v>99.9</v>
      </c>
      <c r="D18">
        <v>100</v>
      </c>
      <c r="E18">
        <v>99</v>
      </c>
      <c r="F18">
        <f t="shared" si="0"/>
        <v>99.28</v>
      </c>
    </row>
    <row r="19" spans="1:6" x14ac:dyDescent="0.3">
      <c r="A19">
        <v>51031041</v>
      </c>
      <c r="B19">
        <v>98</v>
      </c>
      <c r="C19">
        <v>100</v>
      </c>
      <c r="D19">
        <v>100</v>
      </c>
      <c r="E19">
        <v>99</v>
      </c>
      <c r="F19">
        <f t="shared" si="0"/>
        <v>99.3</v>
      </c>
    </row>
    <row r="20" spans="1:6" x14ac:dyDescent="0.3">
      <c r="A20">
        <v>51000552</v>
      </c>
      <c r="B20">
        <v>98</v>
      </c>
      <c r="C20">
        <v>100</v>
      </c>
      <c r="D20">
        <v>100</v>
      </c>
      <c r="E20">
        <v>99</v>
      </c>
      <c r="F20">
        <f t="shared" si="0"/>
        <v>99.3</v>
      </c>
    </row>
    <row r="21" spans="1:6" x14ac:dyDescent="0.3">
      <c r="A21">
        <v>51025601</v>
      </c>
      <c r="B21">
        <v>100</v>
      </c>
      <c r="C21">
        <v>99</v>
      </c>
      <c r="D21">
        <v>0</v>
      </c>
      <c r="E21">
        <v>98.5</v>
      </c>
      <c r="F21">
        <f t="shared" si="0"/>
        <v>69.349999999999994</v>
      </c>
    </row>
    <row r="22" spans="1:6" x14ac:dyDescent="0.3">
      <c r="A22">
        <v>51055691</v>
      </c>
      <c r="B22">
        <v>97</v>
      </c>
      <c r="C22">
        <v>99.9</v>
      </c>
      <c r="D22">
        <v>100</v>
      </c>
      <c r="E22">
        <v>100</v>
      </c>
      <c r="F22">
        <f t="shared" si="0"/>
        <v>99.38</v>
      </c>
    </row>
    <row r="23" spans="1:6" x14ac:dyDescent="0.3">
      <c r="A23">
        <v>51017081</v>
      </c>
      <c r="B23">
        <v>100</v>
      </c>
      <c r="C23">
        <v>100</v>
      </c>
      <c r="D23">
        <v>100</v>
      </c>
      <c r="E23">
        <v>98</v>
      </c>
      <c r="F23">
        <f t="shared" si="0"/>
        <v>99.4</v>
      </c>
    </row>
    <row r="24" spans="1:6" x14ac:dyDescent="0.3">
      <c r="A24">
        <v>51056914</v>
      </c>
      <c r="B24">
        <v>100</v>
      </c>
      <c r="C24">
        <v>100</v>
      </c>
      <c r="D24">
        <v>100</v>
      </c>
      <c r="E24">
        <v>98</v>
      </c>
      <c r="F24">
        <f t="shared" si="0"/>
        <v>99.4</v>
      </c>
    </row>
    <row r="25" spans="1:6" x14ac:dyDescent="0.3">
      <c r="A25">
        <v>51024095</v>
      </c>
      <c r="B25">
        <v>100</v>
      </c>
      <c r="C25">
        <v>100</v>
      </c>
      <c r="D25">
        <v>100</v>
      </c>
      <c r="E25">
        <v>98</v>
      </c>
      <c r="F25">
        <f t="shared" si="0"/>
        <v>99.4</v>
      </c>
    </row>
    <row r="26" spans="1:6" x14ac:dyDescent="0.3">
      <c r="A26">
        <v>51023871</v>
      </c>
      <c r="B26">
        <v>100</v>
      </c>
      <c r="C26">
        <v>97</v>
      </c>
      <c r="D26">
        <v>100</v>
      </c>
      <c r="E26">
        <v>100</v>
      </c>
      <c r="F26">
        <f t="shared" si="0"/>
        <v>99.4</v>
      </c>
    </row>
    <row r="27" spans="1:6" x14ac:dyDescent="0.3">
      <c r="A27">
        <v>51056451</v>
      </c>
      <c r="B27">
        <v>98</v>
      </c>
      <c r="C27">
        <v>99.9</v>
      </c>
      <c r="D27">
        <v>100</v>
      </c>
      <c r="E27">
        <v>99.5</v>
      </c>
      <c r="F27">
        <f t="shared" si="0"/>
        <v>99.43</v>
      </c>
    </row>
    <row r="28" spans="1:6" x14ac:dyDescent="0.3">
      <c r="A28">
        <v>51019601</v>
      </c>
      <c r="B28">
        <v>97</v>
      </c>
      <c r="C28">
        <v>100</v>
      </c>
      <c r="D28">
        <v>100</v>
      </c>
      <c r="E28">
        <v>100</v>
      </c>
      <c r="F28">
        <f t="shared" si="0"/>
        <v>99.4</v>
      </c>
    </row>
    <row r="29" spans="1:6" x14ac:dyDescent="0.3">
      <c r="A29">
        <v>51042875</v>
      </c>
      <c r="B29">
        <v>97.5</v>
      </c>
      <c r="C29">
        <v>100</v>
      </c>
      <c r="D29">
        <v>100</v>
      </c>
      <c r="E29">
        <v>100</v>
      </c>
      <c r="F29">
        <f t="shared" si="0"/>
        <v>99.5</v>
      </c>
    </row>
    <row r="30" spans="1:6" x14ac:dyDescent="0.3">
      <c r="A30">
        <v>51021835</v>
      </c>
      <c r="B30">
        <v>97.5</v>
      </c>
      <c r="C30">
        <v>100</v>
      </c>
      <c r="D30">
        <v>100</v>
      </c>
      <c r="E30">
        <v>100</v>
      </c>
      <c r="F30">
        <f t="shared" si="0"/>
        <v>99.5</v>
      </c>
    </row>
    <row r="31" spans="1:6" x14ac:dyDescent="0.3">
      <c r="A31">
        <v>51001168</v>
      </c>
      <c r="B31">
        <v>100</v>
      </c>
      <c r="C31">
        <v>100</v>
      </c>
      <c r="D31">
        <v>100</v>
      </c>
      <c r="E31">
        <v>98.5</v>
      </c>
      <c r="F31">
        <f t="shared" si="0"/>
        <v>99.55</v>
      </c>
    </row>
    <row r="32" spans="1:6" x14ac:dyDescent="0.3">
      <c r="A32">
        <v>51017129</v>
      </c>
      <c r="B32">
        <v>98</v>
      </c>
      <c r="C32">
        <v>100</v>
      </c>
      <c r="D32">
        <v>100</v>
      </c>
      <c r="E32">
        <v>98.5</v>
      </c>
      <c r="F32">
        <f t="shared" si="0"/>
        <v>99.15</v>
      </c>
    </row>
    <row r="33" spans="1:6" x14ac:dyDescent="0.3">
      <c r="A33">
        <v>51055390</v>
      </c>
      <c r="B33">
        <v>100</v>
      </c>
      <c r="C33">
        <v>100</v>
      </c>
      <c r="D33">
        <v>100</v>
      </c>
      <c r="E33">
        <v>98.5</v>
      </c>
      <c r="F33">
        <f t="shared" si="0"/>
        <v>99.55</v>
      </c>
    </row>
    <row r="34" spans="1:6" x14ac:dyDescent="0.3">
      <c r="A34">
        <v>51018877</v>
      </c>
      <c r="B34">
        <v>100</v>
      </c>
      <c r="C34">
        <v>100</v>
      </c>
      <c r="D34">
        <v>100</v>
      </c>
      <c r="E34">
        <v>98.5</v>
      </c>
      <c r="F34">
        <f t="shared" si="0"/>
        <v>99.55</v>
      </c>
    </row>
    <row r="35" spans="1:6" x14ac:dyDescent="0.3">
      <c r="A35">
        <v>51008634</v>
      </c>
      <c r="B35">
        <v>100</v>
      </c>
      <c r="C35">
        <v>100</v>
      </c>
      <c r="D35">
        <v>100</v>
      </c>
      <c r="E35">
        <v>98.5</v>
      </c>
      <c r="F35">
        <f t="shared" si="0"/>
        <v>99.55</v>
      </c>
    </row>
    <row r="36" spans="1:6" x14ac:dyDescent="0.3">
      <c r="A36">
        <v>51011287</v>
      </c>
      <c r="B36">
        <v>100</v>
      </c>
      <c r="C36">
        <v>100</v>
      </c>
      <c r="D36">
        <v>100</v>
      </c>
      <c r="E36">
        <v>98.5</v>
      </c>
      <c r="F36">
        <f t="shared" si="0"/>
        <v>99.55</v>
      </c>
    </row>
    <row r="37" spans="1:6" x14ac:dyDescent="0.3">
      <c r="A37">
        <v>51010914</v>
      </c>
      <c r="B37">
        <v>100</v>
      </c>
      <c r="C37">
        <v>100</v>
      </c>
      <c r="D37">
        <v>99</v>
      </c>
      <c r="E37">
        <v>99.5</v>
      </c>
      <c r="F37">
        <f t="shared" si="0"/>
        <v>99.55</v>
      </c>
    </row>
    <row r="38" spans="1:6" x14ac:dyDescent="0.3">
      <c r="A38">
        <v>51019563</v>
      </c>
      <c r="B38">
        <v>100</v>
      </c>
      <c r="C38">
        <v>100</v>
      </c>
      <c r="D38">
        <v>100</v>
      </c>
      <c r="E38">
        <v>98.5</v>
      </c>
      <c r="F38">
        <f t="shared" si="0"/>
        <v>99.55</v>
      </c>
    </row>
    <row r="39" spans="1:6" x14ac:dyDescent="0.3">
      <c r="A39">
        <v>51056311</v>
      </c>
      <c r="B39">
        <v>98</v>
      </c>
      <c r="C39">
        <v>99.8</v>
      </c>
      <c r="D39">
        <v>100</v>
      </c>
      <c r="E39">
        <v>100</v>
      </c>
      <c r="F39">
        <f t="shared" si="0"/>
        <v>99.56</v>
      </c>
    </row>
    <row r="40" spans="1:6" x14ac:dyDescent="0.3">
      <c r="A40">
        <v>51056329</v>
      </c>
      <c r="B40">
        <v>98</v>
      </c>
      <c r="C40">
        <v>99.8</v>
      </c>
      <c r="D40">
        <v>100</v>
      </c>
      <c r="E40">
        <v>100</v>
      </c>
      <c r="F40">
        <f t="shared" si="0"/>
        <v>99.56</v>
      </c>
    </row>
    <row r="41" spans="1:6" x14ac:dyDescent="0.3">
      <c r="A41">
        <v>51025326</v>
      </c>
      <c r="B41">
        <v>98</v>
      </c>
      <c r="C41">
        <v>99.8</v>
      </c>
      <c r="D41">
        <v>100</v>
      </c>
      <c r="E41">
        <v>100</v>
      </c>
      <c r="F41">
        <f t="shared" si="0"/>
        <v>99.56</v>
      </c>
    </row>
    <row r="42" spans="1:6" x14ac:dyDescent="0.3">
      <c r="A42">
        <v>51010710</v>
      </c>
      <c r="B42">
        <v>98</v>
      </c>
      <c r="C42">
        <v>99.9</v>
      </c>
      <c r="D42">
        <v>100</v>
      </c>
      <c r="E42">
        <v>100</v>
      </c>
      <c r="F42">
        <f t="shared" si="0"/>
        <v>99.58</v>
      </c>
    </row>
    <row r="43" spans="1:6" x14ac:dyDescent="0.3">
      <c r="A43">
        <v>51015681</v>
      </c>
      <c r="B43">
        <v>96</v>
      </c>
      <c r="C43">
        <v>99.9</v>
      </c>
      <c r="D43">
        <v>100</v>
      </c>
      <c r="E43">
        <v>100</v>
      </c>
      <c r="F43">
        <f t="shared" si="0"/>
        <v>99.18</v>
      </c>
    </row>
    <row r="44" spans="1:6" x14ac:dyDescent="0.3">
      <c r="A44">
        <v>51026306</v>
      </c>
      <c r="B44">
        <v>98</v>
      </c>
      <c r="C44">
        <v>99.9</v>
      </c>
      <c r="D44">
        <v>100</v>
      </c>
      <c r="E44">
        <v>100</v>
      </c>
      <c r="F44">
        <f t="shared" si="0"/>
        <v>99.58</v>
      </c>
    </row>
    <row r="45" spans="1:6" x14ac:dyDescent="0.3">
      <c r="A45">
        <v>51023293</v>
      </c>
      <c r="B45">
        <v>98</v>
      </c>
      <c r="C45">
        <v>99.9</v>
      </c>
      <c r="D45">
        <v>100</v>
      </c>
      <c r="E45">
        <v>100</v>
      </c>
      <c r="F45">
        <f t="shared" si="0"/>
        <v>99.58</v>
      </c>
    </row>
    <row r="46" spans="1:6" x14ac:dyDescent="0.3">
      <c r="A46">
        <v>51010736</v>
      </c>
      <c r="B46">
        <v>98</v>
      </c>
      <c r="C46">
        <v>99.9</v>
      </c>
      <c r="D46">
        <v>100</v>
      </c>
      <c r="E46">
        <v>100</v>
      </c>
      <c r="F46">
        <f t="shared" si="0"/>
        <v>99.58</v>
      </c>
    </row>
    <row r="47" spans="1:6" x14ac:dyDescent="0.3">
      <c r="A47">
        <v>51024028</v>
      </c>
      <c r="B47">
        <v>100</v>
      </c>
      <c r="C47">
        <v>97.9</v>
      </c>
      <c r="D47">
        <v>100</v>
      </c>
      <c r="E47">
        <v>100</v>
      </c>
      <c r="F47">
        <f t="shared" si="0"/>
        <v>99.58</v>
      </c>
    </row>
    <row r="48" spans="1:6" x14ac:dyDescent="0.3">
      <c r="A48">
        <v>51021657</v>
      </c>
      <c r="B48">
        <v>98</v>
      </c>
      <c r="C48">
        <v>100</v>
      </c>
      <c r="D48">
        <v>100</v>
      </c>
      <c r="E48">
        <v>100</v>
      </c>
      <c r="F48">
        <f t="shared" si="0"/>
        <v>99.6</v>
      </c>
    </row>
    <row r="49" spans="1:6" x14ac:dyDescent="0.3">
      <c r="A49">
        <v>51018591</v>
      </c>
      <c r="B49">
        <v>98</v>
      </c>
      <c r="C49">
        <v>100</v>
      </c>
      <c r="D49">
        <v>100</v>
      </c>
      <c r="E49">
        <v>100</v>
      </c>
      <c r="F49">
        <f t="shared" si="0"/>
        <v>99.6</v>
      </c>
    </row>
    <row r="50" spans="1:6" x14ac:dyDescent="0.3">
      <c r="A50">
        <v>51056141</v>
      </c>
      <c r="B50">
        <v>98</v>
      </c>
      <c r="C50">
        <v>100</v>
      </c>
      <c r="D50">
        <v>100</v>
      </c>
      <c r="E50">
        <v>100</v>
      </c>
      <c r="F50">
        <f t="shared" si="0"/>
        <v>99.6</v>
      </c>
    </row>
    <row r="51" spans="1:6" x14ac:dyDescent="0.3">
      <c r="A51">
        <v>51022408</v>
      </c>
      <c r="B51">
        <v>98</v>
      </c>
      <c r="C51">
        <v>100</v>
      </c>
      <c r="D51">
        <v>100</v>
      </c>
      <c r="E51">
        <v>100</v>
      </c>
      <c r="F51">
        <f t="shared" si="0"/>
        <v>99.6</v>
      </c>
    </row>
    <row r="52" spans="1:6" x14ac:dyDescent="0.3">
      <c r="A52">
        <v>51024214</v>
      </c>
      <c r="B52">
        <v>98</v>
      </c>
      <c r="C52">
        <v>100</v>
      </c>
      <c r="D52">
        <v>100</v>
      </c>
      <c r="E52">
        <v>100</v>
      </c>
      <c r="F52">
        <f t="shared" si="0"/>
        <v>99.6</v>
      </c>
    </row>
    <row r="53" spans="1:6" x14ac:dyDescent="0.3">
      <c r="A53">
        <v>51017633</v>
      </c>
      <c r="B53">
        <v>100</v>
      </c>
      <c r="C53">
        <v>98</v>
      </c>
      <c r="D53">
        <v>100</v>
      </c>
      <c r="E53">
        <v>100</v>
      </c>
      <c r="F53">
        <f t="shared" si="0"/>
        <v>99.6</v>
      </c>
    </row>
    <row r="54" spans="1:6" x14ac:dyDescent="0.3">
      <c r="A54">
        <v>51029232</v>
      </c>
      <c r="B54">
        <v>98</v>
      </c>
      <c r="C54">
        <v>100</v>
      </c>
      <c r="D54">
        <v>100</v>
      </c>
      <c r="E54">
        <v>100</v>
      </c>
      <c r="F54">
        <f t="shared" si="0"/>
        <v>99.6</v>
      </c>
    </row>
    <row r="55" spans="1:6" x14ac:dyDescent="0.3">
      <c r="A55">
        <v>51032004</v>
      </c>
      <c r="B55">
        <v>100</v>
      </c>
      <c r="C55">
        <v>99</v>
      </c>
      <c r="D55">
        <v>100</v>
      </c>
      <c r="E55">
        <v>99.5</v>
      </c>
      <c r="F55">
        <f t="shared" si="0"/>
        <v>99.65</v>
      </c>
    </row>
    <row r="56" spans="1:6" x14ac:dyDescent="0.3">
      <c r="A56">
        <v>51026071</v>
      </c>
      <c r="B56">
        <v>100</v>
      </c>
      <c r="C56">
        <v>99.9</v>
      </c>
      <c r="D56">
        <v>100</v>
      </c>
      <c r="E56">
        <v>99</v>
      </c>
      <c r="F56">
        <f t="shared" si="0"/>
        <v>99.68</v>
      </c>
    </row>
    <row r="57" spans="1:6" x14ac:dyDescent="0.3">
      <c r="A57">
        <v>51021274</v>
      </c>
      <c r="B57">
        <v>100</v>
      </c>
      <c r="C57">
        <v>99.8</v>
      </c>
      <c r="D57">
        <v>100</v>
      </c>
      <c r="E57">
        <v>99</v>
      </c>
      <c r="F57">
        <f t="shared" si="0"/>
        <v>99.66</v>
      </c>
    </row>
    <row r="58" spans="1:6" x14ac:dyDescent="0.3">
      <c r="A58">
        <v>51056043</v>
      </c>
      <c r="B58">
        <v>100</v>
      </c>
      <c r="C58">
        <v>99.9</v>
      </c>
      <c r="D58">
        <v>100</v>
      </c>
      <c r="E58">
        <v>99</v>
      </c>
      <c r="F58">
        <f t="shared" si="0"/>
        <v>99.68</v>
      </c>
    </row>
    <row r="59" spans="1:6" x14ac:dyDescent="0.3">
      <c r="A59">
        <v>51033329</v>
      </c>
      <c r="B59">
        <v>100</v>
      </c>
      <c r="C59">
        <v>99.9</v>
      </c>
      <c r="D59">
        <v>100</v>
      </c>
      <c r="E59">
        <v>99</v>
      </c>
      <c r="F59">
        <f t="shared" si="0"/>
        <v>99.68</v>
      </c>
    </row>
    <row r="60" spans="1:6" x14ac:dyDescent="0.3">
      <c r="A60">
        <v>51013735</v>
      </c>
      <c r="B60">
        <v>100</v>
      </c>
      <c r="C60">
        <v>99.9</v>
      </c>
      <c r="D60">
        <v>100</v>
      </c>
      <c r="E60">
        <v>99</v>
      </c>
      <c r="F60">
        <f t="shared" si="0"/>
        <v>99.68</v>
      </c>
    </row>
    <row r="61" spans="1:6" x14ac:dyDescent="0.3">
      <c r="A61">
        <v>51031482</v>
      </c>
      <c r="B61">
        <v>100</v>
      </c>
      <c r="C61">
        <v>100</v>
      </c>
      <c r="D61">
        <v>100</v>
      </c>
      <c r="E61">
        <v>99</v>
      </c>
      <c r="F61">
        <f t="shared" si="0"/>
        <v>99.7</v>
      </c>
    </row>
    <row r="62" spans="1:6" x14ac:dyDescent="0.3">
      <c r="A62">
        <v>51014251</v>
      </c>
      <c r="B62">
        <v>100</v>
      </c>
      <c r="C62">
        <v>100</v>
      </c>
      <c r="D62">
        <v>100</v>
      </c>
      <c r="E62">
        <v>99</v>
      </c>
      <c r="F62">
        <f t="shared" si="0"/>
        <v>99.7</v>
      </c>
    </row>
    <row r="63" spans="1:6" x14ac:dyDescent="0.3">
      <c r="A63">
        <v>51056531</v>
      </c>
      <c r="B63">
        <v>100</v>
      </c>
      <c r="C63">
        <v>100</v>
      </c>
      <c r="D63">
        <v>100</v>
      </c>
      <c r="E63">
        <v>99</v>
      </c>
      <c r="F63">
        <f t="shared" si="0"/>
        <v>99.7</v>
      </c>
    </row>
    <row r="64" spans="1:6" x14ac:dyDescent="0.3">
      <c r="A64">
        <v>51024478</v>
      </c>
      <c r="B64">
        <v>100</v>
      </c>
      <c r="C64">
        <v>100</v>
      </c>
      <c r="D64">
        <v>100</v>
      </c>
      <c r="E64">
        <v>99</v>
      </c>
      <c r="F64">
        <f t="shared" si="0"/>
        <v>99.7</v>
      </c>
    </row>
    <row r="65" spans="1:6" x14ac:dyDescent="0.3">
      <c r="A65">
        <v>51054873</v>
      </c>
      <c r="B65">
        <v>100</v>
      </c>
      <c r="C65">
        <v>100</v>
      </c>
      <c r="D65">
        <v>100</v>
      </c>
      <c r="E65">
        <v>99</v>
      </c>
      <c r="F65">
        <f t="shared" si="0"/>
        <v>99.7</v>
      </c>
    </row>
    <row r="66" spans="1:6" x14ac:dyDescent="0.3">
      <c r="A66">
        <v>51030222</v>
      </c>
      <c r="B66">
        <v>100</v>
      </c>
      <c r="C66">
        <v>100</v>
      </c>
      <c r="D66">
        <v>100</v>
      </c>
      <c r="E66">
        <v>99</v>
      </c>
      <c r="F66">
        <f t="shared" si="0"/>
        <v>99.7</v>
      </c>
    </row>
    <row r="67" spans="1:6" x14ac:dyDescent="0.3">
      <c r="A67">
        <v>51055985</v>
      </c>
      <c r="B67">
        <v>100</v>
      </c>
      <c r="C67">
        <v>100</v>
      </c>
      <c r="D67">
        <v>100</v>
      </c>
      <c r="E67">
        <v>99</v>
      </c>
      <c r="F67">
        <f t="shared" si="0"/>
        <v>99.7</v>
      </c>
    </row>
    <row r="68" spans="1:6" x14ac:dyDescent="0.3">
      <c r="A68">
        <v>51008685</v>
      </c>
      <c r="B68">
        <v>100</v>
      </c>
      <c r="C68">
        <v>100</v>
      </c>
      <c r="D68">
        <v>100</v>
      </c>
      <c r="E68">
        <v>99</v>
      </c>
      <c r="F68">
        <f t="shared" ref="F68:F131" si="1">ROUND(B68*0.2 + C68*0.2 + D68*0.3 + E68*0.3, 2)</f>
        <v>99.7</v>
      </c>
    </row>
    <row r="69" spans="1:6" x14ac:dyDescent="0.3">
      <c r="A69">
        <v>51018371</v>
      </c>
      <c r="B69">
        <v>100</v>
      </c>
      <c r="C69">
        <v>100</v>
      </c>
      <c r="D69">
        <v>100</v>
      </c>
      <c r="E69">
        <v>99</v>
      </c>
      <c r="F69">
        <f t="shared" si="1"/>
        <v>99.7</v>
      </c>
    </row>
    <row r="70" spans="1:6" x14ac:dyDescent="0.3">
      <c r="A70">
        <v>51010922</v>
      </c>
      <c r="B70">
        <v>100</v>
      </c>
      <c r="C70">
        <v>100</v>
      </c>
      <c r="D70">
        <v>100</v>
      </c>
      <c r="E70">
        <v>99</v>
      </c>
      <c r="F70">
        <f t="shared" si="1"/>
        <v>99.7</v>
      </c>
    </row>
    <row r="71" spans="1:6" x14ac:dyDescent="0.3">
      <c r="A71">
        <v>51057007</v>
      </c>
      <c r="B71">
        <v>100</v>
      </c>
      <c r="C71">
        <v>100</v>
      </c>
      <c r="D71">
        <v>100</v>
      </c>
      <c r="E71">
        <v>99</v>
      </c>
      <c r="F71">
        <f t="shared" si="1"/>
        <v>99.7</v>
      </c>
    </row>
    <row r="72" spans="1:6" x14ac:dyDescent="0.3">
      <c r="A72">
        <v>51004698</v>
      </c>
      <c r="B72">
        <v>100</v>
      </c>
      <c r="C72">
        <v>100</v>
      </c>
      <c r="D72">
        <v>100</v>
      </c>
      <c r="E72">
        <v>99</v>
      </c>
      <c r="F72">
        <f t="shared" si="1"/>
        <v>99.7</v>
      </c>
    </row>
    <row r="73" spans="1:6" x14ac:dyDescent="0.3">
      <c r="A73">
        <v>51018214</v>
      </c>
      <c r="B73">
        <v>100</v>
      </c>
      <c r="C73">
        <v>100</v>
      </c>
      <c r="D73">
        <v>100</v>
      </c>
      <c r="E73">
        <v>99</v>
      </c>
      <c r="F73">
        <f t="shared" si="1"/>
        <v>99.7</v>
      </c>
    </row>
    <row r="74" spans="1:6" x14ac:dyDescent="0.3">
      <c r="A74">
        <v>51023528</v>
      </c>
      <c r="B74">
        <v>100</v>
      </c>
      <c r="C74">
        <v>100</v>
      </c>
      <c r="D74">
        <v>100</v>
      </c>
      <c r="E74">
        <v>99</v>
      </c>
      <c r="F74">
        <f t="shared" si="1"/>
        <v>99.7</v>
      </c>
    </row>
    <row r="75" spans="1:6" x14ac:dyDescent="0.3">
      <c r="A75">
        <v>51030931</v>
      </c>
      <c r="B75">
        <v>100</v>
      </c>
      <c r="C75">
        <v>100</v>
      </c>
      <c r="D75">
        <v>100</v>
      </c>
      <c r="E75">
        <v>99</v>
      </c>
      <c r="F75">
        <f t="shared" si="1"/>
        <v>99.7</v>
      </c>
    </row>
    <row r="76" spans="1:6" x14ac:dyDescent="0.3">
      <c r="A76">
        <v>51025318</v>
      </c>
      <c r="B76">
        <v>100</v>
      </c>
      <c r="C76">
        <v>100</v>
      </c>
      <c r="D76">
        <v>100</v>
      </c>
      <c r="E76">
        <v>99</v>
      </c>
      <c r="F76">
        <f t="shared" si="1"/>
        <v>99.7</v>
      </c>
    </row>
    <row r="77" spans="1:6" x14ac:dyDescent="0.3">
      <c r="A77">
        <v>51030273</v>
      </c>
      <c r="B77">
        <v>100</v>
      </c>
      <c r="C77">
        <v>100</v>
      </c>
      <c r="D77">
        <v>100</v>
      </c>
      <c r="E77">
        <v>99</v>
      </c>
      <c r="F77">
        <f t="shared" si="1"/>
        <v>99.7</v>
      </c>
    </row>
    <row r="78" spans="1:6" x14ac:dyDescent="0.3">
      <c r="A78">
        <v>51030427</v>
      </c>
      <c r="B78">
        <v>100</v>
      </c>
      <c r="C78">
        <v>100</v>
      </c>
      <c r="D78">
        <v>100</v>
      </c>
      <c r="E78">
        <v>99</v>
      </c>
      <c r="F78">
        <f t="shared" si="1"/>
        <v>99.7</v>
      </c>
    </row>
    <row r="79" spans="1:6" x14ac:dyDescent="0.3">
      <c r="A79">
        <v>51030826</v>
      </c>
      <c r="B79">
        <v>100</v>
      </c>
      <c r="C79">
        <v>100</v>
      </c>
      <c r="D79">
        <v>100</v>
      </c>
      <c r="E79">
        <v>99</v>
      </c>
      <c r="F79">
        <f t="shared" si="1"/>
        <v>99.7</v>
      </c>
    </row>
    <row r="80" spans="1:6" x14ac:dyDescent="0.3">
      <c r="A80">
        <v>51032705</v>
      </c>
      <c r="B80">
        <v>100</v>
      </c>
      <c r="C80">
        <v>100</v>
      </c>
      <c r="D80">
        <v>100</v>
      </c>
      <c r="E80">
        <v>99</v>
      </c>
      <c r="F80">
        <f t="shared" si="1"/>
        <v>99.7</v>
      </c>
    </row>
    <row r="81" spans="1:6" x14ac:dyDescent="0.3">
      <c r="A81">
        <v>51035666</v>
      </c>
      <c r="B81">
        <v>100</v>
      </c>
      <c r="C81">
        <v>100</v>
      </c>
      <c r="D81">
        <v>100</v>
      </c>
      <c r="E81">
        <v>99</v>
      </c>
      <c r="F81">
        <f t="shared" si="1"/>
        <v>99.7</v>
      </c>
    </row>
    <row r="82" spans="1:6" x14ac:dyDescent="0.3">
      <c r="A82">
        <v>51043430</v>
      </c>
      <c r="B82">
        <v>100</v>
      </c>
      <c r="C82">
        <v>100</v>
      </c>
      <c r="D82">
        <v>100</v>
      </c>
      <c r="E82">
        <v>99</v>
      </c>
      <c r="F82">
        <f t="shared" si="1"/>
        <v>99.7</v>
      </c>
    </row>
    <row r="83" spans="1:6" x14ac:dyDescent="0.3">
      <c r="A83">
        <v>51014391</v>
      </c>
      <c r="B83">
        <v>100</v>
      </c>
      <c r="C83">
        <v>100</v>
      </c>
      <c r="D83">
        <v>99</v>
      </c>
      <c r="E83">
        <v>100</v>
      </c>
      <c r="F83">
        <f t="shared" si="1"/>
        <v>99.7</v>
      </c>
    </row>
    <row r="84" spans="1:6" x14ac:dyDescent="0.3">
      <c r="A84">
        <v>51006615</v>
      </c>
      <c r="B84">
        <v>100</v>
      </c>
      <c r="C84">
        <v>100</v>
      </c>
      <c r="D84">
        <v>99</v>
      </c>
      <c r="E84">
        <v>100</v>
      </c>
      <c r="F84">
        <f t="shared" si="1"/>
        <v>99.7</v>
      </c>
    </row>
    <row r="85" spans="1:6" x14ac:dyDescent="0.3">
      <c r="A85">
        <v>51039424</v>
      </c>
      <c r="B85">
        <v>100</v>
      </c>
      <c r="C85">
        <v>100</v>
      </c>
      <c r="D85">
        <v>99</v>
      </c>
      <c r="E85">
        <v>100</v>
      </c>
      <c r="F85">
        <f t="shared" si="1"/>
        <v>99.7</v>
      </c>
    </row>
    <row r="86" spans="1:6" x14ac:dyDescent="0.3">
      <c r="A86">
        <v>51018729</v>
      </c>
      <c r="B86">
        <v>99.5</v>
      </c>
      <c r="C86">
        <v>100</v>
      </c>
      <c r="D86">
        <v>99</v>
      </c>
      <c r="E86">
        <v>100</v>
      </c>
      <c r="F86">
        <f t="shared" si="1"/>
        <v>99.6</v>
      </c>
    </row>
    <row r="87" spans="1:6" x14ac:dyDescent="0.3">
      <c r="A87">
        <v>51018346</v>
      </c>
      <c r="B87">
        <v>100</v>
      </c>
      <c r="C87">
        <v>100</v>
      </c>
      <c r="D87">
        <v>99</v>
      </c>
      <c r="E87">
        <v>100</v>
      </c>
      <c r="F87">
        <f t="shared" si="1"/>
        <v>99.7</v>
      </c>
    </row>
    <row r="88" spans="1:6" x14ac:dyDescent="0.3">
      <c r="A88">
        <v>51040881</v>
      </c>
      <c r="B88">
        <v>100</v>
      </c>
      <c r="C88">
        <v>100</v>
      </c>
      <c r="D88">
        <v>99</v>
      </c>
      <c r="E88">
        <v>100</v>
      </c>
      <c r="F88">
        <f t="shared" si="1"/>
        <v>99.7</v>
      </c>
    </row>
    <row r="89" spans="1:6" x14ac:dyDescent="0.3">
      <c r="A89">
        <v>51024460</v>
      </c>
      <c r="B89">
        <v>100</v>
      </c>
      <c r="C89">
        <v>100</v>
      </c>
      <c r="D89">
        <v>99</v>
      </c>
      <c r="E89">
        <v>100</v>
      </c>
      <c r="F89">
        <f t="shared" si="1"/>
        <v>99.7</v>
      </c>
    </row>
    <row r="90" spans="1:6" x14ac:dyDescent="0.3">
      <c r="A90">
        <v>51015401</v>
      </c>
      <c r="B90">
        <v>99.5</v>
      </c>
      <c r="C90">
        <v>100</v>
      </c>
      <c r="D90">
        <v>99</v>
      </c>
      <c r="E90">
        <v>100</v>
      </c>
      <c r="F90">
        <f t="shared" si="1"/>
        <v>99.6</v>
      </c>
    </row>
    <row r="91" spans="1:6" x14ac:dyDescent="0.3">
      <c r="A91">
        <v>51055951</v>
      </c>
      <c r="B91">
        <v>100</v>
      </c>
      <c r="C91">
        <v>100</v>
      </c>
      <c r="D91">
        <v>99</v>
      </c>
      <c r="E91">
        <v>100</v>
      </c>
      <c r="F91">
        <f t="shared" si="1"/>
        <v>99.7</v>
      </c>
    </row>
    <row r="92" spans="1:6" x14ac:dyDescent="0.3">
      <c r="A92">
        <v>51031326</v>
      </c>
      <c r="B92">
        <v>99.5</v>
      </c>
      <c r="C92">
        <v>100</v>
      </c>
      <c r="D92">
        <v>100</v>
      </c>
      <c r="E92">
        <v>99.5</v>
      </c>
      <c r="F92">
        <f t="shared" si="1"/>
        <v>99.75</v>
      </c>
    </row>
    <row r="93" spans="1:6" x14ac:dyDescent="0.3">
      <c r="A93">
        <v>51055543</v>
      </c>
      <c r="B93">
        <v>99</v>
      </c>
      <c r="C93">
        <v>100</v>
      </c>
      <c r="D93">
        <v>100</v>
      </c>
      <c r="E93">
        <v>100</v>
      </c>
      <c r="F93">
        <f t="shared" si="1"/>
        <v>99.8</v>
      </c>
    </row>
    <row r="94" spans="1:6" x14ac:dyDescent="0.3">
      <c r="A94">
        <v>51056507</v>
      </c>
      <c r="B94">
        <v>99</v>
      </c>
      <c r="C94">
        <v>100</v>
      </c>
      <c r="D94">
        <v>100</v>
      </c>
      <c r="E94">
        <v>100</v>
      </c>
      <c r="F94">
        <f t="shared" si="1"/>
        <v>99.8</v>
      </c>
    </row>
    <row r="95" spans="1:6" x14ac:dyDescent="0.3">
      <c r="A95">
        <v>51021282</v>
      </c>
      <c r="B95">
        <v>99</v>
      </c>
      <c r="C95">
        <v>100</v>
      </c>
      <c r="D95">
        <v>100</v>
      </c>
      <c r="E95">
        <v>100</v>
      </c>
      <c r="F95">
        <f t="shared" si="1"/>
        <v>99.8</v>
      </c>
    </row>
    <row r="96" spans="1:6" x14ac:dyDescent="0.3">
      <c r="A96">
        <v>51013794</v>
      </c>
      <c r="B96">
        <v>99</v>
      </c>
      <c r="C96">
        <v>100</v>
      </c>
      <c r="D96">
        <v>100</v>
      </c>
      <c r="E96">
        <v>100</v>
      </c>
      <c r="F96">
        <f t="shared" si="1"/>
        <v>99.8</v>
      </c>
    </row>
    <row r="97" spans="1:6" x14ac:dyDescent="0.3">
      <c r="A97">
        <v>51004086</v>
      </c>
      <c r="B97">
        <v>99</v>
      </c>
      <c r="C97">
        <v>100</v>
      </c>
      <c r="D97">
        <v>100</v>
      </c>
      <c r="E97">
        <v>100</v>
      </c>
      <c r="F97">
        <f t="shared" si="1"/>
        <v>99.8</v>
      </c>
    </row>
    <row r="98" spans="1:6" x14ac:dyDescent="0.3">
      <c r="A98">
        <v>51020740</v>
      </c>
      <c r="B98">
        <v>100</v>
      </c>
      <c r="C98">
        <v>99</v>
      </c>
      <c r="D98">
        <v>100</v>
      </c>
      <c r="E98">
        <v>100</v>
      </c>
      <c r="F98">
        <f t="shared" si="1"/>
        <v>99.8</v>
      </c>
    </row>
    <row r="99" spans="1:6" x14ac:dyDescent="0.3">
      <c r="A99">
        <v>51030974</v>
      </c>
      <c r="B99">
        <v>100</v>
      </c>
      <c r="C99">
        <v>99</v>
      </c>
      <c r="D99">
        <v>100</v>
      </c>
      <c r="E99">
        <v>100</v>
      </c>
      <c r="F99">
        <f t="shared" si="1"/>
        <v>99.8</v>
      </c>
    </row>
    <row r="100" spans="1:6" x14ac:dyDescent="0.3">
      <c r="A100">
        <v>51033086</v>
      </c>
      <c r="B100">
        <v>100</v>
      </c>
      <c r="C100">
        <v>99</v>
      </c>
      <c r="D100">
        <v>100</v>
      </c>
      <c r="E100">
        <v>100</v>
      </c>
      <c r="F100">
        <f t="shared" si="1"/>
        <v>99.8</v>
      </c>
    </row>
    <row r="101" spans="1:6" x14ac:dyDescent="0.3">
      <c r="A101">
        <v>51055896</v>
      </c>
      <c r="B101">
        <v>100</v>
      </c>
      <c r="C101">
        <v>99</v>
      </c>
      <c r="D101">
        <v>100</v>
      </c>
      <c r="E101">
        <v>100</v>
      </c>
      <c r="F101">
        <f t="shared" si="1"/>
        <v>99.8</v>
      </c>
    </row>
    <row r="102" spans="1:6" x14ac:dyDescent="0.3">
      <c r="A102">
        <v>51056001</v>
      </c>
      <c r="B102">
        <v>100</v>
      </c>
      <c r="C102">
        <v>99</v>
      </c>
      <c r="D102">
        <v>100</v>
      </c>
      <c r="E102">
        <v>100</v>
      </c>
      <c r="F102">
        <f t="shared" si="1"/>
        <v>99.8</v>
      </c>
    </row>
    <row r="103" spans="1:6" x14ac:dyDescent="0.3">
      <c r="A103">
        <v>51056221</v>
      </c>
      <c r="B103">
        <v>100</v>
      </c>
      <c r="C103">
        <v>99</v>
      </c>
      <c r="D103">
        <v>100</v>
      </c>
      <c r="E103">
        <v>100</v>
      </c>
      <c r="F103">
        <f t="shared" si="1"/>
        <v>99.8</v>
      </c>
    </row>
    <row r="104" spans="1:6" x14ac:dyDescent="0.3">
      <c r="A104">
        <v>51002717</v>
      </c>
      <c r="B104">
        <v>100</v>
      </c>
      <c r="C104">
        <v>99.8</v>
      </c>
      <c r="D104">
        <v>100</v>
      </c>
      <c r="E104">
        <v>99.5</v>
      </c>
      <c r="F104">
        <f t="shared" si="1"/>
        <v>99.81</v>
      </c>
    </row>
    <row r="105" spans="1:6" x14ac:dyDescent="0.3">
      <c r="A105">
        <v>51017731</v>
      </c>
      <c r="B105">
        <v>100</v>
      </c>
      <c r="C105">
        <v>99.8</v>
      </c>
      <c r="D105">
        <v>100</v>
      </c>
      <c r="E105">
        <v>99.5</v>
      </c>
      <c r="F105">
        <f t="shared" si="1"/>
        <v>99.81</v>
      </c>
    </row>
    <row r="106" spans="1:6" x14ac:dyDescent="0.3">
      <c r="A106">
        <v>51013913</v>
      </c>
      <c r="B106">
        <v>100</v>
      </c>
      <c r="C106">
        <v>99.8</v>
      </c>
      <c r="D106">
        <v>100</v>
      </c>
      <c r="E106">
        <v>99.5</v>
      </c>
      <c r="F106">
        <f t="shared" si="1"/>
        <v>99.81</v>
      </c>
    </row>
    <row r="107" spans="1:6" x14ac:dyDescent="0.3">
      <c r="A107">
        <v>51013042</v>
      </c>
      <c r="B107">
        <v>100</v>
      </c>
      <c r="C107">
        <v>99.9</v>
      </c>
      <c r="D107">
        <v>100</v>
      </c>
      <c r="E107">
        <v>99.5</v>
      </c>
      <c r="F107">
        <f t="shared" si="1"/>
        <v>99.83</v>
      </c>
    </row>
    <row r="108" spans="1:6" x14ac:dyDescent="0.3">
      <c r="A108">
        <v>51020308</v>
      </c>
      <c r="B108">
        <v>100</v>
      </c>
      <c r="C108">
        <v>99.9</v>
      </c>
      <c r="D108">
        <v>100</v>
      </c>
      <c r="E108">
        <v>99.5</v>
      </c>
      <c r="F108">
        <f t="shared" si="1"/>
        <v>99.83</v>
      </c>
    </row>
    <row r="109" spans="1:6" x14ac:dyDescent="0.3">
      <c r="A109">
        <v>51031776</v>
      </c>
      <c r="B109">
        <v>100</v>
      </c>
      <c r="C109">
        <v>99.9</v>
      </c>
      <c r="D109">
        <v>100</v>
      </c>
      <c r="E109">
        <v>99.5</v>
      </c>
      <c r="F109">
        <f t="shared" si="1"/>
        <v>99.83</v>
      </c>
    </row>
    <row r="110" spans="1:6" x14ac:dyDescent="0.3">
      <c r="A110">
        <v>51056116</v>
      </c>
      <c r="B110">
        <v>100</v>
      </c>
      <c r="C110">
        <v>99.9</v>
      </c>
      <c r="D110">
        <v>100</v>
      </c>
      <c r="E110">
        <v>99.5</v>
      </c>
      <c r="F110">
        <f t="shared" si="1"/>
        <v>99.83</v>
      </c>
    </row>
    <row r="111" spans="1:6" x14ac:dyDescent="0.3">
      <c r="A111">
        <v>51056272</v>
      </c>
      <c r="B111">
        <v>100</v>
      </c>
      <c r="C111">
        <v>99.9</v>
      </c>
      <c r="D111">
        <v>100</v>
      </c>
      <c r="E111">
        <v>99.5</v>
      </c>
      <c r="F111">
        <f t="shared" si="1"/>
        <v>99.83</v>
      </c>
    </row>
    <row r="112" spans="1:6" x14ac:dyDescent="0.3">
      <c r="A112">
        <v>51056752</v>
      </c>
      <c r="B112">
        <v>100</v>
      </c>
      <c r="C112">
        <v>99.9</v>
      </c>
      <c r="D112">
        <v>100</v>
      </c>
      <c r="E112">
        <v>99.5</v>
      </c>
      <c r="F112">
        <f t="shared" si="1"/>
        <v>99.83</v>
      </c>
    </row>
    <row r="113" spans="1:6" x14ac:dyDescent="0.3">
      <c r="A113">
        <v>51024621</v>
      </c>
      <c r="B113">
        <v>100</v>
      </c>
      <c r="C113">
        <v>99.9</v>
      </c>
      <c r="D113">
        <v>100</v>
      </c>
      <c r="E113">
        <v>99.5</v>
      </c>
      <c r="F113">
        <f t="shared" si="1"/>
        <v>99.83</v>
      </c>
    </row>
    <row r="114" spans="1:6" x14ac:dyDescent="0.3">
      <c r="A114">
        <v>51025873</v>
      </c>
      <c r="B114">
        <v>100</v>
      </c>
      <c r="C114">
        <v>99.9</v>
      </c>
      <c r="D114">
        <v>100</v>
      </c>
      <c r="E114">
        <v>99.5</v>
      </c>
      <c r="F114">
        <f t="shared" si="1"/>
        <v>99.83</v>
      </c>
    </row>
    <row r="115" spans="1:6" x14ac:dyDescent="0.3">
      <c r="A115">
        <v>51033116</v>
      </c>
      <c r="B115">
        <v>100</v>
      </c>
      <c r="C115">
        <v>99.9</v>
      </c>
      <c r="D115">
        <v>100</v>
      </c>
      <c r="E115">
        <v>99.5</v>
      </c>
      <c r="F115">
        <f t="shared" si="1"/>
        <v>99.83</v>
      </c>
    </row>
    <row r="116" spans="1:6" x14ac:dyDescent="0.3">
      <c r="A116">
        <v>51017595</v>
      </c>
      <c r="B116">
        <v>100</v>
      </c>
      <c r="C116">
        <v>99.9</v>
      </c>
      <c r="D116">
        <v>100</v>
      </c>
      <c r="E116">
        <v>99.5</v>
      </c>
      <c r="F116">
        <f t="shared" si="1"/>
        <v>99.83</v>
      </c>
    </row>
    <row r="117" spans="1:6" x14ac:dyDescent="0.3">
      <c r="A117">
        <v>51023439</v>
      </c>
      <c r="B117">
        <v>100</v>
      </c>
      <c r="C117">
        <v>99.9</v>
      </c>
      <c r="D117">
        <v>100</v>
      </c>
      <c r="E117">
        <v>99.5</v>
      </c>
      <c r="F117">
        <f t="shared" si="1"/>
        <v>99.83</v>
      </c>
    </row>
    <row r="118" spans="1:6" x14ac:dyDescent="0.3">
      <c r="A118">
        <v>51013751</v>
      </c>
      <c r="B118">
        <v>100</v>
      </c>
      <c r="C118">
        <v>100</v>
      </c>
      <c r="D118">
        <v>100</v>
      </c>
      <c r="E118">
        <v>99.5</v>
      </c>
      <c r="F118">
        <f t="shared" si="1"/>
        <v>99.85</v>
      </c>
    </row>
    <row r="119" spans="1:6" x14ac:dyDescent="0.3">
      <c r="A119">
        <v>51014596</v>
      </c>
      <c r="B119">
        <v>100</v>
      </c>
      <c r="C119">
        <v>100</v>
      </c>
      <c r="D119">
        <v>100</v>
      </c>
      <c r="E119">
        <v>99.5</v>
      </c>
      <c r="F119">
        <f t="shared" si="1"/>
        <v>99.85</v>
      </c>
    </row>
    <row r="120" spans="1:6" x14ac:dyDescent="0.3">
      <c r="A120">
        <v>51016408</v>
      </c>
      <c r="B120">
        <v>100</v>
      </c>
      <c r="C120">
        <v>100</v>
      </c>
      <c r="D120">
        <v>100</v>
      </c>
      <c r="E120">
        <v>99.5</v>
      </c>
      <c r="F120">
        <f t="shared" si="1"/>
        <v>99.85</v>
      </c>
    </row>
    <row r="121" spans="1:6" x14ac:dyDescent="0.3">
      <c r="A121">
        <v>51023757</v>
      </c>
      <c r="B121">
        <v>100</v>
      </c>
      <c r="C121">
        <v>100</v>
      </c>
      <c r="D121">
        <v>100</v>
      </c>
      <c r="E121">
        <v>99.5</v>
      </c>
      <c r="F121">
        <f t="shared" si="1"/>
        <v>99.85</v>
      </c>
    </row>
    <row r="122" spans="1:6" x14ac:dyDescent="0.3">
      <c r="A122">
        <v>51042051</v>
      </c>
      <c r="B122">
        <v>100</v>
      </c>
      <c r="C122">
        <v>100</v>
      </c>
      <c r="D122">
        <v>100</v>
      </c>
      <c r="E122">
        <v>99.5</v>
      </c>
      <c r="F122">
        <f t="shared" si="1"/>
        <v>99.85</v>
      </c>
    </row>
    <row r="123" spans="1:6" x14ac:dyDescent="0.3">
      <c r="A123">
        <v>51011503</v>
      </c>
      <c r="B123">
        <v>100</v>
      </c>
      <c r="C123">
        <v>100</v>
      </c>
      <c r="D123">
        <v>100</v>
      </c>
      <c r="E123">
        <v>99.5</v>
      </c>
      <c r="F123">
        <f t="shared" si="1"/>
        <v>99.85</v>
      </c>
    </row>
    <row r="124" spans="1:6" x14ac:dyDescent="0.3">
      <c r="A124">
        <v>51032381</v>
      </c>
      <c r="B124">
        <v>100</v>
      </c>
      <c r="C124">
        <v>100</v>
      </c>
      <c r="D124">
        <v>100</v>
      </c>
      <c r="E124">
        <v>99.5</v>
      </c>
      <c r="F124">
        <f t="shared" si="1"/>
        <v>99.85</v>
      </c>
    </row>
    <row r="125" spans="1:6" x14ac:dyDescent="0.3">
      <c r="A125">
        <v>51057040</v>
      </c>
      <c r="B125">
        <v>100</v>
      </c>
      <c r="C125">
        <v>100</v>
      </c>
      <c r="D125">
        <v>100</v>
      </c>
      <c r="E125">
        <v>99.5</v>
      </c>
      <c r="F125">
        <f t="shared" si="1"/>
        <v>99.85</v>
      </c>
    </row>
    <row r="126" spans="1:6" x14ac:dyDescent="0.3">
      <c r="A126">
        <v>51015908</v>
      </c>
      <c r="B126">
        <v>100</v>
      </c>
      <c r="C126">
        <v>100</v>
      </c>
      <c r="D126">
        <v>100</v>
      </c>
      <c r="E126">
        <v>99.5</v>
      </c>
      <c r="F126">
        <f t="shared" si="1"/>
        <v>99.85</v>
      </c>
    </row>
    <row r="127" spans="1:6" x14ac:dyDescent="0.3">
      <c r="A127">
        <v>51055616</v>
      </c>
      <c r="B127">
        <v>100</v>
      </c>
      <c r="C127">
        <v>100</v>
      </c>
      <c r="D127">
        <v>100</v>
      </c>
      <c r="E127">
        <v>99.5</v>
      </c>
      <c r="F127">
        <f t="shared" si="1"/>
        <v>99.85</v>
      </c>
    </row>
    <row r="128" spans="1:6" x14ac:dyDescent="0.3">
      <c r="A128">
        <v>51016670</v>
      </c>
      <c r="B128">
        <v>100</v>
      </c>
      <c r="C128">
        <v>100</v>
      </c>
      <c r="D128">
        <v>100</v>
      </c>
      <c r="E128">
        <v>99.5</v>
      </c>
      <c r="F128">
        <f t="shared" si="1"/>
        <v>99.85</v>
      </c>
    </row>
    <row r="129" spans="1:6" x14ac:dyDescent="0.3">
      <c r="A129">
        <v>51025385</v>
      </c>
      <c r="B129">
        <v>100</v>
      </c>
      <c r="C129">
        <v>100</v>
      </c>
      <c r="D129">
        <v>100</v>
      </c>
      <c r="E129">
        <v>99.5</v>
      </c>
      <c r="F129">
        <f t="shared" si="1"/>
        <v>99.85</v>
      </c>
    </row>
    <row r="130" spans="1:6" x14ac:dyDescent="0.3">
      <c r="A130">
        <v>51054857</v>
      </c>
      <c r="B130">
        <v>100</v>
      </c>
      <c r="C130">
        <v>100</v>
      </c>
      <c r="D130">
        <v>100</v>
      </c>
      <c r="E130">
        <v>99.5</v>
      </c>
      <c r="F130">
        <f t="shared" si="1"/>
        <v>99.85</v>
      </c>
    </row>
    <row r="131" spans="1:6" x14ac:dyDescent="0.3">
      <c r="A131">
        <v>51030567</v>
      </c>
      <c r="B131">
        <v>100</v>
      </c>
      <c r="C131">
        <v>100</v>
      </c>
      <c r="D131">
        <v>100</v>
      </c>
      <c r="E131">
        <v>99.5</v>
      </c>
      <c r="F131">
        <f t="shared" si="1"/>
        <v>99.85</v>
      </c>
    </row>
    <row r="132" spans="1:6" x14ac:dyDescent="0.3">
      <c r="A132">
        <v>51031253</v>
      </c>
      <c r="B132">
        <v>100</v>
      </c>
      <c r="C132">
        <v>100</v>
      </c>
      <c r="D132">
        <v>100</v>
      </c>
      <c r="E132">
        <v>99.5</v>
      </c>
      <c r="F132">
        <f t="shared" ref="F132:F195" si="2">ROUND(B132*0.2 + C132*0.2 + D132*0.3 + E132*0.3, 2)</f>
        <v>99.85</v>
      </c>
    </row>
    <row r="133" spans="1:6" x14ac:dyDescent="0.3">
      <c r="A133">
        <v>51008618</v>
      </c>
      <c r="B133">
        <v>100</v>
      </c>
      <c r="C133">
        <v>100</v>
      </c>
      <c r="D133">
        <v>100</v>
      </c>
      <c r="E133">
        <v>99.5</v>
      </c>
      <c r="F133">
        <f t="shared" si="2"/>
        <v>99.85</v>
      </c>
    </row>
    <row r="134" spans="1:6" x14ac:dyDescent="0.3">
      <c r="A134">
        <v>51014081</v>
      </c>
      <c r="B134">
        <v>100</v>
      </c>
      <c r="C134">
        <v>100</v>
      </c>
      <c r="D134">
        <v>100</v>
      </c>
      <c r="E134">
        <v>99.5</v>
      </c>
      <c r="F134">
        <f t="shared" si="2"/>
        <v>99.85</v>
      </c>
    </row>
    <row r="135" spans="1:6" x14ac:dyDescent="0.3">
      <c r="A135">
        <v>51024559</v>
      </c>
      <c r="B135">
        <v>100</v>
      </c>
      <c r="C135">
        <v>100</v>
      </c>
      <c r="D135">
        <v>100</v>
      </c>
      <c r="E135">
        <v>99.5</v>
      </c>
      <c r="F135">
        <f t="shared" si="2"/>
        <v>99.85</v>
      </c>
    </row>
    <row r="136" spans="1:6" x14ac:dyDescent="0.3">
      <c r="A136">
        <v>51039190</v>
      </c>
      <c r="B136">
        <v>100</v>
      </c>
      <c r="C136">
        <v>100</v>
      </c>
      <c r="D136">
        <v>100</v>
      </c>
      <c r="E136">
        <v>99.5</v>
      </c>
      <c r="F136">
        <f t="shared" si="2"/>
        <v>99.85</v>
      </c>
    </row>
    <row r="137" spans="1:6" x14ac:dyDescent="0.3">
      <c r="A137">
        <v>51011601</v>
      </c>
      <c r="B137">
        <v>100</v>
      </c>
      <c r="C137">
        <v>100</v>
      </c>
      <c r="D137">
        <v>100</v>
      </c>
      <c r="E137">
        <v>99.5</v>
      </c>
      <c r="F137">
        <f t="shared" si="2"/>
        <v>99.85</v>
      </c>
    </row>
    <row r="138" spans="1:6" x14ac:dyDescent="0.3">
      <c r="A138">
        <v>51011864</v>
      </c>
      <c r="B138">
        <v>100</v>
      </c>
      <c r="C138">
        <v>100</v>
      </c>
      <c r="D138">
        <v>100</v>
      </c>
      <c r="E138">
        <v>99.5</v>
      </c>
      <c r="F138">
        <f t="shared" si="2"/>
        <v>99.85</v>
      </c>
    </row>
    <row r="139" spans="1:6" x14ac:dyDescent="0.3">
      <c r="A139">
        <v>51030206</v>
      </c>
      <c r="B139">
        <v>100</v>
      </c>
      <c r="C139">
        <v>100</v>
      </c>
      <c r="D139">
        <v>100</v>
      </c>
      <c r="E139">
        <v>99.5</v>
      </c>
      <c r="F139">
        <f t="shared" si="2"/>
        <v>99.85</v>
      </c>
    </row>
    <row r="140" spans="1:6" x14ac:dyDescent="0.3">
      <c r="A140">
        <v>51041925</v>
      </c>
      <c r="B140">
        <v>100</v>
      </c>
      <c r="C140">
        <v>100</v>
      </c>
      <c r="D140">
        <v>100</v>
      </c>
      <c r="E140">
        <v>99.5</v>
      </c>
      <c r="F140">
        <f t="shared" si="2"/>
        <v>99.85</v>
      </c>
    </row>
    <row r="141" spans="1:6" x14ac:dyDescent="0.3">
      <c r="A141">
        <v>51043260</v>
      </c>
      <c r="B141">
        <v>100</v>
      </c>
      <c r="C141">
        <v>100</v>
      </c>
      <c r="D141">
        <v>100</v>
      </c>
      <c r="E141">
        <v>99.5</v>
      </c>
      <c r="F141">
        <f t="shared" si="2"/>
        <v>99.85</v>
      </c>
    </row>
    <row r="142" spans="1:6" x14ac:dyDescent="0.3">
      <c r="A142">
        <v>51007883</v>
      </c>
      <c r="B142">
        <v>100</v>
      </c>
      <c r="C142">
        <v>100</v>
      </c>
      <c r="D142">
        <v>100</v>
      </c>
      <c r="E142">
        <v>99.5</v>
      </c>
      <c r="F142">
        <f t="shared" si="2"/>
        <v>99.85</v>
      </c>
    </row>
    <row r="143" spans="1:6" x14ac:dyDescent="0.3">
      <c r="A143">
        <v>51013115</v>
      </c>
      <c r="B143">
        <v>100</v>
      </c>
      <c r="C143">
        <v>100</v>
      </c>
      <c r="D143">
        <v>100</v>
      </c>
      <c r="E143">
        <v>99.5</v>
      </c>
      <c r="F143">
        <f t="shared" si="2"/>
        <v>99.85</v>
      </c>
    </row>
    <row r="144" spans="1:6" x14ac:dyDescent="0.3">
      <c r="A144">
        <v>51022173</v>
      </c>
      <c r="B144">
        <v>100</v>
      </c>
      <c r="C144">
        <v>100</v>
      </c>
      <c r="D144">
        <v>100</v>
      </c>
      <c r="E144">
        <v>99.5</v>
      </c>
      <c r="F144">
        <f t="shared" si="2"/>
        <v>99.85</v>
      </c>
    </row>
    <row r="145" spans="1:6" x14ac:dyDescent="0.3">
      <c r="A145">
        <v>51039084</v>
      </c>
      <c r="B145">
        <v>100</v>
      </c>
      <c r="C145">
        <v>100</v>
      </c>
      <c r="D145">
        <v>100</v>
      </c>
      <c r="E145">
        <v>99.5</v>
      </c>
      <c r="F145">
        <f t="shared" si="2"/>
        <v>99.85</v>
      </c>
    </row>
    <row r="146" spans="1:6" x14ac:dyDescent="0.3">
      <c r="A146">
        <v>51013271</v>
      </c>
      <c r="B146">
        <v>100</v>
      </c>
      <c r="C146">
        <v>100</v>
      </c>
      <c r="D146">
        <v>100</v>
      </c>
      <c r="E146">
        <v>99.5</v>
      </c>
      <c r="F146">
        <f t="shared" si="2"/>
        <v>99.85</v>
      </c>
    </row>
    <row r="147" spans="1:6" x14ac:dyDescent="0.3">
      <c r="A147">
        <v>51020634</v>
      </c>
      <c r="B147">
        <v>100</v>
      </c>
      <c r="C147">
        <v>100</v>
      </c>
      <c r="D147">
        <v>100</v>
      </c>
      <c r="E147">
        <v>99.5</v>
      </c>
      <c r="F147">
        <f t="shared" si="2"/>
        <v>99.85</v>
      </c>
    </row>
    <row r="148" spans="1:6" x14ac:dyDescent="0.3">
      <c r="A148">
        <v>51015932</v>
      </c>
      <c r="B148">
        <v>100</v>
      </c>
      <c r="C148">
        <v>100</v>
      </c>
      <c r="D148">
        <v>100</v>
      </c>
      <c r="E148">
        <v>99.5</v>
      </c>
      <c r="F148">
        <f t="shared" si="2"/>
        <v>99.85</v>
      </c>
    </row>
    <row r="149" spans="1:6" x14ac:dyDescent="0.3">
      <c r="A149">
        <v>51016637</v>
      </c>
      <c r="B149">
        <v>100</v>
      </c>
      <c r="C149">
        <v>100</v>
      </c>
      <c r="D149">
        <v>100</v>
      </c>
      <c r="E149">
        <v>99.5</v>
      </c>
      <c r="F149">
        <f t="shared" si="2"/>
        <v>99.85</v>
      </c>
    </row>
    <row r="150" spans="1:6" x14ac:dyDescent="0.3">
      <c r="A150">
        <v>51026691</v>
      </c>
      <c r="B150">
        <v>100</v>
      </c>
      <c r="C150">
        <v>100</v>
      </c>
      <c r="D150">
        <v>100</v>
      </c>
      <c r="E150">
        <v>99.5</v>
      </c>
      <c r="F150">
        <f t="shared" si="2"/>
        <v>99.85</v>
      </c>
    </row>
    <row r="151" spans="1:6" x14ac:dyDescent="0.3">
      <c r="A151">
        <v>51029518</v>
      </c>
      <c r="B151">
        <v>100</v>
      </c>
      <c r="C151">
        <v>100</v>
      </c>
      <c r="D151">
        <v>100</v>
      </c>
      <c r="E151">
        <v>99.5</v>
      </c>
      <c r="F151">
        <f t="shared" si="2"/>
        <v>99.85</v>
      </c>
    </row>
    <row r="152" spans="1:6" x14ac:dyDescent="0.3">
      <c r="A152">
        <v>51029976</v>
      </c>
      <c r="B152">
        <v>100</v>
      </c>
      <c r="C152">
        <v>100</v>
      </c>
      <c r="D152">
        <v>100</v>
      </c>
      <c r="E152">
        <v>99.5</v>
      </c>
      <c r="F152">
        <f t="shared" si="2"/>
        <v>99.85</v>
      </c>
    </row>
    <row r="153" spans="1:6" x14ac:dyDescent="0.3">
      <c r="A153">
        <v>51031491</v>
      </c>
      <c r="B153">
        <v>100</v>
      </c>
      <c r="C153">
        <v>100</v>
      </c>
      <c r="D153">
        <v>100</v>
      </c>
      <c r="E153">
        <v>99.5</v>
      </c>
      <c r="F153">
        <f t="shared" si="2"/>
        <v>99.85</v>
      </c>
    </row>
    <row r="154" spans="1:6" x14ac:dyDescent="0.3">
      <c r="A154">
        <v>51032144</v>
      </c>
      <c r="B154">
        <v>100</v>
      </c>
      <c r="C154">
        <v>100</v>
      </c>
      <c r="D154">
        <v>100</v>
      </c>
      <c r="E154">
        <v>99.5</v>
      </c>
      <c r="F154">
        <f t="shared" si="2"/>
        <v>99.85</v>
      </c>
    </row>
    <row r="155" spans="1:6" x14ac:dyDescent="0.3">
      <c r="A155">
        <v>51032497</v>
      </c>
      <c r="B155">
        <v>100</v>
      </c>
      <c r="C155">
        <v>100</v>
      </c>
      <c r="D155">
        <v>100</v>
      </c>
      <c r="E155">
        <v>99.5</v>
      </c>
      <c r="F155">
        <f t="shared" si="2"/>
        <v>99.85</v>
      </c>
    </row>
    <row r="156" spans="1:6" x14ac:dyDescent="0.3">
      <c r="A156">
        <v>51032900</v>
      </c>
      <c r="B156">
        <v>100</v>
      </c>
      <c r="C156">
        <v>100</v>
      </c>
      <c r="D156">
        <v>100</v>
      </c>
      <c r="E156">
        <v>99.5</v>
      </c>
      <c r="F156">
        <f t="shared" si="2"/>
        <v>99.85</v>
      </c>
    </row>
    <row r="157" spans="1:6" x14ac:dyDescent="0.3">
      <c r="A157">
        <v>51032993</v>
      </c>
      <c r="B157">
        <v>100</v>
      </c>
      <c r="C157">
        <v>100</v>
      </c>
      <c r="D157">
        <v>100</v>
      </c>
      <c r="E157">
        <v>99.5</v>
      </c>
      <c r="F157">
        <f t="shared" si="2"/>
        <v>99.85</v>
      </c>
    </row>
    <row r="158" spans="1:6" x14ac:dyDescent="0.3">
      <c r="A158">
        <v>51033281</v>
      </c>
      <c r="B158">
        <v>100</v>
      </c>
      <c r="C158">
        <v>100</v>
      </c>
      <c r="D158">
        <v>100</v>
      </c>
      <c r="E158">
        <v>99.5</v>
      </c>
      <c r="F158">
        <f t="shared" si="2"/>
        <v>99.85</v>
      </c>
    </row>
    <row r="159" spans="1:6" x14ac:dyDescent="0.3">
      <c r="A159">
        <v>51035682</v>
      </c>
      <c r="B159">
        <v>100</v>
      </c>
      <c r="C159">
        <v>100</v>
      </c>
      <c r="D159">
        <v>100</v>
      </c>
      <c r="E159">
        <v>99.5</v>
      </c>
      <c r="F159">
        <f t="shared" si="2"/>
        <v>99.85</v>
      </c>
    </row>
    <row r="160" spans="1:6" x14ac:dyDescent="0.3">
      <c r="A160">
        <v>51036034</v>
      </c>
      <c r="B160">
        <v>100</v>
      </c>
      <c r="C160">
        <v>100</v>
      </c>
      <c r="D160">
        <v>100</v>
      </c>
      <c r="E160">
        <v>99.5</v>
      </c>
      <c r="F160">
        <f t="shared" si="2"/>
        <v>99.85</v>
      </c>
    </row>
    <row r="161" spans="1:6" x14ac:dyDescent="0.3">
      <c r="A161">
        <v>51036557</v>
      </c>
      <c r="B161">
        <v>100</v>
      </c>
      <c r="C161">
        <v>100</v>
      </c>
      <c r="D161">
        <v>100</v>
      </c>
      <c r="E161">
        <v>99.5</v>
      </c>
      <c r="F161">
        <f t="shared" si="2"/>
        <v>99.85</v>
      </c>
    </row>
    <row r="162" spans="1:6" x14ac:dyDescent="0.3">
      <c r="A162">
        <v>51039211</v>
      </c>
      <c r="B162">
        <v>100</v>
      </c>
      <c r="C162">
        <v>100</v>
      </c>
      <c r="D162">
        <v>100</v>
      </c>
      <c r="E162">
        <v>99.5</v>
      </c>
      <c r="F162">
        <f t="shared" si="2"/>
        <v>99.85</v>
      </c>
    </row>
    <row r="163" spans="1:6" x14ac:dyDescent="0.3">
      <c r="A163">
        <v>51042921</v>
      </c>
      <c r="B163">
        <v>100</v>
      </c>
      <c r="C163">
        <v>100</v>
      </c>
      <c r="D163">
        <v>100</v>
      </c>
      <c r="E163">
        <v>99.5</v>
      </c>
      <c r="F163">
        <f t="shared" si="2"/>
        <v>99.85</v>
      </c>
    </row>
    <row r="164" spans="1:6" x14ac:dyDescent="0.3">
      <c r="A164">
        <v>51043197</v>
      </c>
      <c r="B164">
        <v>100</v>
      </c>
      <c r="C164">
        <v>100</v>
      </c>
      <c r="D164">
        <v>100</v>
      </c>
      <c r="E164">
        <v>99.5</v>
      </c>
      <c r="F164">
        <f t="shared" si="2"/>
        <v>99.85</v>
      </c>
    </row>
    <row r="165" spans="1:6" x14ac:dyDescent="0.3">
      <c r="A165">
        <v>51052331</v>
      </c>
      <c r="B165">
        <v>100</v>
      </c>
      <c r="C165">
        <v>100</v>
      </c>
      <c r="D165">
        <v>100</v>
      </c>
      <c r="E165">
        <v>99.5</v>
      </c>
      <c r="F165">
        <f t="shared" si="2"/>
        <v>99.85</v>
      </c>
    </row>
    <row r="166" spans="1:6" x14ac:dyDescent="0.3">
      <c r="A166">
        <v>51055039</v>
      </c>
      <c r="B166">
        <v>100</v>
      </c>
      <c r="C166">
        <v>99.5</v>
      </c>
      <c r="D166">
        <v>100</v>
      </c>
      <c r="E166">
        <v>99.5</v>
      </c>
      <c r="F166">
        <f t="shared" si="2"/>
        <v>99.75</v>
      </c>
    </row>
    <row r="167" spans="1:6" x14ac:dyDescent="0.3">
      <c r="A167">
        <v>51056205</v>
      </c>
      <c r="B167">
        <v>100</v>
      </c>
      <c r="C167">
        <v>100</v>
      </c>
      <c r="D167">
        <v>100</v>
      </c>
      <c r="E167">
        <v>99.5</v>
      </c>
      <c r="F167">
        <f t="shared" si="2"/>
        <v>99.85</v>
      </c>
    </row>
    <row r="168" spans="1:6" x14ac:dyDescent="0.3">
      <c r="A168">
        <v>51056655</v>
      </c>
      <c r="B168">
        <v>100</v>
      </c>
      <c r="C168">
        <v>100</v>
      </c>
      <c r="D168">
        <v>100</v>
      </c>
      <c r="E168">
        <v>99.5</v>
      </c>
      <c r="F168">
        <f t="shared" si="2"/>
        <v>99.85</v>
      </c>
    </row>
    <row r="169" spans="1:6" x14ac:dyDescent="0.3">
      <c r="A169">
        <v>51056728</v>
      </c>
      <c r="B169">
        <v>100</v>
      </c>
      <c r="C169">
        <v>100</v>
      </c>
      <c r="D169">
        <v>100</v>
      </c>
      <c r="E169">
        <v>99.5</v>
      </c>
      <c r="F169">
        <f t="shared" si="2"/>
        <v>99.85</v>
      </c>
    </row>
    <row r="170" spans="1:6" x14ac:dyDescent="0.3">
      <c r="A170">
        <v>51056761</v>
      </c>
      <c r="B170">
        <v>100</v>
      </c>
      <c r="C170">
        <v>100</v>
      </c>
      <c r="D170">
        <v>100</v>
      </c>
      <c r="E170">
        <v>99.5</v>
      </c>
      <c r="F170">
        <f t="shared" si="2"/>
        <v>99.85</v>
      </c>
    </row>
    <row r="171" spans="1:6" x14ac:dyDescent="0.3">
      <c r="A171">
        <v>51056876</v>
      </c>
      <c r="B171">
        <v>100</v>
      </c>
      <c r="C171">
        <v>100</v>
      </c>
      <c r="D171">
        <v>100</v>
      </c>
      <c r="E171">
        <v>99.5</v>
      </c>
      <c r="F171">
        <f t="shared" si="2"/>
        <v>99.85</v>
      </c>
    </row>
    <row r="172" spans="1:6" x14ac:dyDescent="0.3">
      <c r="A172">
        <v>51038941</v>
      </c>
      <c r="B172">
        <v>99.5</v>
      </c>
      <c r="C172">
        <v>99.9</v>
      </c>
      <c r="D172">
        <v>100</v>
      </c>
      <c r="E172">
        <v>100</v>
      </c>
      <c r="F172">
        <f t="shared" si="2"/>
        <v>99.88</v>
      </c>
    </row>
    <row r="173" spans="1:6" x14ac:dyDescent="0.3">
      <c r="A173">
        <v>51011236</v>
      </c>
      <c r="B173">
        <v>99.5</v>
      </c>
      <c r="C173">
        <v>100</v>
      </c>
      <c r="D173">
        <v>100</v>
      </c>
      <c r="E173">
        <v>100</v>
      </c>
      <c r="F173">
        <f t="shared" si="2"/>
        <v>99.9</v>
      </c>
    </row>
    <row r="174" spans="1:6" x14ac:dyDescent="0.3">
      <c r="A174">
        <v>51023889</v>
      </c>
      <c r="B174">
        <v>99.5</v>
      </c>
      <c r="C174">
        <v>100</v>
      </c>
      <c r="D174">
        <v>100</v>
      </c>
      <c r="E174">
        <v>100</v>
      </c>
      <c r="F174">
        <f t="shared" si="2"/>
        <v>99.9</v>
      </c>
    </row>
    <row r="175" spans="1:6" x14ac:dyDescent="0.3">
      <c r="A175">
        <v>51017820</v>
      </c>
      <c r="B175">
        <v>99.5</v>
      </c>
      <c r="C175">
        <v>100</v>
      </c>
      <c r="D175">
        <v>100</v>
      </c>
      <c r="E175">
        <v>100</v>
      </c>
      <c r="F175">
        <f t="shared" si="2"/>
        <v>99.9</v>
      </c>
    </row>
    <row r="176" spans="1:6" x14ac:dyDescent="0.3">
      <c r="A176">
        <v>51036310</v>
      </c>
      <c r="B176">
        <v>99.5</v>
      </c>
      <c r="C176">
        <v>100</v>
      </c>
      <c r="D176">
        <v>100</v>
      </c>
      <c r="E176">
        <v>100</v>
      </c>
      <c r="F176">
        <f t="shared" si="2"/>
        <v>99.9</v>
      </c>
    </row>
    <row r="177" spans="1:6" x14ac:dyDescent="0.3">
      <c r="A177">
        <v>51013077</v>
      </c>
      <c r="B177">
        <v>99.5</v>
      </c>
      <c r="C177">
        <v>100</v>
      </c>
      <c r="D177">
        <v>100</v>
      </c>
      <c r="E177">
        <v>100</v>
      </c>
      <c r="F177">
        <f t="shared" si="2"/>
        <v>99.9</v>
      </c>
    </row>
    <row r="178" spans="1:6" x14ac:dyDescent="0.3">
      <c r="A178">
        <v>51020952</v>
      </c>
      <c r="B178">
        <v>99.5</v>
      </c>
      <c r="C178">
        <v>100</v>
      </c>
      <c r="D178">
        <v>100</v>
      </c>
      <c r="E178">
        <v>100</v>
      </c>
      <c r="F178">
        <f t="shared" si="2"/>
        <v>99.9</v>
      </c>
    </row>
    <row r="179" spans="1:6" x14ac:dyDescent="0.3">
      <c r="A179">
        <v>51007115</v>
      </c>
      <c r="B179">
        <v>99.5</v>
      </c>
      <c r="C179">
        <v>100</v>
      </c>
      <c r="D179">
        <v>100</v>
      </c>
      <c r="E179">
        <v>100</v>
      </c>
      <c r="F179">
        <f t="shared" si="2"/>
        <v>99.9</v>
      </c>
    </row>
    <row r="180" spans="1:6" x14ac:dyDescent="0.3">
      <c r="A180">
        <v>51024664</v>
      </c>
      <c r="B180">
        <v>99.5</v>
      </c>
      <c r="C180">
        <v>100</v>
      </c>
      <c r="D180">
        <v>100</v>
      </c>
      <c r="E180">
        <v>100</v>
      </c>
      <c r="F180">
        <f t="shared" si="2"/>
        <v>99.9</v>
      </c>
    </row>
    <row r="181" spans="1:6" x14ac:dyDescent="0.3">
      <c r="A181">
        <v>51035828</v>
      </c>
      <c r="B181">
        <v>99.5</v>
      </c>
      <c r="C181">
        <v>100</v>
      </c>
      <c r="D181">
        <v>100</v>
      </c>
      <c r="E181">
        <v>100</v>
      </c>
      <c r="F181">
        <f t="shared" si="2"/>
        <v>99.9</v>
      </c>
    </row>
    <row r="182" spans="1:6" x14ac:dyDescent="0.3">
      <c r="A182">
        <v>51035879</v>
      </c>
      <c r="B182">
        <v>99.5</v>
      </c>
      <c r="C182">
        <v>100</v>
      </c>
      <c r="D182">
        <v>100</v>
      </c>
      <c r="E182">
        <v>100</v>
      </c>
      <c r="F182">
        <f t="shared" si="2"/>
        <v>99.9</v>
      </c>
    </row>
    <row r="183" spans="1:6" x14ac:dyDescent="0.3">
      <c r="A183">
        <v>51020197</v>
      </c>
      <c r="B183">
        <v>99.5</v>
      </c>
      <c r="C183">
        <v>100</v>
      </c>
      <c r="D183">
        <v>100</v>
      </c>
      <c r="E183">
        <v>100</v>
      </c>
      <c r="F183">
        <f t="shared" si="2"/>
        <v>99.9</v>
      </c>
    </row>
    <row r="184" spans="1:6" x14ac:dyDescent="0.3">
      <c r="A184">
        <v>51025865</v>
      </c>
      <c r="B184">
        <v>99.5</v>
      </c>
      <c r="C184">
        <v>100</v>
      </c>
      <c r="D184">
        <v>100</v>
      </c>
      <c r="E184">
        <v>100</v>
      </c>
      <c r="F184">
        <f t="shared" si="2"/>
        <v>99.9</v>
      </c>
    </row>
    <row r="185" spans="1:6" x14ac:dyDescent="0.3">
      <c r="A185">
        <v>51033710</v>
      </c>
      <c r="B185">
        <v>99.5</v>
      </c>
      <c r="C185">
        <v>100</v>
      </c>
      <c r="D185">
        <v>100</v>
      </c>
      <c r="E185">
        <v>100</v>
      </c>
      <c r="F185">
        <f t="shared" si="2"/>
        <v>99.9</v>
      </c>
    </row>
    <row r="186" spans="1:6" x14ac:dyDescent="0.3">
      <c r="A186">
        <v>51056671</v>
      </c>
      <c r="B186">
        <v>99.5</v>
      </c>
      <c r="C186">
        <v>100</v>
      </c>
      <c r="D186">
        <v>100</v>
      </c>
      <c r="E186">
        <v>100</v>
      </c>
      <c r="F186">
        <f t="shared" si="2"/>
        <v>99.9</v>
      </c>
    </row>
    <row r="187" spans="1:6" x14ac:dyDescent="0.3">
      <c r="A187">
        <v>51020405</v>
      </c>
      <c r="B187">
        <v>99.5</v>
      </c>
      <c r="C187">
        <v>100</v>
      </c>
      <c r="D187">
        <v>100</v>
      </c>
      <c r="E187">
        <v>100</v>
      </c>
      <c r="F187">
        <f t="shared" si="2"/>
        <v>99.9</v>
      </c>
    </row>
    <row r="188" spans="1:6" x14ac:dyDescent="0.3">
      <c r="A188">
        <v>51001389</v>
      </c>
      <c r="B188">
        <v>99.5</v>
      </c>
      <c r="C188">
        <v>100</v>
      </c>
      <c r="D188">
        <v>100</v>
      </c>
      <c r="E188">
        <v>100</v>
      </c>
      <c r="F188">
        <f t="shared" si="2"/>
        <v>99.9</v>
      </c>
    </row>
    <row r="189" spans="1:6" x14ac:dyDescent="0.3">
      <c r="A189">
        <v>51014855</v>
      </c>
      <c r="B189">
        <v>99.5</v>
      </c>
      <c r="C189">
        <v>100</v>
      </c>
      <c r="D189">
        <v>100</v>
      </c>
      <c r="E189">
        <v>100</v>
      </c>
      <c r="F189">
        <f t="shared" si="2"/>
        <v>99.9</v>
      </c>
    </row>
    <row r="190" spans="1:6" x14ac:dyDescent="0.3">
      <c r="A190">
        <v>51011325</v>
      </c>
      <c r="B190">
        <v>99.5</v>
      </c>
      <c r="C190">
        <v>100</v>
      </c>
      <c r="D190">
        <v>100</v>
      </c>
      <c r="E190">
        <v>100</v>
      </c>
      <c r="F190">
        <f t="shared" si="2"/>
        <v>99.9</v>
      </c>
    </row>
    <row r="191" spans="1:6" x14ac:dyDescent="0.3">
      <c r="A191">
        <v>51033621</v>
      </c>
      <c r="B191">
        <v>99.5</v>
      </c>
      <c r="C191">
        <v>100</v>
      </c>
      <c r="D191">
        <v>100</v>
      </c>
      <c r="E191">
        <v>100</v>
      </c>
      <c r="F191">
        <f t="shared" si="2"/>
        <v>99.9</v>
      </c>
    </row>
    <row r="192" spans="1:6" x14ac:dyDescent="0.3">
      <c r="A192">
        <v>51036824</v>
      </c>
      <c r="B192">
        <v>99.5</v>
      </c>
      <c r="C192">
        <v>100</v>
      </c>
      <c r="D192">
        <v>100</v>
      </c>
      <c r="E192">
        <v>100</v>
      </c>
      <c r="F192">
        <f t="shared" si="2"/>
        <v>99.9</v>
      </c>
    </row>
    <row r="193" spans="1:6" x14ac:dyDescent="0.3">
      <c r="A193">
        <v>51021673</v>
      </c>
      <c r="B193">
        <v>99.5</v>
      </c>
      <c r="C193">
        <v>100</v>
      </c>
      <c r="D193">
        <v>100</v>
      </c>
      <c r="E193">
        <v>100</v>
      </c>
      <c r="F193">
        <f t="shared" si="2"/>
        <v>99.9</v>
      </c>
    </row>
    <row r="194" spans="1:6" x14ac:dyDescent="0.3">
      <c r="A194">
        <v>51024036</v>
      </c>
      <c r="B194">
        <v>99.5</v>
      </c>
      <c r="C194">
        <v>100</v>
      </c>
      <c r="D194">
        <v>100</v>
      </c>
      <c r="E194">
        <v>100</v>
      </c>
      <c r="F194">
        <f t="shared" si="2"/>
        <v>99.9</v>
      </c>
    </row>
    <row r="195" spans="1:6" x14ac:dyDescent="0.3">
      <c r="A195">
        <v>51055837</v>
      </c>
      <c r="B195">
        <v>100</v>
      </c>
      <c r="C195">
        <v>99.5</v>
      </c>
      <c r="D195">
        <v>100</v>
      </c>
      <c r="E195">
        <v>100</v>
      </c>
      <c r="F195">
        <f t="shared" si="2"/>
        <v>99.9</v>
      </c>
    </row>
    <row r="196" spans="1:6" x14ac:dyDescent="0.3">
      <c r="A196">
        <v>51003292</v>
      </c>
      <c r="B196">
        <v>100</v>
      </c>
      <c r="C196">
        <v>99.7</v>
      </c>
      <c r="D196">
        <v>100</v>
      </c>
      <c r="E196">
        <v>100</v>
      </c>
      <c r="F196">
        <f t="shared" ref="F196:F259" si="3">ROUND(B196*0.2 + C196*0.2 + D196*0.3 + E196*0.3, 2)</f>
        <v>99.94</v>
      </c>
    </row>
    <row r="197" spans="1:6" x14ac:dyDescent="0.3">
      <c r="A197">
        <v>51015355</v>
      </c>
      <c r="B197">
        <v>100</v>
      </c>
      <c r="C197">
        <v>99.7</v>
      </c>
      <c r="D197">
        <v>100</v>
      </c>
      <c r="E197">
        <v>100</v>
      </c>
      <c r="F197">
        <f t="shared" si="3"/>
        <v>99.94</v>
      </c>
    </row>
    <row r="198" spans="1:6" x14ac:dyDescent="0.3">
      <c r="A198">
        <v>51022262</v>
      </c>
      <c r="B198">
        <v>100</v>
      </c>
      <c r="C198">
        <v>99.7</v>
      </c>
      <c r="D198">
        <v>100</v>
      </c>
      <c r="E198">
        <v>100</v>
      </c>
      <c r="F198">
        <f t="shared" si="3"/>
        <v>99.94</v>
      </c>
    </row>
    <row r="199" spans="1:6" x14ac:dyDescent="0.3">
      <c r="A199">
        <v>51012721</v>
      </c>
      <c r="B199">
        <v>100</v>
      </c>
      <c r="C199">
        <v>99.8</v>
      </c>
      <c r="D199">
        <v>100</v>
      </c>
      <c r="E199">
        <v>100</v>
      </c>
      <c r="F199">
        <f t="shared" si="3"/>
        <v>99.96</v>
      </c>
    </row>
    <row r="200" spans="1:6" x14ac:dyDescent="0.3">
      <c r="A200">
        <v>51014006</v>
      </c>
      <c r="B200">
        <v>100</v>
      </c>
      <c r="C200">
        <v>99.8</v>
      </c>
      <c r="D200">
        <v>100</v>
      </c>
      <c r="E200">
        <v>100</v>
      </c>
      <c r="F200">
        <f t="shared" si="3"/>
        <v>99.96</v>
      </c>
    </row>
    <row r="201" spans="1:6" x14ac:dyDescent="0.3">
      <c r="A201">
        <v>51021789</v>
      </c>
      <c r="B201">
        <v>100</v>
      </c>
      <c r="C201">
        <v>99.8</v>
      </c>
      <c r="D201">
        <v>100</v>
      </c>
      <c r="E201">
        <v>100</v>
      </c>
      <c r="F201">
        <f t="shared" si="3"/>
        <v>99.96</v>
      </c>
    </row>
    <row r="202" spans="1:6" x14ac:dyDescent="0.3">
      <c r="A202">
        <v>51023277</v>
      </c>
      <c r="B202">
        <v>100</v>
      </c>
      <c r="C202">
        <v>99.8</v>
      </c>
      <c r="D202">
        <v>100</v>
      </c>
      <c r="E202">
        <v>100</v>
      </c>
      <c r="F202">
        <f t="shared" si="3"/>
        <v>99.96</v>
      </c>
    </row>
    <row r="203" spans="1:6" x14ac:dyDescent="0.3">
      <c r="A203">
        <v>51024516</v>
      </c>
      <c r="B203">
        <v>100</v>
      </c>
      <c r="C203">
        <v>99.8</v>
      </c>
      <c r="D203">
        <v>100</v>
      </c>
      <c r="E203">
        <v>100</v>
      </c>
      <c r="F203">
        <f t="shared" si="3"/>
        <v>99.96</v>
      </c>
    </row>
    <row r="204" spans="1:6" x14ac:dyDescent="0.3">
      <c r="A204">
        <v>51031563</v>
      </c>
      <c r="B204">
        <v>100</v>
      </c>
      <c r="C204">
        <v>99.8</v>
      </c>
      <c r="D204">
        <v>100</v>
      </c>
      <c r="E204">
        <v>100</v>
      </c>
      <c r="F204">
        <f t="shared" si="3"/>
        <v>99.96</v>
      </c>
    </row>
    <row r="205" spans="1:6" x14ac:dyDescent="0.3">
      <c r="A205">
        <v>51031997</v>
      </c>
      <c r="B205">
        <v>100</v>
      </c>
      <c r="C205">
        <v>99.8</v>
      </c>
      <c r="D205">
        <v>100</v>
      </c>
      <c r="E205">
        <v>100</v>
      </c>
      <c r="F205">
        <f t="shared" si="3"/>
        <v>99.96</v>
      </c>
    </row>
    <row r="206" spans="1:6" x14ac:dyDescent="0.3">
      <c r="A206">
        <v>51001427</v>
      </c>
      <c r="B206">
        <v>100</v>
      </c>
      <c r="C206">
        <v>99.9</v>
      </c>
      <c r="D206">
        <v>100</v>
      </c>
      <c r="E206">
        <v>100</v>
      </c>
      <c r="F206">
        <f t="shared" si="3"/>
        <v>99.98</v>
      </c>
    </row>
    <row r="207" spans="1:6" x14ac:dyDescent="0.3">
      <c r="A207">
        <v>51002709</v>
      </c>
      <c r="B207">
        <v>100</v>
      </c>
      <c r="C207">
        <v>99.9</v>
      </c>
      <c r="D207">
        <v>100</v>
      </c>
      <c r="E207">
        <v>100</v>
      </c>
      <c r="F207">
        <f t="shared" si="3"/>
        <v>99.98</v>
      </c>
    </row>
    <row r="208" spans="1:6" x14ac:dyDescent="0.3">
      <c r="A208">
        <v>51003063</v>
      </c>
      <c r="B208">
        <v>100</v>
      </c>
      <c r="C208">
        <v>99.9</v>
      </c>
      <c r="D208">
        <v>100</v>
      </c>
      <c r="E208">
        <v>100</v>
      </c>
      <c r="F208">
        <f t="shared" si="3"/>
        <v>99.98</v>
      </c>
    </row>
    <row r="209" spans="1:6" x14ac:dyDescent="0.3">
      <c r="A209">
        <v>51004035</v>
      </c>
      <c r="B209">
        <v>100</v>
      </c>
      <c r="C209">
        <v>99.9</v>
      </c>
      <c r="D209">
        <v>100</v>
      </c>
      <c r="E209">
        <v>100</v>
      </c>
      <c r="F209">
        <f t="shared" si="3"/>
        <v>99.98</v>
      </c>
    </row>
    <row r="210" spans="1:6" x14ac:dyDescent="0.3">
      <c r="A210">
        <v>51004108</v>
      </c>
      <c r="B210">
        <v>100</v>
      </c>
      <c r="C210">
        <v>97.9</v>
      </c>
      <c r="D210">
        <v>100</v>
      </c>
      <c r="E210">
        <v>100</v>
      </c>
      <c r="F210">
        <f t="shared" si="3"/>
        <v>99.58</v>
      </c>
    </row>
    <row r="211" spans="1:6" x14ac:dyDescent="0.3">
      <c r="A211">
        <v>51005392</v>
      </c>
      <c r="B211">
        <v>100</v>
      </c>
      <c r="C211">
        <v>99.9</v>
      </c>
      <c r="D211">
        <v>100</v>
      </c>
      <c r="E211">
        <v>100</v>
      </c>
      <c r="F211">
        <f t="shared" si="3"/>
        <v>99.98</v>
      </c>
    </row>
    <row r="212" spans="1:6" x14ac:dyDescent="0.3">
      <c r="A212">
        <v>51006151</v>
      </c>
      <c r="B212">
        <v>100</v>
      </c>
      <c r="C212">
        <v>99.9</v>
      </c>
      <c r="D212">
        <v>100</v>
      </c>
      <c r="E212">
        <v>100</v>
      </c>
      <c r="F212">
        <f t="shared" si="3"/>
        <v>99.98</v>
      </c>
    </row>
    <row r="213" spans="1:6" x14ac:dyDescent="0.3">
      <c r="A213">
        <v>51007701</v>
      </c>
      <c r="B213">
        <v>100</v>
      </c>
      <c r="C213">
        <v>99.9</v>
      </c>
      <c r="D213">
        <v>100</v>
      </c>
      <c r="E213">
        <v>100</v>
      </c>
      <c r="F213">
        <f t="shared" si="3"/>
        <v>99.98</v>
      </c>
    </row>
    <row r="214" spans="1:6" x14ac:dyDescent="0.3">
      <c r="A214">
        <v>51007841</v>
      </c>
      <c r="B214">
        <v>100</v>
      </c>
      <c r="C214">
        <v>99.9</v>
      </c>
      <c r="D214">
        <v>100</v>
      </c>
      <c r="E214">
        <v>100</v>
      </c>
      <c r="F214">
        <f t="shared" si="3"/>
        <v>99.98</v>
      </c>
    </row>
    <row r="215" spans="1:6" x14ac:dyDescent="0.3">
      <c r="A215">
        <v>51008430</v>
      </c>
      <c r="B215">
        <v>100</v>
      </c>
      <c r="C215">
        <v>99.9</v>
      </c>
      <c r="D215">
        <v>100</v>
      </c>
      <c r="E215">
        <v>100</v>
      </c>
      <c r="F215">
        <f t="shared" si="3"/>
        <v>99.98</v>
      </c>
    </row>
    <row r="216" spans="1:6" x14ac:dyDescent="0.3">
      <c r="A216">
        <v>51009991</v>
      </c>
      <c r="B216">
        <v>100</v>
      </c>
      <c r="C216">
        <v>99.9</v>
      </c>
      <c r="D216">
        <v>100</v>
      </c>
      <c r="E216">
        <v>100</v>
      </c>
      <c r="F216">
        <f t="shared" si="3"/>
        <v>99.98</v>
      </c>
    </row>
    <row r="217" spans="1:6" x14ac:dyDescent="0.3">
      <c r="A217">
        <v>51010191</v>
      </c>
      <c r="B217">
        <v>100</v>
      </c>
      <c r="C217">
        <v>99.9</v>
      </c>
      <c r="D217">
        <v>100</v>
      </c>
      <c r="E217">
        <v>100</v>
      </c>
      <c r="F217">
        <f t="shared" si="3"/>
        <v>99.98</v>
      </c>
    </row>
    <row r="218" spans="1:6" x14ac:dyDescent="0.3">
      <c r="A218">
        <v>51010205</v>
      </c>
      <c r="B218">
        <v>100</v>
      </c>
      <c r="C218">
        <v>99.9</v>
      </c>
      <c r="D218">
        <v>100</v>
      </c>
      <c r="E218">
        <v>100</v>
      </c>
      <c r="F218">
        <f t="shared" si="3"/>
        <v>99.98</v>
      </c>
    </row>
    <row r="219" spans="1:6" x14ac:dyDescent="0.3">
      <c r="A219">
        <v>51010272</v>
      </c>
      <c r="B219">
        <v>100</v>
      </c>
      <c r="C219">
        <v>99.9</v>
      </c>
      <c r="D219">
        <v>100</v>
      </c>
      <c r="E219">
        <v>100</v>
      </c>
      <c r="F219">
        <f t="shared" si="3"/>
        <v>99.98</v>
      </c>
    </row>
    <row r="220" spans="1:6" x14ac:dyDescent="0.3">
      <c r="A220">
        <v>51010523</v>
      </c>
      <c r="B220">
        <v>100</v>
      </c>
      <c r="C220">
        <v>99.9</v>
      </c>
      <c r="D220">
        <v>100</v>
      </c>
      <c r="E220">
        <v>100</v>
      </c>
      <c r="F220">
        <f t="shared" si="3"/>
        <v>99.98</v>
      </c>
    </row>
    <row r="221" spans="1:6" x14ac:dyDescent="0.3">
      <c r="A221">
        <v>51010744</v>
      </c>
      <c r="B221">
        <v>100</v>
      </c>
      <c r="C221">
        <v>99.9</v>
      </c>
      <c r="D221">
        <v>100</v>
      </c>
      <c r="E221">
        <v>100</v>
      </c>
      <c r="F221">
        <f t="shared" si="3"/>
        <v>99.98</v>
      </c>
    </row>
    <row r="222" spans="1:6" x14ac:dyDescent="0.3">
      <c r="A222">
        <v>51011171</v>
      </c>
      <c r="B222">
        <v>100</v>
      </c>
      <c r="C222">
        <v>99.9</v>
      </c>
      <c r="D222">
        <v>100</v>
      </c>
      <c r="E222">
        <v>100</v>
      </c>
      <c r="F222">
        <f t="shared" si="3"/>
        <v>99.98</v>
      </c>
    </row>
    <row r="223" spans="1:6" x14ac:dyDescent="0.3">
      <c r="A223">
        <v>51011368</v>
      </c>
      <c r="B223">
        <v>100</v>
      </c>
      <c r="C223">
        <v>99.9</v>
      </c>
      <c r="D223">
        <v>100</v>
      </c>
      <c r="E223">
        <v>100</v>
      </c>
      <c r="F223">
        <f t="shared" si="3"/>
        <v>99.98</v>
      </c>
    </row>
    <row r="224" spans="1:6" x14ac:dyDescent="0.3">
      <c r="A224">
        <v>51011481</v>
      </c>
      <c r="B224">
        <v>100</v>
      </c>
      <c r="C224">
        <v>99.9</v>
      </c>
      <c r="D224">
        <v>100</v>
      </c>
      <c r="E224">
        <v>100</v>
      </c>
      <c r="F224">
        <f t="shared" si="3"/>
        <v>99.98</v>
      </c>
    </row>
    <row r="225" spans="1:6" x14ac:dyDescent="0.3">
      <c r="A225">
        <v>51011597</v>
      </c>
      <c r="B225">
        <v>100</v>
      </c>
      <c r="C225">
        <v>99.9</v>
      </c>
      <c r="D225">
        <v>100</v>
      </c>
      <c r="E225">
        <v>100</v>
      </c>
      <c r="F225">
        <f t="shared" si="3"/>
        <v>99.98</v>
      </c>
    </row>
    <row r="226" spans="1:6" x14ac:dyDescent="0.3">
      <c r="A226">
        <v>51011929</v>
      </c>
      <c r="B226">
        <v>100</v>
      </c>
      <c r="C226">
        <v>99.9</v>
      </c>
      <c r="D226">
        <v>100</v>
      </c>
      <c r="E226">
        <v>100</v>
      </c>
      <c r="F226">
        <f t="shared" si="3"/>
        <v>99.98</v>
      </c>
    </row>
    <row r="227" spans="1:6" x14ac:dyDescent="0.3">
      <c r="A227">
        <v>51011953</v>
      </c>
      <c r="B227">
        <v>100</v>
      </c>
      <c r="C227">
        <v>99.9</v>
      </c>
      <c r="D227">
        <v>100</v>
      </c>
      <c r="E227">
        <v>100</v>
      </c>
      <c r="F227">
        <f t="shared" si="3"/>
        <v>99.98</v>
      </c>
    </row>
    <row r="228" spans="1:6" x14ac:dyDescent="0.3">
      <c r="A228">
        <v>51012470</v>
      </c>
      <c r="B228">
        <v>100</v>
      </c>
      <c r="C228">
        <v>99.9</v>
      </c>
      <c r="D228">
        <v>100</v>
      </c>
      <c r="E228">
        <v>100</v>
      </c>
      <c r="F228">
        <f t="shared" si="3"/>
        <v>99.98</v>
      </c>
    </row>
    <row r="229" spans="1:6" x14ac:dyDescent="0.3">
      <c r="A229">
        <v>51012500</v>
      </c>
      <c r="B229">
        <v>100</v>
      </c>
      <c r="C229">
        <v>99.9</v>
      </c>
      <c r="D229">
        <v>100</v>
      </c>
      <c r="E229">
        <v>100</v>
      </c>
      <c r="F229">
        <f t="shared" si="3"/>
        <v>99.98</v>
      </c>
    </row>
    <row r="230" spans="1:6" x14ac:dyDescent="0.3">
      <c r="A230">
        <v>51012623</v>
      </c>
      <c r="B230">
        <v>100</v>
      </c>
      <c r="C230">
        <v>99.9</v>
      </c>
      <c r="D230">
        <v>100</v>
      </c>
      <c r="E230">
        <v>100</v>
      </c>
      <c r="F230">
        <f t="shared" si="3"/>
        <v>99.98</v>
      </c>
    </row>
    <row r="231" spans="1:6" x14ac:dyDescent="0.3">
      <c r="A231">
        <v>51012887</v>
      </c>
      <c r="B231">
        <v>100</v>
      </c>
      <c r="C231">
        <v>99.9</v>
      </c>
      <c r="D231">
        <v>100</v>
      </c>
      <c r="E231">
        <v>100</v>
      </c>
      <c r="F231">
        <f t="shared" si="3"/>
        <v>99.98</v>
      </c>
    </row>
    <row r="232" spans="1:6" x14ac:dyDescent="0.3">
      <c r="A232">
        <v>51013395</v>
      </c>
      <c r="B232">
        <v>100</v>
      </c>
      <c r="C232">
        <v>99.9</v>
      </c>
      <c r="D232">
        <v>100</v>
      </c>
      <c r="E232">
        <v>100</v>
      </c>
      <c r="F232">
        <f t="shared" si="3"/>
        <v>99.98</v>
      </c>
    </row>
    <row r="233" spans="1:6" x14ac:dyDescent="0.3">
      <c r="A233">
        <v>51013476</v>
      </c>
      <c r="B233">
        <v>100</v>
      </c>
      <c r="C233">
        <v>99.9</v>
      </c>
      <c r="D233">
        <v>100</v>
      </c>
      <c r="E233">
        <v>100</v>
      </c>
      <c r="F233">
        <f t="shared" si="3"/>
        <v>99.98</v>
      </c>
    </row>
    <row r="234" spans="1:6" x14ac:dyDescent="0.3">
      <c r="A234">
        <v>51013956</v>
      </c>
      <c r="B234">
        <v>100</v>
      </c>
      <c r="C234">
        <v>99.9</v>
      </c>
      <c r="D234">
        <v>100</v>
      </c>
      <c r="E234">
        <v>100</v>
      </c>
      <c r="F234">
        <f t="shared" si="3"/>
        <v>99.98</v>
      </c>
    </row>
    <row r="235" spans="1:6" x14ac:dyDescent="0.3">
      <c r="A235">
        <v>51014375</v>
      </c>
      <c r="B235">
        <v>100</v>
      </c>
      <c r="C235">
        <v>99.9</v>
      </c>
      <c r="D235">
        <v>100</v>
      </c>
      <c r="E235">
        <v>100</v>
      </c>
      <c r="F235">
        <f t="shared" si="3"/>
        <v>99.98</v>
      </c>
    </row>
    <row r="236" spans="1:6" x14ac:dyDescent="0.3">
      <c r="A236">
        <v>51014693</v>
      </c>
      <c r="B236">
        <v>100</v>
      </c>
      <c r="C236">
        <v>99.9</v>
      </c>
      <c r="D236">
        <v>100</v>
      </c>
      <c r="E236">
        <v>100</v>
      </c>
      <c r="F236">
        <f t="shared" si="3"/>
        <v>99.98</v>
      </c>
    </row>
    <row r="237" spans="1:6" x14ac:dyDescent="0.3">
      <c r="A237">
        <v>51015126</v>
      </c>
      <c r="B237">
        <v>100</v>
      </c>
      <c r="C237">
        <v>99.9</v>
      </c>
      <c r="D237">
        <v>100</v>
      </c>
      <c r="E237">
        <v>100</v>
      </c>
      <c r="F237">
        <f t="shared" si="3"/>
        <v>99.98</v>
      </c>
    </row>
    <row r="238" spans="1:6" x14ac:dyDescent="0.3">
      <c r="A238">
        <v>51015835</v>
      </c>
      <c r="B238">
        <v>100</v>
      </c>
      <c r="C238">
        <v>99.9</v>
      </c>
      <c r="D238">
        <v>100</v>
      </c>
      <c r="E238">
        <v>100</v>
      </c>
      <c r="F238">
        <f t="shared" si="3"/>
        <v>99.98</v>
      </c>
    </row>
    <row r="239" spans="1:6" x14ac:dyDescent="0.3">
      <c r="A239">
        <v>51016505</v>
      </c>
      <c r="B239">
        <v>100</v>
      </c>
      <c r="C239">
        <v>99.9</v>
      </c>
      <c r="D239">
        <v>100</v>
      </c>
      <c r="E239">
        <v>100</v>
      </c>
      <c r="F239">
        <f t="shared" si="3"/>
        <v>99.98</v>
      </c>
    </row>
    <row r="240" spans="1:6" x14ac:dyDescent="0.3">
      <c r="A240">
        <v>51016807</v>
      </c>
      <c r="B240">
        <v>100</v>
      </c>
      <c r="C240">
        <v>99.9</v>
      </c>
      <c r="D240">
        <v>100</v>
      </c>
      <c r="E240">
        <v>100</v>
      </c>
      <c r="F240">
        <f t="shared" si="3"/>
        <v>99.98</v>
      </c>
    </row>
    <row r="241" spans="1:6" x14ac:dyDescent="0.3">
      <c r="A241">
        <v>51017056</v>
      </c>
      <c r="B241">
        <v>100</v>
      </c>
      <c r="C241">
        <v>99.9</v>
      </c>
      <c r="D241">
        <v>100</v>
      </c>
      <c r="E241">
        <v>100</v>
      </c>
      <c r="F241">
        <f t="shared" si="3"/>
        <v>99.98</v>
      </c>
    </row>
    <row r="242" spans="1:6" x14ac:dyDescent="0.3">
      <c r="A242">
        <v>51017145</v>
      </c>
      <c r="B242">
        <v>100</v>
      </c>
      <c r="C242">
        <v>99.9</v>
      </c>
      <c r="D242">
        <v>100</v>
      </c>
      <c r="E242">
        <v>100</v>
      </c>
      <c r="F242">
        <f t="shared" si="3"/>
        <v>99.98</v>
      </c>
    </row>
    <row r="243" spans="1:6" x14ac:dyDescent="0.3">
      <c r="A243">
        <v>51017552</v>
      </c>
      <c r="B243">
        <v>100</v>
      </c>
      <c r="C243">
        <v>99.9</v>
      </c>
      <c r="D243">
        <v>100</v>
      </c>
      <c r="E243">
        <v>100</v>
      </c>
      <c r="F243">
        <f t="shared" si="3"/>
        <v>99.98</v>
      </c>
    </row>
    <row r="244" spans="1:6" x14ac:dyDescent="0.3">
      <c r="A244">
        <v>51017587</v>
      </c>
      <c r="B244">
        <v>100</v>
      </c>
      <c r="C244">
        <v>99.9</v>
      </c>
      <c r="D244">
        <v>100</v>
      </c>
      <c r="E244">
        <v>100</v>
      </c>
      <c r="F244">
        <f t="shared" si="3"/>
        <v>99.98</v>
      </c>
    </row>
    <row r="245" spans="1:6" x14ac:dyDescent="0.3">
      <c r="A245">
        <v>51017714</v>
      </c>
      <c r="B245">
        <v>100</v>
      </c>
      <c r="C245">
        <v>99.9</v>
      </c>
      <c r="D245">
        <v>100</v>
      </c>
      <c r="E245">
        <v>100</v>
      </c>
      <c r="F245">
        <f t="shared" si="3"/>
        <v>99.98</v>
      </c>
    </row>
    <row r="246" spans="1:6" x14ac:dyDescent="0.3">
      <c r="A246">
        <v>51018044</v>
      </c>
      <c r="B246">
        <v>100</v>
      </c>
      <c r="C246">
        <v>99.9</v>
      </c>
      <c r="D246">
        <v>100</v>
      </c>
      <c r="E246">
        <v>100</v>
      </c>
      <c r="F246">
        <f t="shared" si="3"/>
        <v>99.98</v>
      </c>
    </row>
    <row r="247" spans="1:6" x14ac:dyDescent="0.3">
      <c r="A247">
        <v>51018257</v>
      </c>
      <c r="B247">
        <v>100</v>
      </c>
      <c r="C247">
        <v>99.9</v>
      </c>
      <c r="D247">
        <v>100</v>
      </c>
      <c r="E247">
        <v>100</v>
      </c>
      <c r="F247">
        <f t="shared" si="3"/>
        <v>99.98</v>
      </c>
    </row>
    <row r="248" spans="1:6" x14ac:dyDescent="0.3">
      <c r="A248">
        <v>51018958</v>
      </c>
      <c r="B248">
        <v>100</v>
      </c>
      <c r="C248">
        <v>99.9</v>
      </c>
      <c r="D248">
        <v>100</v>
      </c>
      <c r="E248">
        <v>100</v>
      </c>
      <c r="F248">
        <f t="shared" si="3"/>
        <v>99.98</v>
      </c>
    </row>
    <row r="249" spans="1:6" x14ac:dyDescent="0.3">
      <c r="A249">
        <v>51019008</v>
      </c>
      <c r="B249">
        <v>100</v>
      </c>
      <c r="C249">
        <v>99.9</v>
      </c>
      <c r="D249">
        <v>100</v>
      </c>
      <c r="E249">
        <v>100</v>
      </c>
      <c r="F249">
        <f t="shared" si="3"/>
        <v>99.98</v>
      </c>
    </row>
    <row r="250" spans="1:6" x14ac:dyDescent="0.3">
      <c r="A250">
        <v>51019202</v>
      </c>
      <c r="B250">
        <v>100</v>
      </c>
      <c r="C250">
        <v>99.9</v>
      </c>
      <c r="D250">
        <v>100</v>
      </c>
      <c r="E250">
        <v>100</v>
      </c>
      <c r="F250">
        <f t="shared" si="3"/>
        <v>99.98</v>
      </c>
    </row>
    <row r="251" spans="1:6" x14ac:dyDescent="0.3">
      <c r="A251">
        <v>51019253</v>
      </c>
      <c r="B251">
        <v>100</v>
      </c>
      <c r="C251">
        <v>99.9</v>
      </c>
      <c r="D251">
        <v>100</v>
      </c>
      <c r="E251">
        <v>100</v>
      </c>
      <c r="F251">
        <f t="shared" si="3"/>
        <v>99.98</v>
      </c>
    </row>
    <row r="252" spans="1:6" x14ac:dyDescent="0.3">
      <c r="A252">
        <v>51019342</v>
      </c>
      <c r="B252">
        <v>100</v>
      </c>
      <c r="C252">
        <v>99.9</v>
      </c>
      <c r="D252">
        <v>99</v>
      </c>
      <c r="E252">
        <v>100</v>
      </c>
      <c r="F252">
        <f t="shared" si="3"/>
        <v>99.68</v>
      </c>
    </row>
    <row r="253" spans="1:6" x14ac:dyDescent="0.3">
      <c r="A253">
        <v>51019423</v>
      </c>
      <c r="B253">
        <v>100</v>
      </c>
      <c r="C253">
        <v>99.9</v>
      </c>
      <c r="D253">
        <v>100</v>
      </c>
      <c r="E253">
        <v>100</v>
      </c>
      <c r="F253">
        <f t="shared" si="3"/>
        <v>99.98</v>
      </c>
    </row>
    <row r="254" spans="1:6" x14ac:dyDescent="0.3">
      <c r="A254">
        <v>51020171</v>
      </c>
      <c r="B254">
        <v>100</v>
      </c>
      <c r="C254">
        <v>99.9</v>
      </c>
      <c r="D254">
        <v>100</v>
      </c>
      <c r="E254">
        <v>100</v>
      </c>
      <c r="F254">
        <f t="shared" si="3"/>
        <v>99.98</v>
      </c>
    </row>
    <row r="255" spans="1:6" x14ac:dyDescent="0.3">
      <c r="A255">
        <v>51020600</v>
      </c>
      <c r="B255">
        <v>100</v>
      </c>
      <c r="C255">
        <v>99.9</v>
      </c>
      <c r="D255">
        <v>100</v>
      </c>
      <c r="E255">
        <v>100</v>
      </c>
      <c r="F255">
        <f t="shared" si="3"/>
        <v>99.98</v>
      </c>
    </row>
    <row r="256" spans="1:6" x14ac:dyDescent="0.3">
      <c r="A256">
        <v>51020707</v>
      </c>
      <c r="B256">
        <v>100</v>
      </c>
      <c r="C256">
        <v>99.9</v>
      </c>
      <c r="D256">
        <v>100</v>
      </c>
      <c r="E256">
        <v>100</v>
      </c>
      <c r="F256">
        <f t="shared" si="3"/>
        <v>99.98</v>
      </c>
    </row>
    <row r="257" spans="1:6" x14ac:dyDescent="0.3">
      <c r="A257">
        <v>51021622</v>
      </c>
      <c r="B257">
        <v>100</v>
      </c>
      <c r="C257">
        <v>99.9</v>
      </c>
      <c r="D257">
        <v>100</v>
      </c>
      <c r="E257">
        <v>100</v>
      </c>
      <c r="F257">
        <f t="shared" si="3"/>
        <v>99.98</v>
      </c>
    </row>
    <row r="258" spans="1:6" x14ac:dyDescent="0.3">
      <c r="A258">
        <v>51021665</v>
      </c>
      <c r="B258">
        <v>100</v>
      </c>
      <c r="C258">
        <v>99.9</v>
      </c>
      <c r="D258">
        <v>100</v>
      </c>
      <c r="E258">
        <v>100</v>
      </c>
      <c r="F258">
        <f t="shared" si="3"/>
        <v>99.98</v>
      </c>
    </row>
    <row r="259" spans="1:6" x14ac:dyDescent="0.3">
      <c r="A259">
        <v>51022424</v>
      </c>
      <c r="B259">
        <v>100</v>
      </c>
      <c r="C259">
        <v>99.9</v>
      </c>
      <c r="D259">
        <v>100</v>
      </c>
      <c r="E259">
        <v>100</v>
      </c>
      <c r="F259">
        <f t="shared" si="3"/>
        <v>99.98</v>
      </c>
    </row>
    <row r="260" spans="1:6" x14ac:dyDescent="0.3">
      <c r="A260">
        <v>51022556</v>
      </c>
      <c r="B260">
        <v>100</v>
      </c>
      <c r="C260">
        <v>99.9</v>
      </c>
      <c r="D260">
        <v>100</v>
      </c>
      <c r="E260">
        <v>100</v>
      </c>
      <c r="F260">
        <f t="shared" ref="F260:F314" si="4">ROUND(B260*0.2 + C260*0.2 + D260*0.3 + E260*0.3, 2)</f>
        <v>99.98</v>
      </c>
    </row>
    <row r="261" spans="1:6" x14ac:dyDescent="0.3">
      <c r="A261">
        <v>51022718</v>
      </c>
      <c r="B261">
        <v>100</v>
      </c>
      <c r="C261">
        <v>99.9</v>
      </c>
      <c r="D261">
        <v>100</v>
      </c>
      <c r="E261">
        <v>100</v>
      </c>
      <c r="F261">
        <f t="shared" si="4"/>
        <v>99.98</v>
      </c>
    </row>
    <row r="262" spans="1:6" x14ac:dyDescent="0.3">
      <c r="A262">
        <v>51022998</v>
      </c>
      <c r="B262">
        <v>100</v>
      </c>
      <c r="C262">
        <v>99.4</v>
      </c>
      <c r="D262">
        <v>100</v>
      </c>
      <c r="E262">
        <v>100</v>
      </c>
      <c r="F262">
        <f t="shared" si="4"/>
        <v>99.88</v>
      </c>
    </row>
    <row r="263" spans="1:6" x14ac:dyDescent="0.3">
      <c r="A263">
        <v>51023331</v>
      </c>
      <c r="B263">
        <v>100</v>
      </c>
      <c r="C263">
        <v>99.9</v>
      </c>
      <c r="D263">
        <v>100</v>
      </c>
      <c r="E263">
        <v>100</v>
      </c>
      <c r="F263">
        <f t="shared" si="4"/>
        <v>99.98</v>
      </c>
    </row>
    <row r="264" spans="1:6" x14ac:dyDescent="0.3">
      <c r="A264">
        <v>51024109</v>
      </c>
      <c r="B264">
        <v>100</v>
      </c>
      <c r="C264">
        <v>99.9</v>
      </c>
      <c r="D264">
        <v>100</v>
      </c>
      <c r="E264">
        <v>100</v>
      </c>
      <c r="F264">
        <f t="shared" si="4"/>
        <v>99.98</v>
      </c>
    </row>
    <row r="265" spans="1:6" x14ac:dyDescent="0.3">
      <c r="A265">
        <v>51024419</v>
      </c>
      <c r="B265">
        <v>100</v>
      </c>
      <c r="C265">
        <v>99.9</v>
      </c>
      <c r="D265">
        <v>100</v>
      </c>
      <c r="E265">
        <v>100</v>
      </c>
      <c r="F265">
        <f t="shared" si="4"/>
        <v>99.98</v>
      </c>
    </row>
    <row r="266" spans="1:6" x14ac:dyDescent="0.3">
      <c r="A266">
        <v>51024818</v>
      </c>
      <c r="B266">
        <v>100</v>
      </c>
      <c r="C266">
        <v>99.9</v>
      </c>
      <c r="D266">
        <v>100</v>
      </c>
      <c r="E266">
        <v>100</v>
      </c>
      <c r="F266">
        <f t="shared" si="4"/>
        <v>99.98</v>
      </c>
    </row>
    <row r="267" spans="1:6" x14ac:dyDescent="0.3">
      <c r="A267">
        <v>51025245</v>
      </c>
      <c r="B267">
        <v>100</v>
      </c>
      <c r="C267">
        <v>99.9</v>
      </c>
      <c r="D267">
        <v>100</v>
      </c>
      <c r="E267">
        <v>100</v>
      </c>
      <c r="F267">
        <f t="shared" si="4"/>
        <v>99.98</v>
      </c>
    </row>
    <row r="268" spans="1:6" x14ac:dyDescent="0.3">
      <c r="A268">
        <v>51025971</v>
      </c>
      <c r="B268">
        <v>100</v>
      </c>
      <c r="C268">
        <v>99.9</v>
      </c>
      <c r="D268">
        <v>100</v>
      </c>
      <c r="E268">
        <v>100</v>
      </c>
      <c r="F268">
        <f t="shared" si="4"/>
        <v>99.98</v>
      </c>
    </row>
    <row r="269" spans="1:6" x14ac:dyDescent="0.3">
      <c r="A269">
        <v>51026217</v>
      </c>
      <c r="B269">
        <v>100</v>
      </c>
      <c r="C269">
        <v>99.9</v>
      </c>
      <c r="D269">
        <v>100</v>
      </c>
      <c r="E269">
        <v>100</v>
      </c>
      <c r="F269">
        <f t="shared" si="4"/>
        <v>99.98</v>
      </c>
    </row>
    <row r="270" spans="1:6" x14ac:dyDescent="0.3">
      <c r="A270">
        <v>51027108</v>
      </c>
      <c r="B270">
        <v>100</v>
      </c>
      <c r="C270">
        <v>99.9</v>
      </c>
      <c r="D270">
        <v>100</v>
      </c>
      <c r="E270">
        <v>100</v>
      </c>
      <c r="F270">
        <f t="shared" si="4"/>
        <v>99.98</v>
      </c>
    </row>
    <row r="271" spans="1:6" x14ac:dyDescent="0.3">
      <c r="A271">
        <v>51027116</v>
      </c>
      <c r="B271">
        <v>100</v>
      </c>
      <c r="C271">
        <v>99.9</v>
      </c>
      <c r="D271">
        <v>100</v>
      </c>
      <c r="E271">
        <v>100</v>
      </c>
      <c r="F271">
        <f t="shared" si="4"/>
        <v>99.98</v>
      </c>
    </row>
    <row r="272" spans="1:6" x14ac:dyDescent="0.3">
      <c r="A272">
        <v>51030982</v>
      </c>
      <c r="B272">
        <v>100</v>
      </c>
      <c r="C272">
        <v>99.9</v>
      </c>
      <c r="D272">
        <v>100</v>
      </c>
      <c r="E272">
        <v>100</v>
      </c>
      <c r="F272">
        <f t="shared" si="4"/>
        <v>99.98</v>
      </c>
    </row>
    <row r="273" spans="1:6" x14ac:dyDescent="0.3">
      <c r="A273">
        <v>51032659</v>
      </c>
      <c r="B273">
        <v>100</v>
      </c>
      <c r="C273">
        <v>99.9</v>
      </c>
      <c r="D273">
        <v>100</v>
      </c>
      <c r="E273">
        <v>100</v>
      </c>
      <c r="F273">
        <f t="shared" si="4"/>
        <v>99.98</v>
      </c>
    </row>
    <row r="274" spans="1:6" x14ac:dyDescent="0.3">
      <c r="A274">
        <v>51032713</v>
      </c>
      <c r="B274">
        <v>100</v>
      </c>
      <c r="C274">
        <v>99.9</v>
      </c>
      <c r="D274">
        <v>100</v>
      </c>
      <c r="E274">
        <v>100</v>
      </c>
      <c r="F274">
        <f t="shared" si="4"/>
        <v>99.98</v>
      </c>
    </row>
    <row r="275" spans="1:6" x14ac:dyDescent="0.3">
      <c r="A275">
        <v>51033205</v>
      </c>
      <c r="B275">
        <v>100</v>
      </c>
      <c r="C275">
        <v>99.9</v>
      </c>
      <c r="D275">
        <v>100</v>
      </c>
      <c r="E275">
        <v>100</v>
      </c>
      <c r="F275">
        <f t="shared" si="4"/>
        <v>99.98</v>
      </c>
    </row>
    <row r="276" spans="1:6" x14ac:dyDescent="0.3">
      <c r="A276">
        <v>51033418</v>
      </c>
      <c r="B276">
        <v>100</v>
      </c>
      <c r="C276">
        <v>99.9</v>
      </c>
      <c r="D276">
        <v>100</v>
      </c>
      <c r="E276">
        <v>100</v>
      </c>
      <c r="F276">
        <f t="shared" si="4"/>
        <v>99.98</v>
      </c>
    </row>
    <row r="277" spans="1:6" x14ac:dyDescent="0.3">
      <c r="A277">
        <v>51033485</v>
      </c>
      <c r="B277">
        <v>100</v>
      </c>
      <c r="C277">
        <v>99.9</v>
      </c>
      <c r="D277">
        <v>100</v>
      </c>
      <c r="E277">
        <v>100</v>
      </c>
      <c r="F277">
        <f t="shared" si="4"/>
        <v>99.98</v>
      </c>
    </row>
    <row r="278" spans="1:6" x14ac:dyDescent="0.3">
      <c r="A278">
        <v>51034261</v>
      </c>
      <c r="B278">
        <v>100</v>
      </c>
      <c r="C278">
        <v>99.9</v>
      </c>
      <c r="D278">
        <v>100</v>
      </c>
      <c r="E278">
        <v>100</v>
      </c>
      <c r="F278">
        <f t="shared" si="4"/>
        <v>99.98</v>
      </c>
    </row>
    <row r="279" spans="1:6" x14ac:dyDescent="0.3">
      <c r="A279">
        <v>51036077</v>
      </c>
      <c r="B279">
        <v>100</v>
      </c>
      <c r="C279">
        <v>99.9</v>
      </c>
      <c r="D279">
        <v>100</v>
      </c>
      <c r="E279">
        <v>100</v>
      </c>
      <c r="F279">
        <f t="shared" si="4"/>
        <v>99.98</v>
      </c>
    </row>
    <row r="280" spans="1:6" x14ac:dyDescent="0.3">
      <c r="A280">
        <v>51038401</v>
      </c>
      <c r="B280">
        <v>100</v>
      </c>
      <c r="C280">
        <v>99.9</v>
      </c>
      <c r="D280">
        <v>100</v>
      </c>
      <c r="E280">
        <v>100</v>
      </c>
      <c r="F280">
        <f t="shared" si="4"/>
        <v>99.98</v>
      </c>
    </row>
    <row r="281" spans="1:6" x14ac:dyDescent="0.3">
      <c r="A281">
        <v>51038754</v>
      </c>
      <c r="B281">
        <v>100</v>
      </c>
      <c r="C281">
        <v>99.9</v>
      </c>
      <c r="D281">
        <v>100</v>
      </c>
      <c r="E281">
        <v>100</v>
      </c>
      <c r="F281">
        <f t="shared" si="4"/>
        <v>99.98</v>
      </c>
    </row>
    <row r="282" spans="1:6" x14ac:dyDescent="0.3">
      <c r="A282">
        <v>51038762</v>
      </c>
      <c r="B282">
        <v>100</v>
      </c>
      <c r="C282">
        <v>99.9</v>
      </c>
      <c r="D282">
        <v>100</v>
      </c>
      <c r="E282">
        <v>100</v>
      </c>
      <c r="F282">
        <f t="shared" si="4"/>
        <v>99.98</v>
      </c>
    </row>
    <row r="283" spans="1:6" x14ac:dyDescent="0.3">
      <c r="A283">
        <v>51038894</v>
      </c>
      <c r="B283">
        <v>100</v>
      </c>
      <c r="C283">
        <v>99.9</v>
      </c>
      <c r="D283">
        <v>100</v>
      </c>
      <c r="E283">
        <v>100</v>
      </c>
      <c r="F283">
        <f t="shared" si="4"/>
        <v>99.98</v>
      </c>
    </row>
    <row r="284" spans="1:6" x14ac:dyDescent="0.3">
      <c r="A284">
        <v>51038991</v>
      </c>
      <c r="B284">
        <v>100</v>
      </c>
      <c r="C284">
        <v>99.9</v>
      </c>
      <c r="D284">
        <v>100</v>
      </c>
      <c r="E284">
        <v>100</v>
      </c>
      <c r="F284">
        <f t="shared" si="4"/>
        <v>99.98</v>
      </c>
    </row>
    <row r="285" spans="1:6" x14ac:dyDescent="0.3">
      <c r="A285">
        <v>51040848</v>
      </c>
      <c r="B285">
        <v>100</v>
      </c>
      <c r="C285">
        <v>99.9</v>
      </c>
      <c r="D285">
        <v>100</v>
      </c>
      <c r="E285">
        <v>100</v>
      </c>
      <c r="F285">
        <f t="shared" si="4"/>
        <v>99.98</v>
      </c>
    </row>
    <row r="286" spans="1:6" x14ac:dyDescent="0.3">
      <c r="A286">
        <v>51041712</v>
      </c>
      <c r="B286">
        <v>100</v>
      </c>
      <c r="C286">
        <v>99.9</v>
      </c>
      <c r="D286">
        <v>100</v>
      </c>
      <c r="E286">
        <v>100</v>
      </c>
      <c r="F286">
        <f t="shared" si="4"/>
        <v>99.98</v>
      </c>
    </row>
    <row r="287" spans="1:6" x14ac:dyDescent="0.3">
      <c r="A287">
        <v>51041887</v>
      </c>
      <c r="B287">
        <v>100</v>
      </c>
      <c r="C287">
        <v>99.9</v>
      </c>
      <c r="D287">
        <v>100</v>
      </c>
      <c r="E287">
        <v>100</v>
      </c>
      <c r="F287">
        <f t="shared" si="4"/>
        <v>99.98</v>
      </c>
    </row>
    <row r="288" spans="1:6" x14ac:dyDescent="0.3">
      <c r="A288">
        <v>51042352</v>
      </c>
      <c r="B288">
        <v>100</v>
      </c>
      <c r="C288">
        <v>99.9</v>
      </c>
      <c r="D288">
        <v>100</v>
      </c>
      <c r="E288">
        <v>100</v>
      </c>
      <c r="F288">
        <f t="shared" si="4"/>
        <v>99.98</v>
      </c>
    </row>
    <row r="289" spans="1:6" x14ac:dyDescent="0.3">
      <c r="A289">
        <v>51042506</v>
      </c>
      <c r="B289">
        <v>100</v>
      </c>
      <c r="C289">
        <v>99.9</v>
      </c>
      <c r="D289">
        <v>100</v>
      </c>
      <c r="E289">
        <v>100</v>
      </c>
      <c r="F289">
        <f t="shared" si="4"/>
        <v>99.98</v>
      </c>
    </row>
    <row r="290" spans="1:6" x14ac:dyDescent="0.3">
      <c r="A290">
        <v>51042956</v>
      </c>
      <c r="B290">
        <v>100</v>
      </c>
      <c r="C290">
        <v>99.9</v>
      </c>
      <c r="D290">
        <v>100</v>
      </c>
      <c r="E290">
        <v>100</v>
      </c>
      <c r="F290">
        <f t="shared" si="4"/>
        <v>99.98</v>
      </c>
    </row>
    <row r="291" spans="1:6" x14ac:dyDescent="0.3">
      <c r="A291">
        <v>51042999</v>
      </c>
      <c r="B291">
        <v>100</v>
      </c>
      <c r="C291">
        <v>99.9</v>
      </c>
      <c r="D291">
        <v>100</v>
      </c>
      <c r="E291">
        <v>100</v>
      </c>
      <c r="F291">
        <f t="shared" si="4"/>
        <v>99.98</v>
      </c>
    </row>
    <row r="292" spans="1:6" x14ac:dyDescent="0.3">
      <c r="A292">
        <v>51043481</v>
      </c>
      <c r="B292">
        <v>100</v>
      </c>
      <c r="C292">
        <v>99.9</v>
      </c>
      <c r="D292">
        <v>100</v>
      </c>
      <c r="E292">
        <v>100</v>
      </c>
      <c r="F292">
        <f t="shared" si="4"/>
        <v>99.98</v>
      </c>
    </row>
    <row r="293" spans="1:6" x14ac:dyDescent="0.3">
      <c r="A293">
        <v>51043561</v>
      </c>
      <c r="B293">
        <v>100</v>
      </c>
      <c r="C293">
        <v>99.9</v>
      </c>
      <c r="D293">
        <v>100</v>
      </c>
      <c r="E293">
        <v>100</v>
      </c>
      <c r="F293">
        <f t="shared" si="4"/>
        <v>99.98</v>
      </c>
    </row>
    <row r="294" spans="1:6" x14ac:dyDescent="0.3">
      <c r="A294">
        <v>51043847</v>
      </c>
      <c r="B294">
        <v>100</v>
      </c>
      <c r="C294">
        <v>99.9</v>
      </c>
      <c r="D294">
        <v>100</v>
      </c>
      <c r="E294">
        <v>100</v>
      </c>
      <c r="F294">
        <f t="shared" si="4"/>
        <v>99.98</v>
      </c>
    </row>
    <row r="295" spans="1:6" x14ac:dyDescent="0.3">
      <c r="A295">
        <v>51044410</v>
      </c>
      <c r="B295">
        <v>100</v>
      </c>
      <c r="C295">
        <v>99.9</v>
      </c>
      <c r="D295">
        <v>100</v>
      </c>
      <c r="E295">
        <v>100</v>
      </c>
      <c r="F295">
        <f t="shared" si="4"/>
        <v>99.98</v>
      </c>
    </row>
    <row r="296" spans="1:6" x14ac:dyDescent="0.3">
      <c r="A296">
        <v>51054831</v>
      </c>
      <c r="B296">
        <v>100</v>
      </c>
      <c r="C296">
        <v>99.9</v>
      </c>
      <c r="D296">
        <v>100</v>
      </c>
      <c r="E296">
        <v>100</v>
      </c>
      <c r="F296">
        <f t="shared" si="4"/>
        <v>99.98</v>
      </c>
    </row>
    <row r="297" spans="1:6" x14ac:dyDescent="0.3">
      <c r="A297">
        <v>51054920</v>
      </c>
      <c r="B297">
        <v>100</v>
      </c>
      <c r="C297">
        <v>99.9</v>
      </c>
      <c r="D297">
        <v>100</v>
      </c>
      <c r="E297">
        <v>100</v>
      </c>
      <c r="F297">
        <f t="shared" si="4"/>
        <v>99.98</v>
      </c>
    </row>
    <row r="298" spans="1:6" x14ac:dyDescent="0.3">
      <c r="A298">
        <v>51055179</v>
      </c>
      <c r="B298">
        <v>100</v>
      </c>
      <c r="C298">
        <v>99.9</v>
      </c>
      <c r="D298">
        <v>100</v>
      </c>
      <c r="E298">
        <v>100</v>
      </c>
      <c r="F298">
        <f t="shared" si="4"/>
        <v>99.98</v>
      </c>
    </row>
    <row r="299" spans="1:6" x14ac:dyDescent="0.3">
      <c r="A299">
        <v>51055331</v>
      </c>
      <c r="B299">
        <v>100</v>
      </c>
      <c r="C299">
        <v>99.9</v>
      </c>
      <c r="D299">
        <v>100</v>
      </c>
      <c r="E299">
        <v>100</v>
      </c>
      <c r="F299">
        <f t="shared" si="4"/>
        <v>99.98</v>
      </c>
    </row>
    <row r="300" spans="1:6" x14ac:dyDescent="0.3">
      <c r="A300">
        <v>51055578</v>
      </c>
      <c r="B300">
        <v>100</v>
      </c>
      <c r="C300">
        <v>99.9</v>
      </c>
      <c r="D300">
        <v>100</v>
      </c>
      <c r="E300">
        <v>100</v>
      </c>
      <c r="F300">
        <f t="shared" si="4"/>
        <v>99.98</v>
      </c>
    </row>
    <row r="301" spans="1:6" x14ac:dyDescent="0.3">
      <c r="A301">
        <v>51055756</v>
      </c>
      <c r="B301">
        <v>100</v>
      </c>
      <c r="C301">
        <v>99.9</v>
      </c>
      <c r="D301">
        <v>100</v>
      </c>
      <c r="E301">
        <v>100</v>
      </c>
      <c r="F301">
        <f t="shared" si="4"/>
        <v>99.98</v>
      </c>
    </row>
    <row r="302" spans="1:6" x14ac:dyDescent="0.3">
      <c r="A302">
        <v>51056027</v>
      </c>
      <c r="B302">
        <v>100</v>
      </c>
      <c r="C302">
        <v>99.9</v>
      </c>
      <c r="D302">
        <v>100</v>
      </c>
      <c r="E302">
        <v>100</v>
      </c>
      <c r="F302">
        <f t="shared" si="4"/>
        <v>99.98</v>
      </c>
    </row>
    <row r="303" spans="1:6" x14ac:dyDescent="0.3">
      <c r="A303">
        <v>51056159</v>
      </c>
      <c r="B303">
        <v>100</v>
      </c>
      <c r="C303">
        <v>99.9</v>
      </c>
      <c r="D303">
        <v>100</v>
      </c>
      <c r="E303">
        <v>100</v>
      </c>
      <c r="F303">
        <f t="shared" si="4"/>
        <v>99.98</v>
      </c>
    </row>
    <row r="304" spans="1:6" x14ac:dyDescent="0.3">
      <c r="A304">
        <v>51056175</v>
      </c>
      <c r="B304">
        <v>100</v>
      </c>
      <c r="C304">
        <v>99.9</v>
      </c>
      <c r="D304">
        <v>100</v>
      </c>
      <c r="E304">
        <v>100</v>
      </c>
      <c r="F304">
        <f t="shared" si="4"/>
        <v>99.98</v>
      </c>
    </row>
    <row r="305" spans="1:6" x14ac:dyDescent="0.3">
      <c r="A305">
        <v>51056299</v>
      </c>
      <c r="B305">
        <v>100</v>
      </c>
      <c r="C305">
        <v>99.9</v>
      </c>
      <c r="D305">
        <v>100</v>
      </c>
      <c r="E305">
        <v>100</v>
      </c>
      <c r="F305">
        <f t="shared" si="4"/>
        <v>99.98</v>
      </c>
    </row>
    <row r="306" spans="1:6" x14ac:dyDescent="0.3">
      <c r="A306">
        <v>51056337</v>
      </c>
      <c r="B306">
        <v>100</v>
      </c>
      <c r="C306">
        <v>99.9</v>
      </c>
      <c r="D306">
        <v>100</v>
      </c>
      <c r="E306">
        <v>100</v>
      </c>
      <c r="F306">
        <f t="shared" si="4"/>
        <v>99.98</v>
      </c>
    </row>
    <row r="307" spans="1:6" x14ac:dyDescent="0.3">
      <c r="A307">
        <v>51056353</v>
      </c>
      <c r="B307">
        <v>100</v>
      </c>
      <c r="C307">
        <v>99.9</v>
      </c>
      <c r="D307">
        <v>100</v>
      </c>
      <c r="E307">
        <v>100</v>
      </c>
      <c r="F307">
        <f t="shared" si="4"/>
        <v>99.98</v>
      </c>
    </row>
    <row r="308" spans="1:6" x14ac:dyDescent="0.3">
      <c r="A308">
        <v>51056850</v>
      </c>
      <c r="B308">
        <v>100</v>
      </c>
      <c r="C308">
        <v>99.9</v>
      </c>
      <c r="D308">
        <v>100</v>
      </c>
      <c r="E308">
        <v>100</v>
      </c>
      <c r="F308">
        <f t="shared" si="4"/>
        <v>99.98</v>
      </c>
    </row>
    <row r="309" spans="1:6" x14ac:dyDescent="0.3">
      <c r="A309">
        <v>51056990</v>
      </c>
      <c r="B309">
        <v>100</v>
      </c>
      <c r="C309">
        <v>99.9</v>
      </c>
      <c r="D309">
        <v>100</v>
      </c>
      <c r="E309">
        <v>100</v>
      </c>
      <c r="F309">
        <f t="shared" si="4"/>
        <v>99.98</v>
      </c>
    </row>
    <row r="310" spans="1:6" x14ac:dyDescent="0.3">
      <c r="A310">
        <v>51057074</v>
      </c>
      <c r="B310">
        <v>100</v>
      </c>
      <c r="C310">
        <v>99.9</v>
      </c>
      <c r="D310">
        <v>100</v>
      </c>
      <c r="E310">
        <v>100</v>
      </c>
      <c r="F310">
        <f t="shared" si="4"/>
        <v>99.98</v>
      </c>
    </row>
    <row r="311" spans="1:6" x14ac:dyDescent="0.3">
      <c r="A311">
        <v>51057121</v>
      </c>
      <c r="B311">
        <v>100</v>
      </c>
      <c r="C311">
        <v>99.9</v>
      </c>
      <c r="D311">
        <v>100</v>
      </c>
      <c r="E311">
        <v>100</v>
      </c>
      <c r="F311">
        <f t="shared" si="4"/>
        <v>99.98</v>
      </c>
    </row>
    <row r="312" spans="1:6" x14ac:dyDescent="0.3">
      <c r="A312">
        <v>51025458</v>
      </c>
      <c r="B312">
        <v>100</v>
      </c>
      <c r="C312">
        <v>99.9</v>
      </c>
      <c r="D312">
        <v>100</v>
      </c>
      <c r="E312">
        <v>100</v>
      </c>
      <c r="F312">
        <f t="shared" si="4"/>
        <v>99.98</v>
      </c>
    </row>
    <row r="313" spans="1:6" x14ac:dyDescent="0.3">
      <c r="A313">
        <v>51036247</v>
      </c>
      <c r="B313">
        <v>100</v>
      </c>
      <c r="C313">
        <v>100</v>
      </c>
      <c r="D313">
        <v>100</v>
      </c>
      <c r="E313">
        <v>100</v>
      </c>
      <c r="F313">
        <f t="shared" si="4"/>
        <v>100</v>
      </c>
    </row>
    <row r="314" spans="1:6" x14ac:dyDescent="0.3">
      <c r="A314">
        <v>51056965</v>
      </c>
      <c r="B314">
        <v>100</v>
      </c>
      <c r="C314">
        <v>100</v>
      </c>
      <c r="D314">
        <v>100</v>
      </c>
      <c r="E314">
        <v>100</v>
      </c>
      <c r="F314">
        <f t="shared" si="4"/>
        <v>100</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5">
    <tabColor rgb="FFFFC000"/>
  </sheetPr>
  <dimension ref="A1:B993"/>
  <sheetViews>
    <sheetView workbookViewId="0"/>
  </sheetViews>
  <sheetFormatPr baseColWidth="10" defaultColWidth="8.88671875" defaultRowHeight="14.4" x14ac:dyDescent="0.3"/>
  <cols>
    <col min="1" max="1" width="9" customWidth="1"/>
    <col min="2" max="2" width="21.109375" customWidth="1"/>
  </cols>
  <sheetData>
    <row r="1" spans="1:2" x14ac:dyDescent="0.3">
      <c r="A1" t="s">
        <v>21</v>
      </c>
      <c r="B1" t="s">
        <v>22</v>
      </c>
    </row>
    <row r="2" spans="1:2" x14ac:dyDescent="0.3">
      <c r="A2">
        <v>51005902</v>
      </c>
      <c r="B2" t="s">
        <v>23</v>
      </c>
    </row>
    <row r="3" spans="1:2" x14ac:dyDescent="0.3">
      <c r="A3">
        <v>51011163</v>
      </c>
      <c r="B3" t="s">
        <v>24</v>
      </c>
    </row>
    <row r="4" spans="1:2" x14ac:dyDescent="0.3">
      <c r="A4">
        <v>51031041</v>
      </c>
      <c r="B4" t="s">
        <v>25</v>
      </c>
    </row>
    <row r="5" spans="1:2" x14ac:dyDescent="0.3">
      <c r="A5">
        <v>51056141</v>
      </c>
      <c r="B5" t="s">
        <v>26</v>
      </c>
    </row>
    <row r="6" spans="1:2" x14ac:dyDescent="0.3">
      <c r="A6">
        <v>51005384</v>
      </c>
      <c r="B6" t="s">
        <v>27</v>
      </c>
    </row>
    <row r="7" spans="1:2" x14ac:dyDescent="0.3">
      <c r="A7">
        <v>51057121</v>
      </c>
      <c r="B7" t="s">
        <v>28</v>
      </c>
    </row>
    <row r="8" spans="1:2" x14ac:dyDescent="0.3">
      <c r="A8">
        <v>51011171</v>
      </c>
      <c r="B8" t="s">
        <v>23</v>
      </c>
    </row>
    <row r="9" spans="1:2" x14ac:dyDescent="0.3">
      <c r="A9">
        <v>51020995</v>
      </c>
      <c r="B9" t="s">
        <v>27</v>
      </c>
    </row>
    <row r="10" spans="1:2" x14ac:dyDescent="0.3">
      <c r="A10">
        <v>51022262</v>
      </c>
      <c r="B10" t="s">
        <v>26</v>
      </c>
    </row>
    <row r="11" spans="1:2" x14ac:dyDescent="0.3">
      <c r="A11">
        <v>51012470</v>
      </c>
      <c r="B11" t="s">
        <v>29</v>
      </c>
    </row>
    <row r="12" spans="1:2" x14ac:dyDescent="0.3">
      <c r="A12">
        <v>51010744</v>
      </c>
      <c r="B12" t="s">
        <v>29</v>
      </c>
    </row>
    <row r="13" spans="1:2" x14ac:dyDescent="0.3">
      <c r="A13">
        <v>51022629</v>
      </c>
      <c r="B13" t="s">
        <v>24</v>
      </c>
    </row>
    <row r="14" spans="1:2" x14ac:dyDescent="0.3">
      <c r="A14">
        <v>51024478</v>
      </c>
      <c r="B14" t="s">
        <v>27</v>
      </c>
    </row>
    <row r="15" spans="1:2" x14ac:dyDescent="0.3">
      <c r="A15">
        <v>51017714</v>
      </c>
      <c r="B15" t="s">
        <v>28</v>
      </c>
    </row>
    <row r="16" spans="1:2" x14ac:dyDescent="0.3">
      <c r="A16">
        <v>51021274</v>
      </c>
      <c r="B16" t="s">
        <v>29</v>
      </c>
    </row>
    <row r="17" spans="1:2" x14ac:dyDescent="0.3">
      <c r="A17">
        <v>51054831</v>
      </c>
      <c r="B17" t="s">
        <v>27</v>
      </c>
    </row>
    <row r="18" spans="1:2" x14ac:dyDescent="0.3">
      <c r="A18">
        <v>51036964</v>
      </c>
      <c r="B18" t="s">
        <v>30</v>
      </c>
    </row>
    <row r="19" spans="1:2" x14ac:dyDescent="0.3">
      <c r="A19">
        <v>51024028</v>
      </c>
      <c r="B19" t="s">
        <v>24</v>
      </c>
    </row>
    <row r="20" spans="1:2" x14ac:dyDescent="0.3">
      <c r="A20">
        <v>51015126</v>
      </c>
      <c r="B20" t="s">
        <v>31</v>
      </c>
    </row>
    <row r="21" spans="1:2" x14ac:dyDescent="0.3">
      <c r="A21">
        <v>51015681</v>
      </c>
      <c r="B21" t="s">
        <v>25</v>
      </c>
    </row>
    <row r="22" spans="1:2" x14ac:dyDescent="0.3">
      <c r="A22">
        <v>51032195</v>
      </c>
      <c r="B22" t="s">
        <v>31</v>
      </c>
    </row>
    <row r="23" spans="1:2" x14ac:dyDescent="0.3">
      <c r="A23">
        <v>51038941</v>
      </c>
      <c r="B23" t="s">
        <v>24</v>
      </c>
    </row>
    <row r="24" spans="1:2" x14ac:dyDescent="0.3">
      <c r="A24">
        <v>51052331</v>
      </c>
      <c r="B24" t="s">
        <v>30</v>
      </c>
    </row>
    <row r="25" spans="1:2" x14ac:dyDescent="0.3">
      <c r="A25">
        <v>51005554</v>
      </c>
      <c r="B25" t="s">
        <v>30</v>
      </c>
    </row>
    <row r="26" spans="1:2" x14ac:dyDescent="0.3">
      <c r="A26">
        <v>51023331</v>
      </c>
      <c r="B26" t="s">
        <v>24</v>
      </c>
    </row>
    <row r="27" spans="1:2" x14ac:dyDescent="0.3">
      <c r="A27">
        <v>51026497</v>
      </c>
      <c r="B27" t="s">
        <v>27</v>
      </c>
    </row>
    <row r="28" spans="1:2" x14ac:dyDescent="0.3">
      <c r="A28">
        <v>51024664</v>
      </c>
      <c r="B28" t="s">
        <v>31</v>
      </c>
    </row>
    <row r="29" spans="1:2" x14ac:dyDescent="0.3">
      <c r="A29">
        <v>51012674</v>
      </c>
      <c r="B29" t="s">
        <v>24</v>
      </c>
    </row>
    <row r="30" spans="1:2" x14ac:dyDescent="0.3">
      <c r="A30">
        <v>51039025</v>
      </c>
      <c r="B30" t="s">
        <v>24</v>
      </c>
    </row>
    <row r="31" spans="1:2" x14ac:dyDescent="0.3">
      <c r="A31">
        <v>51039181</v>
      </c>
      <c r="B31" t="s">
        <v>31</v>
      </c>
    </row>
    <row r="32" spans="1:2" x14ac:dyDescent="0.3">
      <c r="A32">
        <v>51018290</v>
      </c>
      <c r="B32" t="s">
        <v>28</v>
      </c>
    </row>
    <row r="33" spans="1:2" x14ac:dyDescent="0.3">
      <c r="A33">
        <v>51056353</v>
      </c>
      <c r="B33" t="s">
        <v>32</v>
      </c>
    </row>
    <row r="34" spans="1:2" x14ac:dyDescent="0.3">
      <c r="A34">
        <v>51015762</v>
      </c>
      <c r="B34" t="s">
        <v>31</v>
      </c>
    </row>
    <row r="35" spans="1:2" x14ac:dyDescent="0.3">
      <c r="A35">
        <v>51019008</v>
      </c>
      <c r="B35" t="s">
        <v>26</v>
      </c>
    </row>
    <row r="36" spans="1:2" x14ac:dyDescent="0.3">
      <c r="A36">
        <v>51009185</v>
      </c>
      <c r="B36" t="s">
        <v>29</v>
      </c>
    </row>
    <row r="37" spans="1:2" x14ac:dyDescent="0.3">
      <c r="A37">
        <v>51031997</v>
      </c>
      <c r="B37" t="s">
        <v>30</v>
      </c>
    </row>
    <row r="38" spans="1:2" x14ac:dyDescent="0.3">
      <c r="A38">
        <v>51057031</v>
      </c>
      <c r="B38" t="s">
        <v>23</v>
      </c>
    </row>
    <row r="39" spans="1:2" x14ac:dyDescent="0.3">
      <c r="A39">
        <v>51024460</v>
      </c>
      <c r="B39" t="s">
        <v>30</v>
      </c>
    </row>
    <row r="40" spans="1:2" x14ac:dyDescent="0.3">
      <c r="A40">
        <v>51043561</v>
      </c>
      <c r="B40" t="s">
        <v>30</v>
      </c>
    </row>
    <row r="41" spans="1:2" x14ac:dyDescent="0.3">
      <c r="A41">
        <v>51024818</v>
      </c>
      <c r="B41" t="s">
        <v>31</v>
      </c>
    </row>
    <row r="42" spans="1:2" x14ac:dyDescent="0.3">
      <c r="A42">
        <v>51056507</v>
      </c>
      <c r="B42" t="s">
        <v>23</v>
      </c>
    </row>
    <row r="43" spans="1:2" x14ac:dyDescent="0.3">
      <c r="A43">
        <v>51030290</v>
      </c>
      <c r="B43" t="s">
        <v>25</v>
      </c>
    </row>
    <row r="44" spans="1:2" x14ac:dyDescent="0.3">
      <c r="A44">
        <v>51043693</v>
      </c>
      <c r="B44" t="s">
        <v>23</v>
      </c>
    </row>
    <row r="45" spans="1:2" x14ac:dyDescent="0.3">
      <c r="A45">
        <v>51024885</v>
      </c>
      <c r="B45" t="s">
        <v>30</v>
      </c>
    </row>
    <row r="46" spans="1:2" x14ac:dyDescent="0.3">
      <c r="A46">
        <v>51023889</v>
      </c>
      <c r="B46" t="s">
        <v>24</v>
      </c>
    </row>
    <row r="47" spans="1:2" x14ac:dyDescent="0.3">
      <c r="A47">
        <v>51010523</v>
      </c>
      <c r="B47" t="s">
        <v>29</v>
      </c>
    </row>
    <row r="48" spans="1:2" x14ac:dyDescent="0.3">
      <c r="A48">
        <v>51017218</v>
      </c>
      <c r="B48" t="s">
        <v>32</v>
      </c>
    </row>
    <row r="49" spans="1:2" x14ac:dyDescent="0.3">
      <c r="A49">
        <v>51009941</v>
      </c>
      <c r="B49" t="s">
        <v>24</v>
      </c>
    </row>
    <row r="50" spans="1:2" x14ac:dyDescent="0.3">
      <c r="A50">
        <v>51055136</v>
      </c>
      <c r="B50" t="s">
        <v>28</v>
      </c>
    </row>
    <row r="51" spans="1:2" x14ac:dyDescent="0.3">
      <c r="A51">
        <v>51001532</v>
      </c>
      <c r="B51" t="s">
        <v>24</v>
      </c>
    </row>
    <row r="52" spans="1:2" x14ac:dyDescent="0.3">
      <c r="A52">
        <v>51012691</v>
      </c>
      <c r="B52" t="s">
        <v>24</v>
      </c>
    </row>
    <row r="53" spans="1:2" x14ac:dyDescent="0.3">
      <c r="A53">
        <v>51015835</v>
      </c>
      <c r="B53" t="s">
        <v>30</v>
      </c>
    </row>
    <row r="54" spans="1:2" x14ac:dyDescent="0.3">
      <c r="A54">
        <v>51021819</v>
      </c>
      <c r="B54" t="s">
        <v>32</v>
      </c>
    </row>
    <row r="55" spans="1:2" x14ac:dyDescent="0.3">
      <c r="A55">
        <v>51003063</v>
      </c>
      <c r="B55" t="s">
        <v>29</v>
      </c>
    </row>
    <row r="56" spans="1:2" x14ac:dyDescent="0.3">
      <c r="A56">
        <v>51018923</v>
      </c>
      <c r="B56" t="s">
        <v>33</v>
      </c>
    </row>
    <row r="57" spans="1:2" x14ac:dyDescent="0.3">
      <c r="A57">
        <v>51004035</v>
      </c>
      <c r="B57" t="s">
        <v>30</v>
      </c>
    </row>
    <row r="58" spans="1:2" x14ac:dyDescent="0.3">
      <c r="A58">
        <v>51021614</v>
      </c>
      <c r="B58" t="s">
        <v>31</v>
      </c>
    </row>
    <row r="59" spans="1:2" x14ac:dyDescent="0.3">
      <c r="A59">
        <v>51022343</v>
      </c>
      <c r="B59" t="s">
        <v>31</v>
      </c>
    </row>
    <row r="60" spans="1:2" x14ac:dyDescent="0.3">
      <c r="A60">
        <v>51030711</v>
      </c>
      <c r="B60" t="s">
        <v>27</v>
      </c>
    </row>
    <row r="61" spans="1:2" x14ac:dyDescent="0.3">
      <c r="A61">
        <v>51019130</v>
      </c>
      <c r="B61" t="s">
        <v>28</v>
      </c>
    </row>
    <row r="62" spans="1:2" x14ac:dyDescent="0.3">
      <c r="A62">
        <v>51000552</v>
      </c>
      <c r="B62" t="s">
        <v>31</v>
      </c>
    </row>
    <row r="63" spans="1:2" x14ac:dyDescent="0.3">
      <c r="A63">
        <v>51022718</v>
      </c>
      <c r="B63" t="s">
        <v>25</v>
      </c>
    </row>
    <row r="64" spans="1:2" x14ac:dyDescent="0.3">
      <c r="A64">
        <v>51022572</v>
      </c>
      <c r="B64" t="s">
        <v>24</v>
      </c>
    </row>
    <row r="65" spans="1:2" x14ac:dyDescent="0.3">
      <c r="A65">
        <v>51024036</v>
      </c>
      <c r="B65" t="s">
        <v>33</v>
      </c>
    </row>
    <row r="66" spans="1:2" x14ac:dyDescent="0.3">
      <c r="A66">
        <v>51056248</v>
      </c>
      <c r="B66" t="s">
        <v>26</v>
      </c>
    </row>
    <row r="67" spans="1:2" x14ac:dyDescent="0.3">
      <c r="A67">
        <v>51020961</v>
      </c>
      <c r="B67" t="s">
        <v>24</v>
      </c>
    </row>
    <row r="68" spans="1:2" x14ac:dyDescent="0.3">
      <c r="A68">
        <v>51024516</v>
      </c>
      <c r="B68" t="s">
        <v>27</v>
      </c>
    </row>
    <row r="69" spans="1:2" x14ac:dyDescent="0.3">
      <c r="A69">
        <v>51020707</v>
      </c>
      <c r="B69" t="s">
        <v>24</v>
      </c>
    </row>
    <row r="70" spans="1:2" x14ac:dyDescent="0.3">
      <c r="A70">
        <v>51056574</v>
      </c>
      <c r="B70" t="s">
        <v>30</v>
      </c>
    </row>
    <row r="71" spans="1:2" x14ac:dyDescent="0.3">
      <c r="A71">
        <v>51032497</v>
      </c>
      <c r="B71" t="s">
        <v>25</v>
      </c>
    </row>
    <row r="72" spans="1:2" x14ac:dyDescent="0.3">
      <c r="A72">
        <v>51017773</v>
      </c>
      <c r="B72" t="s">
        <v>29</v>
      </c>
    </row>
    <row r="73" spans="1:2" x14ac:dyDescent="0.3">
      <c r="A73">
        <v>51043260</v>
      </c>
      <c r="B73" t="s">
        <v>24</v>
      </c>
    </row>
    <row r="74" spans="1:2" x14ac:dyDescent="0.3">
      <c r="A74">
        <v>51033001</v>
      </c>
      <c r="B74" t="s">
        <v>28</v>
      </c>
    </row>
    <row r="75" spans="1:2" x14ac:dyDescent="0.3">
      <c r="A75">
        <v>51032705</v>
      </c>
      <c r="B75" t="s">
        <v>31</v>
      </c>
    </row>
    <row r="76" spans="1:2" x14ac:dyDescent="0.3">
      <c r="A76">
        <v>51019563</v>
      </c>
      <c r="B76" t="s">
        <v>24</v>
      </c>
    </row>
    <row r="77" spans="1:2" x14ac:dyDescent="0.3">
      <c r="A77">
        <v>51030826</v>
      </c>
      <c r="B77" t="s">
        <v>31</v>
      </c>
    </row>
    <row r="78" spans="1:2" x14ac:dyDescent="0.3">
      <c r="A78">
        <v>51043537</v>
      </c>
      <c r="B78" t="s">
        <v>29</v>
      </c>
    </row>
    <row r="79" spans="1:2" x14ac:dyDescent="0.3">
      <c r="A79">
        <v>51002105</v>
      </c>
      <c r="B79" t="s">
        <v>24</v>
      </c>
    </row>
    <row r="80" spans="1:2" x14ac:dyDescent="0.3">
      <c r="A80">
        <v>51056752</v>
      </c>
      <c r="B80" t="s">
        <v>32</v>
      </c>
    </row>
    <row r="81" spans="1:2" x14ac:dyDescent="0.3">
      <c r="A81">
        <v>51023412</v>
      </c>
      <c r="B81" t="s">
        <v>33</v>
      </c>
    </row>
    <row r="82" spans="1:2" x14ac:dyDescent="0.3">
      <c r="A82">
        <v>51018001</v>
      </c>
      <c r="B82" t="s">
        <v>24</v>
      </c>
    </row>
    <row r="83" spans="1:2" x14ac:dyDescent="0.3">
      <c r="A83">
        <v>51056329</v>
      </c>
      <c r="B83" t="s">
        <v>29</v>
      </c>
    </row>
    <row r="84" spans="1:2" x14ac:dyDescent="0.3">
      <c r="A84">
        <v>51011929</v>
      </c>
      <c r="B84" t="s">
        <v>24</v>
      </c>
    </row>
    <row r="85" spans="1:2" x14ac:dyDescent="0.3">
      <c r="A85">
        <v>51007514</v>
      </c>
      <c r="B85" t="s">
        <v>29</v>
      </c>
    </row>
    <row r="86" spans="1:2" x14ac:dyDescent="0.3">
      <c r="A86">
        <v>51029488</v>
      </c>
      <c r="B86" t="s">
        <v>23</v>
      </c>
    </row>
    <row r="87" spans="1:2" x14ac:dyDescent="0.3">
      <c r="A87">
        <v>51008685</v>
      </c>
      <c r="B87" t="s">
        <v>29</v>
      </c>
    </row>
    <row r="88" spans="1:2" x14ac:dyDescent="0.3">
      <c r="A88">
        <v>51002709</v>
      </c>
      <c r="B88" t="s">
        <v>32</v>
      </c>
    </row>
    <row r="89" spans="1:2" x14ac:dyDescent="0.3">
      <c r="A89">
        <v>51011597</v>
      </c>
      <c r="B89" t="s">
        <v>29</v>
      </c>
    </row>
    <row r="90" spans="1:2" x14ac:dyDescent="0.3">
      <c r="A90">
        <v>51020634</v>
      </c>
      <c r="B90" t="s">
        <v>32</v>
      </c>
    </row>
    <row r="91" spans="1:2" x14ac:dyDescent="0.3">
      <c r="A91">
        <v>51002296</v>
      </c>
      <c r="B91" t="s">
        <v>33</v>
      </c>
    </row>
    <row r="92" spans="1:2" x14ac:dyDescent="0.3">
      <c r="A92">
        <v>51013395</v>
      </c>
      <c r="B92" t="s">
        <v>25</v>
      </c>
    </row>
    <row r="93" spans="1:2" x14ac:dyDescent="0.3">
      <c r="A93">
        <v>51014138</v>
      </c>
      <c r="B93" t="s">
        <v>31</v>
      </c>
    </row>
    <row r="94" spans="1:2" x14ac:dyDescent="0.3">
      <c r="A94">
        <v>51041887</v>
      </c>
      <c r="B94" t="s">
        <v>32</v>
      </c>
    </row>
    <row r="95" spans="1:2" x14ac:dyDescent="0.3">
      <c r="A95">
        <v>51010051</v>
      </c>
      <c r="B95" t="s">
        <v>26</v>
      </c>
    </row>
    <row r="96" spans="1:2" x14ac:dyDescent="0.3">
      <c r="A96">
        <v>51010205</v>
      </c>
      <c r="B96" t="s">
        <v>26</v>
      </c>
    </row>
    <row r="97" spans="1:2" x14ac:dyDescent="0.3">
      <c r="A97">
        <v>51055551</v>
      </c>
      <c r="B97" t="s">
        <v>27</v>
      </c>
    </row>
    <row r="98" spans="1:2" x14ac:dyDescent="0.3">
      <c r="A98">
        <v>51055578</v>
      </c>
      <c r="B98" t="s">
        <v>28</v>
      </c>
    </row>
    <row r="99" spans="1:2" x14ac:dyDescent="0.3">
      <c r="A99">
        <v>51011007</v>
      </c>
      <c r="B99" t="s">
        <v>29</v>
      </c>
    </row>
    <row r="100" spans="1:2" x14ac:dyDescent="0.3">
      <c r="A100">
        <v>51032381</v>
      </c>
      <c r="B100" t="s">
        <v>25</v>
      </c>
    </row>
    <row r="101" spans="1:2" x14ac:dyDescent="0.3">
      <c r="A101">
        <v>51024559</v>
      </c>
      <c r="B101" t="s">
        <v>24</v>
      </c>
    </row>
    <row r="102" spans="1:2" x14ac:dyDescent="0.3">
      <c r="A102">
        <v>51029518</v>
      </c>
      <c r="B102" t="s">
        <v>27</v>
      </c>
    </row>
    <row r="103" spans="1:2" x14ac:dyDescent="0.3">
      <c r="A103">
        <v>51025245</v>
      </c>
      <c r="B103" t="s">
        <v>30</v>
      </c>
    </row>
    <row r="104" spans="1:2" x14ac:dyDescent="0.3">
      <c r="A104">
        <v>51013166</v>
      </c>
      <c r="B104" t="s">
        <v>32</v>
      </c>
    </row>
    <row r="105" spans="1:2" x14ac:dyDescent="0.3">
      <c r="A105">
        <v>51024010</v>
      </c>
      <c r="B105" t="s">
        <v>28</v>
      </c>
    </row>
    <row r="106" spans="1:2" x14ac:dyDescent="0.3">
      <c r="A106">
        <v>51055837</v>
      </c>
      <c r="B106" t="s">
        <v>32</v>
      </c>
    </row>
    <row r="107" spans="1:2" x14ac:dyDescent="0.3">
      <c r="A107">
        <v>51002024</v>
      </c>
      <c r="B107" t="s">
        <v>27</v>
      </c>
    </row>
    <row r="108" spans="1:2" x14ac:dyDescent="0.3">
      <c r="A108">
        <v>51042999</v>
      </c>
      <c r="B108" t="s">
        <v>23</v>
      </c>
    </row>
    <row r="109" spans="1:2" x14ac:dyDescent="0.3">
      <c r="A109">
        <v>51018214</v>
      </c>
      <c r="B109" t="s">
        <v>28</v>
      </c>
    </row>
    <row r="110" spans="1:2" x14ac:dyDescent="0.3">
      <c r="A110">
        <v>51056311</v>
      </c>
      <c r="B110" t="s">
        <v>29</v>
      </c>
    </row>
    <row r="111" spans="1:2" x14ac:dyDescent="0.3">
      <c r="A111">
        <v>51001419</v>
      </c>
      <c r="B111" t="s">
        <v>31</v>
      </c>
    </row>
    <row r="112" spans="1:2" x14ac:dyDescent="0.3">
      <c r="A112">
        <v>51016467</v>
      </c>
      <c r="B112" t="s">
        <v>26</v>
      </c>
    </row>
    <row r="113" spans="1:2" x14ac:dyDescent="0.3">
      <c r="A113">
        <v>51054873</v>
      </c>
      <c r="B113" t="s">
        <v>28</v>
      </c>
    </row>
    <row r="114" spans="1:2" x14ac:dyDescent="0.3">
      <c r="A114">
        <v>51033418</v>
      </c>
      <c r="B114" t="s">
        <v>23</v>
      </c>
    </row>
    <row r="115" spans="1:2" x14ac:dyDescent="0.3">
      <c r="A115">
        <v>51041712</v>
      </c>
      <c r="B115" t="s">
        <v>23</v>
      </c>
    </row>
    <row r="116" spans="1:2" x14ac:dyDescent="0.3">
      <c r="A116">
        <v>51016602</v>
      </c>
      <c r="B116" t="s">
        <v>32</v>
      </c>
    </row>
    <row r="117" spans="1:2" x14ac:dyDescent="0.3">
      <c r="A117">
        <v>51032390</v>
      </c>
      <c r="B117" t="s">
        <v>23</v>
      </c>
    </row>
    <row r="118" spans="1:2" x14ac:dyDescent="0.3">
      <c r="A118">
        <v>51056108</v>
      </c>
      <c r="B118" t="s">
        <v>32</v>
      </c>
    </row>
    <row r="119" spans="1:2" x14ac:dyDescent="0.3">
      <c r="A119">
        <v>51013913</v>
      </c>
      <c r="B119" t="s">
        <v>32</v>
      </c>
    </row>
    <row r="120" spans="1:2" x14ac:dyDescent="0.3">
      <c r="A120">
        <v>51021843</v>
      </c>
      <c r="B120" t="s">
        <v>23</v>
      </c>
    </row>
    <row r="121" spans="1:2" x14ac:dyDescent="0.3">
      <c r="A121">
        <v>51013875</v>
      </c>
      <c r="B121" t="s">
        <v>28</v>
      </c>
    </row>
    <row r="122" spans="1:2" x14ac:dyDescent="0.3">
      <c r="A122">
        <v>51033116</v>
      </c>
      <c r="B122" t="s">
        <v>24</v>
      </c>
    </row>
    <row r="123" spans="1:2" x14ac:dyDescent="0.3">
      <c r="A123">
        <v>51024281</v>
      </c>
      <c r="B123" t="s">
        <v>29</v>
      </c>
    </row>
    <row r="124" spans="1:2" x14ac:dyDescent="0.3">
      <c r="A124">
        <v>51007743</v>
      </c>
      <c r="B124" t="s">
        <v>23</v>
      </c>
    </row>
    <row r="125" spans="1:2" x14ac:dyDescent="0.3">
      <c r="A125">
        <v>51040881</v>
      </c>
      <c r="B125" t="s">
        <v>27</v>
      </c>
    </row>
    <row r="126" spans="1:2" x14ac:dyDescent="0.3">
      <c r="A126">
        <v>51030915</v>
      </c>
      <c r="B126" t="s">
        <v>32</v>
      </c>
    </row>
    <row r="127" spans="1:2" x14ac:dyDescent="0.3">
      <c r="A127">
        <v>51026071</v>
      </c>
      <c r="B127" t="s">
        <v>23</v>
      </c>
    </row>
    <row r="128" spans="1:2" x14ac:dyDescent="0.3">
      <c r="A128">
        <v>51012721</v>
      </c>
      <c r="B128" t="s">
        <v>33</v>
      </c>
    </row>
    <row r="129" spans="1:2" x14ac:dyDescent="0.3">
      <c r="A129">
        <v>51020600</v>
      </c>
      <c r="B129" t="s">
        <v>23</v>
      </c>
    </row>
    <row r="130" spans="1:2" x14ac:dyDescent="0.3">
      <c r="A130">
        <v>51031776</v>
      </c>
      <c r="B130" t="s">
        <v>31</v>
      </c>
    </row>
    <row r="131" spans="1:2" x14ac:dyDescent="0.3">
      <c r="A131">
        <v>51031857</v>
      </c>
      <c r="B131" t="s">
        <v>25</v>
      </c>
    </row>
    <row r="132" spans="1:2" x14ac:dyDescent="0.3">
      <c r="A132">
        <v>51005392</v>
      </c>
      <c r="B132" t="s">
        <v>24</v>
      </c>
    </row>
    <row r="133" spans="1:2" x14ac:dyDescent="0.3">
      <c r="A133">
        <v>51055039</v>
      </c>
      <c r="B133" t="s">
        <v>30</v>
      </c>
    </row>
    <row r="134" spans="1:2" x14ac:dyDescent="0.3">
      <c r="A134">
        <v>51020171</v>
      </c>
      <c r="B134" t="s">
        <v>29</v>
      </c>
    </row>
    <row r="135" spans="1:2" x14ac:dyDescent="0.3">
      <c r="A135">
        <v>51012852</v>
      </c>
      <c r="B135" t="s">
        <v>25</v>
      </c>
    </row>
    <row r="136" spans="1:2" x14ac:dyDescent="0.3">
      <c r="A136">
        <v>51056604</v>
      </c>
      <c r="B136" t="s">
        <v>30</v>
      </c>
    </row>
    <row r="137" spans="1:2" x14ac:dyDescent="0.3">
      <c r="A137">
        <v>51018257</v>
      </c>
      <c r="B137" t="s">
        <v>24</v>
      </c>
    </row>
    <row r="138" spans="1:2" x14ac:dyDescent="0.3">
      <c r="A138">
        <v>51056302</v>
      </c>
      <c r="B138" t="s">
        <v>30</v>
      </c>
    </row>
    <row r="139" spans="1:2" x14ac:dyDescent="0.3">
      <c r="A139">
        <v>51011465</v>
      </c>
      <c r="B139" t="s">
        <v>31</v>
      </c>
    </row>
    <row r="140" spans="1:2" x14ac:dyDescent="0.3">
      <c r="A140">
        <v>51030974</v>
      </c>
      <c r="B140" t="s">
        <v>25</v>
      </c>
    </row>
    <row r="141" spans="1:2" x14ac:dyDescent="0.3">
      <c r="A141">
        <v>51055691</v>
      </c>
      <c r="B141" t="s">
        <v>26</v>
      </c>
    </row>
    <row r="142" spans="1:2" x14ac:dyDescent="0.3">
      <c r="A142">
        <v>51055306</v>
      </c>
      <c r="B142" t="s">
        <v>24</v>
      </c>
    </row>
    <row r="143" spans="1:2" x14ac:dyDescent="0.3">
      <c r="A143">
        <v>51042506</v>
      </c>
      <c r="B143" t="s">
        <v>32</v>
      </c>
    </row>
    <row r="144" spans="1:2" x14ac:dyDescent="0.3">
      <c r="A144">
        <v>51042654</v>
      </c>
      <c r="B144" t="s">
        <v>32</v>
      </c>
    </row>
    <row r="145" spans="1:2" x14ac:dyDescent="0.3">
      <c r="A145">
        <v>51016360</v>
      </c>
      <c r="B145" t="s">
        <v>24</v>
      </c>
    </row>
    <row r="146" spans="1:2" x14ac:dyDescent="0.3">
      <c r="A146">
        <v>51033507</v>
      </c>
      <c r="B146" t="s">
        <v>26</v>
      </c>
    </row>
    <row r="147" spans="1:2" x14ac:dyDescent="0.3">
      <c r="A147">
        <v>51025857</v>
      </c>
      <c r="B147" t="s">
        <v>32</v>
      </c>
    </row>
    <row r="148" spans="1:2" x14ac:dyDescent="0.3">
      <c r="A148">
        <v>51032918</v>
      </c>
      <c r="B148" t="s">
        <v>33</v>
      </c>
    </row>
    <row r="149" spans="1:2" x14ac:dyDescent="0.3">
      <c r="A149">
        <v>51028929</v>
      </c>
      <c r="B149" t="s">
        <v>32</v>
      </c>
    </row>
    <row r="150" spans="1:2" x14ac:dyDescent="0.3">
      <c r="A150">
        <v>51038754</v>
      </c>
      <c r="B150" t="s">
        <v>28</v>
      </c>
    </row>
    <row r="151" spans="1:2" x14ac:dyDescent="0.3">
      <c r="A151">
        <v>51016637</v>
      </c>
      <c r="B151" t="s">
        <v>29</v>
      </c>
    </row>
    <row r="152" spans="1:2" x14ac:dyDescent="0.3">
      <c r="A152">
        <v>51025717</v>
      </c>
      <c r="B152" t="s">
        <v>23</v>
      </c>
    </row>
    <row r="153" spans="1:2" x14ac:dyDescent="0.3">
      <c r="A153">
        <v>51055926</v>
      </c>
      <c r="B153" t="s">
        <v>30</v>
      </c>
    </row>
    <row r="154" spans="1:2" x14ac:dyDescent="0.3">
      <c r="A154">
        <v>51015355</v>
      </c>
      <c r="B154" t="s">
        <v>32</v>
      </c>
    </row>
    <row r="155" spans="1:2" x14ac:dyDescent="0.3">
      <c r="A155">
        <v>51017595</v>
      </c>
      <c r="B155" t="s">
        <v>26</v>
      </c>
    </row>
    <row r="156" spans="1:2" x14ac:dyDescent="0.3">
      <c r="A156">
        <v>51012496</v>
      </c>
      <c r="B156" t="s">
        <v>30</v>
      </c>
    </row>
    <row r="157" spans="1:2" x14ac:dyDescent="0.3">
      <c r="A157">
        <v>51033302</v>
      </c>
      <c r="B157" t="s">
        <v>24</v>
      </c>
    </row>
    <row r="158" spans="1:2" x14ac:dyDescent="0.3">
      <c r="A158">
        <v>51019253</v>
      </c>
      <c r="B158" t="s">
        <v>23</v>
      </c>
    </row>
    <row r="159" spans="1:2" x14ac:dyDescent="0.3">
      <c r="A159">
        <v>51030249</v>
      </c>
      <c r="B159" t="s">
        <v>31</v>
      </c>
    </row>
    <row r="160" spans="1:2" x14ac:dyDescent="0.3">
      <c r="A160">
        <v>51017129</v>
      </c>
      <c r="B160" t="s">
        <v>31</v>
      </c>
    </row>
    <row r="161" spans="1:2" x14ac:dyDescent="0.3">
      <c r="A161">
        <v>51013956</v>
      </c>
      <c r="B161" t="s">
        <v>29</v>
      </c>
    </row>
    <row r="162" spans="1:2" x14ac:dyDescent="0.3">
      <c r="A162">
        <v>51017846</v>
      </c>
      <c r="B162" t="s">
        <v>25</v>
      </c>
    </row>
    <row r="163" spans="1:2" x14ac:dyDescent="0.3">
      <c r="A163">
        <v>51036182</v>
      </c>
      <c r="B163" t="s">
        <v>23</v>
      </c>
    </row>
    <row r="164" spans="1:2" x14ac:dyDescent="0.3">
      <c r="A164">
        <v>51036557</v>
      </c>
      <c r="B164" t="s">
        <v>26</v>
      </c>
    </row>
    <row r="165" spans="1:2" x14ac:dyDescent="0.3">
      <c r="A165">
        <v>51056558</v>
      </c>
      <c r="B165" t="s">
        <v>25</v>
      </c>
    </row>
    <row r="166" spans="1:2" x14ac:dyDescent="0.3">
      <c r="A166">
        <v>51031687</v>
      </c>
      <c r="B166" t="s">
        <v>31</v>
      </c>
    </row>
    <row r="167" spans="1:2" x14ac:dyDescent="0.3">
      <c r="A167">
        <v>51039190</v>
      </c>
      <c r="B167" t="s">
        <v>32</v>
      </c>
    </row>
    <row r="168" spans="1:2" x14ac:dyDescent="0.3">
      <c r="A168">
        <v>51007841</v>
      </c>
      <c r="B168" t="s">
        <v>31</v>
      </c>
    </row>
    <row r="169" spans="1:2" x14ac:dyDescent="0.3">
      <c r="A169">
        <v>51023251</v>
      </c>
      <c r="B169" t="s">
        <v>27</v>
      </c>
    </row>
    <row r="170" spans="1:2" x14ac:dyDescent="0.3">
      <c r="A170">
        <v>51031318</v>
      </c>
      <c r="B170" t="s">
        <v>30</v>
      </c>
    </row>
    <row r="171" spans="1:2" x14ac:dyDescent="0.3">
      <c r="A171">
        <v>51005325</v>
      </c>
      <c r="B171" t="s">
        <v>31</v>
      </c>
    </row>
    <row r="172" spans="1:2" x14ac:dyDescent="0.3">
      <c r="A172">
        <v>51023293</v>
      </c>
      <c r="B172" t="s">
        <v>27</v>
      </c>
    </row>
    <row r="173" spans="1:2" x14ac:dyDescent="0.3">
      <c r="A173">
        <v>51025148</v>
      </c>
      <c r="B173" t="s">
        <v>26</v>
      </c>
    </row>
    <row r="174" spans="1:2" x14ac:dyDescent="0.3">
      <c r="A174">
        <v>51022467</v>
      </c>
      <c r="B174" t="s">
        <v>30</v>
      </c>
    </row>
    <row r="175" spans="1:2" x14ac:dyDescent="0.3">
      <c r="A175">
        <v>51023846</v>
      </c>
      <c r="B175" t="s">
        <v>25</v>
      </c>
    </row>
    <row r="176" spans="1:2" x14ac:dyDescent="0.3">
      <c r="A176">
        <v>51012411</v>
      </c>
      <c r="B176" t="s">
        <v>28</v>
      </c>
    </row>
    <row r="177" spans="1:2" x14ac:dyDescent="0.3">
      <c r="A177">
        <v>51033205</v>
      </c>
      <c r="B177" t="s">
        <v>28</v>
      </c>
    </row>
    <row r="178" spans="1:2" x14ac:dyDescent="0.3">
      <c r="A178">
        <v>51018397</v>
      </c>
      <c r="B178" t="s">
        <v>33</v>
      </c>
    </row>
    <row r="179" spans="1:2" x14ac:dyDescent="0.3">
      <c r="A179">
        <v>51043375</v>
      </c>
      <c r="B179" t="s">
        <v>33</v>
      </c>
    </row>
    <row r="180" spans="1:2" x14ac:dyDescent="0.3">
      <c r="A180">
        <v>51025822</v>
      </c>
      <c r="B180" t="s">
        <v>33</v>
      </c>
    </row>
    <row r="181" spans="1:2" x14ac:dyDescent="0.3">
      <c r="A181">
        <v>51044011</v>
      </c>
      <c r="B181" t="s">
        <v>26</v>
      </c>
    </row>
    <row r="182" spans="1:2" x14ac:dyDescent="0.3">
      <c r="A182">
        <v>51007549</v>
      </c>
      <c r="B182" t="s">
        <v>26</v>
      </c>
    </row>
    <row r="183" spans="1:2" x14ac:dyDescent="0.3">
      <c r="A183">
        <v>51043995</v>
      </c>
      <c r="B183" t="s">
        <v>26</v>
      </c>
    </row>
    <row r="184" spans="1:2" x14ac:dyDescent="0.3">
      <c r="A184">
        <v>51056957</v>
      </c>
      <c r="B184" t="s">
        <v>23</v>
      </c>
    </row>
    <row r="185" spans="1:2" x14ac:dyDescent="0.3">
      <c r="A185">
        <v>51011562</v>
      </c>
      <c r="B185" t="s">
        <v>25</v>
      </c>
    </row>
    <row r="186" spans="1:2" x14ac:dyDescent="0.3">
      <c r="A186">
        <v>51006151</v>
      </c>
      <c r="B186" t="s">
        <v>30</v>
      </c>
    </row>
    <row r="187" spans="1:2" x14ac:dyDescent="0.3">
      <c r="A187">
        <v>51055764</v>
      </c>
      <c r="B187" t="s">
        <v>28</v>
      </c>
    </row>
    <row r="188" spans="1:2" x14ac:dyDescent="0.3">
      <c r="A188">
        <v>51016882</v>
      </c>
      <c r="B188" t="s">
        <v>31</v>
      </c>
    </row>
    <row r="189" spans="1:2" x14ac:dyDescent="0.3">
      <c r="A189">
        <v>51014693</v>
      </c>
      <c r="B189" t="s">
        <v>30</v>
      </c>
    </row>
    <row r="190" spans="1:2" x14ac:dyDescent="0.3">
      <c r="A190">
        <v>51018346</v>
      </c>
      <c r="B190" t="s">
        <v>28</v>
      </c>
    </row>
    <row r="191" spans="1:2" x14ac:dyDescent="0.3">
      <c r="A191">
        <v>51031750</v>
      </c>
      <c r="B191" t="s">
        <v>28</v>
      </c>
    </row>
    <row r="192" spans="1:2" x14ac:dyDescent="0.3">
      <c r="A192">
        <v>51042514</v>
      </c>
      <c r="B192" t="s">
        <v>33</v>
      </c>
    </row>
    <row r="193" spans="1:2" x14ac:dyDescent="0.3">
      <c r="A193">
        <v>51016874</v>
      </c>
      <c r="B193" t="s">
        <v>27</v>
      </c>
    </row>
    <row r="194" spans="1:2" x14ac:dyDescent="0.3">
      <c r="A194">
        <v>51056906</v>
      </c>
      <c r="B194" t="s">
        <v>23</v>
      </c>
    </row>
    <row r="195" spans="1:2" x14ac:dyDescent="0.3">
      <c r="A195">
        <v>51036981</v>
      </c>
      <c r="B195" t="s">
        <v>25</v>
      </c>
    </row>
    <row r="196" spans="1:2" x14ac:dyDescent="0.3">
      <c r="A196">
        <v>51013662</v>
      </c>
      <c r="B196" t="s">
        <v>23</v>
      </c>
    </row>
    <row r="197" spans="1:2" x14ac:dyDescent="0.3">
      <c r="A197">
        <v>51015851</v>
      </c>
      <c r="B197" t="s">
        <v>28</v>
      </c>
    </row>
    <row r="198" spans="1:2" x14ac:dyDescent="0.3">
      <c r="A198">
        <v>51022084</v>
      </c>
      <c r="B198" t="s">
        <v>27</v>
      </c>
    </row>
    <row r="199" spans="1:2" x14ac:dyDescent="0.3">
      <c r="A199">
        <v>51032322</v>
      </c>
      <c r="B199" t="s">
        <v>33</v>
      </c>
    </row>
    <row r="200" spans="1:2" x14ac:dyDescent="0.3">
      <c r="A200">
        <v>51013271</v>
      </c>
      <c r="B200" t="s">
        <v>31</v>
      </c>
    </row>
    <row r="201" spans="1:2" x14ac:dyDescent="0.3">
      <c r="A201">
        <v>51032969</v>
      </c>
      <c r="B201" t="s">
        <v>26</v>
      </c>
    </row>
    <row r="202" spans="1:2" x14ac:dyDescent="0.3">
      <c r="A202">
        <v>51003292</v>
      </c>
      <c r="B202" t="s">
        <v>32</v>
      </c>
    </row>
    <row r="203" spans="1:2" x14ac:dyDescent="0.3">
      <c r="A203">
        <v>51023153</v>
      </c>
      <c r="B203" t="s">
        <v>29</v>
      </c>
    </row>
    <row r="204" spans="1:2" x14ac:dyDescent="0.3">
      <c r="A204">
        <v>51021851</v>
      </c>
      <c r="B204" t="s">
        <v>29</v>
      </c>
    </row>
    <row r="205" spans="1:2" x14ac:dyDescent="0.3">
      <c r="A205">
        <v>51057074</v>
      </c>
      <c r="B205" t="s">
        <v>32</v>
      </c>
    </row>
    <row r="206" spans="1:2" x14ac:dyDescent="0.3">
      <c r="A206">
        <v>51017587</v>
      </c>
      <c r="B206" t="s">
        <v>30</v>
      </c>
    </row>
    <row r="207" spans="1:2" x14ac:dyDescent="0.3">
      <c r="A207">
        <v>51055519</v>
      </c>
      <c r="B207" t="s">
        <v>23</v>
      </c>
    </row>
    <row r="208" spans="1:2" x14ac:dyDescent="0.3">
      <c r="A208">
        <v>51018958</v>
      </c>
      <c r="B208" t="s">
        <v>33</v>
      </c>
    </row>
    <row r="209" spans="1:2" x14ac:dyDescent="0.3">
      <c r="A209">
        <v>51019407</v>
      </c>
      <c r="B209" t="s">
        <v>27</v>
      </c>
    </row>
    <row r="210" spans="1:2" x14ac:dyDescent="0.3">
      <c r="A210">
        <v>51024095</v>
      </c>
      <c r="B210" t="s">
        <v>25</v>
      </c>
    </row>
    <row r="211" spans="1:2" x14ac:dyDescent="0.3">
      <c r="A211">
        <v>51014120</v>
      </c>
      <c r="B211" t="s">
        <v>31</v>
      </c>
    </row>
    <row r="212" spans="1:2" x14ac:dyDescent="0.3">
      <c r="A212">
        <v>51033655</v>
      </c>
      <c r="B212" t="s">
        <v>31</v>
      </c>
    </row>
    <row r="213" spans="1:2" x14ac:dyDescent="0.3">
      <c r="A213">
        <v>51035976</v>
      </c>
      <c r="B213" t="s">
        <v>23</v>
      </c>
    </row>
    <row r="214" spans="1:2" x14ac:dyDescent="0.3">
      <c r="A214">
        <v>51056795</v>
      </c>
      <c r="B214" t="s">
        <v>33</v>
      </c>
    </row>
    <row r="215" spans="1:2" x14ac:dyDescent="0.3">
      <c r="A215">
        <v>51056175</v>
      </c>
      <c r="B215" t="s">
        <v>23</v>
      </c>
    </row>
    <row r="216" spans="1:2" x14ac:dyDescent="0.3">
      <c r="A216">
        <v>51015428</v>
      </c>
      <c r="B216" t="s">
        <v>29</v>
      </c>
    </row>
    <row r="217" spans="1:2" x14ac:dyDescent="0.3">
      <c r="A217">
        <v>51056663</v>
      </c>
      <c r="B217" t="s">
        <v>33</v>
      </c>
    </row>
    <row r="218" spans="1:2" x14ac:dyDescent="0.3">
      <c r="A218">
        <v>51055870</v>
      </c>
      <c r="B218" t="s">
        <v>33</v>
      </c>
    </row>
    <row r="219" spans="1:2" x14ac:dyDescent="0.3">
      <c r="A219">
        <v>51023226</v>
      </c>
      <c r="B219" t="s">
        <v>30</v>
      </c>
    </row>
    <row r="220" spans="1:2" x14ac:dyDescent="0.3">
      <c r="A220">
        <v>51056531</v>
      </c>
      <c r="B220" t="s">
        <v>32</v>
      </c>
    </row>
    <row r="221" spans="1:2" x14ac:dyDescent="0.3">
      <c r="A221">
        <v>51018044</v>
      </c>
      <c r="B221" t="s">
        <v>27</v>
      </c>
    </row>
    <row r="222" spans="1:2" x14ac:dyDescent="0.3">
      <c r="A222">
        <v>51012500</v>
      </c>
      <c r="B222" t="s">
        <v>24</v>
      </c>
    </row>
    <row r="223" spans="1:2" x14ac:dyDescent="0.3">
      <c r="A223">
        <v>51016998</v>
      </c>
      <c r="B223" t="s">
        <v>28</v>
      </c>
    </row>
    <row r="224" spans="1:2" x14ac:dyDescent="0.3">
      <c r="A224">
        <v>51013476</v>
      </c>
      <c r="B224" t="s">
        <v>28</v>
      </c>
    </row>
    <row r="225" spans="1:2" x14ac:dyDescent="0.3">
      <c r="A225">
        <v>51036077</v>
      </c>
      <c r="B225" t="s">
        <v>33</v>
      </c>
    </row>
    <row r="226" spans="1:2" x14ac:dyDescent="0.3">
      <c r="A226">
        <v>51011937</v>
      </c>
      <c r="B226" t="s">
        <v>33</v>
      </c>
    </row>
    <row r="227" spans="1:2" x14ac:dyDescent="0.3">
      <c r="A227">
        <v>51042913</v>
      </c>
      <c r="B227" t="s">
        <v>28</v>
      </c>
    </row>
    <row r="228" spans="1:2" x14ac:dyDescent="0.3">
      <c r="A228">
        <v>51039998</v>
      </c>
      <c r="B228" t="s">
        <v>33</v>
      </c>
    </row>
    <row r="229" spans="1:2" x14ac:dyDescent="0.3">
      <c r="A229">
        <v>51001427</v>
      </c>
      <c r="B229" t="s">
        <v>32</v>
      </c>
    </row>
    <row r="230" spans="1:2" x14ac:dyDescent="0.3">
      <c r="A230">
        <v>51032632</v>
      </c>
      <c r="B230" t="s">
        <v>33</v>
      </c>
    </row>
    <row r="231" spans="1:2" x14ac:dyDescent="0.3">
      <c r="A231">
        <v>51015797</v>
      </c>
      <c r="B231" t="s">
        <v>28</v>
      </c>
    </row>
    <row r="232" spans="1:2" x14ac:dyDescent="0.3">
      <c r="A232">
        <v>51055331</v>
      </c>
      <c r="B232" t="s">
        <v>23</v>
      </c>
    </row>
    <row r="233" spans="1:2" x14ac:dyDescent="0.3">
      <c r="A233">
        <v>51054920</v>
      </c>
      <c r="B233" t="s">
        <v>28</v>
      </c>
    </row>
    <row r="234" spans="1:2" x14ac:dyDescent="0.3">
      <c r="A234">
        <v>51010396</v>
      </c>
      <c r="B234" t="s">
        <v>32</v>
      </c>
    </row>
    <row r="235" spans="1:2" x14ac:dyDescent="0.3">
      <c r="A235">
        <v>51010248</v>
      </c>
      <c r="B235" t="s">
        <v>32</v>
      </c>
    </row>
    <row r="236" spans="1:2" x14ac:dyDescent="0.3">
      <c r="A236">
        <v>51013051</v>
      </c>
      <c r="B236" t="s">
        <v>24</v>
      </c>
    </row>
    <row r="237" spans="1:2" x14ac:dyDescent="0.3">
      <c r="A237">
        <v>51011295</v>
      </c>
      <c r="B237" t="s">
        <v>25</v>
      </c>
    </row>
    <row r="238" spans="1:2" x14ac:dyDescent="0.3">
      <c r="A238">
        <v>51018877</v>
      </c>
      <c r="B238" t="s">
        <v>32</v>
      </c>
    </row>
    <row r="239" spans="1:2" x14ac:dyDescent="0.3">
      <c r="A239">
        <v>51038894</v>
      </c>
      <c r="B239" t="s">
        <v>29</v>
      </c>
    </row>
    <row r="240" spans="1:2" x14ac:dyDescent="0.3">
      <c r="A240">
        <v>51010175</v>
      </c>
      <c r="B240" t="s">
        <v>29</v>
      </c>
    </row>
    <row r="241" spans="1:2" x14ac:dyDescent="0.3">
      <c r="A241">
        <v>51024109</v>
      </c>
      <c r="B241" t="s">
        <v>26</v>
      </c>
    </row>
    <row r="242" spans="1:2" x14ac:dyDescent="0.3">
      <c r="A242">
        <v>51033248</v>
      </c>
      <c r="B242" t="s">
        <v>26</v>
      </c>
    </row>
    <row r="243" spans="1:2" x14ac:dyDescent="0.3">
      <c r="A243">
        <v>51056922</v>
      </c>
      <c r="B243" t="s">
        <v>33</v>
      </c>
    </row>
    <row r="244" spans="1:2" x14ac:dyDescent="0.3">
      <c r="A244">
        <v>51033604</v>
      </c>
      <c r="B244" t="s">
        <v>23</v>
      </c>
    </row>
    <row r="245" spans="1:2" x14ac:dyDescent="0.3">
      <c r="A245">
        <v>51055250</v>
      </c>
      <c r="B245" t="s">
        <v>31</v>
      </c>
    </row>
    <row r="246" spans="1:2" x14ac:dyDescent="0.3">
      <c r="A246">
        <v>51010663</v>
      </c>
      <c r="B246" t="s">
        <v>25</v>
      </c>
    </row>
    <row r="247" spans="1:2" x14ac:dyDescent="0.3">
      <c r="A247">
        <v>51009797</v>
      </c>
      <c r="B247" t="s">
        <v>30</v>
      </c>
    </row>
    <row r="248" spans="1:2" x14ac:dyDescent="0.3">
      <c r="A248">
        <v>51030567</v>
      </c>
      <c r="B248" t="s">
        <v>27</v>
      </c>
    </row>
    <row r="249" spans="1:2" x14ac:dyDescent="0.3">
      <c r="A249">
        <v>51015908</v>
      </c>
      <c r="B249" t="s">
        <v>32</v>
      </c>
    </row>
    <row r="250" spans="1:2" x14ac:dyDescent="0.3">
      <c r="A250">
        <v>51033281</v>
      </c>
      <c r="B250" t="s">
        <v>31</v>
      </c>
    </row>
    <row r="251" spans="1:2" x14ac:dyDescent="0.3">
      <c r="A251">
        <v>51011481</v>
      </c>
      <c r="B251" t="s">
        <v>24</v>
      </c>
    </row>
    <row r="252" spans="1:2" x14ac:dyDescent="0.3">
      <c r="A252">
        <v>51032659</v>
      </c>
      <c r="B252" t="s">
        <v>32</v>
      </c>
    </row>
    <row r="253" spans="1:2" x14ac:dyDescent="0.3">
      <c r="A253">
        <v>51011953</v>
      </c>
      <c r="B253" t="s">
        <v>27</v>
      </c>
    </row>
    <row r="254" spans="1:2" x14ac:dyDescent="0.3">
      <c r="A254">
        <v>51032519</v>
      </c>
      <c r="B254" t="s">
        <v>23</v>
      </c>
    </row>
    <row r="255" spans="1:2" x14ac:dyDescent="0.3">
      <c r="A255">
        <v>51029232</v>
      </c>
      <c r="B255" t="s">
        <v>30</v>
      </c>
    </row>
    <row r="256" spans="1:2" x14ac:dyDescent="0.3">
      <c r="A256">
        <v>51022998</v>
      </c>
      <c r="B256" t="s">
        <v>32</v>
      </c>
    </row>
    <row r="257" spans="1:2" x14ac:dyDescent="0.3">
      <c r="A257">
        <v>51031806</v>
      </c>
      <c r="B257" t="s">
        <v>28</v>
      </c>
    </row>
    <row r="258" spans="1:2" x14ac:dyDescent="0.3">
      <c r="A258">
        <v>51031369</v>
      </c>
      <c r="B258" t="s">
        <v>32</v>
      </c>
    </row>
    <row r="259" spans="1:2" x14ac:dyDescent="0.3">
      <c r="A259">
        <v>51032560</v>
      </c>
      <c r="B259" t="s">
        <v>31</v>
      </c>
    </row>
    <row r="260" spans="1:2" x14ac:dyDescent="0.3">
      <c r="A260">
        <v>51019555</v>
      </c>
      <c r="B260" t="s">
        <v>30</v>
      </c>
    </row>
    <row r="261" spans="1:2" x14ac:dyDescent="0.3">
      <c r="A261">
        <v>51013115</v>
      </c>
      <c r="B261" t="s">
        <v>24</v>
      </c>
    </row>
    <row r="262" spans="1:2" x14ac:dyDescent="0.3">
      <c r="A262">
        <v>51016661</v>
      </c>
      <c r="B262" t="s">
        <v>26</v>
      </c>
    </row>
    <row r="263" spans="1:2" x14ac:dyDescent="0.3">
      <c r="A263">
        <v>51015533</v>
      </c>
      <c r="B263" t="s">
        <v>24</v>
      </c>
    </row>
    <row r="264" spans="1:2" x14ac:dyDescent="0.3">
      <c r="A264">
        <v>51014081</v>
      </c>
      <c r="B264" t="s">
        <v>27</v>
      </c>
    </row>
    <row r="265" spans="1:2" x14ac:dyDescent="0.3">
      <c r="A265">
        <v>51022556</v>
      </c>
      <c r="B265" t="s">
        <v>27</v>
      </c>
    </row>
    <row r="266" spans="1:2" x14ac:dyDescent="0.3">
      <c r="A266">
        <v>51033485</v>
      </c>
      <c r="B266" t="s">
        <v>32</v>
      </c>
    </row>
    <row r="267" spans="1:2" x14ac:dyDescent="0.3">
      <c r="A267">
        <v>51008332</v>
      </c>
      <c r="B267" t="s">
        <v>32</v>
      </c>
    </row>
    <row r="268" spans="1:2" x14ac:dyDescent="0.3">
      <c r="A268">
        <v>51002717</v>
      </c>
      <c r="B268" t="s">
        <v>26</v>
      </c>
    </row>
    <row r="269" spans="1:2" x14ac:dyDescent="0.3">
      <c r="A269">
        <v>51017871</v>
      </c>
      <c r="B269" t="s">
        <v>31</v>
      </c>
    </row>
    <row r="270" spans="1:2" x14ac:dyDescent="0.3">
      <c r="A270">
        <v>51023455</v>
      </c>
      <c r="B270" t="s">
        <v>29</v>
      </c>
    </row>
    <row r="271" spans="1:2" x14ac:dyDescent="0.3">
      <c r="A271">
        <v>51007115</v>
      </c>
      <c r="B271" t="s">
        <v>31</v>
      </c>
    </row>
    <row r="272" spans="1:2" x14ac:dyDescent="0.3">
      <c r="A272">
        <v>51024753</v>
      </c>
      <c r="B272" t="s">
        <v>30</v>
      </c>
    </row>
    <row r="273" spans="1:2" x14ac:dyDescent="0.3">
      <c r="A273">
        <v>51055861</v>
      </c>
      <c r="B273" t="s">
        <v>23</v>
      </c>
    </row>
    <row r="274" spans="1:2" x14ac:dyDescent="0.3">
      <c r="A274">
        <v>51056787</v>
      </c>
      <c r="B274" t="s">
        <v>31</v>
      </c>
    </row>
    <row r="275" spans="1:2" x14ac:dyDescent="0.3">
      <c r="A275">
        <v>51032802</v>
      </c>
      <c r="B275" t="s">
        <v>29</v>
      </c>
    </row>
    <row r="276" spans="1:2" x14ac:dyDescent="0.3">
      <c r="A276">
        <v>51025318</v>
      </c>
      <c r="B276" t="s">
        <v>28</v>
      </c>
    </row>
    <row r="277" spans="1:2" x14ac:dyDescent="0.3">
      <c r="A277">
        <v>51004655</v>
      </c>
      <c r="B277" t="s">
        <v>29</v>
      </c>
    </row>
    <row r="278" spans="1:2" x14ac:dyDescent="0.3">
      <c r="A278">
        <v>51040392</v>
      </c>
      <c r="B278" t="s">
        <v>24</v>
      </c>
    </row>
    <row r="279" spans="1:2" x14ac:dyDescent="0.3">
      <c r="A279">
        <v>51033191</v>
      </c>
      <c r="B279" t="s">
        <v>33</v>
      </c>
    </row>
    <row r="280" spans="1:2" x14ac:dyDescent="0.3">
      <c r="A280">
        <v>51022769</v>
      </c>
      <c r="B280" t="s">
        <v>32</v>
      </c>
    </row>
    <row r="281" spans="1:2" x14ac:dyDescent="0.3">
      <c r="A281">
        <v>51013077</v>
      </c>
      <c r="B281" t="s">
        <v>23</v>
      </c>
    </row>
    <row r="282" spans="1:2" x14ac:dyDescent="0.3">
      <c r="A282">
        <v>51018907</v>
      </c>
      <c r="B282" t="s">
        <v>28</v>
      </c>
    </row>
    <row r="283" spans="1:2" x14ac:dyDescent="0.3">
      <c r="A283">
        <v>51041232</v>
      </c>
      <c r="B283" t="s">
        <v>24</v>
      </c>
    </row>
    <row r="284" spans="1:2" x14ac:dyDescent="0.3">
      <c r="A284">
        <v>51031334</v>
      </c>
      <c r="B284" t="s">
        <v>32</v>
      </c>
    </row>
    <row r="285" spans="1:2" x14ac:dyDescent="0.3">
      <c r="A285">
        <v>51015487</v>
      </c>
      <c r="B285" t="s">
        <v>33</v>
      </c>
    </row>
    <row r="286" spans="1:2" x14ac:dyDescent="0.3">
      <c r="A286">
        <v>51016858</v>
      </c>
      <c r="B286" t="s">
        <v>23</v>
      </c>
    </row>
    <row r="287" spans="1:2" x14ac:dyDescent="0.3">
      <c r="A287">
        <v>51043677</v>
      </c>
      <c r="B287" t="s">
        <v>26</v>
      </c>
    </row>
    <row r="288" spans="1:2" x14ac:dyDescent="0.3">
      <c r="A288">
        <v>51032063</v>
      </c>
      <c r="B288" t="s">
        <v>32</v>
      </c>
    </row>
    <row r="289" spans="1:2" x14ac:dyDescent="0.3">
      <c r="A289">
        <v>51023901</v>
      </c>
      <c r="B289" t="s">
        <v>31</v>
      </c>
    </row>
    <row r="290" spans="1:2" x14ac:dyDescent="0.3">
      <c r="A290">
        <v>51032675</v>
      </c>
      <c r="B290" t="s">
        <v>27</v>
      </c>
    </row>
    <row r="291" spans="1:2" x14ac:dyDescent="0.3">
      <c r="A291">
        <v>51044410</v>
      </c>
      <c r="B291" t="s">
        <v>31</v>
      </c>
    </row>
    <row r="292" spans="1:2" x14ac:dyDescent="0.3">
      <c r="A292">
        <v>51032624</v>
      </c>
      <c r="B292" t="s">
        <v>27</v>
      </c>
    </row>
    <row r="293" spans="1:2" x14ac:dyDescent="0.3">
      <c r="A293">
        <v>51057244</v>
      </c>
      <c r="B293" t="s">
        <v>31</v>
      </c>
    </row>
    <row r="294" spans="1:2" x14ac:dyDescent="0.3">
      <c r="A294">
        <v>51023803</v>
      </c>
      <c r="B294" t="s">
        <v>33</v>
      </c>
    </row>
    <row r="295" spans="1:2" x14ac:dyDescent="0.3">
      <c r="A295">
        <v>51016777</v>
      </c>
      <c r="B295" t="s">
        <v>29</v>
      </c>
    </row>
    <row r="296" spans="1:2" x14ac:dyDescent="0.3">
      <c r="A296">
        <v>51018036</v>
      </c>
      <c r="B296" t="s">
        <v>25</v>
      </c>
    </row>
    <row r="297" spans="1:2" x14ac:dyDescent="0.3">
      <c r="A297">
        <v>51002555</v>
      </c>
      <c r="B297" t="s">
        <v>32</v>
      </c>
    </row>
    <row r="298" spans="1:2" x14ac:dyDescent="0.3">
      <c r="A298">
        <v>51024966</v>
      </c>
      <c r="B298" t="s">
        <v>32</v>
      </c>
    </row>
    <row r="299" spans="1:2" x14ac:dyDescent="0.3">
      <c r="A299">
        <v>51024621</v>
      </c>
      <c r="B299" t="s">
        <v>24</v>
      </c>
    </row>
    <row r="300" spans="1:2" x14ac:dyDescent="0.3">
      <c r="A300">
        <v>51019202</v>
      </c>
      <c r="B300" t="s">
        <v>32</v>
      </c>
    </row>
    <row r="301" spans="1:2" x14ac:dyDescent="0.3">
      <c r="A301">
        <v>51054903</v>
      </c>
      <c r="B301" t="s">
        <v>30</v>
      </c>
    </row>
    <row r="302" spans="1:2" x14ac:dyDescent="0.3">
      <c r="A302">
        <v>51014375</v>
      </c>
      <c r="B302" t="s">
        <v>28</v>
      </c>
    </row>
    <row r="303" spans="1:2" x14ac:dyDescent="0.3">
      <c r="A303">
        <v>51014782</v>
      </c>
      <c r="B303" t="s">
        <v>31</v>
      </c>
    </row>
    <row r="304" spans="1:2" x14ac:dyDescent="0.3">
      <c r="A304">
        <v>51055705</v>
      </c>
      <c r="B304" t="s">
        <v>33</v>
      </c>
    </row>
    <row r="305" spans="1:2" x14ac:dyDescent="0.3">
      <c r="A305">
        <v>51030605</v>
      </c>
      <c r="B305" t="s">
        <v>30</v>
      </c>
    </row>
    <row r="306" spans="1:2" x14ac:dyDescent="0.3">
      <c r="A306">
        <v>51036191</v>
      </c>
      <c r="B306" t="s">
        <v>23</v>
      </c>
    </row>
    <row r="307" spans="1:2" x14ac:dyDescent="0.3">
      <c r="A307">
        <v>51056639</v>
      </c>
      <c r="B307" t="s">
        <v>32</v>
      </c>
    </row>
    <row r="308" spans="1:2" x14ac:dyDescent="0.3">
      <c r="A308">
        <v>51024168</v>
      </c>
      <c r="B308" t="s">
        <v>25</v>
      </c>
    </row>
    <row r="309" spans="1:2" x14ac:dyDescent="0.3">
      <c r="A309">
        <v>51031164</v>
      </c>
      <c r="B309" t="s">
        <v>32</v>
      </c>
    </row>
    <row r="310" spans="1:2" x14ac:dyDescent="0.3">
      <c r="A310">
        <v>51004027</v>
      </c>
      <c r="B310" t="s">
        <v>29</v>
      </c>
    </row>
    <row r="311" spans="1:2" x14ac:dyDescent="0.3">
      <c r="A311">
        <v>51002539</v>
      </c>
      <c r="B311" t="s">
        <v>24</v>
      </c>
    </row>
    <row r="312" spans="1:2" x14ac:dyDescent="0.3">
      <c r="A312">
        <v>51021789</v>
      </c>
      <c r="B312" t="s">
        <v>25</v>
      </c>
    </row>
    <row r="313" spans="1:2" x14ac:dyDescent="0.3">
      <c r="A313">
        <v>51029585</v>
      </c>
      <c r="B313" t="s">
        <v>25</v>
      </c>
    </row>
    <row r="314" spans="1:2" x14ac:dyDescent="0.3">
      <c r="A314">
        <v>51037031</v>
      </c>
      <c r="B314" t="s">
        <v>31</v>
      </c>
    </row>
    <row r="315" spans="1:2" x14ac:dyDescent="0.3">
      <c r="A315">
        <v>51026063</v>
      </c>
      <c r="B315" t="s">
        <v>31</v>
      </c>
    </row>
    <row r="316" spans="1:2" x14ac:dyDescent="0.3">
      <c r="A316">
        <v>51054806</v>
      </c>
      <c r="B316" t="s">
        <v>28</v>
      </c>
    </row>
    <row r="317" spans="1:2" x14ac:dyDescent="0.3">
      <c r="A317">
        <v>51055543</v>
      </c>
      <c r="B317" t="s">
        <v>33</v>
      </c>
    </row>
    <row r="318" spans="1:2" x14ac:dyDescent="0.3">
      <c r="A318">
        <v>51005368</v>
      </c>
      <c r="B318" t="s">
        <v>23</v>
      </c>
    </row>
    <row r="319" spans="1:2" x14ac:dyDescent="0.3">
      <c r="A319">
        <v>51017137</v>
      </c>
      <c r="B319" t="s">
        <v>25</v>
      </c>
    </row>
    <row r="320" spans="1:2" x14ac:dyDescent="0.3">
      <c r="A320">
        <v>51022050</v>
      </c>
      <c r="B320" t="s">
        <v>27</v>
      </c>
    </row>
    <row r="321" spans="1:2" x14ac:dyDescent="0.3">
      <c r="A321">
        <v>51054857</v>
      </c>
      <c r="B321" t="s">
        <v>33</v>
      </c>
    </row>
    <row r="322" spans="1:2" x14ac:dyDescent="0.3">
      <c r="A322">
        <v>51036603</v>
      </c>
      <c r="B322" t="s">
        <v>25</v>
      </c>
    </row>
    <row r="323" spans="1:2" x14ac:dyDescent="0.3">
      <c r="A323">
        <v>51019121</v>
      </c>
      <c r="B323" t="s">
        <v>32</v>
      </c>
    </row>
    <row r="324" spans="1:2" x14ac:dyDescent="0.3">
      <c r="A324">
        <v>51016076</v>
      </c>
      <c r="B324" t="s">
        <v>26</v>
      </c>
    </row>
    <row r="325" spans="1:2" x14ac:dyDescent="0.3">
      <c r="A325">
        <v>51031563</v>
      </c>
      <c r="B325" t="s">
        <v>33</v>
      </c>
    </row>
    <row r="326" spans="1:2" x14ac:dyDescent="0.3">
      <c r="A326">
        <v>51016149</v>
      </c>
      <c r="B326" t="s">
        <v>23</v>
      </c>
    </row>
    <row r="327" spans="1:2" x14ac:dyDescent="0.3">
      <c r="A327">
        <v>51055942</v>
      </c>
      <c r="B327" t="s">
        <v>30</v>
      </c>
    </row>
    <row r="328" spans="1:2" x14ac:dyDescent="0.3">
      <c r="A328">
        <v>51039165</v>
      </c>
      <c r="B328" t="s">
        <v>32</v>
      </c>
    </row>
    <row r="329" spans="1:2" x14ac:dyDescent="0.3">
      <c r="A329">
        <v>51040597</v>
      </c>
      <c r="B329" t="s">
        <v>26</v>
      </c>
    </row>
    <row r="330" spans="1:2" x14ac:dyDescent="0.3">
      <c r="A330">
        <v>51030125</v>
      </c>
      <c r="B330" t="s">
        <v>26</v>
      </c>
    </row>
    <row r="331" spans="1:2" x14ac:dyDescent="0.3">
      <c r="A331">
        <v>51041917</v>
      </c>
      <c r="B331" t="s">
        <v>28</v>
      </c>
    </row>
    <row r="332" spans="1:2" x14ac:dyDescent="0.3">
      <c r="A332">
        <v>51018371</v>
      </c>
      <c r="B332" t="s">
        <v>27</v>
      </c>
    </row>
    <row r="333" spans="1:2" x14ac:dyDescent="0.3">
      <c r="A333">
        <v>51030184</v>
      </c>
      <c r="B333" t="s">
        <v>29</v>
      </c>
    </row>
    <row r="334" spans="1:2" x14ac:dyDescent="0.3">
      <c r="A334">
        <v>51035682</v>
      </c>
      <c r="B334" t="s">
        <v>25</v>
      </c>
    </row>
    <row r="335" spans="1:2" x14ac:dyDescent="0.3">
      <c r="A335">
        <v>51010311</v>
      </c>
      <c r="B335" t="s">
        <v>28</v>
      </c>
    </row>
    <row r="336" spans="1:2" x14ac:dyDescent="0.3">
      <c r="A336">
        <v>51030869</v>
      </c>
      <c r="B336" t="s">
        <v>26</v>
      </c>
    </row>
    <row r="337" spans="1:2" x14ac:dyDescent="0.3">
      <c r="A337">
        <v>51003225</v>
      </c>
      <c r="B337" t="s">
        <v>27</v>
      </c>
    </row>
    <row r="338" spans="1:2" x14ac:dyDescent="0.3">
      <c r="A338">
        <v>51011856</v>
      </c>
      <c r="B338" t="s">
        <v>24</v>
      </c>
    </row>
    <row r="339" spans="1:2" x14ac:dyDescent="0.3">
      <c r="A339">
        <v>51008413</v>
      </c>
      <c r="B339" t="s">
        <v>25</v>
      </c>
    </row>
    <row r="340" spans="1:2" x14ac:dyDescent="0.3">
      <c r="A340">
        <v>51056299</v>
      </c>
      <c r="B340" t="s">
        <v>27</v>
      </c>
    </row>
    <row r="341" spans="1:2" x14ac:dyDescent="0.3">
      <c r="A341">
        <v>51021550</v>
      </c>
      <c r="B341" t="s">
        <v>23</v>
      </c>
    </row>
    <row r="342" spans="1:2" x14ac:dyDescent="0.3">
      <c r="A342">
        <v>51031822</v>
      </c>
      <c r="B342" t="s">
        <v>26</v>
      </c>
    </row>
    <row r="343" spans="1:2" x14ac:dyDescent="0.3">
      <c r="A343">
        <v>51055993</v>
      </c>
      <c r="B343" t="s">
        <v>33</v>
      </c>
    </row>
    <row r="344" spans="1:2" x14ac:dyDescent="0.3">
      <c r="A344">
        <v>51056914</v>
      </c>
      <c r="B344" t="s">
        <v>25</v>
      </c>
    </row>
    <row r="345" spans="1:2" x14ac:dyDescent="0.3">
      <c r="A345">
        <v>51039637</v>
      </c>
      <c r="B345" t="s">
        <v>27</v>
      </c>
    </row>
    <row r="346" spans="1:2" x14ac:dyDescent="0.3">
      <c r="A346">
        <v>51033671</v>
      </c>
      <c r="B346" t="s">
        <v>26</v>
      </c>
    </row>
    <row r="347" spans="1:2" x14ac:dyDescent="0.3">
      <c r="A347">
        <v>51032713</v>
      </c>
      <c r="B347" t="s">
        <v>28</v>
      </c>
    </row>
    <row r="348" spans="1:2" x14ac:dyDescent="0.3">
      <c r="A348">
        <v>51008430</v>
      </c>
      <c r="B348" t="s">
        <v>31</v>
      </c>
    </row>
    <row r="349" spans="1:2" x14ac:dyDescent="0.3">
      <c r="A349">
        <v>51056094</v>
      </c>
      <c r="B349" t="s">
        <v>29</v>
      </c>
    </row>
    <row r="350" spans="1:2" x14ac:dyDescent="0.3">
      <c r="A350">
        <v>51026306</v>
      </c>
      <c r="B350" t="s">
        <v>28</v>
      </c>
    </row>
    <row r="351" spans="1:2" x14ac:dyDescent="0.3">
      <c r="A351">
        <v>51013611</v>
      </c>
      <c r="B351" t="s">
        <v>31</v>
      </c>
    </row>
    <row r="352" spans="1:2" x14ac:dyDescent="0.3">
      <c r="A352">
        <v>51001044</v>
      </c>
      <c r="B352" t="s">
        <v>31</v>
      </c>
    </row>
    <row r="353" spans="1:2" x14ac:dyDescent="0.3">
      <c r="A353">
        <v>51011643</v>
      </c>
      <c r="B353" t="s">
        <v>29</v>
      </c>
    </row>
    <row r="354" spans="1:2" x14ac:dyDescent="0.3">
      <c r="A354">
        <v>51011287</v>
      </c>
      <c r="B354" t="s">
        <v>31</v>
      </c>
    </row>
    <row r="355" spans="1:2" x14ac:dyDescent="0.3">
      <c r="A355">
        <v>51057015</v>
      </c>
      <c r="B355" t="s">
        <v>32</v>
      </c>
    </row>
    <row r="356" spans="1:2" x14ac:dyDescent="0.3">
      <c r="A356">
        <v>51024834</v>
      </c>
      <c r="B356" t="s">
        <v>26</v>
      </c>
    </row>
    <row r="357" spans="1:2" x14ac:dyDescent="0.3">
      <c r="A357">
        <v>51023196</v>
      </c>
      <c r="B357" t="s">
        <v>32</v>
      </c>
    </row>
    <row r="358" spans="1:2" x14ac:dyDescent="0.3">
      <c r="A358">
        <v>51055225</v>
      </c>
      <c r="B358" t="s">
        <v>28</v>
      </c>
    </row>
    <row r="359" spans="1:2" x14ac:dyDescent="0.3">
      <c r="A359">
        <v>51032004</v>
      </c>
      <c r="B359" t="s">
        <v>26</v>
      </c>
    </row>
    <row r="360" spans="1:2" x14ac:dyDescent="0.3">
      <c r="A360">
        <v>51020910</v>
      </c>
      <c r="B360" t="s">
        <v>31</v>
      </c>
    </row>
    <row r="361" spans="1:2" x14ac:dyDescent="0.3">
      <c r="A361">
        <v>51014740</v>
      </c>
      <c r="B361" t="s">
        <v>29</v>
      </c>
    </row>
    <row r="362" spans="1:2" x14ac:dyDescent="0.3">
      <c r="A362">
        <v>51014596</v>
      </c>
      <c r="B362" t="s">
        <v>28</v>
      </c>
    </row>
    <row r="363" spans="1:2" x14ac:dyDescent="0.3">
      <c r="A363">
        <v>51006844</v>
      </c>
      <c r="B363" t="s">
        <v>33</v>
      </c>
    </row>
    <row r="364" spans="1:2" x14ac:dyDescent="0.3">
      <c r="A364">
        <v>51055845</v>
      </c>
      <c r="B364" t="s">
        <v>32</v>
      </c>
    </row>
    <row r="365" spans="1:2" x14ac:dyDescent="0.3">
      <c r="A365">
        <v>51056744</v>
      </c>
      <c r="B365" t="s">
        <v>28</v>
      </c>
    </row>
    <row r="366" spans="1:2" x14ac:dyDescent="0.3">
      <c r="A366">
        <v>51016831</v>
      </c>
      <c r="B366" t="s">
        <v>26</v>
      </c>
    </row>
    <row r="367" spans="1:2" x14ac:dyDescent="0.3">
      <c r="A367">
        <v>51007701</v>
      </c>
      <c r="B367" t="s">
        <v>30</v>
      </c>
    </row>
    <row r="368" spans="1:2" x14ac:dyDescent="0.3">
      <c r="A368">
        <v>51056817</v>
      </c>
      <c r="B368" t="s">
        <v>29</v>
      </c>
    </row>
    <row r="369" spans="1:2" x14ac:dyDescent="0.3">
      <c r="A369">
        <v>51023188</v>
      </c>
      <c r="B369" t="s">
        <v>26</v>
      </c>
    </row>
    <row r="370" spans="1:2" x14ac:dyDescent="0.3">
      <c r="A370">
        <v>51018508</v>
      </c>
      <c r="B370" t="s">
        <v>25</v>
      </c>
    </row>
    <row r="371" spans="1:2" x14ac:dyDescent="0.3">
      <c r="A371">
        <v>51020111</v>
      </c>
      <c r="B371" t="s">
        <v>32</v>
      </c>
    </row>
    <row r="372" spans="1:2" x14ac:dyDescent="0.3">
      <c r="A372">
        <v>51011627</v>
      </c>
      <c r="B372" t="s">
        <v>32</v>
      </c>
    </row>
    <row r="373" spans="1:2" x14ac:dyDescent="0.3">
      <c r="A373">
        <v>51034252</v>
      </c>
      <c r="B373" t="s">
        <v>33</v>
      </c>
    </row>
    <row r="374" spans="1:2" x14ac:dyDescent="0.3">
      <c r="A374">
        <v>51022955</v>
      </c>
      <c r="B374" t="s">
        <v>26</v>
      </c>
    </row>
    <row r="375" spans="1:2" x14ac:dyDescent="0.3">
      <c r="A375">
        <v>51033442</v>
      </c>
      <c r="B375" t="s">
        <v>31</v>
      </c>
    </row>
    <row r="376" spans="1:2" x14ac:dyDescent="0.3">
      <c r="A376">
        <v>51016866</v>
      </c>
      <c r="B376" t="s">
        <v>32</v>
      </c>
    </row>
    <row r="377" spans="1:2" x14ac:dyDescent="0.3">
      <c r="A377">
        <v>51014197</v>
      </c>
      <c r="B377" t="s">
        <v>30</v>
      </c>
    </row>
    <row r="378" spans="1:2" x14ac:dyDescent="0.3">
      <c r="A378">
        <v>51025938</v>
      </c>
      <c r="B378" t="s">
        <v>23</v>
      </c>
    </row>
    <row r="379" spans="1:2" x14ac:dyDescent="0.3">
      <c r="A379">
        <v>51023129</v>
      </c>
      <c r="B379" t="s">
        <v>30</v>
      </c>
    </row>
    <row r="380" spans="1:2" x14ac:dyDescent="0.3">
      <c r="A380">
        <v>51010833</v>
      </c>
      <c r="B380" t="s">
        <v>23</v>
      </c>
    </row>
    <row r="381" spans="1:2" x14ac:dyDescent="0.3">
      <c r="A381">
        <v>51004761</v>
      </c>
      <c r="B381" t="s">
        <v>25</v>
      </c>
    </row>
    <row r="382" spans="1:2" x14ac:dyDescent="0.3">
      <c r="A382">
        <v>51042905</v>
      </c>
      <c r="B382" t="s">
        <v>27</v>
      </c>
    </row>
    <row r="383" spans="1:2" x14ac:dyDescent="0.3">
      <c r="A383">
        <v>51033329</v>
      </c>
      <c r="B383" t="s">
        <v>29</v>
      </c>
    </row>
    <row r="384" spans="1:2" x14ac:dyDescent="0.3">
      <c r="A384">
        <v>51018524</v>
      </c>
      <c r="B384" t="s">
        <v>25</v>
      </c>
    </row>
    <row r="385" spans="1:2" x14ac:dyDescent="0.3">
      <c r="A385">
        <v>51026322</v>
      </c>
      <c r="B385" t="s">
        <v>26</v>
      </c>
    </row>
    <row r="386" spans="1:2" x14ac:dyDescent="0.3">
      <c r="A386">
        <v>51023307</v>
      </c>
      <c r="B386" t="s">
        <v>27</v>
      </c>
    </row>
    <row r="387" spans="1:2" x14ac:dyDescent="0.3">
      <c r="A387">
        <v>51009991</v>
      </c>
      <c r="B387" t="s">
        <v>26</v>
      </c>
    </row>
    <row r="388" spans="1:2" x14ac:dyDescent="0.3">
      <c r="A388">
        <v>51023927</v>
      </c>
      <c r="B388" t="s">
        <v>24</v>
      </c>
    </row>
    <row r="389" spans="1:2" x14ac:dyDescent="0.3">
      <c r="A389">
        <v>51056485</v>
      </c>
      <c r="B389" t="s">
        <v>30</v>
      </c>
    </row>
    <row r="390" spans="1:2" x14ac:dyDescent="0.3">
      <c r="A390">
        <v>51015924</v>
      </c>
      <c r="B390" t="s">
        <v>28</v>
      </c>
    </row>
    <row r="391" spans="1:2" x14ac:dyDescent="0.3">
      <c r="A391">
        <v>51031326</v>
      </c>
      <c r="B391" t="s">
        <v>31</v>
      </c>
    </row>
    <row r="392" spans="1:2" x14ac:dyDescent="0.3">
      <c r="A392">
        <v>51031946</v>
      </c>
      <c r="B392" t="s">
        <v>23</v>
      </c>
    </row>
    <row r="393" spans="1:2" x14ac:dyDescent="0.3">
      <c r="A393">
        <v>51014707</v>
      </c>
      <c r="B393" t="s">
        <v>30</v>
      </c>
    </row>
    <row r="394" spans="1:2" x14ac:dyDescent="0.3">
      <c r="A394">
        <v>51057058</v>
      </c>
      <c r="B394" t="s">
        <v>26</v>
      </c>
    </row>
    <row r="395" spans="1:2" x14ac:dyDescent="0.3">
      <c r="A395">
        <v>51002164</v>
      </c>
      <c r="B395" t="s">
        <v>23</v>
      </c>
    </row>
    <row r="396" spans="1:2" x14ac:dyDescent="0.3">
      <c r="A396">
        <v>51054938</v>
      </c>
      <c r="B396" t="s">
        <v>27</v>
      </c>
    </row>
    <row r="397" spans="1:2" x14ac:dyDescent="0.3">
      <c r="A397">
        <v>51013794</v>
      </c>
      <c r="B397" t="s">
        <v>27</v>
      </c>
    </row>
    <row r="398" spans="1:2" x14ac:dyDescent="0.3">
      <c r="A398">
        <v>51018389</v>
      </c>
      <c r="B398" t="s">
        <v>31</v>
      </c>
    </row>
    <row r="399" spans="1:2" x14ac:dyDescent="0.3">
      <c r="A399">
        <v>51056337</v>
      </c>
      <c r="B399" t="s">
        <v>33</v>
      </c>
    </row>
    <row r="400" spans="1:2" x14ac:dyDescent="0.3">
      <c r="A400">
        <v>51010914</v>
      </c>
      <c r="B400" t="s">
        <v>33</v>
      </c>
    </row>
    <row r="401" spans="1:2" x14ac:dyDescent="0.3">
      <c r="A401">
        <v>51055268</v>
      </c>
      <c r="B401" t="s">
        <v>25</v>
      </c>
    </row>
    <row r="402" spans="1:2" x14ac:dyDescent="0.3">
      <c r="A402">
        <v>51018966</v>
      </c>
      <c r="B402" t="s">
        <v>25</v>
      </c>
    </row>
    <row r="403" spans="1:2" x14ac:dyDescent="0.3">
      <c r="A403">
        <v>51041666</v>
      </c>
      <c r="B403" t="s">
        <v>31</v>
      </c>
    </row>
    <row r="404" spans="1:2" x14ac:dyDescent="0.3">
      <c r="A404">
        <v>51056183</v>
      </c>
      <c r="B404" t="s">
        <v>25</v>
      </c>
    </row>
    <row r="405" spans="1:2" x14ac:dyDescent="0.3">
      <c r="A405">
        <v>51019415</v>
      </c>
      <c r="B405" t="s">
        <v>26</v>
      </c>
    </row>
    <row r="406" spans="1:2" x14ac:dyDescent="0.3">
      <c r="A406">
        <v>51021631</v>
      </c>
      <c r="B406" t="s">
        <v>31</v>
      </c>
    </row>
    <row r="407" spans="1:2" x14ac:dyDescent="0.3">
      <c r="A407">
        <v>51016785</v>
      </c>
      <c r="B407" t="s">
        <v>32</v>
      </c>
    </row>
    <row r="408" spans="1:2" x14ac:dyDescent="0.3">
      <c r="A408">
        <v>51033086</v>
      </c>
      <c r="B408" t="s">
        <v>26</v>
      </c>
    </row>
    <row r="409" spans="1:2" x14ac:dyDescent="0.3">
      <c r="A409">
        <v>51055985</v>
      </c>
      <c r="B409" t="s">
        <v>27</v>
      </c>
    </row>
    <row r="410" spans="1:2" x14ac:dyDescent="0.3">
      <c r="A410">
        <v>51055101</v>
      </c>
      <c r="B410" t="s">
        <v>30</v>
      </c>
    </row>
    <row r="411" spans="1:2" x14ac:dyDescent="0.3">
      <c r="A411">
        <v>51013930</v>
      </c>
      <c r="B411" t="s">
        <v>27</v>
      </c>
    </row>
    <row r="412" spans="1:2" x14ac:dyDescent="0.3">
      <c r="A412">
        <v>51019342</v>
      </c>
      <c r="B412" t="s">
        <v>25</v>
      </c>
    </row>
    <row r="413" spans="1:2" x14ac:dyDescent="0.3">
      <c r="A413">
        <v>51028015</v>
      </c>
      <c r="B413" t="s">
        <v>25</v>
      </c>
    </row>
    <row r="414" spans="1:2" x14ac:dyDescent="0.3">
      <c r="A414">
        <v>51038932</v>
      </c>
      <c r="B414" t="s">
        <v>32</v>
      </c>
    </row>
    <row r="415" spans="1:2" x14ac:dyDescent="0.3">
      <c r="A415">
        <v>51012887</v>
      </c>
      <c r="B415" t="s">
        <v>24</v>
      </c>
    </row>
    <row r="416" spans="1:2" x14ac:dyDescent="0.3">
      <c r="A416">
        <v>51056931</v>
      </c>
      <c r="B416" t="s">
        <v>31</v>
      </c>
    </row>
    <row r="417" spans="1:2" x14ac:dyDescent="0.3">
      <c r="A417">
        <v>51017579</v>
      </c>
      <c r="B417" t="s">
        <v>28</v>
      </c>
    </row>
    <row r="418" spans="1:2" x14ac:dyDescent="0.3">
      <c r="A418">
        <v>51033795</v>
      </c>
      <c r="B418" t="s">
        <v>29</v>
      </c>
    </row>
    <row r="419" spans="1:2" x14ac:dyDescent="0.3">
      <c r="A419">
        <v>51012348</v>
      </c>
      <c r="B419" t="s">
        <v>27</v>
      </c>
    </row>
    <row r="420" spans="1:2" x14ac:dyDescent="0.3">
      <c r="A420">
        <v>51017226</v>
      </c>
      <c r="B420" t="s">
        <v>26</v>
      </c>
    </row>
    <row r="421" spans="1:2" x14ac:dyDescent="0.3">
      <c r="A421">
        <v>51021461</v>
      </c>
      <c r="B421" t="s">
        <v>31</v>
      </c>
    </row>
    <row r="422" spans="1:2" x14ac:dyDescent="0.3">
      <c r="A422">
        <v>51022009</v>
      </c>
      <c r="B422" t="s">
        <v>30</v>
      </c>
    </row>
    <row r="423" spans="1:2" x14ac:dyDescent="0.3">
      <c r="A423">
        <v>51018729</v>
      </c>
      <c r="B423" t="s">
        <v>23</v>
      </c>
    </row>
    <row r="424" spans="1:2" x14ac:dyDescent="0.3">
      <c r="A424">
        <v>51014774</v>
      </c>
      <c r="B424" t="s">
        <v>30</v>
      </c>
    </row>
    <row r="425" spans="1:2" x14ac:dyDescent="0.3">
      <c r="A425">
        <v>51030982</v>
      </c>
      <c r="B425" t="s">
        <v>28</v>
      </c>
    </row>
    <row r="426" spans="1:2" x14ac:dyDescent="0.3">
      <c r="A426">
        <v>51055616</v>
      </c>
      <c r="B426" t="s">
        <v>26</v>
      </c>
    </row>
    <row r="427" spans="1:2" x14ac:dyDescent="0.3">
      <c r="A427">
        <v>51020308</v>
      </c>
      <c r="B427" t="s">
        <v>29</v>
      </c>
    </row>
    <row r="428" spans="1:2" x14ac:dyDescent="0.3">
      <c r="A428">
        <v>51004086</v>
      </c>
      <c r="B428" t="s">
        <v>27</v>
      </c>
    </row>
    <row r="429" spans="1:2" x14ac:dyDescent="0.3">
      <c r="A429">
        <v>51032284</v>
      </c>
      <c r="B429" t="s">
        <v>27</v>
      </c>
    </row>
    <row r="430" spans="1:2" x14ac:dyDescent="0.3">
      <c r="A430">
        <v>51017111</v>
      </c>
      <c r="B430" t="s">
        <v>25</v>
      </c>
    </row>
    <row r="431" spans="1:2" x14ac:dyDescent="0.3">
      <c r="A431">
        <v>51056159</v>
      </c>
      <c r="B431" t="s">
        <v>26</v>
      </c>
    </row>
    <row r="432" spans="1:2" x14ac:dyDescent="0.3">
      <c r="A432">
        <v>51026527</v>
      </c>
      <c r="B432" t="s">
        <v>29</v>
      </c>
    </row>
    <row r="433" spans="1:2" x14ac:dyDescent="0.3">
      <c r="A433">
        <v>51013859</v>
      </c>
      <c r="B433" t="s">
        <v>33</v>
      </c>
    </row>
    <row r="434" spans="1:2" x14ac:dyDescent="0.3">
      <c r="A434">
        <v>51038762</v>
      </c>
      <c r="B434" t="s">
        <v>29</v>
      </c>
    </row>
    <row r="435" spans="1:2" x14ac:dyDescent="0.3">
      <c r="A435">
        <v>51004698</v>
      </c>
      <c r="B435" t="s">
        <v>29</v>
      </c>
    </row>
    <row r="436" spans="1:2" x14ac:dyDescent="0.3">
      <c r="A436">
        <v>51010710</v>
      </c>
      <c r="B436" t="s">
        <v>24</v>
      </c>
    </row>
    <row r="437" spans="1:2" x14ac:dyDescent="0.3">
      <c r="A437">
        <v>51055322</v>
      </c>
      <c r="B437" t="s">
        <v>33</v>
      </c>
    </row>
    <row r="438" spans="1:2" x14ac:dyDescent="0.3">
      <c r="A438">
        <v>51030443</v>
      </c>
      <c r="B438" t="s">
        <v>25</v>
      </c>
    </row>
    <row r="439" spans="1:2" x14ac:dyDescent="0.3">
      <c r="A439">
        <v>51012623</v>
      </c>
      <c r="B439" t="s">
        <v>31</v>
      </c>
    </row>
    <row r="440" spans="1:2" x14ac:dyDescent="0.3">
      <c r="A440">
        <v>51056582</v>
      </c>
      <c r="B440" t="s">
        <v>30</v>
      </c>
    </row>
    <row r="441" spans="1:2" x14ac:dyDescent="0.3">
      <c r="A441">
        <v>51055918</v>
      </c>
      <c r="B441" t="s">
        <v>32</v>
      </c>
    </row>
    <row r="442" spans="1:2" x14ac:dyDescent="0.3">
      <c r="A442">
        <v>51056701</v>
      </c>
      <c r="B442" t="s">
        <v>25</v>
      </c>
    </row>
    <row r="443" spans="1:2" x14ac:dyDescent="0.3">
      <c r="A443">
        <v>51055772</v>
      </c>
      <c r="B443" t="s">
        <v>27</v>
      </c>
    </row>
    <row r="444" spans="1:2" x14ac:dyDescent="0.3">
      <c r="A444">
        <v>51013182</v>
      </c>
      <c r="B444" t="s">
        <v>28</v>
      </c>
    </row>
    <row r="445" spans="1:2" x14ac:dyDescent="0.3">
      <c r="A445">
        <v>51036638</v>
      </c>
      <c r="B445" t="s">
        <v>32</v>
      </c>
    </row>
    <row r="446" spans="1:2" x14ac:dyDescent="0.3">
      <c r="A446">
        <v>51010817</v>
      </c>
      <c r="B446" t="s">
        <v>29</v>
      </c>
    </row>
    <row r="447" spans="1:2" x14ac:dyDescent="0.3">
      <c r="A447">
        <v>51055641</v>
      </c>
      <c r="B447" t="s">
        <v>28</v>
      </c>
    </row>
    <row r="448" spans="1:2" x14ac:dyDescent="0.3">
      <c r="A448">
        <v>51055632</v>
      </c>
      <c r="B448" t="s">
        <v>26</v>
      </c>
    </row>
    <row r="449" spans="1:2" x14ac:dyDescent="0.3">
      <c r="A449">
        <v>51038819</v>
      </c>
      <c r="B449" t="s">
        <v>23</v>
      </c>
    </row>
    <row r="450" spans="1:2" x14ac:dyDescent="0.3">
      <c r="A450">
        <v>51017676</v>
      </c>
      <c r="B450" t="s">
        <v>23</v>
      </c>
    </row>
    <row r="451" spans="1:2" x14ac:dyDescent="0.3">
      <c r="A451">
        <v>51012941</v>
      </c>
      <c r="B451" t="s">
        <v>33</v>
      </c>
    </row>
    <row r="452" spans="1:2" x14ac:dyDescent="0.3">
      <c r="A452">
        <v>51022106</v>
      </c>
      <c r="B452" t="s">
        <v>30</v>
      </c>
    </row>
    <row r="453" spans="1:2" x14ac:dyDescent="0.3">
      <c r="A453">
        <v>51022149</v>
      </c>
      <c r="B453" t="s">
        <v>28</v>
      </c>
    </row>
    <row r="454" spans="1:2" x14ac:dyDescent="0.3">
      <c r="A454">
        <v>51036107</v>
      </c>
      <c r="B454" t="s">
        <v>26</v>
      </c>
    </row>
    <row r="455" spans="1:2" x14ac:dyDescent="0.3">
      <c r="A455">
        <v>51056523</v>
      </c>
      <c r="B455" t="s">
        <v>25</v>
      </c>
    </row>
    <row r="456" spans="1:2" x14ac:dyDescent="0.3">
      <c r="A456">
        <v>51023439</v>
      </c>
      <c r="B456" t="s">
        <v>27</v>
      </c>
    </row>
    <row r="457" spans="1:2" x14ac:dyDescent="0.3">
      <c r="A457">
        <v>51022068</v>
      </c>
      <c r="B457" t="s">
        <v>23</v>
      </c>
    </row>
    <row r="458" spans="1:2" x14ac:dyDescent="0.3">
      <c r="A458">
        <v>51010761</v>
      </c>
      <c r="B458" t="s">
        <v>25</v>
      </c>
    </row>
    <row r="459" spans="1:2" x14ac:dyDescent="0.3">
      <c r="A459">
        <v>51040333</v>
      </c>
      <c r="B459" t="s">
        <v>33</v>
      </c>
    </row>
    <row r="460" spans="1:2" x14ac:dyDescent="0.3">
      <c r="A460">
        <v>51022866</v>
      </c>
      <c r="B460" t="s">
        <v>24</v>
      </c>
    </row>
    <row r="461" spans="1:2" x14ac:dyDescent="0.3">
      <c r="A461">
        <v>51027108</v>
      </c>
      <c r="B461" t="s">
        <v>23</v>
      </c>
    </row>
    <row r="462" spans="1:2" x14ac:dyDescent="0.3">
      <c r="A462">
        <v>51020189</v>
      </c>
      <c r="B462" t="s">
        <v>32</v>
      </c>
    </row>
    <row r="463" spans="1:2" x14ac:dyDescent="0.3">
      <c r="A463">
        <v>51010728</v>
      </c>
      <c r="B463" t="s">
        <v>30</v>
      </c>
    </row>
    <row r="464" spans="1:2" x14ac:dyDescent="0.3">
      <c r="A464">
        <v>51043847</v>
      </c>
      <c r="B464" t="s">
        <v>29</v>
      </c>
    </row>
    <row r="465" spans="1:2" x14ac:dyDescent="0.3">
      <c r="A465">
        <v>51029038</v>
      </c>
      <c r="B465" t="s">
        <v>28</v>
      </c>
    </row>
    <row r="466" spans="1:2" x14ac:dyDescent="0.3">
      <c r="A466">
        <v>51017081</v>
      </c>
      <c r="B466" t="s">
        <v>29</v>
      </c>
    </row>
    <row r="467" spans="1:2" x14ac:dyDescent="0.3">
      <c r="A467">
        <v>51011490</v>
      </c>
      <c r="B467" t="s">
        <v>26</v>
      </c>
    </row>
    <row r="468" spans="1:2" x14ac:dyDescent="0.3">
      <c r="A468">
        <v>51040325</v>
      </c>
      <c r="B468" t="s">
        <v>23</v>
      </c>
    </row>
    <row r="469" spans="1:2" x14ac:dyDescent="0.3">
      <c r="A469">
        <v>51011660</v>
      </c>
      <c r="B469" t="s">
        <v>30</v>
      </c>
    </row>
    <row r="470" spans="1:2" x14ac:dyDescent="0.3">
      <c r="A470">
        <v>51056949</v>
      </c>
      <c r="B470" t="s">
        <v>31</v>
      </c>
    </row>
    <row r="471" spans="1:2" x14ac:dyDescent="0.3">
      <c r="A471">
        <v>51036212</v>
      </c>
      <c r="B471" t="s">
        <v>30</v>
      </c>
    </row>
    <row r="472" spans="1:2" x14ac:dyDescent="0.3">
      <c r="A472">
        <v>51015657</v>
      </c>
      <c r="B472" t="s">
        <v>31</v>
      </c>
    </row>
    <row r="473" spans="1:2" x14ac:dyDescent="0.3">
      <c r="A473">
        <v>51039777</v>
      </c>
      <c r="B473" t="s">
        <v>30</v>
      </c>
    </row>
    <row r="474" spans="1:2" x14ac:dyDescent="0.3">
      <c r="A474">
        <v>51024524</v>
      </c>
      <c r="B474" t="s">
        <v>33</v>
      </c>
    </row>
    <row r="475" spans="1:2" x14ac:dyDescent="0.3">
      <c r="A475">
        <v>51056671</v>
      </c>
      <c r="B475" t="s">
        <v>31</v>
      </c>
    </row>
    <row r="476" spans="1:2" x14ac:dyDescent="0.3">
      <c r="A476">
        <v>51016131</v>
      </c>
      <c r="B476" t="s">
        <v>26</v>
      </c>
    </row>
    <row r="477" spans="1:2" x14ac:dyDescent="0.3">
      <c r="A477">
        <v>51038657</v>
      </c>
      <c r="B477" t="s">
        <v>33</v>
      </c>
    </row>
    <row r="478" spans="1:2" x14ac:dyDescent="0.3">
      <c r="A478">
        <v>51041259</v>
      </c>
      <c r="B478" t="s">
        <v>24</v>
      </c>
    </row>
    <row r="479" spans="1:2" x14ac:dyDescent="0.3">
      <c r="A479">
        <v>51035828</v>
      </c>
      <c r="B479" t="s">
        <v>31</v>
      </c>
    </row>
    <row r="480" spans="1:2" x14ac:dyDescent="0.3">
      <c r="A480">
        <v>51030141</v>
      </c>
      <c r="B480" t="s">
        <v>28</v>
      </c>
    </row>
    <row r="481" spans="1:2" x14ac:dyDescent="0.3">
      <c r="A481">
        <v>51041798</v>
      </c>
      <c r="B481" t="s">
        <v>33</v>
      </c>
    </row>
    <row r="482" spans="1:2" x14ac:dyDescent="0.3">
      <c r="A482">
        <v>51019814</v>
      </c>
      <c r="B482" t="s">
        <v>26</v>
      </c>
    </row>
    <row r="483" spans="1:2" x14ac:dyDescent="0.3">
      <c r="A483">
        <v>51056621</v>
      </c>
      <c r="B483" t="s">
        <v>23</v>
      </c>
    </row>
    <row r="484" spans="1:2" x14ac:dyDescent="0.3">
      <c r="A484">
        <v>51011091</v>
      </c>
      <c r="B484" t="s">
        <v>31</v>
      </c>
    </row>
    <row r="485" spans="1:2" x14ac:dyDescent="0.3">
      <c r="A485">
        <v>51017552</v>
      </c>
      <c r="B485" t="s">
        <v>23</v>
      </c>
    </row>
    <row r="486" spans="1:2" x14ac:dyDescent="0.3">
      <c r="A486">
        <v>51038886</v>
      </c>
      <c r="B486" t="s">
        <v>33</v>
      </c>
    </row>
    <row r="487" spans="1:2" x14ac:dyDescent="0.3">
      <c r="A487">
        <v>51025253</v>
      </c>
      <c r="B487" t="s">
        <v>32</v>
      </c>
    </row>
    <row r="488" spans="1:2" x14ac:dyDescent="0.3">
      <c r="A488">
        <v>51031407</v>
      </c>
      <c r="B488" t="s">
        <v>30</v>
      </c>
    </row>
    <row r="489" spans="1:2" x14ac:dyDescent="0.3">
      <c r="A489">
        <v>51056019</v>
      </c>
      <c r="B489" t="s">
        <v>28</v>
      </c>
    </row>
    <row r="490" spans="1:2" x14ac:dyDescent="0.3">
      <c r="A490">
        <v>51035666</v>
      </c>
      <c r="B490" t="s">
        <v>31</v>
      </c>
    </row>
    <row r="491" spans="1:2" x14ac:dyDescent="0.3">
      <c r="A491">
        <v>51056493</v>
      </c>
      <c r="B491" t="s">
        <v>29</v>
      </c>
    </row>
    <row r="492" spans="1:2" x14ac:dyDescent="0.3">
      <c r="A492">
        <v>51018265</v>
      </c>
      <c r="B492" t="s">
        <v>23</v>
      </c>
    </row>
    <row r="493" spans="1:2" x14ac:dyDescent="0.3">
      <c r="A493">
        <v>51055454</v>
      </c>
      <c r="B493" t="s">
        <v>31</v>
      </c>
    </row>
    <row r="494" spans="1:2" x14ac:dyDescent="0.3">
      <c r="A494">
        <v>51021673</v>
      </c>
      <c r="B494" t="s">
        <v>24</v>
      </c>
    </row>
    <row r="495" spans="1:2" x14ac:dyDescent="0.3">
      <c r="A495">
        <v>51038878</v>
      </c>
      <c r="B495" t="s">
        <v>29</v>
      </c>
    </row>
    <row r="496" spans="1:2" x14ac:dyDescent="0.3">
      <c r="A496">
        <v>51030222</v>
      </c>
      <c r="B496" t="s">
        <v>31</v>
      </c>
    </row>
    <row r="497" spans="1:2" x14ac:dyDescent="0.3">
      <c r="A497">
        <v>51026578</v>
      </c>
      <c r="B497" t="s">
        <v>23</v>
      </c>
    </row>
    <row r="498" spans="1:2" x14ac:dyDescent="0.3">
      <c r="A498">
        <v>51014251</v>
      </c>
      <c r="B498" t="s">
        <v>28</v>
      </c>
    </row>
    <row r="499" spans="1:2" x14ac:dyDescent="0.3">
      <c r="A499">
        <v>51016408</v>
      </c>
      <c r="B499" t="s">
        <v>26</v>
      </c>
    </row>
    <row r="500" spans="1:2" x14ac:dyDescent="0.3">
      <c r="A500">
        <v>51020162</v>
      </c>
      <c r="B500" t="s">
        <v>31</v>
      </c>
    </row>
    <row r="501" spans="1:2" x14ac:dyDescent="0.3">
      <c r="A501">
        <v>51055756</v>
      </c>
      <c r="B501" t="s">
        <v>33</v>
      </c>
    </row>
    <row r="502" spans="1:2" x14ac:dyDescent="0.3">
      <c r="A502">
        <v>51020979</v>
      </c>
      <c r="B502" t="s">
        <v>27</v>
      </c>
    </row>
    <row r="503" spans="1:2" x14ac:dyDescent="0.3">
      <c r="A503">
        <v>51031491</v>
      </c>
      <c r="B503" t="s">
        <v>24</v>
      </c>
    </row>
    <row r="504" spans="1:2" x14ac:dyDescent="0.3">
      <c r="A504">
        <v>51054822</v>
      </c>
      <c r="B504" t="s">
        <v>27</v>
      </c>
    </row>
    <row r="505" spans="1:2" x14ac:dyDescent="0.3">
      <c r="A505">
        <v>51011601</v>
      </c>
      <c r="B505" t="s">
        <v>26</v>
      </c>
    </row>
    <row r="506" spans="1:2" x14ac:dyDescent="0.3">
      <c r="A506">
        <v>51042921</v>
      </c>
      <c r="B506" t="s">
        <v>30</v>
      </c>
    </row>
    <row r="507" spans="1:2" x14ac:dyDescent="0.3">
      <c r="A507">
        <v>51042042</v>
      </c>
      <c r="B507" t="s">
        <v>31</v>
      </c>
    </row>
    <row r="508" spans="1:2" x14ac:dyDescent="0.3">
      <c r="A508">
        <v>51056736</v>
      </c>
      <c r="B508" t="s">
        <v>31</v>
      </c>
    </row>
    <row r="509" spans="1:2" x14ac:dyDescent="0.3">
      <c r="A509">
        <v>51039157</v>
      </c>
      <c r="B509" t="s">
        <v>28</v>
      </c>
    </row>
    <row r="510" spans="1:2" x14ac:dyDescent="0.3">
      <c r="A510">
        <v>51036085</v>
      </c>
      <c r="B510" t="s">
        <v>29</v>
      </c>
    </row>
    <row r="511" spans="1:2" x14ac:dyDescent="0.3">
      <c r="A511">
        <v>51056205</v>
      </c>
      <c r="B511" t="s">
        <v>23</v>
      </c>
    </row>
    <row r="512" spans="1:2" x14ac:dyDescent="0.3">
      <c r="A512">
        <v>51014260</v>
      </c>
      <c r="B512" t="s">
        <v>29</v>
      </c>
    </row>
    <row r="513" spans="1:2" x14ac:dyDescent="0.3">
      <c r="A513">
        <v>51041801</v>
      </c>
      <c r="B513" t="s">
        <v>24</v>
      </c>
    </row>
    <row r="514" spans="1:2" x14ac:dyDescent="0.3">
      <c r="A514">
        <v>51015932</v>
      </c>
      <c r="B514" t="s">
        <v>33</v>
      </c>
    </row>
    <row r="515" spans="1:2" x14ac:dyDescent="0.3">
      <c r="A515">
        <v>51021207</v>
      </c>
      <c r="B515" t="s">
        <v>27</v>
      </c>
    </row>
    <row r="516" spans="1:2" x14ac:dyDescent="0.3">
      <c r="A516">
        <v>51030371</v>
      </c>
      <c r="B516" t="s">
        <v>30</v>
      </c>
    </row>
    <row r="517" spans="1:2" x14ac:dyDescent="0.3">
      <c r="A517">
        <v>51055390</v>
      </c>
      <c r="B517" t="s">
        <v>29</v>
      </c>
    </row>
    <row r="518" spans="1:2" x14ac:dyDescent="0.3">
      <c r="A518">
        <v>51003365</v>
      </c>
      <c r="B518" t="s">
        <v>24</v>
      </c>
    </row>
    <row r="519" spans="1:2" x14ac:dyDescent="0.3">
      <c r="A519">
        <v>51011147</v>
      </c>
      <c r="B519" t="s">
        <v>28</v>
      </c>
    </row>
    <row r="520" spans="1:2" x14ac:dyDescent="0.3">
      <c r="A520">
        <v>51038673</v>
      </c>
      <c r="B520" t="s">
        <v>27</v>
      </c>
    </row>
    <row r="521" spans="1:2" x14ac:dyDescent="0.3">
      <c r="A521">
        <v>51020651</v>
      </c>
      <c r="B521" t="s">
        <v>32</v>
      </c>
    </row>
    <row r="522" spans="1:2" x14ac:dyDescent="0.3">
      <c r="A522">
        <v>51017056</v>
      </c>
      <c r="B522" t="s">
        <v>23</v>
      </c>
    </row>
    <row r="523" spans="1:2" x14ac:dyDescent="0.3">
      <c r="A523">
        <v>51056272</v>
      </c>
      <c r="B523" t="s">
        <v>33</v>
      </c>
    </row>
    <row r="524" spans="1:2" x14ac:dyDescent="0.3">
      <c r="A524">
        <v>51056442</v>
      </c>
      <c r="B524" t="s">
        <v>30</v>
      </c>
    </row>
    <row r="525" spans="1:2" x14ac:dyDescent="0.3">
      <c r="A525">
        <v>51027116</v>
      </c>
      <c r="B525" t="s">
        <v>33</v>
      </c>
    </row>
    <row r="526" spans="1:2" x14ac:dyDescent="0.3">
      <c r="A526">
        <v>51055144</v>
      </c>
      <c r="B526" t="s">
        <v>24</v>
      </c>
    </row>
    <row r="527" spans="1:2" x14ac:dyDescent="0.3">
      <c r="A527">
        <v>51010426</v>
      </c>
      <c r="B527" t="s">
        <v>31</v>
      </c>
    </row>
    <row r="528" spans="1:2" x14ac:dyDescent="0.3">
      <c r="A528">
        <v>51055730</v>
      </c>
      <c r="B528" t="s">
        <v>23</v>
      </c>
    </row>
    <row r="529" spans="1:2" x14ac:dyDescent="0.3">
      <c r="A529">
        <v>51057040</v>
      </c>
      <c r="B529" t="s">
        <v>26</v>
      </c>
    </row>
    <row r="530" spans="1:2" x14ac:dyDescent="0.3">
      <c r="A530">
        <v>51021282</v>
      </c>
      <c r="B530" t="s">
        <v>23</v>
      </c>
    </row>
    <row r="531" spans="1:2" x14ac:dyDescent="0.3">
      <c r="A531">
        <v>51031881</v>
      </c>
      <c r="B531" t="s">
        <v>26</v>
      </c>
    </row>
    <row r="532" spans="1:2" x14ac:dyDescent="0.3">
      <c r="A532">
        <v>51018427</v>
      </c>
      <c r="B532" t="s">
        <v>28</v>
      </c>
    </row>
    <row r="533" spans="1:2" x14ac:dyDescent="0.3">
      <c r="A533">
        <v>51018826</v>
      </c>
      <c r="B533" t="s">
        <v>24</v>
      </c>
    </row>
    <row r="534" spans="1:2" x14ac:dyDescent="0.3">
      <c r="A534">
        <v>51003616</v>
      </c>
      <c r="B534" t="s">
        <v>26</v>
      </c>
    </row>
    <row r="535" spans="1:2" x14ac:dyDescent="0.3">
      <c r="A535">
        <v>51012593</v>
      </c>
      <c r="B535" t="s">
        <v>28</v>
      </c>
    </row>
    <row r="536" spans="1:2" x14ac:dyDescent="0.3">
      <c r="A536">
        <v>51018699</v>
      </c>
      <c r="B536" t="s">
        <v>24</v>
      </c>
    </row>
    <row r="537" spans="1:2" x14ac:dyDescent="0.3">
      <c r="A537">
        <v>51038797</v>
      </c>
      <c r="B537" t="s">
        <v>27</v>
      </c>
    </row>
    <row r="538" spans="1:2" x14ac:dyDescent="0.3">
      <c r="A538">
        <v>51011708</v>
      </c>
      <c r="B538" t="s">
        <v>24</v>
      </c>
    </row>
    <row r="539" spans="1:2" x14ac:dyDescent="0.3">
      <c r="A539">
        <v>51023528</v>
      </c>
      <c r="B539" t="s">
        <v>33</v>
      </c>
    </row>
    <row r="540" spans="1:2" x14ac:dyDescent="0.3">
      <c r="A540">
        <v>51016394</v>
      </c>
      <c r="B540" t="s">
        <v>31</v>
      </c>
    </row>
    <row r="541" spans="1:2" x14ac:dyDescent="0.3">
      <c r="A541">
        <v>51034236</v>
      </c>
      <c r="B541" t="s">
        <v>25</v>
      </c>
    </row>
    <row r="542" spans="1:2" x14ac:dyDescent="0.3">
      <c r="A542">
        <v>51004108</v>
      </c>
      <c r="B542" t="s">
        <v>30</v>
      </c>
    </row>
    <row r="543" spans="1:2" x14ac:dyDescent="0.3">
      <c r="A543">
        <v>51056086</v>
      </c>
      <c r="B543" t="s">
        <v>32</v>
      </c>
    </row>
    <row r="544" spans="1:2" x14ac:dyDescent="0.3">
      <c r="A544">
        <v>51026799</v>
      </c>
      <c r="B544" t="s">
        <v>30</v>
      </c>
    </row>
    <row r="545" spans="1:2" x14ac:dyDescent="0.3">
      <c r="A545">
        <v>51021886</v>
      </c>
      <c r="B545" t="s">
        <v>26</v>
      </c>
    </row>
    <row r="546" spans="1:2" x14ac:dyDescent="0.3">
      <c r="A546">
        <v>51042875</v>
      </c>
      <c r="B546" t="s">
        <v>25</v>
      </c>
    </row>
    <row r="547" spans="1:2" x14ac:dyDescent="0.3">
      <c r="A547">
        <v>51023277</v>
      </c>
      <c r="B547" t="s">
        <v>30</v>
      </c>
    </row>
    <row r="548" spans="1:2" x14ac:dyDescent="0.3">
      <c r="A548">
        <v>51018869</v>
      </c>
      <c r="B548" t="s">
        <v>33</v>
      </c>
    </row>
    <row r="549" spans="1:2" x14ac:dyDescent="0.3">
      <c r="A549">
        <v>51028040</v>
      </c>
      <c r="B549" t="s">
        <v>23</v>
      </c>
    </row>
    <row r="550" spans="1:2" x14ac:dyDescent="0.3">
      <c r="A550">
        <v>51055411</v>
      </c>
      <c r="B550" t="s">
        <v>29</v>
      </c>
    </row>
    <row r="551" spans="1:2" x14ac:dyDescent="0.3">
      <c r="A551">
        <v>51010736</v>
      </c>
      <c r="B551" t="s">
        <v>29</v>
      </c>
    </row>
    <row r="552" spans="1:2" x14ac:dyDescent="0.3">
      <c r="A552">
        <v>51015207</v>
      </c>
      <c r="B552" t="s">
        <v>27</v>
      </c>
    </row>
    <row r="553" spans="1:2" x14ac:dyDescent="0.3">
      <c r="A553">
        <v>51019946</v>
      </c>
      <c r="B553" t="s">
        <v>31</v>
      </c>
    </row>
    <row r="554" spans="1:2" x14ac:dyDescent="0.3">
      <c r="A554">
        <v>51017820</v>
      </c>
      <c r="B554" t="s">
        <v>26</v>
      </c>
    </row>
    <row r="555" spans="1:2" x14ac:dyDescent="0.3">
      <c r="A555">
        <v>51034228</v>
      </c>
      <c r="B555" t="s">
        <v>27</v>
      </c>
    </row>
    <row r="556" spans="1:2" x14ac:dyDescent="0.3">
      <c r="A556">
        <v>51056990</v>
      </c>
      <c r="B556" t="s">
        <v>32</v>
      </c>
    </row>
    <row r="557" spans="1:2" x14ac:dyDescent="0.3">
      <c r="A557">
        <v>51018486</v>
      </c>
      <c r="B557" t="s">
        <v>28</v>
      </c>
    </row>
    <row r="558" spans="1:2" x14ac:dyDescent="0.3">
      <c r="A558">
        <v>51039815</v>
      </c>
      <c r="B558" t="s">
        <v>29</v>
      </c>
    </row>
    <row r="559" spans="1:2" x14ac:dyDescent="0.3">
      <c r="A559">
        <v>51042158</v>
      </c>
      <c r="B559" t="s">
        <v>25</v>
      </c>
    </row>
    <row r="560" spans="1:2" x14ac:dyDescent="0.3">
      <c r="A560">
        <v>51056345</v>
      </c>
      <c r="B560" t="s">
        <v>29</v>
      </c>
    </row>
    <row r="561" spans="1:2" x14ac:dyDescent="0.3">
      <c r="A561">
        <v>51035879</v>
      </c>
      <c r="B561" t="s">
        <v>31</v>
      </c>
    </row>
    <row r="562" spans="1:2" x14ac:dyDescent="0.3">
      <c r="A562">
        <v>51008294</v>
      </c>
      <c r="B562" t="s">
        <v>27</v>
      </c>
    </row>
    <row r="563" spans="1:2" x14ac:dyDescent="0.3">
      <c r="A563">
        <v>51021380</v>
      </c>
      <c r="B563" t="s">
        <v>33</v>
      </c>
    </row>
    <row r="564" spans="1:2" x14ac:dyDescent="0.3">
      <c r="A564">
        <v>51000196</v>
      </c>
      <c r="B564" t="s">
        <v>29</v>
      </c>
    </row>
    <row r="565" spans="1:2" x14ac:dyDescent="0.3">
      <c r="A565">
        <v>51021321</v>
      </c>
      <c r="B565" t="s">
        <v>32</v>
      </c>
    </row>
    <row r="566" spans="1:2" x14ac:dyDescent="0.3">
      <c r="A566">
        <v>51056655</v>
      </c>
      <c r="B566" t="s">
        <v>27</v>
      </c>
    </row>
    <row r="567" spans="1:2" x14ac:dyDescent="0.3">
      <c r="A567">
        <v>51030478</v>
      </c>
      <c r="B567" t="s">
        <v>28</v>
      </c>
    </row>
    <row r="568" spans="1:2" x14ac:dyDescent="0.3">
      <c r="A568">
        <v>51010035</v>
      </c>
      <c r="B568" t="s">
        <v>29</v>
      </c>
    </row>
    <row r="569" spans="1:2" x14ac:dyDescent="0.3">
      <c r="A569">
        <v>51039238</v>
      </c>
      <c r="B569" t="s">
        <v>24</v>
      </c>
    </row>
    <row r="570" spans="1:2" x14ac:dyDescent="0.3">
      <c r="A570">
        <v>51021584</v>
      </c>
      <c r="B570" t="s">
        <v>25</v>
      </c>
    </row>
    <row r="571" spans="1:2" x14ac:dyDescent="0.3">
      <c r="A571">
        <v>51013735</v>
      </c>
      <c r="B571" t="s">
        <v>29</v>
      </c>
    </row>
    <row r="572" spans="1:2" x14ac:dyDescent="0.3">
      <c r="A572">
        <v>51021622</v>
      </c>
      <c r="B572" t="s">
        <v>23</v>
      </c>
    </row>
    <row r="573" spans="1:2" x14ac:dyDescent="0.3">
      <c r="A573">
        <v>51055594</v>
      </c>
      <c r="B573" t="s">
        <v>30</v>
      </c>
    </row>
    <row r="574" spans="1:2" x14ac:dyDescent="0.3">
      <c r="A574">
        <v>51012062</v>
      </c>
      <c r="B574" t="s">
        <v>32</v>
      </c>
    </row>
    <row r="575" spans="1:2" x14ac:dyDescent="0.3">
      <c r="A575">
        <v>51033621</v>
      </c>
      <c r="B575" t="s">
        <v>29</v>
      </c>
    </row>
    <row r="576" spans="1:2" x14ac:dyDescent="0.3">
      <c r="A576">
        <v>51055896</v>
      </c>
      <c r="B576" t="s">
        <v>33</v>
      </c>
    </row>
    <row r="577" spans="1:2" x14ac:dyDescent="0.3">
      <c r="A577">
        <v>51003730</v>
      </c>
      <c r="B577" t="s">
        <v>32</v>
      </c>
    </row>
    <row r="578" spans="1:2" x14ac:dyDescent="0.3">
      <c r="A578">
        <v>51054814</v>
      </c>
      <c r="B578" t="s">
        <v>28</v>
      </c>
    </row>
    <row r="579" spans="1:2" x14ac:dyDescent="0.3">
      <c r="A579">
        <v>51021665</v>
      </c>
      <c r="B579" t="s">
        <v>29</v>
      </c>
    </row>
    <row r="580" spans="1:2" x14ac:dyDescent="0.3">
      <c r="A580">
        <v>51016742</v>
      </c>
      <c r="B580" t="s">
        <v>27</v>
      </c>
    </row>
    <row r="581" spans="1:2" x14ac:dyDescent="0.3">
      <c r="A581">
        <v>51007883</v>
      </c>
      <c r="B581" t="s">
        <v>25</v>
      </c>
    </row>
    <row r="582" spans="1:2" x14ac:dyDescent="0.3">
      <c r="A582">
        <v>51029976</v>
      </c>
      <c r="B582" t="s">
        <v>26</v>
      </c>
    </row>
    <row r="583" spans="1:2" x14ac:dyDescent="0.3">
      <c r="A583">
        <v>51010272</v>
      </c>
      <c r="B583" t="s">
        <v>28</v>
      </c>
    </row>
    <row r="584" spans="1:2" x14ac:dyDescent="0.3">
      <c r="A584">
        <v>51025792</v>
      </c>
      <c r="B584" t="s">
        <v>31</v>
      </c>
    </row>
    <row r="585" spans="1:2" x14ac:dyDescent="0.3">
      <c r="A585">
        <v>51030010</v>
      </c>
      <c r="B585" t="s">
        <v>27</v>
      </c>
    </row>
    <row r="586" spans="1:2" x14ac:dyDescent="0.3">
      <c r="A586">
        <v>51025296</v>
      </c>
      <c r="B586" t="s">
        <v>26</v>
      </c>
    </row>
    <row r="587" spans="1:2" x14ac:dyDescent="0.3">
      <c r="A587">
        <v>51044070</v>
      </c>
      <c r="B587" t="s">
        <v>25</v>
      </c>
    </row>
    <row r="588" spans="1:2" x14ac:dyDescent="0.3">
      <c r="A588">
        <v>51005112</v>
      </c>
      <c r="B588" t="s">
        <v>29</v>
      </c>
    </row>
    <row r="589" spans="1:2" x14ac:dyDescent="0.3">
      <c r="A589">
        <v>51017978</v>
      </c>
      <c r="B589" t="s">
        <v>25</v>
      </c>
    </row>
    <row r="590" spans="1:2" x14ac:dyDescent="0.3">
      <c r="A590">
        <v>51002610</v>
      </c>
      <c r="B590" t="s">
        <v>26</v>
      </c>
    </row>
    <row r="591" spans="1:2" x14ac:dyDescent="0.3">
      <c r="A591">
        <v>51042956</v>
      </c>
      <c r="B591" t="s">
        <v>27</v>
      </c>
    </row>
    <row r="592" spans="1:2" x14ac:dyDescent="0.3">
      <c r="A592">
        <v>51012577</v>
      </c>
      <c r="B592" t="s">
        <v>23</v>
      </c>
    </row>
    <row r="593" spans="1:2" x14ac:dyDescent="0.3">
      <c r="A593">
        <v>51011538</v>
      </c>
      <c r="B593" t="s">
        <v>25</v>
      </c>
    </row>
    <row r="594" spans="1:2" x14ac:dyDescent="0.3">
      <c r="A594">
        <v>51055888</v>
      </c>
      <c r="B594" t="s">
        <v>28</v>
      </c>
    </row>
    <row r="595" spans="1:2" x14ac:dyDescent="0.3">
      <c r="A595">
        <v>51023358</v>
      </c>
      <c r="B595" t="s">
        <v>28</v>
      </c>
    </row>
    <row r="596" spans="1:2" x14ac:dyDescent="0.3">
      <c r="A596">
        <v>51015029</v>
      </c>
      <c r="B596" t="s">
        <v>30</v>
      </c>
    </row>
    <row r="597" spans="1:2" x14ac:dyDescent="0.3">
      <c r="A597">
        <v>51010990</v>
      </c>
      <c r="B597" t="s">
        <v>24</v>
      </c>
    </row>
    <row r="598" spans="1:2" x14ac:dyDescent="0.3">
      <c r="A598">
        <v>51040937</v>
      </c>
      <c r="B598" t="s">
        <v>23</v>
      </c>
    </row>
    <row r="599" spans="1:2" x14ac:dyDescent="0.3">
      <c r="A599">
        <v>51020316</v>
      </c>
      <c r="B599" t="s">
        <v>32</v>
      </c>
    </row>
    <row r="600" spans="1:2" x14ac:dyDescent="0.3">
      <c r="A600">
        <v>51018991</v>
      </c>
      <c r="B600" t="s">
        <v>23</v>
      </c>
    </row>
    <row r="601" spans="1:2" x14ac:dyDescent="0.3">
      <c r="A601">
        <v>51001389</v>
      </c>
      <c r="B601" t="s">
        <v>27</v>
      </c>
    </row>
    <row r="602" spans="1:2" x14ac:dyDescent="0.3">
      <c r="A602">
        <v>51014189</v>
      </c>
      <c r="B602" t="s">
        <v>33</v>
      </c>
    </row>
    <row r="603" spans="1:2" x14ac:dyDescent="0.3">
      <c r="A603">
        <v>51034155</v>
      </c>
      <c r="B603" t="s">
        <v>28</v>
      </c>
    </row>
    <row r="604" spans="1:2" x14ac:dyDescent="0.3">
      <c r="A604">
        <v>51026217</v>
      </c>
      <c r="B604" t="s">
        <v>31</v>
      </c>
    </row>
    <row r="605" spans="1:2" x14ac:dyDescent="0.3">
      <c r="A605">
        <v>51016645</v>
      </c>
      <c r="B605" t="s">
        <v>32</v>
      </c>
    </row>
    <row r="606" spans="1:2" x14ac:dyDescent="0.3">
      <c r="A606">
        <v>51010574</v>
      </c>
      <c r="B606" t="s">
        <v>26</v>
      </c>
    </row>
    <row r="607" spans="1:2" x14ac:dyDescent="0.3">
      <c r="A607">
        <v>51010647</v>
      </c>
      <c r="B607" t="s">
        <v>24</v>
      </c>
    </row>
    <row r="608" spans="1:2" x14ac:dyDescent="0.3">
      <c r="A608">
        <v>51017706</v>
      </c>
      <c r="B608" t="s">
        <v>28</v>
      </c>
    </row>
    <row r="609" spans="1:2" x14ac:dyDescent="0.3">
      <c r="A609">
        <v>51036611</v>
      </c>
      <c r="B609" t="s">
        <v>29</v>
      </c>
    </row>
    <row r="610" spans="1:2" x14ac:dyDescent="0.3">
      <c r="A610">
        <v>51039645</v>
      </c>
      <c r="B610" t="s">
        <v>33</v>
      </c>
    </row>
    <row r="611" spans="1:2" x14ac:dyDescent="0.3">
      <c r="A611">
        <v>51030761</v>
      </c>
      <c r="B611" t="s">
        <v>33</v>
      </c>
    </row>
    <row r="612" spans="1:2" x14ac:dyDescent="0.3">
      <c r="A612">
        <v>51036735</v>
      </c>
      <c r="B612" t="s">
        <v>26</v>
      </c>
    </row>
    <row r="613" spans="1:2" x14ac:dyDescent="0.3">
      <c r="A613">
        <v>51043758</v>
      </c>
      <c r="B613" t="s">
        <v>29</v>
      </c>
    </row>
    <row r="614" spans="1:2" x14ac:dyDescent="0.3">
      <c r="A614">
        <v>51038401</v>
      </c>
      <c r="B614" t="s">
        <v>30</v>
      </c>
    </row>
    <row r="615" spans="1:2" x14ac:dyDescent="0.3">
      <c r="A615">
        <v>51042336</v>
      </c>
      <c r="B615" t="s">
        <v>27</v>
      </c>
    </row>
    <row r="616" spans="1:2" x14ac:dyDescent="0.3">
      <c r="A616">
        <v>51055462</v>
      </c>
      <c r="B616" t="s">
        <v>25</v>
      </c>
    </row>
    <row r="617" spans="1:2" x14ac:dyDescent="0.3">
      <c r="A617">
        <v>51039211</v>
      </c>
      <c r="B617" t="s">
        <v>29</v>
      </c>
    </row>
    <row r="618" spans="1:2" x14ac:dyDescent="0.3">
      <c r="A618">
        <v>51056060</v>
      </c>
      <c r="B618" t="s">
        <v>33</v>
      </c>
    </row>
    <row r="619" spans="1:2" x14ac:dyDescent="0.3">
      <c r="A619">
        <v>51056477</v>
      </c>
      <c r="B619" t="s">
        <v>32</v>
      </c>
    </row>
    <row r="620" spans="1:2" x14ac:dyDescent="0.3">
      <c r="A620">
        <v>51022424</v>
      </c>
      <c r="B620" t="s">
        <v>24</v>
      </c>
    </row>
    <row r="621" spans="1:2" x14ac:dyDescent="0.3">
      <c r="A621">
        <v>51026691</v>
      </c>
      <c r="B621" t="s">
        <v>31</v>
      </c>
    </row>
    <row r="622" spans="1:2" x14ac:dyDescent="0.3">
      <c r="A622">
        <v>51056728</v>
      </c>
      <c r="B622" t="s">
        <v>25</v>
      </c>
    </row>
    <row r="623" spans="1:2" x14ac:dyDescent="0.3">
      <c r="A623">
        <v>51023561</v>
      </c>
      <c r="B623" t="s">
        <v>33</v>
      </c>
    </row>
    <row r="624" spans="1:2" x14ac:dyDescent="0.3">
      <c r="A624">
        <v>51000251</v>
      </c>
      <c r="B624" t="s">
        <v>29</v>
      </c>
    </row>
    <row r="625" spans="1:2" x14ac:dyDescent="0.3">
      <c r="A625">
        <v>51018893</v>
      </c>
      <c r="B625" t="s">
        <v>30</v>
      </c>
    </row>
    <row r="626" spans="1:2" x14ac:dyDescent="0.3">
      <c r="A626">
        <v>51055675</v>
      </c>
      <c r="B626" t="s">
        <v>23</v>
      </c>
    </row>
    <row r="627" spans="1:2" x14ac:dyDescent="0.3">
      <c r="A627">
        <v>51043197</v>
      </c>
      <c r="B627" t="s">
        <v>32</v>
      </c>
    </row>
    <row r="628" spans="1:2" x14ac:dyDescent="0.3">
      <c r="A628">
        <v>51030397</v>
      </c>
      <c r="B628" t="s">
        <v>23</v>
      </c>
    </row>
    <row r="629" spans="1:2" x14ac:dyDescent="0.3">
      <c r="A629">
        <v>51033345</v>
      </c>
      <c r="B629" t="s">
        <v>33</v>
      </c>
    </row>
    <row r="630" spans="1:2" x14ac:dyDescent="0.3">
      <c r="A630">
        <v>51010922</v>
      </c>
      <c r="B630" t="s">
        <v>26</v>
      </c>
    </row>
    <row r="631" spans="1:2" x14ac:dyDescent="0.3">
      <c r="A631">
        <v>51012399</v>
      </c>
      <c r="B631" t="s">
        <v>24</v>
      </c>
    </row>
    <row r="632" spans="1:2" x14ac:dyDescent="0.3">
      <c r="A632">
        <v>51031113</v>
      </c>
      <c r="B632" t="s">
        <v>31</v>
      </c>
    </row>
    <row r="633" spans="1:2" x14ac:dyDescent="0.3">
      <c r="A633">
        <v>51017633</v>
      </c>
      <c r="B633" t="s">
        <v>23</v>
      </c>
    </row>
    <row r="634" spans="1:2" x14ac:dyDescent="0.3">
      <c r="A634">
        <v>51023668</v>
      </c>
      <c r="B634" t="s">
        <v>32</v>
      </c>
    </row>
    <row r="635" spans="1:2" x14ac:dyDescent="0.3">
      <c r="A635">
        <v>51044487</v>
      </c>
      <c r="B635" t="s">
        <v>27</v>
      </c>
    </row>
    <row r="636" spans="1:2" x14ac:dyDescent="0.3">
      <c r="A636">
        <v>51020197</v>
      </c>
      <c r="B636" t="s">
        <v>26</v>
      </c>
    </row>
    <row r="637" spans="1:2" x14ac:dyDescent="0.3">
      <c r="A637">
        <v>51003284</v>
      </c>
      <c r="B637" t="s">
        <v>24</v>
      </c>
    </row>
    <row r="638" spans="1:2" x14ac:dyDescent="0.3">
      <c r="A638">
        <v>51055951</v>
      </c>
      <c r="B638" t="s">
        <v>30</v>
      </c>
    </row>
    <row r="639" spans="1:2" x14ac:dyDescent="0.3">
      <c r="A639">
        <v>51056400</v>
      </c>
      <c r="B639" t="s">
        <v>30</v>
      </c>
    </row>
    <row r="640" spans="1:2" x14ac:dyDescent="0.3">
      <c r="A640">
        <v>51021231</v>
      </c>
      <c r="B640" t="s">
        <v>30</v>
      </c>
    </row>
    <row r="641" spans="1:2" x14ac:dyDescent="0.3">
      <c r="A641">
        <v>51016416</v>
      </c>
      <c r="B641" t="s">
        <v>25</v>
      </c>
    </row>
    <row r="642" spans="1:2" x14ac:dyDescent="0.3">
      <c r="A642">
        <v>51023919</v>
      </c>
      <c r="B642" t="s">
        <v>27</v>
      </c>
    </row>
    <row r="643" spans="1:2" x14ac:dyDescent="0.3">
      <c r="A643">
        <v>51022785</v>
      </c>
      <c r="B643" t="s">
        <v>26</v>
      </c>
    </row>
    <row r="644" spans="1:2" x14ac:dyDescent="0.3">
      <c r="A644">
        <v>51020081</v>
      </c>
      <c r="B644" t="s">
        <v>32</v>
      </c>
    </row>
    <row r="645" spans="1:2" x14ac:dyDescent="0.3">
      <c r="A645">
        <v>51013409</v>
      </c>
      <c r="B645" t="s">
        <v>23</v>
      </c>
    </row>
    <row r="646" spans="1:2" x14ac:dyDescent="0.3">
      <c r="A646">
        <v>51010027</v>
      </c>
      <c r="B646" t="s">
        <v>33</v>
      </c>
    </row>
    <row r="647" spans="1:2" x14ac:dyDescent="0.3">
      <c r="A647">
        <v>51021983</v>
      </c>
      <c r="B647" t="s">
        <v>27</v>
      </c>
    </row>
    <row r="648" spans="1:2" x14ac:dyDescent="0.3">
      <c r="A648">
        <v>51036239</v>
      </c>
      <c r="B648" t="s">
        <v>29</v>
      </c>
    </row>
    <row r="649" spans="1:2" x14ac:dyDescent="0.3">
      <c r="A649">
        <v>51055501</v>
      </c>
      <c r="B649" t="s">
        <v>33</v>
      </c>
    </row>
    <row r="650" spans="1:2" x14ac:dyDescent="0.3">
      <c r="A650">
        <v>51014022</v>
      </c>
      <c r="B650" t="s">
        <v>27</v>
      </c>
    </row>
    <row r="651" spans="1:2" x14ac:dyDescent="0.3">
      <c r="A651">
        <v>51025440</v>
      </c>
      <c r="B651" t="s">
        <v>23</v>
      </c>
    </row>
    <row r="652" spans="1:2" x14ac:dyDescent="0.3">
      <c r="A652">
        <v>51018851</v>
      </c>
      <c r="B652" t="s">
        <v>23</v>
      </c>
    </row>
    <row r="653" spans="1:2" x14ac:dyDescent="0.3">
      <c r="A653">
        <v>51010752</v>
      </c>
      <c r="B653" t="s">
        <v>24</v>
      </c>
    </row>
    <row r="654" spans="1:2" x14ac:dyDescent="0.3">
      <c r="A654">
        <v>51024681</v>
      </c>
      <c r="B654" t="s">
        <v>27</v>
      </c>
    </row>
    <row r="655" spans="1:2" x14ac:dyDescent="0.3">
      <c r="A655">
        <v>51030427</v>
      </c>
      <c r="B655" t="s">
        <v>32</v>
      </c>
    </row>
    <row r="656" spans="1:2" x14ac:dyDescent="0.3">
      <c r="A656">
        <v>51012305</v>
      </c>
      <c r="B656" t="s">
        <v>24</v>
      </c>
    </row>
    <row r="657" spans="1:2" x14ac:dyDescent="0.3">
      <c r="A657">
        <v>51011236</v>
      </c>
      <c r="B657" t="s">
        <v>24</v>
      </c>
    </row>
    <row r="658" spans="1:2" x14ac:dyDescent="0.3">
      <c r="A658">
        <v>51029879</v>
      </c>
      <c r="B658" t="s">
        <v>33</v>
      </c>
    </row>
    <row r="659" spans="1:2" x14ac:dyDescent="0.3">
      <c r="A659">
        <v>51016475</v>
      </c>
      <c r="B659" t="s">
        <v>30</v>
      </c>
    </row>
    <row r="660" spans="1:2" x14ac:dyDescent="0.3">
      <c r="A660">
        <v>51023005</v>
      </c>
      <c r="B660" t="s">
        <v>28</v>
      </c>
    </row>
    <row r="661" spans="1:2" x14ac:dyDescent="0.3">
      <c r="A661">
        <v>51013492</v>
      </c>
      <c r="B661" t="s">
        <v>30</v>
      </c>
    </row>
    <row r="662" spans="1:2" x14ac:dyDescent="0.3">
      <c r="A662">
        <v>51005732</v>
      </c>
      <c r="B662" t="s">
        <v>32</v>
      </c>
    </row>
    <row r="663" spans="1:2" x14ac:dyDescent="0.3">
      <c r="A663">
        <v>51040031</v>
      </c>
      <c r="B663" t="s">
        <v>26</v>
      </c>
    </row>
    <row r="664" spans="1:2" x14ac:dyDescent="0.3">
      <c r="A664">
        <v>51032110</v>
      </c>
      <c r="B664" t="s">
        <v>28</v>
      </c>
    </row>
    <row r="665" spans="1:2" x14ac:dyDescent="0.3">
      <c r="A665">
        <v>51013581</v>
      </c>
      <c r="B665" t="s">
        <v>25</v>
      </c>
    </row>
    <row r="666" spans="1:2" x14ac:dyDescent="0.3">
      <c r="A666">
        <v>51036778</v>
      </c>
      <c r="B666" t="s">
        <v>25</v>
      </c>
    </row>
    <row r="667" spans="1:2" x14ac:dyDescent="0.3">
      <c r="A667">
        <v>51032578</v>
      </c>
      <c r="B667" t="s">
        <v>28</v>
      </c>
    </row>
    <row r="668" spans="1:2" x14ac:dyDescent="0.3">
      <c r="A668">
        <v>51011686</v>
      </c>
      <c r="B668" t="s">
        <v>33</v>
      </c>
    </row>
    <row r="669" spans="1:2" x14ac:dyDescent="0.3">
      <c r="A669">
        <v>51023421</v>
      </c>
      <c r="B669" t="s">
        <v>33</v>
      </c>
    </row>
    <row r="670" spans="1:2" x14ac:dyDescent="0.3">
      <c r="A670">
        <v>51025342</v>
      </c>
      <c r="B670" t="s">
        <v>25</v>
      </c>
    </row>
    <row r="671" spans="1:2" x14ac:dyDescent="0.3">
      <c r="A671">
        <v>51030028</v>
      </c>
      <c r="B671" t="s">
        <v>29</v>
      </c>
    </row>
    <row r="672" spans="1:2" x14ac:dyDescent="0.3">
      <c r="A672">
        <v>51022751</v>
      </c>
      <c r="B672" t="s">
        <v>25</v>
      </c>
    </row>
    <row r="673" spans="1:2" x14ac:dyDescent="0.3">
      <c r="A673">
        <v>51023811</v>
      </c>
      <c r="B673" t="s">
        <v>33</v>
      </c>
    </row>
    <row r="674" spans="1:2" x14ac:dyDescent="0.3">
      <c r="A674">
        <v>51031253</v>
      </c>
      <c r="B674" t="s">
        <v>32</v>
      </c>
    </row>
    <row r="675" spans="1:2" x14ac:dyDescent="0.3">
      <c r="A675">
        <v>51041585</v>
      </c>
      <c r="B675" t="s">
        <v>28</v>
      </c>
    </row>
    <row r="676" spans="1:2" x14ac:dyDescent="0.3">
      <c r="A676">
        <v>51022408</v>
      </c>
      <c r="B676" t="s">
        <v>28</v>
      </c>
    </row>
    <row r="677" spans="1:2" x14ac:dyDescent="0.3">
      <c r="A677">
        <v>51022670</v>
      </c>
      <c r="B677" t="s">
        <v>26</v>
      </c>
    </row>
    <row r="678" spans="1:2" x14ac:dyDescent="0.3">
      <c r="A678">
        <v>51022611</v>
      </c>
      <c r="B678" t="s">
        <v>33</v>
      </c>
    </row>
    <row r="679" spans="1:2" x14ac:dyDescent="0.3">
      <c r="A679">
        <v>51042051</v>
      </c>
      <c r="B679" t="s">
        <v>24</v>
      </c>
    </row>
    <row r="680" spans="1:2" x14ac:dyDescent="0.3">
      <c r="A680">
        <v>51001168</v>
      </c>
      <c r="B680" t="s">
        <v>28</v>
      </c>
    </row>
    <row r="681" spans="1:2" x14ac:dyDescent="0.3">
      <c r="A681">
        <v>51018737</v>
      </c>
      <c r="B681" t="s">
        <v>23</v>
      </c>
    </row>
    <row r="682" spans="1:2" x14ac:dyDescent="0.3">
      <c r="A682">
        <v>51056116</v>
      </c>
      <c r="B682" t="s">
        <v>26</v>
      </c>
    </row>
    <row r="683" spans="1:2" x14ac:dyDescent="0.3">
      <c r="A683">
        <v>51056884</v>
      </c>
      <c r="B683" t="s">
        <v>25</v>
      </c>
    </row>
    <row r="684" spans="1:2" x14ac:dyDescent="0.3">
      <c r="A684">
        <v>51030613</v>
      </c>
      <c r="B684" t="s">
        <v>28</v>
      </c>
    </row>
    <row r="685" spans="1:2" x14ac:dyDescent="0.3">
      <c r="A685">
        <v>51054962</v>
      </c>
      <c r="B685" t="s">
        <v>25</v>
      </c>
    </row>
    <row r="686" spans="1:2" x14ac:dyDescent="0.3">
      <c r="A686">
        <v>51003594</v>
      </c>
      <c r="B686" t="s">
        <v>32</v>
      </c>
    </row>
    <row r="687" spans="1:2" x14ac:dyDescent="0.3">
      <c r="A687">
        <v>51021088</v>
      </c>
      <c r="B687" t="s">
        <v>23</v>
      </c>
    </row>
    <row r="688" spans="1:2" x14ac:dyDescent="0.3">
      <c r="A688">
        <v>51011155</v>
      </c>
      <c r="B688" t="s">
        <v>25</v>
      </c>
    </row>
    <row r="689" spans="1:2" x14ac:dyDescent="0.3">
      <c r="A689">
        <v>51033531</v>
      </c>
      <c r="B689" t="s">
        <v>27</v>
      </c>
    </row>
    <row r="690" spans="1:2" x14ac:dyDescent="0.3">
      <c r="A690">
        <v>51056868</v>
      </c>
      <c r="B690" t="s">
        <v>24</v>
      </c>
    </row>
    <row r="691" spans="1:2" x14ac:dyDescent="0.3">
      <c r="A691">
        <v>51029984</v>
      </c>
      <c r="B691" t="s">
        <v>30</v>
      </c>
    </row>
    <row r="692" spans="1:2" x14ac:dyDescent="0.3">
      <c r="A692">
        <v>51024419</v>
      </c>
      <c r="B692" t="s">
        <v>30</v>
      </c>
    </row>
    <row r="693" spans="1:2" x14ac:dyDescent="0.3">
      <c r="A693">
        <v>51044436</v>
      </c>
      <c r="B693" t="s">
        <v>24</v>
      </c>
    </row>
    <row r="694" spans="1:2" x14ac:dyDescent="0.3">
      <c r="A694">
        <v>51056566</v>
      </c>
      <c r="B694" t="s">
        <v>27</v>
      </c>
    </row>
    <row r="695" spans="1:2" x14ac:dyDescent="0.3">
      <c r="A695">
        <v>51055080</v>
      </c>
      <c r="B695" t="s">
        <v>27</v>
      </c>
    </row>
    <row r="696" spans="1:2" x14ac:dyDescent="0.3">
      <c r="A696">
        <v>51054989</v>
      </c>
      <c r="B696" t="s">
        <v>28</v>
      </c>
    </row>
    <row r="697" spans="1:2" x14ac:dyDescent="0.3">
      <c r="A697">
        <v>51012747</v>
      </c>
      <c r="B697" t="s">
        <v>28</v>
      </c>
    </row>
    <row r="698" spans="1:2" x14ac:dyDescent="0.3">
      <c r="A698">
        <v>51030320</v>
      </c>
      <c r="B698" t="s">
        <v>27</v>
      </c>
    </row>
    <row r="699" spans="1:2" x14ac:dyDescent="0.3">
      <c r="A699">
        <v>51031652</v>
      </c>
      <c r="B699" t="s">
        <v>27</v>
      </c>
    </row>
    <row r="700" spans="1:2" x14ac:dyDescent="0.3">
      <c r="A700">
        <v>51008618</v>
      </c>
      <c r="B700" t="s">
        <v>33</v>
      </c>
    </row>
    <row r="701" spans="1:2" x14ac:dyDescent="0.3">
      <c r="A701">
        <v>51015541</v>
      </c>
      <c r="B701" t="s">
        <v>31</v>
      </c>
    </row>
    <row r="702" spans="1:2" x14ac:dyDescent="0.3">
      <c r="A702">
        <v>51016793</v>
      </c>
      <c r="B702" t="s">
        <v>30</v>
      </c>
    </row>
    <row r="703" spans="1:2" x14ac:dyDescent="0.3">
      <c r="A703">
        <v>51030923</v>
      </c>
      <c r="B703" t="s">
        <v>28</v>
      </c>
    </row>
    <row r="704" spans="1:2" x14ac:dyDescent="0.3">
      <c r="A704">
        <v>51024206</v>
      </c>
      <c r="B704" t="s">
        <v>26</v>
      </c>
    </row>
    <row r="705" spans="1:2" x14ac:dyDescent="0.3">
      <c r="A705">
        <v>51003390</v>
      </c>
      <c r="B705" t="s">
        <v>33</v>
      </c>
    </row>
    <row r="706" spans="1:2" x14ac:dyDescent="0.3">
      <c r="A706">
        <v>51017153</v>
      </c>
      <c r="B706" t="s">
        <v>31</v>
      </c>
    </row>
    <row r="707" spans="1:2" x14ac:dyDescent="0.3">
      <c r="A707">
        <v>51032136</v>
      </c>
      <c r="B707" t="s">
        <v>28</v>
      </c>
    </row>
    <row r="708" spans="1:2" x14ac:dyDescent="0.3">
      <c r="A708">
        <v>51055241</v>
      </c>
      <c r="B708" t="s">
        <v>31</v>
      </c>
    </row>
    <row r="709" spans="1:2" x14ac:dyDescent="0.3">
      <c r="A709">
        <v>51039033</v>
      </c>
      <c r="B709" t="s">
        <v>29</v>
      </c>
    </row>
    <row r="710" spans="1:2" x14ac:dyDescent="0.3">
      <c r="A710">
        <v>51039882</v>
      </c>
      <c r="B710" t="s">
        <v>24</v>
      </c>
    </row>
    <row r="711" spans="1:2" x14ac:dyDescent="0.3">
      <c r="A711">
        <v>51010060</v>
      </c>
      <c r="B711" t="s">
        <v>29</v>
      </c>
    </row>
    <row r="712" spans="1:2" x14ac:dyDescent="0.3">
      <c r="A712">
        <v>51056451</v>
      </c>
      <c r="B712" t="s">
        <v>31</v>
      </c>
    </row>
    <row r="713" spans="1:2" x14ac:dyDescent="0.3">
      <c r="A713">
        <v>51010191</v>
      </c>
      <c r="B713" t="s">
        <v>26</v>
      </c>
    </row>
    <row r="714" spans="1:2" x14ac:dyDescent="0.3">
      <c r="A714">
        <v>51020405</v>
      </c>
      <c r="B714" t="s">
        <v>31</v>
      </c>
    </row>
    <row r="715" spans="1:2" x14ac:dyDescent="0.3">
      <c r="A715">
        <v>51024591</v>
      </c>
      <c r="B715" t="s">
        <v>28</v>
      </c>
    </row>
    <row r="716" spans="1:2" x14ac:dyDescent="0.3">
      <c r="A716">
        <v>51055357</v>
      </c>
      <c r="B716" t="s">
        <v>23</v>
      </c>
    </row>
    <row r="717" spans="1:2" x14ac:dyDescent="0.3">
      <c r="A717">
        <v>51009061</v>
      </c>
      <c r="B717" t="s">
        <v>27</v>
      </c>
    </row>
    <row r="718" spans="1:2" x14ac:dyDescent="0.3">
      <c r="A718">
        <v>51018931</v>
      </c>
      <c r="B718" t="s">
        <v>24</v>
      </c>
    </row>
    <row r="719" spans="1:2" x14ac:dyDescent="0.3">
      <c r="A719">
        <v>51023170</v>
      </c>
      <c r="B719" t="s">
        <v>24</v>
      </c>
    </row>
    <row r="720" spans="1:2" x14ac:dyDescent="0.3">
      <c r="A720">
        <v>51005295</v>
      </c>
      <c r="B720" t="s">
        <v>29</v>
      </c>
    </row>
    <row r="721" spans="1:2" x14ac:dyDescent="0.3">
      <c r="A721">
        <v>51018672</v>
      </c>
      <c r="B721" t="s">
        <v>32</v>
      </c>
    </row>
    <row r="722" spans="1:2" x14ac:dyDescent="0.3">
      <c r="A722">
        <v>51017455</v>
      </c>
      <c r="B722" t="s">
        <v>29</v>
      </c>
    </row>
    <row r="723" spans="1:2" x14ac:dyDescent="0.3">
      <c r="A723">
        <v>51030419</v>
      </c>
      <c r="B723" t="s">
        <v>23</v>
      </c>
    </row>
    <row r="724" spans="1:2" x14ac:dyDescent="0.3">
      <c r="A724">
        <v>51031610</v>
      </c>
      <c r="B724" t="s">
        <v>25</v>
      </c>
    </row>
    <row r="725" spans="1:2" x14ac:dyDescent="0.3">
      <c r="A725">
        <v>51025873</v>
      </c>
      <c r="B725" t="s">
        <v>28</v>
      </c>
    </row>
    <row r="726" spans="1:2" x14ac:dyDescent="0.3">
      <c r="A726">
        <v>51018591</v>
      </c>
      <c r="B726" t="s">
        <v>24</v>
      </c>
    </row>
    <row r="727" spans="1:2" x14ac:dyDescent="0.3">
      <c r="A727">
        <v>51011694</v>
      </c>
      <c r="B727" t="s">
        <v>29</v>
      </c>
    </row>
    <row r="728" spans="1:2" x14ac:dyDescent="0.3">
      <c r="A728">
        <v>51019717</v>
      </c>
      <c r="B728" t="s">
        <v>31</v>
      </c>
    </row>
    <row r="729" spans="1:2" x14ac:dyDescent="0.3">
      <c r="A729">
        <v>51005741</v>
      </c>
      <c r="B729" t="s">
        <v>24</v>
      </c>
    </row>
    <row r="730" spans="1:2" x14ac:dyDescent="0.3">
      <c r="A730">
        <v>51011546</v>
      </c>
      <c r="B730" t="s">
        <v>33</v>
      </c>
    </row>
    <row r="731" spans="1:2" x14ac:dyDescent="0.3">
      <c r="A731">
        <v>51022971</v>
      </c>
      <c r="B731" t="s">
        <v>29</v>
      </c>
    </row>
    <row r="732" spans="1:2" x14ac:dyDescent="0.3">
      <c r="A732">
        <v>51013280</v>
      </c>
      <c r="B732" t="s">
        <v>29</v>
      </c>
    </row>
    <row r="733" spans="1:2" x14ac:dyDescent="0.3">
      <c r="A733">
        <v>51057007</v>
      </c>
      <c r="B733" t="s">
        <v>26</v>
      </c>
    </row>
    <row r="734" spans="1:2" x14ac:dyDescent="0.3">
      <c r="A734">
        <v>51056850</v>
      </c>
      <c r="B734" t="s">
        <v>31</v>
      </c>
    </row>
    <row r="735" spans="1:2" x14ac:dyDescent="0.3">
      <c r="A735">
        <v>51023056</v>
      </c>
      <c r="B735" t="s">
        <v>26</v>
      </c>
    </row>
    <row r="736" spans="1:2" x14ac:dyDescent="0.3">
      <c r="A736">
        <v>51024141</v>
      </c>
      <c r="B736" t="s">
        <v>29</v>
      </c>
    </row>
    <row r="737" spans="1:2" x14ac:dyDescent="0.3">
      <c r="A737">
        <v>51031482</v>
      </c>
      <c r="B737" t="s">
        <v>24</v>
      </c>
    </row>
    <row r="738" spans="1:2" x14ac:dyDescent="0.3">
      <c r="A738">
        <v>51014430</v>
      </c>
      <c r="B738" t="s">
        <v>29</v>
      </c>
    </row>
    <row r="739" spans="1:2" x14ac:dyDescent="0.3">
      <c r="A739">
        <v>51056833</v>
      </c>
      <c r="B739" t="s">
        <v>29</v>
      </c>
    </row>
    <row r="740" spans="1:2" x14ac:dyDescent="0.3">
      <c r="A740">
        <v>51030079</v>
      </c>
      <c r="B740" t="s">
        <v>30</v>
      </c>
    </row>
    <row r="741" spans="1:2" x14ac:dyDescent="0.3">
      <c r="A741">
        <v>51041577</v>
      </c>
      <c r="B741" t="s">
        <v>33</v>
      </c>
    </row>
    <row r="742" spans="1:2" x14ac:dyDescent="0.3">
      <c r="A742">
        <v>51030389</v>
      </c>
      <c r="B742" t="s">
        <v>25</v>
      </c>
    </row>
    <row r="743" spans="1:2" x14ac:dyDescent="0.3">
      <c r="A743">
        <v>51056809</v>
      </c>
      <c r="B743" t="s">
        <v>29</v>
      </c>
    </row>
    <row r="744" spans="1:2" x14ac:dyDescent="0.3">
      <c r="A744">
        <v>51014634</v>
      </c>
      <c r="B744" t="s">
        <v>23</v>
      </c>
    </row>
    <row r="745" spans="1:2" x14ac:dyDescent="0.3">
      <c r="A745">
        <v>51055276</v>
      </c>
      <c r="B745" t="s">
        <v>32</v>
      </c>
    </row>
    <row r="746" spans="1:2" x14ac:dyDescent="0.3">
      <c r="A746">
        <v>51030176</v>
      </c>
      <c r="B746" t="s">
        <v>24</v>
      </c>
    </row>
    <row r="747" spans="1:2" x14ac:dyDescent="0.3">
      <c r="A747">
        <v>51031521</v>
      </c>
      <c r="B747" t="s">
        <v>27</v>
      </c>
    </row>
    <row r="748" spans="1:2" x14ac:dyDescent="0.3">
      <c r="A748">
        <v>51042689</v>
      </c>
      <c r="B748" t="s">
        <v>33</v>
      </c>
    </row>
    <row r="749" spans="1:2" x14ac:dyDescent="0.3">
      <c r="A749">
        <v>51024702</v>
      </c>
      <c r="B749" t="s">
        <v>27</v>
      </c>
    </row>
    <row r="750" spans="1:2" x14ac:dyDescent="0.3">
      <c r="A750">
        <v>51014391</v>
      </c>
      <c r="B750" t="s">
        <v>33</v>
      </c>
    </row>
    <row r="751" spans="1:2" x14ac:dyDescent="0.3">
      <c r="A751">
        <v>51052072</v>
      </c>
      <c r="B751" t="s">
        <v>27</v>
      </c>
    </row>
    <row r="752" spans="1:2" x14ac:dyDescent="0.3">
      <c r="A752">
        <v>51030931</v>
      </c>
      <c r="B752" t="s">
        <v>26</v>
      </c>
    </row>
    <row r="753" spans="1:2" x14ac:dyDescent="0.3">
      <c r="A753">
        <v>51042891</v>
      </c>
      <c r="B753" t="s">
        <v>28</v>
      </c>
    </row>
    <row r="754" spans="1:2" x14ac:dyDescent="0.3">
      <c r="A754">
        <v>51055292</v>
      </c>
      <c r="B754" t="s">
        <v>23</v>
      </c>
    </row>
    <row r="755" spans="1:2" x14ac:dyDescent="0.3">
      <c r="A755">
        <v>51030753</v>
      </c>
      <c r="B755" t="s">
        <v>32</v>
      </c>
    </row>
    <row r="756" spans="1:2" x14ac:dyDescent="0.3">
      <c r="A756">
        <v>51055667</v>
      </c>
      <c r="B756" t="s">
        <v>29</v>
      </c>
    </row>
    <row r="757" spans="1:2" x14ac:dyDescent="0.3">
      <c r="A757">
        <v>51010884</v>
      </c>
      <c r="B757" t="s">
        <v>26</v>
      </c>
    </row>
    <row r="758" spans="1:2" x14ac:dyDescent="0.3">
      <c r="A758">
        <v>51011996</v>
      </c>
      <c r="B758" t="s">
        <v>25</v>
      </c>
    </row>
    <row r="759" spans="1:2" x14ac:dyDescent="0.3">
      <c r="A759">
        <v>51040899</v>
      </c>
      <c r="B759" t="s">
        <v>23</v>
      </c>
    </row>
    <row r="760" spans="1:2" x14ac:dyDescent="0.3">
      <c r="A760">
        <v>51055217</v>
      </c>
      <c r="B760" t="s">
        <v>24</v>
      </c>
    </row>
    <row r="761" spans="1:2" x14ac:dyDescent="0.3">
      <c r="A761">
        <v>51034350</v>
      </c>
      <c r="B761" t="s">
        <v>27</v>
      </c>
    </row>
    <row r="762" spans="1:2" x14ac:dyDescent="0.3">
      <c r="A762">
        <v>51040627</v>
      </c>
      <c r="B762" t="s">
        <v>31</v>
      </c>
    </row>
    <row r="763" spans="1:2" x14ac:dyDescent="0.3">
      <c r="A763">
        <v>51035674</v>
      </c>
      <c r="B763" t="s">
        <v>25</v>
      </c>
    </row>
    <row r="764" spans="1:2" x14ac:dyDescent="0.3">
      <c r="A764">
        <v>51018575</v>
      </c>
      <c r="B764" t="s">
        <v>27</v>
      </c>
    </row>
    <row r="765" spans="1:2" x14ac:dyDescent="0.3">
      <c r="A765">
        <v>51056761</v>
      </c>
      <c r="B765" t="s">
        <v>33</v>
      </c>
    </row>
    <row r="766" spans="1:2" x14ac:dyDescent="0.3">
      <c r="A766">
        <v>51056515</v>
      </c>
      <c r="B766" t="s">
        <v>32</v>
      </c>
    </row>
    <row r="767" spans="1:2" x14ac:dyDescent="0.3">
      <c r="A767">
        <v>51022823</v>
      </c>
      <c r="B767" t="s">
        <v>25</v>
      </c>
    </row>
    <row r="768" spans="1:2" x14ac:dyDescent="0.3">
      <c r="A768">
        <v>51055055</v>
      </c>
      <c r="B768" t="s">
        <v>29</v>
      </c>
    </row>
    <row r="769" spans="1:2" x14ac:dyDescent="0.3">
      <c r="A769">
        <v>51013239</v>
      </c>
      <c r="B769" t="s">
        <v>27</v>
      </c>
    </row>
    <row r="770" spans="1:2" x14ac:dyDescent="0.3">
      <c r="A770">
        <v>51055489</v>
      </c>
      <c r="B770" t="s">
        <v>30</v>
      </c>
    </row>
    <row r="771" spans="1:2" x14ac:dyDescent="0.3">
      <c r="A771">
        <v>51000811</v>
      </c>
      <c r="B771" t="s">
        <v>25</v>
      </c>
    </row>
    <row r="772" spans="1:2" x14ac:dyDescent="0.3">
      <c r="A772">
        <v>51032071</v>
      </c>
      <c r="B772" t="s">
        <v>30</v>
      </c>
    </row>
    <row r="773" spans="1:2" x14ac:dyDescent="0.3">
      <c r="A773">
        <v>51055128</v>
      </c>
      <c r="B773" t="s">
        <v>33</v>
      </c>
    </row>
    <row r="774" spans="1:2" x14ac:dyDescent="0.3">
      <c r="A774">
        <v>51056124</v>
      </c>
      <c r="B774" t="s">
        <v>23</v>
      </c>
    </row>
    <row r="775" spans="1:2" x14ac:dyDescent="0.3">
      <c r="A775">
        <v>51036310</v>
      </c>
      <c r="B775" t="s">
        <v>23</v>
      </c>
    </row>
    <row r="776" spans="1:2" x14ac:dyDescent="0.3">
      <c r="A776">
        <v>51057066</v>
      </c>
      <c r="B776" t="s">
        <v>33</v>
      </c>
    </row>
    <row r="777" spans="1:2" x14ac:dyDescent="0.3">
      <c r="A777">
        <v>51036255</v>
      </c>
      <c r="B777" t="s">
        <v>28</v>
      </c>
    </row>
    <row r="778" spans="1:2" x14ac:dyDescent="0.3">
      <c r="A778">
        <v>51054881</v>
      </c>
      <c r="B778" t="s">
        <v>26</v>
      </c>
    </row>
    <row r="779" spans="1:2" x14ac:dyDescent="0.3">
      <c r="A779">
        <v>51019423</v>
      </c>
      <c r="B779" t="s">
        <v>30</v>
      </c>
    </row>
    <row r="780" spans="1:2" x14ac:dyDescent="0.3">
      <c r="A780">
        <v>51010353</v>
      </c>
      <c r="B780" t="s">
        <v>28</v>
      </c>
    </row>
    <row r="781" spans="1:2" x14ac:dyDescent="0.3">
      <c r="A781">
        <v>51043405</v>
      </c>
      <c r="B781" t="s">
        <v>31</v>
      </c>
    </row>
    <row r="782" spans="1:2" x14ac:dyDescent="0.3">
      <c r="A782">
        <v>51020880</v>
      </c>
      <c r="B782" t="s">
        <v>26</v>
      </c>
    </row>
    <row r="783" spans="1:2" x14ac:dyDescent="0.3">
      <c r="A783">
        <v>51036123</v>
      </c>
      <c r="B783" t="s">
        <v>25</v>
      </c>
    </row>
    <row r="784" spans="1:2" x14ac:dyDescent="0.3">
      <c r="A784">
        <v>51016386</v>
      </c>
      <c r="B784" t="s">
        <v>32</v>
      </c>
    </row>
    <row r="785" spans="1:2" x14ac:dyDescent="0.3">
      <c r="A785">
        <v>51033141</v>
      </c>
      <c r="B785" t="s">
        <v>24</v>
      </c>
    </row>
    <row r="786" spans="1:2" x14ac:dyDescent="0.3">
      <c r="A786">
        <v>51001061</v>
      </c>
      <c r="B786" t="s">
        <v>24</v>
      </c>
    </row>
    <row r="787" spans="1:2" x14ac:dyDescent="0.3">
      <c r="A787">
        <v>51021215</v>
      </c>
      <c r="B787" t="s">
        <v>29</v>
      </c>
    </row>
    <row r="788" spans="1:2" x14ac:dyDescent="0.3">
      <c r="A788">
        <v>51017641</v>
      </c>
      <c r="B788" t="s">
        <v>31</v>
      </c>
    </row>
    <row r="789" spans="1:2" x14ac:dyDescent="0.3">
      <c r="A789">
        <v>51019512</v>
      </c>
      <c r="B789" t="s">
        <v>32</v>
      </c>
    </row>
    <row r="790" spans="1:2" x14ac:dyDescent="0.3">
      <c r="A790">
        <v>51025326</v>
      </c>
      <c r="B790" t="s">
        <v>24</v>
      </c>
    </row>
    <row r="791" spans="1:2" x14ac:dyDescent="0.3">
      <c r="A791">
        <v>51030109</v>
      </c>
      <c r="B791" t="s">
        <v>29</v>
      </c>
    </row>
    <row r="792" spans="1:2" x14ac:dyDescent="0.3">
      <c r="A792">
        <v>51011074</v>
      </c>
      <c r="B792" t="s">
        <v>29</v>
      </c>
    </row>
    <row r="793" spans="1:2" x14ac:dyDescent="0.3">
      <c r="A793">
        <v>51001702</v>
      </c>
      <c r="B793" t="s">
        <v>26</v>
      </c>
    </row>
    <row r="794" spans="1:2" x14ac:dyDescent="0.3">
      <c r="A794">
        <v>51031989</v>
      </c>
      <c r="B794" t="s">
        <v>26</v>
      </c>
    </row>
    <row r="795" spans="1:2" x14ac:dyDescent="0.3">
      <c r="A795">
        <v>51030524</v>
      </c>
      <c r="B795" t="s">
        <v>29</v>
      </c>
    </row>
    <row r="796" spans="1:2" x14ac:dyDescent="0.3">
      <c r="A796">
        <v>51056027</v>
      </c>
      <c r="B796" t="s">
        <v>26</v>
      </c>
    </row>
    <row r="797" spans="1:2" x14ac:dyDescent="0.3">
      <c r="A797">
        <v>51024001</v>
      </c>
      <c r="B797" t="s">
        <v>28</v>
      </c>
    </row>
    <row r="798" spans="1:2" x14ac:dyDescent="0.3">
      <c r="A798">
        <v>51055624</v>
      </c>
      <c r="B798" t="s">
        <v>32</v>
      </c>
    </row>
    <row r="799" spans="1:2" x14ac:dyDescent="0.3">
      <c r="A799">
        <v>51010019</v>
      </c>
      <c r="B799" t="s">
        <v>33</v>
      </c>
    </row>
    <row r="800" spans="1:2" x14ac:dyDescent="0.3">
      <c r="A800">
        <v>51030273</v>
      </c>
      <c r="B800" t="s">
        <v>27</v>
      </c>
    </row>
    <row r="801" spans="1:2" x14ac:dyDescent="0.3">
      <c r="A801">
        <v>51056647</v>
      </c>
      <c r="B801" t="s">
        <v>29</v>
      </c>
    </row>
    <row r="802" spans="1:2" x14ac:dyDescent="0.3">
      <c r="A802">
        <v>51022076</v>
      </c>
      <c r="B802" t="s">
        <v>30</v>
      </c>
    </row>
    <row r="803" spans="1:2" x14ac:dyDescent="0.3">
      <c r="A803">
        <v>51011970</v>
      </c>
      <c r="B803" t="s">
        <v>28</v>
      </c>
    </row>
    <row r="804" spans="1:2" x14ac:dyDescent="0.3">
      <c r="A804">
        <v>51021576</v>
      </c>
      <c r="B804" t="s">
        <v>30</v>
      </c>
    </row>
    <row r="805" spans="1:2" x14ac:dyDescent="0.3">
      <c r="A805">
        <v>51005333</v>
      </c>
      <c r="B805" t="s">
        <v>29</v>
      </c>
    </row>
    <row r="806" spans="1:2" x14ac:dyDescent="0.3">
      <c r="A806">
        <v>51056434</v>
      </c>
      <c r="B806" t="s">
        <v>26</v>
      </c>
    </row>
    <row r="807" spans="1:2" x14ac:dyDescent="0.3">
      <c r="A807">
        <v>51024575</v>
      </c>
      <c r="B807" t="s">
        <v>26</v>
      </c>
    </row>
    <row r="808" spans="1:2" x14ac:dyDescent="0.3">
      <c r="A808">
        <v>51023137</v>
      </c>
      <c r="B808" t="s">
        <v>26</v>
      </c>
    </row>
    <row r="809" spans="1:2" x14ac:dyDescent="0.3">
      <c r="A809">
        <v>51056469</v>
      </c>
      <c r="B809" t="s">
        <v>28</v>
      </c>
    </row>
    <row r="810" spans="1:2" x14ac:dyDescent="0.3">
      <c r="A810">
        <v>51030257</v>
      </c>
      <c r="B810" t="s">
        <v>29</v>
      </c>
    </row>
    <row r="811" spans="1:2" x14ac:dyDescent="0.3">
      <c r="A811">
        <v>51008987</v>
      </c>
      <c r="B811" t="s">
        <v>28</v>
      </c>
    </row>
    <row r="812" spans="1:2" x14ac:dyDescent="0.3">
      <c r="A812">
        <v>51023765</v>
      </c>
      <c r="B812" t="s">
        <v>28</v>
      </c>
    </row>
    <row r="813" spans="1:2" x14ac:dyDescent="0.3">
      <c r="A813">
        <v>51007565</v>
      </c>
      <c r="B813" t="s">
        <v>33</v>
      </c>
    </row>
    <row r="814" spans="1:2" x14ac:dyDescent="0.3">
      <c r="A814">
        <v>51003926</v>
      </c>
      <c r="B814" t="s">
        <v>24</v>
      </c>
    </row>
    <row r="815" spans="1:2" x14ac:dyDescent="0.3">
      <c r="A815">
        <v>51015754</v>
      </c>
      <c r="B815" t="s">
        <v>25</v>
      </c>
    </row>
    <row r="816" spans="1:2" x14ac:dyDescent="0.3">
      <c r="A816">
        <v>51031130</v>
      </c>
      <c r="B816" t="s">
        <v>31</v>
      </c>
    </row>
    <row r="817" spans="1:2" x14ac:dyDescent="0.3">
      <c r="A817">
        <v>51014855</v>
      </c>
      <c r="B817" t="s">
        <v>23</v>
      </c>
    </row>
    <row r="818" spans="1:2" x14ac:dyDescent="0.3">
      <c r="A818">
        <v>51006615</v>
      </c>
      <c r="B818" t="s">
        <v>26</v>
      </c>
    </row>
    <row r="819" spans="1:2" x14ac:dyDescent="0.3">
      <c r="A819">
        <v>51032900</v>
      </c>
      <c r="B819" t="s">
        <v>26</v>
      </c>
    </row>
    <row r="820" spans="1:2" x14ac:dyDescent="0.3">
      <c r="A820">
        <v>51010469</v>
      </c>
      <c r="B820" t="s">
        <v>33</v>
      </c>
    </row>
    <row r="821" spans="1:2" x14ac:dyDescent="0.3">
      <c r="A821">
        <v>51012445</v>
      </c>
      <c r="B821" t="s">
        <v>24</v>
      </c>
    </row>
    <row r="822" spans="1:2" x14ac:dyDescent="0.3">
      <c r="A822">
        <v>51021835</v>
      </c>
      <c r="B822" t="s">
        <v>28</v>
      </c>
    </row>
    <row r="823" spans="1:2" x14ac:dyDescent="0.3">
      <c r="A823">
        <v>51020251</v>
      </c>
      <c r="B823" t="s">
        <v>32</v>
      </c>
    </row>
    <row r="824" spans="1:2" x14ac:dyDescent="0.3">
      <c r="A824">
        <v>51039785</v>
      </c>
      <c r="B824" t="s">
        <v>26</v>
      </c>
    </row>
    <row r="825" spans="1:2" x14ac:dyDescent="0.3">
      <c r="A825">
        <v>51025920</v>
      </c>
      <c r="B825" t="s">
        <v>24</v>
      </c>
    </row>
    <row r="826" spans="1:2" x14ac:dyDescent="0.3">
      <c r="A826">
        <v>51030281</v>
      </c>
      <c r="B826" t="s">
        <v>26</v>
      </c>
    </row>
    <row r="827" spans="1:2" x14ac:dyDescent="0.3">
      <c r="A827">
        <v>51056612</v>
      </c>
      <c r="B827" t="s">
        <v>29</v>
      </c>
    </row>
    <row r="828" spans="1:2" x14ac:dyDescent="0.3">
      <c r="A828">
        <v>51022220</v>
      </c>
      <c r="B828" t="s">
        <v>25</v>
      </c>
    </row>
    <row r="829" spans="1:2" x14ac:dyDescent="0.3">
      <c r="A829">
        <v>51031083</v>
      </c>
      <c r="B829" t="s">
        <v>27</v>
      </c>
    </row>
    <row r="830" spans="1:2" x14ac:dyDescent="0.3">
      <c r="A830">
        <v>51055373</v>
      </c>
      <c r="B830" t="s">
        <v>30</v>
      </c>
    </row>
    <row r="831" spans="1:2" x14ac:dyDescent="0.3">
      <c r="A831">
        <v>51055365</v>
      </c>
      <c r="B831" t="s">
        <v>32</v>
      </c>
    </row>
    <row r="832" spans="1:2" x14ac:dyDescent="0.3">
      <c r="A832">
        <v>51023471</v>
      </c>
      <c r="B832" t="s">
        <v>32</v>
      </c>
    </row>
    <row r="833" spans="1:2" x14ac:dyDescent="0.3">
      <c r="A833">
        <v>51012372</v>
      </c>
      <c r="B833" t="s">
        <v>31</v>
      </c>
    </row>
    <row r="834" spans="1:2" x14ac:dyDescent="0.3">
      <c r="A834">
        <v>51022688</v>
      </c>
      <c r="B834" t="s">
        <v>27</v>
      </c>
    </row>
    <row r="835" spans="1:2" x14ac:dyDescent="0.3">
      <c r="A835">
        <v>51014359</v>
      </c>
      <c r="B835" t="s">
        <v>27</v>
      </c>
    </row>
    <row r="836" spans="1:2" x14ac:dyDescent="0.3">
      <c r="A836">
        <v>51020952</v>
      </c>
      <c r="B836" t="s">
        <v>31</v>
      </c>
    </row>
    <row r="837" spans="1:2" x14ac:dyDescent="0.3">
      <c r="A837">
        <v>51011350</v>
      </c>
      <c r="B837" t="s">
        <v>26</v>
      </c>
    </row>
    <row r="838" spans="1:2" x14ac:dyDescent="0.3">
      <c r="A838">
        <v>51033701</v>
      </c>
      <c r="B838" t="s">
        <v>29</v>
      </c>
    </row>
    <row r="839" spans="1:2" x14ac:dyDescent="0.3">
      <c r="A839">
        <v>51023790</v>
      </c>
      <c r="B839" t="s">
        <v>26</v>
      </c>
    </row>
    <row r="840" spans="1:2" x14ac:dyDescent="0.3">
      <c r="A840">
        <v>51024125</v>
      </c>
      <c r="B840" t="s">
        <v>30</v>
      </c>
    </row>
    <row r="841" spans="1:2" x14ac:dyDescent="0.3">
      <c r="A841">
        <v>51031393</v>
      </c>
      <c r="B841" t="s">
        <v>30</v>
      </c>
    </row>
    <row r="842" spans="1:2" x14ac:dyDescent="0.3">
      <c r="A842">
        <v>51018621</v>
      </c>
      <c r="B842" t="s">
        <v>31</v>
      </c>
    </row>
    <row r="843" spans="1:2" x14ac:dyDescent="0.3">
      <c r="A843">
        <v>51023757</v>
      </c>
      <c r="B843" t="s">
        <v>33</v>
      </c>
    </row>
    <row r="844" spans="1:2" x14ac:dyDescent="0.3">
      <c r="A844">
        <v>51025865</v>
      </c>
      <c r="B844" t="s">
        <v>31</v>
      </c>
    </row>
    <row r="845" spans="1:2" x14ac:dyDescent="0.3">
      <c r="A845">
        <v>51009240</v>
      </c>
      <c r="B845" t="s">
        <v>31</v>
      </c>
    </row>
    <row r="846" spans="1:2" x14ac:dyDescent="0.3">
      <c r="A846">
        <v>51014642</v>
      </c>
      <c r="B846" t="s">
        <v>23</v>
      </c>
    </row>
    <row r="847" spans="1:2" x14ac:dyDescent="0.3">
      <c r="A847">
        <v>51011724</v>
      </c>
      <c r="B847" t="s">
        <v>27</v>
      </c>
    </row>
    <row r="848" spans="1:2" x14ac:dyDescent="0.3">
      <c r="A848">
        <v>51008669</v>
      </c>
      <c r="B848" t="s">
        <v>23</v>
      </c>
    </row>
    <row r="849" spans="1:2" x14ac:dyDescent="0.3">
      <c r="A849">
        <v>51022378</v>
      </c>
      <c r="B849" t="s">
        <v>33</v>
      </c>
    </row>
    <row r="850" spans="1:2" x14ac:dyDescent="0.3">
      <c r="A850">
        <v>51014308</v>
      </c>
      <c r="B850" t="s">
        <v>25</v>
      </c>
    </row>
    <row r="851" spans="1:2" x14ac:dyDescent="0.3">
      <c r="A851">
        <v>51056965</v>
      </c>
      <c r="B851" t="s">
        <v>26</v>
      </c>
    </row>
    <row r="852" spans="1:2" x14ac:dyDescent="0.3">
      <c r="A852">
        <v>51011368</v>
      </c>
      <c r="B852" t="s">
        <v>30</v>
      </c>
    </row>
    <row r="853" spans="1:2" x14ac:dyDescent="0.3">
      <c r="A853">
        <v>51017986</v>
      </c>
      <c r="B853" t="s">
        <v>24</v>
      </c>
    </row>
    <row r="854" spans="1:2" x14ac:dyDescent="0.3">
      <c r="A854">
        <v>51035658</v>
      </c>
      <c r="B854" t="s">
        <v>30</v>
      </c>
    </row>
    <row r="855" spans="1:2" x14ac:dyDescent="0.3">
      <c r="A855">
        <v>51031121</v>
      </c>
      <c r="B855" t="s">
        <v>23</v>
      </c>
    </row>
    <row r="856" spans="1:2" x14ac:dyDescent="0.3">
      <c r="A856">
        <v>51010124</v>
      </c>
      <c r="B856" t="s">
        <v>33</v>
      </c>
    </row>
    <row r="857" spans="1:2" x14ac:dyDescent="0.3">
      <c r="A857">
        <v>51018176</v>
      </c>
      <c r="B857" t="s">
        <v>24</v>
      </c>
    </row>
    <row r="858" spans="1:2" x14ac:dyDescent="0.3">
      <c r="A858">
        <v>51019091</v>
      </c>
      <c r="B858" t="s">
        <v>26</v>
      </c>
    </row>
    <row r="859" spans="1:2" x14ac:dyDescent="0.3">
      <c r="A859">
        <v>51055853</v>
      </c>
      <c r="B859" t="s">
        <v>28</v>
      </c>
    </row>
    <row r="860" spans="1:2" x14ac:dyDescent="0.3">
      <c r="A860">
        <v>51013824</v>
      </c>
      <c r="B860" t="s">
        <v>27</v>
      </c>
    </row>
    <row r="861" spans="1:2" x14ac:dyDescent="0.3">
      <c r="A861">
        <v>51031741</v>
      </c>
      <c r="B861" t="s">
        <v>27</v>
      </c>
    </row>
    <row r="862" spans="1:2" x14ac:dyDescent="0.3">
      <c r="A862">
        <v>51014162</v>
      </c>
      <c r="B862" t="s">
        <v>30</v>
      </c>
    </row>
    <row r="863" spans="1:2" x14ac:dyDescent="0.3">
      <c r="A863">
        <v>51022360</v>
      </c>
      <c r="B863" t="s">
        <v>25</v>
      </c>
    </row>
    <row r="864" spans="1:2" x14ac:dyDescent="0.3">
      <c r="A864">
        <v>51020014</v>
      </c>
      <c r="B864" t="s">
        <v>23</v>
      </c>
    </row>
    <row r="865" spans="1:2" x14ac:dyDescent="0.3">
      <c r="A865">
        <v>51013867</v>
      </c>
      <c r="B865" t="s">
        <v>23</v>
      </c>
    </row>
    <row r="866" spans="1:2" x14ac:dyDescent="0.3">
      <c r="A866">
        <v>51033477</v>
      </c>
      <c r="B866" t="s">
        <v>31</v>
      </c>
    </row>
    <row r="867" spans="1:2" x14ac:dyDescent="0.3">
      <c r="A867">
        <v>51018443</v>
      </c>
      <c r="B867" t="s">
        <v>25</v>
      </c>
    </row>
    <row r="868" spans="1:2" x14ac:dyDescent="0.3">
      <c r="A868">
        <v>51011031</v>
      </c>
      <c r="B868" t="s">
        <v>30</v>
      </c>
    </row>
    <row r="869" spans="1:2" x14ac:dyDescent="0.3">
      <c r="A869">
        <v>51056191</v>
      </c>
      <c r="B869" t="s">
        <v>30</v>
      </c>
    </row>
    <row r="870" spans="1:2" x14ac:dyDescent="0.3">
      <c r="A870">
        <v>51008634</v>
      </c>
      <c r="B870" t="s">
        <v>31</v>
      </c>
    </row>
    <row r="871" spans="1:2" x14ac:dyDescent="0.3">
      <c r="A871">
        <v>51054946</v>
      </c>
      <c r="B871" t="s">
        <v>33</v>
      </c>
    </row>
    <row r="872" spans="1:2" x14ac:dyDescent="0.3">
      <c r="A872">
        <v>51034317</v>
      </c>
      <c r="B872" t="s">
        <v>24</v>
      </c>
    </row>
    <row r="873" spans="1:2" x14ac:dyDescent="0.3">
      <c r="A873">
        <v>51054911</v>
      </c>
      <c r="B873" t="s">
        <v>32</v>
      </c>
    </row>
    <row r="874" spans="1:2" x14ac:dyDescent="0.3">
      <c r="A874">
        <v>51041615</v>
      </c>
      <c r="B874" t="s">
        <v>28</v>
      </c>
    </row>
    <row r="875" spans="1:2" x14ac:dyDescent="0.3">
      <c r="A875">
        <v>51056078</v>
      </c>
      <c r="B875" t="s">
        <v>25</v>
      </c>
    </row>
    <row r="876" spans="1:2" x14ac:dyDescent="0.3">
      <c r="A876">
        <v>51024893</v>
      </c>
      <c r="B876" t="s">
        <v>23</v>
      </c>
    </row>
    <row r="877" spans="1:2" x14ac:dyDescent="0.3">
      <c r="A877">
        <v>51004469</v>
      </c>
      <c r="B877" t="s">
        <v>24</v>
      </c>
    </row>
    <row r="878" spans="1:2" x14ac:dyDescent="0.3">
      <c r="A878">
        <v>51011325</v>
      </c>
      <c r="B878" t="s">
        <v>29</v>
      </c>
    </row>
    <row r="879" spans="1:2" x14ac:dyDescent="0.3">
      <c r="A879">
        <v>51017145</v>
      </c>
      <c r="B879" t="s">
        <v>24</v>
      </c>
    </row>
    <row r="880" spans="1:2" x14ac:dyDescent="0.3">
      <c r="A880">
        <v>51024176</v>
      </c>
      <c r="B880" t="s">
        <v>29</v>
      </c>
    </row>
    <row r="881" spans="1:2" x14ac:dyDescent="0.3">
      <c r="A881">
        <v>51021258</v>
      </c>
      <c r="B881" t="s">
        <v>25</v>
      </c>
    </row>
    <row r="882" spans="1:2" x14ac:dyDescent="0.3">
      <c r="A882">
        <v>51024087</v>
      </c>
      <c r="B882" t="s">
        <v>30</v>
      </c>
    </row>
    <row r="883" spans="1:2" x14ac:dyDescent="0.3">
      <c r="A883">
        <v>51024940</v>
      </c>
      <c r="B883" t="s">
        <v>25</v>
      </c>
    </row>
    <row r="884" spans="1:2" x14ac:dyDescent="0.3">
      <c r="A884">
        <v>51055012</v>
      </c>
      <c r="B884" t="s">
        <v>33</v>
      </c>
    </row>
    <row r="885" spans="1:2" x14ac:dyDescent="0.3">
      <c r="A885">
        <v>51023781</v>
      </c>
      <c r="B885" t="s">
        <v>25</v>
      </c>
    </row>
    <row r="886" spans="1:2" x14ac:dyDescent="0.3">
      <c r="A886">
        <v>51019661</v>
      </c>
      <c r="B886" t="s">
        <v>24</v>
      </c>
    </row>
    <row r="887" spans="1:2" x14ac:dyDescent="0.3">
      <c r="A887">
        <v>51015258</v>
      </c>
      <c r="B887" t="s">
        <v>26</v>
      </c>
    </row>
    <row r="888" spans="1:2" x14ac:dyDescent="0.3">
      <c r="A888">
        <v>51018494</v>
      </c>
      <c r="B888" t="s">
        <v>24</v>
      </c>
    </row>
    <row r="889" spans="1:2" x14ac:dyDescent="0.3">
      <c r="A889">
        <v>51016726</v>
      </c>
      <c r="B889" t="s">
        <v>33</v>
      </c>
    </row>
    <row r="890" spans="1:2" x14ac:dyDescent="0.3">
      <c r="A890">
        <v>51015401</v>
      </c>
      <c r="B890" t="s">
        <v>23</v>
      </c>
    </row>
    <row r="891" spans="1:2" x14ac:dyDescent="0.3">
      <c r="A891">
        <v>51055047</v>
      </c>
      <c r="B891" t="s">
        <v>30</v>
      </c>
    </row>
    <row r="892" spans="1:2" x14ac:dyDescent="0.3">
      <c r="A892">
        <v>51056388</v>
      </c>
      <c r="B892" t="s">
        <v>31</v>
      </c>
    </row>
    <row r="893" spans="1:2" x14ac:dyDescent="0.3">
      <c r="A893">
        <v>51056981</v>
      </c>
      <c r="B893" t="s">
        <v>26</v>
      </c>
    </row>
    <row r="894" spans="1:2" x14ac:dyDescent="0.3">
      <c r="A894">
        <v>51010329</v>
      </c>
      <c r="B894" t="s">
        <v>27</v>
      </c>
    </row>
    <row r="895" spans="1:2" x14ac:dyDescent="0.3">
      <c r="A895">
        <v>51022696</v>
      </c>
      <c r="B895" t="s">
        <v>26</v>
      </c>
    </row>
    <row r="896" spans="1:2" x14ac:dyDescent="0.3">
      <c r="A896">
        <v>51019261</v>
      </c>
      <c r="B896" t="s">
        <v>23</v>
      </c>
    </row>
    <row r="897" spans="1:2" x14ac:dyDescent="0.3">
      <c r="A897">
        <v>51023480</v>
      </c>
      <c r="B897" t="s">
        <v>31</v>
      </c>
    </row>
    <row r="898" spans="1:2" x14ac:dyDescent="0.3">
      <c r="A898">
        <v>51055829</v>
      </c>
      <c r="B898" t="s">
        <v>27</v>
      </c>
    </row>
    <row r="899" spans="1:2" x14ac:dyDescent="0.3">
      <c r="A899">
        <v>51056221</v>
      </c>
      <c r="B899" t="s">
        <v>25</v>
      </c>
    </row>
    <row r="900" spans="1:2" x14ac:dyDescent="0.3">
      <c r="A900">
        <v>51013158</v>
      </c>
      <c r="B900" t="s">
        <v>24</v>
      </c>
    </row>
    <row r="901" spans="1:2" x14ac:dyDescent="0.3">
      <c r="A901">
        <v>51023218</v>
      </c>
      <c r="B901" t="s">
        <v>23</v>
      </c>
    </row>
    <row r="902" spans="1:2" x14ac:dyDescent="0.3">
      <c r="A902">
        <v>51029968</v>
      </c>
      <c r="B902" t="s">
        <v>30</v>
      </c>
    </row>
    <row r="903" spans="1:2" x14ac:dyDescent="0.3">
      <c r="A903">
        <v>51033761</v>
      </c>
      <c r="B903" t="s">
        <v>25</v>
      </c>
    </row>
    <row r="904" spans="1:2" x14ac:dyDescent="0.3">
      <c r="A904">
        <v>51018559</v>
      </c>
      <c r="B904" t="s">
        <v>29</v>
      </c>
    </row>
    <row r="905" spans="1:2" x14ac:dyDescent="0.3">
      <c r="A905">
        <v>51000111</v>
      </c>
      <c r="B905" t="s">
        <v>29</v>
      </c>
    </row>
    <row r="906" spans="1:2" x14ac:dyDescent="0.3">
      <c r="A906">
        <v>51036824</v>
      </c>
      <c r="B906" t="s">
        <v>26</v>
      </c>
    </row>
    <row r="907" spans="1:2" x14ac:dyDescent="0.3">
      <c r="A907">
        <v>51038908</v>
      </c>
      <c r="B907" t="s">
        <v>31</v>
      </c>
    </row>
    <row r="908" spans="1:2" x14ac:dyDescent="0.3">
      <c r="A908">
        <v>51014006</v>
      </c>
      <c r="B908" t="s">
        <v>24</v>
      </c>
    </row>
    <row r="909" spans="1:2" x14ac:dyDescent="0.3">
      <c r="A909">
        <v>51024214</v>
      </c>
      <c r="B909" t="s">
        <v>29</v>
      </c>
    </row>
    <row r="910" spans="1:2" x14ac:dyDescent="0.3">
      <c r="A910">
        <v>51031768</v>
      </c>
      <c r="B910" t="s">
        <v>33</v>
      </c>
    </row>
    <row r="911" spans="1:2" x14ac:dyDescent="0.3">
      <c r="A911">
        <v>51004531</v>
      </c>
      <c r="B911" t="s">
        <v>23</v>
      </c>
    </row>
    <row r="912" spans="1:2" x14ac:dyDescent="0.3">
      <c r="A912">
        <v>51025385</v>
      </c>
      <c r="B912" t="s">
        <v>27</v>
      </c>
    </row>
    <row r="913" spans="1:2" x14ac:dyDescent="0.3">
      <c r="A913">
        <v>51031385</v>
      </c>
      <c r="B913" t="s">
        <v>28</v>
      </c>
    </row>
    <row r="914" spans="1:2" x14ac:dyDescent="0.3">
      <c r="A914">
        <v>51021657</v>
      </c>
      <c r="B914" t="s">
        <v>24</v>
      </c>
    </row>
    <row r="915" spans="1:2" x14ac:dyDescent="0.3">
      <c r="A915">
        <v>51024672</v>
      </c>
      <c r="B915" t="s">
        <v>23</v>
      </c>
    </row>
    <row r="916" spans="1:2" x14ac:dyDescent="0.3">
      <c r="A916">
        <v>51011864</v>
      </c>
      <c r="B916" t="s">
        <v>25</v>
      </c>
    </row>
    <row r="917" spans="1:2" x14ac:dyDescent="0.3">
      <c r="A917">
        <v>51025202</v>
      </c>
      <c r="B917" t="s">
        <v>26</v>
      </c>
    </row>
    <row r="918" spans="1:2" x14ac:dyDescent="0.3">
      <c r="A918">
        <v>51018648</v>
      </c>
      <c r="B918" t="s">
        <v>30</v>
      </c>
    </row>
    <row r="919" spans="1:2" x14ac:dyDescent="0.3">
      <c r="A919">
        <v>51028678</v>
      </c>
      <c r="B919" t="s">
        <v>27</v>
      </c>
    </row>
    <row r="920" spans="1:2" x14ac:dyDescent="0.3">
      <c r="A920">
        <v>51011252</v>
      </c>
      <c r="B920" t="s">
        <v>26</v>
      </c>
    </row>
    <row r="921" spans="1:2" x14ac:dyDescent="0.3">
      <c r="A921">
        <v>51011414</v>
      </c>
      <c r="B921" t="s">
        <v>33</v>
      </c>
    </row>
    <row r="922" spans="1:2" x14ac:dyDescent="0.3">
      <c r="A922">
        <v>51056132</v>
      </c>
      <c r="B922" t="s">
        <v>28</v>
      </c>
    </row>
    <row r="923" spans="1:2" x14ac:dyDescent="0.3">
      <c r="A923">
        <v>51003667</v>
      </c>
      <c r="B923" t="s">
        <v>25</v>
      </c>
    </row>
    <row r="924" spans="1:2" x14ac:dyDescent="0.3">
      <c r="A924">
        <v>51024117</v>
      </c>
      <c r="B924" t="s">
        <v>33</v>
      </c>
    </row>
    <row r="925" spans="1:2" x14ac:dyDescent="0.3">
      <c r="A925">
        <v>51013808</v>
      </c>
      <c r="B925" t="s">
        <v>30</v>
      </c>
    </row>
    <row r="926" spans="1:2" x14ac:dyDescent="0.3">
      <c r="A926">
        <v>51056281</v>
      </c>
      <c r="B926" t="s">
        <v>33</v>
      </c>
    </row>
    <row r="927" spans="1:2" x14ac:dyDescent="0.3">
      <c r="A927">
        <v>51022289</v>
      </c>
      <c r="B927" t="s">
        <v>32</v>
      </c>
    </row>
    <row r="928" spans="1:2" x14ac:dyDescent="0.3">
      <c r="A928">
        <v>51012666</v>
      </c>
      <c r="B928" t="s">
        <v>30</v>
      </c>
    </row>
    <row r="929" spans="1:2" x14ac:dyDescent="0.3">
      <c r="A929">
        <v>51005171</v>
      </c>
      <c r="B929" t="s">
        <v>33</v>
      </c>
    </row>
    <row r="930" spans="1:2" x14ac:dyDescent="0.3">
      <c r="A930">
        <v>51030303</v>
      </c>
      <c r="B930" t="s">
        <v>25</v>
      </c>
    </row>
    <row r="931" spans="1:2" x14ac:dyDescent="0.3">
      <c r="A931">
        <v>51057163</v>
      </c>
      <c r="B931" t="s">
        <v>25</v>
      </c>
    </row>
    <row r="932" spans="1:2" x14ac:dyDescent="0.3">
      <c r="A932">
        <v>51055721</v>
      </c>
      <c r="B932" t="s">
        <v>27</v>
      </c>
    </row>
    <row r="933" spans="1:2" x14ac:dyDescent="0.3">
      <c r="A933">
        <v>51016220</v>
      </c>
      <c r="B933" t="s">
        <v>27</v>
      </c>
    </row>
    <row r="934" spans="1:2" x14ac:dyDescent="0.3">
      <c r="A934">
        <v>51019911</v>
      </c>
      <c r="B934" t="s">
        <v>23</v>
      </c>
    </row>
    <row r="935" spans="1:2" x14ac:dyDescent="0.3">
      <c r="A935">
        <v>51015088</v>
      </c>
      <c r="B935" t="s">
        <v>32</v>
      </c>
    </row>
    <row r="936" spans="1:2" x14ac:dyDescent="0.3">
      <c r="A936">
        <v>51032527</v>
      </c>
      <c r="B936" t="s">
        <v>28</v>
      </c>
    </row>
    <row r="937" spans="1:2" x14ac:dyDescent="0.3">
      <c r="A937">
        <v>51036034</v>
      </c>
      <c r="B937" t="s">
        <v>27</v>
      </c>
    </row>
    <row r="938" spans="1:2" x14ac:dyDescent="0.3">
      <c r="A938">
        <v>51025971</v>
      </c>
      <c r="B938" t="s">
        <v>33</v>
      </c>
    </row>
    <row r="939" spans="1:2" x14ac:dyDescent="0.3">
      <c r="A939">
        <v>51042263</v>
      </c>
      <c r="B939" t="s">
        <v>25</v>
      </c>
    </row>
    <row r="940" spans="1:2" x14ac:dyDescent="0.3">
      <c r="A940">
        <v>51012020</v>
      </c>
      <c r="B940" t="s">
        <v>23</v>
      </c>
    </row>
    <row r="941" spans="1:2" x14ac:dyDescent="0.3">
      <c r="A941">
        <v>51015622</v>
      </c>
      <c r="B941" t="s">
        <v>30</v>
      </c>
    </row>
    <row r="942" spans="1:2" x14ac:dyDescent="0.3">
      <c r="A942">
        <v>51023145</v>
      </c>
      <c r="B942" t="s">
        <v>27</v>
      </c>
    </row>
    <row r="943" spans="1:2" x14ac:dyDescent="0.3">
      <c r="A943">
        <v>51021894</v>
      </c>
      <c r="B943" t="s">
        <v>30</v>
      </c>
    </row>
    <row r="944" spans="1:2" x14ac:dyDescent="0.3">
      <c r="A944">
        <v>51022173</v>
      </c>
      <c r="B944" t="s">
        <v>32</v>
      </c>
    </row>
    <row r="945" spans="1:2" x14ac:dyDescent="0.3">
      <c r="A945">
        <v>51040317</v>
      </c>
      <c r="B945" t="s">
        <v>27</v>
      </c>
    </row>
    <row r="946" spans="1:2" x14ac:dyDescent="0.3">
      <c r="A946">
        <v>51034376</v>
      </c>
      <c r="B946" t="s">
        <v>25</v>
      </c>
    </row>
    <row r="947" spans="1:2" x14ac:dyDescent="0.3">
      <c r="A947">
        <v>51032454</v>
      </c>
      <c r="B947" t="s">
        <v>26</v>
      </c>
    </row>
    <row r="948" spans="1:2" x14ac:dyDescent="0.3">
      <c r="A948">
        <v>51019652</v>
      </c>
      <c r="B948" t="s">
        <v>28</v>
      </c>
    </row>
    <row r="949" spans="1:2" x14ac:dyDescent="0.3">
      <c r="A949">
        <v>51056426</v>
      </c>
      <c r="B949" t="s">
        <v>30</v>
      </c>
    </row>
    <row r="950" spans="1:2" x14ac:dyDescent="0.3">
      <c r="A950">
        <v>51013425</v>
      </c>
      <c r="B950" t="s">
        <v>32</v>
      </c>
    </row>
    <row r="951" spans="1:2" x14ac:dyDescent="0.3">
      <c r="A951">
        <v>51016815</v>
      </c>
      <c r="B951" t="s">
        <v>28</v>
      </c>
    </row>
    <row r="952" spans="1:2" x14ac:dyDescent="0.3">
      <c r="A952">
        <v>51040848</v>
      </c>
      <c r="B952" t="s">
        <v>28</v>
      </c>
    </row>
    <row r="953" spans="1:2" x14ac:dyDescent="0.3">
      <c r="A953">
        <v>51056051</v>
      </c>
      <c r="B953" t="s">
        <v>31</v>
      </c>
    </row>
    <row r="954" spans="1:2" x14ac:dyDescent="0.3">
      <c r="A954">
        <v>51033710</v>
      </c>
      <c r="B954" t="s">
        <v>31</v>
      </c>
    </row>
    <row r="955" spans="1:2" x14ac:dyDescent="0.3">
      <c r="A955">
        <v>51016688</v>
      </c>
      <c r="B955" t="s">
        <v>32</v>
      </c>
    </row>
    <row r="956" spans="1:2" x14ac:dyDescent="0.3">
      <c r="A956">
        <v>51002776</v>
      </c>
      <c r="B956" t="s">
        <v>27</v>
      </c>
    </row>
    <row r="957" spans="1:2" x14ac:dyDescent="0.3">
      <c r="A957">
        <v>51025334</v>
      </c>
      <c r="B957" t="s">
        <v>25</v>
      </c>
    </row>
    <row r="958" spans="1:2" x14ac:dyDescent="0.3">
      <c r="A958">
        <v>51013638</v>
      </c>
      <c r="B958" t="s">
        <v>33</v>
      </c>
    </row>
    <row r="959" spans="1:2" x14ac:dyDescent="0.3">
      <c r="A959">
        <v>51056001</v>
      </c>
      <c r="B959" t="s">
        <v>32</v>
      </c>
    </row>
    <row r="960" spans="1:2" x14ac:dyDescent="0.3">
      <c r="A960">
        <v>51022637</v>
      </c>
      <c r="B960" t="s">
        <v>31</v>
      </c>
    </row>
    <row r="961" spans="1:2" x14ac:dyDescent="0.3">
      <c r="A961">
        <v>51036697</v>
      </c>
      <c r="B961" t="s">
        <v>28</v>
      </c>
    </row>
    <row r="962" spans="1:2" x14ac:dyDescent="0.3">
      <c r="A962">
        <v>51032993</v>
      </c>
      <c r="B962" t="s">
        <v>24</v>
      </c>
    </row>
    <row r="963" spans="1:2" x14ac:dyDescent="0.3">
      <c r="A963">
        <v>51019709</v>
      </c>
      <c r="B963" t="s">
        <v>23</v>
      </c>
    </row>
    <row r="964" spans="1:2" x14ac:dyDescent="0.3">
      <c r="A964">
        <v>51005287</v>
      </c>
      <c r="B964" t="s">
        <v>27</v>
      </c>
    </row>
    <row r="965" spans="1:2" x14ac:dyDescent="0.3">
      <c r="A965">
        <v>51005864</v>
      </c>
      <c r="B965" t="s">
        <v>24</v>
      </c>
    </row>
    <row r="966" spans="1:2" x14ac:dyDescent="0.3">
      <c r="A966">
        <v>51024265</v>
      </c>
      <c r="B966" t="s">
        <v>24</v>
      </c>
    </row>
    <row r="967" spans="1:2" x14ac:dyDescent="0.3">
      <c r="A967">
        <v>51024192</v>
      </c>
      <c r="B967" t="s">
        <v>28</v>
      </c>
    </row>
    <row r="968" spans="1:2" x14ac:dyDescent="0.3">
      <c r="A968">
        <v>51020201</v>
      </c>
      <c r="B968" t="s">
        <v>27</v>
      </c>
    </row>
    <row r="969" spans="1:2" x14ac:dyDescent="0.3">
      <c r="A969">
        <v>51031075</v>
      </c>
      <c r="B969" t="s">
        <v>30</v>
      </c>
    </row>
    <row r="970" spans="1:2" x14ac:dyDescent="0.3">
      <c r="A970">
        <v>51007051</v>
      </c>
      <c r="B970" t="s">
        <v>30</v>
      </c>
    </row>
    <row r="971" spans="1:2" x14ac:dyDescent="0.3">
      <c r="A971">
        <v>51042735</v>
      </c>
      <c r="B971" t="s">
        <v>24</v>
      </c>
    </row>
    <row r="972" spans="1:2" x14ac:dyDescent="0.3">
      <c r="A972">
        <v>51041933</v>
      </c>
      <c r="B972" t="s">
        <v>30</v>
      </c>
    </row>
    <row r="973" spans="1:2" x14ac:dyDescent="0.3">
      <c r="A973">
        <v>51011015</v>
      </c>
      <c r="B973" t="s">
        <v>25</v>
      </c>
    </row>
    <row r="974" spans="1:2" x14ac:dyDescent="0.3">
      <c r="A974">
        <v>51025709</v>
      </c>
      <c r="B974" t="s">
        <v>23</v>
      </c>
    </row>
    <row r="975" spans="1:2" x14ac:dyDescent="0.3">
      <c r="A975">
        <v>51023871</v>
      </c>
      <c r="B975" t="s">
        <v>26</v>
      </c>
    </row>
    <row r="976" spans="1:2" x14ac:dyDescent="0.3">
      <c r="A976">
        <v>51013301</v>
      </c>
      <c r="B976" t="s">
        <v>29</v>
      </c>
    </row>
    <row r="977" spans="1:2" x14ac:dyDescent="0.3">
      <c r="A977">
        <v>51019954</v>
      </c>
      <c r="B977" t="s">
        <v>24</v>
      </c>
    </row>
    <row r="978" spans="1:2" x14ac:dyDescent="0.3">
      <c r="A978">
        <v>51055063</v>
      </c>
      <c r="B978" t="s">
        <v>25</v>
      </c>
    </row>
    <row r="979" spans="1:2" x14ac:dyDescent="0.3">
      <c r="A979">
        <v>51020758</v>
      </c>
      <c r="B979" t="s">
        <v>23</v>
      </c>
    </row>
    <row r="980" spans="1:2" x14ac:dyDescent="0.3">
      <c r="A980">
        <v>51031890</v>
      </c>
      <c r="B980" t="s">
        <v>27</v>
      </c>
    </row>
    <row r="981" spans="1:2" x14ac:dyDescent="0.3">
      <c r="A981">
        <v>51041895</v>
      </c>
      <c r="B981" t="s">
        <v>25</v>
      </c>
    </row>
    <row r="982" spans="1:2" x14ac:dyDescent="0.3">
      <c r="A982">
        <v>51025458</v>
      </c>
      <c r="B982" t="s">
        <v>31</v>
      </c>
    </row>
    <row r="983" spans="1:2" x14ac:dyDescent="0.3">
      <c r="A983">
        <v>51022734</v>
      </c>
      <c r="B983" t="s">
        <v>24</v>
      </c>
    </row>
    <row r="984" spans="1:2" x14ac:dyDescent="0.3">
      <c r="A984">
        <v>51036247</v>
      </c>
      <c r="B984" t="s">
        <v>33</v>
      </c>
    </row>
    <row r="985" spans="1:2" x14ac:dyDescent="0.3">
      <c r="A985">
        <v>51017447</v>
      </c>
      <c r="B985" t="s">
        <v>28</v>
      </c>
    </row>
    <row r="986" spans="1:2" x14ac:dyDescent="0.3">
      <c r="A986">
        <v>51023064</v>
      </c>
      <c r="B986" t="s">
        <v>25</v>
      </c>
    </row>
    <row r="987" spans="1:2" x14ac:dyDescent="0.3">
      <c r="A987">
        <v>51031296</v>
      </c>
      <c r="B987" t="s">
        <v>33</v>
      </c>
    </row>
    <row r="988" spans="1:2" x14ac:dyDescent="0.3">
      <c r="A988">
        <v>51019377</v>
      </c>
      <c r="B988" t="s">
        <v>23</v>
      </c>
    </row>
    <row r="989" spans="1:2" x14ac:dyDescent="0.3">
      <c r="A989">
        <v>51055586</v>
      </c>
      <c r="B989" t="s">
        <v>30</v>
      </c>
    </row>
    <row r="990" spans="1:2" x14ac:dyDescent="0.3">
      <c r="A990">
        <v>51005945</v>
      </c>
      <c r="B990" t="s">
        <v>25</v>
      </c>
    </row>
    <row r="991" spans="1:2" x14ac:dyDescent="0.3">
      <c r="A991">
        <v>51019601</v>
      </c>
      <c r="B991" t="s">
        <v>25</v>
      </c>
    </row>
    <row r="992" spans="1:2" x14ac:dyDescent="0.3">
      <c r="A992">
        <v>51017790</v>
      </c>
      <c r="B992" t="s">
        <v>27</v>
      </c>
    </row>
    <row r="993" spans="1:2" x14ac:dyDescent="0.3">
      <c r="A993">
        <v>51015525</v>
      </c>
      <c r="B993" t="s">
        <v>27</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0">
    <tabColor rgb="FFFFC000"/>
  </sheetPr>
  <dimension ref="A1:J1194"/>
  <sheetViews>
    <sheetView workbookViewId="0"/>
  </sheetViews>
  <sheetFormatPr baseColWidth="10" defaultColWidth="8.88671875" defaultRowHeight="14.4" x14ac:dyDescent="0.3"/>
  <cols>
    <col min="1" max="1" width="9" bestFit="1" customWidth="1"/>
    <col min="2" max="9" width="20.77734375" customWidth="1"/>
    <col min="10" max="10" width="12" customWidth="1"/>
    <col min="11" max="11" width="16.44140625" customWidth="1"/>
  </cols>
  <sheetData>
    <row r="1" spans="1:10" ht="28.8" customHeight="1" x14ac:dyDescent="0.3">
      <c r="A1" t="s">
        <v>34</v>
      </c>
      <c r="B1" s="1" t="s">
        <v>35</v>
      </c>
      <c r="C1" s="1" t="s">
        <v>36</v>
      </c>
      <c r="D1" s="1" t="s">
        <v>37</v>
      </c>
      <c r="E1" s="1" t="s">
        <v>38</v>
      </c>
      <c r="F1" s="1" t="s">
        <v>39</v>
      </c>
      <c r="G1" s="1" t="s">
        <v>40</v>
      </c>
      <c r="H1" s="1" t="s">
        <v>41</v>
      </c>
      <c r="I1" s="1" t="s">
        <v>42</v>
      </c>
      <c r="J1" t="s">
        <v>18</v>
      </c>
    </row>
    <row r="2" spans="1:10" x14ac:dyDescent="0.3">
      <c r="A2">
        <v>51015525</v>
      </c>
      <c r="B2">
        <v>56</v>
      </c>
      <c r="C2">
        <v>4</v>
      </c>
      <c r="D2">
        <v>10</v>
      </c>
      <c r="E2" s="21">
        <f>D2/PARAMS_MODELO!$B$28</f>
        <v>0.33333333333333331</v>
      </c>
      <c r="F2">
        <v>17</v>
      </c>
      <c r="G2">
        <v>92</v>
      </c>
      <c r="H2">
        <v>26</v>
      </c>
      <c r="I2" s="20">
        <f t="shared" ref="I2:I65" si="0">IFERROR(H2/G2,0)</f>
        <v>0.28260869565217389</v>
      </c>
      <c r="J2" s="21">
        <f>(IFERROR(_xlfn.PERCENTRANK.INC($B$2:$B$1194,B2)*100,0)*PARAMS_MODELO!$B$25)+(IFERROR(_xlfn.PERCENTRANK.INC($C$2:$C$1194,C2)*100,0)*PARAMS_MODELO!$B$26)+(IFERROR(_xlfn.PERCENTRANK.INC($E$2:$E$1194,E2)*100,0)*PARAMS_MODELO!$B$27)+(IFERROR(_xlfn.PERCENTRANK.INC($F$2:$F$1194,F2)*100,0)*PARAMS_MODELO!$B$29)+(IFERROR(_xlfn.PERCENTRANK.INC($I$2:$I$1194,I2)*100,0)*PARAMS_MODELO!$B$31)</f>
        <v>27</v>
      </c>
    </row>
    <row r="3" spans="1:10" x14ac:dyDescent="0.3">
      <c r="A3">
        <v>51017790</v>
      </c>
      <c r="B3">
        <v>40</v>
      </c>
      <c r="C3">
        <v>24</v>
      </c>
      <c r="D3">
        <v>45</v>
      </c>
      <c r="E3" s="21">
        <f>D3/PARAMS_MODELO!$B$28</f>
        <v>1.5</v>
      </c>
      <c r="F3">
        <v>51</v>
      </c>
      <c r="G3">
        <v>29</v>
      </c>
      <c r="H3">
        <v>4</v>
      </c>
      <c r="I3" s="20">
        <f t="shared" si="0"/>
        <v>0.13793103448275862</v>
      </c>
      <c r="J3" s="21">
        <f>(IFERROR(_xlfn.PERCENTRANK.INC($B$2:$B$1194,B3)*100,0)*PARAMS_MODELO!$B$25)+(IFERROR(_xlfn.PERCENTRANK.INC($C$2:$C$1194,C3)*100,0)*PARAMS_MODELO!$B$26)+(IFERROR(_xlfn.PERCENTRANK.INC($E$2:$E$1194,E3)*100,0)*PARAMS_MODELO!$B$27)+(IFERROR(_xlfn.PERCENTRANK.INC($F$2:$F$1194,F3)*100,0)*PARAMS_MODELO!$B$29)+(IFERROR(_xlfn.PERCENTRANK.INC($I$2:$I$1194,I3)*100,0)*PARAMS_MODELO!$B$31)</f>
        <v>52.68</v>
      </c>
    </row>
    <row r="4" spans="1:10" x14ac:dyDescent="0.3">
      <c r="A4">
        <v>51023871</v>
      </c>
      <c r="B4">
        <v>41</v>
      </c>
      <c r="C4">
        <v>6</v>
      </c>
      <c r="D4">
        <v>77</v>
      </c>
      <c r="E4" s="21">
        <f>D4/PARAMS_MODELO!$B$28</f>
        <v>2.5666666666666669</v>
      </c>
      <c r="F4">
        <v>96</v>
      </c>
      <c r="G4">
        <v>36</v>
      </c>
      <c r="H4">
        <v>19</v>
      </c>
      <c r="I4" s="20">
        <f t="shared" si="0"/>
        <v>0.52777777777777779</v>
      </c>
      <c r="J4" s="21">
        <f>(IFERROR(_xlfn.PERCENTRANK.INC($B$2:$B$1194,B4)*100,0)*PARAMS_MODELO!$B$25)+(IFERROR(_xlfn.PERCENTRANK.INC($C$2:$C$1194,C4)*100,0)*PARAMS_MODELO!$B$26)+(IFERROR(_xlfn.PERCENTRANK.INC($E$2:$E$1194,E4)*100,0)*PARAMS_MODELO!$B$27)+(IFERROR(_xlfn.PERCENTRANK.INC($F$2:$F$1194,F4)*100,0)*PARAMS_MODELO!$B$29)+(IFERROR(_xlfn.PERCENTRANK.INC($I$2:$I$1194,I4)*100,0)*PARAMS_MODELO!$B$31)</f>
        <v>52.47</v>
      </c>
    </row>
    <row r="5" spans="1:10" x14ac:dyDescent="0.3">
      <c r="A5">
        <v>51019601</v>
      </c>
      <c r="B5">
        <v>98</v>
      </c>
      <c r="C5">
        <v>21</v>
      </c>
      <c r="D5">
        <v>24</v>
      </c>
      <c r="E5" s="21">
        <f>D5/PARAMS_MODELO!$B$28</f>
        <v>0.8</v>
      </c>
      <c r="F5">
        <v>52</v>
      </c>
      <c r="G5">
        <v>37</v>
      </c>
      <c r="H5">
        <v>21</v>
      </c>
      <c r="I5" s="20">
        <f t="shared" si="0"/>
        <v>0.56756756756756754</v>
      </c>
      <c r="J5" s="21">
        <f>(IFERROR(_xlfn.PERCENTRANK.INC($B$2:$B$1194,B5)*100,0)*PARAMS_MODELO!$B$25)+(IFERROR(_xlfn.PERCENTRANK.INC($C$2:$C$1194,C5)*100,0)*PARAMS_MODELO!$B$26)+(IFERROR(_xlfn.PERCENTRANK.INC($E$2:$E$1194,E5)*100,0)*PARAMS_MODELO!$B$27)+(IFERROR(_xlfn.PERCENTRANK.INC($F$2:$F$1194,F5)*100,0)*PARAMS_MODELO!$B$29)+(IFERROR(_xlfn.PERCENTRANK.INC($I$2:$I$1194,I5)*100,0)*PARAMS_MODELO!$B$31)</f>
        <v>66.765000000000001</v>
      </c>
    </row>
    <row r="6" spans="1:10" x14ac:dyDescent="0.3">
      <c r="A6">
        <v>51021983</v>
      </c>
      <c r="B6">
        <v>32</v>
      </c>
      <c r="C6">
        <v>17</v>
      </c>
      <c r="D6">
        <v>99</v>
      </c>
      <c r="E6" s="21">
        <f>D6/PARAMS_MODELO!$B$28</f>
        <v>3.3</v>
      </c>
      <c r="F6">
        <v>69</v>
      </c>
      <c r="G6">
        <v>55</v>
      </c>
      <c r="H6">
        <v>24</v>
      </c>
      <c r="I6" s="20">
        <f t="shared" si="0"/>
        <v>0.43636363636363634</v>
      </c>
      <c r="J6" s="21">
        <f>(IFERROR(_xlfn.PERCENTRANK.INC($B$2:$B$1194,B6)*100,0)*PARAMS_MODELO!$B$25)+(IFERROR(_xlfn.PERCENTRANK.INC($C$2:$C$1194,C6)*100,0)*PARAMS_MODELO!$B$26)+(IFERROR(_xlfn.PERCENTRANK.INC($E$2:$E$1194,E6)*100,0)*PARAMS_MODELO!$B$27)+(IFERROR(_xlfn.PERCENTRANK.INC($F$2:$F$1194,F6)*100,0)*PARAMS_MODELO!$B$29)+(IFERROR(_xlfn.PERCENTRANK.INC($I$2:$I$1194,I6)*100,0)*PARAMS_MODELO!$B$31)</f>
        <v>59.38000000000001</v>
      </c>
    </row>
    <row r="7" spans="1:10" x14ac:dyDescent="0.3">
      <c r="A7">
        <v>51020201</v>
      </c>
      <c r="B7">
        <v>54</v>
      </c>
      <c r="C7">
        <v>1</v>
      </c>
      <c r="D7">
        <v>0</v>
      </c>
      <c r="E7" s="21">
        <f>D7/PARAMS_MODELO!$B$28</f>
        <v>0</v>
      </c>
      <c r="F7">
        <v>79</v>
      </c>
      <c r="G7">
        <v>58</v>
      </c>
      <c r="H7">
        <v>28</v>
      </c>
      <c r="I7" s="20">
        <f t="shared" si="0"/>
        <v>0.48275862068965519</v>
      </c>
      <c r="J7" s="21">
        <f>(IFERROR(_xlfn.PERCENTRANK.INC($B$2:$B$1194,B7)*100,0)*PARAMS_MODELO!$B$25)+(IFERROR(_xlfn.PERCENTRANK.INC($C$2:$C$1194,C7)*100,0)*PARAMS_MODELO!$B$26)+(IFERROR(_xlfn.PERCENTRANK.INC($E$2:$E$1194,E7)*100,0)*PARAMS_MODELO!$B$27)+(IFERROR(_xlfn.PERCENTRANK.INC($F$2:$F$1194,F7)*100,0)*PARAMS_MODELO!$B$29)+(IFERROR(_xlfn.PERCENTRANK.INC($I$2:$I$1194,I7)*100,0)*PARAMS_MODELO!$B$31)</f>
        <v>33.65</v>
      </c>
    </row>
    <row r="8" spans="1:10" x14ac:dyDescent="0.3">
      <c r="A8">
        <v>51031296</v>
      </c>
      <c r="B8">
        <v>21</v>
      </c>
      <c r="C8">
        <v>5</v>
      </c>
      <c r="D8">
        <v>22</v>
      </c>
      <c r="E8" s="21">
        <f>D8/PARAMS_MODELO!$B$28</f>
        <v>0.73333333333333328</v>
      </c>
      <c r="F8">
        <v>1</v>
      </c>
      <c r="G8">
        <v>50</v>
      </c>
      <c r="H8">
        <v>17</v>
      </c>
      <c r="I8" s="20">
        <f t="shared" si="0"/>
        <v>0.34</v>
      </c>
      <c r="J8" s="21">
        <f>(IFERROR(_xlfn.PERCENTRANK.INC($B$2:$B$1194,B8)*100,0)*PARAMS_MODELO!$B$25)+(IFERROR(_xlfn.PERCENTRANK.INC($C$2:$C$1194,C8)*100,0)*PARAMS_MODELO!$B$26)+(IFERROR(_xlfn.PERCENTRANK.INC($E$2:$E$1194,E8)*100,0)*PARAMS_MODELO!$B$27)+(IFERROR(_xlfn.PERCENTRANK.INC($F$2:$F$1194,F8)*100,0)*PARAMS_MODELO!$B$29)+(IFERROR(_xlfn.PERCENTRANK.INC($I$2:$I$1194,I8)*100,0)*PARAMS_MODELO!$B$31)</f>
        <v>18.574999999999996</v>
      </c>
    </row>
    <row r="9" spans="1:10" x14ac:dyDescent="0.3">
      <c r="A9">
        <v>51011864</v>
      </c>
      <c r="B9">
        <v>10</v>
      </c>
      <c r="C9">
        <v>10</v>
      </c>
      <c r="D9">
        <v>62</v>
      </c>
      <c r="E9" s="21">
        <f>D9/PARAMS_MODELO!$B$28</f>
        <v>2.0666666666666669</v>
      </c>
      <c r="F9">
        <v>75</v>
      </c>
      <c r="G9">
        <v>59</v>
      </c>
      <c r="H9">
        <v>21</v>
      </c>
      <c r="I9" s="20">
        <f t="shared" si="0"/>
        <v>0.3559322033898305</v>
      </c>
      <c r="J9" s="21">
        <f>(IFERROR(_xlfn.PERCENTRANK.INC($B$2:$B$1194,B9)*100,0)*PARAMS_MODELO!$B$25)+(IFERROR(_xlfn.PERCENTRANK.INC($C$2:$C$1194,C9)*100,0)*PARAMS_MODELO!$B$26)+(IFERROR(_xlfn.PERCENTRANK.INC($E$2:$E$1194,E9)*100,0)*PARAMS_MODELO!$B$27)+(IFERROR(_xlfn.PERCENTRANK.INC($F$2:$F$1194,F9)*100,0)*PARAMS_MODELO!$B$29)+(IFERROR(_xlfn.PERCENTRANK.INC($I$2:$I$1194,I9)*100,0)*PARAMS_MODELO!$B$31)</f>
        <v>39.54</v>
      </c>
    </row>
    <row r="10" spans="1:10" x14ac:dyDescent="0.3">
      <c r="A10">
        <v>51005945</v>
      </c>
      <c r="B10">
        <v>8</v>
      </c>
      <c r="C10">
        <v>5</v>
      </c>
      <c r="D10">
        <v>88</v>
      </c>
      <c r="E10" s="21">
        <f>D10/PARAMS_MODELO!$B$28</f>
        <v>2.9333333333333331</v>
      </c>
      <c r="F10">
        <v>28</v>
      </c>
      <c r="G10">
        <v>48</v>
      </c>
      <c r="H10">
        <v>25</v>
      </c>
      <c r="I10" s="20">
        <f t="shared" si="0"/>
        <v>0.52083333333333337</v>
      </c>
      <c r="J10" s="21">
        <f>(IFERROR(_xlfn.PERCENTRANK.INC($B$2:$B$1194,B10)*100,0)*PARAMS_MODELO!$B$25)+(IFERROR(_xlfn.PERCENTRANK.INC($C$2:$C$1194,C10)*100,0)*PARAMS_MODELO!$B$26)+(IFERROR(_xlfn.PERCENTRANK.INC($E$2:$E$1194,E10)*100,0)*PARAMS_MODELO!$B$27)+(IFERROR(_xlfn.PERCENTRANK.INC($F$2:$F$1194,F10)*100,0)*PARAMS_MODELO!$B$29)+(IFERROR(_xlfn.PERCENTRANK.INC($I$2:$I$1194,I10)*100,0)*PARAMS_MODELO!$B$31)</f>
        <v>33.769999999999996</v>
      </c>
    </row>
    <row r="11" spans="1:10" x14ac:dyDescent="0.3">
      <c r="A11">
        <v>51055586</v>
      </c>
      <c r="B11">
        <v>6</v>
      </c>
      <c r="C11">
        <v>22</v>
      </c>
      <c r="D11">
        <v>10</v>
      </c>
      <c r="E11" s="21">
        <f>D11/PARAMS_MODELO!$B$28</f>
        <v>0.33333333333333331</v>
      </c>
      <c r="F11">
        <v>10</v>
      </c>
      <c r="G11">
        <v>25</v>
      </c>
      <c r="H11">
        <v>20</v>
      </c>
      <c r="I11" s="20">
        <f t="shared" si="0"/>
        <v>0.8</v>
      </c>
      <c r="J11" s="21">
        <f>(IFERROR(_xlfn.PERCENTRANK.INC($B$2:$B$1194,B11)*100,0)*PARAMS_MODELO!$B$25)+(IFERROR(_xlfn.PERCENTRANK.INC($C$2:$C$1194,C11)*100,0)*PARAMS_MODELO!$B$26)+(IFERROR(_xlfn.PERCENTRANK.INC($E$2:$E$1194,E11)*100,0)*PARAMS_MODELO!$B$27)+(IFERROR(_xlfn.PERCENTRANK.INC($F$2:$F$1194,F11)*100,0)*PARAMS_MODELO!$B$29)+(IFERROR(_xlfn.PERCENTRANK.INC($I$2:$I$1194,I11)*100,0)*PARAMS_MODELO!$B$31)</f>
        <v>33.86</v>
      </c>
    </row>
    <row r="12" spans="1:10" x14ac:dyDescent="0.3">
      <c r="A12">
        <v>51025458</v>
      </c>
      <c r="B12">
        <v>46</v>
      </c>
      <c r="C12">
        <v>1</v>
      </c>
      <c r="D12">
        <v>11</v>
      </c>
      <c r="E12" s="21">
        <f>D12/PARAMS_MODELO!$B$28</f>
        <v>0.36666666666666664</v>
      </c>
      <c r="F12">
        <v>55</v>
      </c>
      <c r="G12">
        <v>21</v>
      </c>
      <c r="H12">
        <v>11</v>
      </c>
      <c r="I12" s="20">
        <f t="shared" si="0"/>
        <v>0.52380952380952384</v>
      </c>
      <c r="J12" s="21">
        <f>(IFERROR(_xlfn.PERCENTRANK.INC($B$2:$B$1194,B12)*100,0)*PARAMS_MODELO!$B$25)+(IFERROR(_xlfn.PERCENTRANK.INC($C$2:$C$1194,C12)*100,0)*PARAMS_MODELO!$B$26)+(IFERROR(_xlfn.PERCENTRANK.INC($E$2:$E$1194,E12)*100,0)*PARAMS_MODELO!$B$27)+(IFERROR(_xlfn.PERCENTRANK.INC($F$2:$F$1194,F12)*100,0)*PARAMS_MODELO!$B$29)+(IFERROR(_xlfn.PERCENTRANK.INC($I$2:$I$1194,I12)*100,0)*PARAMS_MODELO!$B$31)</f>
        <v>30.16</v>
      </c>
    </row>
    <row r="13" spans="1:10" x14ac:dyDescent="0.3">
      <c r="A13">
        <v>51025709</v>
      </c>
      <c r="B13">
        <v>25</v>
      </c>
      <c r="C13">
        <v>5</v>
      </c>
      <c r="D13">
        <v>99</v>
      </c>
      <c r="E13" s="21">
        <f>D13/PARAMS_MODELO!$B$28</f>
        <v>3.3</v>
      </c>
      <c r="F13">
        <v>51</v>
      </c>
      <c r="G13">
        <v>49</v>
      </c>
      <c r="H13">
        <v>45</v>
      </c>
      <c r="I13" s="20">
        <f t="shared" si="0"/>
        <v>0.91836734693877553</v>
      </c>
      <c r="J13" s="21">
        <f>(IFERROR(_xlfn.PERCENTRANK.INC($B$2:$B$1194,B13)*100,0)*PARAMS_MODELO!$B$25)+(IFERROR(_xlfn.PERCENTRANK.INC($C$2:$C$1194,C13)*100,0)*PARAMS_MODELO!$B$26)+(IFERROR(_xlfn.PERCENTRANK.INC($E$2:$E$1194,E13)*100,0)*PARAMS_MODELO!$B$27)+(IFERROR(_xlfn.PERCENTRANK.INC($F$2:$F$1194,F13)*100,0)*PARAMS_MODELO!$B$29)+(IFERROR(_xlfn.PERCENTRANK.INC($I$2:$I$1194,I13)*100,0)*PARAMS_MODELO!$B$31)</f>
        <v>47.924999999999997</v>
      </c>
    </row>
    <row r="14" spans="1:10" x14ac:dyDescent="0.3">
      <c r="A14">
        <v>51019709</v>
      </c>
      <c r="B14">
        <v>68</v>
      </c>
      <c r="C14">
        <v>3</v>
      </c>
      <c r="D14">
        <v>9</v>
      </c>
      <c r="E14" s="21">
        <f>D14/PARAMS_MODELO!$B$28</f>
        <v>0.3</v>
      </c>
      <c r="F14">
        <v>30</v>
      </c>
      <c r="G14">
        <v>85</v>
      </c>
      <c r="H14">
        <v>65</v>
      </c>
      <c r="I14" s="20">
        <f t="shared" si="0"/>
        <v>0.76470588235294112</v>
      </c>
      <c r="J14" s="21">
        <f>(IFERROR(_xlfn.PERCENTRANK.INC($B$2:$B$1194,B14)*100,0)*PARAMS_MODELO!$B$25)+(IFERROR(_xlfn.PERCENTRANK.INC($C$2:$C$1194,C14)*100,0)*PARAMS_MODELO!$B$26)+(IFERROR(_xlfn.PERCENTRANK.INC($E$2:$E$1194,E14)*100,0)*PARAMS_MODELO!$B$27)+(IFERROR(_xlfn.PERCENTRANK.INC($F$2:$F$1194,F14)*100,0)*PARAMS_MODELO!$B$29)+(IFERROR(_xlfn.PERCENTRANK.INC($I$2:$I$1194,I14)*100,0)*PARAMS_MODELO!$B$31)</f>
        <v>36.450000000000003</v>
      </c>
    </row>
    <row r="15" spans="1:10" x14ac:dyDescent="0.3">
      <c r="A15">
        <v>51019377</v>
      </c>
      <c r="B15">
        <v>27</v>
      </c>
      <c r="C15">
        <v>5</v>
      </c>
      <c r="D15">
        <v>57</v>
      </c>
      <c r="E15" s="21">
        <f>D15/PARAMS_MODELO!$B$28</f>
        <v>1.9</v>
      </c>
      <c r="F15">
        <v>34</v>
      </c>
      <c r="G15">
        <v>67</v>
      </c>
      <c r="H15">
        <v>47</v>
      </c>
      <c r="I15" s="20">
        <f t="shared" si="0"/>
        <v>0.70149253731343286</v>
      </c>
      <c r="J15" s="21">
        <f>(IFERROR(_xlfn.PERCENTRANK.INC($B$2:$B$1194,B15)*100,0)*PARAMS_MODELO!$B$25)+(IFERROR(_xlfn.PERCENTRANK.INC($C$2:$C$1194,C15)*100,0)*PARAMS_MODELO!$B$26)+(IFERROR(_xlfn.PERCENTRANK.INC($E$2:$E$1194,E15)*100,0)*PARAMS_MODELO!$B$27)+(IFERROR(_xlfn.PERCENTRANK.INC($F$2:$F$1194,F15)*100,0)*PARAMS_MODELO!$B$29)+(IFERROR(_xlfn.PERCENTRANK.INC($I$2:$I$1194,I15)*100,0)*PARAMS_MODELO!$B$31)</f>
        <v>35.774999999999999</v>
      </c>
    </row>
    <row r="16" spans="1:10" x14ac:dyDescent="0.3">
      <c r="A16">
        <v>51017447</v>
      </c>
      <c r="B16">
        <v>51</v>
      </c>
      <c r="C16">
        <v>4</v>
      </c>
      <c r="D16">
        <v>80</v>
      </c>
      <c r="E16" s="21">
        <f>D16/PARAMS_MODELO!$B$28</f>
        <v>2.6666666666666665</v>
      </c>
      <c r="F16">
        <v>80</v>
      </c>
      <c r="G16">
        <v>19</v>
      </c>
      <c r="H16">
        <v>1</v>
      </c>
      <c r="I16" s="20">
        <f t="shared" si="0"/>
        <v>5.2631578947368418E-2</v>
      </c>
      <c r="J16" s="21">
        <f>(IFERROR(_xlfn.PERCENTRANK.INC($B$2:$B$1194,B16)*100,0)*PARAMS_MODELO!$B$25)+(IFERROR(_xlfn.PERCENTRANK.INC($C$2:$C$1194,C16)*100,0)*PARAMS_MODELO!$B$26)+(IFERROR(_xlfn.PERCENTRANK.INC($E$2:$E$1194,E16)*100,0)*PARAMS_MODELO!$B$27)+(IFERROR(_xlfn.PERCENTRANK.INC($F$2:$F$1194,F16)*100,0)*PARAMS_MODELO!$B$29)+(IFERROR(_xlfn.PERCENTRANK.INC($I$2:$I$1194,I16)*100,0)*PARAMS_MODELO!$B$31)</f>
        <v>47.245000000000005</v>
      </c>
    </row>
    <row r="17" spans="1:10" x14ac:dyDescent="0.3">
      <c r="A17">
        <v>51055721</v>
      </c>
      <c r="B17">
        <v>93</v>
      </c>
      <c r="C17">
        <v>13</v>
      </c>
      <c r="D17">
        <v>44</v>
      </c>
      <c r="E17" s="21">
        <f>D17/PARAMS_MODELO!$B$28</f>
        <v>1.4666666666666666</v>
      </c>
      <c r="F17">
        <v>9</v>
      </c>
      <c r="G17">
        <v>41</v>
      </c>
      <c r="H17">
        <v>31</v>
      </c>
      <c r="I17" s="20">
        <f t="shared" si="0"/>
        <v>0.75609756097560976</v>
      </c>
      <c r="J17" s="21">
        <f>(IFERROR(_xlfn.PERCENTRANK.INC($B$2:$B$1194,B17)*100,0)*PARAMS_MODELO!$B$25)+(IFERROR(_xlfn.PERCENTRANK.INC($C$2:$C$1194,C17)*100,0)*PARAMS_MODELO!$B$26)+(IFERROR(_xlfn.PERCENTRANK.INC($E$2:$E$1194,E17)*100,0)*PARAMS_MODELO!$B$27)+(IFERROR(_xlfn.PERCENTRANK.INC($F$2:$F$1194,F17)*100,0)*PARAMS_MODELO!$B$29)+(IFERROR(_xlfn.PERCENTRANK.INC($I$2:$I$1194,I17)*100,0)*PARAMS_MODELO!$B$31)</f>
        <v>56.855000000000004</v>
      </c>
    </row>
    <row r="18" spans="1:10" x14ac:dyDescent="0.3">
      <c r="A18">
        <v>51023064</v>
      </c>
      <c r="B18">
        <v>42</v>
      </c>
      <c r="C18">
        <v>10</v>
      </c>
      <c r="D18">
        <v>91</v>
      </c>
      <c r="E18" s="21">
        <f>D18/PARAMS_MODELO!$B$28</f>
        <v>3.0333333333333332</v>
      </c>
      <c r="F18">
        <v>39</v>
      </c>
      <c r="G18">
        <v>1</v>
      </c>
      <c r="H18">
        <v>0</v>
      </c>
      <c r="I18" s="20">
        <f t="shared" si="0"/>
        <v>0</v>
      </c>
      <c r="J18" s="21">
        <f>(IFERROR(_xlfn.PERCENTRANK.INC($B$2:$B$1194,B18)*100,0)*PARAMS_MODELO!$B$25)+(IFERROR(_xlfn.PERCENTRANK.INC($C$2:$C$1194,C18)*100,0)*PARAMS_MODELO!$B$26)+(IFERROR(_xlfn.PERCENTRANK.INC($E$2:$E$1194,E18)*100,0)*PARAMS_MODELO!$B$27)+(IFERROR(_xlfn.PERCENTRANK.INC($F$2:$F$1194,F18)*100,0)*PARAMS_MODELO!$B$29)+(IFERROR(_xlfn.PERCENTRANK.INC($I$2:$I$1194,I18)*100,0)*PARAMS_MODELO!$B$31)</f>
        <v>45.129999999999995</v>
      </c>
    </row>
    <row r="19" spans="1:10" x14ac:dyDescent="0.3">
      <c r="A19">
        <v>51055063</v>
      </c>
      <c r="B19">
        <v>9</v>
      </c>
      <c r="C19">
        <v>2</v>
      </c>
      <c r="D19">
        <v>42</v>
      </c>
      <c r="E19" s="21">
        <f>D19/PARAMS_MODELO!$B$28</f>
        <v>1.4</v>
      </c>
      <c r="F19">
        <v>61</v>
      </c>
      <c r="G19">
        <v>58</v>
      </c>
      <c r="H19">
        <v>12</v>
      </c>
      <c r="I19" s="20">
        <f t="shared" si="0"/>
        <v>0.20689655172413793</v>
      </c>
      <c r="J19" s="21">
        <f>(IFERROR(_xlfn.PERCENTRANK.INC($B$2:$B$1194,B19)*100,0)*PARAMS_MODELO!$B$25)+(IFERROR(_xlfn.PERCENTRANK.INC($C$2:$C$1194,C19)*100,0)*PARAMS_MODELO!$B$26)+(IFERROR(_xlfn.PERCENTRANK.INC($E$2:$E$1194,E19)*100,0)*PARAMS_MODELO!$B$27)+(IFERROR(_xlfn.PERCENTRANK.INC($F$2:$F$1194,F19)*100,0)*PARAMS_MODELO!$B$29)+(IFERROR(_xlfn.PERCENTRANK.INC($I$2:$I$1194,I19)*100,0)*PARAMS_MODELO!$B$31)</f>
        <v>24.535</v>
      </c>
    </row>
    <row r="20" spans="1:10" x14ac:dyDescent="0.3">
      <c r="A20">
        <v>51024893</v>
      </c>
      <c r="B20">
        <v>26</v>
      </c>
      <c r="C20">
        <v>14</v>
      </c>
      <c r="D20">
        <v>81</v>
      </c>
      <c r="E20" s="21">
        <f>D20/PARAMS_MODELO!$B$28</f>
        <v>2.7</v>
      </c>
      <c r="F20">
        <v>1</v>
      </c>
      <c r="G20">
        <v>11</v>
      </c>
      <c r="H20">
        <v>8</v>
      </c>
      <c r="I20" s="20">
        <f t="shared" si="0"/>
        <v>0.72727272727272729</v>
      </c>
      <c r="J20" s="21">
        <f>(IFERROR(_xlfn.PERCENTRANK.INC($B$2:$B$1194,B20)*100,0)*PARAMS_MODELO!$B$25)+(IFERROR(_xlfn.PERCENTRANK.INC($C$2:$C$1194,C20)*100,0)*PARAMS_MODELO!$B$26)+(IFERROR(_xlfn.PERCENTRANK.INC($E$2:$E$1194,E20)*100,0)*PARAMS_MODELO!$B$27)+(IFERROR(_xlfn.PERCENTRANK.INC($F$2:$F$1194,F20)*100,0)*PARAMS_MODELO!$B$29)+(IFERROR(_xlfn.PERCENTRANK.INC($I$2:$I$1194,I20)*100,0)*PARAMS_MODELO!$B$31)</f>
        <v>43.984999999999999</v>
      </c>
    </row>
    <row r="21" spans="1:10" x14ac:dyDescent="0.3">
      <c r="A21">
        <v>51013638</v>
      </c>
      <c r="B21">
        <v>79</v>
      </c>
      <c r="C21">
        <v>22</v>
      </c>
      <c r="D21">
        <v>95</v>
      </c>
      <c r="E21" s="21">
        <f>D21/PARAMS_MODELO!$B$28</f>
        <v>3.1666666666666665</v>
      </c>
      <c r="F21">
        <v>80</v>
      </c>
      <c r="G21">
        <v>58</v>
      </c>
      <c r="H21">
        <v>21</v>
      </c>
      <c r="I21" s="20">
        <f t="shared" si="0"/>
        <v>0.36206896551724138</v>
      </c>
      <c r="J21" s="21">
        <f>(IFERROR(_xlfn.PERCENTRANK.INC($B$2:$B$1194,B21)*100,0)*PARAMS_MODELO!$B$25)+(IFERROR(_xlfn.PERCENTRANK.INC($C$2:$C$1194,C21)*100,0)*PARAMS_MODELO!$B$26)+(IFERROR(_xlfn.PERCENTRANK.INC($E$2:$E$1194,E21)*100,0)*PARAMS_MODELO!$B$27)+(IFERROR(_xlfn.PERCENTRANK.INC($F$2:$F$1194,F21)*100,0)*PARAMS_MODELO!$B$29)+(IFERROR(_xlfn.PERCENTRANK.INC($I$2:$I$1194,I21)*100,0)*PARAMS_MODELO!$B$31)</f>
        <v>78.5</v>
      </c>
    </row>
    <row r="22" spans="1:10" x14ac:dyDescent="0.3">
      <c r="A22">
        <v>51011015</v>
      </c>
      <c r="B22">
        <v>56</v>
      </c>
      <c r="C22">
        <v>19</v>
      </c>
      <c r="D22">
        <v>77</v>
      </c>
      <c r="E22" s="21">
        <f>D22/PARAMS_MODELO!$B$28</f>
        <v>2.5666666666666669</v>
      </c>
      <c r="F22">
        <v>4</v>
      </c>
      <c r="G22">
        <v>42</v>
      </c>
      <c r="H22">
        <v>40</v>
      </c>
      <c r="I22" s="20">
        <f t="shared" si="0"/>
        <v>0.95238095238095233</v>
      </c>
      <c r="J22" s="21">
        <f>(IFERROR(_xlfn.PERCENTRANK.INC($B$2:$B$1194,B22)*100,0)*PARAMS_MODELO!$B$25)+(IFERROR(_xlfn.PERCENTRANK.INC($C$2:$C$1194,C22)*100,0)*PARAMS_MODELO!$B$26)+(IFERROR(_xlfn.PERCENTRANK.INC($E$2:$E$1194,E22)*100,0)*PARAMS_MODELO!$B$27)+(IFERROR(_xlfn.PERCENTRANK.INC($F$2:$F$1194,F22)*100,0)*PARAMS_MODELO!$B$29)+(IFERROR(_xlfn.PERCENTRANK.INC($I$2:$I$1194,I22)*100,0)*PARAMS_MODELO!$B$31)</f>
        <v>59.36</v>
      </c>
    </row>
    <row r="23" spans="1:10" x14ac:dyDescent="0.3">
      <c r="A23">
        <v>51020758</v>
      </c>
      <c r="B23">
        <v>64</v>
      </c>
      <c r="C23">
        <v>16</v>
      </c>
      <c r="D23">
        <v>99</v>
      </c>
      <c r="E23" s="21">
        <f>D23/PARAMS_MODELO!$B$28</f>
        <v>3.3</v>
      </c>
      <c r="F23">
        <v>43</v>
      </c>
      <c r="G23">
        <v>26</v>
      </c>
      <c r="H23">
        <v>8</v>
      </c>
      <c r="I23" s="20">
        <f t="shared" si="0"/>
        <v>0.30769230769230771</v>
      </c>
      <c r="J23" s="21">
        <f>(IFERROR(_xlfn.PERCENTRANK.INC($B$2:$B$1194,B23)*100,0)*PARAMS_MODELO!$B$25)+(IFERROR(_xlfn.PERCENTRANK.INC($C$2:$C$1194,C23)*100,0)*PARAMS_MODELO!$B$26)+(IFERROR(_xlfn.PERCENTRANK.INC($E$2:$E$1194,E23)*100,0)*PARAMS_MODELO!$B$27)+(IFERROR(_xlfn.PERCENTRANK.INC($F$2:$F$1194,F23)*100,0)*PARAMS_MODELO!$B$29)+(IFERROR(_xlfn.PERCENTRANK.INC($I$2:$I$1194,I23)*100,0)*PARAMS_MODELO!$B$31)</f>
        <v>62.195000000000007</v>
      </c>
    </row>
    <row r="24" spans="1:10" x14ac:dyDescent="0.3">
      <c r="A24">
        <v>51022734</v>
      </c>
      <c r="B24">
        <v>54</v>
      </c>
      <c r="C24">
        <v>6</v>
      </c>
      <c r="D24">
        <v>38</v>
      </c>
      <c r="E24" s="21">
        <f>D24/PARAMS_MODELO!$B$28</f>
        <v>1.2666666666666666</v>
      </c>
      <c r="F24">
        <v>37</v>
      </c>
      <c r="G24">
        <v>21</v>
      </c>
      <c r="H24">
        <v>1</v>
      </c>
      <c r="I24" s="20">
        <f t="shared" si="0"/>
        <v>4.7619047619047616E-2</v>
      </c>
      <c r="J24" s="21">
        <f>(IFERROR(_xlfn.PERCENTRANK.INC($B$2:$B$1194,B24)*100,0)*PARAMS_MODELO!$B$25)+(IFERROR(_xlfn.PERCENTRANK.INC($C$2:$C$1194,C24)*100,0)*PARAMS_MODELO!$B$26)+(IFERROR(_xlfn.PERCENTRANK.INC($E$2:$E$1194,E24)*100,0)*PARAMS_MODELO!$B$27)+(IFERROR(_xlfn.PERCENTRANK.INC($F$2:$F$1194,F24)*100,0)*PARAMS_MODELO!$B$29)+(IFERROR(_xlfn.PERCENTRANK.INC($I$2:$I$1194,I24)*100,0)*PARAMS_MODELO!$B$31)</f>
        <v>34.974999999999994</v>
      </c>
    </row>
    <row r="25" spans="1:10" x14ac:dyDescent="0.3">
      <c r="A25">
        <v>51036034</v>
      </c>
      <c r="B25">
        <v>13</v>
      </c>
      <c r="C25">
        <v>5</v>
      </c>
      <c r="D25">
        <v>79</v>
      </c>
      <c r="E25" s="21">
        <f>D25/PARAMS_MODELO!$B$28</f>
        <v>2.6333333333333333</v>
      </c>
      <c r="F25">
        <v>92</v>
      </c>
      <c r="G25">
        <v>13</v>
      </c>
      <c r="H25">
        <v>4</v>
      </c>
      <c r="I25" s="20">
        <f t="shared" si="0"/>
        <v>0.30769230769230771</v>
      </c>
      <c r="J25" s="21">
        <f>(IFERROR(_xlfn.PERCENTRANK.INC($B$2:$B$1194,B25)*100,0)*PARAMS_MODELO!$B$25)+(IFERROR(_xlfn.PERCENTRANK.INC($C$2:$C$1194,C25)*100,0)*PARAMS_MODELO!$B$26)+(IFERROR(_xlfn.PERCENTRANK.INC($E$2:$E$1194,E25)*100,0)*PARAMS_MODELO!$B$27)+(IFERROR(_xlfn.PERCENTRANK.INC($F$2:$F$1194,F25)*100,0)*PARAMS_MODELO!$B$29)+(IFERROR(_xlfn.PERCENTRANK.INC($I$2:$I$1194,I25)*100,0)*PARAMS_MODELO!$B$31)</f>
        <v>40.869999999999997</v>
      </c>
    </row>
    <row r="26" spans="1:10" x14ac:dyDescent="0.3">
      <c r="A26">
        <v>51019954</v>
      </c>
      <c r="B26">
        <v>71</v>
      </c>
      <c r="C26">
        <v>22</v>
      </c>
      <c r="D26">
        <v>58</v>
      </c>
      <c r="E26" s="21">
        <f>D26/PARAMS_MODELO!$B$28</f>
        <v>1.9333333333333333</v>
      </c>
      <c r="F26">
        <v>28</v>
      </c>
      <c r="G26">
        <v>25</v>
      </c>
      <c r="H26">
        <v>8</v>
      </c>
      <c r="I26" s="20">
        <f t="shared" si="0"/>
        <v>0.32</v>
      </c>
      <c r="J26" s="21">
        <f>(IFERROR(_xlfn.PERCENTRANK.INC($B$2:$B$1194,B26)*100,0)*PARAMS_MODELO!$B$25)+(IFERROR(_xlfn.PERCENTRANK.INC($C$2:$C$1194,C26)*100,0)*PARAMS_MODELO!$B$26)+(IFERROR(_xlfn.PERCENTRANK.INC($E$2:$E$1194,E26)*100,0)*PARAMS_MODELO!$B$27)+(IFERROR(_xlfn.PERCENTRANK.INC($F$2:$F$1194,F26)*100,0)*PARAMS_MODELO!$B$29)+(IFERROR(_xlfn.PERCENTRANK.INC($I$2:$I$1194,I26)*100,0)*PARAMS_MODELO!$B$31)</f>
        <v>60.379999999999995</v>
      </c>
    </row>
    <row r="27" spans="1:10" x14ac:dyDescent="0.3">
      <c r="A27">
        <v>51041895</v>
      </c>
      <c r="B27">
        <v>25</v>
      </c>
      <c r="C27">
        <v>11</v>
      </c>
      <c r="D27">
        <v>38</v>
      </c>
      <c r="E27" s="21">
        <f>D27/PARAMS_MODELO!$B$28</f>
        <v>1.2666666666666666</v>
      </c>
      <c r="F27">
        <v>43</v>
      </c>
      <c r="G27">
        <v>68</v>
      </c>
      <c r="H27">
        <v>9</v>
      </c>
      <c r="I27" s="20">
        <f t="shared" si="0"/>
        <v>0.13235294117647059</v>
      </c>
      <c r="J27" s="21">
        <f>(IFERROR(_xlfn.PERCENTRANK.INC($B$2:$B$1194,B27)*100,0)*PARAMS_MODELO!$B$25)+(IFERROR(_xlfn.PERCENTRANK.INC($C$2:$C$1194,C27)*100,0)*PARAMS_MODELO!$B$26)+(IFERROR(_xlfn.PERCENTRANK.INC($E$2:$E$1194,E27)*100,0)*PARAMS_MODELO!$B$27)+(IFERROR(_xlfn.PERCENTRANK.INC($F$2:$F$1194,F27)*100,0)*PARAMS_MODELO!$B$29)+(IFERROR(_xlfn.PERCENTRANK.INC($I$2:$I$1194,I27)*100,0)*PARAMS_MODELO!$B$31)</f>
        <v>32.435000000000002</v>
      </c>
    </row>
    <row r="28" spans="1:10" x14ac:dyDescent="0.3">
      <c r="A28">
        <v>51031075</v>
      </c>
      <c r="B28">
        <v>85</v>
      </c>
      <c r="C28">
        <v>13</v>
      </c>
      <c r="D28">
        <v>24</v>
      </c>
      <c r="E28" s="21">
        <f>D28/PARAMS_MODELO!$B$28</f>
        <v>0.8</v>
      </c>
      <c r="F28">
        <v>94</v>
      </c>
      <c r="G28">
        <v>24</v>
      </c>
      <c r="H28">
        <v>12</v>
      </c>
      <c r="I28" s="20">
        <f t="shared" si="0"/>
        <v>0.5</v>
      </c>
      <c r="J28" s="21">
        <f>(IFERROR(_xlfn.PERCENTRANK.INC($B$2:$B$1194,B28)*100,0)*PARAMS_MODELO!$B$25)+(IFERROR(_xlfn.PERCENTRANK.INC($C$2:$C$1194,C28)*100,0)*PARAMS_MODELO!$B$26)+(IFERROR(_xlfn.PERCENTRANK.INC($E$2:$E$1194,E28)*100,0)*PARAMS_MODELO!$B$27)+(IFERROR(_xlfn.PERCENTRANK.INC($F$2:$F$1194,F28)*100,0)*PARAMS_MODELO!$B$29)+(IFERROR(_xlfn.PERCENTRANK.INC($I$2:$I$1194,I28)*100,0)*PARAMS_MODELO!$B$31)</f>
        <v>60.43</v>
      </c>
    </row>
    <row r="29" spans="1:10" x14ac:dyDescent="0.3">
      <c r="A29">
        <v>51016815</v>
      </c>
      <c r="B29">
        <v>25</v>
      </c>
      <c r="C29">
        <v>13</v>
      </c>
      <c r="D29">
        <v>81</v>
      </c>
      <c r="E29" s="21">
        <f>D29/PARAMS_MODELO!$B$28</f>
        <v>2.7</v>
      </c>
      <c r="F29">
        <v>8</v>
      </c>
      <c r="G29">
        <v>16</v>
      </c>
      <c r="H29">
        <v>2</v>
      </c>
      <c r="I29" s="20">
        <f t="shared" si="0"/>
        <v>0.125</v>
      </c>
      <c r="J29" s="21">
        <f>(IFERROR(_xlfn.PERCENTRANK.INC($B$2:$B$1194,B29)*100,0)*PARAMS_MODELO!$B$25)+(IFERROR(_xlfn.PERCENTRANK.INC($C$2:$C$1194,C29)*100,0)*PARAMS_MODELO!$B$26)+(IFERROR(_xlfn.PERCENTRANK.INC($E$2:$E$1194,E29)*100,0)*PARAMS_MODELO!$B$27)+(IFERROR(_xlfn.PERCENTRANK.INC($F$2:$F$1194,F29)*100,0)*PARAMS_MODELO!$B$29)+(IFERROR(_xlfn.PERCENTRANK.INC($I$2:$I$1194,I29)*100,0)*PARAMS_MODELO!$B$31)</f>
        <v>37.71</v>
      </c>
    </row>
    <row r="30" spans="1:10" x14ac:dyDescent="0.3">
      <c r="A30">
        <v>51010761</v>
      </c>
      <c r="B30">
        <v>14</v>
      </c>
      <c r="C30">
        <v>9</v>
      </c>
      <c r="D30">
        <v>58</v>
      </c>
      <c r="E30" s="21">
        <f>D30/PARAMS_MODELO!$B$28</f>
        <v>1.9333333333333333</v>
      </c>
      <c r="F30">
        <v>75</v>
      </c>
      <c r="G30">
        <v>51</v>
      </c>
      <c r="H30">
        <v>7</v>
      </c>
      <c r="I30" s="20">
        <f t="shared" si="0"/>
        <v>0.13725490196078433</v>
      </c>
      <c r="J30" s="21">
        <f>(IFERROR(_xlfn.PERCENTRANK.INC($B$2:$B$1194,B30)*100,0)*PARAMS_MODELO!$B$25)+(IFERROR(_xlfn.PERCENTRANK.INC($C$2:$C$1194,C30)*100,0)*PARAMS_MODELO!$B$26)+(IFERROR(_xlfn.PERCENTRANK.INC($E$2:$E$1194,E30)*100,0)*PARAMS_MODELO!$B$27)+(IFERROR(_xlfn.PERCENTRANK.INC($F$2:$F$1194,F30)*100,0)*PARAMS_MODELO!$B$29)+(IFERROR(_xlfn.PERCENTRANK.INC($I$2:$I$1194,I30)*100,0)*PARAMS_MODELO!$B$31)</f>
        <v>36.994999999999997</v>
      </c>
    </row>
    <row r="31" spans="1:10" x14ac:dyDescent="0.3">
      <c r="A31">
        <v>51013301</v>
      </c>
      <c r="B31">
        <v>99</v>
      </c>
      <c r="C31">
        <v>20</v>
      </c>
      <c r="D31">
        <v>65</v>
      </c>
      <c r="E31" s="21">
        <f>D31/PARAMS_MODELO!$B$28</f>
        <v>2.1666666666666665</v>
      </c>
      <c r="F31">
        <v>70</v>
      </c>
      <c r="G31">
        <v>3</v>
      </c>
      <c r="H31">
        <v>1</v>
      </c>
      <c r="I31" s="20">
        <f t="shared" si="0"/>
        <v>0.33333333333333331</v>
      </c>
      <c r="J31" s="21">
        <f>(IFERROR(_xlfn.PERCENTRANK.INC($B$2:$B$1194,B31)*100,0)*PARAMS_MODELO!$B$25)+(IFERROR(_xlfn.PERCENTRANK.INC($C$2:$C$1194,C31)*100,0)*PARAMS_MODELO!$B$26)+(IFERROR(_xlfn.PERCENTRANK.INC($E$2:$E$1194,E31)*100,0)*PARAMS_MODELO!$B$27)+(IFERROR(_xlfn.PERCENTRANK.INC($F$2:$F$1194,F31)*100,0)*PARAMS_MODELO!$B$29)+(IFERROR(_xlfn.PERCENTRANK.INC($I$2:$I$1194,I31)*100,0)*PARAMS_MODELO!$B$31)</f>
        <v>74.749999999999986</v>
      </c>
    </row>
    <row r="32" spans="1:10" x14ac:dyDescent="0.3">
      <c r="A32">
        <v>51041933</v>
      </c>
      <c r="B32">
        <v>100</v>
      </c>
      <c r="C32">
        <v>4</v>
      </c>
      <c r="D32">
        <v>83</v>
      </c>
      <c r="E32" s="21">
        <f>D32/PARAMS_MODELO!$B$28</f>
        <v>2.7666666666666666</v>
      </c>
      <c r="F32">
        <v>80</v>
      </c>
      <c r="G32">
        <v>14</v>
      </c>
      <c r="H32">
        <v>2</v>
      </c>
      <c r="I32" s="20">
        <f t="shared" si="0"/>
        <v>0.14285714285714285</v>
      </c>
      <c r="J32" s="21">
        <f>(IFERROR(_xlfn.PERCENTRANK.INC($B$2:$B$1194,B32)*100,0)*PARAMS_MODELO!$B$25)+(IFERROR(_xlfn.PERCENTRANK.INC($C$2:$C$1194,C32)*100,0)*PARAMS_MODELO!$B$26)+(IFERROR(_xlfn.PERCENTRANK.INC($E$2:$E$1194,E32)*100,0)*PARAMS_MODELO!$B$27)+(IFERROR(_xlfn.PERCENTRANK.INC($F$2:$F$1194,F32)*100,0)*PARAMS_MODELO!$B$29)+(IFERROR(_xlfn.PERCENTRANK.INC($I$2:$I$1194,I32)*100,0)*PARAMS_MODELO!$B$31)</f>
        <v>63.424999999999997</v>
      </c>
    </row>
    <row r="33" spans="1:10" x14ac:dyDescent="0.3">
      <c r="A33">
        <v>51014006</v>
      </c>
      <c r="B33">
        <v>69</v>
      </c>
      <c r="C33">
        <v>18</v>
      </c>
      <c r="D33">
        <v>85</v>
      </c>
      <c r="E33" s="21">
        <f>D33/PARAMS_MODELO!$B$28</f>
        <v>2.8333333333333335</v>
      </c>
      <c r="F33">
        <v>83</v>
      </c>
      <c r="G33">
        <v>31</v>
      </c>
      <c r="H33">
        <v>20</v>
      </c>
      <c r="I33" s="20">
        <f t="shared" si="0"/>
        <v>0.64516129032258063</v>
      </c>
      <c r="J33" s="21">
        <f>(IFERROR(_xlfn.PERCENTRANK.INC($B$2:$B$1194,B33)*100,0)*PARAMS_MODELO!$B$25)+(IFERROR(_xlfn.PERCENTRANK.INC($C$2:$C$1194,C33)*100,0)*PARAMS_MODELO!$B$26)+(IFERROR(_xlfn.PERCENTRANK.INC($E$2:$E$1194,E33)*100,0)*PARAMS_MODELO!$B$27)+(IFERROR(_xlfn.PERCENTRANK.INC($F$2:$F$1194,F33)*100,0)*PARAMS_MODELO!$B$29)+(IFERROR(_xlfn.PERCENTRANK.INC($I$2:$I$1194,I33)*100,0)*PARAMS_MODELO!$B$31)</f>
        <v>72.66</v>
      </c>
    </row>
    <row r="34" spans="1:10" x14ac:dyDescent="0.3">
      <c r="A34">
        <v>51000111</v>
      </c>
      <c r="B34">
        <v>67</v>
      </c>
      <c r="C34">
        <v>7</v>
      </c>
      <c r="D34">
        <v>67</v>
      </c>
      <c r="E34" s="21">
        <f>D34/PARAMS_MODELO!$B$28</f>
        <v>2.2333333333333334</v>
      </c>
      <c r="F34">
        <v>31</v>
      </c>
      <c r="G34">
        <v>68</v>
      </c>
      <c r="H34">
        <v>57</v>
      </c>
      <c r="I34" s="20">
        <f t="shared" si="0"/>
        <v>0.83823529411764708</v>
      </c>
      <c r="J34" s="21">
        <f>(IFERROR(_xlfn.PERCENTRANK.INC($B$2:$B$1194,B34)*100,0)*PARAMS_MODELO!$B$25)+(IFERROR(_xlfn.PERCENTRANK.INC($C$2:$C$1194,C34)*100,0)*PARAMS_MODELO!$B$26)+(IFERROR(_xlfn.PERCENTRANK.INC($E$2:$E$1194,E34)*100,0)*PARAMS_MODELO!$B$27)+(IFERROR(_xlfn.PERCENTRANK.INC($F$2:$F$1194,F34)*100,0)*PARAMS_MODELO!$B$29)+(IFERROR(_xlfn.PERCENTRANK.INC($I$2:$I$1194,I34)*100,0)*PARAMS_MODELO!$B$31)</f>
        <v>52.465000000000003</v>
      </c>
    </row>
    <row r="35" spans="1:10" x14ac:dyDescent="0.3">
      <c r="A35">
        <v>51042735</v>
      </c>
      <c r="B35">
        <v>81</v>
      </c>
      <c r="C35">
        <v>18</v>
      </c>
      <c r="D35">
        <v>70</v>
      </c>
      <c r="E35" s="21">
        <f>D35/PARAMS_MODELO!$B$28</f>
        <v>2.3333333333333335</v>
      </c>
      <c r="F35">
        <v>51</v>
      </c>
      <c r="G35">
        <v>22</v>
      </c>
      <c r="H35">
        <v>3</v>
      </c>
      <c r="I35" s="20">
        <f t="shared" si="0"/>
        <v>0.13636363636363635</v>
      </c>
      <c r="J35" s="21">
        <f>(IFERROR(_xlfn.PERCENTRANK.INC($B$2:$B$1194,B35)*100,0)*PARAMS_MODELO!$B$25)+(IFERROR(_xlfn.PERCENTRANK.INC($C$2:$C$1194,C35)*100,0)*PARAMS_MODELO!$B$26)+(IFERROR(_xlfn.PERCENTRANK.INC($E$2:$E$1194,E35)*100,0)*PARAMS_MODELO!$B$27)+(IFERROR(_xlfn.PERCENTRANK.INC($F$2:$F$1194,F35)*100,0)*PARAMS_MODELO!$B$29)+(IFERROR(_xlfn.PERCENTRANK.INC($I$2:$I$1194,I35)*100,0)*PARAMS_MODELO!$B$31)</f>
        <v>63.584999999999994</v>
      </c>
    </row>
    <row r="36" spans="1:10" x14ac:dyDescent="0.3">
      <c r="A36">
        <v>51023218</v>
      </c>
      <c r="B36">
        <v>14</v>
      </c>
      <c r="C36">
        <v>22</v>
      </c>
      <c r="D36">
        <v>75</v>
      </c>
      <c r="E36" s="21">
        <f>D36/PARAMS_MODELO!$B$28</f>
        <v>2.5</v>
      </c>
      <c r="F36">
        <v>60</v>
      </c>
      <c r="G36">
        <v>67</v>
      </c>
      <c r="H36">
        <v>34</v>
      </c>
      <c r="I36" s="20">
        <f t="shared" si="0"/>
        <v>0.5074626865671642</v>
      </c>
      <c r="J36" s="21">
        <f>(IFERROR(_xlfn.PERCENTRANK.INC($B$2:$B$1194,B36)*100,0)*PARAMS_MODELO!$B$25)+(IFERROR(_xlfn.PERCENTRANK.INC($C$2:$C$1194,C36)*100,0)*PARAMS_MODELO!$B$26)+(IFERROR(_xlfn.PERCENTRANK.INC($E$2:$E$1194,E36)*100,0)*PARAMS_MODELO!$B$27)+(IFERROR(_xlfn.PERCENTRANK.INC($F$2:$F$1194,F36)*100,0)*PARAMS_MODELO!$B$29)+(IFERROR(_xlfn.PERCENTRANK.INC($I$2:$I$1194,I36)*100,0)*PARAMS_MODELO!$B$31)</f>
        <v>54.03</v>
      </c>
    </row>
    <row r="37" spans="1:10" x14ac:dyDescent="0.3">
      <c r="A37">
        <v>51002776</v>
      </c>
      <c r="B37">
        <v>28</v>
      </c>
      <c r="C37">
        <v>8</v>
      </c>
      <c r="D37">
        <v>78</v>
      </c>
      <c r="E37" s="21">
        <f>D37/PARAMS_MODELO!$B$28</f>
        <v>2.6</v>
      </c>
      <c r="F37">
        <v>63</v>
      </c>
      <c r="G37">
        <v>29</v>
      </c>
      <c r="H37">
        <v>24</v>
      </c>
      <c r="I37" s="20">
        <f t="shared" si="0"/>
        <v>0.82758620689655171</v>
      </c>
      <c r="J37" s="21">
        <f>(IFERROR(_xlfn.PERCENTRANK.INC($B$2:$B$1194,B37)*100,0)*PARAMS_MODELO!$B$25)+(IFERROR(_xlfn.PERCENTRANK.INC($C$2:$C$1194,C37)*100,0)*PARAMS_MODELO!$B$26)+(IFERROR(_xlfn.PERCENTRANK.INC($E$2:$E$1194,E37)*100,0)*PARAMS_MODELO!$B$27)+(IFERROR(_xlfn.PERCENTRANK.INC($F$2:$F$1194,F37)*100,0)*PARAMS_MODELO!$B$29)+(IFERROR(_xlfn.PERCENTRANK.INC($I$2:$I$1194,I37)*100,0)*PARAMS_MODELO!$B$31)</f>
        <v>49.06</v>
      </c>
    </row>
    <row r="38" spans="1:10" x14ac:dyDescent="0.3">
      <c r="A38">
        <v>51015541</v>
      </c>
      <c r="B38">
        <v>27</v>
      </c>
      <c r="C38">
        <v>18</v>
      </c>
      <c r="D38">
        <v>20</v>
      </c>
      <c r="E38" s="21">
        <f>D38/PARAMS_MODELO!$B$28</f>
        <v>0.66666666666666663</v>
      </c>
      <c r="F38">
        <v>45</v>
      </c>
      <c r="G38">
        <v>44</v>
      </c>
      <c r="H38">
        <v>42</v>
      </c>
      <c r="I38" s="20">
        <f t="shared" si="0"/>
        <v>0.95454545454545459</v>
      </c>
      <c r="J38" s="21">
        <f>(IFERROR(_xlfn.PERCENTRANK.INC($B$2:$B$1194,B38)*100,0)*PARAMS_MODELO!$B$25)+(IFERROR(_xlfn.PERCENTRANK.INC($C$2:$C$1194,C38)*100,0)*PARAMS_MODELO!$B$26)+(IFERROR(_xlfn.PERCENTRANK.INC($E$2:$E$1194,E38)*100,0)*PARAMS_MODELO!$B$27)+(IFERROR(_xlfn.PERCENTRANK.INC($F$2:$F$1194,F38)*100,0)*PARAMS_MODELO!$B$29)+(IFERROR(_xlfn.PERCENTRANK.INC($I$2:$I$1194,I38)*100,0)*PARAMS_MODELO!$B$31)</f>
        <v>44.764999999999993</v>
      </c>
    </row>
    <row r="39" spans="1:10" x14ac:dyDescent="0.3">
      <c r="A39">
        <v>51031890</v>
      </c>
      <c r="B39">
        <v>5</v>
      </c>
      <c r="C39">
        <v>5</v>
      </c>
      <c r="D39">
        <v>39</v>
      </c>
      <c r="E39" s="21">
        <f>D39/PARAMS_MODELO!$B$28</f>
        <v>1.3</v>
      </c>
      <c r="F39">
        <v>83</v>
      </c>
      <c r="G39">
        <v>22</v>
      </c>
      <c r="H39">
        <v>6</v>
      </c>
      <c r="I39" s="20">
        <f t="shared" si="0"/>
        <v>0.27272727272727271</v>
      </c>
      <c r="J39" s="21">
        <f>(IFERROR(_xlfn.PERCENTRANK.INC($B$2:$B$1194,B39)*100,0)*PARAMS_MODELO!$B$25)+(IFERROR(_xlfn.PERCENTRANK.INC($C$2:$C$1194,C39)*100,0)*PARAMS_MODELO!$B$26)+(IFERROR(_xlfn.PERCENTRANK.INC($E$2:$E$1194,E39)*100,0)*PARAMS_MODELO!$B$27)+(IFERROR(_xlfn.PERCENTRANK.INC($F$2:$F$1194,F39)*100,0)*PARAMS_MODELO!$B$29)+(IFERROR(_xlfn.PERCENTRANK.INC($I$2:$I$1194,I39)*100,0)*PARAMS_MODELO!$B$31)</f>
        <v>29.069999999999997</v>
      </c>
    </row>
    <row r="40" spans="1:10" x14ac:dyDescent="0.3">
      <c r="A40">
        <v>51057058</v>
      </c>
      <c r="B40">
        <v>70</v>
      </c>
      <c r="C40">
        <v>1</v>
      </c>
      <c r="D40">
        <v>97</v>
      </c>
      <c r="E40" s="21">
        <f>D40/PARAMS_MODELO!$B$28</f>
        <v>3.2333333333333334</v>
      </c>
      <c r="F40">
        <v>23</v>
      </c>
      <c r="G40">
        <v>12</v>
      </c>
      <c r="H40">
        <v>6</v>
      </c>
      <c r="I40" s="20">
        <f t="shared" si="0"/>
        <v>0.5</v>
      </c>
      <c r="J40" s="21">
        <f>(IFERROR(_xlfn.PERCENTRANK.INC($B$2:$B$1194,B40)*100,0)*PARAMS_MODELO!$B$25)+(IFERROR(_xlfn.PERCENTRANK.INC($C$2:$C$1194,C40)*100,0)*PARAMS_MODELO!$B$26)+(IFERROR(_xlfn.PERCENTRANK.INC($E$2:$E$1194,E40)*100,0)*PARAMS_MODELO!$B$27)+(IFERROR(_xlfn.PERCENTRANK.INC($F$2:$F$1194,F40)*100,0)*PARAMS_MODELO!$B$29)+(IFERROR(_xlfn.PERCENTRANK.INC($I$2:$I$1194,I40)*100,0)*PARAMS_MODELO!$B$31)</f>
        <v>48.72999999999999</v>
      </c>
    </row>
    <row r="41" spans="1:10" x14ac:dyDescent="0.3">
      <c r="A41">
        <v>51022289</v>
      </c>
      <c r="B41">
        <v>2</v>
      </c>
      <c r="C41">
        <v>4</v>
      </c>
      <c r="D41">
        <v>64</v>
      </c>
      <c r="E41" s="21">
        <f>D41/PARAMS_MODELO!$B$28</f>
        <v>2.1333333333333333</v>
      </c>
      <c r="F41">
        <v>81</v>
      </c>
      <c r="G41">
        <v>34</v>
      </c>
      <c r="H41">
        <v>20</v>
      </c>
      <c r="I41" s="20">
        <f t="shared" si="0"/>
        <v>0.58823529411764708</v>
      </c>
      <c r="J41" s="21">
        <f>(IFERROR(_xlfn.PERCENTRANK.INC($B$2:$B$1194,B41)*100,0)*PARAMS_MODELO!$B$25)+(IFERROR(_xlfn.PERCENTRANK.INC($C$2:$C$1194,C41)*100,0)*PARAMS_MODELO!$B$26)+(IFERROR(_xlfn.PERCENTRANK.INC($E$2:$E$1194,E41)*100,0)*PARAMS_MODELO!$B$27)+(IFERROR(_xlfn.PERCENTRANK.INC($F$2:$F$1194,F41)*100,0)*PARAMS_MODELO!$B$29)+(IFERROR(_xlfn.PERCENTRANK.INC($I$2:$I$1194,I41)*100,0)*PARAMS_MODELO!$B$31)</f>
        <v>35.08</v>
      </c>
    </row>
    <row r="42" spans="1:10" x14ac:dyDescent="0.3">
      <c r="A42">
        <v>51016688</v>
      </c>
      <c r="B42">
        <v>36</v>
      </c>
      <c r="C42">
        <v>18</v>
      </c>
      <c r="D42">
        <v>26</v>
      </c>
      <c r="E42" s="21">
        <f>D42/PARAMS_MODELO!$B$28</f>
        <v>0.8666666666666667</v>
      </c>
      <c r="F42">
        <v>28</v>
      </c>
      <c r="G42">
        <v>51</v>
      </c>
      <c r="H42">
        <v>27</v>
      </c>
      <c r="I42" s="20">
        <f t="shared" si="0"/>
        <v>0.52941176470588236</v>
      </c>
      <c r="J42" s="21">
        <f>(IFERROR(_xlfn.PERCENTRANK.INC($B$2:$B$1194,B42)*100,0)*PARAMS_MODELO!$B$25)+(IFERROR(_xlfn.PERCENTRANK.INC($C$2:$C$1194,C42)*100,0)*PARAMS_MODELO!$B$26)+(IFERROR(_xlfn.PERCENTRANK.INC($E$2:$E$1194,E42)*100,0)*PARAMS_MODELO!$B$27)+(IFERROR(_xlfn.PERCENTRANK.INC($F$2:$F$1194,F42)*100,0)*PARAMS_MODELO!$B$29)+(IFERROR(_xlfn.PERCENTRANK.INC($I$2:$I$1194,I42)*100,0)*PARAMS_MODELO!$B$31)</f>
        <v>41.359999999999992</v>
      </c>
    </row>
    <row r="43" spans="1:10" x14ac:dyDescent="0.3">
      <c r="A43">
        <v>51032527</v>
      </c>
      <c r="B43">
        <v>23</v>
      </c>
      <c r="C43">
        <v>2</v>
      </c>
      <c r="D43">
        <v>53</v>
      </c>
      <c r="E43" s="21">
        <f>D43/PARAMS_MODELO!$B$28</f>
        <v>1.7666666666666666</v>
      </c>
      <c r="F43">
        <v>96</v>
      </c>
      <c r="G43">
        <v>51</v>
      </c>
      <c r="H43">
        <v>9</v>
      </c>
      <c r="I43" s="20">
        <f t="shared" si="0"/>
        <v>0.17647058823529413</v>
      </c>
      <c r="J43" s="21">
        <f>(IFERROR(_xlfn.PERCENTRANK.INC($B$2:$B$1194,B43)*100,0)*PARAMS_MODELO!$B$25)+(IFERROR(_xlfn.PERCENTRANK.INC($C$2:$C$1194,C43)*100,0)*PARAMS_MODELO!$B$26)+(IFERROR(_xlfn.PERCENTRANK.INC($E$2:$E$1194,E43)*100,0)*PARAMS_MODELO!$B$27)+(IFERROR(_xlfn.PERCENTRANK.INC($F$2:$F$1194,F43)*100,0)*PARAMS_MODELO!$B$29)+(IFERROR(_xlfn.PERCENTRANK.INC($I$2:$I$1194,I43)*100,0)*PARAMS_MODELO!$B$31)</f>
        <v>35.345000000000006</v>
      </c>
    </row>
    <row r="44" spans="1:10" x14ac:dyDescent="0.3">
      <c r="A44">
        <v>51028678</v>
      </c>
      <c r="B44">
        <v>26</v>
      </c>
      <c r="C44">
        <v>25</v>
      </c>
      <c r="D44">
        <v>56</v>
      </c>
      <c r="E44" s="21">
        <f>D44/PARAMS_MODELO!$B$28</f>
        <v>1.8666666666666667</v>
      </c>
      <c r="F44">
        <v>80</v>
      </c>
      <c r="G44">
        <v>95</v>
      </c>
      <c r="H44">
        <v>72</v>
      </c>
      <c r="I44" s="20">
        <f t="shared" si="0"/>
        <v>0.75789473684210529</v>
      </c>
      <c r="J44" s="21">
        <f>(IFERROR(_xlfn.PERCENTRANK.INC($B$2:$B$1194,B44)*100,0)*PARAMS_MODELO!$B$25)+(IFERROR(_xlfn.PERCENTRANK.INC($C$2:$C$1194,C44)*100,0)*PARAMS_MODELO!$B$26)+(IFERROR(_xlfn.PERCENTRANK.INC($E$2:$E$1194,E44)*100,0)*PARAMS_MODELO!$B$27)+(IFERROR(_xlfn.PERCENTRANK.INC($F$2:$F$1194,F44)*100,0)*PARAMS_MODELO!$B$29)+(IFERROR(_xlfn.PERCENTRANK.INC($I$2:$I$1194,I44)*100,0)*PARAMS_MODELO!$B$31)</f>
        <v>62.240000000000009</v>
      </c>
    </row>
    <row r="45" spans="1:10" x14ac:dyDescent="0.3">
      <c r="A45">
        <v>51005287</v>
      </c>
      <c r="B45">
        <v>60</v>
      </c>
      <c r="C45">
        <v>18</v>
      </c>
      <c r="D45">
        <v>93</v>
      </c>
      <c r="E45" s="21">
        <f>D45/PARAMS_MODELO!$B$28</f>
        <v>3.1</v>
      </c>
      <c r="F45">
        <v>71</v>
      </c>
      <c r="G45">
        <v>38</v>
      </c>
      <c r="H45">
        <v>9</v>
      </c>
      <c r="I45" s="20">
        <f t="shared" si="0"/>
        <v>0.23684210526315788</v>
      </c>
      <c r="J45" s="21">
        <f>(IFERROR(_xlfn.PERCENTRANK.INC($B$2:$B$1194,B45)*100,0)*PARAMS_MODELO!$B$25)+(IFERROR(_xlfn.PERCENTRANK.INC($C$2:$C$1194,C45)*100,0)*PARAMS_MODELO!$B$26)+(IFERROR(_xlfn.PERCENTRANK.INC($E$2:$E$1194,E45)*100,0)*PARAMS_MODELO!$B$27)+(IFERROR(_xlfn.PERCENTRANK.INC($F$2:$F$1194,F45)*100,0)*PARAMS_MODELO!$B$29)+(IFERROR(_xlfn.PERCENTRANK.INC($I$2:$I$1194,I45)*100,0)*PARAMS_MODELO!$B$31)</f>
        <v>65.545000000000002</v>
      </c>
    </row>
    <row r="46" spans="1:10" x14ac:dyDescent="0.3">
      <c r="A46">
        <v>51055624</v>
      </c>
      <c r="B46">
        <v>59</v>
      </c>
      <c r="C46">
        <v>3</v>
      </c>
      <c r="D46">
        <v>16</v>
      </c>
      <c r="E46" s="21">
        <f>D46/PARAMS_MODELO!$B$28</f>
        <v>0.53333333333333333</v>
      </c>
      <c r="F46">
        <v>48</v>
      </c>
      <c r="G46">
        <v>55</v>
      </c>
      <c r="H46">
        <v>45</v>
      </c>
      <c r="I46" s="20">
        <f t="shared" si="0"/>
        <v>0.81818181818181823</v>
      </c>
      <c r="J46" s="21">
        <f>(IFERROR(_xlfn.PERCENTRANK.INC($B$2:$B$1194,B46)*100,0)*PARAMS_MODELO!$B$25)+(IFERROR(_xlfn.PERCENTRANK.INC($C$2:$C$1194,C46)*100,0)*PARAMS_MODELO!$B$26)+(IFERROR(_xlfn.PERCENTRANK.INC($E$2:$E$1194,E46)*100,0)*PARAMS_MODELO!$B$27)+(IFERROR(_xlfn.PERCENTRANK.INC($F$2:$F$1194,F46)*100,0)*PARAMS_MODELO!$B$29)+(IFERROR(_xlfn.PERCENTRANK.INC($I$2:$I$1194,I46)*100,0)*PARAMS_MODELO!$B$31)</f>
        <v>38.54</v>
      </c>
    </row>
    <row r="47" spans="1:10" x14ac:dyDescent="0.3">
      <c r="A47">
        <v>51010884</v>
      </c>
      <c r="B47">
        <v>3</v>
      </c>
      <c r="C47">
        <v>10</v>
      </c>
      <c r="D47">
        <v>36</v>
      </c>
      <c r="E47" s="21">
        <f>D47/PARAMS_MODELO!$B$28</f>
        <v>1.2</v>
      </c>
      <c r="F47">
        <v>5</v>
      </c>
      <c r="G47">
        <v>30</v>
      </c>
      <c r="H47">
        <v>2</v>
      </c>
      <c r="I47" s="20">
        <f t="shared" si="0"/>
        <v>6.6666666666666666E-2</v>
      </c>
      <c r="J47" s="21">
        <f>(IFERROR(_xlfn.PERCENTRANK.INC($B$2:$B$1194,B47)*100,0)*PARAMS_MODELO!$B$25)+(IFERROR(_xlfn.PERCENTRANK.INC($C$2:$C$1194,C47)*100,0)*PARAMS_MODELO!$B$26)+(IFERROR(_xlfn.PERCENTRANK.INC($E$2:$E$1194,E47)*100,0)*PARAMS_MODELO!$B$27)+(IFERROR(_xlfn.PERCENTRANK.INC($F$2:$F$1194,F47)*100,0)*PARAMS_MODELO!$B$29)+(IFERROR(_xlfn.PERCENTRANK.INC($I$2:$I$1194,I47)*100,0)*PARAMS_MODELO!$B$31)</f>
        <v>18.495000000000001</v>
      </c>
    </row>
    <row r="48" spans="1:10" x14ac:dyDescent="0.3">
      <c r="A48">
        <v>51007051</v>
      </c>
      <c r="B48">
        <v>56</v>
      </c>
      <c r="C48">
        <v>11</v>
      </c>
      <c r="D48">
        <v>36</v>
      </c>
      <c r="E48" s="21">
        <f>D48/PARAMS_MODELO!$B$28</f>
        <v>1.2</v>
      </c>
      <c r="F48">
        <v>4</v>
      </c>
      <c r="G48">
        <v>13</v>
      </c>
      <c r="H48">
        <v>10</v>
      </c>
      <c r="I48" s="20">
        <f t="shared" si="0"/>
        <v>0.76923076923076927</v>
      </c>
      <c r="J48" s="21">
        <f>(IFERROR(_xlfn.PERCENTRANK.INC($B$2:$B$1194,B48)*100,0)*PARAMS_MODELO!$B$25)+(IFERROR(_xlfn.PERCENTRANK.INC($C$2:$C$1194,C48)*100,0)*PARAMS_MODELO!$B$26)+(IFERROR(_xlfn.PERCENTRANK.INC($E$2:$E$1194,E48)*100,0)*PARAMS_MODELO!$B$27)+(IFERROR(_xlfn.PERCENTRANK.INC($F$2:$F$1194,F48)*100,0)*PARAMS_MODELO!$B$29)+(IFERROR(_xlfn.PERCENTRANK.INC($I$2:$I$1194,I48)*100,0)*PARAMS_MODELO!$B$31)</f>
        <v>41.91</v>
      </c>
    </row>
    <row r="49" spans="1:10" x14ac:dyDescent="0.3">
      <c r="A49">
        <v>51013808</v>
      </c>
      <c r="B49">
        <v>45</v>
      </c>
      <c r="C49">
        <v>0</v>
      </c>
      <c r="D49">
        <v>87</v>
      </c>
      <c r="E49" s="21">
        <f>D49/PARAMS_MODELO!$B$28</f>
        <v>2.9</v>
      </c>
      <c r="F49">
        <v>54</v>
      </c>
      <c r="G49">
        <v>40</v>
      </c>
      <c r="H49">
        <v>21</v>
      </c>
      <c r="I49" s="20">
        <f t="shared" si="0"/>
        <v>0.52500000000000002</v>
      </c>
      <c r="J49" s="21">
        <f>(IFERROR(_xlfn.PERCENTRANK.INC($B$2:$B$1194,B49)*100,0)*PARAMS_MODELO!$B$25)+(IFERROR(_xlfn.PERCENTRANK.INC($C$2:$C$1194,C49)*100,0)*PARAMS_MODELO!$B$26)+(IFERROR(_xlfn.PERCENTRANK.INC($E$2:$E$1194,E49)*100,0)*PARAMS_MODELO!$B$27)+(IFERROR(_xlfn.PERCENTRANK.INC($F$2:$F$1194,F49)*100,0)*PARAMS_MODELO!$B$29)+(IFERROR(_xlfn.PERCENTRANK.INC($I$2:$I$1194,I49)*100,0)*PARAMS_MODELO!$B$31)</f>
        <v>43.984999999999999</v>
      </c>
    </row>
    <row r="50" spans="1:10" x14ac:dyDescent="0.3">
      <c r="A50">
        <v>51035828</v>
      </c>
      <c r="B50">
        <v>62</v>
      </c>
      <c r="C50">
        <v>12</v>
      </c>
      <c r="D50">
        <v>18</v>
      </c>
      <c r="E50" s="21">
        <f>D50/PARAMS_MODELO!$B$28</f>
        <v>0.6</v>
      </c>
      <c r="F50">
        <v>61</v>
      </c>
      <c r="G50">
        <v>80</v>
      </c>
      <c r="H50">
        <v>34</v>
      </c>
      <c r="I50" s="20">
        <f t="shared" si="0"/>
        <v>0.42499999999999999</v>
      </c>
      <c r="J50" s="21">
        <f>(IFERROR(_xlfn.PERCENTRANK.INC($B$2:$B$1194,B50)*100,0)*PARAMS_MODELO!$B$25)+(IFERROR(_xlfn.PERCENTRANK.INC($C$2:$C$1194,C50)*100,0)*PARAMS_MODELO!$B$26)+(IFERROR(_xlfn.PERCENTRANK.INC($E$2:$E$1194,E50)*100,0)*PARAMS_MODELO!$B$27)+(IFERROR(_xlfn.PERCENTRANK.INC($F$2:$F$1194,F50)*100,0)*PARAMS_MODELO!$B$29)+(IFERROR(_xlfn.PERCENTRANK.INC($I$2:$I$1194,I50)*100,0)*PARAMS_MODELO!$B$31)</f>
        <v>45.954999999999998</v>
      </c>
    </row>
    <row r="51" spans="1:10" x14ac:dyDescent="0.3">
      <c r="A51">
        <v>51056051</v>
      </c>
      <c r="B51">
        <v>84</v>
      </c>
      <c r="C51">
        <v>6</v>
      </c>
      <c r="D51">
        <v>72</v>
      </c>
      <c r="E51" s="21">
        <f>D51/PARAMS_MODELO!$B$28</f>
        <v>2.4</v>
      </c>
      <c r="F51">
        <v>84</v>
      </c>
      <c r="G51">
        <v>41</v>
      </c>
      <c r="H51">
        <v>14</v>
      </c>
      <c r="I51" s="20">
        <f t="shared" si="0"/>
        <v>0.34146341463414637</v>
      </c>
      <c r="J51" s="21">
        <f>(IFERROR(_xlfn.PERCENTRANK.INC($B$2:$B$1194,B51)*100,0)*PARAMS_MODELO!$B$25)+(IFERROR(_xlfn.PERCENTRANK.INC($C$2:$C$1194,C51)*100,0)*PARAMS_MODELO!$B$26)+(IFERROR(_xlfn.PERCENTRANK.INC($E$2:$E$1194,E51)*100,0)*PARAMS_MODELO!$B$27)+(IFERROR(_xlfn.PERCENTRANK.INC($F$2:$F$1194,F51)*100,0)*PARAMS_MODELO!$B$29)+(IFERROR(_xlfn.PERCENTRANK.INC($I$2:$I$1194,I51)*100,0)*PARAMS_MODELO!$B$31)</f>
        <v>60.699999999999996</v>
      </c>
    </row>
    <row r="52" spans="1:10" x14ac:dyDescent="0.3">
      <c r="A52">
        <v>51024265</v>
      </c>
      <c r="B52">
        <v>60</v>
      </c>
      <c r="C52">
        <v>13</v>
      </c>
      <c r="D52">
        <v>24</v>
      </c>
      <c r="E52" s="21">
        <f>D52/PARAMS_MODELO!$B$28</f>
        <v>0.8</v>
      </c>
      <c r="F52">
        <v>23</v>
      </c>
      <c r="G52">
        <v>35</v>
      </c>
      <c r="H52">
        <v>9</v>
      </c>
      <c r="I52" s="20">
        <f t="shared" si="0"/>
        <v>0.25714285714285712</v>
      </c>
      <c r="J52" s="21">
        <f>(IFERROR(_xlfn.PERCENTRANK.INC($B$2:$B$1194,B52)*100,0)*PARAMS_MODELO!$B$25)+(IFERROR(_xlfn.PERCENTRANK.INC($C$2:$C$1194,C52)*100,0)*PARAMS_MODELO!$B$26)+(IFERROR(_xlfn.PERCENTRANK.INC($E$2:$E$1194,E52)*100,0)*PARAMS_MODELO!$B$27)+(IFERROR(_xlfn.PERCENTRANK.INC($F$2:$F$1194,F52)*100,0)*PARAMS_MODELO!$B$29)+(IFERROR(_xlfn.PERCENTRANK.INC($I$2:$I$1194,I52)*100,0)*PARAMS_MODELO!$B$31)</f>
        <v>39.58</v>
      </c>
    </row>
    <row r="53" spans="1:10" x14ac:dyDescent="0.3">
      <c r="A53">
        <v>51018494</v>
      </c>
      <c r="B53">
        <v>22</v>
      </c>
      <c r="C53">
        <v>24</v>
      </c>
      <c r="D53">
        <v>98</v>
      </c>
      <c r="E53" s="21">
        <f>D53/PARAMS_MODELO!$B$28</f>
        <v>3.2666666666666666</v>
      </c>
      <c r="F53">
        <v>59</v>
      </c>
      <c r="G53">
        <v>92</v>
      </c>
      <c r="H53">
        <v>46</v>
      </c>
      <c r="I53" s="20">
        <f t="shared" si="0"/>
        <v>0.5</v>
      </c>
      <c r="J53" s="21">
        <f>(IFERROR(_xlfn.PERCENTRANK.INC($B$2:$B$1194,B53)*100,0)*PARAMS_MODELO!$B$25)+(IFERROR(_xlfn.PERCENTRANK.INC($C$2:$C$1194,C53)*100,0)*PARAMS_MODELO!$B$26)+(IFERROR(_xlfn.PERCENTRANK.INC($E$2:$E$1194,E53)*100,0)*PARAMS_MODELO!$B$27)+(IFERROR(_xlfn.PERCENTRANK.INC($F$2:$F$1194,F53)*100,0)*PARAMS_MODELO!$B$29)+(IFERROR(_xlfn.PERCENTRANK.INC($I$2:$I$1194,I53)*100,0)*PARAMS_MODELO!$B$31)</f>
        <v>62.36</v>
      </c>
    </row>
    <row r="54" spans="1:10" x14ac:dyDescent="0.3">
      <c r="A54">
        <v>51039882</v>
      </c>
      <c r="B54">
        <v>8</v>
      </c>
      <c r="C54">
        <v>9</v>
      </c>
      <c r="D54">
        <v>29</v>
      </c>
      <c r="E54" s="21">
        <f>D54/PARAMS_MODELO!$B$28</f>
        <v>0.96666666666666667</v>
      </c>
      <c r="F54">
        <v>62</v>
      </c>
      <c r="G54">
        <v>27</v>
      </c>
      <c r="H54">
        <v>23</v>
      </c>
      <c r="I54" s="20">
        <f t="shared" si="0"/>
        <v>0.85185185185185186</v>
      </c>
      <c r="J54" s="21">
        <f>(IFERROR(_xlfn.PERCENTRANK.INC($B$2:$B$1194,B54)*100,0)*PARAMS_MODELO!$B$25)+(IFERROR(_xlfn.PERCENTRANK.INC($C$2:$C$1194,C54)*100,0)*PARAMS_MODELO!$B$26)+(IFERROR(_xlfn.PERCENTRANK.INC($E$2:$E$1194,E54)*100,0)*PARAMS_MODELO!$B$27)+(IFERROR(_xlfn.PERCENTRANK.INC($F$2:$F$1194,F54)*100,0)*PARAMS_MODELO!$B$29)+(IFERROR(_xlfn.PERCENTRANK.INC($I$2:$I$1194,I54)*100,0)*PARAMS_MODELO!$B$31)</f>
        <v>34.184999999999995</v>
      </c>
    </row>
    <row r="55" spans="1:10" x14ac:dyDescent="0.3">
      <c r="A55">
        <v>51024192</v>
      </c>
      <c r="B55">
        <v>71</v>
      </c>
      <c r="C55">
        <v>2</v>
      </c>
      <c r="D55">
        <v>55</v>
      </c>
      <c r="E55" s="21">
        <f>D55/PARAMS_MODELO!$B$28</f>
        <v>1.8333333333333333</v>
      </c>
      <c r="F55">
        <v>18</v>
      </c>
      <c r="G55">
        <v>93</v>
      </c>
      <c r="H55">
        <v>22</v>
      </c>
      <c r="I55" s="20">
        <f t="shared" si="0"/>
        <v>0.23655913978494625</v>
      </c>
      <c r="J55" s="21">
        <f>(IFERROR(_xlfn.PERCENTRANK.INC($B$2:$B$1194,B55)*100,0)*PARAMS_MODELO!$B$25)+(IFERROR(_xlfn.PERCENTRANK.INC($C$2:$C$1194,C55)*100,0)*PARAMS_MODELO!$B$26)+(IFERROR(_xlfn.PERCENTRANK.INC($E$2:$E$1194,E55)*100,0)*PARAMS_MODELO!$B$27)+(IFERROR(_xlfn.PERCENTRANK.INC($F$2:$F$1194,F55)*100,0)*PARAMS_MODELO!$B$29)+(IFERROR(_xlfn.PERCENTRANK.INC($I$2:$I$1194,I55)*100,0)*PARAMS_MODELO!$B$31)</f>
        <v>38.93</v>
      </c>
    </row>
    <row r="56" spans="1:10" x14ac:dyDescent="0.3">
      <c r="A56">
        <v>51008332</v>
      </c>
      <c r="B56">
        <v>7</v>
      </c>
      <c r="C56">
        <v>17</v>
      </c>
      <c r="D56">
        <v>81</v>
      </c>
      <c r="E56" s="21">
        <f>D56/PARAMS_MODELO!$B$28</f>
        <v>2.7</v>
      </c>
      <c r="F56">
        <v>83</v>
      </c>
      <c r="G56">
        <v>14</v>
      </c>
      <c r="H56">
        <v>8</v>
      </c>
      <c r="I56" s="20">
        <f t="shared" si="0"/>
        <v>0.5714285714285714</v>
      </c>
      <c r="J56" s="21">
        <f>(IFERROR(_xlfn.PERCENTRANK.INC($B$2:$B$1194,B56)*100,0)*PARAMS_MODELO!$B$25)+(IFERROR(_xlfn.PERCENTRANK.INC($C$2:$C$1194,C56)*100,0)*PARAMS_MODELO!$B$26)+(IFERROR(_xlfn.PERCENTRANK.INC($E$2:$E$1194,E56)*100,0)*PARAMS_MODELO!$B$27)+(IFERROR(_xlfn.PERCENTRANK.INC($F$2:$F$1194,F56)*100,0)*PARAMS_MODELO!$B$29)+(IFERROR(_xlfn.PERCENTRANK.INC($I$2:$I$1194,I56)*100,0)*PARAMS_MODELO!$B$31)</f>
        <v>52.094999999999999</v>
      </c>
    </row>
    <row r="57" spans="1:10" x14ac:dyDescent="0.3">
      <c r="A57">
        <v>51015258</v>
      </c>
      <c r="B57">
        <v>39</v>
      </c>
      <c r="C57">
        <v>25</v>
      </c>
      <c r="D57">
        <v>65</v>
      </c>
      <c r="E57" s="21">
        <f>D57/PARAMS_MODELO!$B$28</f>
        <v>2.1666666666666665</v>
      </c>
      <c r="F57">
        <v>46</v>
      </c>
      <c r="G57">
        <v>34</v>
      </c>
      <c r="H57">
        <v>32</v>
      </c>
      <c r="I57" s="20">
        <f t="shared" si="0"/>
        <v>0.94117647058823528</v>
      </c>
      <c r="J57" s="21">
        <f>(IFERROR(_xlfn.PERCENTRANK.INC($B$2:$B$1194,B57)*100,0)*PARAMS_MODELO!$B$25)+(IFERROR(_xlfn.PERCENTRANK.INC($C$2:$C$1194,C57)*100,0)*PARAMS_MODELO!$B$26)+(IFERROR(_xlfn.PERCENTRANK.INC($E$2:$E$1194,E57)*100,0)*PARAMS_MODELO!$B$27)+(IFERROR(_xlfn.PERCENTRANK.INC($F$2:$F$1194,F57)*100,0)*PARAMS_MODELO!$B$29)+(IFERROR(_xlfn.PERCENTRANK.INC($I$2:$I$1194,I57)*100,0)*PARAMS_MODELO!$B$31)</f>
        <v>64.484999999999999</v>
      </c>
    </row>
    <row r="58" spans="1:10" x14ac:dyDescent="0.3">
      <c r="A58">
        <v>51033710</v>
      </c>
      <c r="B58">
        <v>67</v>
      </c>
      <c r="C58">
        <v>21</v>
      </c>
      <c r="D58">
        <v>57</v>
      </c>
      <c r="E58" s="21">
        <f>D58/PARAMS_MODELO!$B$28</f>
        <v>1.9</v>
      </c>
      <c r="F58">
        <v>44</v>
      </c>
      <c r="G58">
        <v>94</v>
      </c>
      <c r="H58">
        <v>83</v>
      </c>
      <c r="I58" s="20">
        <f t="shared" si="0"/>
        <v>0.88297872340425532</v>
      </c>
      <c r="J58" s="21">
        <f>(IFERROR(_xlfn.PERCENTRANK.INC($B$2:$B$1194,B58)*100,0)*PARAMS_MODELO!$B$25)+(IFERROR(_xlfn.PERCENTRANK.INC($C$2:$C$1194,C58)*100,0)*PARAMS_MODELO!$B$26)+(IFERROR(_xlfn.PERCENTRANK.INC($E$2:$E$1194,E58)*100,0)*PARAMS_MODELO!$B$27)+(IFERROR(_xlfn.PERCENTRANK.INC($F$2:$F$1194,F58)*100,0)*PARAMS_MODELO!$B$29)+(IFERROR(_xlfn.PERCENTRANK.INC($I$2:$I$1194,I58)*100,0)*PARAMS_MODELO!$B$31)</f>
        <v>66.08</v>
      </c>
    </row>
    <row r="59" spans="1:10" x14ac:dyDescent="0.3">
      <c r="A59">
        <v>51010329</v>
      </c>
      <c r="B59">
        <v>3</v>
      </c>
      <c r="C59">
        <v>13</v>
      </c>
      <c r="D59">
        <v>59</v>
      </c>
      <c r="E59" s="21">
        <f>D59/PARAMS_MODELO!$B$28</f>
        <v>1.9666666666666666</v>
      </c>
      <c r="F59">
        <v>66</v>
      </c>
      <c r="G59">
        <v>87</v>
      </c>
      <c r="H59">
        <v>50</v>
      </c>
      <c r="I59" s="20">
        <f t="shared" si="0"/>
        <v>0.57471264367816088</v>
      </c>
      <c r="J59" s="21">
        <f>(IFERROR(_xlfn.PERCENTRANK.INC($B$2:$B$1194,B59)*100,0)*PARAMS_MODELO!$B$25)+(IFERROR(_xlfn.PERCENTRANK.INC($C$2:$C$1194,C59)*100,0)*PARAMS_MODELO!$B$26)+(IFERROR(_xlfn.PERCENTRANK.INC($E$2:$E$1194,E59)*100,0)*PARAMS_MODELO!$B$27)+(IFERROR(_xlfn.PERCENTRANK.INC($F$2:$F$1194,F59)*100,0)*PARAMS_MODELO!$B$29)+(IFERROR(_xlfn.PERCENTRANK.INC($I$2:$I$1194,I59)*100,0)*PARAMS_MODELO!$B$31)</f>
        <v>40.104999999999997</v>
      </c>
    </row>
    <row r="60" spans="1:10" x14ac:dyDescent="0.3">
      <c r="A60">
        <v>51011252</v>
      </c>
      <c r="B60">
        <v>45</v>
      </c>
      <c r="C60">
        <v>2</v>
      </c>
      <c r="D60">
        <v>43</v>
      </c>
      <c r="E60" s="21">
        <f>D60/PARAMS_MODELO!$B$28</f>
        <v>1.4333333333333333</v>
      </c>
      <c r="F60">
        <v>14</v>
      </c>
      <c r="G60">
        <v>53</v>
      </c>
      <c r="H60">
        <v>9</v>
      </c>
      <c r="I60" s="20">
        <f t="shared" si="0"/>
        <v>0.16981132075471697</v>
      </c>
      <c r="J60" s="21">
        <f>(IFERROR(_xlfn.PERCENTRANK.INC($B$2:$B$1194,B60)*100,0)*PARAMS_MODELO!$B$25)+(IFERROR(_xlfn.PERCENTRANK.INC($C$2:$C$1194,C60)*100,0)*PARAMS_MODELO!$B$26)+(IFERROR(_xlfn.PERCENTRANK.INC($E$2:$E$1194,E60)*100,0)*PARAMS_MODELO!$B$27)+(IFERROR(_xlfn.PERCENTRANK.INC($F$2:$F$1194,F60)*100,0)*PARAMS_MODELO!$B$29)+(IFERROR(_xlfn.PERCENTRANK.INC($I$2:$I$1194,I60)*100,0)*PARAMS_MODELO!$B$31)</f>
        <v>27.614999999999998</v>
      </c>
    </row>
    <row r="61" spans="1:10" x14ac:dyDescent="0.3">
      <c r="A61">
        <v>51018648</v>
      </c>
      <c r="B61">
        <v>36</v>
      </c>
      <c r="C61">
        <v>19</v>
      </c>
      <c r="D61">
        <v>40</v>
      </c>
      <c r="E61" s="21">
        <f>D61/PARAMS_MODELO!$B$28</f>
        <v>1.3333333333333333</v>
      </c>
      <c r="F61">
        <v>31</v>
      </c>
      <c r="G61">
        <v>11</v>
      </c>
      <c r="H61">
        <v>9</v>
      </c>
      <c r="I61" s="20">
        <f t="shared" si="0"/>
        <v>0.81818181818181823</v>
      </c>
      <c r="J61" s="21">
        <f>(IFERROR(_xlfn.PERCENTRANK.INC($B$2:$B$1194,B61)*100,0)*PARAMS_MODELO!$B$25)+(IFERROR(_xlfn.PERCENTRANK.INC($C$2:$C$1194,C61)*100,0)*PARAMS_MODELO!$B$26)+(IFERROR(_xlfn.PERCENTRANK.INC($E$2:$E$1194,E61)*100,0)*PARAMS_MODELO!$B$27)+(IFERROR(_xlfn.PERCENTRANK.INC($F$2:$F$1194,F61)*100,0)*PARAMS_MODELO!$B$29)+(IFERROR(_xlfn.PERCENTRANK.INC($I$2:$I$1194,I61)*100,0)*PARAMS_MODELO!$B$31)</f>
        <v>48.660000000000004</v>
      </c>
    </row>
    <row r="62" spans="1:10" x14ac:dyDescent="0.3">
      <c r="A62">
        <v>51024524</v>
      </c>
      <c r="B62">
        <v>3</v>
      </c>
      <c r="C62">
        <v>19</v>
      </c>
      <c r="D62">
        <v>54</v>
      </c>
      <c r="E62" s="21">
        <f>D62/PARAMS_MODELO!$B$28</f>
        <v>1.8</v>
      </c>
      <c r="F62">
        <v>40</v>
      </c>
      <c r="G62">
        <v>56</v>
      </c>
      <c r="H62">
        <v>1</v>
      </c>
      <c r="I62" s="20">
        <f t="shared" si="0"/>
        <v>1.7857142857142856E-2</v>
      </c>
      <c r="J62" s="21">
        <f>(IFERROR(_xlfn.PERCENTRANK.INC($B$2:$B$1194,B62)*100,0)*PARAMS_MODELO!$B$25)+(IFERROR(_xlfn.PERCENTRANK.INC($C$2:$C$1194,C62)*100,0)*PARAMS_MODELO!$B$26)+(IFERROR(_xlfn.PERCENTRANK.INC($E$2:$E$1194,E62)*100,0)*PARAMS_MODELO!$B$27)+(IFERROR(_xlfn.PERCENTRANK.INC($F$2:$F$1194,F62)*100,0)*PARAMS_MODELO!$B$29)+(IFERROR(_xlfn.PERCENTRANK.INC($I$2:$I$1194,I62)*100,0)*PARAMS_MODELO!$B$31)</f>
        <v>35.505000000000003</v>
      </c>
    </row>
    <row r="63" spans="1:10" x14ac:dyDescent="0.3">
      <c r="A63">
        <v>51055772</v>
      </c>
      <c r="B63">
        <v>40</v>
      </c>
      <c r="C63">
        <v>7</v>
      </c>
      <c r="D63">
        <v>22</v>
      </c>
      <c r="E63" s="21">
        <f>D63/PARAMS_MODELO!$B$28</f>
        <v>0.73333333333333328</v>
      </c>
      <c r="F63">
        <v>73</v>
      </c>
      <c r="G63">
        <v>88</v>
      </c>
      <c r="H63">
        <v>87</v>
      </c>
      <c r="I63" s="20">
        <f t="shared" si="0"/>
        <v>0.98863636363636365</v>
      </c>
      <c r="J63" s="21">
        <f>(IFERROR(_xlfn.PERCENTRANK.INC($B$2:$B$1194,B63)*100,0)*PARAMS_MODELO!$B$25)+(IFERROR(_xlfn.PERCENTRANK.INC($C$2:$C$1194,C63)*100,0)*PARAMS_MODELO!$B$26)+(IFERROR(_xlfn.PERCENTRANK.INC($E$2:$E$1194,E63)*100,0)*PARAMS_MODELO!$B$27)+(IFERROR(_xlfn.PERCENTRANK.INC($F$2:$F$1194,F63)*100,0)*PARAMS_MODELO!$B$29)+(IFERROR(_xlfn.PERCENTRANK.INC($I$2:$I$1194,I63)*100,0)*PARAMS_MODELO!$B$31)</f>
        <v>43.125</v>
      </c>
    </row>
    <row r="64" spans="1:10" x14ac:dyDescent="0.3">
      <c r="A64">
        <v>51031083</v>
      </c>
      <c r="B64">
        <v>67</v>
      </c>
      <c r="C64">
        <v>1</v>
      </c>
      <c r="D64">
        <v>87</v>
      </c>
      <c r="E64" s="21">
        <f>D64/PARAMS_MODELO!$B$28</f>
        <v>2.9</v>
      </c>
      <c r="F64">
        <v>35</v>
      </c>
      <c r="G64">
        <v>36</v>
      </c>
      <c r="H64">
        <v>16</v>
      </c>
      <c r="I64" s="20">
        <f t="shared" si="0"/>
        <v>0.44444444444444442</v>
      </c>
      <c r="J64" s="21">
        <f>(IFERROR(_xlfn.PERCENTRANK.INC($B$2:$B$1194,B64)*100,0)*PARAMS_MODELO!$B$25)+(IFERROR(_xlfn.PERCENTRANK.INC($C$2:$C$1194,C64)*100,0)*PARAMS_MODELO!$B$26)+(IFERROR(_xlfn.PERCENTRANK.INC($E$2:$E$1194,E64)*100,0)*PARAMS_MODELO!$B$27)+(IFERROR(_xlfn.PERCENTRANK.INC($F$2:$F$1194,F64)*100,0)*PARAMS_MODELO!$B$29)+(IFERROR(_xlfn.PERCENTRANK.INC($I$2:$I$1194,I64)*100,0)*PARAMS_MODELO!$B$31)</f>
        <v>47.49</v>
      </c>
    </row>
    <row r="65" spans="1:10" x14ac:dyDescent="0.3">
      <c r="A65">
        <v>51056647</v>
      </c>
      <c r="B65">
        <v>30</v>
      </c>
      <c r="C65">
        <v>24</v>
      </c>
      <c r="D65">
        <v>60</v>
      </c>
      <c r="E65" s="21">
        <f>D65/PARAMS_MODELO!$B$28</f>
        <v>2</v>
      </c>
      <c r="F65">
        <v>34</v>
      </c>
      <c r="G65">
        <v>63</v>
      </c>
      <c r="H65">
        <v>56</v>
      </c>
      <c r="I65" s="20">
        <f t="shared" si="0"/>
        <v>0.88888888888888884</v>
      </c>
      <c r="J65" s="21">
        <f>(IFERROR(_xlfn.PERCENTRANK.INC($B$2:$B$1194,B65)*100,0)*PARAMS_MODELO!$B$25)+(IFERROR(_xlfn.PERCENTRANK.INC($C$2:$C$1194,C65)*100,0)*PARAMS_MODELO!$B$26)+(IFERROR(_xlfn.PERCENTRANK.INC($E$2:$E$1194,E65)*100,0)*PARAMS_MODELO!$B$27)+(IFERROR(_xlfn.PERCENTRANK.INC($F$2:$F$1194,F65)*100,0)*PARAMS_MODELO!$B$29)+(IFERROR(_xlfn.PERCENTRANK.INC($I$2:$I$1194,I65)*100,0)*PARAMS_MODELO!$B$31)</f>
        <v>57.58</v>
      </c>
    </row>
    <row r="66" spans="1:10" x14ac:dyDescent="0.3">
      <c r="A66">
        <v>51024214</v>
      </c>
      <c r="B66">
        <v>68</v>
      </c>
      <c r="C66">
        <v>23</v>
      </c>
      <c r="D66">
        <v>17</v>
      </c>
      <c r="E66" s="21">
        <f>D66/PARAMS_MODELO!$B$28</f>
        <v>0.56666666666666665</v>
      </c>
      <c r="F66">
        <v>74</v>
      </c>
      <c r="G66">
        <v>5</v>
      </c>
      <c r="H66">
        <v>1</v>
      </c>
      <c r="I66" s="20">
        <f t="shared" ref="I66:I129" si="1">IFERROR(H66/G66,0)</f>
        <v>0.2</v>
      </c>
      <c r="J66" s="21">
        <f>(IFERROR(_xlfn.PERCENTRANK.INC($B$2:$B$1194,B66)*100,0)*PARAMS_MODELO!$B$25)+(IFERROR(_xlfn.PERCENTRANK.INC($C$2:$C$1194,C66)*100,0)*PARAMS_MODELO!$B$26)+(IFERROR(_xlfn.PERCENTRANK.INC($E$2:$E$1194,E66)*100,0)*PARAMS_MODELO!$B$27)+(IFERROR(_xlfn.PERCENTRANK.INC($F$2:$F$1194,F66)*100,0)*PARAMS_MODELO!$B$29)+(IFERROR(_xlfn.PERCENTRANK.INC($I$2:$I$1194,I66)*100,0)*PARAMS_MODELO!$B$31)</f>
        <v>58.155000000000008</v>
      </c>
    </row>
    <row r="67" spans="1:10" x14ac:dyDescent="0.3">
      <c r="A67">
        <v>51013425</v>
      </c>
      <c r="B67">
        <v>69</v>
      </c>
      <c r="C67">
        <v>23</v>
      </c>
      <c r="D67">
        <v>35</v>
      </c>
      <c r="E67" s="21">
        <f>D67/PARAMS_MODELO!$B$28</f>
        <v>1.1666666666666667</v>
      </c>
      <c r="F67">
        <v>47</v>
      </c>
      <c r="G67">
        <v>28</v>
      </c>
      <c r="H67">
        <v>6</v>
      </c>
      <c r="I67" s="20">
        <f t="shared" si="1"/>
        <v>0.21428571428571427</v>
      </c>
      <c r="J67" s="21">
        <f>(IFERROR(_xlfn.PERCENTRANK.INC($B$2:$B$1194,B67)*100,0)*PARAMS_MODELO!$B$25)+(IFERROR(_xlfn.PERCENTRANK.INC($C$2:$C$1194,C67)*100,0)*PARAMS_MODELO!$B$26)+(IFERROR(_xlfn.PERCENTRANK.INC($E$2:$E$1194,E67)*100,0)*PARAMS_MODELO!$B$27)+(IFERROR(_xlfn.PERCENTRANK.INC($F$2:$F$1194,F67)*100,0)*PARAMS_MODELO!$B$29)+(IFERROR(_xlfn.PERCENTRANK.INC($I$2:$I$1194,I67)*100,0)*PARAMS_MODELO!$B$31)</f>
        <v>58.094999999999999</v>
      </c>
    </row>
    <row r="68" spans="1:10" x14ac:dyDescent="0.3">
      <c r="A68">
        <v>51025334</v>
      </c>
      <c r="B68">
        <v>77</v>
      </c>
      <c r="C68">
        <v>23</v>
      </c>
      <c r="D68">
        <v>89</v>
      </c>
      <c r="E68" s="21">
        <f>D68/PARAMS_MODELO!$B$28</f>
        <v>2.9666666666666668</v>
      </c>
      <c r="F68">
        <v>59</v>
      </c>
      <c r="G68">
        <v>99</v>
      </c>
      <c r="H68">
        <v>1</v>
      </c>
      <c r="I68" s="20">
        <f t="shared" si="1"/>
        <v>1.0101010101010102E-2</v>
      </c>
      <c r="J68" s="21">
        <f>(IFERROR(_xlfn.PERCENTRANK.INC($B$2:$B$1194,B68)*100,0)*PARAMS_MODELO!$B$25)+(IFERROR(_xlfn.PERCENTRANK.INC($C$2:$C$1194,C68)*100,0)*PARAMS_MODELO!$B$26)+(IFERROR(_xlfn.PERCENTRANK.INC($E$2:$E$1194,E68)*100,0)*PARAMS_MODELO!$B$27)+(IFERROR(_xlfn.PERCENTRANK.INC($F$2:$F$1194,F68)*100,0)*PARAMS_MODELO!$B$29)+(IFERROR(_xlfn.PERCENTRANK.INC($I$2:$I$1194,I68)*100,0)*PARAMS_MODELO!$B$31)</f>
        <v>70.97999999999999</v>
      </c>
    </row>
    <row r="69" spans="1:10" x14ac:dyDescent="0.3">
      <c r="A69">
        <v>51056132</v>
      </c>
      <c r="B69">
        <v>76</v>
      </c>
      <c r="C69">
        <v>20</v>
      </c>
      <c r="D69">
        <v>9</v>
      </c>
      <c r="E69" s="21">
        <f>D69/PARAMS_MODELO!$B$28</f>
        <v>0.3</v>
      </c>
      <c r="F69">
        <v>99</v>
      </c>
      <c r="G69">
        <v>26</v>
      </c>
      <c r="H69">
        <v>20</v>
      </c>
      <c r="I69" s="20">
        <f t="shared" si="1"/>
        <v>0.76923076923076927</v>
      </c>
      <c r="J69" s="21">
        <f>(IFERROR(_xlfn.PERCENTRANK.INC($B$2:$B$1194,B69)*100,0)*PARAMS_MODELO!$B$25)+(IFERROR(_xlfn.PERCENTRANK.INC($C$2:$C$1194,C69)*100,0)*PARAMS_MODELO!$B$26)+(IFERROR(_xlfn.PERCENTRANK.INC($E$2:$E$1194,E69)*100,0)*PARAMS_MODELO!$B$27)+(IFERROR(_xlfn.PERCENTRANK.INC($F$2:$F$1194,F69)*100,0)*PARAMS_MODELO!$B$29)+(IFERROR(_xlfn.PERCENTRANK.INC($I$2:$I$1194,I69)*100,0)*PARAMS_MODELO!$B$31)</f>
        <v>65.284999999999997</v>
      </c>
    </row>
    <row r="70" spans="1:10" x14ac:dyDescent="0.3">
      <c r="A70">
        <v>51004531</v>
      </c>
      <c r="B70">
        <v>26</v>
      </c>
      <c r="C70">
        <v>17</v>
      </c>
      <c r="D70">
        <v>74</v>
      </c>
      <c r="E70" s="21">
        <f>D70/PARAMS_MODELO!$B$28</f>
        <v>2.4666666666666668</v>
      </c>
      <c r="F70">
        <v>11</v>
      </c>
      <c r="G70">
        <v>66</v>
      </c>
      <c r="H70">
        <v>23</v>
      </c>
      <c r="I70" s="20">
        <f t="shared" si="1"/>
        <v>0.34848484848484851</v>
      </c>
      <c r="J70" s="21">
        <f>(IFERROR(_xlfn.PERCENTRANK.INC($B$2:$B$1194,B70)*100,0)*PARAMS_MODELO!$B$25)+(IFERROR(_xlfn.PERCENTRANK.INC($C$2:$C$1194,C70)*100,0)*PARAMS_MODELO!$B$26)+(IFERROR(_xlfn.PERCENTRANK.INC($E$2:$E$1194,E70)*100,0)*PARAMS_MODELO!$B$27)+(IFERROR(_xlfn.PERCENTRANK.INC($F$2:$F$1194,F70)*100,0)*PARAMS_MODELO!$B$29)+(IFERROR(_xlfn.PERCENTRANK.INC($I$2:$I$1194,I70)*100,0)*PARAMS_MODELO!$B$31)</f>
        <v>42.905000000000001</v>
      </c>
    </row>
    <row r="71" spans="1:10" x14ac:dyDescent="0.3">
      <c r="A71">
        <v>51039033</v>
      </c>
      <c r="B71">
        <v>98</v>
      </c>
      <c r="C71">
        <v>0</v>
      </c>
      <c r="D71">
        <v>19</v>
      </c>
      <c r="E71" s="21">
        <f>D71/PARAMS_MODELO!$B$28</f>
        <v>0.6333333333333333</v>
      </c>
      <c r="F71">
        <v>5</v>
      </c>
      <c r="G71">
        <v>7</v>
      </c>
      <c r="H71">
        <v>6</v>
      </c>
      <c r="I71" s="20">
        <f t="shared" si="1"/>
        <v>0.8571428571428571</v>
      </c>
      <c r="J71" s="21">
        <f>(IFERROR(_xlfn.PERCENTRANK.INC($B$2:$B$1194,B71)*100,0)*PARAMS_MODELO!$B$25)+(IFERROR(_xlfn.PERCENTRANK.INC($C$2:$C$1194,C71)*100,0)*PARAMS_MODELO!$B$26)+(IFERROR(_xlfn.PERCENTRANK.INC($E$2:$E$1194,E71)*100,0)*PARAMS_MODELO!$B$27)+(IFERROR(_xlfn.PERCENTRANK.INC($F$2:$F$1194,F71)*100,0)*PARAMS_MODELO!$B$29)+(IFERROR(_xlfn.PERCENTRANK.INC($I$2:$I$1194,I71)*100,0)*PARAMS_MODELO!$B$31)</f>
        <v>42.195</v>
      </c>
    </row>
    <row r="72" spans="1:10" x14ac:dyDescent="0.3">
      <c r="A72">
        <v>51024117</v>
      </c>
      <c r="B72">
        <v>83</v>
      </c>
      <c r="C72">
        <v>23</v>
      </c>
      <c r="D72">
        <v>62</v>
      </c>
      <c r="E72" s="21">
        <f>D72/PARAMS_MODELO!$B$28</f>
        <v>2.0666666666666669</v>
      </c>
      <c r="F72">
        <v>15</v>
      </c>
      <c r="G72">
        <v>45</v>
      </c>
      <c r="H72">
        <v>7</v>
      </c>
      <c r="I72" s="20">
        <f t="shared" si="1"/>
        <v>0.15555555555555556</v>
      </c>
      <c r="J72" s="21">
        <f>(IFERROR(_xlfn.PERCENTRANK.INC($B$2:$B$1194,B72)*100,0)*PARAMS_MODELO!$B$25)+(IFERROR(_xlfn.PERCENTRANK.INC($C$2:$C$1194,C72)*100,0)*PARAMS_MODELO!$B$26)+(IFERROR(_xlfn.PERCENTRANK.INC($E$2:$E$1194,E72)*100,0)*PARAMS_MODELO!$B$27)+(IFERROR(_xlfn.PERCENTRANK.INC($F$2:$F$1194,F72)*100,0)*PARAMS_MODELO!$B$29)+(IFERROR(_xlfn.PERCENTRANK.INC($I$2:$I$1194,I72)*100,0)*PARAMS_MODELO!$B$31)</f>
        <v>62.03</v>
      </c>
    </row>
    <row r="73" spans="1:10" x14ac:dyDescent="0.3">
      <c r="A73">
        <v>51031768</v>
      </c>
      <c r="B73">
        <v>75</v>
      </c>
      <c r="C73">
        <v>3</v>
      </c>
      <c r="D73">
        <v>67</v>
      </c>
      <c r="E73" s="21">
        <f>D73/PARAMS_MODELO!$B$28</f>
        <v>2.2333333333333334</v>
      </c>
      <c r="F73">
        <v>44</v>
      </c>
      <c r="G73">
        <v>48</v>
      </c>
      <c r="H73">
        <v>44</v>
      </c>
      <c r="I73" s="20">
        <f t="shared" si="1"/>
        <v>0.91666666666666663</v>
      </c>
      <c r="J73" s="21">
        <f>(IFERROR(_xlfn.PERCENTRANK.INC($B$2:$B$1194,B73)*100,0)*PARAMS_MODELO!$B$25)+(IFERROR(_xlfn.PERCENTRANK.INC($C$2:$C$1194,C73)*100,0)*PARAMS_MODELO!$B$26)+(IFERROR(_xlfn.PERCENTRANK.INC($E$2:$E$1194,E73)*100,0)*PARAMS_MODELO!$B$27)+(IFERROR(_xlfn.PERCENTRANK.INC($F$2:$F$1194,F73)*100,0)*PARAMS_MODELO!$B$29)+(IFERROR(_xlfn.PERCENTRANK.INC($I$2:$I$1194,I73)*100,0)*PARAMS_MODELO!$B$31)</f>
        <v>54.150000000000006</v>
      </c>
    </row>
    <row r="74" spans="1:10" x14ac:dyDescent="0.3">
      <c r="A74">
        <v>51022637</v>
      </c>
      <c r="B74">
        <v>70</v>
      </c>
      <c r="C74">
        <v>19</v>
      </c>
      <c r="D74">
        <v>71</v>
      </c>
      <c r="E74" s="21">
        <f>D74/PARAMS_MODELO!$B$28</f>
        <v>2.3666666666666667</v>
      </c>
      <c r="F74">
        <v>55</v>
      </c>
      <c r="G74">
        <v>47</v>
      </c>
      <c r="H74">
        <v>18</v>
      </c>
      <c r="I74" s="20">
        <f t="shared" si="1"/>
        <v>0.38297872340425532</v>
      </c>
      <c r="J74" s="21">
        <f>(IFERROR(_xlfn.PERCENTRANK.INC($B$2:$B$1194,B74)*100,0)*PARAMS_MODELO!$B$25)+(IFERROR(_xlfn.PERCENTRANK.INC($C$2:$C$1194,C74)*100,0)*PARAMS_MODELO!$B$26)+(IFERROR(_xlfn.PERCENTRANK.INC($E$2:$E$1194,E74)*100,0)*PARAMS_MODELO!$B$27)+(IFERROR(_xlfn.PERCENTRANK.INC($F$2:$F$1194,F74)*100,0)*PARAMS_MODELO!$B$29)+(IFERROR(_xlfn.PERCENTRANK.INC($I$2:$I$1194,I74)*100,0)*PARAMS_MODELO!$B$31)</f>
        <v>64.499999999999986</v>
      </c>
    </row>
    <row r="75" spans="1:10" x14ac:dyDescent="0.3">
      <c r="A75">
        <v>51010124</v>
      </c>
      <c r="B75">
        <v>45</v>
      </c>
      <c r="C75">
        <v>0</v>
      </c>
      <c r="D75">
        <v>95</v>
      </c>
      <c r="E75" s="21">
        <f>D75/PARAMS_MODELO!$B$28</f>
        <v>3.1666666666666665</v>
      </c>
      <c r="F75">
        <v>29</v>
      </c>
      <c r="G75">
        <v>37</v>
      </c>
      <c r="H75">
        <v>35</v>
      </c>
      <c r="I75" s="20">
        <f t="shared" si="1"/>
        <v>0.94594594594594594</v>
      </c>
      <c r="J75" s="21">
        <f>(IFERROR(_xlfn.PERCENTRANK.INC($B$2:$B$1194,B75)*100,0)*PARAMS_MODELO!$B$25)+(IFERROR(_xlfn.PERCENTRANK.INC($C$2:$C$1194,C75)*100,0)*PARAMS_MODELO!$B$26)+(IFERROR(_xlfn.PERCENTRANK.INC($E$2:$E$1194,E75)*100,0)*PARAMS_MODELO!$B$27)+(IFERROR(_xlfn.PERCENTRANK.INC($F$2:$F$1194,F75)*100,0)*PARAMS_MODELO!$B$29)+(IFERROR(_xlfn.PERCENTRANK.INC($I$2:$I$1194,I75)*100,0)*PARAMS_MODELO!$B$31)</f>
        <v>45.534999999999997</v>
      </c>
    </row>
    <row r="76" spans="1:10" x14ac:dyDescent="0.3">
      <c r="A76">
        <v>51012020</v>
      </c>
      <c r="B76">
        <v>99</v>
      </c>
      <c r="C76">
        <v>14</v>
      </c>
      <c r="D76">
        <v>8</v>
      </c>
      <c r="E76" s="21">
        <f>D76/PARAMS_MODELO!$B$28</f>
        <v>0.26666666666666666</v>
      </c>
      <c r="F76">
        <v>91</v>
      </c>
      <c r="G76">
        <v>14</v>
      </c>
      <c r="H76">
        <v>0</v>
      </c>
      <c r="I76" s="20">
        <f t="shared" si="1"/>
        <v>0</v>
      </c>
      <c r="J76" s="21">
        <f>(IFERROR(_xlfn.PERCENTRANK.INC($B$2:$B$1194,B76)*100,0)*PARAMS_MODELO!$B$25)+(IFERROR(_xlfn.PERCENTRANK.INC($C$2:$C$1194,C76)*100,0)*PARAMS_MODELO!$B$26)+(IFERROR(_xlfn.PERCENTRANK.INC($E$2:$E$1194,E76)*100,0)*PARAMS_MODELO!$B$27)+(IFERROR(_xlfn.PERCENTRANK.INC($F$2:$F$1194,F76)*100,0)*PARAMS_MODELO!$B$29)+(IFERROR(_xlfn.PERCENTRANK.INC($I$2:$I$1194,I76)*100,0)*PARAMS_MODELO!$B$31)</f>
        <v>56.994999999999997</v>
      </c>
    </row>
    <row r="77" spans="1:10" x14ac:dyDescent="0.3">
      <c r="A77">
        <v>51029968</v>
      </c>
      <c r="B77">
        <v>31</v>
      </c>
      <c r="C77">
        <v>21</v>
      </c>
      <c r="D77">
        <v>32</v>
      </c>
      <c r="E77" s="21">
        <f>D77/PARAMS_MODELO!$B$28</f>
        <v>1.0666666666666667</v>
      </c>
      <c r="F77">
        <v>100</v>
      </c>
      <c r="G77">
        <v>48</v>
      </c>
      <c r="H77">
        <v>0</v>
      </c>
      <c r="I77" s="20">
        <f t="shared" si="1"/>
        <v>0</v>
      </c>
      <c r="J77" s="21">
        <f>(IFERROR(_xlfn.PERCENTRANK.INC($B$2:$B$1194,B77)*100,0)*PARAMS_MODELO!$B$25)+(IFERROR(_xlfn.PERCENTRANK.INC($C$2:$C$1194,C77)*100,0)*PARAMS_MODELO!$B$26)+(IFERROR(_xlfn.PERCENTRANK.INC($E$2:$E$1194,E77)*100,0)*PARAMS_MODELO!$B$27)+(IFERROR(_xlfn.PERCENTRANK.INC($F$2:$F$1194,F77)*100,0)*PARAMS_MODELO!$B$29)+(IFERROR(_xlfn.PERCENTRANK.INC($I$2:$I$1194,I77)*100,0)*PARAMS_MODELO!$B$31)</f>
        <v>49.79</v>
      </c>
    </row>
    <row r="78" spans="1:10" x14ac:dyDescent="0.3">
      <c r="A78">
        <v>51025202</v>
      </c>
      <c r="B78">
        <v>93</v>
      </c>
      <c r="C78">
        <v>23</v>
      </c>
      <c r="D78">
        <v>81</v>
      </c>
      <c r="E78" s="21">
        <f>D78/PARAMS_MODELO!$B$28</f>
        <v>2.7</v>
      </c>
      <c r="F78">
        <v>28</v>
      </c>
      <c r="G78">
        <v>95</v>
      </c>
      <c r="H78">
        <v>26</v>
      </c>
      <c r="I78" s="20">
        <f t="shared" si="1"/>
        <v>0.27368421052631581</v>
      </c>
      <c r="J78" s="21">
        <f>(IFERROR(_xlfn.PERCENTRANK.INC($B$2:$B$1194,B78)*100,0)*PARAMS_MODELO!$B$25)+(IFERROR(_xlfn.PERCENTRANK.INC($C$2:$C$1194,C78)*100,0)*PARAMS_MODELO!$B$26)+(IFERROR(_xlfn.PERCENTRANK.INC($E$2:$E$1194,E78)*100,0)*PARAMS_MODELO!$B$27)+(IFERROR(_xlfn.PERCENTRANK.INC($F$2:$F$1194,F78)*100,0)*PARAMS_MODELO!$B$29)+(IFERROR(_xlfn.PERCENTRANK.INC($I$2:$I$1194,I78)*100,0)*PARAMS_MODELO!$B$31)</f>
        <v>71.465000000000003</v>
      </c>
    </row>
    <row r="79" spans="1:10" x14ac:dyDescent="0.3">
      <c r="A79">
        <v>51003667</v>
      </c>
      <c r="B79">
        <v>44</v>
      </c>
      <c r="C79">
        <v>22</v>
      </c>
      <c r="D79">
        <v>89</v>
      </c>
      <c r="E79" s="21">
        <f>D79/PARAMS_MODELO!$B$28</f>
        <v>2.9666666666666668</v>
      </c>
      <c r="F79">
        <v>37</v>
      </c>
      <c r="G79">
        <v>27</v>
      </c>
      <c r="H79">
        <v>13</v>
      </c>
      <c r="I79" s="20">
        <f t="shared" si="1"/>
        <v>0.48148148148148145</v>
      </c>
      <c r="J79" s="21">
        <f>(IFERROR(_xlfn.PERCENTRANK.INC($B$2:$B$1194,B79)*100,0)*PARAMS_MODELO!$B$25)+(IFERROR(_xlfn.PERCENTRANK.INC($C$2:$C$1194,C79)*100,0)*PARAMS_MODELO!$B$26)+(IFERROR(_xlfn.PERCENTRANK.INC($E$2:$E$1194,E79)*100,0)*PARAMS_MODELO!$B$27)+(IFERROR(_xlfn.PERCENTRANK.INC($F$2:$F$1194,F79)*100,0)*PARAMS_MODELO!$B$29)+(IFERROR(_xlfn.PERCENTRANK.INC($I$2:$I$1194,I79)*100,0)*PARAMS_MODELO!$B$31)</f>
        <v>61.63</v>
      </c>
    </row>
    <row r="80" spans="1:10" x14ac:dyDescent="0.3">
      <c r="A80">
        <v>51026691</v>
      </c>
      <c r="B80">
        <v>66</v>
      </c>
      <c r="C80">
        <v>4</v>
      </c>
      <c r="D80">
        <v>59</v>
      </c>
      <c r="E80" s="21">
        <f>D80/PARAMS_MODELO!$B$28</f>
        <v>1.9666666666666666</v>
      </c>
      <c r="F80">
        <v>65</v>
      </c>
      <c r="G80">
        <v>16</v>
      </c>
      <c r="H80">
        <v>3</v>
      </c>
      <c r="I80" s="20">
        <f t="shared" si="1"/>
        <v>0.1875</v>
      </c>
      <c r="J80" s="21">
        <f>(IFERROR(_xlfn.PERCENTRANK.INC($B$2:$B$1194,B80)*100,0)*PARAMS_MODELO!$B$25)+(IFERROR(_xlfn.PERCENTRANK.INC($C$2:$C$1194,C80)*100,0)*PARAMS_MODELO!$B$26)+(IFERROR(_xlfn.PERCENTRANK.INC($E$2:$E$1194,E80)*100,0)*PARAMS_MODELO!$B$27)+(IFERROR(_xlfn.PERCENTRANK.INC($F$2:$F$1194,F80)*100,0)*PARAMS_MODELO!$B$29)+(IFERROR(_xlfn.PERCENTRANK.INC($I$2:$I$1194,I80)*100,0)*PARAMS_MODELO!$B$31)</f>
        <v>46.634999999999991</v>
      </c>
    </row>
    <row r="81" spans="1:10" x14ac:dyDescent="0.3">
      <c r="A81">
        <v>51023145</v>
      </c>
      <c r="B81">
        <v>3</v>
      </c>
      <c r="C81">
        <v>3</v>
      </c>
      <c r="D81">
        <v>54</v>
      </c>
      <c r="E81" s="21">
        <f>D81/PARAMS_MODELO!$B$28</f>
        <v>1.8</v>
      </c>
      <c r="F81">
        <v>56</v>
      </c>
      <c r="G81">
        <v>39</v>
      </c>
      <c r="H81">
        <v>23</v>
      </c>
      <c r="I81" s="20">
        <f t="shared" si="1"/>
        <v>0.58974358974358976</v>
      </c>
      <c r="J81" s="21">
        <f>(IFERROR(_xlfn.PERCENTRANK.INC($B$2:$B$1194,B81)*100,0)*PARAMS_MODELO!$B$25)+(IFERROR(_xlfn.PERCENTRANK.INC($C$2:$C$1194,C81)*100,0)*PARAMS_MODELO!$B$26)+(IFERROR(_xlfn.PERCENTRANK.INC($E$2:$E$1194,E81)*100,0)*PARAMS_MODELO!$B$27)+(IFERROR(_xlfn.PERCENTRANK.INC($F$2:$F$1194,F81)*100,0)*PARAMS_MODELO!$B$29)+(IFERROR(_xlfn.PERCENTRANK.INC($I$2:$I$1194,I81)*100,0)*PARAMS_MODELO!$B$31)</f>
        <v>28.695</v>
      </c>
    </row>
    <row r="82" spans="1:10" x14ac:dyDescent="0.3">
      <c r="A82">
        <v>51056001</v>
      </c>
      <c r="B82">
        <v>34</v>
      </c>
      <c r="C82">
        <v>5</v>
      </c>
      <c r="D82">
        <v>74</v>
      </c>
      <c r="E82" s="21">
        <f>D82/PARAMS_MODELO!$B$28</f>
        <v>2.4666666666666668</v>
      </c>
      <c r="F82">
        <v>1</v>
      </c>
      <c r="G82">
        <v>71</v>
      </c>
      <c r="H82">
        <v>25</v>
      </c>
      <c r="I82" s="20">
        <f t="shared" si="1"/>
        <v>0.352112676056338</v>
      </c>
      <c r="J82" s="21">
        <f>(IFERROR(_xlfn.PERCENTRANK.INC($B$2:$B$1194,B82)*100,0)*PARAMS_MODELO!$B$25)+(IFERROR(_xlfn.PERCENTRANK.INC($C$2:$C$1194,C82)*100,0)*PARAMS_MODELO!$B$26)+(IFERROR(_xlfn.PERCENTRANK.INC($E$2:$E$1194,E82)*100,0)*PARAMS_MODELO!$B$27)+(IFERROR(_xlfn.PERCENTRANK.INC($F$2:$F$1194,F82)*100,0)*PARAMS_MODELO!$B$29)+(IFERROR(_xlfn.PERCENTRANK.INC($I$2:$I$1194,I82)*100,0)*PARAMS_MODELO!$B$31)</f>
        <v>32.924999999999997</v>
      </c>
    </row>
    <row r="83" spans="1:10" x14ac:dyDescent="0.3">
      <c r="A83">
        <v>51019652</v>
      </c>
      <c r="B83">
        <v>5</v>
      </c>
      <c r="C83">
        <v>10</v>
      </c>
      <c r="D83">
        <v>11</v>
      </c>
      <c r="E83" s="21">
        <f>D83/PARAMS_MODELO!$B$28</f>
        <v>0.36666666666666664</v>
      </c>
      <c r="F83">
        <v>60</v>
      </c>
      <c r="G83">
        <v>75</v>
      </c>
      <c r="H83">
        <v>9</v>
      </c>
      <c r="I83" s="20">
        <f t="shared" si="1"/>
        <v>0.12</v>
      </c>
      <c r="J83" s="21">
        <f>(IFERROR(_xlfn.PERCENTRANK.INC($B$2:$B$1194,B83)*100,0)*PARAMS_MODELO!$B$25)+(IFERROR(_xlfn.PERCENTRANK.INC($C$2:$C$1194,C83)*100,0)*PARAMS_MODELO!$B$26)+(IFERROR(_xlfn.PERCENTRANK.INC($E$2:$E$1194,E83)*100,0)*PARAMS_MODELO!$B$27)+(IFERROR(_xlfn.PERCENTRANK.INC($F$2:$F$1194,F83)*100,0)*PARAMS_MODELO!$B$29)+(IFERROR(_xlfn.PERCENTRANK.INC($I$2:$I$1194,I83)*100,0)*PARAMS_MODELO!$B$31)</f>
        <v>22.91</v>
      </c>
    </row>
    <row r="84" spans="1:10" x14ac:dyDescent="0.3">
      <c r="A84">
        <v>51011368</v>
      </c>
      <c r="B84">
        <v>66</v>
      </c>
      <c r="C84">
        <v>23</v>
      </c>
      <c r="D84">
        <v>96</v>
      </c>
      <c r="E84" s="21">
        <f>D84/PARAMS_MODELO!$B$28</f>
        <v>3.2</v>
      </c>
      <c r="F84">
        <v>33</v>
      </c>
      <c r="G84">
        <v>83</v>
      </c>
      <c r="H84">
        <v>64</v>
      </c>
      <c r="I84" s="20">
        <f t="shared" si="1"/>
        <v>0.77108433734939763</v>
      </c>
      <c r="J84" s="21">
        <f>(IFERROR(_xlfn.PERCENTRANK.INC($B$2:$B$1194,B84)*100,0)*PARAMS_MODELO!$B$25)+(IFERROR(_xlfn.PERCENTRANK.INC($C$2:$C$1194,C84)*100,0)*PARAMS_MODELO!$B$26)+(IFERROR(_xlfn.PERCENTRANK.INC($E$2:$E$1194,E84)*100,0)*PARAMS_MODELO!$B$27)+(IFERROR(_xlfn.PERCENTRANK.INC($F$2:$F$1194,F84)*100,0)*PARAMS_MODELO!$B$29)+(IFERROR(_xlfn.PERCENTRANK.INC($I$2:$I$1194,I84)*100,0)*PARAMS_MODELO!$B$31)</f>
        <v>72.545000000000002</v>
      </c>
    </row>
    <row r="85" spans="1:10" x14ac:dyDescent="0.3">
      <c r="A85">
        <v>51055047</v>
      </c>
      <c r="B85">
        <v>88</v>
      </c>
      <c r="C85">
        <v>7</v>
      </c>
      <c r="D85">
        <v>0</v>
      </c>
      <c r="E85" s="21">
        <f>D85/PARAMS_MODELO!$B$28</f>
        <v>0</v>
      </c>
      <c r="F85">
        <v>20</v>
      </c>
      <c r="G85">
        <v>47</v>
      </c>
      <c r="H85">
        <v>16</v>
      </c>
      <c r="I85" s="20">
        <f t="shared" si="1"/>
        <v>0.34042553191489361</v>
      </c>
      <c r="J85" s="21">
        <f>(IFERROR(_xlfn.PERCENTRANK.INC($B$2:$B$1194,B85)*100,0)*PARAMS_MODELO!$B$25)+(IFERROR(_xlfn.PERCENTRANK.INC($C$2:$C$1194,C85)*100,0)*PARAMS_MODELO!$B$26)+(IFERROR(_xlfn.PERCENTRANK.INC($E$2:$E$1194,E85)*100,0)*PARAMS_MODELO!$B$27)+(IFERROR(_xlfn.PERCENTRANK.INC($F$2:$F$1194,F85)*100,0)*PARAMS_MODELO!$B$29)+(IFERROR(_xlfn.PERCENTRANK.INC($I$2:$I$1194,I85)*100,0)*PARAMS_MODELO!$B$31)</f>
        <v>38.520000000000003</v>
      </c>
    </row>
    <row r="86" spans="1:10" x14ac:dyDescent="0.3">
      <c r="A86">
        <v>51018176</v>
      </c>
      <c r="B86">
        <v>81</v>
      </c>
      <c r="C86">
        <v>18</v>
      </c>
      <c r="D86">
        <v>66</v>
      </c>
      <c r="E86" s="21">
        <f>D86/PARAMS_MODELO!$B$28</f>
        <v>2.2000000000000002</v>
      </c>
      <c r="F86">
        <v>87</v>
      </c>
      <c r="G86">
        <v>3</v>
      </c>
      <c r="H86">
        <v>2</v>
      </c>
      <c r="I86" s="20">
        <f t="shared" si="1"/>
        <v>0.66666666666666663</v>
      </c>
      <c r="J86" s="21">
        <f>(IFERROR(_xlfn.PERCENTRANK.INC($B$2:$B$1194,B86)*100,0)*PARAMS_MODELO!$B$25)+(IFERROR(_xlfn.PERCENTRANK.INC($C$2:$C$1194,C86)*100,0)*PARAMS_MODELO!$B$26)+(IFERROR(_xlfn.PERCENTRANK.INC($E$2:$E$1194,E86)*100,0)*PARAMS_MODELO!$B$27)+(IFERROR(_xlfn.PERCENTRANK.INC($F$2:$F$1194,F86)*100,0)*PARAMS_MODELO!$B$29)+(IFERROR(_xlfn.PERCENTRANK.INC($I$2:$I$1194,I86)*100,0)*PARAMS_MODELO!$B$31)</f>
        <v>73.240000000000009</v>
      </c>
    </row>
    <row r="87" spans="1:10" x14ac:dyDescent="0.3">
      <c r="A87">
        <v>51015622</v>
      </c>
      <c r="B87">
        <v>71</v>
      </c>
      <c r="C87">
        <v>24</v>
      </c>
      <c r="D87">
        <v>7</v>
      </c>
      <c r="E87" s="21">
        <f>D87/PARAMS_MODELO!$B$28</f>
        <v>0.23333333333333334</v>
      </c>
      <c r="F87">
        <v>28</v>
      </c>
      <c r="G87">
        <v>12</v>
      </c>
      <c r="H87">
        <v>7</v>
      </c>
      <c r="I87" s="20">
        <f t="shared" si="1"/>
        <v>0.58333333333333337</v>
      </c>
      <c r="J87" s="21">
        <f>(IFERROR(_xlfn.PERCENTRANK.INC($B$2:$B$1194,B87)*100,0)*PARAMS_MODELO!$B$25)+(IFERROR(_xlfn.PERCENTRANK.INC($C$2:$C$1194,C87)*100,0)*PARAMS_MODELO!$B$26)+(IFERROR(_xlfn.PERCENTRANK.INC($E$2:$E$1194,E87)*100,0)*PARAMS_MODELO!$B$27)+(IFERROR(_xlfn.PERCENTRANK.INC($F$2:$F$1194,F87)*100,0)*PARAMS_MODELO!$B$29)+(IFERROR(_xlfn.PERCENTRANK.INC($I$2:$I$1194,I87)*100,0)*PARAMS_MODELO!$B$31)</f>
        <v>54.564999999999998</v>
      </c>
    </row>
    <row r="88" spans="1:10" x14ac:dyDescent="0.3">
      <c r="A88">
        <v>51054946</v>
      </c>
      <c r="B88">
        <v>34</v>
      </c>
      <c r="C88">
        <v>4</v>
      </c>
      <c r="D88">
        <v>36</v>
      </c>
      <c r="E88" s="21">
        <f>D88/PARAMS_MODELO!$B$28</f>
        <v>1.2</v>
      </c>
      <c r="F88">
        <v>11</v>
      </c>
      <c r="G88">
        <v>92</v>
      </c>
      <c r="H88">
        <v>15</v>
      </c>
      <c r="I88" s="20">
        <f t="shared" si="1"/>
        <v>0.16304347826086957</v>
      </c>
      <c r="J88" s="21">
        <f>(IFERROR(_xlfn.PERCENTRANK.INC($B$2:$B$1194,B88)*100,0)*PARAMS_MODELO!$B$25)+(IFERROR(_xlfn.PERCENTRANK.INC($C$2:$C$1194,C88)*100,0)*PARAMS_MODELO!$B$26)+(IFERROR(_xlfn.PERCENTRANK.INC($E$2:$E$1194,E88)*100,0)*PARAMS_MODELO!$B$27)+(IFERROR(_xlfn.PERCENTRANK.INC($F$2:$F$1194,F88)*100,0)*PARAMS_MODELO!$B$29)+(IFERROR(_xlfn.PERCENTRANK.INC($I$2:$I$1194,I88)*100,0)*PARAMS_MODELO!$B$31)</f>
        <v>24.024999999999999</v>
      </c>
    </row>
    <row r="89" spans="1:10" x14ac:dyDescent="0.3">
      <c r="A89">
        <v>51016220</v>
      </c>
      <c r="B89">
        <v>15</v>
      </c>
      <c r="C89">
        <v>12</v>
      </c>
      <c r="D89">
        <v>97</v>
      </c>
      <c r="E89" s="21">
        <f>D89/PARAMS_MODELO!$B$28</f>
        <v>3.2333333333333334</v>
      </c>
      <c r="F89">
        <v>16</v>
      </c>
      <c r="G89">
        <v>82</v>
      </c>
      <c r="H89">
        <v>44</v>
      </c>
      <c r="I89" s="20">
        <f t="shared" si="1"/>
        <v>0.53658536585365857</v>
      </c>
      <c r="J89" s="21">
        <f>(IFERROR(_xlfn.PERCENTRANK.INC($B$2:$B$1194,B89)*100,0)*PARAMS_MODELO!$B$25)+(IFERROR(_xlfn.PERCENTRANK.INC($C$2:$C$1194,C89)*100,0)*PARAMS_MODELO!$B$26)+(IFERROR(_xlfn.PERCENTRANK.INC($E$2:$E$1194,E89)*100,0)*PARAMS_MODELO!$B$27)+(IFERROR(_xlfn.PERCENTRANK.INC($F$2:$F$1194,F89)*100,0)*PARAMS_MODELO!$B$29)+(IFERROR(_xlfn.PERCENTRANK.INC($I$2:$I$1194,I89)*100,0)*PARAMS_MODELO!$B$31)</f>
        <v>42.285000000000004</v>
      </c>
    </row>
    <row r="90" spans="1:10" x14ac:dyDescent="0.3">
      <c r="A90">
        <v>51025385</v>
      </c>
      <c r="B90">
        <v>83</v>
      </c>
      <c r="C90">
        <v>24</v>
      </c>
      <c r="D90">
        <v>90</v>
      </c>
      <c r="E90" s="21">
        <f>D90/PARAMS_MODELO!$B$28</f>
        <v>3</v>
      </c>
      <c r="F90">
        <v>70</v>
      </c>
      <c r="G90">
        <v>5</v>
      </c>
      <c r="H90">
        <v>4</v>
      </c>
      <c r="I90" s="20">
        <f t="shared" si="1"/>
        <v>0.8</v>
      </c>
      <c r="J90" s="21">
        <f>(IFERROR(_xlfn.PERCENTRANK.INC($B$2:$B$1194,B90)*100,0)*PARAMS_MODELO!$B$25)+(IFERROR(_xlfn.PERCENTRANK.INC($C$2:$C$1194,C90)*100,0)*PARAMS_MODELO!$B$26)+(IFERROR(_xlfn.PERCENTRANK.INC($E$2:$E$1194,E90)*100,0)*PARAMS_MODELO!$B$27)+(IFERROR(_xlfn.PERCENTRANK.INC($F$2:$F$1194,F90)*100,0)*PARAMS_MODELO!$B$29)+(IFERROR(_xlfn.PERCENTRANK.INC($I$2:$I$1194,I90)*100,0)*PARAMS_MODELO!$B$31)</f>
        <v>83.594999999999999</v>
      </c>
    </row>
    <row r="91" spans="1:10" x14ac:dyDescent="0.3">
      <c r="A91">
        <v>51057163</v>
      </c>
      <c r="B91">
        <v>70</v>
      </c>
      <c r="C91">
        <v>12</v>
      </c>
      <c r="D91">
        <v>60</v>
      </c>
      <c r="E91" s="21">
        <f>D91/PARAMS_MODELO!$B$28</f>
        <v>2</v>
      </c>
      <c r="F91">
        <v>9</v>
      </c>
      <c r="G91">
        <v>4</v>
      </c>
      <c r="H91">
        <v>2</v>
      </c>
      <c r="I91" s="20">
        <f t="shared" si="1"/>
        <v>0.5</v>
      </c>
      <c r="J91" s="21">
        <f>(IFERROR(_xlfn.PERCENTRANK.INC($B$2:$B$1194,B91)*100,0)*PARAMS_MODELO!$B$25)+(IFERROR(_xlfn.PERCENTRANK.INC($C$2:$C$1194,C91)*100,0)*PARAMS_MODELO!$B$26)+(IFERROR(_xlfn.PERCENTRANK.INC($E$2:$E$1194,E91)*100,0)*PARAMS_MODELO!$B$27)+(IFERROR(_xlfn.PERCENTRANK.INC($F$2:$F$1194,F91)*100,0)*PARAMS_MODELO!$B$29)+(IFERROR(_xlfn.PERCENTRANK.INC($I$2:$I$1194,I91)*100,0)*PARAMS_MODELO!$B$31)</f>
        <v>50.169999999999995</v>
      </c>
    </row>
    <row r="92" spans="1:10" x14ac:dyDescent="0.3">
      <c r="A92">
        <v>51055985</v>
      </c>
      <c r="B92">
        <v>61</v>
      </c>
      <c r="C92">
        <v>7</v>
      </c>
      <c r="D92">
        <v>87</v>
      </c>
      <c r="E92" s="21">
        <f>D92/PARAMS_MODELO!$B$28</f>
        <v>2.9</v>
      </c>
      <c r="F92">
        <v>44</v>
      </c>
      <c r="G92">
        <v>55</v>
      </c>
      <c r="H92">
        <v>7</v>
      </c>
      <c r="I92" s="20">
        <f t="shared" si="1"/>
        <v>0.12727272727272726</v>
      </c>
      <c r="J92" s="21">
        <f>(IFERROR(_xlfn.PERCENTRANK.INC($B$2:$B$1194,B92)*100,0)*PARAMS_MODELO!$B$25)+(IFERROR(_xlfn.PERCENTRANK.INC($C$2:$C$1194,C92)*100,0)*PARAMS_MODELO!$B$26)+(IFERROR(_xlfn.PERCENTRANK.INC($E$2:$E$1194,E92)*100,0)*PARAMS_MODELO!$B$27)+(IFERROR(_xlfn.PERCENTRANK.INC($F$2:$F$1194,F92)*100,0)*PARAMS_MODELO!$B$29)+(IFERROR(_xlfn.PERCENTRANK.INC($I$2:$I$1194,I92)*100,0)*PARAMS_MODELO!$B$31)</f>
        <v>49.2</v>
      </c>
    </row>
    <row r="93" spans="1:10" x14ac:dyDescent="0.3">
      <c r="A93">
        <v>51032993</v>
      </c>
      <c r="B93">
        <v>46</v>
      </c>
      <c r="C93">
        <v>19</v>
      </c>
      <c r="D93">
        <v>96</v>
      </c>
      <c r="E93" s="21">
        <f>D93/PARAMS_MODELO!$B$28</f>
        <v>3.2</v>
      </c>
      <c r="F93">
        <v>67</v>
      </c>
      <c r="G93">
        <v>20</v>
      </c>
      <c r="H93">
        <v>8</v>
      </c>
      <c r="I93" s="20">
        <f t="shared" si="1"/>
        <v>0.4</v>
      </c>
      <c r="J93" s="21">
        <f>(IFERROR(_xlfn.PERCENTRANK.INC($B$2:$B$1194,B93)*100,0)*PARAMS_MODELO!$B$25)+(IFERROR(_xlfn.PERCENTRANK.INC($C$2:$C$1194,C93)*100,0)*PARAMS_MODELO!$B$26)+(IFERROR(_xlfn.PERCENTRANK.INC($E$2:$E$1194,E93)*100,0)*PARAMS_MODELO!$B$27)+(IFERROR(_xlfn.PERCENTRANK.INC($F$2:$F$1194,F93)*100,0)*PARAMS_MODELO!$B$29)+(IFERROR(_xlfn.PERCENTRANK.INC($I$2:$I$1194,I93)*100,0)*PARAMS_MODELO!$B$31)</f>
        <v>64.015000000000001</v>
      </c>
    </row>
    <row r="94" spans="1:10" x14ac:dyDescent="0.3">
      <c r="A94">
        <v>51015088</v>
      </c>
      <c r="B94">
        <v>97</v>
      </c>
      <c r="C94">
        <v>0</v>
      </c>
      <c r="D94">
        <v>29</v>
      </c>
      <c r="E94" s="21">
        <f>D94/PARAMS_MODELO!$B$28</f>
        <v>0.96666666666666667</v>
      </c>
      <c r="F94">
        <v>97</v>
      </c>
      <c r="G94">
        <v>5</v>
      </c>
      <c r="H94">
        <v>4</v>
      </c>
      <c r="I94" s="20">
        <f t="shared" si="1"/>
        <v>0.8</v>
      </c>
      <c r="J94" s="21">
        <f>(IFERROR(_xlfn.PERCENTRANK.INC($B$2:$B$1194,B94)*100,0)*PARAMS_MODELO!$B$25)+(IFERROR(_xlfn.PERCENTRANK.INC($C$2:$C$1194,C94)*100,0)*PARAMS_MODELO!$B$26)+(IFERROR(_xlfn.PERCENTRANK.INC($E$2:$E$1194,E94)*100,0)*PARAMS_MODELO!$B$27)+(IFERROR(_xlfn.PERCENTRANK.INC($F$2:$F$1194,F94)*100,0)*PARAMS_MODELO!$B$29)+(IFERROR(_xlfn.PERCENTRANK.INC($I$2:$I$1194,I94)*100,0)*PARAMS_MODELO!$B$31)</f>
        <v>56.64</v>
      </c>
    </row>
    <row r="95" spans="1:10" x14ac:dyDescent="0.3">
      <c r="A95">
        <v>51035658</v>
      </c>
      <c r="B95">
        <v>49</v>
      </c>
      <c r="C95">
        <v>3</v>
      </c>
      <c r="D95">
        <v>83</v>
      </c>
      <c r="E95" s="21">
        <f>D95/PARAMS_MODELO!$B$28</f>
        <v>2.7666666666666666</v>
      </c>
      <c r="F95">
        <v>3</v>
      </c>
      <c r="G95">
        <v>33</v>
      </c>
      <c r="H95">
        <v>25</v>
      </c>
      <c r="I95" s="20">
        <f t="shared" si="1"/>
        <v>0.75757575757575757</v>
      </c>
      <c r="J95" s="21">
        <f>(IFERROR(_xlfn.PERCENTRANK.INC($B$2:$B$1194,B95)*100,0)*PARAMS_MODELO!$B$25)+(IFERROR(_xlfn.PERCENTRANK.INC($C$2:$C$1194,C95)*100,0)*PARAMS_MODELO!$B$26)+(IFERROR(_xlfn.PERCENTRANK.INC($E$2:$E$1194,E95)*100,0)*PARAMS_MODELO!$B$27)+(IFERROR(_xlfn.PERCENTRANK.INC($F$2:$F$1194,F95)*100,0)*PARAMS_MODELO!$B$29)+(IFERROR(_xlfn.PERCENTRANK.INC($I$2:$I$1194,I95)*100,0)*PARAMS_MODELO!$B$31)</f>
        <v>41.82</v>
      </c>
    </row>
    <row r="96" spans="1:10" x14ac:dyDescent="0.3">
      <c r="A96">
        <v>51016726</v>
      </c>
      <c r="B96">
        <v>58</v>
      </c>
      <c r="C96">
        <v>14</v>
      </c>
      <c r="D96">
        <v>87</v>
      </c>
      <c r="E96" s="21">
        <f>D96/PARAMS_MODELO!$B$28</f>
        <v>2.9</v>
      </c>
      <c r="F96">
        <v>53</v>
      </c>
      <c r="G96">
        <v>56</v>
      </c>
      <c r="H96">
        <v>6</v>
      </c>
      <c r="I96" s="20">
        <f t="shared" si="1"/>
        <v>0.10714285714285714</v>
      </c>
      <c r="J96" s="21">
        <f>(IFERROR(_xlfn.PERCENTRANK.INC($B$2:$B$1194,B96)*100,0)*PARAMS_MODELO!$B$25)+(IFERROR(_xlfn.PERCENTRANK.INC($C$2:$C$1194,C96)*100,0)*PARAMS_MODELO!$B$26)+(IFERROR(_xlfn.PERCENTRANK.INC($E$2:$E$1194,E96)*100,0)*PARAMS_MODELO!$B$27)+(IFERROR(_xlfn.PERCENTRANK.INC($F$2:$F$1194,F96)*100,0)*PARAMS_MODELO!$B$29)+(IFERROR(_xlfn.PERCENTRANK.INC($I$2:$I$1194,I96)*100,0)*PARAMS_MODELO!$B$31)</f>
        <v>56.094999999999999</v>
      </c>
    </row>
    <row r="97" spans="1:10" x14ac:dyDescent="0.3">
      <c r="A97">
        <v>51019342</v>
      </c>
      <c r="B97">
        <v>31</v>
      </c>
      <c r="C97">
        <v>14</v>
      </c>
      <c r="D97">
        <v>11</v>
      </c>
      <c r="E97" s="21">
        <f>D97/PARAMS_MODELO!$B$28</f>
        <v>0.36666666666666664</v>
      </c>
      <c r="F97">
        <v>42</v>
      </c>
      <c r="G97">
        <v>95</v>
      </c>
      <c r="H97">
        <v>45</v>
      </c>
      <c r="I97" s="20">
        <f t="shared" si="1"/>
        <v>0.47368421052631576</v>
      </c>
      <c r="J97" s="21">
        <f>(IFERROR(_xlfn.PERCENTRANK.INC($B$2:$B$1194,B97)*100,0)*PARAMS_MODELO!$B$25)+(IFERROR(_xlfn.PERCENTRANK.INC($C$2:$C$1194,C97)*100,0)*PARAMS_MODELO!$B$26)+(IFERROR(_xlfn.PERCENTRANK.INC($E$2:$E$1194,E97)*100,0)*PARAMS_MODELO!$B$27)+(IFERROR(_xlfn.PERCENTRANK.INC($F$2:$F$1194,F97)*100,0)*PARAMS_MODELO!$B$29)+(IFERROR(_xlfn.PERCENTRANK.INC($I$2:$I$1194,I97)*100,0)*PARAMS_MODELO!$B$31)</f>
        <v>34.954999999999998</v>
      </c>
    </row>
    <row r="98" spans="1:10" x14ac:dyDescent="0.3">
      <c r="A98">
        <v>51014162</v>
      </c>
      <c r="B98">
        <v>7</v>
      </c>
      <c r="C98">
        <v>1</v>
      </c>
      <c r="D98">
        <v>31</v>
      </c>
      <c r="E98" s="21">
        <f>D98/PARAMS_MODELO!$B$28</f>
        <v>1.0333333333333334</v>
      </c>
      <c r="F98">
        <v>60</v>
      </c>
      <c r="G98">
        <v>18</v>
      </c>
      <c r="H98">
        <v>11</v>
      </c>
      <c r="I98" s="20">
        <f t="shared" si="1"/>
        <v>0.61111111111111116</v>
      </c>
      <c r="J98" s="21">
        <f>(IFERROR(_xlfn.PERCENTRANK.INC($B$2:$B$1194,B98)*100,0)*PARAMS_MODELO!$B$25)+(IFERROR(_xlfn.PERCENTRANK.INC($C$2:$C$1194,C98)*100,0)*PARAMS_MODELO!$B$26)+(IFERROR(_xlfn.PERCENTRANK.INC($E$2:$E$1194,E98)*100,0)*PARAMS_MODELO!$B$27)+(IFERROR(_xlfn.PERCENTRANK.INC($F$2:$F$1194,F98)*100,0)*PARAMS_MODELO!$B$29)+(IFERROR(_xlfn.PERCENTRANK.INC($I$2:$I$1194,I98)*100,0)*PARAMS_MODELO!$B$31)</f>
        <v>23.994999999999997</v>
      </c>
    </row>
    <row r="99" spans="1:10" x14ac:dyDescent="0.3">
      <c r="A99">
        <v>51022360</v>
      </c>
      <c r="B99">
        <v>0</v>
      </c>
      <c r="C99">
        <v>1</v>
      </c>
      <c r="D99">
        <v>37</v>
      </c>
      <c r="E99" s="21">
        <f>D99/PARAMS_MODELO!$B$28</f>
        <v>1.2333333333333334</v>
      </c>
      <c r="F99">
        <v>31</v>
      </c>
      <c r="G99">
        <v>80</v>
      </c>
      <c r="H99">
        <v>28</v>
      </c>
      <c r="I99" s="20">
        <f t="shared" si="1"/>
        <v>0.35</v>
      </c>
      <c r="J99" s="21">
        <f>(IFERROR(_xlfn.PERCENTRANK.INC($B$2:$B$1194,B99)*100,0)*PARAMS_MODELO!$B$25)+(IFERROR(_xlfn.PERCENTRANK.INC($C$2:$C$1194,C99)*100,0)*PARAMS_MODELO!$B$26)+(IFERROR(_xlfn.PERCENTRANK.INC($E$2:$E$1194,E99)*100,0)*PARAMS_MODELO!$B$27)+(IFERROR(_xlfn.PERCENTRANK.INC($F$2:$F$1194,F99)*100,0)*PARAMS_MODELO!$B$29)+(IFERROR(_xlfn.PERCENTRANK.INC($I$2:$I$1194,I99)*100,0)*PARAMS_MODELO!$B$31)</f>
        <v>16.32</v>
      </c>
    </row>
    <row r="100" spans="1:10" x14ac:dyDescent="0.3">
      <c r="A100">
        <v>51040848</v>
      </c>
      <c r="B100">
        <v>35</v>
      </c>
      <c r="C100">
        <v>17</v>
      </c>
      <c r="D100">
        <v>26</v>
      </c>
      <c r="E100" s="21">
        <f>D100/PARAMS_MODELO!$B$28</f>
        <v>0.8666666666666667</v>
      </c>
      <c r="F100">
        <v>64</v>
      </c>
      <c r="G100">
        <v>10</v>
      </c>
      <c r="H100">
        <v>9</v>
      </c>
      <c r="I100" s="20">
        <f t="shared" si="1"/>
        <v>0.9</v>
      </c>
      <c r="J100" s="21">
        <f>(IFERROR(_xlfn.PERCENTRANK.INC($B$2:$B$1194,B100)*100,0)*PARAMS_MODELO!$B$25)+(IFERROR(_xlfn.PERCENTRANK.INC($C$2:$C$1194,C100)*100,0)*PARAMS_MODELO!$B$26)+(IFERROR(_xlfn.PERCENTRANK.INC($E$2:$E$1194,E100)*100,0)*PARAMS_MODELO!$B$27)+(IFERROR(_xlfn.PERCENTRANK.INC($F$2:$F$1194,F100)*100,0)*PARAMS_MODELO!$B$29)+(IFERROR(_xlfn.PERCENTRANK.INC($I$2:$I$1194,I100)*100,0)*PARAMS_MODELO!$B$31)</f>
        <v>49.315000000000012</v>
      </c>
    </row>
    <row r="101" spans="1:10" x14ac:dyDescent="0.3">
      <c r="A101">
        <v>51022696</v>
      </c>
      <c r="B101">
        <v>16</v>
      </c>
      <c r="C101">
        <v>22</v>
      </c>
      <c r="D101">
        <v>99</v>
      </c>
      <c r="E101" s="21">
        <f>D101/PARAMS_MODELO!$B$28</f>
        <v>3.3</v>
      </c>
      <c r="F101">
        <v>56</v>
      </c>
      <c r="G101">
        <v>22</v>
      </c>
      <c r="H101">
        <v>4</v>
      </c>
      <c r="I101" s="20">
        <f t="shared" si="1"/>
        <v>0.18181818181818182</v>
      </c>
      <c r="J101" s="21">
        <f>(IFERROR(_xlfn.PERCENTRANK.INC($B$2:$B$1194,B101)*100,0)*PARAMS_MODELO!$B$25)+(IFERROR(_xlfn.PERCENTRANK.INC($C$2:$C$1194,C101)*100,0)*PARAMS_MODELO!$B$26)+(IFERROR(_xlfn.PERCENTRANK.INC($E$2:$E$1194,E101)*100,0)*PARAMS_MODELO!$B$27)+(IFERROR(_xlfn.PERCENTRANK.INC($F$2:$F$1194,F101)*100,0)*PARAMS_MODELO!$B$29)+(IFERROR(_xlfn.PERCENTRANK.INC($I$2:$I$1194,I101)*100,0)*PARAMS_MODELO!$B$31)</f>
        <v>55.305</v>
      </c>
    </row>
    <row r="102" spans="1:10" x14ac:dyDescent="0.3">
      <c r="A102">
        <v>51056426</v>
      </c>
      <c r="B102">
        <v>73</v>
      </c>
      <c r="C102">
        <v>25</v>
      </c>
      <c r="D102">
        <v>62</v>
      </c>
      <c r="E102" s="21">
        <f>D102/PARAMS_MODELO!$B$28</f>
        <v>2.0666666666666669</v>
      </c>
      <c r="F102">
        <v>72</v>
      </c>
      <c r="G102">
        <v>73</v>
      </c>
      <c r="H102">
        <v>72</v>
      </c>
      <c r="I102" s="20">
        <f t="shared" si="1"/>
        <v>0.98630136986301364</v>
      </c>
      <c r="J102" s="21">
        <f>(IFERROR(_xlfn.PERCENTRANK.INC($B$2:$B$1194,B102)*100,0)*PARAMS_MODELO!$B$25)+(IFERROR(_xlfn.PERCENTRANK.INC($C$2:$C$1194,C102)*100,0)*PARAMS_MODELO!$B$26)+(IFERROR(_xlfn.PERCENTRANK.INC($E$2:$E$1194,E102)*100,0)*PARAMS_MODELO!$B$27)+(IFERROR(_xlfn.PERCENTRANK.INC($F$2:$F$1194,F102)*100,0)*PARAMS_MODELO!$B$29)+(IFERROR(_xlfn.PERCENTRANK.INC($I$2:$I$1194,I102)*100,0)*PARAMS_MODELO!$B$31)</f>
        <v>78.490000000000009</v>
      </c>
    </row>
    <row r="103" spans="1:10" x14ac:dyDescent="0.3">
      <c r="A103">
        <v>51011350</v>
      </c>
      <c r="B103">
        <v>10</v>
      </c>
      <c r="C103">
        <v>20</v>
      </c>
      <c r="D103">
        <v>12</v>
      </c>
      <c r="E103" s="21">
        <f>D103/PARAMS_MODELO!$B$28</f>
        <v>0.4</v>
      </c>
      <c r="F103">
        <v>4</v>
      </c>
      <c r="G103">
        <v>32</v>
      </c>
      <c r="H103">
        <v>18</v>
      </c>
      <c r="I103" s="20">
        <f t="shared" si="1"/>
        <v>0.5625</v>
      </c>
      <c r="J103" s="21">
        <f>(IFERROR(_xlfn.PERCENTRANK.INC($B$2:$B$1194,B103)*100,0)*PARAMS_MODELO!$B$25)+(IFERROR(_xlfn.PERCENTRANK.INC($C$2:$C$1194,C103)*100,0)*PARAMS_MODELO!$B$26)+(IFERROR(_xlfn.PERCENTRANK.INC($E$2:$E$1194,E103)*100,0)*PARAMS_MODELO!$B$27)+(IFERROR(_xlfn.PERCENTRANK.INC($F$2:$F$1194,F103)*100,0)*PARAMS_MODELO!$B$29)+(IFERROR(_xlfn.PERCENTRANK.INC($I$2:$I$1194,I103)*100,0)*PARAMS_MODELO!$B$31)</f>
        <v>30.225000000000001</v>
      </c>
    </row>
    <row r="104" spans="1:10" x14ac:dyDescent="0.3">
      <c r="A104">
        <v>51024087</v>
      </c>
      <c r="B104">
        <v>59</v>
      </c>
      <c r="C104">
        <v>19</v>
      </c>
      <c r="D104">
        <v>83</v>
      </c>
      <c r="E104" s="21">
        <f>D104/PARAMS_MODELO!$B$28</f>
        <v>2.7666666666666666</v>
      </c>
      <c r="F104">
        <v>71</v>
      </c>
      <c r="G104">
        <v>45</v>
      </c>
      <c r="H104">
        <v>10</v>
      </c>
      <c r="I104" s="20">
        <f t="shared" si="1"/>
        <v>0.22222222222222221</v>
      </c>
      <c r="J104" s="21">
        <f>(IFERROR(_xlfn.PERCENTRANK.INC($B$2:$B$1194,B104)*100,0)*PARAMS_MODELO!$B$25)+(IFERROR(_xlfn.PERCENTRANK.INC($C$2:$C$1194,C104)*100,0)*PARAMS_MODELO!$B$26)+(IFERROR(_xlfn.PERCENTRANK.INC($E$2:$E$1194,E104)*100,0)*PARAMS_MODELO!$B$27)+(IFERROR(_xlfn.PERCENTRANK.INC($F$2:$F$1194,F104)*100,0)*PARAMS_MODELO!$B$29)+(IFERROR(_xlfn.PERCENTRANK.INC($I$2:$I$1194,I104)*100,0)*PARAMS_MODELO!$B$31)</f>
        <v>64.11</v>
      </c>
    </row>
    <row r="105" spans="1:10" x14ac:dyDescent="0.3">
      <c r="A105">
        <v>51005171</v>
      </c>
      <c r="B105">
        <v>31</v>
      </c>
      <c r="C105">
        <v>19</v>
      </c>
      <c r="D105">
        <v>37</v>
      </c>
      <c r="E105" s="21">
        <f>D105/PARAMS_MODELO!$B$28</f>
        <v>1.2333333333333334</v>
      </c>
      <c r="F105">
        <v>92</v>
      </c>
      <c r="G105">
        <v>24</v>
      </c>
      <c r="H105">
        <v>7</v>
      </c>
      <c r="I105" s="20">
        <f t="shared" si="1"/>
        <v>0.29166666666666669</v>
      </c>
      <c r="J105" s="21">
        <f>(IFERROR(_xlfn.PERCENTRANK.INC($B$2:$B$1194,B105)*100,0)*PARAMS_MODELO!$B$25)+(IFERROR(_xlfn.PERCENTRANK.INC($C$2:$C$1194,C105)*100,0)*PARAMS_MODELO!$B$26)+(IFERROR(_xlfn.PERCENTRANK.INC($E$2:$E$1194,E105)*100,0)*PARAMS_MODELO!$B$27)+(IFERROR(_xlfn.PERCENTRANK.INC($F$2:$F$1194,F105)*100,0)*PARAMS_MODELO!$B$29)+(IFERROR(_xlfn.PERCENTRANK.INC($I$2:$I$1194,I105)*100,0)*PARAMS_MODELO!$B$31)</f>
        <v>50.634999999999998</v>
      </c>
    </row>
    <row r="106" spans="1:10" x14ac:dyDescent="0.3">
      <c r="A106">
        <v>51005864</v>
      </c>
      <c r="B106">
        <v>77</v>
      </c>
      <c r="C106">
        <v>17</v>
      </c>
      <c r="D106">
        <v>85</v>
      </c>
      <c r="E106" s="21">
        <f>D106/PARAMS_MODELO!$B$28</f>
        <v>2.8333333333333335</v>
      </c>
      <c r="F106">
        <v>84</v>
      </c>
      <c r="G106">
        <v>49</v>
      </c>
      <c r="H106">
        <v>16</v>
      </c>
      <c r="I106" s="20">
        <f t="shared" si="1"/>
        <v>0.32653061224489793</v>
      </c>
      <c r="J106" s="21">
        <f>(IFERROR(_xlfn.PERCENTRANK.INC($B$2:$B$1194,B106)*100,0)*PARAMS_MODELO!$B$25)+(IFERROR(_xlfn.PERCENTRANK.INC($C$2:$C$1194,C106)*100,0)*PARAMS_MODELO!$B$26)+(IFERROR(_xlfn.PERCENTRANK.INC($E$2:$E$1194,E106)*100,0)*PARAMS_MODELO!$B$27)+(IFERROR(_xlfn.PERCENTRANK.INC($F$2:$F$1194,F106)*100,0)*PARAMS_MODELO!$B$29)+(IFERROR(_xlfn.PERCENTRANK.INC($I$2:$I$1194,I106)*100,0)*PARAMS_MODELO!$B$31)</f>
        <v>71.04000000000002</v>
      </c>
    </row>
    <row r="107" spans="1:10" x14ac:dyDescent="0.3">
      <c r="A107">
        <v>51040317</v>
      </c>
      <c r="B107">
        <v>6</v>
      </c>
      <c r="C107">
        <v>23</v>
      </c>
      <c r="D107">
        <v>88</v>
      </c>
      <c r="E107" s="21">
        <f>D107/PARAMS_MODELO!$B$28</f>
        <v>2.9333333333333331</v>
      </c>
      <c r="F107">
        <v>51</v>
      </c>
      <c r="G107">
        <v>3</v>
      </c>
      <c r="H107">
        <v>1</v>
      </c>
      <c r="I107" s="20">
        <f t="shared" si="1"/>
        <v>0.33333333333333331</v>
      </c>
      <c r="J107" s="21">
        <f>(IFERROR(_xlfn.PERCENTRANK.INC($B$2:$B$1194,B107)*100,0)*PARAMS_MODELO!$B$25)+(IFERROR(_xlfn.PERCENTRANK.INC($C$2:$C$1194,C107)*100,0)*PARAMS_MODELO!$B$26)+(IFERROR(_xlfn.PERCENTRANK.INC($E$2:$E$1194,E107)*100,0)*PARAMS_MODELO!$B$27)+(IFERROR(_xlfn.PERCENTRANK.INC($F$2:$F$1194,F107)*100,0)*PARAMS_MODELO!$B$29)+(IFERROR(_xlfn.PERCENTRANK.INC($I$2:$I$1194,I107)*100,0)*PARAMS_MODELO!$B$31)</f>
        <v>51.86</v>
      </c>
    </row>
    <row r="108" spans="1:10" x14ac:dyDescent="0.3">
      <c r="A108">
        <v>51003926</v>
      </c>
      <c r="B108">
        <v>31</v>
      </c>
      <c r="C108">
        <v>19</v>
      </c>
      <c r="D108">
        <v>12</v>
      </c>
      <c r="E108" s="21">
        <f>D108/PARAMS_MODELO!$B$28</f>
        <v>0.4</v>
      </c>
      <c r="F108">
        <v>30</v>
      </c>
      <c r="G108">
        <v>97</v>
      </c>
      <c r="H108">
        <v>13</v>
      </c>
      <c r="I108" s="20">
        <f t="shared" si="1"/>
        <v>0.13402061855670103</v>
      </c>
      <c r="J108" s="21">
        <f>(IFERROR(_xlfn.PERCENTRANK.INC($B$2:$B$1194,B108)*100,0)*PARAMS_MODELO!$B$25)+(IFERROR(_xlfn.PERCENTRANK.INC($C$2:$C$1194,C108)*100,0)*PARAMS_MODELO!$B$26)+(IFERROR(_xlfn.PERCENTRANK.INC($E$2:$E$1194,E108)*100,0)*PARAMS_MODELO!$B$27)+(IFERROR(_xlfn.PERCENTRANK.INC($F$2:$F$1194,F108)*100,0)*PARAMS_MODELO!$B$29)+(IFERROR(_xlfn.PERCENTRANK.INC($I$2:$I$1194,I108)*100,0)*PARAMS_MODELO!$B$31)</f>
        <v>34.844999999999999</v>
      </c>
    </row>
    <row r="109" spans="1:10" x14ac:dyDescent="0.3">
      <c r="A109">
        <v>51019911</v>
      </c>
      <c r="B109">
        <v>95</v>
      </c>
      <c r="C109">
        <v>22</v>
      </c>
      <c r="D109">
        <v>12</v>
      </c>
      <c r="E109" s="21">
        <f>D109/PARAMS_MODELO!$B$28</f>
        <v>0.4</v>
      </c>
      <c r="F109">
        <v>50</v>
      </c>
      <c r="G109">
        <v>91</v>
      </c>
      <c r="H109">
        <v>89</v>
      </c>
      <c r="I109" s="20">
        <f t="shared" si="1"/>
        <v>0.97802197802197799</v>
      </c>
      <c r="J109" s="21">
        <f>(IFERROR(_xlfn.PERCENTRANK.INC($B$2:$B$1194,B109)*100,0)*PARAMS_MODELO!$B$25)+(IFERROR(_xlfn.PERCENTRANK.INC($C$2:$C$1194,C109)*100,0)*PARAMS_MODELO!$B$26)+(IFERROR(_xlfn.PERCENTRANK.INC($E$2:$E$1194,E109)*100,0)*PARAMS_MODELO!$B$27)+(IFERROR(_xlfn.PERCENTRANK.INC($F$2:$F$1194,F109)*100,0)*PARAMS_MODELO!$B$29)+(IFERROR(_xlfn.PERCENTRANK.INC($I$2:$I$1194,I109)*100,0)*PARAMS_MODELO!$B$31)</f>
        <v>68.06</v>
      </c>
    </row>
    <row r="110" spans="1:10" x14ac:dyDescent="0.3">
      <c r="A110">
        <v>51022076</v>
      </c>
      <c r="B110">
        <v>87</v>
      </c>
      <c r="C110">
        <v>25</v>
      </c>
      <c r="D110">
        <v>59</v>
      </c>
      <c r="E110" s="21">
        <f>D110/PARAMS_MODELO!$B$28</f>
        <v>1.9666666666666666</v>
      </c>
      <c r="F110">
        <v>52</v>
      </c>
      <c r="G110">
        <v>52</v>
      </c>
      <c r="H110">
        <v>7</v>
      </c>
      <c r="I110" s="20">
        <f t="shared" si="1"/>
        <v>0.13461538461538461</v>
      </c>
      <c r="J110" s="21">
        <f>(IFERROR(_xlfn.PERCENTRANK.INC($B$2:$B$1194,B110)*100,0)*PARAMS_MODELO!$B$25)+(IFERROR(_xlfn.PERCENTRANK.INC($C$2:$C$1194,C110)*100,0)*PARAMS_MODELO!$B$26)+(IFERROR(_xlfn.PERCENTRANK.INC($E$2:$E$1194,E110)*100,0)*PARAMS_MODELO!$B$27)+(IFERROR(_xlfn.PERCENTRANK.INC($F$2:$F$1194,F110)*100,0)*PARAMS_MODELO!$B$29)+(IFERROR(_xlfn.PERCENTRANK.INC($I$2:$I$1194,I110)*100,0)*PARAMS_MODELO!$B$31)</f>
        <v>70.444999999999993</v>
      </c>
    </row>
    <row r="111" spans="1:10" x14ac:dyDescent="0.3">
      <c r="A111">
        <v>51055217</v>
      </c>
      <c r="B111">
        <v>45</v>
      </c>
      <c r="C111">
        <v>8</v>
      </c>
      <c r="D111">
        <v>11</v>
      </c>
      <c r="E111" s="21">
        <f>D111/PARAMS_MODELO!$B$28</f>
        <v>0.36666666666666664</v>
      </c>
      <c r="F111">
        <v>2</v>
      </c>
      <c r="G111">
        <v>2</v>
      </c>
      <c r="H111">
        <v>1</v>
      </c>
      <c r="I111" s="20">
        <f t="shared" si="1"/>
        <v>0.5</v>
      </c>
      <c r="J111" s="21">
        <f>(IFERROR(_xlfn.PERCENTRANK.INC($B$2:$B$1194,B111)*100,0)*PARAMS_MODELO!$B$25)+(IFERROR(_xlfn.PERCENTRANK.INC($C$2:$C$1194,C111)*100,0)*PARAMS_MODELO!$B$26)+(IFERROR(_xlfn.PERCENTRANK.INC($E$2:$E$1194,E111)*100,0)*PARAMS_MODELO!$B$27)+(IFERROR(_xlfn.PERCENTRANK.INC($F$2:$F$1194,F111)*100,0)*PARAMS_MODELO!$B$29)+(IFERROR(_xlfn.PERCENTRANK.INC($I$2:$I$1194,I111)*100,0)*PARAMS_MODELO!$B$31)</f>
        <v>27.945</v>
      </c>
    </row>
    <row r="112" spans="1:10" x14ac:dyDescent="0.3">
      <c r="A112">
        <v>51036824</v>
      </c>
      <c r="B112">
        <v>47</v>
      </c>
      <c r="C112">
        <v>10</v>
      </c>
      <c r="D112">
        <v>95</v>
      </c>
      <c r="E112" s="21">
        <f>D112/PARAMS_MODELO!$B$28</f>
        <v>3.1666666666666665</v>
      </c>
      <c r="F112">
        <v>58</v>
      </c>
      <c r="G112">
        <v>91</v>
      </c>
      <c r="H112">
        <v>78</v>
      </c>
      <c r="I112" s="20">
        <f t="shared" si="1"/>
        <v>0.8571428571428571</v>
      </c>
      <c r="J112" s="21">
        <f>(IFERROR(_xlfn.PERCENTRANK.INC($B$2:$B$1194,B112)*100,0)*PARAMS_MODELO!$B$25)+(IFERROR(_xlfn.PERCENTRANK.INC($C$2:$C$1194,C112)*100,0)*PARAMS_MODELO!$B$26)+(IFERROR(_xlfn.PERCENTRANK.INC($E$2:$E$1194,E112)*100,0)*PARAMS_MODELO!$B$27)+(IFERROR(_xlfn.PERCENTRANK.INC($F$2:$F$1194,F112)*100,0)*PARAMS_MODELO!$B$29)+(IFERROR(_xlfn.PERCENTRANK.INC($I$2:$I$1194,I112)*100,0)*PARAMS_MODELO!$B$31)</f>
        <v>59.015000000000008</v>
      </c>
    </row>
    <row r="113" spans="1:10" x14ac:dyDescent="0.3">
      <c r="A113">
        <v>51024940</v>
      </c>
      <c r="B113">
        <v>46</v>
      </c>
      <c r="C113">
        <v>24</v>
      </c>
      <c r="D113">
        <v>17</v>
      </c>
      <c r="E113" s="21">
        <f>D113/PARAMS_MODELO!$B$28</f>
        <v>0.56666666666666665</v>
      </c>
      <c r="F113">
        <v>58</v>
      </c>
      <c r="G113">
        <v>25</v>
      </c>
      <c r="H113">
        <v>19</v>
      </c>
      <c r="I113" s="20">
        <f t="shared" si="1"/>
        <v>0.76</v>
      </c>
      <c r="J113" s="21">
        <f>(IFERROR(_xlfn.PERCENTRANK.INC($B$2:$B$1194,B113)*100,0)*PARAMS_MODELO!$B$25)+(IFERROR(_xlfn.PERCENTRANK.INC($C$2:$C$1194,C113)*100,0)*PARAMS_MODELO!$B$26)+(IFERROR(_xlfn.PERCENTRANK.INC($E$2:$E$1194,E113)*100,0)*PARAMS_MODELO!$B$27)+(IFERROR(_xlfn.PERCENTRANK.INC($F$2:$F$1194,F113)*100,0)*PARAMS_MODELO!$B$29)+(IFERROR(_xlfn.PERCENTRANK.INC($I$2:$I$1194,I113)*100,0)*PARAMS_MODELO!$B$31)</f>
        <v>56.029999999999994</v>
      </c>
    </row>
    <row r="114" spans="1:10" x14ac:dyDescent="0.3">
      <c r="A114">
        <v>51033531</v>
      </c>
      <c r="B114">
        <v>45</v>
      </c>
      <c r="C114">
        <v>15</v>
      </c>
      <c r="D114">
        <v>9</v>
      </c>
      <c r="E114" s="21">
        <f>D114/PARAMS_MODELO!$B$28</f>
        <v>0.3</v>
      </c>
      <c r="F114">
        <v>12</v>
      </c>
      <c r="G114">
        <v>37</v>
      </c>
      <c r="H114">
        <v>11</v>
      </c>
      <c r="I114" s="20">
        <f t="shared" si="1"/>
        <v>0.29729729729729731</v>
      </c>
      <c r="J114" s="21">
        <f>(IFERROR(_xlfn.PERCENTRANK.INC($B$2:$B$1194,B114)*100,0)*PARAMS_MODELO!$B$25)+(IFERROR(_xlfn.PERCENTRANK.INC($C$2:$C$1194,C114)*100,0)*PARAMS_MODELO!$B$26)+(IFERROR(_xlfn.PERCENTRANK.INC($E$2:$E$1194,E114)*100,0)*PARAMS_MODELO!$B$27)+(IFERROR(_xlfn.PERCENTRANK.INC($F$2:$F$1194,F114)*100,0)*PARAMS_MODELO!$B$29)+(IFERROR(_xlfn.PERCENTRANK.INC($I$2:$I$1194,I114)*100,0)*PARAMS_MODELO!$B$31)</f>
        <v>33.185000000000002</v>
      </c>
    </row>
    <row r="115" spans="1:10" x14ac:dyDescent="0.3">
      <c r="A115">
        <v>51032454</v>
      </c>
      <c r="B115">
        <v>50</v>
      </c>
      <c r="C115">
        <v>13</v>
      </c>
      <c r="D115">
        <v>84</v>
      </c>
      <c r="E115" s="21">
        <f>D115/PARAMS_MODELO!$B$28</f>
        <v>2.8</v>
      </c>
      <c r="F115">
        <v>76</v>
      </c>
      <c r="G115">
        <v>55</v>
      </c>
      <c r="H115">
        <v>27</v>
      </c>
      <c r="I115" s="20">
        <f t="shared" si="1"/>
        <v>0.49090909090909091</v>
      </c>
      <c r="J115" s="21">
        <f>(IFERROR(_xlfn.PERCENTRANK.INC($B$2:$B$1194,B115)*100,0)*PARAMS_MODELO!$B$25)+(IFERROR(_xlfn.PERCENTRANK.INC($C$2:$C$1194,C115)*100,0)*PARAMS_MODELO!$B$26)+(IFERROR(_xlfn.PERCENTRANK.INC($E$2:$E$1194,E115)*100,0)*PARAMS_MODELO!$B$27)+(IFERROR(_xlfn.PERCENTRANK.INC($F$2:$F$1194,F115)*100,0)*PARAMS_MODELO!$B$29)+(IFERROR(_xlfn.PERCENTRANK.INC($I$2:$I$1194,I115)*100,0)*PARAMS_MODELO!$B$31)</f>
        <v>59.594999999999999</v>
      </c>
    </row>
    <row r="116" spans="1:10" x14ac:dyDescent="0.3">
      <c r="A116">
        <v>51014260</v>
      </c>
      <c r="B116">
        <v>36</v>
      </c>
      <c r="C116">
        <v>9</v>
      </c>
      <c r="D116">
        <v>29</v>
      </c>
      <c r="E116" s="21">
        <f>D116/PARAMS_MODELO!$B$28</f>
        <v>0.96666666666666667</v>
      </c>
      <c r="F116">
        <v>26</v>
      </c>
      <c r="G116">
        <v>20</v>
      </c>
      <c r="H116">
        <v>12</v>
      </c>
      <c r="I116" s="20">
        <f t="shared" si="1"/>
        <v>0.6</v>
      </c>
      <c r="J116" s="21">
        <f>(IFERROR(_xlfn.PERCENTRANK.INC($B$2:$B$1194,B116)*100,0)*PARAMS_MODELO!$B$25)+(IFERROR(_xlfn.PERCENTRANK.INC($C$2:$C$1194,C116)*100,0)*PARAMS_MODELO!$B$26)+(IFERROR(_xlfn.PERCENTRANK.INC($E$2:$E$1194,E116)*100,0)*PARAMS_MODELO!$B$27)+(IFERROR(_xlfn.PERCENTRANK.INC($F$2:$F$1194,F116)*100,0)*PARAMS_MODELO!$B$29)+(IFERROR(_xlfn.PERCENTRANK.INC($I$2:$I$1194,I116)*100,0)*PARAMS_MODELO!$B$31)</f>
        <v>33.465000000000003</v>
      </c>
    </row>
    <row r="117" spans="1:10" x14ac:dyDescent="0.3">
      <c r="A117">
        <v>51011414</v>
      </c>
      <c r="B117">
        <v>43</v>
      </c>
      <c r="C117">
        <v>3</v>
      </c>
      <c r="D117">
        <v>57</v>
      </c>
      <c r="E117" s="21">
        <f>D117/PARAMS_MODELO!$B$28</f>
        <v>1.9</v>
      </c>
      <c r="F117">
        <v>67</v>
      </c>
      <c r="G117">
        <v>3</v>
      </c>
      <c r="H117">
        <v>2</v>
      </c>
      <c r="I117" s="20">
        <f t="shared" si="1"/>
        <v>0.66666666666666663</v>
      </c>
      <c r="J117" s="21">
        <f>(IFERROR(_xlfn.PERCENTRANK.INC($B$2:$B$1194,B117)*100,0)*PARAMS_MODELO!$B$25)+(IFERROR(_xlfn.PERCENTRANK.INC($C$2:$C$1194,C117)*100,0)*PARAMS_MODELO!$B$26)+(IFERROR(_xlfn.PERCENTRANK.INC($E$2:$E$1194,E117)*100,0)*PARAMS_MODELO!$B$27)+(IFERROR(_xlfn.PERCENTRANK.INC($F$2:$F$1194,F117)*100,0)*PARAMS_MODELO!$B$29)+(IFERROR(_xlfn.PERCENTRANK.INC($I$2:$I$1194,I117)*100,0)*PARAMS_MODELO!$B$31)</f>
        <v>43.39</v>
      </c>
    </row>
    <row r="118" spans="1:10" x14ac:dyDescent="0.3">
      <c r="A118">
        <v>51018559</v>
      </c>
      <c r="B118">
        <v>80</v>
      </c>
      <c r="C118">
        <v>16</v>
      </c>
      <c r="D118">
        <v>70</v>
      </c>
      <c r="E118" s="21">
        <f>D118/PARAMS_MODELO!$B$28</f>
        <v>2.3333333333333335</v>
      </c>
      <c r="F118">
        <v>8</v>
      </c>
      <c r="G118">
        <v>69</v>
      </c>
      <c r="H118">
        <v>6</v>
      </c>
      <c r="I118" s="20">
        <f t="shared" si="1"/>
        <v>8.6956521739130432E-2</v>
      </c>
      <c r="J118" s="21">
        <f>(IFERROR(_xlfn.PERCENTRANK.INC($B$2:$B$1194,B118)*100,0)*PARAMS_MODELO!$B$25)+(IFERROR(_xlfn.PERCENTRANK.INC($C$2:$C$1194,C118)*100,0)*PARAMS_MODELO!$B$26)+(IFERROR(_xlfn.PERCENTRANK.INC($E$2:$E$1194,E118)*100,0)*PARAMS_MODELO!$B$27)+(IFERROR(_xlfn.PERCENTRANK.INC($F$2:$F$1194,F118)*100,0)*PARAMS_MODELO!$B$29)+(IFERROR(_xlfn.PERCENTRANK.INC($I$2:$I$1194,I118)*100,0)*PARAMS_MODELO!$B$31)</f>
        <v>54.260000000000005</v>
      </c>
    </row>
    <row r="119" spans="1:10" x14ac:dyDescent="0.3">
      <c r="A119">
        <v>51014308</v>
      </c>
      <c r="B119">
        <v>91</v>
      </c>
      <c r="C119">
        <v>9</v>
      </c>
      <c r="D119">
        <v>86</v>
      </c>
      <c r="E119" s="21">
        <f>D119/PARAMS_MODELO!$B$28</f>
        <v>2.8666666666666667</v>
      </c>
      <c r="F119">
        <v>71</v>
      </c>
      <c r="G119">
        <v>30</v>
      </c>
      <c r="H119">
        <v>20</v>
      </c>
      <c r="I119" s="20">
        <f t="shared" si="1"/>
        <v>0.66666666666666663</v>
      </c>
      <c r="J119" s="21">
        <f>(IFERROR(_xlfn.PERCENTRANK.INC($B$2:$B$1194,B119)*100,0)*PARAMS_MODELO!$B$25)+(IFERROR(_xlfn.PERCENTRANK.INC($C$2:$C$1194,C119)*100,0)*PARAMS_MODELO!$B$26)+(IFERROR(_xlfn.PERCENTRANK.INC($E$2:$E$1194,E119)*100,0)*PARAMS_MODELO!$B$27)+(IFERROR(_xlfn.PERCENTRANK.INC($F$2:$F$1194,F119)*100,0)*PARAMS_MODELO!$B$29)+(IFERROR(_xlfn.PERCENTRANK.INC($I$2:$I$1194,I119)*100,0)*PARAMS_MODELO!$B$31)</f>
        <v>68.960000000000008</v>
      </c>
    </row>
    <row r="120" spans="1:10" x14ac:dyDescent="0.3">
      <c r="A120">
        <v>51056949</v>
      </c>
      <c r="B120">
        <v>41</v>
      </c>
      <c r="C120">
        <v>5</v>
      </c>
      <c r="D120">
        <v>7</v>
      </c>
      <c r="E120" s="21">
        <f>D120/PARAMS_MODELO!$B$28</f>
        <v>0.23333333333333334</v>
      </c>
      <c r="F120">
        <v>99</v>
      </c>
      <c r="G120">
        <v>32</v>
      </c>
      <c r="H120">
        <v>6</v>
      </c>
      <c r="I120" s="20">
        <f t="shared" si="1"/>
        <v>0.1875</v>
      </c>
      <c r="J120" s="21">
        <f>(IFERROR(_xlfn.PERCENTRANK.INC($B$2:$B$1194,B120)*100,0)*PARAMS_MODELO!$B$25)+(IFERROR(_xlfn.PERCENTRANK.INC($C$2:$C$1194,C120)*100,0)*PARAMS_MODELO!$B$26)+(IFERROR(_xlfn.PERCENTRANK.INC($E$2:$E$1194,E120)*100,0)*PARAMS_MODELO!$B$27)+(IFERROR(_xlfn.PERCENTRANK.INC($F$2:$F$1194,F120)*100,0)*PARAMS_MODELO!$B$29)+(IFERROR(_xlfn.PERCENTRANK.INC($I$2:$I$1194,I120)*100,0)*PARAMS_MODELO!$B$31)</f>
        <v>34.484999999999999</v>
      </c>
    </row>
    <row r="121" spans="1:10" x14ac:dyDescent="0.3">
      <c r="A121">
        <v>51022173</v>
      </c>
      <c r="B121">
        <v>19</v>
      </c>
      <c r="C121">
        <v>16</v>
      </c>
      <c r="D121">
        <v>57</v>
      </c>
      <c r="E121" s="21">
        <f>D121/PARAMS_MODELO!$B$28</f>
        <v>1.9</v>
      </c>
      <c r="F121">
        <v>55</v>
      </c>
      <c r="G121">
        <v>29</v>
      </c>
      <c r="H121">
        <v>24</v>
      </c>
      <c r="I121" s="20">
        <f t="shared" si="1"/>
        <v>0.82758620689655171</v>
      </c>
      <c r="J121" s="21">
        <f>(IFERROR(_xlfn.PERCENTRANK.INC($B$2:$B$1194,B121)*100,0)*PARAMS_MODELO!$B$25)+(IFERROR(_xlfn.PERCENTRANK.INC($C$2:$C$1194,C121)*100,0)*PARAMS_MODELO!$B$26)+(IFERROR(_xlfn.PERCENTRANK.INC($E$2:$E$1194,E121)*100,0)*PARAMS_MODELO!$B$27)+(IFERROR(_xlfn.PERCENTRANK.INC($F$2:$F$1194,F121)*100,0)*PARAMS_MODELO!$B$29)+(IFERROR(_xlfn.PERCENTRANK.INC($I$2:$I$1194,I121)*100,0)*PARAMS_MODELO!$B$31)</f>
        <v>47.98</v>
      </c>
    </row>
    <row r="122" spans="1:10" x14ac:dyDescent="0.3">
      <c r="A122">
        <v>51023765</v>
      </c>
      <c r="B122">
        <v>0</v>
      </c>
      <c r="C122">
        <v>7</v>
      </c>
      <c r="D122">
        <v>31</v>
      </c>
      <c r="E122" s="21">
        <f>D122/PARAMS_MODELO!$B$28</f>
        <v>1.0333333333333334</v>
      </c>
      <c r="F122">
        <v>62</v>
      </c>
      <c r="G122">
        <v>30</v>
      </c>
      <c r="H122">
        <v>25</v>
      </c>
      <c r="I122" s="20">
        <f t="shared" si="1"/>
        <v>0.83333333333333337</v>
      </c>
      <c r="J122" s="21">
        <f>(IFERROR(_xlfn.PERCENTRANK.INC($B$2:$B$1194,B122)*100,0)*PARAMS_MODELO!$B$25)+(IFERROR(_xlfn.PERCENTRANK.INC($C$2:$C$1194,C122)*100,0)*PARAMS_MODELO!$B$26)+(IFERROR(_xlfn.PERCENTRANK.INC($E$2:$E$1194,E122)*100,0)*PARAMS_MODELO!$B$27)+(IFERROR(_xlfn.PERCENTRANK.INC($F$2:$F$1194,F122)*100,0)*PARAMS_MODELO!$B$29)+(IFERROR(_xlfn.PERCENTRANK.INC($I$2:$I$1194,I122)*100,0)*PARAMS_MODELO!$B$31)</f>
        <v>29.92</v>
      </c>
    </row>
    <row r="123" spans="1:10" x14ac:dyDescent="0.3">
      <c r="A123">
        <v>51038908</v>
      </c>
      <c r="B123">
        <v>78</v>
      </c>
      <c r="C123">
        <v>6</v>
      </c>
      <c r="D123">
        <v>1</v>
      </c>
      <c r="E123" s="21">
        <f>D123/PARAMS_MODELO!$B$28</f>
        <v>3.3333333333333333E-2</v>
      </c>
      <c r="F123">
        <v>66</v>
      </c>
      <c r="G123">
        <v>91</v>
      </c>
      <c r="H123">
        <v>20</v>
      </c>
      <c r="I123" s="20">
        <f t="shared" si="1"/>
        <v>0.21978021978021978</v>
      </c>
      <c r="J123" s="21">
        <f>(IFERROR(_xlfn.PERCENTRANK.INC($B$2:$B$1194,B123)*100,0)*PARAMS_MODELO!$B$25)+(IFERROR(_xlfn.PERCENTRANK.INC($C$2:$C$1194,C123)*100,0)*PARAMS_MODELO!$B$26)+(IFERROR(_xlfn.PERCENTRANK.INC($E$2:$E$1194,E123)*100,0)*PARAMS_MODELO!$B$27)+(IFERROR(_xlfn.PERCENTRANK.INC($F$2:$F$1194,F123)*100,0)*PARAMS_MODELO!$B$29)+(IFERROR(_xlfn.PERCENTRANK.INC($I$2:$I$1194,I123)*100,0)*PARAMS_MODELO!$B$31)</f>
        <v>40.984999999999999</v>
      </c>
    </row>
    <row r="124" spans="1:10" x14ac:dyDescent="0.3">
      <c r="A124">
        <v>51013158</v>
      </c>
      <c r="B124">
        <v>53</v>
      </c>
      <c r="C124">
        <v>1</v>
      </c>
      <c r="D124">
        <v>2</v>
      </c>
      <c r="E124" s="21">
        <f>D124/PARAMS_MODELO!$B$28</f>
        <v>6.6666666666666666E-2</v>
      </c>
      <c r="F124">
        <v>93</v>
      </c>
      <c r="G124">
        <v>95</v>
      </c>
      <c r="H124">
        <v>10</v>
      </c>
      <c r="I124" s="20">
        <f t="shared" si="1"/>
        <v>0.10526315789473684</v>
      </c>
      <c r="J124" s="21">
        <f>(IFERROR(_xlfn.PERCENTRANK.INC($B$2:$B$1194,B124)*100,0)*PARAMS_MODELO!$B$25)+(IFERROR(_xlfn.PERCENTRANK.INC($C$2:$C$1194,C124)*100,0)*PARAMS_MODELO!$B$26)+(IFERROR(_xlfn.PERCENTRANK.INC($E$2:$E$1194,E124)*100,0)*PARAMS_MODELO!$B$27)+(IFERROR(_xlfn.PERCENTRANK.INC($F$2:$F$1194,F124)*100,0)*PARAMS_MODELO!$B$29)+(IFERROR(_xlfn.PERCENTRANK.INC($I$2:$I$1194,I124)*100,0)*PARAMS_MODELO!$B$31)</f>
        <v>31.830000000000002</v>
      </c>
    </row>
    <row r="125" spans="1:10" x14ac:dyDescent="0.3">
      <c r="A125">
        <v>51024176</v>
      </c>
      <c r="B125">
        <v>62</v>
      </c>
      <c r="C125">
        <v>12</v>
      </c>
      <c r="D125">
        <v>55</v>
      </c>
      <c r="E125" s="21">
        <f>D125/PARAMS_MODELO!$B$28</f>
        <v>1.8333333333333333</v>
      </c>
      <c r="F125">
        <v>69</v>
      </c>
      <c r="G125">
        <v>6</v>
      </c>
      <c r="H125">
        <v>1</v>
      </c>
      <c r="I125" s="20">
        <f t="shared" si="1"/>
        <v>0.16666666666666666</v>
      </c>
      <c r="J125" s="21">
        <f>(IFERROR(_xlfn.PERCENTRANK.INC($B$2:$B$1194,B125)*100,0)*PARAMS_MODELO!$B$25)+(IFERROR(_xlfn.PERCENTRANK.INC($C$2:$C$1194,C125)*100,0)*PARAMS_MODELO!$B$26)+(IFERROR(_xlfn.PERCENTRANK.INC($E$2:$E$1194,E125)*100,0)*PARAMS_MODELO!$B$27)+(IFERROR(_xlfn.PERCENTRANK.INC($F$2:$F$1194,F125)*100,0)*PARAMS_MODELO!$B$29)+(IFERROR(_xlfn.PERCENTRANK.INC($I$2:$I$1194,I125)*100,0)*PARAMS_MODELO!$B$31)</f>
        <v>52.245000000000005</v>
      </c>
    </row>
    <row r="126" spans="1:10" x14ac:dyDescent="0.3">
      <c r="A126">
        <v>51000196</v>
      </c>
      <c r="B126">
        <v>37</v>
      </c>
      <c r="C126">
        <v>20</v>
      </c>
      <c r="D126">
        <v>70</v>
      </c>
      <c r="E126" s="21">
        <f>D126/PARAMS_MODELO!$B$28</f>
        <v>2.3333333333333335</v>
      </c>
      <c r="F126">
        <v>72</v>
      </c>
      <c r="G126">
        <v>95</v>
      </c>
      <c r="H126">
        <v>59</v>
      </c>
      <c r="I126" s="20">
        <f t="shared" si="1"/>
        <v>0.62105263157894741</v>
      </c>
      <c r="J126" s="21">
        <f>(IFERROR(_xlfn.PERCENTRANK.INC($B$2:$B$1194,B126)*100,0)*PARAMS_MODELO!$B$25)+(IFERROR(_xlfn.PERCENTRANK.INC($C$2:$C$1194,C126)*100,0)*PARAMS_MODELO!$B$26)+(IFERROR(_xlfn.PERCENTRANK.INC($E$2:$E$1194,E126)*100,0)*PARAMS_MODELO!$B$27)+(IFERROR(_xlfn.PERCENTRANK.INC($F$2:$F$1194,F126)*100,0)*PARAMS_MODELO!$B$29)+(IFERROR(_xlfn.PERCENTRANK.INC($I$2:$I$1194,I126)*100,0)*PARAMS_MODELO!$B$31)</f>
        <v>60.349999999999994</v>
      </c>
    </row>
    <row r="127" spans="1:10" x14ac:dyDescent="0.3">
      <c r="A127">
        <v>51024672</v>
      </c>
      <c r="B127">
        <v>65</v>
      </c>
      <c r="C127">
        <v>20</v>
      </c>
      <c r="D127">
        <v>1</v>
      </c>
      <c r="E127" s="21">
        <f>D127/PARAMS_MODELO!$B$28</f>
        <v>3.3333333333333333E-2</v>
      </c>
      <c r="F127">
        <v>2</v>
      </c>
      <c r="G127">
        <v>86</v>
      </c>
      <c r="H127">
        <v>49</v>
      </c>
      <c r="I127" s="20">
        <f t="shared" si="1"/>
        <v>0.56976744186046513</v>
      </c>
      <c r="J127" s="21">
        <f>(IFERROR(_xlfn.PERCENTRANK.INC($B$2:$B$1194,B127)*100,0)*PARAMS_MODELO!$B$25)+(IFERROR(_xlfn.PERCENTRANK.INC($C$2:$C$1194,C127)*100,0)*PARAMS_MODELO!$B$26)+(IFERROR(_xlfn.PERCENTRANK.INC($E$2:$E$1194,E127)*100,0)*PARAMS_MODELO!$B$27)+(IFERROR(_xlfn.PERCENTRANK.INC($F$2:$F$1194,F127)*100,0)*PARAMS_MODELO!$B$29)+(IFERROR(_xlfn.PERCENTRANK.INC($I$2:$I$1194,I127)*100,0)*PARAMS_MODELO!$B$31)</f>
        <v>43.89</v>
      </c>
    </row>
    <row r="128" spans="1:10" x14ac:dyDescent="0.3">
      <c r="A128">
        <v>51021657</v>
      </c>
      <c r="B128">
        <v>28</v>
      </c>
      <c r="C128">
        <v>12</v>
      </c>
      <c r="D128">
        <v>3</v>
      </c>
      <c r="E128" s="21">
        <f>D128/PARAMS_MODELO!$B$28</f>
        <v>0.1</v>
      </c>
      <c r="F128">
        <v>100</v>
      </c>
      <c r="G128">
        <v>64</v>
      </c>
      <c r="H128">
        <v>44</v>
      </c>
      <c r="I128" s="20">
        <f t="shared" si="1"/>
        <v>0.6875</v>
      </c>
      <c r="J128" s="21">
        <f>(IFERROR(_xlfn.PERCENTRANK.INC($B$2:$B$1194,B128)*100,0)*PARAMS_MODELO!$B$25)+(IFERROR(_xlfn.PERCENTRANK.INC($C$2:$C$1194,C128)*100,0)*PARAMS_MODELO!$B$26)+(IFERROR(_xlfn.PERCENTRANK.INC($E$2:$E$1194,E128)*100,0)*PARAMS_MODELO!$B$27)+(IFERROR(_xlfn.PERCENTRANK.INC($F$2:$F$1194,F128)*100,0)*PARAMS_MODELO!$B$29)+(IFERROR(_xlfn.PERCENTRANK.INC($I$2:$I$1194,I128)*100,0)*PARAMS_MODELO!$B$31)</f>
        <v>41.99</v>
      </c>
    </row>
    <row r="129" spans="1:10" x14ac:dyDescent="0.3">
      <c r="A129">
        <v>51042263</v>
      </c>
      <c r="B129">
        <v>46</v>
      </c>
      <c r="C129">
        <v>3</v>
      </c>
      <c r="D129">
        <v>21</v>
      </c>
      <c r="E129" s="21">
        <f>D129/PARAMS_MODELO!$B$28</f>
        <v>0.7</v>
      </c>
      <c r="F129">
        <v>23</v>
      </c>
      <c r="G129">
        <v>17</v>
      </c>
      <c r="H129">
        <v>1</v>
      </c>
      <c r="I129" s="20">
        <f t="shared" si="1"/>
        <v>5.8823529411764705E-2</v>
      </c>
      <c r="J129" s="21">
        <f>(IFERROR(_xlfn.PERCENTRANK.INC($B$2:$B$1194,B129)*100,0)*PARAMS_MODELO!$B$25)+(IFERROR(_xlfn.PERCENTRANK.INC($C$2:$C$1194,C129)*100,0)*PARAMS_MODELO!$B$26)+(IFERROR(_xlfn.PERCENTRANK.INC($E$2:$E$1194,E129)*100,0)*PARAMS_MODELO!$B$27)+(IFERROR(_xlfn.PERCENTRANK.INC($F$2:$F$1194,F129)*100,0)*PARAMS_MODELO!$B$29)+(IFERROR(_xlfn.PERCENTRANK.INC($I$2:$I$1194,I129)*100,0)*PARAMS_MODELO!$B$31)</f>
        <v>24.165000000000006</v>
      </c>
    </row>
    <row r="130" spans="1:10" x14ac:dyDescent="0.3">
      <c r="A130">
        <v>51055365</v>
      </c>
      <c r="B130">
        <v>32</v>
      </c>
      <c r="C130">
        <v>17</v>
      </c>
      <c r="D130">
        <v>32</v>
      </c>
      <c r="E130" s="21">
        <f>D130/PARAMS_MODELO!$B$28</f>
        <v>1.0666666666666667</v>
      </c>
      <c r="F130">
        <v>31</v>
      </c>
      <c r="G130">
        <v>55</v>
      </c>
      <c r="H130">
        <v>53</v>
      </c>
      <c r="I130" s="20">
        <f t="shared" ref="I130:I193" si="2">IFERROR(H130/G130,0)</f>
        <v>0.96363636363636362</v>
      </c>
      <c r="J130" s="21">
        <f>(IFERROR(_xlfn.PERCENTRANK.INC($B$2:$B$1194,B130)*100,0)*PARAMS_MODELO!$B$25)+(IFERROR(_xlfn.PERCENTRANK.INC($C$2:$C$1194,C130)*100,0)*PARAMS_MODELO!$B$26)+(IFERROR(_xlfn.PERCENTRANK.INC($E$2:$E$1194,E130)*100,0)*PARAMS_MODELO!$B$27)+(IFERROR(_xlfn.PERCENTRANK.INC($F$2:$F$1194,F130)*100,0)*PARAMS_MODELO!$B$29)+(IFERROR(_xlfn.PERCENTRANK.INC($I$2:$I$1194,I130)*100,0)*PARAMS_MODELO!$B$31)</f>
        <v>45.4</v>
      </c>
    </row>
    <row r="131" spans="1:10" x14ac:dyDescent="0.3">
      <c r="A131">
        <v>51031385</v>
      </c>
      <c r="B131">
        <v>7</v>
      </c>
      <c r="C131">
        <v>1</v>
      </c>
      <c r="D131">
        <v>23</v>
      </c>
      <c r="E131" s="21">
        <f>D131/PARAMS_MODELO!$B$28</f>
        <v>0.76666666666666672</v>
      </c>
      <c r="F131">
        <v>72</v>
      </c>
      <c r="G131">
        <v>23</v>
      </c>
      <c r="H131">
        <v>6</v>
      </c>
      <c r="I131" s="20">
        <f t="shared" si="2"/>
        <v>0.2608695652173913</v>
      </c>
      <c r="J131" s="21">
        <f>(IFERROR(_xlfn.PERCENTRANK.INC($B$2:$B$1194,B131)*100,0)*PARAMS_MODELO!$B$25)+(IFERROR(_xlfn.PERCENTRANK.INC($C$2:$C$1194,C131)*100,0)*PARAMS_MODELO!$B$26)+(IFERROR(_xlfn.PERCENTRANK.INC($E$2:$E$1194,E131)*100,0)*PARAMS_MODELO!$B$27)+(IFERROR(_xlfn.PERCENTRANK.INC($F$2:$F$1194,F131)*100,0)*PARAMS_MODELO!$B$29)+(IFERROR(_xlfn.PERCENTRANK.INC($I$2:$I$1194,I131)*100,0)*PARAMS_MODELO!$B$31)</f>
        <v>21.104999999999997</v>
      </c>
    </row>
    <row r="132" spans="1:10" x14ac:dyDescent="0.3">
      <c r="A132">
        <v>51041577</v>
      </c>
      <c r="B132">
        <v>19</v>
      </c>
      <c r="C132">
        <v>22</v>
      </c>
      <c r="D132">
        <v>2</v>
      </c>
      <c r="E132" s="21">
        <f>D132/PARAMS_MODELO!$B$28</f>
        <v>6.6666666666666666E-2</v>
      </c>
      <c r="F132">
        <v>37</v>
      </c>
      <c r="G132">
        <v>71</v>
      </c>
      <c r="H132">
        <v>24</v>
      </c>
      <c r="I132" s="20">
        <f t="shared" si="2"/>
        <v>0.3380281690140845</v>
      </c>
      <c r="J132" s="21">
        <f>(IFERROR(_xlfn.PERCENTRANK.INC($B$2:$B$1194,B132)*100,0)*PARAMS_MODELO!$B$25)+(IFERROR(_xlfn.PERCENTRANK.INC($C$2:$C$1194,C132)*100,0)*PARAMS_MODELO!$B$26)+(IFERROR(_xlfn.PERCENTRANK.INC($E$2:$E$1194,E132)*100,0)*PARAMS_MODELO!$B$27)+(IFERROR(_xlfn.PERCENTRANK.INC($F$2:$F$1194,F132)*100,0)*PARAMS_MODELO!$B$29)+(IFERROR(_xlfn.PERCENTRANK.INC($I$2:$I$1194,I132)*100,0)*PARAMS_MODELO!$B$31)</f>
        <v>35.639999999999993</v>
      </c>
    </row>
    <row r="133" spans="1:10" x14ac:dyDescent="0.3">
      <c r="A133">
        <v>51018877</v>
      </c>
      <c r="B133">
        <v>37</v>
      </c>
      <c r="C133">
        <v>4</v>
      </c>
      <c r="D133">
        <v>88</v>
      </c>
      <c r="E133" s="21">
        <f>D133/PARAMS_MODELO!$B$28</f>
        <v>2.9333333333333331</v>
      </c>
      <c r="F133">
        <v>29</v>
      </c>
      <c r="G133">
        <v>61</v>
      </c>
      <c r="H133">
        <v>14</v>
      </c>
      <c r="I133" s="20">
        <f t="shared" si="2"/>
        <v>0.22950819672131148</v>
      </c>
      <c r="J133" s="21">
        <f>(IFERROR(_xlfn.PERCENTRANK.INC($B$2:$B$1194,B133)*100,0)*PARAMS_MODELO!$B$25)+(IFERROR(_xlfn.PERCENTRANK.INC($C$2:$C$1194,C133)*100,0)*PARAMS_MODELO!$B$26)+(IFERROR(_xlfn.PERCENTRANK.INC($E$2:$E$1194,E133)*100,0)*PARAMS_MODELO!$B$27)+(IFERROR(_xlfn.PERCENTRANK.INC($F$2:$F$1194,F133)*100,0)*PARAMS_MODELO!$B$29)+(IFERROR(_xlfn.PERCENTRANK.INC($I$2:$I$1194,I133)*100,0)*PARAMS_MODELO!$B$31)</f>
        <v>38.58</v>
      </c>
    </row>
    <row r="134" spans="1:10" x14ac:dyDescent="0.3">
      <c r="A134">
        <v>51030303</v>
      </c>
      <c r="B134">
        <v>48</v>
      </c>
      <c r="C134">
        <v>20</v>
      </c>
      <c r="D134">
        <v>10</v>
      </c>
      <c r="E134" s="21">
        <f>D134/PARAMS_MODELO!$B$28</f>
        <v>0.33333333333333331</v>
      </c>
      <c r="F134">
        <v>22</v>
      </c>
      <c r="G134">
        <v>79</v>
      </c>
      <c r="H134">
        <v>72</v>
      </c>
      <c r="I134" s="20">
        <f t="shared" si="2"/>
        <v>0.91139240506329111</v>
      </c>
      <c r="J134" s="21">
        <f>(IFERROR(_xlfn.PERCENTRANK.INC($B$2:$B$1194,B134)*100,0)*PARAMS_MODELO!$B$25)+(IFERROR(_xlfn.PERCENTRANK.INC($C$2:$C$1194,C134)*100,0)*PARAMS_MODELO!$B$26)+(IFERROR(_xlfn.PERCENTRANK.INC($E$2:$E$1194,E134)*100,0)*PARAMS_MODELO!$B$27)+(IFERROR(_xlfn.PERCENTRANK.INC($F$2:$F$1194,F134)*100,0)*PARAMS_MODELO!$B$29)+(IFERROR(_xlfn.PERCENTRANK.INC($I$2:$I$1194,I134)*100,0)*PARAMS_MODELO!$B$31)</f>
        <v>46.76</v>
      </c>
    </row>
    <row r="135" spans="1:10" x14ac:dyDescent="0.3">
      <c r="A135">
        <v>51030613</v>
      </c>
      <c r="B135">
        <v>14</v>
      </c>
      <c r="C135">
        <v>20</v>
      </c>
      <c r="D135">
        <v>49</v>
      </c>
      <c r="E135" s="21">
        <f>D135/PARAMS_MODELO!$B$28</f>
        <v>1.6333333333333333</v>
      </c>
      <c r="F135">
        <v>83</v>
      </c>
      <c r="G135">
        <v>21</v>
      </c>
      <c r="H135">
        <v>2</v>
      </c>
      <c r="I135" s="20">
        <f t="shared" si="2"/>
        <v>9.5238095238095233E-2</v>
      </c>
      <c r="J135" s="21">
        <f>(IFERROR(_xlfn.PERCENTRANK.INC($B$2:$B$1194,B135)*100,0)*PARAMS_MODELO!$B$25)+(IFERROR(_xlfn.PERCENTRANK.INC($C$2:$C$1194,C135)*100,0)*PARAMS_MODELO!$B$26)+(IFERROR(_xlfn.PERCENTRANK.INC($E$2:$E$1194,E135)*100,0)*PARAMS_MODELO!$B$27)+(IFERROR(_xlfn.PERCENTRANK.INC($F$2:$F$1194,F135)*100,0)*PARAMS_MODELO!$B$29)+(IFERROR(_xlfn.PERCENTRANK.INC($I$2:$I$1194,I135)*100,0)*PARAMS_MODELO!$B$31)</f>
        <v>46.339999999999996</v>
      </c>
    </row>
    <row r="136" spans="1:10" x14ac:dyDescent="0.3">
      <c r="A136">
        <v>51033761</v>
      </c>
      <c r="B136">
        <v>96</v>
      </c>
      <c r="C136">
        <v>20</v>
      </c>
      <c r="D136">
        <v>15</v>
      </c>
      <c r="E136" s="21">
        <f>D136/PARAMS_MODELO!$B$28</f>
        <v>0.5</v>
      </c>
      <c r="F136">
        <v>29</v>
      </c>
      <c r="G136">
        <v>2</v>
      </c>
      <c r="H136">
        <v>1</v>
      </c>
      <c r="I136" s="20">
        <f t="shared" si="2"/>
        <v>0.5</v>
      </c>
      <c r="J136" s="21">
        <f>(IFERROR(_xlfn.PERCENTRANK.INC($B$2:$B$1194,B136)*100,0)*PARAMS_MODELO!$B$25)+(IFERROR(_xlfn.PERCENTRANK.INC($C$2:$C$1194,C136)*100,0)*PARAMS_MODELO!$B$26)+(IFERROR(_xlfn.PERCENTRANK.INC($E$2:$E$1194,E136)*100,0)*PARAMS_MODELO!$B$27)+(IFERROR(_xlfn.PERCENTRANK.INC($F$2:$F$1194,F136)*100,0)*PARAMS_MODELO!$B$29)+(IFERROR(_xlfn.PERCENTRANK.INC($I$2:$I$1194,I136)*100,0)*PARAMS_MODELO!$B$31)</f>
        <v>58.874999999999993</v>
      </c>
    </row>
    <row r="137" spans="1:10" x14ac:dyDescent="0.3">
      <c r="A137">
        <v>51023170</v>
      </c>
      <c r="B137">
        <v>44</v>
      </c>
      <c r="C137">
        <v>3</v>
      </c>
      <c r="D137">
        <v>13</v>
      </c>
      <c r="E137" s="21">
        <f>D137/PARAMS_MODELO!$B$28</f>
        <v>0.43333333333333335</v>
      </c>
      <c r="F137">
        <v>49</v>
      </c>
      <c r="G137">
        <v>61</v>
      </c>
      <c r="H137">
        <v>30</v>
      </c>
      <c r="I137" s="20">
        <f t="shared" si="2"/>
        <v>0.49180327868852458</v>
      </c>
      <c r="J137" s="21">
        <f>(IFERROR(_xlfn.PERCENTRANK.INC($B$2:$B$1194,B137)*100,0)*PARAMS_MODELO!$B$25)+(IFERROR(_xlfn.PERCENTRANK.INC($C$2:$C$1194,C137)*100,0)*PARAMS_MODELO!$B$26)+(IFERROR(_xlfn.PERCENTRANK.INC($E$2:$E$1194,E137)*100,0)*PARAMS_MODELO!$B$27)+(IFERROR(_xlfn.PERCENTRANK.INC($F$2:$F$1194,F137)*100,0)*PARAMS_MODELO!$B$29)+(IFERROR(_xlfn.PERCENTRANK.INC($I$2:$I$1194,I137)*100,0)*PARAMS_MODELO!$B$31)</f>
        <v>30.594999999999995</v>
      </c>
    </row>
    <row r="138" spans="1:10" x14ac:dyDescent="0.3">
      <c r="A138">
        <v>51030079</v>
      </c>
      <c r="B138">
        <v>51</v>
      </c>
      <c r="C138">
        <v>15</v>
      </c>
      <c r="D138">
        <v>79</v>
      </c>
      <c r="E138" s="21">
        <f>D138/PARAMS_MODELO!$B$28</f>
        <v>2.6333333333333333</v>
      </c>
      <c r="F138">
        <v>4</v>
      </c>
      <c r="G138">
        <v>70</v>
      </c>
      <c r="H138">
        <v>38</v>
      </c>
      <c r="I138" s="20">
        <f t="shared" si="2"/>
        <v>0.54285714285714282</v>
      </c>
      <c r="J138" s="21">
        <f>(IFERROR(_xlfn.PERCENTRANK.INC($B$2:$B$1194,B138)*100,0)*PARAMS_MODELO!$B$25)+(IFERROR(_xlfn.PERCENTRANK.INC($C$2:$C$1194,C138)*100,0)*PARAMS_MODELO!$B$26)+(IFERROR(_xlfn.PERCENTRANK.INC($E$2:$E$1194,E138)*100,0)*PARAMS_MODELO!$B$27)+(IFERROR(_xlfn.PERCENTRANK.INC($F$2:$F$1194,F138)*100,0)*PARAMS_MODELO!$B$29)+(IFERROR(_xlfn.PERCENTRANK.INC($I$2:$I$1194,I138)*100,0)*PARAMS_MODELO!$B$31)</f>
        <v>50.415000000000006</v>
      </c>
    </row>
    <row r="139" spans="1:10" x14ac:dyDescent="0.3">
      <c r="A139">
        <v>51034317</v>
      </c>
      <c r="B139">
        <v>74</v>
      </c>
      <c r="C139">
        <v>20</v>
      </c>
      <c r="D139">
        <v>1</v>
      </c>
      <c r="E139" s="21">
        <f>D139/PARAMS_MODELO!$B$28</f>
        <v>3.3333333333333333E-2</v>
      </c>
      <c r="F139">
        <v>13</v>
      </c>
      <c r="G139">
        <v>56</v>
      </c>
      <c r="H139">
        <v>42</v>
      </c>
      <c r="I139" s="20">
        <f t="shared" si="2"/>
        <v>0.75</v>
      </c>
      <c r="J139" s="21">
        <f>(IFERROR(_xlfn.PERCENTRANK.INC($B$2:$B$1194,B139)*100,0)*PARAMS_MODELO!$B$25)+(IFERROR(_xlfn.PERCENTRANK.INC($C$2:$C$1194,C139)*100,0)*PARAMS_MODELO!$B$26)+(IFERROR(_xlfn.PERCENTRANK.INC($E$2:$E$1194,E139)*100,0)*PARAMS_MODELO!$B$27)+(IFERROR(_xlfn.PERCENTRANK.INC($F$2:$F$1194,F139)*100,0)*PARAMS_MODELO!$B$29)+(IFERROR(_xlfn.PERCENTRANK.INC($I$2:$I$1194,I139)*100,0)*PARAMS_MODELO!$B$31)</f>
        <v>50.220000000000006</v>
      </c>
    </row>
    <row r="140" spans="1:10" x14ac:dyDescent="0.3">
      <c r="A140">
        <v>51012666</v>
      </c>
      <c r="B140">
        <v>99</v>
      </c>
      <c r="C140">
        <v>5</v>
      </c>
      <c r="D140">
        <v>93</v>
      </c>
      <c r="E140" s="21">
        <f>D140/PARAMS_MODELO!$B$28</f>
        <v>3.1</v>
      </c>
      <c r="F140">
        <v>30</v>
      </c>
      <c r="G140">
        <v>43</v>
      </c>
      <c r="H140">
        <v>42</v>
      </c>
      <c r="I140" s="20">
        <f t="shared" si="2"/>
        <v>0.97674418604651159</v>
      </c>
      <c r="J140" s="21">
        <f>(IFERROR(_xlfn.PERCENTRANK.INC($B$2:$B$1194,B140)*100,0)*PARAMS_MODELO!$B$25)+(IFERROR(_xlfn.PERCENTRANK.INC($C$2:$C$1194,C140)*100,0)*PARAMS_MODELO!$B$26)+(IFERROR(_xlfn.PERCENTRANK.INC($E$2:$E$1194,E140)*100,0)*PARAMS_MODELO!$B$27)+(IFERROR(_xlfn.PERCENTRANK.INC($F$2:$F$1194,F140)*100,0)*PARAMS_MODELO!$B$29)+(IFERROR(_xlfn.PERCENTRANK.INC($I$2:$I$1194,I140)*100,0)*PARAMS_MODELO!$B$31)</f>
        <v>66.27</v>
      </c>
    </row>
    <row r="141" spans="1:10" x14ac:dyDescent="0.3">
      <c r="A141">
        <v>51036247</v>
      </c>
      <c r="B141">
        <v>57</v>
      </c>
      <c r="C141">
        <v>17</v>
      </c>
      <c r="D141">
        <v>53</v>
      </c>
      <c r="E141" s="21">
        <f>D141/PARAMS_MODELO!$B$28</f>
        <v>1.7666666666666666</v>
      </c>
      <c r="F141">
        <v>28</v>
      </c>
      <c r="G141">
        <v>19</v>
      </c>
      <c r="H141">
        <v>8</v>
      </c>
      <c r="I141" s="20">
        <f t="shared" si="2"/>
        <v>0.42105263157894735</v>
      </c>
      <c r="J141" s="21">
        <f>(IFERROR(_xlfn.PERCENTRANK.INC($B$2:$B$1194,B141)*100,0)*PARAMS_MODELO!$B$25)+(IFERROR(_xlfn.PERCENTRANK.INC($C$2:$C$1194,C141)*100,0)*PARAMS_MODELO!$B$26)+(IFERROR(_xlfn.PERCENTRANK.INC($E$2:$E$1194,E141)*100,0)*PARAMS_MODELO!$B$27)+(IFERROR(_xlfn.PERCENTRANK.INC($F$2:$F$1194,F141)*100,0)*PARAMS_MODELO!$B$29)+(IFERROR(_xlfn.PERCENTRANK.INC($I$2:$I$1194,I141)*100,0)*PARAMS_MODELO!$B$31)</f>
        <v>50.934999999999995</v>
      </c>
    </row>
    <row r="142" spans="1:10" x14ac:dyDescent="0.3">
      <c r="A142">
        <v>51011325</v>
      </c>
      <c r="B142">
        <v>65</v>
      </c>
      <c r="C142">
        <v>19</v>
      </c>
      <c r="D142">
        <v>55</v>
      </c>
      <c r="E142" s="21">
        <f>D142/PARAMS_MODELO!$B$28</f>
        <v>1.8333333333333333</v>
      </c>
      <c r="F142">
        <v>21</v>
      </c>
      <c r="G142">
        <v>60</v>
      </c>
      <c r="H142">
        <v>54</v>
      </c>
      <c r="I142" s="20">
        <f t="shared" si="2"/>
        <v>0.9</v>
      </c>
      <c r="J142" s="21">
        <f>(IFERROR(_xlfn.PERCENTRANK.INC($B$2:$B$1194,B142)*100,0)*PARAMS_MODELO!$B$25)+(IFERROR(_xlfn.PERCENTRANK.INC($C$2:$C$1194,C142)*100,0)*PARAMS_MODELO!$B$26)+(IFERROR(_xlfn.PERCENTRANK.INC($E$2:$E$1194,E142)*100,0)*PARAMS_MODELO!$B$27)+(IFERROR(_xlfn.PERCENTRANK.INC($F$2:$F$1194,F142)*100,0)*PARAMS_MODELO!$B$29)+(IFERROR(_xlfn.PERCENTRANK.INC($I$2:$I$1194,I142)*100,0)*PARAMS_MODELO!$B$31)</f>
        <v>59.370000000000005</v>
      </c>
    </row>
    <row r="143" spans="1:10" x14ac:dyDescent="0.3">
      <c r="A143">
        <v>51004469</v>
      </c>
      <c r="B143">
        <v>3</v>
      </c>
      <c r="C143">
        <v>5</v>
      </c>
      <c r="D143">
        <v>5</v>
      </c>
      <c r="E143" s="21">
        <f>D143/PARAMS_MODELO!$B$28</f>
        <v>0.16666666666666666</v>
      </c>
      <c r="F143">
        <v>73</v>
      </c>
      <c r="G143">
        <v>13</v>
      </c>
      <c r="H143">
        <v>11</v>
      </c>
      <c r="I143" s="20">
        <f t="shared" si="2"/>
        <v>0.84615384615384615</v>
      </c>
      <c r="J143" s="21">
        <f>(IFERROR(_xlfn.PERCENTRANK.INC($B$2:$B$1194,B143)*100,0)*PARAMS_MODELO!$B$25)+(IFERROR(_xlfn.PERCENTRANK.INC($C$2:$C$1194,C143)*100,0)*PARAMS_MODELO!$B$26)+(IFERROR(_xlfn.PERCENTRANK.INC($E$2:$E$1194,E143)*100,0)*PARAMS_MODELO!$B$27)+(IFERROR(_xlfn.PERCENTRANK.INC($F$2:$F$1194,F143)*100,0)*PARAMS_MODELO!$B$29)+(IFERROR(_xlfn.PERCENTRANK.INC($I$2:$I$1194,I143)*100,0)*PARAMS_MODELO!$B$31)</f>
        <v>25.655000000000001</v>
      </c>
    </row>
    <row r="144" spans="1:10" x14ac:dyDescent="0.3">
      <c r="A144">
        <v>51020251</v>
      </c>
      <c r="B144">
        <v>30</v>
      </c>
      <c r="C144">
        <v>18</v>
      </c>
      <c r="D144">
        <v>47</v>
      </c>
      <c r="E144" s="21">
        <f>D144/PARAMS_MODELO!$B$28</f>
        <v>1.5666666666666667</v>
      </c>
      <c r="F144">
        <v>56</v>
      </c>
      <c r="G144">
        <v>68</v>
      </c>
      <c r="H144">
        <v>43</v>
      </c>
      <c r="I144" s="20">
        <f t="shared" si="2"/>
        <v>0.63235294117647056</v>
      </c>
      <c r="J144" s="21">
        <f>(IFERROR(_xlfn.PERCENTRANK.INC($B$2:$B$1194,B144)*100,0)*PARAMS_MODELO!$B$25)+(IFERROR(_xlfn.PERCENTRANK.INC($C$2:$C$1194,C144)*100,0)*PARAMS_MODELO!$B$26)+(IFERROR(_xlfn.PERCENTRANK.INC($E$2:$E$1194,E144)*100,0)*PARAMS_MODELO!$B$27)+(IFERROR(_xlfn.PERCENTRANK.INC($F$2:$F$1194,F144)*100,0)*PARAMS_MODELO!$B$29)+(IFERROR(_xlfn.PERCENTRANK.INC($I$2:$I$1194,I144)*100,0)*PARAMS_MODELO!$B$31)</f>
        <v>49.715000000000003</v>
      </c>
    </row>
    <row r="145" spans="1:10" x14ac:dyDescent="0.3">
      <c r="A145">
        <v>51016793</v>
      </c>
      <c r="B145">
        <v>36</v>
      </c>
      <c r="C145">
        <v>8</v>
      </c>
      <c r="D145">
        <v>1</v>
      </c>
      <c r="E145" s="21">
        <f>D145/PARAMS_MODELO!$B$28</f>
        <v>3.3333333333333333E-2</v>
      </c>
      <c r="F145">
        <v>54</v>
      </c>
      <c r="G145">
        <v>77</v>
      </c>
      <c r="H145">
        <v>73</v>
      </c>
      <c r="I145" s="20">
        <f t="shared" si="2"/>
        <v>0.94805194805194803</v>
      </c>
      <c r="J145" s="21">
        <f>(IFERROR(_xlfn.PERCENTRANK.INC($B$2:$B$1194,B145)*100,0)*PARAMS_MODELO!$B$25)+(IFERROR(_xlfn.PERCENTRANK.INC($C$2:$C$1194,C145)*100,0)*PARAMS_MODELO!$B$26)+(IFERROR(_xlfn.PERCENTRANK.INC($E$2:$E$1194,E145)*100,0)*PARAMS_MODELO!$B$27)+(IFERROR(_xlfn.PERCENTRANK.INC($F$2:$F$1194,F145)*100,0)*PARAMS_MODELO!$B$29)+(IFERROR(_xlfn.PERCENTRANK.INC($I$2:$I$1194,I145)*100,0)*PARAMS_MODELO!$B$31)</f>
        <v>35.54</v>
      </c>
    </row>
    <row r="146" spans="1:10" x14ac:dyDescent="0.3">
      <c r="A146">
        <v>51015401</v>
      </c>
      <c r="B146">
        <v>42</v>
      </c>
      <c r="C146">
        <v>16</v>
      </c>
      <c r="D146">
        <v>59</v>
      </c>
      <c r="E146" s="21">
        <f>D146/PARAMS_MODELO!$B$28</f>
        <v>1.9666666666666666</v>
      </c>
      <c r="F146">
        <v>43</v>
      </c>
      <c r="G146">
        <v>45</v>
      </c>
      <c r="H146">
        <v>22</v>
      </c>
      <c r="I146" s="20">
        <f t="shared" si="2"/>
        <v>0.48888888888888887</v>
      </c>
      <c r="J146" s="21">
        <f>(IFERROR(_xlfn.PERCENTRANK.INC($B$2:$B$1194,B146)*100,0)*PARAMS_MODELO!$B$25)+(IFERROR(_xlfn.PERCENTRANK.INC($C$2:$C$1194,C146)*100,0)*PARAMS_MODELO!$B$26)+(IFERROR(_xlfn.PERCENTRANK.INC($E$2:$E$1194,E146)*100,0)*PARAMS_MODELO!$B$27)+(IFERROR(_xlfn.PERCENTRANK.INC($F$2:$F$1194,F146)*100,0)*PARAMS_MODELO!$B$29)+(IFERROR(_xlfn.PERCENTRANK.INC($I$2:$I$1194,I146)*100,0)*PARAMS_MODELO!$B$31)</f>
        <v>49.814999999999991</v>
      </c>
    </row>
    <row r="147" spans="1:10" x14ac:dyDescent="0.3">
      <c r="A147">
        <v>51056281</v>
      </c>
      <c r="B147">
        <v>17</v>
      </c>
      <c r="C147">
        <v>11</v>
      </c>
      <c r="D147">
        <v>10</v>
      </c>
      <c r="E147" s="21">
        <f>D147/PARAMS_MODELO!$B$28</f>
        <v>0.33333333333333331</v>
      </c>
      <c r="F147">
        <v>74</v>
      </c>
      <c r="G147">
        <v>41</v>
      </c>
      <c r="H147">
        <v>7</v>
      </c>
      <c r="I147" s="20">
        <f t="shared" si="2"/>
        <v>0.17073170731707318</v>
      </c>
      <c r="J147" s="21">
        <f>(IFERROR(_xlfn.PERCENTRANK.INC($B$2:$B$1194,B147)*100,0)*PARAMS_MODELO!$B$25)+(IFERROR(_xlfn.PERCENTRANK.INC($C$2:$C$1194,C147)*100,0)*PARAMS_MODELO!$B$26)+(IFERROR(_xlfn.PERCENTRANK.INC($E$2:$E$1194,E147)*100,0)*PARAMS_MODELO!$B$27)+(IFERROR(_xlfn.PERCENTRANK.INC($F$2:$F$1194,F147)*100,0)*PARAMS_MODELO!$B$29)+(IFERROR(_xlfn.PERCENTRANK.INC($I$2:$I$1194,I147)*100,0)*PARAMS_MODELO!$B$31)</f>
        <v>29.895</v>
      </c>
    </row>
    <row r="148" spans="1:10" x14ac:dyDescent="0.3">
      <c r="A148">
        <v>51055012</v>
      </c>
      <c r="B148">
        <v>91</v>
      </c>
      <c r="C148">
        <v>7</v>
      </c>
      <c r="D148">
        <v>50</v>
      </c>
      <c r="E148" s="21">
        <f>D148/PARAMS_MODELO!$B$28</f>
        <v>1.6666666666666667</v>
      </c>
      <c r="F148">
        <v>79</v>
      </c>
      <c r="G148">
        <v>37</v>
      </c>
      <c r="H148">
        <v>15</v>
      </c>
      <c r="I148" s="20">
        <f t="shared" si="2"/>
        <v>0.40540540540540543</v>
      </c>
      <c r="J148" s="21">
        <f>(IFERROR(_xlfn.PERCENTRANK.INC($B$2:$B$1194,B148)*100,0)*PARAMS_MODELO!$B$25)+(IFERROR(_xlfn.PERCENTRANK.INC($C$2:$C$1194,C148)*100,0)*PARAMS_MODELO!$B$26)+(IFERROR(_xlfn.PERCENTRANK.INC($E$2:$E$1194,E148)*100,0)*PARAMS_MODELO!$B$27)+(IFERROR(_xlfn.PERCENTRANK.INC($F$2:$F$1194,F148)*100,0)*PARAMS_MODELO!$B$29)+(IFERROR(_xlfn.PERCENTRANK.INC($I$2:$I$1194,I148)*100,0)*PARAMS_MODELO!$B$31)</f>
        <v>59.114999999999995</v>
      </c>
    </row>
    <row r="149" spans="1:10" x14ac:dyDescent="0.3">
      <c r="A149">
        <v>51006615</v>
      </c>
      <c r="B149">
        <v>95</v>
      </c>
      <c r="C149">
        <v>3</v>
      </c>
      <c r="D149">
        <v>23</v>
      </c>
      <c r="E149" s="21">
        <f>D149/PARAMS_MODELO!$B$28</f>
        <v>0.76666666666666672</v>
      </c>
      <c r="F149">
        <v>75</v>
      </c>
      <c r="G149">
        <v>21</v>
      </c>
      <c r="H149">
        <v>15</v>
      </c>
      <c r="I149" s="20">
        <f t="shared" si="2"/>
        <v>0.7142857142857143</v>
      </c>
      <c r="J149" s="21">
        <f>(IFERROR(_xlfn.PERCENTRANK.INC($B$2:$B$1194,B149)*100,0)*PARAMS_MODELO!$B$25)+(IFERROR(_xlfn.PERCENTRANK.INC($C$2:$C$1194,C149)*100,0)*PARAMS_MODELO!$B$26)+(IFERROR(_xlfn.PERCENTRANK.INC($E$2:$E$1194,E149)*100,0)*PARAMS_MODELO!$B$27)+(IFERROR(_xlfn.PERCENTRANK.INC($F$2:$F$1194,F149)*100,0)*PARAMS_MODELO!$B$29)+(IFERROR(_xlfn.PERCENTRANK.INC($I$2:$I$1194,I149)*100,0)*PARAMS_MODELO!$B$31)</f>
        <v>53.610000000000007</v>
      </c>
    </row>
    <row r="150" spans="1:10" x14ac:dyDescent="0.3">
      <c r="A150">
        <v>51011724</v>
      </c>
      <c r="B150">
        <v>11</v>
      </c>
      <c r="C150">
        <v>14</v>
      </c>
      <c r="D150">
        <v>90</v>
      </c>
      <c r="E150" s="21">
        <f>D150/PARAMS_MODELO!$B$28</f>
        <v>3</v>
      </c>
      <c r="F150">
        <v>34</v>
      </c>
      <c r="G150">
        <v>80</v>
      </c>
      <c r="H150">
        <v>26</v>
      </c>
      <c r="I150" s="20">
        <f t="shared" si="2"/>
        <v>0.32500000000000001</v>
      </c>
      <c r="J150" s="21">
        <f>(IFERROR(_xlfn.PERCENTRANK.INC($B$2:$B$1194,B150)*100,0)*PARAMS_MODELO!$B$25)+(IFERROR(_xlfn.PERCENTRANK.INC($C$2:$C$1194,C150)*100,0)*PARAMS_MODELO!$B$26)+(IFERROR(_xlfn.PERCENTRANK.INC($E$2:$E$1194,E150)*100,0)*PARAMS_MODELO!$B$27)+(IFERROR(_xlfn.PERCENTRANK.INC($F$2:$F$1194,F150)*100,0)*PARAMS_MODELO!$B$29)+(IFERROR(_xlfn.PERCENTRANK.INC($I$2:$I$1194,I150)*100,0)*PARAMS_MODELO!$B$31)</f>
        <v>42.425000000000004</v>
      </c>
    </row>
    <row r="151" spans="1:10" x14ac:dyDescent="0.3">
      <c r="A151">
        <v>51010469</v>
      </c>
      <c r="B151">
        <v>74</v>
      </c>
      <c r="C151">
        <v>9</v>
      </c>
      <c r="D151">
        <v>84</v>
      </c>
      <c r="E151" s="21">
        <f>D151/PARAMS_MODELO!$B$28</f>
        <v>2.8</v>
      </c>
      <c r="F151">
        <v>22</v>
      </c>
      <c r="G151">
        <v>58</v>
      </c>
      <c r="H151">
        <v>2</v>
      </c>
      <c r="I151" s="20">
        <f t="shared" si="2"/>
        <v>3.4482758620689655E-2</v>
      </c>
      <c r="J151" s="21">
        <f>(IFERROR(_xlfn.PERCENTRANK.INC($B$2:$B$1194,B151)*100,0)*PARAMS_MODELO!$B$25)+(IFERROR(_xlfn.PERCENTRANK.INC($C$2:$C$1194,C151)*100,0)*PARAMS_MODELO!$B$26)+(IFERROR(_xlfn.PERCENTRANK.INC($E$2:$E$1194,E151)*100,0)*PARAMS_MODELO!$B$27)+(IFERROR(_xlfn.PERCENTRANK.INC($F$2:$F$1194,F151)*100,0)*PARAMS_MODELO!$B$29)+(IFERROR(_xlfn.PERCENTRANK.INC($I$2:$I$1194,I151)*100,0)*PARAMS_MODELO!$B$31)</f>
        <v>50.214999999999996</v>
      </c>
    </row>
    <row r="152" spans="1:10" x14ac:dyDescent="0.3">
      <c r="A152">
        <v>51056191</v>
      </c>
      <c r="B152">
        <v>41</v>
      </c>
      <c r="C152">
        <v>14</v>
      </c>
      <c r="D152">
        <v>72</v>
      </c>
      <c r="E152" s="21">
        <f>D152/PARAMS_MODELO!$B$28</f>
        <v>2.4</v>
      </c>
      <c r="F152">
        <v>29</v>
      </c>
      <c r="G152">
        <v>73</v>
      </c>
      <c r="H152">
        <v>70</v>
      </c>
      <c r="I152" s="20">
        <f t="shared" si="2"/>
        <v>0.95890410958904104</v>
      </c>
      <c r="J152" s="21">
        <f>(IFERROR(_xlfn.PERCENTRANK.INC($B$2:$B$1194,B152)*100,0)*PARAMS_MODELO!$B$25)+(IFERROR(_xlfn.PERCENTRANK.INC($C$2:$C$1194,C152)*100,0)*PARAMS_MODELO!$B$26)+(IFERROR(_xlfn.PERCENTRANK.INC($E$2:$E$1194,E152)*100,0)*PARAMS_MODELO!$B$27)+(IFERROR(_xlfn.PERCENTRANK.INC($F$2:$F$1194,F152)*100,0)*PARAMS_MODELO!$B$29)+(IFERROR(_xlfn.PERCENTRANK.INC($I$2:$I$1194,I152)*100,0)*PARAMS_MODELO!$B$31)</f>
        <v>52.965000000000003</v>
      </c>
    </row>
    <row r="153" spans="1:10" x14ac:dyDescent="0.3">
      <c r="A153">
        <v>51023781</v>
      </c>
      <c r="B153">
        <v>62</v>
      </c>
      <c r="C153">
        <v>1</v>
      </c>
      <c r="D153">
        <v>97</v>
      </c>
      <c r="E153" s="21">
        <f>D153/PARAMS_MODELO!$B$28</f>
        <v>3.2333333333333334</v>
      </c>
      <c r="F153">
        <v>99</v>
      </c>
      <c r="G153">
        <v>45</v>
      </c>
      <c r="H153">
        <v>16</v>
      </c>
      <c r="I153" s="20">
        <f t="shared" si="2"/>
        <v>0.35555555555555557</v>
      </c>
      <c r="J153" s="21">
        <f>(IFERROR(_xlfn.PERCENTRANK.INC($B$2:$B$1194,B153)*100,0)*PARAMS_MODELO!$B$25)+(IFERROR(_xlfn.PERCENTRANK.INC($C$2:$C$1194,C153)*100,0)*PARAMS_MODELO!$B$26)+(IFERROR(_xlfn.PERCENTRANK.INC($E$2:$E$1194,E153)*100,0)*PARAMS_MODELO!$B$27)+(IFERROR(_xlfn.PERCENTRANK.INC($F$2:$F$1194,F153)*100,0)*PARAMS_MODELO!$B$29)+(IFERROR(_xlfn.PERCENTRANK.INC($I$2:$I$1194,I153)*100,0)*PARAMS_MODELO!$B$31)</f>
        <v>56.41</v>
      </c>
    </row>
    <row r="154" spans="1:10" x14ac:dyDescent="0.3">
      <c r="A154">
        <v>51056221</v>
      </c>
      <c r="B154">
        <v>15</v>
      </c>
      <c r="C154">
        <v>21</v>
      </c>
      <c r="D154">
        <v>80</v>
      </c>
      <c r="E154" s="21">
        <f>D154/PARAMS_MODELO!$B$28</f>
        <v>2.6666666666666665</v>
      </c>
      <c r="F154">
        <v>5</v>
      </c>
      <c r="G154">
        <v>2</v>
      </c>
      <c r="H154">
        <v>0</v>
      </c>
      <c r="I154" s="20">
        <f t="shared" si="2"/>
        <v>0</v>
      </c>
      <c r="J154" s="21">
        <f>(IFERROR(_xlfn.PERCENTRANK.INC($B$2:$B$1194,B154)*100,0)*PARAMS_MODELO!$B$25)+(IFERROR(_xlfn.PERCENTRANK.INC($C$2:$C$1194,C154)*100,0)*PARAMS_MODELO!$B$26)+(IFERROR(_xlfn.PERCENTRANK.INC($E$2:$E$1194,E154)*100,0)*PARAMS_MODELO!$B$27)+(IFERROR(_xlfn.PERCENTRANK.INC($F$2:$F$1194,F154)*100,0)*PARAMS_MODELO!$B$29)+(IFERROR(_xlfn.PERCENTRANK.INC($I$2:$I$1194,I154)*100,0)*PARAMS_MODELO!$B$31)</f>
        <v>40.645000000000003</v>
      </c>
    </row>
    <row r="155" spans="1:10" x14ac:dyDescent="0.3">
      <c r="A155">
        <v>51018443</v>
      </c>
      <c r="B155">
        <v>73</v>
      </c>
      <c r="C155">
        <v>23</v>
      </c>
      <c r="D155">
        <v>55</v>
      </c>
      <c r="E155" s="21">
        <f>D155/PARAMS_MODELO!$B$28</f>
        <v>1.8333333333333333</v>
      </c>
      <c r="F155">
        <v>33</v>
      </c>
      <c r="G155">
        <v>21</v>
      </c>
      <c r="H155">
        <v>11</v>
      </c>
      <c r="I155" s="20">
        <f t="shared" si="2"/>
        <v>0.52380952380952384</v>
      </c>
      <c r="J155" s="21">
        <f>(IFERROR(_xlfn.PERCENTRANK.INC($B$2:$B$1194,B155)*100,0)*PARAMS_MODELO!$B$25)+(IFERROR(_xlfn.PERCENTRANK.INC($C$2:$C$1194,C155)*100,0)*PARAMS_MODELO!$B$26)+(IFERROR(_xlfn.PERCENTRANK.INC($E$2:$E$1194,E155)*100,0)*PARAMS_MODELO!$B$27)+(IFERROR(_xlfn.PERCENTRANK.INC($F$2:$F$1194,F155)*100,0)*PARAMS_MODELO!$B$29)+(IFERROR(_xlfn.PERCENTRANK.INC($I$2:$I$1194,I155)*100,0)*PARAMS_MODELO!$B$31)</f>
        <v>64.525000000000006</v>
      </c>
    </row>
    <row r="156" spans="1:10" x14ac:dyDescent="0.3">
      <c r="A156">
        <v>51023757</v>
      </c>
      <c r="B156">
        <v>72</v>
      </c>
      <c r="C156">
        <v>22</v>
      </c>
      <c r="D156">
        <v>15</v>
      </c>
      <c r="E156" s="21">
        <f>D156/PARAMS_MODELO!$B$28</f>
        <v>0.5</v>
      </c>
      <c r="F156">
        <v>89</v>
      </c>
      <c r="G156">
        <v>96</v>
      </c>
      <c r="H156">
        <v>67</v>
      </c>
      <c r="I156" s="20">
        <f t="shared" si="2"/>
        <v>0.69791666666666663</v>
      </c>
      <c r="J156" s="21">
        <f>(IFERROR(_xlfn.PERCENTRANK.INC($B$2:$B$1194,B156)*100,0)*PARAMS_MODELO!$B$25)+(IFERROR(_xlfn.PERCENTRANK.INC($C$2:$C$1194,C156)*100,0)*PARAMS_MODELO!$B$26)+(IFERROR(_xlfn.PERCENTRANK.INC($E$2:$E$1194,E156)*100,0)*PARAMS_MODELO!$B$27)+(IFERROR(_xlfn.PERCENTRANK.INC($F$2:$F$1194,F156)*100,0)*PARAMS_MODELO!$B$29)+(IFERROR(_xlfn.PERCENTRANK.INC($I$2:$I$1194,I156)*100,0)*PARAMS_MODELO!$B$31)</f>
        <v>65.234999999999999</v>
      </c>
    </row>
    <row r="157" spans="1:10" x14ac:dyDescent="0.3">
      <c r="A157">
        <v>51055357</v>
      </c>
      <c r="B157">
        <v>45</v>
      </c>
      <c r="C157">
        <v>25</v>
      </c>
      <c r="D157">
        <v>68</v>
      </c>
      <c r="E157" s="21">
        <f>D157/PARAMS_MODELO!$B$28</f>
        <v>2.2666666666666666</v>
      </c>
      <c r="F157">
        <v>68</v>
      </c>
      <c r="G157">
        <v>28</v>
      </c>
      <c r="H157">
        <v>1</v>
      </c>
      <c r="I157" s="20">
        <f t="shared" si="2"/>
        <v>3.5714285714285712E-2</v>
      </c>
      <c r="J157" s="21">
        <f>(IFERROR(_xlfn.PERCENTRANK.INC($B$2:$B$1194,B157)*100,0)*PARAMS_MODELO!$B$25)+(IFERROR(_xlfn.PERCENTRANK.INC($C$2:$C$1194,C157)*100,0)*PARAMS_MODELO!$B$26)+(IFERROR(_xlfn.PERCENTRANK.INC($E$2:$E$1194,E157)*100,0)*PARAMS_MODELO!$B$27)+(IFERROR(_xlfn.PERCENTRANK.INC($F$2:$F$1194,F157)*100,0)*PARAMS_MODELO!$B$29)+(IFERROR(_xlfn.PERCENTRANK.INC($I$2:$I$1194,I157)*100,0)*PARAMS_MODELO!$B$31)</f>
        <v>61.264999999999993</v>
      </c>
    </row>
    <row r="158" spans="1:10" x14ac:dyDescent="0.3">
      <c r="A158">
        <v>51021576</v>
      </c>
      <c r="B158">
        <v>20</v>
      </c>
      <c r="C158">
        <v>16</v>
      </c>
      <c r="D158">
        <v>100</v>
      </c>
      <c r="E158" s="21">
        <f>D158/PARAMS_MODELO!$B$28</f>
        <v>3.3333333333333335</v>
      </c>
      <c r="F158">
        <v>6</v>
      </c>
      <c r="G158">
        <v>99</v>
      </c>
      <c r="H158">
        <v>92</v>
      </c>
      <c r="I158" s="20">
        <f t="shared" si="2"/>
        <v>0.92929292929292928</v>
      </c>
      <c r="J158" s="21">
        <f>(IFERROR(_xlfn.PERCENTRANK.INC($B$2:$B$1194,B158)*100,0)*PARAMS_MODELO!$B$25)+(IFERROR(_xlfn.PERCENTRANK.INC($C$2:$C$1194,C158)*100,0)*PARAMS_MODELO!$B$26)+(IFERROR(_xlfn.PERCENTRANK.INC($E$2:$E$1194,E158)*100,0)*PARAMS_MODELO!$B$27)+(IFERROR(_xlfn.PERCENTRANK.INC($F$2:$F$1194,F158)*100,0)*PARAMS_MODELO!$B$29)+(IFERROR(_xlfn.PERCENTRANK.INC($I$2:$I$1194,I158)*100,0)*PARAMS_MODELO!$B$31)</f>
        <v>50.49</v>
      </c>
    </row>
    <row r="159" spans="1:10" x14ac:dyDescent="0.3">
      <c r="A159">
        <v>51018591</v>
      </c>
      <c r="B159">
        <v>52</v>
      </c>
      <c r="C159">
        <v>21</v>
      </c>
      <c r="D159">
        <v>49</v>
      </c>
      <c r="E159" s="21">
        <f>D159/PARAMS_MODELO!$B$28</f>
        <v>1.6333333333333333</v>
      </c>
      <c r="F159">
        <v>97</v>
      </c>
      <c r="G159">
        <v>93</v>
      </c>
      <c r="H159">
        <v>50</v>
      </c>
      <c r="I159" s="20">
        <f t="shared" si="2"/>
        <v>0.5376344086021505</v>
      </c>
      <c r="J159" s="21">
        <f>(IFERROR(_xlfn.PERCENTRANK.INC($B$2:$B$1194,B159)*100,0)*PARAMS_MODELO!$B$25)+(IFERROR(_xlfn.PERCENTRANK.INC($C$2:$C$1194,C159)*100,0)*PARAMS_MODELO!$B$26)+(IFERROR(_xlfn.PERCENTRANK.INC($E$2:$E$1194,E159)*100,0)*PARAMS_MODELO!$B$27)+(IFERROR(_xlfn.PERCENTRANK.INC($F$2:$F$1194,F159)*100,0)*PARAMS_MODELO!$B$29)+(IFERROR(_xlfn.PERCENTRANK.INC($I$2:$I$1194,I159)*100,0)*PARAMS_MODELO!$B$31)</f>
        <v>64.680000000000007</v>
      </c>
    </row>
    <row r="160" spans="1:10" x14ac:dyDescent="0.3">
      <c r="A160">
        <v>51023471</v>
      </c>
      <c r="B160">
        <v>43</v>
      </c>
      <c r="C160">
        <v>13</v>
      </c>
      <c r="D160">
        <v>0</v>
      </c>
      <c r="E160" s="21">
        <f>D160/PARAMS_MODELO!$B$28</f>
        <v>0</v>
      </c>
      <c r="F160">
        <v>4</v>
      </c>
      <c r="G160">
        <v>71</v>
      </c>
      <c r="H160">
        <v>25</v>
      </c>
      <c r="I160" s="20">
        <f t="shared" si="2"/>
        <v>0.352112676056338</v>
      </c>
      <c r="J160" s="21">
        <f>(IFERROR(_xlfn.PERCENTRANK.INC($B$2:$B$1194,B160)*100,0)*PARAMS_MODELO!$B$25)+(IFERROR(_xlfn.PERCENTRANK.INC($C$2:$C$1194,C160)*100,0)*PARAMS_MODELO!$B$26)+(IFERROR(_xlfn.PERCENTRANK.INC($E$2:$E$1194,E160)*100,0)*PARAMS_MODELO!$B$27)+(IFERROR(_xlfn.PERCENTRANK.INC($F$2:$F$1194,F160)*100,0)*PARAMS_MODELO!$B$29)+(IFERROR(_xlfn.PERCENTRANK.INC($I$2:$I$1194,I160)*100,0)*PARAMS_MODELO!$B$31)</f>
        <v>28.8</v>
      </c>
    </row>
    <row r="161" spans="1:10" x14ac:dyDescent="0.3">
      <c r="A161">
        <v>51031393</v>
      </c>
      <c r="B161">
        <v>72</v>
      </c>
      <c r="C161">
        <v>10</v>
      </c>
      <c r="D161">
        <v>42</v>
      </c>
      <c r="E161" s="21">
        <f>D161/PARAMS_MODELO!$B$28</f>
        <v>1.4</v>
      </c>
      <c r="F161">
        <v>36</v>
      </c>
      <c r="G161">
        <v>59</v>
      </c>
      <c r="H161">
        <v>29</v>
      </c>
      <c r="I161" s="20">
        <f t="shared" si="2"/>
        <v>0.49152542372881358</v>
      </c>
      <c r="J161" s="21">
        <f>(IFERROR(_xlfn.PERCENTRANK.INC($B$2:$B$1194,B161)*100,0)*PARAMS_MODELO!$B$25)+(IFERROR(_xlfn.PERCENTRANK.INC($C$2:$C$1194,C161)*100,0)*PARAMS_MODELO!$B$26)+(IFERROR(_xlfn.PERCENTRANK.INC($E$2:$E$1194,E161)*100,0)*PARAMS_MODELO!$B$27)+(IFERROR(_xlfn.PERCENTRANK.INC($F$2:$F$1194,F161)*100,0)*PARAMS_MODELO!$B$29)+(IFERROR(_xlfn.PERCENTRANK.INC($I$2:$I$1194,I161)*100,0)*PARAMS_MODELO!$B$31)</f>
        <v>49.12</v>
      </c>
    </row>
    <row r="162" spans="1:10" x14ac:dyDescent="0.3">
      <c r="A162">
        <v>51025971</v>
      </c>
      <c r="B162">
        <v>100</v>
      </c>
      <c r="C162">
        <v>4</v>
      </c>
      <c r="D162">
        <v>33</v>
      </c>
      <c r="E162" s="21">
        <f>D162/PARAMS_MODELO!$B$28</f>
        <v>1.1000000000000001</v>
      </c>
      <c r="F162">
        <v>19</v>
      </c>
      <c r="G162">
        <v>58</v>
      </c>
      <c r="H162">
        <v>50</v>
      </c>
      <c r="I162" s="20">
        <f t="shared" si="2"/>
        <v>0.86206896551724133</v>
      </c>
      <c r="J162" s="21">
        <f>(IFERROR(_xlfn.PERCENTRANK.INC($B$2:$B$1194,B162)*100,0)*PARAMS_MODELO!$B$25)+(IFERROR(_xlfn.PERCENTRANK.INC($C$2:$C$1194,C162)*100,0)*PARAMS_MODELO!$B$26)+(IFERROR(_xlfn.PERCENTRANK.INC($E$2:$E$1194,E162)*100,0)*PARAMS_MODELO!$B$27)+(IFERROR(_xlfn.PERCENTRANK.INC($F$2:$F$1194,F162)*100,0)*PARAMS_MODELO!$B$29)+(IFERROR(_xlfn.PERCENTRANK.INC($I$2:$I$1194,I162)*100,0)*PARAMS_MODELO!$B$31)</f>
        <v>50.964999999999996</v>
      </c>
    </row>
    <row r="163" spans="1:10" x14ac:dyDescent="0.3">
      <c r="A163">
        <v>51020880</v>
      </c>
      <c r="B163">
        <v>21</v>
      </c>
      <c r="C163">
        <v>25</v>
      </c>
      <c r="D163">
        <v>59</v>
      </c>
      <c r="E163" s="21">
        <f>D163/PARAMS_MODELO!$B$28</f>
        <v>1.9666666666666666</v>
      </c>
      <c r="F163">
        <v>26</v>
      </c>
      <c r="G163">
        <v>76</v>
      </c>
      <c r="H163">
        <v>33</v>
      </c>
      <c r="I163" s="20">
        <f t="shared" si="2"/>
        <v>0.43421052631578949</v>
      </c>
      <c r="J163" s="21">
        <f>(IFERROR(_xlfn.PERCENTRANK.INC($B$2:$B$1194,B163)*100,0)*PARAMS_MODELO!$B$25)+(IFERROR(_xlfn.PERCENTRANK.INC($C$2:$C$1194,C163)*100,0)*PARAMS_MODELO!$B$26)+(IFERROR(_xlfn.PERCENTRANK.INC($E$2:$E$1194,E163)*100,0)*PARAMS_MODELO!$B$27)+(IFERROR(_xlfn.PERCENTRANK.INC($F$2:$F$1194,F163)*100,0)*PARAMS_MODELO!$B$29)+(IFERROR(_xlfn.PERCENTRANK.INC($I$2:$I$1194,I163)*100,0)*PARAMS_MODELO!$B$31)</f>
        <v>49.5</v>
      </c>
    </row>
    <row r="164" spans="1:10" x14ac:dyDescent="0.3">
      <c r="A164">
        <v>51023056</v>
      </c>
      <c r="B164">
        <v>3</v>
      </c>
      <c r="C164">
        <v>13</v>
      </c>
      <c r="D164">
        <v>42</v>
      </c>
      <c r="E164" s="21">
        <f>D164/PARAMS_MODELO!$B$28</f>
        <v>1.4</v>
      </c>
      <c r="F164">
        <v>37</v>
      </c>
      <c r="G164">
        <v>24</v>
      </c>
      <c r="H164">
        <v>2</v>
      </c>
      <c r="I164" s="20">
        <f t="shared" si="2"/>
        <v>8.3333333333333329E-2</v>
      </c>
      <c r="J164" s="21">
        <f>(IFERROR(_xlfn.PERCENTRANK.INC($B$2:$B$1194,B164)*100,0)*PARAMS_MODELO!$B$25)+(IFERROR(_xlfn.PERCENTRANK.INC($C$2:$C$1194,C164)*100,0)*PARAMS_MODELO!$B$26)+(IFERROR(_xlfn.PERCENTRANK.INC($E$2:$E$1194,E164)*100,0)*PARAMS_MODELO!$B$27)+(IFERROR(_xlfn.PERCENTRANK.INC($F$2:$F$1194,F164)*100,0)*PARAMS_MODELO!$B$29)+(IFERROR(_xlfn.PERCENTRANK.INC($I$2:$I$1194,I164)*100,0)*PARAMS_MODELO!$B$31)</f>
        <v>27.495000000000001</v>
      </c>
    </row>
    <row r="165" spans="1:10" x14ac:dyDescent="0.3">
      <c r="A165">
        <v>51022688</v>
      </c>
      <c r="B165">
        <v>88</v>
      </c>
      <c r="C165">
        <v>19</v>
      </c>
      <c r="D165">
        <v>85</v>
      </c>
      <c r="E165" s="21">
        <f>D165/PARAMS_MODELO!$B$28</f>
        <v>2.8333333333333335</v>
      </c>
      <c r="F165">
        <v>4</v>
      </c>
      <c r="G165">
        <v>90</v>
      </c>
      <c r="H165">
        <v>4</v>
      </c>
      <c r="I165" s="20">
        <f t="shared" si="2"/>
        <v>4.4444444444444446E-2</v>
      </c>
      <c r="J165" s="21">
        <f>(IFERROR(_xlfn.PERCENTRANK.INC($B$2:$B$1194,B165)*100,0)*PARAMS_MODELO!$B$25)+(IFERROR(_xlfn.PERCENTRANK.INC($C$2:$C$1194,C165)*100,0)*PARAMS_MODELO!$B$26)+(IFERROR(_xlfn.PERCENTRANK.INC($E$2:$E$1194,E165)*100,0)*PARAMS_MODELO!$B$27)+(IFERROR(_xlfn.PERCENTRANK.INC($F$2:$F$1194,F165)*100,0)*PARAMS_MODELO!$B$29)+(IFERROR(_xlfn.PERCENTRANK.INC($I$2:$I$1194,I165)*100,0)*PARAMS_MODELO!$B$31)</f>
        <v>61.390000000000008</v>
      </c>
    </row>
    <row r="166" spans="1:10" x14ac:dyDescent="0.3">
      <c r="A166">
        <v>51012747</v>
      </c>
      <c r="B166">
        <v>32</v>
      </c>
      <c r="C166">
        <v>13</v>
      </c>
      <c r="D166">
        <v>47</v>
      </c>
      <c r="E166" s="21">
        <f>D166/PARAMS_MODELO!$B$28</f>
        <v>1.5666666666666667</v>
      </c>
      <c r="F166">
        <v>93</v>
      </c>
      <c r="G166">
        <v>37</v>
      </c>
      <c r="H166">
        <v>1</v>
      </c>
      <c r="I166" s="20">
        <f t="shared" si="2"/>
        <v>2.7027027027027029E-2</v>
      </c>
      <c r="J166" s="21">
        <f>(IFERROR(_xlfn.PERCENTRANK.INC($B$2:$B$1194,B166)*100,0)*PARAMS_MODELO!$B$25)+(IFERROR(_xlfn.PERCENTRANK.INC($C$2:$C$1194,C166)*100,0)*PARAMS_MODELO!$B$26)+(IFERROR(_xlfn.PERCENTRANK.INC($E$2:$E$1194,E166)*100,0)*PARAMS_MODELO!$B$27)+(IFERROR(_xlfn.PERCENTRANK.INC($F$2:$F$1194,F166)*100,0)*PARAMS_MODELO!$B$29)+(IFERROR(_xlfn.PERCENTRANK.INC($I$2:$I$1194,I166)*100,0)*PARAMS_MODELO!$B$31)</f>
        <v>45.07</v>
      </c>
    </row>
    <row r="167" spans="1:10" x14ac:dyDescent="0.3">
      <c r="A167">
        <v>51032900</v>
      </c>
      <c r="B167">
        <v>39</v>
      </c>
      <c r="C167">
        <v>4</v>
      </c>
      <c r="D167">
        <v>65</v>
      </c>
      <c r="E167" s="21">
        <f>D167/PARAMS_MODELO!$B$28</f>
        <v>2.1666666666666665</v>
      </c>
      <c r="F167">
        <v>16</v>
      </c>
      <c r="G167">
        <v>43</v>
      </c>
      <c r="H167">
        <v>39</v>
      </c>
      <c r="I167" s="20">
        <f t="shared" si="2"/>
        <v>0.90697674418604646</v>
      </c>
      <c r="J167" s="21">
        <f>(IFERROR(_xlfn.PERCENTRANK.INC($B$2:$B$1194,B167)*100,0)*PARAMS_MODELO!$B$25)+(IFERROR(_xlfn.PERCENTRANK.INC($C$2:$C$1194,C167)*100,0)*PARAMS_MODELO!$B$26)+(IFERROR(_xlfn.PERCENTRANK.INC($E$2:$E$1194,E167)*100,0)*PARAMS_MODELO!$B$27)+(IFERROR(_xlfn.PERCENTRANK.INC($F$2:$F$1194,F167)*100,0)*PARAMS_MODELO!$B$29)+(IFERROR(_xlfn.PERCENTRANK.INC($I$2:$I$1194,I167)*100,0)*PARAMS_MODELO!$B$31)</f>
        <v>39.179999999999993</v>
      </c>
    </row>
    <row r="168" spans="1:10" x14ac:dyDescent="0.3">
      <c r="A168">
        <v>51056434</v>
      </c>
      <c r="B168">
        <v>3</v>
      </c>
      <c r="C168">
        <v>8</v>
      </c>
      <c r="D168">
        <v>34</v>
      </c>
      <c r="E168" s="21">
        <f>D168/PARAMS_MODELO!$B$28</f>
        <v>1.1333333333333333</v>
      </c>
      <c r="F168">
        <v>86</v>
      </c>
      <c r="G168">
        <v>21</v>
      </c>
      <c r="H168">
        <v>3</v>
      </c>
      <c r="I168" s="20">
        <f t="shared" si="2"/>
        <v>0.14285714285714285</v>
      </c>
      <c r="J168" s="21">
        <f>(IFERROR(_xlfn.PERCENTRANK.INC($B$2:$B$1194,B168)*100,0)*PARAMS_MODELO!$B$25)+(IFERROR(_xlfn.PERCENTRANK.INC($C$2:$C$1194,C168)*100,0)*PARAMS_MODELO!$B$26)+(IFERROR(_xlfn.PERCENTRANK.INC($E$2:$E$1194,E168)*100,0)*PARAMS_MODELO!$B$27)+(IFERROR(_xlfn.PERCENTRANK.INC($F$2:$F$1194,F168)*100,0)*PARAMS_MODELO!$B$29)+(IFERROR(_xlfn.PERCENTRANK.INC($I$2:$I$1194,I168)*100,0)*PARAMS_MODELO!$B$31)</f>
        <v>29.155000000000001</v>
      </c>
    </row>
    <row r="169" spans="1:10" x14ac:dyDescent="0.3">
      <c r="A169">
        <v>51019261</v>
      </c>
      <c r="B169">
        <v>91</v>
      </c>
      <c r="C169">
        <v>17</v>
      </c>
      <c r="D169">
        <v>64</v>
      </c>
      <c r="E169" s="21">
        <f>D169/PARAMS_MODELO!$B$28</f>
        <v>2.1333333333333333</v>
      </c>
      <c r="F169">
        <v>39</v>
      </c>
      <c r="G169">
        <v>99</v>
      </c>
      <c r="H169">
        <v>98</v>
      </c>
      <c r="I169" s="20">
        <f t="shared" si="2"/>
        <v>0.98989898989898994</v>
      </c>
      <c r="J169" s="21">
        <f>(IFERROR(_xlfn.PERCENTRANK.INC($B$2:$B$1194,B169)*100,0)*PARAMS_MODELO!$B$25)+(IFERROR(_xlfn.PERCENTRANK.INC($C$2:$C$1194,C169)*100,0)*PARAMS_MODELO!$B$26)+(IFERROR(_xlfn.PERCENTRANK.INC($E$2:$E$1194,E169)*100,0)*PARAMS_MODELO!$B$27)+(IFERROR(_xlfn.PERCENTRANK.INC($F$2:$F$1194,F169)*100,0)*PARAMS_MODELO!$B$29)+(IFERROR(_xlfn.PERCENTRANK.INC($I$2:$I$1194,I169)*100,0)*PARAMS_MODELO!$B$31)</f>
        <v>70.594999999999999</v>
      </c>
    </row>
    <row r="170" spans="1:10" x14ac:dyDescent="0.3">
      <c r="A170">
        <v>51018486</v>
      </c>
      <c r="B170">
        <v>93</v>
      </c>
      <c r="C170">
        <v>2</v>
      </c>
      <c r="D170">
        <v>34</v>
      </c>
      <c r="E170" s="21">
        <f>D170/PARAMS_MODELO!$B$28</f>
        <v>1.1333333333333333</v>
      </c>
      <c r="F170">
        <v>31</v>
      </c>
      <c r="G170">
        <v>61</v>
      </c>
      <c r="H170">
        <v>39</v>
      </c>
      <c r="I170" s="20">
        <f t="shared" si="2"/>
        <v>0.63934426229508201</v>
      </c>
      <c r="J170" s="21">
        <f>(IFERROR(_xlfn.PERCENTRANK.INC($B$2:$B$1194,B170)*100,0)*PARAMS_MODELO!$B$25)+(IFERROR(_xlfn.PERCENTRANK.INC($C$2:$C$1194,C170)*100,0)*PARAMS_MODELO!$B$26)+(IFERROR(_xlfn.PERCENTRANK.INC($E$2:$E$1194,E170)*100,0)*PARAMS_MODELO!$B$27)+(IFERROR(_xlfn.PERCENTRANK.INC($F$2:$F$1194,F170)*100,0)*PARAMS_MODELO!$B$29)+(IFERROR(_xlfn.PERCENTRANK.INC($I$2:$I$1194,I170)*100,0)*PARAMS_MODELO!$B$31)</f>
        <v>46.455000000000005</v>
      </c>
    </row>
    <row r="171" spans="1:10" x14ac:dyDescent="0.3">
      <c r="A171">
        <v>51005732</v>
      </c>
      <c r="B171">
        <v>69</v>
      </c>
      <c r="C171">
        <v>0</v>
      </c>
      <c r="D171">
        <v>89</v>
      </c>
      <c r="E171" s="21">
        <f>D171/PARAMS_MODELO!$B$28</f>
        <v>2.9666666666666668</v>
      </c>
      <c r="F171">
        <v>68</v>
      </c>
      <c r="G171">
        <v>87</v>
      </c>
      <c r="H171">
        <v>63</v>
      </c>
      <c r="I171" s="20">
        <f t="shared" si="2"/>
        <v>0.72413793103448276</v>
      </c>
      <c r="J171" s="21">
        <f>(IFERROR(_xlfn.PERCENTRANK.INC($B$2:$B$1194,B171)*100,0)*PARAMS_MODELO!$B$25)+(IFERROR(_xlfn.PERCENTRANK.INC($C$2:$C$1194,C171)*100,0)*PARAMS_MODELO!$B$26)+(IFERROR(_xlfn.PERCENTRANK.INC($E$2:$E$1194,E171)*100,0)*PARAMS_MODELO!$B$27)+(IFERROR(_xlfn.PERCENTRANK.INC($F$2:$F$1194,F171)*100,0)*PARAMS_MODELO!$B$29)+(IFERROR(_xlfn.PERCENTRANK.INC($I$2:$I$1194,I171)*100,0)*PARAMS_MODELO!$B$31)</f>
        <v>55.275000000000006</v>
      </c>
    </row>
    <row r="172" spans="1:10" x14ac:dyDescent="0.3">
      <c r="A172">
        <v>51039785</v>
      </c>
      <c r="B172">
        <v>66</v>
      </c>
      <c r="C172">
        <v>0</v>
      </c>
      <c r="D172">
        <v>44</v>
      </c>
      <c r="E172" s="21">
        <f>D172/PARAMS_MODELO!$B$28</f>
        <v>1.4666666666666666</v>
      </c>
      <c r="F172">
        <v>73</v>
      </c>
      <c r="G172">
        <v>16</v>
      </c>
      <c r="H172">
        <v>13</v>
      </c>
      <c r="I172" s="20">
        <f t="shared" si="2"/>
        <v>0.8125</v>
      </c>
      <c r="J172" s="21">
        <f>(IFERROR(_xlfn.PERCENTRANK.INC($B$2:$B$1194,B172)*100,0)*PARAMS_MODELO!$B$25)+(IFERROR(_xlfn.PERCENTRANK.INC($C$2:$C$1194,C172)*100,0)*PARAMS_MODELO!$B$26)+(IFERROR(_xlfn.PERCENTRANK.INC($E$2:$E$1194,E172)*100,0)*PARAMS_MODELO!$B$27)+(IFERROR(_xlfn.PERCENTRANK.INC($F$2:$F$1194,F172)*100,0)*PARAMS_MODELO!$B$29)+(IFERROR(_xlfn.PERCENTRANK.INC($I$2:$I$1194,I172)*100,0)*PARAMS_MODELO!$B$31)</f>
        <v>47.234999999999999</v>
      </c>
    </row>
    <row r="173" spans="1:10" x14ac:dyDescent="0.3">
      <c r="A173">
        <v>51025865</v>
      </c>
      <c r="B173">
        <v>33</v>
      </c>
      <c r="C173">
        <v>23</v>
      </c>
      <c r="D173">
        <v>45</v>
      </c>
      <c r="E173" s="21">
        <f>D173/PARAMS_MODELO!$B$28</f>
        <v>1.5</v>
      </c>
      <c r="F173">
        <v>63</v>
      </c>
      <c r="G173">
        <v>21</v>
      </c>
      <c r="H173">
        <v>18</v>
      </c>
      <c r="I173" s="20">
        <f t="shared" si="2"/>
        <v>0.8571428571428571</v>
      </c>
      <c r="J173" s="21">
        <f>(IFERROR(_xlfn.PERCENTRANK.INC($B$2:$B$1194,B173)*100,0)*PARAMS_MODELO!$B$25)+(IFERROR(_xlfn.PERCENTRANK.INC($C$2:$C$1194,C173)*100,0)*PARAMS_MODELO!$B$26)+(IFERROR(_xlfn.PERCENTRANK.INC($E$2:$E$1194,E173)*100,0)*PARAMS_MODELO!$B$27)+(IFERROR(_xlfn.PERCENTRANK.INC($F$2:$F$1194,F173)*100,0)*PARAMS_MODELO!$B$29)+(IFERROR(_xlfn.PERCENTRANK.INC($I$2:$I$1194,I173)*100,0)*PARAMS_MODELO!$B$31)</f>
        <v>58.440000000000005</v>
      </c>
    </row>
    <row r="174" spans="1:10" x14ac:dyDescent="0.3">
      <c r="A174">
        <v>51015657</v>
      </c>
      <c r="B174">
        <v>84</v>
      </c>
      <c r="C174">
        <v>4</v>
      </c>
      <c r="D174">
        <v>27</v>
      </c>
      <c r="E174" s="21">
        <f>D174/PARAMS_MODELO!$B$28</f>
        <v>0.9</v>
      </c>
      <c r="F174">
        <v>57</v>
      </c>
      <c r="G174">
        <v>62</v>
      </c>
      <c r="H174">
        <v>39</v>
      </c>
      <c r="I174" s="20">
        <f t="shared" si="2"/>
        <v>0.62903225806451613</v>
      </c>
      <c r="J174" s="21">
        <f>(IFERROR(_xlfn.PERCENTRANK.INC($B$2:$B$1194,B174)*100,0)*PARAMS_MODELO!$B$25)+(IFERROR(_xlfn.PERCENTRANK.INC($C$2:$C$1194,C174)*100,0)*PARAMS_MODELO!$B$26)+(IFERROR(_xlfn.PERCENTRANK.INC($E$2:$E$1194,E174)*100,0)*PARAMS_MODELO!$B$27)+(IFERROR(_xlfn.PERCENTRANK.INC($F$2:$F$1194,F174)*100,0)*PARAMS_MODELO!$B$29)+(IFERROR(_xlfn.PERCENTRANK.INC($I$2:$I$1194,I174)*100,0)*PARAMS_MODELO!$B$31)</f>
        <v>48.265000000000001</v>
      </c>
    </row>
    <row r="175" spans="1:10" x14ac:dyDescent="0.3">
      <c r="A175">
        <v>51001168</v>
      </c>
      <c r="B175">
        <v>10</v>
      </c>
      <c r="C175">
        <v>2</v>
      </c>
      <c r="D175">
        <v>30</v>
      </c>
      <c r="E175" s="21">
        <f>D175/PARAMS_MODELO!$B$28</f>
        <v>1</v>
      </c>
      <c r="F175">
        <v>81</v>
      </c>
      <c r="G175">
        <v>52</v>
      </c>
      <c r="H175">
        <v>24</v>
      </c>
      <c r="I175" s="20">
        <f t="shared" si="2"/>
        <v>0.46153846153846156</v>
      </c>
      <c r="J175" s="21">
        <f>(IFERROR(_xlfn.PERCENTRANK.INC($B$2:$B$1194,B175)*100,0)*PARAMS_MODELO!$B$25)+(IFERROR(_xlfn.PERCENTRANK.INC($C$2:$C$1194,C175)*100,0)*PARAMS_MODELO!$B$26)+(IFERROR(_xlfn.PERCENTRANK.INC($E$2:$E$1194,E175)*100,0)*PARAMS_MODELO!$B$27)+(IFERROR(_xlfn.PERCENTRANK.INC($F$2:$F$1194,F175)*100,0)*PARAMS_MODELO!$B$29)+(IFERROR(_xlfn.PERCENTRANK.INC($I$2:$I$1194,I175)*100,0)*PARAMS_MODELO!$B$31)</f>
        <v>27.585000000000001</v>
      </c>
    </row>
    <row r="176" spans="1:10" x14ac:dyDescent="0.3">
      <c r="A176">
        <v>51021380</v>
      </c>
      <c r="B176">
        <v>20</v>
      </c>
      <c r="C176">
        <v>12</v>
      </c>
      <c r="D176">
        <v>83</v>
      </c>
      <c r="E176" s="21">
        <f>D176/PARAMS_MODELO!$B$28</f>
        <v>2.7666666666666666</v>
      </c>
      <c r="F176">
        <v>61</v>
      </c>
      <c r="G176">
        <v>29</v>
      </c>
      <c r="H176">
        <v>17</v>
      </c>
      <c r="I176" s="20">
        <f t="shared" si="2"/>
        <v>0.58620689655172409</v>
      </c>
      <c r="J176" s="21">
        <f>(IFERROR(_xlfn.PERCENTRANK.INC($B$2:$B$1194,B176)*100,0)*PARAMS_MODELO!$B$25)+(IFERROR(_xlfn.PERCENTRANK.INC($C$2:$C$1194,C176)*100,0)*PARAMS_MODELO!$B$26)+(IFERROR(_xlfn.PERCENTRANK.INC($E$2:$E$1194,E176)*100,0)*PARAMS_MODELO!$B$27)+(IFERROR(_xlfn.PERCENTRANK.INC($F$2:$F$1194,F176)*100,0)*PARAMS_MODELO!$B$29)+(IFERROR(_xlfn.PERCENTRANK.INC($I$2:$I$1194,I176)*100,0)*PARAMS_MODELO!$B$31)</f>
        <v>48.254999999999995</v>
      </c>
    </row>
    <row r="177" spans="1:10" x14ac:dyDescent="0.3">
      <c r="A177">
        <v>51011970</v>
      </c>
      <c r="B177">
        <v>47</v>
      </c>
      <c r="C177">
        <v>25</v>
      </c>
      <c r="D177">
        <v>79</v>
      </c>
      <c r="E177" s="21">
        <f>D177/PARAMS_MODELO!$B$28</f>
        <v>2.6333333333333333</v>
      </c>
      <c r="F177">
        <v>29</v>
      </c>
      <c r="G177">
        <v>97</v>
      </c>
      <c r="H177">
        <v>48</v>
      </c>
      <c r="I177" s="20">
        <f t="shared" si="2"/>
        <v>0.49484536082474229</v>
      </c>
      <c r="J177" s="21">
        <f>(IFERROR(_xlfn.PERCENTRANK.INC($B$2:$B$1194,B177)*100,0)*PARAMS_MODELO!$B$25)+(IFERROR(_xlfn.PERCENTRANK.INC($C$2:$C$1194,C177)*100,0)*PARAMS_MODELO!$B$26)+(IFERROR(_xlfn.PERCENTRANK.INC($E$2:$E$1194,E177)*100,0)*PARAMS_MODELO!$B$27)+(IFERROR(_xlfn.PERCENTRANK.INC($F$2:$F$1194,F177)*100,0)*PARAMS_MODELO!$B$29)+(IFERROR(_xlfn.PERCENTRANK.INC($I$2:$I$1194,I177)*100,0)*PARAMS_MODELO!$B$31)</f>
        <v>62.344999999999999</v>
      </c>
    </row>
    <row r="178" spans="1:10" x14ac:dyDescent="0.3">
      <c r="A178">
        <v>51036697</v>
      </c>
      <c r="B178">
        <v>36</v>
      </c>
      <c r="C178">
        <v>4</v>
      </c>
      <c r="D178">
        <v>95</v>
      </c>
      <c r="E178" s="21">
        <f>D178/PARAMS_MODELO!$B$28</f>
        <v>3.1666666666666665</v>
      </c>
      <c r="F178">
        <v>93</v>
      </c>
      <c r="G178">
        <v>18</v>
      </c>
      <c r="H178">
        <v>2</v>
      </c>
      <c r="I178" s="20">
        <f t="shared" si="2"/>
        <v>0.1111111111111111</v>
      </c>
      <c r="J178" s="21">
        <f>(IFERROR(_xlfn.PERCENTRANK.INC($B$2:$B$1194,B178)*100,0)*PARAMS_MODELO!$B$25)+(IFERROR(_xlfn.PERCENTRANK.INC($C$2:$C$1194,C178)*100,0)*PARAMS_MODELO!$B$26)+(IFERROR(_xlfn.PERCENTRANK.INC($E$2:$E$1194,E178)*100,0)*PARAMS_MODELO!$B$27)+(IFERROR(_xlfn.PERCENTRANK.INC($F$2:$F$1194,F178)*100,0)*PARAMS_MODELO!$B$29)+(IFERROR(_xlfn.PERCENTRANK.INC($I$2:$I$1194,I178)*100,0)*PARAMS_MODELO!$B$31)</f>
        <v>47.86</v>
      </c>
    </row>
    <row r="179" spans="1:10" x14ac:dyDescent="0.3">
      <c r="A179">
        <v>51009061</v>
      </c>
      <c r="B179">
        <v>6</v>
      </c>
      <c r="C179">
        <v>9</v>
      </c>
      <c r="D179">
        <v>27</v>
      </c>
      <c r="E179" s="21">
        <f>D179/PARAMS_MODELO!$B$28</f>
        <v>0.9</v>
      </c>
      <c r="F179">
        <v>55</v>
      </c>
      <c r="G179">
        <v>94</v>
      </c>
      <c r="H179">
        <v>85</v>
      </c>
      <c r="I179" s="20">
        <f t="shared" si="2"/>
        <v>0.9042553191489362</v>
      </c>
      <c r="J179" s="21">
        <f>(IFERROR(_xlfn.PERCENTRANK.INC($B$2:$B$1194,B179)*100,0)*PARAMS_MODELO!$B$25)+(IFERROR(_xlfn.PERCENTRANK.INC($C$2:$C$1194,C179)*100,0)*PARAMS_MODELO!$B$26)+(IFERROR(_xlfn.PERCENTRANK.INC($E$2:$E$1194,E179)*100,0)*PARAMS_MODELO!$B$27)+(IFERROR(_xlfn.PERCENTRANK.INC($F$2:$F$1194,F179)*100,0)*PARAMS_MODELO!$B$29)+(IFERROR(_xlfn.PERCENTRANK.INC($I$2:$I$1194,I179)*100,0)*PARAMS_MODELO!$B$31)</f>
        <v>32.430000000000007</v>
      </c>
    </row>
    <row r="180" spans="1:10" x14ac:dyDescent="0.3">
      <c r="A180">
        <v>51013824</v>
      </c>
      <c r="B180">
        <v>19</v>
      </c>
      <c r="C180">
        <v>15</v>
      </c>
      <c r="D180">
        <v>88</v>
      </c>
      <c r="E180" s="21">
        <f>D180/PARAMS_MODELO!$B$28</f>
        <v>2.9333333333333331</v>
      </c>
      <c r="F180">
        <v>51</v>
      </c>
      <c r="G180">
        <v>13</v>
      </c>
      <c r="H180">
        <v>8</v>
      </c>
      <c r="I180" s="20">
        <f t="shared" si="2"/>
        <v>0.61538461538461542</v>
      </c>
      <c r="J180" s="21">
        <f>(IFERROR(_xlfn.PERCENTRANK.INC($B$2:$B$1194,B180)*100,0)*PARAMS_MODELO!$B$25)+(IFERROR(_xlfn.PERCENTRANK.INC($C$2:$C$1194,C180)*100,0)*PARAMS_MODELO!$B$26)+(IFERROR(_xlfn.PERCENTRANK.INC($E$2:$E$1194,E180)*100,0)*PARAMS_MODELO!$B$27)+(IFERROR(_xlfn.PERCENTRANK.INC($F$2:$F$1194,F180)*100,0)*PARAMS_MODELO!$B$29)+(IFERROR(_xlfn.PERCENTRANK.INC($I$2:$I$1194,I180)*100,0)*PARAMS_MODELO!$B$31)</f>
        <v>50.335000000000001</v>
      </c>
    </row>
    <row r="181" spans="1:10" x14ac:dyDescent="0.3">
      <c r="A181">
        <v>51009240</v>
      </c>
      <c r="B181">
        <v>92</v>
      </c>
      <c r="C181">
        <v>5</v>
      </c>
      <c r="D181">
        <v>76</v>
      </c>
      <c r="E181" s="21">
        <f>D181/PARAMS_MODELO!$B$28</f>
        <v>2.5333333333333332</v>
      </c>
      <c r="F181">
        <v>26</v>
      </c>
      <c r="G181">
        <v>38</v>
      </c>
      <c r="H181">
        <v>9</v>
      </c>
      <c r="I181" s="20">
        <f t="shared" si="2"/>
        <v>0.23684210526315788</v>
      </c>
      <c r="J181" s="21">
        <f>(IFERROR(_xlfn.PERCENTRANK.INC($B$2:$B$1194,B181)*100,0)*PARAMS_MODELO!$B$25)+(IFERROR(_xlfn.PERCENTRANK.INC($C$2:$C$1194,C181)*100,0)*PARAMS_MODELO!$B$26)+(IFERROR(_xlfn.PERCENTRANK.INC($E$2:$E$1194,E181)*100,0)*PARAMS_MODELO!$B$27)+(IFERROR(_xlfn.PERCENTRANK.INC($F$2:$F$1194,F181)*100,0)*PARAMS_MODELO!$B$29)+(IFERROR(_xlfn.PERCENTRANK.INC($I$2:$I$1194,I181)*100,0)*PARAMS_MODELO!$B$31)</f>
        <v>52.480000000000004</v>
      </c>
    </row>
    <row r="182" spans="1:10" x14ac:dyDescent="0.3">
      <c r="A182">
        <v>51001061</v>
      </c>
      <c r="B182">
        <v>32</v>
      </c>
      <c r="C182">
        <v>2</v>
      </c>
      <c r="D182">
        <v>65</v>
      </c>
      <c r="E182" s="21">
        <f>D182/PARAMS_MODELO!$B$28</f>
        <v>2.1666666666666665</v>
      </c>
      <c r="F182">
        <v>82</v>
      </c>
      <c r="G182">
        <v>43</v>
      </c>
      <c r="H182">
        <v>36</v>
      </c>
      <c r="I182" s="20">
        <f t="shared" si="2"/>
        <v>0.83720930232558144</v>
      </c>
      <c r="J182" s="21">
        <f>(IFERROR(_xlfn.PERCENTRANK.INC($B$2:$B$1194,B182)*100,0)*PARAMS_MODELO!$B$25)+(IFERROR(_xlfn.PERCENTRANK.INC($C$2:$C$1194,C182)*100,0)*PARAMS_MODELO!$B$26)+(IFERROR(_xlfn.PERCENTRANK.INC($E$2:$E$1194,E182)*100,0)*PARAMS_MODELO!$B$27)+(IFERROR(_xlfn.PERCENTRANK.INC($F$2:$F$1194,F182)*100,0)*PARAMS_MODELO!$B$29)+(IFERROR(_xlfn.PERCENTRANK.INC($I$2:$I$1194,I182)*100,0)*PARAMS_MODELO!$B$31)</f>
        <v>45.094999999999999</v>
      </c>
    </row>
    <row r="183" spans="1:10" x14ac:dyDescent="0.3">
      <c r="A183">
        <v>51018621</v>
      </c>
      <c r="B183">
        <v>69</v>
      </c>
      <c r="C183">
        <v>12</v>
      </c>
      <c r="D183">
        <v>7</v>
      </c>
      <c r="E183" s="21">
        <f>D183/PARAMS_MODELO!$B$28</f>
        <v>0.23333333333333334</v>
      </c>
      <c r="F183">
        <v>5</v>
      </c>
      <c r="G183">
        <v>16</v>
      </c>
      <c r="H183">
        <v>2</v>
      </c>
      <c r="I183" s="20">
        <f t="shared" si="2"/>
        <v>0.125</v>
      </c>
      <c r="J183" s="21">
        <f>(IFERROR(_xlfn.PERCENTRANK.INC($B$2:$B$1194,B183)*100,0)*PARAMS_MODELO!$B$25)+(IFERROR(_xlfn.PERCENTRANK.INC($C$2:$C$1194,C183)*100,0)*PARAMS_MODELO!$B$26)+(IFERROR(_xlfn.PERCENTRANK.INC($E$2:$E$1194,E183)*100,0)*PARAMS_MODELO!$B$27)+(IFERROR(_xlfn.PERCENTRANK.INC($F$2:$F$1194,F183)*100,0)*PARAMS_MODELO!$B$29)+(IFERROR(_xlfn.PERCENTRANK.INC($I$2:$I$1194,I183)*100,0)*PARAMS_MODELO!$B$31)</f>
        <v>34.725000000000009</v>
      </c>
    </row>
    <row r="184" spans="1:10" x14ac:dyDescent="0.3">
      <c r="A184">
        <v>51011031</v>
      </c>
      <c r="B184">
        <v>83</v>
      </c>
      <c r="C184">
        <v>10</v>
      </c>
      <c r="D184">
        <v>94</v>
      </c>
      <c r="E184" s="21">
        <f>D184/PARAMS_MODELO!$B$28</f>
        <v>3.1333333333333333</v>
      </c>
      <c r="F184">
        <v>93</v>
      </c>
      <c r="G184">
        <v>84</v>
      </c>
      <c r="H184">
        <v>62</v>
      </c>
      <c r="I184" s="20">
        <f t="shared" si="2"/>
        <v>0.73809523809523814</v>
      </c>
      <c r="J184" s="21">
        <f>(IFERROR(_xlfn.PERCENTRANK.INC($B$2:$B$1194,B184)*100,0)*PARAMS_MODELO!$B$25)+(IFERROR(_xlfn.PERCENTRANK.INC($C$2:$C$1194,C184)*100,0)*PARAMS_MODELO!$B$26)+(IFERROR(_xlfn.PERCENTRANK.INC($E$2:$E$1194,E184)*100,0)*PARAMS_MODELO!$B$27)+(IFERROR(_xlfn.PERCENTRANK.INC($F$2:$F$1194,F184)*100,0)*PARAMS_MODELO!$B$29)+(IFERROR(_xlfn.PERCENTRANK.INC($I$2:$I$1194,I184)*100,0)*PARAMS_MODELO!$B$31)</f>
        <v>73.245000000000005</v>
      </c>
    </row>
    <row r="185" spans="1:10" x14ac:dyDescent="0.3">
      <c r="A185">
        <v>51013239</v>
      </c>
      <c r="B185">
        <v>26</v>
      </c>
      <c r="C185">
        <v>9</v>
      </c>
      <c r="D185">
        <v>44</v>
      </c>
      <c r="E185" s="21">
        <f>D185/PARAMS_MODELO!$B$28</f>
        <v>1.4666666666666666</v>
      </c>
      <c r="F185">
        <v>66</v>
      </c>
      <c r="G185">
        <v>89</v>
      </c>
      <c r="H185">
        <v>62</v>
      </c>
      <c r="I185" s="20">
        <f t="shared" si="2"/>
        <v>0.6966292134831461</v>
      </c>
      <c r="J185" s="21">
        <f>(IFERROR(_xlfn.PERCENTRANK.INC($B$2:$B$1194,B185)*100,0)*PARAMS_MODELO!$B$25)+(IFERROR(_xlfn.PERCENTRANK.INC($C$2:$C$1194,C185)*100,0)*PARAMS_MODELO!$B$26)+(IFERROR(_xlfn.PERCENTRANK.INC($E$2:$E$1194,E185)*100,0)*PARAMS_MODELO!$B$27)+(IFERROR(_xlfn.PERCENTRANK.INC($F$2:$F$1194,F185)*100,0)*PARAMS_MODELO!$B$29)+(IFERROR(_xlfn.PERCENTRANK.INC($I$2:$I$1194,I185)*100,0)*PARAMS_MODELO!$B$31)</f>
        <v>41.284999999999997</v>
      </c>
    </row>
    <row r="186" spans="1:10" x14ac:dyDescent="0.3">
      <c r="A186">
        <v>51030281</v>
      </c>
      <c r="B186">
        <v>32</v>
      </c>
      <c r="C186">
        <v>9</v>
      </c>
      <c r="D186">
        <v>83</v>
      </c>
      <c r="E186" s="21">
        <f>D186/PARAMS_MODELO!$B$28</f>
        <v>2.7666666666666666</v>
      </c>
      <c r="F186">
        <v>15</v>
      </c>
      <c r="G186">
        <v>80</v>
      </c>
      <c r="H186">
        <v>13</v>
      </c>
      <c r="I186" s="20">
        <f t="shared" si="2"/>
        <v>0.16250000000000001</v>
      </c>
      <c r="J186" s="21">
        <f>(IFERROR(_xlfn.PERCENTRANK.INC($B$2:$B$1194,B186)*100,0)*PARAMS_MODELO!$B$25)+(IFERROR(_xlfn.PERCENTRANK.INC($C$2:$C$1194,C186)*100,0)*PARAMS_MODELO!$B$26)+(IFERROR(_xlfn.PERCENTRANK.INC($E$2:$E$1194,E186)*100,0)*PARAMS_MODELO!$B$27)+(IFERROR(_xlfn.PERCENTRANK.INC($F$2:$F$1194,F186)*100,0)*PARAMS_MODELO!$B$29)+(IFERROR(_xlfn.PERCENTRANK.INC($I$2:$I$1194,I186)*100,0)*PARAMS_MODELO!$B$31)</f>
        <v>37.849999999999994</v>
      </c>
    </row>
    <row r="187" spans="1:10" x14ac:dyDescent="0.3">
      <c r="A187">
        <v>51055829</v>
      </c>
      <c r="B187">
        <v>88</v>
      </c>
      <c r="C187">
        <v>10</v>
      </c>
      <c r="D187">
        <v>12</v>
      </c>
      <c r="E187" s="21">
        <f>D187/PARAMS_MODELO!$B$28</f>
        <v>0.4</v>
      </c>
      <c r="F187">
        <v>93</v>
      </c>
      <c r="G187">
        <v>70</v>
      </c>
      <c r="H187">
        <v>41</v>
      </c>
      <c r="I187" s="20">
        <f t="shared" si="2"/>
        <v>0.58571428571428574</v>
      </c>
      <c r="J187" s="21">
        <f>(IFERROR(_xlfn.PERCENTRANK.INC($B$2:$B$1194,B187)*100,0)*PARAMS_MODELO!$B$25)+(IFERROR(_xlfn.PERCENTRANK.INC($C$2:$C$1194,C187)*100,0)*PARAMS_MODELO!$B$26)+(IFERROR(_xlfn.PERCENTRANK.INC($E$2:$E$1194,E187)*100,0)*PARAMS_MODELO!$B$27)+(IFERROR(_xlfn.PERCENTRANK.INC($F$2:$F$1194,F187)*100,0)*PARAMS_MODELO!$B$29)+(IFERROR(_xlfn.PERCENTRANK.INC($I$2:$I$1194,I187)*100,0)*PARAMS_MODELO!$B$31)</f>
        <v>56.824999999999989</v>
      </c>
    </row>
    <row r="188" spans="1:10" x14ac:dyDescent="0.3">
      <c r="A188">
        <v>51023919</v>
      </c>
      <c r="B188">
        <v>11</v>
      </c>
      <c r="C188">
        <v>24</v>
      </c>
      <c r="D188">
        <v>75</v>
      </c>
      <c r="E188" s="21">
        <f>D188/PARAMS_MODELO!$B$28</f>
        <v>2.5</v>
      </c>
      <c r="F188">
        <v>29</v>
      </c>
      <c r="G188">
        <v>47</v>
      </c>
      <c r="H188">
        <v>15</v>
      </c>
      <c r="I188" s="20">
        <f t="shared" si="2"/>
        <v>0.31914893617021278</v>
      </c>
      <c r="J188" s="21">
        <f>(IFERROR(_xlfn.PERCENTRANK.INC($B$2:$B$1194,B188)*100,0)*PARAMS_MODELO!$B$25)+(IFERROR(_xlfn.PERCENTRANK.INC($C$2:$C$1194,C188)*100,0)*PARAMS_MODELO!$B$26)+(IFERROR(_xlfn.PERCENTRANK.INC($E$2:$E$1194,E188)*100,0)*PARAMS_MODELO!$B$27)+(IFERROR(_xlfn.PERCENTRANK.INC($F$2:$F$1194,F188)*100,0)*PARAMS_MODELO!$B$29)+(IFERROR(_xlfn.PERCENTRANK.INC($I$2:$I$1194,I188)*100,0)*PARAMS_MODELO!$B$31)</f>
        <v>48.309999999999995</v>
      </c>
    </row>
    <row r="189" spans="1:10" x14ac:dyDescent="0.3">
      <c r="A189">
        <v>51031610</v>
      </c>
      <c r="B189">
        <v>3</v>
      </c>
      <c r="C189">
        <v>0</v>
      </c>
      <c r="D189">
        <v>47</v>
      </c>
      <c r="E189" s="21">
        <f>D189/PARAMS_MODELO!$B$28</f>
        <v>1.5666666666666667</v>
      </c>
      <c r="F189">
        <v>26</v>
      </c>
      <c r="G189">
        <v>32</v>
      </c>
      <c r="H189">
        <v>13</v>
      </c>
      <c r="I189" s="20">
        <f t="shared" si="2"/>
        <v>0.40625</v>
      </c>
      <c r="J189" s="21">
        <f>(IFERROR(_xlfn.PERCENTRANK.INC($B$2:$B$1194,B189)*100,0)*PARAMS_MODELO!$B$25)+(IFERROR(_xlfn.PERCENTRANK.INC($C$2:$C$1194,C189)*100,0)*PARAMS_MODELO!$B$26)+(IFERROR(_xlfn.PERCENTRANK.INC($E$2:$E$1194,E189)*100,0)*PARAMS_MODELO!$B$27)+(IFERROR(_xlfn.PERCENTRANK.INC($F$2:$F$1194,F189)*100,0)*PARAMS_MODELO!$B$29)+(IFERROR(_xlfn.PERCENTRANK.INC($I$2:$I$1194,I189)*100,0)*PARAMS_MODELO!$B$31)</f>
        <v>17.71</v>
      </c>
    </row>
    <row r="190" spans="1:10" x14ac:dyDescent="0.3">
      <c r="A190">
        <v>51024141</v>
      </c>
      <c r="B190">
        <v>97</v>
      </c>
      <c r="C190">
        <v>16</v>
      </c>
      <c r="D190">
        <v>41</v>
      </c>
      <c r="E190" s="21">
        <f>D190/PARAMS_MODELO!$B$28</f>
        <v>1.3666666666666667</v>
      </c>
      <c r="F190">
        <v>94</v>
      </c>
      <c r="G190">
        <v>99</v>
      </c>
      <c r="H190">
        <v>93</v>
      </c>
      <c r="I190" s="20">
        <f t="shared" si="2"/>
        <v>0.93939393939393945</v>
      </c>
      <c r="J190" s="21">
        <f>(IFERROR(_xlfn.PERCENTRANK.INC($B$2:$B$1194,B190)*100,0)*PARAMS_MODELO!$B$25)+(IFERROR(_xlfn.PERCENTRANK.INC($C$2:$C$1194,C190)*100,0)*PARAMS_MODELO!$B$26)+(IFERROR(_xlfn.PERCENTRANK.INC($E$2:$E$1194,E190)*100,0)*PARAMS_MODELO!$B$27)+(IFERROR(_xlfn.PERCENTRANK.INC($F$2:$F$1194,F190)*100,0)*PARAMS_MODELO!$B$29)+(IFERROR(_xlfn.PERCENTRANK.INC($I$2:$I$1194,I190)*100,0)*PARAMS_MODELO!$B$31)</f>
        <v>74.679999999999993</v>
      </c>
    </row>
    <row r="191" spans="1:10" x14ac:dyDescent="0.3">
      <c r="A191">
        <v>51023137</v>
      </c>
      <c r="B191">
        <v>93</v>
      </c>
      <c r="C191">
        <v>23</v>
      </c>
      <c r="D191">
        <v>5</v>
      </c>
      <c r="E191" s="21">
        <f>D191/PARAMS_MODELO!$B$28</f>
        <v>0.16666666666666666</v>
      </c>
      <c r="F191">
        <v>100</v>
      </c>
      <c r="G191">
        <v>82</v>
      </c>
      <c r="H191">
        <v>13</v>
      </c>
      <c r="I191" s="20">
        <f t="shared" si="2"/>
        <v>0.15853658536585366</v>
      </c>
      <c r="J191" s="21">
        <f>(IFERROR(_xlfn.PERCENTRANK.INC($B$2:$B$1194,B191)*100,0)*PARAMS_MODELO!$B$25)+(IFERROR(_xlfn.PERCENTRANK.INC($C$2:$C$1194,C191)*100,0)*PARAMS_MODELO!$B$26)+(IFERROR(_xlfn.PERCENTRANK.INC($E$2:$E$1194,E191)*100,0)*PARAMS_MODELO!$B$27)+(IFERROR(_xlfn.PERCENTRANK.INC($F$2:$F$1194,F191)*100,0)*PARAMS_MODELO!$B$29)+(IFERROR(_xlfn.PERCENTRANK.INC($I$2:$I$1194,I191)*100,0)*PARAMS_MODELO!$B$31)</f>
        <v>66.445000000000007</v>
      </c>
    </row>
    <row r="192" spans="1:10" x14ac:dyDescent="0.3">
      <c r="A192">
        <v>51026578</v>
      </c>
      <c r="B192">
        <v>60</v>
      </c>
      <c r="C192">
        <v>9</v>
      </c>
      <c r="D192">
        <v>68</v>
      </c>
      <c r="E192" s="21">
        <f>D192/PARAMS_MODELO!$B$28</f>
        <v>2.2666666666666666</v>
      </c>
      <c r="F192">
        <v>36</v>
      </c>
      <c r="G192">
        <v>97</v>
      </c>
      <c r="H192">
        <v>31</v>
      </c>
      <c r="I192" s="20">
        <f t="shared" si="2"/>
        <v>0.31958762886597936</v>
      </c>
      <c r="J192" s="21">
        <f>(IFERROR(_xlfn.PERCENTRANK.INC($B$2:$B$1194,B192)*100,0)*PARAMS_MODELO!$B$25)+(IFERROR(_xlfn.PERCENTRANK.INC($C$2:$C$1194,C192)*100,0)*PARAMS_MODELO!$B$26)+(IFERROR(_xlfn.PERCENTRANK.INC($E$2:$E$1194,E192)*100,0)*PARAMS_MODELO!$B$27)+(IFERROR(_xlfn.PERCENTRANK.INC($F$2:$F$1194,F192)*100,0)*PARAMS_MODELO!$B$29)+(IFERROR(_xlfn.PERCENTRANK.INC($I$2:$I$1194,I192)*100,0)*PARAMS_MODELO!$B$31)</f>
        <v>47.614999999999995</v>
      </c>
    </row>
    <row r="193" spans="1:10" x14ac:dyDescent="0.3">
      <c r="A193">
        <v>51017986</v>
      </c>
      <c r="B193">
        <v>89</v>
      </c>
      <c r="C193">
        <v>0</v>
      </c>
      <c r="D193">
        <v>17</v>
      </c>
      <c r="E193" s="21">
        <f>D193/PARAMS_MODELO!$B$28</f>
        <v>0.56666666666666665</v>
      </c>
      <c r="F193">
        <v>62</v>
      </c>
      <c r="G193">
        <v>3</v>
      </c>
      <c r="H193">
        <v>1</v>
      </c>
      <c r="I193" s="20">
        <f t="shared" si="2"/>
        <v>0.33333333333333331</v>
      </c>
      <c r="J193" s="21">
        <f>(IFERROR(_xlfn.PERCENTRANK.INC($B$2:$B$1194,B193)*100,0)*PARAMS_MODELO!$B$25)+(IFERROR(_xlfn.PERCENTRANK.INC($C$2:$C$1194,C193)*100,0)*PARAMS_MODELO!$B$26)+(IFERROR(_xlfn.PERCENTRANK.INC($E$2:$E$1194,E193)*100,0)*PARAMS_MODELO!$B$27)+(IFERROR(_xlfn.PERCENTRANK.INC($F$2:$F$1194,F193)*100,0)*PARAMS_MODELO!$B$29)+(IFERROR(_xlfn.PERCENTRANK.INC($I$2:$I$1194,I193)*100,0)*PARAMS_MODELO!$B$31)</f>
        <v>42.029999999999994</v>
      </c>
    </row>
    <row r="194" spans="1:10" x14ac:dyDescent="0.3">
      <c r="A194">
        <v>51055373</v>
      </c>
      <c r="B194">
        <v>33</v>
      </c>
      <c r="C194">
        <v>7</v>
      </c>
      <c r="D194">
        <v>93</v>
      </c>
      <c r="E194" s="21">
        <f>D194/PARAMS_MODELO!$B$28</f>
        <v>3.1</v>
      </c>
      <c r="F194">
        <v>24</v>
      </c>
      <c r="G194">
        <v>22</v>
      </c>
      <c r="H194">
        <v>10</v>
      </c>
      <c r="I194" s="20">
        <f t="shared" ref="I194:I257" si="3">IFERROR(H194/G194,0)</f>
        <v>0.45454545454545453</v>
      </c>
      <c r="J194" s="21">
        <f>(IFERROR(_xlfn.PERCENTRANK.INC($B$2:$B$1194,B194)*100,0)*PARAMS_MODELO!$B$25)+(IFERROR(_xlfn.PERCENTRANK.INC($C$2:$C$1194,C194)*100,0)*PARAMS_MODELO!$B$26)+(IFERROR(_xlfn.PERCENTRANK.INC($E$2:$E$1194,E194)*100,0)*PARAMS_MODELO!$B$27)+(IFERROR(_xlfn.PERCENTRANK.INC($F$2:$F$1194,F194)*100,0)*PARAMS_MODELO!$B$29)+(IFERROR(_xlfn.PERCENTRANK.INC($I$2:$I$1194,I194)*100,0)*PARAMS_MODELO!$B$31)</f>
        <v>42.2</v>
      </c>
    </row>
    <row r="195" spans="1:10" x14ac:dyDescent="0.3">
      <c r="A195">
        <v>51013794</v>
      </c>
      <c r="B195">
        <v>56</v>
      </c>
      <c r="C195">
        <v>1</v>
      </c>
      <c r="D195">
        <v>15</v>
      </c>
      <c r="E195" s="21">
        <f>D195/PARAMS_MODELO!$B$28</f>
        <v>0.5</v>
      </c>
      <c r="F195">
        <v>33</v>
      </c>
      <c r="G195">
        <v>40</v>
      </c>
      <c r="H195">
        <v>29</v>
      </c>
      <c r="I195" s="20">
        <f t="shared" si="3"/>
        <v>0.72499999999999998</v>
      </c>
      <c r="J195" s="21">
        <f>(IFERROR(_xlfn.PERCENTRANK.INC($B$2:$B$1194,B195)*100,0)*PARAMS_MODELO!$B$25)+(IFERROR(_xlfn.PERCENTRANK.INC($C$2:$C$1194,C195)*100,0)*PARAMS_MODELO!$B$26)+(IFERROR(_xlfn.PERCENTRANK.INC($E$2:$E$1194,E195)*100,0)*PARAMS_MODELO!$B$27)+(IFERROR(_xlfn.PERCENTRANK.INC($F$2:$F$1194,F195)*100,0)*PARAMS_MODELO!$B$29)+(IFERROR(_xlfn.PERCENTRANK.INC($I$2:$I$1194,I195)*100,0)*PARAMS_MODELO!$B$31)</f>
        <v>32.375</v>
      </c>
    </row>
    <row r="196" spans="1:10" x14ac:dyDescent="0.3">
      <c r="A196">
        <v>51033141</v>
      </c>
      <c r="B196">
        <v>37</v>
      </c>
      <c r="C196">
        <v>10</v>
      </c>
      <c r="D196">
        <v>3</v>
      </c>
      <c r="E196" s="21">
        <f>D196/PARAMS_MODELO!$B$28</f>
        <v>0.1</v>
      </c>
      <c r="F196">
        <v>7</v>
      </c>
      <c r="G196">
        <v>27</v>
      </c>
      <c r="H196">
        <v>8</v>
      </c>
      <c r="I196" s="20">
        <f t="shared" si="3"/>
        <v>0.29629629629629628</v>
      </c>
      <c r="J196" s="21">
        <f>(IFERROR(_xlfn.PERCENTRANK.INC($B$2:$B$1194,B196)*100,0)*PARAMS_MODELO!$B$25)+(IFERROR(_xlfn.PERCENTRANK.INC($C$2:$C$1194,C196)*100,0)*PARAMS_MODELO!$B$26)+(IFERROR(_xlfn.PERCENTRANK.INC($E$2:$E$1194,E196)*100,0)*PARAMS_MODELO!$B$27)+(IFERROR(_xlfn.PERCENTRANK.INC($F$2:$F$1194,F196)*100,0)*PARAMS_MODELO!$B$29)+(IFERROR(_xlfn.PERCENTRANK.INC($I$2:$I$1194,I196)*100,0)*PARAMS_MODELO!$B$31)</f>
        <v>24.75</v>
      </c>
    </row>
    <row r="197" spans="1:10" x14ac:dyDescent="0.3">
      <c r="A197">
        <v>51056612</v>
      </c>
      <c r="B197">
        <v>11</v>
      </c>
      <c r="C197">
        <v>7</v>
      </c>
      <c r="D197">
        <v>53</v>
      </c>
      <c r="E197" s="21">
        <f>D197/PARAMS_MODELO!$B$28</f>
        <v>1.7666666666666666</v>
      </c>
      <c r="F197">
        <v>3</v>
      </c>
      <c r="G197">
        <v>91</v>
      </c>
      <c r="H197">
        <v>60</v>
      </c>
      <c r="I197" s="20">
        <f t="shared" si="3"/>
        <v>0.65934065934065933</v>
      </c>
      <c r="J197" s="21">
        <f>(IFERROR(_xlfn.PERCENTRANK.INC($B$2:$B$1194,B197)*100,0)*PARAMS_MODELO!$B$25)+(IFERROR(_xlfn.PERCENTRANK.INC($C$2:$C$1194,C197)*100,0)*PARAMS_MODELO!$B$26)+(IFERROR(_xlfn.PERCENTRANK.INC($E$2:$E$1194,E197)*100,0)*PARAMS_MODELO!$B$27)+(IFERROR(_xlfn.PERCENTRANK.INC($F$2:$F$1194,F197)*100,0)*PARAMS_MODELO!$B$29)+(IFERROR(_xlfn.PERCENTRANK.INC($I$2:$I$1194,I197)*100,0)*PARAMS_MODELO!$B$31)</f>
        <v>27.45</v>
      </c>
    </row>
    <row r="198" spans="1:10" x14ac:dyDescent="0.3">
      <c r="A198">
        <v>51032071</v>
      </c>
      <c r="B198">
        <v>20</v>
      </c>
      <c r="C198">
        <v>16</v>
      </c>
      <c r="D198">
        <v>76</v>
      </c>
      <c r="E198" s="21">
        <f>D198/PARAMS_MODELO!$B$28</f>
        <v>2.5333333333333332</v>
      </c>
      <c r="F198">
        <v>9</v>
      </c>
      <c r="G198">
        <v>88</v>
      </c>
      <c r="H198">
        <v>34</v>
      </c>
      <c r="I198" s="20">
        <f t="shared" si="3"/>
        <v>0.38636363636363635</v>
      </c>
      <c r="J198" s="21">
        <f>(IFERROR(_xlfn.PERCENTRANK.INC($B$2:$B$1194,B198)*100,0)*PARAMS_MODELO!$B$25)+(IFERROR(_xlfn.PERCENTRANK.INC($C$2:$C$1194,C198)*100,0)*PARAMS_MODELO!$B$26)+(IFERROR(_xlfn.PERCENTRANK.INC($E$2:$E$1194,E198)*100,0)*PARAMS_MODELO!$B$27)+(IFERROR(_xlfn.PERCENTRANK.INC($F$2:$F$1194,F198)*100,0)*PARAMS_MODELO!$B$29)+(IFERROR(_xlfn.PERCENTRANK.INC($I$2:$I$1194,I198)*100,0)*PARAMS_MODELO!$B$31)</f>
        <v>40.715000000000003</v>
      </c>
    </row>
    <row r="199" spans="1:10" x14ac:dyDescent="0.3">
      <c r="A199">
        <v>51031121</v>
      </c>
      <c r="B199">
        <v>65</v>
      </c>
      <c r="C199">
        <v>3</v>
      </c>
      <c r="D199">
        <v>64</v>
      </c>
      <c r="E199" s="21">
        <f>D199/PARAMS_MODELO!$B$28</f>
        <v>2.1333333333333333</v>
      </c>
      <c r="F199">
        <v>26</v>
      </c>
      <c r="G199">
        <v>53</v>
      </c>
      <c r="H199">
        <v>47</v>
      </c>
      <c r="I199" s="20">
        <f t="shared" si="3"/>
        <v>0.8867924528301887</v>
      </c>
      <c r="J199" s="21">
        <f>(IFERROR(_xlfn.PERCENTRANK.INC($B$2:$B$1194,B199)*100,0)*PARAMS_MODELO!$B$25)+(IFERROR(_xlfn.PERCENTRANK.INC($C$2:$C$1194,C199)*100,0)*PARAMS_MODELO!$B$26)+(IFERROR(_xlfn.PERCENTRANK.INC($E$2:$E$1194,E199)*100,0)*PARAMS_MODELO!$B$27)+(IFERROR(_xlfn.PERCENTRANK.INC($F$2:$F$1194,F199)*100,0)*PARAMS_MODELO!$B$29)+(IFERROR(_xlfn.PERCENTRANK.INC($I$2:$I$1194,I199)*100,0)*PARAMS_MODELO!$B$31)</f>
        <v>46.790000000000006</v>
      </c>
    </row>
    <row r="200" spans="1:10" x14ac:dyDescent="0.3">
      <c r="A200">
        <v>51056981</v>
      </c>
      <c r="B200">
        <v>42</v>
      </c>
      <c r="C200">
        <v>17</v>
      </c>
      <c r="D200">
        <v>37</v>
      </c>
      <c r="E200" s="21">
        <f>D200/PARAMS_MODELO!$B$28</f>
        <v>1.2333333333333334</v>
      </c>
      <c r="F200">
        <v>50</v>
      </c>
      <c r="G200">
        <v>95</v>
      </c>
      <c r="H200">
        <v>61</v>
      </c>
      <c r="I200" s="20">
        <f t="shared" si="3"/>
        <v>0.64210526315789473</v>
      </c>
      <c r="J200" s="21">
        <f>(IFERROR(_xlfn.PERCENTRANK.INC($B$2:$B$1194,B200)*100,0)*PARAMS_MODELO!$B$25)+(IFERROR(_xlfn.PERCENTRANK.INC($C$2:$C$1194,C200)*100,0)*PARAMS_MODELO!$B$26)+(IFERROR(_xlfn.PERCENTRANK.INC($E$2:$E$1194,E200)*100,0)*PARAMS_MODELO!$B$27)+(IFERROR(_xlfn.PERCENTRANK.INC($F$2:$F$1194,F200)*100,0)*PARAMS_MODELO!$B$29)+(IFERROR(_xlfn.PERCENTRANK.INC($I$2:$I$1194,I200)*100,0)*PARAMS_MODELO!$B$31)</f>
        <v>49.125</v>
      </c>
    </row>
    <row r="201" spans="1:10" x14ac:dyDescent="0.3">
      <c r="A201">
        <v>51022424</v>
      </c>
      <c r="B201">
        <v>7</v>
      </c>
      <c r="C201">
        <v>16</v>
      </c>
      <c r="D201">
        <v>79</v>
      </c>
      <c r="E201" s="21">
        <f>D201/PARAMS_MODELO!$B$28</f>
        <v>2.6333333333333333</v>
      </c>
      <c r="F201">
        <v>35</v>
      </c>
      <c r="G201">
        <v>72</v>
      </c>
      <c r="H201">
        <v>60</v>
      </c>
      <c r="I201" s="20">
        <f t="shared" si="3"/>
        <v>0.83333333333333337</v>
      </c>
      <c r="J201" s="21">
        <f>(IFERROR(_xlfn.PERCENTRANK.INC($B$2:$B$1194,B201)*100,0)*PARAMS_MODELO!$B$25)+(IFERROR(_xlfn.PERCENTRANK.INC($C$2:$C$1194,C201)*100,0)*PARAMS_MODELO!$B$26)+(IFERROR(_xlfn.PERCENTRANK.INC($E$2:$E$1194,E201)*100,0)*PARAMS_MODELO!$B$27)+(IFERROR(_xlfn.PERCENTRANK.INC($F$2:$F$1194,F201)*100,0)*PARAMS_MODELO!$B$29)+(IFERROR(_xlfn.PERCENTRANK.INC($I$2:$I$1194,I201)*100,0)*PARAMS_MODELO!$B$31)</f>
        <v>45.96</v>
      </c>
    </row>
    <row r="202" spans="1:10" x14ac:dyDescent="0.3">
      <c r="A202">
        <v>51025920</v>
      </c>
      <c r="B202">
        <v>5</v>
      </c>
      <c r="C202">
        <v>9</v>
      </c>
      <c r="D202">
        <v>85</v>
      </c>
      <c r="E202" s="21">
        <f>D202/PARAMS_MODELO!$B$28</f>
        <v>2.8333333333333335</v>
      </c>
      <c r="F202">
        <v>29</v>
      </c>
      <c r="G202">
        <v>88</v>
      </c>
      <c r="H202">
        <v>29</v>
      </c>
      <c r="I202" s="20">
        <f t="shared" si="3"/>
        <v>0.32954545454545453</v>
      </c>
      <c r="J202" s="21">
        <f>(IFERROR(_xlfn.PERCENTRANK.INC($B$2:$B$1194,B202)*100,0)*PARAMS_MODELO!$B$25)+(IFERROR(_xlfn.PERCENTRANK.INC($C$2:$C$1194,C202)*100,0)*PARAMS_MODELO!$B$26)+(IFERROR(_xlfn.PERCENTRANK.INC($E$2:$E$1194,E202)*100,0)*PARAMS_MODELO!$B$27)+(IFERROR(_xlfn.PERCENTRANK.INC($F$2:$F$1194,F202)*100,0)*PARAMS_MODELO!$B$29)+(IFERROR(_xlfn.PERCENTRANK.INC($I$2:$I$1194,I202)*100,0)*PARAMS_MODELO!$B$31)</f>
        <v>33.890000000000008</v>
      </c>
    </row>
    <row r="203" spans="1:10" x14ac:dyDescent="0.3">
      <c r="A203">
        <v>51056388</v>
      </c>
      <c r="B203">
        <v>87</v>
      </c>
      <c r="C203">
        <v>20</v>
      </c>
      <c r="D203">
        <v>78</v>
      </c>
      <c r="E203" s="21">
        <f>D203/PARAMS_MODELO!$B$28</f>
        <v>2.6</v>
      </c>
      <c r="F203">
        <v>80</v>
      </c>
      <c r="G203">
        <v>20</v>
      </c>
      <c r="H203">
        <v>14</v>
      </c>
      <c r="I203" s="20">
        <f t="shared" si="3"/>
        <v>0.7</v>
      </c>
      <c r="J203" s="21">
        <f>(IFERROR(_xlfn.PERCENTRANK.INC($B$2:$B$1194,B203)*100,0)*PARAMS_MODELO!$B$25)+(IFERROR(_xlfn.PERCENTRANK.INC($C$2:$C$1194,C203)*100,0)*PARAMS_MODELO!$B$26)+(IFERROR(_xlfn.PERCENTRANK.INC($E$2:$E$1194,E203)*100,0)*PARAMS_MODELO!$B$27)+(IFERROR(_xlfn.PERCENTRANK.INC($F$2:$F$1194,F203)*100,0)*PARAMS_MODELO!$B$29)+(IFERROR(_xlfn.PERCENTRANK.INC($I$2:$I$1194,I203)*100,0)*PARAMS_MODELO!$B$31)</f>
        <v>78.77</v>
      </c>
    </row>
    <row r="204" spans="1:10" x14ac:dyDescent="0.3">
      <c r="A204">
        <v>51033485</v>
      </c>
      <c r="B204">
        <v>95</v>
      </c>
      <c r="C204">
        <v>8</v>
      </c>
      <c r="D204">
        <v>1</v>
      </c>
      <c r="E204" s="21">
        <f>D204/PARAMS_MODELO!$B$28</f>
        <v>3.3333333333333333E-2</v>
      </c>
      <c r="F204">
        <v>12</v>
      </c>
      <c r="G204">
        <v>47</v>
      </c>
      <c r="H204">
        <v>19</v>
      </c>
      <c r="I204" s="20">
        <f t="shared" si="3"/>
        <v>0.40425531914893614</v>
      </c>
      <c r="J204" s="21">
        <f>(IFERROR(_xlfn.PERCENTRANK.INC($B$2:$B$1194,B204)*100,0)*PARAMS_MODELO!$B$25)+(IFERROR(_xlfn.PERCENTRANK.INC($C$2:$C$1194,C204)*100,0)*PARAMS_MODELO!$B$26)+(IFERROR(_xlfn.PERCENTRANK.INC($E$2:$E$1194,E204)*100,0)*PARAMS_MODELO!$B$27)+(IFERROR(_xlfn.PERCENTRANK.INC($F$2:$F$1194,F204)*100,0)*PARAMS_MODELO!$B$29)+(IFERROR(_xlfn.PERCENTRANK.INC($I$2:$I$1194,I204)*100,0)*PARAMS_MODELO!$B$31)</f>
        <v>41.140000000000008</v>
      </c>
    </row>
    <row r="205" spans="1:10" x14ac:dyDescent="0.3">
      <c r="A205">
        <v>51041615</v>
      </c>
      <c r="B205">
        <v>72</v>
      </c>
      <c r="C205">
        <v>11</v>
      </c>
      <c r="D205">
        <v>39</v>
      </c>
      <c r="E205" s="21">
        <f>D205/PARAMS_MODELO!$B$28</f>
        <v>1.3</v>
      </c>
      <c r="F205">
        <v>43</v>
      </c>
      <c r="G205">
        <v>81</v>
      </c>
      <c r="H205">
        <v>21</v>
      </c>
      <c r="I205" s="20">
        <f t="shared" si="3"/>
        <v>0.25925925925925924</v>
      </c>
      <c r="J205" s="21">
        <f>(IFERROR(_xlfn.PERCENTRANK.INC($B$2:$B$1194,B205)*100,0)*PARAMS_MODELO!$B$25)+(IFERROR(_xlfn.PERCENTRANK.INC($C$2:$C$1194,C205)*100,0)*PARAMS_MODELO!$B$26)+(IFERROR(_xlfn.PERCENTRANK.INC($E$2:$E$1194,E205)*100,0)*PARAMS_MODELO!$B$27)+(IFERROR(_xlfn.PERCENTRANK.INC($F$2:$F$1194,F205)*100,0)*PARAMS_MODELO!$B$29)+(IFERROR(_xlfn.PERCENTRANK.INC($I$2:$I$1194,I205)*100,0)*PARAMS_MODELO!$B$31)</f>
        <v>48.244999999999997</v>
      </c>
    </row>
    <row r="206" spans="1:10" x14ac:dyDescent="0.3">
      <c r="A206">
        <v>51017641</v>
      </c>
      <c r="B206">
        <v>51</v>
      </c>
      <c r="C206">
        <v>22</v>
      </c>
      <c r="D206">
        <v>96</v>
      </c>
      <c r="E206" s="21">
        <f>D206/PARAMS_MODELO!$B$28</f>
        <v>3.2</v>
      </c>
      <c r="F206">
        <v>43</v>
      </c>
      <c r="G206">
        <v>83</v>
      </c>
      <c r="H206">
        <v>3</v>
      </c>
      <c r="I206" s="20">
        <f t="shared" si="3"/>
        <v>3.614457831325301E-2</v>
      </c>
      <c r="J206" s="21">
        <f>(IFERROR(_xlfn.PERCENTRANK.INC($B$2:$B$1194,B206)*100,0)*PARAMS_MODELO!$B$25)+(IFERROR(_xlfn.PERCENTRANK.INC($C$2:$C$1194,C206)*100,0)*PARAMS_MODELO!$B$26)+(IFERROR(_xlfn.PERCENTRANK.INC($E$2:$E$1194,E206)*100,0)*PARAMS_MODELO!$B$27)+(IFERROR(_xlfn.PERCENTRANK.INC($F$2:$F$1194,F206)*100,0)*PARAMS_MODELO!$B$29)+(IFERROR(_xlfn.PERCENTRANK.INC($I$2:$I$1194,I206)*100,0)*PARAMS_MODELO!$B$31)</f>
        <v>61.41</v>
      </c>
    </row>
    <row r="207" spans="1:10" x14ac:dyDescent="0.3">
      <c r="A207">
        <v>51005741</v>
      </c>
      <c r="B207">
        <v>43</v>
      </c>
      <c r="C207">
        <v>5</v>
      </c>
      <c r="D207">
        <v>99</v>
      </c>
      <c r="E207" s="21">
        <f>D207/PARAMS_MODELO!$B$28</f>
        <v>3.3</v>
      </c>
      <c r="F207">
        <v>45</v>
      </c>
      <c r="G207">
        <v>95</v>
      </c>
      <c r="H207">
        <v>73</v>
      </c>
      <c r="I207" s="20">
        <f t="shared" si="3"/>
        <v>0.76842105263157889</v>
      </c>
      <c r="J207" s="21">
        <f>(IFERROR(_xlfn.PERCENTRANK.INC($B$2:$B$1194,B207)*100,0)*PARAMS_MODELO!$B$25)+(IFERROR(_xlfn.PERCENTRANK.INC($C$2:$C$1194,C207)*100,0)*PARAMS_MODELO!$B$26)+(IFERROR(_xlfn.PERCENTRANK.INC($E$2:$E$1194,E207)*100,0)*PARAMS_MODELO!$B$27)+(IFERROR(_xlfn.PERCENTRANK.INC($F$2:$F$1194,F207)*100,0)*PARAMS_MODELO!$B$29)+(IFERROR(_xlfn.PERCENTRANK.INC($I$2:$I$1194,I207)*100,0)*PARAMS_MODELO!$B$31)</f>
        <v>51.215000000000003</v>
      </c>
    </row>
    <row r="208" spans="1:10" x14ac:dyDescent="0.3">
      <c r="A208">
        <v>51011996</v>
      </c>
      <c r="B208">
        <v>47</v>
      </c>
      <c r="C208">
        <v>1</v>
      </c>
      <c r="D208">
        <v>27</v>
      </c>
      <c r="E208" s="21">
        <f>D208/PARAMS_MODELO!$B$28</f>
        <v>0.9</v>
      </c>
      <c r="F208">
        <v>80</v>
      </c>
      <c r="G208">
        <v>39</v>
      </c>
      <c r="H208">
        <v>34</v>
      </c>
      <c r="I208" s="20">
        <f t="shared" si="3"/>
        <v>0.87179487179487181</v>
      </c>
      <c r="J208" s="21">
        <f>(IFERROR(_xlfn.PERCENTRANK.INC($B$2:$B$1194,B208)*100,0)*PARAMS_MODELO!$B$25)+(IFERROR(_xlfn.PERCENTRANK.INC($C$2:$C$1194,C208)*100,0)*PARAMS_MODELO!$B$26)+(IFERROR(_xlfn.PERCENTRANK.INC($E$2:$E$1194,E208)*100,0)*PARAMS_MODELO!$B$27)+(IFERROR(_xlfn.PERCENTRANK.INC($F$2:$F$1194,F208)*100,0)*PARAMS_MODELO!$B$29)+(IFERROR(_xlfn.PERCENTRANK.INC($I$2:$I$1194,I208)*100,0)*PARAMS_MODELO!$B$31)</f>
        <v>40.795000000000002</v>
      </c>
    </row>
    <row r="209" spans="1:10" x14ac:dyDescent="0.3">
      <c r="A209">
        <v>51025440</v>
      </c>
      <c r="B209">
        <v>42</v>
      </c>
      <c r="C209">
        <v>6</v>
      </c>
      <c r="D209">
        <v>82</v>
      </c>
      <c r="E209" s="21">
        <f>D209/PARAMS_MODELO!$B$28</f>
        <v>2.7333333333333334</v>
      </c>
      <c r="F209">
        <v>99</v>
      </c>
      <c r="G209">
        <v>96</v>
      </c>
      <c r="H209">
        <v>10</v>
      </c>
      <c r="I209" s="20">
        <f t="shared" si="3"/>
        <v>0.10416666666666667</v>
      </c>
      <c r="J209" s="21">
        <f>(IFERROR(_xlfn.PERCENTRANK.INC($B$2:$B$1194,B209)*100,0)*PARAMS_MODELO!$B$25)+(IFERROR(_xlfn.PERCENTRANK.INC($C$2:$C$1194,C209)*100,0)*PARAMS_MODELO!$B$26)+(IFERROR(_xlfn.PERCENTRANK.INC($E$2:$E$1194,E209)*100,0)*PARAMS_MODELO!$B$27)+(IFERROR(_xlfn.PERCENTRANK.INC($F$2:$F$1194,F209)*100,0)*PARAMS_MODELO!$B$29)+(IFERROR(_xlfn.PERCENTRANK.INC($I$2:$I$1194,I209)*100,0)*PARAMS_MODELO!$B$31)</f>
        <v>49.91</v>
      </c>
    </row>
    <row r="210" spans="1:10" x14ac:dyDescent="0.3">
      <c r="A210">
        <v>51055993</v>
      </c>
      <c r="B210">
        <v>8</v>
      </c>
      <c r="C210">
        <v>15</v>
      </c>
      <c r="D210">
        <v>18</v>
      </c>
      <c r="E210" s="21">
        <f>D210/PARAMS_MODELO!$B$28</f>
        <v>0.6</v>
      </c>
      <c r="F210">
        <v>44</v>
      </c>
      <c r="G210">
        <v>73</v>
      </c>
      <c r="H210">
        <v>5</v>
      </c>
      <c r="I210" s="20">
        <f t="shared" si="3"/>
        <v>6.8493150684931503E-2</v>
      </c>
      <c r="J210" s="21">
        <f>(IFERROR(_xlfn.PERCENTRANK.INC($B$2:$B$1194,B210)*100,0)*PARAMS_MODELO!$B$25)+(IFERROR(_xlfn.PERCENTRANK.INC($C$2:$C$1194,C210)*100,0)*PARAMS_MODELO!$B$26)+(IFERROR(_xlfn.PERCENTRANK.INC($E$2:$E$1194,E210)*100,0)*PARAMS_MODELO!$B$27)+(IFERROR(_xlfn.PERCENTRANK.INC($F$2:$F$1194,F210)*100,0)*PARAMS_MODELO!$B$29)+(IFERROR(_xlfn.PERCENTRANK.INC($I$2:$I$1194,I210)*100,0)*PARAMS_MODELO!$B$31)</f>
        <v>27.130000000000003</v>
      </c>
    </row>
    <row r="211" spans="1:10" x14ac:dyDescent="0.3">
      <c r="A211">
        <v>51021231</v>
      </c>
      <c r="B211">
        <v>41</v>
      </c>
      <c r="C211">
        <v>18</v>
      </c>
      <c r="D211">
        <v>56</v>
      </c>
      <c r="E211" s="21">
        <f>D211/PARAMS_MODELO!$B$28</f>
        <v>1.8666666666666667</v>
      </c>
      <c r="F211">
        <v>15</v>
      </c>
      <c r="G211">
        <v>9</v>
      </c>
      <c r="H211">
        <v>8</v>
      </c>
      <c r="I211" s="20">
        <f t="shared" si="3"/>
        <v>0.88888888888888884</v>
      </c>
      <c r="J211" s="21">
        <f>(IFERROR(_xlfn.PERCENTRANK.INC($B$2:$B$1194,B211)*100,0)*PARAMS_MODELO!$B$25)+(IFERROR(_xlfn.PERCENTRANK.INC($C$2:$C$1194,C211)*100,0)*PARAMS_MODELO!$B$26)+(IFERROR(_xlfn.PERCENTRANK.INC($E$2:$E$1194,E211)*100,0)*PARAMS_MODELO!$B$27)+(IFERROR(_xlfn.PERCENTRANK.INC($F$2:$F$1194,F211)*100,0)*PARAMS_MODELO!$B$29)+(IFERROR(_xlfn.PERCENTRANK.INC($I$2:$I$1194,I211)*100,0)*PARAMS_MODELO!$B$31)</f>
        <v>50.754999999999995</v>
      </c>
    </row>
    <row r="212" spans="1:10" x14ac:dyDescent="0.3">
      <c r="A212">
        <v>51024125</v>
      </c>
      <c r="B212">
        <v>60</v>
      </c>
      <c r="C212">
        <v>19</v>
      </c>
      <c r="D212">
        <v>87</v>
      </c>
      <c r="E212" s="21">
        <f>D212/PARAMS_MODELO!$B$28</f>
        <v>2.9</v>
      </c>
      <c r="F212">
        <v>26</v>
      </c>
      <c r="G212">
        <v>40</v>
      </c>
      <c r="H212">
        <v>37</v>
      </c>
      <c r="I212" s="20">
        <f t="shared" si="3"/>
        <v>0.92500000000000004</v>
      </c>
      <c r="J212" s="21">
        <f>(IFERROR(_xlfn.PERCENTRANK.INC($B$2:$B$1194,B212)*100,0)*PARAMS_MODELO!$B$25)+(IFERROR(_xlfn.PERCENTRANK.INC($C$2:$C$1194,C212)*100,0)*PARAMS_MODELO!$B$26)+(IFERROR(_xlfn.PERCENTRANK.INC($E$2:$E$1194,E212)*100,0)*PARAMS_MODELO!$B$27)+(IFERROR(_xlfn.PERCENTRANK.INC($F$2:$F$1194,F212)*100,0)*PARAMS_MODELO!$B$29)+(IFERROR(_xlfn.PERCENTRANK.INC($I$2:$I$1194,I212)*100,0)*PARAMS_MODELO!$B$31)</f>
        <v>64.715000000000018</v>
      </c>
    </row>
    <row r="213" spans="1:10" x14ac:dyDescent="0.3">
      <c r="A213">
        <v>51014359</v>
      </c>
      <c r="B213">
        <v>30</v>
      </c>
      <c r="C213">
        <v>18</v>
      </c>
      <c r="D213">
        <v>71</v>
      </c>
      <c r="E213" s="21">
        <f>D213/PARAMS_MODELO!$B$28</f>
        <v>2.3666666666666667</v>
      </c>
      <c r="F213">
        <v>52</v>
      </c>
      <c r="G213">
        <v>58</v>
      </c>
      <c r="H213">
        <v>8</v>
      </c>
      <c r="I213" s="20">
        <f t="shared" si="3"/>
        <v>0.13793103448275862</v>
      </c>
      <c r="J213" s="21">
        <f>(IFERROR(_xlfn.PERCENTRANK.INC($B$2:$B$1194,B213)*100,0)*PARAMS_MODELO!$B$25)+(IFERROR(_xlfn.PERCENTRANK.INC($C$2:$C$1194,C213)*100,0)*PARAMS_MODELO!$B$26)+(IFERROR(_xlfn.PERCENTRANK.INC($E$2:$E$1194,E213)*100,0)*PARAMS_MODELO!$B$27)+(IFERROR(_xlfn.PERCENTRANK.INC($F$2:$F$1194,F213)*100,0)*PARAMS_MODELO!$B$29)+(IFERROR(_xlfn.PERCENTRANK.INC($I$2:$I$1194,I213)*100,0)*PARAMS_MODELO!$B$31)</f>
        <v>49.094999999999999</v>
      </c>
    </row>
    <row r="214" spans="1:10" x14ac:dyDescent="0.3">
      <c r="A214">
        <v>51024681</v>
      </c>
      <c r="B214">
        <v>58</v>
      </c>
      <c r="C214">
        <v>11</v>
      </c>
      <c r="D214">
        <v>16</v>
      </c>
      <c r="E214" s="21">
        <f>D214/PARAMS_MODELO!$B$28</f>
        <v>0.53333333333333333</v>
      </c>
      <c r="F214">
        <v>67</v>
      </c>
      <c r="G214">
        <v>33</v>
      </c>
      <c r="H214">
        <v>21</v>
      </c>
      <c r="I214" s="20">
        <f t="shared" si="3"/>
        <v>0.63636363636363635</v>
      </c>
      <c r="J214" s="21">
        <f>(IFERROR(_xlfn.PERCENTRANK.INC($B$2:$B$1194,B214)*100,0)*PARAMS_MODELO!$B$25)+(IFERROR(_xlfn.PERCENTRANK.INC($C$2:$C$1194,C214)*100,0)*PARAMS_MODELO!$B$26)+(IFERROR(_xlfn.PERCENTRANK.INC($E$2:$E$1194,E214)*100,0)*PARAMS_MODELO!$B$27)+(IFERROR(_xlfn.PERCENTRANK.INC($F$2:$F$1194,F214)*100,0)*PARAMS_MODELO!$B$29)+(IFERROR(_xlfn.PERCENTRANK.INC($I$2:$I$1194,I214)*100,0)*PARAMS_MODELO!$B$31)</f>
        <v>46.424999999999997</v>
      </c>
    </row>
    <row r="215" spans="1:10" x14ac:dyDescent="0.3">
      <c r="A215">
        <v>51024001</v>
      </c>
      <c r="B215">
        <v>41</v>
      </c>
      <c r="C215">
        <v>25</v>
      </c>
      <c r="D215">
        <v>82</v>
      </c>
      <c r="E215" s="21">
        <f>D215/PARAMS_MODELO!$B$28</f>
        <v>2.7333333333333334</v>
      </c>
      <c r="F215">
        <v>61</v>
      </c>
      <c r="G215">
        <v>66</v>
      </c>
      <c r="H215">
        <v>14</v>
      </c>
      <c r="I215" s="20">
        <f t="shared" si="3"/>
        <v>0.21212121212121213</v>
      </c>
      <c r="J215" s="21">
        <f>(IFERROR(_xlfn.PERCENTRANK.INC($B$2:$B$1194,B215)*100,0)*PARAMS_MODELO!$B$25)+(IFERROR(_xlfn.PERCENTRANK.INC($C$2:$C$1194,C215)*100,0)*PARAMS_MODELO!$B$26)+(IFERROR(_xlfn.PERCENTRANK.INC($E$2:$E$1194,E215)*100,0)*PARAMS_MODELO!$B$27)+(IFERROR(_xlfn.PERCENTRANK.INC($F$2:$F$1194,F215)*100,0)*PARAMS_MODELO!$B$29)+(IFERROR(_xlfn.PERCENTRANK.INC($I$2:$I$1194,I215)*100,0)*PARAMS_MODELO!$B$31)</f>
        <v>63.445</v>
      </c>
    </row>
    <row r="216" spans="1:10" x14ac:dyDescent="0.3">
      <c r="A216">
        <v>51023480</v>
      </c>
      <c r="B216">
        <v>42</v>
      </c>
      <c r="C216">
        <v>11</v>
      </c>
      <c r="D216">
        <v>36</v>
      </c>
      <c r="E216" s="21">
        <f>D216/PARAMS_MODELO!$B$28</f>
        <v>1.2</v>
      </c>
      <c r="F216">
        <v>45</v>
      </c>
      <c r="G216">
        <v>68</v>
      </c>
      <c r="H216">
        <v>33</v>
      </c>
      <c r="I216" s="20">
        <f t="shared" si="3"/>
        <v>0.48529411764705882</v>
      </c>
      <c r="J216" s="21">
        <f>(IFERROR(_xlfn.PERCENTRANK.INC($B$2:$B$1194,B216)*100,0)*PARAMS_MODELO!$B$25)+(IFERROR(_xlfn.PERCENTRANK.INC($C$2:$C$1194,C216)*100,0)*PARAMS_MODELO!$B$26)+(IFERROR(_xlfn.PERCENTRANK.INC($E$2:$E$1194,E216)*100,0)*PARAMS_MODELO!$B$27)+(IFERROR(_xlfn.PERCENTRANK.INC($F$2:$F$1194,F216)*100,0)*PARAMS_MODELO!$B$29)+(IFERROR(_xlfn.PERCENTRANK.INC($I$2:$I$1194,I216)*100,0)*PARAMS_MODELO!$B$31)</f>
        <v>41.04</v>
      </c>
    </row>
    <row r="217" spans="1:10" x14ac:dyDescent="0.3">
      <c r="A217">
        <v>51020405</v>
      </c>
      <c r="B217">
        <v>2</v>
      </c>
      <c r="C217">
        <v>9</v>
      </c>
      <c r="D217">
        <v>18</v>
      </c>
      <c r="E217" s="21">
        <f>D217/PARAMS_MODELO!$B$28</f>
        <v>0.6</v>
      </c>
      <c r="F217">
        <v>100</v>
      </c>
      <c r="G217">
        <v>67</v>
      </c>
      <c r="H217">
        <v>11</v>
      </c>
      <c r="I217" s="20">
        <f t="shared" si="3"/>
        <v>0.16417910447761194</v>
      </c>
      <c r="J217" s="21">
        <f>(IFERROR(_xlfn.PERCENTRANK.INC($B$2:$B$1194,B217)*100,0)*PARAMS_MODELO!$B$25)+(IFERROR(_xlfn.PERCENTRANK.INC($C$2:$C$1194,C217)*100,0)*PARAMS_MODELO!$B$26)+(IFERROR(_xlfn.PERCENTRANK.INC($E$2:$E$1194,E217)*100,0)*PARAMS_MODELO!$B$27)+(IFERROR(_xlfn.PERCENTRANK.INC($F$2:$F$1194,F217)*100,0)*PARAMS_MODELO!$B$29)+(IFERROR(_xlfn.PERCENTRANK.INC($I$2:$I$1194,I217)*100,0)*PARAMS_MODELO!$B$31)</f>
        <v>29.064999999999998</v>
      </c>
    </row>
    <row r="218" spans="1:10" x14ac:dyDescent="0.3">
      <c r="A218">
        <v>51044070</v>
      </c>
      <c r="B218">
        <v>45</v>
      </c>
      <c r="C218">
        <v>22</v>
      </c>
      <c r="D218">
        <v>28</v>
      </c>
      <c r="E218" s="21">
        <f>D218/PARAMS_MODELO!$B$28</f>
        <v>0.93333333333333335</v>
      </c>
      <c r="F218">
        <v>35</v>
      </c>
      <c r="G218">
        <v>39</v>
      </c>
      <c r="H218">
        <v>5</v>
      </c>
      <c r="I218" s="20">
        <f t="shared" si="3"/>
        <v>0.12820512820512819</v>
      </c>
      <c r="J218" s="21">
        <f>(IFERROR(_xlfn.PERCENTRANK.INC($B$2:$B$1194,B218)*100,0)*PARAMS_MODELO!$B$25)+(IFERROR(_xlfn.PERCENTRANK.INC($C$2:$C$1194,C218)*100,0)*PARAMS_MODELO!$B$26)+(IFERROR(_xlfn.PERCENTRANK.INC($E$2:$E$1194,E218)*100,0)*PARAMS_MODELO!$B$27)+(IFERROR(_xlfn.PERCENTRANK.INC($F$2:$F$1194,F218)*100,0)*PARAMS_MODELO!$B$29)+(IFERROR(_xlfn.PERCENTRANK.INC($I$2:$I$1194,I218)*100,0)*PARAMS_MODELO!$B$31)</f>
        <v>45.904999999999994</v>
      </c>
    </row>
    <row r="219" spans="1:10" x14ac:dyDescent="0.3">
      <c r="A219">
        <v>51032110</v>
      </c>
      <c r="B219">
        <v>12</v>
      </c>
      <c r="C219">
        <v>1</v>
      </c>
      <c r="D219">
        <v>59</v>
      </c>
      <c r="E219" s="21">
        <f>D219/PARAMS_MODELO!$B$28</f>
        <v>1.9666666666666666</v>
      </c>
      <c r="F219">
        <v>93</v>
      </c>
      <c r="G219">
        <v>4</v>
      </c>
      <c r="H219">
        <v>2</v>
      </c>
      <c r="I219" s="20">
        <f t="shared" si="3"/>
        <v>0.5</v>
      </c>
      <c r="J219" s="21">
        <f>(IFERROR(_xlfn.PERCENTRANK.INC($B$2:$B$1194,B219)*100,0)*PARAMS_MODELO!$B$25)+(IFERROR(_xlfn.PERCENTRANK.INC($C$2:$C$1194,C219)*100,0)*PARAMS_MODELO!$B$26)+(IFERROR(_xlfn.PERCENTRANK.INC($E$2:$E$1194,E219)*100,0)*PARAMS_MODELO!$B$27)+(IFERROR(_xlfn.PERCENTRANK.INC($F$2:$F$1194,F219)*100,0)*PARAMS_MODELO!$B$29)+(IFERROR(_xlfn.PERCENTRANK.INC($I$2:$I$1194,I219)*100,0)*PARAMS_MODELO!$B$31)</f>
        <v>35.269999999999996</v>
      </c>
    </row>
    <row r="220" spans="1:10" x14ac:dyDescent="0.3">
      <c r="A220">
        <v>51036123</v>
      </c>
      <c r="B220">
        <v>9</v>
      </c>
      <c r="C220">
        <v>9</v>
      </c>
      <c r="D220">
        <v>66</v>
      </c>
      <c r="E220" s="21">
        <f>D220/PARAMS_MODELO!$B$28</f>
        <v>2.2000000000000002</v>
      </c>
      <c r="F220">
        <v>98</v>
      </c>
      <c r="G220">
        <v>62</v>
      </c>
      <c r="H220">
        <v>45</v>
      </c>
      <c r="I220" s="20">
        <f t="shared" si="3"/>
        <v>0.72580645161290325</v>
      </c>
      <c r="J220" s="21">
        <f>(IFERROR(_xlfn.PERCENTRANK.INC($B$2:$B$1194,B220)*100,0)*PARAMS_MODELO!$B$25)+(IFERROR(_xlfn.PERCENTRANK.INC($C$2:$C$1194,C220)*100,0)*PARAMS_MODELO!$B$26)+(IFERROR(_xlfn.PERCENTRANK.INC($E$2:$E$1194,E220)*100,0)*PARAMS_MODELO!$B$27)+(IFERROR(_xlfn.PERCENTRANK.INC($F$2:$F$1194,F220)*100,0)*PARAMS_MODELO!$B$29)+(IFERROR(_xlfn.PERCENTRANK.INC($I$2:$I$1194,I220)*100,0)*PARAMS_MODELO!$B$31)</f>
        <v>46.069999999999993</v>
      </c>
    </row>
    <row r="221" spans="1:10" x14ac:dyDescent="0.3">
      <c r="A221">
        <v>51056078</v>
      </c>
      <c r="B221">
        <v>80</v>
      </c>
      <c r="C221">
        <v>3</v>
      </c>
      <c r="D221">
        <v>40</v>
      </c>
      <c r="E221" s="21">
        <f>D221/PARAMS_MODELO!$B$28</f>
        <v>1.3333333333333333</v>
      </c>
      <c r="F221">
        <v>65</v>
      </c>
      <c r="G221">
        <v>54</v>
      </c>
      <c r="H221">
        <v>52</v>
      </c>
      <c r="I221" s="20">
        <f t="shared" si="3"/>
        <v>0.96296296296296291</v>
      </c>
      <c r="J221" s="21">
        <f>(IFERROR(_xlfn.PERCENTRANK.INC($B$2:$B$1194,B221)*100,0)*PARAMS_MODELO!$B$25)+(IFERROR(_xlfn.PERCENTRANK.INC($C$2:$C$1194,C221)*100,0)*PARAMS_MODELO!$B$26)+(IFERROR(_xlfn.PERCENTRANK.INC($E$2:$E$1194,E221)*100,0)*PARAMS_MODELO!$B$27)+(IFERROR(_xlfn.PERCENTRANK.INC($F$2:$F$1194,F221)*100,0)*PARAMS_MODELO!$B$29)+(IFERROR(_xlfn.PERCENTRANK.INC($I$2:$I$1194,I221)*100,0)*PARAMS_MODELO!$B$31)</f>
        <v>53.730000000000004</v>
      </c>
    </row>
    <row r="222" spans="1:10" x14ac:dyDescent="0.3">
      <c r="A222">
        <v>51012445</v>
      </c>
      <c r="B222">
        <v>66</v>
      </c>
      <c r="C222">
        <v>19</v>
      </c>
      <c r="D222">
        <v>40</v>
      </c>
      <c r="E222" s="21">
        <f>D222/PARAMS_MODELO!$B$28</f>
        <v>1.3333333333333333</v>
      </c>
      <c r="F222">
        <v>76</v>
      </c>
      <c r="G222">
        <v>17</v>
      </c>
      <c r="H222">
        <v>15</v>
      </c>
      <c r="I222" s="20">
        <f t="shared" si="3"/>
        <v>0.88235294117647056</v>
      </c>
      <c r="J222" s="21">
        <f>(IFERROR(_xlfn.PERCENTRANK.INC($B$2:$B$1194,B222)*100,0)*PARAMS_MODELO!$B$25)+(IFERROR(_xlfn.PERCENTRANK.INC($C$2:$C$1194,C222)*100,0)*PARAMS_MODELO!$B$26)+(IFERROR(_xlfn.PERCENTRANK.INC($E$2:$E$1194,E222)*100,0)*PARAMS_MODELO!$B$27)+(IFERROR(_xlfn.PERCENTRANK.INC($F$2:$F$1194,F222)*100,0)*PARAMS_MODELO!$B$29)+(IFERROR(_xlfn.PERCENTRANK.INC($I$2:$I$1194,I222)*100,0)*PARAMS_MODELO!$B$31)</f>
        <v>65.114999999999995</v>
      </c>
    </row>
    <row r="223" spans="1:10" x14ac:dyDescent="0.3">
      <c r="A223">
        <v>51019661</v>
      </c>
      <c r="B223">
        <v>26</v>
      </c>
      <c r="C223">
        <v>4</v>
      </c>
      <c r="D223">
        <v>62</v>
      </c>
      <c r="E223" s="21">
        <f>D223/PARAMS_MODELO!$B$28</f>
        <v>2.0666666666666669</v>
      </c>
      <c r="F223">
        <v>8</v>
      </c>
      <c r="G223">
        <v>8</v>
      </c>
      <c r="H223">
        <v>7</v>
      </c>
      <c r="I223" s="20">
        <f t="shared" si="3"/>
        <v>0.875</v>
      </c>
      <c r="J223" s="21">
        <f>(IFERROR(_xlfn.PERCENTRANK.INC($B$2:$B$1194,B223)*100,0)*PARAMS_MODELO!$B$25)+(IFERROR(_xlfn.PERCENTRANK.INC($C$2:$C$1194,C223)*100,0)*PARAMS_MODELO!$B$26)+(IFERROR(_xlfn.PERCENTRANK.INC($E$2:$E$1194,E223)*100,0)*PARAMS_MODELO!$B$27)+(IFERROR(_xlfn.PERCENTRANK.INC($F$2:$F$1194,F223)*100,0)*PARAMS_MODELO!$B$29)+(IFERROR(_xlfn.PERCENTRANK.INC($I$2:$I$1194,I223)*100,0)*PARAMS_MODELO!$B$31)</f>
        <v>33.549999999999997</v>
      </c>
    </row>
    <row r="224" spans="1:10" x14ac:dyDescent="0.3">
      <c r="A224">
        <v>51021894</v>
      </c>
      <c r="B224">
        <v>78</v>
      </c>
      <c r="C224">
        <v>9</v>
      </c>
      <c r="D224">
        <v>31</v>
      </c>
      <c r="E224" s="21">
        <f>D224/PARAMS_MODELO!$B$28</f>
        <v>1.0333333333333334</v>
      </c>
      <c r="F224">
        <v>49</v>
      </c>
      <c r="G224">
        <v>49</v>
      </c>
      <c r="H224">
        <v>2</v>
      </c>
      <c r="I224" s="20">
        <f t="shared" si="3"/>
        <v>4.0816326530612242E-2</v>
      </c>
      <c r="J224" s="21">
        <f>(IFERROR(_xlfn.PERCENTRANK.INC($B$2:$B$1194,B224)*100,0)*PARAMS_MODELO!$B$25)+(IFERROR(_xlfn.PERCENTRANK.INC($C$2:$C$1194,C224)*100,0)*PARAMS_MODELO!$B$26)+(IFERROR(_xlfn.PERCENTRANK.INC($E$2:$E$1194,E224)*100,0)*PARAMS_MODELO!$B$27)+(IFERROR(_xlfn.PERCENTRANK.INC($F$2:$F$1194,F224)*100,0)*PARAMS_MODELO!$B$29)+(IFERROR(_xlfn.PERCENTRANK.INC($I$2:$I$1194,I224)*100,0)*PARAMS_MODELO!$B$31)</f>
        <v>44.93</v>
      </c>
    </row>
    <row r="225" spans="1:10" x14ac:dyDescent="0.3">
      <c r="A225">
        <v>51018575</v>
      </c>
      <c r="B225">
        <v>29</v>
      </c>
      <c r="C225">
        <v>14</v>
      </c>
      <c r="D225">
        <v>7</v>
      </c>
      <c r="E225" s="21">
        <f>D225/PARAMS_MODELO!$B$28</f>
        <v>0.23333333333333334</v>
      </c>
      <c r="F225">
        <v>59</v>
      </c>
      <c r="G225">
        <v>64</v>
      </c>
      <c r="H225">
        <v>32</v>
      </c>
      <c r="I225" s="20">
        <f t="shared" si="3"/>
        <v>0.5</v>
      </c>
      <c r="J225" s="21">
        <f>(IFERROR(_xlfn.PERCENTRANK.INC($B$2:$B$1194,B225)*100,0)*PARAMS_MODELO!$B$25)+(IFERROR(_xlfn.PERCENTRANK.INC($C$2:$C$1194,C225)*100,0)*PARAMS_MODELO!$B$26)+(IFERROR(_xlfn.PERCENTRANK.INC($E$2:$E$1194,E225)*100,0)*PARAMS_MODELO!$B$27)+(IFERROR(_xlfn.PERCENTRANK.INC($F$2:$F$1194,F225)*100,0)*PARAMS_MODELO!$B$29)+(IFERROR(_xlfn.PERCENTRANK.INC($I$2:$I$1194,I225)*100,0)*PARAMS_MODELO!$B$31)</f>
        <v>36.394999999999996</v>
      </c>
    </row>
    <row r="226" spans="1:10" x14ac:dyDescent="0.3">
      <c r="A226">
        <v>51031652</v>
      </c>
      <c r="B226">
        <v>77</v>
      </c>
      <c r="C226">
        <v>23</v>
      </c>
      <c r="D226">
        <v>20</v>
      </c>
      <c r="E226" s="21">
        <f>D226/PARAMS_MODELO!$B$28</f>
        <v>0.66666666666666663</v>
      </c>
      <c r="F226">
        <v>58</v>
      </c>
      <c r="G226">
        <v>28</v>
      </c>
      <c r="H226">
        <v>9</v>
      </c>
      <c r="I226" s="20">
        <f t="shared" si="3"/>
        <v>0.32142857142857145</v>
      </c>
      <c r="J226" s="21">
        <f>(IFERROR(_xlfn.PERCENTRANK.INC($B$2:$B$1194,B226)*100,0)*PARAMS_MODELO!$B$25)+(IFERROR(_xlfn.PERCENTRANK.INC($C$2:$C$1194,C226)*100,0)*PARAMS_MODELO!$B$26)+(IFERROR(_xlfn.PERCENTRANK.INC($E$2:$E$1194,E226)*100,0)*PARAMS_MODELO!$B$27)+(IFERROR(_xlfn.PERCENTRANK.INC($F$2:$F$1194,F226)*100,0)*PARAMS_MODELO!$B$29)+(IFERROR(_xlfn.PERCENTRANK.INC($I$2:$I$1194,I226)*100,0)*PARAMS_MODELO!$B$31)</f>
        <v>59.999999999999993</v>
      </c>
    </row>
    <row r="227" spans="1:10" x14ac:dyDescent="0.3">
      <c r="A227">
        <v>51040627</v>
      </c>
      <c r="B227">
        <v>70</v>
      </c>
      <c r="C227">
        <v>12</v>
      </c>
      <c r="D227">
        <v>83</v>
      </c>
      <c r="E227" s="21">
        <f>D227/PARAMS_MODELO!$B$28</f>
        <v>2.7666666666666666</v>
      </c>
      <c r="F227">
        <v>80</v>
      </c>
      <c r="G227">
        <v>43</v>
      </c>
      <c r="H227">
        <v>12</v>
      </c>
      <c r="I227" s="20">
        <f t="shared" si="3"/>
        <v>0.27906976744186046</v>
      </c>
      <c r="J227" s="21">
        <f>(IFERROR(_xlfn.PERCENTRANK.INC($B$2:$B$1194,B227)*100,0)*PARAMS_MODELO!$B$25)+(IFERROR(_xlfn.PERCENTRANK.INC($C$2:$C$1194,C227)*100,0)*PARAMS_MODELO!$B$26)+(IFERROR(_xlfn.PERCENTRANK.INC($E$2:$E$1194,E227)*100,0)*PARAMS_MODELO!$B$27)+(IFERROR(_xlfn.PERCENTRANK.INC($F$2:$F$1194,F227)*100,0)*PARAMS_MODELO!$B$29)+(IFERROR(_xlfn.PERCENTRANK.INC($I$2:$I$1194,I227)*100,0)*PARAMS_MODELO!$B$31)</f>
        <v>63.12</v>
      </c>
    </row>
    <row r="228" spans="1:10" x14ac:dyDescent="0.3">
      <c r="A228">
        <v>51031253</v>
      </c>
      <c r="B228">
        <v>77</v>
      </c>
      <c r="C228">
        <v>22</v>
      </c>
      <c r="D228">
        <v>37</v>
      </c>
      <c r="E228" s="21">
        <f>D228/PARAMS_MODELO!$B$28</f>
        <v>1.2333333333333334</v>
      </c>
      <c r="F228">
        <v>71</v>
      </c>
      <c r="G228">
        <v>98</v>
      </c>
      <c r="H228">
        <v>64</v>
      </c>
      <c r="I228" s="20">
        <f t="shared" si="3"/>
        <v>0.65306122448979587</v>
      </c>
      <c r="J228" s="21">
        <f>(IFERROR(_xlfn.PERCENTRANK.INC($B$2:$B$1194,B228)*100,0)*PARAMS_MODELO!$B$25)+(IFERROR(_xlfn.PERCENTRANK.INC($C$2:$C$1194,C228)*100,0)*PARAMS_MODELO!$B$26)+(IFERROR(_xlfn.PERCENTRANK.INC($E$2:$E$1194,E228)*100,0)*PARAMS_MODELO!$B$27)+(IFERROR(_xlfn.PERCENTRANK.INC($F$2:$F$1194,F228)*100,0)*PARAMS_MODELO!$B$29)+(IFERROR(_xlfn.PERCENTRANK.INC($I$2:$I$1194,I228)*100,0)*PARAMS_MODELO!$B$31)</f>
        <v>67.684999999999988</v>
      </c>
    </row>
    <row r="229" spans="1:10" x14ac:dyDescent="0.3">
      <c r="A229">
        <v>51034350</v>
      </c>
      <c r="B229">
        <v>37</v>
      </c>
      <c r="C229">
        <v>15</v>
      </c>
      <c r="D229">
        <v>77</v>
      </c>
      <c r="E229" s="21">
        <f>D229/PARAMS_MODELO!$B$28</f>
        <v>2.5666666666666669</v>
      </c>
      <c r="F229">
        <v>33</v>
      </c>
      <c r="G229">
        <v>62</v>
      </c>
      <c r="H229">
        <v>4</v>
      </c>
      <c r="I229" s="20">
        <f t="shared" si="3"/>
        <v>6.4516129032258063E-2</v>
      </c>
      <c r="J229" s="21">
        <f>(IFERROR(_xlfn.PERCENTRANK.INC($B$2:$B$1194,B229)*100,0)*PARAMS_MODELO!$B$25)+(IFERROR(_xlfn.PERCENTRANK.INC($C$2:$C$1194,C229)*100,0)*PARAMS_MODELO!$B$26)+(IFERROR(_xlfn.PERCENTRANK.INC($E$2:$E$1194,E229)*100,0)*PARAMS_MODELO!$B$27)+(IFERROR(_xlfn.PERCENTRANK.INC($F$2:$F$1194,F229)*100,0)*PARAMS_MODELO!$B$29)+(IFERROR(_xlfn.PERCENTRANK.INC($I$2:$I$1194,I229)*100,0)*PARAMS_MODELO!$B$31)</f>
        <v>45.36</v>
      </c>
    </row>
    <row r="230" spans="1:10" x14ac:dyDescent="0.3">
      <c r="A230">
        <v>51022220</v>
      </c>
      <c r="B230">
        <v>89</v>
      </c>
      <c r="C230">
        <v>16</v>
      </c>
      <c r="D230">
        <v>23</v>
      </c>
      <c r="E230" s="21">
        <f>D230/PARAMS_MODELO!$B$28</f>
        <v>0.76666666666666672</v>
      </c>
      <c r="F230">
        <v>19</v>
      </c>
      <c r="G230">
        <v>65</v>
      </c>
      <c r="H230">
        <v>46</v>
      </c>
      <c r="I230" s="20">
        <f t="shared" si="3"/>
        <v>0.70769230769230773</v>
      </c>
      <c r="J230" s="21">
        <f>(IFERROR(_xlfn.PERCENTRANK.INC($B$2:$B$1194,B230)*100,0)*PARAMS_MODELO!$B$25)+(IFERROR(_xlfn.PERCENTRANK.INC($C$2:$C$1194,C230)*100,0)*PARAMS_MODELO!$B$26)+(IFERROR(_xlfn.PERCENTRANK.INC($E$2:$E$1194,E230)*100,0)*PARAMS_MODELO!$B$27)+(IFERROR(_xlfn.PERCENTRANK.INC($F$2:$F$1194,F230)*100,0)*PARAMS_MODELO!$B$29)+(IFERROR(_xlfn.PERCENTRANK.INC($I$2:$I$1194,I230)*100,0)*PARAMS_MODELO!$B$31)</f>
        <v>54.795000000000002</v>
      </c>
    </row>
    <row r="231" spans="1:10" x14ac:dyDescent="0.3">
      <c r="A231">
        <v>51019512</v>
      </c>
      <c r="B231">
        <v>66</v>
      </c>
      <c r="C231">
        <v>4</v>
      </c>
      <c r="D231">
        <v>70</v>
      </c>
      <c r="E231" s="21">
        <f>D231/PARAMS_MODELO!$B$28</f>
        <v>2.3333333333333335</v>
      </c>
      <c r="F231">
        <v>32</v>
      </c>
      <c r="G231">
        <v>86</v>
      </c>
      <c r="H231">
        <v>64</v>
      </c>
      <c r="I231" s="20">
        <f t="shared" si="3"/>
        <v>0.7441860465116279</v>
      </c>
      <c r="J231" s="21">
        <f>(IFERROR(_xlfn.PERCENTRANK.INC($B$2:$B$1194,B231)*100,0)*PARAMS_MODELO!$B$25)+(IFERROR(_xlfn.PERCENTRANK.INC($C$2:$C$1194,C231)*100,0)*PARAMS_MODELO!$B$26)+(IFERROR(_xlfn.PERCENTRANK.INC($E$2:$E$1194,E231)*100,0)*PARAMS_MODELO!$B$27)+(IFERROR(_xlfn.PERCENTRANK.INC($F$2:$F$1194,F231)*100,0)*PARAMS_MODELO!$B$29)+(IFERROR(_xlfn.PERCENTRANK.INC($I$2:$I$1194,I231)*100,0)*PARAMS_MODELO!$B$31)</f>
        <v>49.065000000000005</v>
      </c>
    </row>
    <row r="232" spans="1:10" x14ac:dyDescent="0.3">
      <c r="A232">
        <v>51014391</v>
      </c>
      <c r="B232">
        <v>55</v>
      </c>
      <c r="C232">
        <v>17</v>
      </c>
      <c r="D232">
        <v>48</v>
      </c>
      <c r="E232" s="21">
        <f>D232/PARAMS_MODELO!$B$28</f>
        <v>1.6</v>
      </c>
      <c r="F232">
        <v>47</v>
      </c>
      <c r="G232">
        <v>92</v>
      </c>
      <c r="H232">
        <v>71</v>
      </c>
      <c r="I232" s="20">
        <f t="shared" si="3"/>
        <v>0.77173913043478259</v>
      </c>
      <c r="J232" s="21">
        <f>(IFERROR(_xlfn.PERCENTRANK.INC($B$2:$B$1194,B232)*100,0)*PARAMS_MODELO!$B$25)+(IFERROR(_xlfn.PERCENTRANK.INC($C$2:$C$1194,C232)*100,0)*PARAMS_MODELO!$B$26)+(IFERROR(_xlfn.PERCENTRANK.INC($E$2:$E$1194,E232)*100,0)*PARAMS_MODELO!$B$27)+(IFERROR(_xlfn.PERCENTRANK.INC($F$2:$F$1194,F232)*100,0)*PARAMS_MODELO!$B$29)+(IFERROR(_xlfn.PERCENTRANK.INC($I$2:$I$1194,I232)*100,0)*PARAMS_MODELO!$B$31)</f>
        <v>56.454999999999998</v>
      </c>
    </row>
    <row r="233" spans="1:10" x14ac:dyDescent="0.3">
      <c r="A233">
        <v>51042689</v>
      </c>
      <c r="B233">
        <v>19</v>
      </c>
      <c r="C233">
        <v>12</v>
      </c>
      <c r="D233">
        <v>62</v>
      </c>
      <c r="E233" s="21">
        <f>D233/PARAMS_MODELO!$B$28</f>
        <v>2.0666666666666669</v>
      </c>
      <c r="F233">
        <v>77</v>
      </c>
      <c r="G233">
        <v>22</v>
      </c>
      <c r="H233">
        <v>11</v>
      </c>
      <c r="I233" s="20">
        <f t="shared" si="3"/>
        <v>0.5</v>
      </c>
      <c r="J233" s="21">
        <f>(IFERROR(_xlfn.PERCENTRANK.INC($B$2:$B$1194,B233)*100,0)*PARAMS_MODELO!$B$25)+(IFERROR(_xlfn.PERCENTRANK.INC($C$2:$C$1194,C233)*100,0)*PARAMS_MODELO!$B$26)+(IFERROR(_xlfn.PERCENTRANK.INC($E$2:$E$1194,E233)*100,0)*PARAMS_MODELO!$B$27)+(IFERROR(_xlfn.PERCENTRANK.INC($F$2:$F$1194,F233)*100,0)*PARAMS_MODELO!$B$29)+(IFERROR(_xlfn.PERCENTRANK.INC($I$2:$I$1194,I233)*100,0)*PARAMS_MODELO!$B$31)</f>
        <v>45.540000000000006</v>
      </c>
    </row>
    <row r="234" spans="1:10" x14ac:dyDescent="0.3">
      <c r="A234">
        <v>51013867</v>
      </c>
      <c r="B234">
        <v>55</v>
      </c>
      <c r="C234">
        <v>17</v>
      </c>
      <c r="D234">
        <v>37</v>
      </c>
      <c r="E234" s="21">
        <f>D234/PARAMS_MODELO!$B$28</f>
        <v>1.2333333333333334</v>
      </c>
      <c r="F234">
        <v>62</v>
      </c>
      <c r="G234">
        <v>82</v>
      </c>
      <c r="H234">
        <v>73</v>
      </c>
      <c r="I234" s="20">
        <f t="shared" si="3"/>
        <v>0.8902439024390244</v>
      </c>
      <c r="J234" s="21">
        <f>(IFERROR(_xlfn.PERCENTRANK.INC($B$2:$B$1194,B234)*100,0)*PARAMS_MODELO!$B$25)+(IFERROR(_xlfn.PERCENTRANK.INC($C$2:$C$1194,C234)*100,0)*PARAMS_MODELO!$B$26)+(IFERROR(_xlfn.PERCENTRANK.INC($E$2:$E$1194,E234)*100,0)*PARAMS_MODELO!$B$27)+(IFERROR(_xlfn.PERCENTRANK.INC($F$2:$F$1194,F234)*100,0)*PARAMS_MODELO!$B$29)+(IFERROR(_xlfn.PERCENTRANK.INC($I$2:$I$1194,I234)*100,0)*PARAMS_MODELO!$B$31)</f>
        <v>57.284999999999997</v>
      </c>
    </row>
    <row r="235" spans="1:10" x14ac:dyDescent="0.3">
      <c r="A235">
        <v>51021258</v>
      </c>
      <c r="B235">
        <v>25</v>
      </c>
      <c r="C235">
        <v>3</v>
      </c>
      <c r="D235">
        <v>66</v>
      </c>
      <c r="E235" s="21">
        <f>D235/PARAMS_MODELO!$B$28</f>
        <v>2.2000000000000002</v>
      </c>
      <c r="F235">
        <v>18</v>
      </c>
      <c r="G235">
        <v>100</v>
      </c>
      <c r="H235">
        <v>40</v>
      </c>
      <c r="I235" s="20">
        <f t="shared" si="3"/>
        <v>0.4</v>
      </c>
      <c r="J235" s="21">
        <f>(IFERROR(_xlfn.PERCENTRANK.INC($B$2:$B$1194,B235)*100,0)*PARAMS_MODELO!$B$25)+(IFERROR(_xlfn.PERCENTRANK.INC($C$2:$C$1194,C235)*100,0)*PARAMS_MODELO!$B$26)+(IFERROR(_xlfn.PERCENTRANK.INC($E$2:$E$1194,E235)*100,0)*PARAMS_MODELO!$B$27)+(IFERROR(_xlfn.PERCENTRANK.INC($F$2:$F$1194,F235)*100,0)*PARAMS_MODELO!$B$29)+(IFERROR(_xlfn.PERCENTRANK.INC($I$2:$I$1194,I235)*100,0)*PARAMS_MODELO!$B$31)</f>
        <v>29.43</v>
      </c>
    </row>
    <row r="236" spans="1:10" x14ac:dyDescent="0.3">
      <c r="A236">
        <v>51024591</v>
      </c>
      <c r="B236">
        <v>86</v>
      </c>
      <c r="C236">
        <v>12</v>
      </c>
      <c r="D236">
        <v>52</v>
      </c>
      <c r="E236" s="21">
        <f>D236/PARAMS_MODELO!$B$28</f>
        <v>1.7333333333333334</v>
      </c>
      <c r="F236">
        <v>92</v>
      </c>
      <c r="G236">
        <v>63</v>
      </c>
      <c r="H236">
        <v>30</v>
      </c>
      <c r="I236" s="20">
        <f t="shared" si="3"/>
        <v>0.47619047619047616</v>
      </c>
      <c r="J236" s="21">
        <f>(IFERROR(_xlfn.PERCENTRANK.INC($B$2:$B$1194,B236)*100,0)*PARAMS_MODELO!$B$25)+(IFERROR(_xlfn.PERCENTRANK.INC($C$2:$C$1194,C236)*100,0)*PARAMS_MODELO!$B$26)+(IFERROR(_xlfn.PERCENTRANK.INC($E$2:$E$1194,E236)*100,0)*PARAMS_MODELO!$B$27)+(IFERROR(_xlfn.PERCENTRANK.INC($F$2:$F$1194,F236)*100,0)*PARAMS_MODELO!$B$29)+(IFERROR(_xlfn.PERCENTRANK.INC($I$2:$I$1194,I236)*100,0)*PARAMS_MODELO!$B$31)</f>
        <v>65.05</v>
      </c>
    </row>
    <row r="237" spans="1:10" x14ac:dyDescent="0.3">
      <c r="A237">
        <v>51021665</v>
      </c>
      <c r="B237">
        <v>94</v>
      </c>
      <c r="C237">
        <v>6</v>
      </c>
      <c r="D237">
        <v>40</v>
      </c>
      <c r="E237" s="21">
        <f>D237/PARAMS_MODELO!$B$28</f>
        <v>1.3333333333333333</v>
      </c>
      <c r="F237">
        <v>4</v>
      </c>
      <c r="G237">
        <v>100</v>
      </c>
      <c r="H237">
        <v>26</v>
      </c>
      <c r="I237" s="20">
        <f t="shared" si="3"/>
        <v>0.26</v>
      </c>
      <c r="J237" s="21">
        <f>(IFERROR(_xlfn.PERCENTRANK.INC($B$2:$B$1194,B237)*100,0)*PARAMS_MODELO!$B$25)+(IFERROR(_xlfn.PERCENTRANK.INC($C$2:$C$1194,C237)*100,0)*PARAMS_MODELO!$B$26)+(IFERROR(_xlfn.PERCENTRANK.INC($E$2:$E$1194,E237)*100,0)*PARAMS_MODELO!$B$27)+(IFERROR(_xlfn.PERCENTRANK.INC($F$2:$F$1194,F237)*100,0)*PARAMS_MODELO!$B$29)+(IFERROR(_xlfn.PERCENTRANK.INC($I$2:$I$1194,I237)*100,0)*PARAMS_MODELO!$B$31)</f>
        <v>44.28</v>
      </c>
    </row>
    <row r="238" spans="1:10" x14ac:dyDescent="0.3">
      <c r="A238">
        <v>51030273</v>
      </c>
      <c r="B238">
        <v>68</v>
      </c>
      <c r="C238">
        <v>25</v>
      </c>
      <c r="D238">
        <v>50</v>
      </c>
      <c r="E238" s="21">
        <f>D238/PARAMS_MODELO!$B$28</f>
        <v>1.6666666666666667</v>
      </c>
      <c r="F238">
        <v>54</v>
      </c>
      <c r="G238">
        <v>65</v>
      </c>
      <c r="H238">
        <v>52</v>
      </c>
      <c r="I238" s="20">
        <f t="shared" si="3"/>
        <v>0.8</v>
      </c>
      <c r="J238" s="21">
        <f>(IFERROR(_xlfn.PERCENTRANK.INC($B$2:$B$1194,B238)*100,0)*PARAMS_MODELO!$B$25)+(IFERROR(_xlfn.PERCENTRANK.INC($C$2:$C$1194,C238)*100,0)*PARAMS_MODELO!$B$26)+(IFERROR(_xlfn.PERCENTRANK.INC($E$2:$E$1194,E238)*100,0)*PARAMS_MODELO!$B$27)+(IFERROR(_xlfn.PERCENTRANK.INC($F$2:$F$1194,F238)*100,0)*PARAMS_MODELO!$B$29)+(IFERROR(_xlfn.PERCENTRANK.INC($I$2:$I$1194,I238)*100,0)*PARAMS_MODELO!$B$31)</f>
        <v>69.834999999999994</v>
      </c>
    </row>
    <row r="239" spans="1:10" x14ac:dyDescent="0.3">
      <c r="A239">
        <v>51024559</v>
      </c>
      <c r="B239">
        <v>68</v>
      </c>
      <c r="C239">
        <v>13</v>
      </c>
      <c r="D239">
        <v>85</v>
      </c>
      <c r="E239" s="21">
        <f>D239/PARAMS_MODELO!$B$28</f>
        <v>2.8333333333333335</v>
      </c>
      <c r="F239">
        <v>50</v>
      </c>
      <c r="G239">
        <v>95</v>
      </c>
      <c r="H239">
        <v>53</v>
      </c>
      <c r="I239" s="20">
        <f t="shared" si="3"/>
        <v>0.55789473684210522</v>
      </c>
      <c r="J239" s="21">
        <f>(IFERROR(_xlfn.PERCENTRANK.INC($B$2:$B$1194,B239)*100,0)*PARAMS_MODELO!$B$25)+(IFERROR(_xlfn.PERCENTRANK.INC($C$2:$C$1194,C239)*100,0)*PARAMS_MODELO!$B$26)+(IFERROR(_xlfn.PERCENTRANK.INC($E$2:$E$1194,E239)*100,0)*PARAMS_MODELO!$B$27)+(IFERROR(_xlfn.PERCENTRANK.INC($F$2:$F$1194,F239)*100,0)*PARAMS_MODELO!$B$29)+(IFERROR(_xlfn.PERCENTRANK.INC($I$2:$I$1194,I239)*100,0)*PARAMS_MODELO!$B$31)</f>
        <v>61.734999999999999</v>
      </c>
    </row>
    <row r="240" spans="1:10" x14ac:dyDescent="0.3">
      <c r="A240">
        <v>51007565</v>
      </c>
      <c r="B240">
        <v>81</v>
      </c>
      <c r="C240">
        <v>15</v>
      </c>
      <c r="D240">
        <v>12</v>
      </c>
      <c r="E240" s="21">
        <f>D240/PARAMS_MODELO!$B$28</f>
        <v>0.4</v>
      </c>
      <c r="F240">
        <v>59</v>
      </c>
      <c r="G240">
        <v>49</v>
      </c>
      <c r="H240">
        <v>10</v>
      </c>
      <c r="I240" s="20">
        <f t="shared" si="3"/>
        <v>0.20408163265306123</v>
      </c>
      <c r="J240" s="21">
        <f>(IFERROR(_xlfn.PERCENTRANK.INC($B$2:$B$1194,B240)*100,0)*PARAMS_MODELO!$B$25)+(IFERROR(_xlfn.PERCENTRANK.INC($C$2:$C$1194,C240)*100,0)*PARAMS_MODELO!$B$26)+(IFERROR(_xlfn.PERCENTRANK.INC($E$2:$E$1194,E240)*100,0)*PARAMS_MODELO!$B$27)+(IFERROR(_xlfn.PERCENTRANK.INC($F$2:$F$1194,F240)*100,0)*PARAMS_MODELO!$B$29)+(IFERROR(_xlfn.PERCENTRANK.INC($I$2:$I$1194,I240)*100,0)*PARAMS_MODELO!$B$31)</f>
        <v>50.785000000000004</v>
      </c>
    </row>
    <row r="241" spans="1:10" x14ac:dyDescent="0.3">
      <c r="A241">
        <v>51032136</v>
      </c>
      <c r="B241">
        <v>53</v>
      </c>
      <c r="C241">
        <v>14</v>
      </c>
      <c r="D241">
        <v>100</v>
      </c>
      <c r="E241" s="21">
        <f>D241/PARAMS_MODELO!$B$28</f>
        <v>3.3333333333333335</v>
      </c>
      <c r="F241">
        <v>19</v>
      </c>
      <c r="G241">
        <v>14</v>
      </c>
      <c r="H241">
        <v>9</v>
      </c>
      <c r="I241" s="20">
        <f t="shared" si="3"/>
        <v>0.6428571428571429</v>
      </c>
      <c r="J241" s="21">
        <f>(IFERROR(_xlfn.PERCENTRANK.INC($B$2:$B$1194,B241)*100,0)*PARAMS_MODELO!$B$25)+(IFERROR(_xlfn.PERCENTRANK.INC($C$2:$C$1194,C241)*100,0)*PARAMS_MODELO!$B$26)+(IFERROR(_xlfn.PERCENTRANK.INC($E$2:$E$1194,E241)*100,0)*PARAMS_MODELO!$B$27)+(IFERROR(_xlfn.PERCENTRANK.INC($F$2:$F$1194,F241)*100,0)*PARAMS_MODELO!$B$29)+(IFERROR(_xlfn.PERCENTRANK.INC($I$2:$I$1194,I241)*100,0)*PARAMS_MODELO!$B$31)</f>
        <v>57.150000000000006</v>
      </c>
    </row>
    <row r="242" spans="1:10" x14ac:dyDescent="0.3">
      <c r="A242">
        <v>51057066</v>
      </c>
      <c r="B242">
        <v>65</v>
      </c>
      <c r="C242">
        <v>16</v>
      </c>
      <c r="D242">
        <v>76</v>
      </c>
      <c r="E242" s="21">
        <f>D242/PARAMS_MODELO!$B$28</f>
        <v>2.5333333333333332</v>
      </c>
      <c r="F242">
        <v>7</v>
      </c>
      <c r="G242">
        <v>28</v>
      </c>
      <c r="H242">
        <v>7</v>
      </c>
      <c r="I242" s="20">
        <f t="shared" si="3"/>
        <v>0.25</v>
      </c>
      <c r="J242" s="21">
        <f>(IFERROR(_xlfn.PERCENTRANK.INC($B$2:$B$1194,B242)*100,0)*PARAMS_MODELO!$B$25)+(IFERROR(_xlfn.PERCENTRANK.INC($C$2:$C$1194,C242)*100,0)*PARAMS_MODELO!$B$26)+(IFERROR(_xlfn.PERCENTRANK.INC($E$2:$E$1194,E242)*100,0)*PARAMS_MODELO!$B$27)+(IFERROR(_xlfn.PERCENTRANK.INC($F$2:$F$1194,F242)*100,0)*PARAMS_MODELO!$B$29)+(IFERROR(_xlfn.PERCENTRANK.INC($I$2:$I$1194,I242)*100,0)*PARAMS_MODELO!$B$31)</f>
        <v>52.414999999999999</v>
      </c>
    </row>
    <row r="243" spans="1:10" x14ac:dyDescent="0.3">
      <c r="A243">
        <v>51021215</v>
      </c>
      <c r="B243">
        <v>90</v>
      </c>
      <c r="C243">
        <v>18</v>
      </c>
      <c r="D243">
        <v>45</v>
      </c>
      <c r="E243" s="21">
        <f>D243/PARAMS_MODELO!$B$28</f>
        <v>1.5</v>
      </c>
      <c r="F243">
        <v>59</v>
      </c>
      <c r="G243">
        <v>42</v>
      </c>
      <c r="H243">
        <v>12</v>
      </c>
      <c r="I243" s="20">
        <f t="shared" si="3"/>
        <v>0.2857142857142857</v>
      </c>
      <c r="J243" s="21">
        <f>(IFERROR(_xlfn.PERCENTRANK.INC($B$2:$B$1194,B243)*100,0)*PARAMS_MODELO!$B$25)+(IFERROR(_xlfn.PERCENTRANK.INC($C$2:$C$1194,C243)*100,0)*PARAMS_MODELO!$B$26)+(IFERROR(_xlfn.PERCENTRANK.INC($E$2:$E$1194,E243)*100,0)*PARAMS_MODELO!$B$27)+(IFERROR(_xlfn.PERCENTRANK.INC($F$2:$F$1194,F243)*100,0)*PARAMS_MODELO!$B$29)+(IFERROR(_xlfn.PERCENTRANK.INC($I$2:$I$1194,I243)*100,0)*PARAMS_MODELO!$B$31)</f>
        <v>63.74499999999999</v>
      </c>
    </row>
    <row r="244" spans="1:10" x14ac:dyDescent="0.3">
      <c r="A244">
        <v>51040937</v>
      </c>
      <c r="B244">
        <v>36</v>
      </c>
      <c r="C244">
        <v>19</v>
      </c>
      <c r="D244">
        <v>25</v>
      </c>
      <c r="E244" s="21">
        <f>D244/PARAMS_MODELO!$B$28</f>
        <v>0.83333333333333337</v>
      </c>
      <c r="F244">
        <v>21</v>
      </c>
      <c r="G244">
        <v>21</v>
      </c>
      <c r="H244">
        <v>20</v>
      </c>
      <c r="I244" s="20">
        <f t="shared" si="3"/>
        <v>0.95238095238095233</v>
      </c>
      <c r="J244" s="21">
        <f>(IFERROR(_xlfn.PERCENTRANK.INC($B$2:$B$1194,B244)*100,0)*PARAMS_MODELO!$B$25)+(IFERROR(_xlfn.PERCENTRANK.INC($C$2:$C$1194,C244)*100,0)*PARAMS_MODELO!$B$26)+(IFERROR(_xlfn.PERCENTRANK.INC($E$2:$E$1194,E244)*100,0)*PARAMS_MODELO!$B$27)+(IFERROR(_xlfn.PERCENTRANK.INC($F$2:$F$1194,F244)*100,0)*PARAMS_MODELO!$B$29)+(IFERROR(_xlfn.PERCENTRANK.INC($I$2:$I$1194,I244)*100,0)*PARAMS_MODELO!$B$31)</f>
        <v>45.209999999999994</v>
      </c>
    </row>
    <row r="245" spans="1:10" x14ac:dyDescent="0.3">
      <c r="A245">
        <v>51014430</v>
      </c>
      <c r="B245">
        <v>95</v>
      </c>
      <c r="C245">
        <v>21</v>
      </c>
      <c r="D245">
        <v>44</v>
      </c>
      <c r="E245" s="21">
        <f>D245/PARAMS_MODELO!$B$28</f>
        <v>1.4666666666666666</v>
      </c>
      <c r="F245">
        <v>55</v>
      </c>
      <c r="G245">
        <v>49</v>
      </c>
      <c r="H245">
        <v>29</v>
      </c>
      <c r="I245" s="20">
        <f t="shared" si="3"/>
        <v>0.59183673469387754</v>
      </c>
      <c r="J245" s="21">
        <f>(IFERROR(_xlfn.PERCENTRANK.INC($B$2:$B$1194,B245)*100,0)*PARAMS_MODELO!$B$25)+(IFERROR(_xlfn.PERCENTRANK.INC($C$2:$C$1194,C245)*100,0)*PARAMS_MODELO!$B$26)+(IFERROR(_xlfn.PERCENTRANK.INC($E$2:$E$1194,E245)*100,0)*PARAMS_MODELO!$B$27)+(IFERROR(_xlfn.PERCENTRANK.INC($F$2:$F$1194,F245)*100,0)*PARAMS_MODELO!$B$29)+(IFERROR(_xlfn.PERCENTRANK.INC($I$2:$I$1194,I245)*100,0)*PARAMS_MODELO!$B$31)</f>
        <v>70.405000000000015</v>
      </c>
    </row>
    <row r="246" spans="1:10" x14ac:dyDescent="0.3">
      <c r="A246">
        <v>51055853</v>
      </c>
      <c r="B246">
        <v>77</v>
      </c>
      <c r="C246">
        <v>24</v>
      </c>
      <c r="D246">
        <v>32</v>
      </c>
      <c r="E246" s="21">
        <f>D246/PARAMS_MODELO!$B$28</f>
        <v>1.0666666666666667</v>
      </c>
      <c r="F246">
        <v>26</v>
      </c>
      <c r="G246">
        <v>53</v>
      </c>
      <c r="H246">
        <v>16</v>
      </c>
      <c r="I246" s="20">
        <f t="shared" si="3"/>
        <v>0.30188679245283018</v>
      </c>
      <c r="J246" s="21">
        <f>(IFERROR(_xlfn.PERCENTRANK.INC($B$2:$B$1194,B246)*100,0)*PARAMS_MODELO!$B$25)+(IFERROR(_xlfn.PERCENTRANK.INC($C$2:$C$1194,C246)*100,0)*PARAMS_MODELO!$B$26)+(IFERROR(_xlfn.PERCENTRANK.INC($E$2:$E$1194,E246)*100,0)*PARAMS_MODELO!$B$27)+(IFERROR(_xlfn.PERCENTRANK.INC($F$2:$F$1194,F246)*100,0)*PARAMS_MODELO!$B$29)+(IFERROR(_xlfn.PERCENTRANK.INC($I$2:$I$1194,I246)*100,0)*PARAMS_MODELO!$B$31)</f>
        <v>57.914999999999999</v>
      </c>
    </row>
    <row r="247" spans="1:10" x14ac:dyDescent="0.3">
      <c r="A247">
        <v>51056515</v>
      </c>
      <c r="B247">
        <v>65</v>
      </c>
      <c r="C247">
        <v>11</v>
      </c>
      <c r="D247">
        <v>74</v>
      </c>
      <c r="E247" s="21">
        <f>D247/PARAMS_MODELO!$B$28</f>
        <v>2.4666666666666668</v>
      </c>
      <c r="F247">
        <v>17</v>
      </c>
      <c r="G247">
        <v>92</v>
      </c>
      <c r="H247">
        <v>20</v>
      </c>
      <c r="I247" s="20">
        <f t="shared" si="3"/>
        <v>0.21739130434782608</v>
      </c>
      <c r="J247" s="21">
        <f>(IFERROR(_xlfn.PERCENTRANK.INC($B$2:$B$1194,B247)*100,0)*PARAMS_MODELO!$B$25)+(IFERROR(_xlfn.PERCENTRANK.INC($C$2:$C$1194,C247)*100,0)*PARAMS_MODELO!$B$26)+(IFERROR(_xlfn.PERCENTRANK.INC($E$2:$E$1194,E247)*100,0)*PARAMS_MODELO!$B$27)+(IFERROR(_xlfn.PERCENTRANK.INC($F$2:$F$1194,F247)*100,0)*PARAMS_MODELO!$B$29)+(IFERROR(_xlfn.PERCENTRANK.INC($I$2:$I$1194,I247)*100,0)*PARAMS_MODELO!$B$31)</f>
        <v>48.269999999999996</v>
      </c>
    </row>
    <row r="248" spans="1:10" x14ac:dyDescent="0.3">
      <c r="A248">
        <v>51020952</v>
      </c>
      <c r="B248">
        <v>100</v>
      </c>
      <c r="C248">
        <v>10</v>
      </c>
      <c r="D248">
        <v>66</v>
      </c>
      <c r="E248" s="21">
        <f>D248/PARAMS_MODELO!$B$28</f>
        <v>2.2000000000000002</v>
      </c>
      <c r="F248">
        <v>34</v>
      </c>
      <c r="G248">
        <v>65</v>
      </c>
      <c r="H248">
        <v>31</v>
      </c>
      <c r="I248" s="20">
        <f t="shared" si="3"/>
        <v>0.47692307692307695</v>
      </c>
      <c r="J248" s="21">
        <f>(IFERROR(_xlfn.PERCENTRANK.INC($B$2:$B$1194,B248)*100,0)*PARAMS_MODELO!$B$25)+(IFERROR(_xlfn.PERCENTRANK.INC($C$2:$C$1194,C248)*100,0)*PARAMS_MODELO!$B$26)+(IFERROR(_xlfn.PERCENTRANK.INC($E$2:$E$1194,E248)*100,0)*PARAMS_MODELO!$B$27)+(IFERROR(_xlfn.PERCENTRANK.INC($F$2:$F$1194,F248)*100,0)*PARAMS_MODELO!$B$29)+(IFERROR(_xlfn.PERCENTRANK.INC($I$2:$I$1194,I248)*100,0)*PARAMS_MODELO!$B$31)</f>
        <v>61.564999999999991</v>
      </c>
    </row>
    <row r="249" spans="1:10" x14ac:dyDescent="0.3">
      <c r="A249">
        <v>51022611</v>
      </c>
      <c r="B249">
        <v>14</v>
      </c>
      <c r="C249">
        <v>10</v>
      </c>
      <c r="D249">
        <v>5</v>
      </c>
      <c r="E249" s="21">
        <f>D249/PARAMS_MODELO!$B$28</f>
        <v>0.16666666666666666</v>
      </c>
      <c r="F249">
        <v>73</v>
      </c>
      <c r="G249">
        <v>22</v>
      </c>
      <c r="H249">
        <v>18</v>
      </c>
      <c r="I249" s="20">
        <f t="shared" si="3"/>
        <v>0.81818181818181823</v>
      </c>
      <c r="J249" s="21">
        <f>(IFERROR(_xlfn.PERCENTRANK.INC($B$2:$B$1194,B249)*100,0)*PARAMS_MODELO!$B$25)+(IFERROR(_xlfn.PERCENTRANK.INC($C$2:$C$1194,C249)*100,0)*PARAMS_MODELO!$B$26)+(IFERROR(_xlfn.PERCENTRANK.INC($E$2:$E$1194,E249)*100,0)*PARAMS_MODELO!$B$27)+(IFERROR(_xlfn.PERCENTRANK.INC($F$2:$F$1194,F249)*100,0)*PARAMS_MODELO!$B$29)+(IFERROR(_xlfn.PERCENTRANK.INC($I$2:$I$1194,I249)*100,0)*PARAMS_MODELO!$B$31)</f>
        <v>33.424999999999997</v>
      </c>
    </row>
    <row r="250" spans="1:10" x14ac:dyDescent="0.3">
      <c r="A250">
        <v>51056761</v>
      </c>
      <c r="B250">
        <v>96</v>
      </c>
      <c r="C250">
        <v>16</v>
      </c>
      <c r="D250">
        <v>29</v>
      </c>
      <c r="E250" s="21">
        <f>D250/PARAMS_MODELO!$B$28</f>
        <v>0.96666666666666667</v>
      </c>
      <c r="F250">
        <v>87</v>
      </c>
      <c r="G250">
        <v>13</v>
      </c>
      <c r="H250">
        <v>12</v>
      </c>
      <c r="I250" s="20">
        <f t="shared" si="3"/>
        <v>0.92307692307692313</v>
      </c>
      <c r="J250" s="21">
        <f>(IFERROR(_xlfn.PERCENTRANK.INC($B$2:$B$1194,B250)*100,0)*PARAMS_MODELO!$B$25)+(IFERROR(_xlfn.PERCENTRANK.INC($C$2:$C$1194,C250)*100,0)*PARAMS_MODELO!$B$26)+(IFERROR(_xlfn.PERCENTRANK.INC($E$2:$E$1194,E250)*100,0)*PARAMS_MODELO!$B$27)+(IFERROR(_xlfn.PERCENTRANK.INC($F$2:$F$1194,F250)*100,0)*PARAMS_MODELO!$B$29)+(IFERROR(_xlfn.PERCENTRANK.INC($I$2:$I$1194,I250)*100,0)*PARAMS_MODELO!$B$31)</f>
        <v>70.444999999999993</v>
      </c>
    </row>
    <row r="251" spans="1:10" x14ac:dyDescent="0.3">
      <c r="A251">
        <v>51031741</v>
      </c>
      <c r="B251">
        <v>61</v>
      </c>
      <c r="C251">
        <v>22</v>
      </c>
      <c r="D251">
        <v>68</v>
      </c>
      <c r="E251" s="21">
        <f>D251/PARAMS_MODELO!$B$28</f>
        <v>2.2666666666666666</v>
      </c>
      <c r="F251">
        <v>47</v>
      </c>
      <c r="G251">
        <v>44</v>
      </c>
      <c r="H251">
        <v>29</v>
      </c>
      <c r="I251" s="20">
        <f t="shared" si="3"/>
        <v>0.65909090909090906</v>
      </c>
      <c r="J251" s="21">
        <f>(IFERROR(_xlfn.PERCENTRANK.INC($B$2:$B$1194,B251)*100,0)*PARAMS_MODELO!$B$25)+(IFERROR(_xlfn.PERCENTRANK.INC($C$2:$C$1194,C251)*100,0)*PARAMS_MODELO!$B$26)+(IFERROR(_xlfn.PERCENTRANK.INC($E$2:$E$1194,E251)*100,0)*PARAMS_MODELO!$B$27)+(IFERROR(_xlfn.PERCENTRANK.INC($F$2:$F$1194,F251)*100,0)*PARAMS_MODELO!$B$29)+(IFERROR(_xlfn.PERCENTRANK.INC($I$2:$I$1194,I251)*100,0)*PARAMS_MODELO!$B$31)</f>
        <v>65.36999999999999</v>
      </c>
    </row>
    <row r="252" spans="1:10" x14ac:dyDescent="0.3">
      <c r="A252">
        <v>51056469</v>
      </c>
      <c r="B252">
        <v>72</v>
      </c>
      <c r="C252">
        <v>6</v>
      </c>
      <c r="D252">
        <v>99</v>
      </c>
      <c r="E252" s="21">
        <f>D252/PARAMS_MODELO!$B$28</f>
        <v>3.3</v>
      </c>
      <c r="F252">
        <v>91</v>
      </c>
      <c r="G252">
        <v>53</v>
      </c>
      <c r="H252">
        <v>35</v>
      </c>
      <c r="I252" s="20">
        <f t="shared" si="3"/>
        <v>0.660377358490566</v>
      </c>
      <c r="J252" s="21">
        <f>(IFERROR(_xlfn.PERCENTRANK.INC($B$2:$B$1194,B252)*100,0)*PARAMS_MODELO!$B$25)+(IFERROR(_xlfn.PERCENTRANK.INC($C$2:$C$1194,C252)*100,0)*PARAMS_MODELO!$B$26)+(IFERROR(_xlfn.PERCENTRANK.INC($E$2:$E$1194,E252)*100,0)*PARAMS_MODELO!$B$27)+(IFERROR(_xlfn.PERCENTRANK.INC($F$2:$F$1194,F252)*100,0)*PARAMS_MODELO!$B$29)+(IFERROR(_xlfn.PERCENTRANK.INC($I$2:$I$1194,I252)*100,0)*PARAMS_MODELO!$B$31)</f>
        <v>66.510000000000005</v>
      </c>
    </row>
    <row r="253" spans="1:10" x14ac:dyDescent="0.3">
      <c r="A253">
        <v>51031130</v>
      </c>
      <c r="B253">
        <v>87</v>
      </c>
      <c r="C253">
        <v>9</v>
      </c>
      <c r="D253">
        <v>12</v>
      </c>
      <c r="E253" s="21">
        <f>D253/PARAMS_MODELO!$B$28</f>
        <v>0.4</v>
      </c>
      <c r="F253">
        <v>36</v>
      </c>
      <c r="G253">
        <v>38</v>
      </c>
      <c r="H253">
        <v>0</v>
      </c>
      <c r="I253" s="20">
        <f t="shared" si="3"/>
        <v>0</v>
      </c>
      <c r="J253" s="21">
        <f>(IFERROR(_xlfn.PERCENTRANK.INC($B$2:$B$1194,B253)*100,0)*PARAMS_MODELO!$B$25)+(IFERROR(_xlfn.PERCENTRANK.INC($C$2:$C$1194,C253)*100,0)*PARAMS_MODELO!$B$26)+(IFERROR(_xlfn.PERCENTRANK.INC($E$2:$E$1194,E253)*100,0)*PARAMS_MODELO!$B$27)+(IFERROR(_xlfn.PERCENTRANK.INC($F$2:$F$1194,F253)*100,0)*PARAMS_MODELO!$B$29)+(IFERROR(_xlfn.PERCENTRANK.INC($I$2:$I$1194,I253)*100,0)*PARAMS_MODELO!$B$31)</f>
        <v>41.224999999999994</v>
      </c>
    </row>
    <row r="254" spans="1:10" x14ac:dyDescent="0.3">
      <c r="A254">
        <v>51014855</v>
      </c>
      <c r="B254">
        <v>76</v>
      </c>
      <c r="C254">
        <v>14</v>
      </c>
      <c r="D254">
        <v>99</v>
      </c>
      <c r="E254" s="21">
        <f>D254/PARAMS_MODELO!$B$28</f>
        <v>3.3</v>
      </c>
      <c r="F254">
        <v>39</v>
      </c>
      <c r="G254">
        <v>5</v>
      </c>
      <c r="H254">
        <v>2</v>
      </c>
      <c r="I254" s="20">
        <f t="shared" si="3"/>
        <v>0.4</v>
      </c>
      <c r="J254" s="21">
        <f>(IFERROR(_xlfn.PERCENTRANK.INC($B$2:$B$1194,B254)*100,0)*PARAMS_MODELO!$B$25)+(IFERROR(_xlfn.PERCENTRANK.INC($C$2:$C$1194,C254)*100,0)*PARAMS_MODELO!$B$26)+(IFERROR(_xlfn.PERCENTRANK.INC($E$2:$E$1194,E254)*100,0)*PARAMS_MODELO!$B$27)+(IFERROR(_xlfn.PERCENTRANK.INC($F$2:$F$1194,F254)*100,0)*PARAMS_MODELO!$B$29)+(IFERROR(_xlfn.PERCENTRANK.INC($I$2:$I$1194,I254)*100,0)*PARAMS_MODELO!$B$31)</f>
        <v>64.63000000000001</v>
      </c>
    </row>
    <row r="255" spans="1:10" x14ac:dyDescent="0.3">
      <c r="A255">
        <v>51055055</v>
      </c>
      <c r="B255">
        <v>77</v>
      </c>
      <c r="C255">
        <v>15</v>
      </c>
      <c r="D255">
        <v>40</v>
      </c>
      <c r="E255" s="21">
        <f>D255/PARAMS_MODELO!$B$28</f>
        <v>1.3333333333333333</v>
      </c>
      <c r="F255">
        <v>20</v>
      </c>
      <c r="G255">
        <v>72</v>
      </c>
      <c r="H255">
        <v>42</v>
      </c>
      <c r="I255" s="20">
        <f t="shared" si="3"/>
        <v>0.58333333333333337</v>
      </c>
      <c r="J255" s="21">
        <f>(IFERROR(_xlfn.PERCENTRANK.INC($B$2:$B$1194,B255)*100,0)*PARAMS_MODELO!$B$25)+(IFERROR(_xlfn.PERCENTRANK.INC($C$2:$C$1194,C255)*100,0)*PARAMS_MODELO!$B$26)+(IFERROR(_xlfn.PERCENTRANK.INC($E$2:$E$1194,E255)*100,0)*PARAMS_MODELO!$B$27)+(IFERROR(_xlfn.PERCENTRANK.INC($F$2:$F$1194,F255)*100,0)*PARAMS_MODELO!$B$29)+(IFERROR(_xlfn.PERCENTRANK.INC($I$2:$I$1194,I255)*100,0)*PARAMS_MODELO!$B$31)</f>
        <v>52.57</v>
      </c>
    </row>
    <row r="256" spans="1:10" x14ac:dyDescent="0.3">
      <c r="A256">
        <v>51008634</v>
      </c>
      <c r="B256">
        <v>1</v>
      </c>
      <c r="C256">
        <v>21</v>
      </c>
      <c r="D256">
        <v>28</v>
      </c>
      <c r="E256" s="21">
        <f>D256/PARAMS_MODELO!$B$28</f>
        <v>0.93333333333333335</v>
      </c>
      <c r="F256">
        <v>67</v>
      </c>
      <c r="G256">
        <v>42</v>
      </c>
      <c r="H256">
        <v>1</v>
      </c>
      <c r="I256" s="20">
        <f t="shared" si="3"/>
        <v>2.3809523809523808E-2</v>
      </c>
      <c r="J256" s="21">
        <f>(IFERROR(_xlfn.PERCENTRANK.INC($B$2:$B$1194,B256)*100,0)*PARAMS_MODELO!$B$25)+(IFERROR(_xlfn.PERCENTRANK.INC($C$2:$C$1194,C256)*100,0)*PARAMS_MODELO!$B$26)+(IFERROR(_xlfn.PERCENTRANK.INC($E$2:$E$1194,E256)*100,0)*PARAMS_MODELO!$B$27)+(IFERROR(_xlfn.PERCENTRANK.INC($F$2:$F$1194,F256)*100,0)*PARAMS_MODELO!$B$29)+(IFERROR(_xlfn.PERCENTRANK.INC($I$2:$I$1194,I256)*100,0)*PARAMS_MODELO!$B$31)</f>
        <v>35.630000000000003</v>
      </c>
    </row>
    <row r="257" spans="1:10" x14ac:dyDescent="0.3">
      <c r="A257">
        <v>51021835</v>
      </c>
      <c r="B257">
        <v>86</v>
      </c>
      <c r="C257">
        <v>13</v>
      </c>
      <c r="D257">
        <v>59</v>
      </c>
      <c r="E257" s="21">
        <f>D257/PARAMS_MODELO!$B$28</f>
        <v>1.9666666666666666</v>
      </c>
      <c r="F257">
        <v>3</v>
      </c>
      <c r="G257">
        <v>12</v>
      </c>
      <c r="H257">
        <v>11</v>
      </c>
      <c r="I257" s="20">
        <f t="shared" si="3"/>
        <v>0.91666666666666663</v>
      </c>
      <c r="J257" s="21">
        <f>(IFERROR(_xlfn.PERCENTRANK.INC($B$2:$B$1194,B257)*100,0)*PARAMS_MODELO!$B$25)+(IFERROR(_xlfn.PERCENTRANK.INC($C$2:$C$1194,C257)*100,0)*PARAMS_MODELO!$B$26)+(IFERROR(_xlfn.PERCENTRANK.INC($E$2:$E$1194,E257)*100,0)*PARAMS_MODELO!$B$27)+(IFERROR(_xlfn.PERCENTRANK.INC($F$2:$F$1194,F257)*100,0)*PARAMS_MODELO!$B$29)+(IFERROR(_xlfn.PERCENTRANK.INC($I$2:$I$1194,I257)*100,0)*PARAMS_MODELO!$B$31)</f>
        <v>58.535000000000004</v>
      </c>
    </row>
    <row r="258" spans="1:10" x14ac:dyDescent="0.3">
      <c r="A258">
        <v>51030320</v>
      </c>
      <c r="B258">
        <v>79</v>
      </c>
      <c r="C258">
        <v>16</v>
      </c>
      <c r="D258">
        <v>57</v>
      </c>
      <c r="E258" s="21">
        <f>D258/PARAMS_MODELO!$B$28</f>
        <v>1.9</v>
      </c>
      <c r="F258">
        <v>72</v>
      </c>
      <c r="G258">
        <v>94</v>
      </c>
      <c r="H258">
        <v>47</v>
      </c>
      <c r="I258" s="20">
        <f t="shared" ref="I258:I321" si="4">IFERROR(H258/G258,0)</f>
        <v>0.5</v>
      </c>
      <c r="J258" s="21">
        <f>(IFERROR(_xlfn.PERCENTRANK.INC($B$2:$B$1194,B258)*100,0)*PARAMS_MODELO!$B$25)+(IFERROR(_xlfn.PERCENTRANK.INC($C$2:$C$1194,C258)*100,0)*PARAMS_MODELO!$B$26)+(IFERROR(_xlfn.PERCENTRANK.INC($E$2:$E$1194,E258)*100,0)*PARAMS_MODELO!$B$27)+(IFERROR(_xlfn.PERCENTRANK.INC($F$2:$F$1194,F258)*100,0)*PARAMS_MODELO!$B$29)+(IFERROR(_xlfn.PERCENTRANK.INC($I$2:$I$1194,I258)*100,0)*PARAMS_MODELO!$B$31)</f>
        <v>64.905000000000001</v>
      </c>
    </row>
    <row r="259" spans="1:10" x14ac:dyDescent="0.3">
      <c r="A259">
        <v>51033701</v>
      </c>
      <c r="B259">
        <v>63</v>
      </c>
      <c r="C259">
        <v>11</v>
      </c>
      <c r="D259">
        <v>20</v>
      </c>
      <c r="E259" s="21">
        <f>D259/PARAMS_MODELO!$B$28</f>
        <v>0.66666666666666663</v>
      </c>
      <c r="F259">
        <v>34</v>
      </c>
      <c r="G259">
        <v>31</v>
      </c>
      <c r="H259">
        <v>9</v>
      </c>
      <c r="I259" s="20">
        <f t="shared" si="4"/>
        <v>0.29032258064516131</v>
      </c>
      <c r="J259" s="21">
        <f>(IFERROR(_xlfn.PERCENTRANK.INC($B$2:$B$1194,B259)*100,0)*PARAMS_MODELO!$B$25)+(IFERROR(_xlfn.PERCENTRANK.INC($C$2:$C$1194,C259)*100,0)*PARAMS_MODELO!$B$26)+(IFERROR(_xlfn.PERCENTRANK.INC($E$2:$E$1194,E259)*100,0)*PARAMS_MODELO!$B$27)+(IFERROR(_xlfn.PERCENTRANK.INC($F$2:$F$1194,F259)*100,0)*PARAMS_MODELO!$B$29)+(IFERROR(_xlfn.PERCENTRANK.INC($I$2:$I$1194,I259)*100,0)*PARAMS_MODELO!$B$31)</f>
        <v>40</v>
      </c>
    </row>
    <row r="260" spans="1:10" x14ac:dyDescent="0.3">
      <c r="A260">
        <v>51013280</v>
      </c>
      <c r="B260">
        <v>19</v>
      </c>
      <c r="C260">
        <v>10</v>
      </c>
      <c r="D260">
        <v>66</v>
      </c>
      <c r="E260" s="21">
        <f>D260/PARAMS_MODELO!$B$28</f>
        <v>2.2000000000000002</v>
      </c>
      <c r="F260">
        <v>30</v>
      </c>
      <c r="G260">
        <v>72</v>
      </c>
      <c r="H260">
        <v>49</v>
      </c>
      <c r="I260" s="20">
        <f t="shared" si="4"/>
        <v>0.68055555555555558</v>
      </c>
      <c r="J260" s="21">
        <f>(IFERROR(_xlfn.PERCENTRANK.INC($B$2:$B$1194,B260)*100,0)*PARAMS_MODELO!$B$25)+(IFERROR(_xlfn.PERCENTRANK.INC($C$2:$C$1194,C260)*100,0)*PARAMS_MODELO!$B$26)+(IFERROR(_xlfn.PERCENTRANK.INC($E$2:$E$1194,E260)*100,0)*PARAMS_MODELO!$B$27)+(IFERROR(_xlfn.PERCENTRANK.INC($F$2:$F$1194,F260)*100,0)*PARAMS_MODELO!$B$29)+(IFERROR(_xlfn.PERCENTRANK.INC($I$2:$I$1194,I260)*100,0)*PARAMS_MODELO!$B$31)</f>
        <v>38.710000000000008</v>
      </c>
    </row>
    <row r="261" spans="1:10" x14ac:dyDescent="0.3">
      <c r="A261">
        <v>51022785</v>
      </c>
      <c r="B261">
        <v>94</v>
      </c>
      <c r="C261">
        <v>0</v>
      </c>
      <c r="D261">
        <v>85</v>
      </c>
      <c r="E261" s="21">
        <f>D261/PARAMS_MODELO!$B$28</f>
        <v>2.8333333333333335</v>
      </c>
      <c r="F261">
        <v>62</v>
      </c>
      <c r="G261">
        <v>67</v>
      </c>
      <c r="H261">
        <v>26</v>
      </c>
      <c r="I261" s="20">
        <f t="shared" si="4"/>
        <v>0.38805970149253732</v>
      </c>
      <c r="J261" s="21">
        <f>(IFERROR(_xlfn.PERCENTRANK.INC($B$2:$B$1194,B261)*100,0)*PARAMS_MODELO!$B$25)+(IFERROR(_xlfn.PERCENTRANK.INC($C$2:$C$1194,C261)*100,0)*PARAMS_MODELO!$B$26)+(IFERROR(_xlfn.PERCENTRANK.INC($E$2:$E$1194,E261)*100,0)*PARAMS_MODELO!$B$27)+(IFERROR(_xlfn.PERCENTRANK.INC($F$2:$F$1194,F261)*100,0)*PARAMS_MODELO!$B$29)+(IFERROR(_xlfn.PERCENTRANK.INC($I$2:$I$1194,I261)*100,0)*PARAMS_MODELO!$B$31)</f>
        <v>57.45</v>
      </c>
    </row>
    <row r="262" spans="1:10" x14ac:dyDescent="0.3">
      <c r="A262">
        <v>51036310</v>
      </c>
      <c r="B262">
        <v>4</v>
      </c>
      <c r="C262">
        <v>8</v>
      </c>
      <c r="D262">
        <v>20</v>
      </c>
      <c r="E262" s="21">
        <f>D262/PARAMS_MODELO!$B$28</f>
        <v>0.66666666666666663</v>
      </c>
      <c r="F262">
        <v>68</v>
      </c>
      <c r="G262">
        <v>56</v>
      </c>
      <c r="H262">
        <v>37</v>
      </c>
      <c r="I262" s="20">
        <f t="shared" si="4"/>
        <v>0.6607142857142857</v>
      </c>
      <c r="J262" s="21">
        <f>(IFERROR(_xlfn.PERCENTRANK.INC($B$2:$B$1194,B262)*100,0)*PARAMS_MODELO!$B$25)+(IFERROR(_xlfn.PERCENTRANK.INC($C$2:$C$1194,C262)*100,0)*PARAMS_MODELO!$B$26)+(IFERROR(_xlfn.PERCENTRANK.INC($E$2:$E$1194,E262)*100,0)*PARAMS_MODELO!$B$27)+(IFERROR(_xlfn.PERCENTRANK.INC($F$2:$F$1194,F262)*100,0)*PARAMS_MODELO!$B$29)+(IFERROR(_xlfn.PERCENTRANK.INC($I$2:$I$1194,I262)*100,0)*PARAMS_MODELO!$B$31)</f>
        <v>29.209999999999997</v>
      </c>
    </row>
    <row r="263" spans="1:10" x14ac:dyDescent="0.3">
      <c r="A263">
        <v>51010710</v>
      </c>
      <c r="B263">
        <v>93</v>
      </c>
      <c r="C263">
        <v>5</v>
      </c>
      <c r="D263">
        <v>89</v>
      </c>
      <c r="E263" s="21">
        <f>D263/PARAMS_MODELO!$B$28</f>
        <v>2.9666666666666668</v>
      </c>
      <c r="F263">
        <v>14</v>
      </c>
      <c r="G263">
        <v>14</v>
      </c>
      <c r="H263">
        <v>10</v>
      </c>
      <c r="I263" s="20">
        <f t="shared" si="4"/>
        <v>0.7142857142857143</v>
      </c>
      <c r="J263" s="21">
        <f>(IFERROR(_xlfn.PERCENTRANK.INC($B$2:$B$1194,B263)*100,0)*PARAMS_MODELO!$B$25)+(IFERROR(_xlfn.PERCENTRANK.INC($C$2:$C$1194,C263)*100,0)*PARAMS_MODELO!$B$26)+(IFERROR(_xlfn.PERCENTRANK.INC($E$2:$E$1194,E263)*100,0)*PARAMS_MODELO!$B$27)+(IFERROR(_xlfn.PERCENTRANK.INC($F$2:$F$1194,F263)*100,0)*PARAMS_MODELO!$B$29)+(IFERROR(_xlfn.PERCENTRANK.INC($I$2:$I$1194,I263)*100,0)*PARAMS_MODELO!$B$31)</f>
        <v>58.305000000000007</v>
      </c>
    </row>
    <row r="264" spans="1:10" x14ac:dyDescent="0.3">
      <c r="A264">
        <v>51034376</v>
      </c>
      <c r="B264">
        <v>37</v>
      </c>
      <c r="C264">
        <v>9</v>
      </c>
      <c r="D264">
        <v>54</v>
      </c>
      <c r="E264" s="21">
        <f>D264/PARAMS_MODELO!$B$28</f>
        <v>1.8</v>
      </c>
      <c r="F264">
        <v>24</v>
      </c>
      <c r="G264">
        <v>7</v>
      </c>
      <c r="H264">
        <v>4</v>
      </c>
      <c r="I264" s="20">
        <f t="shared" si="4"/>
        <v>0.5714285714285714</v>
      </c>
      <c r="J264" s="21">
        <f>(IFERROR(_xlfn.PERCENTRANK.INC($B$2:$B$1194,B264)*100,0)*PARAMS_MODELO!$B$25)+(IFERROR(_xlfn.PERCENTRANK.INC($C$2:$C$1194,C264)*100,0)*PARAMS_MODELO!$B$26)+(IFERROR(_xlfn.PERCENTRANK.INC($E$2:$E$1194,E264)*100,0)*PARAMS_MODELO!$B$27)+(IFERROR(_xlfn.PERCENTRANK.INC($F$2:$F$1194,F264)*100,0)*PARAMS_MODELO!$B$29)+(IFERROR(_xlfn.PERCENTRANK.INC($I$2:$I$1194,I264)*100,0)*PARAMS_MODELO!$B$31)</f>
        <v>38.825000000000003</v>
      </c>
    </row>
    <row r="265" spans="1:10" x14ac:dyDescent="0.3">
      <c r="A265">
        <v>51023561</v>
      </c>
      <c r="B265">
        <v>8</v>
      </c>
      <c r="C265">
        <v>15</v>
      </c>
      <c r="D265">
        <v>75</v>
      </c>
      <c r="E265" s="21">
        <f>D265/PARAMS_MODELO!$B$28</f>
        <v>2.5</v>
      </c>
      <c r="F265">
        <v>98</v>
      </c>
      <c r="G265">
        <v>21</v>
      </c>
      <c r="H265">
        <v>8</v>
      </c>
      <c r="I265" s="20">
        <f t="shared" si="4"/>
        <v>0.38095238095238093</v>
      </c>
      <c r="J265" s="21">
        <f>(IFERROR(_xlfn.PERCENTRANK.INC($B$2:$B$1194,B265)*100,0)*PARAMS_MODELO!$B$25)+(IFERROR(_xlfn.PERCENTRANK.INC($C$2:$C$1194,C265)*100,0)*PARAMS_MODELO!$B$26)+(IFERROR(_xlfn.PERCENTRANK.INC($E$2:$E$1194,E265)*100,0)*PARAMS_MODELO!$B$27)+(IFERROR(_xlfn.PERCENTRANK.INC($F$2:$F$1194,F265)*100,0)*PARAMS_MODELO!$B$29)+(IFERROR(_xlfn.PERCENTRANK.INC($I$2:$I$1194,I265)*100,0)*PARAMS_MODELO!$B$31)</f>
        <v>49.625</v>
      </c>
    </row>
    <row r="266" spans="1:10" x14ac:dyDescent="0.3">
      <c r="A266">
        <v>51025253</v>
      </c>
      <c r="B266">
        <v>61</v>
      </c>
      <c r="C266">
        <v>24</v>
      </c>
      <c r="D266">
        <v>100</v>
      </c>
      <c r="E266" s="21">
        <f>D266/PARAMS_MODELO!$B$28</f>
        <v>3.3333333333333335</v>
      </c>
      <c r="F266">
        <v>87</v>
      </c>
      <c r="G266">
        <v>76</v>
      </c>
      <c r="H266">
        <v>14</v>
      </c>
      <c r="I266" s="20">
        <f t="shared" si="4"/>
        <v>0.18421052631578946</v>
      </c>
      <c r="J266" s="21">
        <f>(IFERROR(_xlfn.PERCENTRANK.INC($B$2:$B$1194,B266)*100,0)*PARAMS_MODELO!$B$25)+(IFERROR(_xlfn.PERCENTRANK.INC($C$2:$C$1194,C266)*100,0)*PARAMS_MODELO!$B$26)+(IFERROR(_xlfn.PERCENTRANK.INC($E$2:$E$1194,E266)*100,0)*PARAMS_MODELO!$B$27)+(IFERROR(_xlfn.PERCENTRANK.INC($F$2:$F$1194,F266)*100,0)*PARAMS_MODELO!$B$29)+(IFERROR(_xlfn.PERCENTRANK.INC($I$2:$I$1194,I266)*100,0)*PARAMS_MODELO!$B$31)</f>
        <v>75.275000000000006</v>
      </c>
    </row>
    <row r="267" spans="1:10" x14ac:dyDescent="0.3">
      <c r="A267">
        <v>51030176</v>
      </c>
      <c r="B267">
        <v>62</v>
      </c>
      <c r="C267">
        <v>4</v>
      </c>
      <c r="D267">
        <v>92</v>
      </c>
      <c r="E267" s="21">
        <f>D267/PARAMS_MODELO!$B$28</f>
        <v>3.0666666666666669</v>
      </c>
      <c r="F267">
        <v>12</v>
      </c>
      <c r="G267">
        <v>100</v>
      </c>
      <c r="H267">
        <v>3</v>
      </c>
      <c r="I267" s="20">
        <f t="shared" si="4"/>
        <v>0.03</v>
      </c>
      <c r="J267" s="21">
        <f>(IFERROR(_xlfn.PERCENTRANK.INC($B$2:$B$1194,B267)*100,0)*PARAMS_MODELO!$B$25)+(IFERROR(_xlfn.PERCENTRANK.INC($C$2:$C$1194,C267)*100,0)*PARAMS_MODELO!$B$26)+(IFERROR(_xlfn.PERCENTRANK.INC($E$2:$E$1194,E267)*100,0)*PARAMS_MODELO!$B$27)+(IFERROR(_xlfn.PERCENTRANK.INC($F$2:$F$1194,F267)*100,0)*PARAMS_MODELO!$B$29)+(IFERROR(_xlfn.PERCENTRANK.INC($I$2:$I$1194,I267)*100,0)*PARAMS_MODELO!$B$31)</f>
        <v>41.930000000000007</v>
      </c>
    </row>
    <row r="268" spans="1:10" x14ac:dyDescent="0.3">
      <c r="A268">
        <v>51024575</v>
      </c>
      <c r="B268">
        <v>52</v>
      </c>
      <c r="C268">
        <v>6</v>
      </c>
      <c r="D268">
        <v>67</v>
      </c>
      <c r="E268" s="21">
        <f>D268/PARAMS_MODELO!$B$28</f>
        <v>2.2333333333333334</v>
      </c>
      <c r="F268">
        <v>91</v>
      </c>
      <c r="G268">
        <v>24</v>
      </c>
      <c r="H268">
        <v>22</v>
      </c>
      <c r="I268" s="20">
        <f t="shared" si="4"/>
        <v>0.91666666666666663</v>
      </c>
      <c r="J268" s="21">
        <f>(IFERROR(_xlfn.PERCENTRANK.INC($B$2:$B$1194,B268)*100,0)*PARAMS_MODELO!$B$25)+(IFERROR(_xlfn.PERCENTRANK.INC($C$2:$C$1194,C268)*100,0)*PARAMS_MODELO!$B$26)+(IFERROR(_xlfn.PERCENTRANK.INC($E$2:$E$1194,E268)*100,0)*PARAMS_MODELO!$B$27)+(IFERROR(_xlfn.PERCENTRANK.INC($F$2:$F$1194,F268)*100,0)*PARAMS_MODELO!$B$29)+(IFERROR(_xlfn.PERCENTRANK.INC($I$2:$I$1194,I268)*100,0)*PARAMS_MODELO!$B$31)</f>
        <v>56.660000000000004</v>
      </c>
    </row>
    <row r="269" spans="1:10" x14ac:dyDescent="0.3">
      <c r="A269">
        <v>51005333</v>
      </c>
      <c r="B269">
        <v>46</v>
      </c>
      <c r="C269">
        <v>3</v>
      </c>
      <c r="D269">
        <v>60</v>
      </c>
      <c r="E269" s="21">
        <f>D269/PARAMS_MODELO!$B$28</f>
        <v>2</v>
      </c>
      <c r="F269">
        <v>65</v>
      </c>
      <c r="G269">
        <v>86</v>
      </c>
      <c r="H269">
        <v>69</v>
      </c>
      <c r="I269" s="20">
        <f t="shared" si="4"/>
        <v>0.80232558139534882</v>
      </c>
      <c r="J269" s="21">
        <f>(IFERROR(_xlfn.PERCENTRANK.INC($B$2:$B$1194,B269)*100,0)*PARAMS_MODELO!$B$25)+(IFERROR(_xlfn.PERCENTRANK.INC($C$2:$C$1194,C269)*100,0)*PARAMS_MODELO!$B$26)+(IFERROR(_xlfn.PERCENTRANK.INC($E$2:$E$1194,E269)*100,0)*PARAMS_MODELO!$B$27)+(IFERROR(_xlfn.PERCENTRANK.INC($F$2:$F$1194,F269)*100,0)*PARAMS_MODELO!$B$29)+(IFERROR(_xlfn.PERCENTRANK.INC($I$2:$I$1194,I269)*100,0)*PARAMS_MODELO!$B$31)</f>
        <v>46.2</v>
      </c>
    </row>
    <row r="270" spans="1:10" x14ac:dyDescent="0.3">
      <c r="A270">
        <v>51030931</v>
      </c>
      <c r="B270">
        <v>86</v>
      </c>
      <c r="C270">
        <v>17</v>
      </c>
      <c r="D270">
        <v>55</v>
      </c>
      <c r="E270" s="21">
        <f>D270/PARAMS_MODELO!$B$28</f>
        <v>1.8333333333333333</v>
      </c>
      <c r="F270">
        <v>93</v>
      </c>
      <c r="G270">
        <v>61</v>
      </c>
      <c r="H270">
        <v>44</v>
      </c>
      <c r="I270" s="20">
        <f t="shared" si="4"/>
        <v>0.72131147540983609</v>
      </c>
      <c r="J270" s="21">
        <f>(IFERROR(_xlfn.PERCENTRANK.INC($B$2:$B$1194,B270)*100,0)*PARAMS_MODELO!$B$25)+(IFERROR(_xlfn.PERCENTRANK.INC($C$2:$C$1194,C270)*100,0)*PARAMS_MODELO!$B$26)+(IFERROR(_xlfn.PERCENTRANK.INC($E$2:$E$1194,E270)*100,0)*PARAMS_MODELO!$B$27)+(IFERROR(_xlfn.PERCENTRANK.INC($F$2:$F$1194,F270)*100,0)*PARAMS_MODELO!$B$29)+(IFERROR(_xlfn.PERCENTRANK.INC($I$2:$I$1194,I270)*100,0)*PARAMS_MODELO!$B$31)</f>
        <v>72.940000000000012</v>
      </c>
    </row>
    <row r="271" spans="1:10" x14ac:dyDescent="0.3">
      <c r="A271">
        <v>51056027</v>
      </c>
      <c r="B271">
        <v>92</v>
      </c>
      <c r="C271">
        <v>25</v>
      </c>
      <c r="D271">
        <v>12</v>
      </c>
      <c r="E271" s="21">
        <f>D271/PARAMS_MODELO!$B$28</f>
        <v>0.4</v>
      </c>
      <c r="F271">
        <v>15</v>
      </c>
      <c r="G271">
        <v>42</v>
      </c>
      <c r="H271">
        <v>24</v>
      </c>
      <c r="I271" s="20">
        <f t="shared" si="4"/>
        <v>0.5714285714285714</v>
      </c>
      <c r="J271" s="21">
        <f>(IFERROR(_xlfn.PERCENTRANK.INC($B$2:$B$1194,B271)*100,0)*PARAMS_MODELO!$B$25)+(IFERROR(_xlfn.PERCENTRANK.INC($C$2:$C$1194,C271)*100,0)*PARAMS_MODELO!$B$26)+(IFERROR(_xlfn.PERCENTRANK.INC($E$2:$E$1194,E271)*100,0)*PARAMS_MODELO!$B$27)+(IFERROR(_xlfn.PERCENTRANK.INC($F$2:$F$1194,F271)*100,0)*PARAMS_MODELO!$B$29)+(IFERROR(_xlfn.PERCENTRANK.INC($I$2:$I$1194,I271)*100,0)*PARAMS_MODELO!$B$31)</f>
        <v>60.624999999999993</v>
      </c>
    </row>
    <row r="272" spans="1:10" x14ac:dyDescent="0.3">
      <c r="A272">
        <v>51054911</v>
      </c>
      <c r="B272">
        <v>82</v>
      </c>
      <c r="C272">
        <v>19</v>
      </c>
      <c r="D272">
        <v>12</v>
      </c>
      <c r="E272" s="21">
        <f>D272/PARAMS_MODELO!$B$28</f>
        <v>0.4</v>
      </c>
      <c r="F272">
        <v>6</v>
      </c>
      <c r="G272">
        <v>46</v>
      </c>
      <c r="H272">
        <v>28</v>
      </c>
      <c r="I272" s="20">
        <f t="shared" si="4"/>
        <v>0.60869565217391308</v>
      </c>
      <c r="J272" s="21">
        <f>(IFERROR(_xlfn.PERCENTRANK.INC($B$2:$B$1194,B272)*100,0)*PARAMS_MODELO!$B$25)+(IFERROR(_xlfn.PERCENTRANK.INC($C$2:$C$1194,C272)*100,0)*PARAMS_MODELO!$B$26)+(IFERROR(_xlfn.PERCENTRANK.INC($E$2:$E$1194,E272)*100,0)*PARAMS_MODELO!$B$27)+(IFERROR(_xlfn.PERCENTRANK.INC($F$2:$F$1194,F272)*100,0)*PARAMS_MODELO!$B$29)+(IFERROR(_xlfn.PERCENTRANK.INC($I$2:$I$1194,I272)*100,0)*PARAMS_MODELO!$B$31)</f>
        <v>51.16</v>
      </c>
    </row>
    <row r="273" spans="1:10" x14ac:dyDescent="0.3">
      <c r="A273">
        <v>51030605</v>
      </c>
      <c r="B273">
        <v>23</v>
      </c>
      <c r="C273">
        <v>17</v>
      </c>
      <c r="D273">
        <v>63</v>
      </c>
      <c r="E273" s="21">
        <f>D273/PARAMS_MODELO!$B$28</f>
        <v>2.1</v>
      </c>
      <c r="F273">
        <v>35</v>
      </c>
      <c r="G273">
        <v>41</v>
      </c>
      <c r="H273">
        <v>20</v>
      </c>
      <c r="I273" s="20">
        <f t="shared" si="4"/>
        <v>0.48780487804878048</v>
      </c>
      <c r="J273" s="21">
        <f>(IFERROR(_xlfn.PERCENTRANK.INC($B$2:$B$1194,B273)*100,0)*PARAMS_MODELO!$B$25)+(IFERROR(_xlfn.PERCENTRANK.INC($C$2:$C$1194,C273)*100,0)*PARAMS_MODELO!$B$26)+(IFERROR(_xlfn.PERCENTRANK.INC($E$2:$E$1194,E273)*100,0)*PARAMS_MODELO!$B$27)+(IFERROR(_xlfn.PERCENTRANK.INC($F$2:$F$1194,F273)*100,0)*PARAMS_MODELO!$B$29)+(IFERROR(_xlfn.PERCENTRANK.INC($I$2:$I$1194,I273)*100,0)*PARAMS_MODELO!$B$31)</f>
        <v>44.800000000000004</v>
      </c>
    </row>
    <row r="274" spans="1:10" x14ac:dyDescent="0.3">
      <c r="A274">
        <v>51044487</v>
      </c>
      <c r="B274">
        <v>88</v>
      </c>
      <c r="C274">
        <v>1</v>
      </c>
      <c r="D274">
        <v>44</v>
      </c>
      <c r="E274" s="21">
        <f>D274/PARAMS_MODELO!$B$28</f>
        <v>1.4666666666666666</v>
      </c>
      <c r="F274">
        <v>34</v>
      </c>
      <c r="G274">
        <v>98</v>
      </c>
      <c r="H274">
        <v>29</v>
      </c>
      <c r="I274" s="20">
        <f t="shared" si="4"/>
        <v>0.29591836734693877</v>
      </c>
      <c r="J274" s="21">
        <f>(IFERROR(_xlfn.PERCENTRANK.INC($B$2:$B$1194,B274)*100,0)*PARAMS_MODELO!$B$25)+(IFERROR(_xlfn.PERCENTRANK.INC($C$2:$C$1194,C274)*100,0)*PARAMS_MODELO!$B$26)+(IFERROR(_xlfn.PERCENTRANK.INC($E$2:$E$1194,E274)*100,0)*PARAMS_MODELO!$B$27)+(IFERROR(_xlfn.PERCENTRANK.INC($F$2:$F$1194,F274)*100,0)*PARAMS_MODELO!$B$29)+(IFERROR(_xlfn.PERCENTRANK.INC($I$2:$I$1194,I274)*100,0)*PARAMS_MODELO!$B$31)</f>
        <v>43.559999999999995</v>
      </c>
    </row>
    <row r="275" spans="1:10" x14ac:dyDescent="0.3">
      <c r="A275">
        <v>51035674</v>
      </c>
      <c r="B275">
        <v>98</v>
      </c>
      <c r="C275">
        <v>19</v>
      </c>
      <c r="D275">
        <v>60</v>
      </c>
      <c r="E275" s="21">
        <f>D275/PARAMS_MODELO!$B$28</f>
        <v>2</v>
      </c>
      <c r="F275">
        <v>97</v>
      </c>
      <c r="G275">
        <v>47</v>
      </c>
      <c r="H275">
        <v>14</v>
      </c>
      <c r="I275" s="20">
        <f t="shared" si="4"/>
        <v>0.2978723404255319</v>
      </c>
      <c r="J275" s="21">
        <f>(IFERROR(_xlfn.PERCENTRANK.INC($B$2:$B$1194,B275)*100,0)*PARAMS_MODELO!$B$25)+(IFERROR(_xlfn.PERCENTRANK.INC($C$2:$C$1194,C275)*100,0)*PARAMS_MODELO!$B$26)+(IFERROR(_xlfn.PERCENTRANK.INC($E$2:$E$1194,E275)*100,0)*PARAMS_MODELO!$B$27)+(IFERROR(_xlfn.PERCENTRANK.INC($F$2:$F$1194,F275)*100,0)*PARAMS_MODELO!$B$29)+(IFERROR(_xlfn.PERCENTRANK.INC($I$2:$I$1194,I275)*100,0)*PARAMS_MODELO!$B$31)</f>
        <v>76.114999999999995</v>
      </c>
    </row>
    <row r="276" spans="1:10" x14ac:dyDescent="0.3">
      <c r="A276">
        <v>51055128</v>
      </c>
      <c r="B276">
        <v>19</v>
      </c>
      <c r="C276">
        <v>19</v>
      </c>
      <c r="D276">
        <v>39</v>
      </c>
      <c r="E276" s="21">
        <f>D276/PARAMS_MODELO!$B$28</f>
        <v>1.3</v>
      </c>
      <c r="F276">
        <v>81</v>
      </c>
      <c r="G276">
        <v>29</v>
      </c>
      <c r="H276">
        <v>25</v>
      </c>
      <c r="I276" s="20">
        <f t="shared" si="4"/>
        <v>0.86206896551724133</v>
      </c>
      <c r="J276" s="21">
        <f>(IFERROR(_xlfn.PERCENTRANK.INC($B$2:$B$1194,B276)*100,0)*PARAMS_MODELO!$B$25)+(IFERROR(_xlfn.PERCENTRANK.INC($C$2:$C$1194,C276)*100,0)*PARAMS_MODELO!$B$26)+(IFERROR(_xlfn.PERCENTRANK.INC($E$2:$E$1194,E276)*100,0)*PARAMS_MODELO!$B$27)+(IFERROR(_xlfn.PERCENTRANK.INC($F$2:$F$1194,F276)*100,0)*PARAMS_MODELO!$B$29)+(IFERROR(_xlfn.PERCENTRANK.INC($I$2:$I$1194,I276)*100,0)*PARAMS_MODELO!$B$31)</f>
        <v>51.78</v>
      </c>
    </row>
    <row r="277" spans="1:10" x14ac:dyDescent="0.3">
      <c r="A277">
        <v>51011546</v>
      </c>
      <c r="B277">
        <v>79</v>
      </c>
      <c r="C277">
        <v>24</v>
      </c>
      <c r="D277">
        <v>57</v>
      </c>
      <c r="E277" s="21">
        <f>D277/PARAMS_MODELO!$B$28</f>
        <v>1.9</v>
      </c>
      <c r="F277">
        <v>10</v>
      </c>
      <c r="G277">
        <v>84</v>
      </c>
      <c r="H277">
        <v>4</v>
      </c>
      <c r="I277" s="20">
        <f t="shared" si="4"/>
        <v>4.7619047619047616E-2</v>
      </c>
      <c r="J277" s="21">
        <f>(IFERROR(_xlfn.PERCENTRANK.INC($B$2:$B$1194,B277)*100,0)*PARAMS_MODELO!$B$25)+(IFERROR(_xlfn.PERCENTRANK.INC($C$2:$C$1194,C277)*100,0)*PARAMS_MODELO!$B$26)+(IFERROR(_xlfn.PERCENTRANK.INC($E$2:$E$1194,E277)*100,0)*PARAMS_MODELO!$B$27)+(IFERROR(_xlfn.PERCENTRANK.INC($F$2:$F$1194,F277)*100,0)*PARAMS_MODELO!$B$29)+(IFERROR(_xlfn.PERCENTRANK.INC($I$2:$I$1194,I277)*100,0)*PARAMS_MODELO!$B$31)</f>
        <v>59.424999999999997</v>
      </c>
    </row>
    <row r="278" spans="1:10" x14ac:dyDescent="0.3">
      <c r="A278">
        <v>51031482</v>
      </c>
      <c r="B278">
        <v>13</v>
      </c>
      <c r="C278">
        <v>5</v>
      </c>
      <c r="D278">
        <v>90</v>
      </c>
      <c r="E278" s="21">
        <f>D278/PARAMS_MODELO!$B$28</f>
        <v>3</v>
      </c>
      <c r="F278">
        <v>42</v>
      </c>
      <c r="G278">
        <v>42</v>
      </c>
      <c r="H278">
        <v>29</v>
      </c>
      <c r="I278" s="20">
        <f t="shared" si="4"/>
        <v>0.69047619047619047</v>
      </c>
      <c r="J278" s="21">
        <f>(IFERROR(_xlfn.PERCENTRANK.INC($B$2:$B$1194,B278)*100,0)*PARAMS_MODELO!$B$25)+(IFERROR(_xlfn.PERCENTRANK.INC($C$2:$C$1194,C278)*100,0)*PARAMS_MODELO!$B$26)+(IFERROR(_xlfn.PERCENTRANK.INC($E$2:$E$1194,E278)*100,0)*PARAMS_MODELO!$B$27)+(IFERROR(_xlfn.PERCENTRANK.INC($F$2:$F$1194,F278)*100,0)*PARAMS_MODELO!$B$29)+(IFERROR(_xlfn.PERCENTRANK.INC($I$2:$I$1194,I278)*100,0)*PARAMS_MODELO!$B$31)</f>
        <v>39.465000000000003</v>
      </c>
    </row>
    <row r="279" spans="1:10" x14ac:dyDescent="0.3">
      <c r="A279">
        <v>51030109</v>
      </c>
      <c r="B279">
        <v>100</v>
      </c>
      <c r="C279">
        <v>20</v>
      </c>
      <c r="D279">
        <v>79</v>
      </c>
      <c r="E279" s="21">
        <f>D279/PARAMS_MODELO!$B$28</f>
        <v>2.6333333333333333</v>
      </c>
      <c r="F279">
        <v>80</v>
      </c>
      <c r="G279">
        <v>28</v>
      </c>
      <c r="H279">
        <v>12</v>
      </c>
      <c r="I279" s="20">
        <f t="shared" si="4"/>
        <v>0.42857142857142855</v>
      </c>
      <c r="J279" s="21">
        <f>(IFERROR(_xlfn.PERCENTRANK.INC($B$2:$B$1194,B279)*100,0)*PARAMS_MODELO!$B$25)+(IFERROR(_xlfn.PERCENTRANK.INC($C$2:$C$1194,C279)*100,0)*PARAMS_MODELO!$B$26)+(IFERROR(_xlfn.PERCENTRANK.INC($E$2:$E$1194,E279)*100,0)*PARAMS_MODELO!$B$27)+(IFERROR(_xlfn.PERCENTRANK.INC($F$2:$F$1194,F279)*100,0)*PARAMS_MODELO!$B$29)+(IFERROR(_xlfn.PERCENTRANK.INC($I$2:$I$1194,I279)*100,0)*PARAMS_MODELO!$B$31)</f>
        <v>80.36999999999999</v>
      </c>
    </row>
    <row r="280" spans="1:10" x14ac:dyDescent="0.3">
      <c r="A280">
        <v>51022009</v>
      </c>
      <c r="B280">
        <v>17</v>
      </c>
      <c r="C280">
        <v>3</v>
      </c>
      <c r="D280">
        <v>0</v>
      </c>
      <c r="E280" s="21">
        <f>D280/PARAMS_MODELO!$B$28</f>
        <v>0</v>
      </c>
      <c r="F280">
        <v>78</v>
      </c>
      <c r="G280">
        <v>72</v>
      </c>
      <c r="H280">
        <v>42</v>
      </c>
      <c r="I280" s="20">
        <f t="shared" si="4"/>
        <v>0.58333333333333337</v>
      </c>
      <c r="J280" s="21">
        <f>(IFERROR(_xlfn.PERCENTRANK.INC($B$2:$B$1194,B280)*100,0)*PARAMS_MODELO!$B$25)+(IFERROR(_xlfn.PERCENTRANK.INC($C$2:$C$1194,C280)*100,0)*PARAMS_MODELO!$B$26)+(IFERROR(_xlfn.PERCENTRANK.INC($E$2:$E$1194,E280)*100,0)*PARAMS_MODELO!$B$27)+(IFERROR(_xlfn.PERCENTRANK.INC($F$2:$F$1194,F280)*100,0)*PARAMS_MODELO!$B$29)+(IFERROR(_xlfn.PERCENTRANK.INC($I$2:$I$1194,I280)*100,0)*PARAMS_MODELO!$B$31)</f>
        <v>25.364999999999998</v>
      </c>
    </row>
    <row r="281" spans="1:10" x14ac:dyDescent="0.3">
      <c r="A281">
        <v>51015932</v>
      </c>
      <c r="B281">
        <v>29</v>
      </c>
      <c r="C281">
        <v>5</v>
      </c>
      <c r="D281">
        <v>86</v>
      </c>
      <c r="E281" s="21">
        <f>D281/PARAMS_MODELO!$B$28</f>
        <v>2.8666666666666667</v>
      </c>
      <c r="F281">
        <v>38</v>
      </c>
      <c r="G281">
        <v>3</v>
      </c>
      <c r="H281">
        <v>2</v>
      </c>
      <c r="I281" s="20">
        <f t="shared" si="4"/>
        <v>0.66666666666666663</v>
      </c>
      <c r="J281" s="21">
        <f>(IFERROR(_xlfn.PERCENTRANK.INC($B$2:$B$1194,B281)*100,0)*PARAMS_MODELO!$B$25)+(IFERROR(_xlfn.PERCENTRANK.INC($C$2:$C$1194,C281)*100,0)*PARAMS_MODELO!$B$26)+(IFERROR(_xlfn.PERCENTRANK.INC($E$2:$E$1194,E281)*100,0)*PARAMS_MODELO!$B$27)+(IFERROR(_xlfn.PERCENTRANK.INC($F$2:$F$1194,F281)*100,0)*PARAMS_MODELO!$B$29)+(IFERROR(_xlfn.PERCENTRANK.INC($I$2:$I$1194,I281)*100,0)*PARAMS_MODELO!$B$31)</f>
        <v>42.315000000000005</v>
      </c>
    </row>
    <row r="282" spans="1:10" x14ac:dyDescent="0.3">
      <c r="A282">
        <v>51030028</v>
      </c>
      <c r="B282">
        <v>50</v>
      </c>
      <c r="C282">
        <v>0</v>
      </c>
      <c r="D282">
        <v>38</v>
      </c>
      <c r="E282" s="21">
        <f>D282/PARAMS_MODELO!$B$28</f>
        <v>1.2666666666666666</v>
      </c>
      <c r="F282">
        <v>23</v>
      </c>
      <c r="G282">
        <v>59</v>
      </c>
      <c r="H282">
        <v>11</v>
      </c>
      <c r="I282" s="20">
        <f t="shared" si="4"/>
        <v>0.1864406779661017</v>
      </c>
      <c r="J282" s="21">
        <f>(IFERROR(_xlfn.PERCENTRANK.INC($B$2:$B$1194,B282)*100,0)*PARAMS_MODELO!$B$25)+(IFERROR(_xlfn.PERCENTRANK.INC($C$2:$C$1194,C282)*100,0)*PARAMS_MODELO!$B$26)+(IFERROR(_xlfn.PERCENTRANK.INC($E$2:$E$1194,E282)*100,0)*PARAMS_MODELO!$B$27)+(IFERROR(_xlfn.PERCENTRANK.INC($F$2:$F$1194,F282)*100,0)*PARAMS_MODELO!$B$29)+(IFERROR(_xlfn.PERCENTRANK.INC($I$2:$I$1194,I282)*100,0)*PARAMS_MODELO!$B$31)</f>
        <v>27.315000000000001</v>
      </c>
    </row>
    <row r="283" spans="1:10" x14ac:dyDescent="0.3">
      <c r="A283">
        <v>51030257</v>
      </c>
      <c r="B283">
        <v>29</v>
      </c>
      <c r="C283">
        <v>24</v>
      </c>
      <c r="D283">
        <v>8</v>
      </c>
      <c r="E283" s="21">
        <f>D283/PARAMS_MODELO!$B$28</f>
        <v>0.26666666666666666</v>
      </c>
      <c r="F283">
        <v>57</v>
      </c>
      <c r="G283">
        <v>25</v>
      </c>
      <c r="H283">
        <v>20</v>
      </c>
      <c r="I283" s="20">
        <f t="shared" si="4"/>
        <v>0.8</v>
      </c>
      <c r="J283" s="21">
        <f>(IFERROR(_xlfn.PERCENTRANK.INC($B$2:$B$1194,B283)*100,0)*PARAMS_MODELO!$B$25)+(IFERROR(_xlfn.PERCENTRANK.INC($C$2:$C$1194,C283)*100,0)*PARAMS_MODELO!$B$26)+(IFERROR(_xlfn.PERCENTRANK.INC($E$2:$E$1194,E283)*100,0)*PARAMS_MODELO!$B$27)+(IFERROR(_xlfn.PERCENTRANK.INC($F$2:$F$1194,F283)*100,0)*PARAMS_MODELO!$B$29)+(IFERROR(_xlfn.PERCENTRANK.INC($I$2:$I$1194,I283)*100,0)*PARAMS_MODELO!$B$31)</f>
        <v>49.334999999999994</v>
      </c>
    </row>
    <row r="284" spans="1:10" x14ac:dyDescent="0.3">
      <c r="A284">
        <v>51055489</v>
      </c>
      <c r="B284">
        <v>10</v>
      </c>
      <c r="C284">
        <v>21</v>
      </c>
      <c r="D284">
        <v>10</v>
      </c>
      <c r="E284" s="21">
        <f>D284/PARAMS_MODELO!$B$28</f>
        <v>0.33333333333333331</v>
      </c>
      <c r="F284">
        <v>29</v>
      </c>
      <c r="G284">
        <v>94</v>
      </c>
      <c r="H284">
        <v>20</v>
      </c>
      <c r="I284" s="20">
        <f t="shared" si="4"/>
        <v>0.21276595744680851</v>
      </c>
      <c r="J284" s="21">
        <f>(IFERROR(_xlfn.PERCENTRANK.INC($B$2:$B$1194,B284)*100,0)*PARAMS_MODELO!$B$25)+(IFERROR(_xlfn.PERCENTRANK.INC($C$2:$C$1194,C284)*100,0)*PARAMS_MODELO!$B$26)+(IFERROR(_xlfn.PERCENTRANK.INC($E$2:$E$1194,E284)*100,0)*PARAMS_MODELO!$B$27)+(IFERROR(_xlfn.PERCENTRANK.INC($F$2:$F$1194,F284)*100,0)*PARAMS_MODELO!$B$29)+(IFERROR(_xlfn.PERCENTRANK.INC($I$2:$I$1194,I284)*100,0)*PARAMS_MODELO!$B$31)</f>
        <v>30.885000000000005</v>
      </c>
    </row>
    <row r="285" spans="1:10" x14ac:dyDescent="0.3">
      <c r="A285">
        <v>51019423</v>
      </c>
      <c r="B285">
        <v>95</v>
      </c>
      <c r="C285">
        <v>19</v>
      </c>
      <c r="D285">
        <v>56</v>
      </c>
      <c r="E285" s="21">
        <f>D285/PARAMS_MODELO!$B$28</f>
        <v>1.8666666666666667</v>
      </c>
      <c r="F285">
        <v>25</v>
      </c>
      <c r="G285">
        <v>41</v>
      </c>
      <c r="H285">
        <v>16</v>
      </c>
      <c r="I285" s="20">
        <f t="shared" si="4"/>
        <v>0.3902439024390244</v>
      </c>
      <c r="J285" s="21">
        <f>(IFERROR(_xlfn.PERCENTRANK.INC($B$2:$B$1194,B285)*100,0)*PARAMS_MODELO!$B$25)+(IFERROR(_xlfn.PERCENTRANK.INC($C$2:$C$1194,C285)*100,0)*PARAMS_MODELO!$B$26)+(IFERROR(_xlfn.PERCENTRANK.INC($E$2:$E$1194,E285)*100,0)*PARAMS_MODELO!$B$27)+(IFERROR(_xlfn.PERCENTRANK.INC($F$2:$F$1194,F285)*100,0)*PARAMS_MODELO!$B$29)+(IFERROR(_xlfn.PERCENTRANK.INC($I$2:$I$1194,I285)*100,0)*PARAMS_MODELO!$B$31)</f>
        <v>63.92</v>
      </c>
    </row>
    <row r="286" spans="1:10" x14ac:dyDescent="0.3">
      <c r="A286">
        <v>51000811</v>
      </c>
      <c r="B286">
        <v>18</v>
      </c>
      <c r="C286">
        <v>10</v>
      </c>
      <c r="D286">
        <v>70</v>
      </c>
      <c r="E286" s="21">
        <f>D286/PARAMS_MODELO!$B$28</f>
        <v>2.3333333333333335</v>
      </c>
      <c r="F286">
        <v>86</v>
      </c>
      <c r="G286">
        <v>91</v>
      </c>
      <c r="H286">
        <v>76</v>
      </c>
      <c r="I286" s="20">
        <f t="shared" si="4"/>
        <v>0.8351648351648352</v>
      </c>
      <c r="J286" s="21">
        <f>(IFERROR(_xlfn.PERCENTRANK.INC($B$2:$B$1194,B286)*100,0)*PARAMS_MODELO!$B$25)+(IFERROR(_xlfn.PERCENTRANK.INC($C$2:$C$1194,C286)*100,0)*PARAMS_MODELO!$B$26)+(IFERROR(_xlfn.PERCENTRANK.INC($E$2:$E$1194,E286)*100,0)*PARAMS_MODELO!$B$27)+(IFERROR(_xlfn.PERCENTRANK.INC($F$2:$F$1194,F286)*100,0)*PARAMS_MODELO!$B$29)+(IFERROR(_xlfn.PERCENTRANK.INC($I$2:$I$1194,I286)*100,0)*PARAMS_MODELO!$B$31)</f>
        <v>49.46</v>
      </c>
    </row>
    <row r="287" spans="1:10" x14ac:dyDescent="0.3">
      <c r="A287">
        <v>51057040</v>
      </c>
      <c r="B287">
        <v>71</v>
      </c>
      <c r="C287">
        <v>19</v>
      </c>
      <c r="D287">
        <v>53</v>
      </c>
      <c r="E287" s="21">
        <f>D287/PARAMS_MODELO!$B$28</f>
        <v>1.7666666666666666</v>
      </c>
      <c r="F287">
        <v>69</v>
      </c>
      <c r="G287">
        <v>7</v>
      </c>
      <c r="H287">
        <v>2</v>
      </c>
      <c r="I287" s="20">
        <f t="shared" si="4"/>
        <v>0.2857142857142857</v>
      </c>
      <c r="J287" s="21">
        <f>(IFERROR(_xlfn.PERCENTRANK.INC($B$2:$B$1194,B287)*100,0)*PARAMS_MODELO!$B$25)+(IFERROR(_xlfn.PERCENTRANK.INC($C$2:$C$1194,C287)*100,0)*PARAMS_MODELO!$B$26)+(IFERROR(_xlfn.PERCENTRANK.INC($E$2:$E$1194,E287)*100,0)*PARAMS_MODELO!$B$27)+(IFERROR(_xlfn.PERCENTRANK.INC($F$2:$F$1194,F287)*100,0)*PARAMS_MODELO!$B$29)+(IFERROR(_xlfn.PERCENTRANK.INC($I$2:$I$1194,I287)*100,0)*PARAMS_MODELO!$B$31)</f>
        <v>62.37</v>
      </c>
    </row>
    <row r="288" spans="1:10" x14ac:dyDescent="0.3">
      <c r="A288">
        <v>51055101</v>
      </c>
      <c r="B288">
        <v>40</v>
      </c>
      <c r="C288">
        <v>2</v>
      </c>
      <c r="D288">
        <v>69</v>
      </c>
      <c r="E288" s="21">
        <f>D288/PARAMS_MODELO!$B$28</f>
        <v>2.2999999999999998</v>
      </c>
      <c r="F288">
        <v>35</v>
      </c>
      <c r="G288">
        <v>32</v>
      </c>
      <c r="H288">
        <v>21</v>
      </c>
      <c r="I288" s="20">
        <f t="shared" si="4"/>
        <v>0.65625</v>
      </c>
      <c r="J288" s="21">
        <f>(IFERROR(_xlfn.PERCENTRANK.INC($B$2:$B$1194,B288)*100,0)*PARAMS_MODELO!$B$25)+(IFERROR(_xlfn.PERCENTRANK.INC($C$2:$C$1194,C288)*100,0)*PARAMS_MODELO!$B$26)+(IFERROR(_xlfn.PERCENTRANK.INC($E$2:$E$1194,E288)*100,0)*PARAMS_MODELO!$B$27)+(IFERROR(_xlfn.PERCENTRANK.INC($F$2:$F$1194,F288)*100,0)*PARAMS_MODELO!$B$29)+(IFERROR(_xlfn.PERCENTRANK.INC($I$2:$I$1194,I288)*100,0)*PARAMS_MODELO!$B$31)</f>
        <v>39.015000000000001</v>
      </c>
    </row>
    <row r="289" spans="1:10" x14ac:dyDescent="0.3">
      <c r="A289">
        <v>51016386</v>
      </c>
      <c r="B289">
        <v>26</v>
      </c>
      <c r="C289">
        <v>18</v>
      </c>
      <c r="D289">
        <v>98</v>
      </c>
      <c r="E289" s="21">
        <f>D289/PARAMS_MODELO!$B$28</f>
        <v>3.2666666666666666</v>
      </c>
      <c r="F289">
        <v>54</v>
      </c>
      <c r="G289">
        <v>16</v>
      </c>
      <c r="H289">
        <v>15</v>
      </c>
      <c r="I289" s="20">
        <f t="shared" si="4"/>
        <v>0.9375</v>
      </c>
      <c r="J289" s="21">
        <f>(IFERROR(_xlfn.PERCENTRANK.INC($B$2:$B$1194,B289)*100,0)*PARAMS_MODELO!$B$25)+(IFERROR(_xlfn.PERCENTRANK.INC($C$2:$C$1194,C289)*100,0)*PARAMS_MODELO!$B$26)+(IFERROR(_xlfn.PERCENTRANK.INC($E$2:$E$1194,E289)*100,0)*PARAMS_MODELO!$B$27)+(IFERROR(_xlfn.PERCENTRANK.INC($F$2:$F$1194,F289)*100,0)*PARAMS_MODELO!$B$29)+(IFERROR(_xlfn.PERCENTRANK.INC($I$2:$I$1194,I289)*100,0)*PARAMS_MODELO!$B$31)</f>
        <v>60.975000000000001</v>
      </c>
    </row>
    <row r="290" spans="1:10" x14ac:dyDescent="0.3">
      <c r="A290">
        <v>51003594</v>
      </c>
      <c r="B290">
        <v>49</v>
      </c>
      <c r="C290">
        <v>10</v>
      </c>
      <c r="D290">
        <v>70</v>
      </c>
      <c r="E290" s="21">
        <f>D290/PARAMS_MODELO!$B$28</f>
        <v>2.3333333333333335</v>
      </c>
      <c r="F290">
        <v>32</v>
      </c>
      <c r="G290">
        <v>26</v>
      </c>
      <c r="H290">
        <v>6</v>
      </c>
      <c r="I290" s="20">
        <f t="shared" si="4"/>
        <v>0.23076923076923078</v>
      </c>
      <c r="J290" s="21">
        <f>(IFERROR(_xlfn.PERCENTRANK.INC($B$2:$B$1194,B290)*100,0)*PARAMS_MODELO!$B$25)+(IFERROR(_xlfn.PERCENTRANK.INC($C$2:$C$1194,C290)*100,0)*PARAMS_MODELO!$B$26)+(IFERROR(_xlfn.PERCENTRANK.INC($E$2:$E$1194,E290)*100,0)*PARAMS_MODELO!$B$27)+(IFERROR(_xlfn.PERCENTRANK.INC($F$2:$F$1194,F290)*100,0)*PARAMS_MODELO!$B$29)+(IFERROR(_xlfn.PERCENTRANK.INC($I$2:$I$1194,I290)*100,0)*PARAMS_MODELO!$B$31)</f>
        <v>44.620000000000005</v>
      </c>
    </row>
    <row r="291" spans="1:10" x14ac:dyDescent="0.3">
      <c r="A291">
        <v>51030923</v>
      </c>
      <c r="B291">
        <v>81</v>
      </c>
      <c r="C291">
        <v>1</v>
      </c>
      <c r="D291">
        <v>36</v>
      </c>
      <c r="E291" s="21">
        <f>D291/PARAMS_MODELO!$B$28</f>
        <v>1.2</v>
      </c>
      <c r="F291">
        <v>87</v>
      </c>
      <c r="G291">
        <v>79</v>
      </c>
      <c r="H291">
        <v>57</v>
      </c>
      <c r="I291" s="20">
        <f t="shared" si="4"/>
        <v>0.72151898734177211</v>
      </c>
      <c r="J291" s="21">
        <f>(IFERROR(_xlfn.PERCENTRANK.INC($B$2:$B$1194,B291)*100,0)*PARAMS_MODELO!$B$25)+(IFERROR(_xlfn.PERCENTRANK.INC($C$2:$C$1194,C291)*100,0)*PARAMS_MODELO!$B$26)+(IFERROR(_xlfn.PERCENTRANK.INC($E$2:$E$1194,E291)*100,0)*PARAMS_MODELO!$B$27)+(IFERROR(_xlfn.PERCENTRANK.INC($F$2:$F$1194,F291)*100,0)*PARAMS_MODELO!$B$29)+(IFERROR(_xlfn.PERCENTRANK.INC($I$2:$I$1194,I291)*100,0)*PARAMS_MODELO!$B$31)</f>
        <v>52.225000000000009</v>
      </c>
    </row>
    <row r="292" spans="1:10" x14ac:dyDescent="0.3">
      <c r="A292">
        <v>51043197</v>
      </c>
      <c r="B292">
        <v>43</v>
      </c>
      <c r="C292">
        <v>9</v>
      </c>
      <c r="D292">
        <v>13</v>
      </c>
      <c r="E292" s="21">
        <f>D292/PARAMS_MODELO!$B$28</f>
        <v>0.43333333333333335</v>
      </c>
      <c r="F292">
        <v>14</v>
      </c>
      <c r="G292">
        <v>67</v>
      </c>
      <c r="H292">
        <v>0</v>
      </c>
      <c r="I292" s="20">
        <f t="shared" si="4"/>
        <v>0</v>
      </c>
      <c r="J292" s="21">
        <f>(IFERROR(_xlfn.PERCENTRANK.INC($B$2:$B$1194,B292)*100,0)*PARAMS_MODELO!$B$25)+(IFERROR(_xlfn.PERCENTRANK.INC($C$2:$C$1194,C292)*100,0)*PARAMS_MODELO!$B$26)+(IFERROR(_xlfn.PERCENTRANK.INC($E$2:$E$1194,E292)*100,0)*PARAMS_MODELO!$B$27)+(IFERROR(_xlfn.PERCENTRANK.INC($F$2:$F$1194,F292)*100,0)*PARAMS_MODELO!$B$29)+(IFERROR(_xlfn.PERCENTRANK.INC($I$2:$I$1194,I292)*100,0)*PARAMS_MODELO!$B$31)</f>
        <v>25.099999999999998</v>
      </c>
    </row>
    <row r="293" spans="1:10" x14ac:dyDescent="0.3">
      <c r="A293">
        <v>51022823</v>
      </c>
      <c r="B293">
        <v>12</v>
      </c>
      <c r="C293">
        <v>22</v>
      </c>
      <c r="D293">
        <v>21</v>
      </c>
      <c r="E293" s="21">
        <f>D293/PARAMS_MODELO!$B$28</f>
        <v>0.7</v>
      </c>
      <c r="F293">
        <v>93</v>
      </c>
      <c r="G293">
        <v>48</v>
      </c>
      <c r="H293">
        <v>28</v>
      </c>
      <c r="I293" s="20">
        <f t="shared" si="4"/>
        <v>0.58333333333333337</v>
      </c>
      <c r="J293" s="21">
        <f>(IFERROR(_xlfn.PERCENTRANK.INC($B$2:$B$1194,B293)*100,0)*PARAMS_MODELO!$B$25)+(IFERROR(_xlfn.PERCENTRANK.INC($C$2:$C$1194,C293)*100,0)*PARAMS_MODELO!$B$26)+(IFERROR(_xlfn.PERCENTRANK.INC($E$2:$E$1194,E293)*100,0)*PARAMS_MODELO!$B$27)+(IFERROR(_xlfn.PERCENTRANK.INC($F$2:$F$1194,F293)*100,0)*PARAMS_MODELO!$B$29)+(IFERROR(_xlfn.PERCENTRANK.INC($I$2:$I$1194,I293)*100,0)*PARAMS_MODELO!$B$31)</f>
        <v>48.094999999999999</v>
      </c>
    </row>
    <row r="294" spans="1:10" x14ac:dyDescent="0.3">
      <c r="A294">
        <v>51056060</v>
      </c>
      <c r="B294">
        <v>35</v>
      </c>
      <c r="C294">
        <v>16</v>
      </c>
      <c r="D294">
        <v>29</v>
      </c>
      <c r="E294" s="21">
        <f>D294/PARAMS_MODELO!$B$28</f>
        <v>0.96666666666666667</v>
      </c>
      <c r="F294">
        <v>35</v>
      </c>
      <c r="G294">
        <v>36</v>
      </c>
      <c r="H294">
        <v>16</v>
      </c>
      <c r="I294" s="20">
        <f t="shared" si="4"/>
        <v>0.44444444444444442</v>
      </c>
      <c r="J294" s="21">
        <f>(IFERROR(_xlfn.PERCENTRANK.INC($B$2:$B$1194,B294)*100,0)*PARAMS_MODELO!$B$25)+(IFERROR(_xlfn.PERCENTRANK.INC($C$2:$C$1194,C294)*100,0)*PARAMS_MODELO!$B$26)+(IFERROR(_xlfn.PERCENTRANK.INC($E$2:$E$1194,E294)*100,0)*PARAMS_MODELO!$B$27)+(IFERROR(_xlfn.PERCENTRANK.INC($F$2:$F$1194,F294)*100,0)*PARAMS_MODELO!$B$29)+(IFERROR(_xlfn.PERCENTRANK.INC($I$2:$I$1194,I294)*100,0)*PARAMS_MODELO!$B$31)</f>
        <v>39.78</v>
      </c>
    </row>
    <row r="295" spans="1:10" x14ac:dyDescent="0.3">
      <c r="A295">
        <v>51024419</v>
      </c>
      <c r="B295">
        <v>44</v>
      </c>
      <c r="C295">
        <v>0</v>
      </c>
      <c r="D295">
        <v>32</v>
      </c>
      <c r="E295" s="21">
        <f>D295/PARAMS_MODELO!$B$28</f>
        <v>1.0666666666666667</v>
      </c>
      <c r="F295">
        <v>20</v>
      </c>
      <c r="G295">
        <v>84</v>
      </c>
      <c r="H295">
        <v>81</v>
      </c>
      <c r="I295" s="20">
        <f t="shared" si="4"/>
        <v>0.9642857142857143</v>
      </c>
      <c r="J295" s="21">
        <f>(IFERROR(_xlfn.PERCENTRANK.INC($B$2:$B$1194,B295)*100,0)*PARAMS_MODELO!$B$25)+(IFERROR(_xlfn.PERCENTRANK.INC($C$2:$C$1194,C295)*100,0)*PARAMS_MODELO!$B$26)+(IFERROR(_xlfn.PERCENTRANK.INC($E$2:$E$1194,E295)*100,0)*PARAMS_MODELO!$B$27)+(IFERROR(_xlfn.PERCENTRANK.INC($F$2:$F$1194,F295)*100,0)*PARAMS_MODELO!$B$29)+(IFERROR(_xlfn.PERCENTRANK.INC($I$2:$I$1194,I295)*100,0)*PARAMS_MODELO!$B$31)</f>
        <v>31.46</v>
      </c>
    </row>
    <row r="296" spans="1:10" x14ac:dyDescent="0.3">
      <c r="A296">
        <v>51025326</v>
      </c>
      <c r="B296">
        <v>64</v>
      </c>
      <c r="C296">
        <v>11</v>
      </c>
      <c r="D296">
        <v>91</v>
      </c>
      <c r="E296" s="21">
        <f>D296/PARAMS_MODELO!$B$28</f>
        <v>3.0333333333333332</v>
      </c>
      <c r="F296">
        <v>95</v>
      </c>
      <c r="G296">
        <v>53</v>
      </c>
      <c r="H296">
        <v>38</v>
      </c>
      <c r="I296" s="20">
        <f t="shared" si="4"/>
        <v>0.71698113207547165</v>
      </c>
      <c r="J296" s="21">
        <f>(IFERROR(_xlfn.PERCENTRANK.INC($B$2:$B$1194,B296)*100,0)*PARAMS_MODELO!$B$25)+(IFERROR(_xlfn.PERCENTRANK.INC($C$2:$C$1194,C296)*100,0)*PARAMS_MODELO!$B$26)+(IFERROR(_xlfn.PERCENTRANK.INC($E$2:$E$1194,E296)*100,0)*PARAMS_MODELO!$B$27)+(IFERROR(_xlfn.PERCENTRANK.INC($F$2:$F$1194,F296)*100,0)*PARAMS_MODELO!$B$29)+(IFERROR(_xlfn.PERCENTRANK.INC($I$2:$I$1194,I296)*100,0)*PARAMS_MODELO!$B$31)</f>
        <v>68.09</v>
      </c>
    </row>
    <row r="297" spans="1:10" x14ac:dyDescent="0.3">
      <c r="A297">
        <v>51020014</v>
      </c>
      <c r="B297">
        <v>32</v>
      </c>
      <c r="C297">
        <v>9</v>
      </c>
      <c r="D297">
        <v>86</v>
      </c>
      <c r="E297" s="21">
        <f>D297/PARAMS_MODELO!$B$28</f>
        <v>2.8666666666666667</v>
      </c>
      <c r="F297">
        <v>55</v>
      </c>
      <c r="G297">
        <v>22</v>
      </c>
      <c r="H297">
        <v>11</v>
      </c>
      <c r="I297" s="20">
        <f t="shared" si="4"/>
        <v>0.5</v>
      </c>
      <c r="J297" s="21">
        <f>(IFERROR(_xlfn.PERCENTRANK.INC($B$2:$B$1194,B297)*100,0)*PARAMS_MODELO!$B$25)+(IFERROR(_xlfn.PERCENTRANK.INC($C$2:$C$1194,C297)*100,0)*PARAMS_MODELO!$B$26)+(IFERROR(_xlfn.PERCENTRANK.INC($E$2:$E$1194,E297)*100,0)*PARAMS_MODELO!$B$27)+(IFERROR(_xlfn.PERCENTRANK.INC($F$2:$F$1194,F297)*100,0)*PARAMS_MODELO!$B$29)+(IFERROR(_xlfn.PERCENTRANK.INC($I$2:$I$1194,I297)*100,0)*PARAMS_MODELO!$B$31)</f>
        <v>47.79</v>
      </c>
    </row>
    <row r="298" spans="1:10" x14ac:dyDescent="0.3">
      <c r="A298">
        <v>51055951</v>
      </c>
      <c r="B298">
        <v>18</v>
      </c>
      <c r="C298">
        <v>21</v>
      </c>
      <c r="D298">
        <v>79</v>
      </c>
      <c r="E298" s="21">
        <f>D298/PARAMS_MODELO!$B$28</f>
        <v>2.6333333333333333</v>
      </c>
      <c r="F298">
        <v>61</v>
      </c>
      <c r="G298">
        <v>43</v>
      </c>
      <c r="H298">
        <v>32</v>
      </c>
      <c r="I298" s="20">
        <f t="shared" si="4"/>
        <v>0.7441860465116279</v>
      </c>
      <c r="J298" s="21">
        <f>(IFERROR(_xlfn.PERCENTRANK.INC($B$2:$B$1194,B298)*100,0)*PARAMS_MODELO!$B$25)+(IFERROR(_xlfn.PERCENTRANK.INC($C$2:$C$1194,C298)*100,0)*PARAMS_MODELO!$B$26)+(IFERROR(_xlfn.PERCENTRANK.INC($E$2:$E$1194,E298)*100,0)*PARAMS_MODELO!$B$27)+(IFERROR(_xlfn.PERCENTRANK.INC($F$2:$F$1194,F298)*100,0)*PARAMS_MODELO!$B$29)+(IFERROR(_xlfn.PERCENTRANK.INC($I$2:$I$1194,I298)*100,0)*PARAMS_MODELO!$B$31)</f>
        <v>57.035000000000004</v>
      </c>
    </row>
    <row r="299" spans="1:10" x14ac:dyDescent="0.3">
      <c r="A299">
        <v>51016882</v>
      </c>
      <c r="B299">
        <v>76</v>
      </c>
      <c r="C299">
        <v>6</v>
      </c>
      <c r="D299">
        <v>88</v>
      </c>
      <c r="E299" s="21">
        <f>D299/PARAMS_MODELO!$B$28</f>
        <v>2.9333333333333331</v>
      </c>
      <c r="F299">
        <v>50</v>
      </c>
      <c r="G299">
        <v>92</v>
      </c>
      <c r="H299">
        <v>61</v>
      </c>
      <c r="I299" s="20">
        <f t="shared" si="4"/>
        <v>0.66304347826086951</v>
      </c>
      <c r="J299" s="21">
        <f>(IFERROR(_xlfn.PERCENTRANK.INC($B$2:$B$1194,B299)*100,0)*PARAMS_MODELO!$B$25)+(IFERROR(_xlfn.PERCENTRANK.INC($C$2:$C$1194,C299)*100,0)*PARAMS_MODELO!$B$26)+(IFERROR(_xlfn.PERCENTRANK.INC($E$2:$E$1194,E299)*100,0)*PARAMS_MODELO!$B$27)+(IFERROR(_xlfn.PERCENTRANK.INC($F$2:$F$1194,F299)*100,0)*PARAMS_MODELO!$B$29)+(IFERROR(_xlfn.PERCENTRANK.INC($I$2:$I$1194,I299)*100,0)*PARAMS_MODELO!$B$31)</f>
        <v>59.445000000000007</v>
      </c>
    </row>
    <row r="300" spans="1:10" x14ac:dyDescent="0.3">
      <c r="A300">
        <v>51043405</v>
      </c>
      <c r="B300">
        <v>12</v>
      </c>
      <c r="C300">
        <v>25</v>
      </c>
      <c r="D300">
        <v>73</v>
      </c>
      <c r="E300" s="21">
        <f>D300/PARAMS_MODELO!$B$28</f>
        <v>2.4333333333333331</v>
      </c>
      <c r="F300">
        <v>77</v>
      </c>
      <c r="G300">
        <v>14</v>
      </c>
      <c r="H300">
        <v>2</v>
      </c>
      <c r="I300" s="20">
        <f t="shared" si="4"/>
        <v>0.14285714285714285</v>
      </c>
      <c r="J300" s="21">
        <f>(IFERROR(_xlfn.PERCENTRANK.INC($B$2:$B$1194,B300)*100,0)*PARAMS_MODELO!$B$25)+(IFERROR(_xlfn.PERCENTRANK.INC($C$2:$C$1194,C300)*100,0)*PARAMS_MODELO!$B$26)+(IFERROR(_xlfn.PERCENTRANK.INC($E$2:$E$1194,E300)*100,0)*PARAMS_MODELO!$B$27)+(IFERROR(_xlfn.PERCENTRANK.INC($F$2:$F$1194,F300)*100,0)*PARAMS_MODELO!$B$29)+(IFERROR(_xlfn.PERCENTRANK.INC($I$2:$I$1194,I300)*100,0)*PARAMS_MODELO!$B$31)</f>
        <v>55.339999999999996</v>
      </c>
    </row>
    <row r="301" spans="1:10" x14ac:dyDescent="0.3">
      <c r="A301">
        <v>51008987</v>
      </c>
      <c r="B301">
        <v>72</v>
      </c>
      <c r="C301">
        <v>21</v>
      </c>
      <c r="D301">
        <v>39</v>
      </c>
      <c r="E301" s="21">
        <f>D301/PARAMS_MODELO!$B$28</f>
        <v>1.3</v>
      </c>
      <c r="F301">
        <v>26</v>
      </c>
      <c r="G301">
        <v>56</v>
      </c>
      <c r="H301">
        <v>4</v>
      </c>
      <c r="I301" s="20">
        <f t="shared" si="4"/>
        <v>7.1428571428571425E-2</v>
      </c>
      <c r="J301" s="21">
        <f>(IFERROR(_xlfn.PERCENTRANK.INC($B$2:$B$1194,B301)*100,0)*PARAMS_MODELO!$B$25)+(IFERROR(_xlfn.PERCENTRANK.INC($C$2:$C$1194,C301)*100,0)*PARAMS_MODELO!$B$26)+(IFERROR(_xlfn.PERCENTRANK.INC($E$2:$E$1194,E301)*100,0)*PARAMS_MODELO!$B$27)+(IFERROR(_xlfn.PERCENTRANK.INC($F$2:$F$1194,F301)*100,0)*PARAMS_MODELO!$B$29)+(IFERROR(_xlfn.PERCENTRANK.INC($I$2:$I$1194,I301)*100,0)*PARAMS_MODELO!$B$31)</f>
        <v>52.970000000000006</v>
      </c>
    </row>
    <row r="302" spans="1:10" x14ac:dyDescent="0.3">
      <c r="A302">
        <v>51021088</v>
      </c>
      <c r="B302">
        <v>11</v>
      </c>
      <c r="C302">
        <v>12</v>
      </c>
      <c r="D302">
        <v>6</v>
      </c>
      <c r="E302" s="21">
        <f>D302/PARAMS_MODELO!$B$28</f>
        <v>0.2</v>
      </c>
      <c r="F302">
        <v>60</v>
      </c>
      <c r="G302">
        <v>34</v>
      </c>
      <c r="H302">
        <v>23</v>
      </c>
      <c r="I302" s="20">
        <f t="shared" si="4"/>
        <v>0.67647058823529416</v>
      </c>
      <c r="J302" s="21">
        <f>(IFERROR(_xlfn.PERCENTRANK.INC($B$2:$B$1194,B302)*100,0)*PARAMS_MODELO!$B$25)+(IFERROR(_xlfn.PERCENTRANK.INC($C$2:$C$1194,C302)*100,0)*PARAMS_MODELO!$B$26)+(IFERROR(_xlfn.PERCENTRANK.INC($E$2:$E$1194,E302)*100,0)*PARAMS_MODELO!$B$27)+(IFERROR(_xlfn.PERCENTRANK.INC($F$2:$F$1194,F302)*100,0)*PARAMS_MODELO!$B$29)+(IFERROR(_xlfn.PERCENTRANK.INC($I$2:$I$1194,I302)*100,0)*PARAMS_MODELO!$B$31)</f>
        <v>31.240000000000002</v>
      </c>
    </row>
    <row r="303" spans="1:10" x14ac:dyDescent="0.3">
      <c r="A303">
        <v>51001702</v>
      </c>
      <c r="B303">
        <v>5</v>
      </c>
      <c r="C303">
        <v>8</v>
      </c>
      <c r="D303">
        <v>75</v>
      </c>
      <c r="E303" s="21">
        <f>D303/PARAMS_MODELO!$B$28</f>
        <v>2.5</v>
      </c>
      <c r="F303">
        <v>68</v>
      </c>
      <c r="G303">
        <v>68</v>
      </c>
      <c r="H303">
        <v>12</v>
      </c>
      <c r="I303" s="20">
        <f t="shared" si="4"/>
        <v>0.17647058823529413</v>
      </c>
      <c r="J303" s="21">
        <f>(IFERROR(_xlfn.PERCENTRANK.INC($B$2:$B$1194,B303)*100,0)*PARAMS_MODELO!$B$25)+(IFERROR(_xlfn.PERCENTRANK.INC($C$2:$C$1194,C303)*100,0)*PARAMS_MODELO!$B$26)+(IFERROR(_xlfn.PERCENTRANK.INC($E$2:$E$1194,E303)*100,0)*PARAMS_MODELO!$B$27)+(IFERROR(_xlfn.PERCENTRANK.INC($F$2:$F$1194,F303)*100,0)*PARAMS_MODELO!$B$29)+(IFERROR(_xlfn.PERCENTRANK.INC($I$2:$I$1194,I303)*100,0)*PARAMS_MODELO!$B$31)</f>
        <v>35.910000000000004</v>
      </c>
    </row>
    <row r="304" spans="1:10" x14ac:dyDescent="0.3">
      <c r="A304">
        <v>51003730</v>
      </c>
      <c r="B304">
        <v>77</v>
      </c>
      <c r="C304">
        <v>2</v>
      </c>
      <c r="D304">
        <v>81</v>
      </c>
      <c r="E304" s="21">
        <f>D304/PARAMS_MODELO!$B$28</f>
        <v>2.7</v>
      </c>
      <c r="F304">
        <v>89</v>
      </c>
      <c r="G304">
        <v>12</v>
      </c>
      <c r="H304">
        <v>9</v>
      </c>
      <c r="I304" s="20">
        <f t="shared" si="4"/>
        <v>0.75</v>
      </c>
      <c r="J304" s="21">
        <f>(IFERROR(_xlfn.PERCENTRANK.INC($B$2:$B$1194,B304)*100,0)*PARAMS_MODELO!$B$25)+(IFERROR(_xlfn.PERCENTRANK.INC($C$2:$C$1194,C304)*100,0)*PARAMS_MODELO!$B$26)+(IFERROR(_xlfn.PERCENTRANK.INC($E$2:$E$1194,E304)*100,0)*PARAMS_MODELO!$B$27)+(IFERROR(_xlfn.PERCENTRANK.INC($F$2:$F$1194,F304)*100,0)*PARAMS_MODELO!$B$29)+(IFERROR(_xlfn.PERCENTRANK.INC($I$2:$I$1194,I304)*100,0)*PARAMS_MODELO!$B$31)</f>
        <v>61.354999999999997</v>
      </c>
    </row>
    <row r="305" spans="1:10" x14ac:dyDescent="0.3">
      <c r="A305">
        <v>51012348</v>
      </c>
      <c r="B305">
        <v>46</v>
      </c>
      <c r="C305">
        <v>14</v>
      </c>
      <c r="D305">
        <v>24</v>
      </c>
      <c r="E305" s="21">
        <f>D305/PARAMS_MODELO!$B$28</f>
        <v>0.8</v>
      </c>
      <c r="F305">
        <v>30</v>
      </c>
      <c r="G305">
        <v>50</v>
      </c>
      <c r="H305">
        <v>47</v>
      </c>
      <c r="I305" s="20">
        <f t="shared" si="4"/>
        <v>0.94</v>
      </c>
      <c r="J305" s="21">
        <f>(IFERROR(_xlfn.PERCENTRANK.INC($B$2:$B$1194,B305)*100,0)*PARAMS_MODELO!$B$25)+(IFERROR(_xlfn.PERCENTRANK.INC($C$2:$C$1194,C305)*100,0)*PARAMS_MODELO!$B$26)+(IFERROR(_xlfn.PERCENTRANK.INC($E$2:$E$1194,E305)*100,0)*PARAMS_MODELO!$B$27)+(IFERROR(_xlfn.PERCENTRANK.INC($F$2:$F$1194,F305)*100,0)*PARAMS_MODELO!$B$29)+(IFERROR(_xlfn.PERCENTRANK.INC($I$2:$I$1194,I305)*100,0)*PARAMS_MODELO!$B$31)</f>
        <v>44.72</v>
      </c>
    </row>
    <row r="306" spans="1:10" x14ac:dyDescent="0.3">
      <c r="A306">
        <v>51031563</v>
      </c>
      <c r="B306">
        <v>99</v>
      </c>
      <c r="C306">
        <v>15</v>
      </c>
      <c r="D306">
        <v>0</v>
      </c>
      <c r="E306" s="21">
        <f>D306/PARAMS_MODELO!$B$28</f>
        <v>0</v>
      </c>
      <c r="F306">
        <v>28</v>
      </c>
      <c r="G306">
        <v>34</v>
      </c>
      <c r="H306">
        <v>8</v>
      </c>
      <c r="I306" s="20">
        <f t="shared" si="4"/>
        <v>0.23529411764705882</v>
      </c>
      <c r="J306" s="21">
        <f>(IFERROR(_xlfn.PERCENTRANK.INC($B$2:$B$1194,B306)*100,0)*PARAMS_MODELO!$B$25)+(IFERROR(_xlfn.PERCENTRANK.INC($C$2:$C$1194,C306)*100,0)*PARAMS_MODELO!$B$26)+(IFERROR(_xlfn.PERCENTRANK.INC($E$2:$E$1194,E306)*100,0)*PARAMS_MODELO!$B$27)+(IFERROR(_xlfn.PERCENTRANK.INC($F$2:$F$1194,F306)*100,0)*PARAMS_MODELO!$B$29)+(IFERROR(_xlfn.PERCENTRANK.INC($I$2:$I$1194,I306)*100,0)*PARAMS_MODELO!$B$31)</f>
        <v>49.44</v>
      </c>
    </row>
    <row r="307" spans="1:10" x14ac:dyDescent="0.3">
      <c r="A307">
        <v>51055080</v>
      </c>
      <c r="B307">
        <v>84</v>
      </c>
      <c r="C307">
        <v>0</v>
      </c>
      <c r="D307">
        <v>25</v>
      </c>
      <c r="E307" s="21">
        <f>D307/PARAMS_MODELO!$B$28</f>
        <v>0.83333333333333337</v>
      </c>
      <c r="F307">
        <v>31</v>
      </c>
      <c r="G307">
        <v>54</v>
      </c>
      <c r="H307">
        <v>19</v>
      </c>
      <c r="I307" s="20">
        <f t="shared" si="4"/>
        <v>0.35185185185185186</v>
      </c>
      <c r="J307" s="21">
        <f>(IFERROR(_xlfn.PERCENTRANK.INC($B$2:$B$1194,B307)*100,0)*PARAMS_MODELO!$B$25)+(IFERROR(_xlfn.PERCENTRANK.INC($C$2:$C$1194,C307)*100,0)*PARAMS_MODELO!$B$26)+(IFERROR(_xlfn.PERCENTRANK.INC($E$2:$E$1194,E307)*100,0)*PARAMS_MODELO!$B$27)+(IFERROR(_xlfn.PERCENTRANK.INC($F$2:$F$1194,F307)*100,0)*PARAMS_MODELO!$B$29)+(IFERROR(_xlfn.PERCENTRANK.INC($I$2:$I$1194,I307)*100,0)*PARAMS_MODELO!$B$31)</f>
        <v>37.515000000000001</v>
      </c>
    </row>
    <row r="308" spans="1:10" x14ac:dyDescent="0.3">
      <c r="A308">
        <v>51018672</v>
      </c>
      <c r="B308">
        <v>12</v>
      </c>
      <c r="C308">
        <v>4</v>
      </c>
      <c r="D308">
        <v>76</v>
      </c>
      <c r="E308" s="21">
        <f>D308/PARAMS_MODELO!$B$28</f>
        <v>2.5333333333333332</v>
      </c>
      <c r="F308">
        <v>57</v>
      </c>
      <c r="G308">
        <v>49</v>
      </c>
      <c r="H308">
        <v>22</v>
      </c>
      <c r="I308" s="20">
        <f t="shared" si="4"/>
        <v>0.44897959183673469</v>
      </c>
      <c r="J308" s="21">
        <f>(IFERROR(_xlfn.PERCENTRANK.INC($B$2:$B$1194,B308)*100,0)*PARAMS_MODELO!$B$25)+(IFERROR(_xlfn.PERCENTRANK.INC($C$2:$C$1194,C308)*100,0)*PARAMS_MODELO!$B$26)+(IFERROR(_xlfn.PERCENTRANK.INC($E$2:$E$1194,E308)*100,0)*PARAMS_MODELO!$B$27)+(IFERROR(_xlfn.PERCENTRANK.INC($F$2:$F$1194,F308)*100,0)*PARAMS_MODELO!$B$29)+(IFERROR(_xlfn.PERCENTRANK.INC($I$2:$I$1194,I308)*100,0)*PARAMS_MODELO!$B$31)</f>
        <v>35.605000000000004</v>
      </c>
    </row>
    <row r="309" spans="1:10" x14ac:dyDescent="0.3">
      <c r="A309">
        <v>51019130</v>
      </c>
      <c r="B309">
        <v>62</v>
      </c>
      <c r="C309">
        <v>25</v>
      </c>
      <c r="D309">
        <v>81</v>
      </c>
      <c r="E309" s="21">
        <f>D309/PARAMS_MODELO!$B$28</f>
        <v>2.7</v>
      </c>
      <c r="F309">
        <v>5</v>
      </c>
      <c r="G309">
        <v>55</v>
      </c>
      <c r="H309">
        <v>49</v>
      </c>
      <c r="I309" s="20">
        <f t="shared" si="4"/>
        <v>0.89090909090909087</v>
      </c>
      <c r="J309" s="21">
        <f>(IFERROR(_xlfn.PERCENTRANK.INC($B$2:$B$1194,B309)*100,0)*PARAMS_MODELO!$B$25)+(IFERROR(_xlfn.PERCENTRANK.INC($C$2:$C$1194,C309)*100,0)*PARAMS_MODELO!$B$26)+(IFERROR(_xlfn.PERCENTRANK.INC($E$2:$E$1194,E309)*100,0)*PARAMS_MODELO!$B$27)+(IFERROR(_xlfn.PERCENTRANK.INC($F$2:$F$1194,F309)*100,0)*PARAMS_MODELO!$B$29)+(IFERROR(_xlfn.PERCENTRANK.INC($I$2:$I$1194,I309)*100,0)*PARAMS_MODELO!$B$31)</f>
        <v>67.575000000000003</v>
      </c>
    </row>
    <row r="310" spans="1:10" x14ac:dyDescent="0.3">
      <c r="A310">
        <v>51036255</v>
      </c>
      <c r="B310">
        <v>69</v>
      </c>
      <c r="C310">
        <v>1</v>
      </c>
      <c r="D310">
        <v>55</v>
      </c>
      <c r="E310" s="21">
        <f>D310/PARAMS_MODELO!$B$28</f>
        <v>1.8333333333333333</v>
      </c>
      <c r="F310">
        <v>35</v>
      </c>
      <c r="G310">
        <v>19</v>
      </c>
      <c r="H310">
        <v>10</v>
      </c>
      <c r="I310" s="20">
        <f t="shared" si="4"/>
        <v>0.52631578947368418</v>
      </c>
      <c r="J310" s="21">
        <f>(IFERROR(_xlfn.PERCENTRANK.INC($B$2:$B$1194,B310)*100,0)*PARAMS_MODELO!$B$25)+(IFERROR(_xlfn.PERCENTRANK.INC($C$2:$C$1194,C310)*100,0)*PARAMS_MODELO!$B$26)+(IFERROR(_xlfn.PERCENTRANK.INC($E$2:$E$1194,E310)*100,0)*PARAMS_MODELO!$B$27)+(IFERROR(_xlfn.PERCENTRANK.INC($F$2:$F$1194,F310)*100,0)*PARAMS_MODELO!$B$29)+(IFERROR(_xlfn.PERCENTRANK.INC($I$2:$I$1194,I310)*100,0)*PARAMS_MODELO!$B$31)</f>
        <v>42.87</v>
      </c>
    </row>
    <row r="311" spans="1:10" x14ac:dyDescent="0.3">
      <c r="A311">
        <v>51056809</v>
      </c>
      <c r="B311">
        <v>70</v>
      </c>
      <c r="C311">
        <v>16</v>
      </c>
      <c r="D311">
        <v>64</v>
      </c>
      <c r="E311" s="21">
        <f>D311/PARAMS_MODELO!$B$28</f>
        <v>2.1333333333333333</v>
      </c>
      <c r="F311">
        <v>34</v>
      </c>
      <c r="G311">
        <v>76</v>
      </c>
      <c r="H311">
        <v>73</v>
      </c>
      <c r="I311" s="20">
        <f t="shared" si="4"/>
        <v>0.96052631578947367</v>
      </c>
      <c r="J311" s="21">
        <f>(IFERROR(_xlfn.PERCENTRANK.INC($B$2:$B$1194,B311)*100,0)*PARAMS_MODELO!$B$25)+(IFERROR(_xlfn.PERCENTRANK.INC($C$2:$C$1194,C311)*100,0)*PARAMS_MODELO!$B$26)+(IFERROR(_xlfn.PERCENTRANK.INC($E$2:$E$1194,E311)*100,0)*PARAMS_MODELO!$B$27)+(IFERROR(_xlfn.PERCENTRANK.INC($F$2:$F$1194,F311)*100,0)*PARAMS_MODELO!$B$29)+(IFERROR(_xlfn.PERCENTRANK.INC($I$2:$I$1194,I311)*100,0)*PARAMS_MODELO!$B$31)</f>
        <v>62.609999999999992</v>
      </c>
    </row>
    <row r="312" spans="1:10" x14ac:dyDescent="0.3">
      <c r="A312">
        <v>51018699</v>
      </c>
      <c r="B312">
        <v>69</v>
      </c>
      <c r="C312">
        <v>18</v>
      </c>
      <c r="D312">
        <v>43</v>
      </c>
      <c r="E312" s="21">
        <f>D312/PARAMS_MODELO!$B$28</f>
        <v>1.4333333333333333</v>
      </c>
      <c r="F312">
        <v>24</v>
      </c>
      <c r="G312">
        <v>43</v>
      </c>
      <c r="H312">
        <v>20</v>
      </c>
      <c r="I312" s="20">
        <f t="shared" si="4"/>
        <v>0.46511627906976744</v>
      </c>
      <c r="J312" s="21">
        <f>(IFERROR(_xlfn.PERCENTRANK.INC($B$2:$B$1194,B312)*100,0)*PARAMS_MODELO!$B$25)+(IFERROR(_xlfn.PERCENTRANK.INC($C$2:$C$1194,C312)*100,0)*PARAMS_MODELO!$B$26)+(IFERROR(_xlfn.PERCENTRANK.INC($E$2:$E$1194,E312)*100,0)*PARAMS_MODELO!$B$27)+(IFERROR(_xlfn.PERCENTRANK.INC($F$2:$F$1194,F312)*100,0)*PARAMS_MODELO!$B$29)+(IFERROR(_xlfn.PERCENTRANK.INC($I$2:$I$1194,I312)*100,0)*PARAMS_MODELO!$B$31)</f>
        <v>53.39</v>
      </c>
    </row>
    <row r="313" spans="1:10" x14ac:dyDescent="0.3">
      <c r="A313">
        <v>51010019</v>
      </c>
      <c r="B313">
        <v>86</v>
      </c>
      <c r="C313">
        <v>5</v>
      </c>
      <c r="D313">
        <v>43</v>
      </c>
      <c r="E313" s="21">
        <f>D313/PARAMS_MODELO!$B$28</f>
        <v>1.4333333333333333</v>
      </c>
      <c r="F313">
        <v>82</v>
      </c>
      <c r="G313">
        <v>60</v>
      </c>
      <c r="H313">
        <v>28</v>
      </c>
      <c r="I313" s="20">
        <f t="shared" si="4"/>
        <v>0.46666666666666667</v>
      </c>
      <c r="J313" s="21">
        <f>(IFERROR(_xlfn.PERCENTRANK.INC($B$2:$B$1194,B313)*100,0)*PARAMS_MODELO!$B$25)+(IFERROR(_xlfn.PERCENTRANK.INC($C$2:$C$1194,C313)*100,0)*PARAMS_MODELO!$B$26)+(IFERROR(_xlfn.PERCENTRANK.INC($E$2:$E$1194,E313)*100,0)*PARAMS_MODELO!$B$27)+(IFERROR(_xlfn.PERCENTRANK.INC($F$2:$F$1194,F313)*100,0)*PARAMS_MODELO!$B$29)+(IFERROR(_xlfn.PERCENTRANK.INC($I$2:$I$1194,I313)*100,0)*PARAMS_MODELO!$B$31)</f>
        <v>55.344999999999999</v>
      </c>
    </row>
    <row r="314" spans="1:10" x14ac:dyDescent="0.3">
      <c r="A314">
        <v>51010647</v>
      </c>
      <c r="B314">
        <v>31</v>
      </c>
      <c r="C314">
        <v>13</v>
      </c>
      <c r="D314">
        <v>72</v>
      </c>
      <c r="E314" s="21">
        <f>D314/PARAMS_MODELO!$B$28</f>
        <v>2.4</v>
      </c>
      <c r="F314">
        <v>27</v>
      </c>
      <c r="G314">
        <v>9</v>
      </c>
      <c r="H314">
        <v>8</v>
      </c>
      <c r="I314" s="20">
        <f t="shared" si="4"/>
        <v>0.88888888888888884</v>
      </c>
      <c r="J314" s="21">
        <f>(IFERROR(_xlfn.PERCENTRANK.INC($B$2:$B$1194,B314)*100,0)*PARAMS_MODELO!$B$25)+(IFERROR(_xlfn.PERCENTRANK.INC($C$2:$C$1194,C314)*100,0)*PARAMS_MODELO!$B$26)+(IFERROR(_xlfn.PERCENTRANK.INC($E$2:$E$1194,E314)*100,0)*PARAMS_MODELO!$B$27)+(IFERROR(_xlfn.PERCENTRANK.INC($F$2:$F$1194,F314)*100,0)*PARAMS_MODELO!$B$29)+(IFERROR(_xlfn.PERCENTRANK.INC($I$2:$I$1194,I314)*100,0)*PARAMS_MODELO!$B$31)</f>
        <v>48.094999999999999</v>
      </c>
    </row>
    <row r="315" spans="1:10" x14ac:dyDescent="0.3">
      <c r="A315">
        <v>51054881</v>
      </c>
      <c r="B315">
        <v>0</v>
      </c>
      <c r="C315">
        <v>10</v>
      </c>
      <c r="D315">
        <v>32</v>
      </c>
      <c r="E315" s="21">
        <f>D315/PARAMS_MODELO!$B$28</f>
        <v>1.0666666666666667</v>
      </c>
      <c r="F315">
        <v>23</v>
      </c>
      <c r="G315">
        <v>8</v>
      </c>
      <c r="H315">
        <v>3</v>
      </c>
      <c r="I315" s="20">
        <f t="shared" si="4"/>
        <v>0.375</v>
      </c>
      <c r="J315" s="21">
        <f>(IFERROR(_xlfn.PERCENTRANK.INC($B$2:$B$1194,B315)*100,0)*PARAMS_MODELO!$B$25)+(IFERROR(_xlfn.PERCENTRANK.INC($C$2:$C$1194,C315)*100,0)*PARAMS_MODELO!$B$26)+(IFERROR(_xlfn.PERCENTRANK.INC($E$2:$E$1194,E315)*100,0)*PARAMS_MODELO!$B$27)+(IFERROR(_xlfn.PERCENTRANK.INC($F$2:$F$1194,F315)*100,0)*PARAMS_MODELO!$B$29)+(IFERROR(_xlfn.PERCENTRANK.INC($I$2:$I$1194,I315)*100,0)*PARAMS_MODELO!$B$31)</f>
        <v>21.965</v>
      </c>
    </row>
    <row r="316" spans="1:10" x14ac:dyDescent="0.3">
      <c r="A316">
        <v>51019091</v>
      </c>
      <c r="B316">
        <v>53</v>
      </c>
      <c r="C316">
        <v>20</v>
      </c>
      <c r="D316">
        <v>71</v>
      </c>
      <c r="E316" s="21">
        <f>D316/PARAMS_MODELO!$B$28</f>
        <v>2.3666666666666667</v>
      </c>
      <c r="F316">
        <v>25</v>
      </c>
      <c r="G316">
        <v>31</v>
      </c>
      <c r="H316">
        <v>4</v>
      </c>
      <c r="I316" s="20">
        <f t="shared" si="4"/>
        <v>0.12903225806451613</v>
      </c>
      <c r="J316" s="21">
        <f>(IFERROR(_xlfn.PERCENTRANK.INC($B$2:$B$1194,B316)*100,0)*PARAMS_MODELO!$B$25)+(IFERROR(_xlfn.PERCENTRANK.INC($C$2:$C$1194,C316)*100,0)*PARAMS_MODELO!$B$26)+(IFERROR(_xlfn.PERCENTRANK.INC($E$2:$E$1194,E316)*100,0)*PARAMS_MODELO!$B$27)+(IFERROR(_xlfn.PERCENTRANK.INC($F$2:$F$1194,F316)*100,0)*PARAMS_MODELO!$B$29)+(IFERROR(_xlfn.PERCENTRANK.INC($I$2:$I$1194,I316)*100,0)*PARAMS_MODELO!$B$31)</f>
        <v>52.924999999999997</v>
      </c>
    </row>
    <row r="317" spans="1:10" x14ac:dyDescent="0.3">
      <c r="A317">
        <v>51018931</v>
      </c>
      <c r="B317">
        <v>35</v>
      </c>
      <c r="C317">
        <v>19</v>
      </c>
      <c r="D317">
        <v>66</v>
      </c>
      <c r="E317" s="21">
        <f>D317/PARAMS_MODELO!$B$28</f>
        <v>2.2000000000000002</v>
      </c>
      <c r="F317">
        <v>66</v>
      </c>
      <c r="G317">
        <v>36</v>
      </c>
      <c r="H317">
        <v>13</v>
      </c>
      <c r="I317" s="20">
        <f t="shared" si="4"/>
        <v>0.3611111111111111</v>
      </c>
      <c r="J317" s="21">
        <f>(IFERROR(_xlfn.PERCENTRANK.INC($B$2:$B$1194,B317)*100,0)*PARAMS_MODELO!$B$25)+(IFERROR(_xlfn.PERCENTRANK.INC($C$2:$C$1194,C317)*100,0)*PARAMS_MODELO!$B$26)+(IFERROR(_xlfn.PERCENTRANK.INC($E$2:$E$1194,E317)*100,0)*PARAMS_MODELO!$B$27)+(IFERROR(_xlfn.PERCENTRANK.INC($F$2:$F$1194,F317)*100,0)*PARAMS_MODELO!$B$29)+(IFERROR(_xlfn.PERCENTRANK.INC($I$2:$I$1194,I317)*100,0)*PARAMS_MODELO!$B$31)</f>
        <v>54.414999999999999</v>
      </c>
    </row>
    <row r="318" spans="1:10" x14ac:dyDescent="0.3">
      <c r="A318">
        <v>51057015</v>
      </c>
      <c r="B318">
        <v>58</v>
      </c>
      <c r="C318">
        <v>13</v>
      </c>
      <c r="D318">
        <v>38</v>
      </c>
      <c r="E318" s="21">
        <f>D318/PARAMS_MODELO!$B$28</f>
        <v>1.2666666666666666</v>
      </c>
      <c r="F318">
        <v>65</v>
      </c>
      <c r="G318">
        <v>55</v>
      </c>
      <c r="H318">
        <v>37</v>
      </c>
      <c r="I318" s="20">
        <f t="shared" si="4"/>
        <v>0.67272727272727273</v>
      </c>
      <c r="J318" s="21">
        <f>(IFERROR(_xlfn.PERCENTRANK.INC($B$2:$B$1194,B318)*100,0)*PARAMS_MODELO!$B$25)+(IFERROR(_xlfn.PERCENTRANK.INC($C$2:$C$1194,C318)*100,0)*PARAMS_MODELO!$B$26)+(IFERROR(_xlfn.PERCENTRANK.INC($E$2:$E$1194,E318)*100,0)*PARAMS_MODELO!$B$27)+(IFERROR(_xlfn.PERCENTRANK.INC($F$2:$F$1194,F318)*100,0)*PARAMS_MODELO!$B$29)+(IFERROR(_xlfn.PERCENTRANK.INC($I$2:$I$1194,I318)*100,0)*PARAMS_MODELO!$B$31)</f>
        <v>52.734999999999999</v>
      </c>
    </row>
    <row r="319" spans="1:10" x14ac:dyDescent="0.3">
      <c r="A319">
        <v>51023421</v>
      </c>
      <c r="B319">
        <v>97</v>
      </c>
      <c r="C319">
        <v>10</v>
      </c>
      <c r="D319">
        <v>87</v>
      </c>
      <c r="E319" s="21">
        <f>D319/PARAMS_MODELO!$B$28</f>
        <v>2.9</v>
      </c>
      <c r="F319">
        <v>87</v>
      </c>
      <c r="G319">
        <v>51</v>
      </c>
      <c r="H319">
        <v>40</v>
      </c>
      <c r="I319" s="20">
        <f t="shared" si="4"/>
        <v>0.78431372549019607</v>
      </c>
      <c r="J319" s="21">
        <f>(IFERROR(_xlfn.PERCENTRANK.INC($B$2:$B$1194,B319)*100,0)*PARAMS_MODELO!$B$25)+(IFERROR(_xlfn.PERCENTRANK.INC($C$2:$C$1194,C319)*100,0)*PARAMS_MODELO!$B$26)+(IFERROR(_xlfn.PERCENTRANK.INC($E$2:$E$1194,E319)*100,0)*PARAMS_MODELO!$B$27)+(IFERROR(_xlfn.PERCENTRANK.INC($F$2:$F$1194,F319)*100,0)*PARAMS_MODELO!$B$29)+(IFERROR(_xlfn.PERCENTRANK.INC($I$2:$I$1194,I319)*100,0)*PARAMS_MODELO!$B$31)</f>
        <v>75.88</v>
      </c>
    </row>
    <row r="320" spans="1:10" x14ac:dyDescent="0.3">
      <c r="A320">
        <v>51012305</v>
      </c>
      <c r="B320">
        <v>74</v>
      </c>
      <c r="C320">
        <v>6</v>
      </c>
      <c r="D320">
        <v>2</v>
      </c>
      <c r="E320" s="21">
        <f>D320/PARAMS_MODELO!$B$28</f>
        <v>6.6666666666666666E-2</v>
      </c>
      <c r="F320">
        <v>76</v>
      </c>
      <c r="G320">
        <v>82</v>
      </c>
      <c r="H320">
        <v>11</v>
      </c>
      <c r="I320" s="20">
        <f t="shared" si="4"/>
        <v>0.13414634146341464</v>
      </c>
      <c r="J320" s="21">
        <f>(IFERROR(_xlfn.PERCENTRANK.INC($B$2:$B$1194,B320)*100,0)*PARAMS_MODELO!$B$25)+(IFERROR(_xlfn.PERCENTRANK.INC($C$2:$C$1194,C320)*100,0)*PARAMS_MODELO!$B$26)+(IFERROR(_xlfn.PERCENTRANK.INC($E$2:$E$1194,E320)*100,0)*PARAMS_MODELO!$B$27)+(IFERROR(_xlfn.PERCENTRANK.INC($F$2:$F$1194,F320)*100,0)*PARAMS_MODELO!$B$29)+(IFERROR(_xlfn.PERCENTRANK.INC($I$2:$I$1194,I320)*100,0)*PARAMS_MODELO!$B$31)</f>
        <v>40.945</v>
      </c>
    </row>
    <row r="321" spans="1:10" x14ac:dyDescent="0.3">
      <c r="A321">
        <v>51014219</v>
      </c>
      <c r="B321">
        <v>61</v>
      </c>
      <c r="C321">
        <v>1</v>
      </c>
      <c r="D321">
        <v>74</v>
      </c>
      <c r="E321" s="21">
        <f>D321/PARAMS_MODELO!$B$28</f>
        <v>2.4666666666666668</v>
      </c>
      <c r="F321">
        <v>26</v>
      </c>
      <c r="G321">
        <v>64</v>
      </c>
      <c r="H321">
        <v>57</v>
      </c>
      <c r="I321" s="20">
        <f t="shared" si="4"/>
        <v>0.890625</v>
      </c>
      <c r="J321" s="21">
        <f>(IFERROR(_xlfn.PERCENTRANK.INC($B$2:$B$1194,B321)*100,0)*PARAMS_MODELO!$B$25)+(IFERROR(_xlfn.PERCENTRANK.INC($C$2:$C$1194,C321)*100,0)*PARAMS_MODELO!$B$26)+(IFERROR(_xlfn.PERCENTRANK.INC($E$2:$E$1194,E321)*100,0)*PARAMS_MODELO!$B$27)+(IFERROR(_xlfn.PERCENTRANK.INC($F$2:$F$1194,F321)*100,0)*PARAMS_MODELO!$B$29)+(IFERROR(_xlfn.PERCENTRANK.INC($I$2:$I$1194,I321)*100,0)*PARAMS_MODELO!$B$31)</f>
        <v>45.625</v>
      </c>
    </row>
    <row r="322" spans="1:10" x14ac:dyDescent="0.3">
      <c r="A322">
        <v>51030753</v>
      </c>
      <c r="B322">
        <v>30</v>
      </c>
      <c r="C322">
        <v>20</v>
      </c>
      <c r="D322">
        <v>77</v>
      </c>
      <c r="E322" s="21">
        <f>D322/PARAMS_MODELO!$B$28</f>
        <v>2.5666666666666669</v>
      </c>
      <c r="F322">
        <v>98</v>
      </c>
      <c r="G322">
        <v>42</v>
      </c>
      <c r="H322">
        <v>9</v>
      </c>
      <c r="I322" s="20">
        <f t="shared" ref="I322:I385" si="5">IFERROR(H322/G322,0)</f>
        <v>0.21428571428571427</v>
      </c>
      <c r="J322" s="21">
        <f>(IFERROR(_xlfn.PERCENTRANK.INC($B$2:$B$1194,B322)*100,0)*PARAMS_MODELO!$B$25)+(IFERROR(_xlfn.PERCENTRANK.INC($C$2:$C$1194,C322)*100,0)*PARAMS_MODELO!$B$26)+(IFERROR(_xlfn.PERCENTRANK.INC($E$2:$E$1194,E322)*100,0)*PARAMS_MODELO!$B$27)+(IFERROR(_xlfn.PERCENTRANK.INC($F$2:$F$1194,F322)*100,0)*PARAMS_MODELO!$B$29)+(IFERROR(_xlfn.PERCENTRANK.INC($I$2:$I$1194,I322)*100,0)*PARAMS_MODELO!$B$31)</f>
        <v>59.744999999999997</v>
      </c>
    </row>
    <row r="323" spans="1:10" x14ac:dyDescent="0.3">
      <c r="A323">
        <v>51042336</v>
      </c>
      <c r="B323">
        <v>0</v>
      </c>
      <c r="C323">
        <v>3</v>
      </c>
      <c r="D323">
        <v>92</v>
      </c>
      <c r="E323" s="21">
        <f>D323/PARAMS_MODELO!$B$28</f>
        <v>3.0666666666666669</v>
      </c>
      <c r="F323">
        <v>0</v>
      </c>
      <c r="G323">
        <v>67</v>
      </c>
      <c r="H323">
        <v>33</v>
      </c>
      <c r="I323" s="20">
        <f t="shared" si="5"/>
        <v>0.4925373134328358</v>
      </c>
      <c r="J323" s="21">
        <f>(IFERROR(_xlfn.PERCENTRANK.INC($B$2:$B$1194,B323)*100,0)*PARAMS_MODELO!$B$25)+(IFERROR(_xlfn.PERCENTRANK.INC($C$2:$C$1194,C323)*100,0)*PARAMS_MODELO!$B$26)+(IFERROR(_xlfn.PERCENTRANK.INC($E$2:$E$1194,E323)*100,0)*PARAMS_MODELO!$B$27)+(IFERROR(_xlfn.PERCENTRANK.INC($F$2:$F$1194,F323)*100,0)*PARAMS_MODELO!$B$29)+(IFERROR(_xlfn.PERCENTRANK.INC($I$2:$I$1194,I323)*100,0)*PARAMS_MODELO!$B$31)</f>
        <v>26.100000000000005</v>
      </c>
    </row>
    <row r="324" spans="1:10" x14ac:dyDescent="0.3">
      <c r="A324">
        <v>51023790</v>
      </c>
      <c r="B324">
        <v>84</v>
      </c>
      <c r="C324">
        <v>7</v>
      </c>
      <c r="D324">
        <v>33</v>
      </c>
      <c r="E324" s="21">
        <f>D324/PARAMS_MODELO!$B$28</f>
        <v>1.1000000000000001</v>
      </c>
      <c r="F324">
        <v>41</v>
      </c>
      <c r="G324">
        <v>15</v>
      </c>
      <c r="H324">
        <v>9</v>
      </c>
      <c r="I324" s="20">
        <f t="shared" si="5"/>
        <v>0.6</v>
      </c>
      <c r="J324" s="21">
        <f>(IFERROR(_xlfn.PERCENTRANK.INC($B$2:$B$1194,B324)*100,0)*PARAMS_MODELO!$B$25)+(IFERROR(_xlfn.PERCENTRANK.INC($C$2:$C$1194,C324)*100,0)*PARAMS_MODELO!$B$26)+(IFERROR(_xlfn.PERCENTRANK.INC($E$2:$E$1194,E324)*100,0)*PARAMS_MODELO!$B$27)+(IFERROR(_xlfn.PERCENTRANK.INC($F$2:$F$1194,F324)*100,0)*PARAMS_MODELO!$B$29)+(IFERROR(_xlfn.PERCENTRANK.INC($I$2:$I$1194,I324)*100,0)*PARAMS_MODELO!$B$31)</f>
        <v>49.434999999999995</v>
      </c>
    </row>
    <row r="325" spans="1:10" x14ac:dyDescent="0.3">
      <c r="A325">
        <v>51022378</v>
      </c>
      <c r="B325">
        <v>74</v>
      </c>
      <c r="C325">
        <v>18</v>
      </c>
      <c r="D325">
        <v>99</v>
      </c>
      <c r="E325" s="21">
        <f>D325/PARAMS_MODELO!$B$28</f>
        <v>3.3</v>
      </c>
      <c r="F325">
        <v>89</v>
      </c>
      <c r="G325">
        <v>8</v>
      </c>
      <c r="H325">
        <v>2</v>
      </c>
      <c r="I325" s="20">
        <f t="shared" si="5"/>
        <v>0.25</v>
      </c>
      <c r="J325" s="21">
        <f>(IFERROR(_xlfn.PERCENTRANK.INC($B$2:$B$1194,B325)*100,0)*PARAMS_MODELO!$B$25)+(IFERROR(_xlfn.PERCENTRANK.INC($C$2:$C$1194,C325)*100,0)*PARAMS_MODELO!$B$26)+(IFERROR(_xlfn.PERCENTRANK.INC($E$2:$E$1194,E325)*100,0)*PARAMS_MODELO!$B$27)+(IFERROR(_xlfn.PERCENTRANK.INC($F$2:$F$1194,F325)*100,0)*PARAMS_MODELO!$B$29)+(IFERROR(_xlfn.PERCENTRANK.INC($I$2:$I$1194,I325)*100,0)*PARAMS_MODELO!$B$31)</f>
        <v>74.175000000000011</v>
      </c>
    </row>
    <row r="326" spans="1:10" x14ac:dyDescent="0.3">
      <c r="A326">
        <v>51052072</v>
      </c>
      <c r="B326">
        <v>75</v>
      </c>
      <c r="C326">
        <v>7</v>
      </c>
      <c r="D326">
        <v>15</v>
      </c>
      <c r="E326" s="21">
        <f>D326/PARAMS_MODELO!$B$28</f>
        <v>0.5</v>
      </c>
      <c r="F326">
        <v>69</v>
      </c>
      <c r="G326">
        <v>89</v>
      </c>
      <c r="H326">
        <v>66</v>
      </c>
      <c r="I326" s="20">
        <f t="shared" si="5"/>
        <v>0.7415730337078652</v>
      </c>
      <c r="J326" s="21">
        <f>(IFERROR(_xlfn.PERCENTRANK.INC($B$2:$B$1194,B326)*100,0)*PARAMS_MODELO!$B$25)+(IFERROR(_xlfn.PERCENTRANK.INC($C$2:$C$1194,C326)*100,0)*PARAMS_MODELO!$B$26)+(IFERROR(_xlfn.PERCENTRANK.INC($E$2:$E$1194,E326)*100,0)*PARAMS_MODELO!$B$27)+(IFERROR(_xlfn.PERCENTRANK.INC($F$2:$F$1194,F326)*100,0)*PARAMS_MODELO!$B$29)+(IFERROR(_xlfn.PERCENTRANK.INC($I$2:$I$1194,I326)*100,0)*PARAMS_MODELO!$B$31)</f>
        <v>49.505000000000003</v>
      </c>
    </row>
    <row r="327" spans="1:10" x14ac:dyDescent="0.3">
      <c r="A327">
        <v>51031946</v>
      </c>
      <c r="B327">
        <v>93</v>
      </c>
      <c r="C327">
        <v>19</v>
      </c>
      <c r="D327">
        <v>97</v>
      </c>
      <c r="E327" s="21">
        <f>D327/PARAMS_MODELO!$B$28</f>
        <v>3.2333333333333334</v>
      </c>
      <c r="F327">
        <v>18</v>
      </c>
      <c r="G327">
        <v>54</v>
      </c>
      <c r="H327">
        <v>31</v>
      </c>
      <c r="I327" s="20">
        <f t="shared" si="5"/>
        <v>0.57407407407407407</v>
      </c>
      <c r="J327" s="21">
        <f>(IFERROR(_xlfn.PERCENTRANK.INC($B$2:$B$1194,B327)*100,0)*PARAMS_MODELO!$B$25)+(IFERROR(_xlfn.PERCENTRANK.INC($C$2:$C$1194,C327)*100,0)*PARAMS_MODELO!$B$26)+(IFERROR(_xlfn.PERCENTRANK.INC($E$2:$E$1194,E327)*100,0)*PARAMS_MODELO!$B$27)+(IFERROR(_xlfn.PERCENTRANK.INC($F$2:$F$1194,F327)*100,0)*PARAMS_MODELO!$B$29)+(IFERROR(_xlfn.PERCENTRANK.INC($I$2:$I$1194,I327)*100,0)*PARAMS_MODELO!$B$31)</f>
        <v>71.984999999999999</v>
      </c>
    </row>
    <row r="328" spans="1:10" x14ac:dyDescent="0.3">
      <c r="A328">
        <v>51010752</v>
      </c>
      <c r="B328">
        <v>95</v>
      </c>
      <c r="C328">
        <v>13</v>
      </c>
      <c r="D328">
        <v>67</v>
      </c>
      <c r="E328" s="21">
        <f>D328/PARAMS_MODELO!$B$28</f>
        <v>2.2333333333333334</v>
      </c>
      <c r="F328">
        <v>47</v>
      </c>
      <c r="G328">
        <v>57</v>
      </c>
      <c r="H328">
        <v>18</v>
      </c>
      <c r="I328" s="20">
        <f t="shared" si="5"/>
        <v>0.31578947368421051</v>
      </c>
      <c r="J328" s="21">
        <f>(IFERROR(_xlfn.PERCENTRANK.INC($B$2:$B$1194,B328)*100,0)*PARAMS_MODELO!$B$25)+(IFERROR(_xlfn.PERCENTRANK.INC($C$2:$C$1194,C328)*100,0)*PARAMS_MODELO!$B$26)+(IFERROR(_xlfn.PERCENTRANK.INC($E$2:$E$1194,E328)*100,0)*PARAMS_MODELO!$B$27)+(IFERROR(_xlfn.PERCENTRANK.INC($F$2:$F$1194,F328)*100,0)*PARAMS_MODELO!$B$29)+(IFERROR(_xlfn.PERCENTRANK.INC($I$2:$I$1194,I328)*100,0)*PARAMS_MODELO!$B$31)</f>
        <v>63.375</v>
      </c>
    </row>
    <row r="329" spans="1:10" x14ac:dyDescent="0.3">
      <c r="A329">
        <v>51055594</v>
      </c>
      <c r="B329">
        <v>44</v>
      </c>
      <c r="C329">
        <v>17</v>
      </c>
      <c r="D329">
        <v>98</v>
      </c>
      <c r="E329" s="21">
        <f>D329/PARAMS_MODELO!$B$28</f>
        <v>3.2666666666666666</v>
      </c>
      <c r="F329">
        <v>78</v>
      </c>
      <c r="G329">
        <v>27</v>
      </c>
      <c r="H329">
        <v>17</v>
      </c>
      <c r="I329" s="20">
        <f t="shared" si="5"/>
        <v>0.62962962962962965</v>
      </c>
      <c r="J329" s="21">
        <f>(IFERROR(_xlfn.PERCENTRANK.INC($B$2:$B$1194,B329)*100,0)*PARAMS_MODELO!$B$25)+(IFERROR(_xlfn.PERCENTRANK.INC($C$2:$C$1194,C329)*100,0)*PARAMS_MODELO!$B$26)+(IFERROR(_xlfn.PERCENTRANK.INC($E$2:$E$1194,E329)*100,0)*PARAMS_MODELO!$B$27)+(IFERROR(_xlfn.PERCENTRANK.INC($F$2:$F$1194,F329)*100,0)*PARAMS_MODELO!$B$29)+(IFERROR(_xlfn.PERCENTRANK.INC($I$2:$I$1194,I329)*100,0)*PARAMS_MODELO!$B$31)</f>
        <v>66.12</v>
      </c>
    </row>
    <row r="330" spans="1:10" x14ac:dyDescent="0.3">
      <c r="A330">
        <v>51041585</v>
      </c>
      <c r="B330">
        <v>55</v>
      </c>
      <c r="C330">
        <v>11</v>
      </c>
      <c r="D330">
        <v>82</v>
      </c>
      <c r="E330" s="21">
        <f>D330/PARAMS_MODELO!$B$28</f>
        <v>2.7333333333333334</v>
      </c>
      <c r="F330">
        <v>61</v>
      </c>
      <c r="G330">
        <v>56</v>
      </c>
      <c r="H330">
        <v>34</v>
      </c>
      <c r="I330" s="20">
        <f t="shared" si="5"/>
        <v>0.6071428571428571</v>
      </c>
      <c r="J330" s="21">
        <f>(IFERROR(_xlfn.PERCENTRANK.INC($B$2:$B$1194,B330)*100,0)*PARAMS_MODELO!$B$25)+(IFERROR(_xlfn.PERCENTRANK.INC($C$2:$C$1194,C330)*100,0)*PARAMS_MODELO!$B$26)+(IFERROR(_xlfn.PERCENTRANK.INC($E$2:$E$1194,E330)*100,0)*PARAMS_MODELO!$B$27)+(IFERROR(_xlfn.PERCENTRANK.INC($F$2:$F$1194,F330)*100,0)*PARAMS_MODELO!$B$29)+(IFERROR(_xlfn.PERCENTRANK.INC($I$2:$I$1194,I330)*100,0)*PARAMS_MODELO!$B$31)</f>
        <v>57.599999999999994</v>
      </c>
    </row>
    <row r="331" spans="1:10" x14ac:dyDescent="0.3">
      <c r="A331">
        <v>51017455</v>
      </c>
      <c r="B331">
        <v>52</v>
      </c>
      <c r="C331">
        <v>17</v>
      </c>
      <c r="D331">
        <v>17</v>
      </c>
      <c r="E331" s="21">
        <f>D331/PARAMS_MODELO!$B$28</f>
        <v>0.56666666666666665</v>
      </c>
      <c r="F331">
        <v>85</v>
      </c>
      <c r="G331">
        <v>84</v>
      </c>
      <c r="H331">
        <v>7</v>
      </c>
      <c r="I331" s="20">
        <f t="shared" si="5"/>
        <v>8.3333333333333329E-2</v>
      </c>
      <c r="J331" s="21">
        <f>(IFERROR(_xlfn.PERCENTRANK.INC($B$2:$B$1194,B331)*100,0)*PARAMS_MODELO!$B$25)+(IFERROR(_xlfn.PERCENTRANK.INC($C$2:$C$1194,C331)*100,0)*PARAMS_MODELO!$B$26)+(IFERROR(_xlfn.PERCENTRANK.INC($E$2:$E$1194,E331)*100,0)*PARAMS_MODELO!$B$27)+(IFERROR(_xlfn.PERCENTRANK.INC($F$2:$F$1194,F331)*100,0)*PARAMS_MODELO!$B$29)+(IFERROR(_xlfn.PERCENTRANK.INC($I$2:$I$1194,I331)*100,0)*PARAMS_MODELO!$B$31)</f>
        <v>47.959999999999994</v>
      </c>
    </row>
    <row r="332" spans="1:10" x14ac:dyDescent="0.3">
      <c r="A332">
        <v>51033345</v>
      </c>
      <c r="B332">
        <v>43</v>
      </c>
      <c r="C332">
        <v>18</v>
      </c>
      <c r="D332">
        <v>88</v>
      </c>
      <c r="E332" s="21">
        <f>D332/PARAMS_MODELO!$B$28</f>
        <v>2.9333333333333331</v>
      </c>
      <c r="F332">
        <v>96</v>
      </c>
      <c r="G332">
        <v>31</v>
      </c>
      <c r="H332">
        <v>11</v>
      </c>
      <c r="I332" s="20">
        <f t="shared" si="5"/>
        <v>0.35483870967741937</v>
      </c>
      <c r="J332" s="21">
        <f>(IFERROR(_xlfn.PERCENTRANK.INC($B$2:$B$1194,B332)*100,0)*PARAMS_MODELO!$B$25)+(IFERROR(_xlfn.PERCENTRANK.INC($C$2:$C$1194,C332)*100,0)*PARAMS_MODELO!$B$26)+(IFERROR(_xlfn.PERCENTRANK.INC($E$2:$E$1194,E332)*100,0)*PARAMS_MODELO!$B$27)+(IFERROR(_xlfn.PERCENTRANK.INC($F$2:$F$1194,F332)*100,0)*PARAMS_MODELO!$B$29)+(IFERROR(_xlfn.PERCENTRANK.INC($I$2:$I$1194,I332)*100,0)*PARAMS_MODELO!$B$31)</f>
        <v>64.635000000000005</v>
      </c>
    </row>
    <row r="333" spans="1:10" x14ac:dyDescent="0.3">
      <c r="A333">
        <v>51012399</v>
      </c>
      <c r="B333">
        <v>61</v>
      </c>
      <c r="C333">
        <v>20</v>
      </c>
      <c r="D333">
        <v>25</v>
      </c>
      <c r="E333" s="21">
        <f>D333/PARAMS_MODELO!$B$28</f>
        <v>0.83333333333333337</v>
      </c>
      <c r="F333">
        <v>25</v>
      </c>
      <c r="G333">
        <v>34</v>
      </c>
      <c r="H333">
        <v>27</v>
      </c>
      <c r="I333" s="20">
        <f t="shared" si="5"/>
        <v>0.79411764705882348</v>
      </c>
      <c r="J333" s="21">
        <f>(IFERROR(_xlfn.PERCENTRANK.INC($B$2:$B$1194,B333)*100,0)*PARAMS_MODELO!$B$25)+(IFERROR(_xlfn.PERCENTRANK.INC($C$2:$C$1194,C333)*100,0)*PARAMS_MODELO!$B$26)+(IFERROR(_xlfn.PERCENTRANK.INC($E$2:$E$1194,E333)*100,0)*PARAMS_MODELO!$B$27)+(IFERROR(_xlfn.PERCENTRANK.INC($F$2:$F$1194,F333)*100,0)*PARAMS_MODELO!$B$29)+(IFERROR(_xlfn.PERCENTRANK.INC($I$2:$I$1194,I333)*100,0)*PARAMS_MODELO!$B$31)</f>
        <v>52.414999999999999</v>
      </c>
    </row>
    <row r="334" spans="1:10" x14ac:dyDescent="0.3">
      <c r="A334">
        <v>51034236</v>
      </c>
      <c r="B334">
        <v>19</v>
      </c>
      <c r="C334">
        <v>1</v>
      </c>
      <c r="D334">
        <v>49</v>
      </c>
      <c r="E334" s="21">
        <f>D334/PARAMS_MODELO!$B$28</f>
        <v>1.6333333333333333</v>
      </c>
      <c r="F334">
        <v>96</v>
      </c>
      <c r="G334">
        <v>34</v>
      </c>
      <c r="H334">
        <v>2</v>
      </c>
      <c r="I334" s="20">
        <f t="shared" si="5"/>
        <v>5.8823529411764705E-2</v>
      </c>
      <c r="J334" s="21">
        <f>(IFERROR(_xlfn.PERCENTRANK.INC($B$2:$B$1194,B334)*100,0)*PARAMS_MODELO!$B$25)+(IFERROR(_xlfn.PERCENTRANK.INC($C$2:$C$1194,C334)*100,0)*PARAMS_MODELO!$B$26)+(IFERROR(_xlfn.PERCENTRANK.INC($E$2:$E$1194,E334)*100,0)*PARAMS_MODELO!$B$27)+(IFERROR(_xlfn.PERCENTRANK.INC($F$2:$F$1194,F334)*100,0)*PARAMS_MODELO!$B$29)+(IFERROR(_xlfn.PERCENTRANK.INC($I$2:$I$1194,I334)*100,0)*PARAMS_MODELO!$B$31)</f>
        <v>31.310000000000002</v>
      </c>
    </row>
    <row r="335" spans="1:10" x14ac:dyDescent="0.3">
      <c r="A335">
        <v>51012941</v>
      </c>
      <c r="B335">
        <v>21</v>
      </c>
      <c r="C335">
        <v>19</v>
      </c>
      <c r="D335">
        <v>13</v>
      </c>
      <c r="E335" s="21">
        <f>D335/PARAMS_MODELO!$B$28</f>
        <v>0.43333333333333335</v>
      </c>
      <c r="F335">
        <v>62</v>
      </c>
      <c r="G335">
        <v>91</v>
      </c>
      <c r="H335">
        <v>87</v>
      </c>
      <c r="I335" s="20">
        <f t="shared" si="5"/>
        <v>0.95604395604395609</v>
      </c>
      <c r="J335" s="21">
        <f>(IFERROR(_xlfn.PERCENTRANK.INC($B$2:$B$1194,B335)*100,0)*PARAMS_MODELO!$B$25)+(IFERROR(_xlfn.PERCENTRANK.INC($C$2:$C$1194,C335)*100,0)*PARAMS_MODELO!$B$26)+(IFERROR(_xlfn.PERCENTRANK.INC($E$2:$E$1194,E335)*100,0)*PARAMS_MODELO!$B$27)+(IFERROR(_xlfn.PERCENTRANK.INC($F$2:$F$1194,F335)*100,0)*PARAMS_MODELO!$B$29)+(IFERROR(_xlfn.PERCENTRANK.INC($I$2:$I$1194,I335)*100,0)*PARAMS_MODELO!$B$31)</f>
        <v>45.084999999999994</v>
      </c>
    </row>
    <row r="336" spans="1:10" x14ac:dyDescent="0.3">
      <c r="A336">
        <v>51011694</v>
      </c>
      <c r="B336">
        <v>54</v>
      </c>
      <c r="C336">
        <v>24</v>
      </c>
      <c r="D336">
        <v>77</v>
      </c>
      <c r="E336" s="21">
        <f>D336/PARAMS_MODELO!$B$28</f>
        <v>2.5666666666666669</v>
      </c>
      <c r="F336">
        <v>44</v>
      </c>
      <c r="G336">
        <v>88</v>
      </c>
      <c r="H336">
        <v>62</v>
      </c>
      <c r="I336" s="20">
        <f t="shared" si="5"/>
        <v>0.70454545454545459</v>
      </c>
      <c r="J336" s="21">
        <f>(IFERROR(_xlfn.PERCENTRANK.INC($B$2:$B$1194,B336)*100,0)*PARAMS_MODELO!$B$25)+(IFERROR(_xlfn.PERCENTRANK.INC($C$2:$C$1194,C336)*100,0)*PARAMS_MODELO!$B$26)+(IFERROR(_xlfn.PERCENTRANK.INC($E$2:$E$1194,E336)*100,0)*PARAMS_MODELO!$B$27)+(IFERROR(_xlfn.PERCENTRANK.INC($F$2:$F$1194,F336)*100,0)*PARAMS_MODELO!$B$29)+(IFERROR(_xlfn.PERCENTRANK.INC($I$2:$I$1194,I336)*100,0)*PARAMS_MODELO!$B$31)</f>
        <v>67.545000000000002</v>
      </c>
    </row>
    <row r="337" spans="1:10" x14ac:dyDescent="0.3">
      <c r="A337">
        <v>51020197</v>
      </c>
      <c r="B337">
        <v>36</v>
      </c>
      <c r="C337">
        <v>17</v>
      </c>
      <c r="D337">
        <v>2</v>
      </c>
      <c r="E337" s="21">
        <f>D337/PARAMS_MODELO!$B$28</f>
        <v>6.6666666666666666E-2</v>
      </c>
      <c r="F337">
        <v>52</v>
      </c>
      <c r="G337">
        <v>78</v>
      </c>
      <c r="H337">
        <v>32</v>
      </c>
      <c r="I337" s="20">
        <f t="shared" si="5"/>
        <v>0.41025641025641024</v>
      </c>
      <c r="J337" s="21">
        <f>(IFERROR(_xlfn.PERCENTRANK.INC($B$2:$B$1194,B337)*100,0)*PARAMS_MODELO!$B$25)+(IFERROR(_xlfn.PERCENTRANK.INC($C$2:$C$1194,C337)*100,0)*PARAMS_MODELO!$B$26)+(IFERROR(_xlfn.PERCENTRANK.INC($E$2:$E$1194,E337)*100,0)*PARAMS_MODELO!$B$27)+(IFERROR(_xlfn.PERCENTRANK.INC($F$2:$F$1194,F337)*100,0)*PARAMS_MODELO!$B$29)+(IFERROR(_xlfn.PERCENTRANK.INC($I$2:$I$1194,I337)*100,0)*PARAMS_MODELO!$B$31)</f>
        <v>38.510000000000005</v>
      </c>
    </row>
    <row r="338" spans="1:10" x14ac:dyDescent="0.3">
      <c r="A338">
        <v>51003284</v>
      </c>
      <c r="B338">
        <v>52</v>
      </c>
      <c r="C338">
        <v>20</v>
      </c>
      <c r="D338">
        <v>7</v>
      </c>
      <c r="E338" s="21">
        <f>D338/PARAMS_MODELO!$B$28</f>
        <v>0.23333333333333334</v>
      </c>
      <c r="F338">
        <v>0</v>
      </c>
      <c r="G338">
        <v>62</v>
      </c>
      <c r="H338">
        <v>40</v>
      </c>
      <c r="I338" s="20">
        <f t="shared" si="5"/>
        <v>0.64516129032258063</v>
      </c>
      <c r="J338" s="21">
        <f>(IFERROR(_xlfn.PERCENTRANK.INC($B$2:$B$1194,B338)*100,0)*PARAMS_MODELO!$B$25)+(IFERROR(_xlfn.PERCENTRANK.INC($C$2:$C$1194,C338)*100,0)*PARAMS_MODELO!$B$26)+(IFERROR(_xlfn.PERCENTRANK.INC($E$2:$E$1194,E338)*100,0)*PARAMS_MODELO!$B$27)+(IFERROR(_xlfn.PERCENTRANK.INC($F$2:$F$1194,F338)*100,0)*PARAMS_MODELO!$B$29)+(IFERROR(_xlfn.PERCENTRANK.INC($I$2:$I$1194,I338)*100,0)*PARAMS_MODELO!$B$31)</f>
        <v>41.69</v>
      </c>
    </row>
    <row r="339" spans="1:10" x14ac:dyDescent="0.3">
      <c r="A339">
        <v>51025342</v>
      </c>
      <c r="B339">
        <v>20</v>
      </c>
      <c r="C339">
        <v>8</v>
      </c>
      <c r="D339">
        <v>41</v>
      </c>
      <c r="E339" s="21">
        <f>D339/PARAMS_MODELO!$B$28</f>
        <v>1.3666666666666667</v>
      </c>
      <c r="F339">
        <v>53</v>
      </c>
      <c r="G339">
        <v>49</v>
      </c>
      <c r="H339">
        <v>6</v>
      </c>
      <c r="I339" s="20">
        <f t="shared" si="5"/>
        <v>0.12244897959183673</v>
      </c>
      <c r="J339" s="21">
        <f>(IFERROR(_xlfn.PERCENTRANK.INC($B$2:$B$1194,B339)*100,0)*PARAMS_MODELO!$B$25)+(IFERROR(_xlfn.PERCENTRANK.INC($C$2:$C$1194,C339)*100,0)*PARAMS_MODELO!$B$26)+(IFERROR(_xlfn.PERCENTRANK.INC($E$2:$E$1194,E339)*100,0)*PARAMS_MODELO!$B$27)+(IFERROR(_xlfn.PERCENTRANK.INC($F$2:$F$1194,F339)*100,0)*PARAMS_MODELO!$B$29)+(IFERROR(_xlfn.PERCENTRANK.INC($I$2:$I$1194,I339)*100,0)*PARAMS_MODELO!$B$31)</f>
        <v>30.57</v>
      </c>
    </row>
    <row r="340" spans="1:10" x14ac:dyDescent="0.3">
      <c r="A340">
        <v>51030389</v>
      </c>
      <c r="B340">
        <v>13</v>
      </c>
      <c r="C340">
        <v>22</v>
      </c>
      <c r="D340">
        <v>63</v>
      </c>
      <c r="E340" s="21">
        <f>D340/PARAMS_MODELO!$B$28</f>
        <v>2.1</v>
      </c>
      <c r="F340">
        <v>56</v>
      </c>
      <c r="G340">
        <v>73</v>
      </c>
      <c r="H340">
        <v>45</v>
      </c>
      <c r="I340" s="20">
        <f t="shared" si="5"/>
        <v>0.61643835616438358</v>
      </c>
      <c r="J340" s="21">
        <f>(IFERROR(_xlfn.PERCENTRANK.INC($B$2:$B$1194,B340)*100,0)*PARAMS_MODELO!$B$25)+(IFERROR(_xlfn.PERCENTRANK.INC($C$2:$C$1194,C340)*100,0)*PARAMS_MODELO!$B$26)+(IFERROR(_xlfn.PERCENTRANK.INC($E$2:$E$1194,E340)*100,0)*PARAMS_MODELO!$B$27)+(IFERROR(_xlfn.PERCENTRANK.INC($F$2:$F$1194,F340)*100,0)*PARAMS_MODELO!$B$29)+(IFERROR(_xlfn.PERCENTRANK.INC($I$2:$I$1194,I340)*100,0)*PARAMS_MODELO!$B$31)</f>
        <v>51.795000000000009</v>
      </c>
    </row>
    <row r="341" spans="1:10" x14ac:dyDescent="0.3">
      <c r="A341">
        <v>51013581</v>
      </c>
      <c r="B341">
        <v>41</v>
      </c>
      <c r="C341">
        <v>5</v>
      </c>
      <c r="D341">
        <v>61</v>
      </c>
      <c r="E341" s="21">
        <f>D341/PARAMS_MODELO!$B$28</f>
        <v>2.0333333333333332</v>
      </c>
      <c r="F341">
        <v>93</v>
      </c>
      <c r="G341">
        <v>10</v>
      </c>
      <c r="H341">
        <v>7</v>
      </c>
      <c r="I341" s="20">
        <f t="shared" si="5"/>
        <v>0.7</v>
      </c>
      <c r="J341" s="21">
        <f>(IFERROR(_xlfn.PERCENTRANK.INC($B$2:$B$1194,B341)*100,0)*PARAMS_MODELO!$B$25)+(IFERROR(_xlfn.PERCENTRANK.INC($C$2:$C$1194,C341)*100,0)*PARAMS_MODELO!$B$26)+(IFERROR(_xlfn.PERCENTRANK.INC($E$2:$E$1194,E341)*100,0)*PARAMS_MODELO!$B$27)+(IFERROR(_xlfn.PERCENTRANK.INC($F$2:$F$1194,F341)*100,0)*PARAMS_MODELO!$B$29)+(IFERROR(_xlfn.PERCENTRANK.INC($I$2:$I$1194,I341)*100,0)*PARAMS_MODELO!$B$31)</f>
        <v>49.485000000000007</v>
      </c>
    </row>
    <row r="342" spans="1:10" x14ac:dyDescent="0.3">
      <c r="A342">
        <v>51056833</v>
      </c>
      <c r="B342">
        <v>43</v>
      </c>
      <c r="C342">
        <v>12</v>
      </c>
      <c r="D342">
        <v>81</v>
      </c>
      <c r="E342" s="21">
        <f>D342/PARAMS_MODELO!$B$28</f>
        <v>2.7</v>
      </c>
      <c r="F342">
        <v>73</v>
      </c>
      <c r="G342">
        <v>41</v>
      </c>
      <c r="H342">
        <v>10</v>
      </c>
      <c r="I342" s="20">
        <f t="shared" si="5"/>
        <v>0.24390243902439024</v>
      </c>
      <c r="J342" s="21">
        <f>(IFERROR(_xlfn.PERCENTRANK.INC($B$2:$B$1194,B342)*100,0)*PARAMS_MODELO!$B$25)+(IFERROR(_xlfn.PERCENTRANK.INC($C$2:$C$1194,C342)*100,0)*PARAMS_MODELO!$B$26)+(IFERROR(_xlfn.PERCENTRANK.INC($E$2:$E$1194,E342)*100,0)*PARAMS_MODELO!$B$27)+(IFERROR(_xlfn.PERCENTRANK.INC($F$2:$F$1194,F342)*100,0)*PARAMS_MODELO!$B$29)+(IFERROR(_xlfn.PERCENTRANK.INC($I$2:$I$1194,I342)*100,0)*PARAMS_MODELO!$B$31)</f>
        <v>53.335000000000001</v>
      </c>
    </row>
    <row r="343" spans="1:10" x14ac:dyDescent="0.3">
      <c r="A343">
        <v>51056086</v>
      </c>
      <c r="B343">
        <v>55</v>
      </c>
      <c r="C343">
        <v>11</v>
      </c>
      <c r="D343">
        <v>81</v>
      </c>
      <c r="E343" s="21">
        <f>D343/PARAMS_MODELO!$B$28</f>
        <v>2.7</v>
      </c>
      <c r="F343">
        <v>42</v>
      </c>
      <c r="G343">
        <v>24</v>
      </c>
      <c r="H343">
        <v>8</v>
      </c>
      <c r="I343" s="20">
        <f t="shared" si="5"/>
        <v>0.33333333333333331</v>
      </c>
      <c r="J343" s="21">
        <f>(IFERROR(_xlfn.PERCENTRANK.INC($B$2:$B$1194,B343)*100,0)*PARAMS_MODELO!$B$25)+(IFERROR(_xlfn.PERCENTRANK.INC($C$2:$C$1194,C343)*100,0)*PARAMS_MODELO!$B$26)+(IFERROR(_xlfn.PERCENTRANK.INC($E$2:$E$1194,E343)*100,0)*PARAMS_MODELO!$B$27)+(IFERROR(_xlfn.PERCENTRANK.INC($F$2:$F$1194,F343)*100,0)*PARAMS_MODELO!$B$29)+(IFERROR(_xlfn.PERCENTRANK.INC($I$2:$I$1194,I343)*100,0)*PARAMS_MODELO!$B$31)</f>
        <v>51.769999999999996</v>
      </c>
    </row>
    <row r="344" spans="1:10" x14ac:dyDescent="0.3">
      <c r="A344">
        <v>51055241</v>
      </c>
      <c r="B344">
        <v>61</v>
      </c>
      <c r="C344">
        <v>10</v>
      </c>
      <c r="D344">
        <v>8</v>
      </c>
      <c r="E344" s="21">
        <f>D344/PARAMS_MODELO!$B$28</f>
        <v>0.26666666666666666</v>
      </c>
      <c r="F344">
        <v>25</v>
      </c>
      <c r="G344">
        <v>18</v>
      </c>
      <c r="H344">
        <v>9</v>
      </c>
      <c r="I344" s="20">
        <f t="shared" si="5"/>
        <v>0.5</v>
      </c>
      <c r="J344" s="21">
        <f>(IFERROR(_xlfn.PERCENTRANK.INC($B$2:$B$1194,B344)*100,0)*PARAMS_MODELO!$B$25)+(IFERROR(_xlfn.PERCENTRANK.INC($C$2:$C$1194,C344)*100,0)*PARAMS_MODELO!$B$26)+(IFERROR(_xlfn.PERCENTRANK.INC($E$2:$E$1194,E344)*100,0)*PARAMS_MODELO!$B$27)+(IFERROR(_xlfn.PERCENTRANK.INC($F$2:$F$1194,F344)*100,0)*PARAMS_MODELO!$B$29)+(IFERROR(_xlfn.PERCENTRANK.INC($I$2:$I$1194,I344)*100,0)*PARAMS_MODELO!$B$31)</f>
        <v>36.304999999999993</v>
      </c>
    </row>
    <row r="345" spans="1:10" x14ac:dyDescent="0.3">
      <c r="A345">
        <v>51008669</v>
      </c>
      <c r="B345">
        <v>31</v>
      </c>
      <c r="C345">
        <v>14</v>
      </c>
      <c r="D345">
        <v>48</v>
      </c>
      <c r="E345" s="21">
        <f>D345/PARAMS_MODELO!$B$28</f>
        <v>1.6</v>
      </c>
      <c r="F345">
        <v>22</v>
      </c>
      <c r="G345">
        <v>20</v>
      </c>
      <c r="H345">
        <v>9</v>
      </c>
      <c r="I345" s="20">
        <f t="shared" si="5"/>
        <v>0.45</v>
      </c>
      <c r="J345" s="21">
        <f>(IFERROR(_xlfn.PERCENTRANK.INC($B$2:$B$1194,B345)*100,0)*PARAMS_MODELO!$B$25)+(IFERROR(_xlfn.PERCENTRANK.INC($C$2:$C$1194,C345)*100,0)*PARAMS_MODELO!$B$26)+(IFERROR(_xlfn.PERCENTRANK.INC($E$2:$E$1194,E345)*100,0)*PARAMS_MODELO!$B$27)+(IFERROR(_xlfn.PERCENTRANK.INC($F$2:$F$1194,F345)*100,0)*PARAMS_MODELO!$B$29)+(IFERROR(_xlfn.PERCENTRANK.INC($I$2:$I$1194,I345)*100,0)*PARAMS_MODELO!$B$31)</f>
        <v>39.18</v>
      </c>
    </row>
    <row r="346" spans="1:10" x14ac:dyDescent="0.3">
      <c r="A346">
        <v>51031521</v>
      </c>
      <c r="B346">
        <v>63</v>
      </c>
      <c r="C346">
        <v>25</v>
      </c>
      <c r="D346">
        <v>68</v>
      </c>
      <c r="E346" s="21">
        <f>D346/PARAMS_MODELO!$B$28</f>
        <v>2.2666666666666666</v>
      </c>
      <c r="F346">
        <v>85</v>
      </c>
      <c r="G346">
        <v>49</v>
      </c>
      <c r="H346">
        <v>12</v>
      </c>
      <c r="I346" s="20">
        <f t="shared" si="5"/>
        <v>0.24489795918367346</v>
      </c>
      <c r="J346" s="21">
        <f>(IFERROR(_xlfn.PERCENTRANK.INC($B$2:$B$1194,B346)*100,0)*PARAMS_MODELO!$B$25)+(IFERROR(_xlfn.PERCENTRANK.INC($C$2:$C$1194,C346)*100,0)*PARAMS_MODELO!$B$26)+(IFERROR(_xlfn.PERCENTRANK.INC($E$2:$E$1194,E346)*100,0)*PARAMS_MODELO!$B$27)+(IFERROR(_xlfn.PERCENTRANK.INC($F$2:$F$1194,F346)*100,0)*PARAMS_MODELO!$B$29)+(IFERROR(_xlfn.PERCENTRANK.INC($I$2:$I$1194,I346)*100,0)*PARAMS_MODELO!$B$31)</f>
        <v>71.015000000000001</v>
      </c>
    </row>
    <row r="347" spans="1:10" x14ac:dyDescent="0.3">
      <c r="A347">
        <v>51033477</v>
      </c>
      <c r="B347">
        <v>23</v>
      </c>
      <c r="C347">
        <v>11</v>
      </c>
      <c r="D347">
        <v>62</v>
      </c>
      <c r="E347" s="21">
        <f>D347/PARAMS_MODELO!$B$28</f>
        <v>2.0666666666666669</v>
      </c>
      <c r="F347">
        <v>100</v>
      </c>
      <c r="G347">
        <v>70</v>
      </c>
      <c r="H347">
        <v>8</v>
      </c>
      <c r="I347" s="20">
        <f t="shared" si="5"/>
        <v>0.11428571428571428</v>
      </c>
      <c r="J347" s="21">
        <f>(IFERROR(_xlfn.PERCENTRANK.INC($B$2:$B$1194,B347)*100,0)*PARAMS_MODELO!$B$25)+(IFERROR(_xlfn.PERCENTRANK.INC($C$2:$C$1194,C347)*100,0)*PARAMS_MODELO!$B$26)+(IFERROR(_xlfn.PERCENTRANK.INC($E$2:$E$1194,E347)*100,0)*PARAMS_MODELO!$B$27)+(IFERROR(_xlfn.PERCENTRANK.INC($F$2:$F$1194,F347)*100,0)*PARAMS_MODELO!$B$29)+(IFERROR(_xlfn.PERCENTRANK.INC($I$2:$I$1194,I347)*100,0)*PARAMS_MODELO!$B$31)</f>
        <v>45.255000000000003</v>
      </c>
    </row>
    <row r="348" spans="1:10" x14ac:dyDescent="0.3">
      <c r="A348">
        <v>51020651</v>
      </c>
      <c r="B348">
        <v>25</v>
      </c>
      <c r="C348">
        <v>6</v>
      </c>
      <c r="D348">
        <v>34</v>
      </c>
      <c r="E348" s="21">
        <f>D348/PARAMS_MODELO!$B$28</f>
        <v>1.1333333333333333</v>
      </c>
      <c r="F348">
        <v>44</v>
      </c>
      <c r="G348">
        <v>100</v>
      </c>
      <c r="H348">
        <v>42</v>
      </c>
      <c r="I348" s="20">
        <f t="shared" si="5"/>
        <v>0.42</v>
      </c>
      <c r="J348" s="21">
        <f>(IFERROR(_xlfn.PERCENTRANK.INC($B$2:$B$1194,B348)*100,0)*PARAMS_MODELO!$B$25)+(IFERROR(_xlfn.PERCENTRANK.INC($C$2:$C$1194,C348)*100,0)*PARAMS_MODELO!$B$26)+(IFERROR(_xlfn.PERCENTRANK.INC($E$2:$E$1194,E348)*100,0)*PARAMS_MODELO!$B$27)+(IFERROR(_xlfn.PERCENTRANK.INC($F$2:$F$1194,F348)*100,0)*PARAMS_MODELO!$B$29)+(IFERROR(_xlfn.PERCENTRANK.INC($I$2:$I$1194,I348)*100,0)*PARAMS_MODELO!$B$31)</f>
        <v>29.904999999999998</v>
      </c>
    </row>
    <row r="349" spans="1:10" x14ac:dyDescent="0.3">
      <c r="A349">
        <v>51013409</v>
      </c>
      <c r="B349">
        <v>8</v>
      </c>
      <c r="C349">
        <v>10</v>
      </c>
      <c r="D349">
        <v>66</v>
      </c>
      <c r="E349" s="21">
        <f>D349/PARAMS_MODELO!$B$28</f>
        <v>2.2000000000000002</v>
      </c>
      <c r="F349">
        <v>78</v>
      </c>
      <c r="G349">
        <v>61</v>
      </c>
      <c r="H349">
        <v>6</v>
      </c>
      <c r="I349" s="20">
        <f t="shared" si="5"/>
        <v>9.8360655737704916E-2</v>
      </c>
      <c r="J349" s="21">
        <f>(IFERROR(_xlfn.PERCENTRANK.INC($B$2:$B$1194,B349)*100,0)*PARAMS_MODELO!$B$25)+(IFERROR(_xlfn.PERCENTRANK.INC($C$2:$C$1194,C349)*100,0)*PARAMS_MODELO!$B$26)+(IFERROR(_xlfn.PERCENTRANK.INC($E$2:$E$1194,E349)*100,0)*PARAMS_MODELO!$B$27)+(IFERROR(_xlfn.PERCENTRANK.INC($F$2:$F$1194,F349)*100,0)*PARAMS_MODELO!$B$29)+(IFERROR(_xlfn.PERCENTRANK.INC($I$2:$I$1194,I349)*100,0)*PARAMS_MODELO!$B$31)</f>
        <v>37.704999999999998</v>
      </c>
    </row>
    <row r="350" spans="1:10" x14ac:dyDescent="0.3">
      <c r="A350">
        <v>51030397</v>
      </c>
      <c r="B350">
        <v>59</v>
      </c>
      <c r="C350">
        <v>17</v>
      </c>
      <c r="D350">
        <v>11</v>
      </c>
      <c r="E350" s="21">
        <f>D350/PARAMS_MODELO!$B$28</f>
        <v>0.36666666666666664</v>
      </c>
      <c r="F350">
        <v>4</v>
      </c>
      <c r="G350">
        <v>9</v>
      </c>
      <c r="H350">
        <v>3</v>
      </c>
      <c r="I350" s="20">
        <f t="shared" si="5"/>
        <v>0.33333333333333331</v>
      </c>
      <c r="J350" s="21">
        <f>(IFERROR(_xlfn.PERCENTRANK.INC($B$2:$B$1194,B350)*100,0)*PARAMS_MODELO!$B$25)+(IFERROR(_xlfn.PERCENTRANK.INC($C$2:$C$1194,C350)*100,0)*PARAMS_MODELO!$B$26)+(IFERROR(_xlfn.PERCENTRANK.INC($E$2:$E$1194,E350)*100,0)*PARAMS_MODELO!$B$27)+(IFERROR(_xlfn.PERCENTRANK.INC($F$2:$F$1194,F350)*100,0)*PARAMS_MODELO!$B$29)+(IFERROR(_xlfn.PERCENTRANK.INC($I$2:$I$1194,I350)*100,0)*PARAMS_MODELO!$B$31)</f>
        <v>38.65</v>
      </c>
    </row>
    <row r="351" spans="1:10" x14ac:dyDescent="0.3">
      <c r="A351">
        <v>51010353</v>
      </c>
      <c r="B351">
        <v>87</v>
      </c>
      <c r="C351">
        <v>24</v>
      </c>
      <c r="D351">
        <v>89</v>
      </c>
      <c r="E351" s="21">
        <f>D351/PARAMS_MODELO!$B$28</f>
        <v>2.9666666666666668</v>
      </c>
      <c r="F351">
        <v>76</v>
      </c>
      <c r="G351">
        <v>57</v>
      </c>
      <c r="H351">
        <v>17</v>
      </c>
      <c r="I351" s="20">
        <f t="shared" si="5"/>
        <v>0.2982456140350877</v>
      </c>
      <c r="J351" s="21">
        <f>(IFERROR(_xlfn.PERCENTRANK.INC($B$2:$B$1194,B351)*100,0)*PARAMS_MODELO!$B$25)+(IFERROR(_xlfn.PERCENTRANK.INC($C$2:$C$1194,C351)*100,0)*PARAMS_MODELO!$B$26)+(IFERROR(_xlfn.PERCENTRANK.INC($E$2:$E$1194,E351)*100,0)*PARAMS_MODELO!$B$27)+(IFERROR(_xlfn.PERCENTRANK.INC($F$2:$F$1194,F351)*100,0)*PARAMS_MODELO!$B$29)+(IFERROR(_xlfn.PERCENTRANK.INC($I$2:$I$1194,I351)*100,0)*PARAMS_MODELO!$B$31)</f>
        <v>80.35499999999999</v>
      </c>
    </row>
    <row r="352" spans="1:10" x14ac:dyDescent="0.3">
      <c r="A352">
        <v>51054814</v>
      </c>
      <c r="B352">
        <v>94</v>
      </c>
      <c r="C352">
        <v>21</v>
      </c>
      <c r="D352">
        <v>28</v>
      </c>
      <c r="E352" s="21">
        <f>D352/PARAMS_MODELO!$B$28</f>
        <v>0.93333333333333335</v>
      </c>
      <c r="F352">
        <v>58</v>
      </c>
      <c r="G352">
        <v>72</v>
      </c>
      <c r="H352">
        <v>50</v>
      </c>
      <c r="I352" s="20">
        <f t="shared" si="5"/>
        <v>0.69444444444444442</v>
      </c>
      <c r="J352" s="21">
        <f>(IFERROR(_xlfn.PERCENTRANK.INC($B$2:$B$1194,B352)*100,0)*PARAMS_MODELO!$B$25)+(IFERROR(_xlfn.PERCENTRANK.INC($C$2:$C$1194,C352)*100,0)*PARAMS_MODELO!$B$26)+(IFERROR(_xlfn.PERCENTRANK.INC($E$2:$E$1194,E352)*100,0)*PARAMS_MODELO!$B$27)+(IFERROR(_xlfn.PERCENTRANK.INC($F$2:$F$1194,F352)*100,0)*PARAMS_MODELO!$B$29)+(IFERROR(_xlfn.PERCENTRANK.INC($I$2:$I$1194,I352)*100,0)*PARAMS_MODELO!$B$31)</f>
        <v>68.125</v>
      </c>
    </row>
    <row r="353" spans="1:10" x14ac:dyDescent="0.3">
      <c r="A353">
        <v>51012372</v>
      </c>
      <c r="B353">
        <v>54</v>
      </c>
      <c r="C353">
        <v>24</v>
      </c>
      <c r="D353">
        <v>16</v>
      </c>
      <c r="E353" s="21">
        <f>D353/PARAMS_MODELO!$B$28</f>
        <v>0.53333333333333333</v>
      </c>
      <c r="F353">
        <v>98</v>
      </c>
      <c r="G353">
        <v>8</v>
      </c>
      <c r="H353">
        <v>2</v>
      </c>
      <c r="I353" s="20">
        <f t="shared" si="5"/>
        <v>0.25</v>
      </c>
      <c r="J353" s="21">
        <f>(IFERROR(_xlfn.PERCENTRANK.INC($B$2:$B$1194,B353)*100,0)*PARAMS_MODELO!$B$25)+(IFERROR(_xlfn.PERCENTRANK.INC($C$2:$C$1194,C353)*100,0)*PARAMS_MODELO!$B$26)+(IFERROR(_xlfn.PERCENTRANK.INC($E$2:$E$1194,E353)*100,0)*PARAMS_MODELO!$B$27)+(IFERROR(_xlfn.PERCENTRANK.INC($F$2:$F$1194,F353)*100,0)*PARAMS_MODELO!$B$29)+(IFERROR(_xlfn.PERCENTRANK.INC($I$2:$I$1194,I353)*100,0)*PARAMS_MODELO!$B$31)</f>
        <v>58.999999999999993</v>
      </c>
    </row>
    <row r="354" spans="1:10" x14ac:dyDescent="0.3">
      <c r="A354">
        <v>51036212</v>
      </c>
      <c r="B354">
        <v>92</v>
      </c>
      <c r="C354">
        <v>15</v>
      </c>
      <c r="D354">
        <v>41</v>
      </c>
      <c r="E354" s="21">
        <f>D354/PARAMS_MODELO!$B$28</f>
        <v>1.3666666666666667</v>
      </c>
      <c r="F354">
        <v>76</v>
      </c>
      <c r="G354">
        <v>98</v>
      </c>
      <c r="H354">
        <v>63</v>
      </c>
      <c r="I354" s="20">
        <f t="shared" si="5"/>
        <v>0.6428571428571429</v>
      </c>
      <c r="J354" s="21">
        <f>(IFERROR(_xlfn.PERCENTRANK.INC($B$2:$B$1194,B354)*100,0)*PARAMS_MODELO!$B$25)+(IFERROR(_xlfn.PERCENTRANK.INC($C$2:$C$1194,C354)*100,0)*PARAMS_MODELO!$B$26)+(IFERROR(_xlfn.PERCENTRANK.INC($E$2:$E$1194,E354)*100,0)*PARAMS_MODELO!$B$27)+(IFERROR(_xlfn.PERCENTRANK.INC($F$2:$F$1194,F354)*100,0)*PARAMS_MODELO!$B$29)+(IFERROR(_xlfn.PERCENTRANK.INC($I$2:$I$1194,I354)*100,0)*PARAMS_MODELO!$B$31)</f>
        <v>66.41</v>
      </c>
    </row>
    <row r="355" spans="1:10" x14ac:dyDescent="0.3">
      <c r="A355">
        <v>51029984</v>
      </c>
      <c r="B355">
        <v>82</v>
      </c>
      <c r="C355">
        <v>25</v>
      </c>
      <c r="D355">
        <v>60</v>
      </c>
      <c r="E355" s="21">
        <f>D355/PARAMS_MODELO!$B$28</f>
        <v>2</v>
      </c>
      <c r="F355">
        <v>80</v>
      </c>
      <c r="G355">
        <v>98</v>
      </c>
      <c r="H355">
        <v>75</v>
      </c>
      <c r="I355" s="20">
        <f t="shared" si="5"/>
        <v>0.76530612244897955</v>
      </c>
      <c r="J355" s="21">
        <f>(IFERROR(_xlfn.PERCENTRANK.INC($B$2:$B$1194,B355)*100,0)*PARAMS_MODELO!$B$25)+(IFERROR(_xlfn.PERCENTRANK.INC($C$2:$C$1194,C355)*100,0)*PARAMS_MODELO!$B$26)+(IFERROR(_xlfn.PERCENTRANK.INC($E$2:$E$1194,E355)*100,0)*PARAMS_MODELO!$B$27)+(IFERROR(_xlfn.PERCENTRANK.INC($F$2:$F$1194,F355)*100,0)*PARAMS_MODELO!$B$29)+(IFERROR(_xlfn.PERCENTRANK.INC($I$2:$I$1194,I355)*100,0)*PARAMS_MODELO!$B$31)</f>
        <v>79.959999999999994</v>
      </c>
    </row>
    <row r="356" spans="1:10" x14ac:dyDescent="0.3">
      <c r="A356">
        <v>51039777</v>
      </c>
      <c r="B356">
        <v>71</v>
      </c>
      <c r="C356">
        <v>7</v>
      </c>
      <c r="D356">
        <v>93</v>
      </c>
      <c r="E356" s="21">
        <f>D356/PARAMS_MODELO!$B$28</f>
        <v>3.1</v>
      </c>
      <c r="F356">
        <v>56</v>
      </c>
      <c r="G356">
        <v>43</v>
      </c>
      <c r="H356">
        <v>26</v>
      </c>
      <c r="I356" s="20">
        <f t="shared" si="5"/>
        <v>0.60465116279069764</v>
      </c>
      <c r="J356" s="21">
        <f>(IFERROR(_xlfn.PERCENTRANK.INC($B$2:$B$1194,B356)*100,0)*PARAMS_MODELO!$B$25)+(IFERROR(_xlfn.PERCENTRANK.INC($C$2:$C$1194,C356)*100,0)*PARAMS_MODELO!$B$26)+(IFERROR(_xlfn.PERCENTRANK.INC($E$2:$E$1194,E356)*100,0)*PARAMS_MODELO!$B$27)+(IFERROR(_xlfn.PERCENTRANK.INC($F$2:$F$1194,F356)*100,0)*PARAMS_MODELO!$B$29)+(IFERROR(_xlfn.PERCENTRANK.INC($I$2:$I$1194,I356)*100,0)*PARAMS_MODELO!$B$31)</f>
        <v>60.165000000000006</v>
      </c>
    </row>
    <row r="357" spans="1:10" x14ac:dyDescent="0.3">
      <c r="A357">
        <v>51056183</v>
      </c>
      <c r="B357">
        <v>59</v>
      </c>
      <c r="C357">
        <v>10</v>
      </c>
      <c r="D357">
        <v>52</v>
      </c>
      <c r="E357" s="21">
        <f>D357/PARAMS_MODELO!$B$28</f>
        <v>1.7333333333333334</v>
      </c>
      <c r="F357">
        <v>47</v>
      </c>
      <c r="G357">
        <v>79</v>
      </c>
      <c r="H357">
        <v>50</v>
      </c>
      <c r="I357" s="20">
        <f t="shared" si="5"/>
        <v>0.63291139240506333</v>
      </c>
      <c r="J357" s="21">
        <f>(IFERROR(_xlfn.PERCENTRANK.INC($B$2:$B$1194,B357)*100,0)*PARAMS_MODELO!$B$25)+(IFERROR(_xlfn.PERCENTRANK.INC($C$2:$C$1194,C357)*100,0)*PARAMS_MODELO!$B$26)+(IFERROR(_xlfn.PERCENTRANK.INC($E$2:$E$1194,E357)*100,0)*PARAMS_MODELO!$B$27)+(IFERROR(_xlfn.PERCENTRANK.INC($F$2:$F$1194,F357)*100,0)*PARAMS_MODELO!$B$29)+(IFERROR(_xlfn.PERCENTRANK.INC($I$2:$I$1194,I357)*100,0)*PARAMS_MODELO!$B$31)</f>
        <v>49.879999999999995</v>
      </c>
    </row>
    <row r="358" spans="1:10" x14ac:dyDescent="0.3">
      <c r="A358">
        <v>51039238</v>
      </c>
      <c r="B358">
        <v>37</v>
      </c>
      <c r="C358">
        <v>19</v>
      </c>
      <c r="D358">
        <v>92</v>
      </c>
      <c r="E358" s="21">
        <f>D358/PARAMS_MODELO!$B$28</f>
        <v>3.0666666666666669</v>
      </c>
      <c r="F358">
        <v>38</v>
      </c>
      <c r="G358">
        <v>28</v>
      </c>
      <c r="H358">
        <v>4</v>
      </c>
      <c r="I358" s="20">
        <f t="shared" si="5"/>
        <v>0.14285714285714285</v>
      </c>
      <c r="J358" s="21">
        <f>(IFERROR(_xlfn.PERCENTRANK.INC($B$2:$B$1194,B358)*100,0)*PARAMS_MODELO!$B$25)+(IFERROR(_xlfn.PERCENTRANK.INC($C$2:$C$1194,C358)*100,0)*PARAMS_MODELO!$B$26)+(IFERROR(_xlfn.PERCENTRANK.INC($E$2:$E$1194,E358)*100,0)*PARAMS_MODELO!$B$27)+(IFERROR(_xlfn.PERCENTRANK.INC($F$2:$F$1194,F358)*100,0)*PARAMS_MODELO!$B$29)+(IFERROR(_xlfn.PERCENTRANK.INC($I$2:$I$1194,I358)*100,0)*PARAMS_MODELO!$B$31)</f>
        <v>53.97</v>
      </c>
    </row>
    <row r="359" spans="1:10" x14ac:dyDescent="0.3">
      <c r="A359">
        <v>51007701</v>
      </c>
      <c r="B359">
        <v>50</v>
      </c>
      <c r="C359">
        <v>19</v>
      </c>
      <c r="D359">
        <v>5</v>
      </c>
      <c r="E359" s="21">
        <f>D359/PARAMS_MODELO!$B$28</f>
        <v>0.16666666666666666</v>
      </c>
      <c r="F359">
        <v>6</v>
      </c>
      <c r="G359">
        <v>92</v>
      </c>
      <c r="H359">
        <v>43</v>
      </c>
      <c r="I359" s="20">
        <f t="shared" si="5"/>
        <v>0.46739130434782611</v>
      </c>
      <c r="J359" s="21">
        <f>(IFERROR(_xlfn.PERCENTRANK.INC($B$2:$B$1194,B359)*100,0)*PARAMS_MODELO!$B$25)+(IFERROR(_xlfn.PERCENTRANK.INC($C$2:$C$1194,C359)*100,0)*PARAMS_MODELO!$B$26)+(IFERROR(_xlfn.PERCENTRANK.INC($E$2:$E$1194,E359)*100,0)*PARAMS_MODELO!$B$27)+(IFERROR(_xlfn.PERCENTRANK.INC($F$2:$F$1194,F359)*100,0)*PARAMS_MODELO!$B$29)+(IFERROR(_xlfn.PERCENTRANK.INC($I$2:$I$1194,I359)*100,0)*PARAMS_MODELO!$B$31)</f>
        <v>38.980000000000004</v>
      </c>
    </row>
    <row r="360" spans="1:10" x14ac:dyDescent="0.3">
      <c r="A360">
        <v>51034228</v>
      </c>
      <c r="B360">
        <v>43</v>
      </c>
      <c r="C360">
        <v>12</v>
      </c>
      <c r="D360">
        <v>68</v>
      </c>
      <c r="E360" s="21">
        <f>D360/PARAMS_MODELO!$B$28</f>
        <v>2.2666666666666666</v>
      </c>
      <c r="F360">
        <v>94</v>
      </c>
      <c r="G360">
        <v>64</v>
      </c>
      <c r="H360">
        <v>2</v>
      </c>
      <c r="I360" s="20">
        <f t="shared" si="5"/>
        <v>3.125E-2</v>
      </c>
      <c r="J360" s="21">
        <f>(IFERROR(_xlfn.PERCENTRANK.INC($B$2:$B$1194,B360)*100,0)*PARAMS_MODELO!$B$25)+(IFERROR(_xlfn.PERCENTRANK.INC($C$2:$C$1194,C360)*100,0)*PARAMS_MODELO!$B$26)+(IFERROR(_xlfn.PERCENTRANK.INC($E$2:$E$1194,E360)*100,0)*PARAMS_MODELO!$B$27)+(IFERROR(_xlfn.PERCENTRANK.INC($F$2:$F$1194,F360)*100,0)*PARAMS_MODELO!$B$29)+(IFERROR(_xlfn.PERCENTRANK.INC($I$2:$I$1194,I360)*100,0)*PARAMS_MODELO!$B$31)</f>
        <v>51.664999999999999</v>
      </c>
    </row>
    <row r="361" spans="1:10" x14ac:dyDescent="0.3">
      <c r="A361">
        <v>51005295</v>
      </c>
      <c r="B361">
        <v>20</v>
      </c>
      <c r="C361">
        <v>4</v>
      </c>
      <c r="D361">
        <v>49</v>
      </c>
      <c r="E361" s="21">
        <f>D361/PARAMS_MODELO!$B$28</f>
        <v>1.6333333333333333</v>
      </c>
      <c r="F361">
        <v>27</v>
      </c>
      <c r="G361">
        <v>32</v>
      </c>
      <c r="H361">
        <v>3</v>
      </c>
      <c r="I361" s="20">
        <f t="shared" si="5"/>
        <v>9.375E-2</v>
      </c>
      <c r="J361" s="21">
        <f>(IFERROR(_xlfn.PERCENTRANK.INC($B$2:$B$1194,B361)*100,0)*PARAMS_MODELO!$B$25)+(IFERROR(_xlfn.PERCENTRANK.INC($C$2:$C$1194,C361)*100,0)*PARAMS_MODELO!$B$26)+(IFERROR(_xlfn.PERCENTRANK.INC($E$2:$E$1194,E361)*100,0)*PARAMS_MODELO!$B$27)+(IFERROR(_xlfn.PERCENTRANK.INC($F$2:$F$1194,F361)*100,0)*PARAMS_MODELO!$B$29)+(IFERROR(_xlfn.PERCENTRANK.INC($I$2:$I$1194,I361)*100,0)*PARAMS_MODELO!$B$31)</f>
        <v>24.115000000000002</v>
      </c>
    </row>
    <row r="362" spans="1:10" x14ac:dyDescent="0.3">
      <c r="A362">
        <v>51023668</v>
      </c>
      <c r="B362">
        <v>43</v>
      </c>
      <c r="C362">
        <v>25</v>
      </c>
      <c r="D362">
        <v>12</v>
      </c>
      <c r="E362" s="21">
        <f>D362/PARAMS_MODELO!$B$28</f>
        <v>0.4</v>
      </c>
      <c r="F362">
        <v>8</v>
      </c>
      <c r="G362">
        <v>94</v>
      </c>
      <c r="H362">
        <v>7</v>
      </c>
      <c r="I362" s="20">
        <f t="shared" si="5"/>
        <v>7.4468085106382975E-2</v>
      </c>
      <c r="J362" s="21">
        <f>(IFERROR(_xlfn.PERCENTRANK.INC($B$2:$B$1194,B362)*100,0)*PARAMS_MODELO!$B$25)+(IFERROR(_xlfn.PERCENTRANK.INC($C$2:$C$1194,C362)*100,0)*PARAMS_MODELO!$B$26)+(IFERROR(_xlfn.PERCENTRANK.INC($E$2:$E$1194,E362)*100,0)*PARAMS_MODELO!$B$27)+(IFERROR(_xlfn.PERCENTRANK.INC($F$2:$F$1194,F362)*100,0)*PARAMS_MODELO!$B$29)+(IFERROR(_xlfn.PERCENTRANK.INC($I$2:$I$1194,I362)*100,0)*PARAMS_MODELO!$B$31)</f>
        <v>40.774999999999991</v>
      </c>
    </row>
    <row r="363" spans="1:10" x14ac:dyDescent="0.3">
      <c r="A363">
        <v>51018851</v>
      </c>
      <c r="B363">
        <v>63</v>
      </c>
      <c r="C363">
        <v>2</v>
      </c>
      <c r="D363">
        <v>57</v>
      </c>
      <c r="E363" s="21">
        <f>D363/PARAMS_MODELO!$B$28</f>
        <v>1.9</v>
      </c>
      <c r="F363">
        <v>12</v>
      </c>
      <c r="G363">
        <v>56</v>
      </c>
      <c r="H363">
        <v>20</v>
      </c>
      <c r="I363" s="20">
        <f t="shared" si="5"/>
        <v>0.35714285714285715</v>
      </c>
      <c r="J363" s="21">
        <f>(IFERROR(_xlfn.PERCENTRANK.INC($B$2:$B$1194,B363)*100,0)*PARAMS_MODELO!$B$25)+(IFERROR(_xlfn.PERCENTRANK.INC($C$2:$C$1194,C363)*100,0)*PARAMS_MODELO!$B$26)+(IFERROR(_xlfn.PERCENTRANK.INC($E$2:$E$1194,E363)*100,0)*PARAMS_MODELO!$B$27)+(IFERROR(_xlfn.PERCENTRANK.INC($F$2:$F$1194,F363)*100,0)*PARAMS_MODELO!$B$29)+(IFERROR(_xlfn.PERCENTRANK.INC($I$2:$I$1194,I363)*100,0)*PARAMS_MODELO!$B$31)</f>
        <v>36.804999999999993</v>
      </c>
    </row>
    <row r="364" spans="1:10" x14ac:dyDescent="0.3">
      <c r="A364">
        <v>51042042</v>
      </c>
      <c r="B364">
        <v>96</v>
      </c>
      <c r="C364">
        <v>6</v>
      </c>
      <c r="D364">
        <v>12</v>
      </c>
      <c r="E364" s="21">
        <f>D364/PARAMS_MODELO!$B$28</f>
        <v>0.4</v>
      </c>
      <c r="F364">
        <v>28</v>
      </c>
      <c r="G364">
        <v>43</v>
      </c>
      <c r="H364">
        <v>5</v>
      </c>
      <c r="I364" s="20">
        <f t="shared" si="5"/>
        <v>0.11627906976744186</v>
      </c>
      <c r="J364" s="21">
        <f>(IFERROR(_xlfn.PERCENTRANK.INC($B$2:$B$1194,B364)*100,0)*PARAMS_MODELO!$B$25)+(IFERROR(_xlfn.PERCENTRANK.INC($C$2:$C$1194,C364)*100,0)*PARAMS_MODELO!$B$26)+(IFERROR(_xlfn.PERCENTRANK.INC($E$2:$E$1194,E364)*100,0)*PARAMS_MODELO!$B$27)+(IFERROR(_xlfn.PERCENTRANK.INC($F$2:$F$1194,F364)*100,0)*PARAMS_MODELO!$B$29)+(IFERROR(_xlfn.PERCENTRANK.INC($I$2:$I$1194,I364)*100,0)*PARAMS_MODELO!$B$31)</f>
        <v>41.124999999999993</v>
      </c>
    </row>
    <row r="365" spans="1:10" x14ac:dyDescent="0.3">
      <c r="A365">
        <v>51010817</v>
      </c>
      <c r="B365">
        <v>29</v>
      </c>
      <c r="C365">
        <v>18</v>
      </c>
      <c r="D365">
        <v>32</v>
      </c>
      <c r="E365" s="21">
        <f>D365/PARAMS_MODELO!$B$28</f>
        <v>1.0666666666666667</v>
      </c>
      <c r="F365">
        <v>64</v>
      </c>
      <c r="G365">
        <v>76</v>
      </c>
      <c r="H365">
        <v>51</v>
      </c>
      <c r="I365" s="20">
        <f t="shared" si="5"/>
        <v>0.67105263157894735</v>
      </c>
      <c r="J365" s="21">
        <f>(IFERROR(_xlfn.PERCENTRANK.INC($B$2:$B$1194,B365)*100,0)*PARAMS_MODELO!$B$25)+(IFERROR(_xlfn.PERCENTRANK.INC($C$2:$C$1194,C365)*100,0)*PARAMS_MODELO!$B$26)+(IFERROR(_xlfn.PERCENTRANK.INC($E$2:$E$1194,E365)*100,0)*PARAMS_MODELO!$B$27)+(IFERROR(_xlfn.PERCENTRANK.INC($F$2:$F$1194,F365)*100,0)*PARAMS_MODELO!$B$29)+(IFERROR(_xlfn.PERCENTRANK.INC($I$2:$I$1194,I365)*100,0)*PARAMS_MODELO!$B$31)</f>
        <v>47.66</v>
      </c>
    </row>
    <row r="366" spans="1:10" x14ac:dyDescent="0.3">
      <c r="A366">
        <v>51022408</v>
      </c>
      <c r="B366">
        <v>26</v>
      </c>
      <c r="C366">
        <v>9</v>
      </c>
      <c r="D366">
        <v>71</v>
      </c>
      <c r="E366" s="21">
        <f>D366/PARAMS_MODELO!$B$28</f>
        <v>2.3666666666666667</v>
      </c>
      <c r="F366">
        <v>47</v>
      </c>
      <c r="G366">
        <v>4</v>
      </c>
      <c r="H366">
        <v>3</v>
      </c>
      <c r="I366" s="20">
        <f t="shared" si="5"/>
        <v>0.75</v>
      </c>
      <c r="J366" s="21">
        <f>(IFERROR(_xlfn.PERCENTRANK.INC($B$2:$B$1194,B366)*100,0)*PARAMS_MODELO!$B$25)+(IFERROR(_xlfn.PERCENTRANK.INC($C$2:$C$1194,C366)*100,0)*PARAMS_MODELO!$B$26)+(IFERROR(_xlfn.PERCENTRANK.INC($E$2:$E$1194,E366)*100,0)*PARAMS_MODELO!$B$27)+(IFERROR(_xlfn.PERCENTRANK.INC($F$2:$F$1194,F366)*100,0)*PARAMS_MODELO!$B$29)+(IFERROR(_xlfn.PERCENTRANK.INC($I$2:$I$1194,I366)*100,0)*PARAMS_MODELO!$B$31)</f>
        <v>44.354999999999997</v>
      </c>
    </row>
    <row r="367" spans="1:10" x14ac:dyDescent="0.3">
      <c r="A367">
        <v>51032578</v>
      </c>
      <c r="B367">
        <v>49</v>
      </c>
      <c r="C367">
        <v>25</v>
      </c>
      <c r="D367">
        <v>40</v>
      </c>
      <c r="E367" s="21">
        <f>D367/PARAMS_MODELO!$B$28</f>
        <v>1.3333333333333333</v>
      </c>
      <c r="F367">
        <v>52</v>
      </c>
      <c r="G367">
        <v>78</v>
      </c>
      <c r="H367">
        <v>32</v>
      </c>
      <c r="I367" s="20">
        <f t="shared" si="5"/>
        <v>0.41025641025641024</v>
      </c>
      <c r="J367" s="21">
        <f>(IFERROR(_xlfn.PERCENTRANK.INC($B$2:$B$1194,B367)*100,0)*PARAMS_MODELO!$B$25)+(IFERROR(_xlfn.PERCENTRANK.INC($C$2:$C$1194,C367)*100,0)*PARAMS_MODELO!$B$26)+(IFERROR(_xlfn.PERCENTRANK.INC($E$2:$E$1194,E367)*100,0)*PARAMS_MODELO!$B$27)+(IFERROR(_xlfn.PERCENTRANK.INC($F$2:$F$1194,F367)*100,0)*PARAMS_MODELO!$B$29)+(IFERROR(_xlfn.PERCENTRANK.INC($I$2:$I$1194,I367)*100,0)*PARAMS_MODELO!$B$31)</f>
        <v>58.144999999999996</v>
      </c>
    </row>
    <row r="368" spans="1:10" x14ac:dyDescent="0.3">
      <c r="A368">
        <v>51017978</v>
      </c>
      <c r="B368">
        <v>43</v>
      </c>
      <c r="C368">
        <v>17</v>
      </c>
      <c r="D368">
        <v>19</v>
      </c>
      <c r="E368" s="21">
        <f>D368/PARAMS_MODELO!$B$28</f>
        <v>0.6333333333333333</v>
      </c>
      <c r="F368">
        <v>82</v>
      </c>
      <c r="G368">
        <v>62</v>
      </c>
      <c r="H368">
        <v>60</v>
      </c>
      <c r="I368" s="20">
        <f t="shared" si="5"/>
        <v>0.967741935483871</v>
      </c>
      <c r="J368" s="21">
        <f>(IFERROR(_xlfn.PERCENTRANK.INC($B$2:$B$1194,B368)*100,0)*PARAMS_MODELO!$B$25)+(IFERROR(_xlfn.PERCENTRANK.INC($C$2:$C$1194,C368)*100,0)*PARAMS_MODELO!$B$26)+(IFERROR(_xlfn.PERCENTRANK.INC($E$2:$E$1194,E368)*100,0)*PARAMS_MODELO!$B$27)+(IFERROR(_xlfn.PERCENTRANK.INC($F$2:$F$1194,F368)*100,0)*PARAMS_MODELO!$B$29)+(IFERROR(_xlfn.PERCENTRANK.INC($I$2:$I$1194,I368)*100,0)*PARAMS_MODELO!$B$31)</f>
        <v>54.080000000000005</v>
      </c>
    </row>
    <row r="369" spans="1:10" x14ac:dyDescent="0.3">
      <c r="A369">
        <v>51056868</v>
      </c>
      <c r="B369">
        <v>9</v>
      </c>
      <c r="C369">
        <v>21</v>
      </c>
      <c r="D369">
        <v>96</v>
      </c>
      <c r="E369" s="21">
        <f>D369/PARAMS_MODELO!$B$28</f>
        <v>3.2</v>
      </c>
      <c r="F369">
        <v>25</v>
      </c>
      <c r="G369">
        <v>97</v>
      </c>
      <c r="H369">
        <v>92</v>
      </c>
      <c r="I369" s="20">
        <f t="shared" si="5"/>
        <v>0.94845360824742264</v>
      </c>
      <c r="J369" s="21">
        <f>(IFERROR(_xlfn.PERCENTRANK.INC($B$2:$B$1194,B369)*100,0)*PARAMS_MODELO!$B$25)+(IFERROR(_xlfn.PERCENTRANK.INC($C$2:$C$1194,C369)*100,0)*PARAMS_MODELO!$B$26)+(IFERROR(_xlfn.PERCENTRANK.INC($E$2:$E$1194,E369)*100,0)*PARAMS_MODELO!$B$27)+(IFERROR(_xlfn.PERCENTRANK.INC($F$2:$F$1194,F369)*100,0)*PARAMS_MODELO!$B$29)+(IFERROR(_xlfn.PERCENTRANK.INC($I$2:$I$1194,I369)*100,0)*PARAMS_MODELO!$B$31)</f>
        <v>54.234999999999999</v>
      </c>
    </row>
    <row r="370" spans="1:10" x14ac:dyDescent="0.3">
      <c r="A370">
        <v>51056566</v>
      </c>
      <c r="B370">
        <v>62</v>
      </c>
      <c r="C370">
        <v>24</v>
      </c>
      <c r="D370">
        <v>1</v>
      </c>
      <c r="E370" s="21">
        <f>D370/PARAMS_MODELO!$B$28</f>
        <v>3.3333333333333333E-2</v>
      </c>
      <c r="F370">
        <v>40</v>
      </c>
      <c r="G370">
        <v>68</v>
      </c>
      <c r="H370">
        <v>67</v>
      </c>
      <c r="I370" s="20">
        <f t="shared" si="5"/>
        <v>0.98529411764705888</v>
      </c>
      <c r="J370" s="21">
        <f>(IFERROR(_xlfn.PERCENTRANK.INC($B$2:$B$1194,B370)*100,0)*PARAMS_MODELO!$B$25)+(IFERROR(_xlfn.PERCENTRANK.INC($C$2:$C$1194,C370)*100,0)*PARAMS_MODELO!$B$26)+(IFERROR(_xlfn.PERCENTRANK.INC($E$2:$E$1194,E370)*100,0)*PARAMS_MODELO!$B$27)+(IFERROR(_xlfn.PERCENTRANK.INC($F$2:$F$1194,F370)*100,0)*PARAMS_MODELO!$B$29)+(IFERROR(_xlfn.PERCENTRANK.INC($I$2:$I$1194,I370)*100,0)*PARAMS_MODELO!$B$31)</f>
        <v>56.675000000000011</v>
      </c>
    </row>
    <row r="371" spans="1:10" x14ac:dyDescent="0.3">
      <c r="A371">
        <v>51005112</v>
      </c>
      <c r="B371">
        <v>17</v>
      </c>
      <c r="C371">
        <v>12</v>
      </c>
      <c r="D371">
        <v>58</v>
      </c>
      <c r="E371" s="21">
        <f>D371/PARAMS_MODELO!$B$28</f>
        <v>1.9333333333333333</v>
      </c>
      <c r="F371">
        <v>94</v>
      </c>
      <c r="G371">
        <v>89</v>
      </c>
      <c r="H371">
        <v>69</v>
      </c>
      <c r="I371" s="20">
        <f t="shared" si="5"/>
        <v>0.7752808988764045</v>
      </c>
      <c r="J371" s="21">
        <f>(IFERROR(_xlfn.PERCENTRANK.INC($B$2:$B$1194,B371)*100,0)*PARAMS_MODELO!$B$25)+(IFERROR(_xlfn.PERCENTRANK.INC($C$2:$C$1194,C371)*100,0)*PARAMS_MODELO!$B$26)+(IFERROR(_xlfn.PERCENTRANK.INC($E$2:$E$1194,E371)*100,0)*PARAMS_MODELO!$B$27)+(IFERROR(_xlfn.PERCENTRANK.INC($F$2:$F$1194,F371)*100,0)*PARAMS_MODELO!$B$29)+(IFERROR(_xlfn.PERCENTRANK.INC($I$2:$I$1194,I371)*100,0)*PARAMS_MODELO!$B$31)</f>
        <v>49.565000000000012</v>
      </c>
    </row>
    <row r="372" spans="1:10" x14ac:dyDescent="0.3">
      <c r="A372">
        <v>51019946</v>
      </c>
      <c r="B372">
        <v>92</v>
      </c>
      <c r="C372">
        <v>10</v>
      </c>
      <c r="D372">
        <v>37</v>
      </c>
      <c r="E372" s="21">
        <f>D372/PARAMS_MODELO!$B$28</f>
        <v>1.2333333333333334</v>
      </c>
      <c r="F372">
        <v>49</v>
      </c>
      <c r="G372">
        <v>10</v>
      </c>
      <c r="H372">
        <v>3</v>
      </c>
      <c r="I372" s="20">
        <f t="shared" si="5"/>
        <v>0.3</v>
      </c>
      <c r="J372" s="21">
        <f>(IFERROR(_xlfn.PERCENTRANK.INC($B$2:$B$1194,B372)*100,0)*PARAMS_MODELO!$B$25)+(IFERROR(_xlfn.PERCENTRANK.INC($C$2:$C$1194,C372)*100,0)*PARAMS_MODELO!$B$26)+(IFERROR(_xlfn.PERCENTRANK.INC($E$2:$E$1194,E372)*100,0)*PARAMS_MODELO!$B$27)+(IFERROR(_xlfn.PERCENTRANK.INC($F$2:$F$1194,F372)*100,0)*PARAMS_MODELO!$B$29)+(IFERROR(_xlfn.PERCENTRANK.INC($I$2:$I$1194,I372)*100,0)*PARAMS_MODELO!$B$31)</f>
        <v>53.564999999999998</v>
      </c>
    </row>
    <row r="373" spans="1:10" x14ac:dyDescent="0.3">
      <c r="A373">
        <v>51027116</v>
      </c>
      <c r="B373">
        <v>91</v>
      </c>
      <c r="C373">
        <v>15</v>
      </c>
      <c r="D373">
        <v>35</v>
      </c>
      <c r="E373" s="21">
        <f>D373/PARAMS_MODELO!$B$28</f>
        <v>1.1666666666666667</v>
      </c>
      <c r="F373">
        <v>12</v>
      </c>
      <c r="G373">
        <v>16</v>
      </c>
      <c r="H373">
        <v>13</v>
      </c>
      <c r="I373" s="20">
        <f t="shared" si="5"/>
        <v>0.8125</v>
      </c>
      <c r="J373" s="21">
        <f>(IFERROR(_xlfn.PERCENTRANK.INC($B$2:$B$1194,B373)*100,0)*PARAMS_MODELO!$B$25)+(IFERROR(_xlfn.PERCENTRANK.INC($C$2:$C$1194,C373)*100,0)*PARAMS_MODELO!$B$26)+(IFERROR(_xlfn.PERCENTRANK.INC($E$2:$E$1194,E373)*100,0)*PARAMS_MODELO!$B$27)+(IFERROR(_xlfn.PERCENTRANK.INC($F$2:$F$1194,F373)*100,0)*PARAMS_MODELO!$B$29)+(IFERROR(_xlfn.PERCENTRANK.INC($I$2:$I$1194,I373)*100,0)*PARAMS_MODELO!$B$31)</f>
        <v>56.884999999999991</v>
      </c>
    </row>
    <row r="374" spans="1:10" x14ac:dyDescent="0.3">
      <c r="A374">
        <v>51042051</v>
      </c>
      <c r="B374">
        <v>81</v>
      </c>
      <c r="C374">
        <v>12</v>
      </c>
      <c r="D374">
        <v>3</v>
      </c>
      <c r="E374" s="21">
        <f>D374/PARAMS_MODELO!$B$28</f>
        <v>0.1</v>
      </c>
      <c r="F374">
        <v>31</v>
      </c>
      <c r="G374">
        <v>29</v>
      </c>
      <c r="H374">
        <v>22</v>
      </c>
      <c r="I374" s="20">
        <f t="shared" si="5"/>
        <v>0.75862068965517238</v>
      </c>
      <c r="J374" s="21">
        <f>(IFERROR(_xlfn.PERCENTRANK.INC($B$2:$B$1194,B374)*100,0)*PARAMS_MODELO!$B$25)+(IFERROR(_xlfn.PERCENTRANK.INC($C$2:$C$1194,C374)*100,0)*PARAMS_MODELO!$B$26)+(IFERROR(_xlfn.PERCENTRANK.INC($E$2:$E$1194,E374)*100,0)*PARAMS_MODELO!$B$27)+(IFERROR(_xlfn.PERCENTRANK.INC($F$2:$F$1194,F374)*100,0)*PARAMS_MODELO!$B$29)+(IFERROR(_xlfn.PERCENTRANK.INC($I$2:$I$1194,I374)*100,0)*PARAMS_MODELO!$B$31)</f>
        <v>47.895000000000003</v>
      </c>
    </row>
    <row r="375" spans="1:10" x14ac:dyDescent="0.3">
      <c r="A375">
        <v>51024702</v>
      </c>
      <c r="B375">
        <v>67</v>
      </c>
      <c r="C375">
        <v>17</v>
      </c>
      <c r="D375">
        <v>47</v>
      </c>
      <c r="E375" s="21">
        <f>D375/PARAMS_MODELO!$B$28</f>
        <v>1.5666666666666667</v>
      </c>
      <c r="F375">
        <v>16</v>
      </c>
      <c r="G375">
        <v>85</v>
      </c>
      <c r="H375">
        <v>58</v>
      </c>
      <c r="I375" s="20">
        <f t="shared" si="5"/>
        <v>0.68235294117647061</v>
      </c>
      <c r="J375" s="21">
        <f>(IFERROR(_xlfn.PERCENTRANK.INC($B$2:$B$1194,B375)*100,0)*PARAMS_MODELO!$B$25)+(IFERROR(_xlfn.PERCENTRANK.INC($C$2:$C$1194,C375)*100,0)*PARAMS_MODELO!$B$26)+(IFERROR(_xlfn.PERCENTRANK.INC($E$2:$E$1194,E375)*100,0)*PARAMS_MODELO!$B$27)+(IFERROR(_xlfn.PERCENTRANK.INC($F$2:$F$1194,F375)*100,0)*PARAMS_MODELO!$B$29)+(IFERROR(_xlfn.PERCENTRANK.INC($I$2:$I$1194,I375)*100,0)*PARAMS_MODELO!$B$31)</f>
        <v>53.660000000000011</v>
      </c>
    </row>
    <row r="376" spans="1:10" x14ac:dyDescent="0.3">
      <c r="A376">
        <v>51000251</v>
      </c>
      <c r="B376">
        <v>33</v>
      </c>
      <c r="C376">
        <v>23</v>
      </c>
      <c r="D376">
        <v>77</v>
      </c>
      <c r="E376" s="21">
        <f>D376/PARAMS_MODELO!$B$28</f>
        <v>2.5666666666666669</v>
      </c>
      <c r="F376">
        <v>78</v>
      </c>
      <c r="G376">
        <v>53</v>
      </c>
      <c r="H376">
        <v>15</v>
      </c>
      <c r="I376" s="20">
        <f t="shared" si="5"/>
        <v>0.28301886792452829</v>
      </c>
      <c r="J376" s="21">
        <f>(IFERROR(_xlfn.PERCENTRANK.INC($B$2:$B$1194,B376)*100,0)*PARAMS_MODELO!$B$25)+(IFERROR(_xlfn.PERCENTRANK.INC($C$2:$C$1194,C376)*100,0)*PARAMS_MODELO!$B$26)+(IFERROR(_xlfn.PERCENTRANK.INC($E$2:$E$1194,E376)*100,0)*PARAMS_MODELO!$B$27)+(IFERROR(_xlfn.PERCENTRANK.INC($F$2:$F$1194,F376)*100,0)*PARAMS_MODELO!$B$29)+(IFERROR(_xlfn.PERCENTRANK.INC($I$2:$I$1194,I376)*100,0)*PARAMS_MODELO!$B$31)</f>
        <v>61.199999999999996</v>
      </c>
    </row>
    <row r="377" spans="1:10" x14ac:dyDescent="0.3">
      <c r="A377">
        <v>51036778</v>
      </c>
      <c r="B377">
        <v>8</v>
      </c>
      <c r="C377">
        <v>20</v>
      </c>
      <c r="D377">
        <v>38</v>
      </c>
      <c r="E377" s="21">
        <f>D377/PARAMS_MODELO!$B$28</f>
        <v>1.2666666666666666</v>
      </c>
      <c r="F377">
        <v>77</v>
      </c>
      <c r="G377">
        <v>46</v>
      </c>
      <c r="H377">
        <v>32</v>
      </c>
      <c r="I377" s="20">
        <f t="shared" si="5"/>
        <v>0.69565217391304346</v>
      </c>
      <c r="J377" s="21">
        <f>(IFERROR(_xlfn.PERCENTRANK.INC($B$2:$B$1194,B377)*100,0)*PARAMS_MODELO!$B$25)+(IFERROR(_xlfn.PERCENTRANK.INC($C$2:$C$1194,C377)*100,0)*PARAMS_MODELO!$B$26)+(IFERROR(_xlfn.PERCENTRANK.INC($E$2:$E$1194,E377)*100,0)*PARAMS_MODELO!$B$27)+(IFERROR(_xlfn.PERCENTRANK.INC($F$2:$F$1194,F377)*100,0)*PARAMS_MODELO!$B$29)+(IFERROR(_xlfn.PERCENTRANK.INC($I$2:$I$1194,I377)*100,0)*PARAMS_MODELO!$B$31)</f>
        <v>47.41</v>
      </c>
    </row>
    <row r="378" spans="1:10" x14ac:dyDescent="0.3">
      <c r="A378">
        <v>51056850</v>
      </c>
      <c r="B378">
        <v>82</v>
      </c>
      <c r="C378">
        <v>13</v>
      </c>
      <c r="D378">
        <v>46</v>
      </c>
      <c r="E378" s="21">
        <f>D378/PARAMS_MODELO!$B$28</f>
        <v>1.5333333333333334</v>
      </c>
      <c r="F378">
        <v>76</v>
      </c>
      <c r="G378">
        <v>77</v>
      </c>
      <c r="H378">
        <v>18</v>
      </c>
      <c r="I378" s="20">
        <f t="shared" si="5"/>
        <v>0.23376623376623376</v>
      </c>
      <c r="J378" s="21">
        <f>(IFERROR(_xlfn.PERCENTRANK.INC($B$2:$B$1194,B378)*100,0)*PARAMS_MODELO!$B$25)+(IFERROR(_xlfn.PERCENTRANK.INC($C$2:$C$1194,C378)*100,0)*PARAMS_MODELO!$B$26)+(IFERROR(_xlfn.PERCENTRANK.INC($E$2:$E$1194,E378)*100,0)*PARAMS_MODELO!$B$27)+(IFERROR(_xlfn.PERCENTRANK.INC($F$2:$F$1194,F378)*100,0)*PARAMS_MODELO!$B$29)+(IFERROR(_xlfn.PERCENTRANK.INC($I$2:$I$1194,I378)*100,0)*PARAMS_MODELO!$B$31)</f>
        <v>59.464999999999996</v>
      </c>
    </row>
    <row r="379" spans="1:10" x14ac:dyDescent="0.3">
      <c r="A379">
        <v>51054989</v>
      </c>
      <c r="B379">
        <v>38</v>
      </c>
      <c r="C379">
        <v>11</v>
      </c>
      <c r="D379">
        <v>76</v>
      </c>
      <c r="E379" s="21">
        <f>D379/PARAMS_MODELO!$B$28</f>
        <v>2.5333333333333332</v>
      </c>
      <c r="F379">
        <v>0</v>
      </c>
      <c r="G379">
        <v>34</v>
      </c>
      <c r="H379">
        <v>25</v>
      </c>
      <c r="I379" s="20">
        <f t="shared" si="5"/>
        <v>0.73529411764705888</v>
      </c>
      <c r="J379" s="21">
        <f>(IFERROR(_xlfn.PERCENTRANK.INC($B$2:$B$1194,B379)*100,0)*PARAMS_MODELO!$B$25)+(IFERROR(_xlfn.PERCENTRANK.INC($C$2:$C$1194,C379)*100,0)*PARAMS_MODELO!$B$26)+(IFERROR(_xlfn.PERCENTRANK.INC($E$2:$E$1194,E379)*100,0)*PARAMS_MODELO!$B$27)+(IFERROR(_xlfn.PERCENTRANK.INC($F$2:$F$1194,F379)*100,0)*PARAMS_MODELO!$B$29)+(IFERROR(_xlfn.PERCENTRANK.INC($I$2:$I$1194,I379)*100,0)*PARAMS_MODELO!$B$31)</f>
        <v>44.045000000000002</v>
      </c>
    </row>
    <row r="380" spans="1:10" x14ac:dyDescent="0.3">
      <c r="A380">
        <v>51018737</v>
      </c>
      <c r="B380">
        <v>74</v>
      </c>
      <c r="C380">
        <v>19</v>
      </c>
      <c r="D380">
        <v>94</v>
      </c>
      <c r="E380" s="21">
        <f>D380/PARAMS_MODELO!$B$28</f>
        <v>3.1333333333333333</v>
      </c>
      <c r="F380">
        <v>23</v>
      </c>
      <c r="G380">
        <v>44</v>
      </c>
      <c r="H380">
        <v>7</v>
      </c>
      <c r="I380" s="20">
        <f t="shared" si="5"/>
        <v>0.15909090909090909</v>
      </c>
      <c r="J380" s="21">
        <f>(IFERROR(_xlfn.PERCENTRANK.INC($B$2:$B$1194,B380)*100,0)*PARAMS_MODELO!$B$25)+(IFERROR(_xlfn.PERCENTRANK.INC($C$2:$C$1194,C380)*100,0)*PARAMS_MODELO!$B$26)+(IFERROR(_xlfn.PERCENTRANK.INC($E$2:$E$1194,E380)*100,0)*PARAMS_MODELO!$B$27)+(IFERROR(_xlfn.PERCENTRANK.INC($F$2:$F$1194,F380)*100,0)*PARAMS_MODELO!$B$29)+(IFERROR(_xlfn.PERCENTRANK.INC($I$2:$I$1194,I380)*100,0)*PARAMS_MODELO!$B$31)</f>
        <v>62.990000000000009</v>
      </c>
    </row>
    <row r="381" spans="1:10" x14ac:dyDescent="0.3">
      <c r="A381">
        <v>51023811</v>
      </c>
      <c r="B381">
        <v>35</v>
      </c>
      <c r="C381">
        <v>0</v>
      </c>
      <c r="D381">
        <v>64</v>
      </c>
      <c r="E381" s="21">
        <f>D381/PARAMS_MODELO!$B$28</f>
        <v>2.1333333333333333</v>
      </c>
      <c r="F381">
        <v>87</v>
      </c>
      <c r="G381">
        <v>77</v>
      </c>
      <c r="H381">
        <v>20</v>
      </c>
      <c r="I381" s="20">
        <f t="shared" si="5"/>
        <v>0.25974025974025972</v>
      </c>
      <c r="J381" s="21">
        <f>(IFERROR(_xlfn.PERCENTRANK.INC($B$2:$B$1194,B381)*100,0)*PARAMS_MODELO!$B$25)+(IFERROR(_xlfn.PERCENTRANK.INC($C$2:$C$1194,C381)*100,0)*PARAMS_MODELO!$B$26)+(IFERROR(_xlfn.PERCENTRANK.INC($E$2:$E$1194,E381)*100,0)*PARAMS_MODELO!$B$27)+(IFERROR(_xlfn.PERCENTRANK.INC($F$2:$F$1194,F381)*100,0)*PARAMS_MODELO!$B$29)+(IFERROR(_xlfn.PERCENTRANK.INC($I$2:$I$1194,I381)*100,0)*PARAMS_MODELO!$B$31)</f>
        <v>38.550000000000004</v>
      </c>
    </row>
    <row r="382" spans="1:10" x14ac:dyDescent="0.3">
      <c r="A382">
        <v>51040899</v>
      </c>
      <c r="B382">
        <v>63</v>
      </c>
      <c r="C382">
        <v>22</v>
      </c>
      <c r="D382">
        <v>48</v>
      </c>
      <c r="E382" s="21">
        <f>D382/PARAMS_MODELO!$B$28</f>
        <v>1.6</v>
      </c>
      <c r="F382">
        <v>34</v>
      </c>
      <c r="G382">
        <v>86</v>
      </c>
      <c r="H382">
        <v>34</v>
      </c>
      <c r="I382" s="20">
        <f t="shared" si="5"/>
        <v>0.39534883720930231</v>
      </c>
      <c r="J382" s="21">
        <f>(IFERROR(_xlfn.PERCENTRANK.INC($B$2:$B$1194,B382)*100,0)*PARAMS_MODELO!$B$25)+(IFERROR(_xlfn.PERCENTRANK.INC($C$2:$C$1194,C382)*100,0)*PARAMS_MODELO!$B$26)+(IFERROR(_xlfn.PERCENTRANK.INC($E$2:$E$1194,E382)*100,0)*PARAMS_MODELO!$B$27)+(IFERROR(_xlfn.PERCENTRANK.INC($F$2:$F$1194,F382)*100,0)*PARAMS_MODELO!$B$29)+(IFERROR(_xlfn.PERCENTRANK.INC($I$2:$I$1194,I382)*100,0)*PARAMS_MODELO!$B$31)</f>
        <v>57.495000000000005</v>
      </c>
    </row>
    <row r="383" spans="1:10" x14ac:dyDescent="0.3">
      <c r="A383">
        <v>51022149</v>
      </c>
      <c r="B383">
        <v>64</v>
      </c>
      <c r="C383">
        <v>8</v>
      </c>
      <c r="D383">
        <v>83</v>
      </c>
      <c r="E383" s="21">
        <f>D383/PARAMS_MODELO!$B$28</f>
        <v>2.7666666666666666</v>
      </c>
      <c r="F383">
        <v>16</v>
      </c>
      <c r="G383">
        <v>0</v>
      </c>
      <c r="H383">
        <v>0</v>
      </c>
      <c r="I383" s="20">
        <f t="shared" si="5"/>
        <v>0</v>
      </c>
      <c r="J383" s="21">
        <f>(IFERROR(_xlfn.PERCENTRANK.INC($B$2:$B$1194,B383)*100,0)*PARAMS_MODELO!$B$25)+(IFERROR(_xlfn.PERCENTRANK.INC($C$2:$C$1194,C383)*100,0)*PARAMS_MODELO!$B$26)+(IFERROR(_xlfn.PERCENTRANK.INC($E$2:$E$1194,E383)*100,0)*PARAMS_MODELO!$B$27)+(IFERROR(_xlfn.PERCENTRANK.INC($F$2:$F$1194,F383)*100,0)*PARAMS_MODELO!$B$29)+(IFERROR(_xlfn.PERCENTRANK.INC($I$2:$I$1194,I383)*100,0)*PARAMS_MODELO!$B$31)</f>
        <v>44.39</v>
      </c>
    </row>
    <row r="384" spans="1:10" x14ac:dyDescent="0.3">
      <c r="A384">
        <v>51014189</v>
      </c>
      <c r="B384">
        <v>13</v>
      </c>
      <c r="C384">
        <v>24</v>
      </c>
      <c r="D384">
        <v>94</v>
      </c>
      <c r="E384" s="21">
        <f>D384/PARAMS_MODELO!$B$28</f>
        <v>3.1333333333333333</v>
      </c>
      <c r="F384">
        <v>28</v>
      </c>
      <c r="G384">
        <v>28</v>
      </c>
      <c r="H384">
        <v>17</v>
      </c>
      <c r="I384" s="20">
        <f t="shared" si="5"/>
        <v>0.6071428571428571</v>
      </c>
      <c r="J384" s="21">
        <f>(IFERROR(_xlfn.PERCENTRANK.INC($B$2:$B$1194,B384)*100,0)*PARAMS_MODELO!$B$25)+(IFERROR(_xlfn.PERCENTRANK.INC($C$2:$C$1194,C384)*100,0)*PARAMS_MODELO!$B$26)+(IFERROR(_xlfn.PERCENTRANK.INC($E$2:$E$1194,E384)*100,0)*PARAMS_MODELO!$B$27)+(IFERROR(_xlfn.PERCENTRANK.INC($F$2:$F$1194,F384)*100,0)*PARAMS_MODELO!$B$29)+(IFERROR(_xlfn.PERCENTRANK.INC($I$2:$I$1194,I384)*100,0)*PARAMS_MODELO!$B$31)</f>
        <v>55.215000000000003</v>
      </c>
    </row>
    <row r="385" spans="1:10" x14ac:dyDescent="0.3">
      <c r="A385">
        <v>51011538</v>
      </c>
      <c r="B385">
        <v>85</v>
      </c>
      <c r="C385">
        <v>21</v>
      </c>
      <c r="D385">
        <v>14</v>
      </c>
      <c r="E385" s="21">
        <f>D385/PARAMS_MODELO!$B$28</f>
        <v>0.46666666666666667</v>
      </c>
      <c r="F385">
        <v>39</v>
      </c>
      <c r="G385">
        <v>56</v>
      </c>
      <c r="H385">
        <v>0</v>
      </c>
      <c r="I385" s="20">
        <f t="shared" si="5"/>
        <v>0</v>
      </c>
      <c r="J385" s="21">
        <f>(IFERROR(_xlfn.PERCENTRANK.INC($B$2:$B$1194,B385)*100,0)*PARAMS_MODELO!$B$25)+(IFERROR(_xlfn.PERCENTRANK.INC($C$2:$C$1194,C385)*100,0)*PARAMS_MODELO!$B$26)+(IFERROR(_xlfn.PERCENTRANK.INC($E$2:$E$1194,E385)*100,0)*PARAMS_MODELO!$B$27)+(IFERROR(_xlfn.PERCENTRANK.INC($F$2:$F$1194,F385)*100,0)*PARAMS_MODELO!$B$29)+(IFERROR(_xlfn.PERCENTRANK.INC($I$2:$I$1194,I385)*100,0)*PARAMS_MODELO!$B$31)</f>
        <v>52.980000000000004</v>
      </c>
    </row>
    <row r="386" spans="1:10" x14ac:dyDescent="0.3">
      <c r="A386">
        <v>51011686</v>
      </c>
      <c r="B386">
        <v>71</v>
      </c>
      <c r="C386">
        <v>6</v>
      </c>
      <c r="D386">
        <v>8</v>
      </c>
      <c r="E386" s="21">
        <f>D386/PARAMS_MODELO!$B$28</f>
        <v>0.26666666666666666</v>
      </c>
      <c r="F386">
        <v>96</v>
      </c>
      <c r="G386">
        <v>59</v>
      </c>
      <c r="H386">
        <v>37</v>
      </c>
      <c r="I386" s="20">
        <f t="shared" ref="I386:I449" si="6">IFERROR(H386/G386,0)</f>
        <v>0.6271186440677966</v>
      </c>
      <c r="J386" s="21">
        <f>(IFERROR(_xlfn.PERCENTRANK.INC($B$2:$B$1194,B386)*100,0)*PARAMS_MODELO!$B$25)+(IFERROR(_xlfn.PERCENTRANK.INC($C$2:$C$1194,C386)*100,0)*PARAMS_MODELO!$B$26)+(IFERROR(_xlfn.PERCENTRANK.INC($E$2:$E$1194,E386)*100,0)*PARAMS_MODELO!$B$27)+(IFERROR(_xlfn.PERCENTRANK.INC($F$2:$F$1194,F386)*100,0)*PARAMS_MODELO!$B$29)+(IFERROR(_xlfn.PERCENTRANK.INC($I$2:$I$1194,I386)*100,0)*PARAMS_MODELO!$B$31)</f>
        <v>48.37</v>
      </c>
    </row>
    <row r="387" spans="1:10" x14ac:dyDescent="0.3">
      <c r="A387">
        <v>51055896</v>
      </c>
      <c r="B387">
        <v>69</v>
      </c>
      <c r="C387">
        <v>20</v>
      </c>
      <c r="D387">
        <v>72</v>
      </c>
      <c r="E387" s="21">
        <f>D387/PARAMS_MODELO!$B$28</f>
        <v>2.4</v>
      </c>
      <c r="F387">
        <v>2</v>
      </c>
      <c r="G387">
        <v>68</v>
      </c>
      <c r="H387">
        <v>47</v>
      </c>
      <c r="I387" s="20">
        <f t="shared" si="6"/>
        <v>0.69117647058823528</v>
      </c>
      <c r="J387" s="21">
        <f>(IFERROR(_xlfn.PERCENTRANK.INC($B$2:$B$1194,B387)*100,0)*PARAMS_MODELO!$B$25)+(IFERROR(_xlfn.PERCENTRANK.INC($C$2:$C$1194,C387)*100,0)*PARAMS_MODELO!$B$26)+(IFERROR(_xlfn.PERCENTRANK.INC($E$2:$E$1194,E387)*100,0)*PARAMS_MODELO!$B$27)+(IFERROR(_xlfn.PERCENTRANK.INC($F$2:$F$1194,F387)*100,0)*PARAMS_MODELO!$B$29)+(IFERROR(_xlfn.PERCENTRANK.INC($I$2:$I$1194,I387)*100,0)*PARAMS_MODELO!$B$31)</f>
        <v>60.5</v>
      </c>
    </row>
    <row r="388" spans="1:10" x14ac:dyDescent="0.3">
      <c r="A388">
        <v>51054962</v>
      </c>
      <c r="B388">
        <v>3</v>
      </c>
      <c r="C388">
        <v>20</v>
      </c>
      <c r="D388">
        <v>66</v>
      </c>
      <c r="E388" s="21">
        <f>D388/PARAMS_MODELO!$B$28</f>
        <v>2.2000000000000002</v>
      </c>
      <c r="F388">
        <v>73</v>
      </c>
      <c r="G388">
        <v>70</v>
      </c>
      <c r="H388">
        <v>49</v>
      </c>
      <c r="I388" s="20">
        <f t="shared" si="6"/>
        <v>0.7</v>
      </c>
      <c r="J388" s="21">
        <f>(IFERROR(_xlfn.PERCENTRANK.INC($B$2:$B$1194,B388)*100,0)*PARAMS_MODELO!$B$25)+(IFERROR(_xlfn.PERCENTRANK.INC($C$2:$C$1194,C388)*100,0)*PARAMS_MODELO!$B$26)+(IFERROR(_xlfn.PERCENTRANK.INC($E$2:$E$1194,E388)*100,0)*PARAMS_MODELO!$B$27)+(IFERROR(_xlfn.PERCENTRANK.INC($F$2:$F$1194,F388)*100,0)*PARAMS_MODELO!$B$29)+(IFERROR(_xlfn.PERCENTRANK.INC($I$2:$I$1194,I388)*100,0)*PARAMS_MODELO!$B$31)</f>
        <v>50.445000000000007</v>
      </c>
    </row>
    <row r="389" spans="1:10" x14ac:dyDescent="0.3">
      <c r="A389">
        <v>51021584</v>
      </c>
      <c r="B389">
        <v>7</v>
      </c>
      <c r="C389">
        <v>21</v>
      </c>
      <c r="D389">
        <v>94</v>
      </c>
      <c r="E389" s="21">
        <f>D389/PARAMS_MODELO!$B$28</f>
        <v>3.1333333333333333</v>
      </c>
      <c r="F389">
        <v>17</v>
      </c>
      <c r="G389">
        <v>48</v>
      </c>
      <c r="H389">
        <v>32</v>
      </c>
      <c r="I389" s="20">
        <f t="shared" si="6"/>
        <v>0.66666666666666663</v>
      </c>
      <c r="J389" s="21">
        <f>(IFERROR(_xlfn.PERCENTRANK.INC($B$2:$B$1194,B389)*100,0)*PARAMS_MODELO!$B$25)+(IFERROR(_xlfn.PERCENTRANK.INC($C$2:$C$1194,C389)*100,0)*PARAMS_MODELO!$B$26)+(IFERROR(_xlfn.PERCENTRANK.INC($E$2:$E$1194,E389)*100,0)*PARAMS_MODELO!$B$27)+(IFERROR(_xlfn.PERCENTRANK.INC($F$2:$F$1194,F389)*100,0)*PARAMS_MODELO!$B$29)+(IFERROR(_xlfn.PERCENTRANK.INC($I$2:$I$1194,I389)*100,0)*PARAMS_MODELO!$B$31)</f>
        <v>49.14500000000001</v>
      </c>
    </row>
    <row r="390" spans="1:10" x14ac:dyDescent="0.3">
      <c r="A390">
        <v>51014642</v>
      </c>
      <c r="B390">
        <v>55</v>
      </c>
      <c r="C390">
        <v>23</v>
      </c>
      <c r="D390">
        <v>35</v>
      </c>
      <c r="E390" s="21">
        <f>D390/PARAMS_MODELO!$B$28</f>
        <v>1.1666666666666667</v>
      </c>
      <c r="F390">
        <v>48</v>
      </c>
      <c r="G390">
        <v>5</v>
      </c>
      <c r="H390">
        <v>4</v>
      </c>
      <c r="I390" s="20">
        <f t="shared" si="6"/>
        <v>0.8</v>
      </c>
      <c r="J390" s="21">
        <f>(IFERROR(_xlfn.PERCENTRANK.INC($B$2:$B$1194,B390)*100,0)*PARAMS_MODELO!$B$25)+(IFERROR(_xlfn.PERCENTRANK.INC($C$2:$C$1194,C390)*100,0)*PARAMS_MODELO!$B$26)+(IFERROR(_xlfn.PERCENTRANK.INC($E$2:$E$1194,E390)*100,0)*PARAMS_MODELO!$B$27)+(IFERROR(_xlfn.PERCENTRANK.INC($F$2:$F$1194,F390)*100,0)*PARAMS_MODELO!$B$29)+(IFERROR(_xlfn.PERCENTRANK.INC($I$2:$I$1194,I390)*100,0)*PARAMS_MODELO!$B$31)</f>
        <v>59.89500000000001</v>
      </c>
    </row>
    <row r="391" spans="1:10" x14ac:dyDescent="0.3">
      <c r="A391">
        <v>51038878</v>
      </c>
      <c r="B391">
        <v>31</v>
      </c>
      <c r="C391">
        <v>24</v>
      </c>
      <c r="D391">
        <v>56</v>
      </c>
      <c r="E391" s="21">
        <f>D391/PARAMS_MODELO!$B$28</f>
        <v>1.8666666666666667</v>
      </c>
      <c r="F391">
        <v>15</v>
      </c>
      <c r="G391">
        <v>17</v>
      </c>
      <c r="H391">
        <v>6</v>
      </c>
      <c r="I391" s="20">
        <f t="shared" si="6"/>
        <v>0.35294117647058826</v>
      </c>
      <c r="J391" s="21">
        <f>(IFERROR(_xlfn.PERCENTRANK.INC($B$2:$B$1194,B391)*100,0)*PARAMS_MODELO!$B$25)+(IFERROR(_xlfn.PERCENTRANK.INC($C$2:$C$1194,C391)*100,0)*PARAMS_MODELO!$B$26)+(IFERROR(_xlfn.PERCENTRANK.INC($E$2:$E$1194,E391)*100,0)*PARAMS_MODELO!$B$27)+(IFERROR(_xlfn.PERCENTRANK.INC($F$2:$F$1194,F391)*100,0)*PARAMS_MODELO!$B$29)+(IFERROR(_xlfn.PERCENTRANK.INC($I$2:$I$1194,I391)*100,0)*PARAMS_MODELO!$B$31)</f>
        <v>48.76</v>
      </c>
    </row>
    <row r="392" spans="1:10" x14ac:dyDescent="0.3">
      <c r="A392">
        <v>51055292</v>
      </c>
      <c r="B392">
        <v>15</v>
      </c>
      <c r="C392">
        <v>14</v>
      </c>
      <c r="D392">
        <v>52</v>
      </c>
      <c r="E392" s="21">
        <f>D392/PARAMS_MODELO!$B$28</f>
        <v>1.7333333333333334</v>
      </c>
      <c r="F392">
        <v>29</v>
      </c>
      <c r="G392">
        <v>58</v>
      </c>
      <c r="H392">
        <v>39</v>
      </c>
      <c r="I392" s="20">
        <f t="shared" si="6"/>
        <v>0.67241379310344829</v>
      </c>
      <c r="J392" s="21">
        <f>(IFERROR(_xlfn.PERCENTRANK.INC($B$2:$B$1194,B392)*100,0)*PARAMS_MODELO!$B$25)+(IFERROR(_xlfn.PERCENTRANK.INC($C$2:$C$1194,C392)*100,0)*PARAMS_MODELO!$B$26)+(IFERROR(_xlfn.PERCENTRANK.INC($E$2:$E$1194,E392)*100,0)*PARAMS_MODELO!$B$27)+(IFERROR(_xlfn.PERCENTRANK.INC($F$2:$F$1194,F392)*100,0)*PARAMS_MODELO!$B$29)+(IFERROR(_xlfn.PERCENTRANK.INC($I$2:$I$1194,I392)*100,0)*PARAMS_MODELO!$B$31)</f>
        <v>38.495000000000005</v>
      </c>
    </row>
    <row r="393" spans="1:10" x14ac:dyDescent="0.3">
      <c r="A393">
        <v>51011601</v>
      </c>
      <c r="B393">
        <v>79</v>
      </c>
      <c r="C393">
        <v>9</v>
      </c>
      <c r="D393">
        <v>59</v>
      </c>
      <c r="E393" s="21">
        <f>D393/PARAMS_MODELO!$B$28</f>
        <v>1.9666666666666666</v>
      </c>
      <c r="F393">
        <v>28</v>
      </c>
      <c r="G393">
        <v>34</v>
      </c>
      <c r="H393">
        <v>26</v>
      </c>
      <c r="I393" s="20">
        <f t="shared" si="6"/>
        <v>0.76470588235294112</v>
      </c>
      <c r="J393" s="21">
        <f>(IFERROR(_xlfn.PERCENTRANK.INC($B$2:$B$1194,B393)*100,0)*PARAMS_MODELO!$B$25)+(IFERROR(_xlfn.PERCENTRANK.INC($C$2:$C$1194,C393)*100,0)*PARAMS_MODELO!$B$26)+(IFERROR(_xlfn.PERCENTRANK.INC($E$2:$E$1194,E393)*100,0)*PARAMS_MODELO!$B$27)+(IFERROR(_xlfn.PERCENTRANK.INC($F$2:$F$1194,F393)*100,0)*PARAMS_MODELO!$B$29)+(IFERROR(_xlfn.PERCENTRANK.INC($I$2:$I$1194,I393)*100,0)*PARAMS_MODELO!$B$31)</f>
        <v>54.85499999999999</v>
      </c>
    </row>
    <row r="394" spans="1:10" x14ac:dyDescent="0.3">
      <c r="A394">
        <v>51022866</v>
      </c>
      <c r="B394">
        <v>57</v>
      </c>
      <c r="C394">
        <v>7</v>
      </c>
      <c r="D394">
        <v>63</v>
      </c>
      <c r="E394" s="21">
        <f>D394/PARAMS_MODELO!$B$28</f>
        <v>2.1</v>
      </c>
      <c r="F394">
        <v>59</v>
      </c>
      <c r="G394">
        <v>95</v>
      </c>
      <c r="H394">
        <v>57</v>
      </c>
      <c r="I394" s="20">
        <f t="shared" si="6"/>
        <v>0.6</v>
      </c>
      <c r="J394" s="21">
        <f>(IFERROR(_xlfn.PERCENTRANK.INC($B$2:$B$1194,B394)*100,0)*PARAMS_MODELO!$B$25)+(IFERROR(_xlfn.PERCENTRANK.INC($C$2:$C$1194,C394)*100,0)*PARAMS_MODELO!$B$26)+(IFERROR(_xlfn.PERCENTRANK.INC($E$2:$E$1194,E394)*100,0)*PARAMS_MODELO!$B$27)+(IFERROR(_xlfn.PERCENTRANK.INC($F$2:$F$1194,F394)*100,0)*PARAMS_MODELO!$B$29)+(IFERROR(_xlfn.PERCENTRANK.INC($I$2:$I$1194,I394)*100,0)*PARAMS_MODELO!$B$31)</f>
        <v>50.335000000000001</v>
      </c>
    </row>
    <row r="395" spans="1:10" x14ac:dyDescent="0.3">
      <c r="A395">
        <v>51017820</v>
      </c>
      <c r="B395">
        <v>84</v>
      </c>
      <c r="C395">
        <v>16</v>
      </c>
      <c r="D395">
        <v>99</v>
      </c>
      <c r="E395" s="21">
        <f>D395/PARAMS_MODELO!$B$28</f>
        <v>3.3</v>
      </c>
      <c r="F395">
        <v>5</v>
      </c>
      <c r="G395">
        <v>35</v>
      </c>
      <c r="H395">
        <v>33</v>
      </c>
      <c r="I395" s="20">
        <f t="shared" si="6"/>
        <v>0.94285714285714284</v>
      </c>
      <c r="J395" s="21">
        <f>(IFERROR(_xlfn.PERCENTRANK.INC($B$2:$B$1194,B395)*100,0)*PARAMS_MODELO!$B$25)+(IFERROR(_xlfn.PERCENTRANK.INC($C$2:$C$1194,C395)*100,0)*PARAMS_MODELO!$B$26)+(IFERROR(_xlfn.PERCENTRANK.INC($E$2:$E$1194,E395)*100,0)*PARAMS_MODELO!$B$27)+(IFERROR(_xlfn.PERCENTRANK.INC($F$2:$F$1194,F395)*100,0)*PARAMS_MODELO!$B$29)+(IFERROR(_xlfn.PERCENTRANK.INC($I$2:$I$1194,I395)*100,0)*PARAMS_MODELO!$B$31)</f>
        <v>68.92</v>
      </c>
    </row>
    <row r="396" spans="1:10" x14ac:dyDescent="0.3">
      <c r="A396">
        <v>51030761</v>
      </c>
      <c r="B396">
        <v>29</v>
      </c>
      <c r="C396">
        <v>22</v>
      </c>
      <c r="D396">
        <v>59</v>
      </c>
      <c r="E396" s="21">
        <f>D396/PARAMS_MODELO!$B$28</f>
        <v>1.9666666666666666</v>
      </c>
      <c r="F396">
        <v>94</v>
      </c>
      <c r="G396">
        <v>26</v>
      </c>
      <c r="H396">
        <v>11</v>
      </c>
      <c r="I396" s="20">
        <f t="shared" si="6"/>
        <v>0.42307692307692307</v>
      </c>
      <c r="J396" s="21">
        <f>(IFERROR(_xlfn.PERCENTRANK.INC($B$2:$B$1194,B396)*100,0)*PARAMS_MODELO!$B$25)+(IFERROR(_xlfn.PERCENTRANK.INC($C$2:$C$1194,C396)*100,0)*PARAMS_MODELO!$B$26)+(IFERROR(_xlfn.PERCENTRANK.INC($E$2:$E$1194,E396)*100,0)*PARAMS_MODELO!$B$27)+(IFERROR(_xlfn.PERCENTRANK.INC($F$2:$F$1194,F396)*100,0)*PARAMS_MODELO!$B$29)+(IFERROR(_xlfn.PERCENTRANK.INC($I$2:$I$1194,I396)*100,0)*PARAMS_MODELO!$B$31)</f>
        <v>59.304999999999993</v>
      </c>
    </row>
    <row r="397" spans="1:10" x14ac:dyDescent="0.3">
      <c r="A397">
        <v>51008294</v>
      </c>
      <c r="B397">
        <v>45</v>
      </c>
      <c r="C397">
        <v>17</v>
      </c>
      <c r="D397">
        <v>82</v>
      </c>
      <c r="E397" s="21">
        <f>D397/PARAMS_MODELO!$B$28</f>
        <v>2.7333333333333334</v>
      </c>
      <c r="F397">
        <v>17</v>
      </c>
      <c r="G397">
        <v>19</v>
      </c>
      <c r="H397">
        <v>12</v>
      </c>
      <c r="I397" s="20">
        <f t="shared" si="6"/>
        <v>0.63157894736842102</v>
      </c>
      <c r="J397" s="21">
        <f>(IFERROR(_xlfn.PERCENTRANK.INC($B$2:$B$1194,B397)*100,0)*PARAMS_MODELO!$B$25)+(IFERROR(_xlfn.PERCENTRANK.INC($C$2:$C$1194,C397)*100,0)*PARAMS_MODELO!$B$26)+(IFERROR(_xlfn.PERCENTRANK.INC($E$2:$E$1194,E397)*100,0)*PARAMS_MODELO!$B$27)+(IFERROR(_xlfn.PERCENTRANK.INC($F$2:$F$1194,F397)*100,0)*PARAMS_MODELO!$B$29)+(IFERROR(_xlfn.PERCENTRANK.INC($I$2:$I$1194,I397)*100,0)*PARAMS_MODELO!$B$31)</f>
        <v>53.75</v>
      </c>
    </row>
    <row r="398" spans="1:10" x14ac:dyDescent="0.3">
      <c r="A398">
        <v>51055501</v>
      </c>
      <c r="B398">
        <v>7</v>
      </c>
      <c r="C398">
        <v>2</v>
      </c>
      <c r="D398">
        <v>89</v>
      </c>
      <c r="E398" s="21">
        <f>D398/PARAMS_MODELO!$B$28</f>
        <v>2.9666666666666668</v>
      </c>
      <c r="F398">
        <v>69</v>
      </c>
      <c r="G398">
        <v>63</v>
      </c>
      <c r="H398">
        <v>44</v>
      </c>
      <c r="I398" s="20">
        <f t="shared" si="6"/>
        <v>0.69841269841269837</v>
      </c>
      <c r="J398" s="21">
        <f>(IFERROR(_xlfn.PERCENTRANK.INC($B$2:$B$1194,B398)*100,0)*PARAMS_MODELO!$B$25)+(IFERROR(_xlfn.PERCENTRANK.INC($C$2:$C$1194,C398)*100,0)*PARAMS_MODELO!$B$26)+(IFERROR(_xlfn.PERCENTRANK.INC($E$2:$E$1194,E398)*100,0)*PARAMS_MODELO!$B$27)+(IFERROR(_xlfn.PERCENTRANK.INC($F$2:$F$1194,F398)*100,0)*PARAMS_MODELO!$B$29)+(IFERROR(_xlfn.PERCENTRANK.INC($I$2:$I$1194,I398)*100,0)*PARAMS_MODELO!$B$31)</f>
        <v>39.035000000000004</v>
      </c>
    </row>
    <row r="399" spans="1:10" x14ac:dyDescent="0.3">
      <c r="A399">
        <v>51038886</v>
      </c>
      <c r="B399">
        <v>79</v>
      </c>
      <c r="C399">
        <v>12</v>
      </c>
      <c r="D399">
        <v>91</v>
      </c>
      <c r="E399" s="21">
        <f>D399/PARAMS_MODELO!$B$28</f>
        <v>3.0333333333333332</v>
      </c>
      <c r="F399">
        <v>6</v>
      </c>
      <c r="G399">
        <v>88</v>
      </c>
      <c r="H399">
        <v>33</v>
      </c>
      <c r="I399" s="20">
        <f t="shared" si="6"/>
        <v>0.375</v>
      </c>
      <c r="J399" s="21">
        <f>(IFERROR(_xlfn.PERCENTRANK.INC($B$2:$B$1194,B399)*100,0)*PARAMS_MODELO!$B$25)+(IFERROR(_xlfn.PERCENTRANK.INC($C$2:$C$1194,C399)*100,0)*PARAMS_MODELO!$B$26)+(IFERROR(_xlfn.PERCENTRANK.INC($E$2:$E$1194,E399)*100,0)*PARAMS_MODELO!$B$27)+(IFERROR(_xlfn.PERCENTRANK.INC($F$2:$F$1194,F399)*100,0)*PARAMS_MODELO!$B$29)+(IFERROR(_xlfn.PERCENTRANK.INC($I$2:$I$1194,I399)*100,0)*PARAMS_MODELO!$B$31)</f>
        <v>57.295000000000002</v>
      </c>
    </row>
    <row r="400" spans="1:10" x14ac:dyDescent="0.3">
      <c r="A400">
        <v>51020316</v>
      </c>
      <c r="B400">
        <v>50</v>
      </c>
      <c r="C400">
        <v>2</v>
      </c>
      <c r="D400">
        <v>20</v>
      </c>
      <c r="E400" s="21">
        <f>D400/PARAMS_MODELO!$B$28</f>
        <v>0.66666666666666663</v>
      </c>
      <c r="F400">
        <v>11</v>
      </c>
      <c r="G400">
        <v>55</v>
      </c>
      <c r="H400">
        <v>42</v>
      </c>
      <c r="I400" s="20">
        <f t="shared" si="6"/>
        <v>0.76363636363636367</v>
      </c>
      <c r="J400" s="21">
        <f>(IFERROR(_xlfn.PERCENTRANK.INC($B$2:$B$1194,B400)*100,0)*PARAMS_MODELO!$B$25)+(IFERROR(_xlfn.PERCENTRANK.INC($C$2:$C$1194,C400)*100,0)*PARAMS_MODELO!$B$26)+(IFERROR(_xlfn.PERCENTRANK.INC($E$2:$E$1194,E400)*100,0)*PARAMS_MODELO!$B$27)+(IFERROR(_xlfn.PERCENTRANK.INC($F$2:$F$1194,F400)*100,0)*PARAMS_MODELO!$B$29)+(IFERROR(_xlfn.PERCENTRANK.INC($I$2:$I$1194,I400)*100,0)*PARAMS_MODELO!$B$31)</f>
        <v>29.779999999999998</v>
      </c>
    </row>
    <row r="401" spans="1:10" x14ac:dyDescent="0.3">
      <c r="A401">
        <v>51055675</v>
      </c>
      <c r="B401">
        <v>94</v>
      </c>
      <c r="C401">
        <v>22</v>
      </c>
      <c r="D401">
        <v>57</v>
      </c>
      <c r="E401" s="21">
        <f>D401/PARAMS_MODELO!$B$28</f>
        <v>1.9</v>
      </c>
      <c r="F401">
        <v>84</v>
      </c>
      <c r="G401">
        <v>75</v>
      </c>
      <c r="H401">
        <v>51</v>
      </c>
      <c r="I401" s="20">
        <f t="shared" si="6"/>
        <v>0.68</v>
      </c>
      <c r="J401" s="21">
        <f>(IFERROR(_xlfn.PERCENTRANK.INC($B$2:$B$1194,B401)*100,0)*PARAMS_MODELO!$B$25)+(IFERROR(_xlfn.PERCENTRANK.INC($C$2:$C$1194,C401)*100,0)*PARAMS_MODELO!$B$26)+(IFERROR(_xlfn.PERCENTRANK.INC($E$2:$E$1194,E401)*100,0)*PARAMS_MODELO!$B$27)+(IFERROR(_xlfn.PERCENTRANK.INC($F$2:$F$1194,F401)*100,0)*PARAMS_MODELO!$B$29)+(IFERROR(_xlfn.PERCENTRANK.INC($I$2:$I$1194,I401)*100,0)*PARAMS_MODELO!$B$31)</f>
        <v>79.055000000000007</v>
      </c>
    </row>
    <row r="402" spans="1:10" x14ac:dyDescent="0.3">
      <c r="A402">
        <v>51012577</v>
      </c>
      <c r="B402">
        <v>45</v>
      </c>
      <c r="C402">
        <v>14</v>
      </c>
      <c r="D402">
        <v>32</v>
      </c>
      <c r="E402" s="21">
        <f>D402/PARAMS_MODELO!$B$28</f>
        <v>1.0666666666666667</v>
      </c>
      <c r="F402">
        <v>73</v>
      </c>
      <c r="G402">
        <v>0</v>
      </c>
      <c r="H402">
        <v>0</v>
      </c>
      <c r="I402" s="20">
        <f t="shared" si="6"/>
        <v>0</v>
      </c>
      <c r="J402" s="21">
        <f>(IFERROR(_xlfn.PERCENTRANK.INC($B$2:$B$1194,B402)*100,0)*PARAMS_MODELO!$B$25)+(IFERROR(_xlfn.PERCENTRANK.INC($C$2:$C$1194,C402)*100,0)*PARAMS_MODELO!$B$26)+(IFERROR(_xlfn.PERCENTRANK.INC($E$2:$E$1194,E402)*100,0)*PARAMS_MODELO!$B$27)+(IFERROR(_xlfn.PERCENTRANK.INC($F$2:$F$1194,F402)*100,0)*PARAMS_MODELO!$B$29)+(IFERROR(_xlfn.PERCENTRANK.INC($I$2:$I$1194,I402)*100,0)*PARAMS_MODELO!$B$31)</f>
        <v>43.055</v>
      </c>
    </row>
    <row r="403" spans="1:10" x14ac:dyDescent="0.3">
      <c r="A403">
        <v>51017706</v>
      </c>
      <c r="B403">
        <v>16</v>
      </c>
      <c r="C403">
        <v>25</v>
      </c>
      <c r="D403">
        <v>44</v>
      </c>
      <c r="E403" s="21">
        <f>D403/PARAMS_MODELO!$B$28</f>
        <v>1.4666666666666666</v>
      </c>
      <c r="F403">
        <v>49</v>
      </c>
      <c r="G403">
        <v>34</v>
      </c>
      <c r="H403">
        <v>8</v>
      </c>
      <c r="I403" s="20">
        <f t="shared" si="6"/>
        <v>0.23529411764705882</v>
      </c>
      <c r="J403" s="21">
        <f>(IFERROR(_xlfn.PERCENTRANK.INC($B$2:$B$1194,B403)*100,0)*PARAMS_MODELO!$B$25)+(IFERROR(_xlfn.PERCENTRANK.INC($C$2:$C$1194,C403)*100,0)*PARAMS_MODELO!$B$26)+(IFERROR(_xlfn.PERCENTRANK.INC($E$2:$E$1194,E403)*100,0)*PARAMS_MODELO!$B$27)+(IFERROR(_xlfn.PERCENTRANK.INC($F$2:$F$1194,F403)*100,0)*PARAMS_MODELO!$B$29)+(IFERROR(_xlfn.PERCENTRANK.INC($I$2:$I$1194,I403)*100,0)*PARAMS_MODELO!$B$31)</f>
        <v>47.175000000000004</v>
      </c>
    </row>
    <row r="404" spans="1:10" x14ac:dyDescent="0.3">
      <c r="A404">
        <v>51011236</v>
      </c>
      <c r="B404">
        <v>14</v>
      </c>
      <c r="C404">
        <v>16</v>
      </c>
      <c r="D404">
        <v>48</v>
      </c>
      <c r="E404" s="21">
        <f>D404/PARAMS_MODELO!$B$28</f>
        <v>1.6</v>
      </c>
      <c r="F404">
        <v>15</v>
      </c>
      <c r="G404">
        <v>64</v>
      </c>
      <c r="H404">
        <v>26</v>
      </c>
      <c r="I404" s="20">
        <f t="shared" si="6"/>
        <v>0.40625</v>
      </c>
      <c r="J404" s="21">
        <f>(IFERROR(_xlfn.PERCENTRANK.INC($B$2:$B$1194,B404)*100,0)*PARAMS_MODELO!$B$25)+(IFERROR(_xlfn.PERCENTRANK.INC($C$2:$C$1194,C404)*100,0)*PARAMS_MODELO!$B$26)+(IFERROR(_xlfn.PERCENTRANK.INC($E$2:$E$1194,E404)*100,0)*PARAMS_MODELO!$B$27)+(IFERROR(_xlfn.PERCENTRANK.INC($F$2:$F$1194,F404)*100,0)*PARAMS_MODELO!$B$29)+(IFERROR(_xlfn.PERCENTRANK.INC($I$2:$I$1194,I404)*100,0)*PARAMS_MODELO!$B$31)</f>
        <v>34.54</v>
      </c>
    </row>
    <row r="405" spans="1:10" x14ac:dyDescent="0.3">
      <c r="A405">
        <v>51030524</v>
      </c>
      <c r="B405">
        <v>71</v>
      </c>
      <c r="C405">
        <v>16</v>
      </c>
      <c r="D405">
        <v>16</v>
      </c>
      <c r="E405" s="21">
        <f>D405/PARAMS_MODELO!$B$28</f>
        <v>0.53333333333333333</v>
      </c>
      <c r="F405">
        <v>5</v>
      </c>
      <c r="G405">
        <v>20</v>
      </c>
      <c r="H405">
        <v>0</v>
      </c>
      <c r="I405" s="20">
        <f t="shared" si="6"/>
        <v>0</v>
      </c>
      <c r="J405" s="21">
        <f>(IFERROR(_xlfn.PERCENTRANK.INC($B$2:$B$1194,B405)*100,0)*PARAMS_MODELO!$B$25)+(IFERROR(_xlfn.PERCENTRANK.INC($C$2:$C$1194,C405)*100,0)*PARAMS_MODELO!$B$26)+(IFERROR(_xlfn.PERCENTRANK.INC($E$2:$E$1194,E405)*100,0)*PARAMS_MODELO!$B$27)+(IFERROR(_xlfn.PERCENTRANK.INC($F$2:$F$1194,F405)*100,0)*PARAMS_MODELO!$B$29)+(IFERROR(_xlfn.PERCENTRANK.INC($I$2:$I$1194,I405)*100,0)*PARAMS_MODELO!$B$31)</f>
        <v>39.339999999999996</v>
      </c>
    </row>
    <row r="406" spans="1:10" x14ac:dyDescent="0.3">
      <c r="A406">
        <v>51003365</v>
      </c>
      <c r="B406">
        <v>33</v>
      </c>
      <c r="C406">
        <v>0</v>
      </c>
      <c r="D406">
        <v>38</v>
      </c>
      <c r="E406" s="21">
        <f>D406/PARAMS_MODELO!$B$28</f>
        <v>1.2666666666666666</v>
      </c>
      <c r="F406">
        <v>62</v>
      </c>
      <c r="G406">
        <v>67</v>
      </c>
      <c r="H406">
        <v>12</v>
      </c>
      <c r="I406" s="20">
        <f t="shared" si="6"/>
        <v>0.17910447761194029</v>
      </c>
      <c r="J406" s="21">
        <f>(IFERROR(_xlfn.PERCENTRANK.INC($B$2:$B$1194,B406)*100,0)*PARAMS_MODELO!$B$25)+(IFERROR(_xlfn.PERCENTRANK.INC($C$2:$C$1194,C406)*100,0)*PARAMS_MODELO!$B$26)+(IFERROR(_xlfn.PERCENTRANK.INC($E$2:$E$1194,E406)*100,0)*PARAMS_MODELO!$B$27)+(IFERROR(_xlfn.PERCENTRANK.INC($F$2:$F$1194,F406)*100,0)*PARAMS_MODELO!$B$29)+(IFERROR(_xlfn.PERCENTRANK.INC($I$2:$I$1194,I406)*100,0)*PARAMS_MODELO!$B$31)</f>
        <v>28.38</v>
      </c>
    </row>
    <row r="407" spans="1:10" x14ac:dyDescent="0.3">
      <c r="A407">
        <v>51031989</v>
      </c>
      <c r="B407">
        <v>25</v>
      </c>
      <c r="C407">
        <v>23</v>
      </c>
      <c r="D407">
        <v>75</v>
      </c>
      <c r="E407" s="21">
        <f>D407/PARAMS_MODELO!$B$28</f>
        <v>2.5</v>
      </c>
      <c r="F407">
        <v>87</v>
      </c>
      <c r="G407">
        <v>61</v>
      </c>
      <c r="H407">
        <v>49</v>
      </c>
      <c r="I407" s="20">
        <f t="shared" si="6"/>
        <v>0.80327868852459017</v>
      </c>
      <c r="J407" s="21">
        <f>(IFERROR(_xlfn.PERCENTRANK.INC($B$2:$B$1194,B407)*100,0)*PARAMS_MODELO!$B$25)+(IFERROR(_xlfn.PERCENTRANK.INC($C$2:$C$1194,C407)*100,0)*PARAMS_MODELO!$B$26)+(IFERROR(_xlfn.PERCENTRANK.INC($E$2:$E$1194,E407)*100,0)*PARAMS_MODELO!$B$27)+(IFERROR(_xlfn.PERCENTRANK.INC($F$2:$F$1194,F407)*100,0)*PARAMS_MODELO!$B$29)+(IFERROR(_xlfn.PERCENTRANK.INC($I$2:$I$1194,I407)*100,0)*PARAMS_MODELO!$B$31)</f>
        <v>64.694999999999993</v>
      </c>
    </row>
    <row r="408" spans="1:10" x14ac:dyDescent="0.3">
      <c r="A408">
        <v>51010922</v>
      </c>
      <c r="B408">
        <v>90</v>
      </c>
      <c r="C408">
        <v>13</v>
      </c>
      <c r="D408">
        <v>81</v>
      </c>
      <c r="E408" s="21">
        <f>D408/PARAMS_MODELO!$B$28</f>
        <v>2.7</v>
      </c>
      <c r="F408">
        <v>76</v>
      </c>
      <c r="G408">
        <v>12</v>
      </c>
      <c r="H408">
        <v>5</v>
      </c>
      <c r="I408" s="20">
        <f t="shared" si="6"/>
        <v>0.41666666666666669</v>
      </c>
      <c r="J408" s="21">
        <f>(IFERROR(_xlfn.PERCENTRANK.INC($B$2:$B$1194,B408)*100,0)*PARAMS_MODELO!$B$25)+(IFERROR(_xlfn.PERCENTRANK.INC($C$2:$C$1194,C408)*100,0)*PARAMS_MODELO!$B$26)+(IFERROR(_xlfn.PERCENTRANK.INC($E$2:$E$1194,E408)*100,0)*PARAMS_MODELO!$B$27)+(IFERROR(_xlfn.PERCENTRANK.INC($F$2:$F$1194,F408)*100,0)*PARAMS_MODELO!$B$29)+(IFERROR(_xlfn.PERCENTRANK.INC($I$2:$I$1194,I408)*100,0)*PARAMS_MODELO!$B$31)</f>
        <v>69.985000000000014</v>
      </c>
    </row>
    <row r="409" spans="1:10" x14ac:dyDescent="0.3">
      <c r="A409">
        <v>51040031</v>
      </c>
      <c r="B409">
        <v>88</v>
      </c>
      <c r="C409">
        <v>9</v>
      </c>
      <c r="D409">
        <v>14</v>
      </c>
      <c r="E409" s="21">
        <f>D409/PARAMS_MODELO!$B$28</f>
        <v>0.46666666666666667</v>
      </c>
      <c r="F409">
        <v>29</v>
      </c>
      <c r="G409">
        <v>94</v>
      </c>
      <c r="H409">
        <v>32</v>
      </c>
      <c r="I409" s="20">
        <f t="shared" si="6"/>
        <v>0.34042553191489361</v>
      </c>
      <c r="J409" s="21">
        <f>(IFERROR(_xlfn.PERCENTRANK.INC($B$2:$B$1194,B409)*100,0)*PARAMS_MODELO!$B$25)+(IFERROR(_xlfn.PERCENTRANK.INC($C$2:$C$1194,C409)*100,0)*PARAMS_MODELO!$B$26)+(IFERROR(_xlfn.PERCENTRANK.INC($E$2:$E$1194,E409)*100,0)*PARAMS_MODELO!$B$27)+(IFERROR(_xlfn.PERCENTRANK.INC($F$2:$F$1194,F409)*100,0)*PARAMS_MODELO!$B$29)+(IFERROR(_xlfn.PERCENTRANK.INC($I$2:$I$1194,I409)*100,0)*PARAMS_MODELO!$B$31)</f>
        <v>44.339999999999996</v>
      </c>
    </row>
    <row r="410" spans="1:10" x14ac:dyDescent="0.3">
      <c r="A410">
        <v>51027108</v>
      </c>
      <c r="B410">
        <v>43</v>
      </c>
      <c r="C410">
        <v>20</v>
      </c>
      <c r="D410">
        <v>7</v>
      </c>
      <c r="E410" s="21">
        <f>D410/PARAMS_MODELO!$B$28</f>
        <v>0.23333333333333334</v>
      </c>
      <c r="F410">
        <v>79</v>
      </c>
      <c r="G410">
        <v>86</v>
      </c>
      <c r="H410">
        <v>69</v>
      </c>
      <c r="I410" s="20">
        <f t="shared" si="6"/>
        <v>0.80232558139534882</v>
      </c>
      <c r="J410" s="21">
        <f>(IFERROR(_xlfn.PERCENTRANK.INC($B$2:$B$1194,B410)*100,0)*PARAMS_MODELO!$B$25)+(IFERROR(_xlfn.PERCENTRANK.INC($C$2:$C$1194,C410)*100,0)*PARAMS_MODELO!$B$26)+(IFERROR(_xlfn.PERCENTRANK.INC($E$2:$E$1194,E410)*100,0)*PARAMS_MODELO!$B$27)+(IFERROR(_xlfn.PERCENTRANK.INC($F$2:$F$1194,F410)*100,0)*PARAMS_MODELO!$B$29)+(IFERROR(_xlfn.PERCENTRANK.INC($I$2:$I$1194,I410)*100,0)*PARAMS_MODELO!$B$31)</f>
        <v>52.524999999999991</v>
      </c>
    </row>
    <row r="411" spans="1:10" x14ac:dyDescent="0.3">
      <c r="A411">
        <v>51022971</v>
      </c>
      <c r="B411">
        <v>93</v>
      </c>
      <c r="C411">
        <v>2</v>
      </c>
      <c r="D411">
        <v>70</v>
      </c>
      <c r="E411" s="21">
        <f>D411/PARAMS_MODELO!$B$28</f>
        <v>2.3333333333333335</v>
      </c>
      <c r="F411">
        <v>73</v>
      </c>
      <c r="G411">
        <v>30</v>
      </c>
      <c r="H411">
        <v>13</v>
      </c>
      <c r="I411" s="20">
        <f t="shared" si="6"/>
        <v>0.43333333333333335</v>
      </c>
      <c r="J411" s="21">
        <f>(IFERROR(_xlfn.PERCENTRANK.INC($B$2:$B$1194,B411)*100,0)*PARAMS_MODELO!$B$25)+(IFERROR(_xlfn.PERCENTRANK.INC($C$2:$C$1194,C411)*100,0)*PARAMS_MODELO!$B$26)+(IFERROR(_xlfn.PERCENTRANK.INC($E$2:$E$1194,E411)*100,0)*PARAMS_MODELO!$B$27)+(IFERROR(_xlfn.PERCENTRANK.INC($F$2:$F$1194,F411)*100,0)*PARAMS_MODELO!$B$29)+(IFERROR(_xlfn.PERCENTRANK.INC($I$2:$I$1194,I411)*100,0)*PARAMS_MODELO!$B$31)</f>
        <v>58.14500000000001</v>
      </c>
    </row>
    <row r="412" spans="1:10" x14ac:dyDescent="0.3">
      <c r="A412">
        <v>51023005</v>
      </c>
      <c r="B412">
        <v>23</v>
      </c>
      <c r="C412">
        <v>25</v>
      </c>
      <c r="D412">
        <v>16</v>
      </c>
      <c r="E412" s="21">
        <f>D412/PARAMS_MODELO!$B$28</f>
        <v>0.53333333333333333</v>
      </c>
      <c r="F412">
        <v>80</v>
      </c>
      <c r="G412">
        <v>31</v>
      </c>
      <c r="H412">
        <v>7</v>
      </c>
      <c r="I412" s="20">
        <f t="shared" si="6"/>
        <v>0.22580645161290322</v>
      </c>
      <c r="J412" s="21">
        <f>(IFERROR(_xlfn.PERCENTRANK.INC($B$2:$B$1194,B412)*100,0)*PARAMS_MODELO!$B$25)+(IFERROR(_xlfn.PERCENTRANK.INC($C$2:$C$1194,C412)*100,0)*PARAMS_MODELO!$B$26)+(IFERROR(_xlfn.PERCENTRANK.INC($E$2:$E$1194,E412)*100,0)*PARAMS_MODELO!$B$27)+(IFERROR(_xlfn.PERCENTRANK.INC($F$2:$F$1194,F412)*100,0)*PARAMS_MODELO!$B$29)+(IFERROR(_xlfn.PERCENTRANK.INC($I$2:$I$1194,I412)*100,0)*PARAMS_MODELO!$B$31)</f>
        <v>48.11</v>
      </c>
    </row>
    <row r="413" spans="1:10" x14ac:dyDescent="0.3">
      <c r="A413">
        <v>51002610</v>
      </c>
      <c r="B413">
        <v>73</v>
      </c>
      <c r="C413">
        <v>23</v>
      </c>
      <c r="D413">
        <v>18</v>
      </c>
      <c r="E413" s="21">
        <f>D413/PARAMS_MODELO!$B$28</f>
        <v>0.6</v>
      </c>
      <c r="F413">
        <v>5</v>
      </c>
      <c r="G413">
        <v>48</v>
      </c>
      <c r="H413">
        <v>44</v>
      </c>
      <c r="I413" s="20">
        <f t="shared" si="6"/>
        <v>0.91666666666666663</v>
      </c>
      <c r="J413" s="21">
        <f>(IFERROR(_xlfn.PERCENTRANK.INC($B$2:$B$1194,B413)*100,0)*PARAMS_MODELO!$B$25)+(IFERROR(_xlfn.PERCENTRANK.INC($C$2:$C$1194,C413)*100,0)*PARAMS_MODELO!$B$26)+(IFERROR(_xlfn.PERCENTRANK.INC($E$2:$E$1194,E413)*100,0)*PARAMS_MODELO!$B$27)+(IFERROR(_xlfn.PERCENTRANK.INC($F$2:$F$1194,F413)*100,0)*PARAMS_MODELO!$B$29)+(IFERROR(_xlfn.PERCENTRANK.INC($I$2:$I$1194,I413)*100,0)*PARAMS_MODELO!$B$31)</f>
        <v>56.730000000000004</v>
      </c>
    </row>
    <row r="414" spans="1:10" x14ac:dyDescent="0.3">
      <c r="A414">
        <v>51056116</v>
      </c>
      <c r="B414">
        <v>47</v>
      </c>
      <c r="C414">
        <v>21</v>
      </c>
      <c r="D414">
        <v>56</v>
      </c>
      <c r="E414" s="21">
        <f>D414/PARAMS_MODELO!$B$28</f>
        <v>1.8666666666666667</v>
      </c>
      <c r="F414">
        <v>24</v>
      </c>
      <c r="G414">
        <v>81</v>
      </c>
      <c r="H414">
        <v>33</v>
      </c>
      <c r="I414" s="20">
        <f t="shared" si="6"/>
        <v>0.40740740740740738</v>
      </c>
      <c r="J414" s="21">
        <f>(IFERROR(_xlfn.PERCENTRANK.INC($B$2:$B$1194,B414)*100,0)*PARAMS_MODELO!$B$25)+(IFERROR(_xlfn.PERCENTRANK.INC($C$2:$C$1194,C414)*100,0)*PARAMS_MODELO!$B$26)+(IFERROR(_xlfn.PERCENTRANK.INC($E$2:$E$1194,E414)*100,0)*PARAMS_MODELO!$B$27)+(IFERROR(_xlfn.PERCENTRANK.INC($F$2:$F$1194,F414)*100,0)*PARAMS_MODELO!$B$29)+(IFERROR(_xlfn.PERCENTRANK.INC($I$2:$I$1194,I414)*100,0)*PARAMS_MODELO!$B$31)</f>
        <v>52.02000000000001</v>
      </c>
    </row>
    <row r="415" spans="1:10" x14ac:dyDescent="0.3">
      <c r="A415">
        <v>51020979</v>
      </c>
      <c r="B415">
        <v>66</v>
      </c>
      <c r="C415">
        <v>16</v>
      </c>
      <c r="D415">
        <v>74</v>
      </c>
      <c r="E415" s="21">
        <f>D415/PARAMS_MODELO!$B$28</f>
        <v>2.4666666666666668</v>
      </c>
      <c r="F415">
        <v>2</v>
      </c>
      <c r="G415">
        <v>87</v>
      </c>
      <c r="H415">
        <v>66</v>
      </c>
      <c r="I415" s="20">
        <f t="shared" si="6"/>
        <v>0.75862068965517238</v>
      </c>
      <c r="J415" s="21">
        <f>(IFERROR(_xlfn.PERCENTRANK.INC($B$2:$B$1194,B415)*100,0)*PARAMS_MODELO!$B$25)+(IFERROR(_xlfn.PERCENTRANK.INC($C$2:$C$1194,C415)*100,0)*PARAMS_MODELO!$B$26)+(IFERROR(_xlfn.PERCENTRANK.INC($E$2:$E$1194,E415)*100,0)*PARAMS_MODELO!$B$27)+(IFERROR(_xlfn.PERCENTRANK.INC($F$2:$F$1194,F415)*100,0)*PARAMS_MODELO!$B$29)+(IFERROR(_xlfn.PERCENTRANK.INC($I$2:$I$1194,I415)*100,0)*PARAMS_MODELO!$B$31)</f>
        <v>56.604999999999997</v>
      </c>
    </row>
    <row r="416" spans="1:10" x14ac:dyDescent="0.3">
      <c r="A416">
        <v>51015207</v>
      </c>
      <c r="B416">
        <v>24</v>
      </c>
      <c r="C416">
        <v>24</v>
      </c>
      <c r="D416">
        <v>87</v>
      </c>
      <c r="E416" s="21">
        <f>D416/PARAMS_MODELO!$B$28</f>
        <v>2.9</v>
      </c>
      <c r="F416">
        <v>17</v>
      </c>
      <c r="G416">
        <v>76</v>
      </c>
      <c r="H416">
        <v>43</v>
      </c>
      <c r="I416" s="20">
        <f t="shared" si="6"/>
        <v>0.56578947368421051</v>
      </c>
      <c r="J416" s="21">
        <f>(IFERROR(_xlfn.PERCENTRANK.INC($B$2:$B$1194,B416)*100,0)*PARAMS_MODELO!$B$25)+(IFERROR(_xlfn.PERCENTRANK.INC($C$2:$C$1194,C416)*100,0)*PARAMS_MODELO!$B$26)+(IFERROR(_xlfn.PERCENTRANK.INC($E$2:$E$1194,E416)*100,0)*PARAMS_MODELO!$B$27)+(IFERROR(_xlfn.PERCENTRANK.INC($F$2:$F$1194,F416)*100,0)*PARAMS_MODELO!$B$29)+(IFERROR(_xlfn.PERCENTRANK.INC($I$2:$I$1194,I416)*100,0)*PARAMS_MODELO!$B$31)</f>
        <v>54.780000000000008</v>
      </c>
    </row>
    <row r="417" spans="1:10" x14ac:dyDescent="0.3">
      <c r="A417">
        <v>51007549</v>
      </c>
      <c r="B417">
        <v>32</v>
      </c>
      <c r="C417">
        <v>16</v>
      </c>
      <c r="D417">
        <v>52</v>
      </c>
      <c r="E417" s="21">
        <f>D417/PARAMS_MODELO!$B$28</f>
        <v>1.7333333333333334</v>
      </c>
      <c r="F417">
        <v>37</v>
      </c>
      <c r="G417">
        <v>85</v>
      </c>
      <c r="H417">
        <v>64</v>
      </c>
      <c r="I417" s="20">
        <f t="shared" si="6"/>
        <v>0.75294117647058822</v>
      </c>
      <c r="J417" s="21">
        <f>(IFERROR(_xlfn.PERCENTRANK.INC($B$2:$B$1194,B417)*100,0)*PARAMS_MODELO!$B$25)+(IFERROR(_xlfn.PERCENTRANK.INC($C$2:$C$1194,C417)*100,0)*PARAMS_MODELO!$B$26)+(IFERROR(_xlfn.PERCENTRANK.INC($E$2:$E$1194,E417)*100,0)*PARAMS_MODELO!$B$27)+(IFERROR(_xlfn.PERCENTRANK.INC($F$2:$F$1194,F417)*100,0)*PARAMS_MODELO!$B$29)+(IFERROR(_xlfn.PERCENTRANK.INC($I$2:$I$1194,I417)*100,0)*PARAMS_MODELO!$B$31)</f>
        <v>47.485000000000007</v>
      </c>
    </row>
    <row r="418" spans="1:10" x14ac:dyDescent="0.3">
      <c r="A418">
        <v>51032624</v>
      </c>
      <c r="B418">
        <v>71</v>
      </c>
      <c r="C418">
        <v>6</v>
      </c>
      <c r="D418">
        <v>19</v>
      </c>
      <c r="E418" s="21">
        <f>D418/PARAMS_MODELO!$B$28</f>
        <v>0.6333333333333333</v>
      </c>
      <c r="F418">
        <v>98</v>
      </c>
      <c r="G418">
        <v>37</v>
      </c>
      <c r="H418">
        <v>17</v>
      </c>
      <c r="I418" s="20">
        <f t="shared" si="6"/>
        <v>0.45945945945945948</v>
      </c>
      <c r="J418" s="21">
        <f>(IFERROR(_xlfn.PERCENTRANK.INC($B$2:$B$1194,B418)*100,0)*PARAMS_MODELO!$B$25)+(IFERROR(_xlfn.PERCENTRANK.INC($C$2:$C$1194,C418)*100,0)*PARAMS_MODELO!$B$26)+(IFERROR(_xlfn.PERCENTRANK.INC($E$2:$E$1194,E418)*100,0)*PARAMS_MODELO!$B$27)+(IFERROR(_xlfn.PERCENTRANK.INC($F$2:$F$1194,F418)*100,0)*PARAMS_MODELO!$B$29)+(IFERROR(_xlfn.PERCENTRANK.INC($I$2:$I$1194,I418)*100,0)*PARAMS_MODELO!$B$31)</f>
        <v>49.41</v>
      </c>
    </row>
    <row r="419" spans="1:10" x14ac:dyDescent="0.3">
      <c r="A419">
        <v>51002555</v>
      </c>
      <c r="B419">
        <v>66</v>
      </c>
      <c r="C419">
        <v>0</v>
      </c>
      <c r="D419">
        <v>29</v>
      </c>
      <c r="E419" s="21">
        <f>D419/PARAMS_MODELO!$B$28</f>
        <v>0.96666666666666667</v>
      </c>
      <c r="F419">
        <v>62</v>
      </c>
      <c r="G419">
        <v>84</v>
      </c>
      <c r="H419">
        <v>32</v>
      </c>
      <c r="I419" s="20">
        <f t="shared" si="6"/>
        <v>0.38095238095238093</v>
      </c>
      <c r="J419" s="21">
        <f>(IFERROR(_xlfn.PERCENTRANK.INC($B$2:$B$1194,B419)*100,0)*PARAMS_MODELO!$B$25)+(IFERROR(_xlfn.PERCENTRANK.INC($C$2:$C$1194,C419)*100,0)*PARAMS_MODELO!$B$26)+(IFERROR(_xlfn.PERCENTRANK.INC($E$2:$E$1194,E419)*100,0)*PARAMS_MODELO!$B$27)+(IFERROR(_xlfn.PERCENTRANK.INC($F$2:$F$1194,F419)*100,0)*PARAMS_MODELO!$B$29)+(IFERROR(_xlfn.PERCENTRANK.INC($I$2:$I$1194,I419)*100,0)*PARAMS_MODELO!$B$31)</f>
        <v>37.92</v>
      </c>
    </row>
    <row r="420" spans="1:10" x14ac:dyDescent="0.3">
      <c r="A420">
        <v>51029879</v>
      </c>
      <c r="B420">
        <v>95</v>
      </c>
      <c r="C420">
        <v>13</v>
      </c>
      <c r="D420">
        <v>75</v>
      </c>
      <c r="E420" s="21">
        <f>D420/PARAMS_MODELO!$B$28</f>
        <v>2.5</v>
      </c>
      <c r="F420">
        <v>63</v>
      </c>
      <c r="G420">
        <v>18</v>
      </c>
      <c r="H420">
        <v>0</v>
      </c>
      <c r="I420" s="20">
        <f t="shared" si="6"/>
        <v>0</v>
      </c>
      <c r="J420" s="21">
        <f>(IFERROR(_xlfn.PERCENTRANK.INC($B$2:$B$1194,B420)*100,0)*PARAMS_MODELO!$B$25)+(IFERROR(_xlfn.PERCENTRANK.INC($C$2:$C$1194,C420)*100,0)*PARAMS_MODELO!$B$26)+(IFERROR(_xlfn.PERCENTRANK.INC($E$2:$E$1194,E420)*100,0)*PARAMS_MODELO!$B$27)+(IFERROR(_xlfn.PERCENTRANK.INC($F$2:$F$1194,F420)*100,0)*PARAMS_MODELO!$B$29)+(IFERROR(_xlfn.PERCENTRANK.INC($I$2:$I$1194,I420)*100,0)*PARAMS_MODELO!$B$31)</f>
        <v>64.09</v>
      </c>
    </row>
    <row r="421" spans="1:10" x14ac:dyDescent="0.3">
      <c r="A421">
        <v>51011147</v>
      </c>
      <c r="B421">
        <v>32</v>
      </c>
      <c r="C421">
        <v>0</v>
      </c>
      <c r="D421">
        <v>53</v>
      </c>
      <c r="E421" s="21">
        <f>D421/PARAMS_MODELO!$B$28</f>
        <v>1.7666666666666666</v>
      </c>
      <c r="F421">
        <v>45</v>
      </c>
      <c r="G421">
        <v>72</v>
      </c>
      <c r="H421">
        <v>8</v>
      </c>
      <c r="I421" s="20">
        <f t="shared" si="6"/>
        <v>0.1111111111111111</v>
      </c>
      <c r="J421" s="21">
        <f>(IFERROR(_xlfn.PERCENTRANK.INC($B$2:$B$1194,B421)*100,0)*PARAMS_MODELO!$B$25)+(IFERROR(_xlfn.PERCENTRANK.INC($C$2:$C$1194,C421)*100,0)*PARAMS_MODELO!$B$26)+(IFERROR(_xlfn.PERCENTRANK.INC($E$2:$E$1194,E421)*100,0)*PARAMS_MODELO!$B$27)+(IFERROR(_xlfn.PERCENTRANK.INC($F$2:$F$1194,F421)*100,0)*PARAMS_MODELO!$B$29)+(IFERROR(_xlfn.PERCENTRANK.INC($I$2:$I$1194,I421)*100,0)*PARAMS_MODELO!$B$31)</f>
        <v>27.985000000000003</v>
      </c>
    </row>
    <row r="422" spans="1:10" x14ac:dyDescent="0.3">
      <c r="A422">
        <v>51030427</v>
      </c>
      <c r="B422">
        <v>72</v>
      </c>
      <c r="C422">
        <v>23</v>
      </c>
      <c r="D422">
        <v>51</v>
      </c>
      <c r="E422" s="21">
        <f>D422/PARAMS_MODELO!$B$28</f>
        <v>1.7</v>
      </c>
      <c r="F422">
        <v>69</v>
      </c>
      <c r="G422">
        <v>98</v>
      </c>
      <c r="H422">
        <v>27</v>
      </c>
      <c r="I422" s="20">
        <f t="shared" si="6"/>
        <v>0.27551020408163263</v>
      </c>
      <c r="J422" s="21">
        <f>(IFERROR(_xlfn.PERCENTRANK.INC($B$2:$B$1194,B422)*100,0)*PARAMS_MODELO!$B$25)+(IFERROR(_xlfn.PERCENTRANK.INC($C$2:$C$1194,C422)*100,0)*PARAMS_MODELO!$B$26)+(IFERROR(_xlfn.PERCENTRANK.INC($E$2:$E$1194,E422)*100,0)*PARAMS_MODELO!$B$27)+(IFERROR(_xlfn.PERCENTRANK.INC($F$2:$F$1194,F422)*100,0)*PARAMS_MODELO!$B$29)+(IFERROR(_xlfn.PERCENTRANK.INC($I$2:$I$1194,I422)*100,0)*PARAMS_MODELO!$B$31)</f>
        <v>66.36</v>
      </c>
    </row>
    <row r="423" spans="1:10" x14ac:dyDescent="0.3">
      <c r="A423">
        <v>51032675</v>
      </c>
      <c r="B423">
        <v>71</v>
      </c>
      <c r="C423">
        <v>8</v>
      </c>
      <c r="D423">
        <v>34</v>
      </c>
      <c r="E423" s="21">
        <f>D423/PARAMS_MODELO!$B$28</f>
        <v>1.1333333333333333</v>
      </c>
      <c r="F423">
        <v>62</v>
      </c>
      <c r="G423">
        <v>11</v>
      </c>
      <c r="H423">
        <v>7</v>
      </c>
      <c r="I423" s="20">
        <f t="shared" si="6"/>
        <v>0.63636363636363635</v>
      </c>
      <c r="J423" s="21">
        <f>(IFERROR(_xlfn.PERCENTRANK.INC($B$2:$B$1194,B423)*100,0)*PARAMS_MODELO!$B$25)+(IFERROR(_xlfn.PERCENTRANK.INC($C$2:$C$1194,C423)*100,0)*PARAMS_MODELO!$B$26)+(IFERROR(_xlfn.PERCENTRANK.INC($E$2:$E$1194,E423)*100,0)*PARAMS_MODELO!$B$27)+(IFERROR(_xlfn.PERCENTRANK.INC($F$2:$F$1194,F423)*100,0)*PARAMS_MODELO!$B$29)+(IFERROR(_xlfn.PERCENTRANK.INC($I$2:$I$1194,I423)*100,0)*PARAMS_MODELO!$B$31)</f>
        <v>50.454999999999998</v>
      </c>
    </row>
    <row r="424" spans="1:10" x14ac:dyDescent="0.3">
      <c r="A424">
        <v>51042921</v>
      </c>
      <c r="B424">
        <v>99</v>
      </c>
      <c r="C424">
        <v>21</v>
      </c>
      <c r="D424">
        <v>27</v>
      </c>
      <c r="E424" s="21">
        <f>D424/PARAMS_MODELO!$B$28</f>
        <v>0.9</v>
      </c>
      <c r="F424">
        <v>82</v>
      </c>
      <c r="G424">
        <v>64</v>
      </c>
      <c r="H424">
        <v>5</v>
      </c>
      <c r="I424" s="20">
        <f t="shared" si="6"/>
        <v>7.8125E-2</v>
      </c>
      <c r="J424" s="21">
        <f>(IFERROR(_xlfn.PERCENTRANK.INC($B$2:$B$1194,B424)*100,0)*PARAMS_MODELO!$B$25)+(IFERROR(_xlfn.PERCENTRANK.INC($C$2:$C$1194,C424)*100,0)*PARAMS_MODELO!$B$26)+(IFERROR(_xlfn.PERCENTRANK.INC($E$2:$E$1194,E424)*100,0)*PARAMS_MODELO!$B$27)+(IFERROR(_xlfn.PERCENTRANK.INC($F$2:$F$1194,F424)*100,0)*PARAMS_MODELO!$B$29)+(IFERROR(_xlfn.PERCENTRANK.INC($I$2:$I$1194,I424)*100,0)*PARAMS_MODELO!$B$31)</f>
        <v>67.344999999999999</v>
      </c>
    </row>
    <row r="425" spans="1:10" x14ac:dyDescent="0.3">
      <c r="A425">
        <v>51056272</v>
      </c>
      <c r="B425">
        <v>42</v>
      </c>
      <c r="C425">
        <v>24</v>
      </c>
      <c r="D425">
        <v>43</v>
      </c>
      <c r="E425" s="21">
        <f>D425/PARAMS_MODELO!$B$28</f>
        <v>1.4333333333333333</v>
      </c>
      <c r="F425">
        <v>91</v>
      </c>
      <c r="G425">
        <v>83</v>
      </c>
      <c r="H425">
        <v>37</v>
      </c>
      <c r="I425" s="20">
        <f t="shared" si="6"/>
        <v>0.44578313253012047</v>
      </c>
      <c r="J425" s="21">
        <f>(IFERROR(_xlfn.PERCENTRANK.INC($B$2:$B$1194,B425)*100,0)*PARAMS_MODELO!$B$25)+(IFERROR(_xlfn.PERCENTRANK.INC($C$2:$C$1194,C425)*100,0)*PARAMS_MODELO!$B$26)+(IFERROR(_xlfn.PERCENTRANK.INC($E$2:$E$1194,E425)*100,0)*PARAMS_MODELO!$B$27)+(IFERROR(_xlfn.PERCENTRANK.INC($F$2:$F$1194,F425)*100,0)*PARAMS_MODELO!$B$29)+(IFERROR(_xlfn.PERCENTRANK.INC($I$2:$I$1194,I425)*100,0)*PARAMS_MODELO!$B$31)</f>
        <v>61.629999999999995</v>
      </c>
    </row>
    <row r="426" spans="1:10" x14ac:dyDescent="0.3">
      <c r="A426">
        <v>51007883</v>
      </c>
      <c r="B426">
        <v>78</v>
      </c>
      <c r="C426">
        <v>4</v>
      </c>
      <c r="D426">
        <v>88</v>
      </c>
      <c r="E426" s="21">
        <f>D426/PARAMS_MODELO!$B$28</f>
        <v>2.9333333333333331</v>
      </c>
      <c r="F426">
        <v>96</v>
      </c>
      <c r="G426">
        <v>63</v>
      </c>
      <c r="H426">
        <v>29</v>
      </c>
      <c r="I426" s="20">
        <f t="shared" si="6"/>
        <v>0.46031746031746029</v>
      </c>
      <c r="J426" s="21">
        <f>(IFERROR(_xlfn.PERCENTRANK.INC($B$2:$B$1194,B426)*100,0)*PARAMS_MODELO!$B$25)+(IFERROR(_xlfn.PERCENTRANK.INC($C$2:$C$1194,C426)*100,0)*PARAMS_MODELO!$B$26)+(IFERROR(_xlfn.PERCENTRANK.INC($E$2:$E$1194,E426)*100,0)*PARAMS_MODELO!$B$27)+(IFERROR(_xlfn.PERCENTRANK.INC($F$2:$F$1194,F426)*100,0)*PARAMS_MODELO!$B$29)+(IFERROR(_xlfn.PERCENTRANK.INC($I$2:$I$1194,I426)*100,0)*PARAMS_MODELO!$B$31)</f>
        <v>63.010000000000005</v>
      </c>
    </row>
    <row r="427" spans="1:10" x14ac:dyDescent="0.3">
      <c r="A427">
        <v>51030010</v>
      </c>
      <c r="B427">
        <v>34</v>
      </c>
      <c r="C427">
        <v>12</v>
      </c>
      <c r="D427">
        <v>50</v>
      </c>
      <c r="E427" s="21">
        <f>D427/PARAMS_MODELO!$B$28</f>
        <v>1.6666666666666667</v>
      </c>
      <c r="F427">
        <v>25</v>
      </c>
      <c r="G427">
        <v>77</v>
      </c>
      <c r="H427">
        <v>42</v>
      </c>
      <c r="I427" s="20">
        <f t="shared" si="6"/>
        <v>0.54545454545454541</v>
      </c>
      <c r="J427" s="21">
        <f>(IFERROR(_xlfn.PERCENTRANK.INC($B$2:$B$1194,B427)*100,0)*PARAMS_MODELO!$B$25)+(IFERROR(_xlfn.PERCENTRANK.INC($C$2:$C$1194,C427)*100,0)*PARAMS_MODELO!$B$26)+(IFERROR(_xlfn.PERCENTRANK.INC($E$2:$E$1194,E427)*100,0)*PARAMS_MODELO!$B$27)+(IFERROR(_xlfn.PERCENTRANK.INC($F$2:$F$1194,F427)*100,0)*PARAMS_MODELO!$B$29)+(IFERROR(_xlfn.PERCENTRANK.INC($I$2:$I$1194,I427)*100,0)*PARAMS_MODELO!$B$31)</f>
        <v>39.884999999999998</v>
      </c>
    </row>
    <row r="428" spans="1:10" x14ac:dyDescent="0.3">
      <c r="A428">
        <v>51056124</v>
      </c>
      <c r="B428">
        <v>30</v>
      </c>
      <c r="C428">
        <v>2</v>
      </c>
      <c r="D428">
        <v>48</v>
      </c>
      <c r="E428" s="21">
        <f>D428/PARAMS_MODELO!$B$28</f>
        <v>1.6</v>
      </c>
      <c r="F428">
        <v>27</v>
      </c>
      <c r="G428">
        <v>71</v>
      </c>
      <c r="H428">
        <v>65</v>
      </c>
      <c r="I428" s="20">
        <f t="shared" si="6"/>
        <v>0.91549295774647887</v>
      </c>
      <c r="J428" s="21">
        <f>(IFERROR(_xlfn.PERCENTRANK.INC($B$2:$B$1194,B428)*100,0)*PARAMS_MODELO!$B$25)+(IFERROR(_xlfn.PERCENTRANK.INC($C$2:$C$1194,C428)*100,0)*PARAMS_MODELO!$B$26)+(IFERROR(_xlfn.PERCENTRANK.INC($E$2:$E$1194,E428)*100,0)*PARAMS_MODELO!$B$27)+(IFERROR(_xlfn.PERCENTRANK.INC($F$2:$F$1194,F428)*100,0)*PARAMS_MODELO!$B$29)+(IFERROR(_xlfn.PERCENTRANK.INC($I$2:$I$1194,I428)*100,0)*PARAMS_MODELO!$B$31)</f>
        <v>33.33</v>
      </c>
    </row>
    <row r="429" spans="1:10" x14ac:dyDescent="0.3">
      <c r="A429">
        <v>51043758</v>
      </c>
      <c r="B429">
        <v>53</v>
      </c>
      <c r="C429">
        <v>17</v>
      </c>
      <c r="D429">
        <v>99</v>
      </c>
      <c r="E429" s="21">
        <f>D429/PARAMS_MODELO!$B$28</f>
        <v>3.3</v>
      </c>
      <c r="F429">
        <v>34</v>
      </c>
      <c r="G429">
        <v>9</v>
      </c>
      <c r="H429">
        <v>6</v>
      </c>
      <c r="I429" s="20">
        <f t="shared" si="6"/>
        <v>0.66666666666666663</v>
      </c>
      <c r="J429" s="21">
        <f>(IFERROR(_xlfn.PERCENTRANK.INC($B$2:$B$1194,B429)*100,0)*PARAMS_MODELO!$B$25)+(IFERROR(_xlfn.PERCENTRANK.INC($C$2:$C$1194,C429)*100,0)*PARAMS_MODELO!$B$26)+(IFERROR(_xlfn.PERCENTRANK.INC($E$2:$E$1194,E429)*100,0)*PARAMS_MODELO!$B$27)+(IFERROR(_xlfn.PERCENTRANK.INC($F$2:$F$1194,F429)*100,0)*PARAMS_MODELO!$B$29)+(IFERROR(_xlfn.PERCENTRANK.INC($I$2:$I$1194,I429)*100,0)*PARAMS_MODELO!$B$31)</f>
        <v>62.160000000000004</v>
      </c>
    </row>
    <row r="430" spans="1:10" x14ac:dyDescent="0.3">
      <c r="A430">
        <v>51055039</v>
      </c>
      <c r="B430">
        <v>34</v>
      </c>
      <c r="C430">
        <v>23</v>
      </c>
      <c r="D430">
        <v>62</v>
      </c>
      <c r="E430" s="21">
        <f>D430/PARAMS_MODELO!$B$28</f>
        <v>2.0666666666666669</v>
      </c>
      <c r="F430">
        <v>40</v>
      </c>
      <c r="G430">
        <v>75</v>
      </c>
      <c r="H430">
        <v>46</v>
      </c>
      <c r="I430" s="20">
        <f t="shared" si="6"/>
        <v>0.61333333333333329</v>
      </c>
      <c r="J430" s="21">
        <f>(IFERROR(_xlfn.PERCENTRANK.INC($B$2:$B$1194,B430)*100,0)*PARAMS_MODELO!$B$25)+(IFERROR(_xlfn.PERCENTRANK.INC($C$2:$C$1194,C430)*100,0)*PARAMS_MODELO!$B$26)+(IFERROR(_xlfn.PERCENTRANK.INC($E$2:$E$1194,E430)*100,0)*PARAMS_MODELO!$B$27)+(IFERROR(_xlfn.PERCENTRANK.INC($F$2:$F$1194,F430)*100,0)*PARAMS_MODELO!$B$29)+(IFERROR(_xlfn.PERCENTRANK.INC($I$2:$I$1194,I430)*100,0)*PARAMS_MODELO!$B$31)</f>
        <v>55.925000000000004</v>
      </c>
    </row>
    <row r="431" spans="1:10" x14ac:dyDescent="0.3">
      <c r="A431">
        <v>51056582</v>
      </c>
      <c r="B431">
        <v>25</v>
      </c>
      <c r="C431">
        <v>7</v>
      </c>
      <c r="D431">
        <v>2</v>
      </c>
      <c r="E431" s="21">
        <f>D431/PARAMS_MODELO!$B$28</f>
        <v>6.6666666666666666E-2</v>
      </c>
      <c r="F431">
        <v>69</v>
      </c>
      <c r="G431">
        <v>18</v>
      </c>
      <c r="H431">
        <v>1</v>
      </c>
      <c r="I431" s="20">
        <f t="shared" si="6"/>
        <v>5.5555555555555552E-2</v>
      </c>
      <c r="J431" s="21">
        <f>(IFERROR(_xlfn.PERCENTRANK.INC($B$2:$B$1194,B431)*100,0)*PARAMS_MODELO!$B$25)+(IFERROR(_xlfn.PERCENTRANK.INC($C$2:$C$1194,C431)*100,0)*PARAMS_MODELO!$B$26)+(IFERROR(_xlfn.PERCENTRANK.INC($E$2:$E$1194,E431)*100,0)*PARAMS_MODELO!$B$27)+(IFERROR(_xlfn.PERCENTRANK.INC($F$2:$F$1194,F431)*100,0)*PARAMS_MODELO!$B$29)+(IFERROR(_xlfn.PERCENTRANK.INC($I$2:$I$1194,I431)*100,0)*PARAMS_MODELO!$B$31)</f>
        <v>25.034999999999997</v>
      </c>
    </row>
    <row r="432" spans="1:10" x14ac:dyDescent="0.3">
      <c r="A432">
        <v>51021321</v>
      </c>
      <c r="B432">
        <v>97</v>
      </c>
      <c r="C432">
        <v>21</v>
      </c>
      <c r="D432">
        <v>62</v>
      </c>
      <c r="E432" s="21">
        <f>D432/PARAMS_MODELO!$B$28</f>
        <v>2.0666666666666669</v>
      </c>
      <c r="F432">
        <v>54</v>
      </c>
      <c r="G432">
        <v>14</v>
      </c>
      <c r="H432">
        <v>5</v>
      </c>
      <c r="I432" s="20">
        <f t="shared" si="6"/>
        <v>0.35714285714285715</v>
      </c>
      <c r="J432" s="21">
        <f>(IFERROR(_xlfn.PERCENTRANK.INC($B$2:$B$1194,B432)*100,0)*PARAMS_MODELO!$B$25)+(IFERROR(_xlfn.PERCENTRANK.INC($C$2:$C$1194,C432)*100,0)*PARAMS_MODELO!$B$26)+(IFERROR(_xlfn.PERCENTRANK.INC($E$2:$E$1194,E432)*100,0)*PARAMS_MODELO!$B$27)+(IFERROR(_xlfn.PERCENTRANK.INC($F$2:$F$1194,F432)*100,0)*PARAMS_MODELO!$B$29)+(IFERROR(_xlfn.PERCENTRANK.INC($I$2:$I$1194,I432)*100,0)*PARAMS_MODELO!$B$31)</f>
        <v>72.465000000000003</v>
      </c>
    </row>
    <row r="433" spans="1:10" x14ac:dyDescent="0.3">
      <c r="A433">
        <v>51055322</v>
      </c>
      <c r="B433">
        <v>40</v>
      </c>
      <c r="C433">
        <v>8</v>
      </c>
      <c r="D433">
        <v>46</v>
      </c>
      <c r="E433" s="21">
        <f>D433/PARAMS_MODELO!$B$28</f>
        <v>1.5333333333333334</v>
      </c>
      <c r="F433">
        <v>84</v>
      </c>
      <c r="G433">
        <v>21</v>
      </c>
      <c r="H433">
        <v>11</v>
      </c>
      <c r="I433" s="20">
        <f t="shared" si="6"/>
        <v>0.52380952380952384</v>
      </c>
      <c r="J433" s="21">
        <f>(IFERROR(_xlfn.PERCENTRANK.INC($B$2:$B$1194,B433)*100,0)*PARAMS_MODELO!$B$25)+(IFERROR(_xlfn.PERCENTRANK.INC($C$2:$C$1194,C433)*100,0)*PARAMS_MODELO!$B$26)+(IFERROR(_xlfn.PERCENTRANK.INC($E$2:$E$1194,E433)*100,0)*PARAMS_MODELO!$B$27)+(IFERROR(_xlfn.PERCENTRANK.INC($F$2:$F$1194,F433)*100,0)*PARAMS_MODELO!$B$29)+(IFERROR(_xlfn.PERCENTRANK.INC($I$2:$I$1194,I433)*100,0)*PARAMS_MODELO!$B$31)</f>
        <v>46.38</v>
      </c>
    </row>
    <row r="434" spans="1:10" x14ac:dyDescent="0.3">
      <c r="A434">
        <v>51010027</v>
      </c>
      <c r="B434">
        <v>29</v>
      </c>
      <c r="C434">
        <v>25</v>
      </c>
      <c r="D434">
        <v>23</v>
      </c>
      <c r="E434" s="21">
        <f>D434/PARAMS_MODELO!$B$28</f>
        <v>0.76666666666666672</v>
      </c>
      <c r="F434">
        <v>70</v>
      </c>
      <c r="G434">
        <v>35</v>
      </c>
      <c r="H434">
        <v>3</v>
      </c>
      <c r="I434" s="20">
        <f t="shared" si="6"/>
        <v>8.5714285714285715E-2</v>
      </c>
      <c r="J434" s="21">
        <f>(IFERROR(_xlfn.PERCENTRANK.INC($B$2:$B$1194,B434)*100,0)*PARAMS_MODELO!$B$25)+(IFERROR(_xlfn.PERCENTRANK.INC($C$2:$C$1194,C434)*100,0)*PARAMS_MODELO!$B$26)+(IFERROR(_xlfn.PERCENTRANK.INC($E$2:$E$1194,E434)*100,0)*PARAMS_MODELO!$B$27)+(IFERROR(_xlfn.PERCENTRANK.INC($F$2:$F$1194,F434)*100,0)*PARAMS_MODELO!$B$29)+(IFERROR(_xlfn.PERCENTRANK.INC($I$2:$I$1194,I434)*100,0)*PARAMS_MODELO!$B$31)</f>
        <v>48.3</v>
      </c>
    </row>
    <row r="435" spans="1:10" x14ac:dyDescent="0.3">
      <c r="A435">
        <v>51011295</v>
      </c>
      <c r="B435">
        <v>2</v>
      </c>
      <c r="C435">
        <v>13</v>
      </c>
      <c r="D435">
        <v>74</v>
      </c>
      <c r="E435" s="21">
        <f>D435/PARAMS_MODELO!$B$28</f>
        <v>2.4666666666666668</v>
      </c>
      <c r="F435">
        <v>88</v>
      </c>
      <c r="G435">
        <v>95</v>
      </c>
      <c r="H435">
        <v>55</v>
      </c>
      <c r="I435" s="20">
        <f t="shared" si="6"/>
        <v>0.57894736842105265</v>
      </c>
      <c r="J435" s="21">
        <f>(IFERROR(_xlfn.PERCENTRANK.INC($B$2:$B$1194,B435)*100,0)*PARAMS_MODELO!$B$25)+(IFERROR(_xlfn.PERCENTRANK.INC($C$2:$C$1194,C435)*100,0)*PARAMS_MODELO!$B$26)+(IFERROR(_xlfn.PERCENTRANK.INC($E$2:$E$1194,E435)*100,0)*PARAMS_MODELO!$B$27)+(IFERROR(_xlfn.PERCENTRANK.INC($F$2:$F$1194,F435)*100,0)*PARAMS_MODELO!$B$29)+(IFERROR(_xlfn.PERCENTRANK.INC($I$2:$I$1194,I435)*100,0)*PARAMS_MODELO!$B$31)</f>
        <v>46.064999999999998</v>
      </c>
    </row>
    <row r="436" spans="1:10" x14ac:dyDescent="0.3">
      <c r="A436">
        <v>51017145</v>
      </c>
      <c r="B436">
        <v>52</v>
      </c>
      <c r="C436">
        <v>7</v>
      </c>
      <c r="D436">
        <v>0</v>
      </c>
      <c r="E436" s="21">
        <f>D436/PARAMS_MODELO!$B$28</f>
        <v>0</v>
      </c>
      <c r="F436">
        <v>48</v>
      </c>
      <c r="G436">
        <v>75</v>
      </c>
      <c r="H436">
        <v>5</v>
      </c>
      <c r="I436" s="20">
        <f t="shared" si="6"/>
        <v>6.6666666666666666E-2</v>
      </c>
      <c r="J436" s="21">
        <f>(IFERROR(_xlfn.PERCENTRANK.INC($B$2:$B$1194,B436)*100,0)*PARAMS_MODELO!$B$25)+(IFERROR(_xlfn.PERCENTRANK.INC($C$2:$C$1194,C436)*100,0)*PARAMS_MODELO!$B$26)+(IFERROR(_xlfn.PERCENTRANK.INC($E$2:$E$1194,E436)*100,0)*PARAMS_MODELO!$B$27)+(IFERROR(_xlfn.PERCENTRANK.INC($F$2:$F$1194,F436)*100,0)*PARAMS_MODELO!$B$29)+(IFERROR(_xlfn.PERCENTRANK.INC($I$2:$I$1194,I436)*100,0)*PARAMS_MODELO!$B$31)</f>
        <v>29.68</v>
      </c>
    </row>
    <row r="437" spans="1:10" x14ac:dyDescent="0.3">
      <c r="A437">
        <v>51055888</v>
      </c>
      <c r="B437">
        <v>65</v>
      </c>
      <c r="C437">
        <v>4</v>
      </c>
      <c r="D437">
        <v>34</v>
      </c>
      <c r="E437" s="21">
        <f>D437/PARAMS_MODELO!$B$28</f>
        <v>1.1333333333333333</v>
      </c>
      <c r="F437">
        <v>18</v>
      </c>
      <c r="G437">
        <v>61</v>
      </c>
      <c r="H437">
        <v>11</v>
      </c>
      <c r="I437" s="20">
        <f t="shared" si="6"/>
        <v>0.18032786885245902</v>
      </c>
      <c r="J437" s="21">
        <f>(IFERROR(_xlfn.PERCENTRANK.INC($B$2:$B$1194,B437)*100,0)*PARAMS_MODELO!$B$25)+(IFERROR(_xlfn.PERCENTRANK.INC($C$2:$C$1194,C437)*100,0)*PARAMS_MODELO!$B$26)+(IFERROR(_xlfn.PERCENTRANK.INC($E$2:$E$1194,E437)*100,0)*PARAMS_MODELO!$B$27)+(IFERROR(_xlfn.PERCENTRANK.INC($F$2:$F$1194,F437)*100,0)*PARAMS_MODELO!$B$29)+(IFERROR(_xlfn.PERCENTRANK.INC($I$2:$I$1194,I437)*100,0)*PARAMS_MODELO!$B$31)</f>
        <v>33.654999999999994</v>
      </c>
    </row>
    <row r="438" spans="1:10" x14ac:dyDescent="0.3">
      <c r="A438">
        <v>51031881</v>
      </c>
      <c r="B438">
        <v>10</v>
      </c>
      <c r="C438">
        <v>0</v>
      </c>
      <c r="D438">
        <v>71</v>
      </c>
      <c r="E438" s="21">
        <f>D438/PARAMS_MODELO!$B$28</f>
        <v>2.3666666666666667</v>
      </c>
      <c r="F438">
        <v>32</v>
      </c>
      <c r="G438">
        <v>89</v>
      </c>
      <c r="H438">
        <v>80</v>
      </c>
      <c r="I438" s="20">
        <f t="shared" si="6"/>
        <v>0.898876404494382</v>
      </c>
      <c r="J438" s="21">
        <f>(IFERROR(_xlfn.PERCENTRANK.INC($B$2:$B$1194,B438)*100,0)*PARAMS_MODELO!$B$25)+(IFERROR(_xlfn.PERCENTRANK.INC($C$2:$C$1194,C438)*100,0)*PARAMS_MODELO!$B$26)+(IFERROR(_xlfn.PERCENTRANK.INC($E$2:$E$1194,E438)*100,0)*PARAMS_MODELO!$B$27)+(IFERROR(_xlfn.PERCENTRANK.INC($F$2:$F$1194,F438)*100,0)*PARAMS_MODELO!$B$29)+(IFERROR(_xlfn.PERCENTRANK.INC($I$2:$I$1194,I438)*100,0)*PARAMS_MODELO!$B$31)</f>
        <v>30.839999999999996</v>
      </c>
    </row>
    <row r="439" spans="1:10" x14ac:dyDescent="0.3">
      <c r="A439">
        <v>51010060</v>
      </c>
      <c r="B439">
        <v>37</v>
      </c>
      <c r="C439">
        <v>5</v>
      </c>
      <c r="D439">
        <v>84</v>
      </c>
      <c r="E439" s="21">
        <f>D439/PARAMS_MODELO!$B$28</f>
        <v>2.8</v>
      </c>
      <c r="F439">
        <v>43</v>
      </c>
      <c r="G439">
        <v>83</v>
      </c>
      <c r="H439">
        <v>37</v>
      </c>
      <c r="I439" s="20">
        <f t="shared" si="6"/>
        <v>0.44578313253012047</v>
      </c>
      <c r="J439" s="21">
        <f>(IFERROR(_xlfn.PERCENTRANK.INC($B$2:$B$1194,B439)*100,0)*PARAMS_MODELO!$B$25)+(IFERROR(_xlfn.PERCENTRANK.INC($C$2:$C$1194,C439)*100,0)*PARAMS_MODELO!$B$26)+(IFERROR(_xlfn.PERCENTRANK.INC($E$2:$E$1194,E439)*100,0)*PARAMS_MODELO!$B$27)+(IFERROR(_xlfn.PERCENTRANK.INC($F$2:$F$1194,F439)*100,0)*PARAMS_MODELO!$B$29)+(IFERROR(_xlfn.PERCENTRANK.INC($I$2:$I$1194,I439)*100,0)*PARAMS_MODELO!$B$31)</f>
        <v>42.76</v>
      </c>
    </row>
    <row r="440" spans="1:10" x14ac:dyDescent="0.3">
      <c r="A440">
        <v>51056400</v>
      </c>
      <c r="B440">
        <v>70</v>
      </c>
      <c r="C440">
        <v>1</v>
      </c>
      <c r="D440">
        <v>69</v>
      </c>
      <c r="E440" s="21">
        <f>D440/PARAMS_MODELO!$B$28</f>
        <v>2.2999999999999998</v>
      </c>
      <c r="F440">
        <v>99</v>
      </c>
      <c r="G440">
        <v>73</v>
      </c>
      <c r="H440">
        <v>6</v>
      </c>
      <c r="I440" s="20">
        <f t="shared" si="6"/>
        <v>8.2191780821917804E-2</v>
      </c>
      <c r="J440" s="21">
        <f>(IFERROR(_xlfn.PERCENTRANK.INC($B$2:$B$1194,B440)*100,0)*PARAMS_MODELO!$B$25)+(IFERROR(_xlfn.PERCENTRANK.INC($C$2:$C$1194,C440)*100,0)*PARAMS_MODELO!$B$26)+(IFERROR(_xlfn.PERCENTRANK.INC($E$2:$E$1194,E440)*100,0)*PARAMS_MODELO!$B$27)+(IFERROR(_xlfn.PERCENTRANK.INC($F$2:$F$1194,F440)*100,0)*PARAMS_MODELO!$B$29)+(IFERROR(_xlfn.PERCENTRANK.INC($I$2:$I$1194,I440)*100,0)*PARAMS_MODELO!$B$31)</f>
        <v>51.059999999999995</v>
      </c>
    </row>
    <row r="441" spans="1:10" x14ac:dyDescent="0.3">
      <c r="A441">
        <v>51056531</v>
      </c>
      <c r="B441">
        <v>54</v>
      </c>
      <c r="C441">
        <v>22</v>
      </c>
      <c r="D441">
        <v>12</v>
      </c>
      <c r="E441" s="21">
        <f>D441/PARAMS_MODELO!$B$28</f>
        <v>0.4</v>
      </c>
      <c r="F441">
        <v>49</v>
      </c>
      <c r="G441">
        <v>58</v>
      </c>
      <c r="H441">
        <v>32</v>
      </c>
      <c r="I441" s="20">
        <f t="shared" si="6"/>
        <v>0.55172413793103448</v>
      </c>
      <c r="J441" s="21">
        <f>(IFERROR(_xlfn.PERCENTRANK.INC($B$2:$B$1194,B441)*100,0)*PARAMS_MODELO!$B$25)+(IFERROR(_xlfn.PERCENTRANK.INC($C$2:$C$1194,C441)*100,0)*PARAMS_MODELO!$B$26)+(IFERROR(_xlfn.PERCENTRANK.INC($E$2:$E$1194,E441)*100,0)*PARAMS_MODELO!$B$27)+(IFERROR(_xlfn.PERCENTRANK.INC($F$2:$F$1194,F441)*100,0)*PARAMS_MODELO!$B$29)+(IFERROR(_xlfn.PERCENTRANK.INC($I$2:$I$1194,I441)*100,0)*PARAMS_MODELO!$B$31)</f>
        <v>51.714999999999996</v>
      </c>
    </row>
    <row r="442" spans="1:10" x14ac:dyDescent="0.3">
      <c r="A442">
        <v>51011643</v>
      </c>
      <c r="B442">
        <v>48</v>
      </c>
      <c r="C442">
        <v>8</v>
      </c>
      <c r="D442">
        <v>97</v>
      </c>
      <c r="E442" s="21">
        <f>D442/PARAMS_MODELO!$B$28</f>
        <v>3.2333333333333334</v>
      </c>
      <c r="F442">
        <v>5</v>
      </c>
      <c r="G442">
        <v>2</v>
      </c>
      <c r="H442">
        <v>1</v>
      </c>
      <c r="I442" s="20">
        <f t="shared" si="6"/>
        <v>0.5</v>
      </c>
      <c r="J442" s="21">
        <f>(IFERROR(_xlfn.PERCENTRANK.INC($B$2:$B$1194,B442)*100,0)*PARAMS_MODELO!$B$25)+(IFERROR(_xlfn.PERCENTRANK.INC($C$2:$C$1194,C442)*100,0)*PARAMS_MODELO!$B$26)+(IFERROR(_xlfn.PERCENTRANK.INC($E$2:$E$1194,E442)*100,0)*PARAMS_MODELO!$B$27)+(IFERROR(_xlfn.PERCENTRANK.INC($F$2:$F$1194,F442)*100,0)*PARAMS_MODELO!$B$29)+(IFERROR(_xlfn.PERCENTRANK.INC($I$2:$I$1194,I442)*100,0)*PARAMS_MODELO!$B$31)</f>
        <v>46.41</v>
      </c>
    </row>
    <row r="443" spans="1:10" x14ac:dyDescent="0.3">
      <c r="A443">
        <v>51016742</v>
      </c>
      <c r="B443">
        <v>84</v>
      </c>
      <c r="C443">
        <v>24</v>
      </c>
      <c r="D443">
        <v>24</v>
      </c>
      <c r="E443" s="21">
        <f>D443/PARAMS_MODELO!$B$28</f>
        <v>0.8</v>
      </c>
      <c r="F443">
        <v>83</v>
      </c>
      <c r="G443">
        <v>21</v>
      </c>
      <c r="H443">
        <v>3</v>
      </c>
      <c r="I443" s="20">
        <f t="shared" si="6"/>
        <v>0.14285714285714285</v>
      </c>
      <c r="J443" s="21">
        <f>(IFERROR(_xlfn.PERCENTRANK.INC($B$2:$B$1194,B443)*100,0)*PARAMS_MODELO!$B$25)+(IFERROR(_xlfn.PERCENTRANK.INC($C$2:$C$1194,C443)*100,0)*PARAMS_MODELO!$B$26)+(IFERROR(_xlfn.PERCENTRANK.INC($E$2:$E$1194,E443)*100,0)*PARAMS_MODELO!$B$27)+(IFERROR(_xlfn.PERCENTRANK.INC($F$2:$F$1194,F443)*100,0)*PARAMS_MODELO!$B$29)+(IFERROR(_xlfn.PERCENTRANK.INC($I$2:$I$1194,I443)*100,0)*PARAMS_MODELO!$B$31)</f>
        <v>66.075000000000003</v>
      </c>
    </row>
    <row r="444" spans="1:10" x14ac:dyDescent="0.3">
      <c r="A444">
        <v>51010990</v>
      </c>
      <c r="B444">
        <v>79</v>
      </c>
      <c r="C444">
        <v>0</v>
      </c>
      <c r="D444">
        <v>90</v>
      </c>
      <c r="E444" s="21">
        <f>D444/PARAMS_MODELO!$B$28</f>
        <v>3</v>
      </c>
      <c r="F444">
        <v>92</v>
      </c>
      <c r="G444">
        <v>29</v>
      </c>
      <c r="H444">
        <v>15</v>
      </c>
      <c r="I444" s="20">
        <f t="shared" si="6"/>
        <v>0.51724137931034486</v>
      </c>
      <c r="J444" s="21">
        <f>(IFERROR(_xlfn.PERCENTRANK.INC($B$2:$B$1194,B444)*100,0)*PARAMS_MODELO!$B$25)+(IFERROR(_xlfn.PERCENTRANK.INC($C$2:$C$1194,C444)*100,0)*PARAMS_MODELO!$B$26)+(IFERROR(_xlfn.PERCENTRANK.INC($E$2:$E$1194,E444)*100,0)*PARAMS_MODELO!$B$27)+(IFERROR(_xlfn.PERCENTRANK.INC($F$2:$F$1194,F444)*100,0)*PARAMS_MODELO!$B$29)+(IFERROR(_xlfn.PERCENTRANK.INC($I$2:$I$1194,I444)*100,0)*PARAMS_MODELO!$B$31)</f>
        <v>60.13</v>
      </c>
    </row>
    <row r="445" spans="1:10" x14ac:dyDescent="0.3">
      <c r="A445">
        <v>51039998</v>
      </c>
      <c r="B445">
        <v>80</v>
      </c>
      <c r="C445">
        <v>17</v>
      </c>
      <c r="D445">
        <v>61</v>
      </c>
      <c r="E445" s="21">
        <f>D445/PARAMS_MODELO!$B$28</f>
        <v>2.0333333333333332</v>
      </c>
      <c r="F445">
        <v>68</v>
      </c>
      <c r="G445">
        <v>13</v>
      </c>
      <c r="H445">
        <v>0</v>
      </c>
      <c r="I445" s="20">
        <f t="shared" si="6"/>
        <v>0</v>
      </c>
      <c r="J445" s="21">
        <f>(IFERROR(_xlfn.PERCENTRANK.INC($B$2:$B$1194,B445)*100,0)*PARAMS_MODELO!$B$25)+(IFERROR(_xlfn.PERCENTRANK.INC($C$2:$C$1194,C445)*100,0)*PARAMS_MODELO!$B$26)+(IFERROR(_xlfn.PERCENTRANK.INC($E$2:$E$1194,E445)*100,0)*PARAMS_MODELO!$B$27)+(IFERROR(_xlfn.PERCENTRANK.INC($F$2:$F$1194,F445)*100,0)*PARAMS_MODELO!$B$29)+(IFERROR(_xlfn.PERCENTRANK.INC($I$2:$I$1194,I445)*100,0)*PARAMS_MODELO!$B$31)</f>
        <v>61.51</v>
      </c>
    </row>
    <row r="446" spans="1:10" x14ac:dyDescent="0.3">
      <c r="A446">
        <v>51056736</v>
      </c>
      <c r="B446">
        <v>73</v>
      </c>
      <c r="C446">
        <v>24</v>
      </c>
      <c r="D446">
        <v>33</v>
      </c>
      <c r="E446" s="21">
        <f>D446/PARAMS_MODELO!$B$28</f>
        <v>1.1000000000000001</v>
      </c>
      <c r="F446">
        <v>100</v>
      </c>
      <c r="G446">
        <v>83</v>
      </c>
      <c r="H446">
        <v>46</v>
      </c>
      <c r="I446" s="20">
        <f t="shared" si="6"/>
        <v>0.55421686746987953</v>
      </c>
      <c r="J446" s="21">
        <f>(IFERROR(_xlfn.PERCENTRANK.INC($B$2:$B$1194,B446)*100,0)*PARAMS_MODELO!$B$25)+(IFERROR(_xlfn.PERCENTRANK.INC($C$2:$C$1194,C446)*100,0)*PARAMS_MODELO!$B$26)+(IFERROR(_xlfn.PERCENTRANK.INC($E$2:$E$1194,E446)*100,0)*PARAMS_MODELO!$B$27)+(IFERROR(_xlfn.PERCENTRANK.INC($F$2:$F$1194,F446)*100,0)*PARAMS_MODELO!$B$29)+(IFERROR(_xlfn.PERCENTRANK.INC($I$2:$I$1194,I446)*100,0)*PARAMS_MODELO!$B$31)</f>
        <v>71.344999999999999</v>
      </c>
    </row>
    <row r="447" spans="1:10" x14ac:dyDescent="0.3">
      <c r="A447">
        <v>51044436</v>
      </c>
      <c r="B447">
        <v>56</v>
      </c>
      <c r="C447">
        <v>14</v>
      </c>
      <c r="D447">
        <v>10</v>
      </c>
      <c r="E447" s="21">
        <f>D447/PARAMS_MODELO!$B$28</f>
        <v>0.33333333333333331</v>
      </c>
      <c r="F447">
        <v>26</v>
      </c>
      <c r="G447">
        <v>30</v>
      </c>
      <c r="H447">
        <v>22</v>
      </c>
      <c r="I447" s="20">
        <f t="shared" si="6"/>
        <v>0.73333333333333328</v>
      </c>
      <c r="J447" s="21">
        <f>(IFERROR(_xlfn.PERCENTRANK.INC($B$2:$B$1194,B447)*100,0)*PARAMS_MODELO!$B$25)+(IFERROR(_xlfn.PERCENTRANK.INC($C$2:$C$1194,C447)*100,0)*PARAMS_MODELO!$B$26)+(IFERROR(_xlfn.PERCENTRANK.INC($E$2:$E$1194,E447)*100,0)*PARAMS_MODELO!$B$27)+(IFERROR(_xlfn.PERCENTRANK.INC($F$2:$F$1194,F447)*100,0)*PARAMS_MODELO!$B$29)+(IFERROR(_xlfn.PERCENTRANK.INC($I$2:$I$1194,I447)*100,0)*PARAMS_MODELO!$B$31)</f>
        <v>41.860000000000007</v>
      </c>
    </row>
    <row r="448" spans="1:10" x14ac:dyDescent="0.3">
      <c r="A448">
        <v>51017552</v>
      </c>
      <c r="B448">
        <v>5</v>
      </c>
      <c r="C448">
        <v>18</v>
      </c>
      <c r="D448">
        <v>68</v>
      </c>
      <c r="E448" s="21">
        <f>D448/PARAMS_MODELO!$B$28</f>
        <v>2.2666666666666666</v>
      </c>
      <c r="F448">
        <v>90</v>
      </c>
      <c r="G448">
        <v>9</v>
      </c>
      <c r="H448">
        <v>6</v>
      </c>
      <c r="I448" s="20">
        <f t="shared" si="6"/>
        <v>0.66666666666666663</v>
      </c>
      <c r="J448" s="21">
        <f>(IFERROR(_xlfn.PERCENTRANK.INC($B$2:$B$1194,B448)*100,0)*PARAMS_MODELO!$B$25)+(IFERROR(_xlfn.PERCENTRANK.INC($C$2:$C$1194,C448)*100,0)*PARAMS_MODELO!$B$26)+(IFERROR(_xlfn.PERCENTRANK.INC($E$2:$E$1194,E448)*100,0)*PARAMS_MODELO!$B$27)+(IFERROR(_xlfn.PERCENTRANK.INC($F$2:$F$1194,F448)*100,0)*PARAMS_MODELO!$B$29)+(IFERROR(_xlfn.PERCENTRANK.INC($I$2:$I$1194,I448)*100,0)*PARAMS_MODELO!$B$31)</f>
        <v>51.744999999999997</v>
      </c>
    </row>
    <row r="449" spans="1:10" x14ac:dyDescent="0.3">
      <c r="A449">
        <v>51055276</v>
      </c>
      <c r="B449">
        <v>87</v>
      </c>
      <c r="C449">
        <v>1</v>
      </c>
      <c r="D449">
        <v>52</v>
      </c>
      <c r="E449" s="21">
        <f>D449/PARAMS_MODELO!$B$28</f>
        <v>1.7333333333333334</v>
      </c>
      <c r="F449">
        <v>52</v>
      </c>
      <c r="G449">
        <v>56</v>
      </c>
      <c r="H449">
        <v>0</v>
      </c>
      <c r="I449" s="20">
        <f t="shared" si="6"/>
        <v>0</v>
      </c>
      <c r="J449" s="21">
        <f>(IFERROR(_xlfn.PERCENTRANK.INC($B$2:$B$1194,B449)*100,0)*PARAMS_MODELO!$B$25)+(IFERROR(_xlfn.PERCENTRANK.INC($C$2:$C$1194,C449)*100,0)*PARAMS_MODELO!$B$26)+(IFERROR(_xlfn.PERCENTRANK.INC($E$2:$E$1194,E449)*100,0)*PARAMS_MODELO!$B$27)+(IFERROR(_xlfn.PERCENTRANK.INC($F$2:$F$1194,F449)*100,0)*PARAMS_MODELO!$B$29)+(IFERROR(_xlfn.PERCENTRANK.INC($I$2:$I$1194,I449)*100,0)*PARAMS_MODELO!$B$31)</f>
        <v>44.54</v>
      </c>
    </row>
    <row r="450" spans="1:10" x14ac:dyDescent="0.3">
      <c r="A450">
        <v>51020189</v>
      </c>
      <c r="B450">
        <v>73</v>
      </c>
      <c r="C450">
        <v>20</v>
      </c>
      <c r="D450">
        <v>97</v>
      </c>
      <c r="E450" s="21">
        <f>D450/PARAMS_MODELO!$B$28</f>
        <v>3.2333333333333334</v>
      </c>
      <c r="F450">
        <v>1</v>
      </c>
      <c r="G450">
        <v>53</v>
      </c>
      <c r="H450">
        <v>9</v>
      </c>
      <c r="I450" s="20">
        <f t="shared" ref="I450:I513" si="7">IFERROR(H450/G450,0)</f>
        <v>0.16981132075471697</v>
      </c>
      <c r="J450" s="21">
        <f>(IFERROR(_xlfn.PERCENTRANK.INC($B$2:$B$1194,B450)*100,0)*PARAMS_MODELO!$B$25)+(IFERROR(_xlfn.PERCENTRANK.INC($C$2:$C$1194,C450)*100,0)*PARAMS_MODELO!$B$26)+(IFERROR(_xlfn.PERCENTRANK.INC($E$2:$E$1194,E450)*100,0)*PARAMS_MODELO!$B$27)+(IFERROR(_xlfn.PERCENTRANK.INC($F$2:$F$1194,F450)*100,0)*PARAMS_MODELO!$B$29)+(IFERROR(_xlfn.PERCENTRANK.INC($I$2:$I$1194,I450)*100,0)*PARAMS_MODELO!$B$31)</f>
        <v>61.605000000000004</v>
      </c>
    </row>
    <row r="451" spans="1:10" x14ac:dyDescent="0.3">
      <c r="A451">
        <v>51041259</v>
      </c>
      <c r="B451">
        <v>25</v>
      </c>
      <c r="C451">
        <v>4</v>
      </c>
      <c r="D451">
        <v>72</v>
      </c>
      <c r="E451" s="21">
        <f>D451/PARAMS_MODELO!$B$28</f>
        <v>2.4</v>
      </c>
      <c r="F451">
        <v>76</v>
      </c>
      <c r="G451">
        <v>14</v>
      </c>
      <c r="H451">
        <v>3</v>
      </c>
      <c r="I451" s="20">
        <f t="shared" si="7"/>
        <v>0.21428571428571427</v>
      </c>
      <c r="J451" s="21">
        <f>(IFERROR(_xlfn.PERCENTRANK.INC($B$2:$B$1194,B451)*100,0)*PARAMS_MODELO!$B$25)+(IFERROR(_xlfn.PERCENTRANK.INC($C$2:$C$1194,C451)*100,0)*PARAMS_MODELO!$B$26)+(IFERROR(_xlfn.PERCENTRANK.INC($E$2:$E$1194,E451)*100,0)*PARAMS_MODELO!$B$27)+(IFERROR(_xlfn.PERCENTRANK.INC($F$2:$F$1194,F451)*100,0)*PARAMS_MODELO!$B$29)+(IFERROR(_xlfn.PERCENTRANK.INC($I$2:$I$1194,I451)*100,0)*PARAMS_MODELO!$B$31)</f>
        <v>38.884999999999998</v>
      </c>
    </row>
    <row r="452" spans="1:10" x14ac:dyDescent="0.3">
      <c r="A452">
        <v>51022751</v>
      </c>
      <c r="B452">
        <v>36</v>
      </c>
      <c r="C452">
        <v>6</v>
      </c>
      <c r="D452">
        <v>47</v>
      </c>
      <c r="E452" s="21">
        <f>D452/PARAMS_MODELO!$B$28</f>
        <v>1.5666666666666667</v>
      </c>
      <c r="F452">
        <v>66</v>
      </c>
      <c r="G452">
        <v>2</v>
      </c>
      <c r="H452">
        <v>0</v>
      </c>
      <c r="I452" s="20">
        <f t="shared" si="7"/>
        <v>0</v>
      </c>
      <c r="J452" s="21">
        <f>(IFERROR(_xlfn.PERCENTRANK.INC($B$2:$B$1194,B452)*100,0)*PARAMS_MODELO!$B$25)+(IFERROR(_xlfn.PERCENTRANK.INC($C$2:$C$1194,C452)*100,0)*PARAMS_MODELO!$B$26)+(IFERROR(_xlfn.PERCENTRANK.INC($E$2:$E$1194,E452)*100,0)*PARAMS_MODELO!$B$27)+(IFERROR(_xlfn.PERCENTRANK.INC($F$2:$F$1194,F452)*100,0)*PARAMS_MODELO!$B$29)+(IFERROR(_xlfn.PERCENTRANK.INC($I$2:$I$1194,I452)*100,0)*PARAMS_MODELO!$B$31)</f>
        <v>35.075000000000003</v>
      </c>
    </row>
    <row r="453" spans="1:10" x14ac:dyDescent="0.3">
      <c r="A453">
        <v>51016645</v>
      </c>
      <c r="B453">
        <v>61</v>
      </c>
      <c r="C453">
        <v>17</v>
      </c>
      <c r="D453">
        <v>38</v>
      </c>
      <c r="E453" s="21">
        <f>D453/PARAMS_MODELO!$B$28</f>
        <v>1.2666666666666666</v>
      </c>
      <c r="F453">
        <v>23</v>
      </c>
      <c r="G453">
        <v>91</v>
      </c>
      <c r="H453">
        <v>10</v>
      </c>
      <c r="I453" s="20">
        <f t="shared" si="7"/>
        <v>0.10989010989010989</v>
      </c>
      <c r="J453" s="21">
        <f>(IFERROR(_xlfn.PERCENTRANK.INC($B$2:$B$1194,B453)*100,0)*PARAMS_MODELO!$B$25)+(IFERROR(_xlfn.PERCENTRANK.INC($C$2:$C$1194,C453)*100,0)*PARAMS_MODELO!$B$26)+(IFERROR(_xlfn.PERCENTRANK.INC($E$2:$E$1194,E453)*100,0)*PARAMS_MODELO!$B$27)+(IFERROR(_xlfn.PERCENTRANK.INC($F$2:$F$1194,F453)*100,0)*PARAMS_MODELO!$B$29)+(IFERROR(_xlfn.PERCENTRANK.INC($I$2:$I$1194,I453)*100,0)*PARAMS_MODELO!$B$31)</f>
        <v>44.91</v>
      </c>
    </row>
    <row r="454" spans="1:10" x14ac:dyDescent="0.3">
      <c r="A454">
        <v>51011155</v>
      </c>
      <c r="B454">
        <v>99</v>
      </c>
      <c r="C454">
        <v>17</v>
      </c>
      <c r="D454">
        <v>7</v>
      </c>
      <c r="E454" s="21">
        <f>D454/PARAMS_MODELO!$B$28</f>
        <v>0.23333333333333334</v>
      </c>
      <c r="F454">
        <v>10</v>
      </c>
      <c r="G454">
        <v>32</v>
      </c>
      <c r="H454">
        <v>3</v>
      </c>
      <c r="I454" s="20">
        <f t="shared" si="7"/>
        <v>9.375E-2</v>
      </c>
      <c r="J454" s="21">
        <f>(IFERROR(_xlfn.PERCENTRANK.INC($B$2:$B$1194,B454)*100,0)*PARAMS_MODELO!$B$25)+(IFERROR(_xlfn.PERCENTRANK.INC($C$2:$C$1194,C454)*100,0)*PARAMS_MODELO!$B$26)+(IFERROR(_xlfn.PERCENTRANK.INC($E$2:$E$1194,E454)*100,0)*PARAMS_MODELO!$B$27)+(IFERROR(_xlfn.PERCENTRANK.INC($F$2:$F$1194,F454)*100,0)*PARAMS_MODELO!$B$29)+(IFERROR(_xlfn.PERCENTRANK.INC($I$2:$I$1194,I454)*100,0)*PARAMS_MODELO!$B$31)</f>
        <v>48.695</v>
      </c>
    </row>
    <row r="455" spans="1:10" x14ac:dyDescent="0.3">
      <c r="A455">
        <v>51014022</v>
      </c>
      <c r="B455">
        <v>95</v>
      </c>
      <c r="C455">
        <v>23</v>
      </c>
      <c r="D455">
        <v>77</v>
      </c>
      <c r="E455" s="21">
        <f>D455/PARAMS_MODELO!$B$28</f>
        <v>2.5666666666666669</v>
      </c>
      <c r="F455">
        <v>79</v>
      </c>
      <c r="G455">
        <v>55</v>
      </c>
      <c r="H455">
        <v>44</v>
      </c>
      <c r="I455" s="20">
        <f t="shared" si="7"/>
        <v>0.8</v>
      </c>
      <c r="J455" s="21">
        <f>(IFERROR(_xlfn.PERCENTRANK.INC($B$2:$B$1194,B455)*100,0)*PARAMS_MODELO!$B$25)+(IFERROR(_xlfn.PERCENTRANK.INC($C$2:$C$1194,C455)*100,0)*PARAMS_MODELO!$B$26)+(IFERROR(_xlfn.PERCENTRANK.INC($E$2:$E$1194,E455)*100,0)*PARAMS_MODELO!$B$27)+(IFERROR(_xlfn.PERCENTRANK.INC($F$2:$F$1194,F455)*100,0)*PARAMS_MODELO!$B$29)+(IFERROR(_xlfn.PERCENTRANK.INC($I$2:$I$1194,I455)*100,0)*PARAMS_MODELO!$B$31)</f>
        <v>84.750000000000014</v>
      </c>
    </row>
    <row r="456" spans="1:10" x14ac:dyDescent="0.3">
      <c r="A456">
        <v>51018991</v>
      </c>
      <c r="B456">
        <v>38</v>
      </c>
      <c r="C456">
        <v>6</v>
      </c>
      <c r="D456">
        <v>80</v>
      </c>
      <c r="E456" s="21">
        <f>D456/PARAMS_MODELO!$B$28</f>
        <v>2.6666666666666665</v>
      </c>
      <c r="F456">
        <v>45</v>
      </c>
      <c r="G456">
        <v>23</v>
      </c>
      <c r="H456">
        <v>16</v>
      </c>
      <c r="I456" s="20">
        <f t="shared" si="7"/>
        <v>0.69565217391304346</v>
      </c>
      <c r="J456" s="21">
        <f>(IFERROR(_xlfn.PERCENTRANK.INC($B$2:$B$1194,B456)*100,0)*PARAMS_MODELO!$B$25)+(IFERROR(_xlfn.PERCENTRANK.INC($C$2:$C$1194,C456)*100,0)*PARAMS_MODELO!$B$26)+(IFERROR(_xlfn.PERCENTRANK.INC($E$2:$E$1194,E456)*100,0)*PARAMS_MODELO!$B$27)+(IFERROR(_xlfn.PERCENTRANK.INC($F$2:$F$1194,F456)*100,0)*PARAMS_MODELO!$B$29)+(IFERROR(_xlfn.PERCENTRANK.INC($I$2:$I$1194,I456)*100,0)*PARAMS_MODELO!$B$31)</f>
        <v>46.36</v>
      </c>
    </row>
    <row r="457" spans="1:10" x14ac:dyDescent="0.3">
      <c r="A457">
        <v>51030478</v>
      </c>
      <c r="B457">
        <v>1</v>
      </c>
      <c r="C457">
        <v>1</v>
      </c>
      <c r="D457">
        <v>38</v>
      </c>
      <c r="E457" s="21">
        <f>D457/PARAMS_MODELO!$B$28</f>
        <v>1.2666666666666666</v>
      </c>
      <c r="F457">
        <v>92</v>
      </c>
      <c r="G457">
        <v>97</v>
      </c>
      <c r="H457">
        <v>77</v>
      </c>
      <c r="I457" s="20">
        <f t="shared" si="7"/>
        <v>0.79381443298969068</v>
      </c>
      <c r="J457" s="21">
        <f>(IFERROR(_xlfn.PERCENTRANK.INC($B$2:$B$1194,B457)*100,0)*PARAMS_MODELO!$B$25)+(IFERROR(_xlfn.PERCENTRANK.INC($C$2:$C$1194,C457)*100,0)*PARAMS_MODELO!$B$26)+(IFERROR(_xlfn.PERCENTRANK.INC($E$2:$E$1194,E457)*100,0)*PARAMS_MODELO!$B$27)+(IFERROR(_xlfn.PERCENTRANK.INC($F$2:$F$1194,F457)*100,0)*PARAMS_MODELO!$B$29)+(IFERROR(_xlfn.PERCENTRANK.INC($I$2:$I$1194,I457)*100,0)*PARAMS_MODELO!$B$31)</f>
        <v>30.405000000000005</v>
      </c>
    </row>
    <row r="458" spans="1:10" x14ac:dyDescent="0.3">
      <c r="A458">
        <v>51028040</v>
      </c>
      <c r="B458">
        <v>94</v>
      </c>
      <c r="C458">
        <v>0</v>
      </c>
      <c r="D458">
        <v>19</v>
      </c>
      <c r="E458" s="21">
        <f>D458/PARAMS_MODELO!$B$28</f>
        <v>0.6333333333333333</v>
      </c>
      <c r="F458">
        <v>52</v>
      </c>
      <c r="G458">
        <v>79</v>
      </c>
      <c r="H458">
        <v>34</v>
      </c>
      <c r="I458" s="20">
        <f t="shared" si="7"/>
        <v>0.43037974683544306</v>
      </c>
      <c r="J458" s="21">
        <f>(IFERROR(_xlfn.PERCENTRANK.INC($B$2:$B$1194,B458)*100,0)*PARAMS_MODELO!$B$25)+(IFERROR(_xlfn.PERCENTRANK.INC($C$2:$C$1194,C458)*100,0)*PARAMS_MODELO!$B$26)+(IFERROR(_xlfn.PERCENTRANK.INC($E$2:$E$1194,E458)*100,0)*PARAMS_MODELO!$B$27)+(IFERROR(_xlfn.PERCENTRANK.INC($F$2:$F$1194,F458)*100,0)*PARAMS_MODELO!$B$29)+(IFERROR(_xlfn.PERCENTRANK.INC($I$2:$I$1194,I458)*100,0)*PARAMS_MODELO!$B$31)</f>
        <v>43.444999999999993</v>
      </c>
    </row>
    <row r="459" spans="1:10" x14ac:dyDescent="0.3">
      <c r="A459">
        <v>51055616</v>
      </c>
      <c r="B459">
        <v>91</v>
      </c>
      <c r="C459">
        <v>14</v>
      </c>
      <c r="D459">
        <v>29</v>
      </c>
      <c r="E459" s="21">
        <f>D459/PARAMS_MODELO!$B$28</f>
        <v>0.96666666666666667</v>
      </c>
      <c r="F459">
        <v>44</v>
      </c>
      <c r="G459">
        <v>74</v>
      </c>
      <c r="H459">
        <v>65</v>
      </c>
      <c r="I459" s="20">
        <f t="shared" si="7"/>
        <v>0.8783783783783784</v>
      </c>
      <c r="J459" s="21">
        <f>(IFERROR(_xlfn.PERCENTRANK.INC($B$2:$B$1194,B459)*100,0)*PARAMS_MODELO!$B$25)+(IFERROR(_xlfn.PERCENTRANK.INC($C$2:$C$1194,C459)*100,0)*PARAMS_MODELO!$B$26)+(IFERROR(_xlfn.PERCENTRANK.INC($E$2:$E$1194,E459)*100,0)*PARAMS_MODELO!$B$27)+(IFERROR(_xlfn.PERCENTRANK.INC($F$2:$F$1194,F459)*100,0)*PARAMS_MODELO!$B$29)+(IFERROR(_xlfn.PERCENTRANK.INC($I$2:$I$1194,I459)*100,0)*PARAMS_MODELO!$B$31)</f>
        <v>60.28</v>
      </c>
    </row>
    <row r="460" spans="1:10" x14ac:dyDescent="0.3">
      <c r="A460">
        <v>51036239</v>
      </c>
      <c r="B460">
        <v>36</v>
      </c>
      <c r="C460">
        <v>13</v>
      </c>
      <c r="D460">
        <v>66</v>
      </c>
      <c r="E460" s="21">
        <f>D460/PARAMS_MODELO!$B$28</f>
        <v>2.2000000000000002</v>
      </c>
      <c r="F460">
        <v>27</v>
      </c>
      <c r="G460">
        <v>69</v>
      </c>
      <c r="H460">
        <v>32</v>
      </c>
      <c r="I460" s="20">
        <f t="shared" si="7"/>
        <v>0.46376811594202899</v>
      </c>
      <c r="J460" s="21">
        <f>(IFERROR(_xlfn.PERCENTRANK.INC($B$2:$B$1194,B460)*100,0)*PARAMS_MODELO!$B$25)+(IFERROR(_xlfn.PERCENTRANK.INC($C$2:$C$1194,C460)*100,0)*PARAMS_MODELO!$B$26)+(IFERROR(_xlfn.PERCENTRANK.INC($E$2:$E$1194,E460)*100,0)*PARAMS_MODELO!$B$27)+(IFERROR(_xlfn.PERCENTRANK.INC($F$2:$F$1194,F460)*100,0)*PARAMS_MODELO!$B$29)+(IFERROR(_xlfn.PERCENTRANK.INC($I$2:$I$1194,I460)*100,0)*PARAMS_MODELO!$B$31)</f>
        <v>43.825000000000003</v>
      </c>
    </row>
    <row r="461" spans="1:10" x14ac:dyDescent="0.3">
      <c r="A461">
        <v>51025873</v>
      </c>
      <c r="B461">
        <v>99</v>
      </c>
      <c r="C461">
        <v>8</v>
      </c>
      <c r="D461">
        <v>46</v>
      </c>
      <c r="E461" s="21">
        <f>D461/PARAMS_MODELO!$B$28</f>
        <v>1.5333333333333334</v>
      </c>
      <c r="F461">
        <v>42</v>
      </c>
      <c r="G461">
        <v>82</v>
      </c>
      <c r="H461">
        <v>43</v>
      </c>
      <c r="I461" s="20">
        <f t="shared" si="7"/>
        <v>0.52439024390243905</v>
      </c>
      <c r="J461" s="21">
        <f>(IFERROR(_xlfn.PERCENTRANK.INC($B$2:$B$1194,B461)*100,0)*PARAMS_MODELO!$B$25)+(IFERROR(_xlfn.PERCENTRANK.INC($C$2:$C$1194,C461)*100,0)*PARAMS_MODELO!$B$26)+(IFERROR(_xlfn.PERCENTRANK.INC($E$2:$E$1194,E461)*100,0)*PARAMS_MODELO!$B$27)+(IFERROR(_xlfn.PERCENTRANK.INC($F$2:$F$1194,F461)*100,0)*PARAMS_MODELO!$B$29)+(IFERROR(_xlfn.PERCENTRANK.INC($I$2:$I$1194,I461)*100,0)*PARAMS_MODELO!$B$31)</f>
        <v>57.589999999999996</v>
      </c>
    </row>
    <row r="462" spans="1:10" x14ac:dyDescent="0.3">
      <c r="A462">
        <v>51034155</v>
      </c>
      <c r="B462">
        <v>61</v>
      </c>
      <c r="C462">
        <v>1</v>
      </c>
      <c r="D462">
        <v>16</v>
      </c>
      <c r="E462" s="21">
        <f>D462/PARAMS_MODELO!$B$28</f>
        <v>0.53333333333333333</v>
      </c>
      <c r="F462">
        <v>52</v>
      </c>
      <c r="G462">
        <v>72</v>
      </c>
      <c r="H462">
        <v>6</v>
      </c>
      <c r="I462" s="20">
        <f t="shared" si="7"/>
        <v>8.3333333333333329E-2</v>
      </c>
      <c r="J462" s="21">
        <f>(IFERROR(_xlfn.PERCENTRANK.INC($B$2:$B$1194,B462)*100,0)*PARAMS_MODELO!$B$25)+(IFERROR(_xlfn.PERCENTRANK.INC($C$2:$C$1194,C462)*100,0)*PARAMS_MODELO!$B$26)+(IFERROR(_xlfn.PERCENTRANK.INC($E$2:$E$1194,E462)*100,0)*PARAMS_MODELO!$B$27)+(IFERROR(_xlfn.PERCENTRANK.INC($F$2:$F$1194,F462)*100,0)*PARAMS_MODELO!$B$29)+(IFERROR(_xlfn.PERCENTRANK.INC($I$2:$I$1194,I462)*100,0)*PARAMS_MODELO!$B$31)</f>
        <v>30.449999999999996</v>
      </c>
    </row>
    <row r="463" spans="1:10" x14ac:dyDescent="0.3">
      <c r="A463">
        <v>51021207</v>
      </c>
      <c r="B463">
        <v>6</v>
      </c>
      <c r="C463">
        <v>21</v>
      </c>
      <c r="D463">
        <v>89</v>
      </c>
      <c r="E463" s="21">
        <f>D463/PARAMS_MODELO!$B$28</f>
        <v>2.9666666666666668</v>
      </c>
      <c r="F463">
        <v>65</v>
      </c>
      <c r="G463">
        <v>9</v>
      </c>
      <c r="H463">
        <v>4</v>
      </c>
      <c r="I463" s="20">
        <f t="shared" si="7"/>
        <v>0.44444444444444442</v>
      </c>
      <c r="J463" s="21">
        <f>(IFERROR(_xlfn.PERCENTRANK.INC($B$2:$B$1194,B463)*100,0)*PARAMS_MODELO!$B$25)+(IFERROR(_xlfn.PERCENTRANK.INC($C$2:$C$1194,C463)*100,0)*PARAMS_MODELO!$B$26)+(IFERROR(_xlfn.PERCENTRANK.INC($E$2:$E$1194,E463)*100,0)*PARAMS_MODELO!$B$27)+(IFERROR(_xlfn.PERCENTRANK.INC($F$2:$F$1194,F463)*100,0)*PARAMS_MODELO!$B$29)+(IFERROR(_xlfn.PERCENTRANK.INC($I$2:$I$1194,I463)*100,0)*PARAMS_MODELO!$B$31)</f>
        <v>53.3</v>
      </c>
    </row>
    <row r="464" spans="1:10" x14ac:dyDescent="0.3">
      <c r="A464">
        <v>51054831</v>
      </c>
      <c r="B464">
        <v>2</v>
      </c>
      <c r="C464">
        <v>17</v>
      </c>
      <c r="D464">
        <v>43</v>
      </c>
      <c r="E464" s="21">
        <f>D464/PARAMS_MODELO!$B$28</f>
        <v>1.4333333333333333</v>
      </c>
      <c r="F464">
        <v>9</v>
      </c>
      <c r="G464">
        <v>1</v>
      </c>
      <c r="H464">
        <v>0</v>
      </c>
      <c r="I464" s="20">
        <f t="shared" si="7"/>
        <v>0</v>
      </c>
      <c r="J464" s="21">
        <f>(IFERROR(_xlfn.PERCENTRANK.INC($B$2:$B$1194,B464)*100,0)*PARAMS_MODELO!$B$25)+(IFERROR(_xlfn.PERCENTRANK.INC($C$2:$C$1194,C464)*100,0)*PARAMS_MODELO!$B$26)+(IFERROR(_xlfn.PERCENTRANK.INC($E$2:$E$1194,E464)*100,0)*PARAMS_MODELO!$B$27)+(IFERROR(_xlfn.PERCENTRANK.INC($F$2:$F$1194,F464)*100,0)*PARAMS_MODELO!$B$29)+(IFERROR(_xlfn.PERCENTRANK.INC($I$2:$I$1194,I464)*100,0)*PARAMS_MODELO!$B$31)</f>
        <v>25.965000000000003</v>
      </c>
    </row>
    <row r="465" spans="1:10" x14ac:dyDescent="0.3">
      <c r="A465">
        <v>51010051</v>
      </c>
      <c r="B465">
        <v>50</v>
      </c>
      <c r="C465">
        <v>12</v>
      </c>
      <c r="D465">
        <v>90</v>
      </c>
      <c r="E465" s="21">
        <f>D465/PARAMS_MODELO!$B$28</f>
        <v>3</v>
      </c>
      <c r="F465">
        <v>2</v>
      </c>
      <c r="G465">
        <v>94</v>
      </c>
      <c r="H465">
        <v>16</v>
      </c>
      <c r="I465" s="20">
        <f t="shared" si="7"/>
        <v>0.1702127659574468</v>
      </c>
      <c r="J465" s="21">
        <f>(IFERROR(_xlfn.PERCENTRANK.INC($B$2:$B$1194,B465)*100,0)*PARAMS_MODELO!$B$25)+(IFERROR(_xlfn.PERCENTRANK.INC($C$2:$C$1194,C465)*100,0)*PARAMS_MODELO!$B$26)+(IFERROR(_xlfn.PERCENTRANK.INC($E$2:$E$1194,E465)*100,0)*PARAMS_MODELO!$B$27)+(IFERROR(_xlfn.PERCENTRANK.INC($F$2:$F$1194,F465)*100,0)*PARAMS_MODELO!$B$29)+(IFERROR(_xlfn.PERCENTRANK.INC($I$2:$I$1194,I465)*100,0)*PARAMS_MODELO!$B$31)</f>
        <v>46.07</v>
      </c>
    </row>
    <row r="466" spans="1:10" x14ac:dyDescent="0.3">
      <c r="A466">
        <v>51015754</v>
      </c>
      <c r="B466">
        <v>0</v>
      </c>
      <c r="C466">
        <v>23</v>
      </c>
      <c r="D466">
        <v>47</v>
      </c>
      <c r="E466" s="21">
        <f>D466/PARAMS_MODELO!$B$28</f>
        <v>1.5666666666666667</v>
      </c>
      <c r="F466">
        <v>20</v>
      </c>
      <c r="G466">
        <v>76</v>
      </c>
      <c r="H466">
        <v>71</v>
      </c>
      <c r="I466" s="20">
        <f t="shared" si="7"/>
        <v>0.93421052631578949</v>
      </c>
      <c r="J466" s="21">
        <f>(IFERROR(_xlfn.PERCENTRANK.INC($B$2:$B$1194,B466)*100,0)*PARAMS_MODELO!$B$25)+(IFERROR(_xlfn.PERCENTRANK.INC($C$2:$C$1194,C466)*100,0)*PARAMS_MODELO!$B$26)+(IFERROR(_xlfn.PERCENTRANK.INC($E$2:$E$1194,E466)*100,0)*PARAMS_MODELO!$B$27)+(IFERROR(_xlfn.PERCENTRANK.INC($F$2:$F$1194,F466)*100,0)*PARAMS_MODELO!$B$29)+(IFERROR(_xlfn.PERCENTRANK.INC($I$2:$I$1194,I466)*100,0)*PARAMS_MODELO!$B$31)</f>
        <v>42.955000000000005</v>
      </c>
    </row>
    <row r="467" spans="1:10" x14ac:dyDescent="0.3">
      <c r="A467">
        <v>51023528</v>
      </c>
      <c r="B467">
        <v>16</v>
      </c>
      <c r="C467">
        <v>18</v>
      </c>
      <c r="D467">
        <v>18</v>
      </c>
      <c r="E467" s="21">
        <f>D467/PARAMS_MODELO!$B$28</f>
        <v>0.6</v>
      </c>
      <c r="F467">
        <v>62</v>
      </c>
      <c r="G467">
        <v>42</v>
      </c>
      <c r="H467">
        <v>21</v>
      </c>
      <c r="I467" s="20">
        <f t="shared" si="7"/>
        <v>0.5</v>
      </c>
      <c r="J467" s="21">
        <f>(IFERROR(_xlfn.PERCENTRANK.INC($B$2:$B$1194,B467)*100,0)*PARAMS_MODELO!$B$25)+(IFERROR(_xlfn.PERCENTRANK.INC($C$2:$C$1194,C467)*100,0)*PARAMS_MODELO!$B$26)+(IFERROR(_xlfn.PERCENTRANK.INC($E$2:$E$1194,E467)*100,0)*PARAMS_MODELO!$B$27)+(IFERROR(_xlfn.PERCENTRANK.INC($F$2:$F$1194,F467)*100,0)*PARAMS_MODELO!$B$29)+(IFERROR(_xlfn.PERCENTRANK.INC($I$2:$I$1194,I467)*100,0)*PARAMS_MODELO!$B$31)</f>
        <v>39.04</v>
      </c>
    </row>
    <row r="468" spans="1:10" x14ac:dyDescent="0.3">
      <c r="A468">
        <v>51013735</v>
      </c>
      <c r="B468">
        <v>30</v>
      </c>
      <c r="C468">
        <v>16</v>
      </c>
      <c r="D468">
        <v>65</v>
      </c>
      <c r="E468" s="21">
        <f>D468/PARAMS_MODELO!$B$28</f>
        <v>2.1666666666666665</v>
      </c>
      <c r="F468">
        <v>96</v>
      </c>
      <c r="G468">
        <v>39</v>
      </c>
      <c r="H468">
        <v>37</v>
      </c>
      <c r="I468" s="20">
        <f t="shared" si="7"/>
        <v>0.94871794871794868</v>
      </c>
      <c r="J468" s="21">
        <f>(IFERROR(_xlfn.PERCENTRANK.INC($B$2:$B$1194,B468)*100,0)*PARAMS_MODELO!$B$25)+(IFERROR(_xlfn.PERCENTRANK.INC($C$2:$C$1194,C468)*100,0)*PARAMS_MODELO!$B$26)+(IFERROR(_xlfn.PERCENTRANK.INC($E$2:$E$1194,E468)*100,0)*PARAMS_MODELO!$B$27)+(IFERROR(_xlfn.PERCENTRANK.INC($F$2:$F$1194,F468)*100,0)*PARAMS_MODELO!$B$29)+(IFERROR(_xlfn.PERCENTRANK.INC($I$2:$I$1194,I468)*100,0)*PARAMS_MODELO!$B$31)</f>
        <v>60.07</v>
      </c>
    </row>
    <row r="469" spans="1:10" x14ac:dyDescent="0.3">
      <c r="A469">
        <v>51036611</v>
      </c>
      <c r="B469">
        <v>77</v>
      </c>
      <c r="C469">
        <v>22</v>
      </c>
      <c r="D469">
        <v>84</v>
      </c>
      <c r="E469" s="21">
        <f>D469/PARAMS_MODELO!$B$28</f>
        <v>2.8</v>
      </c>
      <c r="F469">
        <v>59</v>
      </c>
      <c r="G469">
        <v>85</v>
      </c>
      <c r="H469">
        <v>34</v>
      </c>
      <c r="I469" s="20">
        <f t="shared" si="7"/>
        <v>0.4</v>
      </c>
      <c r="J469" s="21">
        <f>(IFERROR(_xlfn.PERCENTRANK.INC($B$2:$B$1194,B469)*100,0)*PARAMS_MODELO!$B$25)+(IFERROR(_xlfn.PERCENTRANK.INC($C$2:$C$1194,C469)*100,0)*PARAMS_MODELO!$B$26)+(IFERROR(_xlfn.PERCENTRANK.INC($E$2:$E$1194,E469)*100,0)*PARAMS_MODELO!$B$27)+(IFERROR(_xlfn.PERCENTRANK.INC($F$2:$F$1194,F469)*100,0)*PARAMS_MODELO!$B$29)+(IFERROR(_xlfn.PERCENTRANK.INC($I$2:$I$1194,I469)*100,0)*PARAMS_MODELO!$B$31)</f>
        <v>72.634999999999991</v>
      </c>
    </row>
    <row r="470" spans="1:10" x14ac:dyDescent="0.3">
      <c r="A470">
        <v>51010035</v>
      </c>
      <c r="B470">
        <v>97</v>
      </c>
      <c r="C470">
        <v>6</v>
      </c>
      <c r="D470">
        <v>20</v>
      </c>
      <c r="E470" s="21">
        <f>D470/PARAMS_MODELO!$B$28</f>
        <v>0.66666666666666663</v>
      </c>
      <c r="F470">
        <v>71</v>
      </c>
      <c r="G470">
        <v>16</v>
      </c>
      <c r="H470">
        <v>0</v>
      </c>
      <c r="I470" s="20">
        <f t="shared" si="7"/>
        <v>0</v>
      </c>
      <c r="J470" s="21">
        <f>(IFERROR(_xlfn.PERCENTRANK.INC($B$2:$B$1194,B470)*100,0)*PARAMS_MODELO!$B$25)+(IFERROR(_xlfn.PERCENTRANK.INC($C$2:$C$1194,C470)*100,0)*PARAMS_MODELO!$B$26)+(IFERROR(_xlfn.PERCENTRANK.INC($E$2:$E$1194,E470)*100,0)*PARAMS_MODELO!$B$27)+(IFERROR(_xlfn.PERCENTRANK.INC($F$2:$F$1194,F470)*100,0)*PARAMS_MODELO!$B$29)+(IFERROR(_xlfn.PERCENTRANK.INC($I$2:$I$1194,I470)*100,0)*PARAMS_MODELO!$B$31)</f>
        <v>48.56</v>
      </c>
    </row>
    <row r="471" spans="1:10" x14ac:dyDescent="0.3">
      <c r="A471">
        <v>51035682</v>
      </c>
      <c r="B471">
        <v>7</v>
      </c>
      <c r="C471">
        <v>12</v>
      </c>
      <c r="D471">
        <v>77</v>
      </c>
      <c r="E471" s="21">
        <f>D471/PARAMS_MODELO!$B$28</f>
        <v>2.5666666666666669</v>
      </c>
      <c r="F471">
        <v>87</v>
      </c>
      <c r="G471">
        <v>33</v>
      </c>
      <c r="H471">
        <v>15</v>
      </c>
      <c r="I471" s="20">
        <f t="shared" si="7"/>
        <v>0.45454545454545453</v>
      </c>
      <c r="J471" s="21">
        <f>(IFERROR(_xlfn.PERCENTRANK.INC($B$2:$B$1194,B471)*100,0)*PARAMS_MODELO!$B$25)+(IFERROR(_xlfn.PERCENTRANK.INC($C$2:$C$1194,C471)*100,0)*PARAMS_MODELO!$B$26)+(IFERROR(_xlfn.PERCENTRANK.INC($E$2:$E$1194,E471)*100,0)*PARAMS_MODELO!$B$27)+(IFERROR(_xlfn.PERCENTRANK.INC($F$2:$F$1194,F471)*100,0)*PARAMS_MODELO!$B$29)+(IFERROR(_xlfn.PERCENTRANK.INC($I$2:$I$1194,I471)*100,0)*PARAMS_MODELO!$B$31)</f>
        <v>46.040000000000006</v>
      </c>
    </row>
    <row r="472" spans="1:10" x14ac:dyDescent="0.3">
      <c r="A472">
        <v>51016416</v>
      </c>
      <c r="B472">
        <v>83</v>
      </c>
      <c r="C472">
        <v>11</v>
      </c>
      <c r="D472">
        <v>49</v>
      </c>
      <c r="E472" s="21">
        <f>D472/PARAMS_MODELO!$B$28</f>
        <v>1.6333333333333333</v>
      </c>
      <c r="F472">
        <v>90</v>
      </c>
      <c r="G472">
        <v>54</v>
      </c>
      <c r="H472">
        <v>42</v>
      </c>
      <c r="I472" s="20">
        <f t="shared" si="7"/>
        <v>0.77777777777777779</v>
      </c>
      <c r="J472" s="21">
        <f>(IFERROR(_xlfn.PERCENTRANK.INC($B$2:$B$1194,B472)*100,0)*PARAMS_MODELO!$B$25)+(IFERROR(_xlfn.PERCENTRANK.INC($C$2:$C$1194,C472)*100,0)*PARAMS_MODELO!$B$26)+(IFERROR(_xlfn.PERCENTRANK.INC($E$2:$E$1194,E472)*100,0)*PARAMS_MODELO!$B$27)+(IFERROR(_xlfn.PERCENTRANK.INC($F$2:$F$1194,F472)*100,0)*PARAMS_MODELO!$B$29)+(IFERROR(_xlfn.PERCENTRANK.INC($I$2:$I$1194,I472)*100,0)*PARAMS_MODELO!$B$31)</f>
        <v>65.63</v>
      </c>
    </row>
    <row r="473" spans="1:10" x14ac:dyDescent="0.3">
      <c r="A473">
        <v>51038762</v>
      </c>
      <c r="B473">
        <v>93</v>
      </c>
      <c r="C473">
        <v>24</v>
      </c>
      <c r="D473">
        <v>19</v>
      </c>
      <c r="E473" s="21">
        <f>D473/PARAMS_MODELO!$B$28</f>
        <v>0.6333333333333333</v>
      </c>
      <c r="F473">
        <v>29</v>
      </c>
      <c r="G473">
        <v>71</v>
      </c>
      <c r="H473">
        <v>35</v>
      </c>
      <c r="I473" s="20">
        <f t="shared" si="7"/>
        <v>0.49295774647887325</v>
      </c>
      <c r="J473" s="21">
        <f>(IFERROR(_xlfn.PERCENTRANK.INC($B$2:$B$1194,B473)*100,0)*PARAMS_MODELO!$B$25)+(IFERROR(_xlfn.PERCENTRANK.INC($C$2:$C$1194,C473)*100,0)*PARAMS_MODELO!$B$26)+(IFERROR(_xlfn.PERCENTRANK.INC($E$2:$E$1194,E473)*100,0)*PARAMS_MODELO!$B$27)+(IFERROR(_xlfn.PERCENTRANK.INC($F$2:$F$1194,F473)*100,0)*PARAMS_MODELO!$B$29)+(IFERROR(_xlfn.PERCENTRANK.INC($I$2:$I$1194,I473)*100,0)*PARAMS_MODELO!$B$31)</f>
        <v>62.620000000000005</v>
      </c>
    </row>
    <row r="474" spans="1:10" x14ac:dyDescent="0.3">
      <c r="A474">
        <v>51023307</v>
      </c>
      <c r="B474">
        <v>73</v>
      </c>
      <c r="C474">
        <v>21</v>
      </c>
      <c r="D474">
        <v>100</v>
      </c>
      <c r="E474" s="21">
        <f>D474/PARAMS_MODELO!$B$28</f>
        <v>3.3333333333333335</v>
      </c>
      <c r="F474">
        <v>30</v>
      </c>
      <c r="G474">
        <v>80</v>
      </c>
      <c r="H474">
        <v>37</v>
      </c>
      <c r="I474" s="20">
        <f t="shared" si="7"/>
        <v>0.46250000000000002</v>
      </c>
      <c r="J474" s="21">
        <f>(IFERROR(_xlfn.PERCENTRANK.INC($B$2:$B$1194,B474)*100,0)*PARAMS_MODELO!$B$25)+(IFERROR(_xlfn.PERCENTRANK.INC($C$2:$C$1194,C474)*100,0)*PARAMS_MODELO!$B$26)+(IFERROR(_xlfn.PERCENTRANK.INC($E$2:$E$1194,E474)*100,0)*PARAMS_MODELO!$B$27)+(IFERROR(_xlfn.PERCENTRANK.INC($F$2:$F$1194,F474)*100,0)*PARAMS_MODELO!$B$29)+(IFERROR(_xlfn.PERCENTRANK.INC($I$2:$I$1194,I474)*100,0)*PARAMS_MODELO!$B$31)</f>
        <v>70.2</v>
      </c>
    </row>
    <row r="475" spans="1:10" x14ac:dyDescent="0.3">
      <c r="A475">
        <v>51012062</v>
      </c>
      <c r="B475">
        <v>7</v>
      </c>
      <c r="C475">
        <v>19</v>
      </c>
      <c r="D475">
        <v>42</v>
      </c>
      <c r="E475" s="21">
        <f>D475/PARAMS_MODELO!$B$28</f>
        <v>1.4</v>
      </c>
      <c r="F475">
        <v>9</v>
      </c>
      <c r="G475">
        <v>38</v>
      </c>
      <c r="H475">
        <v>6</v>
      </c>
      <c r="I475" s="20">
        <f t="shared" si="7"/>
        <v>0.15789473684210525</v>
      </c>
      <c r="J475" s="21">
        <f>(IFERROR(_xlfn.PERCENTRANK.INC($B$2:$B$1194,B475)*100,0)*PARAMS_MODELO!$B$25)+(IFERROR(_xlfn.PERCENTRANK.INC($C$2:$C$1194,C475)*100,0)*PARAMS_MODELO!$B$26)+(IFERROR(_xlfn.PERCENTRANK.INC($E$2:$E$1194,E475)*100,0)*PARAMS_MODELO!$B$27)+(IFERROR(_xlfn.PERCENTRANK.INC($F$2:$F$1194,F475)*100,0)*PARAMS_MODELO!$B$29)+(IFERROR(_xlfn.PERCENTRANK.INC($I$2:$I$1194,I475)*100,0)*PARAMS_MODELO!$B$31)</f>
        <v>31.215000000000003</v>
      </c>
    </row>
    <row r="476" spans="1:10" x14ac:dyDescent="0.3">
      <c r="A476">
        <v>51021631</v>
      </c>
      <c r="B476">
        <v>64</v>
      </c>
      <c r="C476">
        <v>11</v>
      </c>
      <c r="D476">
        <v>97</v>
      </c>
      <c r="E476" s="21">
        <f>D476/PARAMS_MODELO!$B$28</f>
        <v>3.2333333333333334</v>
      </c>
      <c r="F476">
        <v>12</v>
      </c>
      <c r="G476">
        <v>25</v>
      </c>
      <c r="H476">
        <v>2</v>
      </c>
      <c r="I476" s="20">
        <f t="shared" si="7"/>
        <v>0.08</v>
      </c>
      <c r="J476" s="21">
        <f>(IFERROR(_xlfn.PERCENTRANK.INC($B$2:$B$1194,B476)*100,0)*PARAMS_MODELO!$B$25)+(IFERROR(_xlfn.PERCENTRANK.INC($C$2:$C$1194,C476)*100,0)*PARAMS_MODELO!$B$26)+(IFERROR(_xlfn.PERCENTRANK.INC($E$2:$E$1194,E476)*100,0)*PARAMS_MODELO!$B$27)+(IFERROR(_xlfn.PERCENTRANK.INC($F$2:$F$1194,F476)*100,0)*PARAMS_MODELO!$B$29)+(IFERROR(_xlfn.PERCENTRANK.INC($I$2:$I$1194,I476)*100,0)*PARAMS_MODELO!$B$31)</f>
        <v>50.269999999999996</v>
      </c>
    </row>
    <row r="477" spans="1:10" x14ac:dyDescent="0.3">
      <c r="A477">
        <v>51008618</v>
      </c>
      <c r="B477">
        <v>38</v>
      </c>
      <c r="C477">
        <v>3</v>
      </c>
      <c r="D477">
        <v>5</v>
      </c>
      <c r="E477" s="21">
        <f>D477/PARAMS_MODELO!$B$28</f>
        <v>0.16666666666666666</v>
      </c>
      <c r="F477">
        <v>78</v>
      </c>
      <c r="G477">
        <v>52</v>
      </c>
      <c r="H477">
        <v>10</v>
      </c>
      <c r="I477" s="20">
        <f t="shared" si="7"/>
        <v>0.19230769230769232</v>
      </c>
      <c r="J477" s="21">
        <f>(IFERROR(_xlfn.PERCENTRANK.INC($B$2:$B$1194,B477)*100,0)*PARAMS_MODELO!$B$25)+(IFERROR(_xlfn.PERCENTRANK.INC($C$2:$C$1194,C477)*100,0)*PARAMS_MODELO!$B$26)+(IFERROR(_xlfn.PERCENTRANK.INC($E$2:$E$1194,E477)*100,0)*PARAMS_MODELO!$B$27)+(IFERROR(_xlfn.PERCENTRANK.INC($F$2:$F$1194,F477)*100,0)*PARAMS_MODELO!$B$29)+(IFERROR(_xlfn.PERCENTRANK.INC($I$2:$I$1194,I477)*100,0)*PARAMS_MODELO!$B$31)</f>
        <v>28.994999999999997</v>
      </c>
    </row>
    <row r="478" spans="1:10" x14ac:dyDescent="0.3">
      <c r="A478">
        <v>51010574</v>
      </c>
      <c r="B478">
        <v>80</v>
      </c>
      <c r="C478">
        <v>22</v>
      </c>
      <c r="D478">
        <v>99</v>
      </c>
      <c r="E478" s="21">
        <f>D478/PARAMS_MODELO!$B$28</f>
        <v>3.3</v>
      </c>
      <c r="F478">
        <v>50</v>
      </c>
      <c r="G478">
        <v>98</v>
      </c>
      <c r="H478">
        <v>60</v>
      </c>
      <c r="I478" s="20">
        <f t="shared" si="7"/>
        <v>0.61224489795918369</v>
      </c>
      <c r="J478" s="21">
        <f>(IFERROR(_xlfn.PERCENTRANK.INC($B$2:$B$1194,B478)*100,0)*PARAMS_MODELO!$B$25)+(IFERROR(_xlfn.PERCENTRANK.INC($C$2:$C$1194,C478)*100,0)*PARAMS_MODELO!$B$26)+(IFERROR(_xlfn.PERCENTRANK.INC($E$2:$E$1194,E478)*100,0)*PARAMS_MODELO!$B$27)+(IFERROR(_xlfn.PERCENTRANK.INC($F$2:$F$1194,F478)*100,0)*PARAMS_MODELO!$B$29)+(IFERROR(_xlfn.PERCENTRANK.INC($I$2:$I$1194,I478)*100,0)*PARAMS_MODELO!$B$31)</f>
        <v>77.539999999999992</v>
      </c>
    </row>
    <row r="479" spans="1:10" x14ac:dyDescent="0.3">
      <c r="A479">
        <v>51056493</v>
      </c>
      <c r="B479">
        <v>89</v>
      </c>
      <c r="C479">
        <v>21</v>
      </c>
      <c r="D479">
        <v>7</v>
      </c>
      <c r="E479" s="21">
        <f>D479/PARAMS_MODELO!$B$28</f>
        <v>0.23333333333333334</v>
      </c>
      <c r="F479">
        <v>35</v>
      </c>
      <c r="G479">
        <v>57</v>
      </c>
      <c r="H479">
        <v>43</v>
      </c>
      <c r="I479" s="20">
        <f t="shared" si="7"/>
        <v>0.75438596491228072</v>
      </c>
      <c r="J479" s="21">
        <f>(IFERROR(_xlfn.PERCENTRANK.INC($B$2:$B$1194,B479)*100,0)*PARAMS_MODELO!$B$25)+(IFERROR(_xlfn.PERCENTRANK.INC($C$2:$C$1194,C479)*100,0)*PARAMS_MODELO!$B$26)+(IFERROR(_xlfn.PERCENTRANK.INC($E$2:$E$1194,E479)*100,0)*PARAMS_MODELO!$B$27)+(IFERROR(_xlfn.PERCENTRANK.INC($F$2:$F$1194,F479)*100,0)*PARAMS_MODELO!$B$29)+(IFERROR(_xlfn.PERCENTRANK.INC($I$2:$I$1194,I479)*100,0)*PARAMS_MODELO!$B$31)</f>
        <v>59.754999999999995</v>
      </c>
    </row>
    <row r="480" spans="1:10" x14ac:dyDescent="0.3">
      <c r="A480">
        <v>51024206</v>
      </c>
      <c r="B480">
        <v>43</v>
      </c>
      <c r="C480">
        <v>5</v>
      </c>
      <c r="D480">
        <v>16</v>
      </c>
      <c r="E480" s="21">
        <f>D480/PARAMS_MODELO!$B$28</f>
        <v>0.53333333333333333</v>
      </c>
      <c r="F480">
        <v>98</v>
      </c>
      <c r="G480">
        <v>25</v>
      </c>
      <c r="H480">
        <v>4</v>
      </c>
      <c r="I480" s="20">
        <f t="shared" si="7"/>
        <v>0.16</v>
      </c>
      <c r="J480" s="21">
        <f>(IFERROR(_xlfn.PERCENTRANK.INC($B$2:$B$1194,B480)*100,0)*PARAMS_MODELO!$B$25)+(IFERROR(_xlfn.PERCENTRANK.INC($C$2:$C$1194,C480)*100,0)*PARAMS_MODELO!$B$26)+(IFERROR(_xlfn.PERCENTRANK.INC($E$2:$E$1194,E480)*100,0)*PARAMS_MODELO!$B$27)+(IFERROR(_xlfn.PERCENTRANK.INC($F$2:$F$1194,F480)*100,0)*PARAMS_MODELO!$B$29)+(IFERROR(_xlfn.PERCENTRANK.INC($I$2:$I$1194,I480)*100,0)*PARAMS_MODELO!$B$31)</f>
        <v>36.594999999999992</v>
      </c>
    </row>
    <row r="481" spans="1:10" x14ac:dyDescent="0.3">
      <c r="A481">
        <v>51056442</v>
      </c>
      <c r="B481">
        <v>74</v>
      </c>
      <c r="C481">
        <v>1</v>
      </c>
      <c r="D481">
        <v>23</v>
      </c>
      <c r="E481" s="21">
        <f>D481/PARAMS_MODELO!$B$28</f>
        <v>0.76666666666666672</v>
      </c>
      <c r="F481">
        <v>66</v>
      </c>
      <c r="G481">
        <v>4</v>
      </c>
      <c r="H481">
        <v>0</v>
      </c>
      <c r="I481" s="20">
        <f t="shared" si="7"/>
        <v>0</v>
      </c>
      <c r="J481" s="21">
        <f>(IFERROR(_xlfn.PERCENTRANK.INC($B$2:$B$1194,B481)*100,0)*PARAMS_MODELO!$B$25)+(IFERROR(_xlfn.PERCENTRANK.INC($C$2:$C$1194,C481)*100,0)*PARAMS_MODELO!$B$26)+(IFERROR(_xlfn.PERCENTRANK.INC($E$2:$E$1194,E481)*100,0)*PARAMS_MODELO!$B$27)+(IFERROR(_xlfn.PERCENTRANK.INC($F$2:$F$1194,F481)*100,0)*PARAMS_MODELO!$B$29)+(IFERROR(_xlfn.PERCENTRANK.INC($I$2:$I$1194,I481)*100,0)*PARAMS_MODELO!$B$31)</f>
        <v>37.144999999999996</v>
      </c>
    </row>
    <row r="482" spans="1:10" x14ac:dyDescent="0.3">
      <c r="A482">
        <v>51033621</v>
      </c>
      <c r="B482">
        <v>31</v>
      </c>
      <c r="C482">
        <v>3</v>
      </c>
      <c r="D482">
        <v>20</v>
      </c>
      <c r="E482" s="21">
        <f>D482/PARAMS_MODELO!$B$28</f>
        <v>0.66666666666666663</v>
      </c>
      <c r="F482">
        <v>60</v>
      </c>
      <c r="G482">
        <v>43</v>
      </c>
      <c r="H482">
        <v>37</v>
      </c>
      <c r="I482" s="20">
        <f t="shared" si="7"/>
        <v>0.86046511627906974</v>
      </c>
      <c r="J482" s="21">
        <f>(IFERROR(_xlfn.PERCENTRANK.INC($B$2:$B$1194,B482)*100,0)*PARAMS_MODELO!$B$25)+(IFERROR(_xlfn.PERCENTRANK.INC($C$2:$C$1194,C482)*100,0)*PARAMS_MODELO!$B$26)+(IFERROR(_xlfn.PERCENTRANK.INC($E$2:$E$1194,E482)*100,0)*PARAMS_MODELO!$B$27)+(IFERROR(_xlfn.PERCENTRANK.INC($F$2:$F$1194,F482)*100,0)*PARAMS_MODELO!$B$29)+(IFERROR(_xlfn.PERCENTRANK.INC($I$2:$I$1194,I482)*100,0)*PARAMS_MODELO!$B$31)</f>
        <v>33.5</v>
      </c>
    </row>
    <row r="483" spans="1:10" x14ac:dyDescent="0.3">
      <c r="A483">
        <v>51016394</v>
      </c>
      <c r="B483">
        <v>26</v>
      </c>
      <c r="C483">
        <v>25</v>
      </c>
      <c r="D483">
        <v>52</v>
      </c>
      <c r="E483" s="21">
        <f>D483/PARAMS_MODELO!$B$28</f>
        <v>1.7333333333333334</v>
      </c>
      <c r="F483">
        <v>19</v>
      </c>
      <c r="G483">
        <v>61</v>
      </c>
      <c r="H483">
        <v>0</v>
      </c>
      <c r="I483" s="20">
        <f t="shared" si="7"/>
        <v>0</v>
      </c>
      <c r="J483" s="21">
        <f>(IFERROR(_xlfn.PERCENTRANK.INC($B$2:$B$1194,B483)*100,0)*PARAMS_MODELO!$B$25)+(IFERROR(_xlfn.PERCENTRANK.INC($C$2:$C$1194,C483)*100,0)*PARAMS_MODELO!$B$26)+(IFERROR(_xlfn.PERCENTRANK.INC($E$2:$E$1194,E483)*100,0)*PARAMS_MODELO!$B$27)+(IFERROR(_xlfn.PERCENTRANK.INC($F$2:$F$1194,F483)*100,0)*PARAMS_MODELO!$B$29)+(IFERROR(_xlfn.PERCENTRANK.INC($I$2:$I$1194,I483)*100,0)*PARAMS_MODELO!$B$31)</f>
        <v>44.1</v>
      </c>
    </row>
    <row r="484" spans="1:10" x14ac:dyDescent="0.3">
      <c r="A484">
        <v>51001389</v>
      </c>
      <c r="B484">
        <v>70</v>
      </c>
      <c r="C484">
        <v>14</v>
      </c>
      <c r="D484">
        <v>79</v>
      </c>
      <c r="E484" s="21">
        <f>D484/PARAMS_MODELO!$B$28</f>
        <v>2.6333333333333333</v>
      </c>
      <c r="F484">
        <v>64</v>
      </c>
      <c r="G484">
        <v>68</v>
      </c>
      <c r="H484">
        <v>56</v>
      </c>
      <c r="I484" s="20">
        <f t="shared" si="7"/>
        <v>0.82352941176470584</v>
      </c>
      <c r="J484" s="21">
        <f>(IFERROR(_xlfn.PERCENTRANK.INC($B$2:$B$1194,B484)*100,0)*PARAMS_MODELO!$B$25)+(IFERROR(_xlfn.PERCENTRANK.INC($C$2:$C$1194,C484)*100,0)*PARAMS_MODELO!$B$26)+(IFERROR(_xlfn.PERCENTRANK.INC($E$2:$E$1194,E484)*100,0)*PARAMS_MODELO!$B$27)+(IFERROR(_xlfn.PERCENTRANK.INC($F$2:$F$1194,F484)*100,0)*PARAMS_MODELO!$B$29)+(IFERROR(_xlfn.PERCENTRANK.INC($I$2:$I$1194,I484)*100,0)*PARAMS_MODELO!$B$31)</f>
        <v>67.16</v>
      </c>
    </row>
    <row r="485" spans="1:10" x14ac:dyDescent="0.3">
      <c r="A485">
        <v>51042891</v>
      </c>
      <c r="B485">
        <v>91</v>
      </c>
      <c r="C485">
        <v>2</v>
      </c>
      <c r="D485">
        <v>55</v>
      </c>
      <c r="E485" s="21">
        <f>D485/PARAMS_MODELO!$B$28</f>
        <v>1.8333333333333333</v>
      </c>
      <c r="F485">
        <v>7</v>
      </c>
      <c r="G485">
        <v>34</v>
      </c>
      <c r="H485">
        <v>19</v>
      </c>
      <c r="I485" s="20">
        <f t="shared" si="7"/>
        <v>0.55882352941176472</v>
      </c>
      <c r="J485" s="21">
        <f>(IFERROR(_xlfn.PERCENTRANK.INC($B$2:$B$1194,B485)*100,0)*PARAMS_MODELO!$B$25)+(IFERROR(_xlfn.PERCENTRANK.INC($C$2:$C$1194,C485)*100,0)*PARAMS_MODELO!$B$26)+(IFERROR(_xlfn.PERCENTRANK.INC($E$2:$E$1194,E485)*100,0)*PARAMS_MODELO!$B$27)+(IFERROR(_xlfn.PERCENTRANK.INC($F$2:$F$1194,F485)*100,0)*PARAMS_MODELO!$B$29)+(IFERROR(_xlfn.PERCENTRANK.INC($I$2:$I$1194,I485)*100,0)*PARAMS_MODELO!$B$31)</f>
        <v>46.28</v>
      </c>
    </row>
    <row r="486" spans="1:10" x14ac:dyDescent="0.3">
      <c r="A486">
        <v>51055411</v>
      </c>
      <c r="B486">
        <v>57</v>
      </c>
      <c r="C486">
        <v>2</v>
      </c>
      <c r="D486">
        <v>54</v>
      </c>
      <c r="E486" s="21">
        <f>D486/PARAMS_MODELO!$B$28</f>
        <v>1.8</v>
      </c>
      <c r="F486">
        <v>72</v>
      </c>
      <c r="G486">
        <v>80</v>
      </c>
      <c r="H486">
        <v>45</v>
      </c>
      <c r="I486" s="20">
        <f t="shared" si="7"/>
        <v>0.5625</v>
      </c>
      <c r="J486" s="21">
        <f>(IFERROR(_xlfn.PERCENTRANK.INC($B$2:$B$1194,B486)*100,0)*PARAMS_MODELO!$B$25)+(IFERROR(_xlfn.PERCENTRANK.INC($C$2:$C$1194,C486)*100,0)*PARAMS_MODELO!$B$26)+(IFERROR(_xlfn.PERCENTRANK.INC($E$2:$E$1194,E486)*100,0)*PARAMS_MODELO!$B$27)+(IFERROR(_xlfn.PERCENTRANK.INC($F$2:$F$1194,F486)*100,0)*PARAMS_MODELO!$B$29)+(IFERROR(_xlfn.PERCENTRANK.INC($I$2:$I$1194,I486)*100,0)*PARAMS_MODELO!$B$31)</f>
        <v>45.79</v>
      </c>
    </row>
    <row r="487" spans="1:10" x14ac:dyDescent="0.3">
      <c r="A487">
        <v>51038657</v>
      </c>
      <c r="B487">
        <v>64</v>
      </c>
      <c r="C487">
        <v>16</v>
      </c>
      <c r="D487">
        <v>88</v>
      </c>
      <c r="E487" s="21">
        <f>D487/PARAMS_MODELO!$B$28</f>
        <v>2.9333333333333331</v>
      </c>
      <c r="F487">
        <v>15</v>
      </c>
      <c r="G487">
        <v>100</v>
      </c>
      <c r="H487">
        <v>97</v>
      </c>
      <c r="I487" s="20">
        <f t="shared" si="7"/>
        <v>0.97</v>
      </c>
      <c r="J487" s="21">
        <f>(IFERROR(_xlfn.PERCENTRANK.INC($B$2:$B$1194,B487)*100,0)*PARAMS_MODELO!$B$25)+(IFERROR(_xlfn.PERCENTRANK.INC($C$2:$C$1194,C487)*100,0)*PARAMS_MODELO!$B$26)+(IFERROR(_xlfn.PERCENTRANK.INC($E$2:$E$1194,E487)*100,0)*PARAMS_MODELO!$B$27)+(IFERROR(_xlfn.PERCENTRANK.INC($F$2:$F$1194,F487)*100,0)*PARAMS_MODELO!$B$29)+(IFERROR(_xlfn.PERCENTRANK.INC($I$2:$I$1194,I487)*100,0)*PARAMS_MODELO!$B$31)</f>
        <v>62.36</v>
      </c>
    </row>
    <row r="488" spans="1:10" x14ac:dyDescent="0.3">
      <c r="A488">
        <v>51055632</v>
      </c>
      <c r="B488">
        <v>10</v>
      </c>
      <c r="C488">
        <v>8</v>
      </c>
      <c r="D488">
        <v>76</v>
      </c>
      <c r="E488" s="21">
        <f>D488/PARAMS_MODELO!$B$28</f>
        <v>2.5333333333333332</v>
      </c>
      <c r="F488">
        <v>99</v>
      </c>
      <c r="G488">
        <v>92</v>
      </c>
      <c r="H488">
        <v>5</v>
      </c>
      <c r="I488" s="20">
        <f t="shared" si="7"/>
        <v>5.434782608695652E-2</v>
      </c>
      <c r="J488" s="21">
        <f>(IFERROR(_xlfn.PERCENTRANK.INC($B$2:$B$1194,B488)*100,0)*PARAMS_MODELO!$B$25)+(IFERROR(_xlfn.PERCENTRANK.INC($C$2:$C$1194,C488)*100,0)*PARAMS_MODELO!$B$26)+(IFERROR(_xlfn.PERCENTRANK.INC($E$2:$E$1194,E488)*100,0)*PARAMS_MODELO!$B$27)+(IFERROR(_xlfn.PERCENTRANK.INC($F$2:$F$1194,F488)*100,0)*PARAMS_MODELO!$B$29)+(IFERROR(_xlfn.PERCENTRANK.INC($I$2:$I$1194,I488)*100,0)*PARAMS_MODELO!$B$31)</f>
        <v>40.92</v>
      </c>
    </row>
    <row r="489" spans="1:10" x14ac:dyDescent="0.3">
      <c r="A489">
        <v>51026799</v>
      </c>
      <c r="B489">
        <v>71</v>
      </c>
      <c r="C489">
        <v>24</v>
      </c>
      <c r="D489">
        <v>57</v>
      </c>
      <c r="E489" s="21">
        <f>D489/PARAMS_MODELO!$B$28</f>
        <v>1.9</v>
      </c>
      <c r="F489">
        <v>64</v>
      </c>
      <c r="G489">
        <v>69</v>
      </c>
      <c r="H489">
        <v>56</v>
      </c>
      <c r="I489" s="20">
        <f t="shared" si="7"/>
        <v>0.81159420289855078</v>
      </c>
      <c r="J489" s="21">
        <f>(IFERROR(_xlfn.PERCENTRANK.INC($B$2:$B$1194,B489)*100,0)*PARAMS_MODELO!$B$25)+(IFERROR(_xlfn.PERCENTRANK.INC($C$2:$C$1194,C489)*100,0)*PARAMS_MODELO!$B$26)+(IFERROR(_xlfn.PERCENTRANK.INC($E$2:$E$1194,E489)*100,0)*PARAMS_MODELO!$B$27)+(IFERROR(_xlfn.PERCENTRANK.INC($F$2:$F$1194,F489)*100,0)*PARAMS_MODELO!$B$29)+(IFERROR(_xlfn.PERCENTRANK.INC($I$2:$I$1194,I489)*100,0)*PARAMS_MODELO!$B$31)</f>
        <v>72.885000000000005</v>
      </c>
    </row>
    <row r="490" spans="1:10" x14ac:dyDescent="0.3">
      <c r="A490">
        <v>51018869</v>
      </c>
      <c r="B490">
        <v>61</v>
      </c>
      <c r="C490">
        <v>12</v>
      </c>
      <c r="D490">
        <v>41</v>
      </c>
      <c r="E490" s="21">
        <f>D490/PARAMS_MODELO!$B$28</f>
        <v>1.3666666666666667</v>
      </c>
      <c r="F490">
        <v>20</v>
      </c>
      <c r="G490">
        <v>3</v>
      </c>
      <c r="H490">
        <v>1</v>
      </c>
      <c r="I490" s="20">
        <f t="shared" si="7"/>
        <v>0.33333333333333331</v>
      </c>
      <c r="J490" s="21">
        <f>(IFERROR(_xlfn.PERCENTRANK.INC($B$2:$B$1194,B490)*100,0)*PARAMS_MODELO!$B$25)+(IFERROR(_xlfn.PERCENTRANK.INC($C$2:$C$1194,C490)*100,0)*PARAMS_MODELO!$B$26)+(IFERROR(_xlfn.PERCENTRANK.INC($E$2:$E$1194,E490)*100,0)*PARAMS_MODELO!$B$27)+(IFERROR(_xlfn.PERCENTRANK.INC($F$2:$F$1194,F490)*100,0)*PARAMS_MODELO!$B$29)+(IFERROR(_xlfn.PERCENTRANK.INC($I$2:$I$1194,I490)*100,0)*PARAMS_MODELO!$B$31)</f>
        <v>42.800000000000004</v>
      </c>
    </row>
    <row r="491" spans="1:10" x14ac:dyDescent="0.3">
      <c r="A491">
        <v>51055144</v>
      </c>
      <c r="B491">
        <v>37</v>
      </c>
      <c r="C491">
        <v>5</v>
      </c>
      <c r="D491">
        <v>34</v>
      </c>
      <c r="E491" s="21">
        <f>D491/PARAMS_MODELO!$B$28</f>
        <v>1.1333333333333333</v>
      </c>
      <c r="F491">
        <v>73</v>
      </c>
      <c r="G491">
        <v>12</v>
      </c>
      <c r="H491">
        <v>0</v>
      </c>
      <c r="I491" s="20">
        <f t="shared" si="7"/>
        <v>0</v>
      </c>
      <c r="J491" s="21">
        <f>(IFERROR(_xlfn.PERCENTRANK.INC($B$2:$B$1194,B491)*100,0)*PARAMS_MODELO!$B$25)+(IFERROR(_xlfn.PERCENTRANK.INC($C$2:$C$1194,C491)*100,0)*PARAMS_MODELO!$B$26)+(IFERROR(_xlfn.PERCENTRANK.INC($E$2:$E$1194,E491)*100,0)*PARAMS_MODELO!$B$27)+(IFERROR(_xlfn.PERCENTRANK.INC($F$2:$F$1194,F491)*100,0)*PARAMS_MODELO!$B$29)+(IFERROR(_xlfn.PERCENTRANK.INC($I$2:$I$1194,I491)*100,0)*PARAMS_MODELO!$B$31)</f>
        <v>32.664999999999999</v>
      </c>
    </row>
    <row r="492" spans="1:10" x14ac:dyDescent="0.3">
      <c r="A492">
        <v>51056884</v>
      </c>
      <c r="B492">
        <v>7</v>
      </c>
      <c r="C492">
        <v>24</v>
      </c>
      <c r="D492">
        <v>44</v>
      </c>
      <c r="E492" s="21">
        <f>D492/PARAMS_MODELO!$B$28</f>
        <v>1.4666666666666666</v>
      </c>
      <c r="F492">
        <v>95</v>
      </c>
      <c r="G492">
        <v>97</v>
      </c>
      <c r="H492">
        <v>91</v>
      </c>
      <c r="I492" s="20">
        <f t="shared" si="7"/>
        <v>0.93814432989690721</v>
      </c>
      <c r="J492" s="21">
        <f>(IFERROR(_xlfn.PERCENTRANK.INC($B$2:$B$1194,B492)*100,0)*PARAMS_MODELO!$B$25)+(IFERROR(_xlfn.PERCENTRANK.INC($C$2:$C$1194,C492)*100,0)*PARAMS_MODELO!$B$26)+(IFERROR(_xlfn.PERCENTRANK.INC($E$2:$E$1194,E492)*100,0)*PARAMS_MODELO!$B$27)+(IFERROR(_xlfn.PERCENTRANK.INC($F$2:$F$1194,F492)*100,0)*PARAMS_MODELO!$B$29)+(IFERROR(_xlfn.PERCENTRANK.INC($I$2:$I$1194,I492)*100,0)*PARAMS_MODELO!$B$31)</f>
        <v>57.1</v>
      </c>
    </row>
    <row r="493" spans="1:10" x14ac:dyDescent="0.3">
      <c r="A493">
        <v>51030443</v>
      </c>
      <c r="B493">
        <v>87</v>
      </c>
      <c r="C493">
        <v>7</v>
      </c>
      <c r="D493">
        <v>70</v>
      </c>
      <c r="E493" s="21">
        <f>D493/PARAMS_MODELO!$B$28</f>
        <v>2.3333333333333335</v>
      </c>
      <c r="F493">
        <v>78</v>
      </c>
      <c r="G493">
        <v>22</v>
      </c>
      <c r="H493">
        <v>15</v>
      </c>
      <c r="I493" s="20">
        <f t="shared" si="7"/>
        <v>0.68181818181818177</v>
      </c>
      <c r="J493" s="21">
        <f>(IFERROR(_xlfn.PERCENTRANK.INC($B$2:$B$1194,B493)*100,0)*PARAMS_MODELO!$B$25)+(IFERROR(_xlfn.PERCENTRANK.INC($C$2:$C$1194,C493)*100,0)*PARAMS_MODELO!$B$26)+(IFERROR(_xlfn.PERCENTRANK.INC($E$2:$E$1194,E493)*100,0)*PARAMS_MODELO!$B$27)+(IFERROR(_xlfn.PERCENTRANK.INC($F$2:$F$1194,F493)*100,0)*PARAMS_MODELO!$B$29)+(IFERROR(_xlfn.PERCENTRANK.INC($I$2:$I$1194,I493)*100,0)*PARAMS_MODELO!$B$31)</f>
        <v>64.344999999999999</v>
      </c>
    </row>
    <row r="494" spans="1:10" x14ac:dyDescent="0.3">
      <c r="A494">
        <v>51016475</v>
      </c>
      <c r="B494">
        <v>0</v>
      </c>
      <c r="C494">
        <v>13</v>
      </c>
      <c r="D494">
        <v>86</v>
      </c>
      <c r="E494" s="21">
        <f>D494/PARAMS_MODELO!$B$28</f>
        <v>2.8666666666666667</v>
      </c>
      <c r="F494">
        <v>74</v>
      </c>
      <c r="G494">
        <v>90</v>
      </c>
      <c r="H494">
        <v>59</v>
      </c>
      <c r="I494" s="20">
        <f t="shared" si="7"/>
        <v>0.65555555555555556</v>
      </c>
      <c r="J494" s="21">
        <f>(IFERROR(_xlfn.PERCENTRANK.INC($B$2:$B$1194,B494)*100,0)*PARAMS_MODELO!$B$25)+(IFERROR(_xlfn.PERCENTRANK.INC($C$2:$C$1194,C494)*100,0)*PARAMS_MODELO!$B$26)+(IFERROR(_xlfn.PERCENTRANK.INC($E$2:$E$1194,E494)*100,0)*PARAMS_MODELO!$B$27)+(IFERROR(_xlfn.PERCENTRANK.INC($F$2:$F$1194,F494)*100,0)*PARAMS_MODELO!$B$29)+(IFERROR(_xlfn.PERCENTRANK.INC($I$2:$I$1194,I494)*100,0)*PARAMS_MODELO!$B$31)</f>
        <v>46.525000000000006</v>
      </c>
    </row>
    <row r="495" spans="1:10" x14ac:dyDescent="0.3">
      <c r="A495">
        <v>51018893</v>
      </c>
      <c r="B495">
        <v>42</v>
      </c>
      <c r="C495">
        <v>16</v>
      </c>
      <c r="D495">
        <v>18</v>
      </c>
      <c r="E495" s="21">
        <f>D495/PARAMS_MODELO!$B$28</f>
        <v>0.6</v>
      </c>
      <c r="F495">
        <v>19</v>
      </c>
      <c r="G495">
        <v>23</v>
      </c>
      <c r="H495">
        <v>8</v>
      </c>
      <c r="I495" s="20">
        <f t="shared" si="7"/>
        <v>0.34782608695652173</v>
      </c>
      <c r="J495" s="21">
        <f>(IFERROR(_xlfn.PERCENTRANK.INC($B$2:$B$1194,B495)*100,0)*PARAMS_MODELO!$B$25)+(IFERROR(_xlfn.PERCENTRANK.INC($C$2:$C$1194,C495)*100,0)*PARAMS_MODELO!$B$26)+(IFERROR(_xlfn.PERCENTRANK.INC($E$2:$E$1194,E495)*100,0)*PARAMS_MODELO!$B$27)+(IFERROR(_xlfn.PERCENTRANK.INC($F$2:$F$1194,F495)*100,0)*PARAMS_MODELO!$B$29)+(IFERROR(_xlfn.PERCENTRANK.INC($I$2:$I$1194,I495)*100,0)*PARAMS_MODELO!$B$31)</f>
        <v>36.544999999999995</v>
      </c>
    </row>
    <row r="496" spans="1:10" x14ac:dyDescent="0.3">
      <c r="A496">
        <v>51039157</v>
      </c>
      <c r="B496">
        <v>63</v>
      </c>
      <c r="C496">
        <v>19</v>
      </c>
      <c r="D496">
        <v>85</v>
      </c>
      <c r="E496" s="21">
        <f>D496/PARAMS_MODELO!$B$28</f>
        <v>2.8333333333333335</v>
      </c>
      <c r="F496">
        <v>67</v>
      </c>
      <c r="G496">
        <v>27</v>
      </c>
      <c r="H496">
        <v>16</v>
      </c>
      <c r="I496" s="20">
        <f t="shared" si="7"/>
        <v>0.59259259259259256</v>
      </c>
      <c r="J496" s="21">
        <f>(IFERROR(_xlfn.PERCENTRANK.INC($B$2:$B$1194,B496)*100,0)*PARAMS_MODELO!$B$25)+(IFERROR(_xlfn.PERCENTRANK.INC($C$2:$C$1194,C496)*100,0)*PARAMS_MODELO!$B$26)+(IFERROR(_xlfn.PERCENTRANK.INC($E$2:$E$1194,E496)*100,0)*PARAMS_MODELO!$B$27)+(IFERROR(_xlfn.PERCENTRANK.INC($F$2:$F$1194,F496)*100,0)*PARAMS_MODELO!$B$29)+(IFERROR(_xlfn.PERCENTRANK.INC($I$2:$I$1194,I496)*100,0)*PARAMS_MODELO!$B$31)</f>
        <v>68.484999999999999</v>
      </c>
    </row>
    <row r="497" spans="1:10" x14ac:dyDescent="0.3">
      <c r="A497">
        <v>51054822</v>
      </c>
      <c r="B497">
        <v>44</v>
      </c>
      <c r="C497">
        <v>18</v>
      </c>
      <c r="D497">
        <v>98</v>
      </c>
      <c r="E497" s="21">
        <f>D497/PARAMS_MODELO!$B$28</f>
        <v>3.2666666666666666</v>
      </c>
      <c r="F497">
        <v>83</v>
      </c>
      <c r="G497">
        <v>57</v>
      </c>
      <c r="H497">
        <v>27</v>
      </c>
      <c r="I497" s="20">
        <f t="shared" si="7"/>
        <v>0.47368421052631576</v>
      </c>
      <c r="J497" s="21">
        <f>(IFERROR(_xlfn.PERCENTRANK.INC($B$2:$B$1194,B497)*100,0)*PARAMS_MODELO!$B$25)+(IFERROR(_xlfn.PERCENTRANK.INC($C$2:$C$1194,C497)*100,0)*PARAMS_MODELO!$B$26)+(IFERROR(_xlfn.PERCENTRANK.INC($E$2:$E$1194,E497)*100,0)*PARAMS_MODELO!$B$27)+(IFERROR(_xlfn.PERCENTRANK.INC($F$2:$F$1194,F497)*100,0)*PARAMS_MODELO!$B$29)+(IFERROR(_xlfn.PERCENTRANK.INC($I$2:$I$1194,I497)*100,0)*PARAMS_MODELO!$B$31)</f>
        <v>66.289999999999992</v>
      </c>
    </row>
    <row r="498" spans="1:10" x14ac:dyDescent="0.3">
      <c r="A498">
        <v>51003390</v>
      </c>
      <c r="B498">
        <v>18</v>
      </c>
      <c r="C498">
        <v>21</v>
      </c>
      <c r="D498">
        <v>33</v>
      </c>
      <c r="E498" s="21">
        <f>D498/PARAMS_MODELO!$B$28</f>
        <v>1.1000000000000001</v>
      </c>
      <c r="F498">
        <v>17</v>
      </c>
      <c r="G498">
        <v>15</v>
      </c>
      <c r="H498">
        <v>5</v>
      </c>
      <c r="I498" s="20">
        <f t="shared" si="7"/>
        <v>0.33333333333333331</v>
      </c>
      <c r="J498" s="21">
        <f>(IFERROR(_xlfn.PERCENTRANK.INC($B$2:$B$1194,B498)*100,0)*PARAMS_MODELO!$B$25)+(IFERROR(_xlfn.PERCENTRANK.INC($C$2:$C$1194,C498)*100,0)*PARAMS_MODELO!$B$26)+(IFERROR(_xlfn.PERCENTRANK.INC($E$2:$E$1194,E498)*100,0)*PARAMS_MODELO!$B$27)+(IFERROR(_xlfn.PERCENTRANK.INC($F$2:$F$1194,F498)*100,0)*PARAMS_MODELO!$B$29)+(IFERROR(_xlfn.PERCENTRANK.INC($I$2:$I$1194,I498)*100,0)*PARAMS_MODELO!$B$31)</f>
        <v>36.675000000000004</v>
      </c>
    </row>
    <row r="499" spans="1:10" x14ac:dyDescent="0.3">
      <c r="A499">
        <v>51056477</v>
      </c>
      <c r="B499">
        <v>69</v>
      </c>
      <c r="C499">
        <v>9</v>
      </c>
      <c r="D499">
        <v>56</v>
      </c>
      <c r="E499" s="21">
        <f>D499/PARAMS_MODELO!$B$28</f>
        <v>1.8666666666666667</v>
      </c>
      <c r="F499">
        <v>33</v>
      </c>
      <c r="G499">
        <v>83</v>
      </c>
      <c r="H499">
        <v>65</v>
      </c>
      <c r="I499" s="20">
        <f t="shared" si="7"/>
        <v>0.7831325301204819</v>
      </c>
      <c r="J499" s="21">
        <f>(IFERROR(_xlfn.PERCENTRANK.INC($B$2:$B$1194,B499)*100,0)*PARAMS_MODELO!$B$25)+(IFERROR(_xlfn.PERCENTRANK.INC($C$2:$C$1194,C499)*100,0)*PARAMS_MODELO!$B$26)+(IFERROR(_xlfn.PERCENTRANK.INC($E$2:$E$1194,E499)*100,0)*PARAMS_MODELO!$B$27)+(IFERROR(_xlfn.PERCENTRANK.INC($F$2:$F$1194,F499)*100,0)*PARAMS_MODELO!$B$29)+(IFERROR(_xlfn.PERCENTRANK.INC($I$2:$I$1194,I499)*100,0)*PARAMS_MODELO!$B$31)</f>
        <v>52.434999999999995</v>
      </c>
    </row>
    <row r="500" spans="1:10" x14ac:dyDescent="0.3">
      <c r="A500">
        <v>51026527</v>
      </c>
      <c r="B500">
        <v>77</v>
      </c>
      <c r="C500">
        <v>5</v>
      </c>
      <c r="D500">
        <v>54</v>
      </c>
      <c r="E500" s="21">
        <f>D500/PARAMS_MODELO!$B$28</f>
        <v>1.8</v>
      </c>
      <c r="F500">
        <v>42</v>
      </c>
      <c r="G500">
        <v>100</v>
      </c>
      <c r="H500">
        <v>19</v>
      </c>
      <c r="I500" s="20">
        <f t="shared" si="7"/>
        <v>0.19</v>
      </c>
      <c r="J500" s="21">
        <f>(IFERROR(_xlfn.PERCENTRANK.INC($B$2:$B$1194,B500)*100,0)*PARAMS_MODELO!$B$25)+(IFERROR(_xlfn.PERCENTRANK.INC($C$2:$C$1194,C500)*100,0)*PARAMS_MODELO!$B$26)+(IFERROR(_xlfn.PERCENTRANK.INC($E$2:$E$1194,E500)*100,0)*PARAMS_MODELO!$B$27)+(IFERROR(_xlfn.PERCENTRANK.INC($F$2:$F$1194,F500)*100,0)*PARAMS_MODELO!$B$29)+(IFERROR(_xlfn.PERCENTRANK.INC($I$2:$I$1194,I500)*100,0)*PARAMS_MODELO!$B$31)</f>
        <v>46.225000000000001</v>
      </c>
    </row>
    <row r="501" spans="1:10" x14ac:dyDescent="0.3">
      <c r="A501">
        <v>51030982</v>
      </c>
      <c r="B501">
        <v>21</v>
      </c>
      <c r="C501">
        <v>19</v>
      </c>
      <c r="D501">
        <v>9</v>
      </c>
      <c r="E501" s="21">
        <f>D501/PARAMS_MODELO!$B$28</f>
        <v>0.3</v>
      </c>
      <c r="F501">
        <v>61</v>
      </c>
      <c r="G501">
        <v>80</v>
      </c>
      <c r="H501">
        <v>46</v>
      </c>
      <c r="I501" s="20">
        <f t="shared" si="7"/>
        <v>0.57499999999999996</v>
      </c>
      <c r="J501" s="21">
        <f>(IFERROR(_xlfn.PERCENTRANK.INC($B$2:$B$1194,B501)*100,0)*PARAMS_MODELO!$B$25)+(IFERROR(_xlfn.PERCENTRANK.INC($C$2:$C$1194,C501)*100,0)*PARAMS_MODELO!$B$26)+(IFERROR(_xlfn.PERCENTRANK.INC($E$2:$E$1194,E501)*100,0)*PARAMS_MODELO!$B$27)+(IFERROR(_xlfn.PERCENTRANK.INC($F$2:$F$1194,F501)*100,0)*PARAMS_MODELO!$B$29)+(IFERROR(_xlfn.PERCENTRANK.INC($I$2:$I$1194,I501)*100,0)*PARAMS_MODELO!$B$31)</f>
        <v>40.22</v>
      </c>
    </row>
    <row r="502" spans="1:10" x14ac:dyDescent="0.3">
      <c r="A502">
        <v>51023196</v>
      </c>
      <c r="B502">
        <v>76</v>
      </c>
      <c r="C502">
        <v>23</v>
      </c>
      <c r="D502">
        <v>78</v>
      </c>
      <c r="E502" s="21">
        <f>D502/PARAMS_MODELO!$B$28</f>
        <v>2.6</v>
      </c>
      <c r="F502">
        <v>6</v>
      </c>
      <c r="G502">
        <v>98</v>
      </c>
      <c r="H502">
        <v>20</v>
      </c>
      <c r="I502" s="20">
        <f t="shared" si="7"/>
        <v>0.20408163265306123</v>
      </c>
      <c r="J502" s="21">
        <f>(IFERROR(_xlfn.PERCENTRANK.INC($B$2:$B$1194,B502)*100,0)*PARAMS_MODELO!$B$25)+(IFERROR(_xlfn.PERCENTRANK.INC($C$2:$C$1194,C502)*100,0)*PARAMS_MODELO!$B$26)+(IFERROR(_xlfn.PERCENTRANK.INC($E$2:$E$1194,E502)*100,0)*PARAMS_MODELO!$B$27)+(IFERROR(_xlfn.PERCENTRANK.INC($F$2:$F$1194,F502)*100,0)*PARAMS_MODELO!$B$29)+(IFERROR(_xlfn.PERCENTRANK.INC($I$2:$I$1194,I502)*100,0)*PARAMS_MODELO!$B$31)</f>
        <v>62.77</v>
      </c>
    </row>
    <row r="503" spans="1:10" x14ac:dyDescent="0.3">
      <c r="A503">
        <v>51014596</v>
      </c>
      <c r="B503">
        <v>16</v>
      </c>
      <c r="C503">
        <v>13</v>
      </c>
      <c r="D503">
        <v>93</v>
      </c>
      <c r="E503" s="21">
        <f>D503/PARAMS_MODELO!$B$28</f>
        <v>3.1</v>
      </c>
      <c r="F503">
        <v>49</v>
      </c>
      <c r="G503">
        <v>32</v>
      </c>
      <c r="H503">
        <v>31</v>
      </c>
      <c r="I503" s="20">
        <f t="shared" si="7"/>
        <v>0.96875</v>
      </c>
      <c r="J503" s="21">
        <f>(IFERROR(_xlfn.PERCENTRANK.INC($B$2:$B$1194,B503)*100,0)*PARAMS_MODELO!$B$25)+(IFERROR(_xlfn.PERCENTRANK.INC($C$2:$C$1194,C503)*100,0)*PARAMS_MODELO!$B$26)+(IFERROR(_xlfn.PERCENTRANK.INC($E$2:$E$1194,E503)*100,0)*PARAMS_MODELO!$B$27)+(IFERROR(_xlfn.PERCENTRANK.INC($F$2:$F$1194,F503)*100,0)*PARAMS_MODELO!$B$29)+(IFERROR(_xlfn.PERCENTRANK.INC($I$2:$I$1194,I503)*100,0)*PARAMS_MODELO!$B$31)</f>
        <v>52.010000000000005</v>
      </c>
    </row>
    <row r="504" spans="1:10" x14ac:dyDescent="0.3">
      <c r="A504">
        <v>51030125</v>
      </c>
      <c r="B504">
        <v>97</v>
      </c>
      <c r="C504">
        <v>14</v>
      </c>
      <c r="D504">
        <v>25</v>
      </c>
      <c r="E504" s="21">
        <f>D504/PARAMS_MODELO!$B$28</f>
        <v>0.83333333333333337</v>
      </c>
      <c r="F504">
        <v>56</v>
      </c>
      <c r="G504">
        <v>93</v>
      </c>
      <c r="H504">
        <v>29</v>
      </c>
      <c r="I504" s="20">
        <f t="shared" si="7"/>
        <v>0.31182795698924731</v>
      </c>
      <c r="J504" s="21">
        <f>(IFERROR(_xlfn.PERCENTRANK.INC($B$2:$B$1194,B504)*100,0)*PARAMS_MODELO!$B$25)+(IFERROR(_xlfn.PERCENTRANK.INC($C$2:$C$1194,C504)*100,0)*PARAMS_MODELO!$B$26)+(IFERROR(_xlfn.PERCENTRANK.INC($E$2:$E$1194,E504)*100,0)*PARAMS_MODELO!$B$27)+(IFERROR(_xlfn.PERCENTRANK.INC($F$2:$F$1194,F504)*100,0)*PARAMS_MODELO!$B$29)+(IFERROR(_xlfn.PERCENTRANK.INC($I$2:$I$1194,I504)*100,0)*PARAMS_MODELO!$B$31)</f>
        <v>57.864999999999995</v>
      </c>
    </row>
    <row r="505" spans="1:10" x14ac:dyDescent="0.3">
      <c r="A505">
        <v>51021550</v>
      </c>
      <c r="B505">
        <v>57</v>
      </c>
      <c r="C505">
        <v>15</v>
      </c>
      <c r="D505">
        <v>6</v>
      </c>
      <c r="E505" s="21">
        <f>D505/PARAMS_MODELO!$B$28</f>
        <v>0.2</v>
      </c>
      <c r="F505">
        <v>91</v>
      </c>
      <c r="G505">
        <v>5</v>
      </c>
      <c r="H505">
        <v>2</v>
      </c>
      <c r="I505" s="20">
        <f t="shared" si="7"/>
        <v>0.4</v>
      </c>
      <c r="J505" s="21">
        <f>(IFERROR(_xlfn.PERCENTRANK.INC($B$2:$B$1194,B505)*100,0)*PARAMS_MODELO!$B$25)+(IFERROR(_xlfn.PERCENTRANK.INC($C$2:$C$1194,C505)*100,0)*PARAMS_MODELO!$B$26)+(IFERROR(_xlfn.PERCENTRANK.INC($E$2:$E$1194,E505)*100,0)*PARAMS_MODELO!$B$27)+(IFERROR(_xlfn.PERCENTRANK.INC($F$2:$F$1194,F505)*100,0)*PARAMS_MODELO!$B$29)+(IFERROR(_xlfn.PERCENTRANK.INC($I$2:$I$1194,I505)*100,0)*PARAMS_MODELO!$B$31)</f>
        <v>48.775000000000006</v>
      </c>
    </row>
    <row r="506" spans="1:10" x14ac:dyDescent="0.3">
      <c r="A506">
        <v>51031407</v>
      </c>
      <c r="B506">
        <v>55</v>
      </c>
      <c r="C506">
        <v>18</v>
      </c>
      <c r="D506">
        <v>98</v>
      </c>
      <c r="E506" s="21">
        <f>D506/PARAMS_MODELO!$B$28</f>
        <v>3.2666666666666666</v>
      </c>
      <c r="F506">
        <v>72</v>
      </c>
      <c r="G506">
        <v>23</v>
      </c>
      <c r="H506">
        <v>22</v>
      </c>
      <c r="I506" s="20">
        <f t="shared" si="7"/>
        <v>0.95652173913043481</v>
      </c>
      <c r="J506" s="21">
        <f>(IFERROR(_xlfn.PERCENTRANK.INC($B$2:$B$1194,B506)*100,0)*PARAMS_MODELO!$B$25)+(IFERROR(_xlfn.PERCENTRANK.INC($C$2:$C$1194,C506)*100,0)*PARAMS_MODELO!$B$26)+(IFERROR(_xlfn.PERCENTRANK.INC($E$2:$E$1194,E506)*100,0)*PARAMS_MODELO!$B$27)+(IFERROR(_xlfn.PERCENTRANK.INC($F$2:$F$1194,F506)*100,0)*PARAMS_MODELO!$B$29)+(IFERROR(_xlfn.PERCENTRANK.INC($I$2:$I$1194,I506)*100,0)*PARAMS_MODELO!$B$31)</f>
        <v>72.64</v>
      </c>
    </row>
    <row r="507" spans="1:10" x14ac:dyDescent="0.3">
      <c r="A507">
        <v>51038754</v>
      </c>
      <c r="B507">
        <v>70</v>
      </c>
      <c r="C507">
        <v>16</v>
      </c>
      <c r="D507">
        <v>45</v>
      </c>
      <c r="E507" s="21">
        <f>D507/PARAMS_MODELO!$B$28</f>
        <v>1.5</v>
      </c>
      <c r="F507">
        <v>38</v>
      </c>
      <c r="G507">
        <v>48</v>
      </c>
      <c r="H507">
        <v>11</v>
      </c>
      <c r="I507" s="20">
        <f t="shared" si="7"/>
        <v>0.22916666666666666</v>
      </c>
      <c r="J507" s="21">
        <f>(IFERROR(_xlfn.PERCENTRANK.INC($B$2:$B$1194,B507)*100,0)*PARAMS_MODELO!$B$25)+(IFERROR(_xlfn.PERCENTRANK.INC($C$2:$C$1194,C507)*100,0)*PARAMS_MODELO!$B$26)+(IFERROR(_xlfn.PERCENTRANK.INC($E$2:$E$1194,E507)*100,0)*PARAMS_MODELO!$B$27)+(IFERROR(_xlfn.PERCENTRANK.INC($F$2:$F$1194,F507)*100,0)*PARAMS_MODELO!$B$29)+(IFERROR(_xlfn.PERCENTRANK.INC($I$2:$I$1194,I507)*100,0)*PARAMS_MODELO!$B$31)</f>
        <v>52.459999999999994</v>
      </c>
    </row>
    <row r="508" spans="1:10" x14ac:dyDescent="0.3">
      <c r="A508">
        <v>51004761</v>
      </c>
      <c r="B508">
        <v>69</v>
      </c>
      <c r="C508">
        <v>25</v>
      </c>
      <c r="D508">
        <v>36</v>
      </c>
      <c r="E508" s="21">
        <f>D508/PARAMS_MODELO!$B$28</f>
        <v>1.2</v>
      </c>
      <c r="F508">
        <v>42</v>
      </c>
      <c r="G508">
        <v>86</v>
      </c>
      <c r="H508">
        <v>0</v>
      </c>
      <c r="I508" s="20">
        <f t="shared" si="7"/>
        <v>0</v>
      </c>
      <c r="J508" s="21">
        <f>(IFERROR(_xlfn.PERCENTRANK.INC($B$2:$B$1194,B508)*100,0)*PARAMS_MODELO!$B$25)+(IFERROR(_xlfn.PERCENTRANK.INC($C$2:$C$1194,C508)*100,0)*PARAMS_MODELO!$B$26)+(IFERROR(_xlfn.PERCENTRANK.INC($E$2:$E$1194,E508)*100,0)*PARAMS_MODELO!$B$27)+(IFERROR(_xlfn.PERCENTRANK.INC($F$2:$F$1194,F508)*100,0)*PARAMS_MODELO!$B$29)+(IFERROR(_xlfn.PERCENTRANK.INC($I$2:$I$1194,I508)*100,0)*PARAMS_MODELO!$B$31)</f>
        <v>57.224999999999994</v>
      </c>
    </row>
    <row r="509" spans="1:10" x14ac:dyDescent="0.3">
      <c r="A509">
        <v>51023358</v>
      </c>
      <c r="B509">
        <v>6</v>
      </c>
      <c r="C509">
        <v>23</v>
      </c>
      <c r="D509">
        <v>80</v>
      </c>
      <c r="E509" s="21">
        <f>D509/PARAMS_MODELO!$B$28</f>
        <v>2.6666666666666665</v>
      </c>
      <c r="F509">
        <v>43</v>
      </c>
      <c r="G509">
        <v>55</v>
      </c>
      <c r="H509">
        <v>7</v>
      </c>
      <c r="I509" s="20">
        <f t="shared" si="7"/>
        <v>0.12727272727272726</v>
      </c>
      <c r="J509" s="21">
        <f>(IFERROR(_xlfn.PERCENTRANK.INC($B$2:$B$1194,B509)*100,0)*PARAMS_MODELO!$B$25)+(IFERROR(_xlfn.PERCENTRANK.INC($C$2:$C$1194,C509)*100,0)*PARAMS_MODELO!$B$26)+(IFERROR(_xlfn.PERCENTRANK.INC($E$2:$E$1194,E509)*100,0)*PARAMS_MODELO!$B$27)+(IFERROR(_xlfn.PERCENTRANK.INC($F$2:$F$1194,F509)*100,0)*PARAMS_MODELO!$B$29)+(IFERROR(_xlfn.PERCENTRANK.INC($I$2:$I$1194,I509)*100,0)*PARAMS_MODELO!$B$31)</f>
        <v>47.035000000000004</v>
      </c>
    </row>
    <row r="510" spans="1:10" x14ac:dyDescent="0.3">
      <c r="A510">
        <v>51022670</v>
      </c>
      <c r="B510">
        <v>69</v>
      </c>
      <c r="C510">
        <v>6</v>
      </c>
      <c r="D510">
        <v>68</v>
      </c>
      <c r="E510" s="21">
        <f>D510/PARAMS_MODELO!$B$28</f>
        <v>2.2666666666666666</v>
      </c>
      <c r="F510">
        <v>29</v>
      </c>
      <c r="G510">
        <v>92</v>
      </c>
      <c r="H510">
        <v>87</v>
      </c>
      <c r="I510" s="20">
        <f t="shared" si="7"/>
        <v>0.94565217391304346</v>
      </c>
      <c r="J510" s="21">
        <f>(IFERROR(_xlfn.PERCENTRANK.INC($B$2:$B$1194,B510)*100,0)*PARAMS_MODELO!$B$25)+(IFERROR(_xlfn.PERCENTRANK.INC($C$2:$C$1194,C510)*100,0)*PARAMS_MODELO!$B$26)+(IFERROR(_xlfn.PERCENTRANK.INC($E$2:$E$1194,E510)*100,0)*PARAMS_MODELO!$B$27)+(IFERROR(_xlfn.PERCENTRANK.INC($F$2:$F$1194,F510)*100,0)*PARAMS_MODELO!$B$29)+(IFERROR(_xlfn.PERCENTRANK.INC($I$2:$I$1194,I510)*100,0)*PARAMS_MODELO!$B$31)</f>
        <v>52.79</v>
      </c>
    </row>
    <row r="511" spans="1:10" x14ac:dyDescent="0.3">
      <c r="A511">
        <v>51029976</v>
      </c>
      <c r="B511">
        <v>12</v>
      </c>
      <c r="C511">
        <v>21</v>
      </c>
      <c r="D511">
        <v>50</v>
      </c>
      <c r="E511" s="21">
        <f>D511/PARAMS_MODELO!$B$28</f>
        <v>1.6666666666666667</v>
      </c>
      <c r="F511">
        <v>69</v>
      </c>
      <c r="G511">
        <v>8</v>
      </c>
      <c r="H511">
        <v>6</v>
      </c>
      <c r="I511" s="20">
        <f t="shared" si="7"/>
        <v>0.75</v>
      </c>
      <c r="J511" s="21">
        <f>(IFERROR(_xlfn.PERCENTRANK.INC($B$2:$B$1194,B511)*100,0)*PARAMS_MODELO!$B$25)+(IFERROR(_xlfn.PERCENTRANK.INC($C$2:$C$1194,C511)*100,0)*PARAMS_MODELO!$B$26)+(IFERROR(_xlfn.PERCENTRANK.INC($E$2:$E$1194,E511)*100,0)*PARAMS_MODELO!$B$27)+(IFERROR(_xlfn.PERCENTRANK.INC($F$2:$F$1194,F511)*100,0)*PARAMS_MODELO!$B$29)+(IFERROR(_xlfn.PERCENTRANK.INC($I$2:$I$1194,I511)*100,0)*PARAMS_MODELO!$B$31)</f>
        <v>51.205000000000005</v>
      </c>
    </row>
    <row r="512" spans="1:10" x14ac:dyDescent="0.3">
      <c r="A512">
        <v>51032195</v>
      </c>
      <c r="B512">
        <v>85</v>
      </c>
      <c r="C512">
        <v>7</v>
      </c>
      <c r="D512">
        <v>70</v>
      </c>
      <c r="E512" s="21">
        <f>D512/PARAMS_MODELO!$B$28</f>
        <v>2.3333333333333335</v>
      </c>
      <c r="F512">
        <v>39</v>
      </c>
      <c r="G512">
        <v>35</v>
      </c>
      <c r="H512">
        <v>24</v>
      </c>
      <c r="I512" s="20">
        <f t="shared" si="7"/>
        <v>0.68571428571428572</v>
      </c>
      <c r="J512" s="21">
        <f>(IFERROR(_xlfn.PERCENTRANK.INC($B$2:$B$1194,B512)*100,0)*PARAMS_MODELO!$B$25)+(IFERROR(_xlfn.PERCENTRANK.INC($C$2:$C$1194,C512)*100,0)*PARAMS_MODELO!$B$26)+(IFERROR(_xlfn.PERCENTRANK.INC($E$2:$E$1194,E512)*100,0)*PARAMS_MODELO!$B$27)+(IFERROR(_xlfn.PERCENTRANK.INC($F$2:$F$1194,F512)*100,0)*PARAMS_MODELO!$B$29)+(IFERROR(_xlfn.PERCENTRANK.INC($I$2:$I$1194,I512)*100,0)*PARAMS_MODELO!$B$31)</f>
        <v>57.879999999999995</v>
      </c>
    </row>
    <row r="513" spans="1:10" x14ac:dyDescent="0.3">
      <c r="A513">
        <v>51042875</v>
      </c>
      <c r="B513">
        <v>28</v>
      </c>
      <c r="C513">
        <v>2</v>
      </c>
      <c r="D513">
        <v>65</v>
      </c>
      <c r="E513" s="21">
        <f>D513/PARAMS_MODELO!$B$28</f>
        <v>2.1666666666666665</v>
      </c>
      <c r="F513">
        <v>26</v>
      </c>
      <c r="G513">
        <v>54</v>
      </c>
      <c r="H513">
        <v>14</v>
      </c>
      <c r="I513" s="20">
        <f t="shared" si="7"/>
        <v>0.25925925925925924</v>
      </c>
      <c r="J513" s="21">
        <f>(IFERROR(_xlfn.PERCENTRANK.INC($B$2:$B$1194,B513)*100,0)*PARAMS_MODELO!$B$25)+(IFERROR(_xlfn.PERCENTRANK.INC($C$2:$C$1194,C513)*100,0)*PARAMS_MODELO!$B$26)+(IFERROR(_xlfn.PERCENTRANK.INC($E$2:$E$1194,E513)*100,0)*PARAMS_MODELO!$B$27)+(IFERROR(_xlfn.PERCENTRANK.INC($F$2:$F$1194,F513)*100,0)*PARAMS_MODELO!$B$29)+(IFERROR(_xlfn.PERCENTRANK.INC($I$2:$I$1194,I513)*100,0)*PARAMS_MODELO!$B$31)</f>
        <v>29.320000000000004</v>
      </c>
    </row>
    <row r="514" spans="1:10" x14ac:dyDescent="0.3">
      <c r="A514">
        <v>51010728</v>
      </c>
      <c r="B514">
        <v>2</v>
      </c>
      <c r="C514">
        <v>19</v>
      </c>
      <c r="D514">
        <v>48</v>
      </c>
      <c r="E514" s="21">
        <f>D514/PARAMS_MODELO!$B$28</f>
        <v>1.6</v>
      </c>
      <c r="F514">
        <v>82</v>
      </c>
      <c r="G514">
        <v>83</v>
      </c>
      <c r="H514">
        <v>33</v>
      </c>
      <c r="I514" s="20">
        <f t="shared" ref="I514:I577" si="8">IFERROR(H514/G514,0)</f>
        <v>0.39759036144578314</v>
      </c>
      <c r="J514" s="21">
        <f>(IFERROR(_xlfn.PERCENTRANK.INC($B$2:$B$1194,B514)*100,0)*PARAMS_MODELO!$B$25)+(IFERROR(_xlfn.PERCENTRANK.INC($C$2:$C$1194,C514)*100,0)*PARAMS_MODELO!$B$26)+(IFERROR(_xlfn.PERCENTRANK.INC($E$2:$E$1194,E514)*100,0)*PARAMS_MODELO!$B$27)+(IFERROR(_xlfn.PERCENTRANK.INC($F$2:$F$1194,F514)*100,0)*PARAMS_MODELO!$B$29)+(IFERROR(_xlfn.PERCENTRANK.INC($I$2:$I$1194,I514)*100,0)*PARAMS_MODELO!$B$31)</f>
        <v>44.11</v>
      </c>
    </row>
    <row r="515" spans="1:10" x14ac:dyDescent="0.3">
      <c r="A515">
        <v>51056655</v>
      </c>
      <c r="B515">
        <v>26</v>
      </c>
      <c r="C515">
        <v>18</v>
      </c>
      <c r="D515">
        <v>26</v>
      </c>
      <c r="E515" s="21">
        <f>D515/PARAMS_MODELO!$B$28</f>
        <v>0.8666666666666667</v>
      </c>
      <c r="F515">
        <v>85</v>
      </c>
      <c r="G515">
        <v>71</v>
      </c>
      <c r="H515">
        <v>21</v>
      </c>
      <c r="I515" s="20">
        <f t="shared" si="8"/>
        <v>0.29577464788732394</v>
      </c>
      <c r="J515" s="21">
        <f>(IFERROR(_xlfn.PERCENTRANK.INC($B$2:$B$1194,B515)*100,0)*PARAMS_MODELO!$B$25)+(IFERROR(_xlfn.PERCENTRANK.INC($C$2:$C$1194,C515)*100,0)*PARAMS_MODELO!$B$26)+(IFERROR(_xlfn.PERCENTRANK.INC($E$2:$E$1194,E515)*100,0)*PARAMS_MODELO!$B$27)+(IFERROR(_xlfn.PERCENTRANK.INC($F$2:$F$1194,F515)*100,0)*PARAMS_MODELO!$B$29)+(IFERROR(_xlfn.PERCENTRANK.INC($I$2:$I$1194,I515)*100,0)*PARAMS_MODELO!$B$31)</f>
        <v>44.924999999999997</v>
      </c>
    </row>
    <row r="516" spans="1:10" x14ac:dyDescent="0.3">
      <c r="A516">
        <v>51056817</v>
      </c>
      <c r="B516">
        <v>96</v>
      </c>
      <c r="C516">
        <v>6</v>
      </c>
      <c r="D516">
        <v>87</v>
      </c>
      <c r="E516" s="21">
        <f>D516/PARAMS_MODELO!$B$28</f>
        <v>2.9</v>
      </c>
      <c r="F516">
        <v>42</v>
      </c>
      <c r="G516">
        <v>73</v>
      </c>
      <c r="H516">
        <v>32</v>
      </c>
      <c r="I516" s="20">
        <f t="shared" si="8"/>
        <v>0.43835616438356162</v>
      </c>
      <c r="J516" s="21">
        <f>(IFERROR(_xlfn.PERCENTRANK.INC($B$2:$B$1194,B516)*100,0)*PARAMS_MODELO!$B$25)+(IFERROR(_xlfn.PERCENTRANK.INC($C$2:$C$1194,C516)*100,0)*PARAMS_MODELO!$B$26)+(IFERROR(_xlfn.PERCENTRANK.INC($E$2:$E$1194,E516)*100,0)*PARAMS_MODELO!$B$27)+(IFERROR(_xlfn.PERCENTRANK.INC($F$2:$F$1194,F516)*100,0)*PARAMS_MODELO!$B$29)+(IFERROR(_xlfn.PERCENTRANK.INC($I$2:$I$1194,I516)*100,0)*PARAMS_MODELO!$B$31)</f>
        <v>61.550000000000004</v>
      </c>
    </row>
    <row r="517" spans="1:10" x14ac:dyDescent="0.3">
      <c r="A517">
        <v>51018826</v>
      </c>
      <c r="B517">
        <v>60</v>
      </c>
      <c r="C517">
        <v>14</v>
      </c>
      <c r="D517">
        <v>45</v>
      </c>
      <c r="E517" s="21">
        <f>D517/PARAMS_MODELO!$B$28</f>
        <v>1.5</v>
      </c>
      <c r="F517">
        <v>56</v>
      </c>
      <c r="G517">
        <v>0</v>
      </c>
      <c r="H517">
        <v>0</v>
      </c>
      <c r="I517" s="20">
        <f t="shared" si="8"/>
        <v>0</v>
      </c>
      <c r="J517" s="21">
        <f>(IFERROR(_xlfn.PERCENTRANK.INC($B$2:$B$1194,B517)*100,0)*PARAMS_MODELO!$B$25)+(IFERROR(_xlfn.PERCENTRANK.INC($C$2:$C$1194,C517)*100,0)*PARAMS_MODELO!$B$26)+(IFERROR(_xlfn.PERCENTRANK.INC($E$2:$E$1194,E517)*100,0)*PARAMS_MODELO!$B$27)+(IFERROR(_xlfn.PERCENTRANK.INC($F$2:$F$1194,F517)*100,0)*PARAMS_MODELO!$B$29)+(IFERROR(_xlfn.PERCENTRANK.INC($I$2:$I$1194,I517)*100,0)*PARAMS_MODELO!$B$31)</f>
        <v>47.454999999999998</v>
      </c>
    </row>
    <row r="518" spans="1:10" x14ac:dyDescent="0.3">
      <c r="A518">
        <v>51019814</v>
      </c>
      <c r="B518">
        <v>57</v>
      </c>
      <c r="C518">
        <v>11</v>
      </c>
      <c r="D518">
        <v>34</v>
      </c>
      <c r="E518" s="21">
        <f>D518/PARAMS_MODELO!$B$28</f>
        <v>1.1333333333333333</v>
      </c>
      <c r="F518">
        <v>95</v>
      </c>
      <c r="G518">
        <v>86</v>
      </c>
      <c r="H518">
        <v>37</v>
      </c>
      <c r="I518" s="20">
        <f t="shared" si="8"/>
        <v>0.43023255813953487</v>
      </c>
      <c r="J518" s="21">
        <f>(IFERROR(_xlfn.PERCENTRANK.INC($B$2:$B$1194,B518)*100,0)*PARAMS_MODELO!$B$25)+(IFERROR(_xlfn.PERCENTRANK.INC($C$2:$C$1194,C518)*100,0)*PARAMS_MODELO!$B$26)+(IFERROR(_xlfn.PERCENTRANK.INC($E$2:$E$1194,E518)*100,0)*PARAMS_MODELO!$B$27)+(IFERROR(_xlfn.PERCENTRANK.INC($F$2:$F$1194,F518)*100,0)*PARAMS_MODELO!$B$29)+(IFERROR(_xlfn.PERCENTRANK.INC($I$2:$I$1194,I518)*100,0)*PARAMS_MODELO!$B$31)</f>
        <v>51.620000000000005</v>
      </c>
    </row>
    <row r="519" spans="1:10" x14ac:dyDescent="0.3">
      <c r="A519">
        <v>51033281</v>
      </c>
      <c r="B519">
        <v>3</v>
      </c>
      <c r="C519">
        <v>20</v>
      </c>
      <c r="D519">
        <v>15</v>
      </c>
      <c r="E519" s="21">
        <f>D519/PARAMS_MODELO!$B$28</f>
        <v>0.5</v>
      </c>
      <c r="F519">
        <v>89</v>
      </c>
      <c r="G519">
        <v>64</v>
      </c>
      <c r="H519">
        <v>61</v>
      </c>
      <c r="I519" s="20">
        <f t="shared" si="8"/>
        <v>0.953125</v>
      </c>
      <c r="J519" s="21">
        <f>(IFERROR(_xlfn.PERCENTRANK.INC($B$2:$B$1194,B519)*100,0)*PARAMS_MODELO!$B$25)+(IFERROR(_xlfn.PERCENTRANK.INC($C$2:$C$1194,C519)*100,0)*PARAMS_MODELO!$B$26)+(IFERROR(_xlfn.PERCENTRANK.INC($E$2:$E$1194,E519)*100,0)*PARAMS_MODELO!$B$27)+(IFERROR(_xlfn.PERCENTRANK.INC($F$2:$F$1194,F519)*100,0)*PARAMS_MODELO!$B$29)+(IFERROR(_xlfn.PERCENTRANK.INC($I$2:$I$1194,I519)*100,0)*PARAMS_MODELO!$B$31)</f>
        <v>45.154999999999994</v>
      </c>
    </row>
    <row r="520" spans="1:10" x14ac:dyDescent="0.3">
      <c r="A520">
        <v>51056523</v>
      </c>
      <c r="B520">
        <v>26</v>
      </c>
      <c r="C520">
        <v>11</v>
      </c>
      <c r="D520">
        <v>15</v>
      </c>
      <c r="E520" s="21">
        <f>D520/PARAMS_MODELO!$B$28</f>
        <v>0.5</v>
      </c>
      <c r="F520">
        <v>66</v>
      </c>
      <c r="G520">
        <v>55</v>
      </c>
      <c r="H520">
        <v>20</v>
      </c>
      <c r="I520" s="20">
        <f t="shared" si="8"/>
        <v>0.36363636363636365</v>
      </c>
      <c r="J520" s="21">
        <f>(IFERROR(_xlfn.PERCENTRANK.INC($B$2:$B$1194,B520)*100,0)*PARAMS_MODELO!$B$25)+(IFERROR(_xlfn.PERCENTRANK.INC($C$2:$C$1194,C520)*100,0)*PARAMS_MODELO!$B$26)+(IFERROR(_xlfn.PERCENTRANK.INC($E$2:$E$1194,E520)*100,0)*PARAMS_MODELO!$B$27)+(IFERROR(_xlfn.PERCENTRANK.INC($F$2:$F$1194,F520)*100,0)*PARAMS_MODELO!$B$29)+(IFERROR(_xlfn.PERCENTRANK.INC($I$2:$I$1194,I520)*100,0)*PARAMS_MODELO!$B$31)</f>
        <v>34.064999999999998</v>
      </c>
    </row>
    <row r="521" spans="1:10" x14ac:dyDescent="0.3">
      <c r="A521">
        <v>51025792</v>
      </c>
      <c r="B521">
        <v>34</v>
      </c>
      <c r="C521">
        <v>18</v>
      </c>
      <c r="D521">
        <v>27</v>
      </c>
      <c r="E521" s="21">
        <f>D521/PARAMS_MODELO!$B$28</f>
        <v>0.9</v>
      </c>
      <c r="F521">
        <v>70</v>
      </c>
      <c r="G521">
        <v>54</v>
      </c>
      <c r="H521">
        <v>51</v>
      </c>
      <c r="I521" s="20">
        <f t="shared" si="8"/>
        <v>0.94444444444444442</v>
      </c>
      <c r="J521" s="21">
        <f>(IFERROR(_xlfn.PERCENTRANK.INC($B$2:$B$1194,B521)*100,0)*PARAMS_MODELO!$B$25)+(IFERROR(_xlfn.PERCENTRANK.INC($C$2:$C$1194,C521)*100,0)*PARAMS_MODELO!$B$26)+(IFERROR(_xlfn.PERCENTRANK.INC($E$2:$E$1194,E521)*100,0)*PARAMS_MODELO!$B$27)+(IFERROR(_xlfn.PERCENTRANK.INC($F$2:$F$1194,F521)*100,0)*PARAMS_MODELO!$B$29)+(IFERROR(_xlfn.PERCENTRANK.INC($I$2:$I$1194,I521)*100,0)*PARAMS_MODELO!$B$31)</f>
        <v>51.599999999999994</v>
      </c>
    </row>
    <row r="522" spans="1:10" x14ac:dyDescent="0.3">
      <c r="A522">
        <v>51056728</v>
      </c>
      <c r="B522">
        <v>10</v>
      </c>
      <c r="C522">
        <v>0</v>
      </c>
      <c r="D522">
        <v>53</v>
      </c>
      <c r="E522" s="21">
        <f>D522/PARAMS_MODELO!$B$28</f>
        <v>1.7666666666666666</v>
      </c>
      <c r="F522">
        <v>76</v>
      </c>
      <c r="G522">
        <v>15</v>
      </c>
      <c r="H522">
        <v>6</v>
      </c>
      <c r="I522" s="20">
        <f t="shared" si="8"/>
        <v>0.4</v>
      </c>
      <c r="J522" s="21">
        <f>(IFERROR(_xlfn.PERCENTRANK.INC($B$2:$B$1194,B522)*100,0)*PARAMS_MODELO!$B$25)+(IFERROR(_xlfn.PERCENTRANK.INC($C$2:$C$1194,C522)*100,0)*PARAMS_MODELO!$B$26)+(IFERROR(_xlfn.PERCENTRANK.INC($E$2:$E$1194,E522)*100,0)*PARAMS_MODELO!$B$27)+(IFERROR(_xlfn.PERCENTRANK.INC($F$2:$F$1194,F522)*100,0)*PARAMS_MODELO!$B$29)+(IFERROR(_xlfn.PERCENTRANK.INC($I$2:$I$1194,I522)*100,0)*PARAMS_MODELO!$B$31)</f>
        <v>29.060000000000002</v>
      </c>
    </row>
    <row r="523" spans="1:10" x14ac:dyDescent="0.3">
      <c r="A523">
        <v>51011708</v>
      </c>
      <c r="B523">
        <v>58</v>
      </c>
      <c r="C523">
        <v>13</v>
      </c>
      <c r="D523">
        <v>56</v>
      </c>
      <c r="E523" s="21">
        <f>D523/PARAMS_MODELO!$B$28</f>
        <v>1.8666666666666667</v>
      </c>
      <c r="F523">
        <v>36</v>
      </c>
      <c r="G523">
        <v>21</v>
      </c>
      <c r="H523">
        <v>16</v>
      </c>
      <c r="I523" s="20">
        <f t="shared" si="8"/>
        <v>0.76190476190476186</v>
      </c>
      <c r="J523" s="21">
        <f>(IFERROR(_xlfn.PERCENTRANK.INC($B$2:$B$1194,B523)*100,0)*PARAMS_MODELO!$B$25)+(IFERROR(_xlfn.PERCENTRANK.INC($C$2:$C$1194,C523)*100,0)*PARAMS_MODELO!$B$26)+(IFERROR(_xlfn.PERCENTRANK.INC($E$2:$E$1194,E523)*100,0)*PARAMS_MODELO!$B$27)+(IFERROR(_xlfn.PERCENTRANK.INC($F$2:$F$1194,F523)*100,0)*PARAMS_MODELO!$B$29)+(IFERROR(_xlfn.PERCENTRANK.INC($I$2:$I$1194,I523)*100,0)*PARAMS_MODELO!$B$31)</f>
        <v>53.164999999999999</v>
      </c>
    </row>
    <row r="524" spans="1:10" x14ac:dyDescent="0.3">
      <c r="A524">
        <v>51056558</v>
      </c>
      <c r="B524">
        <v>90</v>
      </c>
      <c r="C524">
        <v>5</v>
      </c>
      <c r="D524">
        <v>25</v>
      </c>
      <c r="E524" s="21">
        <f>D524/PARAMS_MODELO!$B$28</f>
        <v>0.83333333333333337</v>
      </c>
      <c r="F524">
        <v>50</v>
      </c>
      <c r="G524">
        <v>54</v>
      </c>
      <c r="H524">
        <v>6</v>
      </c>
      <c r="I524" s="20">
        <f t="shared" si="8"/>
        <v>0.1111111111111111</v>
      </c>
      <c r="J524" s="21">
        <f>(IFERROR(_xlfn.PERCENTRANK.INC($B$2:$B$1194,B524)*100,0)*PARAMS_MODELO!$B$25)+(IFERROR(_xlfn.PERCENTRANK.INC($C$2:$C$1194,C524)*100,0)*PARAMS_MODELO!$B$26)+(IFERROR(_xlfn.PERCENTRANK.INC($E$2:$E$1194,E524)*100,0)*PARAMS_MODELO!$B$27)+(IFERROR(_xlfn.PERCENTRANK.INC($F$2:$F$1194,F524)*100,0)*PARAMS_MODELO!$B$29)+(IFERROR(_xlfn.PERCENTRANK.INC($I$2:$I$1194,I524)*100,0)*PARAMS_MODELO!$B$31)</f>
        <v>44.330000000000005</v>
      </c>
    </row>
    <row r="525" spans="1:10" x14ac:dyDescent="0.3">
      <c r="A525">
        <v>51041801</v>
      </c>
      <c r="B525">
        <v>81</v>
      </c>
      <c r="C525">
        <v>15</v>
      </c>
      <c r="D525">
        <v>13</v>
      </c>
      <c r="E525" s="21">
        <f>D525/PARAMS_MODELO!$B$28</f>
        <v>0.43333333333333335</v>
      </c>
      <c r="F525">
        <v>43</v>
      </c>
      <c r="G525">
        <v>68</v>
      </c>
      <c r="H525">
        <v>42</v>
      </c>
      <c r="I525" s="20">
        <f t="shared" si="8"/>
        <v>0.61764705882352944</v>
      </c>
      <c r="J525" s="21">
        <f>(IFERROR(_xlfn.PERCENTRANK.INC($B$2:$B$1194,B525)*100,0)*PARAMS_MODELO!$B$25)+(IFERROR(_xlfn.PERCENTRANK.INC($C$2:$C$1194,C525)*100,0)*PARAMS_MODELO!$B$26)+(IFERROR(_xlfn.PERCENTRANK.INC($E$2:$E$1194,E525)*100,0)*PARAMS_MODELO!$B$27)+(IFERROR(_xlfn.PERCENTRANK.INC($F$2:$F$1194,F525)*100,0)*PARAMS_MODELO!$B$29)+(IFERROR(_xlfn.PERCENTRANK.INC($I$2:$I$1194,I525)*100,0)*PARAMS_MODELO!$B$31)</f>
        <v>52.620000000000005</v>
      </c>
    </row>
    <row r="526" spans="1:10" x14ac:dyDescent="0.3">
      <c r="A526">
        <v>51055390</v>
      </c>
      <c r="B526">
        <v>36</v>
      </c>
      <c r="C526">
        <v>17</v>
      </c>
      <c r="D526">
        <v>87</v>
      </c>
      <c r="E526" s="21">
        <f>D526/PARAMS_MODELO!$B$28</f>
        <v>2.9</v>
      </c>
      <c r="F526">
        <v>62</v>
      </c>
      <c r="G526">
        <v>80</v>
      </c>
      <c r="H526">
        <v>30</v>
      </c>
      <c r="I526" s="20">
        <f t="shared" si="8"/>
        <v>0.375</v>
      </c>
      <c r="J526" s="21">
        <f>(IFERROR(_xlfn.PERCENTRANK.INC($B$2:$B$1194,B526)*100,0)*PARAMS_MODELO!$B$25)+(IFERROR(_xlfn.PERCENTRANK.INC($C$2:$C$1194,C526)*100,0)*PARAMS_MODELO!$B$26)+(IFERROR(_xlfn.PERCENTRANK.INC($E$2:$E$1194,E526)*100,0)*PARAMS_MODELO!$B$27)+(IFERROR(_xlfn.PERCENTRANK.INC($F$2:$F$1194,F526)*100,0)*PARAMS_MODELO!$B$29)+(IFERROR(_xlfn.PERCENTRANK.INC($I$2:$I$1194,I526)*100,0)*PARAMS_MODELO!$B$31)</f>
        <v>56.335000000000008</v>
      </c>
    </row>
    <row r="527" spans="1:10" x14ac:dyDescent="0.3">
      <c r="A527">
        <v>51017081</v>
      </c>
      <c r="B527">
        <v>72</v>
      </c>
      <c r="C527">
        <v>22</v>
      </c>
      <c r="D527">
        <v>13</v>
      </c>
      <c r="E527" s="21">
        <f>D527/PARAMS_MODELO!$B$28</f>
        <v>0.43333333333333335</v>
      </c>
      <c r="F527">
        <v>1</v>
      </c>
      <c r="G527">
        <v>92</v>
      </c>
      <c r="H527">
        <v>46</v>
      </c>
      <c r="I527" s="20">
        <f t="shared" si="8"/>
        <v>0.5</v>
      </c>
      <c r="J527" s="21">
        <f>(IFERROR(_xlfn.PERCENTRANK.INC($B$2:$B$1194,B527)*100,0)*PARAMS_MODELO!$B$25)+(IFERROR(_xlfn.PERCENTRANK.INC($C$2:$C$1194,C527)*100,0)*PARAMS_MODELO!$B$26)+(IFERROR(_xlfn.PERCENTRANK.INC($E$2:$E$1194,E527)*100,0)*PARAMS_MODELO!$B$27)+(IFERROR(_xlfn.PERCENTRANK.INC($F$2:$F$1194,F527)*100,0)*PARAMS_MODELO!$B$29)+(IFERROR(_xlfn.PERCENTRANK.INC($I$2:$I$1194,I527)*100,0)*PARAMS_MODELO!$B$31)</f>
        <v>49.815000000000005</v>
      </c>
    </row>
    <row r="528" spans="1:10" x14ac:dyDescent="0.3">
      <c r="A528">
        <v>51056345</v>
      </c>
      <c r="B528">
        <v>49</v>
      </c>
      <c r="C528">
        <v>16</v>
      </c>
      <c r="D528">
        <v>1</v>
      </c>
      <c r="E528" s="21">
        <f>D528/PARAMS_MODELO!$B$28</f>
        <v>3.3333333333333333E-2</v>
      </c>
      <c r="F528">
        <v>38</v>
      </c>
      <c r="G528">
        <v>55</v>
      </c>
      <c r="H528">
        <v>39</v>
      </c>
      <c r="I528" s="20">
        <f t="shared" si="8"/>
        <v>0.70909090909090911</v>
      </c>
      <c r="J528" s="21">
        <f>(IFERROR(_xlfn.PERCENTRANK.INC($B$2:$B$1194,B528)*100,0)*PARAMS_MODELO!$B$25)+(IFERROR(_xlfn.PERCENTRANK.INC($C$2:$C$1194,C528)*100,0)*PARAMS_MODELO!$B$26)+(IFERROR(_xlfn.PERCENTRANK.INC($E$2:$E$1194,E528)*100,0)*PARAMS_MODELO!$B$27)+(IFERROR(_xlfn.PERCENTRANK.INC($F$2:$F$1194,F528)*100,0)*PARAMS_MODELO!$B$29)+(IFERROR(_xlfn.PERCENTRANK.INC($I$2:$I$1194,I528)*100,0)*PARAMS_MODELO!$B$31)</f>
        <v>42.059999999999995</v>
      </c>
    </row>
    <row r="529" spans="1:10" x14ac:dyDescent="0.3">
      <c r="A529">
        <v>51055942</v>
      </c>
      <c r="B529">
        <v>47</v>
      </c>
      <c r="C529">
        <v>2</v>
      </c>
      <c r="D529">
        <v>86</v>
      </c>
      <c r="E529" s="21">
        <f>D529/PARAMS_MODELO!$B$28</f>
        <v>2.8666666666666667</v>
      </c>
      <c r="F529">
        <v>17</v>
      </c>
      <c r="G529">
        <v>84</v>
      </c>
      <c r="H529">
        <v>6</v>
      </c>
      <c r="I529" s="20">
        <f t="shared" si="8"/>
        <v>7.1428571428571425E-2</v>
      </c>
      <c r="J529" s="21">
        <f>(IFERROR(_xlfn.PERCENTRANK.INC($B$2:$B$1194,B529)*100,0)*PARAMS_MODELO!$B$25)+(IFERROR(_xlfn.PERCENTRANK.INC($C$2:$C$1194,C529)*100,0)*PARAMS_MODELO!$B$26)+(IFERROR(_xlfn.PERCENTRANK.INC($E$2:$E$1194,E529)*100,0)*PARAMS_MODELO!$B$27)+(IFERROR(_xlfn.PERCENTRANK.INC($F$2:$F$1194,F529)*100,0)*PARAMS_MODELO!$B$29)+(IFERROR(_xlfn.PERCENTRANK.INC($I$2:$I$1194,I529)*100,0)*PARAMS_MODELO!$B$31)</f>
        <v>35.814999999999998</v>
      </c>
    </row>
    <row r="530" spans="1:10" x14ac:dyDescent="0.3">
      <c r="A530">
        <v>51036735</v>
      </c>
      <c r="B530">
        <v>80</v>
      </c>
      <c r="C530">
        <v>16</v>
      </c>
      <c r="D530">
        <v>66</v>
      </c>
      <c r="E530" s="21">
        <f>D530/PARAMS_MODELO!$B$28</f>
        <v>2.2000000000000002</v>
      </c>
      <c r="F530">
        <v>27</v>
      </c>
      <c r="G530">
        <v>78</v>
      </c>
      <c r="H530">
        <v>27</v>
      </c>
      <c r="I530" s="20">
        <f t="shared" si="8"/>
        <v>0.34615384615384615</v>
      </c>
      <c r="J530" s="21">
        <f>(IFERROR(_xlfn.PERCENTRANK.INC($B$2:$B$1194,B530)*100,0)*PARAMS_MODELO!$B$25)+(IFERROR(_xlfn.PERCENTRANK.INC($C$2:$C$1194,C530)*100,0)*PARAMS_MODELO!$B$26)+(IFERROR(_xlfn.PERCENTRANK.INC($E$2:$E$1194,E530)*100,0)*PARAMS_MODELO!$B$27)+(IFERROR(_xlfn.PERCENTRANK.INC($F$2:$F$1194,F530)*100,0)*PARAMS_MODELO!$B$29)+(IFERROR(_xlfn.PERCENTRANK.INC($I$2:$I$1194,I530)*100,0)*PARAMS_MODELO!$B$31)</f>
        <v>58.585000000000001</v>
      </c>
    </row>
    <row r="531" spans="1:10" x14ac:dyDescent="0.3">
      <c r="A531">
        <v>51001427</v>
      </c>
      <c r="B531">
        <v>94</v>
      </c>
      <c r="C531">
        <v>0</v>
      </c>
      <c r="D531">
        <v>58</v>
      </c>
      <c r="E531" s="21">
        <f>D531/PARAMS_MODELO!$B$28</f>
        <v>1.9333333333333333</v>
      </c>
      <c r="F531">
        <v>9</v>
      </c>
      <c r="G531">
        <v>26</v>
      </c>
      <c r="H531">
        <v>22</v>
      </c>
      <c r="I531" s="20">
        <f t="shared" si="8"/>
        <v>0.84615384615384615</v>
      </c>
      <c r="J531" s="21">
        <f>(IFERROR(_xlfn.PERCENTRANK.INC($B$2:$B$1194,B531)*100,0)*PARAMS_MODELO!$B$25)+(IFERROR(_xlfn.PERCENTRANK.INC($C$2:$C$1194,C531)*100,0)*PARAMS_MODELO!$B$26)+(IFERROR(_xlfn.PERCENTRANK.INC($E$2:$E$1194,E531)*100,0)*PARAMS_MODELO!$B$27)+(IFERROR(_xlfn.PERCENTRANK.INC($F$2:$F$1194,F531)*100,0)*PARAMS_MODELO!$B$29)+(IFERROR(_xlfn.PERCENTRANK.INC($I$2:$I$1194,I531)*100,0)*PARAMS_MODELO!$B$31)</f>
        <v>49.11</v>
      </c>
    </row>
    <row r="532" spans="1:10" x14ac:dyDescent="0.3">
      <c r="A532">
        <v>51010272</v>
      </c>
      <c r="B532">
        <v>26</v>
      </c>
      <c r="C532">
        <v>16</v>
      </c>
      <c r="D532">
        <v>78</v>
      </c>
      <c r="E532" s="21">
        <f>D532/PARAMS_MODELO!$B$28</f>
        <v>2.6</v>
      </c>
      <c r="F532">
        <v>50</v>
      </c>
      <c r="G532">
        <v>91</v>
      </c>
      <c r="H532">
        <v>63</v>
      </c>
      <c r="I532" s="20">
        <f t="shared" si="8"/>
        <v>0.69230769230769229</v>
      </c>
      <c r="J532" s="21">
        <f>(IFERROR(_xlfn.PERCENTRANK.INC($B$2:$B$1194,B532)*100,0)*PARAMS_MODELO!$B$25)+(IFERROR(_xlfn.PERCENTRANK.INC($C$2:$C$1194,C532)*100,0)*PARAMS_MODELO!$B$26)+(IFERROR(_xlfn.PERCENTRANK.INC($E$2:$E$1194,E532)*100,0)*PARAMS_MODELO!$B$27)+(IFERROR(_xlfn.PERCENTRANK.INC($F$2:$F$1194,F532)*100,0)*PARAMS_MODELO!$B$29)+(IFERROR(_xlfn.PERCENTRANK.INC($I$2:$I$1194,I532)*100,0)*PARAMS_MODELO!$B$31)</f>
        <v>51.955000000000005</v>
      </c>
    </row>
    <row r="533" spans="1:10" x14ac:dyDescent="0.3">
      <c r="A533">
        <v>51056451</v>
      </c>
      <c r="B533">
        <v>37</v>
      </c>
      <c r="C533">
        <v>6</v>
      </c>
      <c r="D533">
        <v>44</v>
      </c>
      <c r="E533" s="21">
        <f>D533/PARAMS_MODELO!$B$28</f>
        <v>1.4666666666666666</v>
      </c>
      <c r="F533">
        <v>16</v>
      </c>
      <c r="G533">
        <v>37</v>
      </c>
      <c r="H533">
        <v>20</v>
      </c>
      <c r="I533" s="20">
        <f t="shared" si="8"/>
        <v>0.54054054054054057</v>
      </c>
      <c r="J533" s="21">
        <f>(IFERROR(_xlfn.PERCENTRANK.INC($B$2:$B$1194,B533)*100,0)*PARAMS_MODELO!$B$25)+(IFERROR(_xlfn.PERCENTRANK.INC($C$2:$C$1194,C533)*100,0)*PARAMS_MODELO!$B$26)+(IFERROR(_xlfn.PERCENTRANK.INC($E$2:$E$1194,E533)*100,0)*PARAMS_MODELO!$B$27)+(IFERROR(_xlfn.PERCENTRANK.INC($F$2:$F$1194,F533)*100,0)*PARAMS_MODELO!$B$29)+(IFERROR(_xlfn.PERCENTRANK.INC($I$2:$I$1194,I533)*100,0)*PARAMS_MODELO!$B$31)</f>
        <v>32.769999999999996</v>
      </c>
    </row>
    <row r="534" spans="1:10" x14ac:dyDescent="0.3">
      <c r="A534">
        <v>51018907</v>
      </c>
      <c r="B534">
        <v>11</v>
      </c>
      <c r="C534">
        <v>6</v>
      </c>
      <c r="D534">
        <v>75</v>
      </c>
      <c r="E534" s="21">
        <f>D534/PARAMS_MODELO!$B$28</f>
        <v>2.5</v>
      </c>
      <c r="F534">
        <v>39</v>
      </c>
      <c r="G534">
        <v>65</v>
      </c>
      <c r="H534">
        <v>31</v>
      </c>
      <c r="I534" s="20">
        <f t="shared" si="8"/>
        <v>0.47692307692307695</v>
      </c>
      <c r="J534" s="21">
        <f>(IFERROR(_xlfn.PERCENTRANK.INC($B$2:$B$1194,B534)*100,0)*PARAMS_MODELO!$B$25)+(IFERROR(_xlfn.PERCENTRANK.INC($C$2:$C$1194,C534)*100,0)*PARAMS_MODELO!$B$26)+(IFERROR(_xlfn.PERCENTRANK.INC($E$2:$E$1194,E534)*100,0)*PARAMS_MODELO!$B$27)+(IFERROR(_xlfn.PERCENTRANK.INC($F$2:$F$1194,F534)*100,0)*PARAMS_MODELO!$B$29)+(IFERROR(_xlfn.PERCENTRANK.INC($I$2:$I$1194,I534)*100,0)*PARAMS_MODELO!$B$31)</f>
        <v>34.324999999999996</v>
      </c>
    </row>
    <row r="535" spans="1:10" x14ac:dyDescent="0.3">
      <c r="A535">
        <v>51004108</v>
      </c>
      <c r="B535">
        <v>53</v>
      </c>
      <c r="C535">
        <v>5</v>
      </c>
      <c r="D535">
        <v>85</v>
      </c>
      <c r="E535" s="21">
        <f>D535/PARAMS_MODELO!$B$28</f>
        <v>2.8333333333333335</v>
      </c>
      <c r="F535">
        <v>18</v>
      </c>
      <c r="G535">
        <v>46</v>
      </c>
      <c r="H535">
        <v>21</v>
      </c>
      <c r="I535" s="20">
        <f t="shared" si="8"/>
        <v>0.45652173913043476</v>
      </c>
      <c r="J535" s="21">
        <f>(IFERROR(_xlfn.PERCENTRANK.INC($B$2:$B$1194,B535)*100,0)*PARAMS_MODELO!$B$25)+(IFERROR(_xlfn.PERCENTRANK.INC($C$2:$C$1194,C535)*100,0)*PARAMS_MODELO!$B$26)+(IFERROR(_xlfn.PERCENTRANK.INC($E$2:$E$1194,E535)*100,0)*PARAMS_MODELO!$B$27)+(IFERROR(_xlfn.PERCENTRANK.INC($F$2:$F$1194,F535)*100,0)*PARAMS_MODELO!$B$29)+(IFERROR(_xlfn.PERCENTRANK.INC($I$2:$I$1194,I535)*100,0)*PARAMS_MODELO!$B$31)</f>
        <v>43.660000000000004</v>
      </c>
    </row>
    <row r="536" spans="1:10" x14ac:dyDescent="0.3">
      <c r="A536">
        <v>51030869</v>
      </c>
      <c r="B536">
        <v>2</v>
      </c>
      <c r="C536">
        <v>25</v>
      </c>
      <c r="D536">
        <v>95</v>
      </c>
      <c r="E536" s="21">
        <f>D536/PARAMS_MODELO!$B$28</f>
        <v>3.1666666666666665</v>
      </c>
      <c r="F536">
        <v>82</v>
      </c>
      <c r="G536">
        <v>54</v>
      </c>
      <c r="H536">
        <v>25</v>
      </c>
      <c r="I536" s="20">
        <f t="shared" si="8"/>
        <v>0.46296296296296297</v>
      </c>
      <c r="J536" s="21">
        <f>(IFERROR(_xlfn.PERCENTRANK.INC($B$2:$B$1194,B536)*100,0)*PARAMS_MODELO!$B$25)+(IFERROR(_xlfn.PERCENTRANK.INC($C$2:$C$1194,C536)*100,0)*PARAMS_MODELO!$B$26)+(IFERROR(_xlfn.PERCENTRANK.INC($E$2:$E$1194,E536)*100,0)*PARAMS_MODELO!$B$27)+(IFERROR(_xlfn.PERCENTRANK.INC($F$2:$F$1194,F536)*100,0)*PARAMS_MODELO!$B$29)+(IFERROR(_xlfn.PERCENTRANK.INC($I$2:$I$1194,I536)*100,0)*PARAMS_MODELO!$B$31)</f>
        <v>60.064999999999998</v>
      </c>
    </row>
    <row r="537" spans="1:10" x14ac:dyDescent="0.3">
      <c r="A537">
        <v>51031113</v>
      </c>
      <c r="B537">
        <v>8</v>
      </c>
      <c r="C537">
        <v>3</v>
      </c>
      <c r="D537">
        <v>82</v>
      </c>
      <c r="E537" s="21">
        <f>D537/PARAMS_MODELO!$B$28</f>
        <v>2.7333333333333334</v>
      </c>
      <c r="F537">
        <v>4</v>
      </c>
      <c r="G537">
        <v>100</v>
      </c>
      <c r="H537">
        <v>28</v>
      </c>
      <c r="I537" s="20">
        <f t="shared" si="8"/>
        <v>0.28000000000000003</v>
      </c>
      <c r="J537" s="21">
        <f>(IFERROR(_xlfn.PERCENTRANK.INC($B$2:$B$1194,B537)*100,0)*PARAMS_MODELO!$B$25)+(IFERROR(_xlfn.PERCENTRANK.INC($C$2:$C$1194,C537)*100,0)*PARAMS_MODELO!$B$26)+(IFERROR(_xlfn.PERCENTRANK.INC($E$2:$E$1194,E537)*100,0)*PARAMS_MODELO!$B$27)+(IFERROR(_xlfn.PERCENTRANK.INC($F$2:$F$1194,F537)*100,0)*PARAMS_MODELO!$B$29)+(IFERROR(_xlfn.PERCENTRANK.INC($I$2:$I$1194,I537)*100,0)*PARAMS_MODELO!$B$31)</f>
        <v>25.175000000000004</v>
      </c>
    </row>
    <row r="538" spans="1:10" x14ac:dyDescent="0.3">
      <c r="A538">
        <v>51033329</v>
      </c>
      <c r="B538">
        <v>61</v>
      </c>
      <c r="C538">
        <v>20</v>
      </c>
      <c r="D538">
        <v>52</v>
      </c>
      <c r="E538" s="21">
        <f>D538/PARAMS_MODELO!$B$28</f>
        <v>1.7333333333333334</v>
      </c>
      <c r="F538">
        <v>20</v>
      </c>
      <c r="G538">
        <v>30</v>
      </c>
      <c r="H538">
        <v>4</v>
      </c>
      <c r="I538" s="20">
        <f t="shared" si="8"/>
        <v>0.13333333333333333</v>
      </c>
      <c r="J538" s="21">
        <f>(IFERROR(_xlfn.PERCENTRANK.INC($B$2:$B$1194,B538)*100,0)*PARAMS_MODELO!$B$25)+(IFERROR(_xlfn.PERCENTRANK.INC($C$2:$C$1194,C538)*100,0)*PARAMS_MODELO!$B$26)+(IFERROR(_xlfn.PERCENTRANK.INC($E$2:$E$1194,E538)*100,0)*PARAMS_MODELO!$B$27)+(IFERROR(_xlfn.PERCENTRANK.INC($F$2:$F$1194,F538)*100,0)*PARAMS_MODELO!$B$29)+(IFERROR(_xlfn.PERCENTRANK.INC($I$2:$I$1194,I538)*100,0)*PARAMS_MODELO!$B$31)</f>
        <v>50.76</v>
      </c>
    </row>
    <row r="539" spans="1:10" x14ac:dyDescent="0.3">
      <c r="A539">
        <v>51042905</v>
      </c>
      <c r="B539">
        <v>85</v>
      </c>
      <c r="C539">
        <v>11</v>
      </c>
      <c r="D539">
        <v>14</v>
      </c>
      <c r="E539" s="21">
        <f>D539/PARAMS_MODELO!$B$28</f>
        <v>0.46666666666666667</v>
      </c>
      <c r="F539">
        <v>77</v>
      </c>
      <c r="G539">
        <v>5</v>
      </c>
      <c r="H539">
        <v>2</v>
      </c>
      <c r="I539" s="20">
        <f t="shared" si="8"/>
        <v>0.4</v>
      </c>
      <c r="J539" s="21">
        <f>(IFERROR(_xlfn.PERCENTRANK.INC($B$2:$B$1194,B539)*100,0)*PARAMS_MODELO!$B$25)+(IFERROR(_xlfn.PERCENTRANK.INC($C$2:$C$1194,C539)*100,0)*PARAMS_MODELO!$B$26)+(IFERROR(_xlfn.PERCENTRANK.INC($E$2:$E$1194,E539)*100,0)*PARAMS_MODELO!$B$27)+(IFERROR(_xlfn.PERCENTRANK.INC($F$2:$F$1194,F539)*100,0)*PARAMS_MODELO!$B$29)+(IFERROR(_xlfn.PERCENTRANK.INC($I$2:$I$1194,I539)*100,0)*PARAMS_MODELO!$B$31)</f>
        <v>53.365000000000002</v>
      </c>
    </row>
    <row r="540" spans="1:10" x14ac:dyDescent="0.3">
      <c r="A540">
        <v>51010833</v>
      </c>
      <c r="B540">
        <v>64</v>
      </c>
      <c r="C540">
        <v>3</v>
      </c>
      <c r="D540">
        <v>3</v>
      </c>
      <c r="E540" s="21">
        <f>D540/PARAMS_MODELO!$B$28</f>
        <v>0.1</v>
      </c>
      <c r="F540">
        <v>55</v>
      </c>
      <c r="G540">
        <v>57</v>
      </c>
      <c r="H540">
        <v>3</v>
      </c>
      <c r="I540" s="20">
        <f t="shared" si="8"/>
        <v>5.2631578947368418E-2</v>
      </c>
      <c r="J540" s="21">
        <f>(IFERROR(_xlfn.PERCENTRANK.INC($B$2:$B$1194,B540)*100,0)*PARAMS_MODELO!$B$25)+(IFERROR(_xlfn.PERCENTRANK.INC($C$2:$C$1194,C540)*100,0)*PARAMS_MODELO!$B$26)+(IFERROR(_xlfn.PERCENTRANK.INC($E$2:$E$1194,E540)*100,0)*PARAMS_MODELO!$B$27)+(IFERROR(_xlfn.PERCENTRANK.INC($F$2:$F$1194,F540)*100,0)*PARAMS_MODELO!$B$29)+(IFERROR(_xlfn.PERCENTRANK.INC($I$2:$I$1194,I540)*100,0)*PARAMS_MODELO!$B$31)</f>
        <v>31.015000000000004</v>
      </c>
    </row>
    <row r="541" spans="1:10" x14ac:dyDescent="0.3">
      <c r="A541">
        <v>51042956</v>
      </c>
      <c r="B541">
        <v>61</v>
      </c>
      <c r="C541">
        <v>25</v>
      </c>
      <c r="D541">
        <v>29</v>
      </c>
      <c r="E541" s="21">
        <f>D541/PARAMS_MODELO!$B$28</f>
        <v>0.96666666666666667</v>
      </c>
      <c r="F541">
        <v>53</v>
      </c>
      <c r="G541">
        <v>88</v>
      </c>
      <c r="H541">
        <v>27</v>
      </c>
      <c r="I541" s="20">
        <f t="shared" si="8"/>
        <v>0.30681818181818182</v>
      </c>
      <c r="J541" s="21">
        <f>(IFERROR(_xlfn.PERCENTRANK.INC($B$2:$B$1194,B541)*100,0)*PARAMS_MODELO!$B$25)+(IFERROR(_xlfn.PERCENTRANK.INC($C$2:$C$1194,C541)*100,0)*PARAMS_MODELO!$B$26)+(IFERROR(_xlfn.PERCENTRANK.INC($E$2:$E$1194,E541)*100,0)*PARAMS_MODELO!$B$27)+(IFERROR(_xlfn.PERCENTRANK.INC($F$2:$F$1194,F541)*100,0)*PARAMS_MODELO!$B$29)+(IFERROR(_xlfn.PERCENTRANK.INC($I$2:$I$1194,I541)*100,0)*PARAMS_MODELO!$B$31)</f>
        <v>57.92499999999999</v>
      </c>
    </row>
    <row r="542" spans="1:10" x14ac:dyDescent="0.3">
      <c r="A542">
        <v>51039645</v>
      </c>
      <c r="B542">
        <v>97</v>
      </c>
      <c r="C542">
        <v>3</v>
      </c>
      <c r="D542">
        <v>99</v>
      </c>
      <c r="E542" s="21">
        <f>D542/PARAMS_MODELO!$B$28</f>
        <v>3.3</v>
      </c>
      <c r="F542">
        <v>40</v>
      </c>
      <c r="G542">
        <v>47</v>
      </c>
      <c r="H542">
        <v>46</v>
      </c>
      <c r="I542" s="20">
        <f t="shared" si="8"/>
        <v>0.97872340425531912</v>
      </c>
      <c r="J542" s="21">
        <f>(IFERROR(_xlfn.PERCENTRANK.INC($B$2:$B$1194,B542)*100,0)*PARAMS_MODELO!$B$25)+(IFERROR(_xlfn.PERCENTRANK.INC($C$2:$C$1194,C542)*100,0)*PARAMS_MODELO!$B$26)+(IFERROR(_xlfn.PERCENTRANK.INC($E$2:$E$1194,E542)*100,0)*PARAMS_MODELO!$B$27)+(IFERROR(_xlfn.PERCENTRANK.INC($F$2:$F$1194,F542)*100,0)*PARAMS_MODELO!$B$29)+(IFERROR(_xlfn.PERCENTRANK.INC($I$2:$I$1194,I542)*100,0)*PARAMS_MODELO!$B$31)</f>
        <v>66.78</v>
      </c>
    </row>
    <row r="543" spans="1:10" x14ac:dyDescent="0.3">
      <c r="A543">
        <v>51021622</v>
      </c>
      <c r="B543">
        <v>22</v>
      </c>
      <c r="C543">
        <v>2</v>
      </c>
      <c r="D543">
        <v>22</v>
      </c>
      <c r="E543" s="21">
        <f>D543/PARAMS_MODELO!$B$28</f>
        <v>0.73333333333333328</v>
      </c>
      <c r="F543">
        <v>80</v>
      </c>
      <c r="G543">
        <v>78</v>
      </c>
      <c r="H543">
        <v>17</v>
      </c>
      <c r="I543" s="20">
        <f t="shared" si="8"/>
        <v>0.21794871794871795</v>
      </c>
      <c r="J543" s="21">
        <f>(IFERROR(_xlfn.PERCENTRANK.INC($B$2:$B$1194,B543)*100,0)*PARAMS_MODELO!$B$25)+(IFERROR(_xlfn.PERCENTRANK.INC($C$2:$C$1194,C543)*100,0)*PARAMS_MODELO!$B$26)+(IFERROR(_xlfn.PERCENTRANK.INC($E$2:$E$1194,E543)*100,0)*PARAMS_MODELO!$B$27)+(IFERROR(_xlfn.PERCENTRANK.INC($F$2:$F$1194,F543)*100,0)*PARAMS_MODELO!$B$29)+(IFERROR(_xlfn.PERCENTRANK.INC($I$2:$I$1194,I543)*100,0)*PARAMS_MODELO!$B$31)</f>
        <v>27.100000000000005</v>
      </c>
    </row>
    <row r="544" spans="1:10" x14ac:dyDescent="0.3">
      <c r="A544">
        <v>51031491</v>
      </c>
      <c r="B544">
        <v>46</v>
      </c>
      <c r="C544">
        <v>17</v>
      </c>
      <c r="D544">
        <v>47</v>
      </c>
      <c r="E544" s="21">
        <f>D544/PARAMS_MODELO!$B$28</f>
        <v>1.5666666666666667</v>
      </c>
      <c r="F544">
        <v>82</v>
      </c>
      <c r="G544">
        <v>84</v>
      </c>
      <c r="H544">
        <v>58</v>
      </c>
      <c r="I544" s="20">
        <f t="shared" si="8"/>
        <v>0.69047619047619047</v>
      </c>
      <c r="J544" s="21">
        <f>(IFERROR(_xlfn.PERCENTRANK.INC($B$2:$B$1194,B544)*100,0)*PARAMS_MODELO!$B$25)+(IFERROR(_xlfn.PERCENTRANK.INC($C$2:$C$1194,C544)*100,0)*PARAMS_MODELO!$B$26)+(IFERROR(_xlfn.PERCENTRANK.INC($E$2:$E$1194,E544)*100,0)*PARAMS_MODELO!$B$27)+(IFERROR(_xlfn.PERCENTRANK.INC($F$2:$F$1194,F544)*100,0)*PARAMS_MODELO!$B$29)+(IFERROR(_xlfn.PERCENTRANK.INC($I$2:$I$1194,I544)*100,0)*PARAMS_MODELO!$B$31)</f>
        <v>57.83</v>
      </c>
    </row>
    <row r="545" spans="1:10" x14ac:dyDescent="0.3">
      <c r="A545">
        <v>51020162</v>
      </c>
      <c r="B545">
        <v>28</v>
      </c>
      <c r="C545">
        <v>20</v>
      </c>
      <c r="D545">
        <v>76</v>
      </c>
      <c r="E545" s="21">
        <f>D545/PARAMS_MODELO!$B$28</f>
        <v>2.5333333333333332</v>
      </c>
      <c r="F545">
        <v>76</v>
      </c>
      <c r="G545">
        <v>11</v>
      </c>
      <c r="H545">
        <v>6</v>
      </c>
      <c r="I545" s="20">
        <f t="shared" si="8"/>
        <v>0.54545454545454541</v>
      </c>
      <c r="J545" s="21">
        <f>(IFERROR(_xlfn.PERCENTRANK.INC($B$2:$B$1194,B545)*100,0)*PARAMS_MODELO!$B$25)+(IFERROR(_xlfn.PERCENTRANK.INC($C$2:$C$1194,C545)*100,0)*PARAMS_MODELO!$B$26)+(IFERROR(_xlfn.PERCENTRANK.INC($E$2:$E$1194,E545)*100,0)*PARAMS_MODELO!$B$27)+(IFERROR(_xlfn.PERCENTRANK.INC($F$2:$F$1194,F545)*100,0)*PARAMS_MODELO!$B$29)+(IFERROR(_xlfn.PERCENTRANK.INC($I$2:$I$1194,I545)*100,0)*PARAMS_MODELO!$B$31)</f>
        <v>59.120000000000005</v>
      </c>
    </row>
    <row r="546" spans="1:10" x14ac:dyDescent="0.3">
      <c r="A546">
        <v>51017056</v>
      </c>
      <c r="B546">
        <v>96</v>
      </c>
      <c r="C546">
        <v>2</v>
      </c>
      <c r="D546">
        <v>80</v>
      </c>
      <c r="E546" s="21">
        <f>D546/PARAMS_MODELO!$B$28</f>
        <v>2.6666666666666665</v>
      </c>
      <c r="F546">
        <v>91</v>
      </c>
      <c r="G546">
        <v>57</v>
      </c>
      <c r="H546">
        <v>15</v>
      </c>
      <c r="I546" s="20">
        <f t="shared" si="8"/>
        <v>0.26315789473684209</v>
      </c>
      <c r="J546" s="21">
        <f>(IFERROR(_xlfn.PERCENTRANK.INC($B$2:$B$1194,B546)*100,0)*PARAMS_MODELO!$B$25)+(IFERROR(_xlfn.PERCENTRANK.INC($C$2:$C$1194,C546)*100,0)*PARAMS_MODELO!$B$26)+(IFERROR(_xlfn.PERCENTRANK.INC($E$2:$E$1194,E546)*100,0)*PARAMS_MODELO!$B$27)+(IFERROR(_xlfn.PERCENTRANK.INC($F$2:$F$1194,F546)*100,0)*PARAMS_MODELO!$B$29)+(IFERROR(_xlfn.PERCENTRANK.INC($I$2:$I$1194,I546)*100,0)*PARAMS_MODELO!$B$31)</f>
        <v>62.324999999999996</v>
      </c>
    </row>
    <row r="547" spans="1:10" x14ac:dyDescent="0.3">
      <c r="A547">
        <v>51056019</v>
      </c>
      <c r="B547">
        <v>40</v>
      </c>
      <c r="C547">
        <v>4</v>
      </c>
      <c r="D547">
        <v>31</v>
      </c>
      <c r="E547" s="21">
        <f>D547/PARAMS_MODELO!$B$28</f>
        <v>1.0333333333333334</v>
      </c>
      <c r="F547">
        <v>21</v>
      </c>
      <c r="G547">
        <v>11</v>
      </c>
      <c r="H547">
        <v>4</v>
      </c>
      <c r="I547" s="20">
        <f t="shared" si="8"/>
        <v>0.36363636363636365</v>
      </c>
      <c r="J547" s="21">
        <f>(IFERROR(_xlfn.PERCENTRANK.INC($B$2:$B$1194,B547)*100,0)*PARAMS_MODELO!$B$25)+(IFERROR(_xlfn.PERCENTRANK.INC($C$2:$C$1194,C547)*100,0)*PARAMS_MODELO!$B$26)+(IFERROR(_xlfn.PERCENTRANK.INC($E$2:$E$1194,E547)*100,0)*PARAMS_MODELO!$B$27)+(IFERROR(_xlfn.PERCENTRANK.INC($F$2:$F$1194,F547)*100,0)*PARAMS_MODELO!$B$29)+(IFERROR(_xlfn.PERCENTRANK.INC($I$2:$I$1194,I547)*100,0)*PARAMS_MODELO!$B$31)</f>
        <v>27.78</v>
      </c>
    </row>
    <row r="548" spans="1:10" x14ac:dyDescent="0.3">
      <c r="A548">
        <v>51017579</v>
      </c>
      <c r="B548">
        <v>97</v>
      </c>
      <c r="C548">
        <v>5</v>
      </c>
      <c r="D548">
        <v>24</v>
      </c>
      <c r="E548" s="21">
        <f>D548/PARAMS_MODELO!$B$28</f>
        <v>0.8</v>
      </c>
      <c r="F548">
        <v>69</v>
      </c>
      <c r="G548">
        <v>41</v>
      </c>
      <c r="H548">
        <v>33</v>
      </c>
      <c r="I548" s="20">
        <f t="shared" si="8"/>
        <v>0.80487804878048785</v>
      </c>
      <c r="J548" s="21">
        <f>(IFERROR(_xlfn.PERCENTRANK.INC($B$2:$B$1194,B548)*100,0)*PARAMS_MODELO!$B$25)+(IFERROR(_xlfn.PERCENTRANK.INC($C$2:$C$1194,C548)*100,0)*PARAMS_MODELO!$B$26)+(IFERROR(_xlfn.PERCENTRANK.INC($E$2:$E$1194,E548)*100,0)*PARAMS_MODELO!$B$27)+(IFERROR(_xlfn.PERCENTRANK.INC($F$2:$F$1194,F548)*100,0)*PARAMS_MODELO!$B$29)+(IFERROR(_xlfn.PERCENTRANK.INC($I$2:$I$1194,I548)*100,0)*PARAMS_MODELO!$B$31)</f>
        <v>56.214999999999989</v>
      </c>
    </row>
    <row r="549" spans="1:10" x14ac:dyDescent="0.3">
      <c r="A549">
        <v>51015487</v>
      </c>
      <c r="B549">
        <v>7</v>
      </c>
      <c r="C549">
        <v>5</v>
      </c>
      <c r="D549">
        <v>67</v>
      </c>
      <c r="E549" s="21">
        <f>D549/PARAMS_MODELO!$B$28</f>
        <v>2.2333333333333334</v>
      </c>
      <c r="F549">
        <v>35</v>
      </c>
      <c r="G549">
        <v>1</v>
      </c>
      <c r="H549">
        <v>0</v>
      </c>
      <c r="I549" s="20">
        <f t="shared" si="8"/>
        <v>0</v>
      </c>
      <c r="J549" s="21">
        <f>(IFERROR(_xlfn.PERCENTRANK.INC($B$2:$B$1194,B549)*100,0)*PARAMS_MODELO!$B$25)+(IFERROR(_xlfn.PERCENTRANK.INC($C$2:$C$1194,C549)*100,0)*PARAMS_MODELO!$B$26)+(IFERROR(_xlfn.PERCENTRANK.INC($E$2:$E$1194,E549)*100,0)*PARAMS_MODELO!$B$27)+(IFERROR(_xlfn.PERCENTRANK.INC($F$2:$F$1194,F549)*100,0)*PARAMS_MODELO!$B$29)+(IFERROR(_xlfn.PERCENTRANK.INC($I$2:$I$1194,I549)*100,0)*PARAMS_MODELO!$B$31)</f>
        <v>25.005000000000003</v>
      </c>
    </row>
    <row r="550" spans="1:10" x14ac:dyDescent="0.3">
      <c r="A550">
        <v>51040333</v>
      </c>
      <c r="B550">
        <v>29</v>
      </c>
      <c r="C550">
        <v>10</v>
      </c>
      <c r="D550">
        <v>75</v>
      </c>
      <c r="E550" s="21">
        <f>D550/PARAMS_MODELO!$B$28</f>
        <v>2.5</v>
      </c>
      <c r="F550">
        <v>73</v>
      </c>
      <c r="G550">
        <v>78</v>
      </c>
      <c r="H550">
        <v>65</v>
      </c>
      <c r="I550" s="20">
        <f t="shared" si="8"/>
        <v>0.83333333333333337</v>
      </c>
      <c r="J550" s="21">
        <f>(IFERROR(_xlfn.PERCENTRANK.INC($B$2:$B$1194,B550)*100,0)*PARAMS_MODELO!$B$25)+(IFERROR(_xlfn.PERCENTRANK.INC($C$2:$C$1194,C550)*100,0)*PARAMS_MODELO!$B$26)+(IFERROR(_xlfn.PERCENTRANK.INC($E$2:$E$1194,E550)*100,0)*PARAMS_MODELO!$B$27)+(IFERROR(_xlfn.PERCENTRANK.INC($F$2:$F$1194,F550)*100,0)*PARAMS_MODELO!$B$29)+(IFERROR(_xlfn.PERCENTRANK.INC($I$2:$I$1194,I550)*100,0)*PARAMS_MODELO!$B$31)</f>
        <v>51.955000000000005</v>
      </c>
    </row>
    <row r="551" spans="1:10" x14ac:dyDescent="0.3">
      <c r="A551">
        <v>51017153</v>
      </c>
      <c r="B551">
        <v>37</v>
      </c>
      <c r="C551">
        <v>22</v>
      </c>
      <c r="D551">
        <v>87</v>
      </c>
      <c r="E551" s="21">
        <f>D551/PARAMS_MODELO!$B$28</f>
        <v>2.9</v>
      </c>
      <c r="F551">
        <v>38</v>
      </c>
      <c r="G551">
        <v>75</v>
      </c>
      <c r="H551">
        <v>55</v>
      </c>
      <c r="I551" s="20">
        <f t="shared" si="8"/>
        <v>0.73333333333333328</v>
      </c>
      <c r="J551" s="21">
        <f>(IFERROR(_xlfn.PERCENTRANK.INC($B$2:$B$1194,B551)*100,0)*PARAMS_MODELO!$B$25)+(IFERROR(_xlfn.PERCENTRANK.INC($C$2:$C$1194,C551)*100,0)*PARAMS_MODELO!$B$26)+(IFERROR(_xlfn.PERCENTRANK.INC($E$2:$E$1194,E551)*100,0)*PARAMS_MODELO!$B$27)+(IFERROR(_xlfn.PERCENTRANK.INC($F$2:$F$1194,F551)*100,0)*PARAMS_MODELO!$B$29)+(IFERROR(_xlfn.PERCENTRANK.INC($I$2:$I$1194,I551)*100,0)*PARAMS_MODELO!$B$31)</f>
        <v>61.765000000000001</v>
      </c>
    </row>
    <row r="552" spans="1:10" x14ac:dyDescent="0.3">
      <c r="A552">
        <v>51021886</v>
      </c>
      <c r="B552">
        <v>1</v>
      </c>
      <c r="C552">
        <v>5</v>
      </c>
      <c r="D552">
        <v>97</v>
      </c>
      <c r="E552" s="21">
        <f>D552/PARAMS_MODELO!$B$28</f>
        <v>3.2333333333333334</v>
      </c>
      <c r="F552">
        <v>46</v>
      </c>
      <c r="G552">
        <v>2</v>
      </c>
      <c r="H552">
        <v>0</v>
      </c>
      <c r="I552" s="20">
        <f t="shared" si="8"/>
        <v>0</v>
      </c>
      <c r="J552" s="21">
        <f>(IFERROR(_xlfn.PERCENTRANK.INC($B$2:$B$1194,B552)*100,0)*PARAMS_MODELO!$B$25)+(IFERROR(_xlfn.PERCENTRANK.INC($C$2:$C$1194,C552)*100,0)*PARAMS_MODELO!$B$26)+(IFERROR(_xlfn.PERCENTRANK.INC($E$2:$E$1194,E552)*100,0)*PARAMS_MODELO!$B$27)+(IFERROR(_xlfn.PERCENTRANK.INC($F$2:$F$1194,F552)*100,0)*PARAMS_MODELO!$B$29)+(IFERROR(_xlfn.PERCENTRANK.INC($I$2:$I$1194,I552)*100,0)*PARAMS_MODELO!$B$31)</f>
        <v>30.664999999999999</v>
      </c>
    </row>
    <row r="553" spans="1:10" x14ac:dyDescent="0.3">
      <c r="A553">
        <v>51023188</v>
      </c>
      <c r="B553">
        <v>100</v>
      </c>
      <c r="C553">
        <v>3</v>
      </c>
      <c r="D553">
        <v>21</v>
      </c>
      <c r="E553" s="21">
        <f>D553/PARAMS_MODELO!$B$28</f>
        <v>0.7</v>
      </c>
      <c r="F553">
        <v>16</v>
      </c>
      <c r="G553">
        <v>82</v>
      </c>
      <c r="H553">
        <v>7</v>
      </c>
      <c r="I553" s="20">
        <f t="shared" si="8"/>
        <v>8.5365853658536592E-2</v>
      </c>
      <c r="J553" s="21">
        <f>(IFERROR(_xlfn.PERCENTRANK.INC($B$2:$B$1194,B553)*100,0)*PARAMS_MODELO!$B$25)+(IFERROR(_xlfn.PERCENTRANK.INC($C$2:$C$1194,C553)*100,0)*PARAMS_MODELO!$B$26)+(IFERROR(_xlfn.PERCENTRANK.INC($E$2:$E$1194,E553)*100,0)*PARAMS_MODELO!$B$27)+(IFERROR(_xlfn.PERCENTRANK.INC($F$2:$F$1194,F553)*100,0)*PARAMS_MODELO!$B$29)+(IFERROR(_xlfn.PERCENTRANK.INC($I$2:$I$1194,I553)*100,0)*PARAMS_MODELO!$B$31)</f>
        <v>39.625</v>
      </c>
    </row>
    <row r="554" spans="1:10" x14ac:dyDescent="0.3">
      <c r="A554">
        <v>51055667</v>
      </c>
      <c r="B554">
        <v>65</v>
      </c>
      <c r="C554">
        <v>8</v>
      </c>
      <c r="D554">
        <v>99</v>
      </c>
      <c r="E554" s="21">
        <f>D554/PARAMS_MODELO!$B$28</f>
        <v>3.3</v>
      </c>
      <c r="F554">
        <v>53</v>
      </c>
      <c r="G554">
        <v>55</v>
      </c>
      <c r="H554">
        <v>5</v>
      </c>
      <c r="I554" s="20">
        <f t="shared" si="8"/>
        <v>9.0909090909090912E-2</v>
      </c>
      <c r="J554" s="21">
        <f>(IFERROR(_xlfn.PERCENTRANK.INC($B$2:$B$1194,B554)*100,0)*PARAMS_MODELO!$B$25)+(IFERROR(_xlfn.PERCENTRANK.INC($C$2:$C$1194,C554)*100,0)*PARAMS_MODELO!$B$26)+(IFERROR(_xlfn.PERCENTRANK.INC($E$2:$E$1194,E554)*100,0)*PARAMS_MODELO!$B$27)+(IFERROR(_xlfn.PERCENTRANK.INC($F$2:$F$1194,F554)*100,0)*PARAMS_MODELO!$B$29)+(IFERROR(_xlfn.PERCENTRANK.INC($I$2:$I$1194,I554)*100,0)*PARAMS_MODELO!$B$31)</f>
        <v>54.8</v>
      </c>
    </row>
    <row r="555" spans="1:10" x14ac:dyDescent="0.3">
      <c r="A555">
        <v>51020081</v>
      </c>
      <c r="B555">
        <v>80</v>
      </c>
      <c r="C555">
        <v>1</v>
      </c>
      <c r="D555">
        <v>94</v>
      </c>
      <c r="E555" s="21">
        <f>D555/PARAMS_MODELO!$B$28</f>
        <v>3.1333333333333333</v>
      </c>
      <c r="F555">
        <v>3</v>
      </c>
      <c r="G555">
        <v>86</v>
      </c>
      <c r="H555">
        <v>21</v>
      </c>
      <c r="I555" s="20">
        <f t="shared" si="8"/>
        <v>0.2441860465116279</v>
      </c>
      <c r="J555" s="21">
        <f>(IFERROR(_xlfn.PERCENTRANK.INC($B$2:$B$1194,B555)*100,0)*PARAMS_MODELO!$B$25)+(IFERROR(_xlfn.PERCENTRANK.INC($C$2:$C$1194,C555)*100,0)*PARAMS_MODELO!$B$26)+(IFERROR(_xlfn.PERCENTRANK.INC($E$2:$E$1194,E555)*100,0)*PARAMS_MODELO!$B$27)+(IFERROR(_xlfn.PERCENTRANK.INC($F$2:$F$1194,F555)*100,0)*PARAMS_MODELO!$B$29)+(IFERROR(_xlfn.PERCENTRANK.INC($I$2:$I$1194,I555)*100,0)*PARAMS_MODELO!$B$31)</f>
        <v>46.335000000000008</v>
      </c>
    </row>
    <row r="556" spans="1:10" x14ac:dyDescent="0.3">
      <c r="A556">
        <v>51018729</v>
      </c>
      <c r="B556">
        <v>21</v>
      </c>
      <c r="C556">
        <v>15</v>
      </c>
      <c r="D556">
        <v>36</v>
      </c>
      <c r="E556" s="21">
        <f>D556/PARAMS_MODELO!$B$28</f>
        <v>1.2</v>
      </c>
      <c r="F556">
        <v>69</v>
      </c>
      <c r="G556">
        <v>59</v>
      </c>
      <c r="H556">
        <v>8</v>
      </c>
      <c r="I556" s="20">
        <f t="shared" si="8"/>
        <v>0.13559322033898305</v>
      </c>
      <c r="J556" s="21">
        <f>(IFERROR(_xlfn.PERCENTRANK.INC($B$2:$B$1194,B556)*100,0)*PARAMS_MODELO!$B$25)+(IFERROR(_xlfn.PERCENTRANK.INC($C$2:$C$1194,C556)*100,0)*PARAMS_MODELO!$B$26)+(IFERROR(_xlfn.PERCENTRANK.INC($E$2:$E$1194,E556)*100,0)*PARAMS_MODELO!$B$27)+(IFERROR(_xlfn.PERCENTRANK.INC($F$2:$F$1194,F556)*100,0)*PARAMS_MODELO!$B$29)+(IFERROR(_xlfn.PERCENTRANK.INC($I$2:$I$1194,I556)*100,0)*PARAMS_MODELO!$B$31)</f>
        <v>38.665000000000006</v>
      </c>
    </row>
    <row r="557" spans="1:10" x14ac:dyDescent="0.3">
      <c r="A557">
        <v>51030222</v>
      </c>
      <c r="B557">
        <v>65</v>
      </c>
      <c r="C557">
        <v>7</v>
      </c>
      <c r="D557">
        <v>97</v>
      </c>
      <c r="E557" s="21">
        <f>D557/PARAMS_MODELO!$B$28</f>
        <v>3.2333333333333334</v>
      </c>
      <c r="F557">
        <v>53</v>
      </c>
      <c r="G557">
        <v>11</v>
      </c>
      <c r="H557">
        <v>1</v>
      </c>
      <c r="I557" s="20">
        <f t="shared" si="8"/>
        <v>9.0909090909090912E-2</v>
      </c>
      <c r="J557" s="21">
        <f>(IFERROR(_xlfn.PERCENTRANK.INC($B$2:$B$1194,B557)*100,0)*PARAMS_MODELO!$B$25)+(IFERROR(_xlfn.PERCENTRANK.INC($C$2:$C$1194,C557)*100,0)*PARAMS_MODELO!$B$26)+(IFERROR(_xlfn.PERCENTRANK.INC($E$2:$E$1194,E557)*100,0)*PARAMS_MODELO!$B$27)+(IFERROR(_xlfn.PERCENTRANK.INC($F$2:$F$1194,F557)*100,0)*PARAMS_MODELO!$B$29)+(IFERROR(_xlfn.PERCENTRANK.INC($I$2:$I$1194,I557)*100,0)*PARAMS_MODELO!$B$31)</f>
        <v>53.424999999999997</v>
      </c>
    </row>
    <row r="558" spans="1:10" x14ac:dyDescent="0.3">
      <c r="A558">
        <v>51002717</v>
      </c>
      <c r="B558">
        <v>63</v>
      </c>
      <c r="C558">
        <v>0</v>
      </c>
      <c r="D558">
        <v>99</v>
      </c>
      <c r="E558" s="21">
        <f>D558/PARAMS_MODELO!$B$28</f>
        <v>3.3</v>
      </c>
      <c r="F558">
        <v>100</v>
      </c>
      <c r="G558">
        <v>89</v>
      </c>
      <c r="H558">
        <v>73</v>
      </c>
      <c r="I558" s="20">
        <f t="shared" si="8"/>
        <v>0.8202247191011236</v>
      </c>
      <c r="J558" s="21">
        <f>(IFERROR(_xlfn.PERCENTRANK.INC($B$2:$B$1194,B558)*100,0)*PARAMS_MODELO!$B$25)+(IFERROR(_xlfn.PERCENTRANK.INC($C$2:$C$1194,C558)*100,0)*PARAMS_MODELO!$B$26)+(IFERROR(_xlfn.PERCENTRANK.INC($E$2:$E$1194,E558)*100,0)*PARAMS_MODELO!$B$27)+(IFERROR(_xlfn.PERCENTRANK.INC($F$2:$F$1194,F558)*100,0)*PARAMS_MODELO!$B$29)+(IFERROR(_xlfn.PERCENTRANK.INC($I$2:$I$1194,I558)*100,0)*PARAMS_MODELO!$B$31)</f>
        <v>61.050000000000004</v>
      </c>
    </row>
    <row r="559" spans="1:10" x14ac:dyDescent="0.3">
      <c r="A559">
        <v>51055454</v>
      </c>
      <c r="B559">
        <v>21</v>
      </c>
      <c r="C559">
        <v>23</v>
      </c>
      <c r="D559">
        <v>11</v>
      </c>
      <c r="E559" s="21">
        <f>D559/PARAMS_MODELO!$B$28</f>
        <v>0.36666666666666664</v>
      </c>
      <c r="F559">
        <v>89</v>
      </c>
      <c r="G559">
        <v>16</v>
      </c>
      <c r="H559">
        <v>12</v>
      </c>
      <c r="I559" s="20">
        <f t="shared" si="8"/>
        <v>0.75</v>
      </c>
      <c r="J559" s="21">
        <f>(IFERROR(_xlfn.PERCENTRANK.INC($B$2:$B$1194,B559)*100,0)*PARAMS_MODELO!$B$25)+(IFERROR(_xlfn.PERCENTRANK.INC($C$2:$C$1194,C559)*100,0)*PARAMS_MODELO!$B$26)+(IFERROR(_xlfn.PERCENTRANK.INC($E$2:$E$1194,E559)*100,0)*PARAMS_MODELO!$B$27)+(IFERROR(_xlfn.PERCENTRANK.INC($F$2:$F$1194,F559)*100,0)*PARAMS_MODELO!$B$29)+(IFERROR(_xlfn.PERCENTRANK.INC($I$2:$I$1194,I559)*100,0)*PARAMS_MODELO!$B$31)</f>
        <v>50.489999999999995</v>
      </c>
    </row>
    <row r="560" spans="1:10" x14ac:dyDescent="0.3">
      <c r="A560">
        <v>51055756</v>
      </c>
      <c r="B560">
        <v>49</v>
      </c>
      <c r="C560">
        <v>6</v>
      </c>
      <c r="D560">
        <v>80</v>
      </c>
      <c r="E560" s="21">
        <f>D560/PARAMS_MODELO!$B$28</f>
        <v>2.6666666666666665</v>
      </c>
      <c r="F560">
        <v>74</v>
      </c>
      <c r="G560">
        <v>82</v>
      </c>
      <c r="H560">
        <v>50</v>
      </c>
      <c r="I560" s="20">
        <f t="shared" si="8"/>
        <v>0.6097560975609756</v>
      </c>
      <c r="J560" s="21">
        <f>(IFERROR(_xlfn.PERCENTRANK.INC($B$2:$B$1194,B560)*100,0)*PARAMS_MODELO!$B$25)+(IFERROR(_xlfn.PERCENTRANK.INC($C$2:$C$1194,C560)*100,0)*PARAMS_MODELO!$B$26)+(IFERROR(_xlfn.PERCENTRANK.INC($E$2:$E$1194,E560)*100,0)*PARAMS_MODELO!$B$27)+(IFERROR(_xlfn.PERCENTRANK.INC($F$2:$F$1194,F560)*100,0)*PARAMS_MODELO!$B$29)+(IFERROR(_xlfn.PERCENTRANK.INC($I$2:$I$1194,I560)*100,0)*PARAMS_MODELO!$B$31)</f>
        <v>53.055</v>
      </c>
    </row>
    <row r="561" spans="1:10" x14ac:dyDescent="0.3">
      <c r="A561">
        <v>51011490</v>
      </c>
      <c r="B561">
        <v>50</v>
      </c>
      <c r="C561">
        <v>0</v>
      </c>
      <c r="D561">
        <v>33</v>
      </c>
      <c r="E561" s="21">
        <f>D561/PARAMS_MODELO!$B$28</f>
        <v>1.1000000000000001</v>
      </c>
      <c r="F561">
        <v>4</v>
      </c>
      <c r="G561">
        <v>73</v>
      </c>
      <c r="H561">
        <v>52</v>
      </c>
      <c r="I561" s="20">
        <f t="shared" si="8"/>
        <v>0.71232876712328763</v>
      </c>
      <c r="J561" s="21">
        <f>(IFERROR(_xlfn.PERCENTRANK.INC($B$2:$B$1194,B561)*100,0)*PARAMS_MODELO!$B$25)+(IFERROR(_xlfn.PERCENTRANK.INC($C$2:$C$1194,C561)*100,0)*PARAMS_MODELO!$B$26)+(IFERROR(_xlfn.PERCENTRANK.INC($E$2:$E$1194,E561)*100,0)*PARAMS_MODELO!$B$27)+(IFERROR(_xlfn.PERCENTRANK.INC($F$2:$F$1194,F561)*100,0)*PARAMS_MODELO!$B$29)+(IFERROR(_xlfn.PERCENTRANK.INC($I$2:$I$1194,I561)*100,0)*PARAMS_MODELO!$B$31)</f>
        <v>28.755000000000003</v>
      </c>
    </row>
    <row r="562" spans="1:10" x14ac:dyDescent="0.3">
      <c r="A562">
        <v>51010736</v>
      </c>
      <c r="B562">
        <v>93</v>
      </c>
      <c r="C562">
        <v>0</v>
      </c>
      <c r="D562">
        <v>8</v>
      </c>
      <c r="E562" s="21">
        <f>D562/PARAMS_MODELO!$B$28</f>
        <v>0.26666666666666666</v>
      </c>
      <c r="F562">
        <v>74</v>
      </c>
      <c r="G562">
        <v>51</v>
      </c>
      <c r="H562">
        <v>10</v>
      </c>
      <c r="I562" s="20">
        <f t="shared" si="8"/>
        <v>0.19607843137254902</v>
      </c>
      <c r="J562" s="21">
        <f>(IFERROR(_xlfn.PERCENTRANK.INC($B$2:$B$1194,B562)*100,0)*PARAMS_MODELO!$B$25)+(IFERROR(_xlfn.PERCENTRANK.INC($C$2:$C$1194,C562)*100,0)*PARAMS_MODELO!$B$26)+(IFERROR(_xlfn.PERCENTRANK.INC($E$2:$E$1194,E562)*100,0)*PARAMS_MODELO!$B$27)+(IFERROR(_xlfn.PERCENTRANK.INC($F$2:$F$1194,F562)*100,0)*PARAMS_MODELO!$B$29)+(IFERROR(_xlfn.PERCENTRANK.INC($I$2:$I$1194,I562)*100,0)*PARAMS_MODELO!$B$31)</f>
        <v>41.800000000000004</v>
      </c>
    </row>
    <row r="563" spans="1:10" x14ac:dyDescent="0.3">
      <c r="A563">
        <v>51016149</v>
      </c>
      <c r="B563">
        <v>12</v>
      </c>
      <c r="C563">
        <v>14</v>
      </c>
      <c r="D563">
        <v>3</v>
      </c>
      <c r="E563" s="21">
        <f>D563/PARAMS_MODELO!$B$28</f>
        <v>0.1</v>
      </c>
      <c r="F563">
        <v>93</v>
      </c>
      <c r="G563">
        <v>19</v>
      </c>
      <c r="H563">
        <v>14</v>
      </c>
      <c r="I563" s="20">
        <f t="shared" si="8"/>
        <v>0.73684210526315785</v>
      </c>
      <c r="J563" s="21">
        <f>(IFERROR(_xlfn.PERCENTRANK.INC($B$2:$B$1194,B563)*100,0)*PARAMS_MODELO!$B$25)+(IFERROR(_xlfn.PERCENTRANK.INC($C$2:$C$1194,C563)*100,0)*PARAMS_MODELO!$B$26)+(IFERROR(_xlfn.PERCENTRANK.INC($E$2:$E$1194,E563)*100,0)*PARAMS_MODELO!$B$27)+(IFERROR(_xlfn.PERCENTRANK.INC($F$2:$F$1194,F563)*100,0)*PARAMS_MODELO!$B$29)+(IFERROR(_xlfn.PERCENTRANK.INC($I$2:$I$1194,I563)*100,0)*PARAMS_MODELO!$B$31)</f>
        <v>38.515000000000001</v>
      </c>
    </row>
    <row r="564" spans="1:10" x14ac:dyDescent="0.3">
      <c r="A564">
        <v>51013930</v>
      </c>
      <c r="B564">
        <v>96</v>
      </c>
      <c r="C564">
        <v>15</v>
      </c>
      <c r="D564">
        <v>2</v>
      </c>
      <c r="E564" s="21">
        <f>D564/PARAMS_MODELO!$B$28</f>
        <v>6.6666666666666666E-2</v>
      </c>
      <c r="F564">
        <v>30</v>
      </c>
      <c r="G564">
        <v>95</v>
      </c>
      <c r="H564">
        <v>93</v>
      </c>
      <c r="I564" s="20">
        <f t="shared" si="8"/>
        <v>0.97894736842105268</v>
      </c>
      <c r="J564" s="21">
        <f>(IFERROR(_xlfn.PERCENTRANK.INC($B$2:$B$1194,B564)*100,0)*PARAMS_MODELO!$B$25)+(IFERROR(_xlfn.PERCENTRANK.INC($C$2:$C$1194,C564)*100,0)*PARAMS_MODELO!$B$26)+(IFERROR(_xlfn.PERCENTRANK.INC($E$2:$E$1194,E564)*100,0)*PARAMS_MODELO!$B$27)+(IFERROR(_xlfn.PERCENTRANK.INC($F$2:$F$1194,F564)*100,0)*PARAMS_MODELO!$B$29)+(IFERROR(_xlfn.PERCENTRANK.INC($I$2:$I$1194,I564)*100,0)*PARAMS_MODELO!$B$31)</f>
        <v>56.47</v>
      </c>
    </row>
    <row r="565" spans="1:10" x14ac:dyDescent="0.3">
      <c r="A565">
        <v>51055641</v>
      </c>
      <c r="B565">
        <v>81</v>
      </c>
      <c r="C565">
        <v>11</v>
      </c>
      <c r="D565">
        <v>96</v>
      </c>
      <c r="E565" s="21">
        <f>D565/PARAMS_MODELO!$B$28</f>
        <v>3.2</v>
      </c>
      <c r="F565">
        <v>44</v>
      </c>
      <c r="G565">
        <v>97</v>
      </c>
      <c r="H565">
        <v>77</v>
      </c>
      <c r="I565" s="20">
        <f t="shared" si="8"/>
        <v>0.79381443298969068</v>
      </c>
      <c r="J565" s="21">
        <f>(IFERROR(_xlfn.PERCENTRANK.INC($B$2:$B$1194,B565)*100,0)*PARAMS_MODELO!$B$25)+(IFERROR(_xlfn.PERCENTRANK.INC($C$2:$C$1194,C565)*100,0)*PARAMS_MODELO!$B$26)+(IFERROR(_xlfn.PERCENTRANK.INC($E$2:$E$1194,E565)*100,0)*PARAMS_MODELO!$B$27)+(IFERROR(_xlfn.PERCENTRANK.INC($F$2:$F$1194,F565)*100,0)*PARAMS_MODELO!$B$29)+(IFERROR(_xlfn.PERCENTRANK.INC($I$2:$I$1194,I565)*100,0)*PARAMS_MODELO!$B$31)</f>
        <v>67.405000000000001</v>
      </c>
    </row>
    <row r="566" spans="1:10" x14ac:dyDescent="0.3">
      <c r="A566">
        <v>51021461</v>
      </c>
      <c r="B566">
        <v>68</v>
      </c>
      <c r="C566">
        <v>16</v>
      </c>
      <c r="D566">
        <v>14</v>
      </c>
      <c r="E566" s="21">
        <f>D566/PARAMS_MODELO!$B$28</f>
        <v>0.46666666666666667</v>
      </c>
      <c r="F566">
        <v>11</v>
      </c>
      <c r="G566">
        <v>92</v>
      </c>
      <c r="H566">
        <v>88</v>
      </c>
      <c r="I566" s="20">
        <f t="shared" si="8"/>
        <v>0.95652173913043481</v>
      </c>
      <c r="J566" s="21">
        <f>(IFERROR(_xlfn.PERCENTRANK.INC($B$2:$B$1194,B566)*100,0)*PARAMS_MODELO!$B$25)+(IFERROR(_xlfn.PERCENTRANK.INC($C$2:$C$1194,C566)*100,0)*PARAMS_MODELO!$B$26)+(IFERROR(_xlfn.PERCENTRANK.INC($E$2:$E$1194,E566)*100,0)*PARAMS_MODELO!$B$27)+(IFERROR(_xlfn.PERCENTRANK.INC($F$2:$F$1194,F566)*100,0)*PARAMS_MODELO!$B$29)+(IFERROR(_xlfn.PERCENTRANK.INC($I$2:$I$1194,I566)*100,0)*PARAMS_MODELO!$B$31)</f>
        <v>48.25500000000001</v>
      </c>
    </row>
    <row r="567" spans="1:10" x14ac:dyDescent="0.3">
      <c r="A567">
        <v>51039637</v>
      </c>
      <c r="B567">
        <v>68</v>
      </c>
      <c r="C567">
        <v>2</v>
      </c>
      <c r="D567">
        <v>45</v>
      </c>
      <c r="E567" s="21">
        <f>D567/PARAMS_MODELO!$B$28</f>
        <v>1.5</v>
      </c>
      <c r="F567">
        <v>19</v>
      </c>
      <c r="G567">
        <v>73</v>
      </c>
      <c r="H567">
        <v>64</v>
      </c>
      <c r="I567" s="20">
        <f t="shared" si="8"/>
        <v>0.87671232876712324</v>
      </c>
      <c r="J567" s="21">
        <f>(IFERROR(_xlfn.PERCENTRANK.INC($B$2:$B$1194,B567)*100,0)*PARAMS_MODELO!$B$25)+(IFERROR(_xlfn.PERCENTRANK.INC($C$2:$C$1194,C567)*100,0)*PARAMS_MODELO!$B$26)+(IFERROR(_xlfn.PERCENTRANK.INC($E$2:$E$1194,E567)*100,0)*PARAMS_MODELO!$B$27)+(IFERROR(_xlfn.PERCENTRANK.INC($F$2:$F$1194,F567)*100,0)*PARAMS_MODELO!$B$29)+(IFERROR(_xlfn.PERCENTRANK.INC($I$2:$I$1194,I567)*100,0)*PARAMS_MODELO!$B$31)</f>
        <v>42.25</v>
      </c>
    </row>
    <row r="568" spans="1:10" x14ac:dyDescent="0.3">
      <c r="A568">
        <v>51020308</v>
      </c>
      <c r="B568">
        <v>96</v>
      </c>
      <c r="C568">
        <v>16</v>
      </c>
      <c r="D568">
        <v>8</v>
      </c>
      <c r="E568" s="21">
        <f>D568/PARAMS_MODELO!$B$28</f>
        <v>0.26666666666666666</v>
      </c>
      <c r="F568">
        <v>92</v>
      </c>
      <c r="G568">
        <v>56</v>
      </c>
      <c r="H568">
        <v>12</v>
      </c>
      <c r="I568" s="20">
        <f t="shared" si="8"/>
        <v>0.21428571428571427</v>
      </c>
      <c r="J568" s="21">
        <f>(IFERROR(_xlfn.PERCENTRANK.INC($B$2:$B$1194,B568)*100,0)*PARAMS_MODELO!$B$25)+(IFERROR(_xlfn.PERCENTRANK.INC($C$2:$C$1194,C568)*100,0)*PARAMS_MODELO!$B$26)+(IFERROR(_xlfn.PERCENTRANK.INC($E$2:$E$1194,E568)*100,0)*PARAMS_MODELO!$B$27)+(IFERROR(_xlfn.PERCENTRANK.INC($F$2:$F$1194,F568)*100,0)*PARAMS_MODELO!$B$29)+(IFERROR(_xlfn.PERCENTRANK.INC($I$2:$I$1194,I568)*100,0)*PARAMS_MODELO!$B$31)</f>
        <v>60.124999999999993</v>
      </c>
    </row>
    <row r="569" spans="1:10" x14ac:dyDescent="0.3">
      <c r="A569">
        <v>51040597</v>
      </c>
      <c r="B569">
        <v>64</v>
      </c>
      <c r="C569">
        <v>7</v>
      </c>
      <c r="D569">
        <v>10</v>
      </c>
      <c r="E569" s="21">
        <f>D569/PARAMS_MODELO!$B$28</f>
        <v>0.33333333333333331</v>
      </c>
      <c r="F569">
        <v>26</v>
      </c>
      <c r="G569">
        <v>27</v>
      </c>
      <c r="H569">
        <v>26</v>
      </c>
      <c r="I569" s="20">
        <f t="shared" si="8"/>
        <v>0.96296296296296291</v>
      </c>
      <c r="J569" s="21">
        <f>(IFERROR(_xlfn.PERCENTRANK.INC($B$2:$B$1194,B569)*100,0)*PARAMS_MODELO!$B$25)+(IFERROR(_xlfn.PERCENTRANK.INC($C$2:$C$1194,C569)*100,0)*PARAMS_MODELO!$B$26)+(IFERROR(_xlfn.PERCENTRANK.INC($E$2:$E$1194,E569)*100,0)*PARAMS_MODELO!$B$27)+(IFERROR(_xlfn.PERCENTRANK.INC($F$2:$F$1194,F569)*100,0)*PARAMS_MODELO!$B$29)+(IFERROR(_xlfn.PERCENTRANK.INC($I$2:$I$1194,I569)*100,0)*PARAMS_MODELO!$B$31)</f>
        <v>40.08</v>
      </c>
    </row>
    <row r="570" spans="1:10" x14ac:dyDescent="0.3">
      <c r="A570">
        <v>51014197</v>
      </c>
      <c r="B570">
        <v>0</v>
      </c>
      <c r="C570">
        <v>8</v>
      </c>
      <c r="D570">
        <v>55</v>
      </c>
      <c r="E570" s="21">
        <f>D570/PARAMS_MODELO!$B$28</f>
        <v>1.8333333333333333</v>
      </c>
      <c r="F570">
        <v>54</v>
      </c>
      <c r="G570">
        <v>15</v>
      </c>
      <c r="H570">
        <v>14</v>
      </c>
      <c r="I570" s="20">
        <f t="shared" si="8"/>
        <v>0.93333333333333335</v>
      </c>
      <c r="J570" s="21">
        <f>(IFERROR(_xlfn.PERCENTRANK.INC($B$2:$B$1194,B570)*100,0)*PARAMS_MODELO!$B$25)+(IFERROR(_xlfn.PERCENTRANK.INC($C$2:$C$1194,C570)*100,0)*PARAMS_MODELO!$B$26)+(IFERROR(_xlfn.PERCENTRANK.INC($E$2:$E$1194,E570)*100,0)*PARAMS_MODELO!$B$27)+(IFERROR(_xlfn.PERCENTRANK.INC($F$2:$F$1194,F570)*100,0)*PARAMS_MODELO!$B$29)+(IFERROR(_xlfn.PERCENTRANK.INC($I$2:$I$1194,I570)*100,0)*PARAMS_MODELO!$B$31)</f>
        <v>35.650000000000006</v>
      </c>
    </row>
    <row r="571" spans="1:10" x14ac:dyDescent="0.3">
      <c r="A571">
        <v>51056621</v>
      </c>
      <c r="B571">
        <v>40</v>
      </c>
      <c r="C571">
        <v>23</v>
      </c>
      <c r="D571">
        <v>21</v>
      </c>
      <c r="E571" s="21">
        <f>D571/PARAMS_MODELO!$B$28</f>
        <v>0.7</v>
      </c>
      <c r="F571">
        <v>71</v>
      </c>
      <c r="G571">
        <v>23</v>
      </c>
      <c r="H571">
        <v>5</v>
      </c>
      <c r="I571" s="20">
        <f t="shared" si="8"/>
        <v>0.21739130434782608</v>
      </c>
      <c r="J571" s="21">
        <f>(IFERROR(_xlfn.PERCENTRANK.INC($B$2:$B$1194,B571)*100,0)*PARAMS_MODELO!$B$25)+(IFERROR(_xlfn.PERCENTRANK.INC($C$2:$C$1194,C571)*100,0)*PARAMS_MODELO!$B$26)+(IFERROR(_xlfn.PERCENTRANK.INC($E$2:$E$1194,E571)*100,0)*PARAMS_MODELO!$B$27)+(IFERROR(_xlfn.PERCENTRANK.INC($F$2:$F$1194,F571)*100,0)*PARAMS_MODELO!$B$29)+(IFERROR(_xlfn.PERCENTRANK.INC($I$2:$I$1194,I571)*100,0)*PARAMS_MODELO!$B$31)</f>
        <v>50.31</v>
      </c>
    </row>
    <row r="572" spans="1:10" x14ac:dyDescent="0.3">
      <c r="A572">
        <v>51018524</v>
      </c>
      <c r="B572">
        <v>28</v>
      </c>
      <c r="C572">
        <v>22</v>
      </c>
      <c r="D572">
        <v>86</v>
      </c>
      <c r="E572" s="21">
        <f>D572/PARAMS_MODELO!$B$28</f>
        <v>2.8666666666666667</v>
      </c>
      <c r="F572">
        <v>11</v>
      </c>
      <c r="G572">
        <v>85</v>
      </c>
      <c r="H572">
        <v>39</v>
      </c>
      <c r="I572" s="20">
        <f t="shared" si="8"/>
        <v>0.45882352941176469</v>
      </c>
      <c r="J572" s="21">
        <f>(IFERROR(_xlfn.PERCENTRANK.INC($B$2:$B$1194,B572)*100,0)*PARAMS_MODELO!$B$25)+(IFERROR(_xlfn.PERCENTRANK.INC($C$2:$C$1194,C572)*100,0)*PARAMS_MODELO!$B$26)+(IFERROR(_xlfn.PERCENTRANK.INC($E$2:$E$1194,E572)*100,0)*PARAMS_MODELO!$B$27)+(IFERROR(_xlfn.PERCENTRANK.INC($F$2:$F$1194,F572)*100,0)*PARAMS_MODELO!$B$29)+(IFERROR(_xlfn.PERCENTRANK.INC($I$2:$I$1194,I572)*100,0)*PARAMS_MODELO!$B$31)</f>
        <v>52.1</v>
      </c>
    </row>
    <row r="573" spans="1:10" x14ac:dyDescent="0.3">
      <c r="A573">
        <v>51056701</v>
      </c>
      <c r="B573">
        <v>65</v>
      </c>
      <c r="C573">
        <v>1</v>
      </c>
      <c r="D573">
        <v>93</v>
      </c>
      <c r="E573" s="21">
        <f>D573/PARAMS_MODELO!$B$28</f>
        <v>3.1</v>
      </c>
      <c r="F573">
        <v>45</v>
      </c>
      <c r="G573">
        <v>38</v>
      </c>
      <c r="H573">
        <v>24</v>
      </c>
      <c r="I573" s="20">
        <f t="shared" si="8"/>
        <v>0.63157894736842102</v>
      </c>
      <c r="J573" s="21">
        <f>(IFERROR(_xlfn.PERCENTRANK.INC($B$2:$B$1194,B573)*100,0)*PARAMS_MODELO!$B$25)+(IFERROR(_xlfn.PERCENTRANK.INC($C$2:$C$1194,C573)*100,0)*PARAMS_MODELO!$B$26)+(IFERROR(_xlfn.PERCENTRANK.INC($E$2:$E$1194,E573)*100,0)*PARAMS_MODELO!$B$27)+(IFERROR(_xlfn.PERCENTRANK.INC($F$2:$F$1194,F573)*100,0)*PARAMS_MODELO!$B$29)+(IFERROR(_xlfn.PERCENTRANK.INC($I$2:$I$1194,I573)*100,0)*PARAMS_MODELO!$B$31)</f>
        <v>51.35</v>
      </c>
    </row>
    <row r="574" spans="1:10" x14ac:dyDescent="0.3">
      <c r="A574">
        <v>51057007</v>
      </c>
      <c r="B574">
        <v>11</v>
      </c>
      <c r="C574">
        <v>1</v>
      </c>
      <c r="D574">
        <v>42</v>
      </c>
      <c r="E574" s="21">
        <f>D574/PARAMS_MODELO!$B$28</f>
        <v>1.4</v>
      </c>
      <c r="F574">
        <v>62</v>
      </c>
      <c r="G574">
        <v>76</v>
      </c>
      <c r="H574">
        <v>64</v>
      </c>
      <c r="I574" s="20">
        <f t="shared" si="8"/>
        <v>0.84210526315789469</v>
      </c>
      <c r="J574" s="21">
        <f>(IFERROR(_xlfn.PERCENTRANK.INC($B$2:$B$1194,B574)*100,0)*PARAMS_MODELO!$B$25)+(IFERROR(_xlfn.PERCENTRANK.INC($C$2:$C$1194,C574)*100,0)*PARAMS_MODELO!$B$26)+(IFERROR(_xlfn.PERCENTRANK.INC($E$2:$E$1194,E574)*100,0)*PARAMS_MODELO!$B$27)+(IFERROR(_xlfn.PERCENTRANK.INC($F$2:$F$1194,F574)*100,0)*PARAMS_MODELO!$B$29)+(IFERROR(_xlfn.PERCENTRANK.INC($I$2:$I$1194,I574)*100,0)*PARAMS_MODELO!$B$31)</f>
        <v>30.515000000000001</v>
      </c>
    </row>
    <row r="575" spans="1:10" x14ac:dyDescent="0.3">
      <c r="A575">
        <v>51011091</v>
      </c>
      <c r="B575">
        <v>25</v>
      </c>
      <c r="C575">
        <v>18</v>
      </c>
      <c r="D575">
        <v>74</v>
      </c>
      <c r="E575" s="21">
        <f>D575/PARAMS_MODELO!$B$28</f>
        <v>2.4666666666666668</v>
      </c>
      <c r="F575">
        <v>14</v>
      </c>
      <c r="G575">
        <v>77</v>
      </c>
      <c r="H575">
        <v>61</v>
      </c>
      <c r="I575" s="20">
        <f t="shared" si="8"/>
        <v>0.79220779220779225</v>
      </c>
      <c r="J575" s="21">
        <f>(IFERROR(_xlfn.PERCENTRANK.INC($B$2:$B$1194,B575)*100,0)*PARAMS_MODELO!$B$25)+(IFERROR(_xlfn.PERCENTRANK.INC($C$2:$C$1194,C575)*100,0)*PARAMS_MODELO!$B$26)+(IFERROR(_xlfn.PERCENTRANK.INC($E$2:$E$1194,E575)*100,0)*PARAMS_MODELO!$B$27)+(IFERROR(_xlfn.PERCENTRANK.INC($F$2:$F$1194,F575)*100,0)*PARAMS_MODELO!$B$29)+(IFERROR(_xlfn.PERCENTRANK.INC($I$2:$I$1194,I575)*100,0)*PARAMS_MODELO!$B$31)</f>
        <v>48.314999999999998</v>
      </c>
    </row>
    <row r="576" spans="1:10" x14ac:dyDescent="0.3">
      <c r="A576">
        <v>51011953</v>
      </c>
      <c r="B576">
        <v>79</v>
      </c>
      <c r="C576">
        <v>24</v>
      </c>
      <c r="D576">
        <v>95</v>
      </c>
      <c r="E576" s="21">
        <f>D576/PARAMS_MODELO!$B$28</f>
        <v>3.1666666666666665</v>
      </c>
      <c r="F576">
        <v>63</v>
      </c>
      <c r="G576">
        <v>40</v>
      </c>
      <c r="H576">
        <v>35</v>
      </c>
      <c r="I576" s="20">
        <f t="shared" si="8"/>
        <v>0.875</v>
      </c>
      <c r="J576" s="21">
        <f>(IFERROR(_xlfn.PERCENTRANK.INC($B$2:$B$1194,B576)*100,0)*PARAMS_MODELO!$B$25)+(IFERROR(_xlfn.PERCENTRANK.INC($C$2:$C$1194,C576)*100,0)*PARAMS_MODELO!$B$26)+(IFERROR(_xlfn.PERCENTRANK.INC($E$2:$E$1194,E576)*100,0)*PARAMS_MODELO!$B$27)+(IFERROR(_xlfn.PERCENTRANK.INC($F$2:$F$1194,F576)*100,0)*PARAMS_MODELO!$B$29)+(IFERROR(_xlfn.PERCENTRANK.INC($I$2:$I$1194,I576)*100,0)*PARAMS_MODELO!$B$31)</f>
        <v>82.98</v>
      </c>
    </row>
    <row r="577" spans="1:10" x14ac:dyDescent="0.3">
      <c r="A577">
        <v>51022955</v>
      </c>
      <c r="B577">
        <v>72</v>
      </c>
      <c r="C577">
        <v>8</v>
      </c>
      <c r="D577">
        <v>40</v>
      </c>
      <c r="E577" s="21">
        <f>D577/PARAMS_MODELO!$B$28</f>
        <v>1.3333333333333333</v>
      </c>
      <c r="F577">
        <v>79</v>
      </c>
      <c r="G577">
        <v>41</v>
      </c>
      <c r="H577">
        <v>24</v>
      </c>
      <c r="I577" s="20">
        <f t="shared" si="8"/>
        <v>0.58536585365853655</v>
      </c>
      <c r="J577" s="21">
        <f>(IFERROR(_xlfn.PERCENTRANK.INC($B$2:$B$1194,B577)*100,0)*PARAMS_MODELO!$B$25)+(IFERROR(_xlfn.PERCENTRANK.INC($C$2:$C$1194,C577)*100,0)*PARAMS_MODELO!$B$26)+(IFERROR(_xlfn.PERCENTRANK.INC($E$2:$E$1194,E577)*100,0)*PARAMS_MODELO!$B$27)+(IFERROR(_xlfn.PERCENTRANK.INC($F$2:$F$1194,F577)*100,0)*PARAMS_MODELO!$B$29)+(IFERROR(_xlfn.PERCENTRANK.INC($I$2:$I$1194,I577)*100,0)*PARAMS_MODELO!$B$31)</f>
        <v>54.42</v>
      </c>
    </row>
    <row r="578" spans="1:10" x14ac:dyDescent="0.3">
      <c r="A578">
        <v>51021673</v>
      </c>
      <c r="B578">
        <v>72</v>
      </c>
      <c r="C578">
        <v>9</v>
      </c>
      <c r="D578">
        <v>76</v>
      </c>
      <c r="E578" s="21">
        <f>D578/PARAMS_MODELO!$B$28</f>
        <v>2.5333333333333332</v>
      </c>
      <c r="F578">
        <v>80</v>
      </c>
      <c r="G578">
        <v>69</v>
      </c>
      <c r="H578">
        <v>10</v>
      </c>
      <c r="I578" s="20">
        <f t="shared" ref="I578:I641" si="9">IFERROR(H578/G578,0)</f>
        <v>0.14492753623188406</v>
      </c>
      <c r="J578" s="21">
        <f>(IFERROR(_xlfn.PERCENTRANK.INC($B$2:$B$1194,B578)*100,0)*PARAMS_MODELO!$B$25)+(IFERROR(_xlfn.PERCENTRANK.INC($C$2:$C$1194,C578)*100,0)*PARAMS_MODELO!$B$26)+(IFERROR(_xlfn.PERCENTRANK.INC($E$2:$E$1194,E578)*100,0)*PARAMS_MODELO!$B$27)+(IFERROR(_xlfn.PERCENTRANK.INC($F$2:$F$1194,F578)*100,0)*PARAMS_MODELO!$B$29)+(IFERROR(_xlfn.PERCENTRANK.INC($I$2:$I$1194,I578)*100,0)*PARAMS_MODELO!$B$31)</f>
        <v>58.425000000000004</v>
      </c>
    </row>
    <row r="579" spans="1:10" x14ac:dyDescent="0.3">
      <c r="A579">
        <v>51013476</v>
      </c>
      <c r="B579">
        <v>47</v>
      </c>
      <c r="C579">
        <v>10</v>
      </c>
      <c r="D579">
        <v>35</v>
      </c>
      <c r="E579" s="21">
        <f>D579/PARAMS_MODELO!$B$28</f>
        <v>1.1666666666666667</v>
      </c>
      <c r="F579">
        <v>28</v>
      </c>
      <c r="G579">
        <v>7</v>
      </c>
      <c r="H579">
        <v>2</v>
      </c>
      <c r="I579" s="20">
        <f t="shared" si="9"/>
        <v>0.2857142857142857</v>
      </c>
      <c r="J579" s="21">
        <f>(IFERROR(_xlfn.PERCENTRANK.INC($B$2:$B$1194,B579)*100,0)*PARAMS_MODELO!$B$25)+(IFERROR(_xlfn.PERCENTRANK.INC($C$2:$C$1194,C579)*100,0)*PARAMS_MODELO!$B$26)+(IFERROR(_xlfn.PERCENTRANK.INC($E$2:$E$1194,E579)*100,0)*PARAMS_MODELO!$B$27)+(IFERROR(_xlfn.PERCENTRANK.INC($F$2:$F$1194,F579)*100,0)*PARAMS_MODELO!$B$29)+(IFERROR(_xlfn.PERCENTRANK.INC($I$2:$I$1194,I579)*100,0)*PARAMS_MODELO!$B$31)</f>
        <v>36.549999999999997</v>
      </c>
    </row>
    <row r="580" spans="1:10" x14ac:dyDescent="0.3">
      <c r="A580">
        <v>51022998</v>
      </c>
      <c r="B580">
        <v>17</v>
      </c>
      <c r="C580">
        <v>12</v>
      </c>
      <c r="D580">
        <v>93</v>
      </c>
      <c r="E580" s="21">
        <f>D580/PARAMS_MODELO!$B$28</f>
        <v>3.1</v>
      </c>
      <c r="F580">
        <v>60</v>
      </c>
      <c r="G580">
        <v>77</v>
      </c>
      <c r="H580">
        <v>15</v>
      </c>
      <c r="I580" s="20">
        <f t="shared" si="9"/>
        <v>0.19480519480519481</v>
      </c>
      <c r="J580" s="21">
        <f>(IFERROR(_xlfn.PERCENTRANK.INC($B$2:$B$1194,B580)*100,0)*PARAMS_MODELO!$B$25)+(IFERROR(_xlfn.PERCENTRANK.INC($C$2:$C$1194,C580)*100,0)*PARAMS_MODELO!$B$26)+(IFERROR(_xlfn.PERCENTRANK.INC($E$2:$E$1194,E580)*100,0)*PARAMS_MODELO!$B$27)+(IFERROR(_xlfn.PERCENTRANK.INC($F$2:$F$1194,F580)*100,0)*PARAMS_MODELO!$B$29)+(IFERROR(_xlfn.PERCENTRANK.INC($I$2:$I$1194,I580)*100,0)*PARAMS_MODELO!$B$31)</f>
        <v>45.51</v>
      </c>
    </row>
    <row r="581" spans="1:10" x14ac:dyDescent="0.3">
      <c r="A581">
        <v>51056485</v>
      </c>
      <c r="B581">
        <v>18</v>
      </c>
      <c r="C581">
        <v>0</v>
      </c>
      <c r="D581">
        <v>41</v>
      </c>
      <c r="E581" s="21">
        <f>D581/PARAMS_MODELO!$B$28</f>
        <v>1.3666666666666667</v>
      </c>
      <c r="F581">
        <v>23</v>
      </c>
      <c r="G581">
        <v>76</v>
      </c>
      <c r="H581">
        <v>48</v>
      </c>
      <c r="I581" s="20">
        <f t="shared" si="9"/>
        <v>0.63157894736842102</v>
      </c>
      <c r="J581" s="21">
        <f>(IFERROR(_xlfn.PERCENTRANK.INC($B$2:$B$1194,B581)*100,0)*PARAMS_MODELO!$B$25)+(IFERROR(_xlfn.PERCENTRANK.INC($C$2:$C$1194,C581)*100,0)*PARAMS_MODELO!$B$26)+(IFERROR(_xlfn.PERCENTRANK.INC($E$2:$E$1194,E581)*100,0)*PARAMS_MODELO!$B$27)+(IFERROR(_xlfn.PERCENTRANK.INC($F$2:$F$1194,F581)*100,0)*PARAMS_MODELO!$B$29)+(IFERROR(_xlfn.PERCENTRANK.INC($I$2:$I$1194,I581)*100,0)*PARAMS_MODELO!$B$31)</f>
        <v>22.595000000000002</v>
      </c>
    </row>
    <row r="582" spans="1:10" x14ac:dyDescent="0.3">
      <c r="A582">
        <v>51055705</v>
      </c>
      <c r="B582">
        <v>28</v>
      </c>
      <c r="C582">
        <v>2</v>
      </c>
      <c r="D582">
        <v>6</v>
      </c>
      <c r="E582" s="21">
        <f>D582/PARAMS_MODELO!$B$28</f>
        <v>0.2</v>
      </c>
      <c r="F582">
        <v>23</v>
      </c>
      <c r="G582">
        <v>89</v>
      </c>
      <c r="H582">
        <v>5</v>
      </c>
      <c r="I582" s="20">
        <f t="shared" si="9"/>
        <v>5.6179775280898875E-2</v>
      </c>
      <c r="J582" s="21">
        <f>(IFERROR(_xlfn.PERCENTRANK.INC($B$2:$B$1194,B582)*100,0)*PARAMS_MODELO!$B$25)+(IFERROR(_xlfn.PERCENTRANK.INC($C$2:$C$1194,C582)*100,0)*PARAMS_MODELO!$B$26)+(IFERROR(_xlfn.PERCENTRANK.INC($E$2:$E$1194,E582)*100,0)*PARAMS_MODELO!$B$27)+(IFERROR(_xlfn.PERCENTRANK.INC($F$2:$F$1194,F582)*100,0)*PARAMS_MODELO!$B$29)+(IFERROR(_xlfn.PERCENTRANK.INC($I$2:$I$1194,I582)*100,0)*PARAMS_MODELO!$B$31)</f>
        <v>15.065</v>
      </c>
    </row>
    <row r="583" spans="1:10" x14ac:dyDescent="0.3">
      <c r="A583">
        <v>51041798</v>
      </c>
      <c r="B583">
        <v>5</v>
      </c>
      <c r="C583">
        <v>14</v>
      </c>
      <c r="D583">
        <v>74</v>
      </c>
      <c r="E583" s="21">
        <f>D583/PARAMS_MODELO!$B$28</f>
        <v>2.4666666666666668</v>
      </c>
      <c r="F583">
        <v>70</v>
      </c>
      <c r="G583">
        <v>71</v>
      </c>
      <c r="H583">
        <v>28</v>
      </c>
      <c r="I583" s="20">
        <f t="shared" si="9"/>
        <v>0.39436619718309857</v>
      </c>
      <c r="J583" s="21">
        <f>(IFERROR(_xlfn.PERCENTRANK.INC($B$2:$B$1194,B583)*100,0)*PARAMS_MODELO!$B$25)+(IFERROR(_xlfn.PERCENTRANK.INC($C$2:$C$1194,C583)*100,0)*PARAMS_MODELO!$B$26)+(IFERROR(_xlfn.PERCENTRANK.INC($E$2:$E$1194,E583)*100,0)*PARAMS_MODELO!$B$27)+(IFERROR(_xlfn.PERCENTRANK.INC($F$2:$F$1194,F583)*100,0)*PARAMS_MODELO!$B$29)+(IFERROR(_xlfn.PERCENTRANK.INC($I$2:$I$1194,I583)*100,0)*PARAMS_MODELO!$B$31)</f>
        <v>43.54</v>
      </c>
    </row>
    <row r="584" spans="1:10" x14ac:dyDescent="0.3">
      <c r="A584">
        <v>51020600</v>
      </c>
      <c r="B584">
        <v>91</v>
      </c>
      <c r="C584">
        <v>2</v>
      </c>
      <c r="D584">
        <v>40</v>
      </c>
      <c r="E584" s="21">
        <f>D584/PARAMS_MODELO!$B$28</f>
        <v>1.3333333333333333</v>
      </c>
      <c r="F584">
        <v>89</v>
      </c>
      <c r="G584">
        <v>30</v>
      </c>
      <c r="H584">
        <v>1</v>
      </c>
      <c r="I584" s="20">
        <f t="shared" si="9"/>
        <v>3.3333333333333333E-2</v>
      </c>
      <c r="J584" s="21">
        <f>(IFERROR(_xlfn.PERCENTRANK.INC($B$2:$B$1194,B584)*100,0)*PARAMS_MODELO!$B$25)+(IFERROR(_xlfn.PERCENTRANK.INC($C$2:$C$1194,C584)*100,0)*PARAMS_MODELO!$B$26)+(IFERROR(_xlfn.PERCENTRANK.INC($E$2:$E$1194,E584)*100,0)*PARAMS_MODELO!$B$27)+(IFERROR(_xlfn.PERCENTRANK.INC($F$2:$F$1194,F584)*100,0)*PARAMS_MODELO!$B$29)+(IFERROR(_xlfn.PERCENTRANK.INC($I$2:$I$1194,I584)*100,0)*PARAMS_MODELO!$B$31)</f>
        <v>50.044999999999995</v>
      </c>
    </row>
    <row r="585" spans="1:10" x14ac:dyDescent="0.3">
      <c r="A585">
        <v>51033795</v>
      </c>
      <c r="B585">
        <v>91</v>
      </c>
      <c r="C585">
        <v>5</v>
      </c>
      <c r="D585">
        <v>58</v>
      </c>
      <c r="E585" s="21">
        <f>D585/PARAMS_MODELO!$B$28</f>
        <v>1.9333333333333333</v>
      </c>
      <c r="F585">
        <v>62</v>
      </c>
      <c r="G585">
        <v>86</v>
      </c>
      <c r="H585">
        <v>43</v>
      </c>
      <c r="I585" s="20">
        <f t="shared" si="9"/>
        <v>0.5</v>
      </c>
      <c r="J585" s="21">
        <f>(IFERROR(_xlfn.PERCENTRANK.INC($B$2:$B$1194,B585)*100,0)*PARAMS_MODELO!$B$25)+(IFERROR(_xlfn.PERCENTRANK.INC($C$2:$C$1194,C585)*100,0)*PARAMS_MODELO!$B$26)+(IFERROR(_xlfn.PERCENTRANK.INC($E$2:$E$1194,E585)*100,0)*PARAMS_MODELO!$B$27)+(IFERROR(_xlfn.PERCENTRANK.INC($F$2:$F$1194,F585)*100,0)*PARAMS_MODELO!$B$29)+(IFERROR(_xlfn.PERCENTRANK.INC($I$2:$I$1194,I585)*100,0)*PARAMS_MODELO!$B$31)</f>
        <v>56.88</v>
      </c>
    </row>
    <row r="586" spans="1:10" x14ac:dyDescent="0.3">
      <c r="A586">
        <v>51030419</v>
      </c>
      <c r="B586">
        <v>70</v>
      </c>
      <c r="C586">
        <v>3</v>
      </c>
      <c r="D586">
        <v>57</v>
      </c>
      <c r="E586" s="21">
        <f>D586/PARAMS_MODELO!$B$28</f>
        <v>1.9</v>
      </c>
      <c r="F586">
        <v>65</v>
      </c>
      <c r="G586">
        <v>93</v>
      </c>
      <c r="H586">
        <v>28</v>
      </c>
      <c r="I586" s="20">
        <f t="shared" si="9"/>
        <v>0.30107526881720431</v>
      </c>
      <c r="J586" s="21">
        <f>(IFERROR(_xlfn.PERCENTRANK.INC($B$2:$B$1194,B586)*100,0)*PARAMS_MODELO!$B$25)+(IFERROR(_xlfn.PERCENTRANK.INC($C$2:$C$1194,C586)*100,0)*PARAMS_MODELO!$B$26)+(IFERROR(_xlfn.PERCENTRANK.INC($E$2:$E$1194,E586)*100,0)*PARAMS_MODELO!$B$27)+(IFERROR(_xlfn.PERCENTRANK.INC($F$2:$F$1194,F586)*100,0)*PARAMS_MODELO!$B$29)+(IFERROR(_xlfn.PERCENTRANK.INC($I$2:$I$1194,I586)*100,0)*PARAMS_MODELO!$B$31)</f>
        <v>47.64</v>
      </c>
    </row>
    <row r="587" spans="1:10" x14ac:dyDescent="0.3">
      <c r="A587">
        <v>51038819</v>
      </c>
      <c r="B587">
        <v>92</v>
      </c>
      <c r="C587">
        <v>8</v>
      </c>
      <c r="D587">
        <v>16</v>
      </c>
      <c r="E587" s="21">
        <f>D587/PARAMS_MODELO!$B$28</f>
        <v>0.53333333333333333</v>
      </c>
      <c r="F587">
        <v>39</v>
      </c>
      <c r="G587">
        <v>30</v>
      </c>
      <c r="H587">
        <v>21</v>
      </c>
      <c r="I587" s="20">
        <f t="shared" si="9"/>
        <v>0.7</v>
      </c>
      <c r="J587" s="21">
        <f>(IFERROR(_xlfn.PERCENTRANK.INC($B$2:$B$1194,B587)*100,0)*PARAMS_MODELO!$B$25)+(IFERROR(_xlfn.PERCENTRANK.INC($C$2:$C$1194,C587)*100,0)*PARAMS_MODELO!$B$26)+(IFERROR(_xlfn.PERCENTRANK.INC($E$2:$E$1194,E587)*100,0)*PARAMS_MODELO!$B$27)+(IFERROR(_xlfn.PERCENTRANK.INC($F$2:$F$1194,F587)*100,0)*PARAMS_MODELO!$B$29)+(IFERROR(_xlfn.PERCENTRANK.INC($I$2:$I$1194,I587)*100,0)*PARAMS_MODELO!$B$31)</f>
        <v>50.144999999999996</v>
      </c>
    </row>
    <row r="588" spans="1:10" x14ac:dyDescent="0.3">
      <c r="A588">
        <v>51021851</v>
      </c>
      <c r="B588">
        <v>0</v>
      </c>
      <c r="C588">
        <v>22</v>
      </c>
      <c r="D588">
        <v>40</v>
      </c>
      <c r="E588" s="21">
        <f>D588/PARAMS_MODELO!$B$28</f>
        <v>1.3333333333333333</v>
      </c>
      <c r="F588">
        <v>51</v>
      </c>
      <c r="G588">
        <v>97</v>
      </c>
      <c r="H588">
        <v>31</v>
      </c>
      <c r="I588" s="20">
        <f t="shared" si="9"/>
        <v>0.31958762886597936</v>
      </c>
      <c r="J588" s="21">
        <f>(IFERROR(_xlfn.PERCENTRANK.INC($B$2:$B$1194,B588)*100,0)*PARAMS_MODELO!$B$25)+(IFERROR(_xlfn.PERCENTRANK.INC($C$2:$C$1194,C588)*100,0)*PARAMS_MODELO!$B$26)+(IFERROR(_xlfn.PERCENTRANK.INC($E$2:$E$1194,E588)*100,0)*PARAMS_MODELO!$B$27)+(IFERROR(_xlfn.PERCENTRANK.INC($F$2:$F$1194,F588)*100,0)*PARAMS_MODELO!$B$29)+(IFERROR(_xlfn.PERCENTRANK.INC($I$2:$I$1194,I588)*100,0)*PARAMS_MODELO!$B$31)</f>
        <v>39.324999999999996</v>
      </c>
    </row>
    <row r="589" spans="1:10" x14ac:dyDescent="0.3">
      <c r="A589">
        <v>51004086</v>
      </c>
      <c r="B589">
        <v>77</v>
      </c>
      <c r="C589">
        <v>6</v>
      </c>
      <c r="D589">
        <v>86</v>
      </c>
      <c r="E589" s="21">
        <f>D589/PARAMS_MODELO!$B$28</f>
        <v>2.8666666666666667</v>
      </c>
      <c r="F589">
        <v>73</v>
      </c>
      <c r="G589">
        <v>11</v>
      </c>
      <c r="H589">
        <v>0</v>
      </c>
      <c r="I589" s="20">
        <f t="shared" si="9"/>
        <v>0</v>
      </c>
      <c r="J589" s="21">
        <f>(IFERROR(_xlfn.PERCENTRANK.INC($B$2:$B$1194,B589)*100,0)*PARAMS_MODELO!$B$25)+(IFERROR(_xlfn.PERCENTRANK.INC($C$2:$C$1194,C589)*100,0)*PARAMS_MODELO!$B$26)+(IFERROR(_xlfn.PERCENTRANK.INC($E$2:$E$1194,E589)*100,0)*PARAMS_MODELO!$B$27)+(IFERROR(_xlfn.PERCENTRANK.INC($F$2:$F$1194,F589)*100,0)*PARAMS_MODELO!$B$29)+(IFERROR(_xlfn.PERCENTRANK.INC($I$2:$I$1194,I589)*100,0)*PARAMS_MODELO!$B$31)</f>
        <v>55.86</v>
      </c>
    </row>
    <row r="590" spans="1:10" x14ac:dyDescent="0.3">
      <c r="A590">
        <v>51017111</v>
      </c>
      <c r="B590">
        <v>72</v>
      </c>
      <c r="C590">
        <v>2</v>
      </c>
      <c r="D590">
        <v>79</v>
      </c>
      <c r="E590" s="21">
        <f>D590/PARAMS_MODELO!$B$28</f>
        <v>2.6333333333333333</v>
      </c>
      <c r="F590">
        <v>75</v>
      </c>
      <c r="G590">
        <v>10</v>
      </c>
      <c r="H590">
        <v>6</v>
      </c>
      <c r="I590" s="20">
        <f t="shared" si="9"/>
        <v>0.6</v>
      </c>
      <c r="J590" s="21">
        <f>(IFERROR(_xlfn.PERCENTRANK.INC($B$2:$B$1194,B590)*100,0)*PARAMS_MODELO!$B$25)+(IFERROR(_xlfn.PERCENTRANK.INC($C$2:$C$1194,C590)*100,0)*PARAMS_MODELO!$B$26)+(IFERROR(_xlfn.PERCENTRANK.INC($E$2:$E$1194,E590)*100,0)*PARAMS_MODELO!$B$27)+(IFERROR(_xlfn.PERCENTRANK.INC($F$2:$F$1194,F590)*100,0)*PARAMS_MODELO!$B$29)+(IFERROR(_xlfn.PERCENTRANK.INC($I$2:$I$1194,I590)*100,0)*PARAMS_MODELO!$B$31)</f>
        <v>56.27</v>
      </c>
    </row>
    <row r="591" spans="1:10" x14ac:dyDescent="0.3">
      <c r="A591">
        <v>51022106</v>
      </c>
      <c r="B591">
        <v>76</v>
      </c>
      <c r="C591">
        <v>20</v>
      </c>
      <c r="D591">
        <v>55</v>
      </c>
      <c r="E591" s="21">
        <f>D591/PARAMS_MODELO!$B$28</f>
        <v>1.8333333333333333</v>
      </c>
      <c r="F591">
        <v>90</v>
      </c>
      <c r="G591">
        <v>4</v>
      </c>
      <c r="H591">
        <v>3</v>
      </c>
      <c r="I591" s="20">
        <f t="shared" si="9"/>
        <v>0.75</v>
      </c>
      <c r="J591" s="21">
        <f>(IFERROR(_xlfn.PERCENTRANK.INC($B$2:$B$1194,B591)*100,0)*PARAMS_MODELO!$B$25)+(IFERROR(_xlfn.PERCENTRANK.INC($C$2:$C$1194,C591)*100,0)*PARAMS_MODELO!$B$26)+(IFERROR(_xlfn.PERCENTRANK.INC($E$2:$E$1194,E591)*100,0)*PARAMS_MODELO!$B$27)+(IFERROR(_xlfn.PERCENTRANK.INC($F$2:$F$1194,F591)*100,0)*PARAMS_MODELO!$B$29)+(IFERROR(_xlfn.PERCENTRANK.INC($I$2:$I$1194,I591)*100,0)*PARAMS_MODELO!$B$31)</f>
        <v>73.045000000000016</v>
      </c>
    </row>
    <row r="592" spans="1:10" x14ac:dyDescent="0.3">
      <c r="A592">
        <v>51056205</v>
      </c>
      <c r="B592">
        <v>3</v>
      </c>
      <c r="C592">
        <v>17</v>
      </c>
      <c r="D592">
        <v>23</v>
      </c>
      <c r="E592" s="21">
        <f>D592/PARAMS_MODELO!$B$28</f>
        <v>0.76666666666666672</v>
      </c>
      <c r="F592">
        <v>23</v>
      </c>
      <c r="G592">
        <v>5</v>
      </c>
      <c r="H592">
        <v>4</v>
      </c>
      <c r="I592" s="20">
        <f t="shared" si="9"/>
        <v>0.8</v>
      </c>
      <c r="J592" s="21">
        <f>(IFERROR(_xlfn.PERCENTRANK.INC($B$2:$B$1194,B592)*100,0)*PARAMS_MODELO!$B$25)+(IFERROR(_xlfn.PERCENTRANK.INC($C$2:$C$1194,C592)*100,0)*PARAMS_MODELO!$B$26)+(IFERROR(_xlfn.PERCENTRANK.INC($E$2:$E$1194,E592)*100,0)*PARAMS_MODELO!$B$27)+(IFERROR(_xlfn.PERCENTRANK.INC($F$2:$F$1194,F592)*100,0)*PARAMS_MODELO!$B$29)+(IFERROR(_xlfn.PERCENTRANK.INC($I$2:$I$1194,I592)*100,0)*PARAMS_MODELO!$B$31)</f>
        <v>31.86</v>
      </c>
    </row>
    <row r="593" spans="1:10" x14ac:dyDescent="0.3">
      <c r="A593">
        <v>51055870</v>
      </c>
      <c r="B593">
        <v>25</v>
      </c>
      <c r="C593">
        <v>20</v>
      </c>
      <c r="D593">
        <v>27</v>
      </c>
      <c r="E593" s="21">
        <f>D593/PARAMS_MODELO!$B$28</f>
        <v>0.9</v>
      </c>
      <c r="F593">
        <v>13</v>
      </c>
      <c r="G593">
        <v>60</v>
      </c>
      <c r="H593">
        <v>3</v>
      </c>
      <c r="I593" s="20">
        <f t="shared" si="9"/>
        <v>0.05</v>
      </c>
      <c r="J593" s="21">
        <f>(IFERROR(_xlfn.PERCENTRANK.INC($B$2:$B$1194,B593)*100,0)*PARAMS_MODELO!$B$25)+(IFERROR(_xlfn.PERCENTRANK.INC($C$2:$C$1194,C593)*100,0)*PARAMS_MODELO!$B$26)+(IFERROR(_xlfn.PERCENTRANK.INC($E$2:$E$1194,E593)*100,0)*PARAMS_MODELO!$B$27)+(IFERROR(_xlfn.PERCENTRANK.INC($F$2:$F$1194,F593)*100,0)*PARAMS_MODELO!$B$29)+(IFERROR(_xlfn.PERCENTRANK.INC($I$2:$I$1194,I593)*100,0)*PARAMS_MODELO!$B$31)</f>
        <v>33.270000000000003</v>
      </c>
    </row>
    <row r="594" spans="1:10" x14ac:dyDescent="0.3">
      <c r="A594">
        <v>51017226</v>
      </c>
      <c r="B594">
        <v>20</v>
      </c>
      <c r="C594">
        <v>13</v>
      </c>
      <c r="D594">
        <v>18</v>
      </c>
      <c r="E594" s="21">
        <f>D594/PARAMS_MODELO!$B$28</f>
        <v>0.6</v>
      </c>
      <c r="F594">
        <v>32</v>
      </c>
      <c r="G594">
        <v>30</v>
      </c>
      <c r="H594">
        <v>28</v>
      </c>
      <c r="I594" s="20">
        <f t="shared" si="9"/>
        <v>0.93333333333333335</v>
      </c>
      <c r="J594" s="21">
        <f>(IFERROR(_xlfn.PERCENTRANK.INC($B$2:$B$1194,B594)*100,0)*PARAMS_MODELO!$B$25)+(IFERROR(_xlfn.PERCENTRANK.INC($C$2:$C$1194,C594)*100,0)*PARAMS_MODELO!$B$26)+(IFERROR(_xlfn.PERCENTRANK.INC($E$2:$E$1194,E594)*100,0)*PARAMS_MODELO!$B$27)+(IFERROR(_xlfn.PERCENTRANK.INC($F$2:$F$1194,F594)*100,0)*PARAMS_MODELO!$B$29)+(IFERROR(_xlfn.PERCENTRANK.INC($I$2:$I$1194,I594)*100,0)*PARAMS_MODELO!$B$31)</f>
        <v>35.244999999999997</v>
      </c>
    </row>
    <row r="595" spans="1:10" x14ac:dyDescent="0.3">
      <c r="A595">
        <v>51056965</v>
      </c>
      <c r="B595">
        <v>35</v>
      </c>
      <c r="C595">
        <v>10</v>
      </c>
      <c r="D595">
        <v>86</v>
      </c>
      <c r="E595" s="21">
        <f>D595/PARAMS_MODELO!$B$28</f>
        <v>2.8666666666666667</v>
      </c>
      <c r="F595">
        <v>17</v>
      </c>
      <c r="G595">
        <v>27</v>
      </c>
      <c r="H595">
        <v>7</v>
      </c>
      <c r="I595" s="20">
        <f t="shared" si="9"/>
        <v>0.25925925925925924</v>
      </c>
      <c r="J595" s="21">
        <f>(IFERROR(_xlfn.PERCENTRANK.INC($B$2:$B$1194,B595)*100,0)*PARAMS_MODELO!$B$25)+(IFERROR(_xlfn.PERCENTRANK.INC($C$2:$C$1194,C595)*100,0)*PARAMS_MODELO!$B$26)+(IFERROR(_xlfn.PERCENTRANK.INC($E$2:$E$1194,E595)*100,0)*PARAMS_MODELO!$B$27)+(IFERROR(_xlfn.PERCENTRANK.INC($F$2:$F$1194,F595)*100,0)*PARAMS_MODELO!$B$29)+(IFERROR(_xlfn.PERCENTRANK.INC($I$2:$I$1194,I595)*100,0)*PARAMS_MODELO!$B$31)</f>
        <v>41.155000000000001</v>
      </c>
    </row>
    <row r="596" spans="1:10" x14ac:dyDescent="0.3">
      <c r="A596">
        <v>51033671</v>
      </c>
      <c r="B596">
        <v>53</v>
      </c>
      <c r="C596">
        <v>21</v>
      </c>
      <c r="D596">
        <v>0</v>
      </c>
      <c r="E596" s="21">
        <f>D596/PARAMS_MODELO!$B$28</f>
        <v>0</v>
      </c>
      <c r="F596">
        <v>73</v>
      </c>
      <c r="G596">
        <v>26</v>
      </c>
      <c r="H596">
        <v>12</v>
      </c>
      <c r="I596" s="20">
        <f t="shared" si="9"/>
        <v>0.46153846153846156</v>
      </c>
      <c r="J596" s="21">
        <f>(IFERROR(_xlfn.PERCENTRANK.INC($B$2:$B$1194,B596)*100,0)*PARAMS_MODELO!$B$25)+(IFERROR(_xlfn.PERCENTRANK.INC($C$2:$C$1194,C596)*100,0)*PARAMS_MODELO!$B$26)+(IFERROR(_xlfn.PERCENTRANK.INC($E$2:$E$1194,E596)*100,0)*PARAMS_MODELO!$B$27)+(IFERROR(_xlfn.PERCENTRANK.INC($F$2:$F$1194,F596)*100,0)*PARAMS_MODELO!$B$29)+(IFERROR(_xlfn.PERCENTRANK.INC($I$2:$I$1194,I596)*100,0)*PARAMS_MODELO!$B$31)</f>
        <v>50.575000000000003</v>
      </c>
    </row>
    <row r="597" spans="1:10" x14ac:dyDescent="0.3">
      <c r="A597">
        <v>51038797</v>
      </c>
      <c r="B597">
        <v>68</v>
      </c>
      <c r="C597">
        <v>20</v>
      </c>
      <c r="D597">
        <v>18</v>
      </c>
      <c r="E597" s="21">
        <f>D597/PARAMS_MODELO!$B$28</f>
        <v>0.6</v>
      </c>
      <c r="F597">
        <v>22</v>
      </c>
      <c r="G597">
        <v>35</v>
      </c>
      <c r="H597">
        <v>2</v>
      </c>
      <c r="I597" s="20">
        <f t="shared" si="9"/>
        <v>5.7142857142857141E-2</v>
      </c>
      <c r="J597" s="21">
        <f>(IFERROR(_xlfn.PERCENTRANK.INC($B$2:$B$1194,B597)*100,0)*PARAMS_MODELO!$B$25)+(IFERROR(_xlfn.PERCENTRANK.INC($C$2:$C$1194,C597)*100,0)*PARAMS_MODELO!$B$26)+(IFERROR(_xlfn.PERCENTRANK.INC($E$2:$E$1194,E597)*100,0)*PARAMS_MODELO!$B$27)+(IFERROR(_xlfn.PERCENTRANK.INC($F$2:$F$1194,F597)*100,0)*PARAMS_MODELO!$B$29)+(IFERROR(_xlfn.PERCENTRANK.INC($I$2:$I$1194,I597)*100,0)*PARAMS_MODELO!$B$31)</f>
        <v>45.68</v>
      </c>
    </row>
    <row r="598" spans="1:10" x14ac:dyDescent="0.3">
      <c r="A598">
        <v>51013492</v>
      </c>
      <c r="B598">
        <v>10</v>
      </c>
      <c r="C598">
        <v>5</v>
      </c>
      <c r="D598">
        <v>71</v>
      </c>
      <c r="E598" s="21">
        <f>D598/PARAMS_MODELO!$B$28</f>
        <v>2.3666666666666667</v>
      </c>
      <c r="F598">
        <v>17</v>
      </c>
      <c r="G598">
        <v>99</v>
      </c>
      <c r="H598">
        <v>58</v>
      </c>
      <c r="I598" s="20">
        <f t="shared" si="9"/>
        <v>0.58585858585858586</v>
      </c>
      <c r="J598" s="21">
        <f>(IFERROR(_xlfn.PERCENTRANK.INC($B$2:$B$1194,B598)*100,0)*PARAMS_MODELO!$B$25)+(IFERROR(_xlfn.PERCENTRANK.INC($C$2:$C$1194,C598)*100,0)*PARAMS_MODELO!$B$26)+(IFERROR(_xlfn.PERCENTRANK.INC($E$2:$E$1194,E598)*100,0)*PARAMS_MODELO!$B$27)+(IFERROR(_xlfn.PERCENTRANK.INC($F$2:$F$1194,F598)*100,0)*PARAMS_MODELO!$B$29)+(IFERROR(_xlfn.PERCENTRANK.INC($I$2:$I$1194,I598)*100,0)*PARAMS_MODELO!$B$31)</f>
        <v>29.744999999999997</v>
      </c>
    </row>
    <row r="599" spans="1:10" x14ac:dyDescent="0.3">
      <c r="A599">
        <v>51019415</v>
      </c>
      <c r="B599">
        <v>61</v>
      </c>
      <c r="C599">
        <v>18</v>
      </c>
      <c r="D599">
        <v>89</v>
      </c>
      <c r="E599" s="21">
        <f>D599/PARAMS_MODELO!$B$28</f>
        <v>2.9666666666666668</v>
      </c>
      <c r="F599">
        <v>44</v>
      </c>
      <c r="G599">
        <v>23</v>
      </c>
      <c r="H599">
        <v>0</v>
      </c>
      <c r="I599" s="20">
        <f t="shared" si="9"/>
        <v>0</v>
      </c>
      <c r="J599" s="21">
        <f>(IFERROR(_xlfn.PERCENTRANK.INC($B$2:$B$1194,B599)*100,0)*PARAMS_MODELO!$B$25)+(IFERROR(_xlfn.PERCENTRANK.INC($C$2:$C$1194,C599)*100,0)*PARAMS_MODELO!$B$26)+(IFERROR(_xlfn.PERCENTRANK.INC($E$2:$E$1194,E599)*100,0)*PARAMS_MODELO!$B$27)+(IFERROR(_xlfn.PERCENTRANK.INC($F$2:$F$1194,F599)*100,0)*PARAMS_MODELO!$B$29)+(IFERROR(_xlfn.PERCENTRANK.INC($I$2:$I$1194,I599)*100,0)*PARAMS_MODELO!$B$31)</f>
        <v>58.339999999999996</v>
      </c>
    </row>
    <row r="600" spans="1:10" x14ac:dyDescent="0.3">
      <c r="A600">
        <v>51036107</v>
      </c>
      <c r="B600">
        <v>57</v>
      </c>
      <c r="C600">
        <v>12</v>
      </c>
      <c r="D600">
        <v>17</v>
      </c>
      <c r="E600" s="21">
        <f>D600/PARAMS_MODELO!$B$28</f>
        <v>0.56666666666666665</v>
      </c>
      <c r="F600">
        <v>68</v>
      </c>
      <c r="G600">
        <v>9</v>
      </c>
      <c r="H600">
        <v>0</v>
      </c>
      <c r="I600" s="20">
        <f t="shared" si="9"/>
        <v>0</v>
      </c>
      <c r="J600" s="21">
        <f>(IFERROR(_xlfn.PERCENTRANK.INC($B$2:$B$1194,B600)*100,0)*PARAMS_MODELO!$B$25)+(IFERROR(_xlfn.PERCENTRANK.INC($C$2:$C$1194,C600)*100,0)*PARAMS_MODELO!$B$26)+(IFERROR(_xlfn.PERCENTRANK.INC($E$2:$E$1194,E600)*100,0)*PARAMS_MODELO!$B$27)+(IFERROR(_xlfn.PERCENTRANK.INC($F$2:$F$1194,F600)*100,0)*PARAMS_MODELO!$B$29)+(IFERROR(_xlfn.PERCENTRANK.INC($I$2:$I$1194,I600)*100,0)*PARAMS_MODELO!$B$31)</f>
        <v>41.085000000000001</v>
      </c>
    </row>
    <row r="601" spans="1:10" x14ac:dyDescent="0.3">
      <c r="A601">
        <v>51056990</v>
      </c>
      <c r="B601">
        <v>49</v>
      </c>
      <c r="C601">
        <v>15</v>
      </c>
      <c r="D601">
        <v>59</v>
      </c>
      <c r="E601" s="21">
        <f>D601/PARAMS_MODELO!$B$28</f>
        <v>1.9666666666666666</v>
      </c>
      <c r="F601">
        <v>42</v>
      </c>
      <c r="G601">
        <v>66</v>
      </c>
      <c r="H601">
        <v>24</v>
      </c>
      <c r="I601" s="20">
        <f t="shared" si="9"/>
        <v>0.36363636363636365</v>
      </c>
      <c r="J601" s="21">
        <f>(IFERROR(_xlfn.PERCENTRANK.INC($B$2:$B$1194,B601)*100,0)*PARAMS_MODELO!$B$25)+(IFERROR(_xlfn.PERCENTRANK.INC($C$2:$C$1194,C601)*100,0)*PARAMS_MODELO!$B$26)+(IFERROR(_xlfn.PERCENTRANK.INC($E$2:$E$1194,E601)*100,0)*PARAMS_MODELO!$B$27)+(IFERROR(_xlfn.PERCENTRANK.INC($F$2:$F$1194,F601)*100,0)*PARAMS_MODELO!$B$29)+(IFERROR(_xlfn.PERCENTRANK.INC($I$2:$I$1194,I601)*100,0)*PARAMS_MODELO!$B$31)</f>
        <v>49.844999999999999</v>
      </c>
    </row>
    <row r="602" spans="1:10" x14ac:dyDescent="0.3">
      <c r="A602">
        <v>51025296</v>
      </c>
      <c r="B602">
        <v>97</v>
      </c>
      <c r="C602">
        <v>7</v>
      </c>
      <c r="D602">
        <v>84</v>
      </c>
      <c r="E602" s="21">
        <f>D602/PARAMS_MODELO!$B$28</f>
        <v>2.8</v>
      </c>
      <c r="F602">
        <v>77</v>
      </c>
      <c r="G602">
        <v>52</v>
      </c>
      <c r="H602">
        <v>3</v>
      </c>
      <c r="I602" s="20">
        <f t="shared" si="9"/>
        <v>5.7692307692307696E-2</v>
      </c>
      <c r="J602" s="21">
        <f>(IFERROR(_xlfn.PERCENTRANK.INC($B$2:$B$1194,B602)*100,0)*PARAMS_MODELO!$B$25)+(IFERROR(_xlfn.PERCENTRANK.INC($C$2:$C$1194,C602)*100,0)*PARAMS_MODELO!$B$26)+(IFERROR(_xlfn.PERCENTRANK.INC($E$2:$E$1194,E602)*100,0)*PARAMS_MODELO!$B$27)+(IFERROR(_xlfn.PERCENTRANK.INC($F$2:$F$1194,F602)*100,0)*PARAMS_MODELO!$B$29)+(IFERROR(_xlfn.PERCENTRANK.INC($I$2:$I$1194,I602)*100,0)*PARAMS_MODELO!$B$31)</f>
        <v>64.11999999999999</v>
      </c>
    </row>
    <row r="603" spans="1:10" x14ac:dyDescent="0.3">
      <c r="A603">
        <v>51056639</v>
      </c>
      <c r="B603">
        <v>42</v>
      </c>
      <c r="C603">
        <v>19</v>
      </c>
      <c r="D603">
        <v>37</v>
      </c>
      <c r="E603" s="21">
        <f>D603/PARAMS_MODELO!$B$28</f>
        <v>1.2333333333333334</v>
      </c>
      <c r="F603">
        <v>14</v>
      </c>
      <c r="G603">
        <v>97</v>
      </c>
      <c r="H603">
        <v>4</v>
      </c>
      <c r="I603" s="20">
        <f t="shared" si="9"/>
        <v>4.1237113402061855E-2</v>
      </c>
      <c r="J603" s="21">
        <f>(IFERROR(_xlfn.PERCENTRANK.INC($B$2:$B$1194,B603)*100,0)*PARAMS_MODELO!$B$25)+(IFERROR(_xlfn.PERCENTRANK.INC($C$2:$C$1194,C603)*100,0)*PARAMS_MODELO!$B$26)+(IFERROR(_xlfn.PERCENTRANK.INC($E$2:$E$1194,E603)*100,0)*PARAMS_MODELO!$B$27)+(IFERROR(_xlfn.PERCENTRANK.INC($F$2:$F$1194,F603)*100,0)*PARAMS_MODELO!$B$29)+(IFERROR(_xlfn.PERCENTRANK.INC($I$2:$I$1194,I603)*100,0)*PARAMS_MODELO!$B$31)</f>
        <v>39.629999999999995</v>
      </c>
    </row>
    <row r="604" spans="1:10" x14ac:dyDescent="0.3">
      <c r="A604">
        <v>51015029</v>
      </c>
      <c r="B604">
        <v>56</v>
      </c>
      <c r="C604">
        <v>25</v>
      </c>
      <c r="D604">
        <v>79</v>
      </c>
      <c r="E604" s="21">
        <f>D604/PARAMS_MODELO!$B$28</f>
        <v>2.6333333333333333</v>
      </c>
      <c r="F604">
        <v>72</v>
      </c>
      <c r="G604">
        <v>53</v>
      </c>
      <c r="H604">
        <v>47</v>
      </c>
      <c r="I604" s="20">
        <f t="shared" si="9"/>
        <v>0.8867924528301887</v>
      </c>
      <c r="J604" s="21">
        <f>(IFERROR(_xlfn.PERCENTRANK.INC($B$2:$B$1194,B604)*100,0)*PARAMS_MODELO!$B$25)+(IFERROR(_xlfn.PERCENTRANK.INC($C$2:$C$1194,C604)*100,0)*PARAMS_MODELO!$B$26)+(IFERROR(_xlfn.PERCENTRANK.INC($E$2:$E$1194,E604)*100,0)*PARAMS_MODELO!$B$27)+(IFERROR(_xlfn.PERCENTRANK.INC($F$2:$F$1194,F604)*100,0)*PARAMS_MODELO!$B$29)+(IFERROR(_xlfn.PERCENTRANK.INC($I$2:$I$1194,I604)*100,0)*PARAMS_MODELO!$B$31)</f>
        <v>75.5</v>
      </c>
    </row>
    <row r="605" spans="1:10" x14ac:dyDescent="0.3">
      <c r="A605">
        <v>51055730</v>
      </c>
      <c r="B605">
        <v>48</v>
      </c>
      <c r="C605">
        <v>11</v>
      </c>
      <c r="D605">
        <v>21</v>
      </c>
      <c r="E605" s="21">
        <f>D605/PARAMS_MODELO!$B$28</f>
        <v>0.7</v>
      </c>
      <c r="F605">
        <v>4</v>
      </c>
      <c r="G605">
        <v>33</v>
      </c>
      <c r="H605">
        <v>11</v>
      </c>
      <c r="I605" s="20">
        <f t="shared" si="9"/>
        <v>0.33333333333333331</v>
      </c>
      <c r="J605" s="21">
        <f>(IFERROR(_xlfn.PERCENTRANK.INC($B$2:$B$1194,B605)*100,0)*PARAMS_MODELO!$B$25)+(IFERROR(_xlfn.PERCENTRANK.INC($C$2:$C$1194,C605)*100,0)*PARAMS_MODELO!$B$26)+(IFERROR(_xlfn.PERCENTRANK.INC($E$2:$E$1194,E605)*100,0)*PARAMS_MODELO!$B$27)+(IFERROR(_xlfn.PERCENTRANK.INC($F$2:$F$1194,F605)*100,0)*PARAMS_MODELO!$B$29)+(IFERROR(_xlfn.PERCENTRANK.INC($I$2:$I$1194,I605)*100,0)*PARAMS_MODELO!$B$31)</f>
        <v>32.269999999999996</v>
      </c>
    </row>
    <row r="606" spans="1:10" x14ac:dyDescent="0.3">
      <c r="A606">
        <v>51018257</v>
      </c>
      <c r="B606">
        <v>20</v>
      </c>
      <c r="C606">
        <v>0</v>
      </c>
      <c r="D606">
        <v>89</v>
      </c>
      <c r="E606" s="21">
        <f>D606/PARAMS_MODELO!$B$28</f>
        <v>2.9666666666666668</v>
      </c>
      <c r="F606">
        <v>30</v>
      </c>
      <c r="G606">
        <v>62</v>
      </c>
      <c r="H606">
        <v>2</v>
      </c>
      <c r="I606" s="20">
        <f t="shared" si="9"/>
        <v>3.2258064516129031E-2</v>
      </c>
      <c r="J606" s="21">
        <f>(IFERROR(_xlfn.PERCENTRANK.INC($B$2:$B$1194,B606)*100,0)*PARAMS_MODELO!$B$25)+(IFERROR(_xlfn.PERCENTRANK.INC($C$2:$C$1194,C606)*100,0)*PARAMS_MODELO!$B$26)+(IFERROR(_xlfn.PERCENTRANK.INC($E$2:$E$1194,E606)*100,0)*PARAMS_MODELO!$B$27)+(IFERROR(_xlfn.PERCENTRANK.INC($F$2:$F$1194,F606)*100,0)*PARAMS_MODELO!$B$29)+(IFERROR(_xlfn.PERCENTRANK.INC($I$2:$I$1194,I606)*100,0)*PARAMS_MODELO!$B$31)</f>
        <v>28.200000000000003</v>
      </c>
    </row>
    <row r="607" spans="1:10" x14ac:dyDescent="0.3">
      <c r="A607">
        <v>51055845</v>
      </c>
      <c r="B607">
        <v>25</v>
      </c>
      <c r="C607">
        <v>15</v>
      </c>
      <c r="D607">
        <v>85</v>
      </c>
      <c r="E607" s="21">
        <f>D607/PARAMS_MODELO!$B$28</f>
        <v>2.8333333333333335</v>
      </c>
      <c r="F607">
        <v>26</v>
      </c>
      <c r="G607">
        <v>100</v>
      </c>
      <c r="H607">
        <v>96</v>
      </c>
      <c r="I607" s="20">
        <f t="shared" si="9"/>
        <v>0.96</v>
      </c>
      <c r="J607" s="21">
        <f>(IFERROR(_xlfn.PERCENTRANK.INC($B$2:$B$1194,B607)*100,0)*PARAMS_MODELO!$B$25)+(IFERROR(_xlfn.PERCENTRANK.INC($C$2:$C$1194,C607)*100,0)*PARAMS_MODELO!$B$26)+(IFERROR(_xlfn.PERCENTRANK.INC($E$2:$E$1194,E607)*100,0)*PARAMS_MODELO!$B$27)+(IFERROR(_xlfn.PERCENTRANK.INC($F$2:$F$1194,F607)*100,0)*PARAMS_MODELO!$B$29)+(IFERROR(_xlfn.PERCENTRANK.INC($I$2:$I$1194,I607)*100,0)*PARAMS_MODELO!$B$31)</f>
        <v>50.58</v>
      </c>
    </row>
    <row r="608" spans="1:10" x14ac:dyDescent="0.3">
      <c r="A608">
        <v>51028015</v>
      </c>
      <c r="B608">
        <v>69</v>
      </c>
      <c r="C608">
        <v>15</v>
      </c>
      <c r="D608">
        <v>24</v>
      </c>
      <c r="E608" s="21">
        <f>D608/PARAMS_MODELO!$B$28</f>
        <v>0.8</v>
      </c>
      <c r="F608">
        <v>28</v>
      </c>
      <c r="G608">
        <v>43</v>
      </c>
      <c r="H608">
        <v>21</v>
      </c>
      <c r="I608" s="20">
        <f t="shared" si="9"/>
        <v>0.48837209302325579</v>
      </c>
      <c r="J608" s="21">
        <f>(IFERROR(_xlfn.PERCENTRANK.INC($B$2:$B$1194,B608)*100,0)*PARAMS_MODELO!$B$25)+(IFERROR(_xlfn.PERCENTRANK.INC($C$2:$C$1194,C608)*100,0)*PARAMS_MODELO!$B$26)+(IFERROR(_xlfn.PERCENTRANK.INC($E$2:$E$1194,E608)*100,0)*PARAMS_MODELO!$B$27)+(IFERROR(_xlfn.PERCENTRANK.INC($F$2:$F$1194,F608)*100,0)*PARAMS_MODELO!$B$29)+(IFERROR(_xlfn.PERCENTRANK.INC($I$2:$I$1194,I608)*100,0)*PARAMS_MODELO!$B$31)</f>
        <v>47.16</v>
      </c>
    </row>
    <row r="609" spans="1:10" x14ac:dyDescent="0.3">
      <c r="A609">
        <v>51012887</v>
      </c>
      <c r="B609">
        <v>53</v>
      </c>
      <c r="C609">
        <v>25</v>
      </c>
      <c r="D609">
        <v>23</v>
      </c>
      <c r="E609" s="21">
        <f>D609/PARAMS_MODELO!$B$28</f>
        <v>0.76666666666666672</v>
      </c>
      <c r="F609">
        <v>47</v>
      </c>
      <c r="G609">
        <v>21</v>
      </c>
      <c r="H609">
        <v>6</v>
      </c>
      <c r="I609" s="20">
        <f t="shared" si="9"/>
        <v>0.2857142857142857</v>
      </c>
      <c r="J609" s="21">
        <f>(IFERROR(_xlfn.PERCENTRANK.INC($B$2:$B$1194,B609)*100,0)*PARAMS_MODELO!$B$25)+(IFERROR(_xlfn.PERCENTRANK.INC($C$2:$C$1194,C609)*100,0)*PARAMS_MODELO!$B$26)+(IFERROR(_xlfn.PERCENTRANK.INC($E$2:$E$1194,E609)*100,0)*PARAMS_MODELO!$B$27)+(IFERROR(_xlfn.PERCENTRANK.INC($F$2:$F$1194,F609)*100,0)*PARAMS_MODELO!$B$29)+(IFERROR(_xlfn.PERCENTRANK.INC($I$2:$I$1194,I609)*100,0)*PARAMS_MODELO!$B$31)</f>
        <v>53.559999999999995</v>
      </c>
    </row>
    <row r="610" spans="1:10" x14ac:dyDescent="0.3">
      <c r="A610">
        <v>51010311</v>
      </c>
      <c r="B610">
        <v>25</v>
      </c>
      <c r="C610">
        <v>24</v>
      </c>
      <c r="D610">
        <v>9</v>
      </c>
      <c r="E610" s="21">
        <f>D610/PARAMS_MODELO!$B$28</f>
        <v>0.3</v>
      </c>
      <c r="F610">
        <v>37</v>
      </c>
      <c r="G610">
        <v>59</v>
      </c>
      <c r="H610">
        <v>26</v>
      </c>
      <c r="I610" s="20">
        <f t="shared" si="9"/>
        <v>0.44067796610169491</v>
      </c>
      <c r="J610" s="21">
        <f>(IFERROR(_xlfn.PERCENTRANK.INC($B$2:$B$1194,B610)*100,0)*PARAMS_MODELO!$B$25)+(IFERROR(_xlfn.PERCENTRANK.INC($C$2:$C$1194,C610)*100,0)*PARAMS_MODELO!$B$26)+(IFERROR(_xlfn.PERCENTRANK.INC($E$2:$E$1194,E610)*100,0)*PARAMS_MODELO!$B$27)+(IFERROR(_xlfn.PERCENTRANK.INC($F$2:$F$1194,F610)*100,0)*PARAMS_MODELO!$B$29)+(IFERROR(_xlfn.PERCENTRANK.INC($I$2:$I$1194,I610)*100,0)*PARAMS_MODELO!$B$31)</f>
        <v>41.464999999999996</v>
      </c>
    </row>
    <row r="611" spans="1:10" x14ac:dyDescent="0.3">
      <c r="A611">
        <v>51036638</v>
      </c>
      <c r="B611">
        <v>23</v>
      </c>
      <c r="C611">
        <v>25</v>
      </c>
      <c r="D611">
        <v>10</v>
      </c>
      <c r="E611" s="21">
        <f>D611/PARAMS_MODELO!$B$28</f>
        <v>0.33333333333333331</v>
      </c>
      <c r="F611">
        <v>83</v>
      </c>
      <c r="G611">
        <v>11</v>
      </c>
      <c r="H611">
        <v>9</v>
      </c>
      <c r="I611" s="20">
        <f t="shared" si="9"/>
        <v>0.81818181818181823</v>
      </c>
      <c r="J611" s="21">
        <f>(IFERROR(_xlfn.PERCENTRANK.INC($B$2:$B$1194,B611)*100,0)*PARAMS_MODELO!$B$25)+(IFERROR(_xlfn.PERCENTRANK.INC($C$2:$C$1194,C611)*100,0)*PARAMS_MODELO!$B$26)+(IFERROR(_xlfn.PERCENTRANK.INC($E$2:$E$1194,E611)*100,0)*PARAMS_MODELO!$B$27)+(IFERROR(_xlfn.PERCENTRANK.INC($F$2:$F$1194,F611)*100,0)*PARAMS_MODELO!$B$29)+(IFERROR(_xlfn.PERCENTRANK.INC($I$2:$I$1194,I611)*100,0)*PARAMS_MODELO!$B$31)</f>
        <v>53.08</v>
      </c>
    </row>
    <row r="612" spans="1:10" x14ac:dyDescent="0.3">
      <c r="A612">
        <v>51033442</v>
      </c>
      <c r="B612">
        <v>16</v>
      </c>
      <c r="C612">
        <v>11</v>
      </c>
      <c r="D612">
        <v>41</v>
      </c>
      <c r="E612" s="21">
        <f>D612/PARAMS_MODELO!$B$28</f>
        <v>1.3666666666666667</v>
      </c>
      <c r="F612">
        <v>46</v>
      </c>
      <c r="G612">
        <v>27</v>
      </c>
      <c r="H612">
        <v>19</v>
      </c>
      <c r="I612" s="20">
        <f t="shared" si="9"/>
        <v>0.70370370370370372</v>
      </c>
      <c r="J612" s="21">
        <f>(IFERROR(_xlfn.PERCENTRANK.INC($B$2:$B$1194,B612)*100,0)*PARAMS_MODELO!$B$25)+(IFERROR(_xlfn.PERCENTRANK.INC($C$2:$C$1194,C612)*100,0)*PARAMS_MODELO!$B$26)+(IFERROR(_xlfn.PERCENTRANK.INC($E$2:$E$1194,E612)*100,0)*PARAMS_MODELO!$B$27)+(IFERROR(_xlfn.PERCENTRANK.INC($F$2:$F$1194,F612)*100,0)*PARAMS_MODELO!$B$29)+(IFERROR(_xlfn.PERCENTRANK.INC($I$2:$I$1194,I612)*100,0)*PARAMS_MODELO!$B$31)</f>
        <v>36.840000000000003</v>
      </c>
    </row>
    <row r="613" spans="1:10" x14ac:dyDescent="0.3">
      <c r="A613">
        <v>51014774</v>
      </c>
      <c r="B613">
        <v>27</v>
      </c>
      <c r="C613">
        <v>18</v>
      </c>
      <c r="D613">
        <v>72</v>
      </c>
      <c r="E613" s="21">
        <f>D613/PARAMS_MODELO!$B$28</f>
        <v>2.4</v>
      </c>
      <c r="F613">
        <v>68</v>
      </c>
      <c r="G613">
        <v>14</v>
      </c>
      <c r="H613">
        <v>7</v>
      </c>
      <c r="I613" s="20">
        <f t="shared" si="9"/>
        <v>0.5</v>
      </c>
      <c r="J613" s="21">
        <f>(IFERROR(_xlfn.PERCENTRANK.INC($B$2:$B$1194,B613)*100,0)*PARAMS_MODELO!$B$25)+(IFERROR(_xlfn.PERCENTRANK.INC($C$2:$C$1194,C613)*100,0)*PARAMS_MODELO!$B$26)+(IFERROR(_xlfn.PERCENTRANK.INC($E$2:$E$1194,E613)*100,0)*PARAMS_MODELO!$B$27)+(IFERROR(_xlfn.PERCENTRANK.INC($F$2:$F$1194,F613)*100,0)*PARAMS_MODELO!$B$29)+(IFERROR(_xlfn.PERCENTRANK.INC($I$2:$I$1194,I613)*100,0)*PARAMS_MODELO!$B$31)</f>
        <v>54.005000000000003</v>
      </c>
    </row>
    <row r="614" spans="1:10" x14ac:dyDescent="0.3">
      <c r="A614">
        <v>51043847</v>
      </c>
      <c r="B614">
        <v>97</v>
      </c>
      <c r="C614">
        <v>14</v>
      </c>
      <c r="D614">
        <v>74</v>
      </c>
      <c r="E614" s="21">
        <f>D614/PARAMS_MODELO!$B$28</f>
        <v>2.4666666666666668</v>
      </c>
      <c r="F614">
        <v>81</v>
      </c>
      <c r="G614">
        <v>29</v>
      </c>
      <c r="H614">
        <v>3</v>
      </c>
      <c r="I614" s="20">
        <f t="shared" si="9"/>
        <v>0.10344827586206896</v>
      </c>
      <c r="J614" s="21">
        <f>(IFERROR(_xlfn.PERCENTRANK.INC($B$2:$B$1194,B614)*100,0)*PARAMS_MODELO!$B$25)+(IFERROR(_xlfn.PERCENTRANK.INC($C$2:$C$1194,C614)*100,0)*PARAMS_MODELO!$B$26)+(IFERROR(_xlfn.PERCENTRANK.INC($E$2:$E$1194,E614)*100,0)*PARAMS_MODELO!$B$27)+(IFERROR(_xlfn.PERCENTRANK.INC($F$2:$F$1194,F614)*100,0)*PARAMS_MODELO!$B$29)+(IFERROR(_xlfn.PERCENTRANK.INC($I$2:$I$1194,I614)*100,0)*PARAMS_MODELO!$B$31)</f>
        <v>69.644999999999996</v>
      </c>
    </row>
    <row r="615" spans="1:10" x14ac:dyDescent="0.3">
      <c r="A615">
        <v>51032381</v>
      </c>
      <c r="B615">
        <v>48</v>
      </c>
      <c r="C615">
        <v>5</v>
      </c>
      <c r="D615">
        <v>42</v>
      </c>
      <c r="E615" s="21">
        <f>D615/PARAMS_MODELO!$B$28</f>
        <v>1.4</v>
      </c>
      <c r="F615">
        <v>67</v>
      </c>
      <c r="G615">
        <v>32</v>
      </c>
      <c r="H615">
        <v>11</v>
      </c>
      <c r="I615" s="20">
        <f t="shared" si="9"/>
        <v>0.34375</v>
      </c>
      <c r="J615" s="21">
        <f>(IFERROR(_xlfn.PERCENTRANK.INC($B$2:$B$1194,B615)*100,0)*PARAMS_MODELO!$B$25)+(IFERROR(_xlfn.PERCENTRANK.INC($C$2:$C$1194,C615)*100,0)*PARAMS_MODELO!$B$26)+(IFERROR(_xlfn.PERCENTRANK.INC($E$2:$E$1194,E615)*100,0)*PARAMS_MODELO!$B$27)+(IFERROR(_xlfn.PERCENTRANK.INC($F$2:$F$1194,F615)*100,0)*PARAMS_MODELO!$B$29)+(IFERROR(_xlfn.PERCENTRANK.INC($I$2:$I$1194,I615)*100,0)*PARAMS_MODELO!$B$31)</f>
        <v>40.64</v>
      </c>
    </row>
    <row r="616" spans="1:10" x14ac:dyDescent="0.3">
      <c r="A616">
        <v>51018508</v>
      </c>
      <c r="B616">
        <v>66</v>
      </c>
      <c r="C616">
        <v>25</v>
      </c>
      <c r="D616">
        <v>95</v>
      </c>
      <c r="E616" s="21">
        <f>D616/PARAMS_MODELO!$B$28</f>
        <v>3.1666666666666665</v>
      </c>
      <c r="F616">
        <v>37</v>
      </c>
      <c r="G616">
        <v>51</v>
      </c>
      <c r="H616">
        <v>41</v>
      </c>
      <c r="I616" s="20">
        <f t="shared" si="9"/>
        <v>0.80392156862745101</v>
      </c>
      <c r="J616" s="21">
        <f>(IFERROR(_xlfn.PERCENTRANK.INC($B$2:$B$1194,B616)*100,0)*PARAMS_MODELO!$B$25)+(IFERROR(_xlfn.PERCENTRANK.INC($C$2:$C$1194,C616)*100,0)*PARAMS_MODELO!$B$26)+(IFERROR(_xlfn.PERCENTRANK.INC($E$2:$E$1194,E616)*100,0)*PARAMS_MODELO!$B$27)+(IFERROR(_xlfn.PERCENTRANK.INC($F$2:$F$1194,F616)*100,0)*PARAMS_MODELO!$B$29)+(IFERROR(_xlfn.PERCENTRANK.INC($I$2:$I$1194,I616)*100,0)*PARAMS_MODELO!$B$31)</f>
        <v>75.580000000000013</v>
      </c>
    </row>
    <row r="617" spans="1:10" x14ac:dyDescent="0.3">
      <c r="A617">
        <v>51003616</v>
      </c>
      <c r="B617">
        <v>88</v>
      </c>
      <c r="C617">
        <v>10</v>
      </c>
      <c r="D617">
        <v>15</v>
      </c>
      <c r="E617" s="21">
        <f>D617/PARAMS_MODELO!$B$28</f>
        <v>0.5</v>
      </c>
      <c r="F617">
        <v>32</v>
      </c>
      <c r="G617">
        <v>63</v>
      </c>
      <c r="H617">
        <v>35</v>
      </c>
      <c r="I617" s="20">
        <f t="shared" si="9"/>
        <v>0.55555555555555558</v>
      </c>
      <c r="J617" s="21">
        <f>(IFERROR(_xlfn.PERCENTRANK.INC($B$2:$B$1194,B617)*100,0)*PARAMS_MODELO!$B$25)+(IFERROR(_xlfn.PERCENTRANK.INC($C$2:$C$1194,C617)*100,0)*PARAMS_MODELO!$B$26)+(IFERROR(_xlfn.PERCENTRANK.INC($E$2:$E$1194,E617)*100,0)*PARAMS_MODELO!$B$27)+(IFERROR(_xlfn.PERCENTRANK.INC($F$2:$F$1194,F617)*100,0)*PARAMS_MODELO!$B$29)+(IFERROR(_xlfn.PERCENTRANK.INC($I$2:$I$1194,I617)*100,0)*PARAMS_MODELO!$B$31)</f>
        <v>48.149999999999991</v>
      </c>
    </row>
    <row r="618" spans="1:10" x14ac:dyDescent="0.3">
      <c r="A618">
        <v>51038932</v>
      </c>
      <c r="B618">
        <v>96</v>
      </c>
      <c r="C618">
        <v>16</v>
      </c>
      <c r="D618">
        <v>41</v>
      </c>
      <c r="E618" s="21">
        <f>D618/PARAMS_MODELO!$B$28</f>
        <v>1.3666666666666667</v>
      </c>
      <c r="F618">
        <v>42</v>
      </c>
      <c r="G618">
        <v>65</v>
      </c>
      <c r="H618">
        <v>23</v>
      </c>
      <c r="I618" s="20">
        <f t="shared" si="9"/>
        <v>0.35384615384615387</v>
      </c>
      <c r="J618" s="21">
        <f>(IFERROR(_xlfn.PERCENTRANK.INC($B$2:$B$1194,B618)*100,0)*PARAMS_MODELO!$B$25)+(IFERROR(_xlfn.PERCENTRANK.INC($C$2:$C$1194,C618)*100,0)*PARAMS_MODELO!$B$26)+(IFERROR(_xlfn.PERCENTRANK.INC($E$2:$E$1194,E618)*100,0)*PARAMS_MODELO!$B$27)+(IFERROR(_xlfn.PERCENTRANK.INC($F$2:$F$1194,F618)*100,0)*PARAMS_MODELO!$B$29)+(IFERROR(_xlfn.PERCENTRANK.INC($I$2:$I$1194,I618)*100,0)*PARAMS_MODELO!$B$31)</f>
        <v>60.759999999999991</v>
      </c>
    </row>
    <row r="619" spans="1:10" x14ac:dyDescent="0.3">
      <c r="A619">
        <v>51039211</v>
      </c>
      <c r="B619">
        <v>98</v>
      </c>
      <c r="C619">
        <v>16</v>
      </c>
      <c r="D619">
        <v>93</v>
      </c>
      <c r="E619" s="21">
        <f>D619/PARAMS_MODELO!$B$28</f>
        <v>3.1</v>
      </c>
      <c r="F619">
        <v>10</v>
      </c>
      <c r="G619">
        <v>64</v>
      </c>
      <c r="H619">
        <v>39</v>
      </c>
      <c r="I619" s="20">
        <f t="shared" si="9"/>
        <v>0.609375</v>
      </c>
      <c r="J619" s="21">
        <f>(IFERROR(_xlfn.PERCENTRANK.INC($B$2:$B$1194,B619)*100,0)*PARAMS_MODELO!$B$25)+(IFERROR(_xlfn.PERCENTRANK.INC($C$2:$C$1194,C619)*100,0)*PARAMS_MODELO!$B$26)+(IFERROR(_xlfn.PERCENTRANK.INC($E$2:$E$1194,E619)*100,0)*PARAMS_MODELO!$B$27)+(IFERROR(_xlfn.PERCENTRANK.INC($F$2:$F$1194,F619)*100,0)*PARAMS_MODELO!$B$29)+(IFERROR(_xlfn.PERCENTRANK.INC($I$2:$I$1194,I619)*100,0)*PARAMS_MODELO!$B$31)</f>
        <v>69.424999999999997</v>
      </c>
    </row>
    <row r="620" spans="1:10" x14ac:dyDescent="0.3">
      <c r="A620">
        <v>51018664</v>
      </c>
      <c r="B620">
        <v>19</v>
      </c>
      <c r="C620">
        <v>3</v>
      </c>
      <c r="D620">
        <v>70</v>
      </c>
      <c r="E620" s="21">
        <f>D620/PARAMS_MODELO!$B$28</f>
        <v>2.3333333333333335</v>
      </c>
      <c r="F620">
        <v>48</v>
      </c>
      <c r="G620">
        <v>52</v>
      </c>
      <c r="H620">
        <v>6</v>
      </c>
      <c r="I620" s="20">
        <f t="shared" si="9"/>
        <v>0.11538461538461539</v>
      </c>
      <c r="J620" s="21">
        <f>(IFERROR(_xlfn.PERCENTRANK.INC($B$2:$B$1194,B620)*100,0)*PARAMS_MODELO!$B$25)+(IFERROR(_xlfn.PERCENTRANK.INC($C$2:$C$1194,C620)*100,0)*PARAMS_MODELO!$B$26)+(IFERROR(_xlfn.PERCENTRANK.INC($E$2:$E$1194,E620)*100,0)*PARAMS_MODELO!$B$27)+(IFERROR(_xlfn.PERCENTRANK.INC($F$2:$F$1194,F620)*100,0)*PARAMS_MODELO!$B$29)+(IFERROR(_xlfn.PERCENTRANK.INC($I$2:$I$1194,I620)*100,0)*PARAMS_MODELO!$B$31)</f>
        <v>30.580000000000002</v>
      </c>
    </row>
    <row r="621" spans="1:10" x14ac:dyDescent="0.3">
      <c r="A621">
        <v>51056671</v>
      </c>
      <c r="B621">
        <v>3</v>
      </c>
      <c r="C621">
        <v>14</v>
      </c>
      <c r="D621">
        <v>80</v>
      </c>
      <c r="E621" s="21">
        <f>D621/PARAMS_MODELO!$B$28</f>
        <v>2.6666666666666665</v>
      </c>
      <c r="F621">
        <v>28</v>
      </c>
      <c r="G621">
        <v>71</v>
      </c>
      <c r="H621">
        <v>0</v>
      </c>
      <c r="I621" s="20">
        <f t="shared" si="9"/>
        <v>0</v>
      </c>
      <c r="J621" s="21">
        <f>(IFERROR(_xlfn.PERCENTRANK.INC($B$2:$B$1194,B621)*100,0)*PARAMS_MODELO!$B$25)+(IFERROR(_xlfn.PERCENTRANK.INC($C$2:$C$1194,C621)*100,0)*PARAMS_MODELO!$B$26)+(IFERROR(_xlfn.PERCENTRANK.INC($E$2:$E$1194,E621)*100,0)*PARAMS_MODELO!$B$27)+(IFERROR(_xlfn.PERCENTRANK.INC($F$2:$F$1194,F621)*100,0)*PARAMS_MODELO!$B$29)+(IFERROR(_xlfn.PERCENTRANK.INC($I$2:$I$1194,I621)*100,0)*PARAMS_MODELO!$B$31)</f>
        <v>33.19</v>
      </c>
    </row>
    <row r="622" spans="1:10" x14ac:dyDescent="0.3">
      <c r="A622">
        <v>51055462</v>
      </c>
      <c r="B622">
        <v>26</v>
      </c>
      <c r="C622">
        <v>8</v>
      </c>
      <c r="D622">
        <v>26</v>
      </c>
      <c r="E622" s="21">
        <f>D622/PARAMS_MODELO!$B$28</f>
        <v>0.8666666666666667</v>
      </c>
      <c r="F622">
        <v>38</v>
      </c>
      <c r="G622">
        <v>70</v>
      </c>
      <c r="H622">
        <v>36</v>
      </c>
      <c r="I622" s="20">
        <f t="shared" si="9"/>
        <v>0.51428571428571423</v>
      </c>
      <c r="J622" s="21">
        <f>(IFERROR(_xlfn.PERCENTRANK.INC($B$2:$B$1194,B622)*100,0)*PARAMS_MODELO!$B$25)+(IFERROR(_xlfn.PERCENTRANK.INC($C$2:$C$1194,C622)*100,0)*PARAMS_MODELO!$B$26)+(IFERROR(_xlfn.PERCENTRANK.INC($E$2:$E$1194,E622)*100,0)*PARAMS_MODELO!$B$27)+(IFERROR(_xlfn.PERCENTRANK.INC($F$2:$F$1194,F622)*100,0)*PARAMS_MODELO!$B$29)+(IFERROR(_xlfn.PERCENTRANK.INC($I$2:$I$1194,I622)*100,0)*PARAMS_MODELO!$B$31)</f>
        <v>30.790000000000006</v>
      </c>
    </row>
    <row r="623" spans="1:10" x14ac:dyDescent="0.3">
      <c r="A623">
        <v>51014081</v>
      </c>
      <c r="B623">
        <v>76</v>
      </c>
      <c r="C623">
        <v>20</v>
      </c>
      <c r="D623">
        <v>72</v>
      </c>
      <c r="E623" s="21">
        <f>D623/PARAMS_MODELO!$B$28</f>
        <v>2.4</v>
      </c>
      <c r="F623">
        <v>27</v>
      </c>
      <c r="G623">
        <v>47</v>
      </c>
      <c r="H623">
        <v>37</v>
      </c>
      <c r="I623" s="20">
        <f t="shared" si="9"/>
        <v>0.78723404255319152</v>
      </c>
      <c r="J623" s="21">
        <f>(IFERROR(_xlfn.PERCENTRANK.INC($B$2:$B$1194,B623)*100,0)*PARAMS_MODELO!$B$25)+(IFERROR(_xlfn.PERCENTRANK.INC($C$2:$C$1194,C623)*100,0)*PARAMS_MODELO!$B$26)+(IFERROR(_xlfn.PERCENTRANK.INC($E$2:$E$1194,E623)*100,0)*PARAMS_MODELO!$B$27)+(IFERROR(_xlfn.PERCENTRANK.INC($F$2:$F$1194,F623)*100,0)*PARAMS_MODELO!$B$29)+(IFERROR(_xlfn.PERCENTRANK.INC($I$2:$I$1194,I623)*100,0)*PARAMS_MODELO!$B$31)</f>
        <v>67.11</v>
      </c>
    </row>
    <row r="624" spans="1:10" x14ac:dyDescent="0.3">
      <c r="A624">
        <v>51055918</v>
      </c>
      <c r="B624">
        <v>64</v>
      </c>
      <c r="C624">
        <v>10</v>
      </c>
      <c r="D624">
        <v>70</v>
      </c>
      <c r="E624" s="21">
        <f>D624/PARAMS_MODELO!$B$28</f>
        <v>2.3333333333333335</v>
      </c>
      <c r="F624">
        <v>83</v>
      </c>
      <c r="G624">
        <v>91</v>
      </c>
      <c r="H624">
        <v>56</v>
      </c>
      <c r="I624" s="20">
        <f t="shared" si="9"/>
        <v>0.61538461538461542</v>
      </c>
      <c r="J624" s="21">
        <f>(IFERROR(_xlfn.PERCENTRANK.INC($B$2:$B$1194,B624)*100,0)*PARAMS_MODELO!$B$25)+(IFERROR(_xlfn.PERCENTRANK.INC($C$2:$C$1194,C624)*100,0)*PARAMS_MODELO!$B$26)+(IFERROR(_xlfn.PERCENTRANK.INC($E$2:$E$1194,E624)*100,0)*PARAMS_MODELO!$B$27)+(IFERROR(_xlfn.PERCENTRANK.INC($F$2:$F$1194,F624)*100,0)*PARAMS_MODELO!$B$29)+(IFERROR(_xlfn.PERCENTRANK.INC($I$2:$I$1194,I624)*100,0)*PARAMS_MODELO!$B$31)</f>
        <v>60.24</v>
      </c>
    </row>
    <row r="625" spans="1:10" x14ac:dyDescent="0.3">
      <c r="A625">
        <v>51016785</v>
      </c>
      <c r="B625">
        <v>63</v>
      </c>
      <c r="C625">
        <v>11</v>
      </c>
      <c r="D625">
        <v>72</v>
      </c>
      <c r="E625" s="21">
        <f>D625/PARAMS_MODELO!$B$28</f>
        <v>2.4</v>
      </c>
      <c r="F625">
        <v>74</v>
      </c>
      <c r="G625">
        <v>77</v>
      </c>
      <c r="H625">
        <v>3</v>
      </c>
      <c r="I625" s="20">
        <f t="shared" si="9"/>
        <v>3.896103896103896E-2</v>
      </c>
      <c r="J625" s="21">
        <f>(IFERROR(_xlfn.PERCENTRANK.INC($B$2:$B$1194,B625)*100,0)*PARAMS_MODELO!$B$25)+(IFERROR(_xlfn.PERCENTRANK.INC($C$2:$C$1194,C625)*100,0)*PARAMS_MODELO!$B$26)+(IFERROR(_xlfn.PERCENTRANK.INC($E$2:$E$1194,E625)*100,0)*PARAMS_MODELO!$B$27)+(IFERROR(_xlfn.PERCENTRANK.INC($F$2:$F$1194,F625)*100,0)*PARAMS_MODELO!$B$29)+(IFERROR(_xlfn.PERCENTRANK.INC($I$2:$I$1194,I625)*100,0)*PARAMS_MODELO!$B$31)</f>
        <v>54.265000000000001</v>
      </c>
    </row>
    <row r="626" spans="1:10" x14ac:dyDescent="0.3">
      <c r="A626">
        <v>51055268</v>
      </c>
      <c r="B626">
        <v>29</v>
      </c>
      <c r="C626">
        <v>7</v>
      </c>
      <c r="D626">
        <v>20</v>
      </c>
      <c r="E626" s="21">
        <f>D626/PARAMS_MODELO!$B$28</f>
        <v>0.66666666666666663</v>
      </c>
      <c r="F626">
        <v>70</v>
      </c>
      <c r="G626">
        <v>68</v>
      </c>
      <c r="H626">
        <v>8</v>
      </c>
      <c r="I626" s="20">
        <f t="shared" si="9"/>
        <v>0.11764705882352941</v>
      </c>
      <c r="J626" s="21">
        <f>(IFERROR(_xlfn.PERCENTRANK.INC($B$2:$B$1194,B626)*100,0)*PARAMS_MODELO!$B$25)+(IFERROR(_xlfn.PERCENTRANK.INC($C$2:$C$1194,C626)*100,0)*PARAMS_MODELO!$B$26)+(IFERROR(_xlfn.PERCENTRANK.INC($E$2:$E$1194,E626)*100,0)*PARAMS_MODELO!$B$27)+(IFERROR(_xlfn.PERCENTRANK.INC($F$2:$F$1194,F626)*100,0)*PARAMS_MODELO!$B$29)+(IFERROR(_xlfn.PERCENTRANK.INC($I$2:$I$1194,I626)*100,0)*PARAMS_MODELO!$B$31)</f>
        <v>30.77</v>
      </c>
    </row>
    <row r="627" spans="1:10" x14ac:dyDescent="0.3">
      <c r="A627">
        <v>51015533</v>
      </c>
      <c r="B627">
        <v>72</v>
      </c>
      <c r="C627">
        <v>17</v>
      </c>
      <c r="D627">
        <v>32</v>
      </c>
      <c r="E627" s="21">
        <f>D627/PARAMS_MODELO!$B$28</f>
        <v>1.0666666666666667</v>
      </c>
      <c r="F627">
        <v>11</v>
      </c>
      <c r="G627">
        <v>41</v>
      </c>
      <c r="H627">
        <v>30</v>
      </c>
      <c r="I627" s="20">
        <f t="shared" si="9"/>
        <v>0.73170731707317072</v>
      </c>
      <c r="J627" s="21">
        <f>(IFERROR(_xlfn.PERCENTRANK.INC($B$2:$B$1194,B627)*100,0)*PARAMS_MODELO!$B$25)+(IFERROR(_xlfn.PERCENTRANK.INC($C$2:$C$1194,C627)*100,0)*PARAMS_MODELO!$B$26)+(IFERROR(_xlfn.PERCENTRANK.INC($E$2:$E$1194,E627)*100,0)*PARAMS_MODELO!$B$27)+(IFERROR(_xlfn.PERCENTRANK.INC($F$2:$F$1194,F627)*100,0)*PARAMS_MODELO!$B$29)+(IFERROR(_xlfn.PERCENTRANK.INC($I$2:$I$1194,I627)*100,0)*PARAMS_MODELO!$B$31)</f>
        <v>52.004999999999995</v>
      </c>
    </row>
    <row r="628" spans="1:10" x14ac:dyDescent="0.3">
      <c r="A628">
        <v>51018371</v>
      </c>
      <c r="B628">
        <v>47</v>
      </c>
      <c r="C628">
        <v>18</v>
      </c>
      <c r="D628">
        <v>62</v>
      </c>
      <c r="E628" s="21">
        <f>D628/PARAMS_MODELO!$B$28</f>
        <v>2.0666666666666669</v>
      </c>
      <c r="F628">
        <v>83</v>
      </c>
      <c r="G628">
        <v>67</v>
      </c>
      <c r="H628">
        <v>64</v>
      </c>
      <c r="I628" s="20">
        <f t="shared" si="9"/>
        <v>0.95522388059701491</v>
      </c>
      <c r="J628" s="21">
        <f>(IFERROR(_xlfn.PERCENTRANK.INC($B$2:$B$1194,B628)*100,0)*PARAMS_MODELO!$B$25)+(IFERROR(_xlfn.PERCENTRANK.INC($C$2:$C$1194,C628)*100,0)*PARAMS_MODELO!$B$26)+(IFERROR(_xlfn.PERCENTRANK.INC($E$2:$E$1194,E628)*100,0)*PARAMS_MODELO!$B$27)+(IFERROR(_xlfn.PERCENTRANK.INC($F$2:$F$1194,F628)*100,0)*PARAMS_MODELO!$B$29)+(IFERROR(_xlfn.PERCENTRANK.INC($I$2:$I$1194,I628)*100,0)*PARAMS_MODELO!$B$31)</f>
        <v>65.02</v>
      </c>
    </row>
    <row r="629" spans="1:10" x14ac:dyDescent="0.3">
      <c r="A629">
        <v>51004027</v>
      </c>
      <c r="B629">
        <v>100</v>
      </c>
      <c r="C629">
        <v>2</v>
      </c>
      <c r="D629">
        <v>44</v>
      </c>
      <c r="E629" s="21">
        <f>D629/PARAMS_MODELO!$B$28</f>
        <v>1.4666666666666666</v>
      </c>
      <c r="F629">
        <v>99</v>
      </c>
      <c r="G629">
        <v>73</v>
      </c>
      <c r="H629">
        <v>10</v>
      </c>
      <c r="I629" s="20">
        <f t="shared" si="9"/>
        <v>0.13698630136986301</v>
      </c>
      <c r="J629" s="21">
        <f>(IFERROR(_xlfn.PERCENTRANK.INC($B$2:$B$1194,B629)*100,0)*PARAMS_MODELO!$B$25)+(IFERROR(_xlfn.PERCENTRANK.INC($C$2:$C$1194,C629)*100,0)*PARAMS_MODELO!$B$26)+(IFERROR(_xlfn.PERCENTRANK.INC($E$2:$E$1194,E629)*100,0)*PARAMS_MODELO!$B$27)+(IFERROR(_xlfn.PERCENTRANK.INC($F$2:$F$1194,F629)*100,0)*PARAMS_MODELO!$B$29)+(IFERROR(_xlfn.PERCENTRANK.INC($I$2:$I$1194,I629)*100,0)*PARAMS_MODELO!$B$31)</f>
        <v>56.674999999999997</v>
      </c>
    </row>
    <row r="630" spans="1:10" x14ac:dyDescent="0.3">
      <c r="A630">
        <v>51011660</v>
      </c>
      <c r="B630">
        <v>57</v>
      </c>
      <c r="C630">
        <v>23</v>
      </c>
      <c r="D630">
        <v>53</v>
      </c>
      <c r="E630" s="21">
        <f>D630/PARAMS_MODELO!$B$28</f>
        <v>1.7666666666666666</v>
      </c>
      <c r="F630">
        <v>99</v>
      </c>
      <c r="G630">
        <v>3</v>
      </c>
      <c r="H630">
        <v>0</v>
      </c>
      <c r="I630" s="20">
        <f t="shared" si="9"/>
        <v>0</v>
      </c>
      <c r="J630" s="21">
        <f>(IFERROR(_xlfn.PERCENTRANK.INC($B$2:$B$1194,B630)*100,0)*PARAMS_MODELO!$B$25)+(IFERROR(_xlfn.PERCENTRANK.INC($C$2:$C$1194,C630)*100,0)*PARAMS_MODELO!$B$26)+(IFERROR(_xlfn.PERCENTRANK.INC($E$2:$E$1194,E630)*100,0)*PARAMS_MODELO!$B$27)+(IFERROR(_xlfn.PERCENTRANK.INC($F$2:$F$1194,F630)*100,0)*PARAMS_MODELO!$B$29)+(IFERROR(_xlfn.PERCENTRANK.INC($I$2:$I$1194,I630)*100,0)*PARAMS_MODELO!$B$31)</f>
        <v>63.39</v>
      </c>
    </row>
    <row r="631" spans="1:10" x14ac:dyDescent="0.3">
      <c r="A631">
        <v>51022556</v>
      </c>
      <c r="B631">
        <v>30</v>
      </c>
      <c r="C631">
        <v>14</v>
      </c>
      <c r="D631">
        <v>73</v>
      </c>
      <c r="E631" s="21">
        <f>D631/PARAMS_MODELO!$B$28</f>
        <v>2.4333333333333331</v>
      </c>
      <c r="F631">
        <v>83</v>
      </c>
      <c r="G631">
        <v>75</v>
      </c>
      <c r="H631">
        <v>74</v>
      </c>
      <c r="I631" s="20">
        <f t="shared" si="9"/>
        <v>0.98666666666666669</v>
      </c>
      <c r="J631" s="21">
        <f>(IFERROR(_xlfn.PERCENTRANK.INC($B$2:$B$1194,B631)*100,0)*PARAMS_MODELO!$B$25)+(IFERROR(_xlfn.PERCENTRANK.INC($C$2:$C$1194,C631)*100,0)*PARAMS_MODELO!$B$26)+(IFERROR(_xlfn.PERCENTRANK.INC($E$2:$E$1194,E631)*100,0)*PARAMS_MODELO!$B$27)+(IFERROR(_xlfn.PERCENTRANK.INC($F$2:$F$1194,F631)*100,0)*PARAMS_MODELO!$B$29)+(IFERROR(_xlfn.PERCENTRANK.INC($I$2:$I$1194,I631)*100,0)*PARAMS_MODELO!$B$31)</f>
        <v>58.69</v>
      </c>
    </row>
    <row r="632" spans="1:10" x14ac:dyDescent="0.3">
      <c r="A632">
        <v>51018427</v>
      </c>
      <c r="B632">
        <v>78</v>
      </c>
      <c r="C632">
        <v>11</v>
      </c>
      <c r="D632">
        <v>41</v>
      </c>
      <c r="E632" s="21">
        <f>D632/PARAMS_MODELO!$B$28</f>
        <v>1.3666666666666667</v>
      </c>
      <c r="F632">
        <v>51</v>
      </c>
      <c r="G632">
        <v>63</v>
      </c>
      <c r="H632">
        <v>41</v>
      </c>
      <c r="I632" s="20">
        <f t="shared" si="9"/>
        <v>0.65079365079365081</v>
      </c>
      <c r="J632" s="21">
        <f>(IFERROR(_xlfn.PERCENTRANK.INC($B$2:$B$1194,B632)*100,0)*PARAMS_MODELO!$B$25)+(IFERROR(_xlfn.PERCENTRANK.INC($C$2:$C$1194,C632)*100,0)*PARAMS_MODELO!$B$26)+(IFERROR(_xlfn.PERCENTRANK.INC($E$2:$E$1194,E632)*100,0)*PARAMS_MODELO!$B$27)+(IFERROR(_xlfn.PERCENTRANK.INC($F$2:$F$1194,F632)*100,0)*PARAMS_MODELO!$B$29)+(IFERROR(_xlfn.PERCENTRANK.INC($I$2:$I$1194,I632)*100,0)*PARAMS_MODELO!$B$31)</f>
        <v>55.290000000000006</v>
      </c>
    </row>
    <row r="633" spans="1:10" x14ac:dyDescent="0.3">
      <c r="A633">
        <v>51024516</v>
      </c>
      <c r="B633">
        <v>41</v>
      </c>
      <c r="C633">
        <v>17</v>
      </c>
      <c r="D633">
        <v>74</v>
      </c>
      <c r="E633" s="21">
        <f>D633/PARAMS_MODELO!$B$28</f>
        <v>2.4666666666666668</v>
      </c>
      <c r="F633">
        <v>22</v>
      </c>
      <c r="G633">
        <v>0</v>
      </c>
      <c r="H633">
        <v>0</v>
      </c>
      <c r="I633" s="20">
        <f t="shared" si="9"/>
        <v>0</v>
      </c>
      <c r="J633" s="21">
        <f>(IFERROR(_xlfn.PERCENTRANK.INC($B$2:$B$1194,B633)*100,0)*PARAMS_MODELO!$B$25)+(IFERROR(_xlfn.PERCENTRANK.INC($C$2:$C$1194,C633)*100,0)*PARAMS_MODELO!$B$26)+(IFERROR(_xlfn.PERCENTRANK.INC($E$2:$E$1194,E633)*100,0)*PARAMS_MODELO!$B$27)+(IFERROR(_xlfn.PERCENTRANK.INC($F$2:$F$1194,F633)*100,0)*PARAMS_MODELO!$B$29)+(IFERROR(_xlfn.PERCENTRANK.INC($I$2:$I$1194,I633)*100,0)*PARAMS_MODELO!$B$31)</f>
        <v>45.124999999999993</v>
      </c>
    </row>
    <row r="634" spans="1:10" x14ac:dyDescent="0.3">
      <c r="A634">
        <v>51011856</v>
      </c>
      <c r="B634">
        <v>4</v>
      </c>
      <c r="C634">
        <v>17</v>
      </c>
      <c r="D634">
        <v>13</v>
      </c>
      <c r="E634" s="21">
        <f>D634/PARAMS_MODELO!$B$28</f>
        <v>0.43333333333333335</v>
      </c>
      <c r="F634">
        <v>21</v>
      </c>
      <c r="G634">
        <v>20</v>
      </c>
      <c r="H634">
        <v>18</v>
      </c>
      <c r="I634" s="20">
        <f t="shared" si="9"/>
        <v>0.9</v>
      </c>
      <c r="J634" s="21">
        <f>(IFERROR(_xlfn.PERCENTRANK.INC($B$2:$B$1194,B634)*100,0)*PARAMS_MODELO!$B$25)+(IFERROR(_xlfn.PERCENTRANK.INC($C$2:$C$1194,C634)*100,0)*PARAMS_MODELO!$B$26)+(IFERROR(_xlfn.PERCENTRANK.INC($E$2:$E$1194,E634)*100,0)*PARAMS_MODELO!$B$27)+(IFERROR(_xlfn.PERCENTRANK.INC($F$2:$F$1194,F634)*100,0)*PARAMS_MODELO!$B$29)+(IFERROR(_xlfn.PERCENTRANK.INC($I$2:$I$1194,I634)*100,0)*PARAMS_MODELO!$B$31)</f>
        <v>31.320000000000004</v>
      </c>
    </row>
    <row r="635" spans="1:10" x14ac:dyDescent="0.3">
      <c r="A635">
        <v>51032322</v>
      </c>
      <c r="B635">
        <v>95</v>
      </c>
      <c r="C635">
        <v>7</v>
      </c>
      <c r="D635">
        <v>99</v>
      </c>
      <c r="E635" s="21">
        <f>D635/PARAMS_MODELO!$B$28</f>
        <v>3.3</v>
      </c>
      <c r="F635">
        <v>90</v>
      </c>
      <c r="G635">
        <v>99</v>
      </c>
      <c r="H635">
        <v>18</v>
      </c>
      <c r="I635" s="20">
        <f t="shared" si="9"/>
        <v>0.18181818181818182</v>
      </c>
      <c r="J635" s="21">
        <f>(IFERROR(_xlfn.PERCENTRANK.INC($B$2:$B$1194,B635)*100,0)*PARAMS_MODELO!$B$25)+(IFERROR(_xlfn.PERCENTRANK.INC($C$2:$C$1194,C635)*100,0)*PARAMS_MODELO!$B$26)+(IFERROR(_xlfn.PERCENTRANK.INC($E$2:$E$1194,E635)*100,0)*PARAMS_MODELO!$B$27)+(IFERROR(_xlfn.PERCENTRANK.INC($F$2:$F$1194,F635)*100,0)*PARAMS_MODELO!$B$29)+(IFERROR(_xlfn.PERCENTRANK.INC($I$2:$I$1194,I635)*100,0)*PARAMS_MODELO!$B$31)</f>
        <v>69.395000000000024</v>
      </c>
    </row>
    <row r="636" spans="1:10" x14ac:dyDescent="0.3">
      <c r="A636">
        <v>51013859</v>
      </c>
      <c r="B636">
        <v>82</v>
      </c>
      <c r="C636">
        <v>8</v>
      </c>
      <c r="D636">
        <v>53</v>
      </c>
      <c r="E636" s="21">
        <f>D636/PARAMS_MODELO!$B$28</f>
        <v>1.7666666666666666</v>
      </c>
      <c r="F636">
        <v>47</v>
      </c>
      <c r="G636">
        <v>38</v>
      </c>
      <c r="H636">
        <v>29</v>
      </c>
      <c r="I636" s="20">
        <f t="shared" si="9"/>
        <v>0.76315789473684215</v>
      </c>
      <c r="J636" s="21">
        <f>(IFERROR(_xlfn.PERCENTRANK.INC($B$2:$B$1194,B636)*100,0)*PARAMS_MODELO!$B$25)+(IFERROR(_xlfn.PERCENTRANK.INC($C$2:$C$1194,C636)*100,0)*PARAMS_MODELO!$B$26)+(IFERROR(_xlfn.PERCENTRANK.INC($E$2:$E$1194,E636)*100,0)*PARAMS_MODELO!$B$27)+(IFERROR(_xlfn.PERCENTRANK.INC($F$2:$F$1194,F636)*100,0)*PARAMS_MODELO!$B$29)+(IFERROR(_xlfn.PERCENTRANK.INC($I$2:$I$1194,I636)*100,0)*PARAMS_MODELO!$B$31)</f>
        <v>56.984999999999999</v>
      </c>
    </row>
    <row r="637" spans="1:10" x14ac:dyDescent="0.3">
      <c r="A637">
        <v>51008430</v>
      </c>
      <c r="B637">
        <v>0</v>
      </c>
      <c r="C637">
        <v>23</v>
      </c>
      <c r="D637">
        <v>45</v>
      </c>
      <c r="E637" s="21">
        <f>D637/PARAMS_MODELO!$B$28</f>
        <v>1.5</v>
      </c>
      <c r="F637">
        <v>65</v>
      </c>
      <c r="G637">
        <v>22</v>
      </c>
      <c r="H637">
        <v>3</v>
      </c>
      <c r="I637" s="20">
        <f t="shared" si="9"/>
        <v>0.13636363636363635</v>
      </c>
      <c r="J637" s="21">
        <f>(IFERROR(_xlfn.PERCENTRANK.INC($B$2:$B$1194,B637)*100,0)*PARAMS_MODELO!$B$25)+(IFERROR(_xlfn.PERCENTRANK.INC($C$2:$C$1194,C637)*100,0)*PARAMS_MODELO!$B$26)+(IFERROR(_xlfn.PERCENTRANK.INC($E$2:$E$1194,E637)*100,0)*PARAMS_MODELO!$B$27)+(IFERROR(_xlfn.PERCENTRANK.INC($F$2:$F$1194,F637)*100,0)*PARAMS_MODELO!$B$29)+(IFERROR(_xlfn.PERCENTRANK.INC($I$2:$I$1194,I637)*100,0)*PARAMS_MODELO!$B$31)</f>
        <v>41.834999999999994</v>
      </c>
    </row>
    <row r="638" spans="1:10" x14ac:dyDescent="0.3">
      <c r="A638">
        <v>51042158</v>
      </c>
      <c r="B638">
        <v>61</v>
      </c>
      <c r="C638">
        <v>12</v>
      </c>
      <c r="D638">
        <v>9</v>
      </c>
      <c r="E638" s="21">
        <f>D638/PARAMS_MODELO!$B$28</f>
        <v>0.3</v>
      </c>
      <c r="F638">
        <v>70</v>
      </c>
      <c r="G638">
        <v>70</v>
      </c>
      <c r="H638">
        <v>54</v>
      </c>
      <c r="I638" s="20">
        <f t="shared" si="9"/>
        <v>0.77142857142857146</v>
      </c>
      <c r="J638" s="21">
        <f>(IFERROR(_xlfn.PERCENTRANK.INC($B$2:$B$1194,B638)*100,0)*PARAMS_MODELO!$B$25)+(IFERROR(_xlfn.PERCENTRANK.INC($C$2:$C$1194,C638)*100,0)*PARAMS_MODELO!$B$26)+(IFERROR(_xlfn.PERCENTRANK.INC($E$2:$E$1194,E638)*100,0)*PARAMS_MODELO!$B$27)+(IFERROR(_xlfn.PERCENTRANK.INC($F$2:$F$1194,F638)*100,0)*PARAMS_MODELO!$B$29)+(IFERROR(_xlfn.PERCENTRANK.INC($I$2:$I$1194,I638)*100,0)*PARAMS_MODELO!$B$31)</f>
        <v>48.74</v>
      </c>
    </row>
    <row r="639" spans="1:10" x14ac:dyDescent="0.3">
      <c r="A639">
        <v>51011627</v>
      </c>
      <c r="B639">
        <v>99</v>
      </c>
      <c r="C639">
        <v>5</v>
      </c>
      <c r="D639">
        <v>65</v>
      </c>
      <c r="E639" s="21">
        <f>D639/PARAMS_MODELO!$B$28</f>
        <v>2.1666666666666665</v>
      </c>
      <c r="F639">
        <v>12</v>
      </c>
      <c r="G639">
        <v>35</v>
      </c>
      <c r="H639">
        <v>22</v>
      </c>
      <c r="I639" s="20">
        <f t="shared" si="9"/>
        <v>0.62857142857142856</v>
      </c>
      <c r="J639" s="21">
        <f>(IFERROR(_xlfn.PERCENTRANK.INC($B$2:$B$1194,B639)*100,0)*PARAMS_MODELO!$B$25)+(IFERROR(_xlfn.PERCENTRANK.INC($C$2:$C$1194,C639)*100,0)*PARAMS_MODELO!$B$26)+(IFERROR(_xlfn.PERCENTRANK.INC($E$2:$E$1194,E639)*100,0)*PARAMS_MODELO!$B$27)+(IFERROR(_xlfn.PERCENTRANK.INC($F$2:$F$1194,F639)*100,0)*PARAMS_MODELO!$B$29)+(IFERROR(_xlfn.PERCENTRANK.INC($I$2:$I$1194,I639)*100,0)*PARAMS_MODELO!$B$31)</f>
        <v>54.614999999999988</v>
      </c>
    </row>
    <row r="640" spans="1:10" x14ac:dyDescent="0.3">
      <c r="A640">
        <v>51010426</v>
      </c>
      <c r="B640">
        <v>29</v>
      </c>
      <c r="C640">
        <v>18</v>
      </c>
      <c r="D640">
        <v>28</v>
      </c>
      <c r="E640" s="21">
        <f>D640/PARAMS_MODELO!$B$28</f>
        <v>0.93333333333333335</v>
      </c>
      <c r="F640">
        <v>99</v>
      </c>
      <c r="G640">
        <v>62</v>
      </c>
      <c r="H640">
        <v>10</v>
      </c>
      <c r="I640" s="20">
        <f t="shared" si="9"/>
        <v>0.16129032258064516</v>
      </c>
      <c r="J640" s="21">
        <f>(IFERROR(_xlfn.PERCENTRANK.INC($B$2:$B$1194,B640)*100,0)*PARAMS_MODELO!$B$25)+(IFERROR(_xlfn.PERCENTRANK.INC($C$2:$C$1194,C640)*100,0)*PARAMS_MODELO!$B$26)+(IFERROR(_xlfn.PERCENTRANK.INC($E$2:$E$1194,E640)*100,0)*PARAMS_MODELO!$B$27)+(IFERROR(_xlfn.PERCENTRANK.INC($F$2:$F$1194,F640)*100,0)*PARAMS_MODELO!$B$29)+(IFERROR(_xlfn.PERCENTRANK.INC($I$2:$I$1194,I640)*100,0)*PARAMS_MODELO!$B$31)</f>
        <v>47.155000000000001</v>
      </c>
    </row>
    <row r="641" spans="1:10" x14ac:dyDescent="0.3">
      <c r="A641">
        <v>51033205</v>
      </c>
      <c r="B641">
        <v>98</v>
      </c>
      <c r="C641">
        <v>13</v>
      </c>
      <c r="D641">
        <v>40</v>
      </c>
      <c r="E641" s="21">
        <f>D641/PARAMS_MODELO!$B$28</f>
        <v>1.3333333333333333</v>
      </c>
      <c r="F641">
        <v>28</v>
      </c>
      <c r="G641">
        <v>80</v>
      </c>
      <c r="H641">
        <v>39</v>
      </c>
      <c r="I641" s="20">
        <f t="shared" si="9"/>
        <v>0.48749999999999999</v>
      </c>
      <c r="J641" s="21">
        <f>(IFERROR(_xlfn.PERCENTRANK.INC($B$2:$B$1194,B641)*100,0)*PARAMS_MODELO!$B$25)+(IFERROR(_xlfn.PERCENTRANK.INC($C$2:$C$1194,C641)*100,0)*PARAMS_MODELO!$B$26)+(IFERROR(_xlfn.PERCENTRANK.INC($E$2:$E$1194,E641)*100,0)*PARAMS_MODELO!$B$27)+(IFERROR(_xlfn.PERCENTRANK.INC($F$2:$F$1194,F641)*100,0)*PARAMS_MODELO!$B$29)+(IFERROR(_xlfn.PERCENTRANK.INC($I$2:$I$1194,I641)*100,0)*PARAMS_MODELO!$B$31)</f>
        <v>57.484999999999992</v>
      </c>
    </row>
    <row r="642" spans="1:10" x14ac:dyDescent="0.3">
      <c r="A642">
        <v>51035976</v>
      </c>
      <c r="B642">
        <v>46</v>
      </c>
      <c r="C642">
        <v>10</v>
      </c>
      <c r="D642">
        <v>62</v>
      </c>
      <c r="E642" s="21">
        <f>D642/PARAMS_MODELO!$B$28</f>
        <v>2.0666666666666669</v>
      </c>
      <c r="F642">
        <v>95</v>
      </c>
      <c r="G642">
        <v>88</v>
      </c>
      <c r="H642">
        <v>71</v>
      </c>
      <c r="I642" s="20">
        <f t="shared" ref="I642:I705" si="10">IFERROR(H642/G642,0)</f>
        <v>0.80681818181818177</v>
      </c>
      <c r="J642" s="21">
        <f>(IFERROR(_xlfn.PERCENTRANK.INC($B$2:$B$1194,B642)*100,0)*PARAMS_MODELO!$B$25)+(IFERROR(_xlfn.PERCENTRANK.INC($C$2:$C$1194,C642)*100,0)*PARAMS_MODELO!$B$26)+(IFERROR(_xlfn.PERCENTRANK.INC($E$2:$E$1194,E642)*100,0)*PARAMS_MODELO!$B$27)+(IFERROR(_xlfn.PERCENTRANK.INC($F$2:$F$1194,F642)*100,0)*PARAMS_MODELO!$B$29)+(IFERROR(_xlfn.PERCENTRANK.INC($I$2:$I$1194,I642)*100,0)*PARAMS_MODELO!$B$31)</f>
        <v>57.225000000000001</v>
      </c>
    </row>
    <row r="643" spans="1:10" x14ac:dyDescent="0.3">
      <c r="A643">
        <v>51010914</v>
      </c>
      <c r="B643">
        <v>24</v>
      </c>
      <c r="C643">
        <v>7</v>
      </c>
      <c r="D643">
        <v>87</v>
      </c>
      <c r="E643" s="21">
        <f>D643/PARAMS_MODELO!$B$28</f>
        <v>2.9</v>
      </c>
      <c r="F643">
        <v>57</v>
      </c>
      <c r="G643">
        <v>63</v>
      </c>
      <c r="H643">
        <v>55</v>
      </c>
      <c r="I643" s="20">
        <f t="shared" si="10"/>
        <v>0.87301587301587302</v>
      </c>
      <c r="J643" s="21">
        <f>(IFERROR(_xlfn.PERCENTRANK.INC($B$2:$B$1194,B643)*100,0)*PARAMS_MODELO!$B$25)+(IFERROR(_xlfn.PERCENTRANK.INC($C$2:$C$1194,C643)*100,0)*PARAMS_MODELO!$B$26)+(IFERROR(_xlfn.PERCENTRANK.INC($E$2:$E$1194,E643)*100,0)*PARAMS_MODELO!$B$27)+(IFERROR(_xlfn.PERCENTRANK.INC($F$2:$F$1194,F643)*100,0)*PARAMS_MODELO!$B$29)+(IFERROR(_xlfn.PERCENTRANK.INC($I$2:$I$1194,I643)*100,0)*PARAMS_MODELO!$B$31)</f>
        <v>47.890000000000008</v>
      </c>
    </row>
    <row r="644" spans="1:10" x14ac:dyDescent="0.3">
      <c r="A644">
        <v>51023129</v>
      </c>
      <c r="B644">
        <v>47</v>
      </c>
      <c r="C644">
        <v>13</v>
      </c>
      <c r="D644">
        <v>24</v>
      </c>
      <c r="E644" s="21">
        <f>D644/PARAMS_MODELO!$B$28</f>
        <v>0.8</v>
      </c>
      <c r="F644">
        <v>34</v>
      </c>
      <c r="G644">
        <v>92</v>
      </c>
      <c r="H644">
        <v>83</v>
      </c>
      <c r="I644" s="20">
        <f t="shared" si="10"/>
        <v>0.90217391304347827</v>
      </c>
      <c r="J644" s="21">
        <f>(IFERROR(_xlfn.PERCENTRANK.INC($B$2:$B$1194,B644)*100,0)*PARAMS_MODELO!$B$25)+(IFERROR(_xlfn.PERCENTRANK.INC($C$2:$C$1194,C644)*100,0)*PARAMS_MODELO!$B$26)+(IFERROR(_xlfn.PERCENTRANK.INC($E$2:$E$1194,E644)*100,0)*PARAMS_MODELO!$B$27)+(IFERROR(_xlfn.PERCENTRANK.INC($F$2:$F$1194,F644)*100,0)*PARAMS_MODELO!$B$29)+(IFERROR(_xlfn.PERCENTRANK.INC($I$2:$I$1194,I644)*100,0)*PARAMS_MODELO!$B$31)</f>
        <v>44.420000000000009</v>
      </c>
    </row>
    <row r="645" spans="1:10" x14ac:dyDescent="0.3">
      <c r="A645">
        <v>51054857</v>
      </c>
      <c r="B645">
        <v>51</v>
      </c>
      <c r="C645">
        <v>11</v>
      </c>
      <c r="D645">
        <v>18</v>
      </c>
      <c r="E645" s="21">
        <f>D645/PARAMS_MODELO!$B$28</f>
        <v>0.6</v>
      </c>
      <c r="F645">
        <v>74</v>
      </c>
      <c r="G645">
        <v>25</v>
      </c>
      <c r="H645">
        <v>1</v>
      </c>
      <c r="I645" s="20">
        <f t="shared" si="10"/>
        <v>0.04</v>
      </c>
      <c r="J645" s="21">
        <f>(IFERROR(_xlfn.PERCENTRANK.INC($B$2:$B$1194,B645)*100,0)*PARAMS_MODELO!$B$25)+(IFERROR(_xlfn.PERCENTRANK.INC($C$2:$C$1194,C645)*100,0)*PARAMS_MODELO!$B$26)+(IFERROR(_xlfn.PERCENTRANK.INC($E$2:$E$1194,E645)*100,0)*PARAMS_MODELO!$B$27)+(IFERROR(_xlfn.PERCENTRANK.INC($F$2:$F$1194,F645)*100,0)*PARAMS_MODELO!$B$29)+(IFERROR(_xlfn.PERCENTRANK.INC($I$2:$I$1194,I645)*100,0)*PARAMS_MODELO!$B$31)</f>
        <v>40.255000000000003</v>
      </c>
    </row>
    <row r="646" spans="1:10" x14ac:dyDescent="0.3">
      <c r="A646">
        <v>51055926</v>
      </c>
      <c r="B646">
        <v>4</v>
      </c>
      <c r="C646">
        <v>2</v>
      </c>
      <c r="D646">
        <v>18</v>
      </c>
      <c r="E646" s="21">
        <f>D646/PARAMS_MODELO!$B$28</f>
        <v>0.6</v>
      </c>
      <c r="F646">
        <v>36</v>
      </c>
      <c r="G646">
        <v>71</v>
      </c>
      <c r="H646">
        <v>58</v>
      </c>
      <c r="I646" s="20">
        <f t="shared" si="10"/>
        <v>0.81690140845070425</v>
      </c>
      <c r="J646" s="21">
        <f>(IFERROR(_xlfn.PERCENTRANK.INC($B$2:$B$1194,B646)*100,0)*PARAMS_MODELO!$B$25)+(IFERROR(_xlfn.PERCENTRANK.INC($C$2:$C$1194,C646)*100,0)*PARAMS_MODELO!$B$26)+(IFERROR(_xlfn.PERCENTRANK.INC($E$2:$E$1194,E646)*100,0)*PARAMS_MODELO!$B$27)+(IFERROR(_xlfn.PERCENTRANK.INC($F$2:$F$1194,F646)*100,0)*PARAMS_MODELO!$B$29)+(IFERROR(_xlfn.PERCENTRANK.INC($I$2:$I$1194,I646)*100,0)*PARAMS_MODELO!$B$31)</f>
        <v>20.409999999999997</v>
      </c>
    </row>
    <row r="647" spans="1:10" x14ac:dyDescent="0.3">
      <c r="A647">
        <v>51021282</v>
      </c>
      <c r="B647">
        <v>53</v>
      </c>
      <c r="C647">
        <v>22</v>
      </c>
      <c r="D647">
        <v>88</v>
      </c>
      <c r="E647" s="21">
        <f>D647/PARAMS_MODELO!$B$28</f>
        <v>2.9333333333333331</v>
      </c>
      <c r="F647">
        <v>80</v>
      </c>
      <c r="G647">
        <v>92</v>
      </c>
      <c r="H647">
        <v>45</v>
      </c>
      <c r="I647" s="20">
        <f t="shared" si="10"/>
        <v>0.4891304347826087</v>
      </c>
      <c r="J647" s="21">
        <f>(IFERROR(_xlfn.PERCENTRANK.INC($B$2:$B$1194,B647)*100,0)*PARAMS_MODELO!$B$25)+(IFERROR(_xlfn.PERCENTRANK.INC($C$2:$C$1194,C647)*100,0)*PARAMS_MODELO!$B$26)+(IFERROR(_xlfn.PERCENTRANK.INC($E$2:$E$1194,E647)*100,0)*PARAMS_MODELO!$B$27)+(IFERROR(_xlfn.PERCENTRANK.INC($F$2:$F$1194,F647)*100,0)*PARAMS_MODELO!$B$29)+(IFERROR(_xlfn.PERCENTRANK.INC($I$2:$I$1194,I647)*100,0)*PARAMS_MODELO!$B$31)</f>
        <v>70.429999999999993</v>
      </c>
    </row>
    <row r="648" spans="1:10" x14ac:dyDescent="0.3">
      <c r="A648">
        <v>51031369</v>
      </c>
      <c r="B648">
        <v>92</v>
      </c>
      <c r="C648">
        <v>13</v>
      </c>
      <c r="D648">
        <v>70</v>
      </c>
      <c r="E648" s="21">
        <f>D648/PARAMS_MODELO!$B$28</f>
        <v>2.3333333333333335</v>
      </c>
      <c r="F648">
        <v>38</v>
      </c>
      <c r="G648">
        <v>46</v>
      </c>
      <c r="H648">
        <v>34</v>
      </c>
      <c r="I648" s="20">
        <f t="shared" si="10"/>
        <v>0.73913043478260865</v>
      </c>
      <c r="J648" s="21">
        <f>(IFERROR(_xlfn.PERCENTRANK.INC($B$2:$B$1194,B648)*100,0)*PARAMS_MODELO!$B$25)+(IFERROR(_xlfn.PERCENTRANK.INC($C$2:$C$1194,C648)*100,0)*PARAMS_MODELO!$B$26)+(IFERROR(_xlfn.PERCENTRANK.INC($E$2:$E$1194,E648)*100,0)*PARAMS_MODELO!$B$27)+(IFERROR(_xlfn.PERCENTRANK.INC($F$2:$F$1194,F648)*100,0)*PARAMS_MODELO!$B$29)+(IFERROR(_xlfn.PERCENTRANK.INC($I$2:$I$1194,I648)*100,0)*PARAMS_MODELO!$B$31)</f>
        <v>65.72</v>
      </c>
    </row>
    <row r="649" spans="1:10" x14ac:dyDescent="0.3">
      <c r="A649">
        <v>51024621</v>
      </c>
      <c r="B649">
        <v>69</v>
      </c>
      <c r="C649">
        <v>9</v>
      </c>
      <c r="D649">
        <v>33</v>
      </c>
      <c r="E649" s="21">
        <f>D649/PARAMS_MODELO!$B$28</f>
        <v>1.1000000000000001</v>
      </c>
      <c r="F649">
        <v>61</v>
      </c>
      <c r="G649">
        <v>53</v>
      </c>
      <c r="H649">
        <v>43</v>
      </c>
      <c r="I649" s="20">
        <f t="shared" si="10"/>
        <v>0.81132075471698117</v>
      </c>
      <c r="J649" s="21">
        <f>(IFERROR(_xlfn.PERCENTRANK.INC($B$2:$B$1194,B649)*100,0)*PARAMS_MODELO!$B$25)+(IFERROR(_xlfn.PERCENTRANK.INC($C$2:$C$1194,C649)*100,0)*PARAMS_MODELO!$B$26)+(IFERROR(_xlfn.PERCENTRANK.INC($E$2:$E$1194,E649)*100,0)*PARAMS_MODELO!$B$27)+(IFERROR(_xlfn.PERCENTRANK.INC($F$2:$F$1194,F649)*100,0)*PARAMS_MODELO!$B$29)+(IFERROR(_xlfn.PERCENTRANK.INC($I$2:$I$1194,I649)*100,0)*PARAMS_MODELO!$B$31)</f>
        <v>52.039999999999992</v>
      </c>
    </row>
    <row r="650" spans="1:10" x14ac:dyDescent="0.3">
      <c r="A650">
        <v>51032284</v>
      </c>
      <c r="B650">
        <v>37</v>
      </c>
      <c r="C650">
        <v>14</v>
      </c>
      <c r="D650">
        <v>15</v>
      </c>
      <c r="E650" s="21">
        <f>D650/PARAMS_MODELO!$B$28</f>
        <v>0.5</v>
      </c>
      <c r="F650">
        <v>82</v>
      </c>
      <c r="G650">
        <v>93</v>
      </c>
      <c r="H650">
        <v>88</v>
      </c>
      <c r="I650" s="20">
        <f t="shared" si="10"/>
        <v>0.94623655913978499</v>
      </c>
      <c r="J650" s="21">
        <f>(IFERROR(_xlfn.PERCENTRANK.INC($B$2:$B$1194,B650)*100,0)*PARAMS_MODELO!$B$25)+(IFERROR(_xlfn.PERCENTRANK.INC($C$2:$C$1194,C650)*100,0)*PARAMS_MODELO!$B$26)+(IFERROR(_xlfn.PERCENTRANK.INC($E$2:$E$1194,E650)*100,0)*PARAMS_MODELO!$B$27)+(IFERROR(_xlfn.PERCENTRANK.INC($F$2:$F$1194,F650)*100,0)*PARAMS_MODELO!$B$29)+(IFERROR(_xlfn.PERCENTRANK.INC($I$2:$I$1194,I650)*100,0)*PARAMS_MODELO!$B$31)</f>
        <v>48.464999999999996</v>
      </c>
    </row>
    <row r="651" spans="1:10" x14ac:dyDescent="0.3">
      <c r="A651">
        <v>51018966</v>
      </c>
      <c r="B651">
        <v>85</v>
      </c>
      <c r="C651">
        <v>21</v>
      </c>
      <c r="D651">
        <v>89</v>
      </c>
      <c r="E651" s="21">
        <f>D651/PARAMS_MODELO!$B$28</f>
        <v>2.9666666666666668</v>
      </c>
      <c r="F651">
        <v>13</v>
      </c>
      <c r="G651">
        <v>77</v>
      </c>
      <c r="H651">
        <v>20</v>
      </c>
      <c r="I651" s="20">
        <f t="shared" si="10"/>
        <v>0.25974025974025972</v>
      </c>
      <c r="J651" s="21">
        <f>(IFERROR(_xlfn.PERCENTRANK.INC($B$2:$B$1194,B651)*100,0)*PARAMS_MODELO!$B$25)+(IFERROR(_xlfn.PERCENTRANK.INC($C$2:$C$1194,C651)*100,0)*PARAMS_MODELO!$B$26)+(IFERROR(_xlfn.PERCENTRANK.INC($E$2:$E$1194,E651)*100,0)*PARAMS_MODELO!$B$27)+(IFERROR(_xlfn.PERCENTRANK.INC($F$2:$F$1194,F651)*100,0)*PARAMS_MODELO!$B$29)+(IFERROR(_xlfn.PERCENTRANK.INC($I$2:$I$1194,I651)*100,0)*PARAMS_MODELO!$B$31)</f>
        <v>66.800000000000011</v>
      </c>
    </row>
    <row r="652" spans="1:10" x14ac:dyDescent="0.3">
      <c r="A652">
        <v>51012623</v>
      </c>
      <c r="B652">
        <v>69</v>
      </c>
      <c r="C652">
        <v>7</v>
      </c>
      <c r="D652">
        <v>84</v>
      </c>
      <c r="E652" s="21">
        <f>D652/PARAMS_MODELO!$B$28</f>
        <v>2.8</v>
      </c>
      <c r="F652">
        <v>44</v>
      </c>
      <c r="G652">
        <v>34</v>
      </c>
      <c r="H652">
        <v>17</v>
      </c>
      <c r="I652" s="20">
        <f t="shared" si="10"/>
        <v>0.5</v>
      </c>
      <c r="J652" s="21">
        <f>(IFERROR(_xlfn.PERCENTRANK.INC($B$2:$B$1194,B652)*100,0)*PARAMS_MODELO!$B$25)+(IFERROR(_xlfn.PERCENTRANK.INC($C$2:$C$1194,C652)*100,0)*PARAMS_MODELO!$B$26)+(IFERROR(_xlfn.PERCENTRANK.INC($E$2:$E$1194,E652)*100,0)*PARAMS_MODELO!$B$27)+(IFERROR(_xlfn.PERCENTRANK.INC($F$2:$F$1194,F652)*100,0)*PARAMS_MODELO!$B$29)+(IFERROR(_xlfn.PERCENTRANK.INC($I$2:$I$1194,I652)*100,0)*PARAMS_MODELO!$B$31)</f>
        <v>54.82</v>
      </c>
    </row>
    <row r="653" spans="1:10" x14ac:dyDescent="0.3">
      <c r="A653">
        <v>51019121</v>
      </c>
      <c r="B653">
        <v>29</v>
      </c>
      <c r="C653">
        <v>15</v>
      </c>
      <c r="D653">
        <v>61</v>
      </c>
      <c r="E653" s="21">
        <f>D653/PARAMS_MODELO!$B$28</f>
        <v>2.0333333333333332</v>
      </c>
      <c r="F653">
        <v>53</v>
      </c>
      <c r="G653">
        <v>95</v>
      </c>
      <c r="H653">
        <v>24</v>
      </c>
      <c r="I653" s="20">
        <f t="shared" si="10"/>
        <v>0.25263157894736843</v>
      </c>
      <c r="J653" s="21">
        <f>(IFERROR(_xlfn.PERCENTRANK.INC($B$2:$B$1194,B653)*100,0)*PARAMS_MODELO!$B$25)+(IFERROR(_xlfn.PERCENTRANK.INC($C$2:$C$1194,C653)*100,0)*PARAMS_MODELO!$B$26)+(IFERROR(_xlfn.PERCENTRANK.INC($E$2:$E$1194,E653)*100,0)*PARAMS_MODELO!$B$27)+(IFERROR(_xlfn.PERCENTRANK.INC($F$2:$F$1194,F653)*100,0)*PARAMS_MODELO!$B$29)+(IFERROR(_xlfn.PERCENTRANK.INC($I$2:$I$1194,I653)*100,0)*PARAMS_MODELO!$B$31)</f>
        <v>45.085000000000001</v>
      </c>
    </row>
    <row r="654" spans="1:10" x14ac:dyDescent="0.3">
      <c r="A654">
        <v>51036085</v>
      </c>
      <c r="B654">
        <v>45</v>
      </c>
      <c r="C654">
        <v>19</v>
      </c>
      <c r="D654">
        <v>35</v>
      </c>
      <c r="E654" s="21">
        <f>D654/PARAMS_MODELO!$B$28</f>
        <v>1.1666666666666667</v>
      </c>
      <c r="F654">
        <v>26</v>
      </c>
      <c r="G654">
        <v>76</v>
      </c>
      <c r="H654">
        <v>24</v>
      </c>
      <c r="I654" s="20">
        <f t="shared" si="10"/>
        <v>0.31578947368421051</v>
      </c>
      <c r="J654" s="21">
        <f>(IFERROR(_xlfn.PERCENTRANK.INC($B$2:$B$1194,B654)*100,0)*PARAMS_MODELO!$B$25)+(IFERROR(_xlfn.PERCENTRANK.INC($C$2:$C$1194,C654)*100,0)*PARAMS_MODELO!$B$26)+(IFERROR(_xlfn.PERCENTRANK.INC($E$2:$E$1194,E654)*100,0)*PARAMS_MODELO!$B$27)+(IFERROR(_xlfn.PERCENTRANK.INC($F$2:$F$1194,F654)*100,0)*PARAMS_MODELO!$B$29)+(IFERROR(_xlfn.PERCENTRANK.INC($I$2:$I$1194,I654)*100,0)*PARAMS_MODELO!$B$31)</f>
        <v>44.355000000000004</v>
      </c>
    </row>
    <row r="655" spans="1:10" x14ac:dyDescent="0.3">
      <c r="A655">
        <v>51002164</v>
      </c>
      <c r="B655">
        <v>7</v>
      </c>
      <c r="C655">
        <v>16</v>
      </c>
      <c r="D655">
        <v>43</v>
      </c>
      <c r="E655" s="21">
        <f>D655/PARAMS_MODELO!$B$28</f>
        <v>1.4333333333333333</v>
      </c>
      <c r="F655">
        <v>12</v>
      </c>
      <c r="G655">
        <v>65</v>
      </c>
      <c r="H655">
        <v>34</v>
      </c>
      <c r="I655" s="20">
        <f t="shared" si="10"/>
        <v>0.52307692307692311</v>
      </c>
      <c r="J655" s="21">
        <f>(IFERROR(_xlfn.PERCENTRANK.INC($B$2:$B$1194,B655)*100,0)*PARAMS_MODELO!$B$25)+(IFERROR(_xlfn.PERCENTRANK.INC($C$2:$C$1194,C655)*100,0)*PARAMS_MODELO!$B$26)+(IFERROR(_xlfn.PERCENTRANK.INC($E$2:$E$1194,E655)*100,0)*PARAMS_MODELO!$B$27)+(IFERROR(_xlfn.PERCENTRANK.INC($F$2:$F$1194,F655)*100,0)*PARAMS_MODELO!$B$29)+(IFERROR(_xlfn.PERCENTRANK.INC($I$2:$I$1194,I655)*100,0)*PARAMS_MODELO!$B$31)</f>
        <v>32.28</v>
      </c>
    </row>
    <row r="656" spans="1:10" x14ac:dyDescent="0.3">
      <c r="A656">
        <v>51013182</v>
      </c>
      <c r="B656">
        <v>74</v>
      </c>
      <c r="C656">
        <v>15</v>
      </c>
      <c r="D656">
        <v>77</v>
      </c>
      <c r="E656" s="21">
        <f>D656/PARAMS_MODELO!$B$28</f>
        <v>2.5666666666666669</v>
      </c>
      <c r="F656">
        <v>48</v>
      </c>
      <c r="G656">
        <v>46</v>
      </c>
      <c r="H656">
        <v>6</v>
      </c>
      <c r="I656" s="20">
        <f t="shared" si="10"/>
        <v>0.13043478260869565</v>
      </c>
      <c r="J656" s="21">
        <f>(IFERROR(_xlfn.PERCENTRANK.INC($B$2:$B$1194,B656)*100,0)*PARAMS_MODELO!$B$25)+(IFERROR(_xlfn.PERCENTRANK.INC($C$2:$C$1194,C656)*100,0)*PARAMS_MODELO!$B$26)+(IFERROR(_xlfn.PERCENTRANK.INC($E$2:$E$1194,E656)*100,0)*PARAMS_MODELO!$B$27)+(IFERROR(_xlfn.PERCENTRANK.INC($F$2:$F$1194,F656)*100,0)*PARAMS_MODELO!$B$29)+(IFERROR(_xlfn.PERCENTRANK.INC($I$2:$I$1194,I656)*100,0)*PARAMS_MODELO!$B$31)</f>
        <v>59.589999999999996</v>
      </c>
    </row>
    <row r="657" spans="1:10" x14ac:dyDescent="0.3">
      <c r="A657">
        <v>51033086</v>
      </c>
      <c r="B657">
        <v>39</v>
      </c>
      <c r="C657">
        <v>11</v>
      </c>
      <c r="D657">
        <v>59</v>
      </c>
      <c r="E657" s="21">
        <f>D657/PARAMS_MODELO!$B$28</f>
        <v>1.9666666666666666</v>
      </c>
      <c r="F657">
        <v>96</v>
      </c>
      <c r="G657">
        <v>99</v>
      </c>
      <c r="H657">
        <v>82</v>
      </c>
      <c r="I657" s="20">
        <f t="shared" si="10"/>
        <v>0.82828282828282829</v>
      </c>
      <c r="J657" s="21">
        <f>(IFERROR(_xlfn.PERCENTRANK.INC($B$2:$B$1194,B657)*100,0)*PARAMS_MODELO!$B$25)+(IFERROR(_xlfn.PERCENTRANK.INC($C$2:$C$1194,C657)*100,0)*PARAMS_MODELO!$B$26)+(IFERROR(_xlfn.PERCENTRANK.INC($E$2:$E$1194,E657)*100,0)*PARAMS_MODELO!$B$27)+(IFERROR(_xlfn.PERCENTRANK.INC($F$2:$F$1194,F657)*100,0)*PARAMS_MODELO!$B$29)+(IFERROR(_xlfn.PERCENTRANK.INC($I$2:$I$1194,I657)*100,0)*PARAMS_MODELO!$B$31)</f>
        <v>55.9</v>
      </c>
    </row>
    <row r="658" spans="1:10" x14ac:dyDescent="0.3">
      <c r="A658">
        <v>51029038</v>
      </c>
      <c r="B658">
        <v>85</v>
      </c>
      <c r="C658">
        <v>3</v>
      </c>
      <c r="D658">
        <v>13</v>
      </c>
      <c r="E658" s="21">
        <f>D658/PARAMS_MODELO!$B$28</f>
        <v>0.43333333333333335</v>
      </c>
      <c r="F658">
        <v>45</v>
      </c>
      <c r="G658">
        <v>85</v>
      </c>
      <c r="H658">
        <v>61</v>
      </c>
      <c r="I658" s="20">
        <f t="shared" si="10"/>
        <v>0.71764705882352942</v>
      </c>
      <c r="J658" s="21">
        <f>(IFERROR(_xlfn.PERCENTRANK.INC($B$2:$B$1194,B658)*100,0)*PARAMS_MODELO!$B$25)+(IFERROR(_xlfn.PERCENTRANK.INC($C$2:$C$1194,C658)*100,0)*PARAMS_MODELO!$B$26)+(IFERROR(_xlfn.PERCENTRANK.INC($E$2:$E$1194,E658)*100,0)*PARAMS_MODELO!$B$27)+(IFERROR(_xlfn.PERCENTRANK.INC($F$2:$F$1194,F658)*100,0)*PARAMS_MODELO!$B$29)+(IFERROR(_xlfn.PERCENTRANK.INC($I$2:$I$1194,I658)*100,0)*PARAMS_MODELO!$B$31)</f>
        <v>44.314999999999998</v>
      </c>
    </row>
    <row r="659" spans="1:10" x14ac:dyDescent="0.3">
      <c r="A659">
        <v>51024168</v>
      </c>
      <c r="B659">
        <v>8</v>
      </c>
      <c r="C659">
        <v>0</v>
      </c>
      <c r="D659">
        <v>43</v>
      </c>
      <c r="E659" s="21">
        <f>D659/PARAMS_MODELO!$B$28</f>
        <v>1.4333333333333333</v>
      </c>
      <c r="F659">
        <v>61</v>
      </c>
      <c r="G659">
        <v>94</v>
      </c>
      <c r="H659">
        <v>79</v>
      </c>
      <c r="I659" s="20">
        <f t="shared" si="10"/>
        <v>0.84042553191489366</v>
      </c>
      <c r="J659" s="21">
        <f>(IFERROR(_xlfn.PERCENTRANK.INC($B$2:$B$1194,B659)*100,0)*PARAMS_MODELO!$B$25)+(IFERROR(_xlfn.PERCENTRANK.INC($C$2:$C$1194,C659)*100,0)*PARAMS_MODELO!$B$26)+(IFERROR(_xlfn.PERCENTRANK.INC($E$2:$E$1194,E659)*100,0)*PARAMS_MODELO!$B$27)+(IFERROR(_xlfn.PERCENTRANK.INC($F$2:$F$1194,F659)*100,0)*PARAMS_MODELO!$B$29)+(IFERROR(_xlfn.PERCENTRANK.INC($I$2:$I$1194,I659)*100,0)*PARAMS_MODELO!$B$31)</f>
        <v>28.824999999999996</v>
      </c>
    </row>
    <row r="660" spans="1:10" x14ac:dyDescent="0.3">
      <c r="A660">
        <v>51023455</v>
      </c>
      <c r="B660">
        <v>8</v>
      </c>
      <c r="C660">
        <v>11</v>
      </c>
      <c r="D660">
        <v>84</v>
      </c>
      <c r="E660" s="21">
        <f>D660/PARAMS_MODELO!$B$28</f>
        <v>2.8</v>
      </c>
      <c r="F660">
        <v>87</v>
      </c>
      <c r="G660">
        <v>58</v>
      </c>
      <c r="H660">
        <v>45</v>
      </c>
      <c r="I660" s="20">
        <f t="shared" si="10"/>
        <v>0.77586206896551724</v>
      </c>
      <c r="J660" s="21">
        <f>(IFERROR(_xlfn.PERCENTRANK.INC($B$2:$B$1194,B660)*100,0)*PARAMS_MODELO!$B$25)+(IFERROR(_xlfn.PERCENTRANK.INC($C$2:$C$1194,C660)*100,0)*PARAMS_MODELO!$B$26)+(IFERROR(_xlfn.PERCENTRANK.INC($E$2:$E$1194,E660)*100,0)*PARAMS_MODELO!$B$27)+(IFERROR(_xlfn.PERCENTRANK.INC($F$2:$F$1194,F660)*100,0)*PARAMS_MODELO!$B$29)+(IFERROR(_xlfn.PERCENTRANK.INC($I$2:$I$1194,I660)*100,0)*PARAMS_MODELO!$B$31)</f>
        <v>50.155000000000001</v>
      </c>
    </row>
    <row r="661" spans="1:10" x14ac:dyDescent="0.3">
      <c r="A661">
        <v>51016131</v>
      </c>
      <c r="B661">
        <v>66</v>
      </c>
      <c r="C661">
        <v>12</v>
      </c>
      <c r="D661">
        <v>51</v>
      </c>
      <c r="E661" s="21">
        <f>D661/PARAMS_MODELO!$B$28</f>
        <v>1.7</v>
      </c>
      <c r="F661">
        <v>74</v>
      </c>
      <c r="G661">
        <v>71</v>
      </c>
      <c r="H661">
        <v>65</v>
      </c>
      <c r="I661" s="20">
        <f t="shared" si="10"/>
        <v>0.91549295774647887</v>
      </c>
      <c r="J661" s="21">
        <f>(IFERROR(_xlfn.PERCENTRANK.INC($B$2:$B$1194,B661)*100,0)*PARAMS_MODELO!$B$25)+(IFERROR(_xlfn.PERCENTRANK.INC($C$2:$C$1194,C661)*100,0)*PARAMS_MODELO!$B$26)+(IFERROR(_xlfn.PERCENTRANK.INC($E$2:$E$1194,E661)*100,0)*PARAMS_MODELO!$B$27)+(IFERROR(_xlfn.PERCENTRANK.INC($F$2:$F$1194,F661)*100,0)*PARAMS_MODELO!$B$29)+(IFERROR(_xlfn.PERCENTRANK.INC($I$2:$I$1194,I661)*100,0)*PARAMS_MODELO!$B$31)</f>
        <v>60.930000000000007</v>
      </c>
    </row>
    <row r="662" spans="1:10" x14ac:dyDescent="0.3">
      <c r="A662">
        <v>51016408</v>
      </c>
      <c r="B662">
        <v>95</v>
      </c>
      <c r="C662">
        <v>1</v>
      </c>
      <c r="D662">
        <v>53</v>
      </c>
      <c r="E662" s="21">
        <f>D662/PARAMS_MODELO!$B$28</f>
        <v>1.7666666666666666</v>
      </c>
      <c r="F662">
        <v>43</v>
      </c>
      <c r="G662">
        <v>56</v>
      </c>
      <c r="H662">
        <v>48</v>
      </c>
      <c r="I662" s="20">
        <f t="shared" si="10"/>
        <v>0.8571428571428571</v>
      </c>
      <c r="J662" s="21">
        <f>(IFERROR(_xlfn.PERCENTRANK.INC($B$2:$B$1194,B662)*100,0)*PARAMS_MODELO!$B$25)+(IFERROR(_xlfn.PERCENTRANK.INC($C$2:$C$1194,C662)*100,0)*PARAMS_MODELO!$B$26)+(IFERROR(_xlfn.PERCENTRANK.INC($E$2:$E$1194,E662)*100,0)*PARAMS_MODELO!$B$27)+(IFERROR(_xlfn.PERCENTRANK.INC($F$2:$F$1194,F662)*100,0)*PARAMS_MODELO!$B$29)+(IFERROR(_xlfn.PERCENTRANK.INC($I$2:$I$1194,I662)*100,0)*PARAMS_MODELO!$B$31)</f>
        <v>54.455000000000005</v>
      </c>
    </row>
    <row r="663" spans="1:10" x14ac:dyDescent="0.3">
      <c r="A663">
        <v>51056914</v>
      </c>
      <c r="B663">
        <v>74</v>
      </c>
      <c r="C663">
        <v>19</v>
      </c>
      <c r="D663">
        <v>83</v>
      </c>
      <c r="E663" s="21">
        <f>D663/PARAMS_MODELO!$B$28</f>
        <v>2.7666666666666666</v>
      </c>
      <c r="F663">
        <v>67</v>
      </c>
      <c r="G663">
        <v>91</v>
      </c>
      <c r="H663">
        <v>45</v>
      </c>
      <c r="I663" s="20">
        <f t="shared" si="10"/>
        <v>0.49450549450549453</v>
      </c>
      <c r="J663" s="21">
        <f>(IFERROR(_xlfn.PERCENTRANK.INC($B$2:$B$1194,B663)*100,0)*PARAMS_MODELO!$B$25)+(IFERROR(_xlfn.PERCENTRANK.INC($C$2:$C$1194,C663)*100,0)*PARAMS_MODELO!$B$26)+(IFERROR(_xlfn.PERCENTRANK.INC($E$2:$E$1194,E663)*100,0)*PARAMS_MODELO!$B$27)+(IFERROR(_xlfn.PERCENTRANK.INC($F$2:$F$1194,F663)*100,0)*PARAMS_MODELO!$B$29)+(IFERROR(_xlfn.PERCENTRANK.INC($I$2:$I$1194,I663)*100,0)*PARAMS_MODELO!$B$31)</f>
        <v>70.924999999999997</v>
      </c>
    </row>
    <row r="664" spans="1:10" x14ac:dyDescent="0.3">
      <c r="A664">
        <v>51016858</v>
      </c>
      <c r="B664">
        <v>39</v>
      </c>
      <c r="C664">
        <v>0</v>
      </c>
      <c r="D664">
        <v>93</v>
      </c>
      <c r="E664" s="21">
        <f>D664/PARAMS_MODELO!$B$28</f>
        <v>3.1</v>
      </c>
      <c r="F664">
        <v>12</v>
      </c>
      <c r="G664">
        <v>96</v>
      </c>
      <c r="H664">
        <v>95</v>
      </c>
      <c r="I664" s="20">
        <f t="shared" si="10"/>
        <v>0.98958333333333337</v>
      </c>
      <c r="J664" s="21">
        <f>(IFERROR(_xlfn.PERCENTRANK.INC($B$2:$B$1194,B664)*100,0)*PARAMS_MODELO!$B$25)+(IFERROR(_xlfn.PERCENTRANK.INC($C$2:$C$1194,C664)*100,0)*PARAMS_MODELO!$B$26)+(IFERROR(_xlfn.PERCENTRANK.INC($E$2:$E$1194,E664)*100,0)*PARAMS_MODELO!$B$27)+(IFERROR(_xlfn.PERCENTRANK.INC($F$2:$F$1194,F664)*100,0)*PARAMS_MODELO!$B$29)+(IFERROR(_xlfn.PERCENTRANK.INC($I$2:$I$1194,I664)*100,0)*PARAMS_MODELO!$B$31)</f>
        <v>41.225000000000009</v>
      </c>
    </row>
    <row r="665" spans="1:10" x14ac:dyDescent="0.3">
      <c r="A665">
        <v>51035666</v>
      </c>
      <c r="B665">
        <v>66</v>
      </c>
      <c r="C665">
        <v>23</v>
      </c>
      <c r="D665">
        <v>84</v>
      </c>
      <c r="E665" s="21">
        <f>D665/PARAMS_MODELO!$B$28</f>
        <v>2.8</v>
      </c>
      <c r="F665">
        <v>78</v>
      </c>
      <c r="G665">
        <v>73</v>
      </c>
      <c r="H665">
        <v>55</v>
      </c>
      <c r="I665" s="20">
        <f t="shared" si="10"/>
        <v>0.75342465753424659</v>
      </c>
      <c r="J665" s="21">
        <f>(IFERROR(_xlfn.PERCENTRANK.INC($B$2:$B$1194,B665)*100,0)*PARAMS_MODELO!$B$25)+(IFERROR(_xlfn.PERCENTRANK.INC($C$2:$C$1194,C665)*100,0)*PARAMS_MODELO!$B$26)+(IFERROR(_xlfn.PERCENTRANK.INC($E$2:$E$1194,E665)*100,0)*PARAMS_MODELO!$B$27)+(IFERROR(_xlfn.PERCENTRANK.INC($F$2:$F$1194,F665)*100,0)*PARAMS_MODELO!$B$29)+(IFERROR(_xlfn.PERCENTRANK.INC($I$2:$I$1194,I665)*100,0)*PARAMS_MODELO!$B$31)</f>
        <v>76.959999999999994</v>
      </c>
    </row>
    <row r="666" spans="1:10" x14ac:dyDescent="0.3">
      <c r="A666">
        <v>51022068</v>
      </c>
      <c r="B666">
        <v>4</v>
      </c>
      <c r="C666">
        <v>5</v>
      </c>
      <c r="D666">
        <v>53</v>
      </c>
      <c r="E666" s="21">
        <f>D666/PARAMS_MODELO!$B$28</f>
        <v>1.7666666666666666</v>
      </c>
      <c r="F666">
        <v>96</v>
      </c>
      <c r="G666">
        <v>70</v>
      </c>
      <c r="H666">
        <v>32</v>
      </c>
      <c r="I666" s="20">
        <f t="shared" si="10"/>
        <v>0.45714285714285713</v>
      </c>
      <c r="J666" s="21">
        <f>(IFERROR(_xlfn.PERCENTRANK.INC($B$2:$B$1194,B666)*100,0)*PARAMS_MODELO!$B$25)+(IFERROR(_xlfn.PERCENTRANK.INC($C$2:$C$1194,C666)*100,0)*PARAMS_MODELO!$B$26)+(IFERROR(_xlfn.PERCENTRANK.INC($E$2:$E$1194,E666)*100,0)*PARAMS_MODELO!$B$27)+(IFERROR(_xlfn.PERCENTRANK.INC($F$2:$F$1194,F666)*100,0)*PARAMS_MODELO!$B$29)+(IFERROR(_xlfn.PERCENTRANK.INC($I$2:$I$1194,I666)*100,0)*PARAMS_MODELO!$B$31)</f>
        <v>35.195</v>
      </c>
    </row>
    <row r="667" spans="1:10" x14ac:dyDescent="0.3">
      <c r="A667">
        <v>51013611</v>
      </c>
      <c r="B667">
        <v>40</v>
      </c>
      <c r="C667">
        <v>15</v>
      </c>
      <c r="D667">
        <v>74</v>
      </c>
      <c r="E667" s="21">
        <f>D667/PARAMS_MODELO!$B$28</f>
        <v>2.4666666666666668</v>
      </c>
      <c r="F667">
        <v>75</v>
      </c>
      <c r="G667">
        <v>74</v>
      </c>
      <c r="H667">
        <v>46</v>
      </c>
      <c r="I667" s="20">
        <f t="shared" si="10"/>
        <v>0.6216216216216216</v>
      </c>
      <c r="J667" s="21">
        <f>(IFERROR(_xlfn.PERCENTRANK.INC($B$2:$B$1194,B667)*100,0)*PARAMS_MODELO!$B$25)+(IFERROR(_xlfn.PERCENTRANK.INC($C$2:$C$1194,C667)*100,0)*PARAMS_MODELO!$B$26)+(IFERROR(_xlfn.PERCENTRANK.INC($E$2:$E$1194,E667)*100,0)*PARAMS_MODELO!$B$27)+(IFERROR(_xlfn.PERCENTRANK.INC($F$2:$F$1194,F667)*100,0)*PARAMS_MODELO!$B$29)+(IFERROR(_xlfn.PERCENTRANK.INC($I$2:$I$1194,I667)*100,0)*PARAMS_MODELO!$B$31)</f>
        <v>57.52</v>
      </c>
    </row>
    <row r="668" spans="1:10" x14ac:dyDescent="0.3">
      <c r="A668">
        <v>51013115</v>
      </c>
      <c r="B668">
        <v>7</v>
      </c>
      <c r="C668">
        <v>17</v>
      </c>
      <c r="D668">
        <v>70</v>
      </c>
      <c r="E668" s="21">
        <f>D668/PARAMS_MODELO!$B$28</f>
        <v>2.3333333333333335</v>
      </c>
      <c r="F668">
        <v>20</v>
      </c>
      <c r="G668">
        <v>37</v>
      </c>
      <c r="H668">
        <v>28</v>
      </c>
      <c r="I668" s="20">
        <f t="shared" si="10"/>
        <v>0.7567567567567568</v>
      </c>
      <c r="J668" s="21">
        <f>(IFERROR(_xlfn.PERCENTRANK.INC($B$2:$B$1194,B668)*100,0)*PARAMS_MODELO!$B$25)+(IFERROR(_xlfn.PERCENTRANK.INC($C$2:$C$1194,C668)*100,0)*PARAMS_MODELO!$B$26)+(IFERROR(_xlfn.PERCENTRANK.INC($E$2:$E$1194,E668)*100,0)*PARAMS_MODELO!$B$27)+(IFERROR(_xlfn.PERCENTRANK.INC($F$2:$F$1194,F668)*100,0)*PARAMS_MODELO!$B$29)+(IFERROR(_xlfn.PERCENTRANK.INC($I$2:$I$1194,I668)*100,0)*PARAMS_MODELO!$B$31)</f>
        <v>41.935000000000002</v>
      </c>
    </row>
    <row r="669" spans="1:10" x14ac:dyDescent="0.3">
      <c r="A669">
        <v>51056744</v>
      </c>
      <c r="B669">
        <v>21</v>
      </c>
      <c r="C669">
        <v>0</v>
      </c>
      <c r="D669">
        <v>81</v>
      </c>
      <c r="E669" s="21">
        <f>D669/PARAMS_MODELO!$B$28</f>
        <v>2.7</v>
      </c>
      <c r="F669">
        <v>45</v>
      </c>
      <c r="G669">
        <v>38</v>
      </c>
      <c r="H669">
        <v>37</v>
      </c>
      <c r="I669" s="20">
        <f t="shared" si="10"/>
        <v>0.97368421052631582</v>
      </c>
      <c r="J669" s="21">
        <f>(IFERROR(_xlfn.PERCENTRANK.INC($B$2:$B$1194,B669)*100,0)*PARAMS_MODELO!$B$25)+(IFERROR(_xlfn.PERCENTRANK.INC($C$2:$C$1194,C669)*100,0)*PARAMS_MODELO!$B$26)+(IFERROR(_xlfn.PERCENTRANK.INC($E$2:$E$1194,E669)*100,0)*PARAMS_MODELO!$B$27)+(IFERROR(_xlfn.PERCENTRANK.INC($F$2:$F$1194,F669)*100,0)*PARAMS_MODELO!$B$29)+(IFERROR(_xlfn.PERCENTRANK.INC($I$2:$I$1194,I669)*100,0)*PARAMS_MODELO!$B$31)</f>
        <v>38.645000000000003</v>
      </c>
    </row>
    <row r="670" spans="1:10" x14ac:dyDescent="0.3">
      <c r="A670">
        <v>51031822</v>
      </c>
      <c r="B670">
        <v>27</v>
      </c>
      <c r="C670">
        <v>20</v>
      </c>
      <c r="D670">
        <v>50</v>
      </c>
      <c r="E670" s="21">
        <f>D670/PARAMS_MODELO!$B$28</f>
        <v>1.6666666666666667</v>
      </c>
      <c r="F670">
        <v>53</v>
      </c>
      <c r="G670">
        <v>100</v>
      </c>
      <c r="H670">
        <v>31</v>
      </c>
      <c r="I670" s="20">
        <f t="shared" si="10"/>
        <v>0.31</v>
      </c>
      <c r="J670" s="21">
        <f>(IFERROR(_xlfn.PERCENTRANK.INC($B$2:$B$1194,B670)*100,0)*PARAMS_MODELO!$B$25)+(IFERROR(_xlfn.PERCENTRANK.INC($C$2:$C$1194,C670)*100,0)*PARAMS_MODELO!$B$26)+(IFERROR(_xlfn.PERCENTRANK.INC($E$2:$E$1194,E670)*100,0)*PARAMS_MODELO!$B$27)+(IFERROR(_xlfn.PERCENTRANK.INC($F$2:$F$1194,F670)*100,0)*PARAMS_MODELO!$B$29)+(IFERROR(_xlfn.PERCENTRANK.INC($I$2:$I$1194,I670)*100,0)*PARAMS_MODELO!$B$31)</f>
        <v>47.664999999999992</v>
      </c>
    </row>
    <row r="671" spans="1:10" x14ac:dyDescent="0.3">
      <c r="A671">
        <v>51025938</v>
      </c>
      <c r="B671">
        <v>84</v>
      </c>
      <c r="C671">
        <v>18</v>
      </c>
      <c r="D671">
        <v>27</v>
      </c>
      <c r="E671" s="21">
        <f>D671/PARAMS_MODELO!$B$28</f>
        <v>0.9</v>
      </c>
      <c r="F671">
        <v>39</v>
      </c>
      <c r="G671">
        <v>36</v>
      </c>
      <c r="H671">
        <v>22</v>
      </c>
      <c r="I671" s="20">
        <f t="shared" si="10"/>
        <v>0.61111111111111116</v>
      </c>
      <c r="J671" s="21">
        <f>(IFERROR(_xlfn.PERCENTRANK.INC($B$2:$B$1194,B671)*100,0)*PARAMS_MODELO!$B$25)+(IFERROR(_xlfn.PERCENTRANK.INC($C$2:$C$1194,C671)*100,0)*PARAMS_MODELO!$B$26)+(IFERROR(_xlfn.PERCENTRANK.INC($E$2:$E$1194,E671)*100,0)*PARAMS_MODELO!$B$27)+(IFERROR(_xlfn.PERCENTRANK.INC($F$2:$F$1194,F671)*100,0)*PARAMS_MODELO!$B$29)+(IFERROR(_xlfn.PERCENTRANK.INC($I$2:$I$1194,I671)*100,0)*PARAMS_MODELO!$B$31)</f>
        <v>58.29</v>
      </c>
    </row>
    <row r="672" spans="1:10" x14ac:dyDescent="0.3">
      <c r="A672">
        <v>51030141</v>
      </c>
      <c r="B672">
        <v>31</v>
      </c>
      <c r="C672">
        <v>23</v>
      </c>
      <c r="D672">
        <v>11</v>
      </c>
      <c r="E672" s="21">
        <f>D672/PARAMS_MODELO!$B$28</f>
        <v>0.36666666666666664</v>
      </c>
      <c r="F672">
        <v>88</v>
      </c>
      <c r="G672">
        <v>48</v>
      </c>
      <c r="H672">
        <v>26</v>
      </c>
      <c r="I672" s="20">
        <f t="shared" si="10"/>
        <v>0.54166666666666663</v>
      </c>
      <c r="J672" s="21">
        <f>(IFERROR(_xlfn.PERCENTRANK.INC($B$2:$B$1194,B672)*100,0)*PARAMS_MODELO!$B$25)+(IFERROR(_xlfn.PERCENTRANK.INC($C$2:$C$1194,C672)*100,0)*PARAMS_MODELO!$B$26)+(IFERROR(_xlfn.PERCENTRANK.INC($E$2:$E$1194,E672)*100,0)*PARAMS_MODELO!$B$27)+(IFERROR(_xlfn.PERCENTRANK.INC($F$2:$F$1194,F672)*100,0)*PARAMS_MODELO!$B$29)+(IFERROR(_xlfn.PERCENTRANK.INC($I$2:$I$1194,I672)*100,0)*PARAMS_MODELO!$B$31)</f>
        <v>51.465000000000003</v>
      </c>
    </row>
    <row r="673" spans="1:10" x14ac:dyDescent="0.3">
      <c r="A673">
        <v>51004698</v>
      </c>
      <c r="B673">
        <v>93</v>
      </c>
      <c r="C673">
        <v>13</v>
      </c>
      <c r="D673">
        <v>31</v>
      </c>
      <c r="E673" s="21">
        <f>D673/PARAMS_MODELO!$B$28</f>
        <v>1.0333333333333334</v>
      </c>
      <c r="F673">
        <v>2</v>
      </c>
      <c r="G673">
        <v>81</v>
      </c>
      <c r="H673">
        <v>39</v>
      </c>
      <c r="I673" s="20">
        <f t="shared" si="10"/>
        <v>0.48148148148148145</v>
      </c>
      <c r="J673" s="21">
        <f>(IFERROR(_xlfn.PERCENTRANK.INC($B$2:$B$1194,B673)*100,0)*PARAMS_MODELO!$B$25)+(IFERROR(_xlfn.PERCENTRANK.INC($C$2:$C$1194,C673)*100,0)*PARAMS_MODELO!$B$26)+(IFERROR(_xlfn.PERCENTRANK.INC($E$2:$E$1194,E673)*100,0)*PARAMS_MODELO!$B$27)+(IFERROR(_xlfn.PERCENTRANK.INC($F$2:$F$1194,F673)*100,0)*PARAMS_MODELO!$B$29)+(IFERROR(_xlfn.PERCENTRANK.INC($I$2:$I$1194,I673)*100,0)*PARAMS_MODELO!$B$31)</f>
        <v>50.004999999999995</v>
      </c>
    </row>
    <row r="674" spans="1:10" x14ac:dyDescent="0.3">
      <c r="A674">
        <v>51029585</v>
      </c>
      <c r="B674">
        <v>4</v>
      </c>
      <c r="C674">
        <v>13</v>
      </c>
      <c r="D674">
        <v>11</v>
      </c>
      <c r="E674" s="21">
        <f>D674/PARAMS_MODELO!$B$28</f>
        <v>0.36666666666666664</v>
      </c>
      <c r="F674">
        <v>68</v>
      </c>
      <c r="G674">
        <v>67</v>
      </c>
      <c r="H674">
        <v>12</v>
      </c>
      <c r="I674" s="20">
        <f t="shared" si="10"/>
        <v>0.17910447761194029</v>
      </c>
      <c r="J674" s="21">
        <f>(IFERROR(_xlfn.PERCENTRANK.INC($B$2:$B$1194,B674)*100,0)*PARAMS_MODELO!$B$25)+(IFERROR(_xlfn.PERCENTRANK.INC($C$2:$C$1194,C674)*100,0)*PARAMS_MODELO!$B$26)+(IFERROR(_xlfn.PERCENTRANK.INC($E$2:$E$1194,E674)*100,0)*PARAMS_MODELO!$B$27)+(IFERROR(_xlfn.PERCENTRANK.INC($F$2:$F$1194,F674)*100,0)*PARAMS_MODELO!$B$29)+(IFERROR(_xlfn.PERCENTRANK.INC($I$2:$I$1194,I674)*100,0)*PARAMS_MODELO!$B$31)</f>
        <v>27.409999999999997</v>
      </c>
    </row>
    <row r="675" spans="1:10" x14ac:dyDescent="0.3">
      <c r="A675">
        <v>51018389</v>
      </c>
      <c r="B675">
        <v>88</v>
      </c>
      <c r="C675">
        <v>9</v>
      </c>
      <c r="D675">
        <v>1</v>
      </c>
      <c r="E675" s="21">
        <f>D675/PARAMS_MODELO!$B$28</f>
        <v>3.3333333333333333E-2</v>
      </c>
      <c r="F675">
        <v>57</v>
      </c>
      <c r="G675">
        <v>15</v>
      </c>
      <c r="H675">
        <v>1</v>
      </c>
      <c r="I675" s="20">
        <f t="shared" si="10"/>
        <v>6.6666666666666666E-2</v>
      </c>
      <c r="J675" s="21">
        <f>(IFERROR(_xlfn.PERCENTRANK.INC($B$2:$B$1194,B675)*100,0)*PARAMS_MODELO!$B$25)+(IFERROR(_xlfn.PERCENTRANK.INC($C$2:$C$1194,C675)*100,0)*PARAMS_MODELO!$B$26)+(IFERROR(_xlfn.PERCENTRANK.INC($E$2:$E$1194,E675)*100,0)*PARAMS_MODELO!$B$27)+(IFERROR(_xlfn.PERCENTRANK.INC($F$2:$F$1194,F675)*100,0)*PARAMS_MODELO!$B$29)+(IFERROR(_xlfn.PERCENTRANK.INC($I$2:$I$1194,I675)*100,0)*PARAMS_MODELO!$B$31)</f>
        <v>43.575000000000003</v>
      </c>
    </row>
    <row r="676" spans="1:10" x14ac:dyDescent="0.3">
      <c r="A676">
        <v>51017137</v>
      </c>
      <c r="B676">
        <v>47</v>
      </c>
      <c r="C676">
        <v>19</v>
      </c>
      <c r="D676">
        <v>66</v>
      </c>
      <c r="E676" s="21">
        <f>D676/PARAMS_MODELO!$B$28</f>
        <v>2.2000000000000002</v>
      </c>
      <c r="F676">
        <v>64</v>
      </c>
      <c r="G676">
        <v>25</v>
      </c>
      <c r="H676">
        <v>15</v>
      </c>
      <c r="I676" s="20">
        <f t="shared" si="10"/>
        <v>0.6</v>
      </c>
      <c r="J676" s="21">
        <f>(IFERROR(_xlfn.PERCENTRANK.INC($B$2:$B$1194,B676)*100,0)*PARAMS_MODELO!$B$25)+(IFERROR(_xlfn.PERCENTRANK.INC($C$2:$C$1194,C676)*100,0)*PARAMS_MODELO!$B$26)+(IFERROR(_xlfn.PERCENTRANK.INC($E$2:$E$1194,E676)*100,0)*PARAMS_MODELO!$B$27)+(IFERROR(_xlfn.PERCENTRANK.INC($F$2:$F$1194,F676)*100,0)*PARAMS_MODELO!$B$29)+(IFERROR(_xlfn.PERCENTRANK.INC($I$2:$I$1194,I676)*100,0)*PARAMS_MODELO!$B$31)</f>
        <v>60.085000000000001</v>
      </c>
    </row>
    <row r="677" spans="1:10" x14ac:dyDescent="0.3">
      <c r="A677">
        <v>51041232</v>
      </c>
      <c r="B677">
        <v>100</v>
      </c>
      <c r="C677">
        <v>17</v>
      </c>
      <c r="D677">
        <v>36</v>
      </c>
      <c r="E677" s="21">
        <f>D677/PARAMS_MODELO!$B$28</f>
        <v>1.2</v>
      </c>
      <c r="F677">
        <v>4</v>
      </c>
      <c r="G677">
        <v>97</v>
      </c>
      <c r="H677">
        <v>91</v>
      </c>
      <c r="I677" s="20">
        <f t="shared" si="10"/>
        <v>0.93814432989690721</v>
      </c>
      <c r="J677" s="21">
        <f>(IFERROR(_xlfn.PERCENTRANK.INC($B$2:$B$1194,B677)*100,0)*PARAMS_MODELO!$B$25)+(IFERROR(_xlfn.PERCENTRANK.INC($C$2:$C$1194,C677)*100,0)*PARAMS_MODELO!$B$26)+(IFERROR(_xlfn.PERCENTRANK.INC($E$2:$E$1194,E677)*100,0)*PARAMS_MODELO!$B$27)+(IFERROR(_xlfn.PERCENTRANK.INC($F$2:$F$1194,F677)*100,0)*PARAMS_MODELO!$B$29)+(IFERROR(_xlfn.PERCENTRANK.INC($I$2:$I$1194,I677)*100,0)*PARAMS_MODELO!$B$31)</f>
        <v>62.36</v>
      </c>
    </row>
    <row r="678" spans="1:10" x14ac:dyDescent="0.3">
      <c r="A678">
        <v>51022769</v>
      </c>
      <c r="B678">
        <v>1</v>
      </c>
      <c r="C678">
        <v>7</v>
      </c>
      <c r="D678">
        <v>3</v>
      </c>
      <c r="E678" s="21">
        <f>D678/PARAMS_MODELO!$B$28</f>
        <v>0.1</v>
      </c>
      <c r="F678">
        <v>33</v>
      </c>
      <c r="G678">
        <v>83</v>
      </c>
      <c r="H678">
        <v>79</v>
      </c>
      <c r="I678" s="20">
        <f t="shared" si="10"/>
        <v>0.95180722891566261</v>
      </c>
      <c r="J678" s="21">
        <f>(IFERROR(_xlfn.PERCENTRANK.INC($B$2:$B$1194,B678)*100,0)*PARAMS_MODELO!$B$25)+(IFERROR(_xlfn.PERCENTRANK.INC($C$2:$C$1194,C678)*100,0)*PARAMS_MODELO!$B$26)+(IFERROR(_xlfn.PERCENTRANK.INC($E$2:$E$1194,E678)*100,0)*PARAMS_MODELO!$B$27)+(IFERROR(_xlfn.PERCENTRANK.INC($F$2:$F$1194,F678)*100,0)*PARAMS_MODELO!$B$29)+(IFERROR(_xlfn.PERCENTRANK.INC($I$2:$I$1194,I678)*100,0)*PARAMS_MODELO!$B$31)</f>
        <v>21.82</v>
      </c>
    </row>
    <row r="679" spans="1:10" x14ac:dyDescent="0.3">
      <c r="A679">
        <v>51031164</v>
      </c>
      <c r="B679">
        <v>39</v>
      </c>
      <c r="C679">
        <v>12</v>
      </c>
      <c r="D679">
        <v>22</v>
      </c>
      <c r="E679" s="21">
        <f>D679/PARAMS_MODELO!$B$28</f>
        <v>0.73333333333333328</v>
      </c>
      <c r="F679">
        <v>96</v>
      </c>
      <c r="G679">
        <v>7</v>
      </c>
      <c r="H679">
        <v>5</v>
      </c>
      <c r="I679" s="20">
        <f t="shared" si="10"/>
        <v>0.7142857142857143</v>
      </c>
      <c r="J679" s="21">
        <f>(IFERROR(_xlfn.PERCENTRANK.INC($B$2:$B$1194,B679)*100,0)*PARAMS_MODELO!$B$25)+(IFERROR(_xlfn.PERCENTRANK.INC($C$2:$C$1194,C679)*100,0)*PARAMS_MODELO!$B$26)+(IFERROR(_xlfn.PERCENTRANK.INC($E$2:$E$1194,E679)*100,0)*PARAMS_MODELO!$B$27)+(IFERROR(_xlfn.PERCENTRANK.INC($F$2:$F$1194,F679)*100,0)*PARAMS_MODELO!$B$29)+(IFERROR(_xlfn.PERCENTRANK.INC($I$2:$I$1194,I679)*100,0)*PARAMS_MODELO!$B$31)</f>
        <v>48.204999999999998</v>
      </c>
    </row>
    <row r="680" spans="1:10" x14ac:dyDescent="0.3">
      <c r="A680">
        <v>51030371</v>
      </c>
      <c r="B680">
        <v>23</v>
      </c>
      <c r="C680">
        <v>21</v>
      </c>
      <c r="D680">
        <v>35</v>
      </c>
      <c r="E680" s="21">
        <f>D680/PARAMS_MODELO!$B$28</f>
        <v>1.1666666666666667</v>
      </c>
      <c r="F680">
        <v>67</v>
      </c>
      <c r="G680">
        <v>48</v>
      </c>
      <c r="H680">
        <v>44</v>
      </c>
      <c r="I680" s="20">
        <f t="shared" si="10"/>
        <v>0.91666666666666663</v>
      </c>
      <c r="J680" s="21">
        <f>(IFERROR(_xlfn.PERCENTRANK.INC($B$2:$B$1194,B680)*100,0)*PARAMS_MODELO!$B$25)+(IFERROR(_xlfn.PERCENTRANK.INC($C$2:$C$1194,C680)*100,0)*PARAMS_MODELO!$B$26)+(IFERROR(_xlfn.PERCENTRANK.INC($E$2:$E$1194,E680)*100,0)*PARAMS_MODELO!$B$27)+(IFERROR(_xlfn.PERCENTRANK.INC($F$2:$F$1194,F680)*100,0)*PARAMS_MODELO!$B$29)+(IFERROR(_xlfn.PERCENTRANK.INC($I$2:$I$1194,I680)*100,0)*PARAMS_MODELO!$B$31)</f>
        <v>52.220000000000006</v>
      </c>
    </row>
    <row r="681" spans="1:10" x14ac:dyDescent="0.3">
      <c r="A681">
        <v>51040392</v>
      </c>
      <c r="B681">
        <v>53</v>
      </c>
      <c r="C681">
        <v>8</v>
      </c>
      <c r="D681">
        <v>99</v>
      </c>
      <c r="E681" s="21">
        <f>D681/PARAMS_MODELO!$B$28</f>
        <v>3.3</v>
      </c>
      <c r="F681">
        <v>69</v>
      </c>
      <c r="G681">
        <v>22</v>
      </c>
      <c r="H681">
        <v>2</v>
      </c>
      <c r="I681" s="20">
        <f t="shared" si="10"/>
        <v>9.0909090909090912E-2</v>
      </c>
      <c r="J681" s="21">
        <f>(IFERROR(_xlfn.PERCENTRANK.INC($B$2:$B$1194,B681)*100,0)*PARAMS_MODELO!$B$25)+(IFERROR(_xlfn.PERCENTRANK.INC($C$2:$C$1194,C681)*100,0)*PARAMS_MODELO!$B$26)+(IFERROR(_xlfn.PERCENTRANK.INC($E$2:$E$1194,E681)*100,0)*PARAMS_MODELO!$B$27)+(IFERROR(_xlfn.PERCENTRANK.INC($F$2:$F$1194,F681)*100,0)*PARAMS_MODELO!$B$29)+(IFERROR(_xlfn.PERCENTRANK.INC($I$2:$I$1194,I681)*100,0)*PARAMS_MODELO!$B$31)</f>
        <v>53.6</v>
      </c>
    </row>
    <row r="682" spans="1:10" x14ac:dyDescent="0.3">
      <c r="A682">
        <v>51014693</v>
      </c>
      <c r="B682">
        <v>62</v>
      </c>
      <c r="C682">
        <v>20</v>
      </c>
      <c r="D682">
        <v>16</v>
      </c>
      <c r="E682" s="21">
        <f>D682/PARAMS_MODELO!$B$28</f>
        <v>0.53333333333333333</v>
      </c>
      <c r="F682">
        <v>42</v>
      </c>
      <c r="G682">
        <v>38</v>
      </c>
      <c r="H682">
        <v>4</v>
      </c>
      <c r="I682" s="20">
        <f t="shared" si="10"/>
        <v>0.10526315789473684</v>
      </c>
      <c r="J682" s="21">
        <f>(IFERROR(_xlfn.PERCENTRANK.INC($B$2:$B$1194,B682)*100,0)*PARAMS_MODELO!$B$25)+(IFERROR(_xlfn.PERCENTRANK.INC($C$2:$C$1194,C682)*100,0)*PARAMS_MODELO!$B$26)+(IFERROR(_xlfn.PERCENTRANK.INC($E$2:$E$1194,E682)*100,0)*PARAMS_MODELO!$B$27)+(IFERROR(_xlfn.PERCENTRANK.INC($F$2:$F$1194,F682)*100,0)*PARAMS_MODELO!$B$29)+(IFERROR(_xlfn.PERCENTRANK.INC($I$2:$I$1194,I682)*100,0)*PARAMS_MODELO!$B$31)</f>
        <v>47.064999999999998</v>
      </c>
    </row>
    <row r="683" spans="1:10" x14ac:dyDescent="0.3">
      <c r="A683">
        <v>51055551</v>
      </c>
      <c r="B683">
        <v>54</v>
      </c>
      <c r="C683">
        <v>11</v>
      </c>
      <c r="D683">
        <v>64</v>
      </c>
      <c r="E683" s="21">
        <f>D683/PARAMS_MODELO!$B$28</f>
        <v>2.1333333333333333</v>
      </c>
      <c r="F683">
        <v>95</v>
      </c>
      <c r="G683">
        <v>31</v>
      </c>
      <c r="H683">
        <v>4</v>
      </c>
      <c r="I683" s="20">
        <f t="shared" si="10"/>
        <v>0.12903225806451613</v>
      </c>
      <c r="J683" s="21">
        <f>(IFERROR(_xlfn.PERCENTRANK.INC($B$2:$B$1194,B683)*100,0)*PARAMS_MODELO!$B$25)+(IFERROR(_xlfn.PERCENTRANK.INC($C$2:$C$1194,C683)*100,0)*PARAMS_MODELO!$B$26)+(IFERROR(_xlfn.PERCENTRANK.INC($E$2:$E$1194,E683)*100,0)*PARAMS_MODELO!$B$27)+(IFERROR(_xlfn.PERCENTRANK.INC($F$2:$F$1194,F683)*100,0)*PARAMS_MODELO!$B$29)+(IFERROR(_xlfn.PERCENTRANK.INC($I$2:$I$1194,I683)*100,0)*PARAMS_MODELO!$B$31)</f>
        <v>54.170000000000009</v>
      </c>
    </row>
    <row r="684" spans="1:10" x14ac:dyDescent="0.3">
      <c r="A684">
        <v>51012593</v>
      </c>
      <c r="B684">
        <v>36</v>
      </c>
      <c r="C684">
        <v>11</v>
      </c>
      <c r="D684">
        <v>47</v>
      </c>
      <c r="E684" s="21">
        <f>D684/PARAMS_MODELO!$B$28</f>
        <v>1.5666666666666667</v>
      </c>
      <c r="F684">
        <v>39</v>
      </c>
      <c r="G684">
        <v>97</v>
      </c>
      <c r="H684">
        <v>0</v>
      </c>
      <c r="I684" s="20">
        <f t="shared" si="10"/>
        <v>0</v>
      </c>
      <c r="J684" s="21">
        <f>(IFERROR(_xlfn.PERCENTRANK.INC($B$2:$B$1194,B684)*100,0)*PARAMS_MODELO!$B$25)+(IFERROR(_xlfn.PERCENTRANK.INC($C$2:$C$1194,C684)*100,0)*PARAMS_MODELO!$B$26)+(IFERROR(_xlfn.PERCENTRANK.INC($E$2:$E$1194,E684)*100,0)*PARAMS_MODELO!$B$27)+(IFERROR(_xlfn.PERCENTRANK.INC($F$2:$F$1194,F684)*100,0)*PARAMS_MODELO!$B$29)+(IFERROR(_xlfn.PERCENTRANK.INC($I$2:$I$1194,I684)*100,0)*PARAMS_MODELO!$B$31)</f>
        <v>35.575000000000003</v>
      </c>
    </row>
    <row r="685" spans="1:10" x14ac:dyDescent="0.3">
      <c r="A685">
        <v>51015908</v>
      </c>
      <c r="B685">
        <v>14</v>
      </c>
      <c r="C685">
        <v>1</v>
      </c>
      <c r="D685">
        <v>68</v>
      </c>
      <c r="E685" s="21">
        <f>D685/PARAMS_MODELO!$B$28</f>
        <v>2.2666666666666666</v>
      </c>
      <c r="F685">
        <v>69</v>
      </c>
      <c r="G685">
        <v>82</v>
      </c>
      <c r="H685">
        <v>19</v>
      </c>
      <c r="I685" s="20">
        <f t="shared" si="10"/>
        <v>0.23170731707317074</v>
      </c>
      <c r="J685" s="21">
        <f>(IFERROR(_xlfn.PERCENTRANK.INC($B$2:$B$1194,B685)*100,0)*PARAMS_MODELO!$B$25)+(IFERROR(_xlfn.PERCENTRANK.INC($C$2:$C$1194,C685)*100,0)*PARAMS_MODELO!$B$26)+(IFERROR(_xlfn.PERCENTRANK.INC($E$2:$E$1194,E685)*100,0)*PARAMS_MODELO!$B$27)+(IFERROR(_xlfn.PERCENTRANK.INC($F$2:$F$1194,F685)*100,0)*PARAMS_MODELO!$B$29)+(IFERROR(_xlfn.PERCENTRANK.INC($I$2:$I$1194,I685)*100,0)*PARAMS_MODELO!$B$31)</f>
        <v>31.57</v>
      </c>
    </row>
    <row r="686" spans="1:10" x14ac:dyDescent="0.3">
      <c r="A686">
        <v>51015924</v>
      </c>
      <c r="B686">
        <v>97</v>
      </c>
      <c r="C686">
        <v>8</v>
      </c>
      <c r="D686">
        <v>87</v>
      </c>
      <c r="E686" s="21">
        <f>D686/PARAMS_MODELO!$B$28</f>
        <v>2.9</v>
      </c>
      <c r="F686">
        <v>3</v>
      </c>
      <c r="G686">
        <v>55</v>
      </c>
      <c r="H686">
        <v>8</v>
      </c>
      <c r="I686" s="20">
        <f t="shared" si="10"/>
        <v>0.14545454545454545</v>
      </c>
      <c r="J686" s="21">
        <f>(IFERROR(_xlfn.PERCENTRANK.INC($B$2:$B$1194,B686)*100,0)*PARAMS_MODELO!$B$25)+(IFERROR(_xlfn.PERCENTRANK.INC($C$2:$C$1194,C686)*100,0)*PARAMS_MODELO!$B$26)+(IFERROR(_xlfn.PERCENTRANK.INC($E$2:$E$1194,E686)*100,0)*PARAMS_MODELO!$B$27)+(IFERROR(_xlfn.PERCENTRANK.INC($F$2:$F$1194,F686)*100,0)*PARAMS_MODELO!$B$29)+(IFERROR(_xlfn.PERCENTRANK.INC($I$2:$I$1194,I686)*100,0)*PARAMS_MODELO!$B$31)</f>
        <v>55.345000000000006</v>
      </c>
    </row>
    <row r="687" spans="1:10" x14ac:dyDescent="0.3">
      <c r="A687">
        <v>51034252</v>
      </c>
      <c r="B687">
        <v>15</v>
      </c>
      <c r="C687">
        <v>19</v>
      </c>
      <c r="D687">
        <v>39</v>
      </c>
      <c r="E687" s="21">
        <f>D687/PARAMS_MODELO!$B$28</f>
        <v>1.3</v>
      </c>
      <c r="F687">
        <v>72</v>
      </c>
      <c r="G687">
        <v>86</v>
      </c>
      <c r="H687">
        <v>9</v>
      </c>
      <c r="I687" s="20">
        <f t="shared" si="10"/>
        <v>0.10465116279069768</v>
      </c>
      <c r="J687" s="21">
        <f>(IFERROR(_xlfn.PERCENTRANK.INC($B$2:$B$1194,B687)*100,0)*PARAMS_MODELO!$B$25)+(IFERROR(_xlfn.PERCENTRANK.INC($C$2:$C$1194,C687)*100,0)*PARAMS_MODELO!$B$26)+(IFERROR(_xlfn.PERCENTRANK.INC($E$2:$E$1194,E687)*100,0)*PARAMS_MODELO!$B$27)+(IFERROR(_xlfn.PERCENTRANK.INC($F$2:$F$1194,F687)*100,0)*PARAMS_MODELO!$B$29)+(IFERROR(_xlfn.PERCENTRANK.INC($I$2:$I$1194,I687)*100,0)*PARAMS_MODELO!$B$31)</f>
        <v>41.724999999999994</v>
      </c>
    </row>
    <row r="688" spans="1:10" x14ac:dyDescent="0.3">
      <c r="A688">
        <v>51017676</v>
      </c>
      <c r="B688">
        <v>51</v>
      </c>
      <c r="C688">
        <v>25</v>
      </c>
      <c r="D688">
        <v>94</v>
      </c>
      <c r="E688" s="21">
        <f>D688/PARAMS_MODELO!$B$28</f>
        <v>3.1333333333333333</v>
      </c>
      <c r="F688">
        <v>42</v>
      </c>
      <c r="G688">
        <v>63</v>
      </c>
      <c r="H688">
        <v>45</v>
      </c>
      <c r="I688" s="20">
        <f t="shared" si="10"/>
        <v>0.7142857142857143</v>
      </c>
      <c r="J688" s="21">
        <f>(IFERROR(_xlfn.PERCENTRANK.INC($B$2:$B$1194,B688)*100,0)*PARAMS_MODELO!$B$25)+(IFERROR(_xlfn.PERCENTRANK.INC($C$2:$C$1194,C688)*100,0)*PARAMS_MODELO!$B$26)+(IFERROR(_xlfn.PERCENTRANK.INC($E$2:$E$1194,E688)*100,0)*PARAMS_MODELO!$B$27)+(IFERROR(_xlfn.PERCENTRANK.INC($F$2:$F$1194,F688)*100,0)*PARAMS_MODELO!$B$29)+(IFERROR(_xlfn.PERCENTRANK.INC($I$2:$I$1194,I688)*100,0)*PARAMS_MODELO!$B$31)</f>
        <v>70.724999999999994</v>
      </c>
    </row>
    <row r="689" spans="1:10" x14ac:dyDescent="0.3">
      <c r="A689">
        <v>51033655</v>
      </c>
      <c r="B689">
        <v>58</v>
      </c>
      <c r="C689">
        <v>16</v>
      </c>
      <c r="D689">
        <v>77</v>
      </c>
      <c r="E689" s="21">
        <f>D689/PARAMS_MODELO!$B$28</f>
        <v>2.5666666666666669</v>
      </c>
      <c r="F689">
        <v>84</v>
      </c>
      <c r="G689">
        <v>86</v>
      </c>
      <c r="H689">
        <v>67</v>
      </c>
      <c r="I689" s="20">
        <f t="shared" si="10"/>
        <v>0.77906976744186052</v>
      </c>
      <c r="J689" s="21">
        <f>(IFERROR(_xlfn.PERCENTRANK.INC($B$2:$B$1194,B689)*100,0)*PARAMS_MODELO!$B$25)+(IFERROR(_xlfn.PERCENTRANK.INC($C$2:$C$1194,C689)*100,0)*PARAMS_MODELO!$B$26)+(IFERROR(_xlfn.PERCENTRANK.INC($E$2:$E$1194,E689)*100,0)*PARAMS_MODELO!$B$27)+(IFERROR(_xlfn.PERCENTRANK.INC($F$2:$F$1194,F689)*100,0)*PARAMS_MODELO!$B$29)+(IFERROR(_xlfn.PERCENTRANK.INC($I$2:$I$1194,I689)*100,0)*PARAMS_MODELO!$B$31)</f>
        <v>67.36</v>
      </c>
    </row>
    <row r="690" spans="1:10" x14ac:dyDescent="0.3">
      <c r="A690">
        <v>51014740</v>
      </c>
      <c r="B690">
        <v>27</v>
      </c>
      <c r="C690">
        <v>21</v>
      </c>
      <c r="D690">
        <v>16</v>
      </c>
      <c r="E690" s="21">
        <f>D690/PARAMS_MODELO!$B$28</f>
        <v>0.53333333333333333</v>
      </c>
      <c r="F690">
        <v>87</v>
      </c>
      <c r="G690">
        <v>60</v>
      </c>
      <c r="H690">
        <v>9</v>
      </c>
      <c r="I690" s="20">
        <f t="shared" si="10"/>
        <v>0.15</v>
      </c>
      <c r="J690" s="21">
        <f>(IFERROR(_xlfn.PERCENTRANK.INC($B$2:$B$1194,B690)*100,0)*PARAMS_MODELO!$B$25)+(IFERROR(_xlfn.PERCENTRANK.INC($C$2:$C$1194,C690)*100,0)*PARAMS_MODELO!$B$26)+(IFERROR(_xlfn.PERCENTRANK.INC($E$2:$E$1194,E690)*100,0)*PARAMS_MODELO!$B$27)+(IFERROR(_xlfn.PERCENTRANK.INC($F$2:$F$1194,F690)*100,0)*PARAMS_MODELO!$B$29)+(IFERROR(_xlfn.PERCENTRANK.INC($I$2:$I$1194,I690)*100,0)*PARAMS_MODELO!$B$31)</f>
        <v>45.31</v>
      </c>
    </row>
    <row r="691" spans="1:10" x14ac:dyDescent="0.3">
      <c r="A691">
        <v>51011287</v>
      </c>
      <c r="B691">
        <v>54</v>
      </c>
      <c r="C691">
        <v>11</v>
      </c>
      <c r="D691">
        <v>80</v>
      </c>
      <c r="E691" s="21">
        <f>D691/PARAMS_MODELO!$B$28</f>
        <v>2.6666666666666665</v>
      </c>
      <c r="F691">
        <v>78</v>
      </c>
      <c r="G691">
        <v>59</v>
      </c>
      <c r="H691">
        <v>19</v>
      </c>
      <c r="I691" s="20">
        <f t="shared" si="10"/>
        <v>0.32203389830508472</v>
      </c>
      <c r="J691" s="21">
        <f>(IFERROR(_xlfn.PERCENTRANK.INC($B$2:$B$1194,B691)*100,0)*PARAMS_MODELO!$B$25)+(IFERROR(_xlfn.PERCENTRANK.INC($C$2:$C$1194,C691)*100,0)*PARAMS_MODELO!$B$26)+(IFERROR(_xlfn.PERCENTRANK.INC($E$2:$E$1194,E691)*100,0)*PARAMS_MODELO!$B$27)+(IFERROR(_xlfn.PERCENTRANK.INC($F$2:$F$1194,F691)*100,0)*PARAMS_MODELO!$B$29)+(IFERROR(_xlfn.PERCENTRANK.INC($I$2:$I$1194,I691)*100,0)*PARAMS_MODELO!$B$31)</f>
        <v>56.800000000000004</v>
      </c>
    </row>
    <row r="692" spans="1:10" x14ac:dyDescent="0.3">
      <c r="A692">
        <v>51026306</v>
      </c>
      <c r="B692">
        <v>79</v>
      </c>
      <c r="C692">
        <v>13</v>
      </c>
      <c r="D692">
        <v>77</v>
      </c>
      <c r="E692" s="21">
        <f>D692/PARAMS_MODELO!$B$28</f>
        <v>2.5666666666666669</v>
      </c>
      <c r="F692">
        <v>12</v>
      </c>
      <c r="G692">
        <v>45</v>
      </c>
      <c r="H692">
        <v>20</v>
      </c>
      <c r="I692" s="20">
        <f t="shared" si="10"/>
        <v>0.44444444444444442</v>
      </c>
      <c r="J692" s="21">
        <f>(IFERROR(_xlfn.PERCENTRANK.INC($B$2:$B$1194,B692)*100,0)*PARAMS_MODELO!$B$25)+(IFERROR(_xlfn.PERCENTRANK.INC($C$2:$C$1194,C692)*100,0)*PARAMS_MODELO!$B$26)+(IFERROR(_xlfn.PERCENTRANK.INC($E$2:$E$1194,E692)*100,0)*PARAMS_MODELO!$B$27)+(IFERROR(_xlfn.PERCENTRANK.INC($F$2:$F$1194,F692)*100,0)*PARAMS_MODELO!$B$29)+(IFERROR(_xlfn.PERCENTRANK.INC($I$2:$I$1194,I692)*100,0)*PARAMS_MODELO!$B$31)</f>
        <v>56.54999999999999</v>
      </c>
    </row>
    <row r="693" spans="1:10" x14ac:dyDescent="0.3">
      <c r="A693">
        <v>51040325</v>
      </c>
      <c r="B693">
        <v>94</v>
      </c>
      <c r="C693">
        <v>5</v>
      </c>
      <c r="D693">
        <v>85</v>
      </c>
      <c r="E693" s="21">
        <f>D693/PARAMS_MODELO!$B$28</f>
        <v>2.8333333333333335</v>
      </c>
      <c r="F693">
        <v>31</v>
      </c>
      <c r="G693">
        <v>12</v>
      </c>
      <c r="H693">
        <v>3</v>
      </c>
      <c r="I693" s="20">
        <f t="shared" si="10"/>
        <v>0.25</v>
      </c>
      <c r="J693" s="21">
        <f>(IFERROR(_xlfn.PERCENTRANK.INC($B$2:$B$1194,B693)*100,0)*PARAMS_MODELO!$B$25)+(IFERROR(_xlfn.PERCENTRANK.INC($C$2:$C$1194,C693)*100,0)*PARAMS_MODELO!$B$26)+(IFERROR(_xlfn.PERCENTRANK.INC($E$2:$E$1194,E693)*100,0)*PARAMS_MODELO!$B$27)+(IFERROR(_xlfn.PERCENTRANK.INC($F$2:$F$1194,F693)*100,0)*PARAMS_MODELO!$B$29)+(IFERROR(_xlfn.PERCENTRANK.INC($I$2:$I$1194,I693)*100,0)*PARAMS_MODELO!$B$31)</f>
        <v>55.954999999999998</v>
      </c>
    </row>
    <row r="694" spans="1:10" x14ac:dyDescent="0.3">
      <c r="A694">
        <v>51055543</v>
      </c>
      <c r="B694">
        <v>92</v>
      </c>
      <c r="C694">
        <v>2</v>
      </c>
      <c r="D694">
        <v>0</v>
      </c>
      <c r="E694" s="21">
        <f>D694/PARAMS_MODELO!$B$28</f>
        <v>0</v>
      </c>
      <c r="F694">
        <v>24</v>
      </c>
      <c r="G694">
        <v>22</v>
      </c>
      <c r="H694">
        <v>0</v>
      </c>
      <c r="I694" s="20">
        <f t="shared" si="10"/>
        <v>0</v>
      </c>
      <c r="J694" s="21">
        <f>(IFERROR(_xlfn.PERCENTRANK.INC($B$2:$B$1194,B694)*100,0)*PARAMS_MODELO!$B$25)+(IFERROR(_xlfn.PERCENTRANK.INC($C$2:$C$1194,C694)*100,0)*PARAMS_MODELO!$B$26)+(IFERROR(_xlfn.PERCENTRANK.INC($E$2:$E$1194,E694)*100,0)*PARAMS_MODELO!$B$27)+(IFERROR(_xlfn.PERCENTRANK.INC($F$2:$F$1194,F694)*100,0)*PARAMS_MODELO!$B$29)+(IFERROR(_xlfn.PERCENTRANK.INC($I$2:$I$1194,I694)*100,0)*PARAMS_MODELO!$B$31)</f>
        <v>31.86</v>
      </c>
    </row>
    <row r="695" spans="1:10" x14ac:dyDescent="0.3">
      <c r="A695">
        <v>51037031</v>
      </c>
      <c r="B695">
        <v>85</v>
      </c>
      <c r="C695">
        <v>19</v>
      </c>
      <c r="D695">
        <v>40</v>
      </c>
      <c r="E695" s="21">
        <f>D695/PARAMS_MODELO!$B$28</f>
        <v>1.3333333333333333</v>
      </c>
      <c r="F695">
        <v>72</v>
      </c>
      <c r="G695">
        <v>11</v>
      </c>
      <c r="H695">
        <v>0</v>
      </c>
      <c r="I695" s="20">
        <f t="shared" si="10"/>
        <v>0</v>
      </c>
      <c r="J695" s="21">
        <f>(IFERROR(_xlfn.PERCENTRANK.INC($B$2:$B$1194,B695)*100,0)*PARAMS_MODELO!$B$25)+(IFERROR(_xlfn.PERCENTRANK.INC($C$2:$C$1194,C695)*100,0)*PARAMS_MODELO!$B$26)+(IFERROR(_xlfn.PERCENTRANK.INC($E$2:$E$1194,E695)*100,0)*PARAMS_MODELO!$B$27)+(IFERROR(_xlfn.PERCENTRANK.INC($F$2:$F$1194,F695)*100,0)*PARAMS_MODELO!$B$29)+(IFERROR(_xlfn.PERCENTRANK.INC($I$2:$I$1194,I695)*100,0)*PARAMS_MODELO!$B$31)</f>
        <v>61.074999999999996</v>
      </c>
    </row>
    <row r="696" spans="1:10" x14ac:dyDescent="0.3">
      <c r="A696">
        <v>51057244</v>
      </c>
      <c r="B696">
        <v>57</v>
      </c>
      <c r="C696">
        <v>12</v>
      </c>
      <c r="D696">
        <v>87</v>
      </c>
      <c r="E696" s="21">
        <f>D696/PARAMS_MODELO!$B$28</f>
        <v>2.9</v>
      </c>
      <c r="F696">
        <v>27</v>
      </c>
      <c r="G696">
        <v>7</v>
      </c>
      <c r="H696">
        <v>3</v>
      </c>
      <c r="I696" s="20">
        <f t="shared" si="10"/>
        <v>0.42857142857142855</v>
      </c>
      <c r="J696" s="21">
        <f>(IFERROR(_xlfn.PERCENTRANK.INC($B$2:$B$1194,B696)*100,0)*PARAMS_MODELO!$B$25)+(IFERROR(_xlfn.PERCENTRANK.INC($C$2:$C$1194,C696)*100,0)*PARAMS_MODELO!$B$26)+(IFERROR(_xlfn.PERCENTRANK.INC($E$2:$E$1194,E696)*100,0)*PARAMS_MODELO!$B$27)+(IFERROR(_xlfn.PERCENTRANK.INC($F$2:$F$1194,F696)*100,0)*PARAMS_MODELO!$B$29)+(IFERROR(_xlfn.PERCENTRANK.INC($I$2:$I$1194,I696)*100,0)*PARAMS_MODELO!$B$31)</f>
        <v>52.910000000000004</v>
      </c>
    </row>
    <row r="697" spans="1:10" x14ac:dyDescent="0.3">
      <c r="A697">
        <v>51032004</v>
      </c>
      <c r="B697">
        <v>36</v>
      </c>
      <c r="C697">
        <v>3</v>
      </c>
      <c r="D697">
        <v>50</v>
      </c>
      <c r="E697" s="21">
        <f>D697/PARAMS_MODELO!$B$28</f>
        <v>1.6666666666666667</v>
      </c>
      <c r="F697">
        <v>82</v>
      </c>
      <c r="G697">
        <v>1</v>
      </c>
      <c r="H697">
        <v>0</v>
      </c>
      <c r="I697" s="20">
        <f t="shared" si="10"/>
        <v>0</v>
      </c>
      <c r="J697" s="21">
        <f>(IFERROR(_xlfn.PERCENTRANK.INC($B$2:$B$1194,B697)*100,0)*PARAMS_MODELO!$B$25)+(IFERROR(_xlfn.PERCENTRANK.INC($C$2:$C$1194,C697)*100,0)*PARAMS_MODELO!$B$26)+(IFERROR(_xlfn.PERCENTRANK.INC($E$2:$E$1194,E697)*100,0)*PARAMS_MODELO!$B$27)+(IFERROR(_xlfn.PERCENTRANK.INC($F$2:$F$1194,F697)*100,0)*PARAMS_MODELO!$B$29)+(IFERROR(_xlfn.PERCENTRANK.INC($I$2:$I$1194,I697)*100,0)*PARAMS_MODELO!$B$31)</f>
        <v>35.484999999999999</v>
      </c>
    </row>
    <row r="698" spans="1:10" x14ac:dyDescent="0.3">
      <c r="A698">
        <v>51019253</v>
      </c>
      <c r="B698">
        <v>96</v>
      </c>
      <c r="C698">
        <v>7</v>
      </c>
      <c r="D698">
        <v>3</v>
      </c>
      <c r="E698" s="21">
        <f>D698/PARAMS_MODELO!$B$28</f>
        <v>0.1</v>
      </c>
      <c r="F698">
        <v>89</v>
      </c>
      <c r="G698">
        <v>97</v>
      </c>
      <c r="H698">
        <v>79</v>
      </c>
      <c r="I698" s="20">
        <f t="shared" si="10"/>
        <v>0.81443298969072164</v>
      </c>
      <c r="J698" s="21">
        <f>(IFERROR(_xlfn.PERCENTRANK.INC($B$2:$B$1194,B698)*100,0)*PARAMS_MODELO!$B$25)+(IFERROR(_xlfn.PERCENTRANK.INC($C$2:$C$1194,C698)*100,0)*PARAMS_MODELO!$B$26)+(IFERROR(_xlfn.PERCENTRANK.INC($E$2:$E$1194,E698)*100,0)*PARAMS_MODELO!$B$27)+(IFERROR(_xlfn.PERCENTRANK.INC($F$2:$F$1194,F698)*100,0)*PARAMS_MODELO!$B$29)+(IFERROR(_xlfn.PERCENTRANK.INC($I$2:$I$1194,I698)*100,0)*PARAMS_MODELO!$B$31)</f>
        <v>56.914999999999992</v>
      </c>
    </row>
    <row r="699" spans="1:10" x14ac:dyDescent="0.3">
      <c r="A699">
        <v>51008413</v>
      </c>
      <c r="B699">
        <v>63</v>
      </c>
      <c r="C699">
        <v>11</v>
      </c>
      <c r="D699">
        <v>43</v>
      </c>
      <c r="E699" s="21">
        <f>D699/PARAMS_MODELO!$B$28</f>
        <v>1.4333333333333333</v>
      </c>
      <c r="F699">
        <v>80</v>
      </c>
      <c r="G699">
        <v>66</v>
      </c>
      <c r="H699">
        <v>28</v>
      </c>
      <c r="I699" s="20">
        <f t="shared" si="10"/>
        <v>0.42424242424242425</v>
      </c>
      <c r="J699" s="21">
        <f>(IFERROR(_xlfn.PERCENTRANK.INC($B$2:$B$1194,B699)*100,0)*PARAMS_MODELO!$B$25)+(IFERROR(_xlfn.PERCENTRANK.INC($C$2:$C$1194,C699)*100,0)*PARAMS_MODELO!$B$26)+(IFERROR(_xlfn.PERCENTRANK.INC($E$2:$E$1194,E699)*100,0)*PARAMS_MODELO!$B$27)+(IFERROR(_xlfn.PERCENTRANK.INC($F$2:$F$1194,F699)*100,0)*PARAMS_MODELO!$B$29)+(IFERROR(_xlfn.PERCENTRANK.INC($I$2:$I$1194,I699)*100,0)*PARAMS_MODELO!$B$31)</f>
        <v>53.174999999999997</v>
      </c>
    </row>
    <row r="700" spans="1:10" x14ac:dyDescent="0.3">
      <c r="A700">
        <v>51018265</v>
      </c>
      <c r="B700">
        <v>35</v>
      </c>
      <c r="C700">
        <v>8</v>
      </c>
      <c r="D700">
        <v>37</v>
      </c>
      <c r="E700" s="21">
        <f>D700/PARAMS_MODELO!$B$28</f>
        <v>1.2333333333333334</v>
      </c>
      <c r="F700">
        <v>4</v>
      </c>
      <c r="G700">
        <v>40</v>
      </c>
      <c r="H700">
        <v>7</v>
      </c>
      <c r="I700" s="20">
        <f t="shared" si="10"/>
        <v>0.17499999999999999</v>
      </c>
      <c r="J700" s="21">
        <f>(IFERROR(_xlfn.PERCENTRANK.INC($B$2:$B$1194,B700)*100,0)*PARAMS_MODELO!$B$25)+(IFERROR(_xlfn.PERCENTRANK.INC($C$2:$C$1194,C700)*100,0)*PARAMS_MODELO!$B$26)+(IFERROR(_xlfn.PERCENTRANK.INC($E$2:$E$1194,E700)*100,0)*PARAMS_MODELO!$B$27)+(IFERROR(_xlfn.PERCENTRANK.INC($F$2:$F$1194,F700)*100,0)*PARAMS_MODELO!$B$29)+(IFERROR(_xlfn.PERCENTRANK.INC($I$2:$I$1194,I700)*100,0)*PARAMS_MODELO!$B$31)</f>
        <v>27.29</v>
      </c>
    </row>
    <row r="701" spans="1:10" x14ac:dyDescent="0.3">
      <c r="A701">
        <v>51022050</v>
      </c>
      <c r="B701">
        <v>85</v>
      </c>
      <c r="C701">
        <v>16</v>
      </c>
      <c r="D701">
        <v>85</v>
      </c>
      <c r="E701" s="21">
        <f>D701/PARAMS_MODELO!$B$28</f>
        <v>2.8333333333333335</v>
      </c>
      <c r="F701">
        <v>44</v>
      </c>
      <c r="G701">
        <v>53</v>
      </c>
      <c r="H701">
        <v>47</v>
      </c>
      <c r="I701" s="20">
        <f t="shared" si="10"/>
        <v>0.8867924528301887</v>
      </c>
      <c r="J701" s="21">
        <f>(IFERROR(_xlfn.PERCENTRANK.INC($B$2:$B$1194,B701)*100,0)*PARAMS_MODELO!$B$25)+(IFERROR(_xlfn.PERCENTRANK.INC($C$2:$C$1194,C701)*100,0)*PARAMS_MODELO!$B$26)+(IFERROR(_xlfn.PERCENTRANK.INC($E$2:$E$1194,E701)*100,0)*PARAMS_MODELO!$B$27)+(IFERROR(_xlfn.PERCENTRANK.INC($F$2:$F$1194,F701)*100,0)*PARAMS_MODELO!$B$29)+(IFERROR(_xlfn.PERCENTRANK.INC($I$2:$I$1194,I701)*100,0)*PARAMS_MODELO!$B$31)</f>
        <v>71.725000000000009</v>
      </c>
    </row>
    <row r="702" spans="1:10" x14ac:dyDescent="0.3">
      <c r="A702">
        <v>51016076</v>
      </c>
      <c r="B702">
        <v>35</v>
      </c>
      <c r="C702">
        <v>5</v>
      </c>
      <c r="D702">
        <v>88</v>
      </c>
      <c r="E702" s="21">
        <f>D702/PARAMS_MODELO!$B$28</f>
        <v>2.9333333333333331</v>
      </c>
      <c r="F702">
        <v>40</v>
      </c>
      <c r="G702">
        <v>61</v>
      </c>
      <c r="H702">
        <v>1</v>
      </c>
      <c r="I702" s="20">
        <f t="shared" si="10"/>
        <v>1.6393442622950821E-2</v>
      </c>
      <c r="J702" s="21">
        <f>(IFERROR(_xlfn.PERCENTRANK.INC($B$2:$B$1194,B702)*100,0)*PARAMS_MODELO!$B$25)+(IFERROR(_xlfn.PERCENTRANK.INC($C$2:$C$1194,C702)*100,0)*PARAMS_MODELO!$B$26)+(IFERROR(_xlfn.PERCENTRANK.INC($E$2:$E$1194,E702)*100,0)*PARAMS_MODELO!$B$27)+(IFERROR(_xlfn.PERCENTRANK.INC($F$2:$F$1194,F702)*100,0)*PARAMS_MODELO!$B$29)+(IFERROR(_xlfn.PERCENTRANK.INC($I$2:$I$1194,I702)*100,0)*PARAMS_MODELO!$B$31)</f>
        <v>38.33</v>
      </c>
    </row>
    <row r="703" spans="1:10" x14ac:dyDescent="0.3">
      <c r="A703">
        <v>51014634</v>
      </c>
      <c r="B703">
        <v>6</v>
      </c>
      <c r="C703">
        <v>19</v>
      </c>
      <c r="D703">
        <v>33</v>
      </c>
      <c r="E703" s="21">
        <f>D703/PARAMS_MODELO!$B$28</f>
        <v>1.1000000000000001</v>
      </c>
      <c r="F703">
        <v>52</v>
      </c>
      <c r="G703">
        <v>39</v>
      </c>
      <c r="H703">
        <v>18</v>
      </c>
      <c r="I703" s="20">
        <f t="shared" si="10"/>
        <v>0.46153846153846156</v>
      </c>
      <c r="J703" s="21">
        <f>(IFERROR(_xlfn.PERCENTRANK.INC($B$2:$B$1194,B703)*100,0)*PARAMS_MODELO!$B$25)+(IFERROR(_xlfn.PERCENTRANK.INC($C$2:$C$1194,C703)*100,0)*PARAMS_MODELO!$B$26)+(IFERROR(_xlfn.PERCENTRANK.INC($E$2:$E$1194,E703)*100,0)*PARAMS_MODELO!$B$27)+(IFERROR(_xlfn.PERCENTRANK.INC($F$2:$F$1194,F703)*100,0)*PARAMS_MODELO!$B$29)+(IFERROR(_xlfn.PERCENTRANK.INC($I$2:$I$1194,I703)*100,0)*PARAMS_MODELO!$B$31)</f>
        <v>38.21</v>
      </c>
    </row>
    <row r="704" spans="1:10" x14ac:dyDescent="0.3">
      <c r="A704">
        <v>51004655</v>
      </c>
      <c r="B704">
        <v>60</v>
      </c>
      <c r="C704">
        <v>20</v>
      </c>
      <c r="D704">
        <v>44</v>
      </c>
      <c r="E704" s="21">
        <f>D704/PARAMS_MODELO!$B$28</f>
        <v>1.4666666666666666</v>
      </c>
      <c r="F704">
        <v>68</v>
      </c>
      <c r="G704">
        <v>91</v>
      </c>
      <c r="H704">
        <v>32</v>
      </c>
      <c r="I704" s="20">
        <f t="shared" si="10"/>
        <v>0.35164835164835168</v>
      </c>
      <c r="J704" s="21">
        <f>(IFERROR(_xlfn.PERCENTRANK.INC($B$2:$B$1194,B704)*100,0)*PARAMS_MODELO!$B$25)+(IFERROR(_xlfn.PERCENTRANK.INC($C$2:$C$1194,C704)*100,0)*PARAMS_MODELO!$B$26)+(IFERROR(_xlfn.PERCENTRANK.INC($E$2:$E$1194,E704)*100,0)*PARAMS_MODELO!$B$27)+(IFERROR(_xlfn.PERCENTRANK.INC($F$2:$F$1194,F704)*100,0)*PARAMS_MODELO!$B$29)+(IFERROR(_xlfn.PERCENTRANK.INC($I$2:$I$1194,I704)*100,0)*PARAMS_MODELO!$B$31)</f>
        <v>58.494999999999997</v>
      </c>
    </row>
    <row r="705" spans="1:10" x14ac:dyDescent="0.3">
      <c r="A705">
        <v>51030974</v>
      </c>
      <c r="B705">
        <v>71</v>
      </c>
      <c r="C705">
        <v>1</v>
      </c>
      <c r="D705">
        <v>18</v>
      </c>
      <c r="E705" s="21">
        <f>D705/PARAMS_MODELO!$B$28</f>
        <v>0.6</v>
      </c>
      <c r="F705">
        <v>60</v>
      </c>
      <c r="G705">
        <v>10</v>
      </c>
      <c r="H705">
        <v>5</v>
      </c>
      <c r="I705" s="20">
        <f t="shared" si="10"/>
        <v>0.5</v>
      </c>
      <c r="J705" s="21">
        <f>(IFERROR(_xlfn.PERCENTRANK.INC($B$2:$B$1194,B705)*100,0)*PARAMS_MODELO!$B$25)+(IFERROR(_xlfn.PERCENTRANK.INC($C$2:$C$1194,C705)*100,0)*PARAMS_MODELO!$B$26)+(IFERROR(_xlfn.PERCENTRANK.INC($E$2:$E$1194,E705)*100,0)*PARAMS_MODELO!$B$27)+(IFERROR(_xlfn.PERCENTRANK.INC($F$2:$F$1194,F705)*100,0)*PARAMS_MODELO!$B$29)+(IFERROR(_xlfn.PERCENTRANK.INC($I$2:$I$1194,I705)*100,0)*PARAMS_MODELO!$B$31)</f>
        <v>39.384999999999998</v>
      </c>
    </row>
    <row r="706" spans="1:10" x14ac:dyDescent="0.3">
      <c r="A706">
        <v>51056787</v>
      </c>
      <c r="B706">
        <v>96</v>
      </c>
      <c r="C706">
        <v>0</v>
      </c>
      <c r="D706">
        <v>77</v>
      </c>
      <c r="E706" s="21">
        <f>D706/PARAMS_MODELO!$B$28</f>
        <v>2.5666666666666669</v>
      </c>
      <c r="F706">
        <v>45</v>
      </c>
      <c r="G706">
        <v>24</v>
      </c>
      <c r="H706">
        <v>7</v>
      </c>
      <c r="I706" s="20">
        <f t="shared" ref="I706:I769" si="11">IFERROR(H706/G706,0)</f>
        <v>0.29166666666666669</v>
      </c>
      <c r="J706" s="21">
        <f>(IFERROR(_xlfn.PERCENTRANK.INC($B$2:$B$1194,B706)*100,0)*PARAMS_MODELO!$B$25)+(IFERROR(_xlfn.PERCENTRANK.INC($C$2:$C$1194,C706)*100,0)*PARAMS_MODELO!$B$26)+(IFERROR(_xlfn.PERCENTRANK.INC($E$2:$E$1194,E706)*100,0)*PARAMS_MODELO!$B$27)+(IFERROR(_xlfn.PERCENTRANK.INC($F$2:$F$1194,F706)*100,0)*PARAMS_MODELO!$B$29)+(IFERROR(_xlfn.PERCENTRANK.INC($I$2:$I$1194,I706)*100,0)*PARAMS_MODELO!$B$31)</f>
        <v>53.234999999999999</v>
      </c>
    </row>
    <row r="707" spans="1:10" x14ac:dyDescent="0.3">
      <c r="A707">
        <v>51032802</v>
      </c>
      <c r="B707">
        <v>6</v>
      </c>
      <c r="C707">
        <v>18</v>
      </c>
      <c r="D707">
        <v>91</v>
      </c>
      <c r="E707" s="21">
        <f>D707/PARAMS_MODELO!$B$28</f>
        <v>3.0333333333333332</v>
      </c>
      <c r="F707">
        <v>75</v>
      </c>
      <c r="G707">
        <v>75</v>
      </c>
      <c r="H707">
        <v>4</v>
      </c>
      <c r="I707" s="20">
        <f t="shared" si="11"/>
        <v>5.3333333333333337E-2</v>
      </c>
      <c r="J707" s="21">
        <f>(IFERROR(_xlfn.PERCENTRANK.INC($B$2:$B$1194,B707)*100,0)*PARAMS_MODELO!$B$25)+(IFERROR(_xlfn.PERCENTRANK.INC($C$2:$C$1194,C707)*100,0)*PARAMS_MODELO!$B$26)+(IFERROR(_xlfn.PERCENTRANK.INC($E$2:$E$1194,E707)*100,0)*PARAMS_MODELO!$B$27)+(IFERROR(_xlfn.PERCENTRANK.INC($F$2:$F$1194,F707)*100,0)*PARAMS_MODELO!$B$29)+(IFERROR(_xlfn.PERCENTRANK.INC($I$2:$I$1194,I707)*100,0)*PARAMS_MODELO!$B$31)</f>
        <v>48.61999999999999</v>
      </c>
    </row>
    <row r="708" spans="1:10" x14ac:dyDescent="0.3">
      <c r="A708">
        <v>51043677</v>
      </c>
      <c r="B708">
        <v>41</v>
      </c>
      <c r="C708">
        <v>23</v>
      </c>
      <c r="D708">
        <v>27</v>
      </c>
      <c r="E708" s="21">
        <f>D708/PARAMS_MODELO!$B$28</f>
        <v>0.9</v>
      </c>
      <c r="F708">
        <v>56</v>
      </c>
      <c r="G708">
        <v>2</v>
      </c>
      <c r="H708">
        <v>1</v>
      </c>
      <c r="I708" s="20">
        <f t="shared" si="11"/>
        <v>0.5</v>
      </c>
      <c r="J708" s="21">
        <f>(IFERROR(_xlfn.PERCENTRANK.INC($B$2:$B$1194,B708)*100,0)*PARAMS_MODELO!$B$25)+(IFERROR(_xlfn.PERCENTRANK.INC($C$2:$C$1194,C708)*100,0)*PARAMS_MODELO!$B$26)+(IFERROR(_xlfn.PERCENTRANK.INC($E$2:$E$1194,E708)*100,0)*PARAMS_MODELO!$B$27)+(IFERROR(_xlfn.PERCENTRANK.INC($F$2:$F$1194,F708)*100,0)*PARAMS_MODELO!$B$29)+(IFERROR(_xlfn.PERCENTRANK.INC($I$2:$I$1194,I708)*100,0)*PARAMS_MODELO!$B$31)</f>
        <v>52.030000000000008</v>
      </c>
    </row>
    <row r="709" spans="1:10" x14ac:dyDescent="0.3">
      <c r="A709">
        <v>51022467</v>
      </c>
      <c r="B709">
        <v>78</v>
      </c>
      <c r="C709">
        <v>14</v>
      </c>
      <c r="D709">
        <v>44</v>
      </c>
      <c r="E709" s="21">
        <f>D709/PARAMS_MODELO!$B$28</f>
        <v>1.4666666666666666</v>
      </c>
      <c r="F709">
        <v>63</v>
      </c>
      <c r="G709">
        <v>1</v>
      </c>
      <c r="H709">
        <v>0</v>
      </c>
      <c r="I709" s="20">
        <f t="shared" si="11"/>
        <v>0</v>
      </c>
      <c r="J709" s="21">
        <f>(IFERROR(_xlfn.PERCENTRANK.INC($B$2:$B$1194,B709)*100,0)*PARAMS_MODELO!$B$25)+(IFERROR(_xlfn.PERCENTRANK.INC($C$2:$C$1194,C709)*100,0)*PARAMS_MODELO!$B$26)+(IFERROR(_xlfn.PERCENTRANK.INC($E$2:$E$1194,E709)*100,0)*PARAMS_MODELO!$B$27)+(IFERROR(_xlfn.PERCENTRANK.INC($F$2:$F$1194,F709)*100,0)*PARAMS_MODELO!$B$29)+(IFERROR(_xlfn.PERCENTRANK.INC($I$2:$I$1194,I709)*100,0)*PARAMS_MODELO!$B$31)</f>
        <v>54.015000000000001</v>
      </c>
    </row>
    <row r="710" spans="1:10" x14ac:dyDescent="0.3">
      <c r="A710">
        <v>51055225</v>
      </c>
      <c r="B710">
        <v>63</v>
      </c>
      <c r="C710">
        <v>18</v>
      </c>
      <c r="D710">
        <v>78</v>
      </c>
      <c r="E710" s="21">
        <f>D710/PARAMS_MODELO!$B$28</f>
        <v>2.6</v>
      </c>
      <c r="F710">
        <v>92</v>
      </c>
      <c r="G710">
        <v>67</v>
      </c>
      <c r="H710">
        <v>57</v>
      </c>
      <c r="I710" s="20">
        <f t="shared" si="11"/>
        <v>0.85074626865671643</v>
      </c>
      <c r="J710" s="21">
        <f>(IFERROR(_xlfn.PERCENTRANK.INC($B$2:$B$1194,B710)*100,0)*PARAMS_MODELO!$B$25)+(IFERROR(_xlfn.PERCENTRANK.INC($C$2:$C$1194,C710)*100,0)*PARAMS_MODELO!$B$26)+(IFERROR(_xlfn.PERCENTRANK.INC($E$2:$E$1194,E710)*100,0)*PARAMS_MODELO!$B$27)+(IFERROR(_xlfn.PERCENTRANK.INC($F$2:$F$1194,F710)*100,0)*PARAMS_MODELO!$B$29)+(IFERROR(_xlfn.PERCENTRANK.INC($I$2:$I$1194,I710)*100,0)*PARAMS_MODELO!$B$31)</f>
        <v>72.599999999999994</v>
      </c>
    </row>
    <row r="711" spans="1:10" x14ac:dyDescent="0.3">
      <c r="A711">
        <v>51041666</v>
      </c>
      <c r="B711">
        <v>34</v>
      </c>
      <c r="C711">
        <v>19</v>
      </c>
      <c r="D711">
        <v>6</v>
      </c>
      <c r="E711" s="21">
        <f>D711/PARAMS_MODELO!$B$28</f>
        <v>0.2</v>
      </c>
      <c r="F711">
        <v>56</v>
      </c>
      <c r="G711">
        <v>30</v>
      </c>
      <c r="H711">
        <v>17</v>
      </c>
      <c r="I711" s="20">
        <f t="shared" si="11"/>
        <v>0.56666666666666665</v>
      </c>
      <c r="J711" s="21">
        <f>(IFERROR(_xlfn.PERCENTRANK.INC($B$2:$B$1194,B711)*100,0)*PARAMS_MODELO!$B$25)+(IFERROR(_xlfn.PERCENTRANK.INC($C$2:$C$1194,C711)*100,0)*PARAMS_MODELO!$B$26)+(IFERROR(_xlfn.PERCENTRANK.INC($E$2:$E$1194,E711)*100,0)*PARAMS_MODELO!$B$27)+(IFERROR(_xlfn.PERCENTRANK.INC($F$2:$F$1194,F711)*100,0)*PARAMS_MODELO!$B$29)+(IFERROR(_xlfn.PERCENTRANK.INC($I$2:$I$1194,I711)*100,0)*PARAMS_MODELO!$B$31)</f>
        <v>42.61</v>
      </c>
    </row>
    <row r="712" spans="1:10" x14ac:dyDescent="0.3">
      <c r="A712">
        <v>51024753</v>
      </c>
      <c r="B712">
        <v>44</v>
      </c>
      <c r="C712">
        <v>6</v>
      </c>
      <c r="D712">
        <v>48</v>
      </c>
      <c r="E712" s="21">
        <f>D712/PARAMS_MODELO!$B$28</f>
        <v>1.6</v>
      </c>
      <c r="F712">
        <v>20</v>
      </c>
      <c r="G712">
        <v>71</v>
      </c>
      <c r="H712">
        <v>36</v>
      </c>
      <c r="I712" s="20">
        <f t="shared" si="11"/>
        <v>0.50704225352112675</v>
      </c>
      <c r="J712" s="21">
        <f>(IFERROR(_xlfn.PERCENTRANK.INC($B$2:$B$1194,B712)*100,0)*PARAMS_MODELO!$B$25)+(IFERROR(_xlfn.PERCENTRANK.INC($C$2:$C$1194,C712)*100,0)*PARAMS_MODELO!$B$26)+(IFERROR(_xlfn.PERCENTRANK.INC($E$2:$E$1194,E712)*100,0)*PARAMS_MODELO!$B$27)+(IFERROR(_xlfn.PERCENTRANK.INC($F$2:$F$1194,F712)*100,0)*PARAMS_MODELO!$B$29)+(IFERROR(_xlfn.PERCENTRANK.INC($I$2:$I$1194,I712)*100,0)*PARAMS_MODELO!$B$31)</f>
        <v>36.144999999999996</v>
      </c>
    </row>
    <row r="713" spans="1:10" x14ac:dyDescent="0.3">
      <c r="A713">
        <v>51023901</v>
      </c>
      <c r="B713">
        <v>37</v>
      </c>
      <c r="C713">
        <v>21</v>
      </c>
      <c r="D713">
        <v>72</v>
      </c>
      <c r="E713" s="21">
        <f>D713/PARAMS_MODELO!$B$28</f>
        <v>2.4</v>
      </c>
      <c r="F713">
        <v>31</v>
      </c>
      <c r="G713">
        <v>76</v>
      </c>
      <c r="H713">
        <v>57</v>
      </c>
      <c r="I713" s="20">
        <f t="shared" si="11"/>
        <v>0.75</v>
      </c>
      <c r="J713" s="21">
        <f>(IFERROR(_xlfn.PERCENTRANK.INC($B$2:$B$1194,B713)*100,0)*PARAMS_MODELO!$B$25)+(IFERROR(_xlfn.PERCENTRANK.INC($C$2:$C$1194,C713)*100,0)*PARAMS_MODELO!$B$26)+(IFERROR(_xlfn.PERCENTRANK.INC($E$2:$E$1194,E713)*100,0)*PARAMS_MODELO!$B$27)+(IFERROR(_xlfn.PERCENTRANK.INC($F$2:$F$1194,F713)*100,0)*PARAMS_MODELO!$B$29)+(IFERROR(_xlfn.PERCENTRANK.INC($I$2:$I$1194,I713)*100,0)*PARAMS_MODELO!$B$31)</f>
        <v>56.865000000000002</v>
      </c>
    </row>
    <row r="714" spans="1:10" x14ac:dyDescent="0.3">
      <c r="A714">
        <v>51038401</v>
      </c>
      <c r="B714">
        <v>60</v>
      </c>
      <c r="C714">
        <v>11</v>
      </c>
      <c r="D714">
        <v>31</v>
      </c>
      <c r="E714" s="21">
        <f>D714/PARAMS_MODELO!$B$28</f>
        <v>1.0333333333333334</v>
      </c>
      <c r="F714">
        <v>59</v>
      </c>
      <c r="G714">
        <v>96</v>
      </c>
      <c r="H714">
        <v>40</v>
      </c>
      <c r="I714" s="20">
        <f t="shared" si="11"/>
        <v>0.41666666666666669</v>
      </c>
      <c r="J714" s="21">
        <f>(IFERROR(_xlfn.PERCENTRANK.INC($B$2:$B$1194,B714)*100,0)*PARAMS_MODELO!$B$25)+(IFERROR(_xlfn.PERCENTRANK.INC($C$2:$C$1194,C714)*100,0)*PARAMS_MODELO!$B$26)+(IFERROR(_xlfn.PERCENTRANK.INC($E$2:$E$1194,E714)*100,0)*PARAMS_MODELO!$B$27)+(IFERROR(_xlfn.PERCENTRANK.INC($F$2:$F$1194,F714)*100,0)*PARAMS_MODELO!$B$29)+(IFERROR(_xlfn.PERCENTRANK.INC($I$2:$I$1194,I714)*100,0)*PARAMS_MODELO!$B$31)</f>
        <v>46.129999999999995</v>
      </c>
    </row>
    <row r="715" spans="1:10" x14ac:dyDescent="0.3">
      <c r="A715">
        <v>51023226</v>
      </c>
      <c r="B715">
        <v>68</v>
      </c>
      <c r="C715">
        <v>23</v>
      </c>
      <c r="D715">
        <v>2</v>
      </c>
      <c r="E715" s="21">
        <f>D715/PARAMS_MODELO!$B$28</f>
        <v>6.6666666666666666E-2</v>
      </c>
      <c r="F715">
        <v>5</v>
      </c>
      <c r="G715">
        <v>20</v>
      </c>
      <c r="H715">
        <v>10</v>
      </c>
      <c r="I715" s="20">
        <f t="shared" si="11"/>
        <v>0.5</v>
      </c>
      <c r="J715" s="21">
        <f>(IFERROR(_xlfn.PERCENTRANK.INC($B$2:$B$1194,B715)*100,0)*PARAMS_MODELO!$B$25)+(IFERROR(_xlfn.PERCENTRANK.INC($C$2:$C$1194,C715)*100,0)*PARAMS_MODELO!$B$26)+(IFERROR(_xlfn.PERCENTRANK.INC($E$2:$E$1194,E715)*100,0)*PARAMS_MODELO!$B$27)+(IFERROR(_xlfn.PERCENTRANK.INC($F$2:$F$1194,F715)*100,0)*PARAMS_MODELO!$B$29)+(IFERROR(_xlfn.PERCENTRANK.INC($I$2:$I$1194,I715)*100,0)*PARAMS_MODELO!$B$31)</f>
        <v>47.690000000000005</v>
      </c>
    </row>
    <row r="716" spans="1:10" x14ac:dyDescent="0.3">
      <c r="A716">
        <v>51019717</v>
      </c>
      <c r="B716">
        <v>87</v>
      </c>
      <c r="C716">
        <v>21</v>
      </c>
      <c r="D716">
        <v>34</v>
      </c>
      <c r="E716" s="21">
        <f>D716/PARAMS_MODELO!$B$28</f>
        <v>1.1333333333333333</v>
      </c>
      <c r="F716">
        <v>34</v>
      </c>
      <c r="G716">
        <v>29</v>
      </c>
      <c r="H716">
        <v>6</v>
      </c>
      <c r="I716" s="20">
        <f t="shared" si="11"/>
        <v>0.20689655172413793</v>
      </c>
      <c r="J716" s="21">
        <f>(IFERROR(_xlfn.PERCENTRANK.INC($B$2:$B$1194,B716)*100,0)*PARAMS_MODELO!$B$25)+(IFERROR(_xlfn.PERCENTRANK.INC($C$2:$C$1194,C716)*100,0)*PARAMS_MODELO!$B$26)+(IFERROR(_xlfn.PERCENTRANK.INC($E$2:$E$1194,E716)*100,0)*PARAMS_MODELO!$B$27)+(IFERROR(_xlfn.PERCENTRANK.INC($F$2:$F$1194,F716)*100,0)*PARAMS_MODELO!$B$29)+(IFERROR(_xlfn.PERCENTRANK.INC($I$2:$I$1194,I716)*100,0)*PARAMS_MODELO!$B$31)</f>
        <v>58.895000000000003</v>
      </c>
    </row>
    <row r="717" spans="1:10" x14ac:dyDescent="0.3">
      <c r="A717">
        <v>51007115</v>
      </c>
      <c r="B717">
        <v>5</v>
      </c>
      <c r="C717">
        <v>20</v>
      </c>
      <c r="D717">
        <v>89</v>
      </c>
      <c r="E717" s="21">
        <f>D717/PARAMS_MODELO!$B$28</f>
        <v>2.9666666666666668</v>
      </c>
      <c r="F717">
        <v>34</v>
      </c>
      <c r="G717">
        <v>41</v>
      </c>
      <c r="H717">
        <v>12</v>
      </c>
      <c r="I717" s="20">
        <f t="shared" si="11"/>
        <v>0.29268292682926828</v>
      </c>
      <c r="J717" s="21">
        <f>(IFERROR(_xlfn.PERCENTRANK.INC($B$2:$B$1194,B717)*100,0)*PARAMS_MODELO!$B$25)+(IFERROR(_xlfn.PERCENTRANK.INC($C$2:$C$1194,C717)*100,0)*PARAMS_MODELO!$B$26)+(IFERROR(_xlfn.PERCENTRANK.INC($E$2:$E$1194,E717)*100,0)*PARAMS_MODELO!$B$27)+(IFERROR(_xlfn.PERCENTRANK.INC($F$2:$F$1194,F717)*100,0)*PARAMS_MODELO!$B$29)+(IFERROR(_xlfn.PERCENTRANK.INC($I$2:$I$1194,I717)*100,0)*PARAMS_MODELO!$B$31)</f>
        <v>45.795000000000002</v>
      </c>
    </row>
    <row r="718" spans="1:10" x14ac:dyDescent="0.3">
      <c r="A718">
        <v>51016637</v>
      </c>
      <c r="B718">
        <v>95</v>
      </c>
      <c r="C718">
        <v>20</v>
      </c>
      <c r="D718">
        <v>75</v>
      </c>
      <c r="E718" s="21">
        <f>D718/PARAMS_MODELO!$B$28</f>
        <v>2.5</v>
      </c>
      <c r="F718">
        <v>4</v>
      </c>
      <c r="G718">
        <v>47</v>
      </c>
      <c r="H718">
        <v>6</v>
      </c>
      <c r="I718" s="20">
        <f t="shared" si="11"/>
        <v>0.1276595744680851</v>
      </c>
      <c r="J718" s="21">
        <f>(IFERROR(_xlfn.PERCENTRANK.INC($B$2:$B$1194,B718)*100,0)*PARAMS_MODELO!$B$25)+(IFERROR(_xlfn.PERCENTRANK.INC($C$2:$C$1194,C718)*100,0)*PARAMS_MODELO!$B$26)+(IFERROR(_xlfn.PERCENTRANK.INC($E$2:$E$1194,E718)*100,0)*PARAMS_MODELO!$B$27)+(IFERROR(_xlfn.PERCENTRANK.INC($F$2:$F$1194,F718)*100,0)*PARAMS_MODELO!$B$29)+(IFERROR(_xlfn.PERCENTRANK.INC($I$2:$I$1194,I718)*100,0)*PARAMS_MODELO!$B$31)</f>
        <v>63.484999999999999</v>
      </c>
    </row>
    <row r="719" spans="1:10" x14ac:dyDescent="0.3">
      <c r="A719">
        <v>51023439</v>
      </c>
      <c r="B719">
        <v>87</v>
      </c>
      <c r="C719">
        <v>15</v>
      </c>
      <c r="D719">
        <v>8</v>
      </c>
      <c r="E719" s="21">
        <f>D719/PARAMS_MODELO!$B$28</f>
        <v>0.26666666666666666</v>
      </c>
      <c r="F719">
        <v>57</v>
      </c>
      <c r="G719">
        <v>37</v>
      </c>
      <c r="H719">
        <v>17</v>
      </c>
      <c r="I719" s="20">
        <f t="shared" si="11"/>
        <v>0.45945945945945948</v>
      </c>
      <c r="J719" s="21">
        <f>(IFERROR(_xlfn.PERCENTRANK.INC($B$2:$B$1194,B719)*100,0)*PARAMS_MODELO!$B$25)+(IFERROR(_xlfn.PERCENTRANK.INC($C$2:$C$1194,C719)*100,0)*PARAMS_MODELO!$B$26)+(IFERROR(_xlfn.PERCENTRANK.INC($E$2:$E$1194,E719)*100,0)*PARAMS_MODELO!$B$27)+(IFERROR(_xlfn.PERCENTRANK.INC($F$2:$F$1194,F719)*100,0)*PARAMS_MODELO!$B$29)+(IFERROR(_xlfn.PERCENTRANK.INC($I$2:$I$1194,I719)*100,0)*PARAMS_MODELO!$B$31)</f>
        <v>53.669999999999995</v>
      </c>
    </row>
    <row r="720" spans="1:10" x14ac:dyDescent="0.3">
      <c r="A720">
        <v>51031334</v>
      </c>
      <c r="B720">
        <v>4</v>
      </c>
      <c r="C720">
        <v>23</v>
      </c>
      <c r="D720">
        <v>68</v>
      </c>
      <c r="E720" s="21">
        <f>D720/PARAMS_MODELO!$B$28</f>
        <v>2.2666666666666666</v>
      </c>
      <c r="F720">
        <v>85</v>
      </c>
      <c r="G720">
        <v>47</v>
      </c>
      <c r="H720">
        <v>11</v>
      </c>
      <c r="I720" s="20">
        <f t="shared" si="11"/>
        <v>0.23404255319148937</v>
      </c>
      <c r="J720" s="21">
        <f>(IFERROR(_xlfn.PERCENTRANK.INC($B$2:$B$1194,B720)*100,0)*PARAMS_MODELO!$B$25)+(IFERROR(_xlfn.PERCENTRANK.INC($C$2:$C$1194,C720)*100,0)*PARAMS_MODELO!$B$26)+(IFERROR(_xlfn.PERCENTRANK.INC($E$2:$E$1194,E720)*100,0)*PARAMS_MODELO!$B$27)+(IFERROR(_xlfn.PERCENTRANK.INC($F$2:$F$1194,F720)*100,0)*PARAMS_MODELO!$B$29)+(IFERROR(_xlfn.PERCENTRANK.INC($I$2:$I$1194,I720)*100,0)*PARAMS_MODELO!$B$31)</f>
        <v>51.81</v>
      </c>
    </row>
    <row r="721" spans="1:10" x14ac:dyDescent="0.3">
      <c r="A721">
        <v>51005368</v>
      </c>
      <c r="B721">
        <v>84</v>
      </c>
      <c r="C721">
        <v>15</v>
      </c>
      <c r="D721">
        <v>44</v>
      </c>
      <c r="E721" s="21">
        <f>D721/PARAMS_MODELO!$B$28</f>
        <v>1.4666666666666666</v>
      </c>
      <c r="F721">
        <v>74</v>
      </c>
      <c r="G721">
        <v>16</v>
      </c>
      <c r="H721">
        <v>14</v>
      </c>
      <c r="I721" s="20">
        <f t="shared" si="11"/>
        <v>0.875</v>
      </c>
      <c r="J721" s="21">
        <f>(IFERROR(_xlfn.PERCENTRANK.INC($B$2:$B$1194,B721)*100,0)*PARAMS_MODELO!$B$25)+(IFERROR(_xlfn.PERCENTRANK.INC($C$2:$C$1194,C721)*100,0)*PARAMS_MODELO!$B$26)+(IFERROR(_xlfn.PERCENTRANK.INC($E$2:$E$1194,E721)*100,0)*PARAMS_MODELO!$B$27)+(IFERROR(_xlfn.PERCENTRANK.INC($F$2:$F$1194,F721)*100,0)*PARAMS_MODELO!$B$29)+(IFERROR(_xlfn.PERCENTRANK.INC($I$2:$I$1194,I721)*100,0)*PARAMS_MODELO!$B$31)</f>
        <v>66.91</v>
      </c>
    </row>
    <row r="722" spans="1:10" x14ac:dyDescent="0.3">
      <c r="A722">
        <v>51023803</v>
      </c>
      <c r="B722">
        <v>87</v>
      </c>
      <c r="C722">
        <v>14</v>
      </c>
      <c r="D722">
        <v>53</v>
      </c>
      <c r="E722" s="21">
        <f>D722/PARAMS_MODELO!$B$28</f>
        <v>1.7666666666666666</v>
      </c>
      <c r="F722">
        <v>40</v>
      </c>
      <c r="G722">
        <v>35</v>
      </c>
      <c r="H722">
        <v>12</v>
      </c>
      <c r="I722" s="20">
        <f t="shared" si="11"/>
        <v>0.34285714285714286</v>
      </c>
      <c r="J722" s="21">
        <f>(IFERROR(_xlfn.PERCENTRANK.INC($B$2:$B$1194,B722)*100,0)*PARAMS_MODELO!$B$25)+(IFERROR(_xlfn.PERCENTRANK.INC($C$2:$C$1194,C722)*100,0)*PARAMS_MODELO!$B$26)+(IFERROR(_xlfn.PERCENTRANK.INC($E$2:$E$1194,E722)*100,0)*PARAMS_MODELO!$B$27)+(IFERROR(_xlfn.PERCENTRANK.INC($F$2:$F$1194,F722)*100,0)*PARAMS_MODELO!$B$29)+(IFERROR(_xlfn.PERCENTRANK.INC($I$2:$I$1194,I722)*100,0)*PARAMS_MODELO!$B$31)</f>
        <v>58.470000000000006</v>
      </c>
    </row>
    <row r="723" spans="1:10" x14ac:dyDescent="0.3">
      <c r="A723">
        <v>51016777</v>
      </c>
      <c r="B723">
        <v>68</v>
      </c>
      <c r="C723">
        <v>13</v>
      </c>
      <c r="D723">
        <v>3</v>
      </c>
      <c r="E723" s="21">
        <f>D723/PARAMS_MODELO!$B$28</f>
        <v>0.1</v>
      </c>
      <c r="F723">
        <v>61</v>
      </c>
      <c r="G723">
        <v>40</v>
      </c>
      <c r="H723">
        <v>12</v>
      </c>
      <c r="I723" s="20">
        <f t="shared" si="11"/>
        <v>0.3</v>
      </c>
      <c r="J723" s="21">
        <f>(IFERROR(_xlfn.PERCENTRANK.INC($B$2:$B$1194,B723)*100,0)*PARAMS_MODELO!$B$25)+(IFERROR(_xlfn.PERCENTRANK.INC($C$2:$C$1194,C723)*100,0)*PARAMS_MODELO!$B$26)+(IFERROR(_xlfn.PERCENTRANK.INC($E$2:$E$1194,E723)*100,0)*PARAMS_MODELO!$B$27)+(IFERROR(_xlfn.PERCENTRANK.INC($F$2:$F$1194,F723)*100,0)*PARAMS_MODELO!$B$29)+(IFERROR(_xlfn.PERCENTRANK.INC($I$2:$I$1194,I723)*100,0)*PARAMS_MODELO!$B$31)</f>
        <v>44.59</v>
      </c>
    </row>
    <row r="724" spans="1:10" x14ac:dyDescent="0.3">
      <c r="A724">
        <v>51056094</v>
      </c>
      <c r="B724">
        <v>34</v>
      </c>
      <c r="C724">
        <v>22</v>
      </c>
      <c r="D724">
        <v>29</v>
      </c>
      <c r="E724" s="21">
        <f>D724/PARAMS_MODELO!$B$28</f>
        <v>0.96666666666666667</v>
      </c>
      <c r="F724">
        <v>96</v>
      </c>
      <c r="G724">
        <v>13</v>
      </c>
      <c r="H724">
        <v>12</v>
      </c>
      <c r="I724" s="20">
        <f t="shared" si="11"/>
        <v>0.92307692307692313</v>
      </c>
      <c r="J724" s="21">
        <f>(IFERROR(_xlfn.PERCENTRANK.INC($B$2:$B$1194,B724)*100,0)*PARAMS_MODELO!$B$25)+(IFERROR(_xlfn.PERCENTRANK.INC($C$2:$C$1194,C724)*100,0)*PARAMS_MODELO!$B$26)+(IFERROR(_xlfn.PERCENTRANK.INC($E$2:$E$1194,E724)*100,0)*PARAMS_MODELO!$B$27)+(IFERROR(_xlfn.PERCENTRANK.INC($F$2:$F$1194,F724)*100,0)*PARAMS_MODELO!$B$29)+(IFERROR(_xlfn.PERCENTRANK.INC($I$2:$I$1194,I724)*100,0)*PARAMS_MODELO!$B$31)</f>
        <v>59.455000000000005</v>
      </c>
    </row>
    <row r="725" spans="1:10" x14ac:dyDescent="0.3">
      <c r="A725">
        <v>51018044</v>
      </c>
      <c r="B725">
        <v>67</v>
      </c>
      <c r="C725">
        <v>18</v>
      </c>
      <c r="D725">
        <v>67</v>
      </c>
      <c r="E725" s="21">
        <f>D725/PARAMS_MODELO!$B$28</f>
        <v>2.2333333333333334</v>
      </c>
      <c r="F725">
        <v>24</v>
      </c>
      <c r="G725">
        <v>64</v>
      </c>
      <c r="H725">
        <v>45</v>
      </c>
      <c r="I725" s="20">
        <f t="shared" si="11"/>
        <v>0.703125</v>
      </c>
      <c r="J725" s="21">
        <f>(IFERROR(_xlfn.PERCENTRANK.INC($B$2:$B$1194,B725)*100,0)*PARAMS_MODELO!$B$25)+(IFERROR(_xlfn.PERCENTRANK.INC($C$2:$C$1194,C725)*100,0)*PARAMS_MODELO!$B$26)+(IFERROR(_xlfn.PERCENTRANK.INC($E$2:$E$1194,E725)*100,0)*PARAMS_MODELO!$B$27)+(IFERROR(_xlfn.PERCENTRANK.INC($F$2:$F$1194,F725)*100,0)*PARAMS_MODELO!$B$29)+(IFERROR(_xlfn.PERCENTRANK.INC($I$2:$I$1194,I725)*100,0)*PARAMS_MODELO!$B$31)</f>
        <v>59.919999999999995</v>
      </c>
    </row>
    <row r="726" spans="1:10" x14ac:dyDescent="0.3">
      <c r="A726">
        <v>51031318</v>
      </c>
      <c r="B726">
        <v>51</v>
      </c>
      <c r="C726">
        <v>8</v>
      </c>
      <c r="D726">
        <v>68</v>
      </c>
      <c r="E726" s="21">
        <f>D726/PARAMS_MODELO!$B$28</f>
        <v>2.2666666666666666</v>
      </c>
      <c r="F726">
        <v>94</v>
      </c>
      <c r="G726">
        <v>39</v>
      </c>
      <c r="H726">
        <v>6</v>
      </c>
      <c r="I726" s="20">
        <f t="shared" si="11"/>
        <v>0.15384615384615385</v>
      </c>
      <c r="J726" s="21">
        <f>(IFERROR(_xlfn.PERCENTRANK.INC($B$2:$B$1194,B726)*100,0)*PARAMS_MODELO!$B$25)+(IFERROR(_xlfn.PERCENTRANK.INC($C$2:$C$1194,C726)*100,0)*PARAMS_MODELO!$B$26)+(IFERROR(_xlfn.PERCENTRANK.INC($E$2:$E$1194,E726)*100,0)*PARAMS_MODELO!$B$27)+(IFERROR(_xlfn.PERCENTRANK.INC($F$2:$F$1194,F726)*100,0)*PARAMS_MODELO!$B$29)+(IFERROR(_xlfn.PERCENTRANK.INC($I$2:$I$1194,I726)*100,0)*PARAMS_MODELO!$B$31)</f>
        <v>51.56</v>
      </c>
    </row>
    <row r="727" spans="1:10" x14ac:dyDescent="0.3">
      <c r="A727">
        <v>51031750</v>
      </c>
      <c r="B727">
        <v>27</v>
      </c>
      <c r="C727">
        <v>7</v>
      </c>
      <c r="D727">
        <v>78</v>
      </c>
      <c r="E727" s="21">
        <f>D727/PARAMS_MODELO!$B$28</f>
        <v>2.6</v>
      </c>
      <c r="F727">
        <v>62</v>
      </c>
      <c r="G727">
        <v>33</v>
      </c>
      <c r="H727">
        <v>18</v>
      </c>
      <c r="I727" s="20">
        <f t="shared" si="11"/>
        <v>0.54545454545454541</v>
      </c>
      <c r="J727" s="21">
        <f>(IFERROR(_xlfn.PERCENTRANK.INC($B$2:$B$1194,B727)*100,0)*PARAMS_MODELO!$B$25)+(IFERROR(_xlfn.PERCENTRANK.INC($C$2:$C$1194,C727)*100,0)*PARAMS_MODELO!$B$26)+(IFERROR(_xlfn.PERCENTRANK.INC($E$2:$E$1194,E727)*100,0)*PARAMS_MODELO!$B$27)+(IFERROR(_xlfn.PERCENTRANK.INC($F$2:$F$1194,F727)*100,0)*PARAMS_MODELO!$B$29)+(IFERROR(_xlfn.PERCENTRANK.INC($I$2:$I$1194,I727)*100,0)*PARAMS_MODELO!$B$31)</f>
        <v>44.68</v>
      </c>
    </row>
    <row r="728" spans="1:10" x14ac:dyDescent="0.3">
      <c r="A728">
        <v>51032063</v>
      </c>
      <c r="B728">
        <v>20</v>
      </c>
      <c r="C728">
        <v>8</v>
      </c>
      <c r="D728">
        <v>47</v>
      </c>
      <c r="E728" s="21">
        <f>D728/PARAMS_MODELO!$B$28</f>
        <v>1.5666666666666667</v>
      </c>
      <c r="F728">
        <v>100</v>
      </c>
      <c r="G728">
        <v>25</v>
      </c>
      <c r="H728">
        <v>12</v>
      </c>
      <c r="I728" s="20">
        <f t="shared" si="11"/>
        <v>0.48</v>
      </c>
      <c r="J728" s="21">
        <f>(IFERROR(_xlfn.PERCENTRANK.INC($B$2:$B$1194,B728)*100,0)*PARAMS_MODELO!$B$25)+(IFERROR(_xlfn.PERCENTRANK.INC($C$2:$C$1194,C728)*100,0)*PARAMS_MODELO!$B$26)+(IFERROR(_xlfn.PERCENTRANK.INC($E$2:$E$1194,E728)*100,0)*PARAMS_MODELO!$B$27)+(IFERROR(_xlfn.PERCENTRANK.INC($F$2:$F$1194,F728)*100,0)*PARAMS_MODELO!$B$29)+(IFERROR(_xlfn.PERCENTRANK.INC($I$2:$I$1194,I728)*100,0)*PARAMS_MODELO!$B$31)</f>
        <v>42.354999999999997</v>
      </c>
    </row>
    <row r="729" spans="1:10" x14ac:dyDescent="0.3">
      <c r="A729">
        <v>51029232</v>
      </c>
      <c r="B729">
        <v>77</v>
      </c>
      <c r="C729">
        <v>15</v>
      </c>
      <c r="D729">
        <v>52</v>
      </c>
      <c r="E729" s="21">
        <f>D729/PARAMS_MODELO!$B$28</f>
        <v>1.7333333333333334</v>
      </c>
      <c r="F729">
        <v>12</v>
      </c>
      <c r="G729">
        <v>68</v>
      </c>
      <c r="H729">
        <v>12</v>
      </c>
      <c r="I729" s="20">
        <f t="shared" si="11"/>
        <v>0.17647058823529413</v>
      </c>
      <c r="J729" s="21">
        <f>(IFERROR(_xlfn.PERCENTRANK.INC($B$2:$B$1194,B729)*100,0)*PARAMS_MODELO!$B$25)+(IFERROR(_xlfn.PERCENTRANK.INC($C$2:$C$1194,C729)*100,0)*PARAMS_MODELO!$B$26)+(IFERROR(_xlfn.PERCENTRANK.INC($E$2:$E$1194,E729)*100,0)*PARAMS_MODELO!$B$27)+(IFERROR(_xlfn.PERCENTRANK.INC($F$2:$F$1194,F729)*100,0)*PARAMS_MODELO!$B$29)+(IFERROR(_xlfn.PERCENTRANK.INC($I$2:$I$1194,I729)*100,0)*PARAMS_MODELO!$B$31)</f>
        <v>50.144999999999996</v>
      </c>
    </row>
    <row r="730" spans="1:10" x14ac:dyDescent="0.3">
      <c r="A730">
        <v>51035879</v>
      </c>
      <c r="B730">
        <v>46</v>
      </c>
      <c r="C730">
        <v>3</v>
      </c>
      <c r="D730">
        <v>60</v>
      </c>
      <c r="E730" s="21">
        <f>D730/PARAMS_MODELO!$B$28</f>
        <v>2</v>
      </c>
      <c r="F730">
        <v>24</v>
      </c>
      <c r="G730">
        <v>67</v>
      </c>
      <c r="H730">
        <v>52</v>
      </c>
      <c r="I730" s="20">
        <f t="shared" si="11"/>
        <v>0.77611940298507465</v>
      </c>
      <c r="J730" s="21">
        <f>(IFERROR(_xlfn.PERCENTRANK.INC($B$2:$B$1194,B730)*100,0)*PARAMS_MODELO!$B$25)+(IFERROR(_xlfn.PERCENTRANK.INC($C$2:$C$1194,C730)*100,0)*PARAMS_MODELO!$B$26)+(IFERROR(_xlfn.PERCENTRANK.INC($E$2:$E$1194,E730)*100,0)*PARAMS_MODELO!$B$27)+(IFERROR(_xlfn.PERCENTRANK.INC($F$2:$F$1194,F730)*100,0)*PARAMS_MODELO!$B$29)+(IFERROR(_xlfn.PERCENTRANK.INC($I$2:$I$1194,I730)*100,0)*PARAMS_MODELO!$B$31)</f>
        <v>39.480000000000004</v>
      </c>
    </row>
    <row r="731" spans="1:10" x14ac:dyDescent="0.3">
      <c r="A731">
        <v>51001044</v>
      </c>
      <c r="B731">
        <v>17</v>
      </c>
      <c r="C731">
        <v>1</v>
      </c>
      <c r="D731">
        <v>9</v>
      </c>
      <c r="E731" s="21">
        <f>D731/PARAMS_MODELO!$B$28</f>
        <v>0.3</v>
      </c>
      <c r="F731">
        <v>86</v>
      </c>
      <c r="G731">
        <v>51</v>
      </c>
      <c r="H731">
        <v>8</v>
      </c>
      <c r="I731" s="20">
        <f t="shared" si="11"/>
        <v>0.15686274509803921</v>
      </c>
      <c r="J731" s="21">
        <f>(IFERROR(_xlfn.PERCENTRANK.INC($B$2:$B$1194,B731)*100,0)*PARAMS_MODELO!$B$25)+(IFERROR(_xlfn.PERCENTRANK.INC($C$2:$C$1194,C731)*100,0)*PARAMS_MODELO!$B$26)+(IFERROR(_xlfn.PERCENTRANK.INC($E$2:$E$1194,E731)*100,0)*PARAMS_MODELO!$B$27)+(IFERROR(_xlfn.PERCENTRANK.INC($F$2:$F$1194,F731)*100,0)*PARAMS_MODELO!$B$29)+(IFERROR(_xlfn.PERCENTRANK.INC($I$2:$I$1194,I731)*100,0)*PARAMS_MODELO!$B$31)</f>
        <v>22.235000000000003</v>
      </c>
    </row>
    <row r="732" spans="1:10" x14ac:dyDescent="0.3">
      <c r="A732">
        <v>51028929</v>
      </c>
      <c r="B732">
        <v>59</v>
      </c>
      <c r="C732">
        <v>16</v>
      </c>
      <c r="D732">
        <v>69</v>
      </c>
      <c r="E732" s="21">
        <f>D732/PARAMS_MODELO!$B$28</f>
        <v>2.2999999999999998</v>
      </c>
      <c r="F732">
        <v>98</v>
      </c>
      <c r="G732">
        <v>22</v>
      </c>
      <c r="H732">
        <v>19</v>
      </c>
      <c r="I732" s="20">
        <f t="shared" si="11"/>
        <v>0.86363636363636365</v>
      </c>
      <c r="J732" s="21">
        <f>(IFERROR(_xlfn.PERCENTRANK.INC($B$2:$B$1194,B732)*100,0)*PARAMS_MODELO!$B$25)+(IFERROR(_xlfn.PERCENTRANK.INC($C$2:$C$1194,C732)*100,0)*PARAMS_MODELO!$B$26)+(IFERROR(_xlfn.PERCENTRANK.INC($E$2:$E$1194,E732)*100,0)*PARAMS_MODELO!$B$27)+(IFERROR(_xlfn.PERCENTRANK.INC($F$2:$F$1194,F732)*100,0)*PARAMS_MODELO!$B$29)+(IFERROR(_xlfn.PERCENTRANK.INC($I$2:$I$1194,I732)*100,0)*PARAMS_MODELO!$B$31)</f>
        <v>68.66</v>
      </c>
    </row>
    <row r="733" spans="1:10" x14ac:dyDescent="0.3">
      <c r="A733">
        <v>51054873</v>
      </c>
      <c r="B733">
        <v>51</v>
      </c>
      <c r="C733">
        <v>0</v>
      </c>
      <c r="D733">
        <v>25</v>
      </c>
      <c r="E733" s="21">
        <f>D733/PARAMS_MODELO!$B$28</f>
        <v>0.83333333333333337</v>
      </c>
      <c r="F733">
        <v>100</v>
      </c>
      <c r="G733">
        <v>99</v>
      </c>
      <c r="H733">
        <v>63</v>
      </c>
      <c r="I733" s="20">
        <f t="shared" si="11"/>
        <v>0.63636363636363635</v>
      </c>
      <c r="J733" s="21">
        <f>(IFERROR(_xlfn.PERCENTRANK.INC($B$2:$B$1194,B733)*100,0)*PARAMS_MODELO!$B$25)+(IFERROR(_xlfn.PERCENTRANK.INC($C$2:$C$1194,C733)*100,0)*PARAMS_MODELO!$B$26)+(IFERROR(_xlfn.PERCENTRANK.INC($E$2:$E$1194,E733)*100,0)*PARAMS_MODELO!$B$27)+(IFERROR(_xlfn.PERCENTRANK.INC($F$2:$F$1194,F733)*100,0)*PARAMS_MODELO!$B$29)+(IFERROR(_xlfn.PERCENTRANK.INC($I$2:$I$1194,I733)*100,0)*PARAMS_MODELO!$B$31)</f>
        <v>41.15</v>
      </c>
    </row>
    <row r="734" spans="1:10" x14ac:dyDescent="0.3">
      <c r="A734">
        <v>51013913</v>
      </c>
      <c r="B734">
        <v>11</v>
      </c>
      <c r="C734">
        <v>3</v>
      </c>
      <c r="D734">
        <v>59</v>
      </c>
      <c r="E734" s="21">
        <f>D734/PARAMS_MODELO!$B$28</f>
        <v>1.9666666666666666</v>
      </c>
      <c r="F734">
        <v>13</v>
      </c>
      <c r="G734">
        <v>49</v>
      </c>
      <c r="H734">
        <v>24</v>
      </c>
      <c r="I734" s="20">
        <f t="shared" si="11"/>
        <v>0.48979591836734693</v>
      </c>
      <c r="J734" s="21">
        <f>(IFERROR(_xlfn.PERCENTRANK.INC($B$2:$B$1194,B734)*100,0)*PARAMS_MODELO!$B$25)+(IFERROR(_xlfn.PERCENTRANK.INC($C$2:$C$1194,C734)*100,0)*PARAMS_MODELO!$B$26)+(IFERROR(_xlfn.PERCENTRANK.INC($E$2:$E$1194,E734)*100,0)*PARAMS_MODELO!$B$27)+(IFERROR(_xlfn.PERCENTRANK.INC($F$2:$F$1194,F734)*100,0)*PARAMS_MODELO!$B$29)+(IFERROR(_xlfn.PERCENTRANK.INC($I$2:$I$1194,I734)*100,0)*PARAMS_MODELO!$B$31)</f>
        <v>24.61</v>
      </c>
    </row>
    <row r="735" spans="1:10" x14ac:dyDescent="0.3">
      <c r="A735">
        <v>51033302</v>
      </c>
      <c r="B735">
        <v>47</v>
      </c>
      <c r="C735">
        <v>10</v>
      </c>
      <c r="D735">
        <v>15</v>
      </c>
      <c r="E735" s="21">
        <f>D735/PARAMS_MODELO!$B$28</f>
        <v>0.5</v>
      </c>
      <c r="F735">
        <v>54</v>
      </c>
      <c r="G735">
        <v>45</v>
      </c>
      <c r="H735">
        <v>29</v>
      </c>
      <c r="I735" s="20">
        <f t="shared" si="11"/>
        <v>0.64444444444444449</v>
      </c>
      <c r="J735" s="21">
        <f>(IFERROR(_xlfn.PERCENTRANK.INC($B$2:$B$1194,B735)*100,0)*PARAMS_MODELO!$B$25)+(IFERROR(_xlfn.PERCENTRANK.INC($C$2:$C$1194,C735)*100,0)*PARAMS_MODELO!$B$26)+(IFERROR(_xlfn.PERCENTRANK.INC($E$2:$E$1194,E735)*100,0)*PARAMS_MODELO!$B$27)+(IFERROR(_xlfn.PERCENTRANK.INC($F$2:$F$1194,F735)*100,0)*PARAMS_MODELO!$B$29)+(IFERROR(_xlfn.PERCENTRANK.INC($I$2:$I$1194,I735)*100,0)*PARAMS_MODELO!$B$31)</f>
        <v>40.365000000000002</v>
      </c>
    </row>
    <row r="736" spans="1:10" x14ac:dyDescent="0.3">
      <c r="A736">
        <v>51054806</v>
      </c>
      <c r="B736">
        <v>50</v>
      </c>
      <c r="C736">
        <v>8</v>
      </c>
      <c r="D736">
        <v>89</v>
      </c>
      <c r="E736" s="21">
        <f>D736/PARAMS_MODELO!$B$28</f>
        <v>2.9666666666666668</v>
      </c>
      <c r="F736">
        <v>77</v>
      </c>
      <c r="G736">
        <v>59</v>
      </c>
      <c r="H736">
        <v>55</v>
      </c>
      <c r="I736" s="20">
        <f t="shared" si="11"/>
        <v>0.93220338983050843</v>
      </c>
      <c r="J736" s="21">
        <f>(IFERROR(_xlfn.PERCENTRANK.INC($B$2:$B$1194,B736)*100,0)*PARAMS_MODELO!$B$25)+(IFERROR(_xlfn.PERCENTRANK.INC($C$2:$C$1194,C736)*100,0)*PARAMS_MODELO!$B$26)+(IFERROR(_xlfn.PERCENTRANK.INC($E$2:$E$1194,E736)*100,0)*PARAMS_MODELO!$B$27)+(IFERROR(_xlfn.PERCENTRANK.INC($F$2:$F$1194,F736)*100,0)*PARAMS_MODELO!$B$29)+(IFERROR(_xlfn.PERCENTRANK.INC($I$2:$I$1194,I736)*100,0)*PARAMS_MODELO!$B$31)</f>
        <v>60.645000000000003</v>
      </c>
    </row>
    <row r="737" spans="1:10" x14ac:dyDescent="0.3">
      <c r="A737">
        <v>51030567</v>
      </c>
      <c r="B737">
        <v>69</v>
      </c>
      <c r="C737">
        <v>15</v>
      </c>
      <c r="D737">
        <v>30</v>
      </c>
      <c r="E737" s="21">
        <f>D737/PARAMS_MODELO!$B$28</f>
        <v>1</v>
      </c>
      <c r="F737">
        <v>79</v>
      </c>
      <c r="G737">
        <v>31</v>
      </c>
      <c r="H737">
        <v>0</v>
      </c>
      <c r="I737" s="20">
        <f t="shared" si="11"/>
        <v>0</v>
      </c>
      <c r="J737" s="21">
        <f>(IFERROR(_xlfn.PERCENTRANK.INC($B$2:$B$1194,B737)*100,0)*PARAMS_MODELO!$B$25)+(IFERROR(_xlfn.PERCENTRANK.INC($C$2:$C$1194,C737)*100,0)*PARAMS_MODELO!$B$26)+(IFERROR(_xlfn.PERCENTRANK.INC($E$2:$E$1194,E737)*100,0)*PARAMS_MODELO!$B$27)+(IFERROR(_xlfn.PERCENTRANK.INC($F$2:$F$1194,F737)*100,0)*PARAMS_MODELO!$B$29)+(IFERROR(_xlfn.PERCENTRANK.INC($I$2:$I$1194,I737)*100,0)*PARAMS_MODELO!$B$31)</f>
        <v>51.395000000000003</v>
      </c>
    </row>
    <row r="738" spans="1:10" x14ac:dyDescent="0.3">
      <c r="A738">
        <v>51014375</v>
      </c>
      <c r="B738">
        <v>60</v>
      </c>
      <c r="C738">
        <v>1</v>
      </c>
      <c r="D738">
        <v>36</v>
      </c>
      <c r="E738" s="21">
        <f>D738/PARAMS_MODELO!$B$28</f>
        <v>1.2</v>
      </c>
      <c r="F738">
        <v>64</v>
      </c>
      <c r="G738">
        <v>87</v>
      </c>
      <c r="H738">
        <v>79</v>
      </c>
      <c r="I738" s="20">
        <f t="shared" si="11"/>
        <v>0.90804597701149425</v>
      </c>
      <c r="J738" s="21">
        <f>(IFERROR(_xlfn.PERCENTRANK.INC($B$2:$B$1194,B738)*100,0)*PARAMS_MODELO!$B$25)+(IFERROR(_xlfn.PERCENTRANK.INC($C$2:$C$1194,C738)*100,0)*PARAMS_MODELO!$B$26)+(IFERROR(_xlfn.PERCENTRANK.INC($E$2:$E$1194,E738)*100,0)*PARAMS_MODELO!$B$27)+(IFERROR(_xlfn.PERCENTRANK.INC($F$2:$F$1194,F738)*100,0)*PARAMS_MODELO!$B$29)+(IFERROR(_xlfn.PERCENTRANK.INC($I$2:$I$1194,I738)*100,0)*PARAMS_MODELO!$B$31)</f>
        <v>44.015000000000001</v>
      </c>
    </row>
    <row r="739" spans="1:10" x14ac:dyDescent="0.3">
      <c r="A739">
        <v>51056337</v>
      </c>
      <c r="B739">
        <v>33</v>
      </c>
      <c r="C739">
        <v>22</v>
      </c>
      <c r="D739">
        <v>45</v>
      </c>
      <c r="E739" s="21">
        <f>D739/PARAMS_MODELO!$B$28</f>
        <v>1.5</v>
      </c>
      <c r="F739">
        <v>84</v>
      </c>
      <c r="G739">
        <v>54</v>
      </c>
      <c r="H739">
        <v>46</v>
      </c>
      <c r="I739" s="20">
        <f t="shared" si="11"/>
        <v>0.85185185185185186</v>
      </c>
      <c r="J739" s="21">
        <f>(IFERROR(_xlfn.PERCENTRANK.INC($B$2:$B$1194,B739)*100,0)*PARAMS_MODELO!$B$25)+(IFERROR(_xlfn.PERCENTRANK.INC($C$2:$C$1194,C739)*100,0)*PARAMS_MODELO!$B$26)+(IFERROR(_xlfn.PERCENTRANK.INC($E$2:$E$1194,E739)*100,0)*PARAMS_MODELO!$B$27)+(IFERROR(_xlfn.PERCENTRANK.INC($F$2:$F$1194,F739)*100,0)*PARAMS_MODELO!$B$29)+(IFERROR(_xlfn.PERCENTRANK.INC($I$2:$I$1194,I739)*100,0)*PARAMS_MODELO!$B$31)</f>
        <v>60.725000000000001</v>
      </c>
    </row>
    <row r="740" spans="1:10" x14ac:dyDescent="0.3">
      <c r="A740">
        <v>51054938</v>
      </c>
      <c r="B740">
        <v>2</v>
      </c>
      <c r="C740">
        <v>6</v>
      </c>
      <c r="D740">
        <v>45</v>
      </c>
      <c r="E740" s="21">
        <f>D740/PARAMS_MODELO!$B$28</f>
        <v>1.5</v>
      </c>
      <c r="F740">
        <v>40</v>
      </c>
      <c r="G740">
        <v>71</v>
      </c>
      <c r="H740">
        <v>68</v>
      </c>
      <c r="I740" s="20">
        <f t="shared" si="11"/>
        <v>0.95774647887323938</v>
      </c>
      <c r="J740" s="21">
        <f>(IFERROR(_xlfn.PERCENTRANK.INC($B$2:$B$1194,B740)*100,0)*PARAMS_MODELO!$B$25)+(IFERROR(_xlfn.PERCENTRANK.INC($C$2:$C$1194,C740)*100,0)*PARAMS_MODELO!$B$26)+(IFERROR(_xlfn.PERCENTRANK.INC($E$2:$E$1194,E740)*100,0)*PARAMS_MODELO!$B$27)+(IFERROR(_xlfn.PERCENTRANK.INC($F$2:$F$1194,F740)*100,0)*PARAMS_MODELO!$B$29)+(IFERROR(_xlfn.PERCENTRANK.INC($I$2:$I$1194,I740)*100,0)*PARAMS_MODELO!$B$31)</f>
        <v>30.635000000000005</v>
      </c>
    </row>
    <row r="741" spans="1:10" x14ac:dyDescent="0.3">
      <c r="A741">
        <v>51024834</v>
      </c>
      <c r="B741">
        <v>68</v>
      </c>
      <c r="C741">
        <v>9</v>
      </c>
      <c r="D741">
        <v>99</v>
      </c>
      <c r="E741" s="21">
        <f>D741/PARAMS_MODELO!$B$28</f>
        <v>3.3</v>
      </c>
      <c r="F741">
        <v>27</v>
      </c>
      <c r="G741">
        <v>16</v>
      </c>
      <c r="H741">
        <v>3</v>
      </c>
      <c r="I741" s="20">
        <f t="shared" si="11"/>
        <v>0.1875</v>
      </c>
      <c r="J741" s="21">
        <f>(IFERROR(_xlfn.PERCENTRANK.INC($B$2:$B$1194,B741)*100,0)*PARAMS_MODELO!$B$25)+(IFERROR(_xlfn.PERCENTRANK.INC($C$2:$C$1194,C741)*100,0)*PARAMS_MODELO!$B$26)+(IFERROR(_xlfn.PERCENTRANK.INC($E$2:$E$1194,E741)*100,0)*PARAMS_MODELO!$B$27)+(IFERROR(_xlfn.PERCENTRANK.INC($F$2:$F$1194,F741)*100,0)*PARAMS_MODELO!$B$29)+(IFERROR(_xlfn.PERCENTRANK.INC($I$2:$I$1194,I741)*100,0)*PARAMS_MODELO!$B$31)</f>
        <v>53.424999999999997</v>
      </c>
    </row>
    <row r="742" spans="1:10" x14ac:dyDescent="0.3">
      <c r="A742">
        <v>51016831</v>
      </c>
      <c r="B742">
        <v>54</v>
      </c>
      <c r="C742">
        <v>15</v>
      </c>
      <c r="D742">
        <v>31</v>
      </c>
      <c r="E742" s="21">
        <f>D742/PARAMS_MODELO!$B$28</f>
        <v>1.0333333333333334</v>
      </c>
      <c r="F742">
        <v>37</v>
      </c>
      <c r="G742">
        <v>27</v>
      </c>
      <c r="H742">
        <v>2</v>
      </c>
      <c r="I742" s="20">
        <f t="shared" si="11"/>
        <v>7.407407407407407E-2</v>
      </c>
      <c r="J742" s="21">
        <f>(IFERROR(_xlfn.PERCENTRANK.INC($B$2:$B$1194,B742)*100,0)*PARAMS_MODELO!$B$25)+(IFERROR(_xlfn.PERCENTRANK.INC($C$2:$C$1194,C742)*100,0)*PARAMS_MODELO!$B$26)+(IFERROR(_xlfn.PERCENTRANK.INC($E$2:$E$1194,E742)*100,0)*PARAMS_MODELO!$B$27)+(IFERROR(_xlfn.PERCENTRANK.INC($F$2:$F$1194,F742)*100,0)*PARAMS_MODELO!$B$29)+(IFERROR(_xlfn.PERCENTRANK.INC($I$2:$I$1194,I742)*100,0)*PARAMS_MODELO!$B$31)</f>
        <v>41.69</v>
      </c>
    </row>
    <row r="743" spans="1:10" x14ac:dyDescent="0.3">
      <c r="A743">
        <v>51023927</v>
      </c>
      <c r="B743">
        <v>18</v>
      </c>
      <c r="C743">
        <v>11</v>
      </c>
      <c r="D743">
        <v>44</v>
      </c>
      <c r="E743" s="21">
        <f>D743/PARAMS_MODELO!$B$28</f>
        <v>1.4666666666666666</v>
      </c>
      <c r="F743">
        <v>8</v>
      </c>
      <c r="G743">
        <v>29</v>
      </c>
      <c r="H743">
        <v>21</v>
      </c>
      <c r="I743" s="20">
        <f t="shared" si="11"/>
        <v>0.72413793103448276</v>
      </c>
      <c r="J743" s="21">
        <f>(IFERROR(_xlfn.PERCENTRANK.INC($B$2:$B$1194,B743)*100,0)*PARAMS_MODELO!$B$25)+(IFERROR(_xlfn.PERCENTRANK.INC($C$2:$C$1194,C743)*100,0)*PARAMS_MODELO!$B$26)+(IFERROR(_xlfn.PERCENTRANK.INC($E$2:$E$1194,E743)*100,0)*PARAMS_MODELO!$B$27)+(IFERROR(_xlfn.PERCENTRANK.INC($F$2:$F$1194,F743)*100,0)*PARAMS_MODELO!$B$29)+(IFERROR(_xlfn.PERCENTRANK.INC($I$2:$I$1194,I743)*100,0)*PARAMS_MODELO!$B$31)</f>
        <v>32.53</v>
      </c>
    </row>
    <row r="744" spans="1:10" x14ac:dyDescent="0.3">
      <c r="A744">
        <v>51020111</v>
      </c>
      <c r="B744">
        <v>89</v>
      </c>
      <c r="C744">
        <v>7</v>
      </c>
      <c r="D744">
        <v>81</v>
      </c>
      <c r="E744" s="21">
        <f>D744/PARAMS_MODELO!$B$28</f>
        <v>2.7</v>
      </c>
      <c r="F744">
        <v>80</v>
      </c>
      <c r="G744">
        <v>30</v>
      </c>
      <c r="H744">
        <v>5</v>
      </c>
      <c r="I744" s="20">
        <f t="shared" si="11"/>
        <v>0.16666666666666666</v>
      </c>
      <c r="J744" s="21">
        <f>(IFERROR(_xlfn.PERCENTRANK.INC($B$2:$B$1194,B744)*100,0)*PARAMS_MODELO!$B$25)+(IFERROR(_xlfn.PERCENTRANK.INC($C$2:$C$1194,C744)*100,0)*PARAMS_MODELO!$B$26)+(IFERROR(_xlfn.PERCENTRANK.INC($E$2:$E$1194,E744)*100,0)*PARAMS_MODELO!$B$27)+(IFERROR(_xlfn.PERCENTRANK.INC($F$2:$F$1194,F744)*100,0)*PARAMS_MODELO!$B$29)+(IFERROR(_xlfn.PERCENTRANK.INC($I$2:$I$1194,I744)*100,0)*PARAMS_MODELO!$B$31)</f>
        <v>62.600000000000009</v>
      </c>
    </row>
    <row r="745" spans="1:10" x14ac:dyDescent="0.3">
      <c r="A745">
        <v>51055250</v>
      </c>
      <c r="B745">
        <v>56</v>
      </c>
      <c r="C745">
        <v>25</v>
      </c>
      <c r="D745">
        <v>72</v>
      </c>
      <c r="E745" s="21">
        <f>D745/PARAMS_MODELO!$B$28</f>
        <v>2.4</v>
      </c>
      <c r="F745">
        <v>12</v>
      </c>
      <c r="G745">
        <v>16</v>
      </c>
      <c r="H745">
        <v>14</v>
      </c>
      <c r="I745" s="20">
        <f t="shared" si="11"/>
        <v>0.875</v>
      </c>
      <c r="J745" s="21">
        <f>(IFERROR(_xlfn.PERCENTRANK.INC($B$2:$B$1194,B745)*100,0)*PARAMS_MODELO!$B$25)+(IFERROR(_xlfn.PERCENTRANK.INC($C$2:$C$1194,C745)*100,0)*PARAMS_MODELO!$B$26)+(IFERROR(_xlfn.PERCENTRANK.INC($E$2:$E$1194,E745)*100,0)*PARAMS_MODELO!$B$27)+(IFERROR(_xlfn.PERCENTRANK.INC($F$2:$F$1194,F745)*100,0)*PARAMS_MODELO!$B$29)+(IFERROR(_xlfn.PERCENTRANK.INC($I$2:$I$1194,I745)*100,0)*PARAMS_MODELO!$B$31)</f>
        <v>64.914999999999992</v>
      </c>
    </row>
    <row r="746" spans="1:10" x14ac:dyDescent="0.3">
      <c r="A746">
        <v>51018036</v>
      </c>
      <c r="B746">
        <v>57</v>
      </c>
      <c r="C746">
        <v>24</v>
      </c>
      <c r="D746">
        <v>23</v>
      </c>
      <c r="E746" s="21">
        <f>D746/PARAMS_MODELO!$B$28</f>
        <v>0.76666666666666672</v>
      </c>
      <c r="F746">
        <v>44</v>
      </c>
      <c r="G746">
        <v>94</v>
      </c>
      <c r="H746">
        <v>50</v>
      </c>
      <c r="I746" s="20">
        <f t="shared" si="11"/>
        <v>0.53191489361702127</v>
      </c>
      <c r="J746" s="21">
        <f>(IFERROR(_xlfn.PERCENTRANK.INC($B$2:$B$1194,B746)*100,0)*PARAMS_MODELO!$B$25)+(IFERROR(_xlfn.PERCENTRANK.INC($C$2:$C$1194,C746)*100,0)*PARAMS_MODELO!$B$26)+(IFERROR(_xlfn.PERCENTRANK.INC($E$2:$E$1194,E746)*100,0)*PARAMS_MODELO!$B$27)+(IFERROR(_xlfn.PERCENTRANK.INC($F$2:$F$1194,F746)*100,0)*PARAMS_MODELO!$B$29)+(IFERROR(_xlfn.PERCENTRANK.INC($I$2:$I$1194,I746)*100,0)*PARAMS_MODELO!$B$31)</f>
        <v>55.745000000000005</v>
      </c>
    </row>
    <row r="747" spans="1:10" x14ac:dyDescent="0.3">
      <c r="A747">
        <v>51009797</v>
      </c>
      <c r="B747">
        <v>65</v>
      </c>
      <c r="C747">
        <v>23</v>
      </c>
      <c r="D747">
        <v>95</v>
      </c>
      <c r="E747" s="21">
        <f>D747/PARAMS_MODELO!$B$28</f>
        <v>3.1666666666666665</v>
      </c>
      <c r="F747">
        <v>79</v>
      </c>
      <c r="G747">
        <v>6</v>
      </c>
      <c r="H747">
        <v>0</v>
      </c>
      <c r="I747" s="20">
        <f t="shared" si="11"/>
        <v>0</v>
      </c>
      <c r="J747" s="21">
        <f>(IFERROR(_xlfn.PERCENTRANK.INC($B$2:$B$1194,B747)*100,0)*PARAMS_MODELO!$B$25)+(IFERROR(_xlfn.PERCENTRANK.INC($C$2:$C$1194,C747)*100,0)*PARAMS_MODELO!$B$26)+(IFERROR(_xlfn.PERCENTRANK.INC($E$2:$E$1194,E747)*100,0)*PARAMS_MODELO!$B$27)+(IFERROR(_xlfn.PERCENTRANK.INC($F$2:$F$1194,F747)*100,0)*PARAMS_MODELO!$B$29)+(IFERROR(_xlfn.PERCENTRANK.INC($I$2:$I$1194,I747)*100,0)*PARAMS_MODELO!$B$31)</f>
        <v>71.11</v>
      </c>
    </row>
    <row r="748" spans="1:10" x14ac:dyDescent="0.3">
      <c r="A748">
        <v>51041917</v>
      </c>
      <c r="B748">
        <v>77</v>
      </c>
      <c r="C748">
        <v>7</v>
      </c>
      <c r="D748">
        <v>63</v>
      </c>
      <c r="E748" s="21">
        <f>D748/PARAMS_MODELO!$B$28</f>
        <v>2.1</v>
      </c>
      <c r="F748">
        <v>23</v>
      </c>
      <c r="G748">
        <v>28</v>
      </c>
      <c r="H748">
        <v>14</v>
      </c>
      <c r="I748" s="20">
        <f t="shared" si="11"/>
        <v>0.5</v>
      </c>
      <c r="J748" s="21">
        <f>(IFERROR(_xlfn.PERCENTRANK.INC($B$2:$B$1194,B748)*100,0)*PARAMS_MODELO!$B$25)+(IFERROR(_xlfn.PERCENTRANK.INC($C$2:$C$1194,C748)*100,0)*PARAMS_MODELO!$B$26)+(IFERROR(_xlfn.PERCENTRANK.INC($E$2:$E$1194,E748)*100,0)*PARAMS_MODELO!$B$27)+(IFERROR(_xlfn.PERCENTRANK.INC($F$2:$F$1194,F748)*100,0)*PARAMS_MODELO!$B$29)+(IFERROR(_xlfn.PERCENTRANK.INC($I$2:$I$1194,I748)*100,0)*PARAMS_MODELO!$B$31)</f>
        <v>49.575000000000003</v>
      </c>
    </row>
    <row r="749" spans="1:10" x14ac:dyDescent="0.3">
      <c r="A749">
        <v>51017846</v>
      </c>
      <c r="B749">
        <v>92</v>
      </c>
      <c r="C749">
        <v>9</v>
      </c>
      <c r="D749">
        <v>54</v>
      </c>
      <c r="E749" s="21">
        <f>D749/PARAMS_MODELO!$B$28</f>
        <v>1.8</v>
      </c>
      <c r="F749">
        <v>32</v>
      </c>
      <c r="G749">
        <v>37</v>
      </c>
      <c r="H749">
        <v>1</v>
      </c>
      <c r="I749" s="20">
        <f t="shared" si="11"/>
        <v>2.7027027027027029E-2</v>
      </c>
      <c r="J749" s="21">
        <f>(IFERROR(_xlfn.PERCENTRANK.INC($B$2:$B$1194,B749)*100,0)*PARAMS_MODELO!$B$25)+(IFERROR(_xlfn.PERCENTRANK.INC($C$2:$C$1194,C749)*100,0)*PARAMS_MODELO!$B$26)+(IFERROR(_xlfn.PERCENTRANK.INC($E$2:$E$1194,E749)*100,0)*PARAMS_MODELO!$B$27)+(IFERROR(_xlfn.PERCENTRANK.INC($F$2:$F$1194,F749)*100,0)*PARAMS_MODELO!$B$29)+(IFERROR(_xlfn.PERCENTRANK.INC($I$2:$I$1194,I749)*100,0)*PARAMS_MODELO!$B$31)</f>
        <v>51.015000000000001</v>
      </c>
    </row>
    <row r="750" spans="1:10" x14ac:dyDescent="0.3">
      <c r="A750">
        <v>51015851</v>
      </c>
      <c r="B750">
        <v>64</v>
      </c>
      <c r="C750">
        <v>9</v>
      </c>
      <c r="D750">
        <v>14</v>
      </c>
      <c r="E750" s="21">
        <f>D750/PARAMS_MODELO!$B$28</f>
        <v>0.46666666666666667</v>
      </c>
      <c r="F750">
        <v>39</v>
      </c>
      <c r="G750">
        <v>8</v>
      </c>
      <c r="H750">
        <v>3</v>
      </c>
      <c r="I750" s="20">
        <f t="shared" si="11"/>
        <v>0.375</v>
      </c>
      <c r="J750" s="21">
        <f>(IFERROR(_xlfn.PERCENTRANK.INC($B$2:$B$1194,B750)*100,0)*PARAMS_MODELO!$B$25)+(IFERROR(_xlfn.PERCENTRANK.INC($C$2:$C$1194,C750)*100,0)*PARAMS_MODELO!$B$26)+(IFERROR(_xlfn.PERCENTRANK.INC($E$2:$E$1194,E750)*100,0)*PARAMS_MODELO!$B$27)+(IFERROR(_xlfn.PERCENTRANK.INC($F$2:$F$1194,F750)*100,0)*PARAMS_MODELO!$B$29)+(IFERROR(_xlfn.PERCENTRANK.INC($I$2:$I$1194,I750)*100,0)*PARAMS_MODELO!$B$31)</f>
        <v>39.204999999999998</v>
      </c>
    </row>
    <row r="751" spans="1:10" x14ac:dyDescent="0.3">
      <c r="A751">
        <v>51036603</v>
      </c>
      <c r="B751">
        <v>16</v>
      </c>
      <c r="C751">
        <v>11</v>
      </c>
      <c r="D751">
        <v>91</v>
      </c>
      <c r="E751" s="21">
        <f>D751/PARAMS_MODELO!$B$28</f>
        <v>3.0333333333333332</v>
      </c>
      <c r="F751">
        <v>68</v>
      </c>
      <c r="G751">
        <v>18</v>
      </c>
      <c r="H751">
        <v>6</v>
      </c>
      <c r="I751" s="20">
        <f t="shared" si="11"/>
        <v>0.33333333333333331</v>
      </c>
      <c r="J751" s="21">
        <f>(IFERROR(_xlfn.PERCENTRANK.INC($B$2:$B$1194,B751)*100,0)*PARAMS_MODELO!$B$25)+(IFERROR(_xlfn.PERCENTRANK.INC($C$2:$C$1194,C751)*100,0)*PARAMS_MODELO!$B$26)+(IFERROR(_xlfn.PERCENTRANK.INC($E$2:$E$1194,E751)*100,0)*PARAMS_MODELO!$B$27)+(IFERROR(_xlfn.PERCENTRANK.INC($F$2:$F$1194,F751)*100,0)*PARAMS_MODELO!$B$29)+(IFERROR(_xlfn.PERCENTRANK.INC($I$2:$I$1194,I751)*100,0)*PARAMS_MODELO!$B$31)</f>
        <v>46.23</v>
      </c>
    </row>
    <row r="752" spans="1:10" x14ac:dyDescent="0.3">
      <c r="A752">
        <v>51020910</v>
      </c>
      <c r="B752">
        <v>46</v>
      </c>
      <c r="C752">
        <v>25</v>
      </c>
      <c r="D752">
        <v>37</v>
      </c>
      <c r="E752" s="21">
        <f>D752/PARAMS_MODELO!$B$28</f>
        <v>1.2333333333333334</v>
      </c>
      <c r="F752">
        <v>78</v>
      </c>
      <c r="G752">
        <v>92</v>
      </c>
      <c r="H752">
        <v>30</v>
      </c>
      <c r="I752" s="20">
        <f t="shared" si="11"/>
        <v>0.32608695652173914</v>
      </c>
      <c r="J752" s="21">
        <f>(IFERROR(_xlfn.PERCENTRANK.INC($B$2:$B$1194,B752)*100,0)*PARAMS_MODELO!$B$25)+(IFERROR(_xlfn.PERCENTRANK.INC($C$2:$C$1194,C752)*100,0)*PARAMS_MODELO!$B$26)+(IFERROR(_xlfn.PERCENTRANK.INC($E$2:$E$1194,E752)*100,0)*PARAMS_MODELO!$B$27)+(IFERROR(_xlfn.PERCENTRANK.INC($F$2:$F$1194,F752)*100,0)*PARAMS_MODELO!$B$29)+(IFERROR(_xlfn.PERCENTRANK.INC($I$2:$I$1194,I752)*100,0)*PARAMS_MODELO!$B$31)</f>
        <v>59.714999999999996</v>
      </c>
    </row>
    <row r="753" spans="1:10" x14ac:dyDescent="0.3">
      <c r="A753">
        <v>51031326</v>
      </c>
      <c r="B753">
        <v>21</v>
      </c>
      <c r="C753">
        <v>6</v>
      </c>
      <c r="D753">
        <v>88</v>
      </c>
      <c r="E753" s="21">
        <f>D753/PARAMS_MODELO!$B$28</f>
        <v>2.9333333333333331</v>
      </c>
      <c r="F753">
        <v>78</v>
      </c>
      <c r="G753">
        <v>92</v>
      </c>
      <c r="H753">
        <v>40</v>
      </c>
      <c r="I753" s="20">
        <f t="shared" si="11"/>
        <v>0.43478260869565216</v>
      </c>
      <c r="J753" s="21">
        <f>(IFERROR(_xlfn.PERCENTRANK.INC($B$2:$B$1194,B753)*100,0)*PARAMS_MODELO!$B$25)+(IFERROR(_xlfn.PERCENTRANK.INC($C$2:$C$1194,C753)*100,0)*PARAMS_MODELO!$B$26)+(IFERROR(_xlfn.PERCENTRANK.INC($E$2:$E$1194,E753)*100,0)*PARAMS_MODELO!$B$27)+(IFERROR(_xlfn.PERCENTRANK.INC($F$2:$F$1194,F753)*100,0)*PARAMS_MODELO!$B$29)+(IFERROR(_xlfn.PERCENTRANK.INC($I$2:$I$1194,I753)*100,0)*PARAMS_MODELO!$B$31)</f>
        <v>45.199999999999996</v>
      </c>
    </row>
    <row r="754" spans="1:10" x14ac:dyDescent="0.3">
      <c r="A754">
        <v>51033604</v>
      </c>
      <c r="B754">
        <v>81</v>
      </c>
      <c r="C754">
        <v>6</v>
      </c>
      <c r="D754">
        <v>21</v>
      </c>
      <c r="E754" s="21">
        <f>D754/PARAMS_MODELO!$B$28</f>
        <v>0.7</v>
      </c>
      <c r="F754">
        <v>13</v>
      </c>
      <c r="G754">
        <v>44</v>
      </c>
      <c r="H754">
        <v>40</v>
      </c>
      <c r="I754" s="20">
        <f t="shared" si="11"/>
        <v>0.90909090909090906</v>
      </c>
      <c r="J754" s="21">
        <f>(IFERROR(_xlfn.PERCENTRANK.INC($B$2:$B$1194,B754)*100,0)*PARAMS_MODELO!$B$25)+(IFERROR(_xlfn.PERCENTRANK.INC($C$2:$C$1194,C754)*100,0)*PARAMS_MODELO!$B$26)+(IFERROR(_xlfn.PERCENTRANK.INC($E$2:$E$1194,E754)*100,0)*PARAMS_MODELO!$B$27)+(IFERROR(_xlfn.PERCENTRANK.INC($F$2:$F$1194,F754)*100,0)*PARAMS_MODELO!$B$29)+(IFERROR(_xlfn.PERCENTRANK.INC($I$2:$I$1194,I754)*100,0)*PARAMS_MODELO!$B$31)</f>
        <v>44.314999999999998</v>
      </c>
    </row>
    <row r="755" spans="1:10" x14ac:dyDescent="0.3">
      <c r="A755">
        <v>51026217</v>
      </c>
      <c r="B755">
        <v>21</v>
      </c>
      <c r="C755">
        <v>24</v>
      </c>
      <c r="D755">
        <v>28</v>
      </c>
      <c r="E755" s="21">
        <f>D755/PARAMS_MODELO!$B$28</f>
        <v>0.93333333333333335</v>
      </c>
      <c r="F755">
        <v>44</v>
      </c>
      <c r="G755">
        <v>89</v>
      </c>
      <c r="H755">
        <v>13</v>
      </c>
      <c r="I755" s="20">
        <f t="shared" si="11"/>
        <v>0.14606741573033707</v>
      </c>
      <c r="J755" s="21">
        <f>(IFERROR(_xlfn.PERCENTRANK.INC($B$2:$B$1194,B755)*100,0)*PARAMS_MODELO!$B$25)+(IFERROR(_xlfn.PERCENTRANK.INC($C$2:$C$1194,C755)*100,0)*PARAMS_MODELO!$B$26)+(IFERROR(_xlfn.PERCENTRANK.INC($E$2:$E$1194,E755)*100,0)*PARAMS_MODELO!$B$27)+(IFERROR(_xlfn.PERCENTRANK.INC($F$2:$F$1194,F755)*100,0)*PARAMS_MODELO!$B$29)+(IFERROR(_xlfn.PERCENTRANK.INC($I$2:$I$1194,I755)*100,0)*PARAMS_MODELO!$B$31)</f>
        <v>42.375</v>
      </c>
    </row>
    <row r="756" spans="1:10" x14ac:dyDescent="0.3">
      <c r="A756">
        <v>51039165</v>
      </c>
      <c r="B756">
        <v>7</v>
      </c>
      <c r="C756">
        <v>14</v>
      </c>
      <c r="D756">
        <v>97</v>
      </c>
      <c r="E756" s="21">
        <f>D756/PARAMS_MODELO!$B$28</f>
        <v>3.2333333333333334</v>
      </c>
      <c r="F756">
        <v>96</v>
      </c>
      <c r="G756">
        <v>84</v>
      </c>
      <c r="H756">
        <v>15</v>
      </c>
      <c r="I756" s="20">
        <f t="shared" si="11"/>
        <v>0.17857142857142858</v>
      </c>
      <c r="J756" s="21">
        <f>(IFERROR(_xlfn.PERCENTRANK.INC($B$2:$B$1194,B756)*100,0)*PARAMS_MODELO!$B$25)+(IFERROR(_xlfn.PERCENTRANK.INC($C$2:$C$1194,C756)*100,0)*PARAMS_MODELO!$B$26)+(IFERROR(_xlfn.PERCENTRANK.INC($E$2:$E$1194,E756)*100,0)*PARAMS_MODELO!$B$27)+(IFERROR(_xlfn.PERCENTRANK.INC($F$2:$F$1194,F756)*100,0)*PARAMS_MODELO!$B$29)+(IFERROR(_xlfn.PERCENTRANK.INC($I$2:$I$1194,I756)*100,0)*PARAMS_MODELO!$B$31)</f>
        <v>50.314999999999998</v>
      </c>
    </row>
    <row r="757" spans="1:10" x14ac:dyDescent="0.3">
      <c r="A757">
        <v>51006844</v>
      </c>
      <c r="B757">
        <v>52</v>
      </c>
      <c r="C757">
        <v>15</v>
      </c>
      <c r="D757">
        <v>41</v>
      </c>
      <c r="E757" s="21">
        <f>D757/PARAMS_MODELO!$B$28</f>
        <v>1.3666666666666667</v>
      </c>
      <c r="F757">
        <v>73</v>
      </c>
      <c r="G757">
        <v>100</v>
      </c>
      <c r="H757">
        <v>65</v>
      </c>
      <c r="I757" s="20">
        <f t="shared" si="11"/>
        <v>0.65</v>
      </c>
      <c r="J757" s="21">
        <f>(IFERROR(_xlfn.PERCENTRANK.INC($B$2:$B$1194,B757)*100,0)*PARAMS_MODELO!$B$25)+(IFERROR(_xlfn.PERCENTRANK.INC($C$2:$C$1194,C757)*100,0)*PARAMS_MODELO!$B$26)+(IFERROR(_xlfn.PERCENTRANK.INC($E$2:$E$1194,E757)*100,0)*PARAMS_MODELO!$B$27)+(IFERROR(_xlfn.PERCENTRANK.INC($F$2:$F$1194,F757)*100,0)*PARAMS_MODELO!$B$29)+(IFERROR(_xlfn.PERCENTRANK.INC($I$2:$I$1194,I757)*100,0)*PARAMS_MODELO!$B$31)</f>
        <v>54.325000000000003</v>
      </c>
    </row>
    <row r="758" spans="1:10" x14ac:dyDescent="0.3">
      <c r="A758">
        <v>51020995</v>
      </c>
      <c r="B758">
        <v>73</v>
      </c>
      <c r="C758">
        <v>25</v>
      </c>
      <c r="D758">
        <v>17</v>
      </c>
      <c r="E758" s="21">
        <f>D758/PARAMS_MODELO!$B$28</f>
        <v>0.56666666666666665</v>
      </c>
      <c r="F758">
        <v>16</v>
      </c>
      <c r="G758">
        <v>39</v>
      </c>
      <c r="H758">
        <v>3</v>
      </c>
      <c r="I758" s="20">
        <f t="shared" si="11"/>
        <v>7.6923076923076927E-2</v>
      </c>
      <c r="J758" s="21">
        <f>(IFERROR(_xlfn.PERCENTRANK.INC($B$2:$B$1194,B758)*100,0)*PARAMS_MODELO!$B$25)+(IFERROR(_xlfn.PERCENTRANK.INC($C$2:$C$1194,C758)*100,0)*PARAMS_MODELO!$B$26)+(IFERROR(_xlfn.PERCENTRANK.INC($E$2:$E$1194,E758)*100,0)*PARAMS_MODELO!$B$27)+(IFERROR(_xlfn.PERCENTRANK.INC($F$2:$F$1194,F758)*100,0)*PARAMS_MODELO!$B$29)+(IFERROR(_xlfn.PERCENTRANK.INC($I$2:$I$1194,I758)*100,0)*PARAMS_MODELO!$B$31)</f>
        <v>51.854999999999997</v>
      </c>
    </row>
    <row r="759" spans="1:10" x14ac:dyDescent="0.3">
      <c r="A759">
        <v>51023251</v>
      </c>
      <c r="B759">
        <v>80</v>
      </c>
      <c r="C759">
        <v>18</v>
      </c>
      <c r="D759">
        <v>99</v>
      </c>
      <c r="E759" s="21">
        <f>D759/PARAMS_MODELO!$B$28</f>
        <v>3.3</v>
      </c>
      <c r="F759">
        <v>72</v>
      </c>
      <c r="G759">
        <v>35</v>
      </c>
      <c r="H759">
        <v>1</v>
      </c>
      <c r="I759" s="20">
        <f t="shared" si="11"/>
        <v>2.8571428571428571E-2</v>
      </c>
      <c r="J759" s="21">
        <f>(IFERROR(_xlfn.PERCENTRANK.INC($B$2:$B$1194,B759)*100,0)*PARAMS_MODELO!$B$25)+(IFERROR(_xlfn.PERCENTRANK.INC($C$2:$C$1194,C759)*100,0)*PARAMS_MODELO!$B$26)+(IFERROR(_xlfn.PERCENTRANK.INC($E$2:$E$1194,E759)*100,0)*PARAMS_MODELO!$B$27)+(IFERROR(_xlfn.PERCENTRANK.INC($F$2:$F$1194,F759)*100,0)*PARAMS_MODELO!$B$29)+(IFERROR(_xlfn.PERCENTRANK.INC($I$2:$I$1194,I759)*100,0)*PARAMS_MODELO!$B$31)</f>
        <v>71.11</v>
      </c>
    </row>
    <row r="760" spans="1:10" x14ac:dyDescent="0.3">
      <c r="A760">
        <v>51010205</v>
      </c>
      <c r="B760">
        <v>21</v>
      </c>
      <c r="C760">
        <v>4</v>
      </c>
      <c r="D760">
        <v>46</v>
      </c>
      <c r="E760" s="21">
        <f>D760/PARAMS_MODELO!$B$28</f>
        <v>1.5333333333333334</v>
      </c>
      <c r="F760">
        <v>74</v>
      </c>
      <c r="G760">
        <v>29</v>
      </c>
      <c r="H760">
        <v>26</v>
      </c>
      <c r="I760" s="20">
        <f t="shared" si="11"/>
        <v>0.89655172413793105</v>
      </c>
      <c r="J760" s="21">
        <f>(IFERROR(_xlfn.PERCENTRANK.INC($B$2:$B$1194,B760)*100,0)*PARAMS_MODELO!$B$25)+(IFERROR(_xlfn.PERCENTRANK.INC($C$2:$C$1194,C760)*100,0)*PARAMS_MODELO!$B$26)+(IFERROR(_xlfn.PERCENTRANK.INC($E$2:$E$1194,E760)*100,0)*PARAMS_MODELO!$B$27)+(IFERROR(_xlfn.PERCENTRANK.INC($F$2:$F$1194,F760)*100,0)*PARAMS_MODELO!$B$29)+(IFERROR(_xlfn.PERCENTRANK.INC($I$2:$I$1194,I760)*100,0)*PARAMS_MODELO!$B$31)</f>
        <v>39.195</v>
      </c>
    </row>
    <row r="761" spans="1:10" x14ac:dyDescent="0.3">
      <c r="A761">
        <v>51056922</v>
      </c>
      <c r="B761">
        <v>16</v>
      </c>
      <c r="C761">
        <v>9</v>
      </c>
      <c r="D761">
        <v>89</v>
      </c>
      <c r="E761" s="21">
        <f>D761/PARAMS_MODELO!$B$28</f>
        <v>2.9666666666666668</v>
      </c>
      <c r="F761">
        <v>70</v>
      </c>
      <c r="G761">
        <v>0</v>
      </c>
      <c r="H761">
        <v>0</v>
      </c>
      <c r="I761" s="20">
        <f t="shared" si="11"/>
        <v>0</v>
      </c>
      <c r="J761" s="21">
        <f>(IFERROR(_xlfn.PERCENTRANK.INC($B$2:$B$1194,B761)*100,0)*PARAMS_MODELO!$B$25)+(IFERROR(_xlfn.PERCENTRANK.INC($C$2:$C$1194,C761)*100,0)*PARAMS_MODELO!$B$26)+(IFERROR(_xlfn.PERCENTRANK.INC($E$2:$E$1194,E761)*100,0)*PARAMS_MODELO!$B$27)+(IFERROR(_xlfn.PERCENTRANK.INC($F$2:$F$1194,F761)*100,0)*PARAMS_MODELO!$B$29)+(IFERROR(_xlfn.PERCENTRANK.INC($I$2:$I$1194,I761)*100,0)*PARAMS_MODELO!$B$31)</f>
        <v>40.894999999999996</v>
      </c>
    </row>
    <row r="762" spans="1:10" x14ac:dyDescent="0.3">
      <c r="A762">
        <v>51056299</v>
      </c>
      <c r="B762">
        <v>44</v>
      </c>
      <c r="C762">
        <v>24</v>
      </c>
      <c r="D762">
        <v>18</v>
      </c>
      <c r="E762" s="21">
        <f>D762/PARAMS_MODELO!$B$28</f>
        <v>0.6</v>
      </c>
      <c r="F762">
        <v>77</v>
      </c>
      <c r="G762">
        <v>62</v>
      </c>
      <c r="H762">
        <v>43</v>
      </c>
      <c r="I762" s="20">
        <f t="shared" si="11"/>
        <v>0.69354838709677424</v>
      </c>
      <c r="J762" s="21">
        <f>(IFERROR(_xlfn.PERCENTRANK.INC($B$2:$B$1194,B762)*100,0)*PARAMS_MODELO!$B$25)+(IFERROR(_xlfn.PERCENTRANK.INC($C$2:$C$1194,C762)*100,0)*PARAMS_MODELO!$B$26)+(IFERROR(_xlfn.PERCENTRANK.INC($E$2:$E$1194,E762)*100,0)*PARAMS_MODELO!$B$27)+(IFERROR(_xlfn.PERCENTRANK.INC($F$2:$F$1194,F762)*100,0)*PARAMS_MODELO!$B$29)+(IFERROR(_xlfn.PERCENTRANK.INC($I$2:$I$1194,I762)*100,0)*PARAMS_MODELO!$B$31)</f>
        <v>57.835000000000008</v>
      </c>
    </row>
    <row r="763" spans="1:10" x14ac:dyDescent="0.3">
      <c r="A763">
        <v>51010175</v>
      </c>
      <c r="B763">
        <v>20</v>
      </c>
      <c r="C763">
        <v>0</v>
      </c>
      <c r="D763">
        <v>3</v>
      </c>
      <c r="E763" s="21">
        <f>D763/PARAMS_MODELO!$B$28</f>
        <v>0.1</v>
      </c>
      <c r="F763">
        <v>78</v>
      </c>
      <c r="G763">
        <v>49</v>
      </c>
      <c r="H763">
        <v>40</v>
      </c>
      <c r="I763" s="20">
        <f t="shared" si="11"/>
        <v>0.81632653061224492</v>
      </c>
      <c r="J763" s="21">
        <f>(IFERROR(_xlfn.PERCENTRANK.INC($B$2:$B$1194,B763)*100,0)*PARAMS_MODELO!$B$25)+(IFERROR(_xlfn.PERCENTRANK.INC($C$2:$C$1194,C763)*100,0)*PARAMS_MODELO!$B$26)+(IFERROR(_xlfn.PERCENTRANK.INC($E$2:$E$1194,E763)*100,0)*PARAMS_MODELO!$B$27)+(IFERROR(_xlfn.PERCENTRANK.INC($F$2:$F$1194,F763)*100,0)*PARAMS_MODELO!$B$29)+(IFERROR(_xlfn.PERCENTRANK.INC($I$2:$I$1194,I763)*100,0)*PARAMS_MODELO!$B$31)</f>
        <v>26.484999999999999</v>
      </c>
    </row>
    <row r="764" spans="1:10" x14ac:dyDescent="0.3">
      <c r="A764">
        <v>51015355</v>
      </c>
      <c r="B764">
        <v>89</v>
      </c>
      <c r="C764">
        <v>19</v>
      </c>
      <c r="D764">
        <v>59</v>
      </c>
      <c r="E764" s="21">
        <f>D764/PARAMS_MODELO!$B$28</f>
        <v>1.9666666666666666</v>
      </c>
      <c r="F764">
        <v>18</v>
      </c>
      <c r="G764">
        <v>72</v>
      </c>
      <c r="H764">
        <v>11</v>
      </c>
      <c r="I764" s="20">
        <f t="shared" si="11"/>
        <v>0.15277777777777779</v>
      </c>
      <c r="J764" s="21">
        <f>(IFERROR(_xlfn.PERCENTRANK.INC($B$2:$B$1194,B764)*100,0)*PARAMS_MODELO!$B$25)+(IFERROR(_xlfn.PERCENTRANK.INC($C$2:$C$1194,C764)*100,0)*PARAMS_MODELO!$B$26)+(IFERROR(_xlfn.PERCENTRANK.INC($E$2:$E$1194,E764)*100,0)*PARAMS_MODELO!$B$27)+(IFERROR(_xlfn.PERCENTRANK.INC($F$2:$F$1194,F764)*100,0)*PARAMS_MODELO!$B$29)+(IFERROR(_xlfn.PERCENTRANK.INC($I$2:$I$1194,I764)*100,0)*PARAMS_MODELO!$B$31)</f>
        <v>59.654999999999994</v>
      </c>
    </row>
    <row r="765" spans="1:10" x14ac:dyDescent="0.3">
      <c r="A765">
        <v>51010191</v>
      </c>
      <c r="B765">
        <v>17</v>
      </c>
      <c r="C765">
        <v>24</v>
      </c>
      <c r="D765">
        <v>10</v>
      </c>
      <c r="E765" s="21">
        <f>D765/PARAMS_MODELO!$B$28</f>
        <v>0.33333333333333331</v>
      </c>
      <c r="F765">
        <v>52</v>
      </c>
      <c r="G765">
        <v>91</v>
      </c>
      <c r="H765">
        <v>71</v>
      </c>
      <c r="I765" s="20">
        <f t="shared" si="11"/>
        <v>0.78021978021978022</v>
      </c>
      <c r="J765" s="21">
        <f>(IFERROR(_xlfn.PERCENTRANK.INC($B$2:$B$1194,B765)*100,0)*PARAMS_MODELO!$B$25)+(IFERROR(_xlfn.PERCENTRANK.INC($C$2:$C$1194,C765)*100,0)*PARAMS_MODELO!$B$26)+(IFERROR(_xlfn.PERCENTRANK.INC($E$2:$E$1194,E765)*100,0)*PARAMS_MODELO!$B$27)+(IFERROR(_xlfn.PERCENTRANK.INC($F$2:$F$1194,F765)*100,0)*PARAMS_MODELO!$B$29)+(IFERROR(_xlfn.PERCENTRANK.INC($I$2:$I$1194,I765)*100,0)*PARAMS_MODELO!$B$31)</f>
        <v>45.28</v>
      </c>
    </row>
    <row r="766" spans="1:10" x14ac:dyDescent="0.3">
      <c r="A766">
        <v>51013051</v>
      </c>
      <c r="B766">
        <v>69</v>
      </c>
      <c r="C766">
        <v>0</v>
      </c>
      <c r="D766">
        <v>41</v>
      </c>
      <c r="E766" s="21">
        <f>D766/PARAMS_MODELO!$B$28</f>
        <v>1.3666666666666667</v>
      </c>
      <c r="F766">
        <v>98</v>
      </c>
      <c r="G766">
        <v>86</v>
      </c>
      <c r="H766">
        <v>66</v>
      </c>
      <c r="I766" s="20">
        <f t="shared" si="11"/>
        <v>0.76744186046511631</v>
      </c>
      <c r="J766" s="21">
        <f>(IFERROR(_xlfn.PERCENTRANK.INC($B$2:$B$1194,B766)*100,0)*PARAMS_MODELO!$B$25)+(IFERROR(_xlfn.PERCENTRANK.INC($C$2:$C$1194,C766)*100,0)*PARAMS_MODELO!$B$26)+(IFERROR(_xlfn.PERCENTRANK.INC($E$2:$E$1194,E766)*100,0)*PARAMS_MODELO!$B$27)+(IFERROR(_xlfn.PERCENTRANK.INC($F$2:$F$1194,F766)*100,0)*PARAMS_MODELO!$B$29)+(IFERROR(_xlfn.PERCENTRANK.INC($I$2:$I$1194,I766)*100,0)*PARAMS_MODELO!$B$31)</f>
        <v>50.695</v>
      </c>
    </row>
    <row r="767" spans="1:10" x14ac:dyDescent="0.3">
      <c r="A767">
        <v>51032632</v>
      </c>
      <c r="B767">
        <v>40</v>
      </c>
      <c r="C767">
        <v>8</v>
      </c>
      <c r="D767">
        <v>52</v>
      </c>
      <c r="E767" s="21">
        <f>D767/PARAMS_MODELO!$B$28</f>
        <v>1.7333333333333334</v>
      </c>
      <c r="F767">
        <v>47</v>
      </c>
      <c r="G767">
        <v>100</v>
      </c>
      <c r="H767">
        <v>95</v>
      </c>
      <c r="I767" s="20">
        <f t="shared" si="11"/>
        <v>0.95</v>
      </c>
      <c r="J767" s="21">
        <f>(IFERROR(_xlfn.PERCENTRANK.INC($B$2:$B$1194,B767)*100,0)*PARAMS_MODELO!$B$25)+(IFERROR(_xlfn.PERCENTRANK.INC($C$2:$C$1194,C767)*100,0)*PARAMS_MODELO!$B$26)+(IFERROR(_xlfn.PERCENTRANK.INC($E$2:$E$1194,E767)*100,0)*PARAMS_MODELO!$B$27)+(IFERROR(_xlfn.PERCENTRANK.INC($F$2:$F$1194,F767)*100,0)*PARAMS_MODELO!$B$29)+(IFERROR(_xlfn.PERCENTRANK.INC($I$2:$I$1194,I767)*100,0)*PARAMS_MODELO!$B$31)</f>
        <v>45.895000000000003</v>
      </c>
    </row>
    <row r="768" spans="1:10" x14ac:dyDescent="0.3">
      <c r="A768">
        <v>51026322</v>
      </c>
      <c r="B768">
        <v>43</v>
      </c>
      <c r="C768">
        <v>24</v>
      </c>
      <c r="D768">
        <v>8</v>
      </c>
      <c r="E768" s="21">
        <f>D768/PARAMS_MODELO!$B$28</f>
        <v>0.26666666666666666</v>
      </c>
      <c r="F768">
        <v>3</v>
      </c>
      <c r="G768">
        <v>19</v>
      </c>
      <c r="H768">
        <v>16</v>
      </c>
      <c r="I768" s="20">
        <f t="shared" si="11"/>
        <v>0.84210526315789469</v>
      </c>
      <c r="J768" s="21">
        <f>(IFERROR(_xlfn.PERCENTRANK.INC($B$2:$B$1194,B768)*100,0)*PARAMS_MODELO!$B$25)+(IFERROR(_xlfn.PERCENTRANK.INC($C$2:$C$1194,C768)*100,0)*PARAMS_MODELO!$B$26)+(IFERROR(_xlfn.PERCENTRANK.INC($E$2:$E$1194,E768)*100,0)*PARAMS_MODELO!$B$27)+(IFERROR(_xlfn.PERCENTRANK.INC($F$2:$F$1194,F768)*100,0)*PARAMS_MODELO!$B$29)+(IFERROR(_xlfn.PERCENTRANK.INC($I$2:$I$1194,I768)*100,0)*PARAMS_MODELO!$B$31)</f>
        <v>45.735000000000007</v>
      </c>
    </row>
    <row r="769" spans="1:10" x14ac:dyDescent="0.3">
      <c r="A769">
        <v>51019555</v>
      </c>
      <c r="B769">
        <v>16</v>
      </c>
      <c r="C769">
        <v>21</v>
      </c>
      <c r="D769">
        <v>15</v>
      </c>
      <c r="E769" s="21">
        <f>D769/PARAMS_MODELO!$B$28</f>
        <v>0.5</v>
      </c>
      <c r="F769">
        <v>36</v>
      </c>
      <c r="G769">
        <v>64</v>
      </c>
      <c r="H769">
        <v>51</v>
      </c>
      <c r="I769" s="20">
        <f t="shared" si="11"/>
        <v>0.796875</v>
      </c>
      <c r="J769" s="21">
        <f>(IFERROR(_xlfn.PERCENTRANK.INC($B$2:$B$1194,B769)*100,0)*PARAMS_MODELO!$B$25)+(IFERROR(_xlfn.PERCENTRANK.INC($C$2:$C$1194,C769)*100,0)*PARAMS_MODELO!$B$26)+(IFERROR(_xlfn.PERCENTRANK.INC($E$2:$E$1194,E769)*100,0)*PARAMS_MODELO!$B$27)+(IFERROR(_xlfn.PERCENTRANK.INC($F$2:$F$1194,F769)*100,0)*PARAMS_MODELO!$B$29)+(IFERROR(_xlfn.PERCENTRANK.INC($I$2:$I$1194,I769)*100,0)*PARAMS_MODELO!$B$31)</f>
        <v>40.630000000000003</v>
      </c>
    </row>
    <row r="770" spans="1:10" x14ac:dyDescent="0.3">
      <c r="A770">
        <v>51009991</v>
      </c>
      <c r="B770">
        <v>100</v>
      </c>
      <c r="C770">
        <v>19</v>
      </c>
      <c r="D770">
        <v>86</v>
      </c>
      <c r="E770" s="21">
        <f>D770/PARAMS_MODELO!$B$28</f>
        <v>2.8666666666666667</v>
      </c>
      <c r="F770">
        <v>17</v>
      </c>
      <c r="G770">
        <v>17</v>
      </c>
      <c r="H770">
        <v>7</v>
      </c>
      <c r="I770" s="20">
        <f t="shared" ref="I770:I833" si="12">IFERROR(H770/G770,0)</f>
        <v>0.41176470588235292</v>
      </c>
      <c r="J770" s="21">
        <f>(IFERROR(_xlfn.PERCENTRANK.INC($B$2:$B$1194,B770)*100,0)*PARAMS_MODELO!$B$25)+(IFERROR(_xlfn.PERCENTRANK.INC($C$2:$C$1194,C770)*100,0)*PARAMS_MODELO!$B$26)+(IFERROR(_xlfn.PERCENTRANK.INC($E$2:$E$1194,E770)*100,0)*PARAMS_MODELO!$B$27)+(IFERROR(_xlfn.PERCENTRANK.INC($F$2:$F$1194,F770)*100,0)*PARAMS_MODELO!$B$29)+(IFERROR(_xlfn.PERCENTRANK.INC($I$2:$I$1194,I770)*100,0)*PARAMS_MODELO!$B$31)</f>
        <v>70.67</v>
      </c>
    </row>
    <row r="771" spans="1:10" x14ac:dyDescent="0.3">
      <c r="A771">
        <v>51025822</v>
      </c>
      <c r="B771">
        <v>3</v>
      </c>
      <c r="C771">
        <v>19</v>
      </c>
      <c r="D771">
        <v>36</v>
      </c>
      <c r="E771" s="21">
        <f>D771/PARAMS_MODELO!$B$28</f>
        <v>1.2</v>
      </c>
      <c r="F771">
        <v>76</v>
      </c>
      <c r="G771">
        <v>34</v>
      </c>
      <c r="H771">
        <v>28</v>
      </c>
      <c r="I771" s="20">
        <f t="shared" si="12"/>
        <v>0.82352941176470584</v>
      </c>
      <c r="J771" s="21">
        <f>(IFERROR(_xlfn.PERCENTRANK.INC($B$2:$B$1194,B771)*100,0)*PARAMS_MODELO!$B$25)+(IFERROR(_xlfn.PERCENTRANK.INC($C$2:$C$1194,C771)*100,0)*PARAMS_MODELO!$B$26)+(IFERROR(_xlfn.PERCENTRANK.INC($E$2:$E$1194,E771)*100,0)*PARAMS_MODELO!$B$27)+(IFERROR(_xlfn.PERCENTRANK.INC($F$2:$F$1194,F771)*100,0)*PARAMS_MODELO!$B$29)+(IFERROR(_xlfn.PERCENTRANK.INC($I$2:$I$1194,I771)*100,0)*PARAMS_MODELO!$B$31)</f>
        <v>45.234999999999999</v>
      </c>
    </row>
    <row r="772" spans="1:10" x14ac:dyDescent="0.3">
      <c r="A772">
        <v>51012500</v>
      </c>
      <c r="B772">
        <v>59</v>
      </c>
      <c r="C772">
        <v>4</v>
      </c>
      <c r="D772">
        <v>57</v>
      </c>
      <c r="E772" s="21">
        <f>D772/PARAMS_MODELO!$B$28</f>
        <v>1.9</v>
      </c>
      <c r="F772">
        <v>40</v>
      </c>
      <c r="G772">
        <v>89</v>
      </c>
      <c r="H772">
        <v>73</v>
      </c>
      <c r="I772" s="20">
        <f t="shared" si="12"/>
        <v>0.8202247191011236</v>
      </c>
      <c r="J772" s="21">
        <f>(IFERROR(_xlfn.PERCENTRANK.INC($B$2:$B$1194,B772)*100,0)*PARAMS_MODELO!$B$25)+(IFERROR(_xlfn.PERCENTRANK.INC($C$2:$C$1194,C772)*100,0)*PARAMS_MODELO!$B$26)+(IFERROR(_xlfn.PERCENTRANK.INC($E$2:$E$1194,E772)*100,0)*PARAMS_MODELO!$B$27)+(IFERROR(_xlfn.PERCENTRANK.INC($F$2:$F$1194,F772)*100,0)*PARAMS_MODELO!$B$29)+(IFERROR(_xlfn.PERCENTRANK.INC($I$2:$I$1194,I772)*100,0)*PARAMS_MODELO!$B$31)</f>
        <v>46.424999999999997</v>
      </c>
    </row>
    <row r="773" spans="1:10" x14ac:dyDescent="0.3">
      <c r="A773">
        <v>51015797</v>
      </c>
      <c r="B773">
        <v>3</v>
      </c>
      <c r="C773">
        <v>23</v>
      </c>
      <c r="D773">
        <v>87</v>
      </c>
      <c r="E773" s="21">
        <f>D773/PARAMS_MODELO!$B$28</f>
        <v>2.9</v>
      </c>
      <c r="F773">
        <v>20</v>
      </c>
      <c r="G773">
        <v>86</v>
      </c>
      <c r="H773">
        <v>67</v>
      </c>
      <c r="I773" s="20">
        <f t="shared" si="12"/>
        <v>0.77906976744186052</v>
      </c>
      <c r="J773" s="21">
        <f>(IFERROR(_xlfn.PERCENTRANK.INC($B$2:$B$1194,B773)*100,0)*PARAMS_MODELO!$B$25)+(IFERROR(_xlfn.PERCENTRANK.INC($C$2:$C$1194,C773)*100,0)*PARAMS_MODELO!$B$26)+(IFERROR(_xlfn.PERCENTRANK.INC($E$2:$E$1194,E773)*100,0)*PARAMS_MODELO!$B$27)+(IFERROR(_xlfn.PERCENTRANK.INC($F$2:$F$1194,F773)*100,0)*PARAMS_MODELO!$B$29)+(IFERROR(_xlfn.PERCENTRANK.INC($I$2:$I$1194,I773)*100,0)*PARAMS_MODELO!$B$31)</f>
        <v>50.155000000000001</v>
      </c>
    </row>
    <row r="774" spans="1:10" x14ac:dyDescent="0.3">
      <c r="A774">
        <v>51014782</v>
      </c>
      <c r="B774">
        <v>92</v>
      </c>
      <c r="C774">
        <v>25</v>
      </c>
      <c r="D774">
        <v>7</v>
      </c>
      <c r="E774" s="21">
        <f>D774/PARAMS_MODELO!$B$28</f>
        <v>0.23333333333333334</v>
      </c>
      <c r="F774">
        <v>7</v>
      </c>
      <c r="G774">
        <v>10</v>
      </c>
      <c r="H774">
        <v>9</v>
      </c>
      <c r="I774" s="20">
        <f t="shared" si="12"/>
        <v>0.9</v>
      </c>
      <c r="J774" s="21">
        <f>(IFERROR(_xlfn.PERCENTRANK.INC($B$2:$B$1194,B774)*100,0)*PARAMS_MODELO!$B$25)+(IFERROR(_xlfn.PERCENTRANK.INC($C$2:$C$1194,C774)*100,0)*PARAMS_MODELO!$B$26)+(IFERROR(_xlfn.PERCENTRANK.INC($E$2:$E$1194,E774)*100,0)*PARAMS_MODELO!$B$27)+(IFERROR(_xlfn.PERCENTRANK.INC($F$2:$F$1194,F774)*100,0)*PARAMS_MODELO!$B$29)+(IFERROR(_xlfn.PERCENTRANK.INC($I$2:$I$1194,I774)*100,0)*PARAMS_MODELO!$B$31)</f>
        <v>62</v>
      </c>
    </row>
    <row r="775" spans="1:10" x14ac:dyDescent="0.3">
      <c r="A775">
        <v>51013077</v>
      </c>
      <c r="B775">
        <v>14</v>
      </c>
      <c r="C775">
        <v>24</v>
      </c>
      <c r="D775">
        <v>41</v>
      </c>
      <c r="E775" s="21">
        <f>D775/PARAMS_MODELO!$B$28</f>
        <v>1.3666666666666667</v>
      </c>
      <c r="F775">
        <v>51</v>
      </c>
      <c r="G775">
        <v>26</v>
      </c>
      <c r="H775">
        <v>4</v>
      </c>
      <c r="I775" s="20">
        <f t="shared" si="12"/>
        <v>0.15384615384615385</v>
      </c>
      <c r="J775" s="21">
        <f>(IFERROR(_xlfn.PERCENTRANK.INC($B$2:$B$1194,B775)*100,0)*PARAMS_MODELO!$B$25)+(IFERROR(_xlfn.PERCENTRANK.INC($C$2:$C$1194,C775)*100,0)*PARAMS_MODELO!$B$26)+(IFERROR(_xlfn.PERCENTRANK.INC($E$2:$E$1194,E775)*100,0)*PARAMS_MODELO!$B$27)+(IFERROR(_xlfn.PERCENTRANK.INC($F$2:$F$1194,F775)*100,0)*PARAMS_MODELO!$B$29)+(IFERROR(_xlfn.PERCENTRANK.INC($I$2:$I$1194,I775)*100,0)*PARAMS_MODELO!$B$31)</f>
        <v>44.410000000000011</v>
      </c>
    </row>
    <row r="776" spans="1:10" x14ac:dyDescent="0.3">
      <c r="A776">
        <v>51002539</v>
      </c>
      <c r="B776">
        <v>12</v>
      </c>
      <c r="C776">
        <v>2</v>
      </c>
      <c r="D776">
        <v>62</v>
      </c>
      <c r="E776" s="21">
        <f>D776/PARAMS_MODELO!$B$28</f>
        <v>2.0666666666666669</v>
      </c>
      <c r="F776">
        <v>18</v>
      </c>
      <c r="G776">
        <v>90</v>
      </c>
      <c r="H776">
        <v>55</v>
      </c>
      <c r="I776" s="20">
        <f t="shared" si="12"/>
        <v>0.61111111111111116</v>
      </c>
      <c r="J776" s="21">
        <f>(IFERROR(_xlfn.PERCENTRANK.INC($B$2:$B$1194,B776)*100,0)*PARAMS_MODELO!$B$25)+(IFERROR(_xlfn.PERCENTRANK.INC($C$2:$C$1194,C776)*100,0)*PARAMS_MODELO!$B$26)+(IFERROR(_xlfn.PERCENTRANK.INC($E$2:$E$1194,E776)*100,0)*PARAMS_MODELO!$B$27)+(IFERROR(_xlfn.PERCENTRANK.INC($F$2:$F$1194,F776)*100,0)*PARAMS_MODELO!$B$29)+(IFERROR(_xlfn.PERCENTRANK.INC($I$2:$I$1194,I776)*100,0)*PARAMS_MODELO!$B$31)</f>
        <v>26.54</v>
      </c>
    </row>
    <row r="777" spans="1:10" x14ac:dyDescent="0.3">
      <c r="A777">
        <v>51031806</v>
      </c>
      <c r="B777">
        <v>35</v>
      </c>
      <c r="C777">
        <v>23</v>
      </c>
      <c r="D777">
        <v>28</v>
      </c>
      <c r="E777" s="21">
        <f>D777/PARAMS_MODELO!$B$28</f>
        <v>0.93333333333333335</v>
      </c>
      <c r="F777">
        <v>73</v>
      </c>
      <c r="G777">
        <v>57</v>
      </c>
      <c r="H777">
        <v>2</v>
      </c>
      <c r="I777" s="20">
        <f t="shared" si="12"/>
        <v>3.5087719298245612E-2</v>
      </c>
      <c r="J777" s="21">
        <f>(IFERROR(_xlfn.PERCENTRANK.INC($B$2:$B$1194,B777)*100,0)*PARAMS_MODELO!$B$25)+(IFERROR(_xlfn.PERCENTRANK.INC($C$2:$C$1194,C777)*100,0)*PARAMS_MODELO!$B$26)+(IFERROR(_xlfn.PERCENTRANK.INC($E$2:$E$1194,E777)*100,0)*PARAMS_MODELO!$B$27)+(IFERROR(_xlfn.PERCENTRANK.INC($F$2:$F$1194,F777)*100,0)*PARAMS_MODELO!$B$29)+(IFERROR(_xlfn.PERCENTRANK.INC($I$2:$I$1194,I777)*100,0)*PARAMS_MODELO!$B$31)</f>
        <v>48.43</v>
      </c>
    </row>
    <row r="778" spans="1:10" x14ac:dyDescent="0.3">
      <c r="A778">
        <v>51044410</v>
      </c>
      <c r="B778">
        <v>4</v>
      </c>
      <c r="C778">
        <v>13</v>
      </c>
      <c r="D778">
        <v>73</v>
      </c>
      <c r="E778" s="21">
        <f>D778/PARAMS_MODELO!$B$28</f>
        <v>2.4333333333333331</v>
      </c>
      <c r="F778">
        <v>73</v>
      </c>
      <c r="G778">
        <v>91</v>
      </c>
      <c r="H778">
        <v>34</v>
      </c>
      <c r="I778" s="20">
        <f t="shared" si="12"/>
        <v>0.37362637362637363</v>
      </c>
      <c r="J778" s="21">
        <f>(IFERROR(_xlfn.PERCENTRANK.INC($B$2:$B$1194,B778)*100,0)*PARAMS_MODELO!$B$25)+(IFERROR(_xlfn.PERCENTRANK.INC($C$2:$C$1194,C778)*100,0)*PARAMS_MODELO!$B$26)+(IFERROR(_xlfn.PERCENTRANK.INC($E$2:$E$1194,E778)*100,0)*PARAMS_MODELO!$B$27)+(IFERROR(_xlfn.PERCENTRANK.INC($F$2:$F$1194,F778)*100,0)*PARAMS_MODELO!$B$29)+(IFERROR(_xlfn.PERCENTRANK.INC($I$2:$I$1194,I778)*100,0)*PARAMS_MODELO!$B$31)</f>
        <v>42.52</v>
      </c>
    </row>
    <row r="779" spans="1:10" x14ac:dyDescent="0.3">
      <c r="A779">
        <v>51033248</v>
      </c>
      <c r="B779">
        <v>50</v>
      </c>
      <c r="C779">
        <v>23</v>
      </c>
      <c r="D779">
        <v>44</v>
      </c>
      <c r="E779" s="21">
        <f>D779/PARAMS_MODELO!$B$28</f>
        <v>1.4666666666666666</v>
      </c>
      <c r="F779">
        <v>99</v>
      </c>
      <c r="G779">
        <v>18</v>
      </c>
      <c r="H779">
        <v>12</v>
      </c>
      <c r="I779" s="20">
        <f t="shared" si="12"/>
        <v>0.66666666666666663</v>
      </c>
      <c r="J779" s="21">
        <f>(IFERROR(_xlfn.PERCENTRANK.INC($B$2:$B$1194,B779)*100,0)*PARAMS_MODELO!$B$25)+(IFERROR(_xlfn.PERCENTRANK.INC($C$2:$C$1194,C779)*100,0)*PARAMS_MODELO!$B$26)+(IFERROR(_xlfn.PERCENTRANK.INC($E$2:$E$1194,E779)*100,0)*PARAMS_MODELO!$B$27)+(IFERROR(_xlfn.PERCENTRANK.INC($F$2:$F$1194,F779)*100,0)*PARAMS_MODELO!$B$29)+(IFERROR(_xlfn.PERCENTRANK.INC($I$2:$I$1194,I779)*100,0)*PARAMS_MODELO!$B$31)</f>
        <v>66.419999999999987</v>
      </c>
    </row>
    <row r="780" spans="1:10" x14ac:dyDescent="0.3">
      <c r="A780">
        <v>51025318</v>
      </c>
      <c r="B780">
        <v>63</v>
      </c>
      <c r="C780">
        <v>4</v>
      </c>
      <c r="D780">
        <v>21</v>
      </c>
      <c r="E780" s="21">
        <f>D780/PARAMS_MODELO!$B$28</f>
        <v>0.7</v>
      </c>
      <c r="F780">
        <v>14</v>
      </c>
      <c r="G780">
        <v>5</v>
      </c>
      <c r="H780">
        <v>3</v>
      </c>
      <c r="I780" s="20">
        <f t="shared" si="12"/>
        <v>0.6</v>
      </c>
      <c r="J780" s="21">
        <f>(IFERROR(_xlfn.PERCENTRANK.INC($B$2:$B$1194,B780)*100,0)*PARAMS_MODELO!$B$25)+(IFERROR(_xlfn.PERCENTRANK.INC($C$2:$C$1194,C780)*100,0)*PARAMS_MODELO!$B$26)+(IFERROR(_xlfn.PERCENTRANK.INC($E$2:$E$1194,E780)*100,0)*PARAMS_MODELO!$B$27)+(IFERROR(_xlfn.PERCENTRANK.INC($F$2:$F$1194,F780)*100,0)*PARAMS_MODELO!$B$29)+(IFERROR(_xlfn.PERCENTRANK.INC($I$2:$I$1194,I780)*100,0)*PARAMS_MODELO!$B$31)</f>
        <v>33.769999999999996</v>
      </c>
    </row>
    <row r="781" spans="1:10" x14ac:dyDescent="0.3">
      <c r="A781">
        <v>51031687</v>
      </c>
      <c r="B781">
        <v>12</v>
      </c>
      <c r="C781">
        <v>22</v>
      </c>
      <c r="D781">
        <v>92</v>
      </c>
      <c r="E781" s="21">
        <f>D781/PARAMS_MODELO!$B$28</f>
        <v>3.0666666666666669</v>
      </c>
      <c r="F781">
        <v>16</v>
      </c>
      <c r="G781">
        <v>25</v>
      </c>
      <c r="H781">
        <v>15</v>
      </c>
      <c r="I781" s="20">
        <f t="shared" si="12"/>
        <v>0.6</v>
      </c>
      <c r="J781" s="21">
        <f>(IFERROR(_xlfn.PERCENTRANK.INC($B$2:$B$1194,B781)*100,0)*PARAMS_MODELO!$B$25)+(IFERROR(_xlfn.PERCENTRANK.INC($C$2:$C$1194,C781)*100,0)*PARAMS_MODELO!$B$26)+(IFERROR(_xlfn.PERCENTRANK.INC($E$2:$E$1194,E781)*100,0)*PARAMS_MODELO!$B$27)+(IFERROR(_xlfn.PERCENTRANK.INC($F$2:$F$1194,F781)*100,0)*PARAMS_MODELO!$B$29)+(IFERROR(_xlfn.PERCENTRANK.INC($I$2:$I$1194,I781)*100,0)*PARAMS_MODELO!$B$31)</f>
        <v>50.705000000000005</v>
      </c>
    </row>
    <row r="782" spans="1:10" x14ac:dyDescent="0.3">
      <c r="A782">
        <v>51055861</v>
      </c>
      <c r="B782">
        <v>84</v>
      </c>
      <c r="C782">
        <v>19</v>
      </c>
      <c r="D782">
        <v>41</v>
      </c>
      <c r="E782" s="21">
        <f>D782/PARAMS_MODELO!$B$28</f>
        <v>1.3666666666666667</v>
      </c>
      <c r="F782">
        <v>31</v>
      </c>
      <c r="G782">
        <v>37</v>
      </c>
      <c r="H782">
        <v>19</v>
      </c>
      <c r="I782" s="20">
        <f t="shared" si="12"/>
        <v>0.51351351351351349</v>
      </c>
      <c r="J782" s="21">
        <f>(IFERROR(_xlfn.PERCENTRANK.INC($B$2:$B$1194,B782)*100,0)*PARAMS_MODELO!$B$25)+(IFERROR(_xlfn.PERCENTRANK.INC($C$2:$C$1194,C782)*100,0)*PARAMS_MODELO!$B$26)+(IFERROR(_xlfn.PERCENTRANK.INC($E$2:$E$1194,E782)*100,0)*PARAMS_MODELO!$B$27)+(IFERROR(_xlfn.PERCENTRANK.INC($F$2:$F$1194,F782)*100,0)*PARAMS_MODELO!$B$29)+(IFERROR(_xlfn.PERCENTRANK.INC($I$2:$I$1194,I782)*100,0)*PARAMS_MODELO!$B$31)</f>
        <v>60.099999999999994</v>
      </c>
    </row>
    <row r="783" spans="1:10" x14ac:dyDescent="0.3">
      <c r="A783">
        <v>51019407</v>
      </c>
      <c r="B783">
        <v>78</v>
      </c>
      <c r="C783">
        <v>22</v>
      </c>
      <c r="D783">
        <v>71</v>
      </c>
      <c r="E783" s="21">
        <f>D783/PARAMS_MODELO!$B$28</f>
        <v>2.3666666666666667</v>
      </c>
      <c r="F783">
        <v>96</v>
      </c>
      <c r="G783">
        <v>34</v>
      </c>
      <c r="H783">
        <v>3</v>
      </c>
      <c r="I783" s="20">
        <f t="shared" si="12"/>
        <v>8.8235294117647065E-2</v>
      </c>
      <c r="J783" s="21">
        <f>(IFERROR(_xlfn.PERCENTRANK.INC($B$2:$B$1194,B783)*100,0)*PARAMS_MODELO!$B$25)+(IFERROR(_xlfn.PERCENTRANK.INC($C$2:$C$1194,C783)*100,0)*PARAMS_MODELO!$B$26)+(IFERROR(_xlfn.PERCENTRANK.INC($E$2:$E$1194,E783)*100,0)*PARAMS_MODELO!$B$27)+(IFERROR(_xlfn.PERCENTRANK.INC($F$2:$F$1194,F783)*100,0)*PARAMS_MODELO!$B$29)+(IFERROR(_xlfn.PERCENTRANK.INC($I$2:$I$1194,I783)*100,0)*PARAMS_MODELO!$B$31)</f>
        <v>73.004999999999995</v>
      </c>
    </row>
    <row r="784" spans="1:10" x14ac:dyDescent="0.3">
      <c r="A784">
        <v>51012411</v>
      </c>
      <c r="B784">
        <v>27</v>
      </c>
      <c r="C784">
        <v>3</v>
      </c>
      <c r="D784">
        <v>91</v>
      </c>
      <c r="E784" s="21">
        <f>D784/PARAMS_MODELO!$B$28</f>
        <v>3.0333333333333332</v>
      </c>
      <c r="F784">
        <v>63</v>
      </c>
      <c r="G784">
        <v>78</v>
      </c>
      <c r="H784">
        <v>52</v>
      </c>
      <c r="I784" s="20">
        <f t="shared" si="12"/>
        <v>0.66666666666666663</v>
      </c>
      <c r="J784" s="21">
        <f>(IFERROR(_xlfn.PERCENTRANK.INC($B$2:$B$1194,B784)*100,0)*PARAMS_MODELO!$B$25)+(IFERROR(_xlfn.PERCENTRANK.INC($C$2:$C$1194,C784)*100,0)*PARAMS_MODELO!$B$26)+(IFERROR(_xlfn.PERCENTRANK.INC($E$2:$E$1194,E784)*100,0)*PARAMS_MODELO!$B$27)+(IFERROR(_xlfn.PERCENTRANK.INC($F$2:$F$1194,F784)*100,0)*PARAMS_MODELO!$B$29)+(IFERROR(_xlfn.PERCENTRANK.INC($I$2:$I$1194,I784)*100,0)*PARAMS_MODELO!$B$31)</f>
        <v>44.854999999999997</v>
      </c>
    </row>
    <row r="785" spans="1:10" x14ac:dyDescent="0.3">
      <c r="A785">
        <v>51020171</v>
      </c>
      <c r="B785">
        <v>71</v>
      </c>
      <c r="C785">
        <v>11</v>
      </c>
      <c r="D785">
        <v>31</v>
      </c>
      <c r="E785" s="21">
        <f>D785/PARAMS_MODELO!$B$28</f>
        <v>1.0333333333333334</v>
      </c>
      <c r="F785">
        <v>5</v>
      </c>
      <c r="G785">
        <v>51</v>
      </c>
      <c r="H785">
        <v>5</v>
      </c>
      <c r="I785" s="20">
        <f t="shared" si="12"/>
        <v>9.8039215686274508E-2</v>
      </c>
      <c r="J785" s="21">
        <f>(IFERROR(_xlfn.PERCENTRANK.INC($B$2:$B$1194,B785)*100,0)*PARAMS_MODELO!$B$25)+(IFERROR(_xlfn.PERCENTRANK.INC($C$2:$C$1194,C785)*100,0)*PARAMS_MODELO!$B$26)+(IFERROR(_xlfn.PERCENTRANK.INC($E$2:$E$1194,E785)*100,0)*PARAMS_MODELO!$B$27)+(IFERROR(_xlfn.PERCENTRANK.INC($F$2:$F$1194,F785)*100,0)*PARAMS_MODELO!$B$29)+(IFERROR(_xlfn.PERCENTRANK.INC($I$2:$I$1194,I785)*100,0)*PARAMS_MODELO!$B$31)</f>
        <v>38.739999999999995</v>
      </c>
    </row>
    <row r="786" spans="1:10" x14ac:dyDescent="0.3">
      <c r="A786">
        <v>51029488</v>
      </c>
      <c r="B786">
        <v>97</v>
      </c>
      <c r="C786">
        <v>22</v>
      </c>
      <c r="D786">
        <v>70</v>
      </c>
      <c r="E786" s="21">
        <f>D786/PARAMS_MODELO!$B$28</f>
        <v>2.3333333333333335</v>
      </c>
      <c r="F786">
        <v>43</v>
      </c>
      <c r="G786">
        <v>22</v>
      </c>
      <c r="H786">
        <v>10</v>
      </c>
      <c r="I786" s="20">
        <f t="shared" si="12"/>
        <v>0.45454545454545453</v>
      </c>
      <c r="J786" s="21">
        <f>(IFERROR(_xlfn.PERCENTRANK.INC($B$2:$B$1194,B786)*100,0)*PARAMS_MODELO!$B$25)+(IFERROR(_xlfn.PERCENTRANK.INC($C$2:$C$1194,C786)*100,0)*PARAMS_MODELO!$B$26)+(IFERROR(_xlfn.PERCENTRANK.INC($E$2:$E$1194,E786)*100,0)*PARAMS_MODELO!$B$27)+(IFERROR(_xlfn.PERCENTRANK.INC($F$2:$F$1194,F786)*100,0)*PARAMS_MODELO!$B$29)+(IFERROR(_xlfn.PERCENTRANK.INC($I$2:$I$1194,I786)*100,0)*PARAMS_MODELO!$B$31)</f>
        <v>74.05</v>
      </c>
    </row>
    <row r="787" spans="1:10" x14ac:dyDescent="0.3">
      <c r="A787">
        <v>51017633</v>
      </c>
      <c r="B787">
        <v>94</v>
      </c>
      <c r="C787">
        <v>17</v>
      </c>
      <c r="D787">
        <v>64</v>
      </c>
      <c r="E787" s="21">
        <f>D787/PARAMS_MODELO!$B$28</f>
        <v>2.1333333333333333</v>
      </c>
      <c r="F787">
        <v>33</v>
      </c>
      <c r="G787">
        <v>66</v>
      </c>
      <c r="H787">
        <v>19</v>
      </c>
      <c r="I787" s="20">
        <f t="shared" si="12"/>
        <v>0.2878787878787879</v>
      </c>
      <c r="J787" s="21">
        <f>(IFERROR(_xlfn.PERCENTRANK.INC($B$2:$B$1194,B787)*100,0)*PARAMS_MODELO!$B$25)+(IFERROR(_xlfn.PERCENTRANK.INC($C$2:$C$1194,C787)*100,0)*PARAMS_MODELO!$B$26)+(IFERROR(_xlfn.PERCENTRANK.INC($E$2:$E$1194,E787)*100,0)*PARAMS_MODELO!$B$27)+(IFERROR(_xlfn.PERCENTRANK.INC($F$2:$F$1194,F787)*100,0)*PARAMS_MODELO!$B$29)+(IFERROR(_xlfn.PERCENTRANK.INC($I$2:$I$1194,I787)*100,0)*PARAMS_MODELO!$B$31)</f>
        <v>63.674999999999997</v>
      </c>
    </row>
    <row r="788" spans="1:10" x14ac:dyDescent="0.3">
      <c r="A788">
        <v>51056663</v>
      </c>
      <c r="B788">
        <v>46</v>
      </c>
      <c r="C788">
        <v>16</v>
      </c>
      <c r="D788">
        <v>7</v>
      </c>
      <c r="E788" s="21">
        <f>D788/PARAMS_MODELO!$B$28</f>
        <v>0.23333333333333334</v>
      </c>
      <c r="F788">
        <v>97</v>
      </c>
      <c r="G788">
        <v>68</v>
      </c>
      <c r="H788">
        <v>67</v>
      </c>
      <c r="I788" s="20">
        <f t="shared" si="12"/>
        <v>0.98529411764705888</v>
      </c>
      <c r="J788" s="21">
        <f>(IFERROR(_xlfn.PERCENTRANK.INC($B$2:$B$1194,B788)*100,0)*PARAMS_MODELO!$B$25)+(IFERROR(_xlfn.PERCENTRANK.INC($C$2:$C$1194,C788)*100,0)*PARAMS_MODELO!$B$26)+(IFERROR(_xlfn.PERCENTRANK.INC($E$2:$E$1194,E788)*100,0)*PARAMS_MODELO!$B$27)+(IFERROR(_xlfn.PERCENTRANK.INC($F$2:$F$1194,F788)*100,0)*PARAMS_MODELO!$B$29)+(IFERROR(_xlfn.PERCENTRANK.INC($I$2:$I$1194,I788)*100,0)*PARAMS_MODELO!$B$31)</f>
        <v>53.545000000000002</v>
      </c>
    </row>
    <row r="789" spans="1:10" x14ac:dyDescent="0.3">
      <c r="A789">
        <v>51026063</v>
      </c>
      <c r="B789">
        <v>59</v>
      </c>
      <c r="C789">
        <v>19</v>
      </c>
      <c r="D789">
        <v>27</v>
      </c>
      <c r="E789" s="21">
        <f>D789/PARAMS_MODELO!$B$28</f>
        <v>0.9</v>
      </c>
      <c r="F789">
        <v>56</v>
      </c>
      <c r="G789">
        <v>73</v>
      </c>
      <c r="H789">
        <v>48</v>
      </c>
      <c r="I789" s="20">
        <f t="shared" si="12"/>
        <v>0.65753424657534243</v>
      </c>
      <c r="J789" s="21">
        <f>(IFERROR(_xlfn.PERCENTRANK.INC($B$2:$B$1194,B789)*100,0)*PARAMS_MODELO!$B$25)+(IFERROR(_xlfn.PERCENTRANK.INC($C$2:$C$1194,C789)*100,0)*PARAMS_MODELO!$B$26)+(IFERROR(_xlfn.PERCENTRANK.INC($E$2:$E$1194,E789)*100,0)*PARAMS_MODELO!$B$27)+(IFERROR(_xlfn.PERCENTRANK.INC($F$2:$F$1194,F789)*100,0)*PARAMS_MODELO!$B$29)+(IFERROR(_xlfn.PERCENTRANK.INC($I$2:$I$1194,I789)*100,0)*PARAMS_MODELO!$B$31)</f>
        <v>54.690000000000005</v>
      </c>
    </row>
    <row r="790" spans="1:10" x14ac:dyDescent="0.3">
      <c r="A790">
        <v>51043995</v>
      </c>
      <c r="B790">
        <v>58</v>
      </c>
      <c r="C790">
        <v>6</v>
      </c>
      <c r="D790">
        <v>73</v>
      </c>
      <c r="E790" s="21">
        <f>D790/PARAMS_MODELO!$B$28</f>
        <v>2.4333333333333331</v>
      </c>
      <c r="F790">
        <v>66</v>
      </c>
      <c r="G790">
        <v>52</v>
      </c>
      <c r="H790">
        <v>34</v>
      </c>
      <c r="I790" s="20">
        <f t="shared" si="12"/>
        <v>0.65384615384615385</v>
      </c>
      <c r="J790" s="21">
        <f>(IFERROR(_xlfn.PERCENTRANK.INC($B$2:$B$1194,B790)*100,0)*PARAMS_MODELO!$B$25)+(IFERROR(_xlfn.PERCENTRANK.INC($C$2:$C$1194,C790)*100,0)*PARAMS_MODELO!$B$26)+(IFERROR(_xlfn.PERCENTRANK.INC($E$2:$E$1194,E790)*100,0)*PARAMS_MODELO!$B$27)+(IFERROR(_xlfn.PERCENTRANK.INC($F$2:$F$1194,F790)*100,0)*PARAMS_MODELO!$B$29)+(IFERROR(_xlfn.PERCENTRANK.INC($I$2:$I$1194,I790)*100,0)*PARAMS_MODELO!$B$31)</f>
        <v>53.284999999999989</v>
      </c>
    </row>
    <row r="791" spans="1:10" x14ac:dyDescent="0.3">
      <c r="A791">
        <v>51011074</v>
      </c>
      <c r="B791">
        <v>96</v>
      </c>
      <c r="C791">
        <v>0</v>
      </c>
      <c r="D791">
        <v>74</v>
      </c>
      <c r="E791" s="21">
        <f>D791/PARAMS_MODELO!$B$28</f>
        <v>2.4666666666666668</v>
      </c>
      <c r="F791">
        <v>44</v>
      </c>
      <c r="G791">
        <v>82</v>
      </c>
      <c r="H791">
        <v>6</v>
      </c>
      <c r="I791" s="20">
        <f t="shared" si="12"/>
        <v>7.3170731707317069E-2</v>
      </c>
      <c r="J791" s="21">
        <f>(IFERROR(_xlfn.PERCENTRANK.INC($B$2:$B$1194,B791)*100,0)*PARAMS_MODELO!$B$25)+(IFERROR(_xlfn.PERCENTRANK.INC($C$2:$C$1194,C791)*100,0)*PARAMS_MODELO!$B$26)+(IFERROR(_xlfn.PERCENTRANK.INC($E$2:$E$1194,E791)*100,0)*PARAMS_MODELO!$B$27)+(IFERROR(_xlfn.PERCENTRANK.INC($F$2:$F$1194,F791)*100,0)*PARAMS_MODELO!$B$29)+(IFERROR(_xlfn.PERCENTRANK.INC($I$2:$I$1194,I791)*100,0)*PARAMS_MODELO!$B$31)</f>
        <v>50.29</v>
      </c>
    </row>
    <row r="792" spans="1:10" x14ac:dyDescent="0.3">
      <c r="A792">
        <v>51003225</v>
      </c>
      <c r="B792">
        <v>33</v>
      </c>
      <c r="C792">
        <v>6</v>
      </c>
      <c r="D792">
        <v>40</v>
      </c>
      <c r="E792" s="21">
        <f>D792/PARAMS_MODELO!$B$28</f>
        <v>1.3333333333333333</v>
      </c>
      <c r="F792">
        <v>30</v>
      </c>
      <c r="G792">
        <v>33</v>
      </c>
      <c r="H792">
        <v>17</v>
      </c>
      <c r="I792" s="20">
        <f t="shared" si="12"/>
        <v>0.51515151515151514</v>
      </c>
      <c r="J792" s="21">
        <f>(IFERROR(_xlfn.PERCENTRANK.INC($B$2:$B$1194,B792)*100,0)*PARAMS_MODELO!$B$25)+(IFERROR(_xlfn.PERCENTRANK.INC($C$2:$C$1194,C792)*100,0)*PARAMS_MODELO!$B$26)+(IFERROR(_xlfn.PERCENTRANK.INC($E$2:$E$1194,E792)*100,0)*PARAMS_MODELO!$B$27)+(IFERROR(_xlfn.PERCENTRANK.INC($F$2:$F$1194,F792)*100,0)*PARAMS_MODELO!$B$29)+(IFERROR(_xlfn.PERCENTRANK.INC($I$2:$I$1194,I792)*100,0)*PARAMS_MODELO!$B$31)</f>
        <v>32.685000000000002</v>
      </c>
    </row>
    <row r="793" spans="1:10" x14ac:dyDescent="0.3">
      <c r="A793">
        <v>51024966</v>
      </c>
      <c r="B793">
        <v>77</v>
      </c>
      <c r="C793">
        <v>15</v>
      </c>
      <c r="D793">
        <v>84</v>
      </c>
      <c r="E793" s="21">
        <f>D793/PARAMS_MODELO!$B$28</f>
        <v>2.8</v>
      </c>
      <c r="F793">
        <v>68</v>
      </c>
      <c r="G793">
        <v>18</v>
      </c>
      <c r="H793">
        <v>0</v>
      </c>
      <c r="I793" s="20">
        <f t="shared" si="12"/>
        <v>0</v>
      </c>
      <c r="J793" s="21">
        <f>(IFERROR(_xlfn.PERCENTRANK.INC($B$2:$B$1194,B793)*100,0)*PARAMS_MODELO!$B$25)+(IFERROR(_xlfn.PERCENTRANK.INC($C$2:$C$1194,C793)*100,0)*PARAMS_MODELO!$B$26)+(IFERROR(_xlfn.PERCENTRANK.INC($E$2:$E$1194,E793)*100,0)*PARAMS_MODELO!$B$27)+(IFERROR(_xlfn.PERCENTRANK.INC($F$2:$F$1194,F793)*100,0)*PARAMS_MODELO!$B$29)+(IFERROR(_xlfn.PERCENTRANK.INC($I$2:$I$1194,I793)*100,0)*PARAMS_MODELO!$B$31)</f>
        <v>62.824999999999996</v>
      </c>
    </row>
    <row r="794" spans="1:10" x14ac:dyDescent="0.3">
      <c r="A794">
        <v>51038673</v>
      </c>
      <c r="B794">
        <v>63</v>
      </c>
      <c r="C794">
        <v>5</v>
      </c>
      <c r="D794">
        <v>63</v>
      </c>
      <c r="E794" s="21">
        <f>D794/PARAMS_MODELO!$B$28</f>
        <v>2.1</v>
      </c>
      <c r="F794">
        <v>20</v>
      </c>
      <c r="G794">
        <v>53</v>
      </c>
      <c r="H794">
        <v>52</v>
      </c>
      <c r="I794" s="20">
        <f t="shared" si="12"/>
        <v>0.98113207547169812</v>
      </c>
      <c r="J794" s="21">
        <f>(IFERROR(_xlfn.PERCENTRANK.INC($B$2:$B$1194,B794)*100,0)*PARAMS_MODELO!$B$25)+(IFERROR(_xlfn.PERCENTRANK.INC($C$2:$C$1194,C794)*100,0)*PARAMS_MODELO!$B$26)+(IFERROR(_xlfn.PERCENTRANK.INC($E$2:$E$1194,E794)*100,0)*PARAMS_MODELO!$B$27)+(IFERROR(_xlfn.PERCENTRANK.INC($F$2:$F$1194,F794)*100,0)*PARAMS_MODELO!$B$29)+(IFERROR(_xlfn.PERCENTRANK.INC($I$2:$I$1194,I794)*100,0)*PARAMS_MODELO!$B$31)</f>
        <v>47.66</v>
      </c>
    </row>
    <row r="795" spans="1:10" x14ac:dyDescent="0.3">
      <c r="A795">
        <v>51013271</v>
      </c>
      <c r="B795">
        <v>30</v>
      </c>
      <c r="C795">
        <v>6</v>
      </c>
      <c r="D795">
        <v>55</v>
      </c>
      <c r="E795" s="21">
        <f>D795/PARAMS_MODELO!$B$28</f>
        <v>1.8333333333333333</v>
      </c>
      <c r="F795">
        <v>69</v>
      </c>
      <c r="G795">
        <v>87</v>
      </c>
      <c r="H795">
        <v>65</v>
      </c>
      <c r="I795" s="20">
        <f t="shared" si="12"/>
        <v>0.74712643678160917</v>
      </c>
      <c r="J795" s="21">
        <f>(IFERROR(_xlfn.PERCENTRANK.INC($B$2:$B$1194,B795)*100,0)*PARAMS_MODELO!$B$25)+(IFERROR(_xlfn.PERCENTRANK.INC($C$2:$C$1194,C795)*100,0)*PARAMS_MODELO!$B$26)+(IFERROR(_xlfn.PERCENTRANK.INC($E$2:$E$1194,E795)*100,0)*PARAMS_MODELO!$B$27)+(IFERROR(_xlfn.PERCENTRANK.INC($F$2:$F$1194,F795)*100,0)*PARAMS_MODELO!$B$29)+(IFERROR(_xlfn.PERCENTRANK.INC($I$2:$I$1194,I795)*100,0)*PARAMS_MODELO!$B$31)</f>
        <v>43.230000000000004</v>
      </c>
    </row>
    <row r="796" spans="1:10" x14ac:dyDescent="0.3">
      <c r="A796">
        <v>51038894</v>
      </c>
      <c r="B796">
        <v>88</v>
      </c>
      <c r="C796">
        <v>17</v>
      </c>
      <c r="D796">
        <v>80</v>
      </c>
      <c r="E796" s="21">
        <f>D796/PARAMS_MODELO!$B$28</f>
        <v>2.6666666666666665</v>
      </c>
      <c r="F796">
        <v>65</v>
      </c>
      <c r="G796">
        <v>1</v>
      </c>
      <c r="H796">
        <v>0</v>
      </c>
      <c r="I796" s="20">
        <f t="shared" si="12"/>
        <v>0</v>
      </c>
      <c r="J796" s="21">
        <f>(IFERROR(_xlfn.PERCENTRANK.INC($B$2:$B$1194,B796)*100,0)*PARAMS_MODELO!$B$25)+(IFERROR(_xlfn.PERCENTRANK.INC($C$2:$C$1194,C796)*100,0)*PARAMS_MODELO!$B$26)+(IFERROR(_xlfn.PERCENTRANK.INC($E$2:$E$1194,E796)*100,0)*PARAMS_MODELO!$B$27)+(IFERROR(_xlfn.PERCENTRANK.INC($F$2:$F$1194,F796)*100,0)*PARAMS_MODELO!$B$29)+(IFERROR(_xlfn.PERCENTRANK.INC($I$2:$I$1194,I796)*100,0)*PARAMS_MODELO!$B$31)</f>
        <v>66.894999999999996</v>
      </c>
    </row>
    <row r="797" spans="1:10" x14ac:dyDescent="0.3">
      <c r="A797">
        <v>51021843</v>
      </c>
      <c r="B797">
        <v>28</v>
      </c>
      <c r="C797">
        <v>16</v>
      </c>
      <c r="D797">
        <v>4</v>
      </c>
      <c r="E797" s="21">
        <f>D797/PARAMS_MODELO!$B$28</f>
        <v>0.13333333333333333</v>
      </c>
      <c r="F797">
        <v>67</v>
      </c>
      <c r="G797">
        <v>78</v>
      </c>
      <c r="H797">
        <v>5</v>
      </c>
      <c r="I797" s="20">
        <f t="shared" si="12"/>
        <v>6.4102564102564097E-2</v>
      </c>
      <c r="J797" s="21">
        <f>(IFERROR(_xlfn.PERCENTRANK.INC($B$2:$B$1194,B797)*100,0)*PARAMS_MODELO!$B$25)+(IFERROR(_xlfn.PERCENTRANK.INC($C$2:$C$1194,C797)*100,0)*PARAMS_MODELO!$B$26)+(IFERROR(_xlfn.PERCENTRANK.INC($E$2:$E$1194,E797)*100,0)*PARAMS_MODELO!$B$27)+(IFERROR(_xlfn.PERCENTRANK.INC($F$2:$F$1194,F797)*100,0)*PARAMS_MODELO!$B$29)+(IFERROR(_xlfn.PERCENTRANK.INC($I$2:$I$1194,I797)*100,0)*PARAMS_MODELO!$B$31)</f>
        <v>34.525000000000006</v>
      </c>
    </row>
    <row r="798" spans="1:10" x14ac:dyDescent="0.3">
      <c r="A798">
        <v>51024109</v>
      </c>
      <c r="B798">
        <v>12</v>
      </c>
      <c r="C798">
        <v>22</v>
      </c>
      <c r="D798">
        <v>51</v>
      </c>
      <c r="E798" s="21">
        <f>D798/PARAMS_MODELO!$B$28</f>
        <v>1.7</v>
      </c>
      <c r="F798">
        <v>18</v>
      </c>
      <c r="G798">
        <v>10</v>
      </c>
      <c r="H798">
        <v>4</v>
      </c>
      <c r="I798" s="20">
        <f t="shared" si="12"/>
        <v>0.4</v>
      </c>
      <c r="J798" s="21">
        <f>(IFERROR(_xlfn.PERCENTRANK.INC($B$2:$B$1194,B798)*100,0)*PARAMS_MODELO!$B$25)+(IFERROR(_xlfn.PERCENTRANK.INC($C$2:$C$1194,C798)*100,0)*PARAMS_MODELO!$B$26)+(IFERROR(_xlfn.PERCENTRANK.INC($E$2:$E$1194,E798)*100,0)*PARAMS_MODELO!$B$27)+(IFERROR(_xlfn.PERCENTRANK.INC($F$2:$F$1194,F798)*100,0)*PARAMS_MODELO!$B$29)+(IFERROR(_xlfn.PERCENTRANK.INC($I$2:$I$1194,I798)*100,0)*PARAMS_MODELO!$B$31)</f>
        <v>41.04</v>
      </c>
    </row>
    <row r="799" spans="1:10" x14ac:dyDescent="0.3">
      <c r="A799">
        <v>51056159</v>
      </c>
      <c r="B799">
        <v>31</v>
      </c>
      <c r="C799">
        <v>3</v>
      </c>
      <c r="D799">
        <v>82</v>
      </c>
      <c r="E799" s="21">
        <f>D799/PARAMS_MODELO!$B$28</f>
        <v>2.7333333333333334</v>
      </c>
      <c r="F799">
        <v>26</v>
      </c>
      <c r="G799">
        <v>95</v>
      </c>
      <c r="H799">
        <v>34</v>
      </c>
      <c r="I799" s="20">
        <f t="shared" si="12"/>
        <v>0.35789473684210527</v>
      </c>
      <c r="J799" s="21">
        <f>(IFERROR(_xlfn.PERCENTRANK.INC($B$2:$B$1194,B799)*100,0)*PARAMS_MODELO!$B$25)+(IFERROR(_xlfn.PERCENTRANK.INC($C$2:$C$1194,C799)*100,0)*PARAMS_MODELO!$B$26)+(IFERROR(_xlfn.PERCENTRANK.INC($E$2:$E$1194,E799)*100,0)*PARAMS_MODELO!$B$27)+(IFERROR(_xlfn.PERCENTRANK.INC($F$2:$F$1194,F799)*100,0)*PARAMS_MODELO!$B$29)+(IFERROR(_xlfn.PERCENTRANK.INC($I$2:$I$1194,I799)*100,0)*PARAMS_MODELO!$B$31)</f>
        <v>35.43</v>
      </c>
    </row>
    <row r="800" spans="1:10" x14ac:dyDescent="0.3">
      <c r="A800">
        <v>51036981</v>
      </c>
      <c r="B800">
        <v>11</v>
      </c>
      <c r="C800">
        <v>2</v>
      </c>
      <c r="D800">
        <v>0</v>
      </c>
      <c r="E800" s="21">
        <f>D800/PARAMS_MODELO!$B$28</f>
        <v>0</v>
      </c>
      <c r="F800">
        <v>55</v>
      </c>
      <c r="G800">
        <v>38</v>
      </c>
      <c r="H800">
        <v>28</v>
      </c>
      <c r="I800" s="20">
        <f t="shared" si="12"/>
        <v>0.73684210526315785</v>
      </c>
      <c r="J800" s="21">
        <f>(IFERROR(_xlfn.PERCENTRANK.INC($B$2:$B$1194,B800)*100,0)*PARAMS_MODELO!$B$25)+(IFERROR(_xlfn.PERCENTRANK.INC($C$2:$C$1194,C800)*100,0)*PARAMS_MODELO!$B$26)+(IFERROR(_xlfn.PERCENTRANK.INC($E$2:$E$1194,E800)*100,0)*PARAMS_MODELO!$B$27)+(IFERROR(_xlfn.PERCENTRANK.INC($F$2:$F$1194,F800)*100,0)*PARAMS_MODELO!$B$29)+(IFERROR(_xlfn.PERCENTRANK.INC($I$2:$I$1194,I800)*100,0)*PARAMS_MODELO!$B$31)</f>
        <v>20.935000000000002</v>
      </c>
    </row>
    <row r="801" spans="1:10" x14ac:dyDescent="0.3">
      <c r="A801">
        <v>51032519</v>
      </c>
      <c r="B801">
        <v>66</v>
      </c>
      <c r="C801">
        <v>6</v>
      </c>
      <c r="D801">
        <v>69</v>
      </c>
      <c r="E801" s="21">
        <f>D801/PARAMS_MODELO!$B$28</f>
        <v>2.2999999999999998</v>
      </c>
      <c r="F801">
        <v>18</v>
      </c>
      <c r="G801">
        <v>66</v>
      </c>
      <c r="H801">
        <v>0</v>
      </c>
      <c r="I801" s="20">
        <f t="shared" si="12"/>
        <v>0</v>
      </c>
      <c r="J801" s="21">
        <f>(IFERROR(_xlfn.PERCENTRANK.INC($B$2:$B$1194,B801)*100,0)*PARAMS_MODELO!$B$25)+(IFERROR(_xlfn.PERCENTRANK.INC($C$2:$C$1194,C801)*100,0)*PARAMS_MODELO!$B$26)+(IFERROR(_xlfn.PERCENTRANK.INC($E$2:$E$1194,E801)*100,0)*PARAMS_MODELO!$B$27)+(IFERROR(_xlfn.PERCENTRANK.INC($F$2:$F$1194,F801)*100,0)*PARAMS_MODELO!$B$29)+(IFERROR(_xlfn.PERCENTRANK.INC($I$2:$I$1194,I801)*100,0)*PARAMS_MODELO!$B$31)</f>
        <v>40.905000000000001</v>
      </c>
    </row>
    <row r="802" spans="1:10" x14ac:dyDescent="0.3">
      <c r="A802">
        <v>51055519</v>
      </c>
      <c r="B802">
        <v>98</v>
      </c>
      <c r="C802">
        <v>25</v>
      </c>
      <c r="D802">
        <v>25</v>
      </c>
      <c r="E802" s="21">
        <f>D802/PARAMS_MODELO!$B$28</f>
        <v>0.83333333333333337</v>
      </c>
      <c r="F802">
        <v>17</v>
      </c>
      <c r="G802">
        <v>6</v>
      </c>
      <c r="H802">
        <v>5</v>
      </c>
      <c r="I802" s="20">
        <f t="shared" si="12"/>
        <v>0.83333333333333337</v>
      </c>
      <c r="J802" s="21">
        <f>(IFERROR(_xlfn.PERCENTRANK.INC($B$2:$B$1194,B802)*100,0)*PARAMS_MODELO!$B$25)+(IFERROR(_xlfn.PERCENTRANK.INC($C$2:$C$1194,C802)*100,0)*PARAMS_MODELO!$B$26)+(IFERROR(_xlfn.PERCENTRANK.INC($E$2:$E$1194,E802)*100,0)*PARAMS_MODELO!$B$27)+(IFERROR(_xlfn.PERCENTRANK.INC($F$2:$F$1194,F802)*100,0)*PARAMS_MODELO!$B$29)+(IFERROR(_xlfn.PERCENTRANK.INC($I$2:$I$1194,I802)*100,0)*PARAMS_MODELO!$B$31)</f>
        <v>68.334999999999994</v>
      </c>
    </row>
    <row r="803" spans="1:10" x14ac:dyDescent="0.3">
      <c r="A803">
        <v>51032969</v>
      </c>
      <c r="B803">
        <v>79</v>
      </c>
      <c r="C803">
        <v>13</v>
      </c>
      <c r="D803">
        <v>70</v>
      </c>
      <c r="E803" s="21">
        <f>D803/PARAMS_MODELO!$B$28</f>
        <v>2.3333333333333335</v>
      </c>
      <c r="F803">
        <v>90</v>
      </c>
      <c r="G803">
        <v>12</v>
      </c>
      <c r="H803">
        <v>6</v>
      </c>
      <c r="I803" s="20">
        <f t="shared" si="12"/>
        <v>0.5</v>
      </c>
      <c r="J803" s="21">
        <f>(IFERROR(_xlfn.PERCENTRANK.INC($B$2:$B$1194,B803)*100,0)*PARAMS_MODELO!$B$25)+(IFERROR(_xlfn.PERCENTRANK.INC($C$2:$C$1194,C803)*100,0)*PARAMS_MODELO!$B$26)+(IFERROR(_xlfn.PERCENTRANK.INC($E$2:$E$1194,E803)*100,0)*PARAMS_MODELO!$B$27)+(IFERROR(_xlfn.PERCENTRANK.INC($F$2:$F$1194,F803)*100,0)*PARAMS_MODELO!$B$29)+(IFERROR(_xlfn.PERCENTRANK.INC($I$2:$I$1194,I803)*100,0)*PARAMS_MODELO!$B$31)</f>
        <v>67.399999999999991</v>
      </c>
    </row>
    <row r="804" spans="1:10" x14ac:dyDescent="0.3">
      <c r="A804">
        <v>51017587</v>
      </c>
      <c r="B804">
        <v>40</v>
      </c>
      <c r="C804">
        <v>20</v>
      </c>
      <c r="D804">
        <v>65</v>
      </c>
      <c r="E804" s="21">
        <f>D804/PARAMS_MODELO!$B$28</f>
        <v>2.1666666666666665</v>
      </c>
      <c r="F804">
        <v>17</v>
      </c>
      <c r="G804">
        <v>21</v>
      </c>
      <c r="H804">
        <v>8</v>
      </c>
      <c r="I804" s="20">
        <f t="shared" si="12"/>
        <v>0.38095238095238093</v>
      </c>
      <c r="J804" s="21">
        <f>(IFERROR(_xlfn.PERCENTRANK.INC($B$2:$B$1194,B804)*100,0)*PARAMS_MODELO!$B$25)+(IFERROR(_xlfn.PERCENTRANK.INC($C$2:$C$1194,C804)*100,0)*PARAMS_MODELO!$B$26)+(IFERROR(_xlfn.PERCENTRANK.INC($E$2:$E$1194,E804)*100,0)*PARAMS_MODELO!$B$27)+(IFERROR(_xlfn.PERCENTRANK.INC($F$2:$F$1194,F804)*100,0)*PARAMS_MODELO!$B$29)+(IFERROR(_xlfn.PERCENTRANK.INC($I$2:$I$1194,I804)*100,0)*PARAMS_MODELO!$B$31)</f>
        <v>49.305</v>
      </c>
    </row>
    <row r="805" spans="1:10" x14ac:dyDescent="0.3">
      <c r="A805">
        <v>51018214</v>
      </c>
      <c r="B805">
        <v>24</v>
      </c>
      <c r="C805">
        <v>12</v>
      </c>
      <c r="D805">
        <v>1</v>
      </c>
      <c r="E805" s="21">
        <f>D805/PARAMS_MODELO!$B$28</f>
        <v>3.3333333333333333E-2</v>
      </c>
      <c r="F805">
        <v>39</v>
      </c>
      <c r="G805">
        <v>33</v>
      </c>
      <c r="H805">
        <v>4</v>
      </c>
      <c r="I805" s="20">
        <f t="shared" si="12"/>
        <v>0.12121212121212122</v>
      </c>
      <c r="J805" s="21">
        <f>(IFERROR(_xlfn.PERCENTRANK.INC($B$2:$B$1194,B805)*100,0)*PARAMS_MODELO!$B$25)+(IFERROR(_xlfn.PERCENTRANK.INC($C$2:$C$1194,C805)*100,0)*PARAMS_MODELO!$B$26)+(IFERROR(_xlfn.PERCENTRANK.INC($E$2:$E$1194,E805)*100,0)*PARAMS_MODELO!$B$27)+(IFERROR(_xlfn.PERCENTRANK.INC($F$2:$F$1194,F805)*100,0)*PARAMS_MODELO!$B$29)+(IFERROR(_xlfn.PERCENTRANK.INC($I$2:$I$1194,I805)*100,0)*PARAMS_MODELO!$B$31)</f>
        <v>25.389999999999997</v>
      </c>
    </row>
    <row r="806" spans="1:10" x14ac:dyDescent="0.3">
      <c r="A806">
        <v>51016661</v>
      </c>
      <c r="B806">
        <v>79</v>
      </c>
      <c r="C806">
        <v>22</v>
      </c>
      <c r="D806">
        <v>80</v>
      </c>
      <c r="E806" s="21">
        <f>D806/PARAMS_MODELO!$B$28</f>
        <v>2.6666666666666665</v>
      </c>
      <c r="F806">
        <v>91</v>
      </c>
      <c r="G806">
        <v>89</v>
      </c>
      <c r="H806">
        <v>23</v>
      </c>
      <c r="I806" s="20">
        <f t="shared" si="12"/>
        <v>0.25842696629213485</v>
      </c>
      <c r="J806" s="21">
        <f>(IFERROR(_xlfn.PERCENTRANK.INC($B$2:$B$1194,B806)*100,0)*PARAMS_MODELO!$B$25)+(IFERROR(_xlfn.PERCENTRANK.INC($C$2:$C$1194,C806)*100,0)*PARAMS_MODELO!$B$26)+(IFERROR(_xlfn.PERCENTRANK.INC($E$2:$E$1194,E806)*100,0)*PARAMS_MODELO!$B$27)+(IFERROR(_xlfn.PERCENTRANK.INC($F$2:$F$1194,F806)*100,0)*PARAMS_MODELO!$B$29)+(IFERROR(_xlfn.PERCENTRANK.INC($I$2:$I$1194,I806)*100,0)*PARAMS_MODELO!$B$31)</f>
        <v>75.99499999999999</v>
      </c>
    </row>
    <row r="807" spans="1:10" x14ac:dyDescent="0.3">
      <c r="A807">
        <v>51002296</v>
      </c>
      <c r="B807">
        <v>44</v>
      </c>
      <c r="C807">
        <v>9</v>
      </c>
      <c r="D807">
        <v>47</v>
      </c>
      <c r="E807" s="21">
        <f>D807/PARAMS_MODELO!$B$28</f>
        <v>1.5666666666666667</v>
      </c>
      <c r="F807">
        <v>97</v>
      </c>
      <c r="G807">
        <v>49</v>
      </c>
      <c r="H807">
        <v>9</v>
      </c>
      <c r="I807" s="20">
        <f t="shared" si="12"/>
        <v>0.18367346938775511</v>
      </c>
      <c r="J807" s="21">
        <f>(IFERROR(_xlfn.PERCENTRANK.INC($B$2:$B$1194,B807)*100,0)*PARAMS_MODELO!$B$25)+(IFERROR(_xlfn.PERCENTRANK.INC($C$2:$C$1194,C807)*100,0)*PARAMS_MODELO!$B$26)+(IFERROR(_xlfn.PERCENTRANK.INC($E$2:$E$1194,E807)*100,0)*PARAMS_MODELO!$B$27)+(IFERROR(_xlfn.PERCENTRANK.INC($F$2:$F$1194,F807)*100,0)*PARAMS_MODELO!$B$29)+(IFERROR(_xlfn.PERCENTRANK.INC($I$2:$I$1194,I807)*100,0)*PARAMS_MODELO!$B$31)</f>
        <v>47.164999999999992</v>
      </c>
    </row>
    <row r="808" spans="1:10" x14ac:dyDescent="0.3">
      <c r="A808">
        <v>51016998</v>
      </c>
      <c r="B808">
        <v>1</v>
      </c>
      <c r="C808">
        <v>12</v>
      </c>
      <c r="D808">
        <v>42</v>
      </c>
      <c r="E808" s="21">
        <f>D808/PARAMS_MODELO!$B$28</f>
        <v>1.4</v>
      </c>
      <c r="F808">
        <v>46</v>
      </c>
      <c r="G808">
        <v>57</v>
      </c>
      <c r="H808">
        <v>4</v>
      </c>
      <c r="I808" s="20">
        <f t="shared" si="12"/>
        <v>7.0175438596491224E-2</v>
      </c>
      <c r="J808" s="21">
        <f>(IFERROR(_xlfn.PERCENTRANK.INC($B$2:$B$1194,B808)*100,0)*PARAMS_MODELO!$B$25)+(IFERROR(_xlfn.PERCENTRANK.INC($C$2:$C$1194,C808)*100,0)*PARAMS_MODELO!$B$26)+(IFERROR(_xlfn.PERCENTRANK.INC($E$2:$E$1194,E808)*100,0)*PARAMS_MODELO!$B$27)+(IFERROR(_xlfn.PERCENTRANK.INC($F$2:$F$1194,F808)*100,0)*PARAMS_MODELO!$B$29)+(IFERROR(_xlfn.PERCENTRANK.INC($I$2:$I$1194,I808)*100,0)*PARAMS_MODELO!$B$31)</f>
        <v>27.545000000000002</v>
      </c>
    </row>
    <row r="809" spans="1:10" x14ac:dyDescent="0.3">
      <c r="A809">
        <v>51005325</v>
      </c>
      <c r="B809">
        <v>38</v>
      </c>
      <c r="C809">
        <v>11</v>
      </c>
      <c r="D809">
        <v>8</v>
      </c>
      <c r="E809" s="21">
        <f>D809/PARAMS_MODELO!$B$28</f>
        <v>0.26666666666666666</v>
      </c>
      <c r="F809">
        <v>89</v>
      </c>
      <c r="G809">
        <v>55</v>
      </c>
      <c r="H809">
        <v>7</v>
      </c>
      <c r="I809" s="20">
        <f t="shared" si="12"/>
        <v>0.12727272727272726</v>
      </c>
      <c r="J809" s="21">
        <f>(IFERROR(_xlfn.PERCENTRANK.INC($B$2:$B$1194,B809)*100,0)*PARAMS_MODELO!$B$25)+(IFERROR(_xlfn.PERCENTRANK.INC($C$2:$C$1194,C809)*100,0)*PARAMS_MODELO!$B$26)+(IFERROR(_xlfn.PERCENTRANK.INC($E$2:$E$1194,E809)*100,0)*PARAMS_MODELO!$B$27)+(IFERROR(_xlfn.PERCENTRANK.INC($F$2:$F$1194,F809)*100,0)*PARAMS_MODELO!$B$29)+(IFERROR(_xlfn.PERCENTRANK.INC($I$2:$I$1194,I809)*100,0)*PARAMS_MODELO!$B$31)</f>
        <v>37.36</v>
      </c>
    </row>
    <row r="810" spans="1:10" x14ac:dyDescent="0.3">
      <c r="A810">
        <v>51011937</v>
      </c>
      <c r="B810">
        <v>43</v>
      </c>
      <c r="C810">
        <v>2</v>
      </c>
      <c r="D810">
        <v>22</v>
      </c>
      <c r="E810" s="21">
        <f>D810/PARAMS_MODELO!$B$28</f>
        <v>0.73333333333333328</v>
      </c>
      <c r="F810">
        <v>22</v>
      </c>
      <c r="G810">
        <v>33</v>
      </c>
      <c r="H810">
        <v>10</v>
      </c>
      <c r="I810" s="20">
        <f t="shared" si="12"/>
        <v>0.30303030303030304</v>
      </c>
      <c r="J810" s="21">
        <f>(IFERROR(_xlfn.PERCENTRANK.INC($B$2:$B$1194,B810)*100,0)*PARAMS_MODELO!$B$25)+(IFERROR(_xlfn.PERCENTRANK.INC($C$2:$C$1194,C810)*100,0)*PARAMS_MODELO!$B$26)+(IFERROR(_xlfn.PERCENTRANK.INC($E$2:$E$1194,E810)*100,0)*PARAMS_MODELO!$B$27)+(IFERROR(_xlfn.PERCENTRANK.INC($F$2:$F$1194,F810)*100,0)*PARAMS_MODELO!$B$29)+(IFERROR(_xlfn.PERCENTRANK.INC($I$2:$I$1194,I810)*100,0)*PARAMS_MODELO!$B$31)</f>
        <v>24.729999999999997</v>
      </c>
    </row>
    <row r="811" spans="1:10" x14ac:dyDescent="0.3">
      <c r="A811">
        <v>51033191</v>
      </c>
      <c r="B811">
        <v>27</v>
      </c>
      <c r="C811">
        <v>21</v>
      </c>
      <c r="D811">
        <v>9</v>
      </c>
      <c r="E811" s="21">
        <f>D811/PARAMS_MODELO!$B$28</f>
        <v>0.3</v>
      </c>
      <c r="F811">
        <v>83</v>
      </c>
      <c r="G811">
        <v>18</v>
      </c>
      <c r="H811">
        <v>0</v>
      </c>
      <c r="I811" s="20">
        <f t="shared" si="12"/>
        <v>0</v>
      </c>
      <c r="J811" s="21">
        <f>(IFERROR(_xlfn.PERCENTRANK.INC($B$2:$B$1194,B811)*100,0)*PARAMS_MODELO!$B$25)+(IFERROR(_xlfn.PERCENTRANK.INC($C$2:$C$1194,C811)*100,0)*PARAMS_MODELO!$B$26)+(IFERROR(_xlfn.PERCENTRANK.INC($E$2:$E$1194,E811)*100,0)*PARAMS_MODELO!$B$27)+(IFERROR(_xlfn.PERCENTRANK.INC($F$2:$F$1194,F811)*100,0)*PARAMS_MODELO!$B$29)+(IFERROR(_xlfn.PERCENTRANK.INC($I$2:$I$1194,I811)*100,0)*PARAMS_MODELO!$B$31)</f>
        <v>41.57</v>
      </c>
    </row>
    <row r="812" spans="1:10" x14ac:dyDescent="0.3">
      <c r="A812">
        <v>51032560</v>
      </c>
      <c r="B812">
        <v>79</v>
      </c>
      <c r="C812">
        <v>6</v>
      </c>
      <c r="D812">
        <v>41</v>
      </c>
      <c r="E812" s="21">
        <f>D812/PARAMS_MODELO!$B$28</f>
        <v>1.3666666666666667</v>
      </c>
      <c r="F812">
        <v>88</v>
      </c>
      <c r="G812">
        <v>70</v>
      </c>
      <c r="H812">
        <v>67</v>
      </c>
      <c r="I812" s="20">
        <f t="shared" si="12"/>
        <v>0.95714285714285718</v>
      </c>
      <c r="J812" s="21">
        <f>(IFERROR(_xlfn.PERCENTRANK.INC($B$2:$B$1194,B812)*100,0)*PARAMS_MODELO!$B$25)+(IFERROR(_xlfn.PERCENTRANK.INC($C$2:$C$1194,C812)*100,0)*PARAMS_MODELO!$B$26)+(IFERROR(_xlfn.PERCENTRANK.INC($E$2:$E$1194,E812)*100,0)*PARAMS_MODELO!$B$27)+(IFERROR(_xlfn.PERCENTRANK.INC($F$2:$F$1194,F812)*100,0)*PARAMS_MODELO!$B$29)+(IFERROR(_xlfn.PERCENTRANK.INC($I$2:$I$1194,I812)*100,0)*PARAMS_MODELO!$B$31)</f>
        <v>59.635000000000005</v>
      </c>
    </row>
    <row r="813" spans="1:10" x14ac:dyDescent="0.3">
      <c r="A813">
        <v>51056302</v>
      </c>
      <c r="B813">
        <v>23</v>
      </c>
      <c r="C813">
        <v>8</v>
      </c>
      <c r="D813">
        <v>12</v>
      </c>
      <c r="E813" s="21">
        <f>D813/PARAMS_MODELO!$B$28</f>
        <v>0.4</v>
      </c>
      <c r="F813">
        <v>88</v>
      </c>
      <c r="G813">
        <v>30</v>
      </c>
      <c r="H813">
        <v>1</v>
      </c>
      <c r="I813" s="20">
        <f t="shared" si="12"/>
        <v>3.3333333333333333E-2</v>
      </c>
      <c r="J813" s="21">
        <f>(IFERROR(_xlfn.PERCENTRANK.INC($B$2:$B$1194,B813)*100,0)*PARAMS_MODELO!$B$25)+(IFERROR(_xlfn.PERCENTRANK.INC($C$2:$C$1194,C813)*100,0)*PARAMS_MODELO!$B$26)+(IFERROR(_xlfn.PERCENTRANK.INC($E$2:$E$1194,E813)*100,0)*PARAMS_MODELO!$B$27)+(IFERROR(_xlfn.PERCENTRANK.INC($F$2:$F$1194,F813)*100,0)*PARAMS_MODELO!$B$29)+(IFERROR(_xlfn.PERCENTRANK.INC($I$2:$I$1194,I813)*100,0)*PARAMS_MODELO!$B$31)</f>
        <v>29.795000000000002</v>
      </c>
    </row>
    <row r="814" spans="1:10" x14ac:dyDescent="0.3">
      <c r="A814">
        <v>51032659</v>
      </c>
      <c r="B814">
        <v>18</v>
      </c>
      <c r="C814">
        <v>4</v>
      </c>
      <c r="D814">
        <v>99</v>
      </c>
      <c r="E814" s="21">
        <f>D814/PARAMS_MODELO!$B$28</f>
        <v>3.3</v>
      </c>
      <c r="F814">
        <v>20</v>
      </c>
      <c r="G814">
        <v>86</v>
      </c>
      <c r="H814">
        <v>20</v>
      </c>
      <c r="I814" s="20">
        <f t="shared" si="12"/>
        <v>0.23255813953488372</v>
      </c>
      <c r="J814" s="21">
        <f>(IFERROR(_xlfn.PERCENTRANK.INC($B$2:$B$1194,B814)*100,0)*PARAMS_MODELO!$B$25)+(IFERROR(_xlfn.PERCENTRANK.INC($C$2:$C$1194,C814)*100,0)*PARAMS_MODELO!$B$26)+(IFERROR(_xlfn.PERCENTRANK.INC($E$2:$E$1194,E814)*100,0)*PARAMS_MODELO!$B$27)+(IFERROR(_xlfn.PERCENTRANK.INC($F$2:$F$1194,F814)*100,0)*PARAMS_MODELO!$B$29)+(IFERROR(_xlfn.PERCENTRANK.INC($I$2:$I$1194,I814)*100,0)*PARAMS_MODELO!$B$31)</f>
        <v>33.675000000000004</v>
      </c>
    </row>
    <row r="815" spans="1:10" x14ac:dyDescent="0.3">
      <c r="A815">
        <v>51017129</v>
      </c>
      <c r="B815">
        <v>24</v>
      </c>
      <c r="C815">
        <v>18</v>
      </c>
      <c r="D815">
        <v>89</v>
      </c>
      <c r="E815" s="21">
        <f>D815/PARAMS_MODELO!$B$28</f>
        <v>2.9666666666666668</v>
      </c>
      <c r="F815">
        <v>99</v>
      </c>
      <c r="G815">
        <v>38</v>
      </c>
      <c r="H815">
        <v>19</v>
      </c>
      <c r="I815" s="20">
        <f t="shared" si="12"/>
        <v>0.5</v>
      </c>
      <c r="J815" s="21">
        <f>(IFERROR(_xlfn.PERCENTRANK.INC($B$2:$B$1194,B815)*100,0)*PARAMS_MODELO!$B$25)+(IFERROR(_xlfn.PERCENTRANK.INC($C$2:$C$1194,C815)*100,0)*PARAMS_MODELO!$B$26)+(IFERROR(_xlfn.PERCENTRANK.INC($E$2:$E$1194,E815)*100,0)*PARAMS_MODELO!$B$27)+(IFERROR(_xlfn.PERCENTRANK.INC($F$2:$F$1194,F815)*100,0)*PARAMS_MODELO!$B$29)+(IFERROR(_xlfn.PERCENTRANK.INC($I$2:$I$1194,I815)*100,0)*PARAMS_MODELO!$B$31)</f>
        <v>60.904999999999994</v>
      </c>
    </row>
    <row r="816" spans="1:10" x14ac:dyDescent="0.3">
      <c r="A816">
        <v>51036191</v>
      </c>
      <c r="B816">
        <v>68</v>
      </c>
      <c r="C816">
        <v>12</v>
      </c>
      <c r="D816">
        <v>1</v>
      </c>
      <c r="E816" s="21">
        <f>D816/PARAMS_MODELO!$B$28</f>
        <v>3.3333333333333333E-2</v>
      </c>
      <c r="F816">
        <v>33</v>
      </c>
      <c r="G816">
        <v>43</v>
      </c>
      <c r="H816">
        <v>8</v>
      </c>
      <c r="I816" s="20">
        <f t="shared" si="12"/>
        <v>0.18604651162790697</v>
      </c>
      <c r="J816" s="21">
        <f>(IFERROR(_xlfn.PERCENTRANK.INC($B$2:$B$1194,B816)*100,0)*PARAMS_MODELO!$B$25)+(IFERROR(_xlfn.PERCENTRANK.INC($C$2:$C$1194,C816)*100,0)*PARAMS_MODELO!$B$26)+(IFERROR(_xlfn.PERCENTRANK.INC($E$2:$E$1194,E816)*100,0)*PARAMS_MODELO!$B$27)+(IFERROR(_xlfn.PERCENTRANK.INC($F$2:$F$1194,F816)*100,0)*PARAMS_MODELO!$B$29)+(IFERROR(_xlfn.PERCENTRANK.INC($I$2:$I$1194,I816)*100,0)*PARAMS_MODELO!$B$31)</f>
        <v>38.14</v>
      </c>
    </row>
    <row r="817" spans="1:10" x14ac:dyDescent="0.3">
      <c r="A817">
        <v>51011562</v>
      </c>
      <c r="B817">
        <v>78</v>
      </c>
      <c r="C817">
        <v>21</v>
      </c>
      <c r="D817">
        <v>28</v>
      </c>
      <c r="E817" s="21">
        <f>D817/PARAMS_MODELO!$B$28</f>
        <v>0.93333333333333335</v>
      </c>
      <c r="F817">
        <v>58</v>
      </c>
      <c r="G817">
        <v>82</v>
      </c>
      <c r="H817">
        <v>77</v>
      </c>
      <c r="I817" s="20">
        <f t="shared" si="12"/>
        <v>0.93902439024390238</v>
      </c>
      <c r="J817" s="21">
        <f>(IFERROR(_xlfn.PERCENTRANK.INC($B$2:$B$1194,B817)*100,0)*PARAMS_MODELO!$B$25)+(IFERROR(_xlfn.PERCENTRANK.INC($C$2:$C$1194,C817)*100,0)*PARAMS_MODELO!$B$26)+(IFERROR(_xlfn.PERCENTRANK.INC($E$2:$E$1194,E817)*100,0)*PARAMS_MODELO!$B$27)+(IFERROR(_xlfn.PERCENTRANK.INC($F$2:$F$1194,F817)*100,0)*PARAMS_MODELO!$B$29)+(IFERROR(_xlfn.PERCENTRANK.INC($I$2:$I$1194,I817)*100,0)*PARAMS_MODELO!$B$31)</f>
        <v>66.014999999999986</v>
      </c>
    </row>
    <row r="818" spans="1:10" x14ac:dyDescent="0.3">
      <c r="A818">
        <v>51018346</v>
      </c>
      <c r="B818">
        <v>57</v>
      </c>
      <c r="C818">
        <v>19</v>
      </c>
      <c r="D818">
        <v>38</v>
      </c>
      <c r="E818" s="21">
        <f>D818/PARAMS_MODELO!$B$28</f>
        <v>1.2666666666666666</v>
      </c>
      <c r="F818">
        <v>88</v>
      </c>
      <c r="G818">
        <v>73</v>
      </c>
      <c r="H818">
        <v>53</v>
      </c>
      <c r="I818" s="20">
        <f t="shared" si="12"/>
        <v>0.72602739726027399</v>
      </c>
      <c r="J818" s="21">
        <f>(IFERROR(_xlfn.PERCENTRANK.INC($B$2:$B$1194,B818)*100,0)*PARAMS_MODELO!$B$25)+(IFERROR(_xlfn.PERCENTRANK.INC($C$2:$C$1194,C818)*100,0)*PARAMS_MODELO!$B$26)+(IFERROR(_xlfn.PERCENTRANK.INC($E$2:$E$1194,E818)*100,0)*PARAMS_MODELO!$B$27)+(IFERROR(_xlfn.PERCENTRANK.INC($F$2:$F$1194,F818)*100,0)*PARAMS_MODELO!$B$29)+(IFERROR(_xlfn.PERCENTRANK.INC($I$2:$I$1194,I818)*100,0)*PARAMS_MODELO!$B$31)</f>
        <v>62.115000000000009</v>
      </c>
    </row>
    <row r="819" spans="1:10" x14ac:dyDescent="0.3">
      <c r="A819">
        <v>51042514</v>
      </c>
      <c r="B819">
        <v>53</v>
      </c>
      <c r="C819">
        <v>23</v>
      </c>
      <c r="D819">
        <v>97</v>
      </c>
      <c r="E819" s="21">
        <f>D819/PARAMS_MODELO!$B$28</f>
        <v>3.2333333333333334</v>
      </c>
      <c r="F819">
        <v>92</v>
      </c>
      <c r="G819">
        <v>44</v>
      </c>
      <c r="H819">
        <v>27</v>
      </c>
      <c r="I819" s="20">
        <f t="shared" si="12"/>
        <v>0.61363636363636365</v>
      </c>
      <c r="J819" s="21">
        <f>(IFERROR(_xlfn.PERCENTRANK.INC($B$2:$B$1194,B819)*100,0)*PARAMS_MODELO!$B$25)+(IFERROR(_xlfn.PERCENTRANK.INC($C$2:$C$1194,C819)*100,0)*PARAMS_MODELO!$B$26)+(IFERROR(_xlfn.PERCENTRANK.INC($E$2:$E$1194,E819)*100,0)*PARAMS_MODELO!$B$27)+(IFERROR(_xlfn.PERCENTRANK.INC($F$2:$F$1194,F819)*100,0)*PARAMS_MODELO!$B$29)+(IFERROR(_xlfn.PERCENTRANK.INC($I$2:$I$1194,I819)*100,0)*PARAMS_MODELO!$B$31)</f>
        <v>75.835000000000008</v>
      </c>
    </row>
    <row r="820" spans="1:10" x14ac:dyDescent="0.3">
      <c r="A820">
        <v>51056906</v>
      </c>
      <c r="B820">
        <v>69</v>
      </c>
      <c r="C820">
        <v>1</v>
      </c>
      <c r="D820">
        <v>41</v>
      </c>
      <c r="E820" s="21">
        <f>D820/PARAMS_MODELO!$B$28</f>
        <v>1.3666666666666667</v>
      </c>
      <c r="F820">
        <v>98</v>
      </c>
      <c r="G820">
        <v>21</v>
      </c>
      <c r="H820">
        <v>0</v>
      </c>
      <c r="I820" s="20">
        <f t="shared" si="12"/>
        <v>0</v>
      </c>
      <c r="J820" s="21">
        <f>(IFERROR(_xlfn.PERCENTRANK.INC($B$2:$B$1194,B820)*100,0)*PARAMS_MODELO!$B$25)+(IFERROR(_xlfn.PERCENTRANK.INC($C$2:$C$1194,C820)*100,0)*PARAMS_MODELO!$B$26)+(IFERROR(_xlfn.PERCENTRANK.INC($E$2:$E$1194,E820)*100,0)*PARAMS_MODELO!$B$27)+(IFERROR(_xlfn.PERCENTRANK.INC($F$2:$F$1194,F820)*100,0)*PARAMS_MODELO!$B$29)+(IFERROR(_xlfn.PERCENTRANK.INC($I$2:$I$1194,I820)*100,0)*PARAMS_MODELO!$B$31)</f>
        <v>43.8</v>
      </c>
    </row>
    <row r="821" spans="1:10" x14ac:dyDescent="0.3">
      <c r="A821">
        <v>51043375</v>
      </c>
      <c r="B821">
        <v>99</v>
      </c>
      <c r="C821">
        <v>21</v>
      </c>
      <c r="D821">
        <v>67</v>
      </c>
      <c r="E821" s="21">
        <f>D821/PARAMS_MODELO!$B$28</f>
        <v>2.2333333333333334</v>
      </c>
      <c r="F821">
        <v>82</v>
      </c>
      <c r="G821">
        <v>43</v>
      </c>
      <c r="H821">
        <v>32</v>
      </c>
      <c r="I821" s="20">
        <f t="shared" si="12"/>
        <v>0.7441860465116279</v>
      </c>
      <c r="J821" s="21">
        <f>(IFERROR(_xlfn.PERCENTRANK.INC($B$2:$B$1194,B821)*100,0)*PARAMS_MODELO!$B$25)+(IFERROR(_xlfn.PERCENTRANK.INC($C$2:$C$1194,C821)*100,0)*PARAMS_MODELO!$B$26)+(IFERROR(_xlfn.PERCENTRANK.INC($E$2:$E$1194,E821)*100,0)*PARAMS_MODELO!$B$27)+(IFERROR(_xlfn.PERCENTRANK.INC($F$2:$F$1194,F821)*100,0)*PARAMS_MODELO!$B$29)+(IFERROR(_xlfn.PERCENTRANK.INC($I$2:$I$1194,I821)*100,0)*PARAMS_MODELO!$B$31)</f>
        <v>82.164999999999992</v>
      </c>
    </row>
    <row r="822" spans="1:10" x14ac:dyDescent="0.3">
      <c r="A822">
        <v>51055691</v>
      </c>
      <c r="B822">
        <v>84</v>
      </c>
      <c r="C822">
        <v>25</v>
      </c>
      <c r="D822">
        <v>34</v>
      </c>
      <c r="E822" s="21">
        <f>D822/PARAMS_MODELO!$B$28</f>
        <v>1.1333333333333333</v>
      </c>
      <c r="F822">
        <v>29</v>
      </c>
      <c r="G822">
        <v>39</v>
      </c>
      <c r="H822">
        <v>9</v>
      </c>
      <c r="I822" s="20">
        <f t="shared" si="12"/>
        <v>0.23076923076923078</v>
      </c>
      <c r="J822" s="21">
        <f>(IFERROR(_xlfn.PERCENTRANK.INC($B$2:$B$1194,B822)*100,0)*PARAMS_MODELO!$B$25)+(IFERROR(_xlfn.PERCENTRANK.INC($C$2:$C$1194,C822)*100,0)*PARAMS_MODELO!$B$26)+(IFERROR(_xlfn.PERCENTRANK.INC($E$2:$E$1194,E822)*100,0)*PARAMS_MODELO!$B$27)+(IFERROR(_xlfn.PERCENTRANK.INC($F$2:$F$1194,F822)*100,0)*PARAMS_MODELO!$B$29)+(IFERROR(_xlfn.PERCENTRANK.INC($I$2:$I$1194,I822)*100,0)*PARAMS_MODELO!$B$31)</f>
        <v>61.554999999999993</v>
      </c>
    </row>
    <row r="823" spans="1:10" x14ac:dyDescent="0.3">
      <c r="A823">
        <v>51018958</v>
      </c>
      <c r="B823">
        <v>19</v>
      </c>
      <c r="C823">
        <v>9</v>
      </c>
      <c r="D823">
        <v>90</v>
      </c>
      <c r="E823" s="21">
        <f>D823/PARAMS_MODELO!$B$28</f>
        <v>3</v>
      </c>
      <c r="F823">
        <v>27</v>
      </c>
      <c r="G823">
        <v>97</v>
      </c>
      <c r="H823">
        <v>42</v>
      </c>
      <c r="I823" s="20">
        <f t="shared" si="12"/>
        <v>0.4329896907216495</v>
      </c>
      <c r="J823" s="21">
        <f>(IFERROR(_xlfn.PERCENTRANK.INC($B$2:$B$1194,B823)*100,0)*PARAMS_MODELO!$B$25)+(IFERROR(_xlfn.PERCENTRANK.INC($C$2:$C$1194,C823)*100,0)*PARAMS_MODELO!$B$26)+(IFERROR(_xlfn.PERCENTRANK.INC($E$2:$E$1194,E823)*100,0)*PARAMS_MODELO!$B$27)+(IFERROR(_xlfn.PERCENTRANK.INC($F$2:$F$1194,F823)*100,0)*PARAMS_MODELO!$B$29)+(IFERROR(_xlfn.PERCENTRANK.INC($I$2:$I$1194,I823)*100,0)*PARAMS_MODELO!$B$31)</f>
        <v>39.655000000000001</v>
      </c>
    </row>
    <row r="824" spans="1:10" x14ac:dyDescent="0.3">
      <c r="A824">
        <v>51054903</v>
      </c>
      <c r="B824">
        <v>79</v>
      </c>
      <c r="C824">
        <v>4</v>
      </c>
      <c r="D824">
        <v>13</v>
      </c>
      <c r="E824" s="21">
        <f>D824/PARAMS_MODELO!$B$28</f>
        <v>0.43333333333333335</v>
      </c>
      <c r="F824">
        <v>67</v>
      </c>
      <c r="G824">
        <v>70</v>
      </c>
      <c r="H824">
        <v>35</v>
      </c>
      <c r="I824" s="20">
        <f t="shared" si="12"/>
        <v>0.5</v>
      </c>
      <c r="J824" s="21">
        <f>(IFERROR(_xlfn.PERCENTRANK.INC($B$2:$B$1194,B824)*100,0)*PARAMS_MODELO!$B$25)+(IFERROR(_xlfn.PERCENTRANK.INC($C$2:$C$1194,C824)*100,0)*PARAMS_MODELO!$B$26)+(IFERROR(_xlfn.PERCENTRANK.INC($E$2:$E$1194,E824)*100,0)*PARAMS_MODELO!$B$27)+(IFERROR(_xlfn.PERCENTRANK.INC($F$2:$F$1194,F824)*100,0)*PARAMS_MODELO!$B$29)+(IFERROR(_xlfn.PERCENTRANK.INC($I$2:$I$1194,I824)*100,0)*PARAMS_MODELO!$B$31)</f>
        <v>44.434999999999995</v>
      </c>
    </row>
    <row r="825" spans="1:10" x14ac:dyDescent="0.3">
      <c r="A825">
        <v>51022084</v>
      </c>
      <c r="B825">
        <v>96</v>
      </c>
      <c r="C825">
        <v>2</v>
      </c>
      <c r="D825">
        <v>99</v>
      </c>
      <c r="E825" s="21">
        <f>D825/PARAMS_MODELO!$B$28</f>
        <v>3.3</v>
      </c>
      <c r="F825">
        <v>54</v>
      </c>
      <c r="G825">
        <v>41</v>
      </c>
      <c r="H825">
        <v>29</v>
      </c>
      <c r="I825" s="20">
        <f t="shared" si="12"/>
        <v>0.70731707317073167</v>
      </c>
      <c r="J825" s="21">
        <f>(IFERROR(_xlfn.PERCENTRANK.INC($B$2:$B$1194,B825)*100,0)*PARAMS_MODELO!$B$25)+(IFERROR(_xlfn.PERCENTRANK.INC($C$2:$C$1194,C825)*100,0)*PARAMS_MODELO!$B$26)+(IFERROR(_xlfn.PERCENTRANK.INC($E$2:$E$1194,E825)*100,0)*PARAMS_MODELO!$B$27)+(IFERROR(_xlfn.PERCENTRANK.INC($F$2:$F$1194,F825)*100,0)*PARAMS_MODELO!$B$29)+(IFERROR(_xlfn.PERCENTRANK.INC($I$2:$I$1194,I825)*100,0)*PARAMS_MODELO!$B$31)</f>
        <v>64.945000000000007</v>
      </c>
    </row>
    <row r="826" spans="1:10" x14ac:dyDescent="0.3">
      <c r="A826">
        <v>51019202</v>
      </c>
      <c r="B826">
        <v>77</v>
      </c>
      <c r="C826">
        <v>16</v>
      </c>
      <c r="D826">
        <v>9</v>
      </c>
      <c r="E826" s="21">
        <f>D826/PARAMS_MODELO!$B$28</f>
        <v>0.3</v>
      </c>
      <c r="F826">
        <v>64</v>
      </c>
      <c r="G826">
        <v>67</v>
      </c>
      <c r="H826">
        <v>27</v>
      </c>
      <c r="I826" s="20">
        <f t="shared" si="12"/>
        <v>0.40298507462686567</v>
      </c>
      <c r="J826" s="21">
        <f>(IFERROR(_xlfn.PERCENTRANK.INC($B$2:$B$1194,B826)*100,0)*PARAMS_MODELO!$B$25)+(IFERROR(_xlfn.PERCENTRANK.INC($C$2:$C$1194,C826)*100,0)*PARAMS_MODELO!$B$26)+(IFERROR(_xlfn.PERCENTRANK.INC($E$2:$E$1194,E826)*100,0)*PARAMS_MODELO!$B$27)+(IFERROR(_xlfn.PERCENTRANK.INC($F$2:$F$1194,F826)*100,0)*PARAMS_MODELO!$B$29)+(IFERROR(_xlfn.PERCENTRANK.INC($I$2:$I$1194,I826)*100,0)*PARAMS_MODELO!$B$31)</f>
        <v>52.464999999999996</v>
      </c>
    </row>
    <row r="827" spans="1:10" x14ac:dyDescent="0.3">
      <c r="A827">
        <v>51054920</v>
      </c>
      <c r="B827">
        <v>94</v>
      </c>
      <c r="C827">
        <v>15</v>
      </c>
      <c r="D827">
        <v>2</v>
      </c>
      <c r="E827" s="21">
        <f>D827/PARAMS_MODELO!$B$28</f>
        <v>6.6666666666666666E-2</v>
      </c>
      <c r="F827">
        <v>15</v>
      </c>
      <c r="G827">
        <v>8</v>
      </c>
      <c r="H827">
        <v>5</v>
      </c>
      <c r="I827" s="20">
        <f t="shared" si="12"/>
        <v>0.625</v>
      </c>
      <c r="J827" s="21">
        <f>(IFERROR(_xlfn.PERCENTRANK.INC($B$2:$B$1194,B827)*100,0)*PARAMS_MODELO!$B$25)+(IFERROR(_xlfn.PERCENTRANK.INC($C$2:$C$1194,C827)*100,0)*PARAMS_MODELO!$B$26)+(IFERROR(_xlfn.PERCENTRANK.INC($E$2:$E$1194,E827)*100,0)*PARAMS_MODELO!$B$27)+(IFERROR(_xlfn.PERCENTRANK.INC($F$2:$F$1194,F827)*100,0)*PARAMS_MODELO!$B$29)+(IFERROR(_xlfn.PERCENTRANK.INC($I$2:$I$1194,I827)*100,0)*PARAMS_MODELO!$B$31)</f>
        <v>49.854999999999997</v>
      </c>
    </row>
    <row r="828" spans="1:10" x14ac:dyDescent="0.3">
      <c r="A828">
        <v>51010663</v>
      </c>
      <c r="B828">
        <v>6</v>
      </c>
      <c r="C828">
        <v>11</v>
      </c>
      <c r="D828">
        <v>39</v>
      </c>
      <c r="E828" s="21">
        <f>D828/PARAMS_MODELO!$B$28</f>
        <v>1.3</v>
      </c>
      <c r="F828">
        <v>63</v>
      </c>
      <c r="G828">
        <v>35</v>
      </c>
      <c r="H828">
        <v>9</v>
      </c>
      <c r="I828" s="20">
        <f t="shared" si="12"/>
        <v>0.25714285714285712</v>
      </c>
      <c r="J828" s="21">
        <f>(IFERROR(_xlfn.PERCENTRANK.INC($B$2:$B$1194,B828)*100,0)*PARAMS_MODELO!$B$25)+(IFERROR(_xlfn.PERCENTRANK.INC($C$2:$C$1194,C828)*100,0)*PARAMS_MODELO!$B$26)+(IFERROR(_xlfn.PERCENTRANK.INC($E$2:$E$1194,E828)*100,0)*PARAMS_MODELO!$B$27)+(IFERROR(_xlfn.PERCENTRANK.INC($F$2:$F$1194,F828)*100,0)*PARAMS_MODELO!$B$29)+(IFERROR(_xlfn.PERCENTRANK.INC($I$2:$I$1194,I828)*100,0)*PARAMS_MODELO!$B$31)</f>
        <v>31.83</v>
      </c>
    </row>
    <row r="829" spans="1:10" x14ac:dyDescent="0.3">
      <c r="A829">
        <v>51016866</v>
      </c>
      <c r="B829">
        <v>98</v>
      </c>
      <c r="C829">
        <v>3</v>
      </c>
      <c r="D829">
        <v>74</v>
      </c>
      <c r="E829" s="21">
        <f>D829/PARAMS_MODELO!$B$28</f>
        <v>2.4666666666666668</v>
      </c>
      <c r="F829">
        <v>35</v>
      </c>
      <c r="G829">
        <v>30</v>
      </c>
      <c r="H829">
        <v>10</v>
      </c>
      <c r="I829" s="20">
        <f t="shared" si="12"/>
        <v>0.33333333333333331</v>
      </c>
      <c r="J829" s="21">
        <f>(IFERROR(_xlfn.PERCENTRANK.INC($B$2:$B$1194,B829)*100,0)*PARAMS_MODELO!$B$25)+(IFERROR(_xlfn.PERCENTRANK.INC($C$2:$C$1194,C829)*100,0)*PARAMS_MODELO!$B$26)+(IFERROR(_xlfn.PERCENTRANK.INC($E$2:$E$1194,E829)*100,0)*PARAMS_MODELO!$B$27)+(IFERROR(_xlfn.PERCENTRANK.INC($F$2:$F$1194,F829)*100,0)*PARAMS_MODELO!$B$29)+(IFERROR(_xlfn.PERCENTRANK.INC($I$2:$I$1194,I829)*100,0)*PARAMS_MODELO!$B$31)</f>
        <v>55.014999999999993</v>
      </c>
    </row>
    <row r="830" spans="1:10" x14ac:dyDescent="0.3">
      <c r="A830">
        <v>51030184</v>
      </c>
      <c r="B830">
        <v>96</v>
      </c>
      <c r="C830">
        <v>1</v>
      </c>
      <c r="D830">
        <v>93</v>
      </c>
      <c r="E830" s="21">
        <f>D830/PARAMS_MODELO!$B$28</f>
        <v>3.1</v>
      </c>
      <c r="F830">
        <v>35</v>
      </c>
      <c r="G830">
        <v>77</v>
      </c>
      <c r="H830">
        <v>35</v>
      </c>
      <c r="I830" s="20">
        <f t="shared" si="12"/>
        <v>0.45454545454545453</v>
      </c>
      <c r="J830" s="21">
        <f>(IFERROR(_xlfn.PERCENTRANK.INC($B$2:$B$1194,B830)*100,0)*PARAMS_MODELO!$B$25)+(IFERROR(_xlfn.PERCENTRANK.INC($C$2:$C$1194,C830)*100,0)*PARAMS_MODELO!$B$26)+(IFERROR(_xlfn.PERCENTRANK.INC($E$2:$E$1194,E830)*100,0)*PARAMS_MODELO!$B$27)+(IFERROR(_xlfn.PERCENTRANK.INC($F$2:$F$1194,F830)*100,0)*PARAMS_MODELO!$B$29)+(IFERROR(_xlfn.PERCENTRANK.INC($I$2:$I$1194,I830)*100,0)*PARAMS_MODELO!$B$31)</f>
        <v>57.319999999999993</v>
      </c>
    </row>
    <row r="831" spans="1:10" x14ac:dyDescent="0.3">
      <c r="A831">
        <v>51015428</v>
      </c>
      <c r="B831">
        <v>32</v>
      </c>
      <c r="C831">
        <v>21</v>
      </c>
      <c r="D831">
        <v>97</v>
      </c>
      <c r="E831" s="21">
        <f>D831/PARAMS_MODELO!$B$28</f>
        <v>3.2333333333333334</v>
      </c>
      <c r="F831">
        <v>82</v>
      </c>
      <c r="G831">
        <v>75</v>
      </c>
      <c r="H831">
        <v>19</v>
      </c>
      <c r="I831" s="20">
        <f t="shared" si="12"/>
        <v>0.25333333333333335</v>
      </c>
      <c r="J831" s="21">
        <f>(IFERROR(_xlfn.PERCENTRANK.INC($B$2:$B$1194,B831)*100,0)*PARAMS_MODELO!$B$25)+(IFERROR(_xlfn.PERCENTRANK.INC($C$2:$C$1194,C831)*100,0)*PARAMS_MODELO!$B$26)+(IFERROR(_xlfn.PERCENTRANK.INC($E$2:$E$1194,E831)*100,0)*PARAMS_MODELO!$B$27)+(IFERROR(_xlfn.PERCENTRANK.INC($F$2:$F$1194,F831)*100,0)*PARAMS_MODELO!$B$29)+(IFERROR(_xlfn.PERCENTRANK.INC($I$2:$I$1194,I831)*100,0)*PARAMS_MODELO!$B$31)</f>
        <v>63.195</v>
      </c>
    </row>
    <row r="832" spans="1:10" x14ac:dyDescent="0.3">
      <c r="A832">
        <v>51036557</v>
      </c>
      <c r="B832">
        <v>86</v>
      </c>
      <c r="C832">
        <v>17</v>
      </c>
      <c r="D832">
        <v>55</v>
      </c>
      <c r="E832" s="21">
        <f>D832/PARAMS_MODELO!$B$28</f>
        <v>1.8333333333333333</v>
      </c>
      <c r="F832">
        <v>37</v>
      </c>
      <c r="G832">
        <v>72</v>
      </c>
      <c r="H832">
        <v>66</v>
      </c>
      <c r="I832" s="20">
        <f t="shared" si="12"/>
        <v>0.91666666666666663</v>
      </c>
      <c r="J832" s="21">
        <f>(IFERROR(_xlfn.PERCENTRANK.INC($B$2:$B$1194,B832)*100,0)*PARAMS_MODELO!$B$25)+(IFERROR(_xlfn.PERCENTRANK.INC($C$2:$C$1194,C832)*100,0)*PARAMS_MODELO!$B$26)+(IFERROR(_xlfn.PERCENTRANK.INC($E$2:$E$1194,E832)*100,0)*PARAMS_MODELO!$B$27)+(IFERROR(_xlfn.PERCENTRANK.INC($F$2:$F$1194,F832)*100,0)*PARAMS_MODELO!$B$29)+(IFERROR(_xlfn.PERCENTRANK.INC($I$2:$I$1194,I832)*100,0)*PARAMS_MODELO!$B$31)</f>
        <v>66.525000000000006</v>
      </c>
    </row>
    <row r="833" spans="1:10" x14ac:dyDescent="0.3">
      <c r="A833">
        <v>51056175</v>
      </c>
      <c r="B833">
        <v>27</v>
      </c>
      <c r="C833">
        <v>3</v>
      </c>
      <c r="D833">
        <v>16</v>
      </c>
      <c r="E833" s="21">
        <f>D833/PARAMS_MODELO!$B$28</f>
        <v>0.53333333333333333</v>
      </c>
      <c r="F833">
        <v>40</v>
      </c>
      <c r="G833">
        <v>72</v>
      </c>
      <c r="H833">
        <v>67</v>
      </c>
      <c r="I833" s="20">
        <f t="shared" si="12"/>
        <v>0.93055555555555558</v>
      </c>
      <c r="J833" s="21">
        <f>(IFERROR(_xlfn.PERCENTRANK.INC($B$2:$B$1194,B833)*100,0)*PARAMS_MODELO!$B$25)+(IFERROR(_xlfn.PERCENTRANK.INC($C$2:$C$1194,C833)*100,0)*PARAMS_MODELO!$B$26)+(IFERROR(_xlfn.PERCENTRANK.INC($E$2:$E$1194,E833)*100,0)*PARAMS_MODELO!$B$27)+(IFERROR(_xlfn.PERCENTRANK.INC($F$2:$F$1194,F833)*100,0)*PARAMS_MODELO!$B$29)+(IFERROR(_xlfn.PERCENTRANK.INC($I$2:$I$1194,I833)*100,0)*PARAMS_MODELO!$B$31)</f>
        <v>29.05</v>
      </c>
    </row>
    <row r="834" spans="1:10" x14ac:dyDescent="0.3">
      <c r="A834">
        <v>51039190</v>
      </c>
      <c r="B834">
        <v>95</v>
      </c>
      <c r="C834">
        <v>17</v>
      </c>
      <c r="D834">
        <v>34</v>
      </c>
      <c r="E834" s="21">
        <f>D834/PARAMS_MODELO!$B$28</f>
        <v>1.1333333333333333</v>
      </c>
      <c r="F834">
        <v>95</v>
      </c>
      <c r="G834">
        <v>65</v>
      </c>
      <c r="H834">
        <v>4</v>
      </c>
      <c r="I834" s="20">
        <f t="shared" ref="I834:I897" si="13">IFERROR(H834/G834,0)</f>
        <v>6.1538461538461542E-2</v>
      </c>
      <c r="J834" s="21">
        <f>(IFERROR(_xlfn.PERCENTRANK.INC($B$2:$B$1194,B834)*100,0)*PARAMS_MODELO!$B$25)+(IFERROR(_xlfn.PERCENTRANK.INC($C$2:$C$1194,C834)*100,0)*PARAMS_MODELO!$B$26)+(IFERROR(_xlfn.PERCENTRANK.INC($E$2:$E$1194,E834)*100,0)*PARAMS_MODELO!$B$27)+(IFERROR(_xlfn.PERCENTRANK.INC($F$2:$F$1194,F834)*100,0)*PARAMS_MODELO!$B$29)+(IFERROR(_xlfn.PERCENTRANK.INC($I$2:$I$1194,I834)*100,0)*PARAMS_MODELO!$B$31)</f>
        <v>64.900000000000006</v>
      </c>
    </row>
    <row r="835" spans="1:10" x14ac:dyDescent="0.3">
      <c r="A835">
        <v>51056604</v>
      </c>
      <c r="B835">
        <v>100</v>
      </c>
      <c r="C835">
        <v>5</v>
      </c>
      <c r="D835">
        <v>61</v>
      </c>
      <c r="E835" s="21">
        <f>D835/PARAMS_MODELO!$B$28</f>
        <v>2.0333333333333332</v>
      </c>
      <c r="F835">
        <v>88</v>
      </c>
      <c r="G835">
        <v>75</v>
      </c>
      <c r="H835">
        <v>23</v>
      </c>
      <c r="I835" s="20">
        <f t="shared" si="13"/>
        <v>0.30666666666666664</v>
      </c>
      <c r="J835" s="21">
        <f>(IFERROR(_xlfn.PERCENTRANK.INC($B$2:$B$1194,B835)*100,0)*PARAMS_MODELO!$B$25)+(IFERROR(_xlfn.PERCENTRANK.INC($C$2:$C$1194,C835)*100,0)*PARAMS_MODELO!$B$26)+(IFERROR(_xlfn.PERCENTRANK.INC($E$2:$E$1194,E835)*100,0)*PARAMS_MODELO!$B$27)+(IFERROR(_xlfn.PERCENTRANK.INC($F$2:$F$1194,F835)*100,0)*PARAMS_MODELO!$B$29)+(IFERROR(_xlfn.PERCENTRANK.INC($I$2:$I$1194,I835)*100,0)*PARAMS_MODELO!$B$31)</f>
        <v>62.53</v>
      </c>
    </row>
    <row r="836" spans="1:10" x14ac:dyDescent="0.3">
      <c r="A836">
        <v>51021789</v>
      </c>
      <c r="B836">
        <v>69</v>
      </c>
      <c r="C836">
        <v>22</v>
      </c>
      <c r="D836">
        <v>32</v>
      </c>
      <c r="E836" s="21">
        <f>D836/PARAMS_MODELO!$B$28</f>
        <v>1.0666666666666667</v>
      </c>
      <c r="F836">
        <v>84</v>
      </c>
      <c r="G836">
        <v>22</v>
      </c>
      <c r="H836">
        <v>21</v>
      </c>
      <c r="I836" s="20">
        <f t="shared" si="13"/>
        <v>0.95454545454545459</v>
      </c>
      <c r="J836" s="21">
        <f>(IFERROR(_xlfn.PERCENTRANK.INC($B$2:$B$1194,B836)*100,0)*PARAMS_MODELO!$B$25)+(IFERROR(_xlfn.PERCENTRANK.INC($C$2:$C$1194,C836)*100,0)*PARAMS_MODELO!$B$26)+(IFERROR(_xlfn.PERCENTRANK.INC($E$2:$E$1194,E836)*100,0)*PARAMS_MODELO!$B$27)+(IFERROR(_xlfn.PERCENTRANK.INC($F$2:$F$1194,F836)*100,0)*PARAMS_MODELO!$B$29)+(IFERROR(_xlfn.PERCENTRANK.INC($I$2:$I$1194,I836)*100,0)*PARAMS_MODELO!$B$31)</f>
        <v>69.304999999999993</v>
      </c>
    </row>
    <row r="837" spans="1:10" x14ac:dyDescent="0.3">
      <c r="A837">
        <v>51056795</v>
      </c>
      <c r="B837">
        <v>93</v>
      </c>
      <c r="C837">
        <v>21</v>
      </c>
      <c r="D837">
        <v>96</v>
      </c>
      <c r="E837" s="21">
        <f>D837/PARAMS_MODELO!$B$28</f>
        <v>3.2</v>
      </c>
      <c r="F837">
        <v>54</v>
      </c>
      <c r="G837">
        <v>91</v>
      </c>
      <c r="H837">
        <v>68</v>
      </c>
      <c r="I837" s="20">
        <f t="shared" si="13"/>
        <v>0.74725274725274726</v>
      </c>
      <c r="J837" s="21">
        <f>(IFERROR(_xlfn.PERCENTRANK.INC($B$2:$B$1194,B837)*100,0)*PARAMS_MODELO!$B$25)+(IFERROR(_xlfn.PERCENTRANK.INC($C$2:$C$1194,C837)*100,0)*PARAMS_MODELO!$B$26)+(IFERROR(_xlfn.PERCENTRANK.INC($E$2:$E$1194,E837)*100,0)*PARAMS_MODELO!$B$27)+(IFERROR(_xlfn.PERCENTRANK.INC($F$2:$F$1194,F837)*100,0)*PARAMS_MODELO!$B$29)+(IFERROR(_xlfn.PERCENTRANK.INC($I$2:$I$1194,I837)*100,0)*PARAMS_MODELO!$B$31)</f>
        <v>81.25500000000001</v>
      </c>
    </row>
    <row r="838" spans="1:10" x14ac:dyDescent="0.3">
      <c r="A838">
        <v>51056931</v>
      </c>
      <c r="B838">
        <v>63</v>
      </c>
      <c r="C838">
        <v>24</v>
      </c>
      <c r="D838">
        <v>32</v>
      </c>
      <c r="E838" s="21">
        <f>D838/PARAMS_MODELO!$B$28</f>
        <v>1.0666666666666667</v>
      </c>
      <c r="F838">
        <v>18</v>
      </c>
      <c r="G838">
        <v>84</v>
      </c>
      <c r="H838">
        <v>14</v>
      </c>
      <c r="I838" s="20">
        <f t="shared" si="13"/>
        <v>0.16666666666666666</v>
      </c>
      <c r="J838" s="21">
        <f>(IFERROR(_xlfn.PERCENTRANK.INC($B$2:$B$1194,B838)*100,0)*PARAMS_MODELO!$B$25)+(IFERROR(_xlfn.PERCENTRANK.INC($C$2:$C$1194,C838)*100,0)*PARAMS_MODELO!$B$26)+(IFERROR(_xlfn.PERCENTRANK.INC($E$2:$E$1194,E838)*100,0)*PARAMS_MODELO!$B$27)+(IFERROR(_xlfn.PERCENTRANK.INC($F$2:$F$1194,F838)*100,0)*PARAMS_MODELO!$B$29)+(IFERROR(_xlfn.PERCENTRANK.INC($I$2:$I$1194,I838)*100,0)*PARAMS_MODELO!$B$31)</f>
        <v>51.335000000000001</v>
      </c>
    </row>
    <row r="839" spans="1:10" x14ac:dyDescent="0.3">
      <c r="A839">
        <v>51014120</v>
      </c>
      <c r="B839">
        <v>5</v>
      </c>
      <c r="C839">
        <v>12</v>
      </c>
      <c r="D839">
        <v>47</v>
      </c>
      <c r="E839" s="21">
        <f>D839/PARAMS_MODELO!$B$28</f>
        <v>1.5666666666666667</v>
      </c>
      <c r="F839">
        <v>99</v>
      </c>
      <c r="G839">
        <v>22</v>
      </c>
      <c r="H839">
        <v>15</v>
      </c>
      <c r="I839" s="20">
        <f t="shared" si="13"/>
        <v>0.68181818181818177</v>
      </c>
      <c r="J839" s="21">
        <f>(IFERROR(_xlfn.PERCENTRANK.INC($B$2:$B$1194,B839)*100,0)*PARAMS_MODELO!$B$25)+(IFERROR(_xlfn.PERCENTRANK.INC($C$2:$C$1194,C839)*100,0)*PARAMS_MODELO!$B$26)+(IFERROR(_xlfn.PERCENTRANK.INC($E$2:$E$1194,E839)*100,0)*PARAMS_MODELO!$B$27)+(IFERROR(_xlfn.PERCENTRANK.INC($F$2:$F$1194,F839)*100,0)*PARAMS_MODELO!$B$29)+(IFERROR(_xlfn.PERCENTRANK.INC($I$2:$I$1194,I839)*100,0)*PARAMS_MODELO!$B$31)</f>
        <v>43.585000000000001</v>
      </c>
    </row>
    <row r="840" spans="1:10" x14ac:dyDescent="0.3">
      <c r="A840">
        <v>51036182</v>
      </c>
      <c r="B840">
        <v>17</v>
      </c>
      <c r="C840">
        <v>16</v>
      </c>
      <c r="D840">
        <v>31</v>
      </c>
      <c r="E840" s="21">
        <f>D840/PARAMS_MODELO!$B$28</f>
        <v>1.0333333333333334</v>
      </c>
      <c r="F840">
        <v>29</v>
      </c>
      <c r="G840">
        <v>26</v>
      </c>
      <c r="H840">
        <v>18</v>
      </c>
      <c r="I840" s="20">
        <f t="shared" si="13"/>
        <v>0.69230769230769229</v>
      </c>
      <c r="J840" s="21">
        <f>(IFERROR(_xlfn.PERCENTRANK.INC($B$2:$B$1194,B840)*100,0)*PARAMS_MODELO!$B$25)+(IFERROR(_xlfn.PERCENTRANK.INC($C$2:$C$1194,C840)*100,0)*PARAMS_MODELO!$B$26)+(IFERROR(_xlfn.PERCENTRANK.INC($E$2:$E$1194,E840)*100,0)*PARAMS_MODELO!$B$27)+(IFERROR(_xlfn.PERCENTRANK.INC($F$2:$F$1194,F840)*100,0)*PARAMS_MODELO!$B$29)+(IFERROR(_xlfn.PERCENTRANK.INC($I$2:$I$1194,I840)*100,0)*PARAMS_MODELO!$B$31)</f>
        <v>36.270000000000003</v>
      </c>
    </row>
    <row r="841" spans="1:10" x14ac:dyDescent="0.3">
      <c r="A841">
        <v>51011465</v>
      </c>
      <c r="B841">
        <v>17</v>
      </c>
      <c r="C841">
        <v>1</v>
      </c>
      <c r="D841">
        <v>34</v>
      </c>
      <c r="E841" s="21">
        <f>D841/PARAMS_MODELO!$B$28</f>
        <v>1.1333333333333333</v>
      </c>
      <c r="F841">
        <v>99</v>
      </c>
      <c r="G841">
        <v>36</v>
      </c>
      <c r="H841">
        <v>14</v>
      </c>
      <c r="I841" s="20">
        <f t="shared" si="13"/>
        <v>0.3888888888888889</v>
      </c>
      <c r="J841" s="21">
        <f>(IFERROR(_xlfn.PERCENTRANK.INC($B$2:$B$1194,B841)*100,0)*PARAMS_MODELO!$B$25)+(IFERROR(_xlfn.PERCENTRANK.INC($C$2:$C$1194,C841)*100,0)*PARAMS_MODELO!$B$26)+(IFERROR(_xlfn.PERCENTRANK.INC($E$2:$E$1194,E841)*100,0)*PARAMS_MODELO!$B$27)+(IFERROR(_xlfn.PERCENTRANK.INC($F$2:$F$1194,F841)*100,0)*PARAMS_MODELO!$B$29)+(IFERROR(_xlfn.PERCENTRANK.INC($I$2:$I$1194,I841)*100,0)*PARAMS_MODELO!$B$31)</f>
        <v>31.1</v>
      </c>
    </row>
    <row r="842" spans="1:10" x14ac:dyDescent="0.3">
      <c r="A842">
        <v>51006151</v>
      </c>
      <c r="B842">
        <v>11</v>
      </c>
      <c r="C842">
        <v>2</v>
      </c>
      <c r="D842">
        <v>90</v>
      </c>
      <c r="E842" s="21">
        <f>D842/PARAMS_MODELO!$B$28</f>
        <v>3</v>
      </c>
      <c r="F842">
        <v>51</v>
      </c>
      <c r="G842">
        <v>29</v>
      </c>
      <c r="H842">
        <v>15</v>
      </c>
      <c r="I842" s="20">
        <f t="shared" si="13"/>
        <v>0.51724137931034486</v>
      </c>
      <c r="J842" s="21">
        <f>(IFERROR(_xlfn.PERCENTRANK.INC($B$2:$B$1194,B842)*100,0)*PARAMS_MODELO!$B$25)+(IFERROR(_xlfn.PERCENTRANK.INC($C$2:$C$1194,C842)*100,0)*PARAMS_MODELO!$B$26)+(IFERROR(_xlfn.PERCENTRANK.INC($E$2:$E$1194,E842)*100,0)*PARAMS_MODELO!$B$27)+(IFERROR(_xlfn.PERCENTRANK.INC($F$2:$F$1194,F842)*100,0)*PARAMS_MODELO!$B$29)+(IFERROR(_xlfn.PERCENTRANK.INC($I$2:$I$1194,I842)*100,0)*PARAMS_MODELO!$B$31)</f>
        <v>36.205000000000005</v>
      </c>
    </row>
    <row r="843" spans="1:10" x14ac:dyDescent="0.3">
      <c r="A843">
        <v>51033418</v>
      </c>
      <c r="B843">
        <v>79</v>
      </c>
      <c r="C843">
        <v>21</v>
      </c>
      <c r="D843">
        <v>72</v>
      </c>
      <c r="E843" s="21">
        <f>D843/PARAMS_MODELO!$B$28</f>
        <v>2.4</v>
      </c>
      <c r="F843">
        <v>97</v>
      </c>
      <c r="G843">
        <v>27</v>
      </c>
      <c r="H843">
        <v>1</v>
      </c>
      <c r="I843" s="20">
        <f t="shared" si="13"/>
        <v>3.7037037037037035E-2</v>
      </c>
      <c r="J843" s="21">
        <f>(IFERROR(_xlfn.PERCENTRANK.INC($B$2:$B$1194,B843)*100,0)*PARAMS_MODELO!$B$25)+(IFERROR(_xlfn.PERCENTRANK.INC($C$2:$C$1194,C843)*100,0)*PARAMS_MODELO!$B$26)+(IFERROR(_xlfn.PERCENTRANK.INC($E$2:$E$1194,E843)*100,0)*PARAMS_MODELO!$B$27)+(IFERROR(_xlfn.PERCENTRANK.INC($F$2:$F$1194,F843)*100,0)*PARAMS_MODELO!$B$29)+(IFERROR(_xlfn.PERCENTRANK.INC($I$2:$I$1194,I843)*100,0)*PARAMS_MODELO!$B$31)</f>
        <v>72.22</v>
      </c>
    </row>
    <row r="844" spans="1:10" x14ac:dyDescent="0.3">
      <c r="A844">
        <v>51007841</v>
      </c>
      <c r="B844">
        <v>96</v>
      </c>
      <c r="C844">
        <v>4</v>
      </c>
      <c r="D844">
        <v>74</v>
      </c>
      <c r="E844" s="21">
        <f>D844/PARAMS_MODELO!$B$28</f>
        <v>2.4666666666666668</v>
      </c>
      <c r="F844">
        <v>68</v>
      </c>
      <c r="G844">
        <v>41</v>
      </c>
      <c r="H844">
        <v>16</v>
      </c>
      <c r="I844" s="20">
        <f t="shared" si="13"/>
        <v>0.3902439024390244</v>
      </c>
      <c r="J844" s="21">
        <f>(IFERROR(_xlfn.PERCENTRANK.INC($B$2:$B$1194,B844)*100,0)*PARAMS_MODELO!$B$25)+(IFERROR(_xlfn.PERCENTRANK.INC($C$2:$C$1194,C844)*100,0)*PARAMS_MODELO!$B$26)+(IFERROR(_xlfn.PERCENTRANK.INC($E$2:$E$1194,E844)*100,0)*PARAMS_MODELO!$B$27)+(IFERROR(_xlfn.PERCENTRANK.INC($F$2:$F$1194,F844)*100,0)*PARAMS_MODELO!$B$29)+(IFERROR(_xlfn.PERCENTRANK.INC($I$2:$I$1194,I844)*100,0)*PARAMS_MODELO!$B$31)</f>
        <v>60.699999999999996</v>
      </c>
    </row>
    <row r="845" spans="1:10" x14ac:dyDescent="0.3">
      <c r="A845">
        <v>51016602</v>
      </c>
      <c r="B845">
        <v>83</v>
      </c>
      <c r="C845">
        <v>15</v>
      </c>
      <c r="D845">
        <v>48</v>
      </c>
      <c r="E845" s="21">
        <f>D845/PARAMS_MODELO!$B$28</f>
        <v>1.6</v>
      </c>
      <c r="F845">
        <v>89</v>
      </c>
      <c r="G845">
        <v>66</v>
      </c>
      <c r="H845">
        <v>47</v>
      </c>
      <c r="I845" s="20">
        <f t="shared" si="13"/>
        <v>0.71212121212121215</v>
      </c>
      <c r="J845" s="21">
        <f>(IFERROR(_xlfn.PERCENTRANK.INC($B$2:$B$1194,B845)*100,0)*PARAMS_MODELO!$B$25)+(IFERROR(_xlfn.PERCENTRANK.INC($C$2:$C$1194,C845)*100,0)*PARAMS_MODELO!$B$26)+(IFERROR(_xlfn.PERCENTRANK.INC($E$2:$E$1194,E845)*100,0)*PARAMS_MODELO!$B$27)+(IFERROR(_xlfn.PERCENTRANK.INC($F$2:$F$1194,F845)*100,0)*PARAMS_MODELO!$B$29)+(IFERROR(_xlfn.PERCENTRANK.INC($I$2:$I$1194,I845)*100,0)*PARAMS_MODELO!$B$31)</f>
        <v>68.084999999999994</v>
      </c>
    </row>
    <row r="846" spans="1:10" x14ac:dyDescent="0.3">
      <c r="A846">
        <v>51036077</v>
      </c>
      <c r="B846">
        <v>73</v>
      </c>
      <c r="C846">
        <v>19</v>
      </c>
      <c r="D846">
        <v>97</v>
      </c>
      <c r="E846" s="21">
        <f>D846/PARAMS_MODELO!$B$28</f>
        <v>3.2333333333333334</v>
      </c>
      <c r="F846">
        <v>29</v>
      </c>
      <c r="G846">
        <v>18</v>
      </c>
      <c r="H846">
        <v>10</v>
      </c>
      <c r="I846" s="20">
        <f t="shared" si="13"/>
        <v>0.55555555555555558</v>
      </c>
      <c r="J846" s="21">
        <f>(IFERROR(_xlfn.PERCENTRANK.INC($B$2:$B$1194,B846)*100,0)*PARAMS_MODELO!$B$25)+(IFERROR(_xlfn.PERCENTRANK.INC($C$2:$C$1194,C846)*100,0)*PARAMS_MODELO!$B$26)+(IFERROR(_xlfn.PERCENTRANK.INC($E$2:$E$1194,E846)*100,0)*PARAMS_MODELO!$B$27)+(IFERROR(_xlfn.PERCENTRANK.INC($F$2:$F$1194,F846)*100,0)*PARAMS_MODELO!$B$29)+(IFERROR(_xlfn.PERCENTRANK.INC($I$2:$I$1194,I846)*100,0)*PARAMS_MODELO!$B$31)</f>
        <v>68.03</v>
      </c>
    </row>
    <row r="847" spans="1:10" x14ac:dyDescent="0.3">
      <c r="A847">
        <v>51013662</v>
      </c>
      <c r="B847">
        <v>27</v>
      </c>
      <c r="C847">
        <v>23</v>
      </c>
      <c r="D847">
        <v>96</v>
      </c>
      <c r="E847" s="21">
        <f>D847/PARAMS_MODELO!$B$28</f>
        <v>3.2</v>
      </c>
      <c r="F847">
        <v>26</v>
      </c>
      <c r="G847">
        <v>19</v>
      </c>
      <c r="H847">
        <v>0</v>
      </c>
      <c r="I847" s="20">
        <f t="shared" si="13"/>
        <v>0</v>
      </c>
      <c r="J847" s="21">
        <f>(IFERROR(_xlfn.PERCENTRANK.INC($B$2:$B$1194,B847)*100,0)*PARAMS_MODELO!$B$25)+(IFERROR(_xlfn.PERCENTRANK.INC($C$2:$C$1194,C847)*100,0)*PARAMS_MODELO!$B$26)+(IFERROR(_xlfn.PERCENTRANK.INC($E$2:$E$1194,E847)*100,0)*PARAMS_MODELO!$B$27)+(IFERROR(_xlfn.PERCENTRANK.INC($F$2:$F$1194,F847)*100,0)*PARAMS_MODELO!$B$29)+(IFERROR(_xlfn.PERCENTRANK.INC($I$2:$I$1194,I847)*100,0)*PARAMS_MODELO!$B$31)</f>
        <v>51.695</v>
      </c>
    </row>
    <row r="848" spans="1:10" x14ac:dyDescent="0.3">
      <c r="A848">
        <v>51010248</v>
      </c>
      <c r="B848">
        <v>47</v>
      </c>
      <c r="C848">
        <v>25</v>
      </c>
      <c r="D848">
        <v>8</v>
      </c>
      <c r="E848" s="21">
        <f>D848/PARAMS_MODELO!$B$28</f>
        <v>0.26666666666666666</v>
      </c>
      <c r="F848">
        <v>23</v>
      </c>
      <c r="G848">
        <v>88</v>
      </c>
      <c r="H848">
        <v>62</v>
      </c>
      <c r="I848" s="20">
        <f t="shared" si="13"/>
        <v>0.70454545454545459</v>
      </c>
      <c r="J848" s="21">
        <f>(IFERROR(_xlfn.PERCENTRANK.INC($B$2:$B$1194,B848)*100,0)*PARAMS_MODELO!$B$25)+(IFERROR(_xlfn.PERCENTRANK.INC($C$2:$C$1194,C848)*100,0)*PARAMS_MODELO!$B$26)+(IFERROR(_xlfn.PERCENTRANK.INC($E$2:$E$1194,E848)*100,0)*PARAMS_MODELO!$B$27)+(IFERROR(_xlfn.PERCENTRANK.INC($F$2:$F$1194,F848)*100,0)*PARAMS_MODELO!$B$29)+(IFERROR(_xlfn.PERCENTRANK.INC($I$2:$I$1194,I848)*100,0)*PARAMS_MODELO!$B$31)</f>
        <v>49.184999999999995</v>
      </c>
    </row>
    <row r="849" spans="1:10" x14ac:dyDescent="0.3">
      <c r="A849">
        <v>51055764</v>
      </c>
      <c r="B849">
        <v>60</v>
      </c>
      <c r="C849">
        <v>23</v>
      </c>
      <c r="D849">
        <v>55</v>
      </c>
      <c r="E849" s="21">
        <f>D849/PARAMS_MODELO!$B$28</f>
        <v>1.8333333333333333</v>
      </c>
      <c r="F849">
        <v>82</v>
      </c>
      <c r="G849">
        <v>38</v>
      </c>
      <c r="H849">
        <v>15</v>
      </c>
      <c r="I849" s="20">
        <f t="shared" si="13"/>
        <v>0.39473684210526316</v>
      </c>
      <c r="J849" s="21">
        <f>(IFERROR(_xlfn.PERCENTRANK.INC($B$2:$B$1194,B849)*100,0)*PARAMS_MODELO!$B$25)+(IFERROR(_xlfn.PERCENTRANK.INC($C$2:$C$1194,C849)*100,0)*PARAMS_MODELO!$B$26)+(IFERROR(_xlfn.PERCENTRANK.INC($E$2:$E$1194,E849)*100,0)*PARAMS_MODELO!$B$27)+(IFERROR(_xlfn.PERCENTRANK.INC($F$2:$F$1194,F849)*100,0)*PARAMS_MODELO!$B$29)+(IFERROR(_xlfn.PERCENTRANK.INC($I$2:$I$1194,I849)*100,0)*PARAMS_MODELO!$B$31)</f>
        <v>66.190000000000012</v>
      </c>
    </row>
    <row r="850" spans="1:10" x14ac:dyDescent="0.3">
      <c r="A850">
        <v>51012496</v>
      </c>
      <c r="B850">
        <v>2</v>
      </c>
      <c r="C850">
        <v>23</v>
      </c>
      <c r="D850">
        <v>57</v>
      </c>
      <c r="E850" s="21">
        <f>D850/PARAMS_MODELO!$B$28</f>
        <v>1.9</v>
      </c>
      <c r="F850">
        <v>13</v>
      </c>
      <c r="G850">
        <v>91</v>
      </c>
      <c r="H850">
        <v>70</v>
      </c>
      <c r="I850" s="20">
        <f t="shared" si="13"/>
        <v>0.76923076923076927</v>
      </c>
      <c r="J850" s="21">
        <f>(IFERROR(_xlfn.PERCENTRANK.INC($B$2:$B$1194,B850)*100,0)*PARAMS_MODELO!$B$25)+(IFERROR(_xlfn.PERCENTRANK.INC($C$2:$C$1194,C850)*100,0)*PARAMS_MODELO!$B$26)+(IFERROR(_xlfn.PERCENTRANK.INC($E$2:$E$1194,E850)*100,0)*PARAMS_MODELO!$B$27)+(IFERROR(_xlfn.PERCENTRANK.INC($F$2:$F$1194,F850)*100,0)*PARAMS_MODELO!$B$29)+(IFERROR(_xlfn.PERCENTRANK.INC($I$2:$I$1194,I850)*100,0)*PARAMS_MODELO!$B$31)</f>
        <v>43.054999999999993</v>
      </c>
    </row>
    <row r="851" spans="1:10" x14ac:dyDescent="0.3">
      <c r="A851">
        <v>51016874</v>
      </c>
      <c r="B851">
        <v>99</v>
      </c>
      <c r="C851">
        <v>2</v>
      </c>
      <c r="D851">
        <v>57</v>
      </c>
      <c r="E851" s="21">
        <f>D851/PARAMS_MODELO!$B$28</f>
        <v>1.9</v>
      </c>
      <c r="F851">
        <v>33</v>
      </c>
      <c r="G851">
        <v>21</v>
      </c>
      <c r="H851">
        <v>15</v>
      </c>
      <c r="I851" s="20">
        <f t="shared" si="13"/>
        <v>0.7142857142857143</v>
      </c>
      <c r="J851" s="21">
        <f>(IFERROR(_xlfn.PERCENTRANK.INC($B$2:$B$1194,B851)*100,0)*PARAMS_MODELO!$B$25)+(IFERROR(_xlfn.PERCENTRANK.INC($C$2:$C$1194,C851)*100,0)*PARAMS_MODELO!$B$26)+(IFERROR(_xlfn.PERCENTRANK.INC($E$2:$E$1194,E851)*100,0)*PARAMS_MODELO!$B$27)+(IFERROR(_xlfn.PERCENTRANK.INC($F$2:$F$1194,F851)*100,0)*PARAMS_MODELO!$B$29)+(IFERROR(_xlfn.PERCENTRANK.INC($I$2:$I$1194,I851)*100,0)*PARAMS_MODELO!$B$31)</f>
        <v>54.679999999999993</v>
      </c>
    </row>
    <row r="852" spans="1:10" x14ac:dyDescent="0.3">
      <c r="A852">
        <v>51011481</v>
      </c>
      <c r="B852">
        <v>78</v>
      </c>
      <c r="C852">
        <v>4</v>
      </c>
      <c r="D852">
        <v>16</v>
      </c>
      <c r="E852" s="21">
        <f>D852/PARAMS_MODELO!$B$28</f>
        <v>0.53333333333333333</v>
      </c>
      <c r="F852">
        <v>92</v>
      </c>
      <c r="G852">
        <v>4</v>
      </c>
      <c r="H852">
        <v>2</v>
      </c>
      <c r="I852" s="20">
        <f t="shared" si="13"/>
        <v>0.5</v>
      </c>
      <c r="J852" s="21">
        <f>(IFERROR(_xlfn.PERCENTRANK.INC($B$2:$B$1194,B852)*100,0)*PARAMS_MODELO!$B$25)+(IFERROR(_xlfn.PERCENTRANK.INC($C$2:$C$1194,C852)*100,0)*PARAMS_MODELO!$B$26)+(IFERROR(_xlfn.PERCENTRANK.INC($E$2:$E$1194,E852)*100,0)*PARAMS_MODELO!$B$27)+(IFERROR(_xlfn.PERCENTRANK.INC($F$2:$F$1194,F852)*100,0)*PARAMS_MODELO!$B$29)+(IFERROR(_xlfn.PERCENTRANK.INC($I$2:$I$1194,I852)*100,0)*PARAMS_MODELO!$B$31)</f>
        <v>48.425000000000004</v>
      </c>
    </row>
    <row r="853" spans="1:10" x14ac:dyDescent="0.3">
      <c r="A853">
        <v>51042654</v>
      </c>
      <c r="B853">
        <v>90</v>
      </c>
      <c r="C853">
        <v>15</v>
      </c>
      <c r="D853">
        <v>77</v>
      </c>
      <c r="E853" s="21">
        <f>D853/PARAMS_MODELO!$B$28</f>
        <v>2.5666666666666669</v>
      </c>
      <c r="F853">
        <v>32</v>
      </c>
      <c r="G853">
        <v>31</v>
      </c>
      <c r="H853">
        <v>25</v>
      </c>
      <c r="I853" s="20">
        <f t="shared" si="13"/>
        <v>0.80645161290322576</v>
      </c>
      <c r="J853" s="21">
        <f>(IFERROR(_xlfn.PERCENTRANK.INC($B$2:$B$1194,B853)*100,0)*PARAMS_MODELO!$B$25)+(IFERROR(_xlfn.PERCENTRANK.INC($C$2:$C$1194,C853)*100,0)*PARAMS_MODELO!$B$26)+(IFERROR(_xlfn.PERCENTRANK.INC($E$2:$E$1194,E853)*100,0)*PARAMS_MODELO!$B$27)+(IFERROR(_xlfn.PERCENTRANK.INC($F$2:$F$1194,F853)*100,0)*PARAMS_MODELO!$B$29)+(IFERROR(_xlfn.PERCENTRANK.INC($I$2:$I$1194,I853)*100,0)*PARAMS_MODELO!$B$31)</f>
        <v>68.11999999999999</v>
      </c>
    </row>
    <row r="854" spans="1:10" x14ac:dyDescent="0.3">
      <c r="A854">
        <v>51057074</v>
      </c>
      <c r="B854">
        <v>38</v>
      </c>
      <c r="C854">
        <v>25</v>
      </c>
      <c r="D854">
        <v>0</v>
      </c>
      <c r="E854" s="21">
        <f>D854/PARAMS_MODELO!$B$28</f>
        <v>0</v>
      </c>
      <c r="F854">
        <v>56</v>
      </c>
      <c r="G854">
        <v>64</v>
      </c>
      <c r="H854">
        <v>48</v>
      </c>
      <c r="I854" s="20">
        <f t="shared" si="13"/>
        <v>0.75</v>
      </c>
      <c r="J854" s="21">
        <f>(IFERROR(_xlfn.PERCENTRANK.INC($B$2:$B$1194,B854)*100,0)*PARAMS_MODELO!$B$25)+(IFERROR(_xlfn.PERCENTRANK.INC($C$2:$C$1194,C854)*100,0)*PARAMS_MODELO!$B$26)+(IFERROR(_xlfn.PERCENTRANK.INC($E$2:$E$1194,E854)*100,0)*PARAMS_MODELO!$B$27)+(IFERROR(_xlfn.PERCENTRANK.INC($F$2:$F$1194,F854)*100,0)*PARAMS_MODELO!$B$29)+(IFERROR(_xlfn.PERCENTRANK.INC($I$2:$I$1194,I854)*100,0)*PARAMS_MODELO!$B$31)</f>
        <v>51.014999999999993</v>
      </c>
    </row>
    <row r="855" spans="1:10" x14ac:dyDescent="0.3">
      <c r="A855">
        <v>51042913</v>
      </c>
      <c r="B855">
        <v>20</v>
      </c>
      <c r="C855">
        <v>0</v>
      </c>
      <c r="D855">
        <v>45</v>
      </c>
      <c r="E855" s="21">
        <f>D855/PARAMS_MODELO!$B$28</f>
        <v>1.5</v>
      </c>
      <c r="F855">
        <v>92</v>
      </c>
      <c r="G855">
        <v>91</v>
      </c>
      <c r="H855">
        <v>80</v>
      </c>
      <c r="I855" s="20">
        <f t="shared" si="13"/>
        <v>0.87912087912087911</v>
      </c>
      <c r="J855" s="21">
        <f>(IFERROR(_xlfn.PERCENTRANK.INC($B$2:$B$1194,B855)*100,0)*PARAMS_MODELO!$B$25)+(IFERROR(_xlfn.PERCENTRANK.INC($C$2:$C$1194,C855)*100,0)*PARAMS_MODELO!$B$26)+(IFERROR(_xlfn.PERCENTRANK.INC($E$2:$E$1194,E855)*100,0)*PARAMS_MODELO!$B$27)+(IFERROR(_xlfn.PERCENTRANK.INC($F$2:$F$1194,F855)*100,0)*PARAMS_MODELO!$B$29)+(IFERROR(_xlfn.PERCENTRANK.INC($I$2:$I$1194,I855)*100,0)*PARAMS_MODELO!$B$31)</f>
        <v>37.300000000000004</v>
      </c>
    </row>
    <row r="856" spans="1:10" x14ac:dyDescent="0.3">
      <c r="A856">
        <v>51025857</v>
      </c>
      <c r="B856">
        <v>40</v>
      </c>
      <c r="C856">
        <v>17</v>
      </c>
      <c r="D856">
        <v>81</v>
      </c>
      <c r="E856" s="21">
        <f>D856/PARAMS_MODELO!$B$28</f>
        <v>2.7</v>
      </c>
      <c r="F856">
        <v>19</v>
      </c>
      <c r="G856">
        <v>9</v>
      </c>
      <c r="H856">
        <v>0</v>
      </c>
      <c r="I856" s="20">
        <f t="shared" si="13"/>
        <v>0</v>
      </c>
      <c r="J856" s="21">
        <f>(IFERROR(_xlfn.PERCENTRANK.INC($B$2:$B$1194,B856)*100,0)*PARAMS_MODELO!$B$25)+(IFERROR(_xlfn.PERCENTRANK.INC($C$2:$C$1194,C856)*100,0)*PARAMS_MODELO!$B$26)+(IFERROR(_xlfn.PERCENTRANK.INC($E$2:$E$1194,E856)*100,0)*PARAMS_MODELO!$B$27)+(IFERROR(_xlfn.PERCENTRANK.INC($F$2:$F$1194,F856)*100,0)*PARAMS_MODELO!$B$29)+(IFERROR(_xlfn.PERCENTRANK.INC($I$2:$I$1194,I856)*100,0)*PARAMS_MODELO!$B$31)</f>
        <v>45.815000000000005</v>
      </c>
    </row>
    <row r="857" spans="1:10" x14ac:dyDescent="0.3">
      <c r="A857">
        <v>51026071</v>
      </c>
      <c r="B857">
        <v>4</v>
      </c>
      <c r="C857">
        <v>3</v>
      </c>
      <c r="D857">
        <v>45</v>
      </c>
      <c r="E857" s="21">
        <f>D857/PARAMS_MODELO!$B$28</f>
        <v>1.5</v>
      </c>
      <c r="F857">
        <v>47</v>
      </c>
      <c r="G857">
        <v>36</v>
      </c>
      <c r="H857">
        <v>4</v>
      </c>
      <c r="I857" s="20">
        <f t="shared" si="13"/>
        <v>0.1111111111111111</v>
      </c>
      <c r="J857" s="21">
        <f>(IFERROR(_xlfn.PERCENTRANK.INC($B$2:$B$1194,B857)*100,0)*PARAMS_MODELO!$B$25)+(IFERROR(_xlfn.PERCENTRANK.INC($C$2:$C$1194,C857)*100,0)*PARAMS_MODELO!$B$26)+(IFERROR(_xlfn.PERCENTRANK.INC($E$2:$E$1194,E857)*100,0)*PARAMS_MODELO!$B$27)+(IFERROR(_xlfn.PERCENTRANK.INC($F$2:$F$1194,F857)*100,0)*PARAMS_MODELO!$B$29)+(IFERROR(_xlfn.PERCENTRANK.INC($I$2:$I$1194,I857)*100,0)*PARAMS_MODELO!$B$31)</f>
        <v>21.42</v>
      </c>
    </row>
    <row r="858" spans="1:10" x14ac:dyDescent="0.3">
      <c r="A858">
        <v>51017595</v>
      </c>
      <c r="B858">
        <v>73</v>
      </c>
      <c r="C858">
        <v>15</v>
      </c>
      <c r="D858">
        <v>90</v>
      </c>
      <c r="E858" s="21">
        <f>D858/PARAMS_MODELO!$B$28</f>
        <v>3</v>
      </c>
      <c r="F858">
        <v>31</v>
      </c>
      <c r="G858">
        <v>76</v>
      </c>
      <c r="H858">
        <v>2</v>
      </c>
      <c r="I858" s="20">
        <f t="shared" si="13"/>
        <v>2.6315789473684209E-2</v>
      </c>
      <c r="J858" s="21">
        <f>(IFERROR(_xlfn.PERCENTRANK.INC($B$2:$B$1194,B858)*100,0)*PARAMS_MODELO!$B$25)+(IFERROR(_xlfn.PERCENTRANK.INC($C$2:$C$1194,C858)*100,0)*PARAMS_MODELO!$B$26)+(IFERROR(_xlfn.PERCENTRANK.INC($E$2:$E$1194,E858)*100,0)*PARAMS_MODELO!$B$27)+(IFERROR(_xlfn.PERCENTRANK.INC($F$2:$F$1194,F858)*100,0)*PARAMS_MODELO!$B$29)+(IFERROR(_xlfn.PERCENTRANK.INC($I$2:$I$1194,I858)*100,0)*PARAMS_MODELO!$B$31)</f>
        <v>58.145000000000003</v>
      </c>
    </row>
    <row r="859" spans="1:10" x14ac:dyDescent="0.3">
      <c r="A859">
        <v>51014707</v>
      </c>
      <c r="B859">
        <v>50</v>
      </c>
      <c r="C859">
        <v>11</v>
      </c>
      <c r="D859">
        <v>85</v>
      </c>
      <c r="E859" s="21">
        <f>D859/PARAMS_MODELO!$B$28</f>
        <v>2.8333333333333335</v>
      </c>
      <c r="F859">
        <v>73</v>
      </c>
      <c r="G859">
        <v>70</v>
      </c>
      <c r="H859">
        <v>64</v>
      </c>
      <c r="I859" s="20">
        <f t="shared" si="13"/>
        <v>0.91428571428571426</v>
      </c>
      <c r="J859" s="21">
        <f>(IFERROR(_xlfn.PERCENTRANK.INC($B$2:$B$1194,B859)*100,0)*PARAMS_MODELO!$B$25)+(IFERROR(_xlfn.PERCENTRANK.INC($C$2:$C$1194,C859)*100,0)*PARAMS_MODELO!$B$26)+(IFERROR(_xlfn.PERCENTRANK.INC($E$2:$E$1194,E859)*100,0)*PARAMS_MODELO!$B$27)+(IFERROR(_xlfn.PERCENTRANK.INC($F$2:$F$1194,F859)*100,0)*PARAMS_MODELO!$B$29)+(IFERROR(_xlfn.PERCENTRANK.INC($I$2:$I$1194,I859)*100,0)*PARAMS_MODELO!$B$31)</f>
        <v>61.56</v>
      </c>
    </row>
    <row r="860" spans="1:10" x14ac:dyDescent="0.3">
      <c r="A860">
        <v>51032390</v>
      </c>
      <c r="B860">
        <v>28</v>
      </c>
      <c r="C860">
        <v>11</v>
      </c>
      <c r="D860">
        <v>94</v>
      </c>
      <c r="E860" s="21">
        <f>D860/PARAMS_MODELO!$B$28</f>
        <v>3.1333333333333333</v>
      </c>
      <c r="F860">
        <v>2</v>
      </c>
      <c r="G860">
        <v>26</v>
      </c>
      <c r="H860">
        <v>19</v>
      </c>
      <c r="I860" s="20">
        <f t="shared" si="13"/>
        <v>0.73076923076923073</v>
      </c>
      <c r="J860" s="21">
        <f>(IFERROR(_xlfn.PERCENTRANK.INC($B$2:$B$1194,B860)*100,0)*PARAMS_MODELO!$B$25)+(IFERROR(_xlfn.PERCENTRANK.INC($C$2:$C$1194,C860)*100,0)*PARAMS_MODELO!$B$26)+(IFERROR(_xlfn.PERCENTRANK.INC($E$2:$E$1194,E860)*100,0)*PARAMS_MODELO!$B$27)+(IFERROR(_xlfn.PERCENTRANK.INC($F$2:$F$1194,F860)*100,0)*PARAMS_MODELO!$B$29)+(IFERROR(_xlfn.PERCENTRANK.INC($I$2:$I$1194,I860)*100,0)*PARAMS_MODELO!$B$31)</f>
        <v>44.634999999999998</v>
      </c>
    </row>
    <row r="861" spans="1:10" x14ac:dyDescent="0.3">
      <c r="A861">
        <v>51030249</v>
      </c>
      <c r="B861">
        <v>20</v>
      </c>
      <c r="C861">
        <v>12</v>
      </c>
      <c r="D861">
        <v>31</v>
      </c>
      <c r="E861" s="21">
        <f>D861/PARAMS_MODELO!$B$28</f>
        <v>1.0333333333333334</v>
      </c>
      <c r="F861">
        <v>24</v>
      </c>
      <c r="G861">
        <v>39</v>
      </c>
      <c r="H861">
        <v>26</v>
      </c>
      <c r="I861" s="20">
        <f t="shared" si="13"/>
        <v>0.66666666666666663</v>
      </c>
      <c r="J861" s="21">
        <f>(IFERROR(_xlfn.PERCENTRANK.INC($B$2:$B$1194,B861)*100,0)*PARAMS_MODELO!$B$25)+(IFERROR(_xlfn.PERCENTRANK.INC($C$2:$C$1194,C861)*100,0)*PARAMS_MODELO!$B$26)+(IFERROR(_xlfn.PERCENTRANK.INC($E$2:$E$1194,E861)*100,0)*PARAMS_MODELO!$B$27)+(IFERROR(_xlfn.PERCENTRANK.INC($F$2:$F$1194,F861)*100,0)*PARAMS_MODELO!$B$29)+(IFERROR(_xlfn.PERCENTRANK.INC($I$2:$I$1194,I861)*100,0)*PARAMS_MODELO!$B$31)</f>
        <v>32.510000000000005</v>
      </c>
    </row>
    <row r="862" spans="1:10" x14ac:dyDescent="0.3">
      <c r="A862">
        <v>51029518</v>
      </c>
      <c r="B862">
        <v>48</v>
      </c>
      <c r="C862">
        <v>23</v>
      </c>
      <c r="D862">
        <v>22</v>
      </c>
      <c r="E862" s="21">
        <f>D862/PARAMS_MODELO!$B$28</f>
        <v>0.73333333333333328</v>
      </c>
      <c r="F862">
        <v>47</v>
      </c>
      <c r="G862">
        <v>60</v>
      </c>
      <c r="H862">
        <v>5</v>
      </c>
      <c r="I862" s="20">
        <f t="shared" si="13"/>
        <v>8.3333333333333329E-2</v>
      </c>
      <c r="J862" s="21">
        <f>(IFERROR(_xlfn.PERCENTRANK.INC($B$2:$B$1194,B862)*100,0)*PARAMS_MODELO!$B$25)+(IFERROR(_xlfn.PERCENTRANK.INC($C$2:$C$1194,C862)*100,0)*PARAMS_MODELO!$B$26)+(IFERROR(_xlfn.PERCENTRANK.INC($E$2:$E$1194,E862)*100,0)*PARAMS_MODELO!$B$27)+(IFERROR(_xlfn.PERCENTRANK.INC($F$2:$F$1194,F862)*100,0)*PARAMS_MODELO!$B$29)+(IFERROR(_xlfn.PERCENTRANK.INC($I$2:$I$1194,I862)*100,0)*PARAMS_MODELO!$B$31)</f>
        <v>48.055</v>
      </c>
    </row>
    <row r="863" spans="1:10" x14ac:dyDescent="0.3">
      <c r="A863">
        <v>51044011</v>
      </c>
      <c r="B863">
        <v>37</v>
      </c>
      <c r="C863">
        <v>23</v>
      </c>
      <c r="D863">
        <v>29</v>
      </c>
      <c r="E863" s="21">
        <f>D863/PARAMS_MODELO!$B$28</f>
        <v>0.96666666666666667</v>
      </c>
      <c r="F863">
        <v>83</v>
      </c>
      <c r="G863">
        <v>40</v>
      </c>
      <c r="H863">
        <v>7</v>
      </c>
      <c r="I863" s="20">
        <f t="shared" si="13"/>
        <v>0.17499999999999999</v>
      </c>
      <c r="J863" s="21">
        <f>(IFERROR(_xlfn.PERCENTRANK.INC($B$2:$B$1194,B863)*100,0)*PARAMS_MODELO!$B$25)+(IFERROR(_xlfn.PERCENTRANK.INC($C$2:$C$1194,C863)*100,0)*PARAMS_MODELO!$B$26)+(IFERROR(_xlfn.PERCENTRANK.INC($E$2:$E$1194,E863)*100,0)*PARAMS_MODELO!$B$27)+(IFERROR(_xlfn.PERCENTRANK.INC($F$2:$F$1194,F863)*100,0)*PARAMS_MODELO!$B$29)+(IFERROR(_xlfn.PERCENTRANK.INC($I$2:$I$1194,I863)*100,0)*PARAMS_MODELO!$B$31)</f>
        <v>52.414999999999999</v>
      </c>
    </row>
    <row r="864" spans="1:10" x14ac:dyDescent="0.3">
      <c r="A864">
        <v>51013956</v>
      </c>
      <c r="B864">
        <v>71</v>
      </c>
      <c r="C864">
        <v>9</v>
      </c>
      <c r="D864">
        <v>25</v>
      </c>
      <c r="E864" s="21">
        <f>D864/PARAMS_MODELO!$B$28</f>
        <v>0.83333333333333337</v>
      </c>
      <c r="F864">
        <v>99</v>
      </c>
      <c r="G864">
        <v>39</v>
      </c>
      <c r="H864">
        <v>16</v>
      </c>
      <c r="I864" s="20">
        <f t="shared" si="13"/>
        <v>0.41025641025641024</v>
      </c>
      <c r="J864" s="21">
        <f>(IFERROR(_xlfn.PERCENTRANK.INC($B$2:$B$1194,B864)*100,0)*PARAMS_MODELO!$B$25)+(IFERROR(_xlfn.PERCENTRANK.INC($C$2:$C$1194,C864)*100,0)*PARAMS_MODELO!$B$26)+(IFERROR(_xlfn.PERCENTRANK.INC($E$2:$E$1194,E864)*100,0)*PARAMS_MODELO!$B$27)+(IFERROR(_xlfn.PERCENTRANK.INC($F$2:$F$1194,F864)*100,0)*PARAMS_MODELO!$B$29)+(IFERROR(_xlfn.PERCENTRANK.INC($I$2:$I$1194,I864)*100,0)*PARAMS_MODELO!$B$31)</f>
        <v>52.859999999999985</v>
      </c>
    </row>
    <row r="865" spans="1:10" x14ac:dyDescent="0.3">
      <c r="A865">
        <v>51023846</v>
      </c>
      <c r="B865">
        <v>80</v>
      </c>
      <c r="C865">
        <v>3</v>
      </c>
      <c r="D865">
        <v>15</v>
      </c>
      <c r="E865" s="21">
        <f>D865/PARAMS_MODELO!$B$28</f>
        <v>0.5</v>
      </c>
      <c r="F865">
        <v>21</v>
      </c>
      <c r="G865">
        <v>1</v>
      </c>
      <c r="H865">
        <v>0</v>
      </c>
      <c r="I865" s="20">
        <f t="shared" si="13"/>
        <v>0</v>
      </c>
      <c r="J865" s="21">
        <f>(IFERROR(_xlfn.PERCENTRANK.INC($B$2:$B$1194,B865)*100,0)*PARAMS_MODELO!$B$25)+(IFERROR(_xlfn.PERCENTRANK.INC($C$2:$C$1194,C865)*100,0)*PARAMS_MODELO!$B$26)+(IFERROR(_xlfn.PERCENTRANK.INC($E$2:$E$1194,E865)*100,0)*PARAMS_MODELO!$B$27)+(IFERROR(_xlfn.PERCENTRANK.INC($F$2:$F$1194,F865)*100,0)*PARAMS_MODELO!$B$29)+(IFERROR(_xlfn.PERCENTRANK.INC($I$2:$I$1194,I865)*100,0)*PARAMS_MODELO!$B$31)</f>
        <v>32.134999999999998</v>
      </c>
    </row>
    <row r="866" spans="1:10" x14ac:dyDescent="0.3">
      <c r="A866">
        <v>51019563</v>
      </c>
      <c r="B866">
        <v>49</v>
      </c>
      <c r="C866">
        <v>21</v>
      </c>
      <c r="D866">
        <v>14</v>
      </c>
      <c r="E866" s="21">
        <f>D866/PARAMS_MODELO!$B$28</f>
        <v>0.46666666666666667</v>
      </c>
      <c r="F866">
        <v>99</v>
      </c>
      <c r="G866">
        <v>73</v>
      </c>
      <c r="H866">
        <v>53</v>
      </c>
      <c r="I866" s="20">
        <f t="shared" si="13"/>
        <v>0.72602739726027399</v>
      </c>
      <c r="J866" s="21">
        <f>(IFERROR(_xlfn.PERCENTRANK.INC($B$2:$B$1194,B866)*100,0)*PARAMS_MODELO!$B$25)+(IFERROR(_xlfn.PERCENTRANK.INC($C$2:$C$1194,C866)*100,0)*PARAMS_MODELO!$B$26)+(IFERROR(_xlfn.PERCENTRANK.INC($E$2:$E$1194,E866)*100,0)*PARAMS_MODELO!$B$27)+(IFERROR(_xlfn.PERCENTRANK.INC($F$2:$F$1194,F866)*100,0)*PARAMS_MODELO!$B$29)+(IFERROR(_xlfn.PERCENTRANK.INC($I$2:$I$1194,I866)*100,0)*PARAMS_MODELO!$B$31)</f>
        <v>58.855000000000004</v>
      </c>
    </row>
    <row r="867" spans="1:10" x14ac:dyDescent="0.3">
      <c r="A867">
        <v>51030711</v>
      </c>
      <c r="B867">
        <v>21</v>
      </c>
      <c r="C867">
        <v>19</v>
      </c>
      <c r="D867">
        <v>97</v>
      </c>
      <c r="E867" s="21">
        <f>D867/PARAMS_MODELO!$B$28</f>
        <v>3.2333333333333334</v>
      </c>
      <c r="F867">
        <v>94</v>
      </c>
      <c r="G867">
        <v>41</v>
      </c>
      <c r="H867">
        <v>34</v>
      </c>
      <c r="I867" s="20">
        <f t="shared" si="13"/>
        <v>0.82926829268292679</v>
      </c>
      <c r="J867" s="21">
        <f>(IFERROR(_xlfn.PERCENTRANK.INC($B$2:$B$1194,B867)*100,0)*PARAMS_MODELO!$B$25)+(IFERROR(_xlfn.PERCENTRANK.INC($C$2:$C$1194,C867)*100,0)*PARAMS_MODELO!$B$26)+(IFERROR(_xlfn.PERCENTRANK.INC($E$2:$E$1194,E867)*100,0)*PARAMS_MODELO!$B$27)+(IFERROR(_xlfn.PERCENTRANK.INC($F$2:$F$1194,F867)*100,0)*PARAMS_MODELO!$B$29)+(IFERROR(_xlfn.PERCENTRANK.INC($I$2:$I$1194,I867)*100,0)*PARAMS_MODELO!$B$31)</f>
        <v>65.139999999999986</v>
      </c>
    </row>
    <row r="868" spans="1:10" x14ac:dyDescent="0.3">
      <c r="A868">
        <v>51056574</v>
      </c>
      <c r="B868">
        <v>48</v>
      </c>
      <c r="C868">
        <v>15</v>
      </c>
      <c r="D868">
        <v>11</v>
      </c>
      <c r="E868" s="21">
        <f>D868/PARAMS_MODELO!$B$28</f>
        <v>0.36666666666666664</v>
      </c>
      <c r="F868">
        <v>100</v>
      </c>
      <c r="G868">
        <v>15</v>
      </c>
      <c r="H868">
        <v>13</v>
      </c>
      <c r="I868" s="20">
        <f t="shared" si="13"/>
        <v>0.8666666666666667</v>
      </c>
      <c r="J868" s="21">
        <f>(IFERROR(_xlfn.PERCENTRANK.INC($B$2:$B$1194,B868)*100,0)*PARAMS_MODELO!$B$25)+(IFERROR(_xlfn.PERCENTRANK.INC($C$2:$C$1194,C868)*100,0)*PARAMS_MODELO!$B$26)+(IFERROR(_xlfn.PERCENTRANK.INC($E$2:$E$1194,E868)*100,0)*PARAMS_MODELO!$B$27)+(IFERROR(_xlfn.PERCENTRANK.INC($F$2:$F$1194,F868)*100,0)*PARAMS_MODELO!$B$29)+(IFERROR(_xlfn.PERCENTRANK.INC($I$2:$I$1194,I868)*100,0)*PARAMS_MODELO!$B$31)</f>
        <v>53.63</v>
      </c>
    </row>
    <row r="869" spans="1:10" x14ac:dyDescent="0.3">
      <c r="A869">
        <v>51056957</v>
      </c>
      <c r="B869">
        <v>11</v>
      </c>
      <c r="C869">
        <v>21</v>
      </c>
      <c r="D869">
        <v>95</v>
      </c>
      <c r="E869" s="21">
        <f>D869/PARAMS_MODELO!$B$28</f>
        <v>3.1666666666666665</v>
      </c>
      <c r="F869">
        <v>59</v>
      </c>
      <c r="G869">
        <v>38</v>
      </c>
      <c r="H869">
        <v>29</v>
      </c>
      <c r="I869" s="20">
        <f t="shared" si="13"/>
        <v>0.76315789473684215</v>
      </c>
      <c r="J869" s="21">
        <f>(IFERROR(_xlfn.PERCENTRANK.INC($B$2:$B$1194,B869)*100,0)*PARAMS_MODELO!$B$25)+(IFERROR(_xlfn.PERCENTRANK.INC($C$2:$C$1194,C869)*100,0)*PARAMS_MODELO!$B$26)+(IFERROR(_xlfn.PERCENTRANK.INC($E$2:$E$1194,E869)*100,0)*PARAMS_MODELO!$B$27)+(IFERROR(_xlfn.PERCENTRANK.INC($F$2:$F$1194,F869)*100,0)*PARAMS_MODELO!$B$29)+(IFERROR(_xlfn.PERCENTRANK.INC($I$2:$I$1194,I869)*100,0)*PARAMS_MODELO!$B$31)</f>
        <v>58.245000000000005</v>
      </c>
    </row>
    <row r="870" spans="1:10" x14ac:dyDescent="0.3">
      <c r="A870">
        <v>51055331</v>
      </c>
      <c r="B870">
        <v>21</v>
      </c>
      <c r="C870">
        <v>9</v>
      </c>
      <c r="D870">
        <v>24</v>
      </c>
      <c r="E870" s="21">
        <f>D870/PARAMS_MODELO!$B$28</f>
        <v>0.8</v>
      </c>
      <c r="F870">
        <v>96</v>
      </c>
      <c r="G870">
        <v>10</v>
      </c>
      <c r="H870">
        <v>4</v>
      </c>
      <c r="I870" s="20">
        <f t="shared" si="13"/>
        <v>0.4</v>
      </c>
      <c r="J870" s="21">
        <f>(IFERROR(_xlfn.PERCENTRANK.INC($B$2:$B$1194,B870)*100,0)*PARAMS_MODELO!$B$25)+(IFERROR(_xlfn.PERCENTRANK.INC($C$2:$C$1194,C870)*100,0)*PARAMS_MODELO!$B$26)+(IFERROR(_xlfn.PERCENTRANK.INC($E$2:$E$1194,E870)*100,0)*PARAMS_MODELO!$B$27)+(IFERROR(_xlfn.PERCENTRANK.INC($F$2:$F$1194,F870)*100,0)*PARAMS_MODELO!$B$29)+(IFERROR(_xlfn.PERCENTRANK.INC($I$2:$I$1194,I870)*100,0)*PARAMS_MODELO!$B$31)</f>
        <v>37.120000000000005</v>
      </c>
    </row>
    <row r="871" spans="1:10" x14ac:dyDescent="0.3">
      <c r="A871">
        <v>51018397</v>
      </c>
      <c r="B871">
        <v>60</v>
      </c>
      <c r="C871">
        <v>0</v>
      </c>
      <c r="D871">
        <v>84</v>
      </c>
      <c r="E871" s="21">
        <f>D871/PARAMS_MODELO!$B$28</f>
        <v>2.8</v>
      </c>
      <c r="F871">
        <v>69</v>
      </c>
      <c r="G871">
        <v>15</v>
      </c>
      <c r="H871">
        <v>8</v>
      </c>
      <c r="I871" s="20">
        <f t="shared" si="13"/>
        <v>0.53333333333333333</v>
      </c>
      <c r="J871" s="21">
        <f>(IFERROR(_xlfn.PERCENTRANK.INC($B$2:$B$1194,B871)*100,0)*PARAMS_MODELO!$B$25)+(IFERROR(_xlfn.PERCENTRANK.INC($C$2:$C$1194,C871)*100,0)*PARAMS_MODELO!$B$26)+(IFERROR(_xlfn.PERCENTRANK.INC($E$2:$E$1194,E871)*100,0)*PARAMS_MODELO!$B$27)+(IFERROR(_xlfn.PERCENTRANK.INC($F$2:$F$1194,F871)*100,0)*PARAMS_MODELO!$B$29)+(IFERROR(_xlfn.PERCENTRANK.INC($I$2:$I$1194,I871)*100,0)*PARAMS_MODELO!$B$31)</f>
        <v>49.635000000000005</v>
      </c>
    </row>
    <row r="872" spans="1:10" x14ac:dyDescent="0.3">
      <c r="A872">
        <v>51025148</v>
      </c>
      <c r="B872">
        <v>12</v>
      </c>
      <c r="C872">
        <v>2</v>
      </c>
      <c r="D872">
        <v>63</v>
      </c>
      <c r="E872" s="21">
        <f>D872/PARAMS_MODELO!$B$28</f>
        <v>2.1</v>
      </c>
      <c r="F872">
        <v>84</v>
      </c>
      <c r="G872">
        <v>27</v>
      </c>
      <c r="H872">
        <v>26</v>
      </c>
      <c r="I872" s="20">
        <f t="shared" si="13"/>
        <v>0.96296296296296291</v>
      </c>
      <c r="J872" s="21">
        <f>(IFERROR(_xlfn.PERCENTRANK.INC($B$2:$B$1194,B872)*100,0)*PARAMS_MODELO!$B$25)+(IFERROR(_xlfn.PERCENTRANK.INC($C$2:$C$1194,C872)*100,0)*PARAMS_MODELO!$B$26)+(IFERROR(_xlfn.PERCENTRANK.INC($E$2:$E$1194,E872)*100,0)*PARAMS_MODELO!$B$27)+(IFERROR(_xlfn.PERCENTRANK.INC($F$2:$F$1194,F872)*100,0)*PARAMS_MODELO!$B$29)+(IFERROR(_xlfn.PERCENTRANK.INC($I$2:$I$1194,I872)*100,0)*PARAMS_MODELO!$B$31)</f>
        <v>40.575000000000003</v>
      </c>
    </row>
    <row r="873" spans="1:10" x14ac:dyDescent="0.3">
      <c r="A873">
        <v>51005392</v>
      </c>
      <c r="B873">
        <v>93</v>
      </c>
      <c r="C873">
        <v>2</v>
      </c>
      <c r="D873">
        <v>52</v>
      </c>
      <c r="E873" s="21">
        <f>D873/PARAMS_MODELO!$B$28</f>
        <v>1.7333333333333334</v>
      </c>
      <c r="F873">
        <v>32</v>
      </c>
      <c r="G873">
        <v>100</v>
      </c>
      <c r="H873">
        <v>54</v>
      </c>
      <c r="I873" s="20">
        <f t="shared" si="13"/>
        <v>0.54</v>
      </c>
      <c r="J873" s="21">
        <f>(IFERROR(_xlfn.PERCENTRANK.INC($B$2:$B$1194,B873)*100,0)*PARAMS_MODELO!$B$25)+(IFERROR(_xlfn.PERCENTRANK.INC($C$2:$C$1194,C873)*100,0)*PARAMS_MODELO!$B$26)+(IFERROR(_xlfn.PERCENTRANK.INC($E$2:$E$1194,E873)*100,0)*PARAMS_MODELO!$B$27)+(IFERROR(_xlfn.PERCENTRANK.INC($F$2:$F$1194,F873)*100,0)*PARAMS_MODELO!$B$29)+(IFERROR(_xlfn.PERCENTRANK.INC($I$2:$I$1194,I873)*100,0)*PARAMS_MODELO!$B$31)</f>
        <v>49.600000000000009</v>
      </c>
    </row>
    <row r="874" spans="1:10" x14ac:dyDescent="0.3">
      <c r="A874">
        <v>51023153</v>
      </c>
      <c r="B874">
        <v>60</v>
      </c>
      <c r="C874">
        <v>4</v>
      </c>
      <c r="D874">
        <v>93</v>
      </c>
      <c r="E874" s="21">
        <f>D874/PARAMS_MODELO!$B$28</f>
        <v>3.1</v>
      </c>
      <c r="F874">
        <v>25</v>
      </c>
      <c r="G874">
        <v>21</v>
      </c>
      <c r="H874">
        <v>1</v>
      </c>
      <c r="I874" s="20">
        <f t="shared" si="13"/>
        <v>4.7619047619047616E-2</v>
      </c>
      <c r="J874" s="21">
        <f>(IFERROR(_xlfn.PERCENTRANK.INC($B$2:$B$1194,B874)*100,0)*PARAMS_MODELO!$B$25)+(IFERROR(_xlfn.PERCENTRANK.INC($C$2:$C$1194,C874)*100,0)*PARAMS_MODELO!$B$26)+(IFERROR(_xlfn.PERCENTRANK.INC($E$2:$E$1194,E874)*100,0)*PARAMS_MODELO!$B$27)+(IFERROR(_xlfn.PERCENTRANK.INC($F$2:$F$1194,F874)*100,0)*PARAMS_MODELO!$B$29)+(IFERROR(_xlfn.PERCENTRANK.INC($I$2:$I$1194,I874)*100,0)*PARAMS_MODELO!$B$31)</f>
        <v>43.24</v>
      </c>
    </row>
    <row r="875" spans="1:10" x14ac:dyDescent="0.3">
      <c r="A875">
        <v>51024095</v>
      </c>
      <c r="B875">
        <v>43</v>
      </c>
      <c r="C875">
        <v>2</v>
      </c>
      <c r="D875">
        <v>71</v>
      </c>
      <c r="E875" s="21">
        <f>D875/PARAMS_MODELO!$B$28</f>
        <v>2.3666666666666667</v>
      </c>
      <c r="F875">
        <v>89</v>
      </c>
      <c r="G875">
        <v>34</v>
      </c>
      <c r="H875">
        <v>6</v>
      </c>
      <c r="I875" s="20">
        <f t="shared" si="13"/>
        <v>0.17647058823529413</v>
      </c>
      <c r="J875" s="21">
        <f>(IFERROR(_xlfn.PERCENTRANK.INC($B$2:$B$1194,B875)*100,0)*PARAMS_MODELO!$B$25)+(IFERROR(_xlfn.PERCENTRANK.INC($C$2:$C$1194,C875)*100,0)*PARAMS_MODELO!$B$26)+(IFERROR(_xlfn.PERCENTRANK.INC($E$2:$E$1194,E875)*100,0)*PARAMS_MODELO!$B$27)+(IFERROR(_xlfn.PERCENTRANK.INC($F$2:$F$1194,F875)*100,0)*PARAMS_MODELO!$B$29)+(IFERROR(_xlfn.PERCENTRANK.INC($I$2:$I$1194,I875)*100,0)*PARAMS_MODELO!$B$31)</f>
        <v>43.854999999999997</v>
      </c>
    </row>
    <row r="876" spans="1:10" x14ac:dyDescent="0.3">
      <c r="A876">
        <v>51002024</v>
      </c>
      <c r="B876">
        <v>20</v>
      </c>
      <c r="C876">
        <v>11</v>
      </c>
      <c r="D876">
        <v>14</v>
      </c>
      <c r="E876" s="21">
        <f>D876/PARAMS_MODELO!$B$28</f>
        <v>0.46666666666666667</v>
      </c>
      <c r="F876">
        <v>91</v>
      </c>
      <c r="G876">
        <v>80</v>
      </c>
      <c r="H876">
        <v>56</v>
      </c>
      <c r="I876" s="20">
        <f t="shared" si="13"/>
        <v>0.7</v>
      </c>
      <c r="J876" s="21">
        <f>(IFERROR(_xlfn.PERCENTRANK.INC($B$2:$B$1194,B876)*100,0)*PARAMS_MODELO!$B$25)+(IFERROR(_xlfn.PERCENTRANK.INC($C$2:$C$1194,C876)*100,0)*PARAMS_MODELO!$B$26)+(IFERROR(_xlfn.PERCENTRANK.INC($E$2:$E$1194,E876)*100,0)*PARAMS_MODELO!$B$27)+(IFERROR(_xlfn.PERCENTRANK.INC($F$2:$F$1194,F876)*100,0)*PARAMS_MODELO!$B$29)+(IFERROR(_xlfn.PERCENTRANK.INC($I$2:$I$1194,I876)*100,0)*PARAMS_MODELO!$B$31)</f>
        <v>39.06</v>
      </c>
    </row>
    <row r="877" spans="1:10" x14ac:dyDescent="0.3">
      <c r="A877">
        <v>51056311</v>
      </c>
      <c r="B877">
        <v>91</v>
      </c>
      <c r="C877">
        <v>24</v>
      </c>
      <c r="D877">
        <v>95</v>
      </c>
      <c r="E877" s="21">
        <f>D877/PARAMS_MODELO!$B$28</f>
        <v>3.1666666666666665</v>
      </c>
      <c r="F877">
        <v>22</v>
      </c>
      <c r="G877">
        <v>24</v>
      </c>
      <c r="H877">
        <v>15</v>
      </c>
      <c r="I877" s="20">
        <f t="shared" si="13"/>
        <v>0.625</v>
      </c>
      <c r="J877" s="21">
        <f>(IFERROR(_xlfn.PERCENTRANK.INC($B$2:$B$1194,B877)*100,0)*PARAMS_MODELO!$B$25)+(IFERROR(_xlfn.PERCENTRANK.INC($C$2:$C$1194,C877)*100,0)*PARAMS_MODELO!$B$26)+(IFERROR(_xlfn.PERCENTRANK.INC($E$2:$E$1194,E877)*100,0)*PARAMS_MODELO!$B$27)+(IFERROR(_xlfn.PERCENTRANK.INC($F$2:$F$1194,F877)*100,0)*PARAMS_MODELO!$B$29)+(IFERROR(_xlfn.PERCENTRANK.INC($I$2:$I$1194,I877)*100,0)*PARAMS_MODELO!$B$31)</f>
        <v>77.195000000000007</v>
      </c>
    </row>
    <row r="878" spans="1:10" x14ac:dyDescent="0.3">
      <c r="A878">
        <v>51016467</v>
      </c>
      <c r="B878">
        <v>9</v>
      </c>
      <c r="C878">
        <v>6</v>
      </c>
      <c r="D878">
        <v>88</v>
      </c>
      <c r="E878" s="21">
        <f>D878/PARAMS_MODELO!$B$28</f>
        <v>2.9333333333333331</v>
      </c>
      <c r="F878">
        <v>45</v>
      </c>
      <c r="G878">
        <v>23</v>
      </c>
      <c r="H878">
        <v>0</v>
      </c>
      <c r="I878" s="20">
        <f t="shared" si="13"/>
        <v>0</v>
      </c>
      <c r="J878" s="21">
        <f>(IFERROR(_xlfn.PERCENTRANK.INC($B$2:$B$1194,B878)*100,0)*PARAMS_MODELO!$B$25)+(IFERROR(_xlfn.PERCENTRANK.INC($C$2:$C$1194,C878)*100,0)*PARAMS_MODELO!$B$26)+(IFERROR(_xlfn.PERCENTRANK.INC($E$2:$E$1194,E878)*100,0)*PARAMS_MODELO!$B$27)+(IFERROR(_xlfn.PERCENTRANK.INC($F$2:$F$1194,F878)*100,0)*PARAMS_MODELO!$B$29)+(IFERROR(_xlfn.PERCENTRANK.INC($I$2:$I$1194,I878)*100,0)*PARAMS_MODELO!$B$31)</f>
        <v>32.5</v>
      </c>
    </row>
    <row r="879" spans="1:10" x14ac:dyDescent="0.3">
      <c r="A879">
        <v>51021614</v>
      </c>
      <c r="B879">
        <v>93</v>
      </c>
      <c r="C879">
        <v>17</v>
      </c>
      <c r="D879">
        <v>89</v>
      </c>
      <c r="E879" s="21">
        <f>D879/PARAMS_MODELO!$B$28</f>
        <v>2.9666666666666668</v>
      </c>
      <c r="F879">
        <v>17</v>
      </c>
      <c r="G879">
        <v>62</v>
      </c>
      <c r="H879">
        <v>54</v>
      </c>
      <c r="I879" s="20">
        <f t="shared" si="13"/>
        <v>0.87096774193548387</v>
      </c>
      <c r="J879" s="21">
        <f>(IFERROR(_xlfn.PERCENTRANK.INC($B$2:$B$1194,B879)*100,0)*PARAMS_MODELO!$B$25)+(IFERROR(_xlfn.PERCENTRANK.INC($C$2:$C$1194,C879)*100,0)*PARAMS_MODELO!$B$26)+(IFERROR(_xlfn.PERCENTRANK.INC($E$2:$E$1194,E879)*100,0)*PARAMS_MODELO!$B$27)+(IFERROR(_xlfn.PERCENTRANK.INC($F$2:$F$1194,F879)*100,0)*PARAMS_MODELO!$B$29)+(IFERROR(_xlfn.PERCENTRANK.INC($I$2:$I$1194,I879)*100,0)*PARAMS_MODELO!$B$31)</f>
        <v>71.41</v>
      </c>
    </row>
    <row r="880" spans="1:10" x14ac:dyDescent="0.3">
      <c r="A880">
        <v>51042506</v>
      </c>
      <c r="B880">
        <v>34</v>
      </c>
      <c r="C880">
        <v>16</v>
      </c>
      <c r="D880">
        <v>50</v>
      </c>
      <c r="E880" s="21">
        <f>D880/PARAMS_MODELO!$B$28</f>
        <v>1.6666666666666667</v>
      </c>
      <c r="F880">
        <v>56</v>
      </c>
      <c r="G880">
        <v>53</v>
      </c>
      <c r="H880">
        <v>11</v>
      </c>
      <c r="I880" s="20">
        <f t="shared" si="13"/>
        <v>0.20754716981132076</v>
      </c>
      <c r="J880" s="21">
        <f>(IFERROR(_xlfn.PERCENTRANK.INC($B$2:$B$1194,B880)*100,0)*PARAMS_MODELO!$B$25)+(IFERROR(_xlfn.PERCENTRANK.INC($C$2:$C$1194,C880)*100,0)*PARAMS_MODELO!$B$26)+(IFERROR(_xlfn.PERCENTRANK.INC($E$2:$E$1194,E880)*100,0)*PARAMS_MODELO!$B$27)+(IFERROR(_xlfn.PERCENTRANK.INC($F$2:$F$1194,F880)*100,0)*PARAMS_MODELO!$B$29)+(IFERROR(_xlfn.PERCENTRANK.INC($I$2:$I$1194,I880)*100,0)*PARAMS_MODELO!$B$31)</f>
        <v>45.069999999999993</v>
      </c>
    </row>
    <row r="881" spans="1:10" x14ac:dyDescent="0.3">
      <c r="A881">
        <v>51023412</v>
      </c>
      <c r="B881">
        <v>47</v>
      </c>
      <c r="C881">
        <v>6</v>
      </c>
      <c r="D881">
        <v>86</v>
      </c>
      <c r="E881" s="21">
        <f>D881/PARAMS_MODELO!$B$28</f>
        <v>2.8666666666666667</v>
      </c>
      <c r="F881">
        <v>20</v>
      </c>
      <c r="G881">
        <v>72</v>
      </c>
      <c r="H881">
        <v>37</v>
      </c>
      <c r="I881" s="20">
        <f t="shared" si="13"/>
        <v>0.51388888888888884</v>
      </c>
      <c r="J881" s="21">
        <f>(IFERROR(_xlfn.PERCENTRANK.INC($B$2:$B$1194,B881)*100,0)*PARAMS_MODELO!$B$25)+(IFERROR(_xlfn.PERCENTRANK.INC($C$2:$C$1194,C881)*100,0)*PARAMS_MODELO!$B$26)+(IFERROR(_xlfn.PERCENTRANK.INC($E$2:$E$1194,E881)*100,0)*PARAMS_MODELO!$B$27)+(IFERROR(_xlfn.PERCENTRANK.INC($F$2:$F$1194,F881)*100,0)*PARAMS_MODELO!$B$29)+(IFERROR(_xlfn.PERCENTRANK.INC($I$2:$I$1194,I881)*100,0)*PARAMS_MODELO!$B$31)</f>
        <v>44.335000000000008</v>
      </c>
    </row>
    <row r="882" spans="1:10" x14ac:dyDescent="0.3">
      <c r="A882">
        <v>51033116</v>
      </c>
      <c r="B882">
        <v>26</v>
      </c>
      <c r="C882">
        <v>22</v>
      </c>
      <c r="D882">
        <v>47</v>
      </c>
      <c r="E882" s="21">
        <f>D882/PARAMS_MODELO!$B$28</f>
        <v>1.5666666666666667</v>
      </c>
      <c r="F882">
        <v>50</v>
      </c>
      <c r="G882">
        <v>90</v>
      </c>
      <c r="H882">
        <v>46</v>
      </c>
      <c r="I882" s="20">
        <f t="shared" si="13"/>
        <v>0.51111111111111107</v>
      </c>
      <c r="J882" s="21">
        <f>(IFERROR(_xlfn.PERCENTRANK.INC($B$2:$B$1194,B882)*100,0)*PARAMS_MODELO!$B$25)+(IFERROR(_xlfn.PERCENTRANK.INC($C$2:$C$1194,C882)*100,0)*PARAMS_MODELO!$B$26)+(IFERROR(_xlfn.PERCENTRANK.INC($E$2:$E$1194,E882)*100,0)*PARAMS_MODELO!$B$27)+(IFERROR(_xlfn.PERCENTRANK.INC($F$2:$F$1194,F882)*100,0)*PARAMS_MODELO!$B$29)+(IFERROR(_xlfn.PERCENTRANK.INC($I$2:$I$1194,I882)*100,0)*PARAMS_MODELO!$B$31)</f>
        <v>50.39</v>
      </c>
    </row>
    <row r="883" spans="1:10" x14ac:dyDescent="0.3">
      <c r="A883">
        <v>51003292</v>
      </c>
      <c r="B883">
        <v>27</v>
      </c>
      <c r="C883">
        <v>9</v>
      </c>
      <c r="D883">
        <v>21</v>
      </c>
      <c r="E883" s="21">
        <f>D883/PARAMS_MODELO!$B$28</f>
        <v>0.7</v>
      </c>
      <c r="F883">
        <v>22</v>
      </c>
      <c r="G883">
        <v>90</v>
      </c>
      <c r="H883">
        <v>53</v>
      </c>
      <c r="I883" s="20">
        <f t="shared" si="13"/>
        <v>0.58888888888888891</v>
      </c>
      <c r="J883" s="21">
        <f>(IFERROR(_xlfn.PERCENTRANK.INC($B$2:$B$1194,B883)*100,0)*PARAMS_MODELO!$B$25)+(IFERROR(_xlfn.PERCENTRANK.INC($C$2:$C$1194,C883)*100,0)*PARAMS_MODELO!$B$26)+(IFERROR(_xlfn.PERCENTRANK.INC($E$2:$E$1194,E883)*100,0)*PARAMS_MODELO!$B$27)+(IFERROR(_xlfn.PERCENTRANK.INC($F$2:$F$1194,F883)*100,0)*PARAMS_MODELO!$B$29)+(IFERROR(_xlfn.PERCENTRANK.INC($I$2:$I$1194,I883)*100,0)*PARAMS_MODELO!$B$31)</f>
        <v>28.974999999999998</v>
      </c>
    </row>
    <row r="884" spans="1:10" x14ac:dyDescent="0.3">
      <c r="A884">
        <v>51014251</v>
      </c>
      <c r="B884">
        <v>21</v>
      </c>
      <c r="C884">
        <v>0</v>
      </c>
      <c r="D884">
        <v>98</v>
      </c>
      <c r="E884" s="21">
        <f>D884/PARAMS_MODELO!$B$28</f>
        <v>3.2666666666666666</v>
      </c>
      <c r="F884">
        <v>5</v>
      </c>
      <c r="G884">
        <v>86</v>
      </c>
      <c r="H884">
        <v>77</v>
      </c>
      <c r="I884" s="20">
        <f t="shared" si="13"/>
        <v>0.89534883720930236</v>
      </c>
      <c r="J884" s="21">
        <f>(IFERROR(_xlfn.PERCENTRANK.INC($B$2:$B$1194,B884)*100,0)*PARAMS_MODELO!$B$25)+(IFERROR(_xlfn.PERCENTRANK.INC($C$2:$C$1194,C884)*100,0)*PARAMS_MODELO!$B$26)+(IFERROR(_xlfn.PERCENTRANK.INC($E$2:$E$1194,E884)*100,0)*PARAMS_MODELO!$B$27)+(IFERROR(_xlfn.PERCENTRANK.INC($F$2:$F$1194,F884)*100,0)*PARAMS_MODELO!$B$29)+(IFERROR(_xlfn.PERCENTRANK.INC($I$2:$I$1194,I884)*100,0)*PARAMS_MODELO!$B$31)</f>
        <v>35.244999999999997</v>
      </c>
    </row>
    <row r="885" spans="1:10" x14ac:dyDescent="0.3">
      <c r="A885">
        <v>51042999</v>
      </c>
      <c r="B885">
        <v>86</v>
      </c>
      <c r="C885">
        <v>12</v>
      </c>
      <c r="D885">
        <v>20</v>
      </c>
      <c r="E885" s="21">
        <f>D885/PARAMS_MODELO!$B$28</f>
        <v>0.66666666666666663</v>
      </c>
      <c r="F885">
        <v>38</v>
      </c>
      <c r="G885">
        <v>89</v>
      </c>
      <c r="H885">
        <v>28</v>
      </c>
      <c r="I885" s="20">
        <f t="shared" si="13"/>
        <v>0.3146067415730337</v>
      </c>
      <c r="J885" s="21">
        <f>(IFERROR(_xlfn.PERCENTRANK.INC($B$2:$B$1194,B885)*100,0)*PARAMS_MODELO!$B$25)+(IFERROR(_xlfn.PERCENTRANK.INC($C$2:$C$1194,C885)*100,0)*PARAMS_MODELO!$B$26)+(IFERROR(_xlfn.PERCENTRANK.INC($E$2:$E$1194,E885)*100,0)*PARAMS_MODELO!$B$27)+(IFERROR(_xlfn.PERCENTRANK.INC($F$2:$F$1194,F885)*100,0)*PARAMS_MODELO!$B$29)+(IFERROR(_xlfn.PERCENTRANK.INC($I$2:$I$1194,I885)*100,0)*PARAMS_MODELO!$B$31)</f>
        <v>49.015000000000001</v>
      </c>
    </row>
    <row r="886" spans="1:10" x14ac:dyDescent="0.3">
      <c r="A886">
        <v>51041712</v>
      </c>
      <c r="B886">
        <v>84</v>
      </c>
      <c r="C886">
        <v>25</v>
      </c>
      <c r="D886">
        <v>3</v>
      </c>
      <c r="E886" s="21">
        <f>D886/PARAMS_MODELO!$B$28</f>
        <v>0.1</v>
      </c>
      <c r="F886">
        <v>44</v>
      </c>
      <c r="G886">
        <v>68</v>
      </c>
      <c r="H886">
        <v>13</v>
      </c>
      <c r="I886" s="20">
        <f t="shared" si="13"/>
        <v>0.19117647058823528</v>
      </c>
      <c r="J886" s="21">
        <f>(IFERROR(_xlfn.PERCENTRANK.INC($B$2:$B$1194,B886)*100,0)*PARAMS_MODELO!$B$25)+(IFERROR(_xlfn.PERCENTRANK.INC($C$2:$C$1194,C886)*100,0)*PARAMS_MODELO!$B$26)+(IFERROR(_xlfn.PERCENTRANK.INC($E$2:$E$1194,E886)*100,0)*PARAMS_MODELO!$B$27)+(IFERROR(_xlfn.PERCENTRANK.INC($F$2:$F$1194,F886)*100,0)*PARAMS_MODELO!$B$29)+(IFERROR(_xlfn.PERCENTRANK.INC($I$2:$I$1194,I886)*100,0)*PARAMS_MODELO!$B$31)</f>
        <v>57.809999999999988</v>
      </c>
    </row>
    <row r="887" spans="1:10" x14ac:dyDescent="0.3">
      <c r="A887">
        <v>51023293</v>
      </c>
      <c r="B887">
        <v>69</v>
      </c>
      <c r="C887">
        <v>9</v>
      </c>
      <c r="D887">
        <v>30</v>
      </c>
      <c r="E887" s="21">
        <f>D887/PARAMS_MODELO!$B$28</f>
        <v>1</v>
      </c>
      <c r="F887">
        <v>59</v>
      </c>
      <c r="G887">
        <v>14</v>
      </c>
      <c r="H887">
        <v>12</v>
      </c>
      <c r="I887" s="20">
        <f t="shared" si="13"/>
        <v>0.8571428571428571</v>
      </c>
      <c r="J887" s="21">
        <f>(IFERROR(_xlfn.PERCENTRANK.INC($B$2:$B$1194,B887)*100,0)*PARAMS_MODELO!$B$25)+(IFERROR(_xlfn.PERCENTRANK.INC($C$2:$C$1194,C887)*100,0)*PARAMS_MODELO!$B$26)+(IFERROR(_xlfn.PERCENTRANK.INC($E$2:$E$1194,E887)*100,0)*PARAMS_MODELO!$B$27)+(IFERROR(_xlfn.PERCENTRANK.INC($F$2:$F$1194,F887)*100,0)*PARAMS_MODELO!$B$29)+(IFERROR(_xlfn.PERCENTRANK.INC($I$2:$I$1194,I887)*100,0)*PARAMS_MODELO!$B$31)</f>
        <v>51.559999999999995</v>
      </c>
    </row>
    <row r="888" spans="1:10" x14ac:dyDescent="0.3">
      <c r="A888">
        <v>51033507</v>
      </c>
      <c r="B888">
        <v>10</v>
      </c>
      <c r="C888">
        <v>22</v>
      </c>
      <c r="D888">
        <v>11</v>
      </c>
      <c r="E888" s="21">
        <f>D888/PARAMS_MODELO!$B$28</f>
        <v>0.36666666666666664</v>
      </c>
      <c r="F888">
        <v>3</v>
      </c>
      <c r="G888">
        <v>23</v>
      </c>
      <c r="H888">
        <v>17</v>
      </c>
      <c r="I888" s="20">
        <f t="shared" si="13"/>
        <v>0.73913043478260865</v>
      </c>
      <c r="J888" s="21">
        <f>(IFERROR(_xlfn.PERCENTRANK.INC($B$2:$B$1194,B888)*100,0)*PARAMS_MODELO!$B$25)+(IFERROR(_xlfn.PERCENTRANK.INC($C$2:$C$1194,C888)*100,0)*PARAMS_MODELO!$B$26)+(IFERROR(_xlfn.PERCENTRANK.INC($E$2:$E$1194,E888)*100,0)*PARAMS_MODELO!$B$27)+(IFERROR(_xlfn.PERCENTRANK.INC($F$2:$F$1194,F888)*100,0)*PARAMS_MODELO!$B$29)+(IFERROR(_xlfn.PERCENTRANK.INC($I$2:$I$1194,I888)*100,0)*PARAMS_MODELO!$B$31)</f>
        <v>33.65</v>
      </c>
    </row>
    <row r="889" spans="1:10" x14ac:dyDescent="0.3">
      <c r="A889">
        <v>51013875</v>
      </c>
      <c r="B889">
        <v>65</v>
      </c>
      <c r="C889">
        <v>14</v>
      </c>
      <c r="D889">
        <v>45</v>
      </c>
      <c r="E889" s="21">
        <f>D889/PARAMS_MODELO!$B$28</f>
        <v>1.5</v>
      </c>
      <c r="F889">
        <v>48</v>
      </c>
      <c r="G889">
        <v>47</v>
      </c>
      <c r="H889">
        <v>39</v>
      </c>
      <c r="I889" s="20">
        <f t="shared" si="13"/>
        <v>0.82978723404255317</v>
      </c>
      <c r="J889" s="21">
        <f>(IFERROR(_xlfn.PERCENTRANK.INC($B$2:$B$1194,B889)*100,0)*PARAMS_MODELO!$B$25)+(IFERROR(_xlfn.PERCENTRANK.INC($C$2:$C$1194,C889)*100,0)*PARAMS_MODELO!$B$26)+(IFERROR(_xlfn.PERCENTRANK.INC($E$2:$E$1194,E889)*100,0)*PARAMS_MODELO!$B$27)+(IFERROR(_xlfn.PERCENTRANK.INC($F$2:$F$1194,F889)*100,0)*PARAMS_MODELO!$B$29)+(IFERROR(_xlfn.PERCENTRANK.INC($I$2:$I$1194,I889)*100,0)*PARAMS_MODELO!$B$31)</f>
        <v>56.49</v>
      </c>
    </row>
    <row r="890" spans="1:10" x14ac:dyDescent="0.3">
      <c r="A890">
        <v>51013395</v>
      </c>
      <c r="B890">
        <v>47</v>
      </c>
      <c r="C890">
        <v>5</v>
      </c>
      <c r="D890">
        <v>33</v>
      </c>
      <c r="E890" s="21">
        <f>D890/PARAMS_MODELO!$B$28</f>
        <v>1.1000000000000001</v>
      </c>
      <c r="F890">
        <v>11</v>
      </c>
      <c r="G890">
        <v>92</v>
      </c>
      <c r="H890">
        <v>29</v>
      </c>
      <c r="I890" s="20">
        <f t="shared" si="13"/>
        <v>0.31521739130434784</v>
      </c>
      <c r="J890" s="21">
        <f>(IFERROR(_xlfn.PERCENTRANK.INC($B$2:$B$1194,B890)*100,0)*PARAMS_MODELO!$B$25)+(IFERROR(_xlfn.PERCENTRANK.INC($C$2:$C$1194,C890)*100,0)*PARAMS_MODELO!$B$26)+(IFERROR(_xlfn.PERCENTRANK.INC($E$2:$E$1194,E890)*100,0)*PARAMS_MODELO!$B$27)+(IFERROR(_xlfn.PERCENTRANK.INC($F$2:$F$1194,F890)*100,0)*PARAMS_MODELO!$B$29)+(IFERROR(_xlfn.PERCENTRANK.INC($I$2:$I$1194,I890)*100,0)*PARAMS_MODELO!$B$31)</f>
        <v>29.290000000000003</v>
      </c>
    </row>
    <row r="891" spans="1:10" x14ac:dyDescent="0.3">
      <c r="A891">
        <v>51056108</v>
      </c>
      <c r="B891">
        <v>85</v>
      </c>
      <c r="C891">
        <v>14</v>
      </c>
      <c r="D891">
        <v>5</v>
      </c>
      <c r="E891" s="21">
        <f>D891/PARAMS_MODELO!$B$28</f>
        <v>0.16666666666666666</v>
      </c>
      <c r="F891">
        <v>76</v>
      </c>
      <c r="G891">
        <v>14</v>
      </c>
      <c r="H891">
        <v>6</v>
      </c>
      <c r="I891" s="20">
        <f t="shared" si="13"/>
        <v>0.42857142857142855</v>
      </c>
      <c r="J891" s="21">
        <f>(IFERROR(_xlfn.PERCENTRANK.INC($B$2:$B$1194,B891)*100,0)*PARAMS_MODELO!$B$25)+(IFERROR(_xlfn.PERCENTRANK.INC($C$2:$C$1194,C891)*100,0)*PARAMS_MODELO!$B$26)+(IFERROR(_xlfn.PERCENTRANK.INC($E$2:$E$1194,E891)*100,0)*PARAMS_MODELO!$B$27)+(IFERROR(_xlfn.PERCENTRANK.INC($F$2:$F$1194,F891)*100,0)*PARAMS_MODELO!$B$29)+(IFERROR(_xlfn.PERCENTRANK.INC($I$2:$I$1194,I891)*100,0)*PARAMS_MODELO!$B$31)</f>
        <v>54.51</v>
      </c>
    </row>
    <row r="892" spans="1:10" x14ac:dyDescent="0.3">
      <c r="A892">
        <v>51055837</v>
      </c>
      <c r="B892">
        <v>0</v>
      </c>
      <c r="C892">
        <v>15</v>
      </c>
      <c r="D892">
        <v>42</v>
      </c>
      <c r="E892" s="21">
        <f>D892/PARAMS_MODELO!$B$28</f>
        <v>1.4</v>
      </c>
      <c r="F892">
        <v>95</v>
      </c>
      <c r="G892">
        <v>52</v>
      </c>
      <c r="H892">
        <v>36</v>
      </c>
      <c r="I892" s="20">
        <f t="shared" si="13"/>
        <v>0.69230769230769229</v>
      </c>
      <c r="J892" s="21">
        <f>(IFERROR(_xlfn.PERCENTRANK.INC($B$2:$B$1194,B892)*100,0)*PARAMS_MODELO!$B$25)+(IFERROR(_xlfn.PERCENTRANK.INC($C$2:$C$1194,C892)*100,0)*PARAMS_MODELO!$B$26)+(IFERROR(_xlfn.PERCENTRANK.INC($E$2:$E$1194,E892)*100,0)*PARAMS_MODELO!$B$27)+(IFERROR(_xlfn.PERCENTRANK.INC($F$2:$F$1194,F892)*100,0)*PARAMS_MODELO!$B$29)+(IFERROR(_xlfn.PERCENTRANK.INC($I$2:$I$1194,I892)*100,0)*PARAMS_MODELO!$B$31)</f>
        <v>42.925000000000004</v>
      </c>
    </row>
    <row r="893" spans="1:10" x14ac:dyDescent="0.3">
      <c r="A893">
        <v>51056248</v>
      </c>
      <c r="B893">
        <v>23</v>
      </c>
      <c r="C893">
        <v>9</v>
      </c>
      <c r="D893">
        <v>54</v>
      </c>
      <c r="E893" s="21">
        <f>D893/PARAMS_MODELO!$B$28</f>
        <v>1.8</v>
      </c>
      <c r="F893">
        <v>2</v>
      </c>
      <c r="G893">
        <v>79</v>
      </c>
      <c r="H893">
        <v>32</v>
      </c>
      <c r="I893" s="20">
        <f t="shared" si="13"/>
        <v>0.4050632911392405</v>
      </c>
      <c r="J893" s="21">
        <f>(IFERROR(_xlfn.PERCENTRANK.INC($B$2:$B$1194,B893)*100,0)*PARAMS_MODELO!$B$25)+(IFERROR(_xlfn.PERCENTRANK.INC($C$2:$C$1194,C893)*100,0)*PARAMS_MODELO!$B$26)+(IFERROR(_xlfn.PERCENTRANK.INC($E$2:$E$1194,E893)*100,0)*PARAMS_MODELO!$B$27)+(IFERROR(_xlfn.PERCENTRANK.INC($F$2:$F$1194,F893)*100,0)*PARAMS_MODELO!$B$29)+(IFERROR(_xlfn.PERCENTRANK.INC($I$2:$I$1194,I893)*100,0)*PARAMS_MODELO!$B$31)</f>
        <v>30.074999999999996</v>
      </c>
    </row>
    <row r="894" spans="1:10" x14ac:dyDescent="0.3">
      <c r="A894">
        <v>51025245</v>
      </c>
      <c r="B894">
        <v>63</v>
      </c>
      <c r="C894">
        <v>8</v>
      </c>
      <c r="D894">
        <v>57</v>
      </c>
      <c r="E894" s="21">
        <f>D894/PARAMS_MODELO!$B$28</f>
        <v>1.9</v>
      </c>
      <c r="F894">
        <v>7</v>
      </c>
      <c r="G894">
        <v>27</v>
      </c>
      <c r="H894">
        <v>6</v>
      </c>
      <c r="I894" s="20">
        <f t="shared" si="13"/>
        <v>0.22222222222222221</v>
      </c>
      <c r="J894" s="21">
        <f>(IFERROR(_xlfn.PERCENTRANK.INC($B$2:$B$1194,B894)*100,0)*PARAMS_MODELO!$B$25)+(IFERROR(_xlfn.PERCENTRANK.INC($C$2:$C$1194,C894)*100,0)*PARAMS_MODELO!$B$26)+(IFERROR(_xlfn.PERCENTRANK.INC($E$2:$E$1194,E894)*100,0)*PARAMS_MODELO!$B$27)+(IFERROR(_xlfn.PERCENTRANK.INC($F$2:$F$1194,F894)*100,0)*PARAMS_MODELO!$B$29)+(IFERROR(_xlfn.PERCENTRANK.INC($I$2:$I$1194,I894)*100,0)*PARAMS_MODELO!$B$31)</f>
        <v>40.474999999999994</v>
      </c>
    </row>
    <row r="895" spans="1:10" x14ac:dyDescent="0.3">
      <c r="A895">
        <v>51016360</v>
      </c>
      <c r="B895">
        <v>49</v>
      </c>
      <c r="C895">
        <v>23</v>
      </c>
      <c r="D895">
        <v>97</v>
      </c>
      <c r="E895" s="21">
        <f>D895/PARAMS_MODELO!$B$28</f>
        <v>3.2333333333333334</v>
      </c>
      <c r="F895">
        <v>96</v>
      </c>
      <c r="G895">
        <v>19</v>
      </c>
      <c r="H895">
        <v>16</v>
      </c>
      <c r="I895" s="20">
        <f t="shared" si="13"/>
        <v>0.84210526315789469</v>
      </c>
      <c r="J895" s="21">
        <f>(IFERROR(_xlfn.PERCENTRANK.INC($B$2:$B$1194,B895)*100,0)*PARAMS_MODELO!$B$25)+(IFERROR(_xlfn.PERCENTRANK.INC($C$2:$C$1194,C895)*100,0)*PARAMS_MODELO!$B$26)+(IFERROR(_xlfn.PERCENTRANK.INC($E$2:$E$1194,E895)*100,0)*PARAMS_MODELO!$B$27)+(IFERROR(_xlfn.PERCENTRANK.INC($F$2:$F$1194,F895)*100,0)*PARAMS_MODELO!$B$29)+(IFERROR(_xlfn.PERCENTRANK.INC($I$2:$I$1194,I895)*100,0)*PARAMS_MODELO!$B$31)</f>
        <v>77.94</v>
      </c>
    </row>
    <row r="896" spans="1:10" x14ac:dyDescent="0.3">
      <c r="A896">
        <v>51040881</v>
      </c>
      <c r="B896">
        <v>35</v>
      </c>
      <c r="C896">
        <v>6</v>
      </c>
      <c r="D896">
        <v>67</v>
      </c>
      <c r="E896" s="21">
        <f>D896/PARAMS_MODELO!$B$28</f>
        <v>2.2333333333333334</v>
      </c>
      <c r="F896">
        <v>74</v>
      </c>
      <c r="G896">
        <v>70</v>
      </c>
      <c r="H896">
        <v>13</v>
      </c>
      <c r="I896" s="20">
        <f t="shared" si="13"/>
        <v>0.18571428571428572</v>
      </c>
      <c r="J896" s="21">
        <f>(IFERROR(_xlfn.PERCENTRANK.INC($B$2:$B$1194,B896)*100,0)*PARAMS_MODELO!$B$25)+(IFERROR(_xlfn.PERCENTRANK.INC($C$2:$C$1194,C896)*100,0)*PARAMS_MODELO!$B$26)+(IFERROR(_xlfn.PERCENTRANK.INC($E$2:$E$1194,E896)*100,0)*PARAMS_MODELO!$B$27)+(IFERROR(_xlfn.PERCENTRANK.INC($F$2:$F$1194,F896)*100,0)*PARAMS_MODELO!$B$29)+(IFERROR(_xlfn.PERCENTRANK.INC($I$2:$I$1194,I896)*100,0)*PARAMS_MODELO!$B$31)</f>
        <v>42.175000000000004</v>
      </c>
    </row>
    <row r="897" spans="1:10" x14ac:dyDescent="0.3">
      <c r="A897">
        <v>51031776</v>
      </c>
      <c r="B897">
        <v>94</v>
      </c>
      <c r="C897">
        <v>24</v>
      </c>
      <c r="D897">
        <v>66</v>
      </c>
      <c r="E897" s="21">
        <f>D897/PARAMS_MODELO!$B$28</f>
        <v>2.2000000000000002</v>
      </c>
      <c r="F897">
        <v>91</v>
      </c>
      <c r="G897">
        <v>76</v>
      </c>
      <c r="H897">
        <v>2</v>
      </c>
      <c r="I897" s="20">
        <f t="shared" si="13"/>
        <v>2.6315789473684209E-2</v>
      </c>
      <c r="J897" s="21">
        <f>(IFERROR(_xlfn.PERCENTRANK.INC($B$2:$B$1194,B897)*100,0)*PARAMS_MODELO!$B$25)+(IFERROR(_xlfn.PERCENTRANK.INC($C$2:$C$1194,C897)*100,0)*PARAMS_MODELO!$B$26)+(IFERROR(_xlfn.PERCENTRANK.INC($E$2:$E$1194,E897)*100,0)*PARAMS_MODELO!$B$27)+(IFERROR(_xlfn.PERCENTRANK.INC($F$2:$F$1194,F897)*100,0)*PARAMS_MODELO!$B$29)+(IFERROR(_xlfn.PERCENTRANK.INC($I$2:$I$1194,I897)*100,0)*PARAMS_MODELO!$B$31)</f>
        <v>77.279999999999987</v>
      </c>
    </row>
    <row r="898" spans="1:10" x14ac:dyDescent="0.3">
      <c r="A898">
        <v>51013166</v>
      </c>
      <c r="B898">
        <v>6</v>
      </c>
      <c r="C898">
        <v>18</v>
      </c>
      <c r="D898">
        <v>46</v>
      </c>
      <c r="E898" s="21">
        <f>D898/PARAMS_MODELO!$B$28</f>
        <v>1.5333333333333334</v>
      </c>
      <c r="F898">
        <v>40</v>
      </c>
      <c r="G898">
        <v>55</v>
      </c>
      <c r="H898">
        <v>46</v>
      </c>
      <c r="I898" s="20">
        <f t="shared" ref="I898:I961" si="14">IFERROR(H898/G898,0)</f>
        <v>0.83636363636363631</v>
      </c>
      <c r="J898" s="21">
        <f>(IFERROR(_xlfn.PERCENTRANK.INC($B$2:$B$1194,B898)*100,0)*PARAMS_MODELO!$B$25)+(IFERROR(_xlfn.PERCENTRANK.INC($C$2:$C$1194,C898)*100,0)*PARAMS_MODELO!$B$26)+(IFERROR(_xlfn.PERCENTRANK.INC($E$2:$E$1194,E898)*100,0)*PARAMS_MODELO!$B$27)+(IFERROR(_xlfn.PERCENTRANK.INC($F$2:$F$1194,F898)*100,0)*PARAMS_MODELO!$B$29)+(IFERROR(_xlfn.PERCENTRANK.INC($I$2:$I$1194,I898)*100,0)*PARAMS_MODELO!$B$31)</f>
        <v>42.24</v>
      </c>
    </row>
    <row r="899" spans="1:10" x14ac:dyDescent="0.3">
      <c r="A899">
        <v>51032918</v>
      </c>
      <c r="B899">
        <v>36</v>
      </c>
      <c r="C899">
        <v>11</v>
      </c>
      <c r="D899">
        <v>22</v>
      </c>
      <c r="E899" s="21">
        <f>D899/PARAMS_MODELO!$B$28</f>
        <v>0.73333333333333328</v>
      </c>
      <c r="F899">
        <v>47</v>
      </c>
      <c r="G899">
        <v>22</v>
      </c>
      <c r="H899">
        <v>2</v>
      </c>
      <c r="I899" s="20">
        <f t="shared" si="14"/>
        <v>9.0909090909090912E-2</v>
      </c>
      <c r="J899" s="21">
        <f>(IFERROR(_xlfn.PERCENTRANK.INC($B$2:$B$1194,B899)*100,0)*PARAMS_MODELO!$B$25)+(IFERROR(_xlfn.PERCENTRANK.INC($C$2:$C$1194,C899)*100,0)*PARAMS_MODELO!$B$26)+(IFERROR(_xlfn.PERCENTRANK.INC($E$2:$E$1194,E899)*100,0)*PARAMS_MODELO!$B$27)+(IFERROR(_xlfn.PERCENTRANK.INC($F$2:$F$1194,F899)*100,0)*PARAMS_MODELO!$B$29)+(IFERROR(_xlfn.PERCENTRANK.INC($I$2:$I$1194,I899)*100,0)*PARAMS_MODELO!$B$31)</f>
        <v>32.745000000000005</v>
      </c>
    </row>
    <row r="900" spans="1:10" x14ac:dyDescent="0.3">
      <c r="A900">
        <v>51025717</v>
      </c>
      <c r="B900">
        <v>69</v>
      </c>
      <c r="C900">
        <v>21</v>
      </c>
      <c r="D900">
        <v>4</v>
      </c>
      <c r="E900" s="21">
        <f>D900/PARAMS_MODELO!$B$28</f>
        <v>0.13333333333333333</v>
      </c>
      <c r="F900">
        <v>57</v>
      </c>
      <c r="G900">
        <v>53</v>
      </c>
      <c r="H900">
        <v>52</v>
      </c>
      <c r="I900" s="20">
        <f t="shared" si="14"/>
        <v>0.98113207547169812</v>
      </c>
      <c r="J900" s="21">
        <f>(IFERROR(_xlfn.PERCENTRANK.INC($B$2:$B$1194,B900)*100,0)*PARAMS_MODELO!$B$25)+(IFERROR(_xlfn.PERCENTRANK.INC($C$2:$C$1194,C900)*100,0)*PARAMS_MODELO!$B$26)+(IFERROR(_xlfn.PERCENTRANK.INC($E$2:$E$1194,E900)*100,0)*PARAMS_MODELO!$B$27)+(IFERROR(_xlfn.PERCENTRANK.INC($F$2:$F$1194,F900)*100,0)*PARAMS_MODELO!$B$29)+(IFERROR(_xlfn.PERCENTRANK.INC($I$2:$I$1194,I900)*100,0)*PARAMS_MODELO!$B$31)</f>
        <v>59.099999999999994</v>
      </c>
    </row>
    <row r="901" spans="1:10" x14ac:dyDescent="0.3">
      <c r="A901">
        <v>51033001</v>
      </c>
      <c r="B901">
        <v>6</v>
      </c>
      <c r="C901">
        <v>24</v>
      </c>
      <c r="D901">
        <v>60</v>
      </c>
      <c r="E901" s="21">
        <f>D901/PARAMS_MODELO!$B$28</f>
        <v>2</v>
      </c>
      <c r="F901">
        <v>58</v>
      </c>
      <c r="G901">
        <v>13</v>
      </c>
      <c r="H901">
        <v>4</v>
      </c>
      <c r="I901" s="20">
        <f t="shared" si="14"/>
        <v>0.30769230769230771</v>
      </c>
      <c r="J901" s="21">
        <f>(IFERROR(_xlfn.PERCENTRANK.INC($B$2:$B$1194,B901)*100,0)*PARAMS_MODELO!$B$25)+(IFERROR(_xlfn.PERCENTRANK.INC($C$2:$C$1194,C901)*100,0)*PARAMS_MODELO!$B$26)+(IFERROR(_xlfn.PERCENTRANK.INC($E$2:$E$1194,E901)*100,0)*PARAMS_MODELO!$B$27)+(IFERROR(_xlfn.PERCENTRANK.INC($F$2:$F$1194,F901)*100,0)*PARAMS_MODELO!$B$29)+(IFERROR(_xlfn.PERCENTRANK.INC($I$2:$I$1194,I901)*100,0)*PARAMS_MODELO!$B$31)</f>
        <v>48.43</v>
      </c>
    </row>
    <row r="902" spans="1:10" x14ac:dyDescent="0.3">
      <c r="A902">
        <v>51012674</v>
      </c>
      <c r="B902">
        <v>14</v>
      </c>
      <c r="C902">
        <v>23</v>
      </c>
      <c r="D902">
        <v>35</v>
      </c>
      <c r="E902" s="21">
        <f>D902/PARAMS_MODELO!$B$28</f>
        <v>1.1666666666666667</v>
      </c>
      <c r="F902">
        <v>69</v>
      </c>
      <c r="G902">
        <v>17</v>
      </c>
      <c r="H902">
        <v>2</v>
      </c>
      <c r="I902" s="20">
        <f t="shared" si="14"/>
        <v>0.11764705882352941</v>
      </c>
      <c r="J902" s="21">
        <f>(IFERROR(_xlfn.PERCENTRANK.INC($B$2:$B$1194,B902)*100,0)*PARAMS_MODELO!$B$25)+(IFERROR(_xlfn.PERCENTRANK.INC($C$2:$C$1194,C902)*100,0)*PARAMS_MODELO!$B$26)+(IFERROR(_xlfn.PERCENTRANK.INC($E$2:$E$1194,E902)*100,0)*PARAMS_MODELO!$B$27)+(IFERROR(_xlfn.PERCENTRANK.INC($F$2:$F$1194,F902)*100,0)*PARAMS_MODELO!$B$29)+(IFERROR(_xlfn.PERCENTRANK.INC($I$2:$I$1194,I902)*100,0)*PARAMS_MODELO!$B$31)</f>
        <v>44.309999999999995</v>
      </c>
    </row>
    <row r="903" spans="1:10" x14ac:dyDescent="0.3">
      <c r="A903">
        <v>51007743</v>
      </c>
      <c r="B903">
        <v>99</v>
      </c>
      <c r="C903">
        <v>6</v>
      </c>
      <c r="D903">
        <v>22</v>
      </c>
      <c r="E903" s="21">
        <f>D903/PARAMS_MODELO!$B$28</f>
        <v>0.73333333333333328</v>
      </c>
      <c r="F903">
        <v>43</v>
      </c>
      <c r="G903">
        <v>92</v>
      </c>
      <c r="H903">
        <v>56</v>
      </c>
      <c r="I903" s="20">
        <f t="shared" si="14"/>
        <v>0.60869565217391308</v>
      </c>
      <c r="J903" s="21">
        <f>(IFERROR(_xlfn.PERCENTRANK.INC($B$2:$B$1194,B903)*100,0)*PARAMS_MODELO!$B$25)+(IFERROR(_xlfn.PERCENTRANK.INC($C$2:$C$1194,C903)*100,0)*PARAMS_MODELO!$B$26)+(IFERROR(_xlfn.PERCENTRANK.INC($E$2:$E$1194,E903)*100,0)*PARAMS_MODELO!$B$27)+(IFERROR(_xlfn.PERCENTRANK.INC($F$2:$F$1194,F903)*100,0)*PARAMS_MODELO!$B$29)+(IFERROR(_xlfn.PERCENTRANK.INC($I$2:$I$1194,I903)*100,0)*PARAMS_MODELO!$B$31)</f>
        <v>51.514999999999993</v>
      </c>
    </row>
    <row r="904" spans="1:10" x14ac:dyDescent="0.3">
      <c r="A904">
        <v>51032705</v>
      </c>
      <c r="B904">
        <v>62</v>
      </c>
      <c r="C904">
        <v>17</v>
      </c>
      <c r="D904">
        <v>1</v>
      </c>
      <c r="E904" s="21">
        <f>D904/PARAMS_MODELO!$B$28</f>
        <v>3.3333333333333333E-2</v>
      </c>
      <c r="F904">
        <v>35</v>
      </c>
      <c r="G904">
        <v>2</v>
      </c>
      <c r="H904">
        <v>1</v>
      </c>
      <c r="I904" s="20">
        <f t="shared" si="14"/>
        <v>0.5</v>
      </c>
      <c r="J904" s="21">
        <f>(IFERROR(_xlfn.PERCENTRANK.INC($B$2:$B$1194,B904)*100,0)*PARAMS_MODELO!$B$25)+(IFERROR(_xlfn.PERCENTRANK.INC($C$2:$C$1194,C904)*100,0)*PARAMS_MODELO!$B$26)+(IFERROR(_xlfn.PERCENTRANK.INC($E$2:$E$1194,E904)*100,0)*PARAMS_MODELO!$B$27)+(IFERROR(_xlfn.PERCENTRANK.INC($F$2:$F$1194,F904)*100,0)*PARAMS_MODELO!$B$29)+(IFERROR(_xlfn.PERCENTRANK.INC($I$2:$I$1194,I904)*100,0)*PARAMS_MODELO!$B$31)</f>
        <v>43.94</v>
      </c>
    </row>
    <row r="905" spans="1:10" x14ac:dyDescent="0.3">
      <c r="A905">
        <v>51041887</v>
      </c>
      <c r="B905">
        <v>10</v>
      </c>
      <c r="C905">
        <v>0</v>
      </c>
      <c r="D905">
        <v>83</v>
      </c>
      <c r="E905" s="21">
        <f>D905/PARAMS_MODELO!$B$28</f>
        <v>2.7666666666666666</v>
      </c>
      <c r="F905">
        <v>18</v>
      </c>
      <c r="G905">
        <v>35</v>
      </c>
      <c r="H905">
        <v>0</v>
      </c>
      <c r="I905" s="20">
        <f t="shared" si="14"/>
        <v>0</v>
      </c>
      <c r="J905" s="21">
        <f>(IFERROR(_xlfn.PERCENTRANK.INC($B$2:$B$1194,B905)*100,0)*PARAMS_MODELO!$B$25)+(IFERROR(_xlfn.PERCENTRANK.INC($C$2:$C$1194,C905)*100,0)*PARAMS_MODELO!$B$26)+(IFERROR(_xlfn.PERCENTRANK.INC($E$2:$E$1194,E905)*100,0)*PARAMS_MODELO!$B$27)+(IFERROR(_xlfn.PERCENTRANK.INC($F$2:$F$1194,F905)*100,0)*PARAMS_MODELO!$B$29)+(IFERROR(_xlfn.PERCENTRANK.INC($I$2:$I$1194,I905)*100,0)*PARAMS_MODELO!$B$31)</f>
        <v>21.73</v>
      </c>
    </row>
    <row r="906" spans="1:10" x14ac:dyDescent="0.3">
      <c r="A906">
        <v>51030826</v>
      </c>
      <c r="B906">
        <v>98</v>
      </c>
      <c r="C906">
        <v>2</v>
      </c>
      <c r="D906">
        <v>11</v>
      </c>
      <c r="E906" s="21">
        <f>D906/PARAMS_MODELO!$B$28</f>
        <v>0.36666666666666664</v>
      </c>
      <c r="F906">
        <v>83</v>
      </c>
      <c r="G906">
        <v>6</v>
      </c>
      <c r="H906">
        <v>2</v>
      </c>
      <c r="I906" s="20">
        <f t="shared" si="14"/>
        <v>0.33333333333333331</v>
      </c>
      <c r="J906" s="21">
        <f>(IFERROR(_xlfn.PERCENTRANK.INC($B$2:$B$1194,B906)*100,0)*PARAMS_MODELO!$B$25)+(IFERROR(_xlfn.PERCENTRANK.INC($C$2:$C$1194,C906)*100,0)*PARAMS_MODELO!$B$26)+(IFERROR(_xlfn.PERCENTRANK.INC($E$2:$E$1194,E906)*100,0)*PARAMS_MODELO!$B$27)+(IFERROR(_xlfn.PERCENTRANK.INC($F$2:$F$1194,F906)*100,0)*PARAMS_MODELO!$B$29)+(IFERROR(_xlfn.PERCENTRANK.INC($I$2:$I$1194,I906)*100,0)*PARAMS_MODELO!$B$31)</f>
        <v>48.789999999999992</v>
      </c>
    </row>
    <row r="907" spans="1:10" x14ac:dyDescent="0.3">
      <c r="A907">
        <v>51011007</v>
      </c>
      <c r="B907">
        <v>53</v>
      </c>
      <c r="C907">
        <v>8</v>
      </c>
      <c r="D907">
        <v>14</v>
      </c>
      <c r="E907" s="21">
        <f>D907/PARAMS_MODELO!$B$28</f>
        <v>0.46666666666666667</v>
      </c>
      <c r="F907">
        <v>11</v>
      </c>
      <c r="G907">
        <v>83</v>
      </c>
      <c r="H907">
        <v>28</v>
      </c>
      <c r="I907" s="20">
        <f t="shared" si="14"/>
        <v>0.33734939759036142</v>
      </c>
      <c r="J907" s="21">
        <f>(IFERROR(_xlfn.PERCENTRANK.INC($B$2:$B$1194,B907)*100,0)*PARAMS_MODELO!$B$25)+(IFERROR(_xlfn.PERCENTRANK.INC($C$2:$C$1194,C907)*100,0)*PARAMS_MODELO!$B$26)+(IFERROR(_xlfn.PERCENTRANK.INC($E$2:$E$1194,E907)*100,0)*PARAMS_MODELO!$B$27)+(IFERROR(_xlfn.PERCENTRANK.INC($F$2:$F$1194,F907)*100,0)*PARAMS_MODELO!$B$29)+(IFERROR(_xlfn.PERCENTRANK.INC($I$2:$I$1194,I907)*100,0)*PARAMS_MODELO!$B$31)</f>
        <v>30.434999999999999</v>
      </c>
    </row>
    <row r="908" spans="1:10" x14ac:dyDescent="0.3">
      <c r="A908">
        <v>51007514</v>
      </c>
      <c r="B908">
        <v>15</v>
      </c>
      <c r="C908">
        <v>8</v>
      </c>
      <c r="D908">
        <v>76</v>
      </c>
      <c r="E908" s="21">
        <f>D908/PARAMS_MODELO!$B$28</f>
        <v>2.5333333333333332</v>
      </c>
      <c r="F908">
        <v>51</v>
      </c>
      <c r="G908">
        <v>17</v>
      </c>
      <c r="H908">
        <v>11</v>
      </c>
      <c r="I908" s="20">
        <f t="shared" si="14"/>
        <v>0.6470588235294118</v>
      </c>
      <c r="J908" s="21">
        <f>(IFERROR(_xlfn.PERCENTRANK.INC($B$2:$B$1194,B908)*100,0)*PARAMS_MODELO!$B$25)+(IFERROR(_xlfn.PERCENTRANK.INC($C$2:$C$1194,C908)*100,0)*PARAMS_MODELO!$B$26)+(IFERROR(_xlfn.PERCENTRANK.INC($E$2:$E$1194,E908)*100,0)*PARAMS_MODELO!$B$27)+(IFERROR(_xlfn.PERCENTRANK.INC($F$2:$F$1194,F908)*100,0)*PARAMS_MODELO!$B$29)+(IFERROR(_xlfn.PERCENTRANK.INC($I$2:$I$1194,I908)*100,0)*PARAMS_MODELO!$B$31)</f>
        <v>41.06</v>
      </c>
    </row>
    <row r="909" spans="1:10" x14ac:dyDescent="0.3">
      <c r="A909">
        <v>51024281</v>
      </c>
      <c r="B909">
        <v>97</v>
      </c>
      <c r="C909">
        <v>16</v>
      </c>
      <c r="D909">
        <v>86</v>
      </c>
      <c r="E909" s="21">
        <f>D909/PARAMS_MODELO!$B$28</f>
        <v>2.8666666666666667</v>
      </c>
      <c r="F909">
        <v>74</v>
      </c>
      <c r="G909">
        <v>2</v>
      </c>
      <c r="H909">
        <v>1</v>
      </c>
      <c r="I909" s="20">
        <f t="shared" si="14"/>
        <v>0.5</v>
      </c>
      <c r="J909" s="21">
        <f>(IFERROR(_xlfn.PERCENTRANK.INC($B$2:$B$1194,B909)*100,0)*PARAMS_MODELO!$B$25)+(IFERROR(_xlfn.PERCENTRANK.INC($C$2:$C$1194,C909)*100,0)*PARAMS_MODELO!$B$26)+(IFERROR(_xlfn.PERCENTRANK.INC($E$2:$E$1194,E909)*100,0)*PARAMS_MODELO!$B$27)+(IFERROR(_xlfn.PERCENTRANK.INC($F$2:$F$1194,F909)*100,0)*PARAMS_MODELO!$B$29)+(IFERROR(_xlfn.PERCENTRANK.INC($I$2:$I$1194,I909)*100,0)*PARAMS_MODELO!$B$31)</f>
        <v>76.294999999999987</v>
      </c>
    </row>
    <row r="910" spans="1:10" x14ac:dyDescent="0.3">
      <c r="A910">
        <v>51020961</v>
      </c>
      <c r="B910">
        <v>19</v>
      </c>
      <c r="C910">
        <v>6</v>
      </c>
      <c r="D910">
        <v>51</v>
      </c>
      <c r="E910" s="21">
        <f>D910/PARAMS_MODELO!$B$28</f>
        <v>1.7</v>
      </c>
      <c r="F910">
        <v>4</v>
      </c>
      <c r="G910">
        <v>1</v>
      </c>
      <c r="H910">
        <v>0</v>
      </c>
      <c r="I910" s="20">
        <f t="shared" si="14"/>
        <v>0</v>
      </c>
      <c r="J910" s="21">
        <f>(IFERROR(_xlfn.PERCENTRANK.INC($B$2:$B$1194,B910)*100,0)*PARAMS_MODELO!$B$25)+(IFERROR(_xlfn.PERCENTRANK.INC($C$2:$C$1194,C910)*100,0)*PARAMS_MODELO!$B$26)+(IFERROR(_xlfn.PERCENTRANK.INC($E$2:$E$1194,E910)*100,0)*PARAMS_MODELO!$B$27)+(IFERROR(_xlfn.PERCENTRANK.INC($F$2:$F$1194,F910)*100,0)*PARAMS_MODELO!$B$29)+(IFERROR(_xlfn.PERCENTRANK.INC($I$2:$I$1194,I910)*100,0)*PARAMS_MODELO!$B$31)</f>
        <v>21.650000000000002</v>
      </c>
    </row>
    <row r="911" spans="1:10" x14ac:dyDescent="0.3">
      <c r="A911">
        <v>51022718</v>
      </c>
      <c r="B911">
        <v>39</v>
      </c>
      <c r="C911">
        <v>5</v>
      </c>
      <c r="D911">
        <v>71</v>
      </c>
      <c r="E911" s="21">
        <f>D911/PARAMS_MODELO!$B$28</f>
        <v>2.3666666666666667</v>
      </c>
      <c r="F911">
        <v>30</v>
      </c>
      <c r="G911">
        <v>57</v>
      </c>
      <c r="H911">
        <v>46</v>
      </c>
      <c r="I911" s="20">
        <f t="shared" si="14"/>
        <v>0.80701754385964908</v>
      </c>
      <c r="J911" s="21">
        <f>(IFERROR(_xlfn.PERCENTRANK.INC($B$2:$B$1194,B911)*100,0)*PARAMS_MODELO!$B$25)+(IFERROR(_xlfn.PERCENTRANK.INC($C$2:$C$1194,C911)*100,0)*PARAMS_MODELO!$B$26)+(IFERROR(_xlfn.PERCENTRANK.INC($E$2:$E$1194,E911)*100,0)*PARAMS_MODELO!$B$27)+(IFERROR(_xlfn.PERCENTRANK.INC($F$2:$F$1194,F911)*100,0)*PARAMS_MODELO!$B$29)+(IFERROR(_xlfn.PERCENTRANK.INC($I$2:$I$1194,I911)*100,0)*PARAMS_MODELO!$B$31)</f>
        <v>42.509999999999991</v>
      </c>
    </row>
    <row r="912" spans="1:10" x14ac:dyDescent="0.3">
      <c r="A912">
        <v>51039815</v>
      </c>
      <c r="B912">
        <v>79</v>
      </c>
      <c r="C912">
        <v>8</v>
      </c>
      <c r="D912">
        <v>46</v>
      </c>
      <c r="E912" s="21">
        <f>D912/PARAMS_MODELO!$B$28</f>
        <v>1.5333333333333334</v>
      </c>
      <c r="F912">
        <v>95</v>
      </c>
      <c r="G912">
        <v>60</v>
      </c>
      <c r="H912">
        <v>7</v>
      </c>
      <c r="I912" s="20">
        <f t="shared" si="14"/>
        <v>0.11666666666666667</v>
      </c>
      <c r="J912" s="21">
        <f>(IFERROR(_xlfn.PERCENTRANK.INC($B$2:$B$1194,B912)*100,0)*PARAMS_MODELO!$B$25)+(IFERROR(_xlfn.PERCENTRANK.INC($C$2:$C$1194,C912)*100,0)*PARAMS_MODELO!$B$26)+(IFERROR(_xlfn.PERCENTRANK.INC($E$2:$E$1194,E912)*100,0)*PARAMS_MODELO!$B$27)+(IFERROR(_xlfn.PERCENTRANK.INC($F$2:$F$1194,F912)*100,0)*PARAMS_MODELO!$B$29)+(IFERROR(_xlfn.PERCENTRANK.INC($I$2:$I$1194,I912)*100,0)*PARAMS_MODELO!$B$31)</f>
        <v>55.27</v>
      </c>
    </row>
    <row r="913" spans="1:10" x14ac:dyDescent="0.3">
      <c r="A913">
        <v>51023277</v>
      </c>
      <c r="B913">
        <v>94</v>
      </c>
      <c r="C913">
        <v>18</v>
      </c>
      <c r="D913">
        <v>34</v>
      </c>
      <c r="E913" s="21">
        <f>D913/PARAMS_MODELO!$B$28</f>
        <v>1.1333333333333333</v>
      </c>
      <c r="F913">
        <v>15</v>
      </c>
      <c r="G913">
        <v>43</v>
      </c>
      <c r="H913">
        <v>5</v>
      </c>
      <c r="I913" s="20">
        <f t="shared" si="14"/>
        <v>0.11627906976744186</v>
      </c>
      <c r="J913" s="21">
        <f>(IFERROR(_xlfn.PERCENTRANK.INC($B$2:$B$1194,B913)*100,0)*PARAMS_MODELO!$B$25)+(IFERROR(_xlfn.PERCENTRANK.INC($C$2:$C$1194,C913)*100,0)*PARAMS_MODELO!$B$26)+(IFERROR(_xlfn.PERCENTRANK.INC($E$2:$E$1194,E913)*100,0)*PARAMS_MODELO!$B$27)+(IFERROR(_xlfn.PERCENTRANK.INC($F$2:$F$1194,F913)*100,0)*PARAMS_MODELO!$B$29)+(IFERROR(_xlfn.PERCENTRANK.INC($I$2:$I$1194,I913)*100,0)*PARAMS_MODELO!$B$31)</f>
        <v>54.004999999999995</v>
      </c>
    </row>
    <row r="914" spans="1:10" x14ac:dyDescent="0.3">
      <c r="A914">
        <v>51056353</v>
      </c>
      <c r="B914">
        <v>29</v>
      </c>
      <c r="C914">
        <v>15</v>
      </c>
      <c r="D914">
        <v>42</v>
      </c>
      <c r="E914" s="21">
        <f>D914/PARAMS_MODELO!$B$28</f>
        <v>1.4</v>
      </c>
      <c r="F914">
        <v>26</v>
      </c>
      <c r="G914">
        <v>46</v>
      </c>
      <c r="H914">
        <v>24</v>
      </c>
      <c r="I914" s="20">
        <f t="shared" si="14"/>
        <v>0.52173913043478259</v>
      </c>
      <c r="J914" s="21">
        <f>(IFERROR(_xlfn.PERCENTRANK.INC($B$2:$B$1194,B914)*100,0)*PARAMS_MODELO!$B$25)+(IFERROR(_xlfn.PERCENTRANK.INC($C$2:$C$1194,C914)*100,0)*PARAMS_MODELO!$B$26)+(IFERROR(_xlfn.PERCENTRANK.INC($E$2:$E$1194,E914)*100,0)*PARAMS_MODELO!$B$27)+(IFERROR(_xlfn.PERCENTRANK.INC($F$2:$F$1194,F914)*100,0)*PARAMS_MODELO!$B$29)+(IFERROR(_xlfn.PERCENTRANK.INC($I$2:$I$1194,I914)*100,0)*PARAMS_MODELO!$B$31)</f>
        <v>39.4</v>
      </c>
    </row>
    <row r="915" spans="1:10" x14ac:dyDescent="0.3">
      <c r="A915">
        <v>51001419</v>
      </c>
      <c r="B915">
        <v>52</v>
      </c>
      <c r="C915">
        <v>25</v>
      </c>
      <c r="D915">
        <v>38</v>
      </c>
      <c r="E915" s="21">
        <f>D915/PARAMS_MODELO!$B$28</f>
        <v>1.2666666666666666</v>
      </c>
      <c r="F915">
        <v>34</v>
      </c>
      <c r="G915">
        <v>1</v>
      </c>
      <c r="H915">
        <v>0</v>
      </c>
      <c r="I915" s="20">
        <f t="shared" si="14"/>
        <v>0</v>
      </c>
      <c r="J915" s="21">
        <f>(IFERROR(_xlfn.PERCENTRANK.INC($B$2:$B$1194,B915)*100,0)*PARAMS_MODELO!$B$25)+(IFERROR(_xlfn.PERCENTRANK.INC($C$2:$C$1194,C915)*100,0)*PARAMS_MODELO!$B$26)+(IFERROR(_xlfn.PERCENTRANK.INC($E$2:$E$1194,E915)*100,0)*PARAMS_MODELO!$B$27)+(IFERROR(_xlfn.PERCENTRANK.INC($F$2:$F$1194,F915)*100,0)*PARAMS_MODELO!$B$29)+(IFERROR(_xlfn.PERCENTRANK.INC($I$2:$I$1194,I915)*100,0)*PARAMS_MODELO!$B$31)</f>
        <v>51.364999999999995</v>
      </c>
    </row>
    <row r="916" spans="1:10" x14ac:dyDescent="0.3">
      <c r="A916">
        <v>51018001</v>
      </c>
      <c r="B916">
        <v>53</v>
      </c>
      <c r="C916">
        <v>8</v>
      </c>
      <c r="D916">
        <v>89</v>
      </c>
      <c r="E916" s="21">
        <f>D916/PARAMS_MODELO!$B$28</f>
        <v>2.9666666666666668</v>
      </c>
      <c r="F916">
        <v>26</v>
      </c>
      <c r="G916">
        <v>61</v>
      </c>
      <c r="H916">
        <v>7</v>
      </c>
      <c r="I916" s="20">
        <f t="shared" si="14"/>
        <v>0.11475409836065574</v>
      </c>
      <c r="J916" s="21">
        <f>(IFERROR(_xlfn.PERCENTRANK.INC($B$2:$B$1194,B916)*100,0)*PARAMS_MODELO!$B$25)+(IFERROR(_xlfn.PERCENTRANK.INC($C$2:$C$1194,C916)*100,0)*PARAMS_MODELO!$B$26)+(IFERROR(_xlfn.PERCENTRANK.INC($E$2:$E$1194,E916)*100,0)*PARAMS_MODELO!$B$27)+(IFERROR(_xlfn.PERCENTRANK.INC($F$2:$F$1194,F916)*100,0)*PARAMS_MODELO!$B$29)+(IFERROR(_xlfn.PERCENTRANK.INC($I$2:$I$1194,I916)*100,0)*PARAMS_MODELO!$B$31)</f>
        <v>45.075000000000003</v>
      </c>
    </row>
    <row r="917" spans="1:10" x14ac:dyDescent="0.3">
      <c r="A917">
        <v>51020707</v>
      </c>
      <c r="B917">
        <v>17</v>
      </c>
      <c r="C917">
        <v>11</v>
      </c>
      <c r="D917">
        <v>3</v>
      </c>
      <c r="E917" s="21">
        <f>D917/PARAMS_MODELO!$B$28</f>
        <v>0.1</v>
      </c>
      <c r="F917">
        <v>5</v>
      </c>
      <c r="G917">
        <v>93</v>
      </c>
      <c r="H917">
        <v>76</v>
      </c>
      <c r="I917" s="20">
        <f t="shared" si="14"/>
        <v>0.81720430107526887</v>
      </c>
      <c r="J917" s="21">
        <f>(IFERROR(_xlfn.PERCENTRANK.INC($B$2:$B$1194,B917)*100,0)*PARAMS_MODELO!$B$25)+(IFERROR(_xlfn.PERCENTRANK.INC($C$2:$C$1194,C917)*100,0)*PARAMS_MODELO!$B$26)+(IFERROR(_xlfn.PERCENTRANK.INC($E$2:$E$1194,E917)*100,0)*PARAMS_MODELO!$B$27)+(IFERROR(_xlfn.PERCENTRANK.INC($F$2:$F$1194,F917)*100,0)*PARAMS_MODELO!$B$29)+(IFERROR(_xlfn.PERCENTRANK.INC($I$2:$I$1194,I917)*100,0)*PARAMS_MODELO!$B$31)</f>
        <v>24.740000000000002</v>
      </c>
    </row>
    <row r="918" spans="1:10" x14ac:dyDescent="0.3">
      <c r="A918">
        <v>51018923</v>
      </c>
      <c r="B918">
        <v>91</v>
      </c>
      <c r="C918">
        <v>23</v>
      </c>
      <c r="D918">
        <v>11</v>
      </c>
      <c r="E918" s="21">
        <f>D918/PARAMS_MODELO!$B$28</f>
        <v>0.36666666666666664</v>
      </c>
      <c r="F918">
        <v>66</v>
      </c>
      <c r="G918">
        <v>11</v>
      </c>
      <c r="H918">
        <v>8</v>
      </c>
      <c r="I918" s="20">
        <f t="shared" si="14"/>
        <v>0.72727272727272729</v>
      </c>
      <c r="J918" s="21">
        <f>(IFERROR(_xlfn.PERCENTRANK.INC($B$2:$B$1194,B918)*100,0)*PARAMS_MODELO!$B$25)+(IFERROR(_xlfn.PERCENTRANK.INC($C$2:$C$1194,C918)*100,0)*PARAMS_MODELO!$B$26)+(IFERROR(_xlfn.PERCENTRANK.INC($E$2:$E$1194,E918)*100,0)*PARAMS_MODELO!$B$27)+(IFERROR(_xlfn.PERCENTRANK.INC($F$2:$F$1194,F918)*100,0)*PARAMS_MODELO!$B$29)+(IFERROR(_xlfn.PERCENTRANK.INC($I$2:$I$1194,I918)*100,0)*PARAMS_MODELO!$B$31)</f>
        <v>67.334999999999994</v>
      </c>
    </row>
    <row r="919" spans="1:10" x14ac:dyDescent="0.3">
      <c r="A919">
        <v>51012721</v>
      </c>
      <c r="B919">
        <v>37</v>
      </c>
      <c r="C919">
        <v>22</v>
      </c>
      <c r="D919">
        <v>92</v>
      </c>
      <c r="E919" s="21">
        <f>D919/PARAMS_MODELO!$B$28</f>
        <v>3.0666666666666669</v>
      </c>
      <c r="F919">
        <v>71</v>
      </c>
      <c r="G919">
        <v>82</v>
      </c>
      <c r="H919">
        <v>44</v>
      </c>
      <c r="I919" s="20">
        <f t="shared" si="14"/>
        <v>0.53658536585365857</v>
      </c>
      <c r="J919" s="21">
        <f>(IFERROR(_xlfn.PERCENTRANK.INC($B$2:$B$1194,B919)*100,0)*PARAMS_MODELO!$B$25)+(IFERROR(_xlfn.PERCENTRANK.INC($C$2:$C$1194,C919)*100,0)*PARAMS_MODELO!$B$26)+(IFERROR(_xlfn.PERCENTRANK.INC($E$2:$E$1194,E919)*100,0)*PARAMS_MODELO!$B$27)+(IFERROR(_xlfn.PERCENTRANK.INC($F$2:$F$1194,F919)*100,0)*PARAMS_MODELO!$B$29)+(IFERROR(_xlfn.PERCENTRANK.INC($I$2:$I$1194,I919)*100,0)*PARAMS_MODELO!$B$31)</f>
        <v>65.89500000000001</v>
      </c>
    </row>
    <row r="920" spans="1:10" x14ac:dyDescent="0.3">
      <c r="A920">
        <v>51020634</v>
      </c>
      <c r="B920">
        <v>64</v>
      </c>
      <c r="C920">
        <v>8</v>
      </c>
      <c r="D920">
        <v>96</v>
      </c>
      <c r="E920" s="21">
        <f>D920/PARAMS_MODELO!$B$28</f>
        <v>3.2</v>
      </c>
      <c r="F920">
        <v>77</v>
      </c>
      <c r="G920">
        <v>83</v>
      </c>
      <c r="H920">
        <v>28</v>
      </c>
      <c r="I920" s="20">
        <f t="shared" si="14"/>
        <v>0.33734939759036142</v>
      </c>
      <c r="J920" s="21">
        <f>(IFERROR(_xlfn.PERCENTRANK.INC($B$2:$B$1194,B920)*100,0)*PARAMS_MODELO!$B$25)+(IFERROR(_xlfn.PERCENTRANK.INC($C$2:$C$1194,C920)*100,0)*PARAMS_MODELO!$B$26)+(IFERROR(_xlfn.PERCENTRANK.INC($E$2:$E$1194,E920)*100,0)*PARAMS_MODELO!$B$27)+(IFERROR(_xlfn.PERCENTRANK.INC($F$2:$F$1194,F920)*100,0)*PARAMS_MODELO!$B$29)+(IFERROR(_xlfn.PERCENTRANK.INC($I$2:$I$1194,I920)*100,0)*PARAMS_MODELO!$B$31)</f>
        <v>60.024999999999991</v>
      </c>
    </row>
    <row r="921" spans="1:10" x14ac:dyDescent="0.3">
      <c r="A921">
        <v>51056507</v>
      </c>
      <c r="B921">
        <v>29</v>
      </c>
      <c r="C921">
        <v>24</v>
      </c>
      <c r="D921">
        <v>93</v>
      </c>
      <c r="E921" s="21">
        <f>D921/PARAMS_MODELO!$B$28</f>
        <v>3.1</v>
      </c>
      <c r="F921">
        <v>36</v>
      </c>
      <c r="G921">
        <v>73</v>
      </c>
      <c r="H921">
        <v>16</v>
      </c>
      <c r="I921" s="20">
        <f t="shared" si="14"/>
        <v>0.21917808219178081</v>
      </c>
      <c r="J921" s="21">
        <f>(IFERROR(_xlfn.PERCENTRANK.INC($B$2:$B$1194,B921)*100,0)*PARAMS_MODELO!$B$25)+(IFERROR(_xlfn.PERCENTRANK.INC($C$2:$C$1194,C921)*100,0)*PARAMS_MODELO!$B$26)+(IFERROR(_xlfn.PERCENTRANK.INC($E$2:$E$1194,E921)*100,0)*PARAMS_MODELO!$B$27)+(IFERROR(_xlfn.PERCENTRANK.INC($F$2:$F$1194,F921)*100,0)*PARAMS_MODELO!$B$29)+(IFERROR(_xlfn.PERCENTRANK.INC($I$2:$I$1194,I921)*100,0)*PARAMS_MODELO!$B$31)</f>
        <v>57.505000000000003</v>
      </c>
    </row>
    <row r="922" spans="1:10" x14ac:dyDescent="0.3">
      <c r="A922">
        <v>51002105</v>
      </c>
      <c r="B922">
        <v>53</v>
      </c>
      <c r="C922">
        <v>1</v>
      </c>
      <c r="D922">
        <v>47</v>
      </c>
      <c r="E922" s="21">
        <f>D922/PARAMS_MODELO!$B$28</f>
        <v>1.5666666666666667</v>
      </c>
      <c r="F922">
        <v>40</v>
      </c>
      <c r="G922">
        <v>35</v>
      </c>
      <c r="H922">
        <v>29</v>
      </c>
      <c r="I922" s="20">
        <f t="shared" si="14"/>
        <v>0.82857142857142863</v>
      </c>
      <c r="J922" s="21">
        <f>(IFERROR(_xlfn.PERCENTRANK.INC($B$2:$B$1194,B922)*100,0)*PARAMS_MODELO!$B$25)+(IFERROR(_xlfn.PERCENTRANK.INC($C$2:$C$1194,C922)*100,0)*PARAMS_MODELO!$B$26)+(IFERROR(_xlfn.PERCENTRANK.INC($E$2:$E$1194,E922)*100,0)*PARAMS_MODELO!$B$27)+(IFERROR(_xlfn.PERCENTRANK.INC($F$2:$F$1194,F922)*100,0)*PARAMS_MODELO!$B$29)+(IFERROR(_xlfn.PERCENTRANK.INC($I$2:$I$1194,I922)*100,0)*PARAMS_MODELO!$B$31)</f>
        <v>40.184999999999995</v>
      </c>
    </row>
    <row r="923" spans="1:10" x14ac:dyDescent="0.3">
      <c r="A923">
        <v>51055136</v>
      </c>
      <c r="B923">
        <v>73</v>
      </c>
      <c r="C923">
        <v>22</v>
      </c>
      <c r="D923">
        <v>51</v>
      </c>
      <c r="E923" s="21">
        <f>D923/PARAMS_MODELO!$B$28</f>
        <v>1.7</v>
      </c>
      <c r="F923">
        <v>65</v>
      </c>
      <c r="G923">
        <v>9</v>
      </c>
      <c r="H923">
        <v>3</v>
      </c>
      <c r="I923" s="20">
        <f t="shared" si="14"/>
        <v>0.33333333333333331</v>
      </c>
      <c r="J923" s="21">
        <f>(IFERROR(_xlfn.PERCENTRANK.INC($B$2:$B$1194,B923)*100,0)*PARAMS_MODELO!$B$25)+(IFERROR(_xlfn.PERCENTRANK.INC($C$2:$C$1194,C923)*100,0)*PARAMS_MODELO!$B$26)+(IFERROR(_xlfn.PERCENTRANK.INC($E$2:$E$1194,E923)*100,0)*PARAMS_MODELO!$B$27)+(IFERROR(_xlfn.PERCENTRANK.INC($F$2:$F$1194,F923)*100,0)*PARAMS_MODELO!$B$29)+(IFERROR(_xlfn.PERCENTRANK.INC($I$2:$I$1194,I923)*100,0)*PARAMS_MODELO!$B$31)</f>
        <v>65.600000000000009</v>
      </c>
    </row>
    <row r="924" spans="1:10" x14ac:dyDescent="0.3">
      <c r="A924">
        <v>51008685</v>
      </c>
      <c r="B924">
        <v>70</v>
      </c>
      <c r="C924">
        <v>10</v>
      </c>
      <c r="D924">
        <v>27</v>
      </c>
      <c r="E924" s="21">
        <f>D924/PARAMS_MODELO!$B$28</f>
        <v>0.9</v>
      </c>
      <c r="F924">
        <v>79</v>
      </c>
      <c r="G924">
        <v>0</v>
      </c>
      <c r="H924">
        <v>0</v>
      </c>
      <c r="I924" s="20">
        <f t="shared" si="14"/>
        <v>0</v>
      </c>
      <c r="J924" s="21">
        <f>(IFERROR(_xlfn.PERCENTRANK.INC($B$2:$B$1194,B924)*100,0)*PARAMS_MODELO!$B$25)+(IFERROR(_xlfn.PERCENTRANK.INC($C$2:$C$1194,C924)*100,0)*PARAMS_MODELO!$B$26)+(IFERROR(_xlfn.PERCENTRANK.INC($E$2:$E$1194,E924)*100,0)*PARAMS_MODELO!$B$27)+(IFERROR(_xlfn.PERCENTRANK.INC($F$2:$F$1194,F924)*100,0)*PARAMS_MODELO!$B$29)+(IFERROR(_xlfn.PERCENTRANK.INC($I$2:$I$1194,I924)*100,0)*PARAMS_MODELO!$B$31)</f>
        <v>46.734999999999992</v>
      </c>
    </row>
    <row r="925" spans="1:10" x14ac:dyDescent="0.3">
      <c r="A925">
        <v>51055306</v>
      </c>
      <c r="B925">
        <v>59</v>
      </c>
      <c r="C925">
        <v>10</v>
      </c>
      <c r="D925">
        <v>34</v>
      </c>
      <c r="E925" s="21">
        <f>D925/PARAMS_MODELO!$B$28</f>
        <v>1.1333333333333333</v>
      </c>
      <c r="F925">
        <v>53</v>
      </c>
      <c r="G925">
        <v>55</v>
      </c>
      <c r="H925">
        <v>42</v>
      </c>
      <c r="I925" s="20">
        <f t="shared" si="14"/>
        <v>0.76363636363636367</v>
      </c>
      <c r="J925" s="21">
        <f>(IFERROR(_xlfn.PERCENTRANK.INC($B$2:$B$1194,B925)*100,0)*PARAMS_MODELO!$B$25)+(IFERROR(_xlfn.PERCENTRANK.INC($C$2:$C$1194,C925)*100,0)*PARAMS_MODELO!$B$26)+(IFERROR(_xlfn.PERCENTRANK.INC($E$2:$E$1194,E925)*100,0)*PARAMS_MODELO!$B$27)+(IFERROR(_xlfn.PERCENTRANK.INC($F$2:$F$1194,F925)*100,0)*PARAMS_MODELO!$B$29)+(IFERROR(_xlfn.PERCENTRANK.INC($I$2:$I$1194,I925)*100,0)*PARAMS_MODELO!$B$31)</f>
        <v>48.414999999999999</v>
      </c>
    </row>
    <row r="926" spans="1:10" x14ac:dyDescent="0.3">
      <c r="A926">
        <v>51024036</v>
      </c>
      <c r="B926">
        <v>78</v>
      </c>
      <c r="C926">
        <v>3</v>
      </c>
      <c r="D926">
        <v>13</v>
      </c>
      <c r="E926" s="21">
        <f>D926/PARAMS_MODELO!$B$28</f>
        <v>0.43333333333333335</v>
      </c>
      <c r="F926">
        <v>48</v>
      </c>
      <c r="G926">
        <v>33</v>
      </c>
      <c r="H926">
        <v>22</v>
      </c>
      <c r="I926" s="20">
        <f t="shared" si="14"/>
        <v>0.66666666666666663</v>
      </c>
      <c r="J926" s="21">
        <f>(IFERROR(_xlfn.PERCENTRANK.INC($B$2:$B$1194,B926)*100,0)*PARAMS_MODELO!$B$25)+(IFERROR(_xlfn.PERCENTRANK.INC($C$2:$C$1194,C926)*100,0)*PARAMS_MODELO!$B$26)+(IFERROR(_xlfn.PERCENTRANK.INC($E$2:$E$1194,E926)*100,0)*PARAMS_MODELO!$B$27)+(IFERROR(_xlfn.PERCENTRANK.INC($F$2:$F$1194,F926)*100,0)*PARAMS_MODELO!$B$29)+(IFERROR(_xlfn.PERCENTRANK.INC($I$2:$I$1194,I926)*100,0)*PARAMS_MODELO!$B$31)</f>
        <v>42.17</v>
      </c>
    </row>
    <row r="927" spans="1:10" x14ac:dyDescent="0.3">
      <c r="A927">
        <v>51011597</v>
      </c>
      <c r="B927">
        <v>92</v>
      </c>
      <c r="C927">
        <v>5</v>
      </c>
      <c r="D927">
        <v>14</v>
      </c>
      <c r="E927" s="21">
        <f>D927/PARAMS_MODELO!$B$28</f>
        <v>0.46666666666666667</v>
      </c>
      <c r="F927">
        <v>55</v>
      </c>
      <c r="G927">
        <v>77</v>
      </c>
      <c r="H927">
        <v>7</v>
      </c>
      <c r="I927" s="20">
        <f t="shared" si="14"/>
        <v>9.0909090909090912E-2</v>
      </c>
      <c r="J927" s="21">
        <f>(IFERROR(_xlfn.PERCENTRANK.INC($B$2:$B$1194,B927)*100,0)*PARAMS_MODELO!$B$25)+(IFERROR(_xlfn.PERCENTRANK.INC($C$2:$C$1194,C927)*100,0)*PARAMS_MODELO!$B$26)+(IFERROR(_xlfn.PERCENTRANK.INC($E$2:$E$1194,E927)*100,0)*PARAMS_MODELO!$B$27)+(IFERROR(_xlfn.PERCENTRANK.INC($F$2:$F$1194,F927)*100,0)*PARAMS_MODELO!$B$29)+(IFERROR(_xlfn.PERCENTRANK.INC($I$2:$I$1194,I927)*100,0)*PARAMS_MODELO!$B$31)</f>
        <v>43.244999999999997</v>
      </c>
    </row>
    <row r="928" spans="1:10" x14ac:dyDescent="0.3">
      <c r="A928">
        <v>51043260</v>
      </c>
      <c r="B928">
        <v>5</v>
      </c>
      <c r="C928">
        <v>5</v>
      </c>
      <c r="D928">
        <v>22</v>
      </c>
      <c r="E928" s="21">
        <f>D928/PARAMS_MODELO!$B$28</f>
        <v>0.73333333333333328</v>
      </c>
      <c r="F928">
        <v>89</v>
      </c>
      <c r="G928">
        <v>2</v>
      </c>
      <c r="H928">
        <v>1</v>
      </c>
      <c r="I928" s="20">
        <f t="shared" si="14"/>
        <v>0.5</v>
      </c>
      <c r="J928" s="21">
        <f>(IFERROR(_xlfn.PERCENTRANK.INC($B$2:$B$1194,B928)*100,0)*PARAMS_MODELO!$B$25)+(IFERROR(_xlfn.PERCENTRANK.INC($C$2:$C$1194,C928)*100,0)*PARAMS_MODELO!$B$26)+(IFERROR(_xlfn.PERCENTRANK.INC($E$2:$E$1194,E928)*100,0)*PARAMS_MODELO!$B$27)+(IFERROR(_xlfn.PERCENTRANK.INC($F$2:$F$1194,F928)*100,0)*PARAMS_MODELO!$B$29)+(IFERROR(_xlfn.PERCENTRANK.INC($I$2:$I$1194,I928)*100,0)*PARAMS_MODELO!$B$31)</f>
        <v>28.445</v>
      </c>
    </row>
    <row r="929" spans="1:10" x14ac:dyDescent="0.3">
      <c r="A929">
        <v>51004035</v>
      </c>
      <c r="B929">
        <v>25</v>
      </c>
      <c r="C929">
        <v>24</v>
      </c>
      <c r="D929">
        <v>42</v>
      </c>
      <c r="E929" s="21">
        <f>D929/PARAMS_MODELO!$B$28</f>
        <v>1.4</v>
      </c>
      <c r="F929">
        <v>8</v>
      </c>
      <c r="G929">
        <v>68</v>
      </c>
      <c r="H929">
        <v>47</v>
      </c>
      <c r="I929" s="20">
        <f t="shared" si="14"/>
        <v>0.69117647058823528</v>
      </c>
      <c r="J929" s="21">
        <f>(IFERROR(_xlfn.PERCENTRANK.INC($B$2:$B$1194,B929)*100,0)*PARAMS_MODELO!$B$25)+(IFERROR(_xlfn.PERCENTRANK.INC($C$2:$C$1194,C929)*100,0)*PARAMS_MODELO!$B$26)+(IFERROR(_xlfn.PERCENTRANK.INC($E$2:$E$1194,E929)*100,0)*PARAMS_MODELO!$B$27)+(IFERROR(_xlfn.PERCENTRANK.INC($F$2:$F$1194,F929)*100,0)*PARAMS_MODELO!$B$29)+(IFERROR(_xlfn.PERCENTRANK.INC($I$2:$I$1194,I929)*100,0)*PARAMS_MODELO!$B$31)</f>
        <v>46.319999999999993</v>
      </c>
    </row>
    <row r="930" spans="1:10" x14ac:dyDescent="0.3">
      <c r="A930">
        <v>51043537</v>
      </c>
      <c r="B930">
        <v>74</v>
      </c>
      <c r="C930">
        <v>7</v>
      </c>
      <c r="D930">
        <v>97</v>
      </c>
      <c r="E930" s="21">
        <f>D930/PARAMS_MODELO!$B$28</f>
        <v>3.2333333333333334</v>
      </c>
      <c r="F930">
        <v>42</v>
      </c>
      <c r="G930">
        <v>43</v>
      </c>
      <c r="H930">
        <v>34</v>
      </c>
      <c r="I930" s="20">
        <f t="shared" si="14"/>
        <v>0.79069767441860461</v>
      </c>
      <c r="J930" s="21">
        <f>(IFERROR(_xlfn.PERCENTRANK.INC($B$2:$B$1194,B930)*100,0)*PARAMS_MODELO!$B$25)+(IFERROR(_xlfn.PERCENTRANK.INC($C$2:$C$1194,C930)*100,0)*PARAMS_MODELO!$B$26)+(IFERROR(_xlfn.PERCENTRANK.INC($E$2:$E$1194,E930)*100,0)*PARAMS_MODELO!$B$27)+(IFERROR(_xlfn.PERCENTRANK.INC($F$2:$F$1194,F930)*100,0)*PARAMS_MODELO!$B$29)+(IFERROR(_xlfn.PERCENTRANK.INC($I$2:$I$1194,I930)*100,0)*PARAMS_MODELO!$B$31)</f>
        <v>61.714999999999996</v>
      </c>
    </row>
    <row r="931" spans="1:10" x14ac:dyDescent="0.3">
      <c r="A931">
        <v>51056752</v>
      </c>
      <c r="B931">
        <v>91</v>
      </c>
      <c r="C931">
        <v>12</v>
      </c>
      <c r="D931">
        <v>0</v>
      </c>
      <c r="E931" s="21">
        <f>D931/PARAMS_MODELO!$B$28</f>
        <v>0</v>
      </c>
      <c r="F931">
        <v>27</v>
      </c>
      <c r="G931">
        <v>20</v>
      </c>
      <c r="H931">
        <v>11</v>
      </c>
      <c r="I931" s="20">
        <f t="shared" si="14"/>
        <v>0.55000000000000004</v>
      </c>
      <c r="J931" s="21">
        <f>(IFERROR(_xlfn.PERCENTRANK.INC($B$2:$B$1194,B931)*100,0)*PARAMS_MODELO!$B$25)+(IFERROR(_xlfn.PERCENTRANK.INC($C$2:$C$1194,C931)*100,0)*PARAMS_MODELO!$B$26)+(IFERROR(_xlfn.PERCENTRANK.INC($E$2:$E$1194,E931)*100,0)*PARAMS_MODELO!$B$27)+(IFERROR(_xlfn.PERCENTRANK.INC($F$2:$F$1194,F931)*100,0)*PARAMS_MODELO!$B$29)+(IFERROR(_xlfn.PERCENTRANK.INC($I$2:$I$1194,I931)*100,0)*PARAMS_MODELO!$B$31)</f>
        <v>46.959999999999994</v>
      </c>
    </row>
    <row r="932" spans="1:10" x14ac:dyDescent="0.3">
      <c r="A932">
        <v>51031857</v>
      </c>
      <c r="B932">
        <v>19</v>
      </c>
      <c r="C932">
        <v>10</v>
      </c>
      <c r="D932">
        <v>26</v>
      </c>
      <c r="E932" s="21">
        <f>D932/PARAMS_MODELO!$B$28</f>
        <v>0.8666666666666667</v>
      </c>
      <c r="F932">
        <v>43</v>
      </c>
      <c r="G932">
        <v>1</v>
      </c>
      <c r="H932">
        <v>0</v>
      </c>
      <c r="I932" s="20">
        <f t="shared" si="14"/>
        <v>0</v>
      </c>
      <c r="J932" s="21">
        <f>(IFERROR(_xlfn.PERCENTRANK.INC($B$2:$B$1194,B932)*100,0)*PARAMS_MODELO!$B$25)+(IFERROR(_xlfn.PERCENTRANK.INC($C$2:$C$1194,C932)*100,0)*PARAMS_MODELO!$B$26)+(IFERROR(_xlfn.PERCENTRANK.INC($E$2:$E$1194,E932)*100,0)*PARAMS_MODELO!$B$27)+(IFERROR(_xlfn.PERCENTRANK.INC($F$2:$F$1194,F932)*100,0)*PARAMS_MODELO!$B$29)+(IFERROR(_xlfn.PERCENTRANK.INC($I$2:$I$1194,I932)*100,0)*PARAMS_MODELO!$B$31)</f>
        <v>25.729999999999997</v>
      </c>
    </row>
    <row r="933" spans="1:10" x14ac:dyDescent="0.3">
      <c r="A933">
        <v>51014138</v>
      </c>
      <c r="B933">
        <v>5</v>
      </c>
      <c r="C933">
        <v>13</v>
      </c>
      <c r="D933">
        <v>49</v>
      </c>
      <c r="E933" s="21">
        <f>D933/PARAMS_MODELO!$B$28</f>
        <v>1.6333333333333333</v>
      </c>
      <c r="F933">
        <v>95</v>
      </c>
      <c r="G933">
        <v>66</v>
      </c>
      <c r="H933">
        <v>45</v>
      </c>
      <c r="I933" s="20">
        <f t="shared" si="14"/>
        <v>0.68181818181818177</v>
      </c>
      <c r="J933" s="21">
        <f>(IFERROR(_xlfn.PERCENTRANK.INC($B$2:$B$1194,B933)*100,0)*PARAMS_MODELO!$B$25)+(IFERROR(_xlfn.PERCENTRANK.INC($C$2:$C$1194,C933)*100,0)*PARAMS_MODELO!$B$26)+(IFERROR(_xlfn.PERCENTRANK.INC($E$2:$E$1194,E933)*100,0)*PARAMS_MODELO!$B$27)+(IFERROR(_xlfn.PERCENTRANK.INC($F$2:$F$1194,F933)*100,0)*PARAMS_MODELO!$B$29)+(IFERROR(_xlfn.PERCENTRANK.INC($I$2:$I$1194,I933)*100,0)*PARAMS_MODELO!$B$31)</f>
        <v>44.22</v>
      </c>
    </row>
    <row r="934" spans="1:10" x14ac:dyDescent="0.3">
      <c r="A934">
        <v>51055578</v>
      </c>
      <c r="B934">
        <v>39</v>
      </c>
      <c r="C934">
        <v>4</v>
      </c>
      <c r="D934">
        <v>65</v>
      </c>
      <c r="E934" s="21">
        <f>D934/PARAMS_MODELO!$B$28</f>
        <v>2.1666666666666665</v>
      </c>
      <c r="F934">
        <v>26</v>
      </c>
      <c r="G934">
        <v>51</v>
      </c>
      <c r="H934">
        <v>8</v>
      </c>
      <c r="I934" s="20">
        <f t="shared" si="14"/>
        <v>0.15686274509803921</v>
      </c>
      <c r="J934" s="21">
        <f>(IFERROR(_xlfn.PERCENTRANK.INC($B$2:$B$1194,B934)*100,0)*PARAMS_MODELO!$B$25)+(IFERROR(_xlfn.PERCENTRANK.INC($C$2:$C$1194,C934)*100,0)*PARAMS_MODELO!$B$26)+(IFERROR(_xlfn.PERCENTRANK.INC($E$2:$E$1194,E934)*100,0)*PARAMS_MODELO!$B$27)+(IFERROR(_xlfn.PERCENTRANK.INC($F$2:$F$1194,F934)*100,0)*PARAMS_MODELO!$B$29)+(IFERROR(_xlfn.PERCENTRANK.INC($I$2:$I$1194,I934)*100,0)*PARAMS_MODELO!$B$31)</f>
        <v>33.184999999999995</v>
      </c>
    </row>
    <row r="935" spans="1:10" x14ac:dyDescent="0.3">
      <c r="A935">
        <v>51024028</v>
      </c>
      <c r="B935">
        <v>0</v>
      </c>
      <c r="C935">
        <v>4</v>
      </c>
      <c r="D935">
        <v>2</v>
      </c>
      <c r="E935" s="21">
        <f>D935/PARAMS_MODELO!$B$28</f>
        <v>6.6666666666666666E-2</v>
      </c>
      <c r="F935">
        <v>99</v>
      </c>
      <c r="G935">
        <v>36</v>
      </c>
      <c r="H935">
        <v>8</v>
      </c>
      <c r="I935" s="20">
        <f t="shared" si="14"/>
        <v>0.22222222222222221</v>
      </c>
      <c r="J935" s="21">
        <f>(IFERROR(_xlfn.PERCENTRANK.INC($B$2:$B$1194,B935)*100,0)*PARAMS_MODELO!$B$25)+(IFERROR(_xlfn.PERCENTRANK.INC($C$2:$C$1194,C935)*100,0)*PARAMS_MODELO!$B$26)+(IFERROR(_xlfn.PERCENTRANK.INC($E$2:$E$1194,E935)*100,0)*PARAMS_MODELO!$B$27)+(IFERROR(_xlfn.PERCENTRANK.INC($F$2:$F$1194,F935)*100,0)*PARAMS_MODELO!$B$29)+(IFERROR(_xlfn.PERCENTRANK.INC($I$2:$I$1194,I935)*100,0)*PARAMS_MODELO!$B$31)</f>
        <v>21.259999999999998</v>
      </c>
    </row>
    <row r="936" spans="1:10" x14ac:dyDescent="0.3">
      <c r="A936">
        <v>51057031</v>
      </c>
      <c r="B936">
        <v>0</v>
      </c>
      <c r="C936">
        <v>7</v>
      </c>
      <c r="D936">
        <v>61</v>
      </c>
      <c r="E936" s="21">
        <f>D936/PARAMS_MODELO!$B$28</f>
        <v>2.0333333333333332</v>
      </c>
      <c r="F936">
        <v>3</v>
      </c>
      <c r="G936">
        <v>54</v>
      </c>
      <c r="H936">
        <v>50</v>
      </c>
      <c r="I936" s="20">
        <f t="shared" si="14"/>
        <v>0.92592592592592593</v>
      </c>
      <c r="J936" s="21">
        <f>(IFERROR(_xlfn.PERCENTRANK.INC($B$2:$B$1194,B936)*100,0)*PARAMS_MODELO!$B$25)+(IFERROR(_xlfn.PERCENTRANK.INC($C$2:$C$1194,C936)*100,0)*PARAMS_MODELO!$B$26)+(IFERROR(_xlfn.PERCENTRANK.INC($E$2:$E$1194,E936)*100,0)*PARAMS_MODELO!$B$27)+(IFERROR(_xlfn.PERCENTRANK.INC($F$2:$F$1194,F936)*100,0)*PARAMS_MODELO!$B$29)+(IFERROR(_xlfn.PERCENTRANK.INC($I$2:$I$1194,I936)*100,0)*PARAMS_MODELO!$B$31)</f>
        <v>28.270000000000003</v>
      </c>
    </row>
    <row r="937" spans="1:10" x14ac:dyDescent="0.3">
      <c r="A937">
        <v>51011929</v>
      </c>
      <c r="B937">
        <v>51</v>
      </c>
      <c r="C937">
        <v>14</v>
      </c>
      <c r="D937">
        <v>35</v>
      </c>
      <c r="E937" s="21">
        <f>D937/PARAMS_MODELO!$B$28</f>
        <v>1.1666666666666667</v>
      </c>
      <c r="F937">
        <v>14</v>
      </c>
      <c r="G937">
        <v>16</v>
      </c>
      <c r="H937">
        <v>14</v>
      </c>
      <c r="I937" s="20">
        <f t="shared" si="14"/>
        <v>0.875</v>
      </c>
      <c r="J937" s="21">
        <f>(IFERROR(_xlfn.PERCENTRANK.INC($B$2:$B$1194,B937)*100,0)*PARAMS_MODELO!$B$25)+(IFERROR(_xlfn.PERCENTRANK.INC($C$2:$C$1194,C937)*100,0)*PARAMS_MODELO!$B$26)+(IFERROR(_xlfn.PERCENTRANK.INC($E$2:$E$1194,E937)*100,0)*PARAMS_MODELO!$B$27)+(IFERROR(_xlfn.PERCENTRANK.INC($F$2:$F$1194,F937)*100,0)*PARAMS_MODELO!$B$29)+(IFERROR(_xlfn.PERCENTRANK.INC($I$2:$I$1194,I937)*100,0)*PARAMS_MODELO!$B$31)</f>
        <v>45.405000000000001</v>
      </c>
    </row>
    <row r="938" spans="1:10" x14ac:dyDescent="0.3">
      <c r="A938">
        <v>51017773</v>
      </c>
      <c r="B938">
        <v>77</v>
      </c>
      <c r="C938">
        <v>1</v>
      </c>
      <c r="D938">
        <v>52</v>
      </c>
      <c r="E938" s="21">
        <f>D938/PARAMS_MODELO!$B$28</f>
        <v>1.7333333333333334</v>
      </c>
      <c r="F938">
        <v>60</v>
      </c>
      <c r="G938">
        <v>47</v>
      </c>
      <c r="H938">
        <v>39</v>
      </c>
      <c r="I938" s="20">
        <f t="shared" si="14"/>
        <v>0.82978723404255317</v>
      </c>
      <c r="J938" s="21">
        <f>(IFERROR(_xlfn.PERCENTRANK.INC($B$2:$B$1194,B938)*100,0)*PARAMS_MODELO!$B$25)+(IFERROR(_xlfn.PERCENTRANK.INC($C$2:$C$1194,C938)*100,0)*PARAMS_MODELO!$B$26)+(IFERROR(_xlfn.PERCENTRANK.INC($E$2:$E$1194,E938)*100,0)*PARAMS_MODELO!$B$27)+(IFERROR(_xlfn.PERCENTRANK.INC($F$2:$F$1194,F938)*100,0)*PARAMS_MODELO!$B$29)+(IFERROR(_xlfn.PERCENTRANK.INC($I$2:$I$1194,I938)*100,0)*PARAMS_MODELO!$B$31)</f>
        <v>51.294999999999995</v>
      </c>
    </row>
    <row r="939" spans="1:10" x14ac:dyDescent="0.3">
      <c r="A939">
        <v>51003063</v>
      </c>
      <c r="B939">
        <v>47</v>
      </c>
      <c r="C939">
        <v>0</v>
      </c>
      <c r="D939">
        <v>64</v>
      </c>
      <c r="E939" s="21">
        <f>D939/PARAMS_MODELO!$B$28</f>
        <v>2.1333333333333333</v>
      </c>
      <c r="F939">
        <v>88</v>
      </c>
      <c r="G939">
        <v>22</v>
      </c>
      <c r="H939">
        <v>7</v>
      </c>
      <c r="I939" s="20">
        <f t="shared" si="14"/>
        <v>0.31818181818181818</v>
      </c>
      <c r="J939" s="21">
        <f>(IFERROR(_xlfn.PERCENTRANK.INC($B$2:$B$1194,B939)*100,0)*PARAMS_MODELO!$B$25)+(IFERROR(_xlfn.PERCENTRANK.INC($C$2:$C$1194,C939)*100,0)*PARAMS_MODELO!$B$26)+(IFERROR(_xlfn.PERCENTRANK.INC($E$2:$E$1194,E939)*100,0)*PARAMS_MODELO!$B$27)+(IFERROR(_xlfn.PERCENTRANK.INC($F$2:$F$1194,F939)*100,0)*PARAMS_MODELO!$B$29)+(IFERROR(_xlfn.PERCENTRANK.INC($I$2:$I$1194,I939)*100,0)*PARAMS_MODELO!$B$31)</f>
        <v>42.890000000000008</v>
      </c>
    </row>
    <row r="940" spans="1:10" x14ac:dyDescent="0.3">
      <c r="A940">
        <v>51022572</v>
      </c>
      <c r="B940">
        <v>57</v>
      </c>
      <c r="C940">
        <v>22</v>
      </c>
      <c r="D940">
        <v>23</v>
      </c>
      <c r="E940" s="21">
        <f>D940/PARAMS_MODELO!$B$28</f>
        <v>0.76666666666666672</v>
      </c>
      <c r="F940">
        <v>16</v>
      </c>
      <c r="G940">
        <v>60</v>
      </c>
      <c r="H940">
        <v>59</v>
      </c>
      <c r="I940" s="20">
        <f t="shared" si="14"/>
        <v>0.98333333333333328</v>
      </c>
      <c r="J940" s="21">
        <f>(IFERROR(_xlfn.PERCENTRANK.INC($B$2:$B$1194,B940)*100,0)*PARAMS_MODELO!$B$25)+(IFERROR(_xlfn.PERCENTRANK.INC($C$2:$C$1194,C940)*100,0)*PARAMS_MODELO!$B$26)+(IFERROR(_xlfn.PERCENTRANK.INC($E$2:$E$1194,E940)*100,0)*PARAMS_MODELO!$B$27)+(IFERROR(_xlfn.PERCENTRANK.INC($F$2:$F$1194,F940)*100,0)*PARAMS_MODELO!$B$29)+(IFERROR(_xlfn.PERCENTRANK.INC($I$2:$I$1194,I940)*100,0)*PARAMS_MODELO!$B$31)</f>
        <v>53.595000000000006</v>
      </c>
    </row>
    <row r="941" spans="1:10" x14ac:dyDescent="0.3">
      <c r="A941">
        <v>51022343</v>
      </c>
      <c r="B941">
        <v>81</v>
      </c>
      <c r="C941">
        <v>21</v>
      </c>
      <c r="D941">
        <v>52</v>
      </c>
      <c r="E941" s="21">
        <f>D941/PARAMS_MODELO!$B$28</f>
        <v>1.7333333333333334</v>
      </c>
      <c r="F941">
        <v>0</v>
      </c>
      <c r="G941">
        <v>77</v>
      </c>
      <c r="H941">
        <v>31</v>
      </c>
      <c r="I941" s="20">
        <f t="shared" si="14"/>
        <v>0.40259740259740262</v>
      </c>
      <c r="J941" s="21">
        <f>(IFERROR(_xlfn.PERCENTRANK.INC($B$2:$B$1194,B941)*100,0)*PARAMS_MODELO!$B$25)+(IFERROR(_xlfn.PERCENTRANK.INC($C$2:$C$1194,C941)*100,0)*PARAMS_MODELO!$B$26)+(IFERROR(_xlfn.PERCENTRANK.INC($E$2:$E$1194,E941)*100,0)*PARAMS_MODELO!$B$27)+(IFERROR(_xlfn.PERCENTRANK.INC($F$2:$F$1194,F941)*100,0)*PARAMS_MODELO!$B$29)+(IFERROR(_xlfn.PERCENTRANK.INC($I$2:$I$1194,I941)*100,0)*PARAMS_MODELO!$B$31)</f>
        <v>58.140000000000008</v>
      </c>
    </row>
    <row r="942" spans="1:10" x14ac:dyDescent="0.3">
      <c r="A942">
        <v>51015835</v>
      </c>
      <c r="B942">
        <v>7</v>
      </c>
      <c r="C942">
        <v>18</v>
      </c>
      <c r="D942">
        <v>22</v>
      </c>
      <c r="E942" s="21">
        <f>D942/PARAMS_MODELO!$B$28</f>
        <v>0.73333333333333328</v>
      </c>
      <c r="F942">
        <v>77</v>
      </c>
      <c r="G942">
        <v>74</v>
      </c>
      <c r="H942">
        <v>46</v>
      </c>
      <c r="I942" s="20">
        <f t="shared" si="14"/>
        <v>0.6216216216216216</v>
      </c>
      <c r="J942" s="21">
        <f>(IFERROR(_xlfn.PERCENTRANK.INC($B$2:$B$1194,B942)*100,0)*PARAMS_MODELO!$B$25)+(IFERROR(_xlfn.PERCENTRANK.INC($C$2:$C$1194,C942)*100,0)*PARAMS_MODELO!$B$26)+(IFERROR(_xlfn.PERCENTRANK.INC($E$2:$E$1194,E942)*100,0)*PARAMS_MODELO!$B$27)+(IFERROR(_xlfn.PERCENTRANK.INC($F$2:$F$1194,F942)*100,0)*PARAMS_MODELO!$B$29)+(IFERROR(_xlfn.PERCENTRANK.INC($I$2:$I$1194,I942)*100,0)*PARAMS_MODELO!$B$31)</f>
        <v>40.92</v>
      </c>
    </row>
    <row r="943" spans="1:10" x14ac:dyDescent="0.3">
      <c r="A943">
        <v>51056329</v>
      </c>
      <c r="B943">
        <v>0</v>
      </c>
      <c r="C943">
        <v>3</v>
      </c>
      <c r="D943">
        <v>46</v>
      </c>
      <c r="E943" s="21">
        <f>D943/PARAMS_MODELO!$B$28</f>
        <v>1.5333333333333334</v>
      </c>
      <c r="F943">
        <v>95</v>
      </c>
      <c r="G943">
        <v>81</v>
      </c>
      <c r="H943">
        <v>49</v>
      </c>
      <c r="I943" s="20">
        <f t="shared" si="14"/>
        <v>0.60493827160493829</v>
      </c>
      <c r="J943" s="21">
        <f>(IFERROR(_xlfn.PERCENTRANK.INC($B$2:$B$1194,B943)*100,0)*PARAMS_MODELO!$B$25)+(IFERROR(_xlfn.PERCENTRANK.INC($C$2:$C$1194,C943)*100,0)*PARAMS_MODELO!$B$26)+(IFERROR(_xlfn.PERCENTRANK.INC($E$2:$E$1194,E943)*100,0)*PARAMS_MODELO!$B$27)+(IFERROR(_xlfn.PERCENTRANK.INC($F$2:$F$1194,F943)*100,0)*PARAMS_MODELO!$B$29)+(IFERROR(_xlfn.PERCENTRANK.INC($I$2:$I$1194,I943)*100,0)*PARAMS_MODELO!$B$31)</f>
        <v>32.155000000000001</v>
      </c>
    </row>
    <row r="944" spans="1:10" x14ac:dyDescent="0.3">
      <c r="A944">
        <v>51030915</v>
      </c>
      <c r="B944">
        <v>73</v>
      </c>
      <c r="C944">
        <v>1</v>
      </c>
      <c r="D944">
        <v>8</v>
      </c>
      <c r="E944" s="21">
        <f>D944/PARAMS_MODELO!$B$28</f>
        <v>0.26666666666666666</v>
      </c>
      <c r="F944">
        <v>45</v>
      </c>
      <c r="G944">
        <v>59</v>
      </c>
      <c r="H944">
        <v>35</v>
      </c>
      <c r="I944" s="20">
        <f t="shared" si="14"/>
        <v>0.59322033898305082</v>
      </c>
      <c r="J944" s="21">
        <f>(IFERROR(_xlfn.PERCENTRANK.INC($B$2:$B$1194,B944)*100,0)*PARAMS_MODELO!$B$25)+(IFERROR(_xlfn.PERCENTRANK.INC($C$2:$C$1194,C944)*100,0)*PARAMS_MODELO!$B$26)+(IFERROR(_xlfn.PERCENTRANK.INC($E$2:$E$1194,E944)*100,0)*PARAMS_MODELO!$B$27)+(IFERROR(_xlfn.PERCENTRANK.INC($F$2:$F$1194,F944)*100,0)*PARAMS_MODELO!$B$29)+(IFERROR(_xlfn.PERCENTRANK.INC($I$2:$I$1194,I944)*100,0)*PARAMS_MODELO!$B$31)</f>
        <v>36.78</v>
      </c>
    </row>
    <row r="945" spans="1:10" x14ac:dyDescent="0.3">
      <c r="A945">
        <v>51017871</v>
      </c>
      <c r="B945">
        <v>13</v>
      </c>
      <c r="C945">
        <v>24</v>
      </c>
      <c r="D945">
        <v>26</v>
      </c>
      <c r="E945" s="21">
        <f>D945/PARAMS_MODELO!$B$28</f>
        <v>0.8666666666666667</v>
      </c>
      <c r="F945">
        <v>83</v>
      </c>
      <c r="G945">
        <v>51</v>
      </c>
      <c r="H945">
        <v>18</v>
      </c>
      <c r="I945" s="20">
        <f t="shared" si="14"/>
        <v>0.35294117647058826</v>
      </c>
      <c r="J945" s="21">
        <f>(IFERROR(_xlfn.PERCENTRANK.INC($B$2:$B$1194,B945)*100,0)*PARAMS_MODELO!$B$25)+(IFERROR(_xlfn.PERCENTRANK.INC($C$2:$C$1194,C945)*100,0)*PARAMS_MODELO!$B$26)+(IFERROR(_xlfn.PERCENTRANK.INC($E$2:$E$1194,E945)*100,0)*PARAMS_MODELO!$B$27)+(IFERROR(_xlfn.PERCENTRANK.INC($F$2:$F$1194,F945)*100,0)*PARAMS_MODELO!$B$29)+(IFERROR(_xlfn.PERCENTRANK.INC($I$2:$I$1194,I945)*100,0)*PARAMS_MODELO!$B$31)</f>
        <v>47.925000000000004</v>
      </c>
    </row>
    <row r="946" spans="1:10" x14ac:dyDescent="0.3">
      <c r="A946">
        <v>51017218</v>
      </c>
      <c r="B946">
        <v>86</v>
      </c>
      <c r="C946">
        <v>18</v>
      </c>
      <c r="D946">
        <v>70</v>
      </c>
      <c r="E946" s="21">
        <f>D946/PARAMS_MODELO!$B$28</f>
        <v>2.3333333333333335</v>
      </c>
      <c r="F946">
        <v>51</v>
      </c>
      <c r="G946">
        <v>59</v>
      </c>
      <c r="H946">
        <v>5</v>
      </c>
      <c r="I946" s="20">
        <f t="shared" si="14"/>
        <v>8.4745762711864403E-2</v>
      </c>
      <c r="J946" s="21">
        <f>(IFERROR(_xlfn.PERCENTRANK.INC($B$2:$B$1194,B946)*100,0)*PARAMS_MODELO!$B$25)+(IFERROR(_xlfn.PERCENTRANK.INC($C$2:$C$1194,C946)*100,0)*PARAMS_MODELO!$B$26)+(IFERROR(_xlfn.PERCENTRANK.INC($E$2:$E$1194,E946)*100,0)*PARAMS_MODELO!$B$27)+(IFERROR(_xlfn.PERCENTRANK.INC($F$2:$F$1194,F946)*100,0)*PARAMS_MODELO!$B$29)+(IFERROR(_xlfn.PERCENTRANK.INC($I$2:$I$1194,I946)*100,0)*PARAMS_MODELO!$B$31)</f>
        <v>64.304999999999993</v>
      </c>
    </row>
    <row r="947" spans="1:10" x14ac:dyDescent="0.3">
      <c r="A947">
        <v>51039025</v>
      </c>
      <c r="B947">
        <v>10</v>
      </c>
      <c r="C947">
        <v>7</v>
      </c>
      <c r="D947">
        <v>35</v>
      </c>
      <c r="E947" s="21">
        <f>D947/PARAMS_MODELO!$B$28</f>
        <v>1.1666666666666667</v>
      </c>
      <c r="F947">
        <v>87</v>
      </c>
      <c r="G947">
        <v>87</v>
      </c>
      <c r="H947">
        <v>80</v>
      </c>
      <c r="I947" s="20">
        <f t="shared" si="14"/>
        <v>0.91954022988505746</v>
      </c>
      <c r="J947" s="21">
        <f>(IFERROR(_xlfn.PERCENTRANK.INC($B$2:$B$1194,B947)*100,0)*PARAMS_MODELO!$B$25)+(IFERROR(_xlfn.PERCENTRANK.INC($C$2:$C$1194,C947)*100,0)*PARAMS_MODELO!$B$26)+(IFERROR(_xlfn.PERCENTRANK.INC($E$2:$E$1194,E947)*100,0)*PARAMS_MODELO!$B$27)+(IFERROR(_xlfn.PERCENTRANK.INC($F$2:$F$1194,F947)*100,0)*PARAMS_MODELO!$B$29)+(IFERROR(_xlfn.PERCENTRANK.INC($I$2:$I$1194,I947)*100,0)*PARAMS_MODELO!$B$31)</f>
        <v>38.56</v>
      </c>
    </row>
    <row r="948" spans="1:10" x14ac:dyDescent="0.3">
      <c r="A948">
        <v>51026497</v>
      </c>
      <c r="B948">
        <v>38</v>
      </c>
      <c r="C948">
        <v>8</v>
      </c>
      <c r="D948">
        <v>24</v>
      </c>
      <c r="E948" s="21">
        <f>D948/PARAMS_MODELO!$B$28</f>
        <v>0.8</v>
      </c>
      <c r="F948">
        <v>80</v>
      </c>
      <c r="G948">
        <v>71</v>
      </c>
      <c r="H948">
        <v>4</v>
      </c>
      <c r="I948" s="20">
        <f t="shared" si="14"/>
        <v>5.6338028169014086E-2</v>
      </c>
      <c r="J948" s="21">
        <f>(IFERROR(_xlfn.PERCENTRANK.INC($B$2:$B$1194,B948)*100,0)*PARAMS_MODELO!$B$25)+(IFERROR(_xlfn.PERCENTRANK.INC($C$2:$C$1194,C948)*100,0)*PARAMS_MODELO!$B$26)+(IFERROR(_xlfn.PERCENTRANK.INC($E$2:$E$1194,E948)*100,0)*PARAMS_MODELO!$B$27)+(IFERROR(_xlfn.PERCENTRANK.INC($F$2:$F$1194,F948)*100,0)*PARAMS_MODELO!$B$29)+(IFERROR(_xlfn.PERCENTRANK.INC($I$2:$I$1194,I948)*100,0)*PARAMS_MODELO!$B$31)</f>
        <v>36.004999999999995</v>
      </c>
    </row>
    <row r="949" spans="1:10" x14ac:dyDescent="0.3">
      <c r="A949">
        <v>51043693</v>
      </c>
      <c r="B949">
        <v>25</v>
      </c>
      <c r="C949">
        <v>6</v>
      </c>
      <c r="D949">
        <v>71</v>
      </c>
      <c r="E949" s="21">
        <f>D949/PARAMS_MODELO!$B$28</f>
        <v>2.3666666666666667</v>
      </c>
      <c r="F949">
        <v>34</v>
      </c>
      <c r="G949">
        <v>78</v>
      </c>
      <c r="H949">
        <v>43</v>
      </c>
      <c r="I949" s="20">
        <f t="shared" si="14"/>
        <v>0.55128205128205132</v>
      </c>
      <c r="J949" s="21">
        <f>(IFERROR(_xlfn.PERCENTRANK.INC($B$2:$B$1194,B949)*100,0)*PARAMS_MODELO!$B$25)+(IFERROR(_xlfn.PERCENTRANK.INC($C$2:$C$1194,C949)*100,0)*PARAMS_MODELO!$B$26)+(IFERROR(_xlfn.PERCENTRANK.INC($E$2:$E$1194,E949)*100,0)*PARAMS_MODELO!$B$27)+(IFERROR(_xlfn.PERCENTRANK.INC($F$2:$F$1194,F949)*100,0)*PARAMS_MODELO!$B$29)+(IFERROR(_xlfn.PERCENTRANK.INC($I$2:$I$1194,I949)*100,0)*PARAMS_MODELO!$B$31)</f>
        <v>37.229999999999997</v>
      </c>
    </row>
    <row r="950" spans="1:10" x14ac:dyDescent="0.3">
      <c r="A950">
        <v>51001532</v>
      </c>
      <c r="B950">
        <v>9</v>
      </c>
      <c r="C950">
        <v>20</v>
      </c>
      <c r="D950">
        <v>97</v>
      </c>
      <c r="E950" s="21">
        <f>D950/PARAMS_MODELO!$B$28</f>
        <v>3.2333333333333334</v>
      </c>
      <c r="F950">
        <v>56</v>
      </c>
      <c r="G950">
        <v>45</v>
      </c>
      <c r="H950">
        <v>33</v>
      </c>
      <c r="I950" s="20">
        <f t="shared" si="14"/>
        <v>0.73333333333333328</v>
      </c>
      <c r="J950" s="21">
        <f>(IFERROR(_xlfn.PERCENTRANK.INC($B$2:$B$1194,B950)*100,0)*PARAMS_MODELO!$B$25)+(IFERROR(_xlfn.PERCENTRANK.INC($C$2:$C$1194,C950)*100,0)*PARAMS_MODELO!$B$26)+(IFERROR(_xlfn.PERCENTRANK.INC($E$2:$E$1194,E950)*100,0)*PARAMS_MODELO!$B$27)+(IFERROR(_xlfn.PERCENTRANK.INC($F$2:$F$1194,F950)*100,0)*PARAMS_MODELO!$B$29)+(IFERROR(_xlfn.PERCENTRANK.INC($I$2:$I$1194,I950)*100,0)*PARAMS_MODELO!$B$31)</f>
        <v>56.374999999999993</v>
      </c>
    </row>
    <row r="951" spans="1:10" x14ac:dyDescent="0.3">
      <c r="A951">
        <v>51002709</v>
      </c>
      <c r="B951">
        <v>40</v>
      </c>
      <c r="C951">
        <v>25</v>
      </c>
      <c r="D951">
        <v>6</v>
      </c>
      <c r="E951" s="21">
        <f>D951/PARAMS_MODELO!$B$28</f>
        <v>0.2</v>
      </c>
      <c r="F951">
        <v>49</v>
      </c>
      <c r="G951">
        <v>39</v>
      </c>
      <c r="H951">
        <v>2</v>
      </c>
      <c r="I951" s="20">
        <f t="shared" si="14"/>
        <v>5.128205128205128E-2</v>
      </c>
      <c r="J951" s="21">
        <f>(IFERROR(_xlfn.PERCENTRANK.INC($B$2:$B$1194,B951)*100,0)*PARAMS_MODELO!$B$25)+(IFERROR(_xlfn.PERCENTRANK.INC($C$2:$C$1194,C951)*100,0)*PARAMS_MODELO!$B$26)+(IFERROR(_xlfn.PERCENTRANK.INC($E$2:$E$1194,E951)*100,0)*PARAMS_MODELO!$B$27)+(IFERROR(_xlfn.PERCENTRANK.INC($F$2:$F$1194,F951)*100,0)*PARAMS_MODELO!$B$29)+(IFERROR(_xlfn.PERCENTRANK.INC($I$2:$I$1194,I951)*100,0)*PARAMS_MODELO!$B$31)</f>
        <v>44.515000000000001</v>
      </c>
    </row>
    <row r="952" spans="1:10" x14ac:dyDescent="0.3">
      <c r="A952">
        <v>51015151</v>
      </c>
      <c r="B952">
        <v>63</v>
      </c>
      <c r="C952">
        <v>0</v>
      </c>
      <c r="D952">
        <v>24</v>
      </c>
      <c r="E952" s="21">
        <f>D952/PARAMS_MODELO!$B$28</f>
        <v>0.8</v>
      </c>
      <c r="F952">
        <v>41</v>
      </c>
      <c r="G952">
        <v>52</v>
      </c>
      <c r="H952">
        <v>5</v>
      </c>
      <c r="I952" s="20">
        <f t="shared" si="14"/>
        <v>9.6153846153846159E-2</v>
      </c>
      <c r="J952" s="21">
        <f>(IFERROR(_xlfn.PERCENTRANK.INC($B$2:$B$1194,B952)*100,0)*PARAMS_MODELO!$B$25)+(IFERROR(_xlfn.PERCENTRANK.INC($C$2:$C$1194,C952)*100,0)*PARAMS_MODELO!$B$26)+(IFERROR(_xlfn.PERCENTRANK.INC($E$2:$E$1194,E952)*100,0)*PARAMS_MODELO!$B$27)+(IFERROR(_xlfn.PERCENTRANK.INC($F$2:$F$1194,F952)*100,0)*PARAMS_MODELO!$B$29)+(IFERROR(_xlfn.PERCENTRANK.INC($I$2:$I$1194,I952)*100,0)*PARAMS_MODELO!$B$31)</f>
        <v>29.955000000000002</v>
      </c>
    </row>
    <row r="953" spans="1:10" x14ac:dyDescent="0.3">
      <c r="A953">
        <v>51009941</v>
      </c>
      <c r="B953">
        <v>35</v>
      </c>
      <c r="C953">
        <v>0</v>
      </c>
      <c r="D953">
        <v>28</v>
      </c>
      <c r="E953" s="21">
        <f>D953/PARAMS_MODELO!$B$28</f>
        <v>0.93333333333333335</v>
      </c>
      <c r="F953">
        <v>99</v>
      </c>
      <c r="G953">
        <v>22</v>
      </c>
      <c r="H953">
        <v>15</v>
      </c>
      <c r="I953" s="20">
        <f t="shared" si="14"/>
        <v>0.68181818181818177</v>
      </c>
      <c r="J953" s="21">
        <f>(IFERROR(_xlfn.PERCENTRANK.INC($B$2:$B$1194,B953)*100,0)*PARAMS_MODELO!$B$25)+(IFERROR(_xlfn.PERCENTRANK.INC($C$2:$C$1194,C953)*100,0)*PARAMS_MODELO!$B$26)+(IFERROR(_xlfn.PERCENTRANK.INC($E$2:$E$1194,E953)*100,0)*PARAMS_MODELO!$B$27)+(IFERROR(_xlfn.PERCENTRANK.INC($F$2:$F$1194,F953)*100,0)*PARAMS_MODELO!$B$29)+(IFERROR(_xlfn.PERCENTRANK.INC($I$2:$I$1194,I953)*100,0)*PARAMS_MODELO!$B$31)</f>
        <v>36.895000000000003</v>
      </c>
    </row>
    <row r="954" spans="1:10" x14ac:dyDescent="0.3">
      <c r="A954">
        <v>51024818</v>
      </c>
      <c r="B954">
        <v>100</v>
      </c>
      <c r="C954">
        <v>23</v>
      </c>
      <c r="D954">
        <v>52</v>
      </c>
      <c r="E954" s="21">
        <f>D954/PARAMS_MODELO!$B$28</f>
        <v>1.7333333333333334</v>
      </c>
      <c r="F954">
        <v>43</v>
      </c>
      <c r="G954">
        <v>4</v>
      </c>
      <c r="H954">
        <v>0</v>
      </c>
      <c r="I954" s="20">
        <f t="shared" si="14"/>
        <v>0</v>
      </c>
      <c r="J954" s="21">
        <f>(IFERROR(_xlfn.PERCENTRANK.INC($B$2:$B$1194,B954)*100,0)*PARAMS_MODELO!$B$25)+(IFERROR(_xlfn.PERCENTRANK.INC($C$2:$C$1194,C954)*100,0)*PARAMS_MODELO!$B$26)+(IFERROR(_xlfn.PERCENTRANK.INC($E$2:$E$1194,E954)*100,0)*PARAMS_MODELO!$B$27)+(IFERROR(_xlfn.PERCENTRANK.INC($F$2:$F$1194,F954)*100,0)*PARAMS_MODELO!$B$29)+(IFERROR(_xlfn.PERCENTRANK.INC($I$2:$I$1194,I954)*100,0)*PARAMS_MODELO!$B$31)</f>
        <v>67.825000000000003</v>
      </c>
    </row>
    <row r="955" spans="1:10" x14ac:dyDescent="0.3">
      <c r="A955">
        <v>51010523</v>
      </c>
      <c r="B955">
        <v>71</v>
      </c>
      <c r="C955">
        <v>18</v>
      </c>
      <c r="D955">
        <v>79</v>
      </c>
      <c r="E955" s="21">
        <f>D955/PARAMS_MODELO!$B$28</f>
        <v>2.6333333333333333</v>
      </c>
      <c r="F955">
        <v>96</v>
      </c>
      <c r="G955">
        <v>91</v>
      </c>
      <c r="H955">
        <v>66</v>
      </c>
      <c r="I955" s="20">
        <f t="shared" si="14"/>
        <v>0.72527472527472525</v>
      </c>
      <c r="J955" s="21">
        <f>(IFERROR(_xlfn.PERCENTRANK.INC($B$2:$B$1194,B955)*100,0)*PARAMS_MODELO!$B$25)+(IFERROR(_xlfn.PERCENTRANK.INC($C$2:$C$1194,C955)*100,0)*PARAMS_MODELO!$B$26)+(IFERROR(_xlfn.PERCENTRANK.INC($E$2:$E$1194,E955)*100,0)*PARAMS_MODELO!$B$27)+(IFERROR(_xlfn.PERCENTRANK.INC($F$2:$F$1194,F955)*100,0)*PARAMS_MODELO!$B$29)+(IFERROR(_xlfn.PERCENTRANK.INC($I$2:$I$1194,I955)*100,0)*PARAMS_MODELO!$B$31)</f>
        <v>74.825000000000003</v>
      </c>
    </row>
    <row r="956" spans="1:10" x14ac:dyDescent="0.3">
      <c r="A956">
        <v>51000552</v>
      </c>
      <c r="B956">
        <v>98</v>
      </c>
      <c r="C956">
        <v>16</v>
      </c>
      <c r="D956">
        <v>42</v>
      </c>
      <c r="E956" s="21">
        <f>D956/PARAMS_MODELO!$B$28</f>
        <v>1.4</v>
      </c>
      <c r="F956">
        <v>78</v>
      </c>
      <c r="G956">
        <v>61</v>
      </c>
      <c r="H956">
        <v>7</v>
      </c>
      <c r="I956" s="20">
        <f t="shared" si="14"/>
        <v>0.11475409836065574</v>
      </c>
      <c r="J956" s="21">
        <f>(IFERROR(_xlfn.PERCENTRANK.INC($B$2:$B$1194,B956)*100,0)*PARAMS_MODELO!$B$25)+(IFERROR(_xlfn.PERCENTRANK.INC($C$2:$C$1194,C956)*100,0)*PARAMS_MODELO!$B$26)+(IFERROR(_xlfn.PERCENTRANK.INC($E$2:$E$1194,E956)*100,0)*PARAMS_MODELO!$B$27)+(IFERROR(_xlfn.PERCENTRANK.INC($F$2:$F$1194,F956)*100,0)*PARAMS_MODELO!$B$29)+(IFERROR(_xlfn.PERCENTRANK.INC($I$2:$I$1194,I956)*100,0)*PARAMS_MODELO!$B$31)</f>
        <v>64.95</v>
      </c>
    </row>
    <row r="957" spans="1:10" x14ac:dyDescent="0.3">
      <c r="A957">
        <v>51052331</v>
      </c>
      <c r="B957">
        <v>28</v>
      </c>
      <c r="C957">
        <v>13</v>
      </c>
      <c r="D957">
        <v>28</v>
      </c>
      <c r="E957" s="21">
        <f>D957/PARAMS_MODELO!$B$28</f>
        <v>0.93333333333333335</v>
      </c>
      <c r="F957">
        <v>71</v>
      </c>
      <c r="G957">
        <v>80</v>
      </c>
      <c r="H957">
        <v>18</v>
      </c>
      <c r="I957" s="20">
        <f t="shared" si="14"/>
        <v>0.22500000000000001</v>
      </c>
      <c r="J957" s="21">
        <f>(IFERROR(_xlfn.PERCENTRANK.INC($B$2:$B$1194,B957)*100,0)*PARAMS_MODELO!$B$25)+(IFERROR(_xlfn.PERCENTRANK.INC($C$2:$C$1194,C957)*100,0)*PARAMS_MODELO!$B$26)+(IFERROR(_xlfn.PERCENTRANK.INC($E$2:$E$1194,E957)*100,0)*PARAMS_MODELO!$B$27)+(IFERROR(_xlfn.PERCENTRANK.INC($F$2:$F$1194,F957)*100,0)*PARAMS_MODELO!$B$29)+(IFERROR(_xlfn.PERCENTRANK.INC($I$2:$I$1194,I957)*100,0)*PARAMS_MODELO!$B$31)</f>
        <v>38.709999999999994</v>
      </c>
    </row>
    <row r="958" spans="1:10" x14ac:dyDescent="0.3">
      <c r="A958">
        <v>51024460</v>
      </c>
      <c r="B958">
        <v>83</v>
      </c>
      <c r="C958">
        <v>1</v>
      </c>
      <c r="D958">
        <v>1</v>
      </c>
      <c r="E958" s="21">
        <f>D958/PARAMS_MODELO!$B$28</f>
        <v>3.3333333333333333E-2</v>
      </c>
      <c r="F958">
        <v>91</v>
      </c>
      <c r="G958">
        <v>35</v>
      </c>
      <c r="H958">
        <v>7</v>
      </c>
      <c r="I958" s="20">
        <f t="shared" si="14"/>
        <v>0.2</v>
      </c>
      <c r="J958" s="21">
        <f>(IFERROR(_xlfn.PERCENTRANK.INC($B$2:$B$1194,B958)*100,0)*PARAMS_MODELO!$B$25)+(IFERROR(_xlfn.PERCENTRANK.INC($C$2:$C$1194,C958)*100,0)*PARAMS_MODELO!$B$26)+(IFERROR(_xlfn.PERCENTRANK.INC($E$2:$E$1194,E958)*100,0)*PARAMS_MODELO!$B$27)+(IFERROR(_xlfn.PERCENTRANK.INC($F$2:$F$1194,F958)*100,0)*PARAMS_MODELO!$B$29)+(IFERROR(_xlfn.PERCENTRANK.INC($I$2:$I$1194,I958)*100,0)*PARAMS_MODELO!$B$31)</f>
        <v>41.269999999999996</v>
      </c>
    </row>
    <row r="959" spans="1:10" x14ac:dyDescent="0.3">
      <c r="A959">
        <v>51024885</v>
      </c>
      <c r="B959">
        <v>1</v>
      </c>
      <c r="C959">
        <v>11</v>
      </c>
      <c r="D959">
        <v>33</v>
      </c>
      <c r="E959" s="21">
        <f>D959/PARAMS_MODELO!$B$28</f>
        <v>1.1000000000000001</v>
      </c>
      <c r="F959">
        <v>26</v>
      </c>
      <c r="G959">
        <v>77</v>
      </c>
      <c r="H959">
        <v>37</v>
      </c>
      <c r="I959" s="20">
        <f t="shared" si="14"/>
        <v>0.48051948051948051</v>
      </c>
      <c r="J959" s="21">
        <f>(IFERROR(_xlfn.PERCENTRANK.INC($B$2:$B$1194,B959)*100,0)*PARAMS_MODELO!$B$25)+(IFERROR(_xlfn.PERCENTRANK.INC($C$2:$C$1194,C959)*100,0)*PARAMS_MODELO!$B$26)+(IFERROR(_xlfn.PERCENTRANK.INC($E$2:$E$1194,E959)*100,0)*PARAMS_MODELO!$B$27)+(IFERROR(_xlfn.PERCENTRANK.INC($F$2:$F$1194,F959)*100,0)*PARAMS_MODELO!$B$29)+(IFERROR(_xlfn.PERCENTRANK.INC($I$2:$I$1194,I959)*100,0)*PARAMS_MODELO!$B$31)</f>
        <v>24.844999999999999</v>
      </c>
    </row>
    <row r="960" spans="1:10" x14ac:dyDescent="0.3">
      <c r="A960">
        <v>51005554</v>
      </c>
      <c r="B960">
        <v>35</v>
      </c>
      <c r="C960">
        <v>13</v>
      </c>
      <c r="D960">
        <v>23</v>
      </c>
      <c r="E960" s="21">
        <f>D960/PARAMS_MODELO!$B$28</f>
        <v>0.76666666666666672</v>
      </c>
      <c r="F960">
        <v>96</v>
      </c>
      <c r="G960">
        <v>14</v>
      </c>
      <c r="H960">
        <v>5</v>
      </c>
      <c r="I960" s="20">
        <f t="shared" si="14"/>
        <v>0.35714285714285715</v>
      </c>
      <c r="J960" s="21">
        <f>(IFERROR(_xlfn.PERCENTRANK.INC($B$2:$B$1194,B960)*100,0)*PARAMS_MODELO!$B$25)+(IFERROR(_xlfn.PERCENTRANK.INC($C$2:$C$1194,C960)*100,0)*PARAMS_MODELO!$B$26)+(IFERROR(_xlfn.PERCENTRANK.INC($E$2:$E$1194,E960)*100,0)*PARAMS_MODELO!$B$27)+(IFERROR(_xlfn.PERCENTRANK.INC($F$2:$F$1194,F960)*100,0)*PARAMS_MODELO!$B$29)+(IFERROR(_xlfn.PERCENTRANK.INC($I$2:$I$1194,I960)*100,0)*PARAMS_MODELO!$B$31)</f>
        <v>44.41</v>
      </c>
    </row>
    <row r="961" spans="1:10" x14ac:dyDescent="0.3">
      <c r="A961">
        <v>51024478</v>
      </c>
      <c r="B961">
        <v>18</v>
      </c>
      <c r="C961">
        <v>0</v>
      </c>
      <c r="D961">
        <v>42</v>
      </c>
      <c r="E961" s="21">
        <f>D961/PARAMS_MODELO!$B$28</f>
        <v>1.4</v>
      </c>
      <c r="F961">
        <v>49</v>
      </c>
      <c r="G961">
        <v>75</v>
      </c>
      <c r="H961">
        <v>55</v>
      </c>
      <c r="I961" s="20">
        <f t="shared" si="14"/>
        <v>0.73333333333333328</v>
      </c>
      <c r="J961" s="21">
        <f>(IFERROR(_xlfn.PERCENTRANK.INC($B$2:$B$1194,B961)*100,0)*PARAMS_MODELO!$B$25)+(IFERROR(_xlfn.PERCENTRANK.INC($C$2:$C$1194,C961)*100,0)*PARAMS_MODELO!$B$26)+(IFERROR(_xlfn.PERCENTRANK.INC($E$2:$E$1194,E961)*100,0)*PARAMS_MODELO!$B$27)+(IFERROR(_xlfn.PERCENTRANK.INC($F$2:$F$1194,F961)*100,0)*PARAMS_MODELO!$B$29)+(IFERROR(_xlfn.PERCENTRANK.INC($I$2:$I$1194,I961)*100,0)*PARAMS_MODELO!$B$31)</f>
        <v>28.234999999999999</v>
      </c>
    </row>
    <row r="962" spans="1:10" x14ac:dyDescent="0.3">
      <c r="A962">
        <v>51012691</v>
      </c>
      <c r="B962">
        <v>53</v>
      </c>
      <c r="C962">
        <v>22</v>
      </c>
      <c r="D962">
        <v>6</v>
      </c>
      <c r="E962" s="21">
        <f>D962/PARAMS_MODELO!$B$28</f>
        <v>0.2</v>
      </c>
      <c r="F962">
        <v>98</v>
      </c>
      <c r="G962">
        <v>95</v>
      </c>
      <c r="H962">
        <v>19</v>
      </c>
      <c r="I962" s="20">
        <f t="shared" ref="I962:I1025" si="15">IFERROR(H962/G962,0)</f>
        <v>0.2</v>
      </c>
      <c r="J962" s="21">
        <f>(IFERROR(_xlfn.PERCENTRANK.INC($B$2:$B$1194,B962)*100,0)*PARAMS_MODELO!$B$25)+(IFERROR(_xlfn.PERCENTRANK.INC($C$2:$C$1194,C962)*100,0)*PARAMS_MODELO!$B$26)+(IFERROR(_xlfn.PERCENTRANK.INC($E$2:$E$1194,E962)*100,0)*PARAMS_MODELO!$B$27)+(IFERROR(_xlfn.PERCENTRANK.INC($F$2:$F$1194,F962)*100,0)*PARAMS_MODELO!$B$29)+(IFERROR(_xlfn.PERCENTRANK.INC($I$2:$I$1194,I962)*100,0)*PARAMS_MODELO!$B$31)</f>
        <v>53.914999999999999</v>
      </c>
    </row>
    <row r="963" spans="1:10" x14ac:dyDescent="0.3">
      <c r="A963">
        <v>51015681</v>
      </c>
      <c r="B963">
        <v>58</v>
      </c>
      <c r="C963">
        <v>4</v>
      </c>
      <c r="D963">
        <v>51</v>
      </c>
      <c r="E963" s="21">
        <f>D963/PARAMS_MODELO!$B$28</f>
        <v>1.7</v>
      </c>
      <c r="F963">
        <v>3</v>
      </c>
      <c r="G963">
        <v>59</v>
      </c>
      <c r="H963">
        <v>15</v>
      </c>
      <c r="I963" s="20">
        <f t="shared" si="15"/>
        <v>0.25423728813559321</v>
      </c>
      <c r="J963" s="21">
        <f>(IFERROR(_xlfn.PERCENTRANK.INC($B$2:$B$1194,B963)*100,0)*PARAMS_MODELO!$B$25)+(IFERROR(_xlfn.PERCENTRANK.INC($C$2:$C$1194,C963)*100,0)*PARAMS_MODELO!$B$26)+(IFERROR(_xlfn.PERCENTRANK.INC($E$2:$E$1194,E963)*100,0)*PARAMS_MODELO!$B$27)+(IFERROR(_xlfn.PERCENTRANK.INC($F$2:$F$1194,F963)*100,0)*PARAMS_MODELO!$B$29)+(IFERROR(_xlfn.PERCENTRANK.INC($I$2:$I$1194,I963)*100,0)*PARAMS_MODELO!$B$31)</f>
        <v>33.984999999999999</v>
      </c>
    </row>
    <row r="964" spans="1:10" x14ac:dyDescent="0.3">
      <c r="A964">
        <v>51019008</v>
      </c>
      <c r="B964">
        <v>56</v>
      </c>
      <c r="C964">
        <v>13</v>
      </c>
      <c r="D964">
        <v>54</v>
      </c>
      <c r="E964" s="21">
        <f>D964/PARAMS_MODELO!$B$28</f>
        <v>1.8</v>
      </c>
      <c r="F964">
        <v>61</v>
      </c>
      <c r="G964">
        <v>20</v>
      </c>
      <c r="H964">
        <v>15</v>
      </c>
      <c r="I964" s="20">
        <f t="shared" si="15"/>
        <v>0.75</v>
      </c>
      <c r="J964" s="21">
        <f>(IFERROR(_xlfn.PERCENTRANK.INC($B$2:$B$1194,B964)*100,0)*PARAMS_MODELO!$B$25)+(IFERROR(_xlfn.PERCENTRANK.INC($C$2:$C$1194,C964)*100,0)*PARAMS_MODELO!$B$26)+(IFERROR(_xlfn.PERCENTRANK.INC($E$2:$E$1194,E964)*100,0)*PARAMS_MODELO!$B$27)+(IFERROR(_xlfn.PERCENTRANK.INC($F$2:$F$1194,F964)*100,0)*PARAMS_MODELO!$B$29)+(IFERROR(_xlfn.PERCENTRANK.INC($I$2:$I$1194,I964)*100,0)*PARAMS_MODELO!$B$31)</f>
        <v>55.749999999999993</v>
      </c>
    </row>
    <row r="965" spans="1:10" x14ac:dyDescent="0.3">
      <c r="A965">
        <v>51015762</v>
      </c>
      <c r="B965">
        <v>7</v>
      </c>
      <c r="C965">
        <v>25</v>
      </c>
      <c r="D965">
        <v>67</v>
      </c>
      <c r="E965" s="21">
        <f>D965/PARAMS_MODELO!$B$28</f>
        <v>2.2333333333333334</v>
      </c>
      <c r="F965">
        <v>29</v>
      </c>
      <c r="G965">
        <v>85</v>
      </c>
      <c r="H965">
        <v>35</v>
      </c>
      <c r="I965" s="20">
        <f t="shared" si="15"/>
        <v>0.41176470588235292</v>
      </c>
      <c r="J965" s="21">
        <f>(IFERROR(_xlfn.PERCENTRANK.INC($B$2:$B$1194,B965)*100,0)*PARAMS_MODELO!$B$25)+(IFERROR(_xlfn.PERCENTRANK.INC($C$2:$C$1194,C965)*100,0)*PARAMS_MODELO!$B$26)+(IFERROR(_xlfn.PERCENTRANK.INC($E$2:$E$1194,E965)*100,0)*PARAMS_MODELO!$B$27)+(IFERROR(_xlfn.PERCENTRANK.INC($F$2:$F$1194,F965)*100,0)*PARAMS_MODELO!$B$29)+(IFERROR(_xlfn.PERCENTRANK.INC($I$2:$I$1194,I965)*100,0)*PARAMS_MODELO!$B$31)</f>
        <v>47.544999999999995</v>
      </c>
    </row>
    <row r="966" spans="1:10" x14ac:dyDescent="0.3">
      <c r="A966">
        <v>51017714</v>
      </c>
      <c r="B966">
        <v>37</v>
      </c>
      <c r="C966">
        <v>15</v>
      </c>
      <c r="D966">
        <v>61</v>
      </c>
      <c r="E966" s="21">
        <f>D966/PARAMS_MODELO!$B$28</f>
        <v>2.0333333333333332</v>
      </c>
      <c r="F966">
        <v>89</v>
      </c>
      <c r="G966">
        <v>96</v>
      </c>
      <c r="H966">
        <v>39</v>
      </c>
      <c r="I966" s="20">
        <f t="shared" si="15"/>
        <v>0.40625</v>
      </c>
      <c r="J966" s="21">
        <f>(IFERROR(_xlfn.PERCENTRANK.INC($B$2:$B$1194,B966)*100,0)*PARAMS_MODELO!$B$25)+(IFERROR(_xlfn.PERCENTRANK.INC($C$2:$C$1194,C966)*100,0)*PARAMS_MODELO!$B$26)+(IFERROR(_xlfn.PERCENTRANK.INC($E$2:$E$1194,E966)*100,0)*PARAMS_MODELO!$B$27)+(IFERROR(_xlfn.PERCENTRANK.INC($F$2:$F$1194,F966)*100,0)*PARAMS_MODELO!$B$29)+(IFERROR(_xlfn.PERCENTRANK.INC($I$2:$I$1194,I966)*100,0)*PARAMS_MODELO!$B$31)</f>
        <v>54.035000000000004</v>
      </c>
    </row>
    <row r="967" spans="1:10" x14ac:dyDescent="0.3">
      <c r="A967">
        <v>51031997</v>
      </c>
      <c r="B967">
        <v>16</v>
      </c>
      <c r="C967">
        <v>17</v>
      </c>
      <c r="D967">
        <v>37</v>
      </c>
      <c r="E967" s="21">
        <f>D967/PARAMS_MODELO!$B$28</f>
        <v>1.2333333333333334</v>
      </c>
      <c r="F967">
        <v>6</v>
      </c>
      <c r="G967">
        <v>28</v>
      </c>
      <c r="H967">
        <v>6</v>
      </c>
      <c r="I967" s="20">
        <f t="shared" si="15"/>
        <v>0.21428571428571427</v>
      </c>
      <c r="J967" s="21">
        <f>(IFERROR(_xlfn.PERCENTRANK.INC($B$2:$B$1194,B967)*100,0)*PARAMS_MODELO!$B$25)+(IFERROR(_xlfn.PERCENTRANK.INC($C$2:$C$1194,C967)*100,0)*PARAMS_MODELO!$B$26)+(IFERROR(_xlfn.PERCENTRANK.INC($E$2:$E$1194,E967)*100,0)*PARAMS_MODELO!$B$27)+(IFERROR(_xlfn.PERCENTRANK.INC($F$2:$F$1194,F967)*100,0)*PARAMS_MODELO!$B$29)+(IFERROR(_xlfn.PERCENTRANK.INC($I$2:$I$1194,I967)*100,0)*PARAMS_MODELO!$B$31)</f>
        <v>30.900000000000002</v>
      </c>
    </row>
    <row r="968" spans="1:10" x14ac:dyDescent="0.3">
      <c r="A968">
        <v>51039181</v>
      </c>
      <c r="B968">
        <v>36</v>
      </c>
      <c r="C968">
        <v>2</v>
      </c>
      <c r="D968">
        <v>0</v>
      </c>
      <c r="E968" s="21">
        <f>D968/PARAMS_MODELO!$B$28</f>
        <v>0</v>
      </c>
      <c r="F968">
        <v>62</v>
      </c>
      <c r="G968">
        <v>44</v>
      </c>
      <c r="H968">
        <v>41</v>
      </c>
      <c r="I968" s="20">
        <f t="shared" si="15"/>
        <v>0.93181818181818177</v>
      </c>
      <c r="J968" s="21">
        <f>(IFERROR(_xlfn.PERCENTRANK.INC($B$2:$B$1194,B968)*100,0)*PARAMS_MODELO!$B$25)+(IFERROR(_xlfn.PERCENTRANK.INC($C$2:$C$1194,C968)*100,0)*PARAMS_MODELO!$B$26)+(IFERROR(_xlfn.PERCENTRANK.INC($E$2:$E$1194,E968)*100,0)*PARAMS_MODELO!$B$27)+(IFERROR(_xlfn.PERCENTRANK.INC($F$2:$F$1194,F968)*100,0)*PARAMS_MODELO!$B$29)+(IFERROR(_xlfn.PERCENTRANK.INC($I$2:$I$1194,I968)*100,0)*PARAMS_MODELO!$B$31)</f>
        <v>30.849999999999998</v>
      </c>
    </row>
    <row r="969" spans="1:10" x14ac:dyDescent="0.3">
      <c r="A969">
        <v>51057121</v>
      </c>
      <c r="B969">
        <v>33</v>
      </c>
      <c r="C969">
        <v>23</v>
      </c>
      <c r="D969">
        <v>49</v>
      </c>
      <c r="E969" s="21">
        <f>D969/PARAMS_MODELO!$B$28</f>
        <v>1.6333333333333333</v>
      </c>
      <c r="F969">
        <v>45</v>
      </c>
      <c r="G969">
        <v>62</v>
      </c>
      <c r="H969">
        <v>15</v>
      </c>
      <c r="I969" s="20">
        <f t="shared" si="15"/>
        <v>0.24193548387096775</v>
      </c>
      <c r="J969" s="21">
        <f>(IFERROR(_xlfn.PERCENTRANK.INC($B$2:$B$1194,B969)*100,0)*PARAMS_MODELO!$B$25)+(IFERROR(_xlfn.PERCENTRANK.INC($C$2:$C$1194,C969)*100,0)*PARAMS_MODELO!$B$26)+(IFERROR(_xlfn.PERCENTRANK.INC($E$2:$E$1194,E969)*100,0)*PARAMS_MODELO!$B$27)+(IFERROR(_xlfn.PERCENTRANK.INC($F$2:$F$1194,F969)*100,0)*PARAMS_MODELO!$B$29)+(IFERROR(_xlfn.PERCENTRANK.INC($I$2:$I$1194,I969)*100,0)*PARAMS_MODELO!$B$31)</f>
        <v>50.55</v>
      </c>
    </row>
    <row r="970" spans="1:10" x14ac:dyDescent="0.3">
      <c r="A970">
        <v>51018290</v>
      </c>
      <c r="B970">
        <v>85</v>
      </c>
      <c r="C970">
        <v>15</v>
      </c>
      <c r="D970">
        <v>39</v>
      </c>
      <c r="E970" s="21">
        <f>D970/PARAMS_MODELO!$B$28</f>
        <v>1.3</v>
      </c>
      <c r="F970">
        <v>51</v>
      </c>
      <c r="G970">
        <v>50</v>
      </c>
      <c r="H970">
        <v>29</v>
      </c>
      <c r="I970" s="20">
        <f t="shared" si="15"/>
        <v>0.57999999999999996</v>
      </c>
      <c r="J970" s="21">
        <f>(IFERROR(_xlfn.PERCENTRANK.INC($B$2:$B$1194,B970)*100,0)*PARAMS_MODELO!$B$25)+(IFERROR(_xlfn.PERCENTRANK.INC($C$2:$C$1194,C970)*100,0)*PARAMS_MODELO!$B$26)+(IFERROR(_xlfn.PERCENTRANK.INC($E$2:$E$1194,E970)*100,0)*PARAMS_MODELO!$B$27)+(IFERROR(_xlfn.PERCENTRANK.INC($F$2:$F$1194,F970)*100,0)*PARAMS_MODELO!$B$29)+(IFERROR(_xlfn.PERCENTRANK.INC($I$2:$I$1194,I970)*100,0)*PARAMS_MODELO!$B$31)</f>
        <v>59.754999999999995</v>
      </c>
    </row>
    <row r="971" spans="1:10" x14ac:dyDescent="0.3">
      <c r="A971">
        <v>51043561</v>
      </c>
      <c r="B971">
        <v>11</v>
      </c>
      <c r="C971">
        <v>20</v>
      </c>
      <c r="D971">
        <v>29</v>
      </c>
      <c r="E971" s="21">
        <f>D971/PARAMS_MODELO!$B$28</f>
        <v>0.96666666666666667</v>
      </c>
      <c r="F971">
        <v>6</v>
      </c>
      <c r="G971">
        <v>73</v>
      </c>
      <c r="H971">
        <v>25</v>
      </c>
      <c r="I971" s="20">
        <f t="shared" si="15"/>
        <v>0.34246575342465752</v>
      </c>
      <c r="J971" s="21">
        <f>(IFERROR(_xlfn.PERCENTRANK.INC($B$2:$B$1194,B971)*100,0)*PARAMS_MODELO!$B$25)+(IFERROR(_xlfn.PERCENTRANK.INC($C$2:$C$1194,C971)*100,0)*PARAMS_MODELO!$B$26)+(IFERROR(_xlfn.PERCENTRANK.INC($E$2:$E$1194,E971)*100,0)*PARAMS_MODELO!$B$27)+(IFERROR(_xlfn.PERCENTRANK.INC($F$2:$F$1194,F971)*100,0)*PARAMS_MODELO!$B$29)+(IFERROR(_xlfn.PERCENTRANK.INC($I$2:$I$1194,I971)*100,0)*PARAMS_MODELO!$B$31)</f>
        <v>32.064999999999998</v>
      </c>
    </row>
    <row r="972" spans="1:10" x14ac:dyDescent="0.3">
      <c r="A972">
        <v>51036964</v>
      </c>
      <c r="B972">
        <v>0</v>
      </c>
      <c r="C972">
        <v>18</v>
      </c>
      <c r="D972">
        <v>57</v>
      </c>
      <c r="E972" s="21">
        <f>D972/PARAMS_MODELO!$B$28</f>
        <v>1.9</v>
      </c>
      <c r="F972">
        <v>92</v>
      </c>
      <c r="G972">
        <v>91</v>
      </c>
      <c r="H972">
        <v>7</v>
      </c>
      <c r="I972" s="20">
        <f t="shared" si="15"/>
        <v>7.6923076923076927E-2</v>
      </c>
      <c r="J972" s="21">
        <f>(IFERROR(_xlfn.PERCENTRANK.INC($B$2:$B$1194,B972)*100,0)*PARAMS_MODELO!$B$25)+(IFERROR(_xlfn.PERCENTRANK.INC($C$2:$C$1194,C972)*100,0)*PARAMS_MODELO!$B$26)+(IFERROR(_xlfn.PERCENTRANK.INC($E$2:$E$1194,E972)*100,0)*PARAMS_MODELO!$B$27)+(IFERROR(_xlfn.PERCENTRANK.INC($F$2:$F$1194,F972)*100,0)*PARAMS_MODELO!$B$29)+(IFERROR(_xlfn.PERCENTRANK.INC($I$2:$I$1194,I972)*100,0)*PARAMS_MODELO!$B$31)</f>
        <v>42.48</v>
      </c>
    </row>
    <row r="973" spans="1:10" x14ac:dyDescent="0.3">
      <c r="A973">
        <v>51030290</v>
      </c>
      <c r="B973">
        <v>80</v>
      </c>
      <c r="C973">
        <v>1</v>
      </c>
      <c r="D973">
        <v>75</v>
      </c>
      <c r="E973" s="21">
        <f>D973/PARAMS_MODELO!$B$28</f>
        <v>2.5</v>
      </c>
      <c r="F973">
        <v>82</v>
      </c>
      <c r="G973">
        <v>96</v>
      </c>
      <c r="H973">
        <v>22</v>
      </c>
      <c r="I973" s="20">
        <f t="shared" si="15"/>
        <v>0.22916666666666666</v>
      </c>
      <c r="J973" s="21">
        <f>(IFERROR(_xlfn.PERCENTRANK.INC($B$2:$B$1194,B973)*100,0)*PARAMS_MODELO!$B$25)+(IFERROR(_xlfn.PERCENTRANK.INC($C$2:$C$1194,C973)*100,0)*PARAMS_MODELO!$B$26)+(IFERROR(_xlfn.PERCENTRANK.INC($E$2:$E$1194,E973)*100,0)*PARAMS_MODELO!$B$27)+(IFERROR(_xlfn.PERCENTRANK.INC($F$2:$F$1194,F973)*100,0)*PARAMS_MODELO!$B$29)+(IFERROR(_xlfn.PERCENTRANK.INC($I$2:$I$1194,I973)*100,0)*PARAMS_MODELO!$B$31)</f>
        <v>54.43</v>
      </c>
    </row>
    <row r="974" spans="1:10" x14ac:dyDescent="0.3">
      <c r="A974">
        <v>51023331</v>
      </c>
      <c r="B974">
        <v>30</v>
      </c>
      <c r="C974">
        <v>16</v>
      </c>
      <c r="D974">
        <v>51</v>
      </c>
      <c r="E974" s="21">
        <f>D974/PARAMS_MODELO!$B$28</f>
        <v>1.7</v>
      </c>
      <c r="F974">
        <v>52</v>
      </c>
      <c r="G974">
        <v>100</v>
      </c>
      <c r="H974">
        <v>65</v>
      </c>
      <c r="I974" s="20">
        <f t="shared" si="15"/>
        <v>0.65</v>
      </c>
      <c r="J974" s="21">
        <f>(IFERROR(_xlfn.PERCENTRANK.INC($B$2:$B$1194,B974)*100,0)*PARAMS_MODELO!$B$25)+(IFERROR(_xlfn.PERCENTRANK.INC($C$2:$C$1194,C974)*100,0)*PARAMS_MODELO!$B$26)+(IFERROR(_xlfn.PERCENTRANK.INC($E$2:$E$1194,E974)*100,0)*PARAMS_MODELO!$B$27)+(IFERROR(_xlfn.PERCENTRANK.INC($F$2:$F$1194,F974)*100,0)*PARAMS_MODELO!$B$29)+(IFERROR(_xlfn.PERCENTRANK.INC($I$2:$I$1194,I974)*100,0)*PARAMS_MODELO!$B$31)</f>
        <v>47.98</v>
      </c>
    </row>
    <row r="975" spans="1:10" x14ac:dyDescent="0.3">
      <c r="A975">
        <v>51024010</v>
      </c>
      <c r="B975">
        <v>23</v>
      </c>
      <c r="C975">
        <v>13</v>
      </c>
      <c r="D975">
        <v>61</v>
      </c>
      <c r="E975" s="21">
        <f>D975/PARAMS_MODELO!$B$28</f>
        <v>2.0333333333333332</v>
      </c>
      <c r="F975">
        <v>37</v>
      </c>
      <c r="G975">
        <v>9</v>
      </c>
      <c r="H975">
        <v>1</v>
      </c>
      <c r="I975" s="20">
        <f t="shared" si="15"/>
        <v>0.1111111111111111</v>
      </c>
      <c r="J975" s="21">
        <f>(IFERROR(_xlfn.PERCENTRANK.INC($B$2:$B$1194,B975)*100,0)*PARAMS_MODELO!$B$25)+(IFERROR(_xlfn.PERCENTRANK.INC($C$2:$C$1194,C975)*100,0)*PARAMS_MODELO!$B$26)+(IFERROR(_xlfn.PERCENTRANK.INC($E$2:$E$1194,E975)*100,0)*PARAMS_MODELO!$B$27)+(IFERROR(_xlfn.PERCENTRANK.INC($F$2:$F$1194,F975)*100,0)*PARAMS_MODELO!$B$29)+(IFERROR(_xlfn.PERCENTRANK.INC($I$2:$I$1194,I975)*100,0)*PARAMS_MODELO!$B$31)</f>
        <v>37.445</v>
      </c>
    </row>
    <row r="976" spans="1:10" x14ac:dyDescent="0.3">
      <c r="A976">
        <v>51024664</v>
      </c>
      <c r="B976">
        <v>16</v>
      </c>
      <c r="C976">
        <v>16</v>
      </c>
      <c r="D976">
        <v>58</v>
      </c>
      <c r="E976" s="21">
        <f>D976/PARAMS_MODELO!$B$28</f>
        <v>1.9333333333333333</v>
      </c>
      <c r="F976">
        <v>79</v>
      </c>
      <c r="G976">
        <v>57</v>
      </c>
      <c r="H976">
        <v>27</v>
      </c>
      <c r="I976" s="20">
        <f t="shared" si="15"/>
        <v>0.47368421052631576</v>
      </c>
      <c r="J976" s="21">
        <f>(IFERROR(_xlfn.PERCENTRANK.INC($B$2:$B$1194,B976)*100,0)*PARAMS_MODELO!$B$25)+(IFERROR(_xlfn.PERCENTRANK.INC($C$2:$C$1194,C976)*100,0)*PARAMS_MODELO!$B$26)+(IFERROR(_xlfn.PERCENTRANK.INC($E$2:$E$1194,E976)*100,0)*PARAMS_MODELO!$B$27)+(IFERROR(_xlfn.PERCENTRANK.INC($F$2:$F$1194,F976)*100,0)*PARAMS_MODELO!$B$29)+(IFERROR(_xlfn.PERCENTRANK.INC($I$2:$I$1194,I976)*100,0)*PARAMS_MODELO!$B$31)</f>
        <v>47.53</v>
      </c>
    </row>
    <row r="977" spans="1:10" x14ac:dyDescent="0.3">
      <c r="A977">
        <v>51009185</v>
      </c>
      <c r="B977">
        <v>100</v>
      </c>
      <c r="C977">
        <v>17</v>
      </c>
      <c r="D977">
        <v>40</v>
      </c>
      <c r="E977" s="21">
        <f>D977/PARAMS_MODELO!$B$28</f>
        <v>1.3333333333333333</v>
      </c>
      <c r="F977">
        <v>98</v>
      </c>
      <c r="G977">
        <v>5</v>
      </c>
      <c r="H977">
        <v>2</v>
      </c>
      <c r="I977" s="20">
        <f t="shared" si="15"/>
        <v>0.4</v>
      </c>
      <c r="J977" s="21">
        <f>(IFERROR(_xlfn.PERCENTRANK.INC($B$2:$B$1194,B977)*100,0)*PARAMS_MODELO!$B$25)+(IFERROR(_xlfn.PERCENTRANK.INC($C$2:$C$1194,C977)*100,0)*PARAMS_MODELO!$B$26)+(IFERROR(_xlfn.PERCENTRANK.INC($E$2:$E$1194,E977)*100,0)*PARAMS_MODELO!$B$27)+(IFERROR(_xlfn.PERCENTRANK.INC($F$2:$F$1194,F977)*100,0)*PARAMS_MODELO!$B$29)+(IFERROR(_xlfn.PERCENTRANK.INC($I$2:$I$1194,I977)*100,0)*PARAMS_MODELO!$B$31)</f>
        <v>71.739999999999995</v>
      </c>
    </row>
    <row r="978" spans="1:10" x14ac:dyDescent="0.3">
      <c r="A978">
        <v>51039424</v>
      </c>
      <c r="B978">
        <v>95</v>
      </c>
      <c r="C978">
        <v>23</v>
      </c>
      <c r="D978">
        <v>61</v>
      </c>
      <c r="E978" s="21">
        <f>D978/PARAMS_MODELO!$B$28</f>
        <v>2.0333333333333332</v>
      </c>
      <c r="F978">
        <v>35</v>
      </c>
      <c r="G978">
        <v>29</v>
      </c>
      <c r="H978">
        <v>0</v>
      </c>
      <c r="I978" s="20">
        <f t="shared" si="15"/>
        <v>0</v>
      </c>
      <c r="J978" s="21">
        <f>(IFERROR(_xlfn.PERCENTRANK.INC($B$2:$B$1194,B978)*100,0)*PARAMS_MODELO!$B$25)+(IFERROR(_xlfn.PERCENTRANK.INC($C$2:$C$1194,C978)*100,0)*PARAMS_MODELO!$B$26)+(IFERROR(_xlfn.PERCENTRANK.INC($E$2:$E$1194,E978)*100,0)*PARAMS_MODELO!$B$27)+(IFERROR(_xlfn.PERCENTRANK.INC($F$2:$F$1194,F978)*100,0)*PARAMS_MODELO!$B$29)+(IFERROR(_xlfn.PERCENTRANK.INC($I$2:$I$1194,I978)*100,0)*PARAMS_MODELO!$B$31)</f>
        <v>66.710000000000008</v>
      </c>
    </row>
    <row r="979" spans="1:10" x14ac:dyDescent="0.3">
      <c r="A979">
        <v>51038941</v>
      </c>
      <c r="B979">
        <v>11</v>
      </c>
      <c r="C979">
        <v>6</v>
      </c>
      <c r="D979">
        <v>1</v>
      </c>
      <c r="E979" s="21">
        <f>D979/PARAMS_MODELO!$B$28</f>
        <v>3.3333333333333333E-2</v>
      </c>
      <c r="F979">
        <v>51</v>
      </c>
      <c r="G979">
        <v>33</v>
      </c>
      <c r="H979">
        <v>5</v>
      </c>
      <c r="I979" s="20">
        <f t="shared" si="15"/>
        <v>0.15151515151515152</v>
      </c>
      <c r="J979" s="21">
        <f>(IFERROR(_xlfn.PERCENTRANK.INC($B$2:$B$1194,B979)*100,0)*PARAMS_MODELO!$B$25)+(IFERROR(_xlfn.PERCENTRANK.INC($C$2:$C$1194,C979)*100,0)*PARAMS_MODELO!$B$26)+(IFERROR(_xlfn.PERCENTRANK.INC($E$2:$E$1194,E979)*100,0)*PARAMS_MODELO!$B$27)+(IFERROR(_xlfn.PERCENTRANK.INC($F$2:$F$1194,F979)*100,0)*PARAMS_MODELO!$B$29)+(IFERROR(_xlfn.PERCENTRANK.INC($I$2:$I$1194,I979)*100,0)*PARAMS_MODELO!$B$31)</f>
        <v>18.420000000000002</v>
      </c>
    </row>
    <row r="980" spans="1:10" x14ac:dyDescent="0.3">
      <c r="A980">
        <v>51015126</v>
      </c>
      <c r="B980">
        <v>27</v>
      </c>
      <c r="C980">
        <v>20</v>
      </c>
      <c r="D980">
        <v>12</v>
      </c>
      <c r="E980" s="21">
        <f>D980/PARAMS_MODELO!$B$28</f>
        <v>0.4</v>
      </c>
      <c r="F980">
        <v>52</v>
      </c>
      <c r="G980">
        <v>20</v>
      </c>
      <c r="H980">
        <v>9</v>
      </c>
      <c r="I980" s="20">
        <f t="shared" si="15"/>
        <v>0.45</v>
      </c>
      <c r="J980" s="21">
        <f>(IFERROR(_xlfn.PERCENTRANK.INC($B$2:$B$1194,B980)*100,0)*PARAMS_MODELO!$B$25)+(IFERROR(_xlfn.PERCENTRANK.INC($C$2:$C$1194,C980)*100,0)*PARAMS_MODELO!$B$26)+(IFERROR(_xlfn.PERCENTRANK.INC($E$2:$E$1194,E980)*100,0)*PARAMS_MODELO!$B$27)+(IFERROR(_xlfn.PERCENTRANK.INC($F$2:$F$1194,F980)*100,0)*PARAMS_MODELO!$B$29)+(IFERROR(_xlfn.PERCENTRANK.INC($I$2:$I$1194,I980)*100,0)*PARAMS_MODELO!$B$31)</f>
        <v>41.134999999999998</v>
      </c>
    </row>
    <row r="981" spans="1:10" x14ac:dyDescent="0.3">
      <c r="A981">
        <v>51017234</v>
      </c>
      <c r="B981">
        <v>18</v>
      </c>
      <c r="C981">
        <v>1</v>
      </c>
      <c r="D981">
        <v>65</v>
      </c>
      <c r="E981" s="21">
        <f>D981/PARAMS_MODELO!$B$28</f>
        <v>2.1666666666666665</v>
      </c>
      <c r="F981">
        <v>9</v>
      </c>
      <c r="G981">
        <v>44</v>
      </c>
      <c r="H981">
        <v>42</v>
      </c>
      <c r="I981" s="20">
        <f t="shared" si="15"/>
        <v>0.95454545454545459</v>
      </c>
      <c r="J981" s="21">
        <f>(IFERROR(_xlfn.PERCENTRANK.INC($B$2:$B$1194,B981)*100,0)*PARAMS_MODELO!$B$25)+(IFERROR(_xlfn.PERCENTRANK.INC($C$2:$C$1194,C981)*100,0)*PARAMS_MODELO!$B$26)+(IFERROR(_xlfn.PERCENTRANK.INC($E$2:$E$1194,E981)*100,0)*PARAMS_MODELO!$B$27)+(IFERROR(_xlfn.PERCENTRANK.INC($F$2:$F$1194,F981)*100,0)*PARAMS_MODELO!$B$29)+(IFERROR(_xlfn.PERCENTRANK.INC($I$2:$I$1194,I981)*100,0)*PARAMS_MODELO!$B$31)</f>
        <v>29.994999999999997</v>
      </c>
    </row>
    <row r="982" spans="1:10" x14ac:dyDescent="0.3">
      <c r="A982">
        <v>51012852</v>
      </c>
      <c r="B982">
        <v>13</v>
      </c>
      <c r="C982">
        <v>1</v>
      </c>
      <c r="D982">
        <v>14</v>
      </c>
      <c r="E982" s="21">
        <f>D982/PARAMS_MODELO!$B$28</f>
        <v>0.46666666666666667</v>
      </c>
      <c r="F982">
        <v>35</v>
      </c>
      <c r="G982">
        <v>15</v>
      </c>
      <c r="H982">
        <v>14</v>
      </c>
      <c r="I982" s="20">
        <f t="shared" si="15"/>
        <v>0.93333333333333335</v>
      </c>
      <c r="J982" s="21">
        <f>(IFERROR(_xlfn.PERCENTRANK.INC($B$2:$B$1194,B982)*100,0)*PARAMS_MODELO!$B$25)+(IFERROR(_xlfn.PERCENTRANK.INC($C$2:$C$1194,C982)*100,0)*PARAMS_MODELO!$B$26)+(IFERROR(_xlfn.PERCENTRANK.INC($E$2:$E$1194,E982)*100,0)*PARAMS_MODELO!$B$27)+(IFERROR(_xlfn.PERCENTRANK.INC($F$2:$F$1194,F982)*100,0)*PARAMS_MODELO!$B$29)+(IFERROR(_xlfn.PERCENTRANK.INC($I$2:$I$1194,I982)*100,0)*PARAMS_MODELO!$B$31)</f>
        <v>22.189999999999998</v>
      </c>
    </row>
    <row r="983" spans="1:10" x14ac:dyDescent="0.3">
      <c r="A983">
        <v>51010396</v>
      </c>
      <c r="B983">
        <v>87</v>
      </c>
      <c r="C983">
        <v>25</v>
      </c>
      <c r="D983">
        <v>63</v>
      </c>
      <c r="E983" s="21">
        <f>D983/PARAMS_MODELO!$B$28</f>
        <v>2.1</v>
      </c>
      <c r="F983">
        <v>53</v>
      </c>
      <c r="G983">
        <v>48</v>
      </c>
      <c r="H983">
        <v>1</v>
      </c>
      <c r="I983" s="20">
        <f t="shared" si="15"/>
        <v>2.0833333333333332E-2</v>
      </c>
      <c r="J983" s="21">
        <f>(IFERROR(_xlfn.PERCENTRANK.INC($B$2:$B$1194,B983)*100,0)*PARAMS_MODELO!$B$25)+(IFERROR(_xlfn.PERCENTRANK.INC($C$2:$C$1194,C983)*100,0)*PARAMS_MODELO!$B$26)+(IFERROR(_xlfn.PERCENTRANK.INC($E$2:$E$1194,E983)*100,0)*PARAMS_MODELO!$B$27)+(IFERROR(_xlfn.PERCENTRANK.INC($F$2:$F$1194,F983)*100,0)*PARAMS_MODELO!$B$29)+(IFERROR(_xlfn.PERCENTRANK.INC($I$2:$I$1194,I983)*100,0)*PARAMS_MODELO!$B$31)</f>
        <v>70.215000000000003</v>
      </c>
    </row>
    <row r="984" spans="1:10" x14ac:dyDescent="0.3">
      <c r="A984">
        <v>51022629</v>
      </c>
      <c r="B984">
        <v>40</v>
      </c>
      <c r="C984">
        <v>14</v>
      </c>
      <c r="D984">
        <v>65</v>
      </c>
      <c r="E984" s="21">
        <f>D984/PARAMS_MODELO!$B$28</f>
        <v>2.1666666666666665</v>
      </c>
      <c r="F984">
        <v>48</v>
      </c>
      <c r="G984">
        <v>6</v>
      </c>
      <c r="H984">
        <v>1</v>
      </c>
      <c r="I984" s="20">
        <f t="shared" si="15"/>
        <v>0.16666666666666666</v>
      </c>
      <c r="J984" s="21">
        <f>(IFERROR(_xlfn.PERCENTRANK.INC($B$2:$B$1194,B984)*100,0)*PARAMS_MODELO!$B$25)+(IFERROR(_xlfn.PERCENTRANK.INC($C$2:$C$1194,C984)*100,0)*PARAMS_MODELO!$B$26)+(IFERROR(_xlfn.PERCENTRANK.INC($E$2:$E$1194,E984)*100,0)*PARAMS_MODELO!$B$27)+(IFERROR(_xlfn.PERCENTRANK.INC($F$2:$F$1194,F984)*100,0)*PARAMS_MODELO!$B$29)+(IFERROR(_xlfn.PERCENTRANK.INC($I$2:$I$1194,I984)*100,0)*PARAMS_MODELO!$B$31)</f>
        <v>46.470000000000006</v>
      </c>
    </row>
    <row r="985" spans="1:10" x14ac:dyDescent="0.3">
      <c r="A985">
        <v>51021274</v>
      </c>
      <c r="B985">
        <v>17</v>
      </c>
      <c r="C985">
        <v>19</v>
      </c>
      <c r="D985">
        <v>4</v>
      </c>
      <c r="E985" s="21">
        <f>D985/PARAMS_MODELO!$B$28</f>
        <v>0.13333333333333333</v>
      </c>
      <c r="F985">
        <v>19</v>
      </c>
      <c r="G985">
        <v>66</v>
      </c>
      <c r="H985">
        <v>9</v>
      </c>
      <c r="I985" s="20">
        <f t="shared" si="15"/>
        <v>0.13636363636363635</v>
      </c>
      <c r="J985" s="21">
        <f>(IFERROR(_xlfn.PERCENTRANK.INC($B$2:$B$1194,B985)*100,0)*PARAMS_MODELO!$B$25)+(IFERROR(_xlfn.PERCENTRANK.INC($C$2:$C$1194,C985)*100,0)*PARAMS_MODELO!$B$26)+(IFERROR(_xlfn.PERCENTRANK.INC($E$2:$E$1194,E985)*100,0)*PARAMS_MODELO!$B$27)+(IFERROR(_xlfn.PERCENTRANK.INC($F$2:$F$1194,F985)*100,0)*PARAMS_MODELO!$B$29)+(IFERROR(_xlfn.PERCENTRANK.INC($I$2:$I$1194,I985)*100,0)*PARAMS_MODELO!$B$31)</f>
        <v>27.524999999999999</v>
      </c>
    </row>
    <row r="986" spans="1:10" x14ac:dyDescent="0.3">
      <c r="A986">
        <v>51021819</v>
      </c>
      <c r="B986">
        <v>90</v>
      </c>
      <c r="C986">
        <v>10</v>
      </c>
      <c r="D986">
        <v>20</v>
      </c>
      <c r="E986" s="21">
        <f>D986/PARAMS_MODELO!$B$28</f>
        <v>0.66666666666666663</v>
      </c>
      <c r="F986">
        <v>46</v>
      </c>
      <c r="G986">
        <v>88</v>
      </c>
      <c r="H986">
        <v>14</v>
      </c>
      <c r="I986" s="20">
        <f t="shared" si="15"/>
        <v>0.15909090909090909</v>
      </c>
      <c r="J986" s="21">
        <f>(IFERROR(_xlfn.PERCENTRANK.INC($B$2:$B$1194,B986)*100,0)*PARAMS_MODELO!$B$25)+(IFERROR(_xlfn.PERCENTRANK.INC($C$2:$C$1194,C986)*100,0)*PARAMS_MODELO!$B$26)+(IFERROR(_xlfn.PERCENTRANK.INC($E$2:$E$1194,E986)*100,0)*PARAMS_MODELO!$B$27)+(IFERROR(_xlfn.PERCENTRANK.INC($F$2:$F$1194,F986)*100,0)*PARAMS_MODELO!$B$29)+(IFERROR(_xlfn.PERCENTRANK.INC($I$2:$I$1194,I986)*100,0)*PARAMS_MODELO!$B$31)</f>
        <v>48.015000000000001</v>
      </c>
    </row>
    <row r="987" spans="1:10" x14ac:dyDescent="0.3">
      <c r="A987">
        <v>51011171</v>
      </c>
      <c r="B987">
        <v>88</v>
      </c>
      <c r="C987">
        <v>23</v>
      </c>
      <c r="D987">
        <v>56</v>
      </c>
      <c r="E987" s="21">
        <f>D987/PARAMS_MODELO!$B$28</f>
        <v>1.8666666666666667</v>
      </c>
      <c r="F987">
        <v>74</v>
      </c>
      <c r="G987">
        <v>41</v>
      </c>
      <c r="H987">
        <v>3</v>
      </c>
      <c r="I987" s="20">
        <f t="shared" si="15"/>
        <v>7.3170731707317069E-2</v>
      </c>
      <c r="J987" s="21">
        <f>(IFERROR(_xlfn.PERCENTRANK.INC($B$2:$B$1194,B987)*100,0)*PARAMS_MODELO!$B$25)+(IFERROR(_xlfn.PERCENTRANK.INC($C$2:$C$1194,C987)*100,0)*PARAMS_MODELO!$B$26)+(IFERROR(_xlfn.PERCENTRANK.INC($E$2:$E$1194,E987)*100,0)*PARAMS_MODELO!$B$27)+(IFERROR(_xlfn.PERCENTRANK.INC($F$2:$F$1194,F987)*100,0)*PARAMS_MODELO!$B$29)+(IFERROR(_xlfn.PERCENTRANK.INC($I$2:$I$1194,I987)*100,0)*PARAMS_MODELO!$B$31)</f>
        <v>70.594999999999999</v>
      </c>
    </row>
    <row r="988" spans="1:10" x14ac:dyDescent="0.3">
      <c r="A988">
        <v>51012470</v>
      </c>
      <c r="B988">
        <v>27</v>
      </c>
      <c r="C988">
        <v>17</v>
      </c>
      <c r="D988">
        <v>15</v>
      </c>
      <c r="E988" s="21">
        <f>D988/PARAMS_MODELO!$B$28</f>
        <v>0.5</v>
      </c>
      <c r="F988">
        <v>2</v>
      </c>
      <c r="G988">
        <v>62</v>
      </c>
      <c r="H988">
        <v>7</v>
      </c>
      <c r="I988" s="20">
        <f t="shared" si="15"/>
        <v>0.11290322580645161</v>
      </c>
      <c r="J988" s="21">
        <f>(IFERROR(_xlfn.PERCENTRANK.INC($B$2:$B$1194,B988)*100,0)*PARAMS_MODELO!$B$25)+(IFERROR(_xlfn.PERCENTRANK.INC($C$2:$C$1194,C988)*100,0)*PARAMS_MODELO!$B$26)+(IFERROR(_xlfn.PERCENTRANK.INC($E$2:$E$1194,E988)*100,0)*PARAMS_MODELO!$B$27)+(IFERROR(_xlfn.PERCENTRANK.INC($F$2:$F$1194,F988)*100,0)*PARAMS_MODELO!$B$29)+(IFERROR(_xlfn.PERCENTRANK.INC($I$2:$I$1194,I988)*100,0)*PARAMS_MODELO!$B$31)</f>
        <v>28.024999999999999</v>
      </c>
    </row>
    <row r="989" spans="1:10" x14ac:dyDescent="0.3">
      <c r="A989">
        <v>51032713</v>
      </c>
      <c r="B989">
        <v>53</v>
      </c>
      <c r="C989">
        <v>7</v>
      </c>
      <c r="D989">
        <v>66</v>
      </c>
      <c r="E989" s="21">
        <f>D989/PARAMS_MODELO!$B$28</f>
        <v>2.2000000000000002</v>
      </c>
      <c r="F989">
        <v>63</v>
      </c>
      <c r="G989">
        <v>20</v>
      </c>
      <c r="H989">
        <v>12</v>
      </c>
      <c r="I989" s="20">
        <f t="shared" si="15"/>
        <v>0.6</v>
      </c>
      <c r="J989" s="21">
        <f>(IFERROR(_xlfn.PERCENTRANK.INC($B$2:$B$1194,B989)*100,0)*PARAMS_MODELO!$B$25)+(IFERROR(_xlfn.PERCENTRANK.INC($C$2:$C$1194,C989)*100,0)*PARAMS_MODELO!$B$26)+(IFERROR(_xlfn.PERCENTRANK.INC($E$2:$E$1194,E989)*100,0)*PARAMS_MODELO!$B$27)+(IFERROR(_xlfn.PERCENTRANK.INC($F$2:$F$1194,F989)*100,0)*PARAMS_MODELO!$B$29)+(IFERROR(_xlfn.PERCENTRANK.INC($I$2:$I$1194,I989)*100,0)*PARAMS_MODELO!$B$31)</f>
        <v>50.384999999999998</v>
      </c>
    </row>
    <row r="990" spans="1:10" x14ac:dyDescent="0.3">
      <c r="A990">
        <v>51010744</v>
      </c>
      <c r="B990">
        <v>42</v>
      </c>
      <c r="C990">
        <v>14</v>
      </c>
      <c r="D990">
        <v>61</v>
      </c>
      <c r="E990" s="21">
        <f>D990/PARAMS_MODELO!$B$28</f>
        <v>2.0333333333333332</v>
      </c>
      <c r="F990">
        <v>48</v>
      </c>
      <c r="G990">
        <v>62</v>
      </c>
      <c r="H990">
        <v>28</v>
      </c>
      <c r="I990" s="20">
        <f t="shared" si="15"/>
        <v>0.45161290322580644</v>
      </c>
      <c r="J990" s="21">
        <f>(IFERROR(_xlfn.PERCENTRANK.INC($B$2:$B$1194,B990)*100,0)*PARAMS_MODELO!$B$25)+(IFERROR(_xlfn.PERCENTRANK.INC($C$2:$C$1194,C990)*100,0)*PARAMS_MODELO!$B$26)+(IFERROR(_xlfn.PERCENTRANK.INC($E$2:$E$1194,E990)*100,0)*PARAMS_MODELO!$B$27)+(IFERROR(_xlfn.PERCENTRANK.INC($F$2:$F$1194,F990)*100,0)*PARAMS_MODELO!$B$29)+(IFERROR(_xlfn.PERCENTRANK.INC($I$2:$I$1194,I990)*100,0)*PARAMS_MODELO!$B$31)</f>
        <v>49.09</v>
      </c>
    </row>
    <row r="991" spans="1:10" x14ac:dyDescent="0.3">
      <c r="A991">
        <v>51057546</v>
      </c>
      <c r="B991">
        <v>93</v>
      </c>
      <c r="C991">
        <v>23</v>
      </c>
      <c r="D991">
        <v>50</v>
      </c>
      <c r="E991" s="21">
        <f>D991/PARAMS_MODELO!$B$28</f>
        <v>1.6666666666666667</v>
      </c>
      <c r="F991">
        <v>77</v>
      </c>
      <c r="G991">
        <v>7</v>
      </c>
      <c r="H991">
        <v>4</v>
      </c>
      <c r="I991" s="20">
        <f t="shared" si="15"/>
        <v>0.5714285714285714</v>
      </c>
      <c r="J991" s="21">
        <f>(IFERROR(_xlfn.PERCENTRANK.INC($B$2:$B$1194,B991)*100,0)*PARAMS_MODELO!$B$25)+(IFERROR(_xlfn.PERCENTRANK.INC($C$2:$C$1194,C991)*100,0)*PARAMS_MODELO!$B$26)+(IFERROR(_xlfn.PERCENTRANK.INC($E$2:$E$1194,E991)*100,0)*PARAMS_MODELO!$B$27)+(IFERROR(_xlfn.PERCENTRANK.INC($F$2:$F$1194,F991)*100,0)*PARAMS_MODELO!$B$29)+(IFERROR(_xlfn.PERCENTRANK.INC($I$2:$I$1194,I991)*100,0)*PARAMS_MODELO!$B$31)</f>
        <v>76.125000000000014</v>
      </c>
    </row>
    <row r="992" spans="1:10" x14ac:dyDescent="0.3">
      <c r="A992">
        <v>51023889</v>
      </c>
      <c r="B992">
        <v>68</v>
      </c>
      <c r="C992">
        <v>10</v>
      </c>
      <c r="D992">
        <v>34</v>
      </c>
      <c r="E992" s="21">
        <f>D992/PARAMS_MODELO!$B$28</f>
        <v>1.1333333333333333</v>
      </c>
      <c r="F992">
        <v>100</v>
      </c>
      <c r="G992">
        <v>23</v>
      </c>
      <c r="H992">
        <v>3</v>
      </c>
      <c r="I992" s="20">
        <f t="shared" si="15"/>
        <v>0.13043478260869565</v>
      </c>
      <c r="J992" s="21">
        <f>(IFERROR(_xlfn.PERCENTRANK.INC($B$2:$B$1194,B992)*100,0)*PARAMS_MODELO!$B$25)+(IFERROR(_xlfn.PERCENTRANK.INC($C$2:$C$1194,C992)*100,0)*PARAMS_MODELO!$B$26)+(IFERROR(_xlfn.PERCENTRANK.INC($E$2:$E$1194,E992)*100,0)*PARAMS_MODELO!$B$27)+(IFERROR(_xlfn.PERCENTRANK.INC($F$2:$F$1194,F992)*100,0)*PARAMS_MODELO!$B$29)+(IFERROR(_xlfn.PERCENTRANK.INC($I$2:$I$1194,I992)*100,0)*PARAMS_MODELO!$B$31)</f>
        <v>51.940000000000005</v>
      </c>
    </row>
    <row r="993" spans="1:10" x14ac:dyDescent="0.3">
      <c r="A993">
        <v>51031041</v>
      </c>
      <c r="B993">
        <v>8</v>
      </c>
      <c r="C993">
        <v>10</v>
      </c>
      <c r="D993">
        <v>91</v>
      </c>
      <c r="E993" s="21">
        <f>D993/PARAMS_MODELO!$B$28</f>
        <v>3.0333333333333332</v>
      </c>
      <c r="F993">
        <v>33</v>
      </c>
      <c r="G993">
        <v>8</v>
      </c>
      <c r="H993">
        <v>6</v>
      </c>
      <c r="I993" s="20">
        <f t="shared" si="15"/>
        <v>0.75</v>
      </c>
      <c r="J993" s="21">
        <f>(IFERROR(_xlfn.PERCENTRANK.INC($B$2:$B$1194,B993)*100,0)*PARAMS_MODELO!$B$25)+(IFERROR(_xlfn.PERCENTRANK.INC($C$2:$C$1194,C993)*100,0)*PARAMS_MODELO!$B$26)+(IFERROR(_xlfn.PERCENTRANK.INC($E$2:$E$1194,E993)*100,0)*PARAMS_MODELO!$B$27)+(IFERROR(_xlfn.PERCENTRANK.INC($F$2:$F$1194,F993)*100,0)*PARAMS_MODELO!$B$29)+(IFERROR(_xlfn.PERCENTRANK.INC($I$2:$I$1194,I993)*100,0)*PARAMS_MODELO!$B$31)</f>
        <v>42.16</v>
      </c>
    </row>
    <row r="994" spans="1:10" x14ac:dyDescent="0.3">
      <c r="A994">
        <v>51022262</v>
      </c>
      <c r="B994">
        <v>7</v>
      </c>
      <c r="C994">
        <v>12</v>
      </c>
      <c r="D994">
        <v>67</v>
      </c>
      <c r="E994" s="21">
        <f>D994/PARAMS_MODELO!$B$28</f>
        <v>2.2333333333333334</v>
      </c>
      <c r="F994">
        <v>92</v>
      </c>
      <c r="G994">
        <v>28</v>
      </c>
      <c r="H994">
        <v>17</v>
      </c>
      <c r="I994" s="20">
        <f t="shared" si="15"/>
        <v>0.6071428571428571</v>
      </c>
      <c r="J994" s="21">
        <f>(IFERROR(_xlfn.PERCENTRANK.INC($B$2:$B$1194,B994)*100,0)*PARAMS_MODELO!$B$25)+(IFERROR(_xlfn.PERCENTRANK.INC($C$2:$C$1194,C994)*100,0)*PARAMS_MODELO!$B$26)+(IFERROR(_xlfn.PERCENTRANK.INC($E$2:$E$1194,E994)*100,0)*PARAMS_MODELO!$B$27)+(IFERROR(_xlfn.PERCENTRANK.INC($F$2:$F$1194,F994)*100,0)*PARAMS_MODELO!$B$29)+(IFERROR(_xlfn.PERCENTRANK.INC($I$2:$I$1194,I994)*100,0)*PARAMS_MODELO!$B$31)</f>
        <v>46.260000000000005</v>
      </c>
    </row>
    <row r="995" spans="1:10" x14ac:dyDescent="0.3">
      <c r="A995">
        <v>51017731</v>
      </c>
      <c r="B995">
        <v>27</v>
      </c>
      <c r="C995">
        <v>11</v>
      </c>
      <c r="D995">
        <v>83</v>
      </c>
      <c r="E995" s="21">
        <f>D995/PARAMS_MODELO!$B$28</f>
        <v>2.7666666666666666</v>
      </c>
      <c r="F995">
        <v>1</v>
      </c>
      <c r="G995">
        <v>14</v>
      </c>
      <c r="H995">
        <v>7</v>
      </c>
      <c r="I995" s="20">
        <f t="shared" si="15"/>
        <v>0.5</v>
      </c>
      <c r="J995" s="21">
        <f>(IFERROR(_xlfn.PERCENTRANK.INC($B$2:$B$1194,B995)*100,0)*PARAMS_MODELO!$B$25)+(IFERROR(_xlfn.PERCENTRANK.INC($C$2:$C$1194,C995)*100,0)*PARAMS_MODELO!$B$26)+(IFERROR(_xlfn.PERCENTRANK.INC($E$2:$E$1194,E995)*100,0)*PARAMS_MODELO!$B$27)+(IFERROR(_xlfn.PERCENTRANK.INC($F$2:$F$1194,F995)*100,0)*PARAMS_MODELO!$B$29)+(IFERROR(_xlfn.PERCENTRANK.INC($I$2:$I$1194,I995)*100,0)*PARAMS_MODELO!$B$31)</f>
        <v>39.53</v>
      </c>
    </row>
    <row r="996" spans="1:10" x14ac:dyDescent="0.3">
      <c r="A996">
        <v>51000269</v>
      </c>
      <c r="B996">
        <v>83</v>
      </c>
      <c r="C996">
        <v>18</v>
      </c>
      <c r="D996">
        <v>73</v>
      </c>
      <c r="E996" s="21">
        <f>D996/PARAMS_MODELO!$B$28</f>
        <v>2.4333333333333331</v>
      </c>
      <c r="F996">
        <v>26</v>
      </c>
      <c r="G996">
        <v>13</v>
      </c>
      <c r="H996">
        <v>3</v>
      </c>
      <c r="I996" s="20">
        <f t="shared" si="15"/>
        <v>0.23076923076923078</v>
      </c>
      <c r="J996" s="21">
        <f>(IFERROR(_xlfn.PERCENTRANK.INC($B$2:$B$1194,B996)*100,0)*PARAMS_MODELO!$B$25)+(IFERROR(_xlfn.PERCENTRANK.INC($C$2:$C$1194,C996)*100,0)*PARAMS_MODELO!$B$26)+(IFERROR(_xlfn.PERCENTRANK.INC($E$2:$E$1194,E996)*100,0)*PARAMS_MODELO!$B$27)+(IFERROR(_xlfn.PERCENTRANK.INC($F$2:$F$1194,F996)*100,0)*PARAMS_MODELO!$B$29)+(IFERROR(_xlfn.PERCENTRANK.INC($I$2:$I$1194,I996)*100,0)*PARAMS_MODELO!$B$31)</f>
        <v>61.52</v>
      </c>
    </row>
    <row r="997" spans="1:10" x14ac:dyDescent="0.3">
      <c r="A997">
        <v>51000862</v>
      </c>
      <c r="B997">
        <v>5</v>
      </c>
      <c r="C997">
        <v>25</v>
      </c>
      <c r="D997">
        <v>23</v>
      </c>
      <c r="E997" s="21">
        <f>D997/PARAMS_MODELO!$B$28</f>
        <v>0.76666666666666672</v>
      </c>
      <c r="F997">
        <v>27</v>
      </c>
      <c r="G997">
        <v>98</v>
      </c>
      <c r="H997">
        <v>93</v>
      </c>
      <c r="I997" s="20">
        <f t="shared" si="15"/>
        <v>0.94897959183673475</v>
      </c>
      <c r="J997" s="21">
        <f>(IFERROR(_xlfn.PERCENTRANK.INC($B$2:$B$1194,B997)*100,0)*PARAMS_MODELO!$B$25)+(IFERROR(_xlfn.PERCENTRANK.INC($C$2:$C$1194,C997)*100,0)*PARAMS_MODELO!$B$26)+(IFERROR(_xlfn.PERCENTRANK.INC($E$2:$E$1194,E997)*100,0)*PARAMS_MODELO!$B$27)+(IFERROR(_xlfn.PERCENTRANK.INC($F$2:$F$1194,F997)*100,0)*PARAMS_MODELO!$B$29)+(IFERROR(_xlfn.PERCENTRANK.INC($I$2:$I$1194,I997)*100,0)*PARAMS_MODELO!$B$31)</f>
        <v>42.95</v>
      </c>
    </row>
    <row r="998" spans="1:10" x14ac:dyDescent="0.3">
      <c r="A998">
        <v>51001494</v>
      </c>
      <c r="B998">
        <v>6</v>
      </c>
      <c r="C998">
        <v>7</v>
      </c>
      <c r="D998">
        <v>21</v>
      </c>
      <c r="E998" s="21">
        <f>D998/PARAMS_MODELO!$B$28</f>
        <v>0.7</v>
      </c>
      <c r="F998">
        <v>56</v>
      </c>
      <c r="G998">
        <v>53</v>
      </c>
      <c r="H998">
        <v>36</v>
      </c>
      <c r="I998" s="20">
        <f t="shared" si="15"/>
        <v>0.67924528301886788</v>
      </c>
      <c r="J998" s="21">
        <f>(IFERROR(_xlfn.PERCENTRANK.INC($B$2:$B$1194,B998)*100,0)*PARAMS_MODELO!$B$25)+(IFERROR(_xlfn.PERCENTRANK.INC($C$2:$C$1194,C998)*100,0)*PARAMS_MODELO!$B$26)+(IFERROR(_xlfn.PERCENTRANK.INC($E$2:$E$1194,E998)*100,0)*PARAMS_MODELO!$B$27)+(IFERROR(_xlfn.PERCENTRANK.INC($F$2:$F$1194,F998)*100,0)*PARAMS_MODELO!$B$29)+(IFERROR(_xlfn.PERCENTRANK.INC($I$2:$I$1194,I998)*100,0)*PARAMS_MODELO!$B$31)</f>
        <v>27.495000000000005</v>
      </c>
    </row>
    <row r="999" spans="1:10" x14ac:dyDescent="0.3">
      <c r="A999">
        <v>51001745</v>
      </c>
      <c r="B999">
        <v>84</v>
      </c>
      <c r="C999">
        <v>17</v>
      </c>
      <c r="D999">
        <v>94</v>
      </c>
      <c r="E999" s="21">
        <f>D999/PARAMS_MODELO!$B$28</f>
        <v>3.1333333333333333</v>
      </c>
      <c r="F999">
        <v>4</v>
      </c>
      <c r="G999">
        <v>91</v>
      </c>
      <c r="H999">
        <v>86</v>
      </c>
      <c r="I999" s="20">
        <f t="shared" si="15"/>
        <v>0.94505494505494503</v>
      </c>
      <c r="J999" s="21">
        <f>(IFERROR(_xlfn.PERCENTRANK.INC($B$2:$B$1194,B999)*100,0)*PARAMS_MODELO!$B$25)+(IFERROR(_xlfn.PERCENTRANK.INC($C$2:$C$1194,C999)*100,0)*PARAMS_MODELO!$B$26)+(IFERROR(_xlfn.PERCENTRANK.INC($E$2:$E$1194,E999)*100,0)*PARAMS_MODELO!$B$27)+(IFERROR(_xlfn.PERCENTRANK.INC($F$2:$F$1194,F999)*100,0)*PARAMS_MODELO!$B$29)+(IFERROR(_xlfn.PERCENTRANK.INC($I$2:$I$1194,I999)*100,0)*PARAMS_MODELO!$B$31)</f>
        <v>68.84</v>
      </c>
    </row>
    <row r="1000" spans="1:10" x14ac:dyDescent="0.3">
      <c r="A1000">
        <v>51001923</v>
      </c>
      <c r="B1000">
        <v>55</v>
      </c>
      <c r="C1000">
        <v>7</v>
      </c>
      <c r="D1000">
        <v>20</v>
      </c>
      <c r="E1000" s="21">
        <f>D1000/PARAMS_MODELO!$B$28</f>
        <v>0.66666666666666663</v>
      </c>
      <c r="F1000">
        <v>5</v>
      </c>
      <c r="G1000">
        <v>44</v>
      </c>
      <c r="H1000">
        <v>14</v>
      </c>
      <c r="I1000" s="20">
        <f t="shared" si="15"/>
        <v>0.31818181818181818</v>
      </c>
      <c r="J1000" s="21">
        <f>(IFERROR(_xlfn.PERCENTRANK.INC($B$2:$B$1194,B1000)*100,0)*PARAMS_MODELO!$B$25)+(IFERROR(_xlfn.PERCENTRANK.INC($C$2:$C$1194,C1000)*100,0)*PARAMS_MODELO!$B$26)+(IFERROR(_xlfn.PERCENTRANK.INC($E$2:$E$1194,E1000)*100,0)*PARAMS_MODELO!$B$27)+(IFERROR(_xlfn.PERCENTRANK.INC($F$2:$F$1194,F1000)*100,0)*PARAMS_MODELO!$B$29)+(IFERROR(_xlfn.PERCENTRANK.INC($I$2:$I$1194,I1000)*100,0)*PARAMS_MODELO!$B$31)</f>
        <v>30.494999999999997</v>
      </c>
    </row>
    <row r="1001" spans="1:10" x14ac:dyDescent="0.3">
      <c r="A1001">
        <v>51003721</v>
      </c>
      <c r="B1001">
        <v>56</v>
      </c>
      <c r="C1001">
        <v>25</v>
      </c>
      <c r="D1001">
        <v>53</v>
      </c>
      <c r="E1001" s="21">
        <f>D1001/PARAMS_MODELO!$B$28</f>
        <v>1.7666666666666666</v>
      </c>
      <c r="F1001">
        <v>53</v>
      </c>
      <c r="G1001">
        <v>45</v>
      </c>
      <c r="H1001">
        <v>9</v>
      </c>
      <c r="I1001" s="20">
        <f t="shared" si="15"/>
        <v>0.2</v>
      </c>
      <c r="J1001" s="21">
        <f>(IFERROR(_xlfn.PERCENTRANK.INC($B$2:$B$1194,B1001)*100,0)*PARAMS_MODELO!$B$25)+(IFERROR(_xlfn.PERCENTRANK.INC($C$2:$C$1194,C1001)*100,0)*PARAMS_MODELO!$B$26)+(IFERROR(_xlfn.PERCENTRANK.INC($E$2:$E$1194,E1001)*100,0)*PARAMS_MODELO!$B$27)+(IFERROR(_xlfn.PERCENTRANK.INC($F$2:$F$1194,F1001)*100,0)*PARAMS_MODELO!$B$29)+(IFERROR(_xlfn.PERCENTRANK.INC($I$2:$I$1194,I1001)*100,0)*PARAMS_MODELO!$B$31)</f>
        <v>60.945</v>
      </c>
    </row>
    <row r="1002" spans="1:10" x14ac:dyDescent="0.3">
      <c r="A1002">
        <v>51004167</v>
      </c>
      <c r="B1002">
        <v>91</v>
      </c>
      <c r="C1002">
        <v>16</v>
      </c>
      <c r="D1002">
        <v>39</v>
      </c>
      <c r="E1002" s="21">
        <f>D1002/PARAMS_MODELO!$B$28</f>
        <v>1.3</v>
      </c>
      <c r="F1002">
        <v>83</v>
      </c>
      <c r="G1002">
        <v>37</v>
      </c>
      <c r="H1002">
        <v>26</v>
      </c>
      <c r="I1002" s="20">
        <f t="shared" si="15"/>
        <v>0.70270270270270274</v>
      </c>
      <c r="J1002" s="21">
        <f>(IFERROR(_xlfn.PERCENTRANK.INC($B$2:$B$1194,B1002)*100,0)*PARAMS_MODELO!$B$25)+(IFERROR(_xlfn.PERCENTRANK.INC($C$2:$C$1194,C1002)*100,0)*PARAMS_MODELO!$B$26)+(IFERROR(_xlfn.PERCENTRANK.INC($E$2:$E$1194,E1002)*100,0)*PARAMS_MODELO!$B$27)+(IFERROR(_xlfn.PERCENTRANK.INC($F$2:$F$1194,F1002)*100,0)*PARAMS_MODELO!$B$29)+(IFERROR(_xlfn.PERCENTRANK.INC($I$2:$I$1194,I1002)*100,0)*PARAMS_MODELO!$B$31)</f>
        <v>68.39500000000001</v>
      </c>
    </row>
    <row r="1003" spans="1:10" x14ac:dyDescent="0.3">
      <c r="A1003">
        <v>51004671</v>
      </c>
      <c r="B1003">
        <v>71</v>
      </c>
      <c r="C1003">
        <v>13</v>
      </c>
      <c r="D1003">
        <v>24</v>
      </c>
      <c r="E1003" s="21">
        <f>D1003/PARAMS_MODELO!$B$28</f>
        <v>0.8</v>
      </c>
      <c r="F1003">
        <v>31</v>
      </c>
      <c r="G1003">
        <v>78</v>
      </c>
      <c r="H1003">
        <v>14</v>
      </c>
      <c r="I1003" s="20">
        <f t="shared" si="15"/>
        <v>0.17948717948717949</v>
      </c>
      <c r="J1003" s="21">
        <f>(IFERROR(_xlfn.PERCENTRANK.INC($B$2:$B$1194,B1003)*100,0)*PARAMS_MODELO!$B$25)+(IFERROR(_xlfn.PERCENTRANK.INC($C$2:$C$1194,C1003)*100,0)*PARAMS_MODELO!$B$26)+(IFERROR(_xlfn.PERCENTRANK.INC($E$2:$E$1194,E1003)*100,0)*PARAMS_MODELO!$B$27)+(IFERROR(_xlfn.PERCENTRANK.INC($F$2:$F$1194,F1003)*100,0)*PARAMS_MODELO!$B$29)+(IFERROR(_xlfn.PERCENTRANK.INC($I$2:$I$1194,I1003)*100,0)*PARAMS_MODELO!$B$31)</f>
        <v>44.05</v>
      </c>
    </row>
    <row r="1004" spans="1:10" x14ac:dyDescent="0.3">
      <c r="A1004">
        <v>51005058</v>
      </c>
      <c r="B1004">
        <v>90</v>
      </c>
      <c r="C1004">
        <v>25</v>
      </c>
      <c r="D1004">
        <v>8</v>
      </c>
      <c r="E1004" s="21">
        <f>D1004/PARAMS_MODELO!$B$28</f>
        <v>0.26666666666666666</v>
      </c>
      <c r="F1004">
        <v>59</v>
      </c>
      <c r="G1004">
        <v>93</v>
      </c>
      <c r="H1004">
        <v>57</v>
      </c>
      <c r="I1004" s="20">
        <f t="shared" si="15"/>
        <v>0.61290322580645162</v>
      </c>
      <c r="J1004" s="21">
        <f>(IFERROR(_xlfn.PERCENTRANK.INC($B$2:$B$1194,B1004)*100,0)*PARAMS_MODELO!$B$25)+(IFERROR(_xlfn.PERCENTRANK.INC($C$2:$C$1194,C1004)*100,0)*PARAMS_MODELO!$B$26)+(IFERROR(_xlfn.PERCENTRANK.INC($E$2:$E$1194,E1004)*100,0)*PARAMS_MODELO!$B$27)+(IFERROR(_xlfn.PERCENTRANK.INC($F$2:$F$1194,F1004)*100,0)*PARAMS_MODELO!$B$29)+(IFERROR(_xlfn.PERCENTRANK.INC($I$2:$I$1194,I1004)*100,0)*PARAMS_MODELO!$B$31)</f>
        <v>66.454999999999998</v>
      </c>
    </row>
    <row r="1005" spans="1:10" x14ac:dyDescent="0.3">
      <c r="A1005">
        <v>51005201</v>
      </c>
      <c r="B1005">
        <v>12</v>
      </c>
      <c r="C1005">
        <v>19</v>
      </c>
      <c r="D1005">
        <v>48</v>
      </c>
      <c r="E1005" s="21">
        <f>D1005/PARAMS_MODELO!$B$28</f>
        <v>1.6</v>
      </c>
      <c r="F1005">
        <v>100</v>
      </c>
      <c r="G1005">
        <v>76</v>
      </c>
      <c r="H1005">
        <v>17</v>
      </c>
      <c r="I1005" s="20">
        <f t="shared" si="15"/>
        <v>0.22368421052631579</v>
      </c>
      <c r="J1005" s="21">
        <f>(IFERROR(_xlfn.PERCENTRANK.INC($B$2:$B$1194,B1005)*100,0)*PARAMS_MODELO!$B$25)+(IFERROR(_xlfn.PERCENTRANK.INC($C$2:$C$1194,C1005)*100,0)*PARAMS_MODELO!$B$26)+(IFERROR(_xlfn.PERCENTRANK.INC($E$2:$E$1194,E1005)*100,0)*PARAMS_MODELO!$B$27)+(IFERROR(_xlfn.PERCENTRANK.INC($F$2:$F$1194,F1005)*100,0)*PARAMS_MODELO!$B$29)+(IFERROR(_xlfn.PERCENTRANK.INC($I$2:$I$1194,I1005)*100,0)*PARAMS_MODELO!$B$31)</f>
        <v>48.475000000000001</v>
      </c>
    </row>
    <row r="1006" spans="1:10" x14ac:dyDescent="0.3">
      <c r="A1006">
        <v>51005384</v>
      </c>
      <c r="B1006">
        <v>21</v>
      </c>
      <c r="C1006">
        <v>6</v>
      </c>
      <c r="D1006">
        <v>68</v>
      </c>
      <c r="E1006" s="21">
        <f>D1006/PARAMS_MODELO!$B$28</f>
        <v>2.2666666666666666</v>
      </c>
      <c r="F1006">
        <v>68</v>
      </c>
      <c r="G1006">
        <v>51</v>
      </c>
      <c r="H1006">
        <v>17</v>
      </c>
      <c r="I1006" s="20">
        <f t="shared" si="15"/>
        <v>0.33333333333333331</v>
      </c>
      <c r="J1006" s="21">
        <f>(IFERROR(_xlfn.PERCENTRANK.INC($B$2:$B$1194,B1006)*100,0)*PARAMS_MODELO!$B$25)+(IFERROR(_xlfn.PERCENTRANK.INC($C$2:$C$1194,C1006)*100,0)*PARAMS_MODELO!$B$26)+(IFERROR(_xlfn.PERCENTRANK.INC($E$2:$E$1194,E1006)*100,0)*PARAMS_MODELO!$B$27)+(IFERROR(_xlfn.PERCENTRANK.INC($F$2:$F$1194,F1006)*100,0)*PARAMS_MODELO!$B$29)+(IFERROR(_xlfn.PERCENTRANK.INC($I$2:$I$1194,I1006)*100,0)*PARAMS_MODELO!$B$31)</f>
        <v>38.559999999999995</v>
      </c>
    </row>
    <row r="1007" spans="1:10" x14ac:dyDescent="0.3">
      <c r="A1007">
        <v>51005902</v>
      </c>
      <c r="B1007">
        <v>63</v>
      </c>
      <c r="C1007">
        <v>13</v>
      </c>
      <c r="D1007">
        <v>26</v>
      </c>
      <c r="E1007" s="21">
        <f>D1007/PARAMS_MODELO!$B$28</f>
        <v>0.8666666666666667</v>
      </c>
      <c r="F1007">
        <v>87</v>
      </c>
      <c r="G1007">
        <v>44</v>
      </c>
      <c r="H1007">
        <v>29</v>
      </c>
      <c r="I1007" s="20">
        <f t="shared" si="15"/>
        <v>0.65909090909090906</v>
      </c>
      <c r="J1007" s="21">
        <f>(IFERROR(_xlfn.PERCENTRANK.INC($B$2:$B$1194,B1007)*100,0)*PARAMS_MODELO!$B$25)+(IFERROR(_xlfn.PERCENTRANK.INC($C$2:$C$1194,C1007)*100,0)*PARAMS_MODELO!$B$26)+(IFERROR(_xlfn.PERCENTRANK.INC($E$2:$E$1194,E1007)*100,0)*PARAMS_MODELO!$B$27)+(IFERROR(_xlfn.PERCENTRANK.INC($F$2:$F$1194,F1007)*100,0)*PARAMS_MODELO!$B$29)+(IFERROR(_xlfn.PERCENTRANK.INC($I$2:$I$1194,I1007)*100,0)*PARAMS_MODELO!$B$31)</f>
        <v>54.615000000000002</v>
      </c>
    </row>
    <row r="1008" spans="1:10" x14ac:dyDescent="0.3">
      <c r="A1008">
        <v>51006445</v>
      </c>
      <c r="B1008">
        <v>67</v>
      </c>
      <c r="C1008">
        <v>7</v>
      </c>
      <c r="D1008">
        <v>35</v>
      </c>
      <c r="E1008" s="21">
        <f>D1008/PARAMS_MODELO!$B$28</f>
        <v>1.1666666666666667</v>
      </c>
      <c r="F1008">
        <v>15</v>
      </c>
      <c r="G1008">
        <v>96</v>
      </c>
      <c r="H1008">
        <v>84</v>
      </c>
      <c r="I1008" s="20">
        <f t="shared" si="15"/>
        <v>0.875</v>
      </c>
      <c r="J1008" s="21">
        <f>(IFERROR(_xlfn.PERCENTRANK.INC($B$2:$B$1194,B1008)*100,0)*PARAMS_MODELO!$B$25)+(IFERROR(_xlfn.PERCENTRANK.INC($C$2:$C$1194,C1008)*100,0)*PARAMS_MODELO!$B$26)+(IFERROR(_xlfn.PERCENTRANK.INC($E$2:$E$1194,E1008)*100,0)*PARAMS_MODELO!$B$27)+(IFERROR(_xlfn.PERCENTRANK.INC($F$2:$F$1194,F1008)*100,0)*PARAMS_MODELO!$B$29)+(IFERROR(_xlfn.PERCENTRANK.INC($I$2:$I$1194,I1008)*100,0)*PARAMS_MODELO!$B$31)</f>
        <v>43.744999999999997</v>
      </c>
    </row>
    <row r="1009" spans="1:10" x14ac:dyDescent="0.3">
      <c r="A1009">
        <v>51006453</v>
      </c>
      <c r="B1009">
        <v>2</v>
      </c>
      <c r="C1009">
        <v>24</v>
      </c>
      <c r="D1009">
        <v>71</v>
      </c>
      <c r="E1009" s="21">
        <f>D1009/PARAMS_MODELO!$B$28</f>
        <v>2.3666666666666667</v>
      </c>
      <c r="F1009">
        <v>92</v>
      </c>
      <c r="G1009">
        <v>36</v>
      </c>
      <c r="H1009">
        <v>25</v>
      </c>
      <c r="I1009" s="20">
        <f t="shared" si="15"/>
        <v>0.69444444444444442</v>
      </c>
      <c r="J1009" s="21">
        <f>(IFERROR(_xlfn.PERCENTRANK.INC($B$2:$B$1194,B1009)*100,0)*PARAMS_MODELO!$B$25)+(IFERROR(_xlfn.PERCENTRANK.INC($C$2:$C$1194,C1009)*100,0)*PARAMS_MODELO!$B$26)+(IFERROR(_xlfn.PERCENTRANK.INC($E$2:$E$1194,E1009)*100,0)*PARAMS_MODELO!$B$27)+(IFERROR(_xlfn.PERCENTRANK.INC($F$2:$F$1194,F1009)*100,0)*PARAMS_MODELO!$B$29)+(IFERROR(_xlfn.PERCENTRANK.INC($I$2:$I$1194,I1009)*100,0)*PARAMS_MODELO!$B$31)</f>
        <v>57.904999999999994</v>
      </c>
    </row>
    <row r="1010" spans="1:10" x14ac:dyDescent="0.3">
      <c r="A1010">
        <v>51006518</v>
      </c>
      <c r="B1010">
        <v>74</v>
      </c>
      <c r="C1010">
        <v>11</v>
      </c>
      <c r="D1010">
        <v>98</v>
      </c>
      <c r="E1010" s="21">
        <f>D1010/PARAMS_MODELO!$B$28</f>
        <v>3.2666666666666666</v>
      </c>
      <c r="F1010">
        <v>36</v>
      </c>
      <c r="G1010">
        <v>83</v>
      </c>
      <c r="H1010">
        <v>28</v>
      </c>
      <c r="I1010" s="20">
        <f t="shared" si="15"/>
        <v>0.33734939759036142</v>
      </c>
      <c r="J1010" s="21">
        <f>(IFERROR(_xlfn.PERCENTRANK.INC($B$2:$B$1194,B1010)*100,0)*PARAMS_MODELO!$B$25)+(IFERROR(_xlfn.PERCENTRANK.INC($C$2:$C$1194,C1010)*100,0)*PARAMS_MODELO!$B$26)+(IFERROR(_xlfn.PERCENTRANK.INC($E$2:$E$1194,E1010)*100,0)*PARAMS_MODELO!$B$27)+(IFERROR(_xlfn.PERCENTRANK.INC($F$2:$F$1194,F1010)*100,0)*PARAMS_MODELO!$B$29)+(IFERROR(_xlfn.PERCENTRANK.INC($I$2:$I$1194,I1010)*100,0)*PARAMS_MODELO!$B$31)</f>
        <v>60.344999999999999</v>
      </c>
    </row>
    <row r="1011" spans="1:10" x14ac:dyDescent="0.3">
      <c r="A1011">
        <v>51006674</v>
      </c>
      <c r="B1011">
        <v>24</v>
      </c>
      <c r="C1011">
        <v>25</v>
      </c>
      <c r="D1011">
        <v>100</v>
      </c>
      <c r="E1011" s="21">
        <f>D1011/PARAMS_MODELO!$B$28</f>
        <v>3.3333333333333335</v>
      </c>
      <c r="F1011">
        <v>94</v>
      </c>
      <c r="G1011">
        <v>65</v>
      </c>
      <c r="H1011">
        <v>60</v>
      </c>
      <c r="I1011" s="20">
        <f t="shared" si="15"/>
        <v>0.92307692307692313</v>
      </c>
      <c r="J1011" s="21">
        <f>(IFERROR(_xlfn.PERCENTRANK.INC($B$2:$B$1194,B1011)*100,0)*PARAMS_MODELO!$B$25)+(IFERROR(_xlfn.PERCENTRANK.INC($C$2:$C$1194,C1011)*100,0)*PARAMS_MODELO!$B$26)+(IFERROR(_xlfn.PERCENTRANK.INC($E$2:$E$1194,E1011)*100,0)*PARAMS_MODELO!$B$27)+(IFERROR(_xlfn.PERCENTRANK.INC($F$2:$F$1194,F1011)*100,0)*PARAMS_MODELO!$B$29)+(IFERROR(_xlfn.PERCENTRANK.INC($I$2:$I$1194,I1011)*100,0)*PARAMS_MODELO!$B$31)</f>
        <v>73.784999999999997</v>
      </c>
    </row>
    <row r="1012" spans="1:10" x14ac:dyDescent="0.3">
      <c r="A1012">
        <v>51010094</v>
      </c>
      <c r="B1012">
        <v>65</v>
      </c>
      <c r="C1012">
        <v>25</v>
      </c>
      <c r="D1012">
        <v>31</v>
      </c>
      <c r="E1012" s="21">
        <f>D1012/PARAMS_MODELO!$B$28</f>
        <v>1.0333333333333334</v>
      </c>
      <c r="F1012">
        <v>35</v>
      </c>
      <c r="G1012">
        <v>53</v>
      </c>
      <c r="H1012">
        <v>7</v>
      </c>
      <c r="I1012" s="20">
        <f t="shared" si="15"/>
        <v>0.13207547169811321</v>
      </c>
      <c r="J1012" s="21">
        <f>(IFERROR(_xlfn.PERCENTRANK.INC($B$2:$B$1194,B1012)*100,0)*PARAMS_MODELO!$B$25)+(IFERROR(_xlfn.PERCENTRANK.INC($C$2:$C$1194,C1012)*100,0)*PARAMS_MODELO!$B$26)+(IFERROR(_xlfn.PERCENTRANK.INC($E$2:$E$1194,E1012)*100,0)*PARAMS_MODELO!$B$27)+(IFERROR(_xlfn.PERCENTRANK.INC($F$2:$F$1194,F1012)*100,0)*PARAMS_MODELO!$B$29)+(IFERROR(_xlfn.PERCENTRANK.INC($I$2:$I$1194,I1012)*100,0)*PARAMS_MODELO!$B$31)</f>
        <v>55.234999999999992</v>
      </c>
    </row>
    <row r="1013" spans="1:10" x14ac:dyDescent="0.3">
      <c r="A1013">
        <v>51010108</v>
      </c>
      <c r="B1013">
        <v>41</v>
      </c>
      <c r="C1013">
        <v>24</v>
      </c>
      <c r="D1013">
        <v>56</v>
      </c>
      <c r="E1013" s="21">
        <f>D1013/PARAMS_MODELO!$B$28</f>
        <v>1.8666666666666667</v>
      </c>
      <c r="F1013">
        <v>51</v>
      </c>
      <c r="G1013">
        <v>48</v>
      </c>
      <c r="H1013">
        <v>6</v>
      </c>
      <c r="I1013" s="20">
        <f t="shared" si="15"/>
        <v>0.125</v>
      </c>
      <c r="J1013" s="21">
        <f>(IFERROR(_xlfn.PERCENTRANK.INC($B$2:$B$1194,B1013)*100,0)*PARAMS_MODELO!$B$25)+(IFERROR(_xlfn.PERCENTRANK.INC($C$2:$C$1194,C1013)*100,0)*PARAMS_MODELO!$B$26)+(IFERROR(_xlfn.PERCENTRANK.INC($E$2:$E$1194,E1013)*100,0)*PARAMS_MODELO!$B$27)+(IFERROR(_xlfn.PERCENTRANK.INC($F$2:$F$1194,F1013)*100,0)*PARAMS_MODELO!$B$29)+(IFERROR(_xlfn.PERCENTRANK.INC($I$2:$I$1194,I1013)*100,0)*PARAMS_MODELO!$B$31)</f>
        <v>54.96</v>
      </c>
    </row>
    <row r="1014" spans="1:10" x14ac:dyDescent="0.3">
      <c r="A1014">
        <v>51010167</v>
      </c>
      <c r="B1014">
        <v>87</v>
      </c>
      <c r="C1014">
        <v>10</v>
      </c>
      <c r="D1014">
        <v>23</v>
      </c>
      <c r="E1014" s="21">
        <f>D1014/PARAMS_MODELO!$B$28</f>
        <v>0.76666666666666672</v>
      </c>
      <c r="F1014">
        <v>8</v>
      </c>
      <c r="G1014">
        <v>97</v>
      </c>
      <c r="H1014">
        <v>55</v>
      </c>
      <c r="I1014" s="20">
        <f t="shared" si="15"/>
        <v>0.5670103092783505</v>
      </c>
      <c r="J1014" s="21">
        <f>(IFERROR(_xlfn.PERCENTRANK.INC($B$2:$B$1194,B1014)*100,0)*PARAMS_MODELO!$B$25)+(IFERROR(_xlfn.PERCENTRANK.INC($C$2:$C$1194,C1014)*100,0)*PARAMS_MODELO!$B$26)+(IFERROR(_xlfn.PERCENTRANK.INC($E$2:$E$1194,E1014)*100,0)*PARAMS_MODELO!$B$27)+(IFERROR(_xlfn.PERCENTRANK.INC($F$2:$F$1194,F1014)*100,0)*PARAMS_MODELO!$B$29)+(IFERROR(_xlfn.PERCENTRANK.INC($I$2:$I$1194,I1014)*100,0)*PARAMS_MODELO!$B$31)</f>
        <v>45.934999999999995</v>
      </c>
    </row>
    <row r="1015" spans="1:10" x14ac:dyDescent="0.3">
      <c r="A1015">
        <v>51010388</v>
      </c>
      <c r="B1015">
        <v>19</v>
      </c>
      <c r="C1015">
        <v>22</v>
      </c>
      <c r="D1015">
        <v>93</v>
      </c>
      <c r="E1015" s="21">
        <f>D1015/PARAMS_MODELO!$B$28</f>
        <v>3.1</v>
      </c>
      <c r="F1015">
        <v>73</v>
      </c>
      <c r="G1015">
        <v>13</v>
      </c>
      <c r="H1015">
        <v>10</v>
      </c>
      <c r="I1015" s="20">
        <f t="shared" si="15"/>
        <v>0.76923076923076927</v>
      </c>
      <c r="J1015" s="21">
        <f>(IFERROR(_xlfn.PERCENTRANK.INC($B$2:$B$1194,B1015)*100,0)*PARAMS_MODELO!$B$25)+(IFERROR(_xlfn.PERCENTRANK.INC($C$2:$C$1194,C1015)*100,0)*PARAMS_MODELO!$B$26)+(IFERROR(_xlfn.PERCENTRANK.INC($E$2:$E$1194,E1015)*100,0)*PARAMS_MODELO!$B$27)+(IFERROR(_xlfn.PERCENTRANK.INC($F$2:$F$1194,F1015)*100,0)*PARAMS_MODELO!$B$29)+(IFERROR(_xlfn.PERCENTRANK.INC($I$2:$I$1194,I1015)*100,0)*PARAMS_MODELO!$B$31)</f>
        <v>63.205000000000013</v>
      </c>
    </row>
    <row r="1016" spans="1:10" x14ac:dyDescent="0.3">
      <c r="A1016">
        <v>51010477</v>
      </c>
      <c r="B1016">
        <v>22</v>
      </c>
      <c r="C1016">
        <v>16</v>
      </c>
      <c r="D1016">
        <v>2</v>
      </c>
      <c r="E1016" s="21">
        <f>D1016/PARAMS_MODELO!$B$28</f>
        <v>6.6666666666666666E-2</v>
      </c>
      <c r="F1016">
        <v>49</v>
      </c>
      <c r="G1016">
        <v>69</v>
      </c>
      <c r="H1016">
        <v>11</v>
      </c>
      <c r="I1016" s="20">
        <f t="shared" si="15"/>
        <v>0.15942028985507245</v>
      </c>
      <c r="J1016" s="21">
        <f>(IFERROR(_xlfn.PERCENTRANK.INC($B$2:$B$1194,B1016)*100,0)*PARAMS_MODELO!$B$25)+(IFERROR(_xlfn.PERCENTRANK.INC($C$2:$C$1194,C1016)*100,0)*PARAMS_MODELO!$B$26)+(IFERROR(_xlfn.PERCENTRANK.INC($E$2:$E$1194,E1016)*100,0)*PARAMS_MODELO!$B$27)+(IFERROR(_xlfn.PERCENTRANK.INC($F$2:$F$1194,F1016)*100,0)*PARAMS_MODELO!$B$29)+(IFERROR(_xlfn.PERCENTRANK.INC($I$2:$I$1194,I1016)*100,0)*PARAMS_MODELO!$B$31)</f>
        <v>30.65</v>
      </c>
    </row>
    <row r="1017" spans="1:10" x14ac:dyDescent="0.3">
      <c r="A1017">
        <v>51010485</v>
      </c>
      <c r="B1017">
        <v>84</v>
      </c>
      <c r="C1017">
        <v>7</v>
      </c>
      <c r="D1017">
        <v>41</v>
      </c>
      <c r="E1017" s="21">
        <f>D1017/PARAMS_MODELO!$B$28</f>
        <v>1.3666666666666667</v>
      </c>
      <c r="F1017">
        <v>33</v>
      </c>
      <c r="G1017">
        <v>41</v>
      </c>
      <c r="H1017">
        <v>29</v>
      </c>
      <c r="I1017" s="20">
        <f t="shared" si="15"/>
        <v>0.70731707317073167</v>
      </c>
      <c r="J1017" s="21">
        <f>(IFERROR(_xlfn.PERCENTRANK.INC($B$2:$B$1194,B1017)*100,0)*PARAMS_MODELO!$B$25)+(IFERROR(_xlfn.PERCENTRANK.INC($C$2:$C$1194,C1017)*100,0)*PARAMS_MODELO!$B$26)+(IFERROR(_xlfn.PERCENTRANK.INC($E$2:$E$1194,E1017)*100,0)*PARAMS_MODELO!$B$27)+(IFERROR(_xlfn.PERCENTRANK.INC($F$2:$F$1194,F1017)*100,0)*PARAMS_MODELO!$B$29)+(IFERROR(_xlfn.PERCENTRANK.INC($I$2:$I$1194,I1017)*100,0)*PARAMS_MODELO!$B$31)</f>
        <v>51.11999999999999</v>
      </c>
    </row>
    <row r="1018" spans="1:10" x14ac:dyDescent="0.3">
      <c r="A1018">
        <v>51010612</v>
      </c>
      <c r="B1018">
        <v>93</v>
      </c>
      <c r="C1018">
        <v>3</v>
      </c>
      <c r="D1018">
        <v>26</v>
      </c>
      <c r="E1018" s="21">
        <f>D1018/PARAMS_MODELO!$B$28</f>
        <v>0.8666666666666667</v>
      </c>
      <c r="F1018">
        <v>93</v>
      </c>
      <c r="G1018">
        <v>37</v>
      </c>
      <c r="H1018">
        <v>13</v>
      </c>
      <c r="I1018" s="20">
        <f t="shared" si="15"/>
        <v>0.35135135135135137</v>
      </c>
      <c r="J1018" s="21">
        <f>(IFERROR(_xlfn.PERCENTRANK.INC($B$2:$B$1194,B1018)*100,0)*PARAMS_MODELO!$B$25)+(IFERROR(_xlfn.PERCENTRANK.INC($C$2:$C$1194,C1018)*100,0)*PARAMS_MODELO!$B$26)+(IFERROR(_xlfn.PERCENTRANK.INC($E$2:$E$1194,E1018)*100,0)*PARAMS_MODELO!$B$27)+(IFERROR(_xlfn.PERCENTRANK.INC($F$2:$F$1194,F1018)*100,0)*PARAMS_MODELO!$B$29)+(IFERROR(_xlfn.PERCENTRANK.INC($I$2:$I$1194,I1018)*100,0)*PARAMS_MODELO!$B$31)</f>
        <v>52.365000000000009</v>
      </c>
    </row>
    <row r="1019" spans="1:10" x14ac:dyDescent="0.3">
      <c r="A1019">
        <v>51010639</v>
      </c>
      <c r="B1019">
        <v>89</v>
      </c>
      <c r="C1019">
        <v>24</v>
      </c>
      <c r="D1019">
        <v>61</v>
      </c>
      <c r="E1019" s="21">
        <f>D1019/PARAMS_MODELO!$B$28</f>
        <v>2.0333333333333332</v>
      </c>
      <c r="F1019">
        <v>99</v>
      </c>
      <c r="G1019">
        <v>81</v>
      </c>
      <c r="H1019">
        <v>42</v>
      </c>
      <c r="I1019" s="20">
        <f t="shared" si="15"/>
        <v>0.51851851851851849</v>
      </c>
      <c r="J1019" s="21">
        <f>(IFERROR(_xlfn.PERCENTRANK.INC($B$2:$B$1194,B1019)*100,0)*PARAMS_MODELO!$B$25)+(IFERROR(_xlfn.PERCENTRANK.INC($C$2:$C$1194,C1019)*100,0)*PARAMS_MODELO!$B$26)+(IFERROR(_xlfn.PERCENTRANK.INC($E$2:$E$1194,E1019)*100,0)*PARAMS_MODELO!$B$27)+(IFERROR(_xlfn.PERCENTRANK.INC($F$2:$F$1194,F1019)*100,0)*PARAMS_MODELO!$B$29)+(IFERROR(_xlfn.PERCENTRANK.INC($I$2:$I$1194,I1019)*100,0)*PARAMS_MODELO!$B$31)</f>
        <v>81.14</v>
      </c>
    </row>
    <row r="1020" spans="1:10" x14ac:dyDescent="0.3">
      <c r="A1020">
        <v>51010965</v>
      </c>
      <c r="B1020">
        <v>77</v>
      </c>
      <c r="C1020">
        <v>12</v>
      </c>
      <c r="D1020">
        <v>80</v>
      </c>
      <c r="E1020" s="21">
        <f>D1020/PARAMS_MODELO!$B$28</f>
        <v>2.6666666666666665</v>
      </c>
      <c r="F1020">
        <v>35</v>
      </c>
      <c r="G1020">
        <v>19</v>
      </c>
      <c r="H1020">
        <v>1</v>
      </c>
      <c r="I1020" s="20">
        <f t="shared" si="15"/>
        <v>5.2631578947368418E-2</v>
      </c>
      <c r="J1020" s="21">
        <f>(IFERROR(_xlfn.PERCENTRANK.INC($B$2:$B$1194,B1020)*100,0)*PARAMS_MODELO!$B$25)+(IFERROR(_xlfn.PERCENTRANK.INC($C$2:$C$1194,C1020)*100,0)*PARAMS_MODELO!$B$26)+(IFERROR(_xlfn.PERCENTRANK.INC($E$2:$E$1194,E1020)*100,0)*PARAMS_MODELO!$B$27)+(IFERROR(_xlfn.PERCENTRANK.INC($F$2:$F$1194,F1020)*100,0)*PARAMS_MODELO!$B$29)+(IFERROR(_xlfn.PERCENTRANK.INC($I$2:$I$1194,I1020)*100,0)*PARAMS_MODELO!$B$31)</f>
        <v>55.374999999999993</v>
      </c>
    </row>
    <row r="1021" spans="1:10" x14ac:dyDescent="0.3">
      <c r="A1021">
        <v>51011082</v>
      </c>
      <c r="B1021">
        <v>95</v>
      </c>
      <c r="C1021">
        <v>20</v>
      </c>
      <c r="D1021">
        <v>60</v>
      </c>
      <c r="E1021" s="21">
        <f>D1021/PARAMS_MODELO!$B$28</f>
        <v>2</v>
      </c>
      <c r="F1021">
        <v>32</v>
      </c>
      <c r="G1021">
        <v>72</v>
      </c>
      <c r="H1021">
        <v>25</v>
      </c>
      <c r="I1021" s="20">
        <f t="shared" si="15"/>
        <v>0.34722222222222221</v>
      </c>
      <c r="J1021" s="21">
        <f>(IFERROR(_xlfn.PERCENTRANK.INC($B$2:$B$1194,B1021)*100,0)*PARAMS_MODELO!$B$25)+(IFERROR(_xlfn.PERCENTRANK.INC($C$2:$C$1194,C1021)*100,0)*PARAMS_MODELO!$B$26)+(IFERROR(_xlfn.PERCENTRANK.INC($E$2:$E$1194,E1021)*100,0)*PARAMS_MODELO!$B$27)+(IFERROR(_xlfn.PERCENTRANK.INC($F$2:$F$1194,F1021)*100,0)*PARAMS_MODELO!$B$29)+(IFERROR(_xlfn.PERCENTRANK.INC($I$2:$I$1194,I1021)*100,0)*PARAMS_MODELO!$B$31)</f>
        <v>66.88000000000001</v>
      </c>
    </row>
    <row r="1022" spans="1:10" x14ac:dyDescent="0.3">
      <c r="A1022">
        <v>51011104</v>
      </c>
      <c r="B1022">
        <v>93</v>
      </c>
      <c r="C1022">
        <v>10</v>
      </c>
      <c r="D1022">
        <v>12</v>
      </c>
      <c r="E1022" s="21">
        <f>D1022/PARAMS_MODELO!$B$28</f>
        <v>0.4</v>
      </c>
      <c r="F1022">
        <v>78</v>
      </c>
      <c r="G1022">
        <v>64</v>
      </c>
      <c r="H1022">
        <v>10</v>
      </c>
      <c r="I1022" s="20">
        <f t="shared" si="15"/>
        <v>0.15625</v>
      </c>
      <c r="J1022" s="21">
        <f>(IFERROR(_xlfn.PERCENTRANK.INC($B$2:$B$1194,B1022)*100,0)*PARAMS_MODELO!$B$25)+(IFERROR(_xlfn.PERCENTRANK.INC($C$2:$C$1194,C1022)*100,0)*PARAMS_MODELO!$B$26)+(IFERROR(_xlfn.PERCENTRANK.INC($E$2:$E$1194,E1022)*100,0)*PARAMS_MODELO!$B$27)+(IFERROR(_xlfn.PERCENTRANK.INC($F$2:$F$1194,F1022)*100,0)*PARAMS_MODELO!$B$29)+(IFERROR(_xlfn.PERCENTRANK.INC($I$2:$I$1194,I1022)*100,0)*PARAMS_MODELO!$B$31)</f>
        <v>51.964999999999996</v>
      </c>
    </row>
    <row r="1023" spans="1:10" x14ac:dyDescent="0.3">
      <c r="A1023">
        <v>51011163</v>
      </c>
      <c r="B1023">
        <v>41</v>
      </c>
      <c r="C1023">
        <v>1</v>
      </c>
      <c r="D1023">
        <v>86</v>
      </c>
      <c r="E1023" s="21">
        <f>D1023/PARAMS_MODELO!$B$28</f>
        <v>2.8666666666666667</v>
      </c>
      <c r="F1023">
        <v>42</v>
      </c>
      <c r="G1023">
        <v>80</v>
      </c>
      <c r="H1023">
        <v>67</v>
      </c>
      <c r="I1023" s="20">
        <f t="shared" si="15"/>
        <v>0.83750000000000002</v>
      </c>
      <c r="J1023" s="21">
        <f>(IFERROR(_xlfn.PERCENTRANK.INC($B$2:$B$1194,B1023)*100,0)*PARAMS_MODELO!$B$25)+(IFERROR(_xlfn.PERCENTRANK.INC($C$2:$C$1194,C1023)*100,0)*PARAMS_MODELO!$B$26)+(IFERROR(_xlfn.PERCENTRANK.INC($E$2:$E$1194,E1023)*100,0)*PARAMS_MODELO!$B$27)+(IFERROR(_xlfn.PERCENTRANK.INC($F$2:$F$1194,F1023)*100,0)*PARAMS_MODELO!$B$29)+(IFERROR(_xlfn.PERCENTRANK.INC($I$2:$I$1194,I1023)*100,0)*PARAMS_MODELO!$B$31)</f>
        <v>44.650000000000006</v>
      </c>
    </row>
    <row r="1024" spans="1:10" x14ac:dyDescent="0.3">
      <c r="A1024">
        <v>51011406</v>
      </c>
      <c r="B1024">
        <v>42</v>
      </c>
      <c r="C1024">
        <v>11</v>
      </c>
      <c r="D1024">
        <v>27</v>
      </c>
      <c r="E1024" s="21">
        <f>D1024/PARAMS_MODELO!$B$28</f>
        <v>0.9</v>
      </c>
      <c r="F1024">
        <v>23</v>
      </c>
      <c r="G1024">
        <v>19</v>
      </c>
      <c r="H1024">
        <v>13</v>
      </c>
      <c r="I1024" s="20">
        <f t="shared" si="15"/>
        <v>0.68421052631578949</v>
      </c>
      <c r="J1024" s="21">
        <f>(IFERROR(_xlfn.PERCENTRANK.INC($B$2:$B$1194,B1024)*100,0)*PARAMS_MODELO!$B$25)+(IFERROR(_xlfn.PERCENTRANK.INC($C$2:$C$1194,C1024)*100,0)*PARAMS_MODELO!$B$26)+(IFERROR(_xlfn.PERCENTRANK.INC($E$2:$E$1194,E1024)*100,0)*PARAMS_MODELO!$B$27)+(IFERROR(_xlfn.PERCENTRANK.INC($F$2:$F$1194,F1024)*100,0)*PARAMS_MODELO!$B$29)+(IFERROR(_xlfn.PERCENTRANK.INC($I$2:$I$1194,I1024)*100,0)*PARAMS_MODELO!$B$31)</f>
        <v>37.299999999999997</v>
      </c>
    </row>
    <row r="1025" spans="1:10" x14ac:dyDescent="0.3">
      <c r="A1025">
        <v>51011503</v>
      </c>
      <c r="B1025">
        <v>98</v>
      </c>
      <c r="C1025">
        <v>6</v>
      </c>
      <c r="D1025">
        <v>43</v>
      </c>
      <c r="E1025" s="21">
        <f>D1025/PARAMS_MODELO!$B$28</f>
        <v>1.4333333333333333</v>
      </c>
      <c r="F1025">
        <v>55</v>
      </c>
      <c r="G1025">
        <v>64</v>
      </c>
      <c r="H1025">
        <v>45</v>
      </c>
      <c r="I1025" s="20">
        <f t="shared" si="15"/>
        <v>0.703125</v>
      </c>
      <c r="J1025" s="21">
        <f>(IFERROR(_xlfn.PERCENTRANK.INC($B$2:$B$1194,B1025)*100,0)*PARAMS_MODELO!$B$25)+(IFERROR(_xlfn.PERCENTRANK.INC($C$2:$C$1194,C1025)*100,0)*PARAMS_MODELO!$B$26)+(IFERROR(_xlfn.PERCENTRANK.INC($E$2:$E$1194,E1025)*100,0)*PARAMS_MODELO!$B$27)+(IFERROR(_xlfn.PERCENTRANK.INC($F$2:$F$1194,F1025)*100,0)*PARAMS_MODELO!$B$29)+(IFERROR(_xlfn.PERCENTRANK.INC($I$2:$I$1194,I1025)*100,0)*PARAMS_MODELO!$B$31)</f>
        <v>58.389999999999993</v>
      </c>
    </row>
    <row r="1026" spans="1:10" x14ac:dyDescent="0.3">
      <c r="A1026">
        <v>51011511</v>
      </c>
      <c r="B1026">
        <v>53</v>
      </c>
      <c r="C1026">
        <v>10</v>
      </c>
      <c r="D1026">
        <v>18</v>
      </c>
      <c r="E1026" s="21">
        <f>D1026/PARAMS_MODELO!$B$28</f>
        <v>0.6</v>
      </c>
      <c r="F1026">
        <v>6</v>
      </c>
      <c r="G1026">
        <v>24</v>
      </c>
      <c r="H1026">
        <v>10</v>
      </c>
      <c r="I1026" s="20">
        <f t="shared" ref="I1026:I1089" si="16">IFERROR(H1026/G1026,0)</f>
        <v>0.41666666666666669</v>
      </c>
      <c r="J1026" s="21">
        <f>(IFERROR(_xlfn.PERCENTRANK.INC($B$2:$B$1194,B1026)*100,0)*PARAMS_MODELO!$B$25)+(IFERROR(_xlfn.PERCENTRANK.INC($C$2:$C$1194,C1026)*100,0)*PARAMS_MODELO!$B$26)+(IFERROR(_xlfn.PERCENTRANK.INC($E$2:$E$1194,E1026)*100,0)*PARAMS_MODELO!$B$27)+(IFERROR(_xlfn.PERCENTRANK.INC($F$2:$F$1194,F1026)*100,0)*PARAMS_MODELO!$B$29)+(IFERROR(_xlfn.PERCENTRANK.INC($I$2:$I$1194,I1026)*100,0)*PARAMS_MODELO!$B$31)</f>
        <v>33.194999999999993</v>
      </c>
    </row>
    <row r="1027" spans="1:10" x14ac:dyDescent="0.3">
      <c r="A1027">
        <v>51011881</v>
      </c>
      <c r="B1027">
        <v>63</v>
      </c>
      <c r="C1027">
        <v>8</v>
      </c>
      <c r="D1027">
        <v>42</v>
      </c>
      <c r="E1027" s="21">
        <f>D1027/PARAMS_MODELO!$B$28</f>
        <v>1.4</v>
      </c>
      <c r="F1027">
        <v>30</v>
      </c>
      <c r="G1027">
        <v>77</v>
      </c>
      <c r="H1027">
        <v>53</v>
      </c>
      <c r="I1027" s="20">
        <f t="shared" si="16"/>
        <v>0.68831168831168832</v>
      </c>
      <c r="J1027" s="21">
        <f>(IFERROR(_xlfn.PERCENTRANK.INC($B$2:$B$1194,B1027)*100,0)*PARAMS_MODELO!$B$25)+(IFERROR(_xlfn.PERCENTRANK.INC($C$2:$C$1194,C1027)*100,0)*PARAMS_MODELO!$B$26)+(IFERROR(_xlfn.PERCENTRANK.INC($E$2:$E$1194,E1027)*100,0)*PARAMS_MODELO!$B$27)+(IFERROR(_xlfn.PERCENTRANK.INC($F$2:$F$1194,F1027)*100,0)*PARAMS_MODELO!$B$29)+(IFERROR(_xlfn.PERCENTRANK.INC($I$2:$I$1194,I1027)*100,0)*PARAMS_MODELO!$B$31)</f>
        <v>45.064999999999998</v>
      </c>
    </row>
    <row r="1028" spans="1:10" x14ac:dyDescent="0.3">
      <c r="A1028">
        <v>51011911</v>
      </c>
      <c r="B1028">
        <v>86</v>
      </c>
      <c r="C1028">
        <v>4</v>
      </c>
      <c r="D1028">
        <v>97</v>
      </c>
      <c r="E1028" s="21">
        <f>D1028/PARAMS_MODELO!$B$28</f>
        <v>3.2333333333333334</v>
      </c>
      <c r="F1028">
        <v>27</v>
      </c>
      <c r="G1028">
        <v>75</v>
      </c>
      <c r="H1028">
        <v>55</v>
      </c>
      <c r="I1028" s="20">
        <f t="shared" si="16"/>
        <v>0.73333333333333328</v>
      </c>
      <c r="J1028" s="21">
        <f>(IFERROR(_xlfn.PERCENTRANK.INC($B$2:$B$1194,B1028)*100,0)*PARAMS_MODELO!$B$25)+(IFERROR(_xlfn.PERCENTRANK.INC($C$2:$C$1194,C1028)*100,0)*PARAMS_MODELO!$B$26)+(IFERROR(_xlfn.PERCENTRANK.INC($E$2:$E$1194,E1028)*100,0)*PARAMS_MODELO!$B$27)+(IFERROR(_xlfn.PERCENTRANK.INC($F$2:$F$1194,F1028)*100,0)*PARAMS_MODELO!$B$29)+(IFERROR(_xlfn.PERCENTRANK.INC($I$2:$I$1194,I1028)*100,0)*PARAMS_MODELO!$B$31)</f>
        <v>59.055</v>
      </c>
    </row>
    <row r="1029" spans="1:10" x14ac:dyDescent="0.3">
      <c r="A1029">
        <v>51011945</v>
      </c>
      <c r="B1029">
        <v>7</v>
      </c>
      <c r="C1029">
        <v>4</v>
      </c>
      <c r="D1029">
        <v>30</v>
      </c>
      <c r="E1029" s="21">
        <f>D1029/PARAMS_MODELO!$B$28</f>
        <v>1</v>
      </c>
      <c r="F1029">
        <v>97</v>
      </c>
      <c r="G1029">
        <v>81</v>
      </c>
      <c r="H1029">
        <v>46</v>
      </c>
      <c r="I1029" s="20">
        <f t="shared" si="16"/>
        <v>0.5679012345679012</v>
      </c>
      <c r="J1029" s="21">
        <f>(IFERROR(_xlfn.PERCENTRANK.INC($B$2:$B$1194,B1029)*100,0)*PARAMS_MODELO!$B$25)+(IFERROR(_xlfn.PERCENTRANK.INC($C$2:$C$1194,C1029)*100,0)*PARAMS_MODELO!$B$26)+(IFERROR(_xlfn.PERCENTRANK.INC($E$2:$E$1194,E1029)*100,0)*PARAMS_MODELO!$B$27)+(IFERROR(_xlfn.PERCENTRANK.INC($F$2:$F$1194,F1029)*100,0)*PARAMS_MODELO!$B$29)+(IFERROR(_xlfn.PERCENTRANK.INC($I$2:$I$1194,I1029)*100,0)*PARAMS_MODELO!$B$31)</f>
        <v>31.694999999999997</v>
      </c>
    </row>
    <row r="1030" spans="1:10" x14ac:dyDescent="0.3">
      <c r="A1030">
        <v>51012089</v>
      </c>
      <c r="B1030">
        <v>7</v>
      </c>
      <c r="C1030">
        <v>25</v>
      </c>
      <c r="D1030">
        <v>68</v>
      </c>
      <c r="E1030" s="21">
        <f>D1030/PARAMS_MODELO!$B$28</f>
        <v>2.2666666666666666</v>
      </c>
      <c r="F1030">
        <v>56</v>
      </c>
      <c r="G1030">
        <v>35</v>
      </c>
      <c r="H1030">
        <v>10</v>
      </c>
      <c r="I1030" s="20">
        <f t="shared" si="16"/>
        <v>0.2857142857142857</v>
      </c>
      <c r="J1030" s="21">
        <f>(IFERROR(_xlfn.PERCENTRANK.INC($B$2:$B$1194,B1030)*100,0)*PARAMS_MODELO!$B$25)+(IFERROR(_xlfn.PERCENTRANK.INC($C$2:$C$1194,C1030)*100,0)*PARAMS_MODELO!$B$26)+(IFERROR(_xlfn.PERCENTRANK.INC($E$2:$E$1194,E1030)*100,0)*PARAMS_MODELO!$B$27)+(IFERROR(_xlfn.PERCENTRANK.INC($F$2:$F$1194,F1030)*100,0)*PARAMS_MODELO!$B$29)+(IFERROR(_xlfn.PERCENTRANK.INC($I$2:$I$1194,I1030)*100,0)*PARAMS_MODELO!$B$31)</f>
        <v>50.725000000000001</v>
      </c>
    </row>
    <row r="1031" spans="1:10" x14ac:dyDescent="0.3">
      <c r="A1031">
        <v>51012283</v>
      </c>
      <c r="B1031">
        <v>81</v>
      </c>
      <c r="C1031">
        <v>11</v>
      </c>
      <c r="D1031">
        <v>17</v>
      </c>
      <c r="E1031" s="21">
        <f>D1031/PARAMS_MODELO!$B$28</f>
        <v>0.56666666666666665</v>
      </c>
      <c r="F1031">
        <v>76</v>
      </c>
      <c r="G1031">
        <v>54</v>
      </c>
      <c r="H1031">
        <v>40</v>
      </c>
      <c r="I1031" s="20">
        <f t="shared" si="16"/>
        <v>0.7407407407407407</v>
      </c>
      <c r="J1031" s="21">
        <f>(IFERROR(_xlfn.PERCENTRANK.INC($B$2:$B$1194,B1031)*100,0)*PARAMS_MODELO!$B$25)+(IFERROR(_xlfn.PERCENTRANK.INC($C$2:$C$1194,C1031)*100,0)*PARAMS_MODELO!$B$26)+(IFERROR(_xlfn.PERCENTRANK.INC($E$2:$E$1194,E1031)*100,0)*PARAMS_MODELO!$B$27)+(IFERROR(_xlfn.PERCENTRANK.INC($F$2:$F$1194,F1031)*100,0)*PARAMS_MODELO!$B$29)+(IFERROR(_xlfn.PERCENTRANK.INC($I$2:$I$1194,I1031)*100,0)*PARAMS_MODELO!$B$31)</f>
        <v>56.215000000000003</v>
      </c>
    </row>
    <row r="1032" spans="1:10" x14ac:dyDescent="0.3">
      <c r="A1032">
        <v>51012429</v>
      </c>
      <c r="B1032">
        <v>4</v>
      </c>
      <c r="C1032">
        <v>10</v>
      </c>
      <c r="D1032">
        <v>33</v>
      </c>
      <c r="E1032" s="21">
        <f>D1032/PARAMS_MODELO!$B$28</f>
        <v>1.1000000000000001</v>
      </c>
      <c r="F1032">
        <v>57</v>
      </c>
      <c r="G1032">
        <v>89</v>
      </c>
      <c r="H1032">
        <v>19</v>
      </c>
      <c r="I1032" s="20">
        <f t="shared" si="16"/>
        <v>0.21348314606741572</v>
      </c>
      <c r="J1032" s="21">
        <f>(IFERROR(_xlfn.PERCENTRANK.INC($B$2:$B$1194,B1032)*100,0)*PARAMS_MODELO!$B$25)+(IFERROR(_xlfn.PERCENTRANK.INC($C$2:$C$1194,C1032)*100,0)*PARAMS_MODELO!$B$26)+(IFERROR(_xlfn.PERCENTRANK.INC($E$2:$E$1194,E1032)*100,0)*PARAMS_MODELO!$B$27)+(IFERROR(_xlfn.PERCENTRANK.INC($F$2:$F$1194,F1032)*100,0)*PARAMS_MODELO!$B$29)+(IFERROR(_xlfn.PERCENTRANK.INC($I$2:$I$1194,I1032)*100,0)*PARAMS_MODELO!$B$31)</f>
        <v>27.520000000000003</v>
      </c>
    </row>
    <row r="1033" spans="1:10" x14ac:dyDescent="0.3">
      <c r="A1033">
        <v>51012569</v>
      </c>
      <c r="B1033">
        <v>80</v>
      </c>
      <c r="C1033">
        <v>10</v>
      </c>
      <c r="D1033">
        <v>30</v>
      </c>
      <c r="E1033" s="21">
        <f>D1033/PARAMS_MODELO!$B$28</f>
        <v>1</v>
      </c>
      <c r="F1033">
        <v>44</v>
      </c>
      <c r="G1033">
        <v>33</v>
      </c>
      <c r="H1033">
        <v>24</v>
      </c>
      <c r="I1033" s="20">
        <f t="shared" si="16"/>
        <v>0.72727272727272729</v>
      </c>
      <c r="J1033" s="21">
        <f>(IFERROR(_xlfn.PERCENTRANK.INC($B$2:$B$1194,B1033)*100,0)*PARAMS_MODELO!$B$25)+(IFERROR(_xlfn.PERCENTRANK.INC($C$2:$C$1194,C1033)*100,0)*PARAMS_MODELO!$B$26)+(IFERROR(_xlfn.PERCENTRANK.INC($E$2:$E$1194,E1033)*100,0)*PARAMS_MODELO!$B$27)+(IFERROR(_xlfn.PERCENTRANK.INC($F$2:$F$1194,F1033)*100,0)*PARAMS_MODELO!$B$29)+(IFERROR(_xlfn.PERCENTRANK.INC($I$2:$I$1194,I1033)*100,0)*PARAMS_MODELO!$B$31)</f>
        <v>52.289999999999992</v>
      </c>
    </row>
    <row r="1034" spans="1:10" x14ac:dyDescent="0.3">
      <c r="A1034">
        <v>51012631</v>
      </c>
      <c r="B1034">
        <v>46</v>
      </c>
      <c r="C1034">
        <v>16</v>
      </c>
      <c r="D1034">
        <v>9</v>
      </c>
      <c r="E1034" s="21">
        <f>D1034/PARAMS_MODELO!$B$28</f>
        <v>0.3</v>
      </c>
      <c r="F1034">
        <v>59</v>
      </c>
      <c r="G1034">
        <v>18</v>
      </c>
      <c r="H1034">
        <v>12</v>
      </c>
      <c r="I1034" s="20">
        <f t="shared" si="16"/>
        <v>0.66666666666666663</v>
      </c>
      <c r="J1034" s="21">
        <f>(IFERROR(_xlfn.PERCENTRANK.INC($B$2:$B$1194,B1034)*100,0)*PARAMS_MODELO!$B$25)+(IFERROR(_xlfn.PERCENTRANK.INC($C$2:$C$1194,C1034)*100,0)*PARAMS_MODELO!$B$26)+(IFERROR(_xlfn.PERCENTRANK.INC($E$2:$E$1194,E1034)*100,0)*PARAMS_MODELO!$B$27)+(IFERROR(_xlfn.PERCENTRANK.INC($F$2:$F$1194,F1034)*100,0)*PARAMS_MODELO!$B$29)+(IFERROR(_xlfn.PERCENTRANK.INC($I$2:$I$1194,I1034)*100,0)*PARAMS_MODELO!$B$31)</f>
        <v>45.11</v>
      </c>
    </row>
    <row r="1035" spans="1:10" x14ac:dyDescent="0.3">
      <c r="A1035">
        <v>51012844</v>
      </c>
      <c r="B1035">
        <v>75</v>
      </c>
      <c r="C1035">
        <v>19</v>
      </c>
      <c r="D1035">
        <v>94</v>
      </c>
      <c r="E1035" s="21">
        <f>D1035/PARAMS_MODELO!$B$28</f>
        <v>3.1333333333333333</v>
      </c>
      <c r="F1035">
        <v>70</v>
      </c>
      <c r="G1035">
        <v>26</v>
      </c>
      <c r="H1035">
        <v>16</v>
      </c>
      <c r="I1035" s="20">
        <f t="shared" si="16"/>
        <v>0.61538461538461542</v>
      </c>
      <c r="J1035" s="21">
        <f>(IFERROR(_xlfn.PERCENTRANK.INC($B$2:$B$1194,B1035)*100,0)*PARAMS_MODELO!$B$25)+(IFERROR(_xlfn.PERCENTRANK.INC($C$2:$C$1194,C1035)*100,0)*PARAMS_MODELO!$B$26)+(IFERROR(_xlfn.PERCENTRANK.INC($E$2:$E$1194,E1035)*100,0)*PARAMS_MODELO!$B$27)+(IFERROR(_xlfn.PERCENTRANK.INC($F$2:$F$1194,F1035)*100,0)*PARAMS_MODELO!$B$29)+(IFERROR(_xlfn.PERCENTRANK.INC($I$2:$I$1194,I1035)*100,0)*PARAMS_MODELO!$B$31)</f>
        <v>75.155000000000001</v>
      </c>
    </row>
    <row r="1036" spans="1:10" x14ac:dyDescent="0.3">
      <c r="A1036">
        <v>51012925</v>
      </c>
      <c r="B1036">
        <v>71</v>
      </c>
      <c r="C1036">
        <v>17</v>
      </c>
      <c r="D1036">
        <v>3</v>
      </c>
      <c r="E1036" s="21">
        <f>D1036/PARAMS_MODELO!$B$28</f>
        <v>0.1</v>
      </c>
      <c r="F1036">
        <v>68</v>
      </c>
      <c r="G1036">
        <v>8</v>
      </c>
      <c r="H1036">
        <v>4</v>
      </c>
      <c r="I1036" s="20">
        <f t="shared" si="16"/>
        <v>0.5</v>
      </c>
      <c r="J1036" s="21">
        <f>(IFERROR(_xlfn.PERCENTRANK.INC($B$2:$B$1194,B1036)*100,0)*PARAMS_MODELO!$B$25)+(IFERROR(_xlfn.PERCENTRANK.INC($C$2:$C$1194,C1036)*100,0)*PARAMS_MODELO!$B$26)+(IFERROR(_xlfn.PERCENTRANK.INC($E$2:$E$1194,E1036)*100,0)*PARAMS_MODELO!$B$27)+(IFERROR(_xlfn.PERCENTRANK.INC($F$2:$F$1194,F1036)*100,0)*PARAMS_MODELO!$B$29)+(IFERROR(_xlfn.PERCENTRANK.INC($I$2:$I$1194,I1036)*100,0)*PARAMS_MODELO!$B$31)</f>
        <v>52.379999999999995</v>
      </c>
    </row>
    <row r="1037" spans="1:10" x14ac:dyDescent="0.3">
      <c r="A1037">
        <v>51012968</v>
      </c>
      <c r="B1037">
        <v>65</v>
      </c>
      <c r="C1037">
        <v>16</v>
      </c>
      <c r="D1037">
        <v>19</v>
      </c>
      <c r="E1037" s="21">
        <f>D1037/PARAMS_MODELO!$B$28</f>
        <v>0.6333333333333333</v>
      </c>
      <c r="F1037">
        <v>100</v>
      </c>
      <c r="G1037">
        <v>62</v>
      </c>
      <c r="H1037">
        <v>27</v>
      </c>
      <c r="I1037" s="20">
        <f t="shared" si="16"/>
        <v>0.43548387096774194</v>
      </c>
      <c r="J1037" s="21">
        <f>(IFERROR(_xlfn.PERCENTRANK.INC($B$2:$B$1194,B1037)*100,0)*PARAMS_MODELO!$B$25)+(IFERROR(_xlfn.PERCENTRANK.INC($C$2:$C$1194,C1037)*100,0)*PARAMS_MODELO!$B$26)+(IFERROR(_xlfn.PERCENTRANK.INC($E$2:$E$1194,E1037)*100,0)*PARAMS_MODELO!$B$27)+(IFERROR(_xlfn.PERCENTRANK.INC($F$2:$F$1194,F1037)*100,0)*PARAMS_MODELO!$B$29)+(IFERROR(_xlfn.PERCENTRANK.INC($I$2:$I$1194,I1037)*100,0)*PARAMS_MODELO!$B$31)</f>
        <v>56.645000000000003</v>
      </c>
    </row>
    <row r="1038" spans="1:10" x14ac:dyDescent="0.3">
      <c r="A1038">
        <v>51013042</v>
      </c>
      <c r="B1038">
        <v>78</v>
      </c>
      <c r="C1038">
        <v>11</v>
      </c>
      <c r="D1038">
        <v>80</v>
      </c>
      <c r="E1038" s="21">
        <f>D1038/PARAMS_MODELO!$B$28</f>
        <v>2.6666666666666665</v>
      </c>
      <c r="F1038">
        <v>44</v>
      </c>
      <c r="G1038">
        <v>57</v>
      </c>
      <c r="H1038">
        <v>39</v>
      </c>
      <c r="I1038" s="20">
        <f t="shared" si="16"/>
        <v>0.68421052631578949</v>
      </c>
      <c r="J1038" s="21">
        <f>(IFERROR(_xlfn.PERCENTRANK.INC($B$2:$B$1194,B1038)*100,0)*PARAMS_MODELO!$B$25)+(IFERROR(_xlfn.PERCENTRANK.INC($C$2:$C$1194,C1038)*100,0)*PARAMS_MODELO!$B$26)+(IFERROR(_xlfn.PERCENTRANK.INC($E$2:$E$1194,E1038)*100,0)*PARAMS_MODELO!$B$27)+(IFERROR(_xlfn.PERCENTRANK.INC($F$2:$F$1194,F1038)*100,0)*PARAMS_MODELO!$B$29)+(IFERROR(_xlfn.PERCENTRANK.INC($I$2:$I$1194,I1038)*100,0)*PARAMS_MODELO!$B$31)</f>
        <v>62.255000000000003</v>
      </c>
    </row>
    <row r="1039" spans="1:10" x14ac:dyDescent="0.3">
      <c r="A1039">
        <v>51013123</v>
      </c>
      <c r="B1039">
        <v>48</v>
      </c>
      <c r="C1039">
        <v>8</v>
      </c>
      <c r="D1039">
        <v>13</v>
      </c>
      <c r="E1039" s="21">
        <f>D1039/PARAMS_MODELO!$B$28</f>
        <v>0.43333333333333335</v>
      </c>
      <c r="F1039">
        <v>86</v>
      </c>
      <c r="G1039">
        <v>10</v>
      </c>
      <c r="H1039">
        <v>5</v>
      </c>
      <c r="I1039" s="20">
        <f t="shared" si="16"/>
        <v>0.5</v>
      </c>
      <c r="J1039" s="21">
        <f>(IFERROR(_xlfn.PERCENTRANK.INC($B$2:$B$1194,B1039)*100,0)*PARAMS_MODELO!$B$25)+(IFERROR(_xlfn.PERCENTRANK.INC($C$2:$C$1194,C1039)*100,0)*PARAMS_MODELO!$B$26)+(IFERROR(_xlfn.PERCENTRANK.INC($E$2:$E$1194,E1039)*100,0)*PARAMS_MODELO!$B$27)+(IFERROR(_xlfn.PERCENTRANK.INC($F$2:$F$1194,F1039)*100,0)*PARAMS_MODELO!$B$29)+(IFERROR(_xlfn.PERCENTRANK.INC($I$2:$I$1194,I1039)*100,0)*PARAMS_MODELO!$B$31)</f>
        <v>41.994999999999997</v>
      </c>
    </row>
    <row r="1040" spans="1:10" x14ac:dyDescent="0.3">
      <c r="A1040">
        <v>51013174</v>
      </c>
      <c r="B1040">
        <v>24</v>
      </c>
      <c r="C1040">
        <v>0</v>
      </c>
      <c r="D1040">
        <v>69</v>
      </c>
      <c r="E1040" s="21">
        <f>D1040/PARAMS_MODELO!$B$28</f>
        <v>2.2999999999999998</v>
      </c>
      <c r="F1040">
        <v>46</v>
      </c>
      <c r="G1040">
        <v>26</v>
      </c>
      <c r="H1040">
        <v>9</v>
      </c>
      <c r="I1040" s="20">
        <f t="shared" si="16"/>
        <v>0.34615384615384615</v>
      </c>
      <c r="J1040" s="21">
        <f>(IFERROR(_xlfn.PERCENTRANK.INC($B$2:$B$1194,B1040)*100,0)*PARAMS_MODELO!$B$25)+(IFERROR(_xlfn.PERCENTRANK.INC($C$2:$C$1194,C1040)*100,0)*PARAMS_MODELO!$B$26)+(IFERROR(_xlfn.PERCENTRANK.INC($E$2:$E$1194,E1040)*100,0)*PARAMS_MODELO!$B$27)+(IFERROR(_xlfn.PERCENTRANK.INC($F$2:$F$1194,F1040)*100,0)*PARAMS_MODELO!$B$29)+(IFERROR(_xlfn.PERCENTRANK.INC($I$2:$I$1194,I1040)*100,0)*PARAMS_MODELO!$B$31)</f>
        <v>31.135000000000005</v>
      </c>
    </row>
    <row r="1041" spans="1:10" x14ac:dyDescent="0.3">
      <c r="A1041">
        <v>51013263</v>
      </c>
      <c r="B1041">
        <v>9</v>
      </c>
      <c r="C1041">
        <v>22</v>
      </c>
      <c r="D1041">
        <v>7</v>
      </c>
      <c r="E1041" s="21">
        <f>D1041/PARAMS_MODELO!$B$28</f>
        <v>0.23333333333333334</v>
      </c>
      <c r="F1041">
        <v>24</v>
      </c>
      <c r="G1041">
        <v>84</v>
      </c>
      <c r="H1041">
        <v>37</v>
      </c>
      <c r="I1041" s="20">
        <f t="shared" si="16"/>
        <v>0.44047619047619047</v>
      </c>
      <c r="J1041" s="21">
        <f>(IFERROR(_xlfn.PERCENTRANK.INC($B$2:$B$1194,B1041)*100,0)*PARAMS_MODELO!$B$25)+(IFERROR(_xlfn.PERCENTRANK.INC($C$2:$C$1194,C1041)*100,0)*PARAMS_MODELO!$B$26)+(IFERROR(_xlfn.PERCENTRANK.INC($E$2:$E$1194,E1041)*100,0)*PARAMS_MODELO!$B$27)+(IFERROR(_xlfn.PERCENTRANK.INC($F$2:$F$1194,F1041)*100,0)*PARAMS_MODELO!$B$29)+(IFERROR(_xlfn.PERCENTRANK.INC($I$2:$I$1194,I1041)*100,0)*PARAMS_MODELO!$B$31)</f>
        <v>32.39</v>
      </c>
    </row>
    <row r="1042" spans="1:10" x14ac:dyDescent="0.3">
      <c r="A1042">
        <v>51013751</v>
      </c>
      <c r="B1042">
        <v>7</v>
      </c>
      <c r="C1042">
        <v>7</v>
      </c>
      <c r="D1042">
        <v>48</v>
      </c>
      <c r="E1042" s="21">
        <f>D1042/PARAMS_MODELO!$B$28</f>
        <v>1.6</v>
      </c>
      <c r="F1042">
        <v>32</v>
      </c>
      <c r="G1042">
        <v>86</v>
      </c>
      <c r="H1042">
        <v>41</v>
      </c>
      <c r="I1042" s="20">
        <f t="shared" si="16"/>
        <v>0.47674418604651164</v>
      </c>
      <c r="J1042" s="21">
        <f>(IFERROR(_xlfn.PERCENTRANK.INC($B$2:$B$1194,B1042)*100,0)*PARAMS_MODELO!$B$25)+(IFERROR(_xlfn.PERCENTRANK.INC($C$2:$C$1194,C1042)*100,0)*PARAMS_MODELO!$B$26)+(IFERROR(_xlfn.PERCENTRANK.INC($E$2:$E$1194,E1042)*100,0)*PARAMS_MODELO!$B$27)+(IFERROR(_xlfn.PERCENTRANK.INC($F$2:$F$1194,F1042)*100,0)*PARAMS_MODELO!$B$29)+(IFERROR(_xlfn.PERCENTRANK.INC($I$2:$I$1194,I1042)*100,0)*PARAMS_MODELO!$B$31)</f>
        <v>27.759999999999998</v>
      </c>
    </row>
    <row r="1043" spans="1:10" x14ac:dyDescent="0.3">
      <c r="A1043">
        <v>51013905</v>
      </c>
      <c r="B1043">
        <v>53</v>
      </c>
      <c r="C1043">
        <v>21</v>
      </c>
      <c r="D1043">
        <v>92</v>
      </c>
      <c r="E1043" s="21">
        <f>D1043/PARAMS_MODELO!$B$28</f>
        <v>3.0666666666666669</v>
      </c>
      <c r="F1043">
        <v>100</v>
      </c>
      <c r="G1043">
        <v>8</v>
      </c>
      <c r="H1043">
        <v>4</v>
      </c>
      <c r="I1043" s="20">
        <f t="shared" si="16"/>
        <v>0.5</v>
      </c>
      <c r="J1043" s="21">
        <f>(IFERROR(_xlfn.PERCENTRANK.INC($B$2:$B$1194,B1043)*100,0)*PARAMS_MODELO!$B$25)+(IFERROR(_xlfn.PERCENTRANK.INC($C$2:$C$1194,C1043)*100,0)*PARAMS_MODELO!$B$26)+(IFERROR(_xlfn.PERCENTRANK.INC($E$2:$E$1194,E1043)*100,0)*PARAMS_MODELO!$B$27)+(IFERROR(_xlfn.PERCENTRANK.INC($F$2:$F$1194,F1043)*100,0)*PARAMS_MODELO!$B$29)+(IFERROR(_xlfn.PERCENTRANK.INC($I$2:$I$1194,I1043)*100,0)*PARAMS_MODELO!$B$31)</f>
        <v>73.210000000000008</v>
      </c>
    </row>
    <row r="1044" spans="1:10" x14ac:dyDescent="0.3">
      <c r="A1044">
        <v>51014073</v>
      </c>
      <c r="B1044">
        <v>53</v>
      </c>
      <c r="C1044">
        <v>23</v>
      </c>
      <c r="D1044">
        <v>8</v>
      </c>
      <c r="E1044" s="21">
        <f>D1044/PARAMS_MODELO!$B$28</f>
        <v>0.26666666666666666</v>
      </c>
      <c r="F1044">
        <v>50</v>
      </c>
      <c r="G1044">
        <v>82</v>
      </c>
      <c r="H1044">
        <v>9</v>
      </c>
      <c r="I1044" s="20">
        <f t="shared" si="16"/>
        <v>0.10975609756097561</v>
      </c>
      <c r="J1044" s="21">
        <f>(IFERROR(_xlfn.PERCENTRANK.INC($B$2:$B$1194,B1044)*100,0)*PARAMS_MODELO!$B$25)+(IFERROR(_xlfn.PERCENTRANK.INC($C$2:$C$1194,C1044)*100,0)*PARAMS_MODELO!$B$26)+(IFERROR(_xlfn.PERCENTRANK.INC($E$2:$E$1194,E1044)*100,0)*PARAMS_MODELO!$B$27)+(IFERROR(_xlfn.PERCENTRANK.INC($F$2:$F$1194,F1044)*100,0)*PARAMS_MODELO!$B$29)+(IFERROR(_xlfn.PERCENTRANK.INC($I$2:$I$1194,I1044)*100,0)*PARAMS_MODELO!$B$31)</f>
        <v>47.055</v>
      </c>
    </row>
    <row r="1045" spans="1:10" x14ac:dyDescent="0.3">
      <c r="A1045">
        <v>51014154</v>
      </c>
      <c r="B1045">
        <v>21</v>
      </c>
      <c r="C1045">
        <v>25</v>
      </c>
      <c r="D1045">
        <v>47</v>
      </c>
      <c r="E1045" s="21">
        <f>D1045/PARAMS_MODELO!$B$28</f>
        <v>1.5666666666666667</v>
      </c>
      <c r="F1045">
        <v>6</v>
      </c>
      <c r="G1045">
        <v>86</v>
      </c>
      <c r="H1045">
        <v>31</v>
      </c>
      <c r="I1045" s="20">
        <f t="shared" si="16"/>
        <v>0.36046511627906974</v>
      </c>
      <c r="J1045" s="21">
        <f>(IFERROR(_xlfn.PERCENTRANK.INC($B$2:$B$1194,B1045)*100,0)*PARAMS_MODELO!$B$25)+(IFERROR(_xlfn.PERCENTRANK.INC($C$2:$C$1194,C1045)*100,0)*PARAMS_MODELO!$B$26)+(IFERROR(_xlfn.PERCENTRANK.INC($E$2:$E$1194,E1045)*100,0)*PARAMS_MODELO!$B$27)+(IFERROR(_xlfn.PERCENTRANK.INC($F$2:$F$1194,F1045)*100,0)*PARAMS_MODELO!$B$29)+(IFERROR(_xlfn.PERCENTRANK.INC($I$2:$I$1194,I1045)*100,0)*PARAMS_MODELO!$B$31)</f>
        <v>44.114999999999995</v>
      </c>
    </row>
    <row r="1046" spans="1:10" x14ac:dyDescent="0.3">
      <c r="A1046">
        <v>51014227</v>
      </c>
      <c r="B1046">
        <v>40</v>
      </c>
      <c r="C1046">
        <v>15</v>
      </c>
      <c r="D1046">
        <v>36</v>
      </c>
      <c r="E1046" s="21">
        <f>D1046/PARAMS_MODELO!$B$28</f>
        <v>1.2</v>
      </c>
      <c r="F1046">
        <v>44</v>
      </c>
      <c r="G1046">
        <v>31</v>
      </c>
      <c r="H1046">
        <v>29</v>
      </c>
      <c r="I1046" s="20">
        <f t="shared" si="16"/>
        <v>0.93548387096774188</v>
      </c>
      <c r="J1046" s="21">
        <f>(IFERROR(_xlfn.PERCENTRANK.INC($B$2:$B$1194,B1046)*100,0)*PARAMS_MODELO!$B$25)+(IFERROR(_xlfn.PERCENTRANK.INC($C$2:$C$1194,C1046)*100,0)*PARAMS_MODELO!$B$26)+(IFERROR(_xlfn.PERCENTRANK.INC($E$2:$E$1194,E1046)*100,0)*PARAMS_MODELO!$B$27)+(IFERROR(_xlfn.PERCENTRANK.INC($F$2:$F$1194,F1046)*100,0)*PARAMS_MODELO!$B$29)+(IFERROR(_xlfn.PERCENTRANK.INC($I$2:$I$1194,I1046)*100,0)*PARAMS_MODELO!$B$31)</f>
        <v>48.22</v>
      </c>
    </row>
    <row r="1047" spans="1:10" x14ac:dyDescent="0.3">
      <c r="A1047">
        <v>51014651</v>
      </c>
      <c r="B1047">
        <v>59</v>
      </c>
      <c r="C1047">
        <v>17</v>
      </c>
      <c r="D1047">
        <v>73</v>
      </c>
      <c r="E1047" s="21">
        <f>D1047/PARAMS_MODELO!$B$28</f>
        <v>2.4333333333333331</v>
      </c>
      <c r="F1047">
        <v>48</v>
      </c>
      <c r="G1047">
        <v>38</v>
      </c>
      <c r="H1047">
        <v>29</v>
      </c>
      <c r="I1047" s="20">
        <f t="shared" si="16"/>
        <v>0.76315789473684215</v>
      </c>
      <c r="J1047" s="21">
        <f>(IFERROR(_xlfn.PERCENTRANK.INC($B$2:$B$1194,B1047)*100,0)*PARAMS_MODELO!$B$25)+(IFERROR(_xlfn.PERCENTRANK.INC($C$2:$C$1194,C1047)*100,0)*PARAMS_MODELO!$B$26)+(IFERROR(_xlfn.PERCENTRANK.INC($E$2:$E$1194,E1047)*100,0)*PARAMS_MODELO!$B$27)+(IFERROR(_xlfn.PERCENTRANK.INC($F$2:$F$1194,F1047)*100,0)*PARAMS_MODELO!$B$29)+(IFERROR(_xlfn.PERCENTRANK.INC($I$2:$I$1194,I1047)*100,0)*PARAMS_MODELO!$B$31)</f>
        <v>62.205000000000005</v>
      </c>
    </row>
    <row r="1048" spans="1:10" x14ac:dyDescent="0.3">
      <c r="A1048">
        <v>51014723</v>
      </c>
      <c r="B1048">
        <v>50</v>
      </c>
      <c r="C1048">
        <v>5</v>
      </c>
      <c r="D1048">
        <v>52</v>
      </c>
      <c r="E1048" s="21">
        <f>D1048/PARAMS_MODELO!$B$28</f>
        <v>1.7333333333333334</v>
      </c>
      <c r="F1048">
        <v>40</v>
      </c>
      <c r="G1048">
        <v>62</v>
      </c>
      <c r="H1048">
        <v>49</v>
      </c>
      <c r="I1048" s="20">
        <f t="shared" si="16"/>
        <v>0.79032258064516125</v>
      </c>
      <c r="J1048" s="21">
        <f>(IFERROR(_xlfn.PERCENTRANK.INC($B$2:$B$1194,B1048)*100,0)*PARAMS_MODELO!$B$25)+(IFERROR(_xlfn.PERCENTRANK.INC($C$2:$C$1194,C1048)*100,0)*PARAMS_MODELO!$B$26)+(IFERROR(_xlfn.PERCENTRANK.INC($E$2:$E$1194,E1048)*100,0)*PARAMS_MODELO!$B$27)+(IFERROR(_xlfn.PERCENTRANK.INC($F$2:$F$1194,F1048)*100,0)*PARAMS_MODELO!$B$29)+(IFERROR(_xlfn.PERCENTRANK.INC($I$2:$I$1194,I1048)*100,0)*PARAMS_MODELO!$B$31)</f>
        <v>43.47</v>
      </c>
    </row>
    <row r="1049" spans="1:10" x14ac:dyDescent="0.3">
      <c r="A1049">
        <v>51015282</v>
      </c>
      <c r="B1049">
        <v>49</v>
      </c>
      <c r="C1049">
        <v>11</v>
      </c>
      <c r="D1049">
        <v>74</v>
      </c>
      <c r="E1049" s="21">
        <f>D1049/PARAMS_MODELO!$B$28</f>
        <v>2.4666666666666668</v>
      </c>
      <c r="F1049">
        <v>30</v>
      </c>
      <c r="G1049">
        <v>14</v>
      </c>
      <c r="H1049">
        <v>7</v>
      </c>
      <c r="I1049" s="20">
        <f t="shared" si="16"/>
        <v>0.5</v>
      </c>
      <c r="J1049" s="21">
        <f>(IFERROR(_xlfn.PERCENTRANK.INC($B$2:$B$1194,B1049)*100,0)*PARAMS_MODELO!$B$25)+(IFERROR(_xlfn.PERCENTRANK.INC($C$2:$C$1194,C1049)*100,0)*PARAMS_MODELO!$B$26)+(IFERROR(_xlfn.PERCENTRANK.INC($E$2:$E$1194,E1049)*100,0)*PARAMS_MODELO!$B$27)+(IFERROR(_xlfn.PERCENTRANK.INC($F$2:$F$1194,F1049)*100,0)*PARAMS_MODELO!$B$29)+(IFERROR(_xlfn.PERCENTRANK.INC($I$2:$I$1194,I1049)*100,0)*PARAMS_MODELO!$B$31)</f>
        <v>48.494999999999997</v>
      </c>
    </row>
    <row r="1050" spans="1:10" x14ac:dyDescent="0.3">
      <c r="A1050">
        <v>51015576</v>
      </c>
      <c r="B1050">
        <v>33</v>
      </c>
      <c r="C1050">
        <v>3</v>
      </c>
      <c r="D1050">
        <v>35</v>
      </c>
      <c r="E1050" s="21">
        <f>D1050/PARAMS_MODELO!$B$28</f>
        <v>1.1666666666666667</v>
      </c>
      <c r="F1050">
        <v>43</v>
      </c>
      <c r="G1050">
        <v>9</v>
      </c>
      <c r="H1050">
        <v>2</v>
      </c>
      <c r="I1050" s="20">
        <f t="shared" si="16"/>
        <v>0.22222222222222221</v>
      </c>
      <c r="J1050" s="21">
        <f>(IFERROR(_xlfn.PERCENTRANK.INC($B$2:$B$1194,B1050)*100,0)*PARAMS_MODELO!$B$25)+(IFERROR(_xlfn.PERCENTRANK.INC($C$2:$C$1194,C1050)*100,0)*PARAMS_MODELO!$B$26)+(IFERROR(_xlfn.PERCENTRANK.INC($E$2:$E$1194,E1050)*100,0)*PARAMS_MODELO!$B$27)+(IFERROR(_xlfn.PERCENTRANK.INC($F$2:$F$1194,F1050)*100,0)*PARAMS_MODELO!$B$29)+(IFERROR(_xlfn.PERCENTRANK.INC($I$2:$I$1194,I1050)*100,0)*PARAMS_MODELO!$B$31)</f>
        <v>28.119999999999997</v>
      </c>
    </row>
    <row r="1051" spans="1:10" x14ac:dyDescent="0.3">
      <c r="A1051">
        <v>51015690</v>
      </c>
      <c r="B1051">
        <v>18</v>
      </c>
      <c r="C1051">
        <v>9</v>
      </c>
      <c r="D1051">
        <v>34</v>
      </c>
      <c r="E1051" s="21">
        <f>D1051/PARAMS_MODELO!$B$28</f>
        <v>1.1333333333333333</v>
      </c>
      <c r="F1051">
        <v>35</v>
      </c>
      <c r="G1051">
        <v>8</v>
      </c>
      <c r="H1051">
        <v>5</v>
      </c>
      <c r="I1051" s="20">
        <f t="shared" si="16"/>
        <v>0.625</v>
      </c>
      <c r="J1051" s="21">
        <f>(IFERROR(_xlfn.PERCENTRANK.INC($B$2:$B$1194,B1051)*100,0)*PARAMS_MODELO!$B$25)+(IFERROR(_xlfn.PERCENTRANK.INC($C$2:$C$1194,C1051)*100,0)*PARAMS_MODELO!$B$26)+(IFERROR(_xlfn.PERCENTRANK.INC($E$2:$E$1194,E1051)*100,0)*PARAMS_MODELO!$B$27)+(IFERROR(_xlfn.PERCENTRANK.INC($F$2:$F$1194,F1051)*100,0)*PARAMS_MODELO!$B$29)+(IFERROR(_xlfn.PERCENTRANK.INC($I$2:$I$1194,I1051)*100,0)*PARAMS_MODELO!$B$31)</f>
        <v>31.35</v>
      </c>
    </row>
    <row r="1052" spans="1:10" x14ac:dyDescent="0.3">
      <c r="A1052">
        <v>51015738</v>
      </c>
      <c r="B1052">
        <v>36</v>
      </c>
      <c r="C1052">
        <v>21</v>
      </c>
      <c r="D1052">
        <v>64</v>
      </c>
      <c r="E1052" s="21">
        <f>D1052/PARAMS_MODELO!$B$28</f>
        <v>2.1333333333333333</v>
      </c>
      <c r="F1052">
        <v>65</v>
      </c>
      <c r="G1052">
        <v>6</v>
      </c>
      <c r="H1052">
        <v>3</v>
      </c>
      <c r="I1052" s="20">
        <f t="shared" si="16"/>
        <v>0.5</v>
      </c>
      <c r="J1052" s="21">
        <f>(IFERROR(_xlfn.PERCENTRANK.INC($B$2:$B$1194,B1052)*100,0)*PARAMS_MODELO!$B$25)+(IFERROR(_xlfn.PERCENTRANK.INC($C$2:$C$1194,C1052)*100,0)*PARAMS_MODELO!$B$26)+(IFERROR(_xlfn.PERCENTRANK.INC($E$2:$E$1194,E1052)*100,0)*PARAMS_MODELO!$B$27)+(IFERROR(_xlfn.PERCENTRANK.INC($F$2:$F$1194,F1052)*100,0)*PARAMS_MODELO!$B$29)+(IFERROR(_xlfn.PERCENTRANK.INC($I$2:$I$1194,I1052)*100,0)*PARAMS_MODELO!$B$31)</f>
        <v>57.4</v>
      </c>
    </row>
    <row r="1053" spans="1:10" x14ac:dyDescent="0.3">
      <c r="A1053">
        <v>51015959</v>
      </c>
      <c r="B1053">
        <v>36</v>
      </c>
      <c r="C1053">
        <v>15</v>
      </c>
      <c r="D1053">
        <v>34</v>
      </c>
      <c r="E1053" s="21">
        <f>D1053/PARAMS_MODELO!$B$28</f>
        <v>1.1333333333333333</v>
      </c>
      <c r="F1053">
        <v>2</v>
      </c>
      <c r="G1053">
        <v>79</v>
      </c>
      <c r="H1053">
        <v>74</v>
      </c>
      <c r="I1053" s="20">
        <f t="shared" si="16"/>
        <v>0.93670886075949367</v>
      </c>
      <c r="J1053" s="21">
        <f>(IFERROR(_xlfn.PERCENTRANK.INC($B$2:$B$1194,B1053)*100,0)*PARAMS_MODELO!$B$25)+(IFERROR(_xlfn.PERCENTRANK.INC($C$2:$C$1194,C1053)*100,0)*PARAMS_MODELO!$B$26)+(IFERROR(_xlfn.PERCENTRANK.INC($E$2:$E$1194,E1053)*100,0)*PARAMS_MODELO!$B$27)+(IFERROR(_xlfn.PERCENTRANK.INC($F$2:$F$1194,F1053)*100,0)*PARAMS_MODELO!$B$29)+(IFERROR(_xlfn.PERCENTRANK.INC($I$2:$I$1194,I1053)*100,0)*PARAMS_MODELO!$B$31)</f>
        <v>40.229999999999997</v>
      </c>
    </row>
    <row r="1054" spans="1:10" x14ac:dyDescent="0.3">
      <c r="A1054">
        <v>51015991</v>
      </c>
      <c r="B1054">
        <v>67</v>
      </c>
      <c r="C1054">
        <v>16</v>
      </c>
      <c r="D1054">
        <v>75</v>
      </c>
      <c r="E1054" s="21">
        <f>D1054/PARAMS_MODELO!$B$28</f>
        <v>2.5</v>
      </c>
      <c r="F1054">
        <v>28</v>
      </c>
      <c r="G1054">
        <v>63</v>
      </c>
      <c r="H1054">
        <v>48</v>
      </c>
      <c r="I1054" s="20">
        <f t="shared" si="16"/>
        <v>0.76190476190476186</v>
      </c>
      <c r="J1054" s="21">
        <f>(IFERROR(_xlfn.PERCENTRANK.INC($B$2:$B$1194,B1054)*100,0)*PARAMS_MODELO!$B$25)+(IFERROR(_xlfn.PERCENTRANK.INC($C$2:$C$1194,C1054)*100,0)*PARAMS_MODELO!$B$26)+(IFERROR(_xlfn.PERCENTRANK.INC($E$2:$E$1194,E1054)*100,0)*PARAMS_MODELO!$B$27)+(IFERROR(_xlfn.PERCENTRANK.INC($F$2:$F$1194,F1054)*100,0)*PARAMS_MODELO!$B$29)+(IFERROR(_xlfn.PERCENTRANK.INC($I$2:$I$1194,I1054)*100,0)*PARAMS_MODELO!$B$31)</f>
        <v>60.684999999999995</v>
      </c>
    </row>
    <row r="1055" spans="1:10" x14ac:dyDescent="0.3">
      <c r="A1055">
        <v>51016122</v>
      </c>
      <c r="B1055">
        <v>5</v>
      </c>
      <c r="C1055">
        <v>18</v>
      </c>
      <c r="D1055">
        <v>86</v>
      </c>
      <c r="E1055" s="21">
        <f>D1055/PARAMS_MODELO!$B$28</f>
        <v>2.8666666666666667</v>
      </c>
      <c r="F1055">
        <v>8</v>
      </c>
      <c r="G1055">
        <v>27</v>
      </c>
      <c r="H1055">
        <v>1</v>
      </c>
      <c r="I1055" s="20">
        <f t="shared" si="16"/>
        <v>3.7037037037037035E-2</v>
      </c>
      <c r="J1055" s="21">
        <f>(IFERROR(_xlfn.PERCENTRANK.INC($B$2:$B$1194,B1055)*100,0)*PARAMS_MODELO!$B$25)+(IFERROR(_xlfn.PERCENTRANK.INC($C$2:$C$1194,C1055)*100,0)*PARAMS_MODELO!$B$26)+(IFERROR(_xlfn.PERCENTRANK.INC($E$2:$E$1194,E1055)*100,0)*PARAMS_MODELO!$B$27)+(IFERROR(_xlfn.PERCENTRANK.INC($F$2:$F$1194,F1055)*100,0)*PARAMS_MODELO!$B$29)+(IFERROR(_xlfn.PERCENTRANK.INC($I$2:$I$1194,I1055)*100,0)*PARAMS_MODELO!$B$31)</f>
        <v>36.954999999999998</v>
      </c>
    </row>
    <row r="1056" spans="1:10" x14ac:dyDescent="0.3">
      <c r="A1056">
        <v>51016190</v>
      </c>
      <c r="B1056">
        <v>36</v>
      </c>
      <c r="C1056">
        <v>16</v>
      </c>
      <c r="D1056">
        <v>49</v>
      </c>
      <c r="E1056" s="21">
        <f>D1056/PARAMS_MODELO!$B$28</f>
        <v>1.6333333333333333</v>
      </c>
      <c r="F1056">
        <v>18</v>
      </c>
      <c r="G1056">
        <v>35</v>
      </c>
      <c r="H1056">
        <v>32</v>
      </c>
      <c r="I1056" s="20">
        <f t="shared" si="16"/>
        <v>0.91428571428571426</v>
      </c>
      <c r="J1056" s="21">
        <f>(IFERROR(_xlfn.PERCENTRANK.INC($B$2:$B$1194,B1056)*100,0)*PARAMS_MODELO!$B$25)+(IFERROR(_xlfn.PERCENTRANK.INC($C$2:$C$1194,C1056)*100,0)*PARAMS_MODELO!$B$26)+(IFERROR(_xlfn.PERCENTRANK.INC($E$2:$E$1194,E1056)*100,0)*PARAMS_MODELO!$B$27)+(IFERROR(_xlfn.PERCENTRANK.INC($F$2:$F$1194,F1056)*100,0)*PARAMS_MODELO!$B$29)+(IFERROR(_xlfn.PERCENTRANK.INC($I$2:$I$1194,I1056)*100,0)*PARAMS_MODELO!$B$31)</f>
        <v>46.365000000000002</v>
      </c>
    </row>
    <row r="1057" spans="1:10" x14ac:dyDescent="0.3">
      <c r="A1057">
        <v>51016505</v>
      </c>
      <c r="B1057">
        <v>27</v>
      </c>
      <c r="C1057">
        <v>23</v>
      </c>
      <c r="D1057">
        <v>91</v>
      </c>
      <c r="E1057" s="21">
        <f>D1057/PARAMS_MODELO!$B$28</f>
        <v>3.0333333333333332</v>
      </c>
      <c r="F1057">
        <v>88</v>
      </c>
      <c r="G1057">
        <v>14</v>
      </c>
      <c r="H1057">
        <v>5</v>
      </c>
      <c r="I1057" s="20">
        <f t="shared" si="16"/>
        <v>0.35714285714285715</v>
      </c>
      <c r="J1057" s="21">
        <f>(IFERROR(_xlfn.PERCENTRANK.INC($B$2:$B$1194,B1057)*100,0)*PARAMS_MODELO!$B$25)+(IFERROR(_xlfn.PERCENTRANK.INC($C$2:$C$1194,C1057)*100,0)*PARAMS_MODELO!$B$26)+(IFERROR(_xlfn.PERCENTRANK.INC($E$2:$E$1194,E1057)*100,0)*PARAMS_MODELO!$B$27)+(IFERROR(_xlfn.PERCENTRANK.INC($F$2:$F$1194,F1057)*100,0)*PARAMS_MODELO!$B$29)+(IFERROR(_xlfn.PERCENTRANK.INC($I$2:$I$1194,I1057)*100,0)*PARAMS_MODELO!$B$31)</f>
        <v>64.424999999999997</v>
      </c>
    </row>
    <row r="1058" spans="1:10" x14ac:dyDescent="0.3">
      <c r="A1058">
        <v>51016670</v>
      </c>
      <c r="B1058">
        <v>25</v>
      </c>
      <c r="C1058">
        <v>25</v>
      </c>
      <c r="D1058">
        <v>53</v>
      </c>
      <c r="E1058" s="21">
        <f>D1058/PARAMS_MODELO!$B$28</f>
        <v>1.7666666666666666</v>
      </c>
      <c r="F1058">
        <v>29</v>
      </c>
      <c r="G1058">
        <v>38</v>
      </c>
      <c r="H1058">
        <v>12</v>
      </c>
      <c r="I1058" s="20">
        <f t="shared" si="16"/>
        <v>0.31578947368421051</v>
      </c>
      <c r="J1058" s="21">
        <f>(IFERROR(_xlfn.PERCENTRANK.INC($B$2:$B$1194,B1058)*100,0)*PARAMS_MODELO!$B$25)+(IFERROR(_xlfn.PERCENTRANK.INC($C$2:$C$1194,C1058)*100,0)*PARAMS_MODELO!$B$26)+(IFERROR(_xlfn.PERCENTRANK.INC($E$2:$E$1194,E1058)*100,0)*PARAMS_MODELO!$B$27)+(IFERROR(_xlfn.PERCENTRANK.INC($F$2:$F$1194,F1058)*100,0)*PARAMS_MODELO!$B$29)+(IFERROR(_xlfn.PERCENTRANK.INC($I$2:$I$1194,I1058)*100,0)*PARAMS_MODELO!$B$31)</f>
        <v>48.734999999999992</v>
      </c>
    </row>
    <row r="1059" spans="1:10" x14ac:dyDescent="0.3">
      <c r="A1059">
        <v>51016751</v>
      </c>
      <c r="B1059">
        <v>2</v>
      </c>
      <c r="C1059">
        <v>7</v>
      </c>
      <c r="D1059">
        <v>57</v>
      </c>
      <c r="E1059" s="21">
        <f>D1059/PARAMS_MODELO!$B$28</f>
        <v>1.9</v>
      </c>
      <c r="F1059">
        <v>66</v>
      </c>
      <c r="G1059">
        <v>98</v>
      </c>
      <c r="H1059">
        <v>9</v>
      </c>
      <c r="I1059" s="20">
        <f t="shared" si="16"/>
        <v>9.1836734693877556E-2</v>
      </c>
      <c r="J1059" s="21">
        <f>(IFERROR(_xlfn.PERCENTRANK.INC($B$2:$B$1194,B1059)*100,0)*PARAMS_MODELO!$B$25)+(IFERROR(_xlfn.PERCENTRANK.INC($C$2:$C$1194,C1059)*100,0)*PARAMS_MODELO!$B$26)+(IFERROR(_xlfn.PERCENTRANK.INC($E$2:$E$1194,E1059)*100,0)*PARAMS_MODELO!$B$27)+(IFERROR(_xlfn.PERCENTRANK.INC($F$2:$F$1194,F1059)*100,0)*PARAMS_MODELO!$B$29)+(IFERROR(_xlfn.PERCENTRANK.INC($I$2:$I$1194,I1059)*100,0)*PARAMS_MODELO!$B$31)</f>
        <v>29.209999999999997</v>
      </c>
    </row>
    <row r="1060" spans="1:10" x14ac:dyDescent="0.3">
      <c r="A1060">
        <v>51016769</v>
      </c>
      <c r="B1060">
        <v>43</v>
      </c>
      <c r="C1060">
        <v>15</v>
      </c>
      <c r="D1060">
        <v>53</v>
      </c>
      <c r="E1060" s="21">
        <f>D1060/PARAMS_MODELO!$B$28</f>
        <v>1.7666666666666666</v>
      </c>
      <c r="F1060">
        <v>28</v>
      </c>
      <c r="G1060">
        <v>96</v>
      </c>
      <c r="H1060">
        <v>48</v>
      </c>
      <c r="I1060" s="20">
        <f t="shared" si="16"/>
        <v>0.5</v>
      </c>
      <c r="J1060" s="21">
        <f>(IFERROR(_xlfn.PERCENTRANK.INC($B$2:$B$1194,B1060)*100,0)*PARAMS_MODELO!$B$25)+(IFERROR(_xlfn.PERCENTRANK.INC($C$2:$C$1194,C1060)*100,0)*PARAMS_MODELO!$B$26)+(IFERROR(_xlfn.PERCENTRANK.INC($E$2:$E$1194,E1060)*100,0)*PARAMS_MODELO!$B$27)+(IFERROR(_xlfn.PERCENTRANK.INC($F$2:$F$1194,F1060)*100,0)*PARAMS_MODELO!$B$29)+(IFERROR(_xlfn.PERCENTRANK.INC($I$2:$I$1194,I1060)*100,0)*PARAMS_MODELO!$B$31)</f>
        <v>45.62</v>
      </c>
    </row>
    <row r="1061" spans="1:10" x14ac:dyDescent="0.3">
      <c r="A1061">
        <v>51016807</v>
      </c>
      <c r="B1061">
        <v>7</v>
      </c>
      <c r="C1061">
        <v>25</v>
      </c>
      <c r="D1061">
        <v>24</v>
      </c>
      <c r="E1061" s="21">
        <f>D1061/PARAMS_MODELO!$B$28</f>
        <v>0.8</v>
      </c>
      <c r="F1061">
        <v>0</v>
      </c>
      <c r="G1061">
        <v>82</v>
      </c>
      <c r="H1061">
        <v>35</v>
      </c>
      <c r="I1061" s="20">
        <f t="shared" si="16"/>
        <v>0.42682926829268292</v>
      </c>
      <c r="J1061" s="21">
        <f>(IFERROR(_xlfn.PERCENTRANK.INC($B$2:$B$1194,B1061)*100,0)*PARAMS_MODELO!$B$25)+(IFERROR(_xlfn.PERCENTRANK.INC($C$2:$C$1194,C1061)*100,0)*PARAMS_MODELO!$B$26)+(IFERROR(_xlfn.PERCENTRANK.INC($E$2:$E$1194,E1061)*100,0)*PARAMS_MODELO!$B$27)+(IFERROR(_xlfn.PERCENTRANK.INC($F$2:$F$1194,F1061)*100,0)*PARAMS_MODELO!$B$29)+(IFERROR(_xlfn.PERCENTRANK.INC($I$2:$I$1194,I1061)*100,0)*PARAMS_MODELO!$B$31)</f>
        <v>35.04</v>
      </c>
    </row>
    <row r="1062" spans="1:10" x14ac:dyDescent="0.3">
      <c r="A1062">
        <v>51016912</v>
      </c>
      <c r="B1062">
        <v>10</v>
      </c>
      <c r="C1062">
        <v>0</v>
      </c>
      <c r="D1062">
        <v>91</v>
      </c>
      <c r="E1062" s="21">
        <f>D1062/PARAMS_MODELO!$B$28</f>
        <v>3.0333333333333332</v>
      </c>
      <c r="F1062">
        <v>34</v>
      </c>
      <c r="G1062">
        <v>81</v>
      </c>
      <c r="H1062">
        <v>76</v>
      </c>
      <c r="I1062" s="20">
        <f t="shared" si="16"/>
        <v>0.93827160493827155</v>
      </c>
      <c r="J1062" s="21">
        <f>(IFERROR(_xlfn.PERCENTRANK.INC($B$2:$B$1194,B1062)*100,0)*PARAMS_MODELO!$B$25)+(IFERROR(_xlfn.PERCENTRANK.INC($C$2:$C$1194,C1062)*100,0)*PARAMS_MODELO!$B$26)+(IFERROR(_xlfn.PERCENTRANK.INC($E$2:$E$1194,E1062)*100,0)*PARAMS_MODELO!$B$27)+(IFERROR(_xlfn.PERCENTRANK.INC($F$2:$F$1194,F1062)*100,0)*PARAMS_MODELO!$B$29)+(IFERROR(_xlfn.PERCENTRANK.INC($I$2:$I$1194,I1062)*100,0)*PARAMS_MODELO!$B$31)</f>
        <v>35.445</v>
      </c>
    </row>
    <row r="1063" spans="1:10" x14ac:dyDescent="0.3">
      <c r="A1063">
        <v>51017005</v>
      </c>
      <c r="B1063">
        <v>0</v>
      </c>
      <c r="C1063">
        <v>19</v>
      </c>
      <c r="D1063">
        <v>50</v>
      </c>
      <c r="E1063" s="21">
        <f>D1063/PARAMS_MODELO!$B$28</f>
        <v>1.6666666666666667</v>
      </c>
      <c r="F1063">
        <v>70</v>
      </c>
      <c r="G1063">
        <v>67</v>
      </c>
      <c r="H1063">
        <v>8</v>
      </c>
      <c r="I1063" s="20">
        <f t="shared" si="16"/>
        <v>0.11940298507462686</v>
      </c>
      <c r="J1063" s="21">
        <f>(IFERROR(_xlfn.PERCENTRANK.INC($B$2:$B$1194,B1063)*100,0)*PARAMS_MODELO!$B$25)+(IFERROR(_xlfn.PERCENTRANK.INC($C$2:$C$1194,C1063)*100,0)*PARAMS_MODELO!$B$26)+(IFERROR(_xlfn.PERCENTRANK.INC($E$2:$E$1194,E1063)*100,0)*PARAMS_MODELO!$B$27)+(IFERROR(_xlfn.PERCENTRANK.INC($F$2:$F$1194,F1063)*100,0)*PARAMS_MODELO!$B$29)+(IFERROR(_xlfn.PERCENTRANK.INC($I$2:$I$1194,I1063)*100,0)*PARAMS_MODELO!$B$31)</f>
        <v>39.395000000000003</v>
      </c>
    </row>
    <row r="1064" spans="1:10" x14ac:dyDescent="0.3">
      <c r="A1064">
        <v>51017200</v>
      </c>
      <c r="B1064">
        <v>65</v>
      </c>
      <c r="C1064">
        <v>6</v>
      </c>
      <c r="D1064">
        <v>12</v>
      </c>
      <c r="E1064" s="21">
        <f>D1064/PARAMS_MODELO!$B$28</f>
        <v>0.4</v>
      </c>
      <c r="F1064">
        <v>43</v>
      </c>
      <c r="G1064">
        <v>60</v>
      </c>
      <c r="H1064">
        <v>7</v>
      </c>
      <c r="I1064" s="20">
        <f t="shared" si="16"/>
        <v>0.11666666666666667</v>
      </c>
      <c r="J1064" s="21">
        <f>(IFERROR(_xlfn.PERCENTRANK.INC($B$2:$B$1194,B1064)*100,0)*PARAMS_MODELO!$B$25)+(IFERROR(_xlfn.PERCENTRANK.INC($C$2:$C$1194,C1064)*100,0)*PARAMS_MODELO!$B$26)+(IFERROR(_xlfn.PERCENTRANK.INC($E$2:$E$1194,E1064)*100,0)*PARAMS_MODELO!$B$27)+(IFERROR(_xlfn.PERCENTRANK.INC($F$2:$F$1194,F1064)*100,0)*PARAMS_MODELO!$B$29)+(IFERROR(_xlfn.PERCENTRANK.INC($I$2:$I$1194,I1064)*100,0)*PARAMS_MODELO!$B$31)</f>
        <v>34.305</v>
      </c>
    </row>
    <row r="1065" spans="1:10" x14ac:dyDescent="0.3">
      <c r="A1065">
        <v>51017692</v>
      </c>
      <c r="B1065">
        <v>14</v>
      </c>
      <c r="C1065">
        <v>19</v>
      </c>
      <c r="D1065">
        <v>33</v>
      </c>
      <c r="E1065" s="21">
        <f>D1065/PARAMS_MODELO!$B$28</f>
        <v>1.1000000000000001</v>
      </c>
      <c r="F1065">
        <v>49</v>
      </c>
      <c r="G1065">
        <v>3</v>
      </c>
      <c r="H1065">
        <v>0</v>
      </c>
      <c r="I1065" s="20">
        <f t="shared" si="16"/>
        <v>0</v>
      </c>
      <c r="J1065" s="21">
        <f>(IFERROR(_xlfn.PERCENTRANK.INC($B$2:$B$1194,B1065)*100,0)*PARAMS_MODELO!$B$25)+(IFERROR(_xlfn.PERCENTRANK.INC($C$2:$C$1194,C1065)*100,0)*PARAMS_MODELO!$B$26)+(IFERROR(_xlfn.PERCENTRANK.INC($E$2:$E$1194,E1065)*100,0)*PARAMS_MODELO!$B$27)+(IFERROR(_xlfn.PERCENTRANK.INC($F$2:$F$1194,F1065)*100,0)*PARAMS_MODELO!$B$29)+(IFERROR(_xlfn.PERCENTRANK.INC($I$2:$I$1194,I1065)*100,0)*PARAMS_MODELO!$B$31)</f>
        <v>35.32</v>
      </c>
    </row>
    <row r="1066" spans="1:10" x14ac:dyDescent="0.3">
      <c r="A1066">
        <v>51017781</v>
      </c>
      <c r="B1066">
        <v>28</v>
      </c>
      <c r="C1066">
        <v>23</v>
      </c>
      <c r="D1066">
        <v>43</v>
      </c>
      <c r="E1066" s="21">
        <f>D1066/PARAMS_MODELO!$B$28</f>
        <v>1.4333333333333333</v>
      </c>
      <c r="F1066">
        <v>22</v>
      </c>
      <c r="G1066">
        <v>95</v>
      </c>
      <c r="H1066">
        <v>30</v>
      </c>
      <c r="I1066" s="20">
        <f t="shared" si="16"/>
        <v>0.31578947368421051</v>
      </c>
      <c r="J1066" s="21">
        <f>(IFERROR(_xlfn.PERCENTRANK.INC($B$2:$B$1194,B1066)*100,0)*PARAMS_MODELO!$B$25)+(IFERROR(_xlfn.PERCENTRANK.INC($C$2:$C$1194,C1066)*100,0)*PARAMS_MODELO!$B$26)+(IFERROR(_xlfn.PERCENTRANK.INC($E$2:$E$1194,E1066)*100,0)*PARAMS_MODELO!$B$27)+(IFERROR(_xlfn.PERCENTRANK.INC($F$2:$F$1194,F1066)*100,0)*PARAMS_MODELO!$B$29)+(IFERROR(_xlfn.PERCENTRANK.INC($I$2:$I$1194,I1066)*100,0)*PARAMS_MODELO!$B$31)</f>
        <v>44.614999999999995</v>
      </c>
    </row>
    <row r="1067" spans="1:10" x14ac:dyDescent="0.3">
      <c r="A1067">
        <v>51018010</v>
      </c>
      <c r="B1067">
        <v>30</v>
      </c>
      <c r="C1067">
        <v>21</v>
      </c>
      <c r="D1067">
        <v>73</v>
      </c>
      <c r="E1067" s="21">
        <f>D1067/PARAMS_MODELO!$B$28</f>
        <v>2.4333333333333331</v>
      </c>
      <c r="F1067">
        <v>37</v>
      </c>
      <c r="G1067">
        <v>89</v>
      </c>
      <c r="H1067">
        <v>24</v>
      </c>
      <c r="I1067" s="20">
        <f t="shared" si="16"/>
        <v>0.2696629213483146</v>
      </c>
      <c r="J1067" s="21">
        <f>(IFERROR(_xlfn.PERCENTRANK.INC($B$2:$B$1194,B1067)*100,0)*PARAMS_MODELO!$B$25)+(IFERROR(_xlfn.PERCENTRANK.INC($C$2:$C$1194,C1067)*100,0)*PARAMS_MODELO!$B$26)+(IFERROR(_xlfn.PERCENTRANK.INC($E$2:$E$1194,E1067)*100,0)*PARAMS_MODELO!$B$27)+(IFERROR(_xlfn.PERCENTRANK.INC($F$2:$F$1194,F1067)*100,0)*PARAMS_MODELO!$B$29)+(IFERROR(_xlfn.PERCENTRANK.INC($I$2:$I$1194,I1067)*100,0)*PARAMS_MODELO!$B$31)</f>
        <v>51.42</v>
      </c>
    </row>
    <row r="1068" spans="1:10" x14ac:dyDescent="0.3">
      <c r="A1068">
        <v>51018168</v>
      </c>
      <c r="B1068">
        <v>11</v>
      </c>
      <c r="C1068">
        <v>12</v>
      </c>
      <c r="D1068">
        <v>45</v>
      </c>
      <c r="E1068" s="21">
        <f>D1068/PARAMS_MODELO!$B$28</f>
        <v>1.5</v>
      </c>
      <c r="F1068">
        <v>39</v>
      </c>
      <c r="G1068">
        <v>51</v>
      </c>
      <c r="H1068">
        <v>2</v>
      </c>
      <c r="I1068" s="20">
        <f t="shared" si="16"/>
        <v>3.9215686274509803E-2</v>
      </c>
      <c r="J1068" s="21">
        <f>(IFERROR(_xlfn.PERCENTRANK.INC($B$2:$B$1194,B1068)*100,0)*PARAMS_MODELO!$B$25)+(IFERROR(_xlfn.PERCENTRANK.INC($C$2:$C$1194,C1068)*100,0)*PARAMS_MODELO!$B$26)+(IFERROR(_xlfn.PERCENTRANK.INC($E$2:$E$1194,E1068)*100,0)*PARAMS_MODELO!$B$27)+(IFERROR(_xlfn.PERCENTRANK.INC($F$2:$F$1194,F1068)*100,0)*PARAMS_MODELO!$B$29)+(IFERROR(_xlfn.PERCENTRANK.INC($I$2:$I$1194,I1068)*100,0)*PARAMS_MODELO!$B$31)</f>
        <v>29.89</v>
      </c>
    </row>
    <row r="1069" spans="1:10" x14ac:dyDescent="0.3">
      <c r="A1069">
        <v>51018192</v>
      </c>
      <c r="B1069">
        <v>54</v>
      </c>
      <c r="C1069">
        <v>5</v>
      </c>
      <c r="D1069">
        <v>35</v>
      </c>
      <c r="E1069" s="21">
        <f>D1069/PARAMS_MODELO!$B$28</f>
        <v>1.1666666666666667</v>
      </c>
      <c r="F1069">
        <v>30</v>
      </c>
      <c r="G1069">
        <v>56</v>
      </c>
      <c r="H1069">
        <v>31</v>
      </c>
      <c r="I1069" s="20">
        <f t="shared" si="16"/>
        <v>0.5535714285714286</v>
      </c>
      <c r="J1069" s="21">
        <f>(IFERROR(_xlfn.PERCENTRANK.INC($B$2:$B$1194,B1069)*100,0)*PARAMS_MODELO!$B$25)+(IFERROR(_xlfn.PERCENTRANK.INC($C$2:$C$1194,C1069)*100,0)*PARAMS_MODELO!$B$26)+(IFERROR(_xlfn.PERCENTRANK.INC($E$2:$E$1194,E1069)*100,0)*PARAMS_MODELO!$B$27)+(IFERROR(_xlfn.PERCENTRANK.INC($F$2:$F$1194,F1069)*100,0)*PARAMS_MODELO!$B$29)+(IFERROR(_xlfn.PERCENTRANK.INC($I$2:$I$1194,I1069)*100,0)*PARAMS_MODELO!$B$31)</f>
        <v>37.15</v>
      </c>
    </row>
    <row r="1070" spans="1:10" x14ac:dyDescent="0.3">
      <c r="A1070">
        <v>51018281</v>
      </c>
      <c r="B1070">
        <v>3</v>
      </c>
      <c r="C1070">
        <v>10</v>
      </c>
      <c r="D1070">
        <v>45</v>
      </c>
      <c r="E1070" s="21">
        <f>D1070/PARAMS_MODELO!$B$28</f>
        <v>1.5</v>
      </c>
      <c r="F1070">
        <v>13</v>
      </c>
      <c r="G1070">
        <v>84</v>
      </c>
      <c r="H1070">
        <v>74</v>
      </c>
      <c r="I1070" s="20">
        <f t="shared" si="16"/>
        <v>0.88095238095238093</v>
      </c>
      <c r="J1070" s="21">
        <f>(IFERROR(_xlfn.PERCENTRANK.INC($B$2:$B$1194,B1070)*100,0)*PARAMS_MODELO!$B$25)+(IFERROR(_xlfn.PERCENTRANK.INC($C$2:$C$1194,C1070)*100,0)*PARAMS_MODELO!$B$26)+(IFERROR(_xlfn.PERCENTRANK.INC($E$2:$E$1194,E1070)*100,0)*PARAMS_MODELO!$B$27)+(IFERROR(_xlfn.PERCENTRANK.INC($F$2:$F$1194,F1070)*100,0)*PARAMS_MODELO!$B$29)+(IFERROR(_xlfn.PERCENTRANK.INC($I$2:$I$1194,I1070)*100,0)*PARAMS_MODELO!$B$31)</f>
        <v>29.520000000000003</v>
      </c>
    </row>
    <row r="1071" spans="1:10" x14ac:dyDescent="0.3">
      <c r="A1071">
        <v>51018915</v>
      </c>
      <c r="B1071">
        <v>74</v>
      </c>
      <c r="C1071">
        <v>0</v>
      </c>
      <c r="D1071">
        <v>34</v>
      </c>
      <c r="E1071" s="21">
        <f>D1071/PARAMS_MODELO!$B$28</f>
        <v>1.1333333333333333</v>
      </c>
      <c r="F1071">
        <v>12</v>
      </c>
      <c r="G1071">
        <v>93</v>
      </c>
      <c r="H1071">
        <v>21</v>
      </c>
      <c r="I1071" s="20">
        <f t="shared" si="16"/>
        <v>0.22580645161290322</v>
      </c>
      <c r="J1071" s="21">
        <f>(IFERROR(_xlfn.PERCENTRANK.INC($B$2:$B$1194,B1071)*100,0)*PARAMS_MODELO!$B$25)+(IFERROR(_xlfn.PERCENTRANK.INC($C$2:$C$1194,C1071)*100,0)*PARAMS_MODELO!$B$26)+(IFERROR(_xlfn.PERCENTRANK.INC($E$2:$E$1194,E1071)*100,0)*PARAMS_MODELO!$B$27)+(IFERROR(_xlfn.PERCENTRANK.INC($F$2:$F$1194,F1071)*100,0)*PARAMS_MODELO!$B$29)+(IFERROR(_xlfn.PERCENTRANK.INC($I$2:$I$1194,I1071)*100,0)*PARAMS_MODELO!$B$31)</f>
        <v>32.625</v>
      </c>
    </row>
    <row r="1072" spans="1:10" x14ac:dyDescent="0.3">
      <c r="A1072">
        <v>51019075</v>
      </c>
      <c r="B1072">
        <v>98</v>
      </c>
      <c r="C1072">
        <v>21</v>
      </c>
      <c r="D1072">
        <v>38</v>
      </c>
      <c r="E1072" s="21">
        <f>D1072/PARAMS_MODELO!$B$28</f>
        <v>1.2666666666666666</v>
      </c>
      <c r="F1072">
        <v>65</v>
      </c>
      <c r="G1072">
        <v>62</v>
      </c>
      <c r="H1072">
        <v>10</v>
      </c>
      <c r="I1072" s="20">
        <f t="shared" si="16"/>
        <v>0.16129032258064516</v>
      </c>
      <c r="J1072" s="21">
        <f>(IFERROR(_xlfn.PERCENTRANK.INC($B$2:$B$1194,B1072)*100,0)*PARAMS_MODELO!$B$25)+(IFERROR(_xlfn.PERCENTRANK.INC($C$2:$C$1194,C1072)*100,0)*PARAMS_MODELO!$B$26)+(IFERROR(_xlfn.PERCENTRANK.INC($E$2:$E$1194,E1072)*100,0)*PARAMS_MODELO!$B$27)+(IFERROR(_xlfn.PERCENTRANK.INC($F$2:$F$1194,F1072)*100,0)*PARAMS_MODELO!$B$29)+(IFERROR(_xlfn.PERCENTRANK.INC($I$2:$I$1194,I1072)*100,0)*PARAMS_MODELO!$B$31)</f>
        <v>67.64</v>
      </c>
    </row>
    <row r="1073" spans="1:10" x14ac:dyDescent="0.3">
      <c r="A1073">
        <v>51019156</v>
      </c>
      <c r="B1073">
        <v>89</v>
      </c>
      <c r="C1073">
        <v>24</v>
      </c>
      <c r="D1073">
        <v>44</v>
      </c>
      <c r="E1073" s="21">
        <f>D1073/PARAMS_MODELO!$B$28</f>
        <v>1.4666666666666666</v>
      </c>
      <c r="F1073">
        <v>66</v>
      </c>
      <c r="G1073">
        <v>20</v>
      </c>
      <c r="H1073">
        <v>3</v>
      </c>
      <c r="I1073" s="20">
        <f t="shared" si="16"/>
        <v>0.15</v>
      </c>
      <c r="J1073" s="21">
        <f>(IFERROR(_xlfn.PERCENTRANK.INC($B$2:$B$1194,B1073)*100,0)*PARAMS_MODELO!$B$25)+(IFERROR(_xlfn.PERCENTRANK.INC($C$2:$C$1194,C1073)*100,0)*PARAMS_MODELO!$B$26)+(IFERROR(_xlfn.PERCENTRANK.INC($E$2:$E$1194,E1073)*100,0)*PARAMS_MODELO!$B$27)+(IFERROR(_xlfn.PERCENTRANK.INC($F$2:$F$1194,F1073)*100,0)*PARAMS_MODELO!$B$29)+(IFERROR(_xlfn.PERCENTRANK.INC($I$2:$I$1194,I1073)*100,0)*PARAMS_MODELO!$B$31)</f>
        <v>69.195000000000007</v>
      </c>
    </row>
    <row r="1074" spans="1:10" x14ac:dyDescent="0.3">
      <c r="A1074">
        <v>51019181</v>
      </c>
      <c r="B1074">
        <v>34</v>
      </c>
      <c r="C1074">
        <v>20</v>
      </c>
      <c r="D1074">
        <v>27</v>
      </c>
      <c r="E1074" s="21">
        <f>D1074/PARAMS_MODELO!$B$28</f>
        <v>0.9</v>
      </c>
      <c r="F1074">
        <v>89</v>
      </c>
      <c r="G1074">
        <v>91</v>
      </c>
      <c r="H1074">
        <v>75</v>
      </c>
      <c r="I1074" s="20">
        <f t="shared" si="16"/>
        <v>0.82417582417582413</v>
      </c>
      <c r="J1074" s="21">
        <f>(IFERROR(_xlfn.PERCENTRANK.INC($B$2:$B$1194,B1074)*100,0)*PARAMS_MODELO!$B$25)+(IFERROR(_xlfn.PERCENTRANK.INC($C$2:$C$1194,C1074)*100,0)*PARAMS_MODELO!$B$26)+(IFERROR(_xlfn.PERCENTRANK.INC($E$2:$E$1194,E1074)*100,0)*PARAMS_MODELO!$B$27)+(IFERROR(_xlfn.PERCENTRANK.INC($F$2:$F$1194,F1074)*100,0)*PARAMS_MODELO!$B$29)+(IFERROR(_xlfn.PERCENTRANK.INC($I$2:$I$1194,I1074)*100,0)*PARAMS_MODELO!$B$31)</f>
        <v>55.274999999999991</v>
      </c>
    </row>
    <row r="1075" spans="1:10" x14ac:dyDescent="0.3">
      <c r="A1075">
        <v>51019237</v>
      </c>
      <c r="B1075">
        <v>79</v>
      </c>
      <c r="C1075">
        <v>21</v>
      </c>
      <c r="D1075">
        <v>33</v>
      </c>
      <c r="E1075" s="21">
        <f>D1075/PARAMS_MODELO!$B$28</f>
        <v>1.1000000000000001</v>
      </c>
      <c r="F1075">
        <v>55</v>
      </c>
      <c r="G1075">
        <v>74</v>
      </c>
      <c r="H1075">
        <v>23</v>
      </c>
      <c r="I1075" s="20">
        <f t="shared" si="16"/>
        <v>0.3108108108108108</v>
      </c>
      <c r="J1075" s="21">
        <f>(IFERROR(_xlfn.PERCENTRANK.INC($B$2:$B$1194,B1075)*100,0)*PARAMS_MODELO!$B$25)+(IFERROR(_xlfn.PERCENTRANK.INC($C$2:$C$1194,C1075)*100,0)*PARAMS_MODELO!$B$26)+(IFERROR(_xlfn.PERCENTRANK.INC($E$2:$E$1194,E1075)*100,0)*PARAMS_MODELO!$B$27)+(IFERROR(_xlfn.PERCENTRANK.INC($F$2:$F$1194,F1075)*100,0)*PARAMS_MODELO!$B$29)+(IFERROR(_xlfn.PERCENTRANK.INC($I$2:$I$1194,I1075)*100,0)*PARAMS_MODELO!$B$31)</f>
        <v>60.505000000000003</v>
      </c>
    </row>
    <row r="1076" spans="1:10" x14ac:dyDescent="0.3">
      <c r="A1076">
        <v>51019351</v>
      </c>
      <c r="B1076">
        <v>28</v>
      </c>
      <c r="C1076">
        <v>21</v>
      </c>
      <c r="D1076">
        <v>31</v>
      </c>
      <c r="E1076" s="21">
        <f>D1076/PARAMS_MODELO!$B$28</f>
        <v>1.0333333333333334</v>
      </c>
      <c r="F1076">
        <v>50</v>
      </c>
      <c r="G1076">
        <v>48</v>
      </c>
      <c r="H1076">
        <v>41</v>
      </c>
      <c r="I1076" s="20">
        <f t="shared" si="16"/>
        <v>0.85416666666666663</v>
      </c>
      <c r="J1076" s="21">
        <f>(IFERROR(_xlfn.PERCENTRANK.INC($B$2:$B$1194,B1076)*100,0)*PARAMS_MODELO!$B$25)+(IFERROR(_xlfn.PERCENTRANK.INC($C$2:$C$1194,C1076)*100,0)*PARAMS_MODELO!$B$26)+(IFERROR(_xlfn.PERCENTRANK.INC($E$2:$E$1194,E1076)*100,0)*PARAMS_MODELO!$B$27)+(IFERROR(_xlfn.PERCENTRANK.INC($F$2:$F$1194,F1076)*100,0)*PARAMS_MODELO!$B$29)+(IFERROR(_xlfn.PERCENTRANK.INC($I$2:$I$1194,I1076)*100,0)*PARAMS_MODELO!$B$31)</f>
        <v>49.92</v>
      </c>
    </row>
    <row r="1077" spans="1:10" x14ac:dyDescent="0.3">
      <c r="A1077">
        <v>51019725</v>
      </c>
      <c r="B1077">
        <v>61</v>
      </c>
      <c r="C1077">
        <v>5</v>
      </c>
      <c r="D1077">
        <v>100</v>
      </c>
      <c r="E1077" s="21">
        <f>D1077/PARAMS_MODELO!$B$28</f>
        <v>3.3333333333333335</v>
      </c>
      <c r="F1077">
        <v>87</v>
      </c>
      <c r="G1077">
        <v>84</v>
      </c>
      <c r="H1077">
        <v>68</v>
      </c>
      <c r="I1077" s="20">
        <f t="shared" si="16"/>
        <v>0.80952380952380953</v>
      </c>
      <c r="J1077" s="21">
        <f>(IFERROR(_xlfn.PERCENTRANK.INC($B$2:$B$1194,B1077)*100,0)*PARAMS_MODELO!$B$25)+(IFERROR(_xlfn.PERCENTRANK.INC($C$2:$C$1194,C1077)*100,0)*PARAMS_MODELO!$B$26)+(IFERROR(_xlfn.PERCENTRANK.INC($E$2:$E$1194,E1077)*100,0)*PARAMS_MODELO!$B$27)+(IFERROR(_xlfn.PERCENTRANK.INC($F$2:$F$1194,F1077)*100,0)*PARAMS_MODELO!$B$29)+(IFERROR(_xlfn.PERCENTRANK.INC($I$2:$I$1194,I1077)*100,0)*PARAMS_MODELO!$B$31)</f>
        <v>63.12</v>
      </c>
    </row>
    <row r="1078" spans="1:10" x14ac:dyDescent="0.3">
      <c r="A1078">
        <v>51019768</v>
      </c>
      <c r="B1078">
        <v>44</v>
      </c>
      <c r="C1078">
        <v>16</v>
      </c>
      <c r="D1078">
        <v>58</v>
      </c>
      <c r="E1078" s="21">
        <f>D1078/PARAMS_MODELO!$B$28</f>
        <v>1.9333333333333333</v>
      </c>
      <c r="F1078">
        <v>72</v>
      </c>
      <c r="G1078">
        <v>24</v>
      </c>
      <c r="H1078">
        <v>13</v>
      </c>
      <c r="I1078" s="20">
        <f t="shared" si="16"/>
        <v>0.54166666666666663</v>
      </c>
      <c r="J1078" s="21">
        <f>(IFERROR(_xlfn.PERCENTRANK.INC($B$2:$B$1194,B1078)*100,0)*PARAMS_MODELO!$B$25)+(IFERROR(_xlfn.PERCENTRANK.INC($C$2:$C$1194,C1078)*100,0)*PARAMS_MODELO!$B$26)+(IFERROR(_xlfn.PERCENTRANK.INC($E$2:$E$1194,E1078)*100,0)*PARAMS_MODELO!$B$27)+(IFERROR(_xlfn.PERCENTRANK.INC($F$2:$F$1194,F1078)*100,0)*PARAMS_MODELO!$B$29)+(IFERROR(_xlfn.PERCENTRANK.INC($I$2:$I$1194,I1078)*100,0)*PARAMS_MODELO!$B$31)</f>
        <v>55.494999999999997</v>
      </c>
    </row>
    <row r="1079" spans="1:10" x14ac:dyDescent="0.3">
      <c r="A1079">
        <v>51020120</v>
      </c>
      <c r="B1079">
        <v>18</v>
      </c>
      <c r="C1079">
        <v>24</v>
      </c>
      <c r="D1079">
        <v>46</v>
      </c>
      <c r="E1079" s="21">
        <f>D1079/PARAMS_MODELO!$B$28</f>
        <v>1.5333333333333334</v>
      </c>
      <c r="F1079">
        <v>57</v>
      </c>
      <c r="G1079">
        <v>81</v>
      </c>
      <c r="H1079">
        <v>26</v>
      </c>
      <c r="I1079" s="20">
        <f t="shared" si="16"/>
        <v>0.32098765432098764</v>
      </c>
      <c r="J1079" s="21">
        <f>(IFERROR(_xlfn.PERCENTRANK.INC($B$2:$B$1194,B1079)*100,0)*PARAMS_MODELO!$B$25)+(IFERROR(_xlfn.PERCENTRANK.INC($C$2:$C$1194,C1079)*100,0)*PARAMS_MODELO!$B$26)+(IFERROR(_xlfn.PERCENTRANK.INC($E$2:$E$1194,E1079)*100,0)*PARAMS_MODELO!$B$27)+(IFERROR(_xlfn.PERCENTRANK.INC($F$2:$F$1194,F1079)*100,0)*PARAMS_MODELO!$B$29)+(IFERROR(_xlfn.PERCENTRANK.INC($I$2:$I$1194,I1079)*100,0)*PARAMS_MODELO!$B$31)</f>
        <v>49.024999999999999</v>
      </c>
    </row>
    <row r="1080" spans="1:10" x14ac:dyDescent="0.3">
      <c r="A1080">
        <v>51020154</v>
      </c>
      <c r="B1080">
        <v>27</v>
      </c>
      <c r="C1080">
        <v>10</v>
      </c>
      <c r="D1080">
        <v>61</v>
      </c>
      <c r="E1080" s="21">
        <f>D1080/PARAMS_MODELO!$B$28</f>
        <v>2.0333333333333332</v>
      </c>
      <c r="F1080">
        <v>6</v>
      </c>
      <c r="G1080">
        <v>28</v>
      </c>
      <c r="H1080">
        <v>11</v>
      </c>
      <c r="I1080" s="20">
        <f t="shared" si="16"/>
        <v>0.39285714285714285</v>
      </c>
      <c r="J1080" s="21">
        <f>(IFERROR(_xlfn.PERCENTRANK.INC($B$2:$B$1194,B1080)*100,0)*PARAMS_MODELO!$B$25)+(IFERROR(_xlfn.PERCENTRANK.INC($C$2:$C$1194,C1080)*100,0)*PARAMS_MODELO!$B$26)+(IFERROR(_xlfn.PERCENTRANK.INC($E$2:$E$1194,E1080)*100,0)*PARAMS_MODELO!$B$27)+(IFERROR(_xlfn.PERCENTRANK.INC($F$2:$F$1194,F1080)*100,0)*PARAMS_MODELO!$B$29)+(IFERROR(_xlfn.PERCENTRANK.INC($I$2:$I$1194,I1080)*100,0)*PARAMS_MODELO!$B$31)</f>
        <v>34.094999999999999</v>
      </c>
    </row>
    <row r="1081" spans="1:10" x14ac:dyDescent="0.3">
      <c r="A1081">
        <v>51020740</v>
      </c>
      <c r="B1081">
        <v>3</v>
      </c>
      <c r="C1081">
        <v>10</v>
      </c>
      <c r="D1081">
        <v>11</v>
      </c>
      <c r="E1081" s="21">
        <f>D1081/PARAMS_MODELO!$B$28</f>
        <v>0.36666666666666664</v>
      </c>
      <c r="F1081">
        <v>24</v>
      </c>
      <c r="G1081">
        <v>95</v>
      </c>
      <c r="H1081">
        <v>13</v>
      </c>
      <c r="I1081" s="20">
        <f t="shared" si="16"/>
        <v>0.1368421052631579</v>
      </c>
      <c r="J1081" s="21">
        <f>(IFERROR(_xlfn.PERCENTRANK.INC($B$2:$B$1194,B1081)*100,0)*PARAMS_MODELO!$B$25)+(IFERROR(_xlfn.PERCENTRANK.INC($C$2:$C$1194,C1081)*100,0)*PARAMS_MODELO!$B$26)+(IFERROR(_xlfn.PERCENTRANK.INC($E$2:$E$1194,E1081)*100,0)*PARAMS_MODELO!$B$27)+(IFERROR(_xlfn.PERCENTRANK.INC($F$2:$F$1194,F1081)*100,0)*PARAMS_MODELO!$B$29)+(IFERROR(_xlfn.PERCENTRANK.INC($I$2:$I$1194,I1081)*100,0)*PARAMS_MODELO!$B$31)</f>
        <v>16.600000000000001</v>
      </c>
    </row>
    <row r="1082" spans="1:10" x14ac:dyDescent="0.3">
      <c r="A1082">
        <v>51021151</v>
      </c>
      <c r="B1082">
        <v>94</v>
      </c>
      <c r="C1082">
        <v>1</v>
      </c>
      <c r="D1082">
        <v>21</v>
      </c>
      <c r="E1082" s="21">
        <f>D1082/PARAMS_MODELO!$B$28</f>
        <v>0.7</v>
      </c>
      <c r="F1082">
        <v>84</v>
      </c>
      <c r="G1082">
        <v>86</v>
      </c>
      <c r="H1082">
        <v>70</v>
      </c>
      <c r="I1082" s="20">
        <f t="shared" si="16"/>
        <v>0.81395348837209303</v>
      </c>
      <c r="J1082" s="21">
        <f>(IFERROR(_xlfn.PERCENTRANK.INC($B$2:$B$1194,B1082)*100,0)*PARAMS_MODELO!$B$25)+(IFERROR(_xlfn.PERCENTRANK.INC($C$2:$C$1194,C1082)*100,0)*PARAMS_MODELO!$B$26)+(IFERROR(_xlfn.PERCENTRANK.INC($E$2:$E$1194,E1082)*100,0)*PARAMS_MODELO!$B$27)+(IFERROR(_xlfn.PERCENTRANK.INC($F$2:$F$1194,F1082)*100,0)*PARAMS_MODELO!$B$29)+(IFERROR(_xlfn.PERCENTRANK.INC($I$2:$I$1194,I1082)*100,0)*PARAMS_MODELO!$B$31)</f>
        <v>53.55</v>
      </c>
    </row>
    <row r="1083" spans="1:10" x14ac:dyDescent="0.3">
      <c r="A1083">
        <v>51021525</v>
      </c>
      <c r="B1083">
        <v>24</v>
      </c>
      <c r="C1083">
        <v>0</v>
      </c>
      <c r="D1083">
        <v>97</v>
      </c>
      <c r="E1083" s="21">
        <f>D1083/PARAMS_MODELO!$B$28</f>
        <v>3.2333333333333334</v>
      </c>
      <c r="F1083">
        <v>62</v>
      </c>
      <c r="G1083">
        <v>51</v>
      </c>
      <c r="H1083">
        <v>12</v>
      </c>
      <c r="I1083" s="20">
        <f t="shared" si="16"/>
        <v>0.23529411764705882</v>
      </c>
      <c r="J1083" s="21">
        <f>(IFERROR(_xlfn.PERCENTRANK.INC($B$2:$B$1194,B1083)*100,0)*PARAMS_MODELO!$B$25)+(IFERROR(_xlfn.PERCENTRANK.INC($C$2:$C$1194,C1083)*100,0)*PARAMS_MODELO!$B$26)+(IFERROR(_xlfn.PERCENTRANK.INC($E$2:$E$1194,E1083)*100,0)*PARAMS_MODELO!$B$27)+(IFERROR(_xlfn.PERCENTRANK.INC($F$2:$F$1194,F1083)*100,0)*PARAMS_MODELO!$B$29)+(IFERROR(_xlfn.PERCENTRANK.INC($I$2:$I$1194,I1083)*100,0)*PARAMS_MODELO!$B$31)</f>
        <v>37.760000000000005</v>
      </c>
    </row>
    <row r="1084" spans="1:10" x14ac:dyDescent="0.3">
      <c r="A1084">
        <v>51021649</v>
      </c>
      <c r="B1084">
        <v>96</v>
      </c>
      <c r="C1084">
        <v>18</v>
      </c>
      <c r="D1084">
        <v>97</v>
      </c>
      <c r="E1084" s="21">
        <f>D1084/PARAMS_MODELO!$B$28</f>
        <v>3.2333333333333334</v>
      </c>
      <c r="F1084">
        <v>62</v>
      </c>
      <c r="G1084">
        <v>50</v>
      </c>
      <c r="H1084">
        <v>16</v>
      </c>
      <c r="I1084" s="20">
        <f t="shared" si="16"/>
        <v>0.32</v>
      </c>
      <c r="J1084" s="21">
        <f>(IFERROR(_xlfn.PERCENTRANK.INC($B$2:$B$1194,B1084)*100,0)*PARAMS_MODELO!$B$25)+(IFERROR(_xlfn.PERCENTRANK.INC($C$2:$C$1194,C1084)*100,0)*PARAMS_MODELO!$B$26)+(IFERROR(_xlfn.PERCENTRANK.INC($E$2:$E$1194,E1084)*100,0)*PARAMS_MODELO!$B$27)+(IFERROR(_xlfn.PERCENTRANK.INC($F$2:$F$1194,F1084)*100,0)*PARAMS_MODELO!$B$29)+(IFERROR(_xlfn.PERCENTRANK.INC($I$2:$I$1194,I1084)*100,0)*PARAMS_MODELO!$B$31)</f>
        <v>76.47</v>
      </c>
    </row>
    <row r="1085" spans="1:10" x14ac:dyDescent="0.3">
      <c r="A1085">
        <v>51021908</v>
      </c>
      <c r="B1085">
        <v>87</v>
      </c>
      <c r="C1085">
        <v>7</v>
      </c>
      <c r="D1085">
        <v>17</v>
      </c>
      <c r="E1085" s="21">
        <f>D1085/PARAMS_MODELO!$B$28</f>
        <v>0.56666666666666665</v>
      </c>
      <c r="F1085">
        <v>87</v>
      </c>
      <c r="G1085">
        <v>2</v>
      </c>
      <c r="H1085">
        <v>0</v>
      </c>
      <c r="I1085" s="20">
        <f t="shared" si="16"/>
        <v>0</v>
      </c>
      <c r="J1085" s="21">
        <f>(IFERROR(_xlfn.PERCENTRANK.INC($B$2:$B$1194,B1085)*100,0)*PARAMS_MODELO!$B$25)+(IFERROR(_xlfn.PERCENTRANK.INC($C$2:$C$1194,C1085)*100,0)*PARAMS_MODELO!$B$26)+(IFERROR(_xlfn.PERCENTRANK.INC($E$2:$E$1194,E1085)*100,0)*PARAMS_MODELO!$B$27)+(IFERROR(_xlfn.PERCENTRANK.INC($F$2:$F$1194,F1085)*100,0)*PARAMS_MODELO!$B$29)+(IFERROR(_xlfn.PERCENTRANK.INC($I$2:$I$1194,I1085)*100,0)*PARAMS_MODELO!$B$31)</f>
        <v>48.180000000000007</v>
      </c>
    </row>
    <row r="1086" spans="1:10" x14ac:dyDescent="0.3">
      <c r="A1086">
        <v>51021924</v>
      </c>
      <c r="B1086">
        <v>64</v>
      </c>
      <c r="C1086">
        <v>12</v>
      </c>
      <c r="D1086">
        <v>41</v>
      </c>
      <c r="E1086" s="21">
        <f>D1086/PARAMS_MODELO!$B$28</f>
        <v>1.3666666666666667</v>
      </c>
      <c r="F1086">
        <v>40</v>
      </c>
      <c r="G1086">
        <v>74</v>
      </c>
      <c r="H1086">
        <v>37</v>
      </c>
      <c r="I1086" s="20">
        <f t="shared" si="16"/>
        <v>0.5</v>
      </c>
      <c r="J1086" s="21">
        <f>(IFERROR(_xlfn.PERCENTRANK.INC($B$2:$B$1194,B1086)*100,0)*PARAMS_MODELO!$B$25)+(IFERROR(_xlfn.PERCENTRANK.INC($C$2:$C$1194,C1086)*100,0)*PARAMS_MODELO!$B$26)+(IFERROR(_xlfn.PERCENTRANK.INC($E$2:$E$1194,E1086)*100,0)*PARAMS_MODELO!$B$27)+(IFERROR(_xlfn.PERCENTRANK.INC($F$2:$F$1194,F1086)*100,0)*PARAMS_MODELO!$B$29)+(IFERROR(_xlfn.PERCENTRANK.INC($I$2:$I$1194,I1086)*100,0)*PARAMS_MODELO!$B$31)</f>
        <v>48.78</v>
      </c>
    </row>
    <row r="1087" spans="1:10" x14ac:dyDescent="0.3">
      <c r="A1087">
        <v>51022203</v>
      </c>
      <c r="B1087">
        <v>37</v>
      </c>
      <c r="C1087">
        <v>0</v>
      </c>
      <c r="D1087">
        <v>96</v>
      </c>
      <c r="E1087" s="21">
        <f>D1087/PARAMS_MODELO!$B$28</f>
        <v>3.2</v>
      </c>
      <c r="F1087">
        <v>29</v>
      </c>
      <c r="G1087">
        <v>47</v>
      </c>
      <c r="H1087">
        <v>2</v>
      </c>
      <c r="I1087" s="20">
        <f t="shared" si="16"/>
        <v>4.2553191489361701E-2</v>
      </c>
      <c r="J1087" s="21">
        <f>(IFERROR(_xlfn.PERCENTRANK.INC($B$2:$B$1194,B1087)*100,0)*PARAMS_MODELO!$B$25)+(IFERROR(_xlfn.PERCENTRANK.INC($C$2:$C$1194,C1087)*100,0)*PARAMS_MODELO!$B$26)+(IFERROR(_xlfn.PERCENTRANK.INC($E$2:$E$1194,E1087)*100,0)*PARAMS_MODELO!$B$27)+(IFERROR(_xlfn.PERCENTRANK.INC($F$2:$F$1194,F1087)*100,0)*PARAMS_MODELO!$B$29)+(IFERROR(_xlfn.PERCENTRANK.INC($I$2:$I$1194,I1087)*100,0)*PARAMS_MODELO!$B$31)</f>
        <v>34.384999999999998</v>
      </c>
    </row>
    <row r="1088" spans="1:10" x14ac:dyDescent="0.3">
      <c r="A1088">
        <v>51022271</v>
      </c>
      <c r="B1088">
        <v>3</v>
      </c>
      <c r="C1088">
        <v>23</v>
      </c>
      <c r="D1088">
        <v>91</v>
      </c>
      <c r="E1088" s="21">
        <f>D1088/PARAMS_MODELO!$B$28</f>
        <v>3.0333333333333332</v>
      </c>
      <c r="F1088">
        <v>31</v>
      </c>
      <c r="G1088">
        <v>74</v>
      </c>
      <c r="H1088">
        <v>14</v>
      </c>
      <c r="I1088" s="20">
        <f t="shared" si="16"/>
        <v>0.1891891891891892</v>
      </c>
      <c r="J1088" s="21">
        <f>(IFERROR(_xlfn.PERCENTRANK.INC($B$2:$B$1194,B1088)*100,0)*PARAMS_MODELO!$B$25)+(IFERROR(_xlfn.PERCENTRANK.INC($C$2:$C$1194,C1088)*100,0)*PARAMS_MODELO!$B$26)+(IFERROR(_xlfn.PERCENTRANK.INC($E$2:$E$1194,E1088)*100,0)*PARAMS_MODELO!$B$27)+(IFERROR(_xlfn.PERCENTRANK.INC($F$2:$F$1194,F1088)*100,0)*PARAMS_MODELO!$B$29)+(IFERROR(_xlfn.PERCENTRANK.INC($I$2:$I$1194,I1088)*100,0)*PARAMS_MODELO!$B$31)</f>
        <v>47.059999999999995</v>
      </c>
    </row>
    <row r="1089" spans="1:10" x14ac:dyDescent="0.3">
      <c r="A1089">
        <v>51022297</v>
      </c>
      <c r="B1089">
        <v>86</v>
      </c>
      <c r="C1089">
        <v>8</v>
      </c>
      <c r="D1089">
        <v>31</v>
      </c>
      <c r="E1089" s="21">
        <f>D1089/PARAMS_MODELO!$B$28</f>
        <v>1.0333333333333334</v>
      </c>
      <c r="F1089">
        <v>62</v>
      </c>
      <c r="G1089">
        <v>65</v>
      </c>
      <c r="H1089">
        <v>33</v>
      </c>
      <c r="I1089" s="20">
        <f t="shared" si="16"/>
        <v>0.50769230769230766</v>
      </c>
      <c r="J1089" s="21">
        <f>(IFERROR(_xlfn.PERCENTRANK.INC($B$2:$B$1194,B1089)*100,0)*PARAMS_MODELO!$B$25)+(IFERROR(_xlfn.PERCENTRANK.INC($C$2:$C$1194,C1089)*100,0)*PARAMS_MODELO!$B$26)+(IFERROR(_xlfn.PERCENTRANK.INC($E$2:$E$1194,E1089)*100,0)*PARAMS_MODELO!$B$27)+(IFERROR(_xlfn.PERCENTRANK.INC($F$2:$F$1194,F1089)*100,0)*PARAMS_MODELO!$B$29)+(IFERROR(_xlfn.PERCENTRANK.INC($I$2:$I$1194,I1089)*100,0)*PARAMS_MODELO!$B$31)</f>
        <v>52.934999999999988</v>
      </c>
    </row>
    <row r="1090" spans="1:10" x14ac:dyDescent="0.3">
      <c r="A1090">
        <v>51022807</v>
      </c>
      <c r="B1090">
        <v>44</v>
      </c>
      <c r="C1090">
        <v>0</v>
      </c>
      <c r="D1090">
        <v>88</v>
      </c>
      <c r="E1090" s="21">
        <f>D1090/PARAMS_MODELO!$B$28</f>
        <v>2.9333333333333331</v>
      </c>
      <c r="F1090">
        <v>16</v>
      </c>
      <c r="G1090">
        <v>57</v>
      </c>
      <c r="H1090">
        <v>28</v>
      </c>
      <c r="I1090" s="20">
        <f t="shared" ref="I1090:I1153" si="17">IFERROR(H1090/G1090,0)</f>
        <v>0.49122807017543857</v>
      </c>
      <c r="J1090" s="21">
        <f>(IFERROR(_xlfn.PERCENTRANK.INC($B$2:$B$1194,B1090)*100,0)*PARAMS_MODELO!$B$25)+(IFERROR(_xlfn.PERCENTRANK.INC($C$2:$C$1194,C1090)*100,0)*PARAMS_MODELO!$B$26)+(IFERROR(_xlfn.PERCENTRANK.INC($E$2:$E$1194,E1090)*100,0)*PARAMS_MODELO!$B$27)+(IFERROR(_xlfn.PERCENTRANK.INC($F$2:$F$1194,F1090)*100,0)*PARAMS_MODELO!$B$29)+(IFERROR(_xlfn.PERCENTRANK.INC($I$2:$I$1194,I1090)*100,0)*PARAMS_MODELO!$B$31)</f>
        <v>37.405000000000001</v>
      </c>
    </row>
    <row r="1091" spans="1:10" x14ac:dyDescent="0.3">
      <c r="A1091">
        <v>51022891</v>
      </c>
      <c r="B1091">
        <v>26</v>
      </c>
      <c r="C1091">
        <v>20</v>
      </c>
      <c r="D1091">
        <v>30</v>
      </c>
      <c r="E1091" s="21">
        <f>D1091/PARAMS_MODELO!$B$28</f>
        <v>1</v>
      </c>
      <c r="F1091">
        <v>4</v>
      </c>
      <c r="G1091">
        <v>33</v>
      </c>
      <c r="H1091">
        <v>29</v>
      </c>
      <c r="I1091" s="20">
        <f t="shared" si="17"/>
        <v>0.87878787878787878</v>
      </c>
      <c r="J1091" s="21">
        <f>(IFERROR(_xlfn.PERCENTRANK.INC($B$2:$B$1194,B1091)*100,0)*PARAMS_MODELO!$B$25)+(IFERROR(_xlfn.PERCENTRANK.INC($C$2:$C$1194,C1091)*100,0)*PARAMS_MODELO!$B$26)+(IFERROR(_xlfn.PERCENTRANK.INC($E$2:$E$1194,E1091)*100,0)*PARAMS_MODELO!$B$27)+(IFERROR(_xlfn.PERCENTRANK.INC($F$2:$F$1194,F1091)*100,0)*PARAMS_MODELO!$B$29)+(IFERROR(_xlfn.PERCENTRANK.INC($I$2:$I$1194,I1091)*100,0)*PARAMS_MODELO!$B$31)</f>
        <v>41.245000000000005</v>
      </c>
    </row>
    <row r="1092" spans="1:10" x14ac:dyDescent="0.3">
      <c r="A1092">
        <v>51022939</v>
      </c>
      <c r="B1092">
        <v>57</v>
      </c>
      <c r="C1092">
        <v>5</v>
      </c>
      <c r="D1092">
        <v>37</v>
      </c>
      <c r="E1092" s="21">
        <f>D1092/PARAMS_MODELO!$B$28</f>
        <v>1.2333333333333334</v>
      </c>
      <c r="F1092">
        <v>84</v>
      </c>
      <c r="G1092">
        <v>52</v>
      </c>
      <c r="H1092">
        <v>32</v>
      </c>
      <c r="I1092" s="20">
        <f t="shared" si="17"/>
        <v>0.61538461538461542</v>
      </c>
      <c r="J1092" s="21">
        <f>(IFERROR(_xlfn.PERCENTRANK.INC($B$2:$B$1194,B1092)*100,0)*PARAMS_MODELO!$B$25)+(IFERROR(_xlfn.PERCENTRANK.INC($C$2:$C$1194,C1092)*100,0)*PARAMS_MODELO!$B$26)+(IFERROR(_xlfn.PERCENTRANK.INC($E$2:$E$1194,E1092)*100,0)*PARAMS_MODELO!$B$27)+(IFERROR(_xlfn.PERCENTRANK.INC($F$2:$F$1194,F1092)*100,0)*PARAMS_MODELO!$B$29)+(IFERROR(_xlfn.PERCENTRANK.INC($I$2:$I$1194,I1092)*100,0)*PARAMS_MODELO!$B$31)</f>
        <v>47.225000000000001</v>
      </c>
    </row>
    <row r="1093" spans="1:10" x14ac:dyDescent="0.3">
      <c r="A1093">
        <v>51023323</v>
      </c>
      <c r="B1093">
        <v>12</v>
      </c>
      <c r="C1093">
        <v>15</v>
      </c>
      <c r="D1093">
        <v>9</v>
      </c>
      <c r="E1093" s="21">
        <f>D1093/PARAMS_MODELO!$B$28</f>
        <v>0.3</v>
      </c>
      <c r="F1093">
        <v>65</v>
      </c>
      <c r="G1093">
        <v>45</v>
      </c>
      <c r="H1093">
        <v>29</v>
      </c>
      <c r="I1093" s="20">
        <f t="shared" si="17"/>
        <v>0.64444444444444449</v>
      </c>
      <c r="J1093" s="21">
        <f>(IFERROR(_xlfn.PERCENTRANK.INC($B$2:$B$1194,B1093)*100,0)*PARAMS_MODELO!$B$25)+(IFERROR(_xlfn.PERCENTRANK.INC($C$2:$C$1194,C1093)*100,0)*PARAMS_MODELO!$B$26)+(IFERROR(_xlfn.PERCENTRANK.INC($E$2:$E$1194,E1093)*100,0)*PARAMS_MODELO!$B$27)+(IFERROR(_xlfn.PERCENTRANK.INC($F$2:$F$1194,F1093)*100,0)*PARAMS_MODELO!$B$29)+(IFERROR(_xlfn.PERCENTRANK.INC($I$2:$I$1194,I1093)*100,0)*PARAMS_MODELO!$B$31)</f>
        <v>35.119999999999997</v>
      </c>
    </row>
    <row r="1094" spans="1:10" x14ac:dyDescent="0.3">
      <c r="A1094">
        <v>51023447</v>
      </c>
      <c r="B1094">
        <v>99</v>
      </c>
      <c r="C1094">
        <v>24</v>
      </c>
      <c r="D1094">
        <v>10</v>
      </c>
      <c r="E1094" s="21">
        <f>D1094/PARAMS_MODELO!$B$28</f>
        <v>0.33333333333333331</v>
      </c>
      <c r="F1094">
        <v>74</v>
      </c>
      <c r="G1094">
        <v>59</v>
      </c>
      <c r="H1094">
        <v>19</v>
      </c>
      <c r="I1094" s="20">
        <f t="shared" si="17"/>
        <v>0.32203389830508472</v>
      </c>
      <c r="J1094" s="21">
        <f>(IFERROR(_xlfn.PERCENTRANK.INC($B$2:$B$1194,B1094)*100,0)*PARAMS_MODELO!$B$25)+(IFERROR(_xlfn.PERCENTRANK.INC($C$2:$C$1194,C1094)*100,0)*PARAMS_MODELO!$B$26)+(IFERROR(_xlfn.PERCENTRANK.INC($E$2:$E$1194,E1094)*100,0)*PARAMS_MODELO!$B$27)+(IFERROR(_xlfn.PERCENTRANK.INC($F$2:$F$1194,F1094)*100,0)*PARAMS_MODELO!$B$29)+(IFERROR(_xlfn.PERCENTRANK.INC($I$2:$I$1194,I1094)*100,0)*PARAMS_MODELO!$B$31)</f>
        <v>68.35499999999999</v>
      </c>
    </row>
    <row r="1095" spans="1:10" x14ac:dyDescent="0.3">
      <c r="A1095">
        <v>51023463</v>
      </c>
      <c r="B1095">
        <v>8</v>
      </c>
      <c r="C1095">
        <v>24</v>
      </c>
      <c r="D1095">
        <v>53</v>
      </c>
      <c r="E1095" s="21">
        <f>D1095/PARAMS_MODELO!$B$28</f>
        <v>1.7666666666666666</v>
      </c>
      <c r="F1095">
        <v>76</v>
      </c>
      <c r="G1095">
        <v>39</v>
      </c>
      <c r="H1095">
        <v>8</v>
      </c>
      <c r="I1095" s="20">
        <f t="shared" si="17"/>
        <v>0.20512820512820512</v>
      </c>
      <c r="J1095" s="21">
        <f>(IFERROR(_xlfn.PERCENTRANK.INC($B$2:$B$1194,B1095)*100,0)*PARAMS_MODELO!$B$25)+(IFERROR(_xlfn.PERCENTRANK.INC($C$2:$C$1194,C1095)*100,0)*PARAMS_MODELO!$B$26)+(IFERROR(_xlfn.PERCENTRANK.INC($E$2:$E$1194,E1095)*100,0)*PARAMS_MODELO!$B$27)+(IFERROR(_xlfn.PERCENTRANK.INC($F$2:$F$1194,F1095)*100,0)*PARAMS_MODELO!$B$29)+(IFERROR(_xlfn.PERCENTRANK.INC($I$2:$I$1194,I1095)*100,0)*PARAMS_MODELO!$B$31)</f>
        <v>49.675000000000004</v>
      </c>
    </row>
    <row r="1096" spans="1:10" x14ac:dyDescent="0.3">
      <c r="A1096">
        <v>51023510</v>
      </c>
      <c r="B1096">
        <v>62</v>
      </c>
      <c r="C1096">
        <v>23</v>
      </c>
      <c r="D1096">
        <v>89</v>
      </c>
      <c r="E1096" s="21">
        <f>D1096/PARAMS_MODELO!$B$28</f>
        <v>2.9666666666666668</v>
      </c>
      <c r="F1096">
        <v>29</v>
      </c>
      <c r="G1096">
        <v>89</v>
      </c>
      <c r="H1096">
        <v>29</v>
      </c>
      <c r="I1096" s="20">
        <f t="shared" si="17"/>
        <v>0.3258426966292135</v>
      </c>
      <c r="J1096" s="21">
        <f>(IFERROR(_xlfn.PERCENTRANK.INC($B$2:$B$1194,B1096)*100,0)*PARAMS_MODELO!$B$25)+(IFERROR(_xlfn.PERCENTRANK.INC($C$2:$C$1194,C1096)*100,0)*PARAMS_MODELO!$B$26)+(IFERROR(_xlfn.PERCENTRANK.INC($E$2:$E$1194,E1096)*100,0)*PARAMS_MODELO!$B$27)+(IFERROR(_xlfn.PERCENTRANK.INC($F$2:$F$1194,F1096)*100,0)*PARAMS_MODELO!$B$29)+(IFERROR(_xlfn.PERCENTRANK.INC($I$2:$I$1194,I1096)*100,0)*PARAMS_MODELO!$B$31)</f>
        <v>64.56</v>
      </c>
    </row>
    <row r="1097" spans="1:10" x14ac:dyDescent="0.3">
      <c r="A1097">
        <v>51024338</v>
      </c>
      <c r="B1097">
        <v>18</v>
      </c>
      <c r="C1097">
        <v>21</v>
      </c>
      <c r="D1097">
        <v>83</v>
      </c>
      <c r="E1097" s="21">
        <f>D1097/PARAMS_MODELO!$B$28</f>
        <v>2.7666666666666666</v>
      </c>
      <c r="F1097">
        <v>64</v>
      </c>
      <c r="G1097">
        <v>4</v>
      </c>
      <c r="H1097">
        <v>0</v>
      </c>
      <c r="I1097" s="20">
        <f t="shared" si="17"/>
        <v>0</v>
      </c>
      <c r="J1097" s="21">
        <f>(IFERROR(_xlfn.PERCENTRANK.INC($B$2:$B$1194,B1097)*100,0)*PARAMS_MODELO!$B$25)+(IFERROR(_xlfn.PERCENTRANK.INC($C$2:$C$1194,C1097)*100,0)*PARAMS_MODELO!$B$26)+(IFERROR(_xlfn.PERCENTRANK.INC($E$2:$E$1194,E1097)*100,0)*PARAMS_MODELO!$B$27)+(IFERROR(_xlfn.PERCENTRANK.INC($F$2:$F$1194,F1097)*100,0)*PARAMS_MODELO!$B$29)+(IFERROR(_xlfn.PERCENTRANK.INC($I$2:$I$1194,I1097)*100,0)*PARAMS_MODELO!$B$31)</f>
        <v>50.650000000000006</v>
      </c>
    </row>
    <row r="1098" spans="1:10" x14ac:dyDescent="0.3">
      <c r="A1098">
        <v>51024346</v>
      </c>
      <c r="B1098">
        <v>89</v>
      </c>
      <c r="C1098">
        <v>2</v>
      </c>
      <c r="D1098">
        <v>70</v>
      </c>
      <c r="E1098" s="21">
        <f>D1098/PARAMS_MODELO!$B$28</f>
        <v>2.3333333333333335</v>
      </c>
      <c r="F1098">
        <v>0</v>
      </c>
      <c r="G1098">
        <v>88</v>
      </c>
      <c r="H1098">
        <v>83</v>
      </c>
      <c r="I1098" s="20">
        <f t="shared" si="17"/>
        <v>0.94318181818181823</v>
      </c>
      <c r="J1098" s="21">
        <f>(IFERROR(_xlfn.PERCENTRANK.INC($B$2:$B$1194,B1098)*100,0)*PARAMS_MODELO!$B$25)+(IFERROR(_xlfn.PERCENTRANK.INC($C$2:$C$1194,C1098)*100,0)*PARAMS_MODELO!$B$26)+(IFERROR(_xlfn.PERCENTRANK.INC($E$2:$E$1194,E1098)*100,0)*PARAMS_MODELO!$B$27)+(IFERROR(_xlfn.PERCENTRANK.INC($F$2:$F$1194,F1098)*100,0)*PARAMS_MODELO!$B$29)+(IFERROR(_xlfn.PERCENTRANK.INC($I$2:$I$1194,I1098)*100,0)*PARAMS_MODELO!$B$31)</f>
        <v>51.48</v>
      </c>
    </row>
    <row r="1099" spans="1:10" x14ac:dyDescent="0.3">
      <c r="A1099">
        <v>51024354</v>
      </c>
      <c r="B1099">
        <v>4</v>
      </c>
      <c r="C1099">
        <v>25</v>
      </c>
      <c r="D1099">
        <v>59</v>
      </c>
      <c r="E1099" s="21">
        <f>D1099/PARAMS_MODELO!$B$28</f>
        <v>1.9666666666666666</v>
      </c>
      <c r="F1099">
        <v>71</v>
      </c>
      <c r="G1099">
        <v>27</v>
      </c>
      <c r="H1099">
        <v>22</v>
      </c>
      <c r="I1099" s="20">
        <f t="shared" si="17"/>
        <v>0.81481481481481477</v>
      </c>
      <c r="J1099" s="21">
        <f>(IFERROR(_xlfn.PERCENTRANK.INC($B$2:$B$1194,B1099)*100,0)*PARAMS_MODELO!$B$25)+(IFERROR(_xlfn.PERCENTRANK.INC($C$2:$C$1194,C1099)*100,0)*PARAMS_MODELO!$B$26)+(IFERROR(_xlfn.PERCENTRANK.INC($E$2:$E$1194,E1099)*100,0)*PARAMS_MODELO!$B$27)+(IFERROR(_xlfn.PERCENTRANK.INC($F$2:$F$1194,F1099)*100,0)*PARAMS_MODELO!$B$29)+(IFERROR(_xlfn.PERCENTRANK.INC($I$2:$I$1194,I1099)*100,0)*PARAMS_MODELO!$B$31)</f>
        <v>55.795000000000002</v>
      </c>
    </row>
    <row r="1100" spans="1:10" x14ac:dyDescent="0.3">
      <c r="A1100">
        <v>51024788</v>
      </c>
      <c r="B1100">
        <v>90</v>
      </c>
      <c r="C1100">
        <v>3</v>
      </c>
      <c r="D1100">
        <v>16</v>
      </c>
      <c r="E1100" s="21">
        <f>D1100/PARAMS_MODELO!$B$28</f>
        <v>0.53333333333333333</v>
      </c>
      <c r="F1100">
        <v>58</v>
      </c>
      <c r="G1100">
        <v>36</v>
      </c>
      <c r="H1100">
        <v>28</v>
      </c>
      <c r="I1100" s="20">
        <f t="shared" si="17"/>
        <v>0.77777777777777779</v>
      </c>
      <c r="J1100" s="21">
        <f>(IFERROR(_xlfn.PERCENTRANK.INC($B$2:$B$1194,B1100)*100,0)*PARAMS_MODELO!$B$25)+(IFERROR(_xlfn.PERCENTRANK.INC($C$2:$C$1194,C1100)*100,0)*PARAMS_MODELO!$B$26)+(IFERROR(_xlfn.PERCENTRANK.INC($E$2:$E$1194,E1100)*100,0)*PARAMS_MODELO!$B$27)+(IFERROR(_xlfn.PERCENTRANK.INC($F$2:$F$1194,F1100)*100,0)*PARAMS_MODELO!$B$29)+(IFERROR(_xlfn.PERCENTRANK.INC($I$2:$I$1194,I1100)*100,0)*PARAMS_MODELO!$B$31)</f>
        <v>48.905000000000001</v>
      </c>
    </row>
    <row r="1101" spans="1:10" x14ac:dyDescent="0.3">
      <c r="A1101">
        <v>51024907</v>
      </c>
      <c r="B1101">
        <v>74</v>
      </c>
      <c r="C1101">
        <v>20</v>
      </c>
      <c r="D1101">
        <v>51</v>
      </c>
      <c r="E1101" s="21">
        <f>D1101/PARAMS_MODELO!$B$28</f>
        <v>1.7</v>
      </c>
      <c r="F1101">
        <v>99</v>
      </c>
      <c r="G1101">
        <v>84</v>
      </c>
      <c r="H1101">
        <v>80</v>
      </c>
      <c r="I1101" s="20">
        <f t="shared" si="17"/>
        <v>0.95238095238095233</v>
      </c>
      <c r="J1101" s="21">
        <f>(IFERROR(_xlfn.PERCENTRANK.INC($B$2:$B$1194,B1101)*100,0)*PARAMS_MODELO!$B$25)+(IFERROR(_xlfn.PERCENTRANK.INC($C$2:$C$1194,C1101)*100,0)*PARAMS_MODELO!$B$26)+(IFERROR(_xlfn.PERCENTRANK.INC($E$2:$E$1194,E1101)*100,0)*PARAMS_MODELO!$B$27)+(IFERROR(_xlfn.PERCENTRANK.INC($F$2:$F$1194,F1101)*100,0)*PARAMS_MODELO!$B$29)+(IFERROR(_xlfn.PERCENTRANK.INC($I$2:$I$1194,I1101)*100,0)*PARAMS_MODELO!$B$31)</f>
        <v>75.174999999999997</v>
      </c>
    </row>
    <row r="1102" spans="1:10" x14ac:dyDescent="0.3">
      <c r="A1102">
        <v>51025598</v>
      </c>
      <c r="B1102">
        <v>2</v>
      </c>
      <c r="C1102">
        <v>3</v>
      </c>
      <c r="D1102">
        <v>2</v>
      </c>
      <c r="E1102" s="21">
        <f>D1102/PARAMS_MODELO!$B$28</f>
        <v>6.6666666666666666E-2</v>
      </c>
      <c r="F1102">
        <v>45</v>
      </c>
      <c r="G1102">
        <v>11</v>
      </c>
      <c r="H1102">
        <v>5</v>
      </c>
      <c r="I1102" s="20">
        <f t="shared" si="17"/>
        <v>0.45454545454545453</v>
      </c>
      <c r="J1102" s="21">
        <f>(IFERROR(_xlfn.PERCENTRANK.INC($B$2:$B$1194,B1102)*100,0)*PARAMS_MODELO!$B$25)+(IFERROR(_xlfn.PERCENTRANK.INC($C$2:$C$1194,C1102)*100,0)*PARAMS_MODELO!$B$26)+(IFERROR(_xlfn.PERCENTRANK.INC($E$2:$E$1194,E1102)*100,0)*PARAMS_MODELO!$B$27)+(IFERROR(_xlfn.PERCENTRANK.INC($F$2:$F$1194,F1102)*100,0)*PARAMS_MODELO!$B$29)+(IFERROR(_xlfn.PERCENTRANK.INC($I$2:$I$1194,I1102)*100,0)*PARAMS_MODELO!$B$31)</f>
        <v>15.095000000000001</v>
      </c>
    </row>
    <row r="1103" spans="1:10" x14ac:dyDescent="0.3">
      <c r="A1103">
        <v>51025601</v>
      </c>
      <c r="B1103">
        <v>13</v>
      </c>
      <c r="C1103">
        <v>2</v>
      </c>
      <c r="D1103">
        <v>21</v>
      </c>
      <c r="E1103" s="21">
        <f>D1103/PARAMS_MODELO!$B$28</f>
        <v>0.7</v>
      </c>
      <c r="F1103">
        <v>89</v>
      </c>
      <c r="G1103">
        <v>35</v>
      </c>
      <c r="H1103">
        <v>33</v>
      </c>
      <c r="I1103" s="20">
        <f t="shared" si="17"/>
        <v>0.94285714285714284</v>
      </c>
      <c r="J1103" s="21">
        <f>(IFERROR(_xlfn.PERCENTRANK.INC($B$2:$B$1194,B1103)*100,0)*PARAMS_MODELO!$B$25)+(IFERROR(_xlfn.PERCENTRANK.INC($C$2:$C$1194,C1103)*100,0)*PARAMS_MODELO!$B$26)+(IFERROR(_xlfn.PERCENTRANK.INC($E$2:$E$1194,E1103)*100,0)*PARAMS_MODELO!$B$27)+(IFERROR(_xlfn.PERCENTRANK.INC($F$2:$F$1194,F1103)*100,0)*PARAMS_MODELO!$B$29)+(IFERROR(_xlfn.PERCENTRANK.INC($I$2:$I$1194,I1103)*100,0)*PARAMS_MODELO!$B$31)</f>
        <v>32.664999999999999</v>
      </c>
    </row>
    <row r="1104" spans="1:10" x14ac:dyDescent="0.3">
      <c r="A1104">
        <v>51025881</v>
      </c>
      <c r="B1104">
        <v>81</v>
      </c>
      <c r="C1104">
        <v>13</v>
      </c>
      <c r="D1104">
        <v>58</v>
      </c>
      <c r="E1104" s="21">
        <f>D1104/PARAMS_MODELO!$B$28</f>
        <v>1.9333333333333333</v>
      </c>
      <c r="F1104">
        <v>71</v>
      </c>
      <c r="G1104">
        <v>12</v>
      </c>
      <c r="H1104">
        <v>4</v>
      </c>
      <c r="I1104" s="20">
        <f t="shared" si="17"/>
        <v>0.33333333333333331</v>
      </c>
      <c r="J1104" s="21">
        <f>(IFERROR(_xlfn.PERCENTRANK.INC($B$2:$B$1194,B1104)*100,0)*PARAMS_MODELO!$B$25)+(IFERROR(_xlfn.PERCENTRANK.INC($C$2:$C$1194,C1104)*100,0)*PARAMS_MODELO!$B$26)+(IFERROR(_xlfn.PERCENTRANK.INC($E$2:$E$1194,E1104)*100,0)*PARAMS_MODELO!$B$27)+(IFERROR(_xlfn.PERCENTRANK.INC($F$2:$F$1194,F1104)*100,0)*PARAMS_MODELO!$B$29)+(IFERROR(_xlfn.PERCENTRANK.INC($I$2:$I$1194,I1104)*100,0)*PARAMS_MODELO!$B$31)</f>
        <v>61.48</v>
      </c>
    </row>
    <row r="1105" spans="1:10" x14ac:dyDescent="0.3">
      <c r="A1105">
        <v>51028856</v>
      </c>
      <c r="B1105">
        <v>3</v>
      </c>
      <c r="C1105">
        <v>6</v>
      </c>
      <c r="D1105">
        <v>99</v>
      </c>
      <c r="E1105" s="21">
        <f>D1105/PARAMS_MODELO!$B$28</f>
        <v>3.3</v>
      </c>
      <c r="F1105">
        <v>77</v>
      </c>
      <c r="G1105">
        <v>97</v>
      </c>
      <c r="H1105">
        <v>83</v>
      </c>
      <c r="I1105" s="20">
        <f t="shared" si="17"/>
        <v>0.85567010309278346</v>
      </c>
      <c r="J1105" s="21">
        <f>(IFERROR(_xlfn.PERCENTRANK.INC($B$2:$B$1194,B1105)*100,0)*PARAMS_MODELO!$B$25)+(IFERROR(_xlfn.PERCENTRANK.INC($C$2:$C$1194,C1105)*100,0)*PARAMS_MODELO!$B$26)+(IFERROR(_xlfn.PERCENTRANK.INC($E$2:$E$1194,E1105)*100,0)*PARAMS_MODELO!$B$27)+(IFERROR(_xlfn.PERCENTRANK.INC($F$2:$F$1194,F1105)*100,0)*PARAMS_MODELO!$B$29)+(IFERROR(_xlfn.PERCENTRANK.INC($I$2:$I$1194,I1105)*100,0)*PARAMS_MODELO!$B$31)</f>
        <v>46.095000000000006</v>
      </c>
    </row>
    <row r="1106" spans="1:10" x14ac:dyDescent="0.3">
      <c r="A1106">
        <v>51030087</v>
      </c>
      <c r="B1106">
        <v>27</v>
      </c>
      <c r="C1106">
        <v>6</v>
      </c>
      <c r="D1106">
        <v>42</v>
      </c>
      <c r="E1106" s="21">
        <f>D1106/PARAMS_MODELO!$B$28</f>
        <v>1.4</v>
      </c>
      <c r="F1106">
        <v>75</v>
      </c>
      <c r="G1106">
        <v>67</v>
      </c>
      <c r="H1106">
        <v>28</v>
      </c>
      <c r="I1106" s="20">
        <f t="shared" si="17"/>
        <v>0.41791044776119401</v>
      </c>
      <c r="J1106" s="21">
        <f>(IFERROR(_xlfn.PERCENTRANK.INC($B$2:$B$1194,B1106)*100,0)*PARAMS_MODELO!$B$25)+(IFERROR(_xlfn.PERCENTRANK.INC($C$2:$C$1194,C1106)*100,0)*PARAMS_MODELO!$B$26)+(IFERROR(_xlfn.PERCENTRANK.INC($E$2:$E$1194,E1106)*100,0)*PARAMS_MODELO!$B$27)+(IFERROR(_xlfn.PERCENTRANK.INC($F$2:$F$1194,F1106)*100,0)*PARAMS_MODELO!$B$29)+(IFERROR(_xlfn.PERCENTRANK.INC($I$2:$I$1194,I1106)*100,0)*PARAMS_MODELO!$B$31)</f>
        <v>37.324999999999996</v>
      </c>
    </row>
    <row r="1107" spans="1:10" x14ac:dyDescent="0.3">
      <c r="A1107">
        <v>51030206</v>
      </c>
      <c r="B1107">
        <v>53</v>
      </c>
      <c r="C1107">
        <v>3</v>
      </c>
      <c r="D1107">
        <v>50</v>
      </c>
      <c r="E1107" s="21">
        <f>D1107/PARAMS_MODELO!$B$28</f>
        <v>1.6666666666666667</v>
      </c>
      <c r="F1107">
        <v>49</v>
      </c>
      <c r="G1107">
        <v>32</v>
      </c>
      <c r="H1107">
        <v>3</v>
      </c>
      <c r="I1107" s="20">
        <f t="shared" si="17"/>
        <v>9.375E-2</v>
      </c>
      <c r="J1107" s="21">
        <f>(IFERROR(_xlfn.PERCENTRANK.INC($B$2:$B$1194,B1107)*100,0)*PARAMS_MODELO!$B$25)+(IFERROR(_xlfn.PERCENTRANK.INC($C$2:$C$1194,C1107)*100,0)*PARAMS_MODELO!$B$26)+(IFERROR(_xlfn.PERCENTRANK.INC($E$2:$E$1194,E1107)*100,0)*PARAMS_MODELO!$B$27)+(IFERROR(_xlfn.PERCENTRANK.INC($F$2:$F$1194,F1107)*100,0)*PARAMS_MODELO!$B$29)+(IFERROR(_xlfn.PERCENTRANK.INC($I$2:$I$1194,I1107)*100,0)*PARAMS_MODELO!$B$31)</f>
        <v>36.625</v>
      </c>
    </row>
    <row r="1108" spans="1:10" x14ac:dyDescent="0.3">
      <c r="A1108">
        <v>51030630</v>
      </c>
      <c r="B1108">
        <v>63</v>
      </c>
      <c r="C1108">
        <v>16</v>
      </c>
      <c r="D1108">
        <v>47</v>
      </c>
      <c r="E1108" s="21">
        <f>D1108/PARAMS_MODELO!$B$28</f>
        <v>1.5666666666666667</v>
      </c>
      <c r="F1108">
        <v>66</v>
      </c>
      <c r="G1108">
        <v>88</v>
      </c>
      <c r="H1108">
        <v>27</v>
      </c>
      <c r="I1108" s="20">
        <f t="shared" si="17"/>
        <v>0.30681818181818182</v>
      </c>
      <c r="J1108" s="21">
        <f>(IFERROR(_xlfn.PERCENTRANK.INC($B$2:$B$1194,B1108)*100,0)*PARAMS_MODELO!$B$25)+(IFERROR(_xlfn.PERCENTRANK.INC($C$2:$C$1194,C1108)*100,0)*PARAMS_MODELO!$B$26)+(IFERROR(_xlfn.PERCENTRANK.INC($E$2:$E$1194,E1108)*100,0)*PARAMS_MODELO!$B$27)+(IFERROR(_xlfn.PERCENTRANK.INC($F$2:$F$1194,F1108)*100,0)*PARAMS_MODELO!$B$29)+(IFERROR(_xlfn.PERCENTRANK.INC($I$2:$I$1194,I1108)*100,0)*PARAMS_MODELO!$B$31)</f>
        <v>55.084999999999994</v>
      </c>
    </row>
    <row r="1109" spans="1:10" x14ac:dyDescent="0.3">
      <c r="A1109">
        <v>51030745</v>
      </c>
      <c r="B1109">
        <v>98</v>
      </c>
      <c r="C1109">
        <v>24</v>
      </c>
      <c r="D1109">
        <v>71</v>
      </c>
      <c r="E1109" s="21">
        <f>D1109/PARAMS_MODELO!$B$28</f>
        <v>2.3666666666666667</v>
      </c>
      <c r="F1109">
        <v>20</v>
      </c>
      <c r="G1109">
        <v>95</v>
      </c>
      <c r="H1109">
        <v>89</v>
      </c>
      <c r="I1109" s="20">
        <f t="shared" si="17"/>
        <v>0.93684210526315792</v>
      </c>
      <c r="J1109" s="21">
        <f>(IFERROR(_xlfn.PERCENTRANK.INC($B$2:$B$1194,B1109)*100,0)*PARAMS_MODELO!$B$25)+(IFERROR(_xlfn.PERCENTRANK.INC($C$2:$C$1194,C1109)*100,0)*PARAMS_MODELO!$B$26)+(IFERROR(_xlfn.PERCENTRANK.INC($E$2:$E$1194,E1109)*100,0)*PARAMS_MODELO!$B$27)+(IFERROR(_xlfn.PERCENTRANK.INC($F$2:$F$1194,F1109)*100,0)*PARAMS_MODELO!$B$29)+(IFERROR(_xlfn.PERCENTRANK.INC($I$2:$I$1194,I1109)*100,0)*PARAMS_MODELO!$B$31)</f>
        <v>77.864999999999995</v>
      </c>
    </row>
    <row r="1110" spans="1:10" x14ac:dyDescent="0.3">
      <c r="A1110">
        <v>51030796</v>
      </c>
      <c r="B1110">
        <v>26</v>
      </c>
      <c r="C1110">
        <v>21</v>
      </c>
      <c r="D1110">
        <v>31</v>
      </c>
      <c r="E1110" s="21">
        <f>D1110/PARAMS_MODELO!$B$28</f>
        <v>1.0333333333333334</v>
      </c>
      <c r="F1110">
        <v>76</v>
      </c>
      <c r="G1110">
        <v>31</v>
      </c>
      <c r="H1110">
        <v>25</v>
      </c>
      <c r="I1110" s="20">
        <f t="shared" si="17"/>
        <v>0.80645161290322576</v>
      </c>
      <c r="J1110" s="21">
        <f>(IFERROR(_xlfn.PERCENTRANK.INC($B$2:$B$1194,B1110)*100,0)*PARAMS_MODELO!$B$25)+(IFERROR(_xlfn.PERCENTRANK.INC($C$2:$C$1194,C1110)*100,0)*PARAMS_MODELO!$B$26)+(IFERROR(_xlfn.PERCENTRANK.INC($E$2:$E$1194,E1110)*100,0)*PARAMS_MODELO!$B$27)+(IFERROR(_xlfn.PERCENTRANK.INC($F$2:$F$1194,F1110)*100,0)*PARAMS_MODELO!$B$29)+(IFERROR(_xlfn.PERCENTRANK.INC($I$2:$I$1194,I1110)*100,0)*PARAMS_MODELO!$B$31)</f>
        <v>52.510000000000005</v>
      </c>
    </row>
    <row r="1111" spans="1:10" x14ac:dyDescent="0.3">
      <c r="A1111">
        <v>51030966</v>
      </c>
      <c r="B1111">
        <v>81</v>
      </c>
      <c r="C1111">
        <v>14</v>
      </c>
      <c r="D1111">
        <v>82</v>
      </c>
      <c r="E1111" s="21">
        <f>D1111/PARAMS_MODELO!$B$28</f>
        <v>2.7333333333333334</v>
      </c>
      <c r="F1111">
        <v>67</v>
      </c>
      <c r="G1111">
        <v>51</v>
      </c>
      <c r="H1111">
        <v>17</v>
      </c>
      <c r="I1111" s="20">
        <f t="shared" si="17"/>
        <v>0.33333333333333331</v>
      </c>
      <c r="J1111" s="21">
        <f>(IFERROR(_xlfn.PERCENTRANK.INC($B$2:$B$1194,B1111)*100,0)*PARAMS_MODELO!$B$25)+(IFERROR(_xlfn.PERCENTRANK.INC($C$2:$C$1194,C1111)*100,0)*PARAMS_MODELO!$B$26)+(IFERROR(_xlfn.PERCENTRANK.INC($E$2:$E$1194,E1111)*100,0)*PARAMS_MODELO!$B$27)+(IFERROR(_xlfn.PERCENTRANK.INC($F$2:$F$1194,F1111)*100,0)*PARAMS_MODELO!$B$29)+(IFERROR(_xlfn.PERCENTRANK.INC($I$2:$I$1194,I1111)*100,0)*PARAMS_MODELO!$B$31)</f>
        <v>66.360000000000014</v>
      </c>
    </row>
    <row r="1112" spans="1:10" x14ac:dyDescent="0.3">
      <c r="A1112">
        <v>51031067</v>
      </c>
      <c r="B1112">
        <v>68</v>
      </c>
      <c r="C1112">
        <v>23</v>
      </c>
      <c r="D1112">
        <v>0</v>
      </c>
      <c r="E1112" s="21">
        <f>D1112/PARAMS_MODELO!$B$28</f>
        <v>0</v>
      </c>
      <c r="F1112">
        <v>5</v>
      </c>
      <c r="G1112">
        <v>52</v>
      </c>
      <c r="H1112">
        <v>43</v>
      </c>
      <c r="I1112" s="20">
        <f t="shared" si="17"/>
        <v>0.82692307692307687</v>
      </c>
      <c r="J1112" s="21">
        <f>(IFERROR(_xlfn.PERCENTRANK.INC($B$2:$B$1194,B1112)*100,0)*PARAMS_MODELO!$B$25)+(IFERROR(_xlfn.PERCENTRANK.INC($C$2:$C$1194,C1112)*100,0)*PARAMS_MODELO!$B$26)+(IFERROR(_xlfn.PERCENTRANK.INC($E$2:$E$1194,E1112)*100,0)*PARAMS_MODELO!$B$27)+(IFERROR(_xlfn.PERCENTRANK.INC($F$2:$F$1194,F1112)*100,0)*PARAMS_MODELO!$B$29)+(IFERROR(_xlfn.PERCENTRANK.INC($I$2:$I$1194,I1112)*100,0)*PARAMS_MODELO!$B$31)</f>
        <v>50.650000000000006</v>
      </c>
    </row>
    <row r="1113" spans="1:10" x14ac:dyDescent="0.3">
      <c r="A1113">
        <v>51031091</v>
      </c>
      <c r="B1113">
        <v>65</v>
      </c>
      <c r="C1113">
        <v>24</v>
      </c>
      <c r="D1113">
        <v>15</v>
      </c>
      <c r="E1113" s="21">
        <f>D1113/PARAMS_MODELO!$B$28</f>
        <v>0.5</v>
      </c>
      <c r="F1113">
        <v>13</v>
      </c>
      <c r="G1113">
        <v>62</v>
      </c>
      <c r="H1113">
        <v>12</v>
      </c>
      <c r="I1113" s="20">
        <f t="shared" si="17"/>
        <v>0.19354838709677419</v>
      </c>
      <c r="J1113" s="21">
        <f>(IFERROR(_xlfn.PERCENTRANK.INC($B$2:$B$1194,B1113)*100,0)*PARAMS_MODELO!$B$25)+(IFERROR(_xlfn.PERCENTRANK.INC($C$2:$C$1194,C1113)*100,0)*PARAMS_MODELO!$B$26)+(IFERROR(_xlfn.PERCENTRANK.INC($E$2:$E$1194,E1113)*100,0)*PARAMS_MODELO!$B$27)+(IFERROR(_xlfn.PERCENTRANK.INC($F$2:$F$1194,F1113)*100,0)*PARAMS_MODELO!$B$29)+(IFERROR(_xlfn.PERCENTRANK.INC($I$2:$I$1194,I1113)*100,0)*PARAMS_MODELO!$B$31)</f>
        <v>48.544999999999995</v>
      </c>
    </row>
    <row r="1114" spans="1:10" x14ac:dyDescent="0.3">
      <c r="A1114">
        <v>51031156</v>
      </c>
      <c r="B1114">
        <v>79</v>
      </c>
      <c r="C1114">
        <v>8</v>
      </c>
      <c r="D1114">
        <v>46</v>
      </c>
      <c r="E1114" s="21">
        <f>D1114/PARAMS_MODELO!$B$28</f>
        <v>1.5333333333333334</v>
      </c>
      <c r="F1114">
        <v>70</v>
      </c>
      <c r="G1114">
        <v>21</v>
      </c>
      <c r="H1114">
        <v>2</v>
      </c>
      <c r="I1114" s="20">
        <f t="shared" si="17"/>
        <v>9.5238095238095233E-2</v>
      </c>
      <c r="J1114" s="21">
        <f>(IFERROR(_xlfn.PERCENTRANK.INC($B$2:$B$1194,B1114)*100,0)*PARAMS_MODELO!$B$25)+(IFERROR(_xlfn.PERCENTRANK.INC($C$2:$C$1194,C1114)*100,0)*PARAMS_MODELO!$B$26)+(IFERROR(_xlfn.PERCENTRANK.INC($E$2:$E$1194,E1114)*100,0)*PARAMS_MODELO!$B$27)+(IFERROR(_xlfn.PERCENTRANK.INC($F$2:$F$1194,F1114)*100,0)*PARAMS_MODELO!$B$29)+(IFERROR(_xlfn.PERCENTRANK.INC($I$2:$I$1194,I1114)*100,0)*PARAMS_MODELO!$B$31)</f>
        <v>51.454999999999998</v>
      </c>
    </row>
    <row r="1115" spans="1:10" x14ac:dyDescent="0.3">
      <c r="A1115">
        <v>51031423</v>
      </c>
      <c r="B1115">
        <v>47</v>
      </c>
      <c r="C1115">
        <v>10</v>
      </c>
      <c r="D1115">
        <v>78</v>
      </c>
      <c r="E1115" s="21">
        <f>D1115/PARAMS_MODELO!$B$28</f>
        <v>2.6</v>
      </c>
      <c r="F1115">
        <v>28</v>
      </c>
      <c r="G1115">
        <v>20</v>
      </c>
      <c r="H1115">
        <v>19</v>
      </c>
      <c r="I1115" s="20">
        <f t="shared" si="17"/>
        <v>0.95</v>
      </c>
      <c r="J1115" s="21">
        <f>(IFERROR(_xlfn.PERCENTRANK.INC($B$2:$B$1194,B1115)*100,0)*PARAMS_MODELO!$B$25)+(IFERROR(_xlfn.PERCENTRANK.INC($C$2:$C$1194,C1115)*100,0)*PARAMS_MODELO!$B$26)+(IFERROR(_xlfn.PERCENTRANK.INC($E$2:$E$1194,E1115)*100,0)*PARAMS_MODELO!$B$27)+(IFERROR(_xlfn.PERCENTRANK.INC($F$2:$F$1194,F1115)*100,0)*PARAMS_MODELO!$B$29)+(IFERROR(_xlfn.PERCENTRANK.INC($I$2:$I$1194,I1115)*100,0)*PARAMS_MODELO!$B$31)</f>
        <v>51.81</v>
      </c>
    </row>
    <row r="1116" spans="1:10" x14ac:dyDescent="0.3">
      <c r="A1116">
        <v>51031555</v>
      </c>
      <c r="B1116">
        <v>41</v>
      </c>
      <c r="C1116">
        <v>6</v>
      </c>
      <c r="D1116">
        <v>63</v>
      </c>
      <c r="E1116" s="21">
        <f>D1116/PARAMS_MODELO!$B$28</f>
        <v>2.1</v>
      </c>
      <c r="F1116">
        <v>82</v>
      </c>
      <c r="G1116">
        <v>33</v>
      </c>
      <c r="H1116">
        <v>19</v>
      </c>
      <c r="I1116" s="20">
        <f t="shared" si="17"/>
        <v>0.5757575757575758</v>
      </c>
      <c r="J1116" s="21">
        <f>(IFERROR(_xlfn.PERCENTRANK.INC($B$2:$B$1194,B1116)*100,0)*PARAMS_MODELO!$B$25)+(IFERROR(_xlfn.PERCENTRANK.INC($C$2:$C$1194,C1116)*100,0)*PARAMS_MODELO!$B$26)+(IFERROR(_xlfn.PERCENTRANK.INC($E$2:$E$1194,E1116)*100,0)*PARAMS_MODELO!$B$27)+(IFERROR(_xlfn.PERCENTRANK.INC($F$2:$F$1194,F1116)*100,0)*PARAMS_MODELO!$B$29)+(IFERROR(_xlfn.PERCENTRANK.INC($I$2:$I$1194,I1116)*100,0)*PARAMS_MODELO!$B$31)</f>
        <v>48.190000000000005</v>
      </c>
    </row>
    <row r="1117" spans="1:10" x14ac:dyDescent="0.3">
      <c r="A1117">
        <v>51032021</v>
      </c>
      <c r="B1117">
        <v>39</v>
      </c>
      <c r="C1117">
        <v>22</v>
      </c>
      <c r="D1117">
        <v>5</v>
      </c>
      <c r="E1117" s="21">
        <f>D1117/PARAMS_MODELO!$B$28</f>
        <v>0.16666666666666666</v>
      </c>
      <c r="F1117">
        <v>10</v>
      </c>
      <c r="G1117">
        <v>31</v>
      </c>
      <c r="H1117">
        <v>19</v>
      </c>
      <c r="I1117" s="20">
        <f t="shared" si="17"/>
        <v>0.61290322580645162</v>
      </c>
      <c r="J1117" s="21">
        <f>(IFERROR(_xlfn.PERCENTRANK.INC($B$2:$B$1194,B1117)*100,0)*PARAMS_MODELO!$B$25)+(IFERROR(_xlfn.PERCENTRANK.INC($C$2:$C$1194,C1117)*100,0)*PARAMS_MODELO!$B$26)+(IFERROR(_xlfn.PERCENTRANK.INC($E$2:$E$1194,E1117)*100,0)*PARAMS_MODELO!$B$27)+(IFERROR(_xlfn.PERCENTRANK.INC($F$2:$F$1194,F1117)*100,0)*PARAMS_MODELO!$B$29)+(IFERROR(_xlfn.PERCENTRANK.INC($I$2:$I$1194,I1117)*100,0)*PARAMS_MODELO!$B$31)</f>
        <v>40.619999999999997</v>
      </c>
    </row>
    <row r="1118" spans="1:10" x14ac:dyDescent="0.3">
      <c r="A1118">
        <v>51032055</v>
      </c>
      <c r="B1118">
        <v>87</v>
      </c>
      <c r="C1118">
        <v>18</v>
      </c>
      <c r="D1118">
        <v>34</v>
      </c>
      <c r="E1118" s="21">
        <f>D1118/PARAMS_MODELO!$B$28</f>
        <v>1.1333333333333333</v>
      </c>
      <c r="F1118">
        <v>97</v>
      </c>
      <c r="G1118">
        <v>55</v>
      </c>
      <c r="H1118">
        <v>2</v>
      </c>
      <c r="I1118" s="20">
        <f t="shared" si="17"/>
        <v>3.6363636363636362E-2</v>
      </c>
      <c r="J1118" s="21">
        <f>(IFERROR(_xlfn.PERCENTRANK.INC($B$2:$B$1194,B1118)*100,0)*PARAMS_MODELO!$B$25)+(IFERROR(_xlfn.PERCENTRANK.INC($C$2:$C$1194,C1118)*100,0)*PARAMS_MODELO!$B$26)+(IFERROR(_xlfn.PERCENTRANK.INC($E$2:$E$1194,E1118)*100,0)*PARAMS_MODELO!$B$27)+(IFERROR(_xlfn.PERCENTRANK.INC($F$2:$F$1194,F1118)*100,0)*PARAMS_MODELO!$B$29)+(IFERROR(_xlfn.PERCENTRANK.INC($I$2:$I$1194,I1118)*100,0)*PARAMS_MODELO!$B$31)</f>
        <v>63.690000000000005</v>
      </c>
    </row>
    <row r="1119" spans="1:10" x14ac:dyDescent="0.3">
      <c r="A1119">
        <v>51032144</v>
      </c>
      <c r="B1119">
        <v>86</v>
      </c>
      <c r="C1119">
        <v>11</v>
      </c>
      <c r="D1119">
        <v>66</v>
      </c>
      <c r="E1119" s="21">
        <f>D1119/PARAMS_MODELO!$B$28</f>
        <v>2.2000000000000002</v>
      </c>
      <c r="F1119">
        <v>88</v>
      </c>
      <c r="G1119">
        <v>74</v>
      </c>
      <c r="H1119">
        <v>48</v>
      </c>
      <c r="I1119" s="20">
        <f t="shared" si="17"/>
        <v>0.64864864864864868</v>
      </c>
      <c r="J1119" s="21">
        <f>(IFERROR(_xlfn.PERCENTRANK.INC($B$2:$B$1194,B1119)*100,0)*PARAMS_MODELO!$B$25)+(IFERROR(_xlfn.PERCENTRANK.INC($C$2:$C$1194,C1119)*100,0)*PARAMS_MODELO!$B$26)+(IFERROR(_xlfn.PERCENTRANK.INC($E$2:$E$1194,E1119)*100,0)*PARAMS_MODELO!$B$27)+(IFERROR(_xlfn.PERCENTRANK.INC($F$2:$F$1194,F1119)*100,0)*PARAMS_MODELO!$B$29)+(IFERROR(_xlfn.PERCENTRANK.INC($I$2:$I$1194,I1119)*100,0)*PARAMS_MODELO!$B$31)</f>
        <v>67.985000000000014</v>
      </c>
    </row>
    <row r="1120" spans="1:10" x14ac:dyDescent="0.3">
      <c r="A1120">
        <v>51032209</v>
      </c>
      <c r="B1120">
        <v>26</v>
      </c>
      <c r="C1120">
        <v>6</v>
      </c>
      <c r="D1120">
        <v>49</v>
      </c>
      <c r="E1120" s="21">
        <f>D1120/PARAMS_MODELO!$B$28</f>
        <v>1.6333333333333333</v>
      </c>
      <c r="F1120">
        <v>55</v>
      </c>
      <c r="G1120">
        <v>81</v>
      </c>
      <c r="H1120">
        <v>54</v>
      </c>
      <c r="I1120" s="20">
        <f t="shared" si="17"/>
        <v>0.66666666666666663</v>
      </c>
      <c r="J1120" s="21">
        <f>(IFERROR(_xlfn.PERCENTRANK.INC($B$2:$B$1194,B1120)*100,0)*PARAMS_MODELO!$B$25)+(IFERROR(_xlfn.PERCENTRANK.INC($C$2:$C$1194,C1120)*100,0)*PARAMS_MODELO!$B$26)+(IFERROR(_xlfn.PERCENTRANK.INC($E$2:$E$1194,E1120)*100,0)*PARAMS_MODELO!$B$27)+(IFERROR(_xlfn.PERCENTRANK.INC($F$2:$F$1194,F1120)*100,0)*PARAMS_MODELO!$B$29)+(IFERROR(_xlfn.PERCENTRANK.INC($I$2:$I$1194,I1120)*100,0)*PARAMS_MODELO!$B$31)</f>
        <v>37.65</v>
      </c>
    </row>
    <row r="1121" spans="1:10" x14ac:dyDescent="0.3">
      <c r="A1121">
        <v>51032217</v>
      </c>
      <c r="B1121">
        <v>30</v>
      </c>
      <c r="C1121">
        <v>9</v>
      </c>
      <c r="D1121">
        <v>29</v>
      </c>
      <c r="E1121" s="21">
        <f>D1121/PARAMS_MODELO!$B$28</f>
        <v>0.96666666666666667</v>
      </c>
      <c r="F1121">
        <v>31</v>
      </c>
      <c r="G1121">
        <v>25</v>
      </c>
      <c r="H1121">
        <v>19</v>
      </c>
      <c r="I1121" s="20">
        <f t="shared" si="17"/>
        <v>0.76</v>
      </c>
      <c r="J1121" s="21">
        <f>(IFERROR(_xlfn.PERCENTRANK.INC($B$2:$B$1194,B1121)*100,0)*PARAMS_MODELO!$B$25)+(IFERROR(_xlfn.PERCENTRANK.INC($C$2:$C$1194,C1121)*100,0)*PARAMS_MODELO!$B$26)+(IFERROR(_xlfn.PERCENTRANK.INC($E$2:$E$1194,E1121)*100,0)*PARAMS_MODELO!$B$27)+(IFERROR(_xlfn.PERCENTRANK.INC($F$2:$F$1194,F1121)*100,0)*PARAMS_MODELO!$B$29)+(IFERROR(_xlfn.PERCENTRANK.INC($I$2:$I$1194,I1121)*100,0)*PARAMS_MODELO!$B$31)</f>
        <v>34.78</v>
      </c>
    </row>
    <row r="1122" spans="1:10" x14ac:dyDescent="0.3">
      <c r="A1122">
        <v>51032497</v>
      </c>
      <c r="B1122">
        <v>94</v>
      </c>
      <c r="C1122">
        <v>5</v>
      </c>
      <c r="D1122">
        <v>80</v>
      </c>
      <c r="E1122" s="21">
        <f>D1122/PARAMS_MODELO!$B$28</f>
        <v>2.6666666666666665</v>
      </c>
      <c r="F1122">
        <v>34</v>
      </c>
      <c r="G1122">
        <v>50</v>
      </c>
      <c r="H1122">
        <v>21</v>
      </c>
      <c r="I1122" s="20">
        <f t="shared" si="17"/>
        <v>0.42</v>
      </c>
      <c r="J1122" s="21">
        <f>(IFERROR(_xlfn.PERCENTRANK.INC($B$2:$B$1194,B1122)*100,0)*PARAMS_MODELO!$B$25)+(IFERROR(_xlfn.PERCENTRANK.INC($C$2:$C$1194,C1122)*100,0)*PARAMS_MODELO!$B$26)+(IFERROR(_xlfn.PERCENTRANK.INC($E$2:$E$1194,E1122)*100,0)*PARAMS_MODELO!$B$27)+(IFERROR(_xlfn.PERCENTRANK.INC($F$2:$F$1194,F1122)*100,0)*PARAMS_MODELO!$B$29)+(IFERROR(_xlfn.PERCENTRANK.INC($I$2:$I$1194,I1122)*100,0)*PARAMS_MODELO!$B$31)</f>
        <v>57.064999999999998</v>
      </c>
    </row>
    <row r="1123" spans="1:10" x14ac:dyDescent="0.3">
      <c r="A1123">
        <v>51033019</v>
      </c>
      <c r="B1123">
        <v>98</v>
      </c>
      <c r="C1123">
        <v>19</v>
      </c>
      <c r="D1123">
        <v>17</v>
      </c>
      <c r="E1123" s="21">
        <f>D1123/PARAMS_MODELO!$B$28</f>
        <v>0.56666666666666665</v>
      </c>
      <c r="F1123">
        <v>94</v>
      </c>
      <c r="G1123">
        <v>81</v>
      </c>
      <c r="H1123">
        <v>60</v>
      </c>
      <c r="I1123" s="20">
        <f t="shared" si="17"/>
        <v>0.7407407407407407</v>
      </c>
      <c r="J1123" s="21">
        <f>(IFERROR(_xlfn.PERCENTRANK.INC($B$2:$B$1194,B1123)*100,0)*PARAMS_MODELO!$B$25)+(IFERROR(_xlfn.PERCENTRANK.INC($C$2:$C$1194,C1123)*100,0)*PARAMS_MODELO!$B$26)+(IFERROR(_xlfn.PERCENTRANK.INC($E$2:$E$1194,E1123)*100,0)*PARAMS_MODELO!$B$27)+(IFERROR(_xlfn.PERCENTRANK.INC($F$2:$F$1194,F1123)*100,0)*PARAMS_MODELO!$B$29)+(IFERROR(_xlfn.PERCENTRANK.INC($I$2:$I$1194,I1123)*100,0)*PARAMS_MODELO!$B$31)</f>
        <v>71.399999999999991</v>
      </c>
    </row>
    <row r="1124" spans="1:10" x14ac:dyDescent="0.3">
      <c r="A1124">
        <v>51033647</v>
      </c>
      <c r="B1124">
        <v>35</v>
      </c>
      <c r="C1124">
        <v>2</v>
      </c>
      <c r="D1124">
        <v>32</v>
      </c>
      <c r="E1124" s="21">
        <f>D1124/PARAMS_MODELO!$B$28</f>
        <v>1.0666666666666667</v>
      </c>
      <c r="F1124">
        <v>99</v>
      </c>
      <c r="G1124">
        <v>60</v>
      </c>
      <c r="H1124">
        <v>59</v>
      </c>
      <c r="I1124" s="20">
        <f t="shared" si="17"/>
        <v>0.98333333333333328</v>
      </c>
      <c r="J1124" s="21">
        <f>(IFERROR(_xlfn.PERCENTRANK.INC($B$2:$B$1194,B1124)*100,0)*PARAMS_MODELO!$B$25)+(IFERROR(_xlfn.PERCENTRANK.INC($C$2:$C$1194,C1124)*100,0)*PARAMS_MODELO!$B$26)+(IFERROR(_xlfn.PERCENTRANK.INC($E$2:$E$1194,E1124)*100,0)*PARAMS_MODELO!$B$27)+(IFERROR(_xlfn.PERCENTRANK.INC($F$2:$F$1194,F1124)*100,0)*PARAMS_MODELO!$B$29)+(IFERROR(_xlfn.PERCENTRANK.INC($I$2:$I$1194,I1124)*100,0)*PARAMS_MODELO!$B$31)</f>
        <v>42.664999999999999</v>
      </c>
    </row>
    <row r="1125" spans="1:10" x14ac:dyDescent="0.3">
      <c r="A1125">
        <v>51034261</v>
      </c>
      <c r="B1125">
        <v>14</v>
      </c>
      <c r="C1125">
        <v>24</v>
      </c>
      <c r="D1125">
        <v>5</v>
      </c>
      <c r="E1125" s="21">
        <f>D1125/PARAMS_MODELO!$B$28</f>
        <v>0.16666666666666666</v>
      </c>
      <c r="F1125">
        <v>15</v>
      </c>
      <c r="G1125">
        <v>57</v>
      </c>
      <c r="H1125">
        <v>5</v>
      </c>
      <c r="I1125" s="20">
        <f t="shared" si="17"/>
        <v>8.771929824561403E-2</v>
      </c>
      <c r="J1125" s="21">
        <f>(IFERROR(_xlfn.PERCENTRANK.INC($B$2:$B$1194,B1125)*100,0)*PARAMS_MODELO!$B$25)+(IFERROR(_xlfn.PERCENTRANK.INC($C$2:$C$1194,C1125)*100,0)*PARAMS_MODELO!$B$26)+(IFERROR(_xlfn.PERCENTRANK.INC($E$2:$E$1194,E1125)*100,0)*PARAMS_MODELO!$B$27)+(IFERROR(_xlfn.PERCENTRANK.INC($F$2:$F$1194,F1125)*100,0)*PARAMS_MODELO!$B$29)+(IFERROR(_xlfn.PERCENTRANK.INC($I$2:$I$1194,I1125)*100,0)*PARAMS_MODELO!$B$31)</f>
        <v>30.830000000000005</v>
      </c>
    </row>
    <row r="1126" spans="1:10" x14ac:dyDescent="0.3">
      <c r="A1126">
        <v>51034392</v>
      </c>
      <c r="B1126">
        <v>23</v>
      </c>
      <c r="C1126">
        <v>9</v>
      </c>
      <c r="D1126">
        <v>39</v>
      </c>
      <c r="E1126" s="21">
        <f>D1126/PARAMS_MODELO!$B$28</f>
        <v>1.3</v>
      </c>
      <c r="F1126">
        <v>75</v>
      </c>
      <c r="G1126">
        <v>49</v>
      </c>
      <c r="H1126">
        <v>34</v>
      </c>
      <c r="I1126" s="20">
        <f t="shared" si="17"/>
        <v>0.69387755102040816</v>
      </c>
      <c r="J1126" s="21">
        <f>(IFERROR(_xlfn.PERCENTRANK.INC($B$2:$B$1194,B1126)*100,0)*PARAMS_MODELO!$B$25)+(IFERROR(_xlfn.PERCENTRANK.INC($C$2:$C$1194,C1126)*100,0)*PARAMS_MODELO!$B$26)+(IFERROR(_xlfn.PERCENTRANK.INC($E$2:$E$1194,E1126)*100,0)*PARAMS_MODELO!$B$27)+(IFERROR(_xlfn.PERCENTRANK.INC($F$2:$F$1194,F1126)*100,0)*PARAMS_MODELO!$B$29)+(IFERROR(_xlfn.PERCENTRANK.INC($I$2:$I$1194,I1126)*100,0)*PARAMS_MODELO!$B$31)</f>
        <v>40.805</v>
      </c>
    </row>
    <row r="1127" spans="1:10" x14ac:dyDescent="0.3">
      <c r="A1127">
        <v>51036093</v>
      </c>
      <c r="B1127">
        <v>48</v>
      </c>
      <c r="C1127">
        <v>9</v>
      </c>
      <c r="D1127">
        <v>8</v>
      </c>
      <c r="E1127" s="21">
        <f>D1127/PARAMS_MODELO!$B$28</f>
        <v>0.26666666666666666</v>
      </c>
      <c r="F1127">
        <v>74</v>
      </c>
      <c r="G1127">
        <v>18</v>
      </c>
      <c r="H1127">
        <v>3</v>
      </c>
      <c r="I1127" s="20">
        <f t="shared" si="17"/>
        <v>0.16666666666666666</v>
      </c>
      <c r="J1127" s="21">
        <f>(IFERROR(_xlfn.PERCENTRANK.INC($B$2:$B$1194,B1127)*100,0)*PARAMS_MODELO!$B$25)+(IFERROR(_xlfn.PERCENTRANK.INC($C$2:$C$1194,C1127)*100,0)*PARAMS_MODELO!$B$26)+(IFERROR(_xlfn.PERCENTRANK.INC($E$2:$E$1194,E1127)*100,0)*PARAMS_MODELO!$B$27)+(IFERROR(_xlfn.PERCENTRANK.INC($F$2:$F$1194,F1127)*100,0)*PARAMS_MODELO!$B$29)+(IFERROR(_xlfn.PERCENTRANK.INC($I$2:$I$1194,I1127)*100,0)*PARAMS_MODELO!$B$31)</f>
        <v>36.835000000000001</v>
      </c>
    </row>
    <row r="1128" spans="1:10" x14ac:dyDescent="0.3">
      <c r="A1128">
        <v>51036620</v>
      </c>
      <c r="B1128">
        <v>97</v>
      </c>
      <c r="C1128">
        <v>4</v>
      </c>
      <c r="D1128">
        <v>94</v>
      </c>
      <c r="E1128" s="21">
        <f>D1128/PARAMS_MODELO!$B$28</f>
        <v>3.1333333333333333</v>
      </c>
      <c r="F1128">
        <v>85</v>
      </c>
      <c r="G1128">
        <v>68</v>
      </c>
      <c r="H1128">
        <v>10</v>
      </c>
      <c r="I1128" s="20">
        <f t="shared" si="17"/>
        <v>0.14705882352941177</v>
      </c>
      <c r="J1128" s="21">
        <f>(IFERROR(_xlfn.PERCENTRANK.INC($B$2:$B$1194,B1128)*100,0)*PARAMS_MODELO!$B$25)+(IFERROR(_xlfn.PERCENTRANK.INC($C$2:$C$1194,C1128)*100,0)*PARAMS_MODELO!$B$26)+(IFERROR(_xlfn.PERCENTRANK.INC($E$2:$E$1194,E1128)*100,0)*PARAMS_MODELO!$B$27)+(IFERROR(_xlfn.PERCENTRANK.INC($F$2:$F$1194,F1128)*100,0)*PARAMS_MODELO!$B$29)+(IFERROR(_xlfn.PERCENTRANK.INC($I$2:$I$1194,I1128)*100,0)*PARAMS_MODELO!$B$31)</f>
        <v>65.449999999999989</v>
      </c>
    </row>
    <row r="1129" spans="1:10" x14ac:dyDescent="0.3">
      <c r="A1129">
        <v>51036786</v>
      </c>
      <c r="B1129">
        <v>40</v>
      </c>
      <c r="C1129">
        <v>18</v>
      </c>
      <c r="D1129">
        <v>77</v>
      </c>
      <c r="E1129" s="21">
        <f>D1129/PARAMS_MODELO!$B$28</f>
        <v>2.5666666666666669</v>
      </c>
      <c r="F1129">
        <v>61</v>
      </c>
      <c r="G1129">
        <v>89</v>
      </c>
      <c r="H1129">
        <v>12</v>
      </c>
      <c r="I1129" s="20">
        <f t="shared" si="17"/>
        <v>0.1348314606741573</v>
      </c>
      <c r="J1129" s="21">
        <f>(IFERROR(_xlfn.PERCENTRANK.INC($B$2:$B$1194,B1129)*100,0)*PARAMS_MODELO!$B$25)+(IFERROR(_xlfn.PERCENTRANK.INC($C$2:$C$1194,C1129)*100,0)*PARAMS_MODELO!$B$26)+(IFERROR(_xlfn.PERCENTRANK.INC($E$2:$E$1194,E1129)*100,0)*PARAMS_MODELO!$B$27)+(IFERROR(_xlfn.PERCENTRANK.INC($F$2:$F$1194,F1129)*100,0)*PARAMS_MODELO!$B$29)+(IFERROR(_xlfn.PERCENTRANK.INC($I$2:$I$1194,I1129)*100,0)*PARAMS_MODELO!$B$31)</f>
        <v>54.204999999999991</v>
      </c>
    </row>
    <row r="1130" spans="1:10" x14ac:dyDescent="0.3">
      <c r="A1130">
        <v>51037014</v>
      </c>
      <c r="B1130">
        <v>19</v>
      </c>
      <c r="C1130">
        <v>22</v>
      </c>
      <c r="D1130">
        <v>35</v>
      </c>
      <c r="E1130" s="21">
        <f>D1130/PARAMS_MODELO!$B$28</f>
        <v>1.1666666666666667</v>
      </c>
      <c r="F1130">
        <v>73</v>
      </c>
      <c r="G1130">
        <v>71</v>
      </c>
      <c r="H1130">
        <v>58</v>
      </c>
      <c r="I1130" s="20">
        <f t="shared" si="17"/>
        <v>0.81690140845070425</v>
      </c>
      <c r="J1130" s="21">
        <f>(IFERROR(_xlfn.PERCENTRANK.INC($B$2:$B$1194,B1130)*100,0)*PARAMS_MODELO!$B$25)+(IFERROR(_xlfn.PERCENTRANK.INC($C$2:$C$1194,C1130)*100,0)*PARAMS_MODELO!$B$26)+(IFERROR(_xlfn.PERCENTRANK.INC($E$2:$E$1194,E1130)*100,0)*PARAMS_MODELO!$B$27)+(IFERROR(_xlfn.PERCENTRANK.INC($F$2:$F$1194,F1130)*100,0)*PARAMS_MODELO!$B$29)+(IFERROR(_xlfn.PERCENTRANK.INC($I$2:$I$1194,I1130)*100,0)*PARAMS_MODELO!$B$31)</f>
        <v>52.195</v>
      </c>
    </row>
    <row r="1131" spans="1:10" x14ac:dyDescent="0.3">
      <c r="A1131">
        <v>51038991</v>
      </c>
      <c r="B1131">
        <v>84</v>
      </c>
      <c r="C1131">
        <v>11</v>
      </c>
      <c r="D1131">
        <v>33</v>
      </c>
      <c r="E1131" s="21">
        <f>D1131/PARAMS_MODELO!$B$28</f>
        <v>1.1000000000000001</v>
      </c>
      <c r="F1131">
        <v>91</v>
      </c>
      <c r="G1131">
        <v>62</v>
      </c>
      <c r="H1131">
        <v>35</v>
      </c>
      <c r="I1131" s="20">
        <f t="shared" si="17"/>
        <v>0.56451612903225812</v>
      </c>
      <c r="J1131" s="21">
        <f>(IFERROR(_xlfn.PERCENTRANK.INC($B$2:$B$1194,B1131)*100,0)*PARAMS_MODELO!$B$25)+(IFERROR(_xlfn.PERCENTRANK.INC($C$2:$C$1194,C1131)*100,0)*PARAMS_MODELO!$B$26)+(IFERROR(_xlfn.PERCENTRANK.INC($E$2:$E$1194,E1131)*100,0)*PARAMS_MODELO!$B$27)+(IFERROR(_xlfn.PERCENTRANK.INC($F$2:$F$1194,F1131)*100,0)*PARAMS_MODELO!$B$29)+(IFERROR(_xlfn.PERCENTRANK.INC($I$2:$I$1194,I1131)*100,0)*PARAMS_MODELO!$B$31)</f>
        <v>60.12</v>
      </c>
    </row>
    <row r="1132" spans="1:10" x14ac:dyDescent="0.3">
      <c r="A1132">
        <v>51039084</v>
      </c>
      <c r="B1132">
        <v>71</v>
      </c>
      <c r="C1132">
        <v>13</v>
      </c>
      <c r="D1132">
        <v>5</v>
      </c>
      <c r="E1132" s="21">
        <f>D1132/PARAMS_MODELO!$B$28</f>
        <v>0.16666666666666666</v>
      </c>
      <c r="F1132">
        <v>31</v>
      </c>
      <c r="G1132">
        <v>69</v>
      </c>
      <c r="H1132">
        <v>15</v>
      </c>
      <c r="I1132" s="20">
        <f t="shared" si="17"/>
        <v>0.21739130434782608</v>
      </c>
      <c r="J1132" s="21">
        <f>(IFERROR(_xlfn.PERCENTRANK.INC($B$2:$B$1194,B1132)*100,0)*PARAMS_MODELO!$B$25)+(IFERROR(_xlfn.PERCENTRANK.INC($C$2:$C$1194,C1132)*100,0)*PARAMS_MODELO!$B$26)+(IFERROR(_xlfn.PERCENTRANK.INC($E$2:$E$1194,E1132)*100,0)*PARAMS_MODELO!$B$27)+(IFERROR(_xlfn.PERCENTRANK.INC($F$2:$F$1194,F1132)*100,0)*PARAMS_MODELO!$B$29)+(IFERROR(_xlfn.PERCENTRANK.INC($I$2:$I$1194,I1132)*100,0)*PARAMS_MODELO!$B$31)</f>
        <v>40.72</v>
      </c>
    </row>
    <row r="1133" spans="1:10" x14ac:dyDescent="0.3">
      <c r="A1133">
        <v>51039955</v>
      </c>
      <c r="B1133">
        <v>55</v>
      </c>
      <c r="C1133">
        <v>18</v>
      </c>
      <c r="D1133">
        <v>44</v>
      </c>
      <c r="E1133" s="21">
        <f>D1133/PARAMS_MODELO!$B$28</f>
        <v>1.4666666666666666</v>
      </c>
      <c r="F1133">
        <v>62</v>
      </c>
      <c r="G1133">
        <v>91</v>
      </c>
      <c r="H1133">
        <v>22</v>
      </c>
      <c r="I1133" s="20">
        <f t="shared" si="17"/>
        <v>0.24175824175824176</v>
      </c>
      <c r="J1133" s="21">
        <f>(IFERROR(_xlfn.PERCENTRANK.INC($B$2:$B$1194,B1133)*100,0)*PARAMS_MODELO!$B$25)+(IFERROR(_xlfn.PERCENTRANK.INC($C$2:$C$1194,C1133)*100,0)*PARAMS_MODELO!$B$26)+(IFERROR(_xlfn.PERCENTRANK.INC($E$2:$E$1194,E1133)*100,0)*PARAMS_MODELO!$B$27)+(IFERROR(_xlfn.PERCENTRANK.INC($F$2:$F$1194,F1133)*100,0)*PARAMS_MODELO!$B$29)+(IFERROR(_xlfn.PERCENTRANK.INC($I$2:$I$1194,I1133)*100,0)*PARAMS_MODELO!$B$31)</f>
        <v>53.5</v>
      </c>
    </row>
    <row r="1134" spans="1:10" x14ac:dyDescent="0.3">
      <c r="A1134">
        <v>51039980</v>
      </c>
      <c r="B1134">
        <v>82</v>
      </c>
      <c r="C1134">
        <v>25</v>
      </c>
      <c r="D1134">
        <v>38</v>
      </c>
      <c r="E1134" s="21">
        <f>D1134/PARAMS_MODELO!$B$28</f>
        <v>1.2666666666666666</v>
      </c>
      <c r="F1134">
        <v>6</v>
      </c>
      <c r="G1134">
        <v>74</v>
      </c>
      <c r="H1134">
        <v>63</v>
      </c>
      <c r="I1134" s="20">
        <f t="shared" si="17"/>
        <v>0.85135135135135132</v>
      </c>
      <c r="J1134" s="21">
        <f>(IFERROR(_xlfn.PERCENTRANK.INC($B$2:$B$1194,B1134)*100,0)*PARAMS_MODELO!$B$25)+(IFERROR(_xlfn.PERCENTRANK.INC($C$2:$C$1194,C1134)*100,0)*PARAMS_MODELO!$B$26)+(IFERROR(_xlfn.PERCENTRANK.INC($E$2:$E$1194,E1134)*100,0)*PARAMS_MODELO!$B$27)+(IFERROR(_xlfn.PERCENTRANK.INC($F$2:$F$1194,F1134)*100,0)*PARAMS_MODELO!$B$29)+(IFERROR(_xlfn.PERCENTRANK.INC($I$2:$I$1194,I1134)*100,0)*PARAMS_MODELO!$B$31)</f>
        <v>65.165000000000006</v>
      </c>
    </row>
    <row r="1135" spans="1:10" x14ac:dyDescent="0.3">
      <c r="A1135">
        <v>51040040</v>
      </c>
      <c r="B1135">
        <v>83</v>
      </c>
      <c r="C1135">
        <v>4</v>
      </c>
      <c r="D1135">
        <v>98</v>
      </c>
      <c r="E1135" s="21">
        <f>D1135/PARAMS_MODELO!$B$28</f>
        <v>3.2666666666666666</v>
      </c>
      <c r="F1135">
        <v>94</v>
      </c>
      <c r="G1135">
        <v>29</v>
      </c>
      <c r="H1135">
        <v>5</v>
      </c>
      <c r="I1135" s="20">
        <f t="shared" si="17"/>
        <v>0.17241379310344829</v>
      </c>
      <c r="J1135" s="21">
        <f>(IFERROR(_xlfn.PERCENTRANK.INC($B$2:$B$1194,B1135)*100,0)*PARAMS_MODELO!$B$25)+(IFERROR(_xlfn.PERCENTRANK.INC($C$2:$C$1194,C1135)*100,0)*PARAMS_MODELO!$B$26)+(IFERROR(_xlfn.PERCENTRANK.INC($E$2:$E$1194,E1135)*100,0)*PARAMS_MODELO!$B$27)+(IFERROR(_xlfn.PERCENTRANK.INC($F$2:$F$1194,F1135)*100,0)*PARAMS_MODELO!$B$29)+(IFERROR(_xlfn.PERCENTRANK.INC($I$2:$I$1194,I1135)*100,0)*PARAMS_MODELO!$B$31)</f>
        <v>63.389999999999986</v>
      </c>
    </row>
    <row r="1136" spans="1:10" x14ac:dyDescent="0.3">
      <c r="A1136">
        <v>51040309</v>
      </c>
      <c r="B1136">
        <v>63</v>
      </c>
      <c r="C1136">
        <v>12</v>
      </c>
      <c r="D1136">
        <v>18</v>
      </c>
      <c r="E1136" s="21">
        <f>D1136/PARAMS_MODELO!$B$28</f>
        <v>0.6</v>
      </c>
      <c r="F1136">
        <v>24</v>
      </c>
      <c r="G1136">
        <v>78</v>
      </c>
      <c r="H1136">
        <v>63</v>
      </c>
      <c r="I1136" s="20">
        <f t="shared" si="17"/>
        <v>0.80769230769230771</v>
      </c>
      <c r="J1136" s="21">
        <f>(IFERROR(_xlfn.PERCENTRANK.INC($B$2:$B$1194,B1136)*100,0)*PARAMS_MODELO!$B$25)+(IFERROR(_xlfn.PERCENTRANK.INC($C$2:$C$1194,C1136)*100,0)*PARAMS_MODELO!$B$26)+(IFERROR(_xlfn.PERCENTRANK.INC($E$2:$E$1194,E1136)*100,0)*PARAMS_MODELO!$B$27)+(IFERROR(_xlfn.PERCENTRANK.INC($F$2:$F$1194,F1136)*100,0)*PARAMS_MODELO!$B$29)+(IFERROR(_xlfn.PERCENTRANK.INC($I$2:$I$1194,I1136)*100,0)*PARAMS_MODELO!$B$31)</f>
        <v>44.2</v>
      </c>
    </row>
    <row r="1137" spans="1:10" x14ac:dyDescent="0.3">
      <c r="A1137">
        <v>51040856</v>
      </c>
      <c r="B1137">
        <v>44</v>
      </c>
      <c r="C1137">
        <v>10</v>
      </c>
      <c r="D1137">
        <v>31</v>
      </c>
      <c r="E1137" s="21">
        <f>D1137/PARAMS_MODELO!$B$28</f>
        <v>1.0333333333333334</v>
      </c>
      <c r="F1137">
        <v>92</v>
      </c>
      <c r="G1137">
        <v>7</v>
      </c>
      <c r="H1137">
        <v>3</v>
      </c>
      <c r="I1137" s="20">
        <f t="shared" si="17"/>
        <v>0.42857142857142855</v>
      </c>
      <c r="J1137" s="21">
        <f>(IFERROR(_xlfn.PERCENTRANK.INC($B$2:$B$1194,B1137)*100,0)*PARAMS_MODELO!$B$25)+(IFERROR(_xlfn.PERCENTRANK.INC($C$2:$C$1194,C1137)*100,0)*PARAMS_MODELO!$B$26)+(IFERROR(_xlfn.PERCENTRANK.INC($E$2:$E$1194,E1137)*100,0)*PARAMS_MODELO!$B$27)+(IFERROR(_xlfn.PERCENTRANK.INC($F$2:$F$1194,F1137)*100,0)*PARAMS_MODELO!$B$29)+(IFERROR(_xlfn.PERCENTRANK.INC($I$2:$I$1194,I1137)*100,0)*PARAMS_MODELO!$B$31)</f>
        <v>45.81</v>
      </c>
    </row>
    <row r="1138" spans="1:10" x14ac:dyDescent="0.3">
      <c r="A1138">
        <v>51040970</v>
      </c>
      <c r="B1138">
        <v>22</v>
      </c>
      <c r="C1138">
        <v>12</v>
      </c>
      <c r="D1138">
        <v>38</v>
      </c>
      <c r="E1138" s="21">
        <f>D1138/PARAMS_MODELO!$B$28</f>
        <v>1.2666666666666666</v>
      </c>
      <c r="F1138">
        <v>35</v>
      </c>
      <c r="G1138">
        <v>19</v>
      </c>
      <c r="H1138">
        <v>16</v>
      </c>
      <c r="I1138" s="20">
        <f t="shared" si="17"/>
        <v>0.84210526315789469</v>
      </c>
      <c r="J1138" s="21">
        <f>(IFERROR(_xlfn.PERCENTRANK.INC($B$2:$B$1194,B1138)*100,0)*PARAMS_MODELO!$B$25)+(IFERROR(_xlfn.PERCENTRANK.INC($C$2:$C$1194,C1138)*100,0)*PARAMS_MODELO!$B$26)+(IFERROR(_xlfn.PERCENTRANK.INC($E$2:$E$1194,E1138)*100,0)*PARAMS_MODELO!$B$27)+(IFERROR(_xlfn.PERCENTRANK.INC($F$2:$F$1194,F1138)*100,0)*PARAMS_MODELO!$B$29)+(IFERROR(_xlfn.PERCENTRANK.INC($I$2:$I$1194,I1138)*100,0)*PARAMS_MODELO!$B$31)</f>
        <v>38.815000000000005</v>
      </c>
    </row>
    <row r="1139" spans="1:10" x14ac:dyDescent="0.3">
      <c r="A1139">
        <v>51041178</v>
      </c>
      <c r="B1139">
        <v>5</v>
      </c>
      <c r="C1139">
        <v>22</v>
      </c>
      <c r="D1139">
        <v>71</v>
      </c>
      <c r="E1139" s="21">
        <f>D1139/PARAMS_MODELO!$B$28</f>
        <v>2.3666666666666667</v>
      </c>
      <c r="F1139">
        <v>76</v>
      </c>
      <c r="G1139">
        <v>17</v>
      </c>
      <c r="H1139">
        <v>10</v>
      </c>
      <c r="I1139" s="20">
        <f t="shared" si="17"/>
        <v>0.58823529411764708</v>
      </c>
      <c r="J1139" s="21">
        <f>(IFERROR(_xlfn.PERCENTRANK.INC($B$2:$B$1194,B1139)*100,0)*PARAMS_MODELO!$B$25)+(IFERROR(_xlfn.PERCENTRANK.INC($C$2:$C$1194,C1139)*100,0)*PARAMS_MODELO!$B$26)+(IFERROR(_xlfn.PERCENTRANK.INC($E$2:$E$1194,E1139)*100,0)*PARAMS_MODELO!$B$27)+(IFERROR(_xlfn.PERCENTRANK.INC($F$2:$F$1194,F1139)*100,0)*PARAMS_MODELO!$B$29)+(IFERROR(_xlfn.PERCENTRANK.INC($I$2:$I$1194,I1139)*100,0)*PARAMS_MODELO!$B$31)</f>
        <v>53.629999999999995</v>
      </c>
    </row>
    <row r="1140" spans="1:10" x14ac:dyDescent="0.3">
      <c r="A1140">
        <v>51041321</v>
      </c>
      <c r="B1140">
        <v>52</v>
      </c>
      <c r="C1140">
        <v>7</v>
      </c>
      <c r="D1140">
        <v>83</v>
      </c>
      <c r="E1140" s="21">
        <f>D1140/PARAMS_MODELO!$B$28</f>
        <v>2.7666666666666666</v>
      </c>
      <c r="F1140">
        <v>7</v>
      </c>
      <c r="G1140">
        <v>52</v>
      </c>
      <c r="H1140">
        <v>39</v>
      </c>
      <c r="I1140" s="20">
        <f t="shared" si="17"/>
        <v>0.75</v>
      </c>
      <c r="J1140" s="21">
        <f>(IFERROR(_xlfn.PERCENTRANK.INC($B$2:$B$1194,B1140)*100,0)*PARAMS_MODELO!$B$25)+(IFERROR(_xlfn.PERCENTRANK.INC($C$2:$C$1194,C1140)*100,0)*PARAMS_MODELO!$B$26)+(IFERROR(_xlfn.PERCENTRANK.INC($E$2:$E$1194,E1140)*100,0)*PARAMS_MODELO!$B$27)+(IFERROR(_xlfn.PERCENTRANK.INC($F$2:$F$1194,F1140)*100,0)*PARAMS_MODELO!$B$29)+(IFERROR(_xlfn.PERCENTRANK.INC($I$2:$I$1194,I1140)*100,0)*PARAMS_MODELO!$B$31)</f>
        <v>46.739999999999995</v>
      </c>
    </row>
    <row r="1141" spans="1:10" x14ac:dyDescent="0.3">
      <c r="A1141">
        <v>51041836</v>
      </c>
      <c r="B1141">
        <v>76</v>
      </c>
      <c r="C1141">
        <v>5</v>
      </c>
      <c r="D1141">
        <v>12</v>
      </c>
      <c r="E1141" s="21">
        <f>D1141/PARAMS_MODELO!$B$28</f>
        <v>0.4</v>
      </c>
      <c r="F1141">
        <v>49</v>
      </c>
      <c r="G1141">
        <v>56</v>
      </c>
      <c r="H1141">
        <v>50</v>
      </c>
      <c r="I1141" s="20">
        <f t="shared" si="17"/>
        <v>0.8928571428571429</v>
      </c>
      <c r="J1141" s="21">
        <f>(IFERROR(_xlfn.PERCENTRANK.INC($B$2:$B$1194,B1141)*100,0)*PARAMS_MODELO!$B$25)+(IFERROR(_xlfn.PERCENTRANK.INC($C$2:$C$1194,C1141)*100,0)*PARAMS_MODELO!$B$26)+(IFERROR(_xlfn.PERCENTRANK.INC($E$2:$E$1194,E1141)*100,0)*PARAMS_MODELO!$B$27)+(IFERROR(_xlfn.PERCENTRANK.INC($F$2:$F$1194,F1141)*100,0)*PARAMS_MODELO!$B$29)+(IFERROR(_xlfn.PERCENTRANK.INC($I$2:$I$1194,I1141)*100,0)*PARAMS_MODELO!$B$31)</f>
        <v>45.424999999999997</v>
      </c>
    </row>
    <row r="1142" spans="1:10" x14ac:dyDescent="0.3">
      <c r="A1142">
        <v>51041925</v>
      </c>
      <c r="B1142">
        <v>54</v>
      </c>
      <c r="C1142">
        <v>6</v>
      </c>
      <c r="D1142">
        <v>10</v>
      </c>
      <c r="E1142" s="21">
        <f>D1142/PARAMS_MODELO!$B$28</f>
        <v>0.33333333333333331</v>
      </c>
      <c r="F1142">
        <v>25</v>
      </c>
      <c r="G1142">
        <v>87</v>
      </c>
      <c r="H1142">
        <v>73</v>
      </c>
      <c r="I1142" s="20">
        <f t="shared" si="17"/>
        <v>0.83908045977011492</v>
      </c>
      <c r="J1142" s="21">
        <f>(IFERROR(_xlfn.PERCENTRANK.INC($B$2:$B$1194,B1142)*100,0)*PARAMS_MODELO!$B$25)+(IFERROR(_xlfn.PERCENTRANK.INC($C$2:$C$1194,C1142)*100,0)*PARAMS_MODELO!$B$26)+(IFERROR(_xlfn.PERCENTRANK.INC($E$2:$E$1194,E1142)*100,0)*PARAMS_MODELO!$B$27)+(IFERROR(_xlfn.PERCENTRANK.INC($F$2:$F$1194,F1142)*100,0)*PARAMS_MODELO!$B$29)+(IFERROR(_xlfn.PERCENTRANK.INC($I$2:$I$1194,I1142)*100,0)*PARAMS_MODELO!$B$31)</f>
        <v>35.049999999999997</v>
      </c>
    </row>
    <row r="1143" spans="1:10" x14ac:dyDescent="0.3">
      <c r="A1143">
        <v>51042166</v>
      </c>
      <c r="B1143">
        <v>93</v>
      </c>
      <c r="C1143">
        <v>24</v>
      </c>
      <c r="D1143">
        <v>34</v>
      </c>
      <c r="E1143" s="21">
        <f>D1143/PARAMS_MODELO!$B$28</f>
        <v>1.1333333333333333</v>
      </c>
      <c r="F1143">
        <v>57</v>
      </c>
      <c r="G1143">
        <v>89</v>
      </c>
      <c r="H1143">
        <v>64</v>
      </c>
      <c r="I1143" s="20">
        <f t="shared" si="17"/>
        <v>0.7191011235955056</v>
      </c>
      <c r="J1143" s="21">
        <f>(IFERROR(_xlfn.PERCENTRANK.INC($B$2:$B$1194,B1143)*100,0)*PARAMS_MODELO!$B$25)+(IFERROR(_xlfn.PERCENTRANK.INC($C$2:$C$1194,C1143)*100,0)*PARAMS_MODELO!$B$26)+(IFERROR(_xlfn.PERCENTRANK.INC($E$2:$E$1194,E1143)*100,0)*PARAMS_MODELO!$B$27)+(IFERROR(_xlfn.PERCENTRANK.INC($F$2:$F$1194,F1143)*100,0)*PARAMS_MODELO!$B$29)+(IFERROR(_xlfn.PERCENTRANK.INC($I$2:$I$1194,I1143)*100,0)*PARAMS_MODELO!$B$31)</f>
        <v>72.195000000000007</v>
      </c>
    </row>
    <row r="1144" spans="1:10" x14ac:dyDescent="0.3">
      <c r="A1144">
        <v>51042352</v>
      </c>
      <c r="B1144">
        <v>67</v>
      </c>
      <c r="C1144">
        <v>23</v>
      </c>
      <c r="D1144">
        <v>31</v>
      </c>
      <c r="E1144" s="21">
        <f>D1144/PARAMS_MODELO!$B$28</f>
        <v>1.0333333333333334</v>
      </c>
      <c r="F1144">
        <v>92</v>
      </c>
      <c r="G1144">
        <v>82</v>
      </c>
      <c r="H1144">
        <v>30</v>
      </c>
      <c r="I1144" s="20">
        <f t="shared" si="17"/>
        <v>0.36585365853658536</v>
      </c>
      <c r="J1144" s="21">
        <f>(IFERROR(_xlfn.PERCENTRANK.INC($B$2:$B$1194,B1144)*100,0)*PARAMS_MODELO!$B$25)+(IFERROR(_xlfn.PERCENTRANK.INC($C$2:$C$1194,C1144)*100,0)*PARAMS_MODELO!$B$26)+(IFERROR(_xlfn.PERCENTRANK.INC($E$2:$E$1194,E1144)*100,0)*PARAMS_MODELO!$B$27)+(IFERROR(_xlfn.PERCENTRANK.INC($F$2:$F$1194,F1144)*100,0)*PARAMS_MODELO!$B$29)+(IFERROR(_xlfn.PERCENTRANK.INC($I$2:$I$1194,I1144)*100,0)*PARAMS_MODELO!$B$31)</f>
        <v>64.495000000000005</v>
      </c>
    </row>
    <row r="1145" spans="1:10" x14ac:dyDescent="0.3">
      <c r="A1145">
        <v>51042492</v>
      </c>
      <c r="B1145">
        <v>68</v>
      </c>
      <c r="C1145">
        <v>11</v>
      </c>
      <c r="D1145">
        <v>65</v>
      </c>
      <c r="E1145" s="21">
        <f>D1145/PARAMS_MODELO!$B$28</f>
        <v>2.1666666666666665</v>
      </c>
      <c r="F1145">
        <v>15</v>
      </c>
      <c r="G1145">
        <v>92</v>
      </c>
      <c r="H1145">
        <v>66</v>
      </c>
      <c r="I1145" s="20">
        <f t="shared" si="17"/>
        <v>0.71739130434782605</v>
      </c>
      <c r="J1145" s="21">
        <f>(IFERROR(_xlfn.PERCENTRANK.INC($B$2:$B$1194,B1145)*100,0)*PARAMS_MODELO!$B$25)+(IFERROR(_xlfn.PERCENTRANK.INC($C$2:$C$1194,C1145)*100,0)*PARAMS_MODELO!$B$26)+(IFERROR(_xlfn.PERCENTRANK.INC($E$2:$E$1194,E1145)*100,0)*PARAMS_MODELO!$B$27)+(IFERROR(_xlfn.PERCENTRANK.INC($F$2:$F$1194,F1145)*100,0)*PARAMS_MODELO!$B$29)+(IFERROR(_xlfn.PERCENTRANK.INC($I$2:$I$1194,I1145)*100,0)*PARAMS_MODELO!$B$31)</f>
        <v>51.980000000000004</v>
      </c>
    </row>
    <row r="1146" spans="1:10" x14ac:dyDescent="0.3">
      <c r="A1146">
        <v>51042557</v>
      </c>
      <c r="B1146">
        <v>72</v>
      </c>
      <c r="C1146">
        <v>5</v>
      </c>
      <c r="D1146">
        <v>97</v>
      </c>
      <c r="E1146" s="21">
        <f>D1146/PARAMS_MODELO!$B$28</f>
        <v>3.2333333333333334</v>
      </c>
      <c r="F1146">
        <v>98</v>
      </c>
      <c r="G1146">
        <v>33</v>
      </c>
      <c r="H1146">
        <v>20</v>
      </c>
      <c r="I1146" s="20">
        <f t="shared" si="17"/>
        <v>0.60606060606060608</v>
      </c>
      <c r="J1146" s="21">
        <f>(IFERROR(_xlfn.PERCENTRANK.INC($B$2:$B$1194,B1146)*100,0)*PARAMS_MODELO!$B$25)+(IFERROR(_xlfn.PERCENTRANK.INC($C$2:$C$1194,C1146)*100,0)*PARAMS_MODELO!$B$26)+(IFERROR(_xlfn.PERCENTRANK.INC($E$2:$E$1194,E1146)*100,0)*PARAMS_MODELO!$B$27)+(IFERROR(_xlfn.PERCENTRANK.INC($F$2:$F$1194,F1146)*100,0)*PARAMS_MODELO!$B$29)+(IFERROR(_xlfn.PERCENTRANK.INC($I$2:$I$1194,I1146)*100,0)*PARAMS_MODELO!$B$31)</f>
        <v>65.524999999999991</v>
      </c>
    </row>
    <row r="1147" spans="1:10" x14ac:dyDescent="0.3">
      <c r="A1147">
        <v>51042697</v>
      </c>
      <c r="B1147">
        <v>68</v>
      </c>
      <c r="C1147">
        <v>9</v>
      </c>
      <c r="D1147">
        <v>47</v>
      </c>
      <c r="E1147" s="21">
        <f>D1147/PARAMS_MODELO!$B$28</f>
        <v>1.5666666666666667</v>
      </c>
      <c r="F1147">
        <v>46</v>
      </c>
      <c r="G1147">
        <v>43</v>
      </c>
      <c r="H1147">
        <v>5</v>
      </c>
      <c r="I1147" s="20">
        <f t="shared" si="17"/>
        <v>0.11627906976744186</v>
      </c>
      <c r="J1147" s="21">
        <f>(IFERROR(_xlfn.PERCENTRANK.INC($B$2:$B$1194,B1147)*100,0)*PARAMS_MODELO!$B$25)+(IFERROR(_xlfn.PERCENTRANK.INC($C$2:$C$1194,C1147)*100,0)*PARAMS_MODELO!$B$26)+(IFERROR(_xlfn.PERCENTRANK.INC($E$2:$E$1194,E1147)*100,0)*PARAMS_MODELO!$B$27)+(IFERROR(_xlfn.PERCENTRANK.INC($F$2:$F$1194,F1147)*100,0)*PARAMS_MODELO!$B$29)+(IFERROR(_xlfn.PERCENTRANK.INC($I$2:$I$1194,I1147)*100,0)*PARAMS_MODELO!$B$31)</f>
        <v>45.730000000000004</v>
      </c>
    </row>
    <row r="1148" spans="1:10" x14ac:dyDescent="0.3">
      <c r="A1148">
        <v>51042701</v>
      </c>
      <c r="B1148">
        <v>88</v>
      </c>
      <c r="C1148">
        <v>20</v>
      </c>
      <c r="D1148">
        <v>19</v>
      </c>
      <c r="E1148" s="21">
        <f>D1148/PARAMS_MODELO!$B$28</f>
        <v>0.6333333333333333</v>
      </c>
      <c r="F1148">
        <v>17</v>
      </c>
      <c r="G1148">
        <v>91</v>
      </c>
      <c r="H1148">
        <v>70</v>
      </c>
      <c r="I1148" s="20">
        <f t="shared" si="17"/>
        <v>0.76923076923076927</v>
      </c>
      <c r="J1148" s="21">
        <f>(IFERROR(_xlfn.PERCENTRANK.INC($B$2:$B$1194,B1148)*100,0)*PARAMS_MODELO!$B$25)+(IFERROR(_xlfn.PERCENTRANK.INC($C$2:$C$1194,C1148)*100,0)*PARAMS_MODELO!$B$26)+(IFERROR(_xlfn.PERCENTRANK.INC($E$2:$E$1194,E1148)*100,0)*PARAMS_MODELO!$B$27)+(IFERROR(_xlfn.PERCENTRANK.INC($F$2:$F$1194,F1148)*100,0)*PARAMS_MODELO!$B$29)+(IFERROR(_xlfn.PERCENTRANK.INC($I$2:$I$1194,I1148)*100,0)*PARAMS_MODELO!$B$31)</f>
        <v>58.325000000000003</v>
      </c>
    </row>
    <row r="1149" spans="1:10" x14ac:dyDescent="0.3">
      <c r="A1149">
        <v>51042794</v>
      </c>
      <c r="B1149">
        <v>14</v>
      </c>
      <c r="C1149">
        <v>7</v>
      </c>
      <c r="D1149">
        <v>2</v>
      </c>
      <c r="E1149" s="21">
        <f>D1149/PARAMS_MODELO!$B$28</f>
        <v>6.6666666666666666E-2</v>
      </c>
      <c r="F1149">
        <v>69</v>
      </c>
      <c r="G1149">
        <v>3</v>
      </c>
      <c r="H1149">
        <v>1</v>
      </c>
      <c r="I1149" s="20">
        <f t="shared" si="17"/>
        <v>0.33333333333333331</v>
      </c>
      <c r="J1149" s="21">
        <f>(IFERROR(_xlfn.PERCENTRANK.INC($B$2:$B$1194,B1149)*100,0)*PARAMS_MODELO!$B$25)+(IFERROR(_xlfn.PERCENTRANK.INC($C$2:$C$1194,C1149)*100,0)*PARAMS_MODELO!$B$26)+(IFERROR(_xlfn.PERCENTRANK.INC($E$2:$E$1194,E1149)*100,0)*PARAMS_MODELO!$B$27)+(IFERROR(_xlfn.PERCENTRANK.INC($F$2:$F$1194,F1149)*100,0)*PARAMS_MODELO!$B$29)+(IFERROR(_xlfn.PERCENTRANK.INC($I$2:$I$1194,I1149)*100,0)*PARAMS_MODELO!$B$31)</f>
        <v>24.785</v>
      </c>
    </row>
    <row r="1150" spans="1:10" x14ac:dyDescent="0.3">
      <c r="A1150">
        <v>51042867</v>
      </c>
      <c r="B1150">
        <v>73</v>
      </c>
      <c r="C1150">
        <v>20</v>
      </c>
      <c r="D1150">
        <v>27</v>
      </c>
      <c r="E1150" s="21">
        <f>D1150/PARAMS_MODELO!$B$28</f>
        <v>0.9</v>
      </c>
      <c r="F1150">
        <v>49</v>
      </c>
      <c r="G1150">
        <v>84</v>
      </c>
      <c r="H1150">
        <v>9</v>
      </c>
      <c r="I1150" s="20">
        <f t="shared" si="17"/>
        <v>0.10714285714285714</v>
      </c>
      <c r="J1150" s="21">
        <f>(IFERROR(_xlfn.PERCENTRANK.INC($B$2:$B$1194,B1150)*100,0)*PARAMS_MODELO!$B$25)+(IFERROR(_xlfn.PERCENTRANK.INC($C$2:$C$1194,C1150)*100,0)*PARAMS_MODELO!$B$26)+(IFERROR(_xlfn.PERCENTRANK.INC($E$2:$E$1194,E1150)*100,0)*PARAMS_MODELO!$B$27)+(IFERROR(_xlfn.PERCENTRANK.INC($F$2:$F$1194,F1150)*100,0)*PARAMS_MODELO!$B$29)+(IFERROR(_xlfn.PERCENTRANK.INC($I$2:$I$1194,I1150)*100,0)*PARAMS_MODELO!$B$31)</f>
        <v>53.985000000000007</v>
      </c>
    </row>
    <row r="1151" spans="1:10" x14ac:dyDescent="0.3">
      <c r="A1151">
        <v>51042883</v>
      </c>
      <c r="B1151">
        <v>54</v>
      </c>
      <c r="C1151">
        <v>9</v>
      </c>
      <c r="D1151">
        <v>63</v>
      </c>
      <c r="E1151" s="21">
        <f>D1151/PARAMS_MODELO!$B$28</f>
        <v>2.1</v>
      </c>
      <c r="F1151">
        <v>93</v>
      </c>
      <c r="G1151">
        <v>64</v>
      </c>
      <c r="H1151">
        <v>8</v>
      </c>
      <c r="I1151" s="20">
        <f t="shared" si="17"/>
        <v>0.125</v>
      </c>
      <c r="J1151" s="21">
        <f>(IFERROR(_xlfn.PERCENTRANK.INC($B$2:$B$1194,B1151)*100,0)*PARAMS_MODELO!$B$25)+(IFERROR(_xlfn.PERCENTRANK.INC($C$2:$C$1194,C1151)*100,0)*PARAMS_MODELO!$B$26)+(IFERROR(_xlfn.PERCENTRANK.INC($E$2:$E$1194,E1151)*100,0)*PARAMS_MODELO!$B$27)+(IFERROR(_xlfn.PERCENTRANK.INC($F$2:$F$1194,F1151)*100,0)*PARAMS_MODELO!$B$29)+(IFERROR(_xlfn.PERCENTRANK.INC($I$2:$I$1194,I1151)*100,0)*PARAMS_MODELO!$B$31)</f>
        <v>51.800000000000004</v>
      </c>
    </row>
    <row r="1152" spans="1:10" x14ac:dyDescent="0.3">
      <c r="A1152">
        <v>51043286</v>
      </c>
      <c r="B1152">
        <v>90</v>
      </c>
      <c r="C1152">
        <v>17</v>
      </c>
      <c r="D1152">
        <v>68</v>
      </c>
      <c r="E1152" s="21">
        <f>D1152/PARAMS_MODELO!$B$28</f>
        <v>2.2666666666666666</v>
      </c>
      <c r="F1152">
        <v>60</v>
      </c>
      <c r="G1152">
        <v>11</v>
      </c>
      <c r="H1152">
        <v>8</v>
      </c>
      <c r="I1152" s="20">
        <f t="shared" si="17"/>
        <v>0.72727272727272729</v>
      </c>
      <c r="J1152" s="21">
        <f>(IFERROR(_xlfn.PERCENTRANK.INC($B$2:$B$1194,B1152)*100,0)*PARAMS_MODELO!$B$25)+(IFERROR(_xlfn.PERCENTRANK.INC($C$2:$C$1194,C1152)*100,0)*PARAMS_MODELO!$B$26)+(IFERROR(_xlfn.PERCENTRANK.INC($E$2:$E$1194,E1152)*100,0)*PARAMS_MODELO!$B$27)+(IFERROR(_xlfn.PERCENTRANK.INC($F$2:$F$1194,F1152)*100,0)*PARAMS_MODELO!$B$29)+(IFERROR(_xlfn.PERCENTRANK.INC($I$2:$I$1194,I1152)*100,0)*PARAMS_MODELO!$B$31)</f>
        <v>71.775000000000006</v>
      </c>
    </row>
    <row r="1153" spans="1:10" x14ac:dyDescent="0.3">
      <c r="A1153">
        <v>51043430</v>
      </c>
      <c r="B1153">
        <v>81</v>
      </c>
      <c r="C1153">
        <v>21</v>
      </c>
      <c r="D1153">
        <v>54</v>
      </c>
      <c r="E1153" s="21">
        <f>D1153/PARAMS_MODELO!$B$28</f>
        <v>1.8</v>
      </c>
      <c r="F1153">
        <v>43</v>
      </c>
      <c r="G1153">
        <v>37</v>
      </c>
      <c r="H1153">
        <v>24</v>
      </c>
      <c r="I1153" s="20">
        <f t="shared" si="17"/>
        <v>0.64864864864864868</v>
      </c>
      <c r="J1153" s="21">
        <f>(IFERROR(_xlfn.PERCENTRANK.INC($B$2:$B$1194,B1153)*100,0)*PARAMS_MODELO!$B$25)+(IFERROR(_xlfn.PERCENTRANK.INC($C$2:$C$1194,C1153)*100,0)*PARAMS_MODELO!$B$26)+(IFERROR(_xlfn.PERCENTRANK.INC($E$2:$E$1194,E1153)*100,0)*PARAMS_MODELO!$B$27)+(IFERROR(_xlfn.PERCENTRANK.INC($F$2:$F$1194,F1153)*100,0)*PARAMS_MODELO!$B$29)+(IFERROR(_xlfn.PERCENTRANK.INC($I$2:$I$1194,I1153)*100,0)*PARAMS_MODELO!$B$31)</f>
        <v>67.17</v>
      </c>
    </row>
    <row r="1154" spans="1:10" x14ac:dyDescent="0.3">
      <c r="A1154">
        <v>51043481</v>
      </c>
      <c r="B1154">
        <v>83</v>
      </c>
      <c r="C1154">
        <v>10</v>
      </c>
      <c r="D1154">
        <v>56</v>
      </c>
      <c r="E1154" s="21">
        <f>D1154/PARAMS_MODELO!$B$28</f>
        <v>1.8666666666666667</v>
      </c>
      <c r="F1154">
        <v>38</v>
      </c>
      <c r="G1154">
        <v>95</v>
      </c>
      <c r="H1154">
        <v>53</v>
      </c>
      <c r="I1154" s="20">
        <f t="shared" ref="I1154:I1194" si="18">IFERROR(H1154/G1154,0)</f>
        <v>0.55789473684210522</v>
      </c>
      <c r="J1154" s="21">
        <f>(IFERROR(_xlfn.PERCENTRANK.INC($B$2:$B$1194,B1154)*100,0)*PARAMS_MODELO!$B$25)+(IFERROR(_xlfn.PERCENTRANK.INC($C$2:$C$1194,C1154)*100,0)*PARAMS_MODELO!$B$26)+(IFERROR(_xlfn.PERCENTRANK.INC($E$2:$E$1194,E1154)*100,0)*PARAMS_MODELO!$B$27)+(IFERROR(_xlfn.PERCENTRANK.INC($F$2:$F$1194,F1154)*100,0)*PARAMS_MODELO!$B$29)+(IFERROR(_xlfn.PERCENTRANK.INC($I$2:$I$1194,I1154)*100,0)*PARAMS_MODELO!$B$31)</f>
        <v>55.934999999999995</v>
      </c>
    </row>
    <row r="1155" spans="1:10" x14ac:dyDescent="0.3">
      <c r="A1155">
        <v>51043685</v>
      </c>
      <c r="B1155">
        <v>77</v>
      </c>
      <c r="C1155">
        <v>20</v>
      </c>
      <c r="D1155">
        <v>56</v>
      </c>
      <c r="E1155" s="21">
        <f>D1155/PARAMS_MODELO!$B$28</f>
        <v>1.8666666666666667</v>
      </c>
      <c r="F1155">
        <v>60</v>
      </c>
      <c r="G1155">
        <v>66</v>
      </c>
      <c r="H1155">
        <v>22</v>
      </c>
      <c r="I1155" s="20">
        <f t="shared" si="18"/>
        <v>0.33333333333333331</v>
      </c>
      <c r="J1155" s="21">
        <f>(IFERROR(_xlfn.PERCENTRANK.INC($B$2:$B$1194,B1155)*100,0)*PARAMS_MODELO!$B$25)+(IFERROR(_xlfn.PERCENTRANK.INC($C$2:$C$1194,C1155)*100,0)*PARAMS_MODELO!$B$26)+(IFERROR(_xlfn.PERCENTRANK.INC($E$2:$E$1194,E1155)*100,0)*PARAMS_MODELO!$B$27)+(IFERROR(_xlfn.PERCENTRANK.INC($F$2:$F$1194,F1155)*100,0)*PARAMS_MODELO!$B$29)+(IFERROR(_xlfn.PERCENTRANK.INC($I$2:$I$1194,I1155)*100,0)*PARAMS_MODELO!$B$31)</f>
        <v>64.72999999999999</v>
      </c>
    </row>
    <row r="1156" spans="1:10" x14ac:dyDescent="0.3">
      <c r="A1156">
        <v>51044185</v>
      </c>
      <c r="B1156">
        <v>50</v>
      </c>
      <c r="C1156">
        <v>20</v>
      </c>
      <c r="D1156">
        <v>8</v>
      </c>
      <c r="E1156" s="21">
        <f>D1156/PARAMS_MODELO!$B$28</f>
        <v>0.26666666666666666</v>
      </c>
      <c r="F1156">
        <v>31</v>
      </c>
      <c r="G1156">
        <v>56</v>
      </c>
      <c r="H1156">
        <v>47</v>
      </c>
      <c r="I1156" s="20">
        <f t="shared" si="18"/>
        <v>0.8392857142857143</v>
      </c>
      <c r="J1156" s="21">
        <f>(IFERROR(_xlfn.PERCENTRANK.INC($B$2:$B$1194,B1156)*100,0)*PARAMS_MODELO!$B$25)+(IFERROR(_xlfn.PERCENTRANK.INC($C$2:$C$1194,C1156)*100,0)*PARAMS_MODELO!$B$26)+(IFERROR(_xlfn.PERCENTRANK.INC($E$2:$E$1194,E1156)*100,0)*PARAMS_MODELO!$B$27)+(IFERROR(_xlfn.PERCENTRANK.INC($F$2:$F$1194,F1156)*100,0)*PARAMS_MODELO!$B$29)+(IFERROR(_xlfn.PERCENTRANK.INC($I$2:$I$1194,I1156)*100,0)*PARAMS_MODELO!$B$31)</f>
        <v>47.794999999999995</v>
      </c>
    </row>
    <row r="1157" spans="1:10" x14ac:dyDescent="0.3">
      <c r="A1157">
        <v>51054474</v>
      </c>
      <c r="B1157">
        <v>88</v>
      </c>
      <c r="C1157">
        <v>14</v>
      </c>
      <c r="D1157">
        <v>1</v>
      </c>
      <c r="E1157" s="21">
        <f>D1157/PARAMS_MODELO!$B$28</f>
        <v>3.3333333333333333E-2</v>
      </c>
      <c r="F1157">
        <v>17</v>
      </c>
      <c r="G1157">
        <v>63</v>
      </c>
      <c r="H1157">
        <v>53</v>
      </c>
      <c r="I1157" s="20">
        <f t="shared" si="18"/>
        <v>0.84126984126984128</v>
      </c>
      <c r="J1157" s="21">
        <f>(IFERROR(_xlfn.PERCENTRANK.INC($B$2:$B$1194,B1157)*100,0)*PARAMS_MODELO!$B$25)+(IFERROR(_xlfn.PERCENTRANK.INC($C$2:$C$1194,C1157)*100,0)*PARAMS_MODELO!$B$26)+(IFERROR(_xlfn.PERCENTRANK.INC($E$2:$E$1194,E1157)*100,0)*PARAMS_MODELO!$B$27)+(IFERROR(_xlfn.PERCENTRANK.INC($F$2:$F$1194,F1157)*100,0)*PARAMS_MODELO!$B$29)+(IFERROR(_xlfn.PERCENTRANK.INC($I$2:$I$1194,I1157)*100,0)*PARAMS_MODELO!$B$31)</f>
        <v>49.704999999999998</v>
      </c>
    </row>
    <row r="1158" spans="1:10" x14ac:dyDescent="0.3">
      <c r="A1158">
        <v>51054890</v>
      </c>
      <c r="B1158">
        <v>46</v>
      </c>
      <c r="C1158">
        <v>8</v>
      </c>
      <c r="D1158">
        <v>50</v>
      </c>
      <c r="E1158" s="21">
        <f>D1158/PARAMS_MODELO!$B$28</f>
        <v>1.6666666666666667</v>
      </c>
      <c r="F1158">
        <v>5</v>
      </c>
      <c r="G1158">
        <v>14</v>
      </c>
      <c r="H1158">
        <v>3</v>
      </c>
      <c r="I1158" s="20">
        <f t="shared" si="18"/>
        <v>0.21428571428571427</v>
      </c>
      <c r="J1158" s="21">
        <f>(IFERROR(_xlfn.PERCENTRANK.INC($B$2:$B$1194,B1158)*100,0)*PARAMS_MODELO!$B$25)+(IFERROR(_xlfn.PERCENTRANK.INC($C$2:$C$1194,C1158)*100,0)*PARAMS_MODELO!$B$26)+(IFERROR(_xlfn.PERCENTRANK.INC($E$2:$E$1194,E1158)*100,0)*PARAMS_MODELO!$B$27)+(IFERROR(_xlfn.PERCENTRANK.INC($F$2:$F$1194,F1158)*100,0)*PARAMS_MODELO!$B$29)+(IFERROR(_xlfn.PERCENTRANK.INC($I$2:$I$1194,I1158)*100,0)*PARAMS_MODELO!$B$31)</f>
        <v>34.010000000000005</v>
      </c>
    </row>
    <row r="1159" spans="1:10" x14ac:dyDescent="0.3">
      <c r="A1159">
        <v>51054971</v>
      </c>
      <c r="B1159">
        <v>22</v>
      </c>
      <c r="C1159">
        <v>2</v>
      </c>
      <c r="D1159">
        <v>78</v>
      </c>
      <c r="E1159" s="21">
        <f>D1159/PARAMS_MODELO!$B$28</f>
        <v>2.6</v>
      </c>
      <c r="F1159">
        <v>64</v>
      </c>
      <c r="G1159">
        <v>91</v>
      </c>
      <c r="H1159">
        <v>40</v>
      </c>
      <c r="I1159" s="20">
        <f t="shared" si="18"/>
        <v>0.43956043956043955</v>
      </c>
      <c r="J1159" s="21">
        <f>(IFERROR(_xlfn.PERCENTRANK.INC($B$2:$B$1194,B1159)*100,0)*PARAMS_MODELO!$B$25)+(IFERROR(_xlfn.PERCENTRANK.INC($C$2:$C$1194,C1159)*100,0)*PARAMS_MODELO!$B$26)+(IFERROR(_xlfn.PERCENTRANK.INC($E$2:$E$1194,E1159)*100,0)*PARAMS_MODELO!$B$27)+(IFERROR(_xlfn.PERCENTRANK.INC($F$2:$F$1194,F1159)*100,0)*PARAMS_MODELO!$B$29)+(IFERROR(_xlfn.PERCENTRANK.INC($I$2:$I$1194,I1159)*100,0)*PARAMS_MODELO!$B$31)</f>
        <v>37.93</v>
      </c>
    </row>
    <row r="1160" spans="1:10" x14ac:dyDescent="0.3">
      <c r="A1160">
        <v>51055021</v>
      </c>
      <c r="B1160">
        <v>26</v>
      </c>
      <c r="C1160">
        <v>20</v>
      </c>
      <c r="D1160">
        <v>71</v>
      </c>
      <c r="E1160" s="21">
        <f>D1160/PARAMS_MODELO!$B$28</f>
        <v>2.3666666666666667</v>
      </c>
      <c r="F1160">
        <v>9</v>
      </c>
      <c r="G1160">
        <v>19</v>
      </c>
      <c r="H1160">
        <v>17</v>
      </c>
      <c r="I1160" s="20">
        <f t="shared" si="18"/>
        <v>0.89473684210526316</v>
      </c>
      <c r="J1160" s="21">
        <f>(IFERROR(_xlfn.PERCENTRANK.INC($B$2:$B$1194,B1160)*100,0)*PARAMS_MODELO!$B$25)+(IFERROR(_xlfn.PERCENTRANK.INC($C$2:$C$1194,C1160)*100,0)*PARAMS_MODELO!$B$26)+(IFERROR(_xlfn.PERCENTRANK.INC($E$2:$E$1194,E1160)*100,0)*PARAMS_MODELO!$B$27)+(IFERROR(_xlfn.PERCENTRANK.INC($F$2:$F$1194,F1160)*100,0)*PARAMS_MODELO!$B$29)+(IFERROR(_xlfn.PERCENTRANK.INC($I$2:$I$1194,I1160)*100,0)*PARAMS_MODELO!$B$31)</f>
        <v>50.570000000000007</v>
      </c>
    </row>
    <row r="1161" spans="1:10" x14ac:dyDescent="0.3">
      <c r="A1161">
        <v>51055110</v>
      </c>
      <c r="B1161">
        <v>48</v>
      </c>
      <c r="C1161">
        <v>13</v>
      </c>
      <c r="D1161">
        <v>30</v>
      </c>
      <c r="E1161" s="21">
        <f>D1161/PARAMS_MODELO!$B$28</f>
        <v>1</v>
      </c>
      <c r="F1161">
        <v>80</v>
      </c>
      <c r="G1161">
        <v>51</v>
      </c>
      <c r="H1161">
        <v>11</v>
      </c>
      <c r="I1161" s="20">
        <f t="shared" si="18"/>
        <v>0.21568627450980393</v>
      </c>
      <c r="J1161" s="21">
        <f>(IFERROR(_xlfn.PERCENTRANK.INC($B$2:$B$1194,B1161)*100,0)*PARAMS_MODELO!$B$25)+(IFERROR(_xlfn.PERCENTRANK.INC($C$2:$C$1194,C1161)*100,0)*PARAMS_MODELO!$B$26)+(IFERROR(_xlfn.PERCENTRANK.INC($E$2:$E$1194,E1161)*100,0)*PARAMS_MODELO!$B$27)+(IFERROR(_xlfn.PERCENTRANK.INC($F$2:$F$1194,F1161)*100,0)*PARAMS_MODELO!$B$29)+(IFERROR(_xlfn.PERCENTRANK.INC($I$2:$I$1194,I1161)*100,0)*PARAMS_MODELO!$B$31)</f>
        <v>46.304999999999993</v>
      </c>
    </row>
    <row r="1162" spans="1:10" x14ac:dyDescent="0.3">
      <c r="A1162">
        <v>51055179</v>
      </c>
      <c r="B1162">
        <v>39</v>
      </c>
      <c r="C1162">
        <v>21</v>
      </c>
      <c r="D1162">
        <v>67</v>
      </c>
      <c r="E1162" s="21">
        <f>D1162/PARAMS_MODELO!$B$28</f>
        <v>2.2333333333333334</v>
      </c>
      <c r="F1162">
        <v>41</v>
      </c>
      <c r="G1162">
        <v>60</v>
      </c>
      <c r="H1162">
        <v>10</v>
      </c>
      <c r="I1162" s="20">
        <f t="shared" si="18"/>
        <v>0.16666666666666666</v>
      </c>
      <c r="J1162" s="21">
        <f>(IFERROR(_xlfn.PERCENTRANK.INC($B$2:$B$1194,B1162)*100,0)*PARAMS_MODELO!$B$25)+(IFERROR(_xlfn.PERCENTRANK.INC($C$2:$C$1194,C1162)*100,0)*PARAMS_MODELO!$B$26)+(IFERROR(_xlfn.PERCENTRANK.INC($E$2:$E$1194,E1162)*100,0)*PARAMS_MODELO!$B$27)+(IFERROR(_xlfn.PERCENTRANK.INC($F$2:$F$1194,F1162)*100,0)*PARAMS_MODELO!$B$29)+(IFERROR(_xlfn.PERCENTRANK.INC($I$2:$I$1194,I1162)*100,0)*PARAMS_MODELO!$B$31)</f>
        <v>52.375</v>
      </c>
    </row>
    <row r="1163" spans="1:10" x14ac:dyDescent="0.3">
      <c r="A1163">
        <v>51055187</v>
      </c>
      <c r="B1163">
        <v>63</v>
      </c>
      <c r="C1163">
        <v>1</v>
      </c>
      <c r="D1163">
        <v>64</v>
      </c>
      <c r="E1163" s="21">
        <f>D1163/PARAMS_MODELO!$B$28</f>
        <v>2.1333333333333333</v>
      </c>
      <c r="F1163">
        <v>38</v>
      </c>
      <c r="G1163">
        <v>16</v>
      </c>
      <c r="H1163">
        <v>10</v>
      </c>
      <c r="I1163" s="20">
        <f t="shared" si="18"/>
        <v>0.625</v>
      </c>
      <c r="J1163" s="21">
        <f>(IFERROR(_xlfn.PERCENTRANK.INC($B$2:$B$1194,B1163)*100,0)*PARAMS_MODELO!$B$25)+(IFERROR(_xlfn.PERCENTRANK.INC($C$2:$C$1194,C1163)*100,0)*PARAMS_MODELO!$B$26)+(IFERROR(_xlfn.PERCENTRANK.INC($E$2:$E$1194,E1163)*100,0)*PARAMS_MODELO!$B$27)+(IFERROR(_xlfn.PERCENTRANK.INC($F$2:$F$1194,F1163)*100,0)*PARAMS_MODELO!$B$29)+(IFERROR(_xlfn.PERCENTRANK.INC($I$2:$I$1194,I1163)*100,0)*PARAMS_MODELO!$B$31)</f>
        <v>43.8</v>
      </c>
    </row>
    <row r="1164" spans="1:10" x14ac:dyDescent="0.3">
      <c r="A1164">
        <v>51055195</v>
      </c>
      <c r="B1164">
        <v>66</v>
      </c>
      <c r="C1164">
        <v>10</v>
      </c>
      <c r="D1164">
        <v>37</v>
      </c>
      <c r="E1164" s="21">
        <f>D1164/PARAMS_MODELO!$B$28</f>
        <v>1.2333333333333334</v>
      </c>
      <c r="F1164">
        <v>41</v>
      </c>
      <c r="G1164">
        <v>20</v>
      </c>
      <c r="H1164">
        <v>10</v>
      </c>
      <c r="I1164" s="20">
        <f t="shared" si="18"/>
        <v>0.5</v>
      </c>
      <c r="J1164" s="21">
        <f>(IFERROR(_xlfn.PERCENTRANK.INC($B$2:$B$1194,B1164)*100,0)*PARAMS_MODELO!$B$25)+(IFERROR(_xlfn.PERCENTRANK.INC($C$2:$C$1194,C1164)*100,0)*PARAMS_MODELO!$B$26)+(IFERROR(_xlfn.PERCENTRANK.INC($E$2:$E$1194,E1164)*100,0)*PARAMS_MODELO!$B$27)+(IFERROR(_xlfn.PERCENTRANK.INC($F$2:$F$1194,F1164)*100,0)*PARAMS_MODELO!$B$29)+(IFERROR(_xlfn.PERCENTRANK.INC($I$2:$I$1194,I1164)*100,0)*PARAMS_MODELO!$B$31)</f>
        <v>46.764999999999993</v>
      </c>
    </row>
    <row r="1165" spans="1:10" x14ac:dyDescent="0.3">
      <c r="A1165">
        <v>51055233</v>
      </c>
      <c r="B1165">
        <v>85</v>
      </c>
      <c r="C1165">
        <v>13</v>
      </c>
      <c r="D1165">
        <v>15</v>
      </c>
      <c r="E1165" s="21">
        <f>D1165/PARAMS_MODELO!$B$28</f>
        <v>0.5</v>
      </c>
      <c r="F1165">
        <v>100</v>
      </c>
      <c r="G1165">
        <v>92</v>
      </c>
      <c r="H1165">
        <v>59</v>
      </c>
      <c r="I1165" s="20">
        <f t="shared" si="18"/>
        <v>0.64130434782608692</v>
      </c>
      <c r="J1165" s="21">
        <f>(IFERROR(_xlfn.PERCENTRANK.INC($B$2:$B$1194,B1165)*100,0)*PARAMS_MODELO!$B$25)+(IFERROR(_xlfn.PERCENTRANK.INC($C$2:$C$1194,C1165)*100,0)*PARAMS_MODELO!$B$26)+(IFERROR(_xlfn.PERCENTRANK.INC($E$2:$E$1194,E1165)*100,0)*PARAMS_MODELO!$B$27)+(IFERROR(_xlfn.PERCENTRANK.INC($F$2:$F$1194,F1165)*100,0)*PARAMS_MODELO!$B$29)+(IFERROR(_xlfn.PERCENTRANK.INC($I$2:$I$1194,I1165)*100,0)*PARAMS_MODELO!$B$31)</f>
        <v>61.224999999999994</v>
      </c>
    </row>
    <row r="1166" spans="1:10" x14ac:dyDescent="0.3">
      <c r="A1166">
        <v>51055314</v>
      </c>
      <c r="B1166">
        <v>88</v>
      </c>
      <c r="C1166">
        <v>24</v>
      </c>
      <c r="D1166">
        <v>30</v>
      </c>
      <c r="E1166" s="21">
        <f>D1166/PARAMS_MODELO!$B$28</f>
        <v>1</v>
      </c>
      <c r="F1166">
        <v>96</v>
      </c>
      <c r="G1166">
        <v>19</v>
      </c>
      <c r="H1166">
        <v>7</v>
      </c>
      <c r="I1166" s="20">
        <f t="shared" si="18"/>
        <v>0.36842105263157893</v>
      </c>
      <c r="J1166" s="21">
        <f>(IFERROR(_xlfn.PERCENTRANK.INC($B$2:$B$1194,B1166)*100,0)*PARAMS_MODELO!$B$25)+(IFERROR(_xlfn.PERCENTRANK.INC($C$2:$C$1194,C1166)*100,0)*PARAMS_MODELO!$B$26)+(IFERROR(_xlfn.PERCENTRANK.INC($E$2:$E$1194,E1166)*100,0)*PARAMS_MODELO!$B$27)+(IFERROR(_xlfn.PERCENTRANK.INC($F$2:$F$1194,F1166)*100,0)*PARAMS_MODELO!$B$29)+(IFERROR(_xlfn.PERCENTRANK.INC($I$2:$I$1194,I1166)*100,0)*PARAMS_MODELO!$B$31)</f>
        <v>72.31</v>
      </c>
    </row>
    <row r="1167" spans="1:10" x14ac:dyDescent="0.3">
      <c r="A1167">
        <v>51055349</v>
      </c>
      <c r="B1167">
        <v>95</v>
      </c>
      <c r="C1167">
        <v>10</v>
      </c>
      <c r="D1167">
        <v>43</v>
      </c>
      <c r="E1167" s="21">
        <f>D1167/PARAMS_MODELO!$B$28</f>
        <v>1.4333333333333333</v>
      </c>
      <c r="F1167">
        <v>7</v>
      </c>
      <c r="G1167">
        <v>40</v>
      </c>
      <c r="H1167">
        <v>9</v>
      </c>
      <c r="I1167" s="20">
        <f t="shared" si="18"/>
        <v>0.22500000000000001</v>
      </c>
      <c r="J1167" s="21">
        <f>(IFERROR(_xlfn.PERCENTRANK.INC($B$2:$B$1194,B1167)*100,0)*PARAMS_MODELO!$B$25)+(IFERROR(_xlfn.PERCENTRANK.INC($C$2:$C$1194,C1167)*100,0)*PARAMS_MODELO!$B$26)+(IFERROR(_xlfn.PERCENTRANK.INC($E$2:$E$1194,E1167)*100,0)*PARAMS_MODELO!$B$27)+(IFERROR(_xlfn.PERCENTRANK.INC($F$2:$F$1194,F1167)*100,0)*PARAMS_MODELO!$B$29)+(IFERROR(_xlfn.PERCENTRANK.INC($I$2:$I$1194,I1167)*100,0)*PARAMS_MODELO!$B$31)</f>
        <v>49.15</v>
      </c>
    </row>
    <row r="1168" spans="1:10" x14ac:dyDescent="0.3">
      <c r="A1168">
        <v>51055381</v>
      </c>
      <c r="B1168">
        <v>42</v>
      </c>
      <c r="C1168">
        <v>25</v>
      </c>
      <c r="D1168">
        <v>83</v>
      </c>
      <c r="E1168" s="21">
        <f>D1168/PARAMS_MODELO!$B$28</f>
        <v>2.7666666666666666</v>
      </c>
      <c r="F1168">
        <v>59</v>
      </c>
      <c r="G1168">
        <v>29</v>
      </c>
      <c r="H1168">
        <v>14</v>
      </c>
      <c r="I1168" s="20">
        <f t="shared" si="18"/>
        <v>0.48275862068965519</v>
      </c>
      <c r="J1168" s="21">
        <f>(IFERROR(_xlfn.PERCENTRANK.INC($B$2:$B$1194,B1168)*100,0)*PARAMS_MODELO!$B$25)+(IFERROR(_xlfn.PERCENTRANK.INC($C$2:$C$1194,C1168)*100,0)*PARAMS_MODELO!$B$26)+(IFERROR(_xlfn.PERCENTRANK.INC($E$2:$E$1194,E1168)*100,0)*PARAMS_MODELO!$B$27)+(IFERROR(_xlfn.PERCENTRANK.INC($F$2:$F$1194,F1168)*100,0)*PARAMS_MODELO!$B$29)+(IFERROR(_xlfn.PERCENTRANK.INC($I$2:$I$1194,I1168)*100,0)*PARAMS_MODELO!$B$31)</f>
        <v>66.084999999999994</v>
      </c>
    </row>
    <row r="1169" spans="1:10" x14ac:dyDescent="0.3">
      <c r="A1169">
        <v>51055403</v>
      </c>
      <c r="B1169">
        <v>14</v>
      </c>
      <c r="C1169">
        <v>3</v>
      </c>
      <c r="D1169">
        <v>98</v>
      </c>
      <c r="E1169" s="21">
        <f>D1169/PARAMS_MODELO!$B$28</f>
        <v>3.2666666666666666</v>
      </c>
      <c r="F1169">
        <v>78</v>
      </c>
      <c r="G1169">
        <v>45</v>
      </c>
      <c r="H1169">
        <v>19</v>
      </c>
      <c r="I1169" s="20">
        <f t="shared" si="18"/>
        <v>0.42222222222222222</v>
      </c>
      <c r="J1169" s="21">
        <f>(IFERROR(_xlfn.PERCENTRANK.INC($B$2:$B$1194,B1169)*100,0)*PARAMS_MODELO!$B$25)+(IFERROR(_xlfn.PERCENTRANK.INC($C$2:$C$1194,C1169)*100,0)*PARAMS_MODELO!$B$26)+(IFERROR(_xlfn.PERCENTRANK.INC($E$2:$E$1194,E1169)*100,0)*PARAMS_MODELO!$B$27)+(IFERROR(_xlfn.PERCENTRANK.INC($F$2:$F$1194,F1169)*100,0)*PARAMS_MODELO!$B$29)+(IFERROR(_xlfn.PERCENTRANK.INC($I$2:$I$1194,I1169)*100,0)*PARAMS_MODELO!$B$31)</f>
        <v>42.464999999999996</v>
      </c>
    </row>
    <row r="1170" spans="1:10" x14ac:dyDescent="0.3">
      <c r="A1170">
        <v>51055420</v>
      </c>
      <c r="B1170">
        <v>37</v>
      </c>
      <c r="C1170">
        <v>8</v>
      </c>
      <c r="D1170">
        <v>32</v>
      </c>
      <c r="E1170" s="21">
        <f>D1170/PARAMS_MODELO!$B$28</f>
        <v>1.0666666666666667</v>
      </c>
      <c r="F1170">
        <v>29</v>
      </c>
      <c r="G1170">
        <v>87</v>
      </c>
      <c r="H1170">
        <v>8</v>
      </c>
      <c r="I1170" s="20">
        <f t="shared" si="18"/>
        <v>9.1954022988505746E-2</v>
      </c>
      <c r="J1170" s="21">
        <f>(IFERROR(_xlfn.PERCENTRANK.INC($B$2:$B$1194,B1170)*100,0)*PARAMS_MODELO!$B$25)+(IFERROR(_xlfn.PERCENTRANK.INC($C$2:$C$1194,C1170)*100,0)*PARAMS_MODELO!$B$26)+(IFERROR(_xlfn.PERCENTRANK.INC($E$2:$E$1194,E1170)*100,0)*PARAMS_MODELO!$B$27)+(IFERROR(_xlfn.PERCENTRANK.INC($F$2:$F$1194,F1170)*100,0)*PARAMS_MODELO!$B$29)+(IFERROR(_xlfn.PERCENTRANK.INC($I$2:$I$1194,I1170)*100,0)*PARAMS_MODELO!$B$31)</f>
        <v>29.42</v>
      </c>
    </row>
    <row r="1171" spans="1:10" x14ac:dyDescent="0.3">
      <c r="A1171">
        <v>51055438</v>
      </c>
      <c r="B1171">
        <v>15</v>
      </c>
      <c r="C1171">
        <v>17</v>
      </c>
      <c r="D1171">
        <v>65</v>
      </c>
      <c r="E1171" s="21">
        <f>D1171/PARAMS_MODELO!$B$28</f>
        <v>2.1666666666666665</v>
      </c>
      <c r="F1171">
        <v>45</v>
      </c>
      <c r="G1171">
        <v>33</v>
      </c>
      <c r="H1171">
        <v>29</v>
      </c>
      <c r="I1171" s="20">
        <f t="shared" si="18"/>
        <v>0.87878787878787878</v>
      </c>
      <c r="J1171" s="21">
        <f>(IFERROR(_xlfn.PERCENTRANK.INC($B$2:$B$1194,B1171)*100,0)*PARAMS_MODELO!$B$25)+(IFERROR(_xlfn.PERCENTRANK.INC($C$2:$C$1194,C1171)*100,0)*PARAMS_MODELO!$B$26)+(IFERROR(_xlfn.PERCENTRANK.INC($E$2:$E$1194,E1171)*100,0)*PARAMS_MODELO!$B$27)+(IFERROR(_xlfn.PERCENTRANK.INC($F$2:$F$1194,F1171)*100,0)*PARAMS_MODELO!$B$29)+(IFERROR(_xlfn.PERCENTRANK.INC($I$2:$I$1194,I1171)*100,0)*PARAMS_MODELO!$B$31)</f>
        <v>48.63</v>
      </c>
    </row>
    <row r="1172" spans="1:10" x14ac:dyDescent="0.3">
      <c r="A1172">
        <v>51055446</v>
      </c>
      <c r="B1172">
        <v>23</v>
      </c>
      <c r="C1172">
        <v>5</v>
      </c>
      <c r="D1172">
        <v>100</v>
      </c>
      <c r="E1172" s="21">
        <f>D1172/PARAMS_MODELO!$B$28</f>
        <v>3.3333333333333335</v>
      </c>
      <c r="F1172">
        <v>7</v>
      </c>
      <c r="G1172">
        <v>83</v>
      </c>
      <c r="H1172">
        <v>77</v>
      </c>
      <c r="I1172" s="20">
        <f t="shared" si="18"/>
        <v>0.92771084337349397</v>
      </c>
      <c r="J1172" s="21">
        <f>(IFERROR(_xlfn.PERCENTRANK.INC($B$2:$B$1194,B1172)*100,0)*PARAMS_MODELO!$B$25)+(IFERROR(_xlfn.PERCENTRANK.INC($C$2:$C$1194,C1172)*100,0)*PARAMS_MODELO!$B$26)+(IFERROR(_xlfn.PERCENTRANK.INC($E$2:$E$1194,E1172)*100,0)*PARAMS_MODELO!$B$27)+(IFERROR(_xlfn.PERCENTRANK.INC($F$2:$F$1194,F1172)*100,0)*PARAMS_MODELO!$B$29)+(IFERROR(_xlfn.PERCENTRANK.INC($I$2:$I$1194,I1172)*100,0)*PARAMS_MODELO!$B$31)</f>
        <v>41.35</v>
      </c>
    </row>
    <row r="1173" spans="1:10" x14ac:dyDescent="0.3">
      <c r="A1173">
        <v>51055471</v>
      </c>
      <c r="B1173">
        <v>41</v>
      </c>
      <c r="C1173">
        <v>17</v>
      </c>
      <c r="D1173">
        <v>12</v>
      </c>
      <c r="E1173" s="21">
        <f>D1173/PARAMS_MODELO!$B$28</f>
        <v>0.4</v>
      </c>
      <c r="F1173">
        <v>35</v>
      </c>
      <c r="G1173">
        <v>32</v>
      </c>
      <c r="H1173">
        <v>14</v>
      </c>
      <c r="I1173" s="20">
        <f t="shared" si="18"/>
        <v>0.4375</v>
      </c>
      <c r="J1173" s="21">
        <f>(IFERROR(_xlfn.PERCENTRANK.INC($B$2:$B$1194,B1173)*100,0)*PARAMS_MODELO!$B$25)+(IFERROR(_xlfn.PERCENTRANK.INC($C$2:$C$1194,C1173)*100,0)*PARAMS_MODELO!$B$26)+(IFERROR(_xlfn.PERCENTRANK.INC($E$2:$E$1194,E1173)*100,0)*PARAMS_MODELO!$B$27)+(IFERROR(_xlfn.PERCENTRANK.INC($F$2:$F$1194,F1173)*100,0)*PARAMS_MODELO!$B$29)+(IFERROR(_xlfn.PERCENTRANK.INC($I$2:$I$1194,I1173)*100,0)*PARAMS_MODELO!$B$31)</f>
        <v>39.479999999999997</v>
      </c>
    </row>
    <row r="1174" spans="1:10" x14ac:dyDescent="0.3">
      <c r="A1174">
        <v>51055608</v>
      </c>
      <c r="B1174">
        <v>23</v>
      </c>
      <c r="C1174">
        <v>4</v>
      </c>
      <c r="D1174">
        <v>13</v>
      </c>
      <c r="E1174" s="21">
        <f>D1174/PARAMS_MODELO!$B$28</f>
        <v>0.43333333333333335</v>
      </c>
      <c r="F1174">
        <v>41</v>
      </c>
      <c r="G1174">
        <v>99</v>
      </c>
      <c r="H1174">
        <v>49</v>
      </c>
      <c r="I1174" s="20">
        <f t="shared" si="18"/>
        <v>0.49494949494949497</v>
      </c>
      <c r="J1174" s="21">
        <f>(IFERROR(_xlfn.PERCENTRANK.INC($B$2:$B$1194,B1174)*100,0)*PARAMS_MODELO!$B$25)+(IFERROR(_xlfn.PERCENTRANK.INC($C$2:$C$1194,C1174)*100,0)*PARAMS_MODELO!$B$26)+(IFERROR(_xlfn.PERCENTRANK.INC($E$2:$E$1194,E1174)*100,0)*PARAMS_MODELO!$B$27)+(IFERROR(_xlfn.PERCENTRANK.INC($F$2:$F$1194,F1174)*100,0)*PARAMS_MODELO!$B$29)+(IFERROR(_xlfn.PERCENTRANK.INC($I$2:$I$1194,I1174)*100,0)*PARAMS_MODELO!$B$31)</f>
        <v>23.89</v>
      </c>
    </row>
    <row r="1175" spans="1:10" x14ac:dyDescent="0.3">
      <c r="A1175">
        <v>51055683</v>
      </c>
      <c r="B1175">
        <v>98</v>
      </c>
      <c r="C1175">
        <v>14</v>
      </c>
      <c r="D1175">
        <v>59</v>
      </c>
      <c r="E1175" s="21">
        <f>D1175/PARAMS_MODELO!$B$28</f>
        <v>1.9666666666666666</v>
      </c>
      <c r="F1175">
        <v>95</v>
      </c>
      <c r="G1175">
        <v>73</v>
      </c>
      <c r="H1175">
        <v>55</v>
      </c>
      <c r="I1175" s="20">
        <f t="shared" si="18"/>
        <v>0.75342465753424659</v>
      </c>
      <c r="J1175" s="21">
        <f>(IFERROR(_xlfn.PERCENTRANK.INC($B$2:$B$1194,B1175)*100,0)*PARAMS_MODELO!$B$25)+(IFERROR(_xlfn.PERCENTRANK.INC($C$2:$C$1194,C1175)*100,0)*PARAMS_MODELO!$B$26)+(IFERROR(_xlfn.PERCENTRANK.INC($E$2:$E$1194,E1175)*100,0)*PARAMS_MODELO!$B$27)+(IFERROR(_xlfn.PERCENTRANK.INC($F$2:$F$1194,F1175)*100,0)*PARAMS_MODELO!$B$29)+(IFERROR(_xlfn.PERCENTRANK.INC($I$2:$I$1194,I1175)*100,0)*PARAMS_MODELO!$B$31)</f>
        <v>75.384999999999991</v>
      </c>
    </row>
    <row r="1176" spans="1:10" x14ac:dyDescent="0.3">
      <c r="A1176">
        <v>51055713</v>
      </c>
      <c r="B1176">
        <v>65</v>
      </c>
      <c r="C1176">
        <v>15</v>
      </c>
      <c r="D1176">
        <v>38</v>
      </c>
      <c r="E1176" s="21">
        <f>D1176/PARAMS_MODELO!$B$28</f>
        <v>1.2666666666666666</v>
      </c>
      <c r="F1176">
        <v>60</v>
      </c>
      <c r="G1176">
        <v>73</v>
      </c>
      <c r="H1176">
        <v>4</v>
      </c>
      <c r="I1176" s="20">
        <f t="shared" si="18"/>
        <v>5.4794520547945202E-2</v>
      </c>
      <c r="J1176" s="21">
        <f>(IFERROR(_xlfn.PERCENTRANK.INC($B$2:$B$1194,B1176)*100,0)*PARAMS_MODELO!$B$25)+(IFERROR(_xlfn.PERCENTRANK.INC($C$2:$C$1194,C1176)*100,0)*PARAMS_MODELO!$B$26)+(IFERROR(_xlfn.PERCENTRANK.INC($E$2:$E$1194,E1176)*100,0)*PARAMS_MODELO!$B$27)+(IFERROR(_xlfn.PERCENTRANK.INC($F$2:$F$1194,F1176)*100,0)*PARAMS_MODELO!$B$29)+(IFERROR(_xlfn.PERCENTRANK.INC($I$2:$I$1194,I1176)*100,0)*PARAMS_MODELO!$B$31)</f>
        <v>49.66</v>
      </c>
    </row>
    <row r="1177" spans="1:10" x14ac:dyDescent="0.3">
      <c r="A1177">
        <v>51055748</v>
      </c>
      <c r="B1177">
        <v>1</v>
      </c>
      <c r="C1177">
        <v>13</v>
      </c>
      <c r="D1177">
        <v>31</v>
      </c>
      <c r="E1177" s="21">
        <f>D1177/PARAMS_MODELO!$B$28</f>
        <v>1.0333333333333334</v>
      </c>
      <c r="F1177">
        <v>97</v>
      </c>
      <c r="G1177">
        <v>7</v>
      </c>
      <c r="H1177">
        <v>3</v>
      </c>
      <c r="I1177" s="20">
        <f t="shared" si="18"/>
        <v>0.42857142857142855</v>
      </c>
      <c r="J1177" s="21">
        <f>(IFERROR(_xlfn.PERCENTRANK.INC($B$2:$B$1194,B1177)*100,0)*PARAMS_MODELO!$B$25)+(IFERROR(_xlfn.PERCENTRANK.INC($C$2:$C$1194,C1177)*100,0)*PARAMS_MODELO!$B$26)+(IFERROR(_xlfn.PERCENTRANK.INC($E$2:$E$1194,E1177)*100,0)*PARAMS_MODELO!$B$27)+(IFERROR(_xlfn.PERCENTRANK.INC($F$2:$F$1194,F1177)*100,0)*PARAMS_MODELO!$B$29)+(IFERROR(_xlfn.PERCENTRANK.INC($I$2:$I$1194,I1177)*100,0)*PARAMS_MODELO!$B$31)</f>
        <v>36.834999999999994</v>
      </c>
    </row>
    <row r="1178" spans="1:10" x14ac:dyDescent="0.3">
      <c r="A1178">
        <v>51055781</v>
      </c>
      <c r="B1178">
        <v>42</v>
      </c>
      <c r="C1178">
        <v>16</v>
      </c>
      <c r="D1178">
        <v>78</v>
      </c>
      <c r="E1178" s="21">
        <f>D1178/PARAMS_MODELO!$B$28</f>
        <v>2.6</v>
      </c>
      <c r="F1178">
        <v>58</v>
      </c>
      <c r="G1178">
        <v>62</v>
      </c>
      <c r="H1178">
        <v>23</v>
      </c>
      <c r="I1178" s="20">
        <f t="shared" si="18"/>
        <v>0.37096774193548387</v>
      </c>
      <c r="J1178" s="21">
        <f>(IFERROR(_xlfn.PERCENTRANK.INC($B$2:$B$1194,B1178)*100,0)*PARAMS_MODELO!$B$25)+(IFERROR(_xlfn.PERCENTRANK.INC($C$2:$C$1194,C1178)*100,0)*PARAMS_MODELO!$B$26)+(IFERROR(_xlfn.PERCENTRANK.INC($E$2:$E$1194,E1178)*100,0)*PARAMS_MODELO!$B$27)+(IFERROR(_xlfn.PERCENTRANK.INC($F$2:$F$1194,F1178)*100,0)*PARAMS_MODELO!$B$29)+(IFERROR(_xlfn.PERCENTRANK.INC($I$2:$I$1194,I1178)*100,0)*PARAMS_MODELO!$B$31)</f>
        <v>54.879999999999995</v>
      </c>
    </row>
    <row r="1179" spans="1:10" x14ac:dyDescent="0.3">
      <c r="A1179">
        <v>51055900</v>
      </c>
      <c r="B1179">
        <v>44</v>
      </c>
      <c r="C1179">
        <v>0</v>
      </c>
      <c r="D1179">
        <v>12</v>
      </c>
      <c r="E1179" s="21">
        <f>D1179/PARAMS_MODELO!$B$28</f>
        <v>0.4</v>
      </c>
      <c r="F1179">
        <v>3</v>
      </c>
      <c r="G1179">
        <v>81</v>
      </c>
      <c r="H1179">
        <v>56</v>
      </c>
      <c r="I1179" s="20">
        <f t="shared" si="18"/>
        <v>0.69135802469135799</v>
      </c>
      <c r="J1179" s="21">
        <f>(IFERROR(_xlfn.PERCENTRANK.INC($B$2:$B$1194,B1179)*100,0)*PARAMS_MODELO!$B$25)+(IFERROR(_xlfn.PERCENTRANK.INC($C$2:$C$1194,C1179)*100,0)*PARAMS_MODELO!$B$26)+(IFERROR(_xlfn.PERCENTRANK.INC($E$2:$E$1194,E1179)*100,0)*PARAMS_MODELO!$B$27)+(IFERROR(_xlfn.PERCENTRANK.INC($F$2:$F$1194,F1179)*100,0)*PARAMS_MODELO!$B$29)+(IFERROR(_xlfn.PERCENTRANK.INC($I$2:$I$1194,I1179)*100,0)*PARAMS_MODELO!$B$31)</f>
        <v>22.56</v>
      </c>
    </row>
    <row r="1180" spans="1:10" x14ac:dyDescent="0.3">
      <c r="A1180">
        <v>51055934</v>
      </c>
      <c r="B1180">
        <v>11</v>
      </c>
      <c r="C1180">
        <v>14</v>
      </c>
      <c r="D1180">
        <v>1</v>
      </c>
      <c r="E1180" s="21">
        <f>D1180/PARAMS_MODELO!$B$28</f>
        <v>3.3333333333333333E-2</v>
      </c>
      <c r="F1180">
        <v>99</v>
      </c>
      <c r="G1180">
        <v>6</v>
      </c>
      <c r="H1180">
        <v>3</v>
      </c>
      <c r="I1180" s="20">
        <f t="shared" si="18"/>
        <v>0.5</v>
      </c>
      <c r="J1180" s="21">
        <f>(IFERROR(_xlfn.PERCENTRANK.INC($B$2:$B$1194,B1180)*100,0)*PARAMS_MODELO!$B$25)+(IFERROR(_xlfn.PERCENTRANK.INC($C$2:$C$1194,C1180)*100,0)*PARAMS_MODELO!$B$26)+(IFERROR(_xlfn.PERCENTRANK.INC($E$2:$E$1194,E1180)*100,0)*PARAMS_MODELO!$B$27)+(IFERROR(_xlfn.PERCENTRANK.INC($F$2:$F$1194,F1180)*100,0)*PARAMS_MODELO!$B$29)+(IFERROR(_xlfn.PERCENTRANK.INC($I$2:$I$1194,I1180)*100,0)*PARAMS_MODELO!$B$31)</f>
        <v>36.125</v>
      </c>
    </row>
    <row r="1181" spans="1:10" x14ac:dyDescent="0.3">
      <c r="A1181">
        <v>51055969</v>
      </c>
      <c r="B1181">
        <v>25</v>
      </c>
      <c r="C1181">
        <v>5</v>
      </c>
      <c r="D1181">
        <v>7</v>
      </c>
      <c r="E1181" s="21">
        <f>D1181/PARAMS_MODELO!$B$28</f>
        <v>0.23333333333333334</v>
      </c>
      <c r="F1181">
        <v>85</v>
      </c>
      <c r="G1181">
        <v>16</v>
      </c>
      <c r="H1181">
        <v>11</v>
      </c>
      <c r="I1181" s="20">
        <f t="shared" si="18"/>
        <v>0.6875</v>
      </c>
      <c r="J1181" s="21">
        <f>(IFERROR(_xlfn.PERCENTRANK.INC($B$2:$B$1194,B1181)*100,0)*PARAMS_MODELO!$B$25)+(IFERROR(_xlfn.PERCENTRANK.INC($C$2:$C$1194,C1181)*100,0)*PARAMS_MODELO!$B$26)+(IFERROR(_xlfn.PERCENTRANK.INC($E$2:$E$1194,E1181)*100,0)*PARAMS_MODELO!$B$27)+(IFERROR(_xlfn.PERCENTRANK.INC($F$2:$F$1194,F1181)*100,0)*PARAMS_MODELO!$B$29)+(IFERROR(_xlfn.PERCENTRANK.INC($I$2:$I$1194,I1181)*100,0)*PARAMS_MODELO!$B$31)</f>
        <v>32.405000000000001</v>
      </c>
    </row>
    <row r="1182" spans="1:10" x14ac:dyDescent="0.3">
      <c r="A1182">
        <v>51055977</v>
      </c>
      <c r="B1182">
        <v>61</v>
      </c>
      <c r="C1182">
        <v>10</v>
      </c>
      <c r="D1182">
        <v>33</v>
      </c>
      <c r="E1182" s="21">
        <f>D1182/PARAMS_MODELO!$B$28</f>
        <v>1.1000000000000001</v>
      </c>
      <c r="F1182">
        <v>48</v>
      </c>
      <c r="G1182">
        <v>15</v>
      </c>
      <c r="H1182">
        <v>14</v>
      </c>
      <c r="I1182" s="20">
        <f t="shared" si="18"/>
        <v>0.93333333333333335</v>
      </c>
      <c r="J1182" s="21">
        <f>(IFERROR(_xlfn.PERCENTRANK.INC($B$2:$B$1194,B1182)*100,0)*PARAMS_MODELO!$B$25)+(IFERROR(_xlfn.PERCENTRANK.INC($C$2:$C$1194,C1182)*100,0)*PARAMS_MODELO!$B$26)+(IFERROR(_xlfn.PERCENTRANK.INC($E$2:$E$1194,E1182)*100,0)*PARAMS_MODELO!$B$27)+(IFERROR(_xlfn.PERCENTRANK.INC($F$2:$F$1194,F1182)*100,0)*PARAMS_MODELO!$B$29)+(IFERROR(_xlfn.PERCENTRANK.INC($I$2:$I$1194,I1182)*100,0)*PARAMS_MODELO!$B$31)</f>
        <v>49.43</v>
      </c>
    </row>
    <row r="1183" spans="1:10" x14ac:dyDescent="0.3">
      <c r="A1183">
        <v>51056035</v>
      </c>
      <c r="B1183">
        <v>3</v>
      </c>
      <c r="C1183">
        <v>13</v>
      </c>
      <c r="D1183">
        <v>87</v>
      </c>
      <c r="E1183" s="21">
        <f>D1183/PARAMS_MODELO!$B$28</f>
        <v>2.9</v>
      </c>
      <c r="F1183">
        <v>31</v>
      </c>
      <c r="G1183">
        <v>10</v>
      </c>
      <c r="H1183">
        <v>0</v>
      </c>
      <c r="I1183" s="20">
        <f t="shared" si="18"/>
        <v>0</v>
      </c>
      <c r="J1183" s="21">
        <f>(IFERROR(_xlfn.PERCENTRANK.INC($B$2:$B$1194,B1183)*100,0)*PARAMS_MODELO!$B$25)+(IFERROR(_xlfn.PERCENTRANK.INC($C$2:$C$1194,C1183)*100,0)*PARAMS_MODELO!$B$26)+(IFERROR(_xlfn.PERCENTRANK.INC($E$2:$E$1194,E1183)*100,0)*PARAMS_MODELO!$B$27)+(IFERROR(_xlfn.PERCENTRANK.INC($F$2:$F$1194,F1183)*100,0)*PARAMS_MODELO!$B$29)+(IFERROR(_xlfn.PERCENTRANK.INC($I$2:$I$1194,I1183)*100,0)*PARAMS_MODELO!$B$31)</f>
        <v>34.270000000000003</v>
      </c>
    </row>
    <row r="1184" spans="1:10" x14ac:dyDescent="0.3">
      <c r="A1184">
        <v>51056043</v>
      </c>
      <c r="B1184">
        <v>73</v>
      </c>
      <c r="C1184">
        <v>4</v>
      </c>
      <c r="D1184">
        <v>34</v>
      </c>
      <c r="E1184" s="21">
        <f>D1184/PARAMS_MODELO!$B$28</f>
        <v>1.1333333333333333</v>
      </c>
      <c r="F1184">
        <v>29</v>
      </c>
      <c r="G1184">
        <v>79</v>
      </c>
      <c r="H1184">
        <v>44</v>
      </c>
      <c r="I1184" s="20">
        <f t="shared" si="18"/>
        <v>0.55696202531645567</v>
      </c>
      <c r="J1184" s="21">
        <f>(IFERROR(_xlfn.PERCENTRANK.INC($B$2:$B$1194,B1184)*100,0)*PARAMS_MODELO!$B$25)+(IFERROR(_xlfn.PERCENTRANK.INC($C$2:$C$1194,C1184)*100,0)*PARAMS_MODELO!$B$26)+(IFERROR(_xlfn.PERCENTRANK.INC($E$2:$E$1194,E1184)*100,0)*PARAMS_MODELO!$B$27)+(IFERROR(_xlfn.PERCENTRANK.INC($F$2:$F$1194,F1184)*100,0)*PARAMS_MODELO!$B$29)+(IFERROR(_xlfn.PERCENTRANK.INC($I$2:$I$1194,I1184)*100,0)*PARAMS_MODELO!$B$31)</f>
        <v>41.63</v>
      </c>
    </row>
    <row r="1185" spans="1:10" x14ac:dyDescent="0.3">
      <c r="A1185">
        <v>51056141</v>
      </c>
      <c r="B1185">
        <v>84</v>
      </c>
      <c r="C1185">
        <v>19</v>
      </c>
      <c r="D1185">
        <v>52</v>
      </c>
      <c r="E1185" s="21">
        <f>D1185/PARAMS_MODELO!$B$28</f>
        <v>1.7333333333333334</v>
      </c>
      <c r="F1185">
        <v>56</v>
      </c>
      <c r="G1185">
        <v>69</v>
      </c>
      <c r="H1185">
        <v>47</v>
      </c>
      <c r="I1185" s="20">
        <f t="shared" si="18"/>
        <v>0.6811594202898551</v>
      </c>
      <c r="J1185" s="21">
        <f>(IFERROR(_xlfn.PERCENTRANK.INC($B$2:$B$1194,B1185)*100,0)*PARAMS_MODELO!$B$25)+(IFERROR(_xlfn.PERCENTRANK.INC($C$2:$C$1194,C1185)*100,0)*PARAMS_MODELO!$B$26)+(IFERROR(_xlfn.PERCENTRANK.INC($E$2:$E$1194,E1185)*100,0)*PARAMS_MODELO!$B$27)+(IFERROR(_xlfn.PERCENTRANK.INC($F$2:$F$1194,F1185)*100,0)*PARAMS_MODELO!$B$29)+(IFERROR(_xlfn.PERCENTRANK.INC($I$2:$I$1194,I1185)*100,0)*PARAMS_MODELO!$B$31)</f>
        <v>67.66</v>
      </c>
    </row>
    <row r="1186" spans="1:10" x14ac:dyDescent="0.3">
      <c r="A1186">
        <v>51056167</v>
      </c>
      <c r="B1186">
        <v>48</v>
      </c>
      <c r="C1186">
        <v>16</v>
      </c>
      <c r="D1186">
        <v>8</v>
      </c>
      <c r="E1186" s="21">
        <f>D1186/PARAMS_MODELO!$B$28</f>
        <v>0.26666666666666666</v>
      </c>
      <c r="F1186">
        <v>28</v>
      </c>
      <c r="G1186">
        <v>43</v>
      </c>
      <c r="H1186">
        <v>37</v>
      </c>
      <c r="I1186" s="20">
        <f t="shared" si="18"/>
        <v>0.86046511627906974</v>
      </c>
      <c r="J1186" s="21">
        <f>(IFERROR(_xlfn.PERCENTRANK.INC($B$2:$B$1194,B1186)*100,0)*PARAMS_MODELO!$B$25)+(IFERROR(_xlfn.PERCENTRANK.INC($C$2:$C$1194,C1186)*100,0)*PARAMS_MODELO!$B$26)+(IFERROR(_xlfn.PERCENTRANK.INC($E$2:$E$1194,E1186)*100,0)*PARAMS_MODELO!$B$27)+(IFERROR(_xlfn.PERCENTRANK.INC($F$2:$F$1194,F1186)*100,0)*PARAMS_MODELO!$B$29)+(IFERROR(_xlfn.PERCENTRANK.INC($I$2:$I$1194,I1186)*100,0)*PARAMS_MODELO!$B$31)</f>
        <v>42.714999999999996</v>
      </c>
    </row>
    <row r="1187" spans="1:10" x14ac:dyDescent="0.3">
      <c r="A1187">
        <v>51056230</v>
      </c>
      <c r="B1187">
        <v>95</v>
      </c>
      <c r="C1187">
        <v>1</v>
      </c>
      <c r="D1187">
        <v>71</v>
      </c>
      <c r="E1187" s="21">
        <f>D1187/PARAMS_MODELO!$B$28</f>
        <v>2.3666666666666667</v>
      </c>
      <c r="F1187">
        <v>74</v>
      </c>
      <c r="G1187">
        <v>10</v>
      </c>
      <c r="H1187">
        <v>8</v>
      </c>
      <c r="I1187" s="20">
        <f t="shared" si="18"/>
        <v>0.8</v>
      </c>
      <c r="J1187" s="21">
        <f>(IFERROR(_xlfn.PERCENTRANK.INC($B$2:$B$1194,B1187)*100,0)*PARAMS_MODELO!$B$25)+(IFERROR(_xlfn.PERCENTRANK.INC($C$2:$C$1194,C1187)*100,0)*PARAMS_MODELO!$B$26)+(IFERROR(_xlfn.PERCENTRANK.INC($E$2:$E$1194,E1187)*100,0)*PARAMS_MODELO!$B$27)+(IFERROR(_xlfn.PERCENTRANK.INC($F$2:$F$1194,F1187)*100,0)*PARAMS_MODELO!$B$29)+(IFERROR(_xlfn.PERCENTRANK.INC($I$2:$I$1194,I1187)*100,0)*PARAMS_MODELO!$B$31)</f>
        <v>62.144999999999996</v>
      </c>
    </row>
    <row r="1188" spans="1:10" x14ac:dyDescent="0.3">
      <c r="A1188">
        <v>51056256</v>
      </c>
      <c r="B1188">
        <v>89</v>
      </c>
      <c r="C1188">
        <v>15</v>
      </c>
      <c r="D1188">
        <v>14</v>
      </c>
      <c r="E1188" s="21">
        <f>D1188/PARAMS_MODELO!$B$28</f>
        <v>0.46666666666666667</v>
      </c>
      <c r="F1188">
        <v>99</v>
      </c>
      <c r="G1188">
        <v>22</v>
      </c>
      <c r="H1188">
        <v>21</v>
      </c>
      <c r="I1188" s="20">
        <f t="shared" si="18"/>
        <v>0.95454545454545459</v>
      </c>
      <c r="J1188" s="21">
        <f>(IFERROR(_xlfn.PERCENTRANK.INC($B$2:$B$1194,B1188)*100,0)*PARAMS_MODELO!$B$25)+(IFERROR(_xlfn.PERCENTRANK.INC($C$2:$C$1194,C1188)*100,0)*PARAMS_MODELO!$B$26)+(IFERROR(_xlfn.PERCENTRANK.INC($E$2:$E$1194,E1188)*100,0)*PARAMS_MODELO!$B$27)+(IFERROR(_xlfn.PERCENTRANK.INC($F$2:$F$1194,F1188)*100,0)*PARAMS_MODELO!$B$29)+(IFERROR(_xlfn.PERCENTRANK.INC($I$2:$I$1194,I1188)*100,0)*PARAMS_MODELO!$B$31)</f>
        <v>66.765000000000001</v>
      </c>
    </row>
    <row r="1189" spans="1:10" x14ac:dyDescent="0.3">
      <c r="A1189">
        <v>51056370</v>
      </c>
      <c r="B1189">
        <v>17</v>
      </c>
      <c r="C1189">
        <v>5</v>
      </c>
      <c r="D1189">
        <v>25</v>
      </c>
      <c r="E1189" s="21">
        <f>D1189/PARAMS_MODELO!$B$28</f>
        <v>0.83333333333333337</v>
      </c>
      <c r="F1189">
        <v>36</v>
      </c>
      <c r="G1189">
        <v>5</v>
      </c>
      <c r="H1189">
        <v>2</v>
      </c>
      <c r="I1189" s="20">
        <f t="shared" si="18"/>
        <v>0.4</v>
      </c>
      <c r="J1189" s="21">
        <f>(IFERROR(_xlfn.PERCENTRANK.INC($B$2:$B$1194,B1189)*100,0)*PARAMS_MODELO!$B$25)+(IFERROR(_xlfn.PERCENTRANK.INC($C$2:$C$1194,C1189)*100,0)*PARAMS_MODELO!$B$26)+(IFERROR(_xlfn.PERCENTRANK.INC($E$2:$E$1194,E1189)*100,0)*PARAMS_MODELO!$B$27)+(IFERROR(_xlfn.PERCENTRANK.INC($F$2:$F$1194,F1189)*100,0)*PARAMS_MODELO!$B$29)+(IFERROR(_xlfn.PERCENTRANK.INC($I$2:$I$1194,I1189)*100,0)*PARAMS_MODELO!$B$31)</f>
        <v>23.61</v>
      </c>
    </row>
    <row r="1190" spans="1:10" x14ac:dyDescent="0.3">
      <c r="A1190">
        <v>51056680</v>
      </c>
      <c r="B1190">
        <v>65</v>
      </c>
      <c r="C1190">
        <v>25</v>
      </c>
      <c r="D1190">
        <v>76</v>
      </c>
      <c r="E1190" s="21">
        <f>D1190/PARAMS_MODELO!$B$28</f>
        <v>2.5333333333333332</v>
      </c>
      <c r="F1190">
        <v>43</v>
      </c>
      <c r="G1190">
        <v>20</v>
      </c>
      <c r="H1190">
        <v>19</v>
      </c>
      <c r="I1190" s="20">
        <f t="shared" si="18"/>
        <v>0.95</v>
      </c>
      <c r="J1190" s="21">
        <f>(IFERROR(_xlfn.PERCENTRANK.INC($B$2:$B$1194,B1190)*100,0)*PARAMS_MODELO!$B$25)+(IFERROR(_xlfn.PERCENTRANK.INC($C$2:$C$1194,C1190)*100,0)*PARAMS_MODELO!$B$26)+(IFERROR(_xlfn.PERCENTRANK.INC($E$2:$E$1194,E1190)*100,0)*PARAMS_MODELO!$B$27)+(IFERROR(_xlfn.PERCENTRANK.INC($F$2:$F$1194,F1190)*100,0)*PARAMS_MODELO!$B$29)+(IFERROR(_xlfn.PERCENTRANK.INC($I$2:$I$1194,I1190)*100,0)*PARAMS_MODELO!$B$31)</f>
        <v>73.72</v>
      </c>
    </row>
    <row r="1191" spans="1:10" x14ac:dyDescent="0.3">
      <c r="A1191">
        <v>51056710</v>
      </c>
      <c r="B1191">
        <v>34</v>
      </c>
      <c r="C1191">
        <v>1</v>
      </c>
      <c r="D1191">
        <v>73</v>
      </c>
      <c r="E1191" s="21">
        <f>D1191/PARAMS_MODELO!$B$28</f>
        <v>2.4333333333333331</v>
      </c>
      <c r="F1191">
        <v>3</v>
      </c>
      <c r="G1191">
        <v>68</v>
      </c>
      <c r="H1191">
        <v>28</v>
      </c>
      <c r="I1191" s="20">
        <f t="shared" si="18"/>
        <v>0.41176470588235292</v>
      </c>
      <c r="J1191" s="21">
        <f>(IFERROR(_xlfn.PERCENTRANK.INC($B$2:$B$1194,B1191)*100,0)*PARAMS_MODELO!$B$25)+(IFERROR(_xlfn.PERCENTRANK.INC($C$2:$C$1194,C1191)*100,0)*PARAMS_MODELO!$B$26)+(IFERROR(_xlfn.PERCENTRANK.INC($E$2:$E$1194,E1191)*100,0)*PARAMS_MODELO!$B$27)+(IFERROR(_xlfn.PERCENTRANK.INC($F$2:$F$1194,F1191)*100,0)*PARAMS_MODELO!$B$29)+(IFERROR(_xlfn.PERCENTRANK.INC($I$2:$I$1194,I1191)*100,0)*PARAMS_MODELO!$B$31)</f>
        <v>30.045000000000002</v>
      </c>
    </row>
    <row r="1192" spans="1:10" x14ac:dyDescent="0.3">
      <c r="A1192">
        <v>51056779</v>
      </c>
      <c r="B1192">
        <v>3</v>
      </c>
      <c r="C1192">
        <v>25</v>
      </c>
      <c r="D1192">
        <v>40</v>
      </c>
      <c r="E1192" s="21">
        <f>D1192/PARAMS_MODELO!$B$28</f>
        <v>1.3333333333333333</v>
      </c>
      <c r="F1192">
        <v>46</v>
      </c>
      <c r="G1192">
        <v>72</v>
      </c>
      <c r="H1192">
        <v>50</v>
      </c>
      <c r="I1192" s="20">
        <f t="shared" si="18"/>
        <v>0.69444444444444442</v>
      </c>
      <c r="J1192" s="21">
        <f>(IFERROR(_xlfn.PERCENTRANK.INC($B$2:$B$1194,B1192)*100,0)*PARAMS_MODELO!$B$25)+(IFERROR(_xlfn.PERCENTRANK.INC($C$2:$C$1194,C1192)*100,0)*PARAMS_MODELO!$B$26)+(IFERROR(_xlfn.PERCENTRANK.INC($E$2:$E$1194,E1192)*100,0)*PARAMS_MODELO!$B$27)+(IFERROR(_xlfn.PERCENTRANK.INC($F$2:$F$1194,F1192)*100,0)*PARAMS_MODELO!$B$29)+(IFERROR(_xlfn.PERCENTRANK.INC($I$2:$I$1194,I1192)*100,0)*PARAMS_MODELO!$B$31)</f>
        <v>46.335000000000001</v>
      </c>
    </row>
    <row r="1193" spans="1:10" x14ac:dyDescent="0.3">
      <c r="A1193">
        <v>51056841</v>
      </c>
      <c r="B1193">
        <v>3</v>
      </c>
      <c r="C1193">
        <v>2</v>
      </c>
      <c r="D1193">
        <v>63</v>
      </c>
      <c r="E1193" s="21">
        <f>D1193/PARAMS_MODELO!$B$28</f>
        <v>2.1</v>
      </c>
      <c r="F1193">
        <v>50</v>
      </c>
      <c r="G1193">
        <v>25</v>
      </c>
      <c r="H1193">
        <v>4</v>
      </c>
      <c r="I1193" s="20">
        <f t="shared" si="18"/>
        <v>0.16</v>
      </c>
      <c r="J1193" s="21">
        <f>(IFERROR(_xlfn.PERCENTRANK.INC($B$2:$B$1194,B1193)*100,0)*PARAMS_MODELO!$B$25)+(IFERROR(_xlfn.PERCENTRANK.INC($C$2:$C$1194,C1193)*100,0)*PARAMS_MODELO!$B$26)+(IFERROR(_xlfn.PERCENTRANK.INC($E$2:$E$1194,E1193)*100,0)*PARAMS_MODELO!$B$27)+(IFERROR(_xlfn.PERCENTRANK.INC($F$2:$F$1194,F1193)*100,0)*PARAMS_MODELO!$B$29)+(IFERROR(_xlfn.PERCENTRANK.INC($I$2:$I$1194,I1193)*100,0)*PARAMS_MODELO!$B$31)</f>
        <v>24.53</v>
      </c>
    </row>
    <row r="1194" spans="1:10" x14ac:dyDescent="0.3">
      <c r="A1194">
        <v>51056892</v>
      </c>
      <c r="B1194">
        <v>96</v>
      </c>
      <c r="C1194">
        <v>20</v>
      </c>
      <c r="D1194">
        <v>82</v>
      </c>
      <c r="E1194" s="21">
        <f>D1194/PARAMS_MODELO!$B$28</f>
        <v>2.7333333333333334</v>
      </c>
      <c r="F1194">
        <v>80</v>
      </c>
      <c r="G1194">
        <v>89</v>
      </c>
      <c r="H1194">
        <v>30</v>
      </c>
      <c r="I1194" s="20">
        <f t="shared" si="18"/>
        <v>0.33707865168539325</v>
      </c>
      <c r="J1194" s="21">
        <f>(IFERROR(_xlfn.PERCENTRANK.INC($B$2:$B$1194,B1194)*100,0)*PARAMS_MODELO!$B$25)+(IFERROR(_xlfn.PERCENTRANK.INC($C$2:$C$1194,C1194)*100,0)*PARAMS_MODELO!$B$26)+(IFERROR(_xlfn.PERCENTRANK.INC($E$2:$E$1194,E1194)*100,0)*PARAMS_MODELO!$B$27)+(IFERROR(_xlfn.PERCENTRANK.INC($F$2:$F$1194,F1194)*100,0)*PARAMS_MODELO!$B$29)+(IFERROR(_xlfn.PERCENTRANK.INC($I$2:$I$1194,I1194)*100,0)*PARAMS_MODELO!$B$31)</f>
        <v>78.73</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2">
    <tabColor rgb="FFFFC000"/>
  </sheetPr>
  <dimension ref="A1:N1194"/>
  <sheetViews>
    <sheetView workbookViewId="0">
      <selection activeCell="N1" sqref="N1"/>
    </sheetView>
  </sheetViews>
  <sheetFormatPr baseColWidth="10" defaultColWidth="8.88671875" defaultRowHeight="14.4" x14ac:dyDescent="0.3"/>
  <cols>
    <col min="1" max="1" width="9" bestFit="1" customWidth="1"/>
    <col min="2" max="2" width="17.6640625" bestFit="1" customWidth="1"/>
    <col min="3" max="3" width="12.33203125" bestFit="1" customWidth="1"/>
    <col min="4" max="4" width="13.21875" bestFit="1" customWidth="1"/>
    <col min="5" max="5" width="12.88671875" bestFit="1" customWidth="1"/>
    <col min="6" max="6" width="12.88671875" customWidth="1"/>
    <col min="7" max="7" width="10.109375" bestFit="1" customWidth="1"/>
    <col min="8" max="8" width="18.33203125" bestFit="1" customWidth="1"/>
    <col min="9" max="9" width="20.77734375" customWidth="1"/>
    <col min="10" max="10" width="16.88671875" bestFit="1" customWidth="1"/>
    <col min="11" max="11" width="20.77734375" customWidth="1"/>
    <col min="12" max="12" width="12" customWidth="1"/>
    <col min="13" max="13" width="10.6640625" bestFit="1" customWidth="1"/>
    <col min="14" max="14" width="11" bestFit="1" customWidth="1"/>
  </cols>
  <sheetData>
    <row r="1" spans="1:14" ht="28.8" customHeight="1" x14ac:dyDescent="0.3">
      <c r="A1" t="s">
        <v>34</v>
      </c>
      <c r="B1" t="s">
        <v>43</v>
      </c>
      <c r="C1" t="s">
        <v>44</v>
      </c>
      <c r="D1" s="1" t="s">
        <v>45</v>
      </c>
      <c r="E1" s="22" t="s">
        <v>46</v>
      </c>
      <c r="F1" s="1" t="s">
        <v>47</v>
      </c>
      <c r="G1" s="22" t="s">
        <v>48</v>
      </c>
      <c r="H1" s="1" t="s">
        <v>49</v>
      </c>
      <c r="I1" s="22" t="s">
        <v>50</v>
      </c>
      <c r="J1" s="1" t="s">
        <v>51</v>
      </c>
      <c r="K1" s="22" t="s">
        <v>182</v>
      </c>
      <c r="L1" s="1" t="s">
        <v>18</v>
      </c>
      <c r="M1" t="s">
        <v>52</v>
      </c>
      <c r="N1" t="s">
        <v>53</v>
      </c>
    </row>
    <row r="2" spans="1:14" x14ac:dyDescent="0.3">
      <c r="A2">
        <v>51015525</v>
      </c>
      <c r="B2">
        <v>98</v>
      </c>
      <c r="C2">
        <v>94</v>
      </c>
      <c r="D2">
        <f t="shared" ref="D2:D65" si="0">IF(C2=0,0,MIN(5,B2/C2))</f>
        <v>1.0425531914893618</v>
      </c>
      <c r="E2">
        <f>ROUND(MIN(5,MAX(0,D2))/5*PARAMS_MODELO!$B$32,2)</f>
        <v>8.34</v>
      </c>
      <c r="F2">
        <v>0</v>
      </c>
      <c r="G2">
        <f>MAX(0,PARAMS_MODELO!$B$33-VALUE(TRIM(F2))*3)</f>
        <v>30</v>
      </c>
      <c r="H2">
        <v>0</v>
      </c>
      <c r="I2">
        <f>ROUND(MIN(4,MAX(0,H2))/4*PARAMS_MODELO!$B$34,2)</f>
        <v>0</v>
      </c>
      <c r="J2">
        <v>0</v>
      </c>
      <c r="K2">
        <f>IF(J2=0,0,PARAMS_MODELO!$B$35)</f>
        <v>0</v>
      </c>
      <c r="L2">
        <f t="shared" ref="L2:L65" si="1">MIN(100,MAX(0,E2+G2+I2+K2))</f>
        <v>38.340000000000003</v>
      </c>
      <c r="M2" t="str">
        <f t="shared" ref="M2:M65" si="2">IF(L2="","",IF(L2&gt;=90,"Excelente",IF(L2&gt;=75,"Muy Bueno",IF(L2&gt;=60,"Bueno",IF(L2&gt;=40,"Regular","Malo")))))</f>
        <v>Malo</v>
      </c>
      <c r="N2">
        <f>IF(M2=PARAMS_MODELO!$A$36,PARAMS_MODELO!$B$36,IF(M2=PARAMS_MODELO!$A$37,PARAMS_MODELO!$B$37,IF(M2=PARAMS_MODELO!$A$38,PARAMS_MODELO!$B$38,IF(M2=PARAMS_MODELO!$A$39,PARAMS_MODELO!$B$39,IF(M2=PARAMS_MODELO!$A$40,PARAMS_MODELO!$B$40)))))</f>
        <v>0.7</v>
      </c>
    </row>
    <row r="3" spans="1:14" x14ac:dyDescent="0.3">
      <c r="A3">
        <v>51017790</v>
      </c>
      <c r="B3">
        <v>91</v>
      </c>
      <c r="C3">
        <v>89</v>
      </c>
      <c r="D3">
        <f t="shared" si="0"/>
        <v>1.0224719101123596</v>
      </c>
      <c r="E3">
        <f>ROUND(MIN(5,MAX(0,D3))/5*PARAMS_MODELO!$B$32,2)</f>
        <v>8.18</v>
      </c>
      <c r="F3">
        <v>1</v>
      </c>
      <c r="G3">
        <f>MAX(0,PARAMS_MODELO!$B$33-VALUE(TRIM(F3))*3)</f>
        <v>27</v>
      </c>
      <c r="H3">
        <v>2</v>
      </c>
      <c r="I3">
        <f>ROUND(MIN(4,MAX(0,H3))/4*PARAMS_MODELO!$B$34,2)</f>
        <v>10</v>
      </c>
      <c r="J3">
        <v>1</v>
      </c>
      <c r="K3">
        <f>IF(J3=0,0,PARAMS_MODELO!$B$35)</f>
        <v>10</v>
      </c>
      <c r="L3">
        <f t="shared" si="1"/>
        <v>55.18</v>
      </c>
      <c r="M3" t="str">
        <f t="shared" si="2"/>
        <v>Regular</v>
      </c>
      <c r="N3">
        <f>IF(M3=PARAMS_MODELO!$A$36,PARAMS_MODELO!$B$36,IF(M3=PARAMS_MODELO!$A$37,PARAMS_MODELO!$B$37,IF(M3=PARAMS_MODELO!$A$38,PARAMS_MODELO!$B$38,IF(M3=PARAMS_MODELO!$A$39,PARAMS_MODELO!$B$39,IF(M3=PARAMS_MODELO!$A$40,PARAMS_MODELO!$B$40)))))</f>
        <v>1</v>
      </c>
    </row>
    <row r="4" spans="1:14" x14ac:dyDescent="0.3">
      <c r="A4">
        <v>51023871</v>
      </c>
      <c r="B4">
        <v>69</v>
      </c>
      <c r="C4">
        <v>69</v>
      </c>
      <c r="D4">
        <f t="shared" si="0"/>
        <v>1</v>
      </c>
      <c r="E4">
        <f>ROUND(MIN(5,MAX(0,D4))/5*PARAMS_MODELO!$B$32,2)</f>
        <v>8</v>
      </c>
      <c r="F4">
        <v>2</v>
      </c>
      <c r="G4">
        <f>MAX(0,PARAMS_MODELO!$B$33-VALUE(TRIM(F4))*3)</f>
        <v>24</v>
      </c>
      <c r="H4">
        <v>3</v>
      </c>
      <c r="I4">
        <f>ROUND(MIN(4,MAX(0,H4))/4*PARAMS_MODELO!$B$34,2)</f>
        <v>15</v>
      </c>
      <c r="J4">
        <v>0</v>
      </c>
      <c r="K4">
        <f>IF(J4=0,0,PARAMS_MODELO!$B$35)</f>
        <v>0</v>
      </c>
      <c r="L4">
        <f t="shared" si="1"/>
        <v>47</v>
      </c>
      <c r="M4" t="str">
        <f t="shared" si="2"/>
        <v>Regular</v>
      </c>
      <c r="N4">
        <f>IF(M4=PARAMS_MODELO!$A$36,PARAMS_MODELO!$B$36,IF(M4=PARAMS_MODELO!$A$37,PARAMS_MODELO!$B$37,IF(M4=PARAMS_MODELO!$A$38,PARAMS_MODELO!$B$38,IF(M4=PARAMS_MODELO!$A$39,PARAMS_MODELO!$B$39,IF(M4=PARAMS_MODELO!$A$40,PARAMS_MODELO!$B$40)))))</f>
        <v>1</v>
      </c>
    </row>
    <row r="5" spans="1:14" x14ac:dyDescent="0.3">
      <c r="A5">
        <v>51019601</v>
      </c>
      <c r="B5">
        <v>16</v>
      </c>
      <c r="C5">
        <v>32</v>
      </c>
      <c r="D5">
        <f t="shared" si="0"/>
        <v>0.5</v>
      </c>
      <c r="E5">
        <f>ROUND(MIN(5,MAX(0,D5))/5*PARAMS_MODELO!$B$32,2)</f>
        <v>4</v>
      </c>
      <c r="F5">
        <v>2</v>
      </c>
      <c r="G5">
        <f>MAX(0,PARAMS_MODELO!$B$33-VALUE(TRIM(F5))*3)</f>
        <v>24</v>
      </c>
      <c r="H5">
        <v>1</v>
      </c>
      <c r="I5">
        <f>ROUND(MIN(4,MAX(0,H5))/4*PARAMS_MODELO!$B$34,2)</f>
        <v>5</v>
      </c>
      <c r="J5">
        <v>1</v>
      </c>
      <c r="K5">
        <f>IF(J5=0,0,PARAMS_MODELO!$B$35)</f>
        <v>10</v>
      </c>
      <c r="L5">
        <f t="shared" si="1"/>
        <v>43</v>
      </c>
      <c r="M5" t="str">
        <f t="shared" si="2"/>
        <v>Regular</v>
      </c>
      <c r="N5">
        <f>IF(M5=PARAMS_MODELO!$A$36,PARAMS_MODELO!$B$36,IF(M5=PARAMS_MODELO!$A$37,PARAMS_MODELO!$B$37,IF(M5=PARAMS_MODELO!$A$38,PARAMS_MODELO!$B$38,IF(M5=PARAMS_MODELO!$A$39,PARAMS_MODELO!$B$39,IF(M5=PARAMS_MODELO!$A$40,PARAMS_MODELO!$B$40)))))</f>
        <v>1</v>
      </c>
    </row>
    <row r="6" spans="1:14" x14ac:dyDescent="0.3">
      <c r="A6">
        <v>51021983</v>
      </c>
      <c r="B6">
        <v>17</v>
      </c>
      <c r="C6">
        <v>57</v>
      </c>
      <c r="D6">
        <f t="shared" si="0"/>
        <v>0.2982456140350877</v>
      </c>
      <c r="E6">
        <f>ROUND(MIN(5,MAX(0,D6))/5*PARAMS_MODELO!$B$32,2)</f>
        <v>2.39</v>
      </c>
      <c r="F6">
        <v>0</v>
      </c>
      <c r="G6">
        <f>MAX(0,PARAMS_MODELO!$B$33-VALUE(TRIM(F6))*3)</f>
        <v>30</v>
      </c>
      <c r="H6">
        <v>4</v>
      </c>
      <c r="I6">
        <f>ROUND(MIN(4,MAX(0,H6))/4*PARAMS_MODELO!$B$34,2)</f>
        <v>20</v>
      </c>
      <c r="J6">
        <v>1</v>
      </c>
      <c r="K6">
        <f>IF(J6=0,0,PARAMS_MODELO!$B$35)</f>
        <v>10</v>
      </c>
      <c r="L6">
        <f t="shared" si="1"/>
        <v>62.39</v>
      </c>
      <c r="M6" t="str">
        <f t="shared" si="2"/>
        <v>Bueno</v>
      </c>
      <c r="N6">
        <f>IF(M6=PARAMS_MODELO!$A$36,PARAMS_MODELO!$B$36,IF(M6=PARAMS_MODELO!$A$37,PARAMS_MODELO!$B$37,IF(M6=PARAMS_MODELO!$A$38,PARAMS_MODELO!$B$38,IF(M6=PARAMS_MODELO!$A$39,PARAMS_MODELO!$B$39,IF(M6=PARAMS_MODELO!$A$40,PARAMS_MODELO!$B$40)))))</f>
        <v>1.1000000000000001</v>
      </c>
    </row>
    <row r="7" spans="1:14" x14ac:dyDescent="0.3">
      <c r="A7">
        <v>51020201</v>
      </c>
      <c r="B7">
        <v>16</v>
      </c>
      <c r="C7">
        <v>41</v>
      </c>
      <c r="D7">
        <f t="shared" si="0"/>
        <v>0.3902439024390244</v>
      </c>
      <c r="E7">
        <f>ROUND(MIN(5,MAX(0,D7))/5*PARAMS_MODELO!$B$32,2)</f>
        <v>3.12</v>
      </c>
      <c r="F7">
        <v>1</v>
      </c>
      <c r="G7">
        <f>MAX(0,PARAMS_MODELO!$B$33-VALUE(TRIM(F7))*3)</f>
        <v>27</v>
      </c>
      <c r="H7">
        <v>2</v>
      </c>
      <c r="I7">
        <f>ROUND(MIN(4,MAX(0,H7))/4*PARAMS_MODELO!$B$34,2)</f>
        <v>10</v>
      </c>
      <c r="J7">
        <v>0</v>
      </c>
      <c r="K7">
        <f>IF(J7=0,0,PARAMS_MODELO!$B$35)</f>
        <v>0</v>
      </c>
      <c r="L7">
        <f t="shared" si="1"/>
        <v>40.120000000000005</v>
      </c>
      <c r="M7" t="str">
        <f t="shared" si="2"/>
        <v>Regular</v>
      </c>
      <c r="N7">
        <f>IF(M7=PARAMS_MODELO!$A$36,PARAMS_MODELO!$B$36,IF(M7=PARAMS_MODELO!$A$37,PARAMS_MODELO!$B$37,IF(M7=PARAMS_MODELO!$A$38,PARAMS_MODELO!$B$38,IF(M7=PARAMS_MODELO!$A$39,PARAMS_MODELO!$B$39,IF(M7=PARAMS_MODELO!$A$40,PARAMS_MODELO!$B$40)))))</f>
        <v>1</v>
      </c>
    </row>
    <row r="8" spans="1:14" x14ac:dyDescent="0.3">
      <c r="A8">
        <v>51031296</v>
      </c>
      <c r="B8">
        <v>18</v>
      </c>
      <c r="C8">
        <v>17</v>
      </c>
      <c r="D8">
        <f t="shared" si="0"/>
        <v>1.0588235294117647</v>
      </c>
      <c r="E8">
        <f>ROUND(MIN(5,MAX(0,D8))/5*PARAMS_MODELO!$B$32,2)</f>
        <v>8.4700000000000006</v>
      </c>
      <c r="F8">
        <v>1</v>
      </c>
      <c r="G8">
        <f>MAX(0,PARAMS_MODELO!$B$33-VALUE(TRIM(F8))*3)</f>
        <v>27</v>
      </c>
      <c r="H8">
        <v>4</v>
      </c>
      <c r="I8">
        <f>ROUND(MIN(4,MAX(0,H8))/4*PARAMS_MODELO!$B$34,2)</f>
        <v>20</v>
      </c>
      <c r="J8">
        <v>0</v>
      </c>
      <c r="K8">
        <f>IF(J8=0,0,PARAMS_MODELO!$B$35)</f>
        <v>0</v>
      </c>
      <c r="L8">
        <f t="shared" si="1"/>
        <v>55.47</v>
      </c>
      <c r="M8" t="str">
        <f t="shared" si="2"/>
        <v>Regular</v>
      </c>
      <c r="N8">
        <f>IF(M8=PARAMS_MODELO!$A$36,PARAMS_MODELO!$B$36,IF(M8=PARAMS_MODELO!$A$37,PARAMS_MODELO!$B$37,IF(M8=PARAMS_MODELO!$A$38,PARAMS_MODELO!$B$38,IF(M8=PARAMS_MODELO!$A$39,PARAMS_MODELO!$B$39,IF(M8=PARAMS_MODELO!$A$40,PARAMS_MODELO!$B$40)))))</f>
        <v>1</v>
      </c>
    </row>
    <row r="9" spans="1:14" x14ac:dyDescent="0.3">
      <c r="A9">
        <v>51011864</v>
      </c>
      <c r="B9">
        <v>77</v>
      </c>
      <c r="C9">
        <v>30</v>
      </c>
      <c r="D9">
        <f t="shared" si="0"/>
        <v>2.5666666666666669</v>
      </c>
      <c r="E9">
        <f>ROUND(MIN(5,MAX(0,D9))/5*PARAMS_MODELO!$B$32,2)</f>
        <v>20.53</v>
      </c>
      <c r="F9">
        <v>2</v>
      </c>
      <c r="G9">
        <f>MAX(0,PARAMS_MODELO!$B$33-VALUE(TRIM(F9))*3)</f>
        <v>24</v>
      </c>
      <c r="H9">
        <v>3</v>
      </c>
      <c r="I9">
        <f>ROUND(MIN(4,MAX(0,H9))/4*PARAMS_MODELO!$B$34,2)</f>
        <v>15</v>
      </c>
      <c r="J9">
        <v>0</v>
      </c>
      <c r="K9">
        <f>IF(J9=0,0,PARAMS_MODELO!$B$35)</f>
        <v>0</v>
      </c>
      <c r="L9">
        <f t="shared" si="1"/>
        <v>59.53</v>
      </c>
      <c r="M9" t="str">
        <f t="shared" si="2"/>
        <v>Regular</v>
      </c>
      <c r="N9">
        <f>IF(M9=PARAMS_MODELO!$A$36,PARAMS_MODELO!$B$36,IF(M9=PARAMS_MODELO!$A$37,PARAMS_MODELO!$B$37,IF(M9=PARAMS_MODELO!$A$38,PARAMS_MODELO!$B$38,IF(M9=PARAMS_MODELO!$A$39,PARAMS_MODELO!$B$39,IF(M9=PARAMS_MODELO!$A$40,PARAMS_MODELO!$B$40)))))</f>
        <v>1</v>
      </c>
    </row>
    <row r="10" spans="1:14" x14ac:dyDescent="0.3">
      <c r="A10">
        <v>51005945</v>
      </c>
      <c r="B10">
        <v>28</v>
      </c>
      <c r="C10">
        <v>97</v>
      </c>
      <c r="D10">
        <f t="shared" si="0"/>
        <v>0.28865979381443296</v>
      </c>
      <c r="E10">
        <f>ROUND(MIN(5,MAX(0,D10))/5*PARAMS_MODELO!$B$32,2)</f>
        <v>2.31</v>
      </c>
      <c r="F10">
        <v>2</v>
      </c>
      <c r="G10">
        <f>MAX(0,PARAMS_MODELO!$B$33-VALUE(TRIM(F10))*3)</f>
        <v>24</v>
      </c>
      <c r="H10">
        <v>4</v>
      </c>
      <c r="I10">
        <f>ROUND(MIN(4,MAX(0,H10))/4*PARAMS_MODELO!$B$34,2)</f>
        <v>20</v>
      </c>
      <c r="J10">
        <v>0</v>
      </c>
      <c r="K10">
        <f>IF(J10=0,0,PARAMS_MODELO!$B$35)</f>
        <v>0</v>
      </c>
      <c r="L10">
        <f t="shared" si="1"/>
        <v>46.31</v>
      </c>
      <c r="M10" t="str">
        <f t="shared" si="2"/>
        <v>Regular</v>
      </c>
      <c r="N10">
        <f>IF(M10=PARAMS_MODELO!$A$36,PARAMS_MODELO!$B$36,IF(M10=PARAMS_MODELO!$A$37,PARAMS_MODELO!$B$37,IF(M10=PARAMS_MODELO!$A$38,PARAMS_MODELO!$B$38,IF(M10=PARAMS_MODELO!$A$39,PARAMS_MODELO!$B$39,IF(M10=PARAMS_MODELO!$A$40,PARAMS_MODELO!$B$40)))))</f>
        <v>1</v>
      </c>
    </row>
    <row r="11" spans="1:14" x14ac:dyDescent="0.3">
      <c r="A11">
        <v>51055586</v>
      </c>
      <c r="B11">
        <v>71</v>
      </c>
      <c r="C11">
        <v>48</v>
      </c>
      <c r="D11">
        <f t="shared" si="0"/>
        <v>1.4791666666666667</v>
      </c>
      <c r="E11">
        <f>ROUND(MIN(5,MAX(0,D11))/5*PARAMS_MODELO!$B$32,2)</f>
        <v>11.83</v>
      </c>
      <c r="F11">
        <v>3</v>
      </c>
      <c r="G11">
        <f>MAX(0,PARAMS_MODELO!$B$33-VALUE(TRIM(F11))*3)</f>
        <v>21</v>
      </c>
      <c r="H11">
        <v>3</v>
      </c>
      <c r="I11">
        <f>ROUND(MIN(4,MAX(0,H11))/4*PARAMS_MODELO!$B$34,2)</f>
        <v>15</v>
      </c>
      <c r="J11">
        <v>0</v>
      </c>
      <c r="K11">
        <f>IF(J11=0,0,PARAMS_MODELO!$B$35)</f>
        <v>0</v>
      </c>
      <c r="L11">
        <f t="shared" si="1"/>
        <v>47.83</v>
      </c>
      <c r="M11" t="str">
        <f t="shared" si="2"/>
        <v>Regular</v>
      </c>
      <c r="N11">
        <f>IF(M11=PARAMS_MODELO!$A$36,PARAMS_MODELO!$B$36,IF(M11=PARAMS_MODELO!$A$37,PARAMS_MODELO!$B$37,IF(M11=PARAMS_MODELO!$A$38,PARAMS_MODELO!$B$38,IF(M11=PARAMS_MODELO!$A$39,PARAMS_MODELO!$B$39,IF(M11=PARAMS_MODELO!$A$40,PARAMS_MODELO!$B$40)))))</f>
        <v>1</v>
      </c>
    </row>
    <row r="12" spans="1:14" x14ac:dyDescent="0.3">
      <c r="A12">
        <v>51025458</v>
      </c>
      <c r="B12">
        <v>78</v>
      </c>
      <c r="C12">
        <v>29</v>
      </c>
      <c r="D12">
        <f t="shared" si="0"/>
        <v>2.6896551724137931</v>
      </c>
      <c r="E12">
        <f>ROUND(MIN(5,MAX(0,D12))/5*PARAMS_MODELO!$B$32,2)</f>
        <v>21.52</v>
      </c>
      <c r="F12">
        <v>3</v>
      </c>
      <c r="G12">
        <f>MAX(0,PARAMS_MODELO!$B$33-VALUE(TRIM(F12))*3)</f>
        <v>21</v>
      </c>
      <c r="H12">
        <v>3</v>
      </c>
      <c r="I12">
        <f>ROUND(MIN(4,MAX(0,H12))/4*PARAMS_MODELO!$B$34,2)</f>
        <v>15</v>
      </c>
      <c r="J12">
        <v>0</v>
      </c>
      <c r="K12">
        <f>IF(J12=0,0,PARAMS_MODELO!$B$35)</f>
        <v>0</v>
      </c>
      <c r="L12">
        <f t="shared" si="1"/>
        <v>57.519999999999996</v>
      </c>
      <c r="M12" t="str">
        <f t="shared" si="2"/>
        <v>Regular</v>
      </c>
      <c r="N12">
        <f>IF(M12=PARAMS_MODELO!$A$36,PARAMS_MODELO!$B$36,IF(M12=PARAMS_MODELO!$A$37,PARAMS_MODELO!$B$37,IF(M12=PARAMS_MODELO!$A$38,PARAMS_MODELO!$B$38,IF(M12=PARAMS_MODELO!$A$39,PARAMS_MODELO!$B$39,IF(M12=PARAMS_MODELO!$A$40,PARAMS_MODELO!$B$40)))))</f>
        <v>1</v>
      </c>
    </row>
    <row r="13" spans="1:14" x14ac:dyDescent="0.3">
      <c r="A13">
        <v>51025709</v>
      </c>
      <c r="B13">
        <v>73</v>
      </c>
      <c r="C13">
        <v>55</v>
      </c>
      <c r="D13">
        <f t="shared" si="0"/>
        <v>1.3272727272727274</v>
      </c>
      <c r="E13">
        <f>ROUND(MIN(5,MAX(0,D13))/5*PARAMS_MODELO!$B$32,2)</f>
        <v>10.62</v>
      </c>
      <c r="F13">
        <v>1</v>
      </c>
      <c r="G13">
        <f>MAX(0,PARAMS_MODELO!$B$33-VALUE(TRIM(F13))*3)</f>
        <v>27</v>
      </c>
      <c r="H13">
        <v>1</v>
      </c>
      <c r="I13">
        <f>ROUND(MIN(4,MAX(0,H13))/4*PARAMS_MODELO!$B$34,2)</f>
        <v>5</v>
      </c>
      <c r="J13">
        <v>1</v>
      </c>
      <c r="K13">
        <f>IF(J13=0,0,PARAMS_MODELO!$B$35)</f>
        <v>10</v>
      </c>
      <c r="L13">
        <f t="shared" si="1"/>
        <v>52.62</v>
      </c>
      <c r="M13" t="str">
        <f t="shared" si="2"/>
        <v>Regular</v>
      </c>
      <c r="N13">
        <f>IF(M13=PARAMS_MODELO!$A$36,PARAMS_MODELO!$B$36,IF(M13=PARAMS_MODELO!$A$37,PARAMS_MODELO!$B$37,IF(M13=PARAMS_MODELO!$A$38,PARAMS_MODELO!$B$38,IF(M13=PARAMS_MODELO!$A$39,PARAMS_MODELO!$B$39,IF(M13=PARAMS_MODELO!$A$40,PARAMS_MODELO!$B$40)))))</f>
        <v>1</v>
      </c>
    </row>
    <row r="14" spans="1:14" x14ac:dyDescent="0.3">
      <c r="A14">
        <v>51019709</v>
      </c>
      <c r="B14">
        <v>92</v>
      </c>
      <c r="C14">
        <v>15</v>
      </c>
      <c r="D14">
        <f t="shared" si="0"/>
        <v>5</v>
      </c>
      <c r="E14">
        <f>ROUND(MIN(5,MAX(0,D14))/5*PARAMS_MODELO!$B$32,2)</f>
        <v>40</v>
      </c>
      <c r="F14">
        <v>5</v>
      </c>
      <c r="G14">
        <f>MAX(0,PARAMS_MODELO!$B$33-VALUE(TRIM(F14))*3)</f>
        <v>15</v>
      </c>
      <c r="H14">
        <v>1</v>
      </c>
      <c r="I14">
        <f>ROUND(MIN(4,MAX(0,H14))/4*PARAMS_MODELO!$B$34,2)</f>
        <v>5</v>
      </c>
      <c r="J14">
        <v>0</v>
      </c>
      <c r="K14">
        <f>IF(J14=0,0,PARAMS_MODELO!$B$35)</f>
        <v>0</v>
      </c>
      <c r="L14">
        <f t="shared" si="1"/>
        <v>60</v>
      </c>
      <c r="M14" t="str">
        <f t="shared" si="2"/>
        <v>Bueno</v>
      </c>
      <c r="N14">
        <f>IF(M14=PARAMS_MODELO!$A$36,PARAMS_MODELO!$B$36,IF(M14=PARAMS_MODELO!$A$37,PARAMS_MODELO!$B$37,IF(M14=PARAMS_MODELO!$A$38,PARAMS_MODELO!$B$38,IF(M14=PARAMS_MODELO!$A$39,PARAMS_MODELO!$B$39,IF(M14=PARAMS_MODELO!$A$40,PARAMS_MODELO!$B$40)))))</f>
        <v>1.1000000000000001</v>
      </c>
    </row>
    <row r="15" spans="1:14" x14ac:dyDescent="0.3">
      <c r="A15">
        <v>51019377</v>
      </c>
      <c r="B15">
        <v>13</v>
      </c>
      <c r="C15">
        <v>59</v>
      </c>
      <c r="D15">
        <f t="shared" si="0"/>
        <v>0.22033898305084745</v>
      </c>
      <c r="E15">
        <f>ROUND(MIN(5,MAX(0,D15))/5*PARAMS_MODELO!$B$32,2)</f>
        <v>1.76</v>
      </c>
      <c r="F15">
        <v>1</v>
      </c>
      <c r="G15">
        <f>MAX(0,PARAMS_MODELO!$B$33-VALUE(TRIM(F15))*3)</f>
        <v>27</v>
      </c>
      <c r="H15">
        <v>2</v>
      </c>
      <c r="I15">
        <f>ROUND(MIN(4,MAX(0,H15))/4*PARAMS_MODELO!$B$34,2)</f>
        <v>10</v>
      </c>
      <c r="J15">
        <v>1</v>
      </c>
      <c r="K15">
        <f>IF(J15=0,0,PARAMS_MODELO!$B$35)</f>
        <v>10</v>
      </c>
      <c r="L15">
        <f t="shared" si="1"/>
        <v>48.760000000000005</v>
      </c>
      <c r="M15" t="str">
        <f t="shared" si="2"/>
        <v>Regular</v>
      </c>
      <c r="N15">
        <f>IF(M15=PARAMS_MODELO!$A$36,PARAMS_MODELO!$B$36,IF(M15=PARAMS_MODELO!$A$37,PARAMS_MODELO!$B$37,IF(M15=PARAMS_MODELO!$A$38,PARAMS_MODELO!$B$38,IF(M15=PARAMS_MODELO!$A$39,PARAMS_MODELO!$B$39,IF(M15=PARAMS_MODELO!$A$40,PARAMS_MODELO!$B$40)))))</f>
        <v>1</v>
      </c>
    </row>
    <row r="16" spans="1:14" x14ac:dyDescent="0.3">
      <c r="A16">
        <v>51017447</v>
      </c>
      <c r="B16">
        <v>2</v>
      </c>
      <c r="C16">
        <v>3</v>
      </c>
      <c r="D16">
        <f t="shared" si="0"/>
        <v>0.66666666666666663</v>
      </c>
      <c r="E16">
        <f>ROUND(MIN(5,MAX(0,D16))/5*PARAMS_MODELO!$B$32,2)</f>
        <v>5.33</v>
      </c>
      <c r="F16">
        <v>3</v>
      </c>
      <c r="G16">
        <f>MAX(0,PARAMS_MODELO!$B$33-VALUE(TRIM(F16))*3)</f>
        <v>21</v>
      </c>
      <c r="H16">
        <v>3</v>
      </c>
      <c r="I16">
        <f>ROUND(MIN(4,MAX(0,H16))/4*PARAMS_MODELO!$B$34,2)</f>
        <v>15</v>
      </c>
      <c r="J16">
        <v>0</v>
      </c>
      <c r="K16">
        <f>IF(J16=0,0,PARAMS_MODELO!$B$35)</f>
        <v>0</v>
      </c>
      <c r="L16">
        <f t="shared" si="1"/>
        <v>41.33</v>
      </c>
      <c r="M16" t="str">
        <f t="shared" si="2"/>
        <v>Regular</v>
      </c>
      <c r="N16">
        <f>IF(M16=PARAMS_MODELO!$A$36,PARAMS_MODELO!$B$36,IF(M16=PARAMS_MODELO!$A$37,PARAMS_MODELO!$B$37,IF(M16=PARAMS_MODELO!$A$38,PARAMS_MODELO!$B$38,IF(M16=PARAMS_MODELO!$A$39,PARAMS_MODELO!$B$39,IF(M16=PARAMS_MODELO!$A$40,PARAMS_MODELO!$B$40)))))</f>
        <v>1</v>
      </c>
    </row>
    <row r="17" spans="1:14" x14ac:dyDescent="0.3">
      <c r="A17">
        <v>51055721</v>
      </c>
      <c r="B17">
        <v>40</v>
      </c>
      <c r="C17">
        <v>72</v>
      </c>
      <c r="D17">
        <f t="shared" si="0"/>
        <v>0.55555555555555558</v>
      </c>
      <c r="E17">
        <f>ROUND(MIN(5,MAX(0,D17))/5*PARAMS_MODELO!$B$32,2)</f>
        <v>4.4400000000000004</v>
      </c>
      <c r="F17">
        <v>4</v>
      </c>
      <c r="G17">
        <f>MAX(0,PARAMS_MODELO!$B$33-VALUE(TRIM(F17))*3)</f>
        <v>18</v>
      </c>
      <c r="H17">
        <v>0</v>
      </c>
      <c r="I17">
        <f>ROUND(MIN(4,MAX(0,H17))/4*PARAMS_MODELO!$B$34,2)</f>
        <v>0</v>
      </c>
      <c r="J17">
        <v>1</v>
      </c>
      <c r="K17">
        <f>IF(J17=0,0,PARAMS_MODELO!$B$35)</f>
        <v>10</v>
      </c>
      <c r="L17">
        <f t="shared" si="1"/>
        <v>32.44</v>
      </c>
      <c r="M17" t="str">
        <f t="shared" si="2"/>
        <v>Malo</v>
      </c>
      <c r="N17">
        <f>IF(M17=PARAMS_MODELO!$A$36,PARAMS_MODELO!$B$36,IF(M17=PARAMS_MODELO!$A$37,PARAMS_MODELO!$B$37,IF(M17=PARAMS_MODELO!$A$38,PARAMS_MODELO!$B$38,IF(M17=PARAMS_MODELO!$A$39,PARAMS_MODELO!$B$39,IF(M17=PARAMS_MODELO!$A$40,PARAMS_MODELO!$B$40)))))</f>
        <v>0.7</v>
      </c>
    </row>
    <row r="18" spans="1:14" x14ac:dyDescent="0.3">
      <c r="A18">
        <v>51023064</v>
      </c>
      <c r="B18">
        <v>56</v>
      </c>
      <c r="C18">
        <v>2</v>
      </c>
      <c r="D18">
        <f t="shared" si="0"/>
        <v>5</v>
      </c>
      <c r="E18">
        <f>ROUND(MIN(5,MAX(0,D18))/5*PARAMS_MODELO!$B$32,2)</f>
        <v>40</v>
      </c>
      <c r="F18">
        <v>1</v>
      </c>
      <c r="G18">
        <f>MAX(0,PARAMS_MODELO!$B$33-VALUE(TRIM(F18))*3)</f>
        <v>27</v>
      </c>
      <c r="H18">
        <v>3</v>
      </c>
      <c r="I18">
        <f>ROUND(MIN(4,MAX(0,H18))/4*PARAMS_MODELO!$B$34,2)</f>
        <v>15</v>
      </c>
      <c r="J18">
        <v>0</v>
      </c>
      <c r="K18">
        <f>IF(J18=0,0,PARAMS_MODELO!$B$35)</f>
        <v>0</v>
      </c>
      <c r="L18">
        <f t="shared" si="1"/>
        <v>82</v>
      </c>
      <c r="M18" t="str">
        <f t="shared" si="2"/>
        <v>Muy Bueno</v>
      </c>
      <c r="N18">
        <f>IF(M18=PARAMS_MODELO!$A$36,PARAMS_MODELO!$B$36,IF(M18=PARAMS_MODELO!$A$37,PARAMS_MODELO!$B$37,IF(M18=PARAMS_MODELO!$A$38,PARAMS_MODELO!$B$38,IF(M18=PARAMS_MODELO!$A$39,PARAMS_MODELO!$B$39,IF(M18=PARAMS_MODELO!$A$40,PARAMS_MODELO!$B$40)))))</f>
        <v>1.1499999999999999</v>
      </c>
    </row>
    <row r="19" spans="1:14" x14ac:dyDescent="0.3">
      <c r="A19">
        <v>51055063</v>
      </c>
      <c r="B19">
        <v>68</v>
      </c>
      <c r="C19">
        <v>57</v>
      </c>
      <c r="D19">
        <f t="shared" si="0"/>
        <v>1.1929824561403508</v>
      </c>
      <c r="E19">
        <f>ROUND(MIN(5,MAX(0,D19))/5*PARAMS_MODELO!$B$32,2)</f>
        <v>9.5399999999999991</v>
      </c>
      <c r="F19">
        <v>4</v>
      </c>
      <c r="G19">
        <f>MAX(0,PARAMS_MODELO!$B$33-VALUE(TRIM(F19))*3)</f>
        <v>18</v>
      </c>
      <c r="H19">
        <v>2</v>
      </c>
      <c r="I19">
        <f>ROUND(MIN(4,MAX(0,H19))/4*PARAMS_MODELO!$B$34,2)</f>
        <v>10</v>
      </c>
      <c r="J19">
        <v>0</v>
      </c>
      <c r="K19">
        <f>IF(J19=0,0,PARAMS_MODELO!$B$35)</f>
        <v>0</v>
      </c>
      <c r="L19">
        <f t="shared" si="1"/>
        <v>37.54</v>
      </c>
      <c r="M19" t="str">
        <f t="shared" si="2"/>
        <v>Malo</v>
      </c>
      <c r="N19">
        <f>IF(M19=PARAMS_MODELO!$A$36,PARAMS_MODELO!$B$36,IF(M19=PARAMS_MODELO!$A$37,PARAMS_MODELO!$B$37,IF(M19=PARAMS_MODELO!$A$38,PARAMS_MODELO!$B$38,IF(M19=PARAMS_MODELO!$A$39,PARAMS_MODELO!$B$39,IF(M19=PARAMS_MODELO!$A$40,PARAMS_MODELO!$B$40)))))</f>
        <v>0.7</v>
      </c>
    </row>
    <row r="20" spans="1:14" x14ac:dyDescent="0.3">
      <c r="A20">
        <v>51024893</v>
      </c>
      <c r="B20">
        <v>72</v>
      </c>
      <c r="C20">
        <v>13</v>
      </c>
      <c r="D20">
        <f t="shared" si="0"/>
        <v>5</v>
      </c>
      <c r="E20">
        <f>ROUND(MIN(5,MAX(0,D20))/5*PARAMS_MODELO!$B$32,2)</f>
        <v>40</v>
      </c>
      <c r="F20">
        <v>3</v>
      </c>
      <c r="G20">
        <f>MAX(0,PARAMS_MODELO!$B$33-VALUE(TRIM(F20))*3)</f>
        <v>21</v>
      </c>
      <c r="H20">
        <v>3</v>
      </c>
      <c r="I20">
        <f>ROUND(MIN(4,MAX(0,H20))/4*PARAMS_MODELO!$B$34,2)</f>
        <v>15</v>
      </c>
      <c r="J20">
        <v>0</v>
      </c>
      <c r="K20">
        <f>IF(J20=0,0,PARAMS_MODELO!$B$35)</f>
        <v>0</v>
      </c>
      <c r="L20">
        <f t="shared" si="1"/>
        <v>76</v>
      </c>
      <c r="M20" t="str">
        <f t="shared" si="2"/>
        <v>Muy Bueno</v>
      </c>
      <c r="N20">
        <f>IF(M20=PARAMS_MODELO!$A$36,PARAMS_MODELO!$B$36,IF(M20=PARAMS_MODELO!$A$37,PARAMS_MODELO!$B$37,IF(M20=PARAMS_MODELO!$A$38,PARAMS_MODELO!$B$38,IF(M20=PARAMS_MODELO!$A$39,PARAMS_MODELO!$B$39,IF(M20=PARAMS_MODELO!$A$40,PARAMS_MODELO!$B$40)))))</f>
        <v>1.1499999999999999</v>
      </c>
    </row>
    <row r="21" spans="1:14" x14ac:dyDescent="0.3">
      <c r="A21">
        <v>51013638</v>
      </c>
      <c r="B21">
        <v>89</v>
      </c>
      <c r="C21">
        <v>40</v>
      </c>
      <c r="D21">
        <f t="shared" si="0"/>
        <v>2.2250000000000001</v>
      </c>
      <c r="E21">
        <f>ROUND(MIN(5,MAX(0,D21))/5*PARAMS_MODELO!$B$32,2)</f>
        <v>17.8</v>
      </c>
      <c r="F21">
        <v>5</v>
      </c>
      <c r="G21">
        <f>MAX(0,PARAMS_MODELO!$B$33-VALUE(TRIM(F21))*3)</f>
        <v>15</v>
      </c>
      <c r="H21">
        <v>3</v>
      </c>
      <c r="I21">
        <f>ROUND(MIN(4,MAX(0,H21))/4*PARAMS_MODELO!$B$34,2)</f>
        <v>15</v>
      </c>
      <c r="J21">
        <v>1</v>
      </c>
      <c r="K21">
        <f>IF(J21=0,0,PARAMS_MODELO!$B$35)</f>
        <v>10</v>
      </c>
      <c r="L21">
        <f t="shared" si="1"/>
        <v>57.8</v>
      </c>
      <c r="M21" t="str">
        <f t="shared" si="2"/>
        <v>Regular</v>
      </c>
      <c r="N21">
        <f>IF(M21=PARAMS_MODELO!$A$36,PARAMS_MODELO!$B$36,IF(M21=PARAMS_MODELO!$A$37,PARAMS_MODELO!$B$37,IF(M21=PARAMS_MODELO!$A$38,PARAMS_MODELO!$B$38,IF(M21=PARAMS_MODELO!$A$39,PARAMS_MODELO!$B$39,IF(M21=PARAMS_MODELO!$A$40,PARAMS_MODELO!$B$40)))))</f>
        <v>1</v>
      </c>
    </row>
    <row r="22" spans="1:14" x14ac:dyDescent="0.3">
      <c r="A22">
        <v>51011015</v>
      </c>
      <c r="B22">
        <v>58</v>
      </c>
      <c r="C22">
        <v>30</v>
      </c>
      <c r="D22">
        <f t="shared" si="0"/>
        <v>1.9333333333333333</v>
      </c>
      <c r="E22">
        <f>ROUND(MIN(5,MAX(0,D22))/5*PARAMS_MODELO!$B$32,2)</f>
        <v>15.47</v>
      </c>
      <c r="F22">
        <v>2</v>
      </c>
      <c r="G22">
        <f>MAX(0,PARAMS_MODELO!$B$33-VALUE(TRIM(F22))*3)</f>
        <v>24</v>
      </c>
      <c r="H22">
        <v>0</v>
      </c>
      <c r="I22">
        <f>ROUND(MIN(4,MAX(0,H22))/4*PARAMS_MODELO!$B$34,2)</f>
        <v>0</v>
      </c>
      <c r="J22">
        <v>0</v>
      </c>
      <c r="K22">
        <f>IF(J22=0,0,PARAMS_MODELO!$B$35)</f>
        <v>0</v>
      </c>
      <c r="L22">
        <f t="shared" si="1"/>
        <v>39.47</v>
      </c>
      <c r="M22" t="str">
        <f t="shared" si="2"/>
        <v>Malo</v>
      </c>
      <c r="N22">
        <f>IF(M22=PARAMS_MODELO!$A$36,PARAMS_MODELO!$B$36,IF(M22=PARAMS_MODELO!$A$37,PARAMS_MODELO!$B$37,IF(M22=PARAMS_MODELO!$A$38,PARAMS_MODELO!$B$38,IF(M22=PARAMS_MODELO!$A$39,PARAMS_MODELO!$B$39,IF(M22=PARAMS_MODELO!$A$40,PARAMS_MODELO!$B$40)))))</f>
        <v>0.7</v>
      </c>
    </row>
    <row r="23" spans="1:14" x14ac:dyDescent="0.3">
      <c r="A23">
        <v>51020758</v>
      </c>
      <c r="B23">
        <v>25</v>
      </c>
      <c r="C23">
        <v>39</v>
      </c>
      <c r="D23">
        <f t="shared" si="0"/>
        <v>0.64102564102564108</v>
      </c>
      <c r="E23">
        <f>ROUND(MIN(5,MAX(0,D23))/5*PARAMS_MODELO!$B$32,2)</f>
        <v>5.13</v>
      </c>
      <c r="F23">
        <v>5</v>
      </c>
      <c r="G23">
        <f>MAX(0,PARAMS_MODELO!$B$33-VALUE(TRIM(F23))*3)</f>
        <v>15</v>
      </c>
      <c r="H23">
        <v>3</v>
      </c>
      <c r="I23">
        <f>ROUND(MIN(4,MAX(0,H23))/4*PARAMS_MODELO!$B$34,2)</f>
        <v>15</v>
      </c>
      <c r="J23">
        <v>1</v>
      </c>
      <c r="K23">
        <f>IF(J23=0,0,PARAMS_MODELO!$B$35)</f>
        <v>10</v>
      </c>
      <c r="L23">
        <f t="shared" si="1"/>
        <v>45.129999999999995</v>
      </c>
      <c r="M23" t="str">
        <f t="shared" si="2"/>
        <v>Regular</v>
      </c>
      <c r="N23">
        <f>IF(M23=PARAMS_MODELO!$A$36,PARAMS_MODELO!$B$36,IF(M23=PARAMS_MODELO!$A$37,PARAMS_MODELO!$B$37,IF(M23=PARAMS_MODELO!$A$38,PARAMS_MODELO!$B$38,IF(M23=PARAMS_MODELO!$A$39,PARAMS_MODELO!$B$39,IF(M23=PARAMS_MODELO!$A$40,PARAMS_MODELO!$B$40)))))</f>
        <v>1</v>
      </c>
    </row>
    <row r="24" spans="1:14" x14ac:dyDescent="0.3">
      <c r="A24">
        <v>51022734</v>
      </c>
      <c r="B24">
        <v>13</v>
      </c>
      <c r="C24">
        <v>67</v>
      </c>
      <c r="D24">
        <f t="shared" si="0"/>
        <v>0.19402985074626866</v>
      </c>
      <c r="E24">
        <f>ROUND(MIN(5,MAX(0,D24))/5*PARAMS_MODELO!$B$32,2)</f>
        <v>1.55</v>
      </c>
      <c r="F24">
        <v>5</v>
      </c>
      <c r="G24">
        <f>MAX(0,PARAMS_MODELO!$B$33-VALUE(TRIM(F24))*3)</f>
        <v>15</v>
      </c>
      <c r="H24">
        <v>4</v>
      </c>
      <c r="I24">
        <f>ROUND(MIN(4,MAX(0,H24))/4*PARAMS_MODELO!$B$34,2)</f>
        <v>20</v>
      </c>
      <c r="J24">
        <v>0</v>
      </c>
      <c r="K24">
        <f>IF(J24=0,0,PARAMS_MODELO!$B$35)</f>
        <v>0</v>
      </c>
      <c r="L24">
        <f t="shared" si="1"/>
        <v>36.549999999999997</v>
      </c>
      <c r="M24" t="str">
        <f t="shared" si="2"/>
        <v>Malo</v>
      </c>
      <c r="N24">
        <f>IF(M24=PARAMS_MODELO!$A$36,PARAMS_MODELO!$B$36,IF(M24=PARAMS_MODELO!$A$37,PARAMS_MODELO!$B$37,IF(M24=PARAMS_MODELO!$A$38,PARAMS_MODELO!$B$38,IF(M24=PARAMS_MODELO!$A$39,PARAMS_MODELO!$B$39,IF(M24=PARAMS_MODELO!$A$40,PARAMS_MODELO!$B$40)))))</f>
        <v>0.7</v>
      </c>
    </row>
    <row r="25" spans="1:14" x14ac:dyDescent="0.3">
      <c r="A25">
        <v>51036034</v>
      </c>
      <c r="B25">
        <v>57</v>
      </c>
      <c r="C25">
        <v>43</v>
      </c>
      <c r="D25">
        <f t="shared" si="0"/>
        <v>1.3255813953488371</v>
      </c>
      <c r="E25">
        <f>ROUND(MIN(5,MAX(0,D25))/5*PARAMS_MODELO!$B$32,2)</f>
        <v>10.6</v>
      </c>
      <c r="F25">
        <v>0</v>
      </c>
      <c r="G25">
        <f>MAX(0,PARAMS_MODELO!$B$33-VALUE(TRIM(F25))*3)</f>
        <v>30</v>
      </c>
      <c r="H25">
        <v>2</v>
      </c>
      <c r="I25">
        <f>ROUND(MIN(4,MAX(0,H25))/4*PARAMS_MODELO!$B$34,2)</f>
        <v>10</v>
      </c>
      <c r="J25">
        <v>0</v>
      </c>
      <c r="K25">
        <f>IF(J25=0,0,PARAMS_MODELO!$B$35)</f>
        <v>0</v>
      </c>
      <c r="L25">
        <f t="shared" si="1"/>
        <v>50.6</v>
      </c>
      <c r="M25" t="str">
        <f t="shared" si="2"/>
        <v>Regular</v>
      </c>
      <c r="N25">
        <f>IF(M25=PARAMS_MODELO!$A$36,PARAMS_MODELO!$B$36,IF(M25=PARAMS_MODELO!$A$37,PARAMS_MODELO!$B$37,IF(M25=PARAMS_MODELO!$A$38,PARAMS_MODELO!$B$38,IF(M25=PARAMS_MODELO!$A$39,PARAMS_MODELO!$B$39,IF(M25=PARAMS_MODELO!$A$40,PARAMS_MODELO!$B$40)))))</f>
        <v>1</v>
      </c>
    </row>
    <row r="26" spans="1:14" x14ac:dyDescent="0.3">
      <c r="A26">
        <v>51019954</v>
      </c>
      <c r="B26">
        <v>4</v>
      </c>
      <c r="C26">
        <v>88</v>
      </c>
      <c r="D26">
        <f t="shared" si="0"/>
        <v>4.5454545454545456E-2</v>
      </c>
      <c r="E26">
        <f>ROUND(MIN(5,MAX(0,D26))/5*PARAMS_MODELO!$B$32,2)</f>
        <v>0.36</v>
      </c>
      <c r="F26">
        <v>1</v>
      </c>
      <c r="G26">
        <f>MAX(0,PARAMS_MODELO!$B$33-VALUE(TRIM(F26))*3)</f>
        <v>27</v>
      </c>
      <c r="H26">
        <v>1</v>
      </c>
      <c r="I26">
        <f>ROUND(MIN(4,MAX(0,H26))/4*PARAMS_MODELO!$B$34,2)</f>
        <v>5</v>
      </c>
      <c r="J26">
        <v>0</v>
      </c>
      <c r="K26">
        <f>IF(J26=0,0,PARAMS_MODELO!$B$35)</f>
        <v>0</v>
      </c>
      <c r="L26">
        <f t="shared" si="1"/>
        <v>32.36</v>
      </c>
      <c r="M26" t="str">
        <f t="shared" si="2"/>
        <v>Malo</v>
      </c>
      <c r="N26">
        <f>IF(M26=PARAMS_MODELO!$A$36,PARAMS_MODELO!$B$36,IF(M26=PARAMS_MODELO!$A$37,PARAMS_MODELO!$B$37,IF(M26=PARAMS_MODELO!$A$38,PARAMS_MODELO!$B$38,IF(M26=PARAMS_MODELO!$A$39,PARAMS_MODELO!$B$39,IF(M26=PARAMS_MODELO!$A$40,PARAMS_MODELO!$B$40)))))</f>
        <v>0.7</v>
      </c>
    </row>
    <row r="27" spans="1:14" x14ac:dyDescent="0.3">
      <c r="A27">
        <v>51041895</v>
      </c>
      <c r="B27">
        <v>10</v>
      </c>
      <c r="C27">
        <v>80</v>
      </c>
      <c r="D27">
        <f t="shared" si="0"/>
        <v>0.125</v>
      </c>
      <c r="E27">
        <f>ROUND(MIN(5,MAX(0,D27))/5*PARAMS_MODELO!$B$32,2)</f>
        <v>1</v>
      </c>
      <c r="F27">
        <v>2</v>
      </c>
      <c r="G27">
        <f>MAX(0,PARAMS_MODELO!$B$33-VALUE(TRIM(F27))*3)</f>
        <v>24</v>
      </c>
      <c r="H27">
        <v>4</v>
      </c>
      <c r="I27">
        <f>ROUND(MIN(4,MAX(0,H27))/4*PARAMS_MODELO!$B$34,2)</f>
        <v>20</v>
      </c>
      <c r="J27">
        <v>1</v>
      </c>
      <c r="K27">
        <f>IF(J27=0,0,PARAMS_MODELO!$B$35)</f>
        <v>10</v>
      </c>
      <c r="L27">
        <f t="shared" si="1"/>
        <v>55</v>
      </c>
      <c r="M27" t="str">
        <f t="shared" si="2"/>
        <v>Regular</v>
      </c>
      <c r="N27">
        <f>IF(M27=PARAMS_MODELO!$A$36,PARAMS_MODELO!$B$36,IF(M27=PARAMS_MODELO!$A$37,PARAMS_MODELO!$B$37,IF(M27=PARAMS_MODELO!$A$38,PARAMS_MODELO!$B$38,IF(M27=PARAMS_MODELO!$A$39,PARAMS_MODELO!$B$39,IF(M27=PARAMS_MODELO!$A$40,PARAMS_MODELO!$B$40)))))</f>
        <v>1</v>
      </c>
    </row>
    <row r="28" spans="1:14" x14ac:dyDescent="0.3">
      <c r="A28">
        <v>51031075</v>
      </c>
      <c r="B28">
        <v>41</v>
      </c>
      <c r="C28">
        <v>5</v>
      </c>
      <c r="D28">
        <f t="shared" si="0"/>
        <v>5</v>
      </c>
      <c r="E28">
        <f>ROUND(MIN(5,MAX(0,D28))/5*PARAMS_MODELO!$B$32,2)</f>
        <v>40</v>
      </c>
      <c r="F28">
        <v>0</v>
      </c>
      <c r="G28">
        <f>MAX(0,PARAMS_MODELO!$B$33-VALUE(TRIM(F28))*3)</f>
        <v>30</v>
      </c>
      <c r="H28">
        <v>2</v>
      </c>
      <c r="I28">
        <f>ROUND(MIN(4,MAX(0,H28))/4*PARAMS_MODELO!$B$34,2)</f>
        <v>10</v>
      </c>
      <c r="J28">
        <v>0</v>
      </c>
      <c r="K28">
        <f>IF(J28=0,0,PARAMS_MODELO!$B$35)</f>
        <v>0</v>
      </c>
      <c r="L28">
        <f t="shared" si="1"/>
        <v>80</v>
      </c>
      <c r="M28" t="str">
        <f t="shared" si="2"/>
        <v>Muy Bueno</v>
      </c>
      <c r="N28">
        <f>IF(M28=PARAMS_MODELO!$A$36,PARAMS_MODELO!$B$36,IF(M28=PARAMS_MODELO!$A$37,PARAMS_MODELO!$B$37,IF(M28=PARAMS_MODELO!$A$38,PARAMS_MODELO!$B$38,IF(M28=PARAMS_MODELO!$A$39,PARAMS_MODELO!$B$39,IF(M28=PARAMS_MODELO!$A$40,PARAMS_MODELO!$B$40)))))</f>
        <v>1.1499999999999999</v>
      </c>
    </row>
    <row r="29" spans="1:14" x14ac:dyDescent="0.3">
      <c r="A29">
        <v>51016815</v>
      </c>
      <c r="B29">
        <v>57</v>
      </c>
      <c r="C29">
        <v>76</v>
      </c>
      <c r="D29">
        <f t="shared" si="0"/>
        <v>0.75</v>
      </c>
      <c r="E29">
        <f>ROUND(MIN(5,MAX(0,D29))/5*PARAMS_MODELO!$B$32,2)</f>
        <v>6</v>
      </c>
      <c r="F29">
        <v>5</v>
      </c>
      <c r="G29">
        <f>MAX(0,PARAMS_MODELO!$B$33-VALUE(TRIM(F29))*3)</f>
        <v>15</v>
      </c>
      <c r="H29">
        <v>3</v>
      </c>
      <c r="I29">
        <f>ROUND(MIN(4,MAX(0,H29))/4*PARAMS_MODELO!$B$34,2)</f>
        <v>15</v>
      </c>
      <c r="J29">
        <v>1</v>
      </c>
      <c r="K29">
        <f>IF(J29=0,0,PARAMS_MODELO!$B$35)</f>
        <v>10</v>
      </c>
      <c r="L29">
        <f t="shared" si="1"/>
        <v>46</v>
      </c>
      <c r="M29" t="str">
        <f t="shared" si="2"/>
        <v>Regular</v>
      </c>
      <c r="N29">
        <f>IF(M29=PARAMS_MODELO!$A$36,PARAMS_MODELO!$B$36,IF(M29=PARAMS_MODELO!$A$37,PARAMS_MODELO!$B$37,IF(M29=PARAMS_MODELO!$A$38,PARAMS_MODELO!$B$38,IF(M29=PARAMS_MODELO!$A$39,PARAMS_MODELO!$B$39,IF(M29=PARAMS_MODELO!$A$40,PARAMS_MODELO!$B$40)))))</f>
        <v>1</v>
      </c>
    </row>
    <row r="30" spans="1:14" x14ac:dyDescent="0.3">
      <c r="A30">
        <v>51010761</v>
      </c>
      <c r="B30">
        <v>90</v>
      </c>
      <c r="C30">
        <v>11</v>
      </c>
      <c r="D30">
        <f t="shared" si="0"/>
        <v>5</v>
      </c>
      <c r="E30">
        <f>ROUND(MIN(5,MAX(0,D30))/5*PARAMS_MODELO!$B$32,2)</f>
        <v>40</v>
      </c>
      <c r="F30">
        <v>1</v>
      </c>
      <c r="G30">
        <f>MAX(0,PARAMS_MODELO!$B$33-VALUE(TRIM(F30))*3)</f>
        <v>27</v>
      </c>
      <c r="H30">
        <v>0</v>
      </c>
      <c r="I30">
        <f>ROUND(MIN(4,MAX(0,H30))/4*PARAMS_MODELO!$B$34,2)</f>
        <v>0</v>
      </c>
      <c r="J30">
        <v>0</v>
      </c>
      <c r="K30">
        <f>IF(J30=0,0,PARAMS_MODELO!$B$35)</f>
        <v>0</v>
      </c>
      <c r="L30">
        <f t="shared" si="1"/>
        <v>67</v>
      </c>
      <c r="M30" t="str">
        <f t="shared" si="2"/>
        <v>Bueno</v>
      </c>
      <c r="N30">
        <f>IF(M30=PARAMS_MODELO!$A$36,PARAMS_MODELO!$B$36,IF(M30=PARAMS_MODELO!$A$37,PARAMS_MODELO!$B$37,IF(M30=PARAMS_MODELO!$A$38,PARAMS_MODELO!$B$38,IF(M30=PARAMS_MODELO!$A$39,PARAMS_MODELO!$B$39,IF(M30=PARAMS_MODELO!$A$40,PARAMS_MODELO!$B$40)))))</f>
        <v>1.1000000000000001</v>
      </c>
    </row>
    <row r="31" spans="1:14" x14ac:dyDescent="0.3">
      <c r="A31">
        <v>51013301</v>
      </c>
      <c r="B31">
        <v>100</v>
      </c>
      <c r="C31">
        <v>0</v>
      </c>
      <c r="D31">
        <f t="shared" si="0"/>
        <v>0</v>
      </c>
      <c r="E31">
        <f>ROUND(MIN(5,MAX(0,D31))/5*PARAMS_MODELO!$B$32,2)</f>
        <v>0</v>
      </c>
      <c r="F31">
        <v>5</v>
      </c>
      <c r="G31">
        <f>MAX(0,PARAMS_MODELO!$B$33-VALUE(TRIM(F31))*3)</f>
        <v>15</v>
      </c>
      <c r="H31">
        <v>3</v>
      </c>
      <c r="I31">
        <f>ROUND(MIN(4,MAX(0,H31))/4*PARAMS_MODELO!$B$34,2)</f>
        <v>15</v>
      </c>
      <c r="J31">
        <v>0</v>
      </c>
      <c r="K31">
        <f>IF(J31=0,0,PARAMS_MODELO!$B$35)</f>
        <v>0</v>
      </c>
      <c r="L31">
        <f t="shared" si="1"/>
        <v>30</v>
      </c>
      <c r="M31" t="str">
        <f t="shared" si="2"/>
        <v>Malo</v>
      </c>
      <c r="N31">
        <f>IF(M31=PARAMS_MODELO!$A$36,PARAMS_MODELO!$B$36,IF(M31=PARAMS_MODELO!$A$37,PARAMS_MODELO!$B$37,IF(M31=PARAMS_MODELO!$A$38,PARAMS_MODELO!$B$38,IF(M31=PARAMS_MODELO!$A$39,PARAMS_MODELO!$B$39,IF(M31=PARAMS_MODELO!$A$40,PARAMS_MODELO!$B$40)))))</f>
        <v>0.7</v>
      </c>
    </row>
    <row r="32" spans="1:14" x14ac:dyDescent="0.3">
      <c r="A32">
        <v>51041933</v>
      </c>
      <c r="B32">
        <v>92</v>
      </c>
      <c r="C32">
        <v>2</v>
      </c>
      <c r="D32">
        <f t="shared" si="0"/>
        <v>5</v>
      </c>
      <c r="E32">
        <f>ROUND(MIN(5,MAX(0,D32))/5*PARAMS_MODELO!$B$32,2)</f>
        <v>40</v>
      </c>
      <c r="F32">
        <v>3</v>
      </c>
      <c r="G32">
        <f>MAX(0,PARAMS_MODELO!$B$33-VALUE(TRIM(F32))*3)</f>
        <v>21</v>
      </c>
      <c r="H32">
        <v>1</v>
      </c>
      <c r="I32">
        <f>ROUND(MIN(4,MAX(0,H32))/4*PARAMS_MODELO!$B$34,2)</f>
        <v>5</v>
      </c>
      <c r="J32">
        <v>0</v>
      </c>
      <c r="K32">
        <f>IF(J32=0,0,PARAMS_MODELO!$B$35)</f>
        <v>0</v>
      </c>
      <c r="L32">
        <f t="shared" si="1"/>
        <v>66</v>
      </c>
      <c r="M32" t="str">
        <f t="shared" si="2"/>
        <v>Bueno</v>
      </c>
      <c r="N32">
        <f>IF(M32=PARAMS_MODELO!$A$36,PARAMS_MODELO!$B$36,IF(M32=PARAMS_MODELO!$A$37,PARAMS_MODELO!$B$37,IF(M32=PARAMS_MODELO!$A$38,PARAMS_MODELO!$B$38,IF(M32=PARAMS_MODELO!$A$39,PARAMS_MODELO!$B$39,IF(M32=PARAMS_MODELO!$A$40,PARAMS_MODELO!$B$40)))))</f>
        <v>1.1000000000000001</v>
      </c>
    </row>
    <row r="33" spans="1:14" x14ac:dyDescent="0.3">
      <c r="A33">
        <v>51014006</v>
      </c>
      <c r="B33">
        <v>24</v>
      </c>
      <c r="C33">
        <v>97</v>
      </c>
      <c r="D33">
        <f t="shared" si="0"/>
        <v>0.24742268041237114</v>
      </c>
      <c r="E33">
        <f>ROUND(MIN(5,MAX(0,D33))/5*PARAMS_MODELO!$B$32,2)</f>
        <v>1.98</v>
      </c>
      <c r="F33">
        <v>0</v>
      </c>
      <c r="G33">
        <f>MAX(0,PARAMS_MODELO!$B$33-VALUE(TRIM(F33))*3)</f>
        <v>30</v>
      </c>
      <c r="H33">
        <v>0</v>
      </c>
      <c r="I33">
        <f>ROUND(MIN(4,MAX(0,H33))/4*PARAMS_MODELO!$B$34,2)</f>
        <v>0</v>
      </c>
      <c r="J33">
        <v>0</v>
      </c>
      <c r="K33">
        <f>IF(J33=0,0,PARAMS_MODELO!$B$35)</f>
        <v>0</v>
      </c>
      <c r="L33">
        <f t="shared" si="1"/>
        <v>31.98</v>
      </c>
      <c r="M33" t="str">
        <f t="shared" si="2"/>
        <v>Malo</v>
      </c>
      <c r="N33">
        <f>IF(M33=PARAMS_MODELO!$A$36,PARAMS_MODELO!$B$36,IF(M33=PARAMS_MODELO!$A$37,PARAMS_MODELO!$B$37,IF(M33=PARAMS_MODELO!$A$38,PARAMS_MODELO!$B$38,IF(M33=PARAMS_MODELO!$A$39,PARAMS_MODELO!$B$39,IF(M33=PARAMS_MODELO!$A$40,PARAMS_MODELO!$B$40)))))</f>
        <v>0.7</v>
      </c>
    </row>
    <row r="34" spans="1:14" x14ac:dyDescent="0.3">
      <c r="A34">
        <v>51000111</v>
      </c>
      <c r="B34">
        <v>59</v>
      </c>
      <c r="C34">
        <v>14</v>
      </c>
      <c r="D34">
        <f t="shared" si="0"/>
        <v>4.2142857142857144</v>
      </c>
      <c r="E34">
        <f>ROUND(MIN(5,MAX(0,D34))/5*PARAMS_MODELO!$B$32,2)</f>
        <v>33.71</v>
      </c>
      <c r="F34">
        <v>1</v>
      </c>
      <c r="G34">
        <f>MAX(0,PARAMS_MODELO!$B$33-VALUE(TRIM(F34))*3)</f>
        <v>27</v>
      </c>
      <c r="H34">
        <v>4</v>
      </c>
      <c r="I34">
        <f>ROUND(MIN(4,MAX(0,H34))/4*PARAMS_MODELO!$B$34,2)</f>
        <v>20</v>
      </c>
      <c r="J34">
        <v>0</v>
      </c>
      <c r="K34">
        <f>IF(J34=0,0,PARAMS_MODELO!$B$35)</f>
        <v>0</v>
      </c>
      <c r="L34">
        <f t="shared" si="1"/>
        <v>80.710000000000008</v>
      </c>
      <c r="M34" t="str">
        <f t="shared" si="2"/>
        <v>Muy Bueno</v>
      </c>
      <c r="N34">
        <f>IF(M34=PARAMS_MODELO!$A$36,PARAMS_MODELO!$B$36,IF(M34=PARAMS_MODELO!$A$37,PARAMS_MODELO!$B$37,IF(M34=PARAMS_MODELO!$A$38,PARAMS_MODELO!$B$38,IF(M34=PARAMS_MODELO!$A$39,PARAMS_MODELO!$B$39,IF(M34=PARAMS_MODELO!$A$40,PARAMS_MODELO!$B$40)))))</f>
        <v>1.1499999999999999</v>
      </c>
    </row>
    <row r="35" spans="1:14" x14ac:dyDescent="0.3">
      <c r="A35">
        <v>51042735</v>
      </c>
      <c r="B35">
        <v>21</v>
      </c>
      <c r="C35">
        <v>67</v>
      </c>
      <c r="D35">
        <f t="shared" si="0"/>
        <v>0.31343283582089554</v>
      </c>
      <c r="E35">
        <f>ROUND(MIN(5,MAX(0,D35))/5*PARAMS_MODELO!$B$32,2)</f>
        <v>2.5099999999999998</v>
      </c>
      <c r="F35">
        <v>4</v>
      </c>
      <c r="G35">
        <f>MAX(0,PARAMS_MODELO!$B$33-VALUE(TRIM(F35))*3)</f>
        <v>18</v>
      </c>
      <c r="H35">
        <v>2</v>
      </c>
      <c r="I35">
        <f>ROUND(MIN(4,MAX(0,H35))/4*PARAMS_MODELO!$B$34,2)</f>
        <v>10</v>
      </c>
      <c r="J35">
        <v>0</v>
      </c>
      <c r="K35">
        <f>IF(J35=0,0,PARAMS_MODELO!$B$35)</f>
        <v>0</v>
      </c>
      <c r="L35">
        <f t="shared" si="1"/>
        <v>30.509999999999998</v>
      </c>
      <c r="M35" t="str">
        <f t="shared" si="2"/>
        <v>Malo</v>
      </c>
      <c r="N35">
        <f>IF(M35=PARAMS_MODELO!$A$36,PARAMS_MODELO!$B$36,IF(M35=PARAMS_MODELO!$A$37,PARAMS_MODELO!$B$37,IF(M35=PARAMS_MODELO!$A$38,PARAMS_MODELO!$B$38,IF(M35=PARAMS_MODELO!$A$39,PARAMS_MODELO!$B$39,IF(M35=PARAMS_MODELO!$A$40,PARAMS_MODELO!$B$40)))))</f>
        <v>0.7</v>
      </c>
    </row>
    <row r="36" spans="1:14" x14ac:dyDescent="0.3">
      <c r="A36">
        <v>51023218</v>
      </c>
      <c r="B36">
        <v>60</v>
      </c>
      <c r="C36">
        <v>76</v>
      </c>
      <c r="D36">
        <f t="shared" si="0"/>
        <v>0.78947368421052633</v>
      </c>
      <c r="E36">
        <f>ROUND(MIN(5,MAX(0,D36))/5*PARAMS_MODELO!$B$32,2)</f>
        <v>6.32</v>
      </c>
      <c r="F36">
        <v>4</v>
      </c>
      <c r="G36">
        <f>MAX(0,PARAMS_MODELO!$B$33-VALUE(TRIM(F36))*3)</f>
        <v>18</v>
      </c>
      <c r="H36">
        <v>1</v>
      </c>
      <c r="I36">
        <f>ROUND(MIN(4,MAX(0,H36))/4*PARAMS_MODELO!$B$34,2)</f>
        <v>5</v>
      </c>
      <c r="J36">
        <v>0</v>
      </c>
      <c r="K36">
        <f>IF(J36=0,0,PARAMS_MODELO!$B$35)</f>
        <v>0</v>
      </c>
      <c r="L36">
        <f t="shared" si="1"/>
        <v>29.32</v>
      </c>
      <c r="M36" t="str">
        <f t="shared" si="2"/>
        <v>Malo</v>
      </c>
      <c r="N36">
        <f>IF(M36=PARAMS_MODELO!$A$36,PARAMS_MODELO!$B$36,IF(M36=PARAMS_MODELO!$A$37,PARAMS_MODELO!$B$37,IF(M36=PARAMS_MODELO!$A$38,PARAMS_MODELO!$B$38,IF(M36=PARAMS_MODELO!$A$39,PARAMS_MODELO!$B$39,IF(M36=PARAMS_MODELO!$A$40,PARAMS_MODELO!$B$40)))))</f>
        <v>0.7</v>
      </c>
    </row>
    <row r="37" spans="1:14" x14ac:dyDescent="0.3">
      <c r="A37">
        <v>51002776</v>
      </c>
      <c r="B37">
        <v>3</v>
      </c>
      <c r="C37">
        <v>81</v>
      </c>
      <c r="D37">
        <f t="shared" si="0"/>
        <v>3.7037037037037035E-2</v>
      </c>
      <c r="E37">
        <f>ROUND(MIN(5,MAX(0,D37))/5*PARAMS_MODELO!$B$32,2)</f>
        <v>0.3</v>
      </c>
      <c r="F37">
        <v>0</v>
      </c>
      <c r="G37">
        <f>MAX(0,PARAMS_MODELO!$B$33-VALUE(TRIM(F37))*3)</f>
        <v>30</v>
      </c>
      <c r="H37">
        <v>1</v>
      </c>
      <c r="I37">
        <f>ROUND(MIN(4,MAX(0,H37))/4*PARAMS_MODELO!$B$34,2)</f>
        <v>5</v>
      </c>
      <c r="J37">
        <v>1</v>
      </c>
      <c r="K37">
        <f>IF(J37=0,0,PARAMS_MODELO!$B$35)</f>
        <v>10</v>
      </c>
      <c r="L37">
        <f t="shared" si="1"/>
        <v>45.3</v>
      </c>
      <c r="M37" t="str">
        <f t="shared" si="2"/>
        <v>Regular</v>
      </c>
      <c r="N37">
        <f>IF(M37=PARAMS_MODELO!$A$36,PARAMS_MODELO!$B$36,IF(M37=PARAMS_MODELO!$A$37,PARAMS_MODELO!$B$37,IF(M37=PARAMS_MODELO!$A$38,PARAMS_MODELO!$B$38,IF(M37=PARAMS_MODELO!$A$39,PARAMS_MODELO!$B$39,IF(M37=PARAMS_MODELO!$A$40,PARAMS_MODELO!$B$40)))))</f>
        <v>1</v>
      </c>
    </row>
    <row r="38" spans="1:14" x14ac:dyDescent="0.3">
      <c r="A38">
        <v>51015541</v>
      </c>
      <c r="B38">
        <v>69</v>
      </c>
      <c r="C38">
        <v>75</v>
      </c>
      <c r="D38">
        <f t="shared" si="0"/>
        <v>0.92</v>
      </c>
      <c r="E38">
        <f>ROUND(MIN(5,MAX(0,D38))/5*PARAMS_MODELO!$B$32,2)</f>
        <v>7.36</v>
      </c>
      <c r="F38">
        <v>1</v>
      </c>
      <c r="G38">
        <f>MAX(0,PARAMS_MODELO!$B$33-VALUE(TRIM(F38))*3)</f>
        <v>27</v>
      </c>
      <c r="H38">
        <v>3</v>
      </c>
      <c r="I38">
        <f>ROUND(MIN(4,MAX(0,H38))/4*PARAMS_MODELO!$B$34,2)</f>
        <v>15</v>
      </c>
      <c r="J38">
        <v>1</v>
      </c>
      <c r="K38">
        <f>IF(J38=0,0,PARAMS_MODELO!$B$35)</f>
        <v>10</v>
      </c>
      <c r="L38">
        <f t="shared" si="1"/>
        <v>59.36</v>
      </c>
      <c r="M38" t="str">
        <f t="shared" si="2"/>
        <v>Regular</v>
      </c>
      <c r="N38">
        <f>IF(M38=PARAMS_MODELO!$A$36,PARAMS_MODELO!$B$36,IF(M38=PARAMS_MODELO!$A$37,PARAMS_MODELO!$B$37,IF(M38=PARAMS_MODELO!$A$38,PARAMS_MODELO!$B$38,IF(M38=PARAMS_MODELO!$A$39,PARAMS_MODELO!$B$39,IF(M38=PARAMS_MODELO!$A$40,PARAMS_MODELO!$B$40)))))</f>
        <v>1</v>
      </c>
    </row>
    <row r="39" spans="1:14" x14ac:dyDescent="0.3">
      <c r="A39">
        <v>51031890</v>
      </c>
      <c r="B39">
        <v>34</v>
      </c>
      <c r="C39">
        <v>51</v>
      </c>
      <c r="D39">
        <f t="shared" si="0"/>
        <v>0.66666666666666663</v>
      </c>
      <c r="E39">
        <f>ROUND(MIN(5,MAX(0,D39))/5*PARAMS_MODELO!$B$32,2)</f>
        <v>5.33</v>
      </c>
      <c r="F39">
        <v>2</v>
      </c>
      <c r="G39">
        <f>MAX(0,PARAMS_MODELO!$B$33-VALUE(TRIM(F39))*3)</f>
        <v>24</v>
      </c>
      <c r="H39">
        <v>1</v>
      </c>
      <c r="I39">
        <f>ROUND(MIN(4,MAX(0,H39))/4*PARAMS_MODELO!$B$34,2)</f>
        <v>5</v>
      </c>
      <c r="J39">
        <v>1</v>
      </c>
      <c r="K39">
        <f>IF(J39=0,0,PARAMS_MODELO!$B$35)</f>
        <v>10</v>
      </c>
      <c r="L39">
        <f t="shared" si="1"/>
        <v>44.33</v>
      </c>
      <c r="M39" t="str">
        <f t="shared" si="2"/>
        <v>Regular</v>
      </c>
      <c r="N39">
        <f>IF(M39=PARAMS_MODELO!$A$36,PARAMS_MODELO!$B$36,IF(M39=PARAMS_MODELO!$A$37,PARAMS_MODELO!$B$37,IF(M39=PARAMS_MODELO!$A$38,PARAMS_MODELO!$B$38,IF(M39=PARAMS_MODELO!$A$39,PARAMS_MODELO!$B$39,IF(M39=PARAMS_MODELO!$A$40,PARAMS_MODELO!$B$40)))))</f>
        <v>1</v>
      </c>
    </row>
    <row r="40" spans="1:14" x14ac:dyDescent="0.3">
      <c r="A40">
        <v>51057058</v>
      </c>
      <c r="B40">
        <v>100</v>
      </c>
      <c r="C40">
        <v>87</v>
      </c>
      <c r="D40">
        <f t="shared" si="0"/>
        <v>1.1494252873563218</v>
      </c>
      <c r="E40">
        <f>ROUND(MIN(5,MAX(0,D40))/5*PARAMS_MODELO!$B$32,2)</f>
        <v>9.1999999999999993</v>
      </c>
      <c r="F40">
        <v>1</v>
      </c>
      <c r="G40">
        <f>MAX(0,PARAMS_MODELO!$B$33-VALUE(TRIM(F40))*3)</f>
        <v>27</v>
      </c>
      <c r="H40">
        <v>3</v>
      </c>
      <c r="I40">
        <f>ROUND(MIN(4,MAX(0,H40))/4*PARAMS_MODELO!$B$34,2)</f>
        <v>15</v>
      </c>
      <c r="J40">
        <v>1</v>
      </c>
      <c r="K40">
        <f>IF(J40=0,0,PARAMS_MODELO!$B$35)</f>
        <v>10</v>
      </c>
      <c r="L40">
        <f t="shared" si="1"/>
        <v>61.2</v>
      </c>
      <c r="M40" t="str">
        <f t="shared" si="2"/>
        <v>Bueno</v>
      </c>
      <c r="N40">
        <f>IF(M40=PARAMS_MODELO!$A$36,PARAMS_MODELO!$B$36,IF(M40=PARAMS_MODELO!$A$37,PARAMS_MODELO!$B$37,IF(M40=PARAMS_MODELO!$A$38,PARAMS_MODELO!$B$38,IF(M40=PARAMS_MODELO!$A$39,PARAMS_MODELO!$B$39,IF(M40=PARAMS_MODELO!$A$40,PARAMS_MODELO!$B$40)))))</f>
        <v>1.1000000000000001</v>
      </c>
    </row>
    <row r="41" spans="1:14" x14ac:dyDescent="0.3">
      <c r="A41">
        <v>51022289</v>
      </c>
      <c r="B41">
        <v>67</v>
      </c>
      <c r="C41">
        <v>19</v>
      </c>
      <c r="D41">
        <f t="shared" si="0"/>
        <v>3.5263157894736841</v>
      </c>
      <c r="E41">
        <f>ROUND(MIN(5,MAX(0,D41))/5*PARAMS_MODELO!$B$32,2)</f>
        <v>28.21</v>
      </c>
      <c r="F41">
        <v>3</v>
      </c>
      <c r="G41">
        <f>MAX(0,PARAMS_MODELO!$B$33-VALUE(TRIM(F41))*3)</f>
        <v>21</v>
      </c>
      <c r="H41">
        <v>1</v>
      </c>
      <c r="I41">
        <f>ROUND(MIN(4,MAX(0,H41))/4*PARAMS_MODELO!$B$34,2)</f>
        <v>5</v>
      </c>
      <c r="J41">
        <v>1</v>
      </c>
      <c r="K41">
        <f>IF(J41=0,0,PARAMS_MODELO!$B$35)</f>
        <v>10</v>
      </c>
      <c r="L41">
        <f t="shared" si="1"/>
        <v>64.210000000000008</v>
      </c>
      <c r="M41" t="str">
        <f t="shared" si="2"/>
        <v>Bueno</v>
      </c>
      <c r="N41">
        <f>IF(M41=PARAMS_MODELO!$A$36,PARAMS_MODELO!$B$36,IF(M41=PARAMS_MODELO!$A$37,PARAMS_MODELO!$B$37,IF(M41=PARAMS_MODELO!$A$38,PARAMS_MODELO!$B$38,IF(M41=PARAMS_MODELO!$A$39,PARAMS_MODELO!$B$39,IF(M41=PARAMS_MODELO!$A$40,PARAMS_MODELO!$B$40)))))</f>
        <v>1.1000000000000001</v>
      </c>
    </row>
    <row r="42" spans="1:14" x14ac:dyDescent="0.3">
      <c r="A42">
        <v>51016688</v>
      </c>
      <c r="B42">
        <v>41</v>
      </c>
      <c r="C42">
        <v>98</v>
      </c>
      <c r="D42">
        <f t="shared" si="0"/>
        <v>0.41836734693877553</v>
      </c>
      <c r="E42">
        <f>ROUND(MIN(5,MAX(0,D42))/5*PARAMS_MODELO!$B$32,2)</f>
        <v>3.35</v>
      </c>
      <c r="F42">
        <v>3</v>
      </c>
      <c r="G42">
        <f>MAX(0,PARAMS_MODELO!$B$33-VALUE(TRIM(F42))*3)</f>
        <v>21</v>
      </c>
      <c r="H42">
        <v>2</v>
      </c>
      <c r="I42">
        <f>ROUND(MIN(4,MAX(0,H42))/4*PARAMS_MODELO!$B$34,2)</f>
        <v>10</v>
      </c>
      <c r="J42">
        <v>1</v>
      </c>
      <c r="K42">
        <f>IF(J42=0,0,PARAMS_MODELO!$B$35)</f>
        <v>10</v>
      </c>
      <c r="L42">
        <f t="shared" si="1"/>
        <v>44.35</v>
      </c>
      <c r="M42" t="str">
        <f t="shared" si="2"/>
        <v>Regular</v>
      </c>
      <c r="N42">
        <f>IF(M42=PARAMS_MODELO!$A$36,PARAMS_MODELO!$B$36,IF(M42=PARAMS_MODELO!$A$37,PARAMS_MODELO!$B$37,IF(M42=PARAMS_MODELO!$A$38,PARAMS_MODELO!$B$38,IF(M42=PARAMS_MODELO!$A$39,PARAMS_MODELO!$B$39,IF(M42=PARAMS_MODELO!$A$40,PARAMS_MODELO!$B$40)))))</f>
        <v>1</v>
      </c>
    </row>
    <row r="43" spans="1:14" x14ac:dyDescent="0.3">
      <c r="A43">
        <v>51032527</v>
      </c>
      <c r="B43">
        <v>25</v>
      </c>
      <c r="C43">
        <v>15</v>
      </c>
      <c r="D43">
        <f t="shared" si="0"/>
        <v>1.6666666666666667</v>
      </c>
      <c r="E43">
        <f>ROUND(MIN(5,MAX(0,D43))/5*PARAMS_MODELO!$B$32,2)</f>
        <v>13.33</v>
      </c>
      <c r="F43">
        <v>1</v>
      </c>
      <c r="G43">
        <f>MAX(0,PARAMS_MODELO!$B$33-VALUE(TRIM(F43))*3)</f>
        <v>27</v>
      </c>
      <c r="H43">
        <v>4</v>
      </c>
      <c r="I43">
        <f>ROUND(MIN(4,MAX(0,H43))/4*PARAMS_MODELO!$B$34,2)</f>
        <v>20</v>
      </c>
      <c r="J43">
        <v>0</v>
      </c>
      <c r="K43">
        <f>IF(J43=0,0,PARAMS_MODELO!$B$35)</f>
        <v>0</v>
      </c>
      <c r="L43">
        <f t="shared" si="1"/>
        <v>60.33</v>
      </c>
      <c r="M43" t="str">
        <f t="shared" si="2"/>
        <v>Bueno</v>
      </c>
      <c r="N43">
        <f>IF(M43=PARAMS_MODELO!$A$36,PARAMS_MODELO!$B$36,IF(M43=PARAMS_MODELO!$A$37,PARAMS_MODELO!$B$37,IF(M43=PARAMS_MODELO!$A$38,PARAMS_MODELO!$B$38,IF(M43=PARAMS_MODELO!$A$39,PARAMS_MODELO!$B$39,IF(M43=PARAMS_MODELO!$A$40,PARAMS_MODELO!$B$40)))))</f>
        <v>1.1000000000000001</v>
      </c>
    </row>
    <row r="44" spans="1:14" x14ac:dyDescent="0.3">
      <c r="A44">
        <v>51028678</v>
      </c>
      <c r="B44">
        <v>30</v>
      </c>
      <c r="C44">
        <v>49</v>
      </c>
      <c r="D44">
        <f t="shared" si="0"/>
        <v>0.61224489795918369</v>
      </c>
      <c r="E44">
        <f>ROUND(MIN(5,MAX(0,D44))/5*PARAMS_MODELO!$B$32,2)</f>
        <v>4.9000000000000004</v>
      </c>
      <c r="F44">
        <v>4</v>
      </c>
      <c r="G44">
        <f>MAX(0,PARAMS_MODELO!$B$33-VALUE(TRIM(F44))*3)</f>
        <v>18</v>
      </c>
      <c r="H44">
        <v>3</v>
      </c>
      <c r="I44">
        <f>ROUND(MIN(4,MAX(0,H44))/4*PARAMS_MODELO!$B$34,2)</f>
        <v>15</v>
      </c>
      <c r="J44">
        <v>0</v>
      </c>
      <c r="K44">
        <f>IF(J44=0,0,PARAMS_MODELO!$B$35)</f>
        <v>0</v>
      </c>
      <c r="L44">
        <f t="shared" si="1"/>
        <v>37.9</v>
      </c>
      <c r="M44" t="str">
        <f t="shared" si="2"/>
        <v>Malo</v>
      </c>
      <c r="N44">
        <f>IF(M44=PARAMS_MODELO!$A$36,PARAMS_MODELO!$B$36,IF(M44=PARAMS_MODELO!$A$37,PARAMS_MODELO!$B$37,IF(M44=PARAMS_MODELO!$A$38,PARAMS_MODELO!$B$38,IF(M44=PARAMS_MODELO!$A$39,PARAMS_MODELO!$B$39,IF(M44=PARAMS_MODELO!$A$40,PARAMS_MODELO!$B$40)))))</f>
        <v>0.7</v>
      </c>
    </row>
    <row r="45" spans="1:14" x14ac:dyDescent="0.3">
      <c r="A45">
        <v>51005287</v>
      </c>
      <c r="B45">
        <v>83</v>
      </c>
      <c r="C45">
        <v>75</v>
      </c>
      <c r="D45">
        <f t="shared" si="0"/>
        <v>1.1066666666666667</v>
      </c>
      <c r="E45">
        <f>ROUND(MIN(5,MAX(0,D45))/5*PARAMS_MODELO!$B$32,2)</f>
        <v>8.85</v>
      </c>
      <c r="F45">
        <v>0</v>
      </c>
      <c r="G45">
        <f>MAX(0,PARAMS_MODELO!$B$33-VALUE(TRIM(F45))*3)</f>
        <v>30</v>
      </c>
      <c r="H45">
        <v>1</v>
      </c>
      <c r="I45">
        <f>ROUND(MIN(4,MAX(0,H45))/4*PARAMS_MODELO!$B$34,2)</f>
        <v>5</v>
      </c>
      <c r="J45">
        <v>0</v>
      </c>
      <c r="K45">
        <f>IF(J45=0,0,PARAMS_MODELO!$B$35)</f>
        <v>0</v>
      </c>
      <c r="L45">
        <f t="shared" si="1"/>
        <v>43.85</v>
      </c>
      <c r="M45" t="str">
        <f t="shared" si="2"/>
        <v>Regular</v>
      </c>
      <c r="N45">
        <f>IF(M45=PARAMS_MODELO!$A$36,PARAMS_MODELO!$B$36,IF(M45=PARAMS_MODELO!$A$37,PARAMS_MODELO!$B$37,IF(M45=PARAMS_MODELO!$A$38,PARAMS_MODELO!$B$38,IF(M45=PARAMS_MODELO!$A$39,PARAMS_MODELO!$B$39,IF(M45=PARAMS_MODELO!$A$40,PARAMS_MODELO!$B$40)))))</f>
        <v>1</v>
      </c>
    </row>
    <row r="46" spans="1:14" x14ac:dyDescent="0.3">
      <c r="A46">
        <v>51055624</v>
      </c>
      <c r="B46">
        <v>76</v>
      </c>
      <c r="C46">
        <v>38</v>
      </c>
      <c r="D46">
        <f t="shared" si="0"/>
        <v>2</v>
      </c>
      <c r="E46">
        <f>ROUND(MIN(5,MAX(0,D46))/5*PARAMS_MODELO!$B$32,2)</f>
        <v>16</v>
      </c>
      <c r="F46">
        <v>1</v>
      </c>
      <c r="G46">
        <f>MAX(0,PARAMS_MODELO!$B$33-VALUE(TRIM(F46))*3)</f>
        <v>27</v>
      </c>
      <c r="H46">
        <v>3</v>
      </c>
      <c r="I46">
        <f>ROUND(MIN(4,MAX(0,H46))/4*PARAMS_MODELO!$B$34,2)</f>
        <v>15</v>
      </c>
      <c r="J46">
        <v>1</v>
      </c>
      <c r="K46">
        <f>IF(J46=0,0,PARAMS_MODELO!$B$35)</f>
        <v>10</v>
      </c>
      <c r="L46">
        <f t="shared" si="1"/>
        <v>68</v>
      </c>
      <c r="M46" t="str">
        <f t="shared" si="2"/>
        <v>Bueno</v>
      </c>
      <c r="N46">
        <f>IF(M46=PARAMS_MODELO!$A$36,PARAMS_MODELO!$B$36,IF(M46=PARAMS_MODELO!$A$37,PARAMS_MODELO!$B$37,IF(M46=PARAMS_MODELO!$A$38,PARAMS_MODELO!$B$38,IF(M46=PARAMS_MODELO!$A$39,PARAMS_MODELO!$B$39,IF(M46=PARAMS_MODELO!$A$40,PARAMS_MODELO!$B$40)))))</f>
        <v>1.1000000000000001</v>
      </c>
    </row>
    <row r="47" spans="1:14" x14ac:dyDescent="0.3">
      <c r="A47">
        <v>51010884</v>
      </c>
      <c r="B47">
        <v>18</v>
      </c>
      <c r="C47">
        <v>70</v>
      </c>
      <c r="D47">
        <f t="shared" si="0"/>
        <v>0.25714285714285712</v>
      </c>
      <c r="E47">
        <f>ROUND(MIN(5,MAX(0,D47))/5*PARAMS_MODELO!$B$32,2)</f>
        <v>2.06</v>
      </c>
      <c r="F47">
        <v>3</v>
      </c>
      <c r="G47">
        <f>MAX(0,PARAMS_MODELO!$B$33-VALUE(TRIM(F47))*3)</f>
        <v>21</v>
      </c>
      <c r="H47">
        <v>1</v>
      </c>
      <c r="I47">
        <f>ROUND(MIN(4,MAX(0,H47))/4*PARAMS_MODELO!$B$34,2)</f>
        <v>5</v>
      </c>
      <c r="J47">
        <v>1</v>
      </c>
      <c r="K47">
        <f>IF(J47=0,0,PARAMS_MODELO!$B$35)</f>
        <v>10</v>
      </c>
      <c r="L47">
        <f t="shared" si="1"/>
        <v>38.06</v>
      </c>
      <c r="M47" t="str">
        <f t="shared" si="2"/>
        <v>Malo</v>
      </c>
      <c r="N47">
        <f>IF(M47=PARAMS_MODELO!$A$36,PARAMS_MODELO!$B$36,IF(M47=PARAMS_MODELO!$A$37,PARAMS_MODELO!$B$37,IF(M47=PARAMS_MODELO!$A$38,PARAMS_MODELO!$B$38,IF(M47=PARAMS_MODELO!$A$39,PARAMS_MODELO!$B$39,IF(M47=PARAMS_MODELO!$A$40,PARAMS_MODELO!$B$40)))))</f>
        <v>0.7</v>
      </c>
    </row>
    <row r="48" spans="1:14" x14ac:dyDescent="0.3">
      <c r="A48">
        <v>51007051</v>
      </c>
      <c r="B48">
        <v>73</v>
      </c>
      <c r="C48">
        <v>52</v>
      </c>
      <c r="D48">
        <f t="shared" si="0"/>
        <v>1.4038461538461537</v>
      </c>
      <c r="E48">
        <f>ROUND(MIN(5,MAX(0,D48))/5*PARAMS_MODELO!$B$32,2)</f>
        <v>11.23</v>
      </c>
      <c r="F48">
        <v>4</v>
      </c>
      <c r="G48">
        <f>MAX(0,PARAMS_MODELO!$B$33-VALUE(TRIM(F48))*3)</f>
        <v>18</v>
      </c>
      <c r="H48">
        <v>4</v>
      </c>
      <c r="I48">
        <f>ROUND(MIN(4,MAX(0,H48))/4*PARAMS_MODELO!$B$34,2)</f>
        <v>20</v>
      </c>
      <c r="J48">
        <v>1</v>
      </c>
      <c r="K48">
        <f>IF(J48=0,0,PARAMS_MODELO!$B$35)</f>
        <v>10</v>
      </c>
      <c r="L48">
        <f t="shared" si="1"/>
        <v>59.230000000000004</v>
      </c>
      <c r="M48" t="str">
        <f t="shared" si="2"/>
        <v>Regular</v>
      </c>
      <c r="N48">
        <f>IF(M48=PARAMS_MODELO!$A$36,PARAMS_MODELO!$B$36,IF(M48=PARAMS_MODELO!$A$37,PARAMS_MODELO!$B$37,IF(M48=PARAMS_MODELO!$A$38,PARAMS_MODELO!$B$38,IF(M48=PARAMS_MODELO!$A$39,PARAMS_MODELO!$B$39,IF(M48=PARAMS_MODELO!$A$40,PARAMS_MODELO!$B$40)))))</f>
        <v>1</v>
      </c>
    </row>
    <row r="49" spans="1:14" x14ac:dyDescent="0.3">
      <c r="A49">
        <v>51013808</v>
      </c>
      <c r="B49">
        <v>6</v>
      </c>
      <c r="C49">
        <v>6</v>
      </c>
      <c r="D49">
        <f t="shared" si="0"/>
        <v>1</v>
      </c>
      <c r="E49">
        <f>ROUND(MIN(5,MAX(0,D49))/5*PARAMS_MODELO!$B$32,2)</f>
        <v>8</v>
      </c>
      <c r="F49">
        <v>3</v>
      </c>
      <c r="G49">
        <f>MAX(0,PARAMS_MODELO!$B$33-VALUE(TRIM(F49))*3)</f>
        <v>21</v>
      </c>
      <c r="H49">
        <v>0</v>
      </c>
      <c r="I49">
        <f>ROUND(MIN(4,MAX(0,H49))/4*PARAMS_MODELO!$B$34,2)</f>
        <v>0</v>
      </c>
      <c r="J49">
        <v>0</v>
      </c>
      <c r="K49">
        <f>IF(J49=0,0,PARAMS_MODELO!$B$35)</f>
        <v>0</v>
      </c>
      <c r="L49">
        <f t="shared" si="1"/>
        <v>29</v>
      </c>
      <c r="M49" t="str">
        <f t="shared" si="2"/>
        <v>Malo</v>
      </c>
      <c r="N49">
        <f>IF(M49=PARAMS_MODELO!$A$36,PARAMS_MODELO!$B$36,IF(M49=PARAMS_MODELO!$A$37,PARAMS_MODELO!$B$37,IF(M49=PARAMS_MODELO!$A$38,PARAMS_MODELO!$B$38,IF(M49=PARAMS_MODELO!$A$39,PARAMS_MODELO!$B$39,IF(M49=PARAMS_MODELO!$A$40,PARAMS_MODELO!$B$40)))))</f>
        <v>0.7</v>
      </c>
    </row>
    <row r="50" spans="1:14" x14ac:dyDescent="0.3">
      <c r="A50">
        <v>51035828</v>
      </c>
      <c r="B50">
        <v>9</v>
      </c>
      <c r="C50">
        <v>52</v>
      </c>
      <c r="D50">
        <f t="shared" si="0"/>
        <v>0.17307692307692307</v>
      </c>
      <c r="E50">
        <f>ROUND(MIN(5,MAX(0,D50))/5*PARAMS_MODELO!$B$32,2)</f>
        <v>1.38</v>
      </c>
      <c r="F50">
        <v>1</v>
      </c>
      <c r="G50">
        <f>MAX(0,PARAMS_MODELO!$B$33-VALUE(TRIM(F50))*3)</f>
        <v>27</v>
      </c>
      <c r="H50">
        <v>1</v>
      </c>
      <c r="I50">
        <f>ROUND(MIN(4,MAX(0,H50))/4*PARAMS_MODELO!$B$34,2)</f>
        <v>5</v>
      </c>
      <c r="J50">
        <v>0</v>
      </c>
      <c r="K50">
        <f>IF(J50=0,0,PARAMS_MODELO!$B$35)</f>
        <v>0</v>
      </c>
      <c r="L50">
        <f t="shared" si="1"/>
        <v>33.379999999999995</v>
      </c>
      <c r="M50" t="str">
        <f t="shared" si="2"/>
        <v>Malo</v>
      </c>
      <c r="N50">
        <f>IF(M50=PARAMS_MODELO!$A$36,PARAMS_MODELO!$B$36,IF(M50=PARAMS_MODELO!$A$37,PARAMS_MODELO!$B$37,IF(M50=PARAMS_MODELO!$A$38,PARAMS_MODELO!$B$38,IF(M50=PARAMS_MODELO!$A$39,PARAMS_MODELO!$B$39,IF(M50=PARAMS_MODELO!$A$40,PARAMS_MODELO!$B$40)))))</f>
        <v>0.7</v>
      </c>
    </row>
    <row r="51" spans="1:14" x14ac:dyDescent="0.3">
      <c r="A51">
        <v>51056051</v>
      </c>
      <c r="B51">
        <v>59</v>
      </c>
      <c r="C51">
        <v>50</v>
      </c>
      <c r="D51">
        <f t="shared" si="0"/>
        <v>1.18</v>
      </c>
      <c r="E51">
        <f>ROUND(MIN(5,MAX(0,D51))/5*PARAMS_MODELO!$B$32,2)</f>
        <v>9.44</v>
      </c>
      <c r="F51">
        <v>1</v>
      </c>
      <c r="G51">
        <f>MAX(0,PARAMS_MODELO!$B$33-VALUE(TRIM(F51))*3)</f>
        <v>27</v>
      </c>
      <c r="H51">
        <v>1</v>
      </c>
      <c r="I51">
        <f>ROUND(MIN(4,MAX(0,H51))/4*PARAMS_MODELO!$B$34,2)</f>
        <v>5</v>
      </c>
      <c r="J51">
        <v>1</v>
      </c>
      <c r="K51">
        <f>IF(J51=0,0,PARAMS_MODELO!$B$35)</f>
        <v>10</v>
      </c>
      <c r="L51">
        <f t="shared" si="1"/>
        <v>51.44</v>
      </c>
      <c r="M51" t="str">
        <f t="shared" si="2"/>
        <v>Regular</v>
      </c>
      <c r="N51">
        <f>IF(M51=PARAMS_MODELO!$A$36,PARAMS_MODELO!$B$36,IF(M51=PARAMS_MODELO!$A$37,PARAMS_MODELO!$B$37,IF(M51=PARAMS_MODELO!$A$38,PARAMS_MODELO!$B$38,IF(M51=PARAMS_MODELO!$A$39,PARAMS_MODELO!$B$39,IF(M51=PARAMS_MODELO!$A$40,PARAMS_MODELO!$B$40)))))</f>
        <v>1</v>
      </c>
    </row>
    <row r="52" spans="1:14" x14ac:dyDescent="0.3">
      <c r="A52">
        <v>51024265</v>
      </c>
      <c r="B52">
        <v>31</v>
      </c>
      <c r="C52">
        <v>35</v>
      </c>
      <c r="D52">
        <f t="shared" si="0"/>
        <v>0.88571428571428568</v>
      </c>
      <c r="E52">
        <f>ROUND(MIN(5,MAX(0,D52))/5*PARAMS_MODELO!$B$32,2)</f>
        <v>7.09</v>
      </c>
      <c r="F52">
        <v>0</v>
      </c>
      <c r="G52">
        <f>MAX(0,PARAMS_MODELO!$B$33-VALUE(TRIM(F52))*3)</f>
        <v>30</v>
      </c>
      <c r="H52">
        <v>1</v>
      </c>
      <c r="I52">
        <f>ROUND(MIN(4,MAX(0,H52))/4*PARAMS_MODELO!$B$34,2)</f>
        <v>5</v>
      </c>
      <c r="J52">
        <v>1</v>
      </c>
      <c r="K52">
        <f>IF(J52=0,0,PARAMS_MODELO!$B$35)</f>
        <v>10</v>
      </c>
      <c r="L52">
        <f t="shared" si="1"/>
        <v>52.09</v>
      </c>
      <c r="M52" t="str">
        <f t="shared" si="2"/>
        <v>Regular</v>
      </c>
      <c r="N52">
        <f>IF(M52=PARAMS_MODELO!$A$36,PARAMS_MODELO!$B$36,IF(M52=PARAMS_MODELO!$A$37,PARAMS_MODELO!$B$37,IF(M52=PARAMS_MODELO!$A$38,PARAMS_MODELO!$B$38,IF(M52=PARAMS_MODELO!$A$39,PARAMS_MODELO!$B$39,IF(M52=PARAMS_MODELO!$A$40,PARAMS_MODELO!$B$40)))))</f>
        <v>1</v>
      </c>
    </row>
    <row r="53" spans="1:14" x14ac:dyDescent="0.3">
      <c r="A53">
        <v>51018494</v>
      </c>
      <c r="B53">
        <v>68</v>
      </c>
      <c r="C53">
        <v>29</v>
      </c>
      <c r="D53">
        <f t="shared" si="0"/>
        <v>2.3448275862068964</v>
      </c>
      <c r="E53">
        <f>ROUND(MIN(5,MAX(0,D53))/5*PARAMS_MODELO!$B$32,2)</f>
        <v>18.760000000000002</v>
      </c>
      <c r="F53">
        <v>1</v>
      </c>
      <c r="G53">
        <f>MAX(0,PARAMS_MODELO!$B$33-VALUE(TRIM(F53))*3)</f>
        <v>27</v>
      </c>
      <c r="H53">
        <v>4</v>
      </c>
      <c r="I53">
        <f>ROUND(MIN(4,MAX(0,H53))/4*PARAMS_MODELO!$B$34,2)</f>
        <v>20</v>
      </c>
      <c r="J53">
        <v>1</v>
      </c>
      <c r="K53">
        <f>IF(J53=0,0,PARAMS_MODELO!$B$35)</f>
        <v>10</v>
      </c>
      <c r="L53">
        <f t="shared" si="1"/>
        <v>75.760000000000005</v>
      </c>
      <c r="M53" t="str">
        <f t="shared" si="2"/>
        <v>Muy Bueno</v>
      </c>
      <c r="N53">
        <f>IF(M53=PARAMS_MODELO!$A$36,PARAMS_MODELO!$B$36,IF(M53=PARAMS_MODELO!$A$37,PARAMS_MODELO!$B$37,IF(M53=PARAMS_MODELO!$A$38,PARAMS_MODELO!$B$38,IF(M53=PARAMS_MODELO!$A$39,PARAMS_MODELO!$B$39,IF(M53=PARAMS_MODELO!$A$40,PARAMS_MODELO!$B$40)))))</f>
        <v>1.1499999999999999</v>
      </c>
    </row>
    <row r="54" spans="1:14" x14ac:dyDescent="0.3">
      <c r="A54">
        <v>51039882</v>
      </c>
      <c r="B54">
        <v>36</v>
      </c>
      <c r="C54">
        <v>44</v>
      </c>
      <c r="D54">
        <f t="shared" si="0"/>
        <v>0.81818181818181823</v>
      </c>
      <c r="E54">
        <f>ROUND(MIN(5,MAX(0,D54))/5*PARAMS_MODELO!$B$32,2)</f>
        <v>6.55</v>
      </c>
      <c r="F54">
        <v>2</v>
      </c>
      <c r="G54">
        <f>MAX(0,PARAMS_MODELO!$B$33-VALUE(TRIM(F54))*3)</f>
        <v>24</v>
      </c>
      <c r="H54">
        <v>3</v>
      </c>
      <c r="I54">
        <f>ROUND(MIN(4,MAX(0,H54))/4*PARAMS_MODELO!$B$34,2)</f>
        <v>15</v>
      </c>
      <c r="J54">
        <v>0</v>
      </c>
      <c r="K54">
        <f>IF(J54=0,0,PARAMS_MODELO!$B$35)</f>
        <v>0</v>
      </c>
      <c r="L54">
        <f t="shared" si="1"/>
        <v>45.55</v>
      </c>
      <c r="M54" t="str">
        <f t="shared" si="2"/>
        <v>Regular</v>
      </c>
      <c r="N54">
        <f>IF(M54=PARAMS_MODELO!$A$36,PARAMS_MODELO!$B$36,IF(M54=PARAMS_MODELO!$A$37,PARAMS_MODELO!$B$37,IF(M54=PARAMS_MODELO!$A$38,PARAMS_MODELO!$B$38,IF(M54=PARAMS_MODELO!$A$39,PARAMS_MODELO!$B$39,IF(M54=PARAMS_MODELO!$A$40,PARAMS_MODELO!$B$40)))))</f>
        <v>1</v>
      </c>
    </row>
    <row r="55" spans="1:14" x14ac:dyDescent="0.3">
      <c r="A55">
        <v>51024192</v>
      </c>
      <c r="B55">
        <v>68</v>
      </c>
      <c r="C55">
        <v>94</v>
      </c>
      <c r="D55">
        <f t="shared" si="0"/>
        <v>0.72340425531914898</v>
      </c>
      <c r="E55">
        <f>ROUND(MIN(5,MAX(0,D55))/5*PARAMS_MODELO!$B$32,2)</f>
        <v>5.79</v>
      </c>
      <c r="F55">
        <v>3</v>
      </c>
      <c r="G55">
        <f>MAX(0,PARAMS_MODELO!$B$33-VALUE(TRIM(F55))*3)</f>
        <v>21</v>
      </c>
      <c r="H55">
        <v>3</v>
      </c>
      <c r="I55">
        <f>ROUND(MIN(4,MAX(0,H55))/4*PARAMS_MODELO!$B$34,2)</f>
        <v>15</v>
      </c>
      <c r="J55">
        <v>1</v>
      </c>
      <c r="K55">
        <f>IF(J55=0,0,PARAMS_MODELO!$B$35)</f>
        <v>10</v>
      </c>
      <c r="L55">
        <f t="shared" si="1"/>
        <v>51.79</v>
      </c>
      <c r="M55" t="str">
        <f t="shared" si="2"/>
        <v>Regular</v>
      </c>
      <c r="N55">
        <f>IF(M55=PARAMS_MODELO!$A$36,PARAMS_MODELO!$B$36,IF(M55=PARAMS_MODELO!$A$37,PARAMS_MODELO!$B$37,IF(M55=PARAMS_MODELO!$A$38,PARAMS_MODELO!$B$38,IF(M55=PARAMS_MODELO!$A$39,PARAMS_MODELO!$B$39,IF(M55=PARAMS_MODELO!$A$40,PARAMS_MODELO!$B$40)))))</f>
        <v>1</v>
      </c>
    </row>
    <row r="56" spans="1:14" x14ac:dyDescent="0.3">
      <c r="A56">
        <v>51008332</v>
      </c>
      <c r="B56">
        <v>30</v>
      </c>
      <c r="C56">
        <v>58</v>
      </c>
      <c r="D56">
        <f t="shared" si="0"/>
        <v>0.51724137931034486</v>
      </c>
      <c r="E56">
        <f>ROUND(MIN(5,MAX(0,D56))/5*PARAMS_MODELO!$B$32,2)</f>
        <v>4.1399999999999997</v>
      </c>
      <c r="F56">
        <v>1</v>
      </c>
      <c r="G56">
        <f>MAX(0,PARAMS_MODELO!$B$33-VALUE(TRIM(F56))*3)</f>
        <v>27</v>
      </c>
      <c r="H56">
        <v>3</v>
      </c>
      <c r="I56">
        <f>ROUND(MIN(4,MAX(0,H56))/4*PARAMS_MODELO!$B$34,2)</f>
        <v>15</v>
      </c>
      <c r="J56">
        <v>0</v>
      </c>
      <c r="K56">
        <f>IF(J56=0,0,PARAMS_MODELO!$B$35)</f>
        <v>0</v>
      </c>
      <c r="L56">
        <f t="shared" si="1"/>
        <v>46.14</v>
      </c>
      <c r="M56" t="str">
        <f t="shared" si="2"/>
        <v>Regular</v>
      </c>
      <c r="N56">
        <f>IF(M56=PARAMS_MODELO!$A$36,PARAMS_MODELO!$B$36,IF(M56=PARAMS_MODELO!$A$37,PARAMS_MODELO!$B$37,IF(M56=PARAMS_MODELO!$A$38,PARAMS_MODELO!$B$38,IF(M56=PARAMS_MODELO!$A$39,PARAMS_MODELO!$B$39,IF(M56=PARAMS_MODELO!$A$40,PARAMS_MODELO!$B$40)))))</f>
        <v>1</v>
      </c>
    </row>
    <row r="57" spans="1:14" x14ac:dyDescent="0.3">
      <c r="A57">
        <v>51015258</v>
      </c>
      <c r="B57">
        <v>57</v>
      </c>
      <c r="C57">
        <v>15</v>
      </c>
      <c r="D57">
        <f t="shared" si="0"/>
        <v>3.8</v>
      </c>
      <c r="E57">
        <f>ROUND(MIN(5,MAX(0,D57))/5*PARAMS_MODELO!$B$32,2)</f>
        <v>30.4</v>
      </c>
      <c r="F57">
        <v>5</v>
      </c>
      <c r="G57">
        <f>MAX(0,PARAMS_MODELO!$B$33-VALUE(TRIM(F57))*3)</f>
        <v>15</v>
      </c>
      <c r="H57">
        <v>4</v>
      </c>
      <c r="I57">
        <f>ROUND(MIN(4,MAX(0,H57))/4*PARAMS_MODELO!$B$34,2)</f>
        <v>20</v>
      </c>
      <c r="J57">
        <v>1</v>
      </c>
      <c r="K57">
        <f>IF(J57=0,0,PARAMS_MODELO!$B$35)</f>
        <v>10</v>
      </c>
      <c r="L57">
        <f t="shared" si="1"/>
        <v>75.400000000000006</v>
      </c>
      <c r="M57" t="str">
        <f t="shared" si="2"/>
        <v>Muy Bueno</v>
      </c>
      <c r="N57">
        <f>IF(M57=PARAMS_MODELO!$A$36,PARAMS_MODELO!$B$36,IF(M57=PARAMS_MODELO!$A$37,PARAMS_MODELO!$B$37,IF(M57=PARAMS_MODELO!$A$38,PARAMS_MODELO!$B$38,IF(M57=PARAMS_MODELO!$A$39,PARAMS_MODELO!$B$39,IF(M57=PARAMS_MODELO!$A$40,PARAMS_MODELO!$B$40)))))</f>
        <v>1.1499999999999999</v>
      </c>
    </row>
    <row r="58" spans="1:14" x14ac:dyDescent="0.3">
      <c r="A58">
        <v>51033710</v>
      </c>
      <c r="B58">
        <v>22</v>
      </c>
      <c r="C58">
        <v>59</v>
      </c>
      <c r="D58">
        <f t="shared" si="0"/>
        <v>0.3728813559322034</v>
      </c>
      <c r="E58">
        <f>ROUND(MIN(5,MAX(0,D58))/5*PARAMS_MODELO!$B$32,2)</f>
        <v>2.98</v>
      </c>
      <c r="F58">
        <v>0</v>
      </c>
      <c r="G58">
        <f>MAX(0,PARAMS_MODELO!$B$33-VALUE(TRIM(F58))*3)</f>
        <v>30</v>
      </c>
      <c r="H58">
        <v>4</v>
      </c>
      <c r="I58">
        <f>ROUND(MIN(4,MAX(0,H58))/4*PARAMS_MODELO!$B$34,2)</f>
        <v>20</v>
      </c>
      <c r="J58">
        <v>1</v>
      </c>
      <c r="K58">
        <f>IF(J58=0,0,PARAMS_MODELO!$B$35)</f>
        <v>10</v>
      </c>
      <c r="L58">
        <f t="shared" si="1"/>
        <v>62.98</v>
      </c>
      <c r="M58" t="str">
        <f t="shared" si="2"/>
        <v>Bueno</v>
      </c>
      <c r="N58">
        <f>IF(M58=PARAMS_MODELO!$A$36,PARAMS_MODELO!$B$36,IF(M58=PARAMS_MODELO!$A$37,PARAMS_MODELO!$B$37,IF(M58=PARAMS_MODELO!$A$38,PARAMS_MODELO!$B$38,IF(M58=PARAMS_MODELO!$A$39,PARAMS_MODELO!$B$39,IF(M58=PARAMS_MODELO!$A$40,PARAMS_MODELO!$B$40)))))</f>
        <v>1.1000000000000001</v>
      </c>
    </row>
    <row r="59" spans="1:14" x14ac:dyDescent="0.3">
      <c r="A59">
        <v>51010329</v>
      </c>
      <c r="B59">
        <v>78</v>
      </c>
      <c r="C59">
        <v>19</v>
      </c>
      <c r="D59">
        <f t="shared" si="0"/>
        <v>4.1052631578947372</v>
      </c>
      <c r="E59">
        <f>ROUND(MIN(5,MAX(0,D59))/5*PARAMS_MODELO!$B$32,2)</f>
        <v>32.840000000000003</v>
      </c>
      <c r="F59">
        <v>4</v>
      </c>
      <c r="G59">
        <f>MAX(0,PARAMS_MODELO!$B$33-VALUE(TRIM(F59))*3)</f>
        <v>18</v>
      </c>
      <c r="H59">
        <v>0</v>
      </c>
      <c r="I59">
        <f>ROUND(MIN(4,MAX(0,H59))/4*PARAMS_MODELO!$B$34,2)</f>
        <v>0</v>
      </c>
      <c r="J59">
        <v>0</v>
      </c>
      <c r="K59">
        <f>IF(J59=0,0,PARAMS_MODELO!$B$35)</f>
        <v>0</v>
      </c>
      <c r="L59">
        <f t="shared" si="1"/>
        <v>50.84</v>
      </c>
      <c r="M59" t="str">
        <f t="shared" si="2"/>
        <v>Regular</v>
      </c>
      <c r="N59">
        <f>IF(M59=PARAMS_MODELO!$A$36,PARAMS_MODELO!$B$36,IF(M59=PARAMS_MODELO!$A$37,PARAMS_MODELO!$B$37,IF(M59=PARAMS_MODELO!$A$38,PARAMS_MODELO!$B$38,IF(M59=PARAMS_MODELO!$A$39,PARAMS_MODELO!$B$39,IF(M59=PARAMS_MODELO!$A$40,PARAMS_MODELO!$B$40)))))</f>
        <v>1</v>
      </c>
    </row>
    <row r="60" spans="1:14" x14ac:dyDescent="0.3">
      <c r="A60">
        <v>51011252</v>
      </c>
      <c r="B60">
        <v>17</v>
      </c>
      <c r="C60">
        <v>85</v>
      </c>
      <c r="D60">
        <f t="shared" si="0"/>
        <v>0.2</v>
      </c>
      <c r="E60">
        <f>ROUND(MIN(5,MAX(0,D60))/5*PARAMS_MODELO!$B$32,2)</f>
        <v>1.6</v>
      </c>
      <c r="F60">
        <v>3</v>
      </c>
      <c r="G60">
        <f>MAX(0,PARAMS_MODELO!$B$33-VALUE(TRIM(F60))*3)</f>
        <v>21</v>
      </c>
      <c r="H60">
        <v>3</v>
      </c>
      <c r="I60">
        <f>ROUND(MIN(4,MAX(0,H60))/4*PARAMS_MODELO!$B$34,2)</f>
        <v>15</v>
      </c>
      <c r="J60">
        <v>0</v>
      </c>
      <c r="K60">
        <f>IF(J60=0,0,PARAMS_MODELO!$B$35)</f>
        <v>0</v>
      </c>
      <c r="L60">
        <f t="shared" si="1"/>
        <v>37.6</v>
      </c>
      <c r="M60" t="str">
        <f t="shared" si="2"/>
        <v>Malo</v>
      </c>
      <c r="N60">
        <f>IF(M60=PARAMS_MODELO!$A$36,PARAMS_MODELO!$B$36,IF(M60=PARAMS_MODELO!$A$37,PARAMS_MODELO!$B$37,IF(M60=PARAMS_MODELO!$A$38,PARAMS_MODELO!$B$38,IF(M60=PARAMS_MODELO!$A$39,PARAMS_MODELO!$B$39,IF(M60=PARAMS_MODELO!$A$40,PARAMS_MODELO!$B$40)))))</f>
        <v>0.7</v>
      </c>
    </row>
    <row r="61" spans="1:14" x14ac:dyDescent="0.3">
      <c r="A61">
        <v>51018648</v>
      </c>
      <c r="B61">
        <v>72</v>
      </c>
      <c r="C61">
        <v>52</v>
      </c>
      <c r="D61">
        <f t="shared" si="0"/>
        <v>1.3846153846153846</v>
      </c>
      <c r="E61">
        <f>ROUND(MIN(5,MAX(0,D61))/5*PARAMS_MODELO!$B$32,2)</f>
        <v>11.08</v>
      </c>
      <c r="F61">
        <v>3</v>
      </c>
      <c r="G61">
        <f>MAX(0,PARAMS_MODELO!$B$33-VALUE(TRIM(F61))*3)</f>
        <v>21</v>
      </c>
      <c r="H61">
        <v>3</v>
      </c>
      <c r="I61">
        <f>ROUND(MIN(4,MAX(0,H61))/4*PARAMS_MODELO!$B$34,2)</f>
        <v>15</v>
      </c>
      <c r="J61">
        <v>0</v>
      </c>
      <c r="K61">
        <f>IF(J61=0,0,PARAMS_MODELO!$B$35)</f>
        <v>0</v>
      </c>
      <c r="L61">
        <f t="shared" si="1"/>
        <v>47.08</v>
      </c>
      <c r="M61" t="str">
        <f t="shared" si="2"/>
        <v>Regular</v>
      </c>
      <c r="N61">
        <f>IF(M61=PARAMS_MODELO!$A$36,PARAMS_MODELO!$B$36,IF(M61=PARAMS_MODELO!$A$37,PARAMS_MODELO!$B$37,IF(M61=PARAMS_MODELO!$A$38,PARAMS_MODELO!$B$38,IF(M61=PARAMS_MODELO!$A$39,PARAMS_MODELO!$B$39,IF(M61=PARAMS_MODELO!$A$40,PARAMS_MODELO!$B$40)))))</f>
        <v>1</v>
      </c>
    </row>
    <row r="62" spans="1:14" x14ac:dyDescent="0.3">
      <c r="A62">
        <v>51024524</v>
      </c>
      <c r="B62">
        <v>39</v>
      </c>
      <c r="C62">
        <v>41</v>
      </c>
      <c r="D62">
        <f t="shared" si="0"/>
        <v>0.95121951219512191</v>
      </c>
      <c r="E62">
        <f>ROUND(MIN(5,MAX(0,D62))/5*PARAMS_MODELO!$B$32,2)</f>
        <v>7.61</v>
      </c>
      <c r="F62">
        <v>1</v>
      </c>
      <c r="G62">
        <f>MAX(0,PARAMS_MODELO!$B$33-VALUE(TRIM(F62))*3)</f>
        <v>27</v>
      </c>
      <c r="H62">
        <v>0</v>
      </c>
      <c r="I62">
        <f>ROUND(MIN(4,MAX(0,H62))/4*PARAMS_MODELO!$B$34,2)</f>
        <v>0</v>
      </c>
      <c r="J62">
        <v>1</v>
      </c>
      <c r="K62">
        <f>IF(J62=0,0,PARAMS_MODELO!$B$35)</f>
        <v>10</v>
      </c>
      <c r="L62">
        <f t="shared" si="1"/>
        <v>44.61</v>
      </c>
      <c r="M62" t="str">
        <f t="shared" si="2"/>
        <v>Regular</v>
      </c>
      <c r="N62">
        <f>IF(M62=PARAMS_MODELO!$A$36,PARAMS_MODELO!$B$36,IF(M62=PARAMS_MODELO!$A$37,PARAMS_MODELO!$B$37,IF(M62=PARAMS_MODELO!$A$38,PARAMS_MODELO!$B$38,IF(M62=PARAMS_MODELO!$A$39,PARAMS_MODELO!$B$39,IF(M62=PARAMS_MODELO!$A$40,PARAMS_MODELO!$B$40)))))</f>
        <v>1</v>
      </c>
    </row>
    <row r="63" spans="1:14" x14ac:dyDescent="0.3">
      <c r="A63">
        <v>51055772</v>
      </c>
      <c r="B63">
        <v>62</v>
      </c>
      <c r="C63">
        <v>0</v>
      </c>
      <c r="D63">
        <f t="shared" si="0"/>
        <v>0</v>
      </c>
      <c r="E63">
        <f>ROUND(MIN(5,MAX(0,D63))/5*PARAMS_MODELO!$B$32,2)</f>
        <v>0</v>
      </c>
      <c r="F63">
        <v>2</v>
      </c>
      <c r="G63">
        <f>MAX(0,PARAMS_MODELO!$B$33-VALUE(TRIM(F63))*3)</f>
        <v>24</v>
      </c>
      <c r="H63">
        <v>2</v>
      </c>
      <c r="I63">
        <f>ROUND(MIN(4,MAX(0,H63))/4*PARAMS_MODELO!$B$34,2)</f>
        <v>10</v>
      </c>
      <c r="J63">
        <v>0</v>
      </c>
      <c r="K63">
        <f>IF(J63=0,0,PARAMS_MODELO!$B$35)</f>
        <v>0</v>
      </c>
      <c r="L63">
        <f t="shared" si="1"/>
        <v>34</v>
      </c>
      <c r="M63" t="str">
        <f t="shared" si="2"/>
        <v>Malo</v>
      </c>
      <c r="N63">
        <f>IF(M63=PARAMS_MODELO!$A$36,PARAMS_MODELO!$B$36,IF(M63=PARAMS_MODELO!$A$37,PARAMS_MODELO!$B$37,IF(M63=PARAMS_MODELO!$A$38,PARAMS_MODELO!$B$38,IF(M63=PARAMS_MODELO!$A$39,PARAMS_MODELO!$B$39,IF(M63=PARAMS_MODELO!$A$40,PARAMS_MODELO!$B$40)))))</f>
        <v>0.7</v>
      </c>
    </row>
    <row r="64" spans="1:14" x14ac:dyDescent="0.3">
      <c r="A64">
        <v>51031083</v>
      </c>
      <c r="B64">
        <v>17</v>
      </c>
      <c r="C64">
        <v>63</v>
      </c>
      <c r="D64">
        <f t="shared" si="0"/>
        <v>0.26984126984126983</v>
      </c>
      <c r="E64">
        <f>ROUND(MIN(5,MAX(0,D64))/5*PARAMS_MODELO!$B$32,2)</f>
        <v>2.16</v>
      </c>
      <c r="F64">
        <v>2</v>
      </c>
      <c r="G64">
        <f>MAX(0,PARAMS_MODELO!$B$33-VALUE(TRIM(F64))*3)</f>
        <v>24</v>
      </c>
      <c r="H64">
        <v>2</v>
      </c>
      <c r="I64">
        <f>ROUND(MIN(4,MAX(0,H64))/4*PARAMS_MODELO!$B$34,2)</f>
        <v>10</v>
      </c>
      <c r="J64">
        <v>1</v>
      </c>
      <c r="K64">
        <f>IF(J64=0,0,PARAMS_MODELO!$B$35)</f>
        <v>10</v>
      </c>
      <c r="L64">
        <f t="shared" si="1"/>
        <v>46.16</v>
      </c>
      <c r="M64" t="str">
        <f t="shared" si="2"/>
        <v>Regular</v>
      </c>
      <c r="N64">
        <f>IF(M64=PARAMS_MODELO!$A$36,PARAMS_MODELO!$B$36,IF(M64=PARAMS_MODELO!$A$37,PARAMS_MODELO!$B$37,IF(M64=PARAMS_MODELO!$A$38,PARAMS_MODELO!$B$38,IF(M64=PARAMS_MODELO!$A$39,PARAMS_MODELO!$B$39,IF(M64=PARAMS_MODELO!$A$40,PARAMS_MODELO!$B$40)))))</f>
        <v>1</v>
      </c>
    </row>
    <row r="65" spans="1:14" x14ac:dyDescent="0.3">
      <c r="A65">
        <v>51056647</v>
      </c>
      <c r="B65">
        <v>94</v>
      </c>
      <c r="C65">
        <v>41</v>
      </c>
      <c r="D65">
        <f t="shared" si="0"/>
        <v>2.2926829268292681</v>
      </c>
      <c r="E65">
        <f>ROUND(MIN(5,MAX(0,D65))/5*PARAMS_MODELO!$B$32,2)</f>
        <v>18.34</v>
      </c>
      <c r="F65">
        <v>3</v>
      </c>
      <c r="G65">
        <f>MAX(0,PARAMS_MODELO!$B$33-VALUE(TRIM(F65))*3)</f>
        <v>21</v>
      </c>
      <c r="H65">
        <v>1</v>
      </c>
      <c r="I65">
        <f>ROUND(MIN(4,MAX(0,H65))/4*PARAMS_MODELO!$B$34,2)</f>
        <v>5</v>
      </c>
      <c r="J65">
        <v>1</v>
      </c>
      <c r="K65">
        <f>IF(J65=0,0,PARAMS_MODELO!$B$35)</f>
        <v>10</v>
      </c>
      <c r="L65">
        <f t="shared" si="1"/>
        <v>54.34</v>
      </c>
      <c r="M65" t="str">
        <f t="shared" si="2"/>
        <v>Regular</v>
      </c>
      <c r="N65">
        <f>IF(M65=PARAMS_MODELO!$A$36,PARAMS_MODELO!$B$36,IF(M65=PARAMS_MODELO!$A$37,PARAMS_MODELO!$B$37,IF(M65=PARAMS_MODELO!$A$38,PARAMS_MODELO!$B$38,IF(M65=PARAMS_MODELO!$A$39,PARAMS_MODELO!$B$39,IF(M65=PARAMS_MODELO!$A$40,PARAMS_MODELO!$B$40)))))</f>
        <v>1</v>
      </c>
    </row>
    <row r="66" spans="1:14" x14ac:dyDescent="0.3">
      <c r="A66">
        <v>51024214</v>
      </c>
      <c r="B66">
        <v>16</v>
      </c>
      <c r="C66">
        <v>56</v>
      </c>
      <c r="D66">
        <f t="shared" ref="D66:D129" si="3">IF(C66=0,0,MIN(5,B66/C66))</f>
        <v>0.2857142857142857</v>
      </c>
      <c r="E66">
        <f>ROUND(MIN(5,MAX(0,D66))/5*PARAMS_MODELO!$B$32,2)</f>
        <v>2.29</v>
      </c>
      <c r="F66">
        <v>1</v>
      </c>
      <c r="G66">
        <f>MAX(0,PARAMS_MODELO!$B$33-VALUE(TRIM(F66))*3)</f>
        <v>27</v>
      </c>
      <c r="H66">
        <v>4</v>
      </c>
      <c r="I66">
        <f>ROUND(MIN(4,MAX(0,H66))/4*PARAMS_MODELO!$B$34,2)</f>
        <v>20</v>
      </c>
      <c r="J66">
        <v>1</v>
      </c>
      <c r="K66">
        <f>IF(J66=0,0,PARAMS_MODELO!$B$35)</f>
        <v>10</v>
      </c>
      <c r="L66">
        <f t="shared" ref="L66:L129" si="4">MIN(100,MAX(0,E66+G66+I66+K66))</f>
        <v>59.29</v>
      </c>
      <c r="M66" t="str">
        <f t="shared" ref="M66:M129" si="5">IF(L66="","",IF(L66&gt;=90,"Excelente",IF(L66&gt;=75,"Muy Bueno",IF(L66&gt;=60,"Bueno",IF(L66&gt;=40,"Regular","Malo")))))</f>
        <v>Regular</v>
      </c>
      <c r="N66">
        <f>IF(M66=PARAMS_MODELO!$A$36,PARAMS_MODELO!$B$36,IF(M66=PARAMS_MODELO!$A$37,PARAMS_MODELO!$B$37,IF(M66=PARAMS_MODELO!$A$38,PARAMS_MODELO!$B$38,IF(M66=PARAMS_MODELO!$A$39,PARAMS_MODELO!$B$39,IF(M66=PARAMS_MODELO!$A$40,PARAMS_MODELO!$B$40)))))</f>
        <v>1</v>
      </c>
    </row>
    <row r="67" spans="1:14" x14ac:dyDescent="0.3">
      <c r="A67">
        <v>51013425</v>
      </c>
      <c r="B67">
        <v>56</v>
      </c>
      <c r="C67">
        <v>30</v>
      </c>
      <c r="D67">
        <f t="shared" si="3"/>
        <v>1.8666666666666667</v>
      </c>
      <c r="E67">
        <f>ROUND(MIN(5,MAX(0,D67))/5*PARAMS_MODELO!$B$32,2)</f>
        <v>14.93</v>
      </c>
      <c r="F67">
        <v>1</v>
      </c>
      <c r="G67">
        <f>MAX(0,PARAMS_MODELO!$B$33-VALUE(TRIM(F67))*3)</f>
        <v>27</v>
      </c>
      <c r="H67">
        <v>3</v>
      </c>
      <c r="I67">
        <f>ROUND(MIN(4,MAX(0,H67))/4*PARAMS_MODELO!$B$34,2)</f>
        <v>15</v>
      </c>
      <c r="J67">
        <v>1</v>
      </c>
      <c r="K67">
        <f>IF(J67=0,0,PARAMS_MODELO!$B$35)</f>
        <v>10</v>
      </c>
      <c r="L67">
        <f t="shared" si="4"/>
        <v>66.930000000000007</v>
      </c>
      <c r="M67" t="str">
        <f t="shared" si="5"/>
        <v>Bueno</v>
      </c>
      <c r="N67">
        <f>IF(M67=PARAMS_MODELO!$A$36,PARAMS_MODELO!$B$36,IF(M67=PARAMS_MODELO!$A$37,PARAMS_MODELO!$B$37,IF(M67=PARAMS_MODELO!$A$38,PARAMS_MODELO!$B$38,IF(M67=PARAMS_MODELO!$A$39,PARAMS_MODELO!$B$39,IF(M67=PARAMS_MODELO!$A$40,PARAMS_MODELO!$B$40)))))</f>
        <v>1.1000000000000001</v>
      </c>
    </row>
    <row r="68" spans="1:14" x14ac:dyDescent="0.3">
      <c r="A68">
        <v>51025334</v>
      </c>
      <c r="B68">
        <v>24</v>
      </c>
      <c r="C68">
        <v>34</v>
      </c>
      <c r="D68">
        <f t="shared" si="3"/>
        <v>0.70588235294117652</v>
      </c>
      <c r="E68">
        <f>ROUND(MIN(5,MAX(0,D68))/5*PARAMS_MODELO!$B$32,2)</f>
        <v>5.65</v>
      </c>
      <c r="F68">
        <v>3</v>
      </c>
      <c r="G68">
        <f>MAX(0,PARAMS_MODELO!$B$33-VALUE(TRIM(F68))*3)</f>
        <v>21</v>
      </c>
      <c r="H68">
        <v>2</v>
      </c>
      <c r="I68">
        <f>ROUND(MIN(4,MAX(0,H68))/4*PARAMS_MODELO!$B$34,2)</f>
        <v>10</v>
      </c>
      <c r="J68">
        <v>1</v>
      </c>
      <c r="K68">
        <f>IF(J68=0,0,PARAMS_MODELO!$B$35)</f>
        <v>10</v>
      </c>
      <c r="L68">
        <f t="shared" si="4"/>
        <v>46.65</v>
      </c>
      <c r="M68" t="str">
        <f t="shared" si="5"/>
        <v>Regular</v>
      </c>
      <c r="N68">
        <f>IF(M68=PARAMS_MODELO!$A$36,PARAMS_MODELO!$B$36,IF(M68=PARAMS_MODELO!$A$37,PARAMS_MODELO!$B$37,IF(M68=PARAMS_MODELO!$A$38,PARAMS_MODELO!$B$38,IF(M68=PARAMS_MODELO!$A$39,PARAMS_MODELO!$B$39,IF(M68=PARAMS_MODELO!$A$40,PARAMS_MODELO!$B$40)))))</f>
        <v>1</v>
      </c>
    </row>
    <row r="69" spans="1:14" x14ac:dyDescent="0.3">
      <c r="A69">
        <v>51056132</v>
      </c>
      <c r="B69">
        <v>13</v>
      </c>
      <c r="C69">
        <v>40</v>
      </c>
      <c r="D69">
        <f t="shared" si="3"/>
        <v>0.32500000000000001</v>
      </c>
      <c r="E69">
        <f>ROUND(MIN(5,MAX(0,D69))/5*PARAMS_MODELO!$B$32,2)</f>
        <v>2.6</v>
      </c>
      <c r="F69">
        <v>1</v>
      </c>
      <c r="G69">
        <f>MAX(0,PARAMS_MODELO!$B$33-VALUE(TRIM(F69))*3)</f>
        <v>27</v>
      </c>
      <c r="H69">
        <v>0</v>
      </c>
      <c r="I69">
        <f>ROUND(MIN(4,MAX(0,H69))/4*PARAMS_MODELO!$B$34,2)</f>
        <v>0</v>
      </c>
      <c r="J69">
        <v>0</v>
      </c>
      <c r="K69">
        <f>IF(J69=0,0,PARAMS_MODELO!$B$35)</f>
        <v>0</v>
      </c>
      <c r="L69">
        <f t="shared" si="4"/>
        <v>29.6</v>
      </c>
      <c r="M69" t="str">
        <f t="shared" si="5"/>
        <v>Malo</v>
      </c>
      <c r="N69">
        <f>IF(M69=PARAMS_MODELO!$A$36,PARAMS_MODELO!$B$36,IF(M69=PARAMS_MODELO!$A$37,PARAMS_MODELO!$B$37,IF(M69=PARAMS_MODELO!$A$38,PARAMS_MODELO!$B$38,IF(M69=PARAMS_MODELO!$A$39,PARAMS_MODELO!$B$39,IF(M69=PARAMS_MODELO!$A$40,PARAMS_MODELO!$B$40)))))</f>
        <v>0.7</v>
      </c>
    </row>
    <row r="70" spans="1:14" x14ac:dyDescent="0.3">
      <c r="A70">
        <v>51004531</v>
      </c>
      <c r="B70">
        <v>94</v>
      </c>
      <c r="C70">
        <v>28</v>
      </c>
      <c r="D70">
        <f t="shared" si="3"/>
        <v>3.3571428571428572</v>
      </c>
      <c r="E70">
        <f>ROUND(MIN(5,MAX(0,D70))/5*PARAMS_MODELO!$B$32,2)</f>
        <v>26.86</v>
      </c>
      <c r="F70">
        <v>3</v>
      </c>
      <c r="G70">
        <f>MAX(0,PARAMS_MODELO!$B$33-VALUE(TRIM(F70))*3)</f>
        <v>21</v>
      </c>
      <c r="H70">
        <v>3</v>
      </c>
      <c r="I70">
        <f>ROUND(MIN(4,MAX(0,H70))/4*PARAMS_MODELO!$B$34,2)</f>
        <v>15</v>
      </c>
      <c r="J70">
        <v>1</v>
      </c>
      <c r="K70">
        <f>IF(J70=0,0,PARAMS_MODELO!$B$35)</f>
        <v>10</v>
      </c>
      <c r="L70">
        <f t="shared" si="4"/>
        <v>72.86</v>
      </c>
      <c r="M70" t="str">
        <f t="shared" si="5"/>
        <v>Bueno</v>
      </c>
      <c r="N70">
        <f>IF(M70=PARAMS_MODELO!$A$36,PARAMS_MODELO!$B$36,IF(M70=PARAMS_MODELO!$A$37,PARAMS_MODELO!$B$37,IF(M70=PARAMS_MODELO!$A$38,PARAMS_MODELO!$B$38,IF(M70=PARAMS_MODELO!$A$39,PARAMS_MODELO!$B$39,IF(M70=PARAMS_MODELO!$A$40,PARAMS_MODELO!$B$40)))))</f>
        <v>1.1000000000000001</v>
      </c>
    </row>
    <row r="71" spans="1:14" x14ac:dyDescent="0.3">
      <c r="A71">
        <v>51039033</v>
      </c>
      <c r="B71">
        <v>29</v>
      </c>
      <c r="C71">
        <v>60</v>
      </c>
      <c r="D71">
        <f t="shared" si="3"/>
        <v>0.48333333333333334</v>
      </c>
      <c r="E71">
        <f>ROUND(MIN(5,MAX(0,D71))/5*PARAMS_MODELO!$B$32,2)</f>
        <v>3.87</v>
      </c>
      <c r="F71">
        <v>0</v>
      </c>
      <c r="G71">
        <f>MAX(0,PARAMS_MODELO!$B$33-VALUE(TRIM(F71))*3)</f>
        <v>30</v>
      </c>
      <c r="H71">
        <v>1</v>
      </c>
      <c r="I71">
        <f>ROUND(MIN(4,MAX(0,H71))/4*PARAMS_MODELO!$B$34,2)</f>
        <v>5</v>
      </c>
      <c r="J71">
        <v>1</v>
      </c>
      <c r="K71">
        <f>IF(J71=0,0,PARAMS_MODELO!$B$35)</f>
        <v>10</v>
      </c>
      <c r="L71">
        <f t="shared" si="4"/>
        <v>48.87</v>
      </c>
      <c r="M71" t="str">
        <f t="shared" si="5"/>
        <v>Regular</v>
      </c>
      <c r="N71">
        <f>IF(M71=PARAMS_MODELO!$A$36,PARAMS_MODELO!$B$36,IF(M71=PARAMS_MODELO!$A$37,PARAMS_MODELO!$B$37,IF(M71=PARAMS_MODELO!$A$38,PARAMS_MODELO!$B$38,IF(M71=PARAMS_MODELO!$A$39,PARAMS_MODELO!$B$39,IF(M71=PARAMS_MODELO!$A$40,PARAMS_MODELO!$B$40)))))</f>
        <v>1</v>
      </c>
    </row>
    <row r="72" spans="1:14" x14ac:dyDescent="0.3">
      <c r="A72">
        <v>51024117</v>
      </c>
      <c r="B72">
        <v>56</v>
      </c>
      <c r="C72">
        <v>53</v>
      </c>
      <c r="D72">
        <f t="shared" si="3"/>
        <v>1.0566037735849056</v>
      </c>
      <c r="E72">
        <f>ROUND(MIN(5,MAX(0,D72))/5*PARAMS_MODELO!$B$32,2)</f>
        <v>8.4499999999999993</v>
      </c>
      <c r="F72">
        <v>2</v>
      </c>
      <c r="G72">
        <f>MAX(0,PARAMS_MODELO!$B$33-VALUE(TRIM(F72))*3)</f>
        <v>24</v>
      </c>
      <c r="H72">
        <v>4</v>
      </c>
      <c r="I72">
        <f>ROUND(MIN(4,MAX(0,H72))/4*PARAMS_MODELO!$B$34,2)</f>
        <v>20</v>
      </c>
      <c r="J72">
        <v>1</v>
      </c>
      <c r="K72">
        <f>IF(J72=0,0,PARAMS_MODELO!$B$35)</f>
        <v>10</v>
      </c>
      <c r="L72">
        <f t="shared" si="4"/>
        <v>62.45</v>
      </c>
      <c r="M72" t="str">
        <f t="shared" si="5"/>
        <v>Bueno</v>
      </c>
      <c r="N72">
        <f>IF(M72=PARAMS_MODELO!$A$36,PARAMS_MODELO!$B$36,IF(M72=PARAMS_MODELO!$A$37,PARAMS_MODELO!$B$37,IF(M72=PARAMS_MODELO!$A$38,PARAMS_MODELO!$B$38,IF(M72=PARAMS_MODELO!$A$39,PARAMS_MODELO!$B$39,IF(M72=PARAMS_MODELO!$A$40,PARAMS_MODELO!$B$40)))))</f>
        <v>1.1000000000000001</v>
      </c>
    </row>
    <row r="73" spans="1:14" x14ac:dyDescent="0.3">
      <c r="A73">
        <v>51031768</v>
      </c>
      <c r="B73">
        <v>12</v>
      </c>
      <c r="C73">
        <v>45</v>
      </c>
      <c r="D73">
        <f t="shared" si="3"/>
        <v>0.26666666666666666</v>
      </c>
      <c r="E73">
        <f>ROUND(MIN(5,MAX(0,D73))/5*PARAMS_MODELO!$B$32,2)</f>
        <v>2.13</v>
      </c>
      <c r="F73">
        <v>5</v>
      </c>
      <c r="G73">
        <f>MAX(0,PARAMS_MODELO!$B$33-VALUE(TRIM(F73))*3)</f>
        <v>15</v>
      </c>
      <c r="H73">
        <v>2</v>
      </c>
      <c r="I73">
        <f>ROUND(MIN(4,MAX(0,H73))/4*PARAMS_MODELO!$B$34,2)</f>
        <v>10</v>
      </c>
      <c r="J73">
        <v>1</v>
      </c>
      <c r="K73">
        <f>IF(J73=0,0,PARAMS_MODELO!$B$35)</f>
        <v>10</v>
      </c>
      <c r="L73">
        <f t="shared" si="4"/>
        <v>37.129999999999995</v>
      </c>
      <c r="M73" t="str">
        <f t="shared" si="5"/>
        <v>Malo</v>
      </c>
      <c r="N73">
        <f>IF(M73=PARAMS_MODELO!$A$36,PARAMS_MODELO!$B$36,IF(M73=PARAMS_MODELO!$A$37,PARAMS_MODELO!$B$37,IF(M73=PARAMS_MODELO!$A$38,PARAMS_MODELO!$B$38,IF(M73=PARAMS_MODELO!$A$39,PARAMS_MODELO!$B$39,IF(M73=PARAMS_MODELO!$A$40,PARAMS_MODELO!$B$40)))))</f>
        <v>0.7</v>
      </c>
    </row>
    <row r="74" spans="1:14" x14ac:dyDescent="0.3">
      <c r="A74">
        <v>51022637</v>
      </c>
      <c r="B74">
        <v>41</v>
      </c>
      <c r="C74">
        <v>74</v>
      </c>
      <c r="D74">
        <f t="shared" si="3"/>
        <v>0.55405405405405406</v>
      </c>
      <c r="E74">
        <f>ROUND(MIN(5,MAX(0,D74))/5*PARAMS_MODELO!$B$32,2)</f>
        <v>4.43</v>
      </c>
      <c r="F74">
        <v>1</v>
      </c>
      <c r="G74">
        <f>MAX(0,PARAMS_MODELO!$B$33-VALUE(TRIM(F74))*3)</f>
        <v>27</v>
      </c>
      <c r="H74">
        <v>4</v>
      </c>
      <c r="I74">
        <f>ROUND(MIN(4,MAX(0,H74))/4*PARAMS_MODELO!$B$34,2)</f>
        <v>20</v>
      </c>
      <c r="J74">
        <v>0</v>
      </c>
      <c r="K74">
        <f>IF(J74=0,0,PARAMS_MODELO!$B$35)</f>
        <v>0</v>
      </c>
      <c r="L74">
        <f t="shared" si="4"/>
        <v>51.43</v>
      </c>
      <c r="M74" t="str">
        <f t="shared" si="5"/>
        <v>Regular</v>
      </c>
      <c r="N74">
        <f>IF(M74=PARAMS_MODELO!$A$36,PARAMS_MODELO!$B$36,IF(M74=PARAMS_MODELO!$A$37,PARAMS_MODELO!$B$37,IF(M74=PARAMS_MODELO!$A$38,PARAMS_MODELO!$B$38,IF(M74=PARAMS_MODELO!$A$39,PARAMS_MODELO!$B$39,IF(M74=PARAMS_MODELO!$A$40,PARAMS_MODELO!$B$40)))))</f>
        <v>1</v>
      </c>
    </row>
    <row r="75" spans="1:14" x14ac:dyDescent="0.3">
      <c r="A75">
        <v>51010124</v>
      </c>
      <c r="B75">
        <v>90</v>
      </c>
      <c r="C75">
        <v>4</v>
      </c>
      <c r="D75">
        <f t="shared" si="3"/>
        <v>5</v>
      </c>
      <c r="E75">
        <f>ROUND(MIN(5,MAX(0,D75))/5*PARAMS_MODELO!$B$32,2)</f>
        <v>40</v>
      </c>
      <c r="F75">
        <v>4</v>
      </c>
      <c r="G75">
        <f>MAX(0,PARAMS_MODELO!$B$33-VALUE(TRIM(F75))*3)</f>
        <v>18</v>
      </c>
      <c r="H75">
        <v>4</v>
      </c>
      <c r="I75">
        <f>ROUND(MIN(4,MAX(0,H75))/4*PARAMS_MODELO!$B$34,2)</f>
        <v>20</v>
      </c>
      <c r="J75">
        <v>0</v>
      </c>
      <c r="K75">
        <f>IF(J75=0,0,PARAMS_MODELO!$B$35)</f>
        <v>0</v>
      </c>
      <c r="L75">
        <f t="shared" si="4"/>
        <v>78</v>
      </c>
      <c r="M75" t="str">
        <f t="shared" si="5"/>
        <v>Muy Bueno</v>
      </c>
      <c r="N75">
        <f>IF(M75=PARAMS_MODELO!$A$36,PARAMS_MODELO!$B$36,IF(M75=PARAMS_MODELO!$A$37,PARAMS_MODELO!$B$37,IF(M75=PARAMS_MODELO!$A$38,PARAMS_MODELO!$B$38,IF(M75=PARAMS_MODELO!$A$39,PARAMS_MODELO!$B$39,IF(M75=PARAMS_MODELO!$A$40,PARAMS_MODELO!$B$40)))))</f>
        <v>1.1499999999999999</v>
      </c>
    </row>
    <row r="76" spans="1:14" x14ac:dyDescent="0.3">
      <c r="A76">
        <v>51012020</v>
      </c>
      <c r="B76">
        <v>94</v>
      </c>
      <c r="C76">
        <v>71</v>
      </c>
      <c r="D76">
        <f t="shared" si="3"/>
        <v>1.323943661971831</v>
      </c>
      <c r="E76">
        <f>ROUND(MIN(5,MAX(0,D76))/5*PARAMS_MODELO!$B$32,2)</f>
        <v>10.59</v>
      </c>
      <c r="F76">
        <v>4</v>
      </c>
      <c r="G76">
        <f>MAX(0,PARAMS_MODELO!$B$33-VALUE(TRIM(F76))*3)</f>
        <v>18</v>
      </c>
      <c r="H76">
        <v>2</v>
      </c>
      <c r="I76">
        <f>ROUND(MIN(4,MAX(0,H76))/4*PARAMS_MODELO!$B$34,2)</f>
        <v>10</v>
      </c>
      <c r="J76">
        <v>1</v>
      </c>
      <c r="K76">
        <f>IF(J76=0,0,PARAMS_MODELO!$B$35)</f>
        <v>10</v>
      </c>
      <c r="L76">
        <f t="shared" si="4"/>
        <v>48.59</v>
      </c>
      <c r="M76" t="str">
        <f t="shared" si="5"/>
        <v>Regular</v>
      </c>
      <c r="N76">
        <f>IF(M76=PARAMS_MODELO!$A$36,PARAMS_MODELO!$B$36,IF(M76=PARAMS_MODELO!$A$37,PARAMS_MODELO!$B$37,IF(M76=PARAMS_MODELO!$A$38,PARAMS_MODELO!$B$38,IF(M76=PARAMS_MODELO!$A$39,PARAMS_MODELO!$B$39,IF(M76=PARAMS_MODELO!$A$40,PARAMS_MODELO!$B$40)))))</f>
        <v>1</v>
      </c>
    </row>
    <row r="77" spans="1:14" x14ac:dyDescent="0.3">
      <c r="A77">
        <v>51029968</v>
      </c>
      <c r="B77">
        <v>96</v>
      </c>
      <c r="C77">
        <v>0</v>
      </c>
      <c r="D77">
        <f t="shared" si="3"/>
        <v>0</v>
      </c>
      <c r="E77">
        <f>ROUND(MIN(5,MAX(0,D77))/5*PARAMS_MODELO!$B$32,2)</f>
        <v>0</v>
      </c>
      <c r="F77">
        <v>3</v>
      </c>
      <c r="G77">
        <f>MAX(0,PARAMS_MODELO!$B$33-VALUE(TRIM(F77))*3)</f>
        <v>21</v>
      </c>
      <c r="H77">
        <v>4</v>
      </c>
      <c r="I77">
        <f>ROUND(MIN(4,MAX(0,H77))/4*PARAMS_MODELO!$B$34,2)</f>
        <v>20</v>
      </c>
      <c r="J77">
        <v>0</v>
      </c>
      <c r="K77">
        <f>IF(J77=0,0,PARAMS_MODELO!$B$35)</f>
        <v>0</v>
      </c>
      <c r="L77">
        <f t="shared" si="4"/>
        <v>41</v>
      </c>
      <c r="M77" t="str">
        <f t="shared" si="5"/>
        <v>Regular</v>
      </c>
      <c r="N77">
        <f>IF(M77=PARAMS_MODELO!$A$36,PARAMS_MODELO!$B$36,IF(M77=PARAMS_MODELO!$A$37,PARAMS_MODELO!$B$37,IF(M77=PARAMS_MODELO!$A$38,PARAMS_MODELO!$B$38,IF(M77=PARAMS_MODELO!$A$39,PARAMS_MODELO!$B$39,IF(M77=PARAMS_MODELO!$A$40,PARAMS_MODELO!$B$40)))))</f>
        <v>1</v>
      </c>
    </row>
    <row r="78" spans="1:14" x14ac:dyDescent="0.3">
      <c r="A78">
        <v>51025202</v>
      </c>
      <c r="B78">
        <v>68</v>
      </c>
      <c r="C78">
        <v>6</v>
      </c>
      <c r="D78">
        <f t="shared" si="3"/>
        <v>5</v>
      </c>
      <c r="E78">
        <f>ROUND(MIN(5,MAX(0,D78))/5*PARAMS_MODELO!$B$32,2)</f>
        <v>40</v>
      </c>
      <c r="F78">
        <v>4</v>
      </c>
      <c r="G78">
        <f>MAX(0,PARAMS_MODELO!$B$33-VALUE(TRIM(F78))*3)</f>
        <v>18</v>
      </c>
      <c r="H78">
        <v>3</v>
      </c>
      <c r="I78">
        <f>ROUND(MIN(4,MAX(0,H78))/4*PARAMS_MODELO!$B$34,2)</f>
        <v>15</v>
      </c>
      <c r="J78">
        <v>1</v>
      </c>
      <c r="K78">
        <f>IF(J78=0,0,PARAMS_MODELO!$B$35)</f>
        <v>10</v>
      </c>
      <c r="L78">
        <f t="shared" si="4"/>
        <v>83</v>
      </c>
      <c r="M78" t="str">
        <f t="shared" si="5"/>
        <v>Muy Bueno</v>
      </c>
      <c r="N78">
        <f>IF(M78=PARAMS_MODELO!$A$36,PARAMS_MODELO!$B$36,IF(M78=PARAMS_MODELO!$A$37,PARAMS_MODELO!$B$37,IF(M78=PARAMS_MODELO!$A$38,PARAMS_MODELO!$B$38,IF(M78=PARAMS_MODELO!$A$39,PARAMS_MODELO!$B$39,IF(M78=PARAMS_MODELO!$A$40,PARAMS_MODELO!$B$40)))))</f>
        <v>1.1499999999999999</v>
      </c>
    </row>
    <row r="79" spans="1:14" x14ac:dyDescent="0.3">
      <c r="A79">
        <v>51003667</v>
      </c>
      <c r="B79">
        <v>100</v>
      </c>
      <c r="C79">
        <v>41</v>
      </c>
      <c r="D79">
        <f t="shared" si="3"/>
        <v>2.4390243902439024</v>
      </c>
      <c r="E79">
        <f>ROUND(MIN(5,MAX(0,D79))/5*PARAMS_MODELO!$B$32,2)</f>
        <v>19.510000000000002</v>
      </c>
      <c r="F79">
        <v>3</v>
      </c>
      <c r="G79">
        <f>MAX(0,PARAMS_MODELO!$B$33-VALUE(TRIM(F79))*3)</f>
        <v>21</v>
      </c>
      <c r="H79">
        <v>1</v>
      </c>
      <c r="I79">
        <f>ROUND(MIN(4,MAX(0,H79))/4*PARAMS_MODELO!$B$34,2)</f>
        <v>5</v>
      </c>
      <c r="J79">
        <v>0</v>
      </c>
      <c r="K79">
        <f>IF(J79=0,0,PARAMS_MODELO!$B$35)</f>
        <v>0</v>
      </c>
      <c r="L79">
        <f t="shared" si="4"/>
        <v>45.510000000000005</v>
      </c>
      <c r="M79" t="str">
        <f t="shared" si="5"/>
        <v>Regular</v>
      </c>
      <c r="N79">
        <f>IF(M79=PARAMS_MODELO!$A$36,PARAMS_MODELO!$B$36,IF(M79=PARAMS_MODELO!$A$37,PARAMS_MODELO!$B$37,IF(M79=PARAMS_MODELO!$A$38,PARAMS_MODELO!$B$38,IF(M79=PARAMS_MODELO!$A$39,PARAMS_MODELO!$B$39,IF(M79=PARAMS_MODELO!$A$40,PARAMS_MODELO!$B$40)))))</f>
        <v>1</v>
      </c>
    </row>
    <row r="80" spans="1:14" x14ac:dyDescent="0.3">
      <c r="A80">
        <v>51026691</v>
      </c>
      <c r="B80">
        <v>39</v>
      </c>
      <c r="C80">
        <v>69</v>
      </c>
      <c r="D80">
        <f t="shared" si="3"/>
        <v>0.56521739130434778</v>
      </c>
      <c r="E80">
        <f>ROUND(MIN(5,MAX(0,D80))/5*PARAMS_MODELO!$B$32,2)</f>
        <v>4.5199999999999996</v>
      </c>
      <c r="F80">
        <v>3</v>
      </c>
      <c r="G80">
        <f>MAX(0,PARAMS_MODELO!$B$33-VALUE(TRIM(F80))*3)</f>
        <v>21</v>
      </c>
      <c r="H80">
        <v>3</v>
      </c>
      <c r="I80">
        <f>ROUND(MIN(4,MAX(0,H80))/4*PARAMS_MODELO!$B$34,2)</f>
        <v>15</v>
      </c>
      <c r="J80">
        <v>1</v>
      </c>
      <c r="K80">
        <f>IF(J80=0,0,PARAMS_MODELO!$B$35)</f>
        <v>10</v>
      </c>
      <c r="L80">
        <f t="shared" si="4"/>
        <v>50.519999999999996</v>
      </c>
      <c r="M80" t="str">
        <f t="shared" si="5"/>
        <v>Regular</v>
      </c>
      <c r="N80">
        <f>IF(M80=PARAMS_MODELO!$A$36,PARAMS_MODELO!$B$36,IF(M80=PARAMS_MODELO!$A$37,PARAMS_MODELO!$B$37,IF(M80=PARAMS_MODELO!$A$38,PARAMS_MODELO!$B$38,IF(M80=PARAMS_MODELO!$A$39,PARAMS_MODELO!$B$39,IF(M80=PARAMS_MODELO!$A$40,PARAMS_MODELO!$B$40)))))</f>
        <v>1</v>
      </c>
    </row>
    <row r="81" spans="1:14" x14ac:dyDescent="0.3">
      <c r="A81">
        <v>51023145</v>
      </c>
      <c r="B81">
        <v>94</v>
      </c>
      <c r="C81">
        <v>16</v>
      </c>
      <c r="D81">
        <f t="shared" si="3"/>
        <v>5</v>
      </c>
      <c r="E81">
        <f>ROUND(MIN(5,MAX(0,D81))/5*PARAMS_MODELO!$B$32,2)</f>
        <v>40</v>
      </c>
      <c r="F81">
        <v>4</v>
      </c>
      <c r="G81">
        <f>MAX(0,PARAMS_MODELO!$B$33-VALUE(TRIM(F81))*3)</f>
        <v>18</v>
      </c>
      <c r="H81">
        <v>4</v>
      </c>
      <c r="I81">
        <f>ROUND(MIN(4,MAX(0,H81))/4*PARAMS_MODELO!$B$34,2)</f>
        <v>20</v>
      </c>
      <c r="J81">
        <v>1</v>
      </c>
      <c r="K81">
        <f>IF(J81=0,0,PARAMS_MODELO!$B$35)</f>
        <v>10</v>
      </c>
      <c r="L81">
        <f t="shared" si="4"/>
        <v>88</v>
      </c>
      <c r="M81" t="str">
        <f t="shared" si="5"/>
        <v>Muy Bueno</v>
      </c>
      <c r="N81">
        <f>IF(M81=PARAMS_MODELO!$A$36,PARAMS_MODELO!$B$36,IF(M81=PARAMS_MODELO!$A$37,PARAMS_MODELO!$B$37,IF(M81=PARAMS_MODELO!$A$38,PARAMS_MODELO!$B$38,IF(M81=PARAMS_MODELO!$A$39,PARAMS_MODELO!$B$39,IF(M81=PARAMS_MODELO!$A$40,PARAMS_MODELO!$B$40)))))</f>
        <v>1.1499999999999999</v>
      </c>
    </row>
    <row r="82" spans="1:14" x14ac:dyDescent="0.3">
      <c r="A82">
        <v>51056001</v>
      </c>
      <c r="B82">
        <v>73</v>
      </c>
      <c r="C82">
        <v>5</v>
      </c>
      <c r="D82">
        <f t="shared" si="3"/>
        <v>5</v>
      </c>
      <c r="E82">
        <f>ROUND(MIN(5,MAX(0,D82))/5*PARAMS_MODELO!$B$32,2)</f>
        <v>40</v>
      </c>
      <c r="F82">
        <v>5</v>
      </c>
      <c r="G82">
        <f>MAX(0,PARAMS_MODELO!$B$33-VALUE(TRIM(F82))*3)</f>
        <v>15</v>
      </c>
      <c r="H82">
        <v>3</v>
      </c>
      <c r="I82">
        <f>ROUND(MIN(4,MAX(0,H82))/4*PARAMS_MODELO!$B$34,2)</f>
        <v>15</v>
      </c>
      <c r="J82">
        <v>0</v>
      </c>
      <c r="K82">
        <f>IF(J82=0,0,PARAMS_MODELO!$B$35)</f>
        <v>0</v>
      </c>
      <c r="L82">
        <f t="shared" si="4"/>
        <v>70</v>
      </c>
      <c r="M82" t="str">
        <f t="shared" si="5"/>
        <v>Bueno</v>
      </c>
      <c r="N82">
        <f>IF(M82=PARAMS_MODELO!$A$36,PARAMS_MODELO!$B$36,IF(M82=PARAMS_MODELO!$A$37,PARAMS_MODELO!$B$37,IF(M82=PARAMS_MODELO!$A$38,PARAMS_MODELO!$B$38,IF(M82=PARAMS_MODELO!$A$39,PARAMS_MODELO!$B$39,IF(M82=PARAMS_MODELO!$A$40,PARAMS_MODELO!$B$40)))))</f>
        <v>1.1000000000000001</v>
      </c>
    </row>
    <row r="83" spans="1:14" x14ac:dyDescent="0.3">
      <c r="A83">
        <v>51019652</v>
      </c>
      <c r="B83">
        <v>58</v>
      </c>
      <c r="C83">
        <v>88</v>
      </c>
      <c r="D83">
        <f t="shared" si="3"/>
        <v>0.65909090909090906</v>
      </c>
      <c r="E83">
        <f>ROUND(MIN(5,MAX(0,D83))/5*PARAMS_MODELO!$B$32,2)</f>
        <v>5.27</v>
      </c>
      <c r="F83">
        <v>4</v>
      </c>
      <c r="G83">
        <f>MAX(0,PARAMS_MODELO!$B$33-VALUE(TRIM(F83))*3)</f>
        <v>18</v>
      </c>
      <c r="H83">
        <v>3</v>
      </c>
      <c r="I83">
        <f>ROUND(MIN(4,MAX(0,H83))/4*PARAMS_MODELO!$B$34,2)</f>
        <v>15</v>
      </c>
      <c r="J83">
        <v>1</v>
      </c>
      <c r="K83">
        <f>IF(J83=0,0,PARAMS_MODELO!$B$35)</f>
        <v>10</v>
      </c>
      <c r="L83">
        <f t="shared" si="4"/>
        <v>48.269999999999996</v>
      </c>
      <c r="M83" t="str">
        <f t="shared" si="5"/>
        <v>Regular</v>
      </c>
      <c r="N83">
        <f>IF(M83=PARAMS_MODELO!$A$36,PARAMS_MODELO!$B$36,IF(M83=PARAMS_MODELO!$A$37,PARAMS_MODELO!$B$37,IF(M83=PARAMS_MODELO!$A$38,PARAMS_MODELO!$B$38,IF(M83=PARAMS_MODELO!$A$39,PARAMS_MODELO!$B$39,IF(M83=PARAMS_MODELO!$A$40,PARAMS_MODELO!$B$40)))))</f>
        <v>1</v>
      </c>
    </row>
    <row r="84" spans="1:14" x14ac:dyDescent="0.3">
      <c r="A84">
        <v>51011368</v>
      </c>
      <c r="B84">
        <v>84</v>
      </c>
      <c r="C84">
        <v>13</v>
      </c>
      <c r="D84">
        <f t="shared" si="3"/>
        <v>5</v>
      </c>
      <c r="E84">
        <f>ROUND(MIN(5,MAX(0,D84))/5*PARAMS_MODELO!$B$32,2)</f>
        <v>40</v>
      </c>
      <c r="F84">
        <v>5</v>
      </c>
      <c r="G84">
        <f>MAX(0,PARAMS_MODELO!$B$33-VALUE(TRIM(F84))*3)</f>
        <v>15</v>
      </c>
      <c r="H84">
        <v>1</v>
      </c>
      <c r="I84">
        <f>ROUND(MIN(4,MAX(0,H84))/4*PARAMS_MODELO!$B$34,2)</f>
        <v>5</v>
      </c>
      <c r="J84">
        <v>0</v>
      </c>
      <c r="K84">
        <f>IF(J84=0,0,PARAMS_MODELO!$B$35)</f>
        <v>0</v>
      </c>
      <c r="L84">
        <f t="shared" si="4"/>
        <v>60</v>
      </c>
      <c r="M84" t="str">
        <f t="shared" si="5"/>
        <v>Bueno</v>
      </c>
      <c r="N84">
        <f>IF(M84=PARAMS_MODELO!$A$36,PARAMS_MODELO!$B$36,IF(M84=PARAMS_MODELO!$A$37,PARAMS_MODELO!$B$37,IF(M84=PARAMS_MODELO!$A$38,PARAMS_MODELO!$B$38,IF(M84=PARAMS_MODELO!$A$39,PARAMS_MODELO!$B$39,IF(M84=PARAMS_MODELO!$A$40,PARAMS_MODELO!$B$40)))))</f>
        <v>1.1000000000000001</v>
      </c>
    </row>
    <row r="85" spans="1:14" x14ac:dyDescent="0.3">
      <c r="A85">
        <v>51055047</v>
      </c>
      <c r="B85">
        <v>62</v>
      </c>
      <c r="C85">
        <v>29</v>
      </c>
      <c r="D85">
        <f t="shared" si="3"/>
        <v>2.1379310344827585</v>
      </c>
      <c r="E85">
        <f>ROUND(MIN(5,MAX(0,D85))/5*PARAMS_MODELO!$B$32,2)</f>
        <v>17.100000000000001</v>
      </c>
      <c r="F85">
        <v>5</v>
      </c>
      <c r="G85">
        <f>MAX(0,PARAMS_MODELO!$B$33-VALUE(TRIM(F85))*3)</f>
        <v>15</v>
      </c>
      <c r="H85">
        <v>0</v>
      </c>
      <c r="I85">
        <f>ROUND(MIN(4,MAX(0,H85))/4*PARAMS_MODELO!$B$34,2)</f>
        <v>0</v>
      </c>
      <c r="J85">
        <v>1</v>
      </c>
      <c r="K85">
        <f>IF(J85=0,0,PARAMS_MODELO!$B$35)</f>
        <v>10</v>
      </c>
      <c r="L85">
        <f t="shared" si="4"/>
        <v>42.1</v>
      </c>
      <c r="M85" t="str">
        <f t="shared" si="5"/>
        <v>Regular</v>
      </c>
      <c r="N85">
        <f>IF(M85=PARAMS_MODELO!$A$36,PARAMS_MODELO!$B$36,IF(M85=PARAMS_MODELO!$A$37,PARAMS_MODELO!$B$37,IF(M85=PARAMS_MODELO!$A$38,PARAMS_MODELO!$B$38,IF(M85=PARAMS_MODELO!$A$39,PARAMS_MODELO!$B$39,IF(M85=PARAMS_MODELO!$A$40,PARAMS_MODELO!$B$40)))))</f>
        <v>1</v>
      </c>
    </row>
    <row r="86" spans="1:14" x14ac:dyDescent="0.3">
      <c r="A86">
        <v>51018176</v>
      </c>
      <c r="B86">
        <v>77</v>
      </c>
      <c r="C86">
        <v>78</v>
      </c>
      <c r="D86">
        <f t="shared" si="3"/>
        <v>0.98717948717948723</v>
      </c>
      <c r="E86">
        <f>ROUND(MIN(5,MAX(0,D86))/5*PARAMS_MODELO!$B$32,2)</f>
        <v>7.9</v>
      </c>
      <c r="F86">
        <v>1</v>
      </c>
      <c r="G86">
        <f>MAX(0,PARAMS_MODELO!$B$33-VALUE(TRIM(F86))*3)</f>
        <v>27</v>
      </c>
      <c r="H86">
        <v>3</v>
      </c>
      <c r="I86">
        <f>ROUND(MIN(4,MAX(0,H86))/4*PARAMS_MODELO!$B$34,2)</f>
        <v>15</v>
      </c>
      <c r="J86">
        <v>1</v>
      </c>
      <c r="K86">
        <f>IF(J86=0,0,PARAMS_MODELO!$B$35)</f>
        <v>10</v>
      </c>
      <c r="L86">
        <f t="shared" si="4"/>
        <v>59.9</v>
      </c>
      <c r="M86" t="str">
        <f t="shared" si="5"/>
        <v>Regular</v>
      </c>
      <c r="N86">
        <f>IF(M86=PARAMS_MODELO!$A$36,PARAMS_MODELO!$B$36,IF(M86=PARAMS_MODELO!$A$37,PARAMS_MODELO!$B$37,IF(M86=PARAMS_MODELO!$A$38,PARAMS_MODELO!$B$38,IF(M86=PARAMS_MODELO!$A$39,PARAMS_MODELO!$B$39,IF(M86=PARAMS_MODELO!$A$40,PARAMS_MODELO!$B$40)))))</f>
        <v>1</v>
      </c>
    </row>
    <row r="87" spans="1:14" x14ac:dyDescent="0.3">
      <c r="A87">
        <v>51015622</v>
      </c>
      <c r="B87">
        <v>11</v>
      </c>
      <c r="C87">
        <v>32</v>
      </c>
      <c r="D87">
        <f t="shared" si="3"/>
        <v>0.34375</v>
      </c>
      <c r="E87">
        <f>ROUND(MIN(5,MAX(0,D87))/5*PARAMS_MODELO!$B$32,2)</f>
        <v>2.75</v>
      </c>
      <c r="F87">
        <v>4</v>
      </c>
      <c r="G87">
        <f>MAX(0,PARAMS_MODELO!$B$33-VALUE(TRIM(F87))*3)</f>
        <v>18</v>
      </c>
      <c r="H87">
        <v>1</v>
      </c>
      <c r="I87">
        <f>ROUND(MIN(4,MAX(0,H87))/4*PARAMS_MODELO!$B$34,2)</f>
        <v>5</v>
      </c>
      <c r="J87">
        <v>0</v>
      </c>
      <c r="K87">
        <f>IF(J87=0,0,PARAMS_MODELO!$B$35)</f>
        <v>0</v>
      </c>
      <c r="L87">
        <f t="shared" si="4"/>
        <v>25.75</v>
      </c>
      <c r="M87" t="str">
        <f t="shared" si="5"/>
        <v>Malo</v>
      </c>
      <c r="N87">
        <f>IF(M87=PARAMS_MODELO!$A$36,PARAMS_MODELO!$B$36,IF(M87=PARAMS_MODELO!$A$37,PARAMS_MODELO!$B$37,IF(M87=PARAMS_MODELO!$A$38,PARAMS_MODELO!$B$38,IF(M87=PARAMS_MODELO!$A$39,PARAMS_MODELO!$B$39,IF(M87=PARAMS_MODELO!$A$40,PARAMS_MODELO!$B$40)))))</f>
        <v>0.7</v>
      </c>
    </row>
    <row r="88" spans="1:14" x14ac:dyDescent="0.3">
      <c r="A88">
        <v>51054946</v>
      </c>
      <c r="B88">
        <v>60</v>
      </c>
      <c r="C88">
        <v>10</v>
      </c>
      <c r="D88">
        <f t="shared" si="3"/>
        <v>5</v>
      </c>
      <c r="E88">
        <f>ROUND(MIN(5,MAX(0,D88))/5*PARAMS_MODELO!$B$32,2)</f>
        <v>40</v>
      </c>
      <c r="F88">
        <v>2</v>
      </c>
      <c r="G88">
        <f>MAX(0,PARAMS_MODELO!$B$33-VALUE(TRIM(F88))*3)</f>
        <v>24</v>
      </c>
      <c r="H88">
        <v>2</v>
      </c>
      <c r="I88">
        <f>ROUND(MIN(4,MAX(0,H88))/4*PARAMS_MODELO!$B$34,2)</f>
        <v>10</v>
      </c>
      <c r="J88">
        <v>1</v>
      </c>
      <c r="K88">
        <f>IF(J88=0,0,PARAMS_MODELO!$B$35)</f>
        <v>10</v>
      </c>
      <c r="L88">
        <f t="shared" si="4"/>
        <v>84</v>
      </c>
      <c r="M88" t="str">
        <f t="shared" si="5"/>
        <v>Muy Bueno</v>
      </c>
      <c r="N88">
        <f>IF(M88=PARAMS_MODELO!$A$36,PARAMS_MODELO!$B$36,IF(M88=PARAMS_MODELO!$A$37,PARAMS_MODELO!$B$37,IF(M88=PARAMS_MODELO!$A$38,PARAMS_MODELO!$B$38,IF(M88=PARAMS_MODELO!$A$39,PARAMS_MODELO!$B$39,IF(M88=PARAMS_MODELO!$A$40,PARAMS_MODELO!$B$40)))))</f>
        <v>1.1499999999999999</v>
      </c>
    </row>
    <row r="89" spans="1:14" x14ac:dyDescent="0.3">
      <c r="A89">
        <v>51016220</v>
      </c>
      <c r="B89">
        <v>87</v>
      </c>
      <c r="C89">
        <v>20</v>
      </c>
      <c r="D89">
        <f t="shared" si="3"/>
        <v>4.3499999999999996</v>
      </c>
      <c r="E89">
        <f>ROUND(MIN(5,MAX(0,D89))/5*PARAMS_MODELO!$B$32,2)</f>
        <v>34.799999999999997</v>
      </c>
      <c r="F89">
        <v>2</v>
      </c>
      <c r="G89">
        <f>MAX(0,PARAMS_MODELO!$B$33-VALUE(TRIM(F89))*3)</f>
        <v>24</v>
      </c>
      <c r="H89">
        <v>4</v>
      </c>
      <c r="I89">
        <f>ROUND(MIN(4,MAX(0,H89))/4*PARAMS_MODELO!$B$34,2)</f>
        <v>20</v>
      </c>
      <c r="J89">
        <v>0</v>
      </c>
      <c r="K89">
        <f>IF(J89=0,0,PARAMS_MODELO!$B$35)</f>
        <v>0</v>
      </c>
      <c r="L89">
        <f t="shared" si="4"/>
        <v>78.8</v>
      </c>
      <c r="M89" t="str">
        <f t="shared" si="5"/>
        <v>Muy Bueno</v>
      </c>
      <c r="N89">
        <f>IF(M89=PARAMS_MODELO!$A$36,PARAMS_MODELO!$B$36,IF(M89=PARAMS_MODELO!$A$37,PARAMS_MODELO!$B$37,IF(M89=PARAMS_MODELO!$A$38,PARAMS_MODELO!$B$38,IF(M89=PARAMS_MODELO!$A$39,PARAMS_MODELO!$B$39,IF(M89=PARAMS_MODELO!$A$40,PARAMS_MODELO!$B$40)))))</f>
        <v>1.1499999999999999</v>
      </c>
    </row>
    <row r="90" spans="1:14" x14ac:dyDescent="0.3">
      <c r="A90">
        <v>51025385</v>
      </c>
      <c r="B90">
        <v>0</v>
      </c>
      <c r="C90">
        <v>24</v>
      </c>
      <c r="D90">
        <f t="shared" si="3"/>
        <v>0</v>
      </c>
      <c r="E90">
        <f>ROUND(MIN(5,MAX(0,D90))/5*PARAMS_MODELO!$B$32,2)</f>
        <v>0</v>
      </c>
      <c r="F90">
        <v>1</v>
      </c>
      <c r="G90">
        <f>MAX(0,PARAMS_MODELO!$B$33-VALUE(TRIM(F90))*3)</f>
        <v>27</v>
      </c>
      <c r="H90">
        <v>0</v>
      </c>
      <c r="I90">
        <f>ROUND(MIN(4,MAX(0,H90))/4*PARAMS_MODELO!$B$34,2)</f>
        <v>0</v>
      </c>
      <c r="J90">
        <v>0</v>
      </c>
      <c r="K90">
        <f>IF(J90=0,0,PARAMS_MODELO!$B$35)</f>
        <v>0</v>
      </c>
      <c r="L90">
        <f t="shared" si="4"/>
        <v>27</v>
      </c>
      <c r="M90" t="str">
        <f t="shared" si="5"/>
        <v>Malo</v>
      </c>
      <c r="N90">
        <f>IF(M90=PARAMS_MODELO!$A$36,PARAMS_MODELO!$B$36,IF(M90=PARAMS_MODELO!$A$37,PARAMS_MODELO!$B$37,IF(M90=PARAMS_MODELO!$A$38,PARAMS_MODELO!$B$38,IF(M90=PARAMS_MODELO!$A$39,PARAMS_MODELO!$B$39,IF(M90=PARAMS_MODELO!$A$40,PARAMS_MODELO!$B$40)))))</f>
        <v>0.7</v>
      </c>
    </row>
    <row r="91" spans="1:14" x14ac:dyDescent="0.3">
      <c r="A91">
        <v>51057163</v>
      </c>
      <c r="B91">
        <v>44</v>
      </c>
      <c r="C91">
        <v>70</v>
      </c>
      <c r="D91">
        <f t="shared" si="3"/>
        <v>0.62857142857142856</v>
      </c>
      <c r="E91">
        <f>ROUND(MIN(5,MAX(0,D91))/5*PARAMS_MODELO!$B$32,2)</f>
        <v>5.03</v>
      </c>
      <c r="F91">
        <v>4</v>
      </c>
      <c r="G91">
        <f>MAX(0,PARAMS_MODELO!$B$33-VALUE(TRIM(F91))*3)</f>
        <v>18</v>
      </c>
      <c r="H91">
        <v>2</v>
      </c>
      <c r="I91">
        <f>ROUND(MIN(4,MAX(0,H91))/4*PARAMS_MODELO!$B$34,2)</f>
        <v>10</v>
      </c>
      <c r="J91">
        <v>0</v>
      </c>
      <c r="K91">
        <f>IF(J91=0,0,PARAMS_MODELO!$B$35)</f>
        <v>0</v>
      </c>
      <c r="L91">
        <f t="shared" si="4"/>
        <v>33.03</v>
      </c>
      <c r="M91" t="str">
        <f t="shared" si="5"/>
        <v>Malo</v>
      </c>
      <c r="N91">
        <f>IF(M91=PARAMS_MODELO!$A$36,PARAMS_MODELO!$B$36,IF(M91=PARAMS_MODELO!$A$37,PARAMS_MODELO!$B$37,IF(M91=PARAMS_MODELO!$A$38,PARAMS_MODELO!$B$38,IF(M91=PARAMS_MODELO!$A$39,PARAMS_MODELO!$B$39,IF(M91=PARAMS_MODELO!$A$40,PARAMS_MODELO!$B$40)))))</f>
        <v>0.7</v>
      </c>
    </row>
    <row r="92" spans="1:14" x14ac:dyDescent="0.3">
      <c r="A92">
        <v>51055985</v>
      </c>
      <c r="B92">
        <v>38</v>
      </c>
      <c r="C92">
        <v>96</v>
      </c>
      <c r="D92">
        <f t="shared" si="3"/>
        <v>0.39583333333333331</v>
      </c>
      <c r="E92">
        <f>ROUND(MIN(5,MAX(0,D92))/5*PARAMS_MODELO!$B$32,2)</f>
        <v>3.17</v>
      </c>
      <c r="F92">
        <v>5</v>
      </c>
      <c r="G92">
        <f>MAX(0,PARAMS_MODELO!$B$33-VALUE(TRIM(F92))*3)</f>
        <v>15</v>
      </c>
      <c r="H92">
        <v>1</v>
      </c>
      <c r="I92">
        <f>ROUND(MIN(4,MAX(0,H92))/4*PARAMS_MODELO!$B$34,2)</f>
        <v>5</v>
      </c>
      <c r="J92">
        <v>1</v>
      </c>
      <c r="K92">
        <f>IF(J92=0,0,PARAMS_MODELO!$B$35)</f>
        <v>10</v>
      </c>
      <c r="L92">
        <f t="shared" si="4"/>
        <v>33.17</v>
      </c>
      <c r="M92" t="str">
        <f t="shared" si="5"/>
        <v>Malo</v>
      </c>
      <c r="N92">
        <f>IF(M92=PARAMS_MODELO!$A$36,PARAMS_MODELO!$B$36,IF(M92=PARAMS_MODELO!$A$37,PARAMS_MODELO!$B$37,IF(M92=PARAMS_MODELO!$A$38,PARAMS_MODELO!$B$38,IF(M92=PARAMS_MODELO!$A$39,PARAMS_MODELO!$B$39,IF(M92=PARAMS_MODELO!$A$40,PARAMS_MODELO!$B$40)))))</f>
        <v>0.7</v>
      </c>
    </row>
    <row r="93" spans="1:14" x14ac:dyDescent="0.3">
      <c r="A93">
        <v>51032993</v>
      </c>
      <c r="B93">
        <v>88</v>
      </c>
      <c r="C93">
        <v>13</v>
      </c>
      <c r="D93">
        <f t="shared" si="3"/>
        <v>5</v>
      </c>
      <c r="E93">
        <f>ROUND(MIN(5,MAX(0,D93))/5*PARAMS_MODELO!$B$32,2)</f>
        <v>40</v>
      </c>
      <c r="F93">
        <v>0</v>
      </c>
      <c r="G93">
        <f>MAX(0,PARAMS_MODELO!$B$33-VALUE(TRIM(F93))*3)</f>
        <v>30</v>
      </c>
      <c r="H93">
        <v>2</v>
      </c>
      <c r="I93">
        <f>ROUND(MIN(4,MAX(0,H93))/4*PARAMS_MODELO!$B$34,2)</f>
        <v>10</v>
      </c>
      <c r="J93">
        <v>1</v>
      </c>
      <c r="K93">
        <f>IF(J93=0,0,PARAMS_MODELO!$B$35)</f>
        <v>10</v>
      </c>
      <c r="L93">
        <f t="shared" si="4"/>
        <v>90</v>
      </c>
      <c r="M93" t="str">
        <f t="shared" si="5"/>
        <v>Excelente</v>
      </c>
      <c r="N93">
        <f>IF(M93=PARAMS_MODELO!$A$36,PARAMS_MODELO!$B$36,IF(M93=PARAMS_MODELO!$A$37,PARAMS_MODELO!$B$37,IF(M93=PARAMS_MODELO!$A$38,PARAMS_MODELO!$B$38,IF(M93=PARAMS_MODELO!$A$39,PARAMS_MODELO!$B$39,IF(M93=PARAMS_MODELO!$A$40,PARAMS_MODELO!$B$40)))))</f>
        <v>1.2</v>
      </c>
    </row>
    <row r="94" spans="1:14" x14ac:dyDescent="0.3">
      <c r="A94">
        <v>51015088</v>
      </c>
      <c r="B94">
        <v>95</v>
      </c>
      <c r="C94">
        <v>44</v>
      </c>
      <c r="D94">
        <f t="shared" si="3"/>
        <v>2.1590909090909092</v>
      </c>
      <c r="E94">
        <f>ROUND(MIN(5,MAX(0,D94))/5*PARAMS_MODELO!$B$32,2)</f>
        <v>17.27</v>
      </c>
      <c r="F94">
        <v>3</v>
      </c>
      <c r="G94">
        <f>MAX(0,PARAMS_MODELO!$B$33-VALUE(TRIM(F94))*3)</f>
        <v>21</v>
      </c>
      <c r="H94">
        <v>4</v>
      </c>
      <c r="I94">
        <f>ROUND(MIN(4,MAX(0,H94))/4*PARAMS_MODELO!$B$34,2)</f>
        <v>20</v>
      </c>
      <c r="J94">
        <v>0</v>
      </c>
      <c r="K94">
        <f>IF(J94=0,0,PARAMS_MODELO!$B$35)</f>
        <v>0</v>
      </c>
      <c r="L94">
        <f t="shared" si="4"/>
        <v>58.269999999999996</v>
      </c>
      <c r="M94" t="str">
        <f t="shared" si="5"/>
        <v>Regular</v>
      </c>
      <c r="N94">
        <f>IF(M94=PARAMS_MODELO!$A$36,PARAMS_MODELO!$B$36,IF(M94=PARAMS_MODELO!$A$37,PARAMS_MODELO!$B$37,IF(M94=PARAMS_MODELO!$A$38,PARAMS_MODELO!$B$38,IF(M94=PARAMS_MODELO!$A$39,PARAMS_MODELO!$B$39,IF(M94=PARAMS_MODELO!$A$40,PARAMS_MODELO!$B$40)))))</f>
        <v>1</v>
      </c>
    </row>
    <row r="95" spans="1:14" x14ac:dyDescent="0.3">
      <c r="A95">
        <v>51035658</v>
      </c>
      <c r="B95">
        <v>64</v>
      </c>
      <c r="C95">
        <v>0</v>
      </c>
      <c r="D95">
        <f t="shared" si="3"/>
        <v>0</v>
      </c>
      <c r="E95">
        <f>ROUND(MIN(5,MAX(0,D95))/5*PARAMS_MODELO!$B$32,2)</f>
        <v>0</v>
      </c>
      <c r="F95">
        <v>3</v>
      </c>
      <c r="G95">
        <f>MAX(0,PARAMS_MODELO!$B$33-VALUE(TRIM(F95))*3)</f>
        <v>21</v>
      </c>
      <c r="H95">
        <v>4</v>
      </c>
      <c r="I95">
        <f>ROUND(MIN(4,MAX(0,H95))/4*PARAMS_MODELO!$B$34,2)</f>
        <v>20</v>
      </c>
      <c r="J95">
        <v>1</v>
      </c>
      <c r="K95">
        <f>IF(J95=0,0,PARAMS_MODELO!$B$35)</f>
        <v>10</v>
      </c>
      <c r="L95">
        <f t="shared" si="4"/>
        <v>51</v>
      </c>
      <c r="M95" t="str">
        <f t="shared" si="5"/>
        <v>Regular</v>
      </c>
      <c r="N95">
        <f>IF(M95=PARAMS_MODELO!$A$36,PARAMS_MODELO!$B$36,IF(M95=PARAMS_MODELO!$A$37,PARAMS_MODELO!$B$37,IF(M95=PARAMS_MODELO!$A$38,PARAMS_MODELO!$B$38,IF(M95=PARAMS_MODELO!$A$39,PARAMS_MODELO!$B$39,IF(M95=PARAMS_MODELO!$A$40,PARAMS_MODELO!$B$40)))))</f>
        <v>1</v>
      </c>
    </row>
    <row r="96" spans="1:14" x14ac:dyDescent="0.3">
      <c r="A96">
        <v>51016726</v>
      </c>
      <c r="B96">
        <v>58</v>
      </c>
      <c r="C96">
        <v>29</v>
      </c>
      <c r="D96">
        <f t="shared" si="3"/>
        <v>2</v>
      </c>
      <c r="E96">
        <f>ROUND(MIN(5,MAX(0,D96))/5*PARAMS_MODELO!$B$32,2)</f>
        <v>16</v>
      </c>
      <c r="F96">
        <v>3</v>
      </c>
      <c r="G96">
        <f>MAX(0,PARAMS_MODELO!$B$33-VALUE(TRIM(F96))*3)</f>
        <v>21</v>
      </c>
      <c r="H96">
        <v>3</v>
      </c>
      <c r="I96">
        <f>ROUND(MIN(4,MAX(0,H96))/4*PARAMS_MODELO!$B$34,2)</f>
        <v>15</v>
      </c>
      <c r="J96">
        <v>0</v>
      </c>
      <c r="K96">
        <f>IF(J96=0,0,PARAMS_MODELO!$B$35)</f>
        <v>0</v>
      </c>
      <c r="L96">
        <f t="shared" si="4"/>
        <v>52</v>
      </c>
      <c r="M96" t="str">
        <f t="shared" si="5"/>
        <v>Regular</v>
      </c>
      <c r="N96">
        <f>IF(M96=PARAMS_MODELO!$A$36,PARAMS_MODELO!$B$36,IF(M96=PARAMS_MODELO!$A$37,PARAMS_MODELO!$B$37,IF(M96=PARAMS_MODELO!$A$38,PARAMS_MODELO!$B$38,IF(M96=PARAMS_MODELO!$A$39,PARAMS_MODELO!$B$39,IF(M96=PARAMS_MODELO!$A$40,PARAMS_MODELO!$B$40)))))</f>
        <v>1</v>
      </c>
    </row>
    <row r="97" spans="1:14" x14ac:dyDescent="0.3">
      <c r="A97">
        <v>51019342</v>
      </c>
      <c r="B97">
        <v>55</v>
      </c>
      <c r="C97">
        <v>65</v>
      </c>
      <c r="D97">
        <f t="shared" si="3"/>
        <v>0.84615384615384615</v>
      </c>
      <c r="E97">
        <f>ROUND(MIN(5,MAX(0,D97))/5*PARAMS_MODELO!$B$32,2)</f>
        <v>6.77</v>
      </c>
      <c r="F97">
        <v>4</v>
      </c>
      <c r="G97">
        <f>MAX(0,PARAMS_MODELO!$B$33-VALUE(TRIM(F97))*3)</f>
        <v>18</v>
      </c>
      <c r="H97">
        <v>1</v>
      </c>
      <c r="I97">
        <f>ROUND(MIN(4,MAX(0,H97))/4*PARAMS_MODELO!$B$34,2)</f>
        <v>5</v>
      </c>
      <c r="J97">
        <v>0</v>
      </c>
      <c r="K97">
        <f>IF(J97=0,0,PARAMS_MODELO!$B$35)</f>
        <v>0</v>
      </c>
      <c r="L97">
        <f t="shared" si="4"/>
        <v>29.77</v>
      </c>
      <c r="M97" t="str">
        <f t="shared" si="5"/>
        <v>Malo</v>
      </c>
      <c r="N97">
        <f>IF(M97=PARAMS_MODELO!$A$36,PARAMS_MODELO!$B$36,IF(M97=PARAMS_MODELO!$A$37,PARAMS_MODELO!$B$37,IF(M97=PARAMS_MODELO!$A$38,PARAMS_MODELO!$B$38,IF(M97=PARAMS_MODELO!$A$39,PARAMS_MODELO!$B$39,IF(M97=PARAMS_MODELO!$A$40,PARAMS_MODELO!$B$40)))))</f>
        <v>0.7</v>
      </c>
    </row>
    <row r="98" spans="1:14" x14ac:dyDescent="0.3">
      <c r="A98">
        <v>51014162</v>
      </c>
      <c r="B98">
        <v>8</v>
      </c>
      <c r="C98">
        <v>30</v>
      </c>
      <c r="D98">
        <f t="shared" si="3"/>
        <v>0.26666666666666666</v>
      </c>
      <c r="E98">
        <f>ROUND(MIN(5,MAX(0,D98))/5*PARAMS_MODELO!$B$32,2)</f>
        <v>2.13</v>
      </c>
      <c r="F98">
        <v>0</v>
      </c>
      <c r="G98">
        <f>MAX(0,PARAMS_MODELO!$B$33-VALUE(TRIM(F98))*3)</f>
        <v>30</v>
      </c>
      <c r="H98">
        <v>1</v>
      </c>
      <c r="I98">
        <f>ROUND(MIN(4,MAX(0,H98))/4*PARAMS_MODELO!$B$34,2)</f>
        <v>5</v>
      </c>
      <c r="J98">
        <v>1</v>
      </c>
      <c r="K98">
        <f>IF(J98=0,0,PARAMS_MODELO!$B$35)</f>
        <v>10</v>
      </c>
      <c r="L98">
        <f t="shared" si="4"/>
        <v>47.13</v>
      </c>
      <c r="M98" t="str">
        <f t="shared" si="5"/>
        <v>Regular</v>
      </c>
      <c r="N98">
        <f>IF(M98=PARAMS_MODELO!$A$36,PARAMS_MODELO!$B$36,IF(M98=PARAMS_MODELO!$A$37,PARAMS_MODELO!$B$37,IF(M98=PARAMS_MODELO!$A$38,PARAMS_MODELO!$B$38,IF(M98=PARAMS_MODELO!$A$39,PARAMS_MODELO!$B$39,IF(M98=PARAMS_MODELO!$A$40,PARAMS_MODELO!$B$40)))))</f>
        <v>1</v>
      </c>
    </row>
    <row r="99" spans="1:14" x14ac:dyDescent="0.3">
      <c r="A99">
        <v>51022360</v>
      </c>
      <c r="B99">
        <v>100</v>
      </c>
      <c r="C99">
        <v>27</v>
      </c>
      <c r="D99">
        <f t="shared" si="3"/>
        <v>3.7037037037037037</v>
      </c>
      <c r="E99">
        <f>ROUND(MIN(5,MAX(0,D99))/5*PARAMS_MODELO!$B$32,2)</f>
        <v>29.63</v>
      </c>
      <c r="F99">
        <v>2</v>
      </c>
      <c r="G99">
        <f>MAX(0,PARAMS_MODELO!$B$33-VALUE(TRIM(F99))*3)</f>
        <v>24</v>
      </c>
      <c r="H99">
        <v>0</v>
      </c>
      <c r="I99">
        <f>ROUND(MIN(4,MAX(0,H99))/4*PARAMS_MODELO!$B$34,2)</f>
        <v>0</v>
      </c>
      <c r="J99">
        <v>0</v>
      </c>
      <c r="K99">
        <f>IF(J99=0,0,PARAMS_MODELO!$B$35)</f>
        <v>0</v>
      </c>
      <c r="L99">
        <f t="shared" si="4"/>
        <v>53.629999999999995</v>
      </c>
      <c r="M99" t="str">
        <f t="shared" si="5"/>
        <v>Regular</v>
      </c>
      <c r="N99">
        <f>IF(M99=PARAMS_MODELO!$A$36,PARAMS_MODELO!$B$36,IF(M99=PARAMS_MODELO!$A$37,PARAMS_MODELO!$B$37,IF(M99=PARAMS_MODELO!$A$38,PARAMS_MODELO!$B$38,IF(M99=PARAMS_MODELO!$A$39,PARAMS_MODELO!$B$39,IF(M99=PARAMS_MODELO!$A$40,PARAMS_MODELO!$B$40)))))</f>
        <v>1</v>
      </c>
    </row>
    <row r="100" spans="1:14" x14ac:dyDescent="0.3">
      <c r="A100">
        <v>51040848</v>
      </c>
      <c r="B100">
        <v>25</v>
      </c>
      <c r="C100">
        <v>32</v>
      </c>
      <c r="D100">
        <f t="shared" si="3"/>
        <v>0.78125</v>
      </c>
      <c r="E100">
        <f>ROUND(MIN(5,MAX(0,D100))/5*PARAMS_MODELO!$B$32,2)</f>
        <v>6.25</v>
      </c>
      <c r="F100">
        <v>4</v>
      </c>
      <c r="G100">
        <f>MAX(0,PARAMS_MODELO!$B$33-VALUE(TRIM(F100))*3)</f>
        <v>18</v>
      </c>
      <c r="H100">
        <v>3</v>
      </c>
      <c r="I100">
        <f>ROUND(MIN(4,MAX(0,H100))/4*PARAMS_MODELO!$B$34,2)</f>
        <v>15</v>
      </c>
      <c r="J100">
        <v>1</v>
      </c>
      <c r="K100">
        <f>IF(J100=0,0,PARAMS_MODELO!$B$35)</f>
        <v>10</v>
      </c>
      <c r="L100">
        <f t="shared" si="4"/>
        <v>49.25</v>
      </c>
      <c r="M100" t="str">
        <f t="shared" si="5"/>
        <v>Regular</v>
      </c>
      <c r="N100">
        <f>IF(M100=PARAMS_MODELO!$A$36,PARAMS_MODELO!$B$36,IF(M100=PARAMS_MODELO!$A$37,PARAMS_MODELO!$B$37,IF(M100=PARAMS_MODELO!$A$38,PARAMS_MODELO!$B$38,IF(M100=PARAMS_MODELO!$A$39,PARAMS_MODELO!$B$39,IF(M100=PARAMS_MODELO!$A$40,PARAMS_MODELO!$B$40)))))</f>
        <v>1</v>
      </c>
    </row>
    <row r="101" spans="1:14" x14ac:dyDescent="0.3">
      <c r="A101">
        <v>51022696</v>
      </c>
      <c r="B101">
        <v>88</v>
      </c>
      <c r="C101">
        <v>10</v>
      </c>
      <c r="D101">
        <f t="shared" si="3"/>
        <v>5</v>
      </c>
      <c r="E101">
        <f>ROUND(MIN(5,MAX(0,D101))/5*PARAMS_MODELO!$B$32,2)</f>
        <v>40</v>
      </c>
      <c r="F101">
        <v>2</v>
      </c>
      <c r="G101">
        <f>MAX(0,PARAMS_MODELO!$B$33-VALUE(TRIM(F101))*3)</f>
        <v>24</v>
      </c>
      <c r="H101">
        <v>1</v>
      </c>
      <c r="I101">
        <f>ROUND(MIN(4,MAX(0,H101))/4*PARAMS_MODELO!$B$34,2)</f>
        <v>5</v>
      </c>
      <c r="J101">
        <v>1</v>
      </c>
      <c r="K101">
        <f>IF(J101=0,0,PARAMS_MODELO!$B$35)</f>
        <v>10</v>
      </c>
      <c r="L101">
        <f t="shared" si="4"/>
        <v>79</v>
      </c>
      <c r="M101" t="str">
        <f t="shared" si="5"/>
        <v>Muy Bueno</v>
      </c>
      <c r="N101">
        <f>IF(M101=PARAMS_MODELO!$A$36,PARAMS_MODELO!$B$36,IF(M101=PARAMS_MODELO!$A$37,PARAMS_MODELO!$B$37,IF(M101=PARAMS_MODELO!$A$38,PARAMS_MODELO!$B$38,IF(M101=PARAMS_MODELO!$A$39,PARAMS_MODELO!$B$39,IF(M101=PARAMS_MODELO!$A$40,PARAMS_MODELO!$B$40)))))</f>
        <v>1.1499999999999999</v>
      </c>
    </row>
    <row r="102" spans="1:14" x14ac:dyDescent="0.3">
      <c r="A102">
        <v>51056426</v>
      </c>
      <c r="B102">
        <v>56</v>
      </c>
      <c r="C102">
        <v>100</v>
      </c>
      <c r="D102">
        <f t="shared" si="3"/>
        <v>0.56000000000000005</v>
      </c>
      <c r="E102">
        <f>ROUND(MIN(5,MAX(0,D102))/5*PARAMS_MODELO!$B$32,2)</f>
        <v>4.4800000000000004</v>
      </c>
      <c r="F102">
        <v>4</v>
      </c>
      <c r="G102">
        <f>MAX(0,PARAMS_MODELO!$B$33-VALUE(TRIM(F102))*3)</f>
        <v>18</v>
      </c>
      <c r="H102">
        <v>3</v>
      </c>
      <c r="I102">
        <f>ROUND(MIN(4,MAX(0,H102))/4*PARAMS_MODELO!$B$34,2)</f>
        <v>15</v>
      </c>
      <c r="J102">
        <v>0</v>
      </c>
      <c r="K102">
        <f>IF(J102=0,0,PARAMS_MODELO!$B$35)</f>
        <v>0</v>
      </c>
      <c r="L102">
        <f t="shared" si="4"/>
        <v>37.480000000000004</v>
      </c>
      <c r="M102" t="str">
        <f t="shared" si="5"/>
        <v>Malo</v>
      </c>
      <c r="N102">
        <f>IF(M102=PARAMS_MODELO!$A$36,PARAMS_MODELO!$B$36,IF(M102=PARAMS_MODELO!$A$37,PARAMS_MODELO!$B$37,IF(M102=PARAMS_MODELO!$A$38,PARAMS_MODELO!$B$38,IF(M102=PARAMS_MODELO!$A$39,PARAMS_MODELO!$B$39,IF(M102=PARAMS_MODELO!$A$40,PARAMS_MODELO!$B$40)))))</f>
        <v>0.7</v>
      </c>
    </row>
    <row r="103" spans="1:14" x14ac:dyDescent="0.3">
      <c r="A103">
        <v>51011350</v>
      </c>
      <c r="B103">
        <v>56</v>
      </c>
      <c r="C103">
        <v>51</v>
      </c>
      <c r="D103">
        <f t="shared" si="3"/>
        <v>1.0980392156862746</v>
      </c>
      <c r="E103">
        <f>ROUND(MIN(5,MAX(0,D103))/5*PARAMS_MODELO!$B$32,2)</f>
        <v>8.7799999999999994</v>
      </c>
      <c r="F103">
        <v>2</v>
      </c>
      <c r="G103">
        <f>MAX(0,PARAMS_MODELO!$B$33-VALUE(TRIM(F103))*3)</f>
        <v>24</v>
      </c>
      <c r="H103">
        <v>1</v>
      </c>
      <c r="I103">
        <f>ROUND(MIN(4,MAX(0,H103))/4*PARAMS_MODELO!$B$34,2)</f>
        <v>5</v>
      </c>
      <c r="J103">
        <v>0</v>
      </c>
      <c r="K103">
        <f>IF(J103=0,0,PARAMS_MODELO!$B$35)</f>
        <v>0</v>
      </c>
      <c r="L103">
        <f t="shared" si="4"/>
        <v>37.78</v>
      </c>
      <c r="M103" t="str">
        <f t="shared" si="5"/>
        <v>Malo</v>
      </c>
      <c r="N103">
        <f>IF(M103=PARAMS_MODELO!$A$36,PARAMS_MODELO!$B$36,IF(M103=PARAMS_MODELO!$A$37,PARAMS_MODELO!$B$37,IF(M103=PARAMS_MODELO!$A$38,PARAMS_MODELO!$B$38,IF(M103=PARAMS_MODELO!$A$39,PARAMS_MODELO!$B$39,IF(M103=PARAMS_MODELO!$A$40,PARAMS_MODELO!$B$40)))))</f>
        <v>0.7</v>
      </c>
    </row>
    <row r="104" spans="1:14" x14ac:dyDescent="0.3">
      <c r="A104">
        <v>51024087</v>
      </c>
      <c r="B104">
        <v>70</v>
      </c>
      <c r="C104">
        <v>41</v>
      </c>
      <c r="D104">
        <f t="shared" si="3"/>
        <v>1.7073170731707317</v>
      </c>
      <c r="E104">
        <f>ROUND(MIN(5,MAX(0,D104))/5*PARAMS_MODELO!$B$32,2)</f>
        <v>13.66</v>
      </c>
      <c r="F104">
        <v>1</v>
      </c>
      <c r="G104">
        <f>MAX(0,PARAMS_MODELO!$B$33-VALUE(TRIM(F104))*3)</f>
        <v>27</v>
      </c>
      <c r="H104">
        <v>3</v>
      </c>
      <c r="I104">
        <f>ROUND(MIN(4,MAX(0,H104))/4*PARAMS_MODELO!$B$34,2)</f>
        <v>15</v>
      </c>
      <c r="J104">
        <v>0</v>
      </c>
      <c r="K104">
        <f>IF(J104=0,0,PARAMS_MODELO!$B$35)</f>
        <v>0</v>
      </c>
      <c r="L104">
        <f t="shared" si="4"/>
        <v>55.66</v>
      </c>
      <c r="M104" t="str">
        <f t="shared" si="5"/>
        <v>Regular</v>
      </c>
      <c r="N104">
        <f>IF(M104=PARAMS_MODELO!$A$36,PARAMS_MODELO!$B$36,IF(M104=PARAMS_MODELO!$A$37,PARAMS_MODELO!$B$37,IF(M104=PARAMS_MODELO!$A$38,PARAMS_MODELO!$B$38,IF(M104=PARAMS_MODELO!$A$39,PARAMS_MODELO!$B$39,IF(M104=PARAMS_MODELO!$A$40,PARAMS_MODELO!$B$40)))))</f>
        <v>1</v>
      </c>
    </row>
    <row r="105" spans="1:14" x14ac:dyDescent="0.3">
      <c r="A105">
        <v>51005171</v>
      </c>
      <c r="B105">
        <v>22</v>
      </c>
      <c r="C105">
        <v>80</v>
      </c>
      <c r="D105">
        <f t="shared" si="3"/>
        <v>0.27500000000000002</v>
      </c>
      <c r="E105">
        <f>ROUND(MIN(5,MAX(0,D105))/5*PARAMS_MODELO!$B$32,2)</f>
        <v>2.2000000000000002</v>
      </c>
      <c r="F105">
        <v>0</v>
      </c>
      <c r="G105">
        <f>MAX(0,PARAMS_MODELO!$B$33-VALUE(TRIM(F105))*3)</f>
        <v>30</v>
      </c>
      <c r="H105">
        <v>3</v>
      </c>
      <c r="I105">
        <f>ROUND(MIN(4,MAX(0,H105))/4*PARAMS_MODELO!$B$34,2)</f>
        <v>15</v>
      </c>
      <c r="J105">
        <v>0</v>
      </c>
      <c r="K105">
        <f>IF(J105=0,0,PARAMS_MODELO!$B$35)</f>
        <v>0</v>
      </c>
      <c r="L105">
        <f t="shared" si="4"/>
        <v>47.2</v>
      </c>
      <c r="M105" t="str">
        <f t="shared" si="5"/>
        <v>Regular</v>
      </c>
      <c r="N105">
        <f>IF(M105=PARAMS_MODELO!$A$36,PARAMS_MODELO!$B$36,IF(M105=PARAMS_MODELO!$A$37,PARAMS_MODELO!$B$37,IF(M105=PARAMS_MODELO!$A$38,PARAMS_MODELO!$B$38,IF(M105=PARAMS_MODELO!$A$39,PARAMS_MODELO!$B$39,IF(M105=PARAMS_MODELO!$A$40,PARAMS_MODELO!$B$40)))))</f>
        <v>1</v>
      </c>
    </row>
    <row r="106" spans="1:14" x14ac:dyDescent="0.3">
      <c r="A106">
        <v>51005864</v>
      </c>
      <c r="B106">
        <v>75</v>
      </c>
      <c r="C106">
        <v>75</v>
      </c>
      <c r="D106">
        <f t="shared" si="3"/>
        <v>1</v>
      </c>
      <c r="E106">
        <f>ROUND(MIN(5,MAX(0,D106))/5*PARAMS_MODELO!$B$32,2)</f>
        <v>8</v>
      </c>
      <c r="F106">
        <v>0</v>
      </c>
      <c r="G106">
        <f>MAX(0,PARAMS_MODELO!$B$33-VALUE(TRIM(F106))*3)</f>
        <v>30</v>
      </c>
      <c r="H106">
        <v>1</v>
      </c>
      <c r="I106">
        <f>ROUND(MIN(4,MAX(0,H106))/4*PARAMS_MODELO!$B$34,2)</f>
        <v>5</v>
      </c>
      <c r="J106">
        <v>1</v>
      </c>
      <c r="K106">
        <f>IF(J106=0,0,PARAMS_MODELO!$B$35)</f>
        <v>10</v>
      </c>
      <c r="L106">
        <f t="shared" si="4"/>
        <v>53</v>
      </c>
      <c r="M106" t="str">
        <f t="shared" si="5"/>
        <v>Regular</v>
      </c>
      <c r="N106">
        <f>IF(M106=PARAMS_MODELO!$A$36,PARAMS_MODELO!$B$36,IF(M106=PARAMS_MODELO!$A$37,PARAMS_MODELO!$B$37,IF(M106=PARAMS_MODELO!$A$38,PARAMS_MODELO!$B$38,IF(M106=PARAMS_MODELO!$A$39,PARAMS_MODELO!$B$39,IF(M106=PARAMS_MODELO!$A$40,PARAMS_MODELO!$B$40)))))</f>
        <v>1</v>
      </c>
    </row>
    <row r="107" spans="1:14" x14ac:dyDescent="0.3">
      <c r="A107">
        <v>51040317</v>
      </c>
      <c r="B107">
        <v>88</v>
      </c>
      <c r="C107">
        <v>69</v>
      </c>
      <c r="D107">
        <f t="shared" si="3"/>
        <v>1.2753623188405796</v>
      </c>
      <c r="E107">
        <f>ROUND(MIN(5,MAX(0,D107))/5*PARAMS_MODELO!$B$32,2)</f>
        <v>10.199999999999999</v>
      </c>
      <c r="F107">
        <v>1</v>
      </c>
      <c r="G107">
        <f>MAX(0,PARAMS_MODELO!$B$33-VALUE(TRIM(F107))*3)</f>
        <v>27</v>
      </c>
      <c r="H107">
        <v>4</v>
      </c>
      <c r="I107">
        <f>ROUND(MIN(4,MAX(0,H107))/4*PARAMS_MODELO!$B$34,2)</f>
        <v>20</v>
      </c>
      <c r="J107">
        <v>1</v>
      </c>
      <c r="K107">
        <f>IF(J107=0,0,PARAMS_MODELO!$B$35)</f>
        <v>10</v>
      </c>
      <c r="L107">
        <f t="shared" si="4"/>
        <v>67.2</v>
      </c>
      <c r="M107" t="str">
        <f t="shared" si="5"/>
        <v>Bueno</v>
      </c>
      <c r="N107">
        <f>IF(M107=PARAMS_MODELO!$A$36,PARAMS_MODELO!$B$36,IF(M107=PARAMS_MODELO!$A$37,PARAMS_MODELO!$B$37,IF(M107=PARAMS_MODELO!$A$38,PARAMS_MODELO!$B$38,IF(M107=PARAMS_MODELO!$A$39,PARAMS_MODELO!$B$39,IF(M107=PARAMS_MODELO!$A$40,PARAMS_MODELO!$B$40)))))</f>
        <v>1.1000000000000001</v>
      </c>
    </row>
    <row r="108" spans="1:14" x14ac:dyDescent="0.3">
      <c r="A108">
        <v>51003926</v>
      </c>
      <c r="B108">
        <v>80</v>
      </c>
      <c r="C108">
        <v>95</v>
      </c>
      <c r="D108">
        <f t="shared" si="3"/>
        <v>0.84210526315789469</v>
      </c>
      <c r="E108">
        <f>ROUND(MIN(5,MAX(0,D108))/5*PARAMS_MODELO!$B$32,2)</f>
        <v>6.74</v>
      </c>
      <c r="F108">
        <v>3</v>
      </c>
      <c r="G108">
        <f>MAX(0,PARAMS_MODELO!$B$33-VALUE(TRIM(F108))*3)</f>
        <v>21</v>
      </c>
      <c r="H108">
        <v>0</v>
      </c>
      <c r="I108">
        <f>ROUND(MIN(4,MAX(0,H108))/4*PARAMS_MODELO!$B$34,2)</f>
        <v>0</v>
      </c>
      <c r="J108">
        <v>1</v>
      </c>
      <c r="K108">
        <f>IF(J108=0,0,PARAMS_MODELO!$B$35)</f>
        <v>10</v>
      </c>
      <c r="L108">
        <f t="shared" si="4"/>
        <v>37.74</v>
      </c>
      <c r="M108" t="str">
        <f t="shared" si="5"/>
        <v>Malo</v>
      </c>
      <c r="N108">
        <f>IF(M108=PARAMS_MODELO!$A$36,PARAMS_MODELO!$B$36,IF(M108=PARAMS_MODELO!$A$37,PARAMS_MODELO!$B$37,IF(M108=PARAMS_MODELO!$A$38,PARAMS_MODELO!$B$38,IF(M108=PARAMS_MODELO!$A$39,PARAMS_MODELO!$B$39,IF(M108=PARAMS_MODELO!$A$40,PARAMS_MODELO!$B$40)))))</f>
        <v>0.7</v>
      </c>
    </row>
    <row r="109" spans="1:14" x14ac:dyDescent="0.3">
      <c r="A109">
        <v>51019911</v>
      </c>
      <c r="B109">
        <v>56</v>
      </c>
      <c r="C109">
        <v>97</v>
      </c>
      <c r="D109">
        <f t="shared" si="3"/>
        <v>0.57731958762886593</v>
      </c>
      <c r="E109">
        <f>ROUND(MIN(5,MAX(0,D109))/5*PARAMS_MODELO!$B$32,2)</f>
        <v>4.62</v>
      </c>
      <c r="F109">
        <v>5</v>
      </c>
      <c r="G109">
        <f>MAX(0,PARAMS_MODELO!$B$33-VALUE(TRIM(F109))*3)</f>
        <v>15</v>
      </c>
      <c r="H109">
        <v>0</v>
      </c>
      <c r="I109">
        <f>ROUND(MIN(4,MAX(0,H109))/4*PARAMS_MODELO!$B$34,2)</f>
        <v>0</v>
      </c>
      <c r="J109">
        <v>1</v>
      </c>
      <c r="K109">
        <f>IF(J109=0,0,PARAMS_MODELO!$B$35)</f>
        <v>10</v>
      </c>
      <c r="L109">
        <f t="shared" si="4"/>
        <v>29.62</v>
      </c>
      <c r="M109" t="str">
        <f t="shared" si="5"/>
        <v>Malo</v>
      </c>
      <c r="N109">
        <f>IF(M109=PARAMS_MODELO!$A$36,PARAMS_MODELO!$B$36,IF(M109=PARAMS_MODELO!$A$37,PARAMS_MODELO!$B$37,IF(M109=PARAMS_MODELO!$A$38,PARAMS_MODELO!$B$38,IF(M109=PARAMS_MODELO!$A$39,PARAMS_MODELO!$B$39,IF(M109=PARAMS_MODELO!$A$40,PARAMS_MODELO!$B$40)))))</f>
        <v>0.7</v>
      </c>
    </row>
    <row r="110" spans="1:14" x14ac:dyDescent="0.3">
      <c r="A110">
        <v>51022076</v>
      </c>
      <c r="B110">
        <v>13</v>
      </c>
      <c r="C110">
        <v>37</v>
      </c>
      <c r="D110">
        <f t="shared" si="3"/>
        <v>0.35135135135135137</v>
      </c>
      <c r="E110">
        <f>ROUND(MIN(5,MAX(0,D110))/5*PARAMS_MODELO!$B$32,2)</f>
        <v>2.81</v>
      </c>
      <c r="F110">
        <v>4</v>
      </c>
      <c r="G110">
        <f>MAX(0,PARAMS_MODELO!$B$33-VALUE(TRIM(F110))*3)</f>
        <v>18</v>
      </c>
      <c r="H110">
        <v>2</v>
      </c>
      <c r="I110">
        <f>ROUND(MIN(4,MAX(0,H110))/4*PARAMS_MODELO!$B$34,2)</f>
        <v>10</v>
      </c>
      <c r="J110">
        <v>1</v>
      </c>
      <c r="K110">
        <f>IF(J110=0,0,PARAMS_MODELO!$B$35)</f>
        <v>10</v>
      </c>
      <c r="L110">
        <f t="shared" si="4"/>
        <v>40.81</v>
      </c>
      <c r="M110" t="str">
        <f t="shared" si="5"/>
        <v>Regular</v>
      </c>
      <c r="N110">
        <f>IF(M110=PARAMS_MODELO!$A$36,PARAMS_MODELO!$B$36,IF(M110=PARAMS_MODELO!$A$37,PARAMS_MODELO!$B$37,IF(M110=PARAMS_MODELO!$A$38,PARAMS_MODELO!$B$38,IF(M110=PARAMS_MODELO!$A$39,PARAMS_MODELO!$B$39,IF(M110=PARAMS_MODELO!$A$40,PARAMS_MODELO!$B$40)))))</f>
        <v>1</v>
      </c>
    </row>
    <row r="111" spans="1:14" x14ac:dyDescent="0.3">
      <c r="A111">
        <v>51055217</v>
      </c>
      <c r="B111">
        <v>20</v>
      </c>
      <c r="C111">
        <v>77</v>
      </c>
      <c r="D111">
        <f t="shared" si="3"/>
        <v>0.25974025974025972</v>
      </c>
      <c r="E111">
        <f>ROUND(MIN(5,MAX(0,D111))/5*PARAMS_MODELO!$B$32,2)</f>
        <v>2.08</v>
      </c>
      <c r="F111">
        <v>3</v>
      </c>
      <c r="G111">
        <f>MAX(0,PARAMS_MODELO!$B$33-VALUE(TRIM(F111))*3)</f>
        <v>21</v>
      </c>
      <c r="H111">
        <v>2</v>
      </c>
      <c r="I111">
        <f>ROUND(MIN(4,MAX(0,H111))/4*PARAMS_MODELO!$B$34,2)</f>
        <v>10</v>
      </c>
      <c r="J111">
        <v>1</v>
      </c>
      <c r="K111">
        <f>IF(J111=0,0,PARAMS_MODELO!$B$35)</f>
        <v>10</v>
      </c>
      <c r="L111">
        <f t="shared" si="4"/>
        <v>43.08</v>
      </c>
      <c r="M111" t="str">
        <f t="shared" si="5"/>
        <v>Regular</v>
      </c>
      <c r="N111">
        <f>IF(M111=PARAMS_MODELO!$A$36,PARAMS_MODELO!$B$36,IF(M111=PARAMS_MODELO!$A$37,PARAMS_MODELO!$B$37,IF(M111=PARAMS_MODELO!$A$38,PARAMS_MODELO!$B$38,IF(M111=PARAMS_MODELO!$A$39,PARAMS_MODELO!$B$39,IF(M111=PARAMS_MODELO!$A$40,PARAMS_MODELO!$B$40)))))</f>
        <v>1</v>
      </c>
    </row>
    <row r="112" spans="1:14" x14ac:dyDescent="0.3">
      <c r="A112">
        <v>51036824</v>
      </c>
      <c r="B112">
        <v>69</v>
      </c>
      <c r="C112">
        <v>25</v>
      </c>
      <c r="D112">
        <f t="shared" si="3"/>
        <v>2.76</v>
      </c>
      <c r="E112">
        <f>ROUND(MIN(5,MAX(0,D112))/5*PARAMS_MODELO!$B$32,2)</f>
        <v>22.08</v>
      </c>
      <c r="F112">
        <v>4</v>
      </c>
      <c r="G112">
        <f>MAX(0,PARAMS_MODELO!$B$33-VALUE(TRIM(F112))*3)</f>
        <v>18</v>
      </c>
      <c r="H112">
        <v>0</v>
      </c>
      <c r="I112">
        <f>ROUND(MIN(4,MAX(0,H112))/4*PARAMS_MODELO!$B$34,2)</f>
        <v>0</v>
      </c>
      <c r="J112">
        <v>0</v>
      </c>
      <c r="K112">
        <f>IF(J112=0,0,PARAMS_MODELO!$B$35)</f>
        <v>0</v>
      </c>
      <c r="L112">
        <f t="shared" si="4"/>
        <v>40.08</v>
      </c>
      <c r="M112" t="str">
        <f t="shared" si="5"/>
        <v>Regular</v>
      </c>
      <c r="N112">
        <f>IF(M112=PARAMS_MODELO!$A$36,PARAMS_MODELO!$B$36,IF(M112=PARAMS_MODELO!$A$37,PARAMS_MODELO!$B$37,IF(M112=PARAMS_MODELO!$A$38,PARAMS_MODELO!$B$38,IF(M112=PARAMS_MODELO!$A$39,PARAMS_MODELO!$B$39,IF(M112=PARAMS_MODELO!$A$40,PARAMS_MODELO!$B$40)))))</f>
        <v>1</v>
      </c>
    </row>
    <row r="113" spans="1:14" x14ac:dyDescent="0.3">
      <c r="A113">
        <v>51024940</v>
      </c>
      <c r="B113">
        <v>4</v>
      </c>
      <c r="C113">
        <v>56</v>
      </c>
      <c r="D113">
        <f t="shared" si="3"/>
        <v>7.1428571428571425E-2</v>
      </c>
      <c r="E113">
        <f>ROUND(MIN(5,MAX(0,D113))/5*PARAMS_MODELO!$B$32,2)</f>
        <v>0.56999999999999995</v>
      </c>
      <c r="F113">
        <v>2</v>
      </c>
      <c r="G113">
        <f>MAX(0,PARAMS_MODELO!$B$33-VALUE(TRIM(F113))*3)</f>
        <v>24</v>
      </c>
      <c r="H113">
        <v>4</v>
      </c>
      <c r="I113">
        <f>ROUND(MIN(4,MAX(0,H113))/4*PARAMS_MODELO!$B$34,2)</f>
        <v>20</v>
      </c>
      <c r="J113">
        <v>1</v>
      </c>
      <c r="K113">
        <f>IF(J113=0,0,PARAMS_MODELO!$B$35)</f>
        <v>10</v>
      </c>
      <c r="L113">
        <f t="shared" si="4"/>
        <v>54.57</v>
      </c>
      <c r="M113" t="str">
        <f t="shared" si="5"/>
        <v>Regular</v>
      </c>
      <c r="N113">
        <f>IF(M113=PARAMS_MODELO!$A$36,PARAMS_MODELO!$B$36,IF(M113=PARAMS_MODELO!$A$37,PARAMS_MODELO!$B$37,IF(M113=PARAMS_MODELO!$A$38,PARAMS_MODELO!$B$38,IF(M113=PARAMS_MODELO!$A$39,PARAMS_MODELO!$B$39,IF(M113=PARAMS_MODELO!$A$40,PARAMS_MODELO!$B$40)))))</f>
        <v>1</v>
      </c>
    </row>
    <row r="114" spans="1:14" x14ac:dyDescent="0.3">
      <c r="A114">
        <v>51033531</v>
      </c>
      <c r="B114">
        <v>18</v>
      </c>
      <c r="C114">
        <v>85</v>
      </c>
      <c r="D114">
        <f t="shared" si="3"/>
        <v>0.21176470588235294</v>
      </c>
      <c r="E114">
        <f>ROUND(MIN(5,MAX(0,D114))/5*PARAMS_MODELO!$B$32,2)</f>
        <v>1.69</v>
      </c>
      <c r="F114">
        <v>3</v>
      </c>
      <c r="G114">
        <f>MAX(0,PARAMS_MODELO!$B$33-VALUE(TRIM(F114))*3)</f>
        <v>21</v>
      </c>
      <c r="H114">
        <v>0</v>
      </c>
      <c r="I114">
        <f>ROUND(MIN(4,MAX(0,H114))/4*PARAMS_MODELO!$B$34,2)</f>
        <v>0</v>
      </c>
      <c r="J114">
        <v>0</v>
      </c>
      <c r="K114">
        <f>IF(J114=0,0,PARAMS_MODELO!$B$35)</f>
        <v>0</v>
      </c>
      <c r="L114">
        <f t="shared" si="4"/>
        <v>22.69</v>
      </c>
      <c r="M114" t="str">
        <f t="shared" si="5"/>
        <v>Malo</v>
      </c>
      <c r="N114">
        <f>IF(M114=PARAMS_MODELO!$A$36,PARAMS_MODELO!$B$36,IF(M114=PARAMS_MODELO!$A$37,PARAMS_MODELO!$B$37,IF(M114=PARAMS_MODELO!$A$38,PARAMS_MODELO!$B$38,IF(M114=PARAMS_MODELO!$A$39,PARAMS_MODELO!$B$39,IF(M114=PARAMS_MODELO!$A$40,PARAMS_MODELO!$B$40)))))</f>
        <v>0.7</v>
      </c>
    </row>
    <row r="115" spans="1:14" x14ac:dyDescent="0.3">
      <c r="A115">
        <v>51032454</v>
      </c>
      <c r="B115">
        <v>95</v>
      </c>
      <c r="C115">
        <v>91</v>
      </c>
      <c r="D115">
        <f t="shared" si="3"/>
        <v>1.043956043956044</v>
      </c>
      <c r="E115">
        <f>ROUND(MIN(5,MAX(0,D115))/5*PARAMS_MODELO!$B$32,2)</f>
        <v>8.35</v>
      </c>
      <c r="F115">
        <v>5</v>
      </c>
      <c r="G115">
        <f>MAX(0,PARAMS_MODELO!$B$33-VALUE(TRIM(F115))*3)</f>
        <v>15</v>
      </c>
      <c r="H115">
        <v>2</v>
      </c>
      <c r="I115">
        <f>ROUND(MIN(4,MAX(0,H115))/4*PARAMS_MODELO!$B$34,2)</f>
        <v>10</v>
      </c>
      <c r="J115">
        <v>0</v>
      </c>
      <c r="K115">
        <f>IF(J115=0,0,PARAMS_MODELO!$B$35)</f>
        <v>0</v>
      </c>
      <c r="L115">
        <f t="shared" si="4"/>
        <v>33.35</v>
      </c>
      <c r="M115" t="str">
        <f t="shared" si="5"/>
        <v>Malo</v>
      </c>
      <c r="N115">
        <f>IF(M115=PARAMS_MODELO!$A$36,PARAMS_MODELO!$B$36,IF(M115=PARAMS_MODELO!$A$37,PARAMS_MODELO!$B$37,IF(M115=PARAMS_MODELO!$A$38,PARAMS_MODELO!$B$38,IF(M115=PARAMS_MODELO!$A$39,PARAMS_MODELO!$B$39,IF(M115=PARAMS_MODELO!$A$40,PARAMS_MODELO!$B$40)))))</f>
        <v>0.7</v>
      </c>
    </row>
    <row r="116" spans="1:14" x14ac:dyDescent="0.3">
      <c r="A116">
        <v>51014260</v>
      </c>
      <c r="B116">
        <v>39</v>
      </c>
      <c r="C116">
        <v>20</v>
      </c>
      <c r="D116">
        <f t="shared" si="3"/>
        <v>1.95</v>
      </c>
      <c r="E116">
        <f>ROUND(MIN(5,MAX(0,D116))/5*PARAMS_MODELO!$B$32,2)</f>
        <v>15.6</v>
      </c>
      <c r="F116">
        <v>0</v>
      </c>
      <c r="G116">
        <f>MAX(0,PARAMS_MODELO!$B$33-VALUE(TRIM(F116))*3)</f>
        <v>30</v>
      </c>
      <c r="H116">
        <v>1</v>
      </c>
      <c r="I116">
        <f>ROUND(MIN(4,MAX(0,H116))/4*PARAMS_MODELO!$B$34,2)</f>
        <v>5</v>
      </c>
      <c r="J116">
        <v>1</v>
      </c>
      <c r="K116">
        <f>IF(J116=0,0,PARAMS_MODELO!$B$35)</f>
        <v>10</v>
      </c>
      <c r="L116">
        <f t="shared" si="4"/>
        <v>60.6</v>
      </c>
      <c r="M116" t="str">
        <f t="shared" si="5"/>
        <v>Bueno</v>
      </c>
      <c r="N116">
        <f>IF(M116=PARAMS_MODELO!$A$36,PARAMS_MODELO!$B$36,IF(M116=PARAMS_MODELO!$A$37,PARAMS_MODELO!$B$37,IF(M116=PARAMS_MODELO!$A$38,PARAMS_MODELO!$B$38,IF(M116=PARAMS_MODELO!$A$39,PARAMS_MODELO!$B$39,IF(M116=PARAMS_MODELO!$A$40,PARAMS_MODELO!$B$40)))))</f>
        <v>1.1000000000000001</v>
      </c>
    </row>
    <row r="117" spans="1:14" x14ac:dyDescent="0.3">
      <c r="A117">
        <v>51011414</v>
      </c>
      <c r="B117">
        <v>67</v>
      </c>
      <c r="C117">
        <v>71</v>
      </c>
      <c r="D117">
        <f t="shared" si="3"/>
        <v>0.94366197183098588</v>
      </c>
      <c r="E117">
        <f>ROUND(MIN(5,MAX(0,D117))/5*PARAMS_MODELO!$B$32,2)</f>
        <v>7.55</v>
      </c>
      <c r="F117">
        <v>5</v>
      </c>
      <c r="G117">
        <f>MAX(0,PARAMS_MODELO!$B$33-VALUE(TRIM(F117))*3)</f>
        <v>15</v>
      </c>
      <c r="H117">
        <v>0</v>
      </c>
      <c r="I117">
        <f>ROUND(MIN(4,MAX(0,H117))/4*PARAMS_MODELO!$B$34,2)</f>
        <v>0</v>
      </c>
      <c r="J117">
        <v>0</v>
      </c>
      <c r="K117">
        <f>IF(J117=0,0,PARAMS_MODELO!$B$35)</f>
        <v>0</v>
      </c>
      <c r="L117">
        <f t="shared" si="4"/>
        <v>22.55</v>
      </c>
      <c r="M117" t="str">
        <f t="shared" si="5"/>
        <v>Malo</v>
      </c>
      <c r="N117">
        <f>IF(M117=PARAMS_MODELO!$A$36,PARAMS_MODELO!$B$36,IF(M117=PARAMS_MODELO!$A$37,PARAMS_MODELO!$B$37,IF(M117=PARAMS_MODELO!$A$38,PARAMS_MODELO!$B$38,IF(M117=PARAMS_MODELO!$A$39,PARAMS_MODELO!$B$39,IF(M117=PARAMS_MODELO!$A$40,PARAMS_MODELO!$B$40)))))</f>
        <v>0.7</v>
      </c>
    </row>
    <row r="118" spans="1:14" x14ac:dyDescent="0.3">
      <c r="A118">
        <v>51018559</v>
      </c>
      <c r="B118">
        <v>59</v>
      </c>
      <c r="C118">
        <v>19</v>
      </c>
      <c r="D118">
        <f t="shared" si="3"/>
        <v>3.1052631578947367</v>
      </c>
      <c r="E118">
        <f>ROUND(MIN(5,MAX(0,D118))/5*PARAMS_MODELO!$B$32,2)</f>
        <v>24.84</v>
      </c>
      <c r="F118">
        <v>0</v>
      </c>
      <c r="G118">
        <f>MAX(0,PARAMS_MODELO!$B$33-VALUE(TRIM(F118))*3)</f>
        <v>30</v>
      </c>
      <c r="H118">
        <v>0</v>
      </c>
      <c r="I118">
        <f>ROUND(MIN(4,MAX(0,H118))/4*PARAMS_MODELO!$B$34,2)</f>
        <v>0</v>
      </c>
      <c r="J118">
        <v>0</v>
      </c>
      <c r="K118">
        <f>IF(J118=0,0,PARAMS_MODELO!$B$35)</f>
        <v>0</v>
      </c>
      <c r="L118">
        <f t="shared" si="4"/>
        <v>54.84</v>
      </c>
      <c r="M118" t="str">
        <f t="shared" si="5"/>
        <v>Regular</v>
      </c>
      <c r="N118">
        <f>IF(M118=PARAMS_MODELO!$A$36,PARAMS_MODELO!$B$36,IF(M118=PARAMS_MODELO!$A$37,PARAMS_MODELO!$B$37,IF(M118=PARAMS_MODELO!$A$38,PARAMS_MODELO!$B$38,IF(M118=PARAMS_MODELO!$A$39,PARAMS_MODELO!$B$39,IF(M118=PARAMS_MODELO!$A$40,PARAMS_MODELO!$B$40)))))</f>
        <v>1</v>
      </c>
    </row>
    <row r="119" spans="1:14" x14ac:dyDescent="0.3">
      <c r="A119">
        <v>51014308</v>
      </c>
      <c r="B119">
        <v>2</v>
      </c>
      <c r="C119">
        <v>91</v>
      </c>
      <c r="D119">
        <f t="shared" si="3"/>
        <v>2.197802197802198E-2</v>
      </c>
      <c r="E119">
        <f>ROUND(MIN(5,MAX(0,D119))/5*PARAMS_MODELO!$B$32,2)</f>
        <v>0.18</v>
      </c>
      <c r="F119">
        <v>0</v>
      </c>
      <c r="G119">
        <f>MAX(0,PARAMS_MODELO!$B$33-VALUE(TRIM(F119))*3)</f>
        <v>30</v>
      </c>
      <c r="H119">
        <v>3</v>
      </c>
      <c r="I119">
        <f>ROUND(MIN(4,MAX(0,H119))/4*PARAMS_MODELO!$B$34,2)</f>
        <v>15</v>
      </c>
      <c r="J119">
        <v>1</v>
      </c>
      <c r="K119">
        <f>IF(J119=0,0,PARAMS_MODELO!$B$35)</f>
        <v>10</v>
      </c>
      <c r="L119">
        <f t="shared" si="4"/>
        <v>55.18</v>
      </c>
      <c r="M119" t="str">
        <f t="shared" si="5"/>
        <v>Regular</v>
      </c>
      <c r="N119">
        <f>IF(M119=PARAMS_MODELO!$A$36,PARAMS_MODELO!$B$36,IF(M119=PARAMS_MODELO!$A$37,PARAMS_MODELO!$B$37,IF(M119=PARAMS_MODELO!$A$38,PARAMS_MODELO!$B$38,IF(M119=PARAMS_MODELO!$A$39,PARAMS_MODELO!$B$39,IF(M119=PARAMS_MODELO!$A$40,PARAMS_MODELO!$B$40)))))</f>
        <v>1</v>
      </c>
    </row>
    <row r="120" spans="1:14" x14ac:dyDescent="0.3">
      <c r="A120">
        <v>51056949</v>
      </c>
      <c r="B120">
        <v>15</v>
      </c>
      <c r="C120">
        <v>60</v>
      </c>
      <c r="D120">
        <f t="shared" si="3"/>
        <v>0.25</v>
      </c>
      <c r="E120">
        <f>ROUND(MIN(5,MAX(0,D120))/5*PARAMS_MODELO!$B$32,2)</f>
        <v>2</v>
      </c>
      <c r="F120">
        <v>1</v>
      </c>
      <c r="G120">
        <f>MAX(0,PARAMS_MODELO!$B$33-VALUE(TRIM(F120))*3)</f>
        <v>27</v>
      </c>
      <c r="H120">
        <v>4</v>
      </c>
      <c r="I120">
        <f>ROUND(MIN(4,MAX(0,H120))/4*PARAMS_MODELO!$B$34,2)</f>
        <v>20</v>
      </c>
      <c r="J120">
        <v>0</v>
      </c>
      <c r="K120">
        <f>IF(J120=0,0,PARAMS_MODELO!$B$35)</f>
        <v>0</v>
      </c>
      <c r="L120">
        <f t="shared" si="4"/>
        <v>49</v>
      </c>
      <c r="M120" t="str">
        <f t="shared" si="5"/>
        <v>Regular</v>
      </c>
      <c r="N120">
        <f>IF(M120=PARAMS_MODELO!$A$36,PARAMS_MODELO!$B$36,IF(M120=PARAMS_MODELO!$A$37,PARAMS_MODELO!$B$37,IF(M120=PARAMS_MODELO!$A$38,PARAMS_MODELO!$B$38,IF(M120=PARAMS_MODELO!$A$39,PARAMS_MODELO!$B$39,IF(M120=PARAMS_MODELO!$A$40,PARAMS_MODELO!$B$40)))))</f>
        <v>1</v>
      </c>
    </row>
    <row r="121" spans="1:14" x14ac:dyDescent="0.3">
      <c r="A121">
        <v>51022173</v>
      </c>
      <c r="B121">
        <v>34</v>
      </c>
      <c r="C121">
        <v>98</v>
      </c>
      <c r="D121">
        <f t="shared" si="3"/>
        <v>0.34693877551020408</v>
      </c>
      <c r="E121">
        <f>ROUND(MIN(5,MAX(0,D121))/5*PARAMS_MODELO!$B$32,2)</f>
        <v>2.78</v>
      </c>
      <c r="F121">
        <v>2</v>
      </c>
      <c r="G121">
        <f>MAX(0,PARAMS_MODELO!$B$33-VALUE(TRIM(F121))*3)</f>
        <v>24</v>
      </c>
      <c r="H121">
        <v>3</v>
      </c>
      <c r="I121">
        <f>ROUND(MIN(4,MAX(0,H121))/4*PARAMS_MODELO!$B$34,2)</f>
        <v>15</v>
      </c>
      <c r="J121">
        <v>1</v>
      </c>
      <c r="K121">
        <f>IF(J121=0,0,PARAMS_MODELO!$B$35)</f>
        <v>10</v>
      </c>
      <c r="L121">
        <f t="shared" si="4"/>
        <v>51.78</v>
      </c>
      <c r="M121" t="str">
        <f t="shared" si="5"/>
        <v>Regular</v>
      </c>
      <c r="N121">
        <f>IF(M121=PARAMS_MODELO!$A$36,PARAMS_MODELO!$B$36,IF(M121=PARAMS_MODELO!$A$37,PARAMS_MODELO!$B$37,IF(M121=PARAMS_MODELO!$A$38,PARAMS_MODELO!$B$38,IF(M121=PARAMS_MODELO!$A$39,PARAMS_MODELO!$B$39,IF(M121=PARAMS_MODELO!$A$40,PARAMS_MODELO!$B$40)))))</f>
        <v>1</v>
      </c>
    </row>
    <row r="122" spans="1:14" x14ac:dyDescent="0.3">
      <c r="A122">
        <v>51023765</v>
      </c>
      <c r="B122">
        <v>75</v>
      </c>
      <c r="C122">
        <v>15</v>
      </c>
      <c r="D122">
        <f t="shared" si="3"/>
        <v>5</v>
      </c>
      <c r="E122">
        <f>ROUND(MIN(5,MAX(0,D122))/5*PARAMS_MODELO!$B$32,2)</f>
        <v>40</v>
      </c>
      <c r="F122">
        <v>0</v>
      </c>
      <c r="G122">
        <f>MAX(0,PARAMS_MODELO!$B$33-VALUE(TRIM(F122))*3)</f>
        <v>30</v>
      </c>
      <c r="H122">
        <v>1</v>
      </c>
      <c r="I122">
        <f>ROUND(MIN(4,MAX(0,H122))/4*PARAMS_MODELO!$B$34,2)</f>
        <v>5</v>
      </c>
      <c r="J122">
        <v>1</v>
      </c>
      <c r="K122">
        <f>IF(J122=0,0,PARAMS_MODELO!$B$35)</f>
        <v>10</v>
      </c>
      <c r="L122">
        <f t="shared" si="4"/>
        <v>85</v>
      </c>
      <c r="M122" t="str">
        <f t="shared" si="5"/>
        <v>Muy Bueno</v>
      </c>
      <c r="N122">
        <f>IF(M122=PARAMS_MODELO!$A$36,PARAMS_MODELO!$B$36,IF(M122=PARAMS_MODELO!$A$37,PARAMS_MODELO!$B$37,IF(M122=PARAMS_MODELO!$A$38,PARAMS_MODELO!$B$38,IF(M122=PARAMS_MODELO!$A$39,PARAMS_MODELO!$B$39,IF(M122=PARAMS_MODELO!$A$40,PARAMS_MODELO!$B$40)))))</f>
        <v>1.1499999999999999</v>
      </c>
    </row>
    <row r="123" spans="1:14" x14ac:dyDescent="0.3">
      <c r="A123">
        <v>51038908</v>
      </c>
      <c r="B123">
        <v>10</v>
      </c>
      <c r="C123">
        <v>25</v>
      </c>
      <c r="D123">
        <f t="shared" si="3"/>
        <v>0.4</v>
      </c>
      <c r="E123">
        <f>ROUND(MIN(5,MAX(0,D123))/5*PARAMS_MODELO!$B$32,2)</f>
        <v>3.2</v>
      </c>
      <c r="F123">
        <v>2</v>
      </c>
      <c r="G123">
        <f>MAX(0,PARAMS_MODELO!$B$33-VALUE(TRIM(F123))*3)</f>
        <v>24</v>
      </c>
      <c r="H123">
        <v>4</v>
      </c>
      <c r="I123">
        <f>ROUND(MIN(4,MAX(0,H123))/4*PARAMS_MODELO!$B$34,2)</f>
        <v>20</v>
      </c>
      <c r="J123">
        <v>1</v>
      </c>
      <c r="K123">
        <f>IF(J123=0,0,PARAMS_MODELO!$B$35)</f>
        <v>10</v>
      </c>
      <c r="L123">
        <f t="shared" si="4"/>
        <v>57.2</v>
      </c>
      <c r="M123" t="str">
        <f t="shared" si="5"/>
        <v>Regular</v>
      </c>
      <c r="N123">
        <f>IF(M123=PARAMS_MODELO!$A$36,PARAMS_MODELO!$B$36,IF(M123=PARAMS_MODELO!$A$37,PARAMS_MODELO!$B$37,IF(M123=PARAMS_MODELO!$A$38,PARAMS_MODELO!$B$38,IF(M123=PARAMS_MODELO!$A$39,PARAMS_MODELO!$B$39,IF(M123=PARAMS_MODELO!$A$40,PARAMS_MODELO!$B$40)))))</f>
        <v>1</v>
      </c>
    </row>
    <row r="124" spans="1:14" x14ac:dyDescent="0.3">
      <c r="A124">
        <v>51013158</v>
      </c>
      <c r="B124">
        <v>10</v>
      </c>
      <c r="C124">
        <v>89</v>
      </c>
      <c r="D124">
        <f t="shared" si="3"/>
        <v>0.11235955056179775</v>
      </c>
      <c r="E124">
        <f>ROUND(MIN(5,MAX(0,D124))/5*PARAMS_MODELO!$B$32,2)</f>
        <v>0.9</v>
      </c>
      <c r="F124">
        <v>5</v>
      </c>
      <c r="G124">
        <f>MAX(0,PARAMS_MODELO!$B$33-VALUE(TRIM(F124))*3)</f>
        <v>15</v>
      </c>
      <c r="H124">
        <v>1</v>
      </c>
      <c r="I124">
        <f>ROUND(MIN(4,MAX(0,H124))/4*PARAMS_MODELO!$B$34,2)</f>
        <v>5</v>
      </c>
      <c r="J124">
        <v>1</v>
      </c>
      <c r="K124">
        <f>IF(J124=0,0,PARAMS_MODELO!$B$35)</f>
        <v>10</v>
      </c>
      <c r="L124">
        <f t="shared" si="4"/>
        <v>30.9</v>
      </c>
      <c r="M124" t="str">
        <f t="shared" si="5"/>
        <v>Malo</v>
      </c>
      <c r="N124">
        <f>IF(M124=PARAMS_MODELO!$A$36,PARAMS_MODELO!$B$36,IF(M124=PARAMS_MODELO!$A$37,PARAMS_MODELO!$B$37,IF(M124=PARAMS_MODELO!$A$38,PARAMS_MODELO!$B$38,IF(M124=PARAMS_MODELO!$A$39,PARAMS_MODELO!$B$39,IF(M124=PARAMS_MODELO!$A$40,PARAMS_MODELO!$B$40)))))</f>
        <v>0.7</v>
      </c>
    </row>
    <row r="125" spans="1:14" x14ac:dyDescent="0.3">
      <c r="A125">
        <v>51024176</v>
      </c>
      <c r="B125">
        <v>67</v>
      </c>
      <c r="C125">
        <v>65</v>
      </c>
      <c r="D125">
        <f t="shared" si="3"/>
        <v>1.0307692307692307</v>
      </c>
      <c r="E125">
        <f>ROUND(MIN(5,MAX(0,D125))/5*PARAMS_MODELO!$B$32,2)</f>
        <v>8.25</v>
      </c>
      <c r="F125">
        <v>1</v>
      </c>
      <c r="G125">
        <f>MAX(0,PARAMS_MODELO!$B$33-VALUE(TRIM(F125))*3)</f>
        <v>27</v>
      </c>
      <c r="H125">
        <v>3</v>
      </c>
      <c r="I125">
        <f>ROUND(MIN(4,MAX(0,H125))/4*PARAMS_MODELO!$B$34,2)</f>
        <v>15</v>
      </c>
      <c r="J125">
        <v>1</v>
      </c>
      <c r="K125">
        <f>IF(J125=0,0,PARAMS_MODELO!$B$35)</f>
        <v>10</v>
      </c>
      <c r="L125">
        <f t="shared" si="4"/>
        <v>60.25</v>
      </c>
      <c r="M125" t="str">
        <f t="shared" si="5"/>
        <v>Bueno</v>
      </c>
      <c r="N125">
        <f>IF(M125=PARAMS_MODELO!$A$36,PARAMS_MODELO!$B$36,IF(M125=PARAMS_MODELO!$A$37,PARAMS_MODELO!$B$37,IF(M125=PARAMS_MODELO!$A$38,PARAMS_MODELO!$B$38,IF(M125=PARAMS_MODELO!$A$39,PARAMS_MODELO!$B$39,IF(M125=PARAMS_MODELO!$A$40,PARAMS_MODELO!$B$40)))))</f>
        <v>1.1000000000000001</v>
      </c>
    </row>
    <row r="126" spans="1:14" x14ac:dyDescent="0.3">
      <c r="A126">
        <v>51000196</v>
      </c>
      <c r="B126">
        <v>93</v>
      </c>
      <c r="C126">
        <v>19</v>
      </c>
      <c r="D126">
        <f t="shared" si="3"/>
        <v>4.8947368421052628</v>
      </c>
      <c r="E126">
        <f>ROUND(MIN(5,MAX(0,D126))/5*PARAMS_MODELO!$B$32,2)</f>
        <v>39.159999999999997</v>
      </c>
      <c r="F126">
        <v>3</v>
      </c>
      <c r="G126">
        <f>MAX(0,PARAMS_MODELO!$B$33-VALUE(TRIM(F126))*3)</f>
        <v>21</v>
      </c>
      <c r="H126">
        <v>4</v>
      </c>
      <c r="I126">
        <f>ROUND(MIN(4,MAX(0,H126))/4*PARAMS_MODELO!$B$34,2)</f>
        <v>20</v>
      </c>
      <c r="J126">
        <v>1</v>
      </c>
      <c r="K126">
        <f>IF(J126=0,0,PARAMS_MODELO!$B$35)</f>
        <v>10</v>
      </c>
      <c r="L126">
        <f t="shared" si="4"/>
        <v>90.16</v>
      </c>
      <c r="M126" t="str">
        <f t="shared" si="5"/>
        <v>Excelente</v>
      </c>
      <c r="N126">
        <f>IF(M126=PARAMS_MODELO!$A$36,PARAMS_MODELO!$B$36,IF(M126=PARAMS_MODELO!$A$37,PARAMS_MODELO!$B$37,IF(M126=PARAMS_MODELO!$A$38,PARAMS_MODELO!$B$38,IF(M126=PARAMS_MODELO!$A$39,PARAMS_MODELO!$B$39,IF(M126=PARAMS_MODELO!$A$40,PARAMS_MODELO!$B$40)))))</f>
        <v>1.2</v>
      </c>
    </row>
    <row r="127" spans="1:14" x14ac:dyDescent="0.3">
      <c r="A127">
        <v>51024672</v>
      </c>
      <c r="B127">
        <v>7</v>
      </c>
      <c r="C127">
        <v>46</v>
      </c>
      <c r="D127">
        <f t="shared" si="3"/>
        <v>0.15217391304347827</v>
      </c>
      <c r="E127">
        <f>ROUND(MIN(5,MAX(0,D127))/5*PARAMS_MODELO!$B$32,2)</f>
        <v>1.22</v>
      </c>
      <c r="F127">
        <v>1</v>
      </c>
      <c r="G127">
        <f>MAX(0,PARAMS_MODELO!$B$33-VALUE(TRIM(F127))*3)</f>
        <v>27</v>
      </c>
      <c r="H127">
        <v>4</v>
      </c>
      <c r="I127">
        <f>ROUND(MIN(4,MAX(0,H127))/4*PARAMS_MODELO!$B$34,2)</f>
        <v>20</v>
      </c>
      <c r="J127">
        <v>0</v>
      </c>
      <c r="K127">
        <f>IF(J127=0,0,PARAMS_MODELO!$B$35)</f>
        <v>0</v>
      </c>
      <c r="L127">
        <f t="shared" si="4"/>
        <v>48.22</v>
      </c>
      <c r="M127" t="str">
        <f t="shared" si="5"/>
        <v>Regular</v>
      </c>
      <c r="N127">
        <f>IF(M127=PARAMS_MODELO!$A$36,PARAMS_MODELO!$B$36,IF(M127=PARAMS_MODELO!$A$37,PARAMS_MODELO!$B$37,IF(M127=PARAMS_MODELO!$A$38,PARAMS_MODELO!$B$38,IF(M127=PARAMS_MODELO!$A$39,PARAMS_MODELO!$B$39,IF(M127=PARAMS_MODELO!$A$40,PARAMS_MODELO!$B$40)))))</f>
        <v>1</v>
      </c>
    </row>
    <row r="128" spans="1:14" x14ac:dyDescent="0.3">
      <c r="A128">
        <v>51021657</v>
      </c>
      <c r="B128">
        <v>85</v>
      </c>
      <c r="C128">
        <v>66</v>
      </c>
      <c r="D128">
        <f t="shared" si="3"/>
        <v>1.2878787878787878</v>
      </c>
      <c r="E128">
        <f>ROUND(MIN(5,MAX(0,D128))/5*PARAMS_MODELO!$B$32,2)</f>
        <v>10.3</v>
      </c>
      <c r="F128">
        <v>3</v>
      </c>
      <c r="G128">
        <f>MAX(0,PARAMS_MODELO!$B$33-VALUE(TRIM(F128))*3)</f>
        <v>21</v>
      </c>
      <c r="H128">
        <v>3</v>
      </c>
      <c r="I128">
        <f>ROUND(MIN(4,MAX(0,H128))/4*PARAMS_MODELO!$B$34,2)</f>
        <v>15</v>
      </c>
      <c r="J128">
        <v>0</v>
      </c>
      <c r="K128">
        <f>IF(J128=0,0,PARAMS_MODELO!$B$35)</f>
        <v>0</v>
      </c>
      <c r="L128">
        <f t="shared" si="4"/>
        <v>46.3</v>
      </c>
      <c r="M128" t="str">
        <f t="shared" si="5"/>
        <v>Regular</v>
      </c>
      <c r="N128">
        <f>IF(M128=PARAMS_MODELO!$A$36,PARAMS_MODELO!$B$36,IF(M128=PARAMS_MODELO!$A$37,PARAMS_MODELO!$B$37,IF(M128=PARAMS_MODELO!$A$38,PARAMS_MODELO!$B$38,IF(M128=PARAMS_MODELO!$A$39,PARAMS_MODELO!$B$39,IF(M128=PARAMS_MODELO!$A$40,PARAMS_MODELO!$B$40)))))</f>
        <v>1</v>
      </c>
    </row>
    <row r="129" spans="1:14" x14ac:dyDescent="0.3">
      <c r="A129">
        <v>51042263</v>
      </c>
      <c r="B129">
        <v>44</v>
      </c>
      <c r="C129">
        <v>38</v>
      </c>
      <c r="D129">
        <f t="shared" si="3"/>
        <v>1.1578947368421053</v>
      </c>
      <c r="E129">
        <f>ROUND(MIN(5,MAX(0,D129))/5*PARAMS_MODELO!$B$32,2)</f>
        <v>9.26</v>
      </c>
      <c r="F129">
        <v>2</v>
      </c>
      <c r="G129">
        <f>MAX(0,PARAMS_MODELO!$B$33-VALUE(TRIM(F129))*3)</f>
        <v>24</v>
      </c>
      <c r="H129">
        <v>3</v>
      </c>
      <c r="I129">
        <f>ROUND(MIN(4,MAX(0,H129))/4*PARAMS_MODELO!$B$34,2)</f>
        <v>15</v>
      </c>
      <c r="J129">
        <v>0</v>
      </c>
      <c r="K129">
        <f>IF(J129=0,0,PARAMS_MODELO!$B$35)</f>
        <v>0</v>
      </c>
      <c r="L129">
        <f t="shared" si="4"/>
        <v>48.26</v>
      </c>
      <c r="M129" t="str">
        <f t="shared" si="5"/>
        <v>Regular</v>
      </c>
      <c r="N129">
        <f>IF(M129=PARAMS_MODELO!$A$36,PARAMS_MODELO!$B$36,IF(M129=PARAMS_MODELO!$A$37,PARAMS_MODELO!$B$37,IF(M129=PARAMS_MODELO!$A$38,PARAMS_MODELO!$B$38,IF(M129=PARAMS_MODELO!$A$39,PARAMS_MODELO!$B$39,IF(M129=PARAMS_MODELO!$A$40,PARAMS_MODELO!$B$40)))))</f>
        <v>1</v>
      </c>
    </row>
    <row r="130" spans="1:14" x14ac:dyDescent="0.3">
      <c r="A130">
        <v>51055365</v>
      </c>
      <c r="B130">
        <v>55</v>
      </c>
      <c r="C130">
        <v>56</v>
      </c>
      <c r="D130">
        <f t="shared" ref="D130:D193" si="6">IF(C130=0,0,MIN(5,B130/C130))</f>
        <v>0.9821428571428571</v>
      </c>
      <c r="E130">
        <f>ROUND(MIN(5,MAX(0,D130))/5*PARAMS_MODELO!$B$32,2)</f>
        <v>7.86</v>
      </c>
      <c r="F130">
        <v>4</v>
      </c>
      <c r="G130">
        <f>MAX(0,PARAMS_MODELO!$B$33-VALUE(TRIM(F130))*3)</f>
        <v>18</v>
      </c>
      <c r="H130">
        <v>3</v>
      </c>
      <c r="I130">
        <f>ROUND(MIN(4,MAX(0,H130))/4*PARAMS_MODELO!$B$34,2)</f>
        <v>15</v>
      </c>
      <c r="J130">
        <v>0</v>
      </c>
      <c r="K130">
        <f>IF(J130=0,0,PARAMS_MODELO!$B$35)</f>
        <v>0</v>
      </c>
      <c r="L130">
        <f t="shared" ref="L130:L193" si="7">MIN(100,MAX(0,E130+G130+I130+K130))</f>
        <v>40.86</v>
      </c>
      <c r="M130" t="str">
        <f t="shared" ref="M130:M193" si="8">IF(L130="","",IF(L130&gt;=90,"Excelente",IF(L130&gt;=75,"Muy Bueno",IF(L130&gt;=60,"Bueno",IF(L130&gt;=40,"Regular","Malo")))))</f>
        <v>Regular</v>
      </c>
      <c r="N130">
        <f>IF(M130=PARAMS_MODELO!$A$36,PARAMS_MODELO!$B$36,IF(M130=PARAMS_MODELO!$A$37,PARAMS_MODELO!$B$37,IF(M130=PARAMS_MODELO!$A$38,PARAMS_MODELO!$B$38,IF(M130=PARAMS_MODELO!$A$39,PARAMS_MODELO!$B$39,IF(M130=PARAMS_MODELO!$A$40,PARAMS_MODELO!$B$40)))))</f>
        <v>1</v>
      </c>
    </row>
    <row r="131" spans="1:14" x14ac:dyDescent="0.3">
      <c r="A131">
        <v>51031385</v>
      </c>
      <c r="B131">
        <v>93</v>
      </c>
      <c r="C131">
        <v>100</v>
      </c>
      <c r="D131">
        <f t="shared" si="6"/>
        <v>0.93</v>
      </c>
      <c r="E131">
        <f>ROUND(MIN(5,MAX(0,D131))/5*PARAMS_MODELO!$B$32,2)</f>
        <v>7.44</v>
      </c>
      <c r="F131">
        <v>1</v>
      </c>
      <c r="G131">
        <f>MAX(0,PARAMS_MODELO!$B$33-VALUE(TRIM(F131))*3)</f>
        <v>27</v>
      </c>
      <c r="H131">
        <v>2</v>
      </c>
      <c r="I131">
        <f>ROUND(MIN(4,MAX(0,H131))/4*PARAMS_MODELO!$B$34,2)</f>
        <v>10</v>
      </c>
      <c r="J131">
        <v>1</v>
      </c>
      <c r="K131">
        <f>IF(J131=0,0,PARAMS_MODELO!$B$35)</f>
        <v>10</v>
      </c>
      <c r="L131">
        <f t="shared" si="7"/>
        <v>54.44</v>
      </c>
      <c r="M131" t="str">
        <f t="shared" si="8"/>
        <v>Regular</v>
      </c>
      <c r="N131">
        <f>IF(M131=PARAMS_MODELO!$A$36,PARAMS_MODELO!$B$36,IF(M131=PARAMS_MODELO!$A$37,PARAMS_MODELO!$B$37,IF(M131=PARAMS_MODELO!$A$38,PARAMS_MODELO!$B$38,IF(M131=PARAMS_MODELO!$A$39,PARAMS_MODELO!$B$39,IF(M131=PARAMS_MODELO!$A$40,PARAMS_MODELO!$B$40)))))</f>
        <v>1</v>
      </c>
    </row>
    <row r="132" spans="1:14" x14ac:dyDescent="0.3">
      <c r="A132">
        <v>51041577</v>
      </c>
      <c r="B132">
        <v>54</v>
      </c>
      <c r="C132">
        <v>60</v>
      </c>
      <c r="D132">
        <f t="shared" si="6"/>
        <v>0.9</v>
      </c>
      <c r="E132">
        <f>ROUND(MIN(5,MAX(0,D132))/5*PARAMS_MODELO!$B$32,2)</f>
        <v>7.2</v>
      </c>
      <c r="F132">
        <v>1</v>
      </c>
      <c r="G132">
        <f>MAX(0,PARAMS_MODELO!$B$33-VALUE(TRIM(F132))*3)</f>
        <v>27</v>
      </c>
      <c r="H132">
        <v>4</v>
      </c>
      <c r="I132">
        <f>ROUND(MIN(4,MAX(0,H132))/4*PARAMS_MODELO!$B$34,2)</f>
        <v>20</v>
      </c>
      <c r="J132">
        <v>1</v>
      </c>
      <c r="K132">
        <f>IF(J132=0,0,PARAMS_MODELO!$B$35)</f>
        <v>10</v>
      </c>
      <c r="L132">
        <f t="shared" si="7"/>
        <v>64.2</v>
      </c>
      <c r="M132" t="str">
        <f t="shared" si="8"/>
        <v>Bueno</v>
      </c>
      <c r="N132">
        <f>IF(M132=PARAMS_MODELO!$A$36,PARAMS_MODELO!$B$36,IF(M132=PARAMS_MODELO!$A$37,PARAMS_MODELO!$B$37,IF(M132=PARAMS_MODELO!$A$38,PARAMS_MODELO!$B$38,IF(M132=PARAMS_MODELO!$A$39,PARAMS_MODELO!$B$39,IF(M132=PARAMS_MODELO!$A$40,PARAMS_MODELO!$B$40)))))</f>
        <v>1.1000000000000001</v>
      </c>
    </row>
    <row r="133" spans="1:14" x14ac:dyDescent="0.3">
      <c r="A133">
        <v>51018877</v>
      </c>
      <c r="B133">
        <v>95</v>
      </c>
      <c r="C133">
        <v>59</v>
      </c>
      <c r="D133">
        <f t="shared" si="6"/>
        <v>1.6101694915254237</v>
      </c>
      <c r="E133">
        <f>ROUND(MIN(5,MAX(0,D133))/5*PARAMS_MODELO!$B$32,2)</f>
        <v>12.88</v>
      </c>
      <c r="F133">
        <v>5</v>
      </c>
      <c r="G133">
        <f>MAX(0,PARAMS_MODELO!$B$33-VALUE(TRIM(F133))*3)</f>
        <v>15</v>
      </c>
      <c r="H133">
        <v>0</v>
      </c>
      <c r="I133">
        <f>ROUND(MIN(4,MAX(0,H133))/4*PARAMS_MODELO!$B$34,2)</f>
        <v>0</v>
      </c>
      <c r="J133">
        <v>1</v>
      </c>
      <c r="K133">
        <f>IF(J133=0,0,PARAMS_MODELO!$B$35)</f>
        <v>10</v>
      </c>
      <c r="L133">
        <f t="shared" si="7"/>
        <v>37.880000000000003</v>
      </c>
      <c r="M133" t="str">
        <f t="shared" si="8"/>
        <v>Malo</v>
      </c>
      <c r="N133">
        <f>IF(M133=PARAMS_MODELO!$A$36,PARAMS_MODELO!$B$36,IF(M133=PARAMS_MODELO!$A$37,PARAMS_MODELO!$B$37,IF(M133=PARAMS_MODELO!$A$38,PARAMS_MODELO!$B$38,IF(M133=PARAMS_MODELO!$A$39,PARAMS_MODELO!$B$39,IF(M133=PARAMS_MODELO!$A$40,PARAMS_MODELO!$B$40)))))</f>
        <v>0.7</v>
      </c>
    </row>
    <row r="134" spans="1:14" x14ac:dyDescent="0.3">
      <c r="A134">
        <v>51030303</v>
      </c>
      <c r="B134">
        <v>18</v>
      </c>
      <c r="C134">
        <v>27</v>
      </c>
      <c r="D134">
        <f t="shared" si="6"/>
        <v>0.66666666666666663</v>
      </c>
      <c r="E134">
        <f>ROUND(MIN(5,MAX(0,D134))/5*PARAMS_MODELO!$B$32,2)</f>
        <v>5.33</v>
      </c>
      <c r="F134">
        <v>1</v>
      </c>
      <c r="G134">
        <f>MAX(0,PARAMS_MODELO!$B$33-VALUE(TRIM(F134))*3)</f>
        <v>27</v>
      </c>
      <c r="H134">
        <v>0</v>
      </c>
      <c r="I134">
        <f>ROUND(MIN(4,MAX(0,H134))/4*PARAMS_MODELO!$B$34,2)</f>
        <v>0</v>
      </c>
      <c r="J134">
        <v>0</v>
      </c>
      <c r="K134">
        <f>IF(J134=0,0,PARAMS_MODELO!$B$35)</f>
        <v>0</v>
      </c>
      <c r="L134">
        <f t="shared" si="7"/>
        <v>32.33</v>
      </c>
      <c r="M134" t="str">
        <f t="shared" si="8"/>
        <v>Malo</v>
      </c>
      <c r="N134">
        <f>IF(M134=PARAMS_MODELO!$A$36,PARAMS_MODELO!$B$36,IF(M134=PARAMS_MODELO!$A$37,PARAMS_MODELO!$B$37,IF(M134=PARAMS_MODELO!$A$38,PARAMS_MODELO!$B$38,IF(M134=PARAMS_MODELO!$A$39,PARAMS_MODELO!$B$39,IF(M134=PARAMS_MODELO!$A$40,PARAMS_MODELO!$B$40)))))</f>
        <v>0.7</v>
      </c>
    </row>
    <row r="135" spans="1:14" x14ac:dyDescent="0.3">
      <c r="A135">
        <v>51030613</v>
      </c>
      <c r="B135">
        <v>20</v>
      </c>
      <c r="C135">
        <v>39</v>
      </c>
      <c r="D135">
        <f t="shared" si="6"/>
        <v>0.51282051282051277</v>
      </c>
      <c r="E135">
        <f>ROUND(MIN(5,MAX(0,D135))/5*PARAMS_MODELO!$B$32,2)</f>
        <v>4.0999999999999996</v>
      </c>
      <c r="F135">
        <v>5</v>
      </c>
      <c r="G135">
        <f>MAX(0,PARAMS_MODELO!$B$33-VALUE(TRIM(F135))*3)</f>
        <v>15</v>
      </c>
      <c r="H135">
        <v>4</v>
      </c>
      <c r="I135">
        <f>ROUND(MIN(4,MAX(0,H135))/4*PARAMS_MODELO!$B$34,2)</f>
        <v>20</v>
      </c>
      <c r="J135">
        <v>1</v>
      </c>
      <c r="K135">
        <f>IF(J135=0,0,PARAMS_MODELO!$B$35)</f>
        <v>10</v>
      </c>
      <c r="L135">
        <f t="shared" si="7"/>
        <v>49.1</v>
      </c>
      <c r="M135" t="str">
        <f t="shared" si="8"/>
        <v>Regular</v>
      </c>
      <c r="N135">
        <f>IF(M135=PARAMS_MODELO!$A$36,PARAMS_MODELO!$B$36,IF(M135=PARAMS_MODELO!$A$37,PARAMS_MODELO!$B$37,IF(M135=PARAMS_MODELO!$A$38,PARAMS_MODELO!$B$38,IF(M135=PARAMS_MODELO!$A$39,PARAMS_MODELO!$B$39,IF(M135=PARAMS_MODELO!$A$40,PARAMS_MODELO!$B$40)))))</f>
        <v>1</v>
      </c>
    </row>
    <row r="136" spans="1:14" x14ac:dyDescent="0.3">
      <c r="A136">
        <v>51033761</v>
      </c>
      <c r="B136">
        <v>20</v>
      </c>
      <c r="C136">
        <v>59</v>
      </c>
      <c r="D136">
        <f t="shared" si="6"/>
        <v>0.33898305084745761</v>
      </c>
      <c r="E136">
        <f>ROUND(MIN(5,MAX(0,D136))/5*PARAMS_MODELO!$B$32,2)</f>
        <v>2.71</v>
      </c>
      <c r="F136">
        <v>3</v>
      </c>
      <c r="G136">
        <f>MAX(0,PARAMS_MODELO!$B$33-VALUE(TRIM(F136))*3)</f>
        <v>21</v>
      </c>
      <c r="H136">
        <v>3</v>
      </c>
      <c r="I136">
        <f>ROUND(MIN(4,MAX(0,H136))/4*PARAMS_MODELO!$B$34,2)</f>
        <v>15</v>
      </c>
      <c r="J136">
        <v>0</v>
      </c>
      <c r="K136">
        <f>IF(J136=0,0,PARAMS_MODELO!$B$35)</f>
        <v>0</v>
      </c>
      <c r="L136">
        <f t="shared" si="7"/>
        <v>38.71</v>
      </c>
      <c r="M136" t="str">
        <f t="shared" si="8"/>
        <v>Malo</v>
      </c>
      <c r="N136">
        <f>IF(M136=PARAMS_MODELO!$A$36,PARAMS_MODELO!$B$36,IF(M136=PARAMS_MODELO!$A$37,PARAMS_MODELO!$B$37,IF(M136=PARAMS_MODELO!$A$38,PARAMS_MODELO!$B$38,IF(M136=PARAMS_MODELO!$A$39,PARAMS_MODELO!$B$39,IF(M136=PARAMS_MODELO!$A$40,PARAMS_MODELO!$B$40)))))</f>
        <v>0.7</v>
      </c>
    </row>
    <row r="137" spans="1:14" x14ac:dyDescent="0.3">
      <c r="A137">
        <v>51023170</v>
      </c>
      <c r="B137">
        <v>59</v>
      </c>
      <c r="C137">
        <v>33</v>
      </c>
      <c r="D137">
        <f t="shared" si="6"/>
        <v>1.7878787878787878</v>
      </c>
      <c r="E137">
        <f>ROUND(MIN(5,MAX(0,D137))/5*PARAMS_MODELO!$B$32,2)</f>
        <v>14.3</v>
      </c>
      <c r="F137">
        <v>5</v>
      </c>
      <c r="G137">
        <f>MAX(0,PARAMS_MODELO!$B$33-VALUE(TRIM(F137))*3)</f>
        <v>15</v>
      </c>
      <c r="H137">
        <v>4</v>
      </c>
      <c r="I137">
        <f>ROUND(MIN(4,MAX(0,H137))/4*PARAMS_MODELO!$B$34,2)</f>
        <v>20</v>
      </c>
      <c r="J137">
        <v>1</v>
      </c>
      <c r="K137">
        <f>IF(J137=0,0,PARAMS_MODELO!$B$35)</f>
        <v>10</v>
      </c>
      <c r="L137">
        <f t="shared" si="7"/>
        <v>59.3</v>
      </c>
      <c r="M137" t="str">
        <f t="shared" si="8"/>
        <v>Regular</v>
      </c>
      <c r="N137">
        <f>IF(M137=PARAMS_MODELO!$A$36,PARAMS_MODELO!$B$36,IF(M137=PARAMS_MODELO!$A$37,PARAMS_MODELO!$B$37,IF(M137=PARAMS_MODELO!$A$38,PARAMS_MODELO!$B$38,IF(M137=PARAMS_MODELO!$A$39,PARAMS_MODELO!$B$39,IF(M137=PARAMS_MODELO!$A$40,PARAMS_MODELO!$B$40)))))</f>
        <v>1</v>
      </c>
    </row>
    <row r="138" spans="1:14" x14ac:dyDescent="0.3">
      <c r="A138">
        <v>51030079</v>
      </c>
      <c r="B138">
        <v>82</v>
      </c>
      <c r="C138">
        <v>87</v>
      </c>
      <c r="D138">
        <f t="shared" si="6"/>
        <v>0.94252873563218387</v>
      </c>
      <c r="E138">
        <f>ROUND(MIN(5,MAX(0,D138))/5*PARAMS_MODELO!$B$32,2)</f>
        <v>7.54</v>
      </c>
      <c r="F138">
        <v>4</v>
      </c>
      <c r="G138">
        <f>MAX(0,PARAMS_MODELO!$B$33-VALUE(TRIM(F138))*3)</f>
        <v>18</v>
      </c>
      <c r="H138">
        <v>2</v>
      </c>
      <c r="I138">
        <f>ROUND(MIN(4,MAX(0,H138))/4*PARAMS_MODELO!$B$34,2)</f>
        <v>10</v>
      </c>
      <c r="J138">
        <v>1</v>
      </c>
      <c r="K138">
        <f>IF(J138=0,0,PARAMS_MODELO!$B$35)</f>
        <v>10</v>
      </c>
      <c r="L138">
        <f t="shared" si="7"/>
        <v>45.54</v>
      </c>
      <c r="M138" t="str">
        <f t="shared" si="8"/>
        <v>Regular</v>
      </c>
      <c r="N138">
        <f>IF(M138=PARAMS_MODELO!$A$36,PARAMS_MODELO!$B$36,IF(M138=PARAMS_MODELO!$A$37,PARAMS_MODELO!$B$37,IF(M138=PARAMS_MODELO!$A$38,PARAMS_MODELO!$B$38,IF(M138=PARAMS_MODELO!$A$39,PARAMS_MODELO!$B$39,IF(M138=PARAMS_MODELO!$A$40,PARAMS_MODELO!$B$40)))))</f>
        <v>1</v>
      </c>
    </row>
    <row r="139" spans="1:14" x14ac:dyDescent="0.3">
      <c r="A139">
        <v>51034317</v>
      </c>
      <c r="B139">
        <v>17</v>
      </c>
      <c r="C139">
        <v>97</v>
      </c>
      <c r="D139">
        <f t="shared" si="6"/>
        <v>0.17525773195876287</v>
      </c>
      <c r="E139">
        <f>ROUND(MIN(5,MAX(0,D139))/5*PARAMS_MODELO!$B$32,2)</f>
        <v>1.4</v>
      </c>
      <c r="F139">
        <v>3</v>
      </c>
      <c r="G139">
        <f>MAX(0,PARAMS_MODELO!$B$33-VALUE(TRIM(F139))*3)</f>
        <v>21</v>
      </c>
      <c r="H139">
        <v>3</v>
      </c>
      <c r="I139">
        <f>ROUND(MIN(4,MAX(0,H139))/4*PARAMS_MODELO!$B$34,2)</f>
        <v>15</v>
      </c>
      <c r="J139">
        <v>0</v>
      </c>
      <c r="K139">
        <f>IF(J139=0,0,PARAMS_MODELO!$B$35)</f>
        <v>0</v>
      </c>
      <c r="L139">
        <f t="shared" si="7"/>
        <v>37.4</v>
      </c>
      <c r="M139" t="str">
        <f t="shared" si="8"/>
        <v>Malo</v>
      </c>
      <c r="N139">
        <f>IF(M139=PARAMS_MODELO!$A$36,PARAMS_MODELO!$B$36,IF(M139=PARAMS_MODELO!$A$37,PARAMS_MODELO!$B$37,IF(M139=PARAMS_MODELO!$A$38,PARAMS_MODELO!$B$38,IF(M139=PARAMS_MODELO!$A$39,PARAMS_MODELO!$B$39,IF(M139=PARAMS_MODELO!$A$40,PARAMS_MODELO!$B$40)))))</f>
        <v>0.7</v>
      </c>
    </row>
    <row r="140" spans="1:14" x14ac:dyDescent="0.3">
      <c r="A140">
        <v>51012666</v>
      </c>
      <c r="B140">
        <v>45</v>
      </c>
      <c r="C140">
        <v>31</v>
      </c>
      <c r="D140">
        <f t="shared" si="6"/>
        <v>1.4516129032258065</v>
      </c>
      <c r="E140">
        <f>ROUND(MIN(5,MAX(0,D140))/5*PARAMS_MODELO!$B$32,2)</f>
        <v>11.61</v>
      </c>
      <c r="F140">
        <v>1</v>
      </c>
      <c r="G140">
        <f>MAX(0,PARAMS_MODELO!$B$33-VALUE(TRIM(F140))*3)</f>
        <v>27</v>
      </c>
      <c r="H140">
        <v>4</v>
      </c>
      <c r="I140">
        <f>ROUND(MIN(4,MAX(0,H140))/4*PARAMS_MODELO!$B$34,2)</f>
        <v>20</v>
      </c>
      <c r="J140">
        <v>0</v>
      </c>
      <c r="K140">
        <f>IF(J140=0,0,PARAMS_MODELO!$B$35)</f>
        <v>0</v>
      </c>
      <c r="L140">
        <f t="shared" si="7"/>
        <v>58.61</v>
      </c>
      <c r="M140" t="str">
        <f t="shared" si="8"/>
        <v>Regular</v>
      </c>
      <c r="N140">
        <f>IF(M140=PARAMS_MODELO!$A$36,PARAMS_MODELO!$B$36,IF(M140=PARAMS_MODELO!$A$37,PARAMS_MODELO!$B$37,IF(M140=PARAMS_MODELO!$A$38,PARAMS_MODELO!$B$38,IF(M140=PARAMS_MODELO!$A$39,PARAMS_MODELO!$B$39,IF(M140=PARAMS_MODELO!$A$40,PARAMS_MODELO!$B$40)))))</f>
        <v>1</v>
      </c>
    </row>
    <row r="141" spans="1:14" x14ac:dyDescent="0.3">
      <c r="A141">
        <v>51036247</v>
      </c>
      <c r="B141">
        <v>94</v>
      </c>
      <c r="C141">
        <v>84</v>
      </c>
      <c r="D141">
        <f t="shared" si="6"/>
        <v>1.1190476190476191</v>
      </c>
      <c r="E141">
        <f>ROUND(MIN(5,MAX(0,D141))/5*PARAMS_MODELO!$B$32,2)</f>
        <v>8.9499999999999993</v>
      </c>
      <c r="F141">
        <v>2</v>
      </c>
      <c r="G141">
        <f>MAX(0,PARAMS_MODELO!$B$33-VALUE(TRIM(F141))*3)</f>
        <v>24</v>
      </c>
      <c r="H141">
        <v>1</v>
      </c>
      <c r="I141">
        <f>ROUND(MIN(4,MAX(0,H141))/4*PARAMS_MODELO!$B$34,2)</f>
        <v>5</v>
      </c>
      <c r="J141">
        <v>0</v>
      </c>
      <c r="K141">
        <f>IF(J141=0,0,PARAMS_MODELO!$B$35)</f>
        <v>0</v>
      </c>
      <c r="L141">
        <f t="shared" si="7"/>
        <v>37.950000000000003</v>
      </c>
      <c r="M141" t="str">
        <f t="shared" si="8"/>
        <v>Malo</v>
      </c>
      <c r="N141">
        <f>IF(M141=PARAMS_MODELO!$A$36,PARAMS_MODELO!$B$36,IF(M141=PARAMS_MODELO!$A$37,PARAMS_MODELO!$B$37,IF(M141=PARAMS_MODELO!$A$38,PARAMS_MODELO!$B$38,IF(M141=PARAMS_MODELO!$A$39,PARAMS_MODELO!$B$39,IF(M141=PARAMS_MODELO!$A$40,PARAMS_MODELO!$B$40)))))</f>
        <v>0.7</v>
      </c>
    </row>
    <row r="142" spans="1:14" x14ac:dyDescent="0.3">
      <c r="A142">
        <v>51011325</v>
      </c>
      <c r="B142">
        <v>5</v>
      </c>
      <c r="C142">
        <v>67</v>
      </c>
      <c r="D142">
        <f t="shared" si="6"/>
        <v>7.4626865671641784E-2</v>
      </c>
      <c r="E142">
        <f>ROUND(MIN(5,MAX(0,D142))/5*PARAMS_MODELO!$B$32,2)</f>
        <v>0.6</v>
      </c>
      <c r="F142">
        <v>5</v>
      </c>
      <c r="G142">
        <f>MAX(0,PARAMS_MODELO!$B$33-VALUE(TRIM(F142))*3)</f>
        <v>15</v>
      </c>
      <c r="H142">
        <v>1</v>
      </c>
      <c r="I142">
        <f>ROUND(MIN(4,MAX(0,H142))/4*PARAMS_MODELO!$B$34,2)</f>
        <v>5</v>
      </c>
      <c r="J142">
        <v>0</v>
      </c>
      <c r="K142">
        <f>IF(J142=0,0,PARAMS_MODELO!$B$35)</f>
        <v>0</v>
      </c>
      <c r="L142">
        <f t="shared" si="7"/>
        <v>20.6</v>
      </c>
      <c r="M142" t="str">
        <f t="shared" si="8"/>
        <v>Malo</v>
      </c>
      <c r="N142">
        <f>IF(M142=PARAMS_MODELO!$A$36,PARAMS_MODELO!$B$36,IF(M142=PARAMS_MODELO!$A$37,PARAMS_MODELO!$B$37,IF(M142=PARAMS_MODELO!$A$38,PARAMS_MODELO!$B$38,IF(M142=PARAMS_MODELO!$A$39,PARAMS_MODELO!$B$39,IF(M142=PARAMS_MODELO!$A$40,PARAMS_MODELO!$B$40)))))</f>
        <v>0.7</v>
      </c>
    </row>
    <row r="143" spans="1:14" x14ac:dyDescent="0.3">
      <c r="A143">
        <v>51004469</v>
      </c>
      <c r="B143">
        <v>92</v>
      </c>
      <c r="C143">
        <v>99</v>
      </c>
      <c r="D143">
        <f t="shared" si="6"/>
        <v>0.92929292929292928</v>
      </c>
      <c r="E143">
        <f>ROUND(MIN(5,MAX(0,D143))/5*PARAMS_MODELO!$B$32,2)</f>
        <v>7.43</v>
      </c>
      <c r="F143">
        <v>5</v>
      </c>
      <c r="G143">
        <f>MAX(0,PARAMS_MODELO!$B$33-VALUE(TRIM(F143))*3)</f>
        <v>15</v>
      </c>
      <c r="H143">
        <v>0</v>
      </c>
      <c r="I143">
        <f>ROUND(MIN(4,MAX(0,H143))/4*PARAMS_MODELO!$B$34,2)</f>
        <v>0</v>
      </c>
      <c r="J143">
        <v>1</v>
      </c>
      <c r="K143">
        <f>IF(J143=0,0,PARAMS_MODELO!$B$35)</f>
        <v>10</v>
      </c>
      <c r="L143">
        <f t="shared" si="7"/>
        <v>32.43</v>
      </c>
      <c r="M143" t="str">
        <f t="shared" si="8"/>
        <v>Malo</v>
      </c>
      <c r="N143">
        <f>IF(M143=PARAMS_MODELO!$A$36,PARAMS_MODELO!$B$36,IF(M143=PARAMS_MODELO!$A$37,PARAMS_MODELO!$B$37,IF(M143=PARAMS_MODELO!$A$38,PARAMS_MODELO!$B$38,IF(M143=PARAMS_MODELO!$A$39,PARAMS_MODELO!$B$39,IF(M143=PARAMS_MODELO!$A$40,PARAMS_MODELO!$B$40)))))</f>
        <v>0.7</v>
      </c>
    </row>
    <row r="144" spans="1:14" x14ac:dyDescent="0.3">
      <c r="A144">
        <v>51020251</v>
      </c>
      <c r="B144">
        <v>23</v>
      </c>
      <c r="C144">
        <v>42</v>
      </c>
      <c r="D144">
        <f t="shared" si="6"/>
        <v>0.54761904761904767</v>
      </c>
      <c r="E144">
        <f>ROUND(MIN(5,MAX(0,D144))/5*PARAMS_MODELO!$B$32,2)</f>
        <v>4.38</v>
      </c>
      <c r="F144">
        <v>0</v>
      </c>
      <c r="G144">
        <f>MAX(0,PARAMS_MODELO!$B$33-VALUE(TRIM(F144))*3)</f>
        <v>30</v>
      </c>
      <c r="H144">
        <v>3</v>
      </c>
      <c r="I144">
        <f>ROUND(MIN(4,MAX(0,H144))/4*PARAMS_MODELO!$B$34,2)</f>
        <v>15</v>
      </c>
      <c r="J144">
        <v>1</v>
      </c>
      <c r="K144">
        <f>IF(J144=0,0,PARAMS_MODELO!$B$35)</f>
        <v>10</v>
      </c>
      <c r="L144">
        <f t="shared" si="7"/>
        <v>59.38</v>
      </c>
      <c r="M144" t="str">
        <f t="shared" si="8"/>
        <v>Regular</v>
      </c>
      <c r="N144">
        <f>IF(M144=PARAMS_MODELO!$A$36,PARAMS_MODELO!$B$36,IF(M144=PARAMS_MODELO!$A$37,PARAMS_MODELO!$B$37,IF(M144=PARAMS_MODELO!$A$38,PARAMS_MODELO!$B$38,IF(M144=PARAMS_MODELO!$A$39,PARAMS_MODELO!$B$39,IF(M144=PARAMS_MODELO!$A$40,PARAMS_MODELO!$B$40)))))</f>
        <v>1</v>
      </c>
    </row>
    <row r="145" spans="1:14" x14ac:dyDescent="0.3">
      <c r="A145">
        <v>51016793</v>
      </c>
      <c r="B145">
        <v>68</v>
      </c>
      <c r="C145">
        <v>42</v>
      </c>
      <c r="D145">
        <f t="shared" si="6"/>
        <v>1.6190476190476191</v>
      </c>
      <c r="E145">
        <f>ROUND(MIN(5,MAX(0,D145))/5*PARAMS_MODELO!$B$32,2)</f>
        <v>12.95</v>
      </c>
      <c r="F145">
        <v>1</v>
      </c>
      <c r="G145">
        <f>MAX(0,PARAMS_MODELO!$B$33-VALUE(TRIM(F145))*3)</f>
        <v>27</v>
      </c>
      <c r="H145">
        <v>4</v>
      </c>
      <c r="I145">
        <f>ROUND(MIN(4,MAX(0,H145))/4*PARAMS_MODELO!$B$34,2)</f>
        <v>20</v>
      </c>
      <c r="J145">
        <v>1</v>
      </c>
      <c r="K145">
        <f>IF(J145=0,0,PARAMS_MODELO!$B$35)</f>
        <v>10</v>
      </c>
      <c r="L145">
        <f t="shared" si="7"/>
        <v>69.95</v>
      </c>
      <c r="M145" t="str">
        <f t="shared" si="8"/>
        <v>Bueno</v>
      </c>
      <c r="N145">
        <f>IF(M145=PARAMS_MODELO!$A$36,PARAMS_MODELO!$B$36,IF(M145=PARAMS_MODELO!$A$37,PARAMS_MODELO!$B$37,IF(M145=PARAMS_MODELO!$A$38,PARAMS_MODELO!$B$38,IF(M145=PARAMS_MODELO!$A$39,PARAMS_MODELO!$B$39,IF(M145=PARAMS_MODELO!$A$40,PARAMS_MODELO!$B$40)))))</f>
        <v>1.1000000000000001</v>
      </c>
    </row>
    <row r="146" spans="1:14" x14ac:dyDescent="0.3">
      <c r="A146">
        <v>51015401</v>
      </c>
      <c r="B146">
        <v>60</v>
      </c>
      <c r="C146">
        <v>12</v>
      </c>
      <c r="D146">
        <f t="shared" si="6"/>
        <v>5</v>
      </c>
      <c r="E146">
        <f>ROUND(MIN(5,MAX(0,D146))/5*PARAMS_MODELO!$B$32,2)</f>
        <v>40</v>
      </c>
      <c r="F146">
        <v>2</v>
      </c>
      <c r="G146">
        <f>MAX(0,PARAMS_MODELO!$B$33-VALUE(TRIM(F146))*3)</f>
        <v>24</v>
      </c>
      <c r="H146">
        <v>2</v>
      </c>
      <c r="I146">
        <f>ROUND(MIN(4,MAX(0,H146))/4*PARAMS_MODELO!$B$34,2)</f>
        <v>10</v>
      </c>
      <c r="J146">
        <v>1</v>
      </c>
      <c r="K146">
        <f>IF(J146=0,0,PARAMS_MODELO!$B$35)</f>
        <v>10</v>
      </c>
      <c r="L146">
        <f t="shared" si="7"/>
        <v>84</v>
      </c>
      <c r="M146" t="str">
        <f t="shared" si="8"/>
        <v>Muy Bueno</v>
      </c>
      <c r="N146">
        <f>IF(M146=PARAMS_MODELO!$A$36,PARAMS_MODELO!$B$36,IF(M146=PARAMS_MODELO!$A$37,PARAMS_MODELO!$B$37,IF(M146=PARAMS_MODELO!$A$38,PARAMS_MODELO!$B$38,IF(M146=PARAMS_MODELO!$A$39,PARAMS_MODELO!$B$39,IF(M146=PARAMS_MODELO!$A$40,PARAMS_MODELO!$B$40)))))</f>
        <v>1.1499999999999999</v>
      </c>
    </row>
    <row r="147" spans="1:14" x14ac:dyDescent="0.3">
      <c r="A147">
        <v>51056281</v>
      </c>
      <c r="B147">
        <v>80</v>
      </c>
      <c r="C147">
        <v>65</v>
      </c>
      <c r="D147">
        <f t="shared" si="6"/>
        <v>1.2307692307692308</v>
      </c>
      <c r="E147">
        <f>ROUND(MIN(5,MAX(0,D147))/5*PARAMS_MODELO!$B$32,2)</f>
        <v>9.85</v>
      </c>
      <c r="F147">
        <v>0</v>
      </c>
      <c r="G147">
        <f>MAX(0,PARAMS_MODELO!$B$33-VALUE(TRIM(F147))*3)</f>
        <v>30</v>
      </c>
      <c r="H147">
        <v>2</v>
      </c>
      <c r="I147">
        <f>ROUND(MIN(4,MAX(0,H147))/4*PARAMS_MODELO!$B$34,2)</f>
        <v>10</v>
      </c>
      <c r="J147">
        <v>1</v>
      </c>
      <c r="K147">
        <f>IF(J147=0,0,PARAMS_MODELO!$B$35)</f>
        <v>10</v>
      </c>
      <c r="L147">
        <f t="shared" si="7"/>
        <v>59.85</v>
      </c>
      <c r="M147" t="str">
        <f t="shared" si="8"/>
        <v>Regular</v>
      </c>
      <c r="N147">
        <f>IF(M147=PARAMS_MODELO!$A$36,PARAMS_MODELO!$B$36,IF(M147=PARAMS_MODELO!$A$37,PARAMS_MODELO!$B$37,IF(M147=PARAMS_MODELO!$A$38,PARAMS_MODELO!$B$38,IF(M147=PARAMS_MODELO!$A$39,PARAMS_MODELO!$B$39,IF(M147=PARAMS_MODELO!$A$40,PARAMS_MODELO!$B$40)))))</f>
        <v>1</v>
      </c>
    </row>
    <row r="148" spans="1:14" x14ac:dyDescent="0.3">
      <c r="A148">
        <v>51055012</v>
      </c>
      <c r="B148">
        <v>4</v>
      </c>
      <c r="C148">
        <v>34</v>
      </c>
      <c r="D148">
        <f t="shared" si="6"/>
        <v>0.11764705882352941</v>
      </c>
      <c r="E148">
        <f>ROUND(MIN(5,MAX(0,D148))/5*PARAMS_MODELO!$B$32,2)</f>
        <v>0.94</v>
      </c>
      <c r="F148">
        <v>2</v>
      </c>
      <c r="G148">
        <f>MAX(0,PARAMS_MODELO!$B$33-VALUE(TRIM(F148))*3)</f>
        <v>24</v>
      </c>
      <c r="H148">
        <v>2</v>
      </c>
      <c r="I148">
        <f>ROUND(MIN(4,MAX(0,H148))/4*PARAMS_MODELO!$B$34,2)</f>
        <v>10</v>
      </c>
      <c r="J148">
        <v>0</v>
      </c>
      <c r="K148">
        <f>IF(J148=0,0,PARAMS_MODELO!$B$35)</f>
        <v>0</v>
      </c>
      <c r="L148">
        <f t="shared" si="7"/>
        <v>34.94</v>
      </c>
      <c r="M148" t="str">
        <f t="shared" si="8"/>
        <v>Malo</v>
      </c>
      <c r="N148">
        <f>IF(M148=PARAMS_MODELO!$A$36,PARAMS_MODELO!$B$36,IF(M148=PARAMS_MODELO!$A$37,PARAMS_MODELO!$B$37,IF(M148=PARAMS_MODELO!$A$38,PARAMS_MODELO!$B$38,IF(M148=PARAMS_MODELO!$A$39,PARAMS_MODELO!$B$39,IF(M148=PARAMS_MODELO!$A$40,PARAMS_MODELO!$B$40)))))</f>
        <v>0.7</v>
      </c>
    </row>
    <row r="149" spans="1:14" x14ac:dyDescent="0.3">
      <c r="A149">
        <v>51006615</v>
      </c>
      <c r="B149">
        <v>36</v>
      </c>
      <c r="C149">
        <v>90</v>
      </c>
      <c r="D149">
        <f t="shared" si="6"/>
        <v>0.4</v>
      </c>
      <c r="E149">
        <f>ROUND(MIN(5,MAX(0,D149))/5*PARAMS_MODELO!$B$32,2)</f>
        <v>3.2</v>
      </c>
      <c r="F149">
        <v>1</v>
      </c>
      <c r="G149">
        <f>MAX(0,PARAMS_MODELO!$B$33-VALUE(TRIM(F149))*3)</f>
        <v>27</v>
      </c>
      <c r="H149">
        <v>2</v>
      </c>
      <c r="I149">
        <f>ROUND(MIN(4,MAX(0,H149))/4*PARAMS_MODELO!$B$34,2)</f>
        <v>10</v>
      </c>
      <c r="J149">
        <v>0</v>
      </c>
      <c r="K149">
        <f>IF(J149=0,0,PARAMS_MODELO!$B$35)</f>
        <v>0</v>
      </c>
      <c r="L149">
        <f t="shared" si="7"/>
        <v>40.200000000000003</v>
      </c>
      <c r="M149" t="str">
        <f t="shared" si="8"/>
        <v>Regular</v>
      </c>
      <c r="N149">
        <f>IF(M149=PARAMS_MODELO!$A$36,PARAMS_MODELO!$B$36,IF(M149=PARAMS_MODELO!$A$37,PARAMS_MODELO!$B$37,IF(M149=PARAMS_MODELO!$A$38,PARAMS_MODELO!$B$38,IF(M149=PARAMS_MODELO!$A$39,PARAMS_MODELO!$B$39,IF(M149=PARAMS_MODELO!$A$40,PARAMS_MODELO!$B$40)))))</f>
        <v>1</v>
      </c>
    </row>
    <row r="150" spans="1:14" x14ac:dyDescent="0.3">
      <c r="A150">
        <v>51011724</v>
      </c>
      <c r="B150">
        <v>51</v>
      </c>
      <c r="C150">
        <v>37</v>
      </c>
      <c r="D150">
        <f t="shared" si="6"/>
        <v>1.3783783783783783</v>
      </c>
      <c r="E150">
        <f>ROUND(MIN(5,MAX(0,D150))/5*PARAMS_MODELO!$B$32,2)</f>
        <v>11.03</v>
      </c>
      <c r="F150">
        <v>1</v>
      </c>
      <c r="G150">
        <f>MAX(0,PARAMS_MODELO!$B$33-VALUE(TRIM(F150))*3)</f>
        <v>27</v>
      </c>
      <c r="H150">
        <v>2</v>
      </c>
      <c r="I150">
        <f>ROUND(MIN(4,MAX(0,H150))/4*PARAMS_MODELO!$B$34,2)</f>
        <v>10</v>
      </c>
      <c r="J150">
        <v>1</v>
      </c>
      <c r="K150">
        <f>IF(J150=0,0,PARAMS_MODELO!$B$35)</f>
        <v>10</v>
      </c>
      <c r="L150">
        <f t="shared" si="7"/>
        <v>58.03</v>
      </c>
      <c r="M150" t="str">
        <f t="shared" si="8"/>
        <v>Regular</v>
      </c>
      <c r="N150">
        <f>IF(M150=PARAMS_MODELO!$A$36,PARAMS_MODELO!$B$36,IF(M150=PARAMS_MODELO!$A$37,PARAMS_MODELO!$B$37,IF(M150=PARAMS_MODELO!$A$38,PARAMS_MODELO!$B$38,IF(M150=PARAMS_MODELO!$A$39,PARAMS_MODELO!$B$39,IF(M150=PARAMS_MODELO!$A$40,PARAMS_MODELO!$B$40)))))</f>
        <v>1</v>
      </c>
    </row>
    <row r="151" spans="1:14" x14ac:dyDescent="0.3">
      <c r="A151">
        <v>51010469</v>
      </c>
      <c r="B151">
        <v>41</v>
      </c>
      <c r="C151">
        <v>52</v>
      </c>
      <c r="D151">
        <f t="shared" si="6"/>
        <v>0.78846153846153844</v>
      </c>
      <c r="E151">
        <f>ROUND(MIN(5,MAX(0,D151))/5*PARAMS_MODELO!$B$32,2)</f>
        <v>6.31</v>
      </c>
      <c r="F151">
        <v>4</v>
      </c>
      <c r="G151">
        <f>MAX(0,PARAMS_MODELO!$B$33-VALUE(TRIM(F151))*3)</f>
        <v>18</v>
      </c>
      <c r="H151">
        <v>0</v>
      </c>
      <c r="I151">
        <f>ROUND(MIN(4,MAX(0,H151))/4*PARAMS_MODELO!$B$34,2)</f>
        <v>0</v>
      </c>
      <c r="J151">
        <v>0</v>
      </c>
      <c r="K151">
        <f>IF(J151=0,0,PARAMS_MODELO!$B$35)</f>
        <v>0</v>
      </c>
      <c r="L151">
        <f t="shared" si="7"/>
        <v>24.31</v>
      </c>
      <c r="M151" t="str">
        <f t="shared" si="8"/>
        <v>Malo</v>
      </c>
      <c r="N151">
        <f>IF(M151=PARAMS_MODELO!$A$36,PARAMS_MODELO!$B$36,IF(M151=PARAMS_MODELO!$A$37,PARAMS_MODELO!$B$37,IF(M151=PARAMS_MODELO!$A$38,PARAMS_MODELO!$B$38,IF(M151=PARAMS_MODELO!$A$39,PARAMS_MODELO!$B$39,IF(M151=PARAMS_MODELO!$A$40,PARAMS_MODELO!$B$40)))))</f>
        <v>0.7</v>
      </c>
    </row>
    <row r="152" spans="1:14" x14ac:dyDescent="0.3">
      <c r="A152">
        <v>51056191</v>
      </c>
      <c r="B152">
        <v>39</v>
      </c>
      <c r="C152">
        <v>91</v>
      </c>
      <c r="D152">
        <f t="shared" si="6"/>
        <v>0.42857142857142855</v>
      </c>
      <c r="E152">
        <f>ROUND(MIN(5,MAX(0,D152))/5*PARAMS_MODELO!$B$32,2)</f>
        <v>3.43</v>
      </c>
      <c r="F152">
        <v>1</v>
      </c>
      <c r="G152">
        <f>MAX(0,PARAMS_MODELO!$B$33-VALUE(TRIM(F152))*3)</f>
        <v>27</v>
      </c>
      <c r="H152">
        <v>0</v>
      </c>
      <c r="I152">
        <f>ROUND(MIN(4,MAX(0,H152))/4*PARAMS_MODELO!$B$34,2)</f>
        <v>0</v>
      </c>
      <c r="J152">
        <v>1</v>
      </c>
      <c r="K152">
        <f>IF(J152=0,0,PARAMS_MODELO!$B$35)</f>
        <v>10</v>
      </c>
      <c r="L152">
        <f t="shared" si="7"/>
        <v>40.43</v>
      </c>
      <c r="M152" t="str">
        <f t="shared" si="8"/>
        <v>Regular</v>
      </c>
      <c r="N152">
        <f>IF(M152=PARAMS_MODELO!$A$36,PARAMS_MODELO!$B$36,IF(M152=PARAMS_MODELO!$A$37,PARAMS_MODELO!$B$37,IF(M152=PARAMS_MODELO!$A$38,PARAMS_MODELO!$B$38,IF(M152=PARAMS_MODELO!$A$39,PARAMS_MODELO!$B$39,IF(M152=PARAMS_MODELO!$A$40,PARAMS_MODELO!$B$40)))))</f>
        <v>1</v>
      </c>
    </row>
    <row r="153" spans="1:14" x14ac:dyDescent="0.3">
      <c r="A153">
        <v>51023781</v>
      </c>
      <c r="B153">
        <v>98</v>
      </c>
      <c r="C153">
        <v>2</v>
      </c>
      <c r="D153">
        <f t="shared" si="6"/>
        <v>5</v>
      </c>
      <c r="E153">
        <f>ROUND(MIN(5,MAX(0,D153))/5*PARAMS_MODELO!$B$32,2)</f>
        <v>40</v>
      </c>
      <c r="F153">
        <v>2</v>
      </c>
      <c r="G153">
        <f>MAX(0,PARAMS_MODELO!$B$33-VALUE(TRIM(F153))*3)</f>
        <v>24</v>
      </c>
      <c r="H153">
        <v>0</v>
      </c>
      <c r="I153">
        <f>ROUND(MIN(4,MAX(0,H153))/4*PARAMS_MODELO!$B$34,2)</f>
        <v>0</v>
      </c>
      <c r="J153">
        <v>0</v>
      </c>
      <c r="K153">
        <f>IF(J153=0,0,PARAMS_MODELO!$B$35)</f>
        <v>0</v>
      </c>
      <c r="L153">
        <f t="shared" si="7"/>
        <v>64</v>
      </c>
      <c r="M153" t="str">
        <f t="shared" si="8"/>
        <v>Bueno</v>
      </c>
      <c r="N153">
        <f>IF(M153=PARAMS_MODELO!$A$36,PARAMS_MODELO!$B$36,IF(M153=PARAMS_MODELO!$A$37,PARAMS_MODELO!$B$37,IF(M153=PARAMS_MODELO!$A$38,PARAMS_MODELO!$B$38,IF(M153=PARAMS_MODELO!$A$39,PARAMS_MODELO!$B$39,IF(M153=PARAMS_MODELO!$A$40,PARAMS_MODELO!$B$40)))))</f>
        <v>1.1000000000000001</v>
      </c>
    </row>
    <row r="154" spans="1:14" x14ac:dyDescent="0.3">
      <c r="A154">
        <v>51056221</v>
      </c>
      <c r="B154">
        <v>91</v>
      </c>
      <c r="C154">
        <v>84</v>
      </c>
      <c r="D154">
        <f t="shared" si="6"/>
        <v>1.0833333333333333</v>
      </c>
      <c r="E154">
        <f>ROUND(MIN(5,MAX(0,D154))/5*PARAMS_MODELO!$B$32,2)</f>
        <v>8.67</v>
      </c>
      <c r="F154">
        <v>0</v>
      </c>
      <c r="G154">
        <f>MAX(0,PARAMS_MODELO!$B$33-VALUE(TRIM(F154))*3)</f>
        <v>30</v>
      </c>
      <c r="H154">
        <v>2</v>
      </c>
      <c r="I154">
        <f>ROUND(MIN(4,MAX(0,H154))/4*PARAMS_MODELO!$B$34,2)</f>
        <v>10</v>
      </c>
      <c r="J154">
        <v>1</v>
      </c>
      <c r="K154">
        <f>IF(J154=0,0,PARAMS_MODELO!$B$35)</f>
        <v>10</v>
      </c>
      <c r="L154">
        <f t="shared" si="7"/>
        <v>58.67</v>
      </c>
      <c r="M154" t="str">
        <f t="shared" si="8"/>
        <v>Regular</v>
      </c>
      <c r="N154">
        <f>IF(M154=PARAMS_MODELO!$A$36,PARAMS_MODELO!$B$36,IF(M154=PARAMS_MODELO!$A$37,PARAMS_MODELO!$B$37,IF(M154=PARAMS_MODELO!$A$38,PARAMS_MODELO!$B$38,IF(M154=PARAMS_MODELO!$A$39,PARAMS_MODELO!$B$39,IF(M154=PARAMS_MODELO!$A$40,PARAMS_MODELO!$B$40)))))</f>
        <v>1</v>
      </c>
    </row>
    <row r="155" spans="1:14" x14ac:dyDescent="0.3">
      <c r="A155">
        <v>51018443</v>
      </c>
      <c r="B155">
        <v>60</v>
      </c>
      <c r="C155">
        <v>59</v>
      </c>
      <c r="D155">
        <f t="shared" si="6"/>
        <v>1.0169491525423728</v>
      </c>
      <c r="E155">
        <f>ROUND(MIN(5,MAX(0,D155))/5*PARAMS_MODELO!$B$32,2)</f>
        <v>8.14</v>
      </c>
      <c r="F155">
        <v>4</v>
      </c>
      <c r="G155">
        <f>MAX(0,PARAMS_MODELO!$B$33-VALUE(TRIM(F155))*3)</f>
        <v>18</v>
      </c>
      <c r="H155">
        <v>2</v>
      </c>
      <c r="I155">
        <f>ROUND(MIN(4,MAX(0,H155))/4*PARAMS_MODELO!$B$34,2)</f>
        <v>10</v>
      </c>
      <c r="J155">
        <v>1</v>
      </c>
      <c r="K155">
        <f>IF(J155=0,0,PARAMS_MODELO!$B$35)</f>
        <v>10</v>
      </c>
      <c r="L155">
        <f t="shared" si="7"/>
        <v>46.14</v>
      </c>
      <c r="M155" t="str">
        <f t="shared" si="8"/>
        <v>Regular</v>
      </c>
      <c r="N155">
        <f>IF(M155=PARAMS_MODELO!$A$36,PARAMS_MODELO!$B$36,IF(M155=PARAMS_MODELO!$A$37,PARAMS_MODELO!$B$37,IF(M155=PARAMS_MODELO!$A$38,PARAMS_MODELO!$B$38,IF(M155=PARAMS_MODELO!$A$39,PARAMS_MODELO!$B$39,IF(M155=PARAMS_MODELO!$A$40,PARAMS_MODELO!$B$40)))))</f>
        <v>1</v>
      </c>
    </row>
    <row r="156" spans="1:14" x14ac:dyDescent="0.3">
      <c r="A156">
        <v>51023757</v>
      </c>
      <c r="B156">
        <v>19</v>
      </c>
      <c r="C156">
        <v>1</v>
      </c>
      <c r="D156">
        <f t="shared" si="6"/>
        <v>5</v>
      </c>
      <c r="E156">
        <f>ROUND(MIN(5,MAX(0,D156))/5*PARAMS_MODELO!$B$32,2)</f>
        <v>40</v>
      </c>
      <c r="F156">
        <v>0</v>
      </c>
      <c r="G156">
        <f>MAX(0,PARAMS_MODELO!$B$33-VALUE(TRIM(F156))*3)</f>
        <v>30</v>
      </c>
      <c r="H156">
        <v>1</v>
      </c>
      <c r="I156">
        <f>ROUND(MIN(4,MAX(0,H156))/4*PARAMS_MODELO!$B$34,2)</f>
        <v>5</v>
      </c>
      <c r="J156">
        <v>0</v>
      </c>
      <c r="K156">
        <f>IF(J156=0,0,PARAMS_MODELO!$B$35)</f>
        <v>0</v>
      </c>
      <c r="L156">
        <f t="shared" si="7"/>
        <v>75</v>
      </c>
      <c r="M156" t="str">
        <f t="shared" si="8"/>
        <v>Muy Bueno</v>
      </c>
      <c r="N156">
        <f>IF(M156=PARAMS_MODELO!$A$36,PARAMS_MODELO!$B$36,IF(M156=PARAMS_MODELO!$A$37,PARAMS_MODELO!$B$37,IF(M156=PARAMS_MODELO!$A$38,PARAMS_MODELO!$B$38,IF(M156=PARAMS_MODELO!$A$39,PARAMS_MODELO!$B$39,IF(M156=PARAMS_MODELO!$A$40,PARAMS_MODELO!$B$40)))))</f>
        <v>1.1499999999999999</v>
      </c>
    </row>
    <row r="157" spans="1:14" x14ac:dyDescent="0.3">
      <c r="A157">
        <v>51055357</v>
      </c>
      <c r="B157">
        <v>19</v>
      </c>
      <c r="C157">
        <v>12</v>
      </c>
      <c r="D157">
        <f t="shared" si="6"/>
        <v>1.5833333333333333</v>
      </c>
      <c r="E157">
        <f>ROUND(MIN(5,MAX(0,D157))/5*PARAMS_MODELO!$B$32,2)</f>
        <v>12.67</v>
      </c>
      <c r="F157">
        <v>0</v>
      </c>
      <c r="G157">
        <f>MAX(0,PARAMS_MODELO!$B$33-VALUE(TRIM(F157))*3)</f>
        <v>30</v>
      </c>
      <c r="H157">
        <v>4</v>
      </c>
      <c r="I157">
        <f>ROUND(MIN(4,MAX(0,H157))/4*PARAMS_MODELO!$B$34,2)</f>
        <v>20</v>
      </c>
      <c r="J157">
        <v>0</v>
      </c>
      <c r="K157">
        <f>IF(J157=0,0,PARAMS_MODELO!$B$35)</f>
        <v>0</v>
      </c>
      <c r="L157">
        <f t="shared" si="7"/>
        <v>62.67</v>
      </c>
      <c r="M157" t="str">
        <f t="shared" si="8"/>
        <v>Bueno</v>
      </c>
      <c r="N157">
        <f>IF(M157=PARAMS_MODELO!$A$36,PARAMS_MODELO!$B$36,IF(M157=PARAMS_MODELO!$A$37,PARAMS_MODELO!$B$37,IF(M157=PARAMS_MODELO!$A$38,PARAMS_MODELO!$B$38,IF(M157=PARAMS_MODELO!$A$39,PARAMS_MODELO!$B$39,IF(M157=PARAMS_MODELO!$A$40,PARAMS_MODELO!$B$40)))))</f>
        <v>1.1000000000000001</v>
      </c>
    </row>
    <row r="158" spans="1:14" x14ac:dyDescent="0.3">
      <c r="A158">
        <v>51021576</v>
      </c>
      <c r="B158">
        <v>59</v>
      </c>
      <c r="C158">
        <v>20</v>
      </c>
      <c r="D158">
        <f t="shared" si="6"/>
        <v>2.95</v>
      </c>
      <c r="E158">
        <f>ROUND(MIN(5,MAX(0,D158))/5*PARAMS_MODELO!$B$32,2)</f>
        <v>23.6</v>
      </c>
      <c r="F158">
        <v>3</v>
      </c>
      <c r="G158">
        <f>MAX(0,PARAMS_MODELO!$B$33-VALUE(TRIM(F158))*3)</f>
        <v>21</v>
      </c>
      <c r="H158">
        <v>4</v>
      </c>
      <c r="I158">
        <f>ROUND(MIN(4,MAX(0,H158))/4*PARAMS_MODELO!$B$34,2)</f>
        <v>20</v>
      </c>
      <c r="J158">
        <v>0</v>
      </c>
      <c r="K158">
        <f>IF(J158=0,0,PARAMS_MODELO!$B$35)</f>
        <v>0</v>
      </c>
      <c r="L158">
        <f t="shared" si="7"/>
        <v>64.599999999999994</v>
      </c>
      <c r="M158" t="str">
        <f t="shared" si="8"/>
        <v>Bueno</v>
      </c>
      <c r="N158">
        <f>IF(M158=PARAMS_MODELO!$A$36,PARAMS_MODELO!$B$36,IF(M158=PARAMS_MODELO!$A$37,PARAMS_MODELO!$B$37,IF(M158=PARAMS_MODELO!$A$38,PARAMS_MODELO!$B$38,IF(M158=PARAMS_MODELO!$A$39,PARAMS_MODELO!$B$39,IF(M158=PARAMS_MODELO!$A$40,PARAMS_MODELO!$B$40)))))</f>
        <v>1.1000000000000001</v>
      </c>
    </row>
    <row r="159" spans="1:14" x14ac:dyDescent="0.3">
      <c r="A159">
        <v>51018591</v>
      </c>
      <c r="B159">
        <v>57</v>
      </c>
      <c r="C159">
        <v>87</v>
      </c>
      <c r="D159">
        <f t="shared" si="6"/>
        <v>0.65517241379310343</v>
      </c>
      <c r="E159">
        <f>ROUND(MIN(5,MAX(0,D159))/5*PARAMS_MODELO!$B$32,2)</f>
        <v>5.24</v>
      </c>
      <c r="F159">
        <v>5</v>
      </c>
      <c r="G159">
        <f>MAX(0,PARAMS_MODELO!$B$33-VALUE(TRIM(F159))*3)</f>
        <v>15</v>
      </c>
      <c r="H159">
        <v>3</v>
      </c>
      <c r="I159">
        <f>ROUND(MIN(4,MAX(0,H159))/4*PARAMS_MODELO!$B$34,2)</f>
        <v>15</v>
      </c>
      <c r="J159">
        <v>1</v>
      </c>
      <c r="K159">
        <f>IF(J159=0,0,PARAMS_MODELO!$B$35)</f>
        <v>10</v>
      </c>
      <c r="L159">
        <f t="shared" si="7"/>
        <v>45.24</v>
      </c>
      <c r="M159" t="str">
        <f t="shared" si="8"/>
        <v>Regular</v>
      </c>
      <c r="N159">
        <f>IF(M159=PARAMS_MODELO!$A$36,PARAMS_MODELO!$B$36,IF(M159=PARAMS_MODELO!$A$37,PARAMS_MODELO!$B$37,IF(M159=PARAMS_MODELO!$A$38,PARAMS_MODELO!$B$38,IF(M159=PARAMS_MODELO!$A$39,PARAMS_MODELO!$B$39,IF(M159=PARAMS_MODELO!$A$40,PARAMS_MODELO!$B$40)))))</f>
        <v>1</v>
      </c>
    </row>
    <row r="160" spans="1:14" x14ac:dyDescent="0.3">
      <c r="A160">
        <v>51023471</v>
      </c>
      <c r="B160">
        <v>80</v>
      </c>
      <c r="C160">
        <v>94</v>
      </c>
      <c r="D160">
        <f t="shared" si="6"/>
        <v>0.85106382978723405</v>
      </c>
      <c r="E160">
        <f>ROUND(MIN(5,MAX(0,D160))/5*PARAMS_MODELO!$B$32,2)</f>
        <v>6.81</v>
      </c>
      <c r="F160">
        <v>5</v>
      </c>
      <c r="G160">
        <f>MAX(0,PARAMS_MODELO!$B$33-VALUE(TRIM(F160))*3)</f>
        <v>15</v>
      </c>
      <c r="H160">
        <v>3</v>
      </c>
      <c r="I160">
        <f>ROUND(MIN(4,MAX(0,H160))/4*PARAMS_MODELO!$B$34,2)</f>
        <v>15</v>
      </c>
      <c r="J160">
        <v>1</v>
      </c>
      <c r="K160">
        <f>IF(J160=0,0,PARAMS_MODELO!$B$35)</f>
        <v>10</v>
      </c>
      <c r="L160">
        <f t="shared" si="7"/>
        <v>46.81</v>
      </c>
      <c r="M160" t="str">
        <f t="shared" si="8"/>
        <v>Regular</v>
      </c>
      <c r="N160">
        <f>IF(M160=PARAMS_MODELO!$A$36,PARAMS_MODELO!$B$36,IF(M160=PARAMS_MODELO!$A$37,PARAMS_MODELO!$B$37,IF(M160=PARAMS_MODELO!$A$38,PARAMS_MODELO!$B$38,IF(M160=PARAMS_MODELO!$A$39,PARAMS_MODELO!$B$39,IF(M160=PARAMS_MODELO!$A$40,PARAMS_MODELO!$B$40)))))</f>
        <v>1</v>
      </c>
    </row>
    <row r="161" spans="1:14" x14ac:dyDescent="0.3">
      <c r="A161">
        <v>51031393</v>
      </c>
      <c r="B161">
        <v>73</v>
      </c>
      <c r="C161">
        <v>10</v>
      </c>
      <c r="D161">
        <f t="shared" si="6"/>
        <v>5</v>
      </c>
      <c r="E161">
        <f>ROUND(MIN(5,MAX(0,D161))/5*PARAMS_MODELO!$B$32,2)</f>
        <v>40</v>
      </c>
      <c r="F161">
        <v>5</v>
      </c>
      <c r="G161">
        <f>MAX(0,PARAMS_MODELO!$B$33-VALUE(TRIM(F161))*3)</f>
        <v>15</v>
      </c>
      <c r="H161">
        <v>2</v>
      </c>
      <c r="I161">
        <f>ROUND(MIN(4,MAX(0,H161))/4*PARAMS_MODELO!$B$34,2)</f>
        <v>10</v>
      </c>
      <c r="J161">
        <v>1</v>
      </c>
      <c r="K161">
        <f>IF(J161=0,0,PARAMS_MODELO!$B$35)</f>
        <v>10</v>
      </c>
      <c r="L161">
        <f t="shared" si="7"/>
        <v>75</v>
      </c>
      <c r="M161" t="str">
        <f t="shared" si="8"/>
        <v>Muy Bueno</v>
      </c>
      <c r="N161">
        <f>IF(M161=PARAMS_MODELO!$A$36,PARAMS_MODELO!$B$36,IF(M161=PARAMS_MODELO!$A$37,PARAMS_MODELO!$B$37,IF(M161=PARAMS_MODELO!$A$38,PARAMS_MODELO!$B$38,IF(M161=PARAMS_MODELO!$A$39,PARAMS_MODELO!$B$39,IF(M161=PARAMS_MODELO!$A$40,PARAMS_MODELO!$B$40)))))</f>
        <v>1.1499999999999999</v>
      </c>
    </row>
    <row r="162" spans="1:14" x14ac:dyDescent="0.3">
      <c r="A162">
        <v>51025971</v>
      </c>
      <c r="B162">
        <v>2</v>
      </c>
      <c r="C162">
        <v>59</v>
      </c>
      <c r="D162">
        <f t="shared" si="6"/>
        <v>3.3898305084745763E-2</v>
      </c>
      <c r="E162">
        <f>ROUND(MIN(5,MAX(0,D162))/5*PARAMS_MODELO!$B$32,2)</f>
        <v>0.27</v>
      </c>
      <c r="F162">
        <v>5</v>
      </c>
      <c r="G162">
        <f>MAX(0,PARAMS_MODELO!$B$33-VALUE(TRIM(F162))*3)</f>
        <v>15</v>
      </c>
      <c r="H162">
        <v>4</v>
      </c>
      <c r="I162">
        <f>ROUND(MIN(4,MAX(0,H162))/4*PARAMS_MODELO!$B$34,2)</f>
        <v>20</v>
      </c>
      <c r="J162">
        <v>1</v>
      </c>
      <c r="K162">
        <f>IF(J162=0,0,PARAMS_MODELO!$B$35)</f>
        <v>10</v>
      </c>
      <c r="L162">
        <f t="shared" si="7"/>
        <v>45.269999999999996</v>
      </c>
      <c r="M162" t="str">
        <f t="shared" si="8"/>
        <v>Regular</v>
      </c>
      <c r="N162">
        <f>IF(M162=PARAMS_MODELO!$A$36,PARAMS_MODELO!$B$36,IF(M162=PARAMS_MODELO!$A$37,PARAMS_MODELO!$B$37,IF(M162=PARAMS_MODELO!$A$38,PARAMS_MODELO!$B$38,IF(M162=PARAMS_MODELO!$A$39,PARAMS_MODELO!$B$39,IF(M162=PARAMS_MODELO!$A$40,PARAMS_MODELO!$B$40)))))</f>
        <v>1</v>
      </c>
    </row>
    <row r="163" spans="1:14" x14ac:dyDescent="0.3">
      <c r="A163">
        <v>51020880</v>
      </c>
      <c r="B163">
        <v>40</v>
      </c>
      <c r="C163">
        <v>5</v>
      </c>
      <c r="D163">
        <f t="shared" si="6"/>
        <v>5</v>
      </c>
      <c r="E163">
        <f>ROUND(MIN(5,MAX(0,D163))/5*PARAMS_MODELO!$B$32,2)</f>
        <v>40</v>
      </c>
      <c r="F163">
        <v>1</v>
      </c>
      <c r="G163">
        <f>MAX(0,PARAMS_MODELO!$B$33-VALUE(TRIM(F163))*3)</f>
        <v>27</v>
      </c>
      <c r="H163">
        <v>2</v>
      </c>
      <c r="I163">
        <f>ROUND(MIN(4,MAX(0,H163))/4*PARAMS_MODELO!$B$34,2)</f>
        <v>10</v>
      </c>
      <c r="J163">
        <v>1</v>
      </c>
      <c r="K163">
        <f>IF(J163=0,0,PARAMS_MODELO!$B$35)</f>
        <v>10</v>
      </c>
      <c r="L163">
        <f t="shared" si="7"/>
        <v>87</v>
      </c>
      <c r="M163" t="str">
        <f t="shared" si="8"/>
        <v>Muy Bueno</v>
      </c>
      <c r="N163">
        <f>IF(M163=PARAMS_MODELO!$A$36,PARAMS_MODELO!$B$36,IF(M163=PARAMS_MODELO!$A$37,PARAMS_MODELO!$B$37,IF(M163=PARAMS_MODELO!$A$38,PARAMS_MODELO!$B$38,IF(M163=PARAMS_MODELO!$A$39,PARAMS_MODELO!$B$39,IF(M163=PARAMS_MODELO!$A$40,PARAMS_MODELO!$B$40)))))</f>
        <v>1.1499999999999999</v>
      </c>
    </row>
    <row r="164" spans="1:14" x14ac:dyDescent="0.3">
      <c r="A164">
        <v>51023056</v>
      </c>
      <c r="B164">
        <v>57</v>
      </c>
      <c r="C164">
        <v>75</v>
      </c>
      <c r="D164">
        <f t="shared" si="6"/>
        <v>0.76</v>
      </c>
      <c r="E164">
        <f>ROUND(MIN(5,MAX(0,D164))/5*PARAMS_MODELO!$B$32,2)</f>
        <v>6.08</v>
      </c>
      <c r="F164">
        <v>0</v>
      </c>
      <c r="G164">
        <f>MAX(0,PARAMS_MODELO!$B$33-VALUE(TRIM(F164))*3)</f>
        <v>30</v>
      </c>
      <c r="H164">
        <v>2</v>
      </c>
      <c r="I164">
        <f>ROUND(MIN(4,MAX(0,H164))/4*PARAMS_MODELO!$B$34,2)</f>
        <v>10</v>
      </c>
      <c r="J164">
        <v>1</v>
      </c>
      <c r="K164">
        <f>IF(J164=0,0,PARAMS_MODELO!$B$35)</f>
        <v>10</v>
      </c>
      <c r="L164">
        <f t="shared" si="7"/>
        <v>56.08</v>
      </c>
      <c r="M164" t="str">
        <f t="shared" si="8"/>
        <v>Regular</v>
      </c>
      <c r="N164">
        <f>IF(M164=PARAMS_MODELO!$A$36,PARAMS_MODELO!$B$36,IF(M164=PARAMS_MODELO!$A$37,PARAMS_MODELO!$B$37,IF(M164=PARAMS_MODELO!$A$38,PARAMS_MODELO!$B$38,IF(M164=PARAMS_MODELO!$A$39,PARAMS_MODELO!$B$39,IF(M164=PARAMS_MODELO!$A$40,PARAMS_MODELO!$B$40)))))</f>
        <v>1</v>
      </c>
    </row>
    <row r="165" spans="1:14" x14ac:dyDescent="0.3">
      <c r="A165">
        <v>51022688</v>
      </c>
      <c r="B165">
        <v>43</v>
      </c>
      <c r="C165">
        <v>75</v>
      </c>
      <c r="D165">
        <f t="shared" si="6"/>
        <v>0.57333333333333336</v>
      </c>
      <c r="E165">
        <f>ROUND(MIN(5,MAX(0,D165))/5*PARAMS_MODELO!$B$32,2)</f>
        <v>4.59</v>
      </c>
      <c r="F165">
        <v>4</v>
      </c>
      <c r="G165">
        <f>MAX(0,PARAMS_MODELO!$B$33-VALUE(TRIM(F165))*3)</f>
        <v>18</v>
      </c>
      <c r="H165">
        <v>4</v>
      </c>
      <c r="I165">
        <f>ROUND(MIN(4,MAX(0,H165))/4*PARAMS_MODELO!$B$34,2)</f>
        <v>20</v>
      </c>
      <c r="J165">
        <v>0</v>
      </c>
      <c r="K165">
        <f>IF(J165=0,0,PARAMS_MODELO!$B$35)</f>
        <v>0</v>
      </c>
      <c r="L165">
        <f t="shared" si="7"/>
        <v>42.59</v>
      </c>
      <c r="M165" t="str">
        <f t="shared" si="8"/>
        <v>Regular</v>
      </c>
      <c r="N165">
        <f>IF(M165=PARAMS_MODELO!$A$36,PARAMS_MODELO!$B$36,IF(M165=PARAMS_MODELO!$A$37,PARAMS_MODELO!$B$37,IF(M165=PARAMS_MODELO!$A$38,PARAMS_MODELO!$B$38,IF(M165=PARAMS_MODELO!$A$39,PARAMS_MODELO!$B$39,IF(M165=PARAMS_MODELO!$A$40,PARAMS_MODELO!$B$40)))))</f>
        <v>1</v>
      </c>
    </row>
    <row r="166" spans="1:14" x14ac:dyDescent="0.3">
      <c r="A166">
        <v>51012747</v>
      </c>
      <c r="B166">
        <v>57</v>
      </c>
      <c r="C166">
        <v>69</v>
      </c>
      <c r="D166">
        <f t="shared" si="6"/>
        <v>0.82608695652173914</v>
      </c>
      <c r="E166">
        <f>ROUND(MIN(5,MAX(0,D166))/5*PARAMS_MODELO!$B$32,2)</f>
        <v>6.61</v>
      </c>
      <c r="F166">
        <v>3</v>
      </c>
      <c r="G166">
        <f>MAX(0,PARAMS_MODELO!$B$33-VALUE(TRIM(F166))*3)</f>
        <v>21</v>
      </c>
      <c r="H166">
        <v>2</v>
      </c>
      <c r="I166">
        <f>ROUND(MIN(4,MAX(0,H166))/4*PARAMS_MODELO!$B$34,2)</f>
        <v>10</v>
      </c>
      <c r="J166">
        <v>1</v>
      </c>
      <c r="K166">
        <f>IF(J166=0,0,PARAMS_MODELO!$B$35)</f>
        <v>10</v>
      </c>
      <c r="L166">
        <f t="shared" si="7"/>
        <v>47.61</v>
      </c>
      <c r="M166" t="str">
        <f t="shared" si="8"/>
        <v>Regular</v>
      </c>
      <c r="N166">
        <f>IF(M166=PARAMS_MODELO!$A$36,PARAMS_MODELO!$B$36,IF(M166=PARAMS_MODELO!$A$37,PARAMS_MODELO!$B$37,IF(M166=PARAMS_MODELO!$A$38,PARAMS_MODELO!$B$38,IF(M166=PARAMS_MODELO!$A$39,PARAMS_MODELO!$B$39,IF(M166=PARAMS_MODELO!$A$40,PARAMS_MODELO!$B$40)))))</f>
        <v>1</v>
      </c>
    </row>
    <row r="167" spans="1:14" x14ac:dyDescent="0.3">
      <c r="A167">
        <v>51032900</v>
      </c>
      <c r="B167">
        <v>82</v>
      </c>
      <c r="C167">
        <v>41</v>
      </c>
      <c r="D167">
        <f t="shared" si="6"/>
        <v>2</v>
      </c>
      <c r="E167">
        <f>ROUND(MIN(5,MAX(0,D167))/5*PARAMS_MODELO!$B$32,2)</f>
        <v>16</v>
      </c>
      <c r="F167">
        <v>4</v>
      </c>
      <c r="G167">
        <f>MAX(0,PARAMS_MODELO!$B$33-VALUE(TRIM(F167))*3)</f>
        <v>18</v>
      </c>
      <c r="H167">
        <v>4</v>
      </c>
      <c r="I167">
        <f>ROUND(MIN(4,MAX(0,H167))/4*PARAMS_MODELO!$B$34,2)</f>
        <v>20</v>
      </c>
      <c r="J167">
        <v>1</v>
      </c>
      <c r="K167">
        <f>IF(J167=0,0,PARAMS_MODELO!$B$35)</f>
        <v>10</v>
      </c>
      <c r="L167">
        <f t="shared" si="7"/>
        <v>64</v>
      </c>
      <c r="M167" t="str">
        <f t="shared" si="8"/>
        <v>Bueno</v>
      </c>
      <c r="N167">
        <f>IF(M167=PARAMS_MODELO!$A$36,PARAMS_MODELO!$B$36,IF(M167=PARAMS_MODELO!$A$37,PARAMS_MODELO!$B$37,IF(M167=PARAMS_MODELO!$A$38,PARAMS_MODELO!$B$38,IF(M167=PARAMS_MODELO!$A$39,PARAMS_MODELO!$B$39,IF(M167=PARAMS_MODELO!$A$40,PARAMS_MODELO!$B$40)))))</f>
        <v>1.1000000000000001</v>
      </c>
    </row>
    <row r="168" spans="1:14" x14ac:dyDescent="0.3">
      <c r="A168">
        <v>51056434</v>
      </c>
      <c r="B168">
        <v>50</v>
      </c>
      <c r="C168">
        <v>64</v>
      </c>
      <c r="D168">
        <f t="shared" si="6"/>
        <v>0.78125</v>
      </c>
      <c r="E168">
        <f>ROUND(MIN(5,MAX(0,D168))/5*PARAMS_MODELO!$B$32,2)</f>
        <v>6.25</v>
      </c>
      <c r="F168">
        <v>4</v>
      </c>
      <c r="G168">
        <f>MAX(0,PARAMS_MODELO!$B$33-VALUE(TRIM(F168))*3)</f>
        <v>18</v>
      </c>
      <c r="H168">
        <v>2</v>
      </c>
      <c r="I168">
        <f>ROUND(MIN(4,MAX(0,H168))/4*PARAMS_MODELO!$B$34,2)</f>
        <v>10</v>
      </c>
      <c r="J168">
        <v>1</v>
      </c>
      <c r="K168">
        <f>IF(J168=0,0,PARAMS_MODELO!$B$35)</f>
        <v>10</v>
      </c>
      <c r="L168">
        <f t="shared" si="7"/>
        <v>44.25</v>
      </c>
      <c r="M168" t="str">
        <f t="shared" si="8"/>
        <v>Regular</v>
      </c>
      <c r="N168">
        <f>IF(M168=PARAMS_MODELO!$A$36,PARAMS_MODELO!$B$36,IF(M168=PARAMS_MODELO!$A$37,PARAMS_MODELO!$B$37,IF(M168=PARAMS_MODELO!$A$38,PARAMS_MODELO!$B$38,IF(M168=PARAMS_MODELO!$A$39,PARAMS_MODELO!$B$39,IF(M168=PARAMS_MODELO!$A$40,PARAMS_MODELO!$B$40)))))</f>
        <v>1</v>
      </c>
    </row>
    <row r="169" spans="1:14" x14ac:dyDescent="0.3">
      <c r="A169">
        <v>51019261</v>
      </c>
      <c r="B169">
        <v>38</v>
      </c>
      <c r="C169">
        <v>74</v>
      </c>
      <c r="D169">
        <f t="shared" si="6"/>
        <v>0.51351351351351349</v>
      </c>
      <c r="E169">
        <f>ROUND(MIN(5,MAX(0,D169))/5*PARAMS_MODELO!$B$32,2)</f>
        <v>4.1100000000000003</v>
      </c>
      <c r="F169">
        <v>0</v>
      </c>
      <c r="G169">
        <f>MAX(0,PARAMS_MODELO!$B$33-VALUE(TRIM(F169))*3)</f>
        <v>30</v>
      </c>
      <c r="H169">
        <v>4</v>
      </c>
      <c r="I169">
        <f>ROUND(MIN(4,MAX(0,H169))/4*PARAMS_MODELO!$B$34,2)</f>
        <v>20</v>
      </c>
      <c r="J169">
        <v>1</v>
      </c>
      <c r="K169">
        <f>IF(J169=0,0,PARAMS_MODELO!$B$35)</f>
        <v>10</v>
      </c>
      <c r="L169">
        <f t="shared" si="7"/>
        <v>64.11</v>
      </c>
      <c r="M169" t="str">
        <f t="shared" si="8"/>
        <v>Bueno</v>
      </c>
      <c r="N169">
        <f>IF(M169=PARAMS_MODELO!$A$36,PARAMS_MODELO!$B$36,IF(M169=PARAMS_MODELO!$A$37,PARAMS_MODELO!$B$37,IF(M169=PARAMS_MODELO!$A$38,PARAMS_MODELO!$B$38,IF(M169=PARAMS_MODELO!$A$39,PARAMS_MODELO!$B$39,IF(M169=PARAMS_MODELO!$A$40,PARAMS_MODELO!$B$40)))))</f>
        <v>1.1000000000000001</v>
      </c>
    </row>
    <row r="170" spans="1:14" x14ac:dyDescent="0.3">
      <c r="A170">
        <v>51018486</v>
      </c>
      <c r="B170">
        <v>11</v>
      </c>
      <c r="C170">
        <v>77</v>
      </c>
      <c r="D170">
        <f t="shared" si="6"/>
        <v>0.14285714285714285</v>
      </c>
      <c r="E170">
        <f>ROUND(MIN(5,MAX(0,D170))/5*PARAMS_MODELO!$B$32,2)</f>
        <v>1.1399999999999999</v>
      </c>
      <c r="F170">
        <v>2</v>
      </c>
      <c r="G170">
        <f>MAX(0,PARAMS_MODELO!$B$33-VALUE(TRIM(F170))*3)</f>
        <v>24</v>
      </c>
      <c r="H170">
        <v>2</v>
      </c>
      <c r="I170">
        <f>ROUND(MIN(4,MAX(0,H170))/4*PARAMS_MODELO!$B$34,2)</f>
        <v>10</v>
      </c>
      <c r="J170">
        <v>0</v>
      </c>
      <c r="K170">
        <f>IF(J170=0,0,PARAMS_MODELO!$B$35)</f>
        <v>0</v>
      </c>
      <c r="L170">
        <f t="shared" si="7"/>
        <v>35.14</v>
      </c>
      <c r="M170" t="str">
        <f t="shared" si="8"/>
        <v>Malo</v>
      </c>
      <c r="N170">
        <f>IF(M170=PARAMS_MODELO!$A$36,PARAMS_MODELO!$B$36,IF(M170=PARAMS_MODELO!$A$37,PARAMS_MODELO!$B$37,IF(M170=PARAMS_MODELO!$A$38,PARAMS_MODELO!$B$38,IF(M170=PARAMS_MODELO!$A$39,PARAMS_MODELO!$B$39,IF(M170=PARAMS_MODELO!$A$40,PARAMS_MODELO!$B$40)))))</f>
        <v>0.7</v>
      </c>
    </row>
    <row r="171" spans="1:14" x14ac:dyDescent="0.3">
      <c r="A171">
        <v>51005732</v>
      </c>
      <c r="B171">
        <v>70</v>
      </c>
      <c r="C171">
        <v>99</v>
      </c>
      <c r="D171">
        <f t="shared" si="6"/>
        <v>0.70707070707070707</v>
      </c>
      <c r="E171">
        <f>ROUND(MIN(5,MAX(0,D171))/5*PARAMS_MODELO!$B$32,2)</f>
        <v>5.66</v>
      </c>
      <c r="F171">
        <v>3</v>
      </c>
      <c r="G171">
        <f>MAX(0,PARAMS_MODELO!$B$33-VALUE(TRIM(F171))*3)</f>
        <v>21</v>
      </c>
      <c r="H171">
        <v>1</v>
      </c>
      <c r="I171">
        <f>ROUND(MIN(4,MAX(0,H171))/4*PARAMS_MODELO!$B$34,2)</f>
        <v>5</v>
      </c>
      <c r="J171">
        <v>1</v>
      </c>
      <c r="K171">
        <f>IF(J171=0,0,PARAMS_MODELO!$B$35)</f>
        <v>10</v>
      </c>
      <c r="L171">
        <f t="shared" si="7"/>
        <v>41.66</v>
      </c>
      <c r="M171" t="str">
        <f t="shared" si="8"/>
        <v>Regular</v>
      </c>
      <c r="N171">
        <f>IF(M171=PARAMS_MODELO!$A$36,PARAMS_MODELO!$B$36,IF(M171=PARAMS_MODELO!$A$37,PARAMS_MODELO!$B$37,IF(M171=PARAMS_MODELO!$A$38,PARAMS_MODELO!$B$38,IF(M171=PARAMS_MODELO!$A$39,PARAMS_MODELO!$B$39,IF(M171=PARAMS_MODELO!$A$40,PARAMS_MODELO!$B$40)))))</f>
        <v>1</v>
      </c>
    </row>
    <row r="172" spans="1:14" x14ac:dyDescent="0.3">
      <c r="A172">
        <v>51039785</v>
      </c>
      <c r="B172">
        <v>2</v>
      </c>
      <c r="C172">
        <v>23</v>
      </c>
      <c r="D172">
        <f t="shared" si="6"/>
        <v>8.6956521739130432E-2</v>
      </c>
      <c r="E172">
        <f>ROUND(MIN(5,MAX(0,D172))/5*PARAMS_MODELO!$B$32,2)</f>
        <v>0.7</v>
      </c>
      <c r="F172">
        <v>3</v>
      </c>
      <c r="G172">
        <f>MAX(0,PARAMS_MODELO!$B$33-VALUE(TRIM(F172))*3)</f>
        <v>21</v>
      </c>
      <c r="H172">
        <v>1</v>
      </c>
      <c r="I172">
        <f>ROUND(MIN(4,MAX(0,H172))/4*PARAMS_MODELO!$B$34,2)</f>
        <v>5</v>
      </c>
      <c r="J172">
        <v>0</v>
      </c>
      <c r="K172">
        <f>IF(J172=0,0,PARAMS_MODELO!$B$35)</f>
        <v>0</v>
      </c>
      <c r="L172">
        <f t="shared" si="7"/>
        <v>26.7</v>
      </c>
      <c r="M172" t="str">
        <f t="shared" si="8"/>
        <v>Malo</v>
      </c>
      <c r="N172">
        <f>IF(M172=PARAMS_MODELO!$A$36,PARAMS_MODELO!$B$36,IF(M172=PARAMS_MODELO!$A$37,PARAMS_MODELO!$B$37,IF(M172=PARAMS_MODELO!$A$38,PARAMS_MODELO!$B$38,IF(M172=PARAMS_MODELO!$A$39,PARAMS_MODELO!$B$39,IF(M172=PARAMS_MODELO!$A$40,PARAMS_MODELO!$B$40)))))</f>
        <v>0.7</v>
      </c>
    </row>
    <row r="173" spans="1:14" x14ac:dyDescent="0.3">
      <c r="A173">
        <v>51025865</v>
      </c>
      <c r="B173">
        <v>46</v>
      </c>
      <c r="C173">
        <v>80</v>
      </c>
      <c r="D173">
        <f t="shared" si="6"/>
        <v>0.57499999999999996</v>
      </c>
      <c r="E173">
        <f>ROUND(MIN(5,MAX(0,D173))/5*PARAMS_MODELO!$B$32,2)</f>
        <v>4.5999999999999996</v>
      </c>
      <c r="F173">
        <v>1</v>
      </c>
      <c r="G173">
        <f>MAX(0,PARAMS_MODELO!$B$33-VALUE(TRIM(F173))*3)</f>
        <v>27</v>
      </c>
      <c r="H173">
        <v>4</v>
      </c>
      <c r="I173">
        <f>ROUND(MIN(4,MAX(0,H173))/4*PARAMS_MODELO!$B$34,2)</f>
        <v>20</v>
      </c>
      <c r="J173">
        <v>1</v>
      </c>
      <c r="K173">
        <f>IF(J173=0,0,PARAMS_MODELO!$B$35)</f>
        <v>10</v>
      </c>
      <c r="L173">
        <f t="shared" si="7"/>
        <v>61.6</v>
      </c>
      <c r="M173" t="str">
        <f t="shared" si="8"/>
        <v>Bueno</v>
      </c>
      <c r="N173">
        <f>IF(M173=PARAMS_MODELO!$A$36,PARAMS_MODELO!$B$36,IF(M173=PARAMS_MODELO!$A$37,PARAMS_MODELO!$B$37,IF(M173=PARAMS_MODELO!$A$38,PARAMS_MODELO!$B$38,IF(M173=PARAMS_MODELO!$A$39,PARAMS_MODELO!$B$39,IF(M173=PARAMS_MODELO!$A$40,PARAMS_MODELO!$B$40)))))</f>
        <v>1.1000000000000001</v>
      </c>
    </row>
    <row r="174" spans="1:14" x14ac:dyDescent="0.3">
      <c r="A174">
        <v>51015657</v>
      </c>
      <c r="B174">
        <v>78</v>
      </c>
      <c r="C174">
        <v>46</v>
      </c>
      <c r="D174">
        <f t="shared" si="6"/>
        <v>1.6956521739130435</v>
      </c>
      <c r="E174">
        <f>ROUND(MIN(5,MAX(0,D174))/5*PARAMS_MODELO!$B$32,2)</f>
        <v>13.57</v>
      </c>
      <c r="F174">
        <v>0</v>
      </c>
      <c r="G174">
        <f>MAX(0,PARAMS_MODELO!$B$33-VALUE(TRIM(F174))*3)</f>
        <v>30</v>
      </c>
      <c r="H174">
        <v>2</v>
      </c>
      <c r="I174">
        <f>ROUND(MIN(4,MAX(0,H174))/4*PARAMS_MODELO!$B$34,2)</f>
        <v>10</v>
      </c>
      <c r="J174">
        <v>1</v>
      </c>
      <c r="K174">
        <f>IF(J174=0,0,PARAMS_MODELO!$B$35)</f>
        <v>10</v>
      </c>
      <c r="L174">
        <f t="shared" si="7"/>
        <v>63.57</v>
      </c>
      <c r="M174" t="str">
        <f t="shared" si="8"/>
        <v>Bueno</v>
      </c>
      <c r="N174">
        <f>IF(M174=PARAMS_MODELO!$A$36,PARAMS_MODELO!$B$36,IF(M174=PARAMS_MODELO!$A$37,PARAMS_MODELO!$B$37,IF(M174=PARAMS_MODELO!$A$38,PARAMS_MODELO!$B$38,IF(M174=PARAMS_MODELO!$A$39,PARAMS_MODELO!$B$39,IF(M174=PARAMS_MODELO!$A$40,PARAMS_MODELO!$B$40)))))</f>
        <v>1.1000000000000001</v>
      </c>
    </row>
    <row r="175" spans="1:14" x14ac:dyDescent="0.3">
      <c r="A175">
        <v>51001168</v>
      </c>
      <c r="B175">
        <v>64</v>
      </c>
      <c r="C175">
        <v>44</v>
      </c>
      <c r="D175">
        <f t="shared" si="6"/>
        <v>1.4545454545454546</v>
      </c>
      <c r="E175">
        <f>ROUND(MIN(5,MAX(0,D175))/5*PARAMS_MODELO!$B$32,2)</f>
        <v>11.64</v>
      </c>
      <c r="F175">
        <v>3</v>
      </c>
      <c r="G175">
        <f>MAX(0,PARAMS_MODELO!$B$33-VALUE(TRIM(F175))*3)</f>
        <v>21</v>
      </c>
      <c r="H175">
        <v>2</v>
      </c>
      <c r="I175">
        <f>ROUND(MIN(4,MAX(0,H175))/4*PARAMS_MODELO!$B$34,2)</f>
        <v>10</v>
      </c>
      <c r="J175">
        <v>1</v>
      </c>
      <c r="K175">
        <f>IF(J175=0,0,PARAMS_MODELO!$B$35)</f>
        <v>10</v>
      </c>
      <c r="L175">
        <f t="shared" si="7"/>
        <v>52.64</v>
      </c>
      <c r="M175" t="str">
        <f t="shared" si="8"/>
        <v>Regular</v>
      </c>
      <c r="N175">
        <f>IF(M175=PARAMS_MODELO!$A$36,PARAMS_MODELO!$B$36,IF(M175=PARAMS_MODELO!$A$37,PARAMS_MODELO!$B$37,IF(M175=PARAMS_MODELO!$A$38,PARAMS_MODELO!$B$38,IF(M175=PARAMS_MODELO!$A$39,PARAMS_MODELO!$B$39,IF(M175=PARAMS_MODELO!$A$40,PARAMS_MODELO!$B$40)))))</f>
        <v>1</v>
      </c>
    </row>
    <row r="176" spans="1:14" x14ac:dyDescent="0.3">
      <c r="A176">
        <v>51021380</v>
      </c>
      <c r="B176">
        <v>24</v>
      </c>
      <c r="C176">
        <v>59</v>
      </c>
      <c r="D176">
        <f t="shared" si="6"/>
        <v>0.40677966101694918</v>
      </c>
      <c r="E176">
        <f>ROUND(MIN(5,MAX(0,D176))/5*PARAMS_MODELO!$B$32,2)</f>
        <v>3.25</v>
      </c>
      <c r="F176">
        <v>0</v>
      </c>
      <c r="G176">
        <f>MAX(0,PARAMS_MODELO!$B$33-VALUE(TRIM(F176))*3)</f>
        <v>30</v>
      </c>
      <c r="H176">
        <v>3</v>
      </c>
      <c r="I176">
        <f>ROUND(MIN(4,MAX(0,H176))/4*PARAMS_MODELO!$B$34,2)</f>
        <v>15</v>
      </c>
      <c r="J176">
        <v>1</v>
      </c>
      <c r="K176">
        <f>IF(J176=0,0,PARAMS_MODELO!$B$35)</f>
        <v>10</v>
      </c>
      <c r="L176">
        <f t="shared" si="7"/>
        <v>58.25</v>
      </c>
      <c r="M176" t="str">
        <f t="shared" si="8"/>
        <v>Regular</v>
      </c>
      <c r="N176">
        <f>IF(M176=PARAMS_MODELO!$A$36,PARAMS_MODELO!$B$36,IF(M176=PARAMS_MODELO!$A$37,PARAMS_MODELO!$B$37,IF(M176=PARAMS_MODELO!$A$38,PARAMS_MODELO!$B$38,IF(M176=PARAMS_MODELO!$A$39,PARAMS_MODELO!$B$39,IF(M176=PARAMS_MODELO!$A$40,PARAMS_MODELO!$B$40)))))</f>
        <v>1</v>
      </c>
    </row>
    <row r="177" spans="1:14" x14ac:dyDescent="0.3">
      <c r="A177">
        <v>51011970</v>
      </c>
      <c r="B177">
        <v>72</v>
      </c>
      <c r="C177">
        <v>83</v>
      </c>
      <c r="D177">
        <f t="shared" si="6"/>
        <v>0.86746987951807231</v>
      </c>
      <c r="E177">
        <f>ROUND(MIN(5,MAX(0,D177))/5*PARAMS_MODELO!$B$32,2)</f>
        <v>6.94</v>
      </c>
      <c r="F177">
        <v>5</v>
      </c>
      <c r="G177">
        <f>MAX(0,PARAMS_MODELO!$B$33-VALUE(TRIM(F177))*3)</f>
        <v>15</v>
      </c>
      <c r="H177">
        <v>4</v>
      </c>
      <c r="I177">
        <f>ROUND(MIN(4,MAX(0,H177))/4*PARAMS_MODELO!$B$34,2)</f>
        <v>20</v>
      </c>
      <c r="J177">
        <v>0</v>
      </c>
      <c r="K177">
        <f>IF(J177=0,0,PARAMS_MODELO!$B$35)</f>
        <v>0</v>
      </c>
      <c r="L177">
        <f t="shared" si="7"/>
        <v>41.94</v>
      </c>
      <c r="M177" t="str">
        <f t="shared" si="8"/>
        <v>Regular</v>
      </c>
      <c r="N177">
        <f>IF(M177=PARAMS_MODELO!$A$36,PARAMS_MODELO!$B$36,IF(M177=PARAMS_MODELO!$A$37,PARAMS_MODELO!$B$37,IF(M177=PARAMS_MODELO!$A$38,PARAMS_MODELO!$B$38,IF(M177=PARAMS_MODELO!$A$39,PARAMS_MODELO!$B$39,IF(M177=PARAMS_MODELO!$A$40,PARAMS_MODELO!$B$40)))))</f>
        <v>1</v>
      </c>
    </row>
    <row r="178" spans="1:14" x14ac:dyDescent="0.3">
      <c r="A178">
        <v>51036697</v>
      </c>
      <c r="B178">
        <v>17</v>
      </c>
      <c r="C178">
        <v>77</v>
      </c>
      <c r="D178">
        <f t="shared" si="6"/>
        <v>0.22077922077922077</v>
      </c>
      <c r="E178">
        <f>ROUND(MIN(5,MAX(0,D178))/5*PARAMS_MODELO!$B$32,2)</f>
        <v>1.77</v>
      </c>
      <c r="F178">
        <v>1</v>
      </c>
      <c r="G178">
        <f>MAX(0,PARAMS_MODELO!$B$33-VALUE(TRIM(F178))*3)</f>
        <v>27</v>
      </c>
      <c r="H178">
        <v>4</v>
      </c>
      <c r="I178">
        <f>ROUND(MIN(4,MAX(0,H178))/4*PARAMS_MODELO!$B$34,2)</f>
        <v>20</v>
      </c>
      <c r="J178">
        <v>0</v>
      </c>
      <c r="K178">
        <f>IF(J178=0,0,PARAMS_MODELO!$B$35)</f>
        <v>0</v>
      </c>
      <c r="L178">
        <f t="shared" si="7"/>
        <v>48.769999999999996</v>
      </c>
      <c r="M178" t="str">
        <f t="shared" si="8"/>
        <v>Regular</v>
      </c>
      <c r="N178">
        <f>IF(M178=PARAMS_MODELO!$A$36,PARAMS_MODELO!$B$36,IF(M178=PARAMS_MODELO!$A$37,PARAMS_MODELO!$B$37,IF(M178=PARAMS_MODELO!$A$38,PARAMS_MODELO!$B$38,IF(M178=PARAMS_MODELO!$A$39,PARAMS_MODELO!$B$39,IF(M178=PARAMS_MODELO!$A$40,PARAMS_MODELO!$B$40)))))</f>
        <v>1</v>
      </c>
    </row>
    <row r="179" spans="1:14" x14ac:dyDescent="0.3">
      <c r="A179">
        <v>51009061</v>
      </c>
      <c r="B179">
        <v>68</v>
      </c>
      <c r="C179">
        <v>38</v>
      </c>
      <c r="D179">
        <f t="shared" si="6"/>
        <v>1.7894736842105263</v>
      </c>
      <c r="E179">
        <f>ROUND(MIN(5,MAX(0,D179))/5*PARAMS_MODELO!$B$32,2)</f>
        <v>14.32</v>
      </c>
      <c r="F179">
        <v>2</v>
      </c>
      <c r="G179">
        <f>MAX(0,PARAMS_MODELO!$B$33-VALUE(TRIM(F179))*3)</f>
        <v>24</v>
      </c>
      <c r="H179">
        <v>0</v>
      </c>
      <c r="I179">
        <f>ROUND(MIN(4,MAX(0,H179))/4*PARAMS_MODELO!$B$34,2)</f>
        <v>0</v>
      </c>
      <c r="J179">
        <v>0</v>
      </c>
      <c r="K179">
        <f>IF(J179=0,0,PARAMS_MODELO!$B$35)</f>
        <v>0</v>
      </c>
      <c r="L179">
        <f t="shared" si="7"/>
        <v>38.32</v>
      </c>
      <c r="M179" t="str">
        <f t="shared" si="8"/>
        <v>Malo</v>
      </c>
      <c r="N179">
        <f>IF(M179=PARAMS_MODELO!$A$36,PARAMS_MODELO!$B$36,IF(M179=PARAMS_MODELO!$A$37,PARAMS_MODELO!$B$37,IF(M179=PARAMS_MODELO!$A$38,PARAMS_MODELO!$B$38,IF(M179=PARAMS_MODELO!$A$39,PARAMS_MODELO!$B$39,IF(M179=PARAMS_MODELO!$A$40,PARAMS_MODELO!$B$40)))))</f>
        <v>0.7</v>
      </c>
    </row>
    <row r="180" spans="1:14" x14ac:dyDescent="0.3">
      <c r="A180">
        <v>51013824</v>
      </c>
      <c r="B180">
        <v>83</v>
      </c>
      <c r="C180">
        <v>16</v>
      </c>
      <c r="D180">
        <f t="shared" si="6"/>
        <v>5</v>
      </c>
      <c r="E180">
        <f>ROUND(MIN(5,MAX(0,D180))/5*PARAMS_MODELO!$B$32,2)</f>
        <v>40</v>
      </c>
      <c r="F180">
        <v>4</v>
      </c>
      <c r="G180">
        <f>MAX(0,PARAMS_MODELO!$B$33-VALUE(TRIM(F180))*3)</f>
        <v>18</v>
      </c>
      <c r="H180">
        <v>3</v>
      </c>
      <c r="I180">
        <f>ROUND(MIN(4,MAX(0,H180))/4*PARAMS_MODELO!$B$34,2)</f>
        <v>15</v>
      </c>
      <c r="J180">
        <v>0</v>
      </c>
      <c r="K180">
        <f>IF(J180=0,0,PARAMS_MODELO!$B$35)</f>
        <v>0</v>
      </c>
      <c r="L180">
        <f t="shared" si="7"/>
        <v>73</v>
      </c>
      <c r="M180" t="str">
        <f t="shared" si="8"/>
        <v>Bueno</v>
      </c>
      <c r="N180">
        <f>IF(M180=PARAMS_MODELO!$A$36,PARAMS_MODELO!$B$36,IF(M180=PARAMS_MODELO!$A$37,PARAMS_MODELO!$B$37,IF(M180=PARAMS_MODELO!$A$38,PARAMS_MODELO!$B$38,IF(M180=PARAMS_MODELO!$A$39,PARAMS_MODELO!$B$39,IF(M180=PARAMS_MODELO!$A$40,PARAMS_MODELO!$B$40)))))</f>
        <v>1.1000000000000001</v>
      </c>
    </row>
    <row r="181" spans="1:14" x14ac:dyDescent="0.3">
      <c r="A181">
        <v>51009240</v>
      </c>
      <c r="B181">
        <v>78</v>
      </c>
      <c r="C181">
        <v>41</v>
      </c>
      <c r="D181">
        <f t="shared" si="6"/>
        <v>1.9024390243902438</v>
      </c>
      <c r="E181">
        <f>ROUND(MIN(5,MAX(0,D181))/5*PARAMS_MODELO!$B$32,2)</f>
        <v>15.22</v>
      </c>
      <c r="F181">
        <v>1</v>
      </c>
      <c r="G181">
        <f>MAX(0,PARAMS_MODELO!$B$33-VALUE(TRIM(F181))*3)</f>
        <v>27</v>
      </c>
      <c r="H181">
        <v>1</v>
      </c>
      <c r="I181">
        <f>ROUND(MIN(4,MAX(0,H181))/4*PARAMS_MODELO!$B$34,2)</f>
        <v>5</v>
      </c>
      <c r="J181">
        <v>1</v>
      </c>
      <c r="K181">
        <f>IF(J181=0,0,PARAMS_MODELO!$B$35)</f>
        <v>10</v>
      </c>
      <c r="L181">
        <f t="shared" si="7"/>
        <v>57.22</v>
      </c>
      <c r="M181" t="str">
        <f t="shared" si="8"/>
        <v>Regular</v>
      </c>
      <c r="N181">
        <f>IF(M181=PARAMS_MODELO!$A$36,PARAMS_MODELO!$B$36,IF(M181=PARAMS_MODELO!$A$37,PARAMS_MODELO!$B$37,IF(M181=PARAMS_MODELO!$A$38,PARAMS_MODELO!$B$38,IF(M181=PARAMS_MODELO!$A$39,PARAMS_MODELO!$B$39,IF(M181=PARAMS_MODELO!$A$40,PARAMS_MODELO!$B$40)))))</f>
        <v>1</v>
      </c>
    </row>
    <row r="182" spans="1:14" x14ac:dyDescent="0.3">
      <c r="A182">
        <v>51001061</v>
      </c>
      <c r="B182">
        <v>89</v>
      </c>
      <c r="C182">
        <v>71</v>
      </c>
      <c r="D182">
        <f t="shared" si="6"/>
        <v>1.2535211267605635</v>
      </c>
      <c r="E182">
        <f>ROUND(MIN(5,MAX(0,D182))/5*PARAMS_MODELO!$B$32,2)</f>
        <v>10.029999999999999</v>
      </c>
      <c r="F182">
        <v>4</v>
      </c>
      <c r="G182">
        <f>MAX(0,PARAMS_MODELO!$B$33-VALUE(TRIM(F182))*3)</f>
        <v>18</v>
      </c>
      <c r="H182">
        <v>3</v>
      </c>
      <c r="I182">
        <f>ROUND(MIN(4,MAX(0,H182))/4*PARAMS_MODELO!$B$34,2)</f>
        <v>15</v>
      </c>
      <c r="J182">
        <v>0</v>
      </c>
      <c r="K182">
        <f>IF(J182=0,0,PARAMS_MODELO!$B$35)</f>
        <v>0</v>
      </c>
      <c r="L182">
        <f t="shared" si="7"/>
        <v>43.03</v>
      </c>
      <c r="M182" t="str">
        <f t="shared" si="8"/>
        <v>Regular</v>
      </c>
      <c r="N182">
        <f>IF(M182=PARAMS_MODELO!$A$36,PARAMS_MODELO!$B$36,IF(M182=PARAMS_MODELO!$A$37,PARAMS_MODELO!$B$37,IF(M182=PARAMS_MODELO!$A$38,PARAMS_MODELO!$B$38,IF(M182=PARAMS_MODELO!$A$39,PARAMS_MODELO!$B$39,IF(M182=PARAMS_MODELO!$A$40,PARAMS_MODELO!$B$40)))))</f>
        <v>1</v>
      </c>
    </row>
    <row r="183" spans="1:14" x14ac:dyDescent="0.3">
      <c r="A183">
        <v>51018621</v>
      </c>
      <c r="B183">
        <v>55</v>
      </c>
      <c r="C183">
        <v>95</v>
      </c>
      <c r="D183">
        <f t="shared" si="6"/>
        <v>0.57894736842105265</v>
      </c>
      <c r="E183">
        <f>ROUND(MIN(5,MAX(0,D183))/5*PARAMS_MODELO!$B$32,2)</f>
        <v>4.63</v>
      </c>
      <c r="F183">
        <v>5</v>
      </c>
      <c r="G183">
        <f>MAX(0,PARAMS_MODELO!$B$33-VALUE(TRIM(F183))*3)</f>
        <v>15</v>
      </c>
      <c r="H183">
        <v>3</v>
      </c>
      <c r="I183">
        <f>ROUND(MIN(4,MAX(0,H183))/4*PARAMS_MODELO!$B$34,2)</f>
        <v>15</v>
      </c>
      <c r="J183">
        <v>0</v>
      </c>
      <c r="K183">
        <f>IF(J183=0,0,PARAMS_MODELO!$B$35)</f>
        <v>0</v>
      </c>
      <c r="L183">
        <f t="shared" si="7"/>
        <v>34.629999999999995</v>
      </c>
      <c r="M183" t="str">
        <f t="shared" si="8"/>
        <v>Malo</v>
      </c>
      <c r="N183">
        <f>IF(M183=PARAMS_MODELO!$A$36,PARAMS_MODELO!$B$36,IF(M183=PARAMS_MODELO!$A$37,PARAMS_MODELO!$B$37,IF(M183=PARAMS_MODELO!$A$38,PARAMS_MODELO!$B$38,IF(M183=PARAMS_MODELO!$A$39,PARAMS_MODELO!$B$39,IF(M183=PARAMS_MODELO!$A$40,PARAMS_MODELO!$B$40)))))</f>
        <v>0.7</v>
      </c>
    </row>
    <row r="184" spans="1:14" x14ac:dyDescent="0.3">
      <c r="A184">
        <v>51011031</v>
      </c>
      <c r="B184">
        <v>3</v>
      </c>
      <c r="C184">
        <v>12</v>
      </c>
      <c r="D184">
        <f t="shared" si="6"/>
        <v>0.25</v>
      </c>
      <c r="E184">
        <f>ROUND(MIN(5,MAX(0,D184))/5*PARAMS_MODELO!$B$32,2)</f>
        <v>2</v>
      </c>
      <c r="F184">
        <v>1</v>
      </c>
      <c r="G184">
        <f>MAX(0,PARAMS_MODELO!$B$33-VALUE(TRIM(F184))*3)</f>
        <v>27</v>
      </c>
      <c r="H184">
        <v>2</v>
      </c>
      <c r="I184">
        <f>ROUND(MIN(4,MAX(0,H184))/4*PARAMS_MODELO!$B$34,2)</f>
        <v>10</v>
      </c>
      <c r="J184">
        <v>1</v>
      </c>
      <c r="K184">
        <f>IF(J184=0,0,PARAMS_MODELO!$B$35)</f>
        <v>10</v>
      </c>
      <c r="L184">
        <f t="shared" si="7"/>
        <v>49</v>
      </c>
      <c r="M184" t="str">
        <f t="shared" si="8"/>
        <v>Regular</v>
      </c>
      <c r="N184">
        <f>IF(M184=PARAMS_MODELO!$A$36,PARAMS_MODELO!$B$36,IF(M184=PARAMS_MODELO!$A$37,PARAMS_MODELO!$B$37,IF(M184=PARAMS_MODELO!$A$38,PARAMS_MODELO!$B$38,IF(M184=PARAMS_MODELO!$A$39,PARAMS_MODELO!$B$39,IF(M184=PARAMS_MODELO!$A$40,PARAMS_MODELO!$B$40)))))</f>
        <v>1</v>
      </c>
    </row>
    <row r="185" spans="1:14" x14ac:dyDescent="0.3">
      <c r="A185">
        <v>51013239</v>
      </c>
      <c r="B185">
        <v>38</v>
      </c>
      <c r="C185">
        <v>92</v>
      </c>
      <c r="D185">
        <f t="shared" si="6"/>
        <v>0.41304347826086957</v>
      </c>
      <c r="E185">
        <f>ROUND(MIN(5,MAX(0,D185))/5*PARAMS_MODELO!$B$32,2)</f>
        <v>3.3</v>
      </c>
      <c r="F185">
        <v>0</v>
      </c>
      <c r="G185">
        <f>MAX(0,PARAMS_MODELO!$B$33-VALUE(TRIM(F185))*3)</f>
        <v>30</v>
      </c>
      <c r="H185">
        <v>1</v>
      </c>
      <c r="I185">
        <f>ROUND(MIN(4,MAX(0,H185))/4*PARAMS_MODELO!$B$34,2)</f>
        <v>5</v>
      </c>
      <c r="J185">
        <v>1</v>
      </c>
      <c r="K185">
        <f>IF(J185=0,0,PARAMS_MODELO!$B$35)</f>
        <v>10</v>
      </c>
      <c r="L185">
        <f t="shared" si="7"/>
        <v>48.3</v>
      </c>
      <c r="M185" t="str">
        <f t="shared" si="8"/>
        <v>Regular</v>
      </c>
      <c r="N185">
        <f>IF(M185=PARAMS_MODELO!$A$36,PARAMS_MODELO!$B$36,IF(M185=PARAMS_MODELO!$A$37,PARAMS_MODELO!$B$37,IF(M185=PARAMS_MODELO!$A$38,PARAMS_MODELO!$B$38,IF(M185=PARAMS_MODELO!$A$39,PARAMS_MODELO!$B$39,IF(M185=PARAMS_MODELO!$A$40,PARAMS_MODELO!$B$40)))))</f>
        <v>1</v>
      </c>
    </row>
    <row r="186" spans="1:14" x14ac:dyDescent="0.3">
      <c r="A186">
        <v>51030281</v>
      </c>
      <c r="B186">
        <v>52</v>
      </c>
      <c r="C186">
        <v>91</v>
      </c>
      <c r="D186">
        <f t="shared" si="6"/>
        <v>0.5714285714285714</v>
      </c>
      <c r="E186">
        <f>ROUND(MIN(5,MAX(0,D186))/5*PARAMS_MODELO!$B$32,2)</f>
        <v>4.57</v>
      </c>
      <c r="F186">
        <v>3</v>
      </c>
      <c r="G186">
        <f>MAX(0,PARAMS_MODELO!$B$33-VALUE(TRIM(F186))*3)</f>
        <v>21</v>
      </c>
      <c r="H186">
        <v>0</v>
      </c>
      <c r="I186">
        <f>ROUND(MIN(4,MAX(0,H186))/4*PARAMS_MODELO!$B$34,2)</f>
        <v>0</v>
      </c>
      <c r="J186">
        <v>1</v>
      </c>
      <c r="K186">
        <f>IF(J186=0,0,PARAMS_MODELO!$B$35)</f>
        <v>10</v>
      </c>
      <c r="L186">
        <f t="shared" si="7"/>
        <v>35.57</v>
      </c>
      <c r="M186" t="str">
        <f t="shared" si="8"/>
        <v>Malo</v>
      </c>
      <c r="N186">
        <f>IF(M186=PARAMS_MODELO!$A$36,PARAMS_MODELO!$B$36,IF(M186=PARAMS_MODELO!$A$37,PARAMS_MODELO!$B$37,IF(M186=PARAMS_MODELO!$A$38,PARAMS_MODELO!$B$38,IF(M186=PARAMS_MODELO!$A$39,PARAMS_MODELO!$B$39,IF(M186=PARAMS_MODELO!$A$40,PARAMS_MODELO!$B$40)))))</f>
        <v>0.7</v>
      </c>
    </row>
    <row r="187" spans="1:14" x14ac:dyDescent="0.3">
      <c r="A187">
        <v>51055829</v>
      </c>
      <c r="B187">
        <v>3</v>
      </c>
      <c r="C187">
        <v>85</v>
      </c>
      <c r="D187">
        <f t="shared" si="6"/>
        <v>3.5294117647058823E-2</v>
      </c>
      <c r="E187">
        <f>ROUND(MIN(5,MAX(0,D187))/5*PARAMS_MODELO!$B$32,2)</f>
        <v>0.28000000000000003</v>
      </c>
      <c r="F187">
        <v>5</v>
      </c>
      <c r="G187">
        <f>MAX(0,PARAMS_MODELO!$B$33-VALUE(TRIM(F187))*3)</f>
        <v>15</v>
      </c>
      <c r="H187">
        <v>2</v>
      </c>
      <c r="I187">
        <f>ROUND(MIN(4,MAX(0,H187))/4*PARAMS_MODELO!$B$34,2)</f>
        <v>10</v>
      </c>
      <c r="J187">
        <v>0</v>
      </c>
      <c r="K187">
        <f>IF(J187=0,0,PARAMS_MODELO!$B$35)</f>
        <v>0</v>
      </c>
      <c r="L187">
        <f t="shared" si="7"/>
        <v>25.28</v>
      </c>
      <c r="M187" t="str">
        <f t="shared" si="8"/>
        <v>Malo</v>
      </c>
      <c r="N187">
        <f>IF(M187=PARAMS_MODELO!$A$36,PARAMS_MODELO!$B$36,IF(M187=PARAMS_MODELO!$A$37,PARAMS_MODELO!$B$37,IF(M187=PARAMS_MODELO!$A$38,PARAMS_MODELO!$B$38,IF(M187=PARAMS_MODELO!$A$39,PARAMS_MODELO!$B$39,IF(M187=PARAMS_MODELO!$A$40,PARAMS_MODELO!$B$40)))))</f>
        <v>0.7</v>
      </c>
    </row>
    <row r="188" spans="1:14" x14ac:dyDescent="0.3">
      <c r="A188">
        <v>51023919</v>
      </c>
      <c r="B188">
        <v>74</v>
      </c>
      <c r="C188">
        <v>59</v>
      </c>
      <c r="D188">
        <f t="shared" si="6"/>
        <v>1.2542372881355932</v>
      </c>
      <c r="E188">
        <f>ROUND(MIN(5,MAX(0,D188))/5*PARAMS_MODELO!$B$32,2)</f>
        <v>10.029999999999999</v>
      </c>
      <c r="F188">
        <v>1</v>
      </c>
      <c r="G188">
        <f>MAX(0,PARAMS_MODELO!$B$33-VALUE(TRIM(F188))*3)</f>
        <v>27</v>
      </c>
      <c r="H188">
        <v>2</v>
      </c>
      <c r="I188">
        <f>ROUND(MIN(4,MAX(0,H188))/4*PARAMS_MODELO!$B$34,2)</f>
        <v>10</v>
      </c>
      <c r="J188">
        <v>0</v>
      </c>
      <c r="K188">
        <f>IF(J188=0,0,PARAMS_MODELO!$B$35)</f>
        <v>0</v>
      </c>
      <c r="L188">
        <f t="shared" si="7"/>
        <v>47.03</v>
      </c>
      <c r="M188" t="str">
        <f t="shared" si="8"/>
        <v>Regular</v>
      </c>
      <c r="N188">
        <f>IF(M188=PARAMS_MODELO!$A$36,PARAMS_MODELO!$B$36,IF(M188=PARAMS_MODELO!$A$37,PARAMS_MODELO!$B$37,IF(M188=PARAMS_MODELO!$A$38,PARAMS_MODELO!$B$38,IF(M188=PARAMS_MODELO!$A$39,PARAMS_MODELO!$B$39,IF(M188=PARAMS_MODELO!$A$40,PARAMS_MODELO!$B$40)))))</f>
        <v>1</v>
      </c>
    </row>
    <row r="189" spans="1:14" x14ac:dyDescent="0.3">
      <c r="A189">
        <v>51031610</v>
      </c>
      <c r="B189">
        <v>69</v>
      </c>
      <c r="C189">
        <v>15</v>
      </c>
      <c r="D189">
        <f t="shared" si="6"/>
        <v>4.5999999999999996</v>
      </c>
      <c r="E189">
        <f>ROUND(MIN(5,MAX(0,D189))/5*PARAMS_MODELO!$B$32,2)</f>
        <v>36.799999999999997</v>
      </c>
      <c r="F189">
        <v>0</v>
      </c>
      <c r="G189">
        <f>MAX(0,PARAMS_MODELO!$B$33-VALUE(TRIM(F189))*3)</f>
        <v>30</v>
      </c>
      <c r="H189">
        <v>0</v>
      </c>
      <c r="I189">
        <f>ROUND(MIN(4,MAX(0,H189))/4*PARAMS_MODELO!$B$34,2)</f>
        <v>0</v>
      </c>
      <c r="J189">
        <v>1</v>
      </c>
      <c r="K189">
        <f>IF(J189=0,0,PARAMS_MODELO!$B$35)</f>
        <v>10</v>
      </c>
      <c r="L189">
        <f t="shared" si="7"/>
        <v>76.8</v>
      </c>
      <c r="M189" t="str">
        <f t="shared" si="8"/>
        <v>Muy Bueno</v>
      </c>
      <c r="N189">
        <f>IF(M189=PARAMS_MODELO!$A$36,PARAMS_MODELO!$B$36,IF(M189=PARAMS_MODELO!$A$37,PARAMS_MODELO!$B$37,IF(M189=PARAMS_MODELO!$A$38,PARAMS_MODELO!$B$38,IF(M189=PARAMS_MODELO!$A$39,PARAMS_MODELO!$B$39,IF(M189=PARAMS_MODELO!$A$40,PARAMS_MODELO!$B$40)))))</f>
        <v>1.1499999999999999</v>
      </c>
    </row>
    <row r="190" spans="1:14" x14ac:dyDescent="0.3">
      <c r="A190">
        <v>51024141</v>
      </c>
      <c r="B190">
        <v>97</v>
      </c>
      <c r="C190">
        <v>20</v>
      </c>
      <c r="D190">
        <f t="shared" si="6"/>
        <v>4.8499999999999996</v>
      </c>
      <c r="E190">
        <f>ROUND(MIN(5,MAX(0,D190))/5*PARAMS_MODELO!$B$32,2)</f>
        <v>38.799999999999997</v>
      </c>
      <c r="F190">
        <v>1</v>
      </c>
      <c r="G190">
        <f>MAX(0,PARAMS_MODELO!$B$33-VALUE(TRIM(F190))*3)</f>
        <v>27</v>
      </c>
      <c r="H190">
        <v>1</v>
      </c>
      <c r="I190">
        <f>ROUND(MIN(4,MAX(0,H190))/4*PARAMS_MODELO!$B$34,2)</f>
        <v>5</v>
      </c>
      <c r="J190">
        <v>0</v>
      </c>
      <c r="K190">
        <f>IF(J190=0,0,PARAMS_MODELO!$B$35)</f>
        <v>0</v>
      </c>
      <c r="L190">
        <f t="shared" si="7"/>
        <v>70.8</v>
      </c>
      <c r="M190" t="str">
        <f t="shared" si="8"/>
        <v>Bueno</v>
      </c>
      <c r="N190">
        <f>IF(M190=PARAMS_MODELO!$A$36,PARAMS_MODELO!$B$36,IF(M190=PARAMS_MODELO!$A$37,PARAMS_MODELO!$B$37,IF(M190=PARAMS_MODELO!$A$38,PARAMS_MODELO!$B$38,IF(M190=PARAMS_MODELO!$A$39,PARAMS_MODELO!$B$39,IF(M190=PARAMS_MODELO!$A$40,PARAMS_MODELO!$B$40)))))</f>
        <v>1.1000000000000001</v>
      </c>
    </row>
    <row r="191" spans="1:14" x14ac:dyDescent="0.3">
      <c r="A191">
        <v>51023137</v>
      </c>
      <c r="B191">
        <v>83</v>
      </c>
      <c r="C191">
        <v>11</v>
      </c>
      <c r="D191">
        <f t="shared" si="6"/>
        <v>5</v>
      </c>
      <c r="E191">
        <f>ROUND(MIN(5,MAX(0,D191))/5*PARAMS_MODELO!$B$32,2)</f>
        <v>40</v>
      </c>
      <c r="F191">
        <v>3</v>
      </c>
      <c r="G191">
        <f>MAX(0,PARAMS_MODELO!$B$33-VALUE(TRIM(F191))*3)</f>
        <v>21</v>
      </c>
      <c r="H191">
        <v>3</v>
      </c>
      <c r="I191">
        <f>ROUND(MIN(4,MAX(0,H191))/4*PARAMS_MODELO!$B$34,2)</f>
        <v>15</v>
      </c>
      <c r="J191">
        <v>0</v>
      </c>
      <c r="K191">
        <f>IF(J191=0,0,PARAMS_MODELO!$B$35)</f>
        <v>0</v>
      </c>
      <c r="L191">
        <f t="shared" si="7"/>
        <v>76</v>
      </c>
      <c r="M191" t="str">
        <f t="shared" si="8"/>
        <v>Muy Bueno</v>
      </c>
      <c r="N191">
        <f>IF(M191=PARAMS_MODELO!$A$36,PARAMS_MODELO!$B$36,IF(M191=PARAMS_MODELO!$A$37,PARAMS_MODELO!$B$37,IF(M191=PARAMS_MODELO!$A$38,PARAMS_MODELO!$B$38,IF(M191=PARAMS_MODELO!$A$39,PARAMS_MODELO!$B$39,IF(M191=PARAMS_MODELO!$A$40,PARAMS_MODELO!$B$40)))))</f>
        <v>1.1499999999999999</v>
      </c>
    </row>
    <row r="192" spans="1:14" x14ac:dyDescent="0.3">
      <c r="A192">
        <v>51026578</v>
      </c>
      <c r="B192">
        <v>10</v>
      </c>
      <c r="C192">
        <v>21</v>
      </c>
      <c r="D192">
        <f t="shared" si="6"/>
        <v>0.47619047619047616</v>
      </c>
      <c r="E192">
        <f>ROUND(MIN(5,MAX(0,D192))/5*PARAMS_MODELO!$B$32,2)</f>
        <v>3.81</v>
      </c>
      <c r="F192">
        <v>4</v>
      </c>
      <c r="G192">
        <f>MAX(0,PARAMS_MODELO!$B$33-VALUE(TRIM(F192))*3)</f>
        <v>18</v>
      </c>
      <c r="H192">
        <v>0</v>
      </c>
      <c r="I192">
        <f>ROUND(MIN(4,MAX(0,H192))/4*PARAMS_MODELO!$B$34,2)</f>
        <v>0</v>
      </c>
      <c r="J192">
        <v>1</v>
      </c>
      <c r="K192">
        <f>IF(J192=0,0,PARAMS_MODELO!$B$35)</f>
        <v>10</v>
      </c>
      <c r="L192">
        <f t="shared" si="7"/>
        <v>31.81</v>
      </c>
      <c r="M192" t="str">
        <f t="shared" si="8"/>
        <v>Malo</v>
      </c>
      <c r="N192">
        <f>IF(M192=PARAMS_MODELO!$A$36,PARAMS_MODELO!$B$36,IF(M192=PARAMS_MODELO!$A$37,PARAMS_MODELO!$B$37,IF(M192=PARAMS_MODELO!$A$38,PARAMS_MODELO!$B$38,IF(M192=PARAMS_MODELO!$A$39,PARAMS_MODELO!$B$39,IF(M192=PARAMS_MODELO!$A$40,PARAMS_MODELO!$B$40)))))</f>
        <v>0.7</v>
      </c>
    </row>
    <row r="193" spans="1:14" x14ac:dyDescent="0.3">
      <c r="A193">
        <v>51017986</v>
      </c>
      <c r="B193">
        <v>85</v>
      </c>
      <c r="C193">
        <v>16</v>
      </c>
      <c r="D193">
        <f t="shared" si="6"/>
        <v>5</v>
      </c>
      <c r="E193">
        <f>ROUND(MIN(5,MAX(0,D193))/5*PARAMS_MODELO!$B$32,2)</f>
        <v>40</v>
      </c>
      <c r="F193">
        <v>2</v>
      </c>
      <c r="G193">
        <f>MAX(0,PARAMS_MODELO!$B$33-VALUE(TRIM(F193))*3)</f>
        <v>24</v>
      </c>
      <c r="H193">
        <v>3</v>
      </c>
      <c r="I193">
        <f>ROUND(MIN(4,MAX(0,H193))/4*PARAMS_MODELO!$B$34,2)</f>
        <v>15</v>
      </c>
      <c r="J193">
        <v>0</v>
      </c>
      <c r="K193">
        <f>IF(J193=0,0,PARAMS_MODELO!$B$35)</f>
        <v>0</v>
      </c>
      <c r="L193">
        <f t="shared" si="7"/>
        <v>79</v>
      </c>
      <c r="M193" t="str">
        <f t="shared" si="8"/>
        <v>Muy Bueno</v>
      </c>
      <c r="N193">
        <f>IF(M193=PARAMS_MODELO!$A$36,PARAMS_MODELO!$B$36,IF(M193=PARAMS_MODELO!$A$37,PARAMS_MODELO!$B$37,IF(M193=PARAMS_MODELO!$A$38,PARAMS_MODELO!$B$38,IF(M193=PARAMS_MODELO!$A$39,PARAMS_MODELO!$B$39,IF(M193=PARAMS_MODELO!$A$40,PARAMS_MODELO!$B$40)))))</f>
        <v>1.1499999999999999</v>
      </c>
    </row>
    <row r="194" spans="1:14" x14ac:dyDescent="0.3">
      <c r="A194">
        <v>51055373</v>
      </c>
      <c r="B194">
        <v>41</v>
      </c>
      <c r="C194">
        <v>70</v>
      </c>
      <c r="D194">
        <f t="shared" ref="D194:D257" si="9">IF(C194=0,0,MIN(5,B194/C194))</f>
        <v>0.58571428571428574</v>
      </c>
      <c r="E194">
        <f>ROUND(MIN(5,MAX(0,D194))/5*PARAMS_MODELO!$B$32,2)</f>
        <v>4.6900000000000004</v>
      </c>
      <c r="F194">
        <v>2</v>
      </c>
      <c r="G194">
        <f>MAX(0,PARAMS_MODELO!$B$33-VALUE(TRIM(F194))*3)</f>
        <v>24</v>
      </c>
      <c r="H194">
        <v>3</v>
      </c>
      <c r="I194">
        <f>ROUND(MIN(4,MAX(0,H194))/4*PARAMS_MODELO!$B$34,2)</f>
        <v>15</v>
      </c>
      <c r="J194">
        <v>0</v>
      </c>
      <c r="K194">
        <f>IF(J194=0,0,PARAMS_MODELO!$B$35)</f>
        <v>0</v>
      </c>
      <c r="L194">
        <f t="shared" ref="L194:L257" si="10">MIN(100,MAX(0,E194+G194+I194+K194))</f>
        <v>43.69</v>
      </c>
      <c r="M194" t="str">
        <f t="shared" ref="M194:M257" si="11">IF(L194="","",IF(L194&gt;=90,"Excelente",IF(L194&gt;=75,"Muy Bueno",IF(L194&gt;=60,"Bueno",IF(L194&gt;=40,"Regular","Malo")))))</f>
        <v>Regular</v>
      </c>
      <c r="N194">
        <f>IF(M194=PARAMS_MODELO!$A$36,PARAMS_MODELO!$B$36,IF(M194=PARAMS_MODELO!$A$37,PARAMS_MODELO!$B$37,IF(M194=PARAMS_MODELO!$A$38,PARAMS_MODELO!$B$38,IF(M194=PARAMS_MODELO!$A$39,PARAMS_MODELO!$B$39,IF(M194=PARAMS_MODELO!$A$40,PARAMS_MODELO!$B$40)))))</f>
        <v>1</v>
      </c>
    </row>
    <row r="195" spans="1:14" x14ac:dyDescent="0.3">
      <c r="A195">
        <v>51013794</v>
      </c>
      <c r="B195">
        <v>44</v>
      </c>
      <c r="C195">
        <v>68</v>
      </c>
      <c r="D195">
        <f t="shared" si="9"/>
        <v>0.6470588235294118</v>
      </c>
      <c r="E195">
        <f>ROUND(MIN(5,MAX(0,D195))/5*PARAMS_MODELO!$B$32,2)</f>
        <v>5.18</v>
      </c>
      <c r="F195">
        <v>0</v>
      </c>
      <c r="G195">
        <f>MAX(0,PARAMS_MODELO!$B$33-VALUE(TRIM(F195))*3)</f>
        <v>30</v>
      </c>
      <c r="H195">
        <v>0</v>
      </c>
      <c r="I195">
        <f>ROUND(MIN(4,MAX(0,H195))/4*PARAMS_MODELO!$B$34,2)</f>
        <v>0</v>
      </c>
      <c r="J195">
        <v>1</v>
      </c>
      <c r="K195">
        <f>IF(J195=0,0,PARAMS_MODELO!$B$35)</f>
        <v>10</v>
      </c>
      <c r="L195">
        <f t="shared" si="10"/>
        <v>45.18</v>
      </c>
      <c r="M195" t="str">
        <f t="shared" si="11"/>
        <v>Regular</v>
      </c>
      <c r="N195">
        <f>IF(M195=PARAMS_MODELO!$A$36,PARAMS_MODELO!$B$36,IF(M195=PARAMS_MODELO!$A$37,PARAMS_MODELO!$B$37,IF(M195=PARAMS_MODELO!$A$38,PARAMS_MODELO!$B$38,IF(M195=PARAMS_MODELO!$A$39,PARAMS_MODELO!$B$39,IF(M195=PARAMS_MODELO!$A$40,PARAMS_MODELO!$B$40)))))</f>
        <v>1</v>
      </c>
    </row>
    <row r="196" spans="1:14" x14ac:dyDescent="0.3">
      <c r="A196">
        <v>51033141</v>
      </c>
      <c r="B196">
        <v>25</v>
      </c>
      <c r="C196">
        <v>45</v>
      </c>
      <c r="D196">
        <f t="shared" si="9"/>
        <v>0.55555555555555558</v>
      </c>
      <c r="E196">
        <f>ROUND(MIN(5,MAX(0,D196))/5*PARAMS_MODELO!$B$32,2)</f>
        <v>4.4400000000000004</v>
      </c>
      <c r="F196">
        <v>5</v>
      </c>
      <c r="G196">
        <f>MAX(0,PARAMS_MODELO!$B$33-VALUE(TRIM(F196))*3)</f>
        <v>15</v>
      </c>
      <c r="H196">
        <v>2</v>
      </c>
      <c r="I196">
        <f>ROUND(MIN(4,MAX(0,H196))/4*PARAMS_MODELO!$B$34,2)</f>
        <v>10</v>
      </c>
      <c r="J196">
        <v>0</v>
      </c>
      <c r="K196">
        <f>IF(J196=0,0,PARAMS_MODELO!$B$35)</f>
        <v>0</v>
      </c>
      <c r="L196">
        <f t="shared" si="10"/>
        <v>29.44</v>
      </c>
      <c r="M196" t="str">
        <f t="shared" si="11"/>
        <v>Malo</v>
      </c>
      <c r="N196">
        <f>IF(M196=PARAMS_MODELO!$A$36,PARAMS_MODELO!$B$36,IF(M196=PARAMS_MODELO!$A$37,PARAMS_MODELO!$B$37,IF(M196=PARAMS_MODELO!$A$38,PARAMS_MODELO!$B$38,IF(M196=PARAMS_MODELO!$A$39,PARAMS_MODELO!$B$39,IF(M196=PARAMS_MODELO!$A$40,PARAMS_MODELO!$B$40)))))</f>
        <v>0.7</v>
      </c>
    </row>
    <row r="197" spans="1:14" x14ac:dyDescent="0.3">
      <c r="A197">
        <v>51056612</v>
      </c>
      <c r="B197">
        <v>21</v>
      </c>
      <c r="C197">
        <v>70</v>
      </c>
      <c r="D197">
        <f t="shared" si="9"/>
        <v>0.3</v>
      </c>
      <c r="E197">
        <f>ROUND(MIN(5,MAX(0,D197))/5*PARAMS_MODELO!$B$32,2)</f>
        <v>2.4</v>
      </c>
      <c r="F197">
        <v>2</v>
      </c>
      <c r="G197">
        <f>MAX(0,PARAMS_MODELO!$B$33-VALUE(TRIM(F197))*3)</f>
        <v>24</v>
      </c>
      <c r="H197">
        <v>4</v>
      </c>
      <c r="I197">
        <f>ROUND(MIN(4,MAX(0,H197))/4*PARAMS_MODELO!$B$34,2)</f>
        <v>20</v>
      </c>
      <c r="J197">
        <v>1</v>
      </c>
      <c r="K197">
        <f>IF(J197=0,0,PARAMS_MODELO!$B$35)</f>
        <v>10</v>
      </c>
      <c r="L197">
        <f t="shared" si="10"/>
        <v>56.4</v>
      </c>
      <c r="M197" t="str">
        <f t="shared" si="11"/>
        <v>Regular</v>
      </c>
      <c r="N197">
        <f>IF(M197=PARAMS_MODELO!$A$36,PARAMS_MODELO!$B$36,IF(M197=PARAMS_MODELO!$A$37,PARAMS_MODELO!$B$37,IF(M197=PARAMS_MODELO!$A$38,PARAMS_MODELO!$B$38,IF(M197=PARAMS_MODELO!$A$39,PARAMS_MODELO!$B$39,IF(M197=PARAMS_MODELO!$A$40,PARAMS_MODELO!$B$40)))))</f>
        <v>1</v>
      </c>
    </row>
    <row r="198" spans="1:14" x14ac:dyDescent="0.3">
      <c r="A198">
        <v>51032071</v>
      </c>
      <c r="B198">
        <v>80</v>
      </c>
      <c r="C198">
        <v>90</v>
      </c>
      <c r="D198">
        <f t="shared" si="9"/>
        <v>0.88888888888888884</v>
      </c>
      <c r="E198">
        <f>ROUND(MIN(5,MAX(0,D198))/5*PARAMS_MODELO!$B$32,2)</f>
        <v>7.11</v>
      </c>
      <c r="F198">
        <v>2</v>
      </c>
      <c r="G198">
        <f>MAX(0,PARAMS_MODELO!$B$33-VALUE(TRIM(F198))*3)</f>
        <v>24</v>
      </c>
      <c r="H198">
        <v>3</v>
      </c>
      <c r="I198">
        <f>ROUND(MIN(4,MAX(0,H198))/4*PARAMS_MODELO!$B$34,2)</f>
        <v>15</v>
      </c>
      <c r="J198">
        <v>1</v>
      </c>
      <c r="K198">
        <f>IF(J198=0,0,PARAMS_MODELO!$B$35)</f>
        <v>10</v>
      </c>
      <c r="L198">
        <f t="shared" si="10"/>
        <v>56.11</v>
      </c>
      <c r="M198" t="str">
        <f t="shared" si="11"/>
        <v>Regular</v>
      </c>
      <c r="N198">
        <f>IF(M198=PARAMS_MODELO!$A$36,PARAMS_MODELO!$B$36,IF(M198=PARAMS_MODELO!$A$37,PARAMS_MODELO!$B$37,IF(M198=PARAMS_MODELO!$A$38,PARAMS_MODELO!$B$38,IF(M198=PARAMS_MODELO!$A$39,PARAMS_MODELO!$B$39,IF(M198=PARAMS_MODELO!$A$40,PARAMS_MODELO!$B$40)))))</f>
        <v>1</v>
      </c>
    </row>
    <row r="199" spans="1:14" x14ac:dyDescent="0.3">
      <c r="A199">
        <v>51031121</v>
      </c>
      <c r="B199">
        <v>76</v>
      </c>
      <c r="C199">
        <v>36</v>
      </c>
      <c r="D199">
        <f t="shared" si="9"/>
        <v>2.1111111111111112</v>
      </c>
      <c r="E199">
        <f>ROUND(MIN(5,MAX(0,D199))/5*PARAMS_MODELO!$B$32,2)</f>
        <v>16.89</v>
      </c>
      <c r="F199">
        <v>5</v>
      </c>
      <c r="G199">
        <f>MAX(0,PARAMS_MODELO!$B$33-VALUE(TRIM(F199))*3)</f>
        <v>15</v>
      </c>
      <c r="H199">
        <v>4</v>
      </c>
      <c r="I199">
        <f>ROUND(MIN(4,MAX(0,H199))/4*PARAMS_MODELO!$B$34,2)</f>
        <v>20</v>
      </c>
      <c r="J199">
        <v>1</v>
      </c>
      <c r="K199">
        <f>IF(J199=0,0,PARAMS_MODELO!$B$35)</f>
        <v>10</v>
      </c>
      <c r="L199">
        <f t="shared" si="10"/>
        <v>61.89</v>
      </c>
      <c r="M199" t="str">
        <f t="shared" si="11"/>
        <v>Bueno</v>
      </c>
      <c r="N199">
        <f>IF(M199=PARAMS_MODELO!$A$36,PARAMS_MODELO!$B$36,IF(M199=PARAMS_MODELO!$A$37,PARAMS_MODELO!$B$37,IF(M199=PARAMS_MODELO!$A$38,PARAMS_MODELO!$B$38,IF(M199=PARAMS_MODELO!$A$39,PARAMS_MODELO!$B$39,IF(M199=PARAMS_MODELO!$A$40,PARAMS_MODELO!$B$40)))))</f>
        <v>1.1000000000000001</v>
      </c>
    </row>
    <row r="200" spans="1:14" x14ac:dyDescent="0.3">
      <c r="A200">
        <v>51056981</v>
      </c>
      <c r="B200">
        <v>3</v>
      </c>
      <c r="C200">
        <v>89</v>
      </c>
      <c r="D200">
        <f t="shared" si="9"/>
        <v>3.3707865168539325E-2</v>
      </c>
      <c r="E200">
        <f>ROUND(MIN(5,MAX(0,D200))/5*PARAMS_MODELO!$B$32,2)</f>
        <v>0.27</v>
      </c>
      <c r="F200">
        <v>5</v>
      </c>
      <c r="G200">
        <f>MAX(0,PARAMS_MODELO!$B$33-VALUE(TRIM(F200))*3)</f>
        <v>15</v>
      </c>
      <c r="H200">
        <v>2</v>
      </c>
      <c r="I200">
        <f>ROUND(MIN(4,MAX(0,H200))/4*PARAMS_MODELO!$B$34,2)</f>
        <v>10</v>
      </c>
      <c r="J200">
        <v>1</v>
      </c>
      <c r="K200">
        <f>IF(J200=0,0,PARAMS_MODELO!$B$35)</f>
        <v>10</v>
      </c>
      <c r="L200">
        <f t="shared" si="10"/>
        <v>35.269999999999996</v>
      </c>
      <c r="M200" t="str">
        <f t="shared" si="11"/>
        <v>Malo</v>
      </c>
      <c r="N200">
        <f>IF(M200=PARAMS_MODELO!$A$36,PARAMS_MODELO!$B$36,IF(M200=PARAMS_MODELO!$A$37,PARAMS_MODELO!$B$37,IF(M200=PARAMS_MODELO!$A$38,PARAMS_MODELO!$B$38,IF(M200=PARAMS_MODELO!$A$39,PARAMS_MODELO!$B$39,IF(M200=PARAMS_MODELO!$A$40,PARAMS_MODELO!$B$40)))))</f>
        <v>0.7</v>
      </c>
    </row>
    <row r="201" spans="1:14" x14ac:dyDescent="0.3">
      <c r="A201">
        <v>51022424</v>
      </c>
      <c r="B201">
        <v>16</v>
      </c>
      <c r="C201">
        <v>61</v>
      </c>
      <c r="D201">
        <f t="shared" si="9"/>
        <v>0.26229508196721313</v>
      </c>
      <c r="E201">
        <f>ROUND(MIN(5,MAX(0,D201))/5*PARAMS_MODELO!$B$32,2)</f>
        <v>2.1</v>
      </c>
      <c r="F201">
        <v>3</v>
      </c>
      <c r="G201">
        <f>MAX(0,PARAMS_MODELO!$B$33-VALUE(TRIM(F201))*3)</f>
        <v>21</v>
      </c>
      <c r="H201">
        <v>1</v>
      </c>
      <c r="I201">
        <f>ROUND(MIN(4,MAX(0,H201))/4*PARAMS_MODELO!$B$34,2)</f>
        <v>5</v>
      </c>
      <c r="J201">
        <v>0</v>
      </c>
      <c r="K201">
        <f>IF(J201=0,0,PARAMS_MODELO!$B$35)</f>
        <v>0</v>
      </c>
      <c r="L201">
        <f t="shared" si="10"/>
        <v>28.1</v>
      </c>
      <c r="M201" t="str">
        <f t="shared" si="11"/>
        <v>Malo</v>
      </c>
      <c r="N201">
        <f>IF(M201=PARAMS_MODELO!$A$36,PARAMS_MODELO!$B$36,IF(M201=PARAMS_MODELO!$A$37,PARAMS_MODELO!$B$37,IF(M201=PARAMS_MODELO!$A$38,PARAMS_MODELO!$B$38,IF(M201=PARAMS_MODELO!$A$39,PARAMS_MODELO!$B$39,IF(M201=PARAMS_MODELO!$A$40,PARAMS_MODELO!$B$40)))))</f>
        <v>0.7</v>
      </c>
    </row>
    <row r="202" spans="1:14" x14ac:dyDescent="0.3">
      <c r="A202">
        <v>51025920</v>
      </c>
      <c r="B202">
        <v>6</v>
      </c>
      <c r="C202">
        <v>94</v>
      </c>
      <c r="D202">
        <f t="shared" si="9"/>
        <v>6.3829787234042548E-2</v>
      </c>
      <c r="E202">
        <f>ROUND(MIN(5,MAX(0,D202))/5*PARAMS_MODELO!$B$32,2)</f>
        <v>0.51</v>
      </c>
      <c r="F202">
        <v>3</v>
      </c>
      <c r="G202">
        <f>MAX(0,PARAMS_MODELO!$B$33-VALUE(TRIM(F202))*3)</f>
        <v>21</v>
      </c>
      <c r="H202">
        <v>0</v>
      </c>
      <c r="I202">
        <f>ROUND(MIN(4,MAX(0,H202))/4*PARAMS_MODELO!$B$34,2)</f>
        <v>0</v>
      </c>
      <c r="J202">
        <v>1</v>
      </c>
      <c r="K202">
        <f>IF(J202=0,0,PARAMS_MODELO!$B$35)</f>
        <v>10</v>
      </c>
      <c r="L202">
        <f t="shared" si="10"/>
        <v>31.51</v>
      </c>
      <c r="M202" t="str">
        <f t="shared" si="11"/>
        <v>Malo</v>
      </c>
      <c r="N202">
        <f>IF(M202=PARAMS_MODELO!$A$36,PARAMS_MODELO!$B$36,IF(M202=PARAMS_MODELO!$A$37,PARAMS_MODELO!$B$37,IF(M202=PARAMS_MODELO!$A$38,PARAMS_MODELO!$B$38,IF(M202=PARAMS_MODELO!$A$39,PARAMS_MODELO!$B$39,IF(M202=PARAMS_MODELO!$A$40,PARAMS_MODELO!$B$40)))))</f>
        <v>0.7</v>
      </c>
    </row>
    <row r="203" spans="1:14" x14ac:dyDescent="0.3">
      <c r="A203">
        <v>51056388</v>
      </c>
      <c r="B203">
        <v>66</v>
      </c>
      <c r="C203">
        <v>31</v>
      </c>
      <c r="D203">
        <f t="shared" si="9"/>
        <v>2.129032258064516</v>
      </c>
      <c r="E203">
        <f>ROUND(MIN(5,MAX(0,D203))/5*PARAMS_MODELO!$B$32,2)</f>
        <v>17.03</v>
      </c>
      <c r="F203">
        <v>1</v>
      </c>
      <c r="G203">
        <f>MAX(0,PARAMS_MODELO!$B$33-VALUE(TRIM(F203))*3)</f>
        <v>27</v>
      </c>
      <c r="H203">
        <v>2</v>
      </c>
      <c r="I203">
        <f>ROUND(MIN(4,MAX(0,H203))/4*PARAMS_MODELO!$B$34,2)</f>
        <v>10</v>
      </c>
      <c r="J203">
        <v>0</v>
      </c>
      <c r="K203">
        <f>IF(J203=0,0,PARAMS_MODELO!$B$35)</f>
        <v>0</v>
      </c>
      <c r="L203">
        <f t="shared" si="10"/>
        <v>54.03</v>
      </c>
      <c r="M203" t="str">
        <f t="shared" si="11"/>
        <v>Regular</v>
      </c>
      <c r="N203">
        <f>IF(M203=PARAMS_MODELO!$A$36,PARAMS_MODELO!$B$36,IF(M203=PARAMS_MODELO!$A$37,PARAMS_MODELO!$B$37,IF(M203=PARAMS_MODELO!$A$38,PARAMS_MODELO!$B$38,IF(M203=PARAMS_MODELO!$A$39,PARAMS_MODELO!$B$39,IF(M203=PARAMS_MODELO!$A$40,PARAMS_MODELO!$B$40)))))</f>
        <v>1</v>
      </c>
    </row>
    <row r="204" spans="1:14" x14ac:dyDescent="0.3">
      <c r="A204">
        <v>51033485</v>
      </c>
      <c r="B204">
        <v>1</v>
      </c>
      <c r="C204">
        <v>1</v>
      </c>
      <c r="D204">
        <f t="shared" si="9"/>
        <v>1</v>
      </c>
      <c r="E204">
        <f>ROUND(MIN(5,MAX(0,D204))/5*PARAMS_MODELO!$B$32,2)</f>
        <v>8</v>
      </c>
      <c r="F204">
        <v>5</v>
      </c>
      <c r="G204">
        <f>MAX(0,PARAMS_MODELO!$B$33-VALUE(TRIM(F204))*3)</f>
        <v>15</v>
      </c>
      <c r="H204">
        <v>3</v>
      </c>
      <c r="I204">
        <f>ROUND(MIN(4,MAX(0,H204))/4*PARAMS_MODELO!$B$34,2)</f>
        <v>15</v>
      </c>
      <c r="J204">
        <v>0</v>
      </c>
      <c r="K204">
        <f>IF(J204=0,0,PARAMS_MODELO!$B$35)</f>
        <v>0</v>
      </c>
      <c r="L204">
        <f t="shared" si="10"/>
        <v>38</v>
      </c>
      <c r="M204" t="str">
        <f t="shared" si="11"/>
        <v>Malo</v>
      </c>
      <c r="N204">
        <f>IF(M204=PARAMS_MODELO!$A$36,PARAMS_MODELO!$B$36,IF(M204=PARAMS_MODELO!$A$37,PARAMS_MODELO!$B$37,IF(M204=PARAMS_MODELO!$A$38,PARAMS_MODELO!$B$38,IF(M204=PARAMS_MODELO!$A$39,PARAMS_MODELO!$B$39,IF(M204=PARAMS_MODELO!$A$40,PARAMS_MODELO!$B$40)))))</f>
        <v>0.7</v>
      </c>
    </row>
    <row r="205" spans="1:14" x14ac:dyDescent="0.3">
      <c r="A205">
        <v>51041615</v>
      </c>
      <c r="B205">
        <v>9</v>
      </c>
      <c r="C205">
        <v>16</v>
      </c>
      <c r="D205">
        <f t="shared" si="9"/>
        <v>0.5625</v>
      </c>
      <c r="E205">
        <f>ROUND(MIN(5,MAX(0,D205))/5*PARAMS_MODELO!$B$32,2)</f>
        <v>4.5</v>
      </c>
      <c r="F205">
        <v>2</v>
      </c>
      <c r="G205">
        <f>MAX(0,PARAMS_MODELO!$B$33-VALUE(TRIM(F205))*3)</f>
        <v>24</v>
      </c>
      <c r="H205">
        <v>2</v>
      </c>
      <c r="I205">
        <f>ROUND(MIN(4,MAX(0,H205))/4*PARAMS_MODELO!$B$34,2)</f>
        <v>10</v>
      </c>
      <c r="J205">
        <v>0</v>
      </c>
      <c r="K205">
        <f>IF(J205=0,0,PARAMS_MODELO!$B$35)</f>
        <v>0</v>
      </c>
      <c r="L205">
        <f t="shared" si="10"/>
        <v>38.5</v>
      </c>
      <c r="M205" t="str">
        <f t="shared" si="11"/>
        <v>Malo</v>
      </c>
      <c r="N205">
        <f>IF(M205=PARAMS_MODELO!$A$36,PARAMS_MODELO!$B$36,IF(M205=PARAMS_MODELO!$A$37,PARAMS_MODELO!$B$37,IF(M205=PARAMS_MODELO!$A$38,PARAMS_MODELO!$B$38,IF(M205=PARAMS_MODELO!$A$39,PARAMS_MODELO!$B$39,IF(M205=PARAMS_MODELO!$A$40,PARAMS_MODELO!$B$40)))))</f>
        <v>0.7</v>
      </c>
    </row>
    <row r="206" spans="1:14" x14ac:dyDescent="0.3">
      <c r="A206">
        <v>51017641</v>
      </c>
      <c r="B206">
        <v>73</v>
      </c>
      <c r="C206">
        <v>27</v>
      </c>
      <c r="D206">
        <f t="shared" si="9"/>
        <v>2.7037037037037037</v>
      </c>
      <c r="E206">
        <f>ROUND(MIN(5,MAX(0,D206))/5*PARAMS_MODELO!$B$32,2)</f>
        <v>21.63</v>
      </c>
      <c r="F206">
        <v>5</v>
      </c>
      <c r="G206">
        <f>MAX(0,PARAMS_MODELO!$B$33-VALUE(TRIM(F206))*3)</f>
        <v>15</v>
      </c>
      <c r="H206">
        <v>3</v>
      </c>
      <c r="I206">
        <f>ROUND(MIN(4,MAX(0,H206))/4*PARAMS_MODELO!$B$34,2)</f>
        <v>15</v>
      </c>
      <c r="J206">
        <v>0</v>
      </c>
      <c r="K206">
        <f>IF(J206=0,0,PARAMS_MODELO!$B$35)</f>
        <v>0</v>
      </c>
      <c r="L206">
        <f t="shared" si="10"/>
        <v>51.629999999999995</v>
      </c>
      <c r="M206" t="str">
        <f t="shared" si="11"/>
        <v>Regular</v>
      </c>
      <c r="N206">
        <f>IF(M206=PARAMS_MODELO!$A$36,PARAMS_MODELO!$B$36,IF(M206=PARAMS_MODELO!$A$37,PARAMS_MODELO!$B$37,IF(M206=PARAMS_MODELO!$A$38,PARAMS_MODELO!$B$38,IF(M206=PARAMS_MODELO!$A$39,PARAMS_MODELO!$B$39,IF(M206=PARAMS_MODELO!$A$40,PARAMS_MODELO!$B$40)))))</f>
        <v>1</v>
      </c>
    </row>
    <row r="207" spans="1:14" x14ac:dyDescent="0.3">
      <c r="A207">
        <v>51005741</v>
      </c>
      <c r="B207">
        <v>32</v>
      </c>
      <c r="C207">
        <v>17</v>
      </c>
      <c r="D207">
        <f t="shared" si="9"/>
        <v>1.8823529411764706</v>
      </c>
      <c r="E207">
        <f>ROUND(MIN(5,MAX(0,D207))/5*PARAMS_MODELO!$B$32,2)</f>
        <v>15.06</v>
      </c>
      <c r="F207">
        <v>1</v>
      </c>
      <c r="G207">
        <f>MAX(0,PARAMS_MODELO!$B$33-VALUE(TRIM(F207))*3)</f>
        <v>27</v>
      </c>
      <c r="H207">
        <v>0</v>
      </c>
      <c r="I207">
        <f>ROUND(MIN(4,MAX(0,H207))/4*PARAMS_MODELO!$B$34,2)</f>
        <v>0</v>
      </c>
      <c r="J207">
        <v>1</v>
      </c>
      <c r="K207">
        <f>IF(J207=0,0,PARAMS_MODELO!$B$35)</f>
        <v>10</v>
      </c>
      <c r="L207">
        <f t="shared" si="10"/>
        <v>52.06</v>
      </c>
      <c r="M207" t="str">
        <f t="shared" si="11"/>
        <v>Regular</v>
      </c>
      <c r="N207">
        <f>IF(M207=PARAMS_MODELO!$A$36,PARAMS_MODELO!$B$36,IF(M207=PARAMS_MODELO!$A$37,PARAMS_MODELO!$B$37,IF(M207=PARAMS_MODELO!$A$38,PARAMS_MODELO!$B$38,IF(M207=PARAMS_MODELO!$A$39,PARAMS_MODELO!$B$39,IF(M207=PARAMS_MODELO!$A$40,PARAMS_MODELO!$B$40)))))</f>
        <v>1</v>
      </c>
    </row>
    <row r="208" spans="1:14" x14ac:dyDescent="0.3">
      <c r="A208">
        <v>51011996</v>
      </c>
      <c r="B208">
        <v>47</v>
      </c>
      <c r="C208">
        <v>15</v>
      </c>
      <c r="D208">
        <f t="shared" si="9"/>
        <v>3.1333333333333333</v>
      </c>
      <c r="E208">
        <f>ROUND(MIN(5,MAX(0,D208))/5*PARAMS_MODELO!$B$32,2)</f>
        <v>25.07</v>
      </c>
      <c r="F208">
        <v>0</v>
      </c>
      <c r="G208">
        <f>MAX(0,PARAMS_MODELO!$B$33-VALUE(TRIM(F208))*3)</f>
        <v>30</v>
      </c>
      <c r="H208">
        <v>2</v>
      </c>
      <c r="I208">
        <f>ROUND(MIN(4,MAX(0,H208))/4*PARAMS_MODELO!$B$34,2)</f>
        <v>10</v>
      </c>
      <c r="J208">
        <v>0</v>
      </c>
      <c r="K208">
        <f>IF(J208=0,0,PARAMS_MODELO!$B$35)</f>
        <v>0</v>
      </c>
      <c r="L208">
        <f t="shared" si="10"/>
        <v>65.069999999999993</v>
      </c>
      <c r="M208" t="str">
        <f t="shared" si="11"/>
        <v>Bueno</v>
      </c>
      <c r="N208">
        <f>IF(M208=PARAMS_MODELO!$A$36,PARAMS_MODELO!$B$36,IF(M208=PARAMS_MODELO!$A$37,PARAMS_MODELO!$B$37,IF(M208=PARAMS_MODELO!$A$38,PARAMS_MODELO!$B$38,IF(M208=PARAMS_MODELO!$A$39,PARAMS_MODELO!$B$39,IF(M208=PARAMS_MODELO!$A$40,PARAMS_MODELO!$B$40)))))</f>
        <v>1.1000000000000001</v>
      </c>
    </row>
    <row r="209" spans="1:14" x14ac:dyDescent="0.3">
      <c r="A209">
        <v>51025440</v>
      </c>
      <c r="B209">
        <v>79</v>
      </c>
      <c r="C209">
        <v>51</v>
      </c>
      <c r="D209">
        <f t="shared" si="9"/>
        <v>1.5490196078431373</v>
      </c>
      <c r="E209">
        <f>ROUND(MIN(5,MAX(0,D209))/5*PARAMS_MODELO!$B$32,2)</f>
        <v>12.39</v>
      </c>
      <c r="F209">
        <v>0</v>
      </c>
      <c r="G209">
        <f>MAX(0,PARAMS_MODELO!$B$33-VALUE(TRIM(F209))*3)</f>
        <v>30</v>
      </c>
      <c r="H209">
        <v>0</v>
      </c>
      <c r="I209">
        <f>ROUND(MIN(4,MAX(0,H209))/4*PARAMS_MODELO!$B$34,2)</f>
        <v>0</v>
      </c>
      <c r="J209">
        <v>1</v>
      </c>
      <c r="K209">
        <f>IF(J209=0,0,PARAMS_MODELO!$B$35)</f>
        <v>10</v>
      </c>
      <c r="L209">
        <f t="shared" si="10"/>
        <v>52.39</v>
      </c>
      <c r="M209" t="str">
        <f t="shared" si="11"/>
        <v>Regular</v>
      </c>
      <c r="N209">
        <f>IF(M209=PARAMS_MODELO!$A$36,PARAMS_MODELO!$B$36,IF(M209=PARAMS_MODELO!$A$37,PARAMS_MODELO!$B$37,IF(M209=PARAMS_MODELO!$A$38,PARAMS_MODELO!$B$38,IF(M209=PARAMS_MODELO!$A$39,PARAMS_MODELO!$B$39,IF(M209=PARAMS_MODELO!$A$40,PARAMS_MODELO!$B$40)))))</f>
        <v>1</v>
      </c>
    </row>
    <row r="210" spans="1:14" x14ac:dyDescent="0.3">
      <c r="A210">
        <v>51055993</v>
      </c>
      <c r="B210">
        <v>52</v>
      </c>
      <c r="C210">
        <v>12</v>
      </c>
      <c r="D210">
        <f t="shared" si="9"/>
        <v>4.333333333333333</v>
      </c>
      <c r="E210">
        <f>ROUND(MIN(5,MAX(0,D210))/5*PARAMS_MODELO!$B$32,2)</f>
        <v>34.67</v>
      </c>
      <c r="F210">
        <v>2</v>
      </c>
      <c r="G210">
        <f>MAX(0,PARAMS_MODELO!$B$33-VALUE(TRIM(F210))*3)</f>
        <v>24</v>
      </c>
      <c r="H210">
        <v>0</v>
      </c>
      <c r="I210">
        <f>ROUND(MIN(4,MAX(0,H210))/4*PARAMS_MODELO!$B$34,2)</f>
        <v>0</v>
      </c>
      <c r="J210">
        <v>0</v>
      </c>
      <c r="K210">
        <f>IF(J210=0,0,PARAMS_MODELO!$B$35)</f>
        <v>0</v>
      </c>
      <c r="L210">
        <f t="shared" si="10"/>
        <v>58.67</v>
      </c>
      <c r="M210" t="str">
        <f t="shared" si="11"/>
        <v>Regular</v>
      </c>
      <c r="N210">
        <f>IF(M210=PARAMS_MODELO!$A$36,PARAMS_MODELO!$B$36,IF(M210=PARAMS_MODELO!$A$37,PARAMS_MODELO!$B$37,IF(M210=PARAMS_MODELO!$A$38,PARAMS_MODELO!$B$38,IF(M210=PARAMS_MODELO!$A$39,PARAMS_MODELO!$B$39,IF(M210=PARAMS_MODELO!$A$40,PARAMS_MODELO!$B$40)))))</f>
        <v>1</v>
      </c>
    </row>
    <row r="211" spans="1:14" x14ac:dyDescent="0.3">
      <c r="A211">
        <v>51021231</v>
      </c>
      <c r="B211">
        <v>35</v>
      </c>
      <c r="C211">
        <v>66</v>
      </c>
      <c r="D211">
        <f t="shared" si="9"/>
        <v>0.53030303030303028</v>
      </c>
      <c r="E211">
        <f>ROUND(MIN(5,MAX(0,D211))/5*PARAMS_MODELO!$B$32,2)</f>
        <v>4.24</v>
      </c>
      <c r="F211">
        <v>5</v>
      </c>
      <c r="G211">
        <f>MAX(0,PARAMS_MODELO!$B$33-VALUE(TRIM(F211))*3)</f>
        <v>15</v>
      </c>
      <c r="H211">
        <v>1</v>
      </c>
      <c r="I211">
        <f>ROUND(MIN(4,MAX(0,H211))/4*PARAMS_MODELO!$B$34,2)</f>
        <v>5</v>
      </c>
      <c r="J211">
        <v>0</v>
      </c>
      <c r="K211">
        <f>IF(J211=0,0,PARAMS_MODELO!$B$35)</f>
        <v>0</v>
      </c>
      <c r="L211">
        <f t="shared" si="10"/>
        <v>24.240000000000002</v>
      </c>
      <c r="M211" t="str">
        <f t="shared" si="11"/>
        <v>Malo</v>
      </c>
      <c r="N211">
        <f>IF(M211=PARAMS_MODELO!$A$36,PARAMS_MODELO!$B$36,IF(M211=PARAMS_MODELO!$A$37,PARAMS_MODELO!$B$37,IF(M211=PARAMS_MODELO!$A$38,PARAMS_MODELO!$B$38,IF(M211=PARAMS_MODELO!$A$39,PARAMS_MODELO!$B$39,IF(M211=PARAMS_MODELO!$A$40,PARAMS_MODELO!$B$40)))))</f>
        <v>0.7</v>
      </c>
    </row>
    <row r="212" spans="1:14" x14ac:dyDescent="0.3">
      <c r="A212">
        <v>51024125</v>
      </c>
      <c r="B212">
        <v>87</v>
      </c>
      <c r="C212">
        <v>50</v>
      </c>
      <c r="D212">
        <f t="shared" si="9"/>
        <v>1.74</v>
      </c>
      <c r="E212">
        <f>ROUND(MIN(5,MAX(0,D212))/5*PARAMS_MODELO!$B$32,2)</f>
        <v>13.92</v>
      </c>
      <c r="F212">
        <v>3</v>
      </c>
      <c r="G212">
        <f>MAX(0,PARAMS_MODELO!$B$33-VALUE(TRIM(F212))*3)</f>
        <v>21</v>
      </c>
      <c r="H212">
        <v>0</v>
      </c>
      <c r="I212">
        <f>ROUND(MIN(4,MAX(0,H212))/4*PARAMS_MODELO!$B$34,2)</f>
        <v>0</v>
      </c>
      <c r="J212">
        <v>0</v>
      </c>
      <c r="K212">
        <f>IF(J212=0,0,PARAMS_MODELO!$B$35)</f>
        <v>0</v>
      </c>
      <c r="L212">
        <f t="shared" si="10"/>
        <v>34.92</v>
      </c>
      <c r="M212" t="str">
        <f t="shared" si="11"/>
        <v>Malo</v>
      </c>
      <c r="N212">
        <f>IF(M212=PARAMS_MODELO!$A$36,PARAMS_MODELO!$B$36,IF(M212=PARAMS_MODELO!$A$37,PARAMS_MODELO!$B$37,IF(M212=PARAMS_MODELO!$A$38,PARAMS_MODELO!$B$38,IF(M212=PARAMS_MODELO!$A$39,PARAMS_MODELO!$B$39,IF(M212=PARAMS_MODELO!$A$40,PARAMS_MODELO!$B$40)))))</f>
        <v>0.7</v>
      </c>
    </row>
    <row r="213" spans="1:14" x14ac:dyDescent="0.3">
      <c r="A213">
        <v>51014359</v>
      </c>
      <c r="B213">
        <v>72</v>
      </c>
      <c r="C213">
        <v>34</v>
      </c>
      <c r="D213">
        <f t="shared" si="9"/>
        <v>2.1176470588235294</v>
      </c>
      <c r="E213">
        <f>ROUND(MIN(5,MAX(0,D213))/5*PARAMS_MODELO!$B$32,2)</f>
        <v>16.940000000000001</v>
      </c>
      <c r="F213">
        <v>5</v>
      </c>
      <c r="G213">
        <f>MAX(0,PARAMS_MODELO!$B$33-VALUE(TRIM(F213))*3)</f>
        <v>15</v>
      </c>
      <c r="H213">
        <v>4</v>
      </c>
      <c r="I213">
        <f>ROUND(MIN(4,MAX(0,H213))/4*PARAMS_MODELO!$B$34,2)</f>
        <v>20</v>
      </c>
      <c r="J213">
        <v>0</v>
      </c>
      <c r="K213">
        <f>IF(J213=0,0,PARAMS_MODELO!$B$35)</f>
        <v>0</v>
      </c>
      <c r="L213">
        <f t="shared" si="10"/>
        <v>51.94</v>
      </c>
      <c r="M213" t="str">
        <f t="shared" si="11"/>
        <v>Regular</v>
      </c>
      <c r="N213">
        <f>IF(M213=PARAMS_MODELO!$A$36,PARAMS_MODELO!$B$36,IF(M213=PARAMS_MODELO!$A$37,PARAMS_MODELO!$B$37,IF(M213=PARAMS_MODELO!$A$38,PARAMS_MODELO!$B$38,IF(M213=PARAMS_MODELO!$A$39,PARAMS_MODELO!$B$39,IF(M213=PARAMS_MODELO!$A$40,PARAMS_MODELO!$B$40)))))</f>
        <v>1</v>
      </c>
    </row>
    <row r="214" spans="1:14" x14ac:dyDescent="0.3">
      <c r="A214">
        <v>51024681</v>
      </c>
      <c r="B214">
        <v>14</v>
      </c>
      <c r="C214">
        <v>88</v>
      </c>
      <c r="D214">
        <f t="shared" si="9"/>
        <v>0.15909090909090909</v>
      </c>
      <c r="E214">
        <f>ROUND(MIN(5,MAX(0,D214))/5*PARAMS_MODELO!$B$32,2)</f>
        <v>1.27</v>
      </c>
      <c r="F214">
        <v>0</v>
      </c>
      <c r="G214">
        <f>MAX(0,PARAMS_MODELO!$B$33-VALUE(TRIM(F214))*3)</f>
        <v>30</v>
      </c>
      <c r="H214">
        <v>4</v>
      </c>
      <c r="I214">
        <f>ROUND(MIN(4,MAX(0,H214))/4*PARAMS_MODELO!$B$34,2)</f>
        <v>20</v>
      </c>
      <c r="J214">
        <v>0</v>
      </c>
      <c r="K214">
        <f>IF(J214=0,0,PARAMS_MODELO!$B$35)</f>
        <v>0</v>
      </c>
      <c r="L214">
        <f t="shared" si="10"/>
        <v>51.269999999999996</v>
      </c>
      <c r="M214" t="str">
        <f t="shared" si="11"/>
        <v>Regular</v>
      </c>
      <c r="N214">
        <f>IF(M214=PARAMS_MODELO!$A$36,PARAMS_MODELO!$B$36,IF(M214=PARAMS_MODELO!$A$37,PARAMS_MODELO!$B$37,IF(M214=PARAMS_MODELO!$A$38,PARAMS_MODELO!$B$38,IF(M214=PARAMS_MODELO!$A$39,PARAMS_MODELO!$B$39,IF(M214=PARAMS_MODELO!$A$40,PARAMS_MODELO!$B$40)))))</f>
        <v>1</v>
      </c>
    </row>
    <row r="215" spans="1:14" x14ac:dyDescent="0.3">
      <c r="A215">
        <v>51024001</v>
      </c>
      <c r="B215">
        <v>41</v>
      </c>
      <c r="C215">
        <v>65</v>
      </c>
      <c r="D215">
        <f t="shared" si="9"/>
        <v>0.63076923076923075</v>
      </c>
      <c r="E215">
        <f>ROUND(MIN(5,MAX(0,D215))/5*PARAMS_MODELO!$B$32,2)</f>
        <v>5.05</v>
      </c>
      <c r="F215">
        <v>1</v>
      </c>
      <c r="G215">
        <f>MAX(0,PARAMS_MODELO!$B$33-VALUE(TRIM(F215))*3)</f>
        <v>27</v>
      </c>
      <c r="H215">
        <v>0</v>
      </c>
      <c r="I215">
        <f>ROUND(MIN(4,MAX(0,H215))/4*PARAMS_MODELO!$B$34,2)</f>
        <v>0</v>
      </c>
      <c r="J215">
        <v>0</v>
      </c>
      <c r="K215">
        <f>IF(J215=0,0,PARAMS_MODELO!$B$35)</f>
        <v>0</v>
      </c>
      <c r="L215">
        <f t="shared" si="10"/>
        <v>32.049999999999997</v>
      </c>
      <c r="M215" t="str">
        <f t="shared" si="11"/>
        <v>Malo</v>
      </c>
      <c r="N215">
        <f>IF(M215=PARAMS_MODELO!$A$36,PARAMS_MODELO!$B$36,IF(M215=PARAMS_MODELO!$A$37,PARAMS_MODELO!$B$37,IF(M215=PARAMS_MODELO!$A$38,PARAMS_MODELO!$B$38,IF(M215=PARAMS_MODELO!$A$39,PARAMS_MODELO!$B$39,IF(M215=PARAMS_MODELO!$A$40,PARAMS_MODELO!$B$40)))))</f>
        <v>0.7</v>
      </c>
    </row>
    <row r="216" spans="1:14" x14ac:dyDescent="0.3">
      <c r="A216">
        <v>51023480</v>
      </c>
      <c r="B216">
        <v>53</v>
      </c>
      <c r="C216">
        <v>60</v>
      </c>
      <c r="D216">
        <f t="shared" si="9"/>
        <v>0.8833333333333333</v>
      </c>
      <c r="E216">
        <f>ROUND(MIN(5,MAX(0,D216))/5*PARAMS_MODELO!$B$32,2)</f>
        <v>7.07</v>
      </c>
      <c r="F216">
        <v>3</v>
      </c>
      <c r="G216">
        <f>MAX(0,PARAMS_MODELO!$B$33-VALUE(TRIM(F216))*3)</f>
        <v>21</v>
      </c>
      <c r="H216">
        <v>0</v>
      </c>
      <c r="I216">
        <f>ROUND(MIN(4,MAX(0,H216))/4*PARAMS_MODELO!$B$34,2)</f>
        <v>0</v>
      </c>
      <c r="J216">
        <v>1</v>
      </c>
      <c r="K216">
        <f>IF(J216=0,0,PARAMS_MODELO!$B$35)</f>
        <v>10</v>
      </c>
      <c r="L216">
        <f t="shared" si="10"/>
        <v>38.07</v>
      </c>
      <c r="M216" t="str">
        <f t="shared" si="11"/>
        <v>Malo</v>
      </c>
      <c r="N216">
        <f>IF(M216=PARAMS_MODELO!$A$36,PARAMS_MODELO!$B$36,IF(M216=PARAMS_MODELO!$A$37,PARAMS_MODELO!$B$37,IF(M216=PARAMS_MODELO!$A$38,PARAMS_MODELO!$B$38,IF(M216=PARAMS_MODELO!$A$39,PARAMS_MODELO!$B$39,IF(M216=PARAMS_MODELO!$A$40,PARAMS_MODELO!$B$40)))))</f>
        <v>0.7</v>
      </c>
    </row>
    <row r="217" spans="1:14" x14ac:dyDescent="0.3">
      <c r="A217">
        <v>51020405</v>
      </c>
      <c r="B217">
        <v>73</v>
      </c>
      <c r="C217">
        <v>24</v>
      </c>
      <c r="D217">
        <f t="shared" si="9"/>
        <v>3.0416666666666665</v>
      </c>
      <c r="E217">
        <f>ROUND(MIN(5,MAX(0,D217))/5*PARAMS_MODELO!$B$32,2)</f>
        <v>24.33</v>
      </c>
      <c r="F217">
        <v>4</v>
      </c>
      <c r="G217">
        <f>MAX(0,PARAMS_MODELO!$B$33-VALUE(TRIM(F217))*3)</f>
        <v>18</v>
      </c>
      <c r="H217">
        <v>1</v>
      </c>
      <c r="I217">
        <f>ROUND(MIN(4,MAX(0,H217))/4*PARAMS_MODELO!$B$34,2)</f>
        <v>5</v>
      </c>
      <c r="J217">
        <v>1</v>
      </c>
      <c r="K217">
        <f>IF(J217=0,0,PARAMS_MODELO!$B$35)</f>
        <v>10</v>
      </c>
      <c r="L217">
        <f t="shared" si="10"/>
        <v>57.33</v>
      </c>
      <c r="M217" t="str">
        <f t="shared" si="11"/>
        <v>Regular</v>
      </c>
      <c r="N217">
        <f>IF(M217=PARAMS_MODELO!$A$36,PARAMS_MODELO!$B$36,IF(M217=PARAMS_MODELO!$A$37,PARAMS_MODELO!$B$37,IF(M217=PARAMS_MODELO!$A$38,PARAMS_MODELO!$B$38,IF(M217=PARAMS_MODELO!$A$39,PARAMS_MODELO!$B$39,IF(M217=PARAMS_MODELO!$A$40,PARAMS_MODELO!$B$40)))))</f>
        <v>1</v>
      </c>
    </row>
    <row r="218" spans="1:14" x14ac:dyDescent="0.3">
      <c r="A218">
        <v>51044070</v>
      </c>
      <c r="B218">
        <v>64</v>
      </c>
      <c r="C218">
        <v>73</v>
      </c>
      <c r="D218">
        <f t="shared" si="9"/>
        <v>0.87671232876712324</v>
      </c>
      <c r="E218">
        <f>ROUND(MIN(5,MAX(0,D218))/5*PARAMS_MODELO!$B$32,2)</f>
        <v>7.01</v>
      </c>
      <c r="F218">
        <v>0</v>
      </c>
      <c r="G218">
        <f>MAX(0,PARAMS_MODELO!$B$33-VALUE(TRIM(F218))*3)</f>
        <v>30</v>
      </c>
      <c r="H218">
        <v>3</v>
      </c>
      <c r="I218">
        <f>ROUND(MIN(4,MAX(0,H218))/4*PARAMS_MODELO!$B$34,2)</f>
        <v>15</v>
      </c>
      <c r="J218">
        <v>1</v>
      </c>
      <c r="K218">
        <f>IF(J218=0,0,PARAMS_MODELO!$B$35)</f>
        <v>10</v>
      </c>
      <c r="L218">
        <f t="shared" si="10"/>
        <v>62.01</v>
      </c>
      <c r="M218" t="str">
        <f t="shared" si="11"/>
        <v>Bueno</v>
      </c>
      <c r="N218">
        <f>IF(M218=PARAMS_MODELO!$A$36,PARAMS_MODELO!$B$36,IF(M218=PARAMS_MODELO!$A$37,PARAMS_MODELO!$B$37,IF(M218=PARAMS_MODELO!$A$38,PARAMS_MODELO!$B$38,IF(M218=PARAMS_MODELO!$A$39,PARAMS_MODELO!$B$39,IF(M218=PARAMS_MODELO!$A$40,PARAMS_MODELO!$B$40)))))</f>
        <v>1.1000000000000001</v>
      </c>
    </row>
    <row r="219" spans="1:14" x14ac:dyDescent="0.3">
      <c r="A219">
        <v>51032110</v>
      </c>
      <c r="B219">
        <v>64</v>
      </c>
      <c r="C219">
        <v>78</v>
      </c>
      <c r="D219">
        <f t="shared" si="9"/>
        <v>0.82051282051282048</v>
      </c>
      <c r="E219">
        <f>ROUND(MIN(5,MAX(0,D219))/5*PARAMS_MODELO!$B$32,2)</f>
        <v>6.56</v>
      </c>
      <c r="F219">
        <v>3</v>
      </c>
      <c r="G219">
        <f>MAX(0,PARAMS_MODELO!$B$33-VALUE(TRIM(F219))*3)</f>
        <v>21</v>
      </c>
      <c r="H219">
        <v>2</v>
      </c>
      <c r="I219">
        <f>ROUND(MIN(4,MAX(0,H219))/4*PARAMS_MODELO!$B$34,2)</f>
        <v>10</v>
      </c>
      <c r="J219">
        <v>0</v>
      </c>
      <c r="K219">
        <f>IF(J219=0,0,PARAMS_MODELO!$B$35)</f>
        <v>0</v>
      </c>
      <c r="L219">
        <f t="shared" si="10"/>
        <v>37.56</v>
      </c>
      <c r="M219" t="str">
        <f t="shared" si="11"/>
        <v>Malo</v>
      </c>
      <c r="N219">
        <f>IF(M219=PARAMS_MODELO!$A$36,PARAMS_MODELO!$B$36,IF(M219=PARAMS_MODELO!$A$37,PARAMS_MODELO!$B$37,IF(M219=PARAMS_MODELO!$A$38,PARAMS_MODELO!$B$38,IF(M219=PARAMS_MODELO!$A$39,PARAMS_MODELO!$B$39,IF(M219=PARAMS_MODELO!$A$40,PARAMS_MODELO!$B$40)))))</f>
        <v>0.7</v>
      </c>
    </row>
    <row r="220" spans="1:14" x14ac:dyDescent="0.3">
      <c r="A220">
        <v>51036123</v>
      </c>
      <c r="B220">
        <v>54</v>
      </c>
      <c r="C220">
        <v>48</v>
      </c>
      <c r="D220">
        <f t="shared" si="9"/>
        <v>1.125</v>
      </c>
      <c r="E220">
        <f>ROUND(MIN(5,MAX(0,D220))/5*PARAMS_MODELO!$B$32,2)</f>
        <v>9</v>
      </c>
      <c r="F220">
        <v>1</v>
      </c>
      <c r="G220">
        <f>MAX(0,PARAMS_MODELO!$B$33-VALUE(TRIM(F220))*3)</f>
        <v>27</v>
      </c>
      <c r="H220">
        <v>0</v>
      </c>
      <c r="I220">
        <f>ROUND(MIN(4,MAX(0,H220))/4*PARAMS_MODELO!$B$34,2)</f>
        <v>0</v>
      </c>
      <c r="J220">
        <v>1</v>
      </c>
      <c r="K220">
        <f>IF(J220=0,0,PARAMS_MODELO!$B$35)</f>
        <v>10</v>
      </c>
      <c r="L220">
        <f t="shared" si="10"/>
        <v>46</v>
      </c>
      <c r="M220" t="str">
        <f t="shared" si="11"/>
        <v>Regular</v>
      </c>
      <c r="N220">
        <f>IF(M220=PARAMS_MODELO!$A$36,PARAMS_MODELO!$B$36,IF(M220=PARAMS_MODELO!$A$37,PARAMS_MODELO!$B$37,IF(M220=PARAMS_MODELO!$A$38,PARAMS_MODELO!$B$38,IF(M220=PARAMS_MODELO!$A$39,PARAMS_MODELO!$B$39,IF(M220=PARAMS_MODELO!$A$40,PARAMS_MODELO!$B$40)))))</f>
        <v>1</v>
      </c>
    </row>
    <row r="221" spans="1:14" x14ac:dyDescent="0.3">
      <c r="A221">
        <v>51056078</v>
      </c>
      <c r="B221">
        <v>37</v>
      </c>
      <c r="C221">
        <v>30</v>
      </c>
      <c r="D221">
        <f t="shared" si="9"/>
        <v>1.2333333333333334</v>
      </c>
      <c r="E221">
        <f>ROUND(MIN(5,MAX(0,D221))/5*PARAMS_MODELO!$B$32,2)</f>
        <v>9.8699999999999992</v>
      </c>
      <c r="F221">
        <v>3</v>
      </c>
      <c r="G221">
        <f>MAX(0,PARAMS_MODELO!$B$33-VALUE(TRIM(F221))*3)</f>
        <v>21</v>
      </c>
      <c r="H221">
        <v>0</v>
      </c>
      <c r="I221">
        <f>ROUND(MIN(4,MAX(0,H221))/4*PARAMS_MODELO!$B$34,2)</f>
        <v>0</v>
      </c>
      <c r="J221">
        <v>1</v>
      </c>
      <c r="K221">
        <f>IF(J221=0,0,PARAMS_MODELO!$B$35)</f>
        <v>10</v>
      </c>
      <c r="L221">
        <f t="shared" si="10"/>
        <v>40.869999999999997</v>
      </c>
      <c r="M221" t="str">
        <f t="shared" si="11"/>
        <v>Regular</v>
      </c>
      <c r="N221">
        <f>IF(M221=PARAMS_MODELO!$A$36,PARAMS_MODELO!$B$36,IF(M221=PARAMS_MODELO!$A$37,PARAMS_MODELO!$B$37,IF(M221=PARAMS_MODELO!$A$38,PARAMS_MODELO!$B$38,IF(M221=PARAMS_MODELO!$A$39,PARAMS_MODELO!$B$39,IF(M221=PARAMS_MODELO!$A$40,PARAMS_MODELO!$B$40)))))</f>
        <v>1</v>
      </c>
    </row>
    <row r="222" spans="1:14" x14ac:dyDescent="0.3">
      <c r="A222">
        <v>51012445</v>
      </c>
      <c r="B222">
        <v>13</v>
      </c>
      <c r="C222">
        <v>76</v>
      </c>
      <c r="D222">
        <f t="shared" si="9"/>
        <v>0.17105263157894737</v>
      </c>
      <c r="E222">
        <f>ROUND(MIN(5,MAX(0,D222))/5*PARAMS_MODELO!$B$32,2)</f>
        <v>1.37</v>
      </c>
      <c r="F222">
        <v>4</v>
      </c>
      <c r="G222">
        <f>MAX(0,PARAMS_MODELO!$B$33-VALUE(TRIM(F222))*3)</f>
        <v>18</v>
      </c>
      <c r="H222">
        <v>4</v>
      </c>
      <c r="I222">
        <f>ROUND(MIN(4,MAX(0,H222))/4*PARAMS_MODELO!$B$34,2)</f>
        <v>20</v>
      </c>
      <c r="J222">
        <v>1</v>
      </c>
      <c r="K222">
        <f>IF(J222=0,0,PARAMS_MODELO!$B$35)</f>
        <v>10</v>
      </c>
      <c r="L222">
        <f t="shared" si="10"/>
        <v>49.370000000000005</v>
      </c>
      <c r="M222" t="str">
        <f t="shared" si="11"/>
        <v>Regular</v>
      </c>
      <c r="N222">
        <f>IF(M222=PARAMS_MODELO!$A$36,PARAMS_MODELO!$B$36,IF(M222=PARAMS_MODELO!$A$37,PARAMS_MODELO!$B$37,IF(M222=PARAMS_MODELO!$A$38,PARAMS_MODELO!$B$38,IF(M222=PARAMS_MODELO!$A$39,PARAMS_MODELO!$B$39,IF(M222=PARAMS_MODELO!$A$40,PARAMS_MODELO!$B$40)))))</f>
        <v>1</v>
      </c>
    </row>
    <row r="223" spans="1:14" x14ac:dyDescent="0.3">
      <c r="A223">
        <v>51019661</v>
      </c>
      <c r="B223">
        <v>16</v>
      </c>
      <c r="C223">
        <v>59</v>
      </c>
      <c r="D223">
        <f t="shared" si="9"/>
        <v>0.2711864406779661</v>
      </c>
      <c r="E223">
        <f>ROUND(MIN(5,MAX(0,D223))/5*PARAMS_MODELO!$B$32,2)</f>
        <v>2.17</v>
      </c>
      <c r="F223">
        <v>4</v>
      </c>
      <c r="G223">
        <f>MAX(0,PARAMS_MODELO!$B$33-VALUE(TRIM(F223))*3)</f>
        <v>18</v>
      </c>
      <c r="H223">
        <v>4</v>
      </c>
      <c r="I223">
        <f>ROUND(MIN(4,MAX(0,H223))/4*PARAMS_MODELO!$B$34,2)</f>
        <v>20</v>
      </c>
      <c r="J223">
        <v>0</v>
      </c>
      <c r="K223">
        <f>IF(J223=0,0,PARAMS_MODELO!$B$35)</f>
        <v>0</v>
      </c>
      <c r="L223">
        <f t="shared" si="10"/>
        <v>40.17</v>
      </c>
      <c r="M223" t="str">
        <f t="shared" si="11"/>
        <v>Regular</v>
      </c>
      <c r="N223">
        <f>IF(M223=PARAMS_MODELO!$A$36,PARAMS_MODELO!$B$36,IF(M223=PARAMS_MODELO!$A$37,PARAMS_MODELO!$B$37,IF(M223=PARAMS_MODELO!$A$38,PARAMS_MODELO!$B$38,IF(M223=PARAMS_MODELO!$A$39,PARAMS_MODELO!$B$39,IF(M223=PARAMS_MODELO!$A$40,PARAMS_MODELO!$B$40)))))</f>
        <v>1</v>
      </c>
    </row>
    <row r="224" spans="1:14" x14ac:dyDescent="0.3">
      <c r="A224">
        <v>51021894</v>
      </c>
      <c r="B224">
        <v>65</v>
      </c>
      <c r="C224">
        <v>77</v>
      </c>
      <c r="D224">
        <f t="shared" si="9"/>
        <v>0.8441558441558441</v>
      </c>
      <c r="E224">
        <f>ROUND(MIN(5,MAX(0,D224))/5*PARAMS_MODELO!$B$32,2)</f>
        <v>6.75</v>
      </c>
      <c r="F224">
        <v>2</v>
      </c>
      <c r="G224">
        <f>MAX(0,PARAMS_MODELO!$B$33-VALUE(TRIM(F224))*3)</f>
        <v>24</v>
      </c>
      <c r="H224">
        <v>1</v>
      </c>
      <c r="I224">
        <f>ROUND(MIN(4,MAX(0,H224))/4*PARAMS_MODELO!$B$34,2)</f>
        <v>5</v>
      </c>
      <c r="J224">
        <v>1</v>
      </c>
      <c r="K224">
        <f>IF(J224=0,0,PARAMS_MODELO!$B$35)</f>
        <v>10</v>
      </c>
      <c r="L224">
        <f t="shared" si="10"/>
        <v>45.75</v>
      </c>
      <c r="M224" t="str">
        <f t="shared" si="11"/>
        <v>Regular</v>
      </c>
      <c r="N224">
        <f>IF(M224=PARAMS_MODELO!$A$36,PARAMS_MODELO!$B$36,IF(M224=PARAMS_MODELO!$A$37,PARAMS_MODELO!$B$37,IF(M224=PARAMS_MODELO!$A$38,PARAMS_MODELO!$B$38,IF(M224=PARAMS_MODELO!$A$39,PARAMS_MODELO!$B$39,IF(M224=PARAMS_MODELO!$A$40,PARAMS_MODELO!$B$40)))))</f>
        <v>1</v>
      </c>
    </row>
    <row r="225" spans="1:14" x14ac:dyDescent="0.3">
      <c r="A225">
        <v>51018575</v>
      </c>
      <c r="B225">
        <v>82</v>
      </c>
      <c r="C225">
        <v>32</v>
      </c>
      <c r="D225">
        <f t="shared" si="9"/>
        <v>2.5625</v>
      </c>
      <c r="E225">
        <f>ROUND(MIN(5,MAX(0,D225))/5*PARAMS_MODELO!$B$32,2)</f>
        <v>20.5</v>
      </c>
      <c r="F225">
        <v>1</v>
      </c>
      <c r="G225">
        <f>MAX(0,PARAMS_MODELO!$B$33-VALUE(TRIM(F225))*3)</f>
        <v>27</v>
      </c>
      <c r="H225">
        <v>0</v>
      </c>
      <c r="I225">
        <f>ROUND(MIN(4,MAX(0,H225))/4*PARAMS_MODELO!$B$34,2)</f>
        <v>0</v>
      </c>
      <c r="J225">
        <v>1</v>
      </c>
      <c r="K225">
        <f>IF(J225=0,0,PARAMS_MODELO!$B$35)</f>
        <v>10</v>
      </c>
      <c r="L225">
        <f t="shared" si="10"/>
        <v>57.5</v>
      </c>
      <c r="M225" t="str">
        <f t="shared" si="11"/>
        <v>Regular</v>
      </c>
      <c r="N225">
        <f>IF(M225=PARAMS_MODELO!$A$36,PARAMS_MODELO!$B$36,IF(M225=PARAMS_MODELO!$A$37,PARAMS_MODELO!$B$37,IF(M225=PARAMS_MODELO!$A$38,PARAMS_MODELO!$B$38,IF(M225=PARAMS_MODELO!$A$39,PARAMS_MODELO!$B$39,IF(M225=PARAMS_MODELO!$A$40,PARAMS_MODELO!$B$40)))))</f>
        <v>1</v>
      </c>
    </row>
    <row r="226" spans="1:14" x14ac:dyDescent="0.3">
      <c r="A226">
        <v>51031652</v>
      </c>
      <c r="B226">
        <v>63</v>
      </c>
      <c r="C226">
        <v>51</v>
      </c>
      <c r="D226">
        <f t="shared" si="9"/>
        <v>1.2352941176470589</v>
      </c>
      <c r="E226">
        <f>ROUND(MIN(5,MAX(0,D226))/5*PARAMS_MODELO!$B$32,2)</f>
        <v>9.8800000000000008</v>
      </c>
      <c r="F226">
        <v>0</v>
      </c>
      <c r="G226">
        <f>MAX(0,PARAMS_MODELO!$B$33-VALUE(TRIM(F226))*3)</f>
        <v>30</v>
      </c>
      <c r="H226">
        <v>2</v>
      </c>
      <c r="I226">
        <f>ROUND(MIN(4,MAX(0,H226))/4*PARAMS_MODELO!$B$34,2)</f>
        <v>10</v>
      </c>
      <c r="J226">
        <v>1</v>
      </c>
      <c r="K226">
        <f>IF(J226=0,0,PARAMS_MODELO!$B$35)</f>
        <v>10</v>
      </c>
      <c r="L226">
        <f t="shared" si="10"/>
        <v>59.88</v>
      </c>
      <c r="M226" t="str">
        <f t="shared" si="11"/>
        <v>Regular</v>
      </c>
      <c r="N226">
        <f>IF(M226=PARAMS_MODELO!$A$36,PARAMS_MODELO!$B$36,IF(M226=PARAMS_MODELO!$A$37,PARAMS_MODELO!$B$37,IF(M226=PARAMS_MODELO!$A$38,PARAMS_MODELO!$B$38,IF(M226=PARAMS_MODELO!$A$39,PARAMS_MODELO!$B$39,IF(M226=PARAMS_MODELO!$A$40,PARAMS_MODELO!$B$40)))))</f>
        <v>1</v>
      </c>
    </row>
    <row r="227" spans="1:14" x14ac:dyDescent="0.3">
      <c r="A227">
        <v>51040627</v>
      </c>
      <c r="B227">
        <v>25</v>
      </c>
      <c r="C227">
        <v>92</v>
      </c>
      <c r="D227">
        <f t="shared" si="9"/>
        <v>0.27173913043478259</v>
      </c>
      <c r="E227">
        <f>ROUND(MIN(5,MAX(0,D227))/5*PARAMS_MODELO!$B$32,2)</f>
        <v>2.17</v>
      </c>
      <c r="F227">
        <v>4</v>
      </c>
      <c r="G227">
        <f>MAX(0,PARAMS_MODELO!$B$33-VALUE(TRIM(F227))*3)</f>
        <v>18</v>
      </c>
      <c r="H227">
        <v>4</v>
      </c>
      <c r="I227">
        <f>ROUND(MIN(4,MAX(0,H227))/4*PARAMS_MODELO!$B$34,2)</f>
        <v>20</v>
      </c>
      <c r="J227">
        <v>0</v>
      </c>
      <c r="K227">
        <f>IF(J227=0,0,PARAMS_MODELO!$B$35)</f>
        <v>0</v>
      </c>
      <c r="L227">
        <f t="shared" si="10"/>
        <v>40.17</v>
      </c>
      <c r="M227" t="str">
        <f t="shared" si="11"/>
        <v>Regular</v>
      </c>
      <c r="N227">
        <f>IF(M227=PARAMS_MODELO!$A$36,PARAMS_MODELO!$B$36,IF(M227=PARAMS_MODELO!$A$37,PARAMS_MODELO!$B$37,IF(M227=PARAMS_MODELO!$A$38,PARAMS_MODELO!$B$38,IF(M227=PARAMS_MODELO!$A$39,PARAMS_MODELO!$B$39,IF(M227=PARAMS_MODELO!$A$40,PARAMS_MODELO!$B$40)))))</f>
        <v>1</v>
      </c>
    </row>
    <row r="228" spans="1:14" x14ac:dyDescent="0.3">
      <c r="A228">
        <v>51031253</v>
      </c>
      <c r="B228">
        <v>88</v>
      </c>
      <c r="C228">
        <v>50</v>
      </c>
      <c r="D228">
        <f t="shared" si="9"/>
        <v>1.76</v>
      </c>
      <c r="E228">
        <f>ROUND(MIN(5,MAX(0,D228))/5*PARAMS_MODELO!$B$32,2)</f>
        <v>14.08</v>
      </c>
      <c r="F228">
        <v>2</v>
      </c>
      <c r="G228">
        <f>MAX(0,PARAMS_MODELO!$B$33-VALUE(TRIM(F228))*3)</f>
        <v>24</v>
      </c>
      <c r="H228">
        <v>4</v>
      </c>
      <c r="I228">
        <f>ROUND(MIN(4,MAX(0,H228))/4*PARAMS_MODELO!$B$34,2)</f>
        <v>20</v>
      </c>
      <c r="J228">
        <v>0</v>
      </c>
      <c r="K228">
        <f>IF(J228=0,0,PARAMS_MODELO!$B$35)</f>
        <v>0</v>
      </c>
      <c r="L228">
        <f t="shared" si="10"/>
        <v>58.08</v>
      </c>
      <c r="M228" t="str">
        <f t="shared" si="11"/>
        <v>Regular</v>
      </c>
      <c r="N228">
        <f>IF(M228=PARAMS_MODELO!$A$36,PARAMS_MODELO!$B$36,IF(M228=PARAMS_MODELO!$A$37,PARAMS_MODELO!$B$37,IF(M228=PARAMS_MODELO!$A$38,PARAMS_MODELO!$B$38,IF(M228=PARAMS_MODELO!$A$39,PARAMS_MODELO!$B$39,IF(M228=PARAMS_MODELO!$A$40,PARAMS_MODELO!$B$40)))))</f>
        <v>1</v>
      </c>
    </row>
    <row r="229" spans="1:14" x14ac:dyDescent="0.3">
      <c r="A229">
        <v>51034350</v>
      </c>
      <c r="B229">
        <v>64</v>
      </c>
      <c r="C229">
        <v>82</v>
      </c>
      <c r="D229">
        <f t="shared" si="9"/>
        <v>0.78048780487804881</v>
      </c>
      <c r="E229">
        <f>ROUND(MIN(5,MAX(0,D229))/5*PARAMS_MODELO!$B$32,2)</f>
        <v>6.24</v>
      </c>
      <c r="F229">
        <v>4</v>
      </c>
      <c r="G229">
        <f>MAX(0,PARAMS_MODELO!$B$33-VALUE(TRIM(F229))*3)</f>
        <v>18</v>
      </c>
      <c r="H229">
        <v>0</v>
      </c>
      <c r="I229">
        <f>ROUND(MIN(4,MAX(0,H229))/4*PARAMS_MODELO!$B$34,2)</f>
        <v>0</v>
      </c>
      <c r="J229">
        <v>0</v>
      </c>
      <c r="K229">
        <f>IF(J229=0,0,PARAMS_MODELO!$B$35)</f>
        <v>0</v>
      </c>
      <c r="L229">
        <f t="shared" si="10"/>
        <v>24.240000000000002</v>
      </c>
      <c r="M229" t="str">
        <f t="shared" si="11"/>
        <v>Malo</v>
      </c>
      <c r="N229">
        <f>IF(M229=PARAMS_MODELO!$A$36,PARAMS_MODELO!$B$36,IF(M229=PARAMS_MODELO!$A$37,PARAMS_MODELO!$B$37,IF(M229=PARAMS_MODELO!$A$38,PARAMS_MODELO!$B$38,IF(M229=PARAMS_MODELO!$A$39,PARAMS_MODELO!$B$39,IF(M229=PARAMS_MODELO!$A$40,PARAMS_MODELO!$B$40)))))</f>
        <v>0.7</v>
      </c>
    </row>
    <row r="230" spans="1:14" x14ac:dyDescent="0.3">
      <c r="A230">
        <v>51022220</v>
      </c>
      <c r="B230">
        <v>41</v>
      </c>
      <c r="C230">
        <v>100</v>
      </c>
      <c r="D230">
        <f t="shared" si="9"/>
        <v>0.41</v>
      </c>
      <c r="E230">
        <f>ROUND(MIN(5,MAX(0,D230))/5*PARAMS_MODELO!$B$32,2)</f>
        <v>3.28</v>
      </c>
      <c r="F230">
        <v>0</v>
      </c>
      <c r="G230">
        <f>MAX(0,PARAMS_MODELO!$B$33-VALUE(TRIM(F230))*3)</f>
        <v>30</v>
      </c>
      <c r="H230">
        <v>1</v>
      </c>
      <c r="I230">
        <f>ROUND(MIN(4,MAX(0,H230))/4*PARAMS_MODELO!$B$34,2)</f>
        <v>5</v>
      </c>
      <c r="J230">
        <v>0</v>
      </c>
      <c r="K230">
        <f>IF(J230=0,0,PARAMS_MODELO!$B$35)</f>
        <v>0</v>
      </c>
      <c r="L230">
        <f t="shared" si="10"/>
        <v>38.28</v>
      </c>
      <c r="M230" t="str">
        <f t="shared" si="11"/>
        <v>Malo</v>
      </c>
      <c r="N230">
        <f>IF(M230=PARAMS_MODELO!$A$36,PARAMS_MODELO!$B$36,IF(M230=PARAMS_MODELO!$A$37,PARAMS_MODELO!$B$37,IF(M230=PARAMS_MODELO!$A$38,PARAMS_MODELO!$B$38,IF(M230=PARAMS_MODELO!$A$39,PARAMS_MODELO!$B$39,IF(M230=PARAMS_MODELO!$A$40,PARAMS_MODELO!$B$40)))))</f>
        <v>0.7</v>
      </c>
    </row>
    <row r="231" spans="1:14" x14ac:dyDescent="0.3">
      <c r="A231">
        <v>51019512</v>
      </c>
      <c r="B231">
        <v>21</v>
      </c>
      <c r="C231">
        <v>8</v>
      </c>
      <c r="D231">
        <f t="shared" si="9"/>
        <v>2.625</v>
      </c>
      <c r="E231">
        <f>ROUND(MIN(5,MAX(0,D231))/5*PARAMS_MODELO!$B$32,2)</f>
        <v>21</v>
      </c>
      <c r="F231">
        <v>3</v>
      </c>
      <c r="G231">
        <f>MAX(0,PARAMS_MODELO!$B$33-VALUE(TRIM(F231))*3)</f>
        <v>21</v>
      </c>
      <c r="H231">
        <v>2</v>
      </c>
      <c r="I231">
        <f>ROUND(MIN(4,MAX(0,H231))/4*PARAMS_MODELO!$B$34,2)</f>
        <v>10</v>
      </c>
      <c r="J231">
        <v>1</v>
      </c>
      <c r="K231">
        <f>IF(J231=0,0,PARAMS_MODELO!$B$35)</f>
        <v>10</v>
      </c>
      <c r="L231">
        <f t="shared" si="10"/>
        <v>62</v>
      </c>
      <c r="M231" t="str">
        <f t="shared" si="11"/>
        <v>Bueno</v>
      </c>
      <c r="N231">
        <f>IF(M231=PARAMS_MODELO!$A$36,PARAMS_MODELO!$B$36,IF(M231=PARAMS_MODELO!$A$37,PARAMS_MODELO!$B$37,IF(M231=PARAMS_MODELO!$A$38,PARAMS_MODELO!$B$38,IF(M231=PARAMS_MODELO!$A$39,PARAMS_MODELO!$B$39,IF(M231=PARAMS_MODELO!$A$40,PARAMS_MODELO!$B$40)))))</f>
        <v>1.1000000000000001</v>
      </c>
    </row>
    <row r="232" spans="1:14" x14ac:dyDescent="0.3">
      <c r="A232">
        <v>51014391</v>
      </c>
      <c r="B232">
        <v>75</v>
      </c>
      <c r="C232">
        <v>47</v>
      </c>
      <c r="D232">
        <f t="shared" si="9"/>
        <v>1.5957446808510638</v>
      </c>
      <c r="E232">
        <f>ROUND(MIN(5,MAX(0,D232))/5*PARAMS_MODELO!$B$32,2)</f>
        <v>12.77</v>
      </c>
      <c r="F232">
        <v>2</v>
      </c>
      <c r="G232">
        <f>MAX(0,PARAMS_MODELO!$B$33-VALUE(TRIM(F232))*3)</f>
        <v>24</v>
      </c>
      <c r="H232">
        <v>2</v>
      </c>
      <c r="I232">
        <f>ROUND(MIN(4,MAX(0,H232))/4*PARAMS_MODELO!$B$34,2)</f>
        <v>10</v>
      </c>
      <c r="J232">
        <v>1</v>
      </c>
      <c r="K232">
        <f>IF(J232=0,0,PARAMS_MODELO!$B$35)</f>
        <v>10</v>
      </c>
      <c r="L232">
        <f t="shared" si="10"/>
        <v>56.769999999999996</v>
      </c>
      <c r="M232" t="str">
        <f t="shared" si="11"/>
        <v>Regular</v>
      </c>
      <c r="N232">
        <f>IF(M232=PARAMS_MODELO!$A$36,PARAMS_MODELO!$B$36,IF(M232=PARAMS_MODELO!$A$37,PARAMS_MODELO!$B$37,IF(M232=PARAMS_MODELO!$A$38,PARAMS_MODELO!$B$38,IF(M232=PARAMS_MODELO!$A$39,PARAMS_MODELO!$B$39,IF(M232=PARAMS_MODELO!$A$40,PARAMS_MODELO!$B$40)))))</f>
        <v>1</v>
      </c>
    </row>
    <row r="233" spans="1:14" x14ac:dyDescent="0.3">
      <c r="A233">
        <v>51042689</v>
      </c>
      <c r="B233">
        <v>86</v>
      </c>
      <c r="C233">
        <v>99</v>
      </c>
      <c r="D233">
        <f t="shared" si="9"/>
        <v>0.86868686868686873</v>
      </c>
      <c r="E233">
        <f>ROUND(MIN(5,MAX(0,D233))/5*PARAMS_MODELO!$B$32,2)</f>
        <v>6.95</v>
      </c>
      <c r="F233">
        <v>3</v>
      </c>
      <c r="G233">
        <f>MAX(0,PARAMS_MODELO!$B$33-VALUE(TRIM(F233))*3)</f>
        <v>21</v>
      </c>
      <c r="H233">
        <v>3</v>
      </c>
      <c r="I233">
        <f>ROUND(MIN(4,MAX(0,H233))/4*PARAMS_MODELO!$B$34,2)</f>
        <v>15</v>
      </c>
      <c r="J233">
        <v>1</v>
      </c>
      <c r="K233">
        <f>IF(J233=0,0,PARAMS_MODELO!$B$35)</f>
        <v>10</v>
      </c>
      <c r="L233">
        <f t="shared" si="10"/>
        <v>52.95</v>
      </c>
      <c r="M233" t="str">
        <f t="shared" si="11"/>
        <v>Regular</v>
      </c>
      <c r="N233">
        <f>IF(M233=PARAMS_MODELO!$A$36,PARAMS_MODELO!$B$36,IF(M233=PARAMS_MODELO!$A$37,PARAMS_MODELO!$B$37,IF(M233=PARAMS_MODELO!$A$38,PARAMS_MODELO!$B$38,IF(M233=PARAMS_MODELO!$A$39,PARAMS_MODELO!$B$39,IF(M233=PARAMS_MODELO!$A$40,PARAMS_MODELO!$B$40)))))</f>
        <v>1</v>
      </c>
    </row>
    <row r="234" spans="1:14" x14ac:dyDescent="0.3">
      <c r="A234">
        <v>51013867</v>
      </c>
      <c r="B234">
        <v>4</v>
      </c>
      <c r="C234">
        <v>88</v>
      </c>
      <c r="D234">
        <f t="shared" si="9"/>
        <v>4.5454545454545456E-2</v>
      </c>
      <c r="E234">
        <f>ROUND(MIN(5,MAX(0,D234))/5*PARAMS_MODELO!$B$32,2)</f>
        <v>0.36</v>
      </c>
      <c r="F234">
        <v>1</v>
      </c>
      <c r="G234">
        <f>MAX(0,PARAMS_MODELO!$B$33-VALUE(TRIM(F234))*3)</f>
        <v>27</v>
      </c>
      <c r="H234">
        <v>4</v>
      </c>
      <c r="I234">
        <f>ROUND(MIN(4,MAX(0,H234))/4*PARAMS_MODELO!$B$34,2)</f>
        <v>20</v>
      </c>
      <c r="J234">
        <v>1</v>
      </c>
      <c r="K234">
        <f>IF(J234=0,0,PARAMS_MODELO!$B$35)</f>
        <v>10</v>
      </c>
      <c r="L234">
        <f t="shared" si="10"/>
        <v>57.36</v>
      </c>
      <c r="M234" t="str">
        <f t="shared" si="11"/>
        <v>Regular</v>
      </c>
      <c r="N234">
        <f>IF(M234=PARAMS_MODELO!$A$36,PARAMS_MODELO!$B$36,IF(M234=PARAMS_MODELO!$A$37,PARAMS_MODELO!$B$37,IF(M234=PARAMS_MODELO!$A$38,PARAMS_MODELO!$B$38,IF(M234=PARAMS_MODELO!$A$39,PARAMS_MODELO!$B$39,IF(M234=PARAMS_MODELO!$A$40,PARAMS_MODELO!$B$40)))))</f>
        <v>1</v>
      </c>
    </row>
    <row r="235" spans="1:14" x14ac:dyDescent="0.3">
      <c r="A235">
        <v>51021258</v>
      </c>
      <c r="B235">
        <v>23</v>
      </c>
      <c r="C235">
        <v>0</v>
      </c>
      <c r="D235">
        <f t="shared" si="9"/>
        <v>0</v>
      </c>
      <c r="E235">
        <f>ROUND(MIN(5,MAX(0,D235))/5*PARAMS_MODELO!$B$32,2)</f>
        <v>0</v>
      </c>
      <c r="F235">
        <v>1</v>
      </c>
      <c r="G235">
        <f>MAX(0,PARAMS_MODELO!$B$33-VALUE(TRIM(F235))*3)</f>
        <v>27</v>
      </c>
      <c r="H235">
        <v>4</v>
      </c>
      <c r="I235">
        <f>ROUND(MIN(4,MAX(0,H235))/4*PARAMS_MODELO!$B$34,2)</f>
        <v>20</v>
      </c>
      <c r="J235">
        <v>0</v>
      </c>
      <c r="K235">
        <f>IF(J235=0,0,PARAMS_MODELO!$B$35)</f>
        <v>0</v>
      </c>
      <c r="L235">
        <f t="shared" si="10"/>
        <v>47</v>
      </c>
      <c r="M235" t="str">
        <f t="shared" si="11"/>
        <v>Regular</v>
      </c>
      <c r="N235">
        <f>IF(M235=PARAMS_MODELO!$A$36,PARAMS_MODELO!$B$36,IF(M235=PARAMS_MODELO!$A$37,PARAMS_MODELO!$B$37,IF(M235=PARAMS_MODELO!$A$38,PARAMS_MODELO!$B$38,IF(M235=PARAMS_MODELO!$A$39,PARAMS_MODELO!$B$39,IF(M235=PARAMS_MODELO!$A$40,PARAMS_MODELO!$B$40)))))</f>
        <v>1</v>
      </c>
    </row>
    <row r="236" spans="1:14" x14ac:dyDescent="0.3">
      <c r="A236">
        <v>51024591</v>
      </c>
      <c r="B236">
        <v>72</v>
      </c>
      <c r="C236">
        <v>49</v>
      </c>
      <c r="D236">
        <f t="shared" si="9"/>
        <v>1.4693877551020409</v>
      </c>
      <c r="E236">
        <f>ROUND(MIN(5,MAX(0,D236))/5*PARAMS_MODELO!$B$32,2)</f>
        <v>11.76</v>
      </c>
      <c r="F236">
        <v>4</v>
      </c>
      <c r="G236">
        <f>MAX(0,PARAMS_MODELO!$B$33-VALUE(TRIM(F236))*3)</f>
        <v>18</v>
      </c>
      <c r="H236">
        <v>3</v>
      </c>
      <c r="I236">
        <f>ROUND(MIN(4,MAX(0,H236))/4*PARAMS_MODELO!$B$34,2)</f>
        <v>15</v>
      </c>
      <c r="J236">
        <v>0</v>
      </c>
      <c r="K236">
        <f>IF(J236=0,0,PARAMS_MODELO!$B$35)</f>
        <v>0</v>
      </c>
      <c r="L236">
        <f t="shared" si="10"/>
        <v>44.76</v>
      </c>
      <c r="M236" t="str">
        <f t="shared" si="11"/>
        <v>Regular</v>
      </c>
      <c r="N236">
        <f>IF(M236=PARAMS_MODELO!$A$36,PARAMS_MODELO!$B$36,IF(M236=PARAMS_MODELO!$A$37,PARAMS_MODELO!$B$37,IF(M236=PARAMS_MODELO!$A$38,PARAMS_MODELO!$B$38,IF(M236=PARAMS_MODELO!$A$39,PARAMS_MODELO!$B$39,IF(M236=PARAMS_MODELO!$A$40,PARAMS_MODELO!$B$40)))))</f>
        <v>1</v>
      </c>
    </row>
    <row r="237" spans="1:14" x14ac:dyDescent="0.3">
      <c r="A237">
        <v>51021665</v>
      </c>
      <c r="B237">
        <v>4</v>
      </c>
      <c r="C237">
        <v>66</v>
      </c>
      <c r="D237">
        <f t="shared" si="9"/>
        <v>6.0606060606060608E-2</v>
      </c>
      <c r="E237">
        <f>ROUND(MIN(5,MAX(0,D237))/5*PARAMS_MODELO!$B$32,2)</f>
        <v>0.48</v>
      </c>
      <c r="F237">
        <v>4</v>
      </c>
      <c r="G237">
        <f>MAX(0,PARAMS_MODELO!$B$33-VALUE(TRIM(F237))*3)</f>
        <v>18</v>
      </c>
      <c r="H237">
        <v>2</v>
      </c>
      <c r="I237">
        <f>ROUND(MIN(4,MAX(0,H237))/4*PARAMS_MODELO!$B$34,2)</f>
        <v>10</v>
      </c>
      <c r="J237">
        <v>1</v>
      </c>
      <c r="K237">
        <f>IF(J237=0,0,PARAMS_MODELO!$B$35)</f>
        <v>10</v>
      </c>
      <c r="L237">
        <f t="shared" si="10"/>
        <v>38.480000000000004</v>
      </c>
      <c r="M237" t="str">
        <f t="shared" si="11"/>
        <v>Malo</v>
      </c>
      <c r="N237">
        <f>IF(M237=PARAMS_MODELO!$A$36,PARAMS_MODELO!$B$36,IF(M237=PARAMS_MODELO!$A$37,PARAMS_MODELO!$B$37,IF(M237=PARAMS_MODELO!$A$38,PARAMS_MODELO!$B$38,IF(M237=PARAMS_MODELO!$A$39,PARAMS_MODELO!$B$39,IF(M237=PARAMS_MODELO!$A$40,PARAMS_MODELO!$B$40)))))</f>
        <v>0.7</v>
      </c>
    </row>
    <row r="238" spans="1:14" x14ac:dyDescent="0.3">
      <c r="A238">
        <v>51030273</v>
      </c>
      <c r="B238">
        <v>45</v>
      </c>
      <c r="C238">
        <v>12</v>
      </c>
      <c r="D238">
        <f t="shared" si="9"/>
        <v>3.75</v>
      </c>
      <c r="E238">
        <f>ROUND(MIN(5,MAX(0,D238))/5*PARAMS_MODELO!$B$32,2)</f>
        <v>30</v>
      </c>
      <c r="F238">
        <v>5</v>
      </c>
      <c r="G238">
        <f>MAX(0,PARAMS_MODELO!$B$33-VALUE(TRIM(F238))*3)</f>
        <v>15</v>
      </c>
      <c r="H238">
        <v>4</v>
      </c>
      <c r="I238">
        <f>ROUND(MIN(4,MAX(0,H238))/4*PARAMS_MODELO!$B$34,2)</f>
        <v>20</v>
      </c>
      <c r="J238">
        <v>0</v>
      </c>
      <c r="K238">
        <f>IF(J238=0,0,PARAMS_MODELO!$B$35)</f>
        <v>0</v>
      </c>
      <c r="L238">
        <f t="shared" si="10"/>
        <v>65</v>
      </c>
      <c r="M238" t="str">
        <f t="shared" si="11"/>
        <v>Bueno</v>
      </c>
      <c r="N238">
        <f>IF(M238=PARAMS_MODELO!$A$36,PARAMS_MODELO!$B$36,IF(M238=PARAMS_MODELO!$A$37,PARAMS_MODELO!$B$37,IF(M238=PARAMS_MODELO!$A$38,PARAMS_MODELO!$B$38,IF(M238=PARAMS_MODELO!$A$39,PARAMS_MODELO!$B$39,IF(M238=PARAMS_MODELO!$A$40,PARAMS_MODELO!$B$40)))))</f>
        <v>1.1000000000000001</v>
      </c>
    </row>
    <row r="239" spans="1:14" x14ac:dyDescent="0.3">
      <c r="A239">
        <v>51024559</v>
      </c>
      <c r="B239">
        <v>90</v>
      </c>
      <c r="C239">
        <v>50</v>
      </c>
      <c r="D239">
        <f t="shared" si="9"/>
        <v>1.8</v>
      </c>
      <c r="E239">
        <f>ROUND(MIN(5,MAX(0,D239))/5*PARAMS_MODELO!$B$32,2)</f>
        <v>14.4</v>
      </c>
      <c r="F239">
        <v>3</v>
      </c>
      <c r="G239">
        <f>MAX(0,PARAMS_MODELO!$B$33-VALUE(TRIM(F239))*3)</f>
        <v>21</v>
      </c>
      <c r="H239">
        <v>1</v>
      </c>
      <c r="I239">
        <f>ROUND(MIN(4,MAX(0,H239))/4*PARAMS_MODELO!$B$34,2)</f>
        <v>5</v>
      </c>
      <c r="J239">
        <v>1</v>
      </c>
      <c r="K239">
        <f>IF(J239=0,0,PARAMS_MODELO!$B$35)</f>
        <v>10</v>
      </c>
      <c r="L239">
        <f t="shared" si="10"/>
        <v>50.4</v>
      </c>
      <c r="M239" t="str">
        <f t="shared" si="11"/>
        <v>Regular</v>
      </c>
      <c r="N239">
        <f>IF(M239=PARAMS_MODELO!$A$36,PARAMS_MODELO!$B$36,IF(M239=PARAMS_MODELO!$A$37,PARAMS_MODELO!$B$37,IF(M239=PARAMS_MODELO!$A$38,PARAMS_MODELO!$B$38,IF(M239=PARAMS_MODELO!$A$39,PARAMS_MODELO!$B$39,IF(M239=PARAMS_MODELO!$A$40,PARAMS_MODELO!$B$40)))))</f>
        <v>1</v>
      </c>
    </row>
    <row r="240" spans="1:14" x14ac:dyDescent="0.3">
      <c r="A240">
        <v>51007565</v>
      </c>
      <c r="B240">
        <v>68</v>
      </c>
      <c r="C240">
        <v>44</v>
      </c>
      <c r="D240">
        <f t="shared" si="9"/>
        <v>1.5454545454545454</v>
      </c>
      <c r="E240">
        <f>ROUND(MIN(5,MAX(0,D240))/5*PARAMS_MODELO!$B$32,2)</f>
        <v>12.36</v>
      </c>
      <c r="F240">
        <v>3</v>
      </c>
      <c r="G240">
        <f>MAX(0,PARAMS_MODELO!$B$33-VALUE(TRIM(F240))*3)</f>
        <v>21</v>
      </c>
      <c r="H240">
        <v>4</v>
      </c>
      <c r="I240">
        <f>ROUND(MIN(4,MAX(0,H240))/4*PARAMS_MODELO!$B$34,2)</f>
        <v>20</v>
      </c>
      <c r="J240">
        <v>0</v>
      </c>
      <c r="K240">
        <f>IF(J240=0,0,PARAMS_MODELO!$B$35)</f>
        <v>0</v>
      </c>
      <c r="L240">
        <f t="shared" si="10"/>
        <v>53.36</v>
      </c>
      <c r="M240" t="str">
        <f t="shared" si="11"/>
        <v>Regular</v>
      </c>
      <c r="N240">
        <f>IF(M240=PARAMS_MODELO!$A$36,PARAMS_MODELO!$B$36,IF(M240=PARAMS_MODELO!$A$37,PARAMS_MODELO!$B$37,IF(M240=PARAMS_MODELO!$A$38,PARAMS_MODELO!$B$38,IF(M240=PARAMS_MODELO!$A$39,PARAMS_MODELO!$B$39,IF(M240=PARAMS_MODELO!$A$40,PARAMS_MODELO!$B$40)))))</f>
        <v>1</v>
      </c>
    </row>
    <row r="241" spans="1:14" x14ac:dyDescent="0.3">
      <c r="A241">
        <v>51032136</v>
      </c>
      <c r="B241">
        <v>50</v>
      </c>
      <c r="C241">
        <v>32</v>
      </c>
      <c r="D241">
        <f t="shared" si="9"/>
        <v>1.5625</v>
      </c>
      <c r="E241">
        <f>ROUND(MIN(5,MAX(0,D241))/5*PARAMS_MODELO!$B$32,2)</f>
        <v>12.5</v>
      </c>
      <c r="F241">
        <v>1</v>
      </c>
      <c r="G241">
        <f>MAX(0,PARAMS_MODELO!$B$33-VALUE(TRIM(F241))*3)</f>
        <v>27</v>
      </c>
      <c r="H241">
        <v>4</v>
      </c>
      <c r="I241">
        <f>ROUND(MIN(4,MAX(0,H241))/4*PARAMS_MODELO!$B$34,2)</f>
        <v>20</v>
      </c>
      <c r="J241">
        <v>1</v>
      </c>
      <c r="K241">
        <f>IF(J241=0,0,PARAMS_MODELO!$B$35)</f>
        <v>10</v>
      </c>
      <c r="L241">
        <f t="shared" si="10"/>
        <v>69.5</v>
      </c>
      <c r="M241" t="str">
        <f t="shared" si="11"/>
        <v>Bueno</v>
      </c>
      <c r="N241">
        <f>IF(M241=PARAMS_MODELO!$A$36,PARAMS_MODELO!$B$36,IF(M241=PARAMS_MODELO!$A$37,PARAMS_MODELO!$B$37,IF(M241=PARAMS_MODELO!$A$38,PARAMS_MODELO!$B$38,IF(M241=PARAMS_MODELO!$A$39,PARAMS_MODELO!$B$39,IF(M241=PARAMS_MODELO!$A$40,PARAMS_MODELO!$B$40)))))</f>
        <v>1.1000000000000001</v>
      </c>
    </row>
    <row r="242" spans="1:14" x14ac:dyDescent="0.3">
      <c r="A242">
        <v>51057066</v>
      </c>
      <c r="B242">
        <v>65</v>
      </c>
      <c r="C242">
        <v>40</v>
      </c>
      <c r="D242">
        <f t="shared" si="9"/>
        <v>1.625</v>
      </c>
      <c r="E242">
        <f>ROUND(MIN(5,MAX(0,D242))/5*PARAMS_MODELO!$B$32,2)</f>
        <v>13</v>
      </c>
      <c r="F242">
        <v>2</v>
      </c>
      <c r="G242">
        <f>MAX(0,PARAMS_MODELO!$B$33-VALUE(TRIM(F242))*3)</f>
        <v>24</v>
      </c>
      <c r="H242">
        <v>2</v>
      </c>
      <c r="I242">
        <f>ROUND(MIN(4,MAX(0,H242))/4*PARAMS_MODELO!$B$34,2)</f>
        <v>10</v>
      </c>
      <c r="J242">
        <v>1</v>
      </c>
      <c r="K242">
        <f>IF(J242=0,0,PARAMS_MODELO!$B$35)</f>
        <v>10</v>
      </c>
      <c r="L242">
        <f t="shared" si="10"/>
        <v>57</v>
      </c>
      <c r="M242" t="str">
        <f t="shared" si="11"/>
        <v>Regular</v>
      </c>
      <c r="N242">
        <f>IF(M242=PARAMS_MODELO!$A$36,PARAMS_MODELO!$B$36,IF(M242=PARAMS_MODELO!$A$37,PARAMS_MODELO!$B$37,IF(M242=PARAMS_MODELO!$A$38,PARAMS_MODELO!$B$38,IF(M242=PARAMS_MODELO!$A$39,PARAMS_MODELO!$B$39,IF(M242=PARAMS_MODELO!$A$40,PARAMS_MODELO!$B$40)))))</f>
        <v>1</v>
      </c>
    </row>
    <row r="243" spans="1:14" x14ac:dyDescent="0.3">
      <c r="A243">
        <v>51021215</v>
      </c>
      <c r="B243">
        <v>56</v>
      </c>
      <c r="C243">
        <v>81</v>
      </c>
      <c r="D243">
        <f t="shared" si="9"/>
        <v>0.69135802469135799</v>
      </c>
      <c r="E243">
        <f>ROUND(MIN(5,MAX(0,D243))/5*PARAMS_MODELO!$B$32,2)</f>
        <v>5.53</v>
      </c>
      <c r="F243">
        <v>3</v>
      </c>
      <c r="G243">
        <f>MAX(0,PARAMS_MODELO!$B$33-VALUE(TRIM(F243))*3)</f>
        <v>21</v>
      </c>
      <c r="H243">
        <v>2</v>
      </c>
      <c r="I243">
        <f>ROUND(MIN(4,MAX(0,H243))/4*PARAMS_MODELO!$B$34,2)</f>
        <v>10</v>
      </c>
      <c r="J243">
        <v>0</v>
      </c>
      <c r="K243">
        <f>IF(J243=0,0,PARAMS_MODELO!$B$35)</f>
        <v>0</v>
      </c>
      <c r="L243">
        <f t="shared" si="10"/>
        <v>36.53</v>
      </c>
      <c r="M243" t="str">
        <f t="shared" si="11"/>
        <v>Malo</v>
      </c>
      <c r="N243">
        <f>IF(M243=PARAMS_MODELO!$A$36,PARAMS_MODELO!$B$36,IF(M243=PARAMS_MODELO!$A$37,PARAMS_MODELO!$B$37,IF(M243=PARAMS_MODELO!$A$38,PARAMS_MODELO!$B$38,IF(M243=PARAMS_MODELO!$A$39,PARAMS_MODELO!$B$39,IF(M243=PARAMS_MODELO!$A$40,PARAMS_MODELO!$B$40)))))</f>
        <v>0.7</v>
      </c>
    </row>
    <row r="244" spans="1:14" x14ac:dyDescent="0.3">
      <c r="A244">
        <v>51040937</v>
      </c>
      <c r="B244">
        <v>32</v>
      </c>
      <c r="C244">
        <v>2</v>
      </c>
      <c r="D244">
        <f t="shared" si="9"/>
        <v>5</v>
      </c>
      <c r="E244">
        <f>ROUND(MIN(5,MAX(0,D244))/5*PARAMS_MODELO!$B$32,2)</f>
        <v>40</v>
      </c>
      <c r="F244">
        <v>5</v>
      </c>
      <c r="G244">
        <f>MAX(0,PARAMS_MODELO!$B$33-VALUE(TRIM(F244))*3)</f>
        <v>15</v>
      </c>
      <c r="H244">
        <v>0</v>
      </c>
      <c r="I244">
        <f>ROUND(MIN(4,MAX(0,H244))/4*PARAMS_MODELO!$B$34,2)</f>
        <v>0</v>
      </c>
      <c r="J244">
        <v>0</v>
      </c>
      <c r="K244">
        <f>IF(J244=0,0,PARAMS_MODELO!$B$35)</f>
        <v>0</v>
      </c>
      <c r="L244">
        <f t="shared" si="10"/>
        <v>55</v>
      </c>
      <c r="M244" t="str">
        <f t="shared" si="11"/>
        <v>Regular</v>
      </c>
      <c r="N244">
        <f>IF(M244=PARAMS_MODELO!$A$36,PARAMS_MODELO!$B$36,IF(M244=PARAMS_MODELO!$A$37,PARAMS_MODELO!$B$37,IF(M244=PARAMS_MODELO!$A$38,PARAMS_MODELO!$B$38,IF(M244=PARAMS_MODELO!$A$39,PARAMS_MODELO!$B$39,IF(M244=PARAMS_MODELO!$A$40,PARAMS_MODELO!$B$40)))))</f>
        <v>1</v>
      </c>
    </row>
    <row r="245" spans="1:14" x14ac:dyDescent="0.3">
      <c r="A245">
        <v>51014430</v>
      </c>
      <c r="B245">
        <v>54</v>
      </c>
      <c r="C245">
        <v>100</v>
      </c>
      <c r="D245">
        <f t="shared" si="9"/>
        <v>0.54</v>
      </c>
      <c r="E245">
        <f>ROUND(MIN(5,MAX(0,D245))/5*PARAMS_MODELO!$B$32,2)</f>
        <v>4.32</v>
      </c>
      <c r="F245">
        <v>2</v>
      </c>
      <c r="G245">
        <f>MAX(0,PARAMS_MODELO!$B$33-VALUE(TRIM(F245))*3)</f>
        <v>24</v>
      </c>
      <c r="H245">
        <v>3</v>
      </c>
      <c r="I245">
        <f>ROUND(MIN(4,MAX(0,H245))/4*PARAMS_MODELO!$B$34,2)</f>
        <v>15</v>
      </c>
      <c r="J245">
        <v>0</v>
      </c>
      <c r="K245">
        <f>IF(J245=0,0,PARAMS_MODELO!$B$35)</f>
        <v>0</v>
      </c>
      <c r="L245">
        <f t="shared" si="10"/>
        <v>43.32</v>
      </c>
      <c r="M245" t="str">
        <f t="shared" si="11"/>
        <v>Regular</v>
      </c>
      <c r="N245">
        <f>IF(M245=PARAMS_MODELO!$A$36,PARAMS_MODELO!$B$36,IF(M245=PARAMS_MODELO!$A$37,PARAMS_MODELO!$B$37,IF(M245=PARAMS_MODELO!$A$38,PARAMS_MODELO!$B$38,IF(M245=PARAMS_MODELO!$A$39,PARAMS_MODELO!$B$39,IF(M245=PARAMS_MODELO!$A$40,PARAMS_MODELO!$B$40)))))</f>
        <v>1</v>
      </c>
    </row>
    <row r="246" spans="1:14" x14ac:dyDescent="0.3">
      <c r="A246">
        <v>51055853</v>
      </c>
      <c r="B246">
        <v>87</v>
      </c>
      <c r="C246">
        <v>11</v>
      </c>
      <c r="D246">
        <f t="shared" si="9"/>
        <v>5</v>
      </c>
      <c r="E246">
        <f>ROUND(MIN(5,MAX(0,D246))/5*PARAMS_MODELO!$B$32,2)</f>
        <v>40</v>
      </c>
      <c r="F246">
        <v>5</v>
      </c>
      <c r="G246">
        <f>MAX(0,PARAMS_MODELO!$B$33-VALUE(TRIM(F246))*3)</f>
        <v>15</v>
      </c>
      <c r="H246">
        <v>4</v>
      </c>
      <c r="I246">
        <f>ROUND(MIN(4,MAX(0,H246))/4*PARAMS_MODELO!$B$34,2)</f>
        <v>20</v>
      </c>
      <c r="J246">
        <v>1</v>
      </c>
      <c r="K246">
        <f>IF(J246=0,0,PARAMS_MODELO!$B$35)</f>
        <v>10</v>
      </c>
      <c r="L246">
        <f t="shared" si="10"/>
        <v>85</v>
      </c>
      <c r="M246" t="str">
        <f t="shared" si="11"/>
        <v>Muy Bueno</v>
      </c>
      <c r="N246">
        <f>IF(M246=PARAMS_MODELO!$A$36,PARAMS_MODELO!$B$36,IF(M246=PARAMS_MODELO!$A$37,PARAMS_MODELO!$B$37,IF(M246=PARAMS_MODELO!$A$38,PARAMS_MODELO!$B$38,IF(M246=PARAMS_MODELO!$A$39,PARAMS_MODELO!$B$39,IF(M246=PARAMS_MODELO!$A$40,PARAMS_MODELO!$B$40)))))</f>
        <v>1.1499999999999999</v>
      </c>
    </row>
    <row r="247" spans="1:14" x14ac:dyDescent="0.3">
      <c r="A247">
        <v>51056515</v>
      </c>
      <c r="B247">
        <v>82</v>
      </c>
      <c r="C247">
        <v>34</v>
      </c>
      <c r="D247">
        <f t="shared" si="9"/>
        <v>2.4117647058823528</v>
      </c>
      <c r="E247">
        <f>ROUND(MIN(5,MAX(0,D247))/5*PARAMS_MODELO!$B$32,2)</f>
        <v>19.29</v>
      </c>
      <c r="F247">
        <v>2</v>
      </c>
      <c r="G247">
        <f>MAX(0,PARAMS_MODELO!$B$33-VALUE(TRIM(F247))*3)</f>
        <v>24</v>
      </c>
      <c r="H247">
        <v>1</v>
      </c>
      <c r="I247">
        <f>ROUND(MIN(4,MAX(0,H247))/4*PARAMS_MODELO!$B$34,2)</f>
        <v>5</v>
      </c>
      <c r="J247">
        <v>0</v>
      </c>
      <c r="K247">
        <f>IF(J247=0,0,PARAMS_MODELO!$B$35)</f>
        <v>0</v>
      </c>
      <c r="L247">
        <f t="shared" si="10"/>
        <v>48.29</v>
      </c>
      <c r="M247" t="str">
        <f t="shared" si="11"/>
        <v>Regular</v>
      </c>
      <c r="N247">
        <f>IF(M247=PARAMS_MODELO!$A$36,PARAMS_MODELO!$B$36,IF(M247=PARAMS_MODELO!$A$37,PARAMS_MODELO!$B$37,IF(M247=PARAMS_MODELO!$A$38,PARAMS_MODELO!$B$38,IF(M247=PARAMS_MODELO!$A$39,PARAMS_MODELO!$B$39,IF(M247=PARAMS_MODELO!$A$40,PARAMS_MODELO!$B$40)))))</f>
        <v>1</v>
      </c>
    </row>
    <row r="248" spans="1:14" x14ac:dyDescent="0.3">
      <c r="A248">
        <v>51020952</v>
      </c>
      <c r="B248">
        <v>17</v>
      </c>
      <c r="C248">
        <v>3</v>
      </c>
      <c r="D248">
        <f t="shared" si="9"/>
        <v>5</v>
      </c>
      <c r="E248">
        <f>ROUND(MIN(5,MAX(0,D248))/5*PARAMS_MODELO!$B$32,2)</f>
        <v>40</v>
      </c>
      <c r="F248">
        <v>0</v>
      </c>
      <c r="G248">
        <f>MAX(0,PARAMS_MODELO!$B$33-VALUE(TRIM(F248))*3)</f>
        <v>30</v>
      </c>
      <c r="H248">
        <v>2</v>
      </c>
      <c r="I248">
        <f>ROUND(MIN(4,MAX(0,H248))/4*PARAMS_MODELO!$B$34,2)</f>
        <v>10</v>
      </c>
      <c r="J248">
        <v>0</v>
      </c>
      <c r="K248">
        <f>IF(J248=0,0,PARAMS_MODELO!$B$35)</f>
        <v>0</v>
      </c>
      <c r="L248">
        <f t="shared" si="10"/>
        <v>80</v>
      </c>
      <c r="M248" t="str">
        <f t="shared" si="11"/>
        <v>Muy Bueno</v>
      </c>
      <c r="N248">
        <f>IF(M248=PARAMS_MODELO!$A$36,PARAMS_MODELO!$B$36,IF(M248=PARAMS_MODELO!$A$37,PARAMS_MODELO!$B$37,IF(M248=PARAMS_MODELO!$A$38,PARAMS_MODELO!$B$38,IF(M248=PARAMS_MODELO!$A$39,PARAMS_MODELO!$B$39,IF(M248=PARAMS_MODELO!$A$40,PARAMS_MODELO!$B$40)))))</f>
        <v>1.1499999999999999</v>
      </c>
    </row>
    <row r="249" spans="1:14" x14ac:dyDescent="0.3">
      <c r="A249">
        <v>51022611</v>
      </c>
      <c r="B249">
        <v>97</v>
      </c>
      <c r="C249">
        <v>79</v>
      </c>
      <c r="D249">
        <f t="shared" si="9"/>
        <v>1.2278481012658229</v>
      </c>
      <c r="E249">
        <f>ROUND(MIN(5,MAX(0,D249))/5*PARAMS_MODELO!$B$32,2)</f>
        <v>9.82</v>
      </c>
      <c r="F249">
        <v>3</v>
      </c>
      <c r="G249">
        <f>MAX(0,PARAMS_MODELO!$B$33-VALUE(TRIM(F249))*3)</f>
        <v>21</v>
      </c>
      <c r="H249">
        <v>0</v>
      </c>
      <c r="I249">
        <f>ROUND(MIN(4,MAX(0,H249))/4*PARAMS_MODELO!$B$34,2)</f>
        <v>0</v>
      </c>
      <c r="J249">
        <v>0</v>
      </c>
      <c r="K249">
        <f>IF(J249=0,0,PARAMS_MODELO!$B$35)</f>
        <v>0</v>
      </c>
      <c r="L249">
        <f t="shared" si="10"/>
        <v>30.82</v>
      </c>
      <c r="M249" t="str">
        <f t="shared" si="11"/>
        <v>Malo</v>
      </c>
      <c r="N249">
        <f>IF(M249=PARAMS_MODELO!$A$36,PARAMS_MODELO!$B$36,IF(M249=PARAMS_MODELO!$A$37,PARAMS_MODELO!$B$37,IF(M249=PARAMS_MODELO!$A$38,PARAMS_MODELO!$B$38,IF(M249=PARAMS_MODELO!$A$39,PARAMS_MODELO!$B$39,IF(M249=PARAMS_MODELO!$A$40,PARAMS_MODELO!$B$40)))))</f>
        <v>0.7</v>
      </c>
    </row>
    <row r="250" spans="1:14" x14ac:dyDescent="0.3">
      <c r="A250">
        <v>51056761</v>
      </c>
      <c r="B250">
        <v>72</v>
      </c>
      <c r="C250">
        <v>59</v>
      </c>
      <c r="D250">
        <f t="shared" si="9"/>
        <v>1.2203389830508475</v>
      </c>
      <c r="E250">
        <f>ROUND(MIN(5,MAX(0,D250))/5*PARAMS_MODELO!$B$32,2)</f>
        <v>9.76</v>
      </c>
      <c r="F250">
        <v>3</v>
      </c>
      <c r="G250">
        <f>MAX(0,PARAMS_MODELO!$B$33-VALUE(TRIM(F250))*3)</f>
        <v>21</v>
      </c>
      <c r="H250">
        <v>3</v>
      </c>
      <c r="I250">
        <f>ROUND(MIN(4,MAX(0,H250))/4*PARAMS_MODELO!$B$34,2)</f>
        <v>15</v>
      </c>
      <c r="J250">
        <v>0</v>
      </c>
      <c r="K250">
        <f>IF(J250=0,0,PARAMS_MODELO!$B$35)</f>
        <v>0</v>
      </c>
      <c r="L250">
        <f t="shared" si="10"/>
        <v>45.76</v>
      </c>
      <c r="M250" t="str">
        <f t="shared" si="11"/>
        <v>Regular</v>
      </c>
      <c r="N250">
        <f>IF(M250=PARAMS_MODELO!$A$36,PARAMS_MODELO!$B$36,IF(M250=PARAMS_MODELO!$A$37,PARAMS_MODELO!$B$37,IF(M250=PARAMS_MODELO!$A$38,PARAMS_MODELO!$B$38,IF(M250=PARAMS_MODELO!$A$39,PARAMS_MODELO!$B$39,IF(M250=PARAMS_MODELO!$A$40,PARAMS_MODELO!$B$40)))))</f>
        <v>1</v>
      </c>
    </row>
    <row r="251" spans="1:14" x14ac:dyDescent="0.3">
      <c r="A251">
        <v>51031741</v>
      </c>
      <c r="B251">
        <v>58</v>
      </c>
      <c r="C251">
        <v>76</v>
      </c>
      <c r="D251">
        <f t="shared" si="9"/>
        <v>0.76315789473684215</v>
      </c>
      <c r="E251">
        <f>ROUND(MIN(5,MAX(0,D251))/5*PARAMS_MODELO!$B$32,2)</f>
        <v>6.11</v>
      </c>
      <c r="F251">
        <v>2</v>
      </c>
      <c r="G251">
        <f>MAX(0,PARAMS_MODELO!$B$33-VALUE(TRIM(F251))*3)</f>
        <v>24</v>
      </c>
      <c r="H251">
        <v>2</v>
      </c>
      <c r="I251">
        <f>ROUND(MIN(4,MAX(0,H251))/4*PARAMS_MODELO!$B$34,2)</f>
        <v>10</v>
      </c>
      <c r="J251">
        <v>1</v>
      </c>
      <c r="K251">
        <f>IF(J251=0,0,PARAMS_MODELO!$B$35)</f>
        <v>10</v>
      </c>
      <c r="L251">
        <f t="shared" si="10"/>
        <v>50.11</v>
      </c>
      <c r="M251" t="str">
        <f t="shared" si="11"/>
        <v>Regular</v>
      </c>
      <c r="N251">
        <f>IF(M251=PARAMS_MODELO!$A$36,PARAMS_MODELO!$B$36,IF(M251=PARAMS_MODELO!$A$37,PARAMS_MODELO!$B$37,IF(M251=PARAMS_MODELO!$A$38,PARAMS_MODELO!$B$38,IF(M251=PARAMS_MODELO!$A$39,PARAMS_MODELO!$B$39,IF(M251=PARAMS_MODELO!$A$40,PARAMS_MODELO!$B$40)))))</f>
        <v>1</v>
      </c>
    </row>
    <row r="252" spans="1:14" x14ac:dyDescent="0.3">
      <c r="A252">
        <v>51056469</v>
      </c>
      <c r="B252">
        <v>38</v>
      </c>
      <c r="C252">
        <v>38</v>
      </c>
      <c r="D252">
        <f t="shared" si="9"/>
        <v>1</v>
      </c>
      <c r="E252">
        <f>ROUND(MIN(5,MAX(0,D252))/5*PARAMS_MODELO!$B$32,2)</f>
        <v>8</v>
      </c>
      <c r="F252">
        <v>4</v>
      </c>
      <c r="G252">
        <f>MAX(0,PARAMS_MODELO!$B$33-VALUE(TRIM(F252))*3)</f>
        <v>18</v>
      </c>
      <c r="H252">
        <v>3</v>
      </c>
      <c r="I252">
        <f>ROUND(MIN(4,MAX(0,H252))/4*PARAMS_MODELO!$B$34,2)</f>
        <v>15</v>
      </c>
      <c r="J252">
        <v>0</v>
      </c>
      <c r="K252">
        <f>IF(J252=0,0,PARAMS_MODELO!$B$35)</f>
        <v>0</v>
      </c>
      <c r="L252">
        <f t="shared" si="10"/>
        <v>41</v>
      </c>
      <c r="M252" t="str">
        <f t="shared" si="11"/>
        <v>Regular</v>
      </c>
      <c r="N252">
        <f>IF(M252=PARAMS_MODELO!$A$36,PARAMS_MODELO!$B$36,IF(M252=PARAMS_MODELO!$A$37,PARAMS_MODELO!$B$37,IF(M252=PARAMS_MODELO!$A$38,PARAMS_MODELO!$B$38,IF(M252=PARAMS_MODELO!$A$39,PARAMS_MODELO!$B$39,IF(M252=PARAMS_MODELO!$A$40,PARAMS_MODELO!$B$40)))))</f>
        <v>1</v>
      </c>
    </row>
    <row r="253" spans="1:14" x14ac:dyDescent="0.3">
      <c r="A253">
        <v>51031130</v>
      </c>
      <c r="B253">
        <v>46</v>
      </c>
      <c r="C253">
        <v>43</v>
      </c>
      <c r="D253">
        <f t="shared" si="9"/>
        <v>1.069767441860465</v>
      </c>
      <c r="E253">
        <f>ROUND(MIN(5,MAX(0,D253))/5*PARAMS_MODELO!$B$32,2)</f>
        <v>8.56</v>
      </c>
      <c r="F253">
        <v>0</v>
      </c>
      <c r="G253">
        <f>MAX(0,PARAMS_MODELO!$B$33-VALUE(TRIM(F253))*3)</f>
        <v>30</v>
      </c>
      <c r="H253">
        <v>4</v>
      </c>
      <c r="I253">
        <f>ROUND(MIN(4,MAX(0,H253))/4*PARAMS_MODELO!$B$34,2)</f>
        <v>20</v>
      </c>
      <c r="J253">
        <v>1</v>
      </c>
      <c r="K253">
        <f>IF(J253=0,0,PARAMS_MODELO!$B$35)</f>
        <v>10</v>
      </c>
      <c r="L253">
        <f t="shared" si="10"/>
        <v>68.56</v>
      </c>
      <c r="M253" t="str">
        <f t="shared" si="11"/>
        <v>Bueno</v>
      </c>
      <c r="N253">
        <f>IF(M253=PARAMS_MODELO!$A$36,PARAMS_MODELO!$B$36,IF(M253=PARAMS_MODELO!$A$37,PARAMS_MODELO!$B$37,IF(M253=PARAMS_MODELO!$A$38,PARAMS_MODELO!$B$38,IF(M253=PARAMS_MODELO!$A$39,PARAMS_MODELO!$B$39,IF(M253=PARAMS_MODELO!$A$40,PARAMS_MODELO!$B$40)))))</f>
        <v>1.1000000000000001</v>
      </c>
    </row>
    <row r="254" spans="1:14" x14ac:dyDescent="0.3">
      <c r="A254">
        <v>51014855</v>
      </c>
      <c r="B254">
        <v>83</v>
      </c>
      <c r="C254">
        <v>58</v>
      </c>
      <c r="D254">
        <f t="shared" si="9"/>
        <v>1.4310344827586208</v>
      </c>
      <c r="E254">
        <f>ROUND(MIN(5,MAX(0,D254))/5*PARAMS_MODELO!$B$32,2)</f>
        <v>11.45</v>
      </c>
      <c r="F254">
        <v>0</v>
      </c>
      <c r="G254">
        <f>MAX(0,PARAMS_MODELO!$B$33-VALUE(TRIM(F254))*3)</f>
        <v>30</v>
      </c>
      <c r="H254">
        <v>1</v>
      </c>
      <c r="I254">
        <f>ROUND(MIN(4,MAX(0,H254))/4*PARAMS_MODELO!$B$34,2)</f>
        <v>5</v>
      </c>
      <c r="J254">
        <v>1</v>
      </c>
      <c r="K254">
        <f>IF(J254=0,0,PARAMS_MODELO!$B$35)</f>
        <v>10</v>
      </c>
      <c r="L254">
        <f t="shared" si="10"/>
        <v>56.45</v>
      </c>
      <c r="M254" t="str">
        <f t="shared" si="11"/>
        <v>Regular</v>
      </c>
      <c r="N254">
        <f>IF(M254=PARAMS_MODELO!$A$36,PARAMS_MODELO!$B$36,IF(M254=PARAMS_MODELO!$A$37,PARAMS_MODELO!$B$37,IF(M254=PARAMS_MODELO!$A$38,PARAMS_MODELO!$B$38,IF(M254=PARAMS_MODELO!$A$39,PARAMS_MODELO!$B$39,IF(M254=PARAMS_MODELO!$A$40,PARAMS_MODELO!$B$40)))))</f>
        <v>1</v>
      </c>
    </row>
    <row r="255" spans="1:14" x14ac:dyDescent="0.3">
      <c r="A255">
        <v>51055055</v>
      </c>
      <c r="B255">
        <v>40</v>
      </c>
      <c r="C255">
        <v>88</v>
      </c>
      <c r="D255">
        <f t="shared" si="9"/>
        <v>0.45454545454545453</v>
      </c>
      <c r="E255">
        <f>ROUND(MIN(5,MAX(0,D255))/5*PARAMS_MODELO!$B$32,2)</f>
        <v>3.64</v>
      </c>
      <c r="F255">
        <v>1</v>
      </c>
      <c r="G255">
        <f>MAX(0,PARAMS_MODELO!$B$33-VALUE(TRIM(F255))*3)</f>
        <v>27</v>
      </c>
      <c r="H255">
        <v>3</v>
      </c>
      <c r="I255">
        <f>ROUND(MIN(4,MAX(0,H255))/4*PARAMS_MODELO!$B$34,2)</f>
        <v>15</v>
      </c>
      <c r="J255">
        <v>1</v>
      </c>
      <c r="K255">
        <f>IF(J255=0,0,PARAMS_MODELO!$B$35)</f>
        <v>10</v>
      </c>
      <c r="L255">
        <f t="shared" si="10"/>
        <v>55.64</v>
      </c>
      <c r="M255" t="str">
        <f t="shared" si="11"/>
        <v>Regular</v>
      </c>
      <c r="N255">
        <f>IF(M255=PARAMS_MODELO!$A$36,PARAMS_MODELO!$B$36,IF(M255=PARAMS_MODELO!$A$37,PARAMS_MODELO!$B$37,IF(M255=PARAMS_MODELO!$A$38,PARAMS_MODELO!$B$38,IF(M255=PARAMS_MODELO!$A$39,PARAMS_MODELO!$B$39,IF(M255=PARAMS_MODELO!$A$40,PARAMS_MODELO!$B$40)))))</f>
        <v>1</v>
      </c>
    </row>
    <row r="256" spans="1:14" x14ac:dyDescent="0.3">
      <c r="A256">
        <v>51008634</v>
      </c>
      <c r="B256">
        <v>36</v>
      </c>
      <c r="C256">
        <v>1</v>
      </c>
      <c r="D256">
        <f t="shared" si="9"/>
        <v>5</v>
      </c>
      <c r="E256">
        <f>ROUND(MIN(5,MAX(0,D256))/5*PARAMS_MODELO!$B$32,2)</f>
        <v>40</v>
      </c>
      <c r="F256">
        <v>1</v>
      </c>
      <c r="G256">
        <f>MAX(0,PARAMS_MODELO!$B$33-VALUE(TRIM(F256))*3)</f>
        <v>27</v>
      </c>
      <c r="H256">
        <v>1</v>
      </c>
      <c r="I256">
        <f>ROUND(MIN(4,MAX(0,H256))/4*PARAMS_MODELO!$B$34,2)</f>
        <v>5</v>
      </c>
      <c r="J256">
        <v>0</v>
      </c>
      <c r="K256">
        <f>IF(J256=0,0,PARAMS_MODELO!$B$35)</f>
        <v>0</v>
      </c>
      <c r="L256">
        <f t="shared" si="10"/>
        <v>72</v>
      </c>
      <c r="M256" t="str">
        <f t="shared" si="11"/>
        <v>Bueno</v>
      </c>
      <c r="N256">
        <f>IF(M256=PARAMS_MODELO!$A$36,PARAMS_MODELO!$B$36,IF(M256=PARAMS_MODELO!$A$37,PARAMS_MODELO!$B$37,IF(M256=PARAMS_MODELO!$A$38,PARAMS_MODELO!$B$38,IF(M256=PARAMS_MODELO!$A$39,PARAMS_MODELO!$B$39,IF(M256=PARAMS_MODELO!$A$40,PARAMS_MODELO!$B$40)))))</f>
        <v>1.1000000000000001</v>
      </c>
    </row>
    <row r="257" spans="1:14" x14ac:dyDescent="0.3">
      <c r="A257">
        <v>51021835</v>
      </c>
      <c r="B257">
        <v>35</v>
      </c>
      <c r="C257">
        <v>93</v>
      </c>
      <c r="D257">
        <f t="shared" si="9"/>
        <v>0.37634408602150538</v>
      </c>
      <c r="E257">
        <f>ROUND(MIN(5,MAX(0,D257))/5*PARAMS_MODELO!$B$32,2)</f>
        <v>3.01</v>
      </c>
      <c r="F257">
        <v>3</v>
      </c>
      <c r="G257">
        <f>MAX(0,PARAMS_MODELO!$B$33-VALUE(TRIM(F257))*3)</f>
        <v>21</v>
      </c>
      <c r="H257">
        <v>1</v>
      </c>
      <c r="I257">
        <f>ROUND(MIN(4,MAX(0,H257))/4*PARAMS_MODELO!$B$34,2)</f>
        <v>5</v>
      </c>
      <c r="J257">
        <v>0</v>
      </c>
      <c r="K257">
        <f>IF(J257=0,0,PARAMS_MODELO!$B$35)</f>
        <v>0</v>
      </c>
      <c r="L257">
        <f t="shared" si="10"/>
        <v>29.009999999999998</v>
      </c>
      <c r="M257" t="str">
        <f t="shared" si="11"/>
        <v>Malo</v>
      </c>
      <c r="N257">
        <f>IF(M257=PARAMS_MODELO!$A$36,PARAMS_MODELO!$B$36,IF(M257=PARAMS_MODELO!$A$37,PARAMS_MODELO!$B$37,IF(M257=PARAMS_MODELO!$A$38,PARAMS_MODELO!$B$38,IF(M257=PARAMS_MODELO!$A$39,PARAMS_MODELO!$B$39,IF(M257=PARAMS_MODELO!$A$40,PARAMS_MODELO!$B$40)))))</f>
        <v>0.7</v>
      </c>
    </row>
    <row r="258" spans="1:14" x14ac:dyDescent="0.3">
      <c r="A258">
        <v>51030320</v>
      </c>
      <c r="B258">
        <v>24</v>
      </c>
      <c r="C258">
        <v>52</v>
      </c>
      <c r="D258">
        <f t="shared" ref="D258:D321" si="12">IF(C258=0,0,MIN(5,B258/C258))</f>
        <v>0.46153846153846156</v>
      </c>
      <c r="E258">
        <f>ROUND(MIN(5,MAX(0,D258))/5*PARAMS_MODELO!$B$32,2)</f>
        <v>3.69</v>
      </c>
      <c r="F258">
        <v>5</v>
      </c>
      <c r="G258">
        <f>MAX(0,PARAMS_MODELO!$B$33-VALUE(TRIM(F258))*3)</f>
        <v>15</v>
      </c>
      <c r="H258">
        <v>1</v>
      </c>
      <c r="I258">
        <f>ROUND(MIN(4,MAX(0,H258))/4*PARAMS_MODELO!$B$34,2)</f>
        <v>5</v>
      </c>
      <c r="J258">
        <v>1</v>
      </c>
      <c r="K258">
        <f>IF(J258=0,0,PARAMS_MODELO!$B$35)</f>
        <v>10</v>
      </c>
      <c r="L258">
        <f t="shared" ref="L258:L321" si="13">MIN(100,MAX(0,E258+G258+I258+K258))</f>
        <v>33.69</v>
      </c>
      <c r="M258" t="str">
        <f t="shared" ref="M258:M321" si="14">IF(L258="","",IF(L258&gt;=90,"Excelente",IF(L258&gt;=75,"Muy Bueno",IF(L258&gt;=60,"Bueno",IF(L258&gt;=40,"Regular","Malo")))))</f>
        <v>Malo</v>
      </c>
      <c r="N258">
        <f>IF(M258=PARAMS_MODELO!$A$36,PARAMS_MODELO!$B$36,IF(M258=PARAMS_MODELO!$A$37,PARAMS_MODELO!$B$37,IF(M258=PARAMS_MODELO!$A$38,PARAMS_MODELO!$B$38,IF(M258=PARAMS_MODELO!$A$39,PARAMS_MODELO!$B$39,IF(M258=PARAMS_MODELO!$A$40,PARAMS_MODELO!$B$40)))))</f>
        <v>0.7</v>
      </c>
    </row>
    <row r="259" spans="1:14" x14ac:dyDescent="0.3">
      <c r="A259">
        <v>51033701</v>
      </c>
      <c r="B259">
        <v>4</v>
      </c>
      <c r="C259">
        <v>42</v>
      </c>
      <c r="D259">
        <f t="shared" si="12"/>
        <v>9.5238095238095233E-2</v>
      </c>
      <c r="E259">
        <f>ROUND(MIN(5,MAX(0,D259))/5*PARAMS_MODELO!$B$32,2)</f>
        <v>0.76</v>
      </c>
      <c r="F259">
        <v>1</v>
      </c>
      <c r="G259">
        <f>MAX(0,PARAMS_MODELO!$B$33-VALUE(TRIM(F259))*3)</f>
        <v>27</v>
      </c>
      <c r="H259">
        <v>2</v>
      </c>
      <c r="I259">
        <f>ROUND(MIN(4,MAX(0,H259))/4*PARAMS_MODELO!$B$34,2)</f>
        <v>10</v>
      </c>
      <c r="J259">
        <v>1</v>
      </c>
      <c r="K259">
        <f>IF(J259=0,0,PARAMS_MODELO!$B$35)</f>
        <v>10</v>
      </c>
      <c r="L259">
        <f t="shared" si="13"/>
        <v>47.760000000000005</v>
      </c>
      <c r="M259" t="str">
        <f t="shared" si="14"/>
        <v>Regular</v>
      </c>
      <c r="N259">
        <f>IF(M259=PARAMS_MODELO!$A$36,PARAMS_MODELO!$B$36,IF(M259=PARAMS_MODELO!$A$37,PARAMS_MODELO!$B$37,IF(M259=PARAMS_MODELO!$A$38,PARAMS_MODELO!$B$38,IF(M259=PARAMS_MODELO!$A$39,PARAMS_MODELO!$B$39,IF(M259=PARAMS_MODELO!$A$40,PARAMS_MODELO!$B$40)))))</f>
        <v>1</v>
      </c>
    </row>
    <row r="260" spans="1:14" x14ac:dyDescent="0.3">
      <c r="A260">
        <v>51013280</v>
      </c>
      <c r="B260">
        <v>79</v>
      </c>
      <c r="C260">
        <v>41</v>
      </c>
      <c r="D260">
        <f t="shared" si="12"/>
        <v>1.9268292682926829</v>
      </c>
      <c r="E260">
        <f>ROUND(MIN(5,MAX(0,D260))/5*PARAMS_MODELO!$B$32,2)</f>
        <v>15.41</v>
      </c>
      <c r="F260">
        <v>1</v>
      </c>
      <c r="G260">
        <f>MAX(0,PARAMS_MODELO!$B$33-VALUE(TRIM(F260))*3)</f>
        <v>27</v>
      </c>
      <c r="H260">
        <v>0</v>
      </c>
      <c r="I260">
        <f>ROUND(MIN(4,MAX(0,H260))/4*PARAMS_MODELO!$B$34,2)</f>
        <v>0</v>
      </c>
      <c r="J260">
        <v>1</v>
      </c>
      <c r="K260">
        <f>IF(J260=0,0,PARAMS_MODELO!$B$35)</f>
        <v>10</v>
      </c>
      <c r="L260">
        <f t="shared" si="13"/>
        <v>52.41</v>
      </c>
      <c r="M260" t="str">
        <f t="shared" si="14"/>
        <v>Regular</v>
      </c>
      <c r="N260">
        <f>IF(M260=PARAMS_MODELO!$A$36,PARAMS_MODELO!$B$36,IF(M260=PARAMS_MODELO!$A$37,PARAMS_MODELO!$B$37,IF(M260=PARAMS_MODELO!$A$38,PARAMS_MODELO!$B$38,IF(M260=PARAMS_MODELO!$A$39,PARAMS_MODELO!$B$39,IF(M260=PARAMS_MODELO!$A$40,PARAMS_MODELO!$B$40)))))</f>
        <v>1</v>
      </c>
    </row>
    <row r="261" spans="1:14" x14ac:dyDescent="0.3">
      <c r="A261">
        <v>51022785</v>
      </c>
      <c r="B261">
        <v>55</v>
      </c>
      <c r="C261">
        <v>87</v>
      </c>
      <c r="D261">
        <f t="shared" si="12"/>
        <v>0.63218390804597702</v>
      </c>
      <c r="E261">
        <f>ROUND(MIN(5,MAX(0,D261))/5*PARAMS_MODELO!$B$32,2)</f>
        <v>5.0599999999999996</v>
      </c>
      <c r="F261">
        <v>1</v>
      </c>
      <c r="G261">
        <f>MAX(0,PARAMS_MODELO!$B$33-VALUE(TRIM(F261))*3)</f>
        <v>27</v>
      </c>
      <c r="H261">
        <v>0</v>
      </c>
      <c r="I261">
        <f>ROUND(MIN(4,MAX(0,H261))/4*PARAMS_MODELO!$B$34,2)</f>
        <v>0</v>
      </c>
      <c r="J261">
        <v>1</v>
      </c>
      <c r="K261">
        <f>IF(J261=0,0,PARAMS_MODELO!$B$35)</f>
        <v>10</v>
      </c>
      <c r="L261">
        <f t="shared" si="13"/>
        <v>42.06</v>
      </c>
      <c r="M261" t="str">
        <f t="shared" si="14"/>
        <v>Regular</v>
      </c>
      <c r="N261">
        <f>IF(M261=PARAMS_MODELO!$A$36,PARAMS_MODELO!$B$36,IF(M261=PARAMS_MODELO!$A$37,PARAMS_MODELO!$B$37,IF(M261=PARAMS_MODELO!$A$38,PARAMS_MODELO!$B$38,IF(M261=PARAMS_MODELO!$A$39,PARAMS_MODELO!$B$39,IF(M261=PARAMS_MODELO!$A$40,PARAMS_MODELO!$B$40)))))</f>
        <v>1</v>
      </c>
    </row>
    <row r="262" spans="1:14" x14ac:dyDescent="0.3">
      <c r="A262">
        <v>51036310</v>
      </c>
      <c r="B262">
        <v>42</v>
      </c>
      <c r="C262">
        <v>41</v>
      </c>
      <c r="D262">
        <f t="shared" si="12"/>
        <v>1.024390243902439</v>
      </c>
      <c r="E262">
        <f>ROUND(MIN(5,MAX(0,D262))/5*PARAMS_MODELO!$B$32,2)</f>
        <v>8.1999999999999993</v>
      </c>
      <c r="F262">
        <v>1</v>
      </c>
      <c r="G262">
        <f>MAX(0,PARAMS_MODELO!$B$33-VALUE(TRIM(F262))*3)</f>
        <v>27</v>
      </c>
      <c r="H262">
        <v>2</v>
      </c>
      <c r="I262">
        <f>ROUND(MIN(4,MAX(0,H262))/4*PARAMS_MODELO!$B$34,2)</f>
        <v>10</v>
      </c>
      <c r="J262">
        <v>1</v>
      </c>
      <c r="K262">
        <f>IF(J262=0,0,PARAMS_MODELO!$B$35)</f>
        <v>10</v>
      </c>
      <c r="L262">
        <f t="shared" si="13"/>
        <v>55.2</v>
      </c>
      <c r="M262" t="str">
        <f t="shared" si="14"/>
        <v>Regular</v>
      </c>
      <c r="N262">
        <f>IF(M262=PARAMS_MODELO!$A$36,PARAMS_MODELO!$B$36,IF(M262=PARAMS_MODELO!$A$37,PARAMS_MODELO!$B$37,IF(M262=PARAMS_MODELO!$A$38,PARAMS_MODELO!$B$38,IF(M262=PARAMS_MODELO!$A$39,PARAMS_MODELO!$B$39,IF(M262=PARAMS_MODELO!$A$40,PARAMS_MODELO!$B$40)))))</f>
        <v>1</v>
      </c>
    </row>
    <row r="263" spans="1:14" x14ac:dyDescent="0.3">
      <c r="A263">
        <v>51010710</v>
      </c>
      <c r="B263">
        <v>97</v>
      </c>
      <c r="C263">
        <v>35</v>
      </c>
      <c r="D263">
        <f t="shared" si="12"/>
        <v>2.7714285714285714</v>
      </c>
      <c r="E263">
        <f>ROUND(MIN(5,MAX(0,D263))/5*PARAMS_MODELO!$B$32,2)</f>
        <v>22.17</v>
      </c>
      <c r="F263">
        <v>5</v>
      </c>
      <c r="G263">
        <f>MAX(0,PARAMS_MODELO!$B$33-VALUE(TRIM(F263))*3)</f>
        <v>15</v>
      </c>
      <c r="H263">
        <v>3</v>
      </c>
      <c r="I263">
        <f>ROUND(MIN(4,MAX(0,H263))/4*PARAMS_MODELO!$B$34,2)</f>
        <v>15</v>
      </c>
      <c r="J263">
        <v>0</v>
      </c>
      <c r="K263">
        <f>IF(J263=0,0,PARAMS_MODELO!$B$35)</f>
        <v>0</v>
      </c>
      <c r="L263">
        <f t="shared" si="13"/>
        <v>52.17</v>
      </c>
      <c r="M263" t="str">
        <f t="shared" si="14"/>
        <v>Regular</v>
      </c>
      <c r="N263">
        <f>IF(M263=PARAMS_MODELO!$A$36,PARAMS_MODELO!$B$36,IF(M263=PARAMS_MODELO!$A$37,PARAMS_MODELO!$B$37,IF(M263=PARAMS_MODELO!$A$38,PARAMS_MODELO!$B$38,IF(M263=PARAMS_MODELO!$A$39,PARAMS_MODELO!$B$39,IF(M263=PARAMS_MODELO!$A$40,PARAMS_MODELO!$B$40)))))</f>
        <v>1</v>
      </c>
    </row>
    <row r="264" spans="1:14" x14ac:dyDescent="0.3">
      <c r="A264">
        <v>51034376</v>
      </c>
      <c r="B264">
        <v>61</v>
      </c>
      <c r="C264">
        <v>17</v>
      </c>
      <c r="D264">
        <f t="shared" si="12"/>
        <v>3.5882352941176472</v>
      </c>
      <c r="E264">
        <f>ROUND(MIN(5,MAX(0,D264))/5*PARAMS_MODELO!$B$32,2)</f>
        <v>28.71</v>
      </c>
      <c r="F264">
        <v>1</v>
      </c>
      <c r="G264">
        <f>MAX(0,PARAMS_MODELO!$B$33-VALUE(TRIM(F264))*3)</f>
        <v>27</v>
      </c>
      <c r="H264">
        <v>4</v>
      </c>
      <c r="I264">
        <f>ROUND(MIN(4,MAX(0,H264))/4*PARAMS_MODELO!$B$34,2)</f>
        <v>20</v>
      </c>
      <c r="J264">
        <v>0</v>
      </c>
      <c r="K264">
        <f>IF(J264=0,0,PARAMS_MODELO!$B$35)</f>
        <v>0</v>
      </c>
      <c r="L264">
        <f t="shared" si="13"/>
        <v>75.710000000000008</v>
      </c>
      <c r="M264" t="str">
        <f t="shared" si="14"/>
        <v>Muy Bueno</v>
      </c>
      <c r="N264">
        <f>IF(M264=PARAMS_MODELO!$A$36,PARAMS_MODELO!$B$36,IF(M264=PARAMS_MODELO!$A$37,PARAMS_MODELO!$B$37,IF(M264=PARAMS_MODELO!$A$38,PARAMS_MODELO!$B$38,IF(M264=PARAMS_MODELO!$A$39,PARAMS_MODELO!$B$39,IF(M264=PARAMS_MODELO!$A$40,PARAMS_MODELO!$B$40)))))</f>
        <v>1.1499999999999999</v>
      </c>
    </row>
    <row r="265" spans="1:14" x14ac:dyDescent="0.3">
      <c r="A265">
        <v>51023561</v>
      </c>
      <c r="B265">
        <v>96</v>
      </c>
      <c r="C265">
        <v>98</v>
      </c>
      <c r="D265">
        <f t="shared" si="12"/>
        <v>0.97959183673469385</v>
      </c>
      <c r="E265">
        <f>ROUND(MIN(5,MAX(0,D265))/5*PARAMS_MODELO!$B$32,2)</f>
        <v>7.84</v>
      </c>
      <c r="F265">
        <v>2</v>
      </c>
      <c r="G265">
        <f>MAX(0,PARAMS_MODELO!$B$33-VALUE(TRIM(F265))*3)</f>
        <v>24</v>
      </c>
      <c r="H265">
        <v>1</v>
      </c>
      <c r="I265">
        <f>ROUND(MIN(4,MAX(0,H265))/4*PARAMS_MODELO!$B$34,2)</f>
        <v>5</v>
      </c>
      <c r="J265">
        <v>1</v>
      </c>
      <c r="K265">
        <f>IF(J265=0,0,PARAMS_MODELO!$B$35)</f>
        <v>10</v>
      </c>
      <c r="L265">
        <f t="shared" si="13"/>
        <v>46.84</v>
      </c>
      <c r="M265" t="str">
        <f t="shared" si="14"/>
        <v>Regular</v>
      </c>
      <c r="N265">
        <f>IF(M265=PARAMS_MODELO!$A$36,PARAMS_MODELO!$B$36,IF(M265=PARAMS_MODELO!$A$37,PARAMS_MODELO!$B$37,IF(M265=PARAMS_MODELO!$A$38,PARAMS_MODELO!$B$38,IF(M265=PARAMS_MODELO!$A$39,PARAMS_MODELO!$B$39,IF(M265=PARAMS_MODELO!$A$40,PARAMS_MODELO!$B$40)))))</f>
        <v>1</v>
      </c>
    </row>
    <row r="266" spans="1:14" x14ac:dyDescent="0.3">
      <c r="A266">
        <v>51025253</v>
      </c>
      <c r="B266">
        <v>12</v>
      </c>
      <c r="C266">
        <v>7</v>
      </c>
      <c r="D266">
        <f t="shared" si="12"/>
        <v>1.7142857142857142</v>
      </c>
      <c r="E266">
        <f>ROUND(MIN(5,MAX(0,D266))/5*PARAMS_MODELO!$B$32,2)</f>
        <v>13.71</v>
      </c>
      <c r="F266">
        <v>1</v>
      </c>
      <c r="G266">
        <f>MAX(0,PARAMS_MODELO!$B$33-VALUE(TRIM(F266))*3)</f>
        <v>27</v>
      </c>
      <c r="H266">
        <v>0</v>
      </c>
      <c r="I266">
        <f>ROUND(MIN(4,MAX(0,H266))/4*PARAMS_MODELO!$B$34,2)</f>
        <v>0</v>
      </c>
      <c r="J266">
        <v>1</v>
      </c>
      <c r="K266">
        <f>IF(J266=0,0,PARAMS_MODELO!$B$35)</f>
        <v>10</v>
      </c>
      <c r="L266">
        <f t="shared" si="13"/>
        <v>50.71</v>
      </c>
      <c r="M266" t="str">
        <f t="shared" si="14"/>
        <v>Regular</v>
      </c>
      <c r="N266">
        <f>IF(M266=PARAMS_MODELO!$A$36,PARAMS_MODELO!$B$36,IF(M266=PARAMS_MODELO!$A$37,PARAMS_MODELO!$B$37,IF(M266=PARAMS_MODELO!$A$38,PARAMS_MODELO!$B$38,IF(M266=PARAMS_MODELO!$A$39,PARAMS_MODELO!$B$39,IF(M266=PARAMS_MODELO!$A$40,PARAMS_MODELO!$B$40)))))</f>
        <v>1</v>
      </c>
    </row>
    <row r="267" spans="1:14" x14ac:dyDescent="0.3">
      <c r="A267">
        <v>51030176</v>
      </c>
      <c r="B267">
        <v>47</v>
      </c>
      <c r="C267">
        <v>11</v>
      </c>
      <c r="D267">
        <f t="shared" si="12"/>
        <v>4.2727272727272725</v>
      </c>
      <c r="E267">
        <f>ROUND(MIN(5,MAX(0,D267))/5*PARAMS_MODELO!$B$32,2)</f>
        <v>34.18</v>
      </c>
      <c r="F267">
        <v>2</v>
      </c>
      <c r="G267">
        <f>MAX(0,PARAMS_MODELO!$B$33-VALUE(TRIM(F267))*3)</f>
        <v>24</v>
      </c>
      <c r="H267">
        <v>0</v>
      </c>
      <c r="I267">
        <f>ROUND(MIN(4,MAX(0,H267))/4*PARAMS_MODELO!$B$34,2)</f>
        <v>0</v>
      </c>
      <c r="J267">
        <v>1</v>
      </c>
      <c r="K267">
        <f>IF(J267=0,0,PARAMS_MODELO!$B$35)</f>
        <v>10</v>
      </c>
      <c r="L267">
        <f t="shared" si="13"/>
        <v>68.180000000000007</v>
      </c>
      <c r="M267" t="str">
        <f t="shared" si="14"/>
        <v>Bueno</v>
      </c>
      <c r="N267">
        <f>IF(M267=PARAMS_MODELO!$A$36,PARAMS_MODELO!$B$36,IF(M267=PARAMS_MODELO!$A$37,PARAMS_MODELO!$B$37,IF(M267=PARAMS_MODELO!$A$38,PARAMS_MODELO!$B$38,IF(M267=PARAMS_MODELO!$A$39,PARAMS_MODELO!$B$39,IF(M267=PARAMS_MODELO!$A$40,PARAMS_MODELO!$B$40)))))</f>
        <v>1.1000000000000001</v>
      </c>
    </row>
    <row r="268" spans="1:14" x14ac:dyDescent="0.3">
      <c r="A268">
        <v>51024575</v>
      </c>
      <c r="B268">
        <v>11</v>
      </c>
      <c r="C268">
        <v>4</v>
      </c>
      <c r="D268">
        <f t="shared" si="12"/>
        <v>2.75</v>
      </c>
      <c r="E268">
        <f>ROUND(MIN(5,MAX(0,D268))/5*PARAMS_MODELO!$B$32,2)</f>
        <v>22</v>
      </c>
      <c r="F268">
        <v>4</v>
      </c>
      <c r="G268">
        <f>MAX(0,PARAMS_MODELO!$B$33-VALUE(TRIM(F268))*3)</f>
        <v>18</v>
      </c>
      <c r="H268">
        <v>1</v>
      </c>
      <c r="I268">
        <f>ROUND(MIN(4,MAX(0,H268))/4*PARAMS_MODELO!$B$34,2)</f>
        <v>5</v>
      </c>
      <c r="J268">
        <v>1</v>
      </c>
      <c r="K268">
        <f>IF(J268=0,0,PARAMS_MODELO!$B$35)</f>
        <v>10</v>
      </c>
      <c r="L268">
        <f t="shared" si="13"/>
        <v>55</v>
      </c>
      <c r="M268" t="str">
        <f t="shared" si="14"/>
        <v>Regular</v>
      </c>
      <c r="N268">
        <f>IF(M268=PARAMS_MODELO!$A$36,PARAMS_MODELO!$B$36,IF(M268=PARAMS_MODELO!$A$37,PARAMS_MODELO!$B$37,IF(M268=PARAMS_MODELO!$A$38,PARAMS_MODELO!$B$38,IF(M268=PARAMS_MODELO!$A$39,PARAMS_MODELO!$B$39,IF(M268=PARAMS_MODELO!$A$40,PARAMS_MODELO!$B$40)))))</f>
        <v>1</v>
      </c>
    </row>
    <row r="269" spans="1:14" x14ac:dyDescent="0.3">
      <c r="A269">
        <v>51005333</v>
      </c>
      <c r="B269">
        <v>66</v>
      </c>
      <c r="C269">
        <v>2</v>
      </c>
      <c r="D269">
        <f t="shared" si="12"/>
        <v>5</v>
      </c>
      <c r="E269">
        <f>ROUND(MIN(5,MAX(0,D269))/5*PARAMS_MODELO!$B$32,2)</f>
        <v>40</v>
      </c>
      <c r="F269">
        <v>3</v>
      </c>
      <c r="G269">
        <f>MAX(0,PARAMS_MODELO!$B$33-VALUE(TRIM(F269))*3)</f>
        <v>21</v>
      </c>
      <c r="H269">
        <v>4</v>
      </c>
      <c r="I269">
        <f>ROUND(MIN(4,MAX(0,H269))/4*PARAMS_MODELO!$B$34,2)</f>
        <v>20</v>
      </c>
      <c r="J269">
        <v>0</v>
      </c>
      <c r="K269">
        <f>IF(J269=0,0,PARAMS_MODELO!$B$35)</f>
        <v>0</v>
      </c>
      <c r="L269">
        <f t="shared" si="13"/>
        <v>81</v>
      </c>
      <c r="M269" t="str">
        <f t="shared" si="14"/>
        <v>Muy Bueno</v>
      </c>
      <c r="N269">
        <f>IF(M269=PARAMS_MODELO!$A$36,PARAMS_MODELO!$B$36,IF(M269=PARAMS_MODELO!$A$37,PARAMS_MODELO!$B$37,IF(M269=PARAMS_MODELO!$A$38,PARAMS_MODELO!$B$38,IF(M269=PARAMS_MODELO!$A$39,PARAMS_MODELO!$B$39,IF(M269=PARAMS_MODELO!$A$40,PARAMS_MODELO!$B$40)))))</f>
        <v>1.1499999999999999</v>
      </c>
    </row>
    <row r="270" spans="1:14" x14ac:dyDescent="0.3">
      <c r="A270">
        <v>51030931</v>
      </c>
      <c r="B270">
        <v>30</v>
      </c>
      <c r="C270">
        <v>72</v>
      </c>
      <c r="D270">
        <f t="shared" si="12"/>
        <v>0.41666666666666669</v>
      </c>
      <c r="E270">
        <f>ROUND(MIN(5,MAX(0,D270))/5*PARAMS_MODELO!$B$32,2)</f>
        <v>3.33</v>
      </c>
      <c r="F270">
        <v>5</v>
      </c>
      <c r="G270">
        <f>MAX(0,PARAMS_MODELO!$B$33-VALUE(TRIM(F270))*3)</f>
        <v>15</v>
      </c>
      <c r="H270">
        <v>3</v>
      </c>
      <c r="I270">
        <f>ROUND(MIN(4,MAX(0,H270))/4*PARAMS_MODELO!$B$34,2)</f>
        <v>15</v>
      </c>
      <c r="J270">
        <v>0</v>
      </c>
      <c r="K270">
        <f>IF(J270=0,0,PARAMS_MODELO!$B$35)</f>
        <v>0</v>
      </c>
      <c r="L270">
        <f t="shared" si="13"/>
        <v>33.33</v>
      </c>
      <c r="M270" t="str">
        <f t="shared" si="14"/>
        <v>Malo</v>
      </c>
      <c r="N270">
        <f>IF(M270=PARAMS_MODELO!$A$36,PARAMS_MODELO!$B$36,IF(M270=PARAMS_MODELO!$A$37,PARAMS_MODELO!$B$37,IF(M270=PARAMS_MODELO!$A$38,PARAMS_MODELO!$B$38,IF(M270=PARAMS_MODELO!$A$39,PARAMS_MODELO!$B$39,IF(M270=PARAMS_MODELO!$A$40,PARAMS_MODELO!$B$40)))))</f>
        <v>0.7</v>
      </c>
    </row>
    <row r="271" spans="1:14" x14ac:dyDescent="0.3">
      <c r="A271">
        <v>51056027</v>
      </c>
      <c r="B271">
        <v>97</v>
      </c>
      <c r="C271">
        <v>43</v>
      </c>
      <c r="D271">
        <f t="shared" si="12"/>
        <v>2.2558139534883721</v>
      </c>
      <c r="E271">
        <f>ROUND(MIN(5,MAX(0,D271))/5*PARAMS_MODELO!$B$32,2)</f>
        <v>18.05</v>
      </c>
      <c r="F271">
        <v>4</v>
      </c>
      <c r="G271">
        <f>MAX(0,PARAMS_MODELO!$B$33-VALUE(TRIM(F271))*3)</f>
        <v>18</v>
      </c>
      <c r="H271">
        <v>3</v>
      </c>
      <c r="I271">
        <f>ROUND(MIN(4,MAX(0,H271))/4*PARAMS_MODELO!$B$34,2)</f>
        <v>15</v>
      </c>
      <c r="J271">
        <v>1</v>
      </c>
      <c r="K271">
        <f>IF(J271=0,0,PARAMS_MODELO!$B$35)</f>
        <v>10</v>
      </c>
      <c r="L271">
        <f t="shared" si="13"/>
        <v>61.05</v>
      </c>
      <c r="M271" t="str">
        <f t="shared" si="14"/>
        <v>Bueno</v>
      </c>
      <c r="N271">
        <f>IF(M271=PARAMS_MODELO!$A$36,PARAMS_MODELO!$B$36,IF(M271=PARAMS_MODELO!$A$37,PARAMS_MODELO!$B$37,IF(M271=PARAMS_MODELO!$A$38,PARAMS_MODELO!$B$38,IF(M271=PARAMS_MODELO!$A$39,PARAMS_MODELO!$B$39,IF(M271=PARAMS_MODELO!$A$40,PARAMS_MODELO!$B$40)))))</f>
        <v>1.1000000000000001</v>
      </c>
    </row>
    <row r="272" spans="1:14" x14ac:dyDescent="0.3">
      <c r="A272">
        <v>51054911</v>
      </c>
      <c r="B272">
        <v>94</v>
      </c>
      <c r="C272">
        <v>23</v>
      </c>
      <c r="D272">
        <f t="shared" si="12"/>
        <v>4.0869565217391308</v>
      </c>
      <c r="E272">
        <f>ROUND(MIN(5,MAX(0,D272))/5*PARAMS_MODELO!$B$32,2)</f>
        <v>32.700000000000003</v>
      </c>
      <c r="F272">
        <v>5</v>
      </c>
      <c r="G272">
        <f>MAX(0,PARAMS_MODELO!$B$33-VALUE(TRIM(F272))*3)</f>
        <v>15</v>
      </c>
      <c r="H272">
        <v>0</v>
      </c>
      <c r="I272">
        <f>ROUND(MIN(4,MAX(0,H272))/4*PARAMS_MODELO!$B$34,2)</f>
        <v>0</v>
      </c>
      <c r="J272">
        <v>1</v>
      </c>
      <c r="K272">
        <f>IF(J272=0,0,PARAMS_MODELO!$B$35)</f>
        <v>10</v>
      </c>
      <c r="L272">
        <f t="shared" si="13"/>
        <v>57.7</v>
      </c>
      <c r="M272" t="str">
        <f t="shared" si="14"/>
        <v>Regular</v>
      </c>
      <c r="N272">
        <f>IF(M272=PARAMS_MODELO!$A$36,PARAMS_MODELO!$B$36,IF(M272=PARAMS_MODELO!$A$37,PARAMS_MODELO!$B$37,IF(M272=PARAMS_MODELO!$A$38,PARAMS_MODELO!$B$38,IF(M272=PARAMS_MODELO!$A$39,PARAMS_MODELO!$B$39,IF(M272=PARAMS_MODELO!$A$40,PARAMS_MODELO!$B$40)))))</f>
        <v>1</v>
      </c>
    </row>
    <row r="273" spans="1:14" x14ac:dyDescent="0.3">
      <c r="A273">
        <v>51030605</v>
      </c>
      <c r="B273">
        <v>4</v>
      </c>
      <c r="C273">
        <v>55</v>
      </c>
      <c r="D273">
        <f t="shared" si="12"/>
        <v>7.2727272727272724E-2</v>
      </c>
      <c r="E273">
        <f>ROUND(MIN(5,MAX(0,D273))/5*PARAMS_MODELO!$B$32,2)</f>
        <v>0.57999999999999996</v>
      </c>
      <c r="F273">
        <v>5</v>
      </c>
      <c r="G273">
        <f>MAX(0,PARAMS_MODELO!$B$33-VALUE(TRIM(F273))*3)</f>
        <v>15</v>
      </c>
      <c r="H273">
        <v>3</v>
      </c>
      <c r="I273">
        <f>ROUND(MIN(4,MAX(0,H273))/4*PARAMS_MODELO!$B$34,2)</f>
        <v>15</v>
      </c>
      <c r="J273">
        <v>0</v>
      </c>
      <c r="K273">
        <f>IF(J273=0,0,PARAMS_MODELO!$B$35)</f>
        <v>0</v>
      </c>
      <c r="L273">
        <f t="shared" si="13"/>
        <v>30.58</v>
      </c>
      <c r="M273" t="str">
        <f t="shared" si="14"/>
        <v>Malo</v>
      </c>
      <c r="N273">
        <f>IF(M273=PARAMS_MODELO!$A$36,PARAMS_MODELO!$B$36,IF(M273=PARAMS_MODELO!$A$37,PARAMS_MODELO!$B$37,IF(M273=PARAMS_MODELO!$A$38,PARAMS_MODELO!$B$38,IF(M273=PARAMS_MODELO!$A$39,PARAMS_MODELO!$B$39,IF(M273=PARAMS_MODELO!$A$40,PARAMS_MODELO!$B$40)))))</f>
        <v>0.7</v>
      </c>
    </row>
    <row r="274" spans="1:14" x14ac:dyDescent="0.3">
      <c r="A274">
        <v>51044487</v>
      </c>
      <c r="B274">
        <v>42</v>
      </c>
      <c r="C274">
        <v>27</v>
      </c>
      <c r="D274">
        <f t="shared" si="12"/>
        <v>1.5555555555555556</v>
      </c>
      <c r="E274">
        <f>ROUND(MIN(5,MAX(0,D274))/5*PARAMS_MODELO!$B$32,2)</f>
        <v>12.44</v>
      </c>
      <c r="F274">
        <v>1</v>
      </c>
      <c r="G274">
        <f>MAX(0,PARAMS_MODELO!$B$33-VALUE(TRIM(F274))*3)</f>
        <v>27</v>
      </c>
      <c r="H274">
        <v>3</v>
      </c>
      <c r="I274">
        <f>ROUND(MIN(4,MAX(0,H274))/4*PARAMS_MODELO!$B$34,2)</f>
        <v>15</v>
      </c>
      <c r="J274">
        <v>0</v>
      </c>
      <c r="K274">
        <f>IF(J274=0,0,PARAMS_MODELO!$B$35)</f>
        <v>0</v>
      </c>
      <c r="L274">
        <f t="shared" si="13"/>
        <v>54.44</v>
      </c>
      <c r="M274" t="str">
        <f t="shared" si="14"/>
        <v>Regular</v>
      </c>
      <c r="N274">
        <f>IF(M274=PARAMS_MODELO!$A$36,PARAMS_MODELO!$B$36,IF(M274=PARAMS_MODELO!$A$37,PARAMS_MODELO!$B$37,IF(M274=PARAMS_MODELO!$A$38,PARAMS_MODELO!$B$38,IF(M274=PARAMS_MODELO!$A$39,PARAMS_MODELO!$B$39,IF(M274=PARAMS_MODELO!$A$40,PARAMS_MODELO!$B$40)))))</f>
        <v>1</v>
      </c>
    </row>
    <row r="275" spans="1:14" x14ac:dyDescent="0.3">
      <c r="A275">
        <v>51035674</v>
      </c>
      <c r="B275">
        <v>73</v>
      </c>
      <c r="C275">
        <v>1</v>
      </c>
      <c r="D275">
        <f t="shared" si="12"/>
        <v>5</v>
      </c>
      <c r="E275">
        <f>ROUND(MIN(5,MAX(0,D275))/5*PARAMS_MODELO!$B$32,2)</f>
        <v>40</v>
      </c>
      <c r="F275">
        <v>1</v>
      </c>
      <c r="G275">
        <f>MAX(0,PARAMS_MODELO!$B$33-VALUE(TRIM(F275))*3)</f>
        <v>27</v>
      </c>
      <c r="H275">
        <v>1</v>
      </c>
      <c r="I275">
        <f>ROUND(MIN(4,MAX(0,H275))/4*PARAMS_MODELO!$B$34,2)</f>
        <v>5</v>
      </c>
      <c r="J275">
        <v>1</v>
      </c>
      <c r="K275">
        <f>IF(J275=0,0,PARAMS_MODELO!$B$35)</f>
        <v>10</v>
      </c>
      <c r="L275">
        <f t="shared" si="13"/>
        <v>82</v>
      </c>
      <c r="M275" t="str">
        <f t="shared" si="14"/>
        <v>Muy Bueno</v>
      </c>
      <c r="N275">
        <f>IF(M275=PARAMS_MODELO!$A$36,PARAMS_MODELO!$B$36,IF(M275=PARAMS_MODELO!$A$37,PARAMS_MODELO!$B$37,IF(M275=PARAMS_MODELO!$A$38,PARAMS_MODELO!$B$38,IF(M275=PARAMS_MODELO!$A$39,PARAMS_MODELO!$B$39,IF(M275=PARAMS_MODELO!$A$40,PARAMS_MODELO!$B$40)))))</f>
        <v>1.1499999999999999</v>
      </c>
    </row>
    <row r="276" spans="1:14" x14ac:dyDescent="0.3">
      <c r="A276">
        <v>51055128</v>
      </c>
      <c r="B276">
        <v>80</v>
      </c>
      <c r="C276">
        <v>12</v>
      </c>
      <c r="D276">
        <f t="shared" si="12"/>
        <v>5</v>
      </c>
      <c r="E276">
        <f>ROUND(MIN(5,MAX(0,D276))/5*PARAMS_MODELO!$B$32,2)</f>
        <v>40</v>
      </c>
      <c r="F276">
        <v>5</v>
      </c>
      <c r="G276">
        <f>MAX(0,PARAMS_MODELO!$B$33-VALUE(TRIM(F276))*3)</f>
        <v>15</v>
      </c>
      <c r="H276">
        <v>4</v>
      </c>
      <c r="I276">
        <f>ROUND(MIN(4,MAX(0,H276))/4*PARAMS_MODELO!$B$34,2)</f>
        <v>20</v>
      </c>
      <c r="J276">
        <v>0</v>
      </c>
      <c r="K276">
        <f>IF(J276=0,0,PARAMS_MODELO!$B$35)</f>
        <v>0</v>
      </c>
      <c r="L276">
        <f t="shared" si="13"/>
        <v>75</v>
      </c>
      <c r="M276" t="str">
        <f t="shared" si="14"/>
        <v>Muy Bueno</v>
      </c>
      <c r="N276">
        <f>IF(M276=PARAMS_MODELO!$A$36,PARAMS_MODELO!$B$36,IF(M276=PARAMS_MODELO!$A$37,PARAMS_MODELO!$B$37,IF(M276=PARAMS_MODELO!$A$38,PARAMS_MODELO!$B$38,IF(M276=PARAMS_MODELO!$A$39,PARAMS_MODELO!$B$39,IF(M276=PARAMS_MODELO!$A$40,PARAMS_MODELO!$B$40)))))</f>
        <v>1.1499999999999999</v>
      </c>
    </row>
    <row r="277" spans="1:14" x14ac:dyDescent="0.3">
      <c r="A277">
        <v>51011546</v>
      </c>
      <c r="B277">
        <v>80</v>
      </c>
      <c r="C277">
        <v>5</v>
      </c>
      <c r="D277">
        <f t="shared" si="12"/>
        <v>5</v>
      </c>
      <c r="E277">
        <f>ROUND(MIN(5,MAX(0,D277))/5*PARAMS_MODELO!$B$32,2)</f>
        <v>40</v>
      </c>
      <c r="F277">
        <v>1</v>
      </c>
      <c r="G277">
        <f>MAX(0,PARAMS_MODELO!$B$33-VALUE(TRIM(F277))*3)</f>
        <v>27</v>
      </c>
      <c r="H277">
        <v>3</v>
      </c>
      <c r="I277">
        <f>ROUND(MIN(4,MAX(0,H277))/4*PARAMS_MODELO!$B$34,2)</f>
        <v>15</v>
      </c>
      <c r="J277">
        <v>1</v>
      </c>
      <c r="K277">
        <f>IF(J277=0,0,PARAMS_MODELO!$B$35)</f>
        <v>10</v>
      </c>
      <c r="L277">
        <f t="shared" si="13"/>
        <v>92</v>
      </c>
      <c r="M277" t="str">
        <f t="shared" si="14"/>
        <v>Excelente</v>
      </c>
      <c r="N277">
        <f>IF(M277=PARAMS_MODELO!$A$36,PARAMS_MODELO!$B$36,IF(M277=PARAMS_MODELO!$A$37,PARAMS_MODELO!$B$37,IF(M277=PARAMS_MODELO!$A$38,PARAMS_MODELO!$B$38,IF(M277=PARAMS_MODELO!$A$39,PARAMS_MODELO!$B$39,IF(M277=PARAMS_MODELO!$A$40,PARAMS_MODELO!$B$40)))))</f>
        <v>1.2</v>
      </c>
    </row>
    <row r="278" spans="1:14" x14ac:dyDescent="0.3">
      <c r="A278">
        <v>51031482</v>
      </c>
      <c r="B278">
        <v>67</v>
      </c>
      <c r="C278">
        <v>27</v>
      </c>
      <c r="D278">
        <f t="shared" si="12"/>
        <v>2.4814814814814814</v>
      </c>
      <c r="E278">
        <f>ROUND(MIN(5,MAX(0,D278))/5*PARAMS_MODELO!$B$32,2)</f>
        <v>19.850000000000001</v>
      </c>
      <c r="F278">
        <v>1</v>
      </c>
      <c r="G278">
        <f>MAX(0,PARAMS_MODELO!$B$33-VALUE(TRIM(F278))*3)</f>
        <v>27</v>
      </c>
      <c r="H278">
        <v>3</v>
      </c>
      <c r="I278">
        <f>ROUND(MIN(4,MAX(0,H278))/4*PARAMS_MODELO!$B$34,2)</f>
        <v>15</v>
      </c>
      <c r="J278">
        <v>1</v>
      </c>
      <c r="K278">
        <f>IF(J278=0,0,PARAMS_MODELO!$B$35)</f>
        <v>10</v>
      </c>
      <c r="L278">
        <f t="shared" si="13"/>
        <v>71.849999999999994</v>
      </c>
      <c r="M278" t="str">
        <f t="shared" si="14"/>
        <v>Bueno</v>
      </c>
      <c r="N278">
        <f>IF(M278=PARAMS_MODELO!$A$36,PARAMS_MODELO!$B$36,IF(M278=PARAMS_MODELO!$A$37,PARAMS_MODELO!$B$37,IF(M278=PARAMS_MODELO!$A$38,PARAMS_MODELO!$B$38,IF(M278=PARAMS_MODELO!$A$39,PARAMS_MODELO!$B$39,IF(M278=PARAMS_MODELO!$A$40,PARAMS_MODELO!$B$40)))))</f>
        <v>1.1000000000000001</v>
      </c>
    </row>
    <row r="279" spans="1:14" x14ac:dyDescent="0.3">
      <c r="A279">
        <v>51030109</v>
      </c>
      <c r="B279">
        <v>59</v>
      </c>
      <c r="C279">
        <v>39</v>
      </c>
      <c r="D279">
        <f t="shared" si="12"/>
        <v>1.5128205128205128</v>
      </c>
      <c r="E279">
        <f>ROUND(MIN(5,MAX(0,D279))/5*PARAMS_MODELO!$B$32,2)</f>
        <v>12.1</v>
      </c>
      <c r="F279">
        <v>1</v>
      </c>
      <c r="G279">
        <f>MAX(0,PARAMS_MODELO!$B$33-VALUE(TRIM(F279))*3)</f>
        <v>27</v>
      </c>
      <c r="H279">
        <v>2</v>
      </c>
      <c r="I279">
        <f>ROUND(MIN(4,MAX(0,H279))/4*PARAMS_MODELO!$B$34,2)</f>
        <v>10</v>
      </c>
      <c r="J279">
        <v>1</v>
      </c>
      <c r="K279">
        <f>IF(J279=0,0,PARAMS_MODELO!$B$35)</f>
        <v>10</v>
      </c>
      <c r="L279">
        <f t="shared" si="13"/>
        <v>59.1</v>
      </c>
      <c r="M279" t="str">
        <f t="shared" si="14"/>
        <v>Regular</v>
      </c>
      <c r="N279">
        <f>IF(M279=PARAMS_MODELO!$A$36,PARAMS_MODELO!$B$36,IF(M279=PARAMS_MODELO!$A$37,PARAMS_MODELO!$B$37,IF(M279=PARAMS_MODELO!$A$38,PARAMS_MODELO!$B$38,IF(M279=PARAMS_MODELO!$A$39,PARAMS_MODELO!$B$39,IF(M279=PARAMS_MODELO!$A$40,PARAMS_MODELO!$B$40)))))</f>
        <v>1</v>
      </c>
    </row>
    <row r="280" spans="1:14" x14ac:dyDescent="0.3">
      <c r="A280">
        <v>51022009</v>
      </c>
      <c r="B280">
        <v>98</v>
      </c>
      <c r="C280">
        <v>68</v>
      </c>
      <c r="D280">
        <f t="shared" si="12"/>
        <v>1.4411764705882353</v>
      </c>
      <c r="E280">
        <f>ROUND(MIN(5,MAX(0,D280))/5*PARAMS_MODELO!$B$32,2)</f>
        <v>11.53</v>
      </c>
      <c r="F280">
        <v>2</v>
      </c>
      <c r="G280">
        <f>MAX(0,PARAMS_MODELO!$B$33-VALUE(TRIM(F280))*3)</f>
        <v>24</v>
      </c>
      <c r="H280">
        <v>4</v>
      </c>
      <c r="I280">
        <f>ROUND(MIN(4,MAX(0,H280))/4*PARAMS_MODELO!$B$34,2)</f>
        <v>20</v>
      </c>
      <c r="J280">
        <v>0</v>
      </c>
      <c r="K280">
        <f>IF(J280=0,0,PARAMS_MODELO!$B$35)</f>
        <v>0</v>
      </c>
      <c r="L280">
        <f t="shared" si="13"/>
        <v>55.53</v>
      </c>
      <c r="M280" t="str">
        <f t="shared" si="14"/>
        <v>Regular</v>
      </c>
      <c r="N280">
        <f>IF(M280=PARAMS_MODELO!$A$36,PARAMS_MODELO!$B$36,IF(M280=PARAMS_MODELO!$A$37,PARAMS_MODELO!$B$37,IF(M280=PARAMS_MODELO!$A$38,PARAMS_MODELO!$B$38,IF(M280=PARAMS_MODELO!$A$39,PARAMS_MODELO!$B$39,IF(M280=PARAMS_MODELO!$A$40,PARAMS_MODELO!$B$40)))))</f>
        <v>1</v>
      </c>
    </row>
    <row r="281" spans="1:14" x14ac:dyDescent="0.3">
      <c r="A281">
        <v>51015932</v>
      </c>
      <c r="B281">
        <v>86</v>
      </c>
      <c r="C281">
        <v>34</v>
      </c>
      <c r="D281">
        <f t="shared" si="12"/>
        <v>2.5294117647058822</v>
      </c>
      <c r="E281">
        <f>ROUND(MIN(5,MAX(0,D281))/5*PARAMS_MODELO!$B$32,2)</f>
        <v>20.239999999999998</v>
      </c>
      <c r="F281">
        <v>2</v>
      </c>
      <c r="G281">
        <f>MAX(0,PARAMS_MODELO!$B$33-VALUE(TRIM(F281))*3)</f>
        <v>24</v>
      </c>
      <c r="H281">
        <v>0</v>
      </c>
      <c r="I281">
        <f>ROUND(MIN(4,MAX(0,H281))/4*PARAMS_MODELO!$B$34,2)</f>
        <v>0</v>
      </c>
      <c r="J281">
        <v>1</v>
      </c>
      <c r="K281">
        <f>IF(J281=0,0,PARAMS_MODELO!$B$35)</f>
        <v>10</v>
      </c>
      <c r="L281">
        <f t="shared" si="13"/>
        <v>54.239999999999995</v>
      </c>
      <c r="M281" t="str">
        <f t="shared" si="14"/>
        <v>Regular</v>
      </c>
      <c r="N281">
        <f>IF(M281=PARAMS_MODELO!$A$36,PARAMS_MODELO!$B$36,IF(M281=PARAMS_MODELO!$A$37,PARAMS_MODELO!$B$37,IF(M281=PARAMS_MODELO!$A$38,PARAMS_MODELO!$B$38,IF(M281=PARAMS_MODELO!$A$39,PARAMS_MODELO!$B$39,IF(M281=PARAMS_MODELO!$A$40,PARAMS_MODELO!$B$40)))))</f>
        <v>1</v>
      </c>
    </row>
    <row r="282" spans="1:14" x14ac:dyDescent="0.3">
      <c r="A282">
        <v>51030028</v>
      </c>
      <c r="B282">
        <v>2</v>
      </c>
      <c r="C282">
        <v>92</v>
      </c>
      <c r="D282">
        <f t="shared" si="12"/>
        <v>2.1739130434782608E-2</v>
      </c>
      <c r="E282">
        <f>ROUND(MIN(5,MAX(0,D282))/5*PARAMS_MODELO!$B$32,2)</f>
        <v>0.17</v>
      </c>
      <c r="F282">
        <v>5</v>
      </c>
      <c r="G282">
        <f>MAX(0,PARAMS_MODELO!$B$33-VALUE(TRIM(F282))*3)</f>
        <v>15</v>
      </c>
      <c r="H282">
        <v>1</v>
      </c>
      <c r="I282">
        <f>ROUND(MIN(4,MAX(0,H282))/4*PARAMS_MODELO!$B$34,2)</f>
        <v>5</v>
      </c>
      <c r="J282">
        <v>0</v>
      </c>
      <c r="K282">
        <f>IF(J282=0,0,PARAMS_MODELO!$B$35)</f>
        <v>0</v>
      </c>
      <c r="L282">
        <f t="shared" si="13"/>
        <v>20.170000000000002</v>
      </c>
      <c r="M282" t="str">
        <f t="shared" si="14"/>
        <v>Malo</v>
      </c>
      <c r="N282">
        <f>IF(M282=PARAMS_MODELO!$A$36,PARAMS_MODELO!$B$36,IF(M282=PARAMS_MODELO!$A$37,PARAMS_MODELO!$B$37,IF(M282=PARAMS_MODELO!$A$38,PARAMS_MODELO!$B$38,IF(M282=PARAMS_MODELO!$A$39,PARAMS_MODELO!$B$39,IF(M282=PARAMS_MODELO!$A$40,PARAMS_MODELO!$B$40)))))</f>
        <v>0.7</v>
      </c>
    </row>
    <row r="283" spans="1:14" x14ac:dyDescent="0.3">
      <c r="A283">
        <v>51030257</v>
      </c>
      <c r="B283">
        <v>30</v>
      </c>
      <c r="C283">
        <v>30</v>
      </c>
      <c r="D283">
        <f t="shared" si="12"/>
        <v>1</v>
      </c>
      <c r="E283">
        <f>ROUND(MIN(5,MAX(0,D283))/5*PARAMS_MODELO!$B$32,2)</f>
        <v>8</v>
      </c>
      <c r="F283">
        <v>0</v>
      </c>
      <c r="G283">
        <f>MAX(0,PARAMS_MODELO!$B$33-VALUE(TRIM(F283))*3)</f>
        <v>30</v>
      </c>
      <c r="H283">
        <v>1</v>
      </c>
      <c r="I283">
        <f>ROUND(MIN(4,MAX(0,H283))/4*PARAMS_MODELO!$B$34,2)</f>
        <v>5</v>
      </c>
      <c r="J283">
        <v>0</v>
      </c>
      <c r="K283">
        <f>IF(J283=0,0,PARAMS_MODELO!$B$35)</f>
        <v>0</v>
      </c>
      <c r="L283">
        <f t="shared" si="13"/>
        <v>43</v>
      </c>
      <c r="M283" t="str">
        <f t="shared" si="14"/>
        <v>Regular</v>
      </c>
      <c r="N283">
        <f>IF(M283=PARAMS_MODELO!$A$36,PARAMS_MODELO!$B$36,IF(M283=PARAMS_MODELO!$A$37,PARAMS_MODELO!$B$37,IF(M283=PARAMS_MODELO!$A$38,PARAMS_MODELO!$B$38,IF(M283=PARAMS_MODELO!$A$39,PARAMS_MODELO!$B$39,IF(M283=PARAMS_MODELO!$A$40,PARAMS_MODELO!$B$40)))))</f>
        <v>1</v>
      </c>
    </row>
    <row r="284" spans="1:14" x14ac:dyDescent="0.3">
      <c r="A284">
        <v>51055489</v>
      </c>
      <c r="B284">
        <v>89</v>
      </c>
      <c r="C284">
        <v>0</v>
      </c>
      <c r="D284">
        <f t="shared" si="12"/>
        <v>0</v>
      </c>
      <c r="E284">
        <f>ROUND(MIN(5,MAX(0,D284))/5*PARAMS_MODELO!$B$32,2)</f>
        <v>0</v>
      </c>
      <c r="F284">
        <v>5</v>
      </c>
      <c r="G284">
        <f>MAX(0,PARAMS_MODELO!$B$33-VALUE(TRIM(F284))*3)</f>
        <v>15</v>
      </c>
      <c r="H284">
        <v>0</v>
      </c>
      <c r="I284">
        <f>ROUND(MIN(4,MAX(0,H284))/4*PARAMS_MODELO!$B$34,2)</f>
        <v>0</v>
      </c>
      <c r="J284">
        <v>1</v>
      </c>
      <c r="K284">
        <f>IF(J284=0,0,PARAMS_MODELO!$B$35)</f>
        <v>10</v>
      </c>
      <c r="L284">
        <f t="shared" si="13"/>
        <v>25</v>
      </c>
      <c r="M284" t="str">
        <f t="shared" si="14"/>
        <v>Malo</v>
      </c>
      <c r="N284">
        <f>IF(M284=PARAMS_MODELO!$A$36,PARAMS_MODELO!$B$36,IF(M284=PARAMS_MODELO!$A$37,PARAMS_MODELO!$B$37,IF(M284=PARAMS_MODELO!$A$38,PARAMS_MODELO!$B$38,IF(M284=PARAMS_MODELO!$A$39,PARAMS_MODELO!$B$39,IF(M284=PARAMS_MODELO!$A$40,PARAMS_MODELO!$B$40)))))</f>
        <v>0.7</v>
      </c>
    </row>
    <row r="285" spans="1:14" x14ac:dyDescent="0.3">
      <c r="A285">
        <v>51019423</v>
      </c>
      <c r="B285">
        <v>5</v>
      </c>
      <c r="C285">
        <v>71</v>
      </c>
      <c r="D285">
        <f t="shared" si="12"/>
        <v>7.0422535211267609E-2</v>
      </c>
      <c r="E285">
        <f>ROUND(MIN(5,MAX(0,D285))/5*PARAMS_MODELO!$B$32,2)</f>
        <v>0.56000000000000005</v>
      </c>
      <c r="F285">
        <v>2</v>
      </c>
      <c r="G285">
        <f>MAX(0,PARAMS_MODELO!$B$33-VALUE(TRIM(F285))*3)</f>
        <v>24</v>
      </c>
      <c r="H285">
        <v>0</v>
      </c>
      <c r="I285">
        <f>ROUND(MIN(4,MAX(0,H285))/4*PARAMS_MODELO!$B$34,2)</f>
        <v>0</v>
      </c>
      <c r="J285">
        <v>1</v>
      </c>
      <c r="K285">
        <f>IF(J285=0,0,PARAMS_MODELO!$B$35)</f>
        <v>10</v>
      </c>
      <c r="L285">
        <f t="shared" si="13"/>
        <v>34.56</v>
      </c>
      <c r="M285" t="str">
        <f t="shared" si="14"/>
        <v>Malo</v>
      </c>
      <c r="N285">
        <f>IF(M285=PARAMS_MODELO!$A$36,PARAMS_MODELO!$B$36,IF(M285=PARAMS_MODELO!$A$37,PARAMS_MODELO!$B$37,IF(M285=PARAMS_MODELO!$A$38,PARAMS_MODELO!$B$38,IF(M285=PARAMS_MODELO!$A$39,PARAMS_MODELO!$B$39,IF(M285=PARAMS_MODELO!$A$40,PARAMS_MODELO!$B$40)))))</f>
        <v>0.7</v>
      </c>
    </row>
    <row r="286" spans="1:14" x14ac:dyDescent="0.3">
      <c r="A286">
        <v>51000811</v>
      </c>
      <c r="B286">
        <v>48</v>
      </c>
      <c r="C286">
        <v>78</v>
      </c>
      <c r="D286">
        <f t="shared" si="12"/>
        <v>0.61538461538461542</v>
      </c>
      <c r="E286">
        <f>ROUND(MIN(5,MAX(0,D286))/5*PARAMS_MODELO!$B$32,2)</f>
        <v>4.92</v>
      </c>
      <c r="F286">
        <v>2</v>
      </c>
      <c r="G286">
        <f>MAX(0,PARAMS_MODELO!$B$33-VALUE(TRIM(F286))*3)</f>
        <v>24</v>
      </c>
      <c r="H286">
        <v>4</v>
      </c>
      <c r="I286">
        <f>ROUND(MIN(4,MAX(0,H286))/4*PARAMS_MODELO!$B$34,2)</f>
        <v>20</v>
      </c>
      <c r="J286">
        <v>0</v>
      </c>
      <c r="K286">
        <f>IF(J286=0,0,PARAMS_MODELO!$B$35)</f>
        <v>0</v>
      </c>
      <c r="L286">
        <f t="shared" si="13"/>
        <v>48.92</v>
      </c>
      <c r="M286" t="str">
        <f t="shared" si="14"/>
        <v>Regular</v>
      </c>
      <c r="N286">
        <f>IF(M286=PARAMS_MODELO!$A$36,PARAMS_MODELO!$B$36,IF(M286=PARAMS_MODELO!$A$37,PARAMS_MODELO!$B$37,IF(M286=PARAMS_MODELO!$A$38,PARAMS_MODELO!$B$38,IF(M286=PARAMS_MODELO!$A$39,PARAMS_MODELO!$B$39,IF(M286=PARAMS_MODELO!$A$40,PARAMS_MODELO!$B$40)))))</f>
        <v>1</v>
      </c>
    </row>
    <row r="287" spans="1:14" x14ac:dyDescent="0.3">
      <c r="A287">
        <v>51057040</v>
      </c>
      <c r="B287">
        <v>48</v>
      </c>
      <c r="C287">
        <v>82</v>
      </c>
      <c r="D287">
        <f t="shared" si="12"/>
        <v>0.58536585365853655</v>
      </c>
      <c r="E287">
        <f>ROUND(MIN(5,MAX(0,D287))/5*PARAMS_MODELO!$B$32,2)</f>
        <v>4.68</v>
      </c>
      <c r="F287">
        <v>1</v>
      </c>
      <c r="G287">
        <f>MAX(0,PARAMS_MODELO!$B$33-VALUE(TRIM(F287))*3)</f>
        <v>27</v>
      </c>
      <c r="H287">
        <v>2</v>
      </c>
      <c r="I287">
        <f>ROUND(MIN(4,MAX(0,H287))/4*PARAMS_MODELO!$B$34,2)</f>
        <v>10</v>
      </c>
      <c r="J287">
        <v>0</v>
      </c>
      <c r="K287">
        <f>IF(J287=0,0,PARAMS_MODELO!$B$35)</f>
        <v>0</v>
      </c>
      <c r="L287">
        <f t="shared" si="13"/>
        <v>41.68</v>
      </c>
      <c r="M287" t="str">
        <f t="shared" si="14"/>
        <v>Regular</v>
      </c>
      <c r="N287">
        <f>IF(M287=PARAMS_MODELO!$A$36,PARAMS_MODELO!$B$36,IF(M287=PARAMS_MODELO!$A$37,PARAMS_MODELO!$B$37,IF(M287=PARAMS_MODELO!$A$38,PARAMS_MODELO!$B$38,IF(M287=PARAMS_MODELO!$A$39,PARAMS_MODELO!$B$39,IF(M287=PARAMS_MODELO!$A$40,PARAMS_MODELO!$B$40)))))</f>
        <v>1</v>
      </c>
    </row>
    <row r="288" spans="1:14" x14ac:dyDescent="0.3">
      <c r="A288">
        <v>51055101</v>
      </c>
      <c r="B288">
        <v>68</v>
      </c>
      <c r="C288">
        <v>7</v>
      </c>
      <c r="D288">
        <f t="shared" si="12"/>
        <v>5</v>
      </c>
      <c r="E288">
        <f>ROUND(MIN(5,MAX(0,D288))/5*PARAMS_MODELO!$B$32,2)</f>
        <v>40</v>
      </c>
      <c r="F288">
        <v>2</v>
      </c>
      <c r="G288">
        <f>MAX(0,PARAMS_MODELO!$B$33-VALUE(TRIM(F288))*3)</f>
        <v>24</v>
      </c>
      <c r="H288">
        <v>2</v>
      </c>
      <c r="I288">
        <f>ROUND(MIN(4,MAX(0,H288))/4*PARAMS_MODELO!$B$34,2)</f>
        <v>10</v>
      </c>
      <c r="J288">
        <v>0</v>
      </c>
      <c r="K288">
        <f>IF(J288=0,0,PARAMS_MODELO!$B$35)</f>
        <v>0</v>
      </c>
      <c r="L288">
        <f t="shared" si="13"/>
        <v>74</v>
      </c>
      <c r="M288" t="str">
        <f t="shared" si="14"/>
        <v>Bueno</v>
      </c>
      <c r="N288">
        <f>IF(M288=PARAMS_MODELO!$A$36,PARAMS_MODELO!$B$36,IF(M288=PARAMS_MODELO!$A$37,PARAMS_MODELO!$B$37,IF(M288=PARAMS_MODELO!$A$38,PARAMS_MODELO!$B$38,IF(M288=PARAMS_MODELO!$A$39,PARAMS_MODELO!$B$39,IF(M288=PARAMS_MODELO!$A$40,PARAMS_MODELO!$B$40)))))</f>
        <v>1.1000000000000001</v>
      </c>
    </row>
    <row r="289" spans="1:14" x14ac:dyDescent="0.3">
      <c r="A289">
        <v>51016386</v>
      </c>
      <c r="B289">
        <v>80</v>
      </c>
      <c r="C289">
        <v>93</v>
      </c>
      <c r="D289">
        <f t="shared" si="12"/>
        <v>0.86021505376344087</v>
      </c>
      <c r="E289">
        <f>ROUND(MIN(5,MAX(0,D289))/5*PARAMS_MODELO!$B$32,2)</f>
        <v>6.88</v>
      </c>
      <c r="F289">
        <v>1</v>
      </c>
      <c r="G289">
        <f>MAX(0,PARAMS_MODELO!$B$33-VALUE(TRIM(F289))*3)</f>
        <v>27</v>
      </c>
      <c r="H289">
        <v>0</v>
      </c>
      <c r="I289">
        <f>ROUND(MIN(4,MAX(0,H289))/4*PARAMS_MODELO!$B$34,2)</f>
        <v>0</v>
      </c>
      <c r="J289">
        <v>1</v>
      </c>
      <c r="K289">
        <f>IF(J289=0,0,PARAMS_MODELO!$B$35)</f>
        <v>10</v>
      </c>
      <c r="L289">
        <f t="shared" si="13"/>
        <v>43.88</v>
      </c>
      <c r="M289" t="str">
        <f t="shared" si="14"/>
        <v>Regular</v>
      </c>
      <c r="N289">
        <f>IF(M289=PARAMS_MODELO!$A$36,PARAMS_MODELO!$B$36,IF(M289=PARAMS_MODELO!$A$37,PARAMS_MODELO!$B$37,IF(M289=PARAMS_MODELO!$A$38,PARAMS_MODELO!$B$38,IF(M289=PARAMS_MODELO!$A$39,PARAMS_MODELO!$B$39,IF(M289=PARAMS_MODELO!$A$40,PARAMS_MODELO!$B$40)))))</f>
        <v>1</v>
      </c>
    </row>
    <row r="290" spans="1:14" x14ac:dyDescent="0.3">
      <c r="A290">
        <v>51003594</v>
      </c>
      <c r="B290">
        <v>75</v>
      </c>
      <c r="C290">
        <v>24</v>
      </c>
      <c r="D290">
        <f t="shared" si="12"/>
        <v>3.125</v>
      </c>
      <c r="E290">
        <f>ROUND(MIN(5,MAX(0,D290))/5*PARAMS_MODELO!$B$32,2)</f>
        <v>25</v>
      </c>
      <c r="F290">
        <v>4</v>
      </c>
      <c r="G290">
        <f>MAX(0,PARAMS_MODELO!$B$33-VALUE(TRIM(F290))*3)</f>
        <v>18</v>
      </c>
      <c r="H290">
        <v>4</v>
      </c>
      <c r="I290">
        <f>ROUND(MIN(4,MAX(0,H290))/4*PARAMS_MODELO!$B$34,2)</f>
        <v>20</v>
      </c>
      <c r="J290">
        <v>0</v>
      </c>
      <c r="K290">
        <f>IF(J290=0,0,PARAMS_MODELO!$B$35)</f>
        <v>0</v>
      </c>
      <c r="L290">
        <f t="shared" si="13"/>
        <v>63</v>
      </c>
      <c r="M290" t="str">
        <f t="shared" si="14"/>
        <v>Bueno</v>
      </c>
      <c r="N290">
        <f>IF(M290=PARAMS_MODELO!$A$36,PARAMS_MODELO!$B$36,IF(M290=PARAMS_MODELO!$A$37,PARAMS_MODELO!$B$37,IF(M290=PARAMS_MODELO!$A$38,PARAMS_MODELO!$B$38,IF(M290=PARAMS_MODELO!$A$39,PARAMS_MODELO!$B$39,IF(M290=PARAMS_MODELO!$A$40,PARAMS_MODELO!$B$40)))))</f>
        <v>1.1000000000000001</v>
      </c>
    </row>
    <row r="291" spans="1:14" x14ac:dyDescent="0.3">
      <c r="A291">
        <v>51030923</v>
      </c>
      <c r="B291">
        <v>98</v>
      </c>
      <c r="C291">
        <v>16</v>
      </c>
      <c r="D291">
        <f t="shared" si="12"/>
        <v>5</v>
      </c>
      <c r="E291">
        <f>ROUND(MIN(5,MAX(0,D291))/5*PARAMS_MODELO!$B$32,2)</f>
        <v>40</v>
      </c>
      <c r="F291">
        <v>4</v>
      </c>
      <c r="G291">
        <f>MAX(0,PARAMS_MODELO!$B$33-VALUE(TRIM(F291))*3)</f>
        <v>18</v>
      </c>
      <c r="H291">
        <v>1</v>
      </c>
      <c r="I291">
        <f>ROUND(MIN(4,MAX(0,H291))/4*PARAMS_MODELO!$B$34,2)</f>
        <v>5</v>
      </c>
      <c r="J291">
        <v>0</v>
      </c>
      <c r="K291">
        <f>IF(J291=0,0,PARAMS_MODELO!$B$35)</f>
        <v>0</v>
      </c>
      <c r="L291">
        <f t="shared" si="13"/>
        <v>63</v>
      </c>
      <c r="M291" t="str">
        <f t="shared" si="14"/>
        <v>Bueno</v>
      </c>
      <c r="N291">
        <f>IF(M291=PARAMS_MODELO!$A$36,PARAMS_MODELO!$B$36,IF(M291=PARAMS_MODELO!$A$37,PARAMS_MODELO!$B$37,IF(M291=PARAMS_MODELO!$A$38,PARAMS_MODELO!$B$38,IF(M291=PARAMS_MODELO!$A$39,PARAMS_MODELO!$B$39,IF(M291=PARAMS_MODELO!$A$40,PARAMS_MODELO!$B$40)))))</f>
        <v>1.1000000000000001</v>
      </c>
    </row>
    <row r="292" spans="1:14" x14ac:dyDescent="0.3">
      <c r="A292">
        <v>51043197</v>
      </c>
      <c r="B292">
        <v>18</v>
      </c>
      <c r="C292">
        <v>76</v>
      </c>
      <c r="D292">
        <f t="shared" si="12"/>
        <v>0.23684210526315788</v>
      </c>
      <c r="E292">
        <f>ROUND(MIN(5,MAX(0,D292))/5*PARAMS_MODELO!$B$32,2)</f>
        <v>1.89</v>
      </c>
      <c r="F292">
        <v>5</v>
      </c>
      <c r="G292">
        <f>MAX(0,PARAMS_MODELO!$B$33-VALUE(TRIM(F292))*3)</f>
        <v>15</v>
      </c>
      <c r="H292">
        <v>4</v>
      </c>
      <c r="I292">
        <f>ROUND(MIN(4,MAX(0,H292))/4*PARAMS_MODELO!$B$34,2)</f>
        <v>20</v>
      </c>
      <c r="J292">
        <v>1</v>
      </c>
      <c r="K292">
        <f>IF(J292=0,0,PARAMS_MODELO!$B$35)</f>
        <v>10</v>
      </c>
      <c r="L292">
        <f t="shared" si="13"/>
        <v>46.89</v>
      </c>
      <c r="M292" t="str">
        <f t="shared" si="14"/>
        <v>Regular</v>
      </c>
      <c r="N292">
        <f>IF(M292=PARAMS_MODELO!$A$36,PARAMS_MODELO!$B$36,IF(M292=PARAMS_MODELO!$A$37,PARAMS_MODELO!$B$37,IF(M292=PARAMS_MODELO!$A$38,PARAMS_MODELO!$B$38,IF(M292=PARAMS_MODELO!$A$39,PARAMS_MODELO!$B$39,IF(M292=PARAMS_MODELO!$A$40,PARAMS_MODELO!$B$40)))))</f>
        <v>1</v>
      </c>
    </row>
    <row r="293" spans="1:14" x14ac:dyDescent="0.3">
      <c r="A293">
        <v>51022823</v>
      </c>
      <c r="B293">
        <v>97</v>
      </c>
      <c r="C293">
        <v>58</v>
      </c>
      <c r="D293">
        <f t="shared" si="12"/>
        <v>1.6724137931034482</v>
      </c>
      <c r="E293">
        <f>ROUND(MIN(5,MAX(0,D293))/5*PARAMS_MODELO!$B$32,2)</f>
        <v>13.38</v>
      </c>
      <c r="F293">
        <v>1</v>
      </c>
      <c r="G293">
        <f>MAX(0,PARAMS_MODELO!$B$33-VALUE(TRIM(F293))*3)</f>
        <v>27</v>
      </c>
      <c r="H293">
        <v>1</v>
      </c>
      <c r="I293">
        <f>ROUND(MIN(4,MAX(0,H293))/4*PARAMS_MODELO!$B$34,2)</f>
        <v>5</v>
      </c>
      <c r="J293">
        <v>0</v>
      </c>
      <c r="K293">
        <f>IF(J293=0,0,PARAMS_MODELO!$B$35)</f>
        <v>0</v>
      </c>
      <c r="L293">
        <f t="shared" si="13"/>
        <v>45.38</v>
      </c>
      <c r="M293" t="str">
        <f t="shared" si="14"/>
        <v>Regular</v>
      </c>
      <c r="N293">
        <f>IF(M293=PARAMS_MODELO!$A$36,PARAMS_MODELO!$B$36,IF(M293=PARAMS_MODELO!$A$37,PARAMS_MODELO!$B$37,IF(M293=PARAMS_MODELO!$A$38,PARAMS_MODELO!$B$38,IF(M293=PARAMS_MODELO!$A$39,PARAMS_MODELO!$B$39,IF(M293=PARAMS_MODELO!$A$40,PARAMS_MODELO!$B$40)))))</f>
        <v>1</v>
      </c>
    </row>
    <row r="294" spans="1:14" x14ac:dyDescent="0.3">
      <c r="A294">
        <v>51056060</v>
      </c>
      <c r="B294">
        <v>10</v>
      </c>
      <c r="C294">
        <v>89</v>
      </c>
      <c r="D294">
        <f t="shared" si="12"/>
        <v>0.11235955056179775</v>
      </c>
      <c r="E294">
        <f>ROUND(MIN(5,MAX(0,D294))/5*PARAMS_MODELO!$B$32,2)</f>
        <v>0.9</v>
      </c>
      <c r="F294">
        <v>3</v>
      </c>
      <c r="G294">
        <f>MAX(0,PARAMS_MODELO!$B$33-VALUE(TRIM(F294))*3)</f>
        <v>21</v>
      </c>
      <c r="H294">
        <v>3</v>
      </c>
      <c r="I294">
        <f>ROUND(MIN(4,MAX(0,H294))/4*PARAMS_MODELO!$B$34,2)</f>
        <v>15</v>
      </c>
      <c r="J294">
        <v>1</v>
      </c>
      <c r="K294">
        <f>IF(J294=0,0,PARAMS_MODELO!$B$35)</f>
        <v>10</v>
      </c>
      <c r="L294">
        <f t="shared" si="13"/>
        <v>46.9</v>
      </c>
      <c r="M294" t="str">
        <f t="shared" si="14"/>
        <v>Regular</v>
      </c>
      <c r="N294">
        <f>IF(M294=PARAMS_MODELO!$A$36,PARAMS_MODELO!$B$36,IF(M294=PARAMS_MODELO!$A$37,PARAMS_MODELO!$B$37,IF(M294=PARAMS_MODELO!$A$38,PARAMS_MODELO!$B$38,IF(M294=PARAMS_MODELO!$A$39,PARAMS_MODELO!$B$39,IF(M294=PARAMS_MODELO!$A$40,PARAMS_MODELO!$B$40)))))</f>
        <v>1</v>
      </c>
    </row>
    <row r="295" spans="1:14" x14ac:dyDescent="0.3">
      <c r="A295">
        <v>51024419</v>
      </c>
      <c r="B295">
        <v>10</v>
      </c>
      <c r="C295">
        <v>72</v>
      </c>
      <c r="D295">
        <f t="shared" si="12"/>
        <v>0.1388888888888889</v>
      </c>
      <c r="E295">
        <f>ROUND(MIN(5,MAX(0,D295))/5*PARAMS_MODELO!$B$32,2)</f>
        <v>1.1100000000000001</v>
      </c>
      <c r="F295">
        <v>1</v>
      </c>
      <c r="G295">
        <f>MAX(0,PARAMS_MODELO!$B$33-VALUE(TRIM(F295))*3)</f>
        <v>27</v>
      </c>
      <c r="H295">
        <v>0</v>
      </c>
      <c r="I295">
        <f>ROUND(MIN(4,MAX(0,H295))/4*PARAMS_MODELO!$B$34,2)</f>
        <v>0</v>
      </c>
      <c r="J295">
        <v>0</v>
      </c>
      <c r="K295">
        <f>IF(J295=0,0,PARAMS_MODELO!$B$35)</f>
        <v>0</v>
      </c>
      <c r="L295">
        <f t="shared" si="13"/>
        <v>28.11</v>
      </c>
      <c r="M295" t="str">
        <f t="shared" si="14"/>
        <v>Malo</v>
      </c>
      <c r="N295">
        <f>IF(M295=PARAMS_MODELO!$A$36,PARAMS_MODELO!$B$36,IF(M295=PARAMS_MODELO!$A$37,PARAMS_MODELO!$B$37,IF(M295=PARAMS_MODELO!$A$38,PARAMS_MODELO!$B$38,IF(M295=PARAMS_MODELO!$A$39,PARAMS_MODELO!$B$39,IF(M295=PARAMS_MODELO!$A$40,PARAMS_MODELO!$B$40)))))</f>
        <v>0.7</v>
      </c>
    </row>
    <row r="296" spans="1:14" x14ac:dyDescent="0.3">
      <c r="A296">
        <v>51025326</v>
      </c>
      <c r="B296">
        <v>28</v>
      </c>
      <c r="C296">
        <v>90</v>
      </c>
      <c r="D296">
        <f t="shared" si="12"/>
        <v>0.31111111111111112</v>
      </c>
      <c r="E296">
        <f>ROUND(MIN(5,MAX(0,D296))/5*PARAMS_MODELO!$B$32,2)</f>
        <v>2.4900000000000002</v>
      </c>
      <c r="F296">
        <v>0</v>
      </c>
      <c r="G296">
        <f>MAX(0,PARAMS_MODELO!$B$33-VALUE(TRIM(F296))*3)</f>
        <v>30</v>
      </c>
      <c r="H296">
        <v>4</v>
      </c>
      <c r="I296">
        <f>ROUND(MIN(4,MAX(0,H296))/4*PARAMS_MODELO!$B$34,2)</f>
        <v>20</v>
      </c>
      <c r="J296">
        <v>1</v>
      </c>
      <c r="K296">
        <f>IF(J296=0,0,PARAMS_MODELO!$B$35)</f>
        <v>10</v>
      </c>
      <c r="L296">
        <f t="shared" si="13"/>
        <v>62.49</v>
      </c>
      <c r="M296" t="str">
        <f t="shared" si="14"/>
        <v>Bueno</v>
      </c>
      <c r="N296">
        <f>IF(M296=PARAMS_MODELO!$A$36,PARAMS_MODELO!$B$36,IF(M296=PARAMS_MODELO!$A$37,PARAMS_MODELO!$B$37,IF(M296=PARAMS_MODELO!$A$38,PARAMS_MODELO!$B$38,IF(M296=PARAMS_MODELO!$A$39,PARAMS_MODELO!$B$39,IF(M296=PARAMS_MODELO!$A$40,PARAMS_MODELO!$B$40)))))</f>
        <v>1.1000000000000001</v>
      </c>
    </row>
    <row r="297" spans="1:14" x14ac:dyDescent="0.3">
      <c r="A297">
        <v>51020014</v>
      </c>
      <c r="B297">
        <v>29</v>
      </c>
      <c r="C297">
        <v>89</v>
      </c>
      <c r="D297">
        <f t="shared" si="12"/>
        <v>0.3258426966292135</v>
      </c>
      <c r="E297">
        <f>ROUND(MIN(5,MAX(0,D297))/5*PARAMS_MODELO!$B$32,2)</f>
        <v>2.61</v>
      </c>
      <c r="F297">
        <v>0</v>
      </c>
      <c r="G297">
        <f>MAX(0,PARAMS_MODELO!$B$33-VALUE(TRIM(F297))*3)</f>
        <v>30</v>
      </c>
      <c r="H297">
        <v>0</v>
      </c>
      <c r="I297">
        <f>ROUND(MIN(4,MAX(0,H297))/4*PARAMS_MODELO!$B$34,2)</f>
        <v>0</v>
      </c>
      <c r="J297">
        <v>1</v>
      </c>
      <c r="K297">
        <f>IF(J297=0,0,PARAMS_MODELO!$B$35)</f>
        <v>10</v>
      </c>
      <c r="L297">
        <f t="shared" si="13"/>
        <v>42.61</v>
      </c>
      <c r="M297" t="str">
        <f t="shared" si="14"/>
        <v>Regular</v>
      </c>
      <c r="N297">
        <f>IF(M297=PARAMS_MODELO!$A$36,PARAMS_MODELO!$B$36,IF(M297=PARAMS_MODELO!$A$37,PARAMS_MODELO!$B$37,IF(M297=PARAMS_MODELO!$A$38,PARAMS_MODELO!$B$38,IF(M297=PARAMS_MODELO!$A$39,PARAMS_MODELO!$B$39,IF(M297=PARAMS_MODELO!$A$40,PARAMS_MODELO!$B$40)))))</f>
        <v>1</v>
      </c>
    </row>
    <row r="298" spans="1:14" x14ac:dyDescent="0.3">
      <c r="A298">
        <v>51055951</v>
      </c>
      <c r="B298">
        <v>75</v>
      </c>
      <c r="C298">
        <v>81</v>
      </c>
      <c r="D298">
        <f t="shared" si="12"/>
        <v>0.92592592592592593</v>
      </c>
      <c r="E298">
        <f>ROUND(MIN(5,MAX(0,D298))/5*PARAMS_MODELO!$B$32,2)</f>
        <v>7.41</v>
      </c>
      <c r="F298">
        <v>5</v>
      </c>
      <c r="G298">
        <f>MAX(0,PARAMS_MODELO!$B$33-VALUE(TRIM(F298))*3)</f>
        <v>15</v>
      </c>
      <c r="H298">
        <v>0</v>
      </c>
      <c r="I298">
        <f>ROUND(MIN(4,MAX(0,H298))/4*PARAMS_MODELO!$B$34,2)</f>
        <v>0</v>
      </c>
      <c r="J298">
        <v>1</v>
      </c>
      <c r="K298">
        <f>IF(J298=0,0,PARAMS_MODELO!$B$35)</f>
        <v>10</v>
      </c>
      <c r="L298">
        <f t="shared" si="13"/>
        <v>32.409999999999997</v>
      </c>
      <c r="M298" t="str">
        <f t="shared" si="14"/>
        <v>Malo</v>
      </c>
      <c r="N298">
        <f>IF(M298=PARAMS_MODELO!$A$36,PARAMS_MODELO!$B$36,IF(M298=PARAMS_MODELO!$A$37,PARAMS_MODELO!$B$37,IF(M298=PARAMS_MODELO!$A$38,PARAMS_MODELO!$B$38,IF(M298=PARAMS_MODELO!$A$39,PARAMS_MODELO!$B$39,IF(M298=PARAMS_MODELO!$A$40,PARAMS_MODELO!$B$40)))))</f>
        <v>0.7</v>
      </c>
    </row>
    <row r="299" spans="1:14" x14ac:dyDescent="0.3">
      <c r="A299">
        <v>51016882</v>
      </c>
      <c r="B299">
        <v>66</v>
      </c>
      <c r="C299">
        <v>68</v>
      </c>
      <c r="D299">
        <f t="shared" si="12"/>
        <v>0.97058823529411764</v>
      </c>
      <c r="E299">
        <f>ROUND(MIN(5,MAX(0,D299))/5*PARAMS_MODELO!$B$32,2)</f>
        <v>7.76</v>
      </c>
      <c r="F299">
        <v>0</v>
      </c>
      <c r="G299">
        <f>MAX(0,PARAMS_MODELO!$B$33-VALUE(TRIM(F299))*3)</f>
        <v>30</v>
      </c>
      <c r="H299">
        <v>0</v>
      </c>
      <c r="I299">
        <f>ROUND(MIN(4,MAX(0,H299))/4*PARAMS_MODELO!$B$34,2)</f>
        <v>0</v>
      </c>
      <c r="J299">
        <v>0</v>
      </c>
      <c r="K299">
        <f>IF(J299=0,0,PARAMS_MODELO!$B$35)</f>
        <v>0</v>
      </c>
      <c r="L299">
        <f t="shared" si="13"/>
        <v>37.76</v>
      </c>
      <c r="M299" t="str">
        <f t="shared" si="14"/>
        <v>Malo</v>
      </c>
      <c r="N299">
        <f>IF(M299=PARAMS_MODELO!$A$36,PARAMS_MODELO!$B$36,IF(M299=PARAMS_MODELO!$A$37,PARAMS_MODELO!$B$37,IF(M299=PARAMS_MODELO!$A$38,PARAMS_MODELO!$B$38,IF(M299=PARAMS_MODELO!$A$39,PARAMS_MODELO!$B$39,IF(M299=PARAMS_MODELO!$A$40,PARAMS_MODELO!$B$40)))))</f>
        <v>0.7</v>
      </c>
    </row>
    <row r="300" spans="1:14" x14ac:dyDescent="0.3">
      <c r="A300">
        <v>51043405</v>
      </c>
      <c r="B300">
        <v>13</v>
      </c>
      <c r="C300">
        <v>4</v>
      </c>
      <c r="D300">
        <f t="shared" si="12"/>
        <v>3.25</v>
      </c>
      <c r="E300">
        <f>ROUND(MIN(5,MAX(0,D300))/5*PARAMS_MODELO!$B$32,2)</f>
        <v>26</v>
      </c>
      <c r="F300">
        <v>2</v>
      </c>
      <c r="G300">
        <f>MAX(0,PARAMS_MODELO!$B$33-VALUE(TRIM(F300))*3)</f>
        <v>24</v>
      </c>
      <c r="H300">
        <v>1</v>
      </c>
      <c r="I300">
        <f>ROUND(MIN(4,MAX(0,H300))/4*PARAMS_MODELO!$B$34,2)</f>
        <v>5</v>
      </c>
      <c r="J300">
        <v>1</v>
      </c>
      <c r="K300">
        <f>IF(J300=0,0,PARAMS_MODELO!$B$35)</f>
        <v>10</v>
      </c>
      <c r="L300">
        <f t="shared" si="13"/>
        <v>65</v>
      </c>
      <c r="M300" t="str">
        <f t="shared" si="14"/>
        <v>Bueno</v>
      </c>
      <c r="N300">
        <f>IF(M300=PARAMS_MODELO!$A$36,PARAMS_MODELO!$B$36,IF(M300=PARAMS_MODELO!$A$37,PARAMS_MODELO!$B$37,IF(M300=PARAMS_MODELO!$A$38,PARAMS_MODELO!$B$38,IF(M300=PARAMS_MODELO!$A$39,PARAMS_MODELO!$B$39,IF(M300=PARAMS_MODELO!$A$40,PARAMS_MODELO!$B$40)))))</f>
        <v>1.1000000000000001</v>
      </c>
    </row>
    <row r="301" spans="1:14" x14ac:dyDescent="0.3">
      <c r="A301">
        <v>51008987</v>
      </c>
      <c r="B301">
        <v>12</v>
      </c>
      <c r="C301">
        <v>20</v>
      </c>
      <c r="D301">
        <f t="shared" si="12"/>
        <v>0.6</v>
      </c>
      <c r="E301">
        <f>ROUND(MIN(5,MAX(0,D301))/5*PARAMS_MODELO!$B$32,2)</f>
        <v>4.8</v>
      </c>
      <c r="F301">
        <v>0</v>
      </c>
      <c r="G301">
        <f>MAX(0,PARAMS_MODELO!$B$33-VALUE(TRIM(F301))*3)</f>
        <v>30</v>
      </c>
      <c r="H301">
        <v>2</v>
      </c>
      <c r="I301">
        <f>ROUND(MIN(4,MAX(0,H301))/4*PARAMS_MODELO!$B$34,2)</f>
        <v>10</v>
      </c>
      <c r="J301">
        <v>1</v>
      </c>
      <c r="K301">
        <f>IF(J301=0,0,PARAMS_MODELO!$B$35)</f>
        <v>10</v>
      </c>
      <c r="L301">
        <f t="shared" si="13"/>
        <v>54.8</v>
      </c>
      <c r="M301" t="str">
        <f t="shared" si="14"/>
        <v>Regular</v>
      </c>
      <c r="N301">
        <f>IF(M301=PARAMS_MODELO!$A$36,PARAMS_MODELO!$B$36,IF(M301=PARAMS_MODELO!$A$37,PARAMS_MODELO!$B$37,IF(M301=PARAMS_MODELO!$A$38,PARAMS_MODELO!$B$38,IF(M301=PARAMS_MODELO!$A$39,PARAMS_MODELO!$B$39,IF(M301=PARAMS_MODELO!$A$40,PARAMS_MODELO!$B$40)))))</f>
        <v>1</v>
      </c>
    </row>
    <row r="302" spans="1:14" x14ac:dyDescent="0.3">
      <c r="A302">
        <v>51021088</v>
      </c>
      <c r="B302">
        <v>81</v>
      </c>
      <c r="C302">
        <v>12</v>
      </c>
      <c r="D302">
        <f t="shared" si="12"/>
        <v>5</v>
      </c>
      <c r="E302">
        <f>ROUND(MIN(5,MAX(0,D302))/5*PARAMS_MODELO!$B$32,2)</f>
        <v>40</v>
      </c>
      <c r="F302">
        <v>1</v>
      </c>
      <c r="G302">
        <f>MAX(0,PARAMS_MODELO!$B$33-VALUE(TRIM(F302))*3)</f>
        <v>27</v>
      </c>
      <c r="H302">
        <v>2</v>
      </c>
      <c r="I302">
        <f>ROUND(MIN(4,MAX(0,H302))/4*PARAMS_MODELO!$B$34,2)</f>
        <v>10</v>
      </c>
      <c r="J302">
        <v>1</v>
      </c>
      <c r="K302">
        <f>IF(J302=0,0,PARAMS_MODELO!$B$35)</f>
        <v>10</v>
      </c>
      <c r="L302">
        <f t="shared" si="13"/>
        <v>87</v>
      </c>
      <c r="M302" t="str">
        <f t="shared" si="14"/>
        <v>Muy Bueno</v>
      </c>
      <c r="N302">
        <f>IF(M302=PARAMS_MODELO!$A$36,PARAMS_MODELO!$B$36,IF(M302=PARAMS_MODELO!$A$37,PARAMS_MODELO!$B$37,IF(M302=PARAMS_MODELO!$A$38,PARAMS_MODELO!$B$38,IF(M302=PARAMS_MODELO!$A$39,PARAMS_MODELO!$B$39,IF(M302=PARAMS_MODELO!$A$40,PARAMS_MODELO!$B$40)))))</f>
        <v>1.1499999999999999</v>
      </c>
    </row>
    <row r="303" spans="1:14" x14ac:dyDescent="0.3">
      <c r="A303">
        <v>51001702</v>
      </c>
      <c r="B303">
        <v>70</v>
      </c>
      <c r="C303">
        <v>40</v>
      </c>
      <c r="D303">
        <f t="shared" si="12"/>
        <v>1.75</v>
      </c>
      <c r="E303">
        <f>ROUND(MIN(5,MAX(0,D303))/5*PARAMS_MODELO!$B$32,2)</f>
        <v>14</v>
      </c>
      <c r="F303">
        <v>3</v>
      </c>
      <c r="G303">
        <f>MAX(0,PARAMS_MODELO!$B$33-VALUE(TRIM(F303))*3)</f>
        <v>21</v>
      </c>
      <c r="H303">
        <v>4</v>
      </c>
      <c r="I303">
        <f>ROUND(MIN(4,MAX(0,H303))/4*PARAMS_MODELO!$B$34,2)</f>
        <v>20</v>
      </c>
      <c r="J303">
        <v>0</v>
      </c>
      <c r="K303">
        <f>IF(J303=0,0,PARAMS_MODELO!$B$35)</f>
        <v>0</v>
      </c>
      <c r="L303">
        <f t="shared" si="13"/>
        <v>55</v>
      </c>
      <c r="M303" t="str">
        <f t="shared" si="14"/>
        <v>Regular</v>
      </c>
      <c r="N303">
        <f>IF(M303=PARAMS_MODELO!$A$36,PARAMS_MODELO!$B$36,IF(M303=PARAMS_MODELO!$A$37,PARAMS_MODELO!$B$37,IF(M303=PARAMS_MODELO!$A$38,PARAMS_MODELO!$B$38,IF(M303=PARAMS_MODELO!$A$39,PARAMS_MODELO!$B$39,IF(M303=PARAMS_MODELO!$A$40,PARAMS_MODELO!$B$40)))))</f>
        <v>1</v>
      </c>
    </row>
    <row r="304" spans="1:14" x14ac:dyDescent="0.3">
      <c r="A304">
        <v>51003730</v>
      </c>
      <c r="B304">
        <v>94</v>
      </c>
      <c r="C304">
        <v>71</v>
      </c>
      <c r="D304">
        <f t="shared" si="12"/>
        <v>1.323943661971831</v>
      </c>
      <c r="E304">
        <f>ROUND(MIN(5,MAX(0,D304))/5*PARAMS_MODELO!$B$32,2)</f>
        <v>10.59</v>
      </c>
      <c r="F304">
        <v>5</v>
      </c>
      <c r="G304">
        <f>MAX(0,PARAMS_MODELO!$B$33-VALUE(TRIM(F304))*3)</f>
        <v>15</v>
      </c>
      <c r="H304">
        <v>1</v>
      </c>
      <c r="I304">
        <f>ROUND(MIN(4,MAX(0,H304))/4*PARAMS_MODELO!$B$34,2)</f>
        <v>5</v>
      </c>
      <c r="J304">
        <v>1</v>
      </c>
      <c r="K304">
        <f>IF(J304=0,0,PARAMS_MODELO!$B$35)</f>
        <v>10</v>
      </c>
      <c r="L304">
        <f t="shared" si="13"/>
        <v>40.590000000000003</v>
      </c>
      <c r="M304" t="str">
        <f t="shared" si="14"/>
        <v>Regular</v>
      </c>
      <c r="N304">
        <f>IF(M304=PARAMS_MODELO!$A$36,PARAMS_MODELO!$B$36,IF(M304=PARAMS_MODELO!$A$37,PARAMS_MODELO!$B$37,IF(M304=PARAMS_MODELO!$A$38,PARAMS_MODELO!$B$38,IF(M304=PARAMS_MODELO!$A$39,PARAMS_MODELO!$B$39,IF(M304=PARAMS_MODELO!$A$40,PARAMS_MODELO!$B$40)))))</f>
        <v>1</v>
      </c>
    </row>
    <row r="305" spans="1:14" x14ac:dyDescent="0.3">
      <c r="A305">
        <v>51012348</v>
      </c>
      <c r="B305">
        <v>10</v>
      </c>
      <c r="C305">
        <v>69</v>
      </c>
      <c r="D305">
        <f t="shared" si="12"/>
        <v>0.14492753623188406</v>
      </c>
      <c r="E305">
        <f>ROUND(MIN(5,MAX(0,D305))/5*PARAMS_MODELO!$B$32,2)</f>
        <v>1.1599999999999999</v>
      </c>
      <c r="F305">
        <v>1</v>
      </c>
      <c r="G305">
        <f>MAX(0,PARAMS_MODELO!$B$33-VALUE(TRIM(F305))*3)</f>
        <v>27</v>
      </c>
      <c r="H305">
        <v>4</v>
      </c>
      <c r="I305">
        <f>ROUND(MIN(4,MAX(0,H305))/4*PARAMS_MODELO!$B$34,2)</f>
        <v>20</v>
      </c>
      <c r="J305">
        <v>1</v>
      </c>
      <c r="K305">
        <f>IF(J305=0,0,PARAMS_MODELO!$B$35)</f>
        <v>10</v>
      </c>
      <c r="L305">
        <f t="shared" si="13"/>
        <v>58.16</v>
      </c>
      <c r="M305" t="str">
        <f t="shared" si="14"/>
        <v>Regular</v>
      </c>
      <c r="N305">
        <f>IF(M305=PARAMS_MODELO!$A$36,PARAMS_MODELO!$B$36,IF(M305=PARAMS_MODELO!$A$37,PARAMS_MODELO!$B$37,IF(M305=PARAMS_MODELO!$A$38,PARAMS_MODELO!$B$38,IF(M305=PARAMS_MODELO!$A$39,PARAMS_MODELO!$B$39,IF(M305=PARAMS_MODELO!$A$40,PARAMS_MODELO!$B$40)))))</f>
        <v>1</v>
      </c>
    </row>
    <row r="306" spans="1:14" x14ac:dyDescent="0.3">
      <c r="A306">
        <v>51031563</v>
      </c>
      <c r="B306">
        <v>34</v>
      </c>
      <c r="C306">
        <v>21</v>
      </c>
      <c r="D306">
        <f t="shared" si="12"/>
        <v>1.6190476190476191</v>
      </c>
      <c r="E306">
        <f>ROUND(MIN(5,MAX(0,D306))/5*PARAMS_MODELO!$B$32,2)</f>
        <v>12.95</v>
      </c>
      <c r="F306">
        <v>1</v>
      </c>
      <c r="G306">
        <f>MAX(0,PARAMS_MODELO!$B$33-VALUE(TRIM(F306))*3)</f>
        <v>27</v>
      </c>
      <c r="H306">
        <v>1</v>
      </c>
      <c r="I306">
        <f>ROUND(MIN(4,MAX(0,H306))/4*PARAMS_MODELO!$B$34,2)</f>
        <v>5</v>
      </c>
      <c r="J306">
        <v>1</v>
      </c>
      <c r="K306">
        <f>IF(J306=0,0,PARAMS_MODELO!$B$35)</f>
        <v>10</v>
      </c>
      <c r="L306">
        <f t="shared" si="13"/>
        <v>54.95</v>
      </c>
      <c r="M306" t="str">
        <f t="shared" si="14"/>
        <v>Regular</v>
      </c>
      <c r="N306">
        <f>IF(M306=PARAMS_MODELO!$A$36,PARAMS_MODELO!$B$36,IF(M306=PARAMS_MODELO!$A$37,PARAMS_MODELO!$B$37,IF(M306=PARAMS_MODELO!$A$38,PARAMS_MODELO!$B$38,IF(M306=PARAMS_MODELO!$A$39,PARAMS_MODELO!$B$39,IF(M306=PARAMS_MODELO!$A$40,PARAMS_MODELO!$B$40)))))</f>
        <v>1</v>
      </c>
    </row>
    <row r="307" spans="1:14" x14ac:dyDescent="0.3">
      <c r="A307">
        <v>51055080</v>
      </c>
      <c r="B307">
        <v>74</v>
      </c>
      <c r="C307">
        <v>1</v>
      </c>
      <c r="D307">
        <f t="shared" si="12"/>
        <v>5</v>
      </c>
      <c r="E307">
        <f>ROUND(MIN(5,MAX(0,D307))/5*PARAMS_MODELO!$B$32,2)</f>
        <v>40</v>
      </c>
      <c r="F307">
        <v>3</v>
      </c>
      <c r="G307">
        <f>MAX(0,PARAMS_MODELO!$B$33-VALUE(TRIM(F307))*3)</f>
        <v>21</v>
      </c>
      <c r="H307">
        <v>2</v>
      </c>
      <c r="I307">
        <f>ROUND(MIN(4,MAX(0,H307))/4*PARAMS_MODELO!$B$34,2)</f>
        <v>10</v>
      </c>
      <c r="J307">
        <v>0</v>
      </c>
      <c r="K307">
        <f>IF(J307=0,0,PARAMS_MODELO!$B$35)</f>
        <v>0</v>
      </c>
      <c r="L307">
        <f t="shared" si="13"/>
        <v>71</v>
      </c>
      <c r="M307" t="str">
        <f t="shared" si="14"/>
        <v>Bueno</v>
      </c>
      <c r="N307">
        <f>IF(M307=PARAMS_MODELO!$A$36,PARAMS_MODELO!$B$36,IF(M307=PARAMS_MODELO!$A$37,PARAMS_MODELO!$B$37,IF(M307=PARAMS_MODELO!$A$38,PARAMS_MODELO!$B$38,IF(M307=PARAMS_MODELO!$A$39,PARAMS_MODELO!$B$39,IF(M307=PARAMS_MODELO!$A$40,PARAMS_MODELO!$B$40)))))</f>
        <v>1.1000000000000001</v>
      </c>
    </row>
    <row r="308" spans="1:14" x14ac:dyDescent="0.3">
      <c r="A308">
        <v>51018672</v>
      </c>
      <c r="B308">
        <v>7</v>
      </c>
      <c r="C308">
        <v>48</v>
      </c>
      <c r="D308">
        <f t="shared" si="12"/>
        <v>0.14583333333333334</v>
      </c>
      <c r="E308">
        <f>ROUND(MIN(5,MAX(0,D308))/5*PARAMS_MODELO!$B$32,2)</f>
        <v>1.17</v>
      </c>
      <c r="F308">
        <v>4</v>
      </c>
      <c r="G308">
        <f>MAX(0,PARAMS_MODELO!$B$33-VALUE(TRIM(F308))*3)</f>
        <v>18</v>
      </c>
      <c r="H308">
        <v>4</v>
      </c>
      <c r="I308">
        <f>ROUND(MIN(4,MAX(0,H308))/4*PARAMS_MODELO!$B$34,2)</f>
        <v>20</v>
      </c>
      <c r="J308">
        <v>0</v>
      </c>
      <c r="K308">
        <f>IF(J308=0,0,PARAMS_MODELO!$B$35)</f>
        <v>0</v>
      </c>
      <c r="L308">
        <f t="shared" si="13"/>
        <v>39.17</v>
      </c>
      <c r="M308" t="str">
        <f t="shared" si="14"/>
        <v>Malo</v>
      </c>
      <c r="N308">
        <f>IF(M308=PARAMS_MODELO!$A$36,PARAMS_MODELO!$B$36,IF(M308=PARAMS_MODELO!$A$37,PARAMS_MODELO!$B$37,IF(M308=PARAMS_MODELO!$A$38,PARAMS_MODELO!$B$38,IF(M308=PARAMS_MODELO!$A$39,PARAMS_MODELO!$B$39,IF(M308=PARAMS_MODELO!$A$40,PARAMS_MODELO!$B$40)))))</f>
        <v>0.7</v>
      </c>
    </row>
    <row r="309" spans="1:14" x14ac:dyDescent="0.3">
      <c r="A309">
        <v>51019130</v>
      </c>
      <c r="B309">
        <v>71</v>
      </c>
      <c r="C309">
        <v>37</v>
      </c>
      <c r="D309">
        <f t="shared" si="12"/>
        <v>1.9189189189189189</v>
      </c>
      <c r="E309">
        <f>ROUND(MIN(5,MAX(0,D309))/5*PARAMS_MODELO!$B$32,2)</f>
        <v>15.35</v>
      </c>
      <c r="F309">
        <v>2</v>
      </c>
      <c r="G309">
        <f>MAX(0,PARAMS_MODELO!$B$33-VALUE(TRIM(F309))*3)</f>
        <v>24</v>
      </c>
      <c r="H309">
        <v>1</v>
      </c>
      <c r="I309">
        <f>ROUND(MIN(4,MAX(0,H309))/4*PARAMS_MODELO!$B$34,2)</f>
        <v>5</v>
      </c>
      <c r="J309">
        <v>1</v>
      </c>
      <c r="K309">
        <f>IF(J309=0,0,PARAMS_MODELO!$B$35)</f>
        <v>10</v>
      </c>
      <c r="L309">
        <f t="shared" si="13"/>
        <v>54.35</v>
      </c>
      <c r="M309" t="str">
        <f t="shared" si="14"/>
        <v>Regular</v>
      </c>
      <c r="N309">
        <f>IF(M309=PARAMS_MODELO!$A$36,PARAMS_MODELO!$B$36,IF(M309=PARAMS_MODELO!$A$37,PARAMS_MODELO!$B$37,IF(M309=PARAMS_MODELO!$A$38,PARAMS_MODELO!$B$38,IF(M309=PARAMS_MODELO!$A$39,PARAMS_MODELO!$B$39,IF(M309=PARAMS_MODELO!$A$40,PARAMS_MODELO!$B$40)))))</f>
        <v>1</v>
      </c>
    </row>
    <row r="310" spans="1:14" x14ac:dyDescent="0.3">
      <c r="A310">
        <v>51036255</v>
      </c>
      <c r="B310">
        <v>31</v>
      </c>
      <c r="C310">
        <v>57</v>
      </c>
      <c r="D310">
        <f t="shared" si="12"/>
        <v>0.54385964912280704</v>
      </c>
      <c r="E310">
        <f>ROUND(MIN(5,MAX(0,D310))/5*PARAMS_MODELO!$B$32,2)</f>
        <v>4.3499999999999996</v>
      </c>
      <c r="F310">
        <v>2</v>
      </c>
      <c r="G310">
        <f>MAX(0,PARAMS_MODELO!$B$33-VALUE(TRIM(F310))*3)</f>
        <v>24</v>
      </c>
      <c r="H310">
        <v>3</v>
      </c>
      <c r="I310">
        <f>ROUND(MIN(4,MAX(0,H310))/4*PARAMS_MODELO!$B$34,2)</f>
        <v>15</v>
      </c>
      <c r="J310">
        <v>0</v>
      </c>
      <c r="K310">
        <f>IF(J310=0,0,PARAMS_MODELO!$B$35)</f>
        <v>0</v>
      </c>
      <c r="L310">
        <f t="shared" si="13"/>
        <v>43.35</v>
      </c>
      <c r="M310" t="str">
        <f t="shared" si="14"/>
        <v>Regular</v>
      </c>
      <c r="N310">
        <f>IF(M310=PARAMS_MODELO!$A$36,PARAMS_MODELO!$B$36,IF(M310=PARAMS_MODELO!$A$37,PARAMS_MODELO!$B$37,IF(M310=PARAMS_MODELO!$A$38,PARAMS_MODELO!$B$38,IF(M310=PARAMS_MODELO!$A$39,PARAMS_MODELO!$B$39,IF(M310=PARAMS_MODELO!$A$40,PARAMS_MODELO!$B$40)))))</f>
        <v>1</v>
      </c>
    </row>
    <row r="311" spans="1:14" x14ac:dyDescent="0.3">
      <c r="A311">
        <v>51056809</v>
      </c>
      <c r="B311">
        <v>74</v>
      </c>
      <c r="C311">
        <v>48</v>
      </c>
      <c r="D311">
        <f t="shared" si="12"/>
        <v>1.5416666666666667</v>
      </c>
      <c r="E311">
        <f>ROUND(MIN(5,MAX(0,D311))/5*PARAMS_MODELO!$B$32,2)</f>
        <v>12.33</v>
      </c>
      <c r="F311">
        <v>2</v>
      </c>
      <c r="G311">
        <f>MAX(0,PARAMS_MODELO!$B$33-VALUE(TRIM(F311))*3)</f>
        <v>24</v>
      </c>
      <c r="H311">
        <v>0</v>
      </c>
      <c r="I311">
        <f>ROUND(MIN(4,MAX(0,H311))/4*PARAMS_MODELO!$B$34,2)</f>
        <v>0</v>
      </c>
      <c r="J311">
        <v>1</v>
      </c>
      <c r="K311">
        <f>IF(J311=0,0,PARAMS_MODELO!$B$35)</f>
        <v>10</v>
      </c>
      <c r="L311">
        <f t="shared" si="13"/>
        <v>46.33</v>
      </c>
      <c r="M311" t="str">
        <f t="shared" si="14"/>
        <v>Regular</v>
      </c>
      <c r="N311">
        <f>IF(M311=PARAMS_MODELO!$A$36,PARAMS_MODELO!$B$36,IF(M311=PARAMS_MODELO!$A$37,PARAMS_MODELO!$B$37,IF(M311=PARAMS_MODELO!$A$38,PARAMS_MODELO!$B$38,IF(M311=PARAMS_MODELO!$A$39,PARAMS_MODELO!$B$39,IF(M311=PARAMS_MODELO!$A$40,PARAMS_MODELO!$B$40)))))</f>
        <v>1</v>
      </c>
    </row>
    <row r="312" spans="1:14" x14ac:dyDescent="0.3">
      <c r="A312">
        <v>51018699</v>
      </c>
      <c r="B312">
        <v>44</v>
      </c>
      <c r="C312">
        <v>57</v>
      </c>
      <c r="D312">
        <f t="shared" si="12"/>
        <v>0.77192982456140347</v>
      </c>
      <c r="E312">
        <f>ROUND(MIN(5,MAX(0,D312))/5*PARAMS_MODELO!$B$32,2)</f>
        <v>6.18</v>
      </c>
      <c r="F312">
        <v>3</v>
      </c>
      <c r="G312">
        <f>MAX(0,PARAMS_MODELO!$B$33-VALUE(TRIM(F312))*3)</f>
        <v>21</v>
      </c>
      <c r="H312">
        <v>4</v>
      </c>
      <c r="I312">
        <f>ROUND(MIN(4,MAX(0,H312))/4*PARAMS_MODELO!$B$34,2)</f>
        <v>20</v>
      </c>
      <c r="J312">
        <v>1</v>
      </c>
      <c r="K312">
        <f>IF(J312=0,0,PARAMS_MODELO!$B$35)</f>
        <v>10</v>
      </c>
      <c r="L312">
        <f t="shared" si="13"/>
        <v>57.18</v>
      </c>
      <c r="M312" t="str">
        <f t="shared" si="14"/>
        <v>Regular</v>
      </c>
      <c r="N312">
        <f>IF(M312=PARAMS_MODELO!$A$36,PARAMS_MODELO!$B$36,IF(M312=PARAMS_MODELO!$A$37,PARAMS_MODELO!$B$37,IF(M312=PARAMS_MODELO!$A$38,PARAMS_MODELO!$B$38,IF(M312=PARAMS_MODELO!$A$39,PARAMS_MODELO!$B$39,IF(M312=PARAMS_MODELO!$A$40,PARAMS_MODELO!$B$40)))))</f>
        <v>1</v>
      </c>
    </row>
    <row r="313" spans="1:14" x14ac:dyDescent="0.3">
      <c r="A313">
        <v>51010019</v>
      </c>
      <c r="B313">
        <v>70</v>
      </c>
      <c r="C313">
        <v>26</v>
      </c>
      <c r="D313">
        <f t="shared" si="12"/>
        <v>2.6923076923076925</v>
      </c>
      <c r="E313">
        <f>ROUND(MIN(5,MAX(0,D313))/5*PARAMS_MODELO!$B$32,2)</f>
        <v>21.54</v>
      </c>
      <c r="F313">
        <v>1</v>
      </c>
      <c r="G313">
        <f>MAX(0,PARAMS_MODELO!$B$33-VALUE(TRIM(F313))*3)</f>
        <v>27</v>
      </c>
      <c r="H313">
        <v>1</v>
      </c>
      <c r="I313">
        <f>ROUND(MIN(4,MAX(0,H313))/4*PARAMS_MODELO!$B$34,2)</f>
        <v>5</v>
      </c>
      <c r="J313">
        <v>1</v>
      </c>
      <c r="K313">
        <f>IF(J313=0,0,PARAMS_MODELO!$B$35)</f>
        <v>10</v>
      </c>
      <c r="L313">
        <f t="shared" si="13"/>
        <v>63.54</v>
      </c>
      <c r="M313" t="str">
        <f t="shared" si="14"/>
        <v>Bueno</v>
      </c>
      <c r="N313">
        <f>IF(M313=PARAMS_MODELO!$A$36,PARAMS_MODELO!$B$36,IF(M313=PARAMS_MODELO!$A$37,PARAMS_MODELO!$B$37,IF(M313=PARAMS_MODELO!$A$38,PARAMS_MODELO!$B$38,IF(M313=PARAMS_MODELO!$A$39,PARAMS_MODELO!$B$39,IF(M313=PARAMS_MODELO!$A$40,PARAMS_MODELO!$B$40)))))</f>
        <v>1.1000000000000001</v>
      </c>
    </row>
    <row r="314" spans="1:14" x14ac:dyDescent="0.3">
      <c r="A314">
        <v>51010647</v>
      </c>
      <c r="B314">
        <v>19</v>
      </c>
      <c r="C314">
        <v>43</v>
      </c>
      <c r="D314">
        <f t="shared" si="12"/>
        <v>0.44186046511627908</v>
      </c>
      <c r="E314">
        <f>ROUND(MIN(5,MAX(0,D314))/5*PARAMS_MODELO!$B$32,2)</f>
        <v>3.53</v>
      </c>
      <c r="F314">
        <v>1</v>
      </c>
      <c r="G314">
        <f>MAX(0,PARAMS_MODELO!$B$33-VALUE(TRIM(F314))*3)</f>
        <v>27</v>
      </c>
      <c r="H314">
        <v>2</v>
      </c>
      <c r="I314">
        <f>ROUND(MIN(4,MAX(0,H314))/4*PARAMS_MODELO!$B$34,2)</f>
        <v>10</v>
      </c>
      <c r="J314">
        <v>1</v>
      </c>
      <c r="K314">
        <f>IF(J314=0,0,PARAMS_MODELO!$B$35)</f>
        <v>10</v>
      </c>
      <c r="L314">
        <f t="shared" si="13"/>
        <v>50.53</v>
      </c>
      <c r="M314" t="str">
        <f t="shared" si="14"/>
        <v>Regular</v>
      </c>
      <c r="N314">
        <f>IF(M314=PARAMS_MODELO!$A$36,PARAMS_MODELO!$B$36,IF(M314=PARAMS_MODELO!$A$37,PARAMS_MODELO!$B$37,IF(M314=PARAMS_MODELO!$A$38,PARAMS_MODELO!$B$38,IF(M314=PARAMS_MODELO!$A$39,PARAMS_MODELO!$B$39,IF(M314=PARAMS_MODELO!$A$40,PARAMS_MODELO!$B$40)))))</f>
        <v>1</v>
      </c>
    </row>
    <row r="315" spans="1:14" x14ac:dyDescent="0.3">
      <c r="A315">
        <v>51054881</v>
      </c>
      <c r="B315">
        <v>88</v>
      </c>
      <c r="C315">
        <v>87</v>
      </c>
      <c r="D315">
        <f t="shared" si="12"/>
        <v>1.0114942528735633</v>
      </c>
      <c r="E315">
        <f>ROUND(MIN(5,MAX(0,D315))/5*PARAMS_MODELO!$B$32,2)</f>
        <v>8.09</v>
      </c>
      <c r="F315">
        <v>1</v>
      </c>
      <c r="G315">
        <f>MAX(0,PARAMS_MODELO!$B$33-VALUE(TRIM(F315))*3)</f>
        <v>27</v>
      </c>
      <c r="H315">
        <v>0</v>
      </c>
      <c r="I315">
        <f>ROUND(MIN(4,MAX(0,H315))/4*PARAMS_MODELO!$B$34,2)</f>
        <v>0</v>
      </c>
      <c r="J315">
        <v>0</v>
      </c>
      <c r="K315">
        <f>IF(J315=0,0,PARAMS_MODELO!$B$35)</f>
        <v>0</v>
      </c>
      <c r="L315">
        <f t="shared" si="13"/>
        <v>35.090000000000003</v>
      </c>
      <c r="M315" t="str">
        <f t="shared" si="14"/>
        <v>Malo</v>
      </c>
      <c r="N315">
        <f>IF(M315=PARAMS_MODELO!$A$36,PARAMS_MODELO!$B$36,IF(M315=PARAMS_MODELO!$A$37,PARAMS_MODELO!$B$37,IF(M315=PARAMS_MODELO!$A$38,PARAMS_MODELO!$B$38,IF(M315=PARAMS_MODELO!$A$39,PARAMS_MODELO!$B$39,IF(M315=PARAMS_MODELO!$A$40,PARAMS_MODELO!$B$40)))))</f>
        <v>0.7</v>
      </c>
    </row>
    <row r="316" spans="1:14" x14ac:dyDescent="0.3">
      <c r="A316">
        <v>51019091</v>
      </c>
      <c r="B316">
        <v>7</v>
      </c>
      <c r="C316">
        <v>98</v>
      </c>
      <c r="D316">
        <f t="shared" si="12"/>
        <v>7.1428571428571425E-2</v>
      </c>
      <c r="E316">
        <f>ROUND(MIN(5,MAX(0,D316))/5*PARAMS_MODELO!$B$32,2)</f>
        <v>0.56999999999999995</v>
      </c>
      <c r="F316">
        <v>5</v>
      </c>
      <c r="G316">
        <f>MAX(0,PARAMS_MODELO!$B$33-VALUE(TRIM(F316))*3)</f>
        <v>15</v>
      </c>
      <c r="H316">
        <v>2</v>
      </c>
      <c r="I316">
        <f>ROUND(MIN(4,MAX(0,H316))/4*PARAMS_MODELO!$B$34,2)</f>
        <v>10</v>
      </c>
      <c r="J316">
        <v>0</v>
      </c>
      <c r="K316">
        <f>IF(J316=0,0,PARAMS_MODELO!$B$35)</f>
        <v>0</v>
      </c>
      <c r="L316">
        <f t="shared" si="13"/>
        <v>25.57</v>
      </c>
      <c r="M316" t="str">
        <f t="shared" si="14"/>
        <v>Malo</v>
      </c>
      <c r="N316">
        <f>IF(M316=PARAMS_MODELO!$A$36,PARAMS_MODELO!$B$36,IF(M316=PARAMS_MODELO!$A$37,PARAMS_MODELO!$B$37,IF(M316=PARAMS_MODELO!$A$38,PARAMS_MODELO!$B$38,IF(M316=PARAMS_MODELO!$A$39,PARAMS_MODELO!$B$39,IF(M316=PARAMS_MODELO!$A$40,PARAMS_MODELO!$B$40)))))</f>
        <v>0.7</v>
      </c>
    </row>
    <row r="317" spans="1:14" x14ac:dyDescent="0.3">
      <c r="A317">
        <v>51018931</v>
      </c>
      <c r="B317">
        <v>35</v>
      </c>
      <c r="C317">
        <v>10</v>
      </c>
      <c r="D317">
        <f t="shared" si="12"/>
        <v>3.5</v>
      </c>
      <c r="E317">
        <f>ROUND(MIN(5,MAX(0,D317))/5*PARAMS_MODELO!$B$32,2)</f>
        <v>28</v>
      </c>
      <c r="F317">
        <v>4</v>
      </c>
      <c r="G317">
        <f>MAX(0,PARAMS_MODELO!$B$33-VALUE(TRIM(F317))*3)</f>
        <v>18</v>
      </c>
      <c r="H317">
        <v>0</v>
      </c>
      <c r="I317">
        <f>ROUND(MIN(4,MAX(0,H317))/4*PARAMS_MODELO!$B$34,2)</f>
        <v>0</v>
      </c>
      <c r="J317">
        <v>1</v>
      </c>
      <c r="K317">
        <f>IF(J317=0,0,PARAMS_MODELO!$B$35)</f>
        <v>10</v>
      </c>
      <c r="L317">
        <f t="shared" si="13"/>
        <v>56</v>
      </c>
      <c r="M317" t="str">
        <f t="shared" si="14"/>
        <v>Regular</v>
      </c>
      <c r="N317">
        <f>IF(M317=PARAMS_MODELO!$A$36,PARAMS_MODELO!$B$36,IF(M317=PARAMS_MODELO!$A$37,PARAMS_MODELO!$B$37,IF(M317=PARAMS_MODELO!$A$38,PARAMS_MODELO!$B$38,IF(M317=PARAMS_MODELO!$A$39,PARAMS_MODELO!$B$39,IF(M317=PARAMS_MODELO!$A$40,PARAMS_MODELO!$B$40)))))</f>
        <v>1</v>
      </c>
    </row>
    <row r="318" spans="1:14" x14ac:dyDescent="0.3">
      <c r="A318">
        <v>51057015</v>
      </c>
      <c r="B318">
        <v>72</v>
      </c>
      <c r="C318">
        <v>70</v>
      </c>
      <c r="D318">
        <f t="shared" si="12"/>
        <v>1.0285714285714285</v>
      </c>
      <c r="E318">
        <f>ROUND(MIN(5,MAX(0,D318))/5*PARAMS_MODELO!$B$32,2)</f>
        <v>8.23</v>
      </c>
      <c r="F318">
        <v>2</v>
      </c>
      <c r="G318">
        <f>MAX(0,PARAMS_MODELO!$B$33-VALUE(TRIM(F318))*3)</f>
        <v>24</v>
      </c>
      <c r="H318">
        <v>4</v>
      </c>
      <c r="I318">
        <f>ROUND(MIN(4,MAX(0,H318))/4*PARAMS_MODELO!$B$34,2)</f>
        <v>20</v>
      </c>
      <c r="J318">
        <v>1</v>
      </c>
      <c r="K318">
        <f>IF(J318=0,0,PARAMS_MODELO!$B$35)</f>
        <v>10</v>
      </c>
      <c r="L318">
        <f t="shared" si="13"/>
        <v>62.230000000000004</v>
      </c>
      <c r="M318" t="str">
        <f t="shared" si="14"/>
        <v>Bueno</v>
      </c>
      <c r="N318">
        <f>IF(M318=PARAMS_MODELO!$A$36,PARAMS_MODELO!$B$36,IF(M318=PARAMS_MODELO!$A$37,PARAMS_MODELO!$B$37,IF(M318=PARAMS_MODELO!$A$38,PARAMS_MODELO!$B$38,IF(M318=PARAMS_MODELO!$A$39,PARAMS_MODELO!$B$39,IF(M318=PARAMS_MODELO!$A$40,PARAMS_MODELO!$B$40)))))</f>
        <v>1.1000000000000001</v>
      </c>
    </row>
    <row r="319" spans="1:14" x14ac:dyDescent="0.3">
      <c r="A319">
        <v>51023421</v>
      </c>
      <c r="B319">
        <v>87</v>
      </c>
      <c r="C319">
        <v>29</v>
      </c>
      <c r="D319">
        <f t="shared" si="12"/>
        <v>3</v>
      </c>
      <c r="E319">
        <f>ROUND(MIN(5,MAX(0,D319))/5*PARAMS_MODELO!$B$32,2)</f>
        <v>24</v>
      </c>
      <c r="F319">
        <v>5</v>
      </c>
      <c r="G319">
        <f>MAX(0,PARAMS_MODELO!$B$33-VALUE(TRIM(F319))*3)</f>
        <v>15</v>
      </c>
      <c r="H319">
        <v>2</v>
      </c>
      <c r="I319">
        <f>ROUND(MIN(4,MAX(0,H319))/4*PARAMS_MODELO!$B$34,2)</f>
        <v>10</v>
      </c>
      <c r="J319">
        <v>1</v>
      </c>
      <c r="K319">
        <f>IF(J319=0,0,PARAMS_MODELO!$B$35)</f>
        <v>10</v>
      </c>
      <c r="L319">
        <f t="shared" si="13"/>
        <v>59</v>
      </c>
      <c r="M319" t="str">
        <f t="shared" si="14"/>
        <v>Regular</v>
      </c>
      <c r="N319">
        <f>IF(M319=PARAMS_MODELO!$A$36,PARAMS_MODELO!$B$36,IF(M319=PARAMS_MODELO!$A$37,PARAMS_MODELO!$B$37,IF(M319=PARAMS_MODELO!$A$38,PARAMS_MODELO!$B$38,IF(M319=PARAMS_MODELO!$A$39,PARAMS_MODELO!$B$39,IF(M319=PARAMS_MODELO!$A$40,PARAMS_MODELO!$B$40)))))</f>
        <v>1</v>
      </c>
    </row>
    <row r="320" spans="1:14" x14ac:dyDescent="0.3">
      <c r="A320">
        <v>51012305</v>
      </c>
      <c r="B320">
        <v>9</v>
      </c>
      <c r="C320">
        <v>90</v>
      </c>
      <c r="D320">
        <f t="shared" si="12"/>
        <v>0.1</v>
      </c>
      <c r="E320">
        <f>ROUND(MIN(5,MAX(0,D320))/5*PARAMS_MODELO!$B$32,2)</f>
        <v>0.8</v>
      </c>
      <c r="F320">
        <v>3</v>
      </c>
      <c r="G320">
        <f>MAX(0,PARAMS_MODELO!$B$33-VALUE(TRIM(F320))*3)</f>
        <v>21</v>
      </c>
      <c r="H320">
        <v>4</v>
      </c>
      <c r="I320">
        <f>ROUND(MIN(4,MAX(0,H320))/4*PARAMS_MODELO!$B$34,2)</f>
        <v>20</v>
      </c>
      <c r="J320">
        <v>0</v>
      </c>
      <c r="K320">
        <f>IF(J320=0,0,PARAMS_MODELO!$B$35)</f>
        <v>0</v>
      </c>
      <c r="L320">
        <f t="shared" si="13"/>
        <v>41.8</v>
      </c>
      <c r="M320" t="str">
        <f t="shared" si="14"/>
        <v>Regular</v>
      </c>
      <c r="N320">
        <f>IF(M320=PARAMS_MODELO!$A$36,PARAMS_MODELO!$B$36,IF(M320=PARAMS_MODELO!$A$37,PARAMS_MODELO!$B$37,IF(M320=PARAMS_MODELO!$A$38,PARAMS_MODELO!$B$38,IF(M320=PARAMS_MODELO!$A$39,PARAMS_MODELO!$B$39,IF(M320=PARAMS_MODELO!$A$40,PARAMS_MODELO!$B$40)))))</f>
        <v>1</v>
      </c>
    </row>
    <row r="321" spans="1:14" x14ac:dyDescent="0.3">
      <c r="A321">
        <v>51014219</v>
      </c>
      <c r="B321">
        <v>45</v>
      </c>
      <c r="C321">
        <v>12</v>
      </c>
      <c r="D321">
        <f t="shared" si="12"/>
        <v>3.75</v>
      </c>
      <c r="E321">
        <f>ROUND(MIN(5,MAX(0,D321))/5*PARAMS_MODELO!$B$32,2)</f>
        <v>30</v>
      </c>
      <c r="F321">
        <v>3</v>
      </c>
      <c r="G321">
        <f>MAX(0,PARAMS_MODELO!$B$33-VALUE(TRIM(F321))*3)</f>
        <v>21</v>
      </c>
      <c r="H321">
        <v>4</v>
      </c>
      <c r="I321">
        <f>ROUND(MIN(4,MAX(0,H321))/4*PARAMS_MODELO!$B$34,2)</f>
        <v>20</v>
      </c>
      <c r="J321">
        <v>1</v>
      </c>
      <c r="K321">
        <f>IF(J321=0,0,PARAMS_MODELO!$B$35)</f>
        <v>10</v>
      </c>
      <c r="L321">
        <f t="shared" si="13"/>
        <v>81</v>
      </c>
      <c r="M321" t="str">
        <f t="shared" si="14"/>
        <v>Muy Bueno</v>
      </c>
      <c r="N321">
        <f>IF(M321=PARAMS_MODELO!$A$36,PARAMS_MODELO!$B$36,IF(M321=PARAMS_MODELO!$A$37,PARAMS_MODELO!$B$37,IF(M321=PARAMS_MODELO!$A$38,PARAMS_MODELO!$B$38,IF(M321=PARAMS_MODELO!$A$39,PARAMS_MODELO!$B$39,IF(M321=PARAMS_MODELO!$A$40,PARAMS_MODELO!$B$40)))))</f>
        <v>1.1499999999999999</v>
      </c>
    </row>
    <row r="322" spans="1:14" x14ac:dyDescent="0.3">
      <c r="A322">
        <v>51030753</v>
      </c>
      <c r="B322">
        <v>90</v>
      </c>
      <c r="C322">
        <v>35</v>
      </c>
      <c r="D322">
        <f t="shared" ref="D322:D385" si="15">IF(C322=0,0,MIN(5,B322/C322))</f>
        <v>2.5714285714285716</v>
      </c>
      <c r="E322">
        <f>ROUND(MIN(5,MAX(0,D322))/5*PARAMS_MODELO!$B$32,2)</f>
        <v>20.57</v>
      </c>
      <c r="F322">
        <v>0</v>
      </c>
      <c r="G322">
        <f>MAX(0,PARAMS_MODELO!$B$33-VALUE(TRIM(F322))*3)</f>
        <v>30</v>
      </c>
      <c r="H322">
        <v>4</v>
      </c>
      <c r="I322">
        <f>ROUND(MIN(4,MAX(0,H322))/4*PARAMS_MODELO!$B$34,2)</f>
        <v>20</v>
      </c>
      <c r="J322">
        <v>1</v>
      </c>
      <c r="K322">
        <f>IF(J322=0,0,PARAMS_MODELO!$B$35)</f>
        <v>10</v>
      </c>
      <c r="L322">
        <f t="shared" ref="L322:L385" si="16">MIN(100,MAX(0,E322+G322+I322+K322))</f>
        <v>80.569999999999993</v>
      </c>
      <c r="M322" t="str">
        <f t="shared" ref="M322:M385" si="17">IF(L322="","",IF(L322&gt;=90,"Excelente",IF(L322&gt;=75,"Muy Bueno",IF(L322&gt;=60,"Bueno",IF(L322&gt;=40,"Regular","Malo")))))</f>
        <v>Muy Bueno</v>
      </c>
      <c r="N322">
        <f>IF(M322=PARAMS_MODELO!$A$36,PARAMS_MODELO!$B$36,IF(M322=PARAMS_MODELO!$A$37,PARAMS_MODELO!$B$37,IF(M322=PARAMS_MODELO!$A$38,PARAMS_MODELO!$B$38,IF(M322=PARAMS_MODELO!$A$39,PARAMS_MODELO!$B$39,IF(M322=PARAMS_MODELO!$A$40,PARAMS_MODELO!$B$40)))))</f>
        <v>1.1499999999999999</v>
      </c>
    </row>
    <row r="323" spans="1:14" x14ac:dyDescent="0.3">
      <c r="A323">
        <v>51042336</v>
      </c>
      <c r="B323">
        <v>33</v>
      </c>
      <c r="C323">
        <v>31</v>
      </c>
      <c r="D323">
        <f t="shared" si="15"/>
        <v>1.064516129032258</v>
      </c>
      <c r="E323">
        <f>ROUND(MIN(5,MAX(0,D323))/5*PARAMS_MODELO!$B$32,2)</f>
        <v>8.52</v>
      </c>
      <c r="F323">
        <v>2</v>
      </c>
      <c r="G323">
        <f>MAX(0,PARAMS_MODELO!$B$33-VALUE(TRIM(F323))*3)</f>
        <v>24</v>
      </c>
      <c r="H323">
        <v>1</v>
      </c>
      <c r="I323">
        <f>ROUND(MIN(4,MAX(0,H323))/4*PARAMS_MODELO!$B$34,2)</f>
        <v>5</v>
      </c>
      <c r="J323">
        <v>0</v>
      </c>
      <c r="K323">
        <f>IF(J323=0,0,PARAMS_MODELO!$B$35)</f>
        <v>0</v>
      </c>
      <c r="L323">
        <f t="shared" si="16"/>
        <v>37.519999999999996</v>
      </c>
      <c r="M323" t="str">
        <f t="shared" si="17"/>
        <v>Malo</v>
      </c>
      <c r="N323">
        <f>IF(M323=PARAMS_MODELO!$A$36,PARAMS_MODELO!$B$36,IF(M323=PARAMS_MODELO!$A$37,PARAMS_MODELO!$B$37,IF(M323=PARAMS_MODELO!$A$38,PARAMS_MODELO!$B$38,IF(M323=PARAMS_MODELO!$A$39,PARAMS_MODELO!$B$39,IF(M323=PARAMS_MODELO!$A$40,PARAMS_MODELO!$B$40)))))</f>
        <v>0.7</v>
      </c>
    </row>
    <row r="324" spans="1:14" x14ac:dyDescent="0.3">
      <c r="A324">
        <v>51023790</v>
      </c>
      <c r="B324">
        <v>0</v>
      </c>
      <c r="C324">
        <v>19</v>
      </c>
      <c r="D324">
        <f t="shared" si="15"/>
        <v>0</v>
      </c>
      <c r="E324">
        <f>ROUND(MIN(5,MAX(0,D324))/5*PARAMS_MODELO!$B$32,2)</f>
        <v>0</v>
      </c>
      <c r="F324">
        <v>0</v>
      </c>
      <c r="G324">
        <f>MAX(0,PARAMS_MODELO!$B$33-VALUE(TRIM(F324))*3)</f>
        <v>30</v>
      </c>
      <c r="H324">
        <v>2</v>
      </c>
      <c r="I324">
        <f>ROUND(MIN(4,MAX(0,H324))/4*PARAMS_MODELO!$B$34,2)</f>
        <v>10</v>
      </c>
      <c r="J324">
        <v>1</v>
      </c>
      <c r="K324">
        <f>IF(J324=0,0,PARAMS_MODELO!$B$35)</f>
        <v>10</v>
      </c>
      <c r="L324">
        <f t="shared" si="16"/>
        <v>50</v>
      </c>
      <c r="M324" t="str">
        <f t="shared" si="17"/>
        <v>Regular</v>
      </c>
      <c r="N324">
        <f>IF(M324=PARAMS_MODELO!$A$36,PARAMS_MODELO!$B$36,IF(M324=PARAMS_MODELO!$A$37,PARAMS_MODELO!$B$37,IF(M324=PARAMS_MODELO!$A$38,PARAMS_MODELO!$B$38,IF(M324=PARAMS_MODELO!$A$39,PARAMS_MODELO!$B$39,IF(M324=PARAMS_MODELO!$A$40,PARAMS_MODELO!$B$40)))))</f>
        <v>1</v>
      </c>
    </row>
    <row r="325" spans="1:14" x14ac:dyDescent="0.3">
      <c r="A325">
        <v>51022378</v>
      </c>
      <c r="B325">
        <v>75</v>
      </c>
      <c r="C325">
        <v>52</v>
      </c>
      <c r="D325">
        <f t="shared" si="15"/>
        <v>1.4423076923076923</v>
      </c>
      <c r="E325">
        <f>ROUND(MIN(5,MAX(0,D325))/5*PARAMS_MODELO!$B$32,2)</f>
        <v>11.54</v>
      </c>
      <c r="F325">
        <v>4</v>
      </c>
      <c r="G325">
        <f>MAX(0,PARAMS_MODELO!$B$33-VALUE(TRIM(F325))*3)</f>
        <v>18</v>
      </c>
      <c r="H325">
        <v>4</v>
      </c>
      <c r="I325">
        <f>ROUND(MIN(4,MAX(0,H325))/4*PARAMS_MODELO!$B$34,2)</f>
        <v>20</v>
      </c>
      <c r="J325">
        <v>0</v>
      </c>
      <c r="K325">
        <f>IF(J325=0,0,PARAMS_MODELO!$B$35)</f>
        <v>0</v>
      </c>
      <c r="L325">
        <f t="shared" si="16"/>
        <v>49.54</v>
      </c>
      <c r="M325" t="str">
        <f t="shared" si="17"/>
        <v>Regular</v>
      </c>
      <c r="N325">
        <f>IF(M325=PARAMS_MODELO!$A$36,PARAMS_MODELO!$B$36,IF(M325=PARAMS_MODELO!$A$37,PARAMS_MODELO!$B$37,IF(M325=PARAMS_MODELO!$A$38,PARAMS_MODELO!$B$38,IF(M325=PARAMS_MODELO!$A$39,PARAMS_MODELO!$B$39,IF(M325=PARAMS_MODELO!$A$40,PARAMS_MODELO!$B$40)))))</f>
        <v>1</v>
      </c>
    </row>
    <row r="326" spans="1:14" x14ac:dyDescent="0.3">
      <c r="A326">
        <v>51052072</v>
      </c>
      <c r="B326">
        <v>55</v>
      </c>
      <c r="C326">
        <v>61</v>
      </c>
      <c r="D326">
        <f t="shared" si="15"/>
        <v>0.90163934426229508</v>
      </c>
      <c r="E326">
        <f>ROUND(MIN(5,MAX(0,D326))/5*PARAMS_MODELO!$B$32,2)</f>
        <v>7.21</v>
      </c>
      <c r="F326">
        <v>3</v>
      </c>
      <c r="G326">
        <f>MAX(0,PARAMS_MODELO!$B$33-VALUE(TRIM(F326))*3)</f>
        <v>21</v>
      </c>
      <c r="H326">
        <v>2</v>
      </c>
      <c r="I326">
        <f>ROUND(MIN(4,MAX(0,H326))/4*PARAMS_MODELO!$B$34,2)</f>
        <v>10</v>
      </c>
      <c r="J326">
        <v>0</v>
      </c>
      <c r="K326">
        <f>IF(J326=0,0,PARAMS_MODELO!$B$35)</f>
        <v>0</v>
      </c>
      <c r="L326">
        <f t="shared" si="16"/>
        <v>38.21</v>
      </c>
      <c r="M326" t="str">
        <f t="shared" si="17"/>
        <v>Malo</v>
      </c>
      <c r="N326">
        <f>IF(M326=PARAMS_MODELO!$A$36,PARAMS_MODELO!$B$36,IF(M326=PARAMS_MODELO!$A$37,PARAMS_MODELO!$B$37,IF(M326=PARAMS_MODELO!$A$38,PARAMS_MODELO!$B$38,IF(M326=PARAMS_MODELO!$A$39,PARAMS_MODELO!$B$39,IF(M326=PARAMS_MODELO!$A$40,PARAMS_MODELO!$B$40)))))</f>
        <v>0.7</v>
      </c>
    </row>
    <row r="327" spans="1:14" x14ac:dyDescent="0.3">
      <c r="A327">
        <v>51031946</v>
      </c>
      <c r="B327">
        <v>37</v>
      </c>
      <c r="C327">
        <v>22</v>
      </c>
      <c r="D327">
        <f t="shared" si="15"/>
        <v>1.6818181818181819</v>
      </c>
      <c r="E327">
        <f>ROUND(MIN(5,MAX(0,D327))/5*PARAMS_MODELO!$B$32,2)</f>
        <v>13.45</v>
      </c>
      <c r="F327">
        <v>1</v>
      </c>
      <c r="G327">
        <f>MAX(0,PARAMS_MODELO!$B$33-VALUE(TRIM(F327))*3)</f>
        <v>27</v>
      </c>
      <c r="H327">
        <v>3</v>
      </c>
      <c r="I327">
        <f>ROUND(MIN(4,MAX(0,H327))/4*PARAMS_MODELO!$B$34,2)</f>
        <v>15</v>
      </c>
      <c r="J327">
        <v>0</v>
      </c>
      <c r="K327">
        <f>IF(J327=0,0,PARAMS_MODELO!$B$35)</f>
        <v>0</v>
      </c>
      <c r="L327">
        <f t="shared" si="16"/>
        <v>55.45</v>
      </c>
      <c r="M327" t="str">
        <f t="shared" si="17"/>
        <v>Regular</v>
      </c>
      <c r="N327">
        <f>IF(M327=PARAMS_MODELO!$A$36,PARAMS_MODELO!$B$36,IF(M327=PARAMS_MODELO!$A$37,PARAMS_MODELO!$B$37,IF(M327=PARAMS_MODELO!$A$38,PARAMS_MODELO!$B$38,IF(M327=PARAMS_MODELO!$A$39,PARAMS_MODELO!$B$39,IF(M327=PARAMS_MODELO!$A$40,PARAMS_MODELO!$B$40)))))</f>
        <v>1</v>
      </c>
    </row>
    <row r="328" spans="1:14" x14ac:dyDescent="0.3">
      <c r="A328">
        <v>51010752</v>
      </c>
      <c r="B328">
        <v>88</v>
      </c>
      <c r="C328">
        <v>60</v>
      </c>
      <c r="D328">
        <f t="shared" si="15"/>
        <v>1.4666666666666666</v>
      </c>
      <c r="E328">
        <f>ROUND(MIN(5,MAX(0,D328))/5*PARAMS_MODELO!$B$32,2)</f>
        <v>11.73</v>
      </c>
      <c r="F328">
        <v>1</v>
      </c>
      <c r="G328">
        <f>MAX(0,PARAMS_MODELO!$B$33-VALUE(TRIM(F328))*3)</f>
        <v>27</v>
      </c>
      <c r="H328">
        <v>4</v>
      </c>
      <c r="I328">
        <f>ROUND(MIN(4,MAX(0,H328))/4*PARAMS_MODELO!$B$34,2)</f>
        <v>20</v>
      </c>
      <c r="J328">
        <v>0</v>
      </c>
      <c r="K328">
        <f>IF(J328=0,0,PARAMS_MODELO!$B$35)</f>
        <v>0</v>
      </c>
      <c r="L328">
        <f t="shared" si="16"/>
        <v>58.730000000000004</v>
      </c>
      <c r="M328" t="str">
        <f t="shared" si="17"/>
        <v>Regular</v>
      </c>
      <c r="N328">
        <f>IF(M328=PARAMS_MODELO!$A$36,PARAMS_MODELO!$B$36,IF(M328=PARAMS_MODELO!$A$37,PARAMS_MODELO!$B$37,IF(M328=PARAMS_MODELO!$A$38,PARAMS_MODELO!$B$38,IF(M328=PARAMS_MODELO!$A$39,PARAMS_MODELO!$B$39,IF(M328=PARAMS_MODELO!$A$40,PARAMS_MODELO!$B$40)))))</f>
        <v>1</v>
      </c>
    </row>
    <row r="329" spans="1:14" x14ac:dyDescent="0.3">
      <c r="A329">
        <v>51055594</v>
      </c>
      <c r="B329">
        <v>100</v>
      </c>
      <c r="C329">
        <v>89</v>
      </c>
      <c r="D329">
        <f t="shared" si="15"/>
        <v>1.1235955056179776</v>
      </c>
      <c r="E329">
        <f>ROUND(MIN(5,MAX(0,D329))/5*PARAMS_MODELO!$B$32,2)</f>
        <v>8.99</v>
      </c>
      <c r="F329">
        <v>2</v>
      </c>
      <c r="G329">
        <f>MAX(0,PARAMS_MODELO!$B$33-VALUE(TRIM(F329))*3)</f>
        <v>24</v>
      </c>
      <c r="H329">
        <v>4</v>
      </c>
      <c r="I329">
        <f>ROUND(MIN(4,MAX(0,H329))/4*PARAMS_MODELO!$B$34,2)</f>
        <v>20</v>
      </c>
      <c r="J329">
        <v>0</v>
      </c>
      <c r="K329">
        <f>IF(J329=0,0,PARAMS_MODELO!$B$35)</f>
        <v>0</v>
      </c>
      <c r="L329">
        <f t="shared" si="16"/>
        <v>52.99</v>
      </c>
      <c r="M329" t="str">
        <f t="shared" si="17"/>
        <v>Regular</v>
      </c>
      <c r="N329">
        <f>IF(M329=PARAMS_MODELO!$A$36,PARAMS_MODELO!$B$36,IF(M329=PARAMS_MODELO!$A$37,PARAMS_MODELO!$B$37,IF(M329=PARAMS_MODELO!$A$38,PARAMS_MODELO!$B$38,IF(M329=PARAMS_MODELO!$A$39,PARAMS_MODELO!$B$39,IF(M329=PARAMS_MODELO!$A$40,PARAMS_MODELO!$B$40)))))</f>
        <v>1</v>
      </c>
    </row>
    <row r="330" spans="1:14" x14ac:dyDescent="0.3">
      <c r="A330">
        <v>51041585</v>
      </c>
      <c r="B330">
        <v>69</v>
      </c>
      <c r="C330">
        <v>31</v>
      </c>
      <c r="D330">
        <f t="shared" si="15"/>
        <v>2.225806451612903</v>
      </c>
      <c r="E330">
        <f>ROUND(MIN(5,MAX(0,D330))/5*PARAMS_MODELO!$B$32,2)</f>
        <v>17.809999999999999</v>
      </c>
      <c r="F330">
        <v>0</v>
      </c>
      <c r="G330">
        <f>MAX(0,PARAMS_MODELO!$B$33-VALUE(TRIM(F330))*3)</f>
        <v>30</v>
      </c>
      <c r="H330">
        <v>4</v>
      </c>
      <c r="I330">
        <f>ROUND(MIN(4,MAX(0,H330))/4*PARAMS_MODELO!$B$34,2)</f>
        <v>20</v>
      </c>
      <c r="J330">
        <v>0</v>
      </c>
      <c r="K330">
        <f>IF(J330=0,0,PARAMS_MODELO!$B$35)</f>
        <v>0</v>
      </c>
      <c r="L330">
        <f t="shared" si="16"/>
        <v>67.81</v>
      </c>
      <c r="M330" t="str">
        <f t="shared" si="17"/>
        <v>Bueno</v>
      </c>
      <c r="N330">
        <f>IF(M330=PARAMS_MODELO!$A$36,PARAMS_MODELO!$B$36,IF(M330=PARAMS_MODELO!$A$37,PARAMS_MODELO!$B$37,IF(M330=PARAMS_MODELO!$A$38,PARAMS_MODELO!$B$38,IF(M330=PARAMS_MODELO!$A$39,PARAMS_MODELO!$B$39,IF(M330=PARAMS_MODELO!$A$40,PARAMS_MODELO!$B$40)))))</f>
        <v>1.1000000000000001</v>
      </c>
    </row>
    <row r="331" spans="1:14" x14ac:dyDescent="0.3">
      <c r="A331">
        <v>51017455</v>
      </c>
      <c r="B331">
        <v>52</v>
      </c>
      <c r="C331">
        <v>16</v>
      </c>
      <c r="D331">
        <f t="shared" si="15"/>
        <v>3.25</v>
      </c>
      <c r="E331">
        <f>ROUND(MIN(5,MAX(0,D331))/5*PARAMS_MODELO!$B$32,2)</f>
        <v>26</v>
      </c>
      <c r="F331">
        <v>1</v>
      </c>
      <c r="G331">
        <f>MAX(0,PARAMS_MODELO!$B$33-VALUE(TRIM(F331))*3)</f>
        <v>27</v>
      </c>
      <c r="H331">
        <v>4</v>
      </c>
      <c r="I331">
        <f>ROUND(MIN(4,MAX(0,H331))/4*PARAMS_MODELO!$B$34,2)</f>
        <v>20</v>
      </c>
      <c r="J331">
        <v>0</v>
      </c>
      <c r="K331">
        <f>IF(J331=0,0,PARAMS_MODELO!$B$35)</f>
        <v>0</v>
      </c>
      <c r="L331">
        <f t="shared" si="16"/>
        <v>73</v>
      </c>
      <c r="M331" t="str">
        <f t="shared" si="17"/>
        <v>Bueno</v>
      </c>
      <c r="N331">
        <f>IF(M331=PARAMS_MODELO!$A$36,PARAMS_MODELO!$B$36,IF(M331=PARAMS_MODELO!$A$37,PARAMS_MODELO!$B$37,IF(M331=PARAMS_MODELO!$A$38,PARAMS_MODELO!$B$38,IF(M331=PARAMS_MODELO!$A$39,PARAMS_MODELO!$B$39,IF(M331=PARAMS_MODELO!$A$40,PARAMS_MODELO!$B$40)))))</f>
        <v>1.1000000000000001</v>
      </c>
    </row>
    <row r="332" spans="1:14" x14ac:dyDescent="0.3">
      <c r="A332">
        <v>51033345</v>
      </c>
      <c r="B332">
        <v>39</v>
      </c>
      <c r="C332">
        <v>35</v>
      </c>
      <c r="D332">
        <f t="shared" si="15"/>
        <v>1.1142857142857143</v>
      </c>
      <c r="E332">
        <f>ROUND(MIN(5,MAX(0,D332))/5*PARAMS_MODELO!$B$32,2)</f>
        <v>8.91</v>
      </c>
      <c r="F332">
        <v>5</v>
      </c>
      <c r="G332">
        <f>MAX(0,PARAMS_MODELO!$B$33-VALUE(TRIM(F332))*3)</f>
        <v>15</v>
      </c>
      <c r="H332">
        <v>3</v>
      </c>
      <c r="I332">
        <f>ROUND(MIN(4,MAX(0,H332))/4*PARAMS_MODELO!$B$34,2)</f>
        <v>15</v>
      </c>
      <c r="J332">
        <v>0</v>
      </c>
      <c r="K332">
        <f>IF(J332=0,0,PARAMS_MODELO!$B$35)</f>
        <v>0</v>
      </c>
      <c r="L332">
        <f t="shared" si="16"/>
        <v>38.909999999999997</v>
      </c>
      <c r="M332" t="str">
        <f t="shared" si="17"/>
        <v>Malo</v>
      </c>
      <c r="N332">
        <f>IF(M332=PARAMS_MODELO!$A$36,PARAMS_MODELO!$B$36,IF(M332=PARAMS_MODELO!$A$37,PARAMS_MODELO!$B$37,IF(M332=PARAMS_MODELO!$A$38,PARAMS_MODELO!$B$38,IF(M332=PARAMS_MODELO!$A$39,PARAMS_MODELO!$B$39,IF(M332=PARAMS_MODELO!$A$40,PARAMS_MODELO!$B$40)))))</f>
        <v>0.7</v>
      </c>
    </row>
    <row r="333" spans="1:14" x14ac:dyDescent="0.3">
      <c r="A333">
        <v>51012399</v>
      </c>
      <c r="B333">
        <v>31</v>
      </c>
      <c r="C333">
        <v>3</v>
      </c>
      <c r="D333">
        <f t="shared" si="15"/>
        <v>5</v>
      </c>
      <c r="E333">
        <f>ROUND(MIN(5,MAX(0,D333))/5*PARAMS_MODELO!$B$32,2)</f>
        <v>40</v>
      </c>
      <c r="F333">
        <v>5</v>
      </c>
      <c r="G333">
        <f>MAX(0,PARAMS_MODELO!$B$33-VALUE(TRIM(F333))*3)</f>
        <v>15</v>
      </c>
      <c r="H333">
        <v>4</v>
      </c>
      <c r="I333">
        <f>ROUND(MIN(4,MAX(0,H333))/4*PARAMS_MODELO!$B$34,2)</f>
        <v>20</v>
      </c>
      <c r="J333">
        <v>0</v>
      </c>
      <c r="K333">
        <f>IF(J333=0,0,PARAMS_MODELO!$B$35)</f>
        <v>0</v>
      </c>
      <c r="L333">
        <f t="shared" si="16"/>
        <v>75</v>
      </c>
      <c r="M333" t="str">
        <f t="shared" si="17"/>
        <v>Muy Bueno</v>
      </c>
      <c r="N333">
        <f>IF(M333=PARAMS_MODELO!$A$36,PARAMS_MODELO!$B$36,IF(M333=PARAMS_MODELO!$A$37,PARAMS_MODELO!$B$37,IF(M333=PARAMS_MODELO!$A$38,PARAMS_MODELO!$B$38,IF(M333=PARAMS_MODELO!$A$39,PARAMS_MODELO!$B$39,IF(M333=PARAMS_MODELO!$A$40,PARAMS_MODELO!$B$40)))))</f>
        <v>1.1499999999999999</v>
      </c>
    </row>
    <row r="334" spans="1:14" x14ac:dyDescent="0.3">
      <c r="A334">
        <v>51034236</v>
      </c>
      <c r="B334">
        <v>99</v>
      </c>
      <c r="C334">
        <v>100</v>
      </c>
      <c r="D334">
        <f t="shared" si="15"/>
        <v>0.99</v>
      </c>
      <c r="E334">
        <f>ROUND(MIN(5,MAX(0,D334))/5*PARAMS_MODELO!$B$32,2)</f>
        <v>7.92</v>
      </c>
      <c r="F334">
        <v>1</v>
      </c>
      <c r="G334">
        <f>MAX(0,PARAMS_MODELO!$B$33-VALUE(TRIM(F334))*3)</f>
        <v>27</v>
      </c>
      <c r="H334">
        <v>3</v>
      </c>
      <c r="I334">
        <f>ROUND(MIN(4,MAX(0,H334))/4*PARAMS_MODELO!$B$34,2)</f>
        <v>15</v>
      </c>
      <c r="J334">
        <v>0</v>
      </c>
      <c r="K334">
        <f>IF(J334=0,0,PARAMS_MODELO!$B$35)</f>
        <v>0</v>
      </c>
      <c r="L334">
        <f t="shared" si="16"/>
        <v>49.92</v>
      </c>
      <c r="M334" t="str">
        <f t="shared" si="17"/>
        <v>Regular</v>
      </c>
      <c r="N334">
        <f>IF(M334=PARAMS_MODELO!$A$36,PARAMS_MODELO!$B$36,IF(M334=PARAMS_MODELO!$A$37,PARAMS_MODELO!$B$37,IF(M334=PARAMS_MODELO!$A$38,PARAMS_MODELO!$B$38,IF(M334=PARAMS_MODELO!$A$39,PARAMS_MODELO!$B$39,IF(M334=PARAMS_MODELO!$A$40,PARAMS_MODELO!$B$40)))))</f>
        <v>1</v>
      </c>
    </row>
    <row r="335" spans="1:14" x14ac:dyDescent="0.3">
      <c r="A335">
        <v>51012941</v>
      </c>
      <c r="B335">
        <v>79</v>
      </c>
      <c r="C335">
        <v>26</v>
      </c>
      <c r="D335">
        <f t="shared" si="15"/>
        <v>3.0384615384615383</v>
      </c>
      <c r="E335">
        <f>ROUND(MIN(5,MAX(0,D335))/5*PARAMS_MODELO!$B$32,2)</f>
        <v>24.31</v>
      </c>
      <c r="F335">
        <v>1</v>
      </c>
      <c r="G335">
        <f>MAX(0,PARAMS_MODELO!$B$33-VALUE(TRIM(F335))*3)</f>
        <v>27</v>
      </c>
      <c r="H335">
        <v>4</v>
      </c>
      <c r="I335">
        <f>ROUND(MIN(4,MAX(0,H335))/4*PARAMS_MODELO!$B$34,2)</f>
        <v>20</v>
      </c>
      <c r="J335">
        <v>1</v>
      </c>
      <c r="K335">
        <f>IF(J335=0,0,PARAMS_MODELO!$B$35)</f>
        <v>10</v>
      </c>
      <c r="L335">
        <f t="shared" si="16"/>
        <v>81.31</v>
      </c>
      <c r="M335" t="str">
        <f t="shared" si="17"/>
        <v>Muy Bueno</v>
      </c>
      <c r="N335">
        <f>IF(M335=PARAMS_MODELO!$A$36,PARAMS_MODELO!$B$36,IF(M335=PARAMS_MODELO!$A$37,PARAMS_MODELO!$B$37,IF(M335=PARAMS_MODELO!$A$38,PARAMS_MODELO!$B$38,IF(M335=PARAMS_MODELO!$A$39,PARAMS_MODELO!$B$39,IF(M335=PARAMS_MODELO!$A$40,PARAMS_MODELO!$B$40)))))</f>
        <v>1.1499999999999999</v>
      </c>
    </row>
    <row r="336" spans="1:14" x14ac:dyDescent="0.3">
      <c r="A336">
        <v>51011694</v>
      </c>
      <c r="B336">
        <v>43</v>
      </c>
      <c r="C336">
        <v>30</v>
      </c>
      <c r="D336">
        <f t="shared" si="15"/>
        <v>1.4333333333333333</v>
      </c>
      <c r="E336">
        <f>ROUND(MIN(5,MAX(0,D336))/5*PARAMS_MODELO!$B$32,2)</f>
        <v>11.47</v>
      </c>
      <c r="F336">
        <v>5</v>
      </c>
      <c r="G336">
        <f>MAX(0,PARAMS_MODELO!$B$33-VALUE(TRIM(F336))*3)</f>
        <v>15</v>
      </c>
      <c r="H336">
        <v>2</v>
      </c>
      <c r="I336">
        <f>ROUND(MIN(4,MAX(0,H336))/4*PARAMS_MODELO!$B$34,2)</f>
        <v>10</v>
      </c>
      <c r="J336">
        <v>1</v>
      </c>
      <c r="K336">
        <f>IF(J336=0,0,PARAMS_MODELO!$B$35)</f>
        <v>10</v>
      </c>
      <c r="L336">
        <f t="shared" si="16"/>
        <v>46.47</v>
      </c>
      <c r="M336" t="str">
        <f t="shared" si="17"/>
        <v>Regular</v>
      </c>
      <c r="N336">
        <f>IF(M336=PARAMS_MODELO!$A$36,PARAMS_MODELO!$B$36,IF(M336=PARAMS_MODELO!$A$37,PARAMS_MODELO!$B$37,IF(M336=PARAMS_MODELO!$A$38,PARAMS_MODELO!$B$38,IF(M336=PARAMS_MODELO!$A$39,PARAMS_MODELO!$B$39,IF(M336=PARAMS_MODELO!$A$40,PARAMS_MODELO!$B$40)))))</f>
        <v>1</v>
      </c>
    </row>
    <row r="337" spans="1:14" x14ac:dyDescent="0.3">
      <c r="A337">
        <v>51020197</v>
      </c>
      <c r="B337">
        <v>58</v>
      </c>
      <c r="C337">
        <v>0</v>
      </c>
      <c r="D337">
        <f t="shared" si="15"/>
        <v>0</v>
      </c>
      <c r="E337">
        <f>ROUND(MIN(5,MAX(0,D337))/5*PARAMS_MODELO!$B$32,2)</f>
        <v>0</v>
      </c>
      <c r="F337">
        <v>1</v>
      </c>
      <c r="G337">
        <f>MAX(0,PARAMS_MODELO!$B$33-VALUE(TRIM(F337))*3)</f>
        <v>27</v>
      </c>
      <c r="H337">
        <v>4</v>
      </c>
      <c r="I337">
        <f>ROUND(MIN(4,MAX(0,H337))/4*PARAMS_MODELO!$B$34,2)</f>
        <v>20</v>
      </c>
      <c r="J337">
        <v>1</v>
      </c>
      <c r="K337">
        <f>IF(J337=0,0,PARAMS_MODELO!$B$35)</f>
        <v>10</v>
      </c>
      <c r="L337">
        <f t="shared" si="16"/>
        <v>57</v>
      </c>
      <c r="M337" t="str">
        <f t="shared" si="17"/>
        <v>Regular</v>
      </c>
      <c r="N337">
        <f>IF(M337=PARAMS_MODELO!$A$36,PARAMS_MODELO!$B$36,IF(M337=PARAMS_MODELO!$A$37,PARAMS_MODELO!$B$37,IF(M337=PARAMS_MODELO!$A$38,PARAMS_MODELO!$B$38,IF(M337=PARAMS_MODELO!$A$39,PARAMS_MODELO!$B$39,IF(M337=PARAMS_MODELO!$A$40,PARAMS_MODELO!$B$40)))))</f>
        <v>1</v>
      </c>
    </row>
    <row r="338" spans="1:14" x14ac:dyDescent="0.3">
      <c r="A338">
        <v>51003284</v>
      </c>
      <c r="B338">
        <v>84</v>
      </c>
      <c r="C338">
        <v>34</v>
      </c>
      <c r="D338">
        <f t="shared" si="15"/>
        <v>2.4705882352941178</v>
      </c>
      <c r="E338">
        <f>ROUND(MIN(5,MAX(0,D338))/5*PARAMS_MODELO!$B$32,2)</f>
        <v>19.760000000000002</v>
      </c>
      <c r="F338">
        <v>4</v>
      </c>
      <c r="G338">
        <f>MAX(0,PARAMS_MODELO!$B$33-VALUE(TRIM(F338))*3)</f>
        <v>18</v>
      </c>
      <c r="H338">
        <v>3</v>
      </c>
      <c r="I338">
        <f>ROUND(MIN(4,MAX(0,H338))/4*PARAMS_MODELO!$B$34,2)</f>
        <v>15</v>
      </c>
      <c r="J338">
        <v>1</v>
      </c>
      <c r="K338">
        <f>IF(J338=0,0,PARAMS_MODELO!$B$35)</f>
        <v>10</v>
      </c>
      <c r="L338">
        <f t="shared" si="16"/>
        <v>62.760000000000005</v>
      </c>
      <c r="M338" t="str">
        <f t="shared" si="17"/>
        <v>Bueno</v>
      </c>
      <c r="N338">
        <f>IF(M338=PARAMS_MODELO!$A$36,PARAMS_MODELO!$B$36,IF(M338=PARAMS_MODELO!$A$37,PARAMS_MODELO!$B$37,IF(M338=PARAMS_MODELO!$A$38,PARAMS_MODELO!$B$38,IF(M338=PARAMS_MODELO!$A$39,PARAMS_MODELO!$B$39,IF(M338=PARAMS_MODELO!$A$40,PARAMS_MODELO!$B$40)))))</f>
        <v>1.1000000000000001</v>
      </c>
    </row>
    <row r="339" spans="1:14" x14ac:dyDescent="0.3">
      <c r="A339">
        <v>51025342</v>
      </c>
      <c r="B339">
        <v>45</v>
      </c>
      <c r="C339">
        <v>20</v>
      </c>
      <c r="D339">
        <f t="shared" si="15"/>
        <v>2.25</v>
      </c>
      <c r="E339">
        <f>ROUND(MIN(5,MAX(0,D339))/5*PARAMS_MODELO!$B$32,2)</f>
        <v>18</v>
      </c>
      <c r="F339">
        <v>4</v>
      </c>
      <c r="G339">
        <f>MAX(0,PARAMS_MODELO!$B$33-VALUE(TRIM(F339))*3)</f>
        <v>18</v>
      </c>
      <c r="H339">
        <v>4</v>
      </c>
      <c r="I339">
        <f>ROUND(MIN(4,MAX(0,H339))/4*PARAMS_MODELO!$B$34,2)</f>
        <v>20</v>
      </c>
      <c r="J339">
        <v>1</v>
      </c>
      <c r="K339">
        <f>IF(J339=0,0,PARAMS_MODELO!$B$35)</f>
        <v>10</v>
      </c>
      <c r="L339">
        <f t="shared" si="16"/>
        <v>66</v>
      </c>
      <c r="M339" t="str">
        <f t="shared" si="17"/>
        <v>Bueno</v>
      </c>
      <c r="N339">
        <f>IF(M339=PARAMS_MODELO!$A$36,PARAMS_MODELO!$B$36,IF(M339=PARAMS_MODELO!$A$37,PARAMS_MODELO!$B$37,IF(M339=PARAMS_MODELO!$A$38,PARAMS_MODELO!$B$38,IF(M339=PARAMS_MODELO!$A$39,PARAMS_MODELO!$B$39,IF(M339=PARAMS_MODELO!$A$40,PARAMS_MODELO!$B$40)))))</f>
        <v>1.1000000000000001</v>
      </c>
    </row>
    <row r="340" spans="1:14" x14ac:dyDescent="0.3">
      <c r="A340">
        <v>51030389</v>
      </c>
      <c r="B340">
        <v>71</v>
      </c>
      <c r="C340">
        <v>24</v>
      </c>
      <c r="D340">
        <f t="shared" si="15"/>
        <v>2.9583333333333335</v>
      </c>
      <c r="E340">
        <f>ROUND(MIN(5,MAX(0,D340))/5*PARAMS_MODELO!$B$32,2)</f>
        <v>23.67</v>
      </c>
      <c r="F340">
        <v>1</v>
      </c>
      <c r="G340">
        <f>MAX(0,PARAMS_MODELO!$B$33-VALUE(TRIM(F340))*3)</f>
        <v>27</v>
      </c>
      <c r="H340">
        <v>0</v>
      </c>
      <c r="I340">
        <f>ROUND(MIN(4,MAX(0,H340))/4*PARAMS_MODELO!$B$34,2)</f>
        <v>0</v>
      </c>
      <c r="J340">
        <v>1</v>
      </c>
      <c r="K340">
        <f>IF(J340=0,0,PARAMS_MODELO!$B$35)</f>
        <v>10</v>
      </c>
      <c r="L340">
        <f t="shared" si="16"/>
        <v>60.67</v>
      </c>
      <c r="M340" t="str">
        <f t="shared" si="17"/>
        <v>Bueno</v>
      </c>
      <c r="N340">
        <f>IF(M340=PARAMS_MODELO!$A$36,PARAMS_MODELO!$B$36,IF(M340=PARAMS_MODELO!$A$37,PARAMS_MODELO!$B$37,IF(M340=PARAMS_MODELO!$A$38,PARAMS_MODELO!$B$38,IF(M340=PARAMS_MODELO!$A$39,PARAMS_MODELO!$B$39,IF(M340=PARAMS_MODELO!$A$40,PARAMS_MODELO!$B$40)))))</f>
        <v>1.1000000000000001</v>
      </c>
    </row>
    <row r="341" spans="1:14" x14ac:dyDescent="0.3">
      <c r="A341">
        <v>51013581</v>
      </c>
      <c r="B341">
        <v>8</v>
      </c>
      <c r="C341">
        <v>29</v>
      </c>
      <c r="D341">
        <f t="shared" si="15"/>
        <v>0.27586206896551724</v>
      </c>
      <c r="E341">
        <f>ROUND(MIN(5,MAX(0,D341))/5*PARAMS_MODELO!$B$32,2)</f>
        <v>2.21</v>
      </c>
      <c r="F341">
        <v>5</v>
      </c>
      <c r="G341">
        <f>MAX(0,PARAMS_MODELO!$B$33-VALUE(TRIM(F341))*3)</f>
        <v>15</v>
      </c>
      <c r="H341">
        <v>0</v>
      </c>
      <c r="I341">
        <f>ROUND(MIN(4,MAX(0,H341))/4*PARAMS_MODELO!$B$34,2)</f>
        <v>0</v>
      </c>
      <c r="J341">
        <v>0</v>
      </c>
      <c r="K341">
        <f>IF(J341=0,0,PARAMS_MODELO!$B$35)</f>
        <v>0</v>
      </c>
      <c r="L341">
        <f t="shared" si="16"/>
        <v>17.21</v>
      </c>
      <c r="M341" t="str">
        <f t="shared" si="17"/>
        <v>Malo</v>
      </c>
      <c r="N341">
        <f>IF(M341=PARAMS_MODELO!$A$36,PARAMS_MODELO!$B$36,IF(M341=PARAMS_MODELO!$A$37,PARAMS_MODELO!$B$37,IF(M341=PARAMS_MODELO!$A$38,PARAMS_MODELO!$B$38,IF(M341=PARAMS_MODELO!$A$39,PARAMS_MODELO!$B$39,IF(M341=PARAMS_MODELO!$A$40,PARAMS_MODELO!$B$40)))))</f>
        <v>0.7</v>
      </c>
    </row>
    <row r="342" spans="1:14" x14ac:dyDescent="0.3">
      <c r="A342">
        <v>51056833</v>
      </c>
      <c r="B342">
        <v>18</v>
      </c>
      <c r="C342">
        <v>60</v>
      </c>
      <c r="D342">
        <f t="shared" si="15"/>
        <v>0.3</v>
      </c>
      <c r="E342">
        <f>ROUND(MIN(5,MAX(0,D342))/5*PARAMS_MODELO!$B$32,2)</f>
        <v>2.4</v>
      </c>
      <c r="F342">
        <v>1</v>
      </c>
      <c r="G342">
        <f>MAX(0,PARAMS_MODELO!$B$33-VALUE(TRIM(F342))*3)</f>
        <v>27</v>
      </c>
      <c r="H342">
        <v>4</v>
      </c>
      <c r="I342">
        <f>ROUND(MIN(4,MAX(0,H342))/4*PARAMS_MODELO!$B$34,2)</f>
        <v>20</v>
      </c>
      <c r="J342">
        <v>0</v>
      </c>
      <c r="K342">
        <f>IF(J342=0,0,PARAMS_MODELO!$B$35)</f>
        <v>0</v>
      </c>
      <c r="L342">
        <f t="shared" si="16"/>
        <v>49.4</v>
      </c>
      <c r="M342" t="str">
        <f t="shared" si="17"/>
        <v>Regular</v>
      </c>
      <c r="N342">
        <f>IF(M342=PARAMS_MODELO!$A$36,PARAMS_MODELO!$B$36,IF(M342=PARAMS_MODELO!$A$37,PARAMS_MODELO!$B$37,IF(M342=PARAMS_MODELO!$A$38,PARAMS_MODELO!$B$38,IF(M342=PARAMS_MODELO!$A$39,PARAMS_MODELO!$B$39,IF(M342=PARAMS_MODELO!$A$40,PARAMS_MODELO!$B$40)))))</f>
        <v>1</v>
      </c>
    </row>
    <row r="343" spans="1:14" x14ac:dyDescent="0.3">
      <c r="A343">
        <v>51056086</v>
      </c>
      <c r="B343">
        <v>48</v>
      </c>
      <c r="C343">
        <v>38</v>
      </c>
      <c r="D343">
        <f t="shared" si="15"/>
        <v>1.263157894736842</v>
      </c>
      <c r="E343">
        <f>ROUND(MIN(5,MAX(0,D343))/5*PARAMS_MODELO!$B$32,2)</f>
        <v>10.11</v>
      </c>
      <c r="F343">
        <v>4</v>
      </c>
      <c r="G343">
        <f>MAX(0,PARAMS_MODELO!$B$33-VALUE(TRIM(F343))*3)</f>
        <v>18</v>
      </c>
      <c r="H343">
        <v>2</v>
      </c>
      <c r="I343">
        <f>ROUND(MIN(4,MAX(0,H343))/4*PARAMS_MODELO!$B$34,2)</f>
        <v>10</v>
      </c>
      <c r="J343">
        <v>1</v>
      </c>
      <c r="K343">
        <f>IF(J343=0,0,PARAMS_MODELO!$B$35)</f>
        <v>10</v>
      </c>
      <c r="L343">
        <f t="shared" si="16"/>
        <v>48.11</v>
      </c>
      <c r="M343" t="str">
        <f t="shared" si="17"/>
        <v>Regular</v>
      </c>
      <c r="N343">
        <f>IF(M343=PARAMS_MODELO!$A$36,PARAMS_MODELO!$B$36,IF(M343=PARAMS_MODELO!$A$37,PARAMS_MODELO!$B$37,IF(M343=PARAMS_MODELO!$A$38,PARAMS_MODELO!$B$38,IF(M343=PARAMS_MODELO!$A$39,PARAMS_MODELO!$B$39,IF(M343=PARAMS_MODELO!$A$40,PARAMS_MODELO!$B$40)))))</f>
        <v>1</v>
      </c>
    </row>
    <row r="344" spans="1:14" x14ac:dyDescent="0.3">
      <c r="A344">
        <v>51055241</v>
      </c>
      <c r="B344">
        <v>59</v>
      </c>
      <c r="C344">
        <v>93</v>
      </c>
      <c r="D344">
        <f t="shared" si="15"/>
        <v>0.63440860215053763</v>
      </c>
      <c r="E344">
        <f>ROUND(MIN(5,MAX(0,D344))/5*PARAMS_MODELO!$B$32,2)</f>
        <v>5.08</v>
      </c>
      <c r="F344">
        <v>2</v>
      </c>
      <c r="G344">
        <f>MAX(0,PARAMS_MODELO!$B$33-VALUE(TRIM(F344))*3)</f>
        <v>24</v>
      </c>
      <c r="H344">
        <v>4</v>
      </c>
      <c r="I344">
        <f>ROUND(MIN(4,MAX(0,H344))/4*PARAMS_MODELO!$B$34,2)</f>
        <v>20</v>
      </c>
      <c r="J344">
        <v>0</v>
      </c>
      <c r="K344">
        <f>IF(J344=0,0,PARAMS_MODELO!$B$35)</f>
        <v>0</v>
      </c>
      <c r="L344">
        <f t="shared" si="16"/>
        <v>49.08</v>
      </c>
      <c r="M344" t="str">
        <f t="shared" si="17"/>
        <v>Regular</v>
      </c>
      <c r="N344">
        <f>IF(M344=PARAMS_MODELO!$A$36,PARAMS_MODELO!$B$36,IF(M344=PARAMS_MODELO!$A$37,PARAMS_MODELO!$B$37,IF(M344=PARAMS_MODELO!$A$38,PARAMS_MODELO!$B$38,IF(M344=PARAMS_MODELO!$A$39,PARAMS_MODELO!$B$39,IF(M344=PARAMS_MODELO!$A$40,PARAMS_MODELO!$B$40)))))</f>
        <v>1</v>
      </c>
    </row>
    <row r="345" spans="1:14" x14ac:dyDescent="0.3">
      <c r="A345">
        <v>51008669</v>
      </c>
      <c r="B345">
        <v>93</v>
      </c>
      <c r="C345">
        <v>96</v>
      </c>
      <c r="D345">
        <f t="shared" si="15"/>
        <v>0.96875</v>
      </c>
      <c r="E345">
        <f>ROUND(MIN(5,MAX(0,D345))/5*PARAMS_MODELO!$B$32,2)</f>
        <v>7.75</v>
      </c>
      <c r="F345">
        <v>2</v>
      </c>
      <c r="G345">
        <f>MAX(0,PARAMS_MODELO!$B$33-VALUE(TRIM(F345))*3)</f>
        <v>24</v>
      </c>
      <c r="H345">
        <v>3</v>
      </c>
      <c r="I345">
        <f>ROUND(MIN(4,MAX(0,H345))/4*PARAMS_MODELO!$B$34,2)</f>
        <v>15</v>
      </c>
      <c r="J345">
        <v>0</v>
      </c>
      <c r="K345">
        <f>IF(J345=0,0,PARAMS_MODELO!$B$35)</f>
        <v>0</v>
      </c>
      <c r="L345">
        <f t="shared" si="16"/>
        <v>46.75</v>
      </c>
      <c r="M345" t="str">
        <f t="shared" si="17"/>
        <v>Regular</v>
      </c>
      <c r="N345">
        <f>IF(M345=PARAMS_MODELO!$A$36,PARAMS_MODELO!$B$36,IF(M345=PARAMS_MODELO!$A$37,PARAMS_MODELO!$B$37,IF(M345=PARAMS_MODELO!$A$38,PARAMS_MODELO!$B$38,IF(M345=PARAMS_MODELO!$A$39,PARAMS_MODELO!$B$39,IF(M345=PARAMS_MODELO!$A$40,PARAMS_MODELO!$B$40)))))</f>
        <v>1</v>
      </c>
    </row>
    <row r="346" spans="1:14" x14ac:dyDescent="0.3">
      <c r="A346">
        <v>51031521</v>
      </c>
      <c r="B346">
        <v>0</v>
      </c>
      <c r="C346">
        <v>50</v>
      </c>
      <c r="D346">
        <f t="shared" si="15"/>
        <v>0</v>
      </c>
      <c r="E346">
        <f>ROUND(MIN(5,MAX(0,D346))/5*PARAMS_MODELO!$B$32,2)</f>
        <v>0</v>
      </c>
      <c r="F346">
        <v>4</v>
      </c>
      <c r="G346">
        <f>MAX(0,PARAMS_MODELO!$B$33-VALUE(TRIM(F346))*3)</f>
        <v>18</v>
      </c>
      <c r="H346">
        <v>4</v>
      </c>
      <c r="I346">
        <f>ROUND(MIN(4,MAX(0,H346))/4*PARAMS_MODELO!$B$34,2)</f>
        <v>20</v>
      </c>
      <c r="J346">
        <v>1</v>
      </c>
      <c r="K346">
        <f>IF(J346=0,0,PARAMS_MODELO!$B$35)</f>
        <v>10</v>
      </c>
      <c r="L346">
        <f t="shared" si="16"/>
        <v>48</v>
      </c>
      <c r="M346" t="str">
        <f t="shared" si="17"/>
        <v>Regular</v>
      </c>
      <c r="N346">
        <f>IF(M346=PARAMS_MODELO!$A$36,PARAMS_MODELO!$B$36,IF(M346=PARAMS_MODELO!$A$37,PARAMS_MODELO!$B$37,IF(M346=PARAMS_MODELO!$A$38,PARAMS_MODELO!$B$38,IF(M346=PARAMS_MODELO!$A$39,PARAMS_MODELO!$B$39,IF(M346=PARAMS_MODELO!$A$40,PARAMS_MODELO!$B$40)))))</f>
        <v>1</v>
      </c>
    </row>
    <row r="347" spans="1:14" x14ac:dyDescent="0.3">
      <c r="A347">
        <v>51033477</v>
      </c>
      <c r="B347">
        <v>32</v>
      </c>
      <c r="C347">
        <v>42</v>
      </c>
      <c r="D347">
        <f t="shared" si="15"/>
        <v>0.76190476190476186</v>
      </c>
      <c r="E347">
        <f>ROUND(MIN(5,MAX(0,D347))/5*PARAMS_MODELO!$B$32,2)</f>
        <v>6.1</v>
      </c>
      <c r="F347">
        <v>5</v>
      </c>
      <c r="G347">
        <f>MAX(0,PARAMS_MODELO!$B$33-VALUE(TRIM(F347))*3)</f>
        <v>15</v>
      </c>
      <c r="H347">
        <v>3</v>
      </c>
      <c r="I347">
        <f>ROUND(MIN(4,MAX(0,H347))/4*PARAMS_MODELO!$B$34,2)</f>
        <v>15</v>
      </c>
      <c r="J347">
        <v>0</v>
      </c>
      <c r="K347">
        <f>IF(J347=0,0,PARAMS_MODELO!$B$35)</f>
        <v>0</v>
      </c>
      <c r="L347">
        <f t="shared" si="16"/>
        <v>36.1</v>
      </c>
      <c r="M347" t="str">
        <f t="shared" si="17"/>
        <v>Malo</v>
      </c>
      <c r="N347">
        <f>IF(M347=PARAMS_MODELO!$A$36,PARAMS_MODELO!$B$36,IF(M347=PARAMS_MODELO!$A$37,PARAMS_MODELO!$B$37,IF(M347=PARAMS_MODELO!$A$38,PARAMS_MODELO!$B$38,IF(M347=PARAMS_MODELO!$A$39,PARAMS_MODELO!$B$39,IF(M347=PARAMS_MODELO!$A$40,PARAMS_MODELO!$B$40)))))</f>
        <v>0.7</v>
      </c>
    </row>
    <row r="348" spans="1:14" x14ac:dyDescent="0.3">
      <c r="A348">
        <v>51020651</v>
      </c>
      <c r="B348">
        <v>72</v>
      </c>
      <c r="C348">
        <v>35</v>
      </c>
      <c r="D348">
        <f t="shared" si="15"/>
        <v>2.0571428571428569</v>
      </c>
      <c r="E348">
        <f>ROUND(MIN(5,MAX(0,D348))/5*PARAMS_MODELO!$B$32,2)</f>
        <v>16.46</v>
      </c>
      <c r="F348">
        <v>5</v>
      </c>
      <c r="G348">
        <f>MAX(0,PARAMS_MODELO!$B$33-VALUE(TRIM(F348))*3)</f>
        <v>15</v>
      </c>
      <c r="H348">
        <v>2</v>
      </c>
      <c r="I348">
        <f>ROUND(MIN(4,MAX(0,H348))/4*PARAMS_MODELO!$B$34,2)</f>
        <v>10</v>
      </c>
      <c r="J348">
        <v>0</v>
      </c>
      <c r="K348">
        <f>IF(J348=0,0,PARAMS_MODELO!$B$35)</f>
        <v>0</v>
      </c>
      <c r="L348">
        <f t="shared" si="16"/>
        <v>41.46</v>
      </c>
      <c r="M348" t="str">
        <f t="shared" si="17"/>
        <v>Regular</v>
      </c>
      <c r="N348">
        <f>IF(M348=PARAMS_MODELO!$A$36,PARAMS_MODELO!$B$36,IF(M348=PARAMS_MODELO!$A$37,PARAMS_MODELO!$B$37,IF(M348=PARAMS_MODELO!$A$38,PARAMS_MODELO!$B$38,IF(M348=PARAMS_MODELO!$A$39,PARAMS_MODELO!$B$39,IF(M348=PARAMS_MODELO!$A$40,PARAMS_MODELO!$B$40)))))</f>
        <v>1</v>
      </c>
    </row>
    <row r="349" spans="1:14" x14ac:dyDescent="0.3">
      <c r="A349">
        <v>51013409</v>
      </c>
      <c r="B349">
        <v>32</v>
      </c>
      <c r="C349">
        <v>96</v>
      </c>
      <c r="D349">
        <f t="shared" si="15"/>
        <v>0.33333333333333331</v>
      </c>
      <c r="E349">
        <f>ROUND(MIN(5,MAX(0,D349))/5*PARAMS_MODELO!$B$32,2)</f>
        <v>2.67</v>
      </c>
      <c r="F349">
        <v>3</v>
      </c>
      <c r="G349">
        <f>MAX(0,PARAMS_MODELO!$B$33-VALUE(TRIM(F349))*3)</f>
        <v>21</v>
      </c>
      <c r="H349">
        <v>3</v>
      </c>
      <c r="I349">
        <f>ROUND(MIN(4,MAX(0,H349))/4*PARAMS_MODELO!$B$34,2)</f>
        <v>15</v>
      </c>
      <c r="J349">
        <v>0</v>
      </c>
      <c r="K349">
        <f>IF(J349=0,0,PARAMS_MODELO!$B$35)</f>
        <v>0</v>
      </c>
      <c r="L349">
        <f t="shared" si="16"/>
        <v>38.67</v>
      </c>
      <c r="M349" t="str">
        <f t="shared" si="17"/>
        <v>Malo</v>
      </c>
      <c r="N349">
        <f>IF(M349=PARAMS_MODELO!$A$36,PARAMS_MODELO!$B$36,IF(M349=PARAMS_MODELO!$A$37,PARAMS_MODELO!$B$37,IF(M349=PARAMS_MODELO!$A$38,PARAMS_MODELO!$B$38,IF(M349=PARAMS_MODELO!$A$39,PARAMS_MODELO!$B$39,IF(M349=PARAMS_MODELO!$A$40,PARAMS_MODELO!$B$40)))))</f>
        <v>0.7</v>
      </c>
    </row>
    <row r="350" spans="1:14" x14ac:dyDescent="0.3">
      <c r="A350">
        <v>51030397</v>
      </c>
      <c r="B350">
        <v>39</v>
      </c>
      <c r="C350">
        <v>44</v>
      </c>
      <c r="D350">
        <f t="shared" si="15"/>
        <v>0.88636363636363635</v>
      </c>
      <c r="E350">
        <f>ROUND(MIN(5,MAX(0,D350))/5*PARAMS_MODELO!$B$32,2)</f>
        <v>7.09</v>
      </c>
      <c r="F350">
        <v>0</v>
      </c>
      <c r="G350">
        <f>MAX(0,PARAMS_MODELO!$B$33-VALUE(TRIM(F350))*3)</f>
        <v>30</v>
      </c>
      <c r="H350">
        <v>2</v>
      </c>
      <c r="I350">
        <f>ROUND(MIN(4,MAX(0,H350))/4*PARAMS_MODELO!$B$34,2)</f>
        <v>10</v>
      </c>
      <c r="J350">
        <v>0</v>
      </c>
      <c r="K350">
        <f>IF(J350=0,0,PARAMS_MODELO!$B$35)</f>
        <v>0</v>
      </c>
      <c r="L350">
        <f t="shared" si="16"/>
        <v>47.09</v>
      </c>
      <c r="M350" t="str">
        <f t="shared" si="17"/>
        <v>Regular</v>
      </c>
      <c r="N350">
        <f>IF(M350=PARAMS_MODELO!$A$36,PARAMS_MODELO!$B$36,IF(M350=PARAMS_MODELO!$A$37,PARAMS_MODELO!$B$37,IF(M350=PARAMS_MODELO!$A$38,PARAMS_MODELO!$B$38,IF(M350=PARAMS_MODELO!$A$39,PARAMS_MODELO!$B$39,IF(M350=PARAMS_MODELO!$A$40,PARAMS_MODELO!$B$40)))))</f>
        <v>1</v>
      </c>
    </row>
    <row r="351" spans="1:14" x14ac:dyDescent="0.3">
      <c r="A351">
        <v>51010353</v>
      </c>
      <c r="B351">
        <v>33</v>
      </c>
      <c r="C351">
        <v>47</v>
      </c>
      <c r="D351">
        <f t="shared" si="15"/>
        <v>0.7021276595744681</v>
      </c>
      <c r="E351">
        <f>ROUND(MIN(5,MAX(0,D351))/5*PARAMS_MODELO!$B$32,2)</f>
        <v>5.62</v>
      </c>
      <c r="F351">
        <v>4</v>
      </c>
      <c r="G351">
        <f>MAX(0,PARAMS_MODELO!$B$33-VALUE(TRIM(F351))*3)</f>
        <v>18</v>
      </c>
      <c r="H351">
        <v>2</v>
      </c>
      <c r="I351">
        <f>ROUND(MIN(4,MAX(0,H351))/4*PARAMS_MODELO!$B$34,2)</f>
        <v>10</v>
      </c>
      <c r="J351">
        <v>0</v>
      </c>
      <c r="K351">
        <f>IF(J351=0,0,PARAMS_MODELO!$B$35)</f>
        <v>0</v>
      </c>
      <c r="L351">
        <f t="shared" si="16"/>
        <v>33.620000000000005</v>
      </c>
      <c r="M351" t="str">
        <f t="shared" si="17"/>
        <v>Malo</v>
      </c>
      <c r="N351">
        <f>IF(M351=PARAMS_MODELO!$A$36,PARAMS_MODELO!$B$36,IF(M351=PARAMS_MODELO!$A$37,PARAMS_MODELO!$B$37,IF(M351=PARAMS_MODELO!$A$38,PARAMS_MODELO!$B$38,IF(M351=PARAMS_MODELO!$A$39,PARAMS_MODELO!$B$39,IF(M351=PARAMS_MODELO!$A$40,PARAMS_MODELO!$B$40)))))</f>
        <v>0.7</v>
      </c>
    </row>
    <row r="352" spans="1:14" x14ac:dyDescent="0.3">
      <c r="A352">
        <v>51054814</v>
      </c>
      <c r="B352">
        <v>81</v>
      </c>
      <c r="C352">
        <v>80</v>
      </c>
      <c r="D352">
        <f t="shared" si="15"/>
        <v>1.0125</v>
      </c>
      <c r="E352">
        <f>ROUND(MIN(5,MAX(0,D352))/5*PARAMS_MODELO!$B$32,2)</f>
        <v>8.1</v>
      </c>
      <c r="F352">
        <v>4</v>
      </c>
      <c r="G352">
        <f>MAX(0,PARAMS_MODELO!$B$33-VALUE(TRIM(F352))*3)</f>
        <v>18</v>
      </c>
      <c r="H352">
        <v>3</v>
      </c>
      <c r="I352">
        <f>ROUND(MIN(4,MAX(0,H352))/4*PARAMS_MODELO!$B$34,2)</f>
        <v>15</v>
      </c>
      <c r="J352">
        <v>1</v>
      </c>
      <c r="K352">
        <f>IF(J352=0,0,PARAMS_MODELO!$B$35)</f>
        <v>10</v>
      </c>
      <c r="L352">
        <f t="shared" si="16"/>
        <v>51.1</v>
      </c>
      <c r="M352" t="str">
        <f t="shared" si="17"/>
        <v>Regular</v>
      </c>
      <c r="N352">
        <f>IF(M352=PARAMS_MODELO!$A$36,PARAMS_MODELO!$B$36,IF(M352=PARAMS_MODELO!$A$37,PARAMS_MODELO!$B$37,IF(M352=PARAMS_MODELO!$A$38,PARAMS_MODELO!$B$38,IF(M352=PARAMS_MODELO!$A$39,PARAMS_MODELO!$B$39,IF(M352=PARAMS_MODELO!$A$40,PARAMS_MODELO!$B$40)))))</f>
        <v>1</v>
      </c>
    </row>
    <row r="353" spans="1:14" x14ac:dyDescent="0.3">
      <c r="A353">
        <v>51012372</v>
      </c>
      <c r="B353">
        <v>35</v>
      </c>
      <c r="C353">
        <v>49</v>
      </c>
      <c r="D353">
        <f t="shared" si="15"/>
        <v>0.7142857142857143</v>
      </c>
      <c r="E353">
        <f>ROUND(MIN(5,MAX(0,D353))/5*PARAMS_MODELO!$B$32,2)</f>
        <v>5.71</v>
      </c>
      <c r="F353">
        <v>5</v>
      </c>
      <c r="G353">
        <f>MAX(0,PARAMS_MODELO!$B$33-VALUE(TRIM(F353))*3)</f>
        <v>15</v>
      </c>
      <c r="H353">
        <v>3</v>
      </c>
      <c r="I353">
        <f>ROUND(MIN(4,MAX(0,H353))/4*PARAMS_MODELO!$B$34,2)</f>
        <v>15</v>
      </c>
      <c r="J353">
        <v>1</v>
      </c>
      <c r="K353">
        <f>IF(J353=0,0,PARAMS_MODELO!$B$35)</f>
        <v>10</v>
      </c>
      <c r="L353">
        <f t="shared" si="16"/>
        <v>45.71</v>
      </c>
      <c r="M353" t="str">
        <f t="shared" si="17"/>
        <v>Regular</v>
      </c>
      <c r="N353">
        <f>IF(M353=PARAMS_MODELO!$A$36,PARAMS_MODELO!$B$36,IF(M353=PARAMS_MODELO!$A$37,PARAMS_MODELO!$B$37,IF(M353=PARAMS_MODELO!$A$38,PARAMS_MODELO!$B$38,IF(M353=PARAMS_MODELO!$A$39,PARAMS_MODELO!$B$39,IF(M353=PARAMS_MODELO!$A$40,PARAMS_MODELO!$B$40)))))</f>
        <v>1</v>
      </c>
    </row>
    <row r="354" spans="1:14" x14ac:dyDescent="0.3">
      <c r="A354">
        <v>51036212</v>
      </c>
      <c r="B354">
        <v>8</v>
      </c>
      <c r="C354">
        <v>4</v>
      </c>
      <c r="D354">
        <f t="shared" si="15"/>
        <v>2</v>
      </c>
      <c r="E354">
        <f>ROUND(MIN(5,MAX(0,D354))/5*PARAMS_MODELO!$B$32,2)</f>
        <v>16</v>
      </c>
      <c r="F354">
        <v>5</v>
      </c>
      <c r="G354">
        <f>MAX(0,PARAMS_MODELO!$B$33-VALUE(TRIM(F354))*3)</f>
        <v>15</v>
      </c>
      <c r="H354">
        <v>0</v>
      </c>
      <c r="I354">
        <f>ROUND(MIN(4,MAX(0,H354))/4*PARAMS_MODELO!$B$34,2)</f>
        <v>0</v>
      </c>
      <c r="J354">
        <v>1</v>
      </c>
      <c r="K354">
        <f>IF(J354=0,0,PARAMS_MODELO!$B$35)</f>
        <v>10</v>
      </c>
      <c r="L354">
        <f t="shared" si="16"/>
        <v>41</v>
      </c>
      <c r="M354" t="str">
        <f t="shared" si="17"/>
        <v>Regular</v>
      </c>
      <c r="N354">
        <f>IF(M354=PARAMS_MODELO!$A$36,PARAMS_MODELO!$B$36,IF(M354=PARAMS_MODELO!$A$37,PARAMS_MODELO!$B$37,IF(M354=PARAMS_MODELO!$A$38,PARAMS_MODELO!$B$38,IF(M354=PARAMS_MODELO!$A$39,PARAMS_MODELO!$B$39,IF(M354=PARAMS_MODELO!$A$40,PARAMS_MODELO!$B$40)))))</f>
        <v>1</v>
      </c>
    </row>
    <row r="355" spans="1:14" x14ac:dyDescent="0.3">
      <c r="A355">
        <v>51029984</v>
      </c>
      <c r="B355">
        <v>38</v>
      </c>
      <c r="C355">
        <v>78</v>
      </c>
      <c r="D355">
        <f t="shared" si="15"/>
        <v>0.48717948717948717</v>
      </c>
      <c r="E355">
        <f>ROUND(MIN(5,MAX(0,D355))/5*PARAMS_MODELO!$B$32,2)</f>
        <v>3.9</v>
      </c>
      <c r="F355">
        <v>4</v>
      </c>
      <c r="G355">
        <f>MAX(0,PARAMS_MODELO!$B$33-VALUE(TRIM(F355))*3)</f>
        <v>18</v>
      </c>
      <c r="H355">
        <v>3</v>
      </c>
      <c r="I355">
        <f>ROUND(MIN(4,MAX(0,H355))/4*PARAMS_MODELO!$B$34,2)</f>
        <v>15</v>
      </c>
      <c r="J355">
        <v>0</v>
      </c>
      <c r="K355">
        <f>IF(J355=0,0,PARAMS_MODELO!$B$35)</f>
        <v>0</v>
      </c>
      <c r="L355">
        <f t="shared" si="16"/>
        <v>36.9</v>
      </c>
      <c r="M355" t="str">
        <f t="shared" si="17"/>
        <v>Malo</v>
      </c>
      <c r="N355">
        <f>IF(M355=PARAMS_MODELO!$A$36,PARAMS_MODELO!$B$36,IF(M355=PARAMS_MODELO!$A$37,PARAMS_MODELO!$B$37,IF(M355=PARAMS_MODELO!$A$38,PARAMS_MODELO!$B$38,IF(M355=PARAMS_MODELO!$A$39,PARAMS_MODELO!$B$39,IF(M355=PARAMS_MODELO!$A$40,PARAMS_MODELO!$B$40)))))</f>
        <v>0.7</v>
      </c>
    </row>
    <row r="356" spans="1:14" x14ac:dyDescent="0.3">
      <c r="A356">
        <v>51039777</v>
      </c>
      <c r="B356">
        <v>94</v>
      </c>
      <c r="C356">
        <v>81</v>
      </c>
      <c r="D356">
        <f t="shared" si="15"/>
        <v>1.1604938271604939</v>
      </c>
      <c r="E356">
        <f>ROUND(MIN(5,MAX(0,D356))/5*PARAMS_MODELO!$B$32,2)</f>
        <v>9.2799999999999994</v>
      </c>
      <c r="F356">
        <v>1</v>
      </c>
      <c r="G356">
        <f>MAX(0,PARAMS_MODELO!$B$33-VALUE(TRIM(F356))*3)</f>
        <v>27</v>
      </c>
      <c r="H356">
        <v>1</v>
      </c>
      <c r="I356">
        <f>ROUND(MIN(4,MAX(0,H356))/4*PARAMS_MODELO!$B$34,2)</f>
        <v>5</v>
      </c>
      <c r="J356">
        <v>1</v>
      </c>
      <c r="K356">
        <f>IF(J356=0,0,PARAMS_MODELO!$B$35)</f>
        <v>10</v>
      </c>
      <c r="L356">
        <f t="shared" si="16"/>
        <v>51.28</v>
      </c>
      <c r="M356" t="str">
        <f t="shared" si="17"/>
        <v>Regular</v>
      </c>
      <c r="N356">
        <f>IF(M356=PARAMS_MODELO!$A$36,PARAMS_MODELO!$B$36,IF(M356=PARAMS_MODELO!$A$37,PARAMS_MODELO!$B$37,IF(M356=PARAMS_MODELO!$A$38,PARAMS_MODELO!$B$38,IF(M356=PARAMS_MODELO!$A$39,PARAMS_MODELO!$B$39,IF(M356=PARAMS_MODELO!$A$40,PARAMS_MODELO!$B$40)))))</f>
        <v>1</v>
      </c>
    </row>
    <row r="357" spans="1:14" x14ac:dyDescent="0.3">
      <c r="A357">
        <v>51056183</v>
      </c>
      <c r="B357">
        <v>30</v>
      </c>
      <c r="C357">
        <v>57</v>
      </c>
      <c r="D357">
        <f t="shared" si="15"/>
        <v>0.52631578947368418</v>
      </c>
      <c r="E357">
        <f>ROUND(MIN(5,MAX(0,D357))/5*PARAMS_MODELO!$B$32,2)</f>
        <v>4.21</v>
      </c>
      <c r="F357">
        <v>4</v>
      </c>
      <c r="G357">
        <f>MAX(0,PARAMS_MODELO!$B$33-VALUE(TRIM(F357))*3)</f>
        <v>18</v>
      </c>
      <c r="H357">
        <v>3</v>
      </c>
      <c r="I357">
        <f>ROUND(MIN(4,MAX(0,H357))/4*PARAMS_MODELO!$B$34,2)</f>
        <v>15</v>
      </c>
      <c r="J357">
        <v>1</v>
      </c>
      <c r="K357">
        <f>IF(J357=0,0,PARAMS_MODELO!$B$35)</f>
        <v>10</v>
      </c>
      <c r="L357">
        <f t="shared" si="16"/>
        <v>47.21</v>
      </c>
      <c r="M357" t="str">
        <f t="shared" si="17"/>
        <v>Regular</v>
      </c>
      <c r="N357">
        <f>IF(M357=PARAMS_MODELO!$A$36,PARAMS_MODELO!$B$36,IF(M357=PARAMS_MODELO!$A$37,PARAMS_MODELO!$B$37,IF(M357=PARAMS_MODELO!$A$38,PARAMS_MODELO!$B$38,IF(M357=PARAMS_MODELO!$A$39,PARAMS_MODELO!$B$39,IF(M357=PARAMS_MODELO!$A$40,PARAMS_MODELO!$B$40)))))</f>
        <v>1</v>
      </c>
    </row>
    <row r="358" spans="1:14" x14ac:dyDescent="0.3">
      <c r="A358">
        <v>51039238</v>
      </c>
      <c r="B358">
        <v>89</v>
      </c>
      <c r="C358">
        <v>18</v>
      </c>
      <c r="D358">
        <f t="shared" si="15"/>
        <v>4.9444444444444446</v>
      </c>
      <c r="E358">
        <f>ROUND(MIN(5,MAX(0,D358))/5*PARAMS_MODELO!$B$32,2)</f>
        <v>39.56</v>
      </c>
      <c r="F358">
        <v>0</v>
      </c>
      <c r="G358">
        <f>MAX(0,PARAMS_MODELO!$B$33-VALUE(TRIM(F358))*3)</f>
        <v>30</v>
      </c>
      <c r="H358">
        <v>1</v>
      </c>
      <c r="I358">
        <f>ROUND(MIN(4,MAX(0,H358))/4*PARAMS_MODELO!$B$34,2)</f>
        <v>5</v>
      </c>
      <c r="J358">
        <v>0</v>
      </c>
      <c r="K358">
        <f>IF(J358=0,0,PARAMS_MODELO!$B$35)</f>
        <v>0</v>
      </c>
      <c r="L358">
        <f t="shared" si="16"/>
        <v>74.56</v>
      </c>
      <c r="M358" t="str">
        <f t="shared" si="17"/>
        <v>Bueno</v>
      </c>
      <c r="N358">
        <f>IF(M358=PARAMS_MODELO!$A$36,PARAMS_MODELO!$B$36,IF(M358=PARAMS_MODELO!$A$37,PARAMS_MODELO!$B$37,IF(M358=PARAMS_MODELO!$A$38,PARAMS_MODELO!$B$38,IF(M358=PARAMS_MODELO!$A$39,PARAMS_MODELO!$B$39,IF(M358=PARAMS_MODELO!$A$40,PARAMS_MODELO!$B$40)))))</f>
        <v>1.1000000000000001</v>
      </c>
    </row>
    <row r="359" spans="1:14" x14ac:dyDescent="0.3">
      <c r="A359">
        <v>51007701</v>
      </c>
      <c r="B359">
        <v>86</v>
      </c>
      <c r="C359">
        <v>19</v>
      </c>
      <c r="D359">
        <f t="shared" si="15"/>
        <v>4.5263157894736841</v>
      </c>
      <c r="E359">
        <f>ROUND(MIN(5,MAX(0,D359))/5*PARAMS_MODELO!$B$32,2)</f>
        <v>36.21</v>
      </c>
      <c r="F359">
        <v>2</v>
      </c>
      <c r="G359">
        <f>MAX(0,PARAMS_MODELO!$B$33-VALUE(TRIM(F359))*3)</f>
        <v>24</v>
      </c>
      <c r="H359">
        <v>2</v>
      </c>
      <c r="I359">
        <f>ROUND(MIN(4,MAX(0,H359))/4*PARAMS_MODELO!$B$34,2)</f>
        <v>10</v>
      </c>
      <c r="J359">
        <v>1</v>
      </c>
      <c r="K359">
        <f>IF(J359=0,0,PARAMS_MODELO!$B$35)</f>
        <v>10</v>
      </c>
      <c r="L359">
        <f t="shared" si="16"/>
        <v>80.210000000000008</v>
      </c>
      <c r="M359" t="str">
        <f t="shared" si="17"/>
        <v>Muy Bueno</v>
      </c>
      <c r="N359">
        <f>IF(M359=PARAMS_MODELO!$A$36,PARAMS_MODELO!$B$36,IF(M359=PARAMS_MODELO!$A$37,PARAMS_MODELO!$B$37,IF(M359=PARAMS_MODELO!$A$38,PARAMS_MODELO!$B$38,IF(M359=PARAMS_MODELO!$A$39,PARAMS_MODELO!$B$39,IF(M359=PARAMS_MODELO!$A$40,PARAMS_MODELO!$B$40)))))</f>
        <v>1.1499999999999999</v>
      </c>
    </row>
    <row r="360" spans="1:14" x14ac:dyDescent="0.3">
      <c r="A360">
        <v>51034228</v>
      </c>
      <c r="B360">
        <v>15</v>
      </c>
      <c r="C360">
        <v>63</v>
      </c>
      <c r="D360">
        <f t="shared" si="15"/>
        <v>0.23809523809523808</v>
      </c>
      <c r="E360">
        <f>ROUND(MIN(5,MAX(0,D360))/5*PARAMS_MODELO!$B$32,2)</f>
        <v>1.9</v>
      </c>
      <c r="F360">
        <v>0</v>
      </c>
      <c r="G360">
        <f>MAX(0,PARAMS_MODELO!$B$33-VALUE(TRIM(F360))*3)</f>
        <v>30</v>
      </c>
      <c r="H360">
        <v>1</v>
      </c>
      <c r="I360">
        <f>ROUND(MIN(4,MAX(0,H360))/4*PARAMS_MODELO!$B$34,2)</f>
        <v>5</v>
      </c>
      <c r="J360">
        <v>0</v>
      </c>
      <c r="K360">
        <f>IF(J360=0,0,PARAMS_MODELO!$B$35)</f>
        <v>0</v>
      </c>
      <c r="L360">
        <f t="shared" si="16"/>
        <v>36.9</v>
      </c>
      <c r="M360" t="str">
        <f t="shared" si="17"/>
        <v>Malo</v>
      </c>
      <c r="N360">
        <f>IF(M360=PARAMS_MODELO!$A$36,PARAMS_MODELO!$B$36,IF(M360=PARAMS_MODELO!$A$37,PARAMS_MODELO!$B$37,IF(M360=PARAMS_MODELO!$A$38,PARAMS_MODELO!$B$38,IF(M360=PARAMS_MODELO!$A$39,PARAMS_MODELO!$B$39,IF(M360=PARAMS_MODELO!$A$40,PARAMS_MODELO!$B$40)))))</f>
        <v>0.7</v>
      </c>
    </row>
    <row r="361" spans="1:14" x14ac:dyDescent="0.3">
      <c r="A361">
        <v>51005295</v>
      </c>
      <c r="B361">
        <v>32</v>
      </c>
      <c r="C361">
        <v>96</v>
      </c>
      <c r="D361">
        <f t="shared" si="15"/>
        <v>0.33333333333333331</v>
      </c>
      <c r="E361">
        <f>ROUND(MIN(5,MAX(0,D361))/5*PARAMS_MODELO!$B$32,2)</f>
        <v>2.67</v>
      </c>
      <c r="F361">
        <v>2</v>
      </c>
      <c r="G361">
        <f>MAX(0,PARAMS_MODELO!$B$33-VALUE(TRIM(F361))*3)</f>
        <v>24</v>
      </c>
      <c r="H361">
        <v>3</v>
      </c>
      <c r="I361">
        <f>ROUND(MIN(4,MAX(0,H361))/4*PARAMS_MODELO!$B$34,2)</f>
        <v>15</v>
      </c>
      <c r="J361">
        <v>1</v>
      </c>
      <c r="K361">
        <f>IF(J361=0,0,PARAMS_MODELO!$B$35)</f>
        <v>10</v>
      </c>
      <c r="L361">
        <f t="shared" si="16"/>
        <v>51.67</v>
      </c>
      <c r="M361" t="str">
        <f t="shared" si="17"/>
        <v>Regular</v>
      </c>
      <c r="N361">
        <f>IF(M361=PARAMS_MODELO!$A$36,PARAMS_MODELO!$B$36,IF(M361=PARAMS_MODELO!$A$37,PARAMS_MODELO!$B$37,IF(M361=PARAMS_MODELO!$A$38,PARAMS_MODELO!$B$38,IF(M361=PARAMS_MODELO!$A$39,PARAMS_MODELO!$B$39,IF(M361=PARAMS_MODELO!$A$40,PARAMS_MODELO!$B$40)))))</f>
        <v>1</v>
      </c>
    </row>
    <row r="362" spans="1:14" x14ac:dyDescent="0.3">
      <c r="A362">
        <v>51023668</v>
      </c>
      <c r="B362">
        <v>20</v>
      </c>
      <c r="C362">
        <v>40</v>
      </c>
      <c r="D362">
        <f t="shared" si="15"/>
        <v>0.5</v>
      </c>
      <c r="E362">
        <f>ROUND(MIN(5,MAX(0,D362))/5*PARAMS_MODELO!$B$32,2)</f>
        <v>4</v>
      </c>
      <c r="F362">
        <v>2</v>
      </c>
      <c r="G362">
        <f>MAX(0,PARAMS_MODELO!$B$33-VALUE(TRIM(F362))*3)</f>
        <v>24</v>
      </c>
      <c r="H362">
        <v>1</v>
      </c>
      <c r="I362">
        <f>ROUND(MIN(4,MAX(0,H362))/4*PARAMS_MODELO!$B$34,2)</f>
        <v>5</v>
      </c>
      <c r="J362">
        <v>0</v>
      </c>
      <c r="K362">
        <f>IF(J362=0,0,PARAMS_MODELO!$B$35)</f>
        <v>0</v>
      </c>
      <c r="L362">
        <f t="shared" si="16"/>
        <v>33</v>
      </c>
      <c r="M362" t="str">
        <f t="shared" si="17"/>
        <v>Malo</v>
      </c>
      <c r="N362">
        <f>IF(M362=PARAMS_MODELO!$A$36,PARAMS_MODELO!$B$36,IF(M362=PARAMS_MODELO!$A$37,PARAMS_MODELO!$B$37,IF(M362=PARAMS_MODELO!$A$38,PARAMS_MODELO!$B$38,IF(M362=PARAMS_MODELO!$A$39,PARAMS_MODELO!$B$39,IF(M362=PARAMS_MODELO!$A$40,PARAMS_MODELO!$B$40)))))</f>
        <v>0.7</v>
      </c>
    </row>
    <row r="363" spans="1:14" x14ac:dyDescent="0.3">
      <c r="A363">
        <v>51018851</v>
      </c>
      <c r="B363">
        <v>7</v>
      </c>
      <c r="C363">
        <v>29</v>
      </c>
      <c r="D363">
        <f t="shared" si="15"/>
        <v>0.2413793103448276</v>
      </c>
      <c r="E363">
        <f>ROUND(MIN(5,MAX(0,D363))/5*PARAMS_MODELO!$B$32,2)</f>
        <v>1.93</v>
      </c>
      <c r="F363">
        <v>3</v>
      </c>
      <c r="G363">
        <f>MAX(0,PARAMS_MODELO!$B$33-VALUE(TRIM(F363))*3)</f>
        <v>21</v>
      </c>
      <c r="H363">
        <v>1</v>
      </c>
      <c r="I363">
        <f>ROUND(MIN(4,MAX(0,H363))/4*PARAMS_MODELO!$B$34,2)</f>
        <v>5</v>
      </c>
      <c r="J363">
        <v>1</v>
      </c>
      <c r="K363">
        <f>IF(J363=0,0,PARAMS_MODELO!$B$35)</f>
        <v>10</v>
      </c>
      <c r="L363">
        <f t="shared" si="16"/>
        <v>37.93</v>
      </c>
      <c r="M363" t="str">
        <f t="shared" si="17"/>
        <v>Malo</v>
      </c>
      <c r="N363">
        <f>IF(M363=PARAMS_MODELO!$A$36,PARAMS_MODELO!$B$36,IF(M363=PARAMS_MODELO!$A$37,PARAMS_MODELO!$B$37,IF(M363=PARAMS_MODELO!$A$38,PARAMS_MODELO!$B$38,IF(M363=PARAMS_MODELO!$A$39,PARAMS_MODELO!$B$39,IF(M363=PARAMS_MODELO!$A$40,PARAMS_MODELO!$B$40)))))</f>
        <v>0.7</v>
      </c>
    </row>
    <row r="364" spans="1:14" x14ac:dyDescent="0.3">
      <c r="A364">
        <v>51042042</v>
      </c>
      <c r="B364">
        <v>9</v>
      </c>
      <c r="C364">
        <v>38</v>
      </c>
      <c r="D364">
        <f t="shared" si="15"/>
        <v>0.23684210526315788</v>
      </c>
      <c r="E364">
        <f>ROUND(MIN(5,MAX(0,D364))/5*PARAMS_MODELO!$B$32,2)</f>
        <v>1.89</v>
      </c>
      <c r="F364">
        <v>0</v>
      </c>
      <c r="G364">
        <f>MAX(0,PARAMS_MODELO!$B$33-VALUE(TRIM(F364))*3)</f>
        <v>30</v>
      </c>
      <c r="H364">
        <v>3</v>
      </c>
      <c r="I364">
        <f>ROUND(MIN(4,MAX(0,H364))/4*PARAMS_MODELO!$B$34,2)</f>
        <v>15</v>
      </c>
      <c r="J364">
        <v>0</v>
      </c>
      <c r="K364">
        <f>IF(J364=0,0,PARAMS_MODELO!$B$35)</f>
        <v>0</v>
      </c>
      <c r="L364">
        <f t="shared" si="16"/>
        <v>46.89</v>
      </c>
      <c r="M364" t="str">
        <f t="shared" si="17"/>
        <v>Regular</v>
      </c>
      <c r="N364">
        <f>IF(M364=PARAMS_MODELO!$A$36,PARAMS_MODELO!$B$36,IF(M364=PARAMS_MODELO!$A$37,PARAMS_MODELO!$B$37,IF(M364=PARAMS_MODELO!$A$38,PARAMS_MODELO!$B$38,IF(M364=PARAMS_MODELO!$A$39,PARAMS_MODELO!$B$39,IF(M364=PARAMS_MODELO!$A$40,PARAMS_MODELO!$B$40)))))</f>
        <v>1</v>
      </c>
    </row>
    <row r="365" spans="1:14" x14ac:dyDescent="0.3">
      <c r="A365">
        <v>51010817</v>
      </c>
      <c r="B365">
        <v>46</v>
      </c>
      <c r="C365">
        <v>37</v>
      </c>
      <c r="D365">
        <f t="shared" si="15"/>
        <v>1.2432432432432432</v>
      </c>
      <c r="E365">
        <f>ROUND(MIN(5,MAX(0,D365))/5*PARAMS_MODELO!$B$32,2)</f>
        <v>9.9499999999999993</v>
      </c>
      <c r="F365">
        <v>5</v>
      </c>
      <c r="G365">
        <f>MAX(0,PARAMS_MODELO!$B$33-VALUE(TRIM(F365))*3)</f>
        <v>15</v>
      </c>
      <c r="H365">
        <v>1</v>
      </c>
      <c r="I365">
        <f>ROUND(MIN(4,MAX(0,H365))/4*PARAMS_MODELO!$B$34,2)</f>
        <v>5</v>
      </c>
      <c r="J365">
        <v>0</v>
      </c>
      <c r="K365">
        <f>IF(J365=0,0,PARAMS_MODELO!$B$35)</f>
        <v>0</v>
      </c>
      <c r="L365">
        <f t="shared" si="16"/>
        <v>29.95</v>
      </c>
      <c r="M365" t="str">
        <f t="shared" si="17"/>
        <v>Malo</v>
      </c>
      <c r="N365">
        <f>IF(M365=PARAMS_MODELO!$A$36,PARAMS_MODELO!$B$36,IF(M365=PARAMS_MODELO!$A$37,PARAMS_MODELO!$B$37,IF(M365=PARAMS_MODELO!$A$38,PARAMS_MODELO!$B$38,IF(M365=PARAMS_MODELO!$A$39,PARAMS_MODELO!$B$39,IF(M365=PARAMS_MODELO!$A$40,PARAMS_MODELO!$B$40)))))</f>
        <v>0.7</v>
      </c>
    </row>
    <row r="366" spans="1:14" x14ac:dyDescent="0.3">
      <c r="A366">
        <v>51022408</v>
      </c>
      <c r="B366">
        <v>34</v>
      </c>
      <c r="C366">
        <v>4</v>
      </c>
      <c r="D366">
        <f t="shared" si="15"/>
        <v>5</v>
      </c>
      <c r="E366">
        <f>ROUND(MIN(5,MAX(0,D366))/5*PARAMS_MODELO!$B$32,2)</f>
        <v>40</v>
      </c>
      <c r="F366">
        <v>3</v>
      </c>
      <c r="G366">
        <f>MAX(0,PARAMS_MODELO!$B$33-VALUE(TRIM(F366))*3)</f>
        <v>21</v>
      </c>
      <c r="H366">
        <v>2</v>
      </c>
      <c r="I366">
        <f>ROUND(MIN(4,MAX(0,H366))/4*PARAMS_MODELO!$B$34,2)</f>
        <v>10</v>
      </c>
      <c r="J366">
        <v>1</v>
      </c>
      <c r="K366">
        <f>IF(J366=0,0,PARAMS_MODELO!$B$35)</f>
        <v>10</v>
      </c>
      <c r="L366">
        <f t="shared" si="16"/>
        <v>81</v>
      </c>
      <c r="M366" t="str">
        <f t="shared" si="17"/>
        <v>Muy Bueno</v>
      </c>
      <c r="N366">
        <f>IF(M366=PARAMS_MODELO!$A$36,PARAMS_MODELO!$B$36,IF(M366=PARAMS_MODELO!$A$37,PARAMS_MODELO!$B$37,IF(M366=PARAMS_MODELO!$A$38,PARAMS_MODELO!$B$38,IF(M366=PARAMS_MODELO!$A$39,PARAMS_MODELO!$B$39,IF(M366=PARAMS_MODELO!$A$40,PARAMS_MODELO!$B$40)))))</f>
        <v>1.1499999999999999</v>
      </c>
    </row>
    <row r="367" spans="1:14" x14ac:dyDescent="0.3">
      <c r="A367">
        <v>51032578</v>
      </c>
      <c r="B367">
        <v>18</v>
      </c>
      <c r="C367">
        <v>30</v>
      </c>
      <c r="D367">
        <f t="shared" si="15"/>
        <v>0.6</v>
      </c>
      <c r="E367">
        <f>ROUND(MIN(5,MAX(0,D367))/5*PARAMS_MODELO!$B$32,2)</f>
        <v>4.8</v>
      </c>
      <c r="F367">
        <v>3</v>
      </c>
      <c r="G367">
        <f>MAX(0,PARAMS_MODELO!$B$33-VALUE(TRIM(F367))*3)</f>
        <v>21</v>
      </c>
      <c r="H367">
        <v>0</v>
      </c>
      <c r="I367">
        <f>ROUND(MIN(4,MAX(0,H367))/4*PARAMS_MODELO!$B$34,2)</f>
        <v>0</v>
      </c>
      <c r="J367">
        <v>1</v>
      </c>
      <c r="K367">
        <f>IF(J367=0,0,PARAMS_MODELO!$B$35)</f>
        <v>10</v>
      </c>
      <c r="L367">
        <f t="shared" si="16"/>
        <v>35.799999999999997</v>
      </c>
      <c r="M367" t="str">
        <f t="shared" si="17"/>
        <v>Malo</v>
      </c>
      <c r="N367">
        <f>IF(M367=PARAMS_MODELO!$A$36,PARAMS_MODELO!$B$36,IF(M367=PARAMS_MODELO!$A$37,PARAMS_MODELO!$B$37,IF(M367=PARAMS_MODELO!$A$38,PARAMS_MODELO!$B$38,IF(M367=PARAMS_MODELO!$A$39,PARAMS_MODELO!$B$39,IF(M367=PARAMS_MODELO!$A$40,PARAMS_MODELO!$B$40)))))</f>
        <v>0.7</v>
      </c>
    </row>
    <row r="368" spans="1:14" x14ac:dyDescent="0.3">
      <c r="A368">
        <v>51017978</v>
      </c>
      <c r="B368">
        <v>39</v>
      </c>
      <c r="C368">
        <v>39</v>
      </c>
      <c r="D368">
        <f t="shared" si="15"/>
        <v>1</v>
      </c>
      <c r="E368">
        <f>ROUND(MIN(5,MAX(0,D368))/5*PARAMS_MODELO!$B$32,2)</f>
        <v>8</v>
      </c>
      <c r="F368">
        <v>5</v>
      </c>
      <c r="G368">
        <f>MAX(0,PARAMS_MODELO!$B$33-VALUE(TRIM(F368))*3)</f>
        <v>15</v>
      </c>
      <c r="H368">
        <v>4</v>
      </c>
      <c r="I368">
        <f>ROUND(MIN(4,MAX(0,H368))/4*PARAMS_MODELO!$B$34,2)</f>
        <v>20</v>
      </c>
      <c r="J368">
        <v>0</v>
      </c>
      <c r="K368">
        <f>IF(J368=0,0,PARAMS_MODELO!$B$35)</f>
        <v>0</v>
      </c>
      <c r="L368">
        <f t="shared" si="16"/>
        <v>43</v>
      </c>
      <c r="M368" t="str">
        <f t="shared" si="17"/>
        <v>Regular</v>
      </c>
      <c r="N368">
        <f>IF(M368=PARAMS_MODELO!$A$36,PARAMS_MODELO!$B$36,IF(M368=PARAMS_MODELO!$A$37,PARAMS_MODELO!$B$37,IF(M368=PARAMS_MODELO!$A$38,PARAMS_MODELO!$B$38,IF(M368=PARAMS_MODELO!$A$39,PARAMS_MODELO!$B$39,IF(M368=PARAMS_MODELO!$A$40,PARAMS_MODELO!$B$40)))))</f>
        <v>1</v>
      </c>
    </row>
    <row r="369" spans="1:14" x14ac:dyDescent="0.3">
      <c r="A369">
        <v>51056868</v>
      </c>
      <c r="B369">
        <v>91</v>
      </c>
      <c r="C369">
        <v>26</v>
      </c>
      <c r="D369">
        <f t="shared" si="15"/>
        <v>3.5</v>
      </c>
      <c r="E369">
        <f>ROUND(MIN(5,MAX(0,D369))/5*PARAMS_MODELO!$B$32,2)</f>
        <v>28</v>
      </c>
      <c r="F369">
        <v>3</v>
      </c>
      <c r="G369">
        <f>MAX(0,PARAMS_MODELO!$B$33-VALUE(TRIM(F369))*3)</f>
        <v>21</v>
      </c>
      <c r="H369">
        <v>1</v>
      </c>
      <c r="I369">
        <f>ROUND(MIN(4,MAX(0,H369))/4*PARAMS_MODELO!$B$34,2)</f>
        <v>5</v>
      </c>
      <c r="J369">
        <v>0</v>
      </c>
      <c r="K369">
        <f>IF(J369=0,0,PARAMS_MODELO!$B$35)</f>
        <v>0</v>
      </c>
      <c r="L369">
        <f t="shared" si="16"/>
        <v>54</v>
      </c>
      <c r="M369" t="str">
        <f t="shared" si="17"/>
        <v>Regular</v>
      </c>
      <c r="N369">
        <f>IF(M369=PARAMS_MODELO!$A$36,PARAMS_MODELO!$B$36,IF(M369=PARAMS_MODELO!$A$37,PARAMS_MODELO!$B$37,IF(M369=PARAMS_MODELO!$A$38,PARAMS_MODELO!$B$38,IF(M369=PARAMS_MODELO!$A$39,PARAMS_MODELO!$B$39,IF(M369=PARAMS_MODELO!$A$40,PARAMS_MODELO!$B$40)))))</f>
        <v>1</v>
      </c>
    </row>
    <row r="370" spans="1:14" x14ac:dyDescent="0.3">
      <c r="A370">
        <v>51056566</v>
      </c>
      <c r="B370">
        <v>79</v>
      </c>
      <c r="C370">
        <v>35</v>
      </c>
      <c r="D370">
        <f t="shared" si="15"/>
        <v>2.2571428571428571</v>
      </c>
      <c r="E370">
        <f>ROUND(MIN(5,MAX(0,D370))/5*PARAMS_MODELO!$B$32,2)</f>
        <v>18.059999999999999</v>
      </c>
      <c r="F370">
        <v>1</v>
      </c>
      <c r="G370">
        <f>MAX(0,PARAMS_MODELO!$B$33-VALUE(TRIM(F370))*3)</f>
        <v>27</v>
      </c>
      <c r="H370">
        <v>0</v>
      </c>
      <c r="I370">
        <f>ROUND(MIN(4,MAX(0,H370))/4*PARAMS_MODELO!$B$34,2)</f>
        <v>0</v>
      </c>
      <c r="J370">
        <v>1</v>
      </c>
      <c r="K370">
        <f>IF(J370=0,0,PARAMS_MODELO!$B$35)</f>
        <v>10</v>
      </c>
      <c r="L370">
        <f t="shared" si="16"/>
        <v>55.06</v>
      </c>
      <c r="M370" t="str">
        <f t="shared" si="17"/>
        <v>Regular</v>
      </c>
      <c r="N370">
        <f>IF(M370=PARAMS_MODELO!$A$36,PARAMS_MODELO!$B$36,IF(M370=PARAMS_MODELO!$A$37,PARAMS_MODELO!$B$37,IF(M370=PARAMS_MODELO!$A$38,PARAMS_MODELO!$B$38,IF(M370=PARAMS_MODELO!$A$39,PARAMS_MODELO!$B$39,IF(M370=PARAMS_MODELO!$A$40,PARAMS_MODELO!$B$40)))))</f>
        <v>1</v>
      </c>
    </row>
    <row r="371" spans="1:14" x14ac:dyDescent="0.3">
      <c r="A371">
        <v>51005112</v>
      </c>
      <c r="B371">
        <v>63</v>
      </c>
      <c r="C371">
        <v>46</v>
      </c>
      <c r="D371">
        <f t="shared" si="15"/>
        <v>1.3695652173913044</v>
      </c>
      <c r="E371">
        <f>ROUND(MIN(5,MAX(0,D371))/5*PARAMS_MODELO!$B$32,2)</f>
        <v>10.96</v>
      </c>
      <c r="F371">
        <v>5</v>
      </c>
      <c r="G371">
        <f>MAX(0,PARAMS_MODELO!$B$33-VALUE(TRIM(F371))*3)</f>
        <v>15</v>
      </c>
      <c r="H371">
        <v>0</v>
      </c>
      <c r="I371">
        <f>ROUND(MIN(4,MAX(0,H371))/4*PARAMS_MODELO!$B$34,2)</f>
        <v>0</v>
      </c>
      <c r="J371">
        <v>1</v>
      </c>
      <c r="K371">
        <f>IF(J371=0,0,PARAMS_MODELO!$B$35)</f>
        <v>10</v>
      </c>
      <c r="L371">
        <f t="shared" si="16"/>
        <v>35.96</v>
      </c>
      <c r="M371" t="str">
        <f t="shared" si="17"/>
        <v>Malo</v>
      </c>
      <c r="N371">
        <f>IF(M371=PARAMS_MODELO!$A$36,PARAMS_MODELO!$B$36,IF(M371=PARAMS_MODELO!$A$37,PARAMS_MODELO!$B$37,IF(M371=PARAMS_MODELO!$A$38,PARAMS_MODELO!$B$38,IF(M371=PARAMS_MODELO!$A$39,PARAMS_MODELO!$B$39,IF(M371=PARAMS_MODELO!$A$40,PARAMS_MODELO!$B$40)))))</f>
        <v>0.7</v>
      </c>
    </row>
    <row r="372" spans="1:14" x14ac:dyDescent="0.3">
      <c r="A372">
        <v>51019946</v>
      </c>
      <c r="B372">
        <v>75</v>
      </c>
      <c r="C372">
        <v>53</v>
      </c>
      <c r="D372">
        <f t="shared" si="15"/>
        <v>1.4150943396226414</v>
      </c>
      <c r="E372">
        <f>ROUND(MIN(5,MAX(0,D372))/5*PARAMS_MODELO!$B$32,2)</f>
        <v>11.32</v>
      </c>
      <c r="F372">
        <v>0</v>
      </c>
      <c r="G372">
        <f>MAX(0,PARAMS_MODELO!$B$33-VALUE(TRIM(F372))*3)</f>
        <v>30</v>
      </c>
      <c r="H372">
        <v>2</v>
      </c>
      <c r="I372">
        <f>ROUND(MIN(4,MAX(0,H372))/4*PARAMS_MODELO!$B$34,2)</f>
        <v>10</v>
      </c>
      <c r="J372">
        <v>1</v>
      </c>
      <c r="K372">
        <f>IF(J372=0,0,PARAMS_MODELO!$B$35)</f>
        <v>10</v>
      </c>
      <c r="L372">
        <f t="shared" si="16"/>
        <v>61.32</v>
      </c>
      <c r="M372" t="str">
        <f t="shared" si="17"/>
        <v>Bueno</v>
      </c>
      <c r="N372">
        <f>IF(M372=PARAMS_MODELO!$A$36,PARAMS_MODELO!$B$36,IF(M372=PARAMS_MODELO!$A$37,PARAMS_MODELO!$B$37,IF(M372=PARAMS_MODELO!$A$38,PARAMS_MODELO!$B$38,IF(M372=PARAMS_MODELO!$A$39,PARAMS_MODELO!$B$39,IF(M372=PARAMS_MODELO!$A$40,PARAMS_MODELO!$B$40)))))</f>
        <v>1.1000000000000001</v>
      </c>
    </row>
    <row r="373" spans="1:14" x14ac:dyDescent="0.3">
      <c r="A373">
        <v>51027116</v>
      </c>
      <c r="B373">
        <v>64</v>
      </c>
      <c r="C373">
        <v>7</v>
      </c>
      <c r="D373">
        <f t="shared" si="15"/>
        <v>5</v>
      </c>
      <c r="E373">
        <f>ROUND(MIN(5,MAX(0,D373))/5*PARAMS_MODELO!$B$32,2)</f>
        <v>40</v>
      </c>
      <c r="F373">
        <v>5</v>
      </c>
      <c r="G373">
        <f>MAX(0,PARAMS_MODELO!$B$33-VALUE(TRIM(F373))*3)</f>
        <v>15</v>
      </c>
      <c r="H373">
        <v>1</v>
      </c>
      <c r="I373">
        <f>ROUND(MIN(4,MAX(0,H373))/4*PARAMS_MODELO!$B$34,2)</f>
        <v>5</v>
      </c>
      <c r="J373">
        <v>0</v>
      </c>
      <c r="K373">
        <f>IF(J373=0,0,PARAMS_MODELO!$B$35)</f>
        <v>0</v>
      </c>
      <c r="L373">
        <f t="shared" si="16"/>
        <v>60</v>
      </c>
      <c r="M373" t="str">
        <f t="shared" si="17"/>
        <v>Bueno</v>
      </c>
      <c r="N373">
        <f>IF(M373=PARAMS_MODELO!$A$36,PARAMS_MODELO!$B$36,IF(M373=PARAMS_MODELO!$A$37,PARAMS_MODELO!$B$37,IF(M373=PARAMS_MODELO!$A$38,PARAMS_MODELO!$B$38,IF(M373=PARAMS_MODELO!$A$39,PARAMS_MODELO!$B$39,IF(M373=PARAMS_MODELO!$A$40,PARAMS_MODELO!$B$40)))))</f>
        <v>1.1000000000000001</v>
      </c>
    </row>
    <row r="374" spans="1:14" x14ac:dyDescent="0.3">
      <c r="A374">
        <v>51042051</v>
      </c>
      <c r="B374">
        <v>51</v>
      </c>
      <c r="C374">
        <v>12</v>
      </c>
      <c r="D374">
        <f t="shared" si="15"/>
        <v>4.25</v>
      </c>
      <c r="E374">
        <f>ROUND(MIN(5,MAX(0,D374))/5*PARAMS_MODELO!$B$32,2)</f>
        <v>34</v>
      </c>
      <c r="F374">
        <v>2</v>
      </c>
      <c r="G374">
        <f>MAX(0,PARAMS_MODELO!$B$33-VALUE(TRIM(F374))*3)</f>
        <v>24</v>
      </c>
      <c r="H374">
        <v>3</v>
      </c>
      <c r="I374">
        <f>ROUND(MIN(4,MAX(0,H374))/4*PARAMS_MODELO!$B$34,2)</f>
        <v>15</v>
      </c>
      <c r="J374">
        <v>1</v>
      </c>
      <c r="K374">
        <f>IF(J374=0,0,PARAMS_MODELO!$B$35)</f>
        <v>10</v>
      </c>
      <c r="L374">
        <f t="shared" si="16"/>
        <v>83</v>
      </c>
      <c r="M374" t="str">
        <f t="shared" si="17"/>
        <v>Muy Bueno</v>
      </c>
      <c r="N374">
        <f>IF(M374=PARAMS_MODELO!$A$36,PARAMS_MODELO!$B$36,IF(M374=PARAMS_MODELO!$A$37,PARAMS_MODELO!$B$37,IF(M374=PARAMS_MODELO!$A$38,PARAMS_MODELO!$B$38,IF(M374=PARAMS_MODELO!$A$39,PARAMS_MODELO!$B$39,IF(M374=PARAMS_MODELO!$A$40,PARAMS_MODELO!$B$40)))))</f>
        <v>1.1499999999999999</v>
      </c>
    </row>
    <row r="375" spans="1:14" x14ac:dyDescent="0.3">
      <c r="A375">
        <v>51024702</v>
      </c>
      <c r="B375">
        <v>40</v>
      </c>
      <c r="C375">
        <v>90</v>
      </c>
      <c r="D375">
        <f t="shared" si="15"/>
        <v>0.44444444444444442</v>
      </c>
      <c r="E375">
        <f>ROUND(MIN(5,MAX(0,D375))/5*PARAMS_MODELO!$B$32,2)</f>
        <v>3.56</v>
      </c>
      <c r="F375">
        <v>0</v>
      </c>
      <c r="G375">
        <f>MAX(0,PARAMS_MODELO!$B$33-VALUE(TRIM(F375))*3)</f>
        <v>30</v>
      </c>
      <c r="H375">
        <v>3</v>
      </c>
      <c r="I375">
        <f>ROUND(MIN(4,MAX(0,H375))/4*PARAMS_MODELO!$B$34,2)</f>
        <v>15</v>
      </c>
      <c r="J375">
        <v>0</v>
      </c>
      <c r="K375">
        <f>IF(J375=0,0,PARAMS_MODELO!$B$35)</f>
        <v>0</v>
      </c>
      <c r="L375">
        <f t="shared" si="16"/>
        <v>48.56</v>
      </c>
      <c r="M375" t="str">
        <f t="shared" si="17"/>
        <v>Regular</v>
      </c>
      <c r="N375">
        <f>IF(M375=PARAMS_MODELO!$A$36,PARAMS_MODELO!$B$36,IF(M375=PARAMS_MODELO!$A$37,PARAMS_MODELO!$B$37,IF(M375=PARAMS_MODELO!$A$38,PARAMS_MODELO!$B$38,IF(M375=PARAMS_MODELO!$A$39,PARAMS_MODELO!$B$39,IF(M375=PARAMS_MODELO!$A$40,PARAMS_MODELO!$B$40)))))</f>
        <v>1</v>
      </c>
    </row>
    <row r="376" spans="1:14" x14ac:dyDescent="0.3">
      <c r="A376">
        <v>51000251</v>
      </c>
      <c r="B376">
        <v>4</v>
      </c>
      <c r="C376">
        <v>56</v>
      </c>
      <c r="D376">
        <f t="shared" si="15"/>
        <v>7.1428571428571425E-2</v>
      </c>
      <c r="E376">
        <f>ROUND(MIN(5,MAX(0,D376))/5*PARAMS_MODELO!$B$32,2)</f>
        <v>0.56999999999999995</v>
      </c>
      <c r="F376">
        <v>0</v>
      </c>
      <c r="G376">
        <f>MAX(0,PARAMS_MODELO!$B$33-VALUE(TRIM(F376))*3)</f>
        <v>30</v>
      </c>
      <c r="H376">
        <v>1</v>
      </c>
      <c r="I376">
        <f>ROUND(MIN(4,MAX(0,H376))/4*PARAMS_MODELO!$B$34,2)</f>
        <v>5</v>
      </c>
      <c r="J376">
        <v>0</v>
      </c>
      <c r="K376">
        <f>IF(J376=0,0,PARAMS_MODELO!$B$35)</f>
        <v>0</v>
      </c>
      <c r="L376">
        <f t="shared" si="16"/>
        <v>35.57</v>
      </c>
      <c r="M376" t="str">
        <f t="shared" si="17"/>
        <v>Malo</v>
      </c>
      <c r="N376">
        <f>IF(M376=PARAMS_MODELO!$A$36,PARAMS_MODELO!$B$36,IF(M376=PARAMS_MODELO!$A$37,PARAMS_MODELO!$B$37,IF(M376=PARAMS_MODELO!$A$38,PARAMS_MODELO!$B$38,IF(M376=PARAMS_MODELO!$A$39,PARAMS_MODELO!$B$39,IF(M376=PARAMS_MODELO!$A$40,PARAMS_MODELO!$B$40)))))</f>
        <v>0.7</v>
      </c>
    </row>
    <row r="377" spans="1:14" x14ac:dyDescent="0.3">
      <c r="A377">
        <v>51036778</v>
      </c>
      <c r="B377">
        <v>71</v>
      </c>
      <c r="C377">
        <v>33</v>
      </c>
      <c r="D377">
        <f t="shared" si="15"/>
        <v>2.1515151515151514</v>
      </c>
      <c r="E377">
        <f>ROUND(MIN(5,MAX(0,D377))/5*PARAMS_MODELO!$B$32,2)</f>
        <v>17.21</v>
      </c>
      <c r="F377">
        <v>2</v>
      </c>
      <c r="G377">
        <f>MAX(0,PARAMS_MODELO!$B$33-VALUE(TRIM(F377))*3)</f>
        <v>24</v>
      </c>
      <c r="H377">
        <v>2</v>
      </c>
      <c r="I377">
        <f>ROUND(MIN(4,MAX(0,H377))/4*PARAMS_MODELO!$B$34,2)</f>
        <v>10</v>
      </c>
      <c r="J377">
        <v>0</v>
      </c>
      <c r="K377">
        <f>IF(J377=0,0,PARAMS_MODELO!$B$35)</f>
        <v>0</v>
      </c>
      <c r="L377">
        <f t="shared" si="16"/>
        <v>51.21</v>
      </c>
      <c r="M377" t="str">
        <f t="shared" si="17"/>
        <v>Regular</v>
      </c>
      <c r="N377">
        <f>IF(M377=PARAMS_MODELO!$A$36,PARAMS_MODELO!$B$36,IF(M377=PARAMS_MODELO!$A$37,PARAMS_MODELO!$B$37,IF(M377=PARAMS_MODELO!$A$38,PARAMS_MODELO!$B$38,IF(M377=PARAMS_MODELO!$A$39,PARAMS_MODELO!$B$39,IF(M377=PARAMS_MODELO!$A$40,PARAMS_MODELO!$B$40)))))</f>
        <v>1</v>
      </c>
    </row>
    <row r="378" spans="1:14" x14ac:dyDescent="0.3">
      <c r="A378">
        <v>51056850</v>
      </c>
      <c r="B378">
        <v>44</v>
      </c>
      <c r="C378">
        <v>0</v>
      </c>
      <c r="D378">
        <f t="shared" si="15"/>
        <v>0</v>
      </c>
      <c r="E378">
        <f>ROUND(MIN(5,MAX(0,D378))/5*PARAMS_MODELO!$B$32,2)</f>
        <v>0</v>
      </c>
      <c r="F378">
        <v>1</v>
      </c>
      <c r="G378">
        <f>MAX(0,PARAMS_MODELO!$B$33-VALUE(TRIM(F378))*3)</f>
        <v>27</v>
      </c>
      <c r="H378">
        <v>1</v>
      </c>
      <c r="I378">
        <f>ROUND(MIN(4,MAX(0,H378))/4*PARAMS_MODELO!$B$34,2)</f>
        <v>5</v>
      </c>
      <c r="J378">
        <v>0</v>
      </c>
      <c r="K378">
        <f>IF(J378=0,0,PARAMS_MODELO!$B$35)</f>
        <v>0</v>
      </c>
      <c r="L378">
        <f t="shared" si="16"/>
        <v>32</v>
      </c>
      <c r="M378" t="str">
        <f t="shared" si="17"/>
        <v>Malo</v>
      </c>
      <c r="N378">
        <f>IF(M378=PARAMS_MODELO!$A$36,PARAMS_MODELO!$B$36,IF(M378=PARAMS_MODELO!$A$37,PARAMS_MODELO!$B$37,IF(M378=PARAMS_MODELO!$A$38,PARAMS_MODELO!$B$38,IF(M378=PARAMS_MODELO!$A$39,PARAMS_MODELO!$B$39,IF(M378=PARAMS_MODELO!$A$40,PARAMS_MODELO!$B$40)))))</f>
        <v>0.7</v>
      </c>
    </row>
    <row r="379" spans="1:14" x14ac:dyDescent="0.3">
      <c r="A379">
        <v>51054989</v>
      </c>
      <c r="B379">
        <v>46</v>
      </c>
      <c r="C379">
        <v>11</v>
      </c>
      <c r="D379">
        <f t="shared" si="15"/>
        <v>4.1818181818181817</v>
      </c>
      <c r="E379">
        <f>ROUND(MIN(5,MAX(0,D379))/5*PARAMS_MODELO!$B$32,2)</f>
        <v>33.450000000000003</v>
      </c>
      <c r="F379">
        <v>5</v>
      </c>
      <c r="G379">
        <f>MAX(0,PARAMS_MODELO!$B$33-VALUE(TRIM(F379))*3)</f>
        <v>15</v>
      </c>
      <c r="H379">
        <v>3</v>
      </c>
      <c r="I379">
        <f>ROUND(MIN(4,MAX(0,H379))/4*PARAMS_MODELO!$B$34,2)</f>
        <v>15</v>
      </c>
      <c r="J379">
        <v>1</v>
      </c>
      <c r="K379">
        <f>IF(J379=0,0,PARAMS_MODELO!$B$35)</f>
        <v>10</v>
      </c>
      <c r="L379">
        <f t="shared" si="16"/>
        <v>73.45</v>
      </c>
      <c r="M379" t="str">
        <f t="shared" si="17"/>
        <v>Bueno</v>
      </c>
      <c r="N379">
        <f>IF(M379=PARAMS_MODELO!$A$36,PARAMS_MODELO!$B$36,IF(M379=PARAMS_MODELO!$A$37,PARAMS_MODELO!$B$37,IF(M379=PARAMS_MODELO!$A$38,PARAMS_MODELO!$B$38,IF(M379=PARAMS_MODELO!$A$39,PARAMS_MODELO!$B$39,IF(M379=PARAMS_MODELO!$A$40,PARAMS_MODELO!$B$40)))))</f>
        <v>1.1000000000000001</v>
      </c>
    </row>
    <row r="380" spans="1:14" x14ac:dyDescent="0.3">
      <c r="A380">
        <v>51018737</v>
      </c>
      <c r="B380">
        <v>73</v>
      </c>
      <c r="C380">
        <v>77</v>
      </c>
      <c r="D380">
        <f t="shared" si="15"/>
        <v>0.94805194805194803</v>
      </c>
      <c r="E380">
        <f>ROUND(MIN(5,MAX(0,D380))/5*PARAMS_MODELO!$B$32,2)</f>
        <v>7.58</v>
      </c>
      <c r="F380">
        <v>2</v>
      </c>
      <c r="G380">
        <f>MAX(0,PARAMS_MODELO!$B$33-VALUE(TRIM(F380))*3)</f>
        <v>24</v>
      </c>
      <c r="H380">
        <v>2</v>
      </c>
      <c r="I380">
        <f>ROUND(MIN(4,MAX(0,H380))/4*PARAMS_MODELO!$B$34,2)</f>
        <v>10</v>
      </c>
      <c r="J380">
        <v>1</v>
      </c>
      <c r="K380">
        <f>IF(J380=0,0,PARAMS_MODELO!$B$35)</f>
        <v>10</v>
      </c>
      <c r="L380">
        <f t="shared" si="16"/>
        <v>51.58</v>
      </c>
      <c r="M380" t="str">
        <f t="shared" si="17"/>
        <v>Regular</v>
      </c>
      <c r="N380">
        <f>IF(M380=PARAMS_MODELO!$A$36,PARAMS_MODELO!$B$36,IF(M380=PARAMS_MODELO!$A$37,PARAMS_MODELO!$B$37,IF(M380=PARAMS_MODELO!$A$38,PARAMS_MODELO!$B$38,IF(M380=PARAMS_MODELO!$A$39,PARAMS_MODELO!$B$39,IF(M380=PARAMS_MODELO!$A$40,PARAMS_MODELO!$B$40)))))</f>
        <v>1</v>
      </c>
    </row>
    <row r="381" spans="1:14" x14ac:dyDescent="0.3">
      <c r="A381">
        <v>51023811</v>
      </c>
      <c r="B381">
        <v>69</v>
      </c>
      <c r="C381">
        <v>99</v>
      </c>
      <c r="D381">
        <f t="shared" si="15"/>
        <v>0.69696969696969702</v>
      </c>
      <c r="E381">
        <f>ROUND(MIN(5,MAX(0,D381))/5*PARAMS_MODELO!$B$32,2)</f>
        <v>5.58</v>
      </c>
      <c r="F381">
        <v>4</v>
      </c>
      <c r="G381">
        <f>MAX(0,PARAMS_MODELO!$B$33-VALUE(TRIM(F381))*3)</f>
        <v>18</v>
      </c>
      <c r="H381">
        <v>3</v>
      </c>
      <c r="I381">
        <f>ROUND(MIN(4,MAX(0,H381))/4*PARAMS_MODELO!$B$34,2)</f>
        <v>15</v>
      </c>
      <c r="J381">
        <v>0</v>
      </c>
      <c r="K381">
        <f>IF(J381=0,0,PARAMS_MODELO!$B$35)</f>
        <v>0</v>
      </c>
      <c r="L381">
        <f t="shared" si="16"/>
        <v>38.58</v>
      </c>
      <c r="M381" t="str">
        <f t="shared" si="17"/>
        <v>Malo</v>
      </c>
      <c r="N381">
        <f>IF(M381=PARAMS_MODELO!$A$36,PARAMS_MODELO!$B$36,IF(M381=PARAMS_MODELO!$A$37,PARAMS_MODELO!$B$37,IF(M381=PARAMS_MODELO!$A$38,PARAMS_MODELO!$B$38,IF(M381=PARAMS_MODELO!$A$39,PARAMS_MODELO!$B$39,IF(M381=PARAMS_MODELO!$A$40,PARAMS_MODELO!$B$40)))))</f>
        <v>0.7</v>
      </c>
    </row>
    <row r="382" spans="1:14" x14ac:dyDescent="0.3">
      <c r="A382">
        <v>51040899</v>
      </c>
      <c r="B382">
        <v>65</v>
      </c>
      <c r="C382">
        <v>48</v>
      </c>
      <c r="D382">
        <f t="shared" si="15"/>
        <v>1.3541666666666667</v>
      </c>
      <c r="E382">
        <f>ROUND(MIN(5,MAX(0,D382))/5*PARAMS_MODELO!$B$32,2)</f>
        <v>10.83</v>
      </c>
      <c r="F382">
        <v>4</v>
      </c>
      <c r="G382">
        <f>MAX(0,PARAMS_MODELO!$B$33-VALUE(TRIM(F382))*3)</f>
        <v>18</v>
      </c>
      <c r="H382">
        <v>3</v>
      </c>
      <c r="I382">
        <f>ROUND(MIN(4,MAX(0,H382))/4*PARAMS_MODELO!$B$34,2)</f>
        <v>15</v>
      </c>
      <c r="J382">
        <v>0</v>
      </c>
      <c r="K382">
        <f>IF(J382=0,0,PARAMS_MODELO!$B$35)</f>
        <v>0</v>
      </c>
      <c r="L382">
        <f t="shared" si="16"/>
        <v>43.83</v>
      </c>
      <c r="M382" t="str">
        <f t="shared" si="17"/>
        <v>Regular</v>
      </c>
      <c r="N382">
        <f>IF(M382=PARAMS_MODELO!$A$36,PARAMS_MODELO!$B$36,IF(M382=PARAMS_MODELO!$A$37,PARAMS_MODELO!$B$37,IF(M382=PARAMS_MODELO!$A$38,PARAMS_MODELO!$B$38,IF(M382=PARAMS_MODELO!$A$39,PARAMS_MODELO!$B$39,IF(M382=PARAMS_MODELO!$A$40,PARAMS_MODELO!$B$40)))))</f>
        <v>1</v>
      </c>
    </row>
    <row r="383" spans="1:14" x14ac:dyDescent="0.3">
      <c r="A383">
        <v>51022149</v>
      </c>
      <c r="B383">
        <v>76</v>
      </c>
      <c r="C383">
        <v>43</v>
      </c>
      <c r="D383">
        <f t="shared" si="15"/>
        <v>1.7674418604651163</v>
      </c>
      <c r="E383">
        <f>ROUND(MIN(5,MAX(0,D383))/5*PARAMS_MODELO!$B$32,2)</f>
        <v>14.14</v>
      </c>
      <c r="F383">
        <v>5</v>
      </c>
      <c r="G383">
        <f>MAX(0,PARAMS_MODELO!$B$33-VALUE(TRIM(F383))*3)</f>
        <v>15</v>
      </c>
      <c r="H383">
        <v>1</v>
      </c>
      <c r="I383">
        <f>ROUND(MIN(4,MAX(0,H383))/4*PARAMS_MODELO!$B$34,2)</f>
        <v>5</v>
      </c>
      <c r="J383">
        <v>0</v>
      </c>
      <c r="K383">
        <f>IF(J383=0,0,PARAMS_MODELO!$B$35)</f>
        <v>0</v>
      </c>
      <c r="L383">
        <f t="shared" si="16"/>
        <v>34.14</v>
      </c>
      <c r="M383" t="str">
        <f t="shared" si="17"/>
        <v>Malo</v>
      </c>
      <c r="N383">
        <f>IF(M383=PARAMS_MODELO!$A$36,PARAMS_MODELO!$B$36,IF(M383=PARAMS_MODELO!$A$37,PARAMS_MODELO!$B$37,IF(M383=PARAMS_MODELO!$A$38,PARAMS_MODELO!$B$38,IF(M383=PARAMS_MODELO!$A$39,PARAMS_MODELO!$B$39,IF(M383=PARAMS_MODELO!$A$40,PARAMS_MODELO!$B$40)))))</f>
        <v>0.7</v>
      </c>
    </row>
    <row r="384" spans="1:14" x14ac:dyDescent="0.3">
      <c r="A384">
        <v>51014189</v>
      </c>
      <c r="B384">
        <v>82</v>
      </c>
      <c r="C384">
        <v>75</v>
      </c>
      <c r="D384">
        <f t="shared" si="15"/>
        <v>1.0933333333333333</v>
      </c>
      <c r="E384">
        <f>ROUND(MIN(5,MAX(0,D384))/5*PARAMS_MODELO!$B$32,2)</f>
        <v>8.75</v>
      </c>
      <c r="F384">
        <v>2</v>
      </c>
      <c r="G384">
        <f>MAX(0,PARAMS_MODELO!$B$33-VALUE(TRIM(F384))*3)</f>
        <v>24</v>
      </c>
      <c r="H384">
        <v>3</v>
      </c>
      <c r="I384">
        <f>ROUND(MIN(4,MAX(0,H384))/4*PARAMS_MODELO!$B$34,2)</f>
        <v>15</v>
      </c>
      <c r="J384">
        <v>1</v>
      </c>
      <c r="K384">
        <f>IF(J384=0,0,PARAMS_MODELO!$B$35)</f>
        <v>10</v>
      </c>
      <c r="L384">
        <f t="shared" si="16"/>
        <v>57.75</v>
      </c>
      <c r="M384" t="str">
        <f t="shared" si="17"/>
        <v>Regular</v>
      </c>
      <c r="N384">
        <f>IF(M384=PARAMS_MODELO!$A$36,PARAMS_MODELO!$B$36,IF(M384=PARAMS_MODELO!$A$37,PARAMS_MODELO!$B$37,IF(M384=PARAMS_MODELO!$A$38,PARAMS_MODELO!$B$38,IF(M384=PARAMS_MODELO!$A$39,PARAMS_MODELO!$B$39,IF(M384=PARAMS_MODELO!$A$40,PARAMS_MODELO!$B$40)))))</f>
        <v>1</v>
      </c>
    </row>
    <row r="385" spans="1:14" x14ac:dyDescent="0.3">
      <c r="A385">
        <v>51011538</v>
      </c>
      <c r="B385">
        <v>73</v>
      </c>
      <c r="C385">
        <v>49</v>
      </c>
      <c r="D385">
        <f t="shared" si="15"/>
        <v>1.489795918367347</v>
      </c>
      <c r="E385">
        <f>ROUND(MIN(5,MAX(0,D385))/5*PARAMS_MODELO!$B$32,2)</f>
        <v>11.92</v>
      </c>
      <c r="F385">
        <v>1</v>
      </c>
      <c r="G385">
        <f>MAX(0,PARAMS_MODELO!$B$33-VALUE(TRIM(F385))*3)</f>
        <v>27</v>
      </c>
      <c r="H385">
        <v>0</v>
      </c>
      <c r="I385">
        <f>ROUND(MIN(4,MAX(0,H385))/4*PARAMS_MODELO!$B$34,2)</f>
        <v>0</v>
      </c>
      <c r="J385">
        <v>0</v>
      </c>
      <c r="K385">
        <f>IF(J385=0,0,PARAMS_MODELO!$B$35)</f>
        <v>0</v>
      </c>
      <c r="L385">
        <f t="shared" si="16"/>
        <v>38.92</v>
      </c>
      <c r="M385" t="str">
        <f t="shared" si="17"/>
        <v>Malo</v>
      </c>
      <c r="N385">
        <f>IF(M385=PARAMS_MODELO!$A$36,PARAMS_MODELO!$B$36,IF(M385=PARAMS_MODELO!$A$37,PARAMS_MODELO!$B$37,IF(M385=PARAMS_MODELO!$A$38,PARAMS_MODELO!$B$38,IF(M385=PARAMS_MODELO!$A$39,PARAMS_MODELO!$B$39,IF(M385=PARAMS_MODELO!$A$40,PARAMS_MODELO!$B$40)))))</f>
        <v>0.7</v>
      </c>
    </row>
    <row r="386" spans="1:14" x14ac:dyDescent="0.3">
      <c r="A386">
        <v>51011686</v>
      </c>
      <c r="B386">
        <v>11</v>
      </c>
      <c r="C386">
        <v>84</v>
      </c>
      <c r="D386">
        <f t="shared" ref="D386:D449" si="18">IF(C386=0,0,MIN(5,B386/C386))</f>
        <v>0.13095238095238096</v>
      </c>
      <c r="E386">
        <f>ROUND(MIN(5,MAX(0,D386))/5*PARAMS_MODELO!$B$32,2)</f>
        <v>1.05</v>
      </c>
      <c r="F386">
        <v>4</v>
      </c>
      <c r="G386">
        <f>MAX(0,PARAMS_MODELO!$B$33-VALUE(TRIM(F386))*3)</f>
        <v>18</v>
      </c>
      <c r="H386">
        <v>3</v>
      </c>
      <c r="I386">
        <f>ROUND(MIN(4,MAX(0,H386))/4*PARAMS_MODELO!$B$34,2)</f>
        <v>15</v>
      </c>
      <c r="J386">
        <v>1</v>
      </c>
      <c r="K386">
        <f>IF(J386=0,0,PARAMS_MODELO!$B$35)</f>
        <v>10</v>
      </c>
      <c r="L386">
        <f t="shared" ref="L386:L449" si="19">MIN(100,MAX(0,E386+G386+I386+K386))</f>
        <v>44.05</v>
      </c>
      <c r="M386" t="str">
        <f t="shared" ref="M386:M449" si="20">IF(L386="","",IF(L386&gt;=90,"Excelente",IF(L386&gt;=75,"Muy Bueno",IF(L386&gt;=60,"Bueno",IF(L386&gt;=40,"Regular","Malo")))))</f>
        <v>Regular</v>
      </c>
      <c r="N386">
        <f>IF(M386=PARAMS_MODELO!$A$36,PARAMS_MODELO!$B$36,IF(M386=PARAMS_MODELO!$A$37,PARAMS_MODELO!$B$37,IF(M386=PARAMS_MODELO!$A$38,PARAMS_MODELO!$B$38,IF(M386=PARAMS_MODELO!$A$39,PARAMS_MODELO!$B$39,IF(M386=PARAMS_MODELO!$A$40,PARAMS_MODELO!$B$40)))))</f>
        <v>1</v>
      </c>
    </row>
    <row r="387" spans="1:14" x14ac:dyDescent="0.3">
      <c r="A387">
        <v>51055896</v>
      </c>
      <c r="B387">
        <v>32</v>
      </c>
      <c r="C387">
        <v>47</v>
      </c>
      <c r="D387">
        <f t="shared" si="18"/>
        <v>0.68085106382978722</v>
      </c>
      <c r="E387">
        <f>ROUND(MIN(5,MAX(0,D387))/5*PARAMS_MODELO!$B$32,2)</f>
        <v>5.45</v>
      </c>
      <c r="F387">
        <v>1</v>
      </c>
      <c r="G387">
        <f>MAX(0,PARAMS_MODELO!$B$33-VALUE(TRIM(F387))*3)</f>
        <v>27</v>
      </c>
      <c r="H387">
        <v>1</v>
      </c>
      <c r="I387">
        <f>ROUND(MIN(4,MAX(0,H387))/4*PARAMS_MODELO!$B$34,2)</f>
        <v>5</v>
      </c>
      <c r="J387">
        <v>1</v>
      </c>
      <c r="K387">
        <f>IF(J387=0,0,PARAMS_MODELO!$B$35)</f>
        <v>10</v>
      </c>
      <c r="L387">
        <f t="shared" si="19"/>
        <v>47.45</v>
      </c>
      <c r="M387" t="str">
        <f t="shared" si="20"/>
        <v>Regular</v>
      </c>
      <c r="N387">
        <f>IF(M387=PARAMS_MODELO!$A$36,PARAMS_MODELO!$B$36,IF(M387=PARAMS_MODELO!$A$37,PARAMS_MODELO!$B$37,IF(M387=PARAMS_MODELO!$A$38,PARAMS_MODELO!$B$38,IF(M387=PARAMS_MODELO!$A$39,PARAMS_MODELO!$B$39,IF(M387=PARAMS_MODELO!$A$40,PARAMS_MODELO!$B$40)))))</f>
        <v>1</v>
      </c>
    </row>
    <row r="388" spans="1:14" x14ac:dyDescent="0.3">
      <c r="A388">
        <v>51054962</v>
      </c>
      <c r="B388">
        <v>6</v>
      </c>
      <c r="C388">
        <v>59</v>
      </c>
      <c r="D388">
        <f t="shared" si="18"/>
        <v>0.10169491525423729</v>
      </c>
      <c r="E388">
        <f>ROUND(MIN(5,MAX(0,D388))/5*PARAMS_MODELO!$B$32,2)</f>
        <v>0.81</v>
      </c>
      <c r="F388">
        <v>3</v>
      </c>
      <c r="G388">
        <f>MAX(0,PARAMS_MODELO!$B$33-VALUE(TRIM(F388))*3)</f>
        <v>21</v>
      </c>
      <c r="H388">
        <v>4</v>
      </c>
      <c r="I388">
        <f>ROUND(MIN(4,MAX(0,H388))/4*PARAMS_MODELO!$B$34,2)</f>
        <v>20</v>
      </c>
      <c r="J388">
        <v>0</v>
      </c>
      <c r="K388">
        <f>IF(J388=0,0,PARAMS_MODELO!$B$35)</f>
        <v>0</v>
      </c>
      <c r="L388">
        <f t="shared" si="19"/>
        <v>41.81</v>
      </c>
      <c r="M388" t="str">
        <f t="shared" si="20"/>
        <v>Regular</v>
      </c>
      <c r="N388">
        <f>IF(M388=PARAMS_MODELO!$A$36,PARAMS_MODELO!$B$36,IF(M388=PARAMS_MODELO!$A$37,PARAMS_MODELO!$B$37,IF(M388=PARAMS_MODELO!$A$38,PARAMS_MODELO!$B$38,IF(M388=PARAMS_MODELO!$A$39,PARAMS_MODELO!$B$39,IF(M388=PARAMS_MODELO!$A$40,PARAMS_MODELO!$B$40)))))</f>
        <v>1</v>
      </c>
    </row>
    <row r="389" spans="1:14" x14ac:dyDescent="0.3">
      <c r="A389">
        <v>51021584</v>
      </c>
      <c r="B389">
        <v>20</v>
      </c>
      <c r="C389">
        <v>77</v>
      </c>
      <c r="D389">
        <f t="shared" si="18"/>
        <v>0.25974025974025972</v>
      </c>
      <c r="E389">
        <f>ROUND(MIN(5,MAX(0,D389))/5*PARAMS_MODELO!$B$32,2)</f>
        <v>2.08</v>
      </c>
      <c r="F389">
        <v>2</v>
      </c>
      <c r="G389">
        <f>MAX(0,PARAMS_MODELO!$B$33-VALUE(TRIM(F389))*3)</f>
        <v>24</v>
      </c>
      <c r="H389">
        <v>4</v>
      </c>
      <c r="I389">
        <f>ROUND(MIN(4,MAX(0,H389))/4*PARAMS_MODELO!$B$34,2)</f>
        <v>20</v>
      </c>
      <c r="J389">
        <v>1</v>
      </c>
      <c r="K389">
        <f>IF(J389=0,0,PARAMS_MODELO!$B$35)</f>
        <v>10</v>
      </c>
      <c r="L389">
        <f t="shared" si="19"/>
        <v>56.08</v>
      </c>
      <c r="M389" t="str">
        <f t="shared" si="20"/>
        <v>Regular</v>
      </c>
      <c r="N389">
        <f>IF(M389=PARAMS_MODELO!$A$36,PARAMS_MODELO!$B$36,IF(M389=PARAMS_MODELO!$A$37,PARAMS_MODELO!$B$37,IF(M389=PARAMS_MODELO!$A$38,PARAMS_MODELO!$B$38,IF(M389=PARAMS_MODELO!$A$39,PARAMS_MODELO!$B$39,IF(M389=PARAMS_MODELO!$A$40,PARAMS_MODELO!$B$40)))))</f>
        <v>1</v>
      </c>
    </row>
    <row r="390" spans="1:14" x14ac:dyDescent="0.3">
      <c r="A390">
        <v>51014642</v>
      </c>
      <c r="B390">
        <v>43</v>
      </c>
      <c r="C390">
        <v>9</v>
      </c>
      <c r="D390">
        <f t="shared" si="18"/>
        <v>4.7777777777777777</v>
      </c>
      <c r="E390">
        <f>ROUND(MIN(5,MAX(0,D390))/5*PARAMS_MODELO!$B$32,2)</f>
        <v>38.22</v>
      </c>
      <c r="F390">
        <v>0</v>
      </c>
      <c r="G390">
        <f>MAX(0,PARAMS_MODELO!$B$33-VALUE(TRIM(F390))*3)</f>
        <v>30</v>
      </c>
      <c r="H390">
        <v>0</v>
      </c>
      <c r="I390">
        <f>ROUND(MIN(4,MAX(0,H390))/4*PARAMS_MODELO!$B$34,2)</f>
        <v>0</v>
      </c>
      <c r="J390">
        <v>1</v>
      </c>
      <c r="K390">
        <f>IF(J390=0,0,PARAMS_MODELO!$B$35)</f>
        <v>10</v>
      </c>
      <c r="L390">
        <f t="shared" si="19"/>
        <v>78.22</v>
      </c>
      <c r="M390" t="str">
        <f t="shared" si="20"/>
        <v>Muy Bueno</v>
      </c>
      <c r="N390">
        <f>IF(M390=PARAMS_MODELO!$A$36,PARAMS_MODELO!$B$36,IF(M390=PARAMS_MODELO!$A$37,PARAMS_MODELO!$B$37,IF(M390=PARAMS_MODELO!$A$38,PARAMS_MODELO!$B$38,IF(M390=PARAMS_MODELO!$A$39,PARAMS_MODELO!$B$39,IF(M390=PARAMS_MODELO!$A$40,PARAMS_MODELO!$B$40)))))</f>
        <v>1.1499999999999999</v>
      </c>
    </row>
    <row r="391" spans="1:14" x14ac:dyDescent="0.3">
      <c r="A391">
        <v>51038878</v>
      </c>
      <c r="B391">
        <v>76</v>
      </c>
      <c r="C391">
        <v>99</v>
      </c>
      <c r="D391">
        <f t="shared" si="18"/>
        <v>0.76767676767676762</v>
      </c>
      <c r="E391">
        <f>ROUND(MIN(5,MAX(0,D391))/5*PARAMS_MODELO!$B$32,2)</f>
        <v>6.14</v>
      </c>
      <c r="F391">
        <v>4</v>
      </c>
      <c r="G391">
        <f>MAX(0,PARAMS_MODELO!$B$33-VALUE(TRIM(F391))*3)</f>
        <v>18</v>
      </c>
      <c r="H391">
        <v>4</v>
      </c>
      <c r="I391">
        <f>ROUND(MIN(4,MAX(0,H391))/4*PARAMS_MODELO!$B$34,2)</f>
        <v>20</v>
      </c>
      <c r="J391">
        <v>1</v>
      </c>
      <c r="K391">
        <f>IF(J391=0,0,PARAMS_MODELO!$B$35)</f>
        <v>10</v>
      </c>
      <c r="L391">
        <f t="shared" si="19"/>
        <v>54.14</v>
      </c>
      <c r="M391" t="str">
        <f t="shared" si="20"/>
        <v>Regular</v>
      </c>
      <c r="N391">
        <f>IF(M391=PARAMS_MODELO!$A$36,PARAMS_MODELO!$B$36,IF(M391=PARAMS_MODELO!$A$37,PARAMS_MODELO!$B$37,IF(M391=PARAMS_MODELO!$A$38,PARAMS_MODELO!$B$38,IF(M391=PARAMS_MODELO!$A$39,PARAMS_MODELO!$B$39,IF(M391=PARAMS_MODELO!$A$40,PARAMS_MODELO!$B$40)))))</f>
        <v>1</v>
      </c>
    </row>
    <row r="392" spans="1:14" x14ac:dyDescent="0.3">
      <c r="A392">
        <v>51055292</v>
      </c>
      <c r="B392">
        <v>20</v>
      </c>
      <c r="C392">
        <v>16</v>
      </c>
      <c r="D392">
        <f t="shared" si="18"/>
        <v>1.25</v>
      </c>
      <c r="E392">
        <f>ROUND(MIN(5,MAX(0,D392))/5*PARAMS_MODELO!$B$32,2)</f>
        <v>10</v>
      </c>
      <c r="F392">
        <v>4</v>
      </c>
      <c r="G392">
        <f>MAX(0,PARAMS_MODELO!$B$33-VALUE(TRIM(F392))*3)</f>
        <v>18</v>
      </c>
      <c r="H392">
        <v>2</v>
      </c>
      <c r="I392">
        <f>ROUND(MIN(4,MAX(0,H392))/4*PARAMS_MODELO!$B$34,2)</f>
        <v>10</v>
      </c>
      <c r="J392">
        <v>1</v>
      </c>
      <c r="K392">
        <f>IF(J392=0,0,PARAMS_MODELO!$B$35)</f>
        <v>10</v>
      </c>
      <c r="L392">
        <f t="shared" si="19"/>
        <v>48</v>
      </c>
      <c r="M392" t="str">
        <f t="shared" si="20"/>
        <v>Regular</v>
      </c>
      <c r="N392">
        <f>IF(M392=PARAMS_MODELO!$A$36,PARAMS_MODELO!$B$36,IF(M392=PARAMS_MODELO!$A$37,PARAMS_MODELO!$B$37,IF(M392=PARAMS_MODELO!$A$38,PARAMS_MODELO!$B$38,IF(M392=PARAMS_MODELO!$A$39,PARAMS_MODELO!$B$39,IF(M392=PARAMS_MODELO!$A$40,PARAMS_MODELO!$B$40)))))</f>
        <v>1</v>
      </c>
    </row>
    <row r="393" spans="1:14" x14ac:dyDescent="0.3">
      <c r="A393">
        <v>51011601</v>
      </c>
      <c r="B393">
        <v>14</v>
      </c>
      <c r="C393">
        <v>22</v>
      </c>
      <c r="D393">
        <f t="shared" si="18"/>
        <v>0.63636363636363635</v>
      </c>
      <c r="E393">
        <f>ROUND(MIN(5,MAX(0,D393))/5*PARAMS_MODELO!$B$32,2)</f>
        <v>5.09</v>
      </c>
      <c r="F393">
        <v>2</v>
      </c>
      <c r="G393">
        <f>MAX(0,PARAMS_MODELO!$B$33-VALUE(TRIM(F393))*3)</f>
        <v>24</v>
      </c>
      <c r="H393">
        <v>1</v>
      </c>
      <c r="I393">
        <f>ROUND(MIN(4,MAX(0,H393))/4*PARAMS_MODELO!$B$34,2)</f>
        <v>5</v>
      </c>
      <c r="J393">
        <v>1</v>
      </c>
      <c r="K393">
        <f>IF(J393=0,0,PARAMS_MODELO!$B$35)</f>
        <v>10</v>
      </c>
      <c r="L393">
        <f t="shared" si="19"/>
        <v>44.09</v>
      </c>
      <c r="M393" t="str">
        <f t="shared" si="20"/>
        <v>Regular</v>
      </c>
      <c r="N393">
        <f>IF(M393=PARAMS_MODELO!$A$36,PARAMS_MODELO!$B$36,IF(M393=PARAMS_MODELO!$A$37,PARAMS_MODELO!$B$37,IF(M393=PARAMS_MODELO!$A$38,PARAMS_MODELO!$B$38,IF(M393=PARAMS_MODELO!$A$39,PARAMS_MODELO!$B$39,IF(M393=PARAMS_MODELO!$A$40,PARAMS_MODELO!$B$40)))))</f>
        <v>1</v>
      </c>
    </row>
    <row r="394" spans="1:14" x14ac:dyDescent="0.3">
      <c r="A394">
        <v>51022866</v>
      </c>
      <c r="B394">
        <v>2</v>
      </c>
      <c r="C394">
        <v>46</v>
      </c>
      <c r="D394">
        <f t="shared" si="18"/>
        <v>4.3478260869565216E-2</v>
      </c>
      <c r="E394">
        <f>ROUND(MIN(5,MAX(0,D394))/5*PARAMS_MODELO!$B$32,2)</f>
        <v>0.35</v>
      </c>
      <c r="F394">
        <v>2</v>
      </c>
      <c r="G394">
        <f>MAX(0,PARAMS_MODELO!$B$33-VALUE(TRIM(F394))*3)</f>
        <v>24</v>
      </c>
      <c r="H394">
        <v>2</v>
      </c>
      <c r="I394">
        <f>ROUND(MIN(4,MAX(0,H394))/4*PARAMS_MODELO!$B$34,2)</f>
        <v>10</v>
      </c>
      <c r="J394">
        <v>0</v>
      </c>
      <c r="K394">
        <f>IF(J394=0,0,PARAMS_MODELO!$B$35)</f>
        <v>0</v>
      </c>
      <c r="L394">
        <f t="shared" si="19"/>
        <v>34.35</v>
      </c>
      <c r="M394" t="str">
        <f t="shared" si="20"/>
        <v>Malo</v>
      </c>
      <c r="N394">
        <f>IF(M394=PARAMS_MODELO!$A$36,PARAMS_MODELO!$B$36,IF(M394=PARAMS_MODELO!$A$37,PARAMS_MODELO!$B$37,IF(M394=PARAMS_MODELO!$A$38,PARAMS_MODELO!$B$38,IF(M394=PARAMS_MODELO!$A$39,PARAMS_MODELO!$B$39,IF(M394=PARAMS_MODELO!$A$40,PARAMS_MODELO!$B$40)))))</f>
        <v>0.7</v>
      </c>
    </row>
    <row r="395" spans="1:14" x14ac:dyDescent="0.3">
      <c r="A395">
        <v>51017820</v>
      </c>
      <c r="B395">
        <v>80</v>
      </c>
      <c r="C395">
        <v>21</v>
      </c>
      <c r="D395">
        <f t="shared" si="18"/>
        <v>3.8095238095238093</v>
      </c>
      <c r="E395">
        <f>ROUND(MIN(5,MAX(0,D395))/5*PARAMS_MODELO!$B$32,2)</f>
        <v>30.48</v>
      </c>
      <c r="F395">
        <v>4</v>
      </c>
      <c r="G395">
        <f>MAX(0,PARAMS_MODELO!$B$33-VALUE(TRIM(F395))*3)</f>
        <v>18</v>
      </c>
      <c r="H395">
        <v>3</v>
      </c>
      <c r="I395">
        <f>ROUND(MIN(4,MAX(0,H395))/4*PARAMS_MODELO!$B$34,2)</f>
        <v>15</v>
      </c>
      <c r="J395">
        <v>0</v>
      </c>
      <c r="K395">
        <f>IF(J395=0,0,PARAMS_MODELO!$B$35)</f>
        <v>0</v>
      </c>
      <c r="L395">
        <f t="shared" si="19"/>
        <v>63.480000000000004</v>
      </c>
      <c r="M395" t="str">
        <f t="shared" si="20"/>
        <v>Bueno</v>
      </c>
      <c r="N395">
        <f>IF(M395=PARAMS_MODELO!$A$36,PARAMS_MODELO!$B$36,IF(M395=PARAMS_MODELO!$A$37,PARAMS_MODELO!$B$37,IF(M395=PARAMS_MODELO!$A$38,PARAMS_MODELO!$B$38,IF(M395=PARAMS_MODELO!$A$39,PARAMS_MODELO!$B$39,IF(M395=PARAMS_MODELO!$A$40,PARAMS_MODELO!$B$40)))))</f>
        <v>1.1000000000000001</v>
      </c>
    </row>
    <row r="396" spans="1:14" x14ac:dyDescent="0.3">
      <c r="A396">
        <v>51030761</v>
      </c>
      <c r="B396">
        <v>74</v>
      </c>
      <c r="C396">
        <v>70</v>
      </c>
      <c r="D396">
        <f t="shared" si="18"/>
        <v>1.0571428571428572</v>
      </c>
      <c r="E396">
        <f>ROUND(MIN(5,MAX(0,D396))/5*PARAMS_MODELO!$B$32,2)</f>
        <v>8.4600000000000009</v>
      </c>
      <c r="F396">
        <v>0</v>
      </c>
      <c r="G396">
        <f>MAX(0,PARAMS_MODELO!$B$33-VALUE(TRIM(F396))*3)</f>
        <v>30</v>
      </c>
      <c r="H396">
        <v>1</v>
      </c>
      <c r="I396">
        <f>ROUND(MIN(4,MAX(0,H396))/4*PARAMS_MODELO!$B$34,2)</f>
        <v>5</v>
      </c>
      <c r="J396">
        <v>0</v>
      </c>
      <c r="K396">
        <f>IF(J396=0,0,PARAMS_MODELO!$B$35)</f>
        <v>0</v>
      </c>
      <c r="L396">
        <f t="shared" si="19"/>
        <v>43.46</v>
      </c>
      <c r="M396" t="str">
        <f t="shared" si="20"/>
        <v>Regular</v>
      </c>
      <c r="N396">
        <f>IF(M396=PARAMS_MODELO!$A$36,PARAMS_MODELO!$B$36,IF(M396=PARAMS_MODELO!$A$37,PARAMS_MODELO!$B$37,IF(M396=PARAMS_MODELO!$A$38,PARAMS_MODELO!$B$38,IF(M396=PARAMS_MODELO!$A$39,PARAMS_MODELO!$B$39,IF(M396=PARAMS_MODELO!$A$40,PARAMS_MODELO!$B$40)))))</f>
        <v>1</v>
      </c>
    </row>
    <row r="397" spans="1:14" x14ac:dyDescent="0.3">
      <c r="A397">
        <v>51008294</v>
      </c>
      <c r="B397">
        <v>82</v>
      </c>
      <c r="C397">
        <v>78</v>
      </c>
      <c r="D397">
        <f t="shared" si="18"/>
        <v>1.0512820512820513</v>
      </c>
      <c r="E397">
        <f>ROUND(MIN(5,MAX(0,D397))/5*PARAMS_MODELO!$B$32,2)</f>
        <v>8.41</v>
      </c>
      <c r="F397">
        <v>0</v>
      </c>
      <c r="G397">
        <f>MAX(0,PARAMS_MODELO!$B$33-VALUE(TRIM(F397))*3)</f>
        <v>30</v>
      </c>
      <c r="H397">
        <v>0</v>
      </c>
      <c r="I397">
        <f>ROUND(MIN(4,MAX(0,H397))/4*PARAMS_MODELO!$B$34,2)</f>
        <v>0</v>
      </c>
      <c r="J397">
        <v>0</v>
      </c>
      <c r="K397">
        <f>IF(J397=0,0,PARAMS_MODELO!$B$35)</f>
        <v>0</v>
      </c>
      <c r="L397">
        <f t="shared" si="19"/>
        <v>38.409999999999997</v>
      </c>
      <c r="M397" t="str">
        <f t="shared" si="20"/>
        <v>Malo</v>
      </c>
      <c r="N397">
        <f>IF(M397=PARAMS_MODELO!$A$36,PARAMS_MODELO!$B$36,IF(M397=PARAMS_MODELO!$A$37,PARAMS_MODELO!$B$37,IF(M397=PARAMS_MODELO!$A$38,PARAMS_MODELO!$B$38,IF(M397=PARAMS_MODELO!$A$39,PARAMS_MODELO!$B$39,IF(M397=PARAMS_MODELO!$A$40,PARAMS_MODELO!$B$40)))))</f>
        <v>0.7</v>
      </c>
    </row>
    <row r="398" spans="1:14" x14ac:dyDescent="0.3">
      <c r="A398">
        <v>51055501</v>
      </c>
      <c r="B398">
        <v>75</v>
      </c>
      <c r="C398">
        <v>74</v>
      </c>
      <c r="D398">
        <f t="shared" si="18"/>
        <v>1.0135135135135136</v>
      </c>
      <c r="E398">
        <f>ROUND(MIN(5,MAX(0,D398))/5*PARAMS_MODELO!$B$32,2)</f>
        <v>8.11</v>
      </c>
      <c r="F398">
        <v>2</v>
      </c>
      <c r="G398">
        <f>MAX(0,PARAMS_MODELO!$B$33-VALUE(TRIM(F398))*3)</f>
        <v>24</v>
      </c>
      <c r="H398">
        <v>0</v>
      </c>
      <c r="I398">
        <f>ROUND(MIN(4,MAX(0,H398))/4*PARAMS_MODELO!$B$34,2)</f>
        <v>0</v>
      </c>
      <c r="J398">
        <v>1</v>
      </c>
      <c r="K398">
        <f>IF(J398=0,0,PARAMS_MODELO!$B$35)</f>
        <v>10</v>
      </c>
      <c r="L398">
        <f t="shared" si="19"/>
        <v>42.11</v>
      </c>
      <c r="M398" t="str">
        <f t="shared" si="20"/>
        <v>Regular</v>
      </c>
      <c r="N398">
        <f>IF(M398=PARAMS_MODELO!$A$36,PARAMS_MODELO!$B$36,IF(M398=PARAMS_MODELO!$A$37,PARAMS_MODELO!$B$37,IF(M398=PARAMS_MODELO!$A$38,PARAMS_MODELO!$B$38,IF(M398=PARAMS_MODELO!$A$39,PARAMS_MODELO!$B$39,IF(M398=PARAMS_MODELO!$A$40,PARAMS_MODELO!$B$40)))))</f>
        <v>1</v>
      </c>
    </row>
    <row r="399" spans="1:14" x14ac:dyDescent="0.3">
      <c r="A399">
        <v>51038886</v>
      </c>
      <c r="B399">
        <v>44</v>
      </c>
      <c r="C399">
        <v>11</v>
      </c>
      <c r="D399">
        <f t="shared" si="18"/>
        <v>4</v>
      </c>
      <c r="E399">
        <f>ROUND(MIN(5,MAX(0,D399))/5*PARAMS_MODELO!$B$32,2)</f>
        <v>32</v>
      </c>
      <c r="F399">
        <v>4</v>
      </c>
      <c r="G399">
        <f>MAX(0,PARAMS_MODELO!$B$33-VALUE(TRIM(F399))*3)</f>
        <v>18</v>
      </c>
      <c r="H399">
        <v>2</v>
      </c>
      <c r="I399">
        <f>ROUND(MIN(4,MAX(0,H399))/4*PARAMS_MODELO!$B$34,2)</f>
        <v>10</v>
      </c>
      <c r="J399">
        <v>1</v>
      </c>
      <c r="K399">
        <f>IF(J399=0,0,PARAMS_MODELO!$B$35)</f>
        <v>10</v>
      </c>
      <c r="L399">
        <f t="shared" si="19"/>
        <v>70</v>
      </c>
      <c r="M399" t="str">
        <f t="shared" si="20"/>
        <v>Bueno</v>
      </c>
      <c r="N399">
        <f>IF(M399=PARAMS_MODELO!$A$36,PARAMS_MODELO!$B$36,IF(M399=PARAMS_MODELO!$A$37,PARAMS_MODELO!$B$37,IF(M399=PARAMS_MODELO!$A$38,PARAMS_MODELO!$B$38,IF(M399=PARAMS_MODELO!$A$39,PARAMS_MODELO!$B$39,IF(M399=PARAMS_MODELO!$A$40,PARAMS_MODELO!$B$40)))))</f>
        <v>1.1000000000000001</v>
      </c>
    </row>
    <row r="400" spans="1:14" x14ac:dyDescent="0.3">
      <c r="A400">
        <v>51020316</v>
      </c>
      <c r="B400">
        <v>44</v>
      </c>
      <c r="C400">
        <v>11</v>
      </c>
      <c r="D400">
        <f t="shared" si="18"/>
        <v>4</v>
      </c>
      <c r="E400">
        <f>ROUND(MIN(5,MAX(0,D400))/5*PARAMS_MODELO!$B$32,2)</f>
        <v>32</v>
      </c>
      <c r="F400">
        <v>3</v>
      </c>
      <c r="G400">
        <f>MAX(0,PARAMS_MODELO!$B$33-VALUE(TRIM(F400))*3)</f>
        <v>21</v>
      </c>
      <c r="H400">
        <v>4</v>
      </c>
      <c r="I400">
        <f>ROUND(MIN(4,MAX(0,H400))/4*PARAMS_MODELO!$B$34,2)</f>
        <v>20</v>
      </c>
      <c r="J400">
        <v>1</v>
      </c>
      <c r="K400">
        <f>IF(J400=0,0,PARAMS_MODELO!$B$35)</f>
        <v>10</v>
      </c>
      <c r="L400">
        <f t="shared" si="19"/>
        <v>83</v>
      </c>
      <c r="M400" t="str">
        <f t="shared" si="20"/>
        <v>Muy Bueno</v>
      </c>
      <c r="N400">
        <f>IF(M400=PARAMS_MODELO!$A$36,PARAMS_MODELO!$B$36,IF(M400=PARAMS_MODELO!$A$37,PARAMS_MODELO!$B$37,IF(M400=PARAMS_MODELO!$A$38,PARAMS_MODELO!$B$38,IF(M400=PARAMS_MODELO!$A$39,PARAMS_MODELO!$B$39,IF(M400=PARAMS_MODELO!$A$40,PARAMS_MODELO!$B$40)))))</f>
        <v>1.1499999999999999</v>
      </c>
    </row>
    <row r="401" spans="1:14" x14ac:dyDescent="0.3">
      <c r="A401">
        <v>51055675</v>
      </c>
      <c r="B401">
        <v>71</v>
      </c>
      <c r="C401">
        <v>40</v>
      </c>
      <c r="D401">
        <f t="shared" si="18"/>
        <v>1.7749999999999999</v>
      </c>
      <c r="E401">
        <f>ROUND(MIN(5,MAX(0,D401))/5*PARAMS_MODELO!$B$32,2)</f>
        <v>14.2</v>
      </c>
      <c r="F401">
        <v>0</v>
      </c>
      <c r="G401">
        <f>MAX(0,PARAMS_MODELO!$B$33-VALUE(TRIM(F401))*3)</f>
        <v>30</v>
      </c>
      <c r="H401">
        <v>1</v>
      </c>
      <c r="I401">
        <f>ROUND(MIN(4,MAX(0,H401))/4*PARAMS_MODELO!$B$34,2)</f>
        <v>5</v>
      </c>
      <c r="J401">
        <v>1</v>
      </c>
      <c r="K401">
        <f>IF(J401=0,0,PARAMS_MODELO!$B$35)</f>
        <v>10</v>
      </c>
      <c r="L401">
        <f t="shared" si="19"/>
        <v>59.2</v>
      </c>
      <c r="M401" t="str">
        <f t="shared" si="20"/>
        <v>Regular</v>
      </c>
      <c r="N401">
        <f>IF(M401=PARAMS_MODELO!$A$36,PARAMS_MODELO!$B$36,IF(M401=PARAMS_MODELO!$A$37,PARAMS_MODELO!$B$37,IF(M401=PARAMS_MODELO!$A$38,PARAMS_MODELO!$B$38,IF(M401=PARAMS_MODELO!$A$39,PARAMS_MODELO!$B$39,IF(M401=PARAMS_MODELO!$A$40,PARAMS_MODELO!$B$40)))))</f>
        <v>1</v>
      </c>
    </row>
    <row r="402" spans="1:14" x14ac:dyDescent="0.3">
      <c r="A402">
        <v>51012577</v>
      </c>
      <c r="B402">
        <v>89</v>
      </c>
      <c r="C402">
        <v>10</v>
      </c>
      <c r="D402">
        <f t="shared" si="18"/>
        <v>5</v>
      </c>
      <c r="E402">
        <f>ROUND(MIN(5,MAX(0,D402))/5*PARAMS_MODELO!$B$32,2)</f>
        <v>40</v>
      </c>
      <c r="F402">
        <v>3</v>
      </c>
      <c r="G402">
        <f>MAX(0,PARAMS_MODELO!$B$33-VALUE(TRIM(F402))*3)</f>
        <v>21</v>
      </c>
      <c r="H402">
        <v>2</v>
      </c>
      <c r="I402">
        <f>ROUND(MIN(4,MAX(0,H402))/4*PARAMS_MODELO!$B$34,2)</f>
        <v>10</v>
      </c>
      <c r="J402">
        <v>1</v>
      </c>
      <c r="K402">
        <f>IF(J402=0,0,PARAMS_MODELO!$B$35)</f>
        <v>10</v>
      </c>
      <c r="L402">
        <f t="shared" si="19"/>
        <v>81</v>
      </c>
      <c r="M402" t="str">
        <f t="shared" si="20"/>
        <v>Muy Bueno</v>
      </c>
      <c r="N402">
        <f>IF(M402=PARAMS_MODELO!$A$36,PARAMS_MODELO!$B$36,IF(M402=PARAMS_MODELO!$A$37,PARAMS_MODELO!$B$37,IF(M402=PARAMS_MODELO!$A$38,PARAMS_MODELO!$B$38,IF(M402=PARAMS_MODELO!$A$39,PARAMS_MODELO!$B$39,IF(M402=PARAMS_MODELO!$A$40,PARAMS_MODELO!$B$40)))))</f>
        <v>1.1499999999999999</v>
      </c>
    </row>
    <row r="403" spans="1:14" x14ac:dyDescent="0.3">
      <c r="A403">
        <v>51017706</v>
      </c>
      <c r="B403">
        <v>80</v>
      </c>
      <c r="C403">
        <v>1</v>
      </c>
      <c r="D403">
        <f t="shared" si="18"/>
        <v>5</v>
      </c>
      <c r="E403">
        <f>ROUND(MIN(5,MAX(0,D403))/5*PARAMS_MODELO!$B$32,2)</f>
        <v>40</v>
      </c>
      <c r="F403">
        <v>1</v>
      </c>
      <c r="G403">
        <f>MAX(0,PARAMS_MODELO!$B$33-VALUE(TRIM(F403))*3)</f>
        <v>27</v>
      </c>
      <c r="H403">
        <v>2</v>
      </c>
      <c r="I403">
        <f>ROUND(MIN(4,MAX(0,H403))/4*PARAMS_MODELO!$B$34,2)</f>
        <v>10</v>
      </c>
      <c r="J403">
        <v>1</v>
      </c>
      <c r="K403">
        <f>IF(J403=0,0,PARAMS_MODELO!$B$35)</f>
        <v>10</v>
      </c>
      <c r="L403">
        <f t="shared" si="19"/>
        <v>87</v>
      </c>
      <c r="M403" t="str">
        <f t="shared" si="20"/>
        <v>Muy Bueno</v>
      </c>
      <c r="N403">
        <f>IF(M403=PARAMS_MODELO!$A$36,PARAMS_MODELO!$B$36,IF(M403=PARAMS_MODELO!$A$37,PARAMS_MODELO!$B$37,IF(M403=PARAMS_MODELO!$A$38,PARAMS_MODELO!$B$38,IF(M403=PARAMS_MODELO!$A$39,PARAMS_MODELO!$B$39,IF(M403=PARAMS_MODELO!$A$40,PARAMS_MODELO!$B$40)))))</f>
        <v>1.1499999999999999</v>
      </c>
    </row>
    <row r="404" spans="1:14" x14ac:dyDescent="0.3">
      <c r="A404">
        <v>51011236</v>
      </c>
      <c r="B404">
        <v>76</v>
      </c>
      <c r="C404">
        <v>56</v>
      </c>
      <c r="D404">
        <f t="shared" si="18"/>
        <v>1.3571428571428572</v>
      </c>
      <c r="E404">
        <f>ROUND(MIN(5,MAX(0,D404))/5*PARAMS_MODELO!$B$32,2)</f>
        <v>10.86</v>
      </c>
      <c r="F404">
        <v>4</v>
      </c>
      <c r="G404">
        <f>MAX(0,PARAMS_MODELO!$B$33-VALUE(TRIM(F404))*3)</f>
        <v>18</v>
      </c>
      <c r="H404">
        <v>3</v>
      </c>
      <c r="I404">
        <f>ROUND(MIN(4,MAX(0,H404))/4*PARAMS_MODELO!$B$34,2)</f>
        <v>15</v>
      </c>
      <c r="J404">
        <v>1</v>
      </c>
      <c r="K404">
        <f>IF(J404=0,0,PARAMS_MODELO!$B$35)</f>
        <v>10</v>
      </c>
      <c r="L404">
        <f t="shared" si="19"/>
        <v>53.86</v>
      </c>
      <c r="M404" t="str">
        <f t="shared" si="20"/>
        <v>Regular</v>
      </c>
      <c r="N404">
        <f>IF(M404=PARAMS_MODELO!$A$36,PARAMS_MODELO!$B$36,IF(M404=PARAMS_MODELO!$A$37,PARAMS_MODELO!$B$37,IF(M404=PARAMS_MODELO!$A$38,PARAMS_MODELO!$B$38,IF(M404=PARAMS_MODELO!$A$39,PARAMS_MODELO!$B$39,IF(M404=PARAMS_MODELO!$A$40,PARAMS_MODELO!$B$40)))))</f>
        <v>1</v>
      </c>
    </row>
    <row r="405" spans="1:14" x14ac:dyDescent="0.3">
      <c r="A405">
        <v>51030524</v>
      </c>
      <c r="B405">
        <v>83</v>
      </c>
      <c r="C405">
        <v>68</v>
      </c>
      <c r="D405">
        <f t="shared" si="18"/>
        <v>1.2205882352941178</v>
      </c>
      <c r="E405">
        <f>ROUND(MIN(5,MAX(0,D405))/5*PARAMS_MODELO!$B$32,2)</f>
        <v>9.76</v>
      </c>
      <c r="F405">
        <v>1</v>
      </c>
      <c r="G405">
        <f>MAX(0,PARAMS_MODELO!$B$33-VALUE(TRIM(F405))*3)</f>
        <v>27</v>
      </c>
      <c r="H405">
        <v>4</v>
      </c>
      <c r="I405">
        <f>ROUND(MIN(4,MAX(0,H405))/4*PARAMS_MODELO!$B$34,2)</f>
        <v>20</v>
      </c>
      <c r="J405">
        <v>0</v>
      </c>
      <c r="K405">
        <f>IF(J405=0,0,PARAMS_MODELO!$B$35)</f>
        <v>0</v>
      </c>
      <c r="L405">
        <f t="shared" si="19"/>
        <v>56.76</v>
      </c>
      <c r="M405" t="str">
        <f t="shared" si="20"/>
        <v>Regular</v>
      </c>
      <c r="N405">
        <f>IF(M405=PARAMS_MODELO!$A$36,PARAMS_MODELO!$B$36,IF(M405=PARAMS_MODELO!$A$37,PARAMS_MODELO!$B$37,IF(M405=PARAMS_MODELO!$A$38,PARAMS_MODELO!$B$38,IF(M405=PARAMS_MODELO!$A$39,PARAMS_MODELO!$B$39,IF(M405=PARAMS_MODELO!$A$40,PARAMS_MODELO!$B$40)))))</f>
        <v>1</v>
      </c>
    </row>
    <row r="406" spans="1:14" x14ac:dyDescent="0.3">
      <c r="A406">
        <v>51003365</v>
      </c>
      <c r="B406">
        <v>19</v>
      </c>
      <c r="C406">
        <v>96</v>
      </c>
      <c r="D406">
        <f t="shared" si="18"/>
        <v>0.19791666666666666</v>
      </c>
      <c r="E406">
        <f>ROUND(MIN(5,MAX(0,D406))/5*PARAMS_MODELO!$B$32,2)</f>
        <v>1.58</v>
      </c>
      <c r="F406">
        <v>3</v>
      </c>
      <c r="G406">
        <f>MAX(0,PARAMS_MODELO!$B$33-VALUE(TRIM(F406))*3)</f>
        <v>21</v>
      </c>
      <c r="H406">
        <v>4</v>
      </c>
      <c r="I406">
        <f>ROUND(MIN(4,MAX(0,H406))/4*PARAMS_MODELO!$B$34,2)</f>
        <v>20</v>
      </c>
      <c r="J406">
        <v>0</v>
      </c>
      <c r="K406">
        <f>IF(J406=0,0,PARAMS_MODELO!$B$35)</f>
        <v>0</v>
      </c>
      <c r="L406">
        <f t="shared" si="19"/>
        <v>42.58</v>
      </c>
      <c r="M406" t="str">
        <f t="shared" si="20"/>
        <v>Regular</v>
      </c>
      <c r="N406">
        <f>IF(M406=PARAMS_MODELO!$A$36,PARAMS_MODELO!$B$36,IF(M406=PARAMS_MODELO!$A$37,PARAMS_MODELO!$B$37,IF(M406=PARAMS_MODELO!$A$38,PARAMS_MODELO!$B$38,IF(M406=PARAMS_MODELO!$A$39,PARAMS_MODELO!$B$39,IF(M406=PARAMS_MODELO!$A$40,PARAMS_MODELO!$B$40)))))</f>
        <v>1</v>
      </c>
    </row>
    <row r="407" spans="1:14" x14ac:dyDescent="0.3">
      <c r="A407">
        <v>51031989</v>
      </c>
      <c r="B407">
        <v>55</v>
      </c>
      <c r="C407">
        <v>42</v>
      </c>
      <c r="D407">
        <f t="shared" si="18"/>
        <v>1.3095238095238095</v>
      </c>
      <c r="E407">
        <f>ROUND(MIN(5,MAX(0,D407))/5*PARAMS_MODELO!$B$32,2)</f>
        <v>10.48</v>
      </c>
      <c r="F407">
        <v>4</v>
      </c>
      <c r="G407">
        <f>MAX(0,PARAMS_MODELO!$B$33-VALUE(TRIM(F407))*3)</f>
        <v>18</v>
      </c>
      <c r="H407">
        <v>3</v>
      </c>
      <c r="I407">
        <f>ROUND(MIN(4,MAX(0,H407))/4*PARAMS_MODELO!$B$34,2)</f>
        <v>15</v>
      </c>
      <c r="J407">
        <v>1</v>
      </c>
      <c r="K407">
        <f>IF(J407=0,0,PARAMS_MODELO!$B$35)</f>
        <v>10</v>
      </c>
      <c r="L407">
        <f t="shared" si="19"/>
        <v>53.480000000000004</v>
      </c>
      <c r="M407" t="str">
        <f t="shared" si="20"/>
        <v>Regular</v>
      </c>
      <c r="N407">
        <f>IF(M407=PARAMS_MODELO!$A$36,PARAMS_MODELO!$B$36,IF(M407=PARAMS_MODELO!$A$37,PARAMS_MODELO!$B$37,IF(M407=PARAMS_MODELO!$A$38,PARAMS_MODELO!$B$38,IF(M407=PARAMS_MODELO!$A$39,PARAMS_MODELO!$B$39,IF(M407=PARAMS_MODELO!$A$40,PARAMS_MODELO!$B$40)))))</f>
        <v>1</v>
      </c>
    </row>
    <row r="408" spans="1:14" x14ac:dyDescent="0.3">
      <c r="A408">
        <v>51010922</v>
      </c>
      <c r="B408">
        <v>6</v>
      </c>
      <c r="C408">
        <v>84</v>
      </c>
      <c r="D408">
        <f t="shared" si="18"/>
        <v>7.1428571428571425E-2</v>
      </c>
      <c r="E408">
        <f>ROUND(MIN(5,MAX(0,D408))/5*PARAMS_MODELO!$B$32,2)</f>
        <v>0.56999999999999995</v>
      </c>
      <c r="F408">
        <v>3</v>
      </c>
      <c r="G408">
        <f>MAX(0,PARAMS_MODELO!$B$33-VALUE(TRIM(F408))*3)</f>
        <v>21</v>
      </c>
      <c r="H408">
        <v>3</v>
      </c>
      <c r="I408">
        <f>ROUND(MIN(4,MAX(0,H408))/4*PARAMS_MODELO!$B$34,2)</f>
        <v>15</v>
      </c>
      <c r="J408">
        <v>0</v>
      </c>
      <c r="K408">
        <f>IF(J408=0,0,PARAMS_MODELO!$B$35)</f>
        <v>0</v>
      </c>
      <c r="L408">
        <f t="shared" si="19"/>
        <v>36.57</v>
      </c>
      <c r="M408" t="str">
        <f t="shared" si="20"/>
        <v>Malo</v>
      </c>
      <c r="N408">
        <f>IF(M408=PARAMS_MODELO!$A$36,PARAMS_MODELO!$B$36,IF(M408=PARAMS_MODELO!$A$37,PARAMS_MODELO!$B$37,IF(M408=PARAMS_MODELO!$A$38,PARAMS_MODELO!$B$38,IF(M408=PARAMS_MODELO!$A$39,PARAMS_MODELO!$B$39,IF(M408=PARAMS_MODELO!$A$40,PARAMS_MODELO!$B$40)))))</f>
        <v>0.7</v>
      </c>
    </row>
    <row r="409" spans="1:14" x14ac:dyDescent="0.3">
      <c r="A409">
        <v>51040031</v>
      </c>
      <c r="B409">
        <v>38</v>
      </c>
      <c r="C409">
        <v>63</v>
      </c>
      <c r="D409">
        <f t="shared" si="18"/>
        <v>0.60317460317460314</v>
      </c>
      <c r="E409">
        <f>ROUND(MIN(5,MAX(0,D409))/5*PARAMS_MODELO!$B$32,2)</f>
        <v>4.83</v>
      </c>
      <c r="F409">
        <v>3</v>
      </c>
      <c r="G409">
        <f>MAX(0,PARAMS_MODELO!$B$33-VALUE(TRIM(F409))*3)</f>
        <v>21</v>
      </c>
      <c r="H409">
        <v>2</v>
      </c>
      <c r="I409">
        <f>ROUND(MIN(4,MAX(0,H409))/4*PARAMS_MODELO!$B$34,2)</f>
        <v>10</v>
      </c>
      <c r="J409">
        <v>1</v>
      </c>
      <c r="K409">
        <f>IF(J409=0,0,PARAMS_MODELO!$B$35)</f>
        <v>10</v>
      </c>
      <c r="L409">
        <f t="shared" si="19"/>
        <v>45.83</v>
      </c>
      <c r="M409" t="str">
        <f t="shared" si="20"/>
        <v>Regular</v>
      </c>
      <c r="N409">
        <f>IF(M409=PARAMS_MODELO!$A$36,PARAMS_MODELO!$B$36,IF(M409=PARAMS_MODELO!$A$37,PARAMS_MODELO!$B$37,IF(M409=PARAMS_MODELO!$A$38,PARAMS_MODELO!$B$38,IF(M409=PARAMS_MODELO!$A$39,PARAMS_MODELO!$B$39,IF(M409=PARAMS_MODELO!$A$40,PARAMS_MODELO!$B$40)))))</f>
        <v>1</v>
      </c>
    </row>
    <row r="410" spans="1:14" x14ac:dyDescent="0.3">
      <c r="A410">
        <v>51027108</v>
      </c>
      <c r="B410">
        <v>60</v>
      </c>
      <c r="C410">
        <v>66</v>
      </c>
      <c r="D410">
        <f t="shared" si="18"/>
        <v>0.90909090909090906</v>
      </c>
      <c r="E410">
        <f>ROUND(MIN(5,MAX(0,D410))/5*PARAMS_MODELO!$B$32,2)</f>
        <v>7.27</v>
      </c>
      <c r="F410">
        <v>0</v>
      </c>
      <c r="G410">
        <f>MAX(0,PARAMS_MODELO!$B$33-VALUE(TRIM(F410))*3)</f>
        <v>30</v>
      </c>
      <c r="H410">
        <v>2</v>
      </c>
      <c r="I410">
        <f>ROUND(MIN(4,MAX(0,H410))/4*PARAMS_MODELO!$B$34,2)</f>
        <v>10</v>
      </c>
      <c r="J410">
        <v>1</v>
      </c>
      <c r="K410">
        <f>IF(J410=0,0,PARAMS_MODELO!$B$35)</f>
        <v>10</v>
      </c>
      <c r="L410">
        <f t="shared" si="19"/>
        <v>57.269999999999996</v>
      </c>
      <c r="M410" t="str">
        <f t="shared" si="20"/>
        <v>Regular</v>
      </c>
      <c r="N410">
        <f>IF(M410=PARAMS_MODELO!$A$36,PARAMS_MODELO!$B$36,IF(M410=PARAMS_MODELO!$A$37,PARAMS_MODELO!$B$37,IF(M410=PARAMS_MODELO!$A$38,PARAMS_MODELO!$B$38,IF(M410=PARAMS_MODELO!$A$39,PARAMS_MODELO!$B$39,IF(M410=PARAMS_MODELO!$A$40,PARAMS_MODELO!$B$40)))))</f>
        <v>1</v>
      </c>
    </row>
    <row r="411" spans="1:14" x14ac:dyDescent="0.3">
      <c r="A411">
        <v>51022971</v>
      </c>
      <c r="B411">
        <v>24</v>
      </c>
      <c r="C411">
        <v>35</v>
      </c>
      <c r="D411">
        <f t="shared" si="18"/>
        <v>0.68571428571428572</v>
      </c>
      <c r="E411">
        <f>ROUND(MIN(5,MAX(0,D411))/5*PARAMS_MODELO!$B$32,2)</f>
        <v>5.49</v>
      </c>
      <c r="F411">
        <v>0</v>
      </c>
      <c r="G411">
        <f>MAX(0,PARAMS_MODELO!$B$33-VALUE(TRIM(F411))*3)</f>
        <v>30</v>
      </c>
      <c r="H411">
        <v>2</v>
      </c>
      <c r="I411">
        <f>ROUND(MIN(4,MAX(0,H411))/4*PARAMS_MODELO!$B$34,2)</f>
        <v>10</v>
      </c>
      <c r="J411">
        <v>1</v>
      </c>
      <c r="K411">
        <f>IF(J411=0,0,PARAMS_MODELO!$B$35)</f>
        <v>10</v>
      </c>
      <c r="L411">
        <f t="shared" si="19"/>
        <v>55.49</v>
      </c>
      <c r="M411" t="str">
        <f t="shared" si="20"/>
        <v>Regular</v>
      </c>
      <c r="N411">
        <f>IF(M411=PARAMS_MODELO!$A$36,PARAMS_MODELO!$B$36,IF(M411=PARAMS_MODELO!$A$37,PARAMS_MODELO!$B$37,IF(M411=PARAMS_MODELO!$A$38,PARAMS_MODELO!$B$38,IF(M411=PARAMS_MODELO!$A$39,PARAMS_MODELO!$B$39,IF(M411=PARAMS_MODELO!$A$40,PARAMS_MODELO!$B$40)))))</f>
        <v>1</v>
      </c>
    </row>
    <row r="412" spans="1:14" x14ac:dyDescent="0.3">
      <c r="A412">
        <v>51023005</v>
      </c>
      <c r="B412">
        <v>39</v>
      </c>
      <c r="C412">
        <v>18</v>
      </c>
      <c r="D412">
        <f t="shared" si="18"/>
        <v>2.1666666666666665</v>
      </c>
      <c r="E412">
        <f>ROUND(MIN(5,MAX(0,D412))/5*PARAMS_MODELO!$B$32,2)</f>
        <v>17.329999999999998</v>
      </c>
      <c r="F412">
        <v>1</v>
      </c>
      <c r="G412">
        <f>MAX(0,PARAMS_MODELO!$B$33-VALUE(TRIM(F412))*3)</f>
        <v>27</v>
      </c>
      <c r="H412">
        <v>4</v>
      </c>
      <c r="I412">
        <f>ROUND(MIN(4,MAX(0,H412))/4*PARAMS_MODELO!$B$34,2)</f>
        <v>20</v>
      </c>
      <c r="J412">
        <v>0</v>
      </c>
      <c r="K412">
        <f>IF(J412=0,0,PARAMS_MODELO!$B$35)</f>
        <v>0</v>
      </c>
      <c r="L412">
        <f t="shared" si="19"/>
        <v>64.33</v>
      </c>
      <c r="M412" t="str">
        <f t="shared" si="20"/>
        <v>Bueno</v>
      </c>
      <c r="N412">
        <f>IF(M412=PARAMS_MODELO!$A$36,PARAMS_MODELO!$B$36,IF(M412=PARAMS_MODELO!$A$37,PARAMS_MODELO!$B$37,IF(M412=PARAMS_MODELO!$A$38,PARAMS_MODELO!$B$38,IF(M412=PARAMS_MODELO!$A$39,PARAMS_MODELO!$B$39,IF(M412=PARAMS_MODELO!$A$40,PARAMS_MODELO!$B$40)))))</f>
        <v>1.1000000000000001</v>
      </c>
    </row>
    <row r="413" spans="1:14" x14ac:dyDescent="0.3">
      <c r="A413">
        <v>51002610</v>
      </c>
      <c r="B413">
        <v>41</v>
      </c>
      <c r="C413">
        <v>85</v>
      </c>
      <c r="D413">
        <f t="shared" si="18"/>
        <v>0.4823529411764706</v>
      </c>
      <c r="E413">
        <f>ROUND(MIN(5,MAX(0,D413))/5*PARAMS_MODELO!$B$32,2)</f>
        <v>3.86</v>
      </c>
      <c r="F413">
        <v>0</v>
      </c>
      <c r="G413">
        <f>MAX(0,PARAMS_MODELO!$B$33-VALUE(TRIM(F413))*3)</f>
        <v>30</v>
      </c>
      <c r="H413">
        <v>1</v>
      </c>
      <c r="I413">
        <f>ROUND(MIN(4,MAX(0,H413))/4*PARAMS_MODELO!$B$34,2)</f>
        <v>5</v>
      </c>
      <c r="J413">
        <v>1</v>
      </c>
      <c r="K413">
        <f>IF(J413=0,0,PARAMS_MODELO!$B$35)</f>
        <v>10</v>
      </c>
      <c r="L413">
        <f t="shared" si="19"/>
        <v>48.86</v>
      </c>
      <c r="M413" t="str">
        <f t="shared" si="20"/>
        <v>Regular</v>
      </c>
      <c r="N413">
        <f>IF(M413=PARAMS_MODELO!$A$36,PARAMS_MODELO!$B$36,IF(M413=PARAMS_MODELO!$A$37,PARAMS_MODELO!$B$37,IF(M413=PARAMS_MODELO!$A$38,PARAMS_MODELO!$B$38,IF(M413=PARAMS_MODELO!$A$39,PARAMS_MODELO!$B$39,IF(M413=PARAMS_MODELO!$A$40,PARAMS_MODELO!$B$40)))))</f>
        <v>1</v>
      </c>
    </row>
    <row r="414" spans="1:14" x14ac:dyDescent="0.3">
      <c r="A414">
        <v>51056116</v>
      </c>
      <c r="B414">
        <v>58</v>
      </c>
      <c r="C414">
        <v>23</v>
      </c>
      <c r="D414">
        <f t="shared" si="18"/>
        <v>2.5217391304347827</v>
      </c>
      <c r="E414">
        <f>ROUND(MIN(5,MAX(0,D414))/5*PARAMS_MODELO!$B$32,2)</f>
        <v>20.170000000000002</v>
      </c>
      <c r="F414">
        <v>1</v>
      </c>
      <c r="G414">
        <f>MAX(0,PARAMS_MODELO!$B$33-VALUE(TRIM(F414))*3)</f>
        <v>27</v>
      </c>
      <c r="H414">
        <v>3</v>
      </c>
      <c r="I414">
        <f>ROUND(MIN(4,MAX(0,H414))/4*PARAMS_MODELO!$B$34,2)</f>
        <v>15</v>
      </c>
      <c r="J414">
        <v>0</v>
      </c>
      <c r="K414">
        <f>IF(J414=0,0,PARAMS_MODELO!$B$35)</f>
        <v>0</v>
      </c>
      <c r="L414">
        <f t="shared" si="19"/>
        <v>62.17</v>
      </c>
      <c r="M414" t="str">
        <f t="shared" si="20"/>
        <v>Bueno</v>
      </c>
      <c r="N414">
        <f>IF(M414=PARAMS_MODELO!$A$36,PARAMS_MODELO!$B$36,IF(M414=PARAMS_MODELO!$A$37,PARAMS_MODELO!$B$37,IF(M414=PARAMS_MODELO!$A$38,PARAMS_MODELO!$B$38,IF(M414=PARAMS_MODELO!$A$39,PARAMS_MODELO!$B$39,IF(M414=PARAMS_MODELO!$A$40,PARAMS_MODELO!$B$40)))))</f>
        <v>1.1000000000000001</v>
      </c>
    </row>
    <row r="415" spans="1:14" x14ac:dyDescent="0.3">
      <c r="A415">
        <v>51020979</v>
      </c>
      <c r="B415">
        <v>8</v>
      </c>
      <c r="C415">
        <v>95</v>
      </c>
      <c r="D415">
        <f t="shared" si="18"/>
        <v>8.4210526315789472E-2</v>
      </c>
      <c r="E415">
        <f>ROUND(MIN(5,MAX(0,D415))/5*PARAMS_MODELO!$B$32,2)</f>
        <v>0.67</v>
      </c>
      <c r="F415">
        <v>3</v>
      </c>
      <c r="G415">
        <f>MAX(0,PARAMS_MODELO!$B$33-VALUE(TRIM(F415))*3)</f>
        <v>21</v>
      </c>
      <c r="H415">
        <v>0</v>
      </c>
      <c r="I415">
        <f>ROUND(MIN(4,MAX(0,H415))/4*PARAMS_MODELO!$B$34,2)</f>
        <v>0</v>
      </c>
      <c r="J415">
        <v>0</v>
      </c>
      <c r="K415">
        <f>IF(J415=0,0,PARAMS_MODELO!$B$35)</f>
        <v>0</v>
      </c>
      <c r="L415">
        <f t="shared" si="19"/>
        <v>21.67</v>
      </c>
      <c r="M415" t="str">
        <f t="shared" si="20"/>
        <v>Malo</v>
      </c>
      <c r="N415">
        <f>IF(M415=PARAMS_MODELO!$A$36,PARAMS_MODELO!$B$36,IF(M415=PARAMS_MODELO!$A$37,PARAMS_MODELO!$B$37,IF(M415=PARAMS_MODELO!$A$38,PARAMS_MODELO!$B$38,IF(M415=PARAMS_MODELO!$A$39,PARAMS_MODELO!$B$39,IF(M415=PARAMS_MODELO!$A$40,PARAMS_MODELO!$B$40)))))</f>
        <v>0.7</v>
      </c>
    </row>
    <row r="416" spans="1:14" x14ac:dyDescent="0.3">
      <c r="A416">
        <v>51015207</v>
      </c>
      <c r="B416">
        <v>67</v>
      </c>
      <c r="C416">
        <v>34</v>
      </c>
      <c r="D416">
        <f t="shared" si="18"/>
        <v>1.9705882352941178</v>
      </c>
      <c r="E416">
        <f>ROUND(MIN(5,MAX(0,D416))/5*PARAMS_MODELO!$B$32,2)</f>
        <v>15.76</v>
      </c>
      <c r="F416">
        <v>0</v>
      </c>
      <c r="G416">
        <f>MAX(0,PARAMS_MODELO!$B$33-VALUE(TRIM(F416))*3)</f>
        <v>30</v>
      </c>
      <c r="H416">
        <v>0</v>
      </c>
      <c r="I416">
        <f>ROUND(MIN(4,MAX(0,H416))/4*PARAMS_MODELO!$B$34,2)</f>
        <v>0</v>
      </c>
      <c r="J416">
        <v>1</v>
      </c>
      <c r="K416">
        <f>IF(J416=0,0,PARAMS_MODELO!$B$35)</f>
        <v>10</v>
      </c>
      <c r="L416">
        <f t="shared" si="19"/>
        <v>55.76</v>
      </c>
      <c r="M416" t="str">
        <f t="shared" si="20"/>
        <v>Regular</v>
      </c>
      <c r="N416">
        <f>IF(M416=PARAMS_MODELO!$A$36,PARAMS_MODELO!$B$36,IF(M416=PARAMS_MODELO!$A$37,PARAMS_MODELO!$B$37,IF(M416=PARAMS_MODELO!$A$38,PARAMS_MODELO!$B$38,IF(M416=PARAMS_MODELO!$A$39,PARAMS_MODELO!$B$39,IF(M416=PARAMS_MODELO!$A$40,PARAMS_MODELO!$B$40)))))</f>
        <v>1</v>
      </c>
    </row>
    <row r="417" spans="1:14" x14ac:dyDescent="0.3">
      <c r="A417">
        <v>51007549</v>
      </c>
      <c r="B417">
        <v>27</v>
      </c>
      <c r="C417">
        <v>5</v>
      </c>
      <c r="D417">
        <f t="shared" si="18"/>
        <v>5</v>
      </c>
      <c r="E417">
        <f>ROUND(MIN(5,MAX(0,D417))/5*PARAMS_MODELO!$B$32,2)</f>
        <v>40</v>
      </c>
      <c r="F417">
        <v>2</v>
      </c>
      <c r="G417">
        <f>MAX(0,PARAMS_MODELO!$B$33-VALUE(TRIM(F417))*3)</f>
        <v>24</v>
      </c>
      <c r="H417">
        <v>2</v>
      </c>
      <c r="I417">
        <f>ROUND(MIN(4,MAX(0,H417))/4*PARAMS_MODELO!$B$34,2)</f>
        <v>10</v>
      </c>
      <c r="J417">
        <v>0</v>
      </c>
      <c r="K417">
        <f>IF(J417=0,0,PARAMS_MODELO!$B$35)</f>
        <v>0</v>
      </c>
      <c r="L417">
        <f t="shared" si="19"/>
        <v>74</v>
      </c>
      <c r="M417" t="str">
        <f t="shared" si="20"/>
        <v>Bueno</v>
      </c>
      <c r="N417">
        <f>IF(M417=PARAMS_MODELO!$A$36,PARAMS_MODELO!$B$36,IF(M417=PARAMS_MODELO!$A$37,PARAMS_MODELO!$B$37,IF(M417=PARAMS_MODELO!$A$38,PARAMS_MODELO!$B$38,IF(M417=PARAMS_MODELO!$A$39,PARAMS_MODELO!$B$39,IF(M417=PARAMS_MODELO!$A$40,PARAMS_MODELO!$B$40)))))</f>
        <v>1.1000000000000001</v>
      </c>
    </row>
    <row r="418" spans="1:14" x14ac:dyDescent="0.3">
      <c r="A418">
        <v>51032624</v>
      </c>
      <c r="B418">
        <v>34</v>
      </c>
      <c r="C418">
        <v>90</v>
      </c>
      <c r="D418">
        <f t="shared" si="18"/>
        <v>0.37777777777777777</v>
      </c>
      <c r="E418">
        <f>ROUND(MIN(5,MAX(0,D418))/5*PARAMS_MODELO!$B$32,2)</f>
        <v>3.02</v>
      </c>
      <c r="F418">
        <v>2</v>
      </c>
      <c r="G418">
        <f>MAX(0,PARAMS_MODELO!$B$33-VALUE(TRIM(F418))*3)</f>
        <v>24</v>
      </c>
      <c r="H418">
        <v>0</v>
      </c>
      <c r="I418">
        <f>ROUND(MIN(4,MAX(0,H418))/4*PARAMS_MODELO!$B$34,2)</f>
        <v>0</v>
      </c>
      <c r="J418">
        <v>0</v>
      </c>
      <c r="K418">
        <f>IF(J418=0,0,PARAMS_MODELO!$B$35)</f>
        <v>0</v>
      </c>
      <c r="L418">
        <f t="shared" si="19"/>
        <v>27.02</v>
      </c>
      <c r="M418" t="str">
        <f t="shared" si="20"/>
        <v>Malo</v>
      </c>
      <c r="N418">
        <f>IF(M418=PARAMS_MODELO!$A$36,PARAMS_MODELO!$B$36,IF(M418=PARAMS_MODELO!$A$37,PARAMS_MODELO!$B$37,IF(M418=PARAMS_MODELO!$A$38,PARAMS_MODELO!$B$38,IF(M418=PARAMS_MODELO!$A$39,PARAMS_MODELO!$B$39,IF(M418=PARAMS_MODELO!$A$40,PARAMS_MODELO!$B$40)))))</f>
        <v>0.7</v>
      </c>
    </row>
    <row r="419" spans="1:14" x14ac:dyDescent="0.3">
      <c r="A419">
        <v>51002555</v>
      </c>
      <c r="B419">
        <v>40</v>
      </c>
      <c r="C419">
        <v>17</v>
      </c>
      <c r="D419">
        <f t="shared" si="18"/>
        <v>2.3529411764705883</v>
      </c>
      <c r="E419">
        <f>ROUND(MIN(5,MAX(0,D419))/5*PARAMS_MODELO!$B$32,2)</f>
        <v>18.82</v>
      </c>
      <c r="F419">
        <v>1</v>
      </c>
      <c r="G419">
        <f>MAX(0,PARAMS_MODELO!$B$33-VALUE(TRIM(F419))*3)</f>
        <v>27</v>
      </c>
      <c r="H419">
        <v>4</v>
      </c>
      <c r="I419">
        <f>ROUND(MIN(4,MAX(0,H419))/4*PARAMS_MODELO!$B$34,2)</f>
        <v>20</v>
      </c>
      <c r="J419">
        <v>0</v>
      </c>
      <c r="K419">
        <f>IF(J419=0,0,PARAMS_MODELO!$B$35)</f>
        <v>0</v>
      </c>
      <c r="L419">
        <f t="shared" si="19"/>
        <v>65.819999999999993</v>
      </c>
      <c r="M419" t="str">
        <f t="shared" si="20"/>
        <v>Bueno</v>
      </c>
      <c r="N419">
        <f>IF(M419=PARAMS_MODELO!$A$36,PARAMS_MODELO!$B$36,IF(M419=PARAMS_MODELO!$A$37,PARAMS_MODELO!$B$37,IF(M419=PARAMS_MODELO!$A$38,PARAMS_MODELO!$B$38,IF(M419=PARAMS_MODELO!$A$39,PARAMS_MODELO!$B$39,IF(M419=PARAMS_MODELO!$A$40,PARAMS_MODELO!$B$40)))))</f>
        <v>1.1000000000000001</v>
      </c>
    </row>
    <row r="420" spans="1:14" x14ac:dyDescent="0.3">
      <c r="A420">
        <v>51029879</v>
      </c>
      <c r="B420">
        <v>21</v>
      </c>
      <c r="C420">
        <v>76</v>
      </c>
      <c r="D420">
        <f t="shared" si="18"/>
        <v>0.27631578947368424</v>
      </c>
      <c r="E420">
        <f>ROUND(MIN(5,MAX(0,D420))/5*PARAMS_MODELO!$B$32,2)</f>
        <v>2.21</v>
      </c>
      <c r="F420">
        <v>3</v>
      </c>
      <c r="G420">
        <f>MAX(0,PARAMS_MODELO!$B$33-VALUE(TRIM(F420))*3)</f>
        <v>21</v>
      </c>
      <c r="H420">
        <v>4</v>
      </c>
      <c r="I420">
        <f>ROUND(MIN(4,MAX(0,H420))/4*PARAMS_MODELO!$B$34,2)</f>
        <v>20</v>
      </c>
      <c r="J420">
        <v>1</v>
      </c>
      <c r="K420">
        <f>IF(J420=0,0,PARAMS_MODELO!$B$35)</f>
        <v>10</v>
      </c>
      <c r="L420">
        <f t="shared" si="19"/>
        <v>53.21</v>
      </c>
      <c r="M420" t="str">
        <f t="shared" si="20"/>
        <v>Regular</v>
      </c>
      <c r="N420">
        <f>IF(M420=PARAMS_MODELO!$A$36,PARAMS_MODELO!$B$36,IF(M420=PARAMS_MODELO!$A$37,PARAMS_MODELO!$B$37,IF(M420=PARAMS_MODELO!$A$38,PARAMS_MODELO!$B$38,IF(M420=PARAMS_MODELO!$A$39,PARAMS_MODELO!$B$39,IF(M420=PARAMS_MODELO!$A$40,PARAMS_MODELO!$B$40)))))</f>
        <v>1</v>
      </c>
    </row>
    <row r="421" spans="1:14" x14ac:dyDescent="0.3">
      <c r="A421">
        <v>51011147</v>
      </c>
      <c r="B421">
        <v>76</v>
      </c>
      <c r="C421">
        <v>81</v>
      </c>
      <c r="D421">
        <f t="shared" si="18"/>
        <v>0.93827160493827155</v>
      </c>
      <c r="E421">
        <f>ROUND(MIN(5,MAX(0,D421))/5*PARAMS_MODELO!$B$32,2)</f>
        <v>7.51</v>
      </c>
      <c r="F421">
        <v>2</v>
      </c>
      <c r="G421">
        <f>MAX(0,PARAMS_MODELO!$B$33-VALUE(TRIM(F421))*3)</f>
        <v>24</v>
      </c>
      <c r="H421">
        <v>4</v>
      </c>
      <c r="I421">
        <f>ROUND(MIN(4,MAX(0,H421))/4*PARAMS_MODELO!$B$34,2)</f>
        <v>20</v>
      </c>
      <c r="J421">
        <v>1</v>
      </c>
      <c r="K421">
        <f>IF(J421=0,0,PARAMS_MODELO!$B$35)</f>
        <v>10</v>
      </c>
      <c r="L421">
        <f t="shared" si="19"/>
        <v>61.51</v>
      </c>
      <c r="M421" t="str">
        <f t="shared" si="20"/>
        <v>Bueno</v>
      </c>
      <c r="N421">
        <f>IF(M421=PARAMS_MODELO!$A$36,PARAMS_MODELO!$B$36,IF(M421=PARAMS_MODELO!$A$37,PARAMS_MODELO!$B$37,IF(M421=PARAMS_MODELO!$A$38,PARAMS_MODELO!$B$38,IF(M421=PARAMS_MODELO!$A$39,PARAMS_MODELO!$B$39,IF(M421=PARAMS_MODELO!$A$40,PARAMS_MODELO!$B$40)))))</f>
        <v>1.1000000000000001</v>
      </c>
    </row>
    <row r="422" spans="1:14" x14ac:dyDescent="0.3">
      <c r="A422">
        <v>51030427</v>
      </c>
      <c r="B422">
        <v>97</v>
      </c>
      <c r="C422">
        <v>7</v>
      </c>
      <c r="D422">
        <f t="shared" si="18"/>
        <v>5</v>
      </c>
      <c r="E422">
        <f>ROUND(MIN(5,MAX(0,D422))/5*PARAMS_MODELO!$B$32,2)</f>
        <v>40</v>
      </c>
      <c r="F422">
        <v>3</v>
      </c>
      <c r="G422">
        <f>MAX(0,PARAMS_MODELO!$B$33-VALUE(TRIM(F422))*3)</f>
        <v>21</v>
      </c>
      <c r="H422">
        <v>4</v>
      </c>
      <c r="I422">
        <f>ROUND(MIN(4,MAX(0,H422))/4*PARAMS_MODELO!$B$34,2)</f>
        <v>20</v>
      </c>
      <c r="J422">
        <v>0</v>
      </c>
      <c r="K422">
        <f>IF(J422=0,0,PARAMS_MODELO!$B$35)</f>
        <v>0</v>
      </c>
      <c r="L422">
        <f t="shared" si="19"/>
        <v>81</v>
      </c>
      <c r="M422" t="str">
        <f t="shared" si="20"/>
        <v>Muy Bueno</v>
      </c>
      <c r="N422">
        <f>IF(M422=PARAMS_MODELO!$A$36,PARAMS_MODELO!$B$36,IF(M422=PARAMS_MODELO!$A$37,PARAMS_MODELO!$B$37,IF(M422=PARAMS_MODELO!$A$38,PARAMS_MODELO!$B$38,IF(M422=PARAMS_MODELO!$A$39,PARAMS_MODELO!$B$39,IF(M422=PARAMS_MODELO!$A$40,PARAMS_MODELO!$B$40)))))</f>
        <v>1.1499999999999999</v>
      </c>
    </row>
    <row r="423" spans="1:14" x14ac:dyDescent="0.3">
      <c r="A423">
        <v>51032675</v>
      </c>
      <c r="B423">
        <v>41</v>
      </c>
      <c r="C423">
        <v>56</v>
      </c>
      <c r="D423">
        <f t="shared" si="18"/>
        <v>0.7321428571428571</v>
      </c>
      <c r="E423">
        <f>ROUND(MIN(5,MAX(0,D423))/5*PARAMS_MODELO!$B$32,2)</f>
        <v>5.86</v>
      </c>
      <c r="F423">
        <v>2</v>
      </c>
      <c r="G423">
        <f>MAX(0,PARAMS_MODELO!$B$33-VALUE(TRIM(F423))*3)</f>
        <v>24</v>
      </c>
      <c r="H423">
        <v>1</v>
      </c>
      <c r="I423">
        <f>ROUND(MIN(4,MAX(0,H423))/4*PARAMS_MODELO!$B$34,2)</f>
        <v>5</v>
      </c>
      <c r="J423">
        <v>1</v>
      </c>
      <c r="K423">
        <f>IF(J423=0,0,PARAMS_MODELO!$B$35)</f>
        <v>10</v>
      </c>
      <c r="L423">
        <f t="shared" si="19"/>
        <v>44.86</v>
      </c>
      <c r="M423" t="str">
        <f t="shared" si="20"/>
        <v>Regular</v>
      </c>
      <c r="N423">
        <f>IF(M423=PARAMS_MODELO!$A$36,PARAMS_MODELO!$B$36,IF(M423=PARAMS_MODELO!$A$37,PARAMS_MODELO!$B$37,IF(M423=PARAMS_MODELO!$A$38,PARAMS_MODELO!$B$38,IF(M423=PARAMS_MODELO!$A$39,PARAMS_MODELO!$B$39,IF(M423=PARAMS_MODELO!$A$40,PARAMS_MODELO!$B$40)))))</f>
        <v>1</v>
      </c>
    </row>
    <row r="424" spans="1:14" x14ac:dyDescent="0.3">
      <c r="A424">
        <v>51042921</v>
      </c>
      <c r="B424">
        <v>83</v>
      </c>
      <c r="C424">
        <v>37</v>
      </c>
      <c r="D424">
        <f t="shared" si="18"/>
        <v>2.2432432432432434</v>
      </c>
      <c r="E424">
        <f>ROUND(MIN(5,MAX(0,D424))/5*PARAMS_MODELO!$B$32,2)</f>
        <v>17.95</v>
      </c>
      <c r="F424">
        <v>5</v>
      </c>
      <c r="G424">
        <f>MAX(0,PARAMS_MODELO!$B$33-VALUE(TRIM(F424))*3)</f>
        <v>15</v>
      </c>
      <c r="H424">
        <v>3</v>
      </c>
      <c r="I424">
        <f>ROUND(MIN(4,MAX(0,H424))/4*PARAMS_MODELO!$B$34,2)</f>
        <v>15</v>
      </c>
      <c r="J424">
        <v>1</v>
      </c>
      <c r="K424">
        <f>IF(J424=0,0,PARAMS_MODELO!$B$35)</f>
        <v>10</v>
      </c>
      <c r="L424">
        <f t="shared" si="19"/>
        <v>57.95</v>
      </c>
      <c r="M424" t="str">
        <f t="shared" si="20"/>
        <v>Regular</v>
      </c>
      <c r="N424">
        <f>IF(M424=PARAMS_MODELO!$A$36,PARAMS_MODELO!$B$36,IF(M424=PARAMS_MODELO!$A$37,PARAMS_MODELO!$B$37,IF(M424=PARAMS_MODELO!$A$38,PARAMS_MODELO!$B$38,IF(M424=PARAMS_MODELO!$A$39,PARAMS_MODELO!$B$39,IF(M424=PARAMS_MODELO!$A$40,PARAMS_MODELO!$B$40)))))</f>
        <v>1</v>
      </c>
    </row>
    <row r="425" spans="1:14" x14ac:dyDescent="0.3">
      <c r="A425">
        <v>51056272</v>
      </c>
      <c r="B425">
        <v>24</v>
      </c>
      <c r="C425">
        <v>59</v>
      </c>
      <c r="D425">
        <f t="shared" si="18"/>
        <v>0.40677966101694918</v>
      </c>
      <c r="E425">
        <f>ROUND(MIN(5,MAX(0,D425))/5*PARAMS_MODELO!$B$32,2)</f>
        <v>3.25</v>
      </c>
      <c r="F425">
        <v>4</v>
      </c>
      <c r="G425">
        <f>MAX(0,PARAMS_MODELO!$B$33-VALUE(TRIM(F425))*3)</f>
        <v>18</v>
      </c>
      <c r="H425">
        <v>1</v>
      </c>
      <c r="I425">
        <f>ROUND(MIN(4,MAX(0,H425))/4*PARAMS_MODELO!$B$34,2)</f>
        <v>5</v>
      </c>
      <c r="J425">
        <v>0</v>
      </c>
      <c r="K425">
        <f>IF(J425=0,0,PARAMS_MODELO!$B$35)</f>
        <v>0</v>
      </c>
      <c r="L425">
        <f t="shared" si="19"/>
        <v>26.25</v>
      </c>
      <c r="M425" t="str">
        <f t="shared" si="20"/>
        <v>Malo</v>
      </c>
      <c r="N425">
        <f>IF(M425=PARAMS_MODELO!$A$36,PARAMS_MODELO!$B$36,IF(M425=PARAMS_MODELO!$A$37,PARAMS_MODELO!$B$37,IF(M425=PARAMS_MODELO!$A$38,PARAMS_MODELO!$B$38,IF(M425=PARAMS_MODELO!$A$39,PARAMS_MODELO!$B$39,IF(M425=PARAMS_MODELO!$A$40,PARAMS_MODELO!$B$40)))))</f>
        <v>0.7</v>
      </c>
    </row>
    <row r="426" spans="1:14" x14ac:dyDescent="0.3">
      <c r="A426">
        <v>51007883</v>
      </c>
      <c r="B426">
        <v>5</v>
      </c>
      <c r="C426">
        <v>38</v>
      </c>
      <c r="D426">
        <f t="shared" si="18"/>
        <v>0.13157894736842105</v>
      </c>
      <c r="E426">
        <f>ROUND(MIN(5,MAX(0,D426))/5*PARAMS_MODELO!$B$32,2)</f>
        <v>1.05</v>
      </c>
      <c r="F426">
        <v>0</v>
      </c>
      <c r="G426">
        <f>MAX(0,PARAMS_MODELO!$B$33-VALUE(TRIM(F426))*3)</f>
        <v>30</v>
      </c>
      <c r="H426">
        <v>2</v>
      </c>
      <c r="I426">
        <f>ROUND(MIN(4,MAX(0,H426))/4*PARAMS_MODELO!$B$34,2)</f>
        <v>10</v>
      </c>
      <c r="J426">
        <v>0</v>
      </c>
      <c r="K426">
        <f>IF(J426=0,0,PARAMS_MODELO!$B$35)</f>
        <v>0</v>
      </c>
      <c r="L426">
        <f t="shared" si="19"/>
        <v>41.05</v>
      </c>
      <c r="M426" t="str">
        <f t="shared" si="20"/>
        <v>Regular</v>
      </c>
      <c r="N426">
        <f>IF(M426=PARAMS_MODELO!$A$36,PARAMS_MODELO!$B$36,IF(M426=PARAMS_MODELO!$A$37,PARAMS_MODELO!$B$37,IF(M426=PARAMS_MODELO!$A$38,PARAMS_MODELO!$B$38,IF(M426=PARAMS_MODELO!$A$39,PARAMS_MODELO!$B$39,IF(M426=PARAMS_MODELO!$A$40,PARAMS_MODELO!$B$40)))))</f>
        <v>1</v>
      </c>
    </row>
    <row r="427" spans="1:14" x14ac:dyDescent="0.3">
      <c r="A427">
        <v>51030010</v>
      </c>
      <c r="B427">
        <v>72</v>
      </c>
      <c r="C427">
        <v>33</v>
      </c>
      <c r="D427">
        <f t="shared" si="18"/>
        <v>2.1818181818181817</v>
      </c>
      <c r="E427">
        <f>ROUND(MIN(5,MAX(0,D427))/5*PARAMS_MODELO!$B$32,2)</f>
        <v>17.45</v>
      </c>
      <c r="F427">
        <v>2</v>
      </c>
      <c r="G427">
        <f>MAX(0,PARAMS_MODELO!$B$33-VALUE(TRIM(F427))*3)</f>
        <v>24</v>
      </c>
      <c r="H427">
        <v>4</v>
      </c>
      <c r="I427">
        <f>ROUND(MIN(4,MAX(0,H427))/4*PARAMS_MODELO!$B$34,2)</f>
        <v>20</v>
      </c>
      <c r="J427">
        <v>1</v>
      </c>
      <c r="K427">
        <f>IF(J427=0,0,PARAMS_MODELO!$B$35)</f>
        <v>10</v>
      </c>
      <c r="L427">
        <f t="shared" si="19"/>
        <v>71.45</v>
      </c>
      <c r="M427" t="str">
        <f t="shared" si="20"/>
        <v>Bueno</v>
      </c>
      <c r="N427">
        <f>IF(M427=PARAMS_MODELO!$A$36,PARAMS_MODELO!$B$36,IF(M427=PARAMS_MODELO!$A$37,PARAMS_MODELO!$B$37,IF(M427=PARAMS_MODELO!$A$38,PARAMS_MODELO!$B$38,IF(M427=PARAMS_MODELO!$A$39,PARAMS_MODELO!$B$39,IF(M427=PARAMS_MODELO!$A$40,PARAMS_MODELO!$B$40)))))</f>
        <v>1.1000000000000001</v>
      </c>
    </row>
    <row r="428" spans="1:14" x14ac:dyDescent="0.3">
      <c r="A428">
        <v>51056124</v>
      </c>
      <c r="B428">
        <v>33</v>
      </c>
      <c r="C428">
        <v>7</v>
      </c>
      <c r="D428">
        <f t="shared" si="18"/>
        <v>4.7142857142857144</v>
      </c>
      <c r="E428">
        <f>ROUND(MIN(5,MAX(0,D428))/5*PARAMS_MODELO!$B$32,2)</f>
        <v>37.71</v>
      </c>
      <c r="F428">
        <v>1</v>
      </c>
      <c r="G428">
        <f>MAX(0,PARAMS_MODELO!$B$33-VALUE(TRIM(F428))*3)</f>
        <v>27</v>
      </c>
      <c r="H428">
        <v>4</v>
      </c>
      <c r="I428">
        <f>ROUND(MIN(4,MAX(0,H428))/4*PARAMS_MODELO!$B$34,2)</f>
        <v>20</v>
      </c>
      <c r="J428">
        <v>1</v>
      </c>
      <c r="K428">
        <f>IF(J428=0,0,PARAMS_MODELO!$B$35)</f>
        <v>10</v>
      </c>
      <c r="L428">
        <f t="shared" si="19"/>
        <v>94.710000000000008</v>
      </c>
      <c r="M428" t="str">
        <f t="shared" si="20"/>
        <v>Excelente</v>
      </c>
      <c r="N428">
        <f>IF(M428=PARAMS_MODELO!$A$36,PARAMS_MODELO!$B$36,IF(M428=PARAMS_MODELO!$A$37,PARAMS_MODELO!$B$37,IF(M428=PARAMS_MODELO!$A$38,PARAMS_MODELO!$B$38,IF(M428=PARAMS_MODELO!$A$39,PARAMS_MODELO!$B$39,IF(M428=PARAMS_MODELO!$A$40,PARAMS_MODELO!$B$40)))))</f>
        <v>1.2</v>
      </c>
    </row>
    <row r="429" spans="1:14" x14ac:dyDescent="0.3">
      <c r="A429">
        <v>51043758</v>
      </c>
      <c r="B429">
        <v>12</v>
      </c>
      <c r="C429">
        <v>18</v>
      </c>
      <c r="D429">
        <f t="shared" si="18"/>
        <v>0.66666666666666663</v>
      </c>
      <c r="E429">
        <f>ROUND(MIN(5,MAX(0,D429))/5*PARAMS_MODELO!$B$32,2)</f>
        <v>5.33</v>
      </c>
      <c r="F429">
        <v>5</v>
      </c>
      <c r="G429">
        <f>MAX(0,PARAMS_MODELO!$B$33-VALUE(TRIM(F429))*3)</f>
        <v>15</v>
      </c>
      <c r="H429">
        <v>4</v>
      </c>
      <c r="I429">
        <f>ROUND(MIN(4,MAX(0,H429))/4*PARAMS_MODELO!$B$34,2)</f>
        <v>20</v>
      </c>
      <c r="J429">
        <v>1</v>
      </c>
      <c r="K429">
        <f>IF(J429=0,0,PARAMS_MODELO!$B$35)</f>
        <v>10</v>
      </c>
      <c r="L429">
        <f t="shared" si="19"/>
        <v>50.33</v>
      </c>
      <c r="M429" t="str">
        <f t="shared" si="20"/>
        <v>Regular</v>
      </c>
      <c r="N429">
        <f>IF(M429=PARAMS_MODELO!$A$36,PARAMS_MODELO!$B$36,IF(M429=PARAMS_MODELO!$A$37,PARAMS_MODELO!$B$37,IF(M429=PARAMS_MODELO!$A$38,PARAMS_MODELO!$B$38,IF(M429=PARAMS_MODELO!$A$39,PARAMS_MODELO!$B$39,IF(M429=PARAMS_MODELO!$A$40,PARAMS_MODELO!$B$40)))))</f>
        <v>1</v>
      </c>
    </row>
    <row r="430" spans="1:14" x14ac:dyDescent="0.3">
      <c r="A430">
        <v>51055039</v>
      </c>
      <c r="B430">
        <v>67</v>
      </c>
      <c r="C430">
        <v>14</v>
      </c>
      <c r="D430">
        <f t="shared" si="18"/>
        <v>4.7857142857142856</v>
      </c>
      <c r="E430">
        <f>ROUND(MIN(5,MAX(0,D430))/5*PARAMS_MODELO!$B$32,2)</f>
        <v>38.29</v>
      </c>
      <c r="F430">
        <v>3</v>
      </c>
      <c r="G430">
        <f>MAX(0,PARAMS_MODELO!$B$33-VALUE(TRIM(F430))*3)</f>
        <v>21</v>
      </c>
      <c r="H430">
        <v>4</v>
      </c>
      <c r="I430">
        <f>ROUND(MIN(4,MAX(0,H430))/4*PARAMS_MODELO!$B$34,2)</f>
        <v>20</v>
      </c>
      <c r="J430">
        <v>1</v>
      </c>
      <c r="K430">
        <f>IF(J430=0,0,PARAMS_MODELO!$B$35)</f>
        <v>10</v>
      </c>
      <c r="L430">
        <f t="shared" si="19"/>
        <v>89.289999999999992</v>
      </c>
      <c r="M430" t="str">
        <f t="shared" si="20"/>
        <v>Muy Bueno</v>
      </c>
      <c r="N430">
        <f>IF(M430=PARAMS_MODELO!$A$36,PARAMS_MODELO!$B$36,IF(M430=PARAMS_MODELO!$A$37,PARAMS_MODELO!$B$37,IF(M430=PARAMS_MODELO!$A$38,PARAMS_MODELO!$B$38,IF(M430=PARAMS_MODELO!$A$39,PARAMS_MODELO!$B$39,IF(M430=PARAMS_MODELO!$A$40,PARAMS_MODELO!$B$40)))))</f>
        <v>1.1499999999999999</v>
      </c>
    </row>
    <row r="431" spans="1:14" x14ac:dyDescent="0.3">
      <c r="A431">
        <v>51056582</v>
      </c>
      <c r="B431">
        <v>25</v>
      </c>
      <c r="C431">
        <v>92</v>
      </c>
      <c r="D431">
        <f t="shared" si="18"/>
        <v>0.27173913043478259</v>
      </c>
      <c r="E431">
        <f>ROUND(MIN(5,MAX(0,D431))/5*PARAMS_MODELO!$B$32,2)</f>
        <v>2.17</v>
      </c>
      <c r="F431">
        <v>0</v>
      </c>
      <c r="G431">
        <f>MAX(0,PARAMS_MODELO!$B$33-VALUE(TRIM(F431))*3)</f>
        <v>30</v>
      </c>
      <c r="H431">
        <v>3</v>
      </c>
      <c r="I431">
        <f>ROUND(MIN(4,MAX(0,H431))/4*PARAMS_MODELO!$B$34,2)</f>
        <v>15</v>
      </c>
      <c r="J431">
        <v>1</v>
      </c>
      <c r="K431">
        <f>IF(J431=0,0,PARAMS_MODELO!$B$35)</f>
        <v>10</v>
      </c>
      <c r="L431">
        <f t="shared" si="19"/>
        <v>57.17</v>
      </c>
      <c r="M431" t="str">
        <f t="shared" si="20"/>
        <v>Regular</v>
      </c>
      <c r="N431">
        <f>IF(M431=PARAMS_MODELO!$A$36,PARAMS_MODELO!$B$36,IF(M431=PARAMS_MODELO!$A$37,PARAMS_MODELO!$B$37,IF(M431=PARAMS_MODELO!$A$38,PARAMS_MODELO!$B$38,IF(M431=PARAMS_MODELO!$A$39,PARAMS_MODELO!$B$39,IF(M431=PARAMS_MODELO!$A$40,PARAMS_MODELO!$B$40)))))</f>
        <v>1</v>
      </c>
    </row>
    <row r="432" spans="1:14" x14ac:dyDescent="0.3">
      <c r="A432">
        <v>51021321</v>
      </c>
      <c r="B432">
        <v>68</v>
      </c>
      <c r="C432">
        <v>22</v>
      </c>
      <c r="D432">
        <f t="shared" si="18"/>
        <v>3.0909090909090908</v>
      </c>
      <c r="E432">
        <f>ROUND(MIN(5,MAX(0,D432))/5*PARAMS_MODELO!$B$32,2)</f>
        <v>24.73</v>
      </c>
      <c r="F432">
        <v>0</v>
      </c>
      <c r="G432">
        <f>MAX(0,PARAMS_MODELO!$B$33-VALUE(TRIM(F432))*3)</f>
        <v>30</v>
      </c>
      <c r="H432">
        <v>2</v>
      </c>
      <c r="I432">
        <f>ROUND(MIN(4,MAX(0,H432))/4*PARAMS_MODELO!$B$34,2)</f>
        <v>10</v>
      </c>
      <c r="J432">
        <v>1</v>
      </c>
      <c r="K432">
        <f>IF(J432=0,0,PARAMS_MODELO!$B$35)</f>
        <v>10</v>
      </c>
      <c r="L432">
        <f t="shared" si="19"/>
        <v>74.73</v>
      </c>
      <c r="M432" t="str">
        <f t="shared" si="20"/>
        <v>Bueno</v>
      </c>
      <c r="N432">
        <f>IF(M432=PARAMS_MODELO!$A$36,PARAMS_MODELO!$B$36,IF(M432=PARAMS_MODELO!$A$37,PARAMS_MODELO!$B$37,IF(M432=PARAMS_MODELO!$A$38,PARAMS_MODELO!$B$38,IF(M432=PARAMS_MODELO!$A$39,PARAMS_MODELO!$B$39,IF(M432=PARAMS_MODELO!$A$40,PARAMS_MODELO!$B$40)))))</f>
        <v>1.1000000000000001</v>
      </c>
    </row>
    <row r="433" spans="1:14" x14ac:dyDescent="0.3">
      <c r="A433">
        <v>51055322</v>
      </c>
      <c r="B433">
        <v>98</v>
      </c>
      <c r="C433">
        <v>60</v>
      </c>
      <c r="D433">
        <f t="shared" si="18"/>
        <v>1.6333333333333333</v>
      </c>
      <c r="E433">
        <f>ROUND(MIN(5,MAX(0,D433))/5*PARAMS_MODELO!$B$32,2)</f>
        <v>13.07</v>
      </c>
      <c r="F433">
        <v>3</v>
      </c>
      <c r="G433">
        <f>MAX(0,PARAMS_MODELO!$B$33-VALUE(TRIM(F433))*3)</f>
        <v>21</v>
      </c>
      <c r="H433">
        <v>1</v>
      </c>
      <c r="I433">
        <f>ROUND(MIN(4,MAX(0,H433))/4*PARAMS_MODELO!$B$34,2)</f>
        <v>5</v>
      </c>
      <c r="J433">
        <v>1</v>
      </c>
      <c r="K433">
        <f>IF(J433=0,0,PARAMS_MODELO!$B$35)</f>
        <v>10</v>
      </c>
      <c r="L433">
        <f t="shared" si="19"/>
        <v>49.07</v>
      </c>
      <c r="M433" t="str">
        <f t="shared" si="20"/>
        <v>Regular</v>
      </c>
      <c r="N433">
        <f>IF(M433=PARAMS_MODELO!$A$36,PARAMS_MODELO!$B$36,IF(M433=PARAMS_MODELO!$A$37,PARAMS_MODELO!$B$37,IF(M433=PARAMS_MODELO!$A$38,PARAMS_MODELO!$B$38,IF(M433=PARAMS_MODELO!$A$39,PARAMS_MODELO!$B$39,IF(M433=PARAMS_MODELO!$A$40,PARAMS_MODELO!$B$40)))))</f>
        <v>1</v>
      </c>
    </row>
    <row r="434" spans="1:14" x14ac:dyDescent="0.3">
      <c r="A434">
        <v>51010027</v>
      </c>
      <c r="B434">
        <v>6</v>
      </c>
      <c r="C434">
        <v>70</v>
      </c>
      <c r="D434">
        <f t="shared" si="18"/>
        <v>8.5714285714285715E-2</v>
      </c>
      <c r="E434">
        <f>ROUND(MIN(5,MAX(0,D434))/5*PARAMS_MODELO!$B$32,2)</f>
        <v>0.69</v>
      </c>
      <c r="F434">
        <v>3</v>
      </c>
      <c r="G434">
        <f>MAX(0,PARAMS_MODELO!$B$33-VALUE(TRIM(F434))*3)</f>
        <v>21</v>
      </c>
      <c r="H434">
        <v>2</v>
      </c>
      <c r="I434">
        <f>ROUND(MIN(4,MAX(0,H434))/4*PARAMS_MODELO!$B$34,2)</f>
        <v>10</v>
      </c>
      <c r="J434">
        <v>1</v>
      </c>
      <c r="K434">
        <f>IF(J434=0,0,PARAMS_MODELO!$B$35)</f>
        <v>10</v>
      </c>
      <c r="L434">
        <f t="shared" si="19"/>
        <v>41.69</v>
      </c>
      <c r="M434" t="str">
        <f t="shared" si="20"/>
        <v>Regular</v>
      </c>
      <c r="N434">
        <f>IF(M434=PARAMS_MODELO!$A$36,PARAMS_MODELO!$B$36,IF(M434=PARAMS_MODELO!$A$37,PARAMS_MODELO!$B$37,IF(M434=PARAMS_MODELO!$A$38,PARAMS_MODELO!$B$38,IF(M434=PARAMS_MODELO!$A$39,PARAMS_MODELO!$B$39,IF(M434=PARAMS_MODELO!$A$40,PARAMS_MODELO!$B$40)))))</f>
        <v>1</v>
      </c>
    </row>
    <row r="435" spans="1:14" x14ac:dyDescent="0.3">
      <c r="A435">
        <v>51011295</v>
      </c>
      <c r="B435">
        <v>21</v>
      </c>
      <c r="C435">
        <v>52</v>
      </c>
      <c r="D435">
        <f t="shared" si="18"/>
        <v>0.40384615384615385</v>
      </c>
      <c r="E435">
        <f>ROUND(MIN(5,MAX(0,D435))/5*PARAMS_MODELO!$B$32,2)</f>
        <v>3.23</v>
      </c>
      <c r="F435">
        <v>2</v>
      </c>
      <c r="G435">
        <f>MAX(0,PARAMS_MODELO!$B$33-VALUE(TRIM(F435))*3)</f>
        <v>24</v>
      </c>
      <c r="H435">
        <v>1</v>
      </c>
      <c r="I435">
        <f>ROUND(MIN(4,MAX(0,H435))/4*PARAMS_MODELO!$B$34,2)</f>
        <v>5</v>
      </c>
      <c r="J435">
        <v>1</v>
      </c>
      <c r="K435">
        <f>IF(J435=0,0,PARAMS_MODELO!$B$35)</f>
        <v>10</v>
      </c>
      <c r="L435">
        <f t="shared" si="19"/>
        <v>42.230000000000004</v>
      </c>
      <c r="M435" t="str">
        <f t="shared" si="20"/>
        <v>Regular</v>
      </c>
      <c r="N435">
        <f>IF(M435=PARAMS_MODELO!$A$36,PARAMS_MODELO!$B$36,IF(M435=PARAMS_MODELO!$A$37,PARAMS_MODELO!$B$37,IF(M435=PARAMS_MODELO!$A$38,PARAMS_MODELO!$B$38,IF(M435=PARAMS_MODELO!$A$39,PARAMS_MODELO!$B$39,IF(M435=PARAMS_MODELO!$A$40,PARAMS_MODELO!$B$40)))))</f>
        <v>1</v>
      </c>
    </row>
    <row r="436" spans="1:14" x14ac:dyDescent="0.3">
      <c r="A436">
        <v>51017145</v>
      </c>
      <c r="B436">
        <v>1</v>
      </c>
      <c r="C436">
        <v>0</v>
      </c>
      <c r="D436">
        <f t="shared" si="18"/>
        <v>0</v>
      </c>
      <c r="E436">
        <f>ROUND(MIN(5,MAX(0,D436))/5*PARAMS_MODELO!$B$32,2)</f>
        <v>0</v>
      </c>
      <c r="F436">
        <v>2</v>
      </c>
      <c r="G436">
        <f>MAX(0,PARAMS_MODELO!$B$33-VALUE(TRIM(F436))*3)</f>
        <v>24</v>
      </c>
      <c r="H436">
        <v>1</v>
      </c>
      <c r="I436">
        <f>ROUND(MIN(4,MAX(0,H436))/4*PARAMS_MODELO!$B$34,2)</f>
        <v>5</v>
      </c>
      <c r="J436">
        <v>0</v>
      </c>
      <c r="K436">
        <f>IF(J436=0,0,PARAMS_MODELO!$B$35)</f>
        <v>0</v>
      </c>
      <c r="L436">
        <f t="shared" si="19"/>
        <v>29</v>
      </c>
      <c r="M436" t="str">
        <f t="shared" si="20"/>
        <v>Malo</v>
      </c>
      <c r="N436">
        <f>IF(M436=PARAMS_MODELO!$A$36,PARAMS_MODELO!$B$36,IF(M436=PARAMS_MODELO!$A$37,PARAMS_MODELO!$B$37,IF(M436=PARAMS_MODELO!$A$38,PARAMS_MODELO!$B$38,IF(M436=PARAMS_MODELO!$A$39,PARAMS_MODELO!$B$39,IF(M436=PARAMS_MODELO!$A$40,PARAMS_MODELO!$B$40)))))</f>
        <v>0.7</v>
      </c>
    </row>
    <row r="437" spans="1:14" x14ac:dyDescent="0.3">
      <c r="A437">
        <v>51055888</v>
      </c>
      <c r="B437">
        <v>8</v>
      </c>
      <c r="C437">
        <v>29</v>
      </c>
      <c r="D437">
        <f t="shared" si="18"/>
        <v>0.27586206896551724</v>
      </c>
      <c r="E437">
        <f>ROUND(MIN(5,MAX(0,D437))/5*PARAMS_MODELO!$B$32,2)</f>
        <v>2.21</v>
      </c>
      <c r="F437">
        <v>4</v>
      </c>
      <c r="G437">
        <f>MAX(0,PARAMS_MODELO!$B$33-VALUE(TRIM(F437))*3)</f>
        <v>18</v>
      </c>
      <c r="H437">
        <v>0</v>
      </c>
      <c r="I437">
        <f>ROUND(MIN(4,MAX(0,H437))/4*PARAMS_MODELO!$B$34,2)</f>
        <v>0</v>
      </c>
      <c r="J437">
        <v>0</v>
      </c>
      <c r="K437">
        <f>IF(J437=0,0,PARAMS_MODELO!$B$35)</f>
        <v>0</v>
      </c>
      <c r="L437">
        <f t="shared" si="19"/>
        <v>20.21</v>
      </c>
      <c r="M437" t="str">
        <f t="shared" si="20"/>
        <v>Malo</v>
      </c>
      <c r="N437">
        <f>IF(M437=PARAMS_MODELO!$A$36,PARAMS_MODELO!$B$36,IF(M437=PARAMS_MODELO!$A$37,PARAMS_MODELO!$B$37,IF(M437=PARAMS_MODELO!$A$38,PARAMS_MODELO!$B$38,IF(M437=PARAMS_MODELO!$A$39,PARAMS_MODELO!$B$39,IF(M437=PARAMS_MODELO!$A$40,PARAMS_MODELO!$B$40)))))</f>
        <v>0.7</v>
      </c>
    </row>
    <row r="438" spans="1:14" x14ac:dyDescent="0.3">
      <c r="A438">
        <v>51031881</v>
      </c>
      <c r="B438">
        <v>53</v>
      </c>
      <c r="C438">
        <v>58</v>
      </c>
      <c r="D438">
        <f t="shared" si="18"/>
        <v>0.91379310344827591</v>
      </c>
      <c r="E438">
        <f>ROUND(MIN(5,MAX(0,D438))/5*PARAMS_MODELO!$B$32,2)</f>
        <v>7.31</v>
      </c>
      <c r="F438">
        <v>2</v>
      </c>
      <c r="G438">
        <f>MAX(0,PARAMS_MODELO!$B$33-VALUE(TRIM(F438))*3)</f>
        <v>24</v>
      </c>
      <c r="H438">
        <v>3</v>
      </c>
      <c r="I438">
        <f>ROUND(MIN(4,MAX(0,H438))/4*PARAMS_MODELO!$B$34,2)</f>
        <v>15</v>
      </c>
      <c r="J438">
        <v>1</v>
      </c>
      <c r="K438">
        <f>IF(J438=0,0,PARAMS_MODELO!$B$35)</f>
        <v>10</v>
      </c>
      <c r="L438">
        <f t="shared" si="19"/>
        <v>56.31</v>
      </c>
      <c r="M438" t="str">
        <f t="shared" si="20"/>
        <v>Regular</v>
      </c>
      <c r="N438">
        <f>IF(M438=PARAMS_MODELO!$A$36,PARAMS_MODELO!$B$36,IF(M438=PARAMS_MODELO!$A$37,PARAMS_MODELO!$B$37,IF(M438=PARAMS_MODELO!$A$38,PARAMS_MODELO!$B$38,IF(M438=PARAMS_MODELO!$A$39,PARAMS_MODELO!$B$39,IF(M438=PARAMS_MODELO!$A$40,PARAMS_MODELO!$B$40)))))</f>
        <v>1</v>
      </c>
    </row>
    <row r="439" spans="1:14" x14ac:dyDescent="0.3">
      <c r="A439">
        <v>51010060</v>
      </c>
      <c r="B439">
        <v>88</v>
      </c>
      <c r="C439">
        <v>13</v>
      </c>
      <c r="D439">
        <f t="shared" si="18"/>
        <v>5</v>
      </c>
      <c r="E439">
        <f>ROUND(MIN(5,MAX(0,D439))/5*PARAMS_MODELO!$B$32,2)</f>
        <v>40</v>
      </c>
      <c r="F439">
        <v>1</v>
      </c>
      <c r="G439">
        <f>MAX(0,PARAMS_MODELO!$B$33-VALUE(TRIM(F439))*3)</f>
        <v>27</v>
      </c>
      <c r="H439">
        <v>3</v>
      </c>
      <c r="I439">
        <f>ROUND(MIN(4,MAX(0,H439))/4*PARAMS_MODELO!$B$34,2)</f>
        <v>15</v>
      </c>
      <c r="J439">
        <v>1</v>
      </c>
      <c r="K439">
        <f>IF(J439=0,0,PARAMS_MODELO!$B$35)</f>
        <v>10</v>
      </c>
      <c r="L439">
        <f t="shared" si="19"/>
        <v>92</v>
      </c>
      <c r="M439" t="str">
        <f t="shared" si="20"/>
        <v>Excelente</v>
      </c>
      <c r="N439">
        <f>IF(M439=PARAMS_MODELO!$A$36,PARAMS_MODELO!$B$36,IF(M439=PARAMS_MODELO!$A$37,PARAMS_MODELO!$B$37,IF(M439=PARAMS_MODELO!$A$38,PARAMS_MODELO!$B$38,IF(M439=PARAMS_MODELO!$A$39,PARAMS_MODELO!$B$39,IF(M439=PARAMS_MODELO!$A$40,PARAMS_MODELO!$B$40)))))</f>
        <v>1.2</v>
      </c>
    </row>
    <row r="440" spans="1:14" x14ac:dyDescent="0.3">
      <c r="A440">
        <v>51056400</v>
      </c>
      <c r="B440">
        <v>16</v>
      </c>
      <c r="C440">
        <v>1</v>
      </c>
      <c r="D440">
        <f t="shared" si="18"/>
        <v>5</v>
      </c>
      <c r="E440">
        <f>ROUND(MIN(5,MAX(0,D440))/5*PARAMS_MODELO!$B$32,2)</f>
        <v>40</v>
      </c>
      <c r="F440">
        <v>1</v>
      </c>
      <c r="G440">
        <f>MAX(0,PARAMS_MODELO!$B$33-VALUE(TRIM(F440))*3)</f>
        <v>27</v>
      </c>
      <c r="H440">
        <v>0</v>
      </c>
      <c r="I440">
        <f>ROUND(MIN(4,MAX(0,H440))/4*PARAMS_MODELO!$B$34,2)</f>
        <v>0</v>
      </c>
      <c r="J440">
        <v>0</v>
      </c>
      <c r="K440">
        <f>IF(J440=0,0,PARAMS_MODELO!$B$35)</f>
        <v>0</v>
      </c>
      <c r="L440">
        <f t="shared" si="19"/>
        <v>67</v>
      </c>
      <c r="M440" t="str">
        <f t="shared" si="20"/>
        <v>Bueno</v>
      </c>
      <c r="N440">
        <f>IF(M440=PARAMS_MODELO!$A$36,PARAMS_MODELO!$B$36,IF(M440=PARAMS_MODELO!$A$37,PARAMS_MODELO!$B$37,IF(M440=PARAMS_MODELO!$A$38,PARAMS_MODELO!$B$38,IF(M440=PARAMS_MODELO!$A$39,PARAMS_MODELO!$B$39,IF(M440=PARAMS_MODELO!$A$40,PARAMS_MODELO!$B$40)))))</f>
        <v>1.1000000000000001</v>
      </c>
    </row>
    <row r="441" spans="1:14" x14ac:dyDescent="0.3">
      <c r="A441">
        <v>51056531</v>
      </c>
      <c r="B441">
        <v>79</v>
      </c>
      <c r="C441">
        <v>10</v>
      </c>
      <c r="D441">
        <f t="shared" si="18"/>
        <v>5</v>
      </c>
      <c r="E441">
        <f>ROUND(MIN(5,MAX(0,D441))/5*PARAMS_MODELO!$B$32,2)</f>
        <v>40</v>
      </c>
      <c r="F441">
        <v>5</v>
      </c>
      <c r="G441">
        <f>MAX(0,PARAMS_MODELO!$B$33-VALUE(TRIM(F441))*3)</f>
        <v>15</v>
      </c>
      <c r="H441">
        <v>4</v>
      </c>
      <c r="I441">
        <f>ROUND(MIN(4,MAX(0,H441))/4*PARAMS_MODELO!$B$34,2)</f>
        <v>20</v>
      </c>
      <c r="J441">
        <v>1</v>
      </c>
      <c r="K441">
        <f>IF(J441=0,0,PARAMS_MODELO!$B$35)</f>
        <v>10</v>
      </c>
      <c r="L441">
        <f t="shared" si="19"/>
        <v>85</v>
      </c>
      <c r="M441" t="str">
        <f t="shared" si="20"/>
        <v>Muy Bueno</v>
      </c>
      <c r="N441">
        <f>IF(M441=PARAMS_MODELO!$A$36,PARAMS_MODELO!$B$36,IF(M441=PARAMS_MODELO!$A$37,PARAMS_MODELO!$B$37,IF(M441=PARAMS_MODELO!$A$38,PARAMS_MODELO!$B$38,IF(M441=PARAMS_MODELO!$A$39,PARAMS_MODELO!$B$39,IF(M441=PARAMS_MODELO!$A$40,PARAMS_MODELO!$B$40)))))</f>
        <v>1.1499999999999999</v>
      </c>
    </row>
    <row r="442" spans="1:14" x14ac:dyDescent="0.3">
      <c r="A442">
        <v>51011643</v>
      </c>
      <c r="B442">
        <v>65</v>
      </c>
      <c r="C442">
        <v>61</v>
      </c>
      <c r="D442">
        <f t="shared" si="18"/>
        <v>1.0655737704918034</v>
      </c>
      <c r="E442">
        <f>ROUND(MIN(5,MAX(0,D442))/5*PARAMS_MODELO!$B$32,2)</f>
        <v>8.52</v>
      </c>
      <c r="F442">
        <v>0</v>
      </c>
      <c r="G442">
        <f>MAX(0,PARAMS_MODELO!$B$33-VALUE(TRIM(F442))*3)</f>
        <v>30</v>
      </c>
      <c r="H442">
        <v>1</v>
      </c>
      <c r="I442">
        <f>ROUND(MIN(4,MAX(0,H442))/4*PARAMS_MODELO!$B$34,2)</f>
        <v>5</v>
      </c>
      <c r="J442">
        <v>1</v>
      </c>
      <c r="K442">
        <f>IF(J442=0,0,PARAMS_MODELO!$B$35)</f>
        <v>10</v>
      </c>
      <c r="L442">
        <f t="shared" si="19"/>
        <v>53.519999999999996</v>
      </c>
      <c r="M442" t="str">
        <f t="shared" si="20"/>
        <v>Regular</v>
      </c>
      <c r="N442">
        <f>IF(M442=PARAMS_MODELO!$A$36,PARAMS_MODELO!$B$36,IF(M442=PARAMS_MODELO!$A$37,PARAMS_MODELO!$B$37,IF(M442=PARAMS_MODELO!$A$38,PARAMS_MODELO!$B$38,IF(M442=PARAMS_MODELO!$A$39,PARAMS_MODELO!$B$39,IF(M442=PARAMS_MODELO!$A$40,PARAMS_MODELO!$B$40)))))</f>
        <v>1</v>
      </c>
    </row>
    <row r="443" spans="1:14" x14ac:dyDescent="0.3">
      <c r="A443">
        <v>51016742</v>
      </c>
      <c r="B443">
        <v>12</v>
      </c>
      <c r="C443">
        <v>66</v>
      </c>
      <c r="D443">
        <f t="shared" si="18"/>
        <v>0.18181818181818182</v>
      </c>
      <c r="E443">
        <f>ROUND(MIN(5,MAX(0,D443))/5*PARAMS_MODELO!$B$32,2)</f>
        <v>1.45</v>
      </c>
      <c r="F443">
        <v>2</v>
      </c>
      <c r="G443">
        <f>MAX(0,PARAMS_MODELO!$B$33-VALUE(TRIM(F443))*3)</f>
        <v>24</v>
      </c>
      <c r="H443">
        <v>0</v>
      </c>
      <c r="I443">
        <f>ROUND(MIN(4,MAX(0,H443))/4*PARAMS_MODELO!$B$34,2)</f>
        <v>0</v>
      </c>
      <c r="J443">
        <v>0</v>
      </c>
      <c r="K443">
        <f>IF(J443=0,0,PARAMS_MODELO!$B$35)</f>
        <v>0</v>
      </c>
      <c r="L443">
        <f t="shared" si="19"/>
        <v>25.45</v>
      </c>
      <c r="M443" t="str">
        <f t="shared" si="20"/>
        <v>Malo</v>
      </c>
      <c r="N443">
        <f>IF(M443=PARAMS_MODELO!$A$36,PARAMS_MODELO!$B$36,IF(M443=PARAMS_MODELO!$A$37,PARAMS_MODELO!$B$37,IF(M443=PARAMS_MODELO!$A$38,PARAMS_MODELO!$B$38,IF(M443=PARAMS_MODELO!$A$39,PARAMS_MODELO!$B$39,IF(M443=PARAMS_MODELO!$A$40,PARAMS_MODELO!$B$40)))))</f>
        <v>0.7</v>
      </c>
    </row>
    <row r="444" spans="1:14" x14ac:dyDescent="0.3">
      <c r="A444">
        <v>51010990</v>
      </c>
      <c r="B444">
        <v>1</v>
      </c>
      <c r="C444">
        <v>49</v>
      </c>
      <c r="D444">
        <f t="shared" si="18"/>
        <v>2.0408163265306121E-2</v>
      </c>
      <c r="E444">
        <f>ROUND(MIN(5,MAX(0,D444))/5*PARAMS_MODELO!$B$32,2)</f>
        <v>0.16</v>
      </c>
      <c r="F444">
        <v>0</v>
      </c>
      <c r="G444">
        <f>MAX(0,PARAMS_MODELO!$B$33-VALUE(TRIM(F444))*3)</f>
        <v>30</v>
      </c>
      <c r="H444">
        <v>4</v>
      </c>
      <c r="I444">
        <f>ROUND(MIN(4,MAX(0,H444))/4*PARAMS_MODELO!$B$34,2)</f>
        <v>20</v>
      </c>
      <c r="J444">
        <v>0</v>
      </c>
      <c r="K444">
        <f>IF(J444=0,0,PARAMS_MODELO!$B$35)</f>
        <v>0</v>
      </c>
      <c r="L444">
        <f t="shared" si="19"/>
        <v>50.16</v>
      </c>
      <c r="M444" t="str">
        <f t="shared" si="20"/>
        <v>Regular</v>
      </c>
      <c r="N444">
        <f>IF(M444=PARAMS_MODELO!$A$36,PARAMS_MODELO!$B$36,IF(M444=PARAMS_MODELO!$A$37,PARAMS_MODELO!$B$37,IF(M444=PARAMS_MODELO!$A$38,PARAMS_MODELO!$B$38,IF(M444=PARAMS_MODELO!$A$39,PARAMS_MODELO!$B$39,IF(M444=PARAMS_MODELO!$A$40,PARAMS_MODELO!$B$40)))))</f>
        <v>1</v>
      </c>
    </row>
    <row r="445" spans="1:14" x14ac:dyDescent="0.3">
      <c r="A445">
        <v>51039998</v>
      </c>
      <c r="B445">
        <v>91</v>
      </c>
      <c r="C445">
        <v>0</v>
      </c>
      <c r="D445">
        <f t="shared" si="18"/>
        <v>0</v>
      </c>
      <c r="E445">
        <f>ROUND(MIN(5,MAX(0,D445))/5*PARAMS_MODELO!$B$32,2)</f>
        <v>0</v>
      </c>
      <c r="F445">
        <v>3</v>
      </c>
      <c r="G445">
        <f>MAX(0,PARAMS_MODELO!$B$33-VALUE(TRIM(F445))*3)</f>
        <v>21</v>
      </c>
      <c r="H445">
        <v>4</v>
      </c>
      <c r="I445">
        <f>ROUND(MIN(4,MAX(0,H445))/4*PARAMS_MODELO!$B$34,2)</f>
        <v>20</v>
      </c>
      <c r="J445">
        <v>1</v>
      </c>
      <c r="K445">
        <f>IF(J445=0,0,PARAMS_MODELO!$B$35)</f>
        <v>10</v>
      </c>
      <c r="L445">
        <f t="shared" si="19"/>
        <v>51</v>
      </c>
      <c r="M445" t="str">
        <f t="shared" si="20"/>
        <v>Regular</v>
      </c>
      <c r="N445">
        <f>IF(M445=PARAMS_MODELO!$A$36,PARAMS_MODELO!$B$36,IF(M445=PARAMS_MODELO!$A$37,PARAMS_MODELO!$B$37,IF(M445=PARAMS_MODELO!$A$38,PARAMS_MODELO!$B$38,IF(M445=PARAMS_MODELO!$A$39,PARAMS_MODELO!$B$39,IF(M445=PARAMS_MODELO!$A$40,PARAMS_MODELO!$B$40)))))</f>
        <v>1</v>
      </c>
    </row>
    <row r="446" spans="1:14" x14ac:dyDescent="0.3">
      <c r="A446">
        <v>51056736</v>
      </c>
      <c r="B446">
        <v>83</v>
      </c>
      <c r="C446">
        <v>97</v>
      </c>
      <c r="D446">
        <f t="shared" si="18"/>
        <v>0.85567010309278346</v>
      </c>
      <c r="E446">
        <f>ROUND(MIN(5,MAX(0,D446))/5*PARAMS_MODELO!$B$32,2)</f>
        <v>6.85</v>
      </c>
      <c r="F446">
        <v>4</v>
      </c>
      <c r="G446">
        <f>MAX(0,PARAMS_MODELO!$B$33-VALUE(TRIM(F446))*3)</f>
        <v>18</v>
      </c>
      <c r="H446">
        <v>3</v>
      </c>
      <c r="I446">
        <f>ROUND(MIN(4,MAX(0,H446))/4*PARAMS_MODELO!$B$34,2)</f>
        <v>15</v>
      </c>
      <c r="J446">
        <v>0</v>
      </c>
      <c r="K446">
        <f>IF(J446=0,0,PARAMS_MODELO!$B$35)</f>
        <v>0</v>
      </c>
      <c r="L446">
        <f t="shared" si="19"/>
        <v>39.85</v>
      </c>
      <c r="M446" t="str">
        <f t="shared" si="20"/>
        <v>Malo</v>
      </c>
      <c r="N446">
        <f>IF(M446=PARAMS_MODELO!$A$36,PARAMS_MODELO!$B$36,IF(M446=PARAMS_MODELO!$A$37,PARAMS_MODELO!$B$37,IF(M446=PARAMS_MODELO!$A$38,PARAMS_MODELO!$B$38,IF(M446=PARAMS_MODELO!$A$39,PARAMS_MODELO!$B$39,IF(M446=PARAMS_MODELO!$A$40,PARAMS_MODELO!$B$40)))))</f>
        <v>0.7</v>
      </c>
    </row>
    <row r="447" spans="1:14" x14ac:dyDescent="0.3">
      <c r="A447">
        <v>51044436</v>
      </c>
      <c r="B447">
        <v>26</v>
      </c>
      <c r="C447">
        <v>70</v>
      </c>
      <c r="D447">
        <f t="shared" si="18"/>
        <v>0.37142857142857144</v>
      </c>
      <c r="E447">
        <f>ROUND(MIN(5,MAX(0,D447))/5*PARAMS_MODELO!$B$32,2)</f>
        <v>2.97</v>
      </c>
      <c r="F447">
        <v>4</v>
      </c>
      <c r="G447">
        <f>MAX(0,PARAMS_MODELO!$B$33-VALUE(TRIM(F447))*3)</f>
        <v>18</v>
      </c>
      <c r="H447">
        <v>0</v>
      </c>
      <c r="I447">
        <f>ROUND(MIN(4,MAX(0,H447))/4*PARAMS_MODELO!$B$34,2)</f>
        <v>0</v>
      </c>
      <c r="J447">
        <v>0</v>
      </c>
      <c r="K447">
        <f>IF(J447=0,0,PARAMS_MODELO!$B$35)</f>
        <v>0</v>
      </c>
      <c r="L447">
        <f t="shared" si="19"/>
        <v>20.97</v>
      </c>
      <c r="M447" t="str">
        <f t="shared" si="20"/>
        <v>Malo</v>
      </c>
      <c r="N447">
        <f>IF(M447=PARAMS_MODELO!$A$36,PARAMS_MODELO!$B$36,IF(M447=PARAMS_MODELO!$A$37,PARAMS_MODELO!$B$37,IF(M447=PARAMS_MODELO!$A$38,PARAMS_MODELO!$B$38,IF(M447=PARAMS_MODELO!$A$39,PARAMS_MODELO!$B$39,IF(M447=PARAMS_MODELO!$A$40,PARAMS_MODELO!$B$40)))))</f>
        <v>0.7</v>
      </c>
    </row>
    <row r="448" spans="1:14" x14ac:dyDescent="0.3">
      <c r="A448">
        <v>51017552</v>
      </c>
      <c r="B448">
        <v>52</v>
      </c>
      <c r="C448">
        <v>23</v>
      </c>
      <c r="D448">
        <f t="shared" si="18"/>
        <v>2.2608695652173911</v>
      </c>
      <c r="E448">
        <f>ROUND(MIN(5,MAX(0,D448))/5*PARAMS_MODELO!$B$32,2)</f>
        <v>18.09</v>
      </c>
      <c r="F448">
        <v>2</v>
      </c>
      <c r="G448">
        <f>MAX(0,PARAMS_MODELO!$B$33-VALUE(TRIM(F448))*3)</f>
        <v>24</v>
      </c>
      <c r="H448">
        <v>3</v>
      </c>
      <c r="I448">
        <f>ROUND(MIN(4,MAX(0,H448))/4*PARAMS_MODELO!$B$34,2)</f>
        <v>15</v>
      </c>
      <c r="J448">
        <v>0</v>
      </c>
      <c r="K448">
        <f>IF(J448=0,0,PARAMS_MODELO!$B$35)</f>
        <v>0</v>
      </c>
      <c r="L448">
        <f t="shared" si="19"/>
        <v>57.09</v>
      </c>
      <c r="M448" t="str">
        <f t="shared" si="20"/>
        <v>Regular</v>
      </c>
      <c r="N448">
        <f>IF(M448=PARAMS_MODELO!$A$36,PARAMS_MODELO!$B$36,IF(M448=PARAMS_MODELO!$A$37,PARAMS_MODELO!$B$37,IF(M448=PARAMS_MODELO!$A$38,PARAMS_MODELO!$B$38,IF(M448=PARAMS_MODELO!$A$39,PARAMS_MODELO!$B$39,IF(M448=PARAMS_MODELO!$A$40,PARAMS_MODELO!$B$40)))))</f>
        <v>1</v>
      </c>
    </row>
    <row r="449" spans="1:14" x14ac:dyDescent="0.3">
      <c r="A449">
        <v>51055276</v>
      </c>
      <c r="B449">
        <v>12</v>
      </c>
      <c r="C449">
        <v>86</v>
      </c>
      <c r="D449">
        <f t="shared" si="18"/>
        <v>0.13953488372093023</v>
      </c>
      <c r="E449">
        <f>ROUND(MIN(5,MAX(0,D449))/5*PARAMS_MODELO!$B$32,2)</f>
        <v>1.1200000000000001</v>
      </c>
      <c r="F449">
        <v>5</v>
      </c>
      <c r="G449">
        <f>MAX(0,PARAMS_MODELO!$B$33-VALUE(TRIM(F449))*3)</f>
        <v>15</v>
      </c>
      <c r="H449">
        <v>3</v>
      </c>
      <c r="I449">
        <f>ROUND(MIN(4,MAX(0,H449))/4*PARAMS_MODELO!$B$34,2)</f>
        <v>15</v>
      </c>
      <c r="J449">
        <v>1</v>
      </c>
      <c r="K449">
        <f>IF(J449=0,0,PARAMS_MODELO!$B$35)</f>
        <v>10</v>
      </c>
      <c r="L449">
        <f t="shared" si="19"/>
        <v>41.120000000000005</v>
      </c>
      <c r="M449" t="str">
        <f t="shared" si="20"/>
        <v>Regular</v>
      </c>
      <c r="N449">
        <f>IF(M449=PARAMS_MODELO!$A$36,PARAMS_MODELO!$B$36,IF(M449=PARAMS_MODELO!$A$37,PARAMS_MODELO!$B$37,IF(M449=PARAMS_MODELO!$A$38,PARAMS_MODELO!$B$38,IF(M449=PARAMS_MODELO!$A$39,PARAMS_MODELO!$B$39,IF(M449=PARAMS_MODELO!$A$40,PARAMS_MODELO!$B$40)))))</f>
        <v>1</v>
      </c>
    </row>
    <row r="450" spans="1:14" x14ac:dyDescent="0.3">
      <c r="A450">
        <v>51020189</v>
      </c>
      <c r="B450">
        <v>80</v>
      </c>
      <c r="C450">
        <v>87</v>
      </c>
      <c r="D450">
        <f t="shared" ref="D450:D513" si="21">IF(C450=0,0,MIN(5,B450/C450))</f>
        <v>0.91954022988505746</v>
      </c>
      <c r="E450">
        <f>ROUND(MIN(5,MAX(0,D450))/5*PARAMS_MODELO!$B$32,2)</f>
        <v>7.36</v>
      </c>
      <c r="F450">
        <v>0</v>
      </c>
      <c r="G450">
        <f>MAX(0,PARAMS_MODELO!$B$33-VALUE(TRIM(F450))*3)</f>
        <v>30</v>
      </c>
      <c r="H450">
        <v>1</v>
      </c>
      <c r="I450">
        <f>ROUND(MIN(4,MAX(0,H450))/4*PARAMS_MODELO!$B$34,2)</f>
        <v>5</v>
      </c>
      <c r="J450">
        <v>1</v>
      </c>
      <c r="K450">
        <f>IF(J450=0,0,PARAMS_MODELO!$B$35)</f>
        <v>10</v>
      </c>
      <c r="L450">
        <f t="shared" ref="L450:L513" si="22">MIN(100,MAX(0,E450+G450+I450+K450))</f>
        <v>52.36</v>
      </c>
      <c r="M450" t="str">
        <f t="shared" ref="M450:M513" si="23">IF(L450="","",IF(L450&gt;=90,"Excelente",IF(L450&gt;=75,"Muy Bueno",IF(L450&gt;=60,"Bueno",IF(L450&gt;=40,"Regular","Malo")))))</f>
        <v>Regular</v>
      </c>
      <c r="N450">
        <f>IF(M450=PARAMS_MODELO!$A$36,PARAMS_MODELO!$B$36,IF(M450=PARAMS_MODELO!$A$37,PARAMS_MODELO!$B$37,IF(M450=PARAMS_MODELO!$A$38,PARAMS_MODELO!$B$38,IF(M450=PARAMS_MODELO!$A$39,PARAMS_MODELO!$B$39,IF(M450=PARAMS_MODELO!$A$40,PARAMS_MODELO!$B$40)))))</f>
        <v>1</v>
      </c>
    </row>
    <row r="451" spans="1:14" x14ac:dyDescent="0.3">
      <c r="A451">
        <v>51041259</v>
      </c>
      <c r="B451">
        <v>48</v>
      </c>
      <c r="C451">
        <v>24</v>
      </c>
      <c r="D451">
        <f t="shared" si="21"/>
        <v>2</v>
      </c>
      <c r="E451">
        <f>ROUND(MIN(5,MAX(0,D451))/5*PARAMS_MODELO!$B$32,2)</f>
        <v>16</v>
      </c>
      <c r="F451">
        <v>1</v>
      </c>
      <c r="G451">
        <f>MAX(0,PARAMS_MODELO!$B$33-VALUE(TRIM(F451))*3)</f>
        <v>27</v>
      </c>
      <c r="H451">
        <v>4</v>
      </c>
      <c r="I451">
        <f>ROUND(MIN(4,MAX(0,H451))/4*PARAMS_MODELO!$B$34,2)</f>
        <v>20</v>
      </c>
      <c r="J451">
        <v>0</v>
      </c>
      <c r="K451">
        <f>IF(J451=0,0,PARAMS_MODELO!$B$35)</f>
        <v>0</v>
      </c>
      <c r="L451">
        <f t="shared" si="22"/>
        <v>63</v>
      </c>
      <c r="M451" t="str">
        <f t="shared" si="23"/>
        <v>Bueno</v>
      </c>
      <c r="N451">
        <f>IF(M451=PARAMS_MODELO!$A$36,PARAMS_MODELO!$B$36,IF(M451=PARAMS_MODELO!$A$37,PARAMS_MODELO!$B$37,IF(M451=PARAMS_MODELO!$A$38,PARAMS_MODELO!$B$38,IF(M451=PARAMS_MODELO!$A$39,PARAMS_MODELO!$B$39,IF(M451=PARAMS_MODELO!$A$40,PARAMS_MODELO!$B$40)))))</f>
        <v>1.1000000000000001</v>
      </c>
    </row>
    <row r="452" spans="1:14" x14ac:dyDescent="0.3">
      <c r="A452">
        <v>51022751</v>
      </c>
      <c r="B452">
        <v>32</v>
      </c>
      <c r="C452">
        <v>77</v>
      </c>
      <c r="D452">
        <f t="shared" si="21"/>
        <v>0.41558441558441561</v>
      </c>
      <c r="E452">
        <f>ROUND(MIN(5,MAX(0,D452))/5*PARAMS_MODELO!$B$32,2)</f>
        <v>3.32</v>
      </c>
      <c r="F452">
        <v>0</v>
      </c>
      <c r="G452">
        <f>MAX(0,PARAMS_MODELO!$B$33-VALUE(TRIM(F452))*3)</f>
        <v>30</v>
      </c>
      <c r="H452">
        <v>4</v>
      </c>
      <c r="I452">
        <f>ROUND(MIN(4,MAX(0,H452))/4*PARAMS_MODELO!$B$34,2)</f>
        <v>20</v>
      </c>
      <c r="J452">
        <v>0</v>
      </c>
      <c r="K452">
        <f>IF(J452=0,0,PARAMS_MODELO!$B$35)</f>
        <v>0</v>
      </c>
      <c r="L452">
        <f t="shared" si="22"/>
        <v>53.32</v>
      </c>
      <c r="M452" t="str">
        <f t="shared" si="23"/>
        <v>Regular</v>
      </c>
      <c r="N452">
        <f>IF(M452=PARAMS_MODELO!$A$36,PARAMS_MODELO!$B$36,IF(M452=PARAMS_MODELO!$A$37,PARAMS_MODELO!$B$37,IF(M452=PARAMS_MODELO!$A$38,PARAMS_MODELO!$B$38,IF(M452=PARAMS_MODELO!$A$39,PARAMS_MODELO!$B$39,IF(M452=PARAMS_MODELO!$A$40,PARAMS_MODELO!$B$40)))))</f>
        <v>1</v>
      </c>
    </row>
    <row r="453" spans="1:14" x14ac:dyDescent="0.3">
      <c r="A453">
        <v>51016645</v>
      </c>
      <c r="B453">
        <v>24</v>
      </c>
      <c r="C453">
        <v>63</v>
      </c>
      <c r="D453">
        <f t="shared" si="21"/>
        <v>0.38095238095238093</v>
      </c>
      <c r="E453">
        <f>ROUND(MIN(5,MAX(0,D453))/5*PARAMS_MODELO!$B$32,2)</f>
        <v>3.05</v>
      </c>
      <c r="F453">
        <v>1</v>
      </c>
      <c r="G453">
        <f>MAX(0,PARAMS_MODELO!$B$33-VALUE(TRIM(F453))*3)</f>
        <v>27</v>
      </c>
      <c r="H453">
        <v>3</v>
      </c>
      <c r="I453">
        <f>ROUND(MIN(4,MAX(0,H453))/4*PARAMS_MODELO!$B$34,2)</f>
        <v>15</v>
      </c>
      <c r="J453">
        <v>0</v>
      </c>
      <c r="K453">
        <f>IF(J453=0,0,PARAMS_MODELO!$B$35)</f>
        <v>0</v>
      </c>
      <c r="L453">
        <f t="shared" si="22"/>
        <v>45.05</v>
      </c>
      <c r="M453" t="str">
        <f t="shared" si="23"/>
        <v>Regular</v>
      </c>
      <c r="N453">
        <f>IF(M453=PARAMS_MODELO!$A$36,PARAMS_MODELO!$B$36,IF(M453=PARAMS_MODELO!$A$37,PARAMS_MODELO!$B$37,IF(M453=PARAMS_MODELO!$A$38,PARAMS_MODELO!$B$38,IF(M453=PARAMS_MODELO!$A$39,PARAMS_MODELO!$B$39,IF(M453=PARAMS_MODELO!$A$40,PARAMS_MODELO!$B$40)))))</f>
        <v>1</v>
      </c>
    </row>
    <row r="454" spans="1:14" x14ac:dyDescent="0.3">
      <c r="A454">
        <v>51011155</v>
      </c>
      <c r="B454">
        <v>60</v>
      </c>
      <c r="C454">
        <v>30</v>
      </c>
      <c r="D454">
        <f t="shared" si="21"/>
        <v>2</v>
      </c>
      <c r="E454">
        <f>ROUND(MIN(5,MAX(0,D454))/5*PARAMS_MODELO!$B$32,2)</f>
        <v>16</v>
      </c>
      <c r="F454">
        <v>1</v>
      </c>
      <c r="G454">
        <f>MAX(0,PARAMS_MODELO!$B$33-VALUE(TRIM(F454))*3)</f>
        <v>27</v>
      </c>
      <c r="H454">
        <v>4</v>
      </c>
      <c r="I454">
        <f>ROUND(MIN(4,MAX(0,H454))/4*PARAMS_MODELO!$B$34,2)</f>
        <v>20</v>
      </c>
      <c r="J454">
        <v>1</v>
      </c>
      <c r="K454">
        <f>IF(J454=0,0,PARAMS_MODELO!$B$35)</f>
        <v>10</v>
      </c>
      <c r="L454">
        <f t="shared" si="22"/>
        <v>73</v>
      </c>
      <c r="M454" t="str">
        <f t="shared" si="23"/>
        <v>Bueno</v>
      </c>
      <c r="N454">
        <f>IF(M454=PARAMS_MODELO!$A$36,PARAMS_MODELO!$B$36,IF(M454=PARAMS_MODELO!$A$37,PARAMS_MODELO!$B$37,IF(M454=PARAMS_MODELO!$A$38,PARAMS_MODELO!$B$38,IF(M454=PARAMS_MODELO!$A$39,PARAMS_MODELO!$B$39,IF(M454=PARAMS_MODELO!$A$40,PARAMS_MODELO!$B$40)))))</f>
        <v>1.1000000000000001</v>
      </c>
    </row>
    <row r="455" spans="1:14" x14ac:dyDescent="0.3">
      <c r="A455">
        <v>51014022</v>
      </c>
      <c r="B455">
        <v>19</v>
      </c>
      <c r="C455">
        <v>98</v>
      </c>
      <c r="D455">
        <f t="shared" si="21"/>
        <v>0.19387755102040816</v>
      </c>
      <c r="E455">
        <f>ROUND(MIN(5,MAX(0,D455))/5*PARAMS_MODELO!$B$32,2)</f>
        <v>1.55</v>
      </c>
      <c r="F455">
        <v>2</v>
      </c>
      <c r="G455">
        <f>MAX(0,PARAMS_MODELO!$B$33-VALUE(TRIM(F455))*3)</f>
        <v>24</v>
      </c>
      <c r="H455">
        <v>3</v>
      </c>
      <c r="I455">
        <f>ROUND(MIN(4,MAX(0,H455))/4*PARAMS_MODELO!$B$34,2)</f>
        <v>15</v>
      </c>
      <c r="J455">
        <v>0</v>
      </c>
      <c r="K455">
        <f>IF(J455=0,0,PARAMS_MODELO!$B$35)</f>
        <v>0</v>
      </c>
      <c r="L455">
        <f t="shared" si="22"/>
        <v>40.549999999999997</v>
      </c>
      <c r="M455" t="str">
        <f t="shared" si="23"/>
        <v>Regular</v>
      </c>
      <c r="N455">
        <f>IF(M455=PARAMS_MODELO!$A$36,PARAMS_MODELO!$B$36,IF(M455=PARAMS_MODELO!$A$37,PARAMS_MODELO!$B$37,IF(M455=PARAMS_MODELO!$A$38,PARAMS_MODELO!$B$38,IF(M455=PARAMS_MODELO!$A$39,PARAMS_MODELO!$B$39,IF(M455=PARAMS_MODELO!$A$40,PARAMS_MODELO!$B$40)))))</f>
        <v>1</v>
      </c>
    </row>
    <row r="456" spans="1:14" x14ac:dyDescent="0.3">
      <c r="A456">
        <v>51018991</v>
      </c>
      <c r="B456">
        <v>11</v>
      </c>
      <c r="C456">
        <v>76</v>
      </c>
      <c r="D456">
        <f t="shared" si="21"/>
        <v>0.14473684210526316</v>
      </c>
      <c r="E456">
        <f>ROUND(MIN(5,MAX(0,D456))/5*PARAMS_MODELO!$B$32,2)</f>
        <v>1.1599999999999999</v>
      </c>
      <c r="F456">
        <v>2</v>
      </c>
      <c r="G456">
        <f>MAX(0,PARAMS_MODELO!$B$33-VALUE(TRIM(F456))*3)</f>
        <v>24</v>
      </c>
      <c r="H456">
        <v>1</v>
      </c>
      <c r="I456">
        <f>ROUND(MIN(4,MAX(0,H456))/4*PARAMS_MODELO!$B$34,2)</f>
        <v>5</v>
      </c>
      <c r="J456">
        <v>0</v>
      </c>
      <c r="K456">
        <f>IF(J456=0,0,PARAMS_MODELO!$B$35)</f>
        <v>0</v>
      </c>
      <c r="L456">
        <f t="shared" si="22"/>
        <v>30.16</v>
      </c>
      <c r="M456" t="str">
        <f t="shared" si="23"/>
        <v>Malo</v>
      </c>
      <c r="N456">
        <f>IF(M456=PARAMS_MODELO!$A$36,PARAMS_MODELO!$B$36,IF(M456=PARAMS_MODELO!$A$37,PARAMS_MODELO!$B$37,IF(M456=PARAMS_MODELO!$A$38,PARAMS_MODELO!$B$38,IF(M456=PARAMS_MODELO!$A$39,PARAMS_MODELO!$B$39,IF(M456=PARAMS_MODELO!$A$40,PARAMS_MODELO!$B$40)))))</f>
        <v>0.7</v>
      </c>
    </row>
    <row r="457" spans="1:14" x14ac:dyDescent="0.3">
      <c r="A457">
        <v>51030478</v>
      </c>
      <c r="B457">
        <v>61</v>
      </c>
      <c r="C457">
        <v>48</v>
      </c>
      <c r="D457">
        <f t="shared" si="21"/>
        <v>1.2708333333333333</v>
      </c>
      <c r="E457">
        <f>ROUND(MIN(5,MAX(0,D457))/5*PARAMS_MODELO!$B$32,2)</f>
        <v>10.17</v>
      </c>
      <c r="F457">
        <v>5</v>
      </c>
      <c r="G457">
        <f>MAX(0,PARAMS_MODELO!$B$33-VALUE(TRIM(F457))*3)</f>
        <v>15</v>
      </c>
      <c r="H457">
        <v>4</v>
      </c>
      <c r="I457">
        <f>ROUND(MIN(4,MAX(0,H457))/4*PARAMS_MODELO!$B$34,2)</f>
        <v>20</v>
      </c>
      <c r="J457">
        <v>1</v>
      </c>
      <c r="K457">
        <f>IF(J457=0,0,PARAMS_MODELO!$B$35)</f>
        <v>10</v>
      </c>
      <c r="L457">
        <f t="shared" si="22"/>
        <v>55.17</v>
      </c>
      <c r="M457" t="str">
        <f t="shared" si="23"/>
        <v>Regular</v>
      </c>
      <c r="N457">
        <f>IF(M457=PARAMS_MODELO!$A$36,PARAMS_MODELO!$B$36,IF(M457=PARAMS_MODELO!$A$37,PARAMS_MODELO!$B$37,IF(M457=PARAMS_MODELO!$A$38,PARAMS_MODELO!$B$38,IF(M457=PARAMS_MODELO!$A$39,PARAMS_MODELO!$B$39,IF(M457=PARAMS_MODELO!$A$40,PARAMS_MODELO!$B$40)))))</f>
        <v>1</v>
      </c>
    </row>
    <row r="458" spans="1:14" x14ac:dyDescent="0.3">
      <c r="A458">
        <v>51028040</v>
      </c>
      <c r="B458">
        <v>3</v>
      </c>
      <c r="C458">
        <v>35</v>
      </c>
      <c r="D458">
        <f t="shared" si="21"/>
        <v>8.5714285714285715E-2</v>
      </c>
      <c r="E458">
        <f>ROUND(MIN(5,MAX(0,D458))/5*PARAMS_MODELO!$B$32,2)</f>
        <v>0.69</v>
      </c>
      <c r="F458">
        <v>1</v>
      </c>
      <c r="G458">
        <f>MAX(0,PARAMS_MODELO!$B$33-VALUE(TRIM(F458))*3)</f>
        <v>27</v>
      </c>
      <c r="H458">
        <v>2</v>
      </c>
      <c r="I458">
        <f>ROUND(MIN(4,MAX(0,H458))/4*PARAMS_MODELO!$B$34,2)</f>
        <v>10</v>
      </c>
      <c r="J458">
        <v>1</v>
      </c>
      <c r="K458">
        <f>IF(J458=0,0,PARAMS_MODELO!$B$35)</f>
        <v>10</v>
      </c>
      <c r="L458">
        <f t="shared" si="22"/>
        <v>47.69</v>
      </c>
      <c r="M458" t="str">
        <f t="shared" si="23"/>
        <v>Regular</v>
      </c>
      <c r="N458">
        <f>IF(M458=PARAMS_MODELO!$A$36,PARAMS_MODELO!$B$36,IF(M458=PARAMS_MODELO!$A$37,PARAMS_MODELO!$B$37,IF(M458=PARAMS_MODELO!$A$38,PARAMS_MODELO!$B$38,IF(M458=PARAMS_MODELO!$A$39,PARAMS_MODELO!$B$39,IF(M458=PARAMS_MODELO!$A$40,PARAMS_MODELO!$B$40)))))</f>
        <v>1</v>
      </c>
    </row>
    <row r="459" spans="1:14" x14ac:dyDescent="0.3">
      <c r="A459">
        <v>51055616</v>
      </c>
      <c r="B459">
        <v>22</v>
      </c>
      <c r="C459">
        <v>94</v>
      </c>
      <c r="D459">
        <f t="shared" si="21"/>
        <v>0.23404255319148937</v>
      </c>
      <c r="E459">
        <f>ROUND(MIN(5,MAX(0,D459))/5*PARAMS_MODELO!$B$32,2)</f>
        <v>1.87</v>
      </c>
      <c r="F459">
        <v>2</v>
      </c>
      <c r="G459">
        <f>MAX(0,PARAMS_MODELO!$B$33-VALUE(TRIM(F459))*3)</f>
        <v>24</v>
      </c>
      <c r="H459">
        <v>3</v>
      </c>
      <c r="I459">
        <f>ROUND(MIN(4,MAX(0,H459))/4*PARAMS_MODELO!$B$34,2)</f>
        <v>15</v>
      </c>
      <c r="J459">
        <v>0</v>
      </c>
      <c r="K459">
        <f>IF(J459=0,0,PARAMS_MODELO!$B$35)</f>
        <v>0</v>
      </c>
      <c r="L459">
        <f t="shared" si="22"/>
        <v>40.870000000000005</v>
      </c>
      <c r="M459" t="str">
        <f t="shared" si="23"/>
        <v>Regular</v>
      </c>
      <c r="N459">
        <f>IF(M459=PARAMS_MODELO!$A$36,PARAMS_MODELO!$B$36,IF(M459=PARAMS_MODELO!$A$37,PARAMS_MODELO!$B$37,IF(M459=PARAMS_MODELO!$A$38,PARAMS_MODELO!$B$38,IF(M459=PARAMS_MODELO!$A$39,PARAMS_MODELO!$B$39,IF(M459=PARAMS_MODELO!$A$40,PARAMS_MODELO!$B$40)))))</f>
        <v>1</v>
      </c>
    </row>
    <row r="460" spans="1:14" x14ac:dyDescent="0.3">
      <c r="A460">
        <v>51036239</v>
      </c>
      <c r="B460">
        <v>22</v>
      </c>
      <c r="C460">
        <v>23</v>
      </c>
      <c r="D460">
        <f t="shared" si="21"/>
        <v>0.95652173913043481</v>
      </c>
      <c r="E460">
        <f>ROUND(MIN(5,MAX(0,D460))/5*PARAMS_MODELO!$B$32,2)</f>
        <v>7.65</v>
      </c>
      <c r="F460">
        <v>5</v>
      </c>
      <c r="G460">
        <f>MAX(0,PARAMS_MODELO!$B$33-VALUE(TRIM(F460))*3)</f>
        <v>15</v>
      </c>
      <c r="H460">
        <v>0</v>
      </c>
      <c r="I460">
        <f>ROUND(MIN(4,MAX(0,H460))/4*PARAMS_MODELO!$B$34,2)</f>
        <v>0</v>
      </c>
      <c r="J460">
        <v>0</v>
      </c>
      <c r="K460">
        <f>IF(J460=0,0,PARAMS_MODELO!$B$35)</f>
        <v>0</v>
      </c>
      <c r="L460">
        <f t="shared" si="22"/>
        <v>22.65</v>
      </c>
      <c r="M460" t="str">
        <f t="shared" si="23"/>
        <v>Malo</v>
      </c>
      <c r="N460">
        <f>IF(M460=PARAMS_MODELO!$A$36,PARAMS_MODELO!$B$36,IF(M460=PARAMS_MODELO!$A$37,PARAMS_MODELO!$B$37,IF(M460=PARAMS_MODELO!$A$38,PARAMS_MODELO!$B$38,IF(M460=PARAMS_MODELO!$A$39,PARAMS_MODELO!$B$39,IF(M460=PARAMS_MODELO!$A$40,PARAMS_MODELO!$B$40)))))</f>
        <v>0.7</v>
      </c>
    </row>
    <row r="461" spans="1:14" x14ac:dyDescent="0.3">
      <c r="A461">
        <v>51025873</v>
      </c>
      <c r="B461">
        <v>35</v>
      </c>
      <c r="C461">
        <v>43</v>
      </c>
      <c r="D461">
        <f t="shared" si="21"/>
        <v>0.81395348837209303</v>
      </c>
      <c r="E461">
        <f>ROUND(MIN(5,MAX(0,D461))/5*PARAMS_MODELO!$B$32,2)</f>
        <v>6.51</v>
      </c>
      <c r="F461">
        <v>4</v>
      </c>
      <c r="G461">
        <f>MAX(0,PARAMS_MODELO!$B$33-VALUE(TRIM(F461))*3)</f>
        <v>18</v>
      </c>
      <c r="H461">
        <v>1</v>
      </c>
      <c r="I461">
        <f>ROUND(MIN(4,MAX(0,H461))/4*PARAMS_MODELO!$B$34,2)</f>
        <v>5</v>
      </c>
      <c r="J461">
        <v>0</v>
      </c>
      <c r="K461">
        <f>IF(J461=0,0,PARAMS_MODELO!$B$35)</f>
        <v>0</v>
      </c>
      <c r="L461">
        <f t="shared" si="22"/>
        <v>29.509999999999998</v>
      </c>
      <c r="M461" t="str">
        <f t="shared" si="23"/>
        <v>Malo</v>
      </c>
      <c r="N461">
        <f>IF(M461=PARAMS_MODELO!$A$36,PARAMS_MODELO!$B$36,IF(M461=PARAMS_MODELO!$A$37,PARAMS_MODELO!$B$37,IF(M461=PARAMS_MODELO!$A$38,PARAMS_MODELO!$B$38,IF(M461=PARAMS_MODELO!$A$39,PARAMS_MODELO!$B$39,IF(M461=PARAMS_MODELO!$A$40,PARAMS_MODELO!$B$40)))))</f>
        <v>0.7</v>
      </c>
    </row>
    <row r="462" spans="1:14" x14ac:dyDescent="0.3">
      <c r="A462">
        <v>51034155</v>
      </c>
      <c r="B462">
        <v>82</v>
      </c>
      <c r="C462">
        <v>88</v>
      </c>
      <c r="D462">
        <f t="shared" si="21"/>
        <v>0.93181818181818177</v>
      </c>
      <c r="E462">
        <f>ROUND(MIN(5,MAX(0,D462))/5*PARAMS_MODELO!$B$32,2)</f>
        <v>7.45</v>
      </c>
      <c r="F462">
        <v>4</v>
      </c>
      <c r="G462">
        <f>MAX(0,PARAMS_MODELO!$B$33-VALUE(TRIM(F462))*3)</f>
        <v>18</v>
      </c>
      <c r="H462">
        <v>2</v>
      </c>
      <c r="I462">
        <f>ROUND(MIN(4,MAX(0,H462))/4*PARAMS_MODELO!$B$34,2)</f>
        <v>10</v>
      </c>
      <c r="J462">
        <v>1</v>
      </c>
      <c r="K462">
        <f>IF(J462=0,0,PARAMS_MODELO!$B$35)</f>
        <v>10</v>
      </c>
      <c r="L462">
        <f t="shared" si="22"/>
        <v>45.45</v>
      </c>
      <c r="M462" t="str">
        <f t="shared" si="23"/>
        <v>Regular</v>
      </c>
      <c r="N462">
        <f>IF(M462=PARAMS_MODELO!$A$36,PARAMS_MODELO!$B$36,IF(M462=PARAMS_MODELO!$A$37,PARAMS_MODELO!$B$37,IF(M462=PARAMS_MODELO!$A$38,PARAMS_MODELO!$B$38,IF(M462=PARAMS_MODELO!$A$39,PARAMS_MODELO!$B$39,IF(M462=PARAMS_MODELO!$A$40,PARAMS_MODELO!$B$40)))))</f>
        <v>1</v>
      </c>
    </row>
    <row r="463" spans="1:14" x14ac:dyDescent="0.3">
      <c r="A463">
        <v>51021207</v>
      </c>
      <c r="B463">
        <v>54</v>
      </c>
      <c r="C463">
        <v>97</v>
      </c>
      <c r="D463">
        <f t="shared" si="21"/>
        <v>0.55670103092783507</v>
      </c>
      <c r="E463">
        <f>ROUND(MIN(5,MAX(0,D463))/5*PARAMS_MODELO!$B$32,2)</f>
        <v>4.45</v>
      </c>
      <c r="F463">
        <v>5</v>
      </c>
      <c r="G463">
        <f>MAX(0,PARAMS_MODELO!$B$33-VALUE(TRIM(F463))*3)</f>
        <v>15</v>
      </c>
      <c r="H463">
        <v>3</v>
      </c>
      <c r="I463">
        <f>ROUND(MIN(4,MAX(0,H463))/4*PARAMS_MODELO!$B$34,2)</f>
        <v>15</v>
      </c>
      <c r="J463">
        <v>0</v>
      </c>
      <c r="K463">
        <f>IF(J463=0,0,PARAMS_MODELO!$B$35)</f>
        <v>0</v>
      </c>
      <c r="L463">
        <f t="shared" si="22"/>
        <v>34.450000000000003</v>
      </c>
      <c r="M463" t="str">
        <f t="shared" si="23"/>
        <v>Malo</v>
      </c>
      <c r="N463">
        <f>IF(M463=PARAMS_MODELO!$A$36,PARAMS_MODELO!$B$36,IF(M463=PARAMS_MODELO!$A$37,PARAMS_MODELO!$B$37,IF(M463=PARAMS_MODELO!$A$38,PARAMS_MODELO!$B$38,IF(M463=PARAMS_MODELO!$A$39,PARAMS_MODELO!$B$39,IF(M463=PARAMS_MODELO!$A$40,PARAMS_MODELO!$B$40)))))</f>
        <v>0.7</v>
      </c>
    </row>
    <row r="464" spans="1:14" x14ac:dyDescent="0.3">
      <c r="A464">
        <v>51054831</v>
      </c>
      <c r="B464">
        <v>94</v>
      </c>
      <c r="C464">
        <v>22</v>
      </c>
      <c r="D464">
        <f t="shared" si="21"/>
        <v>4.2727272727272725</v>
      </c>
      <c r="E464">
        <f>ROUND(MIN(5,MAX(0,D464))/5*PARAMS_MODELO!$B$32,2)</f>
        <v>34.18</v>
      </c>
      <c r="F464">
        <v>5</v>
      </c>
      <c r="G464">
        <f>MAX(0,PARAMS_MODELO!$B$33-VALUE(TRIM(F464))*3)</f>
        <v>15</v>
      </c>
      <c r="H464">
        <v>3</v>
      </c>
      <c r="I464">
        <f>ROUND(MIN(4,MAX(0,H464))/4*PARAMS_MODELO!$B$34,2)</f>
        <v>15</v>
      </c>
      <c r="J464">
        <v>1</v>
      </c>
      <c r="K464">
        <f>IF(J464=0,0,PARAMS_MODELO!$B$35)</f>
        <v>10</v>
      </c>
      <c r="L464">
        <f t="shared" si="22"/>
        <v>74.180000000000007</v>
      </c>
      <c r="M464" t="str">
        <f t="shared" si="23"/>
        <v>Bueno</v>
      </c>
      <c r="N464">
        <f>IF(M464=PARAMS_MODELO!$A$36,PARAMS_MODELO!$B$36,IF(M464=PARAMS_MODELO!$A$37,PARAMS_MODELO!$B$37,IF(M464=PARAMS_MODELO!$A$38,PARAMS_MODELO!$B$38,IF(M464=PARAMS_MODELO!$A$39,PARAMS_MODELO!$B$39,IF(M464=PARAMS_MODELO!$A$40,PARAMS_MODELO!$B$40)))))</f>
        <v>1.1000000000000001</v>
      </c>
    </row>
    <row r="465" spans="1:14" x14ac:dyDescent="0.3">
      <c r="A465">
        <v>51010051</v>
      </c>
      <c r="B465">
        <v>23</v>
      </c>
      <c r="C465">
        <v>12</v>
      </c>
      <c r="D465">
        <f t="shared" si="21"/>
        <v>1.9166666666666667</v>
      </c>
      <c r="E465">
        <f>ROUND(MIN(5,MAX(0,D465))/5*PARAMS_MODELO!$B$32,2)</f>
        <v>15.33</v>
      </c>
      <c r="F465">
        <v>4</v>
      </c>
      <c r="G465">
        <f>MAX(0,PARAMS_MODELO!$B$33-VALUE(TRIM(F465))*3)</f>
        <v>18</v>
      </c>
      <c r="H465">
        <v>3</v>
      </c>
      <c r="I465">
        <f>ROUND(MIN(4,MAX(0,H465))/4*PARAMS_MODELO!$B$34,2)</f>
        <v>15</v>
      </c>
      <c r="J465">
        <v>1</v>
      </c>
      <c r="K465">
        <f>IF(J465=0,0,PARAMS_MODELO!$B$35)</f>
        <v>10</v>
      </c>
      <c r="L465">
        <f t="shared" si="22"/>
        <v>58.33</v>
      </c>
      <c r="M465" t="str">
        <f t="shared" si="23"/>
        <v>Regular</v>
      </c>
      <c r="N465">
        <f>IF(M465=PARAMS_MODELO!$A$36,PARAMS_MODELO!$B$36,IF(M465=PARAMS_MODELO!$A$37,PARAMS_MODELO!$B$37,IF(M465=PARAMS_MODELO!$A$38,PARAMS_MODELO!$B$38,IF(M465=PARAMS_MODELO!$A$39,PARAMS_MODELO!$B$39,IF(M465=PARAMS_MODELO!$A$40,PARAMS_MODELO!$B$40)))))</f>
        <v>1</v>
      </c>
    </row>
    <row r="466" spans="1:14" x14ac:dyDescent="0.3">
      <c r="A466">
        <v>51015754</v>
      </c>
      <c r="B466">
        <v>92</v>
      </c>
      <c r="C466">
        <v>0</v>
      </c>
      <c r="D466">
        <f t="shared" si="21"/>
        <v>0</v>
      </c>
      <c r="E466">
        <f>ROUND(MIN(5,MAX(0,D466))/5*PARAMS_MODELO!$B$32,2)</f>
        <v>0</v>
      </c>
      <c r="F466">
        <v>3</v>
      </c>
      <c r="G466">
        <f>MAX(0,PARAMS_MODELO!$B$33-VALUE(TRIM(F466))*3)</f>
        <v>21</v>
      </c>
      <c r="H466">
        <v>2</v>
      </c>
      <c r="I466">
        <f>ROUND(MIN(4,MAX(0,H466))/4*PARAMS_MODELO!$B$34,2)</f>
        <v>10</v>
      </c>
      <c r="J466">
        <v>0</v>
      </c>
      <c r="K466">
        <f>IF(J466=0,0,PARAMS_MODELO!$B$35)</f>
        <v>0</v>
      </c>
      <c r="L466">
        <f t="shared" si="22"/>
        <v>31</v>
      </c>
      <c r="M466" t="str">
        <f t="shared" si="23"/>
        <v>Malo</v>
      </c>
      <c r="N466">
        <f>IF(M466=PARAMS_MODELO!$A$36,PARAMS_MODELO!$B$36,IF(M466=PARAMS_MODELO!$A$37,PARAMS_MODELO!$B$37,IF(M466=PARAMS_MODELO!$A$38,PARAMS_MODELO!$B$38,IF(M466=PARAMS_MODELO!$A$39,PARAMS_MODELO!$B$39,IF(M466=PARAMS_MODELO!$A$40,PARAMS_MODELO!$B$40)))))</f>
        <v>0.7</v>
      </c>
    </row>
    <row r="467" spans="1:14" x14ac:dyDescent="0.3">
      <c r="A467">
        <v>51023528</v>
      </c>
      <c r="B467">
        <v>22</v>
      </c>
      <c r="C467">
        <v>46</v>
      </c>
      <c r="D467">
        <f t="shared" si="21"/>
        <v>0.47826086956521741</v>
      </c>
      <c r="E467">
        <f>ROUND(MIN(5,MAX(0,D467))/5*PARAMS_MODELO!$B$32,2)</f>
        <v>3.83</v>
      </c>
      <c r="F467">
        <v>4</v>
      </c>
      <c r="G467">
        <f>MAX(0,PARAMS_MODELO!$B$33-VALUE(TRIM(F467))*3)</f>
        <v>18</v>
      </c>
      <c r="H467">
        <v>3</v>
      </c>
      <c r="I467">
        <f>ROUND(MIN(4,MAX(0,H467))/4*PARAMS_MODELO!$B$34,2)</f>
        <v>15</v>
      </c>
      <c r="J467">
        <v>0</v>
      </c>
      <c r="K467">
        <f>IF(J467=0,0,PARAMS_MODELO!$B$35)</f>
        <v>0</v>
      </c>
      <c r="L467">
        <f t="shared" si="22"/>
        <v>36.83</v>
      </c>
      <c r="M467" t="str">
        <f t="shared" si="23"/>
        <v>Malo</v>
      </c>
      <c r="N467">
        <f>IF(M467=PARAMS_MODELO!$A$36,PARAMS_MODELO!$B$36,IF(M467=PARAMS_MODELO!$A$37,PARAMS_MODELO!$B$37,IF(M467=PARAMS_MODELO!$A$38,PARAMS_MODELO!$B$38,IF(M467=PARAMS_MODELO!$A$39,PARAMS_MODELO!$B$39,IF(M467=PARAMS_MODELO!$A$40,PARAMS_MODELO!$B$40)))))</f>
        <v>0.7</v>
      </c>
    </row>
    <row r="468" spans="1:14" x14ac:dyDescent="0.3">
      <c r="A468">
        <v>51013735</v>
      </c>
      <c r="B468">
        <v>72</v>
      </c>
      <c r="C468">
        <v>43</v>
      </c>
      <c r="D468">
        <f t="shared" si="21"/>
        <v>1.6744186046511629</v>
      </c>
      <c r="E468">
        <f>ROUND(MIN(5,MAX(0,D468))/5*PARAMS_MODELO!$B$32,2)</f>
        <v>13.4</v>
      </c>
      <c r="F468">
        <v>4</v>
      </c>
      <c r="G468">
        <f>MAX(0,PARAMS_MODELO!$B$33-VALUE(TRIM(F468))*3)</f>
        <v>18</v>
      </c>
      <c r="H468">
        <v>3</v>
      </c>
      <c r="I468">
        <f>ROUND(MIN(4,MAX(0,H468))/4*PARAMS_MODELO!$B$34,2)</f>
        <v>15</v>
      </c>
      <c r="J468">
        <v>0</v>
      </c>
      <c r="K468">
        <f>IF(J468=0,0,PARAMS_MODELO!$B$35)</f>
        <v>0</v>
      </c>
      <c r="L468">
        <f t="shared" si="22"/>
        <v>46.4</v>
      </c>
      <c r="M468" t="str">
        <f t="shared" si="23"/>
        <v>Regular</v>
      </c>
      <c r="N468">
        <f>IF(M468=PARAMS_MODELO!$A$36,PARAMS_MODELO!$B$36,IF(M468=PARAMS_MODELO!$A$37,PARAMS_MODELO!$B$37,IF(M468=PARAMS_MODELO!$A$38,PARAMS_MODELO!$B$38,IF(M468=PARAMS_MODELO!$A$39,PARAMS_MODELO!$B$39,IF(M468=PARAMS_MODELO!$A$40,PARAMS_MODELO!$B$40)))))</f>
        <v>1</v>
      </c>
    </row>
    <row r="469" spans="1:14" x14ac:dyDescent="0.3">
      <c r="A469">
        <v>51036611</v>
      </c>
      <c r="B469">
        <v>44</v>
      </c>
      <c r="C469">
        <v>49</v>
      </c>
      <c r="D469">
        <f t="shared" si="21"/>
        <v>0.89795918367346939</v>
      </c>
      <c r="E469">
        <f>ROUND(MIN(5,MAX(0,D469))/5*PARAMS_MODELO!$B$32,2)</f>
        <v>7.18</v>
      </c>
      <c r="F469">
        <v>1</v>
      </c>
      <c r="G469">
        <f>MAX(0,PARAMS_MODELO!$B$33-VALUE(TRIM(F469))*3)</f>
        <v>27</v>
      </c>
      <c r="H469">
        <v>3</v>
      </c>
      <c r="I469">
        <f>ROUND(MIN(4,MAX(0,H469))/4*PARAMS_MODELO!$B$34,2)</f>
        <v>15</v>
      </c>
      <c r="J469">
        <v>0</v>
      </c>
      <c r="K469">
        <f>IF(J469=0,0,PARAMS_MODELO!$B$35)</f>
        <v>0</v>
      </c>
      <c r="L469">
        <f t="shared" si="22"/>
        <v>49.18</v>
      </c>
      <c r="M469" t="str">
        <f t="shared" si="23"/>
        <v>Regular</v>
      </c>
      <c r="N469">
        <f>IF(M469=PARAMS_MODELO!$A$36,PARAMS_MODELO!$B$36,IF(M469=PARAMS_MODELO!$A$37,PARAMS_MODELO!$B$37,IF(M469=PARAMS_MODELO!$A$38,PARAMS_MODELO!$B$38,IF(M469=PARAMS_MODELO!$A$39,PARAMS_MODELO!$B$39,IF(M469=PARAMS_MODELO!$A$40,PARAMS_MODELO!$B$40)))))</f>
        <v>1</v>
      </c>
    </row>
    <row r="470" spans="1:14" x14ac:dyDescent="0.3">
      <c r="A470">
        <v>51010035</v>
      </c>
      <c r="B470">
        <v>87</v>
      </c>
      <c r="C470">
        <v>37</v>
      </c>
      <c r="D470">
        <f t="shared" si="21"/>
        <v>2.3513513513513513</v>
      </c>
      <c r="E470">
        <f>ROUND(MIN(5,MAX(0,D470))/5*PARAMS_MODELO!$B$32,2)</f>
        <v>18.809999999999999</v>
      </c>
      <c r="F470">
        <v>2</v>
      </c>
      <c r="G470">
        <f>MAX(0,PARAMS_MODELO!$B$33-VALUE(TRIM(F470))*3)</f>
        <v>24</v>
      </c>
      <c r="H470">
        <v>3</v>
      </c>
      <c r="I470">
        <f>ROUND(MIN(4,MAX(0,H470))/4*PARAMS_MODELO!$B$34,2)</f>
        <v>15</v>
      </c>
      <c r="J470">
        <v>1</v>
      </c>
      <c r="K470">
        <f>IF(J470=0,0,PARAMS_MODELO!$B$35)</f>
        <v>10</v>
      </c>
      <c r="L470">
        <f t="shared" si="22"/>
        <v>67.81</v>
      </c>
      <c r="M470" t="str">
        <f t="shared" si="23"/>
        <v>Bueno</v>
      </c>
      <c r="N470">
        <f>IF(M470=PARAMS_MODELO!$A$36,PARAMS_MODELO!$B$36,IF(M470=PARAMS_MODELO!$A$37,PARAMS_MODELO!$B$37,IF(M470=PARAMS_MODELO!$A$38,PARAMS_MODELO!$B$38,IF(M470=PARAMS_MODELO!$A$39,PARAMS_MODELO!$B$39,IF(M470=PARAMS_MODELO!$A$40,PARAMS_MODELO!$B$40)))))</f>
        <v>1.1000000000000001</v>
      </c>
    </row>
    <row r="471" spans="1:14" x14ac:dyDescent="0.3">
      <c r="A471">
        <v>51035682</v>
      </c>
      <c r="B471">
        <v>60</v>
      </c>
      <c r="C471">
        <v>86</v>
      </c>
      <c r="D471">
        <f t="shared" si="21"/>
        <v>0.69767441860465118</v>
      </c>
      <c r="E471">
        <f>ROUND(MIN(5,MAX(0,D471))/5*PARAMS_MODELO!$B$32,2)</f>
        <v>5.58</v>
      </c>
      <c r="F471">
        <v>4</v>
      </c>
      <c r="G471">
        <f>MAX(0,PARAMS_MODELO!$B$33-VALUE(TRIM(F471))*3)</f>
        <v>18</v>
      </c>
      <c r="H471">
        <v>4</v>
      </c>
      <c r="I471">
        <f>ROUND(MIN(4,MAX(0,H471))/4*PARAMS_MODELO!$B$34,2)</f>
        <v>20</v>
      </c>
      <c r="J471">
        <v>0</v>
      </c>
      <c r="K471">
        <f>IF(J471=0,0,PARAMS_MODELO!$B$35)</f>
        <v>0</v>
      </c>
      <c r="L471">
        <f t="shared" si="22"/>
        <v>43.58</v>
      </c>
      <c r="M471" t="str">
        <f t="shared" si="23"/>
        <v>Regular</v>
      </c>
      <c r="N471">
        <f>IF(M471=PARAMS_MODELO!$A$36,PARAMS_MODELO!$B$36,IF(M471=PARAMS_MODELO!$A$37,PARAMS_MODELO!$B$37,IF(M471=PARAMS_MODELO!$A$38,PARAMS_MODELO!$B$38,IF(M471=PARAMS_MODELO!$A$39,PARAMS_MODELO!$B$39,IF(M471=PARAMS_MODELO!$A$40,PARAMS_MODELO!$B$40)))))</f>
        <v>1</v>
      </c>
    </row>
    <row r="472" spans="1:14" x14ac:dyDescent="0.3">
      <c r="A472">
        <v>51016416</v>
      </c>
      <c r="B472">
        <v>9</v>
      </c>
      <c r="C472">
        <v>94</v>
      </c>
      <c r="D472">
        <f t="shared" si="21"/>
        <v>9.5744680851063829E-2</v>
      </c>
      <c r="E472">
        <f>ROUND(MIN(5,MAX(0,D472))/5*PARAMS_MODELO!$B$32,2)</f>
        <v>0.77</v>
      </c>
      <c r="F472">
        <v>4</v>
      </c>
      <c r="G472">
        <f>MAX(0,PARAMS_MODELO!$B$33-VALUE(TRIM(F472))*3)</f>
        <v>18</v>
      </c>
      <c r="H472">
        <v>4</v>
      </c>
      <c r="I472">
        <f>ROUND(MIN(4,MAX(0,H472))/4*PARAMS_MODELO!$B$34,2)</f>
        <v>20</v>
      </c>
      <c r="J472">
        <v>0</v>
      </c>
      <c r="K472">
        <f>IF(J472=0,0,PARAMS_MODELO!$B$35)</f>
        <v>0</v>
      </c>
      <c r="L472">
        <f t="shared" si="22"/>
        <v>38.769999999999996</v>
      </c>
      <c r="M472" t="str">
        <f t="shared" si="23"/>
        <v>Malo</v>
      </c>
      <c r="N472">
        <f>IF(M472=PARAMS_MODELO!$A$36,PARAMS_MODELO!$B$36,IF(M472=PARAMS_MODELO!$A$37,PARAMS_MODELO!$B$37,IF(M472=PARAMS_MODELO!$A$38,PARAMS_MODELO!$B$38,IF(M472=PARAMS_MODELO!$A$39,PARAMS_MODELO!$B$39,IF(M472=PARAMS_MODELO!$A$40,PARAMS_MODELO!$B$40)))))</f>
        <v>0.7</v>
      </c>
    </row>
    <row r="473" spans="1:14" x14ac:dyDescent="0.3">
      <c r="A473">
        <v>51038762</v>
      </c>
      <c r="B473">
        <v>95</v>
      </c>
      <c r="C473">
        <v>39</v>
      </c>
      <c r="D473">
        <f t="shared" si="21"/>
        <v>2.4358974358974357</v>
      </c>
      <c r="E473">
        <f>ROUND(MIN(5,MAX(0,D473))/5*PARAMS_MODELO!$B$32,2)</f>
        <v>19.489999999999998</v>
      </c>
      <c r="F473">
        <v>3</v>
      </c>
      <c r="G473">
        <f>MAX(0,PARAMS_MODELO!$B$33-VALUE(TRIM(F473))*3)</f>
        <v>21</v>
      </c>
      <c r="H473">
        <v>3</v>
      </c>
      <c r="I473">
        <f>ROUND(MIN(4,MAX(0,H473))/4*PARAMS_MODELO!$B$34,2)</f>
        <v>15</v>
      </c>
      <c r="J473">
        <v>0</v>
      </c>
      <c r="K473">
        <f>IF(J473=0,0,PARAMS_MODELO!$B$35)</f>
        <v>0</v>
      </c>
      <c r="L473">
        <f t="shared" si="22"/>
        <v>55.489999999999995</v>
      </c>
      <c r="M473" t="str">
        <f t="shared" si="23"/>
        <v>Regular</v>
      </c>
      <c r="N473">
        <f>IF(M473=PARAMS_MODELO!$A$36,PARAMS_MODELO!$B$36,IF(M473=PARAMS_MODELO!$A$37,PARAMS_MODELO!$B$37,IF(M473=PARAMS_MODELO!$A$38,PARAMS_MODELO!$B$38,IF(M473=PARAMS_MODELO!$A$39,PARAMS_MODELO!$B$39,IF(M473=PARAMS_MODELO!$A$40,PARAMS_MODELO!$B$40)))))</f>
        <v>1</v>
      </c>
    </row>
    <row r="474" spans="1:14" x14ac:dyDescent="0.3">
      <c r="A474">
        <v>51023307</v>
      </c>
      <c r="B474">
        <v>98</v>
      </c>
      <c r="C474">
        <v>89</v>
      </c>
      <c r="D474">
        <f t="shared" si="21"/>
        <v>1.101123595505618</v>
      </c>
      <c r="E474">
        <f>ROUND(MIN(5,MAX(0,D474))/5*PARAMS_MODELO!$B$32,2)</f>
        <v>8.81</v>
      </c>
      <c r="F474">
        <v>2</v>
      </c>
      <c r="G474">
        <f>MAX(0,PARAMS_MODELO!$B$33-VALUE(TRIM(F474))*3)</f>
        <v>24</v>
      </c>
      <c r="H474">
        <v>3</v>
      </c>
      <c r="I474">
        <f>ROUND(MIN(4,MAX(0,H474))/4*PARAMS_MODELO!$B$34,2)</f>
        <v>15</v>
      </c>
      <c r="J474">
        <v>1</v>
      </c>
      <c r="K474">
        <f>IF(J474=0,0,PARAMS_MODELO!$B$35)</f>
        <v>10</v>
      </c>
      <c r="L474">
        <f t="shared" si="22"/>
        <v>57.81</v>
      </c>
      <c r="M474" t="str">
        <f t="shared" si="23"/>
        <v>Regular</v>
      </c>
      <c r="N474">
        <f>IF(M474=PARAMS_MODELO!$A$36,PARAMS_MODELO!$B$36,IF(M474=PARAMS_MODELO!$A$37,PARAMS_MODELO!$B$37,IF(M474=PARAMS_MODELO!$A$38,PARAMS_MODELO!$B$38,IF(M474=PARAMS_MODELO!$A$39,PARAMS_MODELO!$B$39,IF(M474=PARAMS_MODELO!$A$40,PARAMS_MODELO!$B$40)))))</f>
        <v>1</v>
      </c>
    </row>
    <row r="475" spans="1:14" x14ac:dyDescent="0.3">
      <c r="A475">
        <v>51012062</v>
      </c>
      <c r="B475">
        <v>25</v>
      </c>
      <c r="C475">
        <v>27</v>
      </c>
      <c r="D475">
        <f t="shared" si="21"/>
        <v>0.92592592592592593</v>
      </c>
      <c r="E475">
        <f>ROUND(MIN(5,MAX(0,D475))/5*PARAMS_MODELO!$B$32,2)</f>
        <v>7.41</v>
      </c>
      <c r="F475">
        <v>4</v>
      </c>
      <c r="G475">
        <f>MAX(0,PARAMS_MODELO!$B$33-VALUE(TRIM(F475))*3)</f>
        <v>18</v>
      </c>
      <c r="H475">
        <v>4</v>
      </c>
      <c r="I475">
        <f>ROUND(MIN(4,MAX(0,H475))/4*PARAMS_MODELO!$B$34,2)</f>
        <v>20</v>
      </c>
      <c r="J475">
        <v>0</v>
      </c>
      <c r="K475">
        <f>IF(J475=0,0,PARAMS_MODELO!$B$35)</f>
        <v>0</v>
      </c>
      <c r="L475">
        <f t="shared" si="22"/>
        <v>45.41</v>
      </c>
      <c r="M475" t="str">
        <f t="shared" si="23"/>
        <v>Regular</v>
      </c>
      <c r="N475">
        <f>IF(M475=PARAMS_MODELO!$A$36,PARAMS_MODELO!$B$36,IF(M475=PARAMS_MODELO!$A$37,PARAMS_MODELO!$B$37,IF(M475=PARAMS_MODELO!$A$38,PARAMS_MODELO!$B$38,IF(M475=PARAMS_MODELO!$A$39,PARAMS_MODELO!$B$39,IF(M475=PARAMS_MODELO!$A$40,PARAMS_MODELO!$B$40)))))</f>
        <v>1</v>
      </c>
    </row>
    <row r="476" spans="1:14" x14ac:dyDescent="0.3">
      <c r="A476">
        <v>51021631</v>
      </c>
      <c r="B476">
        <v>40</v>
      </c>
      <c r="C476">
        <v>1</v>
      </c>
      <c r="D476">
        <f t="shared" si="21"/>
        <v>5</v>
      </c>
      <c r="E476">
        <f>ROUND(MIN(5,MAX(0,D476))/5*PARAMS_MODELO!$B$32,2)</f>
        <v>40</v>
      </c>
      <c r="F476">
        <v>3</v>
      </c>
      <c r="G476">
        <f>MAX(0,PARAMS_MODELO!$B$33-VALUE(TRIM(F476))*3)</f>
        <v>21</v>
      </c>
      <c r="H476">
        <v>2</v>
      </c>
      <c r="I476">
        <f>ROUND(MIN(4,MAX(0,H476))/4*PARAMS_MODELO!$B$34,2)</f>
        <v>10</v>
      </c>
      <c r="J476">
        <v>0</v>
      </c>
      <c r="K476">
        <f>IF(J476=0,0,PARAMS_MODELO!$B$35)</f>
        <v>0</v>
      </c>
      <c r="L476">
        <f t="shared" si="22"/>
        <v>71</v>
      </c>
      <c r="M476" t="str">
        <f t="shared" si="23"/>
        <v>Bueno</v>
      </c>
      <c r="N476">
        <f>IF(M476=PARAMS_MODELO!$A$36,PARAMS_MODELO!$B$36,IF(M476=PARAMS_MODELO!$A$37,PARAMS_MODELO!$B$37,IF(M476=PARAMS_MODELO!$A$38,PARAMS_MODELO!$B$38,IF(M476=PARAMS_MODELO!$A$39,PARAMS_MODELO!$B$39,IF(M476=PARAMS_MODELO!$A$40,PARAMS_MODELO!$B$40)))))</f>
        <v>1.1000000000000001</v>
      </c>
    </row>
    <row r="477" spans="1:14" x14ac:dyDescent="0.3">
      <c r="A477">
        <v>51008618</v>
      </c>
      <c r="B477">
        <v>97</v>
      </c>
      <c r="C477">
        <v>87</v>
      </c>
      <c r="D477">
        <f t="shared" si="21"/>
        <v>1.1149425287356323</v>
      </c>
      <c r="E477">
        <f>ROUND(MIN(5,MAX(0,D477))/5*PARAMS_MODELO!$B$32,2)</f>
        <v>8.92</v>
      </c>
      <c r="F477">
        <v>1</v>
      </c>
      <c r="G477">
        <f>MAX(0,PARAMS_MODELO!$B$33-VALUE(TRIM(F477))*3)</f>
        <v>27</v>
      </c>
      <c r="H477">
        <v>0</v>
      </c>
      <c r="I477">
        <f>ROUND(MIN(4,MAX(0,H477))/4*PARAMS_MODELO!$B$34,2)</f>
        <v>0</v>
      </c>
      <c r="J477">
        <v>0</v>
      </c>
      <c r="K477">
        <f>IF(J477=0,0,PARAMS_MODELO!$B$35)</f>
        <v>0</v>
      </c>
      <c r="L477">
        <f t="shared" si="22"/>
        <v>35.92</v>
      </c>
      <c r="M477" t="str">
        <f t="shared" si="23"/>
        <v>Malo</v>
      </c>
      <c r="N477">
        <f>IF(M477=PARAMS_MODELO!$A$36,PARAMS_MODELO!$B$36,IF(M477=PARAMS_MODELO!$A$37,PARAMS_MODELO!$B$37,IF(M477=PARAMS_MODELO!$A$38,PARAMS_MODELO!$B$38,IF(M477=PARAMS_MODELO!$A$39,PARAMS_MODELO!$B$39,IF(M477=PARAMS_MODELO!$A$40,PARAMS_MODELO!$B$40)))))</f>
        <v>0.7</v>
      </c>
    </row>
    <row r="478" spans="1:14" x14ac:dyDescent="0.3">
      <c r="A478">
        <v>51010574</v>
      </c>
      <c r="B478">
        <v>100</v>
      </c>
      <c r="C478">
        <v>13</v>
      </c>
      <c r="D478">
        <f t="shared" si="21"/>
        <v>5</v>
      </c>
      <c r="E478">
        <f>ROUND(MIN(5,MAX(0,D478))/5*PARAMS_MODELO!$B$32,2)</f>
        <v>40</v>
      </c>
      <c r="F478">
        <v>5</v>
      </c>
      <c r="G478">
        <f>MAX(0,PARAMS_MODELO!$B$33-VALUE(TRIM(F478))*3)</f>
        <v>15</v>
      </c>
      <c r="H478">
        <v>0</v>
      </c>
      <c r="I478">
        <f>ROUND(MIN(4,MAX(0,H478))/4*PARAMS_MODELO!$B$34,2)</f>
        <v>0</v>
      </c>
      <c r="J478">
        <v>1</v>
      </c>
      <c r="K478">
        <f>IF(J478=0,0,PARAMS_MODELO!$B$35)</f>
        <v>10</v>
      </c>
      <c r="L478">
        <f t="shared" si="22"/>
        <v>65</v>
      </c>
      <c r="M478" t="str">
        <f t="shared" si="23"/>
        <v>Bueno</v>
      </c>
      <c r="N478">
        <f>IF(M478=PARAMS_MODELO!$A$36,PARAMS_MODELO!$B$36,IF(M478=PARAMS_MODELO!$A$37,PARAMS_MODELO!$B$37,IF(M478=PARAMS_MODELO!$A$38,PARAMS_MODELO!$B$38,IF(M478=PARAMS_MODELO!$A$39,PARAMS_MODELO!$B$39,IF(M478=PARAMS_MODELO!$A$40,PARAMS_MODELO!$B$40)))))</f>
        <v>1.1000000000000001</v>
      </c>
    </row>
    <row r="479" spans="1:14" x14ac:dyDescent="0.3">
      <c r="A479">
        <v>51056493</v>
      </c>
      <c r="B479">
        <v>84</v>
      </c>
      <c r="C479">
        <v>33</v>
      </c>
      <c r="D479">
        <f t="shared" si="21"/>
        <v>2.5454545454545454</v>
      </c>
      <c r="E479">
        <f>ROUND(MIN(5,MAX(0,D479))/5*PARAMS_MODELO!$B$32,2)</f>
        <v>20.36</v>
      </c>
      <c r="F479">
        <v>1</v>
      </c>
      <c r="G479">
        <f>MAX(0,PARAMS_MODELO!$B$33-VALUE(TRIM(F479))*3)</f>
        <v>27</v>
      </c>
      <c r="H479">
        <v>3</v>
      </c>
      <c r="I479">
        <f>ROUND(MIN(4,MAX(0,H479))/4*PARAMS_MODELO!$B$34,2)</f>
        <v>15</v>
      </c>
      <c r="J479">
        <v>1</v>
      </c>
      <c r="K479">
        <f>IF(J479=0,0,PARAMS_MODELO!$B$35)</f>
        <v>10</v>
      </c>
      <c r="L479">
        <f t="shared" si="22"/>
        <v>72.36</v>
      </c>
      <c r="M479" t="str">
        <f t="shared" si="23"/>
        <v>Bueno</v>
      </c>
      <c r="N479">
        <f>IF(M479=PARAMS_MODELO!$A$36,PARAMS_MODELO!$B$36,IF(M479=PARAMS_MODELO!$A$37,PARAMS_MODELO!$B$37,IF(M479=PARAMS_MODELO!$A$38,PARAMS_MODELO!$B$38,IF(M479=PARAMS_MODELO!$A$39,PARAMS_MODELO!$B$39,IF(M479=PARAMS_MODELO!$A$40,PARAMS_MODELO!$B$40)))))</f>
        <v>1.1000000000000001</v>
      </c>
    </row>
    <row r="480" spans="1:14" x14ac:dyDescent="0.3">
      <c r="A480">
        <v>51024206</v>
      </c>
      <c r="B480">
        <v>71</v>
      </c>
      <c r="C480">
        <v>83</v>
      </c>
      <c r="D480">
        <f t="shared" si="21"/>
        <v>0.85542168674698793</v>
      </c>
      <c r="E480">
        <f>ROUND(MIN(5,MAX(0,D480))/5*PARAMS_MODELO!$B$32,2)</f>
        <v>6.84</v>
      </c>
      <c r="F480">
        <v>4</v>
      </c>
      <c r="G480">
        <f>MAX(0,PARAMS_MODELO!$B$33-VALUE(TRIM(F480))*3)</f>
        <v>18</v>
      </c>
      <c r="H480">
        <v>4</v>
      </c>
      <c r="I480">
        <f>ROUND(MIN(4,MAX(0,H480))/4*PARAMS_MODELO!$B$34,2)</f>
        <v>20</v>
      </c>
      <c r="J480">
        <v>1</v>
      </c>
      <c r="K480">
        <f>IF(J480=0,0,PARAMS_MODELO!$B$35)</f>
        <v>10</v>
      </c>
      <c r="L480">
        <f t="shared" si="22"/>
        <v>54.84</v>
      </c>
      <c r="M480" t="str">
        <f t="shared" si="23"/>
        <v>Regular</v>
      </c>
      <c r="N480">
        <f>IF(M480=PARAMS_MODELO!$A$36,PARAMS_MODELO!$B$36,IF(M480=PARAMS_MODELO!$A$37,PARAMS_MODELO!$B$37,IF(M480=PARAMS_MODELO!$A$38,PARAMS_MODELO!$B$38,IF(M480=PARAMS_MODELO!$A$39,PARAMS_MODELO!$B$39,IF(M480=PARAMS_MODELO!$A$40,PARAMS_MODELO!$B$40)))))</f>
        <v>1</v>
      </c>
    </row>
    <row r="481" spans="1:14" x14ac:dyDescent="0.3">
      <c r="A481">
        <v>51056442</v>
      </c>
      <c r="B481">
        <v>2</v>
      </c>
      <c r="C481">
        <v>80</v>
      </c>
      <c r="D481">
        <f t="shared" si="21"/>
        <v>2.5000000000000001E-2</v>
      </c>
      <c r="E481">
        <f>ROUND(MIN(5,MAX(0,D481))/5*PARAMS_MODELO!$B$32,2)</f>
        <v>0.2</v>
      </c>
      <c r="F481">
        <v>4</v>
      </c>
      <c r="G481">
        <f>MAX(0,PARAMS_MODELO!$B$33-VALUE(TRIM(F481))*3)</f>
        <v>18</v>
      </c>
      <c r="H481">
        <v>0</v>
      </c>
      <c r="I481">
        <f>ROUND(MIN(4,MAX(0,H481))/4*PARAMS_MODELO!$B$34,2)</f>
        <v>0</v>
      </c>
      <c r="J481">
        <v>1</v>
      </c>
      <c r="K481">
        <f>IF(J481=0,0,PARAMS_MODELO!$B$35)</f>
        <v>10</v>
      </c>
      <c r="L481">
        <f t="shared" si="22"/>
        <v>28.2</v>
      </c>
      <c r="M481" t="str">
        <f t="shared" si="23"/>
        <v>Malo</v>
      </c>
      <c r="N481">
        <f>IF(M481=PARAMS_MODELO!$A$36,PARAMS_MODELO!$B$36,IF(M481=PARAMS_MODELO!$A$37,PARAMS_MODELO!$B$37,IF(M481=PARAMS_MODELO!$A$38,PARAMS_MODELO!$B$38,IF(M481=PARAMS_MODELO!$A$39,PARAMS_MODELO!$B$39,IF(M481=PARAMS_MODELO!$A$40,PARAMS_MODELO!$B$40)))))</f>
        <v>0.7</v>
      </c>
    </row>
    <row r="482" spans="1:14" x14ac:dyDescent="0.3">
      <c r="A482">
        <v>51033621</v>
      </c>
      <c r="B482">
        <v>26</v>
      </c>
      <c r="C482">
        <v>25</v>
      </c>
      <c r="D482">
        <f t="shared" si="21"/>
        <v>1.04</v>
      </c>
      <c r="E482">
        <f>ROUND(MIN(5,MAX(0,D482))/5*PARAMS_MODELO!$B$32,2)</f>
        <v>8.32</v>
      </c>
      <c r="F482">
        <v>3</v>
      </c>
      <c r="G482">
        <f>MAX(0,PARAMS_MODELO!$B$33-VALUE(TRIM(F482))*3)</f>
        <v>21</v>
      </c>
      <c r="H482">
        <v>0</v>
      </c>
      <c r="I482">
        <f>ROUND(MIN(4,MAX(0,H482))/4*PARAMS_MODELO!$B$34,2)</f>
        <v>0</v>
      </c>
      <c r="J482">
        <v>0</v>
      </c>
      <c r="K482">
        <f>IF(J482=0,0,PARAMS_MODELO!$B$35)</f>
        <v>0</v>
      </c>
      <c r="L482">
        <f t="shared" si="22"/>
        <v>29.32</v>
      </c>
      <c r="M482" t="str">
        <f t="shared" si="23"/>
        <v>Malo</v>
      </c>
      <c r="N482">
        <f>IF(M482=PARAMS_MODELO!$A$36,PARAMS_MODELO!$B$36,IF(M482=PARAMS_MODELO!$A$37,PARAMS_MODELO!$B$37,IF(M482=PARAMS_MODELO!$A$38,PARAMS_MODELO!$B$38,IF(M482=PARAMS_MODELO!$A$39,PARAMS_MODELO!$B$39,IF(M482=PARAMS_MODELO!$A$40,PARAMS_MODELO!$B$40)))))</f>
        <v>0.7</v>
      </c>
    </row>
    <row r="483" spans="1:14" x14ac:dyDescent="0.3">
      <c r="A483">
        <v>51016394</v>
      </c>
      <c r="B483">
        <v>76</v>
      </c>
      <c r="C483">
        <v>60</v>
      </c>
      <c r="D483">
        <f t="shared" si="21"/>
        <v>1.2666666666666666</v>
      </c>
      <c r="E483">
        <f>ROUND(MIN(5,MAX(0,D483))/5*PARAMS_MODELO!$B$32,2)</f>
        <v>10.130000000000001</v>
      </c>
      <c r="F483">
        <v>2</v>
      </c>
      <c r="G483">
        <f>MAX(0,PARAMS_MODELO!$B$33-VALUE(TRIM(F483))*3)</f>
        <v>24</v>
      </c>
      <c r="H483">
        <v>2</v>
      </c>
      <c r="I483">
        <f>ROUND(MIN(4,MAX(0,H483))/4*PARAMS_MODELO!$B$34,2)</f>
        <v>10</v>
      </c>
      <c r="J483">
        <v>0</v>
      </c>
      <c r="K483">
        <f>IF(J483=0,0,PARAMS_MODELO!$B$35)</f>
        <v>0</v>
      </c>
      <c r="L483">
        <f t="shared" si="22"/>
        <v>44.13</v>
      </c>
      <c r="M483" t="str">
        <f t="shared" si="23"/>
        <v>Regular</v>
      </c>
      <c r="N483">
        <f>IF(M483=PARAMS_MODELO!$A$36,PARAMS_MODELO!$B$36,IF(M483=PARAMS_MODELO!$A$37,PARAMS_MODELO!$B$37,IF(M483=PARAMS_MODELO!$A$38,PARAMS_MODELO!$B$38,IF(M483=PARAMS_MODELO!$A$39,PARAMS_MODELO!$B$39,IF(M483=PARAMS_MODELO!$A$40,PARAMS_MODELO!$B$40)))))</f>
        <v>1</v>
      </c>
    </row>
    <row r="484" spans="1:14" x14ac:dyDescent="0.3">
      <c r="A484">
        <v>51001389</v>
      </c>
      <c r="B484">
        <v>86</v>
      </c>
      <c r="C484">
        <v>39</v>
      </c>
      <c r="D484">
        <f t="shared" si="21"/>
        <v>2.2051282051282053</v>
      </c>
      <c r="E484">
        <f>ROUND(MIN(5,MAX(0,D484))/5*PARAMS_MODELO!$B$32,2)</f>
        <v>17.64</v>
      </c>
      <c r="F484">
        <v>1</v>
      </c>
      <c r="G484">
        <f>MAX(0,PARAMS_MODELO!$B$33-VALUE(TRIM(F484))*3)</f>
        <v>27</v>
      </c>
      <c r="H484">
        <v>4</v>
      </c>
      <c r="I484">
        <f>ROUND(MIN(4,MAX(0,H484))/4*PARAMS_MODELO!$B$34,2)</f>
        <v>20</v>
      </c>
      <c r="J484">
        <v>0</v>
      </c>
      <c r="K484">
        <f>IF(J484=0,0,PARAMS_MODELO!$B$35)</f>
        <v>0</v>
      </c>
      <c r="L484">
        <f t="shared" si="22"/>
        <v>64.64</v>
      </c>
      <c r="M484" t="str">
        <f t="shared" si="23"/>
        <v>Bueno</v>
      </c>
      <c r="N484">
        <f>IF(M484=PARAMS_MODELO!$A$36,PARAMS_MODELO!$B$36,IF(M484=PARAMS_MODELO!$A$37,PARAMS_MODELO!$B$37,IF(M484=PARAMS_MODELO!$A$38,PARAMS_MODELO!$B$38,IF(M484=PARAMS_MODELO!$A$39,PARAMS_MODELO!$B$39,IF(M484=PARAMS_MODELO!$A$40,PARAMS_MODELO!$B$40)))))</f>
        <v>1.1000000000000001</v>
      </c>
    </row>
    <row r="485" spans="1:14" x14ac:dyDescent="0.3">
      <c r="A485">
        <v>51042891</v>
      </c>
      <c r="B485">
        <v>64</v>
      </c>
      <c r="C485">
        <v>37</v>
      </c>
      <c r="D485">
        <f t="shared" si="21"/>
        <v>1.7297297297297298</v>
      </c>
      <c r="E485">
        <f>ROUND(MIN(5,MAX(0,D485))/5*PARAMS_MODELO!$B$32,2)</f>
        <v>13.84</v>
      </c>
      <c r="F485">
        <v>0</v>
      </c>
      <c r="G485">
        <f>MAX(0,PARAMS_MODELO!$B$33-VALUE(TRIM(F485))*3)</f>
        <v>30</v>
      </c>
      <c r="H485">
        <v>4</v>
      </c>
      <c r="I485">
        <f>ROUND(MIN(4,MAX(0,H485))/4*PARAMS_MODELO!$B$34,2)</f>
        <v>20</v>
      </c>
      <c r="J485">
        <v>0</v>
      </c>
      <c r="K485">
        <f>IF(J485=0,0,PARAMS_MODELO!$B$35)</f>
        <v>0</v>
      </c>
      <c r="L485">
        <f t="shared" si="22"/>
        <v>63.84</v>
      </c>
      <c r="M485" t="str">
        <f t="shared" si="23"/>
        <v>Bueno</v>
      </c>
      <c r="N485">
        <f>IF(M485=PARAMS_MODELO!$A$36,PARAMS_MODELO!$B$36,IF(M485=PARAMS_MODELO!$A$37,PARAMS_MODELO!$B$37,IF(M485=PARAMS_MODELO!$A$38,PARAMS_MODELO!$B$38,IF(M485=PARAMS_MODELO!$A$39,PARAMS_MODELO!$B$39,IF(M485=PARAMS_MODELO!$A$40,PARAMS_MODELO!$B$40)))))</f>
        <v>1.1000000000000001</v>
      </c>
    </row>
    <row r="486" spans="1:14" x14ac:dyDescent="0.3">
      <c r="A486">
        <v>51055411</v>
      </c>
      <c r="B486">
        <v>47</v>
      </c>
      <c r="C486">
        <v>38</v>
      </c>
      <c r="D486">
        <f t="shared" si="21"/>
        <v>1.236842105263158</v>
      </c>
      <c r="E486">
        <f>ROUND(MIN(5,MAX(0,D486))/5*PARAMS_MODELO!$B$32,2)</f>
        <v>9.89</v>
      </c>
      <c r="F486">
        <v>4</v>
      </c>
      <c r="G486">
        <f>MAX(0,PARAMS_MODELO!$B$33-VALUE(TRIM(F486))*3)</f>
        <v>18</v>
      </c>
      <c r="H486">
        <v>4</v>
      </c>
      <c r="I486">
        <f>ROUND(MIN(4,MAX(0,H486))/4*PARAMS_MODELO!$B$34,2)</f>
        <v>20</v>
      </c>
      <c r="J486">
        <v>0</v>
      </c>
      <c r="K486">
        <f>IF(J486=0,0,PARAMS_MODELO!$B$35)</f>
        <v>0</v>
      </c>
      <c r="L486">
        <f t="shared" si="22"/>
        <v>47.89</v>
      </c>
      <c r="M486" t="str">
        <f t="shared" si="23"/>
        <v>Regular</v>
      </c>
      <c r="N486">
        <f>IF(M486=PARAMS_MODELO!$A$36,PARAMS_MODELO!$B$36,IF(M486=PARAMS_MODELO!$A$37,PARAMS_MODELO!$B$37,IF(M486=PARAMS_MODELO!$A$38,PARAMS_MODELO!$B$38,IF(M486=PARAMS_MODELO!$A$39,PARAMS_MODELO!$B$39,IF(M486=PARAMS_MODELO!$A$40,PARAMS_MODELO!$B$40)))))</f>
        <v>1</v>
      </c>
    </row>
    <row r="487" spans="1:14" x14ac:dyDescent="0.3">
      <c r="A487">
        <v>51038657</v>
      </c>
      <c r="B487">
        <v>73</v>
      </c>
      <c r="C487">
        <v>72</v>
      </c>
      <c r="D487">
        <f t="shared" si="21"/>
        <v>1.0138888888888888</v>
      </c>
      <c r="E487">
        <f>ROUND(MIN(5,MAX(0,D487))/5*PARAMS_MODELO!$B$32,2)</f>
        <v>8.11</v>
      </c>
      <c r="F487">
        <v>2</v>
      </c>
      <c r="G487">
        <f>MAX(0,PARAMS_MODELO!$B$33-VALUE(TRIM(F487))*3)</f>
        <v>24</v>
      </c>
      <c r="H487">
        <v>3</v>
      </c>
      <c r="I487">
        <f>ROUND(MIN(4,MAX(0,H487))/4*PARAMS_MODELO!$B$34,2)</f>
        <v>15</v>
      </c>
      <c r="J487">
        <v>1</v>
      </c>
      <c r="K487">
        <f>IF(J487=0,0,PARAMS_MODELO!$B$35)</f>
        <v>10</v>
      </c>
      <c r="L487">
        <f t="shared" si="22"/>
        <v>57.11</v>
      </c>
      <c r="M487" t="str">
        <f t="shared" si="23"/>
        <v>Regular</v>
      </c>
      <c r="N487">
        <f>IF(M487=PARAMS_MODELO!$A$36,PARAMS_MODELO!$B$36,IF(M487=PARAMS_MODELO!$A$37,PARAMS_MODELO!$B$37,IF(M487=PARAMS_MODELO!$A$38,PARAMS_MODELO!$B$38,IF(M487=PARAMS_MODELO!$A$39,PARAMS_MODELO!$B$39,IF(M487=PARAMS_MODELO!$A$40,PARAMS_MODELO!$B$40)))))</f>
        <v>1</v>
      </c>
    </row>
    <row r="488" spans="1:14" x14ac:dyDescent="0.3">
      <c r="A488">
        <v>51055632</v>
      </c>
      <c r="B488">
        <v>17</v>
      </c>
      <c r="C488">
        <v>98</v>
      </c>
      <c r="D488">
        <f t="shared" si="21"/>
        <v>0.17346938775510204</v>
      </c>
      <c r="E488">
        <f>ROUND(MIN(5,MAX(0,D488))/5*PARAMS_MODELO!$B$32,2)</f>
        <v>1.39</v>
      </c>
      <c r="F488">
        <v>3</v>
      </c>
      <c r="G488">
        <f>MAX(0,PARAMS_MODELO!$B$33-VALUE(TRIM(F488))*3)</f>
        <v>21</v>
      </c>
      <c r="H488">
        <v>4</v>
      </c>
      <c r="I488">
        <f>ROUND(MIN(4,MAX(0,H488))/4*PARAMS_MODELO!$B$34,2)</f>
        <v>20</v>
      </c>
      <c r="J488">
        <v>1</v>
      </c>
      <c r="K488">
        <f>IF(J488=0,0,PARAMS_MODELO!$B$35)</f>
        <v>10</v>
      </c>
      <c r="L488">
        <f t="shared" si="22"/>
        <v>52.39</v>
      </c>
      <c r="M488" t="str">
        <f t="shared" si="23"/>
        <v>Regular</v>
      </c>
      <c r="N488">
        <f>IF(M488=PARAMS_MODELO!$A$36,PARAMS_MODELO!$B$36,IF(M488=PARAMS_MODELO!$A$37,PARAMS_MODELO!$B$37,IF(M488=PARAMS_MODELO!$A$38,PARAMS_MODELO!$B$38,IF(M488=PARAMS_MODELO!$A$39,PARAMS_MODELO!$B$39,IF(M488=PARAMS_MODELO!$A$40,PARAMS_MODELO!$B$40)))))</f>
        <v>1</v>
      </c>
    </row>
    <row r="489" spans="1:14" x14ac:dyDescent="0.3">
      <c r="A489">
        <v>51026799</v>
      </c>
      <c r="B489">
        <v>46</v>
      </c>
      <c r="C489">
        <v>95</v>
      </c>
      <c r="D489">
        <f t="shared" si="21"/>
        <v>0.48421052631578948</v>
      </c>
      <c r="E489">
        <f>ROUND(MIN(5,MAX(0,D489))/5*PARAMS_MODELO!$B$32,2)</f>
        <v>3.87</v>
      </c>
      <c r="F489">
        <v>4</v>
      </c>
      <c r="G489">
        <f>MAX(0,PARAMS_MODELO!$B$33-VALUE(TRIM(F489))*3)</f>
        <v>18</v>
      </c>
      <c r="H489">
        <v>3</v>
      </c>
      <c r="I489">
        <f>ROUND(MIN(4,MAX(0,H489))/4*PARAMS_MODELO!$B$34,2)</f>
        <v>15</v>
      </c>
      <c r="J489">
        <v>1</v>
      </c>
      <c r="K489">
        <f>IF(J489=0,0,PARAMS_MODELO!$B$35)</f>
        <v>10</v>
      </c>
      <c r="L489">
        <f t="shared" si="22"/>
        <v>46.870000000000005</v>
      </c>
      <c r="M489" t="str">
        <f t="shared" si="23"/>
        <v>Regular</v>
      </c>
      <c r="N489">
        <f>IF(M489=PARAMS_MODELO!$A$36,PARAMS_MODELO!$B$36,IF(M489=PARAMS_MODELO!$A$37,PARAMS_MODELO!$B$37,IF(M489=PARAMS_MODELO!$A$38,PARAMS_MODELO!$B$38,IF(M489=PARAMS_MODELO!$A$39,PARAMS_MODELO!$B$39,IF(M489=PARAMS_MODELO!$A$40,PARAMS_MODELO!$B$40)))))</f>
        <v>1</v>
      </c>
    </row>
    <row r="490" spans="1:14" x14ac:dyDescent="0.3">
      <c r="A490">
        <v>51018869</v>
      </c>
      <c r="B490">
        <v>77</v>
      </c>
      <c r="C490">
        <v>40</v>
      </c>
      <c r="D490">
        <f t="shared" si="21"/>
        <v>1.925</v>
      </c>
      <c r="E490">
        <f>ROUND(MIN(5,MAX(0,D490))/5*PARAMS_MODELO!$B$32,2)</f>
        <v>15.4</v>
      </c>
      <c r="F490">
        <v>5</v>
      </c>
      <c r="G490">
        <f>MAX(0,PARAMS_MODELO!$B$33-VALUE(TRIM(F490))*3)</f>
        <v>15</v>
      </c>
      <c r="H490">
        <v>3</v>
      </c>
      <c r="I490">
        <f>ROUND(MIN(4,MAX(0,H490))/4*PARAMS_MODELO!$B$34,2)</f>
        <v>15</v>
      </c>
      <c r="J490">
        <v>1</v>
      </c>
      <c r="K490">
        <f>IF(J490=0,0,PARAMS_MODELO!$B$35)</f>
        <v>10</v>
      </c>
      <c r="L490">
        <f t="shared" si="22"/>
        <v>55.4</v>
      </c>
      <c r="M490" t="str">
        <f t="shared" si="23"/>
        <v>Regular</v>
      </c>
      <c r="N490">
        <f>IF(M490=PARAMS_MODELO!$A$36,PARAMS_MODELO!$B$36,IF(M490=PARAMS_MODELO!$A$37,PARAMS_MODELO!$B$37,IF(M490=PARAMS_MODELO!$A$38,PARAMS_MODELO!$B$38,IF(M490=PARAMS_MODELO!$A$39,PARAMS_MODELO!$B$39,IF(M490=PARAMS_MODELO!$A$40,PARAMS_MODELO!$B$40)))))</f>
        <v>1</v>
      </c>
    </row>
    <row r="491" spans="1:14" x14ac:dyDescent="0.3">
      <c r="A491">
        <v>51055144</v>
      </c>
      <c r="B491">
        <v>72</v>
      </c>
      <c r="C491">
        <v>11</v>
      </c>
      <c r="D491">
        <f t="shared" si="21"/>
        <v>5</v>
      </c>
      <c r="E491">
        <f>ROUND(MIN(5,MAX(0,D491))/5*PARAMS_MODELO!$B$32,2)</f>
        <v>40</v>
      </c>
      <c r="F491">
        <v>4</v>
      </c>
      <c r="G491">
        <f>MAX(0,PARAMS_MODELO!$B$33-VALUE(TRIM(F491))*3)</f>
        <v>18</v>
      </c>
      <c r="H491">
        <v>0</v>
      </c>
      <c r="I491">
        <f>ROUND(MIN(4,MAX(0,H491))/4*PARAMS_MODELO!$B$34,2)</f>
        <v>0</v>
      </c>
      <c r="J491">
        <v>0</v>
      </c>
      <c r="K491">
        <f>IF(J491=0,0,PARAMS_MODELO!$B$35)</f>
        <v>0</v>
      </c>
      <c r="L491">
        <f t="shared" si="22"/>
        <v>58</v>
      </c>
      <c r="M491" t="str">
        <f t="shared" si="23"/>
        <v>Regular</v>
      </c>
      <c r="N491">
        <f>IF(M491=PARAMS_MODELO!$A$36,PARAMS_MODELO!$B$36,IF(M491=PARAMS_MODELO!$A$37,PARAMS_MODELO!$B$37,IF(M491=PARAMS_MODELO!$A$38,PARAMS_MODELO!$B$38,IF(M491=PARAMS_MODELO!$A$39,PARAMS_MODELO!$B$39,IF(M491=PARAMS_MODELO!$A$40,PARAMS_MODELO!$B$40)))))</f>
        <v>1</v>
      </c>
    </row>
    <row r="492" spans="1:14" x14ac:dyDescent="0.3">
      <c r="A492">
        <v>51056884</v>
      </c>
      <c r="B492">
        <v>79</v>
      </c>
      <c r="C492">
        <v>53</v>
      </c>
      <c r="D492">
        <f t="shared" si="21"/>
        <v>1.4905660377358489</v>
      </c>
      <c r="E492">
        <f>ROUND(MIN(5,MAX(0,D492))/5*PARAMS_MODELO!$B$32,2)</f>
        <v>11.92</v>
      </c>
      <c r="F492">
        <v>5</v>
      </c>
      <c r="G492">
        <f>MAX(0,PARAMS_MODELO!$B$33-VALUE(TRIM(F492))*3)</f>
        <v>15</v>
      </c>
      <c r="H492">
        <v>0</v>
      </c>
      <c r="I492">
        <f>ROUND(MIN(4,MAX(0,H492))/4*PARAMS_MODELO!$B$34,2)</f>
        <v>0</v>
      </c>
      <c r="J492">
        <v>0</v>
      </c>
      <c r="K492">
        <f>IF(J492=0,0,PARAMS_MODELO!$B$35)</f>
        <v>0</v>
      </c>
      <c r="L492">
        <f t="shared" si="22"/>
        <v>26.92</v>
      </c>
      <c r="M492" t="str">
        <f t="shared" si="23"/>
        <v>Malo</v>
      </c>
      <c r="N492">
        <f>IF(M492=PARAMS_MODELO!$A$36,PARAMS_MODELO!$B$36,IF(M492=PARAMS_MODELO!$A$37,PARAMS_MODELO!$B$37,IF(M492=PARAMS_MODELO!$A$38,PARAMS_MODELO!$B$38,IF(M492=PARAMS_MODELO!$A$39,PARAMS_MODELO!$B$39,IF(M492=PARAMS_MODELO!$A$40,PARAMS_MODELO!$B$40)))))</f>
        <v>0.7</v>
      </c>
    </row>
    <row r="493" spans="1:14" x14ac:dyDescent="0.3">
      <c r="A493">
        <v>51030443</v>
      </c>
      <c r="B493">
        <v>50</v>
      </c>
      <c r="C493">
        <v>55</v>
      </c>
      <c r="D493">
        <f t="shared" si="21"/>
        <v>0.90909090909090906</v>
      </c>
      <c r="E493">
        <f>ROUND(MIN(5,MAX(0,D493))/5*PARAMS_MODELO!$B$32,2)</f>
        <v>7.27</v>
      </c>
      <c r="F493">
        <v>5</v>
      </c>
      <c r="G493">
        <f>MAX(0,PARAMS_MODELO!$B$33-VALUE(TRIM(F493))*3)</f>
        <v>15</v>
      </c>
      <c r="H493">
        <v>4</v>
      </c>
      <c r="I493">
        <f>ROUND(MIN(4,MAX(0,H493))/4*PARAMS_MODELO!$B$34,2)</f>
        <v>20</v>
      </c>
      <c r="J493">
        <v>1</v>
      </c>
      <c r="K493">
        <f>IF(J493=0,0,PARAMS_MODELO!$B$35)</f>
        <v>10</v>
      </c>
      <c r="L493">
        <f t="shared" si="22"/>
        <v>52.269999999999996</v>
      </c>
      <c r="M493" t="str">
        <f t="shared" si="23"/>
        <v>Regular</v>
      </c>
      <c r="N493">
        <f>IF(M493=PARAMS_MODELO!$A$36,PARAMS_MODELO!$B$36,IF(M493=PARAMS_MODELO!$A$37,PARAMS_MODELO!$B$37,IF(M493=PARAMS_MODELO!$A$38,PARAMS_MODELO!$B$38,IF(M493=PARAMS_MODELO!$A$39,PARAMS_MODELO!$B$39,IF(M493=PARAMS_MODELO!$A$40,PARAMS_MODELO!$B$40)))))</f>
        <v>1</v>
      </c>
    </row>
    <row r="494" spans="1:14" x14ac:dyDescent="0.3">
      <c r="A494">
        <v>51016475</v>
      </c>
      <c r="B494">
        <v>63</v>
      </c>
      <c r="C494">
        <v>21</v>
      </c>
      <c r="D494">
        <f t="shared" si="21"/>
        <v>3</v>
      </c>
      <c r="E494">
        <f>ROUND(MIN(5,MAX(0,D494))/5*PARAMS_MODELO!$B$32,2)</f>
        <v>24</v>
      </c>
      <c r="F494">
        <v>4</v>
      </c>
      <c r="G494">
        <f>MAX(0,PARAMS_MODELO!$B$33-VALUE(TRIM(F494))*3)</f>
        <v>18</v>
      </c>
      <c r="H494">
        <v>4</v>
      </c>
      <c r="I494">
        <f>ROUND(MIN(4,MAX(0,H494))/4*PARAMS_MODELO!$B$34,2)</f>
        <v>20</v>
      </c>
      <c r="J494">
        <v>0</v>
      </c>
      <c r="K494">
        <f>IF(J494=0,0,PARAMS_MODELO!$B$35)</f>
        <v>0</v>
      </c>
      <c r="L494">
        <f t="shared" si="22"/>
        <v>62</v>
      </c>
      <c r="M494" t="str">
        <f t="shared" si="23"/>
        <v>Bueno</v>
      </c>
      <c r="N494">
        <f>IF(M494=PARAMS_MODELO!$A$36,PARAMS_MODELO!$B$36,IF(M494=PARAMS_MODELO!$A$37,PARAMS_MODELO!$B$37,IF(M494=PARAMS_MODELO!$A$38,PARAMS_MODELO!$B$38,IF(M494=PARAMS_MODELO!$A$39,PARAMS_MODELO!$B$39,IF(M494=PARAMS_MODELO!$A$40,PARAMS_MODELO!$B$40)))))</f>
        <v>1.1000000000000001</v>
      </c>
    </row>
    <row r="495" spans="1:14" x14ac:dyDescent="0.3">
      <c r="A495">
        <v>51018893</v>
      </c>
      <c r="B495">
        <v>58</v>
      </c>
      <c r="C495">
        <v>7</v>
      </c>
      <c r="D495">
        <f t="shared" si="21"/>
        <v>5</v>
      </c>
      <c r="E495">
        <f>ROUND(MIN(5,MAX(0,D495))/5*PARAMS_MODELO!$B$32,2)</f>
        <v>40</v>
      </c>
      <c r="F495">
        <v>3</v>
      </c>
      <c r="G495">
        <f>MAX(0,PARAMS_MODELO!$B$33-VALUE(TRIM(F495))*3)</f>
        <v>21</v>
      </c>
      <c r="H495">
        <v>0</v>
      </c>
      <c r="I495">
        <f>ROUND(MIN(4,MAX(0,H495))/4*PARAMS_MODELO!$B$34,2)</f>
        <v>0</v>
      </c>
      <c r="J495">
        <v>0</v>
      </c>
      <c r="K495">
        <f>IF(J495=0,0,PARAMS_MODELO!$B$35)</f>
        <v>0</v>
      </c>
      <c r="L495">
        <f t="shared" si="22"/>
        <v>61</v>
      </c>
      <c r="M495" t="str">
        <f t="shared" si="23"/>
        <v>Bueno</v>
      </c>
      <c r="N495">
        <f>IF(M495=PARAMS_MODELO!$A$36,PARAMS_MODELO!$B$36,IF(M495=PARAMS_MODELO!$A$37,PARAMS_MODELO!$B$37,IF(M495=PARAMS_MODELO!$A$38,PARAMS_MODELO!$B$38,IF(M495=PARAMS_MODELO!$A$39,PARAMS_MODELO!$B$39,IF(M495=PARAMS_MODELO!$A$40,PARAMS_MODELO!$B$40)))))</f>
        <v>1.1000000000000001</v>
      </c>
    </row>
    <row r="496" spans="1:14" x14ac:dyDescent="0.3">
      <c r="A496">
        <v>51039157</v>
      </c>
      <c r="B496">
        <v>37</v>
      </c>
      <c r="C496">
        <v>77</v>
      </c>
      <c r="D496">
        <f t="shared" si="21"/>
        <v>0.48051948051948051</v>
      </c>
      <c r="E496">
        <f>ROUND(MIN(5,MAX(0,D496))/5*PARAMS_MODELO!$B$32,2)</f>
        <v>3.84</v>
      </c>
      <c r="F496">
        <v>5</v>
      </c>
      <c r="G496">
        <f>MAX(0,PARAMS_MODELO!$B$33-VALUE(TRIM(F496))*3)</f>
        <v>15</v>
      </c>
      <c r="H496">
        <v>0</v>
      </c>
      <c r="I496">
        <f>ROUND(MIN(4,MAX(0,H496))/4*PARAMS_MODELO!$B$34,2)</f>
        <v>0</v>
      </c>
      <c r="J496">
        <v>0</v>
      </c>
      <c r="K496">
        <f>IF(J496=0,0,PARAMS_MODELO!$B$35)</f>
        <v>0</v>
      </c>
      <c r="L496">
        <f t="shared" si="22"/>
        <v>18.84</v>
      </c>
      <c r="M496" t="str">
        <f t="shared" si="23"/>
        <v>Malo</v>
      </c>
      <c r="N496">
        <f>IF(M496=PARAMS_MODELO!$A$36,PARAMS_MODELO!$B$36,IF(M496=PARAMS_MODELO!$A$37,PARAMS_MODELO!$B$37,IF(M496=PARAMS_MODELO!$A$38,PARAMS_MODELO!$B$38,IF(M496=PARAMS_MODELO!$A$39,PARAMS_MODELO!$B$39,IF(M496=PARAMS_MODELO!$A$40,PARAMS_MODELO!$B$40)))))</f>
        <v>0.7</v>
      </c>
    </row>
    <row r="497" spans="1:14" x14ac:dyDescent="0.3">
      <c r="A497">
        <v>51054822</v>
      </c>
      <c r="B497">
        <v>73</v>
      </c>
      <c r="C497">
        <v>11</v>
      </c>
      <c r="D497">
        <f t="shared" si="21"/>
        <v>5</v>
      </c>
      <c r="E497">
        <f>ROUND(MIN(5,MAX(0,D497))/5*PARAMS_MODELO!$B$32,2)</f>
        <v>40</v>
      </c>
      <c r="F497">
        <v>3</v>
      </c>
      <c r="G497">
        <f>MAX(0,PARAMS_MODELO!$B$33-VALUE(TRIM(F497))*3)</f>
        <v>21</v>
      </c>
      <c r="H497">
        <v>1</v>
      </c>
      <c r="I497">
        <f>ROUND(MIN(4,MAX(0,H497))/4*PARAMS_MODELO!$B$34,2)</f>
        <v>5</v>
      </c>
      <c r="J497">
        <v>0</v>
      </c>
      <c r="K497">
        <f>IF(J497=0,0,PARAMS_MODELO!$B$35)</f>
        <v>0</v>
      </c>
      <c r="L497">
        <f t="shared" si="22"/>
        <v>66</v>
      </c>
      <c r="M497" t="str">
        <f t="shared" si="23"/>
        <v>Bueno</v>
      </c>
      <c r="N497">
        <f>IF(M497=PARAMS_MODELO!$A$36,PARAMS_MODELO!$B$36,IF(M497=PARAMS_MODELO!$A$37,PARAMS_MODELO!$B$37,IF(M497=PARAMS_MODELO!$A$38,PARAMS_MODELO!$B$38,IF(M497=PARAMS_MODELO!$A$39,PARAMS_MODELO!$B$39,IF(M497=PARAMS_MODELO!$A$40,PARAMS_MODELO!$B$40)))))</f>
        <v>1.1000000000000001</v>
      </c>
    </row>
    <row r="498" spans="1:14" x14ac:dyDescent="0.3">
      <c r="A498">
        <v>51003390</v>
      </c>
      <c r="B498">
        <v>93</v>
      </c>
      <c r="C498">
        <v>7</v>
      </c>
      <c r="D498">
        <f t="shared" si="21"/>
        <v>5</v>
      </c>
      <c r="E498">
        <f>ROUND(MIN(5,MAX(0,D498))/5*PARAMS_MODELO!$B$32,2)</f>
        <v>40</v>
      </c>
      <c r="F498">
        <v>3</v>
      </c>
      <c r="G498">
        <f>MAX(0,PARAMS_MODELO!$B$33-VALUE(TRIM(F498))*3)</f>
        <v>21</v>
      </c>
      <c r="H498">
        <v>2</v>
      </c>
      <c r="I498">
        <f>ROUND(MIN(4,MAX(0,H498))/4*PARAMS_MODELO!$B$34,2)</f>
        <v>10</v>
      </c>
      <c r="J498">
        <v>0</v>
      </c>
      <c r="K498">
        <f>IF(J498=0,0,PARAMS_MODELO!$B$35)</f>
        <v>0</v>
      </c>
      <c r="L498">
        <f t="shared" si="22"/>
        <v>71</v>
      </c>
      <c r="M498" t="str">
        <f t="shared" si="23"/>
        <v>Bueno</v>
      </c>
      <c r="N498">
        <f>IF(M498=PARAMS_MODELO!$A$36,PARAMS_MODELO!$B$36,IF(M498=PARAMS_MODELO!$A$37,PARAMS_MODELO!$B$37,IF(M498=PARAMS_MODELO!$A$38,PARAMS_MODELO!$B$38,IF(M498=PARAMS_MODELO!$A$39,PARAMS_MODELO!$B$39,IF(M498=PARAMS_MODELO!$A$40,PARAMS_MODELO!$B$40)))))</f>
        <v>1.1000000000000001</v>
      </c>
    </row>
    <row r="499" spans="1:14" x14ac:dyDescent="0.3">
      <c r="A499">
        <v>51056477</v>
      </c>
      <c r="B499">
        <v>25</v>
      </c>
      <c r="C499">
        <v>16</v>
      </c>
      <c r="D499">
        <f t="shared" si="21"/>
        <v>1.5625</v>
      </c>
      <c r="E499">
        <f>ROUND(MIN(5,MAX(0,D499))/5*PARAMS_MODELO!$B$32,2)</f>
        <v>12.5</v>
      </c>
      <c r="F499">
        <v>3</v>
      </c>
      <c r="G499">
        <f>MAX(0,PARAMS_MODELO!$B$33-VALUE(TRIM(F499))*3)</f>
        <v>21</v>
      </c>
      <c r="H499">
        <v>3</v>
      </c>
      <c r="I499">
        <f>ROUND(MIN(4,MAX(0,H499))/4*PARAMS_MODELO!$B$34,2)</f>
        <v>15</v>
      </c>
      <c r="J499">
        <v>0</v>
      </c>
      <c r="K499">
        <f>IF(J499=0,0,PARAMS_MODELO!$B$35)</f>
        <v>0</v>
      </c>
      <c r="L499">
        <f t="shared" si="22"/>
        <v>48.5</v>
      </c>
      <c r="M499" t="str">
        <f t="shared" si="23"/>
        <v>Regular</v>
      </c>
      <c r="N499">
        <f>IF(M499=PARAMS_MODELO!$A$36,PARAMS_MODELO!$B$36,IF(M499=PARAMS_MODELO!$A$37,PARAMS_MODELO!$B$37,IF(M499=PARAMS_MODELO!$A$38,PARAMS_MODELO!$B$38,IF(M499=PARAMS_MODELO!$A$39,PARAMS_MODELO!$B$39,IF(M499=PARAMS_MODELO!$A$40,PARAMS_MODELO!$B$40)))))</f>
        <v>1</v>
      </c>
    </row>
    <row r="500" spans="1:14" x14ac:dyDescent="0.3">
      <c r="A500">
        <v>51026527</v>
      </c>
      <c r="B500">
        <v>100</v>
      </c>
      <c r="C500">
        <v>73</v>
      </c>
      <c r="D500">
        <f t="shared" si="21"/>
        <v>1.3698630136986301</v>
      </c>
      <c r="E500">
        <f>ROUND(MIN(5,MAX(0,D500))/5*PARAMS_MODELO!$B$32,2)</f>
        <v>10.96</v>
      </c>
      <c r="F500">
        <v>3</v>
      </c>
      <c r="G500">
        <f>MAX(0,PARAMS_MODELO!$B$33-VALUE(TRIM(F500))*3)</f>
        <v>21</v>
      </c>
      <c r="H500">
        <v>0</v>
      </c>
      <c r="I500">
        <f>ROUND(MIN(4,MAX(0,H500))/4*PARAMS_MODELO!$B$34,2)</f>
        <v>0</v>
      </c>
      <c r="J500">
        <v>1</v>
      </c>
      <c r="K500">
        <f>IF(J500=0,0,PARAMS_MODELO!$B$35)</f>
        <v>10</v>
      </c>
      <c r="L500">
        <f t="shared" si="22"/>
        <v>41.96</v>
      </c>
      <c r="M500" t="str">
        <f t="shared" si="23"/>
        <v>Regular</v>
      </c>
      <c r="N500">
        <f>IF(M500=PARAMS_MODELO!$A$36,PARAMS_MODELO!$B$36,IF(M500=PARAMS_MODELO!$A$37,PARAMS_MODELO!$B$37,IF(M500=PARAMS_MODELO!$A$38,PARAMS_MODELO!$B$38,IF(M500=PARAMS_MODELO!$A$39,PARAMS_MODELO!$B$39,IF(M500=PARAMS_MODELO!$A$40,PARAMS_MODELO!$B$40)))))</f>
        <v>1</v>
      </c>
    </row>
    <row r="501" spans="1:14" x14ac:dyDescent="0.3">
      <c r="A501">
        <v>51030982</v>
      </c>
      <c r="B501">
        <v>23</v>
      </c>
      <c r="C501">
        <v>67</v>
      </c>
      <c r="D501">
        <f t="shared" si="21"/>
        <v>0.34328358208955223</v>
      </c>
      <c r="E501">
        <f>ROUND(MIN(5,MAX(0,D501))/5*PARAMS_MODELO!$B$32,2)</f>
        <v>2.75</v>
      </c>
      <c r="F501">
        <v>3</v>
      </c>
      <c r="G501">
        <f>MAX(0,PARAMS_MODELO!$B$33-VALUE(TRIM(F501))*3)</f>
        <v>21</v>
      </c>
      <c r="H501">
        <v>3</v>
      </c>
      <c r="I501">
        <f>ROUND(MIN(4,MAX(0,H501))/4*PARAMS_MODELO!$B$34,2)</f>
        <v>15</v>
      </c>
      <c r="J501">
        <v>1</v>
      </c>
      <c r="K501">
        <f>IF(J501=0,0,PARAMS_MODELO!$B$35)</f>
        <v>10</v>
      </c>
      <c r="L501">
        <f t="shared" si="22"/>
        <v>48.75</v>
      </c>
      <c r="M501" t="str">
        <f t="shared" si="23"/>
        <v>Regular</v>
      </c>
      <c r="N501">
        <f>IF(M501=PARAMS_MODELO!$A$36,PARAMS_MODELO!$B$36,IF(M501=PARAMS_MODELO!$A$37,PARAMS_MODELO!$B$37,IF(M501=PARAMS_MODELO!$A$38,PARAMS_MODELO!$B$38,IF(M501=PARAMS_MODELO!$A$39,PARAMS_MODELO!$B$39,IF(M501=PARAMS_MODELO!$A$40,PARAMS_MODELO!$B$40)))))</f>
        <v>1</v>
      </c>
    </row>
    <row r="502" spans="1:14" x14ac:dyDescent="0.3">
      <c r="A502">
        <v>51023196</v>
      </c>
      <c r="B502">
        <v>0</v>
      </c>
      <c r="C502">
        <v>45</v>
      </c>
      <c r="D502">
        <f t="shared" si="21"/>
        <v>0</v>
      </c>
      <c r="E502">
        <f>ROUND(MIN(5,MAX(0,D502))/5*PARAMS_MODELO!$B$32,2)</f>
        <v>0</v>
      </c>
      <c r="F502">
        <v>2</v>
      </c>
      <c r="G502">
        <f>MAX(0,PARAMS_MODELO!$B$33-VALUE(TRIM(F502))*3)</f>
        <v>24</v>
      </c>
      <c r="H502">
        <v>0</v>
      </c>
      <c r="I502">
        <f>ROUND(MIN(4,MAX(0,H502))/4*PARAMS_MODELO!$B$34,2)</f>
        <v>0</v>
      </c>
      <c r="J502">
        <v>0</v>
      </c>
      <c r="K502">
        <f>IF(J502=0,0,PARAMS_MODELO!$B$35)</f>
        <v>0</v>
      </c>
      <c r="L502">
        <f t="shared" si="22"/>
        <v>24</v>
      </c>
      <c r="M502" t="str">
        <f t="shared" si="23"/>
        <v>Malo</v>
      </c>
      <c r="N502">
        <f>IF(M502=PARAMS_MODELO!$A$36,PARAMS_MODELO!$B$36,IF(M502=PARAMS_MODELO!$A$37,PARAMS_MODELO!$B$37,IF(M502=PARAMS_MODELO!$A$38,PARAMS_MODELO!$B$38,IF(M502=PARAMS_MODELO!$A$39,PARAMS_MODELO!$B$39,IF(M502=PARAMS_MODELO!$A$40,PARAMS_MODELO!$B$40)))))</f>
        <v>0.7</v>
      </c>
    </row>
    <row r="503" spans="1:14" x14ac:dyDescent="0.3">
      <c r="A503">
        <v>51014596</v>
      </c>
      <c r="B503">
        <v>65</v>
      </c>
      <c r="C503">
        <v>24</v>
      </c>
      <c r="D503">
        <f t="shared" si="21"/>
        <v>2.7083333333333335</v>
      </c>
      <c r="E503">
        <f>ROUND(MIN(5,MAX(0,D503))/5*PARAMS_MODELO!$B$32,2)</f>
        <v>21.67</v>
      </c>
      <c r="F503">
        <v>5</v>
      </c>
      <c r="G503">
        <f>MAX(0,PARAMS_MODELO!$B$33-VALUE(TRIM(F503))*3)</f>
        <v>15</v>
      </c>
      <c r="H503">
        <v>4</v>
      </c>
      <c r="I503">
        <f>ROUND(MIN(4,MAX(0,H503))/4*PARAMS_MODELO!$B$34,2)</f>
        <v>20</v>
      </c>
      <c r="J503">
        <v>1</v>
      </c>
      <c r="K503">
        <f>IF(J503=0,0,PARAMS_MODELO!$B$35)</f>
        <v>10</v>
      </c>
      <c r="L503">
        <f t="shared" si="22"/>
        <v>66.67</v>
      </c>
      <c r="M503" t="str">
        <f t="shared" si="23"/>
        <v>Bueno</v>
      </c>
      <c r="N503">
        <f>IF(M503=PARAMS_MODELO!$A$36,PARAMS_MODELO!$B$36,IF(M503=PARAMS_MODELO!$A$37,PARAMS_MODELO!$B$37,IF(M503=PARAMS_MODELO!$A$38,PARAMS_MODELO!$B$38,IF(M503=PARAMS_MODELO!$A$39,PARAMS_MODELO!$B$39,IF(M503=PARAMS_MODELO!$A$40,PARAMS_MODELO!$B$40)))))</f>
        <v>1.1000000000000001</v>
      </c>
    </row>
    <row r="504" spans="1:14" x14ac:dyDescent="0.3">
      <c r="A504">
        <v>51030125</v>
      </c>
      <c r="B504">
        <v>72</v>
      </c>
      <c r="C504">
        <v>43</v>
      </c>
      <c r="D504">
        <f t="shared" si="21"/>
        <v>1.6744186046511629</v>
      </c>
      <c r="E504">
        <f>ROUND(MIN(5,MAX(0,D504))/5*PARAMS_MODELO!$B$32,2)</f>
        <v>13.4</v>
      </c>
      <c r="F504">
        <v>2</v>
      </c>
      <c r="G504">
        <f>MAX(0,PARAMS_MODELO!$B$33-VALUE(TRIM(F504))*3)</f>
        <v>24</v>
      </c>
      <c r="H504">
        <v>2</v>
      </c>
      <c r="I504">
        <f>ROUND(MIN(4,MAX(0,H504))/4*PARAMS_MODELO!$B$34,2)</f>
        <v>10</v>
      </c>
      <c r="J504">
        <v>1</v>
      </c>
      <c r="K504">
        <f>IF(J504=0,0,PARAMS_MODELO!$B$35)</f>
        <v>10</v>
      </c>
      <c r="L504">
        <f t="shared" si="22"/>
        <v>57.4</v>
      </c>
      <c r="M504" t="str">
        <f t="shared" si="23"/>
        <v>Regular</v>
      </c>
      <c r="N504">
        <f>IF(M504=PARAMS_MODELO!$A$36,PARAMS_MODELO!$B$36,IF(M504=PARAMS_MODELO!$A$37,PARAMS_MODELO!$B$37,IF(M504=PARAMS_MODELO!$A$38,PARAMS_MODELO!$B$38,IF(M504=PARAMS_MODELO!$A$39,PARAMS_MODELO!$B$39,IF(M504=PARAMS_MODELO!$A$40,PARAMS_MODELO!$B$40)))))</f>
        <v>1</v>
      </c>
    </row>
    <row r="505" spans="1:14" x14ac:dyDescent="0.3">
      <c r="A505">
        <v>51021550</v>
      </c>
      <c r="B505">
        <v>51</v>
      </c>
      <c r="C505">
        <v>78</v>
      </c>
      <c r="D505">
        <f t="shared" si="21"/>
        <v>0.65384615384615385</v>
      </c>
      <c r="E505">
        <f>ROUND(MIN(5,MAX(0,D505))/5*PARAMS_MODELO!$B$32,2)</f>
        <v>5.23</v>
      </c>
      <c r="F505">
        <v>1</v>
      </c>
      <c r="G505">
        <f>MAX(0,PARAMS_MODELO!$B$33-VALUE(TRIM(F505))*3)</f>
        <v>27</v>
      </c>
      <c r="H505">
        <v>0</v>
      </c>
      <c r="I505">
        <f>ROUND(MIN(4,MAX(0,H505))/4*PARAMS_MODELO!$B$34,2)</f>
        <v>0</v>
      </c>
      <c r="J505">
        <v>1</v>
      </c>
      <c r="K505">
        <f>IF(J505=0,0,PARAMS_MODELO!$B$35)</f>
        <v>10</v>
      </c>
      <c r="L505">
        <f t="shared" si="22"/>
        <v>42.230000000000004</v>
      </c>
      <c r="M505" t="str">
        <f t="shared" si="23"/>
        <v>Regular</v>
      </c>
      <c r="N505">
        <f>IF(M505=PARAMS_MODELO!$A$36,PARAMS_MODELO!$B$36,IF(M505=PARAMS_MODELO!$A$37,PARAMS_MODELO!$B$37,IF(M505=PARAMS_MODELO!$A$38,PARAMS_MODELO!$B$38,IF(M505=PARAMS_MODELO!$A$39,PARAMS_MODELO!$B$39,IF(M505=PARAMS_MODELO!$A$40,PARAMS_MODELO!$B$40)))))</f>
        <v>1</v>
      </c>
    </row>
    <row r="506" spans="1:14" x14ac:dyDescent="0.3">
      <c r="A506">
        <v>51031407</v>
      </c>
      <c r="B506">
        <v>40</v>
      </c>
      <c r="C506">
        <v>58</v>
      </c>
      <c r="D506">
        <f t="shared" si="21"/>
        <v>0.68965517241379315</v>
      </c>
      <c r="E506">
        <f>ROUND(MIN(5,MAX(0,D506))/5*PARAMS_MODELO!$B$32,2)</f>
        <v>5.52</v>
      </c>
      <c r="F506">
        <v>3</v>
      </c>
      <c r="G506">
        <f>MAX(0,PARAMS_MODELO!$B$33-VALUE(TRIM(F506))*3)</f>
        <v>21</v>
      </c>
      <c r="H506">
        <v>4</v>
      </c>
      <c r="I506">
        <f>ROUND(MIN(4,MAX(0,H506))/4*PARAMS_MODELO!$B$34,2)</f>
        <v>20</v>
      </c>
      <c r="J506">
        <v>1</v>
      </c>
      <c r="K506">
        <f>IF(J506=0,0,PARAMS_MODELO!$B$35)</f>
        <v>10</v>
      </c>
      <c r="L506">
        <f t="shared" si="22"/>
        <v>56.519999999999996</v>
      </c>
      <c r="M506" t="str">
        <f t="shared" si="23"/>
        <v>Regular</v>
      </c>
      <c r="N506">
        <f>IF(M506=PARAMS_MODELO!$A$36,PARAMS_MODELO!$B$36,IF(M506=PARAMS_MODELO!$A$37,PARAMS_MODELO!$B$37,IF(M506=PARAMS_MODELO!$A$38,PARAMS_MODELO!$B$38,IF(M506=PARAMS_MODELO!$A$39,PARAMS_MODELO!$B$39,IF(M506=PARAMS_MODELO!$A$40,PARAMS_MODELO!$B$40)))))</f>
        <v>1</v>
      </c>
    </row>
    <row r="507" spans="1:14" x14ac:dyDescent="0.3">
      <c r="A507">
        <v>51038754</v>
      </c>
      <c r="B507">
        <v>30</v>
      </c>
      <c r="C507">
        <v>7</v>
      </c>
      <c r="D507">
        <f t="shared" si="21"/>
        <v>4.2857142857142856</v>
      </c>
      <c r="E507">
        <f>ROUND(MIN(5,MAX(0,D507))/5*PARAMS_MODELO!$B$32,2)</f>
        <v>34.29</v>
      </c>
      <c r="F507">
        <v>1</v>
      </c>
      <c r="G507">
        <f>MAX(0,PARAMS_MODELO!$B$33-VALUE(TRIM(F507))*3)</f>
        <v>27</v>
      </c>
      <c r="H507">
        <v>0</v>
      </c>
      <c r="I507">
        <f>ROUND(MIN(4,MAX(0,H507))/4*PARAMS_MODELO!$B$34,2)</f>
        <v>0</v>
      </c>
      <c r="J507">
        <v>0</v>
      </c>
      <c r="K507">
        <f>IF(J507=0,0,PARAMS_MODELO!$B$35)</f>
        <v>0</v>
      </c>
      <c r="L507">
        <f t="shared" si="22"/>
        <v>61.29</v>
      </c>
      <c r="M507" t="str">
        <f t="shared" si="23"/>
        <v>Bueno</v>
      </c>
      <c r="N507">
        <f>IF(M507=PARAMS_MODELO!$A$36,PARAMS_MODELO!$B$36,IF(M507=PARAMS_MODELO!$A$37,PARAMS_MODELO!$B$37,IF(M507=PARAMS_MODELO!$A$38,PARAMS_MODELO!$B$38,IF(M507=PARAMS_MODELO!$A$39,PARAMS_MODELO!$B$39,IF(M507=PARAMS_MODELO!$A$40,PARAMS_MODELO!$B$40)))))</f>
        <v>1.1000000000000001</v>
      </c>
    </row>
    <row r="508" spans="1:14" x14ac:dyDescent="0.3">
      <c r="A508">
        <v>51004761</v>
      </c>
      <c r="B508">
        <v>50</v>
      </c>
      <c r="C508">
        <v>81</v>
      </c>
      <c r="D508">
        <f t="shared" si="21"/>
        <v>0.61728395061728392</v>
      </c>
      <c r="E508">
        <f>ROUND(MIN(5,MAX(0,D508))/5*PARAMS_MODELO!$B$32,2)</f>
        <v>4.9400000000000004</v>
      </c>
      <c r="F508">
        <v>3</v>
      </c>
      <c r="G508">
        <f>MAX(0,PARAMS_MODELO!$B$33-VALUE(TRIM(F508))*3)</f>
        <v>21</v>
      </c>
      <c r="H508">
        <v>4</v>
      </c>
      <c r="I508">
        <f>ROUND(MIN(4,MAX(0,H508))/4*PARAMS_MODELO!$B$34,2)</f>
        <v>20</v>
      </c>
      <c r="J508">
        <v>1</v>
      </c>
      <c r="K508">
        <f>IF(J508=0,0,PARAMS_MODELO!$B$35)</f>
        <v>10</v>
      </c>
      <c r="L508">
        <f t="shared" si="22"/>
        <v>55.94</v>
      </c>
      <c r="M508" t="str">
        <f t="shared" si="23"/>
        <v>Regular</v>
      </c>
      <c r="N508">
        <f>IF(M508=PARAMS_MODELO!$A$36,PARAMS_MODELO!$B$36,IF(M508=PARAMS_MODELO!$A$37,PARAMS_MODELO!$B$37,IF(M508=PARAMS_MODELO!$A$38,PARAMS_MODELO!$B$38,IF(M508=PARAMS_MODELO!$A$39,PARAMS_MODELO!$B$39,IF(M508=PARAMS_MODELO!$A$40,PARAMS_MODELO!$B$40)))))</f>
        <v>1</v>
      </c>
    </row>
    <row r="509" spans="1:14" x14ac:dyDescent="0.3">
      <c r="A509">
        <v>51023358</v>
      </c>
      <c r="B509">
        <v>18</v>
      </c>
      <c r="C509">
        <v>72</v>
      </c>
      <c r="D509">
        <f t="shared" si="21"/>
        <v>0.25</v>
      </c>
      <c r="E509">
        <f>ROUND(MIN(5,MAX(0,D509))/5*PARAMS_MODELO!$B$32,2)</f>
        <v>2</v>
      </c>
      <c r="F509">
        <v>2</v>
      </c>
      <c r="G509">
        <f>MAX(0,PARAMS_MODELO!$B$33-VALUE(TRIM(F509))*3)</f>
        <v>24</v>
      </c>
      <c r="H509">
        <v>3</v>
      </c>
      <c r="I509">
        <f>ROUND(MIN(4,MAX(0,H509))/4*PARAMS_MODELO!$B$34,2)</f>
        <v>15</v>
      </c>
      <c r="J509">
        <v>1</v>
      </c>
      <c r="K509">
        <f>IF(J509=0,0,PARAMS_MODELO!$B$35)</f>
        <v>10</v>
      </c>
      <c r="L509">
        <f t="shared" si="22"/>
        <v>51</v>
      </c>
      <c r="M509" t="str">
        <f t="shared" si="23"/>
        <v>Regular</v>
      </c>
      <c r="N509">
        <f>IF(M509=PARAMS_MODELO!$A$36,PARAMS_MODELO!$B$36,IF(M509=PARAMS_MODELO!$A$37,PARAMS_MODELO!$B$37,IF(M509=PARAMS_MODELO!$A$38,PARAMS_MODELO!$B$38,IF(M509=PARAMS_MODELO!$A$39,PARAMS_MODELO!$B$39,IF(M509=PARAMS_MODELO!$A$40,PARAMS_MODELO!$B$40)))))</f>
        <v>1</v>
      </c>
    </row>
    <row r="510" spans="1:14" x14ac:dyDescent="0.3">
      <c r="A510">
        <v>51022670</v>
      </c>
      <c r="B510">
        <v>66</v>
      </c>
      <c r="C510">
        <v>66</v>
      </c>
      <c r="D510">
        <f t="shared" si="21"/>
        <v>1</v>
      </c>
      <c r="E510">
        <f>ROUND(MIN(5,MAX(0,D510))/5*PARAMS_MODELO!$B$32,2)</f>
        <v>8</v>
      </c>
      <c r="F510">
        <v>1</v>
      </c>
      <c r="G510">
        <f>MAX(0,PARAMS_MODELO!$B$33-VALUE(TRIM(F510))*3)</f>
        <v>27</v>
      </c>
      <c r="H510">
        <v>4</v>
      </c>
      <c r="I510">
        <f>ROUND(MIN(4,MAX(0,H510))/4*PARAMS_MODELO!$B$34,2)</f>
        <v>20</v>
      </c>
      <c r="J510">
        <v>1</v>
      </c>
      <c r="K510">
        <f>IF(J510=0,0,PARAMS_MODELO!$B$35)</f>
        <v>10</v>
      </c>
      <c r="L510">
        <f t="shared" si="22"/>
        <v>65</v>
      </c>
      <c r="M510" t="str">
        <f t="shared" si="23"/>
        <v>Bueno</v>
      </c>
      <c r="N510">
        <f>IF(M510=PARAMS_MODELO!$A$36,PARAMS_MODELO!$B$36,IF(M510=PARAMS_MODELO!$A$37,PARAMS_MODELO!$B$37,IF(M510=PARAMS_MODELO!$A$38,PARAMS_MODELO!$B$38,IF(M510=PARAMS_MODELO!$A$39,PARAMS_MODELO!$B$39,IF(M510=PARAMS_MODELO!$A$40,PARAMS_MODELO!$B$40)))))</f>
        <v>1.1000000000000001</v>
      </c>
    </row>
    <row r="511" spans="1:14" x14ac:dyDescent="0.3">
      <c r="A511">
        <v>51029976</v>
      </c>
      <c r="B511">
        <v>92</v>
      </c>
      <c r="C511">
        <v>52</v>
      </c>
      <c r="D511">
        <f t="shared" si="21"/>
        <v>1.7692307692307692</v>
      </c>
      <c r="E511">
        <f>ROUND(MIN(5,MAX(0,D511))/5*PARAMS_MODELO!$B$32,2)</f>
        <v>14.15</v>
      </c>
      <c r="F511">
        <v>5</v>
      </c>
      <c r="G511">
        <f>MAX(0,PARAMS_MODELO!$B$33-VALUE(TRIM(F511))*3)</f>
        <v>15</v>
      </c>
      <c r="H511">
        <v>3</v>
      </c>
      <c r="I511">
        <f>ROUND(MIN(4,MAX(0,H511))/4*PARAMS_MODELO!$B$34,2)</f>
        <v>15</v>
      </c>
      <c r="J511">
        <v>0</v>
      </c>
      <c r="K511">
        <f>IF(J511=0,0,PARAMS_MODELO!$B$35)</f>
        <v>0</v>
      </c>
      <c r="L511">
        <f t="shared" si="22"/>
        <v>44.15</v>
      </c>
      <c r="M511" t="str">
        <f t="shared" si="23"/>
        <v>Regular</v>
      </c>
      <c r="N511">
        <f>IF(M511=PARAMS_MODELO!$A$36,PARAMS_MODELO!$B$36,IF(M511=PARAMS_MODELO!$A$37,PARAMS_MODELO!$B$37,IF(M511=PARAMS_MODELO!$A$38,PARAMS_MODELO!$B$38,IF(M511=PARAMS_MODELO!$A$39,PARAMS_MODELO!$B$39,IF(M511=PARAMS_MODELO!$A$40,PARAMS_MODELO!$B$40)))))</f>
        <v>1</v>
      </c>
    </row>
    <row r="512" spans="1:14" x14ac:dyDescent="0.3">
      <c r="A512">
        <v>51032195</v>
      </c>
      <c r="B512">
        <v>11</v>
      </c>
      <c r="C512">
        <v>85</v>
      </c>
      <c r="D512">
        <f t="shared" si="21"/>
        <v>0.12941176470588237</v>
      </c>
      <c r="E512">
        <f>ROUND(MIN(5,MAX(0,D512))/5*PARAMS_MODELO!$B$32,2)</f>
        <v>1.04</v>
      </c>
      <c r="F512">
        <v>2</v>
      </c>
      <c r="G512">
        <f>MAX(0,PARAMS_MODELO!$B$33-VALUE(TRIM(F512))*3)</f>
        <v>24</v>
      </c>
      <c r="H512">
        <v>1</v>
      </c>
      <c r="I512">
        <f>ROUND(MIN(4,MAX(0,H512))/4*PARAMS_MODELO!$B$34,2)</f>
        <v>5</v>
      </c>
      <c r="J512">
        <v>1</v>
      </c>
      <c r="K512">
        <f>IF(J512=0,0,PARAMS_MODELO!$B$35)</f>
        <v>10</v>
      </c>
      <c r="L512">
        <f t="shared" si="22"/>
        <v>40.04</v>
      </c>
      <c r="M512" t="str">
        <f t="shared" si="23"/>
        <v>Regular</v>
      </c>
      <c r="N512">
        <f>IF(M512=PARAMS_MODELO!$A$36,PARAMS_MODELO!$B$36,IF(M512=PARAMS_MODELO!$A$37,PARAMS_MODELO!$B$37,IF(M512=PARAMS_MODELO!$A$38,PARAMS_MODELO!$B$38,IF(M512=PARAMS_MODELO!$A$39,PARAMS_MODELO!$B$39,IF(M512=PARAMS_MODELO!$A$40,PARAMS_MODELO!$B$40)))))</f>
        <v>1</v>
      </c>
    </row>
    <row r="513" spans="1:14" x14ac:dyDescent="0.3">
      <c r="A513">
        <v>51042875</v>
      </c>
      <c r="B513">
        <v>41</v>
      </c>
      <c r="C513">
        <v>43</v>
      </c>
      <c r="D513">
        <f t="shared" si="21"/>
        <v>0.95348837209302328</v>
      </c>
      <c r="E513">
        <f>ROUND(MIN(5,MAX(0,D513))/5*PARAMS_MODELO!$B$32,2)</f>
        <v>7.63</v>
      </c>
      <c r="F513">
        <v>1</v>
      </c>
      <c r="G513">
        <f>MAX(0,PARAMS_MODELO!$B$33-VALUE(TRIM(F513))*3)</f>
        <v>27</v>
      </c>
      <c r="H513">
        <v>0</v>
      </c>
      <c r="I513">
        <f>ROUND(MIN(4,MAX(0,H513))/4*PARAMS_MODELO!$B$34,2)</f>
        <v>0</v>
      </c>
      <c r="J513">
        <v>0</v>
      </c>
      <c r="K513">
        <f>IF(J513=0,0,PARAMS_MODELO!$B$35)</f>
        <v>0</v>
      </c>
      <c r="L513">
        <f t="shared" si="22"/>
        <v>34.630000000000003</v>
      </c>
      <c r="M513" t="str">
        <f t="shared" si="23"/>
        <v>Malo</v>
      </c>
      <c r="N513">
        <f>IF(M513=PARAMS_MODELO!$A$36,PARAMS_MODELO!$B$36,IF(M513=PARAMS_MODELO!$A$37,PARAMS_MODELO!$B$37,IF(M513=PARAMS_MODELO!$A$38,PARAMS_MODELO!$B$38,IF(M513=PARAMS_MODELO!$A$39,PARAMS_MODELO!$B$39,IF(M513=PARAMS_MODELO!$A$40,PARAMS_MODELO!$B$40)))))</f>
        <v>0.7</v>
      </c>
    </row>
    <row r="514" spans="1:14" x14ac:dyDescent="0.3">
      <c r="A514">
        <v>51010728</v>
      </c>
      <c r="B514">
        <v>39</v>
      </c>
      <c r="C514">
        <v>49</v>
      </c>
      <c r="D514">
        <f t="shared" ref="D514:D577" si="24">IF(C514=0,0,MIN(5,B514/C514))</f>
        <v>0.79591836734693877</v>
      </c>
      <c r="E514">
        <f>ROUND(MIN(5,MAX(0,D514))/5*PARAMS_MODELO!$B$32,2)</f>
        <v>6.37</v>
      </c>
      <c r="F514">
        <v>5</v>
      </c>
      <c r="G514">
        <f>MAX(0,PARAMS_MODELO!$B$33-VALUE(TRIM(F514))*3)</f>
        <v>15</v>
      </c>
      <c r="H514">
        <v>1</v>
      </c>
      <c r="I514">
        <f>ROUND(MIN(4,MAX(0,H514))/4*PARAMS_MODELO!$B$34,2)</f>
        <v>5</v>
      </c>
      <c r="J514">
        <v>1</v>
      </c>
      <c r="K514">
        <f>IF(J514=0,0,PARAMS_MODELO!$B$35)</f>
        <v>10</v>
      </c>
      <c r="L514">
        <f t="shared" ref="L514:L577" si="25">MIN(100,MAX(0,E514+G514+I514+K514))</f>
        <v>36.370000000000005</v>
      </c>
      <c r="M514" t="str">
        <f t="shared" ref="M514:M577" si="26">IF(L514="","",IF(L514&gt;=90,"Excelente",IF(L514&gt;=75,"Muy Bueno",IF(L514&gt;=60,"Bueno",IF(L514&gt;=40,"Regular","Malo")))))</f>
        <v>Malo</v>
      </c>
      <c r="N514">
        <f>IF(M514=PARAMS_MODELO!$A$36,PARAMS_MODELO!$B$36,IF(M514=PARAMS_MODELO!$A$37,PARAMS_MODELO!$B$37,IF(M514=PARAMS_MODELO!$A$38,PARAMS_MODELO!$B$38,IF(M514=PARAMS_MODELO!$A$39,PARAMS_MODELO!$B$39,IF(M514=PARAMS_MODELO!$A$40,PARAMS_MODELO!$B$40)))))</f>
        <v>0.7</v>
      </c>
    </row>
    <row r="515" spans="1:14" x14ac:dyDescent="0.3">
      <c r="A515">
        <v>51056655</v>
      </c>
      <c r="B515">
        <v>76</v>
      </c>
      <c r="C515">
        <v>36</v>
      </c>
      <c r="D515">
        <f t="shared" si="24"/>
        <v>2.1111111111111112</v>
      </c>
      <c r="E515">
        <f>ROUND(MIN(5,MAX(0,D515))/5*PARAMS_MODELO!$B$32,2)</f>
        <v>16.89</v>
      </c>
      <c r="F515">
        <v>1</v>
      </c>
      <c r="G515">
        <f>MAX(0,PARAMS_MODELO!$B$33-VALUE(TRIM(F515))*3)</f>
        <v>27</v>
      </c>
      <c r="H515">
        <v>2</v>
      </c>
      <c r="I515">
        <f>ROUND(MIN(4,MAX(0,H515))/4*PARAMS_MODELO!$B$34,2)</f>
        <v>10</v>
      </c>
      <c r="J515">
        <v>1</v>
      </c>
      <c r="K515">
        <f>IF(J515=0,0,PARAMS_MODELO!$B$35)</f>
        <v>10</v>
      </c>
      <c r="L515">
        <f t="shared" si="25"/>
        <v>63.89</v>
      </c>
      <c r="M515" t="str">
        <f t="shared" si="26"/>
        <v>Bueno</v>
      </c>
      <c r="N515">
        <f>IF(M515=PARAMS_MODELO!$A$36,PARAMS_MODELO!$B$36,IF(M515=PARAMS_MODELO!$A$37,PARAMS_MODELO!$B$37,IF(M515=PARAMS_MODELO!$A$38,PARAMS_MODELO!$B$38,IF(M515=PARAMS_MODELO!$A$39,PARAMS_MODELO!$B$39,IF(M515=PARAMS_MODELO!$A$40,PARAMS_MODELO!$B$40)))))</f>
        <v>1.1000000000000001</v>
      </c>
    </row>
    <row r="516" spans="1:14" x14ac:dyDescent="0.3">
      <c r="A516">
        <v>51056817</v>
      </c>
      <c r="B516">
        <v>57</v>
      </c>
      <c r="C516">
        <v>37</v>
      </c>
      <c r="D516">
        <f t="shared" si="24"/>
        <v>1.5405405405405406</v>
      </c>
      <c r="E516">
        <f>ROUND(MIN(5,MAX(0,D516))/5*PARAMS_MODELO!$B$32,2)</f>
        <v>12.32</v>
      </c>
      <c r="F516">
        <v>4</v>
      </c>
      <c r="G516">
        <f>MAX(0,PARAMS_MODELO!$B$33-VALUE(TRIM(F516))*3)</f>
        <v>18</v>
      </c>
      <c r="H516">
        <v>2</v>
      </c>
      <c r="I516">
        <f>ROUND(MIN(4,MAX(0,H516))/4*PARAMS_MODELO!$B$34,2)</f>
        <v>10</v>
      </c>
      <c r="J516">
        <v>0</v>
      </c>
      <c r="K516">
        <f>IF(J516=0,0,PARAMS_MODELO!$B$35)</f>
        <v>0</v>
      </c>
      <c r="L516">
        <f t="shared" si="25"/>
        <v>40.32</v>
      </c>
      <c r="M516" t="str">
        <f t="shared" si="26"/>
        <v>Regular</v>
      </c>
      <c r="N516">
        <f>IF(M516=PARAMS_MODELO!$A$36,PARAMS_MODELO!$B$36,IF(M516=PARAMS_MODELO!$A$37,PARAMS_MODELO!$B$37,IF(M516=PARAMS_MODELO!$A$38,PARAMS_MODELO!$B$38,IF(M516=PARAMS_MODELO!$A$39,PARAMS_MODELO!$B$39,IF(M516=PARAMS_MODELO!$A$40,PARAMS_MODELO!$B$40)))))</f>
        <v>1</v>
      </c>
    </row>
    <row r="517" spans="1:14" x14ac:dyDescent="0.3">
      <c r="A517">
        <v>51018826</v>
      </c>
      <c r="B517">
        <v>57</v>
      </c>
      <c r="C517">
        <v>53</v>
      </c>
      <c r="D517">
        <f t="shared" si="24"/>
        <v>1.0754716981132075</v>
      </c>
      <c r="E517">
        <f>ROUND(MIN(5,MAX(0,D517))/5*PARAMS_MODELO!$B$32,2)</f>
        <v>8.6</v>
      </c>
      <c r="F517">
        <v>1</v>
      </c>
      <c r="G517">
        <f>MAX(0,PARAMS_MODELO!$B$33-VALUE(TRIM(F517))*3)</f>
        <v>27</v>
      </c>
      <c r="H517">
        <v>3</v>
      </c>
      <c r="I517">
        <f>ROUND(MIN(4,MAX(0,H517))/4*PARAMS_MODELO!$B$34,2)</f>
        <v>15</v>
      </c>
      <c r="J517">
        <v>1</v>
      </c>
      <c r="K517">
        <f>IF(J517=0,0,PARAMS_MODELO!$B$35)</f>
        <v>10</v>
      </c>
      <c r="L517">
        <f t="shared" si="25"/>
        <v>60.6</v>
      </c>
      <c r="M517" t="str">
        <f t="shared" si="26"/>
        <v>Bueno</v>
      </c>
      <c r="N517">
        <f>IF(M517=PARAMS_MODELO!$A$36,PARAMS_MODELO!$B$36,IF(M517=PARAMS_MODELO!$A$37,PARAMS_MODELO!$B$37,IF(M517=PARAMS_MODELO!$A$38,PARAMS_MODELO!$B$38,IF(M517=PARAMS_MODELO!$A$39,PARAMS_MODELO!$B$39,IF(M517=PARAMS_MODELO!$A$40,PARAMS_MODELO!$B$40)))))</f>
        <v>1.1000000000000001</v>
      </c>
    </row>
    <row r="518" spans="1:14" x14ac:dyDescent="0.3">
      <c r="A518">
        <v>51019814</v>
      </c>
      <c r="B518">
        <v>42</v>
      </c>
      <c r="C518">
        <v>64</v>
      </c>
      <c r="D518">
        <f t="shared" si="24"/>
        <v>0.65625</v>
      </c>
      <c r="E518">
        <f>ROUND(MIN(5,MAX(0,D518))/5*PARAMS_MODELO!$B$32,2)</f>
        <v>5.25</v>
      </c>
      <c r="F518">
        <v>4</v>
      </c>
      <c r="G518">
        <f>MAX(0,PARAMS_MODELO!$B$33-VALUE(TRIM(F518))*3)</f>
        <v>18</v>
      </c>
      <c r="H518">
        <v>1</v>
      </c>
      <c r="I518">
        <f>ROUND(MIN(4,MAX(0,H518))/4*PARAMS_MODELO!$B$34,2)</f>
        <v>5</v>
      </c>
      <c r="J518">
        <v>1</v>
      </c>
      <c r="K518">
        <f>IF(J518=0,0,PARAMS_MODELO!$B$35)</f>
        <v>10</v>
      </c>
      <c r="L518">
        <f t="shared" si="25"/>
        <v>38.25</v>
      </c>
      <c r="M518" t="str">
        <f t="shared" si="26"/>
        <v>Malo</v>
      </c>
      <c r="N518">
        <f>IF(M518=PARAMS_MODELO!$A$36,PARAMS_MODELO!$B$36,IF(M518=PARAMS_MODELO!$A$37,PARAMS_MODELO!$B$37,IF(M518=PARAMS_MODELO!$A$38,PARAMS_MODELO!$B$38,IF(M518=PARAMS_MODELO!$A$39,PARAMS_MODELO!$B$39,IF(M518=PARAMS_MODELO!$A$40,PARAMS_MODELO!$B$40)))))</f>
        <v>0.7</v>
      </c>
    </row>
    <row r="519" spans="1:14" x14ac:dyDescent="0.3">
      <c r="A519">
        <v>51033281</v>
      </c>
      <c r="B519">
        <v>2</v>
      </c>
      <c r="C519">
        <v>8</v>
      </c>
      <c r="D519">
        <f t="shared" si="24"/>
        <v>0.25</v>
      </c>
      <c r="E519">
        <f>ROUND(MIN(5,MAX(0,D519))/5*PARAMS_MODELO!$B$32,2)</f>
        <v>2</v>
      </c>
      <c r="F519">
        <v>1</v>
      </c>
      <c r="G519">
        <f>MAX(0,PARAMS_MODELO!$B$33-VALUE(TRIM(F519))*3)</f>
        <v>27</v>
      </c>
      <c r="H519">
        <v>0</v>
      </c>
      <c r="I519">
        <f>ROUND(MIN(4,MAX(0,H519))/4*PARAMS_MODELO!$B$34,2)</f>
        <v>0</v>
      </c>
      <c r="J519">
        <v>0</v>
      </c>
      <c r="K519">
        <f>IF(J519=0,0,PARAMS_MODELO!$B$35)</f>
        <v>0</v>
      </c>
      <c r="L519">
        <f t="shared" si="25"/>
        <v>29</v>
      </c>
      <c r="M519" t="str">
        <f t="shared" si="26"/>
        <v>Malo</v>
      </c>
      <c r="N519">
        <f>IF(M519=PARAMS_MODELO!$A$36,PARAMS_MODELO!$B$36,IF(M519=PARAMS_MODELO!$A$37,PARAMS_MODELO!$B$37,IF(M519=PARAMS_MODELO!$A$38,PARAMS_MODELO!$B$38,IF(M519=PARAMS_MODELO!$A$39,PARAMS_MODELO!$B$39,IF(M519=PARAMS_MODELO!$A$40,PARAMS_MODELO!$B$40)))))</f>
        <v>0.7</v>
      </c>
    </row>
    <row r="520" spans="1:14" x14ac:dyDescent="0.3">
      <c r="A520">
        <v>51056523</v>
      </c>
      <c r="B520">
        <v>49</v>
      </c>
      <c r="C520">
        <v>97</v>
      </c>
      <c r="D520">
        <f t="shared" si="24"/>
        <v>0.50515463917525771</v>
      </c>
      <c r="E520">
        <f>ROUND(MIN(5,MAX(0,D520))/5*PARAMS_MODELO!$B$32,2)</f>
        <v>4.04</v>
      </c>
      <c r="F520">
        <v>5</v>
      </c>
      <c r="G520">
        <f>MAX(0,PARAMS_MODELO!$B$33-VALUE(TRIM(F520))*3)</f>
        <v>15</v>
      </c>
      <c r="H520">
        <v>4</v>
      </c>
      <c r="I520">
        <f>ROUND(MIN(4,MAX(0,H520))/4*PARAMS_MODELO!$B$34,2)</f>
        <v>20</v>
      </c>
      <c r="J520">
        <v>0</v>
      </c>
      <c r="K520">
        <f>IF(J520=0,0,PARAMS_MODELO!$B$35)</f>
        <v>0</v>
      </c>
      <c r="L520">
        <f t="shared" si="25"/>
        <v>39.04</v>
      </c>
      <c r="M520" t="str">
        <f t="shared" si="26"/>
        <v>Malo</v>
      </c>
      <c r="N520">
        <f>IF(M520=PARAMS_MODELO!$A$36,PARAMS_MODELO!$B$36,IF(M520=PARAMS_MODELO!$A$37,PARAMS_MODELO!$B$37,IF(M520=PARAMS_MODELO!$A$38,PARAMS_MODELO!$B$38,IF(M520=PARAMS_MODELO!$A$39,PARAMS_MODELO!$B$39,IF(M520=PARAMS_MODELO!$A$40,PARAMS_MODELO!$B$40)))))</f>
        <v>0.7</v>
      </c>
    </row>
    <row r="521" spans="1:14" x14ac:dyDescent="0.3">
      <c r="A521">
        <v>51025792</v>
      </c>
      <c r="B521">
        <v>30</v>
      </c>
      <c r="C521">
        <v>23</v>
      </c>
      <c r="D521">
        <f t="shared" si="24"/>
        <v>1.3043478260869565</v>
      </c>
      <c r="E521">
        <f>ROUND(MIN(5,MAX(0,D521))/5*PARAMS_MODELO!$B$32,2)</f>
        <v>10.43</v>
      </c>
      <c r="F521">
        <v>0</v>
      </c>
      <c r="G521">
        <f>MAX(0,PARAMS_MODELO!$B$33-VALUE(TRIM(F521))*3)</f>
        <v>30</v>
      </c>
      <c r="H521">
        <v>3</v>
      </c>
      <c r="I521">
        <f>ROUND(MIN(4,MAX(0,H521))/4*PARAMS_MODELO!$B$34,2)</f>
        <v>15</v>
      </c>
      <c r="J521">
        <v>0</v>
      </c>
      <c r="K521">
        <f>IF(J521=0,0,PARAMS_MODELO!$B$35)</f>
        <v>0</v>
      </c>
      <c r="L521">
        <f t="shared" si="25"/>
        <v>55.43</v>
      </c>
      <c r="M521" t="str">
        <f t="shared" si="26"/>
        <v>Regular</v>
      </c>
      <c r="N521">
        <f>IF(M521=PARAMS_MODELO!$A$36,PARAMS_MODELO!$B$36,IF(M521=PARAMS_MODELO!$A$37,PARAMS_MODELO!$B$37,IF(M521=PARAMS_MODELO!$A$38,PARAMS_MODELO!$B$38,IF(M521=PARAMS_MODELO!$A$39,PARAMS_MODELO!$B$39,IF(M521=PARAMS_MODELO!$A$40,PARAMS_MODELO!$B$40)))))</f>
        <v>1</v>
      </c>
    </row>
    <row r="522" spans="1:14" x14ac:dyDescent="0.3">
      <c r="A522">
        <v>51056728</v>
      </c>
      <c r="B522">
        <v>88</v>
      </c>
      <c r="C522">
        <v>55</v>
      </c>
      <c r="D522">
        <f t="shared" si="24"/>
        <v>1.6</v>
      </c>
      <c r="E522">
        <f>ROUND(MIN(5,MAX(0,D522))/5*PARAMS_MODELO!$B$32,2)</f>
        <v>12.8</v>
      </c>
      <c r="F522">
        <v>2</v>
      </c>
      <c r="G522">
        <f>MAX(0,PARAMS_MODELO!$B$33-VALUE(TRIM(F522))*3)</f>
        <v>24</v>
      </c>
      <c r="H522">
        <v>0</v>
      </c>
      <c r="I522">
        <f>ROUND(MIN(4,MAX(0,H522))/4*PARAMS_MODELO!$B$34,2)</f>
        <v>0</v>
      </c>
      <c r="J522">
        <v>1</v>
      </c>
      <c r="K522">
        <f>IF(J522=0,0,PARAMS_MODELO!$B$35)</f>
        <v>10</v>
      </c>
      <c r="L522">
        <f t="shared" si="25"/>
        <v>46.8</v>
      </c>
      <c r="M522" t="str">
        <f t="shared" si="26"/>
        <v>Regular</v>
      </c>
      <c r="N522">
        <f>IF(M522=PARAMS_MODELO!$A$36,PARAMS_MODELO!$B$36,IF(M522=PARAMS_MODELO!$A$37,PARAMS_MODELO!$B$37,IF(M522=PARAMS_MODELO!$A$38,PARAMS_MODELO!$B$38,IF(M522=PARAMS_MODELO!$A$39,PARAMS_MODELO!$B$39,IF(M522=PARAMS_MODELO!$A$40,PARAMS_MODELO!$B$40)))))</f>
        <v>1</v>
      </c>
    </row>
    <row r="523" spans="1:14" x14ac:dyDescent="0.3">
      <c r="A523">
        <v>51011708</v>
      </c>
      <c r="B523">
        <v>38</v>
      </c>
      <c r="C523">
        <v>40</v>
      </c>
      <c r="D523">
        <f t="shared" si="24"/>
        <v>0.95</v>
      </c>
      <c r="E523">
        <f>ROUND(MIN(5,MAX(0,D523))/5*PARAMS_MODELO!$B$32,2)</f>
        <v>7.6</v>
      </c>
      <c r="F523">
        <v>1</v>
      </c>
      <c r="G523">
        <f>MAX(0,PARAMS_MODELO!$B$33-VALUE(TRIM(F523))*3)</f>
        <v>27</v>
      </c>
      <c r="H523">
        <v>1</v>
      </c>
      <c r="I523">
        <f>ROUND(MIN(4,MAX(0,H523))/4*PARAMS_MODELO!$B$34,2)</f>
        <v>5</v>
      </c>
      <c r="J523">
        <v>0</v>
      </c>
      <c r="K523">
        <f>IF(J523=0,0,PARAMS_MODELO!$B$35)</f>
        <v>0</v>
      </c>
      <c r="L523">
        <f t="shared" si="25"/>
        <v>39.6</v>
      </c>
      <c r="M523" t="str">
        <f t="shared" si="26"/>
        <v>Malo</v>
      </c>
      <c r="N523">
        <f>IF(M523=PARAMS_MODELO!$A$36,PARAMS_MODELO!$B$36,IF(M523=PARAMS_MODELO!$A$37,PARAMS_MODELO!$B$37,IF(M523=PARAMS_MODELO!$A$38,PARAMS_MODELO!$B$38,IF(M523=PARAMS_MODELO!$A$39,PARAMS_MODELO!$B$39,IF(M523=PARAMS_MODELO!$A$40,PARAMS_MODELO!$B$40)))))</f>
        <v>0.7</v>
      </c>
    </row>
    <row r="524" spans="1:14" x14ac:dyDescent="0.3">
      <c r="A524">
        <v>51056558</v>
      </c>
      <c r="B524">
        <v>98</v>
      </c>
      <c r="C524">
        <v>57</v>
      </c>
      <c r="D524">
        <f t="shared" si="24"/>
        <v>1.7192982456140351</v>
      </c>
      <c r="E524">
        <f>ROUND(MIN(5,MAX(0,D524))/5*PARAMS_MODELO!$B$32,2)</f>
        <v>13.75</v>
      </c>
      <c r="F524">
        <v>1</v>
      </c>
      <c r="G524">
        <f>MAX(0,PARAMS_MODELO!$B$33-VALUE(TRIM(F524))*3)</f>
        <v>27</v>
      </c>
      <c r="H524">
        <v>3</v>
      </c>
      <c r="I524">
        <f>ROUND(MIN(4,MAX(0,H524))/4*PARAMS_MODELO!$B$34,2)</f>
        <v>15</v>
      </c>
      <c r="J524">
        <v>1</v>
      </c>
      <c r="K524">
        <f>IF(J524=0,0,PARAMS_MODELO!$B$35)</f>
        <v>10</v>
      </c>
      <c r="L524">
        <f t="shared" si="25"/>
        <v>65.75</v>
      </c>
      <c r="M524" t="str">
        <f t="shared" si="26"/>
        <v>Bueno</v>
      </c>
      <c r="N524">
        <f>IF(M524=PARAMS_MODELO!$A$36,PARAMS_MODELO!$B$36,IF(M524=PARAMS_MODELO!$A$37,PARAMS_MODELO!$B$37,IF(M524=PARAMS_MODELO!$A$38,PARAMS_MODELO!$B$38,IF(M524=PARAMS_MODELO!$A$39,PARAMS_MODELO!$B$39,IF(M524=PARAMS_MODELO!$A$40,PARAMS_MODELO!$B$40)))))</f>
        <v>1.1000000000000001</v>
      </c>
    </row>
    <row r="525" spans="1:14" x14ac:dyDescent="0.3">
      <c r="A525">
        <v>51041801</v>
      </c>
      <c r="B525">
        <v>55</v>
      </c>
      <c r="C525">
        <v>0</v>
      </c>
      <c r="D525">
        <f t="shared" si="24"/>
        <v>0</v>
      </c>
      <c r="E525">
        <f>ROUND(MIN(5,MAX(0,D525))/5*PARAMS_MODELO!$B$32,2)</f>
        <v>0</v>
      </c>
      <c r="F525">
        <v>2</v>
      </c>
      <c r="G525">
        <f>MAX(0,PARAMS_MODELO!$B$33-VALUE(TRIM(F525))*3)</f>
        <v>24</v>
      </c>
      <c r="H525">
        <v>3</v>
      </c>
      <c r="I525">
        <f>ROUND(MIN(4,MAX(0,H525))/4*PARAMS_MODELO!$B$34,2)</f>
        <v>15</v>
      </c>
      <c r="J525">
        <v>1</v>
      </c>
      <c r="K525">
        <f>IF(J525=0,0,PARAMS_MODELO!$B$35)</f>
        <v>10</v>
      </c>
      <c r="L525">
        <f t="shared" si="25"/>
        <v>49</v>
      </c>
      <c r="M525" t="str">
        <f t="shared" si="26"/>
        <v>Regular</v>
      </c>
      <c r="N525">
        <f>IF(M525=PARAMS_MODELO!$A$36,PARAMS_MODELO!$B$36,IF(M525=PARAMS_MODELO!$A$37,PARAMS_MODELO!$B$37,IF(M525=PARAMS_MODELO!$A$38,PARAMS_MODELO!$B$38,IF(M525=PARAMS_MODELO!$A$39,PARAMS_MODELO!$B$39,IF(M525=PARAMS_MODELO!$A$40,PARAMS_MODELO!$B$40)))))</f>
        <v>1</v>
      </c>
    </row>
    <row r="526" spans="1:14" x14ac:dyDescent="0.3">
      <c r="A526">
        <v>51055390</v>
      </c>
      <c r="B526">
        <v>22</v>
      </c>
      <c r="C526">
        <v>44</v>
      </c>
      <c r="D526">
        <f t="shared" si="24"/>
        <v>0.5</v>
      </c>
      <c r="E526">
        <f>ROUND(MIN(5,MAX(0,D526))/5*PARAMS_MODELO!$B$32,2)</f>
        <v>4</v>
      </c>
      <c r="F526">
        <v>4</v>
      </c>
      <c r="G526">
        <f>MAX(0,PARAMS_MODELO!$B$33-VALUE(TRIM(F526))*3)</f>
        <v>18</v>
      </c>
      <c r="H526">
        <v>4</v>
      </c>
      <c r="I526">
        <f>ROUND(MIN(4,MAX(0,H526))/4*PARAMS_MODELO!$B$34,2)</f>
        <v>20</v>
      </c>
      <c r="J526">
        <v>1</v>
      </c>
      <c r="K526">
        <f>IF(J526=0,0,PARAMS_MODELO!$B$35)</f>
        <v>10</v>
      </c>
      <c r="L526">
        <f t="shared" si="25"/>
        <v>52</v>
      </c>
      <c r="M526" t="str">
        <f t="shared" si="26"/>
        <v>Regular</v>
      </c>
      <c r="N526">
        <f>IF(M526=PARAMS_MODELO!$A$36,PARAMS_MODELO!$B$36,IF(M526=PARAMS_MODELO!$A$37,PARAMS_MODELO!$B$37,IF(M526=PARAMS_MODELO!$A$38,PARAMS_MODELO!$B$38,IF(M526=PARAMS_MODELO!$A$39,PARAMS_MODELO!$B$39,IF(M526=PARAMS_MODELO!$A$40,PARAMS_MODELO!$B$40)))))</f>
        <v>1</v>
      </c>
    </row>
    <row r="527" spans="1:14" x14ac:dyDescent="0.3">
      <c r="A527">
        <v>51017081</v>
      </c>
      <c r="B527">
        <v>32</v>
      </c>
      <c r="C527">
        <v>46</v>
      </c>
      <c r="D527">
        <f t="shared" si="24"/>
        <v>0.69565217391304346</v>
      </c>
      <c r="E527">
        <f>ROUND(MIN(5,MAX(0,D527))/5*PARAMS_MODELO!$B$32,2)</f>
        <v>5.57</v>
      </c>
      <c r="F527">
        <v>2</v>
      </c>
      <c r="G527">
        <f>MAX(0,PARAMS_MODELO!$B$33-VALUE(TRIM(F527))*3)</f>
        <v>24</v>
      </c>
      <c r="H527">
        <v>0</v>
      </c>
      <c r="I527">
        <f>ROUND(MIN(4,MAX(0,H527))/4*PARAMS_MODELO!$B$34,2)</f>
        <v>0</v>
      </c>
      <c r="J527">
        <v>1</v>
      </c>
      <c r="K527">
        <f>IF(J527=0,0,PARAMS_MODELO!$B$35)</f>
        <v>10</v>
      </c>
      <c r="L527">
        <f t="shared" si="25"/>
        <v>39.57</v>
      </c>
      <c r="M527" t="str">
        <f t="shared" si="26"/>
        <v>Malo</v>
      </c>
      <c r="N527">
        <f>IF(M527=PARAMS_MODELO!$A$36,PARAMS_MODELO!$B$36,IF(M527=PARAMS_MODELO!$A$37,PARAMS_MODELO!$B$37,IF(M527=PARAMS_MODELO!$A$38,PARAMS_MODELO!$B$38,IF(M527=PARAMS_MODELO!$A$39,PARAMS_MODELO!$B$39,IF(M527=PARAMS_MODELO!$A$40,PARAMS_MODELO!$B$40)))))</f>
        <v>0.7</v>
      </c>
    </row>
    <row r="528" spans="1:14" x14ac:dyDescent="0.3">
      <c r="A528">
        <v>51056345</v>
      </c>
      <c r="B528">
        <v>18</v>
      </c>
      <c r="C528">
        <v>33</v>
      </c>
      <c r="D528">
        <f t="shared" si="24"/>
        <v>0.54545454545454541</v>
      </c>
      <c r="E528">
        <f>ROUND(MIN(5,MAX(0,D528))/5*PARAMS_MODELO!$B$32,2)</f>
        <v>4.3600000000000003</v>
      </c>
      <c r="F528">
        <v>0</v>
      </c>
      <c r="G528">
        <f>MAX(0,PARAMS_MODELO!$B$33-VALUE(TRIM(F528))*3)</f>
        <v>30</v>
      </c>
      <c r="H528">
        <v>2</v>
      </c>
      <c r="I528">
        <f>ROUND(MIN(4,MAX(0,H528))/4*PARAMS_MODELO!$B$34,2)</f>
        <v>10</v>
      </c>
      <c r="J528">
        <v>1</v>
      </c>
      <c r="K528">
        <f>IF(J528=0,0,PARAMS_MODELO!$B$35)</f>
        <v>10</v>
      </c>
      <c r="L528">
        <f t="shared" si="25"/>
        <v>54.36</v>
      </c>
      <c r="M528" t="str">
        <f t="shared" si="26"/>
        <v>Regular</v>
      </c>
      <c r="N528">
        <f>IF(M528=PARAMS_MODELO!$A$36,PARAMS_MODELO!$B$36,IF(M528=PARAMS_MODELO!$A$37,PARAMS_MODELO!$B$37,IF(M528=PARAMS_MODELO!$A$38,PARAMS_MODELO!$B$38,IF(M528=PARAMS_MODELO!$A$39,PARAMS_MODELO!$B$39,IF(M528=PARAMS_MODELO!$A$40,PARAMS_MODELO!$B$40)))))</f>
        <v>1</v>
      </c>
    </row>
    <row r="529" spans="1:14" x14ac:dyDescent="0.3">
      <c r="A529">
        <v>51055942</v>
      </c>
      <c r="B529">
        <v>100</v>
      </c>
      <c r="C529">
        <v>94</v>
      </c>
      <c r="D529">
        <f t="shared" si="24"/>
        <v>1.0638297872340425</v>
      </c>
      <c r="E529">
        <f>ROUND(MIN(5,MAX(0,D529))/5*PARAMS_MODELO!$B$32,2)</f>
        <v>8.51</v>
      </c>
      <c r="F529">
        <v>0</v>
      </c>
      <c r="G529">
        <f>MAX(0,PARAMS_MODELO!$B$33-VALUE(TRIM(F529))*3)</f>
        <v>30</v>
      </c>
      <c r="H529">
        <v>2</v>
      </c>
      <c r="I529">
        <f>ROUND(MIN(4,MAX(0,H529))/4*PARAMS_MODELO!$B$34,2)</f>
        <v>10</v>
      </c>
      <c r="J529">
        <v>1</v>
      </c>
      <c r="K529">
        <f>IF(J529=0,0,PARAMS_MODELO!$B$35)</f>
        <v>10</v>
      </c>
      <c r="L529">
        <f t="shared" si="25"/>
        <v>58.51</v>
      </c>
      <c r="M529" t="str">
        <f t="shared" si="26"/>
        <v>Regular</v>
      </c>
      <c r="N529">
        <f>IF(M529=PARAMS_MODELO!$A$36,PARAMS_MODELO!$B$36,IF(M529=PARAMS_MODELO!$A$37,PARAMS_MODELO!$B$37,IF(M529=PARAMS_MODELO!$A$38,PARAMS_MODELO!$B$38,IF(M529=PARAMS_MODELO!$A$39,PARAMS_MODELO!$B$39,IF(M529=PARAMS_MODELO!$A$40,PARAMS_MODELO!$B$40)))))</f>
        <v>1</v>
      </c>
    </row>
    <row r="530" spans="1:14" x14ac:dyDescent="0.3">
      <c r="A530">
        <v>51036735</v>
      </c>
      <c r="B530">
        <v>84</v>
      </c>
      <c r="C530">
        <v>90</v>
      </c>
      <c r="D530">
        <f t="shared" si="24"/>
        <v>0.93333333333333335</v>
      </c>
      <c r="E530">
        <f>ROUND(MIN(5,MAX(0,D530))/5*PARAMS_MODELO!$B$32,2)</f>
        <v>7.47</v>
      </c>
      <c r="F530">
        <v>0</v>
      </c>
      <c r="G530">
        <f>MAX(0,PARAMS_MODELO!$B$33-VALUE(TRIM(F530))*3)</f>
        <v>30</v>
      </c>
      <c r="H530">
        <v>3</v>
      </c>
      <c r="I530">
        <f>ROUND(MIN(4,MAX(0,H530))/4*PARAMS_MODELO!$B$34,2)</f>
        <v>15</v>
      </c>
      <c r="J530">
        <v>0</v>
      </c>
      <c r="K530">
        <f>IF(J530=0,0,PARAMS_MODELO!$B$35)</f>
        <v>0</v>
      </c>
      <c r="L530">
        <f t="shared" si="25"/>
        <v>52.47</v>
      </c>
      <c r="M530" t="str">
        <f t="shared" si="26"/>
        <v>Regular</v>
      </c>
      <c r="N530">
        <f>IF(M530=PARAMS_MODELO!$A$36,PARAMS_MODELO!$B$36,IF(M530=PARAMS_MODELO!$A$37,PARAMS_MODELO!$B$37,IF(M530=PARAMS_MODELO!$A$38,PARAMS_MODELO!$B$38,IF(M530=PARAMS_MODELO!$A$39,PARAMS_MODELO!$B$39,IF(M530=PARAMS_MODELO!$A$40,PARAMS_MODELO!$B$40)))))</f>
        <v>1</v>
      </c>
    </row>
    <row r="531" spans="1:14" x14ac:dyDescent="0.3">
      <c r="A531">
        <v>51001427</v>
      </c>
      <c r="B531">
        <v>52</v>
      </c>
      <c r="C531">
        <v>52</v>
      </c>
      <c r="D531">
        <f t="shared" si="24"/>
        <v>1</v>
      </c>
      <c r="E531">
        <f>ROUND(MIN(5,MAX(0,D531))/5*PARAMS_MODELO!$B$32,2)</f>
        <v>8</v>
      </c>
      <c r="F531">
        <v>2</v>
      </c>
      <c r="G531">
        <f>MAX(0,PARAMS_MODELO!$B$33-VALUE(TRIM(F531))*3)</f>
        <v>24</v>
      </c>
      <c r="H531">
        <v>0</v>
      </c>
      <c r="I531">
        <f>ROUND(MIN(4,MAX(0,H531))/4*PARAMS_MODELO!$B$34,2)</f>
        <v>0</v>
      </c>
      <c r="J531">
        <v>1</v>
      </c>
      <c r="K531">
        <f>IF(J531=0,0,PARAMS_MODELO!$B$35)</f>
        <v>10</v>
      </c>
      <c r="L531">
        <f t="shared" si="25"/>
        <v>42</v>
      </c>
      <c r="M531" t="str">
        <f t="shared" si="26"/>
        <v>Regular</v>
      </c>
      <c r="N531">
        <f>IF(M531=PARAMS_MODELO!$A$36,PARAMS_MODELO!$B$36,IF(M531=PARAMS_MODELO!$A$37,PARAMS_MODELO!$B$37,IF(M531=PARAMS_MODELO!$A$38,PARAMS_MODELO!$B$38,IF(M531=PARAMS_MODELO!$A$39,PARAMS_MODELO!$B$39,IF(M531=PARAMS_MODELO!$A$40,PARAMS_MODELO!$B$40)))))</f>
        <v>1</v>
      </c>
    </row>
    <row r="532" spans="1:14" x14ac:dyDescent="0.3">
      <c r="A532">
        <v>51010272</v>
      </c>
      <c r="B532">
        <v>58</v>
      </c>
      <c r="C532">
        <v>18</v>
      </c>
      <c r="D532">
        <f t="shared" si="24"/>
        <v>3.2222222222222223</v>
      </c>
      <c r="E532">
        <f>ROUND(MIN(5,MAX(0,D532))/5*PARAMS_MODELO!$B$32,2)</f>
        <v>25.78</v>
      </c>
      <c r="F532">
        <v>3</v>
      </c>
      <c r="G532">
        <f>MAX(0,PARAMS_MODELO!$B$33-VALUE(TRIM(F532))*3)</f>
        <v>21</v>
      </c>
      <c r="H532">
        <v>2</v>
      </c>
      <c r="I532">
        <f>ROUND(MIN(4,MAX(0,H532))/4*PARAMS_MODELO!$B$34,2)</f>
        <v>10</v>
      </c>
      <c r="J532">
        <v>1</v>
      </c>
      <c r="K532">
        <f>IF(J532=0,0,PARAMS_MODELO!$B$35)</f>
        <v>10</v>
      </c>
      <c r="L532">
        <f t="shared" si="25"/>
        <v>66.78</v>
      </c>
      <c r="M532" t="str">
        <f t="shared" si="26"/>
        <v>Bueno</v>
      </c>
      <c r="N532">
        <f>IF(M532=PARAMS_MODELO!$A$36,PARAMS_MODELO!$B$36,IF(M532=PARAMS_MODELO!$A$37,PARAMS_MODELO!$B$37,IF(M532=PARAMS_MODELO!$A$38,PARAMS_MODELO!$B$38,IF(M532=PARAMS_MODELO!$A$39,PARAMS_MODELO!$B$39,IF(M532=PARAMS_MODELO!$A$40,PARAMS_MODELO!$B$40)))))</f>
        <v>1.1000000000000001</v>
      </c>
    </row>
    <row r="533" spans="1:14" x14ac:dyDescent="0.3">
      <c r="A533">
        <v>51056451</v>
      </c>
      <c r="B533">
        <v>27</v>
      </c>
      <c r="C533">
        <v>65</v>
      </c>
      <c r="D533">
        <f t="shared" si="24"/>
        <v>0.41538461538461541</v>
      </c>
      <c r="E533">
        <f>ROUND(MIN(5,MAX(0,D533))/5*PARAMS_MODELO!$B$32,2)</f>
        <v>3.32</v>
      </c>
      <c r="F533">
        <v>4</v>
      </c>
      <c r="G533">
        <f>MAX(0,PARAMS_MODELO!$B$33-VALUE(TRIM(F533))*3)</f>
        <v>18</v>
      </c>
      <c r="H533">
        <v>2</v>
      </c>
      <c r="I533">
        <f>ROUND(MIN(4,MAX(0,H533))/4*PARAMS_MODELO!$B$34,2)</f>
        <v>10</v>
      </c>
      <c r="J533">
        <v>0</v>
      </c>
      <c r="K533">
        <f>IF(J533=0,0,PARAMS_MODELO!$B$35)</f>
        <v>0</v>
      </c>
      <c r="L533">
        <f t="shared" si="25"/>
        <v>31.32</v>
      </c>
      <c r="M533" t="str">
        <f t="shared" si="26"/>
        <v>Malo</v>
      </c>
      <c r="N533">
        <f>IF(M533=PARAMS_MODELO!$A$36,PARAMS_MODELO!$B$36,IF(M533=PARAMS_MODELO!$A$37,PARAMS_MODELO!$B$37,IF(M533=PARAMS_MODELO!$A$38,PARAMS_MODELO!$B$38,IF(M533=PARAMS_MODELO!$A$39,PARAMS_MODELO!$B$39,IF(M533=PARAMS_MODELO!$A$40,PARAMS_MODELO!$B$40)))))</f>
        <v>0.7</v>
      </c>
    </row>
    <row r="534" spans="1:14" x14ac:dyDescent="0.3">
      <c r="A534">
        <v>51018907</v>
      </c>
      <c r="B534">
        <v>87</v>
      </c>
      <c r="C534">
        <v>77</v>
      </c>
      <c r="D534">
        <f t="shared" si="24"/>
        <v>1.1298701298701299</v>
      </c>
      <c r="E534">
        <f>ROUND(MIN(5,MAX(0,D534))/5*PARAMS_MODELO!$B$32,2)</f>
        <v>9.0399999999999991</v>
      </c>
      <c r="F534">
        <v>5</v>
      </c>
      <c r="G534">
        <f>MAX(0,PARAMS_MODELO!$B$33-VALUE(TRIM(F534))*3)</f>
        <v>15</v>
      </c>
      <c r="H534">
        <v>4</v>
      </c>
      <c r="I534">
        <f>ROUND(MIN(4,MAX(0,H534))/4*PARAMS_MODELO!$B$34,2)</f>
        <v>20</v>
      </c>
      <c r="J534">
        <v>1</v>
      </c>
      <c r="K534">
        <f>IF(J534=0,0,PARAMS_MODELO!$B$35)</f>
        <v>10</v>
      </c>
      <c r="L534">
        <f t="shared" si="25"/>
        <v>54.04</v>
      </c>
      <c r="M534" t="str">
        <f t="shared" si="26"/>
        <v>Regular</v>
      </c>
      <c r="N534">
        <f>IF(M534=PARAMS_MODELO!$A$36,PARAMS_MODELO!$B$36,IF(M534=PARAMS_MODELO!$A$37,PARAMS_MODELO!$B$37,IF(M534=PARAMS_MODELO!$A$38,PARAMS_MODELO!$B$38,IF(M534=PARAMS_MODELO!$A$39,PARAMS_MODELO!$B$39,IF(M534=PARAMS_MODELO!$A$40,PARAMS_MODELO!$B$40)))))</f>
        <v>1</v>
      </c>
    </row>
    <row r="535" spans="1:14" x14ac:dyDescent="0.3">
      <c r="A535">
        <v>51004108</v>
      </c>
      <c r="B535">
        <v>65</v>
      </c>
      <c r="C535">
        <v>24</v>
      </c>
      <c r="D535">
        <f t="shared" si="24"/>
        <v>2.7083333333333335</v>
      </c>
      <c r="E535">
        <f>ROUND(MIN(5,MAX(0,D535))/5*PARAMS_MODELO!$B$32,2)</f>
        <v>21.67</v>
      </c>
      <c r="F535">
        <v>3</v>
      </c>
      <c r="G535">
        <f>MAX(0,PARAMS_MODELO!$B$33-VALUE(TRIM(F535))*3)</f>
        <v>21</v>
      </c>
      <c r="H535">
        <v>0</v>
      </c>
      <c r="I535">
        <f>ROUND(MIN(4,MAX(0,H535))/4*PARAMS_MODELO!$B$34,2)</f>
        <v>0</v>
      </c>
      <c r="J535">
        <v>1</v>
      </c>
      <c r="K535">
        <f>IF(J535=0,0,PARAMS_MODELO!$B$35)</f>
        <v>10</v>
      </c>
      <c r="L535">
        <f t="shared" si="25"/>
        <v>52.67</v>
      </c>
      <c r="M535" t="str">
        <f t="shared" si="26"/>
        <v>Regular</v>
      </c>
      <c r="N535">
        <f>IF(M535=PARAMS_MODELO!$A$36,PARAMS_MODELO!$B$36,IF(M535=PARAMS_MODELO!$A$37,PARAMS_MODELO!$B$37,IF(M535=PARAMS_MODELO!$A$38,PARAMS_MODELO!$B$38,IF(M535=PARAMS_MODELO!$A$39,PARAMS_MODELO!$B$39,IF(M535=PARAMS_MODELO!$A$40,PARAMS_MODELO!$B$40)))))</f>
        <v>1</v>
      </c>
    </row>
    <row r="536" spans="1:14" x14ac:dyDescent="0.3">
      <c r="A536">
        <v>51030869</v>
      </c>
      <c r="B536">
        <v>13</v>
      </c>
      <c r="C536">
        <v>41</v>
      </c>
      <c r="D536">
        <f t="shared" si="24"/>
        <v>0.31707317073170732</v>
      </c>
      <c r="E536">
        <f>ROUND(MIN(5,MAX(0,D536))/5*PARAMS_MODELO!$B$32,2)</f>
        <v>2.54</v>
      </c>
      <c r="F536">
        <v>3</v>
      </c>
      <c r="G536">
        <f>MAX(0,PARAMS_MODELO!$B$33-VALUE(TRIM(F536))*3)</f>
        <v>21</v>
      </c>
      <c r="H536">
        <v>1</v>
      </c>
      <c r="I536">
        <f>ROUND(MIN(4,MAX(0,H536))/4*PARAMS_MODELO!$B$34,2)</f>
        <v>5</v>
      </c>
      <c r="J536">
        <v>1</v>
      </c>
      <c r="K536">
        <f>IF(J536=0,0,PARAMS_MODELO!$B$35)</f>
        <v>10</v>
      </c>
      <c r="L536">
        <f t="shared" si="25"/>
        <v>38.54</v>
      </c>
      <c r="M536" t="str">
        <f t="shared" si="26"/>
        <v>Malo</v>
      </c>
      <c r="N536">
        <f>IF(M536=PARAMS_MODELO!$A$36,PARAMS_MODELO!$B$36,IF(M536=PARAMS_MODELO!$A$37,PARAMS_MODELO!$B$37,IF(M536=PARAMS_MODELO!$A$38,PARAMS_MODELO!$B$38,IF(M536=PARAMS_MODELO!$A$39,PARAMS_MODELO!$B$39,IF(M536=PARAMS_MODELO!$A$40,PARAMS_MODELO!$B$40)))))</f>
        <v>0.7</v>
      </c>
    </row>
    <row r="537" spans="1:14" x14ac:dyDescent="0.3">
      <c r="A537">
        <v>51031113</v>
      </c>
      <c r="B537">
        <v>54</v>
      </c>
      <c r="C537">
        <v>6</v>
      </c>
      <c r="D537">
        <f t="shared" si="24"/>
        <v>5</v>
      </c>
      <c r="E537">
        <f>ROUND(MIN(5,MAX(0,D537))/5*PARAMS_MODELO!$B$32,2)</f>
        <v>40</v>
      </c>
      <c r="F537">
        <v>4</v>
      </c>
      <c r="G537">
        <f>MAX(0,PARAMS_MODELO!$B$33-VALUE(TRIM(F537))*3)</f>
        <v>18</v>
      </c>
      <c r="H537">
        <v>1</v>
      </c>
      <c r="I537">
        <f>ROUND(MIN(4,MAX(0,H537))/4*PARAMS_MODELO!$B$34,2)</f>
        <v>5</v>
      </c>
      <c r="J537">
        <v>1</v>
      </c>
      <c r="K537">
        <f>IF(J537=0,0,PARAMS_MODELO!$B$35)</f>
        <v>10</v>
      </c>
      <c r="L537">
        <f t="shared" si="25"/>
        <v>73</v>
      </c>
      <c r="M537" t="str">
        <f t="shared" si="26"/>
        <v>Bueno</v>
      </c>
      <c r="N537">
        <f>IF(M537=PARAMS_MODELO!$A$36,PARAMS_MODELO!$B$36,IF(M537=PARAMS_MODELO!$A$37,PARAMS_MODELO!$B$37,IF(M537=PARAMS_MODELO!$A$38,PARAMS_MODELO!$B$38,IF(M537=PARAMS_MODELO!$A$39,PARAMS_MODELO!$B$39,IF(M537=PARAMS_MODELO!$A$40,PARAMS_MODELO!$B$40)))))</f>
        <v>1.1000000000000001</v>
      </c>
    </row>
    <row r="538" spans="1:14" x14ac:dyDescent="0.3">
      <c r="A538">
        <v>51033329</v>
      </c>
      <c r="B538">
        <v>51</v>
      </c>
      <c r="C538">
        <v>53</v>
      </c>
      <c r="D538">
        <f t="shared" si="24"/>
        <v>0.96226415094339623</v>
      </c>
      <c r="E538">
        <f>ROUND(MIN(5,MAX(0,D538))/5*PARAMS_MODELO!$B$32,2)</f>
        <v>7.7</v>
      </c>
      <c r="F538">
        <v>5</v>
      </c>
      <c r="G538">
        <f>MAX(0,PARAMS_MODELO!$B$33-VALUE(TRIM(F538))*3)</f>
        <v>15</v>
      </c>
      <c r="H538">
        <v>2</v>
      </c>
      <c r="I538">
        <f>ROUND(MIN(4,MAX(0,H538))/4*PARAMS_MODELO!$B$34,2)</f>
        <v>10</v>
      </c>
      <c r="J538">
        <v>1</v>
      </c>
      <c r="K538">
        <f>IF(J538=0,0,PARAMS_MODELO!$B$35)</f>
        <v>10</v>
      </c>
      <c r="L538">
        <f t="shared" si="25"/>
        <v>42.7</v>
      </c>
      <c r="M538" t="str">
        <f t="shared" si="26"/>
        <v>Regular</v>
      </c>
      <c r="N538">
        <f>IF(M538=PARAMS_MODELO!$A$36,PARAMS_MODELO!$B$36,IF(M538=PARAMS_MODELO!$A$37,PARAMS_MODELO!$B$37,IF(M538=PARAMS_MODELO!$A$38,PARAMS_MODELO!$B$38,IF(M538=PARAMS_MODELO!$A$39,PARAMS_MODELO!$B$39,IF(M538=PARAMS_MODELO!$A$40,PARAMS_MODELO!$B$40)))))</f>
        <v>1</v>
      </c>
    </row>
    <row r="539" spans="1:14" x14ac:dyDescent="0.3">
      <c r="A539">
        <v>51042905</v>
      </c>
      <c r="B539">
        <v>64</v>
      </c>
      <c r="C539">
        <v>60</v>
      </c>
      <c r="D539">
        <f t="shared" si="24"/>
        <v>1.0666666666666667</v>
      </c>
      <c r="E539">
        <f>ROUND(MIN(5,MAX(0,D539))/5*PARAMS_MODELO!$B$32,2)</f>
        <v>8.5299999999999994</v>
      </c>
      <c r="F539">
        <v>5</v>
      </c>
      <c r="G539">
        <f>MAX(0,PARAMS_MODELO!$B$33-VALUE(TRIM(F539))*3)</f>
        <v>15</v>
      </c>
      <c r="H539">
        <v>3</v>
      </c>
      <c r="I539">
        <f>ROUND(MIN(4,MAX(0,H539))/4*PARAMS_MODELO!$B$34,2)</f>
        <v>15</v>
      </c>
      <c r="J539">
        <v>0</v>
      </c>
      <c r="K539">
        <f>IF(J539=0,0,PARAMS_MODELO!$B$35)</f>
        <v>0</v>
      </c>
      <c r="L539">
        <f t="shared" si="25"/>
        <v>38.53</v>
      </c>
      <c r="M539" t="str">
        <f t="shared" si="26"/>
        <v>Malo</v>
      </c>
      <c r="N539">
        <f>IF(M539=PARAMS_MODELO!$A$36,PARAMS_MODELO!$B$36,IF(M539=PARAMS_MODELO!$A$37,PARAMS_MODELO!$B$37,IF(M539=PARAMS_MODELO!$A$38,PARAMS_MODELO!$B$38,IF(M539=PARAMS_MODELO!$A$39,PARAMS_MODELO!$B$39,IF(M539=PARAMS_MODELO!$A$40,PARAMS_MODELO!$B$40)))))</f>
        <v>0.7</v>
      </c>
    </row>
    <row r="540" spans="1:14" x14ac:dyDescent="0.3">
      <c r="A540">
        <v>51010833</v>
      </c>
      <c r="B540">
        <v>44</v>
      </c>
      <c r="C540">
        <v>76</v>
      </c>
      <c r="D540">
        <f t="shared" si="24"/>
        <v>0.57894736842105265</v>
      </c>
      <c r="E540">
        <f>ROUND(MIN(5,MAX(0,D540))/5*PARAMS_MODELO!$B$32,2)</f>
        <v>4.63</v>
      </c>
      <c r="F540">
        <v>2</v>
      </c>
      <c r="G540">
        <f>MAX(0,PARAMS_MODELO!$B$33-VALUE(TRIM(F540))*3)</f>
        <v>24</v>
      </c>
      <c r="H540">
        <v>0</v>
      </c>
      <c r="I540">
        <f>ROUND(MIN(4,MAX(0,H540))/4*PARAMS_MODELO!$B$34,2)</f>
        <v>0</v>
      </c>
      <c r="J540">
        <v>0</v>
      </c>
      <c r="K540">
        <f>IF(J540=0,0,PARAMS_MODELO!$B$35)</f>
        <v>0</v>
      </c>
      <c r="L540">
        <f t="shared" si="25"/>
        <v>28.63</v>
      </c>
      <c r="M540" t="str">
        <f t="shared" si="26"/>
        <v>Malo</v>
      </c>
      <c r="N540">
        <f>IF(M540=PARAMS_MODELO!$A$36,PARAMS_MODELO!$B$36,IF(M540=PARAMS_MODELO!$A$37,PARAMS_MODELO!$B$37,IF(M540=PARAMS_MODELO!$A$38,PARAMS_MODELO!$B$38,IF(M540=PARAMS_MODELO!$A$39,PARAMS_MODELO!$B$39,IF(M540=PARAMS_MODELO!$A$40,PARAMS_MODELO!$B$40)))))</f>
        <v>0.7</v>
      </c>
    </row>
    <row r="541" spans="1:14" x14ac:dyDescent="0.3">
      <c r="A541">
        <v>51042956</v>
      </c>
      <c r="B541">
        <v>81</v>
      </c>
      <c r="C541">
        <v>27</v>
      </c>
      <c r="D541">
        <f t="shared" si="24"/>
        <v>3</v>
      </c>
      <c r="E541">
        <f>ROUND(MIN(5,MAX(0,D541))/5*PARAMS_MODELO!$B$32,2)</f>
        <v>24</v>
      </c>
      <c r="F541">
        <v>0</v>
      </c>
      <c r="G541">
        <f>MAX(0,PARAMS_MODELO!$B$33-VALUE(TRIM(F541))*3)</f>
        <v>30</v>
      </c>
      <c r="H541">
        <v>0</v>
      </c>
      <c r="I541">
        <f>ROUND(MIN(4,MAX(0,H541))/4*PARAMS_MODELO!$B$34,2)</f>
        <v>0</v>
      </c>
      <c r="J541">
        <v>0</v>
      </c>
      <c r="K541">
        <f>IF(J541=0,0,PARAMS_MODELO!$B$35)</f>
        <v>0</v>
      </c>
      <c r="L541">
        <f t="shared" si="25"/>
        <v>54</v>
      </c>
      <c r="M541" t="str">
        <f t="shared" si="26"/>
        <v>Regular</v>
      </c>
      <c r="N541">
        <f>IF(M541=PARAMS_MODELO!$A$36,PARAMS_MODELO!$B$36,IF(M541=PARAMS_MODELO!$A$37,PARAMS_MODELO!$B$37,IF(M541=PARAMS_MODELO!$A$38,PARAMS_MODELO!$B$38,IF(M541=PARAMS_MODELO!$A$39,PARAMS_MODELO!$B$39,IF(M541=PARAMS_MODELO!$A$40,PARAMS_MODELO!$B$40)))))</f>
        <v>1</v>
      </c>
    </row>
    <row r="542" spans="1:14" x14ac:dyDescent="0.3">
      <c r="A542">
        <v>51039645</v>
      </c>
      <c r="B542">
        <v>88</v>
      </c>
      <c r="C542">
        <v>74</v>
      </c>
      <c r="D542">
        <f t="shared" si="24"/>
        <v>1.1891891891891893</v>
      </c>
      <c r="E542">
        <f>ROUND(MIN(5,MAX(0,D542))/5*PARAMS_MODELO!$B$32,2)</f>
        <v>9.51</v>
      </c>
      <c r="F542">
        <v>1</v>
      </c>
      <c r="G542">
        <f>MAX(0,PARAMS_MODELO!$B$33-VALUE(TRIM(F542))*3)</f>
        <v>27</v>
      </c>
      <c r="H542">
        <v>3</v>
      </c>
      <c r="I542">
        <f>ROUND(MIN(4,MAX(0,H542))/4*PARAMS_MODELO!$B$34,2)</f>
        <v>15</v>
      </c>
      <c r="J542">
        <v>1</v>
      </c>
      <c r="K542">
        <f>IF(J542=0,0,PARAMS_MODELO!$B$35)</f>
        <v>10</v>
      </c>
      <c r="L542">
        <f t="shared" si="25"/>
        <v>61.51</v>
      </c>
      <c r="M542" t="str">
        <f t="shared" si="26"/>
        <v>Bueno</v>
      </c>
      <c r="N542">
        <f>IF(M542=PARAMS_MODELO!$A$36,PARAMS_MODELO!$B$36,IF(M542=PARAMS_MODELO!$A$37,PARAMS_MODELO!$B$37,IF(M542=PARAMS_MODELO!$A$38,PARAMS_MODELO!$B$38,IF(M542=PARAMS_MODELO!$A$39,PARAMS_MODELO!$B$39,IF(M542=PARAMS_MODELO!$A$40,PARAMS_MODELO!$B$40)))))</f>
        <v>1.1000000000000001</v>
      </c>
    </row>
    <row r="543" spans="1:14" x14ac:dyDescent="0.3">
      <c r="A543">
        <v>51021622</v>
      </c>
      <c r="B543">
        <v>69</v>
      </c>
      <c r="C543">
        <v>86</v>
      </c>
      <c r="D543">
        <f t="shared" si="24"/>
        <v>0.80232558139534882</v>
      </c>
      <c r="E543">
        <f>ROUND(MIN(5,MAX(0,D543))/5*PARAMS_MODELO!$B$32,2)</f>
        <v>6.42</v>
      </c>
      <c r="F543">
        <v>4</v>
      </c>
      <c r="G543">
        <f>MAX(0,PARAMS_MODELO!$B$33-VALUE(TRIM(F543))*3)</f>
        <v>18</v>
      </c>
      <c r="H543">
        <v>3</v>
      </c>
      <c r="I543">
        <f>ROUND(MIN(4,MAX(0,H543))/4*PARAMS_MODELO!$B$34,2)</f>
        <v>15</v>
      </c>
      <c r="J543">
        <v>0</v>
      </c>
      <c r="K543">
        <f>IF(J543=0,0,PARAMS_MODELO!$B$35)</f>
        <v>0</v>
      </c>
      <c r="L543">
        <f t="shared" si="25"/>
        <v>39.42</v>
      </c>
      <c r="M543" t="str">
        <f t="shared" si="26"/>
        <v>Malo</v>
      </c>
      <c r="N543">
        <f>IF(M543=PARAMS_MODELO!$A$36,PARAMS_MODELO!$B$36,IF(M543=PARAMS_MODELO!$A$37,PARAMS_MODELO!$B$37,IF(M543=PARAMS_MODELO!$A$38,PARAMS_MODELO!$B$38,IF(M543=PARAMS_MODELO!$A$39,PARAMS_MODELO!$B$39,IF(M543=PARAMS_MODELO!$A$40,PARAMS_MODELO!$B$40)))))</f>
        <v>0.7</v>
      </c>
    </row>
    <row r="544" spans="1:14" x14ac:dyDescent="0.3">
      <c r="A544">
        <v>51031491</v>
      </c>
      <c r="B544">
        <v>50</v>
      </c>
      <c r="C544">
        <v>91</v>
      </c>
      <c r="D544">
        <f t="shared" si="24"/>
        <v>0.5494505494505495</v>
      </c>
      <c r="E544">
        <f>ROUND(MIN(5,MAX(0,D544))/5*PARAMS_MODELO!$B$32,2)</f>
        <v>4.4000000000000004</v>
      </c>
      <c r="F544">
        <v>0</v>
      </c>
      <c r="G544">
        <f>MAX(0,PARAMS_MODELO!$B$33-VALUE(TRIM(F544))*3)</f>
        <v>30</v>
      </c>
      <c r="H544">
        <v>2</v>
      </c>
      <c r="I544">
        <f>ROUND(MIN(4,MAX(0,H544))/4*PARAMS_MODELO!$B$34,2)</f>
        <v>10</v>
      </c>
      <c r="J544">
        <v>0</v>
      </c>
      <c r="K544">
        <f>IF(J544=0,0,PARAMS_MODELO!$B$35)</f>
        <v>0</v>
      </c>
      <c r="L544">
        <f t="shared" si="25"/>
        <v>44.4</v>
      </c>
      <c r="M544" t="str">
        <f t="shared" si="26"/>
        <v>Regular</v>
      </c>
      <c r="N544">
        <f>IF(M544=PARAMS_MODELO!$A$36,PARAMS_MODELO!$B$36,IF(M544=PARAMS_MODELO!$A$37,PARAMS_MODELO!$B$37,IF(M544=PARAMS_MODELO!$A$38,PARAMS_MODELO!$B$38,IF(M544=PARAMS_MODELO!$A$39,PARAMS_MODELO!$B$39,IF(M544=PARAMS_MODELO!$A$40,PARAMS_MODELO!$B$40)))))</f>
        <v>1</v>
      </c>
    </row>
    <row r="545" spans="1:14" x14ac:dyDescent="0.3">
      <c r="A545">
        <v>51020162</v>
      </c>
      <c r="B545">
        <v>50</v>
      </c>
      <c r="C545">
        <v>8</v>
      </c>
      <c r="D545">
        <f t="shared" si="24"/>
        <v>5</v>
      </c>
      <c r="E545">
        <f>ROUND(MIN(5,MAX(0,D545))/5*PARAMS_MODELO!$B$32,2)</f>
        <v>40</v>
      </c>
      <c r="F545">
        <v>5</v>
      </c>
      <c r="G545">
        <f>MAX(0,PARAMS_MODELO!$B$33-VALUE(TRIM(F545))*3)</f>
        <v>15</v>
      </c>
      <c r="H545">
        <v>0</v>
      </c>
      <c r="I545">
        <f>ROUND(MIN(4,MAX(0,H545))/4*PARAMS_MODELO!$B$34,2)</f>
        <v>0</v>
      </c>
      <c r="J545">
        <v>0</v>
      </c>
      <c r="K545">
        <f>IF(J545=0,0,PARAMS_MODELO!$B$35)</f>
        <v>0</v>
      </c>
      <c r="L545">
        <f t="shared" si="25"/>
        <v>55</v>
      </c>
      <c r="M545" t="str">
        <f t="shared" si="26"/>
        <v>Regular</v>
      </c>
      <c r="N545">
        <f>IF(M545=PARAMS_MODELO!$A$36,PARAMS_MODELO!$B$36,IF(M545=PARAMS_MODELO!$A$37,PARAMS_MODELO!$B$37,IF(M545=PARAMS_MODELO!$A$38,PARAMS_MODELO!$B$38,IF(M545=PARAMS_MODELO!$A$39,PARAMS_MODELO!$B$39,IF(M545=PARAMS_MODELO!$A$40,PARAMS_MODELO!$B$40)))))</f>
        <v>1</v>
      </c>
    </row>
    <row r="546" spans="1:14" x14ac:dyDescent="0.3">
      <c r="A546">
        <v>51017056</v>
      </c>
      <c r="B546">
        <v>84</v>
      </c>
      <c r="C546">
        <v>63</v>
      </c>
      <c r="D546">
        <f t="shared" si="24"/>
        <v>1.3333333333333333</v>
      </c>
      <c r="E546">
        <f>ROUND(MIN(5,MAX(0,D546))/5*PARAMS_MODELO!$B$32,2)</f>
        <v>10.67</v>
      </c>
      <c r="F546">
        <v>0</v>
      </c>
      <c r="G546">
        <f>MAX(0,PARAMS_MODELO!$B$33-VALUE(TRIM(F546))*3)</f>
        <v>30</v>
      </c>
      <c r="H546">
        <v>1</v>
      </c>
      <c r="I546">
        <f>ROUND(MIN(4,MAX(0,H546))/4*PARAMS_MODELO!$B$34,2)</f>
        <v>5</v>
      </c>
      <c r="J546">
        <v>0</v>
      </c>
      <c r="K546">
        <f>IF(J546=0,0,PARAMS_MODELO!$B$35)</f>
        <v>0</v>
      </c>
      <c r="L546">
        <f t="shared" si="25"/>
        <v>45.67</v>
      </c>
      <c r="M546" t="str">
        <f t="shared" si="26"/>
        <v>Regular</v>
      </c>
      <c r="N546">
        <f>IF(M546=PARAMS_MODELO!$A$36,PARAMS_MODELO!$B$36,IF(M546=PARAMS_MODELO!$A$37,PARAMS_MODELO!$B$37,IF(M546=PARAMS_MODELO!$A$38,PARAMS_MODELO!$B$38,IF(M546=PARAMS_MODELO!$A$39,PARAMS_MODELO!$B$39,IF(M546=PARAMS_MODELO!$A$40,PARAMS_MODELO!$B$40)))))</f>
        <v>1</v>
      </c>
    </row>
    <row r="547" spans="1:14" x14ac:dyDescent="0.3">
      <c r="A547">
        <v>51056019</v>
      </c>
      <c r="B547">
        <v>31</v>
      </c>
      <c r="C547">
        <v>51</v>
      </c>
      <c r="D547">
        <f t="shared" si="24"/>
        <v>0.60784313725490191</v>
      </c>
      <c r="E547">
        <f>ROUND(MIN(5,MAX(0,D547))/5*PARAMS_MODELO!$B$32,2)</f>
        <v>4.8600000000000003</v>
      </c>
      <c r="F547">
        <v>1</v>
      </c>
      <c r="G547">
        <f>MAX(0,PARAMS_MODELO!$B$33-VALUE(TRIM(F547))*3)</f>
        <v>27</v>
      </c>
      <c r="H547">
        <v>1</v>
      </c>
      <c r="I547">
        <f>ROUND(MIN(4,MAX(0,H547))/4*PARAMS_MODELO!$B$34,2)</f>
        <v>5</v>
      </c>
      <c r="J547">
        <v>0</v>
      </c>
      <c r="K547">
        <f>IF(J547=0,0,PARAMS_MODELO!$B$35)</f>
        <v>0</v>
      </c>
      <c r="L547">
        <f t="shared" si="25"/>
        <v>36.86</v>
      </c>
      <c r="M547" t="str">
        <f t="shared" si="26"/>
        <v>Malo</v>
      </c>
      <c r="N547">
        <f>IF(M547=PARAMS_MODELO!$A$36,PARAMS_MODELO!$B$36,IF(M547=PARAMS_MODELO!$A$37,PARAMS_MODELO!$B$37,IF(M547=PARAMS_MODELO!$A$38,PARAMS_MODELO!$B$38,IF(M547=PARAMS_MODELO!$A$39,PARAMS_MODELO!$B$39,IF(M547=PARAMS_MODELO!$A$40,PARAMS_MODELO!$B$40)))))</f>
        <v>0.7</v>
      </c>
    </row>
    <row r="548" spans="1:14" x14ac:dyDescent="0.3">
      <c r="A548">
        <v>51017579</v>
      </c>
      <c r="B548">
        <v>77</v>
      </c>
      <c r="C548">
        <v>19</v>
      </c>
      <c r="D548">
        <f t="shared" si="24"/>
        <v>4.0526315789473681</v>
      </c>
      <c r="E548">
        <f>ROUND(MIN(5,MAX(0,D548))/5*PARAMS_MODELO!$B$32,2)</f>
        <v>32.42</v>
      </c>
      <c r="F548">
        <v>3</v>
      </c>
      <c r="G548">
        <f>MAX(0,PARAMS_MODELO!$B$33-VALUE(TRIM(F548))*3)</f>
        <v>21</v>
      </c>
      <c r="H548">
        <v>3</v>
      </c>
      <c r="I548">
        <f>ROUND(MIN(4,MAX(0,H548))/4*PARAMS_MODELO!$B$34,2)</f>
        <v>15</v>
      </c>
      <c r="J548">
        <v>0</v>
      </c>
      <c r="K548">
        <f>IF(J548=0,0,PARAMS_MODELO!$B$35)</f>
        <v>0</v>
      </c>
      <c r="L548">
        <f t="shared" si="25"/>
        <v>68.42</v>
      </c>
      <c r="M548" t="str">
        <f t="shared" si="26"/>
        <v>Bueno</v>
      </c>
      <c r="N548">
        <f>IF(M548=PARAMS_MODELO!$A$36,PARAMS_MODELO!$B$36,IF(M548=PARAMS_MODELO!$A$37,PARAMS_MODELO!$B$37,IF(M548=PARAMS_MODELO!$A$38,PARAMS_MODELO!$B$38,IF(M548=PARAMS_MODELO!$A$39,PARAMS_MODELO!$B$39,IF(M548=PARAMS_MODELO!$A$40,PARAMS_MODELO!$B$40)))))</f>
        <v>1.1000000000000001</v>
      </c>
    </row>
    <row r="549" spans="1:14" x14ac:dyDescent="0.3">
      <c r="A549">
        <v>51015487</v>
      </c>
      <c r="B549">
        <v>23</v>
      </c>
      <c r="C549">
        <v>79</v>
      </c>
      <c r="D549">
        <f t="shared" si="24"/>
        <v>0.29113924050632911</v>
      </c>
      <c r="E549">
        <f>ROUND(MIN(5,MAX(0,D549))/5*PARAMS_MODELO!$B$32,2)</f>
        <v>2.33</v>
      </c>
      <c r="F549">
        <v>3</v>
      </c>
      <c r="G549">
        <f>MAX(0,PARAMS_MODELO!$B$33-VALUE(TRIM(F549))*3)</f>
        <v>21</v>
      </c>
      <c r="H549">
        <v>3</v>
      </c>
      <c r="I549">
        <f>ROUND(MIN(4,MAX(0,H549))/4*PARAMS_MODELO!$B$34,2)</f>
        <v>15</v>
      </c>
      <c r="J549">
        <v>1</v>
      </c>
      <c r="K549">
        <f>IF(J549=0,0,PARAMS_MODELO!$B$35)</f>
        <v>10</v>
      </c>
      <c r="L549">
        <f t="shared" si="25"/>
        <v>48.33</v>
      </c>
      <c r="M549" t="str">
        <f t="shared" si="26"/>
        <v>Regular</v>
      </c>
      <c r="N549">
        <f>IF(M549=PARAMS_MODELO!$A$36,PARAMS_MODELO!$B$36,IF(M549=PARAMS_MODELO!$A$37,PARAMS_MODELO!$B$37,IF(M549=PARAMS_MODELO!$A$38,PARAMS_MODELO!$B$38,IF(M549=PARAMS_MODELO!$A$39,PARAMS_MODELO!$B$39,IF(M549=PARAMS_MODELO!$A$40,PARAMS_MODELO!$B$40)))))</f>
        <v>1</v>
      </c>
    </row>
    <row r="550" spans="1:14" x14ac:dyDescent="0.3">
      <c r="A550">
        <v>51040333</v>
      </c>
      <c r="B550">
        <v>29</v>
      </c>
      <c r="C550">
        <v>31</v>
      </c>
      <c r="D550">
        <f t="shared" si="24"/>
        <v>0.93548387096774188</v>
      </c>
      <c r="E550">
        <f>ROUND(MIN(5,MAX(0,D550))/5*PARAMS_MODELO!$B$32,2)</f>
        <v>7.48</v>
      </c>
      <c r="F550">
        <v>1</v>
      </c>
      <c r="G550">
        <f>MAX(0,PARAMS_MODELO!$B$33-VALUE(TRIM(F550))*3)</f>
        <v>27</v>
      </c>
      <c r="H550">
        <v>3</v>
      </c>
      <c r="I550">
        <f>ROUND(MIN(4,MAX(0,H550))/4*PARAMS_MODELO!$B$34,2)</f>
        <v>15</v>
      </c>
      <c r="J550">
        <v>1</v>
      </c>
      <c r="K550">
        <f>IF(J550=0,0,PARAMS_MODELO!$B$35)</f>
        <v>10</v>
      </c>
      <c r="L550">
        <f t="shared" si="25"/>
        <v>59.480000000000004</v>
      </c>
      <c r="M550" t="str">
        <f t="shared" si="26"/>
        <v>Regular</v>
      </c>
      <c r="N550">
        <f>IF(M550=PARAMS_MODELO!$A$36,PARAMS_MODELO!$B$36,IF(M550=PARAMS_MODELO!$A$37,PARAMS_MODELO!$B$37,IF(M550=PARAMS_MODELO!$A$38,PARAMS_MODELO!$B$38,IF(M550=PARAMS_MODELO!$A$39,PARAMS_MODELO!$B$39,IF(M550=PARAMS_MODELO!$A$40,PARAMS_MODELO!$B$40)))))</f>
        <v>1</v>
      </c>
    </row>
    <row r="551" spans="1:14" x14ac:dyDescent="0.3">
      <c r="A551">
        <v>51017153</v>
      </c>
      <c r="B551">
        <v>90</v>
      </c>
      <c r="C551">
        <v>47</v>
      </c>
      <c r="D551">
        <f t="shared" si="24"/>
        <v>1.9148936170212767</v>
      </c>
      <c r="E551">
        <f>ROUND(MIN(5,MAX(0,D551))/5*PARAMS_MODELO!$B$32,2)</f>
        <v>15.32</v>
      </c>
      <c r="F551">
        <v>5</v>
      </c>
      <c r="G551">
        <f>MAX(0,PARAMS_MODELO!$B$33-VALUE(TRIM(F551))*3)</f>
        <v>15</v>
      </c>
      <c r="H551">
        <v>1</v>
      </c>
      <c r="I551">
        <f>ROUND(MIN(4,MAX(0,H551))/4*PARAMS_MODELO!$B$34,2)</f>
        <v>5</v>
      </c>
      <c r="J551">
        <v>1</v>
      </c>
      <c r="K551">
        <f>IF(J551=0,0,PARAMS_MODELO!$B$35)</f>
        <v>10</v>
      </c>
      <c r="L551">
        <f t="shared" si="25"/>
        <v>45.32</v>
      </c>
      <c r="M551" t="str">
        <f t="shared" si="26"/>
        <v>Regular</v>
      </c>
      <c r="N551">
        <f>IF(M551=PARAMS_MODELO!$A$36,PARAMS_MODELO!$B$36,IF(M551=PARAMS_MODELO!$A$37,PARAMS_MODELO!$B$37,IF(M551=PARAMS_MODELO!$A$38,PARAMS_MODELO!$B$38,IF(M551=PARAMS_MODELO!$A$39,PARAMS_MODELO!$B$39,IF(M551=PARAMS_MODELO!$A$40,PARAMS_MODELO!$B$40)))))</f>
        <v>1</v>
      </c>
    </row>
    <row r="552" spans="1:14" x14ac:dyDescent="0.3">
      <c r="A552">
        <v>51021886</v>
      </c>
      <c r="B552">
        <v>24</v>
      </c>
      <c r="C552">
        <v>34</v>
      </c>
      <c r="D552">
        <f t="shared" si="24"/>
        <v>0.70588235294117652</v>
      </c>
      <c r="E552">
        <f>ROUND(MIN(5,MAX(0,D552))/5*PARAMS_MODELO!$B$32,2)</f>
        <v>5.65</v>
      </c>
      <c r="F552">
        <v>5</v>
      </c>
      <c r="G552">
        <f>MAX(0,PARAMS_MODELO!$B$33-VALUE(TRIM(F552))*3)</f>
        <v>15</v>
      </c>
      <c r="H552">
        <v>0</v>
      </c>
      <c r="I552">
        <f>ROUND(MIN(4,MAX(0,H552))/4*PARAMS_MODELO!$B$34,2)</f>
        <v>0</v>
      </c>
      <c r="J552">
        <v>1</v>
      </c>
      <c r="K552">
        <f>IF(J552=0,0,PARAMS_MODELO!$B$35)</f>
        <v>10</v>
      </c>
      <c r="L552">
        <f t="shared" si="25"/>
        <v>30.65</v>
      </c>
      <c r="M552" t="str">
        <f t="shared" si="26"/>
        <v>Malo</v>
      </c>
      <c r="N552">
        <f>IF(M552=PARAMS_MODELO!$A$36,PARAMS_MODELO!$B$36,IF(M552=PARAMS_MODELO!$A$37,PARAMS_MODELO!$B$37,IF(M552=PARAMS_MODELO!$A$38,PARAMS_MODELO!$B$38,IF(M552=PARAMS_MODELO!$A$39,PARAMS_MODELO!$B$39,IF(M552=PARAMS_MODELO!$A$40,PARAMS_MODELO!$B$40)))))</f>
        <v>0.7</v>
      </c>
    </row>
    <row r="553" spans="1:14" x14ac:dyDescent="0.3">
      <c r="A553">
        <v>51023188</v>
      </c>
      <c r="B553">
        <v>46</v>
      </c>
      <c r="C553">
        <v>63</v>
      </c>
      <c r="D553">
        <f t="shared" si="24"/>
        <v>0.73015873015873012</v>
      </c>
      <c r="E553">
        <f>ROUND(MIN(5,MAX(0,D553))/5*PARAMS_MODELO!$B$32,2)</f>
        <v>5.84</v>
      </c>
      <c r="F553">
        <v>0</v>
      </c>
      <c r="G553">
        <f>MAX(0,PARAMS_MODELO!$B$33-VALUE(TRIM(F553))*3)</f>
        <v>30</v>
      </c>
      <c r="H553">
        <v>3</v>
      </c>
      <c r="I553">
        <f>ROUND(MIN(4,MAX(0,H553))/4*PARAMS_MODELO!$B$34,2)</f>
        <v>15</v>
      </c>
      <c r="J553">
        <v>1</v>
      </c>
      <c r="K553">
        <f>IF(J553=0,0,PARAMS_MODELO!$B$35)</f>
        <v>10</v>
      </c>
      <c r="L553">
        <f t="shared" si="25"/>
        <v>60.84</v>
      </c>
      <c r="M553" t="str">
        <f t="shared" si="26"/>
        <v>Bueno</v>
      </c>
      <c r="N553">
        <f>IF(M553=PARAMS_MODELO!$A$36,PARAMS_MODELO!$B$36,IF(M553=PARAMS_MODELO!$A$37,PARAMS_MODELO!$B$37,IF(M553=PARAMS_MODELO!$A$38,PARAMS_MODELO!$B$38,IF(M553=PARAMS_MODELO!$A$39,PARAMS_MODELO!$B$39,IF(M553=PARAMS_MODELO!$A$40,PARAMS_MODELO!$B$40)))))</f>
        <v>1.1000000000000001</v>
      </c>
    </row>
    <row r="554" spans="1:14" x14ac:dyDescent="0.3">
      <c r="A554">
        <v>51055667</v>
      </c>
      <c r="B554">
        <v>5</v>
      </c>
      <c r="C554">
        <v>94</v>
      </c>
      <c r="D554">
        <f t="shared" si="24"/>
        <v>5.3191489361702128E-2</v>
      </c>
      <c r="E554">
        <f>ROUND(MIN(5,MAX(0,D554))/5*PARAMS_MODELO!$B$32,2)</f>
        <v>0.43</v>
      </c>
      <c r="F554">
        <v>3</v>
      </c>
      <c r="G554">
        <f>MAX(0,PARAMS_MODELO!$B$33-VALUE(TRIM(F554))*3)</f>
        <v>21</v>
      </c>
      <c r="H554">
        <v>2</v>
      </c>
      <c r="I554">
        <f>ROUND(MIN(4,MAX(0,H554))/4*PARAMS_MODELO!$B$34,2)</f>
        <v>10</v>
      </c>
      <c r="J554">
        <v>1</v>
      </c>
      <c r="K554">
        <f>IF(J554=0,0,PARAMS_MODELO!$B$35)</f>
        <v>10</v>
      </c>
      <c r="L554">
        <f t="shared" si="25"/>
        <v>41.43</v>
      </c>
      <c r="M554" t="str">
        <f t="shared" si="26"/>
        <v>Regular</v>
      </c>
      <c r="N554">
        <f>IF(M554=PARAMS_MODELO!$A$36,PARAMS_MODELO!$B$36,IF(M554=PARAMS_MODELO!$A$37,PARAMS_MODELO!$B$37,IF(M554=PARAMS_MODELO!$A$38,PARAMS_MODELO!$B$38,IF(M554=PARAMS_MODELO!$A$39,PARAMS_MODELO!$B$39,IF(M554=PARAMS_MODELO!$A$40,PARAMS_MODELO!$B$40)))))</f>
        <v>1</v>
      </c>
    </row>
    <row r="555" spans="1:14" x14ac:dyDescent="0.3">
      <c r="A555">
        <v>51020081</v>
      </c>
      <c r="B555">
        <v>81</v>
      </c>
      <c r="C555">
        <v>36</v>
      </c>
      <c r="D555">
        <f t="shared" si="24"/>
        <v>2.25</v>
      </c>
      <c r="E555">
        <f>ROUND(MIN(5,MAX(0,D555))/5*PARAMS_MODELO!$B$32,2)</f>
        <v>18</v>
      </c>
      <c r="F555">
        <v>3</v>
      </c>
      <c r="G555">
        <f>MAX(0,PARAMS_MODELO!$B$33-VALUE(TRIM(F555))*3)</f>
        <v>21</v>
      </c>
      <c r="H555">
        <v>0</v>
      </c>
      <c r="I555">
        <f>ROUND(MIN(4,MAX(0,H555))/4*PARAMS_MODELO!$B$34,2)</f>
        <v>0</v>
      </c>
      <c r="J555">
        <v>1</v>
      </c>
      <c r="K555">
        <f>IF(J555=0,0,PARAMS_MODELO!$B$35)</f>
        <v>10</v>
      </c>
      <c r="L555">
        <f t="shared" si="25"/>
        <v>49</v>
      </c>
      <c r="M555" t="str">
        <f t="shared" si="26"/>
        <v>Regular</v>
      </c>
      <c r="N555">
        <f>IF(M555=PARAMS_MODELO!$A$36,PARAMS_MODELO!$B$36,IF(M555=PARAMS_MODELO!$A$37,PARAMS_MODELO!$B$37,IF(M555=PARAMS_MODELO!$A$38,PARAMS_MODELO!$B$38,IF(M555=PARAMS_MODELO!$A$39,PARAMS_MODELO!$B$39,IF(M555=PARAMS_MODELO!$A$40,PARAMS_MODELO!$B$40)))))</f>
        <v>1</v>
      </c>
    </row>
    <row r="556" spans="1:14" x14ac:dyDescent="0.3">
      <c r="A556">
        <v>51018729</v>
      </c>
      <c r="B556">
        <v>48</v>
      </c>
      <c r="C556">
        <v>15</v>
      </c>
      <c r="D556">
        <f t="shared" si="24"/>
        <v>3.2</v>
      </c>
      <c r="E556">
        <f>ROUND(MIN(5,MAX(0,D556))/5*PARAMS_MODELO!$B$32,2)</f>
        <v>25.6</v>
      </c>
      <c r="F556">
        <v>3</v>
      </c>
      <c r="G556">
        <f>MAX(0,PARAMS_MODELO!$B$33-VALUE(TRIM(F556))*3)</f>
        <v>21</v>
      </c>
      <c r="H556">
        <v>1</v>
      </c>
      <c r="I556">
        <f>ROUND(MIN(4,MAX(0,H556))/4*PARAMS_MODELO!$B$34,2)</f>
        <v>5</v>
      </c>
      <c r="J556">
        <v>1</v>
      </c>
      <c r="K556">
        <f>IF(J556=0,0,PARAMS_MODELO!$B$35)</f>
        <v>10</v>
      </c>
      <c r="L556">
        <f t="shared" si="25"/>
        <v>61.6</v>
      </c>
      <c r="M556" t="str">
        <f t="shared" si="26"/>
        <v>Bueno</v>
      </c>
      <c r="N556">
        <f>IF(M556=PARAMS_MODELO!$A$36,PARAMS_MODELO!$B$36,IF(M556=PARAMS_MODELO!$A$37,PARAMS_MODELO!$B$37,IF(M556=PARAMS_MODELO!$A$38,PARAMS_MODELO!$B$38,IF(M556=PARAMS_MODELO!$A$39,PARAMS_MODELO!$B$39,IF(M556=PARAMS_MODELO!$A$40,PARAMS_MODELO!$B$40)))))</f>
        <v>1.1000000000000001</v>
      </c>
    </row>
    <row r="557" spans="1:14" x14ac:dyDescent="0.3">
      <c r="A557">
        <v>51030222</v>
      </c>
      <c r="B557">
        <v>75</v>
      </c>
      <c r="C557">
        <v>84</v>
      </c>
      <c r="D557">
        <f t="shared" si="24"/>
        <v>0.8928571428571429</v>
      </c>
      <c r="E557">
        <f>ROUND(MIN(5,MAX(0,D557))/5*PARAMS_MODELO!$B$32,2)</f>
        <v>7.14</v>
      </c>
      <c r="F557">
        <v>5</v>
      </c>
      <c r="G557">
        <f>MAX(0,PARAMS_MODELO!$B$33-VALUE(TRIM(F557))*3)</f>
        <v>15</v>
      </c>
      <c r="H557">
        <v>0</v>
      </c>
      <c r="I557">
        <f>ROUND(MIN(4,MAX(0,H557))/4*PARAMS_MODELO!$B$34,2)</f>
        <v>0</v>
      </c>
      <c r="J557">
        <v>1</v>
      </c>
      <c r="K557">
        <f>IF(J557=0,0,PARAMS_MODELO!$B$35)</f>
        <v>10</v>
      </c>
      <c r="L557">
        <f t="shared" si="25"/>
        <v>32.14</v>
      </c>
      <c r="M557" t="str">
        <f t="shared" si="26"/>
        <v>Malo</v>
      </c>
      <c r="N557">
        <f>IF(M557=PARAMS_MODELO!$A$36,PARAMS_MODELO!$B$36,IF(M557=PARAMS_MODELO!$A$37,PARAMS_MODELO!$B$37,IF(M557=PARAMS_MODELO!$A$38,PARAMS_MODELO!$B$38,IF(M557=PARAMS_MODELO!$A$39,PARAMS_MODELO!$B$39,IF(M557=PARAMS_MODELO!$A$40,PARAMS_MODELO!$B$40)))))</f>
        <v>0.7</v>
      </c>
    </row>
    <row r="558" spans="1:14" x14ac:dyDescent="0.3">
      <c r="A558">
        <v>51002717</v>
      </c>
      <c r="B558">
        <v>80</v>
      </c>
      <c r="C558">
        <v>5</v>
      </c>
      <c r="D558">
        <f t="shared" si="24"/>
        <v>5</v>
      </c>
      <c r="E558">
        <f>ROUND(MIN(5,MAX(0,D558))/5*PARAMS_MODELO!$B$32,2)</f>
        <v>40</v>
      </c>
      <c r="F558">
        <v>0</v>
      </c>
      <c r="G558">
        <f>MAX(0,PARAMS_MODELO!$B$33-VALUE(TRIM(F558))*3)</f>
        <v>30</v>
      </c>
      <c r="H558">
        <v>2</v>
      </c>
      <c r="I558">
        <f>ROUND(MIN(4,MAX(0,H558))/4*PARAMS_MODELO!$B$34,2)</f>
        <v>10</v>
      </c>
      <c r="J558">
        <v>1</v>
      </c>
      <c r="K558">
        <f>IF(J558=0,0,PARAMS_MODELO!$B$35)</f>
        <v>10</v>
      </c>
      <c r="L558">
        <f t="shared" si="25"/>
        <v>90</v>
      </c>
      <c r="M558" t="str">
        <f t="shared" si="26"/>
        <v>Excelente</v>
      </c>
      <c r="N558">
        <f>IF(M558=PARAMS_MODELO!$A$36,PARAMS_MODELO!$B$36,IF(M558=PARAMS_MODELO!$A$37,PARAMS_MODELO!$B$37,IF(M558=PARAMS_MODELO!$A$38,PARAMS_MODELO!$B$38,IF(M558=PARAMS_MODELO!$A$39,PARAMS_MODELO!$B$39,IF(M558=PARAMS_MODELO!$A$40,PARAMS_MODELO!$B$40)))))</f>
        <v>1.2</v>
      </c>
    </row>
    <row r="559" spans="1:14" x14ac:dyDescent="0.3">
      <c r="A559">
        <v>51055454</v>
      </c>
      <c r="B559">
        <v>64</v>
      </c>
      <c r="C559">
        <v>75</v>
      </c>
      <c r="D559">
        <f t="shared" si="24"/>
        <v>0.85333333333333339</v>
      </c>
      <c r="E559">
        <f>ROUND(MIN(5,MAX(0,D559))/5*PARAMS_MODELO!$B$32,2)</f>
        <v>6.83</v>
      </c>
      <c r="F559">
        <v>2</v>
      </c>
      <c r="G559">
        <f>MAX(0,PARAMS_MODELO!$B$33-VALUE(TRIM(F559))*3)</f>
        <v>24</v>
      </c>
      <c r="H559">
        <v>3</v>
      </c>
      <c r="I559">
        <f>ROUND(MIN(4,MAX(0,H559))/4*PARAMS_MODELO!$B$34,2)</f>
        <v>15</v>
      </c>
      <c r="J559">
        <v>0</v>
      </c>
      <c r="K559">
        <f>IF(J559=0,0,PARAMS_MODELO!$B$35)</f>
        <v>0</v>
      </c>
      <c r="L559">
        <f t="shared" si="25"/>
        <v>45.83</v>
      </c>
      <c r="M559" t="str">
        <f t="shared" si="26"/>
        <v>Regular</v>
      </c>
      <c r="N559">
        <f>IF(M559=PARAMS_MODELO!$A$36,PARAMS_MODELO!$B$36,IF(M559=PARAMS_MODELO!$A$37,PARAMS_MODELO!$B$37,IF(M559=PARAMS_MODELO!$A$38,PARAMS_MODELO!$B$38,IF(M559=PARAMS_MODELO!$A$39,PARAMS_MODELO!$B$39,IF(M559=PARAMS_MODELO!$A$40,PARAMS_MODELO!$B$40)))))</f>
        <v>1</v>
      </c>
    </row>
    <row r="560" spans="1:14" x14ac:dyDescent="0.3">
      <c r="A560">
        <v>51055756</v>
      </c>
      <c r="B560">
        <v>58</v>
      </c>
      <c r="C560">
        <v>20</v>
      </c>
      <c r="D560">
        <f t="shared" si="24"/>
        <v>2.9</v>
      </c>
      <c r="E560">
        <f>ROUND(MIN(5,MAX(0,D560))/5*PARAMS_MODELO!$B$32,2)</f>
        <v>23.2</v>
      </c>
      <c r="F560">
        <v>3</v>
      </c>
      <c r="G560">
        <f>MAX(0,PARAMS_MODELO!$B$33-VALUE(TRIM(F560))*3)</f>
        <v>21</v>
      </c>
      <c r="H560">
        <v>3</v>
      </c>
      <c r="I560">
        <f>ROUND(MIN(4,MAX(0,H560))/4*PARAMS_MODELO!$B$34,2)</f>
        <v>15</v>
      </c>
      <c r="J560">
        <v>1</v>
      </c>
      <c r="K560">
        <f>IF(J560=0,0,PARAMS_MODELO!$B$35)</f>
        <v>10</v>
      </c>
      <c r="L560">
        <f t="shared" si="25"/>
        <v>69.2</v>
      </c>
      <c r="M560" t="str">
        <f t="shared" si="26"/>
        <v>Bueno</v>
      </c>
      <c r="N560">
        <f>IF(M560=PARAMS_MODELO!$A$36,PARAMS_MODELO!$B$36,IF(M560=PARAMS_MODELO!$A$37,PARAMS_MODELO!$B$37,IF(M560=PARAMS_MODELO!$A$38,PARAMS_MODELO!$B$38,IF(M560=PARAMS_MODELO!$A$39,PARAMS_MODELO!$B$39,IF(M560=PARAMS_MODELO!$A$40,PARAMS_MODELO!$B$40)))))</f>
        <v>1.1000000000000001</v>
      </c>
    </row>
    <row r="561" spans="1:14" x14ac:dyDescent="0.3">
      <c r="A561">
        <v>51011490</v>
      </c>
      <c r="B561">
        <v>16</v>
      </c>
      <c r="C561">
        <v>1</v>
      </c>
      <c r="D561">
        <f t="shared" si="24"/>
        <v>5</v>
      </c>
      <c r="E561">
        <f>ROUND(MIN(5,MAX(0,D561))/5*PARAMS_MODELO!$B$32,2)</f>
        <v>40</v>
      </c>
      <c r="F561">
        <v>0</v>
      </c>
      <c r="G561">
        <f>MAX(0,PARAMS_MODELO!$B$33-VALUE(TRIM(F561))*3)</f>
        <v>30</v>
      </c>
      <c r="H561">
        <v>2</v>
      </c>
      <c r="I561">
        <f>ROUND(MIN(4,MAX(0,H561))/4*PARAMS_MODELO!$B$34,2)</f>
        <v>10</v>
      </c>
      <c r="J561">
        <v>0</v>
      </c>
      <c r="K561">
        <f>IF(J561=0,0,PARAMS_MODELO!$B$35)</f>
        <v>0</v>
      </c>
      <c r="L561">
        <f t="shared" si="25"/>
        <v>80</v>
      </c>
      <c r="M561" t="str">
        <f t="shared" si="26"/>
        <v>Muy Bueno</v>
      </c>
      <c r="N561">
        <f>IF(M561=PARAMS_MODELO!$A$36,PARAMS_MODELO!$B$36,IF(M561=PARAMS_MODELO!$A$37,PARAMS_MODELO!$B$37,IF(M561=PARAMS_MODELO!$A$38,PARAMS_MODELO!$B$38,IF(M561=PARAMS_MODELO!$A$39,PARAMS_MODELO!$B$39,IF(M561=PARAMS_MODELO!$A$40,PARAMS_MODELO!$B$40)))))</f>
        <v>1.1499999999999999</v>
      </c>
    </row>
    <row r="562" spans="1:14" x14ac:dyDescent="0.3">
      <c r="A562">
        <v>51010736</v>
      </c>
      <c r="B562">
        <v>68</v>
      </c>
      <c r="C562">
        <v>15</v>
      </c>
      <c r="D562">
        <f t="shared" si="24"/>
        <v>4.5333333333333332</v>
      </c>
      <c r="E562">
        <f>ROUND(MIN(5,MAX(0,D562))/5*PARAMS_MODELO!$B$32,2)</f>
        <v>36.270000000000003</v>
      </c>
      <c r="F562">
        <v>1</v>
      </c>
      <c r="G562">
        <f>MAX(0,PARAMS_MODELO!$B$33-VALUE(TRIM(F562))*3)</f>
        <v>27</v>
      </c>
      <c r="H562">
        <v>2</v>
      </c>
      <c r="I562">
        <f>ROUND(MIN(4,MAX(0,H562))/4*PARAMS_MODELO!$B$34,2)</f>
        <v>10</v>
      </c>
      <c r="J562">
        <v>1</v>
      </c>
      <c r="K562">
        <f>IF(J562=0,0,PARAMS_MODELO!$B$35)</f>
        <v>10</v>
      </c>
      <c r="L562">
        <f t="shared" si="25"/>
        <v>83.27000000000001</v>
      </c>
      <c r="M562" t="str">
        <f t="shared" si="26"/>
        <v>Muy Bueno</v>
      </c>
      <c r="N562">
        <f>IF(M562=PARAMS_MODELO!$A$36,PARAMS_MODELO!$B$36,IF(M562=PARAMS_MODELO!$A$37,PARAMS_MODELO!$B$37,IF(M562=PARAMS_MODELO!$A$38,PARAMS_MODELO!$B$38,IF(M562=PARAMS_MODELO!$A$39,PARAMS_MODELO!$B$39,IF(M562=PARAMS_MODELO!$A$40,PARAMS_MODELO!$B$40)))))</f>
        <v>1.1499999999999999</v>
      </c>
    </row>
    <row r="563" spans="1:14" x14ac:dyDescent="0.3">
      <c r="A563">
        <v>51016149</v>
      </c>
      <c r="B563">
        <v>7</v>
      </c>
      <c r="C563">
        <v>61</v>
      </c>
      <c r="D563">
        <f t="shared" si="24"/>
        <v>0.11475409836065574</v>
      </c>
      <c r="E563">
        <f>ROUND(MIN(5,MAX(0,D563))/5*PARAMS_MODELO!$B$32,2)</f>
        <v>0.92</v>
      </c>
      <c r="F563">
        <v>5</v>
      </c>
      <c r="G563">
        <f>MAX(0,PARAMS_MODELO!$B$33-VALUE(TRIM(F563))*3)</f>
        <v>15</v>
      </c>
      <c r="H563">
        <v>3</v>
      </c>
      <c r="I563">
        <f>ROUND(MIN(4,MAX(0,H563))/4*PARAMS_MODELO!$B$34,2)</f>
        <v>15</v>
      </c>
      <c r="J563">
        <v>1</v>
      </c>
      <c r="K563">
        <f>IF(J563=0,0,PARAMS_MODELO!$B$35)</f>
        <v>10</v>
      </c>
      <c r="L563">
        <f t="shared" si="25"/>
        <v>40.92</v>
      </c>
      <c r="M563" t="str">
        <f t="shared" si="26"/>
        <v>Regular</v>
      </c>
      <c r="N563">
        <f>IF(M563=PARAMS_MODELO!$A$36,PARAMS_MODELO!$B$36,IF(M563=PARAMS_MODELO!$A$37,PARAMS_MODELO!$B$37,IF(M563=PARAMS_MODELO!$A$38,PARAMS_MODELO!$B$38,IF(M563=PARAMS_MODELO!$A$39,PARAMS_MODELO!$B$39,IF(M563=PARAMS_MODELO!$A$40,PARAMS_MODELO!$B$40)))))</f>
        <v>1</v>
      </c>
    </row>
    <row r="564" spans="1:14" x14ac:dyDescent="0.3">
      <c r="A564">
        <v>51013930</v>
      </c>
      <c r="B564">
        <v>46</v>
      </c>
      <c r="C564">
        <v>83</v>
      </c>
      <c r="D564">
        <f t="shared" si="24"/>
        <v>0.55421686746987953</v>
      </c>
      <c r="E564">
        <f>ROUND(MIN(5,MAX(0,D564))/5*PARAMS_MODELO!$B$32,2)</f>
        <v>4.43</v>
      </c>
      <c r="F564">
        <v>1</v>
      </c>
      <c r="G564">
        <f>MAX(0,PARAMS_MODELO!$B$33-VALUE(TRIM(F564))*3)</f>
        <v>27</v>
      </c>
      <c r="H564">
        <v>1</v>
      </c>
      <c r="I564">
        <f>ROUND(MIN(4,MAX(0,H564))/4*PARAMS_MODELO!$B$34,2)</f>
        <v>5</v>
      </c>
      <c r="J564">
        <v>0</v>
      </c>
      <c r="K564">
        <f>IF(J564=0,0,PARAMS_MODELO!$B$35)</f>
        <v>0</v>
      </c>
      <c r="L564">
        <f t="shared" si="25"/>
        <v>36.43</v>
      </c>
      <c r="M564" t="str">
        <f t="shared" si="26"/>
        <v>Malo</v>
      </c>
      <c r="N564">
        <f>IF(M564=PARAMS_MODELO!$A$36,PARAMS_MODELO!$B$36,IF(M564=PARAMS_MODELO!$A$37,PARAMS_MODELO!$B$37,IF(M564=PARAMS_MODELO!$A$38,PARAMS_MODELO!$B$38,IF(M564=PARAMS_MODELO!$A$39,PARAMS_MODELO!$B$39,IF(M564=PARAMS_MODELO!$A$40,PARAMS_MODELO!$B$40)))))</f>
        <v>0.7</v>
      </c>
    </row>
    <row r="565" spans="1:14" x14ac:dyDescent="0.3">
      <c r="A565">
        <v>51055641</v>
      </c>
      <c r="B565">
        <v>63</v>
      </c>
      <c r="C565">
        <v>85</v>
      </c>
      <c r="D565">
        <f t="shared" si="24"/>
        <v>0.74117647058823533</v>
      </c>
      <c r="E565">
        <f>ROUND(MIN(5,MAX(0,D565))/5*PARAMS_MODELO!$B$32,2)</f>
        <v>5.93</v>
      </c>
      <c r="F565">
        <v>0</v>
      </c>
      <c r="G565">
        <f>MAX(0,PARAMS_MODELO!$B$33-VALUE(TRIM(F565))*3)</f>
        <v>30</v>
      </c>
      <c r="H565">
        <v>0</v>
      </c>
      <c r="I565">
        <f>ROUND(MIN(4,MAX(0,H565))/4*PARAMS_MODELO!$B$34,2)</f>
        <v>0</v>
      </c>
      <c r="J565">
        <v>0</v>
      </c>
      <c r="K565">
        <f>IF(J565=0,0,PARAMS_MODELO!$B$35)</f>
        <v>0</v>
      </c>
      <c r="L565">
        <f t="shared" si="25"/>
        <v>35.93</v>
      </c>
      <c r="M565" t="str">
        <f t="shared" si="26"/>
        <v>Malo</v>
      </c>
      <c r="N565">
        <f>IF(M565=PARAMS_MODELO!$A$36,PARAMS_MODELO!$B$36,IF(M565=PARAMS_MODELO!$A$37,PARAMS_MODELO!$B$37,IF(M565=PARAMS_MODELO!$A$38,PARAMS_MODELO!$B$38,IF(M565=PARAMS_MODELO!$A$39,PARAMS_MODELO!$B$39,IF(M565=PARAMS_MODELO!$A$40,PARAMS_MODELO!$B$40)))))</f>
        <v>0.7</v>
      </c>
    </row>
    <row r="566" spans="1:14" x14ac:dyDescent="0.3">
      <c r="A566">
        <v>51021461</v>
      </c>
      <c r="B566">
        <v>35</v>
      </c>
      <c r="C566">
        <v>68</v>
      </c>
      <c r="D566">
        <f t="shared" si="24"/>
        <v>0.51470588235294112</v>
      </c>
      <c r="E566">
        <f>ROUND(MIN(5,MAX(0,D566))/5*PARAMS_MODELO!$B$32,2)</f>
        <v>4.12</v>
      </c>
      <c r="F566">
        <v>1</v>
      </c>
      <c r="G566">
        <f>MAX(0,PARAMS_MODELO!$B$33-VALUE(TRIM(F566))*3)</f>
        <v>27</v>
      </c>
      <c r="H566">
        <v>4</v>
      </c>
      <c r="I566">
        <f>ROUND(MIN(4,MAX(0,H566))/4*PARAMS_MODELO!$B$34,2)</f>
        <v>20</v>
      </c>
      <c r="J566">
        <v>1</v>
      </c>
      <c r="K566">
        <f>IF(J566=0,0,PARAMS_MODELO!$B$35)</f>
        <v>10</v>
      </c>
      <c r="L566">
        <f t="shared" si="25"/>
        <v>61.120000000000005</v>
      </c>
      <c r="M566" t="str">
        <f t="shared" si="26"/>
        <v>Bueno</v>
      </c>
      <c r="N566">
        <f>IF(M566=PARAMS_MODELO!$A$36,PARAMS_MODELO!$B$36,IF(M566=PARAMS_MODELO!$A$37,PARAMS_MODELO!$B$37,IF(M566=PARAMS_MODELO!$A$38,PARAMS_MODELO!$B$38,IF(M566=PARAMS_MODELO!$A$39,PARAMS_MODELO!$B$39,IF(M566=PARAMS_MODELO!$A$40,PARAMS_MODELO!$B$40)))))</f>
        <v>1.1000000000000001</v>
      </c>
    </row>
    <row r="567" spans="1:14" x14ac:dyDescent="0.3">
      <c r="A567">
        <v>51039637</v>
      </c>
      <c r="B567">
        <v>23</v>
      </c>
      <c r="C567">
        <v>27</v>
      </c>
      <c r="D567">
        <f t="shared" si="24"/>
        <v>0.85185185185185186</v>
      </c>
      <c r="E567">
        <f>ROUND(MIN(5,MAX(0,D567))/5*PARAMS_MODELO!$B$32,2)</f>
        <v>6.81</v>
      </c>
      <c r="F567">
        <v>1</v>
      </c>
      <c r="G567">
        <f>MAX(0,PARAMS_MODELO!$B$33-VALUE(TRIM(F567))*3)</f>
        <v>27</v>
      </c>
      <c r="H567">
        <v>4</v>
      </c>
      <c r="I567">
        <f>ROUND(MIN(4,MAX(0,H567))/4*PARAMS_MODELO!$B$34,2)</f>
        <v>20</v>
      </c>
      <c r="J567">
        <v>1</v>
      </c>
      <c r="K567">
        <f>IF(J567=0,0,PARAMS_MODELO!$B$35)</f>
        <v>10</v>
      </c>
      <c r="L567">
        <f t="shared" si="25"/>
        <v>63.81</v>
      </c>
      <c r="M567" t="str">
        <f t="shared" si="26"/>
        <v>Bueno</v>
      </c>
      <c r="N567">
        <f>IF(M567=PARAMS_MODELO!$A$36,PARAMS_MODELO!$B$36,IF(M567=PARAMS_MODELO!$A$37,PARAMS_MODELO!$B$37,IF(M567=PARAMS_MODELO!$A$38,PARAMS_MODELO!$B$38,IF(M567=PARAMS_MODELO!$A$39,PARAMS_MODELO!$B$39,IF(M567=PARAMS_MODELO!$A$40,PARAMS_MODELO!$B$40)))))</f>
        <v>1.1000000000000001</v>
      </c>
    </row>
    <row r="568" spans="1:14" x14ac:dyDescent="0.3">
      <c r="A568">
        <v>51020308</v>
      </c>
      <c r="B568">
        <v>71</v>
      </c>
      <c r="C568">
        <v>89</v>
      </c>
      <c r="D568">
        <f t="shared" si="24"/>
        <v>0.797752808988764</v>
      </c>
      <c r="E568">
        <f>ROUND(MIN(5,MAX(0,D568))/5*PARAMS_MODELO!$B$32,2)</f>
        <v>6.38</v>
      </c>
      <c r="F568">
        <v>1</v>
      </c>
      <c r="G568">
        <f>MAX(0,PARAMS_MODELO!$B$33-VALUE(TRIM(F568))*3)</f>
        <v>27</v>
      </c>
      <c r="H568">
        <v>4</v>
      </c>
      <c r="I568">
        <f>ROUND(MIN(4,MAX(0,H568))/4*PARAMS_MODELO!$B$34,2)</f>
        <v>20</v>
      </c>
      <c r="J568">
        <v>0</v>
      </c>
      <c r="K568">
        <f>IF(J568=0,0,PARAMS_MODELO!$B$35)</f>
        <v>0</v>
      </c>
      <c r="L568">
        <f t="shared" si="25"/>
        <v>53.38</v>
      </c>
      <c r="M568" t="str">
        <f t="shared" si="26"/>
        <v>Regular</v>
      </c>
      <c r="N568">
        <f>IF(M568=PARAMS_MODELO!$A$36,PARAMS_MODELO!$B$36,IF(M568=PARAMS_MODELO!$A$37,PARAMS_MODELO!$B$37,IF(M568=PARAMS_MODELO!$A$38,PARAMS_MODELO!$B$38,IF(M568=PARAMS_MODELO!$A$39,PARAMS_MODELO!$B$39,IF(M568=PARAMS_MODELO!$A$40,PARAMS_MODELO!$B$40)))))</f>
        <v>1</v>
      </c>
    </row>
    <row r="569" spans="1:14" x14ac:dyDescent="0.3">
      <c r="A569">
        <v>51040597</v>
      </c>
      <c r="B569">
        <v>46</v>
      </c>
      <c r="C569">
        <v>37</v>
      </c>
      <c r="D569">
        <f t="shared" si="24"/>
        <v>1.2432432432432432</v>
      </c>
      <c r="E569">
        <f>ROUND(MIN(5,MAX(0,D569))/5*PARAMS_MODELO!$B$32,2)</f>
        <v>9.9499999999999993</v>
      </c>
      <c r="F569">
        <v>4</v>
      </c>
      <c r="G569">
        <f>MAX(0,PARAMS_MODELO!$B$33-VALUE(TRIM(F569))*3)</f>
        <v>18</v>
      </c>
      <c r="H569">
        <v>2</v>
      </c>
      <c r="I569">
        <f>ROUND(MIN(4,MAX(0,H569))/4*PARAMS_MODELO!$B$34,2)</f>
        <v>10</v>
      </c>
      <c r="J569">
        <v>0</v>
      </c>
      <c r="K569">
        <f>IF(J569=0,0,PARAMS_MODELO!$B$35)</f>
        <v>0</v>
      </c>
      <c r="L569">
        <f t="shared" si="25"/>
        <v>37.950000000000003</v>
      </c>
      <c r="M569" t="str">
        <f t="shared" si="26"/>
        <v>Malo</v>
      </c>
      <c r="N569">
        <f>IF(M569=PARAMS_MODELO!$A$36,PARAMS_MODELO!$B$36,IF(M569=PARAMS_MODELO!$A$37,PARAMS_MODELO!$B$37,IF(M569=PARAMS_MODELO!$A$38,PARAMS_MODELO!$B$38,IF(M569=PARAMS_MODELO!$A$39,PARAMS_MODELO!$B$39,IF(M569=PARAMS_MODELO!$A$40,PARAMS_MODELO!$B$40)))))</f>
        <v>0.7</v>
      </c>
    </row>
    <row r="570" spans="1:14" x14ac:dyDescent="0.3">
      <c r="A570">
        <v>51014197</v>
      </c>
      <c r="B570">
        <v>38</v>
      </c>
      <c r="C570">
        <v>54</v>
      </c>
      <c r="D570">
        <f t="shared" si="24"/>
        <v>0.70370370370370372</v>
      </c>
      <c r="E570">
        <f>ROUND(MIN(5,MAX(0,D570))/5*PARAMS_MODELO!$B$32,2)</f>
        <v>5.63</v>
      </c>
      <c r="F570">
        <v>5</v>
      </c>
      <c r="G570">
        <f>MAX(0,PARAMS_MODELO!$B$33-VALUE(TRIM(F570))*3)</f>
        <v>15</v>
      </c>
      <c r="H570">
        <v>1</v>
      </c>
      <c r="I570">
        <f>ROUND(MIN(4,MAX(0,H570))/4*PARAMS_MODELO!$B$34,2)</f>
        <v>5</v>
      </c>
      <c r="J570">
        <v>0</v>
      </c>
      <c r="K570">
        <f>IF(J570=0,0,PARAMS_MODELO!$B$35)</f>
        <v>0</v>
      </c>
      <c r="L570">
        <f t="shared" si="25"/>
        <v>25.63</v>
      </c>
      <c r="M570" t="str">
        <f t="shared" si="26"/>
        <v>Malo</v>
      </c>
      <c r="N570">
        <f>IF(M570=PARAMS_MODELO!$A$36,PARAMS_MODELO!$B$36,IF(M570=PARAMS_MODELO!$A$37,PARAMS_MODELO!$B$37,IF(M570=PARAMS_MODELO!$A$38,PARAMS_MODELO!$B$38,IF(M570=PARAMS_MODELO!$A$39,PARAMS_MODELO!$B$39,IF(M570=PARAMS_MODELO!$A$40,PARAMS_MODELO!$B$40)))))</f>
        <v>0.7</v>
      </c>
    </row>
    <row r="571" spans="1:14" x14ac:dyDescent="0.3">
      <c r="A571">
        <v>51056621</v>
      </c>
      <c r="B571">
        <v>8</v>
      </c>
      <c r="C571">
        <v>1</v>
      </c>
      <c r="D571">
        <f t="shared" si="24"/>
        <v>5</v>
      </c>
      <c r="E571">
        <f>ROUND(MIN(5,MAX(0,D571))/5*PARAMS_MODELO!$B$32,2)</f>
        <v>40</v>
      </c>
      <c r="F571">
        <v>2</v>
      </c>
      <c r="G571">
        <f>MAX(0,PARAMS_MODELO!$B$33-VALUE(TRIM(F571))*3)</f>
        <v>24</v>
      </c>
      <c r="H571">
        <v>3</v>
      </c>
      <c r="I571">
        <f>ROUND(MIN(4,MAX(0,H571))/4*PARAMS_MODELO!$B$34,2)</f>
        <v>15</v>
      </c>
      <c r="J571">
        <v>1</v>
      </c>
      <c r="K571">
        <f>IF(J571=0,0,PARAMS_MODELO!$B$35)</f>
        <v>10</v>
      </c>
      <c r="L571">
        <f t="shared" si="25"/>
        <v>89</v>
      </c>
      <c r="M571" t="str">
        <f t="shared" si="26"/>
        <v>Muy Bueno</v>
      </c>
      <c r="N571">
        <f>IF(M571=PARAMS_MODELO!$A$36,PARAMS_MODELO!$B$36,IF(M571=PARAMS_MODELO!$A$37,PARAMS_MODELO!$B$37,IF(M571=PARAMS_MODELO!$A$38,PARAMS_MODELO!$B$38,IF(M571=PARAMS_MODELO!$A$39,PARAMS_MODELO!$B$39,IF(M571=PARAMS_MODELO!$A$40,PARAMS_MODELO!$B$40)))))</f>
        <v>1.1499999999999999</v>
      </c>
    </row>
    <row r="572" spans="1:14" x14ac:dyDescent="0.3">
      <c r="A572">
        <v>51018524</v>
      </c>
      <c r="B572">
        <v>62</v>
      </c>
      <c r="C572">
        <v>22</v>
      </c>
      <c r="D572">
        <f t="shared" si="24"/>
        <v>2.8181818181818183</v>
      </c>
      <c r="E572">
        <f>ROUND(MIN(5,MAX(0,D572))/5*PARAMS_MODELO!$B$32,2)</f>
        <v>22.55</v>
      </c>
      <c r="F572">
        <v>3</v>
      </c>
      <c r="G572">
        <f>MAX(0,PARAMS_MODELO!$B$33-VALUE(TRIM(F572))*3)</f>
        <v>21</v>
      </c>
      <c r="H572">
        <v>0</v>
      </c>
      <c r="I572">
        <f>ROUND(MIN(4,MAX(0,H572))/4*PARAMS_MODELO!$B$34,2)</f>
        <v>0</v>
      </c>
      <c r="J572">
        <v>0</v>
      </c>
      <c r="K572">
        <f>IF(J572=0,0,PARAMS_MODELO!$B$35)</f>
        <v>0</v>
      </c>
      <c r="L572">
        <f t="shared" si="25"/>
        <v>43.55</v>
      </c>
      <c r="M572" t="str">
        <f t="shared" si="26"/>
        <v>Regular</v>
      </c>
      <c r="N572">
        <f>IF(M572=PARAMS_MODELO!$A$36,PARAMS_MODELO!$B$36,IF(M572=PARAMS_MODELO!$A$37,PARAMS_MODELO!$B$37,IF(M572=PARAMS_MODELO!$A$38,PARAMS_MODELO!$B$38,IF(M572=PARAMS_MODELO!$A$39,PARAMS_MODELO!$B$39,IF(M572=PARAMS_MODELO!$A$40,PARAMS_MODELO!$B$40)))))</f>
        <v>1</v>
      </c>
    </row>
    <row r="573" spans="1:14" x14ac:dyDescent="0.3">
      <c r="A573">
        <v>51056701</v>
      </c>
      <c r="B573">
        <v>26</v>
      </c>
      <c r="C573">
        <v>88</v>
      </c>
      <c r="D573">
        <f t="shared" si="24"/>
        <v>0.29545454545454547</v>
      </c>
      <c r="E573">
        <f>ROUND(MIN(5,MAX(0,D573))/5*PARAMS_MODELO!$B$32,2)</f>
        <v>2.36</v>
      </c>
      <c r="F573">
        <v>3</v>
      </c>
      <c r="G573">
        <f>MAX(0,PARAMS_MODELO!$B$33-VALUE(TRIM(F573))*3)</f>
        <v>21</v>
      </c>
      <c r="H573">
        <v>1</v>
      </c>
      <c r="I573">
        <f>ROUND(MIN(4,MAX(0,H573))/4*PARAMS_MODELO!$B$34,2)</f>
        <v>5</v>
      </c>
      <c r="J573">
        <v>0</v>
      </c>
      <c r="K573">
        <f>IF(J573=0,0,PARAMS_MODELO!$B$35)</f>
        <v>0</v>
      </c>
      <c r="L573">
        <f t="shared" si="25"/>
        <v>28.36</v>
      </c>
      <c r="M573" t="str">
        <f t="shared" si="26"/>
        <v>Malo</v>
      </c>
      <c r="N573">
        <f>IF(M573=PARAMS_MODELO!$A$36,PARAMS_MODELO!$B$36,IF(M573=PARAMS_MODELO!$A$37,PARAMS_MODELO!$B$37,IF(M573=PARAMS_MODELO!$A$38,PARAMS_MODELO!$B$38,IF(M573=PARAMS_MODELO!$A$39,PARAMS_MODELO!$B$39,IF(M573=PARAMS_MODELO!$A$40,PARAMS_MODELO!$B$40)))))</f>
        <v>0.7</v>
      </c>
    </row>
    <row r="574" spans="1:14" x14ac:dyDescent="0.3">
      <c r="A574">
        <v>51057007</v>
      </c>
      <c r="B574">
        <v>6</v>
      </c>
      <c r="C574">
        <v>64</v>
      </c>
      <c r="D574">
        <f t="shared" si="24"/>
        <v>9.375E-2</v>
      </c>
      <c r="E574">
        <f>ROUND(MIN(5,MAX(0,D574))/5*PARAMS_MODELO!$B$32,2)</f>
        <v>0.75</v>
      </c>
      <c r="F574">
        <v>1</v>
      </c>
      <c r="G574">
        <f>MAX(0,PARAMS_MODELO!$B$33-VALUE(TRIM(F574))*3)</f>
        <v>27</v>
      </c>
      <c r="H574">
        <v>0</v>
      </c>
      <c r="I574">
        <f>ROUND(MIN(4,MAX(0,H574))/4*PARAMS_MODELO!$B$34,2)</f>
        <v>0</v>
      </c>
      <c r="J574">
        <v>1</v>
      </c>
      <c r="K574">
        <f>IF(J574=0,0,PARAMS_MODELO!$B$35)</f>
        <v>10</v>
      </c>
      <c r="L574">
        <f t="shared" si="25"/>
        <v>37.75</v>
      </c>
      <c r="M574" t="str">
        <f t="shared" si="26"/>
        <v>Malo</v>
      </c>
      <c r="N574">
        <f>IF(M574=PARAMS_MODELO!$A$36,PARAMS_MODELO!$B$36,IF(M574=PARAMS_MODELO!$A$37,PARAMS_MODELO!$B$37,IF(M574=PARAMS_MODELO!$A$38,PARAMS_MODELO!$B$38,IF(M574=PARAMS_MODELO!$A$39,PARAMS_MODELO!$B$39,IF(M574=PARAMS_MODELO!$A$40,PARAMS_MODELO!$B$40)))))</f>
        <v>0.7</v>
      </c>
    </row>
    <row r="575" spans="1:14" x14ac:dyDescent="0.3">
      <c r="A575">
        <v>51011091</v>
      </c>
      <c r="B575">
        <v>67</v>
      </c>
      <c r="C575">
        <v>94</v>
      </c>
      <c r="D575">
        <f t="shared" si="24"/>
        <v>0.71276595744680848</v>
      </c>
      <c r="E575">
        <f>ROUND(MIN(5,MAX(0,D575))/5*PARAMS_MODELO!$B$32,2)</f>
        <v>5.7</v>
      </c>
      <c r="F575">
        <v>4</v>
      </c>
      <c r="G575">
        <f>MAX(0,PARAMS_MODELO!$B$33-VALUE(TRIM(F575))*3)</f>
        <v>18</v>
      </c>
      <c r="H575">
        <v>0</v>
      </c>
      <c r="I575">
        <f>ROUND(MIN(4,MAX(0,H575))/4*PARAMS_MODELO!$B$34,2)</f>
        <v>0</v>
      </c>
      <c r="J575">
        <v>0</v>
      </c>
      <c r="K575">
        <f>IF(J575=0,0,PARAMS_MODELO!$B$35)</f>
        <v>0</v>
      </c>
      <c r="L575">
        <f t="shared" si="25"/>
        <v>23.7</v>
      </c>
      <c r="M575" t="str">
        <f t="shared" si="26"/>
        <v>Malo</v>
      </c>
      <c r="N575">
        <f>IF(M575=PARAMS_MODELO!$A$36,PARAMS_MODELO!$B$36,IF(M575=PARAMS_MODELO!$A$37,PARAMS_MODELO!$B$37,IF(M575=PARAMS_MODELO!$A$38,PARAMS_MODELO!$B$38,IF(M575=PARAMS_MODELO!$A$39,PARAMS_MODELO!$B$39,IF(M575=PARAMS_MODELO!$A$40,PARAMS_MODELO!$B$40)))))</f>
        <v>0.7</v>
      </c>
    </row>
    <row r="576" spans="1:14" x14ac:dyDescent="0.3">
      <c r="A576">
        <v>51011953</v>
      </c>
      <c r="B576">
        <v>11</v>
      </c>
      <c r="C576">
        <v>94</v>
      </c>
      <c r="D576">
        <f t="shared" si="24"/>
        <v>0.11702127659574468</v>
      </c>
      <c r="E576">
        <f>ROUND(MIN(5,MAX(0,D576))/5*PARAMS_MODELO!$B$32,2)</f>
        <v>0.94</v>
      </c>
      <c r="F576">
        <v>3</v>
      </c>
      <c r="G576">
        <f>MAX(0,PARAMS_MODELO!$B$33-VALUE(TRIM(F576))*3)</f>
        <v>21</v>
      </c>
      <c r="H576">
        <v>3</v>
      </c>
      <c r="I576">
        <f>ROUND(MIN(4,MAX(0,H576))/4*PARAMS_MODELO!$B$34,2)</f>
        <v>15</v>
      </c>
      <c r="J576">
        <v>0</v>
      </c>
      <c r="K576">
        <f>IF(J576=0,0,PARAMS_MODELO!$B$35)</f>
        <v>0</v>
      </c>
      <c r="L576">
        <f t="shared" si="25"/>
        <v>36.94</v>
      </c>
      <c r="M576" t="str">
        <f t="shared" si="26"/>
        <v>Malo</v>
      </c>
      <c r="N576">
        <f>IF(M576=PARAMS_MODELO!$A$36,PARAMS_MODELO!$B$36,IF(M576=PARAMS_MODELO!$A$37,PARAMS_MODELO!$B$37,IF(M576=PARAMS_MODELO!$A$38,PARAMS_MODELO!$B$38,IF(M576=PARAMS_MODELO!$A$39,PARAMS_MODELO!$B$39,IF(M576=PARAMS_MODELO!$A$40,PARAMS_MODELO!$B$40)))))</f>
        <v>0.7</v>
      </c>
    </row>
    <row r="577" spans="1:14" x14ac:dyDescent="0.3">
      <c r="A577">
        <v>51022955</v>
      </c>
      <c r="B577">
        <v>82</v>
      </c>
      <c r="C577">
        <v>91</v>
      </c>
      <c r="D577">
        <f t="shared" si="24"/>
        <v>0.90109890109890112</v>
      </c>
      <c r="E577">
        <f>ROUND(MIN(5,MAX(0,D577))/5*PARAMS_MODELO!$B$32,2)</f>
        <v>7.21</v>
      </c>
      <c r="F577">
        <v>2</v>
      </c>
      <c r="G577">
        <f>MAX(0,PARAMS_MODELO!$B$33-VALUE(TRIM(F577))*3)</f>
        <v>24</v>
      </c>
      <c r="H577">
        <v>4</v>
      </c>
      <c r="I577">
        <f>ROUND(MIN(4,MAX(0,H577))/4*PARAMS_MODELO!$B$34,2)</f>
        <v>20</v>
      </c>
      <c r="J577">
        <v>0</v>
      </c>
      <c r="K577">
        <f>IF(J577=0,0,PARAMS_MODELO!$B$35)</f>
        <v>0</v>
      </c>
      <c r="L577">
        <f t="shared" si="25"/>
        <v>51.21</v>
      </c>
      <c r="M577" t="str">
        <f t="shared" si="26"/>
        <v>Regular</v>
      </c>
      <c r="N577">
        <f>IF(M577=PARAMS_MODELO!$A$36,PARAMS_MODELO!$B$36,IF(M577=PARAMS_MODELO!$A$37,PARAMS_MODELO!$B$37,IF(M577=PARAMS_MODELO!$A$38,PARAMS_MODELO!$B$38,IF(M577=PARAMS_MODELO!$A$39,PARAMS_MODELO!$B$39,IF(M577=PARAMS_MODELO!$A$40,PARAMS_MODELO!$B$40)))))</f>
        <v>1</v>
      </c>
    </row>
    <row r="578" spans="1:14" x14ac:dyDescent="0.3">
      <c r="A578">
        <v>51021673</v>
      </c>
      <c r="B578">
        <v>81</v>
      </c>
      <c r="C578">
        <v>69</v>
      </c>
      <c r="D578">
        <f t="shared" ref="D578:D641" si="27">IF(C578=0,0,MIN(5,B578/C578))</f>
        <v>1.173913043478261</v>
      </c>
      <c r="E578">
        <f>ROUND(MIN(5,MAX(0,D578))/5*PARAMS_MODELO!$B$32,2)</f>
        <v>9.39</v>
      </c>
      <c r="F578">
        <v>5</v>
      </c>
      <c r="G578">
        <f>MAX(0,PARAMS_MODELO!$B$33-VALUE(TRIM(F578))*3)</f>
        <v>15</v>
      </c>
      <c r="H578">
        <v>1</v>
      </c>
      <c r="I578">
        <f>ROUND(MIN(4,MAX(0,H578))/4*PARAMS_MODELO!$B$34,2)</f>
        <v>5</v>
      </c>
      <c r="J578">
        <v>1</v>
      </c>
      <c r="K578">
        <f>IF(J578=0,0,PARAMS_MODELO!$B$35)</f>
        <v>10</v>
      </c>
      <c r="L578">
        <f t="shared" ref="L578:L641" si="28">MIN(100,MAX(0,E578+G578+I578+K578))</f>
        <v>39.39</v>
      </c>
      <c r="M578" t="str">
        <f t="shared" ref="M578:M641" si="29">IF(L578="","",IF(L578&gt;=90,"Excelente",IF(L578&gt;=75,"Muy Bueno",IF(L578&gt;=60,"Bueno",IF(L578&gt;=40,"Regular","Malo")))))</f>
        <v>Malo</v>
      </c>
      <c r="N578">
        <f>IF(M578=PARAMS_MODELO!$A$36,PARAMS_MODELO!$B$36,IF(M578=PARAMS_MODELO!$A$37,PARAMS_MODELO!$B$37,IF(M578=PARAMS_MODELO!$A$38,PARAMS_MODELO!$B$38,IF(M578=PARAMS_MODELO!$A$39,PARAMS_MODELO!$B$39,IF(M578=PARAMS_MODELO!$A$40,PARAMS_MODELO!$B$40)))))</f>
        <v>0.7</v>
      </c>
    </row>
    <row r="579" spans="1:14" x14ac:dyDescent="0.3">
      <c r="A579">
        <v>51013476</v>
      </c>
      <c r="B579">
        <v>31</v>
      </c>
      <c r="C579">
        <v>46</v>
      </c>
      <c r="D579">
        <f t="shared" si="27"/>
        <v>0.67391304347826086</v>
      </c>
      <c r="E579">
        <f>ROUND(MIN(5,MAX(0,D579))/5*PARAMS_MODELO!$B$32,2)</f>
        <v>5.39</v>
      </c>
      <c r="F579">
        <v>2</v>
      </c>
      <c r="G579">
        <f>MAX(0,PARAMS_MODELO!$B$33-VALUE(TRIM(F579))*3)</f>
        <v>24</v>
      </c>
      <c r="H579">
        <v>4</v>
      </c>
      <c r="I579">
        <f>ROUND(MIN(4,MAX(0,H579))/4*PARAMS_MODELO!$B$34,2)</f>
        <v>20</v>
      </c>
      <c r="J579">
        <v>0</v>
      </c>
      <c r="K579">
        <f>IF(J579=0,0,PARAMS_MODELO!$B$35)</f>
        <v>0</v>
      </c>
      <c r="L579">
        <f t="shared" si="28"/>
        <v>49.39</v>
      </c>
      <c r="M579" t="str">
        <f t="shared" si="29"/>
        <v>Regular</v>
      </c>
      <c r="N579">
        <f>IF(M579=PARAMS_MODELO!$A$36,PARAMS_MODELO!$B$36,IF(M579=PARAMS_MODELO!$A$37,PARAMS_MODELO!$B$37,IF(M579=PARAMS_MODELO!$A$38,PARAMS_MODELO!$B$38,IF(M579=PARAMS_MODELO!$A$39,PARAMS_MODELO!$B$39,IF(M579=PARAMS_MODELO!$A$40,PARAMS_MODELO!$B$40)))))</f>
        <v>1</v>
      </c>
    </row>
    <row r="580" spans="1:14" x14ac:dyDescent="0.3">
      <c r="A580">
        <v>51022998</v>
      </c>
      <c r="B580">
        <v>59</v>
      </c>
      <c r="C580">
        <v>15</v>
      </c>
      <c r="D580">
        <f t="shared" si="27"/>
        <v>3.9333333333333331</v>
      </c>
      <c r="E580">
        <f>ROUND(MIN(5,MAX(0,D580))/5*PARAMS_MODELO!$B$32,2)</f>
        <v>31.47</v>
      </c>
      <c r="F580">
        <v>1</v>
      </c>
      <c r="G580">
        <f>MAX(0,PARAMS_MODELO!$B$33-VALUE(TRIM(F580))*3)</f>
        <v>27</v>
      </c>
      <c r="H580">
        <v>1</v>
      </c>
      <c r="I580">
        <f>ROUND(MIN(4,MAX(0,H580))/4*PARAMS_MODELO!$B$34,2)</f>
        <v>5</v>
      </c>
      <c r="J580">
        <v>0</v>
      </c>
      <c r="K580">
        <f>IF(J580=0,0,PARAMS_MODELO!$B$35)</f>
        <v>0</v>
      </c>
      <c r="L580">
        <f t="shared" si="28"/>
        <v>63.47</v>
      </c>
      <c r="M580" t="str">
        <f t="shared" si="29"/>
        <v>Bueno</v>
      </c>
      <c r="N580">
        <f>IF(M580=PARAMS_MODELO!$A$36,PARAMS_MODELO!$B$36,IF(M580=PARAMS_MODELO!$A$37,PARAMS_MODELO!$B$37,IF(M580=PARAMS_MODELO!$A$38,PARAMS_MODELO!$B$38,IF(M580=PARAMS_MODELO!$A$39,PARAMS_MODELO!$B$39,IF(M580=PARAMS_MODELO!$A$40,PARAMS_MODELO!$B$40)))))</f>
        <v>1.1000000000000001</v>
      </c>
    </row>
    <row r="581" spans="1:14" x14ac:dyDescent="0.3">
      <c r="A581">
        <v>51056485</v>
      </c>
      <c r="B581">
        <v>9</v>
      </c>
      <c r="C581">
        <v>86</v>
      </c>
      <c r="D581">
        <f t="shared" si="27"/>
        <v>0.10465116279069768</v>
      </c>
      <c r="E581">
        <f>ROUND(MIN(5,MAX(0,D581))/5*PARAMS_MODELO!$B$32,2)</f>
        <v>0.84</v>
      </c>
      <c r="F581">
        <v>4</v>
      </c>
      <c r="G581">
        <f>MAX(0,PARAMS_MODELO!$B$33-VALUE(TRIM(F581))*3)</f>
        <v>18</v>
      </c>
      <c r="H581">
        <v>4</v>
      </c>
      <c r="I581">
        <f>ROUND(MIN(4,MAX(0,H581))/4*PARAMS_MODELO!$B$34,2)</f>
        <v>20</v>
      </c>
      <c r="J581">
        <v>0</v>
      </c>
      <c r="K581">
        <f>IF(J581=0,0,PARAMS_MODELO!$B$35)</f>
        <v>0</v>
      </c>
      <c r="L581">
        <f t="shared" si="28"/>
        <v>38.840000000000003</v>
      </c>
      <c r="M581" t="str">
        <f t="shared" si="29"/>
        <v>Malo</v>
      </c>
      <c r="N581">
        <f>IF(M581=PARAMS_MODELO!$A$36,PARAMS_MODELO!$B$36,IF(M581=PARAMS_MODELO!$A$37,PARAMS_MODELO!$B$37,IF(M581=PARAMS_MODELO!$A$38,PARAMS_MODELO!$B$38,IF(M581=PARAMS_MODELO!$A$39,PARAMS_MODELO!$B$39,IF(M581=PARAMS_MODELO!$A$40,PARAMS_MODELO!$B$40)))))</f>
        <v>0.7</v>
      </c>
    </row>
    <row r="582" spans="1:14" x14ac:dyDescent="0.3">
      <c r="A582">
        <v>51055705</v>
      </c>
      <c r="B582">
        <v>95</v>
      </c>
      <c r="C582">
        <v>75</v>
      </c>
      <c r="D582">
        <f t="shared" si="27"/>
        <v>1.2666666666666666</v>
      </c>
      <c r="E582">
        <f>ROUND(MIN(5,MAX(0,D582))/5*PARAMS_MODELO!$B$32,2)</f>
        <v>10.130000000000001</v>
      </c>
      <c r="F582">
        <v>2</v>
      </c>
      <c r="G582">
        <f>MAX(0,PARAMS_MODELO!$B$33-VALUE(TRIM(F582))*3)</f>
        <v>24</v>
      </c>
      <c r="H582">
        <v>4</v>
      </c>
      <c r="I582">
        <f>ROUND(MIN(4,MAX(0,H582))/4*PARAMS_MODELO!$B$34,2)</f>
        <v>20</v>
      </c>
      <c r="J582">
        <v>1</v>
      </c>
      <c r="K582">
        <f>IF(J582=0,0,PARAMS_MODELO!$B$35)</f>
        <v>10</v>
      </c>
      <c r="L582">
        <f t="shared" si="28"/>
        <v>64.13</v>
      </c>
      <c r="M582" t="str">
        <f t="shared" si="29"/>
        <v>Bueno</v>
      </c>
      <c r="N582">
        <f>IF(M582=PARAMS_MODELO!$A$36,PARAMS_MODELO!$B$36,IF(M582=PARAMS_MODELO!$A$37,PARAMS_MODELO!$B$37,IF(M582=PARAMS_MODELO!$A$38,PARAMS_MODELO!$B$38,IF(M582=PARAMS_MODELO!$A$39,PARAMS_MODELO!$B$39,IF(M582=PARAMS_MODELO!$A$40,PARAMS_MODELO!$B$40)))))</f>
        <v>1.1000000000000001</v>
      </c>
    </row>
    <row r="583" spans="1:14" x14ac:dyDescent="0.3">
      <c r="A583">
        <v>51041798</v>
      </c>
      <c r="B583">
        <v>25</v>
      </c>
      <c r="C583">
        <v>68</v>
      </c>
      <c r="D583">
        <f t="shared" si="27"/>
        <v>0.36764705882352944</v>
      </c>
      <c r="E583">
        <f>ROUND(MIN(5,MAX(0,D583))/5*PARAMS_MODELO!$B$32,2)</f>
        <v>2.94</v>
      </c>
      <c r="F583">
        <v>2</v>
      </c>
      <c r="G583">
        <f>MAX(0,PARAMS_MODELO!$B$33-VALUE(TRIM(F583))*3)</f>
        <v>24</v>
      </c>
      <c r="H583">
        <v>2</v>
      </c>
      <c r="I583">
        <f>ROUND(MIN(4,MAX(0,H583))/4*PARAMS_MODELO!$B$34,2)</f>
        <v>10</v>
      </c>
      <c r="J583">
        <v>1</v>
      </c>
      <c r="K583">
        <f>IF(J583=0,0,PARAMS_MODELO!$B$35)</f>
        <v>10</v>
      </c>
      <c r="L583">
        <f t="shared" si="28"/>
        <v>46.94</v>
      </c>
      <c r="M583" t="str">
        <f t="shared" si="29"/>
        <v>Regular</v>
      </c>
      <c r="N583">
        <f>IF(M583=PARAMS_MODELO!$A$36,PARAMS_MODELO!$B$36,IF(M583=PARAMS_MODELO!$A$37,PARAMS_MODELO!$B$37,IF(M583=PARAMS_MODELO!$A$38,PARAMS_MODELO!$B$38,IF(M583=PARAMS_MODELO!$A$39,PARAMS_MODELO!$B$39,IF(M583=PARAMS_MODELO!$A$40,PARAMS_MODELO!$B$40)))))</f>
        <v>1</v>
      </c>
    </row>
    <row r="584" spans="1:14" x14ac:dyDescent="0.3">
      <c r="A584">
        <v>51020600</v>
      </c>
      <c r="B584">
        <v>0</v>
      </c>
      <c r="C584">
        <v>92</v>
      </c>
      <c r="D584">
        <f t="shared" si="27"/>
        <v>0</v>
      </c>
      <c r="E584">
        <f>ROUND(MIN(5,MAX(0,D584))/5*PARAMS_MODELO!$B$32,2)</f>
        <v>0</v>
      </c>
      <c r="F584">
        <v>5</v>
      </c>
      <c r="G584">
        <f>MAX(0,PARAMS_MODELO!$B$33-VALUE(TRIM(F584))*3)</f>
        <v>15</v>
      </c>
      <c r="H584">
        <v>0</v>
      </c>
      <c r="I584">
        <f>ROUND(MIN(4,MAX(0,H584))/4*PARAMS_MODELO!$B$34,2)</f>
        <v>0</v>
      </c>
      <c r="J584">
        <v>0</v>
      </c>
      <c r="K584">
        <f>IF(J584=0,0,PARAMS_MODELO!$B$35)</f>
        <v>0</v>
      </c>
      <c r="L584">
        <f t="shared" si="28"/>
        <v>15</v>
      </c>
      <c r="M584" t="str">
        <f t="shared" si="29"/>
        <v>Malo</v>
      </c>
      <c r="N584">
        <f>IF(M584=PARAMS_MODELO!$A$36,PARAMS_MODELO!$B$36,IF(M584=PARAMS_MODELO!$A$37,PARAMS_MODELO!$B$37,IF(M584=PARAMS_MODELO!$A$38,PARAMS_MODELO!$B$38,IF(M584=PARAMS_MODELO!$A$39,PARAMS_MODELO!$B$39,IF(M584=PARAMS_MODELO!$A$40,PARAMS_MODELO!$B$40)))))</f>
        <v>0.7</v>
      </c>
    </row>
    <row r="585" spans="1:14" x14ac:dyDescent="0.3">
      <c r="A585">
        <v>51033795</v>
      </c>
      <c r="B585">
        <v>37</v>
      </c>
      <c r="C585">
        <v>68</v>
      </c>
      <c r="D585">
        <f t="shared" si="27"/>
        <v>0.54411764705882348</v>
      </c>
      <c r="E585">
        <f>ROUND(MIN(5,MAX(0,D585))/5*PARAMS_MODELO!$B$32,2)</f>
        <v>4.3499999999999996</v>
      </c>
      <c r="F585">
        <v>1</v>
      </c>
      <c r="G585">
        <f>MAX(0,PARAMS_MODELO!$B$33-VALUE(TRIM(F585))*3)</f>
        <v>27</v>
      </c>
      <c r="H585">
        <v>3</v>
      </c>
      <c r="I585">
        <f>ROUND(MIN(4,MAX(0,H585))/4*PARAMS_MODELO!$B$34,2)</f>
        <v>15</v>
      </c>
      <c r="J585">
        <v>1</v>
      </c>
      <c r="K585">
        <f>IF(J585=0,0,PARAMS_MODELO!$B$35)</f>
        <v>10</v>
      </c>
      <c r="L585">
        <f t="shared" si="28"/>
        <v>56.35</v>
      </c>
      <c r="M585" t="str">
        <f t="shared" si="29"/>
        <v>Regular</v>
      </c>
      <c r="N585">
        <f>IF(M585=PARAMS_MODELO!$A$36,PARAMS_MODELO!$B$36,IF(M585=PARAMS_MODELO!$A$37,PARAMS_MODELO!$B$37,IF(M585=PARAMS_MODELO!$A$38,PARAMS_MODELO!$B$38,IF(M585=PARAMS_MODELO!$A$39,PARAMS_MODELO!$B$39,IF(M585=PARAMS_MODELO!$A$40,PARAMS_MODELO!$B$40)))))</f>
        <v>1</v>
      </c>
    </row>
    <row r="586" spans="1:14" x14ac:dyDescent="0.3">
      <c r="A586">
        <v>51030419</v>
      </c>
      <c r="B586">
        <v>87</v>
      </c>
      <c r="C586">
        <v>37</v>
      </c>
      <c r="D586">
        <f t="shared" si="27"/>
        <v>2.3513513513513513</v>
      </c>
      <c r="E586">
        <f>ROUND(MIN(5,MAX(0,D586))/5*PARAMS_MODELO!$B$32,2)</f>
        <v>18.809999999999999</v>
      </c>
      <c r="F586">
        <v>2</v>
      </c>
      <c r="G586">
        <f>MAX(0,PARAMS_MODELO!$B$33-VALUE(TRIM(F586))*3)</f>
        <v>24</v>
      </c>
      <c r="H586">
        <v>2</v>
      </c>
      <c r="I586">
        <f>ROUND(MIN(4,MAX(0,H586))/4*PARAMS_MODELO!$B$34,2)</f>
        <v>10</v>
      </c>
      <c r="J586">
        <v>1</v>
      </c>
      <c r="K586">
        <f>IF(J586=0,0,PARAMS_MODELO!$B$35)</f>
        <v>10</v>
      </c>
      <c r="L586">
        <f t="shared" si="28"/>
        <v>62.81</v>
      </c>
      <c r="M586" t="str">
        <f t="shared" si="29"/>
        <v>Bueno</v>
      </c>
      <c r="N586">
        <f>IF(M586=PARAMS_MODELO!$A$36,PARAMS_MODELO!$B$36,IF(M586=PARAMS_MODELO!$A$37,PARAMS_MODELO!$B$37,IF(M586=PARAMS_MODELO!$A$38,PARAMS_MODELO!$B$38,IF(M586=PARAMS_MODELO!$A$39,PARAMS_MODELO!$B$39,IF(M586=PARAMS_MODELO!$A$40,PARAMS_MODELO!$B$40)))))</f>
        <v>1.1000000000000001</v>
      </c>
    </row>
    <row r="587" spans="1:14" x14ac:dyDescent="0.3">
      <c r="A587">
        <v>51038819</v>
      </c>
      <c r="B587">
        <v>67</v>
      </c>
      <c r="C587">
        <v>43</v>
      </c>
      <c r="D587">
        <f t="shared" si="27"/>
        <v>1.558139534883721</v>
      </c>
      <c r="E587">
        <f>ROUND(MIN(5,MAX(0,D587))/5*PARAMS_MODELO!$B$32,2)</f>
        <v>12.47</v>
      </c>
      <c r="F587">
        <v>1</v>
      </c>
      <c r="G587">
        <f>MAX(0,PARAMS_MODELO!$B$33-VALUE(TRIM(F587))*3)</f>
        <v>27</v>
      </c>
      <c r="H587">
        <v>1</v>
      </c>
      <c r="I587">
        <f>ROUND(MIN(4,MAX(0,H587))/4*PARAMS_MODELO!$B$34,2)</f>
        <v>5</v>
      </c>
      <c r="J587">
        <v>0</v>
      </c>
      <c r="K587">
        <f>IF(J587=0,0,PARAMS_MODELO!$B$35)</f>
        <v>0</v>
      </c>
      <c r="L587">
        <f t="shared" si="28"/>
        <v>44.47</v>
      </c>
      <c r="M587" t="str">
        <f t="shared" si="29"/>
        <v>Regular</v>
      </c>
      <c r="N587">
        <f>IF(M587=PARAMS_MODELO!$A$36,PARAMS_MODELO!$B$36,IF(M587=PARAMS_MODELO!$A$37,PARAMS_MODELO!$B$37,IF(M587=PARAMS_MODELO!$A$38,PARAMS_MODELO!$B$38,IF(M587=PARAMS_MODELO!$A$39,PARAMS_MODELO!$B$39,IF(M587=PARAMS_MODELO!$A$40,PARAMS_MODELO!$B$40)))))</f>
        <v>1</v>
      </c>
    </row>
    <row r="588" spans="1:14" x14ac:dyDescent="0.3">
      <c r="A588">
        <v>51021851</v>
      </c>
      <c r="B588">
        <v>82</v>
      </c>
      <c r="C588">
        <v>89</v>
      </c>
      <c r="D588">
        <f t="shared" si="27"/>
        <v>0.9213483146067416</v>
      </c>
      <c r="E588">
        <f>ROUND(MIN(5,MAX(0,D588))/5*PARAMS_MODELO!$B$32,2)</f>
        <v>7.37</v>
      </c>
      <c r="F588">
        <v>4</v>
      </c>
      <c r="G588">
        <f>MAX(0,PARAMS_MODELO!$B$33-VALUE(TRIM(F588))*3)</f>
        <v>18</v>
      </c>
      <c r="H588">
        <v>4</v>
      </c>
      <c r="I588">
        <f>ROUND(MIN(4,MAX(0,H588))/4*PARAMS_MODELO!$B$34,2)</f>
        <v>20</v>
      </c>
      <c r="J588">
        <v>1</v>
      </c>
      <c r="K588">
        <f>IF(J588=0,0,PARAMS_MODELO!$B$35)</f>
        <v>10</v>
      </c>
      <c r="L588">
        <f t="shared" si="28"/>
        <v>55.370000000000005</v>
      </c>
      <c r="M588" t="str">
        <f t="shared" si="29"/>
        <v>Regular</v>
      </c>
      <c r="N588">
        <f>IF(M588=PARAMS_MODELO!$A$36,PARAMS_MODELO!$B$36,IF(M588=PARAMS_MODELO!$A$37,PARAMS_MODELO!$B$37,IF(M588=PARAMS_MODELO!$A$38,PARAMS_MODELO!$B$38,IF(M588=PARAMS_MODELO!$A$39,PARAMS_MODELO!$B$39,IF(M588=PARAMS_MODELO!$A$40,PARAMS_MODELO!$B$40)))))</f>
        <v>1</v>
      </c>
    </row>
    <row r="589" spans="1:14" x14ac:dyDescent="0.3">
      <c r="A589">
        <v>51004086</v>
      </c>
      <c r="B589">
        <v>83</v>
      </c>
      <c r="C589">
        <v>70</v>
      </c>
      <c r="D589">
        <f t="shared" si="27"/>
        <v>1.1857142857142857</v>
      </c>
      <c r="E589">
        <f>ROUND(MIN(5,MAX(0,D589))/5*PARAMS_MODELO!$B$32,2)</f>
        <v>9.49</v>
      </c>
      <c r="F589">
        <v>2</v>
      </c>
      <c r="G589">
        <f>MAX(0,PARAMS_MODELO!$B$33-VALUE(TRIM(F589))*3)</f>
        <v>24</v>
      </c>
      <c r="H589">
        <v>4</v>
      </c>
      <c r="I589">
        <f>ROUND(MIN(4,MAX(0,H589))/4*PARAMS_MODELO!$B$34,2)</f>
        <v>20</v>
      </c>
      <c r="J589">
        <v>1</v>
      </c>
      <c r="K589">
        <f>IF(J589=0,0,PARAMS_MODELO!$B$35)</f>
        <v>10</v>
      </c>
      <c r="L589">
        <f t="shared" si="28"/>
        <v>63.49</v>
      </c>
      <c r="M589" t="str">
        <f t="shared" si="29"/>
        <v>Bueno</v>
      </c>
      <c r="N589">
        <f>IF(M589=PARAMS_MODELO!$A$36,PARAMS_MODELO!$B$36,IF(M589=PARAMS_MODELO!$A$37,PARAMS_MODELO!$B$37,IF(M589=PARAMS_MODELO!$A$38,PARAMS_MODELO!$B$38,IF(M589=PARAMS_MODELO!$A$39,PARAMS_MODELO!$B$39,IF(M589=PARAMS_MODELO!$A$40,PARAMS_MODELO!$B$40)))))</f>
        <v>1.1000000000000001</v>
      </c>
    </row>
    <row r="590" spans="1:14" x14ac:dyDescent="0.3">
      <c r="A590">
        <v>51017111</v>
      </c>
      <c r="B590">
        <v>88</v>
      </c>
      <c r="C590">
        <v>55</v>
      </c>
      <c r="D590">
        <f t="shared" si="27"/>
        <v>1.6</v>
      </c>
      <c r="E590">
        <f>ROUND(MIN(5,MAX(0,D590))/5*PARAMS_MODELO!$B$32,2)</f>
        <v>12.8</v>
      </c>
      <c r="F590">
        <v>1</v>
      </c>
      <c r="G590">
        <f>MAX(0,PARAMS_MODELO!$B$33-VALUE(TRIM(F590))*3)</f>
        <v>27</v>
      </c>
      <c r="H590">
        <v>1</v>
      </c>
      <c r="I590">
        <f>ROUND(MIN(4,MAX(0,H590))/4*PARAMS_MODELO!$B$34,2)</f>
        <v>5</v>
      </c>
      <c r="J590">
        <v>0</v>
      </c>
      <c r="K590">
        <f>IF(J590=0,0,PARAMS_MODELO!$B$35)</f>
        <v>0</v>
      </c>
      <c r="L590">
        <f t="shared" si="28"/>
        <v>44.8</v>
      </c>
      <c r="M590" t="str">
        <f t="shared" si="29"/>
        <v>Regular</v>
      </c>
      <c r="N590">
        <f>IF(M590=PARAMS_MODELO!$A$36,PARAMS_MODELO!$B$36,IF(M590=PARAMS_MODELO!$A$37,PARAMS_MODELO!$B$37,IF(M590=PARAMS_MODELO!$A$38,PARAMS_MODELO!$B$38,IF(M590=PARAMS_MODELO!$A$39,PARAMS_MODELO!$B$39,IF(M590=PARAMS_MODELO!$A$40,PARAMS_MODELO!$B$40)))))</f>
        <v>1</v>
      </c>
    </row>
    <row r="591" spans="1:14" x14ac:dyDescent="0.3">
      <c r="A591">
        <v>51022106</v>
      </c>
      <c r="B591">
        <v>86</v>
      </c>
      <c r="C591">
        <v>71</v>
      </c>
      <c r="D591">
        <f t="shared" si="27"/>
        <v>1.2112676056338028</v>
      </c>
      <c r="E591">
        <f>ROUND(MIN(5,MAX(0,D591))/5*PARAMS_MODELO!$B$32,2)</f>
        <v>9.69</v>
      </c>
      <c r="F591">
        <v>3</v>
      </c>
      <c r="G591">
        <f>MAX(0,PARAMS_MODELO!$B$33-VALUE(TRIM(F591))*3)</f>
        <v>21</v>
      </c>
      <c r="H591">
        <v>0</v>
      </c>
      <c r="I591">
        <f>ROUND(MIN(4,MAX(0,H591))/4*PARAMS_MODELO!$B$34,2)</f>
        <v>0</v>
      </c>
      <c r="J591">
        <v>0</v>
      </c>
      <c r="K591">
        <f>IF(J591=0,0,PARAMS_MODELO!$B$35)</f>
        <v>0</v>
      </c>
      <c r="L591">
        <f t="shared" si="28"/>
        <v>30.689999999999998</v>
      </c>
      <c r="M591" t="str">
        <f t="shared" si="29"/>
        <v>Malo</v>
      </c>
      <c r="N591">
        <f>IF(M591=PARAMS_MODELO!$A$36,PARAMS_MODELO!$B$36,IF(M591=PARAMS_MODELO!$A$37,PARAMS_MODELO!$B$37,IF(M591=PARAMS_MODELO!$A$38,PARAMS_MODELO!$B$38,IF(M591=PARAMS_MODELO!$A$39,PARAMS_MODELO!$B$39,IF(M591=PARAMS_MODELO!$A$40,PARAMS_MODELO!$B$40)))))</f>
        <v>0.7</v>
      </c>
    </row>
    <row r="592" spans="1:14" x14ac:dyDescent="0.3">
      <c r="A592">
        <v>51056205</v>
      </c>
      <c r="B592">
        <v>54</v>
      </c>
      <c r="C592">
        <v>54</v>
      </c>
      <c r="D592">
        <f t="shared" si="27"/>
        <v>1</v>
      </c>
      <c r="E592">
        <f>ROUND(MIN(5,MAX(0,D592))/5*PARAMS_MODELO!$B$32,2)</f>
        <v>8</v>
      </c>
      <c r="F592">
        <v>1</v>
      </c>
      <c r="G592">
        <f>MAX(0,PARAMS_MODELO!$B$33-VALUE(TRIM(F592))*3)</f>
        <v>27</v>
      </c>
      <c r="H592">
        <v>4</v>
      </c>
      <c r="I592">
        <f>ROUND(MIN(4,MAX(0,H592))/4*PARAMS_MODELO!$B$34,2)</f>
        <v>20</v>
      </c>
      <c r="J592">
        <v>0</v>
      </c>
      <c r="K592">
        <f>IF(J592=0,0,PARAMS_MODELO!$B$35)</f>
        <v>0</v>
      </c>
      <c r="L592">
        <f t="shared" si="28"/>
        <v>55</v>
      </c>
      <c r="M592" t="str">
        <f t="shared" si="29"/>
        <v>Regular</v>
      </c>
      <c r="N592">
        <f>IF(M592=PARAMS_MODELO!$A$36,PARAMS_MODELO!$B$36,IF(M592=PARAMS_MODELO!$A$37,PARAMS_MODELO!$B$37,IF(M592=PARAMS_MODELO!$A$38,PARAMS_MODELO!$B$38,IF(M592=PARAMS_MODELO!$A$39,PARAMS_MODELO!$B$39,IF(M592=PARAMS_MODELO!$A$40,PARAMS_MODELO!$B$40)))))</f>
        <v>1</v>
      </c>
    </row>
    <row r="593" spans="1:14" x14ac:dyDescent="0.3">
      <c r="A593">
        <v>51055870</v>
      </c>
      <c r="B593">
        <v>57</v>
      </c>
      <c r="C593">
        <v>60</v>
      </c>
      <c r="D593">
        <f t="shared" si="27"/>
        <v>0.95</v>
      </c>
      <c r="E593">
        <f>ROUND(MIN(5,MAX(0,D593))/5*PARAMS_MODELO!$B$32,2)</f>
        <v>7.6</v>
      </c>
      <c r="F593">
        <v>1</v>
      </c>
      <c r="G593">
        <f>MAX(0,PARAMS_MODELO!$B$33-VALUE(TRIM(F593))*3)</f>
        <v>27</v>
      </c>
      <c r="H593">
        <v>3</v>
      </c>
      <c r="I593">
        <f>ROUND(MIN(4,MAX(0,H593))/4*PARAMS_MODELO!$B$34,2)</f>
        <v>15</v>
      </c>
      <c r="J593">
        <v>1</v>
      </c>
      <c r="K593">
        <f>IF(J593=0,0,PARAMS_MODELO!$B$35)</f>
        <v>10</v>
      </c>
      <c r="L593">
        <f t="shared" si="28"/>
        <v>59.6</v>
      </c>
      <c r="M593" t="str">
        <f t="shared" si="29"/>
        <v>Regular</v>
      </c>
      <c r="N593">
        <f>IF(M593=PARAMS_MODELO!$A$36,PARAMS_MODELO!$B$36,IF(M593=PARAMS_MODELO!$A$37,PARAMS_MODELO!$B$37,IF(M593=PARAMS_MODELO!$A$38,PARAMS_MODELO!$B$38,IF(M593=PARAMS_MODELO!$A$39,PARAMS_MODELO!$B$39,IF(M593=PARAMS_MODELO!$A$40,PARAMS_MODELO!$B$40)))))</f>
        <v>1</v>
      </c>
    </row>
    <row r="594" spans="1:14" x14ac:dyDescent="0.3">
      <c r="A594">
        <v>51017226</v>
      </c>
      <c r="B594">
        <v>6</v>
      </c>
      <c r="C594">
        <v>46</v>
      </c>
      <c r="D594">
        <f t="shared" si="27"/>
        <v>0.13043478260869565</v>
      </c>
      <c r="E594">
        <f>ROUND(MIN(5,MAX(0,D594))/5*PARAMS_MODELO!$B$32,2)</f>
        <v>1.04</v>
      </c>
      <c r="F594">
        <v>1</v>
      </c>
      <c r="G594">
        <f>MAX(0,PARAMS_MODELO!$B$33-VALUE(TRIM(F594))*3)</f>
        <v>27</v>
      </c>
      <c r="H594">
        <v>4</v>
      </c>
      <c r="I594">
        <f>ROUND(MIN(4,MAX(0,H594))/4*PARAMS_MODELO!$B$34,2)</f>
        <v>20</v>
      </c>
      <c r="J594">
        <v>0</v>
      </c>
      <c r="K594">
        <f>IF(J594=0,0,PARAMS_MODELO!$B$35)</f>
        <v>0</v>
      </c>
      <c r="L594">
        <f t="shared" si="28"/>
        <v>48.04</v>
      </c>
      <c r="M594" t="str">
        <f t="shared" si="29"/>
        <v>Regular</v>
      </c>
      <c r="N594">
        <f>IF(M594=PARAMS_MODELO!$A$36,PARAMS_MODELO!$B$36,IF(M594=PARAMS_MODELO!$A$37,PARAMS_MODELO!$B$37,IF(M594=PARAMS_MODELO!$A$38,PARAMS_MODELO!$B$38,IF(M594=PARAMS_MODELO!$A$39,PARAMS_MODELO!$B$39,IF(M594=PARAMS_MODELO!$A$40,PARAMS_MODELO!$B$40)))))</f>
        <v>1</v>
      </c>
    </row>
    <row r="595" spans="1:14" x14ac:dyDescent="0.3">
      <c r="A595">
        <v>51056965</v>
      </c>
      <c r="B595">
        <v>35</v>
      </c>
      <c r="C595">
        <v>38</v>
      </c>
      <c r="D595">
        <f t="shared" si="27"/>
        <v>0.92105263157894735</v>
      </c>
      <c r="E595">
        <f>ROUND(MIN(5,MAX(0,D595))/5*PARAMS_MODELO!$B$32,2)</f>
        <v>7.37</v>
      </c>
      <c r="F595">
        <v>0</v>
      </c>
      <c r="G595">
        <f>MAX(0,PARAMS_MODELO!$B$33-VALUE(TRIM(F595))*3)</f>
        <v>30</v>
      </c>
      <c r="H595">
        <v>1</v>
      </c>
      <c r="I595">
        <f>ROUND(MIN(4,MAX(0,H595))/4*PARAMS_MODELO!$B$34,2)</f>
        <v>5</v>
      </c>
      <c r="J595">
        <v>0</v>
      </c>
      <c r="K595">
        <f>IF(J595=0,0,PARAMS_MODELO!$B$35)</f>
        <v>0</v>
      </c>
      <c r="L595">
        <f t="shared" si="28"/>
        <v>42.37</v>
      </c>
      <c r="M595" t="str">
        <f t="shared" si="29"/>
        <v>Regular</v>
      </c>
      <c r="N595">
        <f>IF(M595=PARAMS_MODELO!$A$36,PARAMS_MODELO!$B$36,IF(M595=PARAMS_MODELO!$A$37,PARAMS_MODELO!$B$37,IF(M595=PARAMS_MODELO!$A$38,PARAMS_MODELO!$B$38,IF(M595=PARAMS_MODELO!$A$39,PARAMS_MODELO!$B$39,IF(M595=PARAMS_MODELO!$A$40,PARAMS_MODELO!$B$40)))))</f>
        <v>1</v>
      </c>
    </row>
    <row r="596" spans="1:14" x14ac:dyDescent="0.3">
      <c r="A596">
        <v>51033671</v>
      </c>
      <c r="B596">
        <v>58</v>
      </c>
      <c r="C596">
        <v>83</v>
      </c>
      <c r="D596">
        <f t="shared" si="27"/>
        <v>0.6987951807228916</v>
      </c>
      <c r="E596">
        <f>ROUND(MIN(5,MAX(0,D596))/5*PARAMS_MODELO!$B$32,2)</f>
        <v>5.59</v>
      </c>
      <c r="F596">
        <v>4</v>
      </c>
      <c r="G596">
        <f>MAX(0,PARAMS_MODELO!$B$33-VALUE(TRIM(F596))*3)</f>
        <v>18</v>
      </c>
      <c r="H596">
        <v>1</v>
      </c>
      <c r="I596">
        <f>ROUND(MIN(4,MAX(0,H596))/4*PARAMS_MODELO!$B$34,2)</f>
        <v>5</v>
      </c>
      <c r="J596">
        <v>1</v>
      </c>
      <c r="K596">
        <f>IF(J596=0,0,PARAMS_MODELO!$B$35)</f>
        <v>10</v>
      </c>
      <c r="L596">
        <f t="shared" si="28"/>
        <v>38.590000000000003</v>
      </c>
      <c r="M596" t="str">
        <f t="shared" si="29"/>
        <v>Malo</v>
      </c>
      <c r="N596">
        <f>IF(M596=PARAMS_MODELO!$A$36,PARAMS_MODELO!$B$36,IF(M596=PARAMS_MODELO!$A$37,PARAMS_MODELO!$B$37,IF(M596=PARAMS_MODELO!$A$38,PARAMS_MODELO!$B$38,IF(M596=PARAMS_MODELO!$A$39,PARAMS_MODELO!$B$39,IF(M596=PARAMS_MODELO!$A$40,PARAMS_MODELO!$B$40)))))</f>
        <v>0.7</v>
      </c>
    </row>
    <row r="597" spans="1:14" x14ac:dyDescent="0.3">
      <c r="A597">
        <v>51038797</v>
      </c>
      <c r="B597">
        <v>67</v>
      </c>
      <c r="C597">
        <v>8</v>
      </c>
      <c r="D597">
        <f t="shared" si="27"/>
        <v>5</v>
      </c>
      <c r="E597">
        <f>ROUND(MIN(5,MAX(0,D597))/5*PARAMS_MODELO!$B$32,2)</f>
        <v>40</v>
      </c>
      <c r="F597">
        <v>2</v>
      </c>
      <c r="G597">
        <f>MAX(0,PARAMS_MODELO!$B$33-VALUE(TRIM(F597))*3)</f>
        <v>24</v>
      </c>
      <c r="H597">
        <v>1</v>
      </c>
      <c r="I597">
        <f>ROUND(MIN(4,MAX(0,H597))/4*PARAMS_MODELO!$B$34,2)</f>
        <v>5</v>
      </c>
      <c r="J597">
        <v>0</v>
      </c>
      <c r="K597">
        <f>IF(J597=0,0,PARAMS_MODELO!$B$35)</f>
        <v>0</v>
      </c>
      <c r="L597">
        <f t="shared" si="28"/>
        <v>69</v>
      </c>
      <c r="M597" t="str">
        <f t="shared" si="29"/>
        <v>Bueno</v>
      </c>
      <c r="N597">
        <f>IF(M597=PARAMS_MODELO!$A$36,PARAMS_MODELO!$B$36,IF(M597=PARAMS_MODELO!$A$37,PARAMS_MODELO!$B$37,IF(M597=PARAMS_MODELO!$A$38,PARAMS_MODELO!$B$38,IF(M597=PARAMS_MODELO!$A$39,PARAMS_MODELO!$B$39,IF(M597=PARAMS_MODELO!$A$40,PARAMS_MODELO!$B$40)))))</f>
        <v>1.1000000000000001</v>
      </c>
    </row>
    <row r="598" spans="1:14" x14ac:dyDescent="0.3">
      <c r="A598">
        <v>51013492</v>
      </c>
      <c r="B598">
        <v>24</v>
      </c>
      <c r="C598">
        <v>33</v>
      </c>
      <c r="D598">
        <f t="shared" si="27"/>
        <v>0.72727272727272729</v>
      </c>
      <c r="E598">
        <f>ROUND(MIN(5,MAX(0,D598))/5*PARAMS_MODELO!$B$32,2)</f>
        <v>5.82</v>
      </c>
      <c r="F598">
        <v>1</v>
      </c>
      <c r="G598">
        <f>MAX(0,PARAMS_MODELO!$B$33-VALUE(TRIM(F598))*3)</f>
        <v>27</v>
      </c>
      <c r="H598">
        <v>1</v>
      </c>
      <c r="I598">
        <f>ROUND(MIN(4,MAX(0,H598))/4*PARAMS_MODELO!$B$34,2)</f>
        <v>5</v>
      </c>
      <c r="J598">
        <v>0</v>
      </c>
      <c r="K598">
        <f>IF(J598=0,0,PARAMS_MODELO!$B$35)</f>
        <v>0</v>
      </c>
      <c r="L598">
        <f t="shared" si="28"/>
        <v>37.82</v>
      </c>
      <c r="M598" t="str">
        <f t="shared" si="29"/>
        <v>Malo</v>
      </c>
      <c r="N598">
        <f>IF(M598=PARAMS_MODELO!$A$36,PARAMS_MODELO!$B$36,IF(M598=PARAMS_MODELO!$A$37,PARAMS_MODELO!$B$37,IF(M598=PARAMS_MODELO!$A$38,PARAMS_MODELO!$B$38,IF(M598=PARAMS_MODELO!$A$39,PARAMS_MODELO!$B$39,IF(M598=PARAMS_MODELO!$A$40,PARAMS_MODELO!$B$40)))))</f>
        <v>0.7</v>
      </c>
    </row>
    <row r="599" spans="1:14" x14ac:dyDescent="0.3">
      <c r="A599">
        <v>51019415</v>
      </c>
      <c r="B599">
        <v>64</v>
      </c>
      <c r="C599">
        <v>0</v>
      </c>
      <c r="D599">
        <f t="shared" si="27"/>
        <v>0</v>
      </c>
      <c r="E599">
        <f>ROUND(MIN(5,MAX(0,D599))/5*PARAMS_MODELO!$B$32,2)</f>
        <v>0</v>
      </c>
      <c r="F599">
        <v>5</v>
      </c>
      <c r="G599">
        <f>MAX(0,PARAMS_MODELO!$B$33-VALUE(TRIM(F599))*3)</f>
        <v>15</v>
      </c>
      <c r="H599">
        <v>0</v>
      </c>
      <c r="I599">
        <f>ROUND(MIN(4,MAX(0,H599))/4*PARAMS_MODELO!$B$34,2)</f>
        <v>0</v>
      </c>
      <c r="J599">
        <v>0</v>
      </c>
      <c r="K599">
        <f>IF(J599=0,0,PARAMS_MODELO!$B$35)</f>
        <v>0</v>
      </c>
      <c r="L599">
        <f t="shared" si="28"/>
        <v>15</v>
      </c>
      <c r="M599" t="str">
        <f t="shared" si="29"/>
        <v>Malo</v>
      </c>
      <c r="N599">
        <f>IF(M599=PARAMS_MODELO!$A$36,PARAMS_MODELO!$B$36,IF(M599=PARAMS_MODELO!$A$37,PARAMS_MODELO!$B$37,IF(M599=PARAMS_MODELO!$A$38,PARAMS_MODELO!$B$38,IF(M599=PARAMS_MODELO!$A$39,PARAMS_MODELO!$B$39,IF(M599=PARAMS_MODELO!$A$40,PARAMS_MODELO!$B$40)))))</f>
        <v>0.7</v>
      </c>
    </row>
    <row r="600" spans="1:14" x14ac:dyDescent="0.3">
      <c r="A600">
        <v>51036107</v>
      </c>
      <c r="B600">
        <v>58</v>
      </c>
      <c r="C600">
        <v>75</v>
      </c>
      <c r="D600">
        <f t="shared" si="27"/>
        <v>0.77333333333333332</v>
      </c>
      <c r="E600">
        <f>ROUND(MIN(5,MAX(0,D600))/5*PARAMS_MODELO!$B$32,2)</f>
        <v>6.19</v>
      </c>
      <c r="F600">
        <v>3</v>
      </c>
      <c r="G600">
        <f>MAX(0,PARAMS_MODELO!$B$33-VALUE(TRIM(F600))*3)</f>
        <v>21</v>
      </c>
      <c r="H600">
        <v>2</v>
      </c>
      <c r="I600">
        <f>ROUND(MIN(4,MAX(0,H600))/4*PARAMS_MODELO!$B$34,2)</f>
        <v>10</v>
      </c>
      <c r="J600">
        <v>0</v>
      </c>
      <c r="K600">
        <f>IF(J600=0,0,PARAMS_MODELO!$B$35)</f>
        <v>0</v>
      </c>
      <c r="L600">
        <f t="shared" si="28"/>
        <v>37.19</v>
      </c>
      <c r="M600" t="str">
        <f t="shared" si="29"/>
        <v>Malo</v>
      </c>
      <c r="N600">
        <f>IF(M600=PARAMS_MODELO!$A$36,PARAMS_MODELO!$B$36,IF(M600=PARAMS_MODELO!$A$37,PARAMS_MODELO!$B$37,IF(M600=PARAMS_MODELO!$A$38,PARAMS_MODELO!$B$38,IF(M600=PARAMS_MODELO!$A$39,PARAMS_MODELO!$B$39,IF(M600=PARAMS_MODELO!$A$40,PARAMS_MODELO!$B$40)))))</f>
        <v>0.7</v>
      </c>
    </row>
    <row r="601" spans="1:14" x14ac:dyDescent="0.3">
      <c r="A601">
        <v>51056990</v>
      </c>
      <c r="B601">
        <v>77</v>
      </c>
      <c r="C601">
        <v>22</v>
      </c>
      <c r="D601">
        <f t="shared" si="27"/>
        <v>3.5</v>
      </c>
      <c r="E601">
        <f>ROUND(MIN(5,MAX(0,D601))/5*PARAMS_MODELO!$B$32,2)</f>
        <v>28</v>
      </c>
      <c r="F601">
        <v>1</v>
      </c>
      <c r="G601">
        <f>MAX(0,PARAMS_MODELO!$B$33-VALUE(TRIM(F601))*3)</f>
        <v>27</v>
      </c>
      <c r="H601">
        <v>0</v>
      </c>
      <c r="I601">
        <f>ROUND(MIN(4,MAX(0,H601))/4*PARAMS_MODELO!$B$34,2)</f>
        <v>0</v>
      </c>
      <c r="J601">
        <v>0</v>
      </c>
      <c r="K601">
        <f>IF(J601=0,0,PARAMS_MODELO!$B$35)</f>
        <v>0</v>
      </c>
      <c r="L601">
        <f t="shared" si="28"/>
        <v>55</v>
      </c>
      <c r="M601" t="str">
        <f t="shared" si="29"/>
        <v>Regular</v>
      </c>
      <c r="N601">
        <f>IF(M601=PARAMS_MODELO!$A$36,PARAMS_MODELO!$B$36,IF(M601=PARAMS_MODELO!$A$37,PARAMS_MODELO!$B$37,IF(M601=PARAMS_MODELO!$A$38,PARAMS_MODELO!$B$38,IF(M601=PARAMS_MODELO!$A$39,PARAMS_MODELO!$B$39,IF(M601=PARAMS_MODELO!$A$40,PARAMS_MODELO!$B$40)))))</f>
        <v>1</v>
      </c>
    </row>
    <row r="602" spans="1:14" x14ac:dyDescent="0.3">
      <c r="A602">
        <v>51025296</v>
      </c>
      <c r="B602">
        <v>3</v>
      </c>
      <c r="C602">
        <v>77</v>
      </c>
      <c r="D602">
        <f t="shared" si="27"/>
        <v>3.896103896103896E-2</v>
      </c>
      <c r="E602">
        <f>ROUND(MIN(5,MAX(0,D602))/5*PARAMS_MODELO!$B$32,2)</f>
        <v>0.31</v>
      </c>
      <c r="F602">
        <v>4</v>
      </c>
      <c r="G602">
        <f>MAX(0,PARAMS_MODELO!$B$33-VALUE(TRIM(F602))*3)</f>
        <v>18</v>
      </c>
      <c r="H602">
        <v>2</v>
      </c>
      <c r="I602">
        <f>ROUND(MIN(4,MAX(0,H602))/4*PARAMS_MODELO!$B$34,2)</f>
        <v>10</v>
      </c>
      <c r="J602">
        <v>1</v>
      </c>
      <c r="K602">
        <f>IF(J602=0,0,PARAMS_MODELO!$B$35)</f>
        <v>10</v>
      </c>
      <c r="L602">
        <f t="shared" si="28"/>
        <v>38.31</v>
      </c>
      <c r="M602" t="str">
        <f t="shared" si="29"/>
        <v>Malo</v>
      </c>
      <c r="N602">
        <f>IF(M602=PARAMS_MODELO!$A$36,PARAMS_MODELO!$B$36,IF(M602=PARAMS_MODELO!$A$37,PARAMS_MODELO!$B$37,IF(M602=PARAMS_MODELO!$A$38,PARAMS_MODELO!$B$38,IF(M602=PARAMS_MODELO!$A$39,PARAMS_MODELO!$B$39,IF(M602=PARAMS_MODELO!$A$40,PARAMS_MODELO!$B$40)))))</f>
        <v>0.7</v>
      </c>
    </row>
    <row r="603" spans="1:14" x14ac:dyDescent="0.3">
      <c r="A603">
        <v>51056639</v>
      </c>
      <c r="B603">
        <v>87</v>
      </c>
      <c r="C603">
        <v>48</v>
      </c>
      <c r="D603">
        <f t="shared" si="27"/>
        <v>1.8125</v>
      </c>
      <c r="E603">
        <f>ROUND(MIN(5,MAX(0,D603))/5*PARAMS_MODELO!$B$32,2)</f>
        <v>14.5</v>
      </c>
      <c r="F603">
        <v>0</v>
      </c>
      <c r="G603">
        <f>MAX(0,PARAMS_MODELO!$B$33-VALUE(TRIM(F603))*3)</f>
        <v>30</v>
      </c>
      <c r="H603">
        <v>3</v>
      </c>
      <c r="I603">
        <f>ROUND(MIN(4,MAX(0,H603))/4*PARAMS_MODELO!$B$34,2)</f>
        <v>15</v>
      </c>
      <c r="J603">
        <v>1</v>
      </c>
      <c r="K603">
        <f>IF(J603=0,0,PARAMS_MODELO!$B$35)</f>
        <v>10</v>
      </c>
      <c r="L603">
        <f t="shared" si="28"/>
        <v>69.5</v>
      </c>
      <c r="M603" t="str">
        <f t="shared" si="29"/>
        <v>Bueno</v>
      </c>
      <c r="N603">
        <f>IF(M603=PARAMS_MODELO!$A$36,PARAMS_MODELO!$B$36,IF(M603=PARAMS_MODELO!$A$37,PARAMS_MODELO!$B$37,IF(M603=PARAMS_MODELO!$A$38,PARAMS_MODELO!$B$38,IF(M603=PARAMS_MODELO!$A$39,PARAMS_MODELO!$B$39,IF(M603=PARAMS_MODELO!$A$40,PARAMS_MODELO!$B$40)))))</f>
        <v>1.1000000000000001</v>
      </c>
    </row>
    <row r="604" spans="1:14" x14ac:dyDescent="0.3">
      <c r="A604">
        <v>51015029</v>
      </c>
      <c r="B604">
        <v>1</v>
      </c>
      <c r="C604">
        <v>33</v>
      </c>
      <c r="D604">
        <f t="shared" si="27"/>
        <v>3.0303030303030304E-2</v>
      </c>
      <c r="E604">
        <f>ROUND(MIN(5,MAX(0,D604))/5*PARAMS_MODELO!$B$32,2)</f>
        <v>0.24</v>
      </c>
      <c r="F604">
        <v>0</v>
      </c>
      <c r="G604">
        <f>MAX(0,PARAMS_MODELO!$B$33-VALUE(TRIM(F604))*3)</f>
        <v>30</v>
      </c>
      <c r="H604">
        <v>3</v>
      </c>
      <c r="I604">
        <f>ROUND(MIN(4,MAX(0,H604))/4*PARAMS_MODELO!$B$34,2)</f>
        <v>15</v>
      </c>
      <c r="J604">
        <v>1</v>
      </c>
      <c r="K604">
        <f>IF(J604=0,0,PARAMS_MODELO!$B$35)</f>
        <v>10</v>
      </c>
      <c r="L604">
        <f t="shared" si="28"/>
        <v>55.239999999999995</v>
      </c>
      <c r="M604" t="str">
        <f t="shared" si="29"/>
        <v>Regular</v>
      </c>
      <c r="N604">
        <f>IF(M604=PARAMS_MODELO!$A$36,PARAMS_MODELO!$B$36,IF(M604=PARAMS_MODELO!$A$37,PARAMS_MODELO!$B$37,IF(M604=PARAMS_MODELO!$A$38,PARAMS_MODELO!$B$38,IF(M604=PARAMS_MODELO!$A$39,PARAMS_MODELO!$B$39,IF(M604=PARAMS_MODELO!$A$40,PARAMS_MODELO!$B$40)))))</f>
        <v>1</v>
      </c>
    </row>
    <row r="605" spans="1:14" x14ac:dyDescent="0.3">
      <c r="A605">
        <v>51055730</v>
      </c>
      <c r="B605">
        <v>14</v>
      </c>
      <c r="C605">
        <v>79</v>
      </c>
      <c r="D605">
        <f t="shared" si="27"/>
        <v>0.17721518987341772</v>
      </c>
      <c r="E605">
        <f>ROUND(MIN(5,MAX(0,D605))/5*PARAMS_MODELO!$B$32,2)</f>
        <v>1.42</v>
      </c>
      <c r="F605">
        <v>4</v>
      </c>
      <c r="G605">
        <f>MAX(0,PARAMS_MODELO!$B$33-VALUE(TRIM(F605))*3)</f>
        <v>18</v>
      </c>
      <c r="H605">
        <v>3</v>
      </c>
      <c r="I605">
        <f>ROUND(MIN(4,MAX(0,H605))/4*PARAMS_MODELO!$B$34,2)</f>
        <v>15</v>
      </c>
      <c r="J605">
        <v>0</v>
      </c>
      <c r="K605">
        <f>IF(J605=0,0,PARAMS_MODELO!$B$35)</f>
        <v>0</v>
      </c>
      <c r="L605">
        <f t="shared" si="28"/>
        <v>34.42</v>
      </c>
      <c r="M605" t="str">
        <f t="shared" si="29"/>
        <v>Malo</v>
      </c>
      <c r="N605">
        <f>IF(M605=PARAMS_MODELO!$A$36,PARAMS_MODELO!$B$36,IF(M605=PARAMS_MODELO!$A$37,PARAMS_MODELO!$B$37,IF(M605=PARAMS_MODELO!$A$38,PARAMS_MODELO!$B$38,IF(M605=PARAMS_MODELO!$A$39,PARAMS_MODELO!$B$39,IF(M605=PARAMS_MODELO!$A$40,PARAMS_MODELO!$B$40)))))</f>
        <v>0.7</v>
      </c>
    </row>
    <row r="606" spans="1:14" x14ac:dyDescent="0.3">
      <c r="A606">
        <v>51018257</v>
      </c>
      <c r="B606">
        <v>61</v>
      </c>
      <c r="C606">
        <v>89</v>
      </c>
      <c r="D606">
        <f t="shared" si="27"/>
        <v>0.6853932584269663</v>
      </c>
      <c r="E606">
        <f>ROUND(MIN(5,MAX(0,D606))/5*PARAMS_MODELO!$B$32,2)</f>
        <v>5.48</v>
      </c>
      <c r="F606">
        <v>0</v>
      </c>
      <c r="G606">
        <f>MAX(0,PARAMS_MODELO!$B$33-VALUE(TRIM(F606))*3)</f>
        <v>30</v>
      </c>
      <c r="H606">
        <v>4</v>
      </c>
      <c r="I606">
        <f>ROUND(MIN(4,MAX(0,H606))/4*PARAMS_MODELO!$B$34,2)</f>
        <v>20</v>
      </c>
      <c r="J606">
        <v>0</v>
      </c>
      <c r="K606">
        <f>IF(J606=0,0,PARAMS_MODELO!$B$35)</f>
        <v>0</v>
      </c>
      <c r="L606">
        <f t="shared" si="28"/>
        <v>55.480000000000004</v>
      </c>
      <c r="M606" t="str">
        <f t="shared" si="29"/>
        <v>Regular</v>
      </c>
      <c r="N606">
        <f>IF(M606=PARAMS_MODELO!$A$36,PARAMS_MODELO!$B$36,IF(M606=PARAMS_MODELO!$A$37,PARAMS_MODELO!$B$37,IF(M606=PARAMS_MODELO!$A$38,PARAMS_MODELO!$B$38,IF(M606=PARAMS_MODELO!$A$39,PARAMS_MODELO!$B$39,IF(M606=PARAMS_MODELO!$A$40,PARAMS_MODELO!$B$40)))))</f>
        <v>1</v>
      </c>
    </row>
    <row r="607" spans="1:14" x14ac:dyDescent="0.3">
      <c r="A607">
        <v>51055845</v>
      </c>
      <c r="B607">
        <v>43</v>
      </c>
      <c r="C607">
        <v>75</v>
      </c>
      <c r="D607">
        <f t="shared" si="27"/>
        <v>0.57333333333333336</v>
      </c>
      <c r="E607">
        <f>ROUND(MIN(5,MAX(0,D607))/5*PARAMS_MODELO!$B$32,2)</f>
        <v>4.59</v>
      </c>
      <c r="F607">
        <v>0</v>
      </c>
      <c r="G607">
        <f>MAX(0,PARAMS_MODELO!$B$33-VALUE(TRIM(F607))*3)</f>
        <v>30</v>
      </c>
      <c r="H607">
        <v>3</v>
      </c>
      <c r="I607">
        <f>ROUND(MIN(4,MAX(0,H607))/4*PARAMS_MODELO!$B$34,2)</f>
        <v>15</v>
      </c>
      <c r="J607">
        <v>0</v>
      </c>
      <c r="K607">
        <f>IF(J607=0,0,PARAMS_MODELO!$B$35)</f>
        <v>0</v>
      </c>
      <c r="L607">
        <f t="shared" si="28"/>
        <v>49.59</v>
      </c>
      <c r="M607" t="str">
        <f t="shared" si="29"/>
        <v>Regular</v>
      </c>
      <c r="N607">
        <f>IF(M607=PARAMS_MODELO!$A$36,PARAMS_MODELO!$B$36,IF(M607=PARAMS_MODELO!$A$37,PARAMS_MODELO!$B$37,IF(M607=PARAMS_MODELO!$A$38,PARAMS_MODELO!$B$38,IF(M607=PARAMS_MODELO!$A$39,PARAMS_MODELO!$B$39,IF(M607=PARAMS_MODELO!$A$40,PARAMS_MODELO!$B$40)))))</f>
        <v>1</v>
      </c>
    </row>
    <row r="608" spans="1:14" x14ac:dyDescent="0.3">
      <c r="A608">
        <v>51028015</v>
      </c>
      <c r="B608">
        <v>43</v>
      </c>
      <c r="C608">
        <v>34</v>
      </c>
      <c r="D608">
        <f t="shared" si="27"/>
        <v>1.2647058823529411</v>
      </c>
      <c r="E608">
        <f>ROUND(MIN(5,MAX(0,D608))/5*PARAMS_MODELO!$B$32,2)</f>
        <v>10.119999999999999</v>
      </c>
      <c r="F608">
        <v>1</v>
      </c>
      <c r="G608">
        <f>MAX(0,PARAMS_MODELO!$B$33-VALUE(TRIM(F608))*3)</f>
        <v>27</v>
      </c>
      <c r="H608">
        <v>3</v>
      </c>
      <c r="I608">
        <f>ROUND(MIN(4,MAX(0,H608))/4*PARAMS_MODELO!$B$34,2)</f>
        <v>15</v>
      </c>
      <c r="J608">
        <v>0</v>
      </c>
      <c r="K608">
        <f>IF(J608=0,0,PARAMS_MODELO!$B$35)</f>
        <v>0</v>
      </c>
      <c r="L608">
        <f t="shared" si="28"/>
        <v>52.12</v>
      </c>
      <c r="M608" t="str">
        <f t="shared" si="29"/>
        <v>Regular</v>
      </c>
      <c r="N608">
        <f>IF(M608=PARAMS_MODELO!$A$36,PARAMS_MODELO!$B$36,IF(M608=PARAMS_MODELO!$A$37,PARAMS_MODELO!$B$37,IF(M608=PARAMS_MODELO!$A$38,PARAMS_MODELO!$B$38,IF(M608=PARAMS_MODELO!$A$39,PARAMS_MODELO!$B$39,IF(M608=PARAMS_MODELO!$A$40,PARAMS_MODELO!$B$40)))))</f>
        <v>1</v>
      </c>
    </row>
    <row r="609" spans="1:14" x14ac:dyDescent="0.3">
      <c r="A609">
        <v>51012887</v>
      </c>
      <c r="B609">
        <v>96</v>
      </c>
      <c r="C609">
        <v>12</v>
      </c>
      <c r="D609">
        <f t="shared" si="27"/>
        <v>5</v>
      </c>
      <c r="E609">
        <f>ROUND(MIN(5,MAX(0,D609))/5*PARAMS_MODELO!$B$32,2)</f>
        <v>40</v>
      </c>
      <c r="F609">
        <v>5</v>
      </c>
      <c r="G609">
        <f>MAX(0,PARAMS_MODELO!$B$33-VALUE(TRIM(F609))*3)</f>
        <v>15</v>
      </c>
      <c r="H609">
        <v>4</v>
      </c>
      <c r="I609">
        <f>ROUND(MIN(4,MAX(0,H609))/4*PARAMS_MODELO!$B$34,2)</f>
        <v>20</v>
      </c>
      <c r="J609">
        <v>1</v>
      </c>
      <c r="K609">
        <f>IF(J609=0,0,PARAMS_MODELO!$B$35)</f>
        <v>10</v>
      </c>
      <c r="L609">
        <f t="shared" si="28"/>
        <v>85</v>
      </c>
      <c r="M609" t="str">
        <f t="shared" si="29"/>
        <v>Muy Bueno</v>
      </c>
      <c r="N609">
        <f>IF(M609=PARAMS_MODELO!$A$36,PARAMS_MODELO!$B$36,IF(M609=PARAMS_MODELO!$A$37,PARAMS_MODELO!$B$37,IF(M609=PARAMS_MODELO!$A$38,PARAMS_MODELO!$B$38,IF(M609=PARAMS_MODELO!$A$39,PARAMS_MODELO!$B$39,IF(M609=PARAMS_MODELO!$A$40,PARAMS_MODELO!$B$40)))))</f>
        <v>1.1499999999999999</v>
      </c>
    </row>
    <row r="610" spans="1:14" x14ac:dyDescent="0.3">
      <c r="A610">
        <v>51010311</v>
      </c>
      <c r="B610">
        <v>45</v>
      </c>
      <c r="C610">
        <v>30</v>
      </c>
      <c r="D610">
        <f t="shared" si="27"/>
        <v>1.5</v>
      </c>
      <c r="E610">
        <f>ROUND(MIN(5,MAX(0,D610))/5*PARAMS_MODELO!$B$32,2)</f>
        <v>12</v>
      </c>
      <c r="F610">
        <v>5</v>
      </c>
      <c r="G610">
        <f>MAX(0,PARAMS_MODELO!$B$33-VALUE(TRIM(F610))*3)</f>
        <v>15</v>
      </c>
      <c r="H610">
        <v>4</v>
      </c>
      <c r="I610">
        <f>ROUND(MIN(4,MAX(0,H610))/4*PARAMS_MODELO!$B$34,2)</f>
        <v>20</v>
      </c>
      <c r="J610">
        <v>1</v>
      </c>
      <c r="K610">
        <f>IF(J610=0,0,PARAMS_MODELO!$B$35)</f>
        <v>10</v>
      </c>
      <c r="L610">
        <f t="shared" si="28"/>
        <v>57</v>
      </c>
      <c r="M610" t="str">
        <f t="shared" si="29"/>
        <v>Regular</v>
      </c>
      <c r="N610">
        <f>IF(M610=PARAMS_MODELO!$A$36,PARAMS_MODELO!$B$36,IF(M610=PARAMS_MODELO!$A$37,PARAMS_MODELO!$B$37,IF(M610=PARAMS_MODELO!$A$38,PARAMS_MODELO!$B$38,IF(M610=PARAMS_MODELO!$A$39,PARAMS_MODELO!$B$39,IF(M610=PARAMS_MODELO!$A$40,PARAMS_MODELO!$B$40)))))</f>
        <v>1</v>
      </c>
    </row>
    <row r="611" spans="1:14" x14ac:dyDescent="0.3">
      <c r="A611">
        <v>51036638</v>
      </c>
      <c r="B611">
        <v>39</v>
      </c>
      <c r="C611">
        <v>65</v>
      </c>
      <c r="D611">
        <f t="shared" si="27"/>
        <v>0.6</v>
      </c>
      <c r="E611">
        <f>ROUND(MIN(5,MAX(0,D611))/5*PARAMS_MODELO!$B$32,2)</f>
        <v>4.8</v>
      </c>
      <c r="F611">
        <v>5</v>
      </c>
      <c r="G611">
        <f>MAX(0,PARAMS_MODELO!$B$33-VALUE(TRIM(F611))*3)</f>
        <v>15</v>
      </c>
      <c r="H611">
        <v>2</v>
      </c>
      <c r="I611">
        <f>ROUND(MIN(4,MAX(0,H611))/4*PARAMS_MODELO!$B$34,2)</f>
        <v>10</v>
      </c>
      <c r="J611">
        <v>0</v>
      </c>
      <c r="K611">
        <f>IF(J611=0,0,PARAMS_MODELO!$B$35)</f>
        <v>0</v>
      </c>
      <c r="L611">
        <f t="shared" si="28"/>
        <v>29.8</v>
      </c>
      <c r="M611" t="str">
        <f t="shared" si="29"/>
        <v>Malo</v>
      </c>
      <c r="N611">
        <f>IF(M611=PARAMS_MODELO!$A$36,PARAMS_MODELO!$B$36,IF(M611=PARAMS_MODELO!$A$37,PARAMS_MODELO!$B$37,IF(M611=PARAMS_MODELO!$A$38,PARAMS_MODELO!$B$38,IF(M611=PARAMS_MODELO!$A$39,PARAMS_MODELO!$B$39,IF(M611=PARAMS_MODELO!$A$40,PARAMS_MODELO!$B$40)))))</f>
        <v>0.7</v>
      </c>
    </row>
    <row r="612" spans="1:14" x14ac:dyDescent="0.3">
      <c r="A612">
        <v>51033442</v>
      </c>
      <c r="B612">
        <v>45</v>
      </c>
      <c r="C612">
        <v>74</v>
      </c>
      <c r="D612">
        <f t="shared" si="27"/>
        <v>0.60810810810810811</v>
      </c>
      <c r="E612">
        <f>ROUND(MIN(5,MAX(0,D612))/5*PARAMS_MODELO!$B$32,2)</f>
        <v>4.8600000000000003</v>
      </c>
      <c r="F612">
        <v>4</v>
      </c>
      <c r="G612">
        <f>MAX(0,PARAMS_MODELO!$B$33-VALUE(TRIM(F612))*3)</f>
        <v>18</v>
      </c>
      <c r="H612">
        <v>2</v>
      </c>
      <c r="I612">
        <f>ROUND(MIN(4,MAX(0,H612))/4*PARAMS_MODELO!$B$34,2)</f>
        <v>10</v>
      </c>
      <c r="J612">
        <v>1</v>
      </c>
      <c r="K612">
        <f>IF(J612=0,0,PARAMS_MODELO!$B$35)</f>
        <v>10</v>
      </c>
      <c r="L612">
        <f t="shared" si="28"/>
        <v>42.86</v>
      </c>
      <c r="M612" t="str">
        <f t="shared" si="29"/>
        <v>Regular</v>
      </c>
      <c r="N612">
        <f>IF(M612=PARAMS_MODELO!$A$36,PARAMS_MODELO!$B$36,IF(M612=PARAMS_MODELO!$A$37,PARAMS_MODELO!$B$37,IF(M612=PARAMS_MODELO!$A$38,PARAMS_MODELO!$B$38,IF(M612=PARAMS_MODELO!$A$39,PARAMS_MODELO!$B$39,IF(M612=PARAMS_MODELO!$A$40,PARAMS_MODELO!$B$40)))))</f>
        <v>1</v>
      </c>
    </row>
    <row r="613" spans="1:14" x14ac:dyDescent="0.3">
      <c r="A613">
        <v>51014774</v>
      </c>
      <c r="B613">
        <v>14</v>
      </c>
      <c r="C613">
        <v>100</v>
      </c>
      <c r="D613">
        <f t="shared" si="27"/>
        <v>0.14000000000000001</v>
      </c>
      <c r="E613">
        <f>ROUND(MIN(5,MAX(0,D613))/5*PARAMS_MODELO!$B$32,2)</f>
        <v>1.1200000000000001</v>
      </c>
      <c r="F613">
        <v>0</v>
      </c>
      <c r="G613">
        <f>MAX(0,PARAMS_MODELO!$B$33-VALUE(TRIM(F613))*3)</f>
        <v>30</v>
      </c>
      <c r="H613">
        <v>4</v>
      </c>
      <c r="I613">
        <f>ROUND(MIN(4,MAX(0,H613))/4*PARAMS_MODELO!$B$34,2)</f>
        <v>20</v>
      </c>
      <c r="J613">
        <v>0</v>
      </c>
      <c r="K613">
        <f>IF(J613=0,0,PARAMS_MODELO!$B$35)</f>
        <v>0</v>
      </c>
      <c r="L613">
        <f t="shared" si="28"/>
        <v>51.120000000000005</v>
      </c>
      <c r="M613" t="str">
        <f t="shared" si="29"/>
        <v>Regular</v>
      </c>
      <c r="N613">
        <f>IF(M613=PARAMS_MODELO!$A$36,PARAMS_MODELO!$B$36,IF(M613=PARAMS_MODELO!$A$37,PARAMS_MODELO!$B$37,IF(M613=PARAMS_MODELO!$A$38,PARAMS_MODELO!$B$38,IF(M613=PARAMS_MODELO!$A$39,PARAMS_MODELO!$B$39,IF(M613=PARAMS_MODELO!$A$40,PARAMS_MODELO!$B$40)))))</f>
        <v>1</v>
      </c>
    </row>
    <row r="614" spans="1:14" x14ac:dyDescent="0.3">
      <c r="A614">
        <v>51043847</v>
      </c>
      <c r="B614">
        <v>75</v>
      </c>
      <c r="C614">
        <v>34</v>
      </c>
      <c r="D614">
        <f t="shared" si="27"/>
        <v>2.2058823529411766</v>
      </c>
      <c r="E614">
        <f>ROUND(MIN(5,MAX(0,D614))/5*PARAMS_MODELO!$B$32,2)</f>
        <v>17.649999999999999</v>
      </c>
      <c r="F614">
        <v>3</v>
      </c>
      <c r="G614">
        <f>MAX(0,PARAMS_MODELO!$B$33-VALUE(TRIM(F614))*3)</f>
        <v>21</v>
      </c>
      <c r="H614">
        <v>4</v>
      </c>
      <c r="I614">
        <f>ROUND(MIN(4,MAX(0,H614))/4*PARAMS_MODELO!$B$34,2)</f>
        <v>20</v>
      </c>
      <c r="J614">
        <v>0</v>
      </c>
      <c r="K614">
        <f>IF(J614=0,0,PARAMS_MODELO!$B$35)</f>
        <v>0</v>
      </c>
      <c r="L614">
        <f t="shared" si="28"/>
        <v>58.65</v>
      </c>
      <c r="M614" t="str">
        <f t="shared" si="29"/>
        <v>Regular</v>
      </c>
      <c r="N614">
        <f>IF(M614=PARAMS_MODELO!$A$36,PARAMS_MODELO!$B$36,IF(M614=PARAMS_MODELO!$A$37,PARAMS_MODELO!$B$37,IF(M614=PARAMS_MODELO!$A$38,PARAMS_MODELO!$B$38,IF(M614=PARAMS_MODELO!$A$39,PARAMS_MODELO!$B$39,IF(M614=PARAMS_MODELO!$A$40,PARAMS_MODELO!$B$40)))))</f>
        <v>1</v>
      </c>
    </row>
    <row r="615" spans="1:14" x14ac:dyDescent="0.3">
      <c r="A615">
        <v>51032381</v>
      </c>
      <c r="B615">
        <v>24</v>
      </c>
      <c r="C615">
        <v>99</v>
      </c>
      <c r="D615">
        <f t="shared" si="27"/>
        <v>0.24242424242424243</v>
      </c>
      <c r="E615">
        <f>ROUND(MIN(5,MAX(0,D615))/5*PARAMS_MODELO!$B$32,2)</f>
        <v>1.94</v>
      </c>
      <c r="F615">
        <v>1</v>
      </c>
      <c r="G615">
        <f>MAX(0,PARAMS_MODELO!$B$33-VALUE(TRIM(F615))*3)</f>
        <v>27</v>
      </c>
      <c r="H615">
        <v>1</v>
      </c>
      <c r="I615">
        <f>ROUND(MIN(4,MAX(0,H615))/4*PARAMS_MODELO!$B$34,2)</f>
        <v>5</v>
      </c>
      <c r="J615">
        <v>1</v>
      </c>
      <c r="K615">
        <f>IF(J615=0,0,PARAMS_MODELO!$B$35)</f>
        <v>10</v>
      </c>
      <c r="L615">
        <f t="shared" si="28"/>
        <v>43.94</v>
      </c>
      <c r="M615" t="str">
        <f t="shared" si="29"/>
        <v>Regular</v>
      </c>
      <c r="N615">
        <f>IF(M615=PARAMS_MODELO!$A$36,PARAMS_MODELO!$B$36,IF(M615=PARAMS_MODELO!$A$37,PARAMS_MODELO!$B$37,IF(M615=PARAMS_MODELO!$A$38,PARAMS_MODELO!$B$38,IF(M615=PARAMS_MODELO!$A$39,PARAMS_MODELO!$B$39,IF(M615=PARAMS_MODELO!$A$40,PARAMS_MODELO!$B$40)))))</f>
        <v>1</v>
      </c>
    </row>
    <row r="616" spans="1:14" x14ac:dyDescent="0.3">
      <c r="A616">
        <v>51018508</v>
      </c>
      <c r="B616">
        <v>96</v>
      </c>
      <c r="C616">
        <v>52</v>
      </c>
      <c r="D616">
        <f t="shared" si="27"/>
        <v>1.8461538461538463</v>
      </c>
      <c r="E616">
        <f>ROUND(MIN(5,MAX(0,D616))/5*PARAMS_MODELO!$B$32,2)</f>
        <v>14.77</v>
      </c>
      <c r="F616">
        <v>5</v>
      </c>
      <c r="G616">
        <f>MAX(0,PARAMS_MODELO!$B$33-VALUE(TRIM(F616))*3)</f>
        <v>15</v>
      </c>
      <c r="H616">
        <v>3</v>
      </c>
      <c r="I616">
        <f>ROUND(MIN(4,MAX(0,H616))/4*PARAMS_MODELO!$B$34,2)</f>
        <v>15</v>
      </c>
      <c r="J616">
        <v>0</v>
      </c>
      <c r="K616">
        <f>IF(J616=0,0,PARAMS_MODELO!$B$35)</f>
        <v>0</v>
      </c>
      <c r="L616">
        <f t="shared" si="28"/>
        <v>44.769999999999996</v>
      </c>
      <c r="M616" t="str">
        <f t="shared" si="29"/>
        <v>Regular</v>
      </c>
      <c r="N616">
        <f>IF(M616=PARAMS_MODELO!$A$36,PARAMS_MODELO!$B$36,IF(M616=PARAMS_MODELO!$A$37,PARAMS_MODELO!$B$37,IF(M616=PARAMS_MODELO!$A$38,PARAMS_MODELO!$B$38,IF(M616=PARAMS_MODELO!$A$39,PARAMS_MODELO!$B$39,IF(M616=PARAMS_MODELO!$A$40,PARAMS_MODELO!$B$40)))))</f>
        <v>1</v>
      </c>
    </row>
    <row r="617" spans="1:14" x14ac:dyDescent="0.3">
      <c r="A617">
        <v>51003616</v>
      </c>
      <c r="B617">
        <v>19</v>
      </c>
      <c r="C617">
        <v>28</v>
      </c>
      <c r="D617">
        <f t="shared" si="27"/>
        <v>0.6785714285714286</v>
      </c>
      <c r="E617">
        <f>ROUND(MIN(5,MAX(0,D617))/5*PARAMS_MODELO!$B$32,2)</f>
        <v>5.43</v>
      </c>
      <c r="F617">
        <v>5</v>
      </c>
      <c r="G617">
        <f>MAX(0,PARAMS_MODELO!$B$33-VALUE(TRIM(F617))*3)</f>
        <v>15</v>
      </c>
      <c r="H617">
        <v>2</v>
      </c>
      <c r="I617">
        <f>ROUND(MIN(4,MAX(0,H617))/4*PARAMS_MODELO!$B$34,2)</f>
        <v>10</v>
      </c>
      <c r="J617">
        <v>1</v>
      </c>
      <c r="K617">
        <f>IF(J617=0,0,PARAMS_MODELO!$B$35)</f>
        <v>10</v>
      </c>
      <c r="L617">
        <f t="shared" si="28"/>
        <v>40.43</v>
      </c>
      <c r="M617" t="str">
        <f t="shared" si="29"/>
        <v>Regular</v>
      </c>
      <c r="N617">
        <f>IF(M617=PARAMS_MODELO!$A$36,PARAMS_MODELO!$B$36,IF(M617=PARAMS_MODELO!$A$37,PARAMS_MODELO!$B$37,IF(M617=PARAMS_MODELO!$A$38,PARAMS_MODELO!$B$38,IF(M617=PARAMS_MODELO!$A$39,PARAMS_MODELO!$B$39,IF(M617=PARAMS_MODELO!$A$40,PARAMS_MODELO!$B$40)))))</f>
        <v>1</v>
      </c>
    </row>
    <row r="618" spans="1:14" x14ac:dyDescent="0.3">
      <c r="A618">
        <v>51038932</v>
      </c>
      <c r="B618">
        <v>79</v>
      </c>
      <c r="C618">
        <v>61</v>
      </c>
      <c r="D618">
        <f t="shared" si="27"/>
        <v>1.2950819672131149</v>
      </c>
      <c r="E618">
        <f>ROUND(MIN(5,MAX(0,D618))/5*PARAMS_MODELO!$B$32,2)</f>
        <v>10.36</v>
      </c>
      <c r="F618">
        <v>0</v>
      </c>
      <c r="G618">
        <f>MAX(0,PARAMS_MODELO!$B$33-VALUE(TRIM(F618))*3)</f>
        <v>30</v>
      </c>
      <c r="H618">
        <v>1</v>
      </c>
      <c r="I618">
        <f>ROUND(MIN(4,MAX(0,H618))/4*PARAMS_MODELO!$B$34,2)</f>
        <v>5</v>
      </c>
      <c r="J618">
        <v>0</v>
      </c>
      <c r="K618">
        <f>IF(J618=0,0,PARAMS_MODELO!$B$35)</f>
        <v>0</v>
      </c>
      <c r="L618">
        <f t="shared" si="28"/>
        <v>45.36</v>
      </c>
      <c r="M618" t="str">
        <f t="shared" si="29"/>
        <v>Regular</v>
      </c>
      <c r="N618">
        <f>IF(M618=PARAMS_MODELO!$A$36,PARAMS_MODELO!$B$36,IF(M618=PARAMS_MODELO!$A$37,PARAMS_MODELO!$B$37,IF(M618=PARAMS_MODELO!$A$38,PARAMS_MODELO!$B$38,IF(M618=PARAMS_MODELO!$A$39,PARAMS_MODELO!$B$39,IF(M618=PARAMS_MODELO!$A$40,PARAMS_MODELO!$B$40)))))</f>
        <v>1</v>
      </c>
    </row>
    <row r="619" spans="1:14" x14ac:dyDescent="0.3">
      <c r="A619">
        <v>51039211</v>
      </c>
      <c r="B619">
        <v>8</v>
      </c>
      <c r="C619">
        <v>49</v>
      </c>
      <c r="D619">
        <f t="shared" si="27"/>
        <v>0.16326530612244897</v>
      </c>
      <c r="E619">
        <f>ROUND(MIN(5,MAX(0,D619))/5*PARAMS_MODELO!$B$32,2)</f>
        <v>1.31</v>
      </c>
      <c r="F619">
        <v>3</v>
      </c>
      <c r="G619">
        <f>MAX(0,PARAMS_MODELO!$B$33-VALUE(TRIM(F619))*3)</f>
        <v>21</v>
      </c>
      <c r="H619">
        <v>0</v>
      </c>
      <c r="I619">
        <f>ROUND(MIN(4,MAX(0,H619))/4*PARAMS_MODELO!$B$34,2)</f>
        <v>0</v>
      </c>
      <c r="J619">
        <v>0</v>
      </c>
      <c r="K619">
        <f>IF(J619=0,0,PARAMS_MODELO!$B$35)</f>
        <v>0</v>
      </c>
      <c r="L619">
        <f t="shared" si="28"/>
        <v>22.31</v>
      </c>
      <c r="M619" t="str">
        <f t="shared" si="29"/>
        <v>Malo</v>
      </c>
      <c r="N619">
        <f>IF(M619=PARAMS_MODELO!$A$36,PARAMS_MODELO!$B$36,IF(M619=PARAMS_MODELO!$A$37,PARAMS_MODELO!$B$37,IF(M619=PARAMS_MODELO!$A$38,PARAMS_MODELO!$B$38,IF(M619=PARAMS_MODELO!$A$39,PARAMS_MODELO!$B$39,IF(M619=PARAMS_MODELO!$A$40,PARAMS_MODELO!$B$40)))))</f>
        <v>0.7</v>
      </c>
    </row>
    <row r="620" spans="1:14" x14ac:dyDescent="0.3">
      <c r="A620">
        <v>51018664</v>
      </c>
      <c r="B620">
        <v>59</v>
      </c>
      <c r="C620">
        <v>84</v>
      </c>
      <c r="D620">
        <f t="shared" si="27"/>
        <v>0.70238095238095233</v>
      </c>
      <c r="E620">
        <f>ROUND(MIN(5,MAX(0,D620))/5*PARAMS_MODELO!$B$32,2)</f>
        <v>5.62</v>
      </c>
      <c r="F620">
        <v>4</v>
      </c>
      <c r="G620">
        <f>MAX(0,PARAMS_MODELO!$B$33-VALUE(TRIM(F620))*3)</f>
        <v>18</v>
      </c>
      <c r="H620">
        <v>4</v>
      </c>
      <c r="I620">
        <f>ROUND(MIN(4,MAX(0,H620))/4*PARAMS_MODELO!$B$34,2)</f>
        <v>20</v>
      </c>
      <c r="J620">
        <v>1</v>
      </c>
      <c r="K620">
        <f>IF(J620=0,0,PARAMS_MODELO!$B$35)</f>
        <v>10</v>
      </c>
      <c r="L620">
        <f t="shared" si="28"/>
        <v>53.620000000000005</v>
      </c>
      <c r="M620" t="str">
        <f t="shared" si="29"/>
        <v>Regular</v>
      </c>
      <c r="N620">
        <f>IF(M620=PARAMS_MODELO!$A$36,PARAMS_MODELO!$B$36,IF(M620=PARAMS_MODELO!$A$37,PARAMS_MODELO!$B$37,IF(M620=PARAMS_MODELO!$A$38,PARAMS_MODELO!$B$38,IF(M620=PARAMS_MODELO!$A$39,PARAMS_MODELO!$B$39,IF(M620=PARAMS_MODELO!$A$40,PARAMS_MODELO!$B$40)))))</f>
        <v>1</v>
      </c>
    </row>
    <row r="621" spans="1:14" x14ac:dyDescent="0.3">
      <c r="A621">
        <v>51056671</v>
      </c>
      <c r="B621">
        <v>44</v>
      </c>
      <c r="C621">
        <v>6</v>
      </c>
      <c r="D621">
        <f t="shared" si="27"/>
        <v>5</v>
      </c>
      <c r="E621">
        <f>ROUND(MIN(5,MAX(0,D621))/5*PARAMS_MODELO!$B$32,2)</f>
        <v>40</v>
      </c>
      <c r="F621">
        <v>5</v>
      </c>
      <c r="G621">
        <f>MAX(0,PARAMS_MODELO!$B$33-VALUE(TRIM(F621))*3)</f>
        <v>15</v>
      </c>
      <c r="H621">
        <v>4</v>
      </c>
      <c r="I621">
        <f>ROUND(MIN(4,MAX(0,H621))/4*PARAMS_MODELO!$B$34,2)</f>
        <v>20</v>
      </c>
      <c r="J621">
        <v>1</v>
      </c>
      <c r="K621">
        <f>IF(J621=0,0,PARAMS_MODELO!$B$35)</f>
        <v>10</v>
      </c>
      <c r="L621">
        <f t="shared" si="28"/>
        <v>85</v>
      </c>
      <c r="M621" t="str">
        <f t="shared" si="29"/>
        <v>Muy Bueno</v>
      </c>
      <c r="N621">
        <f>IF(M621=PARAMS_MODELO!$A$36,PARAMS_MODELO!$B$36,IF(M621=PARAMS_MODELO!$A$37,PARAMS_MODELO!$B$37,IF(M621=PARAMS_MODELO!$A$38,PARAMS_MODELO!$B$38,IF(M621=PARAMS_MODELO!$A$39,PARAMS_MODELO!$B$39,IF(M621=PARAMS_MODELO!$A$40,PARAMS_MODELO!$B$40)))))</f>
        <v>1.1499999999999999</v>
      </c>
    </row>
    <row r="622" spans="1:14" x14ac:dyDescent="0.3">
      <c r="A622">
        <v>51055462</v>
      </c>
      <c r="B622">
        <v>100</v>
      </c>
      <c r="C622">
        <v>28</v>
      </c>
      <c r="D622">
        <f t="shared" si="27"/>
        <v>3.5714285714285716</v>
      </c>
      <c r="E622">
        <f>ROUND(MIN(5,MAX(0,D622))/5*PARAMS_MODELO!$B$32,2)</f>
        <v>28.57</v>
      </c>
      <c r="F622">
        <v>1</v>
      </c>
      <c r="G622">
        <f>MAX(0,PARAMS_MODELO!$B$33-VALUE(TRIM(F622))*3)</f>
        <v>27</v>
      </c>
      <c r="H622">
        <v>1</v>
      </c>
      <c r="I622">
        <f>ROUND(MIN(4,MAX(0,H622))/4*PARAMS_MODELO!$B$34,2)</f>
        <v>5</v>
      </c>
      <c r="J622">
        <v>0</v>
      </c>
      <c r="K622">
        <f>IF(J622=0,0,PARAMS_MODELO!$B$35)</f>
        <v>0</v>
      </c>
      <c r="L622">
        <f t="shared" si="28"/>
        <v>60.57</v>
      </c>
      <c r="M622" t="str">
        <f t="shared" si="29"/>
        <v>Bueno</v>
      </c>
      <c r="N622">
        <f>IF(M622=PARAMS_MODELO!$A$36,PARAMS_MODELO!$B$36,IF(M622=PARAMS_MODELO!$A$37,PARAMS_MODELO!$B$37,IF(M622=PARAMS_MODELO!$A$38,PARAMS_MODELO!$B$38,IF(M622=PARAMS_MODELO!$A$39,PARAMS_MODELO!$B$39,IF(M622=PARAMS_MODELO!$A$40,PARAMS_MODELO!$B$40)))))</f>
        <v>1.1000000000000001</v>
      </c>
    </row>
    <row r="623" spans="1:14" x14ac:dyDescent="0.3">
      <c r="A623">
        <v>51014081</v>
      </c>
      <c r="B623">
        <v>73</v>
      </c>
      <c r="C623">
        <v>33</v>
      </c>
      <c r="D623">
        <f t="shared" si="27"/>
        <v>2.2121212121212119</v>
      </c>
      <c r="E623">
        <f>ROUND(MIN(5,MAX(0,D623))/5*PARAMS_MODELO!$B$32,2)</f>
        <v>17.7</v>
      </c>
      <c r="F623">
        <v>4</v>
      </c>
      <c r="G623">
        <f>MAX(0,PARAMS_MODELO!$B$33-VALUE(TRIM(F623))*3)</f>
        <v>18</v>
      </c>
      <c r="H623">
        <v>1</v>
      </c>
      <c r="I623">
        <f>ROUND(MIN(4,MAX(0,H623))/4*PARAMS_MODELO!$B$34,2)</f>
        <v>5</v>
      </c>
      <c r="J623">
        <v>0</v>
      </c>
      <c r="K623">
        <f>IF(J623=0,0,PARAMS_MODELO!$B$35)</f>
        <v>0</v>
      </c>
      <c r="L623">
        <f t="shared" si="28"/>
        <v>40.700000000000003</v>
      </c>
      <c r="M623" t="str">
        <f t="shared" si="29"/>
        <v>Regular</v>
      </c>
      <c r="N623">
        <f>IF(M623=PARAMS_MODELO!$A$36,PARAMS_MODELO!$B$36,IF(M623=PARAMS_MODELO!$A$37,PARAMS_MODELO!$B$37,IF(M623=PARAMS_MODELO!$A$38,PARAMS_MODELO!$B$38,IF(M623=PARAMS_MODELO!$A$39,PARAMS_MODELO!$B$39,IF(M623=PARAMS_MODELO!$A$40,PARAMS_MODELO!$B$40)))))</f>
        <v>1</v>
      </c>
    </row>
    <row r="624" spans="1:14" x14ac:dyDescent="0.3">
      <c r="A624">
        <v>51055918</v>
      </c>
      <c r="B624">
        <v>5</v>
      </c>
      <c r="C624">
        <v>0</v>
      </c>
      <c r="D624">
        <f t="shared" si="27"/>
        <v>0</v>
      </c>
      <c r="E624">
        <f>ROUND(MIN(5,MAX(0,D624))/5*PARAMS_MODELO!$B$32,2)</f>
        <v>0</v>
      </c>
      <c r="F624">
        <v>1</v>
      </c>
      <c r="G624">
        <f>MAX(0,PARAMS_MODELO!$B$33-VALUE(TRIM(F624))*3)</f>
        <v>27</v>
      </c>
      <c r="H624">
        <v>3</v>
      </c>
      <c r="I624">
        <f>ROUND(MIN(4,MAX(0,H624))/4*PARAMS_MODELO!$B$34,2)</f>
        <v>15</v>
      </c>
      <c r="J624">
        <v>0</v>
      </c>
      <c r="K624">
        <f>IF(J624=0,0,PARAMS_MODELO!$B$35)</f>
        <v>0</v>
      </c>
      <c r="L624">
        <f t="shared" si="28"/>
        <v>42</v>
      </c>
      <c r="M624" t="str">
        <f t="shared" si="29"/>
        <v>Regular</v>
      </c>
      <c r="N624">
        <f>IF(M624=PARAMS_MODELO!$A$36,PARAMS_MODELO!$B$36,IF(M624=PARAMS_MODELO!$A$37,PARAMS_MODELO!$B$37,IF(M624=PARAMS_MODELO!$A$38,PARAMS_MODELO!$B$38,IF(M624=PARAMS_MODELO!$A$39,PARAMS_MODELO!$B$39,IF(M624=PARAMS_MODELO!$A$40,PARAMS_MODELO!$B$40)))))</f>
        <v>1</v>
      </c>
    </row>
    <row r="625" spans="1:14" x14ac:dyDescent="0.3">
      <c r="A625">
        <v>51016785</v>
      </c>
      <c r="B625">
        <v>7</v>
      </c>
      <c r="C625">
        <v>16</v>
      </c>
      <c r="D625">
        <f t="shared" si="27"/>
        <v>0.4375</v>
      </c>
      <c r="E625">
        <f>ROUND(MIN(5,MAX(0,D625))/5*PARAMS_MODELO!$B$32,2)</f>
        <v>3.5</v>
      </c>
      <c r="F625">
        <v>0</v>
      </c>
      <c r="G625">
        <f>MAX(0,PARAMS_MODELO!$B$33-VALUE(TRIM(F625))*3)</f>
        <v>30</v>
      </c>
      <c r="H625">
        <v>2</v>
      </c>
      <c r="I625">
        <f>ROUND(MIN(4,MAX(0,H625))/4*PARAMS_MODELO!$B$34,2)</f>
        <v>10</v>
      </c>
      <c r="J625">
        <v>1</v>
      </c>
      <c r="K625">
        <f>IF(J625=0,0,PARAMS_MODELO!$B$35)</f>
        <v>10</v>
      </c>
      <c r="L625">
        <f t="shared" si="28"/>
        <v>53.5</v>
      </c>
      <c r="M625" t="str">
        <f t="shared" si="29"/>
        <v>Regular</v>
      </c>
      <c r="N625">
        <f>IF(M625=PARAMS_MODELO!$A$36,PARAMS_MODELO!$B$36,IF(M625=PARAMS_MODELO!$A$37,PARAMS_MODELO!$B$37,IF(M625=PARAMS_MODELO!$A$38,PARAMS_MODELO!$B$38,IF(M625=PARAMS_MODELO!$A$39,PARAMS_MODELO!$B$39,IF(M625=PARAMS_MODELO!$A$40,PARAMS_MODELO!$B$40)))))</f>
        <v>1</v>
      </c>
    </row>
    <row r="626" spans="1:14" x14ac:dyDescent="0.3">
      <c r="A626">
        <v>51055268</v>
      </c>
      <c r="B626">
        <v>39</v>
      </c>
      <c r="C626">
        <v>76</v>
      </c>
      <c r="D626">
        <f t="shared" si="27"/>
        <v>0.51315789473684215</v>
      </c>
      <c r="E626">
        <f>ROUND(MIN(5,MAX(0,D626))/5*PARAMS_MODELO!$B$32,2)</f>
        <v>4.1100000000000003</v>
      </c>
      <c r="F626">
        <v>0</v>
      </c>
      <c r="G626">
        <f>MAX(0,PARAMS_MODELO!$B$33-VALUE(TRIM(F626))*3)</f>
        <v>30</v>
      </c>
      <c r="H626">
        <v>1</v>
      </c>
      <c r="I626">
        <f>ROUND(MIN(4,MAX(0,H626))/4*PARAMS_MODELO!$B$34,2)</f>
        <v>5</v>
      </c>
      <c r="J626">
        <v>0</v>
      </c>
      <c r="K626">
        <f>IF(J626=0,0,PARAMS_MODELO!$B$35)</f>
        <v>0</v>
      </c>
      <c r="L626">
        <f t="shared" si="28"/>
        <v>39.11</v>
      </c>
      <c r="M626" t="str">
        <f t="shared" si="29"/>
        <v>Malo</v>
      </c>
      <c r="N626">
        <f>IF(M626=PARAMS_MODELO!$A$36,PARAMS_MODELO!$B$36,IF(M626=PARAMS_MODELO!$A$37,PARAMS_MODELO!$B$37,IF(M626=PARAMS_MODELO!$A$38,PARAMS_MODELO!$B$38,IF(M626=PARAMS_MODELO!$A$39,PARAMS_MODELO!$B$39,IF(M626=PARAMS_MODELO!$A$40,PARAMS_MODELO!$B$40)))))</f>
        <v>0.7</v>
      </c>
    </row>
    <row r="627" spans="1:14" x14ac:dyDescent="0.3">
      <c r="A627">
        <v>51015533</v>
      </c>
      <c r="B627">
        <v>24</v>
      </c>
      <c r="C627">
        <v>2</v>
      </c>
      <c r="D627">
        <f t="shared" si="27"/>
        <v>5</v>
      </c>
      <c r="E627">
        <f>ROUND(MIN(5,MAX(0,D627))/5*PARAMS_MODELO!$B$32,2)</f>
        <v>40</v>
      </c>
      <c r="F627">
        <v>3</v>
      </c>
      <c r="G627">
        <f>MAX(0,PARAMS_MODELO!$B$33-VALUE(TRIM(F627))*3)</f>
        <v>21</v>
      </c>
      <c r="H627">
        <v>2</v>
      </c>
      <c r="I627">
        <f>ROUND(MIN(4,MAX(0,H627))/4*PARAMS_MODELO!$B$34,2)</f>
        <v>10</v>
      </c>
      <c r="J627">
        <v>0</v>
      </c>
      <c r="K627">
        <f>IF(J627=0,0,PARAMS_MODELO!$B$35)</f>
        <v>0</v>
      </c>
      <c r="L627">
        <f t="shared" si="28"/>
        <v>71</v>
      </c>
      <c r="M627" t="str">
        <f t="shared" si="29"/>
        <v>Bueno</v>
      </c>
      <c r="N627">
        <f>IF(M627=PARAMS_MODELO!$A$36,PARAMS_MODELO!$B$36,IF(M627=PARAMS_MODELO!$A$37,PARAMS_MODELO!$B$37,IF(M627=PARAMS_MODELO!$A$38,PARAMS_MODELO!$B$38,IF(M627=PARAMS_MODELO!$A$39,PARAMS_MODELO!$B$39,IF(M627=PARAMS_MODELO!$A$40,PARAMS_MODELO!$B$40)))))</f>
        <v>1.1000000000000001</v>
      </c>
    </row>
    <row r="628" spans="1:14" x14ac:dyDescent="0.3">
      <c r="A628">
        <v>51018371</v>
      </c>
      <c r="B628">
        <v>77</v>
      </c>
      <c r="C628">
        <v>86</v>
      </c>
      <c r="D628">
        <f t="shared" si="27"/>
        <v>0.89534883720930236</v>
      </c>
      <c r="E628">
        <f>ROUND(MIN(5,MAX(0,D628))/5*PARAMS_MODELO!$B$32,2)</f>
        <v>7.16</v>
      </c>
      <c r="F628">
        <v>0</v>
      </c>
      <c r="G628">
        <f>MAX(0,PARAMS_MODELO!$B$33-VALUE(TRIM(F628))*3)</f>
        <v>30</v>
      </c>
      <c r="H628">
        <v>3</v>
      </c>
      <c r="I628">
        <f>ROUND(MIN(4,MAX(0,H628))/4*PARAMS_MODELO!$B$34,2)</f>
        <v>15</v>
      </c>
      <c r="J628">
        <v>0</v>
      </c>
      <c r="K628">
        <f>IF(J628=0,0,PARAMS_MODELO!$B$35)</f>
        <v>0</v>
      </c>
      <c r="L628">
        <f t="shared" si="28"/>
        <v>52.16</v>
      </c>
      <c r="M628" t="str">
        <f t="shared" si="29"/>
        <v>Regular</v>
      </c>
      <c r="N628">
        <f>IF(M628=PARAMS_MODELO!$A$36,PARAMS_MODELO!$B$36,IF(M628=PARAMS_MODELO!$A$37,PARAMS_MODELO!$B$37,IF(M628=PARAMS_MODELO!$A$38,PARAMS_MODELO!$B$38,IF(M628=PARAMS_MODELO!$A$39,PARAMS_MODELO!$B$39,IF(M628=PARAMS_MODELO!$A$40,PARAMS_MODELO!$B$40)))))</f>
        <v>1</v>
      </c>
    </row>
    <row r="629" spans="1:14" x14ac:dyDescent="0.3">
      <c r="A629">
        <v>51004027</v>
      </c>
      <c r="B629">
        <v>80</v>
      </c>
      <c r="C629">
        <v>74</v>
      </c>
      <c r="D629">
        <f t="shared" si="27"/>
        <v>1.0810810810810811</v>
      </c>
      <c r="E629">
        <f>ROUND(MIN(5,MAX(0,D629))/5*PARAMS_MODELO!$B$32,2)</f>
        <v>8.65</v>
      </c>
      <c r="F629">
        <v>1</v>
      </c>
      <c r="G629">
        <f>MAX(0,PARAMS_MODELO!$B$33-VALUE(TRIM(F629))*3)</f>
        <v>27</v>
      </c>
      <c r="H629">
        <v>1</v>
      </c>
      <c r="I629">
        <f>ROUND(MIN(4,MAX(0,H629))/4*PARAMS_MODELO!$B$34,2)</f>
        <v>5</v>
      </c>
      <c r="J629">
        <v>1</v>
      </c>
      <c r="K629">
        <f>IF(J629=0,0,PARAMS_MODELO!$B$35)</f>
        <v>10</v>
      </c>
      <c r="L629">
        <f t="shared" si="28"/>
        <v>50.65</v>
      </c>
      <c r="M629" t="str">
        <f t="shared" si="29"/>
        <v>Regular</v>
      </c>
      <c r="N629">
        <f>IF(M629=PARAMS_MODELO!$A$36,PARAMS_MODELO!$B$36,IF(M629=PARAMS_MODELO!$A$37,PARAMS_MODELO!$B$37,IF(M629=PARAMS_MODELO!$A$38,PARAMS_MODELO!$B$38,IF(M629=PARAMS_MODELO!$A$39,PARAMS_MODELO!$B$39,IF(M629=PARAMS_MODELO!$A$40,PARAMS_MODELO!$B$40)))))</f>
        <v>1</v>
      </c>
    </row>
    <row r="630" spans="1:14" x14ac:dyDescent="0.3">
      <c r="A630">
        <v>51011660</v>
      </c>
      <c r="B630">
        <v>79</v>
      </c>
      <c r="C630">
        <v>72</v>
      </c>
      <c r="D630">
        <f t="shared" si="27"/>
        <v>1.0972222222222223</v>
      </c>
      <c r="E630">
        <f>ROUND(MIN(5,MAX(0,D630))/5*PARAMS_MODELO!$B$32,2)</f>
        <v>8.7799999999999994</v>
      </c>
      <c r="F630">
        <v>5</v>
      </c>
      <c r="G630">
        <f>MAX(0,PARAMS_MODELO!$B$33-VALUE(TRIM(F630))*3)</f>
        <v>15</v>
      </c>
      <c r="H630">
        <v>2</v>
      </c>
      <c r="I630">
        <f>ROUND(MIN(4,MAX(0,H630))/4*PARAMS_MODELO!$B$34,2)</f>
        <v>10</v>
      </c>
      <c r="J630">
        <v>0</v>
      </c>
      <c r="K630">
        <f>IF(J630=0,0,PARAMS_MODELO!$B$35)</f>
        <v>0</v>
      </c>
      <c r="L630">
        <f t="shared" si="28"/>
        <v>33.78</v>
      </c>
      <c r="M630" t="str">
        <f t="shared" si="29"/>
        <v>Malo</v>
      </c>
      <c r="N630">
        <f>IF(M630=PARAMS_MODELO!$A$36,PARAMS_MODELO!$B$36,IF(M630=PARAMS_MODELO!$A$37,PARAMS_MODELO!$B$37,IF(M630=PARAMS_MODELO!$A$38,PARAMS_MODELO!$B$38,IF(M630=PARAMS_MODELO!$A$39,PARAMS_MODELO!$B$39,IF(M630=PARAMS_MODELO!$A$40,PARAMS_MODELO!$B$40)))))</f>
        <v>0.7</v>
      </c>
    </row>
    <row r="631" spans="1:14" x14ac:dyDescent="0.3">
      <c r="A631">
        <v>51022556</v>
      </c>
      <c r="B631">
        <v>79</v>
      </c>
      <c r="C631">
        <v>44</v>
      </c>
      <c r="D631">
        <f t="shared" si="27"/>
        <v>1.7954545454545454</v>
      </c>
      <c r="E631">
        <f>ROUND(MIN(5,MAX(0,D631))/5*PARAMS_MODELO!$B$32,2)</f>
        <v>14.36</v>
      </c>
      <c r="F631">
        <v>0</v>
      </c>
      <c r="G631">
        <f>MAX(0,PARAMS_MODELO!$B$33-VALUE(TRIM(F631))*3)</f>
        <v>30</v>
      </c>
      <c r="H631">
        <v>1</v>
      </c>
      <c r="I631">
        <f>ROUND(MIN(4,MAX(0,H631))/4*PARAMS_MODELO!$B$34,2)</f>
        <v>5</v>
      </c>
      <c r="J631">
        <v>1</v>
      </c>
      <c r="K631">
        <f>IF(J631=0,0,PARAMS_MODELO!$B$35)</f>
        <v>10</v>
      </c>
      <c r="L631">
        <f t="shared" si="28"/>
        <v>59.36</v>
      </c>
      <c r="M631" t="str">
        <f t="shared" si="29"/>
        <v>Regular</v>
      </c>
      <c r="N631">
        <f>IF(M631=PARAMS_MODELO!$A$36,PARAMS_MODELO!$B$36,IF(M631=PARAMS_MODELO!$A$37,PARAMS_MODELO!$B$37,IF(M631=PARAMS_MODELO!$A$38,PARAMS_MODELO!$B$38,IF(M631=PARAMS_MODELO!$A$39,PARAMS_MODELO!$B$39,IF(M631=PARAMS_MODELO!$A$40,PARAMS_MODELO!$B$40)))))</f>
        <v>1</v>
      </c>
    </row>
    <row r="632" spans="1:14" x14ac:dyDescent="0.3">
      <c r="A632">
        <v>51018427</v>
      </c>
      <c r="B632">
        <v>98</v>
      </c>
      <c r="C632">
        <v>26</v>
      </c>
      <c r="D632">
        <f t="shared" si="27"/>
        <v>3.7692307692307692</v>
      </c>
      <c r="E632">
        <f>ROUND(MIN(5,MAX(0,D632))/5*PARAMS_MODELO!$B$32,2)</f>
        <v>30.15</v>
      </c>
      <c r="F632">
        <v>1</v>
      </c>
      <c r="G632">
        <f>MAX(0,PARAMS_MODELO!$B$33-VALUE(TRIM(F632))*3)</f>
        <v>27</v>
      </c>
      <c r="H632">
        <v>3</v>
      </c>
      <c r="I632">
        <f>ROUND(MIN(4,MAX(0,H632))/4*PARAMS_MODELO!$B$34,2)</f>
        <v>15</v>
      </c>
      <c r="J632">
        <v>1</v>
      </c>
      <c r="K632">
        <f>IF(J632=0,0,PARAMS_MODELO!$B$35)</f>
        <v>10</v>
      </c>
      <c r="L632">
        <f t="shared" si="28"/>
        <v>82.15</v>
      </c>
      <c r="M632" t="str">
        <f t="shared" si="29"/>
        <v>Muy Bueno</v>
      </c>
      <c r="N632">
        <f>IF(M632=PARAMS_MODELO!$A$36,PARAMS_MODELO!$B$36,IF(M632=PARAMS_MODELO!$A$37,PARAMS_MODELO!$B$37,IF(M632=PARAMS_MODELO!$A$38,PARAMS_MODELO!$B$38,IF(M632=PARAMS_MODELO!$A$39,PARAMS_MODELO!$B$39,IF(M632=PARAMS_MODELO!$A$40,PARAMS_MODELO!$B$40)))))</f>
        <v>1.1499999999999999</v>
      </c>
    </row>
    <row r="633" spans="1:14" x14ac:dyDescent="0.3">
      <c r="A633">
        <v>51024516</v>
      </c>
      <c r="B633">
        <v>31</v>
      </c>
      <c r="C633">
        <v>40</v>
      </c>
      <c r="D633">
        <f t="shared" si="27"/>
        <v>0.77500000000000002</v>
      </c>
      <c r="E633">
        <f>ROUND(MIN(5,MAX(0,D633))/5*PARAMS_MODELO!$B$32,2)</f>
        <v>6.2</v>
      </c>
      <c r="F633">
        <v>1</v>
      </c>
      <c r="G633">
        <f>MAX(0,PARAMS_MODELO!$B$33-VALUE(TRIM(F633))*3)</f>
        <v>27</v>
      </c>
      <c r="H633">
        <v>1</v>
      </c>
      <c r="I633">
        <f>ROUND(MIN(4,MAX(0,H633))/4*PARAMS_MODELO!$B$34,2)</f>
        <v>5</v>
      </c>
      <c r="J633">
        <v>1</v>
      </c>
      <c r="K633">
        <f>IF(J633=0,0,PARAMS_MODELO!$B$35)</f>
        <v>10</v>
      </c>
      <c r="L633">
        <f t="shared" si="28"/>
        <v>48.2</v>
      </c>
      <c r="M633" t="str">
        <f t="shared" si="29"/>
        <v>Regular</v>
      </c>
      <c r="N633">
        <f>IF(M633=PARAMS_MODELO!$A$36,PARAMS_MODELO!$B$36,IF(M633=PARAMS_MODELO!$A$37,PARAMS_MODELO!$B$37,IF(M633=PARAMS_MODELO!$A$38,PARAMS_MODELO!$B$38,IF(M633=PARAMS_MODELO!$A$39,PARAMS_MODELO!$B$39,IF(M633=PARAMS_MODELO!$A$40,PARAMS_MODELO!$B$40)))))</f>
        <v>1</v>
      </c>
    </row>
    <row r="634" spans="1:14" x14ac:dyDescent="0.3">
      <c r="A634">
        <v>51011856</v>
      </c>
      <c r="B634">
        <v>53</v>
      </c>
      <c r="C634">
        <v>67</v>
      </c>
      <c r="D634">
        <f t="shared" si="27"/>
        <v>0.79104477611940294</v>
      </c>
      <c r="E634">
        <f>ROUND(MIN(5,MAX(0,D634))/5*PARAMS_MODELO!$B$32,2)</f>
        <v>6.33</v>
      </c>
      <c r="F634">
        <v>5</v>
      </c>
      <c r="G634">
        <f>MAX(0,PARAMS_MODELO!$B$33-VALUE(TRIM(F634))*3)</f>
        <v>15</v>
      </c>
      <c r="H634">
        <v>0</v>
      </c>
      <c r="I634">
        <f>ROUND(MIN(4,MAX(0,H634))/4*PARAMS_MODELO!$B$34,2)</f>
        <v>0</v>
      </c>
      <c r="J634">
        <v>1</v>
      </c>
      <c r="K634">
        <f>IF(J634=0,0,PARAMS_MODELO!$B$35)</f>
        <v>10</v>
      </c>
      <c r="L634">
        <f t="shared" si="28"/>
        <v>31.33</v>
      </c>
      <c r="M634" t="str">
        <f t="shared" si="29"/>
        <v>Malo</v>
      </c>
      <c r="N634">
        <f>IF(M634=PARAMS_MODELO!$A$36,PARAMS_MODELO!$B$36,IF(M634=PARAMS_MODELO!$A$37,PARAMS_MODELO!$B$37,IF(M634=PARAMS_MODELO!$A$38,PARAMS_MODELO!$B$38,IF(M634=PARAMS_MODELO!$A$39,PARAMS_MODELO!$B$39,IF(M634=PARAMS_MODELO!$A$40,PARAMS_MODELO!$B$40)))))</f>
        <v>0.7</v>
      </c>
    </row>
    <row r="635" spans="1:14" x14ac:dyDescent="0.3">
      <c r="A635">
        <v>51032322</v>
      </c>
      <c r="B635">
        <v>42</v>
      </c>
      <c r="C635">
        <v>58</v>
      </c>
      <c r="D635">
        <f t="shared" si="27"/>
        <v>0.72413793103448276</v>
      </c>
      <c r="E635">
        <f>ROUND(MIN(5,MAX(0,D635))/5*PARAMS_MODELO!$B$32,2)</f>
        <v>5.79</v>
      </c>
      <c r="F635">
        <v>1</v>
      </c>
      <c r="G635">
        <f>MAX(0,PARAMS_MODELO!$B$33-VALUE(TRIM(F635))*3)</f>
        <v>27</v>
      </c>
      <c r="H635">
        <v>0</v>
      </c>
      <c r="I635">
        <f>ROUND(MIN(4,MAX(0,H635))/4*PARAMS_MODELO!$B$34,2)</f>
        <v>0</v>
      </c>
      <c r="J635">
        <v>0</v>
      </c>
      <c r="K635">
        <f>IF(J635=0,0,PARAMS_MODELO!$B$35)</f>
        <v>0</v>
      </c>
      <c r="L635">
        <f t="shared" si="28"/>
        <v>32.79</v>
      </c>
      <c r="M635" t="str">
        <f t="shared" si="29"/>
        <v>Malo</v>
      </c>
      <c r="N635">
        <f>IF(M635=PARAMS_MODELO!$A$36,PARAMS_MODELO!$B$36,IF(M635=PARAMS_MODELO!$A$37,PARAMS_MODELO!$B$37,IF(M635=PARAMS_MODELO!$A$38,PARAMS_MODELO!$B$38,IF(M635=PARAMS_MODELO!$A$39,PARAMS_MODELO!$B$39,IF(M635=PARAMS_MODELO!$A$40,PARAMS_MODELO!$B$40)))))</f>
        <v>0.7</v>
      </c>
    </row>
    <row r="636" spans="1:14" x14ac:dyDescent="0.3">
      <c r="A636">
        <v>51013859</v>
      </c>
      <c r="B636">
        <v>50</v>
      </c>
      <c r="C636">
        <v>70</v>
      </c>
      <c r="D636">
        <f t="shared" si="27"/>
        <v>0.7142857142857143</v>
      </c>
      <c r="E636">
        <f>ROUND(MIN(5,MAX(0,D636))/5*PARAMS_MODELO!$B$32,2)</f>
        <v>5.71</v>
      </c>
      <c r="F636">
        <v>1</v>
      </c>
      <c r="G636">
        <f>MAX(0,PARAMS_MODELO!$B$33-VALUE(TRIM(F636))*3)</f>
        <v>27</v>
      </c>
      <c r="H636">
        <v>1</v>
      </c>
      <c r="I636">
        <f>ROUND(MIN(4,MAX(0,H636))/4*PARAMS_MODELO!$B$34,2)</f>
        <v>5</v>
      </c>
      <c r="J636">
        <v>0</v>
      </c>
      <c r="K636">
        <f>IF(J636=0,0,PARAMS_MODELO!$B$35)</f>
        <v>0</v>
      </c>
      <c r="L636">
        <f t="shared" si="28"/>
        <v>37.71</v>
      </c>
      <c r="M636" t="str">
        <f t="shared" si="29"/>
        <v>Malo</v>
      </c>
      <c r="N636">
        <f>IF(M636=PARAMS_MODELO!$A$36,PARAMS_MODELO!$B$36,IF(M636=PARAMS_MODELO!$A$37,PARAMS_MODELO!$B$37,IF(M636=PARAMS_MODELO!$A$38,PARAMS_MODELO!$B$38,IF(M636=PARAMS_MODELO!$A$39,PARAMS_MODELO!$B$39,IF(M636=PARAMS_MODELO!$A$40,PARAMS_MODELO!$B$40)))))</f>
        <v>0.7</v>
      </c>
    </row>
    <row r="637" spans="1:14" x14ac:dyDescent="0.3">
      <c r="A637">
        <v>51008430</v>
      </c>
      <c r="B637">
        <v>92</v>
      </c>
      <c r="C637">
        <v>37</v>
      </c>
      <c r="D637">
        <f t="shared" si="27"/>
        <v>2.4864864864864864</v>
      </c>
      <c r="E637">
        <f>ROUND(MIN(5,MAX(0,D637))/5*PARAMS_MODELO!$B$32,2)</f>
        <v>19.89</v>
      </c>
      <c r="F637">
        <v>2</v>
      </c>
      <c r="G637">
        <f>MAX(0,PARAMS_MODELO!$B$33-VALUE(TRIM(F637))*3)</f>
        <v>24</v>
      </c>
      <c r="H637">
        <v>0</v>
      </c>
      <c r="I637">
        <f>ROUND(MIN(4,MAX(0,H637))/4*PARAMS_MODELO!$B$34,2)</f>
        <v>0</v>
      </c>
      <c r="J637">
        <v>0</v>
      </c>
      <c r="K637">
        <f>IF(J637=0,0,PARAMS_MODELO!$B$35)</f>
        <v>0</v>
      </c>
      <c r="L637">
        <f t="shared" si="28"/>
        <v>43.89</v>
      </c>
      <c r="M637" t="str">
        <f t="shared" si="29"/>
        <v>Regular</v>
      </c>
      <c r="N637">
        <f>IF(M637=PARAMS_MODELO!$A$36,PARAMS_MODELO!$B$36,IF(M637=PARAMS_MODELO!$A$37,PARAMS_MODELO!$B$37,IF(M637=PARAMS_MODELO!$A$38,PARAMS_MODELO!$B$38,IF(M637=PARAMS_MODELO!$A$39,PARAMS_MODELO!$B$39,IF(M637=PARAMS_MODELO!$A$40,PARAMS_MODELO!$B$40)))))</f>
        <v>1</v>
      </c>
    </row>
    <row r="638" spans="1:14" x14ac:dyDescent="0.3">
      <c r="A638">
        <v>51042158</v>
      </c>
      <c r="B638">
        <v>93</v>
      </c>
      <c r="C638">
        <v>15</v>
      </c>
      <c r="D638">
        <f t="shared" si="27"/>
        <v>5</v>
      </c>
      <c r="E638">
        <f>ROUND(MIN(5,MAX(0,D638))/5*PARAMS_MODELO!$B$32,2)</f>
        <v>40</v>
      </c>
      <c r="F638">
        <v>3</v>
      </c>
      <c r="G638">
        <f>MAX(0,PARAMS_MODELO!$B$33-VALUE(TRIM(F638))*3)</f>
        <v>21</v>
      </c>
      <c r="H638">
        <v>4</v>
      </c>
      <c r="I638">
        <f>ROUND(MIN(4,MAX(0,H638))/4*PARAMS_MODELO!$B$34,2)</f>
        <v>20</v>
      </c>
      <c r="J638">
        <v>0</v>
      </c>
      <c r="K638">
        <f>IF(J638=0,0,PARAMS_MODELO!$B$35)</f>
        <v>0</v>
      </c>
      <c r="L638">
        <f t="shared" si="28"/>
        <v>81</v>
      </c>
      <c r="M638" t="str">
        <f t="shared" si="29"/>
        <v>Muy Bueno</v>
      </c>
      <c r="N638">
        <f>IF(M638=PARAMS_MODELO!$A$36,PARAMS_MODELO!$B$36,IF(M638=PARAMS_MODELO!$A$37,PARAMS_MODELO!$B$37,IF(M638=PARAMS_MODELO!$A$38,PARAMS_MODELO!$B$38,IF(M638=PARAMS_MODELO!$A$39,PARAMS_MODELO!$B$39,IF(M638=PARAMS_MODELO!$A$40,PARAMS_MODELO!$B$40)))))</f>
        <v>1.1499999999999999</v>
      </c>
    </row>
    <row r="639" spans="1:14" x14ac:dyDescent="0.3">
      <c r="A639">
        <v>51011627</v>
      </c>
      <c r="B639">
        <v>3</v>
      </c>
      <c r="C639">
        <v>32</v>
      </c>
      <c r="D639">
        <f t="shared" si="27"/>
        <v>9.375E-2</v>
      </c>
      <c r="E639">
        <f>ROUND(MIN(5,MAX(0,D639))/5*PARAMS_MODELO!$B$32,2)</f>
        <v>0.75</v>
      </c>
      <c r="F639">
        <v>2</v>
      </c>
      <c r="G639">
        <f>MAX(0,PARAMS_MODELO!$B$33-VALUE(TRIM(F639))*3)</f>
        <v>24</v>
      </c>
      <c r="H639">
        <v>3</v>
      </c>
      <c r="I639">
        <f>ROUND(MIN(4,MAX(0,H639))/4*PARAMS_MODELO!$B$34,2)</f>
        <v>15</v>
      </c>
      <c r="J639">
        <v>1</v>
      </c>
      <c r="K639">
        <f>IF(J639=0,0,PARAMS_MODELO!$B$35)</f>
        <v>10</v>
      </c>
      <c r="L639">
        <f t="shared" si="28"/>
        <v>49.75</v>
      </c>
      <c r="M639" t="str">
        <f t="shared" si="29"/>
        <v>Regular</v>
      </c>
      <c r="N639">
        <f>IF(M639=PARAMS_MODELO!$A$36,PARAMS_MODELO!$B$36,IF(M639=PARAMS_MODELO!$A$37,PARAMS_MODELO!$B$37,IF(M639=PARAMS_MODELO!$A$38,PARAMS_MODELO!$B$38,IF(M639=PARAMS_MODELO!$A$39,PARAMS_MODELO!$B$39,IF(M639=PARAMS_MODELO!$A$40,PARAMS_MODELO!$B$40)))))</f>
        <v>1</v>
      </c>
    </row>
    <row r="640" spans="1:14" x14ac:dyDescent="0.3">
      <c r="A640">
        <v>51010426</v>
      </c>
      <c r="B640">
        <v>63</v>
      </c>
      <c r="C640">
        <v>82</v>
      </c>
      <c r="D640">
        <f t="shared" si="27"/>
        <v>0.76829268292682928</v>
      </c>
      <c r="E640">
        <f>ROUND(MIN(5,MAX(0,D640))/5*PARAMS_MODELO!$B$32,2)</f>
        <v>6.15</v>
      </c>
      <c r="F640">
        <v>4</v>
      </c>
      <c r="G640">
        <f>MAX(0,PARAMS_MODELO!$B$33-VALUE(TRIM(F640))*3)</f>
        <v>18</v>
      </c>
      <c r="H640">
        <v>2</v>
      </c>
      <c r="I640">
        <f>ROUND(MIN(4,MAX(0,H640))/4*PARAMS_MODELO!$B$34,2)</f>
        <v>10</v>
      </c>
      <c r="J640">
        <v>1</v>
      </c>
      <c r="K640">
        <f>IF(J640=0,0,PARAMS_MODELO!$B$35)</f>
        <v>10</v>
      </c>
      <c r="L640">
        <f t="shared" si="28"/>
        <v>44.15</v>
      </c>
      <c r="M640" t="str">
        <f t="shared" si="29"/>
        <v>Regular</v>
      </c>
      <c r="N640">
        <f>IF(M640=PARAMS_MODELO!$A$36,PARAMS_MODELO!$B$36,IF(M640=PARAMS_MODELO!$A$37,PARAMS_MODELO!$B$37,IF(M640=PARAMS_MODELO!$A$38,PARAMS_MODELO!$B$38,IF(M640=PARAMS_MODELO!$A$39,PARAMS_MODELO!$B$39,IF(M640=PARAMS_MODELO!$A$40,PARAMS_MODELO!$B$40)))))</f>
        <v>1</v>
      </c>
    </row>
    <row r="641" spans="1:14" x14ac:dyDescent="0.3">
      <c r="A641">
        <v>51033205</v>
      </c>
      <c r="B641">
        <v>21</v>
      </c>
      <c r="C641">
        <v>62</v>
      </c>
      <c r="D641">
        <f t="shared" si="27"/>
        <v>0.33870967741935482</v>
      </c>
      <c r="E641">
        <f>ROUND(MIN(5,MAX(0,D641))/5*PARAMS_MODELO!$B$32,2)</f>
        <v>2.71</v>
      </c>
      <c r="F641">
        <v>3</v>
      </c>
      <c r="G641">
        <f>MAX(0,PARAMS_MODELO!$B$33-VALUE(TRIM(F641))*3)</f>
        <v>21</v>
      </c>
      <c r="H641">
        <v>0</v>
      </c>
      <c r="I641">
        <f>ROUND(MIN(4,MAX(0,H641))/4*PARAMS_MODELO!$B$34,2)</f>
        <v>0</v>
      </c>
      <c r="J641">
        <v>0</v>
      </c>
      <c r="K641">
        <f>IF(J641=0,0,PARAMS_MODELO!$B$35)</f>
        <v>0</v>
      </c>
      <c r="L641">
        <f t="shared" si="28"/>
        <v>23.71</v>
      </c>
      <c r="M641" t="str">
        <f t="shared" si="29"/>
        <v>Malo</v>
      </c>
      <c r="N641">
        <f>IF(M641=PARAMS_MODELO!$A$36,PARAMS_MODELO!$B$36,IF(M641=PARAMS_MODELO!$A$37,PARAMS_MODELO!$B$37,IF(M641=PARAMS_MODELO!$A$38,PARAMS_MODELO!$B$38,IF(M641=PARAMS_MODELO!$A$39,PARAMS_MODELO!$B$39,IF(M641=PARAMS_MODELO!$A$40,PARAMS_MODELO!$B$40)))))</f>
        <v>0.7</v>
      </c>
    </row>
    <row r="642" spans="1:14" x14ac:dyDescent="0.3">
      <c r="A642">
        <v>51035976</v>
      </c>
      <c r="B642">
        <v>75</v>
      </c>
      <c r="C642">
        <v>42</v>
      </c>
      <c r="D642">
        <f t="shared" ref="D642:D705" si="30">IF(C642=0,0,MIN(5,B642/C642))</f>
        <v>1.7857142857142858</v>
      </c>
      <c r="E642">
        <f>ROUND(MIN(5,MAX(0,D642))/5*PARAMS_MODELO!$B$32,2)</f>
        <v>14.29</v>
      </c>
      <c r="F642">
        <v>5</v>
      </c>
      <c r="G642">
        <f>MAX(0,PARAMS_MODELO!$B$33-VALUE(TRIM(F642))*3)</f>
        <v>15</v>
      </c>
      <c r="H642">
        <v>3</v>
      </c>
      <c r="I642">
        <f>ROUND(MIN(4,MAX(0,H642))/4*PARAMS_MODELO!$B$34,2)</f>
        <v>15</v>
      </c>
      <c r="J642">
        <v>1</v>
      </c>
      <c r="K642">
        <f>IF(J642=0,0,PARAMS_MODELO!$B$35)</f>
        <v>10</v>
      </c>
      <c r="L642">
        <f t="shared" ref="L642:L705" si="31">MIN(100,MAX(0,E642+G642+I642+K642))</f>
        <v>54.29</v>
      </c>
      <c r="M642" t="str">
        <f t="shared" ref="M642:M705" si="32">IF(L642="","",IF(L642&gt;=90,"Excelente",IF(L642&gt;=75,"Muy Bueno",IF(L642&gt;=60,"Bueno",IF(L642&gt;=40,"Regular","Malo")))))</f>
        <v>Regular</v>
      </c>
      <c r="N642">
        <f>IF(M642=PARAMS_MODELO!$A$36,PARAMS_MODELO!$B$36,IF(M642=PARAMS_MODELO!$A$37,PARAMS_MODELO!$B$37,IF(M642=PARAMS_MODELO!$A$38,PARAMS_MODELO!$B$38,IF(M642=PARAMS_MODELO!$A$39,PARAMS_MODELO!$B$39,IF(M642=PARAMS_MODELO!$A$40,PARAMS_MODELO!$B$40)))))</f>
        <v>1</v>
      </c>
    </row>
    <row r="643" spans="1:14" x14ac:dyDescent="0.3">
      <c r="A643">
        <v>51010914</v>
      </c>
      <c r="B643">
        <v>40</v>
      </c>
      <c r="C643">
        <v>60</v>
      </c>
      <c r="D643">
        <f t="shared" si="30"/>
        <v>0.66666666666666663</v>
      </c>
      <c r="E643">
        <f>ROUND(MIN(5,MAX(0,D643))/5*PARAMS_MODELO!$B$32,2)</f>
        <v>5.33</v>
      </c>
      <c r="F643">
        <v>4</v>
      </c>
      <c r="G643">
        <f>MAX(0,PARAMS_MODELO!$B$33-VALUE(TRIM(F643))*3)</f>
        <v>18</v>
      </c>
      <c r="H643">
        <v>2</v>
      </c>
      <c r="I643">
        <f>ROUND(MIN(4,MAX(0,H643))/4*PARAMS_MODELO!$B$34,2)</f>
        <v>10</v>
      </c>
      <c r="J643">
        <v>0</v>
      </c>
      <c r="K643">
        <f>IF(J643=0,0,PARAMS_MODELO!$B$35)</f>
        <v>0</v>
      </c>
      <c r="L643">
        <f t="shared" si="31"/>
        <v>33.33</v>
      </c>
      <c r="M643" t="str">
        <f t="shared" si="32"/>
        <v>Malo</v>
      </c>
      <c r="N643">
        <f>IF(M643=PARAMS_MODELO!$A$36,PARAMS_MODELO!$B$36,IF(M643=PARAMS_MODELO!$A$37,PARAMS_MODELO!$B$37,IF(M643=PARAMS_MODELO!$A$38,PARAMS_MODELO!$B$38,IF(M643=PARAMS_MODELO!$A$39,PARAMS_MODELO!$B$39,IF(M643=PARAMS_MODELO!$A$40,PARAMS_MODELO!$B$40)))))</f>
        <v>0.7</v>
      </c>
    </row>
    <row r="644" spans="1:14" x14ac:dyDescent="0.3">
      <c r="A644">
        <v>51023129</v>
      </c>
      <c r="B644">
        <v>44</v>
      </c>
      <c r="C644">
        <v>95</v>
      </c>
      <c r="D644">
        <f t="shared" si="30"/>
        <v>0.4631578947368421</v>
      </c>
      <c r="E644">
        <f>ROUND(MIN(5,MAX(0,D644))/5*PARAMS_MODELO!$B$32,2)</f>
        <v>3.71</v>
      </c>
      <c r="F644">
        <v>4</v>
      </c>
      <c r="G644">
        <f>MAX(0,PARAMS_MODELO!$B$33-VALUE(TRIM(F644))*3)</f>
        <v>18</v>
      </c>
      <c r="H644">
        <v>4</v>
      </c>
      <c r="I644">
        <f>ROUND(MIN(4,MAX(0,H644))/4*PARAMS_MODELO!$B$34,2)</f>
        <v>20</v>
      </c>
      <c r="J644">
        <v>0</v>
      </c>
      <c r="K644">
        <f>IF(J644=0,0,PARAMS_MODELO!$B$35)</f>
        <v>0</v>
      </c>
      <c r="L644">
        <f t="shared" si="31"/>
        <v>41.71</v>
      </c>
      <c r="M644" t="str">
        <f t="shared" si="32"/>
        <v>Regular</v>
      </c>
      <c r="N644">
        <f>IF(M644=PARAMS_MODELO!$A$36,PARAMS_MODELO!$B$36,IF(M644=PARAMS_MODELO!$A$37,PARAMS_MODELO!$B$37,IF(M644=PARAMS_MODELO!$A$38,PARAMS_MODELO!$B$38,IF(M644=PARAMS_MODELO!$A$39,PARAMS_MODELO!$B$39,IF(M644=PARAMS_MODELO!$A$40,PARAMS_MODELO!$B$40)))))</f>
        <v>1</v>
      </c>
    </row>
    <row r="645" spans="1:14" x14ac:dyDescent="0.3">
      <c r="A645">
        <v>51054857</v>
      </c>
      <c r="B645">
        <v>86</v>
      </c>
      <c r="C645">
        <v>55</v>
      </c>
      <c r="D645">
        <f t="shared" si="30"/>
        <v>1.5636363636363637</v>
      </c>
      <c r="E645">
        <f>ROUND(MIN(5,MAX(0,D645))/5*PARAMS_MODELO!$B$32,2)</f>
        <v>12.51</v>
      </c>
      <c r="F645">
        <v>1</v>
      </c>
      <c r="G645">
        <f>MAX(0,PARAMS_MODELO!$B$33-VALUE(TRIM(F645))*3)</f>
        <v>27</v>
      </c>
      <c r="H645">
        <v>0</v>
      </c>
      <c r="I645">
        <f>ROUND(MIN(4,MAX(0,H645))/4*PARAMS_MODELO!$B$34,2)</f>
        <v>0</v>
      </c>
      <c r="J645">
        <v>0</v>
      </c>
      <c r="K645">
        <f>IF(J645=0,0,PARAMS_MODELO!$B$35)</f>
        <v>0</v>
      </c>
      <c r="L645">
        <f t="shared" si="31"/>
        <v>39.51</v>
      </c>
      <c r="M645" t="str">
        <f t="shared" si="32"/>
        <v>Malo</v>
      </c>
      <c r="N645">
        <f>IF(M645=PARAMS_MODELO!$A$36,PARAMS_MODELO!$B$36,IF(M645=PARAMS_MODELO!$A$37,PARAMS_MODELO!$B$37,IF(M645=PARAMS_MODELO!$A$38,PARAMS_MODELO!$B$38,IF(M645=PARAMS_MODELO!$A$39,PARAMS_MODELO!$B$39,IF(M645=PARAMS_MODELO!$A$40,PARAMS_MODELO!$B$40)))))</f>
        <v>0.7</v>
      </c>
    </row>
    <row r="646" spans="1:14" x14ac:dyDescent="0.3">
      <c r="A646">
        <v>51055926</v>
      </c>
      <c r="B646">
        <v>17</v>
      </c>
      <c r="C646">
        <v>13</v>
      </c>
      <c r="D646">
        <f t="shared" si="30"/>
        <v>1.3076923076923077</v>
      </c>
      <c r="E646">
        <f>ROUND(MIN(5,MAX(0,D646))/5*PARAMS_MODELO!$B$32,2)</f>
        <v>10.46</v>
      </c>
      <c r="F646">
        <v>3</v>
      </c>
      <c r="G646">
        <f>MAX(0,PARAMS_MODELO!$B$33-VALUE(TRIM(F646))*3)</f>
        <v>21</v>
      </c>
      <c r="H646">
        <v>3</v>
      </c>
      <c r="I646">
        <f>ROUND(MIN(4,MAX(0,H646))/4*PARAMS_MODELO!$B$34,2)</f>
        <v>15</v>
      </c>
      <c r="J646">
        <v>1</v>
      </c>
      <c r="K646">
        <f>IF(J646=0,0,PARAMS_MODELO!$B$35)</f>
        <v>10</v>
      </c>
      <c r="L646">
        <f t="shared" si="31"/>
        <v>56.46</v>
      </c>
      <c r="M646" t="str">
        <f t="shared" si="32"/>
        <v>Regular</v>
      </c>
      <c r="N646">
        <f>IF(M646=PARAMS_MODELO!$A$36,PARAMS_MODELO!$B$36,IF(M646=PARAMS_MODELO!$A$37,PARAMS_MODELO!$B$37,IF(M646=PARAMS_MODELO!$A$38,PARAMS_MODELO!$B$38,IF(M646=PARAMS_MODELO!$A$39,PARAMS_MODELO!$B$39,IF(M646=PARAMS_MODELO!$A$40,PARAMS_MODELO!$B$40)))))</f>
        <v>1</v>
      </c>
    </row>
    <row r="647" spans="1:14" x14ac:dyDescent="0.3">
      <c r="A647">
        <v>51021282</v>
      </c>
      <c r="B647">
        <v>18</v>
      </c>
      <c r="C647">
        <v>22</v>
      </c>
      <c r="D647">
        <f t="shared" si="30"/>
        <v>0.81818181818181823</v>
      </c>
      <c r="E647">
        <f>ROUND(MIN(5,MAX(0,D647))/5*PARAMS_MODELO!$B$32,2)</f>
        <v>6.55</v>
      </c>
      <c r="F647">
        <v>5</v>
      </c>
      <c r="G647">
        <f>MAX(0,PARAMS_MODELO!$B$33-VALUE(TRIM(F647))*3)</f>
        <v>15</v>
      </c>
      <c r="H647">
        <v>4</v>
      </c>
      <c r="I647">
        <f>ROUND(MIN(4,MAX(0,H647))/4*PARAMS_MODELO!$B$34,2)</f>
        <v>20</v>
      </c>
      <c r="J647">
        <v>0</v>
      </c>
      <c r="K647">
        <f>IF(J647=0,0,PARAMS_MODELO!$B$35)</f>
        <v>0</v>
      </c>
      <c r="L647">
        <f t="shared" si="31"/>
        <v>41.55</v>
      </c>
      <c r="M647" t="str">
        <f t="shared" si="32"/>
        <v>Regular</v>
      </c>
      <c r="N647">
        <f>IF(M647=PARAMS_MODELO!$A$36,PARAMS_MODELO!$B$36,IF(M647=PARAMS_MODELO!$A$37,PARAMS_MODELO!$B$37,IF(M647=PARAMS_MODELO!$A$38,PARAMS_MODELO!$B$38,IF(M647=PARAMS_MODELO!$A$39,PARAMS_MODELO!$B$39,IF(M647=PARAMS_MODELO!$A$40,PARAMS_MODELO!$B$40)))))</f>
        <v>1</v>
      </c>
    </row>
    <row r="648" spans="1:14" x14ac:dyDescent="0.3">
      <c r="A648">
        <v>51031369</v>
      </c>
      <c r="B648">
        <v>25</v>
      </c>
      <c r="C648">
        <v>7</v>
      </c>
      <c r="D648">
        <f t="shared" si="30"/>
        <v>3.5714285714285716</v>
      </c>
      <c r="E648">
        <f>ROUND(MIN(5,MAX(0,D648))/5*PARAMS_MODELO!$B$32,2)</f>
        <v>28.57</v>
      </c>
      <c r="F648">
        <v>4</v>
      </c>
      <c r="G648">
        <f>MAX(0,PARAMS_MODELO!$B$33-VALUE(TRIM(F648))*3)</f>
        <v>18</v>
      </c>
      <c r="H648">
        <v>0</v>
      </c>
      <c r="I648">
        <f>ROUND(MIN(4,MAX(0,H648))/4*PARAMS_MODELO!$B$34,2)</f>
        <v>0</v>
      </c>
      <c r="J648">
        <v>1</v>
      </c>
      <c r="K648">
        <f>IF(J648=0,0,PARAMS_MODELO!$B$35)</f>
        <v>10</v>
      </c>
      <c r="L648">
        <f t="shared" si="31"/>
        <v>56.57</v>
      </c>
      <c r="M648" t="str">
        <f t="shared" si="32"/>
        <v>Regular</v>
      </c>
      <c r="N648">
        <f>IF(M648=PARAMS_MODELO!$A$36,PARAMS_MODELO!$B$36,IF(M648=PARAMS_MODELO!$A$37,PARAMS_MODELO!$B$37,IF(M648=PARAMS_MODELO!$A$38,PARAMS_MODELO!$B$38,IF(M648=PARAMS_MODELO!$A$39,PARAMS_MODELO!$B$39,IF(M648=PARAMS_MODELO!$A$40,PARAMS_MODELO!$B$40)))))</f>
        <v>1</v>
      </c>
    </row>
    <row r="649" spans="1:14" x14ac:dyDescent="0.3">
      <c r="A649">
        <v>51024621</v>
      </c>
      <c r="B649">
        <v>59</v>
      </c>
      <c r="C649">
        <v>99</v>
      </c>
      <c r="D649">
        <f t="shared" si="30"/>
        <v>0.59595959595959591</v>
      </c>
      <c r="E649">
        <f>ROUND(MIN(5,MAX(0,D649))/5*PARAMS_MODELO!$B$32,2)</f>
        <v>4.7699999999999996</v>
      </c>
      <c r="F649">
        <v>1</v>
      </c>
      <c r="G649">
        <f>MAX(0,PARAMS_MODELO!$B$33-VALUE(TRIM(F649))*3)</f>
        <v>27</v>
      </c>
      <c r="H649">
        <v>0</v>
      </c>
      <c r="I649">
        <f>ROUND(MIN(4,MAX(0,H649))/4*PARAMS_MODELO!$B$34,2)</f>
        <v>0</v>
      </c>
      <c r="J649">
        <v>0</v>
      </c>
      <c r="K649">
        <f>IF(J649=0,0,PARAMS_MODELO!$B$35)</f>
        <v>0</v>
      </c>
      <c r="L649">
        <f t="shared" si="31"/>
        <v>31.77</v>
      </c>
      <c r="M649" t="str">
        <f t="shared" si="32"/>
        <v>Malo</v>
      </c>
      <c r="N649">
        <f>IF(M649=PARAMS_MODELO!$A$36,PARAMS_MODELO!$B$36,IF(M649=PARAMS_MODELO!$A$37,PARAMS_MODELO!$B$37,IF(M649=PARAMS_MODELO!$A$38,PARAMS_MODELO!$B$38,IF(M649=PARAMS_MODELO!$A$39,PARAMS_MODELO!$B$39,IF(M649=PARAMS_MODELO!$A$40,PARAMS_MODELO!$B$40)))))</f>
        <v>0.7</v>
      </c>
    </row>
    <row r="650" spans="1:14" x14ac:dyDescent="0.3">
      <c r="A650">
        <v>51032284</v>
      </c>
      <c r="B650">
        <v>1</v>
      </c>
      <c r="C650">
        <v>81</v>
      </c>
      <c r="D650">
        <f t="shared" si="30"/>
        <v>1.2345679012345678E-2</v>
      </c>
      <c r="E650">
        <f>ROUND(MIN(5,MAX(0,D650))/5*PARAMS_MODELO!$B$32,2)</f>
        <v>0.1</v>
      </c>
      <c r="F650">
        <v>3</v>
      </c>
      <c r="G650">
        <f>MAX(0,PARAMS_MODELO!$B$33-VALUE(TRIM(F650))*3)</f>
        <v>21</v>
      </c>
      <c r="H650">
        <v>2</v>
      </c>
      <c r="I650">
        <f>ROUND(MIN(4,MAX(0,H650))/4*PARAMS_MODELO!$B$34,2)</f>
        <v>10</v>
      </c>
      <c r="J650">
        <v>1</v>
      </c>
      <c r="K650">
        <f>IF(J650=0,0,PARAMS_MODELO!$B$35)</f>
        <v>10</v>
      </c>
      <c r="L650">
        <f t="shared" si="31"/>
        <v>41.1</v>
      </c>
      <c r="M650" t="str">
        <f t="shared" si="32"/>
        <v>Regular</v>
      </c>
      <c r="N650">
        <f>IF(M650=PARAMS_MODELO!$A$36,PARAMS_MODELO!$B$36,IF(M650=PARAMS_MODELO!$A$37,PARAMS_MODELO!$B$37,IF(M650=PARAMS_MODELO!$A$38,PARAMS_MODELO!$B$38,IF(M650=PARAMS_MODELO!$A$39,PARAMS_MODELO!$B$39,IF(M650=PARAMS_MODELO!$A$40,PARAMS_MODELO!$B$40)))))</f>
        <v>1</v>
      </c>
    </row>
    <row r="651" spans="1:14" x14ac:dyDescent="0.3">
      <c r="A651">
        <v>51018966</v>
      </c>
      <c r="B651">
        <v>0</v>
      </c>
      <c r="C651">
        <v>26</v>
      </c>
      <c r="D651">
        <f t="shared" si="30"/>
        <v>0</v>
      </c>
      <c r="E651">
        <f>ROUND(MIN(5,MAX(0,D651))/5*PARAMS_MODELO!$B$32,2)</f>
        <v>0</v>
      </c>
      <c r="F651">
        <v>0</v>
      </c>
      <c r="G651">
        <f>MAX(0,PARAMS_MODELO!$B$33-VALUE(TRIM(F651))*3)</f>
        <v>30</v>
      </c>
      <c r="H651">
        <v>1</v>
      </c>
      <c r="I651">
        <f>ROUND(MIN(4,MAX(0,H651))/4*PARAMS_MODELO!$B$34,2)</f>
        <v>5</v>
      </c>
      <c r="J651">
        <v>1</v>
      </c>
      <c r="K651">
        <f>IF(J651=0,0,PARAMS_MODELO!$B$35)</f>
        <v>10</v>
      </c>
      <c r="L651">
        <f t="shared" si="31"/>
        <v>45</v>
      </c>
      <c r="M651" t="str">
        <f t="shared" si="32"/>
        <v>Regular</v>
      </c>
      <c r="N651">
        <f>IF(M651=PARAMS_MODELO!$A$36,PARAMS_MODELO!$B$36,IF(M651=PARAMS_MODELO!$A$37,PARAMS_MODELO!$B$37,IF(M651=PARAMS_MODELO!$A$38,PARAMS_MODELO!$B$38,IF(M651=PARAMS_MODELO!$A$39,PARAMS_MODELO!$B$39,IF(M651=PARAMS_MODELO!$A$40,PARAMS_MODELO!$B$40)))))</f>
        <v>1</v>
      </c>
    </row>
    <row r="652" spans="1:14" x14ac:dyDescent="0.3">
      <c r="A652">
        <v>51012623</v>
      </c>
      <c r="B652">
        <v>68</v>
      </c>
      <c r="C652">
        <v>88</v>
      </c>
      <c r="D652">
        <f t="shared" si="30"/>
        <v>0.77272727272727271</v>
      </c>
      <c r="E652">
        <f>ROUND(MIN(5,MAX(0,D652))/5*PARAMS_MODELO!$B$32,2)</f>
        <v>6.18</v>
      </c>
      <c r="F652">
        <v>1</v>
      </c>
      <c r="G652">
        <f>MAX(0,PARAMS_MODELO!$B$33-VALUE(TRIM(F652))*3)</f>
        <v>27</v>
      </c>
      <c r="H652">
        <v>0</v>
      </c>
      <c r="I652">
        <f>ROUND(MIN(4,MAX(0,H652))/4*PARAMS_MODELO!$B$34,2)</f>
        <v>0</v>
      </c>
      <c r="J652">
        <v>1</v>
      </c>
      <c r="K652">
        <f>IF(J652=0,0,PARAMS_MODELO!$B$35)</f>
        <v>10</v>
      </c>
      <c r="L652">
        <f t="shared" si="31"/>
        <v>43.18</v>
      </c>
      <c r="M652" t="str">
        <f t="shared" si="32"/>
        <v>Regular</v>
      </c>
      <c r="N652">
        <f>IF(M652=PARAMS_MODELO!$A$36,PARAMS_MODELO!$B$36,IF(M652=PARAMS_MODELO!$A$37,PARAMS_MODELO!$B$37,IF(M652=PARAMS_MODELO!$A$38,PARAMS_MODELO!$B$38,IF(M652=PARAMS_MODELO!$A$39,PARAMS_MODELO!$B$39,IF(M652=PARAMS_MODELO!$A$40,PARAMS_MODELO!$B$40)))))</f>
        <v>1</v>
      </c>
    </row>
    <row r="653" spans="1:14" x14ac:dyDescent="0.3">
      <c r="A653">
        <v>51019121</v>
      </c>
      <c r="B653">
        <v>49</v>
      </c>
      <c r="C653">
        <v>82</v>
      </c>
      <c r="D653">
        <f t="shared" si="30"/>
        <v>0.59756097560975607</v>
      </c>
      <c r="E653">
        <f>ROUND(MIN(5,MAX(0,D653))/5*PARAMS_MODELO!$B$32,2)</f>
        <v>4.78</v>
      </c>
      <c r="F653">
        <v>0</v>
      </c>
      <c r="G653">
        <f>MAX(0,PARAMS_MODELO!$B$33-VALUE(TRIM(F653))*3)</f>
        <v>30</v>
      </c>
      <c r="H653">
        <v>2</v>
      </c>
      <c r="I653">
        <f>ROUND(MIN(4,MAX(0,H653))/4*PARAMS_MODELO!$B$34,2)</f>
        <v>10</v>
      </c>
      <c r="J653">
        <v>0</v>
      </c>
      <c r="K653">
        <f>IF(J653=0,0,PARAMS_MODELO!$B$35)</f>
        <v>0</v>
      </c>
      <c r="L653">
        <f t="shared" si="31"/>
        <v>44.78</v>
      </c>
      <c r="M653" t="str">
        <f t="shared" si="32"/>
        <v>Regular</v>
      </c>
      <c r="N653">
        <f>IF(M653=PARAMS_MODELO!$A$36,PARAMS_MODELO!$B$36,IF(M653=PARAMS_MODELO!$A$37,PARAMS_MODELO!$B$37,IF(M653=PARAMS_MODELO!$A$38,PARAMS_MODELO!$B$38,IF(M653=PARAMS_MODELO!$A$39,PARAMS_MODELO!$B$39,IF(M653=PARAMS_MODELO!$A$40,PARAMS_MODELO!$B$40)))))</f>
        <v>1</v>
      </c>
    </row>
    <row r="654" spans="1:14" x14ac:dyDescent="0.3">
      <c r="A654">
        <v>51036085</v>
      </c>
      <c r="B654">
        <v>24</v>
      </c>
      <c r="C654">
        <v>67</v>
      </c>
      <c r="D654">
        <f t="shared" si="30"/>
        <v>0.35820895522388058</v>
      </c>
      <c r="E654">
        <f>ROUND(MIN(5,MAX(0,D654))/5*PARAMS_MODELO!$B$32,2)</f>
        <v>2.87</v>
      </c>
      <c r="F654">
        <v>2</v>
      </c>
      <c r="G654">
        <f>MAX(0,PARAMS_MODELO!$B$33-VALUE(TRIM(F654))*3)</f>
        <v>24</v>
      </c>
      <c r="H654">
        <v>1</v>
      </c>
      <c r="I654">
        <f>ROUND(MIN(4,MAX(0,H654))/4*PARAMS_MODELO!$B$34,2)</f>
        <v>5</v>
      </c>
      <c r="J654">
        <v>1</v>
      </c>
      <c r="K654">
        <f>IF(J654=0,0,PARAMS_MODELO!$B$35)</f>
        <v>10</v>
      </c>
      <c r="L654">
        <f t="shared" si="31"/>
        <v>41.870000000000005</v>
      </c>
      <c r="M654" t="str">
        <f t="shared" si="32"/>
        <v>Regular</v>
      </c>
      <c r="N654">
        <f>IF(M654=PARAMS_MODELO!$A$36,PARAMS_MODELO!$B$36,IF(M654=PARAMS_MODELO!$A$37,PARAMS_MODELO!$B$37,IF(M654=PARAMS_MODELO!$A$38,PARAMS_MODELO!$B$38,IF(M654=PARAMS_MODELO!$A$39,PARAMS_MODELO!$B$39,IF(M654=PARAMS_MODELO!$A$40,PARAMS_MODELO!$B$40)))))</f>
        <v>1</v>
      </c>
    </row>
    <row r="655" spans="1:14" x14ac:dyDescent="0.3">
      <c r="A655">
        <v>51002164</v>
      </c>
      <c r="B655">
        <v>88</v>
      </c>
      <c r="C655">
        <v>57</v>
      </c>
      <c r="D655">
        <f t="shared" si="30"/>
        <v>1.5438596491228069</v>
      </c>
      <c r="E655">
        <f>ROUND(MIN(5,MAX(0,D655))/5*PARAMS_MODELO!$B$32,2)</f>
        <v>12.35</v>
      </c>
      <c r="F655">
        <v>1</v>
      </c>
      <c r="G655">
        <f>MAX(0,PARAMS_MODELO!$B$33-VALUE(TRIM(F655))*3)</f>
        <v>27</v>
      </c>
      <c r="H655">
        <v>1</v>
      </c>
      <c r="I655">
        <f>ROUND(MIN(4,MAX(0,H655))/4*PARAMS_MODELO!$B$34,2)</f>
        <v>5</v>
      </c>
      <c r="J655">
        <v>1</v>
      </c>
      <c r="K655">
        <f>IF(J655=0,0,PARAMS_MODELO!$B$35)</f>
        <v>10</v>
      </c>
      <c r="L655">
        <f t="shared" si="31"/>
        <v>54.35</v>
      </c>
      <c r="M655" t="str">
        <f t="shared" si="32"/>
        <v>Regular</v>
      </c>
      <c r="N655">
        <f>IF(M655=PARAMS_MODELO!$A$36,PARAMS_MODELO!$B$36,IF(M655=PARAMS_MODELO!$A$37,PARAMS_MODELO!$B$37,IF(M655=PARAMS_MODELO!$A$38,PARAMS_MODELO!$B$38,IF(M655=PARAMS_MODELO!$A$39,PARAMS_MODELO!$B$39,IF(M655=PARAMS_MODELO!$A$40,PARAMS_MODELO!$B$40)))))</f>
        <v>1</v>
      </c>
    </row>
    <row r="656" spans="1:14" x14ac:dyDescent="0.3">
      <c r="A656">
        <v>51013182</v>
      </c>
      <c r="B656">
        <v>7</v>
      </c>
      <c r="C656">
        <v>100</v>
      </c>
      <c r="D656">
        <f t="shared" si="30"/>
        <v>7.0000000000000007E-2</v>
      </c>
      <c r="E656">
        <f>ROUND(MIN(5,MAX(0,D656))/5*PARAMS_MODELO!$B$32,2)</f>
        <v>0.56000000000000005</v>
      </c>
      <c r="F656">
        <v>5</v>
      </c>
      <c r="G656">
        <f>MAX(0,PARAMS_MODELO!$B$33-VALUE(TRIM(F656))*3)</f>
        <v>15</v>
      </c>
      <c r="H656">
        <v>3</v>
      </c>
      <c r="I656">
        <f>ROUND(MIN(4,MAX(0,H656))/4*PARAMS_MODELO!$B$34,2)</f>
        <v>15</v>
      </c>
      <c r="J656">
        <v>0</v>
      </c>
      <c r="K656">
        <f>IF(J656=0,0,PARAMS_MODELO!$B$35)</f>
        <v>0</v>
      </c>
      <c r="L656">
        <f t="shared" si="31"/>
        <v>30.560000000000002</v>
      </c>
      <c r="M656" t="str">
        <f t="shared" si="32"/>
        <v>Malo</v>
      </c>
      <c r="N656">
        <f>IF(M656=PARAMS_MODELO!$A$36,PARAMS_MODELO!$B$36,IF(M656=PARAMS_MODELO!$A$37,PARAMS_MODELO!$B$37,IF(M656=PARAMS_MODELO!$A$38,PARAMS_MODELO!$B$38,IF(M656=PARAMS_MODELO!$A$39,PARAMS_MODELO!$B$39,IF(M656=PARAMS_MODELO!$A$40,PARAMS_MODELO!$B$40)))))</f>
        <v>0.7</v>
      </c>
    </row>
    <row r="657" spans="1:14" x14ac:dyDescent="0.3">
      <c r="A657">
        <v>51033086</v>
      </c>
      <c r="B657">
        <v>16</v>
      </c>
      <c r="C657">
        <v>14</v>
      </c>
      <c r="D657">
        <f t="shared" si="30"/>
        <v>1.1428571428571428</v>
      </c>
      <c r="E657">
        <f>ROUND(MIN(5,MAX(0,D657))/5*PARAMS_MODELO!$B$32,2)</f>
        <v>9.14</v>
      </c>
      <c r="F657">
        <v>4</v>
      </c>
      <c r="G657">
        <f>MAX(0,PARAMS_MODELO!$B$33-VALUE(TRIM(F657))*3)</f>
        <v>18</v>
      </c>
      <c r="H657">
        <v>2</v>
      </c>
      <c r="I657">
        <f>ROUND(MIN(4,MAX(0,H657))/4*PARAMS_MODELO!$B$34,2)</f>
        <v>10</v>
      </c>
      <c r="J657">
        <v>0</v>
      </c>
      <c r="K657">
        <f>IF(J657=0,0,PARAMS_MODELO!$B$35)</f>
        <v>0</v>
      </c>
      <c r="L657">
        <f t="shared" si="31"/>
        <v>37.14</v>
      </c>
      <c r="M657" t="str">
        <f t="shared" si="32"/>
        <v>Malo</v>
      </c>
      <c r="N657">
        <f>IF(M657=PARAMS_MODELO!$A$36,PARAMS_MODELO!$B$36,IF(M657=PARAMS_MODELO!$A$37,PARAMS_MODELO!$B$37,IF(M657=PARAMS_MODELO!$A$38,PARAMS_MODELO!$B$38,IF(M657=PARAMS_MODELO!$A$39,PARAMS_MODELO!$B$39,IF(M657=PARAMS_MODELO!$A$40,PARAMS_MODELO!$B$40)))))</f>
        <v>0.7</v>
      </c>
    </row>
    <row r="658" spans="1:14" x14ac:dyDescent="0.3">
      <c r="A658">
        <v>51029038</v>
      </c>
      <c r="B658">
        <v>86</v>
      </c>
      <c r="C658">
        <v>66</v>
      </c>
      <c r="D658">
        <f t="shared" si="30"/>
        <v>1.303030303030303</v>
      </c>
      <c r="E658">
        <f>ROUND(MIN(5,MAX(0,D658))/5*PARAMS_MODELO!$B$32,2)</f>
        <v>10.42</v>
      </c>
      <c r="F658">
        <v>3</v>
      </c>
      <c r="G658">
        <f>MAX(0,PARAMS_MODELO!$B$33-VALUE(TRIM(F658))*3)</f>
        <v>21</v>
      </c>
      <c r="H658">
        <v>0</v>
      </c>
      <c r="I658">
        <f>ROUND(MIN(4,MAX(0,H658))/4*PARAMS_MODELO!$B$34,2)</f>
        <v>0</v>
      </c>
      <c r="J658">
        <v>0</v>
      </c>
      <c r="K658">
        <f>IF(J658=0,0,PARAMS_MODELO!$B$35)</f>
        <v>0</v>
      </c>
      <c r="L658">
        <f t="shared" si="31"/>
        <v>31.42</v>
      </c>
      <c r="M658" t="str">
        <f t="shared" si="32"/>
        <v>Malo</v>
      </c>
      <c r="N658">
        <f>IF(M658=PARAMS_MODELO!$A$36,PARAMS_MODELO!$B$36,IF(M658=PARAMS_MODELO!$A$37,PARAMS_MODELO!$B$37,IF(M658=PARAMS_MODELO!$A$38,PARAMS_MODELO!$B$38,IF(M658=PARAMS_MODELO!$A$39,PARAMS_MODELO!$B$39,IF(M658=PARAMS_MODELO!$A$40,PARAMS_MODELO!$B$40)))))</f>
        <v>0.7</v>
      </c>
    </row>
    <row r="659" spans="1:14" x14ac:dyDescent="0.3">
      <c r="A659">
        <v>51024168</v>
      </c>
      <c r="B659">
        <v>38</v>
      </c>
      <c r="C659">
        <v>32</v>
      </c>
      <c r="D659">
        <f t="shared" si="30"/>
        <v>1.1875</v>
      </c>
      <c r="E659">
        <f>ROUND(MIN(5,MAX(0,D659))/5*PARAMS_MODELO!$B$32,2)</f>
        <v>9.5</v>
      </c>
      <c r="F659">
        <v>0</v>
      </c>
      <c r="G659">
        <f>MAX(0,PARAMS_MODELO!$B$33-VALUE(TRIM(F659))*3)</f>
        <v>30</v>
      </c>
      <c r="H659">
        <v>2</v>
      </c>
      <c r="I659">
        <f>ROUND(MIN(4,MAX(0,H659))/4*PARAMS_MODELO!$B$34,2)</f>
        <v>10</v>
      </c>
      <c r="J659">
        <v>1</v>
      </c>
      <c r="K659">
        <f>IF(J659=0,0,PARAMS_MODELO!$B$35)</f>
        <v>10</v>
      </c>
      <c r="L659">
        <f t="shared" si="31"/>
        <v>59.5</v>
      </c>
      <c r="M659" t="str">
        <f t="shared" si="32"/>
        <v>Regular</v>
      </c>
      <c r="N659">
        <f>IF(M659=PARAMS_MODELO!$A$36,PARAMS_MODELO!$B$36,IF(M659=PARAMS_MODELO!$A$37,PARAMS_MODELO!$B$37,IF(M659=PARAMS_MODELO!$A$38,PARAMS_MODELO!$B$38,IF(M659=PARAMS_MODELO!$A$39,PARAMS_MODELO!$B$39,IF(M659=PARAMS_MODELO!$A$40,PARAMS_MODELO!$B$40)))))</f>
        <v>1</v>
      </c>
    </row>
    <row r="660" spans="1:14" x14ac:dyDescent="0.3">
      <c r="A660">
        <v>51023455</v>
      </c>
      <c r="B660">
        <v>60</v>
      </c>
      <c r="C660">
        <v>84</v>
      </c>
      <c r="D660">
        <f t="shared" si="30"/>
        <v>0.7142857142857143</v>
      </c>
      <c r="E660">
        <f>ROUND(MIN(5,MAX(0,D660))/5*PARAMS_MODELO!$B$32,2)</f>
        <v>5.71</v>
      </c>
      <c r="F660">
        <v>5</v>
      </c>
      <c r="G660">
        <f>MAX(0,PARAMS_MODELO!$B$33-VALUE(TRIM(F660))*3)</f>
        <v>15</v>
      </c>
      <c r="H660">
        <v>0</v>
      </c>
      <c r="I660">
        <f>ROUND(MIN(4,MAX(0,H660))/4*PARAMS_MODELO!$B$34,2)</f>
        <v>0</v>
      </c>
      <c r="J660">
        <v>0</v>
      </c>
      <c r="K660">
        <f>IF(J660=0,0,PARAMS_MODELO!$B$35)</f>
        <v>0</v>
      </c>
      <c r="L660">
        <f t="shared" si="31"/>
        <v>20.71</v>
      </c>
      <c r="M660" t="str">
        <f t="shared" si="32"/>
        <v>Malo</v>
      </c>
      <c r="N660">
        <f>IF(M660=PARAMS_MODELO!$A$36,PARAMS_MODELO!$B$36,IF(M660=PARAMS_MODELO!$A$37,PARAMS_MODELO!$B$37,IF(M660=PARAMS_MODELO!$A$38,PARAMS_MODELO!$B$38,IF(M660=PARAMS_MODELO!$A$39,PARAMS_MODELO!$B$39,IF(M660=PARAMS_MODELO!$A$40,PARAMS_MODELO!$B$40)))))</f>
        <v>0.7</v>
      </c>
    </row>
    <row r="661" spans="1:14" x14ac:dyDescent="0.3">
      <c r="A661">
        <v>51016131</v>
      </c>
      <c r="B661">
        <v>49</v>
      </c>
      <c r="C661">
        <v>15</v>
      </c>
      <c r="D661">
        <f t="shared" si="30"/>
        <v>3.2666666666666666</v>
      </c>
      <c r="E661">
        <f>ROUND(MIN(5,MAX(0,D661))/5*PARAMS_MODELO!$B$32,2)</f>
        <v>26.13</v>
      </c>
      <c r="F661">
        <v>0</v>
      </c>
      <c r="G661">
        <f>MAX(0,PARAMS_MODELO!$B$33-VALUE(TRIM(F661))*3)</f>
        <v>30</v>
      </c>
      <c r="H661">
        <v>4</v>
      </c>
      <c r="I661">
        <f>ROUND(MIN(4,MAX(0,H661))/4*PARAMS_MODELO!$B$34,2)</f>
        <v>20</v>
      </c>
      <c r="J661">
        <v>1</v>
      </c>
      <c r="K661">
        <f>IF(J661=0,0,PARAMS_MODELO!$B$35)</f>
        <v>10</v>
      </c>
      <c r="L661">
        <f t="shared" si="31"/>
        <v>86.13</v>
      </c>
      <c r="M661" t="str">
        <f t="shared" si="32"/>
        <v>Muy Bueno</v>
      </c>
      <c r="N661">
        <f>IF(M661=PARAMS_MODELO!$A$36,PARAMS_MODELO!$B$36,IF(M661=PARAMS_MODELO!$A$37,PARAMS_MODELO!$B$37,IF(M661=PARAMS_MODELO!$A$38,PARAMS_MODELO!$B$38,IF(M661=PARAMS_MODELO!$A$39,PARAMS_MODELO!$B$39,IF(M661=PARAMS_MODELO!$A$40,PARAMS_MODELO!$B$40)))))</f>
        <v>1.1499999999999999</v>
      </c>
    </row>
    <row r="662" spans="1:14" x14ac:dyDescent="0.3">
      <c r="A662">
        <v>51016408</v>
      </c>
      <c r="B662">
        <v>49</v>
      </c>
      <c r="C662">
        <v>70</v>
      </c>
      <c r="D662">
        <f t="shared" si="30"/>
        <v>0.7</v>
      </c>
      <c r="E662">
        <f>ROUND(MIN(5,MAX(0,D662))/5*PARAMS_MODELO!$B$32,2)</f>
        <v>5.6</v>
      </c>
      <c r="F662">
        <v>1</v>
      </c>
      <c r="G662">
        <f>MAX(0,PARAMS_MODELO!$B$33-VALUE(TRIM(F662))*3)</f>
        <v>27</v>
      </c>
      <c r="H662">
        <v>2</v>
      </c>
      <c r="I662">
        <f>ROUND(MIN(4,MAX(0,H662))/4*PARAMS_MODELO!$B$34,2)</f>
        <v>10</v>
      </c>
      <c r="J662">
        <v>0</v>
      </c>
      <c r="K662">
        <f>IF(J662=0,0,PARAMS_MODELO!$B$35)</f>
        <v>0</v>
      </c>
      <c r="L662">
        <f t="shared" si="31"/>
        <v>42.6</v>
      </c>
      <c r="M662" t="str">
        <f t="shared" si="32"/>
        <v>Regular</v>
      </c>
      <c r="N662">
        <f>IF(M662=PARAMS_MODELO!$A$36,PARAMS_MODELO!$B$36,IF(M662=PARAMS_MODELO!$A$37,PARAMS_MODELO!$B$37,IF(M662=PARAMS_MODELO!$A$38,PARAMS_MODELO!$B$38,IF(M662=PARAMS_MODELO!$A$39,PARAMS_MODELO!$B$39,IF(M662=PARAMS_MODELO!$A$40,PARAMS_MODELO!$B$40)))))</f>
        <v>1</v>
      </c>
    </row>
    <row r="663" spans="1:14" x14ac:dyDescent="0.3">
      <c r="A663">
        <v>51056914</v>
      </c>
      <c r="B663">
        <v>15</v>
      </c>
      <c r="C663">
        <v>99</v>
      </c>
      <c r="D663">
        <f t="shared" si="30"/>
        <v>0.15151515151515152</v>
      </c>
      <c r="E663">
        <f>ROUND(MIN(5,MAX(0,D663))/5*PARAMS_MODELO!$B$32,2)</f>
        <v>1.21</v>
      </c>
      <c r="F663">
        <v>0</v>
      </c>
      <c r="G663">
        <f>MAX(0,PARAMS_MODELO!$B$33-VALUE(TRIM(F663))*3)</f>
        <v>30</v>
      </c>
      <c r="H663">
        <v>1</v>
      </c>
      <c r="I663">
        <f>ROUND(MIN(4,MAX(0,H663))/4*PARAMS_MODELO!$B$34,2)</f>
        <v>5</v>
      </c>
      <c r="J663">
        <v>1</v>
      </c>
      <c r="K663">
        <f>IF(J663=0,0,PARAMS_MODELO!$B$35)</f>
        <v>10</v>
      </c>
      <c r="L663">
        <f t="shared" si="31"/>
        <v>46.21</v>
      </c>
      <c r="M663" t="str">
        <f t="shared" si="32"/>
        <v>Regular</v>
      </c>
      <c r="N663">
        <f>IF(M663=PARAMS_MODELO!$A$36,PARAMS_MODELO!$B$36,IF(M663=PARAMS_MODELO!$A$37,PARAMS_MODELO!$B$37,IF(M663=PARAMS_MODELO!$A$38,PARAMS_MODELO!$B$38,IF(M663=PARAMS_MODELO!$A$39,PARAMS_MODELO!$B$39,IF(M663=PARAMS_MODELO!$A$40,PARAMS_MODELO!$B$40)))))</f>
        <v>1</v>
      </c>
    </row>
    <row r="664" spans="1:14" x14ac:dyDescent="0.3">
      <c r="A664">
        <v>51016858</v>
      </c>
      <c r="B664">
        <v>73</v>
      </c>
      <c r="C664">
        <v>22</v>
      </c>
      <c r="D664">
        <f t="shared" si="30"/>
        <v>3.3181818181818183</v>
      </c>
      <c r="E664">
        <f>ROUND(MIN(5,MAX(0,D664))/5*PARAMS_MODELO!$B$32,2)</f>
        <v>26.55</v>
      </c>
      <c r="F664">
        <v>0</v>
      </c>
      <c r="G664">
        <f>MAX(0,PARAMS_MODELO!$B$33-VALUE(TRIM(F664))*3)</f>
        <v>30</v>
      </c>
      <c r="H664">
        <v>2</v>
      </c>
      <c r="I664">
        <f>ROUND(MIN(4,MAX(0,H664))/4*PARAMS_MODELO!$B$34,2)</f>
        <v>10</v>
      </c>
      <c r="J664">
        <v>0</v>
      </c>
      <c r="K664">
        <f>IF(J664=0,0,PARAMS_MODELO!$B$35)</f>
        <v>0</v>
      </c>
      <c r="L664">
        <f t="shared" si="31"/>
        <v>66.55</v>
      </c>
      <c r="M664" t="str">
        <f t="shared" si="32"/>
        <v>Bueno</v>
      </c>
      <c r="N664">
        <f>IF(M664=PARAMS_MODELO!$A$36,PARAMS_MODELO!$B$36,IF(M664=PARAMS_MODELO!$A$37,PARAMS_MODELO!$B$37,IF(M664=PARAMS_MODELO!$A$38,PARAMS_MODELO!$B$38,IF(M664=PARAMS_MODELO!$A$39,PARAMS_MODELO!$B$39,IF(M664=PARAMS_MODELO!$A$40,PARAMS_MODELO!$B$40)))))</f>
        <v>1.1000000000000001</v>
      </c>
    </row>
    <row r="665" spans="1:14" x14ac:dyDescent="0.3">
      <c r="A665">
        <v>51035666</v>
      </c>
      <c r="B665">
        <v>60</v>
      </c>
      <c r="C665">
        <v>34</v>
      </c>
      <c r="D665">
        <f t="shared" si="30"/>
        <v>1.7647058823529411</v>
      </c>
      <c r="E665">
        <f>ROUND(MIN(5,MAX(0,D665))/5*PARAMS_MODELO!$B$32,2)</f>
        <v>14.12</v>
      </c>
      <c r="F665">
        <v>1</v>
      </c>
      <c r="G665">
        <f>MAX(0,PARAMS_MODELO!$B$33-VALUE(TRIM(F665))*3)</f>
        <v>27</v>
      </c>
      <c r="H665">
        <v>0</v>
      </c>
      <c r="I665">
        <f>ROUND(MIN(4,MAX(0,H665))/4*PARAMS_MODELO!$B$34,2)</f>
        <v>0</v>
      </c>
      <c r="J665">
        <v>0</v>
      </c>
      <c r="K665">
        <f>IF(J665=0,0,PARAMS_MODELO!$B$35)</f>
        <v>0</v>
      </c>
      <c r="L665">
        <f t="shared" si="31"/>
        <v>41.12</v>
      </c>
      <c r="M665" t="str">
        <f t="shared" si="32"/>
        <v>Regular</v>
      </c>
      <c r="N665">
        <f>IF(M665=PARAMS_MODELO!$A$36,PARAMS_MODELO!$B$36,IF(M665=PARAMS_MODELO!$A$37,PARAMS_MODELO!$B$37,IF(M665=PARAMS_MODELO!$A$38,PARAMS_MODELO!$B$38,IF(M665=PARAMS_MODELO!$A$39,PARAMS_MODELO!$B$39,IF(M665=PARAMS_MODELO!$A$40,PARAMS_MODELO!$B$40)))))</f>
        <v>1</v>
      </c>
    </row>
    <row r="666" spans="1:14" x14ac:dyDescent="0.3">
      <c r="A666">
        <v>51022068</v>
      </c>
      <c r="B666">
        <v>93</v>
      </c>
      <c r="C666">
        <v>17</v>
      </c>
      <c r="D666">
        <f t="shared" si="30"/>
        <v>5</v>
      </c>
      <c r="E666">
        <f>ROUND(MIN(5,MAX(0,D666))/5*PARAMS_MODELO!$B$32,2)</f>
        <v>40</v>
      </c>
      <c r="F666">
        <v>3</v>
      </c>
      <c r="G666">
        <f>MAX(0,PARAMS_MODELO!$B$33-VALUE(TRIM(F666))*3)</f>
        <v>21</v>
      </c>
      <c r="H666">
        <v>0</v>
      </c>
      <c r="I666">
        <f>ROUND(MIN(4,MAX(0,H666))/4*PARAMS_MODELO!$B$34,2)</f>
        <v>0</v>
      </c>
      <c r="J666">
        <v>0</v>
      </c>
      <c r="K666">
        <f>IF(J666=0,0,PARAMS_MODELO!$B$35)</f>
        <v>0</v>
      </c>
      <c r="L666">
        <f t="shared" si="31"/>
        <v>61</v>
      </c>
      <c r="M666" t="str">
        <f t="shared" si="32"/>
        <v>Bueno</v>
      </c>
      <c r="N666">
        <f>IF(M666=PARAMS_MODELO!$A$36,PARAMS_MODELO!$B$36,IF(M666=PARAMS_MODELO!$A$37,PARAMS_MODELO!$B$37,IF(M666=PARAMS_MODELO!$A$38,PARAMS_MODELO!$B$38,IF(M666=PARAMS_MODELO!$A$39,PARAMS_MODELO!$B$39,IF(M666=PARAMS_MODELO!$A$40,PARAMS_MODELO!$B$40)))))</f>
        <v>1.1000000000000001</v>
      </c>
    </row>
    <row r="667" spans="1:14" x14ac:dyDescent="0.3">
      <c r="A667">
        <v>51013611</v>
      </c>
      <c r="B667">
        <v>45</v>
      </c>
      <c r="C667">
        <v>14</v>
      </c>
      <c r="D667">
        <f t="shared" si="30"/>
        <v>3.2142857142857144</v>
      </c>
      <c r="E667">
        <f>ROUND(MIN(5,MAX(0,D667))/5*PARAMS_MODELO!$B$32,2)</f>
        <v>25.71</v>
      </c>
      <c r="F667">
        <v>5</v>
      </c>
      <c r="G667">
        <f>MAX(0,PARAMS_MODELO!$B$33-VALUE(TRIM(F667))*3)</f>
        <v>15</v>
      </c>
      <c r="H667">
        <v>2</v>
      </c>
      <c r="I667">
        <f>ROUND(MIN(4,MAX(0,H667))/4*PARAMS_MODELO!$B$34,2)</f>
        <v>10</v>
      </c>
      <c r="J667">
        <v>1</v>
      </c>
      <c r="K667">
        <f>IF(J667=0,0,PARAMS_MODELO!$B$35)</f>
        <v>10</v>
      </c>
      <c r="L667">
        <f t="shared" si="31"/>
        <v>60.71</v>
      </c>
      <c r="M667" t="str">
        <f t="shared" si="32"/>
        <v>Bueno</v>
      </c>
      <c r="N667">
        <f>IF(M667=PARAMS_MODELO!$A$36,PARAMS_MODELO!$B$36,IF(M667=PARAMS_MODELO!$A$37,PARAMS_MODELO!$B$37,IF(M667=PARAMS_MODELO!$A$38,PARAMS_MODELO!$B$38,IF(M667=PARAMS_MODELO!$A$39,PARAMS_MODELO!$B$39,IF(M667=PARAMS_MODELO!$A$40,PARAMS_MODELO!$B$40)))))</f>
        <v>1.1000000000000001</v>
      </c>
    </row>
    <row r="668" spans="1:14" x14ac:dyDescent="0.3">
      <c r="A668">
        <v>51013115</v>
      </c>
      <c r="B668">
        <v>97</v>
      </c>
      <c r="C668">
        <v>26</v>
      </c>
      <c r="D668">
        <f t="shared" si="30"/>
        <v>3.7307692307692308</v>
      </c>
      <c r="E668">
        <f>ROUND(MIN(5,MAX(0,D668))/5*PARAMS_MODELO!$B$32,2)</f>
        <v>29.85</v>
      </c>
      <c r="F668">
        <v>0</v>
      </c>
      <c r="G668">
        <f>MAX(0,PARAMS_MODELO!$B$33-VALUE(TRIM(F668))*3)</f>
        <v>30</v>
      </c>
      <c r="H668">
        <v>2</v>
      </c>
      <c r="I668">
        <f>ROUND(MIN(4,MAX(0,H668))/4*PARAMS_MODELO!$B$34,2)</f>
        <v>10</v>
      </c>
      <c r="J668">
        <v>0</v>
      </c>
      <c r="K668">
        <f>IF(J668=0,0,PARAMS_MODELO!$B$35)</f>
        <v>0</v>
      </c>
      <c r="L668">
        <f t="shared" si="31"/>
        <v>69.849999999999994</v>
      </c>
      <c r="M668" t="str">
        <f t="shared" si="32"/>
        <v>Bueno</v>
      </c>
      <c r="N668">
        <f>IF(M668=PARAMS_MODELO!$A$36,PARAMS_MODELO!$B$36,IF(M668=PARAMS_MODELO!$A$37,PARAMS_MODELO!$B$37,IF(M668=PARAMS_MODELO!$A$38,PARAMS_MODELO!$B$38,IF(M668=PARAMS_MODELO!$A$39,PARAMS_MODELO!$B$39,IF(M668=PARAMS_MODELO!$A$40,PARAMS_MODELO!$B$40)))))</f>
        <v>1.1000000000000001</v>
      </c>
    </row>
    <row r="669" spans="1:14" x14ac:dyDescent="0.3">
      <c r="A669">
        <v>51056744</v>
      </c>
      <c r="B669">
        <v>28</v>
      </c>
      <c r="C669">
        <v>26</v>
      </c>
      <c r="D669">
        <f t="shared" si="30"/>
        <v>1.0769230769230769</v>
      </c>
      <c r="E669">
        <f>ROUND(MIN(5,MAX(0,D669))/5*PARAMS_MODELO!$B$32,2)</f>
        <v>8.6199999999999992</v>
      </c>
      <c r="F669">
        <v>0</v>
      </c>
      <c r="G669">
        <f>MAX(0,PARAMS_MODELO!$B$33-VALUE(TRIM(F669))*3)</f>
        <v>30</v>
      </c>
      <c r="H669">
        <v>1</v>
      </c>
      <c r="I669">
        <f>ROUND(MIN(4,MAX(0,H669))/4*PARAMS_MODELO!$B$34,2)</f>
        <v>5</v>
      </c>
      <c r="J669">
        <v>0</v>
      </c>
      <c r="K669">
        <f>IF(J669=0,0,PARAMS_MODELO!$B$35)</f>
        <v>0</v>
      </c>
      <c r="L669">
        <f t="shared" si="31"/>
        <v>43.62</v>
      </c>
      <c r="M669" t="str">
        <f t="shared" si="32"/>
        <v>Regular</v>
      </c>
      <c r="N669">
        <f>IF(M669=PARAMS_MODELO!$A$36,PARAMS_MODELO!$B$36,IF(M669=PARAMS_MODELO!$A$37,PARAMS_MODELO!$B$37,IF(M669=PARAMS_MODELO!$A$38,PARAMS_MODELO!$B$38,IF(M669=PARAMS_MODELO!$A$39,PARAMS_MODELO!$B$39,IF(M669=PARAMS_MODELO!$A$40,PARAMS_MODELO!$B$40)))))</f>
        <v>1</v>
      </c>
    </row>
    <row r="670" spans="1:14" x14ac:dyDescent="0.3">
      <c r="A670">
        <v>51031822</v>
      </c>
      <c r="B670">
        <v>55</v>
      </c>
      <c r="C670">
        <v>80</v>
      </c>
      <c r="D670">
        <f t="shared" si="30"/>
        <v>0.6875</v>
      </c>
      <c r="E670">
        <f>ROUND(MIN(5,MAX(0,D670))/5*PARAMS_MODELO!$B$32,2)</f>
        <v>5.5</v>
      </c>
      <c r="F670">
        <v>3</v>
      </c>
      <c r="G670">
        <f>MAX(0,PARAMS_MODELO!$B$33-VALUE(TRIM(F670))*3)</f>
        <v>21</v>
      </c>
      <c r="H670">
        <v>4</v>
      </c>
      <c r="I670">
        <f>ROUND(MIN(4,MAX(0,H670))/4*PARAMS_MODELO!$B$34,2)</f>
        <v>20</v>
      </c>
      <c r="J670">
        <v>0</v>
      </c>
      <c r="K670">
        <f>IF(J670=0,0,PARAMS_MODELO!$B$35)</f>
        <v>0</v>
      </c>
      <c r="L670">
        <f t="shared" si="31"/>
        <v>46.5</v>
      </c>
      <c r="M670" t="str">
        <f t="shared" si="32"/>
        <v>Regular</v>
      </c>
      <c r="N670">
        <f>IF(M670=PARAMS_MODELO!$A$36,PARAMS_MODELO!$B$36,IF(M670=PARAMS_MODELO!$A$37,PARAMS_MODELO!$B$37,IF(M670=PARAMS_MODELO!$A$38,PARAMS_MODELO!$B$38,IF(M670=PARAMS_MODELO!$A$39,PARAMS_MODELO!$B$39,IF(M670=PARAMS_MODELO!$A$40,PARAMS_MODELO!$B$40)))))</f>
        <v>1</v>
      </c>
    </row>
    <row r="671" spans="1:14" x14ac:dyDescent="0.3">
      <c r="A671">
        <v>51025938</v>
      </c>
      <c r="B671">
        <v>13</v>
      </c>
      <c r="C671">
        <v>92</v>
      </c>
      <c r="D671">
        <f t="shared" si="30"/>
        <v>0.14130434782608695</v>
      </c>
      <c r="E671">
        <f>ROUND(MIN(5,MAX(0,D671))/5*PARAMS_MODELO!$B$32,2)</f>
        <v>1.1299999999999999</v>
      </c>
      <c r="F671">
        <v>5</v>
      </c>
      <c r="G671">
        <f>MAX(0,PARAMS_MODELO!$B$33-VALUE(TRIM(F671))*3)</f>
        <v>15</v>
      </c>
      <c r="H671">
        <v>3</v>
      </c>
      <c r="I671">
        <f>ROUND(MIN(4,MAX(0,H671))/4*PARAMS_MODELO!$B$34,2)</f>
        <v>15</v>
      </c>
      <c r="J671">
        <v>0</v>
      </c>
      <c r="K671">
        <f>IF(J671=0,0,PARAMS_MODELO!$B$35)</f>
        <v>0</v>
      </c>
      <c r="L671">
        <f t="shared" si="31"/>
        <v>31.13</v>
      </c>
      <c r="M671" t="str">
        <f t="shared" si="32"/>
        <v>Malo</v>
      </c>
      <c r="N671">
        <f>IF(M671=PARAMS_MODELO!$A$36,PARAMS_MODELO!$B$36,IF(M671=PARAMS_MODELO!$A$37,PARAMS_MODELO!$B$37,IF(M671=PARAMS_MODELO!$A$38,PARAMS_MODELO!$B$38,IF(M671=PARAMS_MODELO!$A$39,PARAMS_MODELO!$B$39,IF(M671=PARAMS_MODELO!$A$40,PARAMS_MODELO!$B$40)))))</f>
        <v>0.7</v>
      </c>
    </row>
    <row r="672" spans="1:14" x14ac:dyDescent="0.3">
      <c r="A672">
        <v>51030141</v>
      </c>
      <c r="B672">
        <v>69</v>
      </c>
      <c r="C672">
        <v>89</v>
      </c>
      <c r="D672">
        <f t="shared" si="30"/>
        <v>0.7752808988764045</v>
      </c>
      <c r="E672">
        <f>ROUND(MIN(5,MAX(0,D672))/5*PARAMS_MODELO!$B$32,2)</f>
        <v>6.2</v>
      </c>
      <c r="F672">
        <v>5</v>
      </c>
      <c r="G672">
        <f>MAX(0,PARAMS_MODELO!$B$33-VALUE(TRIM(F672))*3)</f>
        <v>15</v>
      </c>
      <c r="H672">
        <v>2</v>
      </c>
      <c r="I672">
        <f>ROUND(MIN(4,MAX(0,H672))/4*PARAMS_MODELO!$B$34,2)</f>
        <v>10</v>
      </c>
      <c r="J672">
        <v>1</v>
      </c>
      <c r="K672">
        <f>IF(J672=0,0,PARAMS_MODELO!$B$35)</f>
        <v>10</v>
      </c>
      <c r="L672">
        <f t="shared" si="31"/>
        <v>41.2</v>
      </c>
      <c r="M672" t="str">
        <f t="shared" si="32"/>
        <v>Regular</v>
      </c>
      <c r="N672">
        <f>IF(M672=PARAMS_MODELO!$A$36,PARAMS_MODELO!$B$36,IF(M672=PARAMS_MODELO!$A$37,PARAMS_MODELO!$B$37,IF(M672=PARAMS_MODELO!$A$38,PARAMS_MODELO!$B$38,IF(M672=PARAMS_MODELO!$A$39,PARAMS_MODELO!$B$39,IF(M672=PARAMS_MODELO!$A$40,PARAMS_MODELO!$B$40)))))</f>
        <v>1</v>
      </c>
    </row>
    <row r="673" spans="1:14" x14ac:dyDescent="0.3">
      <c r="A673">
        <v>51004698</v>
      </c>
      <c r="B673">
        <v>68</v>
      </c>
      <c r="C673">
        <v>14</v>
      </c>
      <c r="D673">
        <f t="shared" si="30"/>
        <v>4.8571428571428568</v>
      </c>
      <c r="E673">
        <f>ROUND(MIN(5,MAX(0,D673))/5*PARAMS_MODELO!$B$32,2)</f>
        <v>38.86</v>
      </c>
      <c r="F673">
        <v>2</v>
      </c>
      <c r="G673">
        <f>MAX(0,PARAMS_MODELO!$B$33-VALUE(TRIM(F673))*3)</f>
        <v>24</v>
      </c>
      <c r="H673">
        <v>3</v>
      </c>
      <c r="I673">
        <f>ROUND(MIN(4,MAX(0,H673))/4*PARAMS_MODELO!$B$34,2)</f>
        <v>15</v>
      </c>
      <c r="J673">
        <v>0</v>
      </c>
      <c r="K673">
        <f>IF(J673=0,0,PARAMS_MODELO!$B$35)</f>
        <v>0</v>
      </c>
      <c r="L673">
        <f t="shared" si="31"/>
        <v>77.86</v>
      </c>
      <c r="M673" t="str">
        <f t="shared" si="32"/>
        <v>Muy Bueno</v>
      </c>
      <c r="N673">
        <f>IF(M673=PARAMS_MODELO!$A$36,PARAMS_MODELO!$B$36,IF(M673=PARAMS_MODELO!$A$37,PARAMS_MODELO!$B$37,IF(M673=PARAMS_MODELO!$A$38,PARAMS_MODELO!$B$38,IF(M673=PARAMS_MODELO!$A$39,PARAMS_MODELO!$B$39,IF(M673=PARAMS_MODELO!$A$40,PARAMS_MODELO!$B$40)))))</f>
        <v>1.1499999999999999</v>
      </c>
    </row>
    <row r="674" spans="1:14" x14ac:dyDescent="0.3">
      <c r="A674">
        <v>51029585</v>
      </c>
      <c r="B674">
        <v>77</v>
      </c>
      <c r="C674">
        <v>85</v>
      </c>
      <c r="D674">
        <f t="shared" si="30"/>
        <v>0.90588235294117647</v>
      </c>
      <c r="E674">
        <f>ROUND(MIN(5,MAX(0,D674))/5*PARAMS_MODELO!$B$32,2)</f>
        <v>7.25</v>
      </c>
      <c r="F674">
        <v>1</v>
      </c>
      <c r="G674">
        <f>MAX(0,PARAMS_MODELO!$B$33-VALUE(TRIM(F674))*3)</f>
        <v>27</v>
      </c>
      <c r="H674">
        <v>3</v>
      </c>
      <c r="I674">
        <f>ROUND(MIN(4,MAX(0,H674))/4*PARAMS_MODELO!$B$34,2)</f>
        <v>15</v>
      </c>
      <c r="J674">
        <v>0</v>
      </c>
      <c r="K674">
        <f>IF(J674=0,0,PARAMS_MODELO!$B$35)</f>
        <v>0</v>
      </c>
      <c r="L674">
        <f t="shared" si="31"/>
        <v>49.25</v>
      </c>
      <c r="M674" t="str">
        <f t="shared" si="32"/>
        <v>Regular</v>
      </c>
      <c r="N674">
        <f>IF(M674=PARAMS_MODELO!$A$36,PARAMS_MODELO!$B$36,IF(M674=PARAMS_MODELO!$A$37,PARAMS_MODELO!$B$37,IF(M674=PARAMS_MODELO!$A$38,PARAMS_MODELO!$B$38,IF(M674=PARAMS_MODELO!$A$39,PARAMS_MODELO!$B$39,IF(M674=PARAMS_MODELO!$A$40,PARAMS_MODELO!$B$40)))))</f>
        <v>1</v>
      </c>
    </row>
    <row r="675" spans="1:14" x14ac:dyDescent="0.3">
      <c r="A675">
        <v>51018389</v>
      </c>
      <c r="B675">
        <v>57</v>
      </c>
      <c r="C675">
        <v>34</v>
      </c>
      <c r="D675">
        <f t="shared" si="30"/>
        <v>1.6764705882352942</v>
      </c>
      <c r="E675">
        <f>ROUND(MIN(5,MAX(0,D675))/5*PARAMS_MODELO!$B$32,2)</f>
        <v>13.41</v>
      </c>
      <c r="F675">
        <v>1</v>
      </c>
      <c r="G675">
        <f>MAX(0,PARAMS_MODELO!$B$33-VALUE(TRIM(F675))*3)</f>
        <v>27</v>
      </c>
      <c r="H675">
        <v>1</v>
      </c>
      <c r="I675">
        <f>ROUND(MIN(4,MAX(0,H675))/4*PARAMS_MODELO!$B$34,2)</f>
        <v>5</v>
      </c>
      <c r="J675">
        <v>1</v>
      </c>
      <c r="K675">
        <f>IF(J675=0,0,PARAMS_MODELO!$B$35)</f>
        <v>10</v>
      </c>
      <c r="L675">
        <f t="shared" si="31"/>
        <v>55.41</v>
      </c>
      <c r="M675" t="str">
        <f t="shared" si="32"/>
        <v>Regular</v>
      </c>
      <c r="N675">
        <f>IF(M675=PARAMS_MODELO!$A$36,PARAMS_MODELO!$B$36,IF(M675=PARAMS_MODELO!$A$37,PARAMS_MODELO!$B$37,IF(M675=PARAMS_MODELO!$A$38,PARAMS_MODELO!$B$38,IF(M675=PARAMS_MODELO!$A$39,PARAMS_MODELO!$B$39,IF(M675=PARAMS_MODELO!$A$40,PARAMS_MODELO!$B$40)))))</f>
        <v>1</v>
      </c>
    </row>
    <row r="676" spans="1:14" x14ac:dyDescent="0.3">
      <c r="A676">
        <v>51017137</v>
      </c>
      <c r="B676">
        <v>69</v>
      </c>
      <c r="C676">
        <v>18</v>
      </c>
      <c r="D676">
        <f t="shared" si="30"/>
        <v>3.8333333333333335</v>
      </c>
      <c r="E676">
        <f>ROUND(MIN(5,MAX(0,D676))/5*PARAMS_MODELO!$B$32,2)</f>
        <v>30.67</v>
      </c>
      <c r="F676">
        <v>5</v>
      </c>
      <c r="G676">
        <f>MAX(0,PARAMS_MODELO!$B$33-VALUE(TRIM(F676))*3)</f>
        <v>15</v>
      </c>
      <c r="H676">
        <v>1</v>
      </c>
      <c r="I676">
        <f>ROUND(MIN(4,MAX(0,H676))/4*PARAMS_MODELO!$B$34,2)</f>
        <v>5</v>
      </c>
      <c r="J676">
        <v>1</v>
      </c>
      <c r="K676">
        <f>IF(J676=0,0,PARAMS_MODELO!$B$35)</f>
        <v>10</v>
      </c>
      <c r="L676">
        <f t="shared" si="31"/>
        <v>60.67</v>
      </c>
      <c r="M676" t="str">
        <f t="shared" si="32"/>
        <v>Bueno</v>
      </c>
      <c r="N676">
        <f>IF(M676=PARAMS_MODELO!$A$36,PARAMS_MODELO!$B$36,IF(M676=PARAMS_MODELO!$A$37,PARAMS_MODELO!$B$37,IF(M676=PARAMS_MODELO!$A$38,PARAMS_MODELO!$B$38,IF(M676=PARAMS_MODELO!$A$39,PARAMS_MODELO!$B$39,IF(M676=PARAMS_MODELO!$A$40,PARAMS_MODELO!$B$40)))))</f>
        <v>1.1000000000000001</v>
      </c>
    </row>
    <row r="677" spans="1:14" x14ac:dyDescent="0.3">
      <c r="A677">
        <v>51041232</v>
      </c>
      <c r="B677">
        <v>37</v>
      </c>
      <c r="C677">
        <v>65</v>
      </c>
      <c r="D677">
        <f t="shared" si="30"/>
        <v>0.56923076923076921</v>
      </c>
      <c r="E677">
        <f>ROUND(MIN(5,MAX(0,D677))/5*PARAMS_MODELO!$B$32,2)</f>
        <v>4.55</v>
      </c>
      <c r="F677">
        <v>2</v>
      </c>
      <c r="G677">
        <f>MAX(0,PARAMS_MODELO!$B$33-VALUE(TRIM(F677))*3)</f>
        <v>24</v>
      </c>
      <c r="H677">
        <v>4</v>
      </c>
      <c r="I677">
        <f>ROUND(MIN(4,MAX(0,H677))/4*PARAMS_MODELO!$B$34,2)</f>
        <v>20</v>
      </c>
      <c r="J677">
        <v>0</v>
      </c>
      <c r="K677">
        <f>IF(J677=0,0,PARAMS_MODELO!$B$35)</f>
        <v>0</v>
      </c>
      <c r="L677">
        <f t="shared" si="31"/>
        <v>48.55</v>
      </c>
      <c r="M677" t="str">
        <f t="shared" si="32"/>
        <v>Regular</v>
      </c>
      <c r="N677">
        <f>IF(M677=PARAMS_MODELO!$A$36,PARAMS_MODELO!$B$36,IF(M677=PARAMS_MODELO!$A$37,PARAMS_MODELO!$B$37,IF(M677=PARAMS_MODELO!$A$38,PARAMS_MODELO!$B$38,IF(M677=PARAMS_MODELO!$A$39,PARAMS_MODELO!$B$39,IF(M677=PARAMS_MODELO!$A$40,PARAMS_MODELO!$B$40)))))</f>
        <v>1</v>
      </c>
    </row>
    <row r="678" spans="1:14" x14ac:dyDescent="0.3">
      <c r="A678">
        <v>51022769</v>
      </c>
      <c r="B678">
        <v>76</v>
      </c>
      <c r="C678">
        <v>46</v>
      </c>
      <c r="D678">
        <f t="shared" si="30"/>
        <v>1.6521739130434783</v>
      </c>
      <c r="E678">
        <f>ROUND(MIN(5,MAX(0,D678))/5*PARAMS_MODELO!$B$32,2)</f>
        <v>13.22</v>
      </c>
      <c r="F678">
        <v>4</v>
      </c>
      <c r="G678">
        <f>MAX(0,PARAMS_MODELO!$B$33-VALUE(TRIM(F678))*3)</f>
        <v>18</v>
      </c>
      <c r="H678">
        <v>3</v>
      </c>
      <c r="I678">
        <f>ROUND(MIN(4,MAX(0,H678))/4*PARAMS_MODELO!$B$34,2)</f>
        <v>15</v>
      </c>
      <c r="J678">
        <v>1</v>
      </c>
      <c r="K678">
        <f>IF(J678=0,0,PARAMS_MODELO!$B$35)</f>
        <v>10</v>
      </c>
      <c r="L678">
        <f t="shared" si="31"/>
        <v>56.22</v>
      </c>
      <c r="M678" t="str">
        <f t="shared" si="32"/>
        <v>Regular</v>
      </c>
      <c r="N678">
        <f>IF(M678=PARAMS_MODELO!$A$36,PARAMS_MODELO!$B$36,IF(M678=PARAMS_MODELO!$A$37,PARAMS_MODELO!$B$37,IF(M678=PARAMS_MODELO!$A$38,PARAMS_MODELO!$B$38,IF(M678=PARAMS_MODELO!$A$39,PARAMS_MODELO!$B$39,IF(M678=PARAMS_MODELO!$A$40,PARAMS_MODELO!$B$40)))))</f>
        <v>1</v>
      </c>
    </row>
    <row r="679" spans="1:14" x14ac:dyDescent="0.3">
      <c r="A679">
        <v>51031164</v>
      </c>
      <c r="B679">
        <v>88</v>
      </c>
      <c r="C679">
        <v>17</v>
      </c>
      <c r="D679">
        <f t="shared" si="30"/>
        <v>5</v>
      </c>
      <c r="E679">
        <f>ROUND(MIN(5,MAX(0,D679))/5*PARAMS_MODELO!$B$32,2)</f>
        <v>40</v>
      </c>
      <c r="F679">
        <v>1</v>
      </c>
      <c r="G679">
        <f>MAX(0,PARAMS_MODELO!$B$33-VALUE(TRIM(F679))*3)</f>
        <v>27</v>
      </c>
      <c r="H679">
        <v>4</v>
      </c>
      <c r="I679">
        <f>ROUND(MIN(4,MAX(0,H679))/4*PARAMS_MODELO!$B$34,2)</f>
        <v>20</v>
      </c>
      <c r="J679">
        <v>0</v>
      </c>
      <c r="K679">
        <f>IF(J679=0,0,PARAMS_MODELO!$B$35)</f>
        <v>0</v>
      </c>
      <c r="L679">
        <f t="shared" si="31"/>
        <v>87</v>
      </c>
      <c r="M679" t="str">
        <f t="shared" si="32"/>
        <v>Muy Bueno</v>
      </c>
      <c r="N679">
        <f>IF(M679=PARAMS_MODELO!$A$36,PARAMS_MODELO!$B$36,IF(M679=PARAMS_MODELO!$A$37,PARAMS_MODELO!$B$37,IF(M679=PARAMS_MODELO!$A$38,PARAMS_MODELO!$B$38,IF(M679=PARAMS_MODELO!$A$39,PARAMS_MODELO!$B$39,IF(M679=PARAMS_MODELO!$A$40,PARAMS_MODELO!$B$40)))))</f>
        <v>1.1499999999999999</v>
      </c>
    </row>
    <row r="680" spans="1:14" x14ac:dyDescent="0.3">
      <c r="A680">
        <v>51030371</v>
      </c>
      <c r="B680">
        <v>26</v>
      </c>
      <c r="C680">
        <v>56</v>
      </c>
      <c r="D680">
        <f t="shared" si="30"/>
        <v>0.4642857142857143</v>
      </c>
      <c r="E680">
        <f>ROUND(MIN(5,MAX(0,D680))/5*PARAMS_MODELO!$B$32,2)</f>
        <v>3.71</v>
      </c>
      <c r="F680">
        <v>0</v>
      </c>
      <c r="G680">
        <f>MAX(0,PARAMS_MODELO!$B$33-VALUE(TRIM(F680))*3)</f>
        <v>30</v>
      </c>
      <c r="H680">
        <v>0</v>
      </c>
      <c r="I680">
        <f>ROUND(MIN(4,MAX(0,H680))/4*PARAMS_MODELO!$B$34,2)</f>
        <v>0</v>
      </c>
      <c r="J680">
        <v>0</v>
      </c>
      <c r="K680">
        <f>IF(J680=0,0,PARAMS_MODELO!$B$35)</f>
        <v>0</v>
      </c>
      <c r="L680">
        <f t="shared" si="31"/>
        <v>33.71</v>
      </c>
      <c r="M680" t="str">
        <f t="shared" si="32"/>
        <v>Malo</v>
      </c>
      <c r="N680">
        <f>IF(M680=PARAMS_MODELO!$A$36,PARAMS_MODELO!$B$36,IF(M680=PARAMS_MODELO!$A$37,PARAMS_MODELO!$B$37,IF(M680=PARAMS_MODELO!$A$38,PARAMS_MODELO!$B$38,IF(M680=PARAMS_MODELO!$A$39,PARAMS_MODELO!$B$39,IF(M680=PARAMS_MODELO!$A$40,PARAMS_MODELO!$B$40)))))</f>
        <v>0.7</v>
      </c>
    </row>
    <row r="681" spans="1:14" x14ac:dyDescent="0.3">
      <c r="A681">
        <v>51040392</v>
      </c>
      <c r="B681">
        <v>27</v>
      </c>
      <c r="C681">
        <v>99</v>
      </c>
      <c r="D681">
        <f t="shared" si="30"/>
        <v>0.27272727272727271</v>
      </c>
      <c r="E681">
        <f>ROUND(MIN(5,MAX(0,D681))/5*PARAMS_MODELO!$B$32,2)</f>
        <v>2.1800000000000002</v>
      </c>
      <c r="F681">
        <v>0</v>
      </c>
      <c r="G681">
        <f>MAX(0,PARAMS_MODELO!$B$33-VALUE(TRIM(F681))*3)</f>
        <v>30</v>
      </c>
      <c r="H681">
        <v>4</v>
      </c>
      <c r="I681">
        <f>ROUND(MIN(4,MAX(0,H681))/4*PARAMS_MODELO!$B$34,2)</f>
        <v>20</v>
      </c>
      <c r="J681">
        <v>1</v>
      </c>
      <c r="K681">
        <f>IF(J681=0,0,PARAMS_MODELO!$B$35)</f>
        <v>10</v>
      </c>
      <c r="L681">
        <f t="shared" si="31"/>
        <v>62.18</v>
      </c>
      <c r="M681" t="str">
        <f t="shared" si="32"/>
        <v>Bueno</v>
      </c>
      <c r="N681">
        <f>IF(M681=PARAMS_MODELO!$A$36,PARAMS_MODELO!$B$36,IF(M681=PARAMS_MODELO!$A$37,PARAMS_MODELO!$B$37,IF(M681=PARAMS_MODELO!$A$38,PARAMS_MODELO!$B$38,IF(M681=PARAMS_MODELO!$A$39,PARAMS_MODELO!$B$39,IF(M681=PARAMS_MODELO!$A$40,PARAMS_MODELO!$B$40)))))</f>
        <v>1.1000000000000001</v>
      </c>
    </row>
    <row r="682" spans="1:14" x14ac:dyDescent="0.3">
      <c r="A682">
        <v>51014693</v>
      </c>
      <c r="B682">
        <v>57</v>
      </c>
      <c r="C682">
        <v>97</v>
      </c>
      <c r="D682">
        <f t="shared" si="30"/>
        <v>0.58762886597938147</v>
      </c>
      <c r="E682">
        <f>ROUND(MIN(5,MAX(0,D682))/5*PARAMS_MODELO!$B$32,2)</f>
        <v>4.7</v>
      </c>
      <c r="F682">
        <v>2</v>
      </c>
      <c r="G682">
        <f>MAX(0,PARAMS_MODELO!$B$33-VALUE(TRIM(F682))*3)</f>
        <v>24</v>
      </c>
      <c r="H682">
        <v>0</v>
      </c>
      <c r="I682">
        <f>ROUND(MIN(4,MAX(0,H682))/4*PARAMS_MODELO!$B$34,2)</f>
        <v>0</v>
      </c>
      <c r="J682">
        <v>0</v>
      </c>
      <c r="K682">
        <f>IF(J682=0,0,PARAMS_MODELO!$B$35)</f>
        <v>0</v>
      </c>
      <c r="L682">
        <f t="shared" si="31"/>
        <v>28.7</v>
      </c>
      <c r="M682" t="str">
        <f t="shared" si="32"/>
        <v>Malo</v>
      </c>
      <c r="N682">
        <f>IF(M682=PARAMS_MODELO!$A$36,PARAMS_MODELO!$B$36,IF(M682=PARAMS_MODELO!$A$37,PARAMS_MODELO!$B$37,IF(M682=PARAMS_MODELO!$A$38,PARAMS_MODELO!$B$38,IF(M682=PARAMS_MODELO!$A$39,PARAMS_MODELO!$B$39,IF(M682=PARAMS_MODELO!$A$40,PARAMS_MODELO!$B$40)))))</f>
        <v>0.7</v>
      </c>
    </row>
    <row r="683" spans="1:14" x14ac:dyDescent="0.3">
      <c r="A683">
        <v>51055551</v>
      </c>
      <c r="B683">
        <v>13</v>
      </c>
      <c r="C683">
        <v>40</v>
      </c>
      <c r="D683">
        <f t="shared" si="30"/>
        <v>0.32500000000000001</v>
      </c>
      <c r="E683">
        <f>ROUND(MIN(5,MAX(0,D683))/5*PARAMS_MODELO!$B$32,2)</f>
        <v>2.6</v>
      </c>
      <c r="F683">
        <v>0</v>
      </c>
      <c r="G683">
        <f>MAX(0,PARAMS_MODELO!$B$33-VALUE(TRIM(F683))*3)</f>
        <v>30</v>
      </c>
      <c r="H683">
        <v>2</v>
      </c>
      <c r="I683">
        <f>ROUND(MIN(4,MAX(0,H683))/4*PARAMS_MODELO!$B$34,2)</f>
        <v>10</v>
      </c>
      <c r="J683">
        <v>0</v>
      </c>
      <c r="K683">
        <f>IF(J683=0,0,PARAMS_MODELO!$B$35)</f>
        <v>0</v>
      </c>
      <c r="L683">
        <f t="shared" si="31"/>
        <v>42.6</v>
      </c>
      <c r="M683" t="str">
        <f t="shared" si="32"/>
        <v>Regular</v>
      </c>
      <c r="N683">
        <f>IF(M683=PARAMS_MODELO!$A$36,PARAMS_MODELO!$B$36,IF(M683=PARAMS_MODELO!$A$37,PARAMS_MODELO!$B$37,IF(M683=PARAMS_MODELO!$A$38,PARAMS_MODELO!$B$38,IF(M683=PARAMS_MODELO!$A$39,PARAMS_MODELO!$B$39,IF(M683=PARAMS_MODELO!$A$40,PARAMS_MODELO!$B$40)))))</f>
        <v>1</v>
      </c>
    </row>
    <row r="684" spans="1:14" x14ac:dyDescent="0.3">
      <c r="A684">
        <v>51012593</v>
      </c>
      <c r="B684">
        <v>32</v>
      </c>
      <c r="C684">
        <v>73</v>
      </c>
      <c r="D684">
        <f t="shared" si="30"/>
        <v>0.43835616438356162</v>
      </c>
      <c r="E684">
        <f>ROUND(MIN(5,MAX(0,D684))/5*PARAMS_MODELO!$B$32,2)</f>
        <v>3.51</v>
      </c>
      <c r="F684">
        <v>2</v>
      </c>
      <c r="G684">
        <f>MAX(0,PARAMS_MODELO!$B$33-VALUE(TRIM(F684))*3)</f>
        <v>24</v>
      </c>
      <c r="H684">
        <v>0</v>
      </c>
      <c r="I684">
        <f>ROUND(MIN(4,MAX(0,H684))/4*PARAMS_MODELO!$B$34,2)</f>
        <v>0</v>
      </c>
      <c r="J684">
        <v>1</v>
      </c>
      <c r="K684">
        <f>IF(J684=0,0,PARAMS_MODELO!$B$35)</f>
        <v>10</v>
      </c>
      <c r="L684">
        <f t="shared" si="31"/>
        <v>37.51</v>
      </c>
      <c r="M684" t="str">
        <f t="shared" si="32"/>
        <v>Malo</v>
      </c>
      <c r="N684">
        <f>IF(M684=PARAMS_MODELO!$A$36,PARAMS_MODELO!$B$36,IF(M684=PARAMS_MODELO!$A$37,PARAMS_MODELO!$B$37,IF(M684=PARAMS_MODELO!$A$38,PARAMS_MODELO!$B$38,IF(M684=PARAMS_MODELO!$A$39,PARAMS_MODELO!$B$39,IF(M684=PARAMS_MODELO!$A$40,PARAMS_MODELO!$B$40)))))</f>
        <v>0.7</v>
      </c>
    </row>
    <row r="685" spans="1:14" x14ac:dyDescent="0.3">
      <c r="A685">
        <v>51015908</v>
      </c>
      <c r="B685">
        <v>67</v>
      </c>
      <c r="C685">
        <v>65</v>
      </c>
      <c r="D685">
        <f t="shared" si="30"/>
        <v>1.0307692307692307</v>
      </c>
      <c r="E685">
        <f>ROUND(MIN(5,MAX(0,D685))/5*PARAMS_MODELO!$B$32,2)</f>
        <v>8.25</v>
      </c>
      <c r="F685">
        <v>0</v>
      </c>
      <c r="G685">
        <f>MAX(0,PARAMS_MODELO!$B$33-VALUE(TRIM(F685))*3)</f>
        <v>30</v>
      </c>
      <c r="H685">
        <v>2</v>
      </c>
      <c r="I685">
        <f>ROUND(MIN(4,MAX(0,H685))/4*PARAMS_MODELO!$B$34,2)</f>
        <v>10</v>
      </c>
      <c r="J685">
        <v>1</v>
      </c>
      <c r="K685">
        <f>IF(J685=0,0,PARAMS_MODELO!$B$35)</f>
        <v>10</v>
      </c>
      <c r="L685">
        <f t="shared" si="31"/>
        <v>58.25</v>
      </c>
      <c r="M685" t="str">
        <f t="shared" si="32"/>
        <v>Regular</v>
      </c>
      <c r="N685">
        <f>IF(M685=PARAMS_MODELO!$A$36,PARAMS_MODELO!$B$36,IF(M685=PARAMS_MODELO!$A$37,PARAMS_MODELO!$B$37,IF(M685=PARAMS_MODELO!$A$38,PARAMS_MODELO!$B$38,IF(M685=PARAMS_MODELO!$A$39,PARAMS_MODELO!$B$39,IF(M685=PARAMS_MODELO!$A$40,PARAMS_MODELO!$B$40)))))</f>
        <v>1</v>
      </c>
    </row>
    <row r="686" spans="1:14" x14ac:dyDescent="0.3">
      <c r="A686">
        <v>51015924</v>
      </c>
      <c r="B686">
        <v>25</v>
      </c>
      <c r="C686">
        <v>44</v>
      </c>
      <c r="D686">
        <f t="shared" si="30"/>
        <v>0.56818181818181823</v>
      </c>
      <c r="E686">
        <f>ROUND(MIN(5,MAX(0,D686))/5*PARAMS_MODELO!$B$32,2)</f>
        <v>4.55</v>
      </c>
      <c r="F686">
        <v>3</v>
      </c>
      <c r="G686">
        <f>MAX(0,PARAMS_MODELO!$B$33-VALUE(TRIM(F686))*3)</f>
        <v>21</v>
      </c>
      <c r="H686">
        <v>4</v>
      </c>
      <c r="I686">
        <f>ROUND(MIN(4,MAX(0,H686))/4*PARAMS_MODELO!$B$34,2)</f>
        <v>20</v>
      </c>
      <c r="J686">
        <v>0</v>
      </c>
      <c r="K686">
        <f>IF(J686=0,0,PARAMS_MODELO!$B$35)</f>
        <v>0</v>
      </c>
      <c r="L686">
        <f t="shared" si="31"/>
        <v>45.55</v>
      </c>
      <c r="M686" t="str">
        <f t="shared" si="32"/>
        <v>Regular</v>
      </c>
      <c r="N686">
        <f>IF(M686=PARAMS_MODELO!$A$36,PARAMS_MODELO!$B$36,IF(M686=PARAMS_MODELO!$A$37,PARAMS_MODELO!$B$37,IF(M686=PARAMS_MODELO!$A$38,PARAMS_MODELO!$B$38,IF(M686=PARAMS_MODELO!$A$39,PARAMS_MODELO!$B$39,IF(M686=PARAMS_MODELO!$A$40,PARAMS_MODELO!$B$40)))))</f>
        <v>1</v>
      </c>
    </row>
    <row r="687" spans="1:14" x14ac:dyDescent="0.3">
      <c r="A687">
        <v>51034252</v>
      </c>
      <c r="B687">
        <v>83</v>
      </c>
      <c r="C687">
        <v>64</v>
      </c>
      <c r="D687">
        <f t="shared" si="30"/>
        <v>1.296875</v>
      </c>
      <c r="E687">
        <f>ROUND(MIN(5,MAX(0,D687))/5*PARAMS_MODELO!$B$32,2)</f>
        <v>10.38</v>
      </c>
      <c r="F687">
        <v>1</v>
      </c>
      <c r="G687">
        <f>MAX(0,PARAMS_MODELO!$B$33-VALUE(TRIM(F687))*3)</f>
        <v>27</v>
      </c>
      <c r="H687">
        <v>1</v>
      </c>
      <c r="I687">
        <f>ROUND(MIN(4,MAX(0,H687))/4*PARAMS_MODELO!$B$34,2)</f>
        <v>5</v>
      </c>
      <c r="J687">
        <v>0</v>
      </c>
      <c r="K687">
        <f>IF(J687=0,0,PARAMS_MODELO!$B$35)</f>
        <v>0</v>
      </c>
      <c r="L687">
        <f t="shared" si="31"/>
        <v>42.38</v>
      </c>
      <c r="M687" t="str">
        <f t="shared" si="32"/>
        <v>Regular</v>
      </c>
      <c r="N687">
        <f>IF(M687=PARAMS_MODELO!$A$36,PARAMS_MODELO!$B$36,IF(M687=PARAMS_MODELO!$A$37,PARAMS_MODELO!$B$37,IF(M687=PARAMS_MODELO!$A$38,PARAMS_MODELO!$B$38,IF(M687=PARAMS_MODELO!$A$39,PARAMS_MODELO!$B$39,IF(M687=PARAMS_MODELO!$A$40,PARAMS_MODELO!$B$40)))))</f>
        <v>1</v>
      </c>
    </row>
    <row r="688" spans="1:14" x14ac:dyDescent="0.3">
      <c r="A688">
        <v>51017676</v>
      </c>
      <c r="B688">
        <v>51</v>
      </c>
      <c r="C688">
        <v>89</v>
      </c>
      <c r="D688">
        <f t="shared" si="30"/>
        <v>0.5730337078651685</v>
      </c>
      <c r="E688">
        <f>ROUND(MIN(5,MAX(0,D688))/5*PARAMS_MODELO!$B$32,2)</f>
        <v>4.58</v>
      </c>
      <c r="F688">
        <v>0</v>
      </c>
      <c r="G688">
        <f>MAX(0,PARAMS_MODELO!$B$33-VALUE(TRIM(F688))*3)</f>
        <v>30</v>
      </c>
      <c r="H688">
        <v>4</v>
      </c>
      <c r="I688">
        <f>ROUND(MIN(4,MAX(0,H688))/4*PARAMS_MODELO!$B$34,2)</f>
        <v>20</v>
      </c>
      <c r="J688">
        <v>0</v>
      </c>
      <c r="K688">
        <f>IF(J688=0,0,PARAMS_MODELO!$B$35)</f>
        <v>0</v>
      </c>
      <c r="L688">
        <f t="shared" si="31"/>
        <v>54.58</v>
      </c>
      <c r="M688" t="str">
        <f t="shared" si="32"/>
        <v>Regular</v>
      </c>
      <c r="N688">
        <f>IF(M688=PARAMS_MODELO!$A$36,PARAMS_MODELO!$B$36,IF(M688=PARAMS_MODELO!$A$37,PARAMS_MODELO!$B$37,IF(M688=PARAMS_MODELO!$A$38,PARAMS_MODELO!$B$38,IF(M688=PARAMS_MODELO!$A$39,PARAMS_MODELO!$B$39,IF(M688=PARAMS_MODELO!$A$40,PARAMS_MODELO!$B$40)))))</f>
        <v>1</v>
      </c>
    </row>
    <row r="689" spans="1:14" x14ac:dyDescent="0.3">
      <c r="A689">
        <v>51033655</v>
      </c>
      <c r="B689">
        <v>99</v>
      </c>
      <c r="C689">
        <v>3</v>
      </c>
      <c r="D689">
        <f t="shared" si="30"/>
        <v>5</v>
      </c>
      <c r="E689">
        <f>ROUND(MIN(5,MAX(0,D689))/5*PARAMS_MODELO!$B$32,2)</f>
        <v>40</v>
      </c>
      <c r="F689">
        <v>3</v>
      </c>
      <c r="G689">
        <f>MAX(0,PARAMS_MODELO!$B$33-VALUE(TRIM(F689))*3)</f>
        <v>21</v>
      </c>
      <c r="H689">
        <v>4</v>
      </c>
      <c r="I689">
        <f>ROUND(MIN(4,MAX(0,H689))/4*PARAMS_MODELO!$B$34,2)</f>
        <v>20</v>
      </c>
      <c r="J689">
        <v>0</v>
      </c>
      <c r="K689">
        <f>IF(J689=0,0,PARAMS_MODELO!$B$35)</f>
        <v>0</v>
      </c>
      <c r="L689">
        <f t="shared" si="31"/>
        <v>81</v>
      </c>
      <c r="M689" t="str">
        <f t="shared" si="32"/>
        <v>Muy Bueno</v>
      </c>
      <c r="N689">
        <f>IF(M689=PARAMS_MODELO!$A$36,PARAMS_MODELO!$B$36,IF(M689=PARAMS_MODELO!$A$37,PARAMS_MODELO!$B$37,IF(M689=PARAMS_MODELO!$A$38,PARAMS_MODELO!$B$38,IF(M689=PARAMS_MODELO!$A$39,PARAMS_MODELO!$B$39,IF(M689=PARAMS_MODELO!$A$40,PARAMS_MODELO!$B$40)))))</f>
        <v>1.1499999999999999</v>
      </c>
    </row>
    <row r="690" spans="1:14" x14ac:dyDescent="0.3">
      <c r="A690">
        <v>51014740</v>
      </c>
      <c r="B690">
        <v>57</v>
      </c>
      <c r="C690">
        <v>8</v>
      </c>
      <c r="D690">
        <f t="shared" si="30"/>
        <v>5</v>
      </c>
      <c r="E690">
        <f>ROUND(MIN(5,MAX(0,D690))/5*PARAMS_MODELO!$B$32,2)</f>
        <v>40</v>
      </c>
      <c r="F690">
        <v>4</v>
      </c>
      <c r="G690">
        <f>MAX(0,PARAMS_MODELO!$B$33-VALUE(TRIM(F690))*3)</f>
        <v>18</v>
      </c>
      <c r="H690">
        <v>0</v>
      </c>
      <c r="I690">
        <f>ROUND(MIN(4,MAX(0,H690))/4*PARAMS_MODELO!$B$34,2)</f>
        <v>0</v>
      </c>
      <c r="J690">
        <v>0</v>
      </c>
      <c r="K690">
        <f>IF(J690=0,0,PARAMS_MODELO!$B$35)</f>
        <v>0</v>
      </c>
      <c r="L690">
        <f t="shared" si="31"/>
        <v>58</v>
      </c>
      <c r="M690" t="str">
        <f t="shared" si="32"/>
        <v>Regular</v>
      </c>
      <c r="N690">
        <f>IF(M690=PARAMS_MODELO!$A$36,PARAMS_MODELO!$B$36,IF(M690=PARAMS_MODELO!$A$37,PARAMS_MODELO!$B$37,IF(M690=PARAMS_MODELO!$A$38,PARAMS_MODELO!$B$38,IF(M690=PARAMS_MODELO!$A$39,PARAMS_MODELO!$B$39,IF(M690=PARAMS_MODELO!$A$40,PARAMS_MODELO!$B$40)))))</f>
        <v>1</v>
      </c>
    </row>
    <row r="691" spans="1:14" x14ac:dyDescent="0.3">
      <c r="A691">
        <v>51011287</v>
      </c>
      <c r="B691">
        <v>65</v>
      </c>
      <c r="C691">
        <v>99</v>
      </c>
      <c r="D691">
        <f t="shared" si="30"/>
        <v>0.65656565656565657</v>
      </c>
      <c r="E691">
        <f>ROUND(MIN(5,MAX(0,D691))/5*PARAMS_MODELO!$B$32,2)</f>
        <v>5.25</v>
      </c>
      <c r="F691">
        <v>0</v>
      </c>
      <c r="G691">
        <f>MAX(0,PARAMS_MODELO!$B$33-VALUE(TRIM(F691))*3)</f>
        <v>30</v>
      </c>
      <c r="H691">
        <v>3</v>
      </c>
      <c r="I691">
        <f>ROUND(MIN(4,MAX(0,H691))/4*PARAMS_MODELO!$B$34,2)</f>
        <v>15</v>
      </c>
      <c r="J691">
        <v>0</v>
      </c>
      <c r="K691">
        <f>IF(J691=0,0,PARAMS_MODELO!$B$35)</f>
        <v>0</v>
      </c>
      <c r="L691">
        <f t="shared" si="31"/>
        <v>50.25</v>
      </c>
      <c r="M691" t="str">
        <f t="shared" si="32"/>
        <v>Regular</v>
      </c>
      <c r="N691">
        <f>IF(M691=PARAMS_MODELO!$A$36,PARAMS_MODELO!$B$36,IF(M691=PARAMS_MODELO!$A$37,PARAMS_MODELO!$B$37,IF(M691=PARAMS_MODELO!$A$38,PARAMS_MODELO!$B$38,IF(M691=PARAMS_MODELO!$A$39,PARAMS_MODELO!$B$39,IF(M691=PARAMS_MODELO!$A$40,PARAMS_MODELO!$B$40)))))</f>
        <v>1</v>
      </c>
    </row>
    <row r="692" spans="1:14" x14ac:dyDescent="0.3">
      <c r="A692">
        <v>51026306</v>
      </c>
      <c r="B692">
        <v>9</v>
      </c>
      <c r="C692">
        <v>83</v>
      </c>
      <c r="D692">
        <f t="shared" si="30"/>
        <v>0.10843373493975904</v>
      </c>
      <c r="E692">
        <f>ROUND(MIN(5,MAX(0,D692))/5*PARAMS_MODELO!$B$32,2)</f>
        <v>0.87</v>
      </c>
      <c r="F692">
        <v>5</v>
      </c>
      <c r="G692">
        <f>MAX(0,PARAMS_MODELO!$B$33-VALUE(TRIM(F692))*3)</f>
        <v>15</v>
      </c>
      <c r="H692">
        <v>0</v>
      </c>
      <c r="I692">
        <f>ROUND(MIN(4,MAX(0,H692))/4*PARAMS_MODELO!$B$34,2)</f>
        <v>0</v>
      </c>
      <c r="J692">
        <v>1</v>
      </c>
      <c r="K692">
        <f>IF(J692=0,0,PARAMS_MODELO!$B$35)</f>
        <v>10</v>
      </c>
      <c r="L692">
        <f t="shared" si="31"/>
        <v>25.869999999999997</v>
      </c>
      <c r="M692" t="str">
        <f t="shared" si="32"/>
        <v>Malo</v>
      </c>
      <c r="N692">
        <f>IF(M692=PARAMS_MODELO!$A$36,PARAMS_MODELO!$B$36,IF(M692=PARAMS_MODELO!$A$37,PARAMS_MODELO!$B$37,IF(M692=PARAMS_MODELO!$A$38,PARAMS_MODELO!$B$38,IF(M692=PARAMS_MODELO!$A$39,PARAMS_MODELO!$B$39,IF(M692=PARAMS_MODELO!$A$40,PARAMS_MODELO!$B$40)))))</f>
        <v>0.7</v>
      </c>
    </row>
    <row r="693" spans="1:14" x14ac:dyDescent="0.3">
      <c r="A693">
        <v>51040325</v>
      </c>
      <c r="B693">
        <v>28</v>
      </c>
      <c r="C693">
        <v>17</v>
      </c>
      <c r="D693">
        <f t="shared" si="30"/>
        <v>1.6470588235294117</v>
      </c>
      <c r="E693">
        <f>ROUND(MIN(5,MAX(0,D693))/5*PARAMS_MODELO!$B$32,2)</f>
        <v>13.18</v>
      </c>
      <c r="F693">
        <v>3</v>
      </c>
      <c r="G693">
        <f>MAX(0,PARAMS_MODELO!$B$33-VALUE(TRIM(F693))*3)</f>
        <v>21</v>
      </c>
      <c r="H693">
        <v>3</v>
      </c>
      <c r="I693">
        <f>ROUND(MIN(4,MAX(0,H693))/4*PARAMS_MODELO!$B$34,2)</f>
        <v>15</v>
      </c>
      <c r="J693">
        <v>0</v>
      </c>
      <c r="K693">
        <f>IF(J693=0,0,PARAMS_MODELO!$B$35)</f>
        <v>0</v>
      </c>
      <c r="L693">
        <f t="shared" si="31"/>
        <v>49.18</v>
      </c>
      <c r="M693" t="str">
        <f t="shared" si="32"/>
        <v>Regular</v>
      </c>
      <c r="N693">
        <f>IF(M693=PARAMS_MODELO!$A$36,PARAMS_MODELO!$B$36,IF(M693=PARAMS_MODELO!$A$37,PARAMS_MODELO!$B$37,IF(M693=PARAMS_MODELO!$A$38,PARAMS_MODELO!$B$38,IF(M693=PARAMS_MODELO!$A$39,PARAMS_MODELO!$B$39,IF(M693=PARAMS_MODELO!$A$40,PARAMS_MODELO!$B$40)))))</f>
        <v>1</v>
      </c>
    </row>
    <row r="694" spans="1:14" x14ac:dyDescent="0.3">
      <c r="A694">
        <v>51055543</v>
      </c>
      <c r="B694">
        <v>56</v>
      </c>
      <c r="C694">
        <v>94</v>
      </c>
      <c r="D694">
        <f t="shared" si="30"/>
        <v>0.5957446808510638</v>
      </c>
      <c r="E694">
        <f>ROUND(MIN(5,MAX(0,D694))/5*PARAMS_MODELO!$B$32,2)</f>
        <v>4.7699999999999996</v>
      </c>
      <c r="F694">
        <v>0</v>
      </c>
      <c r="G694">
        <f>MAX(0,PARAMS_MODELO!$B$33-VALUE(TRIM(F694))*3)</f>
        <v>30</v>
      </c>
      <c r="H694">
        <v>0</v>
      </c>
      <c r="I694">
        <f>ROUND(MIN(4,MAX(0,H694))/4*PARAMS_MODELO!$B$34,2)</f>
        <v>0</v>
      </c>
      <c r="J694">
        <v>1</v>
      </c>
      <c r="K694">
        <f>IF(J694=0,0,PARAMS_MODELO!$B$35)</f>
        <v>10</v>
      </c>
      <c r="L694">
        <f t="shared" si="31"/>
        <v>44.769999999999996</v>
      </c>
      <c r="M694" t="str">
        <f t="shared" si="32"/>
        <v>Regular</v>
      </c>
      <c r="N694">
        <f>IF(M694=PARAMS_MODELO!$A$36,PARAMS_MODELO!$B$36,IF(M694=PARAMS_MODELO!$A$37,PARAMS_MODELO!$B$37,IF(M694=PARAMS_MODELO!$A$38,PARAMS_MODELO!$B$38,IF(M694=PARAMS_MODELO!$A$39,PARAMS_MODELO!$B$39,IF(M694=PARAMS_MODELO!$A$40,PARAMS_MODELO!$B$40)))))</f>
        <v>1</v>
      </c>
    </row>
    <row r="695" spans="1:14" x14ac:dyDescent="0.3">
      <c r="A695">
        <v>51037031</v>
      </c>
      <c r="B695">
        <v>1</v>
      </c>
      <c r="C695">
        <v>75</v>
      </c>
      <c r="D695">
        <f t="shared" si="30"/>
        <v>1.3333333333333334E-2</v>
      </c>
      <c r="E695">
        <f>ROUND(MIN(5,MAX(0,D695))/5*PARAMS_MODELO!$B$32,2)</f>
        <v>0.11</v>
      </c>
      <c r="F695">
        <v>4</v>
      </c>
      <c r="G695">
        <f>MAX(0,PARAMS_MODELO!$B$33-VALUE(TRIM(F695))*3)</f>
        <v>18</v>
      </c>
      <c r="H695">
        <v>2</v>
      </c>
      <c r="I695">
        <f>ROUND(MIN(4,MAX(0,H695))/4*PARAMS_MODELO!$B$34,2)</f>
        <v>10</v>
      </c>
      <c r="J695">
        <v>1</v>
      </c>
      <c r="K695">
        <f>IF(J695=0,0,PARAMS_MODELO!$B$35)</f>
        <v>10</v>
      </c>
      <c r="L695">
        <f t="shared" si="31"/>
        <v>38.11</v>
      </c>
      <c r="M695" t="str">
        <f t="shared" si="32"/>
        <v>Malo</v>
      </c>
      <c r="N695">
        <f>IF(M695=PARAMS_MODELO!$A$36,PARAMS_MODELO!$B$36,IF(M695=PARAMS_MODELO!$A$37,PARAMS_MODELO!$B$37,IF(M695=PARAMS_MODELO!$A$38,PARAMS_MODELO!$B$38,IF(M695=PARAMS_MODELO!$A$39,PARAMS_MODELO!$B$39,IF(M695=PARAMS_MODELO!$A$40,PARAMS_MODELO!$B$40)))))</f>
        <v>0.7</v>
      </c>
    </row>
    <row r="696" spans="1:14" x14ac:dyDescent="0.3">
      <c r="A696">
        <v>51057244</v>
      </c>
      <c r="B696">
        <v>6</v>
      </c>
      <c r="C696">
        <v>40</v>
      </c>
      <c r="D696">
        <f t="shared" si="30"/>
        <v>0.15</v>
      </c>
      <c r="E696">
        <f>ROUND(MIN(5,MAX(0,D696))/5*PARAMS_MODELO!$B$32,2)</f>
        <v>1.2</v>
      </c>
      <c r="F696">
        <v>1</v>
      </c>
      <c r="G696">
        <f>MAX(0,PARAMS_MODELO!$B$33-VALUE(TRIM(F696))*3)</f>
        <v>27</v>
      </c>
      <c r="H696">
        <v>0</v>
      </c>
      <c r="I696">
        <f>ROUND(MIN(4,MAX(0,H696))/4*PARAMS_MODELO!$B$34,2)</f>
        <v>0</v>
      </c>
      <c r="J696">
        <v>1</v>
      </c>
      <c r="K696">
        <f>IF(J696=0,0,PARAMS_MODELO!$B$35)</f>
        <v>10</v>
      </c>
      <c r="L696">
        <f t="shared" si="31"/>
        <v>38.200000000000003</v>
      </c>
      <c r="M696" t="str">
        <f t="shared" si="32"/>
        <v>Malo</v>
      </c>
      <c r="N696">
        <f>IF(M696=PARAMS_MODELO!$A$36,PARAMS_MODELO!$B$36,IF(M696=PARAMS_MODELO!$A$37,PARAMS_MODELO!$B$37,IF(M696=PARAMS_MODELO!$A$38,PARAMS_MODELO!$B$38,IF(M696=PARAMS_MODELO!$A$39,PARAMS_MODELO!$B$39,IF(M696=PARAMS_MODELO!$A$40,PARAMS_MODELO!$B$40)))))</f>
        <v>0.7</v>
      </c>
    </row>
    <row r="697" spans="1:14" x14ac:dyDescent="0.3">
      <c r="A697">
        <v>51032004</v>
      </c>
      <c r="B697">
        <v>18</v>
      </c>
      <c r="C697">
        <v>99</v>
      </c>
      <c r="D697">
        <f t="shared" si="30"/>
        <v>0.18181818181818182</v>
      </c>
      <c r="E697">
        <f>ROUND(MIN(5,MAX(0,D697))/5*PARAMS_MODELO!$B$32,2)</f>
        <v>1.45</v>
      </c>
      <c r="F697">
        <v>2</v>
      </c>
      <c r="G697">
        <f>MAX(0,PARAMS_MODELO!$B$33-VALUE(TRIM(F697))*3)</f>
        <v>24</v>
      </c>
      <c r="H697">
        <v>1</v>
      </c>
      <c r="I697">
        <f>ROUND(MIN(4,MAX(0,H697))/4*PARAMS_MODELO!$B$34,2)</f>
        <v>5</v>
      </c>
      <c r="J697">
        <v>0</v>
      </c>
      <c r="K697">
        <f>IF(J697=0,0,PARAMS_MODELO!$B$35)</f>
        <v>0</v>
      </c>
      <c r="L697">
        <f t="shared" si="31"/>
        <v>30.45</v>
      </c>
      <c r="M697" t="str">
        <f t="shared" si="32"/>
        <v>Malo</v>
      </c>
      <c r="N697">
        <f>IF(M697=PARAMS_MODELO!$A$36,PARAMS_MODELO!$B$36,IF(M697=PARAMS_MODELO!$A$37,PARAMS_MODELO!$B$37,IF(M697=PARAMS_MODELO!$A$38,PARAMS_MODELO!$B$38,IF(M697=PARAMS_MODELO!$A$39,PARAMS_MODELO!$B$39,IF(M697=PARAMS_MODELO!$A$40,PARAMS_MODELO!$B$40)))))</f>
        <v>0.7</v>
      </c>
    </row>
    <row r="698" spans="1:14" x14ac:dyDescent="0.3">
      <c r="A698">
        <v>51019253</v>
      </c>
      <c r="B698">
        <v>96</v>
      </c>
      <c r="C698">
        <v>86</v>
      </c>
      <c r="D698">
        <f t="shared" si="30"/>
        <v>1.1162790697674418</v>
      </c>
      <c r="E698">
        <f>ROUND(MIN(5,MAX(0,D698))/5*PARAMS_MODELO!$B$32,2)</f>
        <v>8.93</v>
      </c>
      <c r="F698">
        <v>5</v>
      </c>
      <c r="G698">
        <f>MAX(0,PARAMS_MODELO!$B$33-VALUE(TRIM(F698))*3)</f>
        <v>15</v>
      </c>
      <c r="H698">
        <v>2</v>
      </c>
      <c r="I698">
        <f>ROUND(MIN(4,MAX(0,H698))/4*PARAMS_MODELO!$B$34,2)</f>
        <v>10</v>
      </c>
      <c r="J698">
        <v>0</v>
      </c>
      <c r="K698">
        <f>IF(J698=0,0,PARAMS_MODELO!$B$35)</f>
        <v>0</v>
      </c>
      <c r="L698">
        <f t="shared" si="31"/>
        <v>33.93</v>
      </c>
      <c r="M698" t="str">
        <f t="shared" si="32"/>
        <v>Malo</v>
      </c>
      <c r="N698">
        <f>IF(M698=PARAMS_MODELO!$A$36,PARAMS_MODELO!$B$36,IF(M698=PARAMS_MODELO!$A$37,PARAMS_MODELO!$B$37,IF(M698=PARAMS_MODELO!$A$38,PARAMS_MODELO!$B$38,IF(M698=PARAMS_MODELO!$A$39,PARAMS_MODELO!$B$39,IF(M698=PARAMS_MODELO!$A$40,PARAMS_MODELO!$B$40)))))</f>
        <v>0.7</v>
      </c>
    </row>
    <row r="699" spans="1:14" x14ac:dyDescent="0.3">
      <c r="A699">
        <v>51008413</v>
      </c>
      <c r="B699">
        <v>1</v>
      </c>
      <c r="C699">
        <v>31</v>
      </c>
      <c r="D699">
        <f t="shared" si="30"/>
        <v>3.2258064516129031E-2</v>
      </c>
      <c r="E699">
        <f>ROUND(MIN(5,MAX(0,D699))/5*PARAMS_MODELO!$B$32,2)</f>
        <v>0.26</v>
      </c>
      <c r="F699">
        <v>3</v>
      </c>
      <c r="G699">
        <f>MAX(0,PARAMS_MODELO!$B$33-VALUE(TRIM(F699))*3)</f>
        <v>21</v>
      </c>
      <c r="H699">
        <v>0</v>
      </c>
      <c r="I699">
        <f>ROUND(MIN(4,MAX(0,H699))/4*PARAMS_MODELO!$B$34,2)</f>
        <v>0</v>
      </c>
      <c r="J699">
        <v>1</v>
      </c>
      <c r="K699">
        <f>IF(J699=0,0,PARAMS_MODELO!$B$35)</f>
        <v>10</v>
      </c>
      <c r="L699">
        <f t="shared" si="31"/>
        <v>31.26</v>
      </c>
      <c r="M699" t="str">
        <f t="shared" si="32"/>
        <v>Malo</v>
      </c>
      <c r="N699">
        <f>IF(M699=PARAMS_MODELO!$A$36,PARAMS_MODELO!$B$36,IF(M699=PARAMS_MODELO!$A$37,PARAMS_MODELO!$B$37,IF(M699=PARAMS_MODELO!$A$38,PARAMS_MODELO!$B$38,IF(M699=PARAMS_MODELO!$A$39,PARAMS_MODELO!$B$39,IF(M699=PARAMS_MODELO!$A$40,PARAMS_MODELO!$B$40)))))</f>
        <v>0.7</v>
      </c>
    </row>
    <row r="700" spans="1:14" x14ac:dyDescent="0.3">
      <c r="A700">
        <v>51018265</v>
      </c>
      <c r="B700">
        <v>11</v>
      </c>
      <c r="C700">
        <v>5</v>
      </c>
      <c r="D700">
        <f t="shared" si="30"/>
        <v>2.2000000000000002</v>
      </c>
      <c r="E700">
        <f>ROUND(MIN(5,MAX(0,D700))/5*PARAMS_MODELO!$B$32,2)</f>
        <v>17.600000000000001</v>
      </c>
      <c r="F700">
        <v>0</v>
      </c>
      <c r="G700">
        <f>MAX(0,PARAMS_MODELO!$B$33-VALUE(TRIM(F700))*3)</f>
        <v>30</v>
      </c>
      <c r="H700">
        <v>3</v>
      </c>
      <c r="I700">
        <f>ROUND(MIN(4,MAX(0,H700))/4*PARAMS_MODELO!$B$34,2)</f>
        <v>15</v>
      </c>
      <c r="J700">
        <v>0</v>
      </c>
      <c r="K700">
        <f>IF(J700=0,0,PARAMS_MODELO!$B$35)</f>
        <v>0</v>
      </c>
      <c r="L700">
        <f t="shared" si="31"/>
        <v>62.6</v>
      </c>
      <c r="M700" t="str">
        <f t="shared" si="32"/>
        <v>Bueno</v>
      </c>
      <c r="N700">
        <f>IF(M700=PARAMS_MODELO!$A$36,PARAMS_MODELO!$B$36,IF(M700=PARAMS_MODELO!$A$37,PARAMS_MODELO!$B$37,IF(M700=PARAMS_MODELO!$A$38,PARAMS_MODELO!$B$38,IF(M700=PARAMS_MODELO!$A$39,PARAMS_MODELO!$B$39,IF(M700=PARAMS_MODELO!$A$40,PARAMS_MODELO!$B$40)))))</f>
        <v>1.1000000000000001</v>
      </c>
    </row>
    <row r="701" spans="1:14" x14ac:dyDescent="0.3">
      <c r="A701">
        <v>51022050</v>
      </c>
      <c r="B701">
        <v>26</v>
      </c>
      <c r="C701">
        <v>69</v>
      </c>
      <c r="D701">
        <f t="shared" si="30"/>
        <v>0.37681159420289856</v>
      </c>
      <c r="E701">
        <f>ROUND(MIN(5,MAX(0,D701))/5*PARAMS_MODELO!$B$32,2)</f>
        <v>3.01</v>
      </c>
      <c r="F701">
        <v>2</v>
      </c>
      <c r="G701">
        <f>MAX(0,PARAMS_MODELO!$B$33-VALUE(TRIM(F701))*3)</f>
        <v>24</v>
      </c>
      <c r="H701">
        <v>2</v>
      </c>
      <c r="I701">
        <f>ROUND(MIN(4,MAX(0,H701))/4*PARAMS_MODELO!$B$34,2)</f>
        <v>10</v>
      </c>
      <c r="J701">
        <v>0</v>
      </c>
      <c r="K701">
        <f>IF(J701=0,0,PARAMS_MODELO!$B$35)</f>
        <v>0</v>
      </c>
      <c r="L701">
        <f t="shared" si="31"/>
        <v>37.01</v>
      </c>
      <c r="M701" t="str">
        <f t="shared" si="32"/>
        <v>Malo</v>
      </c>
      <c r="N701">
        <f>IF(M701=PARAMS_MODELO!$A$36,PARAMS_MODELO!$B$36,IF(M701=PARAMS_MODELO!$A$37,PARAMS_MODELO!$B$37,IF(M701=PARAMS_MODELO!$A$38,PARAMS_MODELO!$B$38,IF(M701=PARAMS_MODELO!$A$39,PARAMS_MODELO!$B$39,IF(M701=PARAMS_MODELO!$A$40,PARAMS_MODELO!$B$40)))))</f>
        <v>0.7</v>
      </c>
    </row>
    <row r="702" spans="1:14" x14ac:dyDescent="0.3">
      <c r="A702">
        <v>51016076</v>
      </c>
      <c r="B702">
        <v>3</v>
      </c>
      <c r="C702">
        <v>72</v>
      </c>
      <c r="D702">
        <f t="shared" si="30"/>
        <v>4.1666666666666664E-2</v>
      </c>
      <c r="E702">
        <f>ROUND(MIN(5,MAX(0,D702))/5*PARAMS_MODELO!$B$32,2)</f>
        <v>0.33</v>
      </c>
      <c r="F702">
        <v>0</v>
      </c>
      <c r="G702">
        <f>MAX(0,PARAMS_MODELO!$B$33-VALUE(TRIM(F702))*3)</f>
        <v>30</v>
      </c>
      <c r="H702">
        <v>0</v>
      </c>
      <c r="I702">
        <f>ROUND(MIN(4,MAX(0,H702))/4*PARAMS_MODELO!$B$34,2)</f>
        <v>0</v>
      </c>
      <c r="J702">
        <v>0</v>
      </c>
      <c r="K702">
        <f>IF(J702=0,0,PARAMS_MODELO!$B$35)</f>
        <v>0</v>
      </c>
      <c r="L702">
        <f t="shared" si="31"/>
        <v>30.33</v>
      </c>
      <c r="M702" t="str">
        <f t="shared" si="32"/>
        <v>Malo</v>
      </c>
      <c r="N702">
        <f>IF(M702=PARAMS_MODELO!$A$36,PARAMS_MODELO!$B$36,IF(M702=PARAMS_MODELO!$A$37,PARAMS_MODELO!$B$37,IF(M702=PARAMS_MODELO!$A$38,PARAMS_MODELO!$B$38,IF(M702=PARAMS_MODELO!$A$39,PARAMS_MODELO!$B$39,IF(M702=PARAMS_MODELO!$A$40,PARAMS_MODELO!$B$40)))))</f>
        <v>0.7</v>
      </c>
    </row>
    <row r="703" spans="1:14" x14ac:dyDescent="0.3">
      <c r="A703">
        <v>51014634</v>
      </c>
      <c r="B703">
        <v>71</v>
      </c>
      <c r="C703">
        <v>48</v>
      </c>
      <c r="D703">
        <f t="shared" si="30"/>
        <v>1.4791666666666667</v>
      </c>
      <c r="E703">
        <f>ROUND(MIN(5,MAX(0,D703))/5*PARAMS_MODELO!$B$32,2)</f>
        <v>11.83</v>
      </c>
      <c r="F703">
        <v>3</v>
      </c>
      <c r="G703">
        <f>MAX(0,PARAMS_MODELO!$B$33-VALUE(TRIM(F703))*3)</f>
        <v>21</v>
      </c>
      <c r="H703">
        <v>1</v>
      </c>
      <c r="I703">
        <f>ROUND(MIN(4,MAX(0,H703))/4*PARAMS_MODELO!$B$34,2)</f>
        <v>5</v>
      </c>
      <c r="J703">
        <v>1</v>
      </c>
      <c r="K703">
        <f>IF(J703=0,0,PARAMS_MODELO!$B$35)</f>
        <v>10</v>
      </c>
      <c r="L703">
        <f t="shared" si="31"/>
        <v>47.83</v>
      </c>
      <c r="M703" t="str">
        <f t="shared" si="32"/>
        <v>Regular</v>
      </c>
      <c r="N703">
        <f>IF(M703=PARAMS_MODELO!$A$36,PARAMS_MODELO!$B$36,IF(M703=PARAMS_MODELO!$A$37,PARAMS_MODELO!$B$37,IF(M703=PARAMS_MODELO!$A$38,PARAMS_MODELO!$B$38,IF(M703=PARAMS_MODELO!$A$39,PARAMS_MODELO!$B$39,IF(M703=PARAMS_MODELO!$A$40,PARAMS_MODELO!$B$40)))))</f>
        <v>1</v>
      </c>
    </row>
    <row r="704" spans="1:14" x14ac:dyDescent="0.3">
      <c r="A704">
        <v>51004655</v>
      </c>
      <c r="B704">
        <v>69</v>
      </c>
      <c r="C704">
        <v>24</v>
      </c>
      <c r="D704">
        <f t="shared" si="30"/>
        <v>2.875</v>
      </c>
      <c r="E704">
        <f>ROUND(MIN(5,MAX(0,D704))/5*PARAMS_MODELO!$B$32,2)</f>
        <v>23</v>
      </c>
      <c r="F704">
        <v>1</v>
      </c>
      <c r="G704">
        <f>MAX(0,PARAMS_MODELO!$B$33-VALUE(TRIM(F704))*3)</f>
        <v>27</v>
      </c>
      <c r="H704">
        <v>1</v>
      </c>
      <c r="I704">
        <f>ROUND(MIN(4,MAX(0,H704))/4*PARAMS_MODELO!$B$34,2)</f>
        <v>5</v>
      </c>
      <c r="J704">
        <v>1</v>
      </c>
      <c r="K704">
        <f>IF(J704=0,0,PARAMS_MODELO!$B$35)</f>
        <v>10</v>
      </c>
      <c r="L704">
        <f t="shared" si="31"/>
        <v>65</v>
      </c>
      <c r="M704" t="str">
        <f t="shared" si="32"/>
        <v>Bueno</v>
      </c>
      <c r="N704">
        <f>IF(M704=PARAMS_MODELO!$A$36,PARAMS_MODELO!$B$36,IF(M704=PARAMS_MODELO!$A$37,PARAMS_MODELO!$B$37,IF(M704=PARAMS_MODELO!$A$38,PARAMS_MODELO!$B$38,IF(M704=PARAMS_MODELO!$A$39,PARAMS_MODELO!$B$39,IF(M704=PARAMS_MODELO!$A$40,PARAMS_MODELO!$B$40)))))</f>
        <v>1.1000000000000001</v>
      </c>
    </row>
    <row r="705" spans="1:14" x14ac:dyDescent="0.3">
      <c r="A705">
        <v>51030974</v>
      </c>
      <c r="B705">
        <v>29</v>
      </c>
      <c r="C705">
        <v>6</v>
      </c>
      <c r="D705">
        <f t="shared" si="30"/>
        <v>4.833333333333333</v>
      </c>
      <c r="E705">
        <f>ROUND(MIN(5,MAX(0,D705))/5*PARAMS_MODELO!$B$32,2)</f>
        <v>38.67</v>
      </c>
      <c r="F705">
        <v>4</v>
      </c>
      <c r="G705">
        <f>MAX(0,PARAMS_MODELO!$B$33-VALUE(TRIM(F705))*3)</f>
        <v>18</v>
      </c>
      <c r="H705">
        <v>3</v>
      </c>
      <c r="I705">
        <f>ROUND(MIN(4,MAX(0,H705))/4*PARAMS_MODELO!$B$34,2)</f>
        <v>15</v>
      </c>
      <c r="J705">
        <v>1</v>
      </c>
      <c r="K705">
        <f>IF(J705=0,0,PARAMS_MODELO!$B$35)</f>
        <v>10</v>
      </c>
      <c r="L705">
        <f t="shared" si="31"/>
        <v>81.67</v>
      </c>
      <c r="M705" t="str">
        <f t="shared" si="32"/>
        <v>Muy Bueno</v>
      </c>
      <c r="N705">
        <f>IF(M705=PARAMS_MODELO!$A$36,PARAMS_MODELO!$B$36,IF(M705=PARAMS_MODELO!$A$37,PARAMS_MODELO!$B$37,IF(M705=PARAMS_MODELO!$A$38,PARAMS_MODELO!$B$38,IF(M705=PARAMS_MODELO!$A$39,PARAMS_MODELO!$B$39,IF(M705=PARAMS_MODELO!$A$40,PARAMS_MODELO!$B$40)))))</f>
        <v>1.1499999999999999</v>
      </c>
    </row>
    <row r="706" spans="1:14" x14ac:dyDescent="0.3">
      <c r="A706">
        <v>51056787</v>
      </c>
      <c r="B706">
        <v>32</v>
      </c>
      <c r="C706">
        <v>33</v>
      </c>
      <c r="D706">
        <f t="shared" ref="D706:D769" si="33">IF(C706=0,0,MIN(5,B706/C706))</f>
        <v>0.96969696969696972</v>
      </c>
      <c r="E706">
        <f>ROUND(MIN(5,MAX(0,D706))/5*PARAMS_MODELO!$B$32,2)</f>
        <v>7.76</v>
      </c>
      <c r="F706">
        <v>4</v>
      </c>
      <c r="G706">
        <f>MAX(0,PARAMS_MODELO!$B$33-VALUE(TRIM(F706))*3)</f>
        <v>18</v>
      </c>
      <c r="H706">
        <v>4</v>
      </c>
      <c r="I706">
        <f>ROUND(MIN(4,MAX(0,H706))/4*PARAMS_MODELO!$B$34,2)</f>
        <v>20</v>
      </c>
      <c r="J706">
        <v>1</v>
      </c>
      <c r="K706">
        <f>IF(J706=0,0,PARAMS_MODELO!$B$35)</f>
        <v>10</v>
      </c>
      <c r="L706">
        <f t="shared" ref="L706:L769" si="34">MIN(100,MAX(0,E706+G706+I706+K706))</f>
        <v>55.76</v>
      </c>
      <c r="M706" t="str">
        <f t="shared" ref="M706:M769" si="35">IF(L706="","",IF(L706&gt;=90,"Excelente",IF(L706&gt;=75,"Muy Bueno",IF(L706&gt;=60,"Bueno",IF(L706&gt;=40,"Regular","Malo")))))</f>
        <v>Regular</v>
      </c>
      <c r="N706">
        <f>IF(M706=PARAMS_MODELO!$A$36,PARAMS_MODELO!$B$36,IF(M706=PARAMS_MODELO!$A$37,PARAMS_MODELO!$B$37,IF(M706=PARAMS_MODELO!$A$38,PARAMS_MODELO!$B$38,IF(M706=PARAMS_MODELO!$A$39,PARAMS_MODELO!$B$39,IF(M706=PARAMS_MODELO!$A$40,PARAMS_MODELO!$B$40)))))</f>
        <v>1</v>
      </c>
    </row>
    <row r="707" spans="1:14" x14ac:dyDescent="0.3">
      <c r="A707">
        <v>51032802</v>
      </c>
      <c r="B707">
        <v>88</v>
      </c>
      <c r="C707">
        <v>18</v>
      </c>
      <c r="D707">
        <f t="shared" si="33"/>
        <v>4.8888888888888893</v>
      </c>
      <c r="E707">
        <f>ROUND(MIN(5,MAX(0,D707))/5*PARAMS_MODELO!$B$32,2)</f>
        <v>39.11</v>
      </c>
      <c r="F707">
        <v>0</v>
      </c>
      <c r="G707">
        <f>MAX(0,PARAMS_MODELO!$B$33-VALUE(TRIM(F707))*3)</f>
        <v>30</v>
      </c>
      <c r="H707">
        <v>2</v>
      </c>
      <c r="I707">
        <f>ROUND(MIN(4,MAX(0,H707))/4*PARAMS_MODELO!$B$34,2)</f>
        <v>10</v>
      </c>
      <c r="J707">
        <v>0</v>
      </c>
      <c r="K707">
        <f>IF(J707=0,0,PARAMS_MODELO!$B$35)</f>
        <v>0</v>
      </c>
      <c r="L707">
        <f t="shared" si="34"/>
        <v>79.11</v>
      </c>
      <c r="M707" t="str">
        <f t="shared" si="35"/>
        <v>Muy Bueno</v>
      </c>
      <c r="N707">
        <f>IF(M707=PARAMS_MODELO!$A$36,PARAMS_MODELO!$B$36,IF(M707=PARAMS_MODELO!$A$37,PARAMS_MODELO!$B$37,IF(M707=PARAMS_MODELO!$A$38,PARAMS_MODELO!$B$38,IF(M707=PARAMS_MODELO!$A$39,PARAMS_MODELO!$B$39,IF(M707=PARAMS_MODELO!$A$40,PARAMS_MODELO!$B$40)))))</f>
        <v>1.1499999999999999</v>
      </c>
    </row>
    <row r="708" spans="1:14" x14ac:dyDescent="0.3">
      <c r="A708">
        <v>51043677</v>
      </c>
      <c r="B708">
        <v>57</v>
      </c>
      <c r="C708">
        <v>60</v>
      </c>
      <c r="D708">
        <f t="shared" si="33"/>
        <v>0.95</v>
      </c>
      <c r="E708">
        <f>ROUND(MIN(5,MAX(0,D708))/5*PARAMS_MODELO!$B$32,2)</f>
        <v>7.6</v>
      </c>
      <c r="F708">
        <v>4</v>
      </c>
      <c r="G708">
        <f>MAX(0,PARAMS_MODELO!$B$33-VALUE(TRIM(F708))*3)</f>
        <v>18</v>
      </c>
      <c r="H708">
        <v>2</v>
      </c>
      <c r="I708">
        <f>ROUND(MIN(4,MAX(0,H708))/4*PARAMS_MODELO!$B$34,2)</f>
        <v>10</v>
      </c>
      <c r="J708">
        <v>1</v>
      </c>
      <c r="K708">
        <f>IF(J708=0,0,PARAMS_MODELO!$B$35)</f>
        <v>10</v>
      </c>
      <c r="L708">
        <f t="shared" si="34"/>
        <v>45.6</v>
      </c>
      <c r="M708" t="str">
        <f t="shared" si="35"/>
        <v>Regular</v>
      </c>
      <c r="N708">
        <f>IF(M708=PARAMS_MODELO!$A$36,PARAMS_MODELO!$B$36,IF(M708=PARAMS_MODELO!$A$37,PARAMS_MODELO!$B$37,IF(M708=PARAMS_MODELO!$A$38,PARAMS_MODELO!$B$38,IF(M708=PARAMS_MODELO!$A$39,PARAMS_MODELO!$B$39,IF(M708=PARAMS_MODELO!$A$40,PARAMS_MODELO!$B$40)))))</f>
        <v>1</v>
      </c>
    </row>
    <row r="709" spans="1:14" x14ac:dyDescent="0.3">
      <c r="A709">
        <v>51022467</v>
      </c>
      <c r="B709">
        <v>79</v>
      </c>
      <c r="C709">
        <v>90</v>
      </c>
      <c r="D709">
        <f t="shared" si="33"/>
        <v>0.87777777777777777</v>
      </c>
      <c r="E709">
        <f>ROUND(MIN(5,MAX(0,D709))/5*PARAMS_MODELO!$B$32,2)</f>
        <v>7.02</v>
      </c>
      <c r="F709">
        <v>5</v>
      </c>
      <c r="G709">
        <f>MAX(0,PARAMS_MODELO!$B$33-VALUE(TRIM(F709))*3)</f>
        <v>15</v>
      </c>
      <c r="H709">
        <v>1</v>
      </c>
      <c r="I709">
        <f>ROUND(MIN(4,MAX(0,H709))/4*PARAMS_MODELO!$B$34,2)</f>
        <v>5</v>
      </c>
      <c r="J709">
        <v>0</v>
      </c>
      <c r="K709">
        <f>IF(J709=0,0,PARAMS_MODELO!$B$35)</f>
        <v>0</v>
      </c>
      <c r="L709">
        <f t="shared" si="34"/>
        <v>27.02</v>
      </c>
      <c r="M709" t="str">
        <f t="shared" si="35"/>
        <v>Malo</v>
      </c>
      <c r="N709">
        <f>IF(M709=PARAMS_MODELO!$A$36,PARAMS_MODELO!$B$36,IF(M709=PARAMS_MODELO!$A$37,PARAMS_MODELO!$B$37,IF(M709=PARAMS_MODELO!$A$38,PARAMS_MODELO!$B$38,IF(M709=PARAMS_MODELO!$A$39,PARAMS_MODELO!$B$39,IF(M709=PARAMS_MODELO!$A$40,PARAMS_MODELO!$B$40)))))</f>
        <v>0.7</v>
      </c>
    </row>
    <row r="710" spans="1:14" x14ac:dyDescent="0.3">
      <c r="A710">
        <v>51055225</v>
      </c>
      <c r="B710">
        <v>49</v>
      </c>
      <c r="C710">
        <v>53</v>
      </c>
      <c r="D710">
        <f t="shared" si="33"/>
        <v>0.92452830188679247</v>
      </c>
      <c r="E710">
        <f>ROUND(MIN(5,MAX(0,D710))/5*PARAMS_MODELO!$B$32,2)</f>
        <v>7.4</v>
      </c>
      <c r="F710">
        <v>0</v>
      </c>
      <c r="G710">
        <f>MAX(0,PARAMS_MODELO!$B$33-VALUE(TRIM(F710))*3)</f>
        <v>30</v>
      </c>
      <c r="H710">
        <v>3</v>
      </c>
      <c r="I710">
        <f>ROUND(MIN(4,MAX(0,H710))/4*PARAMS_MODELO!$B$34,2)</f>
        <v>15</v>
      </c>
      <c r="J710">
        <v>0</v>
      </c>
      <c r="K710">
        <f>IF(J710=0,0,PARAMS_MODELO!$B$35)</f>
        <v>0</v>
      </c>
      <c r="L710">
        <f t="shared" si="34"/>
        <v>52.4</v>
      </c>
      <c r="M710" t="str">
        <f t="shared" si="35"/>
        <v>Regular</v>
      </c>
      <c r="N710">
        <f>IF(M710=PARAMS_MODELO!$A$36,PARAMS_MODELO!$B$36,IF(M710=PARAMS_MODELO!$A$37,PARAMS_MODELO!$B$37,IF(M710=PARAMS_MODELO!$A$38,PARAMS_MODELO!$B$38,IF(M710=PARAMS_MODELO!$A$39,PARAMS_MODELO!$B$39,IF(M710=PARAMS_MODELO!$A$40,PARAMS_MODELO!$B$40)))))</f>
        <v>1</v>
      </c>
    </row>
    <row r="711" spans="1:14" x14ac:dyDescent="0.3">
      <c r="A711">
        <v>51041666</v>
      </c>
      <c r="B711">
        <v>34</v>
      </c>
      <c r="C711">
        <v>92</v>
      </c>
      <c r="D711">
        <f t="shared" si="33"/>
        <v>0.36956521739130432</v>
      </c>
      <c r="E711">
        <f>ROUND(MIN(5,MAX(0,D711))/5*PARAMS_MODELO!$B$32,2)</f>
        <v>2.96</v>
      </c>
      <c r="F711">
        <v>4</v>
      </c>
      <c r="G711">
        <f>MAX(0,PARAMS_MODELO!$B$33-VALUE(TRIM(F711))*3)</f>
        <v>18</v>
      </c>
      <c r="H711">
        <v>0</v>
      </c>
      <c r="I711">
        <f>ROUND(MIN(4,MAX(0,H711))/4*PARAMS_MODELO!$B$34,2)</f>
        <v>0</v>
      </c>
      <c r="J711">
        <v>0</v>
      </c>
      <c r="K711">
        <f>IF(J711=0,0,PARAMS_MODELO!$B$35)</f>
        <v>0</v>
      </c>
      <c r="L711">
        <f t="shared" si="34"/>
        <v>20.96</v>
      </c>
      <c r="M711" t="str">
        <f t="shared" si="35"/>
        <v>Malo</v>
      </c>
      <c r="N711">
        <f>IF(M711=PARAMS_MODELO!$A$36,PARAMS_MODELO!$B$36,IF(M711=PARAMS_MODELO!$A$37,PARAMS_MODELO!$B$37,IF(M711=PARAMS_MODELO!$A$38,PARAMS_MODELO!$B$38,IF(M711=PARAMS_MODELO!$A$39,PARAMS_MODELO!$B$39,IF(M711=PARAMS_MODELO!$A$40,PARAMS_MODELO!$B$40)))))</f>
        <v>0.7</v>
      </c>
    </row>
    <row r="712" spans="1:14" x14ac:dyDescent="0.3">
      <c r="A712">
        <v>51024753</v>
      </c>
      <c r="B712">
        <v>39</v>
      </c>
      <c r="C712">
        <v>42</v>
      </c>
      <c r="D712">
        <f t="shared" si="33"/>
        <v>0.9285714285714286</v>
      </c>
      <c r="E712">
        <f>ROUND(MIN(5,MAX(0,D712))/5*PARAMS_MODELO!$B$32,2)</f>
        <v>7.43</v>
      </c>
      <c r="F712">
        <v>3</v>
      </c>
      <c r="G712">
        <f>MAX(0,PARAMS_MODELO!$B$33-VALUE(TRIM(F712))*3)</f>
        <v>21</v>
      </c>
      <c r="H712">
        <v>0</v>
      </c>
      <c r="I712">
        <f>ROUND(MIN(4,MAX(0,H712))/4*PARAMS_MODELO!$B$34,2)</f>
        <v>0</v>
      </c>
      <c r="J712">
        <v>1</v>
      </c>
      <c r="K712">
        <f>IF(J712=0,0,PARAMS_MODELO!$B$35)</f>
        <v>10</v>
      </c>
      <c r="L712">
        <f t="shared" si="34"/>
        <v>38.43</v>
      </c>
      <c r="M712" t="str">
        <f t="shared" si="35"/>
        <v>Malo</v>
      </c>
      <c r="N712">
        <f>IF(M712=PARAMS_MODELO!$A$36,PARAMS_MODELO!$B$36,IF(M712=PARAMS_MODELO!$A$37,PARAMS_MODELO!$B$37,IF(M712=PARAMS_MODELO!$A$38,PARAMS_MODELO!$B$38,IF(M712=PARAMS_MODELO!$A$39,PARAMS_MODELO!$B$39,IF(M712=PARAMS_MODELO!$A$40,PARAMS_MODELO!$B$40)))))</f>
        <v>0.7</v>
      </c>
    </row>
    <row r="713" spans="1:14" x14ac:dyDescent="0.3">
      <c r="A713">
        <v>51023901</v>
      </c>
      <c r="B713">
        <v>69</v>
      </c>
      <c r="C713">
        <v>83</v>
      </c>
      <c r="D713">
        <f t="shared" si="33"/>
        <v>0.83132530120481929</v>
      </c>
      <c r="E713">
        <f>ROUND(MIN(5,MAX(0,D713))/5*PARAMS_MODELO!$B$32,2)</f>
        <v>6.65</v>
      </c>
      <c r="F713">
        <v>1</v>
      </c>
      <c r="G713">
        <f>MAX(0,PARAMS_MODELO!$B$33-VALUE(TRIM(F713))*3)</f>
        <v>27</v>
      </c>
      <c r="H713">
        <v>2</v>
      </c>
      <c r="I713">
        <f>ROUND(MIN(4,MAX(0,H713))/4*PARAMS_MODELO!$B$34,2)</f>
        <v>10</v>
      </c>
      <c r="J713">
        <v>1</v>
      </c>
      <c r="K713">
        <f>IF(J713=0,0,PARAMS_MODELO!$B$35)</f>
        <v>10</v>
      </c>
      <c r="L713">
        <f t="shared" si="34"/>
        <v>53.65</v>
      </c>
      <c r="M713" t="str">
        <f t="shared" si="35"/>
        <v>Regular</v>
      </c>
      <c r="N713">
        <f>IF(M713=PARAMS_MODELO!$A$36,PARAMS_MODELO!$B$36,IF(M713=PARAMS_MODELO!$A$37,PARAMS_MODELO!$B$37,IF(M713=PARAMS_MODELO!$A$38,PARAMS_MODELO!$B$38,IF(M713=PARAMS_MODELO!$A$39,PARAMS_MODELO!$B$39,IF(M713=PARAMS_MODELO!$A$40,PARAMS_MODELO!$B$40)))))</f>
        <v>1</v>
      </c>
    </row>
    <row r="714" spans="1:14" x14ac:dyDescent="0.3">
      <c r="A714">
        <v>51038401</v>
      </c>
      <c r="B714">
        <v>28</v>
      </c>
      <c r="C714">
        <v>79</v>
      </c>
      <c r="D714">
        <f t="shared" si="33"/>
        <v>0.35443037974683544</v>
      </c>
      <c r="E714">
        <f>ROUND(MIN(5,MAX(0,D714))/5*PARAMS_MODELO!$B$32,2)</f>
        <v>2.84</v>
      </c>
      <c r="F714">
        <v>1</v>
      </c>
      <c r="G714">
        <f>MAX(0,PARAMS_MODELO!$B$33-VALUE(TRIM(F714))*3)</f>
        <v>27</v>
      </c>
      <c r="H714">
        <v>1</v>
      </c>
      <c r="I714">
        <f>ROUND(MIN(4,MAX(0,H714))/4*PARAMS_MODELO!$B$34,2)</f>
        <v>5</v>
      </c>
      <c r="J714">
        <v>1</v>
      </c>
      <c r="K714">
        <f>IF(J714=0,0,PARAMS_MODELO!$B$35)</f>
        <v>10</v>
      </c>
      <c r="L714">
        <f t="shared" si="34"/>
        <v>44.84</v>
      </c>
      <c r="M714" t="str">
        <f t="shared" si="35"/>
        <v>Regular</v>
      </c>
      <c r="N714">
        <f>IF(M714=PARAMS_MODELO!$A$36,PARAMS_MODELO!$B$36,IF(M714=PARAMS_MODELO!$A$37,PARAMS_MODELO!$B$37,IF(M714=PARAMS_MODELO!$A$38,PARAMS_MODELO!$B$38,IF(M714=PARAMS_MODELO!$A$39,PARAMS_MODELO!$B$39,IF(M714=PARAMS_MODELO!$A$40,PARAMS_MODELO!$B$40)))))</f>
        <v>1</v>
      </c>
    </row>
    <row r="715" spans="1:14" x14ac:dyDescent="0.3">
      <c r="A715">
        <v>51023226</v>
      </c>
      <c r="B715">
        <v>70</v>
      </c>
      <c r="C715">
        <v>95</v>
      </c>
      <c r="D715">
        <f t="shared" si="33"/>
        <v>0.73684210526315785</v>
      </c>
      <c r="E715">
        <f>ROUND(MIN(5,MAX(0,D715))/5*PARAMS_MODELO!$B$32,2)</f>
        <v>5.89</v>
      </c>
      <c r="F715">
        <v>4</v>
      </c>
      <c r="G715">
        <f>MAX(0,PARAMS_MODELO!$B$33-VALUE(TRIM(F715))*3)</f>
        <v>18</v>
      </c>
      <c r="H715">
        <v>4</v>
      </c>
      <c r="I715">
        <f>ROUND(MIN(4,MAX(0,H715))/4*PARAMS_MODELO!$B$34,2)</f>
        <v>20</v>
      </c>
      <c r="J715">
        <v>0</v>
      </c>
      <c r="K715">
        <f>IF(J715=0,0,PARAMS_MODELO!$B$35)</f>
        <v>0</v>
      </c>
      <c r="L715">
        <f t="shared" si="34"/>
        <v>43.89</v>
      </c>
      <c r="M715" t="str">
        <f t="shared" si="35"/>
        <v>Regular</v>
      </c>
      <c r="N715">
        <f>IF(M715=PARAMS_MODELO!$A$36,PARAMS_MODELO!$B$36,IF(M715=PARAMS_MODELO!$A$37,PARAMS_MODELO!$B$37,IF(M715=PARAMS_MODELO!$A$38,PARAMS_MODELO!$B$38,IF(M715=PARAMS_MODELO!$A$39,PARAMS_MODELO!$B$39,IF(M715=PARAMS_MODELO!$A$40,PARAMS_MODELO!$B$40)))))</f>
        <v>1</v>
      </c>
    </row>
    <row r="716" spans="1:14" x14ac:dyDescent="0.3">
      <c r="A716">
        <v>51019717</v>
      </c>
      <c r="B716">
        <v>34</v>
      </c>
      <c r="C716">
        <v>54</v>
      </c>
      <c r="D716">
        <f t="shared" si="33"/>
        <v>0.62962962962962965</v>
      </c>
      <c r="E716">
        <f>ROUND(MIN(5,MAX(0,D716))/5*PARAMS_MODELO!$B$32,2)</f>
        <v>5.04</v>
      </c>
      <c r="F716">
        <v>4</v>
      </c>
      <c r="G716">
        <f>MAX(0,PARAMS_MODELO!$B$33-VALUE(TRIM(F716))*3)</f>
        <v>18</v>
      </c>
      <c r="H716">
        <v>1</v>
      </c>
      <c r="I716">
        <f>ROUND(MIN(4,MAX(0,H716))/4*PARAMS_MODELO!$B$34,2)</f>
        <v>5</v>
      </c>
      <c r="J716">
        <v>1</v>
      </c>
      <c r="K716">
        <f>IF(J716=0,0,PARAMS_MODELO!$B$35)</f>
        <v>10</v>
      </c>
      <c r="L716">
        <f t="shared" si="34"/>
        <v>38.04</v>
      </c>
      <c r="M716" t="str">
        <f t="shared" si="35"/>
        <v>Malo</v>
      </c>
      <c r="N716">
        <f>IF(M716=PARAMS_MODELO!$A$36,PARAMS_MODELO!$B$36,IF(M716=PARAMS_MODELO!$A$37,PARAMS_MODELO!$B$37,IF(M716=PARAMS_MODELO!$A$38,PARAMS_MODELO!$B$38,IF(M716=PARAMS_MODELO!$A$39,PARAMS_MODELO!$B$39,IF(M716=PARAMS_MODELO!$A$40,PARAMS_MODELO!$B$40)))))</f>
        <v>0.7</v>
      </c>
    </row>
    <row r="717" spans="1:14" x14ac:dyDescent="0.3">
      <c r="A717">
        <v>51007115</v>
      </c>
      <c r="B717">
        <v>22</v>
      </c>
      <c r="C717">
        <v>64</v>
      </c>
      <c r="D717">
        <f t="shared" si="33"/>
        <v>0.34375</v>
      </c>
      <c r="E717">
        <f>ROUND(MIN(5,MAX(0,D717))/5*PARAMS_MODELO!$B$32,2)</f>
        <v>2.75</v>
      </c>
      <c r="F717">
        <v>0</v>
      </c>
      <c r="G717">
        <f>MAX(0,PARAMS_MODELO!$B$33-VALUE(TRIM(F717))*3)</f>
        <v>30</v>
      </c>
      <c r="H717">
        <v>2</v>
      </c>
      <c r="I717">
        <f>ROUND(MIN(4,MAX(0,H717))/4*PARAMS_MODELO!$B$34,2)</f>
        <v>10</v>
      </c>
      <c r="J717">
        <v>1</v>
      </c>
      <c r="K717">
        <f>IF(J717=0,0,PARAMS_MODELO!$B$35)</f>
        <v>10</v>
      </c>
      <c r="L717">
        <f t="shared" si="34"/>
        <v>52.75</v>
      </c>
      <c r="M717" t="str">
        <f t="shared" si="35"/>
        <v>Regular</v>
      </c>
      <c r="N717">
        <f>IF(M717=PARAMS_MODELO!$A$36,PARAMS_MODELO!$B$36,IF(M717=PARAMS_MODELO!$A$37,PARAMS_MODELO!$B$37,IF(M717=PARAMS_MODELO!$A$38,PARAMS_MODELO!$B$38,IF(M717=PARAMS_MODELO!$A$39,PARAMS_MODELO!$B$39,IF(M717=PARAMS_MODELO!$A$40,PARAMS_MODELO!$B$40)))))</f>
        <v>1</v>
      </c>
    </row>
    <row r="718" spans="1:14" x14ac:dyDescent="0.3">
      <c r="A718">
        <v>51016637</v>
      </c>
      <c r="B718">
        <v>80</v>
      </c>
      <c r="C718">
        <v>50</v>
      </c>
      <c r="D718">
        <f t="shared" si="33"/>
        <v>1.6</v>
      </c>
      <c r="E718">
        <f>ROUND(MIN(5,MAX(0,D718))/5*PARAMS_MODELO!$B$32,2)</f>
        <v>12.8</v>
      </c>
      <c r="F718">
        <v>1</v>
      </c>
      <c r="G718">
        <f>MAX(0,PARAMS_MODELO!$B$33-VALUE(TRIM(F718))*3)</f>
        <v>27</v>
      </c>
      <c r="H718">
        <v>3</v>
      </c>
      <c r="I718">
        <f>ROUND(MIN(4,MAX(0,H718))/4*PARAMS_MODELO!$B$34,2)</f>
        <v>15</v>
      </c>
      <c r="J718">
        <v>0</v>
      </c>
      <c r="K718">
        <f>IF(J718=0,0,PARAMS_MODELO!$B$35)</f>
        <v>0</v>
      </c>
      <c r="L718">
        <f t="shared" si="34"/>
        <v>54.8</v>
      </c>
      <c r="M718" t="str">
        <f t="shared" si="35"/>
        <v>Regular</v>
      </c>
      <c r="N718">
        <f>IF(M718=PARAMS_MODELO!$A$36,PARAMS_MODELO!$B$36,IF(M718=PARAMS_MODELO!$A$37,PARAMS_MODELO!$B$37,IF(M718=PARAMS_MODELO!$A$38,PARAMS_MODELO!$B$38,IF(M718=PARAMS_MODELO!$A$39,PARAMS_MODELO!$B$39,IF(M718=PARAMS_MODELO!$A$40,PARAMS_MODELO!$B$40)))))</f>
        <v>1</v>
      </c>
    </row>
    <row r="719" spans="1:14" x14ac:dyDescent="0.3">
      <c r="A719">
        <v>51023439</v>
      </c>
      <c r="B719">
        <v>81</v>
      </c>
      <c r="C719">
        <v>13</v>
      </c>
      <c r="D719">
        <f t="shared" si="33"/>
        <v>5</v>
      </c>
      <c r="E719">
        <f>ROUND(MIN(5,MAX(0,D719))/5*PARAMS_MODELO!$B$32,2)</f>
        <v>40</v>
      </c>
      <c r="F719">
        <v>1</v>
      </c>
      <c r="G719">
        <f>MAX(0,PARAMS_MODELO!$B$33-VALUE(TRIM(F719))*3)</f>
        <v>27</v>
      </c>
      <c r="H719">
        <v>2</v>
      </c>
      <c r="I719">
        <f>ROUND(MIN(4,MAX(0,H719))/4*PARAMS_MODELO!$B$34,2)</f>
        <v>10</v>
      </c>
      <c r="J719">
        <v>0</v>
      </c>
      <c r="K719">
        <f>IF(J719=0,0,PARAMS_MODELO!$B$35)</f>
        <v>0</v>
      </c>
      <c r="L719">
        <f t="shared" si="34"/>
        <v>77</v>
      </c>
      <c r="M719" t="str">
        <f t="shared" si="35"/>
        <v>Muy Bueno</v>
      </c>
      <c r="N719">
        <f>IF(M719=PARAMS_MODELO!$A$36,PARAMS_MODELO!$B$36,IF(M719=PARAMS_MODELO!$A$37,PARAMS_MODELO!$B$37,IF(M719=PARAMS_MODELO!$A$38,PARAMS_MODELO!$B$38,IF(M719=PARAMS_MODELO!$A$39,PARAMS_MODELO!$B$39,IF(M719=PARAMS_MODELO!$A$40,PARAMS_MODELO!$B$40)))))</f>
        <v>1.1499999999999999</v>
      </c>
    </row>
    <row r="720" spans="1:14" x14ac:dyDescent="0.3">
      <c r="A720">
        <v>51031334</v>
      </c>
      <c r="B720">
        <v>34</v>
      </c>
      <c r="C720">
        <v>8</v>
      </c>
      <c r="D720">
        <f t="shared" si="33"/>
        <v>4.25</v>
      </c>
      <c r="E720">
        <f>ROUND(MIN(5,MAX(0,D720))/5*PARAMS_MODELO!$B$32,2)</f>
        <v>34</v>
      </c>
      <c r="F720">
        <v>4</v>
      </c>
      <c r="G720">
        <f>MAX(0,PARAMS_MODELO!$B$33-VALUE(TRIM(F720))*3)</f>
        <v>18</v>
      </c>
      <c r="H720">
        <v>1</v>
      </c>
      <c r="I720">
        <f>ROUND(MIN(4,MAX(0,H720))/4*PARAMS_MODELO!$B$34,2)</f>
        <v>5</v>
      </c>
      <c r="J720">
        <v>1</v>
      </c>
      <c r="K720">
        <f>IF(J720=0,0,PARAMS_MODELO!$B$35)</f>
        <v>10</v>
      </c>
      <c r="L720">
        <f t="shared" si="34"/>
        <v>67</v>
      </c>
      <c r="M720" t="str">
        <f t="shared" si="35"/>
        <v>Bueno</v>
      </c>
      <c r="N720">
        <f>IF(M720=PARAMS_MODELO!$A$36,PARAMS_MODELO!$B$36,IF(M720=PARAMS_MODELO!$A$37,PARAMS_MODELO!$B$37,IF(M720=PARAMS_MODELO!$A$38,PARAMS_MODELO!$B$38,IF(M720=PARAMS_MODELO!$A$39,PARAMS_MODELO!$B$39,IF(M720=PARAMS_MODELO!$A$40,PARAMS_MODELO!$B$40)))))</f>
        <v>1.1000000000000001</v>
      </c>
    </row>
    <row r="721" spans="1:14" x14ac:dyDescent="0.3">
      <c r="A721">
        <v>51005368</v>
      </c>
      <c r="B721">
        <v>26</v>
      </c>
      <c r="C721">
        <v>84</v>
      </c>
      <c r="D721">
        <f t="shared" si="33"/>
        <v>0.30952380952380953</v>
      </c>
      <c r="E721">
        <f>ROUND(MIN(5,MAX(0,D721))/5*PARAMS_MODELO!$B$32,2)</f>
        <v>2.48</v>
      </c>
      <c r="F721">
        <v>1</v>
      </c>
      <c r="G721">
        <f>MAX(0,PARAMS_MODELO!$B$33-VALUE(TRIM(F721))*3)</f>
        <v>27</v>
      </c>
      <c r="H721">
        <v>2</v>
      </c>
      <c r="I721">
        <f>ROUND(MIN(4,MAX(0,H721))/4*PARAMS_MODELO!$B$34,2)</f>
        <v>10</v>
      </c>
      <c r="J721">
        <v>1</v>
      </c>
      <c r="K721">
        <f>IF(J721=0,0,PARAMS_MODELO!$B$35)</f>
        <v>10</v>
      </c>
      <c r="L721">
        <f t="shared" si="34"/>
        <v>49.480000000000004</v>
      </c>
      <c r="M721" t="str">
        <f t="shared" si="35"/>
        <v>Regular</v>
      </c>
      <c r="N721">
        <f>IF(M721=PARAMS_MODELO!$A$36,PARAMS_MODELO!$B$36,IF(M721=PARAMS_MODELO!$A$37,PARAMS_MODELO!$B$37,IF(M721=PARAMS_MODELO!$A$38,PARAMS_MODELO!$B$38,IF(M721=PARAMS_MODELO!$A$39,PARAMS_MODELO!$B$39,IF(M721=PARAMS_MODELO!$A$40,PARAMS_MODELO!$B$40)))))</f>
        <v>1</v>
      </c>
    </row>
    <row r="722" spans="1:14" x14ac:dyDescent="0.3">
      <c r="A722">
        <v>51023803</v>
      </c>
      <c r="B722">
        <v>100</v>
      </c>
      <c r="C722">
        <v>1</v>
      </c>
      <c r="D722">
        <f t="shared" si="33"/>
        <v>5</v>
      </c>
      <c r="E722">
        <f>ROUND(MIN(5,MAX(0,D722))/5*PARAMS_MODELO!$B$32,2)</f>
        <v>40</v>
      </c>
      <c r="F722">
        <v>2</v>
      </c>
      <c r="G722">
        <f>MAX(0,PARAMS_MODELO!$B$33-VALUE(TRIM(F722))*3)</f>
        <v>24</v>
      </c>
      <c r="H722">
        <v>1</v>
      </c>
      <c r="I722">
        <f>ROUND(MIN(4,MAX(0,H722))/4*PARAMS_MODELO!$B$34,2)</f>
        <v>5</v>
      </c>
      <c r="J722">
        <v>1</v>
      </c>
      <c r="K722">
        <f>IF(J722=0,0,PARAMS_MODELO!$B$35)</f>
        <v>10</v>
      </c>
      <c r="L722">
        <f t="shared" si="34"/>
        <v>79</v>
      </c>
      <c r="M722" t="str">
        <f t="shared" si="35"/>
        <v>Muy Bueno</v>
      </c>
      <c r="N722">
        <f>IF(M722=PARAMS_MODELO!$A$36,PARAMS_MODELO!$B$36,IF(M722=PARAMS_MODELO!$A$37,PARAMS_MODELO!$B$37,IF(M722=PARAMS_MODELO!$A$38,PARAMS_MODELO!$B$38,IF(M722=PARAMS_MODELO!$A$39,PARAMS_MODELO!$B$39,IF(M722=PARAMS_MODELO!$A$40,PARAMS_MODELO!$B$40)))))</f>
        <v>1.1499999999999999</v>
      </c>
    </row>
    <row r="723" spans="1:14" x14ac:dyDescent="0.3">
      <c r="A723">
        <v>51016777</v>
      </c>
      <c r="B723">
        <v>43</v>
      </c>
      <c r="C723">
        <v>100</v>
      </c>
      <c r="D723">
        <f t="shared" si="33"/>
        <v>0.43</v>
      </c>
      <c r="E723">
        <f>ROUND(MIN(5,MAX(0,D723))/5*PARAMS_MODELO!$B$32,2)</f>
        <v>3.44</v>
      </c>
      <c r="F723">
        <v>1</v>
      </c>
      <c r="G723">
        <f>MAX(0,PARAMS_MODELO!$B$33-VALUE(TRIM(F723))*3)</f>
        <v>27</v>
      </c>
      <c r="H723">
        <v>3</v>
      </c>
      <c r="I723">
        <f>ROUND(MIN(4,MAX(0,H723))/4*PARAMS_MODELO!$B$34,2)</f>
        <v>15</v>
      </c>
      <c r="J723">
        <v>1</v>
      </c>
      <c r="K723">
        <f>IF(J723=0,0,PARAMS_MODELO!$B$35)</f>
        <v>10</v>
      </c>
      <c r="L723">
        <f t="shared" si="34"/>
        <v>55.44</v>
      </c>
      <c r="M723" t="str">
        <f t="shared" si="35"/>
        <v>Regular</v>
      </c>
      <c r="N723">
        <f>IF(M723=PARAMS_MODELO!$A$36,PARAMS_MODELO!$B$36,IF(M723=PARAMS_MODELO!$A$37,PARAMS_MODELO!$B$37,IF(M723=PARAMS_MODELO!$A$38,PARAMS_MODELO!$B$38,IF(M723=PARAMS_MODELO!$A$39,PARAMS_MODELO!$B$39,IF(M723=PARAMS_MODELO!$A$40,PARAMS_MODELO!$B$40)))))</f>
        <v>1</v>
      </c>
    </row>
    <row r="724" spans="1:14" x14ac:dyDescent="0.3">
      <c r="A724">
        <v>51056094</v>
      </c>
      <c r="B724">
        <v>80</v>
      </c>
      <c r="C724">
        <v>47</v>
      </c>
      <c r="D724">
        <f t="shared" si="33"/>
        <v>1.7021276595744681</v>
      </c>
      <c r="E724">
        <f>ROUND(MIN(5,MAX(0,D724))/5*PARAMS_MODELO!$B$32,2)</f>
        <v>13.62</v>
      </c>
      <c r="F724">
        <v>5</v>
      </c>
      <c r="G724">
        <f>MAX(0,PARAMS_MODELO!$B$33-VALUE(TRIM(F724))*3)</f>
        <v>15</v>
      </c>
      <c r="H724">
        <v>2</v>
      </c>
      <c r="I724">
        <f>ROUND(MIN(4,MAX(0,H724))/4*PARAMS_MODELO!$B$34,2)</f>
        <v>10</v>
      </c>
      <c r="J724">
        <v>0</v>
      </c>
      <c r="K724">
        <f>IF(J724=0,0,PARAMS_MODELO!$B$35)</f>
        <v>0</v>
      </c>
      <c r="L724">
        <f t="shared" si="34"/>
        <v>38.619999999999997</v>
      </c>
      <c r="M724" t="str">
        <f t="shared" si="35"/>
        <v>Malo</v>
      </c>
      <c r="N724">
        <f>IF(M724=PARAMS_MODELO!$A$36,PARAMS_MODELO!$B$36,IF(M724=PARAMS_MODELO!$A$37,PARAMS_MODELO!$B$37,IF(M724=PARAMS_MODELO!$A$38,PARAMS_MODELO!$B$38,IF(M724=PARAMS_MODELO!$A$39,PARAMS_MODELO!$B$39,IF(M724=PARAMS_MODELO!$A$40,PARAMS_MODELO!$B$40)))))</f>
        <v>0.7</v>
      </c>
    </row>
    <row r="725" spans="1:14" x14ac:dyDescent="0.3">
      <c r="A725">
        <v>51018044</v>
      </c>
      <c r="B725">
        <v>33</v>
      </c>
      <c r="C725">
        <v>92</v>
      </c>
      <c r="D725">
        <f t="shared" si="33"/>
        <v>0.35869565217391303</v>
      </c>
      <c r="E725">
        <f>ROUND(MIN(5,MAX(0,D725))/5*PARAMS_MODELO!$B$32,2)</f>
        <v>2.87</v>
      </c>
      <c r="F725">
        <v>4</v>
      </c>
      <c r="G725">
        <f>MAX(0,PARAMS_MODELO!$B$33-VALUE(TRIM(F725))*3)</f>
        <v>18</v>
      </c>
      <c r="H725">
        <v>1</v>
      </c>
      <c r="I725">
        <f>ROUND(MIN(4,MAX(0,H725))/4*PARAMS_MODELO!$B$34,2)</f>
        <v>5</v>
      </c>
      <c r="J725">
        <v>1</v>
      </c>
      <c r="K725">
        <f>IF(J725=0,0,PARAMS_MODELO!$B$35)</f>
        <v>10</v>
      </c>
      <c r="L725">
        <f t="shared" si="34"/>
        <v>35.870000000000005</v>
      </c>
      <c r="M725" t="str">
        <f t="shared" si="35"/>
        <v>Malo</v>
      </c>
      <c r="N725">
        <f>IF(M725=PARAMS_MODELO!$A$36,PARAMS_MODELO!$B$36,IF(M725=PARAMS_MODELO!$A$37,PARAMS_MODELO!$B$37,IF(M725=PARAMS_MODELO!$A$38,PARAMS_MODELO!$B$38,IF(M725=PARAMS_MODELO!$A$39,PARAMS_MODELO!$B$39,IF(M725=PARAMS_MODELO!$A$40,PARAMS_MODELO!$B$40)))))</f>
        <v>0.7</v>
      </c>
    </row>
    <row r="726" spans="1:14" x14ac:dyDescent="0.3">
      <c r="A726">
        <v>51031318</v>
      </c>
      <c r="B726">
        <v>75</v>
      </c>
      <c r="C726">
        <v>74</v>
      </c>
      <c r="D726">
        <f t="shared" si="33"/>
        <v>1.0135135135135136</v>
      </c>
      <c r="E726">
        <f>ROUND(MIN(5,MAX(0,D726))/5*PARAMS_MODELO!$B$32,2)</f>
        <v>8.11</v>
      </c>
      <c r="F726">
        <v>0</v>
      </c>
      <c r="G726">
        <f>MAX(0,PARAMS_MODELO!$B$33-VALUE(TRIM(F726))*3)</f>
        <v>30</v>
      </c>
      <c r="H726">
        <v>3</v>
      </c>
      <c r="I726">
        <f>ROUND(MIN(4,MAX(0,H726))/4*PARAMS_MODELO!$B$34,2)</f>
        <v>15</v>
      </c>
      <c r="J726">
        <v>1</v>
      </c>
      <c r="K726">
        <f>IF(J726=0,0,PARAMS_MODELO!$B$35)</f>
        <v>10</v>
      </c>
      <c r="L726">
        <f t="shared" si="34"/>
        <v>63.11</v>
      </c>
      <c r="M726" t="str">
        <f t="shared" si="35"/>
        <v>Bueno</v>
      </c>
      <c r="N726">
        <f>IF(M726=PARAMS_MODELO!$A$36,PARAMS_MODELO!$B$36,IF(M726=PARAMS_MODELO!$A$37,PARAMS_MODELO!$B$37,IF(M726=PARAMS_MODELO!$A$38,PARAMS_MODELO!$B$38,IF(M726=PARAMS_MODELO!$A$39,PARAMS_MODELO!$B$39,IF(M726=PARAMS_MODELO!$A$40,PARAMS_MODELO!$B$40)))))</f>
        <v>1.1000000000000001</v>
      </c>
    </row>
    <row r="727" spans="1:14" x14ac:dyDescent="0.3">
      <c r="A727">
        <v>51031750</v>
      </c>
      <c r="B727">
        <v>53</v>
      </c>
      <c r="C727">
        <v>24</v>
      </c>
      <c r="D727">
        <f t="shared" si="33"/>
        <v>2.2083333333333335</v>
      </c>
      <c r="E727">
        <f>ROUND(MIN(5,MAX(0,D727))/5*PARAMS_MODELO!$B$32,2)</f>
        <v>17.670000000000002</v>
      </c>
      <c r="F727">
        <v>4</v>
      </c>
      <c r="G727">
        <f>MAX(0,PARAMS_MODELO!$B$33-VALUE(TRIM(F727))*3)</f>
        <v>18</v>
      </c>
      <c r="H727">
        <v>3</v>
      </c>
      <c r="I727">
        <f>ROUND(MIN(4,MAX(0,H727))/4*PARAMS_MODELO!$B$34,2)</f>
        <v>15</v>
      </c>
      <c r="J727">
        <v>1</v>
      </c>
      <c r="K727">
        <f>IF(J727=0,0,PARAMS_MODELO!$B$35)</f>
        <v>10</v>
      </c>
      <c r="L727">
        <f t="shared" si="34"/>
        <v>60.67</v>
      </c>
      <c r="M727" t="str">
        <f t="shared" si="35"/>
        <v>Bueno</v>
      </c>
      <c r="N727">
        <f>IF(M727=PARAMS_MODELO!$A$36,PARAMS_MODELO!$B$36,IF(M727=PARAMS_MODELO!$A$37,PARAMS_MODELO!$B$37,IF(M727=PARAMS_MODELO!$A$38,PARAMS_MODELO!$B$38,IF(M727=PARAMS_MODELO!$A$39,PARAMS_MODELO!$B$39,IF(M727=PARAMS_MODELO!$A$40,PARAMS_MODELO!$B$40)))))</f>
        <v>1.1000000000000001</v>
      </c>
    </row>
    <row r="728" spans="1:14" x14ac:dyDescent="0.3">
      <c r="A728">
        <v>51032063</v>
      </c>
      <c r="B728">
        <v>47</v>
      </c>
      <c r="C728">
        <v>84</v>
      </c>
      <c r="D728">
        <f t="shared" si="33"/>
        <v>0.55952380952380953</v>
      </c>
      <c r="E728">
        <f>ROUND(MIN(5,MAX(0,D728))/5*PARAMS_MODELO!$B$32,2)</f>
        <v>4.4800000000000004</v>
      </c>
      <c r="F728">
        <v>2</v>
      </c>
      <c r="G728">
        <f>MAX(0,PARAMS_MODELO!$B$33-VALUE(TRIM(F728))*3)</f>
        <v>24</v>
      </c>
      <c r="H728">
        <v>1</v>
      </c>
      <c r="I728">
        <f>ROUND(MIN(4,MAX(0,H728))/4*PARAMS_MODELO!$B$34,2)</f>
        <v>5</v>
      </c>
      <c r="J728">
        <v>1</v>
      </c>
      <c r="K728">
        <f>IF(J728=0,0,PARAMS_MODELO!$B$35)</f>
        <v>10</v>
      </c>
      <c r="L728">
        <f t="shared" si="34"/>
        <v>43.480000000000004</v>
      </c>
      <c r="M728" t="str">
        <f t="shared" si="35"/>
        <v>Regular</v>
      </c>
      <c r="N728">
        <f>IF(M728=PARAMS_MODELO!$A$36,PARAMS_MODELO!$B$36,IF(M728=PARAMS_MODELO!$A$37,PARAMS_MODELO!$B$37,IF(M728=PARAMS_MODELO!$A$38,PARAMS_MODELO!$B$38,IF(M728=PARAMS_MODELO!$A$39,PARAMS_MODELO!$B$39,IF(M728=PARAMS_MODELO!$A$40,PARAMS_MODELO!$B$40)))))</f>
        <v>1</v>
      </c>
    </row>
    <row r="729" spans="1:14" x14ac:dyDescent="0.3">
      <c r="A729">
        <v>51029232</v>
      </c>
      <c r="B729">
        <v>50</v>
      </c>
      <c r="C729">
        <v>34</v>
      </c>
      <c r="D729">
        <f t="shared" si="33"/>
        <v>1.4705882352941178</v>
      </c>
      <c r="E729">
        <f>ROUND(MIN(5,MAX(0,D729))/5*PARAMS_MODELO!$B$32,2)</f>
        <v>11.76</v>
      </c>
      <c r="F729">
        <v>4</v>
      </c>
      <c r="G729">
        <f>MAX(0,PARAMS_MODELO!$B$33-VALUE(TRIM(F729))*3)</f>
        <v>18</v>
      </c>
      <c r="H729">
        <v>0</v>
      </c>
      <c r="I729">
        <f>ROUND(MIN(4,MAX(0,H729))/4*PARAMS_MODELO!$B$34,2)</f>
        <v>0</v>
      </c>
      <c r="J729">
        <v>1</v>
      </c>
      <c r="K729">
        <f>IF(J729=0,0,PARAMS_MODELO!$B$35)</f>
        <v>10</v>
      </c>
      <c r="L729">
        <f t="shared" si="34"/>
        <v>39.76</v>
      </c>
      <c r="M729" t="str">
        <f t="shared" si="35"/>
        <v>Malo</v>
      </c>
      <c r="N729">
        <f>IF(M729=PARAMS_MODELO!$A$36,PARAMS_MODELO!$B$36,IF(M729=PARAMS_MODELO!$A$37,PARAMS_MODELO!$B$37,IF(M729=PARAMS_MODELO!$A$38,PARAMS_MODELO!$B$38,IF(M729=PARAMS_MODELO!$A$39,PARAMS_MODELO!$B$39,IF(M729=PARAMS_MODELO!$A$40,PARAMS_MODELO!$B$40)))))</f>
        <v>0.7</v>
      </c>
    </row>
    <row r="730" spans="1:14" x14ac:dyDescent="0.3">
      <c r="A730">
        <v>51035879</v>
      </c>
      <c r="B730">
        <v>27</v>
      </c>
      <c r="C730">
        <v>92</v>
      </c>
      <c r="D730">
        <f t="shared" si="33"/>
        <v>0.29347826086956524</v>
      </c>
      <c r="E730">
        <f>ROUND(MIN(5,MAX(0,D730))/5*PARAMS_MODELO!$B$32,2)</f>
        <v>2.35</v>
      </c>
      <c r="F730">
        <v>1</v>
      </c>
      <c r="G730">
        <f>MAX(0,PARAMS_MODELO!$B$33-VALUE(TRIM(F730))*3)</f>
        <v>27</v>
      </c>
      <c r="H730">
        <v>2</v>
      </c>
      <c r="I730">
        <f>ROUND(MIN(4,MAX(0,H730))/4*PARAMS_MODELO!$B$34,2)</f>
        <v>10</v>
      </c>
      <c r="J730">
        <v>1</v>
      </c>
      <c r="K730">
        <f>IF(J730=0,0,PARAMS_MODELO!$B$35)</f>
        <v>10</v>
      </c>
      <c r="L730">
        <f t="shared" si="34"/>
        <v>49.35</v>
      </c>
      <c r="M730" t="str">
        <f t="shared" si="35"/>
        <v>Regular</v>
      </c>
      <c r="N730">
        <f>IF(M730=PARAMS_MODELO!$A$36,PARAMS_MODELO!$B$36,IF(M730=PARAMS_MODELO!$A$37,PARAMS_MODELO!$B$37,IF(M730=PARAMS_MODELO!$A$38,PARAMS_MODELO!$B$38,IF(M730=PARAMS_MODELO!$A$39,PARAMS_MODELO!$B$39,IF(M730=PARAMS_MODELO!$A$40,PARAMS_MODELO!$B$40)))))</f>
        <v>1</v>
      </c>
    </row>
    <row r="731" spans="1:14" x14ac:dyDescent="0.3">
      <c r="A731">
        <v>51001044</v>
      </c>
      <c r="B731">
        <v>70</v>
      </c>
      <c r="C731">
        <v>47</v>
      </c>
      <c r="D731">
        <f t="shared" si="33"/>
        <v>1.4893617021276595</v>
      </c>
      <c r="E731">
        <f>ROUND(MIN(5,MAX(0,D731))/5*PARAMS_MODELO!$B$32,2)</f>
        <v>11.91</v>
      </c>
      <c r="F731">
        <v>0</v>
      </c>
      <c r="G731">
        <f>MAX(0,PARAMS_MODELO!$B$33-VALUE(TRIM(F731))*3)</f>
        <v>30</v>
      </c>
      <c r="H731">
        <v>1</v>
      </c>
      <c r="I731">
        <f>ROUND(MIN(4,MAX(0,H731))/4*PARAMS_MODELO!$B$34,2)</f>
        <v>5</v>
      </c>
      <c r="J731">
        <v>0</v>
      </c>
      <c r="K731">
        <f>IF(J731=0,0,PARAMS_MODELO!$B$35)</f>
        <v>0</v>
      </c>
      <c r="L731">
        <f t="shared" si="34"/>
        <v>46.91</v>
      </c>
      <c r="M731" t="str">
        <f t="shared" si="35"/>
        <v>Regular</v>
      </c>
      <c r="N731">
        <f>IF(M731=PARAMS_MODELO!$A$36,PARAMS_MODELO!$B$36,IF(M731=PARAMS_MODELO!$A$37,PARAMS_MODELO!$B$37,IF(M731=PARAMS_MODELO!$A$38,PARAMS_MODELO!$B$38,IF(M731=PARAMS_MODELO!$A$39,PARAMS_MODELO!$B$39,IF(M731=PARAMS_MODELO!$A$40,PARAMS_MODELO!$B$40)))))</f>
        <v>1</v>
      </c>
    </row>
    <row r="732" spans="1:14" x14ac:dyDescent="0.3">
      <c r="A732">
        <v>51028929</v>
      </c>
      <c r="B732">
        <v>91</v>
      </c>
      <c r="C732">
        <v>25</v>
      </c>
      <c r="D732">
        <f t="shared" si="33"/>
        <v>3.64</v>
      </c>
      <c r="E732">
        <f>ROUND(MIN(5,MAX(0,D732))/5*PARAMS_MODELO!$B$32,2)</f>
        <v>29.12</v>
      </c>
      <c r="F732">
        <v>3</v>
      </c>
      <c r="G732">
        <f>MAX(0,PARAMS_MODELO!$B$33-VALUE(TRIM(F732))*3)</f>
        <v>21</v>
      </c>
      <c r="H732">
        <v>2</v>
      </c>
      <c r="I732">
        <f>ROUND(MIN(4,MAX(0,H732))/4*PARAMS_MODELO!$B$34,2)</f>
        <v>10</v>
      </c>
      <c r="J732">
        <v>1</v>
      </c>
      <c r="K732">
        <f>IF(J732=0,0,PARAMS_MODELO!$B$35)</f>
        <v>10</v>
      </c>
      <c r="L732">
        <f t="shared" si="34"/>
        <v>70.12</v>
      </c>
      <c r="M732" t="str">
        <f t="shared" si="35"/>
        <v>Bueno</v>
      </c>
      <c r="N732">
        <f>IF(M732=PARAMS_MODELO!$A$36,PARAMS_MODELO!$B$36,IF(M732=PARAMS_MODELO!$A$37,PARAMS_MODELO!$B$37,IF(M732=PARAMS_MODELO!$A$38,PARAMS_MODELO!$B$38,IF(M732=PARAMS_MODELO!$A$39,PARAMS_MODELO!$B$39,IF(M732=PARAMS_MODELO!$A$40,PARAMS_MODELO!$B$40)))))</f>
        <v>1.1000000000000001</v>
      </c>
    </row>
    <row r="733" spans="1:14" x14ac:dyDescent="0.3">
      <c r="A733">
        <v>51054873</v>
      </c>
      <c r="B733">
        <v>78</v>
      </c>
      <c r="C733">
        <v>20</v>
      </c>
      <c r="D733">
        <f t="shared" si="33"/>
        <v>3.9</v>
      </c>
      <c r="E733">
        <f>ROUND(MIN(5,MAX(0,D733))/5*PARAMS_MODELO!$B$32,2)</f>
        <v>31.2</v>
      </c>
      <c r="F733">
        <v>5</v>
      </c>
      <c r="G733">
        <f>MAX(0,PARAMS_MODELO!$B$33-VALUE(TRIM(F733))*3)</f>
        <v>15</v>
      </c>
      <c r="H733">
        <v>3</v>
      </c>
      <c r="I733">
        <f>ROUND(MIN(4,MAX(0,H733))/4*PARAMS_MODELO!$B$34,2)</f>
        <v>15</v>
      </c>
      <c r="J733">
        <v>0</v>
      </c>
      <c r="K733">
        <f>IF(J733=0,0,PARAMS_MODELO!$B$35)</f>
        <v>0</v>
      </c>
      <c r="L733">
        <f t="shared" si="34"/>
        <v>61.2</v>
      </c>
      <c r="M733" t="str">
        <f t="shared" si="35"/>
        <v>Bueno</v>
      </c>
      <c r="N733">
        <f>IF(M733=PARAMS_MODELO!$A$36,PARAMS_MODELO!$B$36,IF(M733=PARAMS_MODELO!$A$37,PARAMS_MODELO!$B$37,IF(M733=PARAMS_MODELO!$A$38,PARAMS_MODELO!$B$38,IF(M733=PARAMS_MODELO!$A$39,PARAMS_MODELO!$B$39,IF(M733=PARAMS_MODELO!$A$40,PARAMS_MODELO!$B$40)))))</f>
        <v>1.1000000000000001</v>
      </c>
    </row>
    <row r="734" spans="1:14" x14ac:dyDescent="0.3">
      <c r="A734">
        <v>51013913</v>
      </c>
      <c r="B734">
        <v>67</v>
      </c>
      <c r="C734">
        <v>33</v>
      </c>
      <c r="D734">
        <f t="shared" si="33"/>
        <v>2.0303030303030303</v>
      </c>
      <c r="E734">
        <f>ROUND(MIN(5,MAX(0,D734))/5*PARAMS_MODELO!$B$32,2)</f>
        <v>16.239999999999998</v>
      </c>
      <c r="F734">
        <v>1</v>
      </c>
      <c r="G734">
        <f>MAX(0,PARAMS_MODELO!$B$33-VALUE(TRIM(F734))*3)</f>
        <v>27</v>
      </c>
      <c r="H734">
        <v>3</v>
      </c>
      <c r="I734">
        <f>ROUND(MIN(4,MAX(0,H734))/4*PARAMS_MODELO!$B$34,2)</f>
        <v>15</v>
      </c>
      <c r="J734">
        <v>0</v>
      </c>
      <c r="K734">
        <f>IF(J734=0,0,PARAMS_MODELO!$B$35)</f>
        <v>0</v>
      </c>
      <c r="L734">
        <f t="shared" si="34"/>
        <v>58.239999999999995</v>
      </c>
      <c r="M734" t="str">
        <f t="shared" si="35"/>
        <v>Regular</v>
      </c>
      <c r="N734">
        <f>IF(M734=PARAMS_MODELO!$A$36,PARAMS_MODELO!$B$36,IF(M734=PARAMS_MODELO!$A$37,PARAMS_MODELO!$B$37,IF(M734=PARAMS_MODELO!$A$38,PARAMS_MODELO!$B$38,IF(M734=PARAMS_MODELO!$A$39,PARAMS_MODELO!$B$39,IF(M734=PARAMS_MODELO!$A$40,PARAMS_MODELO!$B$40)))))</f>
        <v>1</v>
      </c>
    </row>
    <row r="735" spans="1:14" x14ac:dyDescent="0.3">
      <c r="A735">
        <v>51033302</v>
      </c>
      <c r="B735">
        <v>27</v>
      </c>
      <c r="C735">
        <v>49</v>
      </c>
      <c r="D735">
        <f t="shared" si="33"/>
        <v>0.55102040816326525</v>
      </c>
      <c r="E735">
        <f>ROUND(MIN(5,MAX(0,D735))/5*PARAMS_MODELO!$B$32,2)</f>
        <v>4.41</v>
      </c>
      <c r="F735">
        <v>2</v>
      </c>
      <c r="G735">
        <f>MAX(0,PARAMS_MODELO!$B$33-VALUE(TRIM(F735))*3)</f>
        <v>24</v>
      </c>
      <c r="H735">
        <v>0</v>
      </c>
      <c r="I735">
        <f>ROUND(MIN(4,MAX(0,H735))/4*PARAMS_MODELO!$B$34,2)</f>
        <v>0</v>
      </c>
      <c r="J735">
        <v>1</v>
      </c>
      <c r="K735">
        <f>IF(J735=0,0,PARAMS_MODELO!$B$35)</f>
        <v>10</v>
      </c>
      <c r="L735">
        <f t="shared" si="34"/>
        <v>38.409999999999997</v>
      </c>
      <c r="M735" t="str">
        <f t="shared" si="35"/>
        <v>Malo</v>
      </c>
      <c r="N735">
        <f>IF(M735=PARAMS_MODELO!$A$36,PARAMS_MODELO!$B$36,IF(M735=PARAMS_MODELO!$A$37,PARAMS_MODELO!$B$37,IF(M735=PARAMS_MODELO!$A$38,PARAMS_MODELO!$B$38,IF(M735=PARAMS_MODELO!$A$39,PARAMS_MODELO!$B$39,IF(M735=PARAMS_MODELO!$A$40,PARAMS_MODELO!$B$40)))))</f>
        <v>0.7</v>
      </c>
    </row>
    <row r="736" spans="1:14" x14ac:dyDescent="0.3">
      <c r="A736">
        <v>51054806</v>
      </c>
      <c r="B736">
        <v>32</v>
      </c>
      <c r="C736">
        <v>67</v>
      </c>
      <c r="D736">
        <f t="shared" si="33"/>
        <v>0.47761194029850745</v>
      </c>
      <c r="E736">
        <f>ROUND(MIN(5,MAX(0,D736))/5*PARAMS_MODELO!$B$32,2)</f>
        <v>3.82</v>
      </c>
      <c r="F736">
        <v>0</v>
      </c>
      <c r="G736">
        <f>MAX(0,PARAMS_MODELO!$B$33-VALUE(TRIM(F736))*3)</f>
        <v>30</v>
      </c>
      <c r="H736">
        <v>4</v>
      </c>
      <c r="I736">
        <f>ROUND(MIN(4,MAX(0,H736))/4*PARAMS_MODELO!$B$34,2)</f>
        <v>20</v>
      </c>
      <c r="J736">
        <v>1</v>
      </c>
      <c r="K736">
        <f>IF(J736=0,0,PARAMS_MODELO!$B$35)</f>
        <v>10</v>
      </c>
      <c r="L736">
        <f t="shared" si="34"/>
        <v>63.82</v>
      </c>
      <c r="M736" t="str">
        <f t="shared" si="35"/>
        <v>Bueno</v>
      </c>
      <c r="N736">
        <f>IF(M736=PARAMS_MODELO!$A$36,PARAMS_MODELO!$B$36,IF(M736=PARAMS_MODELO!$A$37,PARAMS_MODELO!$B$37,IF(M736=PARAMS_MODELO!$A$38,PARAMS_MODELO!$B$38,IF(M736=PARAMS_MODELO!$A$39,PARAMS_MODELO!$B$39,IF(M736=PARAMS_MODELO!$A$40,PARAMS_MODELO!$B$40)))))</f>
        <v>1.1000000000000001</v>
      </c>
    </row>
    <row r="737" spans="1:14" x14ac:dyDescent="0.3">
      <c r="A737">
        <v>51030567</v>
      </c>
      <c r="B737">
        <v>7</v>
      </c>
      <c r="C737">
        <v>13</v>
      </c>
      <c r="D737">
        <f t="shared" si="33"/>
        <v>0.53846153846153844</v>
      </c>
      <c r="E737">
        <f>ROUND(MIN(5,MAX(0,D737))/5*PARAMS_MODELO!$B$32,2)</f>
        <v>4.3099999999999996</v>
      </c>
      <c r="F737">
        <v>2</v>
      </c>
      <c r="G737">
        <f>MAX(0,PARAMS_MODELO!$B$33-VALUE(TRIM(F737))*3)</f>
        <v>24</v>
      </c>
      <c r="H737">
        <v>1</v>
      </c>
      <c r="I737">
        <f>ROUND(MIN(4,MAX(0,H737))/4*PARAMS_MODELO!$B$34,2)</f>
        <v>5</v>
      </c>
      <c r="J737">
        <v>1</v>
      </c>
      <c r="K737">
        <f>IF(J737=0,0,PARAMS_MODELO!$B$35)</f>
        <v>10</v>
      </c>
      <c r="L737">
        <f t="shared" si="34"/>
        <v>43.31</v>
      </c>
      <c r="M737" t="str">
        <f t="shared" si="35"/>
        <v>Regular</v>
      </c>
      <c r="N737">
        <f>IF(M737=PARAMS_MODELO!$A$36,PARAMS_MODELO!$B$36,IF(M737=PARAMS_MODELO!$A$37,PARAMS_MODELO!$B$37,IF(M737=PARAMS_MODELO!$A$38,PARAMS_MODELO!$B$38,IF(M737=PARAMS_MODELO!$A$39,PARAMS_MODELO!$B$39,IF(M737=PARAMS_MODELO!$A$40,PARAMS_MODELO!$B$40)))))</f>
        <v>1</v>
      </c>
    </row>
    <row r="738" spans="1:14" x14ac:dyDescent="0.3">
      <c r="A738">
        <v>51014375</v>
      </c>
      <c r="B738">
        <v>25</v>
      </c>
      <c r="C738">
        <v>2</v>
      </c>
      <c r="D738">
        <f t="shared" si="33"/>
        <v>5</v>
      </c>
      <c r="E738">
        <f>ROUND(MIN(5,MAX(0,D738))/5*PARAMS_MODELO!$B$32,2)</f>
        <v>40</v>
      </c>
      <c r="F738">
        <v>1</v>
      </c>
      <c r="G738">
        <f>MAX(0,PARAMS_MODELO!$B$33-VALUE(TRIM(F738))*3)</f>
        <v>27</v>
      </c>
      <c r="H738">
        <v>2</v>
      </c>
      <c r="I738">
        <f>ROUND(MIN(4,MAX(0,H738))/4*PARAMS_MODELO!$B$34,2)</f>
        <v>10</v>
      </c>
      <c r="J738">
        <v>0</v>
      </c>
      <c r="K738">
        <f>IF(J738=0,0,PARAMS_MODELO!$B$35)</f>
        <v>0</v>
      </c>
      <c r="L738">
        <f t="shared" si="34"/>
        <v>77</v>
      </c>
      <c r="M738" t="str">
        <f t="shared" si="35"/>
        <v>Muy Bueno</v>
      </c>
      <c r="N738">
        <f>IF(M738=PARAMS_MODELO!$A$36,PARAMS_MODELO!$B$36,IF(M738=PARAMS_MODELO!$A$37,PARAMS_MODELO!$B$37,IF(M738=PARAMS_MODELO!$A$38,PARAMS_MODELO!$B$38,IF(M738=PARAMS_MODELO!$A$39,PARAMS_MODELO!$B$39,IF(M738=PARAMS_MODELO!$A$40,PARAMS_MODELO!$B$40)))))</f>
        <v>1.1499999999999999</v>
      </c>
    </row>
    <row r="739" spans="1:14" x14ac:dyDescent="0.3">
      <c r="A739">
        <v>51056337</v>
      </c>
      <c r="B739">
        <v>85</v>
      </c>
      <c r="C739">
        <v>39</v>
      </c>
      <c r="D739">
        <f t="shared" si="33"/>
        <v>2.1794871794871793</v>
      </c>
      <c r="E739">
        <f>ROUND(MIN(5,MAX(0,D739))/5*PARAMS_MODELO!$B$32,2)</f>
        <v>17.440000000000001</v>
      </c>
      <c r="F739">
        <v>5</v>
      </c>
      <c r="G739">
        <f>MAX(0,PARAMS_MODELO!$B$33-VALUE(TRIM(F739))*3)</f>
        <v>15</v>
      </c>
      <c r="H739">
        <v>4</v>
      </c>
      <c r="I739">
        <f>ROUND(MIN(4,MAX(0,H739))/4*PARAMS_MODELO!$B$34,2)</f>
        <v>20</v>
      </c>
      <c r="J739">
        <v>0</v>
      </c>
      <c r="K739">
        <f>IF(J739=0,0,PARAMS_MODELO!$B$35)</f>
        <v>0</v>
      </c>
      <c r="L739">
        <f t="shared" si="34"/>
        <v>52.44</v>
      </c>
      <c r="M739" t="str">
        <f t="shared" si="35"/>
        <v>Regular</v>
      </c>
      <c r="N739">
        <f>IF(M739=PARAMS_MODELO!$A$36,PARAMS_MODELO!$B$36,IF(M739=PARAMS_MODELO!$A$37,PARAMS_MODELO!$B$37,IF(M739=PARAMS_MODELO!$A$38,PARAMS_MODELO!$B$38,IF(M739=PARAMS_MODELO!$A$39,PARAMS_MODELO!$B$39,IF(M739=PARAMS_MODELO!$A$40,PARAMS_MODELO!$B$40)))))</f>
        <v>1</v>
      </c>
    </row>
    <row r="740" spans="1:14" x14ac:dyDescent="0.3">
      <c r="A740">
        <v>51054938</v>
      </c>
      <c r="B740">
        <v>1</v>
      </c>
      <c r="C740">
        <v>60</v>
      </c>
      <c r="D740">
        <f t="shared" si="33"/>
        <v>1.6666666666666666E-2</v>
      </c>
      <c r="E740">
        <f>ROUND(MIN(5,MAX(0,D740))/5*PARAMS_MODELO!$B$32,2)</f>
        <v>0.13</v>
      </c>
      <c r="F740">
        <v>0</v>
      </c>
      <c r="G740">
        <f>MAX(0,PARAMS_MODELO!$B$33-VALUE(TRIM(F740))*3)</f>
        <v>30</v>
      </c>
      <c r="H740">
        <v>4</v>
      </c>
      <c r="I740">
        <f>ROUND(MIN(4,MAX(0,H740))/4*PARAMS_MODELO!$B$34,2)</f>
        <v>20</v>
      </c>
      <c r="J740">
        <v>1</v>
      </c>
      <c r="K740">
        <f>IF(J740=0,0,PARAMS_MODELO!$B$35)</f>
        <v>10</v>
      </c>
      <c r="L740">
        <f t="shared" si="34"/>
        <v>60.129999999999995</v>
      </c>
      <c r="M740" t="str">
        <f t="shared" si="35"/>
        <v>Bueno</v>
      </c>
      <c r="N740">
        <f>IF(M740=PARAMS_MODELO!$A$36,PARAMS_MODELO!$B$36,IF(M740=PARAMS_MODELO!$A$37,PARAMS_MODELO!$B$37,IF(M740=PARAMS_MODELO!$A$38,PARAMS_MODELO!$B$38,IF(M740=PARAMS_MODELO!$A$39,PARAMS_MODELO!$B$39,IF(M740=PARAMS_MODELO!$A$40,PARAMS_MODELO!$B$40)))))</f>
        <v>1.1000000000000001</v>
      </c>
    </row>
    <row r="741" spans="1:14" x14ac:dyDescent="0.3">
      <c r="A741">
        <v>51024834</v>
      </c>
      <c r="B741">
        <v>11</v>
      </c>
      <c r="C741">
        <v>26</v>
      </c>
      <c r="D741">
        <f t="shared" si="33"/>
        <v>0.42307692307692307</v>
      </c>
      <c r="E741">
        <f>ROUND(MIN(5,MAX(0,D741))/5*PARAMS_MODELO!$B$32,2)</f>
        <v>3.38</v>
      </c>
      <c r="F741">
        <v>2</v>
      </c>
      <c r="G741">
        <f>MAX(0,PARAMS_MODELO!$B$33-VALUE(TRIM(F741))*3)</f>
        <v>24</v>
      </c>
      <c r="H741">
        <v>0</v>
      </c>
      <c r="I741">
        <f>ROUND(MIN(4,MAX(0,H741))/4*PARAMS_MODELO!$B$34,2)</f>
        <v>0</v>
      </c>
      <c r="J741">
        <v>0</v>
      </c>
      <c r="K741">
        <f>IF(J741=0,0,PARAMS_MODELO!$B$35)</f>
        <v>0</v>
      </c>
      <c r="L741">
        <f t="shared" si="34"/>
        <v>27.38</v>
      </c>
      <c r="M741" t="str">
        <f t="shared" si="35"/>
        <v>Malo</v>
      </c>
      <c r="N741">
        <f>IF(M741=PARAMS_MODELO!$A$36,PARAMS_MODELO!$B$36,IF(M741=PARAMS_MODELO!$A$37,PARAMS_MODELO!$B$37,IF(M741=PARAMS_MODELO!$A$38,PARAMS_MODELO!$B$38,IF(M741=PARAMS_MODELO!$A$39,PARAMS_MODELO!$B$39,IF(M741=PARAMS_MODELO!$A$40,PARAMS_MODELO!$B$40)))))</f>
        <v>0.7</v>
      </c>
    </row>
    <row r="742" spans="1:14" x14ac:dyDescent="0.3">
      <c r="A742">
        <v>51016831</v>
      </c>
      <c r="B742">
        <v>70</v>
      </c>
      <c r="C742">
        <v>51</v>
      </c>
      <c r="D742">
        <f t="shared" si="33"/>
        <v>1.3725490196078431</v>
      </c>
      <c r="E742">
        <f>ROUND(MIN(5,MAX(0,D742))/5*PARAMS_MODELO!$B$32,2)</f>
        <v>10.98</v>
      </c>
      <c r="F742">
        <v>1</v>
      </c>
      <c r="G742">
        <f>MAX(0,PARAMS_MODELO!$B$33-VALUE(TRIM(F742))*3)</f>
        <v>27</v>
      </c>
      <c r="H742">
        <v>0</v>
      </c>
      <c r="I742">
        <f>ROUND(MIN(4,MAX(0,H742))/4*PARAMS_MODELO!$B$34,2)</f>
        <v>0</v>
      </c>
      <c r="J742">
        <v>1</v>
      </c>
      <c r="K742">
        <f>IF(J742=0,0,PARAMS_MODELO!$B$35)</f>
        <v>10</v>
      </c>
      <c r="L742">
        <f t="shared" si="34"/>
        <v>47.980000000000004</v>
      </c>
      <c r="M742" t="str">
        <f t="shared" si="35"/>
        <v>Regular</v>
      </c>
      <c r="N742">
        <f>IF(M742=PARAMS_MODELO!$A$36,PARAMS_MODELO!$B$36,IF(M742=PARAMS_MODELO!$A$37,PARAMS_MODELO!$B$37,IF(M742=PARAMS_MODELO!$A$38,PARAMS_MODELO!$B$38,IF(M742=PARAMS_MODELO!$A$39,PARAMS_MODELO!$B$39,IF(M742=PARAMS_MODELO!$A$40,PARAMS_MODELO!$B$40)))))</f>
        <v>1</v>
      </c>
    </row>
    <row r="743" spans="1:14" x14ac:dyDescent="0.3">
      <c r="A743">
        <v>51023927</v>
      </c>
      <c r="B743">
        <v>93</v>
      </c>
      <c r="C743">
        <v>8</v>
      </c>
      <c r="D743">
        <f t="shared" si="33"/>
        <v>5</v>
      </c>
      <c r="E743">
        <f>ROUND(MIN(5,MAX(0,D743))/5*PARAMS_MODELO!$B$32,2)</f>
        <v>40</v>
      </c>
      <c r="F743">
        <v>2</v>
      </c>
      <c r="G743">
        <f>MAX(0,PARAMS_MODELO!$B$33-VALUE(TRIM(F743))*3)</f>
        <v>24</v>
      </c>
      <c r="H743">
        <v>3</v>
      </c>
      <c r="I743">
        <f>ROUND(MIN(4,MAX(0,H743))/4*PARAMS_MODELO!$B$34,2)</f>
        <v>15</v>
      </c>
      <c r="J743">
        <v>1</v>
      </c>
      <c r="K743">
        <f>IF(J743=0,0,PARAMS_MODELO!$B$35)</f>
        <v>10</v>
      </c>
      <c r="L743">
        <f t="shared" si="34"/>
        <v>89</v>
      </c>
      <c r="M743" t="str">
        <f t="shared" si="35"/>
        <v>Muy Bueno</v>
      </c>
      <c r="N743">
        <f>IF(M743=PARAMS_MODELO!$A$36,PARAMS_MODELO!$B$36,IF(M743=PARAMS_MODELO!$A$37,PARAMS_MODELO!$B$37,IF(M743=PARAMS_MODELO!$A$38,PARAMS_MODELO!$B$38,IF(M743=PARAMS_MODELO!$A$39,PARAMS_MODELO!$B$39,IF(M743=PARAMS_MODELO!$A$40,PARAMS_MODELO!$B$40)))))</f>
        <v>1.1499999999999999</v>
      </c>
    </row>
    <row r="744" spans="1:14" x14ac:dyDescent="0.3">
      <c r="A744">
        <v>51020111</v>
      </c>
      <c r="B744">
        <v>15</v>
      </c>
      <c r="C744">
        <v>30</v>
      </c>
      <c r="D744">
        <f t="shared" si="33"/>
        <v>0.5</v>
      </c>
      <c r="E744">
        <f>ROUND(MIN(5,MAX(0,D744))/5*PARAMS_MODELO!$B$32,2)</f>
        <v>4</v>
      </c>
      <c r="F744">
        <v>3</v>
      </c>
      <c r="G744">
        <f>MAX(0,PARAMS_MODELO!$B$33-VALUE(TRIM(F744))*3)</f>
        <v>21</v>
      </c>
      <c r="H744">
        <v>1</v>
      </c>
      <c r="I744">
        <f>ROUND(MIN(4,MAX(0,H744))/4*PARAMS_MODELO!$B$34,2)</f>
        <v>5</v>
      </c>
      <c r="J744">
        <v>0</v>
      </c>
      <c r="K744">
        <f>IF(J744=0,0,PARAMS_MODELO!$B$35)</f>
        <v>0</v>
      </c>
      <c r="L744">
        <f t="shared" si="34"/>
        <v>30</v>
      </c>
      <c r="M744" t="str">
        <f t="shared" si="35"/>
        <v>Malo</v>
      </c>
      <c r="N744">
        <f>IF(M744=PARAMS_MODELO!$A$36,PARAMS_MODELO!$B$36,IF(M744=PARAMS_MODELO!$A$37,PARAMS_MODELO!$B$37,IF(M744=PARAMS_MODELO!$A$38,PARAMS_MODELO!$B$38,IF(M744=PARAMS_MODELO!$A$39,PARAMS_MODELO!$B$39,IF(M744=PARAMS_MODELO!$A$40,PARAMS_MODELO!$B$40)))))</f>
        <v>0.7</v>
      </c>
    </row>
    <row r="745" spans="1:14" x14ac:dyDescent="0.3">
      <c r="A745">
        <v>51055250</v>
      </c>
      <c r="B745">
        <v>14</v>
      </c>
      <c r="C745">
        <v>55</v>
      </c>
      <c r="D745">
        <f t="shared" si="33"/>
        <v>0.25454545454545452</v>
      </c>
      <c r="E745">
        <f>ROUND(MIN(5,MAX(0,D745))/5*PARAMS_MODELO!$B$32,2)</f>
        <v>2.04</v>
      </c>
      <c r="F745">
        <v>4</v>
      </c>
      <c r="G745">
        <f>MAX(0,PARAMS_MODELO!$B$33-VALUE(TRIM(F745))*3)</f>
        <v>18</v>
      </c>
      <c r="H745">
        <v>0</v>
      </c>
      <c r="I745">
        <f>ROUND(MIN(4,MAX(0,H745))/4*PARAMS_MODELO!$B$34,2)</f>
        <v>0</v>
      </c>
      <c r="J745">
        <v>0</v>
      </c>
      <c r="K745">
        <f>IF(J745=0,0,PARAMS_MODELO!$B$35)</f>
        <v>0</v>
      </c>
      <c r="L745">
        <f t="shared" si="34"/>
        <v>20.04</v>
      </c>
      <c r="M745" t="str">
        <f t="shared" si="35"/>
        <v>Malo</v>
      </c>
      <c r="N745">
        <f>IF(M745=PARAMS_MODELO!$A$36,PARAMS_MODELO!$B$36,IF(M745=PARAMS_MODELO!$A$37,PARAMS_MODELO!$B$37,IF(M745=PARAMS_MODELO!$A$38,PARAMS_MODELO!$B$38,IF(M745=PARAMS_MODELO!$A$39,PARAMS_MODELO!$B$39,IF(M745=PARAMS_MODELO!$A$40,PARAMS_MODELO!$B$40)))))</f>
        <v>0.7</v>
      </c>
    </row>
    <row r="746" spans="1:14" x14ac:dyDescent="0.3">
      <c r="A746">
        <v>51018036</v>
      </c>
      <c r="B746">
        <v>39</v>
      </c>
      <c r="C746">
        <v>10</v>
      </c>
      <c r="D746">
        <f t="shared" si="33"/>
        <v>3.9</v>
      </c>
      <c r="E746">
        <f>ROUND(MIN(5,MAX(0,D746))/5*PARAMS_MODELO!$B$32,2)</f>
        <v>31.2</v>
      </c>
      <c r="F746">
        <v>3</v>
      </c>
      <c r="G746">
        <f>MAX(0,PARAMS_MODELO!$B$33-VALUE(TRIM(F746))*3)</f>
        <v>21</v>
      </c>
      <c r="H746">
        <v>3</v>
      </c>
      <c r="I746">
        <f>ROUND(MIN(4,MAX(0,H746))/4*PARAMS_MODELO!$B$34,2)</f>
        <v>15</v>
      </c>
      <c r="J746">
        <v>1</v>
      </c>
      <c r="K746">
        <f>IF(J746=0,0,PARAMS_MODELO!$B$35)</f>
        <v>10</v>
      </c>
      <c r="L746">
        <f t="shared" si="34"/>
        <v>77.2</v>
      </c>
      <c r="M746" t="str">
        <f t="shared" si="35"/>
        <v>Muy Bueno</v>
      </c>
      <c r="N746">
        <f>IF(M746=PARAMS_MODELO!$A$36,PARAMS_MODELO!$B$36,IF(M746=PARAMS_MODELO!$A$37,PARAMS_MODELO!$B$37,IF(M746=PARAMS_MODELO!$A$38,PARAMS_MODELO!$B$38,IF(M746=PARAMS_MODELO!$A$39,PARAMS_MODELO!$B$39,IF(M746=PARAMS_MODELO!$A$40,PARAMS_MODELO!$B$40)))))</f>
        <v>1.1499999999999999</v>
      </c>
    </row>
    <row r="747" spans="1:14" x14ac:dyDescent="0.3">
      <c r="A747">
        <v>51009797</v>
      </c>
      <c r="B747">
        <v>90</v>
      </c>
      <c r="C747">
        <v>39</v>
      </c>
      <c r="D747">
        <f t="shared" si="33"/>
        <v>2.3076923076923075</v>
      </c>
      <c r="E747">
        <f>ROUND(MIN(5,MAX(0,D747))/5*PARAMS_MODELO!$B$32,2)</f>
        <v>18.46</v>
      </c>
      <c r="F747">
        <v>1</v>
      </c>
      <c r="G747">
        <f>MAX(0,PARAMS_MODELO!$B$33-VALUE(TRIM(F747))*3)</f>
        <v>27</v>
      </c>
      <c r="H747">
        <v>3</v>
      </c>
      <c r="I747">
        <f>ROUND(MIN(4,MAX(0,H747))/4*PARAMS_MODELO!$B$34,2)</f>
        <v>15</v>
      </c>
      <c r="J747">
        <v>1</v>
      </c>
      <c r="K747">
        <f>IF(J747=0,0,PARAMS_MODELO!$B$35)</f>
        <v>10</v>
      </c>
      <c r="L747">
        <f t="shared" si="34"/>
        <v>70.460000000000008</v>
      </c>
      <c r="M747" t="str">
        <f t="shared" si="35"/>
        <v>Bueno</v>
      </c>
      <c r="N747">
        <f>IF(M747=PARAMS_MODELO!$A$36,PARAMS_MODELO!$B$36,IF(M747=PARAMS_MODELO!$A$37,PARAMS_MODELO!$B$37,IF(M747=PARAMS_MODELO!$A$38,PARAMS_MODELO!$B$38,IF(M747=PARAMS_MODELO!$A$39,PARAMS_MODELO!$B$39,IF(M747=PARAMS_MODELO!$A$40,PARAMS_MODELO!$B$40)))))</f>
        <v>1.1000000000000001</v>
      </c>
    </row>
    <row r="748" spans="1:14" x14ac:dyDescent="0.3">
      <c r="A748">
        <v>51041917</v>
      </c>
      <c r="B748">
        <v>87</v>
      </c>
      <c r="C748">
        <v>54</v>
      </c>
      <c r="D748">
        <f t="shared" si="33"/>
        <v>1.6111111111111112</v>
      </c>
      <c r="E748">
        <f>ROUND(MIN(5,MAX(0,D748))/5*PARAMS_MODELO!$B$32,2)</f>
        <v>12.89</v>
      </c>
      <c r="F748">
        <v>5</v>
      </c>
      <c r="G748">
        <f>MAX(0,PARAMS_MODELO!$B$33-VALUE(TRIM(F748))*3)</f>
        <v>15</v>
      </c>
      <c r="H748">
        <v>0</v>
      </c>
      <c r="I748">
        <f>ROUND(MIN(4,MAX(0,H748))/4*PARAMS_MODELO!$B$34,2)</f>
        <v>0</v>
      </c>
      <c r="J748">
        <v>1</v>
      </c>
      <c r="K748">
        <f>IF(J748=0,0,PARAMS_MODELO!$B$35)</f>
        <v>10</v>
      </c>
      <c r="L748">
        <f t="shared" si="34"/>
        <v>37.89</v>
      </c>
      <c r="M748" t="str">
        <f t="shared" si="35"/>
        <v>Malo</v>
      </c>
      <c r="N748">
        <f>IF(M748=PARAMS_MODELO!$A$36,PARAMS_MODELO!$B$36,IF(M748=PARAMS_MODELO!$A$37,PARAMS_MODELO!$B$37,IF(M748=PARAMS_MODELO!$A$38,PARAMS_MODELO!$B$38,IF(M748=PARAMS_MODELO!$A$39,PARAMS_MODELO!$B$39,IF(M748=PARAMS_MODELO!$A$40,PARAMS_MODELO!$B$40)))))</f>
        <v>0.7</v>
      </c>
    </row>
    <row r="749" spans="1:14" x14ac:dyDescent="0.3">
      <c r="A749">
        <v>51017846</v>
      </c>
      <c r="B749">
        <v>62</v>
      </c>
      <c r="C749">
        <v>70</v>
      </c>
      <c r="D749">
        <f t="shared" si="33"/>
        <v>0.88571428571428568</v>
      </c>
      <c r="E749">
        <f>ROUND(MIN(5,MAX(0,D749))/5*PARAMS_MODELO!$B$32,2)</f>
        <v>7.09</v>
      </c>
      <c r="F749">
        <v>3</v>
      </c>
      <c r="G749">
        <f>MAX(0,PARAMS_MODELO!$B$33-VALUE(TRIM(F749))*3)</f>
        <v>21</v>
      </c>
      <c r="H749">
        <v>0</v>
      </c>
      <c r="I749">
        <f>ROUND(MIN(4,MAX(0,H749))/4*PARAMS_MODELO!$B$34,2)</f>
        <v>0</v>
      </c>
      <c r="J749">
        <v>1</v>
      </c>
      <c r="K749">
        <f>IF(J749=0,0,PARAMS_MODELO!$B$35)</f>
        <v>10</v>
      </c>
      <c r="L749">
        <f t="shared" si="34"/>
        <v>38.090000000000003</v>
      </c>
      <c r="M749" t="str">
        <f t="shared" si="35"/>
        <v>Malo</v>
      </c>
      <c r="N749">
        <f>IF(M749=PARAMS_MODELO!$A$36,PARAMS_MODELO!$B$36,IF(M749=PARAMS_MODELO!$A$37,PARAMS_MODELO!$B$37,IF(M749=PARAMS_MODELO!$A$38,PARAMS_MODELO!$B$38,IF(M749=PARAMS_MODELO!$A$39,PARAMS_MODELO!$B$39,IF(M749=PARAMS_MODELO!$A$40,PARAMS_MODELO!$B$40)))))</f>
        <v>0.7</v>
      </c>
    </row>
    <row r="750" spans="1:14" x14ac:dyDescent="0.3">
      <c r="A750">
        <v>51015851</v>
      </c>
      <c r="B750">
        <v>69</v>
      </c>
      <c r="C750">
        <v>4</v>
      </c>
      <c r="D750">
        <f t="shared" si="33"/>
        <v>5</v>
      </c>
      <c r="E750">
        <f>ROUND(MIN(5,MAX(0,D750))/5*PARAMS_MODELO!$B$32,2)</f>
        <v>40</v>
      </c>
      <c r="F750">
        <v>3</v>
      </c>
      <c r="G750">
        <f>MAX(0,PARAMS_MODELO!$B$33-VALUE(TRIM(F750))*3)</f>
        <v>21</v>
      </c>
      <c r="H750">
        <v>1</v>
      </c>
      <c r="I750">
        <f>ROUND(MIN(4,MAX(0,H750))/4*PARAMS_MODELO!$B$34,2)</f>
        <v>5</v>
      </c>
      <c r="J750">
        <v>0</v>
      </c>
      <c r="K750">
        <f>IF(J750=0,0,PARAMS_MODELO!$B$35)</f>
        <v>0</v>
      </c>
      <c r="L750">
        <f t="shared" si="34"/>
        <v>66</v>
      </c>
      <c r="M750" t="str">
        <f t="shared" si="35"/>
        <v>Bueno</v>
      </c>
      <c r="N750">
        <f>IF(M750=PARAMS_MODELO!$A$36,PARAMS_MODELO!$B$36,IF(M750=PARAMS_MODELO!$A$37,PARAMS_MODELO!$B$37,IF(M750=PARAMS_MODELO!$A$38,PARAMS_MODELO!$B$38,IF(M750=PARAMS_MODELO!$A$39,PARAMS_MODELO!$B$39,IF(M750=PARAMS_MODELO!$A$40,PARAMS_MODELO!$B$40)))))</f>
        <v>1.1000000000000001</v>
      </c>
    </row>
    <row r="751" spans="1:14" x14ac:dyDescent="0.3">
      <c r="A751">
        <v>51036603</v>
      </c>
      <c r="B751">
        <v>45</v>
      </c>
      <c r="C751">
        <v>55</v>
      </c>
      <c r="D751">
        <f t="shared" si="33"/>
        <v>0.81818181818181823</v>
      </c>
      <c r="E751">
        <f>ROUND(MIN(5,MAX(0,D751))/5*PARAMS_MODELO!$B$32,2)</f>
        <v>6.55</v>
      </c>
      <c r="F751">
        <v>4</v>
      </c>
      <c r="G751">
        <f>MAX(0,PARAMS_MODELO!$B$33-VALUE(TRIM(F751))*3)</f>
        <v>18</v>
      </c>
      <c r="H751">
        <v>2</v>
      </c>
      <c r="I751">
        <f>ROUND(MIN(4,MAX(0,H751))/4*PARAMS_MODELO!$B$34,2)</f>
        <v>10</v>
      </c>
      <c r="J751">
        <v>0</v>
      </c>
      <c r="K751">
        <f>IF(J751=0,0,PARAMS_MODELO!$B$35)</f>
        <v>0</v>
      </c>
      <c r="L751">
        <f t="shared" si="34"/>
        <v>34.549999999999997</v>
      </c>
      <c r="M751" t="str">
        <f t="shared" si="35"/>
        <v>Malo</v>
      </c>
      <c r="N751">
        <f>IF(M751=PARAMS_MODELO!$A$36,PARAMS_MODELO!$B$36,IF(M751=PARAMS_MODELO!$A$37,PARAMS_MODELO!$B$37,IF(M751=PARAMS_MODELO!$A$38,PARAMS_MODELO!$B$38,IF(M751=PARAMS_MODELO!$A$39,PARAMS_MODELO!$B$39,IF(M751=PARAMS_MODELO!$A$40,PARAMS_MODELO!$B$40)))))</f>
        <v>0.7</v>
      </c>
    </row>
    <row r="752" spans="1:14" x14ac:dyDescent="0.3">
      <c r="A752">
        <v>51020910</v>
      </c>
      <c r="B752">
        <v>70</v>
      </c>
      <c r="C752">
        <v>43</v>
      </c>
      <c r="D752">
        <f t="shared" si="33"/>
        <v>1.6279069767441861</v>
      </c>
      <c r="E752">
        <f>ROUND(MIN(5,MAX(0,D752))/5*PARAMS_MODELO!$B$32,2)</f>
        <v>13.02</v>
      </c>
      <c r="F752">
        <v>5</v>
      </c>
      <c r="G752">
        <f>MAX(0,PARAMS_MODELO!$B$33-VALUE(TRIM(F752))*3)</f>
        <v>15</v>
      </c>
      <c r="H752">
        <v>4</v>
      </c>
      <c r="I752">
        <f>ROUND(MIN(4,MAX(0,H752))/4*PARAMS_MODELO!$B$34,2)</f>
        <v>20</v>
      </c>
      <c r="J752">
        <v>0</v>
      </c>
      <c r="K752">
        <f>IF(J752=0,0,PARAMS_MODELO!$B$35)</f>
        <v>0</v>
      </c>
      <c r="L752">
        <f t="shared" si="34"/>
        <v>48.019999999999996</v>
      </c>
      <c r="M752" t="str">
        <f t="shared" si="35"/>
        <v>Regular</v>
      </c>
      <c r="N752">
        <f>IF(M752=PARAMS_MODELO!$A$36,PARAMS_MODELO!$B$36,IF(M752=PARAMS_MODELO!$A$37,PARAMS_MODELO!$B$37,IF(M752=PARAMS_MODELO!$A$38,PARAMS_MODELO!$B$38,IF(M752=PARAMS_MODELO!$A$39,PARAMS_MODELO!$B$39,IF(M752=PARAMS_MODELO!$A$40,PARAMS_MODELO!$B$40)))))</f>
        <v>1</v>
      </c>
    </row>
    <row r="753" spans="1:14" x14ac:dyDescent="0.3">
      <c r="A753">
        <v>51031326</v>
      </c>
      <c r="B753">
        <v>26</v>
      </c>
      <c r="C753">
        <v>66</v>
      </c>
      <c r="D753">
        <f t="shared" si="33"/>
        <v>0.39393939393939392</v>
      </c>
      <c r="E753">
        <f>ROUND(MIN(5,MAX(0,D753))/5*PARAMS_MODELO!$B$32,2)</f>
        <v>3.15</v>
      </c>
      <c r="F753">
        <v>4</v>
      </c>
      <c r="G753">
        <f>MAX(0,PARAMS_MODELO!$B$33-VALUE(TRIM(F753))*3)</f>
        <v>18</v>
      </c>
      <c r="H753">
        <v>0</v>
      </c>
      <c r="I753">
        <f>ROUND(MIN(4,MAX(0,H753))/4*PARAMS_MODELO!$B$34,2)</f>
        <v>0</v>
      </c>
      <c r="J753">
        <v>1</v>
      </c>
      <c r="K753">
        <f>IF(J753=0,0,PARAMS_MODELO!$B$35)</f>
        <v>10</v>
      </c>
      <c r="L753">
        <f t="shared" si="34"/>
        <v>31.15</v>
      </c>
      <c r="M753" t="str">
        <f t="shared" si="35"/>
        <v>Malo</v>
      </c>
      <c r="N753">
        <f>IF(M753=PARAMS_MODELO!$A$36,PARAMS_MODELO!$B$36,IF(M753=PARAMS_MODELO!$A$37,PARAMS_MODELO!$B$37,IF(M753=PARAMS_MODELO!$A$38,PARAMS_MODELO!$B$38,IF(M753=PARAMS_MODELO!$A$39,PARAMS_MODELO!$B$39,IF(M753=PARAMS_MODELO!$A$40,PARAMS_MODELO!$B$40)))))</f>
        <v>0.7</v>
      </c>
    </row>
    <row r="754" spans="1:14" x14ac:dyDescent="0.3">
      <c r="A754">
        <v>51033604</v>
      </c>
      <c r="B754">
        <v>39</v>
      </c>
      <c r="C754">
        <v>4</v>
      </c>
      <c r="D754">
        <f t="shared" si="33"/>
        <v>5</v>
      </c>
      <c r="E754">
        <f>ROUND(MIN(5,MAX(0,D754))/5*PARAMS_MODELO!$B$32,2)</f>
        <v>40</v>
      </c>
      <c r="F754">
        <v>5</v>
      </c>
      <c r="G754">
        <f>MAX(0,PARAMS_MODELO!$B$33-VALUE(TRIM(F754))*3)</f>
        <v>15</v>
      </c>
      <c r="H754">
        <v>3</v>
      </c>
      <c r="I754">
        <f>ROUND(MIN(4,MAX(0,H754))/4*PARAMS_MODELO!$B$34,2)</f>
        <v>15</v>
      </c>
      <c r="J754">
        <v>1</v>
      </c>
      <c r="K754">
        <f>IF(J754=0,0,PARAMS_MODELO!$B$35)</f>
        <v>10</v>
      </c>
      <c r="L754">
        <f t="shared" si="34"/>
        <v>80</v>
      </c>
      <c r="M754" t="str">
        <f t="shared" si="35"/>
        <v>Muy Bueno</v>
      </c>
      <c r="N754">
        <f>IF(M754=PARAMS_MODELO!$A$36,PARAMS_MODELO!$B$36,IF(M754=PARAMS_MODELO!$A$37,PARAMS_MODELO!$B$37,IF(M754=PARAMS_MODELO!$A$38,PARAMS_MODELO!$B$38,IF(M754=PARAMS_MODELO!$A$39,PARAMS_MODELO!$B$39,IF(M754=PARAMS_MODELO!$A$40,PARAMS_MODELO!$B$40)))))</f>
        <v>1.1499999999999999</v>
      </c>
    </row>
    <row r="755" spans="1:14" x14ac:dyDescent="0.3">
      <c r="A755">
        <v>51026217</v>
      </c>
      <c r="B755">
        <v>27</v>
      </c>
      <c r="C755">
        <v>5</v>
      </c>
      <c r="D755">
        <f t="shared" si="33"/>
        <v>5</v>
      </c>
      <c r="E755">
        <f>ROUND(MIN(5,MAX(0,D755))/5*PARAMS_MODELO!$B$32,2)</f>
        <v>40</v>
      </c>
      <c r="F755">
        <v>2</v>
      </c>
      <c r="G755">
        <f>MAX(0,PARAMS_MODELO!$B$33-VALUE(TRIM(F755))*3)</f>
        <v>24</v>
      </c>
      <c r="H755">
        <v>1</v>
      </c>
      <c r="I755">
        <f>ROUND(MIN(4,MAX(0,H755))/4*PARAMS_MODELO!$B$34,2)</f>
        <v>5</v>
      </c>
      <c r="J755">
        <v>0</v>
      </c>
      <c r="K755">
        <f>IF(J755=0,0,PARAMS_MODELO!$B$35)</f>
        <v>0</v>
      </c>
      <c r="L755">
        <f t="shared" si="34"/>
        <v>69</v>
      </c>
      <c r="M755" t="str">
        <f t="shared" si="35"/>
        <v>Bueno</v>
      </c>
      <c r="N755">
        <f>IF(M755=PARAMS_MODELO!$A$36,PARAMS_MODELO!$B$36,IF(M755=PARAMS_MODELO!$A$37,PARAMS_MODELO!$B$37,IF(M755=PARAMS_MODELO!$A$38,PARAMS_MODELO!$B$38,IF(M755=PARAMS_MODELO!$A$39,PARAMS_MODELO!$B$39,IF(M755=PARAMS_MODELO!$A$40,PARAMS_MODELO!$B$40)))))</f>
        <v>1.1000000000000001</v>
      </c>
    </row>
    <row r="756" spans="1:14" x14ac:dyDescent="0.3">
      <c r="A756">
        <v>51039165</v>
      </c>
      <c r="B756">
        <v>23</v>
      </c>
      <c r="C756">
        <v>19</v>
      </c>
      <c r="D756">
        <f t="shared" si="33"/>
        <v>1.2105263157894737</v>
      </c>
      <c r="E756">
        <f>ROUND(MIN(5,MAX(0,D756))/5*PARAMS_MODELO!$B$32,2)</f>
        <v>9.68</v>
      </c>
      <c r="F756">
        <v>5</v>
      </c>
      <c r="G756">
        <f>MAX(0,PARAMS_MODELO!$B$33-VALUE(TRIM(F756))*3)</f>
        <v>15</v>
      </c>
      <c r="H756">
        <v>1</v>
      </c>
      <c r="I756">
        <f>ROUND(MIN(4,MAX(0,H756))/4*PARAMS_MODELO!$B$34,2)</f>
        <v>5</v>
      </c>
      <c r="J756">
        <v>0</v>
      </c>
      <c r="K756">
        <f>IF(J756=0,0,PARAMS_MODELO!$B$35)</f>
        <v>0</v>
      </c>
      <c r="L756">
        <f t="shared" si="34"/>
        <v>29.68</v>
      </c>
      <c r="M756" t="str">
        <f t="shared" si="35"/>
        <v>Malo</v>
      </c>
      <c r="N756">
        <f>IF(M756=PARAMS_MODELO!$A$36,PARAMS_MODELO!$B$36,IF(M756=PARAMS_MODELO!$A$37,PARAMS_MODELO!$B$37,IF(M756=PARAMS_MODELO!$A$38,PARAMS_MODELO!$B$38,IF(M756=PARAMS_MODELO!$A$39,PARAMS_MODELO!$B$39,IF(M756=PARAMS_MODELO!$A$40,PARAMS_MODELO!$B$40)))))</f>
        <v>0.7</v>
      </c>
    </row>
    <row r="757" spans="1:14" x14ac:dyDescent="0.3">
      <c r="A757">
        <v>51006844</v>
      </c>
      <c r="B757">
        <v>17</v>
      </c>
      <c r="C757">
        <v>55</v>
      </c>
      <c r="D757">
        <f t="shared" si="33"/>
        <v>0.30909090909090908</v>
      </c>
      <c r="E757">
        <f>ROUND(MIN(5,MAX(0,D757))/5*PARAMS_MODELO!$B$32,2)</f>
        <v>2.4700000000000002</v>
      </c>
      <c r="F757">
        <v>3</v>
      </c>
      <c r="G757">
        <f>MAX(0,PARAMS_MODELO!$B$33-VALUE(TRIM(F757))*3)</f>
        <v>21</v>
      </c>
      <c r="H757">
        <v>0</v>
      </c>
      <c r="I757">
        <f>ROUND(MIN(4,MAX(0,H757))/4*PARAMS_MODELO!$B$34,2)</f>
        <v>0</v>
      </c>
      <c r="J757">
        <v>0</v>
      </c>
      <c r="K757">
        <f>IF(J757=0,0,PARAMS_MODELO!$B$35)</f>
        <v>0</v>
      </c>
      <c r="L757">
        <f t="shared" si="34"/>
        <v>23.47</v>
      </c>
      <c r="M757" t="str">
        <f t="shared" si="35"/>
        <v>Malo</v>
      </c>
      <c r="N757">
        <f>IF(M757=PARAMS_MODELO!$A$36,PARAMS_MODELO!$B$36,IF(M757=PARAMS_MODELO!$A$37,PARAMS_MODELO!$B$37,IF(M757=PARAMS_MODELO!$A$38,PARAMS_MODELO!$B$38,IF(M757=PARAMS_MODELO!$A$39,PARAMS_MODELO!$B$39,IF(M757=PARAMS_MODELO!$A$40,PARAMS_MODELO!$B$40)))))</f>
        <v>0.7</v>
      </c>
    </row>
    <row r="758" spans="1:14" x14ac:dyDescent="0.3">
      <c r="A758">
        <v>51020995</v>
      </c>
      <c r="B758">
        <v>24</v>
      </c>
      <c r="C758">
        <v>34</v>
      </c>
      <c r="D758">
        <f t="shared" si="33"/>
        <v>0.70588235294117652</v>
      </c>
      <c r="E758">
        <f>ROUND(MIN(5,MAX(0,D758))/5*PARAMS_MODELO!$B$32,2)</f>
        <v>5.65</v>
      </c>
      <c r="F758">
        <v>5</v>
      </c>
      <c r="G758">
        <f>MAX(0,PARAMS_MODELO!$B$33-VALUE(TRIM(F758))*3)</f>
        <v>15</v>
      </c>
      <c r="H758">
        <v>4</v>
      </c>
      <c r="I758">
        <f>ROUND(MIN(4,MAX(0,H758))/4*PARAMS_MODELO!$B$34,2)</f>
        <v>20</v>
      </c>
      <c r="J758">
        <v>1</v>
      </c>
      <c r="K758">
        <f>IF(J758=0,0,PARAMS_MODELO!$B$35)</f>
        <v>10</v>
      </c>
      <c r="L758">
        <f t="shared" si="34"/>
        <v>50.65</v>
      </c>
      <c r="M758" t="str">
        <f t="shared" si="35"/>
        <v>Regular</v>
      </c>
      <c r="N758">
        <f>IF(M758=PARAMS_MODELO!$A$36,PARAMS_MODELO!$B$36,IF(M758=PARAMS_MODELO!$A$37,PARAMS_MODELO!$B$37,IF(M758=PARAMS_MODELO!$A$38,PARAMS_MODELO!$B$38,IF(M758=PARAMS_MODELO!$A$39,PARAMS_MODELO!$B$39,IF(M758=PARAMS_MODELO!$A$40,PARAMS_MODELO!$B$40)))))</f>
        <v>1</v>
      </c>
    </row>
    <row r="759" spans="1:14" x14ac:dyDescent="0.3">
      <c r="A759">
        <v>51023251</v>
      </c>
      <c r="B759">
        <v>95</v>
      </c>
      <c r="C759">
        <v>75</v>
      </c>
      <c r="D759">
        <f t="shared" si="33"/>
        <v>1.2666666666666666</v>
      </c>
      <c r="E759">
        <f>ROUND(MIN(5,MAX(0,D759))/5*PARAMS_MODELO!$B$32,2)</f>
        <v>10.130000000000001</v>
      </c>
      <c r="F759">
        <v>0</v>
      </c>
      <c r="G759">
        <f>MAX(0,PARAMS_MODELO!$B$33-VALUE(TRIM(F759))*3)</f>
        <v>30</v>
      </c>
      <c r="H759">
        <v>1</v>
      </c>
      <c r="I759">
        <f>ROUND(MIN(4,MAX(0,H759))/4*PARAMS_MODELO!$B$34,2)</f>
        <v>5</v>
      </c>
      <c r="J759">
        <v>1</v>
      </c>
      <c r="K759">
        <f>IF(J759=0,0,PARAMS_MODELO!$B$35)</f>
        <v>10</v>
      </c>
      <c r="L759">
        <f t="shared" si="34"/>
        <v>55.13</v>
      </c>
      <c r="M759" t="str">
        <f t="shared" si="35"/>
        <v>Regular</v>
      </c>
      <c r="N759">
        <f>IF(M759=PARAMS_MODELO!$A$36,PARAMS_MODELO!$B$36,IF(M759=PARAMS_MODELO!$A$37,PARAMS_MODELO!$B$37,IF(M759=PARAMS_MODELO!$A$38,PARAMS_MODELO!$B$38,IF(M759=PARAMS_MODELO!$A$39,PARAMS_MODELO!$B$39,IF(M759=PARAMS_MODELO!$A$40,PARAMS_MODELO!$B$40)))))</f>
        <v>1</v>
      </c>
    </row>
    <row r="760" spans="1:14" x14ac:dyDescent="0.3">
      <c r="A760">
        <v>51010205</v>
      </c>
      <c r="B760">
        <v>9</v>
      </c>
      <c r="C760">
        <v>65</v>
      </c>
      <c r="D760">
        <f t="shared" si="33"/>
        <v>0.13846153846153847</v>
      </c>
      <c r="E760">
        <f>ROUND(MIN(5,MAX(0,D760))/5*PARAMS_MODELO!$B$32,2)</f>
        <v>1.1100000000000001</v>
      </c>
      <c r="F760">
        <v>3</v>
      </c>
      <c r="G760">
        <f>MAX(0,PARAMS_MODELO!$B$33-VALUE(TRIM(F760))*3)</f>
        <v>21</v>
      </c>
      <c r="H760">
        <v>1</v>
      </c>
      <c r="I760">
        <f>ROUND(MIN(4,MAX(0,H760))/4*PARAMS_MODELO!$B$34,2)</f>
        <v>5</v>
      </c>
      <c r="J760">
        <v>0</v>
      </c>
      <c r="K760">
        <f>IF(J760=0,0,PARAMS_MODELO!$B$35)</f>
        <v>0</v>
      </c>
      <c r="L760">
        <f t="shared" si="34"/>
        <v>27.11</v>
      </c>
      <c r="M760" t="str">
        <f t="shared" si="35"/>
        <v>Malo</v>
      </c>
      <c r="N760">
        <f>IF(M760=PARAMS_MODELO!$A$36,PARAMS_MODELO!$B$36,IF(M760=PARAMS_MODELO!$A$37,PARAMS_MODELO!$B$37,IF(M760=PARAMS_MODELO!$A$38,PARAMS_MODELO!$B$38,IF(M760=PARAMS_MODELO!$A$39,PARAMS_MODELO!$B$39,IF(M760=PARAMS_MODELO!$A$40,PARAMS_MODELO!$B$40)))))</f>
        <v>0.7</v>
      </c>
    </row>
    <row r="761" spans="1:14" x14ac:dyDescent="0.3">
      <c r="A761">
        <v>51056922</v>
      </c>
      <c r="B761">
        <v>15</v>
      </c>
      <c r="C761">
        <v>91</v>
      </c>
      <c r="D761">
        <f t="shared" si="33"/>
        <v>0.16483516483516483</v>
      </c>
      <c r="E761">
        <f>ROUND(MIN(5,MAX(0,D761))/5*PARAMS_MODELO!$B$32,2)</f>
        <v>1.32</v>
      </c>
      <c r="F761">
        <v>5</v>
      </c>
      <c r="G761">
        <f>MAX(0,PARAMS_MODELO!$B$33-VALUE(TRIM(F761))*3)</f>
        <v>15</v>
      </c>
      <c r="H761">
        <v>3</v>
      </c>
      <c r="I761">
        <f>ROUND(MIN(4,MAX(0,H761))/4*PARAMS_MODELO!$B$34,2)</f>
        <v>15</v>
      </c>
      <c r="J761">
        <v>1</v>
      </c>
      <c r="K761">
        <f>IF(J761=0,0,PARAMS_MODELO!$B$35)</f>
        <v>10</v>
      </c>
      <c r="L761">
        <f t="shared" si="34"/>
        <v>41.32</v>
      </c>
      <c r="M761" t="str">
        <f t="shared" si="35"/>
        <v>Regular</v>
      </c>
      <c r="N761">
        <f>IF(M761=PARAMS_MODELO!$A$36,PARAMS_MODELO!$B$36,IF(M761=PARAMS_MODELO!$A$37,PARAMS_MODELO!$B$37,IF(M761=PARAMS_MODELO!$A$38,PARAMS_MODELO!$B$38,IF(M761=PARAMS_MODELO!$A$39,PARAMS_MODELO!$B$39,IF(M761=PARAMS_MODELO!$A$40,PARAMS_MODELO!$B$40)))))</f>
        <v>1</v>
      </c>
    </row>
    <row r="762" spans="1:14" x14ac:dyDescent="0.3">
      <c r="A762">
        <v>51056299</v>
      </c>
      <c r="B762">
        <v>59</v>
      </c>
      <c r="C762">
        <v>38</v>
      </c>
      <c r="D762">
        <f t="shared" si="33"/>
        <v>1.5526315789473684</v>
      </c>
      <c r="E762">
        <f>ROUND(MIN(5,MAX(0,D762))/5*PARAMS_MODELO!$B$32,2)</f>
        <v>12.42</v>
      </c>
      <c r="F762">
        <v>3</v>
      </c>
      <c r="G762">
        <f>MAX(0,PARAMS_MODELO!$B$33-VALUE(TRIM(F762))*3)</f>
        <v>21</v>
      </c>
      <c r="H762">
        <v>4</v>
      </c>
      <c r="I762">
        <f>ROUND(MIN(4,MAX(0,H762))/4*PARAMS_MODELO!$B$34,2)</f>
        <v>20</v>
      </c>
      <c r="J762">
        <v>1</v>
      </c>
      <c r="K762">
        <f>IF(J762=0,0,PARAMS_MODELO!$B$35)</f>
        <v>10</v>
      </c>
      <c r="L762">
        <f t="shared" si="34"/>
        <v>63.42</v>
      </c>
      <c r="M762" t="str">
        <f t="shared" si="35"/>
        <v>Bueno</v>
      </c>
      <c r="N762">
        <f>IF(M762=PARAMS_MODELO!$A$36,PARAMS_MODELO!$B$36,IF(M762=PARAMS_MODELO!$A$37,PARAMS_MODELO!$B$37,IF(M762=PARAMS_MODELO!$A$38,PARAMS_MODELO!$B$38,IF(M762=PARAMS_MODELO!$A$39,PARAMS_MODELO!$B$39,IF(M762=PARAMS_MODELO!$A$40,PARAMS_MODELO!$B$40)))))</f>
        <v>1.1000000000000001</v>
      </c>
    </row>
    <row r="763" spans="1:14" x14ac:dyDescent="0.3">
      <c r="A763">
        <v>51010175</v>
      </c>
      <c r="B763">
        <v>58</v>
      </c>
      <c r="C763">
        <v>11</v>
      </c>
      <c r="D763">
        <f t="shared" si="33"/>
        <v>5</v>
      </c>
      <c r="E763">
        <f>ROUND(MIN(5,MAX(0,D763))/5*PARAMS_MODELO!$B$32,2)</f>
        <v>40</v>
      </c>
      <c r="F763">
        <v>4</v>
      </c>
      <c r="G763">
        <f>MAX(0,PARAMS_MODELO!$B$33-VALUE(TRIM(F763))*3)</f>
        <v>18</v>
      </c>
      <c r="H763">
        <v>0</v>
      </c>
      <c r="I763">
        <f>ROUND(MIN(4,MAX(0,H763))/4*PARAMS_MODELO!$B$34,2)</f>
        <v>0</v>
      </c>
      <c r="J763">
        <v>0</v>
      </c>
      <c r="K763">
        <f>IF(J763=0,0,PARAMS_MODELO!$B$35)</f>
        <v>0</v>
      </c>
      <c r="L763">
        <f t="shared" si="34"/>
        <v>58</v>
      </c>
      <c r="M763" t="str">
        <f t="shared" si="35"/>
        <v>Regular</v>
      </c>
      <c r="N763">
        <f>IF(M763=PARAMS_MODELO!$A$36,PARAMS_MODELO!$B$36,IF(M763=PARAMS_MODELO!$A$37,PARAMS_MODELO!$B$37,IF(M763=PARAMS_MODELO!$A$38,PARAMS_MODELO!$B$38,IF(M763=PARAMS_MODELO!$A$39,PARAMS_MODELO!$B$39,IF(M763=PARAMS_MODELO!$A$40,PARAMS_MODELO!$B$40)))))</f>
        <v>1</v>
      </c>
    </row>
    <row r="764" spans="1:14" x14ac:dyDescent="0.3">
      <c r="A764">
        <v>51015355</v>
      </c>
      <c r="B764">
        <v>43</v>
      </c>
      <c r="C764">
        <v>68</v>
      </c>
      <c r="D764">
        <f t="shared" si="33"/>
        <v>0.63235294117647056</v>
      </c>
      <c r="E764">
        <f>ROUND(MIN(5,MAX(0,D764))/5*PARAMS_MODELO!$B$32,2)</f>
        <v>5.0599999999999996</v>
      </c>
      <c r="F764">
        <v>4</v>
      </c>
      <c r="G764">
        <f>MAX(0,PARAMS_MODELO!$B$33-VALUE(TRIM(F764))*3)</f>
        <v>18</v>
      </c>
      <c r="H764">
        <v>0</v>
      </c>
      <c r="I764">
        <f>ROUND(MIN(4,MAX(0,H764))/4*PARAMS_MODELO!$B$34,2)</f>
        <v>0</v>
      </c>
      <c r="J764">
        <v>0</v>
      </c>
      <c r="K764">
        <f>IF(J764=0,0,PARAMS_MODELO!$B$35)</f>
        <v>0</v>
      </c>
      <c r="L764">
        <f t="shared" si="34"/>
        <v>23.06</v>
      </c>
      <c r="M764" t="str">
        <f t="shared" si="35"/>
        <v>Malo</v>
      </c>
      <c r="N764">
        <f>IF(M764=PARAMS_MODELO!$A$36,PARAMS_MODELO!$B$36,IF(M764=PARAMS_MODELO!$A$37,PARAMS_MODELO!$B$37,IF(M764=PARAMS_MODELO!$A$38,PARAMS_MODELO!$B$38,IF(M764=PARAMS_MODELO!$A$39,PARAMS_MODELO!$B$39,IF(M764=PARAMS_MODELO!$A$40,PARAMS_MODELO!$B$40)))))</f>
        <v>0.7</v>
      </c>
    </row>
    <row r="765" spans="1:14" x14ac:dyDescent="0.3">
      <c r="A765">
        <v>51010191</v>
      </c>
      <c r="B765">
        <v>67</v>
      </c>
      <c r="C765">
        <v>45</v>
      </c>
      <c r="D765">
        <f t="shared" si="33"/>
        <v>1.4888888888888889</v>
      </c>
      <c r="E765">
        <f>ROUND(MIN(5,MAX(0,D765))/5*PARAMS_MODELO!$B$32,2)</f>
        <v>11.91</v>
      </c>
      <c r="F765">
        <v>4</v>
      </c>
      <c r="G765">
        <f>MAX(0,PARAMS_MODELO!$B$33-VALUE(TRIM(F765))*3)</f>
        <v>18</v>
      </c>
      <c r="H765">
        <v>4</v>
      </c>
      <c r="I765">
        <f>ROUND(MIN(4,MAX(0,H765))/4*PARAMS_MODELO!$B$34,2)</f>
        <v>20</v>
      </c>
      <c r="J765">
        <v>0</v>
      </c>
      <c r="K765">
        <f>IF(J765=0,0,PARAMS_MODELO!$B$35)</f>
        <v>0</v>
      </c>
      <c r="L765">
        <f t="shared" si="34"/>
        <v>49.91</v>
      </c>
      <c r="M765" t="str">
        <f t="shared" si="35"/>
        <v>Regular</v>
      </c>
      <c r="N765">
        <f>IF(M765=PARAMS_MODELO!$A$36,PARAMS_MODELO!$B$36,IF(M765=PARAMS_MODELO!$A$37,PARAMS_MODELO!$B$37,IF(M765=PARAMS_MODELO!$A$38,PARAMS_MODELO!$B$38,IF(M765=PARAMS_MODELO!$A$39,PARAMS_MODELO!$B$39,IF(M765=PARAMS_MODELO!$A$40,PARAMS_MODELO!$B$40)))))</f>
        <v>1</v>
      </c>
    </row>
    <row r="766" spans="1:14" x14ac:dyDescent="0.3">
      <c r="A766">
        <v>51013051</v>
      </c>
      <c r="B766">
        <v>8</v>
      </c>
      <c r="C766">
        <v>86</v>
      </c>
      <c r="D766">
        <f t="shared" si="33"/>
        <v>9.3023255813953487E-2</v>
      </c>
      <c r="E766">
        <f>ROUND(MIN(5,MAX(0,D766))/5*PARAMS_MODELO!$B$32,2)</f>
        <v>0.74</v>
      </c>
      <c r="F766">
        <v>2</v>
      </c>
      <c r="G766">
        <f>MAX(0,PARAMS_MODELO!$B$33-VALUE(TRIM(F766))*3)</f>
        <v>24</v>
      </c>
      <c r="H766">
        <v>3</v>
      </c>
      <c r="I766">
        <f>ROUND(MIN(4,MAX(0,H766))/4*PARAMS_MODELO!$B$34,2)</f>
        <v>15</v>
      </c>
      <c r="J766">
        <v>0</v>
      </c>
      <c r="K766">
        <f>IF(J766=0,0,PARAMS_MODELO!$B$35)</f>
        <v>0</v>
      </c>
      <c r="L766">
        <f t="shared" si="34"/>
        <v>39.739999999999995</v>
      </c>
      <c r="M766" t="str">
        <f t="shared" si="35"/>
        <v>Malo</v>
      </c>
      <c r="N766">
        <f>IF(M766=PARAMS_MODELO!$A$36,PARAMS_MODELO!$B$36,IF(M766=PARAMS_MODELO!$A$37,PARAMS_MODELO!$B$37,IF(M766=PARAMS_MODELO!$A$38,PARAMS_MODELO!$B$38,IF(M766=PARAMS_MODELO!$A$39,PARAMS_MODELO!$B$39,IF(M766=PARAMS_MODELO!$A$40,PARAMS_MODELO!$B$40)))))</f>
        <v>0.7</v>
      </c>
    </row>
    <row r="767" spans="1:14" x14ac:dyDescent="0.3">
      <c r="A767">
        <v>51032632</v>
      </c>
      <c r="B767">
        <v>33</v>
      </c>
      <c r="C767">
        <v>95</v>
      </c>
      <c r="D767">
        <f t="shared" si="33"/>
        <v>0.3473684210526316</v>
      </c>
      <c r="E767">
        <f>ROUND(MIN(5,MAX(0,D767))/5*PARAMS_MODELO!$B$32,2)</f>
        <v>2.78</v>
      </c>
      <c r="F767">
        <v>1</v>
      </c>
      <c r="G767">
        <f>MAX(0,PARAMS_MODELO!$B$33-VALUE(TRIM(F767))*3)</f>
        <v>27</v>
      </c>
      <c r="H767">
        <v>0</v>
      </c>
      <c r="I767">
        <f>ROUND(MIN(4,MAX(0,H767))/4*PARAMS_MODELO!$B$34,2)</f>
        <v>0</v>
      </c>
      <c r="J767">
        <v>1</v>
      </c>
      <c r="K767">
        <f>IF(J767=0,0,PARAMS_MODELO!$B$35)</f>
        <v>10</v>
      </c>
      <c r="L767">
        <f t="shared" si="34"/>
        <v>39.78</v>
      </c>
      <c r="M767" t="str">
        <f t="shared" si="35"/>
        <v>Malo</v>
      </c>
      <c r="N767">
        <f>IF(M767=PARAMS_MODELO!$A$36,PARAMS_MODELO!$B$36,IF(M767=PARAMS_MODELO!$A$37,PARAMS_MODELO!$B$37,IF(M767=PARAMS_MODELO!$A$38,PARAMS_MODELO!$B$38,IF(M767=PARAMS_MODELO!$A$39,PARAMS_MODELO!$B$39,IF(M767=PARAMS_MODELO!$A$40,PARAMS_MODELO!$B$40)))))</f>
        <v>0.7</v>
      </c>
    </row>
    <row r="768" spans="1:14" x14ac:dyDescent="0.3">
      <c r="A768">
        <v>51026322</v>
      </c>
      <c r="B768">
        <v>85</v>
      </c>
      <c r="C768">
        <v>79</v>
      </c>
      <c r="D768">
        <f t="shared" si="33"/>
        <v>1.0759493670886076</v>
      </c>
      <c r="E768">
        <f>ROUND(MIN(5,MAX(0,D768))/5*PARAMS_MODELO!$B$32,2)</f>
        <v>8.61</v>
      </c>
      <c r="F768">
        <v>0</v>
      </c>
      <c r="G768">
        <f>MAX(0,PARAMS_MODELO!$B$33-VALUE(TRIM(F768))*3)</f>
        <v>30</v>
      </c>
      <c r="H768">
        <v>1</v>
      </c>
      <c r="I768">
        <f>ROUND(MIN(4,MAX(0,H768))/4*PARAMS_MODELO!$B$34,2)</f>
        <v>5</v>
      </c>
      <c r="J768">
        <v>0</v>
      </c>
      <c r="K768">
        <f>IF(J768=0,0,PARAMS_MODELO!$B$35)</f>
        <v>0</v>
      </c>
      <c r="L768">
        <f t="shared" si="34"/>
        <v>43.61</v>
      </c>
      <c r="M768" t="str">
        <f t="shared" si="35"/>
        <v>Regular</v>
      </c>
      <c r="N768">
        <f>IF(M768=PARAMS_MODELO!$A$36,PARAMS_MODELO!$B$36,IF(M768=PARAMS_MODELO!$A$37,PARAMS_MODELO!$B$37,IF(M768=PARAMS_MODELO!$A$38,PARAMS_MODELO!$B$38,IF(M768=PARAMS_MODELO!$A$39,PARAMS_MODELO!$B$39,IF(M768=PARAMS_MODELO!$A$40,PARAMS_MODELO!$B$40)))))</f>
        <v>1</v>
      </c>
    </row>
    <row r="769" spans="1:14" x14ac:dyDescent="0.3">
      <c r="A769">
        <v>51019555</v>
      </c>
      <c r="B769">
        <v>13</v>
      </c>
      <c r="C769">
        <v>59</v>
      </c>
      <c r="D769">
        <f t="shared" si="33"/>
        <v>0.22033898305084745</v>
      </c>
      <c r="E769">
        <f>ROUND(MIN(5,MAX(0,D769))/5*PARAMS_MODELO!$B$32,2)</f>
        <v>1.76</v>
      </c>
      <c r="F769">
        <v>3</v>
      </c>
      <c r="G769">
        <f>MAX(0,PARAMS_MODELO!$B$33-VALUE(TRIM(F769))*3)</f>
        <v>21</v>
      </c>
      <c r="H769">
        <v>2</v>
      </c>
      <c r="I769">
        <f>ROUND(MIN(4,MAX(0,H769))/4*PARAMS_MODELO!$B$34,2)</f>
        <v>10</v>
      </c>
      <c r="J769">
        <v>0</v>
      </c>
      <c r="K769">
        <f>IF(J769=0,0,PARAMS_MODELO!$B$35)</f>
        <v>0</v>
      </c>
      <c r="L769">
        <f t="shared" si="34"/>
        <v>32.760000000000005</v>
      </c>
      <c r="M769" t="str">
        <f t="shared" si="35"/>
        <v>Malo</v>
      </c>
      <c r="N769">
        <f>IF(M769=PARAMS_MODELO!$A$36,PARAMS_MODELO!$B$36,IF(M769=PARAMS_MODELO!$A$37,PARAMS_MODELO!$B$37,IF(M769=PARAMS_MODELO!$A$38,PARAMS_MODELO!$B$38,IF(M769=PARAMS_MODELO!$A$39,PARAMS_MODELO!$B$39,IF(M769=PARAMS_MODELO!$A$40,PARAMS_MODELO!$B$40)))))</f>
        <v>0.7</v>
      </c>
    </row>
    <row r="770" spans="1:14" x14ac:dyDescent="0.3">
      <c r="A770">
        <v>51009991</v>
      </c>
      <c r="B770">
        <v>92</v>
      </c>
      <c r="C770">
        <v>12</v>
      </c>
      <c r="D770">
        <f t="shared" ref="D770:D833" si="36">IF(C770=0,0,MIN(5,B770/C770))</f>
        <v>5</v>
      </c>
      <c r="E770">
        <f>ROUND(MIN(5,MAX(0,D770))/5*PARAMS_MODELO!$B$32,2)</f>
        <v>40</v>
      </c>
      <c r="F770">
        <v>0</v>
      </c>
      <c r="G770">
        <f>MAX(0,PARAMS_MODELO!$B$33-VALUE(TRIM(F770))*3)</f>
        <v>30</v>
      </c>
      <c r="H770">
        <v>1</v>
      </c>
      <c r="I770">
        <f>ROUND(MIN(4,MAX(0,H770))/4*PARAMS_MODELO!$B$34,2)</f>
        <v>5</v>
      </c>
      <c r="J770">
        <v>0</v>
      </c>
      <c r="K770">
        <f>IF(J770=0,0,PARAMS_MODELO!$B$35)</f>
        <v>0</v>
      </c>
      <c r="L770">
        <f t="shared" ref="L770:L833" si="37">MIN(100,MAX(0,E770+G770+I770+K770))</f>
        <v>75</v>
      </c>
      <c r="M770" t="str">
        <f t="shared" ref="M770:M833" si="38">IF(L770="","",IF(L770&gt;=90,"Excelente",IF(L770&gt;=75,"Muy Bueno",IF(L770&gt;=60,"Bueno",IF(L770&gt;=40,"Regular","Malo")))))</f>
        <v>Muy Bueno</v>
      </c>
      <c r="N770">
        <f>IF(M770=PARAMS_MODELO!$A$36,PARAMS_MODELO!$B$36,IF(M770=PARAMS_MODELO!$A$37,PARAMS_MODELO!$B$37,IF(M770=PARAMS_MODELO!$A$38,PARAMS_MODELO!$B$38,IF(M770=PARAMS_MODELO!$A$39,PARAMS_MODELO!$B$39,IF(M770=PARAMS_MODELO!$A$40,PARAMS_MODELO!$B$40)))))</f>
        <v>1.1499999999999999</v>
      </c>
    </row>
    <row r="771" spans="1:14" x14ac:dyDescent="0.3">
      <c r="A771">
        <v>51025822</v>
      </c>
      <c r="B771">
        <v>41</v>
      </c>
      <c r="C771">
        <v>26</v>
      </c>
      <c r="D771">
        <f t="shared" si="36"/>
        <v>1.5769230769230769</v>
      </c>
      <c r="E771">
        <f>ROUND(MIN(5,MAX(0,D771))/5*PARAMS_MODELO!$B$32,2)</f>
        <v>12.62</v>
      </c>
      <c r="F771">
        <v>5</v>
      </c>
      <c r="G771">
        <f>MAX(0,PARAMS_MODELO!$B$33-VALUE(TRIM(F771))*3)</f>
        <v>15</v>
      </c>
      <c r="H771">
        <v>4</v>
      </c>
      <c r="I771">
        <f>ROUND(MIN(4,MAX(0,H771))/4*PARAMS_MODELO!$B$34,2)</f>
        <v>20</v>
      </c>
      <c r="J771">
        <v>0</v>
      </c>
      <c r="K771">
        <f>IF(J771=0,0,PARAMS_MODELO!$B$35)</f>
        <v>0</v>
      </c>
      <c r="L771">
        <f t="shared" si="37"/>
        <v>47.62</v>
      </c>
      <c r="M771" t="str">
        <f t="shared" si="38"/>
        <v>Regular</v>
      </c>
      <c r="N771">
        <f>IF(M771=PARAMS_MODELO!$A$36,PARAMS_MODELO!$B$36,IF(M771=PARAMS_MODELO!$A$37,PARAMS_MODELO!$B$37,IF(M771=PARAMS_MODELO!$A$38,PARAMS_MODELO!$B$38,IF(M771=PARAMS_MODELO!$A$39,PARAMS_MODELO!$B$39,IF(M771=PARAMS_MODELO!$A$40,PARAMS_MODELO!$B$40)))))</f>
        <v>1</v>
      </c>
    </row>
    <row r="772" spans="1:14" x14ac:dyDescent="0.3">
      <c r="A772">
        <v>51012500</v>
      </c>
      <c r="B772">
        <v>5</v>
      </c>
      <c r="C772">
        <v>64</v>
      </c>
      <c r="D772">
        <f t="shared" si="36"/>
        <v>7.8125E-2</v>
      </c>
      <c r="E772">
        <f>ROUND(MIN(5,MAX(0,D772))/5*PARAMS_MODELO!$B$32,2)</f>
        <v>0.63</v>
      </c>
      <c r="F772">
        <v>5</v>
      </c>
      <c r="G772">
        <f>MAX(0,PARAMS_MODELO!$B$33-VALUE(TRIM(F772))*3)</f>
        <v>15</v>
      </c>
      <c r="H772">
        <v>2</v>
      </c>
      <c r="I772">
        <f>ROUND(MIN(4,MAX(0,H772))/4*PARAMS_MODELO!$B$34,2)</f>
        <v>10</v>
      </c>
      <c r="J772">
        <v>1</v>
      </c>
      <c r="K772">
        <f>IF(J772=0,0,PARAMS_MODELO!$B$35)</f>
        <v>10</v>
      </c>
      <c r="L772">
        <f t="shared" si="37"/>
        <v>35.630000000000003</v>
      </c>
      <c r="M772" t="str">
        <f t="shared" si="38"/>
        <v>Malo</v>
      </c>
      <c r="N772">
        <f>IF(M772=PARAMS_MODELO!$A$36,PARAMS_MODELO!$B$36,IF(M772=PARAMS_MODELO!$A$37,PARAMS_MODELO!$B$37,IF(M772=PARAMS_MODELO!$A$38,PARAMS_MODELO!$B$38,IF(M772=PARAMS_MODELO!$A$39,PARAMS_MODELO!$B$39,IF(M772=PARAMS_MODELO!$A$40,PARAMS_MODELO!$B$40)))))</f>
        <v>0.7</v>
      </c>
    </row>
    <row r="773" spans="1:14" x14ac:dyDescent="0.3">
      <c r="A773">
        <v>51015797</v>
      </c>
      <c r="B773">
        <v>21</v>
      </c>
      <c r="C773">
        <v>49</v>
      </c>
      <c r="D773">
        <f t="shared" si="36"/>
        <v>0.42857142857142855</v>
      </c>
      <c r="E773">
        <f>ROUND(MIN(5,MAX(0,D773))/5*PARAMS_MODELO!$B$32,2)</f>
        <v>3.43</v>
      </c>
      <c r="F773">
        <v>1</v>
      </c>
      <c r="G773">
        <f>MAX(0,PARAMS_MODELO!$B$33-VALUE(TRIM(F773))*3)</f>
        <v>27</v>
      </c>
      <c r="H773">
        <v>4</v>
      </c>
      <c r="I773">
        <f>ROUND(MIN(4,MAX(0,H773))/4*PARAMS_MODELO!$B$34,2)</f>
        <v>20</v>
      </c>
      <c r="J773">
        <v>0</v>
      </c>
      <c r="K773">
        <f>IF(J773=0,0,PARAMS_MODELO!$B$35)</f>
        <v>0</v>
      </c>
      <c r="L773">
        <f t="shared" si="37"/>
        <v>50.43</v>
      </c>
      <c r="M773" t="str">
        <f t="shared" si="38"/>
        <v>Regular</v>
      </c>
      <c r="N773">
        <f>IF(M773=PARAMS_MODELO!$A$36,PARAMS_MODELO!$B$36,IF(M773=PARAMS_MODELO!$A$37,PARAMS_MODELO!$B$37,IF(M773=PARAMS_MODELO!$A$38,PARAMS_MODELO!$B$38,IF(M773=PARAMS_MODELO!$A$39,PARAMS_MODELO!$B$39,IF(M773=PARAMS_MODELO!$A$40,PARAMS_MODELO!$B$40)))))</f>
        <v>1</v>
      </c>
    </row>
    <row r="774" spans="1:14" x14ac:dyDescent="0.3">
      <c r="A774">
        <v>51014782</v>
      </c>
      <c r="B774">
        <v>96</v>
      </c>
      <c r="C774">
        <v>43</v>
      </c>
      <c r="D774">
        <f t="shared" si="36"/>
        <v>2.2325581395348837</v>
      </c>
      <c r="E774">
        <f>ROUND(MIN(5,MAX(0,D774))/5*PARAMS_MODELO!$B$32,2)</f>
        <v>17.86</v>
      </c>
      <c r="F774">
        <v>5</v>
      </c>
      <c r="G774">
        <f>MAX(0,PARAMS_MODELO!$B$33-VALUE(TRIM(F774))*3)</f>
        <v>15</v>
      </c>
      <c r="H774">
        <v>1</v>
      </c>
      <c r="I774">
        <f>ROUND(MIN(4,MAX(0,H774))/4*PARAMS_MODELO!$B$34,2)</f>
        <v>5</v>
      </c>
      <c r="J774">
        <v>1</v>
      </c>
      <c r="K774">
        <f>IF(J774=0,0,PARAMS_MODELO!$B$35)</f>
        <v>10</v>
      </c>
      <c r="L774">
        <f t="shared" si="37"/>
        <v>47.86</v>
      </c>
      <c r="M774" t="str">
        <f t="shared" si="38"/>
        <v>Regular</v>
      </c>
      <c r="N774">
        <f>IF(M774=PARAMS_MODELO!$A$36,PARAMS_MODELO!$B$36,IF(M774=PARAMS_MODELO!$A$37,PARAMS_MODELO!$B$37,IF(M774=PARAMS_MODELO!$A$38,PARAMS_MODELO!$B$38,IF(M774=PARAMS_MODELO!$A$39,PARAMS_MODELO!$B$39,IF(M774=PARAMS_MODELO!$A$40,PARAMS_MODELO!$B$40)))))</f>
        <v>1</v>
      </c>
    </row>
    <row r="775" spans="1:14" x14ac:dyDescent="0.3">
      <c r="A775">
        <v>51013077</v>
      </c>
      <c r="B775">
        <v>96</v>
      </c>
      <c r="C775">
        <v>71</v>
      </c>
      <c r="D775">
        <f t="shared" si="36"/>
        <v>1.352112676056338</v>
      </c>
      <c r="E775">
        <f>ROUND(MIN(5,MAX(0,D775))/5*PARAMS_MODELO!$B$32,2)</f>
        <v>10.82</v>
      </c>
      <c r="F775">
        <v>0</v>
      </c>
      <c r="G775">
        <f>MAX(0,PARAMS_MODELO!$B$33-VALUE(TRIM(F775))*3)</f>
        <v>30</v>
      </c>
      <c r="H775">
        <v>4</v>
      </c>
      <c r="I775">
        <f>ROUND(MIN(4,MAX(0,H775))/4*PARAMS_MODELO!$B$34,2)</f>
        <v>20</v>
      </c>
      <c r="J775">
        <v>0</v>
      </c>
      <c r="K775">
        <f>IF(J775=0,0,PARAMS_MODELO!$B$35)</f>
        <v>0</v>
      </c>
      <c r="L775">
        <f t="shared" si="37"/>
        <v>60.82</v>
      </c>
      <c r="M775" t="str">
        <f t="shared" si="38"/>
        <v>Bueno</v>
      </c>
      <c r="N775">
        <f>IF(M775=PARAMS_MODELO!$A$36,PARAMS_MODELO!$B$36,IF(M775=PARAMS_MODELO!$A$37,PARAMS_MODELO!$B$37,IF(M775=PARAMS_MODELO!$A$38,PARAMS_MODELO!$B$38,IF(M775=PARAMS_MODELO!$A$39,PARAMS_MODELO!$B$39,IF(M775=PARAMS_MODELO!$A$40,PARAMS_MODELO!$B$40)))))</f>
        <v>1.1000000000000001</v>
      </c>
    </row>
    <row r="776" spans="1:14" x14ac:dyDescent="0.3">
      <c r="A776">
        <v>51002539</v>
      </c>
      <c r="B776">
        <v>63</v>
      </c>
      <c r="C776">
        <v>9</v>
      </c>
      <c r="D776">
        <f t="shared" si="36"/>
        <v>5</v>
      </c>
      <c r="E776">
        <f>ROUND(MIN(5,MAX(0,D776))/5*PARAMS_MODELO!$B$32,2)</f>
        <v>40</v>
      </c>
      <c r="F776">
        <v>0</v>
      </c>
      <c r="G776">
        <f>MAX(0,PARAMS_MODELO!$B$33-VALUE(TRIM(F776))*3)</f>
        <v>30</v>
      </c>
      <c r="H776">
        <v>4</v>
      </c>
      <c r="I776">
        <f>ROUND(MIN(4,MAX(0,H776))/4*PARAMS_MODELO!$B$34,2)</f>
        <v>20</v>
      </c>
      <c r="J776">
        <v>1</v>
      </c>
      <c r="K776">
        <f>IF(J776=0,0,PARAMS_MODELO!$B$35)</f>
        <v>10</v>
      </c>
      <c r="L776">
        <f t="shared" si="37"/>
        <v>100</v>
      </c>
      <c r="M776" t="str">
        <f t="shared" si="38"/>
        <v>Excelente</v>
      </c>
      <c r="N776">
        <f>IF(M776=PARAMS_MODELO!$A$36,PARAMS_MODELO!$B$36,IF(M776=PARAMS_MODELO!$A$37,PARAMS_MODELO!$B$37,IF(M776=PARAMS_MODELO!$A$38,PARAMS_MODELO!$B$38,IF(M776=PARAMS_MODELO!$A$39,PARAMS_MODELO!$B$39,IF(M776=PARAMS_MODELO!$A$40,PARAMS_MODELO!$B$40)))))</f>
        <v>1.2</v>
      </c>
    </row>
    <row r="777" spans="1:14" x14ac:dyDescent="0.3">
      <c r="A777">
        <v>51031806</v>
      </c>
      <c r="B777">
        <v>52</v>
      </c>
      <c r="C777">
        <v>84</v>
      </c>
      <c r="D777">
        <f t="shared" si="36"/>
        <v>0.61904761904761907</v>
      </c>
      <c r="E777">
        <f>ROUND(MIN(5,MAX(0,D777))/5*PARAMS_MODELO!$B$32,2)</f>
        <v>4.95</v>
      </c>
      <c r="F777">
        <v>5</v>
      </c>
      <c r="G777">
        <f>MAX(0,PARAMS_MODELO!$B$33-VALUE(TRIM(F777))*3)</f>
        <v>15</v>
      </c>
      <c r="H777">
        <v>2</v>
      </c>
      <c r="I777">
        <f>ROUND(MIN(4,MAX(0,H777))/4*PARAMS_MODELO!$B$34,2)</f>
        <v>10</v>
      </c>
      <c r="J777">
        <v>0</v>
      </c>
      <c r="K777">
        <f>IF(J777=0,0,PARAMS_MODELO!$B$35)</f>
        <v>0</v>
      </c>
      <c r="L777">
        <f t="shared" si="37"/>
        <v>29.95</v>
      </c>
      <c r="M777" t="str">
        <f t="shared" si="38"/>
        <v>Malo</v>
      </c>
      <c r="N777">
        <f>IF(M777=PARAMS_MODELO!$A$36,PARAMS_MODELO!$B$36,IF(M777=PARAMS_MODELO!$A$37,PARAMS_MODELO!$B$37,IF(M777=PARAMS_MODELO!$A$38,PARAMS_MODELO!$B$38,IF(M777=PARAMS_MODELO!$A$39,PARAMS_MODELO!$B$39,IF(M777=PARAMS_MODELO!$A$40,PARAMS_MODELO!$B$40)))))</f>
        <v>0.7</v>
      </c>
    </row>
    <row r="778" spans="1:14" x14ac:dyDescent="0.3">
      <c r="A778">
        <v>51044410</v>
      </c>
      <c r="B778">
        <v>46</v>
      </c>
      <c r="C778">
        <v>68</v>
      </c>
      <c r="D778">
        <f t="shared" si="36"/>
        <v>0.67647058823529416</v>
      </c>
      <c r="E778">
        <f>ROUND(MIN(5,MAX(0,D778))/5*PARAMS_MODELO!$B$32,2)</f>
        <v>5.41</v>
      </c>
      <c r="F778">
        <v>4</v>
      </c>
      <c r="G778">
        <f>MAX(0,PARAMS_MODELO!$B$33-VALUE(TRIM(F778))*3)</f>
        <v>18</v>
      </c>
      <c r="H778">
        <v>0</v>
      </c>
      <c r="I778">
        <f>ROUND(MIN(4,MAX(0,H778))/4*PARAMS_MODELO!$B$34,2)</f>
        <v>0</v>
      </c>
      <c r="J778">
        <v>1</v>
      </c>
      <c r="K778">
        <f>IF(J778=0,0,PARAMS_MODELO!$B$35)</f>
        <v>10</v>
      </c>
      <c r="L778">
        <f t="shared" si="37"/>
        <v>33.409999999999997</v>
      </c>
      <c r="M778" t="str">
        <f t="shared" si="38"/>
        <v>Malo</v>
      </c>
      <c r="N778">
        <f>IF(M778=PARAMS_MODELO!$A$36,PARAMS_MODELO!$B$36,IF(M778=PARAMS_MODELO!$A$37,PARAMS_MODELO!$B$37,IF(M778=PARAMS_MODELO!$A$38,PARAMS_MODELO!$B$38,IF(M778=PARAMS_MODELO!$A$39,PARAMS_MODELO!$B$39,IF(M778=PARAMS_MODELO!$A$40,PARAMS_MODELO!$B$40)))))</f>
        <v>0.7</v>
      </c>
    </row>
    <row r="779" spans="1:14" x14ac:dyDescent="0.3">
      <c r="A779">
        <v>51033248</v>
      </c>
      <c r="B779">
        <v>74</v>
      </c>
      <c r="C779">
        <v>26</v>
      </c>
      <c r="D779">
        <f t="shared" si="36"/>
        <v>2.8461538461538463</v>
      </c>
      <c r="E779">
        <f>ROUND(MIN(5,MAX(0,D779))/5*PARAMS_MODELO!$B$32,2)</f>
        <v>22.77</v>
      </c>
      <c r="F779">
        <v>4</v>
      </c>
      <c r="G779">
        <f>MAX(0,PARAMS_MODELO!$B$33-VALUE(TRIM(F779))*3)</f>
        <v>18</v>
      </c>
      <c r="H779">
        <v>3</v>
      </c>
      <c r="I779">
        <f>ROUND(MIN(4,MAX(0,H779))/4*PARAMS_MODELO!$B$34,2)</f>
        <v>15</v>
      </c>
      <c r="J779">
        <v>1</v>
      </c>
      <c r="K779">
        <f>IF(J779=0,0,PARAMS_MODELO!$B$35)</f>
        <v>10</v>
      </c>
      <c r="L779">
        <f t="shared" si="37"/>
        <v>65.77</v>
      </c>
      <c r="M779" t="str">
        <f t="shared" si="38"/>
        <v>Bueno</v>
      </c>
      <c r="N779">
        <f>IF(M779=PARAMS_MODELO!$A$36,PARAMS_MODELO!$B$36,IF(M779=PARAMS_MODELO!$A$37,PARAMS_MODELO!$B$37,IF(M779=PARAMS_MODELO!$A$38,PARAMS_MODELO!$B$38,IF(M779=PARAMS_MODELO!$A$39,PARAMS_MODELO!$B$39,IF(M779=PARAMS_MODELO!$A$40,PARAMS_MODELO!$B$40)))))</f>
        <v>1.1000000000000001</v>
      </c>
    </row>
    <row r="780" spans="1:14" x14ac:dyDescent="0.3">
      <c r="A780">
        <v>51025318</v>
      </c>
      <c r="B780">
        <v>31</v>
      </c>
      <c r="C780">
        <v>43</v>
      </c>
      <c r="D780">
        <f t="shared" si="36"/>
        <v>0.72093023255813948</v>
      </c>
      <c r="E780">
        <f>ROUND(MIN(5,MAX(0,D780))/5*PARAMS_MODELO!$B$32,2)</f>
        <v>5.77</v>
      </c>
      <c r="F780">
        <v>0</v>
      </c>
      <c r="G780">
        <f>MAX(0,PARAMS_MODELO!$B$33-VALUE(TRIM(F780))*3)</f>
        <v>30</v>
      </c>
      <c r="H780">
        <v>0</v>
      </c>
      <c r="I780">
        <f>ROUND(MIN(4,MAX(0,H780))/4*PARAMS_MODELO!$B$34,2)</f>
        <v>0</v>
      </c>
      <c r="J780">
        <v>1</v>
      </c>
      <c r="K780">
        <f>IF(J780=0,0,PARAMS_MODELO!$B$35)</f>
        <v>10</v>
      </c>
      <c r="L780">
        <f t="shared" si="37"/>
        <v>45.769999999999996</v>
      </c>
      <c r="M780" t="str">
        <f t="shared" si="38"/>
        <v>Regular</v>
      </c>
      <c r="N780">
        <f>IF(M780=PARAMS_MODELO!$A$36,PARAMS_MODELO!$B$36,IF(M780=PARAMS_MODELO!$A$37,PARAMS_MODELO!$B$37,IF(M780=PARAMS_MODELO!$A$38,PARAMS_MODELO!$B$38,IF(M780=PARAMS_MODELO!$A$39,PARAMS_MODELO!$B$39,IF(M780=PARAMS_MODELO!$A$40,PARAMS_MODELO!$B$40)))))</f>
        <v>1</v>
      </c>
    </row>
    <row r="781" spans="1:14" x14ac:dyDescent="0.3">
      <c r="A781">
        <v>51031687</v>
      </c>
      <c r="B781">
        <v>10</v>
      </c>
      <c r="C781">
        <v>70</v>
      </c>
      <c r="D781">
        <f t="shared" si="36"/>
        <v>0.14285714285714285</v>
      </c>
      <c r="E781">
        <f>ROUND(MIN(5,MAX(0,D781))/5*PARAMS_MODELO!$B$32,2)</f>
        <v>1.1399999999999999</v>
      </c>
      <c r="F781">
        <v>3</v>
      </c>
      <c r="G781">
        <f>MAX(0,PARAMS_MODELO!$B$33-VALUE(TRIM(F781))*3)</f>
        <v>21</v>
      </c>
      <c r="H781">
        <v>3</v>
      </c>
      <c r="I781">
        <f>ROUND(MIN(4,MAX(0,H781))/4*PARAMS_MODELO!$B$34,2)</f>
        <v>15</v>
      </c>
      <c r="J781">
        <v>1</v>
      </c>
      <c r="K781">
        <f>IF(J781=0,0,PARAMS_MODELO!$B$35)</f>
        <v>10</v>
      </c>
      <c r="L781">
        <f t="shared" si="37"/>
        <v>47.14</v>
      </c>
      <c r="M781" t="str">
        <f t="shared" si="38"/>
        <v>Regular</v>
      </c>
      <c r="N781">
        <f>IF(M781=PARAMS_MODELO!$A$36,PARAMS_MODELO!$B$36,IF(M781=PARAMS_MODELO!$A$37,PARAMS_MODELO!$B$37,IF(M781=PARAMS_MODELO!$A$38,PARAMS_MODELO!$B$38,IF(M781=PARAMS_MODELO!$A$39,PARAMS_MODELO!$B$39,IF(M781=PARAMS_MODELO!$A$40,PARAMS_MODELO!$B$40)))))</f>
        <v>1</v>
      </c>
    </row>
    <row r="782" spans="1:14" x14ac:dyDescent="0.3">
      <c r="A782">
        <v>51055861</v>
      </c>
      <c r="B782">
        <v>65</v>
      </c>
      <c r="C782">
        <v>31</v>
      </c>
      <c r="D782">
        <f t="shared" si="36"/>
        <v>2.096774193548387</v>
      </c>
      <c r="E782">
        <f>ROUND(MIN(5,MAX(0,D782))/5*PARAMS_MODELO!$B$32,2)</f>
        <v>16.77</v>
      </c>
      <c r="F782">
        <v>1</v>
      </c>
      <c r="G782">
        <f>MAX(0,PARAMS_MODELO!$B$33-VALUE(TRIM(F782))*3)</f>
        <v>27</v>
      </c>
      <c r="H782">
        <v>3</v>
      </c>
      <c r="I782">
        <f>ROUND(MIN(4,MAX(0,H782))/4*PARAMS_MODELO!$B$34,2)</f>
        <v>15</v>
      </c>
      <c r="J782">
        <v>0</v>
      </c>
      <c r="K782">
        <f>IF(J782=0,0,PARAMS_MODELO!$B$35)</f>
        <v>0</v>
      </c>
      <c r="L782">
        <f t="shared" si="37"/>
        <v>58.769999999999996</v>
      </c>
      <c r="M782" t="str">
        <f t="shared" si="38"/>
        <v>Regular</v>
      </c>
      <c r="N782">
        <f>IF(M782=PARAMS_MODELO!$A$36,PARAMS_MODELO!$B$36,IF(M782=PARAMS_MODELO!$A$37,PARAMS_MODELO!$B$37,IF(M782=PARAMS_MODELO!$A$38,PARAMS_MODELO!$B$38,IF(M782=PARAMS_MODELO!$A$39,PARAMS_MODELO!$B$39,IF(M782=PARAMS_MODELO!$A$40,PARAMS_MODELO!$B$40)))))</f>
        <v>1</v>
      </c>
    </row>
    <row r="783" spans="1:14" x14ac:dyDescent="0.3">
      <c r="A783">
        <v>51019407</v>
      </c>
      <c r="B783">
        <v>72</v>
      </c>
      <c r="C783">
        <v>70</v>
      </c>
      <c r="D783">
        <f t="shared" si="36"/>
        <v>1.0285714285714285</v>
      </c>
      <c r="E783">
        <f>ROUND(MIN(5,MAX(0,D783))/5*PARAMS_MODELO!$B$32,2)</f>
        <v>8.23</v>
      </c>
      <c r="F783">
        <v>3</v>
      </c>
      <c r="G783">
        <f>MAX(0,PARAMS_MODELO!$B$33-VALUE(TRIM(F783))*3)</f>
        <v>21</v>
      </c>
      <c r="H783">
        <v>2</v>
      </c>
      <c r="I783">
        <f>ROUND(MIN(4,MAX(0,H783))/4*PARAMS_MODELO!$B$34,2)</f>
        <v>10</v>
      </c>
      <c r="J783">
        <v>1</v>
      </c>
      <c r="K783">
        <f>IF(J783=0,0,PARAMS_MODELO!$B$35)</f>
        <v>10</v>
      </c>
      <c r="L783">
        <f t="shared" si="37"/>
        <v>49.230000000000004</v>
      </c>
      <c r="M783" t="str">
        <f t="shared" si="38"/>
        <v>Regular</v>
      </c>
      <c r="N783">
        <f>IF(M783=PARAMS_MODELO!$A$36,PARAMS_MODELO!$B$36,IF(M783=PARAMS_MODELO!$A$37,PARAMS_MODELO!$B$37,IF(M783=PARAMS_MODELO!$A$38,PARAMS_MODELO!$B$38,IF(M783=PARAMS_MODELO!$A$39,PARAMS_MODELO!$B$39,IF(M783=PARAMS_MODELO!$A$40,PARAMS_MODELO!$B$40)))))</f>
        <v>1</v>
      </c>
    </row>
    <row r="784" spans="1:14" x14ac:dyDescent="0.3">
      <c r="A784">
        <v>51012411</v>
      </c>
      <c r="B784">
        <v>60</v>
      </c>
      <c r="C784">
        <v>53</v>
      </c>
      <c r="D784">
        <f t="shared" si="36"/>
        <v>1.1320754716981132</v>
      </c>
      <c r="E784">
        <f>ROUND(MIN(5,MAX(0,D784))/5*PARAMS_MODELO!$B$32,2)</f>
        <v>9.06</v>
      </c>
      <c r="F784">
        <v>1</v>
      </c>
      <c r="G784">
        <f>MAX(0,PARAMS_MODELO!$B$33-VALUE(TRIM(F784))*3)</f>
        <v>27</v>
      </c>
      <c r="H784">
        <v>3</v>
      </c>
      <c r="I784">
        <f>ROUND(MIN(4,MAX(0,H784))/4*PARAMS_MODELO!$B$34,2)</f>
        <v>15</v>
      </c>
      <c r="J784">
        <v>0</v>
      </c>
      <c r="K784">
        <f>IF(J784=0,0,PARAMS_MODELO!$B$35)</f>
        <v>0</v>
      </c>
      <c r="L784">
        <f t="shared" si="37"/>
        <v>51.06</v>
      </c>
      <c r="M784" t="str">
        <f t="shared" si="38"/>
        <v>Regular</v>
      </c>
      <c r="N784">
        <f>IF(M784=PARAMS_MODELO!$A$36,PARAMS_MODELO!$B$36,IF(M784=PARAMS_MODELO!$A$37,PARAMS_MODELO!$B$37,IF(M784=PARAMS_MODELO!$A$38,PARAMS_MODELO!$B$38,IF(M784=PARAMS_MODELO!$A$39,PARAMS_MODELO!$B$39,IF(M784=PARAMS_MODELO!$A$40,PARAMS_MODELO!$B$40)))))</f>
        <v>1</v>
      </c>
    </row>
    <row r="785" spans="1:14" x14ac:dyDescent="0.3">
      <c r="A785">
        <v>51020171</v>
      </c>
      <c r="B785">
        <v>38</v>
      </c>
      <c r="C785">
        <v>11</v>
      </c>
      <c r="D785">
        <f t="shared" si="36"/>
        <v>3.4545454545454546</v>
      </c>
      <c r="E785">
        <f>ROUND(MIN(5,MAX(0,D785))/5*PARAMS_MODELO!$B$32,2)</f>
        <v>27.64</v>
      </c>
      <c r="F785">
        <v>5</v>
      </c>
      <c r="G785">
        <f>MAX(0,PARAMS_MODELO!$B$33-VALUE(TRIM(F785))*3)</f>
        <v>15</v>
      </c>
      <c r="H785">
        <v>3</v>
      </c>
      <c r="I785">
        <f>ROUND(MIN(4,MAX(0,H785))/4*PARAMS_MODELO!$B$34,2)</f>
        <v>15</v>
      </c>
      <c r="J785">
        <v>0</v>
      </c>
      <c r="K785">
        <f>IF(J785=0,0,PARAMS_MODELO!$B$35)</f>
        <v>0</v>
      </c>
      <c r="L785">
        <f t="shared" si="37"/>
        <v>57.64</v>
      </c>
      <c r="M785" t="str">
        <f t="shared" si="38"/>
        <v>Regular</v>
      </c>
      <c r="N785">
        <f>IF(M785=PARAMS_MODELO!$A$36,PARAMS_MODELO!$B$36,IF(M785=PARAMS_MODELO!$A$37,PARAMS_MODELO!$B$37,IF(M785=PARAMS_MODELO!$A$38,PARAMS_MODELO!$B$38,IF(M785=PARAMS_MODELO!$A$39,PARAMS_MODELO!$B$39,IF(M785=PARAMS_MODELO!$A$40,PARAMS_MODELO!$B$40)))))</f>
        <v>1</v>
      </c>
    </row>
    <row r="786" spans="1:14" x14ac:dyDescent="0.3">
      <c r="A786">
        <v>51029488</v>
      </c>
      <c r="B786">
        <v>37</v>
      </c>
      <c r="C786">
        <v>21</v>
      </c>
      <c r="D786">
        <f t="shared" si="36"/>
        <v>1.7619047619047619</v>
      </c>
      <c r="E786">
        <f>ROUND(MIN(5,MAX(0,D786))/5*PARAMS_MODELO!$B$32,2)</f>
        <v>14.1</v>
      </c>
      <c r="F786">
        <v>1</v>
      </c>
      <c r="G786">
        <f>MAX(0,PARAMS_MODELO!$B$33-VALUE(TRIM(F786))*3)</f>
        <v>27</v>
      </c>
      <c r="H786">
        <v>3</v>
      </c>
      <c r="I786">
        <f>ROUND(MIN(4,MAX(0,H786))/4*PARAMS_MODELO!$B$34,2)</f>
        <v>15</v>
      </c>
      <c r="J786">
        <v>1</v>
      </c>
      <c r="K786">
        <f>IF(J786=0,0,PARAMS_MODELO!$B$35)</f>
        <v>10</v>
      </c>
      <c r="L786">
        <f t="shared" si="37"/>
        <v>66.099999999999994</v>
      </c>
      <c r="M786" t="str">
        <f t="shared" si="38"/>
        <v>Bueno</v>
      </c>
      <c r="N786">
        <f>IF(M786=PARAMS_MODELO!$A$36,PARAMS_MODELO!$B$36,IF(M786=PARAMS_MODELO!$A$37,PARAMS_MODELO!$B$37,IF(M786=PARAMS_MODELO!$A$38,PARAMS_MODELO!$B$38,IF(M786=PARAMS_MODELO!$A$39,PARAMS_MODELO!$B$39,IF(M786=PARAMS_MODELO!$A$40,PARAMS_MODELO!$B$40)))))</f>
        <v>1.1000000000000001</v>
      </c>
    </row>
    <row r="787" spans="1:14" x14ac:dyDescent="0.3">
      <c r="A787">
        <v>51017633</v>
      </c>
      <c r="B787">
        <v>47</v>
      </c>
      <c r="C787">
        <v>41</v>
      </c>
      <c r="D787">
        <f t="shared" si="36"/>
        <v>1.1463414634146341</v>
      </c>
      <c r="E787">
        <f>ROUND(MIN(5,MAX(0,D787))/5*PARAMS_MODELO!$B$32,2)</f>
        <v>9.17</v>
      </c>
      <c r="F787">
        <v>0</v>
      </c>
      <c r="G787">
        <f>MAX(0,PARAMS_MODELO!$B$33-VALUE(TRIM(F787))*3)</f>
        <v>30</v>
      </c>
      <c r="H787">
        <v>3</v>
      </c>
      <c r="I787">
        <f>ROUND(MIN(4,MAX(0,H787))/4*PARAMS_MODELO!$B$34,2)</f>
        <v>15</v>
      </c>
      <c r="J787">
        <v>0</v>
      </c>
      <c r="K787">
        <f>IF(J787=0,0,PARAMS_MODELO!$B$35)</f>
        <v>0</v>
      </c>
      <c r="L787">
        <f t="shared" si="37"/>
        <v>54.17</v>
      </c>
      <c r="M787" t="str">
        <f t="shared" si="38"/>
        <v>Regular</v>
      </c>
      <c r="N787">
        <f>IF(M787=PARAMS_MODELO!$A$36,PARAMS_MODELO!$B$36,IF(M787=PARAMS_MODELO!$A$37,PARAMS_MODELO!$B$37,IF(M787=PARAMS_MODELO!$A$38,PARAMS_MODELO!$B$38,IF(M787=PARAMS_MODELO!$A$39,PARAMS_MODELO!$B$39,IF(M787=PARAMS_MODELO!$A$40,PARAMS_MODELO!$B$40)))))</f>
        <v>1</v>
      </c>
    </row>
    <row r="788" spans="1:14" x14ac:dyDescent="0.3">
      <c r="A788">
        <v>51056663</v>
      </c>
      <c r="B788">
        <v>55</v>
      </c>
      <c r="C788">
        <v>45</v>
      </c>
      <c r="D788">
        <f t="shared" si="36"/>
        <v>1.2222222222222223</v>
      </c>
      <c r="E788">
        <f>ROUND(MIN(5,MAX(0,D788))/5*PARAMS_MODELO!$B$32,2)</f>
        <v>9.7799999999999994</v>
      </c>
      <c r="F788">
        <v>4</v>
      </c>
      <c r="G788">
        <f>MAX(0,PARAMS_MODELO!$B$33-VALUE(TRIM(F788))*3)</f>
        <v>18</v>
      </c>
      <c r="H788">
        <v>3</v>
      </c>
      <c r="I788">
        <f>ROUND(MIN(4,MAX(0,H788))/4*PARAMS_MODELO!$B$34,2)</f>
        <v>15</v>
      </c>
      <c r="J788">
        <v>0</v>
      </c>
      <c r="K788">
        <f>IF(J788=0,0,PARAMS_MODELO!$B$35)</f>
        <v>0</v>
      </c>
      <c r="L788">
        <f t="shared" si="37"/>
        <v>42.78</v>
      </c>
      <c r="M788" t="str">
        <f t="shared" si="38"/>
        <v>Regular</v>
      </c>
      <c r="N788">
        <f>IF(M788=PARAMS_MODELO!$A$36,PARAMS_MODELO!$B$36,IF(M788=PARAMS_MODELO!$A$37,PARAMS_MODELO!$B$37,IF(M788=PARAMS_MODELO!$A$38,PARAMS_MODELO!$B$38,IF(M788=PARAMS_MODELO!$A$39,PARAMS_MODELO!$B$39,IF(M788=PARAMS_MODELO!$A$40,PARAMS_MODELO!$B$40)))))</f>
        <v>1</v>
      </c>
    </row>
    <row r="789" spans="1:14" x14ac:dyDescent="0.3">
      <c r="A789">
        <v>51026063</v>
      </c>
      <c r="B789">
        <v>64</v>
      </c>
      <c r="C789">
        <v>53</v>
      </c>
      <c r="D789">
        <f t="shared" si="36"/>
        <v>1.2075471698113207</v>
      </c>
      <c r="E789">
        <f>ROUND(MIN(5,MAX(0,D789))/5*PARAMS_MODELO!$B$32,2)</f>
        <v>9.66</v>
      </c>
      <c r="F789">
        <v>2</v>
      </c>
      <c r="G789">
        <f>MAX(0,PARAMS_MODELO!$B$33-VALUE(TRIM(F789))*3)</f>
        <v>24</v>
      </c>
      <c r="H789">
        <v>2</v>
      </c>
      <c r="I789">
        <f>ROUND(MIN(4,MAX(0,H789))/4*PARAMS_MODELO!$B$34,2)</f>
        <v>10</v>
      </c>
      <c r="J789">
        <v>0</v>
      </c>
      <c r="K789">
        <f>IF(J789=0,0,PARAMS_MODELO!$B$35)</f>
        <v>0</v>
      </c>
      <c r="L789">
        <f t="shared" si="37"/>
        <v>43.66</v>
      </c>
      <c r="M789" t="str">
        <f t="shared" si="38"/>
        <v>Regular</v>
      </c>
      <c r="N789">
        <f>IF(M789=PARAMS_MODELO!$A$36,PARAMS_MODELO!$B$36,IF(M789=PARAMS_MODELO!$A$37,PARAMS_MODELO!$B$37,IF(M789=PARAMS_MODELO!$A$38,PARAMS_MODELO!$B$38,IF(M789=PARAMS_MODELO!$A$39,PARAMS_MODELO!$B$39,IF(M789=PARAMS_MODELO!$A$40,PARAMS_MODELO!$B$40)))))</f>
        <v>1</v>
      </c>
    </row>
    <row r="790" spans="1:14" x14ac:dyDescent="0.3">
      <c r="A790">
        <v>51043995</v>
      </c>
      <c r="B790">
        <v>41</v>
      </c>
      <c r="C790">
        <v>2</v>
      </c>
      <c r="D790">
        <f t="shared" si="36"/>
        <v>5</v>
      </c>
      <c r="E790">
        <f>ROUND(MIN(5,MAX(0,D790))/5*PARAMS_MODELO!$B$32,2)</f>
        <v>40</v>
      </c>
      <c r="F790">
        <v>0</v>
      </c>
      <c r="G790">
        <f>MAX(0,PARAMS_MODELO!$B$33-VALUE(TRIM(F790))*3)</f>
        <v>30</v>
      </c>
      <c r="H790">
        <v>0</v>
      </c>
      <c r="I790">
        <f>ROUND(MIN(4,MAX(0,H790))/4*PARAMS_MODELO!$B$34,2)</f>
        <v>0</v>
      </c>
      <c r="J790">
        <v>0</v>
      </c>
      <c r="K790">
        <f>IF(J790=0,0,PARAMS_MODELO!$B$35)</f>
        <v>0</v>
      </c>
      <c r="L790">
        <f t="shared" si="37"/>
        <v>70</v>
      </c>
      <c r="M790" t="str">
        <f t="shared" si="38"/>
        <v>Bueno</v>
      </c>
      <c r="N790">
        <f>IF(M790=PARAMS_MODELO!$A$36,PARAMS_MODELO!$B$36,IF(M790=PARAMS_MODELO!$A$37,PARAMS_MODELO!$B$37,IF(M790=PARAMS_MODELO!$A$38,PARAMS_MODELO!$B$38,IF(M790=PARAMS_MODELO!$A$39,PARAMS_MODELO!$B$39,IF(M790=PARAMS_MODELO!$A$40,PARAMS_MODELO!$B$40)))))</f>
        <v>1.1000000000000001</v>
      </c>
    </row>
    <row r="791" spans="1:14" x14ac:dyDescent="0.3">
      <c r="A791">
        <v>51011074</v>
      </c>
      <c r="B791">
        <v>85</v>
      </c>
      <c r="C791">
        <v>27</v>
      </c>
      <c r="D791">
        <f t="shared" si="36"/>
        <v>3.1481481481481484</v>
      </c>
      <c r="E791">
        <f>ROUND(MIN(5,MAX(0,D791))/5*PARAMS_MODELO!$B$32,2)</f>
        <v>25.19</v>
      </c>
      <c r="F791">
        <v>1</v>
      </c>
      <c r="G791">
        <f>MAX(0,PARAMS_MODELO!$B$33-VALUE(TRIM(F791))*3)</f>
        <v>27</v>
      </c>
      <c r="H791">
        <v>2</v>
      </c>
      <c r="I791">
        <f>ROUND(MIN(4,MAX(0,H791))/4*PARAMS_MODELO!$B$34,2)</f>
        <v>10</v>
      </c>
      <c r="J791">
        <v>0</v>
      </c>
      <c r="K791">
        <f>IF(J791=0,0,PARAMS_MODELO!$B$35)</f>
        <v>0</v>
      </c>
      <c r="L791">
        <f t="shared" si="37"/>
        <v>62.19</v>
      </c>
      <c r="M791" t="str">
        <f t="shared" si="38"/>
        <v>Bueno</v>
      </c>
      <c r="N791">
        <f>IF(M791=PARAMS_MODELO!$A$36,PARAMS_MODELO!$B$36,IF(M791=PARAMS_MODELO!$A$37,PARAMS_MODELO!$B$37,IF(M791=PARAMS_MODELO!$A$38,PARAMS_MODELO!$B$38,IF(M791=PARAMS_MODELO!$A$39,PARAMS_MODELO!$B$39,IF(M791=PARAMS_MODELO!$A$40,PARAMS_MODELO!$B$40)))))</f>
        <v>1.1000000000000001</v>
      </c>
    </row>
    <row r="792" spans="1:14" x14ac:dyDescent="0.3">
      <c r="A792">
        <v>51003225</v>
      </c>
      <c r="B792">
        <v>76</v>
      </c>
      <c r="C792">
        <v>62</v>
      </c>
      <c r="D792">
        <f t="shared" si="36"/>
        <v>1.2258064516129032</v>
      </c>
      <c r="E792">
        <f>ROUND(MIN(5,MAX(0,D792))/5*PARAMS_MODELO!$B$32,2)</f>
        <v>9.81</v>
      </c>
      <c r="F792">
        <v>2</v>
      </c>
      <c r="G792">
        <f>MAX(0,PARAMS_MODELO!$B$33-VALUE(TRIM(F792))*3)</f>
        <v>24</v>
      </c>
      <c r="H792">
        <v>4</v>
      </c>
      <c r="I792">
        <f>ROUND(MIN(4,MAX(0,H792))/4*PARAMS_MODELO!$B$34,2)</f>
        <v>20</v>
      </c>
      <c r="J792">
        <v>1</v>
      </c>
      <c r="K792">
        <f>IF(J792=0,0,PARAMS_MODELO!$B$35)</f>
        <v>10</v>
      </c>
      <c r="L792">
        <f t="shared" si="37"/>
        <v>63.81</v>
      </c>
      <c r="M792" t="str">
        <f t="shared" si="38"/>
        <v>Bueno</v>
      </c>
      <c r="N792">
        <f>IF(M792=PARAMS_MODELO!$A$36,PARAMS_MODELO!$B$36,IF(M792=PARAMS_MODELO!$A$37,PARAMS_MODELO!$B$37,IF(M792=PARAMS_MODELO!$A$38,PARAMS_MODELO!$B$38,IF(M792=PARAMS_MODELO!$A$39,PARAMS_MODELO!$B$39,IF(M792=PARAMS_MODELO!$A$40,PARAMS_MODELO!$B$40)))))</f>
        <v>1.1000000000000001</v>
      </c>
    </row>
    <row r="793" spans="1:14" x14ac:dyDescent="0.3">
      <c r="A793">
        <v>51024966</v>
      </c>
      <c r="B793">
        <v>24</v>
      </c>
      <c r="C793">
        <v>67</v>
      </c>
      <c r="D793">
        <f t="shared" si="36"/>
        <v>0.35820895522388058</v>
      </c>
      <c r="E793">
        <f>ROUND(MIN(5,MAX(0,D793))/5*PARAMS_MODELO!$B$32,2)</f>
        <v>2.87</v>
      </c>
      <c r="F793">
        <v>2</v>
      </c>
      <c r="G793">
        <f>MAX(0,PARAMS_MODELO!$B$33-VALUE(TRIM(F793))*3)</f>
        <v>24</v>
      </c>
      <c r="H793">
        <v>2</v>
      </c>
      <c r="I793">
        <f>ROUND(MIN(4,MAX(0,H793))/4*PARAMS_MODELO!$B$34,2)</f>
        <v>10</v>
      </c>
      <c r="J793">
        <v>1</v>
      </c>
      <c r="K793">
        <f>IF(J793=0,0,PARAMS_MODELO!$B$35)</f>
        <v>10</v>
      </c>
      <c r="L793">
        <f t="shared" si="37"/>
        <v>46.870000000000005</v>
      </c>
      <c r="M793" t="str">
        <f t="shared" si="38"/>
        <v>Regular</v>
      </c>
      <c r="N793">
        <f>IF(M793=PARAMS_MODELO!$A$36,PARAMS_MODELO!$B$36,IF(M793=PARAMS_MODELO!$A$37,PARAMS_MODELO!$B$37,IF(M793=PARAMS_MODELO!$A$38,PARAMS_MODELO!$B$38,IF(M793=PARAMS_MODELO!$A$39,PARAMS_MODELO!$B$39,IF(M793=PARAMS_MODELO!$A$40,PARAMS_MODELO!$B$40)))))</f>
        <v>1</v>
      </c>
    </row>
    <row r="794" spans="1:14" x14ac:dyDescent="0.3">
      <c r="A794">
        <v>51038673</v>
      </c>
      <c r="B794">
        <v>60</v>
      </c>
      <c r="C794">
        <v>98</v>
      </c>
      <c r="D794">
        <f t="shared" si="36"/>
        <v>0.61224489795918369</v>
      </c>
      <c r="E794">
        <f>ROUND(MIN(5,MAX(0,D794))/5*PARAMS_MODELO!$B$32,2)</f>
        <v>4.9000000000000004</v>
      </c>
      <c r="F794">
        <v>5</v>
      </c>
      <c r="G794">
        <f>MAX(0,PARAMS_MODELO!$B$33-VALUE(TRIM(F794))*3)</f>
        <v>15</v>
      </c>
      <c r="H794">
        <v>0</v>
      </c>
      <c r="I794">
        <f>ROUND(MIN(4,MAX(0,H794))/4*PARAMS_MODELO!$B$34,2)</f>
        <v>0</v>
      </c>
      <c r="J794">
        <v>0</v>
      </c>
      <c r="K794">
        <f>IF(J794=0,0,PARAMS_MODELO!$B$35)</f>
        <v>0</v>
      </c>
      <c r="L794">
        <f t="shared" si="37"/>
        <v>19.899999999999999</v>
      </c>
      <c r="M794" t="str">
        <f t="shared" si="38"/>
        <v>Malo</v>
      </c>
      <c r="N794">
        <f>IF(M794=PARAMS_MODELO!$A$36,PARAMS_MODELO!$B$36,IF(M794=PARAMS_MODELO!$A$37,PARAMS_MODELO!$B$37,IF(M794=PARAMS_MODELO!$A$38,PARAMS_MODELO!$B$38,IF(M794=PARAMS_MODELO!$A$39,PARAMS_MODELO!$B$39,IF(M794=PARAMS_MODELO!$A$40,PARAMS_MODELO!$B$40)))))</f>
        <v>0.7</v>
      </c>
    </row>
    <row r="795" spans="1:14" x14ac:dyDescent="0.3">
      <c r="A795">
        <v>51013271</v>
      </c>
      <c r="B795">
        <v>20</v>
      </c>
      <c r="C795">
        <v>47</v>
      </c>
      <c r="D795">
        <f t="shared" si="36"/>
        <v>0.42553191489361702</v>
      </c>
      <c r="E795">
        <f>ROUND(MIN(5,MAX(0,D795))/5*PARAMS_MODELO!$B$32,2)</f>
        <v>3.4</v>
      </c>
      <c r="F795">
        <v>0</v>
      </c>
      <c r="G795">
        <f>MAX(0,PARAMS_MODELO!$B$33-VALUE(TRIM(F795))*3)</f>
        <v>30</v>
      </c>
      <c r="H795">
        <v>1</v>
      </c>
      <c r="I795">
        <f>ROUND(MIN(4,MAX(0,H795))/4*PARAMS_MODELO!$B$34,2)</f>
        <v>5</v>
      </c>
      <c r="J795">
        <v>1</v>
      </c>
      <c r="K795">
        <f>IF(J795=0,0,PARAMS_MODELO!$B$35)</f>
        <v>10</v>
      </c>
      <c r="L795">
        <f t="shared" si="37"/>
        <v>48.4</v>
      </c>
      <c r="M795" t="str">
        <f t="shared" si="38"/>
        <v>Regular</v>
      </c>
      <c r="N795">
        <f>IF(M795=PARAMS_MODELO!$A$36,PARAMS_MODELO!$B$36,IF(M795=PARAMS_MODELO!$A$37,PARAMS_MODELO!$B$37,IF(M795=PARAMS_MODELO!$A$38,PARAMS_MODELO!$B$38,IF(M795=PARAMS_MODELO!$A$39,PARAMS_MODELO!$B$39,IF(M795=PARAMS_MODELO!$A$40,PARAMS_MODELO!$B$40)))))</f>
        <v>1</v>
      </c>
    </row>
    <row r="796" spans="1:14" x14ac:dyDescent="0.3">
      <c r="A796">
        <v>51038894</v>
      </c>
      <c r="B796">
        <v>66</v>
      </c>
      <c r="C796">
        <v>48</v>
      </c>
      <c r="D796">
        <f t="shared" si="36"/>
        <v>1.375</v>
      </c>
      <c r="E796">
        <f>ROUND(MIN(5,MAX(0,D796))/5*PARAMS_MODELO!$B$32,2)</f>
        <v>11</v>
      </c>
      <c r="F796">
        <v>5</v>
      </c>
      <c r="G796">
        <f>MAX(0,PARAMS_MODELO!$B$33-VALUE(TRIM(F796))*3)</f>
        <v>15</v>
      </c>
      <c r="H796">
        <v>4</v>
      </c>
      <c r="I796">
        <f>ROUND(MIN(4,MAX(0,H796))/4*PARAMS_MODELO!$B$34,2)</f>
        <v>20</v>
      </c>
      <c r="J796">
        <v>1</v>
      </c>
      <c r="K796">
        <f>IF(J796=0,0,PARAMS_MODELO!$B$35)</f>
        <v>10</v>
      </c>
      <c r="L796">
        <f t="shared" si="37"/>
        <v>56</v>
      </c>
      <c r="M796" t="str">
        <f t="shared" si="38"/>
        <v>Regular</v>
      </c>
      <c r="N796">
        <f>IF(M796=PARAMS_MODELO!$A$36,PARAMS_MODELO!$B$36,IF(M796=PARAMS_MODELO!$A$37,PARAMS_MODELO!$B$37,IF(M796=PARAMS_MODELO!$A$38,PARAMS_MODELO!$B$38,IF(M796=PARAMS_MODELO!$A$39,PARAMS_MODELO!$B$39,IF(M796=PARAMS_MODELO!$A$40,PARAMS_MODELO!$B$40)))))</f>
        <v>1</v>
      </c>
    </row>
    <row r="797" spans="1:14" x14ac:dyDescent="0.3">
      <c r="A797">
        <v>51021843</v>
      </c>
      <c r="B797">
        <v>28</v>
      </c>
      <c r="C797">
        <v>33</v>
      </c>
      <c r="D797">
        <f t="shared" si="36"/>
        <v>0.84848484848484851</v>
      </c>
      <c r="E797">
        <f>ROUND(MIN(5,MAX(0,D797))/5*PARAMS_MODELO!$B$32,2)</f>
        <v>6.79</v>
      </c>
      <c r="F797">
        <v>5</v>
      </c>
      <c r="G797">
        <f>MAX(0,PARAMS_MODELO!$B$33-VALUE(TRIM(F797))*3)</f>
        <v>15</v>
      </c>
      <c r="H797">
        <v>4</v>
      </c>
      <c r="I797">
        <f>ROUND(MIN(4,MAX(0,H797))/4*PARAMS_MODELO!$B$34,2)</f>
        <v>20</v>
      </c>
      <c r="J797">
        <v>0</v>
      </c>
      <c r="K797">
        <f>IF(J797=0,0,PARAMS_MODELO!$B$35)</f>
        <v>0</v>
      </c>
      <c r="L797">
        <f t="shared" si="37"/>
        <v>41.79</v>
      </c>
      <c r="M797" t="str">
        <f t="shared" si="38"/>
        <v>Regular</v>
      </c>
      <c r="N797">
        <f>IF(M797=PARAMS_MODELO!$A$36,PARAMS_MODELO!$B$36,IF(M797=PARAMS_MODELO!$A$37,PARAMS_MODELO!$B$37,IF(M797=PARAMS_MODELO!$A$38,PARAMS_MODELO!$B$38,IF(M797=PARAMS_MODELO!$A$39,PARAMS_MODELO!$B$39,IF(M797=PARAMS_MODELO!$A$40,PARAMS_MODELO!$B$40)))))</f>
        <v>1</v>
      </c>
    </row>
    <row r="798" spans="1:14" x14ac:dyDescent="0.3">
      <c r="A798">
        <v>51024109</v>
      </c>
      <c r="B798">
        <v>79</v>
      </c>
      <c r="C798">
        <v>61</v>
      </c>
      <c r="D798">
        <f t="shared" si="36"/>
        <v>1.2950819672131149</v>
      </c>
      <c r="E798">
        <f>ROUND(MIN(5,MAX(0,D798))/5*PARAMS_MODELO!$B$32,2)</f>
        <v>10.36</v>
      </c>
      <c r="F798">
        <v>2</v>
      </c>
      <c r="G798">
        <f>MAX(0,PARAMS_MODELO!$B$33-VALUE(TRIM(F798))*3)</f>
        <v>24</v>
      </c>
      <c r="H798">
        <v>1</v>
      </c>
      <c r="I798">
        <f>ROUND(MIN(4,MAX(0,H798))/4*PARAMS_MODELO!$B$34,2)</f>
        <v>5</v>
      </c>
      <c r="J798">
        <v>1</v>
      </c>
      <c r="K798">
        <f>IF(J798=0,0,PARAMS_MODELO!$B$35)</f>
        <v>10</v>
      </c>
      <c r="L798">
        <f t="shared" si="37"/>
        <v>49.36</v>
      </c>
      <c r="M798" t="str">
        <f t="shared" si="38"/>
        <v>Regular</v>
      </c>
      <c r="N798">
        <f>IF(M798=PARAMS_MODELO!$A$36,PARAMS_MODELO!$B$36,IF(M798=PARAMS_MODELO!$A$37,PARAMS_MODELO!$B$37,IF(M798=PARAMS_MODELO!$A$38,PARAMS_MODELO!$B$38,IF(M798=PARAMS_MODELO!$A$39,PARAMS_MODELO!$B$39,IF(M798=PARAMS_MODELO!$A$40,PARAMS_MODELO!$B$40)))))</f>
        <v>1</v>
      </c>
    </row>
    <row r="799" spans="1:14" x14ac:dyDescent="0.3">
      <c r="A799">
        <v>51056159</v>
      </c>
      <c r="B799">
        <v>95</v>
      </c>
      <c r="C799">
        <v>70</v>
      </c>
      <c r="D799">
        <f t="shared" si="36"/>
        <v>1.3571428571428572</v>
      </c>
      <c r="E799">
        <f>ROUND(MIN(5,MAX(0,D799))/5*PARAMS_MODELO!$B$32,2)</f>
        <v>10.86</v>
      </c>
      <c r="F799">
        <v>2</v>
      </c>
      <c r="G799">
        <f>MAX(0,PARAMS_MODELO!$B$33-VALUE(TRIM(F799))*3)</f>
        <v>24</v>
      </c>
      <c r="H799">
        <v>4</v>
      </c>
      <c r="I799">
        <f>ROUND(MIN(4,MAX(0,H799))/4*PARAMS_MODELO!$B$34,2)</f>
        <v>20</v>
      </c>
      <c r="J799">
        <v>1</v>
      </c>
      <c r="K799">
        <f>IF(J799=0,0,PARAMS_MODELO!$B$35)</f>
        <v>10</v>
      </c>
      <c r="L799">
        <f t="shared" si="37"/>
        <v>64.86</v>
      </c>
      <c r="M799" t="str">
        <f t="shared" si="38"/>
        <v>Bueno</v>
      </c>
      <c r="N799">
        <f>IF(M799=PARAMS_MODELO!$A$36,PARAMS_MODELO!$B$36,IF(M799=PARAMS_MODELO!$A$37,PARAMS_MODELO!$B$37,IF(M799=PARAMS_MODELO!$A$38,PARAMS_MODELO!$B$38,IF(M799=PARAMS_MODELO!$A$39,PARAMS_MODELO!$B$39,IF(M799=PARAMS_MODELO!$A$40,PARAMS_MODELO!$B$40)))))</f>
        <v>1.1000000000000001</v>
      </c>
    </row>
    <row r="800" spans="1:14" x14ac:dyDescent="0.3">
      <c r="A800">
        <v>51036981</v>
      </c>
      <c r="B800">
        <v>95</v>
      </c>
      <c r="C800">
        <v>58</v>
      </c>
      <c r="D800">
        <f t="shared" si="36"/>
        <v>1.6379310344827587</v>
      </c>
      <c r="E800">
        <f>ROUND(MIN(5,MAX(0,D800))/5*PARAMS_MODELO!$B$32,2)</f>
        <v>13.1</v>
      </c>
      <c r="F800">
        <v>3</v>
      </c>
      <c r="G800">
        <f>MAX(0,PARAMS_MODELO!$B$33-VALUE(TRIM(F800))*3)</f>
        <v>21</v>
      </c>
      <c r="H800">
        <v>0</v>
      </c>
      <c r="I800">
        <f>ROUND(MIN(4,MAX(0,H800))/4*PARAMS_MODELO!$B$34,2)</f>
        <v>0</v>
      </c>
      <c r="J800">
        <v>0</v>
      </c>
      <c r="K800">
        <f>IF(J800=0,0,PARAMS_MODELO!$B$35)</f>
        <v>0</v>
      </c>
      <c r="L800">
        <f t="shared" si="37"/>
        <v>34.1</v>
      </c>
      <c r="M800" t="str">
        <f t="shared" si="38"/>
        <v>Malo</v>
      </c>
      <c r="N800">
        <f>IF(M800=PARAMS_MODELO!$A$36,PARAMS_MODELO!$B$36,IF(M800=PARAMS_MODELO!$A$37,PARAMS_MODELO!$B$37,IF(M800=PARAMS_MODELO!$A$38,PARAMS_MODELO!$B$38,IF(M800=PARAMS_MODELO!$A$39,PARAMS_MODELO!$B$39,IF(M800=PARAMS_MODELO!$A$40,PARAMS_MODELO!$B$40)))))</f>
        <v>0.7</v>
      </c>
    </row>
    <row r="801" spans="1:14" x14ac:dyDescent="0.3">
      <c r="A801">
        <v>51032519</v>
      </c>
      <c r="B801">
        <v>31</v>
      </c>
      <c r="C801">
        <v>96</v>
      </c>
      <c r="D801">
        <f t="shared" si="36"/>
        <v>0.32291666666666669</v>
      </c>
      <c r="E801">
        <f>ROUND(MIN(5,MAX(0,D801))/5*PARAMS_MODELO!$B$32,2)</f>
        <v>2.58</v>
      </c>
      <c r="F801">
        <v>2</v>
      </c>
      <c r="G801">
        <f>MAX(0,PARAMS_MODELO!$B$33-VALUE(TRIM(F801))*3)</f>
        <v>24</v>
      </c>
      <c r="H801">
        <v>0</v>
      </c>
      <c r="I801">
        <f>ROUND(MIN(4,MAX(0,H801))/4*PARAMS_MODELO!$B$34,2)</f>
        <v>0</v>
      </c>
      <c r="J801">
        <v>0</v>
      </c>
      <c r="K801">
        <f>IF(J801=0,0,PARAMS_MODELO!$B$35)</f>
        <v>0</v>
      </c>
      <c r="L801">
        <f t="shared" si="37"/>
        <v>26.58</v>
      </c>
      <c r="M801" t="str">
        <f t="shared" si="38"/>
        <v>Malo</v>
      </c>
      <c r="N801">
        <f>IF(M801=PARAMS_MODELO!$A$36,PARAMS_MODELO!$B$36,IF(M801=PARAMS_MODELO!$A$37,PARAMS_MODELO!$B$37,IF(M801=PARAMS_MODELO!$A$38,PARAMS_MODELO!$B$38,IF(M801=PARAMS_MODELO!$A$39,PARAMS_MODELO!$B$39,IF(M801=PARAMS_MODELO!$A$40,PARAMS_MODELO!$B$40)))))</f>
        <v>0.7</v>
      </c>
    </row>
    <row r="802" spans="1:14" x14ac:dyDescent="0.3">
      <c r="A802">
        <v>51055519</v>
      </c>
      <c r="B802">
        <v>5</v>
      </c>
      <c r="C802">
        <v>77</v>
      </c>
      <c r="D802">
        <f t="shared" si="36"/>
        <v>6.4935064935064929E-2</v>
      </c>
      <c r="E802">
        <f>ROUND(MIN(5,MAX(0,D802))/5*PARAMS_MODELO!$B$32,2)</f>
        <v>0.52</v>
      </c>
      <c r="F802">
        <v>4</v>
      </c>
      <c r="G802">
        <f>MAX(0,PARAMS_MODELO!$B$33-VALUE(TRIM(F802))*3)</f>
        <v>18</v>
      </c>
      <c r="H802">
        <v>0</v>
      </c>
      <c r="I802">
        <f>ROUND(MIN(4,MAX(0,H802))/4*PARAMS_MODELO!$B$34,2)</f>
        <v>0</v>
      </c>
      <c r="J802">
        <v>1</v>
      </c>
      <c r="K802">
        <f>IF(J802=0,0,PARAMS_MODELO!$B$35)</f>
        <v>10</v>
      </c>
      <c r="L802">
        <f t="shared" si="37"/>
        <v>28.52</v>
      </c>
      <c r="M802" t="str">
        <f t="shared" si="38"/>
        <v>Malo</v>
      </c>
      <c r="N802">
        <f>IF(M802=PARAMS_MODELO!$A$36,PARAMS_MODELO!$B$36,IF(M802=PARAMS_MODELO!$A$37,PARAMS_MODELO!$B$37,IF(M802=PARAMS_MODELO!$A$38,PARAMS_MODELO!$B$38,IF(M802=PARAMS_MODELO!$A$39,PARAMS_MODELO!$B$39,IF(M802=PARAMS_MODELO!$A$40,PARAMS_MODELO!$B$40)))))</f>
        <v>0.7</v>
      </c>
    </row>
    <row r="803" spans="1:14" x14ac:dyDescent="0.3">
      <c r="A803">
        <v>51032969</v>
      </c>
      <c r="B803">
        <v>0</v>
      </c>
      <c r="C803">
        <v>57</v>
      </c>
      <c r="D803">
        <f t="shared" si="36"/>
        <v>0</v>
      </c>
      <c r="E803">
        <f>ROUND(MIN(5,MAX(0,D803))/5*PARAMS_MODELO!$B$32,2)</f>
        <v>0</v>
      </c>
      <c r="F803">
        <v>4</v>
      </c>
      <c r="G803">
        <f>MAX(0,PARAMS_MODELO!$B$33-VALUE(TRIM(F803))*3)</f>
        <v>18</v>
      </c>
      <c r="H803">
        <v>2</v>
      </c>
      <c r="I803">
        <f>ROUND(MIN(4,MAX(0,H803))/4*PARAMS_MODELO!$B$34,2)</f>
        <v>10</v>
      </c>
      <c r="J803">
        <v>1</v>
      </c>
      <c r="K803">
        <f>IF(J803=0,0,PARAMS_MODELO!$B$35)</f>
        <v>10</v>
      </c>
      <c r="L803">
        <f t="shared" si="37"/>
        <v>38</v>
      </c>
      <c r="M803" t="str">
        <f t="shared" si="38"/>
        <v>Malo</v>
      </c>
      <c r="N803">
        <f>IF(M803=PARAMS_MODELO!$A$36,PARAMS_MODELO!$B$36,IF(M803=PARAMS_MODELO!$A$37,PARAMS_MODELO!$B$37,IF(M803=PARAMS_MODELO!$A$38,PARAMS_MODELO!$B$38,IF(M803=PARAMS_MODELO!$A$39,PARAMS_MODELO!$B$39,IF(M803=PARAMS_MODELO!$A$40,PARAMS_MODELO!$B$40)))))</f>
        <v>0.7</v>
      </c>
    </row>
    <row r="804" spans="1:14" x14ac:dyDescent="0.3">
      <c r="A804">
        <v>51017587</v>
      </c>
      <c r="B804">
        <v>71</v>
      </c>
      <c r="C804">
        <v>4</v>
      </c>
      <c r="D804">
        <f t="shared" si="36"/>
        <v>5</v>
      </c>
      <c r="E804">
        <f>ROUND(MIN(5,MAX(0,D804))/5*PARAMS_MODELO!$B$32,2)</f>
        <v>40</v>
      </c>
      <c r="F804">
        <v>2</v>
      </c>
      <c r="G804">
        <f>MAX(0,PARAMS_MODELO!$B$33-VALUE(TRIM(F804))*3)</f>
        <v>24</v>
      </c>
      <c r="H804">
        <v>3</v>
      </c>
      <c r="I804">
        <f>ROUND(MIN(4,MAX(0,H804))/4*PARAMS_MODELO!$B$34,2)</f>
        <v>15</v>
      </c>
      <c r="J804">
        <v>0</v>
      </c>
      <c r="K804">
        <f>IF(J804=0,0,PARAMS_MODELO!$B$35)</f>
        <v>0</v>
      </c>
      <c r="L804">
        <f t="shared" si="37"/>
        <v>79</v>
      </c>
      <c r="M804" t="str">
        <f t="shared" si="38"/>
        <v>Muy Bueno</v>
      </c>
      <c r="N804">
        <f>IF(M804=PARAMS_MODELO!$A$36,PARAMS_MODELO!$B$36,IF(M804=PARAMS_MODELO!$A$37,PARAMS_MODELO!$B$37,IF(M804=PARAMS_MODELO!$A$38,PARAMS_MODELO!$B$38,IF(M804=PARAMS_MODELO!$A$39,PARAMS_MODELO!$B$39,IF(M804=PARAMS_MODELO!$A$40,PARAMS_MODELO!$B$40)))))</f>
        <v>1.1499999999999999</v>
      </c>
    </row>
    <row r="805" spans="1:14" x14ac:dyDescent="0.3">
      <c r="A805">
        <v>51018214</v>
      </c>
      <c r="B805">
        <v>77</v>
      </c>
      <c r="C805">
        <v>61</v>
      </c>
      <c r="D805">
        <f t="shared" si="36"/>
        <v>1.2622950819672132</v>
      </c>
      <c r="E805">
        <f>ROUND(MIN(5,MAX(0,D805))/5*PARAMS_MODELO!$B$32,2)</f>
        <v>10.1</v>
      </c>
      <c r="F805">
        <v>4</v>
      </c>
      <c r="G805">
        <f>MAX(0,PARAMS_MODELO!$B$33-VALUE(TRIM(F805))*3)</f>
        <v>18</v>
      </c>
      <c r="H805">
        <v>4</v>
      </c>
      <c r="I805">
        <f>ROUND(MIN(4,MAX(0,H805))/4*PARAMS_MODELO!$B$34,2)</f>
        <v>20</v>
      </c>
      <c r="J805">
        <v>0</v>
      </c>
      <c r="K805">
        <f>IF(J805=0,0,PARAMS_MODELO!$B$35)</f>
        <v>0</v>
      </c>
      <c r="L805">
        <f t="shared" si="37"/>
        <v>48.1</v>
      </c>
      <c r="M805" t="str">
        <f t="shared" si="38"/>
        <v>Regular</v>
      </c>
      <c r="N805">
        <f>IF(M805=PARAMS_MODELO!$A$36,PARAMS_MODELO!$B$36,IF(M805=PARAMS_MODELO!$A$37,PARAMS_MODELO!$B$37,IF(M805=PARAMS_MODELO!$A$38,PARAMS_MODELO!$B$38,IF(M805=PARAMS_MODELO!$A$39,PARAMS_MODELO!$B$39,IF(M805=PARAMS_MODELO!$A$40,PARAMS_MODELO!$B$40)))))</f>
        <v>1</v>
      </c>
    </row>
    <row r="806" spans="1:14" x14ac:dyDescent="0.3">
      <c r="A806">
        <v>51016661</v>
      </c>
      <c r="B806">
        <v>39</v>
      </c>
      <c r="C806">
        <v>33</v>
      </c>
      <c r="D806">
        <f t="shared" si="36"/>
        <v>1.1818181818181819</v>
      </c>
      <c r="E806">
        <f>ROUND(MIN(5,MAX(0,D806))/5*PARAMS_MODELO!$B$32,2)</f>
        <v>9.4499999999999993</v>
      </c>
      <c r="F806">
        <v>3</v>
      </c>
      <c r="G806">
        <f>MAX(0,PARAMS_MODELO!$B$33-VALUE(TRIM(F806))*3)</f>
        <v>21</v>
      </c>
      <c r="H806">
        <v>1</v>
      </c>
      <c r="I806">
        <f>ROUND(MIN(4,MAX(0,H806))/4*PARAMS_MODELO!$B$34,2)</f>
        <v>5</v>
      </c>
      <c r="J806">
        <v>1</v>
      </c>
      <c r="K806">
        <f>IF(J806=0,0,PARAMS_MODELO!$B$35)</f>
        <v>10</v>
      </c>
      <c r="L806">
        <f t="shared" si="37"/>
        <v>45.45</v>
      </c>
      <c r="M806" t="str">
        <f t="shared" si="38"/>
        <v>Regular</v>
      </c>
      <c r="N806">
        <f>IF(M806=PARAMS_MODELO!$A$36,PARAMS_MODELO!$B$36,IF(M806=PARAMS_MODELO!$A$37,PARAMS_MODELO!$B$37,IF(M806=PARAMS_MODELO!$A$38,PARAMS_MODELO!$B$38,IF(M806=PARAMS_MODELO!$A$39,PARAMS_MODELO!$B$39,IF(M806=PARAMS_MODELO!$A$40,PARAMS_MODELO!$B$40)))))</f>
        <v>1</v>
      </c>
    </row>
    <row r="807" spans="1:14" x14ac:dyDescent="0.3">
      <c r="A807">
        <v>51002296</v>
      </c>
      <c r="B807">
        <v>31</v>
      </c>
      <c r="C807">
        <v>67</v>
      </c>
      <c r="D807">
        <f t="shared" si="36"/>
        <v>0.46268656716417911</v>
      </c>
      <c r="E807">
        <f>ROUND(MIN(5,MAX(0,D807))/5*PARAMS_MODELO!$B$32,2)</f>
        <v>3.7</v>
      </c>
      <c r="F807">
        <v>5</v>
      </c>
      <c r="G807">
        <f>MAX(0,PARAMS_MODELO!$B$33-VALUE(TRIM(F807))*3)</f>
        <v>15</v>
      </c>
      <c r="H807">
        <v>3</v>
      </c>
      <c r="I807">
        <f>ROUND(MIN(4,MAX(0,H807))/4*PARAMS_MODELO!$B$34,2)</f>
        <v>15</v>
      </c>
      <c r="J807">
        <v>1</v>
      </c>
      <c r="K807">
        <f>IF(J807=0,0,PARAMS_MODELO!$B$35)</f>
        <v>10</v>
      </c>
      <c r="L807">
        <f t="shared" si="37"/>
        <v>43.7</v>
      </c>
      <c r="M807" t="str">
        <f t="shared" si="38"/>
        <v>Regular</v>
      </c>
      <c r="N807">
        <f>IF(M807=PARAMS_MODELO!$A$36,PARAMS_MODELO!$B$36,IF(M807=PARAMS_MODELO!$A$37,PARAMS_MODELO!$B$37,IF(M807=PARAMS_MODELO!$A$38,PARAMS_MODELO!$B$38,IF(M807=PARAMS_MODELO!$A$39,PARAMS_MODELO!$B$39,IF(M807=PARAMS_MODELO!$A$40,PARAMS_MODELO!$B$40)))))</f>
        <v>1</v>
      </c>
    </row>
    <row r="808" spans="1:14" x14ac:dyDescent="0.3">
      <c r="A808">
        <v>51016998</v>
      </c>
      <c r="B808">
        <v>21</v>
      </c>
      <c r="C808">
        <v>99</v>
      </c>
      <c r="D808">
        <f t="shared" si="36"/>
        <v>0.21212121212121213</v>
      </c>
      <c r="E808">
        <f>ROUND(MIN(5,MAX(0,D808))/5*PARAMS_MODELO!$B$32,2)</f>
        <v>1.7</v>
      </c>
      <c r="F808">
        <v>5</v>
      </c>
      <c r="G808">
        <f>MAX(0,PARAMS_MODELO!$B$33-VALUE(TRIM(F808))*3)</f>
        <v>15</v>
      </c>
      <c r="H808">
        <v>4</v>
      </c>
      <c r="I808">
        <f>ROUND(MIN(4,MAX(0,H808))/4*PARAMS_MODELO!$B$34,2)</f>
        <v>20</v>
      </c>
      <c r="J808">
        <v>0</v>
      </c>
      <c r="K808">
        <f>IF(J808=0,0,PARAMS_MODELO!$B$35)</f>
        <v>0</v>
      </c>
      <c r="L808">
        <f t="shared" si="37"/>
        <v>36.700000000000003</v>
      </c>
      <c r="M808" t="str">
        <f t="shared" si="38"/>
        <v>Malo</v>
      </c>
      <c r="N808">
        <f>IF(M808=PARAMS_MODELO!$A$36,PARAMS_MODELO!$B$36,IF(M808=PARAMS_MODELO!$A$37,PARAMS_MODELO!$B$37,IF(M808=PARAMS_MODELO!$A$38,PARAMS_MODELO!$B$38,IF(M808=PARAMS_MODELO!$A$39,PARAMS_MODELO!$B$39,IF(M808=PARAMS_MODELO!$A$40,PARAMS_MODELO!$B$40)))))</f>
        <v>0.7</v>
      </c>
    </row>
    <row r="809" spans="1:14" x14ac:dyDescent="0.3">
      <c r="A809">
        <v>51005325</v>
      </c>
      <c r="B809">
        <v>41</v>
      </c>
      <c r="C809">
        <v>93</v>
      </c>
      <c r="D809">
        <f t="shared" si="36"/>
        <v>0.44086021505376344</v>
      </c>
      <c r="E809">
        <f>ROUND(MIN(5,MAX(0,D809))/5*PARAMS_MODELO!$B$32,2)</f>
        <v>3.53</v>
      </c>
      <c r="F809">
        <v>3</v>
      </c>
      <c r="G809">
        <f>MAX(0,PARAMS_MODELO!$B$33-VALUE(TRIM(F809))*3)</f>
        <v>21</v>
      </c>
      <c r="H809">
        <v>1</v>
      </c>
      <c r="I809">
        <f>ROUND(MIN(4,MAX(0,H809))/4*PARAMS_MODELO!$B$34,2)</f>
        <v>5</v>
      </c>
      <c r="J809">
        <v>1</v>
      </c>
      <c r="K809">
        <f>IF(J809=0,0,PARAMS_MODELO!$B$35)</f>
        <v>10</v>
      </c>
      <c r="L809">
        <f t="shared" si="37"/>
        <v>39.53</v>
      </c>
      <c r="M809" t="str">
        <f t="shared" si="38"/>
        <v>Malo</v>
      </c>
      <c r="N809">
        <f>IF(M809=PARAMS_MODELO!$A$36,PARAMS_MODELO!$B$36,IF(M809=PARAMS_MODELO!$A$37,PARAMS_MODELO!$B$37,IF(M809=PARAMS_MODELO!$A$38,PARAMS_MODELO!$B$38,IF(M809=PARAMS_MODELO!$A$39,PARAMS_MODELO!$B$39,IF(M809=PARAMS_MODELO!$A$40,PARAMS_MODELO!$B$40)))))</f>
        <v>0.7</v>
      </c>
    </row>
    <row r="810" spans="1:14" x14ac:dyDescent="0.3">
      <c r="A810">
        <v>51011937</v>
      </c>
      <c r="B810">
        <v>7</v>
      </c>
      <c r="C810">
        <v>73</v>
      </c>
      <c r="D810">
        <f t="shared" si="36"/>
        <v>9.5890410958904104E-2</v>
      </c>
      <c r="E810">
        <f>ROUND(MIN(5,MAX(0,D810))/5*PARAMS_MODELO!$B$32,2)</f>
        <v>0.77</v>
      </c>
      <c r="F810">
        <v>0</v>
      </c>
      <c r="G810">
        <f>MAX(0,PARAMS_MODELO!$B$33-VALUE(TRIM(F810))*3)</f>
        <v>30</v>
      </c>
      <c r="H810">
        <v>3</v>
      </c>
      <c r="I810">
        <f>ROUND(MIN(4,MAX(0,H810))/4*PARAMS_MODELO!$B$34,2)</f>
        <v>15</v>
      </c>
      <c r="J810">
        <v>0</v>
      </c>
      <c r="K810">
        <f>IF(J810=0,0,PARAMS_MODELO!$B$35)</f>
        <v>0</v>
      </c>
      <c r="L810">
        <f t="shared" si="37"/>
        <v>45.769999999999996</v>
      </c>
      <c r="M810" t="str">
        <f t="shared" si="38"/>
        <v>Regular</v>
      </c>
      <c r="N810">
        <f>IF(M810=PARAMS_MODELO!$A$36,PARAMS_MODELO!$B$36,IF(M810=PARAMS_MODELO!$A$37,PARAMS_MODELO!$B$37,IF(M810=PARAMS_MODELO!$A$38,PARAMS_MODELO!$B$38,IF(M810=PARAMS_MODELO!$A$39,PARAMS_MODELO!$B$39,IF(M810=PARAMS_MODELO!$A$40,PARAMS_MODELO!$B$40)))))</f>
        <v>1</v>
      </c>
    </row>
    <row r="811" spans="1:14" x14ac:dyDescent="0.3">
      <c r="A811">
        <v>51033191</v>
      </c>
      <c r="B811">
        <v>66</v>
      </c>
      <c r="C811">
        <v>13</v>
      </c>
      <c r="D811">
        <f t="shared" si="36"/>
        <v>5</v>
      </c>
      <c r="E811">
        <f>ROUND(MIN(5,MAX(0,D811))/5*PARAMS_MODELO!$B$32,2)</f>
        <v>40</v>
      </c>
      <c r="F811">
        <v>0</v>
      </c>
      <c r="G811">
        <f>MAX(0,PARAMS_MODELO!$B$33-VALUE(TRIM(F811))*3)</f>
        <v>30</v>
      </c>
      <c r="H811">
        <v>2</v>
      </c>
      <c r="I811">
        <f>ROUND(MIN(4,MAX(0,H811))/4*PARAMS_MODELO!$B$34,2)</f>
        <v>10</v>
      </c>
      <c r="J811">
        <v>0</v>
      </c>
      <c r="K811">
        <f>IF(J811=0,0,PARAMS_MODELO!$B$35)</f>
        <v>0</v>
      </c>
      <c r="L811">
        <f t="shared" si="37"/>
        <v>80</v>
      </c>
      <c r="M811" t="str">
        <f t="shared" si="38"/>
        <v>Muy Bueno</v>
      </c>
      <c r="N811">
        <f>IF(M811=PARAMS_MODELO!$A$36,PARAMS_MODELO!$B$36,IF(M811=PARAMS_MODELO!$A$37,PARAMS_MODELO!$B$37,IF(M811=PARAMS_MODELO!$A$38,PARAMS_MODELO!$B$38,IF(M811=PARAMS_MODELO!$A$39,PARAMS_MODELO!$B$39,IF(M811=PARAMS_MODELO!$A$40,PARAMS_MODELO!$B$40)))))</f>
        <v>1.1499999999999999</v>
      </c>
    </row>
    <row r="812" spans="1:14" x14ac:dyDescent="0.3">
      <c r="A812">
        <v>51032560</v>
      </c>
      <c r="B812">
        <v>42</v>
      </c>
      <c r="C812">
        <v>15</v>
      </c>
      <c r="D812">
        <f t="shared" si="36"/>
        <v>2.8</v>
      </c>
      <c r="E812">
        <f>ROUND(MIN(5,MAX(0,D812))/5*PARAMS_MODELO!$B$32,2)</f>
        <v>22.4</v>
      </c>
      <c r="F812">
        <v>4</v>
      </c>
      <c r="G812">
        <f>MAX(0,PARAMS_MODELO!$B$33-VALUE(TRIM(F812))*3)</f>
        <v>18</v>
      </c>
      <c r="H812">
        <v>4</v>
      </c>
      <c r="I812">
        <f>ROUND(MIN(4,MAX(0,H812))/4*PARAMS_MODELO!$B$34,2)</f>
        <v>20</v>
      </c>
      <c r="J812">
        <v>1</v>
      </c>
      <c r="K812">
        <f>IF(J812=0,0,PARAMS_MODELO!$B$35)</f>
        <v>10</v>
      </c>
      <c r="L812">
        <f t="shared" si="37"/>
        <v>70.400000000000006</v>
      </c>
      <c r="M812" t="str">
        <f t="shared" si="38"/>
        <v>Bueno</v>
      </c>
      <c r="N812">
        <f>IF(M812=PARAMS_MODELO!$A$36,PARAMS_MODELO!$B$36,IF(M812=PARAMS_MODELO!$A$37,PARAMS_MODELO!$B$37,IF(M812=PARAMS_MODELO!$A$38,PARAMS_MODELO!$B$38,IF(M812=PARAMS_MODELO!$A$39,PARAMS_MODELO!$B$39,IF(M812=PARAMS_MODELO!$A$40,PARAMS_MODELO!$B$40)))))</f>
        <v>1.1000000000000001</v>
      </c>
    </row>
    <row r="813" spans="1:14" x14ac:dyDescent="0.3">
      <c r="A813">
        <v>51056302</v>
      </c>
      <c r="B813">
        <v>12</v>
      </c>
      <c r="C813">
        <v>38</v>
      </c>
      <c r="D813">
        <f t="shared" si="36"/>
        <v>0.31578947368421051</v>
      </c>
      <c r="E813">
        <f>ROUND(MIN(5,MAX(0,D813))/5*PARAMS_MODELO!$B$32,2)</f>
        <v>2.5299999999999998</v>
      </c>
      <c r="F813">
        <v>2</v>
      </c>
      <c r="G813">
        <f>MAX(0,PARAMS_MODELO!$B$33-VALUE(TRIM(F813))*3)</f>
        <v>24</v>
      </c>
      <c r="H813">
        <v>2</v>
      </c>
      <c r="I813">
        <f>ROUND(MIN(4,MAX(0,H813))/4*PARAMS_MODELO!$B$34,2)</f>
        <v>10</v>
      </c>
      <c r="J813">
        <v>1</v>
      </c>
      <c r="K813">
        <f>IF(J813=0,0,PARAMS_MODELO!$B$35)</f>
        <v>10</v>
      </c>
      <c r="L813">
        <f t="shared" si="37"/>
        <v>46.53</v>
      </c>
      <c r="M813" t="str">
        <f t="shared" si="38"/>
        <v>Regular</v>
      </c>
      <c r="N813">
        <f>IF(M813=PARAMS_MODELO!$A$36,PARAMS_MODELO!$B$36,IF(M813=PARAMS_MODELO!$A$37,PARAMS_MODELO!$B$37,IF(M813=PARAMS_MODELO!$A$38,PARAMS_MODELO!$B$38,IF(M813=PARAMS_MODELO!$A$39,PARAMS_MODELO!$B$39,IF(M813=PARAMS_MODELO!$A$40,PARAMS_MODELO!$B$40)))))</f>
        <v>1</v>
      </c>
    </row>
    <row r="814" spans="1:14" x14ac:dyDescent="0.3">
      <c r="A814">
        <v>51032659</v>
      </c>
      <c r="B814">
        <v>95</v>
      </c>
      <c r="C814">
        <v>97</v>
      </c>
      <c r="D814">
        <f t="shared" si="36"/>
        <v>0.97938144329896903</v>
      </c>
      <c r="E814">
        <f>ROUND(MIN(5,MAX(0,D814))/5*PARAMS_MODELO!$B$32,2)</f>
        <v>7.84</v>
      </c>
      <c r="F814">
        <v>2</v>
      </c>
      <c r="G814">
        <f>MAX(0,PARAMS_MODELO!$B$33-VALUE(TRIM(F814))*3)</f>
        <v>24</v>
      </c>
      <c r="H814">
        <v>3</v>
      </c>
      <c r="I814">
        <f>ROUND(MIN(4,MAX(0,H814))/4*PARAMS_MODELO!$B$34,2)</f>
        <v>15</v>
      </c>
      <c r="J814">
        <v>0</v>
      </c>
      <c r="K814">
        <f>IF(J814=0,0,PARAMS_MODELO!$B$35)</f>
        <v>0</v>
      </c>
      <c r="L814">
        <f t="shared" si="37"/>
        <v>46.84</v>
      </c>
      <c r="M814" t="str">
        <f t="shared" si="38"/>
        <v>Regular</v>
      </c>
      <c r="N814">
        <f>IF(M814=PARAMS_MODELO!$A$36,PARAMS_MODELO!$B$36,IF(M814=PARAMS_MODELO!$A$37,PARAMS_MODELO!$B$37,IF(M814=PARAMS_MODELO!$A$38,PARAMS_MODELO!$B$38,IF(M814=PARAMS_MODELO!$A$39,PARAMS_MODELO!$B$39,IF(M814=PARAMS_MODELO!$A$40,PARAMS_MODELO!$B$40)))))</f>
        <v>1</v>
      </c>
    </row>
    <row r="815" spans="1:14" x14ac:dyDescent="0.3">
      <c r="A815">
        <v>51017129</v>
      </c>
      <c r="B815">
        <v>70</v>
      </c>
      <c r="C815">
        <v>36</v>
      </c>
      <c r="D815">
        <f t="shared" si="36"/>
        <v>1.9444444444444444</v>
      </c>
      <c r="E815">
        <f>ROUND(MIN(5,MAX(0,D815))/5*PARAMS_MODELO!$B$32,2)</f>
        <v>15.56</v>
      </c>
      <c r="F815">
        <v>3</v>
      </c>
      <c r="G815">
        <f>MAX(0,PARAMS_MODELO!$B$33-VALUE(TRIM(F815))*3)</f>
        <v>21</v>
      </c>
      <c r="H815">
        <v>2</v>
      </c>
      <c r="I815">
        <f>ROUND(MIN(4,MAX(0,H815))/4*PARAMS_MODELO!$B$34,2)</f>
        <v>10</v>
      </c>
      <c r="J815">
        <v>0</v>
      </c>
      <c r="K815">
        <f>IF(J815=0,0,PARAMS_MODELO!$B$35)</f>
        <v>0</v>
      </c>
      <c r="L815">
        <f t="shared" si="37"/>
        <v>46.56</v>
      </c>
      <c r="M815" t="str">
        <f t="shared" si="38"/>
        <v>Regular</v>
      </c>
      <c r="N815">
        <f>IF(M815=PARAMS_MODELO!$A$36,PARAMS_MODELO!$B$36,IF(M815=PARAMS_MODELO!$A$37,PARAMS_MODELO!$B$37,IF(M815=PARAMS_MODELO!$A$38,PARAMS_MODELO!$B$38,IF(M815=PARAMS_MODELO!$A$39,PARAMS_MODELO!$B$39,IF(M815=PARAMS_MODELO!$A$40,PARAMS_MODELO!$B$40)))))</f>
        <v>1</v>
      </c>
    </row>
    <row r="816" spans="1:14" x14ac:dyDescent="0.3">
      <c r="A816">
        <v>51036191</v>
      </c>
      <c r="B816">
        <v>4</v>
      </c>
      <c r="C816">
        <v>14</v>
      </c>
      <c r="D816">
        <f t="shared" si="36"/>
        <v>0.2857142857142857</v>
      </c>
      <c r="E816">
        <f>ROUND(MIN(5,MAX(0,D816))/5*PARAMS_MODELO!$B$32,2)</f>
        <v>2.29</v>
      </c>
      <c r="F816">
        <v>1</v>
      </c>
      <c r="G816">
        <f>MAX(0,PARAMS_MODELO!$B$33-VALUE(TRIM(F816))*3)</f>
        <v>27</v>
      </c>
      <c r="H816">
        <v>0</v>
      </c>
      <c r="I816">
        <f>ROUND(MIN(4,MAX(0,H816))/4*PARAMS_MODELO!$B$34,2)</f>
        <v>0</v>
      </c>
      <c r="J816">
        <v>0</v>
      </c>
      <c r="K816">
        <f>IF(J816=0,0,PARAMS_MODELO!$B$35)</f>
        <v>0</v>
      </c>
      <c r="L816">
        <f t="shared" si="37"/>
        <v>29.29</v>
      </c>
      <c r="M816" t="str">
        <f t="shared" si="38"/>
        <v>Malo</v>
      </c>
      <c r="N816">
        <f>IF(M816=PARAMS_MODELO!$A$36,PARAMS_MODELO!$B$36,IF(M816=PARAMS_MODELO!$A$37,PARAMS_MODELO!$B$37,IF(M816=PARAMS_MODELO!$A$38,PARAMS_MODELO!$B$38,IF(M816=PARAMS_MODELO!$A$39,PARAMS_MODELO!$B$39,IF(M816=PARAMS_MODELO!$A$40,PARAMS_MODELO!$B$40)))))</f>
        <v>0.7</v>
      </c>
    </row>
    <row r="817" spans="1:14" x14ac:dyDescent="0.3">
      <c r="A817">
        <v>51011562</v>
      </c>
      <c r="B817">
        <v>47</v>
      </c>
      <c r="C817">
        <v>62</v>
      </c>
      <c r="D817">
        <f t="shared" si="36"/>
        <v>0.75806451612903225</v>
      </c>
      <c r="E817">
        <f>ROUND(MIN(5,MAX(0,D817))/5*PARAMS_MODELO!$B$32,2)</f>
        <v>6.06</v>
      </c>
      <c r="F817">
        <v>2</v>
      </c>
      <c r="G817">
        <f>MAX(0,PARAMS_MODELO!$B$33-VALUE(TRIM(F817))*3)</f>
        <v>24</v>
      </c>
      <c r="H817">
        <v>1</v>
      </c>
      <c r="I817">
        <f>ROUND(MIN(4,MAX(0,H817))/4*PARAMS_MODELO!$B$34,2)</f>
        <v>5</v>
      </c>
      <c r="J817">
        <v>0</v>
      </c>
      <c r="K817">
        <f>IF(J817=0,0,PARAMS_MODELO!$B$35)</f>
        <v>0</v>
      </c>
      <c r="L817">
        <f t="shared" si="37"/>
        <v>35.06</v>
      </c>
      <c r="M817" t="str">
        <f t="shared" si="38"/>
        <v>Malo</v>
      </c>
      <c r="N817">
        <f>IF(M817=PARAMS_MODELO!$A$36,PARAMS_MODELO!$B$36,IF(M817=PARAMS_MODELO!$A$37,PARAMS_MODELO!$B$37,IF(M817=PARAMS_MODELO!$A$38,PARAMS_MODELO!$B$38,IF(M817=PARAMS_MODELO!$A$39,PARAMS_MODELO!$B$39,IF(M817=PARAMS_MODELO!$A$40,PARAMS_MODELO!$B$40)))))</f>
        <v>0.7</v>
      </c>
    </row>
    <row r="818" spans="1:14" x14ac:dyDescent="0.3">
      <c r="A818">
        <v>51018346</v>
      </c>
      <c r="B818">
        <v>37</v>
      </c>
      <c r="C818">
        <v>9</v>
      </c>
      <c r="D818">
        <f t="shared" si="36"/>
        <v>4.1111111111111107</v>
      </c>
      <c r="E818">
        <f>ROUND(MIN(5,MAX(0,D818))/5*PARAMS_MODELO!$B$32,2)</f>
        <v>32.89</v>
      </c>
      <c r="F818">
        <v>0</v>
      </c>
      <c r="G818">
        <f>MAX(0,PARAMS_MODELO!$B$33-VALUE(TRIM(F818))*3)</f>
        <v>30</v>
      </c>
      <c r="H818">
        <v>3</v>
      </c>
      <c r="I818">
        <f>ROUND(MIN(4,MAX(0,H818))/4*PARAMS_MODELO!$B$34,2)</f>
        <v>15</v>
      </c>
      <c r="J818">
        <v>1</v>
      </c>
      <c r="K818">
        <f>IF(J818=0,0,PARAMS_MODELO!$B$35)</f>
        <v>10</v>
      </c>
      <c r="L818">
        <f t="shared" si="37"/>
        <v>87.89</v>
      </c>
      <c r="M818" t="str">
        <f t="shared" si="38"/>
        <v>Muy Bueno</v>
      </c>
      <c r="N818">
        <f>IF(M818=PARAMS_MODELO!$A$36,PARAMS_MODELO!$B$36,IF(M818=PARAMS_MODELO!$A$37,PARAMS_MODELO!$B$37,IF(M818=PARAMS_MODELO!$A$38,PARAMS_MODELO!$B$38,IF(M818=PARAMS_MODELO!$A$39,PARAMS_MODELO!$B$39,IF(M818=PARAMS_MODELO!$A$40,PARAMS_MODELO!$B$40)))))</f>
        <v>1.1499999999999999</v>
      </c>
    </row>
    <row r="819" spans="1:14" x14ac:dyDescent="0.3">
      <c r="A819">
        <v>51042514</v>
      </c>
      <c r="B819">
        <v>17</v>
      </c>
      <c r="C819">
        <v>43</v>
      </c>
      <c r="D819">
        <f t="shared" si="36"/>
        <v>0.39534883720930231</v>
      </c>
      <c r="E819">
        <f>ROUND(MIN(5,MAX(0,D819))/5*PARAMS_MODELO!$B$32,2)</f>
        <v>3.16</v>
      </c>
      <c r="F819">
        <v>5</v>
      </c>
      <c r="G819">
        <f>MAX(0,PARAMS_MODELO!$B$33-VALUE(TRIM(F819))*3)</f>
        <v>15</v>
      </c>
      <c r="H819">
        <v>0</v>
      </c>
      <c r="I819">
        <f>ROUND(MIN(4,MAX(0,H819))/4*PARAMS_MODELO!$B$34,2)</f>
        <v>0</v>
      </c>
      <c r="J819">
        <v>0</v>
      </c>
      <c r="K819">
        <f>IF(J819=0,0,PARAMS_MODELO!$B$35)</f>
        <v>0</v>
      </c>
      <c r="L819">
        <f t="shared" si="37"/>
        <v>18.16</v>
      </c>
      <c r="M819" t="str">
        <f t="shared" si="38"/>
        <v>Malo</v>
      </c>
      <c r="N819">
        <f>IF(M819=PARAMS_MODELO!$A$36,PARAMS_MODELO!$B$36,IF(M819=PARAMS_MODELO!$A$37,PARAMS_MODELO!$B$37,IF(M819=PARAMS_MODELO!$A$38,PARAMS_MODELO!$B$38,IF(M819=PARAMS_MODELO!$A$39,PARAMS_MODELO!$B$39,IF(M819=PARAMS_MODELO!$A$40,PARAMS_MODELO!$B$40)))))</f>
        <v>0.7</v>
      </c>
    </row>
    <row r="820" spans="1:14" x14ac:dyDescent="0.3">
      <c r="A820">
        <v>51056906</v>
      </c>
      <c r="B820">
        <v>75</v>
      </c>
      <c r="C820">
        <v>29</v>
      </c>
      <c r="D820">
        <f t="shared" si="36"/>
        <v>2.5862068965517242</v>
      </c>
      <c r="E820">
        <f>ROUND(MIN(5,MAX(0,D820))/5*PARAMS_MODELO!$B$32,2)</f>
        <v>20.69</v>
      </c>
      <c r="F820">
        <v>5</v>
      </c>
      <c r="G820">
        <f>MAX(0,PARAMS_MODELO!$B$33-VALUE(TRIM(F820))*3)</f>
        <v>15</v>
      </c>
      <c r="H820">
        <v>4</v>
      </c>
      <c r="I820">
        <f>ROUND(MIN(4,MAX(0,H820))/4*PARAMS_MODELO!$B$34,2)</f>
        <v>20</v>
      </c>
      <c r="J820">
        <v>1</v>
      </c>
      <c r="K820">
        <f>IF(J820=0,0,PARAMS_MODELO!$B$35)</f>
        <v>10</v>
      </c>
      <c r="L820">
        <f t="shared" si="37"/>
        <v>65.69</v>
      </c>
      <c r="M820" t="str">
        <f t="shared" si="38"/>
        <v>Bueno</v>
      </c>
      <c r="N820">
        <f>IF(M820=PARAMS_MODELO!$A$36,PARAMS_MODELO!$B$36,IF(M820=PARAMS_MODELO!$A$37,PARAMS_MODELO!$B$37,IF(M820=PARAMS_MODELO!$A$38,PARAMS_MODELO!$B$38,IF(M820=PARAMS_MODELO!$A$39,PARAMS_MODELO!$B$39,IF(M820=PARAMS_MODELO!$A$40,PARAMS_MODELO!$B$40)))))</f>
        <v>1.1000000000000001</v>
      </c>
    </row>
    <row r="821" spans="1:14" x14ac:dyDescent="0.3">
      <c r="A821">
        <v>51043375</v>
      </c>
      <c r="B821">
        <v>89</v>
      </c>
      <c r="C821">
        <v>28</v>
      </c>
      <c r="D821">
        <f t="shared" si="36"/>
        <v>3.1785714285714284</v>
      </c>
      <c r="E821">
        <f>ROUND(MIN(5,MAX(0,D821))/5*PARAMS_MODELO!$B$32,2)</f>
        <v>25.43</v>
      </c>
      <c r="F821">
        <v>5</v>
      </c>
      <c r="G821">
        <f>MAX(0,PARAMS_MODELO!$B$33-VALUE(TRIM(F821))*3)</f>
        <v>15</v>
      </c>
      <c r="H821">
        <v>2</v>
      </c>
      <c r="I821">
        <f>ROUND(MIN(4,MAX(0,H821))/4*PARAMS_MODELO!$B$34,2)</f>
        <v>10</v>
      </c>
      <c r="J821">
        <v>1</v>
      </c>
      <c r="K821">
        <f>IF(J821=0,0,PARAMS_MODELO!$B$35)</f>
        <v>10</v>
      </c>
      <c r="L821">
        <f t="shared" si="37"/>
        <v>60.43</v>
      </c>
      <c r="M821" t="str">
        <f t="shared" si="38"/>
        <v>Bueno</v>
      </c>
      <c r="N821">
        <f>IF(M821=PARAMS_MODELO!$A$36,PARAMS_MODELO!$B$36,IF(M821=PARAMS_MODELO!$A$37,PARAMS_MODELO!$B$37,IF(M821=PARAMS_MODELO!$A$38,PARAMS_MODELO!$B$38,IF(M821=PARAMS_MODELO!$A$39,PARAMS_MODELO!$B$39,IF(M821=PARAMS_MODELO!$A$40,PARAMS_MODELO!$B$40)))))</f>
        <v>1.1000000000000001</v>
      </c>
    </row>
    <row r="822" spans="1:14" x14ac:dyDescent="0.3">
      <c r="A822">
        <v>51055691</v>
      </c>
      <c r="B822">
        <v>38</v>
      </c>
      <c r="C822">
        <v>41</v>
      </c>
      <c r="D822">
        <f t="shared" si="36"/>
        <v>0.92682926829268297</v>
      </c>
      <c r="E822">
        <f>ROUND(MIN(5,MAX(0,D822))/5*PARAMS_MODELO!$B$32,2)</f>
        <v>7.41</v>
      </c>
      <c r="F822">
        <v>5</v>
      </c>
      <c r="G822">
        <f>MAX(0,PARAMS_MODELO!$B$33-VALUE(TRIM(F822))*3)</f>
        <v>15</v>
      </c>
      <c r="H822">
        <v>0</v>
      </c>
      <c r="I822">
        <f>ROUND(MIN(4,MAX(0,H822))/4*PARAMS_MODELO!$B$34,2)</f>
        <v>0</v>
      </c>
      <c r="J822">
        <v>0</v>
      </c>
      <c r="K822">
        <f>IF(J822=0,0,PARAMS_MODELO!$B$35)</f>
        <v>0</v>
      </c>
      <c r="L822">
        <f t="shared" si="37"/>
        <v>22.41</v>
      </c>
      <c r="M822" t="str">
        <f t="shared" si="38"/>
        <v>Malo</v>
      </c>
      <c r="N822">
        <f>IF(M822=PARAMS_MODELO!$A$36,PARAMS_MODELO!$B$36,IF(M822=PARAMS_MODELO!$A$37,PARAMS_MODELO!$B$37,IF(M822=PARAMS_MODELO!$A$38,PARAMS_MODELO!$B$38,IF(M822=PARAMS_MODELO!$A$39,PARAMS_MODELO!$B$39,IF(M822=PARAMS_MODELO!$A$40,PARAMS_MODELO!$B$40)))))</f>
        <v>0.7</v>
      </c>
    </row>
    <row r="823" spans="1:14" x14ac:dyDescent="0.3">
      <c r="A823">
        <v>51018958</v>
      </c>
      <c r="B823">
        <v>56</v>
      </c>
      <c r="C823">
        <v>12</v>
      </c>
      <c r="D823">
        <f t="shared" si="36"/>
        <v>4.666666666666667</v>
      </c>
      <c r="E823">
        <f>ROUND(MIN(5,MAX(0,D823))/5*PARAMS_MODELO!$B$32,2)</f>
        <v>37.33</v>
      </c>
      <c r="F823">
        <v>4</v>
      </c>
      <c r="G823">
        <f>MAX(0,PARAMS_MODELO!$B$33-VALUE(TRIM(F823))*3)</f>
        <v>18</v>
      </c>
      <c r="H823">
        <v>1</v>
      </c>
      <c r="I823">
        <f>ROUND(MIN(4,MAX(0,H823))/4*PARAMS_MODELO!$B$34,2)</f>
        <v>5</v>
      </c>
      <c r="J823">
        <v>1</v>
      </c>
      <c r="K823">
        <f>IF(J823=0,0,PARAMS_MODELO!$B$35)</f>
        <v>10</v>
      </c>
      <c r="L823">
        <f t="shared" si="37"/>
        <v>70.33</v>
      </c>
      <c r="M823" t="str">
        <f t="shared" si="38"/>
        <v>Bueno</v>
      </c>
      <c r="N823">
        <f>IF(M823=PARAMS_MODELO!$A$36,PARAMS_MODELO!$B$36,IF(M823=PARAMS_MODELO!$A$37,PARAMS_MODELO!$B$37,IF(M823=PARAMS_MODELO!$A$38,PARAMS_MODELO!$B$38,IF(M823=PARAMS_MODELO!$A$39,PARAMS_MODELO!$B$39,IF(M823=PARAMS_MODELO!$A$40,PARAMS_MODELO!$B$40)))))</f>
        <v>1.1000000000000001</v>
      </c>
    </row>
    <row r="824" spans="1:14" x14ac:dyDescent="0.3">
      <c r="A824">
        <v>51054903</v>
      </c>
      <c r="B824">
        <v>81</v>
      </c>
      <c r="C824">
        <v>55</v>
      </c>
      <c r="D824">
        <f t="shared" si="36"/>
        <v>1.4727272727272727</v>
      </c>
      <c r="E824">
        <f>ROUND(MIN(5,MAX(0,D824))/5*PARAMS_MODELO!$B$32,2)</f>
        <v>11.78</v>
      </c>
      <c r="F824">
        <v>3</v>
      </c>
      <c r="G824">
        <f>MAX(0,PARAMS_MODELO!$B$33-VALUE(TRIM(F824))*3)</f>
        <v>21</v>
      </c>
      <c r="H824">
        <v>0</v>
      </c>
      <c r="I824">
        <f>ROUND(MIN(4,MAX(0,H824))/4*PARAMS_MODELO!$B$34,2)</f>
        <v>0</v>
      </c>
      <c r="J824">
        <v>1</v>
      </c>
      <c r="K824">
        <f>IF(J824=0,0,PARAMS_MODELO!$B$35)</f>
        <v>10</v>
      </c>
      <c r="L824">
        <f t="shared" si="37"/>
        <v>42.78</v>
      </c>
      <c r="M824" t="str">
        <f t="shared" si="38"/>
        <v>Regular</v>
      </c>
      <c r="N824">
        <f>IF(M824=PARAMS_MODELO!$A$36,PARAMS_MODELO!$B$36,IF(M824=PARAMS_MODELO!$A$37,PARAMS_MODELO!$B$37,IF(M824=PARAMS_MODELO!$A$38,PARAMS_MODELO!$B$38,IF(M824=PARAMS_MODELO!$A$39,PARAMS_MODELO!$B$39,IF(M824=PARAMS_MODELO!$A$40,PARAMS_MODELO!$B$40)))))</f>
        <v>1</v>
      </c>
    </row>
    <row r="825" spans="1:14" x14ac:dyDescent="0.3">
      <c r="A825">
        <v>51022084</v>
      </c>
      <c r="B825">
        <v>13</v>
      </c>
      <c r="C825">
        <v>55</v>
      </c>
      <c r="D825">
        <f t="shared" si="36"/>
        <v>0.23636363636363636</v>
      </c>
      <c r="E825">
        <f>ROUND(MIN(5,MAX(0,D825))/5*PARAMS_MODELO!$B$32,2)</f>
        <v>1.89</v>
      </c>
      <c r="F825">
        <v>3</v>
      </c>
      <c r="G825">
        <f>MAX(0,PARAMS_MODELO!$B$33-VALUE(TRIM(F825))*3)</f>
        <v>21</v>
      </c>
      <c r="H825">
        <v>0</v>
      </c>
      <c r="I825">
        <f>ROUND(MIN(4,MAX(0,H825))/4*PARAMS_MODELO!$B$34,2)</f>
        <v>0</v>
      </c>
      <c r="J825">
        <v>1</v>
      </c>
      <c r="K825">
        <f>IF(J825=0,0,PARAMS_MODELO!$B$35)</f>
        <v>10</v>
      </c>
      <c r="L825">
        <f t="shared" si="37"/>
        <v>32.89</v>
      </c>
      <c r="M825" t="str">
        <f t="shared" si="38"/>
        <v>Malo</v>
      </c>
      <c r="N825">
        <f>IF(M825=PARAMS_MODELO!$A$36,PARAMS_MODELO!$B$36,IF(M825=PARAMS_MODELO!$A$37,PARAMS_MODELO!$B$37,IF(M825=PARAMS_MODELO!$A$38,PARAMS_MODELO!$B$38,IF(M825=PARAMS_MODELO!$A$39,PARAMS_MODELO!$B$39,IF(M825=PARAMS_MODELO!$A$40,PARAMS_MODELO!$B$40)))))</f>
        <v>0.7</v>
      </c>
    </row>
    <row r="826" spans="1:14" x14ac:dyDescent="0.3">
      <c r="A826">
        <v>51019202</v>
      </c>
      <c r="B826">
        <v>52</v>
      </c>
      <c r="C826">
        <v>85</v>
      </c>
      <c r="D826">
        <f t="shared" si="36"/>
        <v>0.61176470588235299</v>
      </c>
      <c r="E826">
        <f>ROUND(MIN(5,MAX(0,D826))/5*PARAMS_MODELO!$B$32,2)</f>
        <v>4.8899999999999997</v>
      </c>
      <c r="F826">
        <v>2</v>
      </c>
      <c r="G826">
        <f>MAX(0,PARAMS_MODELO!$B$33-VALUE(TRIM(F826))*3)</f>
        <v>24</v>
      </c>
      <c r="H826">
        <v>4</v>
      </c>
      <c r="I826">
        <f>ROUND(MIN(4,MAX(0,H826))/4*PARAMS_MODELO!$B$34,2)</f>
        <v>20</v>
      </c>
      <c r="J826">
        <v>0</v>
      </c>
      <c r="K826">
        <f>IF(J826=0,0,PARAMS_MODELO!$B$35)</f>
        <v>0</v>
      </c>
      <c r="L826">
        <f t="shared" si="37"/>
        <v>48.89</v>
      </c>
      <c r="M826" t="str">
        <f t="shared" si="38"/>
        <v>Regular</v>
      </c>
      <c r="N826">
        <f>IF(M826=PARAMS_MODELO!$A$36,PARAMS_MODELO!$B$36,IF(M826=PARAMS_MODELO!$A$37,PARAMS_MODELO!$B$37,IF(M826=PARAMS_MODELO!$A$38,PARAMS_MODELO!$B$38,IF(M826=PARAMS_MODELO!$A$39,PARAMS_MODELO!$B$39,IF(M826=PARAMS_MODELO!$A$40,PARAMS_MODELO!$B$40)))))</f>
        <v>1</v>
      </c>
    </row>
    <row r="827" spans="1:14" x14ac:dyDescent="0.3">
      <c r="A827">
        <v>51054920</v>
      </c>
      <c r="B827">
        <v>96</v>
      </c>
      <c r="C827">
        <v>97</v>
      </c>
      <c r="D827">
        <f t="shared" si="36"/>
        <v>0.98969072164948457</v>
      </c>
      <c r="E827">
        <f>ROUND(MIN(5,MAX(0,D827))/5*PARAMS_MODELO!$B$32,2)</f>
        <v>7.92</v>
      </c>
      <c r="F827">
        <v>1</v>
      </c>
      <c r="G827">
        <f>MAX(0,PARAMS_MODELO!$B$33-VALUE(TRIM(F827))*3)</f>
        <v>27</v>
      </c>
      <c r="H827">
        <v>2</v>
      </c>
      <c r="I827">
        <f>ROUND(MIN(4,MAX(0,H827))/4*PARAMS_MODELO!$B$34,2)</f>
        <v>10</v>
      </c>
      <c r="J827">
        <v>0</v>
      </c>
      <c r="K827">
        <f>IF(J827=0,0,PARAMS_MODELO!$B$35)</f>
        <v>0</v>
      </c>
      <c r="L827">
        <f t="shared" si="37"/>
        <v>44.92</v>
      </c>
      <c r="M827" t="str">
        <f t="shared" si="38"/>
        <v>Regular</v>
      </c>
      <c r="N827">
        <f>IF(M827=PARAMS_MODELO!$A$36,PARAMS_MODELO!$B$36,IF(M827=PARAMS_MODELO!$A$37,PARAMS_MODELO!$B$37,IF(M827=PARAMS_MODELO!$A$38,PARAMS_MODELO!$B$38,IF(M827=PARAMS_MODELO!$A$39,PARAMS_MODELO!$B$39,IF(M827=PARAMS_MODELO!$A$40,PARAMS_MODELO!$B$40)))))</f>
        <v>1</v>
      </c>
    </row>
    <row r="828" spans="1:14" x14ac:dyDescent="0.3">
      <c r="A828">
        <v>51010663</v>
      </c>
      <c r="B828">
        <v>67</v>
      </c>
      <c r="C828">
        <v>21</v>
      </c>
      <c r="D828">
        <f t="shared" si="36"/>
        <v>3.1904761904761907</v>
      </c>
      <c r="E828">
        <f>ROUND(MIN(5,MAX(0,D828))/5*PARAMS_MODELO!$B$32,2)</f>
        <v>25.52</v>
      </c>
      <c r="F828">
        <v>0</v>
      </c>
      <c r="G828">
        <f>MAX(0,PARAMS_MODELO!$B$33-VALUE(TRIM(F828))*3)</f>
        <v>30</v>
      </c>
      <c r="H828">
        <v>2</v>
      </c>
      <c r="I828">
        <f>ROUND(MIN(4,MAX(0,H828))/4*PARAMS_MODELO!$B$34,2)</f>
        <v>10</v>
      </c>
      <c r="J828">
        <v>1</v>
      </c>
      <c r="K828">
        <f>IF(J828=0,0,PARAMS_MODELO!$B$35)</f>
        <v>10</v>
      </c>
      <c r="L828">
        <f t="shared" si="37"/>
        <v>75.52</v>
      </c>
      <c r="M828" t="str">
        <f t="shared" si="38"/>
        <v>Muy Bueno</v>
      </c>
      <c r="N828">
        <f>IF(M828=PARAMS_MODELO!$A$36,PARAMS_MODELO!$B$36,IF(M828=PARAMS_MODELO!$A$37,PARAMS_MODELO!$B$37,IF(M828=PARAMS_MODELO!$A$38,PARAMS_MODELO!$B$38,IF(M828=PARAMS_MODELO!$A$39,PARAMS_MODELO!$B$39,IF(M828=PARAMS_MODELO!$A$40,PARAMS_MODELO!$B$40)))))</f>
        <v>1.1499999999999999</v>
      </c>
    </row>
    <row r="829" spans="1:14" x14ac:dyDescent="0.3">
      <c r="A829">
        <v>51016866</v>
      </c>
      <c r="B829">
        <v>6</v>
      </c>
      <c r="C829">
        <v>70</v>
      </c>
      <c r="D829">
        <f t="shared" si="36"/>
        <v>8.5714285714285715E-2</v>
      </c>
      <c r="E829">
        <f>ROUND(MIN(5,MAX(0,D829))/5*PARAMS_MODELO!$B$32,2)</f>
        <v>0.69</v>
      </c>
      <c r="F829">
        <v>5</v>
      </c>
      <c r="G829">
        <f>MAX(0,PARAMS_MODELO!$B$33-VALUE(TRIM(F829))*3)</f>
        <v>15</v>
      </c>
      <c r="H829">
        <v>1</v>
      </c>
      <c r="I829">
        <f>ROUND(MIN(4,MAX(0,H829))/4*PARAMS_MODELO!$B$34,2)</f>
        <v>5</v>
      </c>
      <c r="J829">
        <v>1</v>
      </c>
      <c r="K829">
        <f>IF(J829=0,0,PARAMS_MODELO!$B$35)</f>
        <v>10</v>
      </c>
      <c r="L829">
        <f t="shared" si="37"/>
        <v>30.689999999999998</v>
      </c>
      <c r="M829" t="str">
        <f t="shared" si="38"/>
        <v>Malo</v>
      </c>
      <c r="N829">
        <f>IF(M829=PARAMS_MODELO!$A$36,PARAMS_MODELO!$B$36,IF(M829=PARAMS_MODELO!$A$37,PARAMS_MODELO!$B$37,IF(M829=PARAMS_MODELO!$A$38,PARAMS_MODELO!$B$38,IF(M829=PARAMS_MODELO!$A$39,PARAMS_MODELO!$B$39,IF(M829=PARAMS_MODELO!$A$40,PARAMS_MODELO!$B$40)))))</f>
        <v>0.7</v>
      </c>
    </row>
    <row r="830" spans="1:14" x14ac:dyDescent="0.3">
      <c r="A830">
        <v>51030184</v>
      </c>
      <c r="B830">
        <v>79</v>
      </c>
      <c r="C830">
        <v>99</v>
      </c>
      <c r="D830">
        <f t="shared" si="36"/>
        <v>0.79797979797979801</v>
      </c>
      <c r="E830">
        <f>ROUND(MIN(5,MAX(0,D830))/5*PARAMS_MODELO!$B$32,2)</f>
        <v>6.38</v>
      </c>
      <c r="F830">
        <v>0</v>
      </c>
      <c r="G830">
        <f>MAX(0,PARAMS_MODELO!$B$33-VALUE(TRIM(F830))*3)</f>
        <v>30</v>
      </c>
      <c r="H830">
        <v>0</v>
      </c>
      <c r="I830">
        <f>ROUND(MIN(4,MAX(0,H830))/4*PARAMS_MODELO!$B$34,2)</f>
        <v>0</v>
      </c>
      <c r="J830">
        <v>1</v>
      </c>
      <c r="K830">
        <f>IF(J830=0,0,PARAMS_MODELO!$B$35)</f>
        <v>10</v>
      </c>
      <c r="L830">
        <f t="shared" si="37"/>
        <v>46.38</v>
      </c>
      <c r="M830" t="str">
        <f t="shared" si="38"/>
        <v>Regular</v>
      </c>
      <c r="N830">
        <f>IF(M830=PARAMS_MODELO!$A$36,PARAMS_MODELO!$B$36,IF(M830=PARAMS_MODELO!$A$37,PARAMS_MODELO!$B$37,IF(M830=PARAMS_MODELO!$A$38,PARAMS_MODELO!$B$38,IF(M830=PARAMS_MODELO!$A$39,PARAMS_MODELO!$B$39,IF(M830=PARAMS_MODELO!$A$40,PARAMS_MODELO!$B$40)))))</f>
        <v>1</v>
      </c>
    </row>
    <row r="831" spans="1:14" x14ac:dyDescent="0.3">
      <c r="A831">
        <v>51015428</v>
      </c>
      <c r="B831">
        <v>19</v>
      </c>
      <c r="C831">
        <v>29</v>
      </c>
      <c r="D831">
        <f t="shared" si="36"/>
        <v>0.65517241379310343</v>
      </c>
      <c r="E831">
        <f>ROUND(MIN(5,MAX(0,D831))/5*PARAMS_MODELO!$B$32,2)</f>
        <v>5.24</v>
      </c>
      <c r="F831">
        <v>5</v>
      </c>
      <c r="G831">
        <f>MAX(0,PARAMS_MODELO!$B$33-VALUE(TRIM(F831))*3)</f>
        <v>15</v>
      </c>
      <c r="H831">
        <v>1</v>
      </c>
      <c r="I831">
        <f>ROUND(MIN(4,MAX(0,H831))/4*PARAMS_MODELO!$B$34,2)</f>
        <v>5</v>
      </c>
      <c r="J831">
        <v>1</v>
      </c>
      <c r="K831">
        <f>IF(J831=0,0,PARAMS_MODELO!$B$35)</f>
        <v>10</v>
      </c>
      <c r="L831">
        <f t="shared" si="37"/>
        <v>35.24</v>
      </c>
      <c r="M831" t="str">
        <f t="shared" si="38"/>
        <v>Malo</v>
      </c>
      <c r="N831">
        <f>IF(M831=PARAMS_MODELO!$A$36,PARAMS_MODELO!$B$36,IF(M831=PARAMS_MODELO!$A$37,PARAMS_MODELO!$B$37,IF(M831=PARAMS_MODELO!$A$38,PARAMS_MODELO!$B$38,IF(M831=PARAMS_MODELO!$A$39,PARAMS_MODELO!$B$39,IF(M831=PARAMS_MODELO!$A$40,PARAMS_MODELO!$B$40)))))</f>
        <v>0.7</v>
      </c>
    </row>
    <row r="832" spans="1:14" x14ac:dyDescent="0.3">
      <c r="A832">
        <v>51036557</v>
      </c>
      <c r="B832">
        <v>10</v>
      </c>
      <c r="C832">
        <v>9</v>
      </c>
      <c r="D832">
        <f t="shared" si="36"/>
        <v>1.1111111111111112</v>
      </c>
      <c r="E832">
        <f>ROUND(MIN(5,MAX(0,D832))/5*PARAMS_MODELO!$B$32,2)</f>
        <v>8.89</v>
      </c>
      <c r="F832">
        <v>4</v>
      </c>
      <c r="G832">
        <f>MAX(0,PARAMS_MODELO!$B$33-VALUE(TRIM(F832))*3)</f>
        <v>18</v>
      </c>
      <c r="H832">
        <v>0</v>
      </c>
      <c r="I832">
        <f>ROUND(MIN(4,MAX(0,H832))/4*PARAMS_MODELO!$B$34,2)</f>
        <v>0</v>
      </c>
      <c r="J832">
        <v>1</v>
      </c>
      <c r="K832">
        <f>IF(J832=0,0,PARAMS_MODELO!$B$35)</f>
        <v>10</v>
      </c>
      <c r="L832">
        <f t="shared" si="37"/>
        <v>36.89</v>
      </c>
      <c r="M832" t="str">
        <f t="shared" si="38"/>
        <v>Malo</v>
      </c>
      <c r="N832">
        <f>IF(M832=PARAMS_MODELO!$A$36,PARAMS_MODELO!$B$36,IF(M832=PARAMS_MODELO!$A$37,PARAMS_MODELO!$B$37,IF(M832=PARAMS_MODELO!$A$38,PARAMS_MODELO!$B$38,IF(M832=PARAMS_MODELO!$A$39,PARAMS_MODELO!$B$39,IF(M832=PARAMS_MODELO!$A$40,PARAMS_MODELO!$B$40)))))</f>
        <v>0.7</v>
      </c>
    </row>
    <row r="833" spans="1:14" x14ac:dyDescent="0.3">
      <c r="A833">
        <v>51056175</v>
      </c>
      <c r="B833">
        <v>9</v>
      </c>
      <c r="C833">
        <v>25</v>
      </c>
      <c r="D833">
        <f t="shared" si="36"/>
        <v>0.36</v>
      </c>
      <c r="E833">
        <f>ROUND(MIN(5,MAX(0,D833))/5*PARAMS_MODELO!$B$32,2)</f>
        <v>2.88</v>
      </c>
      <c r="F833">
        <v>4</v>
      </c>
      <c r="G833">
        <f>MAX(0,PARAMS_MODELO!$B$33-VALUE(TRIM(F833))*3)</f>
        <v>18</v>
      </c>
      <c r="H833">
        <v>4</v>
      </c>
      <c r="I833">
        <f>ROUND(MIN(4,MAX(0,H833))/4*PARAMS_MODELO!$B$34,2)</f>
        <v>20</v>
      </c>
      <c r="J833">
        <v>1</v>
      </c>
      <c r="K833">
        <f>IF(J833=0,0,PARAMS_MODELO!$B$35)</f>
        <v>10</v>
      </c>
      <c r="L833">
        <f t="shared" si="37"/>
        <v>50.879999999999995</v>
      </c>
      <c r="M833" t="str">
        <f t="shared" si="38"/>
        <v>Regular</v>
      </c>
      <c r="N833">
        <f>IF(M833=PARAMS_MODELO!$A$36,PARAMS_MODELO!$B$36,IF(M833=PARAMS_MODELO!$A$37,PARAMS_MODELO!$B$37,IF(M833=PARAMS_MODELO!$A$38,PARAMS_MODELO!$B$38,IF(M833=PARAMS_MODELO!$A$39,PARAMS_MODELO!$B$39,IF(M833=PARAMS_MODELO!$A$40,PARAMS_MODELO!$B$40)))))</f>
        <v>1</v>
      </c>
    </row>
    <row r="834" spans="1:14" x14ac:dyDescent="0.3">
      <c r="A834">
        <v>51039190</v>
      </c>
      <c r="B834">
        <v>70</v>
      </c>
      <c r="C834">
        <v>79</v>
      </c>
      <c r="D834">
        <f t="shared" ref="D834:D897" si="39">IF(C834=0,0,MIN(5,B834/C834))</f>
        <v>0.88607594936708856</v>
      </c>
      <c r="E834">
        <f>ROUND(MIN(5,MAX(0,D834))/5*PARAMS_MODELO!$B$32,2)</f>
        <v>7.09</v>
      </c>
      <c r="F834">
        <v>3</v>
      </c>
      <c r="G834">
        <f>MAX(0,PARAMS_MODELO!$B$33-VALUE(TRIM(F834))*3)</f>
        <v>21</v>
      </c>
      <c r="H834">
        <v>4</v>
      </c>
      <c r="I834">
        <f>ROUND(MIN(4,MAX(0,H834))/4*PARAMS_MODELO!$B$34,2)</f>
        <v>20</v>
      </c>
      <c r="J834">
        <v>0</v>
      </c>
      <c r="K834">
        <f>IF(J834=0,0,PARAMS_MODELO!$B$35)</f>
        <v>0</v>
      </c>
      <c r="L834">
        <f t="shared" ref="L834:L897" si="40">MIN(100,MAX(0,E834+G834+I834+K834))</f>
        <v>48.09</v>
      </c>
      <c r="M834" t="str">
        <f t="shared" ref="M834:M897" si="41">IF(L834="","",IF(L834&gt;=90,"Excelente",IF(L834&gt;=75,"Muy Bueno",IF(L834&gt;=60,"Bueno",IF(L834&gt;=40,"Regular","Malo")))))</f>
        <v>Regular</v>
      </c>
      <c r="N834">
        <f>IF(M834=PARAMS_MODELO!$A$36,PARAMS_MODELO!$B$36,IF(M834=PARAMS_MODELO!$A$37,PARAMS_MODELO!$B$37,IF(M834=PARAMS_MODELO!$A$38,PARAMS_MODELO!$B$38,IF(M834=PARAMS_MODELO!$A$39,PARAMS_MODELO!$B$39,IF(M834=PARAMS_MODELO!$A$40,PARAMS_MODELO!$B$40)))))</f>
        <v>1</v>
      </c>
    </row>
    <row r="835" spans="1:14" x14ac:dyDescent="0.3">
      <c r="A835">
        <v>51056604</v>
      </c>
      <c r="B835">
        <v>45</v>
      </c>
      <c r="C835">
        <v>76</v>
      </c>
      <c r="D835">
        <f t="shared" si="39"/>
        <v>0.59210526315789469</v>
      </c>
      <c r="E835">
        <f>ROUND(MIN(5,MAX(0,D835))/5*PARAMS_MODELO!$B$32,2)</f>
        <v>4.74</v>
      </c>
      <c r="F835">
        <v>2</v>
      </c>
      <c r="G835">
        <f>MAX(0,PARAMS_MODELO!$B$33-VALUE(TRIM(F835))*3)</f>
        <v>24</v>
      </c>
      <c r="H835">
        <v>4</v>
      </c>
      <c r="I835">
        <f>ROUND(MIN(4,MAX(0,H835))/4*PARAMS_MODELO!$B$34,2)</f>
        <v>20</v>
      </c>
      <c r="J835">
        <v>0</v>
      </c>
      <c r="K835">
        <f>IF(J835=0,0,PARAMS_MODELO!$B$35)</f>
        <v>0</v>
      </c>
      <c r="L835">
        <f t="shared" si="40"/>
        <v>48.74</v>
      </c>
      <c r="M835" t="str">
        <f t="shared" si="41"/>
        <v>Regular</v>
      </c>
      <c r="N835">
        <f>IF(M835=PARAMS_MODELO!$A$36,PARAMS_MODELO!$B$36,IF(M835=PARAMS_MODELO!$A$37,PARAMS_MODELO!$B$37,IF(M835=PARAMS_MODELO!$A$38,PARAMS_MODELO!$B$38,IF(M835=PARAMS_MODELO!$A$39,PARAMS_MODELO!$B$39,IF(M835=PARAMS_MODELO!$A$40,PARAMS_MODELO!$B$40)))))</f>
        <v>1</v>
      </c>
    </row>
    <row r="836" spans="1:14" x14ac:dyDescent="0.3">
      <c r="A836">
        <v>51021789</v>
      </c>
      <c r="B836">
        <v>42</v>
      </c>
      <c r="C836">
        <v>58</v>
      </c>
      <c r="D836">
        <f t="shared" si="39"/>
        <v>0.72413793103448276</v>
      </c>
      <c r="E836">
        <f>ROUND(MIN(5,MAX(0,D836))/5*PARAMS_MODELO!$B$32,2)</f>
        <v>5.79</v>
      </c>
      <c r="F836">
        <v>0</v>
      </c>
      <c r="G836">
        <f>MAX(0,PARAMS_MODELO!$B$33-VALUE(TRIM(F836))*3)</f>
        <v>30</v>
      </c>
      <c r="H836">
        <v>4</v>
      </c>
      <c r="I836">
        <f>ROUND(MIN(4,MAX(0,H836))/4*PARAMS_MODELO!$B$34,2)</f>
        <v>20</v>
      </c>
      <c r="J836">
        <v>1</v>
      </c>
      <c r="K836">
        <f>IF(J836=0,0,PARAMS_MODELO!$B$35)</f>
        <v>10</v>
      </c>
      <c r="L836">
        <f t="shared" si="40"/>
        <v>65.789999999999992</v>
      </c>
      <c r="M836" t="str">
        <f t="shared" si="41"/>
        <v>Bueno</v>
      </c>
      <c r="N836">
        <f>IF(M836=PARAMS_MODELO!$A$36,PARAMS_MODELO!$B$36,IF(M836=PARAMS_MODELO!$A$37,PARAMS_MODELO!$B$37,IF(M836=PARAMS_MODELO!$A$38,PARAMS_MODELO!$B$38,IF(M836=PARAMS_MODELO!$A$39,PARAMS_MODELO!$B$39,IF(M836=PARAMS_MODELO!$A$40,PARAMS_MODELO!$B$40)))))</f>
        <v>1.1000000000000001</v>
      </c>
    </row>
    <row r="837" spans="1:14" x14ac:dyDescent="0.3">
      <c r="A837">
        <v>51056795</v>
      </c>
      <c r="B837">
        <v>4</v>
      </c>
      <c r="C837">
        <v>50</v>
      </c>
      <c r="D837">
        <f t="shared" si="39"/>
        <v>0.08</v>
      </c>
      <c r="E837">
        <f>ROUND(MIN(5,MAX(0,D837))/5*PARAMS_MODELO!$B$32,2)</f>
        <v>0.64</v>
      </c>
      <c r="F837">
        <v>2</v>
      </c>
      <c r="G837">
        <f>MAX(0,PARAMS_MODELO!$B$33-VALUE(TRIM(F837))*3)</f>
        <v>24</v>
      </c>
      <c r="H837">
        <v>4</v>
      </c>
      <c r="I837">
        <f>ROUND(MIN(4,MAX(0,H837))/4*PARAMS_MODELO!$B$34,2)</f>
        <v>20</v>
      </c>
      <c r="J837">
        <v>1</v>
      </c>
      <c r="K837">
        <f>IF(J837=0,0,PARAMS_MODELO!$B$35)</f>
        <v>10</v>
      </c>
      <c r="L837">
        <f t="shared" si="40"/>
        <v>54.64</v>
      </c>
      <c r="M837" t="str">
        <f t="shared" si="41"/>
        <v>Regular</v>
      </c>
      <c r="N837">
        <f>IF(M837=PARAMS_MODELO!$A$36,PARAMS_MODELO!$B$36,IF(M837=PARAMS_MODELO!$A$37,PARAMS_MODELO!$B$37,IF(M837=PARAMS_MODELO!$A$38,PARAMS_MODELO!$B$38,IF(M837=PARAMS_MODELO!$A$39,PARAMS_MODELO!$B$39,IF(M837=PARAMS_MODELO!$A$40,PARAMS_MODELO!$B$40)))))</f>
        <v>1</v>
      </c>
    </row>
    <row r="838" spans="1:14" x14ac:dyDescent="0.3">
      <c r="A838">
        <v>51056931</v>
      </c>
      <c r="B838">
        <v>37</v>
      </c>
      <c r="C838">
        <v>63</v>
      </c>
      <c r="D838">
        <f t="shared" si="39"/>
        <v>0.58730158730158732</v>
      </c>
      <c r="E838">
        <f>ROUND(MIN(5,MAX(0,D838))/5*PARAMS_MODELO!$B$32,2)</f>
        <v>4.7</v>
      </c>
      <c r="F838">
        <v>2</v>
      </c>
      <c r="G838">
        <f>MAX(0,PARAMS_MODELO!$B$33-VALUE(TRIM(F838))*3)</f>
        <v>24</v>
      </c>
      <c r="H838">
        <v>0</v>
      </c>
      <c r="I838">
        <f>ROUND(MIN(4,MAX(0,H838))/4*PARAMS_MODELO!$B$34,2)</f>
        <v>0</v>
      </c>
      <c r="J838">
        <v>1</v>
      </c>
      <c r="K838">
        <f>IF(J838=0,0,PARAMS_MODELO!$B$35)</f>
        <v>10</v>
      </c>
      <c r="L838">
        <f t="shared" si="40"/>
        <v>38.700000000000003</v>
      </c>
      <c r="M838" t="str">
        <f t="shared" si="41"/>
        <v>Malo</v>
      </c>
      <c r="N838">
        <f>IF(M838=PARAMS_MODELO!$A$36,PARAMS_MODELO!$B$36,IF(M838=PARAMS_MODELO!$A$37,PARAMS_MODELO!$B$37,IF(M838=PARAMS_MODELO!$A$38,PARAMS_MODELO!$B$38,IF(M838=PARAMS_MODELO!$A$39,PARAMS_MODELO!$B$39,IF(M838=PARAMS_MODELO!$A$40,PARAMS_MODELO!$B$40)))))</f>
        <v>0.7</v>
      </c>
    </row>
    <row r="839" spans="1:14" x14ac:dyDescent="0.3">
      <c r="A839">
        <v>51014120</v>
      </c>
      <c r="B839">
        <v>65</v>
      </c>
      <c r="C839">
        <v>52</v>
      </c>
      <c r="D839">
        <f t="shared" si="39"/>
        <v>1.25</v>
      </c>
      <c r="E839">
        <f>ROUND(MIN(5,MAX(0,D839))/5*PARAMS_MODELO!$B$32,2)</f>
        <v>10</v>
      </c>
      <c r="F839">
        <v>1</v>
      </c>
      <c r="G839">
        <f>MAX(0,PARAMS_MODELO!$B$33-VALUE(TRIM(F839))*3)</f>
        <v>27</v>
      </c>
      <c r="H839">
        <v>2</v>
      </c>
      <c r="I839">
        <f>ROUND(MIN(4,MAX(0,H839))/4*PARAMS_MODELO!$B$34,2)</f>
        <v>10</v>
      </c>
      <c r="J839">
        <v>1</v>
      </c>
      <c r="K839">
        <f>IF(J839=0,0,PARAMS_MODELO!$B$35)</f>
        <v>10</v>
      </c>
      <c r="L839">
        <f t="shared" si="40"/>
        <v>57</v>
      </c>
      <c r="M839" t="str">
        <f t="shared" si="41"/>
        <v>Regular</v>
      </c>
      <c r="N839">
        <f>IF(M839=PARAMS_MODELO!$A$36,PARAMS_MODELO!$B$36,IF(M839=PARAMS_MODELO!$A$37,PARAMS_MODELO!$B$37,IF(M839=PARAMS_MODELO!$A$38,PARAMS_MODELO!$B$38,IF(M839=PARAMS_MODELO!$A$39,PARAMS_MODELO!$B$39,IF(M839=PARAMS_MODELO!$A$40,PARAMS_MODELO!$B$40)))))</f>
        <v>1</v>
      </c>
    </row>
    <row r="840" spans="1:14" x14ac:dyDescent="0.3">
      <c r="A840">
        <v>51036182</v>
      </c>
      <c r="B840">
        <v>45</v>
      </c>
      <c r="C840">
        <v>2</v>
      </c>
      <c r="D840">
        <f t="shared" si="39"/>
        <v>5</v>
      </c>
      <c r="E840">
        <f>ROUND(MIN(5,MAX(0,D840))/5*PARAMS_MODELO!$B$32,2)</f>
        <v>40</v>
      </c>
      <c r="F840">
        <v>4</v>
      </c>
      <c r="G840">
        <f>MAX(0,PARAMS_MODELO!$B$33-VALUE(TRIM(F840))*3)</f>
        <v>18</v>
      </c>
      <c r="H840">
        <v>2</v>
      </c>
      <c r="I840">
        <f>ROUND(MIN(4,MAX(0,H840))/4*PARAMS_MODELO!$B$34,2)</f>
        <v>10</v>
      </c>
      <c r="J840">
        <v>0</v>
      </c>
      <c r="K840">
        <f>IF(J840=0,0,PARAMS_MODELO!$B$35)</f>
        <v>0</v>
      </c>
      <c r="L840">
        <f t="shared" si="40"/>
        <v>68</v>
      </c>
      <c r="M840" t="str">
        <f t="shared" si="41"/>
        <v>Bueno</v>
      </c>
      <c r="N840">
        <f>IF(M840=PARAMS_MODELO!$A$36,PARAMS_MODELO!$B$36,IF(M840=PARAMS_MODELO!$A$37,PARAMS_MODELO!$B$37,IF(M840=PARAMS_MODELO!$A$38,PARAMS_MODELO!$B$38,IF(M840=PARAMS_MODELO!$A$39,PARAMS_MODELO!$B$39,IF(M840=PARAMS_MODELO!$A$40,PARAMS_MODELO!$B$40)))))</f>
        <v>1.1000000000000001</v>
      </c>
    </row>
    <row r="841" spans="1:14" x14ac:dyDescent="0.3">
      <c r="A841">
        <v>51011465</v>
      </c>
      <c r="B841">
        <v>94</v>
      </c>
      <c r="C841">
        <v>55</v>
      </c>
      <c r="D841">
        <f t="shared" si="39"/>
        <v>1.709090909090909</v>
      </c>
      <c r="E841">
        <f>ROUND(MIN(5,MAX(0,D841))/5*PARAMS_MODELO!$B$32,2)</f>
        <v>13.67</v>
      </c>
      <c r="F841">
        <v>0</v>
      </c>
      <c r="G841">
        <f>MAX(0,PARAMS_MODELO!$B$33-VALUE(TRIM(F841))*3)</f>
        <v>30</v>
      </c>
      <c r="H841">
        <v>0</v>
      </c>
      <c r="I841">
        <f>ROUND(MIN(4,MAX(0,H841))/4*PARAMS_MODELO!$B$34,2)</f>
        <v>0</v>
      </c>
      <c r="J841">
        <v>1</v>
      </c>
      <c r="K841">
        <f>IF(J841=0,0,PARAMS_MODELO!$B$35)</f>
        <v>10</v>
      </c>
      <c r="L841">
        <f t="shared" si="40"/>
        <v>53.67</v>
      </c>
      <c r="M841" t="str">
        <f t="shared" si="41"/>
        <v>Regular</v>
      </c>
      <c r="N841">
        <f>IF(M841=PARAMS_MODELO!$A$36,PARAMS_MODELO!$B$36,IF(M841=PARAMS_MODELO!$A$37,PARAMS_MODELO!$B$37,IF(M841=PARAMS_MODELO!$A$38,PARAMS_MODELO!$B$38,IF(M841=PARAMS_MODELO!$A$39,PARAMS_MODELO!$B$39,IF(M841=PARAMS_MODELO!$A$40,PARAMS_MODELO!$B$40)))))</f>
        <v>1</v>
      </c>
    </row>
    <row r="842" spans="1:14" x14ac:dyDescent="0.3">
      <c r="A842">
        <v>51006151</v>
      </c>
      <c r="B842">
        <v>6</v>
      </c>
      <c r="C842">
        <v>74</v>
      </c>
      <c r="D842">
        <f t="shared" si="39"/>
        <v>8.1081081081081086E-2</v>
      </c>
      <c r="E842">
        <f>ROUND(MIN(5,MAX(0,D842))/5*PARAMS_MODELO!$B$32,2)</f>
        <v>0.65</v>
      </c>
      <c r="F842">
        <v>1</v>
      </c>
      <c r="G842">
        <f>MAX(0,PARAMS_MODELO!$B$33-VALUE(TRIM(F842))*3)</f>
        <v>27</v>
      </c>
      <c r="H842">
        <v>1</v>
      </c>
      <c r="I842">
        <f>ROUND(MIN(4,MAX(0,H842))/4*PARAMS_MODELO!$B$34,2)</f>
        <v>5</v>
      </c>
      <c r="J842">
        <v>1</v>
      </c>
      <c r="K842">
        <f>IF(J842=0,0,PARAMS_MODELO!$B$35)</f>
        <v>10</v>
      </c>
      <c r="L842">
        <f t="shared" si="40"/>
        <v>42.65</v>
      </c>
      <c r="M842" t="str">
        <f t="shared" si="41"/>
        <v>Regular</v>
      </c>
      <c r="N842">
        <f>IF(M842=PARAMS_MODELO!$A$36,PARAMS_MODELO!$B$36,IF(M842=PARAMS_MODELO!$A$37,PARAMS_MODELO!$B$37,IF(M842=PARAMS_MODELO!$A$38,PARAMS_MODELO!$B$38,IF(M842=PARAMS_MODELO!$A$39,PARAMS_MODELO!$B$39,IF(M842=PARAMS_MODELO!$A$40,PARAMS_MODELO!$B$40)))))</f>
        <v>1</v>
      </c>
    </row>
    <row r="843" spans="1:14" x14ac:dyDescent="0.3">
      <c r="A843">
        <v>51033418</v>
      </c>
      <c r="B843">
        <v>20</v>
      </c>
      <c r="C843">
        <v>14</v>
      </c>
      <c r="D843">
        <f t="shared" si="39"/>
        <v>1.4285714285714286</v>
      </c>
      <c r="E843">
        <f>ROUND(MIN(5,MAX(0,D843))/5*PARAMS_MODELO!$B$32,2)</f>
        <v>11.43</v>
      </c>
      <c r="F843">
        <v>5</v>
      </c>
      <c r="G843">
        <f>MAX(0,PARAMS_MODELO!$B$33-VALUE(TRIM(F843))*3)</f>
        <v>15</v>
      </c>
      <c r="H843">
        <v>0</v>
      </c>
      <c r="I843">
        <f>ROUND(MIN(4,MAX(0,H843))/4*PARAMS_MODELO!$B$34,2)</f>
        <v>0</v>
      </c>
      <c r="J843">
        <v>0</v>
      </c>
      <c r="K843">
        <f>IF(J843=0,0,PARAMS_MODELO!$B$35)</f>
        <v>0</v>
      </c>
      <c r="L843">
        <f t="shared" si="40"/>
        <v>26.43</v>
      </c>
      <c r="M843" t="str">
        <f t="shared" si="41"/>
        <v>Malo</v>
      </c>
      <c r="N843">
        <f>IF(M843=PARAMS_MODELO!$A$36,PARAMS_MODELO!$B$36,IF(M843=PARAMS_MODELO!$A$37,PARAMS_MODELO!$B$37,IF(M843=PARAMS_MODELO!$A$38,PARAMS_MODELO!$B$38,IF(M843=PARAMS_MODELO!$A$39,PARAMS_MODELO!$B$39,IF(M843=PARAMS_MODELO!$A$40,PARAMS_MODELO!$B$40)))))</f>
        <v>0.7</v>
      </c>
    </row>
    <row r="844" spans="1:14" x14ac:dyDescent="0.3">
      <c r="A844">
        <v>51007841</v>
      </c>
      <c r="B844">
        <v>44</v>
      </c>
      <c r="C844">
        <v>22</v>
      </c>
      <c r="D844">
        <f t="shared" si="39"/>
        <v>2</v>
      </c>
      <c r="E844">
        <f>ROUND(MIN(5,MAX(0,D844))/5*PARAMS_MODELO!$B$32,2)</f>
        <v>16</v>
      </c>
      <c r="F844">
        <v>5</v>
      </c>
      <c r="G844">
        <f>MAX(0,PARAMS_MODELO!$B$33-VALUE(TRIM(F844))*3)</f>
        <v>15</v>
      </c>
      <c r="H844">
        <v>4</v>
      </c>
      <c r="I844">
        <f>ROUND(MIN(4,MAX(0,H844))/4*PARAMS_MODELO!$B$34,2)</f>
        <v>20</v>
      </c>
      <c r="J844">
        <v>0</v>
      </c>
      <c r="K844">
        <f>IF(J844=0,0,PARAMS_MODELO!$B$35)</f>
        <v>0</v>
      </c>
      <c r="L844">
        <f t="shared" si="40"/>
        <v>51</v>
      </c>
      <c r="M844" t="str">
        <f t="shared" si="41"/>
        <v>Regular</v>
      </c>
      <c r="N844">
        <f>IF(M844=PARAMS_MODELO!$A$36,PARAMS_MODELO!$B$36,IF(M844=PARAMS_MODELO!$A$37,PARAMS_MODELO!$B$37,IF(M844=PARAMS_MODELO!$A$38,PARAMS_MODELO!$B$38,IF(M844=PARAMS_MODELO!$A$39,PARAMS_MODELO!$B$39,IF(M844=PARAMS_MODELO!$A$40,PARAMS_MODELO!$B$40)))))</f>
        <v>1</v>
      </c>
    </row>
    <row r="845" spans="1:14" x14ac:dyDescent="0.3">
      <c r="A845">
        <v>51016602</v>
      </c>
      <c r="B845">
        <v>60</v>
      </c>
      <c r="C845">
        <v>38</v>
      </c>
      <c r="D845">
        <f t="shared" si="39"/>
        <v>1.5789473684210527</v>
      </c>
      <c r="E845">
        <f>ROUND(MIN(5,MAX(0,D845))/5*PARAMS_MODELO!$B$32,2)</f>
        <v>12.63</v>
      </c>
      <c r="F845">
        <v>0</v>
      </c>
      <c r="G845">
        <f>MAX(0,PARAMS_MODELO!$B$33-VALUE(TRIM(F845))*3)</f>
        <v>30</v>
      </c>
      <c r="H845">
        <v>0</v>
      </c>
      <c r="I845">
        <f>ROUND(MIN(4,MAX(0,H845))/4*PARAMS_MODELO!$B$34,2)</f>
        <v>0</v>
      </c>
      <c r="J845">
        <v>1</v>
      </c>
      <c r="K845">
        <f>IF(J845=0,0,PARAMS_MODELO!$B$35)</f>
        <v>10</v>
      </c>
      <c r="L845">
        <f t="shared" si="40"/>
        <v>52.63</v>
      </c>
      <c r="M845" t="str">
        <f t="shared" si="41"/>
        <v>Regular</v>
      </c>
      <c r="N845">
        <f>IF(M845=PARAMS_MODELO!$A$36,PARAMS_MODELO!$B$36,IF(M845=PARAMS_MODELO!$A$37,PARAMS_MODELO!$B$37,IF(M845=PARAMS_MODELO!$A$38,PARAMS_MODELO!$B$38,IF(M845=PARAMS_MODELO!$A$39,PARAMS_MODELO!$B$39,IF(M845=PARAMS_MODELO!$A$40,PARAMS_MODELO!$B$40)))))</f>
        <v>1</v>
      </c>
    </row>
    <row r="846" spans="1:14" x14ac:dyDescent="0.3">
      <c r="A846">
        <v>51036077</v>
      </c>
      <c r="B846">
        <v>81</v>
      </c>
      <c r="C846">
        <v>49</v>
      </c>
      <c r="D846">
        <f t="shared" si="39"/>
        <v>1.653061224489796</v>
      </c>
      <c r="E846">
        <f>ROUND(MIN(5,MAX(0,D846))/5*PARAMS_MODELO!$B$32,2)</f>
        <v>13.22</v>
      </c>
      <c r="F846">
        <v>4</v>
      </c>
      <c r="G846">
        <f>MAX(0,PARAMS_MODELO!$B$33-VALUE(TRIM(F846))*3)</f>
        <v>18</v>
      </c>
      <c r="H846">
        <v>1</v>
      </c>
      <c r="I846">
        <f>ROUND(MIN(4,MAX(0,H846))/4*PARAMS_MODELO!$B$34,2)</f>
        <v>5</v>
      </c>
      <c r="J846">
        <v>0</v>
      </c>
      <c r="K846">
        <f>IF(J846=0,0,PARAMS_MODELO!$B$35)</f>
        <v>0</v>
      </c>
      <c r="L846">
        <f t="shared" si="40"/>
        <v>36.22</v>
      </c>
      <c r="M846" t="str">
        <f t="shared" si="41"/>
        <v>Malo</v>
      </c>
      <c r="N846">
        <f>IF(M846=PARAMS_MODELO!$A$36,PARAMS_MODELO!$B$36,IF(M846=PARAMS_MODELO!$A$37,PARAMS_MODELO!$B$37,IF(M846=PARAMS_MODELO!$A$38,PARAMS_MODELO!$B$38,IF(M846=PARAMS_MODELO!$A$39,PARAMS_MODELO!$B$39,IF(M846=PARAMS_MODELO!$A$40,PARAMS_MODELO!$B$40)))))</f>
        <v>0.7</v>
      </c>
    </row>
    <row r="847" spans="1:14" x14ac:dyDescent="0.3">
      <c r="A847">
        <v>51013662</v>
      </c>
      <c r="B847">
        <v>74</v>
      </c>
      <c r="C847">
        <v>11</v>
      </c>
      <c r="D847">
        <f t="shared" si="39"/>
        <v>5</v>
      </c>
      <c r="E847">
        <f>ROUND(MIN(5,MAX(0,D847))/5*PARAMS_MODELO!$B$32,2)</f>
        <v>40</v>
      </c>
      <c r="F847">
        <v>3</v>
      </c>
      <c r="G847">
        <f>MAX(0,PARAMS_MODELO!$B$33-VALUE(TRIM(F847))*3)</f>
        <v>21</v>
      </c>
      <c r="H847">
        <v>4</v>
      </c>
      <c r="I847">
        <f>ROUND(MIN(4,MAX(0,H847))/4*PARAMS_MODELO!$B$34,2)</f>
        <v>20</v>
      </c>
      <c r="J847">
        <v>0</v>
      </c>
      <c r="K847">
        <f>IF(J847=0,0,PARAMS_MODELO!$B$35)</f>
        <v>0</v>
      </c>
      <c r="L847">
        <f t="shared" si="40"/>
        <v>81</v>
      </c>
      <c r="M847" t="str">
        <f t="shared" si="41"/>
        <v>Muy Bueno</v>
      </c>
      <c r="N847">
        <f>IF(M847=PARAMS_MODELO!$A$36,PARAMS_MODELO!$B$36,IF(M847=PARAMS_MODELO!$A$37,PARAMS_MODELO!$B$37,IF(M847=PARAMS_MODELO!$A$38,PARAMS_MODELO!$B$38,IF(M847=PARAMS_MODELO!$A$39,PARAMS_MODELO!$B$39,IF(M847=PARAMS_MODELO!$A$40,PARAMS_MODELO!$B$40)))))</f>
        <v>1.1499999999999999</v>
      </c>
    </row>
    <row r="848" spans="1:14" x14ac:dyDescent="0.3">
      <c r="A848">
        <v>51010248</v>
      </c>
      <c r="B848">
        <v>33</v>
      </c>
      <c r="C848">
        <v>94</v>
      </c>
      <c r="D848">
        <f t="shared" si="39"/>
        <v>0.35106382978723405</v>
      </c>
      <c r="E848">
        <f>ROUND(MIN(5,MAX(0,D848))/5*PARAMS_MODELO!$B$32,2)</f>
        <v>2.81</v>
      </c>
      <c r="F848">
        <v>2</v>
      </c>
      <c r="G848">
        <f>MAX(0,PARAMS_MODELO!$B$33-VALUE(TRIM(F848))*3)</f>
        <v>24</v>
      </c>
      <c r="H848">
        <v>2</v>
      </c>
      <c r="I848">
        <f>ROUND(MIN(4,MAX(0,H848))/4*PARAMS_MODELO!$B$34,2)</f>
        <v>10</v>
      </c>
      <c r="J848">
        <v>1</v>
      </c>
      <c r="K848">
        <f>IF(J848=0,0,PARAMS_MODELO!$B$35)</f>
        <v>10</v>
      </c>
      <c r="L848">
        <f t="shared" si="40"/>
        <v>46.81</v>
      </c>
      <c r="M848" t="str">
        <f t="shared" si="41"/>
        <v>Regular</v>
      </c>
      <c r="N848">
        <f>IF(M848=PARAMS_MODELO!$A$36,PARAMS_MODELO!$B$36,IF(M848=PARAMS_MODELO!$A$37,PARAMS_MODELO!$B$37,IF(M848=PARAMS_MODELO!$A$38,PARAMS_MODELO!$B$38,IF(M848=PARAMS_MODELO!$A$39,PARAMS_MODELO!$B$39,IF(M848=PARAMS_MODELO!$A$40,PARAMS_MODELO!$B$40)))))</f>
        <v>1</v>
      </c>
    </row>
    <row r="849" spans="1:14" x14ac:dyDescent="0.3">
      <c r="A849">
        <v>51055764</v>
      </c>
      <c r="B849">
        <v>65</v>
      </c>
      <c r="C849">
        <v>57</v>
      </c>
      <c r="D849">
        <f t="shared" si="39"/>
        <v>1.1403508771929824</v>
      </c>
      <c r="E849">
        <f>ROUND(MIN(5,MAX(0,D849))/5*PARAMS_MODELO!$B$32,2)</f>
        <v>9.1199999999999992</v>
      </c>
      <c r="F849">
        <v>0</v>
      </c>
      <c r="G849">
        <f>MAX(0,PARAMS_MODELO!$B$33-VALUE(TRIM(F849))*3)</f>
        <v>30</v>
      </c>
      <c r="H849">
        <v>0</v>
      </c>
      <c r="I849">
        <f>ROUND(MIN(4,MAX(0,H849))/4*PARAMS_MODELO!$B$34,2)</f>
        <v>0</v>
      </c>
      <c r="J849">
        <v>1</v>
      </c>
      <c r="K849">
        <f>IF(J849=0,0,PARAMS_MODELO!$B$35)</f>
        <v>10</v>
      </c>
      <c r="L849">
        <f t="shared" si="40"/>
        <v>49.12</v>
      </c>
      <c r="M849" t="str">
        <f t="shared" si="41"/>
        <v>Regular</v>
      </c>
      <c r="N849">
        <f>IF(M849=PARAMS_MODELO!$A$36,PARAMS_MODELO!$B$36,IF(M849=PARAMS_MODELO!$A$37,PARAMS_MODELO!$B$37,IF(M849=PARAMS_MODELO!$A$38,PARAMS_MODELO!$B$38,IF(M849=PARAMS_MODELO!$A$39,PARAMS_MODELO!$B$39,IF(M849=PARAMS_MODELO!$A$40,PARAMS_MODELO!$B$40)))))</f>
        <v>1</v>
      </c>
    </row>
    <row r="850" spans="1:14" x14ac:dyDescent="0.3">
      <c r="A850">
        <v>51012496</v>
      </c>
      <c r="B850">
        <v>39</v>
      </c>
      <c r="C850">
        <v>23</v>
      </c>
      <c r="D850">
        <f t="shared" si="39"/>
        <v>1.6956521739130435</v>
      </c>
      <c r="E850">
        <f>ROUND(MIN(5,MAX(0,D850))/5*PARAMS_MODELO!$B$32,2)</f>
        <v>13.57</v>
      </c>
      <c r="F850">
        <v>4</v>
      </c>
      <c r="G850">
        <f>MAX(0,PARAMS_MODELO!$B$33-VALUE(TRIM(F850))*3)</f>
        <v>18</v>
      </c>
      <c r="H850">
        <v>4</v>
      </c>
      <c r="I850">
        <f>ROUND(MIN(4,MAX(0,H850))/4*PARAMS_MODELO!$B$34,2)</f>
        <v>20</v>
      </c>
      <c r="J850">
        <v>1</v>
      </c>
      <c r="K850">
        <f>IF(J850=0,0,PARAMS_MODELO!$B$35)</f>
        <v>10</v>
      </c>
      <c r="L850">
        <f t="shared" si="40"/>
        <v>61.57</v>
      </c>
      <c r="M850" t="str">
        <f t="shared" si="41"/>
        <v>Bueno</v>
      </c>
      <c r="N850">
        <f>IF(M850=PARAMS_MODELO!$A$36,PARAMS_MODELO!$B$36,IF(M850=PARAMS_MODELO!$A$37,PARAMS_MODELO!$B$37,IF(M850=PARAMS_MODELO!$A$38,PARAMS_MODELO!$B$38,IF(M850=PARAMS_MODELO!$A$39,PARAMS_MODELO!$B$39,IF(M850=PARAMS_MODELO!$A$40,PARAMS_MODELO!$B$40)))))</f>
        <v>1.1000000000000001</v>
      </c>
    </row>
    <row r="851" spans="1:14" x14ac:dyDescent="0.3">
      <c r="A851">
        <v>51016874</v>
      </c>
      <c r="B851">
        <v>92</v>
      </c>
      <c r="C851">
        <v>83</v>
      </c>
      <c r="D851">
        <f t="shared" si="39"/>
        <v>1.1084337349397591</v>
      </c>
      <c r="E851">
        <f>ROUND(MIN(5,MAX(0,D851))/5*PARAMS_MODELO!$B$32,2)</f>
        <v>8.8699999999999992</v>
      </c>
      <c r="F851">
        <v>4</v>
      </c>
      <c r="G851">
        <f>MAX(0,PARAMS_MODELO!$B$33-VALUE(TRIM(F851))*3)</f>
        <v>18</v>
      </c>
      <c r="H851">
        <v>3</v>
      </c>
      <c r="I851">
        <f>ROUND(MIN(4,MAX(0,H851))/4*PARAMS_MODELO!$B$34,2)</f>
        <v>15</v>
      </c>
      <c r="J851">
        <v>1</v>
      </c>
      <c r="K851">
        <f>IF(J851=0,0,PARAMS_MODELO!$B$35)</f>
        <v>10</v>
      </c>
      <c r="L851">
        <f t="shared" si="40"/>
        <v>51.87</v>
      </c>
      <c r="M851" t="str">
        <f t="shared" si="41"/>
        <v>Regular</v>
      </c>
      <c r="N851">
        <f>IF(M851=PARAMS_MODELO!$A$36,PARAMS_MODELO!$B$36,IF(M851=PARAMS_MODELO!$A$37,PARAMS_MODELO!$B$37,IF(M851=PARAMS_MODELO!$A$38,PARAMS_MODELO!$B$38,IF(M851=PARAMS_MODELO!$A$39,PARAMS_MODELO!$B$39,IF(M851=PARAMS_MODELO!$A$40,PARAMS_MODELO!$B$40)))))</f>
        <v>1</v>
      </c>
    </row>
    <row r="852" spans="1:14" x14ac:dyDescent="0.3">
      <c r="A852">
        <v>51011481</v>
      </c>
      <c r="B852">
        <v>25</v>
      </c>
      <c r="C852">
        <v>44</v>
      </c>
      <c r="D852">
        <f t="shared" si="39"/>
        <v>0.56818181818181823</v>
      </c>
      <c r="E852">
        <f>ROUND(MIN(5,MAX(0,D852))/5*PARAMS_MODELO!$B$32,2)</f>
        <v>4.55</v>
      </c>
      <c r="F852">
        <v>0</v>
      </c>
      <c r="G852">
        <f>MAX(0,PARAMS_MODELO!$B$33-VALUE(TRIM(F852))*3)</f>
        <v>30</v>
      </c>
      <c r="H852">
        <v>0</v>
      </c>
      <c r="I852">
        <f>ROUND(MIN(4,MAX(0,H852))/4*PARAMS_MODELO!$B$34,2)</f>
        <v>0</v>
      </c>
      <c r="J852">
        <v>1</v>
      </c>
      <c r="K852">
        <f>IF(J852=0,0,PARAMS_MODELO!$B$35)</f>
        <v>10</v>
      </c>
      <c r="L852">
        <f t="shared" si="40"/>
        <v>44.55</v>
      </c>
      <c r="M852" t="str">
        <f t="shared" si="41"/>
        <v>Regular</v>
      </c>
      <c r="N852">
        <f>IF(M852=PARAMS_MODELO!$A$36,PARAMS_MODELO!$B$36,IF(M852=PARAMS_MODELO!$A$37,PARAMS_MODELO!$B$37,IF(M852=PARAMS_MODELO!$A$38,PARAMS_MODELO!$B$38,IF(M852=PARAMS_MODELO!$A$39,PARAMS_MODELO!$B$39,IF(M852=PARAMS_MODELO!$A$40,PARAMS_MODELO!$B$40)))))</f>
        <v>1</v>
      </c>
    </row>
    <row r="853" spans="1:14" x14ac:dyDescent="0.3">
      <c r="A853">
        <v>51042654</v>
      </c>
      <c r="B853">
        <v>26</v>
      </c>
      <c r="C853">
        <v>85</v>
      </c>
      <c r="D853">
        <f t="shared" si="39"/>
        <v>0.30588235294117649</v>
      </c>
      <c r="E853">
        <f>ROUND(MIN(5,MAX(0,D853))/5*PARAMS_MODELO!$B$32,2)</f>
        <v>2.4500000000000002</v>
      </c>
      <c r="F853">
        <v>1</v>
      </c>
      <c r="G853">
        <f>MAX(0,PARAMS_MODELO!$B$33-VALUE(TRIM(F853))*3)</f>
        <v>27</v>
      </c>
      <c r="H853">
        <v>4</v>
      </c>
      <c r="I853">
        <f>ROUND(MIN(4,MAX(0,H853))/4*PARAMS_MODELO!$B$34,2)</f>
        <v>20</v>
      </c>
      <c r="J853">
        <v>0</v>
      </c>
      <c r="K853">
        <f>IF(J853=0,0,PARAMS_MODELO!$B$35)</f>
        <v>0</v>
      </c>
      <c r="L853">
        <f t="shared" si="40"/>
        <v>49.45</v>
      </c>
      <c r="M853" t="str">
        <f t="shared" si="41"/>
        <v>Regular</v>
      </c>
      <c r="N853">
        <f>IF(M853=PARAMS_MODELO!$A$36,PARAMS_MODELO!$B$36,IF(M853=PARAMS_MODELO!$A$37,PARAMS_MODELO!$B$37,IF(M853=PARAMS_MODELO!$A$38,PARAMS_MODELO!$B$38,IF(M853=PARAMS_MODELO!$A$39,PARAMS_MODELO!$B$39,IF(M853=PARAMS_MODELO!$A$40,PARAMS_MODELO!$B$40)))))</f>
        <v>1</v>
      </c>
    </row>
    <row r="854" spans="1:14" x14ac:dyDescent="0.3">
      <c r="A854">
        <v>51057074</v>
      </c>
      <c r="B854">
        <v>24</v>
      </c>
      <c r="C854">
        <v>35</v>
      </c>
      <c r="D854">
        <f t="shared" si="39"/>
        <v>0.68571428571428572</v>
      </c>
      <c r="E854">
        <f>ROUND(MIN(5,MAX(0,D854))/5*PARAMS_MODELO!$B$32,2)</f>
        <v>5.49</v>
      </c>
      <c r="F854">
        <v>4</v>
      </c>
      <c r="G854">
        <f>MAX(0,PARAMS_MODELO!$B$33-VALUE(TRIM(F854))*3)</f>
        <v>18</v>
      </c>
      <c r="H854">
        <v>1</v>
      </c>
      <c r="I854">
        <f>ROUND(MIN(4,MAX(0,H854))/4*PARAMS_MODELO!$B$34,2)</f>
        <v>5</v>
      </c>
      <c r="J854">
        <v>1</v>
      </c>
      <c r="K854">
        <f>IF(J854=0,0,PARAMS_MODELO!$B$35)</f>
        <v>10</v>
      </c>
      <c r="L854">
        <f t="shared" si="40"/>
        <v>38.49</v>
      </c>
      <c r="M854" t="str">
        <f t="shared" si="41"/>
        <v>Malo</v>
      </c>
      <c r="N854">
        <f>IF(M854=PARAMS_MODELO!$A$36,PARAMS_MODELO!$B$36,IF(M854=PARAMS_MODELO!$A$37,PARAMS_MODELO!$B$37,IF(M854=PARAMS_MODELO!$A$38,PARAMS_MODELO!$B$38,IF(M854=PARAMS_MODELO!$A$39,PARAMS_MODELO!$B$39,IF(M854=PARAMS_MODELO!$A$40,PARAMS_MODELO!$B$40)))))</f>
        <v>0.7</v>
      </c>
    </row>
    <row r="855" spans="1:14" x14ac:dyDescent="0.3">
      <c r="A855">
        <v>51042913</v>
      </c>
      <c r="B855">
        <v>13</v>
      </c>
      <c r="C855">
        <v>27</v>
      </c>
      <c r="D855">
        <f t="shared" si="39"/>
        <v>0.48148148148148145</v>
      </c>
      <c r="E855">
        <f>ROUND(MIN(5,MAX(0,D855))/5*PARAMS_MODELO!$B$32,2)</f>
        <v>3.85</v>
      </c>
      <c r="F855">
        <v>3</v>
      </c>
      <c r="G855">
        <f>MAX(0,PARAMS_MODELO!$B$33-VALUE(TRIM(F855))*3)</f>
        <v>21</v>
      </c>
      <c r="H855">
        <v>2</v>
      </c>
      <c r="I855">
        <f>ROUND(MIN(4,MAX(0,H855))/4*PARAMS_MODELO!$B$34,2)</f>
        <v>10</v>
      </c>
      <c r="J855">
        <v>0</v>
      </c>
      <c r="K855">
        <f>IF(J855=0,0,PARAMS_MODELO!$B$35)</f>
        <v>0</v>
      </c>
      <c r="L855">
        <f t="shared" si="40"/>
        <v>34.85</v>
      </c>
      <c r="M855" t="str">
        <f t="shared" si="41"/>
        <v>Malo</v>
      </c>
      <c r="N855">
        <f>IF(M855=PARAMS_MODELO!$A$36,PARAMS_MODELO!$B$36,IF(M855=PARAMS_MODELO!$A$37,PARAMS_MODELO!$B$37,IF(M855=PARAMS_MODELO!$A$38,PARAMS_MODELO!$B$38,IF(M855=PARAMS_MODELO!$A$39,PARAMS_MODELO!$B$39,IF(M855=PARAMS_MODELO!$A$40,PARAMS_MODELO!$B$40)))))</f>
        <v>0.7</v>
      </c>
    </row>
    <row r="856" spans="1:14" x14ac:dyDescent="0.3">
      <c r="A856">
        <v>51025857</v>
      </c>
      <c r="B856">
        <v>89</v>
      </c>
      <c r="C856">
        <v>73</v>
      </c>
      <c r="D856">
        <f t="shared" si="39"/>
        <v>1.2191780821917808</v>
      </c>
      <c r="E856">
        <f>ROUND(MIN(5,MAX(0,D856))/5*PARAMS_MODELO!$B$32,2)</f>
        <v>9.75</v>
      </c>
      <c r="F856">
        <v>3</v>
      </c>
      <c r="G856">
        <f>MAX(0,PARAMS_MODELO!$B$33-VALUE(TRIM(F856))*3)</f>
        <v>21</v>
      </c>
      <c r="H856">
        <v>3</v>
      </c>
      <c r="I856">
        <f>ROUND(MIN(4,MAX(0,H856))/4*PARAMS_MODELO!$B$34,2)</f>
        <v>15</v>
      </c>
      <c r="J856">
        <v>1</v>
      </c>
      <c r="K856">
        <f>IF(J856=0,0,PARAMS_MODELO!$B$35)</f>
        <v>10</v>
      </c>
      <c r="L856">
        <f t="shared" si="40"/>
        <v>55.75</v>
      </c>
      <c r="M856" t="str">
        <f t="shared" si="41"/>
        <v>Regular</v>
      </c>
      <c r="N856">
        <f>IF(M856=PARAMS_MODELO!$A$36,PARAMS_MODELO!$B$36,IF(M856=PARAMS_MODELO!$A$37,PARAMS_MODELO!$B$37,IF(M856=PARAMS_MODELO!$A$38,PARAMS_MODELO!$B$38,IF(M856=PARAMS_MODELO!$A$39,PARAMS_MODELO!$B$39,IF(M856=PARAMS_MODELO!$A$40,PARAMS_MODELO!$B$40)))))</f>
        <v>1</v>
      </c>
    </row>
    <row r="857" spans="1:14" x14ac:dyDescent="0.3">
      <c r="A857">
        <v>51026071</v>
      </c>
      <c r="B857">
        <v>42</v>
      </c>
      <c r="C857">
        <v>66</v>
      </c>
      <c r="D857">
        <f t="shared" si="39"/>
        <v>0.63636363636363635</v>
      </c>
      <c r="E857">
        <f>ROUND(MIN(5,MAX(0,D857))/5*PARAMS_MODELO!$B$32,2)</f>
        <v>5.09</v>
      </c>
      <c r="F857">
        <v>3</v>
      </c>
      <c r="G857">
        <f>MAX(0,PARAMS_MODELO!$B$33-VALUE(TRIM(F857))*3)</f>
        <v>21</v>
      </c>
      <c r="H857">
        <v>3</v>
      </c>
      <c r="I857">
        <f>ROUND(MIN(4,MAX(0,H857))/4*PARAMS_MODELO!$B$34,2)</f>
        <v>15</v>
      </c>
      <c r="J857">
        <v>1</v>
      </c>
      <c r="K857">
        <f>IF(J857=0,0,PARAMS_MODELO!$B$35)</f>
        <v>10</v>
      </c>
      <c r="L857">
        <f t="shared" si="40"/>
        <v>51.09</v>
      </c>
      <c r="M857" t="str">
        <f t="shared" si="41"/>
        <v>Regular</v>
      </c>
      <c r="N857">
        <f>IF(M857=PARAMS_MODELO!$A$36,PARAMS_MODELO!$B$36,IF(M857=PARAMS_MODELO!$A$37,PARAMS_MODELO!$B$37,IF(M857=PARAMS_MODELO!$A$38,PARAMS_MODELO!$B$38,IF(M857=PARAMS_MODELO!$A$39,PARAMS_MODELO!$B$39,IF(M857=PARAMS_MODELO!$A$40,PARAMS_MODELO!$B$40)))))</f>
        <v>1</v>
      </c>
    </row>
    <row r="858" spans="1:14" x14ac:dyDescent="0.3">
      <c r="A858">
        <v>51017595</v>
      </c>
      <c r="B858">
        <v>5</v>
      </c>
      <c r="C858">
        <v>79</v>
      </c>
      <c r="D858">
        <f t="shared" si="39"/>
        <v>6.3291139240506333E-2</v>
      </c>
      <c r="E858">
        <f>ROUND(MIN(5,MAX(0,D858))/5*PARAMS_MODELO!$B$32,2)</f>
        <v>0.51</v>
      </c>
      <c r="F858">
        <v>1</v>
      </c>
      <c r="G858">
        <f>MAX(0,PARAMS_MODELO!$B$33-VALUE(TRIM(F858))*3)</f>
        <v>27</v>
      </c>
      <c r="H858">
        <v>2</v>
      </c>
      <c r="I858">
        <f>ROUND(MIN(4,MAX(0,H858))/4*PARAMS_MODELO!$B$34,2)</f>
        <v>10</v>
      </c>
      <c r="J858">
        <v>0</v>
      </c>
      <c r="K858">
        <f>IF(J858=0,0,PARAMS_MODELO!$B$35)</f>
        <v>0</v>
      </c>
      <c r="L858">
        <f t="shared" si="40"/>
        <v>37.510000000000005</v>
      </c>
      <c r="M858" t="str">
        <f t="shared" si="41"/>
        <v>Malo</v>
      </c>
      <c r="N858">
        <f>IF(M858=PARAMS_MODELO!$A$36,PARAMS_MODELO!$B$36,IF(M858=PARAMS_MODELO!$A$37,PARAMS_MODELO!$B$37,IF(M858=PARAMS_MODELO!$A$38,PARAMS_MODELO!$B$38,IF(M858=PARAMS_MODELO!$A$39,PARAMS_MODELO!$B$39,IF(M858=PARAMS_MODELO!$A$40,PARAMS_MODELO!$B$40)))))</f>
        <v>0.7</v>
      </c>
    </row>
    <row r="859" spans="1:14" x14ac:dyDescent="0.3">
      <c r="A859">
        <v>51014707</v>
      </c>
      <c r="B859">
        <v>42</v>
      </c>
      <c r="C859">
        <v>2</v>
      </c>
      <c r="D859">
        <f t="shared" si="39"/>
        <v>5</v>
      </c>
      <c r="E859">
        <f>ROUND(MIN(5,MAX(0,D859))/5*PARAMS_MODELO!$B$32,2)</f>
        <v>40</v>
      </c>
      <c r="F859">
        <v>4</v>
      </c>
      <c r="G859">
        <f>MAX(0,PARAMS_MODELO!$B$33-VALUE(TRIM(F859))*3)</f>
        <v>18</v>
      </c>
      <c r="H859">
        <v>0</v>
      </c>
      <c r="I859">
        <f>ROUND(MIN(4,MAX(0,H859))/4*PARAMS_MODELO!$B$34,2)</f>
        <v>0</v>
      </c>
      <c r="J859">
        <v>1</v>
      </c>
      <c r="K859">
        <f>IF(J859=0,0,PARAMS_MODELO!$B$35)</f>
        <v>10</v>
      </c>
      <c r="L859">
        <f t="shared" si="40"/>
        <v>68</v>
      </c>
      <c r="M859" t="str">
        <f t="shared" si="41"/>
        <v>Bueno</v>
      </c>
      <c r="N859">
        <f>IF(M859=PARAMS_MODELO!$A$36,PARAMS_MODELO!$B$36,IF(M859=PARAMS_MODELO!$A$37,PARAMS_MODELO!$B$37,IF(M859=PARAMS_MODELO!$A$38,PARAMS_MODELO!$B$38,IF(M859=PARAMS_MODELO!$A$39,PARAMS_MODELO!$B$39,IF(M859=PARAMS_MODELO!$A$40,PARAMS_MODELO!$B$40)))))</f>
        <v>1.1000000000000001</v>
      </c>
    </row>
    <row r="860" spans="1:14" x14ac:dyDescent="0.3">
      <c r="A860">
        <v>51032390</v>
      </c>
      <c r="B860">
        <v>60</v>
      </c>
      <c r="C860">
        <v>76</v>
      </c>
      <c r="D860">
        <f t="shared" si="39"/>
        <v>0.78947368421052633</v>
      </c>
      <c r="E860">
        <f>ROUND(MIN(5,MAX(0,D860))/5*PARAMS_MODELO!$B$32,2)</f>
        <v>6.32</v>
      </c>
      <c r="F860">
        <v>3</v>
      </c>
      <c r="G860">
        <f>MAX(0,PARAMS_MODELO!$B$33-VALUE(TRIM(F860))*3)</f>
        <v>21</v>
      </c>
      <c r="H860">
        <v>2</v>
      </c>
      <c r="I860">
        <f>ROUND(MIN(4,MAX(0,H860))/4*PARAMS_MODELO!$B$34,2)</f>
        <v>10</v>
      </c>
      <c r="J860">
        <v>1</v>
      </c>
      <c r="K860">
        <f>IF(J860=0,0,PARAMS_MODELO!$B$35)</f>
        <v>10</v>
      </c>
      <c r="L860">
        <f t="shared" si="40"/>
        <v>47.32</v>
      </c>
      <c r="M860" t="str">
        <f t="shared" si="41"/>
        <v>Regular</v>
      </c>
      <c r="N860">
        <f>IF(M860=PARAMS_MODELO!$A$36,PARAMS_MODELO!$B$36,IF(M860=PARAMS_MODELO!$A$37,PARAMS_MODELO!$B$37,IF(M860=PARAMS_MODELO!$A$38,PARAMS_MODELO!$B$38,IF(M860=PARAMS_MODELO!$A$39,PARAMS_MODELO!$B$39,IF(M860=PARAMS_MODELO!$A$40,PARAMS_MODELO!$B$40)))))</f>
        <v>1</v>
      </c>
    </row>
    <row r="861" spans="1:14" x14ac:dyDescent="0.3">
      <c r="A861">
        <v>51030249</v>
      </c>
      <c r="B861">
        <v>46</v>
      </c>
      <c r="C861">
        <v>37</v>
      </c>
      <c r="D861">
        <f t="shared" si="39"/>
        <v>1.2432432432432432</v>
      </c>
      <c r="E861">
        <f>ROUND(MIN(5,MAX(0,D861))/5*PARAMS_MODELO!$B$32,2)</f>
        <v>9.9499999999999993</v>
      </c>
      <c r="F861">
        <v>3</v>
      </c>
      <c r="G861">
        <f>MAX(0,PARAMS_MODELO!$B$33-VALUE(TRIM(F861))*3)</f>
        <v>21</v>
      </c>
      <c r="H861">
        <v>1</v>
      </c>
      <c r="I861">
        <f>ROUND(MIN(4,MAX(0,H861))/4*PARAMS_MODELO!$B$34,2)</f>
        <v>5</v>
      </c>
      <c r="J861">
        <v>0</v>
      </c>
      <c r="K861">
        <f>IF(J861=0,0,PARAMS_MODELO!$B$35)</f>
        <v>0</v>
      </c>
      <c r="L861">
        <f t="shared" si="40"/>
        <v>35.950000000000003</v>
      </c>
      <c r="M861" t="str">
        <f t="shared" si="41"/>
        <v>Malo</v>
      </c>
      <c r="N861">
        <f>IF(M861=PARAMS_MODELO!$A$36,PARAMS_MODELO!$B$36,IF(M861=PARAMS_MODELO!$A$37,PARAMS_MODELO!$B$37,IF(M861=PARAMS_MODELO!$A$38,PARAMS_MODELO!$B$38,IF(M861=PARAMS_MODELO!$A$39,PARAMS_MODELO!$B$39,IF(M861=PARAMS_MODELO!$A$40,PARAMS_MODELO!$B$40)))))</f>
        <v>0.7</v>
      </c>
    </row>
    <row r="862" spans="1:14" x14ac:dyDescent="0.3">
      <c r="A862">
        <v>51029518</v>
      </c>
      <c r="B862">
        <v>43</v>
      </c>
      <c r="C862">
        <v>83</v>
      </c>
      <c r="D862">
        <f t="shared" si="39"/>
        <v>0.51807228915662651</v>
      </c>
      <c r="E862">
        <f>ROUND(MIN(5,MAX(0,D862))/5*PARAMS_MODELO!$B$32,2)</f>
        <v>4.1399999999999997</v>
      </c>
      <c r="F862">
        <v>5</v>
      </c>
      <c r="G862">
        <f>MAX(0,PARAMS_MODELO!$B$33-VALUE(TRIM(F862))*3)</f>
        <v>15</v>
      </c>
      <c r="H862">
        <v>1</v>
      </c>
      <c r="I862">
        <f>ROUND(MIN(4,MAX(0,H862))/4*PARAMS_MODELO!$B$34,2)</f>
        <v>5</v>
      </c>
      <c r="J862">
        <v>1</v>
      </c>
      <c r="K862">
        <f>IF(J862=0,0,PARAMS_MODELO!$B$35)</f>
        <v>10</v>
      </c>
      <c r="L862">
        <f t="shared" si="40"/>
        <v>34.14</v>
      </c>
      <c r="M862" t="str">
        <f t="shared" si="41"/>
        <v>Malo</v>
      </c>
      <c r="N862">
        <f>IF(M862=PARAMS_MODELO!$A$36,PARAMS_MODELO!$B$36,IF(M862=PARAMS_MODELO!$A$37,PARAMS_MODELO!$B$37,IF(M862=PARAMS_MODELO!$A$38,PARAMS_MODELO!$B$38,IF(M862=PARAMS_MODELO!$A$39,PARAMS_MODELO!$B$39,IF(M862=PARAMS_MODELO!$A$40,PARAMS_MODELO!$B$40)))))</f>
        <v>0.7</v>
      </c>
    </row>
    <row r="863" spans="1:14" x14ac:dyDescent="0.3">
      <c r="A863">
        <v>51044011</v>
      </c>
      <c r="B863">
        <v>35</v>
      </c>
      <c r="C863">
        <v>94</v>
      </c>
      <c r="D863">
        <f t="shared" si="39"/>
        <v>0.37234042553191488</v>
      </c>
      <c r="E863">
        <f>ROUND(MIN(5,MAX(0,D863))/5*PARAMS_MODELO!$B$32,2)</f>
        <v>2.98</v>
      </c>
      <c r="F863">
        <v>0</v>
      </c>
      <c r="G863">
        <f>MAX(0,PARAMS_MODELO!$B$33-VALUE(TRIM(F863))*3)</f>
        <v>30</v>
      </c>
      <c r="H863">
        <v>1</v>
      </c>
      <c r="I863">
        <f>ROUND(MIN(4,MAX(0,H863))/4*PARAMS_MODELO!$B$34,2)</f>
        <v>5</v>
      </c>
      <c r="J863">
        <v>0</v>
      </c>
      <c r="K863">
        <f>IF(J863=0,0,PARAMS_MODELO!$B$35)</f>
        <v>0</v>
      </c>
      <c r="L863">
        <f t="shared" si="40"/>
        <v>37.979999999999997</v>
      </c>
      <c r="M863" t="str">
        <f t="shared" si="41"/>
        <v>Malo</v>
      </c>
      <c r="N863">
        <f>IF(M863=PARAMS_MODELO!$A$36,PARAMS_MODELO!$B$36,IF(M863=PARAMS_MODELO!$A$37,PARAMS_MODELO!$B$37,IF(M863=PARAMS_MODELO!$A$38,PARAMS_MODELO!$B$38,IF(M863=PARAMS_MODELO!$A$39,PARAMS_MODELO!$B$39,IF(M863=PARAMS_MODELO!$A$40,PARAMS_MODELO!$B$40)))))</f>
        <v>0.7</v>
      </c>
    </row>
    <row r="864" spans="1:14" x14ac:dyDescent="0.3">
      <c r="A864">
        <v>51013956</v>
      </c>
      <c r="B864">
        <v>64</v>
      </c>
      <c r="C864">
        <v>48</v>
      </c>
      <c r="D864">
        <f t="shared" si="39"/>
        <v>1.3333333333333333</v>
      </c>
      <c r="E864">
        <f>ROUND(MIN(5,MAX(0,D864))/5*PARAMS_MODELO!$B$32,2)</f>
        <v>10.67</v>
      </c>
      <c r="F864">
        <v>2</v>
      </c>
      <c r="G864">
        <f>MAX(0,PARAMS_MODELO!$B$33-VALUE(TRIM(F864))*3)</f>
        <v>24</v>
      </c>
      <c r="H864">
        <v>3</v>
      </c>
      <c r="I864">
        <f>ROUND(MIN(4,MAX(0,H864))/4*PARAMS_MODELO!$B$34,2)</f>
        <v>15</v>
      </c>
      <c r="J864">
        <v>0</v>
      </c>
      <c r="K864">
        <f>IF(J864=0,0,PARAMS_MODELO!$B$35)</f>
        <v>0</v>
      </c>
      <c r="L864">
        <f t="shared" si="40"/>
        <v>49.67</v>
      </c>
      <c r="M864" t="str">
        <f t="shared" si="41"/>
        <v>Regular</v>
      </c>
      <c r="N864">
        <f>IF(M864=PARAMS_MODELO!$A$36,PARAMS_MODELO!$B$36,IF(M864=PARAMS_MODELO!$A$37,PARAMS_MODELO!$B$37,IF(M864=PARAMS_MODELO!$A$38,PARAMS_MODELO!$B$38,IF(M864=PARAMS_MODELO!$A$39,PARAMS_MODELO!$B$39,IF(M864=PARAMS_MODELO!$A$40,PARAMS_MODELO!$B$40)))))</f>
        <v>1</v>
      </c>
    </row>
    <row r="865" spans="1:14" x14ac:dyDescent="0.3">
      <c r="A865">
        <v>51023846</v>
      </c>
      <c r="B865">
        <v>9</v>
      </c>
      <c r="C865">
        <v>56</v>
      </c>
      <c r="D865">
        <f t="shared" si="39"/>
        <v>0.16071428571428573</v>
      </c>
      <c r="E865">
        <f>ROUND(MIN(5,MAX(0,D865))/5*PARAMS_MODELO!$B$32,2)</f>
        <v>1.29</v>
      </c>
      <c r="F865">
        <v>3</v>
      </c>
      <c r="G865">
        <f>MAX(0,PARAMS_MODELO!$B$33-VALUE(TRIM(F865))*3)</f>
        <v>21</v>
      </c>
      <c r="H865">
        <v>3</v>
      </c>
      <c r="I865">
        <f>ROUND(MIN(4,MAX(0,H865))/4*PARAMS_MODELO!$B$34,2)</f>
        <v>15</v>
      </c>
      <c r="J865">
        <v>0</v>
      </c>
      <c r="K865">
        <f>IF(J865=0,0,PARAMS_MODELO!$B$35)</f>
        <v>0</v>
      </c>
      <c r="L865">
        <f t="shared" si="40"/>
        <v>37.29</v>
      </c>
      <c r="M865" t="str">
        <f t="shared" si="41"/>
        <v>Malo</v>
      </c>
      <c r="N865">
        <f>IF(M865=PARAMS_MODELO!$A$36,PARAMS_MODELO!$B$36,IF(M865=PARAMS_MODELO!$A$37,PARAMS_MODELO!$B$37,IF(M865=PARAMS_MODELO!$A$38,PARAMS_MODELO!$B$38,IF(M865=PARAMS_MODELO!$A$39,PARAMS_MODELO!$B$39,IF(M865=PARAMS_MODELO!$A$40,PARAMS_MODELO!$B$40)))))</f>
        <v>0.7</v>
      </c>
    </row>
    <row r="866" spans="1:14" x14ac:dyDescent="0.3">
      <c r="A866">
        <v>51019563</v>
      </c>
      <c r="B866">
        <v>23</v>
      </c>
      <c r="C866">
        <v>50</v>
      </c>
      <c r="D866">
        <f t="shared" si="39"/>
        <v>0.46</v>
      </c>
      <c r="E866">
        <f>ROUND(MIN(5,MAX(0,D866))/5*PARAMS_MODELO!$B$32,2)</f>
        <v>3.68</v>
      </c>
      <c r="F866">
        <v>4</v>
      </c>
      <c r="G866">
        <f>MAX(0,PARAMS_MODELO!$B$33-VALUE(TRIM(F866))*3)</f>
        <v>18</v>
      </c>
      <c r="H866">
        <v>4</v>
      </c>
      <c r="I866">
        <f>ROUND(MIN(4,MAX(0,H866))/4*PARAMS_MODELO!$B$34,2)</f>
        <v>20</v>
      </c>
      <c r="J866">
        <v>0</v>
      </c>
      <c r="K866">
        <f>IF(J866=0,0,PARAMS_MODELO!$B$35)</f>
        <v>0</v>
      </c>
      <c r="L866">
        <f t="shared" si="40"/>
        <v>41.68</v>
      </c>
      <c r="M866" t="str">
        <f t="shared" si="41"/>
        <v>Regular</v>
      </c>
      <c r="N866">
        <f>IF(M866=PARAMS_MODELO!$A$36,PARAMS_MODELO!$B$36,IF(M866=PARAMS_MODELO!$A$37,PARAMS_MODELO!$B$37,IF(M866=PARAMS_MODELO!$A$38,PARAMS_MODELO!$B$38,IF(M866=PARAMS_MODELO!$A$39,PARAMS_MODELO!$B$39,IF(M866=PARAMS_MODELO!$A$40,PARAMS_MODELO!$B$40)))))</f>
        <v>1</v>
      </c>
    </row>
    <row r="867" spans="1:14" x14ac:dyDescent="0.3">
      <c r="A867">
        <v>51030711</v>
      </c>
      <c r="B867">
        <v>87</v>
      </c>
      <c r="C867">
        <v>30</v>
      </c>
      <c r="D867">
        <f t="shared" si="39"/>
        <v>2.9</v>
      </c>
      <c r="E867">
        <f>ROUND(MIN(5,MAX(0,D867))/5*PARAMS_MODELO!$B$32,2)</f>
        <v>23.2</v>
      </c>
      <c r="F867">
        <v>2</v>
      </c>
      <c r="G867">
        <f>MAX(0,PARAMS_MODELO!$B$33-VALUE(TRIM(F867))*3)</f>
        <v>24</v>
      </c>
      <c r="H867">
        <v>0</v>
      </c>
      <c r="I867">
        <f>ROUND(MIN(4,MAX(0,H867))/4*PARAMS_MODELO!$B$34,2)</f>
        <v>0</v>
      </c>
      <c r="J867">
        <v>1</v>
      </c>
      <c r="K867">
        <f>IF(J867=0,0,PARAMS_MODELO!$B$35)</f>
        <v>10</v>
      </c>
      <c r="L867">
        <f t="shared" si="40"/>
        <v>57.2</v>
      </c>
      <c r="M867" t="str">
        <f t="shared" si="41"/>
        <v>Regular</v>
      </c>
      <c r="N867">
        <f>IF(M867=PARAMS_MODELO!$A$36,PARAMS_MODELO!$B$36,IF(M867=PARAMS_MODELO!$A$37,PARAMS_MODELO!$B$37,IF(M867=PARAMS_MODELO!$A$38,PARAMS_MODELO!$B$38,IF(M867=PARAMS_MODELO!$A$39,PARAMS_MODELO!$B$39,IF(M867=PARAMS_MODELO!$A$40,PARAMS_MODELO!$B$40)))))</f>
        <v>1</v>
      </c>
    </row>
    <row r="868" spans="1:14" x14ac:dyDescent="0.3">
      <c r="A868">
        <v>51056574</v>
      </c>
      <c r="B868">
        <v>65</v>
      </c>
      <c r="C868">
        <v>97</v>
      </c>
      <c r="D868">
        <f t="shared" si="39"/>
        <v>0.67010309278350511</v>
      </c>
      <c r="E868">
        <f>ROUND(MIN(5,MAX(0,D868))/5*PARAMS_MODELO!$B$32,2)</f>
        <v>5.36</v>
      </c>
      <c r="F868">
        <v>3</v>
      </c>
      <c r="G868">
        <f>MAX(0,PARAMS_MODELO!$B$33-VALUE(TRIM(F868))*3)</f>
        <v>21</v>
      </c>
      <c r="H868">
        <v>2</v>
      </c>
      <c r="I868">
        <f>ROUND(MIN(4,MAX(0,H868))/4*PARAMS_MODELO!$B$34,2)</f>
        <v>10</v>
      </c>
      <c r="J868">
        <v>1</v>
      </c>
      <c r="K868">
        <f>IF(J868=0,0,PARAMS_MODELO!$B$35)</f>
        <v>10</v>
      </c>
      <c r="L868">
        <f t="shared" si="40"/>
        <v>46.36</v>
      </c>
      <c r="M868" t="str">
        <f t="shared" si="41"/>
        <v>Regular</v>
      </c>
      <c r="N868">
        <f>IF(M868=PARAMS_MODELO!$A$36,PARAMS_MODELO!$B$36,IF(M868=PARAMS_MODELO!$A$37,PARAMS_MODELO!$B$37,IF(M868=PARAMS_MODELO!$A$38,PARAMS_MODELO!$B$38,IF(M868=PARAMS_MODELO!$A$39,PARAMS_MODELO!$B$39,IF(M868=PARAMS_MODELO!$A$40,PARAMS_MODELO!$B$40)))))</f>
        <v>1</v>
      </c>
    </row>
    <row r="869" spans="1:14" x14ac:dyDescent="0.3">
      <c r="A869">
        <v>51056957</v>
      </c>
      <c r="B869">
        <v>63</v>
      </c>
      <c r="C869">
        <v>74</v>
      </c>
      <c r="D869">
        <f t="shared" si="39"/>
        <v>0.85135135135135132</v>
      </c>
      <c r="E869">
        <f>ROUND(MIN(5,MAX(0,D869))/5*PARAMS_MODELO!$B$32,2)</f>
        <v>6.81</v>
      </c>
      <c r="F869">
        <v>3</v>
      </c>
      <c r="G869">
        <f>MAX(0,PARAMS_MODELO!$B$33-VALUE(TRIM(F869))*3)</f>
        <v>21</v>
      </c>
      <c r="H869">
        <v>0</v>
      </c>
      <c r="I869">
        <f>ROUND(MIN(4,MAX(0,H869))/4*PARAMS_MODELO!$B$34,2)</f>
        <v>0</v>
      </c>
      <c r="J869">
        <v>0</v>
      </c>
      <c r="K869">
        <f>IF(J869=0,0,PARAMS_MODELO!$B$35)</f>
        <v>0</v>
      </c>
      <c r="L869">
        <f t="shared" si="40"/>
        <v>27.81</v>
      </c>
      <c r="M869" t="str">
        <f t="shared" si="41"/>
        <v>Malo</v>
      </c>
      <c r="N869">
        <f>IF(M869=PARAMS_MODELO!$A$36,PARAMS_MODELO!$B$36,IF(M869=PARAMS_MODELO!$A$37,PARAMS_MODELO!$B$37,IF(M869=PARAMS_MODELO!$A$38,PARAMS_MODELO!$B$38,IF(M869=PARAMS_MODELO!$A$39,PARAMS_MODELO!$B$39,IF(M869=PARAMS_MODELO!$A$40,PARAMS_MODELO!$B$40)))))</f>
        <v>0.7</v>
      </c>
    </row>
    <row r="870" spans="1:14" x14ac:dyDescent="0.3">
      <c r="A870">
        <v>51055331</v>
      </c>
      <c r="B870">
        <v>61</v>
      </c>
      <c r="C870">
        <v>82</v>
      </c>
      <c r="D870">
        <f t="shared" si="39"/>
        <v>0.74390243902439024</v>
      </c>
      <c r="E870">
        <f>ROUND(MIN(5,MAX(0,D870))/5*PARAMS_MODELO!$B$32,2)</f>
        <v>5.95</v>
      </c>
      <c r="F870">
        <v>4</v>
      </c>
      <c r="G870">
        <f>MAX(0,PARAMS_MODELO!$B$33-VALUE(TRIM(F870))*3)</f>
        <v>18</v>
      </c>
      <c r="H870">
        <v>1</v>
      </c>
      <c r="I870">
        <f>ROUND(MIN(4,MAX(0,H870))/4*PARAMS_MODELO!$B$34,2)</f>
        <v>5</v>
      </c>
      <c r="J870">
        <v>1</v>
      </c>
      <c r="K870">
        <f>IF(J870=0,0,PARAMS_MODELO!$B$35)</f>
        <v>10</v>
      </c>
      <c r="L870">
        <f t="shared" si="40"/>
        <v>38.950000000000003</v>
      </c>
      <c r="M870" t="str">
        <f t="shared" si="41"/>
        <v>Malo</v>
      </c>
      <c r="N870">
        <f>IF(M870=PARAMS_MODELO!$A$36,PARAMS_MODELO!$B$36,IF(M870=PARAMS_MODELO!$A$37,PARAMS_MODELO!$B$37,IF(M870=PARAMS_MODELO!$A$38,PARAMS_MODELO!$B$38,IF(M870=PARAMS_MODELO!$A$39,PARAMS_MODELO!$B$39,IF(M870=PARAMS_MODELO!$A$40,PARAMS_MODELO!$B$40)))))</f>
        <v>0.7</v>
      </c>
    </row>
    <row r="871" spans="1:14" x14ac:dyDescent="0.3">
      <c r="A871">
        <v>51018397</v>
      </c>
      <c r="B871">
        <v>67</v>
      </c>
      <c r="C871">
        <v>84</v>
      </c>
      <c r="D871">
        <f t="shared" si="39"/>
        <v>0.79761904761904767</v>
      </c>
      <c r="E871">
        <f>ROUND(MIN(5,MAX(0,D871))/5*PARAMS_MODELO!$B$32,2)</f>
        <v>6.38</v>
      </c>
      <c r="F871">
        <v>4</v>
      </c>
      <c r="G871">
        <f>MAX(0,PARAMS_MODELO!$B$33-VALUE(TRIM(F871))*3)</f>
        <v>18</v>
      </c>
      <c r="H871">
        <v>1</v>
      </c>
      <c r="I871">
        <f>ROUND(MIN(4,MAX(0,H871))/4*PARAMS_MODELO!$B$34,2)</f>
        <v>5</v>
      </c>
      <c r="J871">
        <v>0</v>
      </c>
      <c r="K871">
        <f>IF(J871=0,0,PARAMS_MODELO!$B$35)</f>
        <v>0</v>
      </c>
      <c r="L871">
        <f t="shared" si="40"/>
        <v>29.38</v>
      </c>
      <c r="M871" t="str">
        <f t="shared" si="41"/>
        <v>Malo</v>
      </c>
      <c r="N871">
        <f>IF(M871=PARAMS_MODELO!$A$36,PARAMS_MODELO!$B$36,IF(M871=PARAMS_MODELO!$A$37,PARAMS_MODELO!$B$37,IF(M871=PARAMS_MODELO!$A$38,PARAMS_MODELO!$B$38,IF(M871=PARAMS_MODELO!$A$39,PARAMS_MODELO!$B$39,IF(M871=PARAMS_MODELO!$A$40,PARAMS_MODELO!$B$40)))))</f>
        <v>0.7</v>
      </c>
    </row>
    <row r="872" spans="1:14" x14ac:dyDescent="0.3">
      <c r="A872">
        <v>51025148</v>
      </c>
      <c r="B872">
        <v>53</v>
      </c>
      <c r="C872">
        <v>25</v>
      </c>
      <c r="D872">
        <f t="shared" si="39"/>
        <v>2.12</v>
      </c>
      <c r="E872">
        <f>ROUND(MIN(5,MAX(0,D872))/5*PARAMS_MODELO!$B$32,2)</f>
        <v>16.96</v>
      </c>
      <c r="F872">
        <v>3</v>
      </c>
      <c r="G872">
        <f>MAX(0,PARAMS_MODELO!$B$33-VALUE(TRIM(F872))*3)</f>
        <v>21</v>
      </c>
      <c r="H872">
        <v>3</v>
      </c>
      <c r="I872">
        <f>ROUND(MIN(4,MAX(0,H872))/4*PARAMS_MODELO!$B$34,2)</f>
        <v>15</v>
      </c>
      <c r="J872">
        <v>1</v>
      </c>
      <c r="K872">
        <f>IF(J872=0,0,PARAMS_MODELO!$B$35)</f>
        <v>10</v>
      </c>
      <c r="L872">
        <f t="shared" si="40"/>
        <v>62.96</v>
      </c>
      <c r="M872" t="str">
        <f t="shared" si="41"/>
        <v>Bueno</v>
      </c>
      <c r="N872">
        <f>IF(M872=PARAMS_MODELO!$A$36,PARAMS_MODELO!$B$36,IF(M872=PARAMS_MODELO!$A$37,PARAMS_MODELO!$B$37,IF(M872=PARAMS_MODELO!$A$38,PARAMS_MODELO!$B$38,IF(M872=PARAMS_MODELO!$A$39,PARAMS_MODELO!$B$39,IF(M872=PARAMS_MODELO!$A$40,PARAMS_MODELO!$B$40)))))</f>
        <v>1.1000000000000001</v>
      </c>
    </row>
    <row r="873" spans="1:14" x14ac:dyDescent="0.3">
      <c r="A873">
        <v>51005392</v>
      </c>
      <c r="B873">
        <v>100</v>
      </c>
      <c r="C873">
        <v>73</v>
      </c>
      <c r="D873">
        <f t="shared" si="39"/>
        <v>1.3698630136986301</v>
      </c>
      <c r="E873">
        <f>ROUND(MIN(5,MAX(0,D873))/5*PARAMS_MODELO!$B$32,2)</f>
        <v>10.96</v>
      </c>
      <c r="F873">
        <v>5</v>
      </c>
      <c r="G873">
        <f>MAX(0,PARAMS_MODELO!$B$33-VALUE(TRIM(F873))*3)</f>
        <v>15</v>
      </c>
      <c r="H873">
        <v>1</v>
      </c>
      <c r="I873">
        <f>ROUND(MIN(4,MAX(0,H873))/4*PARAMS_MODELO!$B$34,2)</f>
        <v>5</v>
      </c>
      <c r="J873">
        <v>1</v>
      </c>
      <c r="K873">
        <f>IF(J873=0,0,PARAMS_MODELO!$B$35)</f>
        <v>10</v>
      </c>
      <c r="L873">
        <f t="shared" si="40"/>
        <v>40.96</v>
      </c>
      <c r="M873" t="str">
        <f t="shared" si="41"/>
        <v>Regular</v>
      </c>
      <c r="N873">
        <f>IF(M873=PARAMS_MODELO!$A$36,PARAMS_MODELO!$B$36,IF(M873=PARAMS_MODELO!$A$37,PARAMS_MODELO!$B$37,IF(M873=PARAMS_MODELO!$A$38,PARAMS_MODELO!$B$38,IF(M873=PARAMS_MODELO!$A$39,PARAMS_MODELO!$B$39,IF(M873=PARAMS_MODELO!$A$40,PARAMS_MODELO!$B$40)))))</f>
        <v>1</v>
      </c>
    </row>
    <row r="874" spans="1:14" x14ac:dyDescent="0.3">
      <c r="A874">
        <v>51023153</v>
      </c>
      <c r="B874">
        <v>21</v>
      </c>
      <c r="C874">
        <v>46</v>
      </c>
      <c r="D874">
        <f t="shared" si="39"/>
        <v>0.45652173913043476</v>
      </c>
      <c r="E874">
        <f>ROUND(MIN(5,MAX(0,D874))/5*PARAMS_MODELO!$B$32,2)</f>
        <v>3.65</v>
      </c>
      <c r="F874">
        <v>0</v>
      </c>
      <c r="G874">
        <f>MAX(0,PARAMS_MODELO!$B$33-VALUE(TRIM(F874))*3)</f>
        <v>30</v>
      </c>
      <c r="H874">
        <v>0</v>
      </c>
      <c r="I874">
        <f>ROUND(MIN(4,MAX(0,H874))/4*PARAMS_MODELO!$B$34,2)</f>
        <v>0</v>
      </c>
      <c r="J874">
        <v>1</v>
      </c>
      <c r="K874">
        <f>IF(J874=0,0,PARAMS_MODELO!$B$35)</f>
        <v>10</v>
      </c>
      <c r="L874">
        <f t="shared" si="40"/>
        <v>43.65</v>
      </c>
      <c r="M874" t="str">
        <f t="shared" si="41"/>
        <v>Regular</v>
      </c>
      <c r="N874">
        <f>IF(M874=PARAMS_MODELO!$A$36,PARAMS_MODELO!$B$36,IF(M874=PARAMS_MODELO!$A$37,PARAMS_MODELO!$B$37,IF(M874=PARAMS_MODELO!$A$38,PARAMS_MODELO!$B$38,IF(M874=PARAMS_MODELO!$A$39,PARAMS_MODELO!$B$39,IF(M874=PARAMS_MODELO!$A$40,PARAMS_MODELO!$B$40)))))</f>
        <v>1</v>
      </c>
    </row>
    <row r="875" spans="1:14" x14ac:dyDescent="0.3">
      <c r="A875">
        <v>51024095</v>
      </c>
      <c r="B875">
        <v>66</v>
      </c>
      <c r="C875">
        <v>11</v>
      </c>
      <c r="D875">
        <f t="shared" si="39"/>
        <v>5</v>
      </c>
      <c r="E875">
        <f>ROUND(MIN(5,MAX(0,D875))/5*PARAMS_MODELO!$B$32,2)</f>
        <v>40</v>
      </c>
      <c r="F875">
        <v>0</v>
      </c>
      <c r="G875">
        <f>MAX(0,PARAMS_MODELO!$B$33-VALUE(TRIM(F875))*3)</f>
        <v>30</v>
      </c>
      <c r="H875">
        <v>1</v>
      </c>
      <c r="I875">
        <f>ROUND(MIN(4,MAX(0,H875))/4*PARAMS_MODELO!$B$34,2)</f>
        <v>5</v>
      </c>
      <c r="J875">
        <v>0</v>
      </c>
      <c r="K875">
        <f>IF(J875=0,0,PARAMS_MODELO!$B$35)</f>
        <v>0</v>
      </c>
      <c r="L875">
        <f t="shared" si="40"/>
        <v>75</v>
      </c>
      <c r="M875" t="str">
        <f t="shared" si="41"/>
        <v>Muy Bueno</v>
      </c>
      <c r="N875">
        <f>IF(M875=PARAMS_MODELO!$A$36,PARAMS_MODELO!$B$36,IF(M875=PARAMS_MODELO!$A$37,PARAMS_MODELO!$B$37,IF(M875=PARAMS_MODELO!$A$38,PARAMS_MODELO!$B$38,IF(M875=PARAMS_MODELO!$A$39,PARAMS_MODELO!$B$39,IF(M875=PARAMS_MODELO!$A$40,PARAMS_MODELO!$B$40)))))</f>
        <v>1.1499999999999999</v>
      </c>
    </row>
    <row r="876" spans="1:14" x14ac:dyDescent="0.3">
      <c r="A876">
        <v>51002024</v>
      </c>
      <c r="B876">
        <v>1</v>
      </c>
      <c r="C876">
        <v>17</v>
      </c>
      <c r="D876">
        <f t="shared" si="39"/>
        <v>5.8823529411764705E-2</v>
      </c>
      <c r="E876">
        <f>ROUND(MIN(5,MAX(0,D876))/5*PARAMS_MODELO!$B$32,2)</f>
        <v>0.47</v>
      </c>
      <c r="F876">
        <v>5</v>
      </c>
      <c r="G876">
        <f>MAX(0,PARAMS_MODELO!$B$33-VALUE(TRIM(F876))*3)</f>
        <v>15</v>
      </c>
      <c r="H876">
        <v>4</v>
      </c>
      <c r="I876">
        <f>ROUND(MIN(4,MAX(0,H876))/4*PARAMS_MODELO!$B$34,2)</f>
        <v>20</v>
      </c>
      <c r="J876">
        <v>0</v>
      </c>
      <c r="K876">
        <f>IF(J876=0,0,PARAMS_MODELO!$B$35)</f>
        <v>0</v>
      </c>
      <c r="L876">
        <f t="shared" si="40"/>
        <v>35.47</v>
      </c>
      <c r="M876" t="str">
        <f t="shared" si="41"/>
        <v>Malo</v>
      </c>
      <c r="N876">
        <f>IF(M876=PARAMS_MODELO!$A$36,PARAMS_MODELO!$B$36,IF(M876=PARAMS_MODELO!$A$37,PARAMS_MODELO!$B$37,IF(M876=PARAMS_MODELO!$A$38,PARAMS_MODELO!$B$38,IF(M876=PARAMS_MODELO!$A$39,PARAMS_MODELO!$B$39,IF(M876=PARAMS_MODELO!$A$40,PARAMS_MODELO!$B$40)))))</f>
        <v>0.7</v>
      </c>
    </row>
    <row r="877" spans="1:14" x14ac:dyDescent="0.3">
      <c r="A877">
        <v>51056311</v>
      </c>
      <c r="B877">
        <v>13</v>
      </c>
      <c r="C877">
        <v>36</v>
      </c>
      <c r="D877">
        <f t="shared" si="39"/>
        <v>0.3611111111111111</v>
      </c>
      <c r="E877">
        <f>ROUND(MIN(5,MAX(0,D877))/5*PARAMS_MODELO!$B$32,2)</f>
        <v>2.89</v>
      </c>
      <c r="F877">
        <v>1</v>
      </c>
      <c r="G877">
        <f>MAX(0,PARAMS_MODELO!$B$33-VALUE(TRIM(F877))*3)</f>
        <v>27</v>
      </c>
      <c r="H877">
        <v>3</v>
      </c>
      <c r="I877">
        <f>ROUND(MIN(4,MAX(0,H877))/4*PARAMS_MODELO!$B$34,2)</f>
        <v>15</v>
      </c>
      <c r="J877">
        <v>0</v>
      </c>
      <c r="K877">
        <f>IF(J877=0,0,PARAMS_MODELO!$B$35)</f>
        <v>0</v>
      </c>
      <c r="L877">
        <f t="shared" si="40"/>
        <v>44.89</v>
      </c>
      <c r="M877" t="str">
        <f t="shared" si="41"/>
        <v>Regular</v>
      </c>
      <c r="N877">
        <f>IF(M877=PARAMS_MODELO!$A$36,PARAMS_MODELO!$B$36,IF(M877=PARAMS_MODELO!$A$37,PARAMS_MODELO!$B$37,IF(M877=PARAMS_MODELO!$A$38,PARAMS_MODELO!$B$38,IF(M877=PARAMS_MODELO!$A$39,PARAMS_MODELO!$B$39,IF(M877=PARAMS_MODELO!$A$40,PARAMS_MODELO!$B$40)))))</f>
        <v>1</v>
      </c>
    </row>
    <row r="878" spans="1:14" x14ac:dyDescent="0.3">
      <c r="A878">
        <v>51016467</v>
      </c>
      <c r="B878">
        <v>81</v>
      </c>
      <c r="C878">
        <v>31</v>
      </c>
      <c r="D878">
        <f t="shared" si="39"/>
        <v>2.6129032258064515</v>
      </c>
      <c r="E878">
        <f>ROUND(MIN(5,MAX(0,D878))/5*PARAMS_MODELO!$B$32,2)</f>
        <v>20.9</v>
      </c>
      <c r="F878">
        <v>0</v>
      </c>
      <c r="G878">
        <f>MAX(0,PARAMS_MODELO!$B$33-VALUE(TRIM(F878))*3)</f>
        <v>30</v>
      </c>
      <c r="H878">
        <v>4</v>
      </c>
      <c r="I878">
        <f>ROUND(MIN(4,MAX(0,H878))/4*PARAMS_MODELO!$B$34,2)</f>
        <v>20</v>
      </c>
      <c r="J878">
        <v>1</v>
      </c>
      <c r="K878">
        <f>IF(J878=0,0,PARAMS_MODELO!$B$35)</f>
        <v>10</v>
      </c>
      <c r="L878">
        <f t="shared" si="40"/>
        <v>80.900000000000006</v>
      </c>
      <c r="M878" t="str">
        <f t="shared" si="41"/>
        <v>Muy Bueno</v>
      </c>
      <c r="N878">
        <f>IF(M878=PARAMS_MODELO!$A$36,PARAMS_MODELO!$B$36,IF(M878=PARAMS_MODELO!$A$37,PARAMS_MODELO!$B$37,IF(M878=PARAMS_MODELO!$A$38,PARAMS_MODELO!$B$38,IF(M878=PARAMS_MODELO!$A$39,PARAMS_MODELO!$B$39,IF(M878=PARAMS_MODELO!$A$40,PARAMS_MODELO!$B$40)))))</f>
        <v>1.1499999999999999</v>
      </c>
    </row>
    <row r="879" spans="1:14" x14ac:dyDescent="0.3">
      <c r="A879">
        <v>51021614</v>
      </c>
      <c r="B879">
        <v>90</v>
      </c>
      <c r="C879">
        <v>3</v>
      </c>
      <c r="D879">
        <f t="shared" si="39"/>
        <v>5</v>
      </c>
      <c r="E879">
        <f>ROUND(MIN(5,MAX(0,D879))/5*PARAMS_MODELO!$B$32,2)</f>
        <v>40</v>
      </c>
      <c r="F879">
        <v>4</v>
      </c>
      <c r="G879">
        <f>MAX(0,PARAMS_MODELO!$B$33-VALUE(TRIM(F879))*3)</f>
        <v>18</v>
      </c>
      <c r="H879">
        <v>2</v>
      </c>
      <c r="I879">
        <f>ROUND(MIN(4,MAX(0,H879))/4*PARAMS_MODELO!$B$34,2)</f>
        <v>10</v>
      </c>
      <c r="J879">
        <v>0</v>
      </c>
      <c r="K879">
        <f>IF(J879=0,0,PARAMS_MODELO!$B$35)</f>
        <v>0</v>
      </c>
      <c r="L879">
        <f t="shared" si="40"/>
        <v>68</v>
      </c>
      <c r="M879" t="str">
        <f t="shared" si="41"/>
        <v>Bueno</v>
      </c>
      <c r="N879">
        <f>IF(M879=PARAMS_MODELO!$A$36,PARAMS_MODELO!$B$36,IF(M879=PARAMS_MODELO!$A$37,PARAMS_MODELO!$B$37,IF(M879=PARAMS_MODELO!$A$38,PARAMS_MODELO!$B$38,IF(M879=PARAMS_MODELO!$A$39,PARAMS_MODELO!$B$39,IF(M879=PARAMS_MODELO!$A$40,PARAMS_MODELO!$B$40)))))</f>
        <v>1.1000000000000001</v>
      </c>
    </row>
    <row r="880" spans="1:14" x14ac:dyDescent="0.3">
      <c r="A880">
        <v>51042506</v>
      </c>
      <c r="B880">
        <v>72</v>
      </c>
      <c r="C880">
        <v>33</v>
      </c>
      <c r="D880">
        <f t="shared" si="39"/>
        <v>2.1818181818181817</v>
      </c>
      <c r="E880">
        <f>ROUND(MIN(5,MAX(0,D880))/5*PARAMS_MODELO!$B$32,2)</f>
        <v>17.45</v>
      </c>
      <c r="F880">
        <v>0</v>
      </c>
      <c r="G880">
        <f>MAX(0,PARAMS_MODELO!$B$33-VALUE(TRIM(F880))*3)</f>
        <v>30</v>
      </c>
      <c r="H880">
        <v>1</v>
      </c>
      <c r="I880">
        <f>ROUND(MIN(4,MAX(0,H880))/4*PARAMS_MODELO!$B$34,2)</f>
        <v>5</v>
      </c>
      <c r="J880">
        <v>0</v>
      </c>
      <c r="K880">
        <f>IF(J880=0,0,PARAMS_MODELO!$B$35)</f>
        <v>0</v>
      </c>
      <c r="L880">
        <f t="shared" si="40"/>
        <v>52.45</v>
      </c>
      <c r="M880" t="str">
        <f t="shared" si="41"/>
        <v>Regular</v>
      </c>
      <c r="N880">
        <f>IF(M880=PARAMS_MODELO!$A$36,PARAMS_MODELO!$B$36,IF(M880=PARAMS_MODELO!$A$37,PARAMS_MODELO!$B$37,IF(M880=PARAMS_MODELO!$A$38,PARAMS_MODELO!$B$38,IF(M880=PARAMS_MODELO!$A$39,PARAMS_MODELO!$B$39,IF(M880=PARAMS_MODELO!$A$40,PARAMS_MODELO!$B$40)))))</f>
        <v>1</v>
      </c>
    </row>
    <row r="881" spans="1:14" x14ac:dyDescent="0.3">
      <c r="A881">
        <v>51023412</v>
      </c>
      <c r="B881">
        <v>29</v>
      </c>
      <c r="C881">
        <v>80</v>
      </c>
      <c r="D881">
        <f t="shared" si="39"/>
        <v>0.36249999999999999</v>
      </c>
      <c r="E881">
        <f>ROUND(MIN(5,MAX(0,D881))/5*PARAMS_MODELO!$B$32,2)</f>
        <v>2.9</v>
      </c>
      <c r="F881">
        <v>1</v>
      </c>
      <c r="G881">
        <f>MAX(0,PARAMS_MODELO!$B$33-VALUE(TRIM(F881))*3)</f>
        <v>27</v>
      </c>
      <c r="H881">
        <v>4</v>
      </c>
      <c r="I881">
        <f>ROUND(MIN(4,MAX(0,H881))/4*PARAMS_MODELO!$B$34,2)</f>
        <v>20</v>
      </c>
      <c r="J881">
        <v>1</v>
      </c>
      <c r="K881">
        <f>IF(J881=0,0,PARAMS_MODELO!$B$35)</f>
        <v>10</v>
      </c>
      <c r="L881">
        <f t="shared" si="40"/>
        <v>59.9</v>
      </c>
      <c r="M881" t="str">
        <f t="shared" si="41"/>
        <v>Regular</v>
      </c>
      <c r="N881">
        <f>IF(M881=PARAMS_MODELO!$A$36,PARAMS_MODELO!$B$36,IF(M881=PARAMS_MODELO!$A$37,PARAMS_MODELO!$B$37,IF(M881=PARAMS_MODELO!$A$38,PARAMS_MODELO!$B$38,IF(M881=PARAMS_MODELO!$A$39,PARAMS_MODELO!$B$39,IF(M881=PARAMS_MODELO!$A$40,PARAMS_MODELO!$B$40)))))</f>
        <v>1</v>
      </c>
    </row>
    <row r="882" spans="1:14" x14ac:dyDescent="0.3">
      <c r="A882">
        <v>51033116</v>
      </c>
      <c r="B882">
        <v>55</v>
      </c>
      <c r="C882">
        <v>42</v>
      </c>
      <c r="D882">
        <f t="shared" si="39"/>
        <v>1.3095238095238095</v>
      </c>
      <c r="E882">
        <f>ROUND(MIN(5,MAX(0,D882))/5*PARAMS_MODELO!$B$32,2)</f>
        <v>10.48</v>
      </c>
      <c r="F882">
        <v>3</v>
      </c>
      <c r="G882">
        <f>MAX(0,PARAMS_MODELO!$B$33-VALUE(TRIM(F882))*3)</f>
        <v>21</v>
      </c>
      <c r="H882">
        <v>3</v>
      </c>
      <c r="I882">
        <f>ROUND(MIN(4,MAX(0,H882))/4*PARAMS_MODELO!$B$34,2)</f>
        <v>15</v>
      </c>
      <c r="J882">
        <v>0</v>
      </c>
      <c r="K882">
        <f>IF(J882=0,0,PARAMS_MODELO!$B$35)</f>
        <v>0</v>
      </c>
      <c r="L882">
        <f t="shared" si="40"/>
        <v>46.480000000000004</v>
      </c>
      <c r="M882" t="str">
        <f t="shared" si="41"/>
        <v>Regular</v>
      </c>
      <c r="N882">
        <f>IF(M882=PARAMS_MODELO!$A$36,PARAMS_MODELO!$B$36,IF(M882=PARAMS_MODELO!$A$37,PARAMS_MODELO!$B$37,IF(M882=PARAMS_MODELO!$A$38,PARAMS_MODELO!$B$38,IF(M882=PARAMS_MODELO!$A$39,PARAMS_MODELO!$B$39,IF(M882=PARAMS_MODELO!$A$40,PARAMS_MODELO!$B$40)))))</f>
        <v>1</v>
      </c>
    </row>
    <row r="883" spans="1:14" x14ac:dyDescent="0.3">
      <c r="A883">
        <v>51003292</v>
      </c>
      <c r="B883">
        <v>18</v>
      </c>
      <c r="C883">
        <v>39</v>
      </c>
      <c r="D883">
        <f t="shared" si="39"/>
        <v>0.46153846153846156</v>
      </c>
      <c r="E883">
        <f>ROUND(MIN(5,MAX(0,D883))/5*PARAMS_MODELO!$B$32,2)</f>
        <v>3.69</v>
      </c>
      <c r="F883">
        <v>3</v>
      </c>
      <c r="G883">
        <f>MAX(0,PARAMS_MODELO!$B$33-VALUE(TRIM(F883))*3)</f>
        <v>21</v>
      </c>
      <c r="H883">
        <v>1</v>
      </c>
      <c r="I883">
        <f>ROUND(MIN(4,MAX(0,H883))/4*PARAMS_MODELO!$B$34,2)</f>
        <v>5</v>
      </c>
      <c r="J883">
        <v>0</v>
      </c>
      <c r="K883">
        <f>IF(J883=0,0,PARAMS_MODELO!$B$35)</f>
        <v>0</v>
      </c>
      <c r="L883">
        <f t="shared" si="40"/>
        <v>29.69</v>
      </c>
      <c r="M883" t="str">
        <f t="shared" si="41"/>
        <v>Malo</v>
      </c>
      <c r="N883">
        <f>IF(M883=PARAMS_MODELO!$A$36,PARAMS_MODELO!$B$36,IF(M883=PARAMS_MODELO!$A$37,PARAMS_MODELO!$B$37,IF(M883=PARAMS_MODELO!$A$38,PARAMS_MODELO!$B$38,IF(M883=PARAMS_MODELO!$A$39,PARAMS_MODELO!$B$39,IF(M883=PARAMS_MODELO!$A$40,PARAMS_MODELO!$B$40)))))</f>
        <v>0.7</v>
      </c>
    </row>
    <row r="884" spans="1:14" x14ac:dyDescent="0.3">
      <c r="A884">
        <v>51014251</v>
      </c>
      <c r="B884">
        <v>77</v>
      </c>
      <c r="C884">
        <v>51</v>
      </c>
      <c r="D884">
        <f t="shared" si="39"/>
        <v>1.5098039215686274</v>
      </c>
      <c r="E884">
        <f>ROUND(MIN(5,MAX(0,D884))/5*PARAMS_MODELO!$B$32,2)</f>
        <v>12.08</v>
      </c>
      <c r="F884">
        <v>5</v>
      </c>
      <c r="G884">
        <f>MAX(0,PARAMS_MODELO!$B$33-VALUE(TRIM(F884))*3)</f>
        <v>15</v>
      </c>
      <c r="H884">
        <v>4</v>
      </c>
      <c r="I884">
        <f>ROUND(MIN(4,MAX(0,H884))/4*PARAMS_MODELO!$B$34,2)</f>
        <v>20</v>
      </c>
      <c r="J884">
        <v>0</v>
      </c>
      <c r="K884">
        <f>IF(J884=0,0,PARAMS_MODELO!$B$35)</f>
        <v>0</v>
      </c>
      <c r="L884">
        <f t="shared" si="40"/>
        <v>47.08</v>
      </c>
      <c r="M884" t="str">
        <f t="shared" si="41"/>
        <v>Regular</v>
      </c>
      <c r="N884">
        <f>IF(M884=PARAMS_MODELO!$A$36,PARAMS_MODELO!$B$36,IF(M884=PARAMS_MODELO!$A$37,PARAMS_MODELO!$B$37,IF(M884=PARAMS_MODELO!$A$38,PARAMS_MODELO!$B$38,IF(M884=PARAMS_MODELO!$A$39,PARAMS_MODELO!$B$39,IF(M884=PARAMS_MODELO!$A$40,PARAMS_MODELO!$B$40)))))</f>
        <v>1</v>
      </c>
    </row>
    <row r="885" spans="1:14" x14ac:dyDescent="0.3">
      <c r="A885">
        <v>51042999</v>
      </c>
      <c r="B885">
        <v>89</v>
      </c>
      <c r="C885">
        <v>56</v>
      </c>
      <c r="D885">
        <f t="shared" si="39"/>
        <v>1.5892857142857142</v>
      </c>
      <c r="E885">
        <f>ROUND(MIN(5,MAX(0,D885))/5*PARAMS_MODELO!$B$32,2)</f>
        <v>12.71</v>
      </c>
      <c r="F885">
        <v>0</v>
      </c>
      <c r="G885">
        <f>MAX(0,PARAMS_MODELO!$B$33-VALUE(TRIM(F885))*3)</f>
        <v>30</v>
      </c>
      <c r="H885">
        <v>1</v>
      </c>
      <c r="I885">
        <f>ROUND(MIN(4,MAX(0,H885))/4*PARAMS_MODELO!$B$34,2)</f>
        <v>5</v>
      </c>
      <c r="J885">
        <v>0</v>
      </c>
      <c r="K885">
        <f>IF(J885=0,0,PARAMS_MODELO!$B$35)</f>
        <v>0</v>
      </c>
      <c r="L885">
        <f t="shared" si="40"/>
        <v>47.71</v>
      </c>
      <c r="M885" t="str">
        <f t="shared" si="41"/>
        <v>Regular</v>
      </c>
      <c r="N885">
        <f>IF(M885=PARAMS_MODELO!$A$36,PARAMS_MODELO!$B$36,IF(M885=PARAMS_MODELO!$A$37,PARAMS_MODELO!$B$37,IF(M885=PARAMS_MODELO!$A$38,PARAMS_MODELO!$B$38,IF(M885=PARAMS_MODELO!$A$39,PARAMS_MODELO!$B$39,IF(M885=PARAMS_MODELO!$A$40,PARAMS_MODELO!$B$40)))))</f>
        <v>1</v>
      </c>
    </row>
    <row r="886" spans="1:14" x14ac:dyDescent="0.3">
      <c r="A886">
        <v>51041712</v>
      </c>
      <c r="B886">
        <v>51</v>
      </c>
      <c r="C886">
        <v>65</v>
      </c>
      <c r="D886">
        <f t="shared" si="39"/>
        <v>0.7846153846153846</v>
      </c>
      <c r="E886">
        <f>ROUND(MIN(5,MAX(0,D886))/5*PARAMS_MODELO!$B$32,2)</f>
        <v>6.28</v>
      </c>
      <c r="F886">
        <v>0</v>
      </c>
      <c r="G886">
        <f>MAX(0,PARAMS_MODELO!$B$33-VALUE(TRIM(F886))*3)</f>
        <v>30</v>
      </c>
      <c r="H886">
        <v>1</v>
      </c>
      <c r="I886">
        <f>ROUND(MIN(4,MAX(0,H886))/4*PARAMS_MODELO!$B$34,2)</f>
        <v>5</v>
      </c>
      <c r="J886">
        <v>0</v>
      </c>
      <c r="K886">
        <f>IF(J886=0,0,PARAMS_MODELO!$B$35)</f>
        <v>0</v>
      </c>
      <c r="L886">
        <f t="shared" si="40"/>
        <v>41.28</v>
      </c>
      <c r="M886" t="str">
        <f t="shared" si="41"/>
        <v>Regular</v>
      </c>
      <c r="N886">
        <f>IF(M886=PARAMS_MODELO!$A$36,PARAMS_MODELO!$B$36,IF(M886=PARAMS_MODELO!$A$37,PARAMS_MODELO!$B$37,IF(M886=PARAMS_MODELO!$A$38,PARAMS_MODELO!$B$38,IF(M886=PARAMS_MODELO!$A$39,PARAMS_MODELO!$B$39,IF(M886=PARAMS_MODELO!$A$40,PARAMS_MODELO!$B$40)))))</f>
        <v>1</v>
      </c>
    </row>
    <row r="887" spans="1:14" x14ac:dyDescent="0.3">
      <c r="A887">
        <v>51023293</v>
      </c>
      <c r="B887">
        <v>70</v>
      </c>
      <c r="C887">
        <v>96</v>
      </c>
      <c r="D887">
        <f t="shared" si="39"/>
        <v>0.72916666666666663</v>
      </c>
      <c r="E887">
        <f>ROUND(MIN(5,MAX(0,D887))/5*PARAMS_MODELO!$B$32,2)</f>
        <v>5.83</v>
      </c>
      <c r="F887">
        <v>5</v>
      </c>
      <c r="G887">
        <f>MAX(0,PARAMS_MODELO!$B$33-VALUE(TRIM(F887))*3)</f>
        <v>15</v>
      </c>
      <c r="H887">
        <v>4</v>
      </c>
      <c r="I887">
        <f>ROUND(MIN(4,MAX(0,H887))/4*PARAMS_MODELO!$B$34,2)</f>
        <v>20</v>
      </c>
      <c r="J887">
        <v>0</v>
      </c>
      <c r="K887">
        <f>IF(J887=0,0,PARAMS_MODELO!$B$35)</f>
        <v>0</v>
      </c>
      <c r="L887">
        <f t="shared" si="40"/>
        <v>40.83</v>
      </c>
      <c r="M887" t="str">
        <f t="shared" si="41"/>
        <v>Regular</v>
      </c>
      <c r="N887">
        <f>IF(M887=PARAMS_MODELO!$A$36,PARAMS_MODELO!$B$36,IF(M887=PARAMS_MODELO!$A$37,PARAMS_MODELO!$B$37,IF(M887=PARAMS_MODELO!$A$38,PARAMS_MODELO!$B$38,IF(M887=PARAMS_MODELO!$A$39,PARAMS_MODELO!$B$39,IF(M887=PARAMS_MODELO!$A$40,PARAMS_MODELO!$B$40)))))</f>
        <v>1</v>
      </c>
    </row>
    <row r="888" spans="1:14" x14ac:dyDescent="0.3">
      <c r="A888">
        <v>51033507</v>
      </c>
      <c r="B888">
        <v>65</v>
      </c>
      <c r="C888">
        <v>94</v>
      </c>
      <c r="D888">
        <f t="shared" si="39"/>
        <v>0.69148936170212771</v>
      </c>
      <c r="E888">
        <f>ROUND(MIN(5,MAX(0,D888))/5*PARAMS_MODELO!$B$32,2)</f>
        <v>5.53</v>
      </c>
      <c r="F888">
        <v>4</v>
      </c>
      <c r="G888">
        <f>MAX(0,PARAMS_MODELO!$B$33-VALUE(TRIM(F888))*3)</f>
        <v>18</v>
      </c>
      <c r="H888">
        <v>1</v>
      </c>
      <c r="I888">
        <f>ROUND(MIN(4,MAX(0,H888))/4*PARAMS_MODELO!$B$34,2)</f>
        <v>5</v>
      </c>
      <c r="J888">
        <v>0</v>
      </c>
      <c r="K888">
        <f>IF(J888=0,0,PARAMS_MODELO!$B$35)</f>
        <v>0</v>
      </c>
      <c r="L888">
        <f t="shared" si="40"/>
        <v>28.53</v>
      </c>
      <c r="M888" t="str">
        <f t="shared" si="41"/>
        <v>Malo</v>
      </c>
      <c r="N888">
        <f>IF(M888=PARAMS_MODELO!$A$36,PARAMS_MODELO!$B$36,IF(M888=PARAMS_MODELO!$A$37,PARAMS_MODELO!$B$37,IF(M888=PARAMS_MODELO!$A$38,PARAMS_MODELO!$B$38,IF(M888=PARAMS_MODELO!$A$39,PARAMS_MODELO!$B$39,IF(M888=PARAMS_MODELO!$A$40,PARAMS_MODELO!$B$40)))))</f>
        <v>0.7</v>
      </c>
    </row>
    <row r="889" spans="1:14" x14ac:dyDescent="0.3">
      <c r="A889">
        <v>51013875</v>
      </c>
      <c r="B889">
        <v>11</v>
      </c>
      <c r="C889">
        <v>6</v>
      </c>
      <c r="D889">
        <f t="shared" si="39"/>
        <v>1.8333333333333333</v>
      </c>
      <c r="E889">
        <f>ROUND(MIN(5,MAX(0,D889))/5*PARAMS_MODELO!$B$32,2)</f>
        <v>14.67</v>
      </c>
      <c r="F889">
        <v>1</v>
      </c>
      <c r="G889">
        <f>MAX(0,PARAMS_MODELO!$B$33-VALUE(TRIM(F889))*3)</f>
        <v>27</v>
      </c>
      <c r="H889">
        <v>3</v>
      </c>
      <c r="I889">
        <f>ROUND(MIN(4,MAX(0,H889))/4*PARAMS_MODELO!$B$34,2)</f>
        <v>15</v>
      </c>
      <c r="J889">
        <v>0</v>
      </c>
      <c r="K889">
        <f>IF(J889=0,0,PARAMS_MODELO!$B$35)</f>
        <v>0</v>
      </c>
      <c r="L889">
        <f t="shared" si="40"/>
        <v>56.67</v>
      </c>
      <c r="M889" t="str">
        <f t="shared" si="41"/>
        <v>Regular</v>
      </c>
      <c r="N889">
        <f>IF(M889=PARAMS_MODELO!$A$36,PARAMS_MODELO!$B$36,IF(M889=PARAMS_MODELO!$A$37,PARAMS_MODELO!$B$37,IF(M889=PARAMS_MODELO!$A$38,PARAMS_MODELO!$B$38,IF(M889=PARAMS_MODELO!$A$39,PARAMS_MODELO!$B$39,IF(M889=PARAMS_MODELO!$A$40,PARAMS_MODELO!$B$40)))))</f>
        <v>1</v>
      </c>
    </row>
    <row r="890" spans="1:14" x14ac:dyDescent="0.3">
      <c r="A890">
        <v>51013395</v>
      </c>
      <c r="B890">
        <v>20</v>
      </c>
      <c r="C890">
        <v>94</v>
      </c>
      <c r="D890">
        <f t="shared" si="39"/>
        <v>0.21276595744680851</v>
      </c>
      <c r="E890">
        <f>ROUND(MIN(5,MAX(0,D890))/5*PARAMS_MODELO!$B$32,2)</f>
        <v>1.7</v>
      </c>
      <c r="F890">
        <v>5</v>
      </c>
      <c r="G890">
        <f>MAX(0,PARAMS_MODELO!$B$33-VALUE(TRIM(F890))*3)</f>
        <v>15</v>
      </c>
      <c r="H890">
        <v>3</v>
      </c>
      <c r="I890">
        <f>ROUND(MIN(4,MAX(0,H890))/4*PARAMS_MODELO!$B$34,2)</f>
        <v>15</v>
      </c>
      <c r="J890">
        <v>0</v>
      </c>
      <c r="K890">
        <f>IF(J890=0,0,PARAMS_MODELO!$B$35)</f>
        <v>0</v>
      </c>
      <c r="L890">
        <f t="shared" si="40"/>
        <v>31.7</v>
      </c>
      <c r="M890" t="str">
        <f t="shared" si="41"/>
        <v>Malo</v>
      </c>
      <c r="N890">
        <f>IF(M890=PARAMS_MODELO!$A$36,PARAMS_MODELO!$B$36,IF(M890=PARAMS_MODELO!$A$37,PARAMS_MODELO!$B$37,IF(M890=PARAMS_MODELO!$A$38,PARAMS_MODELO!$B$38,IF(M890=PARAMS_MODELO!$A$39,PARAMS_MODELO!$B$39,IF(M890=PARAMS_MODELO!$A$40,PARAMS_MODELO!$B$40)))))</f>
        <v>0.7</v>
      </c>
    </row>
    <row r="891" spans="1:14" x14ac:dyDescent="0.3">
      <c r="A891">
        <v>51056108</v>
      </c>
      <c r="B891">
        <v>46</v>
      </c>
      <c r="C891">
        <v>55</v>
      </c>
      <c r="D891">
        <f t="shared" si="39"/>
        <v>0.83636363636363631</v>
      </c>
      <c r="E891">
        <f>ROUND(MIN(5,MAX(0,D891))/5*PARAMS_MODELO!$B$32,2)</f>
        <v>6.69</v>
      </c>
      <c r="F891">
        <v>1</v>
      </c>
      <c r="G891">
        <f>MAX(0,PARAMS_MODELO!$B$33-VALUE(TRIM(F891))*3)</f>
        <v>27</v>
      </c>
      <c r="H891">
        <v>3</v>
      </c>
      <c r="I891">
        <f>ROUND(MIN(4,MAX(0,H891))/4*PARAMS_MODELO!$B$34,2)</f>
        <v>15</v>
      </c>
      <c r="J891">
        <v>0</v>
      </c>
      <c r="K891">
        <f>IF(J891=0,0,PARAMS_MODELO!$B$35)</f>
        <v>0</v>
      </c>
      <c r="L891">
        <f t="shared" si="40"/>
        <v>48.69</v>
      </c>
      <c r="M891" t="str">
        <f t="shared" si="41"/>
        <v>Regular</v>
      </c>
      <c r="N891">
        <f>IF(M891=PARAMS_MODELO!$A$36,PARAMS_MODELO!$B$36,IF(M891=PARAMS_MODELO!$A$37,PARAMS_MODELO!$B$37,IF(M891=PARAMS_MODELO!$A$38,PARAMS_MODELO!$B$38,IF(M891=PARAMS_MODELO!$A$39,PARAMS_MODELO!$B$39,IF(M891=PARAMS_MODELO!$A$40,PARAMS_MODELO!$B$40)))))</f>
        <v>1</v>
      </c>
    </row>
    <row r="892" spans="1:14" x14ac:dyDescent="0.3">
      <c r="A892">
        <v>51055837</v>
      </c>
      <c r="B892">
        <v>15</v>
      </c>
      <c r="C892">
        <v>89</v>
      </c>
      <c r="D892">
        <f t="shared" si="39"/>
        <v>0.16853932584269662</v>
      </c>
      <c r="E892">
        <f>ROUND(MIN(5,MAX(0,D892))/5*PARAMS_MODELO!$B$32,2)</f>
        <v>1.35</v>
      </c>
      <c r="F892">
        <v>4</v>
      </c>
      <c r="G892">
        <f>MAX(0,PARAMS_MODELO!$B$33-VALUE(TRIM(F892))*3)</f>
        <v>18</v>
      </c>
      <c r="H892">
        <v>3</v>
      </c>
      <c r="I892">
        <f>ROUND(MIN(4,MAX(0,H892))/4*PARAMS_MODELO!$B$34,2)</f>
        <v>15</v>
      </c>
      <c r="J892">
        <v>0</v>
      </c>
      <c r="K892">
        <f>IF(J892=0,0,PARAMS_MODELO!$B$35)</f>
        <v>0</v>
      </c>
      <c r="L892">
        <f t="shared" si="40"/>
        <v>34.35</v>
      </c>
      <c r="M892" t="str">
        <f t="shared" si="41"/>
        <v>Malo</v>
      </c>
      <c r="N892">
        <f>IF(M892=PARAMS_MODELO!$A$36,PARAMS_MODELO!$B$36,IF(M892=PARAMS_MODELO!$A$37,PARAMS_MODELO!$B$37,IF(M892=PARAMS_MODELO!$A$38,PARAMS_MODELO!$B$38,IF(M892=PARAMS_MODELO!$A$39,PARAMS_MODELO!$B$39,IF(M892=PARAMS_MODELO!$A$40,PARAMS_MODELO!$B$40)))))</f>
        <v>0.7</v>
      </c>
    </row>
    <row r="893" spans="1:14" x14ac:dyDescent="0.3">
      <c r="A893">
        <v>51056248</v>
      </c>
      <c r="B893">
        <v>16</v>
      </c>
      <c r="C893">
        <v>97</v>
      </c>
      <c r="D893">
        <f t="shared" si="39"/>
        <v>0.16494845360824742</v>
      </c>
      <c r="E893">
        <f>ROUND(MIN(5,MAX(0,D893))/5*PARAMS_MODELO!$B$32,2)</f>
        <v>1.32</v>
      </c>
      <c r="F893">
        <v>2</v>
      </c>
      <c r="G893">
        <f>MAX(0,PARAMS_MODELO!$B$33-VALUE(TRIM(F893))*3)</f>
        <v>24</v>
      </c>
      <c r="H893">
        <v>4</v>
      </c>
      <c r="I893">
        <f>ROUND(MIN(4,MAX(0,H893))/4*PARAMS_MODELO!$B$34,2)</f>
        <v>20</v>
      </c>
      <c r="J893">
        <v>1</v>
      </c>
      <c r="K893">
        <f>IF(J893=0,0,PARAMS_MODELO!$B$35)</f>
        <v>10</v>
      </c>
      <c r="L893">
        <f t="shared" si="40"/>
        <v>55.32</v>
      </c>
      <c r="M893" t="str">
        <f t="shared" si="41"/>
        <v>Regular</v>
      </c>
      <c r="N893">
        <f>IF(M893=PARAMS_MODELO!$A$36,PARAMS_MODELO!$B$36,IF(M893=PARAMS_MODELO!$A$37,PARAMS_MODELO!$B$37,IF(M893=PARAMS_MODELO!$A$38,PARAMS_MODELO!$B$38,IF(M893=PARAMS_MODELO!$A$39,PARAMS_MODELO!$B$39,IF(M893=PARAMS_MODELO!$A$40,PARAMS_MODELO!$B$40)))))</f>
        <v>1</v>
      </c>
    </row>
    <row r="894" spans="1:14" x14ac:dyDescent="0.3">
      <c r="A894">
        <v>51025245</v>
      </c>
      <c r="B894">
        <v>47</v>
      </c>
      <c r="C894">
        <v>75</v>
      </c>
      <c r="D894">
        <f t="shared" si="39"/>
        <v>0.62666666666666671</v>
      </c>
      <c r="E894">
        <f>ROUND(MIN(5,MAX(0,D894))/5*PARAMS_MODELO!$B$32,2)</f>
        <v>5.01</v>
      </c>
      <c r="F894">
        <v>1</v>
      </c>
      <c r="G894">
        <f>MAX(0,PARAMS_MODELO!$B$33-VALUE(TRIM(F894))*3)</f>
        <v>27</v>
      </c>
      <c r="H894">
        <v>1</v>
      </c>
      <c r="I894">
        <f>ROUND(MIN(4,MAX(0,H894))/4*PARAMS_MODELO!$B$34,2)</f>
        <v>5</v>
      </c>
      <c r="J894">
        <v>1</v>
      </c>
      <c r="K894">
        <f>IF(J894=0,0,PARAMS_MODELO!$B$35)</f>
        <v>10</v>
      </c>
      <c r="L894">
        <f t="shared" si="40"/>
        <v>47.01</v>
      </c>
      <c r="M894" t="str">
        <f t="shared" si="41"/>
        <v>Regular</v>
      </c>
      <c r="N894">
        <f>IF(M894=PARAMS_MODELO!$A$36,PARAMS_MODELO!$B$36,IF(M894=PARAMS_MODELO!$A$37,PARAMS_MODELO!$B$37,IF(M894=PARAMS_MODELO!$A$38,PARAMS_MODELO!$B$38,IF(M894=PARAMS_MODELO!$A$39,PARAMS_MODELO!$B$39,IF(M894=PARAMS_MODELO!$A$40,PARAMS_MODELO!$B$40)))))</f>
        <v>1</v>
      </c>
    </row>
    <row r="895" spans="1:14" x14ac:dyDescent="0.3">
      <c r="A895">
        <v>51016360</v>
      </c>
      <c r="B895">
        <v>71</v>
      </c>
      <c r="C895">
        <v>17</v>
      </c>
      <c r="D895">
        <f t="shared" si="39"/>
        <v>4.1764705882352944</v>
      </c>
      <c r="E895">
        <f>ROUND(MIN(5,MAX(0,D895))/5*PARAMS_MODELO!$B$32,2)</f>
        <v>33.409999999999997</v>
      </c>
      <c r="F895">
        <v>5</v>
      </c>
      <c r="G895">
        <f>MAX(0,PARAMS_MODELO!$B$33-VALUE(TRIM(F895))*3)</f>
        <v>15</v>
      </c>
      <c r="H895">
        <v>4</v>
      </c>
      <c r="I895">
        <f>ROUND(MIN(4,MAX(0,H895))/4*PARAMS_MODELO!$B$34,2)</f>
        <v>20</v>
      </c>
      <c r="J895">
        <v>1</v>
      </c>
      <c r="K895">
        <f>IF(J895=0,0,PARAMS_MODELO!$B$35)</f>
        <v>10</v>
      </c>
      <c r="L895">
        <f t="shared" si="40"/>
        <v>78.41</v>
      </c>
      <c r="M895" t="str">
        <f t="shared" si="41"/>
        <v>Muy Bueno</v>
      </c>
      <c r="N895">
        <f>IF(M895=PARAMS_MODELO!$A$36,PARAMS_MODELO!$B$36,IF(M895=PARAMS_MODELO!$A$37,PARAMS_MODELO!$B$37,IF(M895=PARAMS_MODELO!$A$38,PARAMS_MODELO!$B$38,IF(M895=PARAMS_MODELO!$A$39,PARAMS_MODELO!$B$39,IF(M895=PARAMS_MODELO!$A$40,PARAMS_MODELO!$B$40)))))</f>
        <v>1.1499999999999999</v>
      </c>
    </row>
    <row r="896" spans="1:14" x14ac:dyDescent="0.3">
      <c r="A896">
        <v>51040881</v>
      </c>
      <c r="B896">
        <v>76</v>
      </c>
      <c r="C896">
        <v>33</v>
      </c>
      <c r="D896">
        <f t="shared" si="39"/>
        <v>2.3030303030303032</v>
      </c>
      <c r="E896">
        <f>ROUND(MIN(5,MAX(0,D896))/5*PARAMS_MODELO!$B$32,2)</f>
        <v>18.420000000000002</v>
      </c>
      <c r="F896">
        <v>4</v>
      </c>
      <c r="G896">
        <f>MAX(0,PARAMS_MODELO!$B$33-VALUE(TRIM(F896))*3)</f>
        <v>18</v>
      </c>
      <c r="H896">
        <v>1</v>
      </c>
      <c r="I896">
        <f>ROUND(MIN(4,MAX(0,H896))/4*PARAMS_MODELO!$B$34,2)</f>
        <v>5</v>
      </c>
      <c r="J896">
        <v>0</v>
      </c>
      <c r="K896">
        <f>IF(J896=0,0,PARAMS_MODELO!$B$35)</f>
        <v>0</v>
      </c>
      <c r="L896">
        <f t="shared" si="40"/>
        <v>41.42</v>
      </c>
      <c r="M896" t="str">
        <f t="shared" si="41"/>
        <v>Regular</v>
      </c>
      <c r="N896">
        <f>IF(M896=PARAMS_MODELO!$A$36,PARAMS_MODELO!$B$36,IF(M896=PARAMS_MODELO!$A$37,PARAMS_MODELO!$B$37,IF(M896=PARAMS_MODELO!$A$38,PARAMS_MODELO!$B$38,IF(M896=PARAMS_MODELO!$A$39,PARAMS_MODELO!$B$39,IF(M896=PARAMS_MODELO!$A$40,PARAMS_MODELO!$B$40)))))</f>
        <v>1</v>
      </c>
    </row>
    <row r="897" spans="1:14" x14ac:dyDescent="0.3">
      <c r="A897">
        <v>51031776</v>
      </c>
      <c r="B897">
        <v>16</v>
      </c>
      <c r="C897">
        <v>38</v>
      </c>
      <c r="D897">
        <f t="shared" si="39"/>
        <v>0.42105263157894735</v>
      </c>
      <c r="E897">
        <f>ROUND(MIN(5,MAX(0,D897))/5*PARAMS_MODELO!$B$32,2)</f>
        <v>3.37</v>
      </c>
      <c r="F897">
        <v>5</v>
      </c>
      <c r="G897">
        <f>MAX(0,PARAMS_MODELO!$B$33-VALUE(TRIM(F897))*3)</f>
        <v>15</v>
      </c>
      <c r="H897">
        <v>0</v>
      </c>
      <c r="I897">
        <f>ROUND(MIN(4,MAX(0,H897))/4*PARAMS_MODELO!$B$34,2)</f>
        <v>0</v>
      </c>
      <c r="J897">
        <v>0</v>
      </c>
      <c r="K897">
        <f>IF(J897=0,0,PARAMS_MODELO!$B$35)</f>
        <v>0</v>
      </c>
      <c r="L897">
        <f t="shared" si="40"/>
        <v>18.37</v>
      </c>
      <c r="M897" t="str">
        <f t="shared" si="41"/>
        <v>Malo</v>
      </c>
      <c r="N897">
        <f>IF(M897=PARAMS_MODELO!$A$36,PARAMS_MODELO!$B$36,IF(M897=PARAMS_MODELO!$A$37,PARAMS_MODELO!$B$37,IF(M897=PARAMS_MODELO!$A$38,PARAMS_MODELO!$B$38,IF(M897=PARAMS_MODELO!$A$39,PARAMS_MODELO!$B$39,IF(M897=PARAMS_MODELO!$A$40,PARAMS_MODELO!$B$40)))))</f>
        <v>0.7</v>
      </c>
    </row>
    <row r="898" spans="1:14" x14ac:dyDescent="0.3">
      <c r="A898">
        <v>51013166</v>
      </c>
      <c r="B898">
        <v>15</v>
      </c>
      <c r="C898">
        <v>8</v>
      </c>
      <c r="D898">
        <f t="shared" ref="D898:D961" si="42">IF(C898=0,0,MIN(5,B898/C898))</f>
        <v>1.875</v>
      </c>
      <c r="E898">
        <f>ROUND(MIN(5,MAX(0,D898))/5*PARAMS_MODELO!$B$32,2)</f>
        <v>15</v>
      </c>
      <c r="F898">
        <v>2</v>
      </c>
      <c r="G898">
        <f>MAX(0,PARAMS_MODELO!$B$33-VALUE(TRIM(F898))*3)</f>
        <v>24</v>
      </c>
      <c r="H898">
        <v>4</v>
      </c>
      <c r="I898">
        <f>ROUND(MIN(4,MAX(0,H898))/4*PARAMS_MODELO!$B$34,2)</f>
        <v>20</v>
      </c>
      <c r="J898">
        <v>0</v>
      </c>
      <c r="K898">
        <f>IF(J898=0,0,PARAMS_MODELO!$B$35)</f>
        <v>0</v>
      </c>
      <c r="L898">
        <f t="shared" ref="L898:L961" si="43">MIN(100,MAX(0,E898+G898+I898+K898))</f>
        <v>59</v>
      </c>
      <c r="M898" t="str">
        <f t="shared" ref="M898:M961" si="44">IF(L898="","",IF(L898&gt;=90,"Excelente",IF(L898&gt;=75,"Muy Bueno",IF(L898&gt;=60,"Bueno",IF(L898&gt;=40,"Regular","Malo")))))</f>
        <v>Regular</v>
      </c>
      <c r="N898">
        <f>IF(M898=PARAMS_MODELO!$A$36,PARAMS_MODELO!$B$36,IF(M898=PARAMS_MODELO!$A$37,PARAMS_MODELO!$B$37,IF(M898=PARAMS_MODELO!$A$38,PARAMS_MODELO!$B$38,IF(M898=PARAMS_MODELO!$A$39,PARAMS_MODELO!$B$39,IF(M898=PARAMS_MODELO!$A$40,PARAMS_MODELO!$B$40)))))</f>
        <v>1</v>
      </c>
    </row>
    <row r="899" spans="1:14" x14ac:dyDescent="0.3">
      <c r="A899">
        <v>51032918</v>
      </c>
      <c r="B899">
        <v>13</v>
      </c>
      <c r="C899">
        <v>53</v>
      </c>
      <c r="D899">
        <f t="shared" si="42"/>
        <v>0.24528301886792453</v>
      </c>
      <c r="E899">
        <f>ROUND(MIN(5,MAX(0,D899))/5*PARAMS_MODELO!$B$32,2)</f>
        <v>1.96</v>
      </c>
      <c r="F899">
        <v>0</v>
      </c>
      <c r="G899">
        <f>MAX(0,PARAMS_MODELO!$B$33-VALUE(TRIM(F899))*3)</f>
        <v>30</v>
      </c>
      <c r="H899">
        <v>0</v>
      </c>
      <c r="I899">
        <f>ROUND(MIN(4,MAX(0,H899))/4*PARAMS_MODELO!$B$34,2)</f>
        <v>0</v>
      </c>
      <c r="J899">
        <v>0</v>
      </c>
      <c r="K899">
        <f>IF(J899=0,0,PARAMS_MODELO!$B$35)</f>
        <v>0</v>
      </c>
      <c r="L899">
        <f t="shared" si="43"/>
        <v>31.96</v>
      </c>
      <c r="M899" t="str">
        <f t="shared" si="44"/>
        <v>Malo</v>
      </c>
      <c r="N899">
        <f>IF(M899=PARAMS_MODELO!$A$36,PARAMS_MODELO!$B$36,IF(M899=PARAMS_MODELO!$A$37,PARAMS_MODELO!$B$37,IF(M899=PARAMS_MODELO!$A$38,PARAMS_MODELO!$B$38,IF(M899=PARAMS_MODELO!$A$39,PARAMS_MODELO!$B$39,IF(M899=PARAMS_MODELO!$A$40,PARAMS_MODELO!$B$40)))))</f>
        <v>0.7</v>
      </c>
    </row>
    <row r="900" spans="1:14" x14ac:dyDescent="0.3">
      <c r="A900">
        <v>51025717</v>
      </c>
      <c r="B900">
        <v>47</v>
      </c>
      <c r="C900">
        <v>50</v>
      </c>
      <c r="D900">
        <f t="shared" si="42"/>
        <v>0.94</v>
      </c>
      <c r="E900">
        <f>ROUND(MIN(5,MAX(0,D900))/5*PARAMS_MODELO!$B$32,2)</f>
        <v>7.52</v>
      </c>
      <c r="F900">
        <v>0</v>
      </c>
      <c r="G900">
        <f>MAX(0,PARAMS_MODELO!$B$33-VALUE(TRIM(F900))*3)</f>
        <v>30</v>
      </c>
      <c r="H900">
        <v>4</v>
      </c>
      <c r="I900">
        <f>ROUND(MIN(4,MAX(0,H900))/4*PARAMS_MODELO!$B$34,2)</f>
        <v>20</v>
      </c>
      <c r="J900">
        <v>1</v>
      </c>
      <c r="K900">
        <f>IF(J900=0,0,PARAMS_MODELO!$B$35)</f>
        <v>10</v>
      </c>
      <c r="L900">
        <f t="shared" si="43"/>
        <v>67.52</v>
      </c>
      <c r="M900" t="str">
        <f t="shared" si="44"/>
        <v>Bueno</v>
      </c>
      <c r="N900">
        <f>IF(M900=PARAMS_MODELO!$A$36,PARAMS_MODELO!$B$36,IF(M900=PARAMS_MODELO!$A$37,PARAMS_MODELO!$B$37,IF(M900=PARAMS_MODELO!$A$38,PARAMS_MODELO!$B$38,IF(M900=PARAMS_MODELO!$A$39,PARAMS_MODELO!$B$39,IF(M900=PARAMS_MODELO!$A$40,PARAMS_MODELO!$B$40)))))</f>
        <v>1.1000000000000001</v>
      </c>
    </row>
    <row r="901" spans="1:14" x14ac:dyDescent="0.3">
      <c r="A901">
        <v>51033001</v>
      </c>
      <c r="B901">
        <v>2</v>
      </c>
      <c r="C901">
        <v>50</v>
      </c>
      <c r="D901">
        <f t="shared" si="42"/>
        <v>0.04</v>
      </c>
      <c r="E901">
        <f>ROUND(MIN(5,MAX(0,D901))/5*PARAMS_MODELO!$B$32,2)</f>
        <v>0.32</v>
      </c>
      <c r="F901">
        <v>2</v>
      </c>
      <c r="G901">
        <f>MAX(0,PARAMS_MODELO!$B$33-VALUE(TRIM(F901))*3)</f>
        <v>24</v>
      </c>
      <c r="H901">
        <v>2</v>
      </c>
      <c r="I901">
        <f>ROUND(MIN(4,MAX(0,H901))/4*PARAMS_MODELO!$B$34,2)</f>
        <v>10</v>
      </c>
      <c r="J901">
        <v>1</v>
      </c>
      <c r="K901">
        <f>IF(J901=0,0,PARAMS_MODELO!$B$35)</f>
        <v>10</v>
      </c>
      <c r="L901">
        <f t="shared" si="43"/>
        <v>44.32</v>
      </c>
      <c r="M901" t="str">
        <f t="shared" si="44"/>
        <v>Regular</v>
      </c>
      <c r="N901">
        <f>IF(M901=PARAMS_MODELO!$A$36,PARAMS_MODELO!$B$36,IF(M901=PARAMS_MODELO!$A$37,PARAMS_MODELO!$B$37,IF(M901=PARAMS_MODELO!$A$38,PARAMS_MODELO!$B$38,IF(M901=PARAMS_MODELO!$A$39,PARAMS_MODELO!$B$39,IF(M901=PARAMS_MODELO!$A$40,PARAMS_MODELO!$B$40)))))</f>
        <v>1</v>
      </c>
    </row>
    <row r="902" spans="1:14" x14ac:dyDescent="0.3">
      <c r="A902">
        <v>51012674</v>
      </c>
      <c r="B902">
        <v>63</v>
      </c>
      <c r="C902">
        <v>88</v>
      </c>
      <c r="D902">
        <f t="shared" si="42"/>
        <v>0.71590909090909094</v>
      </c>
      <c r="E902">
        <f>ROUND(MIN(5,MAX(0,D902))/5*PARAMS_MODELO!$B$32,2)</f>
        <v>5.73</v>
      </c>
      <c r="F902">
        <v>1</v>
      </c>
      <c r="G902">
        <f>MAX(0,PARAMS_MODELO!$B$33-VALUE(TRIM(F902))*3)</f>
        <v>27</v>
      </c>
      <c r="H902">
        <v>0</v>
      </c>
      <c r="I902">
        <f>ROUND(MIN(4,MAX(0,H902))/4*PARAMS_MODELO!$B$34,2)</f>
        <v>0</v>
      </c>
      <c r="J902">
        <v>1</v>
      </c>
      <c r="K902">
        <f>IF(J902=0,0,PARAMS_MODELO!$B$35)</f>
        <v>10</v>
      </c>
      <c r="L902">
        <f t="shared" si="43"/>
        <v>42.730000000000004</v>
      </c>
      <c r="M902" t="str">
        <f t="shared" si="44"/>
        <v>Regular</v>
      </c>
      <c r="N902">
        <f>IF(M902=PARAMS_MODELO!$A$36,PARAMS_MODELO!$B$36,IF(M902=PARAMS_MODELO!$A$37,PARAMS_MODELO!$B$37,IF(M902=PARAMS_MODELO!$A$38,PARAMS_MODELO!$B$38,IF(M902=PARAMS_MODELO!$A$39,PARAMS_MODELO!$B$39,IF(M902=PARAMS_MODELO!$A$40,PARAMS_MODELO!$B$40)))))</f>
        <v>1</v>
      </c>
    </row>
    <row r="903" spans="1:14" x14ac:dyDescent="0.3">
      <c r="A903">
        <v>51007743</v>
      </c>
      <c r="B903">
        <v>83</v>
      </c>
      <c r="C903">
        <v>34</v>
      </c>
      <c r="D903">
        <f t="shared" si="42"/>
        <v>2.4411764705882355</v>
      </c>
      <c r="E903">
        <f>ROUND(MIN(5,MAX(0,D903))/5*PARAMS_MODELO!$B$32,2)</f>
        <v>19.53</v>
      </c>
      <c r="F903">
        <v>2</v>
      </c>
      <c r="G903">
        <f>MAX(0,PARAMS_MODELO!$B$33-VALUE(TRIM(F903))*3)</f>
        <v>24</v>
      </c>
      <c r="H903">
        <v>0</v>
      </c>
      <c r="I903">
        <f>ROUND(MIN(4,MAX(0,H903))/4*PARAMS_MODELO!$B$34,2)</f>
        <v>0</v>
      </c>
      <c r="J903">
        <v>1</v>
      </c>
      <c r="K903">
        <f>IF(J903=0,0,PARAMS_MODELO!$B$35)</f>
        <v>10</v>
      </c>
      <c r="L903">
        <f t="shared" si="43"/>
        <v>53.53</v>
      </c>
      <c r="M903" t="str">
        <f t="shared" si="44"/>
        <v>Regular</v>
      </c>
      <c r="N903">
        <f>IF(M903=PARAMS_MODELO!$A$36,PARAMS_MODELO!$B$36,IF(M903=PARAMS_MODELO!$A$37,PARAMS_MODELO!$B$37,IF(M903=PARAMS_MODELO!$A$38,PARAMS_MODELO!$B$38,IF(M903=PARAMS_MODELO!$A$39,PARAMS_MODELO!$B$39,IF(M903=PARAMS_MODELO!$A$40,PARAMS_MODELO!$B$40)))))</f>
        <v>1</v>
      </c>
    </row>
    <row r="904" spans="1:14" x14ac:dyDescent="0.3">
      <c r="A904">
        <v>51032705</v>
      </c>
      <c r="B904">
        <v>70</v>
      </c>
      <c r="C904">
        <v>72</v>
      </c>
      <c r="D904">
        <f t="shared" si="42"/>
        <v>0.97222222222222221</v>
      </c>
      <c r="E904">
        <f>ROUND(MIN(5,MAX(0,D904))/5*PARAMS_MODELO!$B$32,2)</f>
        <v>7.78</v>
      </c>
      <c r="F904">
        <v>0</v>
      </c>
      <c r="G904">
        <f>MAX(0,PARAMS_MODELO!$B$33-VALUE(TRIM(F904))*3)</f>
        <v>30</v>
      </c>
      <c r="H904">
        <v>0</v>
      </c>
      <c r="I904">
        <f>ROUND(MIN(4,MAX(0,H904))/4*PARAMS_MODELO!$B$34,2)</f>
        <v>0</v>
      </c>
      <c r="J904">
        <v>0</v>
      </c>
      <c r="K904">
        <f>IF(J904=0,0,PARAMS_MODELO!$B$35)</f>
        <v>0</v>
      </c>
      <c r="L904">
        <f t="shared" si="43"/>
        <v>37.78</v>
      </c>
      <c r="M904" t="str">
        <f t="shared" si="44"/>
        <v>Malo</v>
      </c>
      <c r="N904">
        <f>IF(M904=PARAMS_MODELO!$A$36,PARAMS_MODELO!$B$36,IF(M904=PARAMS_MODELO!$A$37,PARAMS_MODELO!$B$37,IF(M904=PARAMS_MODELO!$A$38,PARAMS_MODELO!$B$38,IF(M904=PARAMS_MODELO!$A$39,PARAMS_MODELO!$B$39,IF(M904=PARAMS_MODELO!$A$40,PARAMS_MODELO!$B$40)))))</f>
        <v>0.7</v>
      </c>
    </row>
    <row r="905" spans="1:14" x14ac:dyDescent="0.3">
      <c r="A905">
        <v>51041887</v>
      </c>
      <c r="B905">
        <v>44</v>
      </c>
      <c r="C905">
        <v>33</v>
      </c>
      <c r="D905">
        <f t="shared" si="42"/>
        <v>1.3333333333333333</v>
      </c>
      <c r="E905">
        <f>ROUND(MIN(5,MAX(0,D905))/5*PARAMS_MODELO!$B$32,2)</f>
        <v>10.67</v>
      </c>
      <c r="F905">
        <v>4</v>
      </c>
      <c r="G905">
        <f>MAX(0,PARAMS_MODELO!$B$33-VALUE(TRIM(F905))*3)</f>
        <v>18</v>
      </c>
      <c r="H905">
        <v>1</v>
      </c>
      <c r="I905">
        <f>ROUND(MIN(4,MAX(0,H905))/4*PARAMS_MODELO!$B$34,2)</f>
        <v>5</v>
      </c>
      <c r="J905">
        <v>1</v>
      </c>
      <c r="K905">
        <f>IF(J905=0,0,PARAMS_MODELO!$B$35)</f>
        <v>10</v>
      </c>
      <c r="L905">
        <f t="shared" si="43"/>
        <v>43.67</v>
      </c>
      <c r="M905" t="str">
        <f t="shared" si="44"/>
        <v>Regular</v>
      </c>
      <c r="N905">
        <f>IF(M905=PARAMS_MODELO!$A$36,PARAMS_MODELO!$B$36,IF(M905=PARAMS_MODELO!$A$37,PARAMS_MODELO!$B$37,IF(M905=PARAMS_MODELO!$A$38,PARAMS_MODELO!$B$38,IF(M905=PARAMS_MODELO!$A$39,PARAMS_MODELO!$B$39,IF(M905=PARAMS_MODELO!$A$40,PARAMS_MODELO!$B$40)))))</f>
        <v>1</v>
      </c>
    </row>
    <row r="906" spans="1:14" x14ac:dyDescent="0.3">
      <c r="A906">
        <v>51030826</v>
      </c>
      <c r="B906">
        <v>9</v>
      </c>
      <c r="C906">
        <v>14</v>
      </c>
      <c r="D906">
        <f t="shared" si="42"/>
        <v>0.6428571428571429</v>
      </c>
      <c r="E906">
        <f>ROUND(MIN(5,MAX(0,D906))/5*PARAMS_MODELO!$B$32,2)</f>
        <v>5.14</v>
      </c>
      <c r="F906">
        <v>0</v>
      </c>
      <c r="G906">
        <f>MAX(0,PARAMS_MODELO!$B$33-VALUE(TRIM(F906))*3)</f>
        <v>30</v>
      </c>
      <c r="H906">
        <v>3</v>
      </c>
      <c r="I906">
        <f>ROUND(MIN(4,MAX(0,H906))/4*PARAMS_MODELO!$B$34,2)</f>
        <v>15</v>
      </c>
      <c r="J906">
        <v>0</v>
      </c>
      <c r="K906">
        <f>IF(J906=0,0,PARAMS_MODELO!$B$35)</f>
        <v>0</v>
      </c>
      <c r="L906">
        <f t="shared" si="43"/>
        <v>50.14</v>
      </c>
      <c r="M906" t="str">
        <f t="shared" si="44"/>
        <v>Regular</v>
      </c>
      <c r="N906">
        <f>IF(M906=PARAMS_MODELO!$A$36,PARAMS_MODELO!$B$36,IF(M906=PARAMS_MODELO!$A$37,PARAMS_MODELO!$B$37,IF(M906=PARAMS_MODELO!$A$38,PARAMS_MODELO!$B$38,IF(M906=PARAMS_MODELO!$A$39,PARAMS_MODELO!$B$39,IF(M906=PARAMS_MODELO!$A$40,PARAMS_MODELO!$B$40)))))</f>
        <v>1</v>
      </c>
    </row>
    <row r="907" spans="1:14" x14ac:dyDescent="0.3">
      <c r="A907">
        <v>51011007</v>
      </c>
      <c r="B907">
        <v>48</v>
      </c>
      <c r="C907">
        <v>32</v>
      </c>
      <c r="D907">
        <f t="shared" si="42"/>
        <v>1.5</v>
      </c>
      <c r="E907">
        <f>ROUND(MIN(5,MAX(0,D907))/5*PARAMS_MODELO!$B$32,2)</f>
        <v>12</v>
      </c>
      <c r="F907">
        <v>1</v>
      </c>
      <c r="G907">
        <f>MAX(0,PARAMS_MODELO!$B$33-VALUE(TRIM(F907))*3)</f>
        <v>27</v>
      </c>
      <c r="H907">
        <v>0</v>
      </c>
      <c r="I907">
        <f>ROUND(MIN(4,MAX(0,H907))/4*PARAMS_MODELO!$B$34,2)</f>
        <v>0</v>
      </c>
      <c r="J907">
        <v>1</v>
      </c>
      <c r="K907">
        <f>IF(J907=0,0,PARAMS_MODELO!$B$35)</f>
        <v>10</v>
      </c>
      <c r="L907">
        <f t="shared" si="43"/>
        <v>49</v>
      </c>
      <c r="M907" t="str">
        <f t="shared" si="44"/>
        <v>Regular</v>
      </c>
      <c r="N907">
        <f>IF(M907=PARAMS_MODELO!$A$36,PARAMS_MODELO!$B$36,IF(M907=PARAMS_MODELO!$A$37,PARAMS_MODELO!$B$37,IF(M907=PARAMS_MODELO!$A$38,PARAMS_MODELO!$B$38,IF(M907=PARAMS_MODELO!$A$39,PARAMS_MODELO!$B$39,IF(M907=PARAMS_MODELO!$A$40,PARAMS_MODELO!$B$40)))))</f>
        <v>1</v>
      </c>
    </row>
    <row r="908" spans="1:14" x14ac:dyDescent="0.3">
      <c r="A908">
        <v>51007514</v>
      </c>
      <c r="B908">
        <v>71</v>
      </c>
      <c r="C908">
        <v>81</v>
      </c>
      <c r="D908">
        <f t="shared" si="42"/>
        <v>0.87654320987654322</v>
      </c>
      <c r="E908">
        <f>ROUND(MIN(5,MAX(0,D908))/5*PARAMS_MODELO!$B$32,2)</f>
        <v>7.01</v>
      </c>
      <c r="F908">
        <v>1</v>
      </c>
      <c r="G908">
        <f>MAX(0,PARAMS_MODELO!$B$33-VALUE(TRIM(F908))*3)</f>
        <v>27</v>
      </c>
      <c r="H908">
        <v>3</v>
      </c>
      <c r="I908">
        <f>ROUND(MIN(4,MAX(0,H908))/4*PARAMS_MODELO!$B$34,2)</f>
        <v>15</v>
      </c>
      <c r="J908">
        <v>0</v>
      </c>
      <c r="K908">
        <f>IF(J908=0,0,PARAMS_MODELO!$B$35)</f>
        <v>0</v>
      </c>
      <c r="L908">
        <f t="shared" si="43"/>
        <v>49.01</v>
      </c>
      <c r="M908" t="str">
        <f t="shared" si="44"/>
        <v>Regular</v>
      </c>
      <c r="N908">
        <f>IF(M908=PARAMS_MODELO!$A$36,PARAMS_MODELO!$B$36,IF(M908=PARAMS_MODELO!$A$37,PARAMS_MODELO!$B$37,IF(M908=PARAMS_MODELO!$A$38,PARAMS_MODELO!$B$38,IF(M908=PARAMS_MODELO!$A$39,PARAMS_MODELO!$B$39,IF(M908=PARAMS_MODELO!$A$40,PARAMS_MODELO!$B$40)))))</f>
        <v>1</v>
      </c>
    </row>
    <row r="909" spans="1:14" x14ac:dyDescent="0.3">
      <c r="A909">
        <v>51024281</v>
      </c>
      <c r="B909">
        <v>66</v>
      </c>
      <c r="C909">
        <v>70</v>
      </c>
      <c r="D909">
        <f t="shared" si="42"/>
        <v>0.94285714285714284</v>
      </c>
      <c r="E909">
        <f>ROUND(MIN(5,MAX(0,D909))/5*PARAMS_MODELO!$B$32,2)</f>
        <v>7.54</v>
      </c>
      <c r="F909">
        <v>5</v>
      </c>
      <c r="G909">
        <f>MAX(0,PARAMS_MODELO!$B$33-VALUE(TRIM(F909))*3)</f>
        <v>15</v>
      </c>
      <c r="H909">
        <v>1</v>
      </c>
      <c r="I909">
        <f>ROUND(MIN(4,MAX(0,H909))/4*PARAMS_MODELO!$B$34,2)</f>
        <v>5</v>
      </c>
      <c r="J909">
        <v>1</v>
      </c>
      <c r="K909">
        <f>IF(J909=0,0,PARAMS_MODELO!$B$35)</f>
        <v>10</v>
      </c>
      <c r="L909">
        <f t="shared" si="43"/>
        <v>37.54</v>
      </c>
      <c r="M909" t="str">
        <f t="shared" si="44"/>
        <v>Malo</v>
      </c>
      <c r="N909">
        <f>IF(M909=PARAMS_MODELO!$A$36,PARAMS_MODELO!$B$36,IF(M909=PARAMS_MODELO!$A$37,PARAMS_MODELO!$B$37,IF(M909=PARAMS_MODELO!$A$38,PARAMS_MODELO!$B$38,IF(M909=PARAMS_MODELO!$A$39,PARAMS_MODELO!$B$39,IF(M909=PARAMS_MODELO!$A$40,PARAMS_MODELO!$B$40)))))</f>
        <v>0.7</v>
      </c>
    </row>
    <row r="910" spans="1:14" x14ac:dyDescent="0.3">
      <c r="A910">
        <v>51020961</v>
      </c>
      <c r="B910">
        <v>30</v>
      </c>
      <c r="C910">
        <v>54</v>
      </c>
      <c r="D910">
        <f t="shared" si="42"/>
        <v>0.55555555555555558</v>
      </c>
      <c r="E910">
        <f>ROUND(MIN(5,MAX(0,D910))/5*PARAMS_MODELO!$B$32,2)</f>
        <v>4.4400000000000004</v>
      </c>
      <c r="F910">
        <v>1</v>
      </c>
      <c r="G910">
        <f>MAX(0,PARAMS_MODELO!$B$33-VALUE(TRIM(F910))*3)</f>
        <v>27</v>
      </c>
      <c r="H910">
        <v>3</v>
      </c>
      <c r="I910">
        <f>ROUND(MIN(4,MAX(0,H910))/4*PARAMS_MODELO!$B$34,2)</f>
        <v>15</v>
      </c>
      <c r="J910">
        <v>0</v>
      </c>
      <c r="K910">
        <f>IF(J910=0,0,PARAMS_MODELO!$B$35)</f>
        <v>0</v>
      </c>
      <c r="L910">
        <f t="shared" si="43"/>
        <v>46.44</v>
      </c>
      <c r="M910" t="str">
        <f t="shared" si="44"/>
        <v>Regular</v>
      </c>
      <c r="N910">
        <f>IF(M910=PARAMS_MODELO!$A$36,PARAMS_MODELO!$B$36,IF(M910=PARAMS_MODELO!$A$37,PARAMS_MODELO!$B$37,IF(M910=PARAMS_MODELO!$A$38,PARAMS_MODELO!$B$38,IF(M910=PARAMS_MODELO!$A$39,PARAMS_MODELO!$B$39,IF(M910=PARAMS_MODELO!$A$40,PARAMS_MODELO!$B$40)))))</f>
        <v>1</v>
      </c>
    </row>
    <row r="911" spans="1:14" x14ac:dyDescent="0.3">
      <c r="A911">
        <v>51022718</v>
      </c>
      <c r="B911">
        <v>12</v>
      </c>
      <c r="C911">
        <v>60</v>
      </c>
      <c r="D911">
        <f t="shared" si="42"/>
        <v>0.2</v>
      </c>
      <c r="E911">
        <f>ROUND(MIN(5,MAX(0,D911))/5*PARAMS_MODELO!$B$32,2)</f>
        <v>1.6</v>
      </c>
      <c r="F911">
        <v>1</v>
      </c>
      <c r="G911">
        <f>MAX(0,PARAMS_MODELO!$B$33-VALUE(TRIM(F911))*3)</f>
        <v>27</v>
      </c>
      <c r="H911">
        <v>3</v>
      </c>
      <c r="I911">
        <f>ROUND(MIN(4,MAX(0,H911))/4*PARAMS_MODELO!$B$34,2)</f>
        <v>15</v>
      </c>
      <c r="J911">
        <v>1</v>
      </c>
      <c r="K911">
        <f>IF(J911=0,0,PARAMS_MODELO!$B$35)</f>
        <v>10</v>
      </c>
      <c r="L911">
        <f t="shared" si="43"/>
        <v>53.6</v>
      </c>
      <c r="M911" t="str">
        <f t="shared" si="44"/>
        <v>Regular</v>
      </c>
      <c r="N911">
        <f>IF(M911=PARAMS_MODELO!$A$36,PARAMS_MODELO!$B$36,IF(M911=PARAMS_MODELO!$A$37,PARAMS_MODELO!$B$37,IF(M911=PARAMS_MODELO!$A$38,PARAMS_MODELO!$B$38,IF(M911=PARAMS_MODELO!$A$39,PARAMS_MODELO!$B$39,IF(M911=PARAMS_MODELO!$A$40,PARAMS_MODELO!$B$40)))))</f>
        <v>1</v>
      </c>
    </row>
    <row r="912" spans="1:14" x14ac:dyDescent="0.3">
      <c r="A912">
        <v>51039815</v>
      </c>
      <c r="B912">
        <v>8</v>
      </c>
      <c r="C912">
        <v>69</v>
      </c>
      <c r="D912">
        <f t="shared" si="42"/>
        <v>0.11594202898550725</v>
      </c>
      <c r="E912">
        <f>ROUND(MIN(5,MAX(0,D912))/5*PARAMS_MODELO!$B$32,2)</f>
        <v>0.93</v>
      </c>
      <c r="F912">
        <v>0</v>
      </c>
      <c r="G912">
        <f>MAX(0,PARAMS_MODELO!$B$33-VALUE(TRIM(F912))*3)</f>
        <v>30</v>
      </c>
      <c r="H912">
        <v>0</v>
      </c>
      <c r="I912">
        <f>ROUND(MIN(4,MAX(0,H912))/4*PARAMS_MODELO!$B$34,2)</f>
        <v>0</v>
      </c>
      <c r="J912">
        <v>1</v>
      </c>
      <c r="K912">
        <f>IF(J912=0,0,PARAMS_MODELO!$B$35)</f>
        <v>10</v>
      </c>
      <c r="L912">
        <f t="shared" si="43"/>
        <v>40.93</v>
      </c>
      <c r="M912" t="str">
        <f t="shared" si="44"/>
        <v>Regular</v>
      </c>
      <c r="N912">
        <f>IF(M912=PARAMS_MODELO!$A$36,PARAMS_MODELO!$B$36,IF(M912=PARAMS_MODELO!$A$37,PARAMS_MODELO!$B$37,IF(M912=PARAMS_MODELO!$A$38,PARAMS_MODELO!$B$38,IF(M912=PARAMS_MODELO!$A$39,PARAMS_MODELO!$B$39,IF(M912=PARAMS_MODELO!$A$40,PARAMS_MODELO!$B$40)))))</f>
        <v>1</v>
      </c>
    </row>
    <row r="913" spans="1:14" x14ac:dyDescent="0.3">
      <c r="A913">
        <v>51023277</v>
      </c>
      <c r="B913">
        <v>25</v>
      </c>
      <c r="C913">
        <v>20</v>
      </c>
      <c r="D913">
        <f t="shared" si="42"/>
        <v>1.25</v>
      </c>
      <c r="E913">
        <f>ROUND(MIN(5,MAX(0,D913))/5*PARAMS_MODELO!$B$32,2)</f>
        <v>10</v>
      </c>
      <c r="F913">
        <v>1</v>
      </c>
      <c r="G913">
        <f>MAX(0,PARAMS_MODELO!$B$33-VALUE(TRIM(F913))*3)</f>
        <v>27</v>
      </c>
      <c r="H913">
        <v>3</v>
      </c>
      <c r="I913">
        <f>ROUND(MIN(4,MAX(0,H913))/4*PARAMS_MODELO!$B$34,2)</f>
        <v>15</v>
      </c>
      <c r="J913">
        <v>0</v>
      </c>
      <c r="K913">
        <f>IF(J913=0,0,PARAMS_MODELO!$B$35)</f>
        <v>0</v>
      </c>
      <c r="L913">
        <f t="shared" si="43"/>
        <v>52</v>
      </c>
      <c r="M913" t="str">
        <f t="shared" si="44"/>
        <v>Regular</v>
      </c>
      <c r="N913">
        <f>IF(M913=PARAMS_MODELO!$A$36,PARAMS_MODELO!$B$36,IF(M913=PARAMS_MODELO!$A$37,PARAMS_MODELO!$B$37,IF(M913=PARAMS_MODELO!$A$38,PARAMS_MODELO!$B$38,IF(M913=PARAMS_MODELO!$A$39,PARAMS_MODELO!$B$39,IF(M913=PARAMS_MODELO!$A$40,PARAMS_MODELO!$B$40)))))</f>
        <v>1</v>
      </c>
    </row>
    <row r="914" spans="1:14" x14ac:dyDescent="0.3">
      <c r="A914">
        <v>51056353</v>
      </c>
      <c r="B914">
        <v>33</v>
      </c>
      <c r="C914">
        <v>84</v>
      </c>
      <c r="D914">
        <f t="shared" si="42"/>
        <v>0.39285714285714285</v>
      </c>
      <c r="E914">
        <f>ROUND(MIN(5,MAX(0,D914))/5*PARAMS_MODELO!$B$32,2)</f>
        <v>3.14</v>
      </c>
      <c r="F914">
        <v>2</v>
      </c>
      <c r="G914">
        <f>MAX(0,PARAMS_MODELO!$B$33-VALUE(TRIM(F914))*3)</f>
        <v>24</v>
      </c>
      <c r="H914">
        <v>4</v>
      </c>
      <c r="I914">
        <f>ROUND(MIN(4,MAX(0,H914))/4*PARAMS_MODELO!$B$34,2)</f>
        <v>20</v>
      </c>
      <c r="J914">
        <v>0</v>
      </c>
      <c r="K914">
        <f>IF(J914=0,0,PARAMS_MODELO!$B$35)</f>
        <v>0</v>
      </c>
      <c r="L914">
        <f t="shared" si="43"/>
        <v>47.14</v>
      </c>
      <c r="M914" t="str">
        <f t="shared" si="44"/>
        <v>Regular</v>
      </c>
      <c r="N914">
        <f>IF(M914=PARAMS_MODELO!$A$36,PARAMS_MODELO!$B$36,IF(M914=PARAMS_MODELO!$A$37,PARAMS_MODELO!$B$37,IF(M914=PARAMS_MODELO!$A$38,PARAMS_MODELO!$B$38,IF(M914=PARAMS_MODELO!$A$39,PARAMS_MODELO!$B$39,IF(M914=PARAMS_MODELO!$A$40,PARAMS_MODELO!$B$40)))))</f>
        <v>1</v>
      </c>
    </row>
    <row r="915" spans="1:14" x14ac:dyDescent="0.3">
      <c r="A915">
        <v>51001419</v>
      </c>
      <c r="B915">
        <v>11</v>
      </c>
      <c r="C915">
        <v>35</v>
      </c>
      <c r="D915">
        <f t="shared" si="42"/>
        <v>0.31428571428571428</v>
      </c>
      <c r="E915">
        <f>ROUND(MIN(5,MAX(0,D915))/5*PARAMS_MODELO!$B$32,2)</f>
        <v>2.5099999999999998</v>
      </c>
      <c r="F915">
        <v>2</v>
      </c>
      <c r="G915">
        <f>MAX(0,PARAMS_MODELO!$B$33-VALUE(TRIM(F915))*3)</f>
        <v>24</v>
      </c>
      <c r="H915">
        <v>0</v>
      </c>
      <c r="I915">
        <f>ROUND(MIN(4,MAX(0,H915))/4*PARAMS_MODELO!$B$34,2)</f>
        <v>0</v>
      </c>
      <c r="J915">
        <v>1</v>
      </c>
      <c r="K915">
        <f>IF(J915=0,0,PARAMS_MODELO!$B$35)</f>
        <v>10</v>
      </c>
      <c r="L915">
        <f t="shared" si="43"/>
        <v>36.51</v>
      </c>
      <c r="M915" t="str">
        <f t="shared" si="44"/>
        <v>Malo</v>
      </c>
      <c r="N915">
        <f>IF(M915=PARAMS_MODELO!$A$36,PARAMS_MODELO!$B$36,IF(M915=PARAMS_MODELO!$A$37,PARAMS_MODELO!$B$37,IF(M915=PARAMS_MODELO!$A$38,PARAMS_MODELO!$B$38,IF(M915=PARAMS_MODELO!$A$39,PARAMS_MODELO!$B$39,IF(M915=PARAMS_MODELO!$A$40,PARAMS_MODELO!$B$40)))))</f>
        <v>0.7</v>
      </c>
    </row>
    <row r="916" spans="1:14" x14ac:dyDescent="0.3">
      <c r="A916">
        <v>51018001</v>
      </c>
      <c r="B916">
        <v>74</v>
      </c>
      <c r="C916">
        <v>45</v>
      </c>
      <c r="D916">
        <f t="shared" si="42"/>
        <v>1.6444444444444444</v>
      </c>
      <c r="E916">
        <f>ROUND(MIN(5,MAX(0,D916))/5*PARAMS_MODELO!$B$32,2)</f>
        <v>13.16</v>
      </c>
      <c r="F916">
        <v>4</v>
      </c>
      <c r="G916">
        <f>MAX(0,PARAMS_MODELO!$B$33-VALUE(TRIM(F916))*3)</f>
        <v>18</v>
      </c>
      <c r="H916">
        <v>0</v>
      </c>
      <c r="I916">
        <f>ROUND(MIN(4,MAX(0,H916))/4*PARAMS_MODELO!$B$34,2)</f>
        <v>0</v>
      </c>
      <c r="J916">
        <v>0</v>
      </c>
      <c r="K916">
        <f>IF(J916=0,0,PARAMS_MODELO!$B$35)</f>
        <v>0</v>
      </c>
      <c r="L916">
        <f t="shared" si="43"/>
        <v>31.16</v>
      </c>
      <c r="M916" t="str">
        <f t="shared" si="44"/>
        <v>Malo</v>
      </c>
      <c r="N916">
        <f>IF(M916=PARAMS_MODELO!$A$36,PARAMS_MODELO!$B$36,IF(M916=PARAMS_MODELO!$A$37,PARAMS_MODELO!$B$37,IF(M916=PARAMS_MODELO!$A$38,PARAMS_MODELO!$B$38,IF(M916=PARAMS_MODELO!$A$39,PARAMS_MODELO!$B$39,IF(M916=PARAMS_MODELO!$A$40,PARAMS_MODELO!$B$40)))))</f>
        <v>0.7</v>
      </c>
    </row>
    <row r="917" spans="1:14" x14ac:dyDescent="0.3">
      <c r="A917">
        <v>51020707</v>
      </c>
      <c r="B917">
        <v>83</v>
      </c>
      <c r="C917">
        <v>69</v>
      </c>
      <c r="D917">
        <f t="shared" si="42"/>
        <v>1.2028985507246377</v>
      </c>
      <c r="E917">
        <f>ROUND(MIN(5,MAX(0,D917))/5*PARAMS_MODELO!$B$32,2)</f>
        <v>9.6199999999999992</v>
      </c>
      <c r="F917">
        <v>1</v>
      </c>
      <c r="G917">
        <f>MAX(0,PARAMS_MODELO!$B$33-VALUE(TRIM(F917))*3)</f>
        <v>27</v>
      </c>
      <c r="H917">
        <v>4</v>
      </c>
      <c r="I917">
        <f>ROUND(MIN(4,MAX(0,H917))/4*PARAMS_MODELO!$B$34,2)</f>
        <v>20</v>
      </c>
      <c r="J917">
        <v>1</v>
      </c>
      <c r="K917">
        <f>IF(J917=0,0,PARAMS_MODELO!$B$35)</f>
        <v>10</v>
      </c>
      <c r="L917">
        <f t="shared" si="43"/>
        <v>66.62</v>
      </c>
      <c r="M917" t="str">
        <f t="shared" si="44"/>
        <v>Bueno</v>
      </c>
      <c r="N917">
        <f>IF(M917=PARAMS_MODELO!$A$36,PARAMS_MODELO!$B$36,IF(M917=PARAMS_MODELO!$A$37,PARAMS_MODELO!$B$37,IF(M917=PARAMS_MODELO!$A$38,PARAMS_MODELO!$B$38,IF(M917=PARAMS_MODELO!$A$39,PARAMS_MODELO!$B$39,IF(M917=PARAMS_MODELO!$A$40,PARAMS_MODELO!$B$40)))))</f>
        <v>1.1000000000000001</v>
      </c>
    </row>
    <row r="918" spans="1:14" x14ac:dyDescent="0.3">
      <c r="A918">
        <v>51018923</v>
      </c>
      <c r="B918">
        <v>29</v>
      </c>
      <c r="C918">
        <v>76</v>
      </c>
      <c r="D918">
        <f t="shared" si="42"/>
        <v>0.38157894736842107</v>
      </c>
      <c r="E918">
        <f>ROUND(MIN(5,MAX(0,D918))/5*PARAMS_MODELO!$B$32,2)</f>
        <v>3.05</v>
      </c>
      <c r="F918">
        <v>0</v>
      </c>
      <c r="G918">
        <f>MAX(0,PARAMS_MODELO!$B$33-VALUE(TRIM(F918))*3)</f>
        <v>30</v>
      </c>
      <c r="H918">
        <v>3</v>
      </c>
      <c r="I918">
        <f>ROUND(MIN(4,MAX(0,H918))/4*PARAMS_MODELO!$B$34,2)</f>
        <v>15</v>
      </c>
      <c r="J918">
        <v>1</v>
      </c>
      <c r="K918">
        <f>IF(J918=0,0,PARAMS_MODELO!$B$35)</f>
        <v>10</v>
      </c>
      <c r="L918">
        <f t="shared" si="43"/>
        <v>58.05</v>
      </c>
      <c r="M918" t="str">
        <f t="shared" si="44"/>
        <v>Regular</v>
      </c>
      <c r="N918">
        <f>IF(M918=PARAMS_MODELO!$A$36,PARAMS_MODELO!$B$36,IF(M918=PARAMS_MODELO!$A$37,PARAMS_MODELO!$B$37,IF(M918=PARAMS_MODELO!$A$38,PARAMS_MODELO!$B$38,IF(M918=PARAMS_MODELO!$A$39,PARAMS_MODELO!$B$39,IF(M918=PARAMS_MODELO!$A$40,PARAMS_MODELO!$B$40)))))</f>
        <v>1</v>
      </c>
    </row>
    <row r="919" spans="1:14" x14ac:dyDescent="0.3">
      <c r="A919">
        <v>51012721</v>
      </c>
      <c r="B919">
        <v>35</v>
      </c>
      <c r="C919">
        <v>74</v>
      </c>
      <c r="D919">
        <f t="shared" si="42"/>
        <v>0.47297297297297297</v>
      </c>
      <c r="E919">
        <f>ROUND(MIN(5,MAX(0,D919))/5*PARAMS_MODELO!$B$32,2)</f>
        <v>3.78</v>
      </c>
      <c r="F919">
        <v>2</v>
      </c>
      <c r="G919">
        <f>MAX(0,PARAMS_MODELO!$B$33-VALUE(TRIM(F919))*3)</f>
        <v>24</v>
      </c>
      <c r="H919">
        <v>0</v>
      </c>
      <c r="I919">
        <f>ROUND(MIN(4,MAX(0,H919))/4*PARAMS_MODELO!$B$34,2)</f>
        <v>0</v>
      </c>
      <c r="J919">
        <v>0</v>
      </c>
      <c r="K919">
        <f>IF(J919=0,0,PARAMS_MODELO!$B$35)</f>
        <v>0</v>
      </c>
      <c r="L919">
        <f t="shared" si="43"/>
        <v>27.78</v>
      </c>
      <c r="M919" t="str">
        <f t="shared" si="44"/>
        <v>Malo</v>
      </c>
      <c r="N919">
        <f>IF(M919=PARAMS_MODELO!$A$36,PARAMS_MODELO!$B$36,IF(M919=PARAMS_MODELO!$A$37,PARAMS_MODELO!$B$37,IF(M919=PARAMS_MODELO!$A$38,PARAMS_MODELO!$B$38,IF(M919=PARAMS_MODELO!$A$39,PARAMS_MODELO!$B$39,IF(M919=PARAMS_MODELO!$A$40,PARAMS_MODELO!$B$40)))))</f>
        <v>0.7</v>
      </c>
    </row>
    <row r="920" spans="1:14" x14ac:dyDescent="0.3">
      <c r="A920">
        <v>51020634</v>
      </c>
      <c r="B920">
        <v>18</v>
      </c>
      <c r="C920">
        <v>29</v>
      </c>
      <c r="D920">
        <f t="shared" si="42"/>
        <v>0.62068965517241381</v>
      </c>
      <c r="E920">
        <f>ROUND(MIN(5,MAX(0,D920))/5*PARAMS_MODELO!$B$32,2)</f>
        <v>4.97</v>
      </c>
      <c r="F920">
        <v>3</v>
      </c>
      <c r="G920">
        <f>MAX(0,PARAMS_MODELO!$B$33-VALUE(TRIM(F920))*3)</f>
        <v>21</v>
      </c>
      <c r="H920">
        <v>2</v>
      </c>
      <c r="I920">
        <f>ROUND(MIN(4,MAX(0,H920))/4*PARAMS_MODELO!$B$34,2)</f>
        <v>10</v>
      </c>
      <c r="J920">
        <v>1</v>
      </c>
      <c r="K920">
        <f>IF(J920=0,0,PARAMS_MODELO!$B$35)</f>
        <v>10</v>
      </c>
      <c r="L920">
        <f t="shared" si="43"/>
        <v>45.97</v>
      </c>
      <c r="M920" t="str">
        <f t="shared" si="44"/>
        <v>Regular</v>
      </c>
      <c r="N920">
        <f>IF(M920=PARAMS_MODELO!$A$36,PARAMS_MODELO!$B$36,IF(M920=PARAMS_MODELO!$A$37,PARAMS_MODELO!$B$37,IF(M920=PARAMS_MODELO!$A$38,PARAMS_MODELO!$B$38,IF(M920=PARAMS_MODELO!$A$39,PARAMS_MODELO!$B$39,IF(M920=PARAMS_MODELO!$A$40,PARAMS_MODELO!$B$40)))))</f>
        <v>1</v>
      </c>
    </row>
    <row r="921" spans="1:14" x14ac:dyDescent="0.3">
      <c r="A921">
        <v>51056507</v>
      </c>
      <c r="B921">
        <v>13</v>
      </c>
      <c r="C921">
        <v>24</v>
      </c>
      <c r="D921">
        <f t="shared" si="42"/>
        <v>0.54166666666666663</v>
      </c>
      <c r="E921">
        <f>ROUND(MIN(5,MAX(0,D921))/5*PARAMS_MODELO!$B$32,2)</f>
        <v>4.33</v>
      </c>
      <c r="F921">
        <v>4</v>
      </c>
      <c r="G921">
        <f>MAX(0,PARAMS_MODELO!$B$33-VALUE(TRIM(F921))*3)</f>
        <v>18</v>
      </c>
      <c r="H921">
        <v>1</v>
      </c>
      <c r="I921">
        <f>ROUND(MIN(4,MAX(0,H921))/4*PARAMS_MODELO!$B$34,2)</f>
        <v>5</v>
      </c>
      <c r="J921">
        <v>0</v>
      </c>
      <c r="K921">
        <f>IF(J921=0,0,PARAMS_MODELO!$B$35)</f>
        <v>0</v>
      </c>
      <c r="L921">
        <f t="shared" si="43"/>
        <v>27.33</v>
      </c>
      <c r="M921" t="str">
        <f t="shared" si="44"/>
        <v>Malo</v>
      </c>
      <c r="N921">
        <f>IF(M921=PARAMS_MODELO!$A$36,PARAMS_MODELO!$B$36,IF(M921=PARAMS_MODELO!$A$37,PARAMS_MODELO!$B$37,IF(M921=PARAMS_MODELO!$A$38,PARAMS_MODELO!$B$38,IF(M921=PARAMS_MODELO!$A$39,PARAMS_MODELO!$B$39,IF(M921=PARAMS_MODELO!$A$40,PARAMS_MODELO!$B$40)))))</f>
        <v>0.7</v>
      </c>
    </row>
    <row r="922" spans="1:14" x14ac:dyDescent="0.3">
      <c r="A922">
        <v>51002105</v>
      </c>
      <c r="B922">
        <v>12</v>
      </c>
      <c r="C922">
        <v>22</v>
      </c>
      <c r="D922">
        <f t="shared" si="42"/>
        <v>0.54545454545454541</v>
      </c>
      <c r="E922">
        <f>ROUND(MIN(5,MAX(0,D922))/5*PARAMS_MODELO!$B$32,2)</f>
        <v>4.3600000000000003</v>
      </c>
      <c r="F922">
        <v>0</v>
      </c>
      <c r="G922">
        <f>MAX(0,PARAMS_MODELO!$B$33-VALUE(TRIM(F922))*3)</f>
        <v>30</v>
      </c>
      <c r="H922">
        <v>0</v>
      </c>
      <c r="I922">
        <f>ROUND(MIN(4,MAX(0,H922))/4*PARAMS_MODELO!$B$34,2)</f>
        <v>0</v>
      </c>
      <c r="J922">
        <v>0</v>
      </c>
      <c r="K922">
        <f>IF(J922=0,0,PARAMS_MODELO!$B$35)</f>
        <v>0</v>
      </c>
      <c r="L922">
        <f t="shared" si="43"/>
        <v>34.36</v>
      </c>
      <c r="M922" t="str">
        <f t="shared" si="44"/>
        <v>Malo</v>
      </c>
      <c r="N922">
        <f>IF(M922=PARAMS_MODELO!$A$36,PARAMS_MODELO!$B$36,IF(M922=PARAMS_MODELO!$A$37,PARAMS_MODELO!$B$37,IF(M922=PARAMS_MODELO!$A$38,PARAMS_MODELO!$B$38,IF(M922=PARAMS_MODELO!$A$39,PARAMS_MODELO!$B$39,IF(M922=PARAMS_MODELO!$A$40,PARAMS_MODELO!$B$40)))))</f>
        <v>0.7</v>
      </c>
    </row>
    <row r="923" spans="1:14" x14ac:dyDescent="0.3">
      <c r="A923">
        <v>51055136</v>
      </c>
      <c r="B923">
        <v>80</v>
      </c>
      <c r="C923">
        <v>24</v>
      </c>
      <c r="D923">
        <f t="shared" si="42"/>
        <v>3.3333333333333335</v>
      </c>
      <c r="E923">
        <f>ROUND(MIN(5,MAX(0,D923))/5*PARAMS_MODELO!$B$32,2)</f>
        <v>26.67</v>
      </c>
      <c r="F923">
        <v>0</v>
      </c>
      <c r="G923">
        <f>MAX(0,PARAMS_MODELO!$B$33-VALUE(TRIM(F923))*3)</f>
        <v>30</v>
      </c>
      <c r="H923">
        <v>4</v>
      </c>
      <c r="I923">
        <f>ROUND(MIN(4,MAX(0,H923))/4*PARAMS_MODELO!$B$34,2)</f>
        <v>20</v>
      </c>
      <c r="J923">
        <v>0</v>
      </c>
      <c r="K923">
        <f>IF(J923=0,0,PARAMS_MODELO!$B$35)</f>
        <v>0</v>
      </c>
      <c r="L923">
        <f t="shared" si="43"/>
        <v>76.67</v>
      </c>
      <c r="M923" t="str">
        <f t="shared" si="44"/>
        <v>Muy Bueno</v>
      </c>
      <c r="N923">
        <f>IF(M923=PARAMS_MODELO!$A$36,PARAMS_MODELO!$B$36,IF(M923=PARAMS_MODELO!$A$37,PARAMS_MODELO!$B$37,IF(M923=PARAMS_MODELO!$A$38,PARAMS_MODELO!$B$38,IF(M923=PARAMS_MODELO!$A$39,PARAMS_MODELO!$B$39,IF(M923=PARAMS_MODELO!$A$40,PARAMS_MODELO!$B$40)))))</f>
        <v>1.1499999999999999</v>
      </c>
    </row>
    <row r="924" spans="1:14" x14ac:dyDescent="0.3">
      <c r="A924">
        <v>51008685</v>
      </c>
      <c r="B924">
        <v>25</v>
      </c>
      <c r="C924">
        <v>7</v>
      </c>
      <c r="D924">
        <f t="shared" si="42"/>
        <v>3.5714285714285716</v>
      </c>
      <c r="E924">
        <f>ROUND(MIN(5,MAX(0,D924))/5*PARAMS_MODELO!$B$32,2)</f>
        <v>28.57</v>
      </c>
      <c r="F924">
        <v>5</v>
      </c>
      <c r="G924">
        <f>MAX(0,PARAMS_MODELO!$B$33-VALUE(TRIM(F924))*3)</f>
        <v>15</v>
      </c>
      <c r="H924">
        <v>0</v>
      </c>
      <c r="I924">
        <f>ROUND(MIN(4,MAX(0,H924))/4*PARAMS_MODELO!$B$34,2)</f>
        <v>0</v>
      </c>
      <c r="J924">
        <v>0</v>
      </c>
      <c r="K924">
        <f>IF(J924=0,0,PARAMS_MODELO!$B$35)</f>
        <v>0</v>
      </c>
      <c r="L924">
        <f t="shared" si="43"/>
        <v>43.57</v>
      </c>
      <c r="M924" t="str">
        <f t="shared" si="44"/>
        <v>Regular</v>
      </c>
      <c r="N924">
        <f>IF(M924=PARAMS_MODELO!$A$36,PARAMS_MODELO!$B$36,IF(M924=PARAMS_MODELO!$A$37,PARAMS_MODELO!$B$37,IF(M924=PARAMS_MODELO!$A$38,PARAMS_MODELO!$B$38,IF(M924=PARAMS_MODELO!$A$39,PARAMS_MODELO!$B$39,IF(M924=PARAMS_MODELO!$A$40,PARAMS_MODELO!$B$40)))))</f>
        <v>1</v>
      </c>
    </row>
    <row r="925" spans="1:14" x14ac:dyDescent="0.3">
      <c r="A925">
        <v>51055306</v>
      </c>
      <c r="B925">
        <v>93</v>
      </c>
      <c r="C925">
        <v>44</v>
      </c>
      <c r="D925">
        <f t="shared" si="42"/>
        <v>2.1136363636363638</v>
      </c>
      <c r="E925">
        <f>ROUND(MIN(5,MAX(0,D925))/5*PARAMS_MODELO!$B$32,2)</f>
        <v>16.91</v>
      </c>
      <c r="F925">
        <v>3</v>
      </c>
      <c r="G925">
        <f>MAX(0,PARAMS_MODELO!$B$33-VALUE(TRIM(F925))*3)</f>
        <v>21</v>
      </c>
      <c r="H925">
        <v>3</v>
      </c>
      <c r="I925">
        <f>ROUND(MIN(4,MAX(0,H925))/4*PARAMS_MODELO!$B$34,2)</f>
        <v>15</v>
      </c>
      <c r="J925">
        <v>1</v>
      </c>
      <c r="K925">
        <f>IF(J925=0,0,PARAMS_MODELO!$B$35)</f>
        <v>10</v>
      </c>
      <c r="L925">
        <f t="shared" si="43"/>
        <v>62.91</v>
      </c>
      <c r="M925" t="str">
        <f t="shared" si="44"/>
        <v>Bueno</v>
      </c>
      <c r="N925">
        <f>IF(M925=PARAMS_MODELO!$A$36,PARAMS_MODELO!$B$36,IF(M925=PARAMS_MODELO!$A$37,PARAMS_MODELO!$B$37,IF(M925=PARAMS_MODELO!$A$38,PARAMS_MODELO!$B$38,IF(M925=PARAMS_MODELO!$A$39,PARAMS_MODELO!$B$39,IF(M925=PARAMS_MODELO!$A$40,PARAMS_MODELO!$B$40)))))</f>
        <v>1.1000000000000001</v>
      </c>
    </row>
    <row r="926" spans="1:14" x14ac:dyDescent="0.3">
      <c r="A926">
        <v>51024036</v>
      </c>
      <c r="B926">
        <v>6</v>
      </c>
      <c r="C926">
        <v>93</v>
      </c>
      <c r="D926">
        <f t="shared" si="42"/>
        <v>6.4516129032258063E-2</v>
      </c>
      <c r="E926">
        <f>ROUND(MIN(5,MAX(0,D926))/5*PARAMS_MODELO!$B$32,2)</f>
        <v>0.52</v>
      </c>
      <c r="F926">
        <v>0</v>
      </c>
      <c r="G926">
        <f>MAX(0,PARAMS_MODELO!$B$33-VALUE(TRIM(F926))*3)</f>
        <v>30</v>
      </c>
      <c r="H926">
        <v>2</v>
      </c>
      <c r="I926">
        <f>ROUND(MIN(4,MAX(0,H926))/4*PARAMS_MODELO!$B$34,2)</f>
        <v>10</v>
      </c>
      <c r="J926">
        <v>0</v>
      </c>
      <c r="K926">
        <f>IF(J926=0,0,PARAMS_MODELO!$B$35)</f>
        <v>0</v>
      </c>
      <c r="L926">
        <f t="shared" si="43"/>
        <v>40.519999999999996</v>
      </c>
      <c r="M926" t="str">
        <f t="shared" si="44"/>
        <v>Regular</v>
      </c>
      <c r="N926">
        <f>IF(M926=PARAMS_MODELO!$A$36,PARAMS_MODELO!$B$36,IF(M926=PARAMS_MODELO!$A$37,PARAMS_MODELO!$B$37,IF(M926=PARAMS_MODELO!$A$38,PARAMS_MODELO!$B$38,IF(M926=PARAMS_MODELO!$A$39,PARAMS_MODELO!$B$39,IF(M926=PARAMS_MODELO!$A$40,PARAMS_MODELO!$B$40)))))</f>
        <v>1</v>
      </c>
    </row>
    <row r="927" spans="1:14" x14ac:dyDescent="0.3">
      <c r="A927">
        <v>51011597</v>
      </c>
      <c r="B927">
        <v>64</v>
      </c>
      <c r="C927">
        <v>45</v>
      </c>
      <c r="D927">
        <f t="shared" si="42"/>
        <v>1.4222222222222223</v>
      </c>
      <c r="E927">
        <f>ROUND(MIN(5,MAX(0,D927))/5*PARAMS_MODELO!$B$32,2)</f>
        <v>11.38</v>
      </c>
      <c r="F927">
        <v>4</v>
      </c>
      <c r="G927">
        <f>MAX(0,PARAMS_MODELO!$B$33-VALUE(TRIM(F927))*3)</f>
        <v>18</v>
      </c>
      <c r="H927">
        <v>2</v>
      </c>
      <c r="I927">
        <f>ROUND(MIN(4,MAX(0,H927))/4*PARAMS_MODELO!$B$34,2)</f>
        <v>10</v>
      </c>
      <c r="J927">
        <v>0</v>
      </c>
      <c r="K927">
        <f>IF(J927=0,0,PARAMS_MODELO!$B$35)</f>
        <v>0</v>
      </c>
      <c r="L927">
        <f t="shared" si="43"/>
        <v>39.380000000000003</v>
      </c>
      <c r="M927" t="str">
        <f t="shared" si="44"/>
        <v>Malo</v>
      </c>
      <c r="N927">
        <f>IF(M927=PARAMS_MODELO!$A$36,PARAMS_MODELO!$B$36,IF(M927=PARAMS_MODELO!$A$37,PARAMS_MODELO!$B$37,IF(M927=PARAMS_MODELO!$A$38,PARAMS_MODELO!$B$38,IF(M927=PARAMS_MODELO!$A$39,PARAMS_MODELO!$B$39,IF(M927=PARAMS_MODELO!$A$40,PARAMS_MODELO!$B$40)))))</f>
        <v>0.7</v>
      </c>
    </row>
    <row r="928" spans="1:14" x14ac:dyDescent="0.3">
      <c r="A928">
        <v>51043260</v>
      </c>
      <c r="B928">
        <v>52</v>
      </c>
      <c r="C928">
        <v>78</v>
      </c>
      <c r="D928">
        <f t="shared" si="42"/>
        <v>0.66666666666666663</v>
      </c>
      <c r="E928">
        <f>ROUND(MIN(5,MAX(0,D928))/5*PARAMS_MODELO!$B$32,2)</f>
        <v>5.33</v>
      </c>
      <c r="F928">
        <v>0</v>
      </c>
      <c r="G928">
        <f>MAX(0,PARAMS_MODELO!$B$33-VALUE(TRIM(F928))*3)</f>
        <v>30</v>
      </c>
      <c r="H928">
        <v>2</v>
      </c>
      <c r="I928">
        <f>ROUND(MIN(4,MAX(0,H928))/4*PARAMS_MODELO!$B$34,2)</f>
        <v>10</v>
      </c>
      <c r="J928">
        <v>0</v>
      </c>
      <c r="K928">
        <f>IF(J928=0,0,PARAMS_MODELO!$B$35)</f>
        <v>0</v>
      </c>
      <c r="L928">
        <f t="shared" si="43"/>
        <v>45.33</v>
      </c>
      <c r="M928" t="str">
        <f t="shared" si="44"/>
        <v>Regular</v>
      </c>
      <c r="N928">
        <f>IF(M928=PARAMS_MODELO!$A$36,PARAMS_MODELO!$B$36,IF(M928=PARAMS_MODELO!$A$37,PARAMS_MODELO!$B$37,IF(M928=PARAMS_MODELO!$A$38,PARAMS_MODELO!$B$38,IF(M928=PARAMS_MODELO!$A$39,PARAMS_MODELO!$B$39,IF(M928=PARAMS_MODELO!$A$40,PARAMS_MODELO!$B$40)))))</f>
        <v>1</v>
      </c>
    </row>
    <row r="929" spans="1:14" x14ac:dyDescent="0.3">
      <c r="A929">
        <v>51004035</v>
      </c>
      <c r="B929">
        <v>19</v>
      </c>
      <c r="C929">
        <v>95</v>
      </c>
      <c r="D929">
        <f t="shared" si="42"/>
        <v>0.2</v>
      </c>
      <c r="E929">
        <f>ROUND(MIN(5,MAX(0,D929))/5*PARAMS_MODELO!$B$32,2)</f>
        <v>1.6</v>
      </c>
      <c r="F929">
        <v>4</v>
      </c>
      <c r="G929">
        <f>MAX(0,PARAMS_MODELO!$B$33-VALUE(TRIM(F929))*3)</f>
        <v>18</v>
      </c>
      <c r="H929">
        <v>2</v>
      </c>
      <c r="I929">
        <f>ROUND(MIN(4,MAX(0,H929))/4*PARAMS_MODELO!$B$34,2)</f>
        <v>10</v>
      </c>
      <c r="J929">
        <v>1</v>
      </c>
      <c r="K929">
        <f>IF(J929=0,0,PARAMS_MODELO!$B$35)</f>
        <v>10</v>
      </c>
      <c r="L929">
        <f t="shared" si="43"/>
        <v>39.6</v>
      </c>
      <c r="M929" t="str">
        <f t="shared" si="44"/>
        <v>Malo</v>
      </c>
      <c r="N929">
        <f>IF(M929=PARAMS_MODELO!$A$36,PARAMS_MODELO!$B$36,IF(M929=PARAMS_MODELO!$A$37,PARAMS_MODELO!$B$37,IF(M929=PARAMS_MODELO!$A$38,PARAMS_MODELO!$B$38,IF(M929=PARAMS_MODELO!$A$39,PARAMS_MODELO!$B$39,IF(M929=PARAMS_MODELO!$A$40,PARAMS_MODELO!$B$40)))))</f>
        <v>0.7</v>
      </c>
    </row>
    <row r="930" spans="1:14" x14ac:dyDescent="0.3">
      <c r="A930">
        <v>51043537</v>
      </c>
      <c r="B930">
        <v>80</v>
      </c>
      <c r="C930">
        <v>64</v>
      </c>
      <c r="D930">
        <f t="shared" si="42"/>
        <v>1.25</v>
      </c>
      <c r="E930">
        <f>ROUND(MIN(5,MAX(0,D930))/5*PARAMS_MODELO!$B$32,2)</f>
        <v>10</v>
      </c>
      <c r="F930">
        <v>5</v>
      </c>
      <c r="G930">
        <f>MAX(0,PARAMS_MODELO!$B$33-VALUE(TRIM(F930))*3)</f>
        <v>15</v>
      </c>
      <c r="H930">
        <v>1</v>
      </c>
      <c r="I930">
        <f>ROUND(MIN(4,MAX(0,H930))/4*PARAMS_MODELO!$B$34,2)</f>
        <v>5</v>
      </c>
      <c r="J930">
        <v>0</v>
      </c>
      <c r="K930">
        <f>IF(J930=0,0,PARAMS_MODELO!$B$35)</f>
        <v>0</v>
      </c>
      <c r="L930">
        <f t="shared" si="43"/>
        <v>30</v>
      </c>
      <c r="M930" t="str">
        <f t="shared" si="44"/>
        <v>Malo</v>
      </c>
      <c r="N930">
        <f>IF(M930=PARAMS_MODELO!$A$36,PARAMS_MODELO!$B$36,IF(M930=PARAMS_MODELO!$A$37,PARAMS_MODELO!$B$37,IF(M930=PARAMS_MODELO!$A$38,PARAMS_MODELO!$B$38,IF(M930=PARAMS_MODELO!$A$39,PARAMS_MODELO!$B$39,IF(M930=PARAMS_MODELO!$A$40,PARAMS_MODELO!$B$40)))))</f>
        <v>0.7</v>
      </c>
    </row>
    <row r="931" spans="1:14" x14ac:dyDescent="0.3">
      <c r="A931">
        <v>51056752</v>
      </c>
      <c r="B931">
        <v>59</v>
      </c>
      <c r="C931">
        <v>48</v>
      </c>
      <c r="D931">
        <f t="shared" si="42"/>
        <v>1.2291666666666667</v>
      </c>
      <c r="E931">
        <f>ROUND(MIN(5,MAX(0,D931))/5*PARAMS_MODELO!$B$32,2)</f>
        <v>9.83</v>
      </c>
      <c r="F931">
        <v>3</v>
      </c>
      <c r="G931">
        <f>MAX(0,PARAMS_MODELO!$B$33-VALUE(TRIM(F931))*3)</f>
        <v>21</v>
      </c>
      <c r="H931">
        <v>1</v>
      </c>
      <c r="I931">
        <f>ROUND(MIN(4,MAX(0,H931))/4*PARAMS_MODELO!$B$34,2)</f>
        <v>5</v>
      </c>
      <c r="J931">
        <v>0</v>
      </c>
      <c r="K931">
        <f>IF(J931=0,0,PARAMS_MODELO!$B$35)</f>
        <v>0</v>
      </c>
      <c r="L931">
        <f t="shared" si="43"/>
        <v>35.83</v>
      </c>
      <c r="M931" t="str">
        <f t="shared" si="44"/>
        <v>Malo</v>
      </c>
      <c r="N931">
        <f>IF(M931=PARAMS_MODELO!$A$36,PARAMS_MODELO!$B$36,IF(M931=PARAMS_MODELO!$A$37,PARAMS_MODELO!$B$37,IF(M931=PARAMS_MODELO!$A$38,PARAMS_MODELO!$B$38,IF(M931=PARAMS_MODELO!$A$39,PARAMS_MODELO!$B$39,IF(M931=PARAMS_MODELO!$A$40,PARAMS_MODELO!$B$40)))))</f>
        <v>0.7</v>
      </c>
    </row>
    <row r="932" spans="1:14" x14ac:dyDescent="0.3">
      <c r="A932">
        <v>51031857</v>
      </c>
      <c r="B932">
        <v>74</v>
      </c>
      <c r="C932">
        <v>59</v>
      </c>
      <c r="D932">
        <f t="shared" si="42"/>
        <v>1.2542372881355932</v>
      </c>
      <c r="E932">
        <f>ROUND(MIN(5,MAX(0,D932))/5*PARAMS_MODELO!$B$32,2)</f>
        <v>10.029999999999999</v>
      </c>
      <c r="F932">
        <v>5</v>
      </c>
      <c r="G932">
        <f>MAX(0,PARAMS_MODELO!$B$33-VALUE(TRIM(F932))*3)</f>
        <v>15</v>
      </c>
      <c r="H932">
        <v>3</v>
      </c>
      <c r="I932">
        <f>ROUND(MIN(4,MAX(0,H932))/4*PARAMS_MODELO!$B$34,2)</f>
        <v>15</v>
      </c>
      <c r="J932">
        <v>0</v>
      </c>
      <c r="K932">
        <f>IF(J932=0,0,PARAMS_MODELO!$B$35)</f>
        <v>0</v>
      </c>
      <c r="L932">
        <f t="shared" si="43"/>
        <v>40.03</v>
      </c>
      <c r="M932" t="str">
        <f t="shared" si="44"/>
        <v>Regular</v>
      </c>
      <c r="N932">
        <f>IF(M932=PARAMS_MODELO!$A$36,PARAMS_MODELO!$B$36,IF(M932=PARAMS_MODELO!$A$37,PARAMS_MODELO!$B$37,IF(M932=PARAMS_MODELO!$A$38,PARAMS_MODELO!$B$38,IF(M932=PARAMS_MODELO!$A$39,PARAMS_MODELO!$B$39,IF(M932=PARAMS_MODELO!$A$40,PARAMS_MODELO!$B$40)))))</f>
        <v>1</v>
      </c>
    </row>
    <row r="933" spans="1:14" x14ac:dyDescent="0.3">
      <c r="A933">
        <v>51014138</v>
      </c>
      <c r="B933">
        <v>94</v>
      </c>
      <c r="C933">
        <v>74</v>
      </c>
      <c r="D933">
        <f t="shared" si="42"/>
        <v>1.2702702702702702</v>
      </c>
      <c r="E933">
        <f>ROUND(MIN(5,MAX(0,D933))/5*PARAMS_MODELO!$B$32,2)</f>
        <v>10.16</v>
      </c>
      <c r="F933">
        <v>1</v>
      </c>
      <c r="G933">
        <f>MAX(0,PARAMS_MODELO!$B$33-VALUE(TRIM(F933))*3)</f>
        <v>27</v>
      </c>
      <c r="H933">
        <v>2</v>
      </c>
      <c r="I933">
        <f>ROUND(MIN(4,MAX(0,H933))/4*PARAMS_MODELO!$B$34,2)</f>
        <v>10</v>
      </c>
      <c r="J933">
        <v>0</v>
      </c>
      <c r="K933">
        <f>IF(J933=0,0,PARAMS_MODELO!$B$35)</f>
        <v>0</v>
      </c>
      <c r="L933">
        <f t="shared" si="43"/>
        <v>47.16</v>
      </c>
      <c r="M933" t="str">
        <f t="shared" si="44"/>
        <v>Regular</v>
      </c>
      <c r="N933">
        <f>IF(M933=PARAMS_MODELO!$A$36,PARAMS_MODELO!$B$36,IF(M933=PARAMS_MODELO!$A$37,PARAMS_MODELO!$B$37,IF(M933=PARAMS_MODELO!$A$38,PARAMS_MODELO!$B$38,IF(M933=PARAMS_MODELO!$A$39,PARAMS_MODELO!$B$39,IF(M933=PARAMS_MODELO!$A$40,PARAMS_MODELO!$B$40)))))</f>
        <v>1</v>
      </c>
    </row>
    <row r="934" spans="1:14" x14ac:dyDescent="0.3">
      <c r="A934">
        <v>51055578</v>
      </c>
      <c r="B934">
        <v>49</v>
      </c>
      <c r="C934">
        <v>60</v>
      </c>
      <c r="D934">
        <f t="shared" si="42"/>
        <v>0.81666666666666665</v>
      </c>
      <c r="E934">
        <f>ROUND(MIN(5,MAX(0,D934))/5*PARAMS_MODELO!$B$32,2)</f>
        <v>6.53</v>
      </c>
      <c r="F934">
        <v>4</v>
      </c>
      <c r="G934">
        <f>MAX(0,PARAMS_MODELO!$B$33-VALUE(TRIM(F934))*3)</f>
        <v>18</v>
      </c>
      <c r="H934">
        <v>1</v>
      </c>
      <c r="I934">
        <f>ROUND(MIN(4,MAX(0,H934))/4*PARAMS_MODELO!$B$34,2)</f>
        <v>5</v>
      </c>
      <c r="J934">
        <v>1</v>
      </c>
      <c r="K934">
        <f>IF(J934=0,0,PARAMS_MODELO!$B$35)</f>
        <v>10</v>
      </c>
      <c r="L934">
        <f t="shared" si="43"/>
        <v>39.53</v>
      </c>
      <c r="M934" t="str">
        <f t="shared" si="44"/>
        <v>Malo</v>
      </c>
      <c r="N934">
        <f>IF(M934=PARAMS_MODELO!$A$36,PARAMS_MODELO!$B$36,IF(M934=PARAMS_MODELO!$A$37,PARAMS_MODELO!$B$37,IF(M934=PARAMS_MODELO!$A$38,PARAMS_MODELO!$B$38,IF(M934=PARAMS_MODELO!$A$39,PARAMS_MODELO!$B$39,IF(M934=PARAMS_MODELO!$A$40,PARAMS_MODELO!$B$40)))))</f>
        <v>0.7</v>
      </c>
    </row>
    <row r="935" spans="1:14" x14ac:dyDescent="0.3">
      <c r="A935">
        <v>51024028</v>
      </c>
      <c r="B935">
        <v>91</v>
      </c>
      <c r="C935">
        <v>46</v>
      </c>
      <c r="D935">
        <f t="shared" si="42"/>
        <v>1.9782608695652173</v>
      </c>
      <c r="E935">
        <f>ROUND(MIN(5,MAX(0,D935))/5*PARAMS_MODELO!$B$32,2)</f>
        <v>15.83</v>
      </c>
      <c r="F935">
        <v>0</v>
      </c>
      <c r="G935">
        <f>MAX(0,PARAMS_MODELO!$B$33-VALUE(TRIM(F935))*3)</f>
        <v>30</v>
      </c>
      <c r="H935">
        <v>0</v>
      </c>
      <c r="I935">
        <f>ROUND(MIN(4,MAX(0,H935))/4*PARAMS_MODELO!$B$34,2)</f>
        <v>0</v>
      </c>
      <c r="J935">
        <v>1</v>
      </c>
      <c r="K935">
        <f>IF(J935=0,0,PARAMS_MODELO!$B$35)</f>
        <v>10</v>
      </c>
      <c r="L935">
        <f t="shared" si="43"/>
        <v>55.83</v>
      </c>
      <c r="M935" t="str">
        <f t="shared" si="44"/>
        <v>Regular</v>
      </c>
      <c r="N935">
        <f>IF(M935=PARAMS_MODELO!$A$36,PARAMS_MODELO!$B$36,IF(M935=PARAMS_MODELO!$A$37,PARAMS_MODELO!$B$37,IF(M935=PARAMS_MODELO!$A$38,PARAMS_MODELO!$B$38,IF(M935=PARAMS_MODELO!$A$39,PARAMS_MODELO!$B$39,IF(M935=PARAMS_MODELO!$A$40,PARAMS_MODELO!$B$40)))))</f>
        <v>1</v>
      </c>
    </row>
    <row r="936" spans="1:14" x14ac:dyDescent="0.3">
      <c r="A936">
        <v>51057031</v>
      </c>
      <c r="B936">
        <v>27</v>
      </c>
      <c r="C936">
        <v>50</v>
      </c>
      <c r="D936">
        <f t="shared" si="42"/>
        <v>0.54</v>
      </c>
      <c r="E936">
        <f>ROUND(MIN(5,MAX(0,D936))/5*PARAMS_MODELO!$B$32,2)</f>
        <v>4.32</v>
      </c>
      <c r="F936">
        <v>0</v>
      </c>
      <c r="G936">
        <f>MAX(0,PARAMS_MODELO!$B$33-VALUE(TRIM(F936))*3)</f>
        <v>30</v>
      </c>
      <c r="H936">
        <v>2</v>
      </c>
      <c r="I936">
        <f>ROUND(MIN(4,MAX(0,H936))/4*PARAMS_MODELO!$B$34,2)</f>
        <v>10</v>
      </c>
      <c r="J936">
        <v>0</v>
      </c>
      <c r="K936">
        <f>IF(J936=0,0,PARAMS_MODELO!$B$35)</f>
        <v>0</v>
      </c>
      <c r="L936">
        <f t="shared" si="43"/>
        <v>44.32</v>
      </c>
      <c r="M936" t="str">
        <f t="shared" si="44"/>
        <v>Regular</v>
      </c>
      <c r="N936">
        <f>IF(M936=PARAMS_MODELO!$A$36,PARAMS_MODELO!$B$36,IF(M936=PARAMS_MODELO!$A$37,PARAMS_MODELO!$B$37,IF(M936=PARAMS_MODELO!$A$38,PARAMS_MODELO!$B$38,IF(M936=PARAMS_MODELO!$A$39,PARAMS_MODELO!$B$39,IF(M936=PARAMS_MODELO!$A$40,PARAMS_MODELO!$B$40)))))</f>
        <v>1</v>
      </c>
    </row>
    <row r="937" spans="1:14" x14ac:dyDescent="0.3">
      <c r="A937">
        <v>51011929</v>
      </c>
      <c r="B937">
        <v>71</v>
      </c>
      <c r="C937">
        <v>72</v>
      </c>
      <c r="D937">
        <f t="shared" si="42"/>
        <v>0.98611111111111116</v>
      </c>
      <c r="E937">
        <f>ROUND(MIN(5,MAX(0,D937))/5*PARAMS_MODELO!$B$32,2)</f>
        <v>7.89</v>
      </c>
      <c r="F937">
        <v>0</v>
      </c>
      <c r="G937">
        <f>MAX(0,PARAMS_MODELO!$B$33-VALUE(TRIM(F937))*3)</f>
        <v>30</v>
      </c>
      <c r="H937">
        <v>1</v>
      </c>
      <c r="I937">
        <f>ROUND(MIN(4,MAX(0,H937))/4*PARAMS_MODELO!$B$34,2)</f>
        <v>5</v>
      </c>
      <c r="J937">
        <v>1</v>
      </c>
      <c r="K937">
        <f>IF(J937=0,0,PARAMS_MODELO!$B$35)</f>
        <v>10</v>
      </c>
      <c r="L937">
        <f t="shared" si="43"/>
        <v>52.89</v>
      </c>
      <c r="M937" t="str">
        <f t="shared" si="44"/>
        <v>Regular</v>
      </c>
      <c r="N937">
        <f>IF(M937=PARAMS_MODELO!$A$36,PARAMS_MODELO!$B$36,IF(M937=PARAMS_MODELO!$A$37,PARAMS_MODELO!$B$37,IF(M937=PARAMS_MODELO!$A$38,PARAMS_MODELO!$B$38,IF(M937=PARAMS_MODELO!$A$39,PARAMS_MODELO!$B$39,IF(M937=PARAMS_MODELO!$A$40,PARAMS_MODELO!$B$40)))))</f>
        <v>1</v>
      </c>
    </row>
    <row r="938" spans="1:14" x14ac:dyDescent="0.3">
      <c r="A938">
        <v>51017773</v>
      </c>
      <c r="B938">
        <v>5</v>
      </c>
      <c r="C938">
        <v>21</v>
      </c>
      <c r="D938">
        <f t="shared" si="42"/>
        <v>0.23809523809523808</v>
      </c>
      <c r="E938">
        <f>ROUND(MIN(5,MAX(0,D938))/5*PARAMS_MODELO!$B$32,2)</f>
        <v>1.9</v>
      </c>
      <c r="F938">
        <v>2</v>
      </c>
      <c r="G938">
        <f>MAX(0,PARAMS_MODELO!$B$33-VALUE(TRIM(F938))*3)</f>
        <v>24</v>
      </c>
      <c r="H938">
        <v>2</v>
      </c>
      <c r="I938">
        <f>ROUND(MIN(4,MAX(0,H938))/4*PARAMS_MODELO!$B$34,2)</f>
        <v>10</v>
      </c>
      <c r="J938">
        <v>1</v>
      </c>
      <c r="K938">
        <f>IF(J938=0,0,PARAMS_MODELO!$B$35)</f>
        <v>10</v>
      </c>
      <c r="L938">
        <f t="shared" si="43"/>
        <v>45.9</v>
      </c>
      <c r="M938" t="str">
        <f t="shared" si="44"/>
        <v>Regular</v>
      </c>
      <c r="N938">
        <f>IF(M938=PARAMS_MODELO!$A$36,PARAMS_MODELO!$B$36,IF(M938=PARAMS_MODELO!$A$37,PARAMS_MODELO!$B$37,IF(M938=PARAMS_MODELO!$A$38,PARAMS_MODELO!$B$38,IF(M938=PARAMS_MODELO!$A$39,PARAMS_MODELO!$B$39,IF(M938=PARAMS_MODELO!$A$40,PARAMS_MODELO!$B$40)))))</f>
        <v>1</v>
      </c>
    </row>
    <row r="939" spans="1:14" x14ac:dyDescent="0.3">
      <c r="A939">
        <v>51003063</v>
      </c>
      <c r="B939">
        <v>6</v>
      </c>
      <c r="C939">
        <v>42</v>
      </c>
      <c r="D939">
        <f t="shared" si="42"/>
        <v>0.14285714285714285</v>
      </c>
      <c r="E939">
        <f>ROUND(MIN(5,MAX(0,D939))/5*PARAMS_MODELO!$B$32,2)</f>
        <v>1.1399999999999999</v>
      </c>
      <c r="F939">
        <v>0</v>
      </c>
      <c r="G939">
        <f>MAX(0,PARAMS_MODELO!$B$33-VALUE(TRIM(F939))*3)</f>
        <v>30</v>
      </c>
      <c r="H939">
        <v>2</v>
      </c>
      <c r="I939">
        <f>ROUND(MIN(4,MAX(0,H939))/4*PARAMS_MODELO!$B$34,2)</f>
        <v>10</v>
      </c>
      <c r="J939">
        <v>1</v>
      </c>
      <c r="K939">
        <f>IF(J939=0,0,PARAMS_MODELO!$B$35)</f>
        <v>10</v>
      </c>
      <c r="L939">
        <f t="shared" si="43"/>
        <v>51.14</v>
      </c>
      <c r="M939" t="str">
        <f t="shared" si="44"/>
        <v>Regular</v>
      </c>
      <c r="N939">
        <f>IF(M939=PARAMS_MODELO!$A$36,PARAMS_MODELO!$B$36,IF(M939=PARAMS_MODELO!$A$37,PARAMS_MODELO!$B$37,IF(M939=PARAMS_MODELO!$A$38,PARAMS_MODELO!$B$38,IF(M939=PARAMS_MODELO!$A$39,PARAMS_MODELO!$B$39,IF(M939=PARAMS_MODELO!$A$40,PARAMS_MODELO!$B$40)))))</f>
        <v>1</v>
      </c>
    </row>
    <row r="940" spans="1:14" x14ac:dyDescent="0.3">
      <c r="A940">
        <v>51022572</v>
      </c>
      <c r="B940">
        <v>13</v>
      </c>
      <c r="C940">
        <v>21</v>
      </c>
      <c r="D940">
        <f t="shared" si="42"/>
        <v>0.61904761904761907</v>
      </c>
      <c r="E940">
        <f>ROUND(MIN(5,MAX(0,D940))/5*PARAMS_MODELO!$B$32,2)</f>
        <v>4.95</v>
      </c>
      <c r="F940">
        <v>0</v>
      </c>
      <c r="G940">
        <f>MAX(0,PARAMS_MODELO!$B$33-VALUE(TRIM(F940))*3)</f>
        <v>30</v>
      </c>
      <c r="H940">
        <v>2</v>
      </c>
      <c r="I940">
        <f>ROUND(MIN(4,MAX(0,H940))/4*PARAMS_MODELO!$B$34,2)</f>
        <v>10</v>
      </c>
      <c r="J940">
        <v>0</v>
      </c>
      <c r="K940">
        <f>IF(J940=0,0,PARAMS_MODELO!$B$35)</f>
        <v>0</v>
      </c>
      <c r="L940">
        <f t="shared" si="43"/>
        <v>44.95</v>
      </c>
      <c r="M940" t="str">
        <f t="shared" si="44"/>
        <v>Regular</v>
      </c>
      <c r="N940">
        <f>IF(M940=PARAMS_MODELO!$A$36,PARAMS_MODELO!$B$36,IF(M940=PARAMS_MODELO!$A$37,PARAMS_MODELO!$B$37,IF(M940=PARAMS_MODELO!$A$38,PARAMS_MODELO!$B$38,IF(M940=PARAMS_MODELO!$A$39,PARAMS_MODELO!$B$39,IF(M940=PARAMS_MODELO!$A$40,PARAMS_MODELO!$B$40)))))</f>
        <v>1</v>
      </c>
    </row>
    <row r="941" spans="1:14" x14ac:dyDescent="0.3">
      <c r="A941">
        <v>51022343</v>
      </c>
      <c r="B941">
        <v>28</v>
      </c>
      <c r="C941">
        <v>78</v>
      </c>
      <c r="D941">
        <f t="shared" si="42"/>
        <v>0.35897435897435898</v>
      </c>
      <c r="E941">
        <f>ROUND(MIN(5,MAX(0,D941))/5*PARAMS_MODELO!$B$32,2)</f>
        <v>2.87</v>
      </c>
      <c r="F941">
        <v>4</v>
      </c>
      <c r="G941">
        <f>MAX(0,PARAMS_MODELO!$B$33-VALUE(TRIM(F941))*3)</f>
        <v>18</v>
      </c>
      <c r="H941">
        <v>1</v>
      </c>
      <c r="I941">
        <f>ROUND(MIN(4,MAX(0,H941))/4*PARAMS_MODELO!$B$34,2)</f>
        <v>5</v>
      </c>
      <c r="J941">
        <v>0</v>
      </c>
      <c r="K941">
        <f>IF(J941=0,0,PARAMS_MODELO!$B$35)</f>
        <v>0</v>
      </c>
      <c r="L941">
        <f t="shared" si="43"/>
        <v>25.87</v>
      </c>
      <c r="M941" t="str">
        <f t="shared" si="44"/>
        <v>Malo</v>
      </c>
      <c r="N941">
        <f>IF(M941=PARAMS_MODELO!$A$36,PARAMS_MODELO!$B$36,IF(M941=PARAMS_MODELO!$A$37,PARAMS_MODELO!$B$37,IF(M941=PARAMS_MODELO!$A$38,PARAMS_MODELO!$B$38,IF(M941=PARAMS_MODELO!$A$39,PARAMS_MODELO!$B$39,IF(M941=PARAMS_MODELO!$A$40,PARAMS_MODELO!$B$40)))))</f>
        <v>0.7</v>
      </c>
    </row>
    <row r="942" spans="1:14" x14ac:dyDescent="0.3">
      <c r="A942">
        <v>51015835</v>
      </c>
      <c r="B942">
        <v>33</v>
      </c>
      <c r="C942">
        <v>74</v>
      </c>
      <c r="D942">
        <f t="shared" si="42"/>
        <v>0.44594594594594594</v>
      </c>
      <c r="E942">
        <f>ROUND(MIN(5,MAX(0,D942))/5*PARAMS_MODELO!$B$32,2)</f>
        <v>3.57</v>
      </c>
      <c r="F942">
        <v>5</v>
      </c>
      <c r="G942">
        <f>MAX(0,PARAMS_MODELO!$B$33-VALUE(TRIM(F942))*3)</f>
        <v>15</v>
      </c>
      <c r="H942">
        <v>3</v>
      </c>
      <c r="I942">
        <f>ROUND(MIN(4,MAX(0,H942))/4*PARAMS_MODELO!$B$34,2)</f>
        <v>15</v>
      </c>
      <c r="J942">
        <v>0</v>
      </c>
      <c r="K942">
        <f>IF(J942=0,0,PARAMS_MODELO!$B$35)</f>
        <v>0</v>
      </c>
      <c r="L942">
        <f t="shared" si="43"/>
        <v>33.57</v>
      </c>
      <c r="M942" t="str">
        <f t="shared" si="44"/>
        <v>Malo</v>
      </c>
      <c r="N942">
        <f>IF(M942=PARAMS_MODELO!$A$36,PARAMS_MODELO!$B$36,IF(M942=PARAMS_MODELO!$A$37,PARAMS_MODELO!$B$37,IF(M942=PARAMS_MODELO!$A$38,PARAMS_MODELO!$B$38,IF(M942=PARAMS_MODELO!$A$39,PARAMS_MODELO!$B$39,IF(M942=PARAMS_MODELO!$A$40,PARAMS_MODELO!$B$40)))))</f>
        <v>0.7</v>
      </c>
    </row>
    <row r="943" spans="1:14" x14ac:dyDescent="0.3">
      <c r="A943">
        <v>51056329</v>
      </c>
      <c r="B943">
        <v>28</v>
      </c>
      <c r="C943">
        <v>24</v>
      </c>
      <c r="D943">
        <f t="shared" si="42"/>
        <v>1.1666666666666667</v>
      </c>
      <c r="E943">
        <f>ROUND(MIN(5,MAX(0,D943))/5*PARAMS_MODELO!$B$32,2)</f>
        <v>9.33</v>
      </c>
      <c r="F943">
        <v>2</v>
      </c>
      <c r="G943">
        <f>MAX(0,PARAMS_MODELO!$B$33-VALUE(TRIM(F943))*3)</f>
        <v>24</v>
      </c>
      <c r="H943">
        <v>2</v>
      </c>
      <c r="I943">
        <f>ROUND(MIN(4,MAX(0,H943))/4*PARAMS_MODELO!$B$34,2)</f>
        <v>10</v>
      </c>
      <c r="J943">
        <v>1</v>
      </c>
      <c r="K943">
        <f>IF(J943=0,0,PARAMS_MODELO!$B$35)</f>
        <v>10</v>
      </c>
      <c r="L943">
        <f t="shared" si="43"/>
        <v>53.33</v>
      </c>
      <c r="M943" t="str">
        <f t="shared" si="44"/>
        <v>Regular</v>
      </c>
      <c r="N943">
        <f>IF(M943=PARAMS_MODELO!$A$36,PARAMS_MODELO!$B$36,IF(M943=PARAMS_MODELO!$A$37,PARAMS_MODELO!$B$37,IF(M943=PARAMS_MODELO!$A$38,PARAMS_MODELO!$B$38,IF(M943=PARAMS_MODELO!$A$39,PARAMS_MODELO!$B$39,IF(M943=PARAMS_MODELO!$A$40,PARAMS_MODELO!$B$40)))))</f>
        <v>1</v>
      </c>
    </row>
    <row r="944" spans="1:14" x14ac:dyDescent="0.3">
      <c r="A944">
        <v>51030915</v>
      </c>
      <c r="B944">
        <v>27</v>
      </c>
      <c r="C944">
        <v>74</v>
      </c>
      <c r="D944">
        <f t="shared" si="42"/>
        <v>0.36486486486486486</v>
      </c>
      <c r="E944">
        <f>ROUND(MIN(5,MAX(0,D944))/5*PARAMS_MODELO!$B$32,2)</f>
        <v>2.92</v>
      </c>
      <c r="F944">
        <v>0</v>
      </c>
      <c r="G944">
        <f>MAX(0,PARAMS_MODELO!$B$33-VALUE(TRIM(F944))*3)</f>
        <v>30</v>
      </c>
      <c r="H944">
        <v>2</v>
      </c>
      <c r="I944">
        <f>ROUND(MIN(4,MAX(0,H944))/4*PARAMS_MODELO!$B$34,2)</f>
        <v>10</v>
      </c>
      <c r="J944">
        <v>0</v>
      </c>
      <c r="K944">
        <f>IF(J944=0,0,PARAMS_MODELO!$B$35)</f>
        <v>0</v>
      </c>
      <c r="L944">
        <f t="shared" si="43"/>
        <v>42.92</v>
      </c>
      <c r="M944" t="str">
        <f t="shared" si="44"/>
        <v>Regular</v>
      </c>
      <c r="N944">
        <f>IF(M944=PARAMS_MODELO!$A$36,PARAMS_MODELO!$B$36,IF(M944=PARAMS_MODELO!$A$37,PARAMS_MODELO!$B$37,IF(M944=PARAMS_MODELO!$A$38,PARAMS_MODELO!$B$38,IF(M944=PARAMS_MODELO!$A$39,PARAMS_MODELO!$B$39,IF(M944=PARAMS_MODELO!$A$40,PARAMS_MODELO!$B$40)))))</f>
        <v>1</v>
      </c>
    </row>
    <row r="945" spans="1:14" x14ac:dyDescent="0.3">
      <c r="A945">
        <v>51017871</v>
      </c>
      <c r="B945">
        <v>52</v>
      </c>
      <c r="C945">
        <v>86</v>
      </c>
      <c r="D945">
        <f t="shared" si="42"/>
        <v>0.60465116279069764</v>
      </c>
      <c r="E945">
        <f>ROUND(MIN(5,MAX(0,D945))/5*PARAMS_MODELO!$B$32,2)</f>
        <v>4.84</v>
      </c>
      <c r="F945">
        <v>0</v>
      </c>
      <c r="G945">
        <f>MAX(0,PARAMS_MODELO!$B$33-VALUE(TRIM(F945))*3)</f>
        <v>30</v>
      </c>
      <c r="H945">
        <v>4</v>
      </c>
      <c r="I945">
        <f>ROUND(MIN(4,MAX(0,H945))/4*PARAMS_MODELO!$B$34,2)</f>
        <v>20</v>
      </c>
      <c r="J945">
        <v>0</v>
      </c>
      <c r="K945">
        <f>IF(J945=0,0,PARAMS_MODELO!$B$35)</f>
        <v>0</v>
      </c>
      <c r="L945">
        <f t="shared" si="43"/>
        <v>54.84</v>
      </c>
      <c r="M945" t="str">
        <f t="shared" si="44"/>
        <v>Regular</v>
      </c>
      <c r="N945">
        <f>IF(M945=PARAMS_MODELO!$A$36,PARAMS_MODELO!$B$36,IF(M945=PARAMS_MODELO!$A$37,PARAMS_MODELO!$B$37,IF(M945=PARAMS_MODELO!$A$38,PARAMS_MODELO!$B$38,IF(M945=PARAMS_MODELO!$A$39,PARAMS_MODELO!$B$39,IF(M945=PARAMS_MODELO!$A$40,PARAMS_MODELO!$B$40)))))</f>
        <v>1</v>
      </c>
    </row>
    <row r="946" spans="1:14" x14ac:dyDescent="0.3">
      <c r="A946">
        <v>51017218</v>
      </c>
      <c r="B946">
        <v>92</v>
      </c>
      <c r="C946">
        <v>15</v>
      </c>
      <c r="D946">
        <f t="shared" si="42"/>
        <v>5</v>
      </c>
      <c r="E946">
        <f>ROUND(MIN(5,MAX(0,D946))/5*PARAMS_MODELO!$B$32,2)</f>
        <v>40</v>
      </c>
      <c r="F946">
        <v>2</v>
      </c>
      <c r="G946">
        <f>MAX(0,PARAMS_MODELO!$B$33-VALUE(TRIM(F946))*3)</f>
        <v>24</v>
      </c>
      <c r="H946">
        <v>1</v>
      </c>
      <c r="I946">
        <f>ROUND(MIN(4,MAX(0,H946))/4*PARAMS_MODELO!$B$34,2)</f>
        <v>5</v>
      </c>
      <c r="J946">
        <v>1</v>
      </c>
      <c r="K946">
        <f>IF(J946=0,0,PARAMS_MODELO!$B$35)</f>
        <v>10</v>
      </c>
      <c r="L946">
        <f t="shared" si="43"/>
        <v>79</v>
      </c>
      <c r="M946" t="str">
        <f t="shared" si="44"/>
        <v>Muy Bueno</v>
      </c>
      <c r="N946">
        <f>IF(M946=PARAMS_MODELO!$A$36,PARAMS_MODELO!$B$36,IF(M946=PARAMS_MODELO!$A$37,PARAMS_MODELO!$B$37,IF(M946=PARAMS_MODELO!$A$38,PARAMS_MODELO!$B$38,IF(M946=PARAMS_MODELO!$A$39,PARAMS_MODELO!$B$39,IF(M946=PARAMS_MODELO!$A$40,PARAMS_MODELO!$B$40)))))</f>
        <v>1.1499999999999999</v>
      </c>
    </row>
    <row r="947" spans="1:14" x14ac:dyDescent="0.3">
      <c r="A947">
        <v>51039025</v>
      </c>
      <c r="B947">
        <v>7</v>
      </c>
      <c r="C947">
        <v>30</v>
      </c>
      <c r="D947">
        <f t="shared" si="42"/>
        <v>0.23333333333333334</v>
      </c>
      <c r="E947">
        <f>ROUND(MIN(5,MAX(0,D947))/5*PARAMS_MODELO!$B$32,2)</f>
        <v>1.87</v>
      </c>
      <c r="F947">
        <v>3</v>
      </c>
      <c r="G947">
        <f>MAX(0,PARAMS_MODELO!$B$33-VALUE(TRIM(F947))*3)</f>
        <v>21</v>
      </c>
      <c r="H947">
        <v>1</v>
      </c>
      <c r="I947">
        <f>ROUND(MIN(4,MAX(0,H947))/4*PARAMS_MODELO!$B$34,2)</f>
        <v>5</v>
      </c>
      <c r="J947">
        <v>0</v>
      </c>
      <c r="K947">
        <f>IF(J947=0,0,PARAMS_MODELO!$B$35)</f>
        <v>0</v>
      </c>
      <c r="L947">
        <f t="shared" si="43"/>
        <v>27.87</v>
      </c>
      <c r="M947" t="str">
        <f t="shared" si="44"/>
        <v>Malo</v>
      </c>
      <c r="N947">
        <f>IF(M947=PARAMS_MODELO!$A$36,PARAMS_MODELO!$B$36,IF(M947=PARAMS_MODELO!$A$37,PARAMS_MODELO!$B$37,IF(M947=PARAMS_MODELO!$A$38,PARAMS_MODELO!$B$38,IF(M947=PARAMS_MODELO!$A$39,PARAMS_MODELO!$B$39,IF(M947=PARAMS_MODELO!$A$40,PARAMS_MODELO!$B$40)))))</f>
        <v>0.7</v>
      </c>
    </row>
    <row r="948" spans="1:14" x14ac:dyDescent="0.3">
      <c r="A948">
        <v>51026497</v>
      </c>
      <c r="B948">
        <v>48</v>
      </c>
      <c r="C948">
        <v>47</v>
      </c>
      <c r="D948">
        <f t="shared" si="42"/>
        <v>1.0212765957446808</v>
      </c>
      <c r="E948">
        <f>ROUND(MIN(5,MAX(0,D948))/5*PARAMS_MODELO!$B$32,2)</f>
        <v>8.17</v>
      </c>
      <c r="F948">
        <v>0</v>
      </c>
      <c r="G948">
        <f>MAX(0,PARAMS_MODELO!$B$33-VALUE(TRIM(F948))*3)</f>
        <v>30</v>
      </c>
      <c r="H948">
        <v>0</v>
      </c>
      <c r="I948">
        <f>ROUND(MIN(4,MAX(0,H948))/4*PARAMS_MODELO!$B$34,2)</f>
        <v>0</v>
      </c>
      <c r="J948">
        <v>0</v>
      </c>
      <c r="K948">
        <f>IF(J948=0,0,PARAMS_MODELO!$B$35)</f>
        <v>0</v>
      </c>
      <c r="L948">
        <f t="shared" si="43"/>
        <v>38.17</v>
      </c>
      <c r="M948" t="str">
        <f t="shared" si="44"/>
        <v>Malo</v>
      </c>
      <c r="N948">
        <f>IF(M948=PARAMS_MODELO!$A$36,PARAMS_MODELO!$B$36,IF(M948=PARAMS_MODELO!$A$37,PARAMS_MODELO!$B$37,IF(M948=PARAMS_MODELO!$A$38,PARAMS_MODELO!$B$38,IF(M948=PARAMS_MODELO!$A$39,PARAMS_MODELO!$B$39,IF(M948=PARAMS_MODELO!$A$40,PARAMS_MODELO!$B$40)))))</f>
        <v>0.7</v>
      </c>
    </row>
    <row r="949" spans="1:14" x14ac:dyDescent="0.3">
      <c r="A949">
        <v>51043693</v>
      </c>
      <c r="B949">
        <v>53</v>
      </c>
      <c r="C949">
        <v>17</v>
      </c>
      <c r="D949">
        <f t="shared" si="42"/>
        <v>3.1176470588235294</v>
      </c>
      <c r="E949">
        <f>ROUND(MIN(5,MAX(0,D949))/5*PARAMS_MODELO!$B$32,2)</f>
        <v>24.94</v>
      </c>
      <c r="F949">
        <v>4</v>
      </c>
      <c r="G949">
        <f>MAX(0,PARAMS_MODELO!$B$33-VALUE(TRIM(F949))*3)</f>
        <v>18</v>
      </c>
      <c r="H949">
        <v>2</v>
      </c>
      <c r="I949">
        <f>ROUND(MIN(4,MAX(0,H949))/4*PARAMS_MODELO!$B$34,2)</f>
        <v>10</v>
      </c>
      <c r="J949">
        <v>1</v>
      </c>
      <c r="K949">
        <f>IF(J949=0,0,PARAMS_MODELO!$B$35)</f>
        <v>10</v>
      </c>
      <c r="L949">
        <f t="shared" si="43"/>
        <v>62.94</v>
      </c>
      <c r="M949" t="str">
        <f t="shared" si="44"/>
        <v>Bueno</v>
      </c>
      <c r="N949">
        <f>IF(M949=PARAMS_MODELO!$A$36,PARAMS_MODELO!$B$36,IF(M949=PARAMS_MODELO!$A$37,PARAMS_MODELO!$B$37,IF(M949=PARAMS_MODELO!$A$38,PARAMS_MODELO!$B$38,IF(M949=PARAMS_MODELO!$A$39,PARAMS_MODELO!$B$39,IF(M949=PARAMS_MODELO!$A$40,PARAMS_MODELO!$B$40)))))</f>
        <v>1.1000000000000001</v>
      </c>
    </row>
    <row r="950" spans="1:14" x14ac:dyDescent="0.3">
      <c r="A950">
        <v>51001532</v>
      </c>
      <c r="B950">
        <v>1</v>
      </c>
      <c r="C950">
        <v>52</v>
      </c>
      <c r="D950">
        <f t="shared" si="42"/>
        <v>1.9230769230769232E-2</v>
      </c>
      <c r="E950">
        <f>ROUND(MIN(5,MAX(0,D950))/5*PARAMS_MODELO!$B$32,2)</f>
        <v>0.15</v>
      </c>
      <c r="F950">
        <v>1</v>
      </c>
      <c r="G950">
        <f>MAX(0,PARAMS_MODELO!$B$33-VALUE(TRIM(F950))*3)</f>
        <v>27</v>
      </c>
      <c r="H950">
        <v>2</v>
      </c>
      <c r="I950">
        <f>ROUND(MIN(4,MAX(0,H950))/4*PARAMS_MODELO!$B$34,2)</f>
        <v>10</v>
      </c>
      <c r="J950">
        <v>0</v>
      </c>
      <c r="K950">
        <f>IF(J950=0,0,PARAMS_MODELO!$B$35)</f>
        <v>0</v>
      </c>
      <c r="L950">
        <f t="shared" si="43"/>
        <v>37.15</v>
      </c>
      <c r="M950" t="str">
        <f t="shared" si="44"/>
        <v>Malo</v>
      </c>
      <c r="N950">
        <f>IF(M950=PARAMS_MODELO!$A$36,PARAMS_MODELO!$B$36,IF(M950=PARAMS_MODELO!$A$37,PARAMS_MODELO!$B$37,IF(M950=PARAMS_MODELO!$A$38,PARAMS_MODELO!$B$38,IF(M950=PARAMS_MODELO!$A$39,PARAMS_MODELO!$B$39,IF(M950=PARAMS_MODELO!$A$40,PARAMS_MODELO!$B$40)))))</f>
        <v>0.7</v>
      </c>
    </row>
    <row r="951" spans="1:14" x14ac:dyDescent="0.3">
      <c r="A951">
        <v>51002709</v>
      </c>
      <c r="B951">
        <v>60</v>
      </c>
      <c r="C951">
        <v>47</v>
      </c>
      <c r="D951">
        <f t="shared" si="42"/>
        <v>1.2765957446808511</v>
      </c>
      <c r="E951">
        <f>ROUND(MIN(5,MAX(0,D951))/5*PARAMS_MODELO!$B$32,2)</f>
        <v>10.210000000000001</v>
      </c>
      <c r="F951">
        <v>0</v>
      </c>
      <c r="G951">
        <f>MAX(0,PARAMS_MODELO!$B$33-VALUE(TRIM(F951))*3)</f>
        <v>30</v>
      </c>
      <c r="H951">
        <v>0</v>
      </c>
      <c r="I951">
        <f>ROUND(MIN(4,MAX(0,H951))/4*PARAMS_MODELO!$B$34,2)</f>
        <v>0</v>
      </c>
      <c r="J951">
        <v>1</v>
      </c>
      <c r="K951">
        <f>IF(J951=0,0,PARAMS_MODELO!$B$35)</f>
        <v>10</v>
      </c>
      <c r="L951">
        <f t="shared" si="43"/>
        <v>50.21</v>
      </c>
      <c r="M951" t="str">
        <f t="shared" si="44"/>
        <v>Regular</v>
      </c>
      <c r="N951">
        <f>IF(M951=PARAMS_MODELO!$A$36,PARAMS_MODELO!$B$36,IF(M951=PARAMS_MODELO!$A$37,PARAMS_MODELO!$B$37,IF(M951=PARAMS_MODELO!$A$38,PARAMS_MODELO!$B$38,IF(M951=PARAMS_MODELO!$A$39,PARAMS_MODELO!$B$39,IF(M951=PARAMS_MODELO!$A$40,PARAMS_MODELO!$B$40)))))</f>
        <v>1</v>
      </c>
    </row>
    <row r="952" spans="1:14" x14ac:dyDescent="0.3">
      <c r="A952">
        <v>51015151</v>
      </c>
      <c r="B952">
        <v>46</v>
      </c>
      <c r="C952">
        <v>88</v>
      </c>
      <c r="D952">
        <f t="shared" si="42"/>
        <v>0.52272727272727271</v>
      </c>
      <c r="E952">
        <f>ROUND(MIN(5,MAX(0,D952))/5*PARAMS_MODELO!$B$32,2)</f>
        <v>4.18</v>
      </c>
      <c r="F952">
        <v>4</v>
      </c>
      <c r="G952">
        <f>MAX(0,PARAMS_MODELO!$B$33-VALUE(TRIM(F952))*3)</f>
        <v>18</v>
      </c>
      <c r="H952">
        <v>2</v>
      </c>
      <c r="I952">
        <f>ROUND(MIN(4,MAX(0,H952))/4*PARAMS_MODELO!$B$34,2)</f>
        <v>10</v>
      </c>
      <c r="J952">
        <v>0</v>
      </c>
      <c r="K952">
        <f>IF(J952=0,0,PARAMS_MODELO!$B$35)</f>
        <v>0</v>
      </c>
      <c r="L952">
        <f t="shared" si="43"/>
        <v>32.18</v>
      </c>
      <c r="M952" t="str">
        <f t="shared" si="44"/>
        <v>Malo</v>
      </c>
      <c r="N952">
        <f>IF(M952=PARAMS_MODELO!$A$36,PARAMS_MODELO!$B$36,IF(M952=PARAMS_MODELO!$A$37,PARAMS_MODELO!$B$37,IF(M952=PARAMS_MODELO!$A$38,PARAMS_MODELO!$B$38,IF(M952=PARAMS_MODELO!$A$39,PARAMS_MODELO!$B$39,IF(M952=PARAMS_MODELO!$A$40,PARAMS_MODELO!$B$40)))))</f>
        <v>0.7</v>
      </c>
    </row>
    <row r="953" spans="1:14" x14ac:dyDescent="0.3">
      <c r="A953">
        <v>51009941</v>
      </c>
      <c r="B953">
        <v>65</v>
      </c>
      <c r="C953">
        <v>58</v>
      </c>
      <c r="D953">
        <f t="shared" si="42"/>
        <v>1.1206896551724137</v>
      </c>
      <c r="E953">
        <f>ROUND(MIN(5,MAX(0,D953))/5*PARAMS_MODELO!$B$32,2)</f>
        <v>8.9700000000000006</v>
      </c>
      <c r="F953">
        <v>1</v>
      </c>
      <c r="G953">
        <f>MAX(0,PARAMS_MODELO!$B$33-VALUE(TRIM(F953))*3)</f>
        <v>27</v>
      </c>
      <c r="H953">
        <v>2</v>
      </c>
      <c r="I953">
        <f>ROUND(MIN(4,MAX(0,H953))/4*PARAMS_MODELO!$B$34,2)</f>
        <v>10</v>
      </c>
      <c r="J953">
        <v>1</v>
      </c>
      <c r="K953">
        <f>IF(J953=0,0,PARAMS_MODELO!$B$35)</f>
        <v>10</v>
      </c>
      <c r="L953">
        <f t="shared" si="43"/>
        <v>55.97</v>
      </c>
      <c r="M953" t="str">
        <f t="shared" si="44"/>
        <v>Regular</v>
      </c>
      <c r="N953">
        <f>IF(M953=PARAMS_MODELO!$A$36,PARAMS_MODELO!$B$36,IF(M953=PARAMS_MODELO!$A$37,PARAMS_MODELO!$B$37,IF(M953=PARAMS_MODELO!$A$38,PARAMS_MODELO!$B$38,IF(M953=PARAMS_MODELO!$A$39,PARAMS_MODELO!$B$39,IF(M953=PARAMS_MODELO!$A$40,PARAMS_MODELO!$B$40)))))</f>
        <v>1</v>
      </c>
    </row>
    <row r="954" spans="1:14" x14ac:dyDescent="0.3">
      <c r="A954">
        <v>51024818</v>
      </c>
      <c r="B954">
        <v>87</v>
      </c>
      <c r="C954">
        <v>66</v>
      </c>
      <c r="D954">
        <f t="shared" si="42"/>
        <v>1.3181818181818181</v>
      </c>
      <c r="E954">
        <f>ROUND(MIN(5,MAX(0,D954))/5*PARAMS_MODELO!$B$32,2)</f>
        <v>10.55</v>
      </c>
      <c r="F954">
        <v>3</v>
      </c>
      <c r="G954">
        <f>MAX(0,PARAMS_MODELO!$B$33-VALUE(TRIM(F954))*3)</f>
        <v>21</v>
      </c>
      <c r="H954">
        <v>1</v>
      </c>
      <c r="I954">
        <f>ROUND(MIN(4,MAX(0,H954))/4*PARAMS_MODELO!$B$34,2)</f>
        <v>5</v>
      </c>
      <c r="J954">
        <v>0</v>
      </c>
      <c r="K954">
        <f>IF(J954=0,0,PARAMS_MODELO!$B$35)</f>
        <v>0</v>
      </c>
      <c r="L954">
        <f t="shared" si="43"/>
        <v>36.549999999999997</v>
      </c>
      <c r="M954" t="str">
        <f t="shared" si="44"/>
        <v>Malo</v>
      </c>
      <c r="N954">
        <f>IF(M954=PARAMS_MODELO!$A$36,PARAMS_MODELO!$B$36,IF(M954=PARAMS_MODELO!$A$37,PARAMS_MODELO!$B$37,IF(M954=PARAMS_MODELO!$A$38,PARAMS_MODELO!$B$38,IF(M954=PARAMS_MODELO!$A$39,PARAMS_MODELO!$B$39,IF(M954=PARAMS_MODELO!$A$40,PARAMS_MODELO!$B$40)))))</f>
        <v>0.7</v>
      </c>
    </row>
    <row r="955" spans="1:14" x14ac:dyDescent="0.3">
      <c r="A955">
        <v>51010523</v>
      </c>
      <c r="B955">
        <v>9</v>
      </c>
      <c r="C955">
        <v>12</v>
      </c>
      <c r="D955">
        <f t="shared" si="42"/>
        <v>0.75</v>
      </c>
      <c r="E955">
        <f>ROUND(MIN(5,MAX(0,D955))/5*PARAMS_MODELO!$B$32,2)</f>
        <v>6</v>
      </c>
      <c r="F955">
        <v>2</v>
      </c>
      <c r="G955">
        <f>MAX(0,PARAMS_MODELO!$B$33-VALUE(TRIM(F955))*3)</f>
        <v>24</v>
      </c>
      <c r="H955">
        <v>2</v>
      </c>
      <c r="I955">
        <f>ROUND(MIN(4,MAX(0,H955))/4*PARAMS_MODELO!$B$34,2)</f>
        <v>10</v>
      </c>
      <c r="J955">
        <v>0</v>
      </c>
      <c r="K955">
        <f>IF(J955=0,0,PARAMS_MODELO!$B$35)</f>
        <v>0</v>
      </c>
      <c r="L955">
        <f t="shared" si="43"/>
        <v>40</v>
      </c>
      <c r="M955" t="str">
        <f t="shared" si="44"/>
        <v>Regular</v>
      </c>
      <c r="N955">
        <f>IF(M955=PARAMS_MODELO!$A$36,PARAMS_MODELO!$B$36,IF(M955=PARAMS_MODELO!$A$37,PARAMS_MODELO!$B$37,IF(M955=PARAMS_MODELO!$A$38,PARAMS_MODELO!$B$38,IF(M955=PARAMS_MODELO!$A$39,PARAMS_MODELO!$B$39,IF(M955=PARAMS_MODELO!$A$40,PARAMS_MODELO!$B$40)))))</f>
        <v>1</v>
      </c>
    </row>
    <row r="956" spans="1:14" x14ac:dyDescent="0.3">
      <c r="A956">
        <v>51000552</v>
      </c>
      <c r="B956">
        <v>30</v>
      </c>
      <c r="C956">
        <v>45</v>
      </c>
      <c r="D956">
        <f t="shared" si="42"/>
        <v>0.66666666666666663</v>
      </c>
      <c r="E956">
        <f>ROUND(MIN(5,MAX(0,D956))/5*PARAMS_MODELO!$B$32,2)</f>
        <v>5.33</v>
      </c>
      <c r="F956">
        <v>5</v>
      </c>
      <c r="G956">
        <f>MAX(0,PARAMS_MODELO!$B$33-VALUE(TRIM(F956))*3)</f>
        <v>15</v>
      </c>
      <c r="H956">
        <v>4</v>
      </c>
      <c r="I956">
        <f>ROUND(MIN(4,MAX(0,H956))/4*PARAMS_MODELO!$B$34,2)</f>
        <v>20</v>
      </c>
      <c r="J956">
        <v>1</v>
      </c>
      <c r="K956">
        <f>IF(J956=0,0,PARAMS_MODELO!$B$35)</f>
        <v>10</v>
      </c>
      <c r="L956">
        <f t="shared" si="43"/>
        <v>50.33</v>
      </c>
      <c r="M956" t="str">
        <f t="shared" si="44"/>
        <v>Regular</v>
      </c>
      <c r="N956">
        <f>IF(M956=PARAMS_MODELO!$A$36,PARAMS_MODELO!$B$36,IF(M956=PARAMS_MODELO!$A$37,PARAMS_MODELO!$B$37,IF(M956=PARAMS_MODELO!$A$38,PARAMS_MODELO!$B$38,IF(M956=PARAMS_MODELO!$A$39,PARAMS_MODELO!$B$39,IF(M956=PARAMS_MODELO!$A$40,PARAMS_MODELO!$B$40)))))</f>
        <v>1</v>
      </c>
    </row>
    <row r="957" spans="1:14" x14ac:dyDescent="0.3">
      <c r="A957">
        <v>51052331</v>
      </c>
      <c r="B957">
        <v>37</v>
      </c>
      <c r="C957">
        <v>49</v>
      </c>
      <c r="D957">
        <f t="shared" si="42"/>
        <v>0.75510204081632648</v>
      </c>
      <c r="E957">
        <f>ROUND(MIN(5,MAX(0,D957))/5*PARAMS_MODELO!$B$32,2)</f>
        <v>6.04</v>
      </c>
      <c r="F957">
        <v>3</v>
      </c>
      <c r="G957">
        <f>MAX(0,PARAMS_MODELO!$B$33-VALUE(TRIM(F957))*3)</f>
        <v>21</v>
      </c>
      <c r="H957">
        <v>3</v>
      </c>
      <c r="I957">
        <f>ROUND(MIN(4,MAX(0,H957))/4*PARAMS_MODELO!$B$34,2)</f>
        <v>15</v>
      </c>
      <c r="J957">
        <v>1</v>
      </c>
      <c r="K957">
        <f>IF(J957=0,0,PARAMS_MODELO!$B$35)</f>
        <v>10</v>
      </c>
      <c r="L957">
        <f t="shared" si="43"/>
        <v>52.04</v>
      </c>
      <c r="M957" t="str">
        <f t="shared" si="44"/>
        <v>Regular</v>
      </c>
      <c r="N957">
        <f>IF(M957=PARAMS_MODELO!$A$36,PARAMS_MODELO!$B$36,IF(M957=PARAMS_MODELO!$A$37,PARAMS_MODELO!$B$37,IF(M957=PARAMS_MODELO!$A$38,PARAMS_MODELO!$B$38,IF(M957=PARAMS_MODELO!$A$39,PARAMS_MODELO!$B$39,IF(M957=PARAMS_MODELO!$A$40,PARAMS_MODELO!$B$40)))))</f>
        <v>1</v>
      </c>
    </row>
    <row r="958" spans="1:14" x14ac:dyDescent="0.3">
      <c r="A958">
        <v>51024460</v>
      </c>
      <c r="B958">
        <v>91</v>
      </c>
      <c r="C958">
        <v>96</v>
      </c>
      <c r="D958">
        <f t="shared" si="42"/>
        <v>0.94791666666666663</v>
      </c>
      <c r="E958">
        <f>ROUND(MIN(5,MAX(0,D958))/5*PARAMS_MODELO!$B$32,2)</f>
        <v>7.58</v>
      </c>
      <c r="F958">
        <v>3</v>
      </c>
      <c r="G958">
        <f>MAX(0,PARAMS_MODELO!$B$33-VALUE(TRIM(F958))*3)</f>
        <v>21</v>
      </c>
      <c r="H958">
        <v>0</v>
      </c>
      <c r="I958">
        <f>ROUND(MIN(4,MAX(0,H958))/4*PARAMS_MODELO!$B$34,2)</f>
        <v>0</v>
      </c>
      <c r="J958">
        <v>1</v>
      </c>
      <c r="K958">
        <f>IF(J958=0,0,PARAMS_MODELO!$B$35)</f>
        <v>10</v>
      </c>
      <c r="L958">
        <f t="shared" si="43"/>
        <v>38.58</v>
      </c>
      <c r="M958" t="str">
        <f t="shared" si="44"/>
        <v>Malo</v>
      </c>
      <c r="N958">
        <f>IF(M958=PARAMS_MODELO!$A$36,PARAMS_MODELO!$B$36,IF(M958=PARAMS_MODELO!$A$37,PARAMS_MODELO!$B$37,IF(M958=PARAMS_MODELO!$A$38,PARAMS_MODELO!$B$38,IF(M958=PARAMS_MODELO!$A$39,PARAMS_MODELO!$B$39,IF(M958=PARAMS_MODELO!$A$40,PARAMS_MODELO!$B$40)))))</f>
        <v>0.7</v>
      </c>
    </row>
    <row r="959" spans="1:14" x14ac:dyDescent="0.3">
      <c r="A959">
        <v>51024885</v>
      </c>
      <c r="B959">
        <v>30</v>
      </c>
      <c r="C959">
        <v>85</v>
      </c>
      <c r="D959">
        <f t="shared" si="42"/>
        <v>0.35294117647058826</v>
      </c>
      <c r="E959">
        <f>ROUND(MIN(5,MAX(0,D959))/5*PARAMS_MODELO!$B$32,2)</f>
        <v>2.82</v>
      </c>
      <c r="F959">
        <v>2</v>
      </c>
      <c r="G959">
        <f>MAX(0,PARAMS_MODELO!$B$33-VALUE(TRIM(F959))*3)</f>
        <v>24</v>
      </c>
      <c r="H959">
        <v>0</v>
      </c>
      <c r="I959">
        <f>ROUND(MIN(4,MAX(0,H959))/4*PARAMS_MODELO!$B$34,2)</f>
        <v>0</v>
      </c>
      <c r="J959">
        <v>0</v>
      </c>
      <c r="K959">
        <f>IF(J959=0,0,PARAMS_MODELO!$B$35)</f>
        <v>0</v>
      </c>
      <c r="L959">
        <f t="shared" si="43"/>
        <v>26.82</v>
      </c>
      <c r="M959" t="str">
        <f t="shared" si="44"/>
        <v>Malo</v>
      </c>
      <c r="N959">
        <f>IF(M959=PARAMS_MODELO!$A$36,PARAMS_MODELO!$B$36,IF(M959=PARAMS_MODELO!$A$37,PARAMS_MODELO!$B$37,IF(M959=PARAMS_MODELO!$A$38,PARAMS_MODELO!$B$38,IF(M959=PARAMS_MODELO!$A$39,PARAMS_MODELO!$B$39,IF(M959=PARAMS_MODELO!$A$40,PARAMS_MODELO!$B$40)))))</f>
        <v>0.7</v>
      </c>
    </row>
    <row r="960" spans="1:14" x14ac:dyDescent="0.3">
      <c r="A960">
        <v>51005554</v>
      </c>
      <c r="B960">
        <v>42</v>
      </c>
      <c r="C960">
        <v>84</v>
      </c>
      <c r="D960">
        <f t="shared" si="42"/>
        <v>0.5</v>
      </c>
      <c r="E960">
        <f>ROUND(MIN(5,MAX(0,D960))/5*PARAMS_MODELO!$B$32,2)</f>
        <v>4</v>
      </c>
      <c r="F960">
        <v>3</v>
      </c>
      <c r="G960">
        <f>MAX(0,PARAMS_MODELO!$B$33-VALUE(TRIM(F960))*3)</f>
        <v>21</v>
      </c>
      <c r="H960">
        <v>1</v>
      </c>
      <c r="I960">
        <f>ROUND(MIN(4,MAX(0,H960))/4*PARAMS_MODELO!$B$34,2)</f>
        <v>5</v>
      </c>
      <c r="J960">
        <v>0</v>
      </c>
      <c r="K960">
        <f>IF(J960=0,0,PARAMS_MODELO!$B$35)</f>
        <v>0</v>
      </c>
      <c r="L960">
        <f t="shared" si="43"/>
        <v>30</v>
      </c>
      <c r="M960" t="str">
        <f t="shared" si="44"/>
        <v>Malo</v>
      </c>
      <c r="N960">
        <f>IF(M960=PARAMS_MODELO!$A$36,PARAMS_MODELO!$B$36,IF(M960=PARAMS_MODELO!$A$37,PARAMS_MODELO!$B$37,IF(M960=PARAMS_MODELO!$A$38,PARAMS_MODELO!$B$38,IF(M960=PARAMS_MODELO!$A$39,PARAMS_MODELO!$B$39,IF(M960=PARAMS_MODELO!$A$40,PARAMS_MODELO!$B$40)))))</f>
        <v>0.7</v>
      </c>
    </row>
    <row r="961" spans="1:14" x14ac:dyDescent="0.3">
      <c r="A961">
        <v>51024478</v>
      </c>
      <c r="B961">
        <v>14</v>
      </c>
      <c r="C961">
        <v>38</v>
      </c>
      <c r="D961">
        <f t="shared" si="42"/>
        <v>0.36842105263157893</v>
      </c>
      <c r="E961">
        <f>ROUND(MIN(5,MAX(0,D961))/5*PARAMS_MODELO!$B$32,2)</f>
        <v>2.95</v>
      </c>
      <c r="F961">
        <v>5</v>
      </c>
      <c r="G961">
        <f>MAX(0,PARAMS_MODELO!$B$33-VALUE(TRIM(F961))*3)</f>
        <v>15</v>
      </c>
      <c r="H961">
        <v>1</v>
      </c>
      <c r="I961">
        <f>ROUND(MIN(4,MAX(0,H961))/4*PARAMS_MODELO!$B$34,2)</f>
        <v>5</v>
      </c>
      <c r="J961">
        <v>1</v>
      </c>
      <c r="K961">
        <f>IF(J961=0,0,PARAMS_MODELO!$B$35)</f>
        <v>10</v>
      </c>
      <c r="L961">
        <f t="shared" si="43"/>
        <v>32.950000000000003</v>
      </c>
      <c r="M961" t="str">
        <f t="shared" si="44"/>
        <v>Malo</v>
      </c>
      <c r="N961">
        <f>IF(M961=PARAMS_MODELO!$A$36,PARAMS_MODELO!$B$36,IF(M961=PARAMS_MODELO!$A$37,PARAMS_MODELO!$B$37,IF(M961=PARAMS_MODELO!$A$38,PARAMS_MODELO!$B$38,IF(M961=PARAMS_MODELO!$A$39,PARAMS_MODELO!$B$39,IF(M961=PARAMS_MODELO!$A$40,PARAMS_MODELO!$B$40)))))</f>
        <v>0.7</v>
      </c>
    </row>
    <row r="962" spans="1:14" x14ac:dyDescent="0.3">
      <c r="A962">
        <v>51012691</v>
      </c>
      <c r="B962">
        <v>83</v>
      </c>
      <c r="C962">
        <v>20</v>
      </c>
      <c r="D962">
        <f t="shared" ref="D962:D1025" si="45">IF(C962=0,0,MIN(5,B962/C962))</f>
        <v>4.1500000000000004</v>
      </c>
      <c r="E962">
        <f>ROUND(MIN(5,MAX(0,D962))/5*PARAMS_MODELO!$B$32,2)</f>
        <v>33.200000000000003</v>
      </c>
      <c r="F962">
        <v>1</v>
      </c>
      <c r="G962">
        <f>MAX(0,PARAMS_MODELO!$B$33-VALUE(TRIM(F962))*3)</f>
        <v>27</v>
      </c>
      <c r="H962">
        <v>4</v>
      </c>
      <c r="I962">
        <f>ROUND(MIN(4,MAX(0,H962))/4*PARAMS_MODELO!$B$34,2)</f>
        <v>20</v>
      </c>
      <c r="J962">
        <v>0</v>
      </c>
      <c r="K962">
        <f>IF(J962=0,0,PARAMS_MODELO!$B$35)</f>
        <v>0</v>
      </c>
      <c r="L962">
        <f t="shared" ref="L962:L1025" si="46">MIN(100,MAX(0,E962+G962+I962+K962))</f>
        <v>80.2</v>
      </c>
      <c r="M962" t="str">
        <f t="shared" ref="M962:M1025" si="47">IF(L962="","",IF(L962&gt;=90,"Excelente",IF(L962&gt;=75,"Muy Bueno",IF(L962&gt;=60,"Bueno",IF(L962&gt;=40,"Regular","Malo")))))</f>
        <v>Muy Bueno</v>
      </c>
      <c r="N962">
        <f>IF(M962=PARAMS_MODELO!$A$36,PARAMS_MODELO!$B$36,IF(M962=PARAMS_MODELO!$A$37,PARAMS_MODELO!$B$37,IF(M962=PARAMS_MODELO!$A$38,PARAMS_MODELO!$B$38,IF(M962=PARAMS_MODELO!$A$39,PARAMS_MODELO!$B$39,IF(M962=PARAMS_MODELO!$A$40,PARAMS_MODELO!$B$40)))))</f>
        <v>1.1499999999999999</v>
      </c>
    </row>
    <row r="963" spans="1:14" x14ac:dyDescent="0.3">
      <c r="A963">
        <v>51015681</v>
      </c>
      <c r="B963">
        <v>18</v>
      </c>
      <c r="C963">
        <v>87</v>
      </c>
      <c r="D963">
        <f t="shared" si="45"/>
        <v>0.20689655172413793</v>
      </c>
      <c r="E963">
        <f>ROUND(MIN(5,MAX(0,D963))/5*PARAMS_MODELO!$B$32,2)</f>
        <v>1.66</v>
      </c>
      <c r="F963">
        <v>4</v>
      </c>
      <c r="G963">
        <f>MAX(0,PARAMS_MODELO!$B$33-VALUE(TRIM(F963))*3)</f>
        <v>18</v>
      </c>
      <c r="H963">
        <v>1</v>
      </c>
      <c r="I963">
        <f>ROUND(MIN(4,MAX(0,H963))/4*PARAMS_MODELO!$B$34,2)</f>
        <v>5</v>
      </c>
      <c r="J963">
        <v>0</v>
      </c>
      <c r="K963">
        <f>IF(J963=0,0,PARAMS_MODELO!$B$35)</f>
        <v>0</v>
      </c>
      <c r="L963">
        <f t="shared" si="46"/>
        <v>24.66</v>
      </c>
      <c r="M963" t="str">
        <f t="shared" si="47"/>
        <v>Malo</v>
      </c>
      <c r="N963">
        <f>IF(M963=PARAMS_MODELO!$A$36,PARAMS_MODELO!$B$36,IF(M963=PARAMS_MODELO!$A$37,PARAMS_MODELO!$B$37,IF(M963=PARAMS_MODELO!$A$38,PARAMS_MODELO!$B$38,IF(M963=PARAMS_MODELO!$A$39,PARAMS_MODELO!$B$39,IF(M963=PARAMS_MODELO!$A$40,PARAMS_MODELO!$B$40)))))</f>
        <v>0.7</v>
      </c>
    </row>
    <row r="964" spans="1:14" x14ac:dyDescent="0.3">
      <c r="A964">
        <v>51019008</v>
      </c>
      <c r="B964">
        <v>36</v>
      </c>
      <c r="C964">
        <v>19</v>
      </c>
      <c r="D964">
        <f t="shared" si="45"/>
        <v>1.8947368421052631</v>
      </c>
      <c r="E964">
        <f>ROUND(MIN(5,MAX(0,D964))/5*PARAMS_MODELO!$B$32,2)</f>
        <v>15.16</v>
      </c>
      <c r="F964">
        <v>1</v>
      </c>
      <c r="G964">
        <f>MAX(0,PARAMS_MODELO!$B$33-VALUE(TRIM(F964))*3)</f>
        <v>27</v>
      </c>
      <c r="H964">
        <v>3</v>
      </c>
      <c r="I964">
        <f>ROUND(MIN(4,MAX(0,H964))/4*PARAMS_MODELO!$B$34,2)</f>
        <v>15</v>
      </c>
      <c r="J964">
        <v>1</v>
      </c>
      <c r="K964">
        <f>IF(J964=0,0,PARAMS_MODELO!$B$35)</f>
        <v>10</v>
      </c>
      <c r="L964">
        <f t="shared" si="46"/>
        <v>67.16</v>
      </c>
      <c r="M964" t="str">
        <f t="shared" si="47"/>
        <v>Bueno</v>
      </c>
      <c r="N964">
        <f>IF(M964=PARAMS_MODELO!$A$36,PARAMS_MODELO!$B$36,IF(M964=PARAMS_MODELO!$A$37,PARAMS_MODELO!$B$37,IF(M964=PARAMS_MODELO!$A$38,PARAMS_MODELO!$B$38,IF(M964=PARAMS_MODELO!$A$39,PARAMS_MODELO!$B$39,IF(M964=PARAMS_MODELO!$A$40,PARAMS_MODELO!$B$40)))))</f>
        <v>1.1000000000000001</v>
      </c>
    </row>
    <row r="965" spans="1:14" x14ac:dyDescent="0.3">
      <c r="A965">
        <v>51015762</v>
      </c>
      <c r="B965">
        <v>83</v>
      </c>
      <c r="C965">
        <v>16</v>
      </c>
      <c r="D965">
        <f t="shared" si="45"/>
        <v>5</v>
      </c>
      <c r="E965">
        <f>ROUND(MIN(5,MAX(0,D965))/5*PARAMS_MODELO!$B$32,2)</f>
        <v>40</v>
      </c>
      <c r="F965">
        <v>0</v>
      </c>
      <c r="G965">
        <f>MAX(0,PARAMS_MODELO!$B$33-VALUE(TRIM(F965))*3)</f>
        <v>30</v>
      </c>
      <c r="H965">
        <v>4</v>
      </c>
      <c r="I965">
        <f>ROUND(MIN(4,MAX(0,H965))/4*PARAMS_MODELO!$B$34,2)</f>
        <v>20</v>
      </c>
      <c r="J965">
        <v>0</v>
      </c>
      <c r="K965">
        <f>IF(J965=0,0,PARAMS_MODELO!$B$35)</f>
        <v>0</v>
      </c>
      <c r="L965">
        <f t="shared" si="46"/>
        <v>90</v>
      </c>
      <c r="M965" t="str">
        <f t="shared" si="47"/>
        <v>Excelente</v>
      </c>
      <c r="N965">
        <f>IF(M965=PARAMS_MODELO!$A$36,PARAMS_MODELO!$B$36,IF(M965=PARAMS_MODELO!$A$37,PARAMS_MODELO!$B$37,IF(M965=PARAMS_MODELO!$A$38,PARAMS_MODELO!$B$38,IF(M965=PARAMS_MODELO!$A$39,PARAMS_MODELO!$B$39,IF(M965=PARAMS_MODELO!$A$40,PARAMS_MODELO!$B$40)))))</f>
        <v>1.2</v>
      </c>
    </row>
    <row r="966" spans="1:14" x14ac:dyDescent="0.3">
      <c r="A966">
        <v>51017714</v>
      </c>
      <c r="B966">
        <v>46</v>
      </c>
      <c r="C966">
        <v>79</v>
      </c>
      <c r="D966">
        <f t="shared" si="45"/>
        <v>0.58227848101265822</v>
      </c>
      <c r="E966">
        <f>ROUND(MIN(5,MAX(0,D966))/5*PARAMS_MODELO!$B$32,2)</f>
        <v>4.66</v>
      </c>
      <c r="F966">
        <v>5</v>
      </c>
      <c r="G966">
        <f>MAX(0,PARAMS_MODELO!$B$33-VALUE(TRIM(F966))*3)</f>
        <v>15</v>
      </c>
      <c r="H966">
        <v>0</v>
      </c>
      <c r="I966">
        <f>ROUND(MIN(4,MAX(0,H966))/4*PARAMS_MODELO!$B$34,2)</f>
        <v>0</v>
      </c>
      <c r="J966">
        <v>1</v>
      </c>
      <c r="K966">
        <f>IF(J966=0,0,PARAMS_MODELO!$B$35)</f>
        <v>10</v>
      </c>
      <c r="L966">
        <f t="shared" si="46"/>
        <v>29.66</v>
      </c>
      <c r="M966" t="str">
        <f t="shared" si="47"/>
        <v>Malo</v>
      </c>
      <c r="N966">
        <f>IF(M966=PARAMS_MODELO!$A$36,PARAMS_MODELO!$B$36,IF(M966=PARAMS_MODELO!$A$37,PARAMS_MODELO!$B$37,IF(M966=PARAMS_MODELO!$A$38,PARAMS_MODELO!$B$38,IF(M966=PARAMS_MODELO!$A$39,PARAMS_MODELO!$B$39,IF(M966=PARAMS_MODELO!$A$40,PARAMS_MODELO!$B$40)))))</f>
        <v>0.7</v>
      </c>
    </row>
    <row r="967" spans="1:14" x14ac:dyDescent="0.3">
      <c r="A967">
        <v>51031997</v>
      </c>
      <c r="B967">
        <v>78</v>
      </c>
      <c r="C967">
        <v>61</v>
      </c>
      <c r="D967">
        <f t="shared" si="45"/>
        <v>1.278688524590164</v>
      </c>
      <c r="E967">
        <f>ROUND(MIN(5,MAX(0,D967))/5*PARAMS_MODELO!$B$32,2)</f>
        <v>10.23</v>
      </c>
      <c r="F967">
        <v>0</v>
      </c>
      <c r="G967">
        <f>MAX(0,PARAMS_MODELO!$B$33-VALUE(TRIM(F967))*3)</f>
        <v>30</v>
      </c>
      <c r="H967">
        <v>2</v>
      </c>
      <c r="I967">
        <f>ROUND(MIN(4,MAX(0,H967))/4*PARAMS_MODELO!$B$34,2)</f>
        <v>10</v>
      </c>
      <c r="J967">
        <v>0</v>
      </c>
      <c r="K967">
        <f>IF(J967=0,0,PARAMS_MODELO!$B$35)</f>
        <v>0</v>
      </c>
      <c r="L967">
        <f t="shared" si="46"/>
        <v>50.230000000000004</v>
      </c>
      <c r="M967" t="str">
        <f t="shared" si="47"/>
        <v>Regular</v>
      </c>
      <c r="N967">
        <f>IF(M967=PARAMS_MODELO!$A$36,PARAMS_MODELO!$B$36,IF(M967=PARAMS_MODELO!$A$37,PARAMS_MODELO!$B$37,IF(M967=PARAMS_MODELO!$A$38,PARAMS_MODELO!$B$38,IF(M967=PARAMS_MODELO!$A$39,PARAMS_MODELO!$B$39,IF(M967=PARAMS_MODELO!$A$40,PARAMS_MODELO!$B$40)))))</f>
        <v>1</v>
      </c>
    </row>
    <row r="968" spans="1:14" x14ac:dyDescent="0.3">
      <c r="A968">
        <v>51039181</v>
      </c>
      <c r="B968">
        <v>70</v>
      </c>
      <c r="C968">
        <v>94</v>
      </c>
      <c r="D968">
        <f t="shared" si="45"/>
        <v>0.74468085106382975</v>
      </c>
      <c r="E968">
        <f>ROUND(MIN(5,MAX(0,D968))/5*PARAMS_MODELO!$B$32,2)</f>
        <v>5.96</v>
      </c>
      <c r="F968">
        <v>5</v>
      </c>
      <c r="G968">
        <f>MAX(0,PARAMS_MODELO!$B$33-VALUE(TRIM(F968))*3)</f>
        <v>15</v>
      </c>
      <c r="H968">
        <v>0</v>
      </c>
      <c r="I968">
        <f>ROUND(MIN(4,MAX(0,H968))/4*PARAMS_MODELO!$B$34,2)</f>
        <v>0</v>
      </c>
      <c r="J968">
        <v>0</v>
      </c>
      <c r="K968">
        <f>IF(J968=0,0,PARAMS_MODELO!$B$35)</f>
        <v>0</v>
      </c>
      <c r="L968">
        <f t="shared" si="46"/>
        <v>20.96</v>
      </c>
      <c r="M968" t="str">
        <f t="shared" si="47"/>
        <v>Malo</v>
      </c>
      <c r="N968">
        <f>IF(M968=PARAMS_MODELO!$A$36,PARAMS_MODELO!$B$36,IF(M968=PARAMS_MODELO!$A$37,PARAMS_MODELO!$B$37,IF(M968=PARAMS_MODELO!$A$38,PARAMS_MODELO!$B$38,IF(M968=PARAMS_MODELO!$A$39,PARAMS_MODELO!$B$39,IF(M968=PARAMS_MODELO!$A$40,PARAMS_MODELO!$B$40)))))</f>
        <v>0.7</v>
      </c>
    </row>
    <row r="969" spans="1:14" x14ac:dyDescent="0.3">
      <c r="A969">
        <v>51057121</v>
      </c>
      <c r="B969">
        <v>61</v>
      </c>
      <c r="C969">
        <v>67</v>
      </c>
      <c r="D969">
        <f t="shared" si="45"/>
        <v>0.91044776119402981</v>
      </c>
      <c r="E969">
        <f>ROUND(MIN(5,MAX(0,D969))/5*PARAMS_MODELO!$B$32,2)</f>
        <v>7.28</v>
      </c>
      <c r="F969">
        <v>1</v>
      </c>
      <c r="G969">
        <f>MAX(0,PARAMS_MODELO!$B$33-VALUE(TRIM(F969))*3)</f>
        <v>27</v>
      </c>
      <c r="H969">
        <v>4</v>
      </c>
      <c r="I969">
        <f>ROUND(MIN(4,MAX(0,H969))/4*PARAMS_MODELO!$B$34,2)</f>
        <v>20</v>
      </c>
      <c r="J969">
        <v>1</v>
      </c>
      <c r="K969">
        <f>IF(J969=0,0,PARAMS_MODELO!$B$35)</f>
        <v>10</v>
      </c>
      <c r="L969">
        <f t="shared" si="46"/>
        <v>64.28</v>
      </c>
      <c r="M969" t="str">
        <f t="shared" si="47"/>
        <v>Bueno</v>
      </c>
      <c r="N969">
        <f>IF(M969=PARAMS_MODELO!$A$36,PARAMS_MODELO!$B$36,IF(M969=PARAMS_MODELO!$A$37,PARAMS_MODELO!$B$37,IF(M969=PARAMS_MODELO!$A$38,PARAMS_MODELO!$B$38,IF(M969=PARAMS_MODELO!$A$39,PARAMS_MODELO!$B$39,IF(M969=PARAMS_MODELO!$A$40,PARAMS_MODELO!$B$40)))))</f>
        <v>1.1000000000000001</v>
      </c>
    </row>
    <row r="970" spans="1:14" x14ac:dyDescent="0.3">
      <c r="A970">
        <v>51018290</v>
      </c>
      <c r="B970">
        <v>32</v>
      </c>
      <c r="C970">
        <v>58</v>
      </c>
      <c r="D970">
        <f t="shared" si="45"/>
        <v>0.55172413793103448</v>
      </c>
      <c r="E970">
        <f>ROUND(MIN(5,MAX(0,D970))/5*PARAMS_MODELO!$B$32,2)</f>
        <v>4.41</v>
      </c>
      <c r="F970">
        <v>3</v>
      </c>
      <c r="G970">
        <f>MAX(0,PARAMS_MODELO!$B$33-VALUE(TRIM(F970))*3)</f>
        <v>21</v>
      </c>
      <c r="H970">
        <v>1</v>
      </c>
      <c r="I970">
        <f>ROUND(MIN(4,MAX(0,H970))/4*PARAMS_MODELO!$B$34,2)</f>
        <v>5</v>
      </c>
      <c r="J970">
        <v>0</v>
      </c>
      <c r="K970">
        <f>IF(J970=0,0,PARAMS_MODELO!$B$35)</f>
        <v>0</v>
      </c>
      <c r="L970">
        <f t="shared" si="46"/>
        <v>30.41</v>
      </c>
      <c r="M970" t="str">
        <f t="shared" si="47"/>
        <v>Malo</v>
      </c>
      <c r="N970">
        <f>IF(M970=PARAMS_MODELO!$A$36,PARAMS_MODELO!$B$36,IF(M970=PARAMS_MODELO!$A$37,PARAMS_MODELO!$B$37,IF(M970=PARAMS_MODELO!$A$38,PARAMS_MODELO!$B$38,IF(M970=PARAMS_MODELO!$A$39,PARAMS_MODELO!$B$39,IF(M970=PARAMS_MODELO!$A$40,PARAMS_MODELO!$B$40)))))</f>
        <v>0.7</v>
      </c>
    </row>
    <row r="971" spans="1:14" x14ac:dyDescent="0.3">
      <c r="A971">
        <v>51043561</v>
      </c>
      <c r="B971">
        <v>2</v>
      </c>
      <c r="C971">
        <v>99</v>
      </c>
      <c r="D971">
        <f t="shared" si="45"/>
        <v>2.0202020202020204E-2</v>
      </c>
      <c r="E971">
        <f>ROUND(MIN(5,MAX(0,D971))/5*PARAMS_MODELO!$B$32,2)</f>
        <v>0.16</v>
      </c>
      <c r="F971">
        <v>3</v>
      </c>
      <c r="G971">
        <f>MAX(0,PARAMS_MODELO!$B$33-VALUE(TRIM(F971))*3)</f>
        <v>21</v>
      </c>
      <c r="H971">
        <v>2</v>
      </c>
      <c r="I971">
        <f>ROUND(MIN(4,MAX(0,H971))/4*PARAMS_MODELO!$B$34,2)</f>
        <v>10</v>
      </c>
      <c r="J971">
        <v>0</v>
      </c>
      <c r="K971">
        <f>IF(J971=0,0,PARAMS_MODELO!$B$35)</f>
        <v>0</v>
      </c>
      <c r="L971">
        <f t="shared" si="46"/>
        <v>31.16</v>
      </c>
      <c r="M971" t="str">
        <f t="shared" si="47"/>
        <v>Malo</v>
      </c>
      <c r="N971">
        <f>IF(M971=PARAMS_MODELO!$A$36,PARAMS_MODELO!$B$36,IF(M971=PARAMS_MODELO!$A$37,PARAMS_MODELO!$B$37,IF(M971=PARAMS_MODELO!$A$38,PARAMS_MODELO!$B$38,IF(M971=PARAMS_MODELO!$A$39,PARAMS_MODELO!$B$39,IF(M971=PARAMS_MODELO!$A$40,PARAMS_MODELO!$B$40)))))</f>
        <v>0.7</v>
      </c>
    </row>
    <row r="972" spans="1:14" x14ac:dyDescent="0.3">
      <c r="A972">
        <v>51036964</v>
      </c>
      <c r="B972">
        <v>84</v>
      </c>
      <c r="C972">
        <v>98</v>
      </c>
      <c r="D972">
        <f t="shared" si="45"/>
        <v>0.8571428571428571</v>
      </c>
      <c r="E972">
        <f>ROUND(MIN(5,MAX(0,D972))/5*PARAMS_MODELO!$B$32,2)</f>
        <v>6.86</v>
      </c>
      <c r="F972">
        <v>5</v>
      </c>
      <c r="G972">
        <f>MAX(0,PARAMS_MODELO!$B$33-VALUE(TRIM(F972))*3)</f>
        <v>15</v>
      </c>
      <c r="H972">
        <v>0</v>
      </c>
      <c r="I972">
        <f>ROUND(MIN(4,MAX(0,H972))/4*PARAMS_MODELO!$B$34,2)</f>
        <v>0</v>
      </c>
      <c r="J972">
        <v>1</v>
      </c>
      <c r="K972">
        <f>IF(J972=0,0,PARAMS_MODELO!$B$35)</f>
        <v>10</v>
      </c>
      <c r="L972">
        <f t="shared" si="46"/>
        <v>31.86</v>
      </c>
      <c r="M972" t="str">
        <f t="shared" si="47"/>
        <v>Malo</v>
      </c>
      <c r="N972">
        <f>IF(M972=PARAMS_MODELO!$A$36,PARAMS_MODELO!$B$36,IF(M972=PARAMS_MODELO!$A$37,PARAMS_MODELO!$B$37,IF(M972=PARAMS_MODELO!$A$38,PARAMS_MODELO!$B$38,IF(M972=PARAMS_MODELO!$A$39,PARAMS_MODELO!$B$39,IF(M972=PARAMS_MODELO!$A$40,PARAMS_MODELO!$B$40)))))</f>
        <v>0.7</v>
      </c>
    </row>
    <row r="973" spans="1:14" x14ac:dyDescent="0.3">
      <c r="A973">
        <v>51030290</v>
      </c>
      <c r="B973">
        <v>51</v>
      </c>
      <c r="C973">
        <v>100</v>
      </c>
      <c r="D973">
        <f t="shared" si="45"/>
        <v>0.51</v>
      </c>
      <c r="E973">
        <f>ROUND(MIN(5,MAX(0,D973))/5*PARAMS_MODELO!$B$32,2)</f>
        <v>4.08</v>
      </c>
      <c r="F973">
        <v>1</v>
      </c>
      <c r="G973">
        <f>MAX(0,PARAMS_MODELO!$B$33-VALUE(TRIM(F973))*3)</f>
        <v>27</v>
      </c>
      <c r="H973">
        <v>4</v>
      </c>
      <c r="I973">
        <f>ROUND(MIN(4,MAX(0,H973))/4*PARAMS_MODELO!$B$34,2)</f>
        <v>20</v>
      </c>
      <c r="J973">
        <v>0</v>
      </c>
      <c r="K973">
        <f>IF(J973=0,0,PARAMS_MODELO!$B$35)</f>
        <v>0</v>
      </c>
      <c r="L973">
        <f t="shared" si="46"/>
        <v>51.08</v>
      </c>
      <c r="M973" t="str">
        <f t="shared" si="47"/>
        <v>Regular</v>
      </c>
      <c r="N973">
        <f>IF(M973=PARAMS_MODELO!$A$36,PARAMS_MODELO!$B$36,IF(M973=PARAMS_MODELO!$A$37,PARAMS_MODELO!$B$37,IF(M973=PARAMS_MODELO!$A$38,PARAMS_MODELO!$B$38,IF(M973=PARAMS_MODELO!$A$39,PARAMS_MODELO!$B$39,IF(M973=PARAMS_MODELO!$A$40,PARAMS_MODELO!$B$40)))))</f>
        <v>1</v>
      </c>
    </row>
    <row r="974" spans="1:14" x14ac:dyDescent="0.3">
      <c r="A974">
        <v>51023331</v>
      </c>
      <c r="B974">
        <v>32</v>
      </c>
      <c r="C974">
        <v>37</v>
      </c>
      <c r="D974">
        <f t="shared" si="45"/>
        <v>0.86486486486486491</v>
      </c>
      <c r="E974">
        <f>ROUND(MIN(5,MAX(0,D974))/5*PARAMS_MODELO!$B$32,2)</f>
        <v>6.92</v>
      </c>
      <c r="F974">
        <v>3</v>
      </c>
      <c r="G974">
        <f>MAX(0,PARAMS_MODELO!$B$33-VALUE(TRIM(F974))*3)</f>
        <v>21</v>
      </c>
      <c r="H974">
        <v>1</v>
      </c>
      <c r="I974">
        <f>ROUND(MIN(4,MAX(0,H974))/4*PARAMS_MODELO!$B$34,2)</f>
        <v>5</v>
      </c>
      <c r="J974">
        <v>0</v>
      </c>
      <c r="K974">
        <f>IF(J974=0,0,PARAMS_MODELO!$B$35)</f>
        <v>0</v>
      </c>
      <c r="L974">
        <f t="shared" si="46"/>
        <v>32.92</v>
      </c>
      <c r="M974" t="str">
        <f t="shared" si="47"/>
        <v>Malo</v>
      </c>
      <c r="N974">
        <f>IF(M974=PARAMS_MODELO!$A$36,PARAMS_MODELO!$B$36,IF(M974=PARAMS_MODELO!$A$37,PARAMS_MODELO!$B$37,IF(M974=PARAMS_MODELO!$A$38,PARAMS_MODELO!$B$38,IF(M974=PARAMS_MODELO!$A$39,PARAMS_MODELO!$B$39,IF(M974=PARAMS_MODELO!$A$40,PARAMS_MODELO!$B$40)))))</f>
        <v>0.7</v>
      </c>
    </row>
    <row r="975" spans="1:14" x14ac:dyDescent="0.3">
      <c r="A975">
        <v>51024010</v>
      </c>
      <c r="B975">
        <v>85</v>
      </c>
      <c r="C975">
        <v>67</v>
      </c>
      <c r="D975">
        <f t="shared" si="45"/>
        <v>1.2686567164179106</v>
      </c>
      <c r="E975">
        <f>ROUND(MIN(5,MAX(0,D975))/5*PARAMS_MODELO!$B$32,2)</f>
        <v>10.15</v>
      </c>
      <c r="F975">
        <v>5</v>
      </c>
      <c r="G975">
        <f>MAX(0,PARAMS_MODELO!$B$33-VALUE(TRIM(F975))*3)</f>
        <v>15</v>
      </c>
      <c r="H975">
        <v>1</v>
      </c>
      <c r="I975">
        <f>ROUND(MIN(4,MAX(0,H975))/4*PARAMS_MODELO!$B$34,2)</f>
        <v>5</v>
      </c>
      <c r="J975">
        <v>1</v>
      </c>
      <c r="K975">
        <f>IF(J975=0,0,PARAMS_MODELO!$B$35)</f>
        <v>10</v>
      </c>
      <c r="L975">
        <f t="shared" si="46"/>
        <v>40.15</v>
      </c>
      <c r="M975" t="str">
        <f t="shared" si="47"/>
        <v>Regular</v>
      </c>
      <c r="N975">
        <f>IF(M975=PARAMS_MODELO!$A$36,PARAMS_MODELO!$B$36,IF(M975=PARAMS_MODELO!$A$37,PARAMS_MODELO!$B$37,IF(M975=PARAMS_MODELO!$A$38,PARAMS_MODELO!$B$38,IF(M975=PARAMS_MODELO!$A$39,PARAMS_MODELO!$B$39,IF(M975=PARAMS_MODELO!$A$40,PARAMS_MODELO!$B$40)))))</f>
        <v>1</v>
      </c>
    </row>
    <row r="976" spans="1:14" x14ac:dyDescent="0.3">
      <c r="A976">
        <v>51024664</v>
      </c>
      <c r="B976">
        <v>71</v>
      </c>
      <c r="C976">
        <v>22</v>
      </c>
      <c r="D976">
        <f t="shared" si="45"/>
        <v>3.2272727272727271</v>
      </c>
      <c r="E976">
        <f>ROUND(MIN(5,MAX(0,D976))/5*PARAMS_MODELO!$B$32,2)</f>
        <v>25.82</v>
      </c>
      <c r="F976">
        <v>0</v>
      </c>
      <c r="G976">
        <f>MAX(0,PARAMS_MODELO!$B$33-VALUE(TRIM(F976))*3)</f>
        <v>30</v>
      </c>
      <c r="H976">
        <v>3</v>
      </c>
      <c r="I976">
        <f>ROUND(MIN(4,MAX(0,H976))/4*PARAMS_MODELO!$B$34,2)</f>
        <v>15</v>
      </c>
      <c r="J976">
        <v>0</v>
      </c>
      <c r="K976">
        <f>IF(J976=0,0,PARAMS_MODELO!$B$35)</f>
        <v>0</v>
      </c>
      <c r="L976">
        <f t="shared" si="46"/>
        <v>70.819999999999993</v>
      </c>
      <c r="M976" t="str">
        <f t="shared" si="47"/>
        <v>Bueno</v>
      </c>
      <c r="N976">
        <f>IF(M976=PARAMS_MODELO!$A$36,PARAMS_MODELO!$B$36,IF(M976=PARAMS_MODELO!$A$37,PARAMS_MODELO!$B$37,IF(M976=PARAMS_MODELO!$A$38,PARAMS_MODELO!$B$38,IF(M976=PARAMS_MODELO!$A$39,PARAMS_MODELO!$B$39,IF(M976=PARAMS_MODELO!$A$40,PARAMS_MODELO!$B$40)))))</f>
        <v>1.1000000000000001</v>
      </c>
    </row>
    <row r="977" spans="1:14" x14ac:dyDescent="0.3">
      <c r="A977">
        <v>51009185</v>
      </c>
      <c r="B977">
        <v>85</v>
      </c>
      <c r="C977">
        <v>4</v>
      </c>
      <c r="D977">
        <f t="shared" si="45"/>
        <v>5</v>
      </c>
      <c r="E977">
        <f>ROUND(MIN(5,MAX(0,D977))/5*PARAMS_MODELO!$B$32,2)</f>
        <v>40</v>
      </c>
      <c r="F977">
        <v>0</v>
      </c>
      <c r="G977">
        <f>MAX(0,PARAMS_MODELO!$B$33-VALUE(TRIM(F977))*3)</f>
        <v>30</v>
      </c>
      <c r="H977">
        <v>2</v>
      </c>
      <c r="I977">
        <f>ROUND(MIN(4,MAX(0,H977))/4*PARAMS_MODELO!$B$34,2)</f>
        <v>10</v>
      </c>
      <c r="J977">
        <v>1</v>
      </c>
      <c r="K977">
        <f>IF(J977=0,0,PARAMS_MODELO!$B$35)</f>
        <v>10</v>
      </c>
      <c r="L977">
        <f t="shared" si="46"/>
        <v>90</v>
      </c>
      <c r="M977" t="str">
        <f t="shared" si="47"/>
        <v>Excelente</v>
      </c>
      <c r="N977">
        <f>IF(M977=PARAMS_MODELO!$A$36,PARAMS_MODELO!$B$36,IF(M977=PARAMS_MODELO!$A$37,PARAMS_MODELO!$B$37,IF(M977=PARAMS_MODELO!$A$38,PARAMS_MODELO!$B$38,IF(M977=PARAMS_MODELO!$A$39,PARAMS_MODELO!$B$39,IF(M977=PARAMS_MODELO!$A$40,PARAMS_MODELO!$B$40)))))</f>
        <v>1.2</v>
      </c>
    </row>
    <row r="978" spans="1:14" x14ac:dyDescent="0.3">
      <c r="A978">
        <v>51039424</v>
      </c>
      <c r="B978">
        <v>29</v>
      </c>
      <c r="C978">
        <v>67</v>
      </c>
      <c r="D978">
        <f t="shared" si="45"/>
        <v>0.43283582089552236</v>
      </c>
      <c r="E978">
        <f>ROUND(MIN(5,MAX(0,D978))/5*PARAMS_MODELO!$B$32,2)</f>
        <v>3.46</v>
      </c>
      <c r="F978">
        <v>4</v>
      </c>
      <c r="G978">
        <f>MAX(0,PARAMS_MODELO!$B$33-VALUE(TRIM(F978))*3)</f>
        <v>18</v>
      </c>
      <c r="H978">
        <v>0</v>
      </c>
      <c r="I978">
        <f>ROUND(MIN(4,MAX(0,H978))/4*PARAMS_MODELO!$B$34,2)</f>
        <v>0</v>
      </c>
      <c r="J978">
        <v>1</v>
      </c>
      <c r="K978">
        <f>IF(J978=0,0,PARAMS_MODELO!$B$35)</f>
        <v>10</v>
      </c>
      <c r="L978">
        <f t="shared" si="46"/>
        <v>31.46</v>
      </c>
      <c r="M978" t="str">
        <f t="shared" si="47"/>
        <v>Malo</v>
      </c>
      <c r="N978">
        <f>IF(M978=PARAMS_MODELO!$A$36,PARAMS_MODELO!$B$36,IF(M978=PARAMS_MODELO!$A$37,PARAMS_MODELO!$B$37,IF(M978=PARAMS_MODELO!$A$38,PARAMS_MODELO!$B$38,IF(M978=PARAMS_MODELO!$A$39,PARAMS_MODELO!$B$39,IF(M978=PARAMS_MODELO!$A$40,PARAMS_MODELO!$B$40)))))</f>
        <v>0.7</v>
      </c>
    </row>
    <row r="979" spans="1:14" x14ac:dyDescent="0.3">
      <c r="A979">
        <v>51038941</v>
      </c>
      <c r="B979">
        <v>9</v>
      </c>
      <c r="C979">
        <v>49</v>
      </c>
      <c r="D979">
        <f t="shared" si="45"/>
        <v>0.18367346938775511</v>
      </c>
      <c r="E979">
        <f>ROUND(MIN(5,MAX(0,D979))/5*PARAMS_MODELO!$B$32,2)</f>
        <v>1.47</v>
      </c>
      <c r="F979">
        <v>2</v>
      </c>
      <c r="G979">
        <f>MAX(0,PARAMS_MODELO!$B$33-VALUE(TRIM(F979))*3)</f>
        <v>24</v>
      </c>
      <c r="H979">
        <v>4</v>
      </c>
      <c r="I979">
        <f>ROUND(MIN(4,MAX(0,H979))/4*PARAMS_MODELO!$B$34,2)</f>
        <v>20</v>
      </c>
      <c r="J979">
        <v>1</v>
      </c>
      <c r="K979">
        <f>IF(J979=0,0,PARAMS_MODELO!$B$35)</f>
        <v>10</v>
      </c>
      <c r="L979">
        <f t="shared" si="46"/>
        <v>55.47</v>
      </c>
      <c r="M979" t="str">
        <f t="shared" si="47"/>
        <v>Regular</v>
      </c>
      <c r="N979">
        <f>IF(M979=PARAMS_MODELO!$A$36,PARAMS_MODELO!$B$36,IF(M979=PARAMS_MODELO!$A$37,PARAMS_MODELO!$B$37,IF(M979=PARAMS_MODELO!$A$38,PARAMS_MODELO!$B$38,IF(M979=PARAMS_MODELO!$A$39,PARAMS_MODELO!$B$39,IF(M979=PARAMS_MODELO!$A$40,PARAMS_MODELO!$B$40)))))</f>
        <v>1</v>
      </c>
    </row>
    <row r="980" spans="1:14" x14ac:dyDescent="0.3">
      <c r="A980">
        <v>51015126</v>
      </c>
      <c r="B980">
        <v>100</v>
      </c>
      <c r="C980">
        <v>0</v>
      </c>
      <c r="D980">
        <f t="shared" si="45"/>
        <v>0</v>
      </c>
      <c r="E980">
        <f>ROUND(MIN(5,MAX(0,D980))/5*PARAMS_MODELO!$B$32,2)</f>
        <v>0</v>
      </c>
      <c r="F980">
        <v>4</v>
      </c>
      <c r="G980">
        <f>MAX(0,PARAMS_MODELO!$B$33-VALUE(TRIM(F980))*3)</f>
        <v>18</v>
      </c>
      <c r="H980">
        <v>0</v>
      </c>
      <c r="I980">
        <f>ROUND(MIN(4,MAX(0,H980))/4*PARAMS_MODELO!$B$34,2)</f>
        <v>0</v>
      </c>
      <c r="J980">
        <v>1</v>
      </c>
      <c r="K980">
        <f>IF(J980=0,0,PARAMS_MODELO!$B$35)</f>
        <v>10</v>
      </c>
      <c r="L980">
        <f t="shared" si="46"/>
        <v>28</v>
      </c>
      <c r="M980" t="str">
        <f t="shared" si="47"/>
        <v>Malo</v>
      </c>
      <c r="N980">
        <f>IF(M980=PARAMS_MODELO!$A$36,PARAMS_MODELO!$B$36,IF(M980=PARAMS_MODELO!$A$37,PARAMS_MODELO!$B$37,IF(M980=PARAMS_MODELO!$A$38,PARAMS_MODELO!$B$38,IF(M980=PARAMS_MODELO!$A$39,PARAMS_MODELO!$B$39,IF(M980=PARAMS_MODELO!$A$40,PARAMS_MODELO!$B$40)))))</f>
        <v>0.7</v>
      </c>
    </row>
    <row r="981" spans="1:14" x14ac:dyDescent="0.3">
      <c r="A981">
        <v>51017234</v>
      </c>
      <c r="B981">
        <v>25</v>
      </c>
      <c r="C981">
        <v>69</v>
      </c>
      <c r="D981">
        <f t="shared" si="45"/>
        <v>0.36231884057971014</v>
      </c>
      <c r="E981">
        <f>ROUND(MIN(5,MAX(0,D981))/5*PARAMS_MODELO!$B$32,2)</f>
        <v>2.9</v>
      </c>
      <c r="F981">
        <v>3</v>
      </c>
      <c r="G981">
        <f>MAX(0,PARAMS_MODELO!$B$33-VALUE(TRIM(F981))*3)</f>
        <v>21</v>
      </c>
      <c r="H981">
        <v>3</v>
      </c>
      <c r="I981">
        <f>ROUND(MIN(4,MAX(0,H981))/4*PARAMS_MODELO!$B$34,2)</f>
        <v>15</v>
      </c>
      <c r="J981">
        <v>0</v>
      </c>
      <c r="K981">
        <f>IF(J981=0,0,PARAMS_MODELO!$B$35)</f>
        <v>0</v>
      </c>
      <c r="L981">
        <f t="shared" si="46"/>
        <v>38.9</v>
      </c>
      <c r="M981" t="str">
        <f t="shared" si="47"/>
        <v>Malo</v>
      </c>
      <c r="N981">
        <f>IF(M981=PARAMS_MODELO!$A$36,PARAMS_MODELO!$B$36,IF(M981=PARAMS_MODELO!$A$37,PARAMS_MODELO!$B$37,IF(M981=PARAMS_MODELO!$A$38,PARAMS_MODELO!$B$38,IF(M981=PARAMS_MODELO!$A$39,PARAMS_MODELO!$B$39,IF(M981=PARAMS_MODELO!$A$40,PARAMS_MODELO!$B$40)))))</f>
        <v>0.7</v>
      </c>
    </row>
    <row r="982" spans="1:14" x14ac:dyDescent="0.3">
      <c r="A982">
        <v>51012852</v>
      </c>
      <c r="B982">
        <v>2</v>
      </c>
      <c r="C982">
        <v>81</v>
      </c>
      <c r="D982">
        <f t="shared" si="45"/>
        <v>2.4691358024691357E-2</v>
      </c>
      <c r="E982">
        <f>ROUND(MIN(5,MAX(0,D982))/5*PARAMS_MODELO!$B$32,2)</f>
        <v>0.2</v>
      </c>
      <c r="F982">
        <v>4</v>
      </c>
      <c r="G982">
        <f>MAX(0,PARAMS_MODELO!$B$33-VALUE(TRIM(F982))*3)</f>
        <v>18</v>
      </c>
      <c r="H982">
        <v>4</v>
      </c>
      <c r="I982">
        <f>ROUND(MIN(4,MAX(0,H982))/4*PARAMS_MODELO!$B$34,2)</f>
        <v>20</v>
      </c>
      <c r="J982">
        <v>0</v>
      </c>
      <c r="K982">
        <f>IF(J982=0,0,PARAMS_MODELO!$B$35)</f>
        <v>0</v>
      </c>
      <c r="L982">
        <f t="shared" si="46"/>
        <v>38.200000000000003</v>
      </c>
      <c r="M982" t="str">
        <f t="shared" si="47"/>
        <v>Malo</v>
      </c>
      <c r="N982">
        <f>IF(M982=PARAMS_MODELO!$A$36,PARAMS_MODELO!$B$36,IF(M982=PARAMS_MODELO!$A$37,PARAMS_MODELO!$B$37,IF(M982=PARAMS_MODELO!$A$38,PARAMS_MODELO!$B$38,IF(M982=PARAMS_MODELO!$A$39,PARAMS_MODELO!$B$39,IF(M982=PARAMS_MODELO!$A$40,PARAMS_MODELO!$B$40)))))</f>
        <v>0.7</v>
      </c>
    </row>
    <row r="983" spans="1:14" x14ac:dyDescent="0.3">
      <c r="A983">
        <v>51010396</v>
      </c>
      <c r="B983">
        <v>20</v>
      </c>
      <c r="C983">
        <v>79</v>
      </c>
      <c r="D983">
        <f t="shared" si="45"/>
        <v>0.25316455696202533</v>
      </c>
      <c r="E983">
        <f>ROUND(MIN(5,MAX(0,D983))/5*PARAMS_MODELO!$B$32,2)</f>
        <v>2.0299999999999998</v>
      </c>
      <c r="F983">
        <v>2</v>
      </c>
      <c r="G983">
        <f>MAX(0,PARAMS_MODELO!$B$33-VALUE(TRIM(F983))*3)</f>
        <v>24</v>
      </c>
      <c r="H983">
        <v>0</v>
      </c>
      <c r="I983">
        <f>ROUND(MIN(4,MAX(0,H983))/4*PARAMS_MODELO!$B$34,2)</f>
        <v>0</v>
      </c>
      <c r="J983">
        <v>0</v>
      </c>
      <c r="K983">
        <f>IF(J983=0,0,PARAMS_MODELO!$B$35)</f>
        <v>0</v>
      </c>
      <c r="L983">
        <f t="shared" si="46"/>
        <v>26.03</v>
      </c>
      <c r="M983" t="str">
        <f t="shared" si="47"/>
        <v>Malo</v>
      </c>
      <c r="N983">
        <f>IF(M983=PARAMS_MODELO!$A$36,PARAMS_MODELO!$B$36,IF(M983=PARAMS_MODELO!$A$37,PARAMS_MODELO!$B$37,IF(M983=PARAMS_MODELO!$A$38,PARAMS_MODELO!$B$38,IF(M983=PARAMS_MODELO!$A$39,PARAMS_MODELO!$B$39,IF(M983=PARAMS_MODELO!$A$40,PARAMS_MODELO!$B$40)))))</f>
        <v>0.7</v>
      </c>
    </row>
    <row r="984" spans="1:14" x14ac:dyDescent="0.3">
      <c r="A984">
        <v>51022629</v>
      </c>
      <c r="B984">
        <v>78</v>
      </c>
      <c r="C984">
        <v>46</v>
      </c>
      <c r="D984">
        <f t="shared" si="45"/>
        <v>1.6956521739130435</v>
      </c>
      <c r="E984">
        <f>ROUND(MIN(5,MAX(0,D984))/5*PARAMS_MODELO!$B$32,2)</f>
        <v>13.57</v>
      </c>
      <c r="F984">
        <v>3</v>
      </c>
      <c r="G984">
        <f>MAX(0,PARAMS_MODELO!$B$33-VALUE(TRIM(F984))*3)</f>
        <v>21</v>
      </c>
      <c r="H984">
        <v>4</v>
      </c>
      <c r="I984">
        <f>ROUND(MIN(4,MAX(0,H984))/4*PARAMS_MODELO!$B$34,2)</f>
        <v>20</v>
      </c>
      <c r="J984">
        <v>1</v>
      </c>
      <c r="K984">
        <f>IF(J984=0,0,PARAMS_MODELO!$B$35)</f>
        <v>10</v>
      </c>
      <c r="L984">
        <f t="shared" si="46"/>
        <v>64.569999999999993</v>
      </c>
      <c r="M984" t="str">
        <f t="shared" si="47"/>
        <v>Bueno</v>
      </c>
      <c r="N984">
        <f>IF(M984=PARAMS_MODELO!$A$36,PARAMS_MODELO!$B$36,IF(M984=PARAMS_MODELO!$A$37,PARAMS_MODELO!$B$37,IF(M984=PARAMS_MODELO!$A$38,PARAMS_MODELO!$B$38,IF(M984=PARAMS_MODELO!$A$39,PARAMS_MODELO!$B$39,IF(M984=PARAMS_MODELO!$A$40,PARAMS_MODELO!$B$40)))))</f>
        <v>1.1000000000000001</v>
      </c>
    </row>
    <row r="985" spans="1:14" x14ac:dyDescent="0.3">
      <c r="A985">
        <v>51021274</v>
      </c>
      <c r="B985">
        <v>69</v>
      </c>
      <c r="C985">
        <v>82</v>
      </c>
      <c r="D985">
        <f t="shared" si="45"/>
        <v>0.84146341463414631</v>
      </c>
      <c r="E985">
        <f>ROUND(MIN(5,MAX(0,D985))/5*PARAMS_MODELO!$B$32,2)</f>
        <v>6.73</v>
      </c>
      <c r="F985">
        <v>0</v>
      </c>
      <c r="G985">
        <f>MAX(0,PARAMS_MODELO!$B$33-VALUE(TRIM(F985))*3)</f>
        <v>30</v>
      </c>
      <c r="H985">
        <v>4</v>
      </c>
      <c r="I985">
        <f>ROUND(MIN(4,MAX(0,H985))/4*PARAMS_MODELO!$B$34,2)</f>
        <v>20</v>
      </c>
      <c r="J985">
        <v>1</v>
      </c>
      <c r="K985">
        <f>IF(J985=0,0,PARAMS_MODELO!$B$35)</f>
        <v>10</v>
      </c>
      <c r="L985">
        <f t="shared" si="46"/>
        <v>66.73</v>
      </c>
      <c r="M985" t="str">
        <f t="shared" si="47"/>
        <v>Bueno</v>
      </c>
      <c r="N985">
        <f>IF(M985=PARAMS_MODELO!$A$36,PARAMS_MODELO!$B$36,IF(M985=PARAMS_MODELO!$A$37,PARAMS_MODELO!$B$37,IF(M985=PARAMS_MODELO!$A$38,PARAMS_MODELO!$B$38,IF(M985=PARAMS_MODELO!$A$39,PARAMS_MODELO!$B$39,IF(M985=PARAMS_MODELO!$A$40,PARAMS_MODELO!$B$40)))))</f>
        <v>1.1000000000000001</v>
      </c>
    </row>
    <row r="986" spans="1:14" x14ac:dyDescent="0.3">
      <c r="A986">
        <v>51021819</v>
      </c>
      <c r="B986">
        <v>63</v>
      </c>
      <c r="C986">
        <v>48</v>
      </c>
      <c r="D986">
        <f t="shared" si="45"/>
        <v>1.3125</v>
      </c>
      <c r="E986">
        <f>ROUND(MIN(5,MAX(0,D986))/5*PARAMS_MODELO!$B$32,2)</f>
        <v>10.5</v>
      </c>
      <c r="F986">
        <v>1</v>
      </c>
      <c r="G986">
        <f>MAX(0,PARAMS_MODELO!$B$33-VALUE(TRIM(F986))*3)</f>
        <v>27</v>
      </c>
      <c r="H986">
        <v>0</v>
      </c>
      <c r="I986">
        <f>ROUND(MIN(4,MAX(0,H986))/4*PARAMS_MODELO!$B$34,2)</f>
        <v>0</v>
      </c>
      <c r="J986">
        <v>0</v>
      </c>
      <c r="K986">
        <f>IF(J986=0,0,PARAMS_MODELO!$B$35)</f>
        <v>0</v>
      </c>
      <c r="L986">
        <f t="shared" si="46"/>
        <v>37.5</v>
      </c>
      <c r="M986" t="str">
        <f t="shared" si="47"/>
        <v>Malo</v>
      </c>
      <c r="N986">
        <f>IF(M986=PARAMS_MODELO!$A$36,PARAMS_MODELO!$B$36,IF(M986=PARAMS_MODELO!$A$37,PARAMS_MODELO!$B$37,IF(M986=PARAMS_MODELO!$A$38,PARAMS_MODELO!$B$38,IF(M986=PARAMS_MODELO!$A$39,PARAMS_MODELO!$B$39,IF(M986=PARAMS_MODELO!$A$40,PARAMS_MODELO!$B$40)))))</f>
        <v>0.7</v>
      </c>
    </row>
    <row r="987" spans="1:14" x14ac:dyDescent="0.3">
      <c r="A987">
        <v>51011171</v>
      </c>
      <c r="B987">
        <v>24</v>
      </c>
      <c r="C987">
        <v>0</v>
      </c>
      <c r="D987">
        <f t="shared" si="45"/>
        <v>0</v>
      </c>
      <c r="E987">
        <f>ROUND(MIN(5,MAX(0,D987))/5*PARAMS_MODELO!$B$32,2)</f>
        <v>0</v>
      </c>
      <c r="F987">
        <v>5</v>
      </c>
      <c r="G987">
        <f>MAX(0,PARAMS_MODELO!$B$33-VALUE(TRIM(F987))*3)</f>
        <v>15</v>
      </c>
      <c r="H987">
        <v>0</v>
      </c>
      <c r="I987">
        <f>ROUND(MIN(4,MAX(0,H987))/4*PARAMS_MODELO!$B$34,2)</f>
        <v>0</v>
      </c>
      <c r="J987">
        <v>1</v>
      </c>
      <c r="K987">
        <f>IF(J987=0,0,PARAMS_MODELO!$B$35)</f>
        <v>10</v>
      </c>
      <c r="L987">
        <f t="shared" si="46"/>
        <v>25</v>
      </c>
      <c r="M987" t="str">
        <f t="shared" si="47"/>
        <v>Malo</v>
      </c>
      <c r="N987">
        <f>IF(M987=PARAMS_MODELO!$A$36,PARAMS_MODELO!$B$36,IF(M987=PARAMS_MODELO!$A$37,PARAMS_MODELO!$B$37,IF(M987=PARAMS_MODELO!$A$38,PARAMS_MODELO!$B$38,IF(M987=PARAMS_MODELO!$A$39,PARAMS_MODELO!$B$39,IF(M987=PARAMS_MODELO!$A$40,PARAMS_MODELO!$B$40)))))</f>
        <v>0.7</v>
      </c>
    </row>
    <row r="988" spans="1:14" x14ac:dyDescent="0.3">
      <c r="A988">
        <v>51012470</v>
      </c>
      <c r="B988">
        <v>11</v>
      </c>
      <c r="C988">
        <v>84</v>
      </c>
      <c r="D988">
        <f t="shared" si="45"/>
        <v>0.13095238095238096</v>
      </c>
      <c r="E988">
        <f>ROUND(MIN(5,MAX(0,D988))/5*PARAMS_MODELO!$B$32,2)</f>
        <v>1.05</v>
      </c>
      <c r="F988">
        <v>3</v>
      </c>
      <c r="G988">
        <f>MAX(0,PARAMS_MODELO!$B$33-VALUE(TRIM(F988))*3)</f>
        <v>21</v>
      </c>
      <c r="H988">
        <v>4</v>
      </c>
      <c r="I988">
        <f>ROUND(MIN(4,MAX(0,H988))/4*PARAMS_MODELO!$B$34,2)</f>
        <v>20</v>
      </c>
      <c r="J988">
        <v>0</v>
      </c>
      <c r="K988">
        <f>IF(J988=0,0,PARAMS_MODELO!$B$35)</f>
        <v>0</v>
      </c>
      <c r="L988">
        <f t="shared" si="46"/>
        <v>42.05</v>
      </c>
      <c r="M988" t="str">
        <f t="shared" si="47"/>
        <v>Regular</v>
      </c>
      <c r="N988">
        <f>IF(M988=PARAMS_MODELO!$A$36,PARAMS_MODELO!$B$36,IF(M988=PARAMS_MODELO!$A$37,PARAMS_MODELO!$B$37,IF(M988=PARAMS_MODELO!$A$38,PARAMS_MODELO!$B$38,IF(M988=PARAMS_MODELO!$A$39,PARAMS_MODELO!$B$39,IF(M988=PARAMS_MODELO!$A$40,PARAMS_MODELO!$B$40)))))</f>
        <v>1</v>
      </c>
    </row>
    <row r="989" spans="1:14" x14ac:dyDescent="0.3">
      <c r="A989">
        <v>51032713</v>
      </c>
      <c r="B989">
        <v>37</v>
      </c>
      <c r="C989">
        <v>9</v>
      </c>
      <c r="D989">
        <f t="shared" si="45"/>
        <v>4.1111111111111107</v>
      </c>
      <c r="E989">
        <f>ROUND(MIN(5,MAX(0,D989))/5*PARAMS_MODELO!$B$32,2)</f>
        <v>32.89</v>
      </c>
      <c r="F989">
        <v>5</v>
      </c>
      <c r="G989">
        <f>MAX(0,PARAMS_MODELO!$B$33-VALUE(TRIM(F989))*3)</f>
        <v>15</v>
      </c>
      <c r="H989">
        <v>4</v>
      </c>
      <c r="I989">
        <f>ROUND(MIN(4,MAX(0,H989))/4*PARAMS_MODELO!$B$34,2)</f>
        <v>20</v>
      </c>
      <c r="J989">
        <v>0</v>
      </c>
      <c r="K989">
        <f>IF(J989=0,0,PARAMS_MODELO!$B$35)</f>
        <v>0</v>
      </c>
      <c r="L989">
        <f t="shared" si="46"/>
        <v>67.89</v>
      </c>
      <c r="M989" t="str">
        <f t="shared" si="47"/>
        <v>Bueno</v>
      </c>
      <c r="N989">
        <f>IF(M989=PARAMS_MODELO!$A$36,PARAMS_MODELO!$B$36,IF(M989=PARAMS_MODELO!$A$37,PARAMS_MODELO!$B$37,IF(M989=PARAMS_MODELO!$A$38,PARAMS_MODELO!$B$38,IF(M989=PARAMS_MODELO!$A$39,PARAMS_MODELO!$B$39,IF(M989=PARAMS_MODELO!$A$40,PARAMS_MODELO!$B$40)))))</f>
        <v>1.1000000000000001</v>
      </c>
    </row>
    <row r="990" spans="1:14" x14ac:dyDescent="0.3">
      <c r="A990">
        <v>51010744</v>
      </c>
      <c r="B990">
        <v>29</v>
      </c>
      <c r="C990">
        <v>69</v>
      </c>
      <c r="D990">
        <f t="shared" si="45"/>
        <v>0.42028985507246375</v>
      </c>
      <c r="E990">
        <f>ROUND(MIN(5,MAX(0,D990))/5*PARAMS_MODELO!$B$32,2)</f>
        <v>3.36</v>
      </c>
      <c r="F990">
        <v>2</v>
      </c>
      <c r="G990">
        <f>MAX(0,PARAMS_MODELO!$B$33-VALUE(TRIM(F990))*3)</f>
        <v>24</v>
      </c>
      <c r="H990">
        <v>4</v>
      </c>
      <c r="I990">
        <f>ROUND(MIN(4,MAX(0,H990))/4*PARAMS_MODELO!$B$34,2)</f>
        <v>20</v>
      </c>
      <c r="J990">
        <v>1</v>
      </c>
      <c r="K990">
        <f>IF(J990=0,0,PARAMS_MODELO!$B$35)</f>
        <v>10</v>
      </c>
      <c r="L990">
        <f t="shared" si="46"/>
        <v>57.36</v>
      </c>
      <c r="M990" t="str">
        <f t="shared" si="47"/>
        <v>Regular</v>
      </c>
      <c r="N990">
        <f>IF(M990=PARAMS_MODELO!$A$36,PARAMS_MODELO!$B$36,IF(M990=PARAMS_MODELO!$A$37,PARAMS_MODELO!$B$37,IF(M990=PARAMS_MODELO!$A$38,PARAMS_MODELO!$B$38,IF(M990=PARAMS_MODELO!$A$39,PARAMS_MODELO!$B$39,IF(M990=PARAMS_MODELO!$A$40,PARAMS_MODELO!$B$40)))))</f>
        <v>1</v>
      </c>
    </row>
    <row r="991" spans="1:14" x14ac:dyDescent="0.3">
      <c r="A991">
        <v>51057546</v>
      </c>
      <c r="B991">
        <v>83</v>
      </c>
      <c r="C991">
        <v>49</v>
      </c>
      <c r="D991">
        <f t="shared" si="45"/>
        <v>1.6938775510204083</v>
      </c>
      <c r="E991">
        <f>ROUND(MIN(5,MAX(0,D991))/5*PARAMS_MODELO!$B$32,2)</f>
        <v>13.55</v>
      </c>
      <c r="F991">
        <v>1</v>
      </c>
      <c r="G991">
        <f>MAX(0,PARAMS_MODELO!$B$33-VALUE(TRIM(F991))*3)</f>
        <v>27</v>
      </c>
      <c r="H991">
        <v>3</v>
      </c>
      <c r="I991">
        <f>ROUND(MIN(4,MAX(0,H991))/4*PARAMS_MODELO!$B$34,2)</f>
        <v>15</v>
      </c>
      <c r="J991">
        <v>0</v>
      </c>
      <c r="K991">
        <f>IF(J991=0,0,PARAMS_MODELO!$B$35)</f>
        <v>0</v>
      </c>
      <c r="L991">
        <f t="shared" si="46"/>
        <v>55.55</v>
      </c>
      <c r="M991" t="str">
        <f t="shared" si="47"/>
        <v>Regular</v>
      </c>
      <c r="N991">
        <f>IF(M991=PARAMS_MODELO!$A$36,PARAMS_MODELO!$B$36,IF(M991=PARAMS_MODELO!$A$37,PARAMS_MODELO!$B$37,IF(M991=PARAMS_MODELO!$A$38,PARAMS_MODELO!$B$38,IF(M991=PARAMS_MODELO!$A$39,PARAMS_MODELO!$B$39,IF(M991=PARAMS_MODELO!$A$40,PARAMS_MODELO!$B$40)))))</f>
        <v>1</v>
      </c>
    </row>
    <row r="992" spans="1:14" x14ac:dyDescent="0.3">
      <c r="A992">
        <v>51023889</v>
      </c>
      <c r="B992">
        <v>19</v>
      </c>
      <c r="C992">
        <v>11</v>
      </c>
      <c r="D992">
        <f t="shared" si="45"/>
        <v>1.7272727272727273</v>
      </c>
      <c r="E992">
        <f>ROUND(MIN(5,MAX(0,D992))/5*PARAMS_MODELO!$B$32,2)</f>
        <v>13.82</v>
      </c>
      <c r="F992">
        <v>5</v>
      </c>
      <c r="G992">
        <f>MAX(0,PARAMS_MODELO!$B$33-VALUE(TRIM(F992))*3)</f>
        <v>15</v>
      </c>
      <c r="H992">
        <v>0</v>
      </c>
      <c r="I992">
        <f>ROUND(MIN(4,MAX(0,H992))/4*PARAMS_MODELO!$B$34,2)</f>
        <v>0</v>
      </c>
      <c r="J992">
        <v>0</v>
      </c>
      <c r="K992">
        <f>IF(J992=0,0,PARAMS_MODELO!$B$35)</f>
        <v>0</v>
      </c>
      <c r="L992">
        <f t="shared" si="46"/>
        <v>28.82</v>
      </c>
      <c r="M992" t="str">
        <f t="shared" si="47"/>
        <v>Malo</v>
      </c>
      <c r="N992">
        <f>IF(M992=PARAMS_MODELO!$A$36,PARAMS_MODELO!$B$36,IF(M992=PARAMS_MODELO!$A$37,PARAMS_MODELO!$B$37,IF(M992=PARAMS_MODELO!$A$38,PARAMS_MODELO!$B$38,IF(M992=PARAMS_MODELO!$A$39,PARAMS_MODELO!$B$39,IF(M992=PARAMS_MODELO!$A$40,PARAMS_MODELO!$B$40)))))</f>
        <v>0.7</v>
      </c>
    </row>
    <row r="993" spans="1:14" x14ac:dyDescent="0.3">
      <c r="A993">
        <v>51031041</v>
      </c>
      <c r="B993">
        <v>99</v>
      </c>
      <c r="C993">
        <v>92</v>
      </c>
      <c r="D993">
        <f t="shared" si="45"/>
        <v>1.076086956521739</v>
      </c>
      <c r="E993">
        <f>ROUND(MIN(5,MAX(0,D993))/5*PARAMS_MODELO!$B$32,2)</f>
        <v>8.61</v>
      </c>
      <c r="F993">
        <v>5</v>
      </c>
      <c r="G993">
        <f>MAX(0,PARAMS_MODELO!$B$33-VALUE(TRIM(F993))*3)</f>
        <v>15</v>
      </c>
      <c r="H993">
        <v>2</v>
      </c>
      <c r="I993">
        <f>ROUND(MIN(4,MAX(0,H993))/4*PARAMS_MODELO!$B$34,2)</f>
        <v>10</v>
      </c>
      <c r="J993">
        <v>1</v>
      </c>
      <c r="K993">
        <f>IF(J993=0,0,PARAMS_MODELO!$B$35)</f>
        <v>10</v>
      </c>
      <c r="L993">
        <f t="shared" si="46"/>
        <v>43.61</v>
      </c>
      <c r="M993" t="str">
        <f t="shared" si="47"/>
        <v>Regular</v>
      </c>
      <c r="N993">
        <f>IF(M993=PARAMS_MODELO!$A$36,PARAMS_MODELO!$B$36,IF(M993=PARAMS_MODELO!$A$37,PARAMS_MODELO!$B$37,IF(M993=PARAMS_MODELO!$A$38,PARAMS_MODELO!$B$38,IF(M993=PARAMS_MODELO!$A$39,PARAMS_MODELO!$B$39,IF(M993=PARAMS_MODELO!$A$40,PARAMS_MODELO!$B$40)))))</f>
        <v>1</v>
      </c>
    </row>
    <row r="994" spans="1:14" x14ac:dyDescent="0.3">
      <c r="A994">
        <v>51022262</v>
      </c>
      <c r="B994">
        <v>75</v>
      </c>
      <c r="C994">
        <v>90</v>
      </c>
      <c r="D994">
        <f t="shared" si="45"/>
        <v>0.83333333333333337</v>
      </c>
      <c r="E994">
        <f>ROUND(MIN(5,MAX(0,D994))/5*PARAMS_MODELO!$B$32,2)</f>
        <v>6.67</v>
      </c>
      <c r="F994">
        <v>3</v>
      </c>
      <c r="G994">
        <f>MAX(0,PARAMS_MODELO!$B$33-VALUE(TRIM(F994))*3)</f>
        <v>21</v>
      </c>
      <c r="H994">
        <v>0</v>
      </c>
      <c r="I994">
        <f>ROUND(MIN(4,MAX(0,H994))/4*PARAMS_MODELO!$B$34,2)</f>
        <v>0</v>
      </c>
      <c r="J994">
        <v>1</v>
      </c>
      <c r="K994">
        <f>IF(J994=0,0,PARAMS_MODELO!$B$35)</f>
        <v>10</v>
      </c>
      <c r="L994">
        <f t="shared" si="46"/>
        <v>37.67</v>
      </c>
      <c r="M994" t="str">
        <f t="shared" si="47"/>
        <v>Malo</v>
      </c>
      <c r="N994">
        <f>IF(M994=PARAMS_MODELO!$A$36,PARAMS_MODELO!$B$36,IF(M994=PARAMS_MODELO!$A$37,PARAMS_MODELO!$B$37,IF(M994=PARAMS_MODELO!$A$38,PARAMS_MODELO!$B$38,IF(M994=PARAMS_MODELO!$A$39,PARAMS_MODELO!$B$39,IF(M994=PARAMS_MODELO!$A$40,PARAMS_MODELO!$B$40)))))</f>
        <v>0.7</v>
      </c>
    </row>
    <row r="995" spans="1:14" x14ac:dyDescent="0.3">
      <c r="A995">
        <v>51017731</v>
      </c>
      <c r="B995">
        <v>94</v>
      </c>
      <c r="C995">
        <v>48</v>
      </c>
      <c r="D995">
        <f t="shared" si="45"/>
        <v>1.9583333333333333</v>
      </c>
      <c r="E995">
        <f>ROUND(MIN(5,MAX(0,D995))/5*PARAMS_MODELO!$B$32,2)</f>
        <v>15.67</v>
      </c>
      <c r="F995">
        <v>3</v>
      </c>
      <c r="G995">
        <f>MAX(0,PARAMS_MODELO!$B$33-VALUE(TRIM(F995))*3)</f>
        <v>21</v>
      </c>
      <c r="H995">
        <v>0</v>
      </c>
      <c r="I995">
        <f>ROUND(MIN(4,MAX(0,H995))/4*PARAMS_MODELO!$B$34,2)</f>
        <v>0</v>
      </c>
      <c r="J995">
        <v>0</v>
      </c>
      <c r="K995">
        <f>IF(J995=0,0,PARAMS_MODELO!$B$35)</f>
        <v>0</v>
      </c>
      <c r="L995">
        <f t="shared" si="46"/>
        <v>36.67</v>
      </c>
      <c r="M995" t="str">
        <f t="shared" si="47"/>
        <v>Malo</v>
      </c>
      <c r="N995">
        <f>IF(M995=PARAMS_MODELO!$A$36,PARAMS_MODELO!$B$36,IF(M995=PARAMS_MODELO!$A$37,PARAMS_MODELO!$B$37,IF(M995=PARAMS_MODELO!$A$38,PARAMS_MODELO!$B$38,IF(M995=PARAMS_MODELO!$A$39,PARAMS_MODELO!$B$39,IF(M995=PARAMS_MODELO!$A$40,PARAMS_MODELO!$B$40)))))</f>
        <v>0.7</v>
      </c>
    </row>
    <row r="996" spans="1:14" x14ac:dyDescent="0.3">
      <c r="A996">
        <v>51000269</v>
      </c>
      <c r="B996">
        <v>2</v>
      </c>
      <c r="C996">
        <v>26</v>
      </c>
      <c r="D996">
        <f t="shared" si="45"/>
        <v>7.6923076923076927E-2</v>
      </c>
      <c r="E996">
        <f>ROUND(MIN(5,MAX(0,D996))/5*PARAMS_MODELO!$B$32,2)</f>
        <v>0.62</v>
      </c>
      <c r="F996">
        <v>1</v>
      </c>
      <c r="G996">
        <f>MAX(0,PARAMS_MODELO!$B$33-VALUE(TRIM(F996))*3)</f>
        <v>27</v>
      </c>
      <c r="H996">
        <v>1</v>
      </c>
      <c r="I996">
        <f>ROUND(MIN(4,MAX(0,H996))/4*PARAMS_MODELO!$B$34,2)</f>
        <v>5</v>
      </c>
      <c r="J996">
        <v>0</v>
      </c>
      <c r="K996">
        <f>IF(J996=0,0,PARAMS_MODELO!$B$35)</f>
        <v>0</v>
      </c>
      <c r="L996">
        <f t="shared" si="46"/>
        <v>32.620000000000005</v>
      </c>
      <c r="M996" t="str">
        <f t="shared" si="47"/>
        <v>Malo</v>
      </c>
      <c r="N996">
        <f>IF(M996=PARAMS_MODELO!$A$36,PARAMS_MODELO!$B$36,IF(M996=PARAMS_MODELO!$A$37,PARAMS_MODELO!$B$37,IF(M996=PARAMS_MODELO!$A$38,PARAMS_MODELO!$B$38,IF(M996=PARAMS_MODELO!$A$39,PARAMS_MODELO!$B$39,IF(M996=PARAMS_MODELO!$A$40,PARAMS_MODELO!$B$40)))))</f>
        <v>0.7</v>
      </c>
    </row>
    <row r="997" spans="1:14" x14ac:dyDescent="0.3">
      <c r="A997">
        <v>51000862</v>
      </c>
      <c r="B997">
        <v>83</v>
      </c>
      <c r="C997">
        <v>75</v>
      </c>
      <c r="D997">
        <f t="shared" si="45"/>
        <v>1.1066666666666667</v>
      </c>
      <c r="E997">
        <f>ROUND(MIN(5,MAX(0,D997))/5*PARAMS_MODELO!$B$32,2)</f>
        <v>8.85</v>
      </c>
      <c r="F997">
        <v>2</v>
      </c>
      <c r="G997">
        <f>MAX(0,PARAMS_MODELO!$B$33-VALUE(TRIM(F997))*3)</f>
        <v>24</v>
      </c>
      <c r="H997">
        <v>2</v>
      </c>
      <c r="I997">
        <f>ROUND(MIN(4,MAX(0,H997))/4*PARAMS_MODELO!$B$34,2)</f>
        <v>10</v>
      </c>
      <c r="J997">
        <v>0</v>
      </c>
      <c r="K997">
        <f>IF(J997=0,0,PARAMS_MODELO!$B$35)</f>
        <v>0</v>
      </c>
      <c r="L997">
        <f t="shared" si="46"/>
        <v>42.85</v>
      </c>
      <c r="M997" t="str">
        <f t="shared" si="47"/>
        <v>Regular</v>
      </c>
      <c r="N997">
        <f>IF(M997=PARAMS_MODELO!$A$36,PARAMS_MODELO!$B$36,IF(M997=PARAMS_MODELO!$A$37,PARAMS_MODELO!$B$37,IF(M997=PARAMS_MODELO!$A$38,PARAMS_MODELO!$B$38,IF(M997=PARAMS_MODELO!$A$39,PARAMS_MODELO!$B$39,IF(M997=PARAMS_MODELO!$A$40,PARAMS_MODELO!$B$40)))))</f>
        <v>1</v>
      </c>
    </row>
    <row r="998" spans="1:14" x14ac:dyDescent="0.3">
      <c r="A998">
        <v>51001494</v>
      </c>
      <c r="B998">
        <v>18</v>
      </c>
      <c r="C998">
        <v>77</v>
      </c>
      <c r="D998">
        <f t="shared" si="45"/>
        <v>0.23376623376623376</v>
      </c>
      <c r="E998">
        <f>ROUND(MIN(5,MAX(0,D998))/5*PARAMS_MODELO!$B$32,2)</f>
        <v>1.87</v>
      </c>
      <c r="F998">
        <v>1</v>
      </c>
      <c r="G998">
        <f>MAX(0,PARAMS_MODELO!$B$33-VALUE(TRIM(F998))*3)</f>
        <v>27</v>
      </c>
      <c r="H998">
        <v>0</v>
      </c>
      <c r="I998">
        <f>ROUND(MIN(4,MAX(0,H998))/4*PARAMS_MODELO!$B$34,2)</f>
        <v>0</v>
      </c>
      <c r="J998">
        <v>0</v>
      </c>
      <c r="K998">
        <f>IF(J998=0,0,PARAMS_MODELO!$B$35)</f>
        <v>0</v>
      </c>
      <c r="L998">
        <f t="shared" si="46"/>
        <v>28.87</v>
      </c>
      <c r="M998" t="str">
        <f t="shared" si="47"/>
        <v>Malo</v>
      </c>
      <c r="N998">
        <f>IF(M998=PARAMS_MODELO!$A$36,PARAMS_MODELO!$B$36,IF(M998=PARAMS_MODELO!$A$37,PARAMS_MODELO!$B$37,IF(M998=PARAMS_MODELO!$A$38,PARAMS_MODELO!$B$38,IF(M998=PARAMS_MODELO!$A$39,PARAMS_MODELO!$B$39,IF(M998=PARAMS_MODELO!$A$40,PARAMS_MODELO!$B$40)))))</f>
        <v>0.7</v>
      </c>
    </row>
    <row r="999" spans="1:14" x14ac:dyDescent="0.3">
      <c r="A999">
        <v>51001745</v>
      </c>
      <c r="B999">
        <v>33</v>
      </c>
      <c r="C999">
        <v>3</v>
      </c>
      <c r="D999">
        <f t="shared" si="45"/>
        <v>5</v>
      </c>
      <c r="E999">
        <f>ROUND(MIN(5,MAX(0,D999))/5*PARAMS_MODELO!$B$32,2)</f>
        <v>40</v>
      </c>
      <c r="F999">
        <v>5</v>
      </c>
      <c r="G999">
        <f>MAX(0,PARAMS_MODELO!$B$33-VALUE(TRIM(F999))*3)</f>
        <v>15</v>
      </c>
      <c r="H999">
        <v>3</v>
      </c>
      <c r="I999">
        <f>ROUND(MIN(4,MAX(0,H999))/4*PARAMS_MODELO!$B$34,2)</f>
        <v>15</v>
      </c>
      <c r="J999">
        <v>0</v>
      </c>
      <c r="K999">
        <f>IF(J999=0,0,PARAMS_MODELO!$B$35)</f>
        <v>0</v>
      </c>
      <c r="L999">
        <f t="shared" si="46"/>
        <v>70</v>
      </c>
      <c r="M999" t="str">
        <f t="shared" si="47"/>
        <v>Bueno</v>
      </c>
      <c r="N999">
        <f>IF(M999=PARAMS_MODELO!$A$36,PARAMS_MODELO!$B$36,IF(M999=PARAMS_MODELO!$A$37,PARAMS_MODELO!$B$37,IF(M999=PARAMS_MODELO!$A$38,PARAMS_MODELO!$B$38,IF(M999=PARAMS_MODELO!$A$39,PARAMS_MODELO!$B$39,IF(M999=PARAMS_MODELO!$A$40,PARAMS_MODELO!$B$40)))))</f>
        <v>1.1000000000000001</v>
      </c>
    </row>
    <row r="1000" spans="1:14" x14ac:dyDescent="0.3">
      <c r="A1000">
        <v>51001923</v>
      </c>
      <c r="B1000">
        <v>53</v>
      </c>
      <c r="C1000">
        <v>21</v>
      </c>
      <c r="D1000">
        <f t="shared" si="45"/>
        <v>2.5238095238095237</v>
      </c>
      <c r="E1000">
        <f>ROUND(MIN(5,MAX(0,D1000))/5*PARAMS_MODELO!$B$32,2)</f>
        <v>20.190000000000001</v>
      </c>
      <c r="F1000">
        <v>3</v>
      </c>
      <c r="G1000">
        <f>MAX(0,PARAMS_MODELO!$B$33-VALUE(TRIM(F1000))*3)</f>
        <v>21</v>
      </c>
      <c r="H1000">
        <v>2</v>
      </c>
      <c r="I1000">
        <f>ROUND(MIN(4,MAX(0,H1000))/4*PARAMS_MODELO!$B$34,2)</f>
        <v>10</v>
      </c>
      <c r="J1000">
        <v>1</v>
      </c>
      <c r="K1000">
        <f>IF(J1000=0,0,PARAMS_MODELO!$B$35)</f>
        <v>10</v>
      </c>
      <c r="L1000">
        <f t="shared" si="46"/>
        <v>61.19</v>
      </c>
      <c r="M1000" t="str">
        <f t="shared" si="47"/>
        <v>Bueno</v>
      </c>
      <c r="N1000">
        <f>IF(M1000=PARAMS_MODELO!$A$36,PARAMS_MODELO!$B$36,IF(M1000=PARAMS_MODELO!$A$37,PARAMS_MODELO!$B$37,IF(M1000=PARAMS_MODELO!$A$38,PARAMS_MODELO!$B$38,IF(M1000=PARAMS_MODELO!$A$39,PARAMS_MODELO!$B$39,IF(M1000=PARAMS_MODELO!$A$40,PARAMS_MODELO!$B$40)))))</f>
        <v>1.1000000000000001</v>
      </c>
    </row>
    <row r="1001" spans="1:14" x14ac:dyDescent="0.3">
      <c r="A1001">
        <v>51003721</v>
      </c>
      <c r="B1001">
        <v>56</v>
      </c>
      <c r="C1001">
        <v>93</v>
      </c>
      <c r="D1001">
        <f t="shared" si="45"/>
        <v>0.60215053763440862</v>
      </c>
      <c r="E1001">
        <f>ROUND(MIN(5,MAX(0,D1001))/5*PARAMS_MODELO!$B$32,2)</f>
        <v>4.82</v>
      </c>
      <c r="F1001">
        <v>2</v>
      </c>
      <c r="G1001">
        <f>MAX(0,PARAMS_MODELO!$B$33-VALUE(TRIM(F1001))*3)</f>
        <v>24</v>
      </c>
      <c r="H1001">
        <v>2</v>
      </c>
      <c r="I1001">
        <f>ROUND(MIN(4,MAX(0,H1001))/4*PARAMS_MODELO!$B$34,2)</f>
        <v>10</v>
      </c>
      <c r="J1001">
        <v>1</v>
      </c>
      <c r="K1001">
        <f>IF(J1001=0,0,PARAMS_MODELO!$B$35)</f>
        <v>10</v>
      </c>
      <c r="L1001">
        <f t="shared" si="46"/>
        <v>48.82</v>
      </c>
      <c r="M1001" t="str">
        <f t="shared" si="47"/>
        <v>Regular</v>
      </c>
      <c r="N1001">
        <f>IF(M1001=PARAMS_MODELO!$A$36,PARAMS_MODELO!$B$36,IF(M1001=PARAMS_MODELO!$A$37,PARAMS_MODELO!$B$37,IF(M1001=PARAMS_MODELO!$A$38,PARAMS_MODELO!$B$38,IF(M1001=PARAMS_MODELO!$A$39,PARAMS_MODELO!$B$39,IF(M1001=PARAMS_MODELO!$A$40,PARAMS_MODELO!$B$40)))))</f>
        <v>1</v>
      </c>
    </row>
    <row r="1002" spans="1:14" x14ac:dyDescent="0.3">
      <c r="A1002">
        <v>51004167</v>
      </c>
      <c r="B1002">
        <v>20</v>
      </c>
      <c r="C1002">
        <v>36</v>
      </c>
      <c r="D1002">
        <f t="shared" si="45"/>
        <v>0.55555555555555558</v>
      </c>
      <c r="E1002">
        <f>ROUND(MIN(5,MAX(0,D1002))/5*PARAMS_MODELO!$B$32,2)</f>
        <v>4.4400000000000004</v>
      </c>
      <c r="F1002">
        <v>3</v>
      </c>
      <c r="G1002">
        <f>MAX(0,PARAMS_MODELO!$B$33-VALUE(TRIM(F1002))*3)</f>
        <v>21</v>
      </c>
      <c r="H1002">
        <v>4</v>
      </c>
      <c r="I1002">
        <f>ROUND(MIN(4,MAX(0,H1002))/4*PARAMS_MODELO!$B$34,2)</f>
        <v>20</v>
      </c>
      <c r="J1002">
        <v>1</v>
      </c>
      <c r="K1002">
        <f>IF(J1002=0,0,PARAMS_MODELO!$B$35)</f>
        <v>10</v>
      </c>
      <c r="L1002">
        <f t="shared" si="46"/>
        <v>55.44</v>
      </c>
      <c r="M1002" t="str">
        <f t="shared" si="47"/>
        <v>Regular</v>
      </c>
      <c r="N1002">
        <f>IF(M1002=PARAMS_MODELO!$A$36,PARAMS_MODELO!$B$36,IF(M1002=PARAMS_MODELO!$A$37,PARAMS_MODELO!$B$37,IF(M1002=PARAMS_MODELO!$A$38,PARAMS_MODELO!$B$38,IF(M1002=PARAMS_MODELO!$A$39,PARAMS_MODELO!$B$39,IF(M1002=PARAMS_MODELO!$A$40,PARAMS_MODELO!$B$40)))))</f>
        <v>1</v>
      </c>
    </row>
    <row r="1003" spans="1:14" x14ac:dyDescent="0.3">
      <c r="A1003">
        <v>51004671</v>
      </c>
      <c r="B1003">
        <v>50</v>
      </c>
      <c r="C1003">
        <v>69</v>
      </c>
      <c r="D1003">
        <f t="shared" si="45"/>
        <v>0.72463768115942029</v>
      </c>
      <c r="E1003">
        <f>ROUND(MIN(5,MAX(0,D1003))/5*PARAMS_MODELO!$B$32,2)</f>
        <v>5.8</v>
      </c>
      <c r="F1003">
        <v>3</v>
      </c>
      <c r="G1003">
        <f>MAX(0,PARAMS_MODELO!$B$33-VALUE(TRIM(F1003))*3)</f>
        <v>21</v>
      </c>
      <c r="H1003">
        <v>0</v>
      </c>
      <c r="I1003">
        <f>ROUND(MIN(4,MAX(0,H1003))/4*PARAMS_MODELO!$B$34,2)</f>
        <v>0</v>
      </c>
      <c r="J1003">
        <v>1</v>
      </c>
      <c r="K1003">
        <f>IF(J1003=0,0,PARAMS_MODELO!$B$35)</f>
        <v>10</v>
      </c>
      <c r="L1003">
        <f t="shared" si="46"/>
        <v>36.799999999999997</v>
      </c>
      <c r="M1003" t="str">
        <f t="shared" si="47"/>
        <v>Malo</v>
      </c>
      <c r="N1003">
        <f>IF(M1003=PARAMS_MODELO!$A$36,PARAMS_MODELO!$B$36,IF(M1003=PARAMS_MODELO!$A$37,PARAMS_MODELO!$B$37,IF(M1003=PARAMS_MODELO!$A$38,PARAMS_MODELO!$B$38,IF(M1003=PARAMS_MODELO!$A$39,PARAMS_MODELO!$B$39,IF(M1003=PARAMS_MODELO!$A$40,PARAMS_MODELO!$B$40)))))</f>
        <v>0.7</v>
      </c>
    </row>
    <row r="1004" spans="1:14" x14ac:dyDescent="0.3">
      <c r="A1004">
        <v>51005058</v>
      </c>
      <c r="B1004">
        <v>3</v>
      </c>
      <c r="C1004">
        <v>2</v>
      </c>
      <c r="D1004">
        <f t="shared" si="45"/>
        <v>1.5</v>
      </c>
      <c r="E1004">
        <f>ROUND(MIN(5,MAX(0,D1004))/5*PARAMS_MODELO!$B$32,2)</f>
        <v>12</v>
      </c>
      <c r="F1004">
        <v>2</v>
      </c>
      <c r="G1004">
        <f>MAX(0,PARAMS_MODELO!$B$33-VALUE(TRIM(F1004))*3)</f>
        <v>24</v>
      </c>
      <c r="H1004">
        <v>1</v>
      </c>
      <c r="I1004">
        <f>ROUND(MIN(4,MAX(0,H1004))/4*PARAMS_MODELO!$B$34,2)</f>
        <v>5</v>
      </c>
      <c r="J1004">
        <v>1</v>
      </c>
      <c r="K1004">
        <f>IF(J1004=0,0,PARAMS_MODELO!$B$35)</f>
        <v>10</v>
      </c>
      <c r="L1004">
        <f t="shared" si="46"/>
        <v>51</v>
      </c>
      <c r="M1004" t="str">
        <f t="shared" si="47"/>
        <v>Regular</v>
      </c>
      <c r="N1004">
        <f>IF(M1004=PARAMS_MODELO!$A$36,PARAMS_MODELO!$B$36,IF(M1004=PARAMS_MODELO!$A$37,PARAMS_MODELO!$B$37,IF(M1004=PARAMS_MODELO!$A$38,PARAMS_MODELO!$B$38,IF(M1004=PARAMS_MODELO!$A$39,PARAMS_MODELO!$B$39,IF(M1004=PARAMS_MODELO!$A$40,PARAMS_MODELO!$B$40)))))</f>
        <v>1</v>
      </c>
    </row>
    <row r="1005" spans="1:14" x14ac:dyDescent="0.3">
      <c r="A1005">
        <v>51005201</v>
      </c>
      <c r="B1005">
        <v>9</v>
      </c>
      <c r="C1005">
        <v>74</v>
      </c>
      <c r="D1005">
        <f t="shared" si="45"/>
        <v>0.12162162162162163</v>
      </c>
      <c r="E1005">
        <f>ROUND(MIN(5,MAX(0,D1005))/5*PARAMS_MODELO!$B$32,2)</f>
        <v>0.97</v>
      </c>
      <c r="F1005">
        <v>1</v>
      </c>
      <c r="G1005">
        <f>MAX(0,PARAMS_MODELO!$B$33-VALUE(TRIM(F1005))*3)</f>
        <v>27</v>
      </c>
      <c r="H1005">
        <v>3</v>
      </c>
      <c r="I1005">
        <f>ROUND(MIN(4,MAX(0,H1005))/4*PARAMS_MODELO!$B$34,2)</f>
        <v>15</v>
      </c>
      <c r="J1005">
        <v>1</v>
      </c>
      <c r="K1005">
        <f>IF(J1005=0,0,PARAMS_MODELO!$B$35)</f>
        <v>10</v>
      </c>
      <c r="L1005">
        <f t="shared" si="46"/>
        <v>52.97</v>
      </c>
      <c r="M1005" t="str">
        <f t="shared" si="47"/>
        <v>Regular</v>
      </c>
      <c r="N1005">
        <f>IF(M1005=PARAMS_MODELO!$A$36,PARAMS_MODELO!$B$36,IF(M1005=PARAMS_MODELO!$A$37,PARAMS_MODELO!$B$37,IF(M1005=PARAMS_MODELO!$A$38,PARAMS_MODELO!$B$38,IF(M1005=PARAMS_MODELO!$A$39,PARAMS_MODELO!$B$39,IF(M1005=PARAMS_MODELO!$A$40,PARAMS_MODELO!$B$40)))))</f>
        <v>1</v>
      </c>
    </row>
    <row r="1006" spans="1:14" x14ac:dyDescent="0.3">
      <c r="A1006">
        <v>51005384</v>
      </c>
      <c r="B1006">
        <v>45</v>
      </c>
      <c r="C1006">
        <v>85</v>
      </c>
      <c r="D1006">
        <f t="shared" si="45"/>
        <v>0.52941176470588236</v>
      </c>
      <c r="E1006">
        <f>ROUND(MIN(5,MAX(0,D1006))/5*PARAMS_MODELO!$B$32,2)</f>
        <v>4.24</v>
      </c>
      <c r="F1006">
        <v>5</v>
      </c>
      <c r="G1006">
        <f>MAX(0,PARAMS_MODELO!$B$33-VALUE(TRIM(F1006))*3)</f>
        <v>15</v>
      </c>
      <c r="H1006">
        <v>0</v>
      </c>
      <c r="I1006">
        <f>ROUND(MIN(4,MAX(0,H1006))/4*PARAMS_MODELO!$B$34,2)</f>
        <v>0</v>
      </c>
      <c r="J1006">
        <v>0</v>
      </c>
      <c r="K1006">
        <f>IF(J1006=0,0,PARAMS_MODELO!$B$35)</f>
        <v>0</v>
      </c>
      <c r="L1006">
        <f t="shared" si="46"/>
        <v>19.240000000000002</v>
      </c>
      <c r="M1006" t="str">
        <f t="shared" si="47"/>
        <v>Malo</v>
      </c>
      <c r="N1006">
        <f>IF(M1006=PARAMS_MODELO!$A$36,PARAMS_MODELO!$B$36,IF(M1006=PARAMS_MODELO!$A$37,PARAMS_MODELO!$B$37,IF(M1006=PARAMS_MODELO!$A$38,PARAMS_MODELO!$B$38,IF(M1006=PARAMS_MODELO!$A$39,PARAMS_MODELO!$B$39,IF(M1006=PARAMS_MODELO!$A$40,PARAMS_MODELO!$B$40)))))</f>
        <v>0.7</v>
      </c>
    </row>
    <row r="1007" spans="1:14" x14ac:dyDescent="0.3">
      <c r="A1007">
        <v>51005902</v>
      </c>
      <c r="B1007">
        <v>85</v>
      </c>
      <c r="C1007">
        <v>79</v>
      </c>
      <c r="D1007">
        <f t="shared" si="45"/>
        <v>1.0759493670886076</v>
      </c>
      <c r="E1007">
        <f>ROUND(MIN(5,MAX(0,D1007))/5*PARAMS_MODELO!$B$32,2)</f>
        <v>8.61</v>
      </c>
      <c r="F1007">
        <v>2</v>
      </c>
      <c r="G1007">
        <f>MAX(0,PARAMS_MODELO!$B$33-VALUE(TRIM(F1007))*3)</f>
        <v>24</v>
      </c>
      <c r="H1007">
        <v>4</v>
      </c>
      <c r="I1007">
        <f>ROUND(MIN(4,MAX(0,H1007))/4*PARAMS_MODELO!$B$34,2)</f>
        <v>20</v>
      </c>
      <c r="J1007">
        <v>1</v>
      </c>
      <c r="K1007">
        <f>IF(J1007=0,0,PARAMS_MODELO!$B$35)</f>
        <v>10</v>
      </c>
      <c r="L1007">
        <f t="shared" si="46"/>
        <v>62.61</v>
      </c>
      <c r="M1007" t="str">
        <f t="shared" si="47"/>
        <v>Bueno</v>
      </c>
      <c r="N1007">
        <f>IF(M1007=PARAMS_MODELO!$A$36,PARAMS_MODELO!$B$36,IF(M1007=PARAMS_MODELO!$A$37,PARAMS_MODELO!$B$37,IF(M1007=PARAMS_MODELO!$A$38,PARAMS_MODELO!$B$38,IF(M1007=PARAMS_MODELO!$A$39,PARAMS_MODELO!$B$39,IF(M1007=PARAMS_MODELO!$A$40,PARAMS_MODELO!$B$40)))))</f>
        <v>1.1000000000000001</v>
      </c>
    </row>
    <row r="1008" spans="1:14" x14ac:dyDescent="0.3">
      <c r="A1008">
        <v>51006445</v>
      </c>
      <c r="B1008">
        <v>92</v>
      </c>
      <c r="C1008">
        <v>42</v>
      </c>
      <c r="D1008">
        <f t="shared" si="45"/>
        <v>2.1904761904761907</v>
      </c>
      <c r="E1008">
        <f>ROUND(MIN(5,MAX(0,D1008))/5*PARAMS_MODELO!$B$32,2)</f>
        <v>17.52</v>
      </c>
      <c r="F1008">
        <v>3</v>
      </c>
      <c r="G1008">
        <f>MAX(0,PARAMS_MODELO!$B$33-VALUE(TRIM(F1008))*3)</f>
        <v>21</v>
      </c>
      <c r="H1008">
        <v>1</v>
      </c>
      <c r="I1008">
        <f>ROUND(MIN(4,MAX(0,H1008))/4*PARAMS_MODELO!$B$34,2)</f>
        <v>5</v>
      </c>
      <c r="J1008">
        <v>1</v>
      </c>
      <c r="K1008">
        <f>IF(J1008=0,0,PARAMS_MODELO!$B$35)</f>
        <v>10</v>
      </c>
      <c r="L1008">
        <f t="shared" si="46"/>
        <v>53.519999999999996</v>
      </c>
      <c r="M1008" t="str">
        <f t="shared" si="47"/>
        <v>Regular</v>
      </c>
      <c r="N1008">
        <f>IF(M1008=PARAMS_MODELO!$A$36,PARAMS_MODELO!$B$36,IF(M1008=PARAMS_MODELO!$A$37,PARAMS_MODELO!$B$37,IF(M1008=PARAMS_MODELO!$A$38,PARAMS_MODELO!$B$38,IF(M1008=PARAMS_MODELO!$A$39,PARAMS_MODELO!$B$39,IF(M1008=PARAMS_MODELO!$A$40,PARAMS_MODELO!$B$40)))))</f>
        <v>1</v>
      </c>
    </row>
    <row r="1009" spans="1:14" x14ac:dyDescent="0.3">
      <c r="A1009">
        <v>51006453</v>
      </c>
      <c r="B1009">
        <v>52</v>
      </c>
      <c r="C1009">
        <v>1</v>
      </c>
      <c r="D1009">
        <f t="shared" si="45"/>
        <v>5</v>
      </c>
      <c r="E1009">
        <f>ROUND(MIN(5,MAX(0,D1009))/5*PARAMS_MODELO!$B$32,2)</f>
        <v>40</v>
      </c>
      <c r="F1009">
        <v>4</v>
      </c>
      <c r="G1009">
        <f>MAX(0,PARAMS_MODELO!$B$33-VALUE(TRIM(F1009))*3)</f>
        <v>18</v>
      </c>
      <c r="H1009">
        <v>4</v>
      </c>
      <c r="I1009">
        <f>ROUND(MIN(4,MAX(0,H1009))/4*PARAMS_MODELO!$B$34,2)</f>
        <v>20</v>
      </c>
      <c r="J1009">
        <v>0</v>
      </c>
      <c r="K1009">
        <f>IF(J1009=0,0,PARAMS_MODELO!$B$35)</f>
        <v>0</v>
      </c>
      <c r="L1009">
        <f t="shared" si="46"/>
        <v>78</v>
      </c>
      <c r="M1009" t="str">
        <f t="shared" si="47"/>
        <v>Muy Bueno</v>
      </c>
      <c r="N1009">
        <f>IF(M1009=PARAMS_MODELO!$A$36,PARAMS_MODELO!$B$36,IF(M1009=PARAMS_MODELO!$A$37,PARAMS_MODELO!$B$37,IF(M1009=PARAMS_MODELO!$A$38,PARAMS_MODELO!$B$38,IF(M1009=PARAMS_MODELO!$A$39,PARAMS_MODELO!$B$39,IF(M1009=PARAMS_MODELO!$A$40,PARAMS_MODELO!$B$40)))))</f>
        <v>1.1499999999999999</v>
      </c>
    </row>
    <row r="1010" spans="1:14" x14ac:dyDescent="0.3">
      <c r="A1010">
        <v>51006518</v>
      </c>
      <c r="B1010">
        <v>99</v>
      </c>
      <c r="C1010">
        <v>88</v>
      </c>
      <c r="D1010">
        <f t="shared" si="45"/>
        <v>1.125</v>
      </c>
      <c r="E1010">
        <f>ROUND(MIN(5,MAX(0,D1010))/5*PARAMS_MODELO!$B$32,2)</f>
        <v>9</v>
      </c>
      <c r="F1010">
        <v>1</v>
      </c>
      <c r="G1010">
        <f>MAX(0,PARAMS_MODELO!$B$33-VALUE(TRIM(F1010))*3)</f>
        <v>27</v>
      </c>
      <c r="H1010">
        <v>0</v>
      </c>
      <c r="I1010">
        <f>ROUND(MIN(4,MAX(0,H1010))/4*PARAMS_MODELO!$B$34,2)</f>
        <v>0</v>
      </c>
      <c r="J1010">
        <v>0</v>
      </c>
      <c r="K1010">
        <f>IF(J1010=0,0,PARAMS_MODELO!$B$35)</f>
        <v>0</v>
      </c>
      <c r="L1010">
        <f t="shared" si="46"/>
        <v>36</v>
      </c>
      <c r="M1010" t="str">
        <f t="shared" si="47"/>
        <v>Malo</v>
      </c>
      <c r="N1010">
        <f>IF(M1010=PARAMS_MODELO!$A$36,PARAMS_MODELO!$B$36,IF(M1010=PARAMS_MODELO!$A$37,PARAMS_MODELO!$B$37,IF(M1010=PARAMS_MODELO!$A$38,PARAMS_MODELO!$B$38,IF(M1010=PARAMS_MODELO!$A$39,PARAMS_MODELO!$B$39,IF(M1010=PARAMS_MODELO!$A$40,PARAMS_MODELO!$B$40)))))</f>
        <v>0.7</v>
      </c>
    </row>
    <row r="1011" spans="1:14" x14ac:dyDescent="0.3">
      <c r="A1011">
        <v>51006674</v>
      </c>
      <c r="B1011">
        <v>44</v>
      </c>
      <c r="C1011">
        <v>82</v>
      </c>
      <c r="D1011">
        <f t="shared" si="45"/>
        <v>0.53658536585365857</v>
      </c>
      <c r="E1011">
        <f>ROUND(MIN(5,MAX(0,D1011))/5*PARAMS_MODELO!$B$32,2)</f>
        <v>4.29</v>
      </c>
      <c r="F1011">
        <v>4</v>
      </c>
      <c r="G1011">
        <f>MAX(0,PARAMS_MODELO!$B$33-VALUE(TRIM(F1011))*3)</f>
        <v>18</v>
      </c>
      <c r="H1011">
        <v>4</v>
      </c>
      <c r="I1011">
        <f>ROUND(MIN(4,MAX(0,H1011))/4*PARAMS_MODELO!$B$34,2)</f>
        <v>20</v>
      </c>
      <c r="J1011">
        <v>1</v>
      </c>
      <c r="K1011">
        <f>IF(J1011=0,0,PARAMS_MODELO!$B$35)</f>
        <v>10</v>
      </c>
      <c r="L1011">
        <f t="shared" si="46"/>
        <v>52.29</v>
      </c>
      <c r="M1011" t="str">
        <f t="shared" si="47"/>
        <v>Regular</v>
      </c>
      <c r="N1011">
        <f>IF(M1011=PARAMS_MODELO!$A$36,PARAMS_MODELO!$B$36,IF(M1011=PARAMS_MODELO!$A$37,PARAMS_MODELO!$B$37,IF(M1011=PARAMS_MODELO!$A$38,PARAMS_MODELO!$B$38,IF(M1011=PARAMS_MODELO!$A$39,PARAMS_MODELO!$B$39,IF(M1011=PARAMS_MODELO!$A$40,PARAMS_MODELO!$B$40)))))</f>
        <v>1</v>
      </c>
    </row>
    <row r="1012" spans="1:14" x14ac:dyDescent="0.3">
      <c r="A1012">
        <v>51010094</v>
      </c>
      <c r="B1012">
        <v>47</v>
      </c>
      <c r="C1012">
        <v>41</v>
      </c>
      <c r="D1012">
        <f t="shared" si="45"/>
        <v>1.1463414634146341</v>
      </c>
      <c r="E1012">
        <f>ROUND(MIN(5,MAX(0,D1012))/5*PARAMS_MODELO!$B$32,2)</f>
        <v>9.17</v>
      </c>
      <c r="F1012">
        <v>2</v>
      </c>
      <c r="G1012">
        <f>MAX(0,PARAMS_MODELO!$B$33-VALUE(TRIM(F1012))*3)</f>
        <v>24</v>
      </c>
      <c r="H1012">
        <v>3</v>
      </c>
      <c r="I1012">
        <f>ROUND(MIN(4,MAX(0,H1012))/4*PARAMS_MODELO!$B$34,2)</f>
        <v>15</v>
      </c>
      <c r="J1012">
        <v>1</v>
      </c>
      <c r="K1012">
        <f>IF(J1012=0,0,PARAMS_MODELO!$B$35)</f>
        <v>10</v>
      </c>
      <c r="L1012">
        <f t="shared" si="46"/>
        <v>58.17</v>
      </c>
      <c r="M1012" t="str">
        <f t="shared" si="47"/>
        <v>Regular</v>
      </c>
      <c r="N1012">
        <f>IF(M1012=PARAMS_MODELO!$A$36,PARAMS_MODELO!$B$36,IF(M1012=PARAMS_MODELO!$A$37,PARAMS_MODELO!$B$37,IF(M1012=PARAMS_MODELO!$A$38,PARAMS_MODELO!$B$38,IF(M1012=PARAMS_MODELO!$A$39,PARAMS_MODELO!$B$39,IF(M1012=PARAMS_MODELO!$A$40,PARAMS_MODELO!$B$40)))))</f>
        <v>1</v>
      </c>
    </row>
    <row r="1013" spans="1:14" x14ac:dyDescent="0.3">
      <c r="A1013">
        <v>51010108</v>
      </c>
      <c r="B1013">
        <v>15</v>
      </c>
      <c r="C1013">
        <v>28</v>
      </c>
      <c r="D1013">
        <f t="shared" si="45"/>
        <v>0.5357142857142857</v>
      </c>
      <c r="E1013">
        <f>ROUND(MIN(5,MAX(0,D1013))/5*PARAMS_MODELO!$B$32,2)</f>
        <v>4.29</v>
      </c>
      <c r="F1013">
        <v>4</v>
      </c>
      <c r="G1013">
        <f>MAX(0,PARAMS_MODELO!$B$33-VALUE(TRIM(F1013))*3)</f>
        <v>18</v>
      </c>
      <c r="H1013">
        <v>1</v>
      </c>
      <c r="I1013">
        <f>ROUND(MIN(4,MAX(0,H1013))/4*PARAMS_MODELO!$B$34,2)</f>
        <v>5</v>
      </c>
      <c r="J1013">
        <v>1</v>
      </c>
      <c r="K1013">
        <f>IF(J1013=0,0,PARAMS_MODELO!$B$35)</f>
        <v>10</v>
      </c>
      <c r="L1013">
        <f t="shared" si="46"/>
        <v>37.29</v>
      </c>
      <c r="M1013" t="str">
        <f t="shared" si="47"/>
        <v>Malo</v>
      </c>
      <c r="N1013">
        <f>IF(M1013=PARAMS_MODELO!$A$36,PARAMS_MODELO!$B$36,IF(M1013=PARAMS_MODELO!$A$37,PARAMS_MODELO!$B$37,IF(M1013=PARAMS_MODELO!$A$38,PARAMS_MODELO!$B$38,IF(M1013=PARAMS_MODELO!$A$39,PARAMS_MODELO!$B$39,IF(M1013=PARAMS_MODELO!$A$40,PARAMS_MODELO!$B$40)))))</f>
        <v>0.7</v>
      </c>
    </row>
    <row r="1014" spans="1:14" x14ac:dyDescent="0.3">
      <c r="A1014">
        <v>51010167</v>
      </c>
      <c r="B1014">
        <v>53</v>
      </c>
      <c r="C1014">
        <v>8</v>
      </c>
      <c r="D1014">
        <f t="shared" si="45"/>
        <v>5</v>
      </c>
      <c r="E1014">
        <f>ROUND(MIN(5,MAX(0,D1014))/5*PARAMS_MODELO!$B$32,2)</f>
        <v>40</v>
      </c>
      <c r="F1014">
        <v>4</v>
      </c>
      <c r="G1014">
        <f>MAX(0,PARAMS_MODELO!$B$33-VALUE(TRIM(F1014))*3)</f>
        <v>18</v>
      </c>
      <c r="H1014">
        <v>2</v>
      </c>
      <c r="I1014">
        <f>ROUND(MIN(4,MAX(0,H1014))/4*PARAMS_MODELO!$B$34,2)</f>
        <v>10</v>
      </c>
      <c r="J1014">
        <v>1</v>
      </c>
      <c r="K1014">
        <f>IF(J1014=0,0,PARAMS_MODELO!$B$35)</f>
        <v>10</v>
      </c>
      <c r="L1014">
        <f t="shared" si="46"/>
        <v>78</v>
      </c>
      <c r="M1014" t="str">
        <f t="shared" si="47"/>
        <v>Muy Bueno</v>
      </c>
      <c r="N1014">
        <f>IF(M1014=PARAMS_MODELO!$A$36,PARAMS_MODELO!$B$36,IF(M1014=PARAMS_MODELO!$A$37,PARAMS_MODELO!$B$37,IF(M1014=PARAMS_MODELO!$A$38,PARAMS_MODELO!$B$38,IF(M1014=PARAMS_MODELO!$A$39,PARAMS_MODELO!$B$39,IF(M1014=PARAMS_MODELO!$A$40,PARAMS_MODELO!$B$40)))))</f>
        <v>1.1499999999999999</v>
      </c>
    </row>
    <row r="1015" spans="1:14" x14ac:dyDescent="0.3">
      <c r="A1015">
        <v>51010388</v>
      </c>
      <c r="B1015">
        <v>44</v>
      </c>
      <c r="C1015">
        <v>43</v>
      </c>
      <c r="D1015">
        <f t="shared" si="45"/>
        <v>1.0232558139534884</v>
      </c>
      <c r="E1015">
        <f>ROUND(MIN(5,MAX(0,D1015))/5*PARAMS_MODELO!$B$32,2)</f>
        <v>8.19</v>
      </c>
      <c r="F1015">
        <v>0</v>
      </c>
      <c r="G1015">
        <f>MAX(0,PARAMS_MODELO!$B$33-VALUE(TRIM(F1015))*3)</f>
        <v>30</v>
      </c>
      <c r="H1015">
        <v>0</v>
      </c>
      <c r="I1015">
        <f>ROUND(MIN(4,MAX(0,H1015))/4*PARAMS_MODELO!$B$34,2)</f>
        <v>0</v>
      </c>
      <c r="J1015">
        <v>0</v>
      </c>
      <c r="K1015">
        <f>IF(J1015=0,0,PARAMS_MODELO!$B$35)</f>
        <v>0</v>
      </c>
      <c r="L1015">
        <f t="shared" si="46"/>
        <v>38.19</v>
      </c>
      <c r="M1015" t="str">
        <f t="shared" si="47"/>
        <v>Malo</v>
      </c>
      <c r="N1015">
        <f>IF(M1015=PARAMS_MODELO!$A$36,PARAMS_MODELO!$B$36,IF(M1015=PARAMS_MODELO!$A$37,PARAMS_MODELO!$B$37,IF(M1015=PARAMS_MODELO!$A$38,PARAMS_MODELO!$B$38,IF(M1015=PARAMS_MODELO!$A$39,PARAMS_MODELO!$B$39,IF(M1015=PARAMS_MODELO!$A$40,PARAMS_MODELO!$B$40)))))</f>
        <v>0.7</v>
      </c>
    </row>
    <row r="1016" spans="1:14" x14ac:dyDescent="0.3">
      <c r="A1016">
        <v>51010477</v>
      </c>
      <c r="B1016">
        <v>55</v>
      </c>
      <c r="C1016">
        <v>81</v>
      </c>
      <c r="D1016">
        <f t="shared" si="45"/>
        <v>0.67901234567901236</v>
      </c>
      <c r="E1016">
        <f>ROUND(MIN(5,MAX(0,D1016))/5*PARAMS_MODELO!$B$32,2)</f>
        <v>5.43</v>
      </c>
      <c r="F1016">
        <v>2</v>
      </c>
      <c r="G1016">
        <f>MAX(0,PARAMS_MODELO!$B$33-VALUE(TRIM(F1016))*3)</f>
        <v>24</v>
      </c>
      <c r="H1016">
        <v>1</v>
      </c>
      <c r="I1016">
        <f>ROUND(MIN(4,MAX(0,H1016))/4*PARAMS_MODELO!$B$34,2)</f>
        <v>5</v>
      </c>
      <c r="J1016">
        <v>1</v>
      </c>
      <c r="K1016">
        <f>IF(J1016=0,0,PARAMS_MODELO!$B$35)</f>
        <v>10</v>
      </c>
      <c r="L1016">
        <f t="shared" si="46"/>
        <v>44.43</v>
      </c>
      <c r="M1016" t="str">
        <f t="shared" si="47"/>
        <v>Regular</v>
      </c>
      <c r="N1016">
        <f>IF(M1016=PARAMS_MODELO!$A$36,PARAMS_MODELO!$B$36,IF(M1016=PARAMS_MODELO!$A$37,PARAMS_MODELO!$B$37,IF(M1016=PARAMS_MODELO!$A$38,PARAMS_MODELO!$B$38,IF(M1016=PARAMS_MODELO!$A$39,PARAMS_MODELO!$B$39,IF(M1016=PARAMS_MODELO!$A$40,PARAMS_MODELO!$B$40)))))</f>
        <v>1</v>
      </c>
    </row>
    <row r="1017" spans="1:14" x14ac:dyDescent="0.3">
      <c r="A1017">
        <v>51010485</v>
      </c>
      <c r="B1017">
        <v>80</v>
      </c>
      <c r="C1017">
        <v>95</v>
      </c>
      <c r="D1017">
        <f t="shared" si="45"/>
        <v>0.84210526315789469</v>
      </c>
      <c r="E1017">
        <f>ROUND(MIN(5,MAX(0,D1017))/5*PARAMS_MODELO!$B$32,2)</f>
        <v>6.74</v>
      </c>
      <c r="F1017">
        <v>3</v>
      </c>
      <c r="G1017">
        <f>MAX(0,PARAMS_MODELO!$B$33-VALUE(TRIM(F1017))*3)</f>
        <v>21</v>
      </c>
      <c r="H1017">
        <v>2</v>
      </c>
      <c r="I1017">
        <f>ROUND(MIN(4,MAX(0,H1017))/4*PARAMS_MODELO!$B$34,2)</f>
        <v>10</v>
      </c>
      <c r="J1017">
        <v>0</v>
      </c>
      <c r="K1017">
        <f>IF(J1017=0,0,PARAMS_MODELO!$B$35)</f>
        <v>0</v>
      </c>
      <c r="L1017">
        <f t="shared" si="46"/>
        <v>37.74</v>
      </c>
      <c r="M1017" t="str">
        <f t="shared" si="47"/>
        <v>Malo</v>
      </c>
      <c r="N1017">
        <f>IF(M1017=PARAMS_MODELO!$A$36,PARAMS_MODELO!$B$36,IF(M1017=PARAMS_MODELO!$A$37,PARAMS_MODELO!$B$37,IF(M1017=PARAMS_MODELO!$A$38,PARAMS_MODELO!$B$38,IF(M1017=PARAMS_MODELO!$A$39,PARAMS_MODELO!$B$39,IF(M1017=PARAMS_MODELO!$A$40,PARAMS_MODELO!$B$40)))))</f>
        <v>0.7</v>
      </c>
    </row>
    <row r="1018" spans="1:14" x14ac:dyDescent="0.3">
      <c r="A1018">
        <v>51010612</v>
      </c>
      <c r="B1018">
        <v>5</v>
      </c>
      <c r="C1018">
        <v>24</v>
      </c>
      <c r="D1018">
        <f t="shared" si="45"/>
        <v>0.20833333333333334</v>
      </c>
      <c r="E1018">
        <f>ROUND(MIN(5,MAX(0,D1018))/5*PARAMS_MODELO!$B$32,2)</f>
        <v>1.67</v>
      </c>
      <c r="F1018">
        <v>5</v>
      </c>
      <c r="G1018">
        <f>MAX(0,PARAMS_MODELO!$B$33-VALUE(TRIM(F1018))*3)</f>
        <v>15</v>
      </c>
      <c r="H1018">
        <v>0</v>
      </c>
      <c r="I1018">
        <f>ROUND(MIN(4,MAX(0,H1018))/4*PARAMS_MODELO!$B$34,2)</f>
        <v>0</v>
      </c>
      <c r="J1018">
        <v>1</v>
      </c>
      <c r="K1018">
        <f>IF(J1018=0,0,PARAMS_MODELO!$B$35)</f>
        <v>10</v>
      </c>
      <c r="L1018">
        <f t="shared" si="46"/>
        <v>26.67</v>
      </c>
      <c r="M1018" t="str">
        <f t="shared" si="47"/>
        <v>Malo</v>
      </c>
      <c r="N1018">
        <f>IF(M1018=PARAMS_MODELO!$A$36,PARAMS_MODELO!$B$36,IF(M1018=PARAMS_MODELO!$A$37,PARAMS_MODELO!$B$37,IF(M1018=PARAMS_MODELO!$A$38,PARAMS_MODELO!$B$38,IF(M1018=PARAMS_MODELO!$A$39,PARAMS_MODELO!$B$39,IF(M1018=PARAMS_MODELO!$A$40,PARAMS_MODELO!$B$40)))))</f>
        <v>0.7</v>
      </c>
    </row>
    <row r="1019" spans="1:14" x14ac:dyDescent="0.3">
      <c r="A1019">
        <v>51010639</v>
      </c>
      <c r="B1019">
        <v>96</v>
      </c>
      <c r="C1019">
        <v>67</v>
      </c>
      <c r="D1019">
        <f t="shared" si="45"/>
        <v>1.4328358208955223</v>
      </c>
      <c r="E1019">
        <f>ROUND(MIN(5,MAX(0,D1019))/5*PARAMS_MODELO!$B$32,2)</f>
        <v>11.46</v>
      </c>
      <c r="F1019">
        <v>5</v>
      </c>
      <c r="G1019">
        <f>MAX(0,PARAMS_MODELO!$B$33-VALUE(TRIM(F1019))*3)</f>
        <v>15</v>
      </c>
      <c r="H1019">
        <v>3</v>
      </c>
      <c r="I1019">
        <f>ROUND(MIN(4,MAX(0,H1019))/4*PARAMS_MODELO!$B$34,2)</f>
        <v>15</v>
      </c>
      <c r="J1019">
        <v>1</v>
      </c>
      <c r="K1019">
        <f>IF(J1019=0,0,PARAMS_MODELO!$B$35)</f>
        <v>10</v>
      </c>
      <c r="L1019">
        <f t="shared" si="46"/>
        <v>51.46</v>
      </c>
      <c r="M1019" t="str">
        <f t="shared" si="47"/>
        <v>Regular</v>
      </c>
      <c r="N1019">
        <f>IF(M1019=PARAMS_MODELO!$A$36,PARAMS_MODELO!$B$36,IF(M1019=PARAMS_MODELO!$A$37,PARAMS_MODELO!$B$37,IF(M1019=PARAMS_MODELO!$A$38,PARAMS_MODELO!$B$38,IF(M1019=PARAMS_MODELO!$A$39,PARAMS_MODELO!$B$39,IF(M1019=PARAMS_MODELO!$A$40,PARAMS_MODELO!$B$40)))))</f>
        <v>1</v>
      </c>
    </row>
    <row r="1020" spans="1:14" x14ac:dyDescent="0.3">
      <c r="A1020">
        <v>51010965</v>
      </c>
      <c r="B1020">
        <v>18</v>
      </c>
      <c r="C1020">
        <v>86</v>
      </c>
      <c r="D1020">
        <f t="shared" si="45"/>
        <v>0.20930232558139536</v>
      </c>
      <c r="E1020">
        <f>ROUND(MIN(5,MAX(0,D1020))/5*PARAMS_MODELO!$B$32,2)</f>
        <v>1.67</v>
      </c>
      <c r="F1020">
        <v>4</v>
      </c>
      <c r="G1020">
        <f>MAX(0,PARAMS_MODELO!$B$33-VALUE(TRIM(F1020))*3)</f>
        <v>18</v>
      </c>
      <c r="H1020">
        <v>3</v>
      </c>
      <c r="I1020">
        <f>ROUND(MIN(4,MAX(0,H1020))/4*PARAMS_MODELO!$B$34,2)</f>
        <v>15</v>
      </c>
      <c r="J1020">
        <v>0</v>
      </c>
      <c r="K1020">
        <f>IF(J1020=0,0,PARAMS_MODELO!$B$35)</f>
        <v>0</v>
      </c>
      <c r="L1020">
        <f t="shared" si="46"/>
        <v>34.67</v>
      </c>
      <c r="M1020" t="str">
        <f t="shared" si="47"/>
        <v>Malo</v>
      </c>
      <c r="N1020">
        <f>IF(M1020=PARAMS_MODELO!$A$36,PARAMS_MODELO!$B$36,IF(M1020=PARAMS_MODELO!$A$37,PARAMS_MODELO!$B$37,IF(M1020=PARAMS_MODELO!$A$38,PARAMS_MODELO!$B$38,IF(M1020=PARAMS_MODELO!$A$39,PARAMS_MODELO!$B$39,IF(M1020=PARAMS_MODELO!$A$40,PARAMS_MODELO!$B$40)))))</f>
        <v>0.7</v>
      </c>
    </row>
    <row r="1021" spans="1:14" x14ac:dyDescent="0.3">
      <c r="A1021">
        <v>51011082</v>
      </c>
      <c r="B1021">
        <v>6</v>
      </c>
      <c r="C1021">
        <v>30</v>
      </c>
      <c r="D1021">
        <f t="shared" si="45"/>
        <v>0.2</v>
      </c>
      <c r="E1021">
        <f>ROUND(MIN(5,MAX(0,D1021))/5*PARAMS_MODELO!$B$32,2)</f>
        <v>1.6</v>
      </c>
      <c r="F1021">
        <v>1</v>
      </c>
      <c r="G1021">
        <f>MAX(0,PARAMS_MODELO!$B$33-VALUE(TRIM(F1021))*3)</f>
        <v>27</v>
      </c>
      <c r="H1021">
        <v>1</v>
      </c>
      <c r="I1021">
        <f>ROUND(MIN(4,MAX(0,H1021))/4*PARAMS_MODELO!$B$34,2)</f>
        <v>5</v>
      </c>
      <c r="J1021">
        <v>1</v>
      </c>
      <c r="K1021">
        <f>IF(J1021=0,0,PARAMS_MODELO!$B$35)</f>
        <v>10</v>
      </c>
      <c r="L1021">
        <f t="shared" si="46"/>
        <v>43.6</v>
      </c>
      <c r="M1021" t="str">
        <f t="shared" si="47"/>
        <v>Regular</v>
      </c>
      <c r="N1021">
        <f>IF(M1021=PARAMS_MODELO!$A$36,PARAMS_MODELO!$B$36,IF(M1021=PARAMS_MODELO!$A$37,PARAMS_MODELO!$B$37,IF(M1021=PARAMS_MODELO!$A$38,PARAMS_MODELO!$B$38,IF(M1021=PARAMS_MODELO!$A$39,PARAMS_MODELO!$B$39,IF(M1021=PARAMS_MODELO!$A$40,PARAMS_MODELO!$B$40)))))</f>
        <v>1</v>
      </c>
    </row>
    <row r="1022" spans="1:14" x14ac:dyDescent="0.3">
      <c r="A1022">
        <v>51011104</v>
      </c>
      <c r="B1022">
        <v>38</v>
      </c>
      <c r="C1022">
        <v>5</v>
      </c>
      <c r="D1022">
        <f t="shared" si="45"/>
        <v>5</v>
      </c>
      <c r="E1022">
        <f>ROUND(MIN(5,MAX(0,D1022))/5*PARAMS_MODELO!$B$32,2)</f>
        <v>40</v>
      </c>
      <c r="F1022">
        <v>0</v>
      </c>
      <c r="G1022">
        <f>MAX(0,PARAMS_MODELO!$B$33-VALUE(TRIM(F1022))*3)</f>
        <v>30</v>
      </c>
      <c r="H1022">
        <v>0</v>
      </c>
      <c r="I1022">
        <f>ROUND(MIN(4,MAX(0,H1022))/4*PARAMS_MODELO!$B$34,2)</f>
        <v>0</v>
      </c>
      <c r="J1022">
        <v>1</v>
      </c>
      <c r="K1022">
        <f>IF(J1022=0,0,PARAMS_MODELO!$B$35)</f>
        <v>10</v>
      </c>
      <c r="L1022">
        <f t="shared" si="46"/>
        <v>80</v>
      </c>
      <c r="M1022" t="str">
        <f t="shared" si="47"/>
        <v>Muy Bueno</v>
      </c>
      <c r="N1022">
        <f>IF(M1022=PARAMS_MODELO!$A$36,PARAMS_MODELO!$B$36,IF(M1022=PARAMS_MODELO!$A$37,PARAMS_MODELO!$B$37,IF(M1022=PARAMS_MODELO!$A$38,PARAMS_MODELO!$B$38,IF(M1022=PARAMS_MODELO!$A$39,PARAMS_MODELO!$B$39,IF(M1022=PARAMS_MODELO!$A$40,PARAMS_MODELO!$B$40)))))</f>
        <v>1.1499999999999999</v>
      </c>
    </row>
    <row r="1023" spans="1:14" x14ac:dyDescent="0.3">
      <c r="A1023">
        <v>51011163</v>
      </c>
      <c r="B1023">
        <v>35</v>
      </c>
      <c r="C1023">
        <v>11</v>
      </c>
      <c r="D1023">
        <f t="shared" si="45"/>
        <v>3.1818181818181817</v>
      </c>
      <c r="E1023">
        <f>ROUND(MIN(5,MAX(0,D1023))/5*PARAMS_MODELO!$B$32,2)</f>
        <v>25.45</v>
      </c>
      <c r="F1023">
        <v>0</v>
      </c>
      <c r="G1023">
        <f>MAX(0,PARAMS_MODELO!$B$33-VALUE(TRIM(F1023))*3)</f>
        <v>30</v>
      </c>
      <c r="H1023">
        <v>3</v>
      </c>
      <c r="I1023">
        <f>ROUND(MIN(4,MAX(0,H1023))/4*PARAMS_MODELO!$B$34,2)</f>
        <v>15</v>
      </c>
      <c r="J1023">
        <v>0</v>
      </c>
      <c r="K1023">
        <f>IF(J1023=0,0,PARAMS_MODELO!$B$35)</f>
        <v>0</v>
      </c>
      <c r="L1023">
        <f t="shared" si="46"/>
        <v>70.45</v>
      </c>
      <c r="M1023" t="str">
        <f t="shared" si="47"/>
        <v>Bueno</v>
      </c>
      <c r="N1023">
        <f>IF(M1023=PARAMS_MODELO!$A$36,PARAMS_MODELO!$B$36,IF(M1023=PARAMS_MODELO!$A$37,PARAMS_MODELO!$B$37,IF(M1023=PARAMS_MODELO!$A$38,PARAMS_MODELO!$B$38,IF(M1023=PARAMS_MODELO!$A$39,PARAMS_MODELO!$B$39,IF(M1023=PARAMS_MODELO!$A$40,PARAMS_MODELO!$B$40)))))</f>
        <v>1.1000000000000001</v>
      </c>
    </row>
    <row r="1024" spans="1:14" x14ac:dyDescent="0.3">
      <c r="A1024">
        <v>51011406</v>
      </c>
      <c r="B1024">
        <v>37</v>
      </c>
      <c r="C1024">
        <v>69</v>
      </c>
      <c r="D1024">
        <f t="shared" si="45"/>
        <v>0.53623188405797106</v>
      </c>
      <c r="E1024">
        <f>ROUND(MIN(5,MAX(0,D1024))/5*PARAMS_MODELO!$B$32,2)</f>
        <v>4.29</v>
      </c>
      <c r="F1024">
        <v>2</v>
      </c>
      <c r="G1024">
        <f>MAX(0,PARAMS_MODELO!$B$33-VALUE(TRIM(F1024))*3)</f>
        <v>24</v>
      </c>
      <c r="H1024">
        <v>0</v>
      </c>
      <c r="I1024">
        <f>ROUND(MIN(4,MAX(0,H1024))/4*PARAMS_MODELO!$B$34,2)</f>
        <v>0</v>
      </c>
      <c r="J1024">
        <v>0</v>
      </c>
      <c r="K1024">
        <f>IF(J1024=0,0,PARAMS_MODELO!$B$35)</f>
        <v>0</v>
      </c>
      <c r="L1024">
        <f t="shared" si="46"/>
        <v>28.29</v>
      </c>
      <c r="M1024" t="str">
        <f t="shared" si="47"/>
        <v>Malo</v>
      </c>
      <c r="N1024">
        <f>IF(M1024=PARAMS_MODELO!$A$36,PARAMS_MODELO!$B$36,IF(M1024=PARAMS_MODELO!$A$37,PARAMS_MODELO!$B$37,IF(M1024=PARAMS_MODELO!$A$38,PARAMS_MODELO!$B$38,IF(M1024=PARAMS_MODELO!$A$39,PARAMS_MODELO!$B$39,IF(M1024=PARAMS_MODELO!$A$40,PARAMS_MODELO!$B$40)))))</f>
        <v>0.7</v>
      </c>
    </row>
    <row r="1025" spans="1:14" x14ac:dyDescent="0.3">
      <c r="A1025">
        <v>51011503</v>
      </c>
      <c r="B1025">
        <v>36</v>
      </c>
      <c r="C1025">
        <v>16</v>
      </c>
      <c r="D1025">
        <f t="shared" si="45"/>
        <v>2.25</v>
      </c>
      <c r="E1025">
        <f>ROUND(MIN(5,MAX(0,D1025))/5*PARAMS_MODELO!$B$32,2)</f>
        <v>18</v>
      </c>
      <c r="F1025">
        <v>2</v>
      </c>
      <c r="G1025">
        <f>MAX(0,PARAMS_MODELO!$B$33-VALUE(TRIM(F1025))*3)</f>
        <v>24</v>
      </c>
      <c r="H1025">
        <v>1</v>
      </c>
      <c r="I1025">
        <f>ROUND(MIN(4,MAX(0,H1025))/4*PARAMS_MODELO!$B$34,2)</f>
        <v>5</v>
      </c>
      <c r="J1025">
        <v>1</v>
      </c>
      <c r="K1025">
        <f>IF(J1025=0,0,PARAMS_MODELO!$B$35)</f>
        <v>10</v>
      </c>
      <c r="L1025">
        <f t="shared" si="46"/>
        <v>57</v>
      </c>
      <c r="M1025" t="str">
        <f t="shared" si="47"/>
        <v>Regular</v>
      </c>
      <c r="N1025">
        <f>IF(M1025=PARAMS_MODELO!$A$36,PARAMS_MODELO!$B$36,IF(M1025=PARAMS_MODELO!$A$37,PARAMS_MODELO!$B$37,IF(M1025=PARAMS_MODELO!$A$38,PARAMS_MODELO!$B$38,IF(M1025=PARAMS_MODELO!$A$39,PARAMS_MODELO!$B$39,IF(M1025=PARAMS_MODELO!$A$40,PARAMS_MODELO!$B$40)))))</f>
        <v>1</v>
      </c>
    </row>
    <row r="1026" spans="1:14" x14ac:dyDescent="0.3">
      <c r="A1026">
        <v>51011511</v>
      </c>
      <c r="B1026">
        <v>19</v>
      </c>
      <c r="C1026">
        <v>52</v>
      </c>
      <c r="D1026">
        <f t="shared" ref="D1026:D1089" si="48">IF(C1026=0,0,MIN(5,B1026/C1026))</f>
        <v>0.36538461538461536</v>
      </c>
      <c r="E1026">
        <f>ROUND(MIN(5,MAX(0,D1026))/5*PARAMS_MODELO!$B$32,2)</f>
        <v>2.92</v>
      </c>
      <c r="F1026">
        <v>3</v>
      </c>
      <c r="G1026">
        <f>MAX(0,PARAMS_MODELO!$B$33-VALUE(TRIM(F1026))*3)</f>
        <v>21</v>
      </c>
      <c r="H1026">
        <v>2</v>
      </c>
      <c r="I1026">
        <f>ROUND(MIN(4,MAX(0,H1026))/4*PARAMS_MODELO!$B$34,2)</f>
        <v>10</v>
      </c>
      <c r="J1026">
        <v>0</v>
      </c>
      <c r="K1026">
        <f>IF(J1026=0,0,PARAMS_MODELO!$B$35)</f>
        <v>0</v>
      </c>
      <c r="L1026">
        <f t="shared" ref="L1026:L1089" si="49">MIN(100,MAX(0,E1026+G1026+I1026+K1026))</f>
        <v>33.92</v>
      </c>
      <c r="M1026" t="str">
        <f t="shared" ref="M1026:M1089" si="50">IF(L1026="","",IF(L1026&gt;=90,"Excelente",IF(L1026&gt;=75,"Muy Bueno",IF(L1026&gt;=60,"Bueno",IF(L1026&gt;=40,"Regular","Malo")))))</f>
        <v>Malo</v>
      </c>
      <c r="N1026">
        <f>IF(M1026=PARAMS_MODELO!$A$36,PARAMS_MODELO!$B$36,IF(M1026=PARAMS_MODELO!$A$37,PARAMS_MODELO!$B$37,IF(M1026=PARAMS_MODELO!$A$38,PARAMS_MODELO!$B$38,IF(M1026=PARAMS_MODELO!$A$39,PARAMS_MODELO!$B$39,IF(M1026=PARAMS_MODELO!$A$40,PARAMS_MODELO!$B$40)))))</f>
        <v>0.7</v>
      </c>
    </row>
    <row r="1027" spans="1:14" x14ac:dyDescent="0.3">
      <c r="A1027">
        <v>51011881</v>
      </c>
      <c r="B1027">
        <v>67</v>
      </c>
      <c r="C1027">
        <v>57</v>
      </c>
      <c r="D1027">
        <f t="shared" si="48"/>
        <v>1.1754385964912282</v>
      </c>
      <c r="E1027">
        <f>ROUND(MIN(5,MAX(0,D1027))/5*PARAMS_MODELO!$B$32,2)</f>
        <v>9.4</v>
      </c>
      <c r="F1027">
        <v>5</v>
      </c>
      <c r="G1027">
        <f>MAX(0,PARAMS_MODELO!$B$33-VALUE(TRIM(F1027))*3)</f>
        <v>15</v>
      </c>
      <c r="H1027">
        <v>4</v>
      </c>
      <c r="I1027">
        <f>ROUND(MIN(4,MAX(0,H1027))/4*PARAMS_MODELO!$B$34,2)</f>
        <v>20</v>
      </c>
      <c r="J1027">
        <v>0</v>
      </c>
      <c r="K1027">
        <f>IF(J1027=0,0,PARAMS_MODELO!$B$35)</f>
        <v>0</v>
      </c>
      <c r="L1027">
        <f t="shared" si="49"/>
        <v>44.4</v>
      </c>
      <c r="M1027" t="str">
        <f t="shared" si="50"/>
        <v>Regular</v>
      </c>
      <c r="N1027">
        <f>IF(M1027=PARAMS_MODELO!$A$36,PARAMS_MODELO!$B$36,IF(M1027=PARAMS_MODELO!$A$37,PARAMS_MODELO!$B$37,IF(M1027=PARAMS_MODELO!$A$38,PARAMS_MODELO!$B$38,IF(M1027=PARAMS_MODELO!$A$39,PARAMS_MODELO!$B$39,IF(M1027=PARAMS_MODELO!$A$40,PARAMS_MODELO!$B$40)))))</f>
        <v>1</v>
      </c>
    </row>
    <row r="1028" spans="1:14" x14ac:dyDescent="0.3">
      <c r="A1028">
        <v>51011911</v>
      </c>
      <c r="B1028">
        <v>90</v>
      </c>
      <c r="C1028">
        <v>32</v>
      </c>
      <c r="D1028">
        <f t="shared" si="48"/>
        <v>2.8125</v>
      </c>
      <c r="E1028">
        <f>ROUND(MIN(5,MAX(0,D1028))/5*PARAMS_MODELO!$B$32,2)</f>
        <v>22.5</v>
      </c>
      <c r="F1028">
        <v>4</v>
      </c>
      <c r="G1028">
        <f>MAX(0,PARAMS_MODELO!$B$33-VALUE(TRIM(F1028))*3)</f>
        <v>18</v>
      </c>
      <c r="H1028">
        <v>2</v>
      </c>
      <c r="I1028">
        <f>ROUND(MIN(4,MAX(0,H1028))/4*PARAMS_MODELO!$B$34,2)</f>
        <v>10</v>
      </c>
      <c r="J1028">
        <v>0</v>
      </c>
      <c r="K1028">
        <f>IF(J1028=0,0,PARAMS_MODELO!$B$35)</f>
        <v>0</v>
      </c>
      <c r="L1028">
        <f t="shared" si="49"/>
        <v>50.5</v>
      </c>
      <c r="M1028" t="str">
        <f t="shared" si="50"/>
        <v>Regular</v>
      </c>
      <c r="N1028">
        <f>IF(M1028=PARAMS_MODELO!$A$36,PARAMS_MODELO!$B$36,IF(M1028=PARAMS_MODELO!$A$37,PARAMS_MODELO!$B$37,IF(M1028=PARAMS_MODELO!$A$38,PARAMS_MODELO!$B$38,IF(M1028=PARAMS_MODELO!$A$39,PARAMS_MODELO!$B$39,IF(M1028=PARAMS_MODELO!$A$40,PARAMS_MODELO!$B$40)))))</f>
        <v>1</v>
      </c>
    </row>
    <row r="1029" spans="1:14" x14ac:dyDescent="0.3">
      <c r="A1029">
        <v>51011945</v>
      </c>
      <c r="B1029">
        <v>3</v>
      </c>
      <c r="C1029">
        <v>83</v>
      </c>
      <c r="D1029">
        <f t="shared" si="48"/>
        <v>3.614457831325301E-2</v>
      </c>
      <c r="E1029">
        <f>ROUND(MIN(5,MAX(0,D1029))/5*PARAMS_MODELO!$B$32,2)</f>
        <v>0.28999999999999998</v>
      </c>
      <c r="F1029">
        <v>2</v>
      </c>
      <c r="G1029">
        <f>MAX(0,PARAMS_MODELO!$B$33-VALUE(TRIM(F1029))*3)</f>
        <v>24</v>
      </c>
      <c r="H1029">
        <v>3</v>
      </c>
      <c r="I1029">
        <f>ROUND(MIN(4,MAX(0,H1029))/4*PARAMS_MODELO!$B$34,2)</f>
        <v>15</v>
      </c>
      <c r="J1029">
        <v>1</v>
      </c>
      <c r="K1029">
        <f>IF(J1029=0,0,PARAMS_MODELO!$B$35)</f>
        <v>10</v>
      </c>
      <c r="L1029">
        <f t="shared" si="49"/>
        <v>49.29</v>
      </c>
      <c r="M1029" t="str">
        <f t="shared" si="50"/>
        <v>Regular</v>
      </c>
      <c r="N1029">
        <f>IF(M1029=PARAMS_MODELO!$A$36,PARAMS_MODELO!$B$36,IF(M1029=PARAMS_MODELO!$A$37,PARAMS_MODELO!$B$37,IF(M1029=PARAMS_MODELO!$A$38,PARAMS_MODELO!$B$38,IF(M1029=PARAMS_MODELO!$A$39,PARAMS_MODELO!$B$39,IF(M1029=PARAMS_MODELO!$A$40,PARAMS_MODELO!$B$40)))))</f>
        <v>1</v>
      </c>
    </row>
    <row r="1030" spans="1:14" x14ac:dyDescent="0.3">
      <c r="A1030">
        <v>51012089</v>
      </c>
      <c r="B1030">
        <v>40</v>
      </c>
      <c r="C1030">
        <v>28</v>
      </c>
      <c r="D1030">
        <f t="shared" si="48"/>
        <v>1.4285714285714286</v>
      </c>
      <c r="E1030">
        <f>ROUND(MIN(5,MAX(0,D1030))/5*PARAMS_MODELO!$B$32,2)</f>
        <v>11.43</v>
      </c>
      <c r="F1030">
        <v>3</v>
      </c>
      <c r="G1030">
        <f>MAX(0,PARAMS_MODELO!$B$33-VALUE(TRIM(F1030))*3)</f>
        <v>21</v>
      </c>
      <c r="H1030">
        <v>2</v>
      </c>
      <c r="I1030">
        <f>ROUND(MIN(4,MAX(0,H1030))/4*PARAMS_MODELO!$B$34,2)</f>
        <v>10</v>
      </c>
      <c r="J1030">
        <v>0</v>
      </c>
      <c r="K1030">
        <f>IF(J1030=0,0,PARAMS_MODELO!$B$35)</f>
        <v>0</v>
      </c>
      <c r="L1030">
        <f t="shared" si="49"/>
        <v>42.43</v>
      </c>
      <c r="M1030" t="str">
        <f t="shared" si="50"/>
        <v>Regular</v>
      </c>
      <c r="N1030">
        <f>IF(M1030=PARAMS_MODELO!$A$36,PARAMS_MODELO!$B$36,IF(M1030=PARAMS_MODELO!$A$37,PARAMS_MODELO!$B$37,IF(M1030=PARAMS_MODELO!$A$38,PARAMS_MODELO!$B$38,IF(M1030=PARAMS_MODELO!$A$39,PARAMS_MODELO!$B$39,IF(M1030=PARAMS_MODELO!$A$40,PARAMS_MODELO!$B$40)))))</f>
        <v>1</v>
      </c>
    </row>
    <row r="1031" spans="1:14" x14ac:dyDescent="0.3">
      <c r="A1031">
        <v>51012283</v>
      </c>
      <c r="B1031">
        <v>59</v>
      </c>
      <c r="C1031">
        <v>28</v>
      </c>
      <c r="D1031">
        <f t="shared" si="48"/>
        <v>2.1071428571428572</v>
      </c>
      <c r="E1031">
        <f>ROUND(MIN(5,MAX(0,D1031))/5*PARAMS_MODELO!$B$32,2)</f>
        <v>16.86</v>
      </c>
      <c r="F1031">
        <v>2</v>
      </c>
      <c r="G1031">
        <f>MAX(0,PARAMS_MODELO!$B$33-VALUE(TRIM(F1031))*3)</f>
        <v>24</v>
      </c>
      <c r="H1031">
        <v>0</v>
      </c>
      <c r="I1031">
        <f>ROUND(MIN(4,MAX(0,H1031))/4*PARAMS_MODELO!$B$34,2)</f>
        <v>0</v>
      </c>
      <c r="J1031">
        <v>0</v>
      </c>
      <c r="K1031">
        <f>IF(J1031=0,0,PARAMS_MODELO!$B$35)</f>
        <v>0</v>
      </c>
      <c r="L1031">
        <f t="shared" si="49"/>
        <v>40.86</v>
      </c>
      <c r="M1031" t="str">
        <f t="shared" si="50"/>
        <v>Regular</v>
      </c>
      <c r="N1031">
        <f>IF(M1031=PARAMS_MODELO!$A$36,PARAMS_MODELO!$B$36,IF(M1031=PARAMS_MODELO!$A$37,PARAMS_MODELO!$B$37,IF(M1031=PARAMS_MODELO!$A$38,PARAMS_MODELO!$B$38,IF(M1031=PARAMS_MODELO!$A$39,PARAMS_MODELO!$B$39,IF(M1031=PARAMS_MODELO!$A$40,PARAMS_MODELO!$B$40)))))</f>
        <v>1</v>
      </c>
    </row>
    <row r="1032" spans="1:14" x14ac:dyDescent="0.3">
      <c r="A1032">
        <v>51012429</v>
      </c>
      <c r="B1032">
        <v>41</v>
      </c>
      <c r="C1032">
        <v>36</v>
      </c>
      <c r="D1032">
        <f t="shared" si="48"/>
        <v>1.1388888888888888</v>
      </c>
      <c r="E1032">
        <f>ROUND(MIN(5,MAX(0,D1032))/5*PARAMS_MODELO!$B$32,2)</f>
        <v>9.11</v>
      </c>
      <c r="F1032">
        <v>5</v>
      </c>
      <c r="G1032">
        <f>MAX(0,PARAMS_MODELO!$B$33-VALUE(TRIM(F1032))*3)</f>
        <v>15</v>
      </c>
      <c r="H1032">
        <v>2</v>
      </c>
      <c r="I1032">
        <f>ROUND(MIN(4,MAX(0,H1032))/4*PARAMS_MODELO!$B$34,2)</f>
        <v>10</v>
      </c>
      <c r="J1032">
        <v>1</v>
      </c>
      <c r="K1032">
        <f>IF(J1032=0,0,PARAMS_MODELO!$B$35)</f>
        <v>10</v>
      </c>
      <c r="L1032">
        <f t="shared" si="49"/>
        <v>44.11</v>
      </c>
      <c r="M1032" t="str">
        <f t="shared" si="50"/>
        <v>Regular</v>
      </c>
      <c r="N1032">
        <f>IF(M1032=PARAMS_MODELO!$A$36,PARAMS_MODELO!$B$36,IF(M1032=PARAMS_MODELO!$A$37,PARAMS_MODELO!$B$37,IF(M1032=PARAMS_MODELO!$A$38,PARAMS_MODELO!$B$38,IF(M1032=PARAMS_MODELO!$A$39,PARAMS_MODELO!$B$39,IF(M1032=PARAMS_MODELO!$A$40,PARAMS_MODELO!$B$40)))))</f>
        <v>1</v>
      </c>
    </row>
    <row r="1033" spans="1:14" x14ac:dyDescent="0.3">
      <c r="A1033">
        <v>51012569</v>
      </c>
      <c r="B1033">
        <v>13</v>
      </c>
      <c r="C1033">
        <v>1</v>
      </c>
      <c r="D1033">
        <f t="shared" si="48"/>
        <v>5</v>
      </c>
      <c r="E1033">
        <f>ROUND(MIN(5,MAX(0,D1033))/5*PARAMS_MODELO!$B$32,2)</f>
        <v>40</v>
      </c>
      <c r="F1033">
        <v>1</v>
      </c>
      <c r="G1033">
        <f>MAX(0,PARAMS_MODELO!$B$33-VALUE(TRIM(F1033))*3)</f>
        <v>27</v>
      </c>
      <c r="H1033">
        <v>3</v>
      </c>
      <c r="I1033">
        <f>ROUND(MIN(4,MAX(0,H1033))/4*PARAMS_MODELO!$B$34,2)</f>
        <v>15</v>
      </c>
      <c r="J1033">
        <v>1</v>
      </c>
      <c r="K1033">
        <f>IF(J1033=0,0,PARAMS_MODELO!$B$35)</f>
        <v>10</v>
      </c>
      <c r="L1033">
        <f t="shared" si="49"/>
        <v>92</v>
      </c>
      <c r="M1033" t="str">
        <f t="shared" si="50"/>
        <v>Excelente</v>
      </c>
      <c r="N1033">
        <f>IF(M1033=PARAMS_MODELO!$A$36,PARAMS_MODELO!$B$36,IF(M1033=PARAMS_MODELO!$A$37,PARAMS_MODELO!$B$37,IF(M1033=PARAMS_MODELO!$A$38,PARAMS_MODELO!$B$38,IF(M1033=PARAMS_MODELO!$A$39,PARAMS_MODELO!$B$39,IF(M1033=PARAMS_MODELO!$A$40,PARAMS_MODELO!$B$40)))))</f>
        <v>1.2</v>
      </c>
    </row>
    <row r="1034" spans="1:14" x14ac:dyDescent="0.3">
      <c r="A1034">
        <v>51012631</v>
      </c>
      <c r="B1034">
        <v>45</v>
      </c>
      <c r="C1034">
        <v>76</v>
      </c>
      <c r="D1034">
        <f t="shared" si="48"/>
        <v>0.59210526315789469</v>
      </c>
      <c r="E1034">
        <f>ROUND(MIN(5,MAX(0,D1034))/5*PARAMS_MODELO!$B$32,2)</f>
        <v>4.74</v>
      </c>
      <c r="F1034">
        <v>1</v>
      </c>
      <c r="G1034">
        <f>MAX(0,PARAMS_MODELO!$B$33-VALUE(TRIM(F1034))*3)</f>
        <v>27</v>
      </c>
      <c r="H1034">
        <v>4</v>
      </c>
      <c r="I1034">
        <f>ROUND(MIN(4,MAX(0,H1034))/4*PARAMS_MODELO!$B$34,2)</f>
        <v>20</v>
      </c>
      <c r="J1034">
        <v>1</v>
      </c>
      <c r="K1034">
        <f>IF(J1034=0,0,PARAMS_MODELO!$B$35)</f>
        <v>10</v>
      </c>
      <c r="L1034">
        <f t="shared" si="49"/>
        <v>61.74</v>
      </c>
      <c r="M1034" t="str">
        <f t="shared" si="50"/>
        <v>Bueno</v>
      </c>
      <c r="N1034">
        <f>IF(M1034=PARAMS_MODELO!$A$36,PARAMS_MODELO!$B$36,IF(M1034=PARAMS_MODELO!$A$37,PARAMS_MODELO!$B$37,IF(M1034=PARAMS_MODELO!$A$38,PARAMS_MODELO!$B$38,IF(M1034=PARAMS_MODELO!$A$39,PARAMS_MODELO!$B$39,IF(M1034=PARAMS_MODELO!$A$40,PARAMS_MODELO!$B$40)))))</f>
        <v>1.1000000000000001</v>
      </c>
    </row>
    <row r="1035" spans="1:14" x14ac:dyDescent="0.3">
      <c r="A1035">
        <v>51012844</v>
      </c>
      <c r="B1035">
        <v>10</v>
      </c>
      <c r="C1035">
        <v>34</v>
      </c>
      <c r="D1035">
        <f t="shared" si="48"/>
        <v>0.29411764705882354</v>
      </c>
      <c r="E1035">
        <f>ROUND(MIN(5,MAX(0,D1035))/5*PARAMS_MODELO!$B$32,2)</f>
        <v>2.35</v>
      </c>
      <c r="F1035">
        <v>5</v>
      </c>
      <c r="G1035">
        <f>MAX(0,PARAMS_MODELO!$B$33-VALUE(TRIM(F1035))*3)</f>
        <v>15</v>
      </c>
      <c r="H1035">
        <v>0</v>
      </c>
      <c r="I1035">
        <f>ROUND(MIN(4,MAX(0,H1035))/4*PARAMS_MODELO!$B$34,2)</f>
        <v>0</v>
      </c>
      <c r="J1035">
        <v>0</v>
      </c>
      <c r="K1035">
        <f>IF(J1035=0,0,PARAMS_MODELO!$B$35)</f>
        <v>0</v>
      </c>
      <c r="L1035">
        <f t="shared" si="49"/>
        <v>17.350000000000001</v>
      </c>
      <c r="M1035" t="str">
        <f t="shared" si="50"/>
        <v>Malo</v>
      </c>
      <c r="N1035">
        <f>IF(M1035=PARAMS_MODELO!$A$36,PARAMS_MODELO!$B$36,IF(M1035=PARAMS_MODELO!$A$37,PARAMS_MODELO!$B$37,IF(M1035=PARAMS_MODELO!$A$38,PARAMS_MODELO!$B$38,IF(M1035=PARAMS_MODELO!$A$39,PARAMS_MODELO!$B$39,IF(M1035=PARAMS_MODELO!$A$40,PARAMS_MODELO!$B$40)))))</f>
        <v>0.7</v>
      </c>
    </row>
    <row r="1036" spans="1:14" x14ac:dyDescent="0.3">
      <c r="A1036">
        <v>51012925</v>
      </c>
      <c r="B1036">
        <v>17</v>
      </c>
      <c r="C1036">
        <v>93</v>
      </c>
      <c r="D1036">
        <f t="shared" si="48"/>
        <v>0.18279569892473119</v>
      </c>
      <c r="E1036">
        <f>ROUND(MIN(5,MAX(0,D1036))/5*PARAMS_MODELO!$B$32,2)</f>
        <v>1.46</v>
      </c>
      <c r="F1036">
        <v>2</v>
      </c>
      <c r="G1036">
        <f>MAX(0,PARAMS_MODELO!$B$33-VALUE(TRIM(F1036))*3)</f>
        <v>24</v>
      </c>
      <c r="H1036">
        <v>0</v>
      </c>
      <c r="I1036">
        <f>ROUND(MIN(4,MAX(0,H1036))/4*PARAMS_MODELO!$B$34,2)</f>
        <v>0</v>
      </c>
      <c r="J1036">
        <v>0</v>
      </c>
      <c r="K1036">
        <f>IF(J1036=0,0,PARAMS_MODELO!$B$35)</f>
        <v>0</v>
      </c>
      <c r="L1036">
        <f t="shared" si="49"/>
        <v>25.46</v>
      </c>
      <c r="M1036" t="str">
        <f t="shared" si="50"/>
        <v>Malo</v>
      </c>
      <c r="N1036">
        <f>IF(M1036=PARAMS_MODELO!$A$36,PARAMS_MODELO!$B$36,IF(M1036=PARAMS_MODELO!$A$37,PARAMS_MODELO!$B$37,IF(M1036=PARAMS_MODELO!$A$38,PARAMS_MODELO!$B$38,IF(M1036=PARAMS_MODELO!$A$39,PARAMS_MODELO!$B$39,IF(M1036=PARAMS_MODELO!$A$40,PARAMS_MODELO!$B$40)))))</f>
        <v>0.7</v>
      </c>
    </row>
    <row r="1037" spans="1:14" x14ac:dyDescent="0.3">
      <c r="A1037">
        <v>51012968</v>
      </c>
      <c r="B1037">
        <v>53</v>
      </c>
      <c r="C1037">
        <v>2</v>
      </c>
      <c r="D1037">
        <f t="shared" si="48"/>
        <v>5</v>
      </c>
      <c r="E1037">
        <f>ROUND(MIN(5,MAX(0,D1037))/5*PARAMS_MODELO!$B$32,2)</f>
        <v>40</v>
      </c>
      <c r="F1037">
        <v>2</v>
      </c>
      <c r="G1037">
        <f>MAX(0,PARAMS_MODELO!$B$33-VALUE(TRIM(F1037))*3)</f>
        <v>24</v>
      </c>
      <c r="H1037">
        <v>2</v>
      </c>
      <c r="I1037">
        <f>ROUND(MIN(4,MAX(0,H1037))/4*PARAMS_MODELO!$B$34,2)</f>
        <v>10</v>
      </c>
      <c r="J1037">
        <v>1</v>
      </c>
      <c r="K1037">
        <f>IF(J1037=0,0,PARAMS_MODELO!$B$35)</f>
        <v>10</v>
      </c>
      <c r="L1037">
        <f t="shared" si="49"/>
        <v>84</v>
      </c>
      <c r="M1037" t="str">
        <f t="shared" si="50"/>
        <v>Muy Bueno</v>
      </c>
      <c r="N1037">
        <f>IF(M1037=PARAMS_MODELO!$A$36,PARAMS_MODELO!$B$36,IF(M1037=PARAMS_MODELO!$A$37,PARAMS_MODELO!$B$37,IF(M1037=PARAMS_MODELO!$A$38,PARAMS_MODELO!$B$38,IF(M1037=PARAMS_MODELO!$A$39,PARAMS_MODELO!$B$39,IF(M1037=PARAMS_MODELO!$A$40,PARAMS_MODELO!$B$40)))))</f>
        <v>1.1499999999999999</v>
      </c>
    </row>
    <row r="1038" spans="1:14" x14ac:dyDescent="0.3">
      <c r="A1038">
        <v>51013042</v>
      </c>
      <c r="B1038">
        <v>66</v>
      </c>
      <c r="C1038">
        <v>79</v>
      </c>
      <c r="D1038">
        <f t="shared" si="48"/>
        <v>0.83544303797468356</v>
      </c>
      <c r="E1038">
        <f>ROUND(MIN(5,MAX(0,D1038))/5*PARAMS_MODELO!$B$32,2)</f>
        <v>6.68</v>
      </c>
      <c r="F1038">
        <v>1</v>
      </c>
      <c r="G1038">
        <f>MAX(0,PARAMS_MODELO!$B$33-VALUE(TRIM(F1038))*3)</f>
        <v>27</v>
      </c>
      <c r="H1038">
        <v>1</v>
      </c>
      <c r="I1038">
        <f>ROUND(MIN(4,MAX(0,H1038))/4*PARAMS_MODELO!$B$34,2)</f>
        <v>5</v>
      </c>
      <c r="J1038">
        <v>1</v>
      </c>
      <c r="K1038">
        <f>IF(J1038=0,0,PARAMS_MODELO!$B$35)</f>
        <v>10</v>
      </c>
      <c r="L1038">
        <f t="shared" si="49"/>
        <v>48.68</v>
      </c>
      <c r="M1038" t="str">
        <f t="shared" si="50"/>
        <v>Regular</v>
      </c>
      <c r="N1038">
        <f>IF(M1038=PARAMS_MODELO!$A$36,PARAMS_MODELO!$B$36,IF(M1038=PARAMS_MODELO!$A$37,PARAMS_MODELO!$B$37,IF(M1038=PARAMS_MODELO!$A$38,PARAMS_MODELO!$B$38,IF(M1038=PARAMS_MODELO!$A$39,PARAMS_MODELO!$B$39,IF(M1038=PARAMS_MODELO!$A$40,PARAMS_MODELO!$B$40)))))</f>
        <v>1</v>
      </c>
    </row>
    <row r="1039" spans="1:14" x14ac:dyDescent="0.3">
      <c r="A1039">
        <v>51013123</v>
      </c>
      <c r="B1039">
        <v>25</v>
      </c>
      <c r="C1039">
        <v>84</v>
      </c>
      <c r="D1039">
        <f t="shared" si="48"/>
        <v>0.29761904761904762</v>
      </c>
      <c r="E1039">
        <f>ROUND(MIN(5,MAX(0,D1039))/5*PARAMS_MODELO!$B$32,2)</f>
        <v>2.38</v>
      </c>
      <c r="F1039">
        <v>0</v>
      </c>
      <c r="G1039">
        <f>MAX(0,PARAMS_MODELO!$B$33-VALUE(TRIM(F1039))*3)</f>
        <v>30</v>
      </c>
      <c r="H1039">
        <v>3</v>
      </c>
      <c r="I1039">
        <f>ROUND(MIN(4,MAX(0,H1039))/4*PARAMS_MODELO!$B$34,2)</f>
        <v>15</v>
      </c>
      <c r="J1039">
        <v>1</v>
      </c>
      <c r="K1039">
        <f>IF(J1039=0,0,PARAMS_MODELO!$B$35)</f>
        <v>10</v>
      </c>
      <c r="L1039">
        <f t="shared" si="49"/>
        <v>57.38</v>
      </c>
      <c r="M1039" t="str">
        <f t="shared" si="50"/>
        <v>Regular</v>
      </c>
      <c r="N1039">
        <f>IF(M1039=PARAMS_MODELO!$A$36,PARAMS_MODELO!$B$36,IF(M1039=PARAMS_MODELO!$A$37,PARAMS_MODELO!$B$37,IF(M1039=PARAMS_MODELO!$A$38,PARAMS_MODELO!$B$38,IF(M1039=PARAMS_MODELO!$A$39,PARAMS_MODELO!$B$39,IF(M1039=PARAMS_MODELO!$A$40,PARAMS_MODELO!$B$40)))))</f>
        <v>1</v>
      </c>
    </row>
    <row r="1040" spans="1:14" x14ac:dyDescent="0.3">
      <c r="A1040">
        <v>51013174</v>
      </c>
      <c r="B1040">
        <v>18</v>
      </c>
      <c r="C1040">
        <v>3</v>
      </c>
      <c r="D1040">
        <f t="shared" si="48"/>
        <v>5</v>
      </c>
      <c r="E1040">
        <f>ROUND(MIN(5,MAX(0,D1040))/5*PARAMS_MODELO!$B$32,2)</f>
        <v>40</v>
      </c>
      <c r="F1040">
        <v>3</v>
      </c>
      <c r="G1040">
        <f>MAX(0,PARAMS_MODELO!$B$33-VALUE(TRIM(F1040))*3)</f>
        <v>21</v>
      </c>
      <c r="H1040">
        <v>4</v>
      </c>
      <c r="I1040">
        <f>ROUND(MIN(4,MAX(0,H1040))/4*PARAMS_MODELO!$B$34,2)</f>
        <v>20</v>
      </c>
      <c r="J1040">
        <v>0</v>
      </c>
      <c r="K1040">
        <f>IF(J1040=0,0,PARAMS_MODELO!$B$35)</f>
        <v>0</v>
      </c>
      <c r="L1040">
        <f t="shared" si="49"/>
        <v>81</v>
      </c>
      <c r="M1040" t="str">
        <f t="shared" si="50"/>
        <v>Muy Bueno</v>
      </c>
      <c r="N1040">
        <f>IF(M1040=PARAMS_MODELO!$A$36,PARAMS_MODELO!$B$36,IF(M1040=PARAMS_MODELO!$A$37,PARAMS_MODELO!$B$37,IF(M1040=PARAMS_MODELO!$A$38,PARAMS_MODELO!$B$38,IF(M1040=PARAMS_MODELO!$A$39,PARAMS_MODELO!$B$39,IF(M1040=PARAMS_MODELO!$A$40,PARAMS_MODELO!$B$40)))))</f>
        <v>1.1499999999999999</v>
      </c>
    </row>
    <row r="1041" spans="1:14" x14ac:dyDescent="0.3">
      <c r="A1041">
        <v>51013263</v>
      </c>
      <c r="B1041">
        <v>5</v>
      </c>
      <c r="C1041">
        <v>28</v>
      </c>
      <c r="D1041">
        <f t="shared" si="48"/>
        <v>0.17857142857142858</v>
      </c>
      <c r="E1041">
        <f>ROUND(MIN(5,MAX(0,D1041))/5*PARAMS_MODELO!$B$32,2)</f>
        <v>1.43</v>
      </c>
      <c r="F1041">
        <v>1</v>
      </c>
      <c r="G1041">
        <f>MAX(0,PARAMS_MODELO!$B$33-VALUE(TRIM(F1041))*3)</f>
        <v>27</v>
      </c>
      <c r="H1041">
        <v>4</v>
      </c>
      <c r="I1041">
        <f>ROUND(MIN(4,MAX(0,H1041))/4*PARAMS_MODELO!$B$34,2)</f>
        <v>20</v>
      </c>
      <c r="J1041">
        <v>1</v>
      </c>
      <c r="K1041">
        <f>IF(J1041=0,0,PARAMS_MODELO!$B$35)</f>
        <v>10</v>
      </c>
      <c r="L1041">
        <f t="shared" si="49"/>
        <v>58.43</v>
      </c>
      <c r="M1041" t="str">
        <f t="shared" si="50"/>
        <v>Regular</v>
      </c>
      <c r="N1041">
        <f>IF(M1041=PARAMS_MODELO!$A$36,PARAMS_MODELO!$B$36,IF(M1041=PARAMS_MODELO!$A$37,PARAMS_MODELO!$B$37,IF(M1041=PARAMS_MODELO!$A$38,PARAMS_MODELO!$B$38,IF(M1041=PARAMS_MODELO!$A$39,PARAMS_MODELO!$B$39,IF(M1041=PARAMS_MODELO!$A$40,PARAMS_MODELO!$B$40)))))</f>
        <v>1</v>
      </c>
    </row>
    <row r="1042" spans="1:14" x14ac:dyDescent="0.3">
      <c r="A1042">
        <v>51013751</v>
      </c>
      <c r="B1042">
        <v>57</v>
      </c>
      <c r="C1042">
        <v>14</v>
      </c>
      <c r="D1042">
        <f t="shared" si="48"/>
        <v>4.0714285714285712</v>
      </c>
      <c r="E1042">
        <f>ROUND(MIN(5,MAX(0,D1042))/5*PARAMS_MODELO!$B$32,2)</f>
        <v>32.57</v>
      </c>
      <c r="F1042">
        <v>5</v>
      </c>
      <c r="G1042">
        <f>MAX(0,PARAMS_MODELO!$B$33-VALUE(TRIM(F1042))*3)</f>
        <v>15</v>
      </c>
      <c r="H1042">
        <v>2</v>
      </c>
      <c r="I1042">
        <f>ROUND(MIN(4,MAX(0,H1042))/4*PARAMS_MODELO!$B$34,2)</f>
        <v>10</v>
      </c>
      <c r="J1042">
        <v>1</v>
      </c>
      <c r="K1042">
        <f>IF(J1042=0,0,PARAMS_MODELO!$B$35)</f>
        <v>10</v>
      </c>
      <c r="L1042">
        <f t="shared" si="49"/>
        <v>67.569999999999993</v>
      </c>
      <c r="M1042" t="str">
        <f t="shared" si="50"/>
        <v>Bueno</v>
      </c>
      <c r="N1042">
        <f>IF(M1042=PARAMS_MODELO!$A$36,PARAMS_MODELO!$B$36,IF(M1042=PARAMS_MODELO!$A$37,PARAMS_MODELO!$B$37,IF(M1042=PARAMS_MODELO!$A$38,PARAMS_MODELO!$B$38,IF(M1042=PARAMS_MODELO!$A$39,PARAMS_MODELO!$B$39,IF(M1042=PARAMS_MODELO!$A$40,PARAMS_MODELO!$B$40)))))</f>
        <v>1.1000000000000001</v>
      </c>
    </row>
    <row r="1043" spans="1:14" x14ac:dyDescent="0.3">
      <c r="A1043">
        <v>51013905</v>
      </c>
      <c r="B1043">
        <v>43</v>
      </c>
      <c r="C1043">
        <v>17</v>
      </c>
      <c r="D1043">
        <f t="shared" si="48"/>
        <v>2.5294117647058822</v>
      </c>
      <c r="E1043">
        <f>ROUND(MIN(5,MAX(0,D1043))/5*PARAMS_MODELO!$B$32,2)</f>
        <v>20.239999999999998</v>
      </c>
      <c r="F1043">
        <v>0</v>
      </c>
      <c r="G1043">
        <f>MAX(0,PARAMS_MODELO!$B$33-VALUE(TRIM(F1043))*3)</f>
        <v>30</v>
      </c>
      <c r="H1043">
        <v>0</v>
      </c>
      <c r="I1043">
        <f>ROUND(MIN(4,MAX(0,H1043))/4*PARAMS_MODELO!$B$34,2)</f>
        <v>0</v>
      </c>
      <c r="J1043">
        <v>0</v>
      </c>
      <c r="K1043">
        <f>IF(J1043=0,0,PARAMS_MODELO!$B$35)</f>
        <v>0</v>
      </c>
      <c r="L1043">
        <f t="shared" si="49"/>
        <v>50.239999999999995</v>
      </c>
      <c r="M1043" t="str">
        <f t="shared" si="50"/>
        <v>Regular</v>
      </c>
      <c r="N1043">
        <f>IF(M1043=PARAMS_MODELO!$A$36,PARAMS_MODELO!$B$36,IF(M1043=PARAMS_MODELO!$A$37,PARAMS_MODELO!$B$37,IF(M1043=PARAMS_MODELO!$A$38,PARAMS_MODELO!$B$38,IF(M1043=PARAMS_MODELO!$A$39,PARAMS_MODELO!$B$39,IF(M1043=PARAMS_MODELO!$A$40,PARAMS_MODELO!$B$40)))))</f>
        <v>1</v>
      </c>
    </row>
    <row r="1044" spans="1:14" x14ac:dyDescent="0.3">
      <c r="A1044">
        <v>51014073</v>
      </c>
      <c r="B1044">
        <v>17</v>
      </c>
      <c r="C1044">
        <v>96</v>
      </c>
      <c r="D1044">
        <f t="shared" si="48"/>
        <v>0.17708333333333334</v>
      </c>
      <c r="E1044">
        <f>ROUND(MIN(5,MAX(0,D1044))/5*PARAMS_MODELO!$B$32,2)</f>
        <v>1.42</v>
      </c>
      <c r="F1044">
        <v>1</v>
      </c>
      <c r="G1044">
        <f>MAX(0,PARAMS_MODELO!$B$33-VALUE(TRIM(F1044))*3)</f>
        <v>27</v>
      </c>
      <c r="H1044">
        <v>1</v>
      </c>
      <c r="I1044">
        <f>ROUND(MIN(4,MAX(0,H1044))/4*PARAMS_MODELO!$B$34,2)</f>
        <v>5</v>
      </c>
      <c r="J1044">
        <v>1</v>
      </c>
      <c r="K1044">
        <f>IF(J1044=0,0,PARAMS_MODELO!$B$35)</f>
        <v>10</v>
      </c>
      <c r="L1044">
        <f t="shared" si="49"/>
        <v>43.42</v>
      </c>
      <c r="M1044" t="str">
        <f t="shared" si="50"/>
        <v>Regular</v>
      </c>
      <c r="N1044">
        <f>IF(M1044=PARAMS_MODELO!$A$36,PARAMS_MODELO!$B$36,IF(M1044=PARAMS_MODELO!$A$37,PARAMS_MODELO!$B$37,IF(M1044=PARAMS_MODELO!$A$38,PARAMS_MODELO!$B$38,IF(M1044=PARAMS_MODELO!$A$39,PARAMS_MODELO!$B$39,IF(M1044=PARAMS_MODELO!$A$40,PARAMS_MODELO!$B$40)))))</f>
        <v>1</v>
      </c>
    </row>
    <row r="1045" spans="1:14" x14ac:dyDescent="0.3">
      <c r="A1045">
        <v>51014154</v>
      </c>
      <c r="B1045">
        <v>30</v>
      </c>
      <c r="C1045">
        <v>87</v>
      </c>
      <c r="D1045">
        <f t="shared" si="48"/>
        <v>0.34482758620689657</v>
      </c>
      <c r="E1045">
        <f>ROUND(MIN(5,MAX(0,D1045))/5*PARAMS_MODELO!$B$32,2)</f>
        <v>2.76</v>
      </c>
      <c r="F1045">
        <v>1</v>
      </c>
      <c r="G1045">
        <f>MAX(0,PARAMS_MODELO!$B$33-VALUE(TRIM(F1045))*3)</f>
        <v>27</v>
      </c>
      <c r="H1045">
        <v>1</v>
      </c>
      <c r="I1045">
        <f>ROUND(MIN(4,MAX(0,H1045))/4*PARAMS_MODELO!$B$34,2)</f>
        <v>5</v>
      </c>
      <c r="J1045">
        <v>0</v>
      </c>
      <c r="K1045">
        <f>IF(J1045=0,0,PARAMS_MODELO!$B$35)</f>
        <v>0</v>
      </c>
      <c r="L1045">
        <f t="shared" si="49"/>
        <v>34.76</v>
      </c>
      <c r="M1045" t="str">
        <f t="shared" si="50"/>
        <v>Malo</v>
      </c>
      <c r="N1045">
        <f>IF(M1045=PARAMS_MODELO!$A$36,PARAMS_MODELO!$B$36,IF(M1045=PARAMS_MODELO!$A$37,PARAMS_MODELO!$B$37,IF(M1045=PARAMS_MODELO!$A$38,PARAMS_MODELO!$B$38,IF(M1045=PARAMS_MODELO!$A$39,PARAMS_MODELO!$B$39,IF(M1045=PARAMS_MODELO!$A$40,PARAMS_MODELO!$B$40)))))</f>
        <v>0.7</v>
      </c>
    </row>
    <row r="1046" spans="1:14" x14ac:dyDescent="0.3">
      <c r="A1046">
        <v>51014227</v>
      </c>
      <c r="B1046">
        <v>75</v>
      </c>
      <c r="C1046">
        <v>63</v>
      </c>
      <c r="D1046">
        <f t="shared" si="48"/>
        <v>1.1904761904761905</v>
      </c>
      <c r="E1046">
        <f>ROUND(MIN(5,MAX(0,D1046))/5*PARAMS_MODELO!$B$32,2)</f>
        <v>9.52</v>
      </c>
      <c r="F1046">
        <v>1</v>
      </c>
      <c r="G1046">
        <f>MAX(0,PARAMS_MODELO!$B$33-VALUE(TRIM(F1046))*3)</f>
        <v>27</v>
      </c>
      <c r="H1046">
        <v>3</v>
      </c>
      <c r="I1046">
        <f>ROUND(MIN(4,MAX(0,H1046))/4*PARAMS_MODELO!$B$34,2)</f>
        <v>15</v>
      </c>
      <c r="J1046">
        <v>0</v>
      </c>
      <c r="K1046">
        <f>IF(J1046=0,0,PARAMS_MODELO!$B$35)</f>
        <v>0</v>
      </c>
      <c r="L1046">
        <f t="shared" si="49"/>
        <v>51.519999999999996</v>
      </c>
      <c r="M1046" t="str">
        <f t="shared" si="50"/>
        <v>Regular</v>
      </c>
      <c r="N1046">
        <f>IF(M1046=PARAMS_MODELO!$A$36,PARAMS_MODELO!$B$36,IF(M1046=PARAMS_MODELO!$A$37,PARAMS_MODELO!$B$37,IF(M1046=PARAMS_MODELO!$A$38,PARAMS_MODELO!$B$38,IF(M1046=PARAMS_MODELO!$A$39,PARAMS_MODELO!$B$39,IF(M1046=PARAMS_MODELO!$A$40,PARAMS_MODELO!$B$40)))))</f>
        <v>1</v>
      </c>
    </row>
    <row r="1047" spans="1:14" x14ac:dyDescent="0.3">
      <c r="A1047">
        <v>51014651</v>
      </c>
      <c r="B1047">
        <v>85</v>
      </c>
      <c r="C1047">
        <v>65</v>
      </c>
      <c r="D1047">
        <f t="shared" si="48"/>
        <v>1.3076923076923077</v>
      </c>
      <c r="E1047">
        <f>ROUND(MIN(5,MAX(0,D1047))/5*PARAMS_MODELO!$B$32,2)</f>
        <v>10.46</v>
      </c>
      <c r="F1047">
        <v>1</v>
      </c>
      <c r="G1047">
        <f>MAX(0,PARAMS_MODELO!$B$33-VALUE(TRIM(F1047))*3)</f>
        <v>27</v>
      </c>
      <c r="H1047">
        <v>2</v>
      </c>
      <c r="I1047">
        <f>ROUND(MIN(4,MAX(0,H1047))/4*PARAMS_MODELO!$B$34,2)</f>
        <v>10</v>
      </c>
      <c r="J1047">
        <v>1</v>
      </c>
      <c r="K1047">
        <f>IF(J1047=0,0,PARAMS_MODELO!$B$35)</f>
        <v>10</v>
      </c>
      <c r="L1047">
        <f t="shared" si="49"/>
        <v>57.46</v>
      </c>
      <c r="M1047" t="str">
        <f t="shared" si="50"/>
        <v>Regular</v>
      </c>
      <c r="N1047">
        <f>IF(M1047=PARAMS_MODELO!$A$36,PARAMS_MODELO!$B$36,IF(M1047=PARAMS_MODELO!$A$37,PARAMS_MODELO!$B$37,IF(M1047=PARAMS_MODELO!$A$38,PARAMS_MODELO!$B$38,IF(M1047=PARAMS_MODELO!$A$39,PARAMS_MODELO!$B$39,IF(M1047=PARAMS_MODELO!$A$40,PARAMS_MODELO!$B$40)))))</f>
        <v>1</v>
      </c>
    </row>
    <row r="1048" spans="1:14" x14ac:dyDescent="0.3">
      <c r="A1048">
        <v>51014723</v>
      </c>
      <c r="B1048">
        <v>86</v>
      </c>
      <c r="C1048">
        <v>85</v>
      </c>
      <c r="D1048">
        <f t="shared" si="48"/>
        <v>1.0117647058823529</v>
      </c>
      <c r="E1048">
        <f>ROUND(MIN(5,MAX(0,D1048))/5*PARAMS_MODELO!$B$32,2)</f>
        <v>8.09</v>
      </c>
      <c r="F1048">
        <v>5</v>
      </c>
      <c r="G1048">
        <f>MAX(0,PARAMS_MODELO!$B$33-VALUE(TRIM(F1048))*3)</f>
        <v>15</v>
      </c>
      <c r="H1048">
        <v>1</v>
      </c>
      <c r="I1048">
        <f>ROUND(MIN(4,MAX(0,H1048))/4*PARAMS_MODELO!$B$34,2)</f>
        <v>5</v>
      </c>
      <c r="J1048">
        <v>0</v>
      </c>
      <c r="K1048">
        <f>IF(J1048=0,0,PARAMS_MODELO!$B$35)</f>
        <v>0</v>
      </c>
      <c r="L1048">
        <f t="shared" si="49"/>
        <v>28.09</v>
      </c>
      <c r="M1048" t="str">
        <f t="shared" si="50"/>
        <v>Malo</v>
      </c>
      <c r="N1048">
        <f>IF(M1048=PARAMS_MODELO!$A$36,PARAMS_MODELO!$B$36,IF(M1048=PARAMS_MODELO!$A$37,PARAMS_MODELO!$B$37,IF(M1048=PARAMS_MODELO!$A$38,PARAMS_MODELO!$B$38,IF(M1048=PARAMS_MODELO!$A$39,PARAMS_MODELO!$B$39,IF(M1048=PARAMS_MODELO!$A$40,PARAMS_MODELO!$B$40)))))</f>
        <v>0.7</v>
      </c>
    </row>
    <row r="1049" spans="1:14" x14ac:dyDescent="0.3">
      <c r="A1049">
        <v>51015282</v>
      </c>
      <c r="B1049">
        <v>21</v>
      </c>
      <c r="C1049">
        <v>43</v>
      </c>
      <c r="D1049">
        <f t="shared" si="48"/>
        <v>0.48837209302325579</v>
      </c>
      <c r="E1049">
        <f>ROUND(MIN(5,MAX(0,D1049))/5*PARAMS_MODELO!$B$32,2)</f>
        <v>3.91</v>
      </c>
      <c r="F1049">
        <v>0</v>
      </c>
      <c r="G1049">
        <f>MAX(0,PARAMS_MODELO!$B$33-VALUE(TRIM(F1049))*3)</f>
        <v>30</v>
      </c>
      <c r="H1049">
        <v>4</v>
      </c>
      <c r="I1049">
        <f>ROUND(MIN(4,MAX(0,H1049))/4*PARAMS_MODELO!$B$34,2)</f>
        <v>20</v>
      </c>
      <c r="J1049">
        <v>1</v>
      </c>
      <c r="K1049">
        <f>IF(J1049=0,0,PARAMS_MODELO!$B$35)</f>
        <v>10</v>
      </c>
      <c r="L1049">
        <f t="shared" si="49"/>
        <v>63.91</v>
      </c>
      <c r="M1049" t="str">
        <f t="shared" si="50"/>
        <v>Bueno</v>
      </c>
      <c r="N1049">
        <f>IF(M1049=PARAMS_MODELO!$A$36,PARAMS_MODELO!$B$36,IF(M1049=PARAMS_MODELO!$A$37,PARAMS_MODELO!$B$37,IF(M1049=PARAMS_MODELO!$A$38,PARAMS_MODELO!$B$38,IF(M1049=PARAMS_MODELO!$A$39,PARAMS_MODELO!$B$39,IF(M1049=PARAMS_MODELO!$A$40,PARAMS_MODELO!$B$40)))))</f>
        <v>1.1000000000000001</v>
      </c>
    </row>
    <row r="1050" spans="1:14" x14ac:dyDescent="0.3">
      <c r="A1050">
        <v>51015576</v>
      </c>
      <c r="B1050">
        <v>96</v>
      </c>
      <c r="C1050">
        <v>85</v>
      </c>
      <c r="D1050">
        <f t="shared" si="48"/>
        <v>1.1294117647058823</v>
      </c>
      <c r="E1050">
        <f>ROUND(MIN(5,MAX(0,D1050))/5*PARAMS_MODELO!$B$32,2)</f>
        <v>9.0399999999999991</v>
      </c>
      <c r="F1050">
        <v>3</v>
      </c>
      <c r="G1050">
        <f>MAX(0,PARAMS_MODELO!$B$33-VALUE(TRIM(F1050))*3)</f>
        <v>21</v>
      </c>
      <c r="H1050">
        <v>2</v>
      </c>
      <c r="I1050">
        <f>ROUND(MIN(4,MAX(0,H1050))/4*PARAMS_MODELO!$B$34,2)</f>
        <v>10</v>
      </c>
      <c r="J1050">
        <v>0</v>
      </c>
      <c r="K1050">
        <f>IF(J1050=0,0,PARAMS_MODELO!$B$35)</f>
        <v>0</v>
      </c>
      <c r="L1050">
        <f t="shared" si="49"/>
        <v>40.04</v>
      </c>
      <c r="M1050" t="str">
        <f t="shared" si="50"/>
        <v>Regular</v>
      </c>
      <c r="N1050">
        <f>IF(M1050=PARAMS_MODELO!$A$36,PARAMS_MODELO!$B$36,IF(M1050=PARAMS_MODELO!$A$37,PARAMS_MODELO!$B$37,IF(M1050=PARAMS_MODELO!$A$38,PARAMS_MODELO!$B$38,IF(M1050=PARAMS_MODELO!$A$39,PARAMS_MODELO!$B$39,IF(M1050=PARAMS_MODELO!$A$40,PARAMS_MODELO!$B$40)))))</f>
        <v>1</v>
      </c>
    </row>
    <row r="1051" spans="1:14" x14ac:dyDescent="0.3">
      <c r="A1051">
        <v>51015690</v>
      </c>
      <c r="B1051">
        <v>90</v>
      </c>
      <c r="C1051">
        <v>100</v>
      </c>
      <c r="D1051">
        <f t="shared" si="48"/>
        <v>0.9</v>
      </c>
      <c r="E1051">
        <f>ROUND(MIN(5,MAX(0,D1051))/5*PARAMS_MODELO!$B$32,2)</f>
        <v>7.2</v>
      </c>
      <c r="F1051">
        <v>3</v>
      </c>
      <c r="G1051">
        <f>MAX(0,PARAMS_MODELO!$B$33-VALUE(TRIM(F1051))*3)</f>
        <v>21</v>
      </c>
      <c r="H1051">
        <v>3</v>
      </c>
      <c r="I1051">
        <f>ROUND(MIN(4,MAX(0,H1051))/4*PARAMS_MODELO!$B$34,2)</f>
        <v>15</v>
      </c>
      <c r="J1051">
        <v>1</v>
      </c>
      <c r="K1051">
        <f>IF(J1051=0,0,PARAMS_MODELO!$B$35)</f>
        <v>10</v>
      </c>
      <c r="L1051">
        <f t="shared" si="49"/>
        <v>53.2</v>
      </c>
      <c r="M1051" t="str">
        <f t="shared" si="50"/>
        <v>Regular</v>
      </c>
      <c r="N1051">
        <f>IF(M1051=PARAMS_MODELO!$A$36,PARAMS_MODELO!$B$36,IF(M1051=PARAMS_MODELO!$A$37,PARAMS_MODELO!$B$37,IF(M1051=PARAMS_MODELO!$A$38,PARAMS_MODELO!$B$38,IF(M1051=PARAMS_MODELO!$A$39,PARAMS_MODELO!$B$39,IF(M1051=PARAMS_MODELO!$A$40,PARAMS_MODELO!$B$40)))))</f>
        <v>1</v>
      </c>
    </row>
    <row r="1052" spans="1:14" x14ac:dyDescent="0.3">
      <c r="A1052">
        <v>51015738</v>
      </c>
      <c r="B1052">
        <v>89</v>
      </c>
      <c r="C1052">
        <v>30</v>
      </c>
      <c r="D1052">
        <f t="shared" si="48"/>
        <v>2.9666666666666668</v>
      </c>
      <c r="E1052">
        <f>ROUND(MIN(5,MAX(0,D1052))/5*PARAMS_MODELO!$B$32,2)</f>
        <v>23.73</v>
      </c>
      <c r="F1052">
        <v>4</v>
      </c>
      <c r="G1052">
        <f>MAX(0,PARAMS_MODELO!$B$33-VALUE(TRIM(F1052))*3)</f>
        <v>18</v>
      </c>
      <c r="H1052">
        <v>1</v>
      </c>
      <c r="I1052">
        <f>ROUND(MIN(4,MAX(0,H1052))/4*PARAMS_MODELO!$B$34,2)</f>
        <v>5</v>
      </c>
      <c r="J1052">
        <v>1</v>
      </c>
      <c r="K1052">
        <f>IF(J1052=0,0,PARAMS_MODELO!$B$35)</f>
        <v>10</v>
      </c>
      <c r="L1052">
        <f t="shared" si="49"/>
        <v>56.730000000000004</v>
      </c>
      <c r="M1052" t="str">
        <f t="shared" si="50"/>
        <v>Regular</v>
      </c>
      <c r="N1052">
        <f>IF(M1052=PARAMS_MODELO!$A$36,PARAMS_MODELO!$B$36,IF(M1052=PARAMS_MODELO!$A$37,PARAMS_MODELO!$B$37,IF(M1052=PARAMS_MODELO!$A$38,PARAMS_MODELO!$B$38,IF(M1052=PARAMS_MODELO!$A$39,PARAMS_MODELO!$B$39,IF(M1052=PARAMS_MODELO!$A$40,PARAMS_MODELO!$B$40)))))</f>
        <v>1</v>
      </c>
    </row>
    <row r="1053" spans="1:14" x14ac:dyDescent="0.3">
      <c r="A1053">
        <v>51015959</v>
      </c>
      <c r="B1053">
        <v>24</v>
      </c>
      <c r="C1053">
        <v>97</v>
      </c>
      <c r="D1053">
        <f t="shared" si="48"/>
        <v>0.24742268041237114</v>
      </c>
      <c r="E1053">
        <f>ROUND(MIN(5,MAX(0,D1053))/5*PARAMS_MODELO!$B$32,2)</f>
        <v>1.98</v>
      </c>
      <c r="F1053">
        <v>5</v>
      </c>
      <c r="G1053">
        <f>MAX(0,PARAMS_MODELO!$B$33-VALUE(TRIM(F1053))*3)</f>
        <v>15</v>
      </c>
      <c r="H1053">
        <v>2</v>
      </c>
      <c r="I1053">
        <f>ROUND(MIN(4,MAX(0,H1053))/4*PARAMS_MODELO!$B$34,2)</f>
        <v>10</v>
      </c>
      <c r="J1053">
        <v>0</v>
      </c>
      <c r="K1053">
        <f>IF(J1053=0,0,PARAMS_MODELO!$B$35)</f>
        <v>0</v>
      </c>
      <c r="L1053">
        <f t="shared" si="49"/>
        <v>26.98</v>
      </c>
      <c r="M1053" t="str">
        <f t="shared" si="50"/>
        <v>Malo</v>
      </c>
      <c r="N1053">
        <f>IF(M1053=PARAMS_MODELO!$A$36,PARAMS_MODELO!$B$36,IF(M1053=PARAMS_MODELO!$A$37,PARAMS_MODELO!$B$37,IF(M1053=PARAMS_MODELO!$A$38,PARAMS_MODELO!$B$38,IF(M1053=PARAMS_MODELO!$A$39,PARAMS_MODELO!$B$39,IF(M1053=PARAMS_MODELO!$A$40,PARAMS_MODELO!$B$40)))))</f>
        <v>0.7</v>
      </c>
    </row>
    <row r="1054" spans="1:14" x14ac:dyDescent="0.3">
      <c r="A1054">
        <v>51015991</v>
      </c>
      <c r="B1054">
        <v>14</v>
      </c>
      <c r="C1054">
        <v>61</v>
      </c>
      <c r="D1054">
        <f t="shared" si="48"/>
        <v>0.22950819672131148</v>
      </c>
      <c r="E1054">
        <f>ROUND(MIN(5,MAX(0,D1054))/5*PARAMS_MODELO!$B$32,2)</f>
        <v>1.84</v>
      </c>
      <c r="F1054">
        <v>5</v>
      </c>
      <c r="G1054">
        <f>MAX(0,PARAMS_MODELO!$B$33-VALUE(TRIM(F1054))*3)</f>
        <v>15</v>
      </c>
      <c r="H1054">
        <v>0</v>
      </c>
      <c r="I1054">
        <f>ROUND(MIN(4,MAX(0,H1054))/4*PARAMS_MODELO!$B$34,2)</f>
        <v>0</v>
      </c>
      <c r="J1054">
        <v>0</v>
      </c>
      <c r="K1054">
        <f>IF(J1054=0,0,PARAMS_MODELO!$B$35)</f>
        <v>0</v>
      </c>
      <c r="L1054">
        <f t="shared" si="49"/>
        <v>16.84</v>
      </c>
      <c r="M1054" t="str">
        <f t="shared" si="50"/>
        <v>Malo</v>
      </c>
      <c r="N1054">
        <f>IF(M1054=PARAMS_MODELO!$A$36,PARAMS_MODELO!$B$36,IF(M1054=PARAMS_MODELO!$A$37,PARAMS_MODELO!$B$37,IF(M1054=PARAMS_MODELO!$A$38,PARAMS_MODELO!$B$38,IF(M1054=PARAMS_MODELO!$A$39,PARAMS_MODELO!$B$39,IF(M1054=PARAMS_MODELO!$A$40,PARAMS_MODELO!$B$40)))))</f>
        <v>0.7</v>
      </c>
    </row>
    <row r="1055" spans="1:14" x14ac:dyDescent="0.3">
      <c r="A1055">
        <v>51016122</v>
      </c>
      <c r="B1055">
        <v>87</v>
      </c>
      <c r="C1055">
        <v>89</v>
      </c>
      <c r="D1055">
        <f t="shared" si="48"/>
        <v>0.97752808988764039</v>
      </c>
      <c r="E1055">
        <f>ROUND(MIN(5,MAX(0,D1055))/5*PARAMS_MODELO!$B$32,2)</f>
        <v>7.82</v>
      </c>
      <c r="F1055">
        <v>4</v>
      </c>
      <c r="G1055">
        <f>MAX(0,PARAMS_MODELO!$B$33-VALUE(TRIM(F1055))*3)</f>
        <v>18</v>
      </c>
      <c r="H1055">
        <v>3</v>
      </c>
      <c r="I1055">
        <f>ROUND(MIN(4,MAX(0,H1055))/4*PARAMS_MODELO!$B$34,2)</f>
        <v>15</v>
      </c>
      <c r="J1055">
        <v>0</v>
      </c>
      <c r="K1055">
        <f>IF(J1055=0,0,PARAMS_MODELO!$B$35)</f>
        <v>0</v>
      </c>
      <c r="L1055">
        <f t="shared" si="49"/>
        <v>40.82</v>
      </c>
      <c r="M1055" t="str">
        <f t="shared" si="50"/>
        <v>Regular</v>
      </c>
      <c r="N1055">
        <f>IF(M1055=PARAMS_MODELO!$A$36,PARAMS_MODELO!$B$36,IF(M1055=PARAMS_MODELO!$A$37,PARAMS_MODELO!$B$37,IF(M1055=PARAMS_MODELO!$A$38,PARAMS_MODELO!$B$38,IF(M1055=PARAMS_MODELO!$A$39,PARAMS_MODELO!$B$39,IF(M1055=PARAMS_MODELO!$A$40,PARAMS_MODELO!$B$40)))))</f>
        <v>1</v>
      </c>
    </row>
    <row r="1056" spans="1:14" x14ac:dyDescent="0.3">
      <c r="A1056">
        <v>51016190</v>
      </c>
      <c r="B1056">
        <v>47</v>
      </c>
      <c r="C1056">
        <v>31</v>
      </c>
      <c r="D1056">
        <f t="shared" si="48"/>
        <v>1.5161290322580645</v>
      </c>
      <c r="E1056">
        <f>ROUND(MIN(5,MAX(0,D1056))/5*PARAMS_MODELO!$B$32,2)</f>
        <v>12.13</v>
      </c>
      <c r="F1056">
        <v>4</v>
      </c>
      <c r="G1056">
        <f>MAX(0,PARAMS_MODELO!$B$33-VALUE(TRIM(F1056))*3)</f>
        <v>18</v>
      </c>
      <c r="H1056">
        <v>2</v>
      </c>
      <c r="I1056">
        <f>ROUND(MIN(4,MAX(0,H1056))/4*PARAMS_MODELO!$B$34,2)</f>
        <v>10</v>
      </c>
      <c r="J1056">
        <v>0</v>
      </c>
      <c r="K1056">
        <f>IF(J1056=0,0,PARAMS_MODELO!$B$35)</f>
        <v>0</v>
      </c>
      <c r="L1056">
        <f t="shared" si="49"/>
        <v>40.130000000000003</v>
      </c>
      <c r="M1056" t="str">
        <f t="shared" si="50"/>
        <v>Regular</v>
      </c>
      <c r="N1056">
        <f>IF(M1056=PARAMS_MODELO!$A$36,PARAMS_MODELO!$B$36,IF(M1056=PARAMS_MODELO!$A$37,PARAMS_MODELO!$B$37,IF(M1056=PARAMS_MODELO!$A$38,PARAMS_MODELO!$B$38,IF(M1056=PARAMS_MODELO!$A$39,PARAMS_MODELO!$B$39,IF(M1056=PARAMS_MODELO!$A$40,PARAMS_MODELO!$B$40)))))</f>
        <v>1</v>
      </c>
    </row>
    <row r="1057" spans="1:14" x14ac:dyDescent="0.3">
      <c r="A1057">
        <v>51016505</v>
      </c>
      <c r="B1057">
        <v>89</v>
      </c>
      <c r="C1057">
        <v>85</v>
      </c>
      <c r="D1057">
        <f t="shared" si="48"/>
        <v>1.0470588235294118</v>
      </c>
      <c r="E1057">
        <f>ROUND(MIN(5,MAX(0,D1057))/5*PARAMS_MODELO!$B$32,2)</f>
        <v>8.3800000000000008</v>
      </c>
      <c r="F1057">
        <v>2</v>
      </c>
      <c r="G1057">
        <f>MAX(0,PARAMS_MODELO!$B$33-VALUE(TRIM(F1057))*3)</f>
        <v>24</v>
      </c>
      <c r="H1057">
        <v>0</v>
      </c>
      <c r="I1057">
        <f>ROUND(MIN(4,MAX(0,H1057))/4*PARAMS_MODELO!$B$34,2)</f>
        <v>0</v>
      </c>
      <c r="J1057">
        <v>1</v>
      </c>
      <c r="K1057">
        <f>IF(J1057=0,0,PARAMS_MODELO!$B$35)</f>
        <v>10</v>
      </c>
      <c r="L1057">
        <f t="shared" si="49"/>
        <v>42.38</v>
      </c>
      <c r="M1057" t="str">
        <f t="shared" si="50"/>
        <v>Regular</v>
      </c>
      <c r="N1057">
        <f>IF(M1057=PARAMS_MODELO!$A$36,PARAMS_MODELO!$B$36,IF(M1057=PARAMS_MODELO!$A$37,PARAMS_MODELO!$B$37,IF(M1057=PARAMS_MODELO!$A$38,PARAMS_MODELO!$B$38,IF(M1057=PARAMS_MODELO!$A$39,PARAMS_MODELO!$B$39,IF(M1057=PARAMS_MODELO!$A$40,PARAMS_MODELO!$B$40)))))</f>
        <v>1</v>
      </c>
    </row>
    <row r="1058" spans="1:14" x14ac:dyDescent="0.3">
      <c r="A1058">
        <v>51016670</v>
      </c>
      <c r="B1058">
        <v>89</v>
      </c>
      <c r="C1058">
        <v>72</v>
      </c>
      <c r="D1058">
        <f t="shared" si="48"/>
        <v>1.2361111111111112</v>
      </c>
      <c r="E1058">
        <f>ROUND(MIN(5,MAX(0,D1058))/5*PARAMS_MODELO!$B$32,2)</f>
        <v>9.89</v>
      </c>
      <c r="F1058">
        <v>5</v>
      </c>
      <c r="G1058">
        <f>MAX(0,PARAMS_MODELO!$B$33-VALUE(TRIM(F1058))*3)</f>
        <v>15</v>
      </c>
      <c r="H1058">
        <v>4</v>
      </c>
      <c r="I1058">
        <f>ROUND(MIN(4,MAX(0,H1058))/4*PARAMS_MODELO!$B$34,2)</f>
        <v>20</v>
      </c>
      <c r="J1058">
        <v>1</v>
      </c>
      <c r="K1058">
        <f>IF(J1058=0,0,PARAMS_MODELO!$B$35)</f>
        <v>10</v>
      </c>
      <c r="L1058">
        <f t="shared" si="49"/>
        <v>54.89</v>
      </c>
      <c r="M1058" t="str">
        <f t="shared" si="50"/>
        <v>Regular</v>
      </c>
      <c r="N1058">
        <f>IF(M1058=PARAMS_MODELO!$A$36,PARAMS_MODELO!$B$36,IF(M1058=PARAMS_MODELO!$A$37,PARAMS_MODELO!$B$37,IF(M1058=PARAMS_MODELO!$A$38,PARAMS_MODELO!$B$38,IF(M1058=PARAMS_MODELO!$A$39,PARAMS_MODELO!$B$39,IF(M1058=PARAMS_MODELO!$A$40,PARAMS_MODELO!$B$40)))))</f>
        <v>1</v>
      </c>
    </row>
    <row r="1059" spans="1:14" x14ac:dyDescent="0.3">
      <c r="A1059">
        <v>51016751</v>
      </c>
      <c r="B1059">
        <v>31</v>
      </c>
      <c r="C1059">
        <v>30</v>
      </c>
      <c r="D1059">
        <f t="shared" si="48"/>
        <v>1.0333333333333334</v>
      </c>
      <c r="E1059">
        <f>ROUND(MIN(5,MAX(0,D1059))/5*PARAMS_MODELO!$B$32,2)</f>
        <v>8.27</v>
      </c>
      <c r="F1059">
        <v>5</v>
      </c>
      <c r="G1059">
        <f>MAX(0,PARAMS_MODELO!$B$33-VALUE(TRIM(F1059))*3)</f>
        <v>15</v>
      </c>
      <c r="H1059">
        <v>0</v>
      </c>
      <c r="I1059">
        <f>ROUND(MIN(4,MAX(0,H1059))/4*PARAMS_MODELO!$B$34,2)</f>
        <v>0</v>
      </c>
      <c r="J1059">
        <v>1</v>
      </c>
      <c r="K1059">
        <f>IF(J1059=0,0,PARAMS_MODELO!$B$35)</f>
        <v>10</v>
      </c>
      <c r="L1059">
        <f t="shared" si="49"/>
        <v>33.269999999999996</v>
      </c>
      <c r="M1059" t="str">
        <f t="shared" si="50"/>
        <v>Malo</v>
      </c>
      <c r="N1059">
        <f>IF(M1059=PARAMS_MODELO!$A$36,PARAMS_MODELO!$B$36,IF(M1059=PARAMS_MODELO!$A$37,PARAMS_MODELO!$B$37,IF(M1059=PARAMS_MODELO!$A$38,PARAMS_MODELO!$B$38,IF(M1059=PARAMS_MODELO!$A$39,PARAMS_MODELO!$B$39,IF(M1059=PARAMS_MODELO!$A$40,PARAMS_MODELO!$B$40)))))</f>
        <v>0.7</v>
      </c>
    </row>
    <row r="1060" spans="1:14" x14ac:dyDescent="0.3">
      <c r="A1060">
        <v>51016769</v>
      </c>
      <c r="B1060">
        <v>78</v>
      </c>
      <c r="C1060">
        <v>25</v>
      </c>
      <c r="D1060">
        <f t="shared" si="48"/>
        <v>3.12</v>
      </c>
      <c r="E1060">
        <f>ROUND(MIN(5,MAX(0,D1060))/5*PARAMS_MODELO!$B$32,2)</f>
        <v>24.96</v>
      </c>
      <c r="F1060">
        <v>5</v>
      </c>
      <c r="G1060">
        <f>MAX(0,PARAMS_MODELO!$B$33-VALUE(TRIM(F1060))*3)</f>
        <v>15</v>
      </c>
      <c r="H1060">
        <v>1</v>
      </c>
      <c r="I1060">
        <f>ROUND(MIN(4,MAX(0,H1060))/4*PARAMS_MODELO!$B$34,2)</f>
        <v>5</v>
      </c>
      <c r="J1060">
        <v>1</v>
      </c>
      <c r="K1060">
        <f>IF(J1060=0,0,PARAMS_MODELO!$B$35)</f>
        <v>10</v>
      </c>
      <c r="L1060">
        <f t="shared" si="49"/>
        <v>54.96</v>
      </c>
      <c r="M1060" t="str">
        <f t="shared" si="50"/>
        <v>Regular</v>
      </c>
      <c r="N1060">
        <f>IF(M1060=PARAMS_MODELO!$A$36,PARAMS_MODELO!$B$36,IF(M1060=PARAMS_MODELO!$A$37,PARAMS_MODELO!$B$37,IF(M1060=PARAMS_MODELO!$A$38,PARAMS_MODELO!$B$38,IF(M1060=PARAMS_MODELO!$A$39,PARAMS_MODELO!$B$39,IF(M1060=PARAMS_MODELO!$A$40,PARAMS_MODELO!$B$40)))))</f>
        <v>1</v>
      </c>
    </row>
    <row r="1061" spans="1:14" x14ac:dyDescent="0.3">
      <c r="A1061">
        <v>51016807</v>
      </c>
      <c r="B1061">
        <v>44</v>
      </c>
      <c r="C1061">
        <v>28</v>
      </c>
      <c r="D1061">
        <f t="shared" si="48"/>
        <v>1.5714285714285714</v>
      </c>
      <c r="E1061">
        <f>ROUND(MIN(5,MAX(0,D1061))/5*PARAMS_MODELO!$B$32,2)</f>
        <v>12.57</v>
      </c>
      <c r="F1061">
        <v>3</v>
      </c>
      <c r="G1061">
        <f>MAX(0,PARAMS_MODELO!$B$33-VALUE(TRIM(F1061))*3)</f>
        <v>21</v>
      </c>
      <c r="H1061">
        <v>2</v>
      </c>
      <c r="I1061">
        <f>ROUND(MIN(4,MAX(0,H1061))/4*PARAMS_MODELO!$B$34,2)</f>
        <v>10</v>
      </c>
      <c r="J1061">
        <v>0</v>
      </c>
      <c r="K1061">
        <f>IF(J1061=0,0,PARAMS_MODELO!$B$35)</f>
        <v>0</v>
      </c>
      <c r="L1061">
        <f t="shared" si="49"/>
        <v>43.57</v>
      </c>
      <c r="M1061" t="str">
        <f t="shared" si="50"/>
        <v>Regular</v>
      </c>
      <c r="N1061">
        <f>IF(M1061=PARAMS_MODELO!$A$36,PARAMS_MODELO!$B$36,IF(M1061=PARAMS_MODELO!$A$37,PARAMS_MODELO!$B$37,IF(M1061=PARAMS_MODELO!$A$38,PARAMS_MODELO!$B$38,IF(M1061=PARAMS_MODELO!$A$39,PARAMS_MODELO!$B$39,IF(M1061=PARAMS_MODELO!$A$40,PARAMS_MODELO!$B$40)))))</f>
        <v>1</v>
      </c>
    </row>
    <row r="1062" spans="1:14" x14ac:dyDescent="0.3">
      <c r="A1062">
        <v>51016912</v>
      </c>
      <c r="B1062">
        <v>25</v>
      </c>
      <c r="C1062">
        <v>45</v>
      </c>
      <c r="D1062">
        <f t="shared" si="48"/>
        <v>0.55555555555555558</v>
      </c>
      <c r="E1062">
        <f>ROUND(MIN(5,MAX(0,D1062))/5*PARAMS_MODELO!$B$32,2)</f>
        <v>4.4400000000000004</v>
      </c>
      <c r="F1062">
        <v>5</v>
      </c>
      <c r="G1062">
        <f>MAX(0,PARAMS_MODELO!$B$33-VALUE(TRIM(F1062))*3)</f>
        <v>15</v>
      </c>
      <c r="H1062">
        <v>1</v>
      </c>
      <c r="I1062">
        <f>ROUND(MIN(4,MAX(0,H1062))/4*PARAMS_MODELO!$B$34,2)</f>
        <v>5</v>
      </c>
      <c r="J1062">
        <v>1</v>
      </c>
      <c r="K1062">
        <f>IF(J1062=0,0,PARAMS_MODELO!$B$35)</f>
        <v>10</v>
      </c>
      <c r="L1062">
        <f t="shared" si="49"/>
        <v>34.44</v>
      </c>
      <c r="M1062" t="str">
        <f t="shared" si="50"/>
        <v>Malo</v>
      </c>
      <c r="N1062">
        <f>IF(M1062=PARAMS_MODELO!$A$36,PARAMS_MODELO!$B$36,IF(M1062=PARAMS_MODELO!$A$37,PARAMS_MODELO!$B$37,IF(M1062=PARAMS_MODELO!$A$38,PARAMS_MODELO!$B$38,IF(M1062=PARAMS_MODELO!$A$39,PARAMS_MODELO!$B$39,IF(M1062=PARAMS_MODELO!$A$40,PARAMS_MODELO!$B$40)))))</f>
        <v>0.7</v>
      </c>
    </row>
    <row r="1063" spans="1:14" x14ac:dyDescent="0.3">
      <c r="A1063">
        <v>51017005</v>
      </c>
      <c r="B1063">
        <v>87</v>
      </c>
      <c r="C1063">
        <v>21</v>
      </c>
      <c r="D1063">
        <f t="shared" si="48"/>
        <v>4.1428571428571432</v>
      </c>
      <c r="E1063">
        <f>ROUND(MIN(5,MAX(0,D1063))/5*PARAMS_MODELO!$B$32,2)</f>
        <v>33.14</v>
      </c>
      <c r="F1063">
        <v>5</v>
      </c>
      <c r="G1063">
        <f>MAX(0,PARAMS_MODELO!$B$33-VALUE(TRIM(F1063))*3)</f>
        <v>15</v>
      </c>
      <c r="H1063">
        <v>4</v>
      </c>
      <c r="I1063">
        <f>ROUND(MIN(4,MAX(0,H1063))/4*PARAMS_MODELO!$B$34,2)</f>
        <v>20</v>
      </c>
      <c r="J1063">
        <v>1</v>
      </c>
      <c r="K1063">
        <f>IF(J1063=0,0,PARAMS_MODELO!$B$35)</f>
        <v>10</v>
      </c>
      <c r="L1063">
        <f t="shared" si="49"/>
        <v>78.14</v>
      </c>
      <c r="M1063" t="str">
        <f t="shared" si="50"/>
        <v>Muy Bueno</v>
      </c>
      <c r="N1063">
        <f>IF(M1063=PARAMS_MODELO!$A$36,PARAMS_MODELO!$B$36,IF(M1063=PARAMS_MODELO!$A$37,PARAMS_MODELO!$B$37,IF(M1063=PARAMS_MODELO!$A$38,PARAMS_MODELO!$B$38,IF(M1063=PARAMS_MODELO!$A$39,PARAMS_MODELO!$B$39,IF(M1063=PARAMS_MODELO!$A$40,PARAMS_MODELO!$B$40)))))</f>
        <v>1.1499999999999999</v>
      </c>
    </row>
    <row r="1064" spans="1:14" x14ac:dyDescent="0.3">
      <c r="A1064">
        <v>51017200</v>
      </c>
      <c r="B1064">
        <v>93</v>
      </c>
      <c r="C1064">
        <v>4</v>
      </c>
      <c r="D1064">
        <f t="shared" si="48"/>
        <v>5</v>
      </c>
      <c r="E1064">
        <f>ROUND(MIN(5,MAX(0,D1064))/5*PARAMS_MODELO!$B$32,2)</f>
        <v>40</v>
      </c>
      <c r="F1064">
        <v>1</v>
      </c>
      <c r="G1064">
        <f>MAX(0,PARAMS_MODELO!$B$33-VALUE(TRIM(F1064))*3)</f>
        <v>27</v>
      </c>
      <c r="H1064">
        <v>1</v>
      </c>
      <c r="I1064">
        <f>ROUND(MIN(4,MAX(0,H1064))/4*PARAMS_MODELO!$B$34,2)</f>
        <v>5</v>
      </c>
      <c r="J1064">
        <v>0</v>
      </c>
      <c r="K1064">
        <f>IF(J1064=0,0,PARAMS_MODELO!$B$35)</f>
        <v>0</v>
      </c>
      <c r="L1064">
        <f t="shared" si="49"/>
        <v>72</v>
      </c>
      <c r="M1064" t="str">
        <f t="shared" si="50"/>
        <v>Bueno</v>
      </c>
      <c r="N1064">
        <f>IF(M1064=PARAMS_MODELO!$A$36,PARAMS_MODELO!$B$36,IF(M1064=PARAMS_MODELO!$A$37,PARAMS_MODELO!$B$37,IF(M1064=PARAMS_MODELO!$A$38,PARAMS_MODELO!$B$38,IF(M1064=PARAMS_MODELO!$A$39,PARAMS_MODELO!$B$39,IF(M1064=PARAMS_MODELO!$A$40,PARAMS_MODELO!$B$40)))))</f>
        <v>1.1000000000000001</v>
      </c>
    </row>
    <row r="1065" spans="1:14" x14ac:dyDescent="0.3">
      <c r="A1065">
        <v>51017692</v>
      </c>
      <c r="B1065">
        <v>16</v>
      </c>
      <c r="C1065">
        <v>8</v>
      </c>
      <c r="D1065">
        <f t="shared" si="48"/>
        <v>2</v>
      </c>
      <c r="E1065">
        <f>ROUND(MIN(5,MAX(0,D1065))/5*PARAMS_MODELO!$B$32,2)</f>
        <v>16</v>
      </c>
      <c r="F1065">
        <v>4</v>
      </c>
      <c r="G1065">
        <f>MAX(0,PARAMS_MODELO!$B$33-VALUE(TRIM(F1065))*3)</f>
        <v>18</v>
      </c>
      <c r="H1065">
        <v>2</v>
      </c>
      <c r="I1065">
        <f>ROUND(MIN(4,MAX(0,H1065))/4*PARAMS_MODELO!$B$34,2)</f>
        <v>10</v>
      </c>
      <c r="J1065">
        <v>0</v>
      </c>
      <c r="K1065">
        <f>IF(J1065=0,0,PARAMS_MODELO!$B$35)</f>
        <v>0</v>
      </c>
      <c r="L1065">
        <f t="shared" si="49"/>
        <v>44</v>
      </c>
      <c r="M1065" t="str">
        <f t="shared" si="50"/>
        <v>Regular</v>
      </c>
      <c r="N1065">
        <f>IF(M1065=PARAMS_MODELO!$A$36,PARAMS_MODELO!$B$36,IF(M1065=PARAMS_MODELO!$A$37,PARAMS_MODELO!$B$37,IF(M1065=PARAMS_MODELO!$A$38,PARAMS_MODELO!$B$38,IF(M1065=PARAMS_MODELO!$A$39,PARAMS_MODELO!$B$39,IF(M1065=PARAMS_MODELO!$A$40,PARAMS_MODELO!$B$40)))))</f>
        <v>1</v>
      </c>
    </row>
    <row r="1066" spans="1:14" x14ac:dyDescent="0.3">
      <c r="A1066">
        <v>51017781</v>
      </c>
      <c r="B1066">
        <v>65</v>
      </c>
      <c r="C1066">
        <v>38</v>
      </c>
      <c r="D1066">
        <f t="shared" si="48"/>
        <v>1.7105263157894737</v>
      </c>
      <c r="E1066">
        <f>ROUND(MIN(5,MAX(0,D1066))/5*PARAMS_MODELO!$B$32,2)</f>
        <v>13.68</v>
      </c>
      <c r="F1066">
        <v>1</v>
      </c>
      <c r="G1066">
        <f>MAX(0,PARAMS_MODELO!$B$33-VALUE(TRIM(F1066))*3)</f>
        <v>27</v>
      </c>
      <c r="H1066">
        <v>3</v>
      </c>
      <c r="I1066">
        <f>ROUND(MIN(4,MAX(0,H1066))/4*PARAMS_MODELO!$B$34,2)</f>
        <v>15</v>
      </c>
      <c r="J1066">
        <v>1</v>
      </c>
      <c r="K1066">
        <f>IF(J1066=0,0,PARAMS_MODELO!$B$35)</f>
        <v>10</v>
      </c>
      <c r="L1066">
        <f t="shared" si="49"/>
        <v>65.680000000000007</v>
      </c>
      <c r="M1066" t="str">
        <f t="shared" si="50"/>
        <v>Bueno</v>
      </c>
      <c r="N1066">
        <f>IF(M1066=PARAMS_MODELO!$A$36,PARAMS_MODELO!$B$36,IF(M1066=PARAMS_MODELO!$A$37,PARAMS_MODELO!$B$37,IF(M1066=PARAMS_MODELO!$A$38,PARAMS_MODELO!$B$38,IF(M1066=PARAMS_MODELO!$A$39,PARAMS_MODELO!$B$39,IF(M1066=PARAMS_MODELO!$A$40,PARAMS_MODELO!$B$40)))))</f>
        <v>1.1000000000000001</v>
      </c>
    </row>
    <row r="1067" spans="1:14" x14ac:dyDescent="0.3">
      <c r="A1067">
        <v>51018010</v>
      </c>
      <c r="B1067">
        <v>75</v>
      </c>
      <c r="C1067">
        <v>97</v>
      </c>
      <c r="D1067">
        <f t="shared" si="48"/>
        <v>0.77319587628865982</v>
      </c>
      <c r="E1067">
        <f>ROUND(MIN(5,MAX(0,D1067))/5*PARAMS_MODELO!$B$32,2)</f>
        <v>6.19</v>
      </c>
      <c r="F1067">
        <v>1</v>
      </c>
      <c r="G1067">
        <f>MAX(0,PARAMS_MODELO!$B$33-VALUE(TRIM(F1067))*3)</f>
        <v>27</v>
      </c>
      <c r="H1067">
        <v>0</v>
      </c>
      <c r="I1067">
        <f>ROUND(MIN(4,MAX(0,H1067))/4*PARAMS_MODELO!$B$34,2)</f>
        <v>0</v>
      </c>
      <c r="J1067">
        <v>0</v>
      </c>
      <c r="K1067">
        <f>IF(J1067=0,0,PARAMS_MODELO!$B$35)</f>
        <v>0</v>
      </c>
      <c r="L1067">
        <f t="shared" si="49"/>
        <v>33.19</v>
      </c>
      <c r="M1067" t="str">
        <f t="shared" si="50"/>
        <v>Malo</v>
      </c>
      <c r="N1067">
        <f>IF(M1067=PARAMS_MODELO!$A$36,PARAMS_MODELO!$B$36,IF(M1067=PARAMS_MODELO!$A$37,PARAMS_MODELO!$B$37,IF(M1067=PARAMS_MODELO!$A$38,PARAMS_MODELO!$B$38,IF(M1067=PARAMS_MODELO!$A$39,PARAMS_MODELO!$B$39,IF(M1067=PARAMS_MODELO!$A$40,PARAMS_MODELO!$B$40)))))</f>
        <v>0.7</v>
      </c>
    </row>
    <row r="1068" spans="1:14" x14ac:dyDescent="0.3">
      <c r="A1068">
        <v>51018168</v>
      </c>
      <c r="B1068">
        <v>64</v>
      </c>
      <c r="C1068">
        <v>76</v>
      </c>
      <c r="D1068">
        <f t="shared" si="48"/>
        <v>0.84210526315789469</v>
      </c>
      <c r="E1068">
        <f>ROUND(MIN(5,MAX(0,D1068))/5*PARAMS_MODELO!$B$32,2)</f>
        <v>6.74</v>
      </c>
      <c r="F1068">
        <v>1</v>
      </c>
      <c r="G1068">
        <f>MAX(0,PARAMS_MODELO!$B$33-VALUE(TRIM(F1068))*3)</f>
        <v>27</v>
      </c>
      <c r="H1068">
        <v>1</v>
      </c>
      <c r="I1068">
        <f>ROUND(MIN(4,MAX(0,H1068))/4*PARAMS_MODELO!$B$34,2)</f>
        <v>5</v>
      </c>
      <c r="J1068">
        <v>0</v>
      </c>
      <c r="K1068">
        <f>IF(J1068=0,0,PARAMS_MODELO!$B$35)</f>
        <v>0</v>
      </c>
      <c r="L1068">
        <f t="shared" si="49"/>
        <v>38.74</v>
      </c>
      <c r="M1068" t="str">
        <f t="shared" si="50"/>
        <v>Malo</v>
      </c>
      <c r="N1068">
        <f>IF(M1068=PARAMS_MODELO!$A$36,PARAMS_MODELO!$B$36,IF(M1068=PARAMS_MODELO!$A$37,PARAMS_MODELO!$B$37,IF(M1068=PARAMS_MODELO!$A$38,PARAMS_MODELO!$B$38,IF(M1068=PARAMS_MODELO!$A$39,PARAMS_MODELO!$B$39,IF(M1068=PARAMS_MODELO!$A$40,PARAMS_MODELO!$B$40)))))</f>
        <v>0.7</v>
      </c>
    </row>
    <row r="1069" spans="1:14" x14ac:dyDescent="0.3">
      <c r="A1069">
        <v>51018192</v>
      </c>
      <c r="B1069">
        <v>70</v>
      </c>
      <c r="C1069">
        <v>8</v>
      </c>
      <c r="D1069">
        <f t="shared" si="48"/>
        <v>5</v>
      </c>
      <c r="E1069">
        <f>ROUND(MIN(5,MAX(0,D1069))/5*PARAMS_MODELO!$B$32,2)</f>
        <v>40</v>
      </c>
      <c r="F1069">
        <v>2</v>
      </c>
      <c r="G1069">
        <f>MAX(0,PARAMS_MODELO!$B$33-VALUE(TRIM(F1069))*3)</f>
        <v>24</v>
      </c>
      <c r="H1069">
        <v>3</v>
      </c>
      <c r="I1069">
        <f>ROUND(MIN(4,MAX(0,H1069))/4*PARAMS_MODELO!$B$34,2)</f>
        <v>15</v>
      </c>
      <c r="J1069">
        <v>1</v>
      </c>
      <c r="K1069">
        <f>IF(J1069=0,0,PARAMS_MODELO!$B$35)</f>
        <v>10</v>
      </c>
      <c r="L1069">
        <f t="shared" si="49"/>
        <v>89</v>
      </c>
      <c r="M1069" t="str">
        <f t="shared" si="50"/>
        <v>Muy Bueno</v>
      </c>
      <c r="N1069">
        <f>IF(M1069=PARAMS_MODELO!$A$36,PARAMS_MODELO!$B$36,IF(M1069=PARAMS_MODELO!$A$37,PARAMS_MODELO!$B$37,IF(M1069=PARAMS_MODELO!$A$38,PARAMS_MODELO!$B$38,IF(M1069=PARAMS_MODELO!$A$39,PARAMS_MODELO!$B$39,IF(M1069=PARAMS_MODELO!$A$40,PARAMS_MODELO!$B$40)))))</f>
        <v>1.1499999999999999</v>
      </c>
    </row>
    <row r="1070" spans="1:14" x14ac:dyDescent="0.3">
      <c r="A1070">
        <v>51018281</v>
      </c>
      <c r="B1070">
        <v>68</v>
      </c>
      <c r="C1070">
        <v>9</v>
      </c>
      <c r="D1070">
        <f t="shared" si="48"/>
        <v>5</v>
      </c>
      <c r="E1070">
        <f>ROUND(MIN(5,MAX(0,D1070))/5*PARAMS_MODELO!$B$32,2)</f>
        <v>40</v>
      </c>
      <c r="F1070">
        <v>5</v>
      </c>
      <c r="G1070">
        <f>MAX(0,PARAMS_MODELO!$B$33-VALUE(TRIM(F1070))*3)</f>
        <v>15</v>
      </c>
      <c r="H1070">
        <v>3</v>
      </c>
      <c r="I1070">
        <f>ROUND(MIN(4,MAX(0,H1070))/4*PARAMS_MODELO!$B$34,2)</f>
        <v>15</v>
      </c>
      <c r="J1070">
        <v>0</v>
      </c>
      <c r="K1070">
        <f>IF(J1070=0,0,PARAMS_MODELO!$B$35)</f>
        <v>0</v>
      </c>
      <c r="L1070">
        <f t="shared" si="49"/>
        <v>70</v>
      </c>
      <c r="M1070" t="str">
        <f t="shared" si="50"/>
        <v>Bueno</v>
      </c>
      <c r="N1070">
        <f>IF(M1070=PARAMS_MODELO!$A$36,PARAMS_MODELO!$B$36,IF(M1070=PARAMS_MODELO!$A$37,PARAMS_MODELO!$B$37,IF(M1070=PARAMS_MODELO!$A$38,PARAMS_MODELO!$B$38,IF(M1070=PARAMS_MODELO!$A$39,PARAMS_MODELO!$B$39,IF(M1070=PARAMS_MODELO!$A$40,PARAMS_MODELO!$B$40)))))</f>
        <v>1.1000000000000001</v>
      </c>
    </row>
    <row r="1071" spans="1:14" x14ac:dyDescent="0.3">
      <c r="A1071">
        <v>51018915</v>
      </c>
      <c r="B1071">
        <v>19</v>
      </c>
      <c r="C1071">
        <v>60</v>
      </c>
      <c r="D1071">
        <f t="shared" si="48"/>
        <v>0.31666666666666665</v>
      </c>
      <c r="E1071">
        <f>ROUND(MIN(5,MAX(0,D1071))/5*PARAMS_MODELO!$B$32,2)</f>
        <v>2.5299999999999998</v>
      </c>
      <c r="F1071">
        <v>3</v>
      </c>
      <c r="G1071">
        <f>MAX(0,PARAMS_MODELO!$B$33-VALUE(TRIM(F1071))*3)</f>
        <v>21</v>
      </c>
      <c r="H1071">
        <v>4</v>
      </c>
      <c r="I1071">
        <f>ROUND(MIN(4,MAX(0,H1071))/4*PARAMS_MODELO!$B$34,2)</f>
        <v>20</v>
      </c>
      <c r="J1071">
        <v>0</v>
      </c>
      <c r="K1071">
        <f>IF(J1071=0,0,PARAMS_MODELO!$B$35)</f>
        <v>0</v>
      </c>
      <c r="L1071">
        <f t="shared" si="49"/>
        <v>43.53</v>
      </c>
      <c r="M1071" t="str">
        <f t="shared" si="50"/>
        <v>Regular</v>
      </c>
      <c r="N1071">
        <f>IF(M1071=PARAMS_MODELO!$A$36,PARAMS_MODELO!$B$36,IF(M1071=PARAMS_MODELO!$A$37,PARAMS_MODELO!$B$37,IF(M1071=PARAMS_MODELO!$A$38,PARAMS_MODELO!$B$38,IF(M1071=PARAMS_MODELO!$A$39,PARAMS_MODELO!$B$39,IF(M1071=PARAMS_MODELO!$A$40,PARAMS_MODELO!$B$40)))))</f>
        <v>1</v>
      </c>
    </row>
    <row r="1072" spans="1:14" x14ac:dyDescent="0.3">
      <c r="A1072">
        <v>51019075</v>
      </c>
      <c r="B1072">
        <v>62</v>
      </c>
      <c r="C1072">
        <v>67</v>
      </c>
      <c r="D1072">
        <f t="shared" si="48"/>
        <v>0.92537313432835822</v>
      </c>
      <c r="E1072">
        <f>ROUND(MIN(5,MAX(0,D1072))/5*PARAMS_MODELO!$B$32,2)</f>
        <v>7.4</v>
      </c>
      <c r="F1072">
        <v>4</v>
      </c>
      <c r="G1072">
        <f>MAX(0,PARAMS_MODELO!$B$33-VALUE(TRIM(F1072))*3)</f>
        <v>18</v>
      </c>
      <c r="H1072">
        <v>4</v>
      </c>
      <c r="I1072">
        <f>ROUND(MIN(4,MAX(0,H1072))/4*PARAMS_MODELO!$B$34,2)</f>
        <v>20</v>
      </c>
      <c r="J1072">
        <v>0</v>
      </c>
      <c r="K1072">
        <f>IF(J1072=0,0,PARAMS_MODELO!$B$35)</f>
        <v>0</v>
      </c>
      <c r="L1072">
        <f t="shared" si="49"/>
        <v>45.4</v>
      </c>
      <c r="M1072" t="str">
        <f t="shared" si="50"/>
        <v>Regular</v>
      </c>
      <c r="N1072">
        <f>IF(M1072=PARAMS_MODELO!$A$36,PARAMS_MODELO!$B$36,IF(M1072=PARAMS_MODELO!$A$37,PARAMS_MODELO!$B$37,IF(M1072=PARAMS_MODELO!$A$38,PARAMS_MODELO!$B$38,IF(M1072=PARAMS_MODELO!$A$39,PARAMS_MODELO!$B$39,IF(M1072=PARAMS_MODELO!$A$40,PARAMS_MODELO!$B$40)))))</f>
        <v>1</v>
      </c>
    </row>
    <row r="1073" spans="1:14" x14ac:dyDescent="0.3">
      <c r="A1073">
        <v>51019156</v>
      </c>
      <c r="B1073">
        <v>21</v>
      </c>
      <c r="C1073">
        <v>64</v>
      </c>
      <c r="D1073">
        <f t="shared" si="48"/>
        <v>0.328125</v>
      </c>
      <c r="E1073">
        <f>ROUND(MIN(5,MAX(0,D1073))/5*PARAMS_MODELO!$B$32,2)</f>
        <v>2.63</v>
      </c>
      <c r="F1073">
        <v>1</v>
      </c>
      <c r="G1073">
        <f>MAX(0,PARAMS_MODELO!$B$33-VALUE(TRIM(F1073))*3)</f>
        <v>27</v>
      </c>
      <c r="H1073">
        <v>0</v>
      </c>
      <c r="I1073">
        <f>ROUND(MIN(4,MAX(0,H1073))/4*PARAMS_MODELO!$B$34,2)</f>
        <v>0</v>
      </c>
      <c r="J1073">
        <v>0</v>
      </c>
      <c r="K1073">
        <f>IF(J1073=0,0,PARAMS_MODELO!$B$35)</f>
        <v>0</v>
      </c>
      <c r="L1073">
        <f t="shared" si="49"/>
        <v>29.63</v>
      </c>
      <c r="M1073" t="str">
        <f t="shared" si="50"/>
        <v>Malo</v>
      </c>
      <c r="N1073">
        <f>IF(M1073=PARAMS_MODELO!$A$36,PARAMS_MODELO!$B$36,IF(M1073=PARAMS_MODELO!$A$37,PARAMS_MODELO!$B$37,IF(M1073=PARAMS_MODELO!$A$38,PARAMS_MODELO!$B$38,IF(M1073=PARAMS_MODELO!$A$39,PARAMS_MODELO!$B$39,IF(M1073=PARAMS_MODELO!$A$40,PARAMS_MODELO!$B$40)))))</f>
        <v>0.7</v>
      </c>
    </row>
    <row r="1074" spans="1:14" x14ac:dyDescent="0.3">
      <c r="A1074">
        <v>51019181</v>
      </c>
      <c r="B1074">
        <v>56</v>
      </c>
      <c r="C1074">
        <v>44</v>
      </c>
      <c r="D1074">
        <f t="shared" si="48"/>
        <v>1.2727272727272727</v>
      </c>
      <c r="E1074">
        <f>ROUND(MIN(5,MAX(0,D1074))/5*PARAMS_MODELO!$B$32,2)</f>
        <v>10.18</v>
      </c>
      <c r="F1074">
        <v>2</v>
      </c>
      <c r="G1074">
        <f>MAX(0,PARAMS_MODELO!$B$33-VALUE(TRIM(F1074))*3)</f>
        <v>24</v>
      </c>
      <c r="H1074">
        <v>4</v>
      </c>
      <c r="I1074">
        <f>ROUND(MIN(4,MAX(0,H1074))/4*PARAMS_MODELO!$B$34,2)</f>
        <v>20</v>
      </c>
      <c r="J1074">
        <v>0</v>
      </c>
      <c r="K1074">
        <f>IF(J1074=0,0,PARAMS_MODELO!$B$35)</f>
        <v>0</v>
      </c>
      <c r="L1074">
        <f t="shared" si="49"/>
        <v>54.18</v>
      </c>
      <c r="M1074" t="str">
        <f t="shared" si="50"/>
        <v>Regular</v>
      </c>
      <c r="N1074">
        <f>IF(M1074=PARAMS_MODELO!$A$36,PARAMS_MODELO!$B$36,IF(M1074=PARAMS_MODELO!$A$37,PARAMS_MODELO!$B$37,IF(M1074=PARAMS_MODELO!$A$38,PARAMS_MODELO!$B$38,IF(M1074=PARAMS_MODELO!$A$39,PARAMS_MODELO!$B$39,IF(M1074=PARAMS_MODELO!$A$40,PARAMS_MODELO!$B$40)))))</f>
        <v>1</v>
      </c>
    </row>
    <row r="1075" spans="1:14" x14ac:dyDescent="0.3">
      <c r="A1075">
        <v>51019237</v>
      </c>
      <c r="B1075">
        <v>35</v>
      </c>
      <c r="C1075">
        <v>90</v>
      </c>
      <c r="D1075">
        <f t="shared" si="48"/>
        <v>0.3888888888888889</v>
      </c>
      <c r="E1075">
        <f>ROUND(MIN(5,MAX(0,D1075))/5*PARAMS_MODELO!$B$32,2)</f>
        <v>3.11</v>
      </c>
      <c r="F1075">
        <v>0</v>
      </c>
      <c r="G1075">
        <f>MAX(0,PARAMS_MODELO!$B$33-VALUE(TRIM(F1075))*3)</f>
        <v>30</v>
      </c>
      <c r="H1075">
        <v>4</v>
      </c>
      <c r="I1075">
        <f>ROUND(MIN(4,MAX(0,H1075))/4*PARAMS_MODELO!$B$34,2)</f>
        <v>20</v>
      </c>
      <c r="J1075">
        <v>1</v>
      </c>
      <c r="K1075">
        <f>IF(J1075=0,0,PARAMS_MODELO!$B$35)</f>
        <v>10</v>
      </c>
      <c r="L1075">
        <f t="shared" si="49"/>
        <v>63.11</v>
      </c>
      <c r="M1075" t="str">
        <f t="shared" si="50"/>
        <v>Bueno</v>
      </c>
      <c r="N1075">
        <f>IF(M1075=PARAMS_MODELO!$A$36,PARAMS_MODELO!$B$36,IF(M1075=PARAMS_MODELO!$A$37,PARAMS_MODELO!$B$37,IF(M1075=PARAMS_MODELO!$A$38,PARAMS_MODELO!$B$38,IF(M1075=PARAMS_MODELO!$A$39,PARAMS_MODELO!$B$39,IF(M1075=PARAMS_MODELO!$A$40,PARAMS_MODELO!$B$40)))))</f>
        <v>1.1000000000000001</v>
      </c>
    </row>
    <row r="1076" spans="1:14" x14ac:dyDescent="0.3">
      <c r="A1076">
        <v>51019351</v>
      </c>
      <c r="B1076">
        <v>36</v>
      </c>
      <c r="C1076">
        <v>100</v>
      </c>
      <c r="D1076">
        <f t="shared" si="48"/>
        <v>0.36</v>
      </c>
      <c r="E1076">
        <f>ROUND(MIN(5,MAX(0,D1076))/5*PARAMS_MODELO!$B$32,2)</f>
        <v>2.88</v>
      </c>
      <c r="F1076">
        <v>0</v>
      </c>
      <c r="G1076">
        <f>MAX(0,PARAMS_MODELO!$B$33-VALUE(TRIM(F1076))*3)</f>
        <v>30</v>
      </c>
      <c r="H1076">
        <v>4</v>
      </c>
      <c r="I1076">
        <f>ROUND(MIN(4,MAX(0,H1076))/4*PARAMS_MODELO!$B$34,2)</f>
        <v>20</v>
      </c>
      <c r="J1076">
        <v>0</v>
      </c>
      <c r="K1076">
        <f>IF(J1076=0,0,PARAMS_MODELO!$B$35)</f>
        <v>0</v>
      </c>
      <c r="L1076">
        <f t="shared" si="49"/>
        <v>52.88</v>
      </c>
      <c r="M1076" t="str">
        <f t="shared" si="50"/>
        <v>Regular</v>
      </c>
      <c r="N1076">
        <f>IF(M1076=PARAMS_MODELO!$A$36,PARAMS_MODELO!$B$36,IF(M1076=PARAMS_MODELO!$A$37,PARAMS_MODELO!$B$37,IF(M1076=PARAMS_MODELO!$A$38,PARAMS_MODELO!$B$38,IF(M1076=PARAMS_MODELO!$A$39,PARAMS_MODELO!$B$39,IF(M1076=PARAMS_MODELO!$A$40,PARAMS_MODELO!$B$40)))))</f>
        <v>1</v>
      </c>
    </row>
    <row r="1077" spans="1:14" x14ac:dyDescent="0.3">
      <c r="A1077">
        <v>51019725</v>
      </c>
      <c r="B1077">
        <v>89</v>
      </c>
      <c r="C1077">
        <v>41</v>
      </c>
      <c r="D1077">
        <f t="shared" si="48"/>
        <v>2.1707317073170733</v>
      </c>
      <c r="E1077">
        <f>ROUND(MIN(5,MAX(0,D1077))/5*PARAMS_MODELO!$B$32,2)</f>
        <v>17.37</v>
      </c>
      <c r="F1077">
        <v>1</v>
      </c>
      <c r="G1077">
        <f>MAX(0,PARAMS_MODELO!$B$33-VALUE(TRIM(F1077))*3)</f>
        <v>27</v>
      </c>
      <c r="H1077">
        <v>3</v>
      </c>
      <c r="I1077">
        <f>ROUND(MIN(4,MAX(0,H1077))/4*PARAMS_MODELO!$B$34,2)</f>
        <v>15</v>
      </c>
      <c r="J1077">
        <v>1</v>
      </c>
      <c r="K1077">
        <f>IF(J1077=0,0,PARAMS_MODELO!$B$35)</f>
        <v>10</v>
      </c>
      <c r="L1077">
        <f t="shared" si="49"/>
        <v>69.37</v>
      </c>
      <c r="M1077" t="str">
        <f t="shared" si="50"/>
        <v>Bueno</v>
      </c>
      <c r="N1077">
        <f>IF(M1077=PARAMS_MODELO!$A$36,PARAMS_MODELO!$B$36,IF(M1077=PARAMS_MODELO!$A$37,PARAMS_MODELO!$B$37,IF(M1077=PARAMS_MODELO!$A$38,PARAMS_MODELO!$B$38,IF(M1077=PARAMS_MODELO!$A$39,PARAMS_MODELO!$B$39,IF(M1077=PARAMS_MODELO!$A$40,PARAMS_MODELO!$B$40)))))</f>
        <v>1.1000000000000001</v>
      </c>
    </row>
    <row r="1078" spans="1:14" x14ac:dyDescent="0.3">
      <c r="A1078">
        <v>51019768</v>
      </c>
      <c r="B1078">
        <v>73</v>
      </c>
      <c r="C1078">
        <v>82</v>
      </c>
      <c r="D1078">
        <f t="shared" si="48"/>
        <v>0.8902439024390244</v>
      </c>
      <c r="E1078">
        <f>ROUND(MIN(5,MAX(0,D1078))/5*PARAMS_MODELO!$B$32,2)</f>
        <v>7.12</v>
      </c>
      <c r="F1078">
        <v>0</v>
      </c>
      <c r="G1078">
        <f>MAX(0,PARAMS_MODELO!$B$33-VALUE(TRIM(F1078))*3)</f>
        <v>30</v>
      </c>
      <c r="H1078">
        <v>0</v>
      </c>
      <c r="I1078">
        <f>ROUND(MIN(4,MAX(0,H1078))/4*PARAMS_MODELO!$B$34,2)</f>
        <v>0</v>
      </c>
      <c r="J1078">
        <v>1</v>
      </c>
      <c r="K1078">
        <f>IF(J1078=0,0,PARAMS_MODELO!$B$35)</f>
        <v>10</v>
      </c>
      <c r="L1078">
        <f t="shared" si="49"/>
        <v>47.12</v>
      </c>
      <c r="M1078" t="str">
        <f t="shared" si="50"/>
        <v>Regular</v>
      </c>
      <c r="N1078">
        <f>IF(M1078=PARAMS_MODELO!$A$36,PARAMS_MODELO!$B$36,IF(M1078=PARAMS_MODELO!$A$37,PARAMS_MODELO!$B$37,IF(M1078=PARAMS_MODELO!$A$38,PARAMS_MODELO!$B$38,IF(M1078=PARAMS_MODELO!$A$39,PARAMS_MODELO!$B$39,IF(M1078=PARAMS_MODELO!$A$40,PARAMS_MODELO!$B$40)))))</f>
        <v>1</v>
      </c>
    </row>
    <row r="1079" spans="1:14" x14ac:dyDescent="0.3">
      <c r="A1079">
        <v>51020120</v>
      </c>
      <c r="B1079">
        <v>61</v>
      </c>
      <c r="C1079">
        <v>43</v>
      </c>
      <c r="D1079">
        <f t="shared" si="48"/>
        <v>1.4186046511627908</v>
      </c>
      <c r="E1079">
        <f>ROUND(MIN(5,MAX(0,D1079))/5*PARAMS_MODELO!$B$32,2)</f>
        <v>11.35</v>
      </c>
      <c r="F1079">
        <v>0</v>
      </c>
      <c r="G1079">
        <f>MAX(0,PARAMS_MODELO!$B$33-VALUE(TRIM(F1079))*3)</f>
        <v>30</v>
      </c>
      <c r="H1079">
        <v>4</v>
      </c>
      <c r="I1079">
        <f>ROUND(MIN(4,MAX(0,H1079))/4*PARAMS_MODELO!$B$34,2)</f>
        <v>20</v>
      </c>
      <c r="J1079">
        <v>0</v>
      </c>
      <c r="K1079">
        <f>IF(J1079=0,0,PARAMS_MODELO!$B$35)</f>
        <v>0</v>
      </c>
      <c r="L1079">
        <f t="shared" si="49"/>
        <v>61.35</v>
      </c>
      <c r="M1079" t="str">
        <f t="shared" si="50"/>
        <v>Bueno</v>
      </c>
      <c r="N1079">
        <f>IF(M1079=PARAMS_MODELO!$A$36,PARAMS_MODELO!$B$36,IF(M1079=PARAMS_MODELO!$A$37,PARAMS_MODELO!$B$37,IF(M1079=PARAMS_MODELO!$A$38,PARAMS_MODELO!$B$38,IF(M1079=PARAMS_MODELO!$A$39,PARAMS_MODELO!$B$39,IF(M1079=PARAMS_MODELO!$A$40,PARAMS_MODELO!$B$40)))))</f>
        <v>1.1000000000000001</v>
      </c>
    </row>
    <row r="1080" spans="1:14" x14ac:dyDescent="0.3">
      <c r="A1080">
        <v>51020154</v>
      </c>
      <c r="B1080">
        <v>91</v>
      </c>
      <c r="C1080">
        <v>36</v>
      </c>
      <c r="D1080">
        <f t="shared" si="48"/>
        <v>2.5277777777777777</v>
      </c>
      <c r="E1080">
        <f>ROUND(MIN(5,MAX(0,D1080))/5*PARAMS_MODELO!$B$32,2)</f>
        <v>20.22</v>
      </c>
      <c r="F1080">
        <v>0</v>
      </c>
      <c r="G1080">
        <f>MAX(0,PARAMS_MODELO!$B$33-VALUE(TRIM(F1080))*3)</f>
        <v>30</v>
      </c>
      <c r="H1080">
        <v>4</v>
      </c>
      <c r="I1080">
        <f>ROUND(MIN(4,MAX(0,H1080))/4*PARAMS_MODELO!$B$34,2)</f>
        <v>20</v>
      </c>
      <c r="J1080">
        <v>0</v>
      </c>
      <c r="K1080">
        <f>IF(J1080=0,0,PARAMS_MODELO!$B$35)</f>
        <v>0</v>
      </c>
      <c r="L1080">
        <f t="shared" si="49"/>
        <v>70.22</v>
      </c>
      <c r="M1080" t="str">
        <f t="shared" si="50"/>
        <v>Bueno</v>
      </c>
      <c r="N1080">
        <f>IF(M1080=PARAMS_MODELO!$A$36,PARAMS_MODELO!$B$36,IF(M1080=PARAMS_MODELO!$A$37,PARAMS_MODELO!$B$37,IF(M1080=PARAMS_MODELO!$A$38,PARAMS_MODELO!$B$38,IF(M1080=PARAMS_MODELO!$A$39,PARAMS_MODELO!$B$39,IF(M1080=PARAMS_MODELO!$A$40,PARAMS_MODELO!$B$40)))))</f>
        <v>1.1000000000000001</v>
      </c>
    </row>
    <row r="1081" spans="1:14" x14ac:dyDescent="0.3">
      <c r="A1081">
        <v>51020740</v>
      </c>
      <c r="B1081">
        <v>23</v>
      </c>
      <c r="C1081">
        <v>96</v>
      </c>
      <c r="D1081">
        <f t="shared" si="48"/>
        <v>0.23958333333333334</v>
      </c>
      <c r="E1081">
        <f>ROUND(MIN(5,MAX(0,D1081))/5*PARAMS_MODELO!$B$32,2)</f>
        <v>1.92</v>
      </c>
      <c r="F1081">
        <v>2</v>
      </c>
      <c r="G1081">
        <f>MAX(0,PARAMS_MODELO!$B$33-VALUE(TRIM(F1081))*3)</f>
        <v>24</v>
      </c>
      <c r="H1081">
        <v>3</v>
      </c>
      <c r="I1081">
        <f>ROUND(MIN(4,MAX(0,H1081))/4*PARAMS_MODELO!$B$34,2)</f>
        <v>15</v>
      </c>
      <c r="J1081">
        <v>1</v>
      </c>
      <c r="K1081">
        <f>IF(J1081=0,0,PARAMS_MODELO!$B$35)</f>
        <v>10</v>
      </c>
      <c r="L1081">
        <f t="shared" si="49"/>
        <v>50.92</v>
      </c>
      <c r="M1081" t="str">
        <f t="shared" si="50"/>
        <v>Regular</v>
      </c>
      <c r="N1081">
        <f>IF(M1081=PARAMS_MODELO!$A$36,PARAMS_MODELO!$B$36,IF(M1081=PARAMS_MODELO!$A$37,PARAMS_MODELO!$B$37,IF(M1081=PARAMS_MODELO!$A$38,PARAMS_MODELO!$B$38,IF(M1081=PARAMS_MODELO!$A$39,PARAMS_MODELO!$B$39,IF(M1081=PARAMS_MODELO!$A$40,PARAMS_MODELO!$B$40)))))</f>
        <v>1</v>
      </c>
    </row>
    <row r="1082" spans="1:14" x14ac:dyDescent="0.3">
      <c r="A1082">
        <v>51021151</v>
      </c>
      <c r="B1082">
        <v>85</v>
      </c>
      <c r="C1082">
        <v>32</v>
      </c>
      <c r="D1082">
        <f t="shared" si="48"/>
        <v>2.65625</v>
      </c>
      <c r="E1082">
        <f>ROUND(MIN(5,MAX(0,D1082))/5*PARAMS_MODELO!$B$32,2)</f>
        <v>21.25</v>
      </c>
      <c r="F1082">
        <v>0</v>
      </c>
      <c r="G1082">
        <f>MAX(0,PARAMS_MODELO!$B$33-VALUE(TRIM(F1082))*3)</f>
        <v>30</v>
      </c>
      <c r="H1082">
        <v>1</v>
      </c>
      <c r="I1082">
        <f>ROUND(MIN(4,MAX(0,H1082))/4*PARAMS_MODELO!$B$34,2)</f>
        <v>5</v>
      </c>
      <c r="J1082">
        <v>0</v>
      </c>
      <c r="K1082">
        <f>IF(J1082=0,0,PARAMS_MODELO!$B$35)</f>
        <v>0</v>
      </c>
      <c r="L1082">
        <f t="shared" si="49"/>
        <v>56.25</v>
      </c>
      <c r="M1082" t="str">
        <f t="shared" si="50"/>
        <v>Regular</v>
      </c>
      <c r="N1082">
        <f>IF(M1082=PARAMS_MODELO!$A$36,PARAMS_MODELO!$B$36,IF(M1082=PARAMS_MODELO!$A$37,PARAMS_MODELO!$B$37,IF(M1082=PARAMS_MODELO!$A$38,PARAMS_MODELO!$B$38,IF(M1082=PARAMS_MODELO!$A$39,PARAMS_MODELO!$B$39,IF(M1082=PARAMS_MODELO!$A$40,PARAMS_MODELO!$B$40)))))</f>
        <v>1</v>
      </c>
    </row>
    <row r="1083" spans="1:14" x14ac:dyDescent="0.3">
      <c r="A1083">
        <v>51021525</v>
      </c>
      <c r="B1083">
        <v>49</v>
      </c>
      <c r="C1083">
        <v>29</v>
      </c>
      <c r="D1083">
        <f t="shared" si="48"/>
        <v>1.6896551724137931</v>
      </c>
      <c r="E1083">
        <f>ROUND(MIN(5,MAX(0,D1083))/5*PARAMS_MODELO!$B$32,2)</f>
        <v>13.52</v>
      </c>
      <c r="F1083">
        <v>5</v>
      </c>
      <c r="G1083">
        <f>MAX(0,PARAMS_MODELO!$B$33-VALUE(TRIM(F1083))*3)</f>
        <v>15</v>
      </c>
      <c r="H1083">
        <v>3</v>
      </c>
      <c r="I1083">
        <f>ROUND(MIN(4,MAX(0,H1083))/4*PARAMS_MODELO!$B$34,2)</f>
        <v>15</v>
      </c>
      <c r="J1083">
        <v>0</v>
      </c>
      <c r="K1083">
        <f>IF(J1083=0,0,PARAMS_MODELO!$B$35)</f>
        <v>0</v>
      </c>
      <c r="L1083">
        <f t="shared" si="49"/>
        <v>43.519999999999996</v>
      </c>
      <c r="M1083" t="str">
        <f t="shared" si="50"/>
        <v>Regular</v>
      </c>
      <c r="N1083">
        <f>IF(M1083=PARAMS_MODELO!$A$36,PARAMS_MODELO!$B$36,IF(M1083=PARAMS_MODELO!$A$37,PARAMS_MODELO!$B$37,IF(M1083=PARAMS_MODELO!$A$38,PARAMS_MODELO!$B$38,IF(M1083=PARAMS_MODELO!$A$39,PARAMS_MODELO!$B$39,IF(M1083=PARAMS_MODELO!$A$40,PARAMS_MODELO!$B$40)))))</f>
        <v>1</v>
      </c>
    </row>
    <row r="1084" spans="1:14" x14ac:dyDescent="0.3">
      <c r="A1084">
        <v>51021649</v>
      </c>
      <c r="B1084">
        <v>76</v>
      </c>
      <c r="C1084">
        <v>98</v>
      </c>
      <c r="D1084">
        <f t="shared" si="48"/>
        <v>0.77551020408163263</v>
      </c>
      <c r="E1084">
        <f>ROUND(MIN(5,MAX(0,D1084))/5*PARAMS_MODELO!$B$32,2)</f>
        <v>6.2</v>
      </c>
      <c r="F1084">
        <v>4</v>
      </c>
      <c r="G1084">
        <f>MAX(0,PARAMS_MODELO!$B$33-VALUE(TRIM(F1084))*3)</f>
        <v>18</v>
      </c>
      <c r="H1084">
        <v>3</v>
      </c>
      <c r="I1084">
        <f>ROUND(MIN(4,MAX(0,H1084))/4*PARAMS_MODELO!$B$34,2)</f>
        <v>15</v>
      </c>
      <c r="J1084">
        <v>1</v>
      </c>
      <c r="K1084">
        <f>IF(J1084=0,0,PARAMS_MODELO!$B$35)</f>
        <v>10</v>
      </c>
      <c r="L1084">
        <f t="shared" si="49"/>
        <v>49.2</v>
      </c>
      <c r="M1084" t="str">
        <f t="shared" si="50"/>
        <v>Regular</v>
      </c>
      <c r="N1084">
        <f>IF(M1084=PARAMS_MODELO!$A$36,PARAMS_MODELO!$B$36,IF(M1084=PARAMS_MODELO!$A$37,PARAMS_MODELO!$B$37,IF(M1084=PARAMS_MODELO!$A$38,PARAMS_MODELO!$B$38,IF(M1084=PARAMS_MODELO!$A$39,PARAMS_MODELO!$B$39,IF(M1084=PARAMS_MODELO!$A$40,PARAMS_MODELO!$B$40)))))</f>
        <v>1</v>
      </c>
    </row>
    <row r="1085" spans="1:14" x14ac:dyDescent="0.3">
      <c r="A1085">
        <v>51021908</v>
      </c>
      <c r="B1085">
        <v>13</v>
      </c>
      <c r="C1085">
        <v>23</v>
      </c>
      <c r="D1085">
        <f t="shared" si="48"/>
        <v>0.56521739130434778</v>
      </c>
      <c r="E1085">
        <f>ROUND(MIN(5,MAX(0,D1085))/5*PARAMS_MODELO!$B$32,2)</f>
        <v>4.5199999999999996</v>
      </c>
      <c r="F1085">
        <v>0</v>
      </c>
      <c r="G1085">
        <f>MAX(0,PARAMS_MODELO!$B$33-VALUE(TRIM(F1085))*3)</f>
        <v>30</v>
      </c>
      <c r="H1085">
        <v>0</v>
      </c>
      <c r="I1085">
        <f>ROUND(MIN(4,MAX(0,H1085))/4*PARAMS_MODELO!$B$34,2)</f>
        <v>0</v>
      </c>
      <c r="J1085">
        <v>1</v>
      </c>
      <c r="K1085">
        <f>IF(J1085=0,0,PARAMS_MODELO!$B$35)</f>
        <v>10</v>
      </c>
      <c r="L1085">
        <f t="shared" si="49"/>
        <v>44.519999999999996</v>
      </c>
      <c r="M1085" t="str">
        <f t="shared" si="50"/>
        <v>Regular</v>
      </c>
      <c r="N1085">
        <f>IF(M1085=PARAMS_MODELO!$A$36,PARAMS_MODELO!$B$36,IF(M1085=PARAMS_MODELO!$A$37,PARAMS_MODELO!$B$37,IF(M1085=PARAMS_MODELO!$A$38,PARAMS_MODELO!$B$38,IF(M1085=PARAMS_MODELO!$A$39,PARAMS_MODELO!$B$39,IF(M1085=PARAMS_MODELO!$A$40,PARAMS_MODELO!$B$40)))))</f>
        <v>1</v>
      </c>
    </row>
    <row r="1086" spans="1:14" x14ac:dyDescent="0.3">
      <c r="A1086">
        <v>51021924</v>
      </c>
      <c r="B1086">
        <v>32</v>
      </c>
      <c r="C1086">
        <v>28</v>
      </c>
      <c r="D1086">
        <f t="shared" si="48"/>
        <v>1.1428571428571428</v>
      </c>
      <c r="E1086">
        <f>ROUND(MIN(5,MAX(0,D1086))/5*PARAMS_MODELO!$B$32,2)</f>
        <v>9.14</v>
      </c>
      <c r="F1086">
        <v>0</v>
      </c>
      <c r="G1086">
        <f>MAX(0,PARAMS_MODELO!$B$33-VALUE(TRIM(F1086))*3)</f>
        <v>30</v>
      </c>
      <c r="H1086">
        <v>1</v>
      </c>
      <c r="I1086">
        <f>ROUND(MIN(4,MAX(0,H1086))/4*PARAMS_MODELO!$B$34,2)</f>
        <v>5</v>
      </c>
      <c r="J1086">
        <v>0</v>
      </c>
      <c r="K1086">
        <f>IF(J1086=0,0,PARAMS_MODELO!$B$35)</f>
        <v>0</v>
      </c>
      <c r="L1086">
        <f t="shared" si="49"/>
        <v>44.14</v>
      </c>
      <c r="M1086" t="str">
        <f t="shared" si="50"/>
        <v>Regular</v>
      </c>
      <c r="N1086">
        <f>IF(M1086=PARAMS_MODELO!$A$36,PARAMS_MODELO!$B$36,IF(M1086=PARAMS_MODELO!$A$37,PARAMS_MODELO!$B$37,IF(M1086=PARAMS_MODELO!$A$38,PARAMS_MODELO!$B$38,IF(M1086=PARAMS_MODELO!$A$39,PARAMS_MODELO!$B$39,IF(M1086=PARAMS_MODELO!$A$40,PARAMS_MODELO!$B$40)))))</f>
        <v>1</v>
      </c>
    </row>
    <row r="1087" spans="1:14" x14ac:dyDescent="0.3">
      <c r="A1087">
        <v>51022203</v>
      </c>
      <c r="B1087">
        <v>29</v>
      </c>
      <c r="C1087">
        <v>42</v>
      </c>
      <c r="D1087">
        <f t="shared" si="48"/>
        <v>0.69047619047619047</v>
      </c>
      <c r="E1087">
        <f>ROUND(MIN(5,MAX(0,D1087))/5*PARAMS_MODELO!$B$32,2)</f>
        <v>5.52</v>
      </c>
      <c r="F1087">
        <v>5</v>
      </c>
      <c r="G1087">
        <f>MAX(0,PARAMS_MODELO!$B$33-VALUE(TRIM(F1087))*3)</f>
        <v>15</v>
      </c>
      <c r="H1087">
        <v>1</v>
      </c>
      <c r="I1087">
        <f>ROUND(MIN(4,MAX(0,H1087))/4*PARAMS_MODELO!$B$34,2)</f>
        <v>5</v>
      </c>
      <c r="J1087">
        <v>0</v>
      </c>
      <c r="K1087">
        <f>IF(J1087=0,0,PARAMS_MODELO!$B$35)</f>
        <v>0</v>
      </c>
      <c r="L1087">
        <f t="shared" si="49"/>
        <v>25.52</v>
      </c>
      <c r="M1087" t="str">
        <f t="shared" si="50"/>
        <v>Malo</v>
      </c>
      <c r="N1087">
        <f>IF(M1087=PARAMS_MODELO!$A$36,PARAMS_MODELO!$B$36,IF(M1087=PARAMS_MODELO!$A$37,PARAMS_MODELO!$B$37,IF(M1087=PARAMS_MODELO!$A$38,PARAMS_MODELO!$B$38,IF(M1087=PARAMS_MODELO!$A$39,PARAMS_MODELO!$B$39,IF(M1087=PARAMS_MODELO!$A$40,PARAMS_MODELO!$B$40)))))</f>
        <v>0.7</v>
      </c>
    </row>
    <row r="1088" spans="1:14" x14ac:dyDescent="0.3">
      <c r="A1088">
        <v>51022271</v>
      </c>
      <c r="B1088">
        <v>22</v>
      </c>
      <c r="C1088">
        <v>92</v>
      </c>
      <c r="D1088">
        <f t="shared" si="48"/>
        <v>0.2391304347826087</v>
      </c>
      <c r="E1088">
        <f>ROUND(MIN(5,MAX(0,D1088))/5*PARAMS_MODELO!$B$32,2)</f>
        <v>1.91</v>
      </c>
      <c r="F1088">
        <v>5</v>
      </c>
      <c r="G1088">
        <f>MAX(0,PARAMS_MODELO!$B$33-VALUE(TRIM(F1088))*3)</f>
        <v>15</v>
      </c>
      <c r="H1088">
        <v>0</v>
      </c>
      <c r="I1088">
        <f>ROUND(MIN(4,MAX(0,H1088))/4*PARAMS_MODELO!$B$34,2)</f>
        <v>0</v>
      </c>
      <c r="J1088">
        <v>0</v>
      </c>
      <c r="K1088">
        <f>IF(J1088=0,0,PARAMS_MODELO!$B$35)</f>
        <v>0</v>
      </c>
      <c r="L1088">
        <f t="shared" si="49"/>
        <v>16.91</v>
      </c>
      <c r="M1088" t="str">
        <f t="shared" si="50"/>
        <v>Malo</v>
      </c>
      <c r="N1088">
        <f>IF(M1088=PARAMS_MODELO!$A$36,PARAMS_MODELO!$B$36,IF(M1088=PARAMS_MODELO!$A$37,PARAMS_MODELO!$B$37,IF(M1088=PARAMS_MODELO!$A$38,PARAMS_MODELO!$B$38,IF(M1088=PARAMS_MODELO!$A$39,PARAMS_MODELO!$B$39,IF(M1088=PARAMS_MODELO!$A$40,PARAMS_MODELO!$B$40)))))</f>
        <v>0.7</v>
      </c>
    </row>
    <row r="1089" spans="1:14" x14ac:dyDescent="0.3">
      <c r="A1089">
        <v>51022297</v>
      </c>
      <c r="B1089">
        <v>69</v>
      </c>
      <c r="C1089">
        <v>15</v>
      </c>
      <c r="D1089">
        <f t="shared" si="48"/>
        <v>4.5999999999999996</v>
      </c>
      <c r="E1089">
        <f>ROUND(MIN(5,MAX(0,D1089))/5*PARAMS_MODELO!$B$32,2)</f>
        <v>36.799999999999997</v>
      </c>
      <c r="F1089">
        <v>1</v>
      </c>
      <c r="G1089">
        <f>MAX(0,PARAMS_MODELO!$B$33-VALUE(TRIM(F1089))*3)</f>
        <v>27</v>
      </c>
      <c r="H1089">
        <v>1</v>
      </c>
      <c r="I1089">
        <f>ROUND(MIN(4,MAX(0,H1089))/4*PARAMS_MODELO!$B$34,2)</f>
        <v>5</v>
      </c>
      <c r="J1089">
        <v>1</v>
      </c>
      <c r="K1089">
        <f>IF(J1089=0,0,PARAMS_MODELO!$B$35)</f>
        <v>10</v>
      </c>
      <c r="L1089">
        <f t="shared" si="49"/>
        <v>78.8</v>
      </c>
      <c r="M1089" t="str">
        <f t="shared" si="50"/>
        <v>Muy Bueno</v>
      </c>
      <c r="N1089">
        <f>IF(M1089=PARAMS_MODELO!$A$36,PARAMS_MODELO!$B$36,IF(M1089=PARAMS_MODELO!$A$37,PARAMS_MODELO!$B$37,IF(M1089=PARAMS_MODELO!$A$38,PARAMS_MODELO!$B$38,IF(M1089=PARAMS_MODELO!$A$39,PARAMS_MODELO!$B$39,IF(M1089=PARAMS_MODELO!$A$40,PARAMS_MODELO!$B$40)))))</f>
        <v>1.1499999999999999</v>
      </c>
    </row>
    <row r="1090" spans="1:14" x14ac:dyDescent="0.3">
      <c r="A1090">
        <v>51022807</v>
      </c>
      <c r="B1090">
        <v>83</v>
      </c>
      <c r="C1090">
        <v>10</v>
      </c>
      <c r="D1090">
        <f t="shared" ref="D1090:D1153" si="51">IF(C1090=0,0,MIN(5,B1090/C1090))</f>
        <v>5</v>
      </c>
      <c r="E1090">
        <f>ROUND(MIN(5,MAX(0,D1090))/5*PARAMS_MODELO!$B$32,2)</f>
        <v>40</v>
      </c>
      <c r="F1090">
        <v>0</v>
      </c>
      <c r="G1090">
        <f>MAX(0,PARAMS_MODELO!$B$33-VALUE(TRIM(F1090))*3)</f>
        <v>30</v>
      </c>
      <c r="H1090">
        <v>3</v>
      </c>
      <c r="I1090">
        <f>ROUND(MIN(4,MAX(0,H1090))/4*PARAMS_MODELO!$B$34,2)</f>
        <v>15</v>
      </c>
      <c r="J1090">
        <v>1</v>
      </c>
      <c r="K1090">
        <f>IF(J1090=0,0,PARAMS_MODELO!$B$35)</f>
        <v>10</v>
      </c>
      <c r="L1090">
        <f t="shared" ref="L1090:L1153" si="52">MIN(100,MAX(0,E1090+G1090+I1090+K1090))</f>
        <v>95</v>
      </c>
      <c r="M1090" t="str">
        <f t="shared" ref="M1090:M1153" si="53">IF(L1090="","",IF(L1090&gt;=90,"Excelente",IF(L1090&gt;=75,"Muy Bueno",IF(L1090&gt;=60,"Bueno",IF(L1090&gt;=40,"Regular","Malo")))))</f>
        <v>Excelente</v>
      </c>
      <c r="N1090">
        <f>IF(M1090=PARAMS_MODELO!$A$36,PARAMS_MODELO!$B$36,IF(M1090=PARAMS_MODELO!$A$37,PARAMS_MODELO!$B$37,IF(M1090=PARAMS_MODELO!$A$38,PARAMS_MODELO!$B$38,IF(M1090=PARAMS_MODELO!$A$39,PARAMS_MODELO!$B$39,IF(M1090=PARAMS_MODELO!$A$40,PARAMS_MODELO!$B$40)))))</f>
        <v>1.2</v>
      </c>
    </row>
    <row r="1091" spans="1:14" x14ac:dyDescent="0.3">
      <c r="A1091">
        <v>51022891</v>
      </c>
      <c r="B1091">
        <v>70</v>
      </c>
      <c r="C1091">
        <v>38</v>
      </c>
      <c r="D1091">
        <f t="shared" si="51"/>
        <v>1.8421052631578947</v>
      </c>
      <c r="E1091">
        <f>ROUND(MIN(5,MAX(0,D1091))/5*PARAMS_MODELO!$B$32,2)</f>
        <v>14.74</v>
      </c>
      <c r="F1091">
        <v>4</v>
      </c>
      <c r="G1091">
        <f>MAX(0,PARAMS_MODELO!$B$33-VALUE(TRIM(F1091))*3)</f>
        <v>18</v>
      </c>
      <c r="H1091">
        <v>0</v>
      </c>
      <c r="I1091">
        <f>ROUND(MIN(4,MAX(0,H1091))/4*PARAMS_MODELO!$B$34,2)</f>
        <v>0</v>
      </c>
      <c r="J1091">
        <v>0</v>
      </c>
      <c r="K1091">
        <f>IF(J1091=0,0,PARAMS_MODELO!$B$35)</f>
        <v>0</v>
      </c>
      <c r="L1091">
        <f t="shared" si="52"/>
        <v>32.74</v>
      </c>
      <c r="M1091" t="str">
        <f t="shared" si="53"/>
        <v>Malo</v>
      </c>
      <c r="N1091">
        <f>IF(M1091=PARAMS_MODELO!$A$36,PARAMS_MODELO!$B$36,IF(M1091=PARAMS_MODELO!$A$37,PARAMS_MODELO!$B$37,IF(M1091=PARAMS_MODELO!$A$38,PARAMS_MODELO!$B$38,IF(M1091=PARAMS_MODELO!$A$39,PARAMS_MODELO!$B$39,IF(M1091=PARAMS_MODELO!$A$40,PARAMS_MODELO!$B$40)))))</f>
        <v>0.7</v>
      </c>
    </row>
    <row r="1092" spans="1:14" x14ac:dyDescent="0.3">
      <c r="A1092">
        <v>51022939</v>
      </c>
      <c r="B1092">
        <v>33</v>
      </c>
      <c r="C1092">
        <v>90</v>
      </c>
      <c r="D1092">
        <f t="shared" si="51"/>
        <v>0.36666666666666664</v>
      </c>
      <c r="E1092">
        <f>ROUND(MIN(5,MAX(0,D1092))/5*PARAMS_MODELO!$B$32,2)</f>
        <v>2.93</v>
      </c>
      <c r="F1092">
        <v>4</v>
      </c>
      <c r="G1092">
        <f>MAX(0,PARAMS_MODELO!$B$33-VALUE(TRIM(F1092))*3)</f>
        <v>18</v>
      </c>
      <c r="H1092">
        <v>0</v>
      </c>
      <c r="I1092">
        <f>ROUND(MIN(4,MAX(0,H1092))/4*PARAMS_MODELO!$B$34,2)</f>
        <v>0</v>
      </c>
      <c r="J1092">
        <v>1</v>
      </c>
      <c r="K1092">
        <f>IF(J1092=0,0,PARAMS_MODELO!$B$35)</f>
        <v>10</v>
      </c>
      <c r="L1092">
        <f t="shared" si="52"/>
        <v>30.93</v>
      </c>
      <c r="M1092" t="str">
        <f t="shared" si="53"/>
        <v>Malo</v>
      </c>
      <c r="N1092">
        <f>IF(M1092=PARAMS_MODELO!$A$36,PARAMS_MODELO!$B$36,IF(M1092=PARAMS_MODELO!$A$37,PARAMS_MODELO!$B$37,IF(M1092=PARAMS_MODELO!$A$38,PARAMS_MODELO!$B$38,IF(M1092=PARAMS_MODELO!$A$39,PARAMS_MODELO!$B$39,IF(M1092=PARAMS_MODELO!$A$40,PARAMS_MODELO!$B$40)))))</f>
        <v>0.7</v>
      </c>
    </row>
    <row r="1093" spans="1:14" x14ac:dyDescent="0.3">
      <c r="A1093">
        <v>51023323</v>
      </c>
      <c r="B1093">
        <v>98</v>
      </c>
      <c r="C1093">
        <v>85</v>
      </c>
      <c r="D1093">
        <f t="shared" si="51"/>
        <v>1.1529411764705881</v>
      </c>
      <c r="E1093">
        <f>ROUND(MIN(5,MAX(0,D1093))/5*PARAMS_MODELO!$B$32,2)</f>
        <v>9.2200000000000006</v>
      </c>
      <c r="F1093">
        <v>4</v>
      </c>
      <c r="G1093">
        <f>MAX(0,PARAMS_MODELO!$B$33-VALUE(TRIM(F1093))*3)</f>
        <v>18</v>
      </c>
      <c r="H1093">
        <v>1</v>
      </c>
      <c r="I1093">
        <f>ROUND(MIN(4,MAX(0,H1093))/4*PARAMS_MODELO!$B$34,2)</f>
        <v>5</v>
      </c>
      <c r="J1093">
        <v>0</v>
      </c>
      <c r="K1093">
        <f>IF(J1093=0,0,PARAMS_MODELO!$B$35)</f>
        <v>0</v>
      </c>
      <c r="L1093">
        <f t="shared" si="52"/>
        <v>32.22</v>
      </c>
      <c r="M1093" t="str">
        <f t="shared" si="53"/>
        <v>Malo</v>
      </c>
      <c r="N1093">
        <f>IF(M1093=PARAMS_MODELO!$A$36,PARAMS_MODELO!$B$36,IF(M1093=PARAMS_MODELO!$A$37,PARAMS_MODELO!$B$37,IF(M1093=PARAMS_MODELO!$A$38,PARAMS_MODELO!$B$38,IF(M1093=PARAMS_MODELO!$A$39,PARAMS_MODELO!$B$39,IF(M1093=PARAMS_MODELO!$A$40,PARAMS_MODELO!$B$40)))))</f>
        <v>0.7</v>
      </c>
    </row>
    <row r="1094" spans="1:14" x14ac:dyDescent="0.3">
      <c r="A1094">
        <v>51023447</v>
      </c>
      <c r="B1094">
        <v>91</v>
      </c>
      <c r="C1094">
        <v>41</v>
      </c>
      <c r="D1094">
        <f t="shared" si="51"/>
        <v>2.2195121951219514</v>
      </c>
      <c r="E1094">
        <f>ROUND(MIN(5,MAX(0,D1094))/5*PARAMS_MODELO!$B$32,2)</f>
        <v>17.760000000000002</v>
      </c>
      <c r="F1094">
        <v>5</v>
      </c>
      <c r="G1094">
        <f>MAX(0,PARAMS_MODELO!$B$33-VALUE(TRIM(F1094))*3)</f>
        <v>15</v>
      </c>
      <c r="H1094">
        <v>0</v>
      </c>
      <c r="I1094">
        <f>ROUND(MIN(4,MAX(0,H1094))/4*PARAMS_MODELO!$B$34,2)</f>
        <v>0</v>
      </c>
      <c r="J1094">
        <v>0</v>
      </c>
      <c r="K1094">
        <f>IF(J1094=0,0,PARAMS_MODELO!$B$35)</f>
        <v>0</v>
      </c>
      <c r="L1094">
        <f t="shared" si="52"/>
        <v>32.760000000000005</v>
      </c>
      <c r="M1094" t="str">
        <f t="shared" si="53"/>
        <v>Malo</v>
      </c>
      <c r="N1094">
        <f>IF(M1094=PARAMS_MODELO!$A$36,PARAMS_MODELO!$B$36,IF(M1094=PARAMS_MODELO!$A$37,PARAMS_MODELO!$B$37,IF(M1094=PARAMS_MODELO!$A$38,PARAMS_MODELO!$B$38,IF(M1094=PARAMS_MODELO!$A$39,PARAMS_MODELO!$B$39,IF(M1094=PARAMS_MODELO!$A$40,PARAMS_MODELO!$B$40)))))</f>
        <v>0.7</v>
      </c>
    </row>
    <row r="1095" spans="1:14" x14ac:dyDescent="0.3">
      <c r="A1095">
        <v>51023463</v>
      </c>
      <c r="B1095">
        <v>57</v>
      </c>
      <c r="C1095">
        <v>59</v>
      </c>
      <c r="D1095">
        <f t="shared" si="51"/>
        <v>0.96610169491525422</v>
      </c>
      <c r="E1095">
        <f>ROUND(MIN(5,MAX(0,D1095))/5*PARAMS_MODELO!$B$32,2)</f>
        <v>7.73</v>
      </c>
      <c r="F1095">
        <v>0</v>
      </c>
      <c r="G1095">
        <f>MAX(0,PARAMS_MODELO!$B$33-VALUE(TRIM(F1095))*3)</f>
        <v>30</v>
      </c>
      <c r="H1095">
        <v>3</v>
      </c>
      <c r="I1095">
        <f>ROUND(MIN(4,MAX(0,H1095))/4*PARAMS_MODELO!$B$34,2)</f>
        <v>15</v>
      </c>
      <c r="J1095">
        <v>1</v>
      </c>
      <c r="K1095">
        <f>IF(J1095=0,0,PARAMS_MODELO!$B$35)</f>
        <v>10</v>
      </c>
      <c r="L1095">
        <f t="shared" si="52"/>
        <v>62.730000000000004</v>
      </c>
      <c r="M1095" t="str">
        <f t="shared" si="53"/>
        <v>Bueno</v>
      </c>
      <c r="N1095">
        <f>IF(M1095=PARAMS_MODELO!$A$36,PARAMS_MODELO!$B$36,IF(M1095=PARAMS_MODELO!$A$37,PARAMS_MODELO!$B$37,IF(M1095=PARAMS_MODELO!$A$38,PARAMS_MODELO!$B$38,IF(M1095=PARAMS_MODELO!$A$39,PARAMS_MODELO!$B$39,IF(M1095=PARAMS_MODELO!$A$40,PARAMS_MODELO!$B$40)))))</f>
        <v>1.1000000000000001</v>
      </c>
    </row>
    <row r="1096" spans="1:14" x14ac:dyDescent="0.3">
      <c r="A1096">
        <v>51023510</v>
      </c>
      <c r="B1096">
        <v>94</v>
      </c>
      <c r="C1096">
        <v>6</v>
      </c>
      <c r="D1096">
        <f t="shared" si="51"/>
        <v>5</v>
      </c>
      <c r="E1096">
        <f>ROUND(MIN(5,MAX(0,D1096))/5*PARAMS_MODELO!$B$32,2)</f>
        <v>40</v>
      </c>
      <c r="F1096">
        <v>1</v>
      </c>
      <c r="G1096">
        <f>MAX(0,PARAMS_MODELO!$B$33-VALUE(TRIM(F1096))*3)</f>
        <v>27</v>
      </c>
      <c r="H1096">
        <v>4</v>
      </c>
      <c r="I1096">
        <f>ROUND(MIN(4,MAX(0,H1096))/4*PARAMS_MODELO!$B$34,2)</f>
        <v>20</v>
      </c>
      <c r="J1096">
        <v>0</v>
      </c>
      <c r="K1096">
        <f>IF(J1096=0,0,PARAMS_MODELO!$B$35)</f>
        <v>0</v>
      </c>
      <c r="L1096">
        <f t="shared" si="52"/>
        <v>87</v>
      </c>
      <c r="M1096" t="str">
        <f t="shared" si="53"/>
        <v>Muy Bueno</v>
      </c>
      <c r="N1096">
        <f>IF(M1096=PARAMS_MODELO!$A$36,PARAMS_MODELO!$B$36,IF(M1096=PARAMS_MODELO!$A$37,PARAMS_MODELO!$B$37,IF(M1096=PARAMS_MODELO!$A$38,PARAMS_MODELO!$B$38,IF(M1096=PARAMS_MODELO!$A$39,PARAMS_MODELO!$B$39,IF(M1096=PARAMS_MODELO!$A$40,PARAMS_MODELO!$B$40)))))</f>
        <v>1.1499999999999999</v>
      </c>
    </row>
    <row r="1097" spans="1:14" x14ac:dyDescent="0.3">
      <c r="A1097">
        <v>51024338</v>
      </c>
      <c r="B1097">
        <v>27</v>
      </c>
      <c r="C1097">
        <v>51</v>
      </c>
      <c r="D1097">
        <f t="shared" si="51"/>
        <v>0.52941176470588236</v>
      </c>
      <c r="E1097">
        <f>ROUND(MIN(5,MAX(0,D1097))/5*PARAMS_MODELO!$B$32,2)</f>
        <v>4.24</v>
      </c>
      <c r="F1097">
        <v>3</v>
      </c>
      <c r="G1097">
        <f>MAX(0,PARAMS_MODELO!$B$33-VALUE(TRIM(F1097))*3)</f>
        <v>21</v>
      </c>
      <c r="H1097">
        <v>3</v>
      </c>
      <c r="I1097">
        <f>ROUND(MIN(4,MAX(0,H1097))/4*PARAMS_MODELO!$B$34,2)</f>
        <v>15</v>
      </c>
      <c r="J1097">
        <v>0</v>
      </c>
      <c r="K1097">
        <f>IF(J1097=0,0,PARAMS_MODELO!$B$35)</f>
        <v>0</v>
      </c>
      <c r="L1097">
        <f t="shared" si="52"/>
        <v>40.24</v>
      </c>
      <c r="M1097" t="str">
        <f t="shared" si="53"/>
        <v>Regular</v>
      </c>
      <c r="N1097">
        <f>IF(M1097=PARAMS_MODELO!$A$36,PARAMS_MODELO!$B$36,IF(M1097=PARAMS_MODELO!$A$37,PARAMS_MODELO!$B$37,IF(M1097=PARAMS_MODELO!$A$38,PARAMS_MODELO!$B$38,IF(M1097=PARAMS_MODELO!$A$39,PARAMS_MODELO!$B$39,IF(M1097=PARAMS_MODELO!$A$40,PARAMS_MODELO!$B$40)))))</f>
        <v>1</v>
      </c>
    </row>
    <row r="1098" spans="1:14" x14ac:dyDescent="0.3">
      <c r="A1098">
        <v>51024346</v>
      </c>
      <c r="B1098">
        <v>9</v>
      </c>
      <c r="C1098">
        <v>81</v>
      </c>
      <c r="D1098">
        <f t="shared" si="51"/>
        <v>0.1111111111111111</v>
      </c>
      <c r="E1098">
        <f>ROUND(MIN(5,MAX(0,D1098))/5*PARAMS_MODELO!$B$32,2)</f>
        <v>0.89</v>
      </c>
      <c r="F1098">
        <v>0</v>
      </c>
      <c r="G1098">
        <f>MAX(0,PARAMS_MODELO!$B$33-VALUE(TRIM(F1098))*3)</f>
        <v>30</v>
      </c>
      <c r="H1098">
        <v>4</v>
      </c>
      <c r="I1098">
        <f>ROUND(MIN(4,MAX(0,H1098))/4*PARAMS_MODELO!$B$34,2)</f>
        <v>20</v>
      </c>
      <c r="J1098">
        <v>1</v>
      </c>
      <c r="K1098">
        <f>IF(J1098=0,0,PARAMS_MODELO!$B$35)</f>
        <v>10</v>
      </c>
      <c r="L1098">
        <f t="shared" si="52"/>
        <v>60.89</v>
      </c>
      <c r="M1098" t="str">
        <f t="shared" si="53"/>
        <v>Bueno</v>
      </c>
      <c r="N1098">
        <f>IF(M1098=PARAMS_MODELO!$A$36,PARAMS_MODELO!$B$36,IF(M1098=PARAMS_MODELO!$A$37,PARAMS_MODELO!$B$37,IF(M1098=PARAMS_MODELO!$A$38,PARAMS_MODELO!$B$38,IF(M1098=PARAMS_MODELO!$A$39,PARAMS_MODELO!$B$39,IF(M1098=PARAMS_MODELO!$A$40,PARAMS_MODELO!$B$40)))))</f>
        <v>1.1000000000000001</v>
      </c>
    </row>
    <row r="1099" spans="1:14" x14ac:dyDescent="0.3">
      <c r="A1099">
        <v>51024354</v>
      </c>
      <c r="B1099">
        <v>24</v>
      </c>
      <c r="C1099">
        <v>39</v>
      </c>
      <c r="D1099">
        <f t="shared" si="51"/>
        <v>0.61538461538461542</v>
      </c>
      <c r="E1099">
        <f>ROUND(MIN(5,MAX(0,D1099))/5*PARAMS_MODELO!$B$32,2)</f>
        <v>4.92</v>
      </c>
      <c r="F1099">
        <v>2</v>
      </c>
      <c r="G1099">
        <f>MAX(0,PARAMS_MODELO!$B$33-VALUE(TRIM(F1099))*3)</f>
        <v>24</v>
      </c>
      <c r="H1099">
        <v>2</v>
      </c>
      <c r="I1099">
        <f>ROUND(MIN(4,MAX(0,H1099))/4*PARAMS_MODELO!$B$34,2)</f>
        <v>10</v>
      </c>
      <c r="J1099">
        <v>1</v>
      </c>
      <c r="K1099">
        <f>IF(J1099=0,0,PARAMS_MODELO!$B$35)</f>
        <v>10</v>
      </c>
      <c r="L1099">
        <f t="shared" si="52"/>
        <v>48.92</v>
      </c>
      <c r="M1099" t="str">
        <f t="shared" si="53"/>
        <v>Regular</v>
      </c>
      <c r="N1099">
        <f>IF(M1099=PARAMS_MODELO!$A$36,PARAMS_MODELO!$B$36,IF(M1099=PARAMS_MODELO!$A$37,PARAMS_MODELO!$B$37,IF(M1099=PARAMS_MODELO!$A$38,PARAMS_MODELO!$B$38,IF(M1099=PARAMS_MODELO!$A$39,PARAMS_MODELO!$B$39,IF(M1099=PARAMS_MODELO!$A$40,PARAMS_MODELO!$B$40)))))</f>
        <v>1</v>
      </c>
    </row>
    <row r="1100" spans="1:14" x14ac:dyDescent="0.3">
      <c r="A1100">
        <v>51024788</v>
      </c>
      <c r="B1100">
        <v>11</v>
      </c>
      <c r="C1100">
        <v>23</v>
      </c>
      <c r="D1100">
        <f t="shared" si="51"/>
        <v>0.47826086956521741</v>
      </c>
      <c r="E1100">
        <f>ROUND(MIN(5,MAX(0,D1100))/5*PARAMS_MODELO!$B$32,2)</f>
        <v>3.83</v>
      </c>
      <c r="F1100">
        <v>1</v>
      </c>
      <c r="G1100">
        <f>MAX(0,PARAMS_MODELO!$B$33-VALUE(TRIM(F1100))*3)</f>
        <v>27</v>
      </c>
      <c r="H1100">
        <v>3</v>
      </c>
      <c r="I1100">
        <f>ROUND(MIN(4,MAX(0,H1100))/4*PARAMS_MODELO!$B$34,2)</f>
        <v>15</v>
      </c>
      <c r="J1100">
        <v>1</v>
      </c>
      <c r="K1100">
        <f>IF(J1100=0,0,PARAMS_MODELO!$B$35)</f>
        <v>10</v>
      </c>
      <c r="L1100">
        <f t="shared" si="52"/>
        <v>55.83</v>
      </c>
      <c r="M1100" t="str">
        <f t="shared" si="53"/>
        <v>Regular</v>
      </c>
      <c r="N1100">
        <f>IF(M1100=PARAMS_MODELO!$A$36,PARAMS_MODELO!$B$36,IF(M1100=PARAMS_MODELO!$A$37,PARAMS_MODELO!$B$37,IF(M1100=PARAMS_MODELO!$A$38,PARAMS_MODELO!$B$38,IF(M1100=PARAMS_MODELO!$A$39,PARAMS_MODELO!$B$39,IF(M1100=PARAMS_MODELO!$A$40,PARAMS_MODELO!$B$40)))))</f>
        <v>1</v>
      </c>
    </row>
    <row r="1101" spans="1:14" x14ac:dyDescent="0.3">
      <c r="A1101">
        <v>51024907</v>
      </c>
      <c r="B1101">
        <v>1</v>
      </c>
      <c r="C1101">
        <v>7</v>
      </c>
      <c r="D1101">
        <f t="shared" si="51"/>
        <v>0.14285714285714285</v>
      </c>
      <c r="E1101">
        <f>ROUND(MIN(5,MAX(0,D1101))/5*PARAMS_MODELO!$B$32,2)</f>
        <v>1.1399999999999999</v>
      </c>
      <c r="F1101">
        <v>4</v>
      </c>
      <c r="G1101">
        <f>MAX(0,PARAMS_MODELO!$B$33-VALUE(TRIM(F1101))*3)</f>
        <v>18</v>
      </c>
      <c r="H1101">
        <v>1</v>
      </c>
      <c r="I1101">
        <f>ROUND(MIN(4,MAX(0,H1101))/4*PARAMS_MODELO!$B$34,2)</f>
        <v>5</v>
      </c>
      <c r="J1101">
        <v>1</v>
      </c>
      <c r="K1101">
        <f>IF(J1101=0,0,PARAMS_MODELO!$B$35)</f>
        <v>10</v>
      </c>
      <c r="L1101">
        <f t="shared" si="52"/>
        <v>34.14</v>
      </c>
      <c r="M1101" t="str">
        <f t="shared" si="53"/>
        <v>Malo</v>
      </c>
      <c r="N1101">
        <f>IF(M1101=PARAMS_MODELO!$A$36,PARAMS_MODELO!$B$36,IF(M1101=PARAMS_MODELO!$A$37,PARAMS_MODELO!$B$37,IF(M1101=PARAMS_MODELO!$A$38,PARAMS_MODELO!$B$38,IF(M1101=PARAMS_MODELO!$A$39,PARAMS_MODELO!$B$39,IF(M1101=PARAMS_MODELO!$A$40,PARAMS_MODELO!$B$40)))))</f>
        <v>0.7</v>
      </c>
    </row>
    <row r="1102" spans="1:14" x14ac:dyDescent="0.3">
      <c r="A1102">
        <v>51025598</v>
      </c>
      <c r="B1102">
        <v>33</v>
      </c>
      <c r="C1102">
        <v>4</v>
      </c>
      <c r="D1102">
        <f t="shared" si="51"/>
        <v>5</v>
      </c>
      <c r="E1102">
        <f>ROUND(MIN(5,MAX(0,D1102))/5*PARAMS_MODELO!$B$32,2)</f>
        <v>40</v>
      </c>
      <c r="F1102">
        <v>4</v>
      </c>
      <c r="G1102">
        <f>MAX(0,PARAMS_MODELO!$B$33-VALUE(TRIM(F1102))*3)</f>
        <v>18</v>
      </c>
      <c r="H1102">
        <v>4</v>
      </c>
      <c r="I1102">
        <f>ROUND(MIN(4,MAX(0,H1102))/4*PARAMS_MODELO!$B$34,2)</f>
        <v>20</v>
      </c>
      <c r="J1102">
        <v>0</v>
      </c>
      <c r="K1102">
        <f>IF(J1102=0,0,PARAMS_MODELO!$B$35)</f>
        <v>0</v>
      </c>
      <c r="L1102">
        <f t="shared" si="52"/>
        <v>78</v>
      </c>
      <c r="M1102" t="str">
        <f t="shared" si="53"/>
        <v>Muy Bueno</v>
      </c>
      <c r="N1102">
        <f>IF(M1102=PARAMS_MODELO!$A$36,PARAMS_MODELO!$B$36,IF(M1102=PARAMS_MODELO!$A$37,PARAMS_MODELO!$B$37,IF(M1102=PARAMS_MODELO!$A$38,PARAMS_MODELO!$B$38,IF(M1102=PARAMS_MODELO!$A$39,PARAMS_MODELO!$B$39,IF(M1102=PARAMS_MODELO!$A$40,PARAMS_MODELO!$B$40)))))</f>
        <v>1.1499999999999999</v>
      </c>
    </row>
    <row r="1103" spans="1:14" x14ac:dyDescent="0.3">
      <c r="A1103">
        <v>51025601</v>
      </c>
      <c r="B1103">
        <v>30</v>
      </c>
      <c r="C1103">
        <v>78</v>
      </c>
      <c r="D1103">
        <f t="shared" si="51"/>
        <v>0.38461538461538464</v>
      </c>
      <c r="E1103">
        <f>ROUND(MIN(5,MAX(0,D1103))/5*PARAMS_MODELO!$B$32,2)</f>
        <v>3.08</v>
      </c>
      <c r="F1103">
        <v>4</v>
      </c>
      <c r="G1103">
        <f>MAX(0,PARAMS_MODELO!$B$33-VALUE(TRIM(F1103))*3)</f>
        <v>18</v>
      </c>
      <c r="H1103">
        <v>3</v>
      </c>
      <c r="I1103">
        <f>ROUND(MIN(4,MAX(0,H1103))/4*PARAMS_MODELO!$B$34,2)</f>
        <v>15</v>
      </c>
      <c r="J1103">
        <v>0</v>
      </c>
      <c r="K1103">
        <f>IF(J1103=0,0,PARAMS_MODELO!$B$35)</f>
        <v>0</v>
      </c>
      <c r="L1103">
        <f t="shared" si="52"/>
        <v>36.08</v>
      </c>
      <c r="M1103" t="str">
        <f t="shared" si="53"/>
        <v>Malo</v>
      </c>
      <c r="N1103">
        <f>IF(M1103=PARAMS_MODELO!$A$36,PARAMS_MODELO!$B$36,IF(M1103=PARAMS_MODELO!$A$37,PARAMS_MODELO!$B$37,IF(M1103=PARAMS_MODELO!$A$38,PARAMS_MODELO!$B$38,IF(M1103=PARAMS_MODELO!$A$39,PARAMS_MODELO!$B$39,IF(M1103=PARAMS_MODELO!$A$40,PARAMS_MODELO!$B$40)))))</f>
        <v>0.7</v>
      </c>
    </row>
    <row r="1104" spans="1:14" x14ac:dyDescent="0.3">
      <c r="A1104">
        <v>51025881</v>
      </c>
      <c r="B1104">
        <v>56</v>
      </c>
      <c r="C1104">
        <v>66</v>
      </c>
      <c r="D1104">
        <f t="shared" si="51"/>
        <v>0.84848484848484851</v>
      </c>
      <c r="E1104">
        <f>ROUND(MIN(5,MAX(0,D1104))/5*PARAMS_MODELO!$B$32,2)</f>
        <v>6.79</v>
      </c>
      <c r="F1104">
        <v>2</v>
      </c>
      <c r="G1104">
        <f>MAX(0,PARAMS_MODELO!$B$33-VALUE(TRIM(F1104))*3)</f>
        <v>24</v>
      </c>
      <c r="H1104">
        <v>0</v>
      </c>
      <c r="I1104">
        <f>ROUND(MIN(4,MAX(0,H1104))/4*PARAMS_MODELO!$B$34,2)</f>
        <v>0</v>
      </c>
      <c r="J1104">
        <v>1</v>
      </c>
      <c r="K1104">
        <f>IF(J1104=0,0,PARAMS_MODELO!$B$35)</f>
        <v>10</v>
      </c>
      <c r="L1104">
        <f t="shared" si="52"/>
        <v>40.79</v>
      </c>
      <c r="M1104" t="str">
        <f t="shared" si="53"/>
        <v>Regular</v>
      </c>
      <c r="N1104">
        <f>IF(M1104=PARAMS_MODELO!$A$36,PARAMS_MODELO!$B$36,IF(M1104=PARAMS_MODELO!$A$37,PARAMS_MODELO!$B$37,IF(M1104=PARAMS_MODELO!$A$38,PARAMS_MODELO!$B$38,IF(M1104=PARAMS_MODELO!$A$39,PARAMS_MODELO!$B$39,IF(M1104=PARAMS_MODELO!$A$40,PARAMS_MODELO!$B$40)))))</f>
        <v>1</v>
      </c>
    </row>
    <row r="1105" spans="1:14" x14ac:dyDescent="0.3">
      <c r="A1105">
        <v>51028856</v>
      </c>
      <c r="B1105">
        <v>80</v>
      </c>
      <c r="C1105">
        <v>73</v>
      </c>
      <c r="D1105">
        <f t="shared" si="51"/>
        <v>1.095890410958904</v>
      </c>
      <c r="E1105">
        <f>ROUND(MIN(5,MAX(0,D1105))/5*PARAMS_MODELO!$B$32,2)</f>
        <v>8.77</v>
      </c>
      <c r="F1105">
        <v>0</v>
      </c>
      <c r="G1105">
        <f>MAX(0,PARAMS_MODELO!$B$33-VALUE(TRIM(F1105))*3)</f>
        <v>30</v>
      </c>
      <c r="H1105">
        <v>0</v>
      </c>
      <c r="I1105">
        <f>ROUND(MIN(4,MAX(0,H1105))/4*PARAMS_MODELO!$B$34,2)</f>
        <v>0</v>
      </c>
      <c r="J1105">
        <v>1</v>
      </c>
      <c r="K1105">
        <f>IF(J1105=0,0,PARAMS_MODELO!$B$35)</f>
        <v>10</v>
      </c>
      <c r="L1105">
        <f t="shared" si="52"/>
        <v>48.769999999999996</v>
      </c>
      <c r="M1105" t="str">
        <f t="shared" si="53"/>
        <v>Regular</v>
      </c>
      <c r="N1105">
        <f>IF(M1105=PARAMS_MODELO!$A$36,PARAMS_MODELO!$B$36,IF(M1105=PARAMS_MODELO!$A$37,PARAMS_MODELO!$B$37,IF(M1105=PARAMS_MODELO!$A$38,PARAMS_MODELO!$B$38,IF(M1105=PARAMS_MODELO!$A$39,PARAMS_MODELO!$B$39,IF(M1105=PARAMS_MODELO!$A$40,PARAMS_MODELO!$B$40)))))</f>
        <v>1</v>
      </c>
    </row>
    <row r="1106" spans="1:14" x14ac:dyDescent="0.3">
      <c r="A1106">
        <v>51030087</v>
      </c>
      <c r="B1106">
        <v>9</v>
      </c>
      <c r="C1106">
        <v>63</v>
      </c>
      <c r="D1106">
        <f t="shared" si="51"/>
        <v>0.14285714285714285</v>
      </c>
      <c r="E1106">
        <f>ROUND(MIN(5,MAX(0,D1106))/5*PARAMS_MODELO!$B$32,2)</f>
        <v>1.1399999999999999</v>
      </c>
      <c r="F1106">
        <v>1</v>
      </c>
      <c r="G1106">
        <f>MAX(0,PARAMS_MODELO!$B$33-VALUE(TRIM(F1106))*3)</f>
        <v>27</v>
      </c>
      <c r="H1106">
        <v>3</v>
      </c>
      <c r="I1106">
        <f>ROUND(MIN(4,MAX(0,H1106))/4*PARAMS_MODELO!$B$34,2)</f>
        <v>15</v>
      </c>
      <c r="J1106">
        <v>0</v>
      </c>
      <c r="K1106">
        <f>IF(J1106=0,0,PARAMS_MODELO!$B$35)</f>
        <v>0</v>
      </c>
      <c r="L1106">
        <f t="shared" si="52"/>
        <v>43.14</v>
      </c>
      <c r="M1106" t="str">
        <f t="shared" si="53"/>
        <v>Regular</v>
      </c>
      <c r="N1106">
        <f>IF(M1106=PARAMS_MODELO!$A$36,PARAMS_MODELO!$B$36,IF(M1106=PARAMS_MODELO!$A$37,PARAMS_MODELO!$B$37,IF(M1106=PARAMS_MODELO!$A$38,PARAMS_MODELO!$B$38,IF(M1106=PARAMS_MODELO!$A$39,PARAMS_MODELO!$B$39,IF(M1106=PARAMS_MODELO!$A$40,PARAMS_MODELO!$B$40)))))</f>
        <v>1</v>
      </c>
    </row>
    <row r="1107" spans="1:14" x14ac:dyDescent="0.3">
      <c r="A1107">
        <v>51030206</v>
      </c>
      <c r="B1107">
        <v>88</v>
      </c>
      <c r="C1107">
        <v>28</v>
      </c>
      <c r="D1107">
        <f t="shared" si="51"/>
        <v>3.1428571428571428</v>
      </c>
      <c r="E1107">
        <f>ROUND(MIN(5,MAX(0,D1107))/5*PARAMS_MODELO!$B$32,2)</f>
        <v>25.14</v>
      </c>
      <c r="F1107">
        <v>2</v>
      </c>
      <c r="G1107">
        <f>MAX(0,PARAMS_MODELO!$B$33-VALUE(TRIM(F1107))*3)</f>
        <v>24</v>
      </c>
      <c r="H1107">
        <v>3</v>
      </c>
      <c r="I1107">
        <f>ROUND(MIN(4,MAX(0,H1107))/4*PARAMS_MODELO!$B$34,2)</f>
        <v>15</v>
      </c>
      <c r="J1107">
        <v>0</v>
      </c>
      <c r="K1107">
        <f>IF(J1107=0,0,PARAMS_MODELO!$B$35)</f>
        <v>0</v>
      </c>
      <c r="L1107">
        <f t="shared" si="52"/>
        <v>64.14</v>
      </c>
      <c r="M1107" t="str">
        <f t="shared" si="53"/>
        <v>Bueno</v>
      </c>
      <c r="N1107">
        <f>IF(M1107=PARAMS_MODELO!$A$36,PARAMS_MODELO!$B$36,IF(M1107=PARAMS_MODELO!$A$37,PARAMS_MODELO!$B$37,IF(M1107=PARAMS_MODELO!$A$38,PARAMS_MODELO!$B$38,IF(M1107=PARAMS_MODELO!$A$39,PARAMS_MODELO!$B$39,IF(M1107=PARAMS_MODELO!$A$40,PARAMS_MODELO!$B$40)))))</f>
        <v>1.1000000000000001</v>
      </c>
    </row>
    <row r="1108" spans="1:14" x14ac:dyDescent="0.3">
      <c r="A1108">
        <v>51030630</v>
      </c>
      <c r="B1108">
        <v>100</v>
      </c>
      <c r="C1108">
        <v>49</v>
      </c>
      <c r="D1108">
        <f t="shared" si="51"/>
        <v>2.0408163265306123</v>
      </c>
      <c r="E1108">
        <f>ROUND(MIN(5,MAX(0,D1108))/5*PARAMS_MODELO!$B$32,2)</f>
        <v>16.329999999999998</v>
      </c>
      <c r="F1108">
        <v>5</v>
      </c>
      <c r="G1108">
        <f>MAX(0,PARAMS_MODELO!$B$33-VALUE(TRIM(F1108))*3)</f>
        <v>15</v>
      </c>
      <c r="H1108">
        <v>0</v>
      </c>
      <c r="I1108">
        <f>ROUND(MIN(4,MAX(0,H1108))/4*PARAMS_MODELO!$B$34,2)</f>
        <v>0</v>
      </c>
      <c r="J1108">
        <v>0</v>
      </c>
      <c r="K1108">
        <f>IF(J1108=0,0,PARAMS_MODELO!$B$35)</f>
        <v>0</v>
      </c>
      <c r="L1108">
        <f t="shared" si="52"/>
        <v>31.33</v>
      </c>
      <c r="M1108" t="str">
        <f t="shared" si="53"/>
        <v>Malo</v>
      </c>
      <c r="N1108">
        <f>IF(M1108=PARAMS_MODELO!$A$36,PARAMS_MODELO!$B$36,IF(M1108=PARAMS_MODELO!$A$37,PARAMS_MODELO!$B$37,IF(M1108=PARAMS_MODELO!$A$38,PARAMS_MODELO!$B$38,IF(M1108=PARAMS_MODELO!$A$39,PARAMS_MODELO!$B$39,IF(M1108=PARAMS_MODELO!$A$40,PARAMS_MODELO!$B$40)))))</f>
        <v>0.7</v>
      </c>
    </row>
    <row r="1109" spans="1:14" x14ac:dyDescent="0.3">
      <c r="A1109">
        <v>51030745</v>
      </c>
      <c r="B1109">
        <v>17</v>
      </c>
      <c r="C1109">
        <v>8</v>
      </c>
      <c r="D1109">
        <f t="shared" si="51"/>
        <v>2.125</v>
      </c>
      <c r="E1109">
        <f>ROUND(MIN(5,MAX(0,D1109))/5*PARAMS_MODELO!$B$32,2)</f>
        <v>17</v>
      </c>
      <c r="F1109">
        <v>0</v>
      </c>
      <c r="G1109">
        <f>MAX(0,PARAMS_MODELO!$B$33-VALUE(TRIM(F1109))*3)</f>
        <v>30</v>
      </c>
      <c r="H1109">
        <v>0</v>
      </c>
      <c r="I1109">
        <f>ROUND(MIN(4,MAX(0,H1109))/4*PARAMS_MODELO!$B$34,2)</f>
        <v>0</v>
      </c>
      <c r="J1109">
        <v>0</v>
      </c>
      <c r="K1109">
        <f>IF(J1109=0,0,PARAMS_MODELO!$B$35)</f>
        <v>0</v>
      </c>
      <c r="L1109">
        <f t="shared" si="52"/>
        <v>47</v>
      </c>
      <c r="M1109" t="str">
        <f t="shared" si="53"/>
        <v>Regular</v>
      </c>
      <c r="N1109">
        <f>IF(M1109=PARAMS_MODELO!$A$36,PARAMS_MODELO!$B$36,IF(M1109=PARAMS_MODELO!$A$37,PARAMS_MODELO!$B$37,IF(M1109=PARAMS_MODELO!$A$38,PARAMS_MODELO!$B$38,IF(M1109=PARAMS_MODELO!$A$39,PARAMS_MODELO!$B$39,IF(M1109=PARAMS_MODELO!$A$40,PARAMS_MODELO!$B$40)))))</f>
        <v>1</v>
      </c>
    </row>
    <row r="1110" spans="1:14" x14ac:dyDescent="0.3">
      <c r="A1110">
        <v>51030796</v>
      </c>
      <c r="B1110">
        <v>99</v>
      </c>
      <c r="C1110">
        <v>52</v>
      </c>
      <c r="D1110">
        <f t="shared" si="51"/>
        <v>1.9038461538461537</v>
      </c>
      <c r="E1110">
        <f>ROUND(MIN(5,MAX(0,D1110))/5*PARAMS_MODELO!$B$32,2)</f>
        <v>15.23</v>
      </c>
      <c r="F1110">
        <v>3</v>
      </c>
      <c r="G1110">
        <f>MAX(0,PARAMS_MODELO!$B$33-VALUE(TRIM(F1110))*3)</f>
        <v>21</v>
      </c>
      <c r="H1110">
        <v>0</v>
      </c>
      <c r="I1110">
        <f>ROUND(MIN(4,MAX(0,H1110))/4*PARAMS_MODELO!$B$34,2)</f>
        <v>0</v>
      </c>
      <c r="J1110">
        <v>1</v>
      </c>
      <c r="K1110">
        <f>IF(J1110=0,0,PARAMS_MODELO!$B$35)</f>
        <v>10</v>
      </c>
      <c r="L1110">
        <f t="shared" si="52"/>
        <v>46.230000000000004</v>
      </c>
      <c r="M1110" t="str">
        <f t="shared" si="53"/>
        <v>Regular</v>
      </c>
      <c r="N1110">
        <f>IF(M1110=PARAMS_MODELO!$A$36,PARAMS_MODELO!$B$36,IF(M1110=PARAMS_MODELO!$A$37,PARAMS_MODELO!$B$37,IF(M1110=PARAMS_MODELO!$A$38,PARAMS_MODELO!$B$38,IF(M1110=PARAMS_MODELO!$A$39,PARAMS_MODELO!$B$39,IF(M1110=PARAMS_MODELO!$A$40,PARAMS_MODELO!$B$40)))))</f>
        <v>1</v>
      </c>
    </row>
    <row r="1111" spans="1:14" x14ac:dyDescent="0.3">
      <c r="A1111">
        <v>51030966</v>
      </c>
      <c r="B1111">
        <v>100</v>
      </c>
      <c r="C1111">
        <v>45</v>
      </c>
      <c r="D1111">
        <f t="shared" si="51"/>
        <v>2.2222222222222223</v>
      </c>
      <c r="E1111">
        <f>ROUND(MIN(5,MAX(0,D1111))/5*PARAMS_MODELO!$B$32,2)</f>
        <v>17.78</v>
      </c>
      <c r="F1111">
        <v>0</v>
      </c>
      <c r="G1111">
        <f>MAX(0,PARAMS_MODELO!$B$33-VALUE(TRIM(F1111))*3)</f>
        <v>30</v>
      </c>
      <c r="H1111">
        <v>4</v>
      </c>
      <c r="I1111">
        <f>ROUND(MIN(4,MAX(0,H1111))/4*PARAMS_MODELO!$B$34,2)</f>
        <v>20</v>
      </c>
      <c r="J1111">
        <v>0</v>
      </c>
      <c r="K1111">
        <f>IF(J1111=0,0,PARAMS_MODELO!$B$35)</f>
        <v>0</v>
      </c>
      <c r="L1111">
        <f t="shared" si="52"/>
        <v>67.78</v>
      </c>
      <c r="M1111" t="str">
        <f t="shared" si="53"/>
        <v>Bueno</v>
      </c>
      <c r="N1111">
        <f>IF(M1111=PARAMS_MODELO!$A$36,PARAMS_MODELO!$B$36,IF(M1111=PARAMS_MODELO!$A$37,PARAMS_MODELO!$B$37,IF(M1111=PARAMS_MODELO!$A$38,PARAMS_MODELO!$B$38,IF(M1111=PARAMS_MODELO!$A$39,PARAMS_MODELO!$B$39,IF(M1111=PARAMS_MODELO!$A$40,PARAMS_MODELO!$B$40)))))</f>
        <v>1.1000000000000001</v>
      </c>
    </row>
    <row r="1112" spans="1:14" x14ac:dyDescent="0.3">
      <c r="A1112">
        <v>51031067</v>
      </c>
      <c r="B1112">
        <v>82</v>
      </c>
      <c r="C1112">
        <v>90</v>
      </c>
      <c r="D1112">
        <f t="shared" si="51"/>
        <v>0.91111111111111109</v>
      </c>
      <c r="E1112">
        <f>ROUND(MIN(5,MAX(0,D1112))/5*PARAMS_MODELO!$B$32,2)</f>
        <v>7.29</v>
      </c>
      <c r="F1112">
        <v>3</v>
      </c>
      <c r="G1112">
        <f>MAX(0,PARAMS_MODELO!$B$33-VALUE(TRIM(F1112))*3)</f>
        <v>21</v>
      </c>
      <c r="H1112">
        <v>2</v>
      </c>
      <c r="I1112">
        <f>ROUND(MIN(4,MAX(0,H1112))/4*PARAMS_MODELO!$B$34,2)</f>
        <v>10</v>
      </c>
      <c r="J1112">
        <v>0</v>
      </c>
      <c r="K1112">
        <f>IF(J1112=0,0,PARAMS_MODELO!$B$35)</f>
        <v>0</v>
      </c>
      <c r="L1112">
        <f t="shared" si="52"/>
        <v>38.29</v>
      </c>
      <c r="M1112" t="str">
        <f t="shared" si="53"/>
        <v>Malo</v>
      </c>
      <c r="N1112">
        <f>IF(M1112=PARAMS_MODELO!$A$36,PARAMS_MODELO!$B$36,IF(M1112=PARAMS_MODELO!$A$37,PARAMS_MODELO!$B$37,IF(M1112=PARAMS_MODELO!$A$38,PARAMS_MODELO!$B$38,IF(M1112=PARAMS_MODELO!$A$39,PARAMS_MODELO!$B$39,IF(M1112=PARAMS_MODELO!$A$40,PARAMS_MODELO!$B$40)))))</f>
        <v>0.7</v>
      </c>
    </row>
    <row r="1113" spans="1:14" x14ac:dyDescent="0.3">
      <c r="A1113">
        <v>51031091</v>
      </c>
      <c r="B1113">
        <v>50</v>
      </c>
      <c r="C1113">
        <v>58</v>
      </c>
      <c r="D1113">
        <f t="shared" si="51"/>
        <v>0.86206896551724133</v>
      </c>
      <c r="E1113">
        <f>ROUND(MIN(5,MAX(0,D1113))/5*PARAMS_MODELO!$B$32,2)</f>
        <v>6.9</v>
      </c>
      <c r="F1113">
        <v>2</v>
      </c>
      <c r="G1113">
        <f>MAX(0,PARAMS_MODELO!$B$33-VALUE(TRIM(F1113))*3)</f>
        <v>24</v>
      </c>
      <c r="H1113">
        <v>4</v>
      </c>
      <c r="I1113">
        <f>ROUND(MIN(4,MAX(0,H1113))/4*PARAMS_MODELO!$B$34,2)</f>
        <v>20</v>
      </c>
      <c r="J1113">
        <v>0</v>
      </c>
      <c r="K1113">
        <f>IF(J1113=0,0,PARAMS_MODELO!$B$35)</f>
        <v>0</v>
      </c>
      <c r="L1113">
        <f t="shared" si="52"/>
        <v>50.9</v>
      </c>
      <c r="M1113" t="str">
        <f t="shared" si="53"/>
        <v>Regular</v>
      </c>
      <c r="N1113">
        <f>IF(M1113=PARAMS_MODELO!$A$36,PARAMS_MODELO!$B$36,IF(M1113=PARAMS_MODELO!$A$37,PARAMS_MODELO!$B$37,IF(M1113=PARAMS_MODELO!$A$38,PARAMS_MODELO!$B$38,IF(M1113=PARAMS_MODELO!$A$39,PARAMS_MODELO!$B$39,IF(M1113=PARAMS_MODELO!$A$40,PARAMS_MODELO!$B$40)))))</f>
        <v>1</v>
      </c>
    </row>
    <row r="1114" spans="1:14" x14ac:dyDescent="0.3">
      <c r="A1114">
        <v>51031156</v>
      </c>
      <c r="B1114">
        <v>94</v>
      </c>
      <c r="C1114">
        <v>52</v>
      </c>
      <c r="D1114">
        <f t="shared" si="51"/>
        <v>1.8076923076923077</v>
      </c>
      <c r="E1114">
        <f>ROUND(MIN(5,MAX(0,D1114))/5*PARAMS_MODELO!$B$32,2)</f>
        <v>14.46</v>
      </c>
      <c r="F1114">
        <v>1</v>
      </c>
      <c r="G1114">
        <f>MAX(0,PARAMS_MODELO!$B$33-VALUE(TRIM(F1114))*3)</f>
        <v>27</v>
      </c>
      <c r="H1114">
        <v>0</v>
      </c>
      <c r="I1114">
        <f>ROUND(MIN(4,MAX(0,H1114))/4*PARAMS_MODELO!$B$34,2)</f>
        <v>0</v>
      </c>
      <c r="J1114">
        <v>1</v>
      </c>
      <c r="K1114">
        <f>IF(J1114=0,0,PARAMS_MODELO!$B$35)</f>
        <v>10</v>
      </c>
      <c r="L1114">
        <f t="shared" si="52"/>
        <v>51.46</v>
      </c>
      <c r="M1114" t="str">
        <f t="shared" si="53"/>
        <v>Regular</v>
      </c>
      <c r="N1114">
        <f>IF(M1114=PARAMS_MODELO!$A$36,PARAMS_MODELO!$B$36,IF(M1114=PARAMS_MODELO!$A$37,PARAMS_MODELO!$B$37,IF(M1114=PARAMS_MODELO!$A$38,PARAMS_MODELO!$B$38,IF(M1114=PARAMS_MODELO!$A$39,PARAMS_MODELO!$B$39,IF(M1114=PARAMS_MODELO!$A$40,PARAMS_MODELO!$B$40)))))</f>
        <v>1</v>
      </c>
    </row>
    <row r="1115" spans="1:14" x14ac:dyDescent="0.3">
      <c r="A1115">
        <v>51031423</v>
      </c>
      <c r="B1115">
        <v>33</v>
      </c>
      <c r="C1115">
        <v>90</v>
      </c>
      <c r="D1115">
        <f t="shared" si="51"/>
        <v>0.36666666666666664</v>
      </c>
      <c r="E1115">
        <f>ROUND(MIN(5,MAX(0,D1115))/5*PARAMS_MODELO!$B$32,2)</f>
        <v>2.93</v>
      </c>
      <c r="F1115">
        <v>5</v>
      </c>
      <c r="G1115">
        <f>MAX(0,PARAMS_MODELO!$B$33-VALUE(TRIM(F1115))*3)</f>
        <v>15</v>
      </c>
      <c r="H1115">
        <v>1</v>
      </c>
      <c r="I1115">
        <f>ROUND(MIN(4,MAX(0,H1115))/4*PARAMS_MODELO!$B$34,2)</f>
        <v>5</v>
      </c>
      <c r="J1115">
        <v>0</v>
      </c>
      <c r="K1115">
        <f>IF(J1115=0,0,PARAMS_MODELO!$B$35)</f>
        <v>0</v>
      </c>
      <c r="L1115">
        <f t="shared" si="52"/>
        <v>22.93</v>
      </c>
      <c r="M1115" t="str">
        <f t="shared" si="53"/>
        <v>Malo</v>
      </c>
      <c r="N1115">
        <f>IF(M1115=PARAMS_MODELO!$A$36,PARAMS_MODELO!$B$36,IF(M1115=PARAMS_MODELO!$A$37,PARAMS_MODELO!$B$37,IF(M1115=PARAMS_MODELO!$A$38,PARAMS_MODELO!$B$38,IF(M1115=PARAMS_MODELO!$A$39,PARAMS_MODELO!$B$39,IF(M1115=PARAMS_MODELO!$A$40,PARAMS_MODELO!$B$40)))))</f>
        <v>0.7</v>
      </c>
    </row>
    <row r="1116" spans="1:14" x14ac:dyDescent="0.3">
      <c r="A1116">
        <v>51031555</v>
      </c>
      <c r="B1116">
        <v>84</v>
      </c>
      <c r="C1116">
        <v>59</v>
      </c>
      <c r="D1116">
        <f t="shared" si="51"/>
        <v>1.423728813559322</v>
      </c>
      <c r="E1116">
        <f>ROUND(MIN(5,MAX(0,D1116))/5*PARAMS_MODELO!$B$32,2)</f>
        <v>11.39</v>
      </c>
      <c r="F1116">
        <v>0</v>
      </c>
      <c r="G1116">
        <f>MAX(0,PARAMS_MODELO!$B$33-VALUE(TRIM(F1116))*3)</f>
        <v>30</v>
      </c>
      <c r="H1116">
        <v>0</v>
      </c>
      <c r="I1116">
        <f>ROUND(MIN(4,MAX(0,H1116))/4*PARAMS_MODELO!$B$34,2)</f>
        <v>0</v>
      </c>
      <c r="J1116">
        <v>1</v>
      </c>
      <c r="K1116">
        <f>IF(J1116=0,0,PARAMS_MODELO!$B$35)</f>
        <v>10</v>
      </c>
      <c r="L1116">
        <f t="shared" si="52"/>
        <v>51.39</v>
      </c>
      <c r="M1116" t="str">
        <f t="shared" si="53"/>
        <v>Regular</v>
      </c>
      <c r="N1116">
        <f>IF(M1116=PARAMS_MODELO!$A$36,PARAMS_MODELO!$B$36,IF(M1116=PARAMS_MODELO!$A$37,PARAMS_MODELO!$B$37,IF(M1116=PARAMS_MODELO!$A$38,PARAMS_MODELO!$B$38,IF(M1116=PARAMS_MODELO!$A$39,PARAMS_MODELO!$B$39,IF(M1116=PARAMS_MODELO!$A$40,PARAMS_MODELO!$B$40)))))</f>
        <v>1</v>
      </c>
    </row>
    <row r="1117" spans="1:14" x14ac:dyDescent="0.3">
      <c r="A1117">
        <v>51032021</v>
      </c>
      <c r="B1117">
        <v>14</v>
      </c>
      <c r="C1117">
        <v>80</v>
      </c>
      <c r="D1117">
        <f t="shared" si="51"/>
        <v>0.17499999999999999</v>
      </c>
      <c r="E1117">
        <f>ROUND(MIN(5,MAX(0,D1117))/5*PARAMS_MODELO!$B$32,2)</f>
        <v>1.4</v>
      </c>
      <c r="F1117">
        <v>3</v>
      </c>
      <c r="G1117">
        <f>MAX(0,PARAMS_MODELO!$B$33-VALUE(TRIM(F1117))*3)</f>
        <v>21</v>
      </c>
      <c r="H1117">
        <v>0</v>
      </c>
      <c r="I1117">
        <f>ROUND(MIN(4,MAX(0,H1117))/4*PARAMS_MODELO!$B$34,2)</f>
        <v>0</v>
      </c>
      <c r="J1117">
        <v>1</v>
      </c>
      <c r="K1117">
        <f>IF(J1117=0,0,PARAMS_MODELO!$B$35)</f>
        <v>10</v>
      </c>
      <c r="L1117">
        <f t="shared" si="52"/>
        <v>32.4</v>
      </c>
      <c r="M1117" t="str">
        <f t="shared" si="53"/>
        <v>Malo</v>
      </c>
      <c r="N1117">
        <f>IF(M1117=PARAMS_MODELO!$A$36,PARAMS_MODELO!$B$36,IF(M1117=PARAMS_MODELO!$A$37,PARAMS_MODELO!$B$37,IF(M1117=PARAMS_MODELO!$A$38,PARAMS_MODELO!$B$38,IF(M1117=PARAMS_MODELO!$A$39,PARAMS_MODELO!$B$39,IF(M1117=PARAMS_MODELO!$A$40,PARAMS_MODELO!$B$40)))))</f>
        <v>0.7</v>
      </c>
    </row>
    <row r="1118" spans="1:14" x14ac:dyDescent="0.3">
      <c r="A1118">
        <v>51032055</v>
      </c>
      <c r="B1118">
        <v>78</v>
      </c>
      <c r="C1118">
        <v>20</v>
      </c>
      <c r="D1118">
        <f t="shared" si="51"/>
        <v>3.9</v>
      </c>
      <c r="E1118">
        <f>ROUND(MIN(5,MAX(0,D1118))/5*PARAMS_MODELO!$B$32,2)</f>
        <v>31.2</v>
      </c>
      <c r="F1118">
        <v>5</v>
      </c>
      <c r="G1118">
        <f>MAX(0,PARAMS_MODELO!$B$33-VALUE(TRIM(F1118))*3)</f>
        <v>15</v>
      </c>
      <c r="H1118">
        <v>1</v>
      </c>
      <c r="I1118">
        <f>ROUND(MIN(4,MAX(0,H1118))/4*PARAMS_MODELO!$B$34,2)</f>
        <v>5</v>
      </c>
      <c r="J1118">
        <v>1</v>
      </c>
      <c r="K1118">
        <f>IF(J1118=0,0,PARAMS_MODELO!$B$35)</f>
        <v>10</v>
      </c>
      <c r="L1118">
        <f t="shared" si="52"/>
        <v>61.2</v>
      </c>
      <c r="M1118" t="str">
        <f t="shared" si="53"/>
        <v>Bueno</v>
      </c>
      <c r="N1118">
        <f>IF(M1118=PARAMS_MODELO!$A$36,PARAMS_MODELO!$B$36,IF(M1118=PARAMS_MODELO!$A$37,PARAMS_MODELO!$B$37,IF(M1118=PARAMS_MODELO!$A$38,PARAMS_MODELO!$B$38,IF(M1118=PARAMS_MODELO!$A$39,PARAMS_MODELO!$B$39,IF(M1118=PARAMS_MODELO!$A$40,PARAMS_MODELO!$B$40)))))</f>
        <v>1.1000000000000001</v>
      </c>
    </row>
    <row r="1119" spans="1:14" x14ac:dyDescent="0.3">
      <c r="A1119">
        <v>51032144</v>
      </c>
      <c r="B1119">
        <v>84</v>
      </c>
      <c r="C1119">
        <v>58</v>
      </c>
      <c r="D1119">
        <f t="shared" si="51"/>
        <v>1.4482758620689655</v>
      </c>
      <c r="E1119">
        <f>ROUND(MIN(5,MAX(0,D1119))/5*PARAMS_MODELO!$B$32,2)</f>
        <v>11.59</v>
      </c>
      <c r="F1119">
        <v>4</v>
      </c>
      <c r="G1119">
        <f>MAX(0,PARAMS_MODELO!$B$33-VALUE(TRIM(F1119))*3)</f>
        <v>18</v>
      </c>
      <c r="H1119">
        <v>3</v>
      </c>
      <c r="I1119">
        <f>ROUND(MIN(4,MAX(0,H1119))/4*PARAMS_MODELO!$B$34,2)</f>
        <v>15</v>
      </c>
      <c r="J1119">
        <v>1</v>
      </c>
      <c r="K1119">
        <f>IF(J1119=0,0,PARAMS_MODELO!$B$35)</f>
        <v>10</v>
      </c>
      <c r="L1119">
        <f t="shared" si="52"/>
        <v>54.59</v>
      </c>
      <c r="M1119" t="str">
        <f t="shared" si="53"/>
        <v>Regular</v>
      </c>
      <c r="N1119">
        <f>IF(M1119=PARAMS_MODELO!$A$36,PARAMS_MODELO!$B$36,IF(M1119=PARAMS_MODELO!$A$37,PARAMS_MODELO!$B$37,IF(M1119=PARAMS_MODELO!$A$38,PARAMS_MODELO!$B$38,IF(M1119=PARAMS_MODELO!$A$39,PARAMS_MODELO!$B$39,IF(M1119=PARAMS_MODELO!$A$40,PARAMS_MODELO!$B$40)))))</f>
        <v>1</v>
      </c>
    </row>
    <row r="1120" spans="1:14" x14ac:dyDescent="0.3">
      <c r="A1120">
        <v>51032209</v>
      </c>
      <c r="B1120">
        <v>79</v>
      </c>
      <c r="C1120">
        <v>60</v>
      </c>
      <c r="D1120">
        <f t="shared" si="51"/>
        <v>1.3166666666666667</v>
      </c>
      <c r="E1120">
        <f>ROUND(MIN(5,MAX(0,D1120))/5*PARAMS_MODELO!$B$32,2)</f>
        <v>10.53</v>
      </c>
      <c r="F1120">
        <v>5</v>
      </c>
      <c r="G1120">
        <f>MAX(0,PARAMS_MODELO!$B$33-VALUE(TRIM(F1120))*3)</f>
        <v>15</v>
      </c>
      <c r="H1120">
        <v>4</v>
      </c>
      <c r="I1120">
        <f>ROUND(MIN(4,MAX(0,H1120))/4*PARAMS_MODELO!$B$34,2)</f>
        <v>20</v>
      </c>
      <c r="J1120">
        <v>1</v>
      </c>
      <c r="K1120">
        <f>IF(J1120=0,0,PARAMS_MODELO!$B$35)</f>
        <v>10</v>
      </c>
      <c r="L1120">
        <f t="shared" si="52"/>
        <v>55.53</v>
      </c>
      <c r="M1120" t="str">
        <f t="shared" si="53"/>
        <v>Regular</v>
      </c>
      <c r="N1120">
        <f>IF(M1120=PARAMS_MODELO!$A$36,PARAMS_MODELO!$B$36,IF(M1120=PARAMS_MODELO!$A$37,PARAMS_MODELO!$B$37,IF(M1120=PARAMS_MODELO!$A$38,PARAMS_MODELO!$B$38,IF(M1120=PARAMS_MODELO!$A$39,PARAMS_MODELO!$B$39,IF(M1120=PARAMS_MODELO!$A$40,PARAMS_MODELO!$B$40)))))</f>
        <v>1</v>
      </c>
    </row>
    <row r="1121" spans="1:14" x14ac:dyDescent="0.3">
      <c r="A1121">
        <v>51032217</v>
      </c>
      <c r="B1121">
        <v>75</v>
      </c>
      <c r="C1121">
        <v>39</v>
      </c>
      <c r="D1121">
        <f t="shared" si="51"/>
        <v>1.9230769230769231</v>
      </c>
      <c r="E1121">
        <f>ROUND(MIN(5,MAX(0,D1121))/5*PARAMS_MODELO!$B$32,2)</f>
        <v>15.38</v>
      </c>
      <c r="F1121">
        <v>2</v>
      </c>
      <c r="G1121">
        <f>MAX(0,PARAMS_MODELO!$B$33-VALUE(TRIM(F1121))*3)</f>
        <v>24</v>
      </c>
      <c r="H1121">
        <v>4</v>
      </c>
      <c r="I1121">
        <f>ROUND(MIN(4,MAX(0,H1121))/4*PARAMS_MODELO!$B$34,2)</f>
        <v>20</v>
      </c>
      <c r="J1121">
        <v>1</v>
      </c>
      <c r="K1121">
        <f>IF(J1121=0,0,PARAMS_MODELO!$B$35)</f>
        <v>10</v>
      </c>
      <c r="L1121">
        <f t="shared" si="52"/>
        <v>69.38</v>
      </c>
      <c r="M1121" t="str">
        <f t="shared" si="53"/>
        <v>Bueno</v>
      </c>
      <c r="N1121">
        <f>IF(M1121=PARAMS_MODELO!$A$36,PARAMS_MODELO!$B$36,IF(M1121=PARAMS_MODELO!$A$37,PARAMS_MODELO!$B$37,IF(M1121=PARAMS_MODELO!$A$38,PARAMS_MODELO!$B$38,IF(M1121=PARAMS_MODELO!$A$39,PARAMS_MODELO!$B$39,IF(M1121=PARAMS_MODELO!$A$40,PARAMS_MODELO!$B$40)))))</f>
        <v>1.1000000000000001</v>
      </c>
    </row>
    <row r="1122" spans="1:14" x14ac:dyDescent="0.3">
      <c r="A1122">
        <v>51032497</v>
      </c>
      <c r="B1122">
        <v>13</v>
      </c>
      <c r="C1122">
        <v>12</v>
      </c>
      <c r="D1122">
        <f t="shared" si="51"/>
        <v>1.0833333333333333</v>
      </c>
      <c r="E1122">
        <f>ROUND(MIN(5,MAX(0,D1122))/5*PARAMS_MODELO!$B$32,2)</f>
        <v>8.67</v>
      </c>
      <c r="F1122">
        <v>3</v>
      </c>
      <c r="G1122">
        <f>MAX(0,PARAMS_MODELO!$B$33-VALUE(TRIM(F1122))*3)</f>
        <v>21</v>
      </c>
      <c r="H1122">
        <v>1</v>
      </c>
      <c r="I1122">
        <f>ROUND(MIN(4,MAX(0,H1122))/4*PARAMS_MODELO!$B$34,2)</f>
        <v>5</v>
      </c>
      <c r="J1122">
        <v>1</v>
      </c>
      <c r="K1122">
        <f>IF(J1122=0,0,PARAMS_MODELO!$B$35)</f>
        <v>10</v>
      </c>
      <c r="L1122">
        <f t="shared" si="52"/>
        <v>44.67</v>
      </c>
      <c r="M1122" t="str">
        <f t="shared" si="53"/>
        <v>Regular</v>
      </c>
      <c r="N1122">
        <f>IF(M1122=PARAMS_MODELO!$A$36,PARAMS_MODELO!$B$36,IF(M1122=PARAMS_MODELO!$A$37,PARAMS_MODELO!$B$37,IF(M1122=PARAMS_MODELO!$A$38,PARAMS_MODELO!$B$38,IF(M1122=PARAMS_MODELO!$A$39,PARAMS_MODELO!$B$39,IF(M1122=PARAMS_MODELO!$A$40,PARAMS_MODELO!$B$40)))))</f>
        <v>1</v>
      </c>
    </row>
    <row r="1123" spans="1:14" x14ac:dyDescent="0.3">
      <c r="A1123">
        <v>51033019</v>
      </c>
      <c r="B1123">
        <v>45</v>
      </c>
      <c r="C1123">
        <v>12</v>
      </c>
      <c r="D1123">
        <f t="shared" si="51"/>
        <v>3.75</v>
      </c>
      <c r="E1123">
        <f>ROUND(MIN(5,MAX(0,D1123))/5*PARAMS_MODELO!$B$32,2)</f>
        <v>30</v>
      </c>
      <c r="F1123">
        <v>4</v>
      </c>
      <c r="G1123">
        <f>MAX(0,PARAMS_MODELO!$B$33-VALUE(TRIM(F1123))*3)</f>
        <v>18</v>
      </c>
      <c r="H1123">
        <v>3</v>
      </c>
      <c r="I1123">
        <f>ROUND(MIN(4,MAX(0,H1123))/4*PARAMS_MODELO!$B$34,2)</f>
        <v>15</v>
      </c>
      <c r="J1123">
        <v>1</v>
      </c>
      <c r="K1123">
        <f>IF(J1123=0,0,PARAMS_MODELO!$B$35)</f>
        <v>10</v>
      </c>
      <c r="L1123">
        <f t="shared" si="52"/>
        <v>73</v>
      </c>
      <c r="M1123" t="str">
        <f t="shared" si="53"/>
        <v>Bueno</v>
      </c>
      <c r="N1123">
        <f>IF(M1123=PARAMS_MODELO!$A$36,PARAMS_MODELO!$B$36,IF(M1123=PARAMS_MODELO!$A$37,PARAMS_MODELO!$B$37,IF(M1123=PARAMS_MODELO!$A$38,PARAMS_MODELO!$B$38,IF(M1123=PARAMS_MODELO!$A$39,PARAMS_MODELO!$B$39,IF(M1123=PARAMS_MODELO!$A$40,PARAMS_MODELO!$B$40)))))</f>
        <v>1.1000000000000001</v>
      </c>
    </row>
    <row r="1124" spans="1:14" x14ac:dyDescent="0.3">
      <c r="A1124">
        <v>51033647</v>
      </c>
      <c r="B1124">
        <v>90</v>
      </c>
      <c r="C1124">
        <v>67</v>
      </c>
      <c r="D1124">
        <f t="shared" si="51"/>
        <v>1.3432835820895523</v>
      </c>
      <c r="E1124">
        <f>ROUND(MIN(5,MAX(0,D1124))/5*PARAMS_MODELO!$B$32,2)</f>
        <v>10.75</v>
      </c>
      <c r="F1124">
        <v>5</v>
      </c>
      <c r="G1124">
        <f>MAX(0,PARAMS_MODELO!$B$33-VALUE(TRIM(F1124))*3)</f>
        <v>15</v>
      </c>
      <c r="H1124">
        <v>3</v>
      </c>
      <c r="I1124">
        <f>ROUND(MIN(4,MAX(0,H1124))/4*PARAMS_MODELO!$B$34,2)</f>
        <v>15</v>
      </c>
      <c r="J1124">
        <v>1</v>
      </c>
      <c r="K1124">
        <f>IF(J1124=0,0,PARAMS_MODELO!$B$35)</f>
        <v>10</v>
      </c>
      <c r="L1124">
        <f t="shared" si="52"/>
        <v>50.75</v>
      </c>
      <c r="M1124" t="str">
        <f t="shared" si="53"/>
        <v>Regular</v>
      </c>
      <c r="N1124">
        <f>IF(M1124=PARAMS_MODELO!$A$36,PARAMS_MODELO!$B$36,IF(M1124=PARAMS_MODELO!$A$37,PARAMS_MODELO!$B$37,IF(M1124=PARAMS_MODELO!$A$38,PARAMS_MODELO!$B$38,IF(M1124=PARAMS_MODELO!$A$39,PARAMS_MODELO!$B$39,IF(M1124=PARAMS_MODELO!$A$40,PARAMS_MODELO!$B$40)))))</f>
        <v>1</v>
      </c>
    </row>
    <row r="1125" spans="1:14" x14ac:dyDescent="0.3">
      <c r="A1125">
        <v>51034261</v>
      </c>
      <c r="B1125">
        <v>77</v>
      </c>
      <c r="C1125">
        <v>11</v>
      </c>
      <c r="D1125">
        <f t="shared" si="51"/>
        <v>5</v>
      </c>
      <c r="E1125">
        <f>ROUND(MIN(5,MAX(0,D1125))/5*PARAMS_MODELO!$B$32,2)</f>
        <v>40</v>
      </c>
      <c r="F1125">
        <v>0</v>
      </c>
      <c r="G1125">
        <f>MAX(0,PARAMS_MODELO!$B$33-VALUE(TRIM(F1125))*3)</f>
        <v>30</v>
      </c>
      <c r="H1125">
        <v>2</v>
      </c>
      <c r="I1125">
        <f>ROUND(MIN(4,MAX(0,H1125))/4*PARAMS_MODELO!$B$34,2)</f>
        <v>10</v>
      </c>
      <c r="J1125">
        <v>0</v>
      </c>
      <c r="K1125">
        <f>IF(J1125=0,0,PARAMS_MODELO!$B$35)</f>
        <v>0</v>
      </c>
      <c r="L1125">
        <f t="shared" si="52"/>
        <v>80</v>
      </c>
      <c r="M1125" t="str">
        <f t="shared" si="53"/>
        <v>Muy Bueno</v>
      </c>
      <c r="N1125">
        <f>IF(M1125=PARAMS_MODELO!$A$36,PARAMS_MODELO!$B$36,IF(M1125=PARAMS_MODELO!$A$37,PARAMS_MODELO!$B$37,IF(M1125=PARAMS_MODELO!$A$38,PARAMS_MODELO!$B$38,IF(M1125=PARAMS_MODELO!$A$39,PARAMS_MODELO!$B$39,IF(M1125=PARAMS_MODELO!$A$40,PARAMS_MODELO!$B$40)))))</f>
        <v>1.1499999999999999</v>
      </c>
    </row>
    <row r="1126" spans="1:14" x14ac:dyDescent="0.3">
      <c r="A1126">
        <v>51034392</v>
      </c>
      <c r="B1126">
        <v>19</v>
      </c>
      <c r="C1126">
        <v>99</v>
      </c>
      <c r="D1126">
        <f t="shared" si="51"/>
        <v>0.19191919191919191</v>
      </c>
      <c r="E1126">
        <f>ROUND(MIN(5,MAX(0,D1126))/5*PARAMS_MODELO!$B$32,2)</f>
        <v>1.54</v>
      </c>
      <c r="F1126">
        <v>0</v>
      </c>
      <c r="G1126">
        <f>MAX(0,PARAMS_MODELO!$B$33-VALUE(TRIM(F1126))*3)</f>
        <v>30</v>
      </c>
      <c r="H1126">
        <v>0</v>
      </c>
      <c r="I1126">
        <f>ROUND(MIN(4,MAX(0,H1126))/4*PARAMS_MODELO!$B$34,2)</f>
        <v>0</v>
      </c>
      <c r="J1126">
        <v>0</v>
      </c>
      <c r="K1126">
        <f>IF(J1126=0,0,PARAMS_MODELO!$B$35)</f>
        <v>0</v>
      </c>
      <c r="L1126">
        <f t="shared" si="52"/>
        <v>31.54</v>
      </c>
      <c r="M1126" t="str">
        <f t="shared" si="53"/>
        <v>Malo</v>
      </c>
      <c r="N1126">
        <f>IF(M1126=PARAMS_MODELO!$A$36,PARAMS_MODELO!$B$36,IF(M1126=PARAMS_MODELO!$A$37,PARAMS_MODELO!$B$37,IF(M1126=PARAMS_MODELO!$A$38,PARAMS_MODELO!$B$38,IF(M1126=PARAMS_MODELO!$A$39,PARAMS_MODELO!$B$39,IF(M1126=PARAMS_MODELO!$A$40,PARAMS_MODELO!$B$40)))))</f>
        <v>0.7</v>
      </c>
    </row>
    <row r="1127" spans="1:14" x14ac:dyDescent="0.3">
      <c r="A1127">
        <v>51036093</v>
      </c>
      <c r="B1127">
        <v>87</v>
      </c>
      <c r="C1127">
        <v>73</v>
      </c>
      <c r="D1127">
        <f t="shared" si="51"/>
        <v>1.1917808219178083</v>
      </c>
      <c r="E1127">
        <f>ROUND(MIN(5,MAX(0,D1127))/5*PARAMS_MODELO!$B$32,2)</f>
        <v>9.5299999999999994</v>
      </c>
      <c r="F1127">
        <v>0</v>
      </c>
      <c r="G1127">
        <f>MAX(0,PARAMS_MODELO!$B$33-VALUE(TRIM(F1127))*3)</f>
        <v>30</v>
      </c>
      <c r="H1127">
        <v>3</v>
      </c>
      <c r="I1127">
        <f>ROUND(MIN(4,MAX(0,H1127))/4*PARAMS_MODELO!$B$34,2)</f>
        <v>15</v>
      </c>
      <c r="J1127">
        <v>0</v>
      </c>
      <c r="K1127">
        <f>IF(J1127=0,0,PARAMS_MODELO!$B$35)</f>
        <v>0</v>
      </c>
      <c r="L1127">
        <f t="shared" si="52"/>
        <v>54.53</v>
      </c>
      <c r="M1127" t="str">
        <f t="shared" si="53"/>
        <v>Regular</v>
      </c>
      <c r="N1127">
        <f>IF(M1127=PARAMS_MODELO!$A$36,PARAMS_MODELO!$B$36,IF(M1127=PARAMS_MODELO!$A$37,PARAMS_MODELO!$B$37,IF(M1127=PARAMS_MODELO!$A$38,PARAMS_MODELO!$B$38,IF(M1127=PARAMS_MODELO!$A$39,PARAMS_MODELO!$B$39,IF(M1127=PARAMS_MODELO!$A$40,PARAMS_MODELO!$B$40)))))</f>
        <v>1</v>
      </c>
    </row>
    <row r="1128" spans="1:14" x14ac:dyDescent="0.3">
      <c r="A1128">
        <v>51036620</v>
      </c>
      <c r="B1128">
        <v>37</v>
      </c>
      <c r="C1128">
        <v>88</v>
      </c>
      <c r="D1128">
        <f t="shared" si="51"/>
        <v>0.42045454545454547</v>
      </c>
      <c r="E1128">
        <f>ROUND(MIN(5,MAX(0,D1128))/5*PARAMS_MODELO!$B$32,2)</f>
        <v>3.36</v>
      </c>
      <c r="F1128">
        <v>0</v>
      </c>
      <c r="G1128">
        <f>MAX(0,PARAMS_MODELO!$B$33-VALUE(TRIM(F1128))*3)</f>
        <v>30</v>
      </c>
      <c r="H1128">
        <v>3</v>
      </c>
      <c r="I1128">
        <f>ROUND(MIN(4,MAX(0,H1128))/4*PARAMS_MODELO!$B$34,2)</f>
        <v>15</v>
      </c>
      <c r="J1128">
        <v>0</v>
      </c>
      <c r="K1128">
        <f>IF(J1128=0,0,PARAMS_MODELO!$B$35)</f>
        <v>0</v>
      </c>
      <c r="L1128">
        <f t="shared" si="52"/>
        <v>48.36</v>
      </c>
      <c r="M1128" t="str">
        <f t="shared" si="53"/>
        <v>Regular</v>
      </c>
      <c r="N1128">
        <f>IF(M1128=PARAMS_MODELO!$A$36,PARAMS_MODELO!$B$36,IF(M1128=PARAMS_MODELO!$A$37,PARAMS_MODELO!$B$37,IF(M1128=PARAMS_MODELO!$A$38,PARAMS_MODELO!$B$38,IF(M1128=PARAMS_MODELO!$A$39,PARAMS_MODELO!$B$39,IF(M1128=PARAMS_MODELO!$A$40,PARAMS_MODELO!$B$40)))))</f>
        <v>1</v>
      </c>
    </row>
    <row r="1129" spans="1:14" x14ac:dyDescent="0.3">
      <c r="A1129">
        <v>51036786</v>
      </c>
      <c r="B1129">
        <v>61</v>
      </c>
      <c r="C1129">
        <v>8</v>
      </c>
      <c r="D1129">
        <f t="shared" si="51"/>
        <v>5</v>
      </c>
      <c r="E1129">
        <f>ROUND(MIN(5,MAX(0,D1129))/5*PARAMS_MODELO!$B$32,2)</f>
        <v>40</v>
      </c>
      <c r="F1129">
        <v>0</v>
      </c>
      <c r="G1129">
        <f>MAX(0,PARAMS_MODELO!$B$33-VALUE(TRIM(F1129))*3)</f>
        <v>30</v>
      </c>
      <c r="H1129">
        <v>1</v>
      </c>
      <c r="I1129">
        <f>ROUND(MIN(4,MAX(0,H1129))/4*PARAMS_MODELO!$B$34,2)</f>
        <v>5</v>
      </c>
      <c r="J1129">
        <v>1</v>
      </c>
      <c r="K1129">
        <f>IF(J1129=0,0,PARAMS_MODELO!$B$35)</f>
        <v>10</v>
      </c>
      <c r="L1129">
        <f t="shared" si="52"/>
        <v>85</v>
      </c>
      <c r="M1129" t="str">
        <f t="shared" si="53"/>
        <v>Muy Bueno</v>
      </c>
      <c r="N1129">
        <f>IF(M1129=PARAMS_MODELO!$A$36,PARAMS_MODELO!$B$36,IF(M1129=PARAMS_MODELO!$A$37,PARAMS_MODELO!$B$37,IF(M1129=PARAMS_MODELO!$A$38,PARAMS_MODELO!$B$38,IF(M1129=PARAMS_MODELO!$A$39,PARAMS_MODELO!$B$39,IF(M1129=PARAMS_MODELO!$A$40,PARAMS_MODELO!$B$40)))))</f>
        <v>1.1499999999999999</v>
      </c>
    </row>
    <row r="1130" spans="1:14" x14ac:dyDescent="0.3">
      <c r="A1130">
        <v>51037014</v>
      </c>
      <c r="B1130">
        <v>14</v>
      </c>
      <c r="C1130">
        <v>89</v>
      </c>
      <c r="D1130">
        <f t="shared" si="51"/>
        <v>0.15730337078651685</v>
      </c>
      <c r="E1130">
        <f>ROUND(MIN(5,MAX(0,D1130))/5*PARAMS_MODELO!$B$32,2)</f>
        <v>1.26</v>
      </c>
      <c r="F1130">
        <v>3</v>
      </c>
      <c r="G1130">
        <f>MAX(0,PARAMS_MODELO!$B$33-VALUE(TRIM(F1130))*3)</f>
        <v>21</v>
      </c>
      <c r="H1130">
        <v>4</v>
      </c>
      <c r="I1130">
        <f>ROUND(MIN(4,MAX(0,H1130))/4*PARAMS_MODELO!$B$34,2)</f>
        <v>20</v>
      </c>
      <c r="J1130">
        <v>1</v>
      </c>
      <c r="K1130">
        <f>IF(J1130=0,0,PARAMS_MODELO!$B$35)</f>
        <v>10</v>
      </c>
      <c r="L1130">
        <f t="shared" si="52"/>
        <v>52.260000000000005</v>
      </c>
      <c r="M1130" t="str">
        <f t="shared" si="53"/>
        <v>Regular</v>
      </c>
      <c r="N1130">
        <f>IF(M1130=PARAMS_MODELO!$A$36,PARAMS_MODELO!$B$36,IF(M1130=PARAMS_MODELO!$A$37,PARAMS_MODELO!$B$37,IF(M1130=PARAMS_MODELO!$A$38,PARAMS_MODELO!$B$38,IF(M1130=PARAMS_MODELO!$A$39,PARAMS_MODELO!$B$39,IF(M1130=PARAMS_MODELO!$A$40,PARAMS_MODELO!$B$40)))))</f>
        <v>1</v>
      </c>
    </row>
    <row r="1131" spans="1:14" x14ac:dyDescent="0.3">
      <c r="A1131">
        <v>51038991</v>
      </c>
      <c r="B1131">
        <v>73</v>
      </c>
      <c r="C1131">
        <v>37</v>
      </c>
      <c r="D1131">
        <f t="shared" si="51"/>
        <v>1.972972972972973</v>
      </c>
      <c r="E1131">
        <f>ROUND(MIN(5,MAX(0,D1131))/5*PARAMS_MODELO!$B$32,2)</f>
        <v>15.78</v>
      </c>
      <c r="F1131">
        <v>5</v>
      </c>
      <c r="G1131">
        <f>MAX(0,PARAMS_MODELO!$B$33-VALUE(TRIM(F1131))*3)</f>
        <v>15</v>
      </c>
      <c r="H1131">
        <v>0</v>
      </c>
      <c r="I1131">
        <f>ROUND(MIN(4,MAX(0,H1131))/4*PARAMS_MODELO!$B$34,2)</f>
        <v>0</v>
      </c>
      <c r="J1131">
        <v>1</v>
      </c>
      <c r="K1131">
        <f>IF(J1131=0,0,PARAMS_MODELO!$B$35)</f>
        <v>10</v>
      </c>
      <c r="L1131">
        <f t="shared" si="52"/>
        <v>40.78</v>
      </c>
      <c r="M1131" t="str">
        <f t="shared" si="53"/>
        <v>Regular</v>
      </c>
      <c r="N1131">
        <f>IF(M1131=PARAMS_MODELO!$A$36,PARAMS_MODELO!$B$36,IF(M1131=PARAMS_MODELO!$A$37,PARAMS_MODELO!$B$37,IF(M1131=PARAMS_MODELO!$A$38,PARAMS_MODELO!$B$38,IF(M1131=PARAMS_MODELO!$A$39,PARAMS_MODELO!$B$39,IF(M1131=PARAMS_MODELO!$A$40,PARAMS_MODELO!$B$40)))))</f>
        <v>1</v>
      </c>
    </row>
    <row r="1132" spans="1:14" x14ac:dyDescent="0.3">
      <c r="A1132">
        <v>51039084</v>
      </c>
      <c r="B1132">
        <v>41</v>
      </c>
      <c r="C1132">
        <v>35</v>
      </c>
      <c r="D1132">
        <f t="shared" si="51"/>
        <v>1.1714285714285715</v>
      </c>
      <c r="E1132">
        <f>ROUND(MIN(5,MAX(0,D1132))/5*PARAMS_MODELO!$B$32,2)</f>
        <v>9.3699999999999992</v>
      </c>
      <c r="F1132">
        <v>5</v>
      </c>
      <c r="G1132">
        <f>MAX(0,PARAMS_MODELO!$B$33-VALUE(TRIM(F1132))*3)</f>
        <v>15</v>
      </c>
      <c r="H1132">
        <v>3</v>
      </c>
      <c r="I1132">
        <f>ROUND(MIN(4,MAX(0,H1132))/4*PARAMS_MODELO!$B$34,2)</f>
        <v>15</v>
      </c>
      <c r="J1132">
        <v>0</v>
      </c>
      <c r="K1132">
        <f>IF(J1132=0,0,PARAMS_MODELO!$B$35)</f>
        <v>0</v>
      </c>
      <c r="L1132">
        <f t="shared" si="52"/>
        <v>39.369999999999997</v>
      </c>
      <c r="M1132" t="str">
        <f t="shared" si="53"/>
        <v>Malo</v>
      </c>
      <c r="N1132">
        <f>IF(M1132=PARAMS_MODELO!$A$36,PARAMS_MODELO!$B$36,IF(M1132=PARAMS_MODELO!$A$37,PARAMS_MODELO!$B$37,IF(M1132=PARAMS_MODELO!$A$38,PARAMS_MODELO!$B$38,IF(M1132=PARAMS_MODELO!$A$39,PARAMS_MODELO!$B$39,IF(M1132=PARAMS_MODELO!$A$40,PARAMS_MODELO!$B$40)))))</f>
        <v>0.7</v>
      </c>
    </row>
    <row r="1133" spans="1:14" x14ac:dyDescent="0.3">
      <c r="A1133">
        <v>51039955</v>
      </c>
      <c r="B1133">
        <v>63</v>
      </c>
      <c r="C1133">
        <v>26</v>
      </c>
      <c r="D1133">
        <f t="shared" si="51"/>
        <v>2.4230769230769229</v>
      </c>
      <c r="E1133">
        <f>ROUND(MIN(5,MAX(0,D1133))/5*PARAMS_MODELO!$B$32,2)</f>
        <v>19.38</v>
      </c>
      <c r="F1133">
        <v>5</v>
      </c>
      <c r="G1133">
        <f>MAX(0,PARAMS_MODELO!$B$33-VALUE(TRIM(F1133))*3)</f>
        <v>15</v>
      </c>
      <c r="H1133">
        <v>1</v>
      </c>
      <c r="I1133">
        <f>ROUND(MIN(4,MAX(0,H1133))/4*PARAMS_MODELO!$B$34,2)</f>
        <v>5</v>
      </c>
      <c r="J1133">
        <v>0</v>
      </c>
      <c r="K1133">
        <f>IF(J1133=0,0,PARAMS_MODELO!$B$35)</f>
        <v>0</v>
      </c>
      <c r="L1133">
        <f t="shared" si="52"/>
        <v>39.379999999999995</v>
      </c>
      <c r="M1133" t="str">
        <f t="shared" si="53"/>
        <v>Malo</v>
      </c>
      <c r="N1133">
        <f>IF(M1133=PARAMS_MODELO!$A$36,PARAMS_MODELO!$B$36,IF(M1133=PARAMS_MODELO!$A$37,PARAMS_MODELO!$B$37,IF(M1133=PARAMS_MODELO!$A$38,PARAMS_MODELO!$B$38,IF(M1133=PARAMS_MODELO!$A$39,PARAMS_MODELO!$B$39,IF(M1133=PARAMS_MODELO!$A$40,PARAMS_MODELO!$B$40)))))</f>
        <v>0.7</v>
      </c>
    </row>
    <row r="1134" spans="1:14" x14ac:dyDescent="0.3">
      <c r="A1134">
        <v>51039980</v>
      </c>
      <c r="B1134">
        <v>22</v>
      </c>
      <c r="C1134">
        <v>48</v>
      </c>
      <c r="D1134">
        <f t="shared" si="51"/>
        <v>0.45833333333333331</v>
      </c>
      <c r="E1134">
        <f>ROUND(MIN(5,MAX(0,D1134))/5*PARAMS_MODELO!$B$32,2)</f>
        <v>3.67</v>
      </c>
      <c r="F1134">
        <v>0</v>
      </c>
      <c r="G1134">
        <f>MAX(0,PARAMS_MODELO!$B$33-VALUE(TRIM(F1134))*3)</f>
        <v>30</v>
      </c>
      <c r="H1134">
        <v>4</v>
      </c>
      <c r="I1134">
        <f>ROUND(MIN(4,MAX(0,H1134))/4*PARAMS_MODELO!$B$34,2)</f>
        <v>20</v>
      </c>
      <c r="J1134">
        <v>1</v>
      </c>
      <c r="K1134">
        <f>IF(J1134=0,0,PARAMS_MODELO!$B$35)</f>
        <v>10</v>
      </c>
      <c r="L1134">
        <f t="shared" si="52"/>
        <v>63.67</v>
      </c>
      <c r="M1134" t="str">
        <f t="shared" si="53"/>
        <v>Bueno</v>
      </c>
      <c r="N1134">
        <f>IF(M1134=PARAMS_MODELO!$A$36,PARAMS_MODELO!$B$36,IF(M1134=PARAMS_MODELO!$A$37,PARAMS_MODELO!$B$37,IF(M1134=PARAMS_MODELO!$A$38,PARAMS_MODELO!$B$38,IF(M1134=PARAMS_MODELO!$A$39,PARAMS_MODELO!$B$39,IF(M1134=PARAMS_MODELO!$A$40,PARAMS_MODELO!$B$40)))))</f>
        <v>1.1000000000000001</v>
      </c>
    </row>
    <row r="1135" spans="1:14" x14ac:dyDescent="0.3">
      <c r="A1135">
        <v>51040040</v>
      </c>
      <c r="B1135">
        <v>36</v>
      </c>
      <c r="C1135">
        <v>79</v>
      </c>
      <c r="D1135">
        <f t="shared" si="51"/>
        <v>0.45569620253164556</v>
      </c>
      <c r="E1135">
        <f>ROUND(MIN(5,MAX(0,D1135))/5*PARAMS_MODELO!$B$32,2)</f>
        <v>3.65</v>
      </c>
      <c r="F1135">
        <v>0</v>
      </c>
      <c r="G1135">
        <f>MAX(0,PARAMS_MODELO!$B$33-VALUE(TRIM(F1135))*3)</f>
        <v>30</v>
      </c>
      <c r="H1135">
        <v>0</v>
      </c>
      <c r="I1135">
        <f>ROUND(MIN(4,MAX(0,H1135))/4*PARAMS_MODELO!$B$34,2)</f>
        <v>0</v>
      </c>
      <c r="J1135">
        <v>1</v>
      </c>
      <c r="K1135">
        <f>IF(J1135=0,0,PARAMS_MODELO!$B$35)</f>
        <v>10</v>
      </c>
      <c r="L1135">
        <f t="shared" si="52"/>
        <v>43.65</v>
      </c>
      <c r="M1135" t="str">
        <f t="shared" si="53"/>
        <v>Regular</v>
      </c>
      <c r="N1135">
        <f>IF(M1135=PARAMS_MODELO!$A$36,PARAMS_MODELO!$B$36,IF(M1135=PARAMS_MODELO!$A$37,PARAMS_MODELO!$B$37,IF(M1135=PARAMS_MODELO!$A$38,PARAMS_MODELO!$B$38,IF(M1135=PARAMS_MODELO!$A$39,PARAMS_MODELO!$B$39,IF(M1135=PARAMS_MODELO!$A$40,PARAMS_MODELO!$B$40)))))</f>
        <v>1</v>
      </c>
    </row>
    <row r="1136" spans="1:14" x14ac:dyDescent="0.3">
      <c r="A1136">
        <v>51040309</v>
      </c>
      <c r="B1136">
        <v>71</v>
      </c>
      <c r="C1136">
        <v>0</v>
      </c>
      <c r="D1136">
        <f t="shared" si="51"/>
        <v>0</v>
      </c>
      <c r="E1136">
        <f>ROUND(MIN(5,MAX(0,D1136))/5*PARAMS_MODELO!$B$32,2)</f>
        <v>0</v>
      </c>
      <c r="F1136">
        <v>1</v>
      </c>
      <c r="G1136">
        <f>MAX(0,PARAMS_MODELO!$B$33-VALUE(TRIM(F1136))*3)</f>
        <v>27</v>
      </c>
      <c r="H1136">
        <v>0</v>
      </c>
      <c r="I1136">
        <f>ROUND(MIN(4,MAX(0,H1136))/4*PARAMS_MODELO!$B$34,2)</f>
        <v>0</v>
      </c>
      <c r="J1136">
        <v>1</v>
      </c>
      <c r="K1136">
        <f>IF(J1136=0,0,PARAMS_MODELO!$B$35)</f>
        <v>10</v>
      </c>
      <c r="L1136">
        <f t="shared" si="52"/>
        <v>37</v>
      </c>
      <c r="M1136" t="str">
        <f t="shared" si="53"/>
        <v>Malo</v>
      </c>
      <c r="N1136">
        <f>IF(M1136=PARAMS_MODELO!$A$36,PARAMS_MODELO!$B$36,IF(M1136=PARAMS_MODELO!$A$37,PARAMS_MODELO!$B$37,IF(M1136=PARAMS_MODELO!$A$38,PARAMS_MODELO!$B$38,IF(M1136=PARAMS_MODELO!$A$39,PARAMS_MODELO!$B$39,IF(M1136=PARAMS_MODELO!$A$40,PARAMS_MODELO!$B$40)))))</f>
        <v>0.7</v>
      </c>
    </row>
    <row r="1137" spans="1:14" x14ac:dyDescent="0.3">
      <c r="A1137">
        <v>51040856</v>
      </c>
      <c r="B1137">
        <v>27</v>
      </c>
      <c r="C1137">
        <v>2</v>
      </c>
      <c r="D1137">
        <f t="shared" si="51"/>
        <v>5</v>
      </c>
      <c r="E1137">
        <f>ROUND(MIN(5,MAX(0,D1137))/5*PARAMS_MODELO!$B$32,2)</f>
        <v>40</v>
      </c>
      <c r="F1137">
        <v>3</v>
      </c>
      <c r="G1137">
        <f>MAX(0,PARAMS_MODELO!$B$33-VALUE(TRIM(F1137))*3)</f>
        <v>21</v>
      </c>
      <c r="H1137">
        <v>1</v>
      </c>
      <c r="I1137">
        <f>ROUND(MIN(4,MAX(0,H1137))/4*PARAMS_MODELO!$B$34,2)</f>
        <v>5</v>
      </c>
      <c r="J1137">
        <v>1</v>
      </c>
      <c r="K1137">
        <f>IF(J1137=0,0,PARAMS_MODELO!$B$35)</f>
        <v>10</v>
      </c>
      <c r="L1137">
        <f t="shared" si="52"/>
        <v>76</v>
      </c>
      <c r="M1137" t="str">
        <f t="shared" si="53"/>
        <v>Muy Bueno</v>
      </c>
      <c r="N1137">
        <f>IF(M1137=PARAMS_MODELO!$A$36,PARAMS_MODELO!$B$36,IF(M1137=PARAMS_MODELO!$A$37,PARAMS_MODELO!$B$37,IF(M1137=PARAMS_MODELO!$A$38,PARAMS_MODELO!$B$38,IF(M1137=PARAMS_MODELO!$A$39,PARAMS_MODELO!$B$39,IF(M1137=PARAMS_MODELO!$A$40,PARAMS_MODELO!$B$40)))))</f>
        <v>1.1499999999999999</v>
      </c>
    </row>
    <row r="1138" spans="1:14" x14ac:dyDescent="0.3">
      <c r="A1138">
        <v>51040970</v>
      </c>
      <c r="B1138">
        <v>99</v>
      </c>
      <c r="C1138">
        <v>29</v>
      </c>
      <c r="D1138">
        <f t="shared" si="51"/>
        <v>3.4137931034482758</v>
      </c>
      <c r="E1138">
        <f>ROUND(MIN(5,MAX(0,D1138))/5*PARAMS_MODELO!$B$32,2)</f>
        <v>27.31</v>
      </c>
      <c r="F1138">
        <v>5</v>
      </c>
      <c r="G1138">
        <f>MAX(0,PARAMS_MODELO!$B$33-VALUE(TRIM(F1138))*3)</f>
        <v>15</v>
      </c>
      <c r="H1138">
        <v>4</v>
      </c>
      <c r="I1138">
        <f>ROUND(MIN(4,MAX(0,H1138))/4*PARAMS_MODELO!$B$34,2)</f>
        <v>20</v>
      </c>
      <c r="J1138">
        <v>1</v>
      </c>
      <c r="K1138">
        <f>IF(J1138=0,0,PARAMS_MODELO!$B$35)</f>
        <v>10</v>
      </c>
      <c r="L1138">
        <f t="shared" si="52"/>
        <v>72.31</v>
      </c>
      <c r="M1138" t="str">
        <f t="shared" si="53"/>
        <v>Bueno</v>
      </c>
      <c r="N1138">
        <f>IF(M1138=PARAMS_MODELO!$A$36,PARAMS_MODELO!$B$36,IF(M1138=PARAMS_MODELO!$A$37,PARAMS_MODELO!$B$37,IF(M1138=PARAMS_MODELO!$A$38,PARAMS_MODELO!$B$38,IF(M1138=PARAMS_MODELO!$A$39,PARAMS_MODELO!$B$39,IF(M1138=PARAMS_MODELO!$A$40,PARAMS_MODELO!$B$40)))))</f>
        <v>1.1000000000000001</v>
      </c>
    </row>
    <row r="1139" spans="1:14" x14ac:dyDescent="0.3">
      <c r="A1139">
        <v>51041178</v>
      </c>
      <c r="B1139">
        <v>28</v>
      </c>
      <c r="C1139">
        <v>79</v>
      </c>
      <c r="D1139">
        <f t="shared" si="51"/>
        <v>0.35443037974683544</v>
      </c>
      <c r="E1139">
        <f>ROUND(MIN(5,MAX(0,D1139))/5*PARAMS_MODELO!$B$32,2)</f>
        <v>2.84</v>
      </c>
      <c r="F1139">
        <v>2</v>
      </c>
      <c r="G1139">
        <f>MAX(0,PARAMS_MODELO!$B$33-VALUE(TRIM(F1139))*3)</f>
        <v>24</v>
      </c>
      <c r="H1139">
        <v>1</v>
      </c>
      <c r="I1139">
        <f>ROUND(MIN(4,MAX(0,H1139))/4*PARAMS_MODELO!$B$34,2)</f>
        <v>5</v>
      </c>
      <c r="J1139">
        <v>0</v>
      </c>
      <c r="K1139">
        <f>IF(J1139=0,0,PARAMS_MODELO!$B$35)</f>
        <v>0</v>
      </c>
      <c r="L1139">
        <f t="shared" si="52"/>
        <v>31.84</v>
      </c>
      <c r="M1139" t="str">
        <f t="shared" si="53"/>
        <v>Malo</v>
      </c>
      <c r="N1139">
        <f>IF(M1139=PARAMS_MODELO!$A$36,PARAMS_MODELO!$B$36,IF(M1139=PARAMS_MODELO!$A$37,PARAMS_MODELO!$B$37,IF(M1139=PARAMS_MODELO!$A$38,PARAMS_MODELO!$B$38,IF(M1139=PARAMS_MODELO!$A$39,PARAMS_MODELO!$B$39,IF(M1139=PARAMS_MODELO!$A$40,PARAMS_MODELO!$B$40)))))</f>
        <v>0.7</v>
      </c>
    </row>
    <row r="1140" spans="1:14" x14ac:dyDescent="0.3">
      <c r="A1140">
        <v>51041321</v>
      </c>
      <c r="B1140">
        <v>65</v>
      </c>
      <c r="C1140">
        <v>49</v>
      </c>
      <c r="D1140">
        <f t="shared" si="51"/>
        <v>1.3265306122448979</v>
      </c>
      <c r="E1140">
        <f>ROUND(MIN(5,MAX(0,D1140))/5*PARAMS_MODELO!$B$32,2)</f>
        <v>10.61</v>
      </c>
      <c r="F1140">
        <v>1</v>
      </c>
      <c r="G1140">
        <f>MAX(0,PARAMS_MODELO!$B$33-VALUE(TRIM(F1140))*3)</f>
        <v>27</v>
      </c>
      <c r="H1140">
        <v>2</v>
      </c>
      <c r="I1140">
        <f>ROUND(MIN(4,MAX(0,H1140))/4*PARAMS_MODELO!$B$34,2)</f>
        <v>10</v>
      </c>
      <c r="J1140">
        <v>1</v>
      </c>
      <c r="K1140">
        <f>IF(J1140=0,0,PARAMS_MODELO!$B$35)</f>
        <v>10</v>
      </c>
      <c r="L1140">
        <f t="shared" si="52"/>
        <v>57.61</v>
      </c>
      <c r="M1140" t="str">
        <f t="shared" si="53"/>
        <v>Regular</v>
      </c>
      <c r="N1140">
        <f>IF(M1140=PARAMS_MODELO!$A$36,PARAMS_MODELO!$B$36,IF(M1140=PARAMS_MODELO!$A$37,PARAMS_MODELO!$B$37,IF(M1140=PARAMS_MODELO!$A$38,PARAMS_MODELO!$B$38,IF(M1140=PARAMS_MODELO!$A$39,PARAMS_MODELO!$B$39,IF(M1140=PARAMS_MODELO!$A$40,PARAMS_MODELO!$B$40)))))</f>
        <v>1</v>
      </c>
    </row>
    <row r="1141" spans="1:14" x14ac:dyDescent="0.3">
      <c r="A1141">
        <v>51041836</v>
      </c>
      <c r="B1141">
        <v>41</v>
      </c>
      <c r="C1141">
        <v>33</v>
      </c>
      <c r="D1141">
        <f t="shared" si="51"/>
        <v>1.2424242424242424</v>
      </c>
      <c r="E1141">
        <f>ROUND(MIN(5,MAX(0,D1141))/5*PARAMS_MODELO!$B$32,2)</f>
        <v>9.94</v>
      </c>
      <c r="F1141">
        <v>1</v>
      </c>
      <c r="G1141">
        <f>MAX(0,PARAMS_MODELO!$B$33-VALUE(TRIM(F1141))*3)</f>
        <v>27</v>
      </c>
      <c r="H1141">
        <v>4</v>
      </c>
      <c r="I1141">
        <f>ROUND(MIN(4,MAX(0,H1141))/4*PARAMS_MODELO!$B$34,2)</f>
        <v>20</v>
      </c>
      <c r="J1141">
        <v>1</v>
      </c>
      <c r="K1141">
        <f>IF(J1141=0,0,PARAMS_MODELO!$B$35)</f>
        <v>10</v>
      </c>
      <c r="L1141">
        <f t="shared" si="52"/>
        <v>66.94</v>
      </c>
      <c r="M1141" t="str">
        <f t="shared" si="53"/>
        <v>Bueno</v>
      </c>
      <c r="N1141">
        <f>IF(M1141=PARAMS_MODELO!$A$36,PARAMS_MODELO!$B$36,IF(M1141=PARAMS_MODELO!$A$37,PARAMS_MODELO!$B$37,IF(M1141=PARAMS_MODELO!$A$38,PARAMS_MODELO!$B$38,IF(M1141=PARAMS_MODELO!$A$39,PARAMS_MODELO!$B$39,IF(M1141=PARAMS_MODELO!$A$40,PARAMS_MODELO!$B$40)))))</f>
        <v>1.1000000000000001</v>
      </c>
    </row>
    <row r="1142" spans="1:14" x14ac:dyDescent="0.3">
      <c r="A1142">
        <v>51041925</v>
      </c>
      <c r="B1142">
        <v>60</v>
      </c>
      <c r="C1142">
        <v>15</v>
      </c>
      <c r="D1142">
        <f t="shared" si="51"/>
        <v>4</v>
      </c>
      <c r="E1142">
        <f>ROUND(MIN(5,MAX(0,D1142))/5*PARAMS_MODELO!$B$32,2)</f>
        <v>32</v>
      </c>
      <c r="F1142">
        <v>5</v>
      </c>
      <c r="G1142">
        <f>MAX(0,PARAMS_MODELO!$B$33-VALUE(TRIM(F1142))*3)</f>
        <v>15</v>
      </c>
      <c r="H1142">
        <v>1</v>
      </c>
      <c r="I1142">
        <f>ROUND(MIN(4,MAX(0,H1142))/4*PARAMS_MODELO!$B$34,2)</f>
        <v>5</v>
      </c>
      <c r="J1142">
        <v>0</v>
      </c>
      <c r="K1142">
        <f>IF(J1142=0,0,PARAMS_MODELO!$B$35)</f>
        <v>0</v>
      </c>
      <c r="L1142">
        <f t="shared" si="52"/>
        <v>52</v>
      </c>
      <c r="M1142" t="str">
        <f t="shared" si="53"/>
        <v>Regular</v>
      </c>
      <c r="N1142">
        <f>IF(M1142=PARAMS_MODELO!$A$36,PARAMS_MODELO!$B$36,IF(M1142=PARAMS_MODELO!$A$37,PARAMS_MODELO!$B$37,IF(M1142=PARAMS_MODELO!$A$38,PARAMS_MODELO!$B$38,IF(M1142=PARAMS_MODELO!$A$39,PARAMS_MODELO!$B$39,IF(M1142=PARAMS_MODELO!$A$40,PARAMS_MODELO!$B$40)))))</f>
        <v>1</v>
      </c>
    </row>
    <row r="1143" spans="1:14" x14ac:dyDescent="0.3">
      <c r="A1143">
        <v>51042166</v>
      </c>
      <c r="B1143">
        <v>54</v>
      </c>
      <c r="C1143">
        <v>75</v>
      </c>
      <c r="D1143">
        <f t="shared" si="51"/>
        <v>0.72</v>
      </c>
      <c r="E1143">
        <f>ROUND(MIN(5,MAX(0,D1143))/5*PARAMS_MODELO!$B$32,2)</f>
        <v>5.76</v>
      </c>
      <c r="F1143">
        <v>0</v>
      </c>
      <c r="G1143">
        <f>MAX(0,PARAMS_MODELO!$B$33-VALUE(TRIM(F1143))*3)</f>
        <v>30</v>
      </c>
      <c r="H1143">
        <v>0</v>
      </c>
      <c r="I1143">
        <f>ROUND(MIN(4,MAX(0,H1143))/4*PARAMS_MODELO!$B$34,2)</f>
        <v>0</v>
      </c>
      <c r="J1143">
        <v>1</v>
      </c>
      <c r="K1143">
        <f>IF(J1143=0,0,PARAMS_MODELO!$B$35)</f>
        <v>10</v>
      </c>
      <c r="L1143">
        <f t="shared" si="52"/>
        <v>45.76</v>
      </c>
      <c r="M1143" t="str">
        <f t="shared" si="53"/>
        <v>Regular</v>
      </c>
      <c r="N1143">
        <f>IF(M1143=PARAMS_MODELO!$A$36,PARAMS_MODELO!$B$36,IF(M1143=PARAMS_MODELO!$A$37,PARAMS_MODELO!$B$37,IF(M1143=PARAMS_MODELO!$A$38,PARAMS_MODELO!$B$38,IF(M1143=PARAMS_MODELO!$A$39,PARAMS_MODELO!$B$39,IF(M1143=PARAMS_MODELO!$A$40,PARAMS_MODELO!$B$40)))))</f>
        <v>1</v>
      </c>
    </row>
    <row r="1144" spans="1:14" x14ac:dyDescent="0.3">
      <c r="A1144">
        <v>51042352</v>
      </c>
      <c r="B1144">
        <v>71</v>
      </c>
      <c r="C1144">
        <v>92</v>
      </c>
      <c r="D1144">
        <f t="shared" si="51"/>
        <v>0.77173913043478259</v>
      </c>
      <c r="E1144">
        <f>ROUND(MIN(5,MAX(0,D1144))/5*PARAMS_MODELO!$B$32,2)</f>
        <v>6.17</v>
      </c>
      <c r="F1144">
        <v>0</v>
      </c>
      <c r="G1144">
        <f>MAX(0,PARAMS_MODELO!$B$33-VALUE(TRIM(F1144))*3)</f>
        <v>30</v>
      </c>
      <c r="H1144">
        <v>2</v>
      </c>
      <c r="I1144">
        <f>ROUND(MIN(4,MAX(0,H1144))/4*PARAMS_MODELO!$B$34,2)</f>
        <v>10</v>
      </c>
      <c r="J1144">
        <v>0</v>
      </c>
      <c r="K1144">
        <f>IF(J1144=0,0,PARAMS_MODELO!$B$35)</f>
        <v>0</v>
      </c>
      <c r="L1144">
        <f t="shared" si="52"/>
        <v>46.17</v>
      </c>
      <c r="M1144" t="str">
        <f t="shared" si="53"/>
        <v>Regular</v>
      </c>
      <c r="N1144">
        <f>IF(M1144=PARAMS_MODELO!$A$36,PARAMS_MODELO!$B$36,IF(M1144=PARAMS_MODELO!$A$37,PARAMS_MODELO!$B$37,IF(M1144=PARAMS_MODELO!$A$38,PARAMS_MODELO!$B$38,IF(M1144=PARAMS_MODELO!$A$39,PARAMS_MODELO!$B$39,IF(M1144=PARAMS_MODELO!$A$40,PARAMS_MODELO!$B$40)))))</f>
        <v>1</v>
      </c>
    </row>
    <row r="1145" spans="1:14" x14ac:dyDescent="0.3">
      <c r="A1145">
        <v>51042492</v>
      </c>
      <c r="B1145">
        <v>27</v>
      </c>
      <c r="C1145">
        <v>83</v>
      </c>
      <c r="D1145">
        <f t="shared" si="51"/>
        <v>0.3253012048192771</v>
      </c>
      <c r="E1145">
        <f>ROUND(MIN(5,MAX(0,D1145))/5*PARAMS_MODELO!$B$32,2)</f>
        <v>2.6</v>
      </c>
      <c r="F1145">
        <v>4</v>
      </c>
      <c r="G1145">
        <f>MAX(0,PARAMS_MODELO!$B$33-VALUE(TRIM(F1145))*3)</f>
        <v>18</v>
      </c>
      <c r="H1145">
        <v>3</v>
      </c>
      <c r="I1145">
        <f>ROUND(MIN(4,MAX(0,H1145))/4*PARAMS_MODELO!$B$34,2)</f>
        <v>15</v>
      </c>
      <c r="J1145">
        <v>1</v>
      </c>
      <c r="K1145">
        <f>IF(J1145=0,0,PARAMS_MODELO!$B$35)</f>
        <v>10</v>
      </c>
      <c r="L1145">
        <f t="shared" si="52"/>
        <v>45.6</v>
      </c>
      <c r="M1145" t="str">
        <f t="shared" si="53"/>
        <v>Regular</v>
      </c>
      <c r="N1145">
        <f>IF(M1145=PARAMS_MODELO!$A$36,PARAMS_MODELO!$B$36,IF(M1145=PARAMS_MODELO!$A$37,PARAMS_MODELO!$B$37,IF(M1145=PARAMS_MODELO!$A$38,PARAMS_MODELO!$B$38,IF(M1145=PARAMS_MODELO!$A$39,PARAMS_MODELO!$B$39,IF(M1145=PARAMS_MODELO!$A$40,PARAMS_MODELO!$B$40)))))</f>
        <v>1</v>
      </c>
    </row>
    <row r="1146" spans="1:14" x14ac:dyDescent="0.3">
      <c r="A1146">
        <v>51042557</v>
      </c>
      <c r="B1146">
        <v>5</v>
      </c>
      <c r="C1146">
        <v>71</v>
      </c>
      <c r="D1146">
        <f t="shared" si="51"/>
        <v>7.0422535211267609E-2</v>
      </c>
      <c r="E1146">
        <f>ROUND(MIN(5,MAX(0,D1146))/5*PARAMS_MODELO!$B$32,2)</f>
        <v>0.56000000000000005</v>
      </c>
      <c r="F1146">
        <v>3</v>
      </c>
      <c r="G1146">
        <f>MAX(0,PARAMS_MODELO!$B$33-VALUE(TRIM(F1146))*3)</f>
        <v>21</v>
      </c>
      <c r="H1146">
        <v>3</v>
      </c>
      <c r="I1146">
        <f>ROUND(MIN(4,MAX(0,H1146))/4*PARAMS_MODELO!$B$34,2)</f>
        <v>15</v>
      </c>
      <c r="J1146">
        <v>1</v>
      </c>
      <c r="K1146">
        <f>IF(J1146=0,0,PARAMS_MODELO!$B$35)</f>
        <v>10</v>
      </c>
      <c r="L1146">
        <f t="shared" si="52"/>
        <v>46.56</v>
      </c>
      <c r="M1146" t="str">
        <f t="shared" si="53"/>
        <v>Regular</v>
      </c>
      <c r="N1146">
        <f>IF(M1146=PARAMS_MODELO!$A$36,PARAMS_MODELO!$B$36,IF(M1146=PARAMS_MODELO!$A$37,PARAMS_MODELO!$B$37,IF(M1146=PARAMS_MODELO!$A$38,PARAMS_MODELO!$B$38,IF(M1146=PARAMS_MODELO!$A$39,PARAMS_MODELO!$B$39,IF(M1146=PARAMS_MODELO!$A$40,PARAMS_MODELO!$B$40)))))</f>
        <v>1</v>
      </c>
    </row>
    <row r="1147" spans="1:14" x14ac:dyDescent="0.3">
      <c r="A1147">
        <v>51042697</v>
      </c>
      <c r="B1147">
        <v>31</v>
      </c>
      <c r="C1147">
        <v>51</v>
      </c>
      <c r="D1147">
        <f t="shared" si="51"/>
        <v>0.60784313725490191</v>
      </c>
      <c r="E1147">
        <f>ROUND(MIN(5,MAX(0,D1147))/5*PARAMS_MODELO!$B$32,2)</f>
        <v>4.8600000000000003</v>
      </c>
      <c r="F1147">
        <v>2</v>
      </c>
      <c r="G1147">
        <f>MAX(0,PARAMS_MODELO!$B$33-VALUE(TRIM(F1147))*3)</f>
        <v>24</v>
      </c>
      <c r="H1147">
        <v>0</v>
      </c>
      <c r="I1147">
        <f>ROUND(MIN(4,MAX(0,H1147))/4*PARAMS_MODELO!$B$34,2)</f>
        <v>0</v>
      </c>
      <c r="J1147">
        <v>1</v>
      </c>
      <c r="K1147">
        <f>IF(J1147=0,0,PARAMS_MODELO!$B$35)</f>
        <v>10</v>
      </c>
      <c r="L1147">
        <f t="shared" si="52"/>
        <v>38.86</v>
      </c>
      <c r="M1147" t="str">
        <f t="shared" si="53"/>
        <v>Malo</v>
      </c>
      <c r="N1147">
        <f>IF(M1147=PARAMS_MODELO!$A$36,PARAMS_MODELO!$B$36,IF(M1147=PARAMS_MODELO!$A$37,PARAMS_MODELO!$B$37,IF(M1147=PARAMS_MODELO!$A$38,PARAMS_MODELO!$B$38,IF(M1147=PARAMS_MODELO!$A$39,PARAMS_MODELO!$B$39,IF(M1147=PARAMS_MODELO!$A$40,PARAMS_MODELO!$B$40)))))</f>
        <v>0.7</v>
      </c>
    </row>
    <row r="1148" spans="1:14" x14ac:dyDescent="0.3">
      <c r="A1148">
        <v>51042701</v>
      </c>
      <c r="B1148">
        <v>59</v>
      </c>
      <c r="C1148">
        <v>36</v>
      </c>
      <c r="D1148">
        <f t="shared" si="51"/>
        <v>1.6388888888888888</v>
      </c>
      <c r="E1148">
        <f>ROUND(MIN(5,MAX(0,D1148))/5*PARAMS_MODELO!$B$32,2)</f>
        <v>13.11</v>
      </c>
      <c r="F1148">
        <v>5</v>
      </c>
      <c r="G1148">
        <f>MAX(0,PARAMS_MODELO!$B$33-VALUE(TRIM(F1148))*3)</f>
        <v>15</v>
      </c>
      <c r="H1148">
        <v>2</v>
      </c>
      <c r="I1148">
        <f>ROUND(MIN(4,MAX(0,H1148))/4*PARAMS_MODELO!$B$34,2)</f>
        <v>10</v>
      </c>
      <c r="J1148">
        <v>1</v>
      </c>
      <c r="K1148">
        <f>IF(J1148=0,0,PARAMS_MODELO!$B$35)</f>
        <v>10</v>
      </c>
      <c r="L1148">
        <f t="shared" si="52"/>
        <v>48.11</v>
      </c>
      <c r="M1148" t="str">
        <f t="shared" si="53"/>
        <v>Regular</v>
      </c>
      <c r="N1148">
        <f>IF(M1148=PARAMS_MODELO!$A$36,PARAMS_MODELO!$B$36,IF(M1148=PARAMS_MODELO!$A$37,PARAMS_MODELO!$B$37,IF(M1148=PARAMS_MODELO!$A$38,PARAMS_MODELO!$B$38,IF(M1148=PARAMS_MODELO!$A$39,PARAMS_MODELO!$B$39,IF(M1148=PARAMS_MODELO!$A$40,PARAMS_MODELO!$B$40)))))</f>
        <v>1</v>
      </c>
    </row>
    <row r="1149" spans="1:14" x14ac:dyDescent="0.3">
      <c r="A1149">
        <v>51042794</v>
      </c>
      <c r="B1149">
        <v>96</v>
      </c>
      <c r="C1149">
        <v>86</v>
      </c>
      <c r="D1149">
        <f t="shared" si="51"/>
        <v>1.1162790697674418</v>
      </c>
      <c r="E1149">
        <f>ROUND(MIN(5,MAX(0,D1149))/5*PARAMS_MODELO!$B$32,2)</f>
        <v>8.93</v>
      </c>
      <c r="F1149">
        <v>0</v>
      </c>
      <c r="G1149">
        <f>MAX(0,PARAMS_MODELO!$B$33-VALUE(TRIM(F1149))*3)</f>
        <v>30</v>
      </c>
      <c r="H1149">
        <v>0</v>
      </c>
      <c r="I1149">
        <f>ROUND(MIN(4,MAX(0,H1149))/4*PARAMS_MODELO!$B$34,2)</f>
        <v>0</v>
      </c>
      <c r="J1149">
        <v>1</v>
      </c>
      <c r="K1149">
        <f>IF(J1149=0,0,PARAMS_MODELO!$B$35)</f>
        <v>10</v>
      </c>
      <c r="L1149">
        <f t="shared" si="52"/>
        <v>48.93</v>
      </c>
      <c r="M1149" t="str">
        <f t="shared" si="53"/>
        <v>Regular</v>
      </c>
      <c r="N1149">
        <f>IF(M1149=PARAMS_MODELO!$A$36,PARAMS_MODELO!$B$36,IF(M1149=PARAMS_MODELO!$A$37,PARAMS_MODELO!$B$37,IF(M1149=PARAMS_MODELO!$A$38,PARAMS_MODELO!$B$38,IF(M1149=PARAMS_MODELO!$A$39,PARAMS_MODELO!$B$39,IF(M1149=PARAMS_MODELO!$A$40,PARAMS_MODELO!$B$40)))))</f>
        <v>1</v>
      </c>
    </row>
    <row r="1150" spans="1:14" x14ac:dyDescent="0.3">
      <c r="A1150">
        <v>51042867</v>
      </c>
      <c r="B1150">
        <v>42</v>
      </c>
      <c r="C1150">
        <v>44</v>
      </c>
      <c r="D1150">
        <f t="shared" si="51"/>
        <v>0.95454545454545459</v>
      </c>
      <c r="E1150">
        <f>ROUND(MIN(5,MAX(0,D1150))/5*PARAMS_MODELO!$B$32,2)</f>
        <v>7.64</v>
      </c>
      <c r="F1150">
        <v>2</v>
      </c>
      <c r="G1150">
        <f>MAX(0,PARAMS_MODELO!$B$33-VALUE(TRIM(F1150))*3)</f>
        <v>24</v>
      </c>
      <c r="H1150">
        <v>3</v>
      </c>
      <c r="I1150">
        <f>ROUND(MIN(4,MAX(0,H1150))/4*PARAMS_MODELO!$B$34,2)</f>
        <v>15</v>
      </c>
      <c r="J1150">
        <v>0</v>
      </c>
      <c r="K1150">
        <f>IF(J1150=0,0,PARAMS_MODELO!$B$35)</f>
        <v>0</v>
      </c>
      <c r="L1150">
        <f t="shared" si="52"/>
        <v>46.64</v>
      </c>
      <c r="M1150" t="str">
        <f t="shared" si="53"/>
        <v>Regular</v>
      </c>
      <c r="N1150">
        <f>IF(M1150=PARAMS_MODELO!$A$36,PARAMS_MODELO!$B$36,IF(M1150=PARAMS_MODELO!$A$37,PARAMS_MODELO!$B$37,IF(M1150=PARAMS_MODELO!$A$38,PARAMS_MODELO!$B$38,IF(M1150=PARAMS_MODELO!$A$39,PARAMS_MODELO!$B$39,IF(M1150=PARAMS_MODELO!$A$40,PARAMS_MODELO!$B$40)))))</f>
        <v>1</v>
      </c>
    </row>
    <row r="1151" spans="1:14" x14ac:dyDescent="0.3">
      <c r="A1151">
        <v>51042883</v>
      </c>
      <c r="B1151">
        <v>97</v>
      </c>
      <c r="C1151">
        <v>21</v>
      </c>
      <c r="D1151">
        <f t="shared" si="51"/>
        <v>4.6190476190476186</v>
      </c>
      <c r="E1151">
        <f>ROUND(MIN(5,MAX(0,D1151))/5*PARAMS_MODELO!$B$32,2)</f>
        <v>36.950000000000003</v>
      </c>
      <c r="F1151">
        <v>3</v>
      </c>
      <c r="G1151">
        <f>MAX(0,PARAMS_MODELO!$B$33-VALUE(TRIM(F1151))*3)</f>
        <v>21</v>
      </c>
      <c r="H1151">
        <v>4</v>
      </c>
      <c r="I1151">
        <f>ROUND(MIN(4,MAX(0,H1151))/4*PARAMS_MODELO!$B$34,2)</f>
        <v>20</v>
      </c>
      <c r="J1151">
        <v>0</v>
      </c>
      <c r="K1151">
        <f>IF(J1151=0,0,PARAMS_MODELO!$B$35)</f>
        <v>0</v>
      </c>
      <c r="L1151">
        <f t="shared" si="52"/>
        <v>77.95</v>
      </c>
      <c r="M1151" t="str">
        <f t="shared" si="53"/>
        <v>Muy Bueno</v>
      </c>
      <c r="N1151">
        <f>IF(M1151=PARAMS_MODELO!$A$36,PARAMS_MODELO!$B$36,IF(M1151=PARAMS_MODELO!$A$37,PARAMS_MODELO!$B$37,IF(M1151=PARAMS_MODELO!$A$38,PARAMS_MODELO!$B$38,IF(M1151=PARAMS_MODELO!$A$39,PARAMS_MODELO!$B$39,IF(M1151=PARAMS_MODELO!$A$40,PARAMS_MODELO!$B$40)))))</f>
        <v>1.1499999999999999</v>
      </c>
    </row>
    <row r="1152" spans="1:14" x14ac:dyDescent="0.3">
      <c r="A1152">
        <v>51043286</v>
      </c>
      <c r="B1152">
        <v>0</v>
      </c>
      <c r="C1152">
        <v>11</v>
      </c>
      <c r="D1152">
        <f t="shared" si="51"/>
        <v>0</v>
      </c>
      <c r="E1152">
        <f>ROUND(MIN(5,MAX(0,D1152))/5*PARAMS_MODELO!$B$32,2)</f>
        <v>0</v>
      </c>
      <c r="F1152">
        <v>3</v>
      </c>
      <c r="G1152">
        <f>MAX(0,PARAMS_MODELO!$B$33-VALUE(TRIM(F1152))*3)</f>
        <v>21</v>
      </c>
      <c r="H1152">
        <v>1</v>
      </c>
      <c r="I1152">
        <f>ROUND(MIN(4,MAX(0,H1152))/4*PARAMS_MODELO!$B$34,2)</f>
        <v>5</v>
      </c>
      <c r="J1152">
        <v>0</v>
      </c>
      <c r="K1152">
        <f>IF(J1152=0,0,PARAMS_MODELO!$B$35)</f>
        <v>0</v>
      </c>
      <c r="L1152">
        <f t="shared" si="52"/>
        <v>26</v>
      </c>
      <c r="M1152" t="str">
        <f t="shared" si="53"/>
        <v>Malo</v>
      </c>
      <c r="N1152">
        <f>IF(M1152=PARAMS_MODELO!$A$36,PARAMS_MODELO!$B$36,IF(M1152=PARAMS_MODELO!$A$37,PARAMS_MODELO!$B$37,IF(M1152=PARAMS_MODELO!$A$38,PARAMS_MODELO!$B$38,IF(M1152=PARAMS_MODELO!$A$39,PARAMS_MODELO!$B$39,IF(M1152=PARAMS_MODELO!$A$40,PARAMS_MODELO!$B$40)))))</f>
        <v>0.7</v>
      </c>
    </row>
    <row r="1153" spans="1:14" x14ac:dyDescent="0.3">
      <c r="A1153">
        <v>51043430</v>
      </c>
      <c r="B1153">
        <v>92</v>
      </c>
      <c r="C1153">
        <v>70</v>
      </c>
      <c r="D1153">
        <f t="shared" si="51"/>
        <v>1.3142857142857143</v>
      </c>
      <c r="E1153">
        <f>ROUND(MIN(5,MAX(0,D1153))/5*PARAMS_MODELO!$B$32,2)</f>
        <v>10.51</v>
      </c>
      <c r="F1153">
        <v>5</v>
      </c>
      <c r="G1153">
        <f>MAX(0,PARAMS_MODELO!$B$33-VALUE(TRIM(F1153))*3)</f>
        <v>15</v>
      </c>
      <c r="H1153">
        <v>0</v>
      </c>
      <c r="I1153">
        <f>ROUND(MIN(4,MAX(0,H1153))/4*PARAMS_MODELO!$B$34,2)</f>
        <v>0</v>
      </c>
      <c r="J1153">
        <v>0</v>
      </c>
      <c r="K1153">
        <f>IF(J1153=0,0,PARAMS_MODELO!$B$35)</f>
        <v>0</v>
      </c>
      <c r="L1153">
        <f t="shared" si="52"/>
        <v>25.509999999999998</v>
      </c>
      <c r="M1153" t="str">
        <f t="shared" si="53"/>
        <v>Malo</v>
      </c>
      <c r="N1153">
        <f>IF(M1153=PARAMS_MODELO!$A$36,PARAMS_MODELO!$B$36,IF(M1153=PARAMS_MODELO!$A$37,PARAMS_MODELO!$B$37,IF(M1153=PARAMS_MODELO!$A$38,PARAMS_MODELO!$B$38,IF(M1153=PARAMS_MODELO!$A$39,PARAMS_MODELO!$B$39,IF(M1153=PARAMS_MODELO!$A$40,PARAMS_MODELO!$B$40)))))</f>
        <v>0.7</v>
      </c>
    </row>
    <row r="1154" spans="1:14" x14ac:dyDescent="0.3">
      <c r="A1154">
        <v>51043481</v>
      </c>
      <c r="B1154">
        <v>21</v>
      </c>
      <c r="C1154">
        <v>87</v>
      </c>
      <c r="D1154">
        <f t="shared" ref="D1154:D1194" si="54">IF(C1154=0,0,MIN(5,B1154/C1154))</f>
        <v>0.2413793103448276</v>
      </c>
      <c r="E1154">
        <f>ROUND(MIN(5,MAX(0,D1154))/5*PARAMS_MODELO!$B$32,2)</f>
        <v>1.93</v>
      </c>
      <c r="F1154">
        <v>0</v>
      </c>
      <c r="G1154">
        <f>MAX(0,PARAMS_MODELO!$B$33-VALUE(TRIM(F1154))*3)</f>
        <v>30</v>
      </c>
      <c r="H1154">
        <v>4</v>
      </c>
      <c r="I1154">
        <f>ROUND(MIN(4,MAX(0,H1154))/4*PARAMS_MODELO!$B$34,2)</f>
        <v>20</v>
      </c>
      <c r="J1154">
        <v>0</v>
      </c>
      <c r="K1154">
        <f>IF(J1154=0,0,PARAMS_MODELO!$B$35)</f>
        <v>0</v>
      </c>
      <c r="L1154">
        <f t="shared" ref="L1154:L1194" si="55">MIN(100,MAX(0,E1154+G1154+I1154+K1154))</f>
        <v>51.93</v>
      </c>
      <c r="M1154" t="str">
        <f t="shared" ref="M1154:M1194" si="56">IF(L1154="","",IF(L1154&gt;=90,"Excelente",IF(L1154&gt;=75,"Muy Bueno",IF(L1154&gt;=60,"Bueno",IF(L1154&gt;=40,"Regular","Malo")))))</f>
        <v>Regular</v>
      </c>
      <c r="N1154">
        <f>IF(M1154=PARAMS_MODELO!$A$36,PARAMS_MODELO!$B$36,IF(M1154=PARAMS_MODELO!$A$37,PARAMS_MODELO!$B$37,IF(M1154=PARAMS_MODELO!$A$38,PARAMS_MODELO!$B$38,IF(M1154=PARAMS_MODELO!$A$39,PARAMS_MODELO!$B$39,IF(M1154=PARAMS_MODELO!$A$40,PARAMS_MODELO!$B$40)))))</f>
        <v>1</v>
      </c>
    </row>
    <row r="1155" spans="1:14" x14ac:dyDescent="0.3">
      <c r="A1155">
        <v>51043685</v>
      </c>
      <c r="B1155">
        <v>27</v>
      </c>
      <c r="C1155">
        <v>70</v>
      </c>
      <c r="D1155">
        <f t="shared" si="54"/>
        <v>0.38571428571428573</v>
      </c>
      <c r="E1155">
        <f>ROUND(MIN(5,MAX(0,D1155))/5*PARAMS_MODELO!$B$32,2)</f>
        <v>3.09</v>
      </c>
      <c r="F1155">
        <v>2</v>
      </c>
      <c r="G1155">
        <f>MAX(0,PARAMS_MODELO!$B$33-VALUE(TRIM(F1155))*3)</f>
        <v>24</v>
      </c>
      <c r="H1155">
        <v>4</v>
      </c>
      <c r="I1155">
        <f>ROUND(MIN(4,MAX(0,H1155))/4*PARAMS_MODELO!$B$34,2)</f>
        <v>20</v>
      </c>
      <c r="J1155">
        <v>0</v>
      </c>
      <c r="K1155">
        <f>IF(J1155=0,0,PARAMS_MODELO!$B$35)</f>
        <v>0</v>
      </c>
      <c r="L1155">
        <f t="shared" si="55"/>
        <v>47.09</v>
      </c>
      <c r="M1155" t="str">
        <f t="shared" si="56"/>
        <v>Regular</v>
      </c>
      <c r="N1155">
        <f>IF(M1155=PARAMS_MODELO!$A$36,PARAMS_MODELO!$B$36,IF(M1155=PARAMS_MODELO!$A$37,PARAMS_MODELO!$B$37,IF(M1155=PARAMS_MODELO!$A$38,PARAMS_MODELO!$B$38,IF(M1155=PARAMS_MODELO!$A$39,PARAMS_MODELO!$B$39,IF(M1155=PARAMS_MODELO!$A$40,PARAMS_MODELO!$B$40)))))</f>
        <v>1</v>
      </c>
    </row>
    <row r="1156" spans="1:14" x14ac:dyDescent="0.3">
      <c r="A1156">
        <v>51044185</v>
      </c>
      <c r="B1156">
        <v>13</v>
      </c>
      <c r="C1156">
        <v>51</v>
      </c>
      <c r="D1156">
        <f t="shared" si="54"/>
        <v>0.25490196078431371</v>
      </c>
      <c r="E1156">
        <f>ROUND(MIN(5,MAX(0,D1156))/5*PARAMS_MODELO!$B$32,2)</f>
        <v>2.04</v>
      </c>
      <c r="F1156">
        <v>3</v>
      </c>
      <c r="G1156">
        <f>MAX(0,PARAMS_MODELO!$B$33-VALUE(TRIM(F1156))*3)</f>
        <v>21</v>
      </c>
      <c r="H1156">
        <v>2</v>
      </c>
      <c r="I1156">
        <f>ROUND(MIN(4,MAX(0,H1156))/4*PARAMS_MODELO!$B$34,2)</f>
        <v>10</v>
      </c>
      <c r="J1156">
        <v>1</v>
      </c>
      <c r="K1156">
        <f>IF(J1156=0,0,PARAMS_MODELO!$B$35)</f>
        <v>10</v>
      </c>
      <c r="L1156">
        <f t="shared" si="55"/>
        <v>43.04</v>
      </c>
      <c r="M1156" t="str">
        <f t="shared" si="56"/>
        <v>Regular</v>
      </c>
      <c r="N1156">
        <f>IF(M1156=PARAMS_MODELO!$A$36,PARAMS_MODELO!$B$36,IF(M1156=PARAMS_MODELO!$A$37,PARAMS_MODELO!$B$37,IF(M1156=PARAMS_MODELO!$A$38,PARAMS_MODELO!$B$38,IF(M1156=PARAMS_MODELO!$A$39,PARAMS_MODELO!$B$39,IF(M1156=PARAMS_MODELO!$A$40,PARAMS_MODELO!$B$40)))))</f>
        <v>1</v>
      </c>
    </row>
    <row r="1157" spans="1:14" x14ac:dyDescent="0.3">
      <c r="A1157">
        <v>51054474</v>
      </c>
      <c r="B1157">
        <v>61</v>
      </c>
      <c r="C1157">
        <v>91</v>
      </c>
      <c r="D1157">
        <f t="shared" si="54"/>
        <v>0.67032967032967028</v>
      </c>
      <c r="E1157">
        <f>ROUND(MIN(5,MAX(0,D1157))/5*PARAMS_MODELO!$B$32,2)</f>
        <v>5.36</v>
      </c>
      <c r="F1157">
        <v>3</v>
      </c>
      <c r="G1157">
        <f>MAX(0,PARAMS_MODELO!$B$33-VALUE(TRIM(F1157))*3)</f>
        <v>21</v>
      </c>
      <c r="H1157">
        <v>3</v>
      </c>
      <c r="I1157">
        <f>ROUND(MIN(4,MAX(0,H1157))/4*PARAMS_MODELO!$B$34,2)</f>
        <v>15</v>
      </c>
      <c r="J1157">
        <v>1</v>
      </c>
      <c r="K1157">
        <f>IF(J1157=0,0,PARAMS_MODELO!$B$35)</f>
        <v>10</v>
      </c>
      <c r="L1157">
        <f t="shared" si="55"/>
        <v>51.36</v>
      </c>
      <c r="M1157" t="str">
        <f t="shared" si="56"/>
        <v>Regular</v>
      </c>
      <c r="N1157">
        <f>IF(M1157=PARAMS_MODELO!$A$36,PARAMS_MODELO!$B$36,IF(M1157=PARAMS_MODELO!$A$37,PARAMS_MODELO!$B$37,IF(M1157=PARAMS_MODELO!$A$38,PARAMS_MODELO!$B$38,IF(M1157=PARAMS_MODELO!$A$39,PARAMS_MODELO!$B$39,IF(M1157=PARAMS_MODELO!$A$40,PARAMS_MODELO!$B$40)))))</f>
        <v>1</v>
      </c>
    </row>
    <row r="1158" spans="1:14" x14ac:dyDescent="0.3">
      <c r="A1158">
        <v>51054890</v>
      </c>
      <c r="B1158">
        <v>15</v>
      </c>
      <c r="C1158">
        <v>8</v>
      </c>
      <c r="D1158">
        <f t="shared" si="54"/>
        <v>1.875</v>
      </c>
      <c r="E1158">
        <f>ROUND(MIN(5,MAX(0,D1158))/5*PARAMS_MODELO!$B$32,2)</f>
        <v>15</v>
      </c>
      <c r="F1158">
        <v>1</v>
      </c>
      <c r="G1158">
        <f>MAX(0,PARAMS_MODELO!$B$33-VALUE(TRIM(F1158))*3)</f>
        <v>27</v>
      </c>
      <c r="H1158">
        <v>2</v>
      </c>
      <c r="I1158">
        <f>ROUND(MIN(4,MAX(0,H1158))/4*PARAMS_MODELO!$B$34,2)</f>
        <v>10</v>
      </c>
      <c r="J1158">
        <v>0</v>
      </c>
      <c r="K1158">
        <f>IF(J1158=0,0,PARAMS_MODELO!$B$35)</f>
        <v>0</v>
      </c>
      <c r="L1158">
        <f t="shared" si="55"/>
        <v>52</v>
      </c>
      <c r="M1158" t="str">
        <f t="shared" si="56"/>
        <v>Regular</v>
      </c>
      <c r="N1158">
        <f>IF(M1158=PARAMS_MODELO!$A$36,PARAMS_MODELO!$B$36,IF(M1158=PARAMS_MODELO!$A$37,PARAMS_MODELO!$B$37,IF(M1158=PARAMS_MODELO!$A$38,PARAMS_MODELO!$B$38,IF(M1158=PARAMS_MODELO!$A$39,PARAMS_MODELO!$B$39,IF(M1158=PARAMS_MODELO!$A$40,PARAMS_MODELO!$B$40)))))</f>
        <v>1</v>
      </c>
    </row>
    <row r="1159" spans="1:14" x14ac:dyDescent="0.3">
      <c r="A1159">
        <v>51054971</v>
      </c>
      <c r="B1159">
        <v>35</v>
      </c>
      <c r="C1159">
        <v>25</v>
      </c>
      <c r="D1159">
        <f t="shared" si="54"/>
        <v>1.4</v>
      </c>
      <c r="E1159">
        <f>ROUND(MIN(5,MAX(0,D1159))/5*PARAMS_MODELO!$B$32,2)</f>
        <v>11.2</v>
      </c>
      <c r="F1159">
        <v>3</v>
      </c>
      <c r="G1159">
        <f>MAX(0,PARAMS_MODELO!$B$33-VALUE(TRIM(F1159))*3)</f>
        <v>21</v>
      </c>
      <c r="H1159">
        <v>0</v>
      </c>
      <c r="I1159">
        <f>ROUND(MIN(4,MAX(0,H1159))/4*PARAMS_MODELO!$B$34,2)</f>
        <v>0</v>
      </c>
      <c r="J1159">
        <v>0</v>
      </c>
      <c r="K1159">
        <f>IF(J1159=0,0,PARAMS_MODELO!$B$35)</f>
        <v>0</v>
      </c>
      <c r="L1159">
        <f t="shared" si="55"/>
        <v>32.200000000000003</v>
      </c>
      <c r="M1159" t="str">
        <f t="shared" si="56"/>
        <v>Malo</v>
      </c>
      <c r="N1159">
        <f>IF(M1159=PARAMS_MODELO!$A$36,PARAMS_MODELO!$B$36,IF(M1159=PARAMS_MODELO!$A$37,PARAMS_MODELO!$B$37,IF(M1159=PARAMS_MODELO!$A$38,PARAMS_MODELO!$B$38,IF(M1159=PARAMS_MODELO!$A$39,PARAMS_MODELO!$B$39,IF(M1159=PARAMS_MODELO!$A$40,PARAMS_MODELO!$B$40)))))</f>
        <v>0.7</v>
      </c>
    </row>
    <row r="1160" spans="1:14" x14ac:dyDescent="0.3">
      <c r="A1160">
        <v>51055021</v>
      </c>
      <c r="B1160">
        <v>31</v>
      </c>
      <c r="C1160">
        <v>97</v>
      </c>
      <c r="D1160">
        <f t="shared" si="54"/>
        <v>0.31958762886597936</v>
      </c>
      <c r="E1160">
        <f>ROUND(MIN(5,MAX(0,D1160))/5*PARAMS_MODELO!$B$32,2)</f>
        <v>2.56</v>
      </c>
      <c r="F1160">
        <v>5</v>
      </c>
      <c r="G1160">
        <f>MAX(0,PARAMS_MODELO!$B$33-VALUE(TRIM(F1160))*3)</f>
        <v>15</v>
      </c>
      <c r="H1160">
        <v>0</v>
      </c>
      <c r="I1160">
        <f>ROUND(MIN(4,MAX(0,H1160))/4*PARAMS_MODELO!$B$34,2)</f>
        <v>0</v>
      </c>
      <c r="J1160">
        <v>1</v>
      </c>
      <c r="K1160">
        <f>IF(J1160=0,0,PARAMS_MODELO!$B$35)</f>
        <v>10</v>
      </c>
      <c r="L1160">
        <f t="shared" si="55"/>
        <v>27.56</v>
      </c>
      <c r="M1160" t="str">
        <f t="shared" si="56"/>
        <v>Malo</v>
      </c>
      <c r="N1160">
        <f>IF(M1160=PARAMS_MODELO!$A$36,PARAMS_MODELO!$B$36,IF(M1160=PARAMS_MODELO!$A$37,PARAMS_MODELO!$B$37,IF(M1160=PARAMS_MODELO!$A$38,PARAMS_MODELO!$B$38,IF(M1160=PARAMS_MODELO!$A$39,PARAMS_MODELO!$B$39,IF(M1160=PARAMS_MODELO!$A$40,PARAMS_MODELO!$B$40)))))</f>
        <v>0.7</v>
      </c>
    </row>
    <row r="1161" spans="1:14" x14ac:dyDescent="0.3">
      <c r="A1161">
        <v>51055110</v>
      </c>
      <c r="B1161">
        <v>82</v>
      </c>
      <c r="C1161">
        <v>19</v>
      </c>
      <c r="D1161">
        <f t="shared" si="54"/>
        <v>4.3157894736842106</v>
      </c>
      <c r="E1161">
        <f>ROUND(MIN(5,MAX(0,D1161))/5*PARAMS_MODELO!$B$32,2)</f>
        <v>34.53</v>
      </c>
      <c r="F1161">
        <v>2</v>
      </c>
      <c r="G1161">
        <f>MAX(0,PARAMS_MODELO!$B$33-VALUE(TRIM(F1161))*3)</f>
        <v>24</v>
      </c>
      <c r="H1161">
        <v>0</v>
      </c>
      <c r="I1161">
        <f>ROUND(MIN(4,MAX(0,H1161))/4*PARAMS_MODELO!$B$34,2)</f>
        <v>0</v>
      </c>
      <c r="J1161">
        <v>1</v>
      </c>
      <c r="K1161">
        <f>IF(J1161=0,0,PARAMS_MODELO!$B$35)</f>
        <v>10</v>
      </c>
      <c r="L1161">
        <f t="shared" si="55"/>
        <v>68.53</v>
      </c>
      <c r="M1161" t="str">
        <f t="shared" si="56"/>
        <v>Bueno</v>
      </c>
      <c r="N1161">
        <f>IF(M1161=PARAMS_MODELO!$A$36,PARAMS_MODELO!$B$36,IF(M1161=PARAMS_MODELO!$A$37,PARAMS_MODELO!$B$37,IF(M1161=PARAMS_MODELO!$A$38,PARAMS_MODELO!$B$38,IF(M1161=PARAMS_MODELO!$A$39,PARAMS_MODELO!$B$39,IF(M1161=PARAMS_MODELO!$A$40,PARAMS_MODELO!$B$40)))))</f>
        <v>1.1000000000000001</v>
      </c>
    </row>
    <row r="1162" spans="1:14" x14ac:dyDescent="0.3">
      <c r="A1162">
        <v>51055179</v>
      </c>
      <c r="B1162">
        <v>46</v>
      </c>
      <c r="C1162">
        <v>32</v>
      </c>
      <c r="D1162">
        <f t="shared" si="54"/>
        <v>1.4375</v>
      </c>
      <c r="E1162">
        <f>ROUND(MIN(5,MAX(0,D1162))/5*PARAMS_MODELO!$B$32,2)</f>
        <v>11.5</v>
      </c>
      <c r="F1162">
        <v>1</v>
      </c>
      <c r="G1162">
        <f>MAX(0,PARAMS_MODELO!$B$33-VALUE(TRIM(F1162))*3)</f>
        <v>27</v>
      </c>
      <c r="H1162">
        <v>1</v>
      </c>
      <c r="I1162">
        <f>ROUND(MIN(4,MAX(0,H1162))/4*PARAMS_MODELO!$B$34,2)</f>
        <v>5</v>
      </c>
      <c r="J1162">
        <v>0</v>
      </c>
      <c r="K1162">
        <f>IF(J1162=0,0,PARAMS_MODELO!$B$35)</f>
        <v>0</v>
      </c>
      <c r="L1162">
        <f t="shared" si="55"/>
        <v>43.5</v>
      </c>
      <c r="M1162" t="str">
        <f t="shared" si="56"/>
        <v>Regular</v>
      </c>
      <c r="N1162">
        <f>IF(M1162=PARAMS_MODELO!$A$36,PARAMS_MODELO!$B$36,IF(M1162=PARAMS_MODELO!$A$37,PARAMS_MODELO!$B$37,IF(M1162=PARAMS_MODELO!$A$38,PARAMS_MODELO!$B$38,IF(M1162=PARAMS_MODELO!$A$39,PARAMS_MODELO!$B$39,IF(M1162=PARAMS_MODELO!$A$40,PARAMS_MODELO!$B$40)))))</f>
        <v>1</v>
      </c>
    </row>
    <row r="1163" spans="1:14" x14ac:dyDescent="0.3">
      <c r="A1163">
        <v>51055187</v>
      </c>
      <c r="B1163">
        <v>54</v>
      </c>
      <c r="C1163">
        <v>83</v>
      </c>
      <c r="D1163">
        <f t="shared" si="54"/>
        <v>0.6506024096385542</v>
      </c>
      <c r="E1163">
        <f>ROUND(MIN(5,MAX(0,D1163))/5*PARAMS_MODELO!$B$32,2)</f>
        <v>5.2</v>
      </c>
      <c r="F1163">
        <v>2</v>
      </c>
      <c r="G1163">
        <f>MAX(0,PARAMS_MODELO!$B$33-VALUE(TRIM(F1163))*3)</f>
        <v>24</v>
      </c>
      <c r="H1163">
        <v>4</v>
      </c>
      <c r="I1163">
        <f>ROUND(MIN(4,MAX(0,H1163))/4*PARAMS_MODELO!$B$34,2)</f>
        <v>20</v>
      </c>
      <c r="J1163">
        <v>1</v>
      </c>
      <c r="K1163">
        <f>IF(J1163=0,0,PARAMS_MODELO!$B$35)</f>
        <v>10</v>
      </c>
      <c r="L1163">
        <f t="shared" si="55"/>
        <v>59.2</v>
      </c>
      <c r="M1163" t="str">
        <f t="shared" si="56"/>
        <v>Regular</v>
      </c>
      <c r="N1163">
        <f>IF(M1163=PARAMS_MODELO!$A$36,PARAMS_MODELO!$B$36,IF(M1163=PARAMS_MODELO!$A$37,PARAMS_MODELO!$B$37,IF(M1163=PARAMS_MODELO!$A$38,PARAMS_MODELO!$B$38,IF(M1163=PARAMS_MODELO!$A$39,PARAMS_MODELO!$B$39,IF(M1163=PARAMS_MODELO!$A$40,PARAMS_MODELO!$B$40)))))</f>
        <v>1</v>
      </c>
    </row>
    <row r="1164" spans="1:14" x14ac:dyDescent="0.3">
      <c r="A1164">
        <v>51055195</v>
      </c>
      <c r="B1164">
        <v>88</v>
      </c>
      <c r="C1164">
        <v>18</v>
      </c>
      <c r="D1164">
        <f t="shared" si="54"/>
        <v>4.8888888888888893</v>
      </c>
      <c r="E1164">
        <f>ROUND(MIN(5,MAX(0,D1164))/5*PARAMS_MODELO!$B$32,2)</f>
        <v>39.11</v>
      </c>
      <c r="F1164">
        <v>0</v>
      </c>
      <c r="G1164">
        <f>MAX(0,PARAMS_MODELO!$B$33-VALUE(TRIM(F1164))*3)</f>
        <v>30</v>
      </c>
      <c r="H1164">
        <v>2</v>
      </c>
      <c r="I1164">
        <f>ROUND(MIN(4,MAX(0,H1164))/4*PARAMS_MODELO!$B$34,2)</f>
        <v>10</v>
      </c>
      <c r="J1164">
        <v>1</v>
      </c>
      <c r="K1164">
        <f>IF(J1164=0,0,PARAMS_MODELO!$B$35)</f>
        <v>10</v>
      </c>
      <c r="L1164">
        <f t="shared" si="55"/>
        <v>89.11</v>
      </c>
      <c r="M1164" t="str">
        <f t="shared" si="56"/>
        <v>Muy Bueno</v>
      </c>
      <c r="N1164">
        <f>IF(M1164=PARAMS_MODELO!$A$36,PARAMS_MODELO!$B$36,IF(M1164=PARAMS_MODELO!$A$37,PARAMS_MODELO!$B$37,IF(M1164=PARAMS_MODELO!$A$38,PARAMS_MODELO!$B$38,IF(M1164=PARAMS_MODELO!$A$39,PARAMS_MODELO!$B$39,IF(M1164=PARAMS_MODELO!$A$40,PARAMS_MODELO!$B$40)))))</f>
        <v>1.1499999999999999</v>
      </c>
    </row>
    <row r="1165" spans="1:14" x14ac:dyDescent="0.3">
      <c r="A1165">
        <v>51055233</v>
      </c>
      <c r="B1165">
        <v>74</v>
      </c>
      <c r="C1165">
        <v>47</v>
      </c>
      <c r="D1165">
        <f t="shared" si="54"/>
        <v>1.574468085106383</v>
      </c>
      <c r="E1165">
        <f>ROUND(MIN(5,MAX(0,D1165))/5*PARAMS_MODELO!$B$32,2)</f>
        <v>12.6</v>
      </c>
      <c r="F1165">
        <v>3</v>
      </c>
      <c r="G1165">
        <f>MAX(0,PARAMS_MODELO!$B$33-VALUE(TRIM(F1165))*3)</f>
        <v>21</v>
      </c>
      <c r="H1165">
        <v>4</v>
      </c>
      <c r="I1165">
        <f>ROUND(MIN(4,MAX(0,H1165))/4*PARAMS_MODELO!$B$34,2)</f>
        <v>20</v>
      </c>
      <c r="J1165">
        <v>0</v>
      </c>
      <c r="K1165">
        <f>IF(J1165=0,0,PARAMS_MODELO!$B$35)</f>
        <v>0</v>
      </c>
      <c r="L1165">
        <f t="shared" si="55"/>
        <v>53.6</v>
      </c>
      <c r="M1165" t="str">
        <f t="shared" si="56"/>
        <v>Regular</v>
      </c>
      <c r="N1165">
        <f>IF(M1165=PARAMS_MODELO!$A$36,PARAMS_MODELO!$B$36,IF(M1165=PARAMS_MODELO!$A$37,PARAMS_MODELO!$B$37,IF(M1165=PARAMS_MODELO!$A$38,PARAMS_MODELO!$B$38,IF(M1165=PARAMS_MODELO!$A$39,PARAMS_MODELO!$B$39,IF(M1165=PARAMS_MODELO!$A$40,PARAMS_MODELO!$B$40)))))</f>
        <v>1</v>
      </c>
    </row>
    <row r="1166" spans="1:14" x14ac:dyDescent="0.3">
      <c r="A1166">
        <v>51055314</v>
      </c>
      <c r="B1166">
        <v>78</v>
      </c>
      <c r="C1166">
        <v>73</v>
      </c>
      <c r="D1166">
        <f t="shared" si="54"/>
        <v>1.0684931506849316</v>
      </c>
      <c r="E1166">
        <f>ROUND(MIN(5,MAX(0,D1166))/5*PARAMS_MODELO!$B$32,2)</f>
        <v>8.5500000000000007</v>
      </c>
      <c r="F1166">
        <v>2</v>
      </c>
      <c r="G1166">
        <f>MAX(0,PARAMS_MODELO!$B$33-VALUE(TRIM(F1166))*3)</f>
        <v>24</v>
      </c>
      <c r="H1166">
        <v>2</v>
      </c>
      <c r="I1166">
        <f>ROUND(MIN(4,MAX(0,H1166))/4*PARAMS_MODELO!$B$34,2)</f>
        <v>10</v>
      </c>
      <c r="J1166">
        <v>1</v>
      </c>
      <c r="K1166">
        <f>IF(J1166=0,0,PARAMS_MODELO!$B$35)</f>
        <v>10</v>
      </c>
      <c r="L1166">
        <f t="shared" si="55"/>
        <v>52.55</v>
      </c>
      <c r="M1166" t="str">
        <f t="shared" si="56"/>
        <v>Regular</v>
      </c>
      <c r="N1166">
        <f>IF(M1166=PARAMS_MODELO!$A$36,PARAMS_MODELO!$B$36,IF(M1166=PARAMS_MODELO!$A$37,PARAMS_MODELO!$B$37,IF(M1166=PARAMS_MODELO!$A$38,PARAMS_MODELO!$B$38,IF(M1166=PARAMS_MODELO!$A$39,PARAMS_MODELO!$B$39,IF(M1166=PARAMS_MODELO!$A$40,PARAMS_MODELO!$B$40)))))</f>
        <v>1</v>
      </c>
    </row>
    <row r="1167" spans="1:14" x14ac:dyDescent="0.3">
      <c r="A1167">
        <v>51055349</v>
      </c>
      <c r="B1167">
        <v>54</v>
      </c>
      <c r="C1167">
        <v>90</v>
      </c>
      <c r="D1167">
        <f t="shared" si="54"/>
        <v>0.6</v>
      </c>
      <c r="E1167">
        <f>ROUND(MIN(5,MAX(0,D1167))/5*PARAMS_MODELO!$B$32,2)</f>
        <v>4.8</v>
      </c>
      <c r="F1167">
        <v>2</v>
      </c>
      <c r="G1167">
        <f>MAX(0,PARAMS_MODELO!$B$33-VALUE(TRIM(F1167))*3)</f>
        <v>24</v>
      </c>
      <c r="H1167">
        <v>2</v>
      </c>
      <c r="I1167">
        <f>ROUND(MIN(4,MAX(0,H1167))/4*PARAMS_MODELO!$B$34,2)</f>
        <v>10</v>
      </c>
      <c r="J1167">
        <v>0</v>
      </c>
      <c r="K1167">
        <f>IF(J1167=0,0,PARAMS_MODELO!$B$35)</f>
        <v>0</v>
      </c>
      <c r="L1167">
        <f t="shared" si="55"/>
        <v>38.799999999999997</v>
      </c>
      <c r="M1167" t="str">
        <f t="shared" si="56"/>
        <v>Malo</v>
      </c>
      <c r="N1167">
        <f>IF(M1167=PARAMS_MODELO!$A$36,PARAMS_MODELO!$B$36,IF(M1167=PARAMS_MODELO!$A$37,PARAMS_MODELO!$B$37,IF(M1167=PARAMS_MODELO!$A$38,PARAMS_MODELO!$B$38,IF(M1167=PARAMS_MODELO!$A$39,PARAMS_MODELO!$B$39,IF(M1167=PARAMS_MODELO!$A$40,PARAMS_MODELO!$B$40)))))</f>
        <v>0.7</v>
      </c>
    </row>
    <row r="1168" spans="1:14" x14ac:dyDescent="0.3">
      <c r="A1168">
        <v>51055381</v>
      </c>
      <c r="B1168">
        <v>55</v>
      </c>
      <c r="C1168">
        <v>86</v>
      </c>
      <c r="D1168">
        <f t="shared" si="54"/>
        <v>0.63953488372093026</v>
      </c>
      <c r="E1168">
        <f>ROUND(MIN(5,MAX(0,D1168))/5*PARAMS_MODELO!$B$32,2)</f>
        <v>5.12</v>
      </c>
      <c r="F1168">
        <v>5</v>
      </c>
      <c r="G1168">
        <f>MAX(0,PARAMS_MODELO!$B$33-VALUE(TRIM(F1168))*3)</f>
        <v>15</v>
      </c>
      <c r="H1168">
        <v>4</v>
      </c>
      <c r="I1168">
        <f>ROUND(MIN(4,MAX(0,H1168))/4*PARAMS_MODELO!$B$34,2)</f>
        <v>20</v>
      </c>
      <c r="J1168">
        <v>0</v>
      </c>
      <c r="K1168">
        <f>IF(J1168=0,0,PARAMS_MODELO!$B$35)</f>
        <v>0</v>
      </c>
      <c r="L1168">
        <f t="shared" si="55"/>
        <v>40.120000000000005</v>
      </c>
      <c r="M1168" t="str">
        <f t="shared" si="56"/>
        <v>Regular</v>
      </c>
      <c r="N1168">
        <f>IF(M1168=PARAMS_MODELO!$A$36,PARAMS_MODELO!$B$36,IF(M1168=PARAMS_MODELO!$A$37,PARAMS_MODELO!$B$37,IF(M1168=PARAMS_MODELO!$A$38,PARAMS_MODELO!$B$38,IF(M1168=PARAMS_MODELO!$A$39,PARAMS_MODELO!$B$39,IF(M1168=PARAMS_MODELO!$A$40,PARAMS_MODELO!$B$40)))))</f>
        <v>1</v>
      </c>
    </row>
    <row r="1169" spans="1:14" x14ac:dyDescent="0.3">
      <c r="A1169">
        <v>51055403</v>
      </c>
      <c r="B1169">
        <v>56</v>
      </c>
      <c r="C1169">
        <v>32</v>
      </c>
      <c r="D1169">
        <f t="shared" si="54"/>
        <v>1.75</v>
      </c>
      <c r="E1169">
        <f>ROUND(MIN(5,MAX(0,D1169))/5*PARAMS_MODELO!$B$32,2)</f>
        <v>14</v>
      </c>
      <c r="F1169">
        <v>5</v>
      </c>
      <c r="G1169">
        <f>MAX(0,PARAMS_MODELO!$B$33-VALUE(TRIM(F1169))*3)</f>
        <v>15</v>
      </c>
      <c r="H1169">
        <v>3</v>
      </c>
      <c r="I1169">
        <f>ROUND(MIN(4,MAX(0,H1169))/4*PARAMS_MODELO!$B$34,2)</f>
        <v>15</v>
      </c>
      <c r="J1169">
        <v>1</v>
      </c>
      <c r="K1169">
        <f>IF(J1169=0,0,PARAMS_MODELO!$B$35)</f>
        <v>10</v>
      </c>
      <c r="L1169">
        <f t="shared" si="55"/>
        <v>54</v>
      </c>
      <c r="M1169" t="str">
        <f t="shared" si="56"/>
        <v>Regular</v>
      </c>
      <c r="N1169">
        <f>IF(M1169=PARAMS_MODELO!$A$36,PARAMS_MODELO!$B$36,IF(M1169=PARAMS_MODELO!$A$37,PARAMS_MODELO!$B$37,IF(M1169=PARAMS_MODELO!$A$38,PARAMS_MODELO!$B$38,IF(M1169=PARAMS_MODELO!$A$39,PARAMS_MODELO!$B$39,IF(M1169=PARAMS_MODELO!$A$40,PARAMS_MODELO!$B$40)))))</f>
        <v>1</v>
      </c>
    </row>
    <row r="1170" spans="1:14" x14ac:dyDescent="0.3">
      <c r="A1170">
        <v>51055420</v>
      </c>
      <c r="B1170">
        <v>38</v>
      </c>
      <c r="C1170">
        <v>54</v>
      </c>
      <c r="D1170">
        <f t="shared" si="54"/>
        <v>0.70370370370370372</v>
      </c>
      <c r="E1170">
        <f>ROUND(MIN(5,MAX(0,D1170))/5*PARAMS_MODELO!$B$32,2)</f>
        <v>5.63</v>
      </c>
      <c r="F1170">
        <v>0</v>
      </c>
      <c r="G1170">
        <f>MAX(0,PARAMS_MODELO!$B$33-VALUE(TRIM(F1170))*3)</f>
        <v>30</v>
      </c>
      <c r="H1170">
        <v>2</v>
      </c>
      <c r="I1170">
        <f>ROUND(MIN(4,MAX(0,H1170))/4*PARAMS_MODELO!$B$34,2)</f>
        <v>10</v>
      </c>
      <c r="J1170">
        <v>0</v>
      </c>
      <c r="K1170">
        <f>IF(J1170=0,0,PARAMS_MODELO!$B$35)</f>
        <v>0</v>
      </c>
      <c r="L1170">
        <f t="shared" si="55"/>
        <v>45.63</v>
      </c>
      <c r="M1170" t="str">
        <f t="shared" si="56"/>
        <v>Regular</v>
      </c>
      <c r="N1170">
        <f>IF(M1170=PARAMS_MODELO!$A$36,PARAMS_MODELO!$B$36,IF(M1170=PARAMS_MODELO!$A$37,PARAMS_MODELO!$B$37,IF(M1170=PARAMS_MODELO!$A$38,PARAMS_MODELO!$B$38,IF(M1170=PARAMS_MODELO!$A$39,PARAMS_MODELO!$B$39,IF(M1170=PARAMS_MODELO!$A$40,PARAMS_MODELO!$B$40)))))</f>
        <v>1</v>
      </c>
    </row>
    <row r="1171" spans="1:14" x14ac:dyDescent="0.3">
      <c r="A1171">
        <v>51055438</v>
      </c>
      <c r="B1171">
        <v>51</v>
      </c>
      <c r="C1171">
        <v>70</v>
      </c>
      <c r="D1171">
        <f t="shared" si="54"/>
        <v>0.72857142857142854</v>
      </c>
      <c r="E1171">
        <f>ROUND(MIN(5,MAX(0,D1171))/5*PARAMS_MODELO!$B$32,2)</f>
        <v>5.83</v>
      </c>
      <c r="F1171">
        <v>4</v>
      </c>
      <c r="G1171">
        <f>MAX(0,PARAMS_MODELO!$B$33-VALUE(TRIM(F1171))*3)</f>
        <v>18</v>
      </c>
      <c r="H1171">
        <v>3</v>
      </c>
      <c r="I1171">
        <f>ROUND(MIN(4,MAX(0,H1171))/4*PARAMS_MODELO!$B$34,2)</f>
        <v>15</v>
      </c>
      <c r="J1171">
        <v>1</v>
      </c>
      <c r="K1171">
        <f>IF(J1171=0,0,PARAMS_MODELO!$B$35)</f>
        <v>10</v>
      </c>
      <c r="L1171">
        <f t="shared" si="55"/>
        <v>48.83</v>
      </c>
      <c r="M1171" t="str">
        <f t="shared" si="56"/>
        <v>Regular</v>
      </c>
      <c r="N1171">
        <f>IF(M1171=PARAMS_MODELO!$A$36,PARAMS_MODELO!$B$36,IF(M1171=PARAMS_MODELO!$A$37,PARAMS_MODELO!$B$37,IF(M1171=PARAMS_MODELO!$A$38,PARAMS_MODELO!$B$38,IF(M1171=PARAMS_MODELO!$A$39,PARAMS_MODELO!$B$39,IF(M1171=PARAMS_MODELO!$A$40,PARAMS_MODELO!$B$40)))))</f>
        <v>1</v>
      </c>
    </row>
    <row r="1172" spans="1:14" x14ac:dyDescent="0.3">
      <c r="A1172">
        <v>51055446</v>
      </c>
      <c r="B1172">
        <v>86</v>
      </c>
      <c r="C1172">
        <v>84</v>
      </c>
      <c r="D1172">
        <f t="shared" si="54"/>
        <v>1.0238095238095237</v>
      </c>
      <c r="E1172">
        <f>ROUND(MIN(5,MAX(0,D1172))/5*PARAMS_MODELO!$B$32,2)</f>
        <v>8.19</v>
      </c>
      <c r="F1172">
        <v>5</v>
      </c>
      <c r="G1172">
        <f>MAX(0,PARAMS_MODELO!$B$33-VALUE(TRIM(F1172))*3)</f>
        <v>15</v>
      </c>
      <c r="H1172">
        <v>2</v>
      </c>
      <c r="I1172">
        <f>ROUND(MIN(4,MAX(0,H1172))/4*PARAMS_MODELO!$B$34,2)</f>
        <v>10</v>
      </c>
      <c r="J1172">
        <v>0</v>
      </c>
      <c r="K1172">
        <f>IF(J1172=0,0,PARAMS_MODELO!$B$35)</f>
        <v>0</v>
      </c>
      <c r="L1172">
        <f t="shared" si="55"/>
        <v>33.19</v>
      </c>
      <c r="M1172" t="str">
        <f t="shared" si="56"/>
        <v>Malo</v>
      </c>
      <c r="N1172">
        <f>IF(M1172=PARAMS_MODELO!$A$36,PARAMS_MODELO!$B$36,IF(M1172=PARAMS_MODELO!$A$37,PARAMS_MODELO!$B$37,IF(M1172=PARAMS_MODELO!$A$38,PARAMS_MODELO!$B$38,IF(M1172=PARAMS_MODELO!$A$39,PARAMS_MODELO!$B$39,IF(M1172=PARAMS_MODELO!$A$40,PARAMS_MODELO!$B$40)))))</f>
        <v>0.7</v>
      </c>
    </row>
    <row r="1173" spans="1:14" x14ac:dyDescent="0.3">
      <c r="A1173">
        <v>51055471</v>
      </c>
      <c r="B1173">
        <v>84</v>
      </c>
      <c r="C1173">
        <v>99</v>
      </c>
      <c r="D1173">
        <f t="shared" si="54"/>
        <v>0.84848484848484851</v>
      </c>
      <c r="E1173">
        <f>ROUND(MIN(5,MAX(0,D1173))/5*PARAMS_MODELO!$B$32,2)</f>
        <v>6.79</v>
      </c>
      <c r="F1173">
        <v>5</v>
      </c>
      <c r="G1173">
        <f>MAX(0,PARAMS_MODELO!$B$33-VALUE(TRIM(F1173))*3)</f>
        <v>15</v>
      </c>
      <c r="H1173">
        <v>4</v>
      </c>
      <c r="I1173">
        <f>ROUND(MIN(4,MAX(0,H1173))/4*PARAMS_MODELO!$B$34,2)</f>
        <v>20</v>
      </c>
      <c r="J1173">
        <v>1</v>
      </c>
      <c r="K1173">
        <f>IF(J1173=0,0,PARAMS_MODELO!$B$35)</f>
        <v>10</v>
      </c>
      <c r="L1173">
        <f t="shared" si="55"/>
        <v>51.79</v>
      </c>
      <c r="M1173" t="str">
        <f t="shared" si="56"/>
        <v>Regular</v>
      </c>
      <c r="N1173">
        <f>IF(M1173=PARAMS_MODELO!$A$36,PARAMS_MODELO!$B$36,IF(M1173=PARAMS_MODELO!$A$37,PARAMS_MODELO!$B$37,IF(M1173=PARAMS_MODELO!$A$38,PARAMS_MODELO!$B$38,IF(M1173=PARAMS_MODELO!$A$39,PARAMS_MODELO!$B$39,IF(M1173=PARAMS_MODELO!$A$40,PARAMS_MODELO!$B$40)))))</f>
        <v>1</v>
      </c>
    </row>
    <row r="1174" spans="1:14" x14ac:dyDescent="0.3">
      <c r="A1174">
        <v>51055608</v>
      </c>
      <c r="B1174">
        <v>80</v>
      </c>
      <c r="C1174">
        <v>24</v>
      </c>
      <c r="D1174">
        <f t="shared" si="54"/>
        <v>3.3333333333333335</v>
      </c>
      <c r="E1174">
        <f>ROUND(MIN(5,MAX(0,D1174))/5*PARAMS_MODELO!$B$32,2)</f>
        <v>26.67</v>
      </c>
      <c r="F1174">
        <v>4</v>
      </c>
      <c r="G1174">
        <f>MAX(0,PARAMS_MODELO!$B$33-VALUE(TRIM(F1174))*3)</f>
        <v>18</v>
      </c>
      <c r="H1174">
        <v>3</v>
      </c>
      <c r="I1174">
        <f>ROUND(MIN(4,MAX(0,H1174))/4*PARAMS_MODELO!$B$34,2)</f>
        <v>15</v>
      </c>
      <c r="J1174">
        <v>1</v>
      </c>
      <c r="K1174">
        <f>IF(J1174=0,0,PARAMS_MODELO!$B$35)</f>
        <v>10</v>
      </c>
      <c r="L1174">
        <f t="shared" si="55"/>
        <v>69.67</v>
      </c>
      <c r="M1174" t="str">
        <f t="shared" si="56"/>
        <v>Bueno</v>
      </c>
      <c r="N1174">
        <f>IF(M1174=PARAMS_MODELO!$A$36,PARAMS_MODELO!$B$36,IF(M1174=PARAMS_MODELO!$A$37,PARAMS_MODELO!$B$37,IF(M1174=PARAMS_MODELO!$A$38,PARAMS_MODELO!$B$38,IF(M1174=PARAMS_MODELO!$A$39,PARAMS_MODELO!$B$39,IF(M1174=PARAMS_MODELO!$A$40,PARAMS_MODELO!$B$40)))))</f>
        <v>1.1000000000000001</v>
      </c>
    </row>
    <row r="1175" spans="1:14" x14ac:dyDescent="0.3">
      <c r="A1175">
        <v>51055683</v>
      </c>
      <c r="B1175">
        <v>53</v>
      </c>
      <c r="C1175">
        <v>60</v>
      </c>
      <c r="D1175">
        <f t="shared" si="54"/>
        <v>0.8833333333333333</v>
      </c>
      <c r="E1175">
        <f>ROUND(MIN(5,MAX(0,D1175))/5*PARAMS_MODELO!$B$32,2)</f>
        <v>7.07</v>
      </c>
      <c r="F1175">
        <v>4</v>
      </c>
      <c r="G1175">
        <f>MAX(0,PARAMS_MODELO!$B$33-VALUE(TRIM(F1175))*3)</f>
        <v>18</v>
      </c>
      <c r="H1175">
        <v>3</v>
      </c>
      <c r="I1175">
        <f>ROUND(MIN(4,MAX(0,H1175))/4*PARAMS_MODELO!$B$34,2)</f>
        <v>15</v>
      </c>
      <c r="J1175">
        <v>1</v>
      </c>
      <c r="K1175">
        <f>IF(J1175=0,0,PARAMS_MODELO!$B$35)</f>
        <v>10</v>
      </c>
      <c r="L1175">
        <f t="shared" si="55"/>
        <v>50.07</v>
      </c>
      <c r="M1175" t="str">
        <f t="shared" si="56"/>
        <v>Regular</v>
      </c>
      <c r="N1175">
        <f>IF(M1175=PARAMS_MODELO!$A$36,PARAMS_MODELO!$B$36,IF(M1175=PARAMS_MODELO!$A$37,PARAMS_MODELO!$B$37,IF(M1175=PARAMS_MODELO!$A$38,PARAMS_MODELO!$B$38,IF(M1175=PARAMS_MODELO!$A$39,PARAMS_MODELO!$B$39,IF(M1175=PARAMS_MODELO!$A$40,PARAMS_MODELO!$B$40)))))</f>
        <v>1</v>
      </c>
    </row>
    <row r="1176" spans="1:14" x14ac:dyDescent="0.3">
      <c r="A1176">
        <v>51055713</v>
      </c>
      <c r="B1176">
        <v>91</v>
      </c>
      <c r="C1176">
        <v>28</v>
      </c>
      <c r="D1176">
        <f t="shared" si="54"/>
        <v>3.25</v>
      </c>
      <c r="E1176">
        <f>ROUND(MIN(5,MAX(0,D1176))/5*PARAMS_MODELO!$B$32,2)</f>
        <v>26</v>
      </c>
      <c r="F1176">
        <v>4</v>
      </c>
      <c r="G1176">
        <f>MAX(0,PARAMS_MODELO!$B$33-VALUE(TRIM(F1176))*3)</f>
        <v>18</v>
      </c>
      <c r="H1176">
        <v>1</v>
      </c>
      <c r="I1176">
        <f>ROUND(MIN(4,MAX(0,H1176))/4*PARAMS_MODELO!$B$34,2)</f>
        <v>5</v>
      </c>
      <c r="J1176">
        <v>1</v>
      </c>
      <c r="K1176">
        <f>IF(J1176=0,0,PARAMS_MODELO!$B$35)</f>
        <v>10</v>
      </c>
      <c r="L1176">
        <f t="shared" si="55"/>
        <v>59</v>
      </c>
      <c r="M1176" t="str">
        <f t="shared" si="56"/>
        <v>Regular</v>
      </c>
      <c r="N1176">
        <f>IF(M1176=PARAMS_MODELO!$A$36,PARAMS_MODELO!$B$36,IF(M1176=PARAMS_MODELO!$A$37,PARAMS_MODELO!$B$37,IF(M1176=PARAMS_MODELO!$A$38,PARAMS_MODELO!$B$38,IF(M1176=PARAMS_MODELO!$A$39,PARAMS_MODELO!$B$39,IF(M1176=PARAMS_MODELO!$A$40,PARAMS_MODELO!$B$40)))))</f>
        <v>1</v>
      </c>
    </row>
    <row r="1177" spans="1:14" x14ac:dyDescent="0.3">
      <c r="A1177">
        <v>51055748</v>
      </c>
      <c r="B1177">
        <v>47</v>
      </c>
      <c r="C1177">
        <v>78</v>
      </c>
      <c r="D1177">
        <f t="shared" si="54"/>
        <v>0.60256410256410253</v>
      </c>
      <c r="E1177">
        <f>ROUND(MIN(5,MAX(0,D1177))/5*PARAMS_MODELO!$B$32,2)</f>
        <v>4.82</v>
      </c>
      <c r="F1177">
        <v>0</v>
      </c>
      <c r="G1177">
        <f>MAX(0,PARAMS_MODELO!$B$33-VALUE(TRIM(F1177))*3)</f>
        <v>30</v>
      </c>
      <c r="H1177">
        <v>3</v>
      </c>
      <c r="I1177">
        <f>ROUND(MIN(4,MAX(0,H1177))/4*PARAMS_MODELO!$B$34,2)</f>
        <v>15</v>
      </c>
      <c r="J1177">
        <v>1</v>
      </c>
      <c r="K1177">
        <f>IF(J1177=0,0,PARAMS_MODELO!$B$35)</f>
        <v>10</v>
      </c>
      <c r="L1177">
        <f t="shared" si="55"/>
        <v>59.82</v>
      </c>
      <c r="M1177" t="str">
        <f t="shared" si="56"/>
        <v>Regular</v>
      </c>
      <c r="N1177">
        <f>IF(M1177=PARAMS_MODELO!$A$36,PARAMS_MODELO!$B$36,IF(M1177=PARAMS_MODELO!$A$37,PARAMS_MODELO!$B$37,IF(M1177=PARAMS_MODELO!$A$38,PARAMS_MODELO!$B$38,IF(M1177=PARAMS_MODELO!$A$39,PARAMS_MODELO!$B$39,IF(M1177=PARAMS_MODELO!$A$40,PARAMS_MODELO!$B$40)))))</f>
        <v>1</v>
      </c>
    </row>
    <row r="1178" spans="1:14" x14ac:dyDescent="0.3">
      <c r="A1178">
        <v>51055781</v>
      </c>
      <c r="B1178">
        <v>81</v>
      </c>
      <c r="C1178">
        <v>60</v>
      </c>
      <c r="D1178">
        <f t="shared" si="54"/>
        <v>1.35</v>
      </c>
      <c r="E1178">
        <f>ROUND(MIN(5,MAX(0,D1178))/5*PARAMS_MODELO!$B$32,2)</f>
        <v>10.8</v>
      </c>
      <c r="F1178">
        <v>4</v>
      </c>
      <c r="G1178">
        <f>MAX(0,PARAMS_MODELO!$B$33-VALUE(TRIM(F1178))*3)</f>
        <v>18</v>
      </c>
      <c r="H1178">
        <v>1</v>
      </c>
      <c r="I1178">
        <f>ROUND(MIN(4,MAX(0,H1178))/4*PARAMS_MODELO!$B$34,2)</f>
        <v>5</v>
      </c>
      <c r="J1178">
        <v>0</v>
      </c>
      <c r="K1178">
        <f>IF(J1178=0,0,PARAMS_MODELO!$B$35)</f>
        <v>0</v>
      </c>
      <c r="L1178">
        <f t="shared" si="55"/>
        <v>33.799999999999997</v>
      </c>
      <c r="M1178" t="str">
        <f t="shared" si="56"/>
        <v>Malo</v>
      </c>
      <c r="N1178">
        <f>IF(M1178=PARAMS_MODELO!$A$36,PARAMS_MODELO!$B$36,IF(M1178=PARAMS_MODELO!$A$37,PARAMS_MODELO!$B$37,IF(M1178=PARAMS_MODELO!$A$38,PARAMS_MODELO!$B$38,IF(M1178=PARAMS_MODELO!$A$39,PARAMS_MODELO!$B$39,IF(M1178=PARAMS_MODELO!$A$40,PARAMS_MODELO!$B$40)))))</f>
        <v>0.7</v>
      </c>
    </row>
    <row r="1179" spans="1:14" x14ac:dyDescent="0.3">
      <c r="A1179">
        <v>51055900</v>
      </c>
      <c r="B1179">
        <v>28</v>
      </c>
      <c r="C1179">
        <v>83</v>
      </c>
      <c r="D1179">
        <f t="shared" si="54"/>
        <v>0.33734939759036142</v>
      </c>
      <c r="E1179">
        <f>ROUND(MIN(5,MAX(0,D1179))/5*PARAMS_MODELO!$B$32,2)</f>
        <v>2.7</v>
      </c>
      <c r="F1179">
        <v>4</v>
      </c>
      <c r="G1179">
        <f>MAX(0,PARAMS_MODELO!$B$33-VALUE(TRIM(F1179))*3)</f>
        <v>18</v>
      </c>
      <c r="H1179">
        <v>0</v>
      </c>
      <c r="I1179">
        <f>ROUND(MIN(4,MAX(0,H1179))/4*PARAMS_MODELO!$B$34,2)</f>
        <v>0</v>
      </c>
      <c r="J1179">
        <v>0</v>
      </c>
      <c r="K1179">
        <f>IF(J1179=0,0,PARAMS_MODELO!$B$35)</f>
        <v>0</v>
      </c>
      <c r="L1179">
        <f t="shared" si="55"/>
        <v>20.7</v>
      </c>
      <c r="M1179" t="str">
        <f t="shared" si="56"/>
        <v>Malo</v>
      </c>
      <c r="N1179">
        <f>IF(M1179=PARAMS_MODELO!$A$36,PARAMS_MODELO!$B$36,IF(M1179=PARAMS_MODELO!$A$37,PARAMS_MODELO!$B$37,IF(M1179=PARAMS_MODELO!$A$38,PARAMS_MODELO!$B$38,IF(M1179=PARAMS_MODELO!$A$39,PARAMS_MODELO!$B$39,IF(M1179=PARAMS_MODELO!$A$40,PARAMS_MODELO!$B$40)))))</f>
        <v>0.7</v>
      </c>
    </row>
    <row r="1180" spans="1:14" x14ac:dyDescent="0.3">
      <c r="A1180">
        <v>51055934</v>
      </c>
      <c r="B1180">
        <v>59</v>
      </c>
      <c r="C1180">
        <v>32</v>
      </c>
      <c r="D1180">
        <f t="shared" si="54"/>
        <v>1.84375</v>
      </c>
      <c r="E1180">
        <f>ROUND(MIN(5,MAX(0,D1180))/5*PARAMS_MODELO!$B$32,2)</f>
        <v>14.75</v>
      </c>
      <c r="F1180">
        <v>0</v>
      </c>
      <c r="G1180">
        <f>MAX(0,PARAMS_MODELO!$B$33-VALUE(TRIM(F1180))*3)</f>
        <v>30</v>
      </c>
      <c r="H1180">
        <v>2</v>
      </c>
      <c r="I1180">
        <f>ROUND(MIN(4,MAX(0,H1180))/4*PARAMS_MODELO!$B$34,2)</f>
        <v>10</v>
      </c>
      <c r="J1180">
        <v>0</v>
      </c>
      <c r="K1180">
        <f>IF(J1180=0,0,PARAMS_MODELO!$B$35)</f>
        <v>0</v>
      </c>
      <c r="L1180">
        <f t="shared" si="55"/>
        <v>54.75</v>
      </c>
      <c r="M1180" t="str">
        <f t="shared" si="56"/>
        <v>Regular</v>
      </c>
      <c r="N1180">
        <f>IF(M1180=PARAMS_MODELO!$A$36,PARAMS_MODELO!$B$36,IF(M1180=PARAMS_MODELO!$A$37,PARAMS_MODELO!$B$37,IF(M1180=PARAMS_MODELO!$A$38,PARAMS_MODELO!$B$38,IF(M1180=PARAMS_MODELO!$A$39,PARAMS_MODELO!$B$39,IF(M1180=PARAMS_MODELO!$A$40,PARAMS_MODELO!$B$40)))))</f>
        <v>1</v>
      </c>
    </row>
    <row r="1181" spans="1:14" x14ac:dyDescent="0.3">
      <c r="A1181">
        <v>51055969</v>
      </c>
      <c r="B1181">
        <v>82</v>
      </c>
      <c r="C1181">
        <v>7</v>
      </c>
      <c r="D1181">
        <f t="shared" si="54"/>
        <v>5</v>
      </c>
      <c r="E1181">
        <f>ROUND(MIN(5,MAX(0,D1181))/5*PARAMS_MODELO!$B$32,2)</f>
        <v>40</v>
      </c>
      <c r="F1181">
        <v>1</v>
      </c>
      <c r="G1181">
        <f>MAX(0,PARAMS_MODELO!$B$33-VALUE(TRIM(F1181))*3)</f>
        <v>27</v>
      </c>
      <c r="H1181">
        <v>3</v>
      </c>
      <c r="I1181">
        <f>ROUND(MIN(4,MAX(0,H1181))/4*PARAMS_MODELO!$B$34,2)</f>
        <v>15</v>
      </c>
      <c r="J1181">
        <v>0</v>
      </c>
      <c r="K1181">
        <f>IF(J1181=0,0,PARAMS_MODELO!$B$35)</f>
        <v>0</v>
      </c>
      <c r="L1181">
        <f t="shared" si="55"/>
        <v>82</v>
      </c>
      <c r="M1181" t="str">
        <f t="shared" si="56"/>
        <v>Muy Bueno</v>
      </c>
      <c r="N1181">
        <f>IF(M1181=PARAMS_MODELO!$A$36,PARAMS_MODELO!$B$36,IF(M1181=PARAMS_MODELO!$A$37,PARAMS_MODELO!$B$37,IF(M1181=PARAMS_MODELO!$A$38,PARAMS_MODELO!$B$38,IF(M1181=PARAMS_MODELO!$A$39,PARAMS_MODELO!$B$39,IF(M1181=PARAMS_MODELO!$A$40,PARAMS_MODELO!$B$40)))))</f>
        <v>1.1499999999999999</v>
      </c>
    </row>
    <row r="1182" spans="1:14" x14ac:dyDescent="0.3">
      <c r="A1182">
        <v>51055977</v>
      </c>
      <c r="B1182">
        <v>58</v>
      </c>
      <c r="C1182">
        <v>45</v>
      </c>
      <c r="D1182">
        <f t="shared" si="54"/>
        <v>1.288888888888889</v>
      </c>
      <c r="E1182">
        <f>ROUND(MIN(5,MAX(0,D1182))/5*PARAMS_MODELO!$B$32,2)</f>
        <v>10.31</v>
      </c>
      <c r="F1182">
        <v>5</v>
      </c>
      <c r="G1182">
        <f>MAX(0,PARAMS_MODELO!$B$33-VALUE(TRIM(F1182))*3)</f>
        <v>15</v>
      </c>
      <c r="H1182">
        <v>0</v>
      </c>
      <c r="I1182">
        <f>ROUND(MIN(4,MAX(0,H1182))/4*PARAMS_MODELO!$B$34,2)</f>
        <v>0</v>
      </c>
      <c r="J1182">
        <v>0</v>
      </c>
      <c r="K1182">
        <f>IF(J1182=0,0,PARAMS_MODELO!$B$35)</f>
        <v>0</v>
      </c>
      <c r="L1182">
        <f t="shared" si="55"/>
        <v>25.310000000000002</v>
      </c>
      <c r="M1182" t="str">
        <f t="shared" si="56"/>
        <v>Malo</v>
      </c>
      <c r="N1182">
        <f>IF(M1182=PARAMS_MODELO!$A$36,PARAMS_MODELO!$B$36,IF(M1182=PARAMS_MODELO!$A$37,PARAMS_MODELO!$B$37,IF(M1182=PARAMS_MODELO!$A$38,PARAMS_MODELO!$B$38,IF(M1182=PARAMS_MODELO!$A$39,PARAMS_MODELO!$B$39,IF(M1182=PARAMS_MODELO!$A$40,PARAMS_MODELO!$B$40)))))</f>
        <v>0.7</v>
      </c>
    </row>
    <row r="1183" spans="1:14" x14ac:dyDescent="0.3">
      <c r="A1183">
        <v>51056035</v>
      </c>
      <c r="B1183">
        <v>84</v>
      </c>
      <c r="C1183">
        <v>57</v>
      </c>
      <c r="D1183">
        <f t="shared" si="54"/>
        <v>1.4736842105263157</v>
      </c>
      <c r="E1183">
        <f>ROUND(MIN(5,MAX(0,D1183))/5*PARAMS_MODELO!$B$32,2)</f>
        <v>11.79</v>
      </c>
      <c r="F1183">
        <v>0</v>
      </c>
      <c r="G1183">
        <f>MAX(0,PARAMS_MODELO!$B$33-VALUE(TRIM(F1183))*3)</f>
        <v>30</v>
      </c>
      <c r="H1183">
        <v>1</v>
      </c>
      <c r="I1183">
        <f>ROUND(MIN(4,MAX(0,H1183))/4*PARAMS_MODELO!$B$34,2)</f>
        <v>5</v>
      </c>
      <c r="J1183">
        <v>0</v>
      </c>
      <c r="K1183">
        <f>IF(J1183=0,0,PARAMS_MODELO!$B$35)</f>
        <v>0</v>
      </c>
      <c r="L1183">
        <f t="shared" si="55"/>
        <v>46.79</v>
      </c>
      <c r="M1183" t="str">
        <f t="shared" si="56"/>
        <v>Regular</v>
      </c>
      <c r="N1183">
        <f>IF(M1183=PARAMS_MODELO!$A$36,PARAMS_MODELO!$B$36,IF(M1183=PARAMS_MODELO!$A$37,PARAMS_MODELO!$B$37,IF(M1183=PARAMS_MODELO!$A$38,PARAMS_MODELO!$B$38,IF(M1183=PARAMS_MODELO!$A$39,PARAMS_MODELO!$B$39,IF(M1183=PARAMS_MODELO!$A$40,PARAMS_MODELO!$B$40)))))</f>
        <v>1</v>
      </c>
    </row>
    <row r="1184" spans="1:14" x14ac:dyDescent="0.3">
      <c r="A1184">
        <v>51056043</v>
      </c>
      <c r="B1184">
        <v>24</v>
      </c>
      <c r="C1184">
        <v>79</v>
      </c>
      <c r="D1184">
        <f t="shared" si="54"/>
        <v>0.30379746835443039</v>
      </c>
      <c r="E1184">
        <f>ROUND(MIN(5,MAX(0,D1184))/5*PARAMS_MODELO!$B$32,2)</f>
        <v>2.4300000000000002</v>
      </c>
      <c r="F1184">
        <v>3</v>
      </c>
      <c r="G1184">
        <f>MAX(0,PARAMS_MODELO!$B$33-VALUE(TRIM(F1184))*3)</f>
        <v>21</v>
      </c>
      <c r="H1184">
        <v>0</v>
      </c>
      <c r="I1184">
        <f>ROUND(MIN(4,MAX(0,H1184))/4*PARAMS_MODELO!$B$34,2)</f>
        <v>0</v>
      </c>
      <c r="J1184">
        <v>0</v>
      </c>
      <c r="K1184">
        <f>IF(J1184=0,0,PARAMS_MODELO!$B$35)</f>
        <v>0</v>
      </c>
      <c r="L1184">
        <f t="shared" si="55"/>
        <v>23.43</v>
      </c>
      <c r="M1184" t="str">
        <f t="shared" si="56"/>
        <v>Malo</v>
      </c>
      <c r="N1184">
        <f>IF(M1184=PARAMS_MODELO!$A$36,PARAMS_MODELO!$B$36,IF(M1184=PARAMS_MODELO!$A$37,PARAMS_MODELO!$B$37,IF(M1184=PARAMS_MODELO!$A$38,PARAMS_MODELO!$B$38,IF(M1184=PARAMS_MODELO!$A$39,PARAMS_MODELO!$B$39,IF(M1184=PARAMS_MODELO!$A$40,PARAMS_MODELO!$B$40)))))</f>
        <v>0.7</v>
      </c>
    </row>
    <row r="1185" spans="1:14" x14ac:dyDescent="0.3">
      <c r="A1185">
        <v>51056141</v>
      </c>
      <c r="B1185">
        <v>75</v>
      </c>
      <c r="C1185">
        <v>37</v>
      </c>
      <c r="D1185">
        <f t="shared" si="54"/>
        <v>2.0270270270270272</v>
      </c>
      <c r="E1185">
        <f>ROUND(MIN(5,MAX(0,D1185))/5*PARAMS_MODELO!$B$32,2)</f>
        <v>16.22</v>
      </c>
      <c r="F1185">
        <v>0</v>
      </c>
      <c r="G1185">
        <f>MAX(0,PARAMS_MODELO!$B$33-VALUE(TRIM(F1185))*3)</f>
        <v>30</v>
      </c>
      <c r="H1185">
        <v>1</v>
      </c>
      <c r="I1185">
        <f>ROUND(MIN(4,MAX(0,H1185))/4*PARAMS_MODELO!$B$34,2)</f>
        <v>5</v>
      </c>
      <c r="J1185">
        <v>0</v>
      </c>
      <c r="K1185">
        <f>IF(J1185=0,0,PARAMS_MODELO!$B$35)</f>
        <v>0</v>
      </c>
      <c r="L1185">
        <f t="shared" si="55"/>
        <v>51.22</v>
      </c>
      <c r="M1185" t="str">
        <f t="shared" si="56"/>
        <v>Regular</v>
      </c>
      <c r="N1185">
        <f>IF(M1185=PARAMS_MODELO!$A$36,PARAMS_MODELO!$B$36,IF(M1185=PARAMS_MODELO!$A$37,PARAMS_MODELO!$B$37,IF(M1185=PARAMS_MODELO!$A$38,PARAMS_MODELO!$B$38,IF(M1185=PARAMS_MODELO!$A$39,PARAMS_MODELO!$B$39,IF(M1185=PARAMS_MODELO!$A$40,PARAMS_MODELO!$B$40)))))</f>
        <v>1</v>
      </c>
    </row>
    <row r="1186" spans="1:14" x14ac:dyDescent="0.3">
      <c r="A1186">
        <v>51056167</v>
      </c>
      <c r="B1186">
        <v>28</v>
      </c>
      <c r="C1186">
        <v>80</v>
      </c>
      <c r="D1186">
        <f t="shared" si="54"/>
        <v>0.35</v>
      </c>
      <c r="E1186">
        <f>ROUND(MIN(5,MAX(0,D1186))/5*PARAMS_MODELO!$B$32,2)</f>
        <v>2.8</v>
      </c>
      <c r="F1186">
        <v>2</v>
      </c>
      <c r="G1186">
        <f>MAX(0,PARAMS_MODELO!$B$33-VALUE(TRIM(F1186))*3)</f>
        <v>24</v>
      </c>
      <c r="H1186">
        <v>1</v>
      </c>
      <c r="I1186">
        <f>ROUND(MIN(4,MAX(0,H1186))/4*PARAMS_MODELO!$B$34,2)</f>
        <v>5</v>
      </c>
      <c r="J1186">
        <v>1</v>
      </c>
      <c r="K1186">
        <f>IF(J1186=0,0,PARAMS_MODELO!$B$35)</f>
        <v>10</v>
      </c>
      <c r="L1186">
        <f t="shared" si="55"/>
        <v>41.8</v>
      </c>
      <c r="M1186" t="str">
        <f t="shared" si="56"/>
        <v>Regular</v>
      </c>
      <c r="N1186">
        <f>IF(M1186=PARAMS_MODELO!$A$36,PARAMS_MODELO!$B$36,IF(M1186=PARAMS_MODELO!$A$37,PARAMS_MODELO!$B$37,IF(M1186=PARAMS_MODELO!$A$38,PARAMS_MODELO!$B$38,IF(M1186=PARAMS_MODELO!$A$39,PARAMS_MODELO!$B$39,IF(M1186=PARAMS_MODELO!$A$40,PARAMS_MODELO!$B$40)))))</f>
        <v>1</v>
      </c>
    </row>
    <row r="1187" spans="1:14" x14ac:dyDescent="0.3">
      <c r="A1187">
        <v>51056230</v>
      </c>
      <c r="B1187">
        <v>77</v>
      </c>
      <c r="C1187">
        <v>41</v>
      </c>
      <c r="D1187">
        <f t="shared" si="54"/>
        <v>1.8780487804878048</v>
      </c>
      <c r="E1187">
        <f>ROUND(MIN(5,MAX(0,D1187))/5*PARAMS_MODELO!$B$32,2)</f>
        <v>15.02</v>
      </c>
      <c r="F1187">
        <v>4</v>
      </c>
      <c r="G1187">
        <f>MAX(0,PARAMS_MODELO!$B$33-VALUE(TRIM(F1187))*3)</f>
        <v>18</v>
      </c>
      <c r="H1187">
        <v>4</v>
      </c>
      <c r="I1187">
        <f>ROUND(MIN(4,MAX(0,H1187))/4*PARAMS_MODELO!$B$34,2)</f>
        <v>20</v>
      </c>
      <c r="J1187">
        <v>0</v>
      </c>
      <c r="K1187">
        <f>IF(J1187=0,0,PARAMS_MODELO!$B$35)</f>
        <v>0</v>
      </c>
      <c r="L1187">
        <f t="shared" si="55"/>
        <v>53.019999999999996</v>
      </c>
      <c r="M1187" t="str">
        <f t="shared" si="56"/>
        <v>Regular</v>
      </c>
      <c r="N1187">
        <f>IF(M1187=PARAMS_MODELO!$A$36,PARAMS_MODELO!$B$36,IF(M1187=PARAMS_MODELO!$A$37,PARAMS_MODELO!$B$37,IF(M1187=PARAMS_MODELO!$A$38,PARAMS_MODELO!$B$38,IF(M1187=PARAMS_MODELO!$A$39,PARAMS_MODELO!$B$39,IF(M1187=PARAMS_MODELO!$A$40,PARAMS_MODELO!$B$40)))))</f>
        <v>1</v>
      </c>
    </row>
    <row r="1188" spans="1:14" x14ac:dyDescent="0.3">
      <c r="A1188">
        <v>51056256</v>
      </c>
      <c r="B1188">
        <v>41</v>
      </c>
      <c r="C1188">
        <v>89</v>
      </c>
      <c r="D1188">
        <f t="shared" si="54"/>
        <v>0.4606741573033708</v>
      </c>
      <c r="E1188">
        <f>ROUND(MIN(5,MAX(0,D1188))/5*PARAMS_MODELO!$B$32,2)</f>
        <v>3.69</v>
      </c>
      <c r="F1188">
        <v>1</v>
      </c>
      <c r="G1188">
        <f>MAX(0,PARAMS_MODELO!$B$33-VALUE(TRIM(F1188))*3)</f>
        <v>27</v>
      </c>
      <c r="H1188">
        <v>4</v>
      </c>
      <c r="I1188">
        <f>ROUND(MIN(4,MAX(0,H1188))/4*PARAMS_MODELO!$B$34,2)</f>
        <v>20</v>
      </c>
      <c r="J1188">
        <v>1</v>
      </c>
      <c r="K1188">
        <f>IF(J1188=0,0,PARAMS_MODELO!$B$35)</f>
        <v>10</v>
      </c>
      <c r="L1188">
        <f t="shared" si="55"/>
        <v>60.69</v>
      </c>
      <c r="M1188" t="str">
        <f t="shared" si="56"/>
        <v>Bueno</v>
      </c>
      <c r="N1188">
        <f>IF(M1188=PARAMS_MODELO!$A$36,PARAMS_MODELO!$B$36,IF(M1188=PARAMS_MODELO!$A$37,PARAMS_MODELO!$B$37,IF(M1188=PARAMS_MODELO!$A$38,PARAMS_MODELO!$B$38,IF(M1188=PARAMS_MODELO!$A$39,PARAMS_MODELO!$B$39,IF(M1188=PARAMS_MODELO!$A$40,PARAMS_MODELO!$B$40)))))</f>
        <v>1.1000000000000001</v>
      </c>
    </row>
    <row r="1189" spans="1:14" x14ac:dyDescent="0.3">
      <c r="A1189">
        <v>51056370</v>
      </c>
      <c r="B1189">
        <v>34</v>
      </c>
      <c r="C1189">
        <v>24</v>
      </c>
      <c r="D1189">
        <f t="shared" si="54"/>
        <v>1.4166666666666667</v>
      </c>
      <c r="E1189">
        <f>ROUND(MIN(5,MAX(0,D1189))/5*PARAMS_MODELO!$B$32,2)</f>
        <v>11.33</v>
      </c>
      <c r="F1189">
        <v>4</v>
      </c>
      <c r="G1189">
        <f>MAX(0,PARAMS_MODELO!$B$33-VALUE(TRIM(F1189))*3)</f>
        <v>18</v>
      </c>
      <c r="H1189">
        <v>4</v>
      </c>
      <c r="I1189">
        <f>ROUND(MIN(4,MAX(0,H1189))/4*PARAMS_MODELO!$B$34,2)</f>
        <v>20</v>
      </c>
      <c r="J1189">
        <v>1</v>
      </c>
      <c r="K1189">
        <f>IF(J1189=0,0,PARAMS_MODELO!$B$35)</f>
        <v>10</v>
      </c>
      <c r="L1189">
        <f t="shared" si="55"/>
        <v>59.33</v>
      </c>
      <c r="M1189" t="str">
        <f t="shared" si="56"/>
        <v>Regular</v>
      </c>
      <c r="N1189">
        <f>IF(M1189=PARAMS_MODELO!$A$36,PARAMS_MODELO!$B$36,IF(M1189=PARAMS_MODELO!$A$37,PARAMS_MODELO!$B$37,IF(M1189=PARAMS_MODELO!$A$38,PARAMS_MODELO!$B$38,IF(M1189=PARAMS_MODELO!$A$39,PARAMS_MODELO!$B$39,IF(M1189=PARAMS_MODELO!$A$40,PARAMS_MODELO!$B$40)))))</f>
        <v>1</v>
      </c>
    </row>
    <row r="1190" spans="1:14" x14ac:dyDescent="0.3">
      <c r="A1190">
        <v>51056680</v>
      </c>
      <c r="B1190">
        <v>38</v>
      </c>
      <c r="C1190">
        <v>8</v>
      </c>
      <c r="D1190">
        <f t="shared" si="54"/>
        <v>4.75</v>
      </c>
      <c r="E1190">
        <f>ROUND(MIN(5,MAX(0,D1190))/5*PARAMS_MODELO!$B$32,2)</f>
        <v>38</v>
      </c>
      <c r="F1190">
        <v>2</v>
      </c>
      <c r="G1190">
        <f>MAX(0,PARAMS_MODELO!$B$33-VALUE(TRIM(F1190))*3)</f>
        <v>24</v>
      </c>
      <c r="H1190">
        <v>1</v>
      </c>
      <c r="I1190">
        <f>ROUND(MIN(4,MAX(0,H1190))/4*PARAMS_MODELO!$B$34,2)</f>
        <v>5</v>
      </c>
      <c r="J1190">
        <v>1</v>
      </c>
      <c r="K1190">
        <f>IF(J1190=0,0,PARAMS_MODELO!$B$35)</f>
        <v>10</v>
      </c>
      <c r="L1190">
        <f t="shared" si="55"/>
        <v>77</v>
      </c>
      <c r="M1190" t="str">
        <f t="shared" si="56"/>
        <v>Muy Bueno</v>
      </c>
      <c r="N1190">
        <f>IF(M1190=PARAMS_MODELO!$A$36,PARAMS_MODELO!$B$36,IF(M1190=PARAMS_MODELO!$A$37,PARAMS_MODELO!$B$37,IF(M1190=PARAMS_MODELO!$A$38,PARAMS_MODELO!$B$38,IF(M1190=PARAMS_MODELO!$A$39,PARAMS_MODELO!$B$39,IF(M1190=PARAMS_MODELO!$A$40,PARAMS_MODELO!$B$40)))))</f>
        <v>1.1499999999999999</v>
      </c>
    </row>
    <row r="1191" spans="1:14" x14ac:dyDescent="0.3">
      <c r="A1191">
        <v>51056710</v>
      </c>
      <c r="B1191">
        <v>100</v>
      </c>
      <c r="C1191">
        <v>40</v>
      </c>
      <c r="D1191">
        <f t="shared" si="54"/>
        <v>2.5</v>
      </c>
      <c r="E1191">
        <f>ROUND(MIN(5,MAX(0,D1191))/5*PARAMS_MODELO!$B$32,2)</f>
        <v>20</v>
      </c>
      <c r="F1191">
        <v>5</v>
      </c>
      <c r="G1191">
        <f>MAX(0,PARAMS_MODELO!$B$33-VALUE(TRIM(F1191))*3)</f>
        <v>15</v>
      </c>
      <c r="H1191">
        <v>3</v>
      </c>
      <c r="I1191">
        <f>ROUND(MIN(4,MAX(0,H1191))/4*PARAMS_MODELO!$B$34,2)</f>
        <v>15</v>
      </c>
      <c r="J1191">
        <v>1</v>
      </c>
      <c r="K1191">
        <f>IF(J1191=0,0,PARAMS_MODELO!$B$35)</f>
        <v>10</v>
      </c>
      <c r="L1191">
        <f t="shared" si="55"/>
        <v>60</v>
      </c>
      <c r="M1191" t="str">
        <f t="shared" si="56"/>
        <v>Bueno</v>
      </c>
      <c r="N1191">
        <f>IF(M1191=PARAMS_MODELO!$A$36,PARAMS_MODELO!$B$36,IF(M1191=PARAMS_MODELO!$A$37,PARAMS_MODELO!$B$37,IF(M1191=PARAMS_MODELO!$A$38,PARAMS_MODELO!$B$38,IF(M1191=PARAMS_MODELO!$A$39,PARAMS_MODELO!$B$39,IF(M1191=PARAMS_MODELO!$A$40,PARAMS_MODELO!$B$40)))))</f>
        <v>1.1000000000000001</v>
      </c>
    </row>
    <row r="1192" spans="1:14" x14ac:dyDescent="0.3">
      <c r="A1192">
        <v>51056779</v>
      </c>
      <c r="B1192">
        <v>12</v>
      </c>
      <c r="C1192">
        <v>38</v>
      </c>
      <c r="D1192">
        <f t="shared" si="54"/>
        <v>0.31578947368421051</v>
      </c>
      <c r="E1192">
        <f>ROUND(MIN(5,MAX(0,D1192))/5*PARAMS_MODELO!$B$32,2)</f>
        <v>2.5299999999999998</v>
      </c>
      <c r="F1192">
        <v>1</v>
      </c>
      <c r="G1192">
        <f>MAX(0,PARAMS_MODELO!$B$33-VALUE(TRIM(F1192))*3)</f>
        <v>27</v>
      </c>
      <c r="H1192">
        <v>3</v>
      </c>
      <c r="I1192">
        <f>ROUND(MIN(4,MAX(0,H1192))/4*PARAMS_MODELO!$B$34,2)</f>
        <v>15</v>
      </c>
      <c r="J1192">
        <v>0</v>
      </c>
      <c r="K1192">
        <f>IF(J1192=0,0,PARAMS_MODELO!$B$35)</f>
        <v>0</v>
      </c>
      <c r="L1192">
        <f t="shared" si="55"/>
        <v>44.53</v>
      </c>
      <c r="M1192" t="str">
        <f t="shared" si="56"/>
        <v>Regular</v>
      </c>
      <c r="N1192">
        <f>IF(M1192=PARAMS_MODELO!$A$36,PARAMS_MODELO!$B$36,IF(M1192=PARAMS_MODELO!$A$37,PARAMS_MODELO!$B$37,IF(M1192=PARAMS_MODELO!$A$38,PARAMS_MODELO!$B$38,IF(M1192=PARAMS_MODELO!$A$39,PARAMS_MODELO!$B$39,IF(M1192=PARAMS_MODELO!$A$40,PARAMS_MODELO!$B$40)))))</f>
        <v>1</v>
      </c>
    </row>
    <row r="1193" spans="1:14" x14ac:dyDescent="0.3">
      <c r="A1193">
        <v>51056841</v>
      </c>
      <c r="B1193">
        <v>16</v>
      </c>
      <c r="C1193">
        <v>7</v>
      </c>
      <c r="D1193">
        <f t="shared" si="54"/>
        <v>2.2857142857142856</v>
      </c>
      <c r="E1193">
        <f>ROUND(MIN(5,MAX(0,D1193))/5*PARAMS_MODELO!$B$32,2)</f>
        <v>18.29</v>
      </c>
      <c r="F1193">
        <v>3</v>
      </c>
      <c r="G1193">
        <f>MAX(0,PARAMS_MODELO!$B$33-VALUE(TRIM(F1193))*3)</f>
        <v>21</v>
      </c>
      <c r="H1193">
        <v>3</v>
      </c>
      <c r="I1193">
        <f>ROUND(MIN(4,MAX(0,H1193))/4*PARAMS_MODELO!$B$34,2)</f>
        <v>15</v>
      </c>
      <c r="J1193">
        <v>1</v>
      </c>
      <c r="K1193">
        <f>IF(J1193=0,0,PARAMS_MODELO!$B$35)</f>
        <v>10</v>
      </c>
      <c r="L1193">
        <f t="shared" si="55"/>
        <v>64.289999999999992</v>
      </c>
      <c r="M1193" t="str">
        <f t="shared" si="56"/>
        <v>Bueno</v>
      </c>
      <c r="N1193">
        <f>IF(M1193=PARAMS_MODELO!$A$36,PARAMS_MODELO!$B$36,IF(M1193=PARAMS_MODELO!$A$37,PARAMS_MODELO!$B$37,IF(M1193=PARAMS_MODELO!$A$38,PARAMS_MODELO!$B$38,IF(M1193=PARAMS_MODELO!$A$39,PARAMS_MODELO!$B$39,IF(M1193=PARAMS_MODELO!$A$40,PARAMS_MODELO!$B$40)))))</f>
        <v>1.1000000000000001</v>
      </c>
    </row>
    <row r="1194" spans="1:14" x14ac:dyDescent="0.3">
      <c r="A1194">
        <v>51056892</v>
      </c>
      <c r="B1194">
        <v>93</v>
      </c>
      <c r="C1194">
        <v>75</v>
      </c>
      <c r="D1194">
        <f t="shared" si="54"/>
        <v>1.24</v>
      </c>
      <c r="E1194">
        <f>ROUND(MIN(5,MAX(0,D1194))/5*PARAMS_MODELO!$B$32,2)</f>
        <v>9.92</v>
      </c>
      <c r="F1194">
        <v>4</v>
      </c>
      <c r="G1194">
        <f>MAX(0,PARAMS_MODELO!$B$33-VALUE(TRIM(F1194))*3)</f>
        <v>18</v>
      </c>
      <c r="H1194">
        <v>1</v>
      </c>
      <c r="I1194">
        <f>ROUND(MIN(4,MAX(0,H1194))/4*PARAMS_MODELO!$B$34,2)</f>
        <v>5</v>
      </c>
      <c r="J1194">
        <v>1</v>
      </c>
      <c r="K1194">
        <f>IF(J1194=0,0,PARAMS_MODELO!$B$35)</f>
        <v>10</v>
      </c>
      <c r="L1194">
        <f t="shared" si="55"/>
        <v>42.92</v>
      </c>
      <c r="M1194" t="str">
        <f t="shared" si="56"/>
        <v>Regular</v>
      </c>
      <c r="N1194">
        <f>IF(M1194=PARAMS_MODELO!$A$36,PARAMS_MODELO!$B$36,IF(M1194=PARAMS_MODELO!$A$37,PARAMS_MODELO!$B$37,IF(M1194=PARAMS_MODELO!$A$38,PARAMS_MODELO!$B$38,IF(M1194=PARAMS_MODELO!$A$39,PARAMS_MODELO!$B$39,IF(M1194=PARAMS_MODELO!$A$40,PARAMS_MODELO!$B$40)))))</f>
        <v>1</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3">
    <tabColor rgb="FF00B050"/>
  </sheetPr>
  <dimension ref="A1:K6"/>
  <sheetViews>
    <sheetView workbookViewId="0">
      <selection activeCell="H4" sqref="H4"/>
    </sheetView>
  </sheetViews>
  <sheetFormatPr baseColWidth="10" defaultRowHeight="14.4" x14ac:dyDescent="0.3"/>
  <cols>
    <col min="1" max="11" width="20.77734375" customWidth="1"/>
  </cols>
  <sheetData>
    <row r="1" spans="1:11" x14ac:dyDescent="0.3">
      <c r="A1" s="19"/>
      <c r="B1" s="41" t="s">
        <v>54</v>
      </c>
      <c r="C1" s="42"/>
      <c r="D1" s="42"/>
      <c r="E1" s="42"/>
      <c r="F1" s="43"/>
      <c r="G1" s="44" t="s">
        <v>55</v>
      </c>
      <c r="H1" s="42"/>
      <c r="I1" s="42"/>
      <c r="J1" s="42"/>
      <c r="K1" s="43"/>
    </row>
    <row r="2" spans="1:11" x14ac:dyDescent="0.3">
      <c r="A2" s="17" t="s">
        <v>56</v>
      </c>
      <c r="B2" s="15">
        <v>30</v>
      </c>
      <c r="C2" s="15">
        <v>25</v>
      </c>
      <c r="D2" s="15">
        <v>20</v>
      </c>
      <c r="E2" s="15">
        <v>15</v>
      </c>
      <c r="F2" s="15">
        <v>10</v>
      </c>
      <c r="G2" s="17">
        <v>40</v>
      </c>
      <c r="H2" s="17">
        <v>30</v>
      </c>
      <c r="I2" s="17">
        <v>20</v>
      </c>
      <c r="J2" s="17">
        <v>10</v>
      </c>
      <c r="K2" s="38" t="s">
        <v>57</v>
      </c>
    </row>
    <row r="3" spans="1:11" ht="28.8" customHeight="1" x14ac:dyDescent="0.3">
      <c r="A3" s="17" t="s">
        <v>58</v>
      </c>
      <c r="B3" s="16" t="s">
        <v>35</v>
      </c>
      <c r="C3" s="16" t="s">
        <v>36</v>
      </c>
      <c r="D3" s="16" t="s">
        <v>59</v>
      </c>
      <c r="E3" s="16" t="s">
        <v>39</v>
      </c>
      <c r="F3" s="16" t="s">
        <v>42</v>
      </c>
      <c r="G3" s="18" t="s">
        <v>60</v>
      </c>
      <c r="H3" s="18" t="s">
        <v>48</v>
      </c>
      <c r="I3" s="18" t="s">
        <v>49</v>
      </c>
      <c r="J3" s="18" t="s">
        <v>51</v>
      </c>
      <c r="K3" s="39"/>
    </row>
    <row r="4" spans="1:11" ht="234" customHeight="1" x14ac:dyDescent="0.3">
      <c r="A4" s="18" t="s">
        <v>61</v>
      </c>
      <c r="B4" s="16" t="s">
        <v>62</v>
      </c>
      <c r="C4" s="16" t="s">
        <v>63</v>
      </c>
      <c r="D4" s="16" t="s">
        <v>64</v>
      </c>
      <c r="E4" s="16" t="s">
        <v>65</v>
      </c>
      <c r="F4" s="16" t="s">
        <v>66</v>
      </c>
      <c r="G4" s="18" t="s">
        <v>67</v>
      </c>
      <c r="H4" s="18" t="s">
        <v>68</v>
      </c>
      <c r="I4" s="18" t="s">
        <v>69</v>
      </c>
      <c r="J4" s="18" t="s">
        <v>70</v>
      </c>
      <c r="K4" s="39"/>
    </row>
    <row r="5" spans="1:11" ht="142.19999999999999" customHeight="1" x14ac:dyDescent="0.3">
      <c r="A5" s="17" t="s">
        <v>71</v>
      </c>
      <c r="B5" s="15" t="s">
        <v>72</v>
      </c>
      <c r="C5" s="15" t="s">
        <v>72</v>
      </c>
      <c r="D5" s="15" t="s">
        <v>72</v>
      </c>
      <c r="E5" s="15" t="s">
        <v>72</v>
      </c>
      <c r="F5" s="15" t="s">
        <v>72</v>
      </c>
      <c r="G5" s="18" t="s">
        <v>73</v>
      </c>
      <c r="H5" s="18" t="s">
        <v>74</v>
      </c>
      <c r="I5" s="18" t="s">
        <v>75</v>
      </c>
      <c r="J5" s="18" t="s">
        <v>76</v>
      </c>
      <c r="K5" s="39"/>
    </row>
    <row r="6" spans="1:11" ht="253.2" customHeight="1" x14ac:dyDescent="0.3">
      <c r="A6" s="17" t="s">
        <v>77</v>
      </c>
      <c r="B6" s="16" t="s">
        <v>78</v>
      </c>
      <c r="C6" s="16" t="s">
        <v>79</v>
      </c>
      <c r="D6" s="16" t="s">
        <v>80</v>
      </c>
      <c r="E6" s="16" t="s">
        <v>81</v>
      </c>
      <c r="F6" s="16" t="s">
        <v>82</v>
      </c>
      <c r="G6" s="18" t="s">
        <v>83</v>
      </c>
      <c r="H6" s="18" t="s">
        <v>84</v>
      </c>
      <c r="I6" s="18" t="s">
        <v>85</v>
      </c>
      <c r="J6" s="18" t="s">
        <v>86</v>
      </c>
      <c r="K6" s="40"/>
    </row>
  </sheetData>
  <mergeCells count="3">
    <mergeCell ref="K2:K6"/>
    <mergeCell ref="B1:F1"/>
    <mergeCell ref="G1:K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1">
    <tabColor rgb="FF00B050"/>
  </sheetPr>
  <dimension ref="A1:A20"/>
  <sheetViews>
    <sheetView workbookViewId="0"/>
  </sheetViews>
  <sheetFormatPr baseColWidth="10" defaultColWidth="8.88671875" defaultRowHeight="14.4" x14ac:dyDescent="0.3"/>
  <cols>
    <col min="1" max="1" width="56.5546875" bestFit="1" customWidth="1"/>
  </cols>
  <sheetData>
    <row r="1" spans="1:1" ht="15.6" customHeight="1" x14ac:dyDescent="0.3">
      <c r="A1" s="13" t="s">
        <v>152</v>
      </c>
    </row>
    <row r="2" spans="1:1" x14ac:dyDescent="0.3">
      <c r="A2" s="5"/>
    </row>
    <row r="3" spans="1:1" x14ac:dyDescent="0.3">
      <c r="A3" s="6" t="s">
        <v>153</v>
      </c>
    </row>
    <row r="4" spans="1:1" ht="97.2" customHeight="1" x14ac:dyDescent="0.3">
      <c r="A4" s="14" t="s">
        <v>154</v>
      </c>
    </row>
    <row r="5" spans="1:1" x14ac:dyDescent="0.3">
      <c r="A5" s="6" t="s">
        <v>155</v>
      </c>
    </row>
    <row r="6" spans="1:1" ht="97.2" customHeight="1" x14ac:dyDescent="0.3">
      <c r="A6" s="14" t="s">
        <v>156</v>
      </c>
    </row>
    <row r="7" spans="1:1" x14ac:dyDescent="0.3">
      <c r="A7" s="6" t="s">
        <v>126</v>
      </c>
    </row>
    <row r="8" spans="1:1" ht="28.2" customHeight="1" x14ac:dyDescent="0.3">
      <c r="A8" s="14" t="s">
        <v>157</v>
      </c>
    </row>
    <row r="9" spans="1:1" x14ac:dyDescent="0.3">
      <c r="A9" s="6" t="s">
        <v>158</v>
      </c>
    </row>
    <row r="10" spans="1:1" ht="69.599999999999994" customHeight="1" x14ac:dyDescent="0.3">
      <c r="A10" s="14" t="s">
        <v>159</v>
      </c>
    </row>
    <row r="11" spans="1:1" x14ac:dyDescent="0.3">
      <c r="A11" s="6" t="s">
        <v>160</v>
      </c>
    </row>
    <row r="12" spans="1:1" x14ac:dyDescent="0.3">
      <c r="A12" s="14" t="s">
        <v>161</v>
      </c>
    </row>
    <row r="13" spans="1:1" x14ac:dyDescent="0.3">
      <c r="A13" s="6" t="s">
        <v>162</v>
      </c>
    </row>
    <row r="14" spans="1:1" ht="83.4" customHeight="1" x14ac:dyDescent="0.3">
      <c r="A14" s="14" t="s">
        <v>163</v>
      </c>
    </row>
    <row r="15" spans="1:1" x14ac:dyDescent="0.3">
      <c r="A15" s="6" t="s">
        <v>164</v>
      </c>
    </row>
    <row r="16" spans="1:1" x14ac:dyDescent="0.3">
      <c r="A16" s="14" t="s">
        <v>165</v>
      </c>
    </row>
    <row r="17" spans="1:1" x14ac:dyDescent="0.3">
      <c r="A17" s="6" t="s">
        <v>166</v>
      </c>
    </row>
    <row r="18" spans="1:1" ht="28.2" customHeight="1" x14ac:dyDescent="0.3">
      <c r="A18" s="14" t="s">
        <v>167</v>
      </c>
    </row>
    <row r="19" spans="1:1" x14ac:dyDescent="0.3">
      <c r="A19" s="6" t="s">
        <v>168</v>
      </c>
    </row>
    <row r="20" spans="1:1" ht="42" customHeight="1" x14ac:dyDescent="0.3">
      <c r="A20" s="14" t="s">
        <v>169</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6">
    <tabColor rgb="FF0070C0"/>
  </sheetPr>
  <dimension ref="A1:H70"/>
  <sheetViews>
    <sheetView workbookViewId="0"/>
  </sheetViews>
  <sheetFormatPr baseColWidth="10" defaultColWidth="8.88671875" defaultRowHeight="14.4" x14ac:dyDescent="0.3"/>
  <cols>
    <col min="1" max="1" width="57.33203125" bestFit="1" customWidth="1"/>
    <col min="2" max="2" width="39.109375" customWidth="1"/>
    <col min="4" max="4" width="246.109375" bestFit="1" customWidth="1"/>
    <col min="5" max="5" width="36.21875" bestFit="1" customWidth="1"/>
    <col min="6" max="6" width="14.33203125" bestFit="1" customWidth="1"/>
    <col min="7" max="7" width="14" bestFit="1" customWidth="1"/>
  </cols>
  <sheetData>
    <row r="1" spans="1:8" ht="17.399999999999999" customHeight="1" x14ac:dyDescent="0.3">
      <c r="A1" s="28" t="s">
        <v>218</v>
      </c>
      <c r="B1" s="5">
        <v>2025</v>
      </c>
      <c r="C1" s="5"/>
      <c r="D1" s="9" t="s">
        <v>231</v>
      </c>
      <c r="G1" s="5"/>
      <c r="H1" s="5"/>
    </row>
    <row r="2" spans="1:8" x14ac:dyDescent="0.3">
      <c r="A2" s="28" t="s">
        <v>219</v>
      </c>
      <c r="B2" s="5" t="s">
        <v>276</v>
      </c>
      <c r="C2" s="5"/>
      <c r="D2" s="5"/>
      <c r="G2" s="5"/>
      <c r="H2" s="5"/>
    </row>
    <row r="3" spans="1:8" x14ac:dyDescent="0.3">
      <c r="A3" s="28" t="s">
        <v>116</v>
      </c>
      <c r="B3" s="5" t="str">
        <f>B1&amp;"-"&amp;UPPER(B2)</f>
        <v>2025-Q3</v>
      </c>
      <c r="C3" s="5"/>
      <c r="D3" s="5"/>
      <c r="G3" s="5"/>
      <c r="H3" s="5"/>
    </row>
    <row r="4" spans="1:8" x14ac:dyDescent="0.3">
      <c r="A4" s="28" t="s">
        <v>117</v>
      </c>
      <c r="B4" s="5" t="str">
        <f>IF(UPPER($B$2)="Q1",(B1-1)&amp;"-Q3",B1&amp;"-Q"&amp;(VALUE(RIGHT(UPPER($B$2),1))-1))</f>
        <v>2025-Q2</v>
      </c>
      <c r="C4" s="5"/>
      <c r="D4" s="5"/>
      <c r="G4" s="5"/>
      <c r="H4" s="5"/>
    </row>
    <row r="5" spans="1:8" x14ac:dyDescent="0.3">
      <c r="A5" s="28" t="s">
        <v>115</v>
      </c>
      <c r="B5" s="5">
        <f>IFERROR(INDEX(VENTAS!$F$1195:$H$1195,1,MATCH($B$2,{"Q1","Q2","Q3"},0))/INDEX(VENTAS!$C$1195:$E$1195,1,MATCH($B$2,{"Q1","Q2","Q3"},0))-1,0)</f>
        <v>0.17756283537552653</v>
      </c>
      <c r="C5" s="5"/>
      <c r="D5" s="5"/>
      <c r="G5" s="5"/>
      <c r="H5" s="5"/>
    </row>
    <row r="6" spans="1:8" ht="15.6" x14ac:dyDescent="0.3">
      <c r="A6" s="28" t="s">
        <v>220</v>
      </c>
      <c r="B6" s="5"/>
      <c r="C6" s="5"/>
      <c r="D6" s="13" t="s">
        <v>228</v>
      </c>
      <c r="G6" s="5"/>
      <c r="H6" s="5"/>
    </row>
    <row r="7" spans="1:8" ht="15.6" x14ac:dyDescent="0.3">
      <c r="A7" s="5" t="s">
        <v>97</v>
      </c>
      <c r="B7" s="7">
        <v>0.35</v>
      </c>
      <c r="C7" s="5"/>
      <c r="D7" s="13" t="s">
        <v>118</v>
      </c>
      <c r="G7" s="5"/>
      <c r="H7" s="5"/>
    </row>
    <row r="8" spans="1:8" x14ac:dyDescent="0.3">
      <c r="A8" s="5" t="s">
        <v>99</v>
      </c>
      <c r="B8" s="7">
        <v>0.15</v>
      </c>
      <c r="C8" s="5"/>
      <c r="D8" s="5" t="s">
        <v>119</v>
      </c>
      <c r="G8" s="5"/>
      <c r="H8" s="5"/>
    </row>
    <row r="9" spans="1:8" x14ac:dyDescent="0.3">
      <c r="A9" s="5" t="s">
        <v>101</v>
      </c>
      <c r="B9" s="7">
        <v>0.15</v>
      </c>
      <c r="C9" s="5"/>
      <c r="D9" s="5" t="s">
        <v>120</v>
      </c>
    </row>
    <row r="10" spans="1:8" x14ac:dyDescent="0.3">
      <c r="A10" s="5" t="s">
        <v>103</v>
      </c>
      <c r="B10" s="7">
        <v>0.15</v>
      </c>
      <c r="C10" s="5"/>
      <c r="D10" s="5" t="s">
        <v>121</v>
      </c>
    </row>
    <row r="11" spans="1:8" x14ac:dyDescent="0.3">
      <c r="A11" s="5" t="s">
        <v>105</v>
      </c>
      <c r="B11" s="7">
        <v>0.1</v>
      </c>
      <c r="C11" s="5"/>
      <c r="D11" s="5" t="s">
        <v>122</v>
      </c>
    </row>
    <row r="12" spans="1:8" x14ac:dyDescent="0.3">
      <c r="A12" s="5" t="s">
        <v>107</v>
      </c>
      <c r="B12" s="7">
        <v>0.1</v>
      </c>
      <c r="C12" s="5"/>
      <c r="D12" s="5" t="s">
        <v>123</v>
      </c>
      <c r="G12" s="5"/>
      <c r="H12" s="5"/>
    </row>
    <row r="13" spans="1:8" ht="15.6" x14ac:dyDescent="0.3">
      <c r="A13" s="6" t="s">
        <v>96</v>
      </c>
      <c r="B13" s="5"/>
      <c r="C13" s="5"/>
      <c r="D13" s="13" t="s">
        <v>229</v>
      </c>
      <c r="G13" s="5"/>
      <c r="H13" s="5"/>
    </row>
    <row r="14" spans="1:8" x14ac:dyDescent="0.3">
      <c r="A14" s="6" t="s">
        <v>221</v>
      </c>
      <c r="B14" s="5"/>
      <c r="C14" s="5"/>
      <c r="D14" s="5" t="s">
        <v>232</v>
      </c>
      <c r="G14" s="5"/>
      <c r="H14" s="5"/>
    </row>
    <row r="15" spans="1:8" x14ac:dyDescent="0.3">
      <c r="A15" s="5" t="s">
        <v>98</v>
      </c>
      <c r="B15" s="8">
        <v>0</v>
      </c>
      <c r="C15" s="5"/>
      <c r="D15" s="5" t="s">
        <v>230</v>
      </c>
      <c r="E15" s="5"/>
      <c r="H15" s="5"/>
    </row>
    <row r="16" spans="1:8" ht="14.4" customHeight="1" x14ac:dyDescent="0.3">
      <c r="A16" s="5" t="s">
        <v>100</v>
      </c>
      <c r="B16" s="8">
        <v>0.1</v>
      </c>
      <c r="C16" s="5"/>
      <c r="D16" s="5" t="s">
        <v>9</v>
      </c>
      <c r="G16" s="5"/>
      <c r="H16" s="5"/>
    </row>
    <row r="17" spans="1:8" x14ac:dyDescent="0.3">
      <c r="A17" s="5" t="s">
        <v>102</v>
      </c>
      <c r="B17" s="8">
        <v>0.3</v>
      </c>
      <c r="C17" s="5"/>
      <c r="D17" s="5" t="s">
        <v>10</v>
      </c>
      <c r="G17" s="5"/>
      <c r="H17" s="5"/>
    </row>
    <row r="18" spans="1:8" x14ac:dyDescent="0.3">
      <c r="A18" s="5" t="s">
        <v>104</v>
      </c>
      <c r="B18" s="8">
        <v>-0.05</v>
      </c>
      <c r="C18" s="5"/>
      <c r="D18" s="5" t="s">
        <v>11</v>
      </c>
      <c r="F18" s="23"/>
      <c r="G18" s="5"/>
      <c r="H18" s="5"/>
    </row>
    <row r="19" spans="1:8" x14ac:dyDescent="0.3">
      <c r="A19" s="5" t="s">
        <v>108</v>
      </c>
      <c r="B19" s="8">
        <v>0.05</v>
      </c>
      <c r="C19" s="5"/>
      <c r="D19" s="5" t="s">
        <v>12</v>
      </c>
      <c r="H19" s="5"/>
    </row>
    <row r="20" spans="1:8" ht="15.6" x14ac:dyDescent="0.3">
      <c r="A20" s="5" t="s">
        <v>175</v>
      </c>
      <c r="B20" s="8">
        <v>0.7</v>
      </c>
      <c r="C20" s="5"/>
      <c r="D20" s="13" t="s">
        <v>277</v>
      </c>
      <c r="E20" s="5"/>
      <c r="H20" s="5"/>
    </row>
    <row r="21" spans="1:8" x14ac:dyDescent="0.3">
      <c r="A21" s="5" t="s">
        <v>176</v>
      </c>
      <c r="B21" s="8">
        <v>0.3</v>
      </c>
      <c r="C21" s="5"/>
      <c r="E21" s="5"/>
      <c r="H21" s="5"/>
    </row>
    <row r="22" spans="1:8" x14ac:dyDescent="0.3">
      <c r="A22" s="6" t="s">
        <v>222</v>
      </c>
      <c r="B22" s="8"/>
      <c r="C22" s="5"/>
      <c r="D22" s="5"/>
      <c r="E22" s="5"/>
      <c r="H22" s="5"/>
    </row>
    <row r="23" spans="1:8" x14ac:dyDescent="0.3">
      <c r="A23" s="5" t="s">
        <v>106</v>
      </c>
      <c r="B23" s="8">
        <v>0.05</v>
      </c>
      <c r="C23" s="5"/>
      <c r="D23" s="5"/>
      <c r="H23" s="5"/>
    </row>
    <row r="24" spans="1:8" x14ac:dyDescent="0.3">
      <c r="A24" s="6" t="s">
        <v>223</v>
      </c>
      <c r="B24" s="5"/>
      <c r="C24" s="5"/>
      <c r="D24" s="5"/>
      <c r="H24" s="5"/>
    </row>
    <row r="25" spans="1:8" x14ac:dyDescent="0.3">
      <c r="A25" s="5" t="s">
        <v>35</v>
      </c>
      <c r="B25" s="23">
        <v>0.3</v>
      </c>
      <c r="C25" s="5"/>
      <c r="D25" s="5"/>
      <c r="H25" s="5"/>
    </row>
    <row r="26" spans="1:8" x14ac:dyDescent="0.3">
      <c r="A26" s="5" t="s">
        <v>36</v>
      </c>
      <c r="B26" s="23">
        <v>0.25</v>
      </c>
      <c r="C26" s="5"/>
      <c r="D26" s="5"/>
      <c r="H26" s="5"/>
    </row>
    <row r="27" spans="1:8" x14ac:dyDescent="0.3">
      <c r="A27" s="5" t="s">
        <v>59</v>
      </c>
      <c r="B27" s="23">
        <v>0.2</v>
      </c>
      <c r="C27" s="5"/>
      <c r="D27" s="5"/>
      <c r="H27" s="5"/>
    </row>
    <row r="28" spans="1:8" x14ac:dyDescent="0.3">
      <c r="A28" s="5" t="s">
        <v>109</v>
      </c>
      <c r="B28" s="5">
        <v>30</v>
      </c>
      <c r="C28" s="5"/>
      <c r="D28" s="5"/>
      <c r="H28" s="5"/>
    </row>
    <row r="29" spans="1:8" x14ac:dyDescent="0.3">
      <c r="A29" s="5" t="s">
        <v>39</v>
      </c>
      <c r="B29" s="23">
        <v>0.15</v>
      </c>
      <c r="C29" s="5"/>
      <c r="D29" s="5"/>
      <c r="H29" s="5"/>
    </row>
    <row r="30" spans="1:8" x14ac:dyDescent="0.3">
      <c r="A30" s="6" t="s">
        <v>224</v>
      </c>
      <c r="B30" s="5"/>
      <c r="C30" s="5"/>
      <c r="D30" s="5"/>
      <c r="H30" s="5"/>
    </row>
    <row r="31" spans="1:8" x14ac:dyDescent="0.3">
      <c r="A31" s="5" t="s">
        <v>42</v>
      </c>
      <c r="B31" s="23">
        <v>0.1</v>
      </c>
      <c r="C31" s="5"/>
      <c r="D31" s="5"/>
      <c r="H31" s="5"/>
    </row>
    <row r="32" spans="1:8" x14ac:dyDescent="0.3">
      <c r="A32" s="5" t="s">
        <v>178</v>
      </c>
      <c r="B32" s="5">
        <v>40</v>
      </c>
      <c r="C32" s="5"/>
      <c r="D32" s="5"/>
      <c r="F32" s="23"/>
      <c r="H32" s="5"/>
    </row>
    <row r="33" spans="1:8" x14ac:dyDescent="0.3">
      <c r="A33" s="5" t="s">
        <v>179</v>
      </c>
      <c r="B33" s="5">
        <v>30</v>
      </c>
      <c r="C33" s="5"/>
      <c r="D33" s="5"/>
      <c r="F33" s="5"/>
      <c r="H33" s="5"/>
    </row>
    <row r="34" spans="1:8" x14ac:dyDescent="0.3">
      <c r="A34" s="5" t="s">
        <v>180</v>
      </c>
      <c r="B34" s="5">
        <v>20</v>
      </c>
      <c r="C34" s="5"/>
      <c r="D34" s="5"/>
      <c r="F34" s="5"/>
      <c r="H34" s="5"/>
    </row>
    <row r="35" spans="1:8" x14ac:dyDescent="0.3">
      <c r="A35" s="5" t="s">
        <v>181</v>
      </c>
      <c r="B35" s="5">
        <v>10</v>
      </c>
      <c r="C35" s="5"/>
      <c r="D35" s="5"/>
      <c r="F35" s="5"/>
      <c r="H35" s="5"/>
    </row>
    <row r="36" spans="1:8" x14ac:dyDescent="0.3">
      <c r="A36" s="5" t="s">
        <v>110</v>
      </c>
      <c r="B36" s="5">
        <v>1.2</v>
      </c>
      <c r="C36" s="5"/>
      <c r="D36" s="5"/>
      <c r="F36" s="5"/>
      <c r="H36" s="5"/>
    </row>
    <row r="37" spans="1:8" x14ac:dyDescent="0.3">
      <c r="A37" s="5" t="s">
        <v>111</v>
      </c>
      <c r="B37" s="5">
        <v>1.1499999999999999</v>
      </c>
      <c r="C37" s="5"/>
      <c r="D37" s="5"/>
      <c r="F37" s="5"/>
      <c r="H37" s="5"/>
    </row>
    <row r="38" spans="1:8" x14ac:dyDescent="0.3">
      <c r="A38" s="5" t="s">
        <v>112</v>
      </c>
      <c r="B38" s="5">
        <v>1.1000000000000001</v>
      </c>
      <c r="C38" s="5"/>
      <c r="D38" s="5"/>
      <c r="F38" s="5"/>
      <c r="H38" s="5"/>
    </row>
    <row r="39" spans="1:8" x14ac:dyDescent="0.3">
      <c r="A39" s="5" t="s">
        <v>113</v>
      </c>
      <c r="B39" s="5">
        <v>1</v>
      </c>
      <c r="C39" s="5"/>
      <c r="D39" s="5"/>
      <c r="F39" s="5"/>
      <c r="H39" s="5"/>
    </row>
    <row r="40" spans="1:8" x14ac:dyDescent="0.3">
      <c r="A40" s="5" t="s">
        <v>114</v>
      </c>
      <c r="B40" s="5">
        <v>0.7</v>
      </c>
      <c r="C40" s="5"/>
      <c r="D40" s="5"/>
      <c r="F40" s="5"/>
      <c r="H40" s="5"/>
    </row>
    <row r="41" spans="1:8" x14ac:dyDescent="0.3">
      <c r="A41" s="6" t="s">
        <v>225</v>
      </c>
      <c r="B41" s="5"/>
      <c r="C41" s="5"/>
      <c r="D41" s="5"/>
      <c r="F41" s="5"/>
      <c r="H41" s="5"/>
    </row>
    <row r="42" spans="1:8" x14ac:dyDescent="0.3">
      <c r="A42" s="5" t="s">
        <v>226</v>
      </c>
      <c r="B42" s="5"/>
      <c r="C42" s="5"/>
      <c r="D42" s="5"/>
      <c r="F42" s="5"/>
      <c r="H42" s="5"/>
    </row>
    <row r="43" spans="1:8" x14ac:dyDescent="0.3">
      <c r="A43" s="6" t="s">
        <v>227</v>
      </c>
      <c r="B43" s="5"/>
      <c r="C43" s="5"/>
      <c r="D43" s="5"/>
      <c r="F43" s="5"/>
      <c r="H43" s="5"/>
    </row>
    <row r="44" spans="1:8" x14ac:dyDescent="0.3">
      <c r="A44" s="5" t="s">
        <v>192</v>
      </c>
      <c r="B44" s="25">
        <v>4</v>
      </c>
      <c r="C44" s="5"/>
      <c r="D44" s="5"/>
      <c r="F44" s="5"/>
      <c r="H44" s="5"/>
    </row>
    <row r="45" spans="1:8" x14ac:dyDescent="0.3">
      <c r="A45" s="5" t="s">
        <v>183</v>
      </c>
      <c r="B45" s="5">
        <f>IFERROR(AVERAGE(INDEX(PIVOT_HIST!$C:$C,MAX(5,MATCH("Total general",PIVOT_HIST!$A:$A,0)-MAX(1,$B$44))):INDEX(PIVOT_HIST!$C:$C,MATCH("Total general",PIVOT_HIST!$A:$A,0)-1)),0)</f>
        <v>95.274303318400442</v>
      </c>
      <c r="C45" s="5"/>
      <c r="D45" s="5"/>
      <c r="F45" s="5"/>
      <c r="H45" s="5"/>
    </row>
    <row r="46" spans="1:8" x14ac:dyDescent="0.3">
      <c r="A46" s="5" t="s">
        <v>184</v>
      </c>
      <c r="B46" s="5">
        <f>IFERROR(AVERAGE(INDEX(PIVOT_HIST!$D:$D,MAX(5,MATCH("Total general",PIVOT_HIST!$A:$A,0)-MAX(1,$B$44))):INDEX(PIVOT_HIST!$D:$D,MATCH("Total general",PIVOT_HIST!$A:$A,0)-1)),0)</f>
        <v>86.005796030958834</v>
      </c>
      <c r="C46" s="5"/>
      <c r="D46" s="5"/>
      <c r="F46" s="5"/>
      <c r="H46" s="5"/>
    </row>
    <row r="47" spans="1:8" x14ac:dyDescent="0.3">
      <c r="A47" s="5" t="s">
        <v>185</v>
      </c>
      <c r="B47" s="5">
        <f>IFERROR(AVERAGE(INDEX(PIVOT_HIST!$E:$E,MAX(5,MATCH("Total general",PIVOT_HIST!$A:$A,0)-MAX(1,$B$44))):INDEX(PIVOT_HIST!$E:$E,MATCH("Total general",PIVOT_HIST!$A:$A,0)-1)),0)</f>
        <v>63.199193273331495</v>
      </c>
      <c r="C47" s="5"/>
      <c r="D47" s="5"/>
      <c r="F47" s="5"/>
      <c r="H47" s="5"/>
    </row>
    <row r="48" spans="1:8" x14ac:dyDescent="0.3">
      <c r="A48" s="5" t="s">
        <v>186</v>
      </c>
      <c r="B48" s="5">
        <f>IFERROR(AVERAGE(INDEX(PIVOT_HIST!$F:$F,MAX(5,MATCH("Total general",PIVOT_HIST!$A:$A,0)-MAX(1,$B$44))):INDEX(PIVOT_HIST!$F:$F,MATCH("Total general",PIVOT_HIST!$A:$A,0)-1)),0)</f>
        <v>24.506573482968111</v>
      </c>
      <c r="C48" s="5"/>
      <c r="D48" s="5"/>
      <c r="F48" s="5"/>
      <c r="H48" s="5"/>
    </row>
    <row r="49" spans="1:8" x14ac:dyDescent="0.3">
      <c r="A49" s="5" t="s">
        <v>187</v>
      </c>
      <c r="B49" s="5">
        <v>1</v>
      </c>
      <c r="C49" s="5"/>
      <c r="D49" s="5"/>
      <c r="F49" s="5"/>
      <c r="H49" s="5"/>
    </row>
    <row r="50" spans="1:8" x14ac:dyDescent="0.3">
      <c r="A50" s="5" t="s">
        <v>188</v>
      </c>
      <c r="B50" s="23">
        <v>0.95</v>
      </c>
      <c r="C50" s="5"/>
      <c r="D50" s="5"/>
      <c r="F50" s="5"/>
      <c r="H50" s="5"/>
    </row>
    <row r="51" spans="1:8" x14ac:dyDescent="0.3">
      <c r="A51" s="5" t="s">
        <v>189</v>
      </c>
      <c r="B51" s="23">
        <v>0.8</v>
      </c>
      <c r="C51" s="5"/>
      <c r="D51" s="5"/>
      <c r="E51" s="5"/>
      <c r="F51" s="5"/>
      <c r="H51" s="5"/>
    </row>
    <row r="52" spans="1:8" x14ac:dyDescent="0.3">
      <c r="A52" s="5" t="s">
        <v>190</v>
      </c>
      <c r="B52" s="23">
        <v>0.5</v>
      </c>
      <c r="C52" s="5"/>
      <c r="D52" s="5"/>
      <c r="E52" s="5"/>
      <c r="F52" s="5"/>
      <c r="H52" s="5"/>
    </row>
    <row r="53" spans="1:8" x14ac:dyDescent="0.3">
      <c r="A53" s="5" t="s">
        <v>191</v>
      </c>
      <c r="B53" s="23">
        <v>0.2</v>
      </c>
      <c r="C53" s="5"/>
      <c r="D53" s="5"/>
      <c r="E53" s="5"/>
      <c r="F53" s="5"/>
      <c r="H53" s="5"/>
    </row>
    <row r="54" spans="1:8" x14ac:dyDescent="0.3">
      <c r="A54" s="5" t="s">
        <v>193</v>
      </c>
      <c r="B54" s="23">
        <v>0</v>
      </c>
      <c r="C54" s="5"/>
      <c r="D54" s="5"/>
      <c r="E54" s="5"/>
      <c r="F54" s="5"/>
      <c r="G54" s="5"/>
      <c r="H54" s="5"/>
    </row>
    <row r="55" spans="1:8" x14ac:dyDescent="0.3">
      <c r="C55" s="5"/>
      <c r="D55" s="5"/>
      <c r="E55" s="5"/>
      <c r="F55" s="5"/>
      <c r="G55" s="5"/>
      <c r="H55" s="5"/>
    </row>
    <row r="56" spans="1:8" x14ac:dyDescent="0.3">
      <c r="A56" s="5"/>
      <c r="B56" s="5"/>
      <c r="C56" s="5"/>
      <c r="D56" s="5"/>
      <c r="E56" s="5"/>
      <c r="F56" s="5"/>
      <c r="G56" s="5"/>
      <c r="H56" s="5"/>
    </row>
    <row r="57" spans="1:8" ht="15.6" customHeight="1" x14ac:dyDescent="0.3">
      <c r="B57" s="5"/>
      <c r="C57" s="5"/>
      <c r="D57" s="5"/>
      <c r="E57" s="5"/>
      <c r="F57" s="5"/>
      <c r="G57" s="5"/>
      <c r="H57" s="5"/>
    </row>
    <row r="58" spans="1:8" x14ac:dyDescent="0.3">
      <c r="A58" s="5"/>
      <c r="B58" s="5"/>
      <c r="C58" s="5"/>
      <c r="D58" s="5"/>
      <c r="E58" s="5"/>
      <c r="F58" s="5"/>
      <c r="G58" s="5"/>
      <c r="H58" s="5"/>
    </row>
    <row r="59" spans="1:8" x14ac:dyDescent="0.3">
      <c r="A59" s="5"/>
      <c r="B59" s="5"/>
      <c r="C59" s="5"/>
      <c r="D59" s="5"/>
      <c r="E59" s="5"/>
      <c r="F59" s="5"/>
      <c r="G59" s="5"/>
      <c r="H59" s="5"/>
    </row>
    <row r="60" spans="1:8" x14ac:dyDescent="0.3">
      <c r="A60" s="5"/>
      <c r="B60" s="5"/>
      <c r="C60" s="5"/>
      <c r="D60" s="5"/>
      <c r="E60" s="5"/>
      <c r="F60" s="5"/>
      <c r="G60" s="5"/>
      <c r="H60" s="5"/>
    </row>
    <row r="61" spans="1:8" ht="15.6" customHeight="1" x14ac:dyDescent="0.3">
      <c r="B61" s="5"/>
      <c r="C61" s="5"/>
      <c r="D61" s="5"/>
      <c r="E61" s="5"/>
      <c r="F61" s="5"/>
      <c r="G61" s="5"/>
      <c r="H61" s="5"/>
    </row>
    <row r="62" spans="1:8" x14ac:dyDescent="0.3">
      <c r="B62" s="5"/>
      <c r="C62" s="5"/>
      <c r="D62" s="5"/>
      <c r="E62" s="5"/>
      <c r="F62" s="5"/>
      <c r="G62" s="5"/>
      <c r="H62" s="5"/>
    </row>
    <row r="63" spans="1:8" x14ac:dyDescent="0.3">
      <c r="B63" s="5"/>
      <c r="C63" s="5"/>
      <c r="D63" s="5"/>
      <c r="E63" s="5"/>
      <c r="F63" s="5"/>
      <c r="G63" s="5"/>
      <c r="H63" s="5"/>
    </row>
    <row r="64" spans="1:8" x14ac:dyDescent="0.3">
      <c r="B64" s="5"/>
      <c r="C64" s="5"/>
      <c r="D64" s="5"/>
      <c r="E64" s="5"/>
      <c r="F64" s="5"/>
      <c r="G64" s="5"/>
      <c r="H64" s="5"/>
    </row>
    <row r="65" spans="1:8" x14ac:dyDescent="0.3">
      <c r="B65" s="5"/>
      <c r="C65" s="5"/>
      <c r="D65" s="5"/>
      <c r="E65" s="5"/>
      <c r="F65" s="5"/>
      <c r="G65" s="5"/>
      <c r="H65" s="5"/>
    </row>
    <row r="66" spans="1:8" x14ac:dyDescent="0.3">
      <c r="B66" s="5"/>
      <c r="C66" s="5"/>
      <c r="D66" s="5"/>
      <c r="E66" s="5"/>
      <c r="F66" s="5"/>
      <c r="G66" s="5"/>
      <c r="H66" s="5"/>
    </row>
    <row r="67" spans="1:8" x14ac:dyDescent="0.3">
      <c r="B67" s="5"/>
      <c r="C67" s="5"/>
      <c r="D67" s="5"/>
      <c r="E67" s="5"/>
      <c r="F67" s="5"/>
      <c r="G67" s="5"/>
      <c r="H67" s="5"/>
    </row>
    <row r="68" spans="1:8" x14ac:dyDescent="0.3">
      <c r="B68" s="5"/>
      <c r="C68" s="5"/>
      <c r="D68" s="5"/>
      <c r="E68" s="5"/>
      <c r="F68" s="5"/>
      <c r="G68" s="5"/>
      <c r="H68" s="5"/>
    </row>
    <row r="69" spans="1:8" x14ac:dyDescent="0.3">
      <c r="A69" s="5"/>
      <c r="B69" s="5"/>
      <c r="C69" s="5"/>
      <c r="D69" s="5"/>
      <c r="E69" s="5"/>
      <c r="F69" s="5"/>
      <c r="G69" s="5"/>
      <c r="H69" s="5"/>
    </row>
    <row r="70" spans="1:8" x14ac:dyDescent="0.3">
      <c r="A70" s="5"/>
      <c r="B70" s="5"/>
      <c r="C70" s="5"/>
      <c r="D70" s="5"/>
      <c r="E70" s="5"/>
      <c r="F70" s="5"/>
      <c r="G70" s="5"/>
      <c r="H70" s="5"/>
    </row>
  </sheetData>
  <pageMargins left="0.75" right="0.75" top="1" bottom="1" header="0.5" footer="0.5"/>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GuardarSnapshotActual">
                <anchor moveWithCells="1" sizeWithCells="1">
                  <from>
                    <xdr:col>3</xdr:col>
                    <xdr:colOff>38100</xdr:colOff>
                    <xdr:row>1</xdr:row>
                    <xdr:rowOff>22860</xdr:rowOff>
                  </from>
                  <to>
                    <xdr:col>3</xdr:col>
                    <xdr:colOff>3627120</xdr:colOff>
                    <xdr:row>4</xdr:row>
                    <xdr:rowOff>7620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CA456-869C-47C2-96A2-A0F3FF246FB0}">
  <sheetPr>
    <tabColor theme="9" tint="-0.249977111117893"/>
  </sheetPr>
  <dimension ref="A1:F8"/>
  <sheetViews>
    <sheetView workbookViewId="0">
      <selection activeCell="C2" sqref="C2"/>
    </sheetView>
  </sheetViews>
  <sheetFormatPr baseColWidth="10" defaultRowHeight="14.4" x14ac:dyDescent="0.3"/>
  <cols>
    <col min="1" max="1" width="13.21875" bestFit="1" customWidth="1"/>
    <col min="2" max="2" width="30.21875" bestFit="1" customWidth="1"/>
  </cols>
  <sheetData>
    <row r="1" spans="1:6" x14ac:dyDescent="0.3">
      <c r="A1" s="24" t="s">
        <v>142</v>
      </c>
      <c r="B1" t="s">
        <v>195</v>
      </c>
      <c r="C1" t="s">
        <v>196</v>
      </c>
      <c r="D1" t="s">
        <v>197</v>
      </c>
      <c r="E1" t="s">
        <v>198</v>
      </c>
      <c r="F1" t="s">
        <v>199</v>
      </c>
    </row>
    <row r="2" spans="1:6" x14ac:dyDescent="0.3">
      <c r="A2" t="s">
        <v>145</v>
      </c>
      <c r="B2">
        <v>60.442617126350349</v>
      </c>
      <c r="C2">
        <f t="array" ref="C2">IF(A2="","",_xlfn.PERCENTILE.INC(IF((HIST_SCORE!$B$2:$B$10000=A2)*(HIST_SCORE!$E$2:$E$10000&lt;&gt;"CERRADO"),HIST_SCORE!$D$2:$D$10000),PARAMS_MODELO!$B$50))</f>
        <v>94.525852466269768</v>
      </c>
      <c r="D2">
        <f t="array" ref="D2">IF(A2="","",_xlfn.PERCENTILE.INC(IF((HIST_SCORE!$B$2:$B$10000=A2)*(HIST_SCORE!$E$2:$E$10000&lt;&gt;"CERRADO"),HIST_SCORE!$D$2:$D$10000),PARAMS_MODELO!$B$51))</f>
        <v>85.626834047630041</v>
      </c>
      <c r="E2">
        <f t="array" ref="E2">IF(A2="","",_xlfn.PERCENTILE.INC(IF((HIST_SCORE!$B$2:$B$10000=A2)*(HIST_SCORE!$E$2:$E$10000&lt;&gt;"CERRADO"),HIST_SCORE!$D$2:$D$10000),PARAMS_MODELO!$B$52))</f>
        <v>65.919324080180374</v>
      </c>
      <c r="F2">
        <f t="array" ref="F2">IF(A2="","",_xlfn.PERCENTILE.INC(IF((HIST_SCORE!$B$2:$B$10000=A2)*(HIST_SCORE!$E$2:$E$10000&lt;&gt;"CERRADO"),HIST_SCORE!$D$2:$D$10000),PARAMS_MODELO!$B$53))</f>
        <v>28.97590355208705</v>
      </c>
    </row>
    <row r="3" spans="1:6" x14ac:dyDescent="0.3">
      <c r="A3" t="s">
        <v>146</v>
      </c>
      <c r="B3">
        <v>58.843839362034657</v>
      </c>
      <c r="C3">
        <f t="array" ref="C3">IF(A3="","",_xlfn.PERCENTILE.INC(IF((HIST_SCORE!$B$2:$B$10000=A3)*(HIST_SCORE!$E$2:$E$10000&lt;&gt;"CERRADO"),HIST_SCORE!$D$2:$D$10000),PARAMS_MODELO!$B$50))</f>
        <v>95.242137794464909</v>
      </c>
      <c r="D3">
        <f t="array" ref="D3">IF(A3="","",_xlfn.PERCENTILE.INC(IF((HIST_SCORE!$B$2:$B$10000=A3)*(HIST_SCORE!$E$2:$E$10000&lt;&gt;"CERRADO"),HIST_SCORE!$D$2:$D$10000),PARAMS_MODELO!$B$51))</f>
        <v>85.951430171483182</v>
      </c>
      <c r="E3">
        <f t="array" ref="E3">IF(A3="","",_xlfn.PERCENTILE.INC(IF((HIST_SCORE!$B$2:$B$10000=A3)*(HIST_SCORE!$E$2:$E$10000&lt;&gt;"CERRADO"),HIST_SCORE!$D$2:$D$10000),PARAMS_MODELO!$B$52))</f>
        <v>62.696431713580537</v>
      </c>
      <c r="F3">
        <f t="array" ref="F3">IF(A3="","",_xlfn.PERCENTILE.INC(IF((HIST_SCORE!$B$2:$B$10000=A3)*(HIST_SCORE!$E$2:$E$10000&lt;&gt;"CERRADO"),HIST_SCORE!$D$2:$D$10000),PARAMS_MODELO!$B$53))</f>
        <v>22.975763174446644</v>
      </c>
    </row>
    <row r="4" spans="1:6" x14ac:dyDescent="0.3">
      <c r="A4" t="s">
        <v>147</v>
      </c>
      <c r="B4">
        <v>56.868886929486962</v>
      </c>
      <c r="C4">
        <f t="array" ref="C4">IF(A4="","",_xlfn.PERCENTILE.INC(IF((HIST_SCORE!$B$2:$B$10000=A4)*(HIST_SCORE!$E$2:$E$10000&lt;&gt;"CERRADO"),HIST_SCORE!$D$2:$D$10000),PARAMS_MODELO!$B$50))</f>
        <v>96.054919694466676</v>
      </c>
      <c r="D4">
        <f t="array" ref="D4">IF(A4="","",_xlfn.PERCENTILE.INC(IF((HIST_SCORE!$B$2:$B$10000=A4)*(HIST_SCORE!$E$2:$E$10000&lt;&gt;"CERRADO"),HIST_SCORE!$D$2:$D$10000),PARAMS_MODELO!$B$51))</f>
        <v>86.439123873763251</v>
      </c>
      <c r="E4">
        <f t="array" ref="E4">IF(A4="","",_xlfn.PERCENTILE.INC(IF((HIST_SCORE!$B$2:$B$10000=A4)*(HIST_SCORE!$E$2:$E$10000&lt;&gt;"CERRADO"),HIST_SCORE!$D$2:$D$10000),PARAMS_MODELO!$B$52))</f>
        <v>60.981824026233561</v>
      </c>
      <c r="F4">
        <f t="array" ref="F4">IF(A4="","",_xlfn.PERCENTILE.INC(IF((HIST_SCORE!$B$2:$B$10000=A4)*(HIST_SCORE!$E$2:$E$10000&lt;&gt;"CERRADO"),HIST_SCORE!$D$2:$D$10000),PARAMS_MODELO!$B$53))</f>
        <v>21.568053722370635</v>
      </c>
    </row>
    <row r="5" spans="1:6" x14ac:dyDescent="0.3">
      <c r="A5" t="s">
        <v>148</v>
      </c>
      <c r="B5">
        <v>60.442617126350349</v>
      </c>
      <c r="C5">
        <f t="array" ref="C5">IF(A5="","",_xlfn.PERCENTILE.INC(IF((HIST_SCORE!$B$2:$B$10000=A5)*(HIST_SCORE!$E$2:$E$10000&lt;&gt;"CERRADO"),HIST_SCORE!$D$2:$D$10000),PARAMS_MODELO!$B$50))</f>
        <v>94.525852466269768</v>
      </c>
      <c r="D5">
        <f t="array" ref="D5">IF(A5="","",_xlfn.PERCENTILE.INC(IF((HIST_SCORE!$B$2:$B$10000=A5)*(HIST_SCORE!$E$2:$E$10000&lt;&gt;"CERRADO"),HIST_SCORE!$D$2:$D$10000),PARAMS_MODELO!$B$51))</f>
        <v>85.626834047630041</v>
      </c>
      <c r="E5">
        <f t="array" ref="E5">IF(A5="","",_xlfn.PERCENTILE.INC(IF((HIST_SCORE!$B$2:$B$10000=A5)*(HIST_SCORE!$E$2:$E$10000&lt;&gt;"CERRADO"),HIST_SCORE!$D$2:$D$10000),PARAMS_MODELO!$B$52))</f>
        <v>65.919324080180374</v>
      </c>
      <c r="F5">
        <f t="array" ref="F5">IF(A5="","",_xlfn.PERCENTILE.INC(IF((HIST_SCORE!$B$2:$B$10000=A5)*(HIST_SCORE!$E$2:$E$10000&lt;&gt;"CERRADO"),HIST_SCORE!$D$2:$D$10000),PARAMS_MODELO!$B$53))</f>
        <v>28.97590355208705</v>
      </c>
    </row>
    <row r="6" spans="1:6" x14ac:dyDescent="0.3">
      <c r="A6" t="s">
        <v>149</v>
      </c>
      <c r="B6">
        <v>58.843839362034657</v>
      </c>
      <c r="C6">
        <f t="array" ref="C6">IF(A6="","",_xlfn.PERCENTILE.INC(IF((HIST_SCORE!$B$2:$B$10000=A6)*(HIST_SCORE!$E$2:$E$10000&lt;&gt;"CERRADO"),HIST_SCORE!$D$2:$D$10000),PARAMS_MODELO!$B$50))</f>
        <v>95.242137794464909</v>
      </c>
      <c r="D6">
        <f t="array" ref="D6">IF(A6="","",_xlfn.PERCENTILE.INC(IF((HIST_SCORE!$B$2:$B$10000=A6)*(HIST_SCORE!$E$2:$E$10000&lt;&gt;"CERRADO"),HIST_SCORE!$D$2:$D$10000),PARAMS_MODELO!$B$51))</f>
        <v>85.951430171483182</v>
      </c>
      <c r="E6">
        <f t="array" ref="E6">IF(A6="","",_xlfn.PERCENTILE.INC(IF((HIST_SCORE!$B$2:$B$10000=A6)*(HIST_SCORE!$E$2:$E$10000&lt;&gt;"CERRADO"),HIST_SCORE!$D$2:$D$10000),PARAMS_MODELO!$B$52))</f>
        <v>62.696431713580537</v>
      </c>
      <c r="F6">
        <f t="array" ref="F6">IF(A6="","",_xlfn.PERCENTILE.INC(IF((HIST_SCORE!$B$2:$B$10000=A6)*(HIST_SCORE!$E$2:$E$10000&lt;&gt;"CERRADO"),HIST_SCORE!$D$2:$D$10000),PARAMS_MODELO!$B$53))</f>
        <v>22.975763174446644</v>
      </c>
    </row>
    <row r="7" spans="1:6" x14ac:dyDescent="0.3">
      <c r="A7" t="s">
        <v>150</v>
      </c>
      <c r="B7">
        <v>56.868886929486962</v>
      </c>
      <c r="C7">
        <f t="array" ref="C7">IF(A7="","",_xlfn.PERCENTILE.INC(IF((HIST_SCORE!$B$2:$B$10000=A7)*(HIST_SCORE!$E$2:$E$10000&lt;&gt;"CERRADO"),HIST_SCORE!$D$2:$D$10000),PARAMS_MODELO!$B$50))</f>
        <v>96.054919694466676</v>
      </c>
      <c r="D7">
        <f t="array" ref="D7">IF(A7="","",_xlfn.PERCENTILE.INC(IF((HIST_SCORE!$B$2:$B$10000=A7)*(HIST_SCORE!$E$2:$E$10000&lt;&gt;"CERRADO"),HIST_SCORE!$D$2:$D$10000),PARAMS_MODELO!$B$51))</f>
        <v>86.439123873763251</v>
      </c>
      <c r="E7">
        <f t="array" ref="E7">IF(A7="","",_xlfn.PERCENTILE.INC(IF((HIST_SCORE!$B$2:$B$10000=A7)*(HIST_SCORE!$E$2:$E$10000&lt;&gt;"CERRADO"),HIST_SCORE!$D$2:$D$10000),PARAMS_MODELO!$B$52))</f>
        <v>60.981824026233561</v>
      </c>
      <c r="F7">
        <f t="array" ref="F7">IF(A7="","",_xlfn.PERCENTILE.INC(IF((HIST_SCORE!$B$2:$B$10000=A7)*(HIST_SCORE!$E$2:$E$10000&lt;&gt;"CERRADO"),HIST_SCORE!$D$2:$D$10000),PARAMS_MODELO!$B$53))</f>
        <v>21.568053722370635</v>
      </c>
    </row>
    <row r="8" spans="1:6" x14ac:dyDescent="0.3">
      <c r="A8" t="s">
        <v>194</v>
      </c>
      <c r="B8">
        <v>58.718447805957219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8">
    <tabColor theme="9" tint="-0.249977111117893"/>
  </sheetPr>
  <dimension ref="A1:G8352"/>
  <sheetViews>
    <sheetView workbookViewId="0"/>
  </sheetViews>
  <sheetFormatPr baseColWidth="10" defaultColWidth="8.88671875" defaultRowHeight="14.4" x14ac:dyDescent="0.3"/>
  <cols>
    <col min="1" max="1" width="6" bestFit="1" customWidth="1"/>
    <col min="2" max="2" width="11" bestFit="1" customWidth="1"/>
    <col min="3" max="3" width="9" bestFit="1" customWidth="1"/>
    <col min="4" max="4" width="12" bestFit="1" customWidth="1"/>
    <col min="7" max="7" width="14.5546875" bestFit="1" customWidth="1"/>
  </cols>
  <sheetData>
    <row r="1" spans="1:7" ht="28.8" customHeight="1" x14ac:dyDescent="0.3">
      <c r="A1" s="2" t="s">
        <v>141</v>
      </c>
      <c r="B1" s="2" t="s">
        <v>142</v>
      </c>
      <c r="C1" s="2" t="s">
        <v>90</v>
      </c>
      <c r="D1" s="2" t="s">
        <v>139</v>
      </c>
      <c r="E1" s="2" t="s">
        <v>52</v>
      </c>
      <c r="F1" s="2" t="s">
        <v>143</v>
      </c>
      <c r="G1" s="2" t="s">
        <v>144</v>
      </c>
    </row>
    <row r="2" spans="1:7" x14ac:dyDescent="0.3">
      <c r="A2">
        <v>1</v>
      </c>
      <c r="B2" t="s">
        <v>145</v>
      </c>
      <c r="C2">
        <v>51015525</v>
      </c>
      <c r="D2">
        <v>60.003597842036974</v>
      </c>
      <c r="E2" t="s">
        <v>94</v>
      </c>
      <c r="F2">
        <v>668</v>
      </c>
      <c r="G2" s="4">
        <v>46087.591064814813</v>
      </c>
    </row>
    <row r="3" spans="1:7" x14ac:dyDescent="0.3">
      <c r="A3">
        <v>2</v>
      </c>
      <c r="B3" t="s">
        <v>145</v>
      </c>
      <c r="C3">
        <v>51017790</v>
      </c>
      <c r="D3">
        <v>65.214932272628928</v>
      </c>
      <c r="E3" t="s">
        <v>94</v>
      </c>
      <c r="F3">
        <v>603</v>
      </c>
      <c r="G3" s="4">
        <v>46087.591064814813</v>
      </c>
    </row>
    <row r="4" spans="1:7" x14ac:dyDescent="0.3">
      <c r="A4">
        <v>3</v>
      </c>
      <c r="B4" t="s">
        <v>145</v>
      </c>
      <c r="C4">
        <v>51023871</v>
      </c>
      <c r="D4">
        <v>79.04483109119893</v>
      </c>
      <c r="E4" t="s">
        <v>93</v>
      </c>
      <c r="F4">
        <v>428</v>
      </c>
      <c r="G4" s="4">
        <v>46087.591064814813</v>
      </c>
    </row>
    <row r="5" spans="1:7" x14ac:dyDescent="0.3">
      <c r="A5">
        <v>4</v>
      </c>
      <c r="B5" t="s">
        <v>145</v>
      </c>
      <c r="C5">
        <v>51019601</v>
      </c>
      <c r="D5">
        <v>80.743816584963355</v>
      </c>
      <c r="E5" t="s">
        <v>93</v>
      </c>
      <c r="F5">
        <v>385</v>
      </c>
      <c r="G5" s="4">
        <v>46087.591064814813</v>
      </c>
    </row>
    <row r="6" spans="1:7" x14ac:dyDescent="0.3">
      <c r="A6">
        <v>5</v>
      </c>
      <c r="B6" t="s">
        <v>145</v>
      </c>
      <c r="C6">
        <v>51021983</v>
      </c>
      <c r="D6">
        <v>42.179781183902982</v>
      </c>
      <c r="E6" t="s">
        <v>94</v>
      </c>
      <c r="F6">
        <v>878</v>
      </c>
      <c r="G6" s="4">
        <v>46087.591064814813</v>
      </c>
    </row>
    <row r="7" spans="1:7" x14ac:dyDescent="0.3">
      <c r="A7">
        <v>6</v>
      </c>
      <c r="B7" t="s">
        <v>145</v>
      </c>
      <c r="C7">
        <v>51020201</v>
      </c>
      <c r="D7">
        <v>70.4407942166293</v>
      </c>
      <c r="E7" t="s">
        <v>93</v>
      </c>
      <c r="F7">
        <v>540</v>
      </c>
      <c r="G7" s="4">
        <v>46087.591064814813</v>
      </c>
    </row>
    <row r="8" spans="1:7" x14ac:dyDescent="0.3">
      <c r="A8">
        <v>7</v>
      </c>
      <c r="B8" t="s">
        <v>145</v>
      </c>
      <c r="C8">
        <v>51031296</v>
      </c>
      <c r="D8">
        <v>85.618883906538287</v>
      </c>
      <c r="E8" t="s">
        <v>93</v>
      </c>
      <c r="F8">
        <v>240</v>
      </c>
      <c r="G8" s="4">
        <v>46087.591064814813</v>
      </c>
    </row>
    <row r="9" spans="1:7" x14ac:dyDescent="0.3">
      <c r="A9">
        <v>8</v>
      </c>
      <c r="B9" t="s">
        <v>145</v>
      </c>
      <c r="C9">
        <v>51011864</v>
      </c>
      <c r="D9">
        <v>86.359507630330171</v>
      </c>
      <c r="E9" t="s">
        <v>92</v>
      </c>
      <c r="F9">
        <v>220</v>
      </c>
      <c r="G9" s="4">
        <v>46087.591064814813</v>
      </c>
    </row>
    <row r="10" spans="1:7" x14ac:dyDescent="0.3">
      <c r="A10">
        <v>9</v>
      </c>
      <c r="B10" t="s">
        <v>145</v>
      </c>
      <c r="C10">
        <v>51005945</v>
      </c>
      <c r="D10">
        <v>85.936133490724728</v>
      </c>
      <c r="E10" t="s">
        <v>92</v>
      </c>
      <c r="F10">
        <v>231</v>
      </c>
      <c r="G10" s="4">
        <v>46087.591064814813</v>
      </c>
    </row>
    <row r="11" spans="1:7" x14ac:dyDescent="0.3">
      <c r="A11">
        <v>10</v>
      </c>
      <c r="B11" t="s">
        <v>145</v>
      </c>
      <c r="C11">
        <v>51055586</v>
      </c>
      <c r="D11">
        <v>74.807934268145857</v>
      </c>
      <c r="E11" t="s">
        <v>93</v>
      </c>
      <c r="F11">
        <v>483</v>
      </c>
      <c r="G11" s="4">
        <v>46087.591064814813</v>
      </c>
    </row>
    <row r="12" spans="1:7" x14ac:dyDescent="0.3">
      <c r="A12">
        <v>11</v>
      </c>
      <c r="B12" t="s">
        <v>145</v>
      </c>
      <c r="C12">
        <v>51025458</v>
      </c>
      <c r="D12">
        <v>83.63815029013908</v>
      </c>
      <c r="E12" t="s">
        <v>93</v>
      </c>
      <c r="F12">
        <v>294</v>
      </c>
      <c r="G12" s="4">
        <v>46087.591064814813</v>
      </c>
    </row>
    <row r="13" spans="1:7" x14ac:dyDescent="0.3">
      <c r="A13">
        <v>12</v>
      </c>
      <c r="B13" t="s">
        <v>145</v>
      </c>
      <c r="C13">
        <v>51025709</v>
      </c>
      <c r="D13">
        <v>78.677971470294352</v>
      </c>
      <c r="E13" t="s">
        <v>93</v>
      </c>
      <c r="F13">
        <v>437</v>
      </c>
      <c r="G13" s="4">
        <v>46087.591064814813</v>
      </c>
    </row>
    <row r="14" spans="1:7" x14ac:dyDescent="0.3">
      <c r="A14">
        <v>13</v>
      </c>
      <c r="B14" t="s">
        <v>145</v>
      </c>
      <c r="C14">
        <v>51019709</v>
      </c>
      <c r="D14">
        <v>79.364856670931516</v>
      </c>
      <c r="E14" t="s">
        <v>93</v>
      </c>
      <c r="F14">
        <v>420</v>
      </c>
      <c r="G14" s="4">
        <v>46087.591064814813</v>
      </c>
    </row>
    <row r="15" spans="1:7" x14ac:dyDescent="0.3">
      <c r="A15">
        <v>14</v>
      </c>
      <c r="B15" t="s">
        <v>145</v>
      </c>
      <c r="C15">
        <v>51019377</v>
      </c>
      <c r="D15">
        <v>83.508050693204623</v>
      </c>
      <c r="E15" t="s">
        <v>93</v>
      </c>
      <c r="F15">
        <v>299</v>
      </c>
      <c r="G15" s="4">
        <v>46087.591064814813</v>
      </c>
    </row>
    <row r="16" spans="1:7" x14ac:dyDescent="0.3">
      <c r="A16">
        <v>15</v>
      </c>
      <c r="B16" t="s">
        <v>145</v>
      </c>
      <c r="C16">
        <v>51017447</v>
      </c>
      <c r="D16">
        <v>81.408976359266191</v>
      </c>
      <c r="E16" t="s">
        <v>93</v>
      </c>
      <c r="F16">
        <v>366</v>
      </c>
      <c r="G16" s="4">
        <v>46087.591064814813</v>
      </c>
    </row>
    <row r="17" spans="1:7" x14ac:dyDescent="0.3">
      <c r="A17">
        <v>16</v>
      </c>
      <c r="B17" t="s">
        <v>145</v>
      </c>
      <c r="C17">
        <v>51055721</v>
      </c>
      <c r="D17">
        <v>55.862163470851854</v>
      </c>
      <c r="E17" t="s">
        <v>94</v>
      </c>
      <c r="F17">
        <v>770</v>
      </c>
      <c r="G17" s="4">
        <v>46087.591064814813</v>
      </c>
    </row>
    <row r="18" spans="1:7" x14ac:dyDescent="0.3">
      <c r="A18">
        <v>17</v>
      </c>
      <c r="B18" t="s">
        <v>145</v>
      </c>
      <c r="C18">
        <v>51023064</v>
      </c>
      <c r="D18">
        <v>90.337237003110886</v>
      </c>
      <c r="E18" t="s">
        <v>92</v>
      </c>
      <c r="F18">
        <v>116</v>
      </c>
      <c r="G18" s="4">
        <v>46087.591064814813</v>
      </c>
    </row>
    <row r="19" spans="1:7" x14ac:dyDescent="0.3">
      <c r="A19">
        <v>18</v>
      </c>
      <c r="B19" t="s">
        <v>145</v>
      </c>
      <c r="C19">
        <v>51055063</v>
      </c>
      <c r="D19">
        <v>59.357663253420711</v>
      </c>
      <c r="E19" t="s">
        <v>94</v>
      </c>
      <c r="F19">
        <v>682</v>
      </c>
      <c r="G19" s="4">
        <v>46087.591064814813</v>
      </c>
    </row>
    <row r="20" spans="1:7" x14ac:dyDescent="0.3">
      <c r="A20">
        <v>19</v>
      </c>
      <c r="B20" t="s">
        <v>145</v>
      </c>
      <c r="C20">
        <v>51024893</v>
      </c>
      <c r="D20">
        <v>45.833265436866881</v>
      </c>
      <c r="E20" t="s">
        <v>94</v>
      </c>
      <c r="F20">
        <v>861</v>
      </c>
      <c r="G20" s="4">
        <v>46087.591064814813</v>
      </c>
    </row>
    <row r="21" spans="1:7" x14ac:dyDescent="0.3">
      <c r="A21">
        <v>20</v>
      </c>
      <c r="B21" t="s">
        <v>145</v>
      </c>
      <c r="C21">
        <v>51013638</v>
      </c>
      <c r="D21">
        <v>86.645332735973724</v>
      </c>
      <c r="E21" t="s">
        <v>92</v>
      </c>
      <c r="F21">
        <v>211</v>
      </c>
      <c r="G21" s="4">
        <v>46087.591064814813</v>
      </c>
    </row>
    <row r="22" spans="1:7" x14ac:dyDescent="0.3">
      <c r="A22">
        <v>21</v>
      </c>
      <c r="B22" t="s">
        <v>145</v>
      </c>
      <c r="C22">
        <v>51011015</v>
      </c>
      <c r="D22">
        <v>32.339747366786597</v>
      </c>
      <c r="E22" t="s">
        <v>94</v>
      </c>
      <c r="F22">
        <v>925</v>
      </c>
      <c r="G22" s="4">
        <v>46087.591064814813</v>
      </c>
    </row>
    <row r="23" spans="1:7" x14ac:dyDescent="0.3">
      <c r="A23">
        <v>22</v>
      </c>
      <c r="B23" t="s">
        <v>145</v>
      </c>
      <c r="C23">
        <v>51020758</v>
      </c>
      <c r="D23">
        <v>80.033403654097981</v>
      </c>
      <c r="E23" t="s">
        <v>93</v>
      </c>
      <c r="F23">
        <v>406</v>
      </c>
      <c r="G23" s="4">
        <v>46087.591064814813</v>
      </c>
    </row>
    <row r="24" spans="1:7" x14ac:dyDescent="0.3">
      <c r="A24">
        <v>23</v>
      </c>
      <c r="B24" t="s">
        <v>145</v>
      </c>
      <c r="C24">
        <v>51022734</v>
      </c>
      <c r="D24">
        <v>56.883478736988515</v>
      </c>
      <c r="E24" t="s">
        <v>94</v>
      </c>
      <c r="F24">
        <v>742</v>
      </c>
      <c r="G24" s="4">
        <v>46087.591064814813</v>
      </c>
    </row>
    <row r="25" spans="1:7" x14ac:dyDescent="0.3">
      <c r="A25">
        <v>24</v>
      </c>
      <c r="B25" t="s">
        <v>145</v>
      </c>
      <c r="C25">
        <v>51036034</v>
      </c>
      <c r="D25">
        <v>86.734002305456016</v>
      </c>
      <c r="E25" t="s">
        <v>92</v>
      </c>
      <c r="F25">
        <v>209</v>
      </c>
      <c r="G25" s="4">
        <v>46087.591064814813</v>
      </c>
    </row>
    <row r="26" spans="1:7" x14ac:dyDescent="0.3">
      <c r="A26">
        <v>25</v>
      </c>
      <c r="B26" t="s">
        <v>145</v>
      </c>
      <c r="C26">
        <v>51019954</v>
      </c>
      <c r="D26">
        <v>48.563978840640331</v>
      </c>
      <c r="E26" t="s">
        <v>94</v>
      </c>
      <c r="F26">
        <v>837</v>
      </c>
      <c r="G26" s="4">
        <v>46087.591064814813</v>
      </c>
    </row>
    <row r="27" spans="1:7" x14ac:dyDescent="0.3">
      <c r="A27">
        <v>26</v>
      </c>
      <c r="B27" t="s">
        <v>145</v>
      </c>
      <c r="C27">
        <v>51041895</v>
      </c>
      <c r="D27">
        <v>76.158221934308486</v>
      </c>
      <c r="E27" t="s">
        <v>93</v>
      </c>
      <c r="F27">
        <v>470</v>
      </c>
      <c r="G27" s="4">
        <v>46087.591064814813</v>
      </c>
    </row>
    <row r="28" spans="1:7" x14ac:dyDescent="0.3">
      <c r="A28">
        <v>27</v>
      </c>
      <c r="B28" t="s">
        <v>145</v>
      </c>
      <c r="C28">
        <v>51031075</v>
      </c>
      <c r="D28">
        <v>95.273214391704713</v>
      </c>
      <c r="E28" t="s">
        <v>275</v>
      </c>
      <c r="F28">
        <v>49</v>
      </c>
      <c r="G28" s="4">
        <v>46087.591064814813</v>
      </c>
    </row>
    <row r="29" spans="1:7" x14ac:dyDescent="0.3">
      <c r="A29">
        <v>28</v>
      </c>
      <c r="B29" t="s">
        <v>145</v>
      </c>
      <c r="C29">
        <v>51016815</v>
      </c>
      <c r="D29">
        <v>69.896379558097465</v>
      </c>
      <c r="E29" t="s">
        <v>93</v>
      </c>
      <c r="F29">
        <v>547</v>
      </c>
      <c r="G29" s="4">
        <v>46087.591064814813</v>
      </c>
    </row>
    <row r="30" spans="1:7" x14ac:dyDescent="0.3">
      <c r="A30">
        <v>29</v>
      </c>
      <c r="B30" t="s">
        <v>145</v>
      </c>
      <c r="C30">
        <v>51010761</v>
      </c>
      <c r="D30">
        <v>93.963814765370572</v>
      </c>
      <c r="E30" t="s">
        <v>92</v>
      </c>
      <c r="F30">
        <v>64</v>
      </c>
      <c r="G30" s="4">
        <v>46087.591064814813</v>
      </c>
    </row>
    <row r="31" spans="1:7" x14ac:dyDescent="0.3">
      <c r="A31">
        <v>30</v>
      </c>
      <c r="B31" t="s">
        <v>145</v>
      </c>
      <c r="C31">
        <v>51013301</v>
      </c>
      <c r="D31">
        <v>57.9234431331938</v>
      </c>
      <c r="E31" t="s">
        <v>94</v>
      </c>
      <c r="F31">
        <v>720</v>
      </c>
      <c r="G31" s="4">
        <v>46087.591064814813</v>
      </c>
    </row>
    <row r="32" spans="1:7" x14ac:dyDescent="0.3">
      <c r="A32">
        <v>31</v>
      </c>
      <c r="B32" t="s">
        <v>145</v>
      </c>
      <c r="C32">
        <v>51041933</v>
      </c>
      <c r="D32">
        <v>91.340944906604705</v>
      </c>
      <c r="E32" t="s">
        <v>92</v>
      </c>
      <c r="F32">
        <v>100</v>
      </c>
      <c r="G32" s="4">
        <v>46087.591064814813</v>
      </c>
    </row>
    <row r="33" spans="1:7" x14ac:dyDescent="0.3">
      <c r="A33">
        <v>32</v>
      </c>
      <c r="B33" t="s">
        <v>145</v>
      </c>
      <c r="C33">
        <v>51014006</v>
      </c>
      <c r="D33">
        <v>55.729183886305201</v>
      </c>
      <c r="E33" t="s">
        <v>94</v>
      </c>
      <c r="F33">
        <v>771</v>
      </c>
      <c r="G33" s="4">
        <v>46087.591064814813</v>
      </c>
    </row>
    <row r="34" spans="1:7" x14ac:dyDescent="0.3">
      <c r="A34">
        <v>33</v>
      </c>
      <c r="B34" t="s">
        <v>145</v>
      </c>
      <c r="C34">
        <v>51000111</v>
      </c>
      <c r="D34">
        <v>98.473020724893274</v>
      </c>
      <c r="E34" t="s">
        <v>275</v>
      </c>
      <c r="F34">
        <v>21</v>
      </c>
      <c r="G34" s="4">
        <v>46087.591064814813</v>
      </c>
    </row>
    <row r="35" spans="1:7" x14ac:dyDescent="0.3">
      <c r="A35">
        <v>34</v>
      </c>
      <c r="B35" t="s">
        <v>145</v>
      </c>
      <c r="C35">
        <v>51042735</v>
      </c>
      <c r="D35">
        <v>58.460506609504449</v>
      </c>
      <c r="E35" t="s">
        <v>94</v>
      </c>
      <c r="F35">
        <v>704</v>
      </c>
      <c r="G35" s="4">
        <v>46087.591064814813</v>
      </c>
    </row>
    <row r="36" spans="1:7" x14ac:dyDescent="0.3">
      <c r="A36">
        <v>35</v>
      </c>
      <c r="B36" t="s">
        <v>145</v>
      </c>
      <c r="C36">
        <v>51023218</v>
      </c>
      <c r="D36">
        <v>57.978174104404403</v>
      </c>
      <c r="E36" t="s">
        <v>94</v>
      </c>
      <c r="F36">
        <v>719</v>
      </c>
      <c r="G36" s="4">
        <v>46087.591064814813</v>
      </c>
    </row>
    <row r="37" spans="1:7" x14ac:dyDescent="0.3">
      <c r="A37">
        <v>36</v>
      </c>
      <c r="B37" t="s">
        <v>145</v>
      </c>
      <c r="C37">
        <v>51002776</v>
      </c>
      <c r="D37">
        <v>83.107794988084407</v>
      </c>
      <c r="E37" t="s">
        <v>93</v>
      </c>
      <c r="F37">
        <v>315</v>
      </c>
      <c r="G37" s="4">
        <v>46087.591064814813</v>
      </c>
    </row>
    <row r="38" spans="1:7" x14ac:dyDescent="0.3">
      <c r="A38">
        <v>37</v>
      </c>
      <c r="B38" t="s">
        <v>145</v>
      </c>
      <c r="C38">
        <v>51015541</v>
      </c>
      <c r="D38">
        <v>83.970815740618548</v>
      </c>
      <c r="E38" t="s">
        <v>93</v>
      </c>
      <c r="F38">
        <v>284</v>
      </c>
      <c r="G38" s="4">
        <v>46087.591064814813</v>
      </c>
    </row>
    <row r="39" spans="1:7" x14ac:dyDescent="0.3">
      <c r="A39">
        <v>38</v>
      </c>
      <c r="B39" t="s">
        <v>145</v>
      </c>
      <c r="C39">
        <v>51031890</v>
      </c>
      <c r="D39">
        <v>84.479135883484716</v>
      </c>
      <c r="E39" t="s">
        <v>93</v>
      </c>
      <c r="F39">
        <v>273</v>
      </c>
      <c r="G39" s="4">
        <v>46087.591064814813</v>
      </c>
    </row>
    <row r="40" spans="1:7" x14ac:dyDescent="0.3">
      <c r="A40">
        <v>39</v>
      </c>
      <c r="B40" t="s">
        <v>145</v>
      </c>
      <c r="C40">
        <v>51057058</v>
      </c>
      <c r="D40">
        <v>83.771227197121931</v>
      </c>
      <c r="E40" t="s">
        <v>93</v>
      </c>
      <c r="F40">
        <v>292</v>
      </c>
      <c r="G40" s="4">
        <v>46087.591064814813</v>
      </c>
    </row>
    <row r="41" spans="1:7" x14ac:dyDescent="0.3">
      <c r="A41">
        <v>40</v>
      </c>
      <c r="B41" t="s">
        <v>145</v>
      </c>
      <c r="C41">
        <v>51022289</v>
      </c>
      <c r="D41">
        <v>89.058992430327947</v>
      </c>
      <c r="E41" t="s">
        <v>92</v>
      </c>
      <c r="F41">
        <v>151</v>
      </c>
      <c r="G41" s="4">
        <v>46087.591064814813</v>
      </c>
    </row>
    <row r="42" spans="1:7" x14ac:dyDescent="0.3">
      <c r="A42">
        <v>41</v>
      </c>
      <c r="B42" t="s">
        <v>145</v>
      </c>
      <c r="C42">
        <v>51016688</v>
      </c>
      <c r="D42">
        <v>85.212407530375117</v>
      </c>
      <c r="E42" t="s">
        <v>93</v>
      </c>
      <c r="F42">
        <v>252</v>
      </c>
      <c r="G42" s="4">
        <v>46087.591064814813</v>
      </c>
    </row>
    <row r="43" spans="1:7" x14ac:dyDescent="0.3">
      <c r="A43">
        <v>42</v>
      </c>
      <c r="B43" t="s">
        <v>145</v>
      </c>
      <c r="C43">
        <v>51032527</v>
      </c>
      <c r="D43">
        <v>86.91441575846919</v>
      </c>
      <c r="E43" t="s">
        <v>92</v>
      </c>
      <c r="F43">
        <v>202</v>
      </c>
      <c r="G43" s="4">
        <v>46087.591064814813</v>
      </c>
    </row>
    <row r="44" spans="1:7" x14ac:dyDescent="0.3">
      <c r="A44">
        <v>43</v>
      </c>
      <c r="B44" t="s">
        <v>145</v>
      </c>
      <c r="C44">
        <v>51028678</v>
      </c>
      <c r="D44">
        <v>63.153170152714559</v>
      </c>
      <c r="E44" t="s">
        <v>94</v>
      </c>
      <c r="F44">
        <v>618</v>
      </c>
      <c r="G44" s="4">
        <v>46087.591064814813</v>
      </c>
    </row>
    <row r="45" spans="1:7" x14ac:dyDescent="0.3">
      <c r="A45">
        <v>44</v>
      </c>
      <c r="B45" t="s">
        <v>145</v>
      </c>
      <c r="C45">
        <v>51005287</v>
      </c>
      <c r="D45">
        <v>81.769541859531714</v>
      </c>
      <c r="E45" t="s">
        <v>93</v>
      </c>
      <c r="F45">
        <v>356</v>
      </c>
      <c r="G45" s="4">
        <v>46087.591064814813</v>
      </c>
    </row>
    <row r="46" spans="1:7" x14ac:dyDescent="0.3">
      <c r="A46">
        <v>45</v>
      </c>
      <c r="B46" t="s">
        <v>145</v>
      </c>
      <c r="C46">
        <v>51055624</v>
      </c>
      <c r="D46">
        <v>87.454265664665002</v>
      </c>
      <c r="E46" t="s">
        <v>92</v>
      </c>
      <c r="F46">
        <v>190</v>
      </c>
      <c r="G46" s="4">
        <v>46087.591064814813</v>
      </c>
    </row>
    <row r="47" spans="1:7" x14ac:dyDescent="0.3">
      <c r="A47">
        <v>46</v>
      </c>
      <c r="B47" t="s">
        <v>145</v>
      </c>
      <c r="C47">
        <v>51010884</v>
      </c>
      <c r="D47">
        <v>56.696907030672669</v>
      </c>
      <c r="E47" t="s">
        <v>94</v>
      </c>
      <c r="F47">
        <v>748</v>
      </c>
      <c r="G47" s="4">
        <v>46087.591064814813</v>
      </c>
    </row>
    <row r="48" spans="1:7" x14ac:dyDescent="0.3">
      <c r="A48">
        <v>47</v>
      </c>
      <c r="B48" t="s">
        <v>145</v>
      </c>
      <c r="C48">
        <v>51007051</v>
      </c>
      <c r="D48">
        <v>65.574443825656274</v>
      </c>
      <c r="E48" t="s">
        <v>94</v>
      </c>
      <c r="F48">
        <v>601</v>
      </c>
      <c r="G48" s="4">
        <v>46087.591064814813</v>
      </c>
    </row>
    <row r="49" spans="1:7" x14ac:dyDescent="0.3">
      <c r="A49">
        <v>48</v>
      </c>
      <c r="B49" t="s">
        <v>145</v>
      </c>
      <c r="C49">
        <v>51013808</v>
      </c>
      <c r="D49">
        <v>59.516159227205918</v>
      </c>
      <c r="E49" t="s">
        <v>94</v>
      </c>
      <c r="F49">
        <v>678</v>
      </c>
      <c r="G49" s="4">
        <v>46087.591064814813</v>
      </c>
    </row>
    <row r="50" spans="1:7" x14ac:dyDescent="0.3">
      <c r="A50">
        <v>49</v>
      </c>
      <c r="B50" t="s">
        <v>145</v>
      </c>
      <c r="C50">
        <v>51035828</v>
      </c>
      <c r="D50">
        <v>62.010965166799316</v>
      </c>
      <c r="E50" t="s">
        <v>94</v>
      </c>
      <c r="F50">
        <v>629</v>
      </c>
      <c r="G50" s="4">
        <v>46087.591064814813</v>
      </c>
    </row>
    <row r="51" spans="1:7" x14ac:dyDescent="0.3">
      <c r="A51">
        <v>50</v>
      </c>
      <c r="B51" t="s">
        <v>145</v>
      </c>
      <c r="C51">
        <v>51056051</v>
      </c>
      <c r="D51">
        <v>85.647581066801621</v>
      </c>
      <c r="E51" t="s">
        <v>92</v>
      </c>
      <c r="F51">
        <v>238</v>
      </c>
      <c r="G51" s="4">
        <v>46087.591064814813</v>
      </c>
    </row>
    <row r="52" spans="1:7" x14ac:dyDescent="0.3">
      <c r="A52">
        <v>51</v>
      </c>
      <c r="B52" t="s">
        <v>145</v>
      </c>
      <c r="C52">
        <v>51024265</v>
      </c>
      <c r="D52">
        <v>79.44797344465762</v>
      </c>
      <c r="E52" t="s">
        <v>93</v>
      </c>
      <c r="F52">
        <v>418</v>
      </c>
      <c r="G52" s="4">
        <v>46087.591064814813</v>
      </c>
    </row>
    <row r="53" spans="1:7" x14ac:dyDescent="0.3">
      <c r="A53">
        <v>52</v>
      </c>
      <c r="B53" t="s">
        <v>145</v>
      </c>
      <c r="C53">
        <v>51018494</v>
      </c>
      <c r="D53">
        <v>100</v>
      </c>
      <c r="E53" t="s">
        <v>275</v>
      </c>
      <c r="F53">
        <v>1</v>
      </c>
      <c r="G53" s="4">
        <v>46087.591064814813</v>
      </c>
    </row>
    <row r="54" spans="1:7" x14ac:dyDescent="0.3">
      <c r="A54">
        <v>53</v>
      </c>
      <c r="B54" t="s">
        <v>145</v>
      </c>
      <c r="C54">
        <v>51039882</v>
      </c>
      <c r="D54">
        <v>27.7</v>
      </c>
      <c r="E54" t="s">
        <v>95</v>
      </c>
      <c r="F54">
        <v>966</v>
      </c>
      <c r="G54" s="4">
        <v>46087.591064814813</v>
      </c>
    </row>
    <row r="55" spans="1:7" x14ac:dyDescent="0.3">
      <c r="A55">
        <v>54</v>
      </c>
      <c r="B55" t="s">
        <v>145</v>
      </c>
      <c r="C55">
        <v>51024192</v>
      </c>
      <c r="D55">
        <v>88.108647323928082</v>
      </c>
      <c r="E55" t="s">
        <v>92</v>
      </c>
      <c r="F55">
        <v>175</v>
      </c>
      <c r="G55" s="4">
        <v>46087.591064814813</v>
      </c>
    </row>
    <row r="56" spans="1:7" x14ac:dyDescent="0.3">
      <c r="A56">
        <v>55</v>
      </c>
      <c r="B56" t="s">
        <v>145</v>
      </c>
      <c r="C56">
        <v>51008332</v>
      </c>
      <c r="D56">
        <v>81.294937524051875</v>
      </c>
      <c r="E56" t="s">
        <v>93</v>
      </c>
      <c r="F56">
        <v>369</v>
      </c>
      <c r="G56" s="4">
        <v>46087.591064814813</v>
      </c>
    </row>
    <row r="57" spans="1:7" x14ac:dyDescent="0.3">
      <c r="A57">
        <v>56</v>
      </c>
      <c r="B57" t="s">
        <v>145</v>
      </c>
      <c r="C57">
        <v>51015258</v>
      </c>
      <c r="D57">
        <v>76.228636273023895</v>
      </c>
      <c r="E57" t="s">
        <v>93</v>
      </c>
      <c r="F57">
        <v>467</v>
      </c>
      <c r="G57" s="4">
        <v>46087.591064814813</v>
      </c>
    </row>
    <row r="58" spans="1:7" x14ac:dyDescent="0.3">
      <c r="A58">
        <v>57</v>
      </c>
      <c r="B58" t="s">
        <v>145</v>
      </c>
      <c r="C58">
        <v>51033710</v>
      </c>
      <c r="D58">
        <v>81.229448257361426</v>
      </c>
      <c r="E58" t="s">
        <v>93</v>
      </c>
      <c r="F58">
        <v>371</v>
      </c>
      <c r="G58" s="4">
        <v>46087.591064814813</v>
      </c>
    </row>
    <row r="59" spans="1:7" x14ac:dyDescent="0.3">
      <c r="A59">
        <v>58</v>
      </c>
      <c r="B59" t="s">
        <v>145</v>
      </c>
      <c r="C59">
        <v>51010329</v>
      </c>
      <c r="D59">
        <v>28.513487089041938</v>
      </c>
      <c r="E59" t="s">
        <v>95</v>
      </c>
      <c r="F59">
        <v>958</v>
      </c>
      <c r="G59" s="4">
        <v>46087.591064814813</v>
      </c>
    </row>
    <row r="60" spans="1:7" x14ac:dyDescent="0.3">
      <c r="A60">
        <v>59</v>
      </c>
      <c r="B60" t="s">
        <v>145</v>
      </c>
      <c r="C60">
        <v>51011252</v>
      </c>
      <c r="D60">
        <v>20.292918113324909</v>
      </c>
      <c r="E60" t="s">
        <v>95</v>
      </c>
      <c r="F60">
        <v>1017</v>
      </c>
      <c r="G60" s="4">
        <v>46087.591064814813</v>
      </c>
    </row>
    <row r="61" spans="1:7" x14ac:dyDescent="0.3">
      <c r="A61">
        <v>60</v>
      </c>
      <c r="B61" t="s">
        <v>145</v>
      </c>
      <c r="C61">
        <v>51018648</v>
      </c>
      <c r="D61">
        <v>81.29248348713287</v>
      </c>
      <c r="E61" t="s">
        <v>93</v>
      </c>
      <c r="F61">
        <v>370</v>
      </c>
      <c r="G61" s="4">
        <v>46087.591064814813</v>
      </c>
    </row>
    <row r="62" spans="1:7" x14ac:dyDescent="0.3">
      <c r="A62">
        <v>61</v>
      </c>
      <c r="B62" t="s">
        <v>145</v>
      </c>
      <c r="C62">
        <v>51024524</v>
      </c>
      <c r="D62">
        <v>86.493994189861809</v>
      </c>
      <c r="E62" t="s">
        <v>92</v>
      </c>
      <c r="F62">
        <v>214</v>
      </c>
      <c r="G62" s="4">
        <v>46087.591064814813</v>
      </c>
    </row>
    <row r="63" spans="1:7" x14ac:dyDescent="0.3">
      <c r="A63">
        <v>62</v>
      </c>
      <c r="B63" t="s">
        <v>145</v>
      </c>
      <c r="C63">
        <v>51055772</v>
      </c>
      <c r="D63">
        <v>60.284273420338536</v>
      </c>
      <c r="E63" t="s">
        <v>94</v>
      </c>
      <c r="F63">
        <v>662</v>
      </c>
      <c r="G63" s="4">
        <v>46087.591064814813</v>
      </c>
    </row>
    <row r="64" spans="1:7" x14ac:dyDescent="0.3">
      <c r="A64">
        <v>63</v>
      </c>
      <c r="B64" t="s">
        <v>145</v>
      </c>
      <c r="C64">
        <v>51031083</v>
      </c>
      <c r="D64">
        <v>67.875113702205141</v>
      </c>
      <c r="E64" t="s">
        <v>93</v>
      </c>
      <c r="F64">
        <v>573</v>
      </c>
      <c r="G64" s="4">
        <v>46087.591064814813</v>
      </c>
    </row>
    <row r="65" spans="1:7" x14ac:dyDescent="0.3">
      <c r="A65">
        <v>64</v>
      </c>
      <c r="B65" t="s">
        <v>145</v>
      </c>
      <c r="C65">
        <v>51056647</v>
      </c>
      <c r="D65">
        <v>70.534657407534169</v>
      </c>
      <c r="E65" t="s">
        <v>93</v>
      </c>
      <c r="F65">
        <v>537</v>
      </c>
      <c r="G65" s="4">
        <v>46087.591064814813</v>
      </c>
    </row>
    <row r="66" spans="1:7" x14ac:dyDescent="0.3">
      <c r="A66">
        <v>65</v>
      </c>
      <c r="B66" t="s">
        <v>145</v>
      </c>
      <c r="C66">
        <v>51024214</v>
      </c>
      <c r="D66">
        <v>25.46</v>
      </c>
      <c r="E66" t="s">
        <v>95</v>
      </c>
      <c r="F66">
        <v>980</v>
      </c>
      <c r="G66" s="4">
        <v>46087.591064814813</v>
      </c>
    </row>
    <row r="67" spans="1:7" x14ac:dyDescent="0.3">
      <c r="A67">
        <v>66</v>
      </c>
      <c r="B67" t="s">
        <v>145</v>
      </c>
      <c r="C67">
        <v>51013425</v>
      </c>
      <c r="D67">
        <v>91.687580496304221</v>
      </c>
      <c r="E67" t="s">
        <v>92</v>
      </c>
      <c r="F67">
        <v>94</v>
      </c>
      <c r="G67" s="4">
        <v>46087.591064814813</v>
      </c>
    </row>
    <row r="68" spans="1:7" x14ac:dyDescent="0.3">
      <c r="A68">
        <v>67</v>
      </c>
      <c r="B68" t="s">
        <v>145</v>
      </c>
      <c r="C68">
        <v>51025334</v>
      </c>
      <c r="D68">
        <v>71.357290102102098</v>
      </c>
      <c r="E68" t="s">
        <v>93</v>
      </c>
      <c r="F68">
        <v>528</v>
      </c>
      <c r="G68" s="4">
        <v>46087.591064814813</v>
      </c>
    </row>
    <row r="69" spans="1:7" x14ac:dyDescent="0.3">
      <c r="A69">
        <v>68</v>
      </c>
      <c r="B69" t="s">
        <v>145</v>
      </c>
      <c r="C69">
        <v>51056132</v>
      </c>
      <c r="D69">
        <v>56.932736610062427</v>
      </c>
      <c r="E69" t="s">
        <v>94</v>
      </c>
      <c r="F69">
        <v>741</v>
      </c>
      <c r="G69" s="4">
        <v>46087.591064814813</v>
      </c>
    </row>
    <row r="70" spans="1:7" x14ac:dyDescent="0.3">
      <c r="A70">
        <v>69</v>
      </c>
      <c r="B70" t="s">
        <v>145</v>
      </c>
      <c r="C70">
        <v>51004531</v>
      </c>
      <c r="D70">
        <v>96.02242306949546</v>
      </c>
      <c r="E70" t="s">
        <v>275</v>
      </c>
      <c r="F70">
        <v>41</v>
      </c>
      <c r="G70" s="4">
        <v>46087.591064814813</v>
      </c>
    </row>
    <row r="71" spans="1:7" x14ac:dyDescent="0.3">
      <c r="A71">
        <v>70</v>
      </c>
      <c r="B71" t="s">
        <v>145</v>
      </c>
      <c r="C71">
        <v>51039033</v>
      </c>
      <c r="D71">
        <v>60.235818180484536</v>
      </c>
      <c r="E71" t="s">
        <v>94</v>
      </c>
      <c r="F71">
        <v>663</v>
      </c>
      <c r="G71" s="4">
        <v>46087.591064814813</v>
      </c>
    </row>
    <row r="72" spans="1:7" x14ac:dyDescent="0.3">
      <c r="A72">
        <v>71</v>
      </c>
      <c r="B72" t="s">
        <v>145</v>
      </c>
      <c r="C72">
        <v>51024117</v>
      </c>
      <c r="D72">
        <v>91.980767127979874</v>
      </c>
      <c r="E72" t="s">
        <v>92</v>
      </c>
      <c r="F72">
        <v>86</v>
      </c>
      <c r="G72" s="4">
        <v>46087.591064814813</v>
      </c>
    </row>
    <row r="73" spans="1:7" x14ac:dyDescent="0.3">
      <c r="A73">
        <v>72</v>
      </c>
      <c r="B73" t="s">
        <v>145</v>
      </c>
      <c r="C73">
        <v>51031768</v>
      </c>
      <c r="D73">
        <v>59.539223593756866</v>
      </c>
      <c r="E73" t="s">
        <v>94</v>
      </c>
      <c r="F73">
        <v>677</v>
      </c>
      <c r="G73" s="4">
        <v>46087.591064814813</v>
      </c>
    </row>
    <row r="74" spans="1:7" x14ac:dyDescent="0.3">
      <c r="A74">
        <v>73</v>
      </c>
      <c r="B74" t="s">
        <v>145</v>
      </c>
      <c r="C74">
        <v>51022637</v>
      </c>
      <c r="D74">
        <v>86.038712744778223</v>
      </c>
      <c r="E74" t="s">
        <v>92</v>
      </c>
      <c r="F74">
        <v>228</v>
      </c>
      <c r="G74" s="4">
        <v>46087.591064814813</v>
      </c>
    </row>
    <row r="75" spans="1:7" x14ac:dyDescent="0.3">
      <c r="A75">
        <v>74</v>
      </c>
      <c r="B75" t="s">
        <v>145</v>
      </c>
      <c r="C75">
        <v>51010124</v>
      </c>
      <c r="D75">
        <v>94.561510308291588</v>
      </c>
      <c r="E75" t="s">
        <v>275</v>
      </c>
      <c r="F75">
        <v>60</v>
      </c>
      <c r="G75" s="4">
        <v>46087.591064814813</v>
      </c>
    </row>
    <row r="76" spans="1:7" x14ac:dyDescent="0.3">
      <c r="A76">
        <v>75</v>
      </c>
      <c r="B76" t="s">
        <v>145</v>
      </c>
      <c r="C76">
        <v>51012020</v>
      </c>
      <c r="D76">
        <v>81.949029284632218</v>
      </c>
      <c r="E76" t="s">
        <v>93</v>
      </c>
      <c r="F76">
        <v>348</v>
      </c>
      <c r="G76" s="4">
        <v>46087.591064814813</v>
      </c>
    </row>
    <row r="77" spans="1:7" x14ac:dyDescent="0.3">
      <c r="A77">
        <v>76</v>
      </c>
      <c r="B77" t="s">
        <v>145</v>
      </c>
      <c r="C77">
        <v>51029968</v>
      </c>
      <c r="D77">
        <v>84.657834513355454</v>
      </c>
      <c r="E77" t="s">
        <v>93</v>
      </c>
      <c r="F77">
        <v>265</v>
      </c>
      <c r="G77" s="4">
        <v>46087.591064814813</v>
      </c>
    </row>
    <row r="78" spans="1:7" x14ac:dyDescent="0.3">
      <c r="A78">
        <v>77</v>
      </c>
      <c r="B78" t="s">
        <v>145</v>
      </c>
      <c r="C78">
        <v>51025202</v>
      </c>
      <c r="D78">
        <v>91.717382986850865</v>
      </c>
      <c r="E78" t="s">
        <v>92</v>
      </c>
      <c r="F78">
        <v>93</v>
      </c>
      <c r="G78" s="4">
        <v>46087.591064814813</v>
      </c>
    </row>
    <row r="79" spans="1:7" x14ac:dyDescent="0.3">
      <c r="A79">
        <v>78</v>
      </c>
      <c r="B79" t="s">
        <v>145</v>
      </c>
      <c r="C79">
        <v>51003667</v>
      </c>
      <c r="D79">
        <v>82.92140695475139</v>
      </c>
      <c r="E79" t="s">
        <v>93</v>
      </c>
      <c r="F79">
        <v>324</v>
      </c>
      <c r="G79" s="4">
        <v>46087.591064814813</v>
      </c>
    </row>
    <row r="80" spans="1:7" x14ac:dyDescent="0.3">
      <c r="A80">
        <v>79</v>
      </c>
      <c r="B80" t="s">
        <v>145</v>
      </c>
      <c r="C80">
        <v>51026691</v>
      </c>
      <c r="D80">
        <v>77.431116271418915</v>
      </c>
      <c r="E80" t="s">
        <v>93</v>
      </c>
      <c r="F80">
        <v>448</v>
      </c>
      <c r="G80" s="4">
        <v>46087.591064814813</v>
      </c>
    </row>
    <row r="81" spans="1:7" x14ac:dyDescent="0.3">
      <c r="A81">
        <v>80</v>
      </c>
      <c r="B81" t="s">
        <v>145</v>
      </c>
      <c r="C81">
        <v>51023145</v>
      </c>
      <c r="D81">
        <v>95.8116583571436</v>
      </c>
      <c r="E81" t="s">
        <v>275</v>
      </c>
      <c r="F81">
        <v>43</v>
      </c>
      <c r="G81" s="4">
        <v>46087.591064814813</v>
      </c>
    </row>
    <row r="82" spans="1:7" x14ac:dyDescent="0.3">
      <c r="A82">
        <v>81</v>
      </c>
      <c r="B82" t="s">
        <v>145</v>
      </c>
      <c r="C82">
        <v>51056001</v>
      </c>
      <c r="D82">
        <v>89.45757352115676</v>
      </c>
      <c r="E82" t="s">
        <v>92</v>
      </c>
      <c r="F82">
        <v>138</v>
      </c>
      <c r="G82" s="4">
        <v>46087.591064814813</v>
      </c>
    </row>
    <row r="83" spans="1:7" x14ac:dyDescent="0.3">
      <c r="A83">
        <v>82</v>
      </c>
      <c r="B83" t="s">
        <v>145</v>
      </c>
      <c r="C83">
        <v>51019652</v>
      </c>
      <c r="D83">
        <v>88.533216709040857</v>
      </c>
      <c r="E83" t="s">
        <v>92</v>
      </c>
      <c r="F83">
        <v>167</v>
      </c>
      <c r="G83" s="4">
        <v>46087.591064814813</v>
      </c>
    </row>
    <row r="84" spans="1:7" x14ac:dyDescent="0.3">
      <c r="A84">
        <v>83</v>
      </c>
      <c r="B84" t="s">
        <v>145</v>
      </c>
      <c r="C84">
        <v>51011368</v>
      </c>
      <c r="D84">
        <v>97.803513704355424</v>
      </c>
      <c r="E84" t="s">
        <v>275</v>
      </c>
      <c r="F84">
        <v>24</v>
      </c>
      <c r="G84" s="4">
        <v>46087.591064814813</v>
      </c>
    </row>
    <row r="85" spans="1:7" x14ac:dyDescent="0.3">
      <c r="A85">
        <v>84</v>
      </c>
      <c r="B85" t="s">
        <v>145</v>
      </c>
      <c r="C85">
        <v>51055047</v>
      </c>
      <c r="D85">
        <v>85.274041779092173</v>
      </c>
      <c r="E85" t="s">
        <v>93</v>
      </c>
      <c r="F85">
        <v>251</v>
      </c>
      <c r="G85" s="4">
        <v>46087.591064814813</v>
      </c>
    </row>
    <row r="86" spans="1:7" x14ac:dyDescent="0.3">
      <c r="A86">
        <v>85</v>
      </c>
      <c r="B86" t="s">
        <v>145</v>
      </c>
      <c r="C86">
        <v>51018176</v>
      </c>
      <c r="D86">
        <v>67.686528353246374</v>
      </c>
      <c r="E86" t="s">
        <v>93</v>
      </c>
      <c r="F86">
        <v>578</v>
      </c>
      <c r="G86" s="4">
        <v>46087.591064814813</v>
      </c>
    </row>
    <row r="87" spans="1:7" x14ac:dyDescent="0.3">
      <c r="A87">
        <v>86</v>
      </c>
      <c r="B87" t="s">
        <v>145</v>
      </c>
      <c r="C87">
        <v>51015622</v>
      </c>
      <c r="D87">
        <v>57.817420484520554</v>
      </c>
      <c r="E87" t="s">
        <v>94</v>
      </c>
      <c r="F87">
        <v>722</v>
      </c>
      <c r="G87" s="4">
        <v>46087.591064814813</v>
      </c>
    </row>
    <row r="88" spans="1:7" x14ac:dyDescent="0.3">
      <c r="A88">
        <v>87</v>
      </c>
      <c r="B88" t="s">
        <v>145</v>
      </c>
      <c r="C88">
        <v>51054946</v>
      </c>
      <c r="D88">
        <v>100</v>
      </c>
      <c r="E88" t="s">
        <v>275</v>
      </c>
      <c r="F88">
        <v>1</v>
      </c>
      <c r="G88" s="4">
        <v>46087.591064814813</v>
      </c>
    </row>
    <row r="89" spans="1:7" x14ac:dyDescent="0.3">
      <c r="A89">
        <v>88</v>
      </c>
      <c r="B89" t="s">
        <v>145</v>
      </c>
      <c r="C89">
        <v>51016220</v>
      </c>
      <c r="D89">
        <v>96.243178251015507</v>
      </c>
      <c r="E89" t="s">
        <v>275</v>
      </c>
      <c r="F89">
        <v>37</v>
      </c>
      <c r="G89" s="4">
        <v>46087.591064814813</v>
      </c>
    </row>
    <row r="90" spans="1:7" x14ac:dyDescent="0.3">
      <c r="A90">
        <v>89</v>
      </c>
      <c r="B90" t="s">
        <v>145</v>
      </c>
      <c r="C90">
        <v>51025385</v>
      </c>
      <c r="D90">
        <v>50.704179073825905</v>
      </c>
      <c r="E90" t="s">
        <v>94</v>
      </c>
      <c r="F90">
        <v>819</v>
      </c>
      <c r="G90" s="4">
        <v>46087.591064814813</v>
      </c>
    </row>
    <row r="91" spans="1:7" x14ac:dyDescent="0.3">
      <c r="A91">
        <v>90</v>
      </c>
      <c r="B91" t="s">
        <v>145</v>
      </c>
      <c r="C91">
        <v>51057163</v>
      </c>
      <c r="D91">
        <v>56.463482935615978</v>
      </c>
      <c r="E91" t="s">
        <v>94</v>
      </c>
      <c r="F91">
        <v>752</v>
      </c>
      <c r="G91" s="4">
        <v>46087.591064814813</v>
      </c>
    </row>
    <row r="92" spans="1:7" x14ac:dyDescent="0.3">
      <c r="A92">
        <v>91</v>
      </c>
      <c r="B92" t="s">
        <v>145</v>
      </c>
      <c r="C92">
        <v>51055985</v>
      </c>
      <c r="D92">
        <v>48.517913562849486</v>
      </c>
      <c r="E92" t="s">
        <v>94</v>
      </c>
      <c r="F92">
        <v>838</v>
      </c>
      <c r="G92" s="4">
        <v>46087.591064814813</v>
      </c>
    </row>
    <row r="93" spans="1:7" x14ac:dyDescent="0.3">
      <c r="A93">
        <v>92</v>
      </c>
      <c r="B93" t="s">
        <v>145</v>
      </c>
      <c r="C93">
        <v>51032993</v>
      </c>
      <c r="D93">
        <v>97.957034914729078</v>
      </c>
      <c r="E93" t="s">
        <v>275</v>
      </c>
      <c r="F93">
        <v>23</v>
      </c>
      <c r="G93" s="4">
        <v>46087.591064814813</v>
      </c>
    </row>
    <row r="94" spans="1:7" x14ac:dyDescent="0.3">
      <c r="A94">
        <v>93</v>
      </c>
      <c r="B94" t="s">
        <v>145</v>
      </c>
      <c r="C94">
        <v>51015088</v>
      </c>
      <c r="D94">
        <v>80.930696764379377</v>
      </c>
      <c r="E94" t="s">
        <v>93</v>
      </c>
      <c r="F94">
        <v>381</v>
      </c>
      <c r="G94" s="4">
        <v>46087.591064814813</v>
      </c>
    </row>
    <row r="95" spans="1:7" x14ac:dyDescent="0.3">
      <c r="A95">
        <v>94</v>
      </c>
      <c r="B95" t="s">
        <v>145</v>
      </c>
      <c r="C95">
        <v>51035658</v>
      </c>
      <c r="D95">
        <v>83.521151080206295</v>
      </c>
      <c r="E95" t="s">
        <v>93</v>
      </c>
      <c r="F95">
        <v>298</v>
      </c>
      <c r="G95" s="4">
        <v>46087.591064814813</v>
      </c>
    </row>
    <row r="96" spans="1:7" x14ac:dyDescent="0.3">
      <c r="A96">
        <v>95</v>
      </c>
      <c r="B96" t="s">
        <v>145</v>
      </c>
      <c r="C96">
        <v>51016726</v>
      </c>
      <c r="D96">
        <v>86.324711914467599</v>
      </c>
      <c r="E96" t="s">
        <v>92</v>
      </c>
      <c r="F96">
        <v>221</v>
      </c>
      <c r="G96" s="4">
        <v>46087.591064814813</v>
      </c>
    </row>
    <row r="97" spans="1:7" x14ac:dyDescent="0.3">
      <c r="A97">
        <v>96</v>
      </c>
      <c r="B97" t="s">
        <v>145</v>
      </c>
      <c r="C97">
        <v>51019342</v>
      </c>
      <c r="D97">
        <v>21.833487422338635</v>
      </c>
      <c r="E97" t="s">
        <v>95</v>
      </c>
      <c r="F97">
        <v>1002</v>
      </c>
      <c r="G97" s="4">
        <v>46087.591064814813</v>
      </c>
    </row>
    <row r="98" spans="1:7" x14ac:dyDescent="0.3">
      <c r="A98">
        <v>97</v>
      </c>
      <c r="B98" t="s">
        <v>145</v>
      </c>
      <c r="C98">
        <v>51014162</v>
      </c>
      <c r="D98">
        <v>80.260589379083441</v>
      </c>
      <c r="E98" t="s">
        <v>93</v>
      </c>
      <c r="F98">
        <v>397</v>
      </c>
      <c r="G98" s="4">
        <v>46087.591064814813</v>
      </c>
    </row>
    <row r="99" spans="1:7" x14ac:dyDescent="0.3">
      <c r="A99">
        <v>98</v>
      </c>
      <c r="B99" t="s">
        <v>145</v>
      </c>
      <c r="C99">
        <v>51022360</v>
      </c>
      <c r="D99">
        <v>87.921733810185941</v>
      </c>
      <c r="E99" t="s">
        <v>92</v>
      </c>
      <c r="F99">
        <v>179</v>
      </c>
      <c r="G99" s="4">
        <v>46087.591064814813</v>
      </c>
    </row>
    <row r="100" spans="1:7" x14ac:dyDescent="0.3">
      <c r="A100">
        <v>99</v>
      </c>
      <c r="B100" t="s">
        <v>145</v>
      </c>
      <c r="C100">
        <v>51040848</v>
      </c>
      <c r="D100">
        <v>65.268310755568507</v>
      </c>
      <c r="E100" t="s">
        <v>94</v>
      </c>
      <c r="F100">
        <v>602</v>
      </c>
      <c r="G100" s="4">
        <v>46087.591064814813</v>
      </c>
    </row>
    <row r="101" spans="1:7" x14ac:dyDescent="0.3">
      <c r="A101">
        <v>100</v>
      </c>
      <c r="B101" t="s">
        <v>145</v>
      </c>
      <c r="C101">
        <v>51022696</v>
      </c>
      <c r="D101">
        <v>92.505295981193754</v>
      </c>
      <c r="E101" t="s">
        <v>92</v>
      </c>
      <c r="F101">
        <v>80</v>
      </c>
      <c r="G101" s="4">
        <v>46087.591064814813</v>
      </c>
    </row>
    <row r="102" spans="1:7" x14ac:dyDescent="0.3">
      <c r="A102">
        <v>101</v>
      </c>
      <c r="B102" t="s">
        <v>145</v>
      </c>
      <c r="C102">
        <v>51056426</v>
      </c>
      <c r="D102">
        <v>61.820695802852377</v>
      </c>
      <c r="E102" t="s">
        <v>94</v>
      </c>
      <c r="F102">
        <v>632</v>
      </c>
      <c r="G102" s="4">
        <v>46087.591064814813</v>
      </c>
    </row>
    <row r="103" spans="1:7" x14ac:dyDescent="0.3">
      <c r="A103">
        <v>102</v>
      </c>
      <c r="B103" t="s">
        <v>145</v>
      </c>
      <c r="C103">
        <v>51011350</v>
      </c>
      <c r="D103">
        <v>57.211705704611212</v>
      </c>
      <c r="E103" t="s">
        <v>94</v>
      </c>
      <c r="F103">
        <v>736</v>
      </c>
      <c r="G103" s="4">
        <v>46087.591064814813</v>
      </c>
    </row>
    <row r="104" spans="1:7" x14ac:dyDescent="0.3">
      <c r="A104">
        <v>103</v>
      </c>
      <c r="B104" t="s">
        <v>145</v>
      </c>
      <c r="C104">
        <v>51024087</v>
      </c>
      <c r="D104">
        <v>84.306904174581618</v>
      </c>
      <c r="E104" t="s">
        <v>93</v>
      </c>
      <c r="F104">
        <v>278</v>
      </c>
      <c r="G104" s="4">
        <v>46087.591064814813</v>
      </c>
    </row>
    <row r="105" spans="1:7" x14ac:dyDescent="0.3">
      <c r="A105">
        <v>104</v>
      </c>
      <c r="B105" t="s">
        <v>145</v>
      </c>
      <c r="C105">
        <v>51005171</v>
      </c>
      <c r="D105">
        <v>82.773164680139644</v>
      </c>
      <c r="E105" t="s">
        <v>93</v>
      </c>
      <c r="F105">
        <v>327</v>
      </c>
      <c r="G105" s="4">
        <v>46087.591064814813</v>
      </c>
    </row>
    <row r="106" spans="1:7" x14ac:dyDescent="0.3">
      <c r="A106">
        <v>105</v>
      </c>
      <c r="B106" t="s">
        <v>145</v>
      </c>
      <c r="C106">
        <v>51005864</v>
      </c>
      <c r="D106">
        <v>55.452562496321299</v>
      </c>
      <c r="E106" t="s">
        <v>94</v>
      </c>
      <c r="F106">
        <v>776</v>
      </c>
      <c r="G106" s="4">
        <v>46087.591064814813</v>
      </c>
    </row>
    <row r="107" spans="1:7" x14ac:dyDescent="0.3">
      <c r="A107">
        <v>106</v>
      </c>
      <c r="B107" t="s">
        <v>145</v>
      </c>
      <c r="C107">
        <v>51040317</v>
      </c>
      <c r="D107">
        <v>88.454460737592385</v>
      </c>
      <c r="E107" t="s">
        <v>92</v>
      </c>
      <c r="F107">
        <v>168</v>
      </c>
      <c r="G107" s="4">
        <v>46087.591064814813</v>
      </c>
    </row>
    <row r="108" spans="1:7" x14ac:dyDescent="0.3">
      <c r="A108">
        <v>107</v>
      </c>
      <c r="B108" t="s">
        <v>145</v>
      </c>
      <c r="C108">
        <v>51003926</v>
      </c>
      <c r="D108">
        <v>60.473245409873464</v>
      </c>
      <c r="E108" t="s">
        <v>94</v>
      </c>
      <c r="F108">
        <v>658</v>
      </c>
      <c r="G108" s="4">
        <v>46087.591064814813</v>
      </c>
    </row>
    <row r="109" spans="1:7" x14ac:dyDescent="0.3">
      <c r="A109">
        <v>108</v>
      </c>
      <c r="B109" t="s">
        <v>145</v>
      </c>
      <c r="C109">
        <v>51019911</v>
      </c>
      <c r="D109">
        <v>61.063935431832469</v>
      </c>
      <c r="E109" t="s">
        <v>94</v>
      </c>
      <c r="F109">
        <v>647</v>
      </c>
      <c r="G109" s="4">
        <v>46087.591064814813</v>
      </c>
    </row>
    <row r="110" spans="1:7" x14ac:dyDescent="0.3">
      <c r="A110">
        <v>109</v>
      </c>
      <c r="B110" t="s">
        <v>145</v>
      </c>
      <c r="C110">
        <v>51022076</v>
      </c>
      <c r="D110">
        <v>85.455868708105484</v>
      </c>
      <c r="E110" t="s">
        <v>93</v>
      </c>
      <c r="F110">
        <v>244</v>
      </c>
      <c r="G110" s="4">
        <v>46087.591064814813</v>
      </c>
    </row>
    <row r="111" spans="1:7" x14ac:dyDescent="0.3">
      <c r="A111">
        <v>110</v>
      </c>
      <c r="B111" t="s">
        <v>145</v>
      </c>
      <c r="C111">
        <v>51055217</v>
      </c>
      <c r="D111">
        <v>64.355603773551579</v>
      </c>
      <c r="E111" t="s">
        <v>94</v>
      </c>
      <c r="F111">
        <v>609</v>
      </c>
      <c r="G111" s="4">
        <v>46087.591064814813</v>
      </c>
    </row>
    <row r="112" spans="1:7" x14ac:dyDescent="0.3">
      <c r="A112">
        <v>111</v>
      </c>
      <c r="B112" t="s">
        <v>145</v>
      </c>
      <c r="C112">
        <v>51036824</v>
      </c>
      <c r="D112">
        <v>72.584600740051073</v>
      </c>
      <c r="E112" t="s">
        <v>93</v>
      </c>
      <c r="F112">
        <v>506</v>
      </c>
      <c r="G112" s="4">
        <v>46087.591064814813</v>
      </c>
    </row>
    <row r="113" spans="1:7" x14ac:dyDescent="0.3">
      <c r="A113">
        <v>112</v>
      </c>
      <c r="B113" t="s">
        <v>145</v>
      </c>
      <c r="C113">
        <v>51024940</v>
      </c>
      <c r="D113">
        <v>83.307868709190515</v>
      </c>
      <c r="E113" t="s">
        <v>93</v>
      </c>
      <c r="F113">
        <v>306</v>
      </c>
      <c r="G113" s="4">
        <v>46087.591064814813</v>
      </c>
    </row>
    <row r="114" spans="1:7" x14ac:dyDescent="0.3">
      <c r="A114">
        <v>113</v>
      </c>
      <c r="B114" t="s">
        <v>145</v>
      </c>
      <c r="C114">
        <v>51033531</v>
      </c>
      <c r="D114">
        <v>59.328571540791025</v>
      </c>
      <c r="E114" t="s">
        <v>94</v>
      </c>
      <c r="F114">
        <v>686</v>
      </c>
      <c r="G114" s="4">
        <v>46087.591064814813</v>
      </c>
    </row>
    <row r="115" spans="1:7" x14ac:dyDescent="0.3">
      <c r="A115">
        <v>114</v>
      </c>
      <c r="B115" t="s">
        <v>145</v>
      </c>
      <c r="C115">
        <v>51032454</v>
      </c>
      <c r="D115">
        <v>46.748159527028847</v>
      </c>
      <c r="E115" t="s">
        <v>94</v>
      </c>
      <c r="F115">
        <v>851</v>
      </c>
      <c r="G115" s="4">
        <v>46087.591064814813</v>
      </c>
    </row>
    <row r="116" spans="1:7" x14ac:dyDescent="0.3">
      <c r="A116">
        <v>115</v>
      </c>
      <c r="B116" t="s">
        <v>145</v>
      </c>
      <c r="C116">
        <v>51014260</v>
      </c>
      <c r="D116">
        <v>89.425828509447129</v>
      </c>
      <c r="E116" t="s">
        <v>92</v>
      </c>
      <c r="F116">
        <v>140</v>
      </c>
      <c r="G116" s="4">
        <v>46087.591064814813</v>
      </c>
    </row>
    <row r="117" spans="1:7" x14ac:dyDescent="0.3">
      <c r="A117">
        <v>116</v>
      </c>
      <c r="B117" t="s">
        <v>145</v>
      </c>
      <c r="C117">
        <v>51011414</v>
      </c>
      <c r="D117">
        <v>55.354347629811471</v>
      </c>
      <c r="E117" t="s">
        <v>94</v>
      </c>
      <c r="F117">
        <v>779</v>
      </c>
      <c r="G117" s="4">
        <v>46087.591064814813</v>
      </c>
    </row>
    <row r="118" spans="1:7" x14ac:dyDescent="0.3">
      <c r="A118">
        <v>117</v>
      </c>
      <c r="B118" t="s">
        <v>145</v>
      </c>
      <c r="C118">
        <v>51018559</v>
      </c>
      <c r="D118">
        <v>31.9</v>
      </c>
      <c r="E118" t="s">
        <v>94</v>
      </c>
      <c r="F118">
        <v>927</v>
      </c>
      <c r="G118" s="4">
        <v>46087.591064814813</v>
      </c>
    </row>
    <row r="119" spans="1:7" x14ac:dyDescent="0.3">
      <c r="A119">
        <v>118</v>
      </c>
      <c r="B119" t="s">
        <v>145</v>
      </c>
      <c r="C119">
        <v>51014308</v>
      </c>
      <c r="D119">
        <v>80.092026994275273</v>
      </c>
      <c r="E119" t="s">
        <v>93</v>
      </c>
      <c r="F119">
        <v>402</v>
      </c>
      <c r="G119" s="4">
        <v>46087.591064814813</v>
      </c>
    </row>
    <row r="120" spans="1:7" x14ac:dyDescent="0.3">
      <c r="A120">
        <v>119</v>
      </c>
      <c r="B120" t="s">
        <v>145</v>
      </c>
      <c r="C120">
        <v>51056949</v>
      </c>
      <c r="D120">
        <v>85.334793950766951</v>
      </c>
      <c r="E120" t="s">
        <v>93</v>
      </c>
      <c r="F120">
        <v>250</v>
      </c>
      <c r="G120" s="4">
        <v>46087.591064814813</v>
      </c>
    </row>
    <row r="121" spans="1:7" x14ac:dyDescent="0.3">
      <c r="A121">
        <v>120</v>
      </c>
      <c r="B121" t="s">
        <v>145</v>
      </c>
      <c r="C121">
        <v>51022173</v>
      </c>
      <c r="D121">
        <v>83.210696041074897</v>
      </c>
      <c r="E121" t="s">
        <v>93</v>
      </c>
      <c r="F121">
        <v>309</v>
      </c>
      <c r="G121" s="4">
        <v>46087.591064814813</v>
      </c>
    </row>
    <row r="122" spans="1:7" x14ac:dyDescent="0.3">
      <c r="A122">
        <v>121</v>
      </c>
      <c r="B122" t="s">
        <v>145</v>
      </c>
      <c r="C122">
        <v>51023765</v>
      </c>
      <c r="D122">
        <v>95.293521623969312</v>
      </c>
      <c r="E122" t="s">
        <v>275</v>
      </c>
      <c r="F122">
        <v>48</v>
      </c>
      <c r="G122" s="4">
        <v>46087.591064814813</v>
      </c>
    </row>
    <row r="123" spans="1:7" x14ac:dyDescent="0.3">
      <c r="A123">
        <v>122</v>
      </c>
      <c r="B123" t="s">
        <v>145</v>
      </c>
      <c r="C123">
        <v>51038908</v>
      </c>
      <c r="D123">
        <v>88.94336169567076</v>
      </c>
      <c r="E123" t="s">
        <v>92</v>
      </c>
      <c r="F123">
        <v>155</v>
      </c>
      <c r="G123" s="4">
        <v>46087.591064814813</v>
      </c>
    </row>
    <row r="124" spans="1:7" x14ac:dyDescent="0.3">
      <c r="A124">
        <v>123</v>
      </c>
      <c r="B124" t="s">
        <v>145</v>
      </c>
      <c r="C124">
        <v>51013158</v>
      </c>
      <c r="D124">
        <v>62.624577066033019</v>
      </c>
      <c r="E124" t="s">
        <v>94</v>
      </c>
      <c r="F124">
        <v>623</v>
      </c>
      <c r="G124" s="4">
        <v>46087.591064814813</v>
      </c>
    </row>
    <row r="125" spans="1:7" x14ac:dyDescent="0.3">
      <c r="A125">
        <v>124</v>
      </c>
      <c r="B125" t="s">
        <v>145</v>
      </c>
      <c r="C125">
        <v>51024176</v>
      </c>
      <c r="D125">
        <v>64.064044946975116</v>
      </c>
      <c r="E125" t="s">
        <v>94</v>
      </c>
      <c r="F125">
        <v>612</v>
      </c>
      <c r="G125" s="4">
        <v>46087.591064814813</v>
      </c>
    </row>
    <row r="126" spans="1:7" x14ac:dyDescent="0.3">
      <c r="A126">
        <v>125</v>
      </c>
      <c r="B126" t="s">
        <v>145</v>
      </c>
      <c r="C126">
        <v>51000196</v>
      </c>
      <c r="D126">
        <v>88.372447805471637</v>
      </c>
      <c r="E126" t="s">
        <v>92</v>
      </c>
      <c r="F126">
        <v>169</v>
      </c>
      <c r="G126" s="4">
        <v>46087.591064814813</v>
      </c>
    </row>
    <row r="127" spans="1:7" x14ac:dyDescent="0.3">
      <c r="A127">
        <v>126</v>
      </c>
      <c r="B127" t="s">
        <v>145</v>
      </c>
      <c r="C127">
        <v>51024672</v>
      </c>
      <c r="D127">
        <v>78.97108851929049</v>
      </c>
      <c r="E127" t="s">
        <v>93</v>
      </c>
      <c r="F127">
        <v>430</v>
      </c>
      <c r="G127" s="4">
        <v>46087.591064814813</v>
      </c>
    </row>
    <row r="128" spans="1:7" x14ac:dyDescent="0.3">
      <c r="A128">
        <v>127</v>
      </c>
      <c r="B128" t="s">
        <v>145</v>
      </c>
      <c r="C128">
        <v>51021657</v>
      </c>
      <c r="D128">
        <v>31.36</v>
      </c>
      <c r="E128" t="s">
        <v>94</v>
      </c>
      <c r="F128">
        <v>929</v>
      </c>
      <c r="G128" s="4">
        <v>46087.591064814813</v>
      </c>
    </row>
    <row r="129" spans="1:7" x14ac:dyDescent="0.3">
      <c r="A129">
        <v>128</v>
      </c>
      <c r="B129" t="s">
        <v>145</v>
      </c>
      <c r="C129">
        <v>51042263</v>
      </c>
      <c r="D129">
        <v>80.553511102681952</v>
      </c>
      <c r="E129" t="s">
        <v>93</v>
      </c>
      <c r="F129">
        <v>392</v>
      </c>
      <c r="G129" s="4">
        <v>46087.591064814813</v>
      </c>
    </row>
    <row r="130" spans="1:7" x14ac:dyDescent="0.3">
      <c r="A130">
        <v>129</v>
      </c>
      <c r="B130" t="s">
        <v>145</v>
      </c>
      <c r="C130">
        <v>51055365</v>
      </c>
      <c r="D130">
        <v>86.423184985471124</v>
      </c>
      <c r="E130" t="s">
        <v>92</v>
      </c>
      <c r="F130">
        <v>218</v>
      </c>
      <c r="G130" s="4">
        <v>46087.591064814813</v>
      </c>
    </row>
    <row r="131" spans="1:7" x14ac:dyDescent="0.3">
      <c r="A131">
        <v>130</v>
      </c>
      <c r="B131" t="s">
        <v>145</v>
      </c>
      <c r="C131">
        <v>51031385</v>
      </c>
      <c r="D131">
        <v>82.731453828000227</v>
      </c>
      <c r="E131" t="s">
        <v>93</v>
      </c>
      <c r="F131">
        <v>330</v>
      </c>
      <c r="G131" s="4">
        <v>46087.591064814813</v>
      </c>
    </row>
    <row r="132" spans="1:7" x14ac:dyDescent="0.3">
      <c r="A132">
        <v>131</v>
      </c>
      <c r="B132" t="s">
        <v>145</v>
      </c>
      <c r="C132">
        <v>51041577</v>
      </c>
      <c r="D132">
        <v>93.367706168205174</v>
      </c>
      <c r="E132" t="s">
        <v>92</v>
      </c>
      <c r="F132">
        <v>70</v>
      </c>
      <c r="G132" s="4">
        <v>46087.591064814813</v>
      </c>
    </row>
    <row r="133" spans="1:7" x14ac:dyDescent="0.3">
      <c r="A133">
        <v>132</v>
      </c>
      <c r="B133" t="s">
        <v>145</v>
      </c>
      <c r="C133">
        <v>51018877</v>
      </c>
      <c r="D133">
        <v>60.887461223927403</v>
      </c>
      <c r="E133" t="s">
        <v>94</v>
      </c>
      <c r="F133">
        <v>650</v>
      </c>
      <c r="G133" s="4">
        <v>46087.591064814813</v>
      </c>
    </row>
    <row r="134" spans="1:7" x14ac:dyDescent="0.3">
      <c r="A134">
        <v>133</v>
      </c>
      <c r="B134" t="s">
        <v>145</v>
      </c>
      <c r="C134">
        <v>51030303</v>
      </c>
      <c r="D134">
        <v>21.079102384552968</v>
      </c>
      <c r="E134" t="s">
        <v>95</v>
      </c>
      <c r="F134">
        <v>1009</v>
      </c>
      <c r="G134" s="4">
        <v>46087.591064814813</v>
      </c>
    </row>
    <row r="135" spans="1:7" x14ac:dyDescent="0.3">
      <c r="A135">
        <v>134</v>
      </c>
      <c r="B135" t="s">
        <v>145</v>
      </c>
      <c r="C135">
        <v>51030613</v>
      </c>
      <c r="D135">
        <v>63.509237854810095</v>
      </c>
      <c r="E135" t="s">
        <v>94</v>
      </c>
      <c r="F135">
        <v>615</v>
      </c>
      <c r="G135" s="4">
        <v>46087.591064814813</v>
      </c>
    </row>
    <row r="136" spans="1:7" x14ac:dyDescent="0.3">
      <c r="A136">
        <v>135</v>
      </c>
      <c r="B136" t="s">
        <v>145</v>
      </c>
      <c r="C136">
        <v>51033761</v>
      </c>
      <c r="D136">
        <v>55.53751156439511</v>
      </c>
      <c r="E136" t="s">
        <v>94</v>
      </c>
      <c r="F136">
        <v>773</v>
      </c>
      <c r="G136" s="4">
        <v>46087.591064814813</v>
      </c>
    </row>
    <row r="137" spans="1:7" x14ac:dyDescent="0.3">
      <c r="A137">
        <v>136</v>
      </c>
      <c r="B137" t="s">
        <v>145</v>
      </c>
      <c r="C137">
        <v>51023170</v>
      </c>
      <c r="D137">
        <v>87.325564837239028</v>
      </c>
      <c r="E137" t="s">
        <v>92</v>
      </c>
      <c r="F137">
        <v>192</v>
      </c>
      <c r="G137" s="4">
        <v>46087.591064814813</v>
      </c>
    </row>
    <row r="138" spans="1:7" x14ac:dyDescent="0.3">
      <c r="A138">
        <v>137</v>
      </c>
      <c r="B138" t="s">
        <v>145</v>
      </c>
      <c r="C138">
        <v>51030079</v>
      </c>
      <c r="D138">
        <v>70.049338513178952</v>
      </c>
      <c r="E138" t="s">
        <v>93</v>
      </c>
      <c r="F138">
        <v>545</v>
      </c>
      <c r="G138" s="4">
        <v>46087.591064814813</v>
      </c>
    </row>
    <row r="139" spans="1:7" x14ac:dyDescent="0.3">
      <c r="A139">
        <v>138</v>
      </c>
      <c r="B139" t="s">
        <v>145</v>
      </c>
      <c r="C139">
        <v>51034317</v>
      </c>
      <c r="D139">
        <v>60.379190567968344</v>
      </c>
      <c r="E139" t="s">
        <v>94</v>
      </c>
      <c r="F139">
        <v>660</v>
      </c>
      <c r="G139" s="4">
        <v>46087.591064814813</v>
      </c>
    </row>
    <row r="140" spans="1:7" x14ac:dyDescent="0.3">
      <c r="A140">
        <v>139</v>
      </c>
      <c r="B140" t="s">
        <v>145</v>
      </c>
      <c r="C140">
        <v>51012666</v>
      </c>
      <c r="D140">
        <v>80.549147069369624</v>
      </c>
      <c r="E140" t="s">
        <v>93</v>
      </c>
      <c r="F140">
        <v>393</v>
      </c>
      <c r="G140" s="4">
        <v>46087.591064814813</v>
      </c>
    </row>
    <row r="141" spans="1:7" x14ac:dyDescent="0.3">
      <c r="A141">
        <v>140</v>
      </c>
      <c r="B141" t="s">
        <v>145</v>
      </c>
      <c r="C141">
        <v>51036247</v>
      </c>
      <c r="D141">
        <v>54.521299959434181</v>
      </c>
      <c r="E141" t="s">
        <v>94</v>
      </c>
      <c r="F141">
        <v>783</v>
      </c>
      <c r="G141" s="4">
        <v>46087.591064814813</v>
      </c>
    </row>
    <row r="142" spans="1:7" x14ac:dyDescent="0.3">
      <c r="A142">
        <v>141</v>
      </c>
      <c r="B142" t="s">
        <v>145</v>
      </c>
      <c r="C142">
        <v>51011325</v>
      </c>
      <c r="D142">
        <v>21.693000000000001</v>
      </c>
      <c r="E142" t="s">
        <v>95</v>
      </c>
      <c r="F142">
        <v>1005</v>
      </c>
      <c r="G142" s="4">
        <v>46087.591064814813</v>
      </c>
    </row>
    <row r="143" spans="1:7" x14ac:dyDescent="0.3">
      <c r="A143">
        <v>142</v>
      </c>
      <c r="B143" t="s">
        <v>145</v>
      </c>
      <c r="C143">
        <v>51004469</v>
      </c>
      <c r="D143">
        <v>55.393433028756064</v>
      </c>
      <c r="E143" t="s">
        <v>94</v>
      </c>
      <c r="F143">
        <v>778</v>
      </c>
      <c r="G143" s="4">
        <v>46087.591064814813</v>
      </c>
    </row>
    <row r="144" spans="1:7" x14ac:dyDescent="0.3">
      <c r="A144">
        <v>143</v>
      </c>
      <c r="B144" t="s">
        <v>145</v>
      </c>
      <c r="C144">
        <v>51020251</v>
      </c>
      <c r="D144">
        <v>86.448337703219096</v>
      </c>
      <c r="E144" t="s">
        <v>92</v>
      </c>
      <c r="F144">
        <v>216</v>
      </c>
      <c r="G144" s="4">
        <v>46087.591064814813</v>
      </c>
    </row>
    <row r="145" spans="1:7" x14ac:dyDescent="0.3">
      <c r="A145">
        <v>144</v>
      </c>
      <c r="B145" t="s">
        <v>145</v>
      </c>
      <c r="C145">
        <v>51016793</v>
      </c>
      <c r="D145">
        <v>89.172940121547327</v>
      </c>
      <c r="E145" t="s">
        <v>92</v>
      </c>
      <c r="F145">
        <v>147</v>
      </c>
      <c r="G145" s="4">
        <v>46087.591064814813</v>
      </c>
    </row>
    <row r="146" spans="1:7" x14ac:dyDescent="0.3">
      <c r="A146">
        <v>145</v>
      </c>
      <c r="B146" t="s">
        <v>145</v>
      </c>
      <c r="C146">
        <v>51015401</v>
      </c>
      <c r="D146">
        <v>97.581459370633183</v>
      </c>
      <c r="E146" t="s">
        <v>275</v>
      </c>
      <c r="F146">
        <v>28</v>
      </c>
      <c r="G146" s="4">
        <v>46087.591064814813</v>
      </c>
    </row>
    <row r="147" spans="1:7" x14ac:dyDescent="0.3">
      <c r="A147">
        <v>146</v>
      </c>
      <c r="B147" t="s">
        <v>145</v>
      </c>
      <c r="C147">
        <v>51056281</v>
      </c>
      <c r="D147">
        <v>84.636701828962998</v>
      </c>
      <c r="E147" t="s">
        <v>93</v>
      </c>
      <c r="F147">
        <v>267</v>
      </c>
      <c r="G147" s="4">
        <v>46087.591064814813</v>
      </c>
    </row>
    <row r="148" spans="1:7" x14ac:dyDescent="0.3">
      <c r="A148">
        <v>147</v>
      </c>
      <c r="B148" t="s">
        <v>145</v>
      </c>
      <c r="C148">
        <v>51055012</v>
      </c>
      <c r="D148">
        <v>59.026758978260645</v>
      </c>
      <c r="E148" t="s">
        <v>94</v>
      </c>
      <c r="F148">
        <v>691</v>
      </c>
      <c r="G148" s="4">
        <v>46087.591064814813</v>
      </c>
    </row>
    <row r="149" spans="1:7" x14ac:dyDescent="0.3">
      <c r="A149">
        <v>148</v>
      </c>
      <c r="B149" t="s">
        <v>145</v>
      </c>
      <c r="C149">
        <v>51006615</v>
      </c>
      <c r="D149">
        <v>83.529945316606941</v>
      </c>
      <c r="E149" t="s">
        <v>93</v>
      </c>
      <c r="F149">
        <v>297</v>
      </c>
      <c r="G149" s="4">
        <v>46087.591064814813</v>
      </c>
    </row>
    <row r="150" spans="1:7" x14ac:dyDescent="0.3">
      <c r="A150">
        <v>149</v>
      </c>
      <c r="B150" t="s">
        <v>145</v>
      </c>
      <c r="C150">
        <v>51011724</v>
      </c>
      <c r="D150">
        <v>89.11750704632162</v>
      </c>
      <c r="E150" t="s">
        <v>92</v>
      </c>
      <c r="F150">
        <v>148</v>
      </c>
      <c r="G150" s="4">
        <v>46087.591064814813</v>
      </c>
    </row>
    <row r="151" spans="1:7" x14ac:dyDescent="0.3">
      <c r="A151">
        <v>150</v>
      </c>
      <c r="B151" t="s">
        <v>145</v>
      </c>
      <c r="C151">
        <v>51010469</v>
      </c>
      <c r="D151">
        <v>59.326613235377124</v>
      </c>
      <c r="E151" t="s">
        <v>94</v>
      </c>
      <c r="F151">
        <v>687</v>
      </c>
      <c r="G151" s="4">
        <v>46087.591064814813</v>
      </c>
    </row>
    <row r="152" spans="1:7" x14ac:dyDescent="0.3">
      <c r="A152">
        <v>151</v>
      </c>
      <c r="B152" t="s">
        <v>145</v>
      </c>
      <c r="C152">
        <v>51056191</v>
      </c>
      <c r="D152">
        <v>81.750507342774696</v>
      </c>
      <c r="E152" t="s">
        <v>93</v>
      </c>
      <c r="F152">
        <v>357</v>
      </c>
      <c r="G152" s="4">
        <v>46087.591064814813</v>
      </c>
    </row>
    <row r="153" spans="1:7" x14ac:dyDescent="0.3">
      <c r="A153">
        <v>152</v>
      </c>
      <c r="B153" t="s">
        <v>145</v>
      </c>
      <c r="C153">
        <v>51023781</v>
      </c>
      <c r="D153">
        <v>73.062385546327121</v>
      </c>
      <c r="E153" t="s">
        <v>93</v>
      </c>
      <c r="F153">
        <v>495</v>
      </c>
      <c r="G153" s="4">
        <v>46087.591064814813</v>
      </c>
    </row>
    <row r="154" spans="1:7" x14ac:dyDescent="0.3">
      <c r="A154">
        <v>153</v>
      </c>
      <c r="B154" t="s">
        <v>145</v>
      </c>
      <c r="C154">
        <v>51056221</v>
      </c>
      <c r="D154">
        <v>77.333425721447824</v>
      </c>
      <c r="E154" t="s">
        <v>93</v>
      </c>
      <c r="F154">
        <v>450</v>
      </c>
      <c r="G154" s="4">
        <v>46087.591064814813</v>
      </c>
    </row>
    <row r="155" spans="1:7" x14ac:dyDescent="0.3">
      <c r="A155">
        <v>154</v>
      </c>
      <c r="B155" t="s">
        <v>145</v>
      </c>
      <c r="C155">
        <v>51018443</v>
      </c>
      <c r="D155">
        <v>83.083344489350708</v>
      </c>
      <c r="E155" t="s">
        <v>93</v>
      </c>
      <c r="F155">
        <v>317</v>
      </c>
      <c r="G155" s="4">
        <v>46087.591064814813</v>
      </c>
    </row>
    <row r="156" spans="1:7" x14ac:dyDescent="0.3">
      <c r="A156">
        <v>155</v>
      </c>
      <c r="B156" t="s">
        <v>145</v>
      </c>
      <c r="C156">
        <v>51023757</v>
      </c>
      <c r="D156">
        <v>100</v>
      </c>
      <c r="E156" t="s">
        <v>275</v>
      </c>
      <c r="F156">
        <v>1</v>
      </c>
      <c r="G156" s="4">
        <v>46087.591064814813</v>
      </c>
    </row>
    <row r="157" spans="1:7" x14ac:dyDescent="0.3">
      <c r="A157">
        <v>156</v>
      </c>
      <c r="B157" t="s">
        <v>145</v>
      </c>
      <c r="C157">
        <v>51055357</v>
      </c>
      <c r="D157">
        <v>91.079975402687666</v>
      </c>
      <c r="E157" t="s">
        <v>92</v>
      </c>
      <c r="F157">
        <v>105</v>
      </c>
      <c r="G157" s="4">
        <v>46087.591064814813</v>
      </c>
    </row>
    <row r="158" spans="1:7" x14ac:dyDescent="0.3">
      <c r="A158">
        <v>157</v>
      </c>
      <c r="B158" t="s">
        <v>145</v>
      </c>
      <c r="C158">
        <v>51021576</v>
      </c>
      <c r="D158">
        <v>96.030034049593496</v>
      </c>
      <c r="E158" t="s">
        <v>275</v>
      </c>
      <c r="F158">
        <v>40</v>
      </c>
      <c r="G158" s="4">
        <v>46087.591064814813</v>
      </c>
    </row>
    <row r="159" spans="1:7" x14ac:dyDescent="0.3">
      <c r="A159">
        <v>158</v>
      </c>
      <c r="B159" t="s">
        <v>145</v>
      </c>
      <c r="C159">
        <v>51018591</v>
      </c>
      <c r="D159">
        <v>89.212208951847217</v>
      </c>
      <c r="E159" t="s">
        <v>92</v>
      </c>
      <c r="F159">
        <v>145</v>
      </c>
      <c r="G159" s="4">
        <v>46087.591064814813</v>
      </c>
    </row>
    <row r="160" spans="1:7" x14ac:dyDescent="0.3">
      <c r="A160">
        <v>159</v>
      </c>
      <c r="B160" t="s">
        <v>145</v>
      </c>
      <c r="C160">
        <v>51023471</v>
      </c>
      <c r="D160">
        <v>85.632134141691211</v>
      </c>
      <c r="E160" t="s">
        <v>92</v>
      </c>
      <c r="F160">
        <v>239</v>
      </c>
      <c r="G160" s="4">
        <v>46087.591064814813</v>
      </c>
    </row>
    <row r="161" spans="1:7" x14ac:dyDescent="0.3">
      <c r="A161">
        <v>160</v>
      </c>
      <c r="B161" t="s">
        <v>145</v>
      </c>
      <c r="C161">
        <v>51031393</v>
      </c>
      <c r="D161">
        <v>80.911105316836426</v>
      </c>
      <c r="E161" t="s">
        <v>93</v>
      </c>
      <c r="F161">
        <v>383</v>
      </c>
      <c r="G161" s="4">
        <v>46087.591064814813</v>
      </c>
    </row>
    <row r="162" spans="1:7" x14ac:dyDescent="0.3">
      <c r="A162">
        <v>161</v>
      </c>
      <c r="B162" t="s">
        <v>145</v>
      </c>
      <c r="C162">
        <v>51025971</v>
      </c>
      <c r="D162">
        <v>30.798000000000002</v>
      </c>
      <c r="E162" t="s">
        <v>94</v>
      </c>
      <c r="F162">
        <v>936</v>
      </c>
      <c r="G162" s="4">
        <v>46087.591064814813</v>
      </c>
    </row>
    <row r="163" spans="1:7" x14ac:dyDescent="0.3">
      <c r="A163">
        <v>162</v>
      </c>
      <c r="B163" t="s">
        <v>145</v>
      </c>
      <c r="C163">
        <v>51020880</v>
      </c>
      <c r="D163">
        <v>100</v>
      </c>
      <c r="E163" t="s">
        <v>275</v>
      </c>
      <c r="F163">
        <v>1</v>
      </c>
      <c r="G163" s="4">
        <v>46087.591064814813</v>
      </c>
    </row>
    <row r="164" spans="1:7" x14ac:dyDescent="0.3">
      <c r="A164">
        <v>163</v>
      </c>
      <c r="B164" t="s">
        <v>145</v>
      </c>
      <c r="C164">
        <v>51023056</v>
      </c>
      <c r="D164">
        <v>83.267987899368507</v>
      </c>
      <c r="E164" t="s">
        <v>93</v>
      </c>
      <c r="F164">
        <v>308</v>
      </c>
      <c r="G164" s="4">
        <v>46087.591064814813</v>
      </c>
    </row>
    <row r="165" spans="1:7" x14ac:dyDescent="0.3">
      <c r="A165">
        <v>164</v>
      </c>
      <c r="B165" t="s">
        <v>145</v>
      </c>
      <c r="C165">
        <v>51022688</v>
      </c>
      <c r="D165">
        <v>88.81110719955015</v>
      </c>
      <c r="E165" t="s">
        <v>92</v>
      </c>
      <c r="F165">
        <v>157</v>
      </c>
      <c r="G165" s="4">
        <v>46087.591064814813</v>
      </c>
    </row>
    <row r="166" spans="1:7" x14ac:dyDescent="0.3">
      <c r="A166">
        <v>165</v>
      </c>
      <c r="B166" t="s">
        <v>145</v>
      </c>
      <c r="C166">
        <v>51012747</v>
      </c>
      <c r="D166">
        <v>77.855453099871539</v>
      </c>
      <c r="E166" t="s">
        <v>93</v>
      </c>
      <c r="F166">
        <v>442</v>
      </c>
      <c r="G166" s="4">
        <v>46087.591064814813</v>
      </c>
    </row>
    <row r="167" spans="1:7" x14ac:dyDescent="0.3">
      <c r="A167">
        <v>166</v>
      </c>
      <c r="B167" t="s">
        <v>145</v>
      </c>
      <c r="C167">
        <v>51032900</v>
      </c>
      <c r="D167">
        <v>74.135968893013327</v>
      </c>
      <c r="E167" t="s">
        <v>93</v>
      </c>
      <c r="F167">
        <v>492</v>
      </c>
      <c r="G167" s="4">
        <v>46087.591064814813</v>
      </c>
    </row>
    <row r="168" spans="1:7" x14ac:dyDescent="0.3">
      <c r="A168">
        <v>167</v>
      </c>
      <c r="B168" t="s">
        <v>145</v>
      </c>
      <c r="C168">
        <v>51056434</v>
      </c>
      <c r="D168">
        <v>81.464809127255378</v>
      </c>
      <c r="E168" t="s">
        <v>93</v>
      </c>
      <c r="F168">
        <v>365</v>
      </c>
      <c r="G168" s="4">
        <v>46087.591064814813</v>
      </c>
    </row>
    <row r="169" spans="1:7" x14ac:dyDescent="0.3">
      <c r="A169">
        <v>168</v>
      </c>
      <c r="B169" t="s">
        <v>145</v>
      </c>
      <c r="C169">
        <v>51019261</v>
      </c>
      <c r="D169">
        <v>72.880440850099973</v>
      </c>
      <c r="E169" t="s">
        <v>93</v>
      </c>
      <c r="F169">
        <v>500</v>
      </c>
      <c r="G169" s="4">
        <v>46087.591064814813</v>
      </c>
    </row>
    <row r="170" spans="1:7" x14ac:dyDescent="0.3">
      <c r="A170">
        <v>169</v>
      </c>
      <c r="B170" t="s">
        <v>145</v>
      </c>
      <c r="C170">
        <v>51018486</v>
      </c>
      <c r="D170">
        <v>60.473610631943593</v>
      </c>
      <c r="E170" t="s">
        <v>94</v>
      </c>
      <c r="F170">
        <v>657</v>
      </c>
      <c r="G170" s="4">
        <v>46087.591064814813</v>
      </c>
    </row>
    <row r="171" spans="1:7" x14ac:dyDescent="0.3">
      <c r="A171">
        <v>170</v>
      </c>
      <c r="B171" t="s">
        <v>145</v>
      </c>
      <c r="C171">
        <v>51005732</v>
      </c>
      <c r="D171">
        <v>79.75712749973529</v>
      </c>
      <c r="E171" t="s">
        <v>93</v>
      </c>
      <c r="F171">
        <v>410</v>
      </c>
      <c r="G171" s="4">
        <v>46087.591064814813</v>
      </c>
    </row>
    <row r="172" spans="1:7" x14ac:dyDescent="0.3">
      <c r="A172">
        <v>171</v>
      </c>
      <c r="B172" t="s">
        <v>145</v>
      </c>
      <c r="C172">
        <v>51039785</v>
      </c>
      <c r="D172">
        <v>54.885273552215764</v>
      </c>
      <c r="E172" t="s">
        <v>94</v>
      </c>
      <c r="F172">
        <v>781</v>
      </c>
      <c r="G172" s="4">
        <v>46087.591064814813</v>
      </c>
    </row>
    <row r="173" spans="1:7" x14ac:dyDescent="0.3">
      <c r="A173">
        <v>172</v>
      </c>
      <c r="B173" t="s">
        <v>145</v>
      </c>
      <c r="C173">
        <v>51025865</v>
      </c>
      <c r="D173">
        <v>90.397961025281504</v>
      </c>
      <c r="E173" t="s">
        <v>92</v>
      </c>
      <c r="F173">
        <v>115</v>
      </c>
      <c r="G173" s="4">
        <v>46087.591064814813</v>
      </c>
    </row>
    <row r="174" spans="1:7" x14ac:dyDescent="0.3">
      <c r="A174">
        <v>173</v>
      </c>
      <c r="B174" t="s">
        <v>145</v>
      </c>
      <c r="C174">
        <v>51015657</v>
      </c>
      <c r="D174">
        <v>77.618526419936927</v>
      </c>
      <c r="E174" t="s">
        <v>93</v>
      </c>
      <c r="F174">
        <v>445</v>
      </c>
      <c r="G174" s="4">
        <v>46087.591064814813</v>
      </c>
    </row>
    <row r="175" spans="1:7" x14ac:dyDescent="0.3">
      <c r="A175">
        <v>174</v>
      </c>
      <c r="B175" t="s">
        <v>145</v>
      </c>
      <c r="C175">
        <v>51001168</v>
      </c>
      <c r="D175">
        <v>72.618681821376811</v>
      </c>
      <c r="E175" t="s">
        <v>93</v>
      </c>
      <c r="F175">
        <v>505</v>
      </c>
      <c r="G175" s="4">
        <v>46087.591064814813</v>
      </c>
    </row>
    <row r="176" spans="1:7" x14ac:dyDescent="0.3">
      <c r="A176">
        <v>175</v>
      </c>
      <c r="B176" t="s">
        <v>145</v>
      </c>
      <c r="C176">
        <v>51021380</v>
      </c>
      <c r="D176">
        <v>74.32351729733206</v>
      </c>
      <c r="E176" t="s">
        <v>93</v>
      </c>
      <c r="F176">
        <v>490</v>
      </c>
      <c r="G176" s="4">
        <v>46087.591064814813</v>
      </c>
    </row>
    <row r="177" spans="1:7" x14ac:dyDescent="0.3">
      <c r="A177">
        <v>176</v>
      </c>
      <c r="B177" t="s">
        <v>145</v>
      </c>
      <c r="C177">
        <v>51011970</v>
      </c>
      <c r="D177">
        <v>87.525933246793045</v>
      </c>
      <c r="E177" t="s">
        <v>92</v>
      </c>
      <c r="F177">
        <v>188</v>
      </c>
      <c r="G177" s="4">
        <v>46087.591064814813</v>
      </c>
    </row>
    <row r="178" spans="1:7" x14ac:dyDescent="0.3">
      <c r="A178">
        <v>177</v>
      </c>
      <c r="B178" t="s">
        <v>145</v>
      </c>
      <c r="C178">
        <v>51036697</v>
      </c>
      <c r="D178">
        <v>38.324666557420315</v>
      </c>
      <c r="E178" t="s">
        <v>94</v>
      </c>
      <c r="F178">
        <v>890</v>
      </c>
      <c r="G178" s="4">
        <v>46087.591064814813</v>
      </c>
    </row>
    <row r="179" spans="1:7" x14ac:dyDescent="0.3">
      <c r="A179">
        <v>178</v>
      </c>
      <c r="B179" t="s">
        <v>145</v>
      </c>
      <c r="C179">
        <v>51009061</v>
      </c>
      <c r="D179">
        <v>47.117371105809056</v>
      </c>
      <c r="E179" t="s">
        <v>94</v>
      </c>
      <c r="F179">
        <v>846</v>
      </c>
      <c r="G179" s="4">
        <v>46087.591064814813</v>
      </c>
    </row>
    <row r="180" spans="1:7" x14ac:dyDescent="0.3">
      <c r="A180">
        <v>179</v>
      </c>
      <c r="B180" t="s">
        <v>145</v>
      </c>
      <c r="C180">
        <v>51013824</v>
      </c>
      <c r="D180">
        <v>89.961713350421789</v>
      </c>
      <c r="E180" t="s">
        <v>92</v>
      </c>
      <c r="F180">
        <v>124</v>
      </c>
      <c r="G180" s="4">
        <v>46087.591064814813</v>
      </c>
    </row>
    <row r="181" spans="1:7" x14ac:dyDescent="0.3">
      <c r="A181">
        <v>180</v>
      </c>
      <c r="B181" t="s">
        <v>145</v>
      </c>
      <c r="C181">
        <v>51009240</v>
      </c>
      <c r="D181">
        <v>67.39706592766467</v>
      </c>
      <c r="E181" t="s">
        <v>93</v>
      </c>
      <c r="F181">
        <v>582</v>
      </c>
      <c r="G181" s="4">
        <v>46087.591064814813</v>
      </c>
    </row>
    <row r="182" spans="1:7" x14ac:dyDescent="0.3">
      <c r="A182">
        <v>181</v>
      </c>
      <c r="B182" t="s">
        <v>145</v>
      </c>
      <c r="C182">
        <v>51001061</v>
      </c>
      <c r="D182">
        <v>67.692121463671739</v>
      </c>
      <c r="E182" t="s">
        <v>93</v>
      </c>
      <c r="F182">
        <v>577</v>
      </c>
      <c r="G182" s="4">
        <v>46087.591064814813</v>
      </c>
    </row>
    <row r="183" spans="1:7" x14ac:dyDescent="0.3">
      <c r="A183">
        <v>182</v>
      </c>
      <c r="B183" t="s">
        <v>145</v>
      </c>
      <c r="C183">
        <v>51018621</v>
      </c>
      <c r="D183">
        <v>18.40666549781351</v>
      </c>
      <c r="E183" t="s">
        <v>95</v>
      </c>
      <c r="F183">
        <v>1051</v>
      </c>
      <c r="G183" s="4">
        <v>46087.591064814813</v>
      </c>
    </row>
    <row r="184" spans="1:7" x14ac:dyDescent="0.3">
      <c r="A184">
        <v>183</v>
      </c>
      <c r="B184" t="s">
        <v>145</v>
      </c>
      <c r="C184">
        <v>51011031</v>
      </c>
      <c r="D184">
        <v>89.697843153954807</v>
      </c>
      <c r="E184" t="s">
        <v>92</v>
      </c>
      <c r="F184">
        <v>132</v>
      </c>
      <c r="G184" s="4">
        <v>46087.591064814813</v>
      </c>
    </row>
    <row r="185" spans="1:7" x14ac:dyDescent="0.3">
      <c r="A185">
        <v>184</v>
      </c>
      <c r="B185" t="s">
        <v>145</v>
      </c>
      <c r="C185">
        <v>51013239</v>
      </c>
      <c r="D185">
        <v>72.892084453726397</v>
      </c>
      <c r="E185" t="s">
        <v>93</v>
      </c>
      <c r="F185">
        <v>499</v>
      </c>
      <c r="G185" s="4">
        <v>46087.591064814813</v>
      </c>
    </row>
    <row r="186" spans="1:7" x14ac:dyDescent="0.3">
      <c r="A186">
        <v>185</v>
      </c>
      <c r="B186" t="s">
        <v>145</v>
      </c>
      <c r="C186">
        <v>51030281</v>
      </c>
      <c r="D186">
        <v>59.946932209492047</v>
      </c>
      <c r="E186" t="s">
        <v>94</v>
      </c>
      <c r="F186">
        <v>670</v>
      </c>
      <c r="G186" s="4">
        <v>46087.591064814813</v>
      </c>
    </row>
    <row r="187" spans="1:7" x14ac:dyDescent="0.3">
      <c r="A187">
        <v>186</v>
      </c>
      <c r="B187" t="s">
        <v>145</v>
      </c>
      <c r="C187">
        <v>51055829</v>
      </c>
      <c r="D187">
        <v>34.594931491881177</v>
      </c>
      <c r="E187" t="s">
        <v>94</v>
      </c>
      <c r="F187">
        <v>909</v>
      </c>
      <c r="G187" s="4">
        <v>46087.591064814813</v>
      </c>
    </row>
    <row r="188" spans="1:7" x14ac:dyDescent="0.3">
      <c r="A188">
        <v>187</v>
      </c>
      <c r="B188" t="s">
        <v>145</v>
      </c>
      <c r="C188">
        <v>51023919</v>
      </c>
      <c r="D188">
        <v>72.502526282578174</v>
      </c>
      <c r="E188" t="s">
        <v>93</v>
      </c>
      <c r="F188">
        <v>508</v>
      </c>
      <c r="G188" s="4">
        <v>46087.591064814813</v>
      </c>
    </row>
    <row r="189" spans="1:7" x14ac:dyDescent="0.3">
      <c r="A189">
        <v>188</v>
      </c>
      <c r="B189" t="s">
        <v>145</v>
      </c>
      <c r="C189">
        <v>51031610</v>
      </c>
      <c r="D189">
        <v>93.45191633093954</v>
      </c>
      <c r="E189" t="s">
        <v>92</v>
      </c>
      <c r="F189">
        <v>68</v>
      </c>
      <c r="G189" s="4">
        <v>46087.591064814813</v>
      </c>
    </row>
    <row r="190" spans="1:7" x14ac:dyDescent="0.3">
      <c r="A190">
        <v>189</v>
      </c>
      <c r="B190" t="s">
        <v>145</v>
      </c>
      <c r="C190">
        <v>51024141</v>
      </c>
      <c r="D190">
        <v>100</v>
      </c>
      <c r="E190" t="s">
        <v>275</v>
      </c>
      <c r="F190">
        <v>1</v>
      </c>
      <c r="G190" s="4">
        <v>46087.591064814813</v>
      </c>
    </row>
    <row r="191" spans="1:7" x14ac:dyDescent="0.3">
      <c r="A191">
        <v>190</v>
      </c>
      <c r="B191" t="s">
        <v>145</v>
      </c>
      <c r="C191">
        <v>51023137</v>
      </c>
      <c r="D191">
        <v>100</v>
      </c>
      <c r="E191" t="s">
        <v>275</v>
      </c>
      <c r="F191">
        <v>1</v>
      </c>
      <c r="G191" s="4">
        <v>46087.591064814813</v>
      </c>
    </row>
    <row r="192" spans="1:7" x14ac:dyDescent="0.3">
      <c r="A192">
        <v>191</v>
      </c>
      <c r="B192" t="s">
        <v>145</v>
      </c>
      <c r="C192">
        <v>51026578</v>
      </c>
      <c r="D192">
        <v>61.842395362144281</v>
      </c>
      <c r="E192" t="s">
        <v>94</v>
      </c>
      <c r="F192">
        <v>631</v>
      </c>
      <c r="G192" s="4">
        <v>46087.591064814813</v>
      </c>
    </row>
    <row r="193" spans="1:7" x14ac:dyDescent="0.3">
      <c r="A193">
        <v>192</v>
      </c>
      <c r="B193" t="s">
        <v>145</v>
      </c>
      <c r="C193">
        <v>51017986</v>
      </c>
      <c r="D193">
        <v>92.759314834324499</v>
      </c>
      <c r="E193" t="s">
        <v>92</v>
      </c>
      <c r="F193">
        <v>78</v>
      </c>
      <c r="G193" s="4">
        <v>46087.591064814813</v>
      </c>
    </row>
    <row r="194" spans="1:7" x14ac:dyDescent="0.3">
      <c r="A194">
        <v>193</v>
      </c>
      <c r="B194" t="s">
        <v>145</v>
      </c>
      <c r="C194">
        <v>51055373</v>
      </c>
      <c r="D194">
        <v>83.095742369885116</v>
      </c>
      <c r="E194" t="s">
        <v>93</v>
      </c>
      <c r="F194">
        <v>316</v>
      </c>
      <c r="G194" s="4">
        <v>46087.591064814813</v>
      </c>
    </row>
    <row r="195" spans="1:7" x14ac:dyDescent="0.3">
      <c r="A195">
        <v>194</v>
      </c>
      <c r="B195" t="s">
        <v>145</v>
      </c>
      <c r="C195">
        <v>51013794</v>
      </c>
      <c r="D195">
        <v>67.347651196573779</v>
      </c>
      <c r="E195" t="s">
        <v>93</v>
      </c>
      <c r="F195">
        <v>584</v>
      </c>
      <c r="G195" s="4">
        <v>46087.591064814813</v>
      </c>
    </row>
    <row r="196" spans="1:7" x14ac:dyDescent="0.3">
      <c r="A196">
        <v>195</v>
      </c>
      <c r="B196" t="s">
        <v>145</v>
      </c>
      <c r="C196">
        <v>51033141</v>
      </c>
      <c r="D196">
        <v>57.572465935004253</v>
      </c>
      <c r="E196" t="s">
        <v>94</v>
      </c>
      <c r="F196">
        <v>726</v>
      </c>
      <c r="G196" s="4">
        <v>46087.591064814813</v>
      </c>
    </row>
    <row r="197" spans="1:7" x14ac:dyDescent="0.3">
      <c r="A197">
        <v>196</v>
      </c>
      <c r="B197" t="s">
        <v>145</v>
      </c>
      <c r="C197">
        <v>51056612</v>
      </c>
      <c r="D197">
        <v>46.952706213971034</v>
      </c>
      <c r="E197" t="s">
        <v>94</v>
      </c>
      <c r="F197">
        <v>849</v>
      </c>
      <c r="G197" s="4">
        <v>46087.591064814813</v>
      </c>
    </row>
    <row r="198" spans="1:7" x14ac:dyDescent="0.3">
      <c r="A198">
        <v>197</v>
      </c>
      <c r="B198" t="s">
        <v>145</v>
      </c>
      <c r="C198">
        <v>51032071</v>
      </c>
      <c r="D198">
        <v>89.919277678072007</v>
      </c>
      <c r="E198" t="s">
        <v>92</v>
      </c>
      <c r="F198">
        <v>125</v>
      </c>
      <c r="G198" s="4">
        <v>46087.591064814813</v>
      </c>
    </row>
    <row r="199" spans="1:7" x14ac:dyDescent="0.3">
      <c r="A199">
        <v>198</v>
      </c>
      <c r="B199" t="s">
        <v>145</v>
      </c>
      <c r="C199">
        <v>51031121</v>
      </c>
      <c r="D199">
        <v>90.142636765061809</v>
      </c>
      <c r="E199" t="s">
        <v>92</v>
      </c>
      <c r="F199">
        <v>120</v>
      </c>
      <c r="G199" s="4">
        <v>46087.591064814813</v>
      </c>
    </row>
    <row r="200" spans="1:7" x14ac:dyDescent="0.3">
      <c r="A200">
        <v>199</v>
      </c>
      <c r="B200" t="s">
        <v>145</v>
      </c>
      <c r="C200">
        <v>51056981</v>
      </c>
      <c r="D200">
        <v>48.427051002617752</v>
      </c>
      <c r="E200" t="s">
        <v>94</v>
      </c>
      <c r="F200">
        <v>839</v>
      </c>
      <c r="G200" s="4">
        <v>46087.591064814813</v>
      </c>
    </row>
    <row r="201" spans="1:7" x14ac:dyDescent="0.3">
      <c r="A201">
        <v>200</v>
      </c>
      <c r="B201" t="s">
        <v>145</v>
      </c>
      <c r="C201">
        <v>51022424</v>
      </c>
      <c r="D201">
        <v>12.038599999999999</v>
      </c>
      <c r="E201" t="s">
        <v>95</v>
      </c>
      <c r="F201">
        <v>1141</v>
      </c>
      <c r="G201" s="4">
        <v>46087.591064814813</v>
      </c>
    </row>
    <row r="202" spans="1:7" x14ac:dyDescent="0.3">
      <c r="A202">
        <v>201</v>
      </c>
      <c r="B202" t="s">
        <v>145</v>
      </c>
      <c r="C202">
        <v>51025920</v>
      </c>
      <c r="D202">
        <v>61.416679308172213</v>
      </c>
      <c r="E202" t="s">
        <v>94</v>
      </c>
      <c r="F202">
        <v>640</v>
      </c>
      <c r="G202" s="4">
        <v>46087.591064814813</v>
      </c>
    </row>
    <row r="203" spans="1:7" x14ac:dyDescent="0.3">
      <c r="A203">
        <v>202</v>
      </c>
      <c r="B203" t="s">
        <v>145</v>
      </c>
      <c r="C203">
        <v>51056388</v>
      </c>
      <c r="D203">
        <v>81.9416393493035</v>
      </c>
      <c r="E203" t="s">
        <v>93</v>
      </c>
      <c r="F203">
        <v>349</v>
      </c>
      <c r="G203" s="4">
        <v>46087.591064814813</v>
      </c>
    </row>
    <row r="204" spans="1:7" x14ac:dyDescent="0.3">
      <c r="A204">
        <v>203</v>
      </c>
      <c r="B204" t="s">
        <v>145</v>
      </c>
      <c r="C204">
        <v>51033485</v>
      </c>
      <c r="D204">
        <v>49.330636257993845</v>
      </c>
      <c r="E204" t="s">
        <v>94</v>
      </c>
      <c r="F204">
        <v>832</v>
      </c>
      <c r="G204" s="4">
        <v>46087.591064814813</v>
      </c>
    </row>
    <row r="205" spans="1:7" x14ac:dyDescent="0.3">
      <c r="A205">
        <v>204</v>
      </c>
      <c r="B205" t="s">
        <v>145</v>
      </c>
      <c r="C205">
        <v>51041615</v>
      </c>
      <c r="D205">
        <v>49.498898825100241</v>
      </c>
      <c r="E205" t="s">
        <v>94</v>
      </c>
      <c r="F205">
        <v>829</v>
      </c>
      <c r="G205" s="4">
        <v>46087.591064814813</v>
      </c>
    </row>
    <row r="206" spans="1:7" x14ac:dyDescent="0.3">
      <c r="A206">
        <v>205</v>
      </c>
      <c r="B206" t="s">
        <v>145</v>
      </c>
      <c r="C206">
        <v>51017641</v>
      </c>
      <c r="D206">
        <v>86.601238186171699</v>
      </c>
      <c r="E206" t="s">
        <v>92</v>
      </c>
      <c r="F206">
        <v>212</v>
      </c>
      <c r="G206" s="4">
        <v>46087.591064814813</v>
      </c>
    </row>
    <row r="207" spans="1:7" x14ac:dyDescent="0.3">
      <c r="A207">
        <v>206</v>
      </c>
      <c r="B207" t="s">
        <v>145</v>
      </c>
      <c r="C207">
        <v>51005741</v>
      </c>
      <c r="D207">
        <v>89.4541852433169</v>
      </c>
      <c r="E207" t="s">
        <v>92</v>
      </c>
      <c r="F207">
        <v>139</v>
      </c>
      <c r="G207" s="4">
        <v>46087.591064814813</v>
      </c>
    </row>
    <row r="208" spans="1:7" x14ac:dyDescent="0.3">
      <c r="A208">
        <v>207</v>
      </c>
      <c r="B208" t="s">
        <v>145</v>
      </c>
      <c r="C208">
        <v>51011996</v>
      </c>
      <c r="D208">
        <v>92.407856855058697</v>
      </c>
      <c r="E208" t="s">
        <v>92</v>
      </c>
      <c r="F208">
        <v>83</v>
      </c>
      <c r="G208" s="4">
        <v>46087.591064814813</v>
      </c>
    </row>
    <row r="209" spans="1:7" x14ac:dyDescent="0.3">
      <c r="A209">
        <v>208</v>
      </c>
      <c r="B209" t="s">
        <v>145</v>
      </c>
      <c r="C209">
        <v>51025440</v>
      </c>
      <c r="D209">
        <v>89.628877231662898</v>
      </c>
      <c r="E209" t="s">
        <v>92</v>
      </c>
      <c r="F209">
        <v>136</v>
      </c>
      <c r="G209" s="4">
        <v>46087.591064814813</v>
      </c>
    </row>
    <row r="210" spans="1:7" x14ac:dyDescent="0.3">
      <c r="A210">
        <v>209</v>
      </c>
      <c r="B210" t="s">
        <v>145</v>
      </c>
      <c r="C210">
        <v>51055993</v>
      </c>
      <c r="D210">
        <v>71.677172118854102</v>
      </c>
      <c r="E210" t="s">
        <v>93</v>
      </c>
      <c r="F210">
        <v>522</v>
      </c>
      <c r="G210" s="4">
        <v>46087.591064814813</v>
      </c>
    </row>
    <row r="211" spans="1:7" x14ac:dyDescent="0.3">
      <c r="A211">
        <v>210</v>
      </c>
      <c r="B211" t="s">
        <v>145</v>
      </c>
      <c r="C211">
        <v>51021231</v>
      </c>
      <c r="D211">
        <v>56.564976165583005</v>
      </c>
      <c r="E211" t="s">
        <v>94</v>
      </c>
      <c r="F211">
        <v>750</v>
      </c>
      <c r="G211" s="4">
        <v>46087.591064814813</v>
      </c>
    </row>
    <row r="212" spans="1:7" x14ac:dyDescent="0.3">
      <c r="A212">
        <v>211</v>
      </c>
      <c r="B212" t="s">
        <v>145</v>
      </c>
      <c r="C212">
        <v>51024125</v>
      </c>
      <c r="D212">
        <v>37.180254379656418</v>
      </c>
      <c r="E212" t="s">
        <v>94</v>
      </c>
      <c r="F212">
        <v>895</v>
      </c>
      <c r="G212" s="4">
        <v>46087.591064814813</v>
      </c>
    </row>
    <row r="213" spans="1:7" x14ac:dyDescent="0.3">
      <c r="A213">
        <v>212</v>
      </c>
      <c r="B213" t="s">
        <v>145</v>
      </c>
      <c r="C213">
        <v>51014359</v>
      </c>
      <c r="D213">
        <v>30.8</v>
      </c>
      <c r="E213" t="s">
        <v>94</v>
      </c>
      <c r="F213">
        <v>935</v>
      </c>
      <c r="G213" s="4">
        <v>46087.591064814813</v>
      </c>
    </row>
    <row r="214" spans="1:7" x14ac:dyDescent="0.3">
      <c r="A214">
        <v>213</v>
      </c>
      <c r="B214" t="s">
        <v>145</v>
      </c>
      <c r="C214">
        <v>51024681</v>
      </c>
      <c r="D214">
        <v>85.056857972323414</v>
      </c>
      <c r="E214" t="s">
        <v>93</v>
      </c>
      <c r="F214">
        <v>255</v>
      </c>
      <c r="G214" s="4">
        <v>46087.591064814813</v>
      </c>
    </row>
    <row r="215" spans="1:7" x14ac:dyDescent="0.3">
      <c r="A215">
        <v>214</v>
      </c>
      <c r="B215" t="s">
        <v>145</v>
      </c>
      <c r="C215">
        <v>51024001</v>
      </c>
      <c r="D215">
        <v>61.440360957390972</v>
      </c>
      <c r="E215" t="s">
        <v>94</v>
      </c>
      <c r="F215">
        <v>639</v>
      </c>
      <c r="G215" s="4">
        <v>46087.591064814813</v>
      </c>
    </row>
    <row r="216" spans="1:7" x14ac:dyDescent="0.3">
      <c r="A216">
        <v>215</v>
      </c>
      <c r="B216" t="s">
        <v>145</v>
      </c>
      <c r="C216">
        <v>51023480</v>
      </c>
      <c r="D216">
        <v>25.100224660987113</v>
      </c>
      <c r="E216" t="s">
        <v>95</v>
      </c>
      <c r="F216">
        <v>984</v>
      </c>
      <c r="G216" s="4">
        <v>46087.591064814813</v>
      </c>
    </row>
    <row r="217" spans="1:7" x14ac:dyDescent="0.3">
      <c r="A217">
        <v>216</v>
      </c>
      <c r="B217" t="s">
        <v>145</v>
      </c>
      <c r="C217">
        <v>51020405</v>
      </c>
      <c r="D217">
        <v>71.134204006173434</v>
      </c>
      <c r="E217" t="s">
        <v>93</v>
      </c>
      <c r="F217">
        <v>533</v>
      </c>
      <c r="G217" s="4">
        <v>46087.591064814813</v>
      </c>
    </row>
    <row r="218" spans="1:7" x14ac:dyDescent="0.3">
      <c r="A218">
        <v>217</v>
      </c>
      <c r="B218" t="s">
        <v>145</v>
      </c>
      <c r="C218">
        <v>51044070</v>
      </c>
      <c r="D218">
        <v>74.94634652246863</v>
      </c>
      <c r="E218" t="s">
        <v>93</v>
      </c>
      <c r="F218">
        <v>479</v>
      </c>
      <c r="G218" s="4">
        <v>46087.591064814813</v>
      </c>
    </row>
    <row r="219" spans="1:7" x14ac:dyDescent="0.3">
      <c r="A219">
        <v>218</v>
      </c>
      <c r="B219" t="s">
        <v>145</v>
      </c>
      <c r="C219">
        <v>51032110</v>
      </c>
      <c r="D219">
        <v>54.905888958593486</v>
      </c>
      <c r="E219" t="s">
        <v>94</v>
      </c>
      <c r="F219">
        <v>780</v>
      </c>
      <c r="G219" s="4">
        <v>46087.591064814813</v>
      </c>
    </row>
    <row r="220" spans="1:7" x14ac:dyDescent="0.3">
      <c r="A220">
        <v>219</v>
      </c>
      <c r="B220" t="s">
        <v>145</v>
      </c>
      <c r="C220">
        <v>51036123</v>
      </c>
      <c r="D220">
        <v>70.438116109311423</v>
      </c>
      <c r="E220" t="s">
        <v>93</v>
      </c>
      <c r="F220">
        <v>541</v>
      </c>
      <c r="G220" s="4">
        <v>46087.591064814813</v>
      </c>
    </row>
    <row r="221" spans="1:7" x14ac:dyDescent="0.3">
      <c r="A221">
        <v>220</v>
      </c>
      <c r="B221" t="s">
        <v>145</v>
      </c>
      <c r="C221">
        <v>51056078</v>
      </c>
      <c r="D221">
        <v>71.017834921234993</v>
      </c>
      <c r="E221" t="s">
        <v>93</v>
      </c>
      <c r="F221">
        <v>534</v>
      </c>
      <c r="G221" s="4">
        <v>46087.591064814813</v>
      </c>
    </row>
    <row r="222" spans="1:7" x14ac:dyDescent="0.3">
      <c r="A222">
        <v>221</v>
      </c>
      <c r="B222" t="s">
        <v>145</v>
      </c>
      <c r="C222">
        <v>51012445</v>
      </c>
      <c r="D222">
        <v>65.921295862222848</v>
      </c>
      <c r="E222" t="s">
        <v>93</v>
      </c>
      <c r="F222">
        <v>596</v>
      </c>
      <c r="G222" s="4">
        <v>46087.591064814813</v>
      </c>
    </row>
    <row r="223" spans="1:7" x14ac:dyDescent="0.3">
      <c r="A223">
        <v>222</v>
      </c>
      <c r="B223" t="s">
        <v>145</v>
      </c>
      <c r="C223">
        <v>51019661</v>
      </c>
      <c r="D223">
        <v>81.041275079699986</v>
      </c>
      <c r="E223" t="s">
        <v>93</v>
      </c>
      <c r="F223">
        <v>377</v>
      </c>
      <c r="G223" s="4">
        <v>46087.591064814813</v>
      </c>
    </row>
    <row r="224" spans="1:7" x14ac:dyDescent="0.3">
      <c r="A224">
        <v>223</v>
      </c>
      <c r="B224" t="s">
        <v>145</v>
      </c>
      <c r="C224">
        <v>51021894</v>
      </c>
      <c r="D224">
        <v>23.62957574471141</v>
      </c>
      <c r="E224" t="s">
        <v>95</v>
      </c>
      <c r="F224">
        <v>991</v>
      </c>
      <c r="G224" s="4">
        <v>46087.591064814813</v>
      </c>
    </row>
    <row r="225" spans="1:7" x14ac:dyDescent="0.3">
      <c r="A225">
        <v>224</v>
      </c>
      <c r="B225" t="s">
        <v>145</v>
      </c>
      <c r="C225">
        <v>51018575</v>
      </c>
      <c r="D225">
        <v>87.151236042466834</v>
      </c>
      <c r="E225" t="s">
        <v>92</v>
      </c>
      <c r="F225">
        <v>195</v>
      </c>
      <c r="G225" s="4">
        <v>46087.591064814813</v>
      </c>
    </row>
    <row r="226" spans="1:7" x14ac:dyDescent="0.3">
      <c r="A226">
        <v>225</v>
      </c>
      <c r="B226" t="s">
        <v>145</v>
      </c>
      <c r="C226">
        <v>51031652</v>
      </c>
      <c r="D226">
        <v>84.62854011638639</v>
      </c>
      <c r="E226" t="s">
        <v>93</v>
      </c>
      <c r="F226">
        <v>268</v>
      </c>
      <c r="G226" s="4">
        <v>46087.591064814813</v>
      </c>
    </row>
    <row r="227" spans="1:7" x14ac:dyDescent="0.3">
      <c r="A227">
        <v>226</v>
      </c>
      <c r="B227" t="s">
        <v>145</v>
      </c>
      <c r="C227">
        <v>51040627</v>
      </c>
      <c r="D227">
        <v>72.987263268021294</v>
      </c>
      <c r="E227" t="s">
        <v>93</v>
      </c>
      <c r="F227">
        <v>497</v>
      </c>
      <c r="G227" s="4">
        <v>46087.591064814813</v>
      </c>
    </row>
    <row r="228" spans="1:7" x14ac:dyDescent="0.3">
      <c r="A228">
        <v>227</v>
      </c>
      <c r="B228" t="s">
        <v>145</v>
      </c>
      <c r="C228">
        <v>51031253</v>
      </c>
      <c r="D228">
        <v>53.285575195398991</v>
      </c>
      <c r="E228" t="s">
        <v>94</v>
      </c>
      <c r="F228">
        <v>799</v>
      </c>
      <c r="G228" s="4">
        <v>46087.591064814813</v>
      </c>
    </row>
    <row r="229" spans="1:7" x14ac:dyDescent="0.3">
      <c r="A229">
        <v>228</v>
      </c>
      <c r="B229" t="s">
        <v>145</v>
      </c>
      <c r="C229">
        <v>51034350</v>
      </c>
      <c r="D229">
        <v>58.677585600730495</v>
      </c>
      <c r="E229" t="s">
        <v>94</v>
      </c>
      <c r="F229">
        <v>700</v>
      </c>
      <c r="G229" s="4">
        <v>46087.591064814813</v>
      </c>
    </row>
    <row r="230" spans="1:7" x14ac:dyDescent="0.3">
      <c r="A230">
        <v>229</v>
      </c>
      <c r="B230" t="s">
        <v>145</v>
      </c>
      <c r="C230">
        <v>51022220</v>
      </c>
      <c r="D230">
        <v>44.493737829840903</v>
      </c>
      <c r="E230" t="s">
        <v>94</v>
      </c>
      <c r="F230">
        <v>869</v>
      </c>
      <c r="G230" s="4">
        <v>46087.591064814813</v>
      </c>
    </row>
    <row r="231" spans="1:7" x14ac:dyDescent="0.3">
      <c r="A231">
        <v>230</v>
      </c>
      <c r="B231" t="s">
        <v>145</v>
      </c>
      <c r="C231">
        <v>51019512</v>
      </c>
      <c r="D231">
        <v>97.453268603000708</v>
      </c>
      <c r="E231" t="s">
        <v>275</v>
      </c>
      <c r="F231">
        <v>30</v>
      </c>
      <c r="G231" s="4">
        <v>46087.591064814813</v>
      </c>
    </row>
    <row r="232" spans="1:7" x14ac:dyDescent="0.3">
      <c r="A232">
        <v>231</v>
      </c>
      <c r="B232" t="s">
        <v>145</v>
      </c>
      <c r="C232">
        <v>51014391</v>
      </c>
      <c r="D232">
        <v>79.618041011518159</v>
      </c>
      <c r="E232" t="s">
        <v>93</v>
      </c>
      <c r="F232">
        <v>414</v>
      </c>
      <c r="G232" s="4">
        <v>46087.591064814813</v>
      </c>
    </row>
    <row r="233" spans="1:7" x14ac:dyDescent="0.3">
      <c r="A233">
        <v>232</v>
      </c>
      <c r="B233" t="s">
        <v>145</v>
      </c>
      <c r="C233">
        <v>51042689</v>
      </c>
      <c r="D233">
        <v>66.546326918475714</v>
      </c>
      <c r="E233" t="s">
        <v>93</v>
      </c>
      <c r="F233">
        <v>592</v>
      </c>
      <c r="G233" s="4">
        <v>46087.591064814813</v>
      </c>
    </row>
    <row r="234" spans="1:7" x14ac:dyDescent="0.3">
      <c r="A234">
        <v>233</v>
      </c>
      <c r="B234" t="s">
        <v>145</v>
      </c>
      <c r="C234">
        <v>51013867</v>
      </c>
      <c r="D234">
        <v>97.511143760450963</v>
      </c>
      <c r="E234" t="s">
        <v>275</v>
      </c>
      <c r="F234">
        <v>29</v>
      </c>
      <c r="G234" s="4">
        <v>46087.591064814813</v>
      </c>
    </row>
    <row r="235" spans="1:7" x14ac:dyDescent="0.3">
      <c r="A235">
        <v>234</v>
      </c>
      <c r="B235" t="s">
        <v>145</v>
      </c>
      <c r="C235">
        <v>51021258</v>
      </c>
      <c r="D235">
        <v>90.333197754907815</v>
      </c>
      <c r="E235" t="s">
        <v>92</v>
      </c>
      <c r="F235">
        <v>117</v>
      </c>
      <c r="G235" s="4">
        <v>46087.591064814813</v>
      </c>
    </row>
    <row r="236" spans="1:7" x14ac:dyDescent="0.3">
      <c r="A236">
        <v>235</v>
      </c>
      <c r="B236" t="s">
        <v>145</v>
      </c>
      <c r="C236">
        <v>51024591</v>
      </c>
      <c r="D236">
        <v>83.83472096245444</v>
      </c>
      <c r="E236" t="s">
        <v>93</v>
      </c>
      <c r="F236">
        <v>290</v>
      </c>
      <c r="G236" s="4">
        <v>46087.591064814813</v>
      </c>
    </row>
    <row r="237" spans="1:7" x14ac:dyDescent="0.3">
      <c r="A237">
        <v>236</v>
      </c>
      <c r="B237" t="s">
        <v>145</v>
      </c>
      <c r="C237">
        <v>51021665</v>
      </c>
      <c r="D237">
        <v>61.584614572234834</v>
      </c>
      <c r="E237" t="s">
        <v>94</v>
      </c>
      <c r="F237">
        <v>636</v>
      </c>
      <c r="G237" s="4">
        <v>46087.591064814813</v>
      </c>
    </row>
    <row r="238" spans="1:7" x14ac:dyDescent="0.3">
      <c r="A238">
        <v>237</v>
      </c>
      <c r="B238" t="s">
        <v>145</v>
      </c>
      <c r="C238">
        <v>51030273</v>
      </c>
      <c r="D238">
        <v>91.092238644411609</v>
      </c>
      <c r="E238" t="s">
        <v>92</v>
      </c>
      <c r="F238">
        <v>104</v>
      </c>
      <c r="G238" s="4">
        <v>46087.591064814813</v>
      </c>
    </row>
    <row r="239" spans="1:7" x14ac:dyDescent="0.3">
      <c r="A239">
        <v>238</v>
      </c>
      <c r="B239" t="s">
        <v>145</v>
      </c>
      <c r="C239">
        <v>51024559</v>
      </c>
      <c r="D239">
        <v>64.285588092019822</v>
      </c>
      <c r="E239" t="s">
        <v>94</v>
      </c>
      <c r="F239">
        <v>610</v>
      </c>
      <c r="G239" s="4">
        <v>46087.591064814813</v>
      </c>
    </row>
    <row r="240" spans="1:7" x14ac:dyDescent="0.3">
      <c r="A240">
        <v>239</v>
      </c>
      <c r="B240" t="s">
        <v>145</v>
      </c>
      <c r="C240">
        <v>51007565</v>
      </c>
      <c r="D240">
        <v>84.310750943982924</v>
      </c>
      <c r="E240" t="s">
        <v>93</v>
      </c>
      <c r="F240">
        <v>277</v>
      </c>
      <c r="G240" s="4">
        <v>46087.591064814813</v>
      </c>
    </row>
    <row r="241" spans="1:7" x14ac:dyDescent="0.3">
      <c r="A241">
        <v>240</v>
      </c>
      <c r="B241" t="s">
        <v>145</v>
      </c>
      <c r="C241">
        <v>51032136</v>
      </c>
      <c r="D241">
        <v>71.338613006083435</v>
      </c>
      <c r="E241" t="s">
        <v>93</v>
      </c>
      <c r="F241">
        <v>529</v>
      </c>
      <c r="G241" s="4">
        <v>46087.591064814813</v>
      </c>
    </row>
    <row r="242" spans="1:7" x14ac:dyDescent="0.3">
      <c r="A242">
        <v>241</v>
      </c>
      <c r="B242" t="s">
        <v>145</v>
      </c>
      <c r="C242">
        <v>51057066</v>
      </c>
      <c r="D242">
        <v>66.060113867165768</v>
      </c>
      <c r="E242" t="s">
        <v>93</v>
      </c>
      <c r="F242">
        <v>595</v>
      </c>
      <c r="G242" s="4">
        <v>46087.591064814813</v>
      </c>
    </row>
    <row r="243" spans="1:7" x14ac:dyDescent="0.3">
      <c r="A243">
        <v>242</v>
      </c>
      <c r="B243" t="s">
        <v>145</v>
      </c>
      <c r="C243">
        <v>51021215</v>
      </c>
      <c r="D243">
        <v>56.829025187262822</v>
      </c>
      <c r="E243" t="s">
        <v>94</v>
      </c>
      <c r="F243">
        <v>743</v>
      </c>
      <c r="G243" s="4">
        <v>46087.591064814813</v>
      </c>
    </row>
    <row r="244" spans="1:7" x14ac:dyDescent="0.3">
      <c r="A244">
        <v>243</v>
      </c>
      <c r="B244" t="s">
        <v>145</v>
      </c>
      <c r="C244">
        <v>51040937</v>
      </c>
      <c r="D244">
        <v>82.665633971014529</v>
      </c>
      <c r="E244" t="s">
        <v>93</v>
      </c>
      <c r="F244">
        <v>334</v>
      </c>
      <c r="G244" s="4">
        <v>46087.591064814813</v>
      </c>
    </row>
    <row r="245" spans="1:7" x14ac:dyDescent="0.3">
      <c r="A245">
        <v>244</v>
      </c>
      <c r="B245" t="s">
        <v>145</v>
      </c>
      <c r="C245">
        <v>51014430</v>
      </c>
      <c r="D245">
        <v>85.074482318441795</v>
      </c>
      <c r="E245" t="s">
        <v>93</v>
      </c>
      <c r="F245">
        <v>254</v>
      </c>
      <c r="G245" s="4">
        <v>46087.591064814813</v>
      </c>
    </row>
    <row r="246" spans="1:7" x14ac:dyDescent="0.3">
      <c r="A246">
        <v>245</v>
      </c>
      <c r="B246" t="s">
        <v>145</v>
      </c>
      <c r="C246">
        <v>51055853</v>
      </c>
      <c r="D246">
        <v>92.471562843412954</v>
      </c>
      <c r="E246" t="s">
        <v>92</v>
      </c>
      <c r="F246">
        <v>81</v>
      </c>
      <c r="G246" s="4">
        <v>46087.591064814813</v>
      </c>
    </row>
    <row r="247" spans="1:7" x14ac:dyDescent="0.3">
      <c r="A247">
        <v>246</v>
      </c>
      <c r="B247" t="s">
        <v>145</v>
      </c>
      <c r="C247">
        <v>51056515</v>
      </c>
      <c r="D247">
        <v>89.666494805936026</v>
      </c>
      <c r="E247" t="s">
        <v>92</v>
      </c>
      <c r="F247">
        <v>133</v>
      </c>
      <c r="G247" s="4">
        <v>46087.591064814813</v>
      </c>
    </row>
    <row r="248" spans="1:7" x14ac:dyDescent="0.3">
      <c r="A248">
        <v>247</v>
      </c>
      <c r="B248" t="s">
        <v>145</v>
      </c>
      <c r="C248">
        <v>51020952</v>
      </c>
      <c r="D248">
        <v>100</v>
      </c>
      <c r="E248" t="s">
        <v>275</v>
      </c>
      <c r="F248">
        <v>1</v>
      </c>
      <c r="G248" s="4">
        <v>46087.591064814813</v>
      </c>
    </row>
    <row r="249" spans="1:7" x14ac:dyDescent="0.3">
      <c r="A249">
        <v>248</v>
      </c>
      <c r="B249" t="s">
        <v>145</v>
      </c>
      <c r="C249">
        <v>51022611</v>
      </c>
      <c r="D249">
        <v>44.099707649976487</v>
      </c>
      <c r="E249" t="s">
        <v>94</v>
      </c>
      <c r="F249">
        <v>872</v>
      </c>
      <c r="G249" s="4">
        <v>46087.591064814813</v>
      </c>
    </row>
    <row r="250" spans="1:7" x14ac:dyDescent="0.3">
      <c r="A250">
        <v>249</v>
      </c>
      <c r="B250" t="s">
        <v>145</v>
      </c>
      <c r="C250">
        <v>51056761</v>
      </c>
      <c r="D250">
        <v>84.976863256623119</v>
      </c>
      <c r="E250" t="s">
        <v>93</v>
      </c>
      <c r="F250">
        <v>257</v>
      </c>
      <c r="G250" s="4">
        <v>46087.591064814813</v>
      </c>
    </row>
    <row r="251" spans="1:7" x14ac:dyDescent="0.3">
      <c r="A251">
        <v>250</v>
      </c>
      <c r="B251" t="s">
        <v>145</v>
      </c>
      <c r="C251">
        <v>51031741</v>
      </c>
      <c r="D251">
        <v>85.965597691164788</v>
      </c>
      <c r="E251" t="s">
        <v>92</v>
      </c>
      <c r="F251">
        <v>230</v>
      </c>
      <c r="G251" s="4">
        <v>46087.591064814813</v>
      </c>
    </row>
    <row r="252" spans="1:7" x14ac:dyDescent="0.3">
      <c r="A252">
        <v>251</v>
      </c>
      <c r="B252" t="s">
        <v>145</v>
      </c>
      <c r="C252">
        <v>51056469</v>
      </c>
      <c r="D252">
        <v>85.49186795514413</v>
      </c>
      <c r="E252" t="s">
        <v>93</v>
      </c>
      <c r="F252">
        <v>241</v>
      </c>
      <c r="G252" s="4">
        <v>46087.591064814813</v>
      </c>
    </row>
    <row r="253" spans="1:7" x14ac:dyDescent="0.3">
      <c r="A253">
        <v>252</v>
      </c>
      <c r="B253" t="s">
        <v>145</v>
      </c>
      <c r="C253">
        <v>51031130</v>
      </c>
      <c r="D253">
        <v>92.80557621980897</v>
      </c>
      <c r="E253" t="s">
        <v>92</v>
      </c>
      <c r="F253">
        <v>76</v>
      </c>
      <c r="G253" s="4">
        <v>46087.591064814813</v>
      </c>
    </row>
    <row r="254" spans="1:7" x14ac:dyDescent="0.3">
      <c r="A254">
        <v>253</v>
      </c>
      <c r="B254" t="s">
        <v>145</v>
      </c>
      <c r="C254">
        <v>51014855</v>
      </c>
      <c r="D254">
        <v>76.639814433297232</v>
      </c>
      <c r="E254" t="s">
        <v>93</v>
      </c>
      <c r="F254">
        <v>456</v>
      </c>
      <c r="G254" s="4">
        <v>46087.591064814813</v>
      </c>
    </row>
    <row r="255" spans="1:7" x14ac:dyDescent="0.3">
      <c r="A255">
        <v>254</v>
      </c>
      <c r="B255" t="s">
        <v>145</v>
      </c>
      <c r="C255">
        <v>51055055</v>
      </c>
      <c r="D255">
        <v>84.667290041901595</v>
      </c>
      <c r="E255" t="s">
        <v>93</v>
      </c>
      <c r="F255">
        <v>264</v>
      </c>
      <c r="G255" s="4">
        <v>46087.591064814813</v>
      </c>
    </row>
    <row r="256" spans="1:7" x14ac:dyDescent="0.3">
      <c r="A256">
        <v>255</v>
      </c>
      <c r="B256" t="s">
        <v>145</v>
      </c>
      <c r="C256">
        <v>51008634</v>
      </c>
      <c r="D256">
        <v>78.593299959467515</v>
      </c>
      <c r="E256" t="s">
        <v>93</v>
      </c>
      <c r="F256">
        <v>439</v>
      </c>
      <c r="G256" s="4">
        <v>46087.591064814813</v>
      </c>
    </row>
    <row r="257" spans="1:7" x14ac:dyDescent="0.3">
      <c r="A257">
        <v>256</v>
      </c>
      <c r="B257" t="s">
        <v>145</v>
      </c>
      <c r="C257">
        <v>51021835</v>
      </c>
      <c r="D257">
        <v>58.779614855378121</v>
      </c>
      <c r="E257" t="s">
        <v>94</v>
      </c>
      <c r="F257">
        <v>698</v>
      </c>
      <c r="G257" s="4">
        <v>46087.591064814813</v>
      </c>
    </row>
    <row r="258" spans="1:7" x14ac:dyDescent="0.3">
      <c r="A258">
        <v>257</v>
      </c>
      <c r="B258" t="s">
        <v>145</v>
      </c>
      <c r="C258">
        <v>51030320</v>
      </c>
      <c r="D258">
        <v>40.073048807935486</v>
      </c>
      <c r="E258" t="s">
        <v>94</v>
      </c>
      <c r="F258">
        <v>888</v>
      </c>
      <c r="G258" s="4">
        <v>46087.591064814813</v>
      </c>
    </row>
    <row r="259" spans="1:7" x14ac:dyDescent="0.3">
      <c r="A259">
        <v>258</v>
      </c>
      <c r="B259" t="s">
        <v>145</v>
      </c>
      <c r="C259">
        <v>51033701</v>
      </c>
      <c r="D259">
        <v>83.152369152300963</v>
      </c>
      <c r="E259" t="s">
        <v>93</v>
      </c>
      <c r="F259">
        <v>313</v>
      </c>
      <c r="G259" s="4">
        <v>46087.591064814813</v>
      </c>
    </row>
    <row r="260" spans="1:7" x14ac:dyDescent="0.3">
      <c r="A260">
        <v>259</v>
      </c>
      <c r="B260" t="s">
        <v>145</v>
      </c>
      <c r="C260">
        <v>51013280</v>
      </c>
      <c r="D260">
        <v>82.468094676164782</v>
      </c>
      <c r="E260" t="s">
        <v>93</v>
      </c>
      <c r="F260">
        <v>339</v>
      </c>
      <c r="G260" s="4">
        <v>46087.591064814813</v>
      </c>
    </row>
    <row r="261" spans="1:7" x14ac:dyDescent="0.3">
      <c r="A261">
        <v>260</v>
      </c>
      <c r="B261" t="s">
        <v>145</v>
      </c>
      <c r="C261">
        <v>51022785</v>
      </c>
      <c r="D261">
        <v>81.34913295417374</v>
      </c>
      <c r="E261" t="s">
        <v>93</v>
      </c>
      <c r="F261">
        <v>368</v>
      </c>
      <c r="G261" s="4">
        <v>46087.591064814813</v>
      </c>
    </row>
    <row r="262" spans="1:7" x14ac:dyDescent="0.3">
      <c r="A262">
        <v>261</v>
      </c>
      <c r="B262" t="s">
        <v>145</v>
      </c>
      <c r="C262">
        <v>51036310</v>
      </c>
      <c r="D262">
        <v>30.062058710214721</v>
      </c>
      <c r="E262" t="s">
        <v>94</v>
      </c>
      <c r="F262">
        <v>942</v>
      </c>
      <c r="G262" s="4">
        <v>46087.591064814813</v>
      </c>
    </row>
    <row r="263" spans="1:7" x14ac:dyDescent="0.3">
      <c r="A263">
        <v>262</v>
      </c>
      <c r="B263" t="s">
        <v>145</v>
      </c>
      <c r="C263">
        <v>51010710</v>
      </c>
      <c r="D263">
        <v>26.357999999999997</v>
      </c>
      <c r="E263" t="s">
        <v>95</v>
      </c>
      <c r="F263">
        <v>973</v>
      </c>
      <c r="G263" s="4">
        <v>46087.591064814813</v>
      </c>
    </row>
    <row r="264" spans="1:7" x14ac:dyDescent="0.3">
      <c r="A264">
        <v>263</v>
      </c>
      <c r="B264" t="s">
        <v>145</v>
      </c>
      <c r="C264">
        <v>51034376</v>
      </c>
      <c r="D264">
        <v>96.637180376709566</v>
      </c>
      <c r="E264" t="s">
        <v>275</v>
      </c>
      <c r="F264">
        <v>34</v>
      </c>
      <c r="G264" s="4">
        <v>46087.591064814813</v>
      </c>
    </row>
    <row r="265" spans="1:7" x14ac:dyDescent="0.3">
      <c r="A265">
        <v>264</v>
      </c>
      <c r="B265" t="s">
        <v>145</v>
      </c>
      <c r="C265">
        <v>51023561</v>
      </c>
      <c r="D265">
        <v>58.684673906843265</v>
      </c>
      <c r="E265" t="s">
        <v>94</v>
      </c>
      <c r="F265">
        <v>699</v>
      </c>
      <c r="G265" s="4">
        <v>46087.591064814813</v>
      </c>
    </row>
    <row r="266" spans="1:7" x14ac:dyDescent="0.3">
      <c r="A266">
        <v>265</v>
      </c>
      <c r="B266" t="s">
        <v>145</v>
      </c>
      <c r="C266">
        <v>51025253</v>
      </c>
      <c r="D266">
        <v>86.283009937404785</v>
      </c>
      <c r="E266" t="s">
        <v>92</v>
      </c>
      <c r="F266">
        <v>223</v>
      </c>
      <c r="G266" s="4">
        <v>46087.591064814813</v>
      </c>
    </row>
    <row r="267" spans="1:7" x14ac:dyDescent="0.3">
      <c r="A267">
        <v>266</v>
      </c>
      <c r="B267" t="s">
        <v>145</v>
      </c>
      <c r="C267">
        <v>51030176</v>
      </c>
      <c r="D267">
        <v>87.86333087579554</v>
      </c>
      <c r="E267" t="s">
        <v>92</v>
      </c>
      <c r="F267">
        <v>180</v>
      </c>
      <c r="G267" s="4">
        <v>46087.591064814813</v>
      </c>
    </row>
    <row r="268" spans="1:7" x14ac:dyDescent="0.3">
      <c r="A268">
        <v>267</v>
      </c>
      <c r="B268" t="s">
        <v>145</v>
      </c>
      <c r="C268">
        <v>51024575</v>
      </c>
      <c r="D268">
        <v>77.531393015856224</v>
      </c>
      <c r="E268" t="s">
        <v>93</v>
      </c>
      <c r="F268">
        <v>447</v>
      </c>
      <c r="G268" s="4">
        <v>46087.591064814813</v>
      </c>
    </row>
    <row r="269" spans="1:7" x14ac:dyDescent="0.3">
      <c r="A269">
        <v>268</v>
      </c>
      <c r="B269" t="s">
        <v>145</v>
      </c>
      <c r="C269">
        <v>51005333</v>
      </c>
      <c r="D269">
        <v>90.964486184095264</v>
      </c>
      <c r="E269" t="s">
        <v>92</v>
      </c>
      <c r="F269">
        <v>108</v>
      </c>
      <c r="G269" s="4">
        <v>46087.591064814813</v>
      </c>
    </row>
    <row r="270" spans="1:7" x14ac:dyDescent="0.3">
      <c r="A270">
        <v>269</v>
      </c>
      <c r="B270" t="s">
        <v>145</v>
      </c>
      <c r="C270">
        <v>51030931</v>
      </c>
      <c r="D270">
        <v>60.649708849563076</v>
      </c>
      <c r="E270" t="s">
        <v>94</v>
      </c>
      <c r="F270">
        <v>654</v>
      </c>
      <c r="G270" s="4">
        <v>46087.591064814813</v>
      </c>
    </row>
    <row r="271" spans="1:7" x14ac:dyDescent="0.3">
      <c r="A271">
        <v>270</v>
      </c>
      <c r="B271" t="s">
        <v>145</v>
      </c>
      <c r="C271">
        <v>51056027</v>
      </c>
      <c r="D271">
        <v>92.509835137761868</v>
      </c>
      <c r="E271" t="s">
        <v>92</v>
      </c>
      <c r="F271">
        <v>79</v>
      </c>
      <c r="G271" s="4">
        <v>46087.591064814813</v>
      </c>
    </row>
    <row r="272" spans="1:7" x14ac:dyDescent="0.3">
      <c r="A272">
        <v>271</v>
      </c>
      <c r="B272" t="s">
        <v>145</v>
      </c>
      <c r="C272">
        <v>51054911</v>
      </c>
      <c r="D272">
        <v>36.668240333081798</v>
      </c>
      <c r="E272" t="s">
        <v>94</v>
      </c>
      <c r="F272">
        <v>898</v>
      </c>
      <c r="G272" s="4">
        <v>46087.591064814813</v>
      </c>
    </row>
    <row r="273" spans="1:7" x14ac:dyDescent="0.3">
      <c r="A273">
        <v>272</v>
      </c>
      <c r="B273" t="s">
        <v>145</v>
      </c>
      <c r="C273">
        <v>51030605</v>
      </c>
      <c r="D273">
        <v>47.7838859034187</v>
      </c>
      <c r="E273" t="s">
        <v>94</v>
      </c>
      <c r="F273">
        <v>841</v>
      </c>
      <c r="G273" s="4">
        <v>46087.591064814813</v>
      </c>
    </row>
    <row r="274" spans="1:7" x14ac:dyDescent="0.3">
      <c r="A274">
        <v>273</v>
      </c>
      <c r="B274" t="s">
        <v>145</v>
      </c>
      <c r="C274">
        <v>51044487</v>
      </c>
      <c r="D274">
        <v>90.00129280995489</v>
      </c>
      <c r="E274" t="s">
        <v>92</v>
      </c>
      <c r="F274">
        <v>123</v>
      </c>
      <c r="G274" s="4">
        <v>46087.591064814813</v>
      </c>
    </row>
    <row r="275" spans="1:7" x14ac:dyDescent="0.3">
      <c r="A275">
        <v>274</v>
      </c>
      <c r="B275" t="s">
        <v>145</v>
      </c>
      <c r="C275">
        <v>51035674</v>
      </c>
      <c r="D275">
        <v>97.21953824344898</v>
      </c>
      <c r="E275" t="s">
        <v>275</v>
      </c>
      <c r="F275">
        <v>32</v>
      </c>
      <c r="G275" s="4">
        <v>46087.591064814813</v>
      </c>
    </row>
    <row r="276" spans="1:7" x14ac:dyDescent="0.3">
      <c r="A276">
        <v>275</v>
      </c>
      <c r="B276" t="s">
        <v>145</v>
      </c>
      <c r="C276">
        <v>51055128</v>
      </c>
      <c r="D276">
        <v>95.38683078727702</v>
      </c>
      <c r="E276" t="s">
        <v>275</v>
      </c>
      <c r="F276">
        <v>45</v>
      </c>
      <c r="G276" s="4">
        <v>46087.591064814813</v>
      </c>
    </row>
    <row r="277" spans="1:7" x14ac:dyDescent="0.3">
      <c r="A277">
        <v>276</v>
      </c>
      <c r="B277" t="s">
        <v>145</v>
      </c>
      <c r="C277">
        <v>51011546</v>
      </c>
      <c r="D277">
        <v>100</v>
      </c>
      <c r="E277" t="s">
        <v>275</v>
      </c>
      <c r="F277">
        <v>1</v>
      </c>
      <c r="G277" s="4">
        <v>46087.591064814813</v>
      </c>
    </row>
    <row r="278" spans="1:7" x14ac:dyDescent="0.3">
      <c r="A278">
        <v>277</v>
      </c>
      <c r="B278" t="s">
        <v>145</v>
      </c>
      <c r="C278">
        <v>51031482</v>
      </c>
      <c r="D278">
        <v>92.89780648706045</v>
      </c>
      <c r="E278" t="s">
        <v>92</v>
      </c>
      <c r="F278">
        <v>74</v>
      </c>
      <c r="G278" s="4">
        <v>46087.591064814813</v>
      </c>
    </row>
    <row r="279" spans="1:7" x14ac:dyDescent="0.3">
      <c r="A279">
        <v>278</v>
      </c>
      <c r="B279" t="s">
        <v>145</v>
      </c>
      <c r="C279">
        <v>51030109</v>
      </c>
      <c r="D279">
        <v>80.331435727890806</v>
      </c>
      <c r="E279" t="s">
        <v>93</v>
      </c>
      <c r="F279">
        <v>396</v>
      </c>
      <c r="G279" s="4">
        <v>46087.591064814813</v>
      </c>
    </row>
    <row r="280" spans="1:7" x14ac:dyDescent="0.3">
      <c r="A280">
        <v>279</v>
      </c>
      <c r="B280" t="s">
        <v>145</v>
      </c>
      <c r="C280">
        <v>51022009</v>
      </c>
      <c r="D280">
        <v>88.829053730852465</v>
      </c>
      <c r="E280" t="s">
        <v>92</v>
      </c>
      <c r="F280">
        <v>156</v>
      </c>
      <c r="G280" s="4">
        <v>46087.591064814813</v>
      </c>
    </row>
    <row r="281" spans="1:7" x14ac:dyDescent="0.3">
      <c r="A281">
        <v>280</v>
      </c>
      <c r="B281" t="s">
        <v>145</v>
      </c>
      <c r="C281">
        <v>51015932</v>
      </c>
      <c r="D281">
        <v>76.589428894754064</v>
      </c>
      <c r="E281" t="s">
        <v>93</v>
      </c>
      <c r="F281">
        <v>457</v>
      </c>
      <c r="G281" s="4">
        <v>46087.591064814813</v>
      </c>
    </row>
    <row r="282" spans="1:7" x14ac:dyDescent="0.3">
      <c r="A282">
        <v>281</v>
      </c>
      <c r="B282" t="s">
        <v>145</v>
      </c>
      <c r="C282">
        <v>51030028</v>
      </c>
      <c r="D282">
        <v>59.855036400440632</v>
      </c>
      <c r="E282" t="s">
        <v>94</v>
      </c>
      <c r="F282">
        <v>671</v>
      </c>
      <c r="G282" s="4">
        <v>46087.591064814813</v>
      </c>
    </row>
    <row r="283" spans="1:7" x14ac:dyDescent="0.3">
      <c r="A283">
        <v>282</v>
      </c>
      <c r="B283" t="s">
        <v>145</v>
      </c>
      <c r="C283">
        <v>51030257</v>
      </c>
      <c r="D283">
        <v>61.658730268733692</v>
      </c>
      <c r="E283" t="s">
        <v>94</v>
      </c>
      <c r="F283">
        <v>634</v>
      </c>
      <c r="G283" s="4">
        <v>46087.591064814813</v>
      </c>
    </row>
    <row r="284" spans="1:7" x14ac:dyDescent="0.3">
      <c r="A284">
        <v>283</v>
      </c>
      <c r="B284" t="s">
        <v>145</v>
      </c>
      <c r="C284">
        <v>51055489</v>
      </c>
      <c r="D284">
        <v>63.090911132726205</v>
      </c>
      <c r="E284" t="s">
        <v>94</v>
      </c>
      <c r="F284">
        <v>619</v>
      </c>
      <c r="G284" s="4">
        <v>46087.591064814813</v>
      </c>
    </row>
    <row r="285" spans="1:7" x14ac:dyDescent="0.3">
      <c r="A285">
        <v>284</v>
      </c>
      <c r="B285" t="s">
        <v>145</v>
      </c>
      <c r="C285">
        <v>51019423</v>
      </c>
      <c r="D285">
        <v>61.266018759424689</v>
      </c>
      <c r="E285" t="s">
        <v>94</v>
      </c>
      <c r="F285">
        <v>643</v>
      </c>
      <c r="G285" s="4">
        <v>46087.591064814813</v>
      </c>
    </row>
    <row r="286" spans="1:7" x14ac:dyDescent="0.3">
      <c r="A286">
        <v>285</v>
      </c>
      <c r="B286" t="s">
        <v>145</v>
      </c>
      <c r="C286">
        <v>51000811</v>
      </c>
      <c r="D286">
        <v>86.73879543771244</v>
      </c>
      <c r="E286" t="s">
        <v>92</v>
      </c>
      <c r="F286">
        <v>208</v>
      </c>
      <c r="G286" s="4">
        <v>46087.591064814813</v>
      </c>
    </row>
    <row r="287" spans="1:7" x14ac:dyDescent="0.3">
      <c r="A287">
        <v>286</v>
      </c>
      <c r="B287" t="s">
        <v>145</v>
      </c>
      <c r="C287">
        <v>51057040</v>
      </c>
      <c r="D287">
        <v>81.170792009321616</v>
      </c>
      <c r="E287" t="s">
        <v>93</v>
      </c>
      <c r="F287">
        <v>374</v>
      </c>
      <c r="G287" s="4">
        <v>46087.591064814813</v>
      </c>
    </row>
    <row r="288" spans="1:7" x14ac:dyDescent="0.3">
      <c r="A288">
        <v>287</v>
      </c>
      <c r="B288" t="s">
        <v>145</v>
      </c>
      <c r="C288">
        <v>51055101</v>
      </c>
      <c r="D288">
        <v>34.824185796719838</v>
      </c>
      <c r="E288" t="s">
        <v>94</v>
      </c>
      <c r="F288">
        <v>905</v>
      </c>
      <c r="G288" s="4">
        <v>46087.591064814813</v>
      </c>
    </row>
    <row r="289" spans="1:7" x14ac:dyDescent="0.3">
      <c r="A289">
        <v>288</v>
      </c>
      <c r="B289" t="s">
        <v>145</v>
      </c>
      <c r="C289">
        <v>51016386</v>
      </c>
      <c r="D289">
        <v>80.594303609766399</v>
      </c>
      <c r="E289" t="s">
        <v>93</v>
      </c>
      <c r="F289">
        <v>391</v>
      </c>
      <c r="G289" s="4">
        <v>46087.591064814813</v>
      </c>
    </row>
    <row r="290" spans="1:7" x14ac:dyDescent="0.3">
      <c r="A290">
        <v>289</v>
      </c>
      <c r="B290" t="s">
        <v>145</v>
      </c>
      <c r="C290">
        <v>51003594</v>
      </c>
      <c r="D290">
        <v>78.788379390763737</v>
      </c>
      <c r="E290" t="s">
        <v>93</v>
      </c>
      <c r="F290">
        <v>435</v>
      </c>
      <c r="G290" s="4">
        <v>46087.591064814813</v>
      </c>
    </row>
    <row r="291" spans="1:7" x14ac:dyDescent="0.3">
      <c r="A291">
        <v>290</v>
      </c>
      <c r="B291" t="s">
        <v>145</v>
      </c>
      <c r="C291">
        <v>51030923</v>
      </c>
      <c r="D291">
        <v>91.732748536208348</v>
      </c>
      <c r="E291" t="s">
        <v>92</v>
      </c>
      <c r="F291">
        <v>92</v>
      </c>
      <c r="G291" s="4">
        <v>46087.591064814813</v>
      </c>
    </row>
    <row r="292" spans="1:7" x14ac:dyDescent="0.3">
      <c r="A292">
        <v>291</v>
      </c>
      <c r="B292" t="s">
        <v>145</v>
      </c>
      <c r="C292">
        <v>51043197</v>
      </c>
      <c r="D292">
        <v>68.202363004885996</v>
      </c>
      <c r="E292" t="s">
        <v>93</v>
      </c>
      <c r="F292">
        <v>571</v>
      </c>
      <c r="G292" s="4">
        <v>46087.591064814813</v>
      </c>
    </row>
    <row r="293" spans="1:7" x14ac:dyDescent="0.3">
      <c r="A293">
        <v>292</v>
      </c>
      <c r="B293" t="s">
        <v>145</v>
      </c>
      <c r="C293">
        <v>51022823</v>
      </c>
      <c r="D293">
        <v>74.726200638105823</v>
      </c>
      <c r="E293" t="s">
        <v>93</v>
      </c>
      <c r="F293">
        <v>485</v>
      </c>
      <c r="G293" s="4">
        <v>46087.591064814813</v>
      </c>
    </row>
    <row r="294" spans="1:7" x14ac:dyDescent="0.3">
      <c r="A294">
        <v>293</v>
      </c>
      <c r="B294" t="s">
        <v>145</v>
      </c>
      <c r="C294">
        <v>51056060</v>
      </c>
      <c r="D294">
        <v>84.808044186182187</v>
      </c>
      <c r="E294" t="s">
        <v>93</v>
      </c>
      <c r="F294">
        <v>261</v>
      </c>
      <c r="G294" s="4">
        <v>46087.591064814813</v>
      </c>
    </row>
    <row r="295" spans="1:7" x14ac:dyDescent="0.3">
      <c r="A295">
        <v>294</v>
      </c>
      <c r="B295" t="s">
        <v>145</v>
      </c>
      <c r="C295">
        <v>51024419</v>
      </c>
      <c r="D295">
        <v>23.378600000000002</v>
      </c>
      <c r="E295" t="s">
        <v>95</v>
      </c>
      <c r="F295">
        <v>993</v>
      </c>
      <c r="G295" s="4">
        <v>46087.591064814813</v>
      </c>
    </row>
    <row r="296" spans="1:7" x14ac:dyDescent="0.3">
      <c r="A296">
        <v>295</v>
      </c>
      <c r="B296" t="s">
        <v>145</v>
      </c>
      <c r="C296">
        <v>51025326</v>
      </c>
      <c r="D296">
        <v>50.279613172371974</v>
      </c>
      <c r="E296" t="s">
        <v>94</v>
      </c>
      <c r="F296">
        <v>823</v>
      </c>
      <c r="G296" s="4">
        <v>46087.591064814813</v>
      </c>
    </row>
    <row r="297" spans="1:7" x14ac:dyDescent="0.3">
      <c r="A297">
        <v>296</v>
      </c>
      <c r="B297" t="s">
        <v>145</v>
      </c>
      <c r="C297">
        <v>51020014</v>
      </c>
      <c r="D297">
        <v>82.078093873010076</v>
      </c>
      <c r="E297" t="s">
        <v>93</v>
      </c>
      <c r="F297">
        <v>344</v>
      </c>
      <c r="G297" s="4">
        <v>46087.591064814813</v>
      </c>
    </row>
    <row r="298" spans="1:7" x14ac:dyDescent="0.3">
      <c r="A298">
        <v>297</v>
      </c>
      <c r="B298" t="s">
        <v>145</v>
      </c>
      <c r="C298">
        <v>51055951</v>
      </c>
      <c r="D298">
        <v>59.600537311358792</v>
      </c>
      <c r="E298" t="s">
        <v>94</v>
      </c>
      <c r="F298">
        <v>675</v>
      </c>
      <c r="G298" s="4">
        <v>46087.591064814813</v>
      </c>
    </row>
    <row r="299" spans="1:7" x14ac:dyDescent="0.3">
      <c r="A299">
        <v>298</v>
      </c>
      <c r="B299" t="s">
        <v>145</v>
      </c>
      <c r="C299">
        <v>51016882</v>
      </c>
      <c r="D299">
        <v>51.373381211423961</v>
      </c>
      <c r="E299" t="s">
        <v>94</v>
      </c>
      <c r="F299">
        <v>814</v>
      </c>
      <c r="G299" s="4">
        <v>46087.591064814813</v>
      </c>
    </row>
    <row r="300" spans="1:7" x14ac:dyDescent="0.3">
      <c r="A300">
        <v>299</v>
      </c>
      <c r="B300" t="s">
        <v>145</v>
      </c>
      <c r="C300">
        <v>51043405</v>
      </c>
      <c r="D300">
        <v>83.306427545408681</v>
      </c>
      <c r="E300" t="s">
        <v>93</v>
      </c>
      <c r="F300">
        <v>307</v>
      </c>
      <c r="G300" s="4">
        <v>46087.591064814813</v>
      </c>
    </row>
    <row r="301" spans="1:7" x14ac:dyDescent="0.3">
      <c r="A301">
        <v>300</v>
      </c>
      <c r="B301" t="s">
        <v>145</v>
      </c>
      <c r="C301">
        <v>51008987</v>
      </c>
      <c r="D301">
        <v>85.744845125232857</v>
      </c>
      <c r="E301" t="s">
        <v>92</v>
      </c>
      <c r="F301">
        <v>236</v>
      </c>
      <c r="G301" s="4">
        <v>46087.591064814813</v>
      </c>
    </row>
    <row r="302" spans="1:7" x14ac:dyDescent="0.3">
      <c r="A302">
        <v>301</v>
      </c>
      <c r="B302" t="s">
        <v>145</v>
      </c>
      <c r="C302">
        <v>51021088</v>
      </c>
      <c r="D302">
        <v>89.662034405515726</v>
      </c>
      <c r="E302" t="s">
        <v>92</v>
      </c>
      <c r="F302">
        <v>134</v>
      </c>
      <c r="G302" s="4">
        <v>46087.591064814813</v>
      </c>
    </row>
    <row r="303" spans="1:7" x14ac:dyDescent="0.3">
      <c r="A303">
        <v>302</v>
      </c>
      <c r="B303" t="s">
        <v>145</v>
      </c>
      <c r="C303">
        <v>51001702</v>
      </c>
      <c r="D303">
        <v>88.070583197256909</v>
      </c>
      <c r="E303" t="s">
        <v>92</v>
      </c>
      <c r="F303">
        <v>178</v>
      </c>
      <c r="G303" s="4">
        <v>46087.591064814813</v>
      </c>
    </row>
    <row r="304" spans="1:7" x14ac:dyDescent="0.3">
      <c r="A304">
        <v>303</v>
      </c>
      <c r="B304" t="s">
        <v>145</v>
      </c>
      <c r="C304">
        <v>51003730</v>
      </c>
      <c r="D304">
        <v>50.750307649877364</v>
      </c>
      <c r="E304" t="s">
        <v>94</v>
      </c>
      <c r="F304">
        <v>817</v>
      </c>
      <c r="G304" s="4">
        <v>46087.591064814813</v>
      </c>
    </row>
    <row r="305" spans="1:7" x14ac:dyDescent="0.3">
      <c r="A305">
        <v>304</v>
      </c>
      <c r="B305" t="s">
        <v>145</v>
      </c>
      <c r="C305">
        <v>51012348</v>
      </c>
      <c r="D305">
        <v>68.734591374075109</v>
      </c>
      <c r="E305" t="s">
        <v>93</v>
      </c>
      <c r="F305">
        <v>559</v>
      </c>
      <c r="G305" s="4">
        <v>46087.591064814813</v>
      </c>
    </row>
    <row r="306" spans="1:7" x14ac:dyDescent="0.3">
      <c r="A306">
        <v>305</v>
      </c>
      <c r="B306" t="s">
        <v>145</v>
      </c>
      <c r="C306">
        <v>51031563</v>
      </c>
      <c r="D306">
        <v>79.120361994657785</v>
      </c>
      <c r="E306" t="s">
        <v>93</v>
      </c>
      <c r="F306">
        <v>424</v>
      </c>
      <c r="G306" s="4">
        <v>46087.591064814813</v>
      </c>
    </row>
    <row r="307" spans="1:7" x14ac:dyDescent="0.3">
      <c r="A307">
        <v>306</v>
      </c>
      <c r="B307" t="s">
        <v>145</v>
      </c>
      <c r="C307">
        <v>51055080</v>
      </c>
      <c r="D307">
        <v>88.72400915092048</v>
      </c>
      <c r="E307" t="s">
        <v>92</v>
      </c>
      <c r="F307">
        <v>158</v>
      </c>
      <c r="G307" s="4">
        <v>46087.591064814813</v>
      </c>
    </row>
    <row r="308" spans="1:7" x14ac:dyDescent="0.3">
      <c r="A308">
        <v>307</v>
      </c>
      <c r="B308" t="s">
        <v>145</v>
      </c>
      <c r="C308">
        <v>51018672</v>
      </c>
      <c r="D308">
        <v>58.452280980502735</v>
      </c>
      <c r="E308" t="s">
        <v>94</v>
      </c>
      <c r="F308">
        <v>706</v>
      </c>
      <c r="G308" s="4">
        <v>46087.591064814813</v>
      </c>
    </row>
    <row r="309" spans="1:7" x14ac:dyDescent="0.3">
      <c r="A309">
        <v>308</v>
      </c>
      <c r="B309" t="s">
        <v>145</v>
      </c>
      <c r="C309">
        <v>51019130</v>
      </c>
      <c r="D309">
        <v>67.860510064092153</v>
      </c>
      <c r="E309" t="s">
        <v>93</v>
      </c>
      <c r="F309">
        <v>574</v>
      </c>
      <c r="G309" s="4">
        <v>46087.591064814813</v>
      </c>
    </row>
    <row r="310" spans="1:7" x14ac:dyDescent="0.3">
      <c r="A310">
        <v>309</v>
      </c>
      <c r="B310" t="s">
        <v>145</v>
      </c>
      <c r="C310">
        <v>51036255</v>
      </c>
      <c r="D310">
        <v>74.051979345450547</v>
      </c>
      <c r="E310" t="s">
        <v>93</v>
      </c>
      <c r="F310">
        <v>493</v>
      </c>
      <c r="G310" s="4">
        <v>46087.591064814813</v>
      </c>
    </row>
    <row r="311" spans="1:7" x14ac:dyDescent="0.3">
      <c r="A311">
        <v>310</v>
      </c>
      <c r="B311" t="s">
        <v>145</v>
      </c>
      <c r="C311">
        <v>51056809</v>
      </c>
      <c r="D311">
        <v>72.827131551466749</v>
      </c>
      <c r="E311" t="s">
        <v>93</v>
      </c>
      <c r="F311">
        <v>501</v>
      </c>
      <c r="G311" s="4">
        <v>46087.591064814813</v>
      </c>
    </row>
    <row r="312" spans="1:7" x14ac:dyDescent="0.3">
      <c r="A312">
        <v>311</v>
      </c>
      <c r="B312" t="s">
        <v>145</v>
      </c>
      <c r="C312">
        <v>51018699</v>
      </c>
      <c r="D312">
        <v>84.424931250062613</v>
      </c>
      <c r="E312" t="s">
        <v>93</v>
      </c>
      <c r="F312">
        <v>275</v>
      </c>
      <c r="G312" s="4">
        <v>46087.591064814813</v>
      </c>
    </row>
    <row r="313" spans="1:7" x14ac:dyDescent="0.3">
      <c r="A313">
        <v>312</v>
      </c>
      <c r="B313" t="s">
        <v>145</v>
      </c>
      <c r="C313">
        <v>51010019</v>
      </c>
      <c r="D313">
        <v>88.985049732713037</v>
      </c>
      <c r="E313" t="s">
        <v>92</v>
      </c>
      <c r="F313">
        <v>153</v>
      </c>
      <c r="G313" s="4">
        <v>46087.591064814813</v>
      </c>
    </row>
    <row r="314" spans="1:7" x14ac:dyDescent="0.3">
      <c r="A314">
        <v>313</v>
      </c>
      <c r="B314" t="s">
        <v>145</v>
      </c>
      <c r="C314">
        <v>51010647</v>
      </c>
      <c r="D314">
        <v>63.087933147437965</v>
      </c>
      <c r="E314" t="s">
        <v>94</v>
      </c>
      <c r="F314">
        <v>620</v>
      </c>
      <c r="G314" s="4">
        <v>46087.591064814813</v>
      </c>
    </row>
    <row r="315" spans="1:7" x14ac:dyDescent="0.3">
      <c r="A315">
        <v>314</v>
      </c>
      <c r="B315" t="s">
        <v>145</v>
      </c>
      <c r="C315">
        <v>51054881</v>
      </c>
      <c r="D315">
        <v>55.925866736850558</v>
      </c>
      <c r="E315" t="s">
        <v>94</v>
      </c>
      <c r="F315">
        <v>767</v>
      </c>
      <c r="G315" s="4">
        <v>46087.591064814813</v>
      </c>
    </row>
    <row r="316" spans="1:7" x14ac:dyDescent="0.3">
      <c r="A316">
        <v>315</v>
      </c>
      <c r="B316" t="s">
        <v>145</v>
      </c>
      <c r="C316">
        <v>51019091</v>
      </c>
      <c r="D316">
        <v>20.635693231702831</v>
      </c>
      <c r="E316" t="s">
        <v>95</v>
      </c>
      <c r="F316">
        <v>1015</v>
      </c>
      <c r="G316" s="4">
        <v>46087.591064814813</v>
      </c>
    </row>
    <row r="317" spans="1:7" x14ac:dyDescent="0.3">
      <c r="A317">
        <v>316</v>
      </c>
      <c r="B317" t="s">
        <v>145</v>
      </c>
      <c r="C317">
        <v>51018931</v>
      </c>
      <c r="D317">
        <v>84.235298947157645</v>
      </c>
      <c r="E317" t="s">
        <v>93</v>
      </c>
      <c r="F317">
        <v>280</v>
      </c>
      <c r="G317" s="4">
        <v>46087.591064814813</v>
      </c>
    </row>
    <row r="318" spans="1:7" x14ac:dyDescent="0.3">
      <c r="A318">
        <v>317</v>
      </c>
      <c r="B318" t="s">
        <v>145</v>
      </c>
      <c r="C318">
        <v>51057015</v>
      </c>
      <c r="D318">
        <v>91.803642991139242</v>
      </c>
      <c r="E318" t="s">
        <v>92</v>
      </c>
      <c r="F318">
        <v>91</v>
      </c>
      <c r="G318" s="4">
        <v>46087.591064814813</v>
      </c>
    </row>
    <row r="319" spans="1:7" x14ac:dyDescent="0.3">
      <c r="A319">
        <v>318</v>
      </c>
      <c r="B319" t="s">
        <v>145</v>
      </c>
      <c r="C319">
        <v>51023421</v>
      </c>
      <c r="D319">
        <v>83.402521386412374</v>
      </c>
      <c r="E319" t="s">
        <v>93</v>
      </c>
      <c r="F319">
        <v>302</v>
      </c>
      <c r="G319" s="4">
        <v>46087.591064814813</v>
      </c>
    </row>
    <row r="320" spans="1:7" x14ac:dyDescent="0.3">
      <c r="A320">
        <v>319</v>
      </c>
      <c r="B320" t="s">
        <v>145</v>
      </c>
      <c r="C320">
        <v>51012305</v>
      </c>
      <c r="D320">
        <v>82.879977359613306</v>
      </c>
      <c r="E320" t="s">
        <v>93</v>
      </c>
      <c r="F320">
        <v>326</v>
      </c>
      <c r="G320" s="4">
        <v>46087.591064814813</v>
      </c>
    </row>
    <row r="321" spans="1:7" x14ac:dyDescent="0.3">
      <c r="A321">
        <v>320</v>
      </c>
      <c r="B321" t="s">
        <v>145</v>
      </c>
      <c r="C321">
        <v>51014219</v>
      </c>
      <c r="D321">
        <v>18.859999999999996</v>
      </c>
      <c r="E321" t="s">
        <v>95</v>
      </c>
      <c r="F321">
        <v>1042</v>
      </c>
      <c r="G321" s="4">
        <v>46087.591064814813</v>
      </c>
    </row>
    <row r="322" spans="1:7" x14ac:dyDescent="0.3">
      <c r="A322">
        <v>321</v>
      </c>
      <c r="B322" t="s">
        <v>145</v>
      </c>
      <c r="C322">
        <v>51030753</v>
      </c>
      <c r="D322">
        <v>86.242818505461457</v>
      </c>
      <c r="E322" t="s">
        <v>92</v>
      </c>
      <c r="F322">
        <v>226</v>
      </c>
      <c r="G322" s="4">
        <v>46087.591064814813</v>
      </c>
    </row>
    <row r="323" spans="1:7" x14ac:dyDescent="0.3">
      <c r="A323">
        <v>322</v>
      </c>
      <c r="B323" t="s">
        <v>145</v>
      </c>
      <c r="C323">
        <v>51042336</v>
      </c>
      <c r="D323">
        <v>61.30254267033331</v>
      </c>
      <c r="E323" t="s">
        <v>94</v>
      </c>
      <c r="F323">
        <v>641</v>
      </c>
      <c r="G323" s="4">
        <v>46087.591064814813</v>
      </c>
    </row>
    <row r="324" spans="1:7" x14ac:dyDescent="0.3">
      <c r="A324">
        <v>323</v>
      </c>
      <c r="B324" t="s">
        <v>145</v>
      </c>
      <c r="C324">
        <v>51023790</v>
      </c>
      <c r="D324">
        <v>80.19211262932825</v>
      </c>
      <c r="E324" t="s">
        <v>93</v>
      </c>
      <c r="F324">
        <v>399</v>
      </c>
      <c r="G324" s="4">
        <v>46087.591064814813</v>
      </c>
    </row>
    <row r="325" spans="1:7" x14ac:dyDescent="0.3">
      <c r="A325">
        <v>324</v>
      </c>
      <c r="B325" t="s">
        <v>145</v>
      </c>
      <c r="C325">
        <v>51022378</v>
      </c>
      <c r="D325">
        <v>20.829230991488483</v>
      </c>
      <c r="E325" t="s">
        <v>95</v>
      </c>
      <c r="F325">
        <v>1013</v>
      </c>
      <c r="G325" s="4">
        <v>46087.591064814813</v>
      </c>
    </row>
    <row r="326" spans="1:7" x14ac:dyDescent="0.3">
      <c r="A326">
        <v>325</v>
      </c>
      <c r="B326" t="s">
        <v>145</v>
      </c>
      <c r="C326">
        <v>51052072</v>
      </c>
      <c r="D326">
        <v>57.353695389814121</v>
      </c>
      <c r="E326" t="s">
        <v>94</v>
      </c>
      <c r="F326">
        <v>731</v>
      </c>
      <c r="G326" s="4">
        <v>46087.591064814813</v>
      </c>
    </row>
    <row r="327" spans="1:7" x14ac:dyDescent="0.3">
      <c r="A327">
        <v>326</v>
      </c>
      <c r="B327" t="s">
        <v>145</v>
      </c>
      <c r="C327">
        <v>51031946</v>
      </c>
      <c r="D327">
        <v>67.779827990313322</v>
      </c>
      <c r="E327" t="s">
        <v>93</v>
      </c>
      <c r="F327">
        <v>576</v>
      </c>
      <c r="G327" s="4">
        <v>46087.591064814813</v>
      </c>
    </row>
    <row r="328" spans="1:7" x14ac:dyDescent="0.3">
      <c r="A328">
        <v>327</v>
      </c>
      <c r="B328" t="s">
        <v>145</v>
      </c>
      <c r="C328">
        <v>51010752</v>
      </c>
      <c r="D328">
        <v>86.134602099736284</v>
      </c>
      <c r="E328" t="s">
        <v>92</v>
      </c>
      <c r="F328">
        <v>227</v>
      </c>
      <c r="G328" s="4">
        <v>46087.591064814813</v>
      </c>
    </row>
    <row r="329" spans="1:7" x14ac:dyDescent="0.3">
      <c r="A329">
        <v>328</v>
      </c>
      <c r="B329" t="s">
        <v>145</v>
      </c>
      <c r="C329">
        <v>51055594</v>
      </c>
      <c r="D329">
        <v>83.531673398531638</v>
      </c>
      <c r="E329" t="s">
        <v>93</v>
      </c>
      <c r="F329">
        <v>296</v>
      </c>
      <c r="G329" s="4">
        <v>46087.591064814813</v>
      </c>
    </row>
    <row r="330" spans="1:7" x14ac:dyDescent="0.3">
      <c r="A330">
        <v>329</v>
      </c>
      <c r="B330" t="s">
        <v>145</v>
      </c>
      <c r="C330">
        <v>51041585</v>
      </c>
      <c r="D330">
        <v>92.898627580393935</v>
      </c>
      <c r="E330" t="s">
        <v>92</v>
      </c>
      <c r="F330">
        <v>73</v>
      </c>
      <c r="G330" s="4">
        <v>46087.591064814813</v>
      </c>
    </row>
    <row r="331" spans="1:7" x14ac:dyDescent="0.3">
      <c r="A331">
        <v>330</v>
      </c>
      <c r="B331" t="s">
        <v>145</v>
      </c>
      <c r="C331">
        <v>51017455</v>
      </c>
      <c r="D331">
        <v>82.010677476301836</v>
      </c>
      <c r="E331" t="s">
        <v>93</v>
      </c>
      <c r="F331">
        <v>346</v>
      </c>
      <c r="G331" s="4">
        <v>46087.591064814813</v>
      </c>
    </row>
    <row r="332" spans="1:7" x14ac:dyDescent="0.3">
      <c r="A332">
        <v>331</v>
      </c>
      <c r="B332" t="s">
        <v>145</v>
      </c>
      <c r="C332">
        <v>51033345</v>
      </c>
      <c r="D332">
        <v>54.703902090442554</v>
      </c>
      <c r="E332" t="s">
        <v>94</v>
      </c>
      <c r="F332">
        <v>782</v>
      </c>
      <c r="G332" s="4">
        <v>46087.591064814813</v>
      </c>
    </row>
    <row r="333" spans="1:7" x14ac:dyDescent="0.3">
      <c r="A333">
        <v>332</v>
      </c>
      <c r="B333" t="s">
        <v>145</v>
      </c>
      <c r="C333">
        <v>51012399</v>
      </c>
      <c r="D333">
        <v>77.696723898936995</v>
      </c>
      <c r="E333" t="s">
        <v>93</v>
      </c>
      <c r="F333">
        <v>443</v>
      </c>
      <c r="G333" s="4">
        <v>46087.591064814813</v>
      </c>
    </row>
    <row r="334" spans="1:7" x14ac:dyDescent="0.3">
      <c r="A334">
        <v>333</v>
      </c>
      <c r="B334" t="s">
        <v>145</v>
      </c>
      <c r="C334">
        <v>51034236</v>
      </c>
      <c r="D334">
        <v>83.808359969495129</v>
      </c>
      <c r="E334" t="s">
        <v>93</v>
      </c>
      <c r="F334">
        <v>291</v>
      </c>
      <c r="G334" s="4">
        <v>46087.591064814813</v>
      </c>
    </row>
    <row r="335" spans="1:7" x14ac:dyDescent="0.3">
      <c r="A335">
        <v>334</v>
      </c>
      <c r="B335" t="s">
        <v>145</v>
      </c>
      <c r="C335">
        <v>51012941</v>
      </c>
      <c r="D335">
        <v>100</v>
      </c>
      <c r="E335" t="s">
        <v>275</v>
      </c>
      <c r="F335">
        <v>1</v>
      </c>
      <c r="G335" s="4">
        <v>46087.591064814813</v>
      </c>
    </row>
    <row r="336" spans="1:7" x14ac:dyDescent="0.3">
      <c r="A336">
        <v>335</v>
      </c>
      <c r="B336" t="s">
        <v>145</v>
      </c>
      <c r="C336">
        <v>51011694</v>
      </c>
      <c r="D336">
        <v>73.052532746852478</v>
      </c>
      <c r="E336" t="s">
        <v>93</v>
      </c>
      <c r="F336">
        <v>496</v>
      </c>
      <c r="G336" s="4">
        <v>46087.591064814813</v>
      </c>
    </row>
    <row r="337" spans="1:7" x14ac:dyDescent="0.3">
      <c r="A337">
        <v>336</v>
      </c>
      <c r="B337" t="s">
        <v>145</v>
      </c>
      <c r="C337">
        <v>51020197</v>
      </c>
      <c r="D337">
        <v>83.964041937646058</v>
      </c>
      <c r="E337" t="s">
        <v>93</v>
      </c>
      <c r="F337">
        <v>285</v>
      </c>
      <c r="G337" s="4">
        <v>46087.591064814813</v>
      </c>
    </row>
    <row r="338" spans="1:7" x14ac:dyDescent="0.3">
      <c r="A338">
        <v>337</v>
      </c>
      <c r="B338" t="s">
        <v>145</v>
      </c>
      <c r="C338">
        <v>51003284</v>
      </c>
      <c r="D338">
        <v>87.029072531350593</v>
      </c>
      <c r="E338" t="s">
        <v>92</v>
      </c>
      <c r="F338">
        <v>199</v>
      </c>
      <c r="G338" s="4">
        <v>46087.591064814813</v>
      </c>
    </row>
    <row r="339" spans="1:7" x14ac:dyDescent="0.3">
      <c r="A339">
        <v>338</v>
      </c>
      <c r="B339" t="s">
        <v>145</v>
      </c>
      <c r="C339">
        <v>51025342</v>
      </c>
      <c r="D339">
        <v>71.638747958942361</v>
      </c>
      <c r="E339" t="s">
        <v>93</v>
      </c>
      <c r="F339">
        <v>525</v>
      </c>
      <c r="G339" s="4">
        <v>46087.591064814813</v>
      </c>
    </row>
    <row r="340" spans="1:7" x14ac:dyDescent="0.3">
      <c r="A340">
        <v>339</v>
      </c>
      <c r="B340" t="s">
        <v>145</v>
      </c>
      <c r="C340">
        <v>51030389</v>
      </c>
      <c r="D340">
        <v>96.053869583196331</v>
      </c>
      <c r="E340" t="s">
        <v>275</v>
      </c>
      <c r="F340">
        <v>39</v>
      </c>
      <c r="G340" s="4">
        <v>46087.591064814813</v>
      </c>
    </row>
    <row r="341" spans="1:7" x14ac:dyDescent="0.3">
      <c r="A341">
        <v>340</v>
      </c>
      <c r="B341" t="s">
        <v>145</v>
      </c>
      <c r="C341">
        <v>51013581</v>
      </c>
      <c r="D341">
        <v>56.748135526696771</v>
      </c>
      <c r="E341" t="s">
        <v>94</v>
      </c>
      <c r="F341">
        <v>745</v>
      </c>
      <c r="G341" s="4">
        <v>46087.591064814813</v>
      </c>
    </row>
    <row r="342" spans="1:7" x14ac:dyDescent="0.3">
      <c r="A342">
        <v>341</v>
      </c>
      <c r="B342" t="s">
        <v>145</v>
      </c>
      <c r="C342">
        <v>51056833</v>
      </c>
      <c r="D342">
        <v>81.636299893085649</v>
      </c>
      <c r="E342" t="s">
        <v>93</v>
      </c>
      <c r="F342">
        <v>361</v>
      </c>
      <c r="G342" s="4">
        <v>46087.591064814813</v>
      </c>
    </row>
    <row r="343" spans="1:7" x14ac:dyDescent="0.3">
      <c r="A343">
        <v>342</v>
      </c>
      <c r="B343" t="s">
        <v>145</v>
      </c>
      <c r="C343">
        <v>51056086</v>
      </c>
      <c r="D343">
        <v>81.931748177830769</v>
      </c>
      <c r="E343" t="s">
        <v>93</v>
      </c>
      <c r="F343">
        <v>350</v>
      </c>
      <c r="G343" s="4">
        <v>46087.591064814813</v>
      </c>
    </row>
    <row r="344" spans="1:7" x14ac:dyDescent="0.3">
      <c r="A344">
        <v>343</v>
      </c>
      <c r="B344" t="s">
        <v>145</v>
      </c>
      <c r="C344">
        <v>51055241</v>
      </c>
      <c r="D344">
        <v>79.079140638807388</v>
      </c>
      <c r="E344" t="s">
        <v>93</v>
      </c>
      <c r="F344">
        <v>426</v>
      </c>
      <c r="G344" s="4">
        <v>46087.591064814813</v>
      </c>
    </row>
    <row r="345" spans="1:7" x14ac:dyDescent="0.3">
      <c r="A345">
        <v>344</v>
      </c>
      <c r="B345" t="s">
        <v>145</v>
      </c>
      <c r="C345">
        <v>51008669</v>
      </c>
      <c r="D345">
        <v>25.54983509933362</v>
      </c>
      <c r="E345" t="s">
        <v>95</v>
      </c>
      <c r="F345">
        <v>979</v>
      </c>
      <c r="G345" s="4">
        <v>46087.591064814813</v>
      </c>
    </row>
    <row r="346" spans="1:7" x14ac:dyDescent="0.3">
      <c r="A346">
        <v>345</v>
      </c>
      <c r="B346" t="s">
        <v>145</v>
      </c>
      <c r="C346">
        <v>51031521</v>
      </c>
      <c r="D346">
        <v>81.790390032250713</v>
      </c>
      <c r="E346" t="s">
        <v>93</v>
      </c>
      <c r="F346">
        <v>355</v>
      </c>
      <c r="G346" s="4">
        <v>46087.591064814813</v>
      </c>
    </row>
    <row r="347" spans="1:7" x14ac:dyDescent="0.3">
      <c r="A347">
        <v>346</v>
      </c>
      <c r="B347" t="s">
        <v>145</v>
      </c>
      <c r="C347">
        <v>51033477</v>
      </c>
      <c r="D347">
        <v>46.991096374522513</v>
      </c>
      <c r="E347" t="s">
        <v>94</v>
      </c>
      <c r="F347">
        <v>848</v>
      </c>
      <c r="G347" s="4">
        <v>46087.591064814813</v>
      </c>
    </row>
    <row r="348" spans="1:7" x14ac:dyDescent="0.3">
      <c r="A348">
        <v>347</v>
      </c>
      <c r="B348" t="s">
        <v>145</v>
      </c>
      <c r="C348">
        <v>51020651</v>
      </c>
      <c r="D348">
        <v>90.290358746490881</v>
      </c>
      <c r="E348" t="s">
        <v>92</v>
      </c>
      <c r="F348">
        <v>118</v>
      </c>
      <c r="G348" s="4">
        <v>46087.591064814813</v>
      </c>
    </row>
    <row r="349" spans="1:7" x14ac:dyDescent="0.3">
      <c r="A349">
        <v>348</v>
      </c>
      <c r="B349" t="s">
        <v>145</v>
      </c>
      <c r="C349">
        <v>51013409</v>
      </c>
      <c r="D349">
        <v>48.992704425141596</v>
      </c>
      <c r="E349" t="s">
        <v>94</v>
      </c>
      <c r="F349">
        <v>834</v>
      </c>
      <c r="G349" s="4">
        <v>46087.591064814813</v>
      </c>
    </row>
    <row r="350" spans="1:7" x14ac:dyDescent="0.3">
      <c r="A350">
        <v>349</v>
      </c>
      <c r="B350" t="s">
        <v>145</v>
      </c>
      <c r="C350">
        <v>51030397</v>
      </c>
      <c r="D350">
        <v>25.9</v>
      </c>
      <c r="E350" t="s">
        <v>95</v>
      </c>
      <c r="F350">
        <v>974</v>
      </c>
      <c r="G350" s="4">
        <v>46087.591064814813</v>
      </c>
    </row>
    <row r="351" spans="1:7" x14ac:dyDescent="0.3">
      <c r="A351">
        <v>350</v>
      </c>
      <c r="B351" t="s">
        <v>145</v>
      </c>
      <c r="C351">
        <v>51010353</v>
      </c>
      <c r="D351">
        <v>60.736177794825039</v>
      </c>
      <c r="E351" t="s">
        <v>94</v>
      </c>
      <c r="F351">
        <v>652</v>
      </c>
      <c r="G351" s="4">
        <v>46087.591064814813</v>
      </c>
    </row>
    <row r="352" spans="1:7" x14ac:dyDescent="0.3">
      <c r="A352">
        <v>351</v>
      </c>
      <c r="B352" t="s">
        <v>145</v>
      </c>
      <c r="C352">
        <v>51054814</v>
      </c>
      <c r="D352">
        <v>84.89075904250133</v>
      </c>
      <c r="E352" t="s">
        <v>93</v>
      </c>
      <c r="F352">
        <v>259</v>
      </c>
      <c r="G352" s="4">
        <v>46087.591064814813</v>
      </c>
    </row>
    <row r="353" spans="1:7" x14ac:dyDescent="0.3">
      <c r="A353">
        <v>352</v>
      </c>
      <c r="B353" t="s">
        <v>145</v>
      </c>
      <c r="C353">
        <v>51012372</v>
      </c>
      <c r="D353">
        <v>78.745185940508492</v>
      </c>
      <c r="E353" t="s">
        <v>93</v>
      </c>
      <c r="F353">
        <v>436</v>
      </c>
      <c r="G353" s="4">
        <v>46087.591064814813</v>
      </c>
    </row>
    <row r="354" spans="1:7" x14ac:dyDescent="0.3">
      <c r="A354">
        <v>353</v>
      </c>
      <c r="B354" t="s">
        <v>145</v>
      </c>
      <c r="C354">
        <v>51036212</v>
      </c>
      <c r="D354">
        <v>34.799999999999997</v>
      </c>
      <c r="E354" t="s">
        <v>94</v>
      </c>
      <c r="F354">
        <v>906</v>
      </c>
      <c r="G354" s="4">
        <v>46087.591064814813</v>
      </c>
    </row>
    <row r="355" spans="1:7" x14ac:dyDescent="0.3">
      <c r="A355">
        <v>354</v>
      </c>
      <c r="B355" t="s">
        <v>145</v>
      </c>
      <c r="C355">
        <v>51029984</v>
      </c>
      <c r="D355">
        <v>63.358621598632716</v>
      </c>
      <c r="E355" t="s">
        <v>94</v>
      </c>
      <c r="F355">
        <v>617</v>
      </c>
      <c r="G355" s="4">
        <v>46087.591064814813</v>
      </c>
    </row>
    <row r="356" spans="1:7" x14ac:dyDescent="0.3">
      <c r="A356">
        <v>355</v>
      </c>
      <c r="B356" t="s">
        <v>145</v>
      </c>
      <c r="C356">
        <v>51039777</v>
      </c>
      <c r="D356">
        <v>86.243220635535565</v>
      </c>
      <c r="E356" t="s">
        <v>92</v>
      </c>
      <c r="F356">
        <v>224</v>
      </c>
      <c r="G356" s="4">
        <v>46087.591064814813</v>
      </c>
    </row>
    <row r="357" spans="1:7" x14ac:dyDescent="0.3">
      <c r="A357">
        <v>356</v>
      </c>
      <c r="B357" t="s">
        <v>145</v>
      </c>
      <c r="C357">
        <v>51056183</v>
      </c>
      <c r="D357">
        <v>82.742230522373063</v>
      </c>
      <c r="E357" t="s">
        <v>93</v>
      </c>
      <c r="F357">
        <v>328</v>
      </c>
      <c r="G357" s="4">
        <v>46087.591064814813</v>
      </c>
    </row>
    <row r="358" spans="1:7" x14ac:dyDescent="0.3">
      <c r="A358">
        <v>357</v>
      </c>
      <c r="B358" t="s">
        <v>145</v>
      </c>
      <c r="C358">
        <v>51039238</v>
      </c>
      <c r="D358">
        <v>80.173424308113198</v>
      </c>
      <c r="E358" t="s">
        <v>93</v>
      </c>
      <c r="F358">
        <v>400</v>
      </c>
      <c r="G358" s="4">
        <v>46087.591064814813</v>
      </c>
    </row>
    <row r="359" spans="1:7" x14ac:dyDescent="0.3">
      <c r="A359">
        <v>358</v>
      </c>
      <c r="B359" t="s">
        <v>145</v>
      </c>
      <c r="C359">
        <v>51007701</v>
      </c>
      <c r="D359">
        <v>100</v>
      </c>
      <c r="E359" t="s">
        <v>275</v>
      </c>
      <c r="F359">
        <v>1</v>
      </c>
      <c r="G359" s="4">
        <v>46087.591064814813</v>
      </c>
    </row>
    <row r="360" spans="1:7" x14ac:dyDescent="0.3">
      <c r="A360">
        <v>359</v>
      </c>
      <c r="B360" t="s">
        <v>145</v>
      </c>
      <c r="C360">
        <v>51034228</v>
      </c>
      <c r="D360">
        <v>61.07411454198219</v>
      </c>
      <c r="E360" t="s">
        <v>94</v>
      </c>
      <c r="F360">
        <v>646</v>
      </c>
      <c r="G360" s="4">
        <v>46087.591064814813</v>
      </c>
    </row>
    <row r="361" spans="1:7" x14ac:dyDescent="0.3">
      <c r="A361">
        <v>360</v>
      </c>
      <c r="B361" t="s">
        <v>145</v>
      </c>
      <c r="C361">
        <v>51005295</v>
      </c>
      <c r="D361">
        <v>82.28740514322196</v>
      </c>
      <c r="E361" t="s">
        <v>93</v>
      </c>
      <c r="F361">
        <v>341</v>
      </c>
      <c r="G361" s="4">
        <v>46087.591064814813</v>
      </c>
    </row>
    <row r="362" spans="1:7" x14ac:dyDescent="0.3">
      <c r="A362">
        <v>361</v>
      </c>
      <c r="B362" t="s">
        <v>145</v>
      </c>
      <c r="C362">
        <v>51023668</v>
      </c>
      <c r="D362">
        <v>62.073665238476401</v>
      </c>
      <c r="E362" t="s">
        <v>94</v>
      </c>
      <c r="F362">
        <v>627</v>
      </c>
      <c r="G362" s="4">
        <v>46087.591064814813</v>
      </c>
    </row>
    <row r="363" spans="1:7" x14ac:dyDescent="0.3">
      <c r="A363">
        <v>362</v>
      </c>
      <c r="B363" t="s">
        <v>145</v>
      </c>
      <c r="C363">
        <v>51018851</v>
      </c>
      <c r="D363">
        <v>59.160419109137713</v>
      </c>
      <c r="E363" t="s">
        <v>94</v>
      </c>
      <c r="F363">
        <v>689</v>
      </c>
      <c r="G363" s="4">
        <v>46087.591064814813</v>
      </c>
    </row>
    <row r="364" spans="1:7" x14ac:dyDescent="0.3">
      <c r="A364">
        <v>363</v>
      </c>
      <c r="B364" t="s">
        <v>145</v>
      </c>
      <c r="C364">
        <v>51042042</v>
      </c>
      <c r="D364">
        <v>41.621701550245326</v>
      </c>
      <c r="E364" t="s">
        <v>94</v>
      </c>
      <c r="F364">
        <v>881</v>
      </c>
      <c r="G364" s="4">
        <v>46087.591064814813</v>
      </c>
    </row>
    <row r="365" spans="1:7" x14ac:dyDescent="0.3">
      <c r="A365">
        <v>364</v>
      </c>
      <c r="B365" t="s">
        <v>145</v>
      </c>
      <c r="C365">
        <v>51010817</v>
      </c>
      <c r="D365">
        <v>58.071409442114167</v>
      </c>
      <c r="E365" t="s">
        <v>94</v>
      </c>
      <c r="F365">
        <v>717</v>
      </c>
      <c r="G365" s="4">
        <v>46087.591064814813</v>
      </c>
    </row>
    <row r="366" spans="1:7" x14ac:dyDescent="0.3">
      <c r="A366">
        <v>365</v>
      </c>
      <c r="B366" t="s">
        <v>145</v>
      </c>
      <c r="C366">
        <v>51022408</v>
      </c>
      <c r="D366">
        <v>92.349462251919064</v>
      </c>
      <c r="E366" t="s">
        <v>92</v>
      </c>
      <c r="F366">
        <v>84</v>
      </c>
      <c r="G366" s="4">
        <v>46087.591064814813</v>
      </c>
    </row>
    <row r="367" spans="1:7" x14ac:dyDescent="0.3">
      <c r="A367">
        <v>366</v>
      </c>
      <c r="B367" t="s">
        <v>145</v>
      </c>
      <c r="C367">
        <v>51032578</v>
      </c>
      <c r="D367">
        <v>22.959999999999997</v>
      </c>
      <c r="E367" t="s">
        <v>95</v>
      </c>
      <c r="F367">
        <v>994</v>
      </c>
      <c r="G367" s="4">
        <v>46087.591064814813</v>
      </c>
    </row>
    <row r="368" spans="1:7" x14ac:dyDescent="0.3">
      <c r="A368">
        <v>367</v>
      </c>
      <c r="B368" t="s">
        <v>145</v>
      </c>
      <c r="C368">
        <v>51017978</v>
      </c>
      <c r="D368">
        <v>72.192569257530351</v>
      </c>
      <c r="E368" t="s">
        <v>93</v>
      </c>
      <c r="F368">
        <v>518</v>
      </c>
      <c r="G368" s="4">
        <v>46087.591064814813</v>
      </c>
    </row>
    <row r="369" spans="1:7" x14ac:dyDescent="0.3">
      <c r="A369">
        <v>368</v>
      </c>
      <c r="B369" t="s">
        <v>145</v>
      </c>
      <c r="C369">
        <v>51056868</v>
      </c>
      <c r="D369">
        <v>29.322749995847026</v>
      </c>
      <c r="E369" t="s">
        <v>94</v>
      </c>
      <c r="F369">
        <v>952</v>
      </c>
      <c r="G369" s="4">
        <v>46087.591064814813</v>
      </c>
    </row>
    <row r="370" spans="1:7" x14ac:dyDescent="0.3">
      <c r="A370">
        <v>369</v>
      </c>
      <c r="B370" t="s">
        <v>145</v>
      </c>
      <c r="C370">
        <v>51056566</v>
      </c>
      <c r="D370">
        <v>69.929611411777643</v>
      </c>
      <c r="E370" t="s">
        <v>93</v>
      </c>
      <c r="F370">
        <v>546</v>
      </c>
      <c r="G370" s="4">
        <v>46087.591064814813</v>
      </c>
    </row>
    <row r="371" spans="1:7" x14ac:dyDescent="0.3">
      <c r="A371">
        <v>370</v>
      </c>
      <c r="B371" t="s">
        <v>145</v>
      </c>
      <c r="C371">
        <v>51005112</v>
      </c>
      <c r="D371">
        <v>57.343613112384077</v>
      </c>
      <c r="E371" t="s">
        <v>94</v>
      </c>
      <c r="F371">
        <v>732</v>
      </c>
      <c r="G371" s="4">
        <v>46087.591064814813</v>
      </c>
    </row>
    <row r="372" spans="1:7" x14ac:dyDescent="0.3">
      <c r="A372">
        <v>371</v>
      </c>
      <c r="B372" t="s">
        <v>145</v>
      </c>
      <c r="C372">
        <v>51019946</v>
      </c>
      <c r="D372">
        <v>87.623257545661858</v>
      </c>
      <c r="E372" t="s">
        <v>92</v>
      </c>
      <c r="F372">
        <v>185</v>
      </c>
      <c r="G372" s="4">
        <v>46087.591064814813</v>
      </c>
    </row>
    <row r="373" spans="1:7" x14ac:dyDescent="0.3">
      <c r="A373">
        <v>372</v>
      </c>
      <c r="B373" t="s">
        <v>145</v>
      </c>
      <c r="C373">
        <v>51027116</v>
      </c>
      <c r="D373">
        <v>89.468826294029995</v>
      </c>
      <c r="E373" t="s">
        <v>92</v>
      </c>
      <c r="F373">
        <v>137</v>
      </c>
      <c r="G373" s="4">
        <v>46087.591064814813</v>
      </c>
    </row>
    <row r="374" spans="1:7" x14ac:dyDescent="0.3">
      <c r="A374">
        <v>373</v>
      </c>
      <c r="B374" t="s">
        <v>145</v>
      </c>
      <c r="C374">
        <v>51042051</v>
      </c>
      <c r="D374">
        <v>97.290640836301165</v>
      </c>
      <c r="E374" t="s">
        <v>275</v>
      </c>
      <c r="F374">
        <v>31</v>
      </c>
      <c r="G374" s="4">
        <v>46087.591064814813</v>
      </c>
    </row>
    <row r="375" spans="1:7" x14ac:dyDescent="0.3">
      <c r="A375">
        <v>374</v>
      </c>
      <c r="B375" t="s">
        <v>145</v>
      </c>
      <c r="C375">
        <v>51024702</v>
      </c>
      <c r="D375">
        <v>73.931530694912965</v>
      </c>
      <c r="E375" t="s">
        <v>93</v>
      </c>
      <c r="F375">
        <v>494</v>
      </c>
      <c r="G375" s="4">
        <v>46087.591064814813</v>
      </c>
    </row>
    <row r="376" spans="1:7" x14ac:dyDescent="0.3">
      <c r="A376">
        <v>375</v>
      </c>
      <c r="B376" t="s">
        <v>145</v>
      </c>
      <c r="C376">
        <v>51000251</v>
      </c>
      <c r="D376">
        <v>56.180921249283443</v>
      </c>
      <c r="E376" t="s">
        <v>94</v>
      </c>
      <c r="F376">
        <v>761</v>
      </c>
      <c r="G376" s="4">
        <v>46087.591064814813</v>
      </c>
    </row>
    <row r="377" spans="1:7" x14ac:dyDescent="0.3">
      <c r="A377">
        <v>376</v>
      </c>
      <c r="B377" t="s">
        <v>145</v>
      </c>
      <c r="C377">
        <v>51036778</v>
      </c>
      <c r="D377">
        <v>84.483920850539377</v>
      </c>
      <c r="E377" t="s">
        <v>93</v>
      </c>
      <c r="F377">
        <v>272</v>
      </c>
      <c r="G377" s="4">
        <v>46087.591064814813</v>
      </c>
    </row>
    <row r="378" spans="1:7" x14ac:dyDescent="0.3">
      <c r="A378">
        <v>377</v>
      </c>
      <c r="B378" t="s">
        <v>145</v>
      </c>
      <c r="C378">
        <v>51056850</v>
      </c>
      <c r="D378">
        <v>43.417044559493178</v>
      </c>
      <c r="E378" t="s">
        <v>94</v>
      </c>
      <c r="F378">
        <v>875</v>
      </c>
      <c r="G378" s="4">
        <v>46087.591064814813</v>
      </c>
    </row>
    <row r="379" spans="1:7" x14ac:dyDescent="0.3">
      <c r="A379">
        <v>378</v>
      </c>
      <c r="B379" t="s">
        <v>145</v>
      </c>
      <c r="C379">
        <v>51054989</v>
      </c>
      <c r="D379">
        <v>91.912007677287846</v>
      </c>
      <c r="E379" t="s">
        <v>92</v>
      </c>
      <c r="F379">
        <v>87</v>
      </c>
      <c r="G379" s="4">
        <v>46087.591064814813</v>
      </c>
    </row>
    <row r="380" spans="1:7" x14ac:dyDescent="0.3">
      <c r="A380">
        <v>379</v>
      </c>
      <c r="B380" t="s">
        <v>145</v>
      </c>
      <c r="C380">
        <v>51018737</v>
      </c>
      <c r="D380">
        <v>29.4</v>
      </c>
      <c r="E380" t="s">
        <v>94</v>
      </c>
      <c r="F380">
        <v>950</v>
      </c>
      <c r="G380" s="4">
        <v>46087.591064814813</v>
      </c>
    </row>
    <row r="381" spans="1:7" x14ac:dyDescent="0.3">
      <c r="A381">
        <v>380</v>
      </c>
      <c r="B381" t="s">
        <v>145</v>
      </c>
      <c r="C381">
        <v>51023811</v>
      </c>
      <c r="D381">
        <v>60.90385808576471</v>
      </c>
      <c r="E381" t="s">
        <v>94</v>
      </c>
      <c r="F381">
        <v>648</v>
      </c>
      <c r="G381" s="4">
        <v>46087.591064814813</v>
      </c>
    </row>
    <row r="382" spans="1:7" x14ac:dyDescent="0.3">
      <c r="A382">
        <v>381</v>
      </c>
      <c r="B382" t="s">
        <v>145</v>
      </c>
      <c r="C382">
        <v>51040899</v>
      </c>
      <c r="D382">
        <v>92.882894692831258</v>
      </c>
      <c r="E382" t="s">
        <v>92</v>
      </c>
      <c r="F382">
        <v>75</v>
      </c>
      <c r="G382" s="4">
        <v>46087.591064814813</v>
      </c>
    </row>
    <row r="383" spans="1:7" x14ac:dyDescent="0.3">
      <c r="A383">
        <v>382</v>
      </c>
      <c r="B383" t="s">
        <v>145</v>
      </c>
      <c r="C383">
        <v>51022149</v>
      </c>
      <c r="D383">
        <v>57.232788493463069</v>
      </c>
      <c r="E383" t="s">
        <v>94</v>
      </c>
      <c r="F383">
        <v>734</v>
      </c>
      <c r="G383" s="4">
        <v>46087.591064814813</v>
      </c>
    </row>
    <row r="384" spans="1:7" x14ac:dyDescent="0.3">
      <c r="A384">
        <v>383</v>
      </c>
      <c r="B384" t="s">
        <v>145</v>
      </c>
      <c r="C384">
        <v>51014189</v>
      </c>
      <c r="D384">
        <v>83.91180075214335</v>
      </c>
      <c r="E384" t="s">
        <v>93</v>
      </c>
      <c r="F384">
        <v>287</v>
      </c>
      <c r="G384" s="4">
        <v>46087.591064814813</v>
      </c>
    </row>
    <row r="385" spans="1:7" x14ac:dyDescent="0.3">
      <c r="A385">
        <v>384</v>
      </c>
      <c r="B385" t="s">
        <v>145</v>
      </c>
      <c r="C385">
        <v>51011538</v>
      </c>
      <c r="D385">
        <v>48.692059069816985</v>
      </c>
      <c r="E385" t="s">
        <v>94</v>
      </c>
      <c r="F385">
        <v>836</v>
      </c>
      <c r="G385" s="4">
        <v>46087.591064814813</v>
      </c>
    </row>
    <row r="386" spans="1:7" x14ac:dyDescent="0.3">
      <c r="A386">
        <v>385</v>
      </c>
      <c r="B386" t="s">
        <v>145</v>
      </c>
      <c r="C386">
        <v>51011686</v>
      </c>
      <c r="D386">
        <v>67.492506255921086</v>
      </c>
      <c r="E386" t="s">
        <v>93</v>
      </c>
      <c r="F386">
        <v>581</v>
      </c>
      <c r="G386" s="4">
        <v>46087.591064814813</v>
      </c>
    </row>
    <row r="387" spans="1:7" x14ac:dyDescent="0.3">
      <c r="A387">
        <v>386</v>
      </c>
      <c r="B387" t="s">
        <v>145</v>
      </c>
      <c r="C387">
        <v>51055896</v>
      </c>
      <c r="D387">
        <v>68.350813288676648</v>
      </c>
      <c r="E387" t="s">
        <v>93</v>
      </c>
      <c r="F387">
        <v>568</v>
      </c>
      <c r="G387" s="4">
        <v>46087.591064814813</v>
      </c>
    </row>
    <row r="388" spans="1:7" x14ac:dyDescent="0.3">
      <c r="A388">
        <v>387</v>
      </c>
      <c r="B388" t="s">
        <v>145</v>
      </c>
      <c r="C388">
        <v>51054962</v>
      </c>
      <c r="D388">
        <v>79.812629650935236</v>
      </c>
      <c r="E388" t="s">
        <v>93</v>
      </c>
      <c r="F388">
        <v>408</v>
      </c>
      <c r="G388" s="4">
        <v>46087.591064814813</v>
      </c>
    </row>
    <row r="389" spans="1:7" x14ac:dyDescent="0.3">
      <c r="A389">
        <v>388</v>
      </c>
      <c r="B389" t="s">
        <v>145</v>
      </c>
      <c r="C389">
        <v>51021584</v>
      </c>
      <c r="D389">
        <v>76.196810493183989</v>
      </c>
      <c r="E389" t="s">
        <v>93</v>
      </c>
      <c r="F389">
        <v>469</v>
      </c>
      <c r="G389" s="4">
        <v>46087.591064814813</v>
      </c>
    </row>
    <row r="390" spans="1:7" x14ac:dyDescent="0.3">
      <c r="A390">
        <v>389</v>
      </c>
      <c r="B390" t="s">
        <v>145</v>
      </c>
      <c r="C390">
        <v>51014642</v>
      </c>
      <c r="D390">
        <v>28.889714095815368</v>
      </c>
      <c r="E390" t="s">
        <v>95</v>
      </c>
      <c r="F390">
        <v>956</v>
      </c>
      <c r="G390" s="4">
        <v>46087.591064814813</v>
      </c>
    </row>
    <row r="391" spans="1:7" x14ac:dyDescent="0.3">
      <c r="A391">
        <v>390</v>
      </c>
      <c r="B391" t="s">
        <v>145</v>
      </c>
      <c r="C391">
        <v>51038878</v>
      </c>
      <c r="D391">
        <v>26.7</v>
      </c>
      <c r="E391" t="s">
        <v>95</v>
      </c>
      <c r="F391">
        <v>970</v>
      </c>
      <c r="G391" s="4">
        <v>46087.591064814813</v>
      </c>
    </row>
    <row r="392" spans="1:7" x14ac:dyDescent="0.3">
      <c r="A392">
        <v>391</v>
      </c>
      <c r="B392" t="s">
        <v>145</v>
      </c>
      <c r="C392">
        <v>51055292</v>
      </c>
      <c r="D392">
        <v>65.835257263477914</v>
      </c>
      <c r="E392" t="s">
        <v>94</v>
      </c>
      <c r="F392">
        <v>598</v>
      </c>
      <c r="G392" s="4">
        <v>46087.591064814813</v>
      </c>
    </row>
    <row r="393" spans="1:7" x14ac:dyDescent="0.3">
      <c r="A393">
        <v>392</v>
      </c>
      <c r="B393" t="s">
        <v>145</v>
      </c>
      <c r="C393">
        <v>51011601</v>
      </c>
      <c r="D393">
        <v>68.537513726997631</v>
      </c>
      <c r="E393" t="s">
        <v>93</v>
      </c>
      <c r="F393">
        <v>565</v>
      </c>
      <c r="G393" s="4">
        <v>46087.591064814813</v>
      </c>
    </row>
    <row r="394" spans="1:7" x14ac:dyDescent="0.3">
      <c r="A394">
        <v>393</v>
      </c>
      <c r="B394" t="s">
        <v>145</v>
      </c>
      <c r="C394">
        <v>51022866</v>
      </c>
      <c r="D394">
        <v>63.54198635432391</v>
      </c>
      <c r="E394" t="s">
        <v>94</v>
      </c>
      <c r="F394">
        <v>614</v>
      </c>
      <c r="G394" s="4">
        <v>46087.591064814813</v>
      </c>
    </row>
    <row r="395" spans="1:7" x14ac:dyDescent="0.3">
      <c r="A395">
        <v>394</v>
      </c>
      <c r="B395" t="s">
        <v>145</v>
      </c>
      <c r="C395">
        <v>51017820</v>
      </c>
      <c r="D395">
        <v>72.438279137297016</v>
      </c>
      <c r="E395" t="s">
        <v>93</v>
      </c>
      <c r="F395">
        <v>511</v>
      </c>
      <c r="G395" s="4">
        <v>46087.591064814813</v>
      </c>
    </row>
    <row r="396" spans="1:7" x14ac:dyDescent="0.3">
      <c r="A396">
        <v>395</v>
      </c>
      <c r="B396" t="s">
        <v>145</v>
      </c>
      <c r="C396">
        <v>51030761</v>
      </c>
      <c r="D396">
        <v>21.652620481026219</v>
      </c>
      <c r="E396" t="s">
        <v>95</v>
      </c>
      <c r="F396">
        <v>1007</v>
      </c>
      <c r="G396" s="4">
        <v>46087.591064814813</v>
      </c>
    </row>
    <row r="397" spans="1:7" x14ac:dyDescent="0.3">
      <c r="A397">
        <v>396</v>
      </c>
      <c r="B397" t="s">
        <v>145</v>
      </c>
      <c r="C397">
        <v>51008294</v>
      </c>
      <c r="D397">
        <v>58.319076038158464</v>
      </c>
      <c r="E397" t="s">
        <v>94</v>
      </c>
      <c r="F397">
        <v>710</v>
      </c>
      <c r="G397" s="4">
        <v>46087.591064814813</v>
      </c>
    </row>
    <row r="398" spans="1:7" x14ac:dyDescent="0.3">
      <c r="A398">
        <v>397</v>
      </c>
      <c r="B398" t="s">
        <v>145</v>
      </c>
      <c r="C398">
        <v>51055501</v>
      </c>
      <c r="D398">
        <v>72.42704489971986</v>
      </c>
      <c r="E398" t="s">
        <v>93</v>
      </c>
      <c r="F398">
        <v>512</v>
      </c>
      <c r="G398" s="4">
        <v>46087.591064814813</v>
      </c>
    </row>
    <row r="399" spans="1:7" x14ac:dyDescent="0.3">
      <c r="A399">
        <v>398</v>
      </c>
      <c r="B399" t="s">
        <v>145</v>
      </c>
      <c r="C399">
        <v>51038886</v>
      </c>
      <c r="D399">
        <v>100</v>
      </c>
      <c r="E399" t="s">
        <v>275</v>
      </c>
      <c r="F399">
        <v>1</v>
      </c>
      <c r="G399" s="4">
        <v>46087.591064814813</v>
      </c>
    </row>
    <row r="400" spans="1:7" x14ac:dyDescent="0.3">
      <c r="A400">
        <v>399</v>
      </c>
      <c r="B400" t="s">
        <v>145</v>
      </c>
      <c r="C400">
        <v>51020316</v>
      </c>
      <c r="D400">
        <v>94.953459923594522</v>
      </c>
      <c r="E400" t="s">
        <v>275</v>
      </c>
      <c r="F400">
        <v>55</v>
      </c>
      <c r="G400" s="4">
        <v>46087.591064814813</v>
      </c>
    </row>
    <row r="401" spans="1:7" x14ac:dyDescent="0.3">
      <c r="A401">
        <v>400</v>
      </c>
      <c r="B401" t="s">
        <v>145</v>
      </c>
      <c r="C401">
        <v>51055675</v>
      </c>
      <c r="D401">
        <v>90.777878610907138</v>
      </c>
      <c r="E401" t="s">
        <v>92</v>
      </c>
      <c r="F401">
        <v>110</v>
      </c>
      <c r="G401" s="4">
        <v>46087.591064814813</v>
      </c>
    </row>
    <row r="402" spans="1:7" x14ac:dyDescent="0.3">
      <c r="A402">
        <v>401</v>
      </c>
      <c r="B402" t="s">
        <v>145</v>
      </c>
      <c r="C402">
        <v>51012577</v>
      </c>
      <c r="D402">
        <v>94.652253683322868</v>
      </c>
      <c r="E402" t="s">
        <v>275</v>
      </c>
      <c r="F402">
        <v>58</v>
      </c>
      <c r="G402" s="4">
        <v>46087.591064814813</v>
      </c>
    </row>
    <row r="403" spans="1:7" x14ac:dyDescent="0.3">
      <c r="A403">
        <v>402</v>
      </c>
      <c r="B403" t="s">
        <v>145</v>
      </c>
      <c r="C403">
        <v>51017706</v>
      </c>
      <c r="D403">
        <v>96.233091872754017</v>
      </c>
      <c r="E403" t="s">
        <v>275</v>
      </c>
      <c r="F403">
        <v>38</v>
      </c>
      <c r="G403" s="4">
        <v>46087.591064814813</v>
      </c>
    </row>
    <row r="404" spans="1:7" x14ac:dyDescent="0.3">
      <c r="A404">
        <v>403</v>
      </c>
      <c r="B404" t="s">
        <v>145</v>
      </c>
      <c r="C404">
        <v>51011236</v>
      </c>
      <c r="D404">
        <v>84.07108520864432</v>
      </c>
      <c r="E404" t="s">
        <v>93</v>
      </c>
      <c r="F404">
        <v>283</v>
      </c>
      <c r="G404" s="4">
        <v>46087.591064814813</v>
      </c>
    </row>
    <row r="405" spans="1:7" x14ac:dyDescent="0.3">
      <c r="A405">
        <v>404</v>
      </c>
      <c r="B405" t="s">
        <v>145</v>
      </c>
      <c r="C405">
        <v>51030524</v>
      </c>
      <c r="D405">
        <v>59.41500193373092</v>
      </c>
      <c r="E405" t="s">
        <v>94</v>
      </c>
      <c r="F405">
        <v>680</v>
      </c>
      <c r="G405" s="4">
        <v>46087.591064814813</v>
      </c>
    </row>
    <row r="406" spans="1:7" x14ac:dyDescent="0.3">
      <c r="A406">
        <v>405</v>
      </c>
      <c r="B406" t="s">
        <v>145</v>
      </c>
      <c r="C406">
        <v>51003365</v>
      </c>
      <c r="D406">
        <v>86.863772610540963</v>
      </c>
      <c r="E406" t="s">
        <v>92</v>
      </c>
      <c r="F406">
        <v>205</v>
      </c>
      <c r="G406" s="4">
        <v>46087.591064814813</v>
      </c>
    </row>
    <row r="407" spans="1:7" x14ac:dyDescent="0.3">
      <c r="A407">
        <v>406</v>
      </c>
      <c r="B407" t="s">
        <v>145</v>
      </c>
      <c r="C407">
        <v>51031989</v>
      </c>
      <c r="D407">
        <v>86.426061634991768</v>
      </c>
      <c r="E407" t="s">
        <v>92</v>
      </c>
      <c r="F407">
        <v>217</v>
      </c>
      <c r="G407" s="4">
        <v>46087.591064814813</v>
      </c>
    </row>
    <row r="408" spans="1:7" x14ac:dyDescent="0.3">
      <c r="A408">
        <v>407</v>
      </c>
      <c r="B408" t="s">
        <v>145</v>
      </c>
      <c r="C408">
        <v>51010922</v>
      </c>
      <c r="D408">
        <v>53.986161178241034</v>
      </c>
      <c r="E408" t="s">
        <v>94</v>
      </c>
      <c r="F408">
        <v>791</v>
      </c>
      <c r="G408" s="4">
        <v>46087.591064814813</v>
      </c>
    </row>
    <row r="409" spans="1:7" x14ac:dyDescent="0.3">
      <c r="A409">
        <v>408</v>
      </c>
      <c r="B409" t="s">
        <v>145</v>
      </c>
      <c r="C409">
        <v>51040031</v>
      </c>
      <c r="D409">
        <v>88.075909411872388</v>
      </c>
      <c r="E409" t="s">
        <v>92</v>
      </c>
      <c r="F409">
        <v>177</v>
      </c>
      <c r="G409" s="4">
        <v>46087.591064814813</v>
      </c>
    </row>
    <row r="410" spans="1:7" x14ac:dyDescent="0.3">
      <c r="A410">
        <v>409</v>
      </c>
      <c r="B410" t="s">
        <v>145</v>
      </c>
      <c r="C410">
        <v>51027108</v>
      </c>
      <c r="D410">
        <v>85.786329380959401</v>
      </c>
      <c r="E410" t="s">
        <v>92</v>
      </c>
      <c r="F410">
        <v>235</v>
      </c>
      <c r="G410" s="4">
        <v>46087.591064814813</v>
      </c>
    </row>
    <row r="411" spans="1:7" x14ac:dyDescent="0.3">
      <c r="A411">
        <v>410</v>
      </c>
      <c r="B411" t="s">
        <v>145</v>
      </c>
      <c r="C411">
        <v>51022971</v>
      </c>
      <c r="D411">
        <v>65.613649881857626</v>
      </c>
      <c r="E411" t="s">
        <v>94</v>
      </c>
      <c r="F411">
        <v>599</v>
      </c>
      <c r="G411" s="4">
        <v>46087.591064814813</v>
      </c>
    </row>
    <row r="412" spans="1:7" x14ac:dyDescent="0.3">
      <c r="A412">
        <v>411</v>
      </c>
      <c r="B412" t="s">
        <v>145</v>
      </c>
      <c r="C412">
        <v>51023005</v>
      </c>
      <c r="D412">
        <v>83.048748193891385</v>
      </c>
      <c r="E412" t="s">
        <v>93</v>
      </c>
      <c r="F412">
        <v>320</v>
      </c>
      <c r="G412" s="4">
        <v>46087.591064814813</v>
      </c>
    </row>
    <row r="413" spans="1:7" x14ac:dyDescent="0.3">
      <c r="A413">
        <v>412</v>
      </c>
      <c r="B413" t="s">
        <v>145</v>
      </c>
      <c r="C413">
        <v>51002610</v>
      </c>
      <c r="D413">
        <v>83.152192685530764</v>
      </c>
      <c r="E413" t="s">
        <v>93</v>
      </c>
      <c r="F413">
        <v>314</v>
      </c>
      <c r="G413" s="4">
        <v>46087.591064814813</v>
      </c>
    </row>
    <row r="414" spans="1:7" x14ac:dyDescent="0.3">
      <c r="A414">
        <v>413</v>
      </c>
      <c r="B414" t="s">
        <v>145</v>
      </c>
      <c r="C414">
        <v>51056116</v>
      </c>
      <c r="D414">
        <v>88.656119960806592</v>
      </c>
      <c r="E414" t="s">
        <v>92</v>
      </c>
      <c r="F414">
        <v>162</v>
      </c>
      <c r="G414" s="4">
        <v>46087.591064814813</v>
      </c>
    </row>
    <row r="415" spans="1:7" x14ac:dyDescent="0.3">
      <c r="A415">
        <v>414</v>
      </c>
      <c r="B415" t="s">
        <v>145</v>
      </c>
      <c r="C415">
        <v>51020979</v>
      </c>
      <c r="D415">
        <v>63.086656676246527</v>
      </c>
      <c r="E415" t="s">
        <v>94</v>
      </c>
      <c r="F415">
        <v>621</v>
      </c>
      <c r="G415" s="4">
        <v>46087.591064814813</v>
      </c>
    </row>
    <row r="416" spans="1:7" x14ac:dyDescent="0.3">
      <c r="A416">
        <v>415</v>
      </c>
      <c r="B416" t="s">
        <v>145</v>
      </c>
      <c r="C416">
        <v>51015207</v>
      </c>
      <c r="D416">
        <v>87.453847304636497</v>
      </c>
      <c r="E416" t="s">
        <v>92</v>
      </c>
      <c r="F416">
        <v>191</v>
      </c>
      <c r="G416" s="4">
        <v>46087.591064814813</v>
      </c>
    </row>
    <row r="417" spans="1:7" x14ac:dyDescent="0.3">
      <c r="A417">
        <v>416</v>
      </c>
      <c r="B417" t="s">
        <v>145</v>
      </c>
      <c r="C417">
        <v>51007549</v>
      </c>
      <c r="D417">
        <v>92.118108017480054</v>
      </c>
      <c r="E417" t="s">
        <v>92</v>
      </c>
      <c r="F417">
        <v>85</v>
      </c>
      <c r="G417" s="4">
        <v>46087.591064814813</v>
      </c>
    </row>
    <row r="418" spans="1:7" x14ac:dyDescent="0.3">
      <c r="A418">
        <v>417</v>
      </c>
      <c r="B418" t="s">
        <v>145</v>
      </c>
      <c r="C418">
        <v>51032624</v>
      </c>
      <c r="D418">
        <v>37.442277040051259</v>
      </c>
      <c r="E418" t="s">
        <v>94</v>
      </c>
      <c r="F418">
        <v>893</v>
      </c>
      <c r="G418" s="4">
        <v>46087.591064814813</v>
      </c>
    </row>
    <row r="419" spans="1:7" x14ac:dyDescent="0.3">
      <c r="A419">
        <v>418</v>
      </c>
      <c r="B419" t="s">
        <v>145</v>
      </c>
      <c r="C419">
        <v>51002555</v>
      </c>
      <c r="D419">
        <v>93.366317943737755</v>
      </c>
      <c r="E419" t="s">
        <v>92</v>
      </c>
      <c r="F419">
        <v>71</v>
      </c>
      <c r="G419" s="4">
        <v>46087.591064814813</v>
      </c>
    </row>
    <row r="420" spans="1:7" x14ac:dyDescent="0.3">
      <c r="A420">
        <v>419</v>
      </c>
      <c r="B420" t="s">
        <v>145</v>
      </c>
      <c r="C420">
        <v>51029879</v>
      </c>
      <c r="D420">
        <v>79.708395084479534</v>
      </c>
      <c r="E420" t="s">
        <v>93</v>
      </c>
      <c r="F420">
        <v>411</v>
      </c>
      <c r="G420" s="4">
        <v>46087.591064814813</v>
      </c>
    </row>
    <row r="421" spans="1:7" x14ac:dyDescent="0.3">
      <c r="A421">
        <v>420</v>
      </c>
      <c r="B421" t="s">
        <v>145</v>
      </c>
      <c r="C421">
        <v>51011147</v>
      </c>
      <c r="D421">
        <v>75.41152873887053</v>
      </c>
      <c r="E421" t="s">
        <v>93</v>
      </c>
      <c r="F421">
        <v>477</v>
      </c>
      <c r="G421" s="4">
        <v>46087.591064814813</v>
      </c>
    </row>
    <row r="422" spans="1:7" x14ac:dyDescent="0.3">
      <c r="A422">
        <v>421</v>
      </c>
      <c r="B422" t="s">
        <v>145</v>
      </c>
      <c r="C422">
        <v>51030427</v>
      </c>
      <c r="D422">
        <v>100</v>
      </c>
      <c r="E422" t="s">
        <v>275</v>
      </c>
      <c r="F422">
        <v>1</v>
      </c>
      <c r="G422" s="4">
        <v>46087.591064814813</v>
      </c>
    </row>
    <row r="423" spans="1:7" x14ac:dyDescent="0.3">
      <c r="A423">
        <v>422</v>
      </c>
      <c r="B423" t="s">
        <v>145</v>
      </c>
      <c r="C423">
        <v>51032675</v>
      </c>
      <c r="D423">
        <v>78.791610869587061</v>
      </c>
      <c r="E423" t="s">
        <v>93</v>
      </c>
      <c r="F423">
        <v>434</v>
      </c>
      <c r="G423" s="4">
        <v>46087.591064814813</v>
      </c>
    </row>
    <row r="424" spans="1:7" x14ac:dyDescent="0.3">
      <c r="A424">
        <v>423</v>
      </c>
      <c r="B424" t="s">
        <v>145</v>
      </c>
      <c r="C424">
        <v>51042921</v>
      </c>
      <c r="D424">
        <v>84.650194118336103</v>
      </c>
      <c r="E424" t="s">
        <v>93</v>
      </c>
      <c r="F424">
        <v>266</v>
      </c>
      <c r="G424" s="4">
        <v>46087.591064814813</v>
      </c>
    </row>
    <row r="425" spans="1:7" x14ac:dyDescent="0.3">
      <c r="A425">
        <v>424</v>
      </c>
      <c r="B425" t="s">
        <v>145</v>
      </c>
      <c r="C425">
        <v>51056272</v>
      </c>
      <c r="D425">
        <v>50.552557814296442</v>
      </c>
      <c r="E425" t="s">
        <v>94</v>
      </c>
      <c r="F425">
        <v>820</v>
      </c>
      <c r="G425" s="4">
        <v>46087.591064814813</v>
      </c>
    </row>
    <row r="426" spans="1:7" x14ac:dyDescent="0.3">
      <c r="A426">
        <v>425</v>
      </c>
      <c r="B426" t="s">
        <v>145</v>
      </c>
      <c r="C426">
        <v>51007883</v>
      </c>
      <c r="D426">
        <v>66.627426023306256</v>
      </c>
      <c r="E426" t="s">
        <v>93</v>
      </c>
      <c r="F426">
        <v>591</v>
      </c>
      <c r="G426" s="4">
        <v>46087.591064814813</v>
      </c>
    </row>
    <row r="427" spans="1:7" x14ac:dyDescent="0.3">
      <c r="A427">
        <v>426</v>
      </c>
      <c r="B427" t="s">
        <v>145</v>
      </c>
      <c r="C427">
        <v>51030010</v>
      </c>
      <c r="D427">
        <v>95.359831145834093</v>
      </c>
      <c r="E427" t="s">
        <v>275</v>
      </c>
      <c r="F427">
        <v>47</v>
      </c>
      <c r="G427" s="4">
        <v>46087.591064814813</v>
      </c>
    </row>
    <row r="428" spans="1:7" x14ac:dyDescent="0.3">
      <c r="A428">
        <v>427</v>
      </c>
      <c r="B428" t="s">
        <v>145</v>
      </c>
      <c r="C428">
        <v>51056124</v>
      </c>
      <c r="D428">
        <v>93.030352150147905</v>
      </c>
      <c r="E428" t="s">
        <v>92</v>
      </c>
      <c r="F428">
        <v>72</v>
      </c>
      <c r="G428" s="4">
        <v>46087.591064814813</v>
      </c>
    </row>
    <row r="429" spans="1:7" x14ac:dyDescent="0.3">
      <c r="A429">
        <v>428</v>
      </c>
      <c r="B429" t="s">
        <v>145</v>
      </c>
      <c r="C429">
        <v>51043758</v>
      </c>
      <c r="D429">
        <v>82.700640168592386</v>
      </c>
      <c r="E429" t="s">
        <v>93</v>
      </c>
      <c r="F429">
        <v>332</v>
      </c>
      <c r="G429" s="4">
        <v>46087.591064814813</v>
      </c>
    </row>
    <row r="430" spans="1:7" x14ac:dyDescent="0.3">
      <c r="A430">
        <v>429</v>
      </c>
      <c r="B430" t="s">
        <v>145</v>
      </c>
      <c r="C430">
        <v>51055039</v>
      </c>
      <c r="D430">
        <v>90.196911313008997</v>
      </c>
      <c r="E430" t="s">
        <v>92</v>
      </c>
      <c r="F430">
        <v>119</v>
      </c>
      <c r="G430" s="4">
        <v>46087.591064814813</v>
      </c>
    </row>
    <row r="431" spans="1:7" x14ac:dyDescent="0.3">
      <c r="A431">
        <v>430</v>
      </c>
      <c r="B431" t="s">
        <v>145</v>
      </c>
      <c r="C431">
        <v>51056582</v>
      </c>
      <c r="D431">
        <v>82.530956067332099</v>
      </c>
      <c r="E431" t="s">
        <v>93</v>
      </c>
      <c r="F431">
        <v>338</v>
      </c>
      <c r="G431" s="4">
        <v>46087.591064814813</v>
      </c>
    </row>
    <row r="432" spans="1:7" x14ac:dyDescent="0.3">
      <c r="A432">
        <v>431</v>
      </c>
      <c r="B432" t="s">
        <v>145</v>
      </c>
      <c r="C432">
        <v>51021321</v>
      </c>
      <c r="D432">
        <v>77.334806396998033</v>
      </c>
      <c r="E432" t="s">
        <v>93</v>
      </c>
      <c r="F432">
        <v>449</v>
      </c>
      <c r="G432" s="4">
        <v>46087.591064814813</v>
      </c>
    </row>
    <row r="433" spans="1:7" x14ac:dyDescent="0.3">
      <c r="A433">
        <v>432</v>
      </c>
      <c r="B433" t="s">
        <v>145</v>
      </c>
      <c r="C433">
        <v>51055322</v>
      </c>
      <c r="D433">
        <v>82.914045972618851</v>
      </c>
      <c r="E433" t="s">
        <v>93</v>
      </c>
      <c r="F433">
        <v>325</v>
      </c>
      <c r="G433" s="4">
        <v>46087.591064814813</v>
      </c>
    </row>
    <row r="434" spans="1:7" x14ac:dyDescent="0.3">
      <c r="A434">
        <v>433</v>
      </c>
      <c r="B434" t="s">
        <v>145</v>
      </c>
      <c r="C434">
        <v>51010027</v>
      </c>
      <c r="D434">
        <v>28.5</v>
      </c>
      <c r="E434" t="s">
        <v>95</v>
      </c>
      <c r="F434">
        <v>959</v>
      </c>
      <c r="G434" s="4">
        <v>46087.591064814813</v>
      </c>
    </row>
    <row r="435" spans="1:7" x14ac:dyDescent="0.3">
      <c r="A435">
        <v>434</v>
      </c>
      <c r="B435" t="s">
        <v>145</v>
      </c>
      <c r="C435">
        <v>51011295</v>
      </c>
      <c r="D435">
        <v>87.856970233529324</v>
      </c>
      <c r="E435" t="s">
        <v>92</v>
      </c>
      <c r="F435">
        <v>181</v>
      </c>
      <c r="G435" s="4">
        <v>46087.591064814813</v>
      </c>
    </row>
    <row r="436" spans="1:7" x14ac:dyDescent="0.3">
      <c r="A436">
        <v>435</v>
      </c>
      <c r="B436" t="s">
        <v>145</v>
      </c>
      <c r="C436">
        <v>51017145</v>
      </c>
      <c r="D436">
        <v>62.17029467253478</v>
      </c>
      <c r="E436" t="s">
        <v>94</v>
      </c>
      <c r="F436">
        <v>626</v>
      </c>
      <c r="G436" s="4">
        <v>46087.591064814813</v>
      </c>
    </row>
    <row r="437" spans="1:7" x14ac:dyDescent="0.3">
      <c r="A437">
        <v>436</v>
      </c>
      <c r="B437" t="s">
        <v>145</v>
      </c>
      <c r="C437">
        <v>51055888</v>
      </c>
      <c r="D437">
        <v>56.807978505635703</v>
      </c>
      <c r="E437" t="s">
        <v>94</v>
      </c>
      <c r="F437">
        <v>744</v>
      </c>
      <c r="G437" s="4">
        <v>46087.591064814813</v>
      </c>
    </row>
    <row r="438" spans="1:7" x14ac:dyDescent="0.3">
      <c r="A438">
        <v>437</v>
      </c>
      <c r="B438" t="s">
        <v>145</v>
      </c>
      <c r="C438">
        <v>51031881</v>
      </c>
      <c r="D438">
        <v>89.635117003389894</v>
      </c>
      <c r="E438" t="s">
        <v>92</v>
      </c>
      <c r="F438">
        <v>135</v>
      </c>
      <c r="G438" s="4">
        <v>46087.591064814813</v>
      </c>
    </row>
    <row r="439" spans="1:7" x14ac:dyDescent="0.3">
      <c r="A439">
        <v>438</v>
      </c>
      <c r="B439" t="s">
        <v>145</v>
      </c>
      <c r="C439">
        <v>51010060</v>
      </c>
      <c r="D439">
        <v>93.460500101931871</v>
      </c>
      <c r="E439" t="s">
        <v>92</v>
      </c>
      <c r="F439">
        <v>67</v>
      </c>
      <c r="G439" s="4">
        <v>46087.591064814813</v>
      </c>
    </row>
    <row r="440" spans="1:7" x14ac:dyDescent="0.3">
      <c r="A440">
        <v>439</v>
      </c>
      <c r="B440" t="s">
        <v>145</v>
      </c>
      <c r="C440">
        <v>51056400</v>
      </c>
      <c r="D440">
        <v>84.899566855828581</v>
      </c>
      <c r="E440" t="s">
        <v>93</v>
      </c>
      <c r="F440">
        <v>258</v>
      </c>
      <c r="G440" s="4">
        <v>46087.591064814813</v>
      </c>
    </row>
    <row r="441" spans="1:7" x14ac:dyDescent="0.3">
      <c r="A441">
        <v>440</v>
      </c>
      <c r="B441" t="s">
        <v>145</v>
      </c>
      <c r="C441">
        <v>51056531</v>
      </c>
      <c r="D441">
        <v>93.377534092260063</v>
      </c>
      <c r="E441" t="s">
        <v>92</v>
      </c>
      <c r="F441">
        <v>69</v>
      </c>
      <c r="G441" s="4">
        <v>46087.591064814813</v>
      </c>
    </row>
    <row r="442" spans="1:7" x14ac:dyDescent="0.3">
      <c r="A442">
        <v>441</v>
      </c>
      <c r="B442" t="s">
        <v>145</v>
      </c>
      <c r="C442">
        <v>51011643</v>
      </c>
      <c r="D442">
        <v>80.06724166064204</v>
      </c>
      <c r="E442" t="s">
        <v>93</v>
      </c>
      <c r="F442">
        <v>405</v>
      </c>
      <c r="G442" s="4">
        <v>46087.591064814813</v>
      </c>
    </row>
    <row r="443" spans="1:7" x14ac:dyDescent="0.3">
      <c r="A443">
        <v>442</v>
      </c>
      <c r="B443" t="s">
        <v>145</v>
      </c>
      <c r="C443">
        <v>51016742</v>
      </c>
      <c r="D443">
        <v>56.718352088520035</v>
      </c>
      <c r="E443" t="s">
        <v>94</v>
      </c>
      <c r="F443">
        <v>746</v>
      </c>
      <c r="G443" s="4">
        <v>46087.591064814813</v>
      </c>
    </row>
    <row r="444" spans="1:7" x14ac:dyDescent="0.3">
      <c r="A444">
        <v>443</v>
      </c>
      <c r="B444" t="s">
        <v>145</v>
      </c>
      <c r="C444">
        <v>51010990</v>
      </c>
      <c r="D444">
        <v>46.104188825521334</v>
      </c>
      <c r="E444" t="s">
        <v>94</v>
      </c>
      <c r="F444">
        <v>855</v>
      </c>
      <c r="G444" s="4">
        <v>46087.591064814813</v>
      </c>
    </row>
    <row r="445" spans="1:7" x14ac:dyDescent="0.3">
      <c r="A445">
        <v>444</v>
      </c>
      <c r="B445" t="s">
        <v>145</v>
      </c>
      <c r="C445">
        <v>51039998</v>
      </c>
      <c r="D445">
        <v>67.17917912656273</v>
      </c>
      <c r="E445" t="s">
        <v>93</v>
      </c>
      <c r="F445">
        <v>586</v>
      </c>
      <c r="G445" s="4">
        <v>46087.591064814813</v>
      </c>
    </row>
    <row r="446" spans="1:7" x14ac:dyDescent="0.3">
      <c r="A446">
        <v>445</v>
      </c>
      <c r="B446" t="s">
        <v>145</v>
      </c>
      <c r="C446">
        <v>51056736</v>
      </c>
      <c r="D446">
        <v>61.134269349205155</v>
      </c>
      <c r="E446" t="s">
        <v>94</v>
      </c>
      <c r="F446">
        <v>644</v>
      </c>
      <c r="G446" s="4">
        <v>46087.591064814813</v>
      </c>
    </row>
    <row r="447" spans="1:7" x14ac:dyDescent="0.3">
      <c r="A447">
        <v>446</v>
      </c>
      <c r="B447" t="s">
        <v>145</v>
      </c>
      <c r="C447">
        <v>51044436</v>
      </c>
      <c r="D447">
        <v>57.355163544305164</v>
      </c>
      <c r="E447" t="s">
        <v>94</v>
      </c>
      <c r="F447">
        <v>730</v>
      </c>
      <c r="G447" s="4">
        <v>46087.591064814813</v>
      </c>
    </row>
    <row r="448" spans="1:7" x14ac:dyDescent="0.3">
      <c r="A448">
        <v>447</v>
      </c>
      <c r="B448" t="s">
        <v>145</v>
      </c>
      <c r="C448">
        <v>51017552</v>
      </c>
      <c r="D448">
        <v>82.598552302307112</v>
      </c>
      <c r="E448" t="s">
        <v>93</v>
      </c>
      <c r="F448">
        <v>336</v>
      </c>
      <c r="G448" s="4">
        <v>46087.591064814813</v>
      </c>
    </row>
    <row r="449" spans="1:7" x14ac:dyDescent="0.3">
      <c r="A449">
        <v>448</v>
      </c>
      <c r="B449" t="s">
        <v>145</v>
      </c>
      <c r="C449">
        <v>51055276</v>
      </c>
      <c r="D449">
        <v>69.70150883998275</v>
      </c>
      <c r="E449" t="s">
        <v>93</v>
      </c>
      <c r="F449">
        <v>550</v>
      </c>
      <c r="G449" s="4">
        <v>46087.591064814813</v>
      </c>
    </row>
    <row r="450" spans="1:7" x14ac:dyDescent="0.3">
      <c r="A450">
        <v>449</v>
      </c>
      <c r="B450" t="s">
        <v>145</v>
      </c>
      <c r="C450">
        <v>51020189</v>
      </c>
      <c r="D450">
        <v>85.975152435441842</v>
      </c>
      <c r="E450" t="s">
        <v>92</v>
      </c>
      <c r="F450">
        <v>229</v>
      </c>
      <c r="G450" s="4">
        <v>46087.591064814813</v>
      </c>
    </row>
    <row r="451" spans="1:7" x14ac:dyDescent="0.3">
      <c r="A451">
        <v>450</v>
      </c>
      <c r="B451" t="s">
        <v>145</v>
      </c>
      <c r="C451">
        <v>51041259</v>
      </c>
      <c r="D451">
        <v>25.434144134258876</v>
      </c>
      <c r="E451" t="s">
        <v>95</v>
      </c>
      <c r="F451">
        <v>981</v>
      </c>
      <c r="G451" s="4">
        <v>46087.591064814813</v>
      </c>
    </row>
    <row r="452" spans="1:7" x14ac:dyDescent="0.3">
      <c r="A452">
        <v>451</v>
      </c>
      <c r="B452" t="s">
        <v>145</v>
      </c>
      <c r="C452">
        <v>51022751</v>
      </c>
      <c r="D452">
        <v>34.860643278329185</v>
      </c>
      <c r="E452" t="s">
        <v>94</v>
      </c>
      <c r="F452">
        <v>904</v>
      </c>
      <c r="G452" s="4">
        <v>46087.591064814813</v>
      </c>
    </row>
    <row r="453" spans="1:7" x14ac:dyDescent="0.3">
      <c r="A453">
        <v>452</v>
      </c>
      <c r="B453" t="s">
        <v>145</v>
      </c>
      <c r="C453">
        <v>51016645</v>
      </c>
      <c r="D453">
        <v>34.1</v>
      </c>
      <c r="E453" t="s">
        <v>94</v>
      </c>
      <c r="F453">
        <v>912</v>
      </c>
      <c r="G453" s="4">
        <v>46087.591064814813</v>
      </c>
    </row>
    <row r="454" spans="1:7" x14ac:dyDescent="0.3">
      <c r="A454">
        <v>453</v>
      </c>
      <c r="B454" t="s">
        <v>145</v>
      </c>
      <c r="C454">
        <v>51011155</v>
      </c>
      <c r="D454">
        <v>90.415851359748061</v>
      </c>
      <c r="E454" t="s">
        <v>92</v>
      </c>
      <c r="F454">
        <v>114</v>
      </c>
      <c r="G454" s="4">
        <v>46087.591064814813</v>
      </c>
    </row>
    <row r="455" spans="1:7" x14ac:dyDescent="0.3">
      <c r="A455">
        <v>454</v>
      </c>
      <c r="B455" t="s">
        <v>145</v>
      </c>
      <c r="C455">
        <v>51014022</v>
      </c>
      <c r="D455">
        <v>82.644058878356816</v>
      </c>
      <c r="E455" t="s">
        <v>93</v>
      </c>
      <c r="F455">
        <v>335</v>
      </c>
      <c r="G455" s="4">
        <v>46087.591064814813</v>
      </c>
    </row>
    <row r="456" spans="1:7" x14ac:dyDescent="0.3">
      <c r="A456">
        <v>455</v>
      </c>
      <c r="B456" t="s">
        <v>145</v>
      </c>
      <c r="C456">
        <v>51018991</v>
      </c>
      <c r="D456">
        <v>19.11</v>
      </c>
      <c r="E456" t="s">
        <v>95</v>
      </c>
      <c r="F456">
        <v>1034</v>
      </c>
      <c r="G456" s="4">
        <v>46087.591064814813</v>
      </c>
    </row>
    <row r="457" spans="1:7" x14ac:dyDescent="0.3">
      <c r="A457">
        <v>456</v>
      </c>
      <c r="B457" t="s">
        <v>145</v>
      </c>
      <c r="C457">
        <v>51030478</v>
      </c>
      <c r="D457">
        <v>87.10892602060045</v>
      </c>
      <c r="E457" t="s">
        <v>92</v>
      </c>
      <c r="F457">
        <v>197</v>
      </c>
      <c r="G457" s="4">
        <v>46087.591064814813</v>
      </c>
    </row>
    <row r="458" spans="1:7" x14ac:dyDescent="0.3">
      <c r="A458">
        <v>457</v>
      </c>
      <c r="B458" t="s">
        <v>145</v>
      </c>
      <c r="C458">
        <v>51028040</v>
      </c>
      <c r="D458">
        <v>87.619102790262531</v>
      </c>
      <c r="E458" t="s">
        <v>92</v>
      </c>
      <c r="F458">
        <v>186</v>
      </c>
      <c r="G458" s="4">
        <v>46087.591064814813</v>
      </c>
    </row>
    <row r="459" spans="1:7" x14ac:dyDescent="0.3">
      <c r="A459">
        <v>458</v>
      </c>
      <c r="B459" t="s">
        <v>145</v>
      </c>
      <c r="C459">
        <v>51055616</v>
      </c>
      <c r="D459">
        <v>85.931925391295167</v>
      </c>
      <c r="E459" t="s">
        <v>92</v>
      </c>
      <c r="F459">
        <v>232</v>
      </c>
      <c r="G459" s="4">
        <v>46087.591064814813</v>
      </c>
    </row>
    <row r="460" spans="1:7" x14ac:dyDescent="0.3">
      <c r="A460">
        <v>459</v>
      </c>
      <c r="B460" t="s">
        <v>145</v>
      </c>
      <c r="C460">
        <v>51036239</v>
      </c>
      <c r="D460">
        <v>36.065221002774777</v>
      </c>
      <c r="E460" t="s">
        <v>94</v>
      </c>
      <c r="F460">
        <v>900</v>
      </c>
      <c r="G460" s="4">
        <v>46087.591064814813</v>
      </c>
    </row>
    <row r="461" spans="1:7" x14ac:dyDescent="0.3">
      <c r="A461">
        <v>460</v>
      </c>
      <c r="B461" t="s">
        <v>145</v>
      </c>
      <c r="C461">
        <v>51025873</v>
      </c>
      <c r="D461">
        <v>58.904871121236276</v>
      </c>
      <c r="E461" t="s">
        <v>94</v>
      </c>
      <c r="F461">
        <v>694</v>
      </c>
      <c r="G461" s="4">
        <v>46087.591064814813</v>
      </c>
    </row>
    <row r="462" spans="1:7" x14ac:dyDescent="0.3">
      <c r="A462">
        <v>461</v>
      </c>
      <c r="B462" t="s">
        <v>145</v>
      </c>
      <c r="C462">
        <v>51034155</v>
      </c>
      <c r="D462">
        <v>86.701271024515748</v>
      </c>
      <c r="E462" t="s">
        <v>92</v>
      </c>
      <c r="F462">
        <v>210</v>
      </c>
      <c r="G462" s="4">
        <v>46087.591064814813</v>
      </c>
    </row>
    <row r="463" spans="1:7" x14ac:dyDescent="0.3">
      <c r="A463">
        <v>462</v>
      </c>
      <c r="B463" t="s">
        <v>145</v>
      </c>
      <c r="C463">
        <v>51021207</v>
      </c>
      <c r="D463">
        <v>51.795370941653047</v>
      </c>
      <c r="E463" t="s">
        <v>94</v>
      </c>
      <c r="F463">
        <v>810</v>
      </c>
      <c r="G463" s="4">
        <v>46087.591064814813</v>
      </c>
    </row>
    <row r="464" spans="1:7" x14ac:dyDescent="0.3">
      <c r="A464">
        <v>463</v>
      </c>
      <c r="B464" t="s">
        <v>145</v>
      </c>
      <c r="C464">
        <v>51054831</v>
      </c>
      <c r="D464">
        <v>27.607800000000005</v>
      </c>
      <c r="E464" t="s">
        <v>95</v>
      </c>
      <c r="F464">
        <v>967</v>
      </c>
      <c r="G464" s="4">
        <v>46087.591064814813</v>
      </c>
    </row>
    <row r="465" spans="1:7" x14ac:dyDescent="0.3">
      <c r="A465">
        <v>464</v>
      </c>
      <c r="B465" t="s">
        <v>145</v>
      </c>
      <c r="C465">
        <v>51010051</v>
      </c>
      <c r="D465">
        <v>81.08595226025929</v>
      </c>
      <c r="E465" t="s">
        <v>93</v>
      </c>
      <c r="F465">
        <v>376</v>
      </c>
      <c r="G465" s="4">
        <v>46087.591064814813</v>
      </c>
    </row>
    <row r="466" spans="1:7" x14ac:dyDescent="0.3">
      <c r="A466">
        <v>465</v>
      </c>
      <c r="B466" t="s">
        <v>145</v>
      </c>
      <c r="C466">
        <v>51015754</v>
      </c>
      <c r="D466">
        <v>56.992317796595032</v>
      </c>
      <c r="E466" t="s">
        <v>94</v>
      </c>
      <c r="F466">
        <v>737</v>
      </c>
      <c r="G466" s="4">
        <v>46087.591064814813</v>
      </c>
    </row>
    <row r="467" spans="1:7" x14ac:dyDescent="0.3">
      <c r="A467">
        <v>466</v>
      </c>
      <c r="B467" t="s">
        <v>145</v>
      </c>
      <c r="C467">
        <v>51023528</v>
      </c>
      <c r="D467">
        <v>59.974345031619741</v>
      </c>
      <c r="E467" t="s">
        <v>94</v>
      </c>
      <c r="F467">
        <v>669</v>
      </c>
      <c r="G467" s="4">
        <v>46087.591064814813</v>
      </c>
    </row>
    <row r="468" spans="1:7" x14ac:dyDescent="0.3">
      <c r="A468">
        <v>467</v>
      </c>
      <c r="B468" t="s">
        <v>145</v>
      </c>
      <c r="C468">
        <v>51013735</v>
      </c>
      <c r="D468">
        <v>69.050258299414182</v>
      </c>
      <c r="E468" t="s">
        <v>93</v>
      </c>
      <c r="F468">
        <v>557</v>
      </c>
      <c r="G468" s="4">
        <v>46087.591064814813</v>
      </c>
    </row>
    <row r="469" spans="1:7" x14ac:dyDescent="0.3">
      <c r="A469">
        <v>468</v>
      </c>
      <c r="B469" t="s">
        <v>145</v>
      </c>
      <c r="C469">
        <v>51036611</v>
      </c>
      <c r="D469">
        <v>88.318998708743123</v>
      </c>
      <c r="E469" t="s">
        <v>92</v>
      </c>
      <c r="F469">
        <v>171</v>
      </c>
      <c r="G469" s="4">
        <v>46087.591064814813</v>
      </c>
    </row>
    <row r="470" spans="1:7" x14ac:dyDescent="0.3">
      <c r="A470">
        <v>469</v>
      </c>
      <c r="B470" t="s">
        <v>145</v>
      </c>
      <c r="C470">
        <v>51010035</v>
      </c>
      <c r="D470">
        <v>69.840784153180223</v>
      </c>
      <c r="E470" t="s">
        <v>93</v>
      </c>
      <c r="F470">
        <v>549</v>
      </c>
      <c r="G470" s="4">
        <v>46087.591064814813</v>
      </c>
    </row>
    <row r="471" spans="1:7" x14ac:dyDescent="0.3">
      <c r="A471">
        <v>470</v>
      </c>
      <c r="B471" t="s">
        <v>145</v>
      </c>
      <c r="C471">
        <v>51035682</v>
      </c>
      <c r="D471">
        <v>66.840530975748209</v>
      </c>
      <c r="E471" t="s">
        <v>93</v>
      </c>
      <c r="F471">
        <v>589</v>
      </c>
      <c r="G471" s="4">
        <v>46087.591064814813</v>
      </c>
    </row>
    <row r="472" spans="1:7" x14ac:dyDescent="0.3">
      <c r="A472">
        <v>471</v>
      </c>
      <c r="B472" t="s">
        <v>145</v>
      </c>
      <c r="C472">
        <v>51016416</v>
      </c>
      <c r="D472">
        <v>17.768066342655668</v>
      </c>
      <c r="E472" t="s">
        <v>95</v>
      </c>
      <c r="F472">
        <v>1062</v>
      </c>
      <c r="G472" s="4">
        <v>46087.591064814813</v>
      </c>
    </row>
    <row r="473" spans="1:7" x14ac:dyDescent="0.3">
      <c r="A473">
        <v>472</v>
      </c>
      <c r="B473" t="s">
        <v>145</v>
      </c>
      <c r="C473">
        <v>51038762</v>
      </c>
      <c r="D473">
        <v>31.87476801147492</v>
      </c>
      <c r="E473" t="s">
        <v>94</v>
      </c>
      <c r="F473">
        <v>928</v>
      </c>
      <c r="G473" s="4">
        <v>46087.591064814813</v>
      </c>
    </row>
    <row r="474" spans="1:7" x14ac:dyDescent="0.3">
      <c r="A474">
        <v>473</v>
      </c>
      <c r="B474" t="s">
        <v>145</v>
      </c>
      <c r="C474">
        <v>51023307</v>
      </c>
      <c r="D474">
        <v>85.34171565171664</v>
      </c>
      <c r="E474" t="s">
        <v>93</v>
      </c>
      <c r="F474">
        <v>249</v>
      </c>
      <c r="G474" s="4">
        <v>46087.591064814813</v>
      </c>
    </row>
    <row r="475" spans="1:7" x14ac:dyDescent="0.3">
      <c r="A475">
        <v>474</v>
      </c>
      <c r="B475" t="s">
        <v>145</v>
      </c>
      <c r="C475">
        <v>51012062</v>
      </c>
      <c r="D475">
        <v>81.401811502141697</v>
      </c>
      <c r="E475" t="s">
        <v>93</v>
      </c>
      <c r="F475">
        <v>367</v>
      </c>
      <c r="G475" s="4">
        <v>46087.591064814813</v>
      </c>
    </row>
    <row r="476" spans="1:7" x14ac:dyDescent="0.3">
      <c r="A476">
        <v>475</v>
      </c>
      <c r="B476" t="s">
        <v>145</v>
      </c>
      <c r="C476">
        <v>51021631</v>
      </c>
      <c r="D476">
        <v>91.808593156880804</v>
      </c>
      <c r="E476" t="s">
        <v>92</v>
      </c>
      <c r="F476">
        <v>90</v>
      </c>
      <c r="G476" s="4">
        <v>46087.591064814813</v>
      </c>
    </row>
    <row r="477" spans="1:7" x14ac:dyDescent="0.3">
      <c r="A477">
        <v>476</v>
      </c>
      <c r="B477" t="s">
        <v>145</v>
      </c>
      <c r="C477">
        <v>51008618</v>
      </c>
      <c r="D477">
        <v>60.083011837713649</v>
      </c>
      <c r="E477" t="s">
        <v>94</v>
      </c>
      <c r="F477">
        <v>667</v>
      </c>
      <c r="G477" s="4">
        <v>46087.591064814813</v>
      </c>
    </row>
    <row r="478" spans="1:7" x14ac:dyDescent="0.3">
      <c r="A478">
        <v>477</v>
      </c>
      <c r="B478" t="s">
        <v>145</v>
      </c>
      <c r="C478">
        <v>51010574</v>
      </c>
      <c r="D478">
        <v>91.508446348163758</v>
      </c>
      <c r="E478" t="s">
        <v>92</v>
      </c>
      <c r="F478">
        <v>95</v>
      </c>
      <c r="G478" s="4">
        <v>46087.591064814813</v>
      </c>
    </row>
    <row r="479" spans="1:7" x14ac:dyDescent="0.3">
      <c r="A479">
        <v>478</v>
      </c>
      <c r="B479" t="s">
        <v>145</v>
      </c>
      <c r="C479">
        <v>51056493</v>
      </c>
      <c r="D479">
        <v>76.582577846935379</v>
      </c>
      <c r="E479" t="s">
        <v>93</v>
      </c>
      <c r="F479">
        <v>459</v>
      </c>
      <c r="G479" s="4">
        <v>46087.591064814813</v>
      </c>
    </row>
    <row r="480" spans="1:7" x14ac:dyDescent="0.3">
      <c r="A480">
        <v>479</v>
      </c>
      <c r="B480" t="s">
        <v>145</v>
      </c>
      <c r="C480">
        <v>51024206</v>
      </c>
      <c r="D480">
        <v>23.492902281491411</v>
      </c>
      <c r="E480" t="s">
        <v>95</v>
      </c>
      <c r="F480">
        <v>992</v>
      </c>
      <c r="G480" s="4">
        <v>46087.591064814813</v>
      </c>
    </row>
    <row r="481" spans="1:7" x14ac:dyDescent="0.3">
      <c r="A481">
        <v>480</v>
      </c>
      <c r="B481" t="s">
        <v>145</v>
      </c>
      <c r="C481">
        <v>51056442</v>
      </c>
      <c r="D481">
        <v>56.442008649131644</v>
      </c>
      <c r="E481" t="s">
        <v>94</v>
      </c>
      <c r="F481">
        <v>754</v>
      </c>
      <c r="G481" s="4">
        <v>46087.591064814813</v>
      </c>
    </row>
    <row r="482" spans="1:7" x14ac:dyDescent="0.3">
      <c r="A482">
        <v>481</v>
      </c>
      <c r="B482" t="s">
        <v>145</v>
      </c>
      <c r="C482">
        <v>51033621</v>
      </c>
      <c r="D482">
        <v>58.642395264333011</v>
      </c>
      <c r="E482" t="s">
        <v>94</v>
      </c>
      <c r="F482">
        <v>701</v>
      </c>
      <c r="G482" s="4">
        <v>46087.591064814813</v>
      </c>
    </row>
    <row r="483" spans="1:7" x14ac:dyDescent="0.3">
      <c r="A483">
        <v>482</v>
      </c>
      <c r="B483" t="s">
        <v>145</v>
      </c>
      <c r="C483">
        <v>51016394</v>
      </c>
      <c r="D483">
        <v>86.564266569858177</v>
      </c>
      <c r="E483" t="s">
        <v>92</v>
      </c>
      <c r="F483">
        <v>213</v>
      </c>
      <c r="G483" s="4">
        <v>46087.591064814813</v>
      </c>
    </row>
    <row r="484" spans="1:7" x14ac:dyDescent="0.3">
      <c r="A484">
        <v>483</v>
      </c>
      <c r="B484" t="s">
        <v>145</v>
      </c>
      <c r="C484">
        <v>51001389</v>
      </c>
      <c r="D484">
        <v>95.979175653976014</v>
      </c>
      <c r="E484" t="s">
        <v>275</v>
      </c>
      <c r="F484">
        <v>42</v>
      </c>
      <c r="G484" s="4">
        <v>46087.591064814813</v>
      </c>
    </row>
    <row r="485" spans="1:7" x14ac:dyDescent="0.3">
      <c r="A485">
        <v>484</v>
      </c>
      <c r="B485" t="s">
        <v>145</v>
      </c>
      <c r="C485">
        <v>51042891</v>
      </c>
      <c r="D485">
        <v>95.015368968516569</v>
      </c>
      <c r="E485" t="s">
        <v>275</v>
      </c>
      <c r="F485">
        <v>52</v>
      </c>
      <c r="G485" s="4">
        <v>46087.591064814813</v>
      </c>
    </row>
    <row r="486" spans="1:7" x14ac:dyDescent="0.3">
      <c r="A486">
        <v>485</v>
      </c>
      <c r="B486" t="s">
        <v>145</v>
      </c>
      <c r="C486">
        <v>51055411</v>
      </c>
      <c r="D486">
        <v>85.157814414082608</v>
      </c>
      <c r="E486" t="s">
        <v>93</v>
      </c>
      <c r="F486">
        <v>253</v>
      </c>
      <c r="G486" s="4">
        <v>46087.591064814813</v>
      </c>
    </row>
    <row r="487" spans="1:7" x14ac:dyDescent="0.3">
      <c r="A487">
        <v>486</v>
      </c>
      <c r="B487" t="s">
        <v>145</v>
      </c>
      <c r="C487">
        <v>51038657</v>
      </c>
      <c r="D487">
        <v>89.090567439476501</v>
      </c>
      <c r="E487" t="s">
        <v>92</v>
      </c>
      <c r="F487">
        <v>150</v>
      </c>
      <c r="G487" s="4">
        <v>46087.591064814813</v>
      </c>
    </row>
    <row r="488" spans="1:7" x14ac:dyDescent="0.3">
      <c r="A488">
        <v>487</v>
      </c>
      <c r="B488" t="s">
        <v>145</v>
      </c>
      <c r="C488">
        <v>51055632</v>
      </c>
      <c r="D488">
        <v>69.453666622725791</v>
      </c>
      <c r="E488" t="s">
        <v>93</v>
      </c>
      <c r="F488">
        <v>554</v>
      </c>
      <c r="G488" s="4">
        <v>46087.591064814813</v>
      </c>
    </row>
    <row r="489" spans="1:7" x14ac:dyDescent="0.3">
      <c r="A489">
        <v>488</v>
      </c>
      <c r="B489" t="s">
        <v>145</v>
      </c>
      <c r="C489">
        <v>51026799</v>
      </c>
      <c r="D489">
        <v>71.246299514195655</v>
      </c>
      <c r="E489" t="s">
        <v>93</v>
      </c>
      <c r="F489">
        <v>532</v>
      </c>
      <c r="G489" s="4">
        <v>46087.591064814813</v>
      </c>
    </row>
    <row r="490" spans="1:7" x14ac:dyDescent="0.3">
      <c r="A490">
        <v>489</v>
      </c>
      <c r="B490" t="s">
        <v>145</v>
      </c>
      <c r="C490">
        <v>51018869</v>
      </c>
      <c r="D490">
        <v>74.917622463875105</v>
      </c>
      <c r="E490" t="s">
        <v>93</v>
      </c>
      <c r="F490">
        <v>480</v>
      </c>
      <c r="G490" s="4">
        <v>46087.591064814813</v>
      </c>
    </row>
    <row r="491" spans="1:7" x14ac:dyDescent="0.3">
      <c r="A491">
        <v>490</v>
      </c>
      <c r="B491" t="s">
        <v>145</v>
      </c>
      <c r="C491">
        <v>51055144</v>
      </c>
      <c r="D491">
        <v>29.834214612509399</v>
      </c>
      <c r="E491" t="s">
        <v>94</v>
      </c>
      <c r="F491">
        <v>945</v>
      </c>
      <c r="G491" s="4">
        <v>46087.591064814813</v>
      </c>
    </row>
    <row r="492" spans="1:7" x14ac:dyDescent="0.3">
      <c r="A492">
        <v>491</v>
      </c>
      <c r="B492" t="s">
        <v>145</v>
      </c>
      <c r="C492">
        <v>51056884</v>
      </c>
      <c r="D492">
        <v>62.073359868845436</v>
      </c>
      <c r="E492" t="s">
        <v>94</v>
      </c>
      <c r="F492">
        <v>628</v>
      </c>
      <c r="G492" s="4">
        <v>46087.591064814813</v>
      </c>
    </row>
    <row r="493" spans="1:7" x14ac:dyDescent="0.3">
      <c r="A493">
        <v>492</v>
      </c>
      <c r="B493" t="s">
        <v>145</v>
      </c>
      <c r="C493">
        <v>51030443</v>
      </c>
      <c r="D493">
        <v>83.081615617156729</v>
      </c>
      <c r="E493" t="s">
        <v>93</v>
      </c>
      <c r="F493">
        <v>318</v>
      </c>
      <c r="G493" s="4">
        <v>46087.591064814813</v>
      </c>
    </row>
    <row r="494" spans="1:7" x14ac:dyDescent="0.3">
      <c r="A494">
        <v>493</v>
      </c>
      <c r="B494" t="s">
        <v>145</v>
      </c>
      <c r="C494">
        <v>51016475</v>
      </c>
      <c r="D494">
        <v>71.277142917131059</v>
      </c>
      <c r="E494" t="s">
        <v>93</v>
      </c>
      <c r="F494">
        <v>530</v>
      </c>
      <c r="G494" s="4">
        <v>46087.591064814813</v>
      </c>
    </row>
    <row r="495" spans="1:7" x14ac:dyDescent="0.3">
      <c r="A495">
        <v>494</v>
      </c>
      <c r="B495" t="s">
        <v>145</v>
      </c>
      <c r="C495">
        <v>51018893</v>
      </c>
      <c r="D495">
        <v>87.693097391739926</v>
      </c>
      <c r="E495" t="s">
        <v>92</v>
      </c>
      <c r="F495">
        <v>182</v>
      </c>
      <c r="G495" s="4">
        <v>46087.591064814813</v>
      </c>
    </row>
    <row r="496" spans="1:7" x14ac:dyDescent="0.3">
      <c r="A496">
        <v>495</v>
      </c>
      <c r="B496" t="s">
        <v>145</v>
      </c>
      <c r="C496">
        <v>51039157</v>
      </c>
      <c r="D496">
        <v>53.975575307763172</v>
      </c>
      <c r="E496" t="s">
        <v>94</v>
      </c>
      <c r="F496">
        <v>792</v>
      </c>
      <c r="G496" s="4">
        <v>46087.591064814813</v>
      </c>
    </row>
    <row r="497" spans="1:7" x14ac:dyDescent="0.3">
      <c r="A497">
        <v>496</v>
      </c>
      <c r="B497" t="s">
        <v>145</v>
      </c>
      <c r="C497">
        <v>51054822</v>
      </c>
      <c r="D497">
        <v>94.825633716012661</v>
      </c>
      <c r="E497" t="s">
        <v>275</v>
      </c>
      <c r="F497">
        <v>56</v>
      </c>
      <c r="G497" s="4">
        <v>46087.591064814813</v>
      </c>
    </row>
    <row r="498" spans="1:7" x14ac:dyDescent="0.3">
      <c r="A498">
        <v>497</v>
      </c>
      <c r="B498" t="s">
        <v>145</v>
      </c>
      <c r="C498">
        <v>51003390</v>
      </c>
      <c r="D498">
        <v>89.745268501254984</v>
      </c>
      <c r="E498" t="s">
        <v>92</v>
      </c>
      <c r="F498">
        <v>129</v>
      </c>
      <c r="G498" s="4">
        <v>46087.591064814813</v>
      </c>
    </row>
    <row r="499" spans="1:7" x14ac:dyDescent="0.3">
      <c r="A499">
        <v>498</v>
      </c>
      <c r="B499" t="s">
        <v>145</v>
      </c>
      <c r="C499">
        <v>51056477</v>
      </c>
      <c r="D499">
        <v>88.124459796774275</v>
      </c>
      <c r="E499" t="s">
        <v>92</v>
      </c>
      <c r="F499">
        <v>174</v>
      </c>
      <c r="G499" s="4">
        <v>46087.591064814813</v>
      </c>
    </row>
    <row r="500" spans="1:7" x14ac:dyDescent="0.3">
      <c r="A500">
        <v>499</v>
      </c>
      <c r="B500" t="s">
        <v>145</v>
      </c>
      <c r="C500">
        <v>51026527</v>
      </c>
      <c r="D500">
        <v>89.108814137895607</v>
      </c>
      <c r="E500" t="s">
        <v>92</v>
      </c>
      <c r="F500">
        <v>149</v>
      </c>
      <c r="G500" s="4">
        <v>46087.591064814813</v>
      </c>
    </row>
    <row r="501" spans="1:7" x14ac:dyDescent="0.3">
      <c r="A501">
        <v>500</v>
      </c>
      <c r="B501" t="s">
        <v>145</v>
      </c>
      <c r="C501">
        <v>51030982</v>
      </c>
      <c r="D501">
        <v>89.716963673443644</v>
      </c>
      <c r="E501" t="s">
        <v>92</v>
      </c>
      <c r="F501">
        <v>131</v>
      </c>
      <c r="G501" s="4">
        <v>46087.591064814813</v>
      </c>
    </row>
    <row r="502" spans="1:7" x14ac:dyDescent="0.3">
      <c r="A502">
        <v>501</v>
      </c>
      <c r="B502" t="s">
        <v>145</v>
      </c>
      <c r="C502">
        <v>51023196</v>
      </c>
      <c r="D502">
        <v>51.712037275550358</v>
      </c>
      <c r="E502" t="s">
        <v>94</v>
      </c>
      <c r="F502">
        <v>812</v>
      </c>
      <c r="G502" s="4">
        <v>46087.591064814813</v>
      </c>
    </row>
    <row r="503" spans="1:7" x14ac:dyDescent="0.3">
      <c r="A503">
        <v>502</v>
      </c>
      <c r="B503" t="s">
        <v>145</v>
      </c>
      <c r="C503">
        <v>51014596</v>
      </c>
      <c r="D503">
        <v>100</v>
      </c>
      <c r="E503" t="s">
        <v>275</v>
      </c>
      <c r="F503">
        <v>1</v>
      </c>
      <c r="G503" s="4">
        <v>46087.591064814813</v>
      </c>
    </row>
    <row r="504" spans="1:7" x14ac:dyDescent="0.3">
      <c r="A504">
        <v>503</v>
      </c>
      <c r="B504" t="s">
        <v>145</v>
      </c>
      <c r="C504">
        <v>51030125</v>
      </c>
      <c r="D504">
        <v>31.134366185742746</v>
      </c>
      <c r="E504" t="s">
        <v>94</v>
      </c>
      <c r="F504">
        <v>931</v>
      </c>
      <c r="G504" s="4">
        <v>46087.591064814813</v>
      </c>
    </row>
    <row r="505" spans="1:7" x14ac:dyDescent="0.3">
      <c r="A505">
        <v>504</v>
      </c>
      <c r="B505" t="s">
        <v>145</v>
      </c>
      <c r="C505">
        <v>51021550</v>
      </c>
      <c r="D505">
        <v>81.035041411640265</v>
      </c>
      <c r="E505" t="s">
        <v>93</v>
      </c>
      <c r="F505">
        <v>378</v>
      </c>
      <c r="G505" s="4">
        <v>46087.591064814813</v>
      </c>
    </row>
    <row r="506" spans="1:7" x14ac:dyDescent="0.3">
      <c r="A506">
        <v>505</v>
      </c>
      <c r="B506" t="s">
        <v>145</v>
      </c>
      <c r="C506">
        <v>51031407</v>
      </c>
      <c r="D506">
        <v>81.573569941299965</v>
      </c>
      <c r="E506" t="s">
        <v>93</v>
      </c>
      <c r="F506">
        <v>362</v>
      </c>
      <c r="G506" s="4">
        <v>46087.591064814813</v>
      </c>
    </row>
    <row r="507" spans="1:7" x14ac:dyDescent="0.3">
      <c r="A507">
        <v>506</v>
      </c>
      <c r="B507" t="s">
        <v>145</v>
      </c>
      <c r="C507">
        <v>51038754</v>
      </c>
      <c r="D507">
        <v>91.016885310371478</v>
      </c>
      <c r="E507" t="s">
        <v>92</v>
      </c>
      <c r="F507">
        <v>106</v>
      </c>
      <c r="G507" s="4">
        <v>46087.591064814813</v>
      </c>
    </row>
    <row r="508" spans="1:7" x14ac:dyDescent="0.3">
      <c r="A508">
        <v>507</v>
      </c>
      <c r="B508" t="s">
        <v>145</v>
      </c>
      <c r="C508">
        <v>51004761</v>
      </c>
      <c r="D508">
        <v>68.429196852633495</v>
      </c>
      <c r="E508" t="s">
        <v>93</v>
      </c>
      <c r="F508">
        <v>567</v>
      </c>
      <c r="G508" s="4">
        <v>46087.591064814813</v>
      </c>
    </row>
    <row r="509" spans="1:7" x14ac:dyDescent="0.3">
      <c r="A509">
        <v>508</v>
      </c>
      <c r="B509" t="s">
        <v>145</v>
      </c>
      <c r="C509">
        <v>51023358</v>
      </c>
      <c r="D509">
        <v>80.715861846708805</v>
      </c>
      <c r="E509" t="s">
        <v>93</v>
      </c>
      <c r="F509">
        <v>387</v>
      </c>
      <c r="G509" s="4">
        <v>46087.591064814813</v>
      </c>
    </row>
    <row r="510" spans="1:7" x14ac:dyDescent="0.3">
      <c r="A510">
        <v>509</v>
      </c>
      <c r="B510" t="s">
        <v>145</v>
      </c>
      <c r="C510">
        <v>51022670</v>
      </c>
      <c r="D510">
        <v>95.789091572241134</v>
      </c>
      <c r="E510" t="s">
        <v>275</v>
      </c>
      <c r="F510">
        <v>44</v>
      </c>
      <c r="G510" s="4">
        <v>46087.591064814813</v>
      </c>
    </row>
    <row r="511" spans="1:7" x14ac:dyDescent="0.3">
      <c r="A511">
        <v>510</v>
      </c>
      <c r="B511" t="s">
        <v>145</v>
      </c>
      <c r="C511">
        <v>51029976</v>
      </c>
      <c r="D511">
        <v>25.785</v>
      </c>
      <c r="E511" t="s">
        <v>95</v>
      </c>
      <c r="F511">
        <v>977</v>
      </c>
      <c r="G511" s="4">
        <v>46087.591064814813</v>
      </c>
    </row>
    <row r="512" spans="1:7" x14ac:dyDescent="0.3">
      <c r="A512">
        <v>511</v>
      </c>
      <c r="B512" t="s">
        <v>145</v>
      </c>
      <c r="C512">
        <v>51032195</v>
      </c>
      <c r="D512">
        <v>13.5</v>
      </c>
      <c r="E512" t="s">
        <v>95</v>
      </c>
      <c r="F512">
        <v>1111</v>
      </c>
      <c r="G512" s="4">
        <v>46087.591064814813</v>
      </c>
    </row>
    <row r="513" spans="1:7" x14ac:dyDescent="0.3">
      <c r="A513">
        <v>512</v>
      </c>
      <c r="B513" t="s">
        <v>145</v>
      </c>
      <c r="C513">
        <v>51042875</v>
      </c>
      <c r="D513">
        <v>49.361703670533593</v>
      </c>
      <c r="E513" t="s">
        <v>94</v>
      </c>
      <c r="F513">
        <v>830</v>
      </c>
      <c r="G513" s="4">
        <v>46087.591064814813</v>
      </c>
    </row>
    <row r="514" spans="1:7" x14ac:dyDescent="0.3">
      <c r="A514">
        <v>513</v>
      </c>
      <c r="B514" t="s">
        <v>145</v>
      </c>
      <c r="C514">
        <v>51010728</v>
      </c>
      <c r="D514">
        <v>62.511039254136129</v>
      </c>
      <c r="E514" t="s">
        <v>94</v>
      </c>
      <c r="F514">
        <v>624</v>
      </c>
      <c r="G514" s="4">
        <v>46087.591064814813</v>
      </c>
    </row>
    <row r="515" spans="1:7" x14ac:dyDescent="0.3">
      <c r="A515">
        <v>514</v>
      </c>
      <c r="B515" t="s">
        <v>145</v>
      </c>
      <c r="C515">
        <v>51056655</v>
      </c>
      <c r="D515">
        <v>91.879304636023889</v>
      </c>
      <c r="E515" t="s">
        <v>92</v>
      </c>
      <c r="F515">
        <v>89</v>
      </c>
      <c r="G515" s="4">
        <v>46087.591064814813</v>
      </c>
    </row>
    <row r="516" spans="1:7" x14ac:dyDescent="0.3">
      <c r="A516">
        <v>515</v>
      </c>
      <c r="B516" t="s">
        <v>145</v>
      </c>
      <c r="C516">
        <v>51056817</v>
      </c>
      <c r="D516">
        <v>76.493291703424674</v>
      </c>
      <c r="E516" t="s">
        <v>93</v>
      </c>
      <c r="F516">
        <v>460</v>
      </c>
      <c r="G516" s="4">
        <v>46087.591064814813</v>
      </c>
    </row>
    <row r="517" spans="1:7" x14ac:dyDescent="0.3">
      <c r="A517">
        <v>516</v>
      </c>
      <c r="B517" t="s">
        <v>145</v>
      </c>
      <c r="C517">
        <v>51018826</v>
      </c>
      <c r="D517">
        <v>63.790582332585039</v>
      </c>
      <c r="E517" t="s">
        <v>94</v>
      </c>
      <c r="F517">
        <v>613</v>
      </c>
      <c r="G517" s="4">
        <v>46087.591064814813</v>
      </c>
    </row>
    <row r="518" spans="1:7" x14ac:dyDescent="0.3">
      <c r="A518">
        <v>517</v>
      </c>
      <c r="B518" t="s">
        <v>145</v>
      </c>
      <c r="C518">
        <v>51019814</v>
      </c>
      <c r="D518">
        <v>49.532130903666712</v>
      </c>
      <c r="E518" t="s">
        <v>94</v>
      </c>
      <c r="F518">
        <v>828</v>
      </c>
      <c r="G518" s="4">
        <v>46087.591064814813</v>
      </c>
    </row>
    <row r="519" spans="1:7" x14ac:dyDescent="0.3">
      <c r="A519">
        <v>518</v>
      </c>
      <c r="B519" t="s">
        <v>145</v>
      </c>
      <c r="C519">
        <v>51033281</v>
      </c>
      <c r="D519">
        <v>32.882995139337105</v>
      </c>
      <c r="E519" t="s">
        <v>94</v>
      </c>
      <c r="F519">
        <v>921</v>
      </c>
      <c r="G519" s="4">
        <v>46087.591064814813</v>
      </c>
    </row>
    <row r="520" spans="1:7" x14ac:dyDescent="0.3">
      <c r="A520">
        <v>519</v>
      </c>
      <c r="B520" t="s">
        <v>145</v>
      </c>
      <c r="C520">
        <v>51056523</v>
      </c>
      <c r="D520">
        <v>54.425936377385881</v>
      </c>
      <c r="E520" t="s">
        <v>94</v>
      </c>
      <c r="F520">
        <v>786</v>
      </c>
      <c r="G520" s="4">
        <v>46087.591064814813</v>
      </c>
    </row>
    <row r="521" spans="1:7" x14ac:dyDescent="0.3">
      <c r="A521">
        <v>520</v>
      </c>
      <c r="B521" t="s">
        <v>145</v>
      </c>
      <c r="C521">
        <v>51025792</v>
      </c>
      <c r="D521">
        <v>80.08112484768553</v>
      </c>
      <c r="E521" t="s">
        <v>93</v>
      </c>
      <c r="F521">
        <v>403</v>
      </c>
      <c r="G521" s="4">
        <v>46087.591064814813</v>
      </c>
    </row>
    <row r="522" spans="1:7" x14ac:dyDescent="0.3">
      <c r="A522">
        <v>521</v>
      </c>
      <c r="B522" t="s">
        <v>145</v>
      </c>
      <c r="C522">
        <v>51056728</v>
      </c>
      <c r="D522">
        <v>77.18935666254059</v>
      </c>
      <c r="E522" t="s">
        <v>93</v>
      </c>
      <c r="F522">
        <v>452</v>
      </c>
      <c r="G522" s="4">
        <v>46087.591064814813</v>
      </c>
    </row>
    <row r="523" spans="1:7" x14ac:dyDescent="0.3">
      <c r="A523">
        <v>522</v>
      </c>
      <c r="B523" t="s">
        <v>145</v>
      </c>
      <c r="C523">
        <v>51011708</v>
      </c>
      <c r="D523">
        <v>55.438397645225038</v>
      </c>
      <c r="E523" t="s">
        <v>94</v>
      </c>
      <c r="F523">
        <v>777</v>
      </c>
      <c r="G523" s="4">
        <v>46087.591064814813</v>
      </c>
    </row>
    <row r="524" spans="1:7" x14ac:dyDescent="0.3">
      <c r="A524">
        <v>523</v>
      </c>
      <c r="B524" t="s">
        <v>145</v>
      </c>
      <c r="C524">
        <v>51056558</v>
      </c>
      <c r="D524">
        <v>91.298676428644839</v>
      </c>
      <c r="E524" t="s">
        <v>92</v>
      </c>
      <c r="F524">
        <v>101</v>
      </c>
      <c r="G524" s="4">
        <v>46087.591064814813</v>
      </c>
    </row>
    <row r="525" spans="1:7" x14ac:dyDescent="0.3">
      <c r="A525">
        <v>524</v>
      </c>
      <c r="B525" t="s">
        <v>145</v>
      </c>
      <c r="C525">
        <v>51041801</v>
      </c>
      <c r="D525">
        <v>83.909631758385757</v>
      </c>
      <c r="E525" t="s">
        <v>93</v>
      </c>
      <c r="F525">
        <v>288</v>
      </c>
      <c r="G525" s="4">
        <v>46087.591064814813</v>
      </c>
    </row>
    <row r="526" spans="1:7" x14ac:dyDescent="0.3">
      <c r="A526">
        <v>525</v>
      </c>
      <c r="B526" t="s">
        <v>145</v>
      </c>
      <c r="C526">
        <v>51055390</v>
      </c>
      <c r="D526">
        <v>89.314386433294459</v>
      </c>
      <c r="E526" t="s">
        <v>92</v>
      </c>
      <c r="F526">
        <v>143</v>
      </c>
      <c r="G526" s="4">
        <v>46087.591064814813</v>
      </c>
    </row>
    <row r="527" spans="1:7" x14ac:dyDescent="0.3">
      <c r="A527">
        <v>526</v>
      </c>
      <c r="B527" t="s">
        <v>145</v>
      </c>
      <c r="C527">
        <v>51017081</v>
      </c>
      <c r="D527">
        <v>37.766139455081685</v>
      </c>
      <c r="E527" t="s">
        <v>94</v>
      </c>
      <c r="F527">
        <v>892</v>
      </c>
      <c r="G527" s="4">
        <v>46087.591064814813</v>
      </c>
    </row>
    <row r="528" spans="1:7" x14ac:dyDescent="0.3">
      <c r="A528">
        <v>527</v>
      </c>
      <c r="B528" t="s">
        <v>145</v>
      </c>
      <c r="C528">
        <v>51056345</v>
      </c>
      <c r="D528">
        <v>80.079951834536175</v>
      </c>
      <c r="E528" t="s">
        <v>93</v>
      </c>
      <c r="F528">
        <v>404</v>
      </c>
      <c r="G528" s="4">
        <v>46087.591064814813</v>
      </c>
    </row>
    <row r="529" spans="1:7" x14ac:dyDescent="0.3">
      <c r="A529">
        <v>528</v>
      </c>
      <c r="B529" t="s">
        <v>145</v>
      </c>
      <c r="C529">
        <v>51055942</v>
      </c>
      <c r="D529">
        <v>85.819981376236271</v>
      </c>
      <c r="E529" t="s">
        <v>92</v>
      </c>
      <c r="F529">
        <v>234</v>
      </c>
      <c r="G529" s="4">
        <v>46087.591064814813</v>
      </c>
    </row>
    <row r="530" spans="1:7" x14ac:dyDescent="0.3">
      <c r="A530">
        <v>529</v>
      </c>
      <c r="B530" t="s">
        <v>145</v>
      </c>
      <c r="C530">
        <v>51036735</v>
      </c>
      <c r="D530">
        <v>86.89522433446048</v>
      </c>
      <c r="E530" t="s">
        <v>92</v>
      </c>
      <c r="F530">
        <v>203</v>
      </c>
      <c r="G530" s="4">
        <v>46087.591064814813</v>
      </c>
    </row>
    <row r="531" spans="1:7" x14ac:dyDescent="0.3">
      <c r="A531">
        <v>530</v>
      </c>
      <c r="B531" t="s">
        <v>145</v>
      </c>
      <c r="C531">
        <v>51001427</v>
      </c>
      <c r="D531">
        <v>82.96158275721929</v>
      </c>
      <c r="E531" t="s">
        <v>93</v>
      </c>
      <c r="F531">
        <v>321</v>
      </c>
      <c r="G531" s="4">
        <v>46087.591064814813</v>
      </c>
    </row>
    <row r="532" spans="1:7" x14ac:dyDescent="0.3">
      <c r="A532">
        <v>531</v>
      </c>
      <c r="B532" t="s">
        <v>145</v>
      </c>
      <c r="C532">
        <v>51010272</v>
      </c>
      <c r="D532">
        <v>80.459341019047642</v>
      </c>
      <c r="E532" t="s">
        <v>93</v>
      </c>
      <c r="F532">
        <v>394</v>
      </c>
      <c r="G532" s="4">
        <v>46087.591064814813</v>
      </c>
    </row>
    <row r="533" spans="1:7" x14ac:dyDescent="0.3">
      <c r="A533">
        <v>532</v>
      </c>
      <c r="B533" t="s">
        <v>145</v>
      </c>
      <c r="C533">
        <v>51056451</v>
      </c>
      <c r="D533">
        <v>55.895152538553511</v>
      </c>
      <c r="E533" t="s">
        <v>94</v>
      </c>
      <c r="F533">
        <v>769</v>
      </c>
      <c r="G533" s="4">
        <v>46087.591064814813</v>
      </c>
    </row>
    <row r="534" spans="1:7" x14ac:dyDescent="0.3">
      <c r="A534">
        <v>533</v>
      </c>
      <c r="B534" t="s">
        <v>145</v>
      </c>
      <c r="C534">
        <v>51018907</v>
      </c>
      <c r="D534">
        <v>87.244915101735813</v>
      </c>
      <c r="E534" t="s">
        <v>92</v>
      </c>
      <c r="F534">
        <v>194</v>
      </c>
      <c r="G534" s="4">
        <v>46087.591064814813</v>
      </c>
    </row>
    <row r="535" spans="1:7" x14ac:dyDescent="0.3">
      <c r="A535">
        <v>534</v>
      </c>
      <c r="B535" t="s">
        <v>145</v>
      </c>
      <c r="C535">
        <v>51004108</v>
      </c>
      <c r="D535">
        <v>85.009359200076375</v>
      </c>
      <c r="E535" t="s">
        <v>93</v>
      </c>
      <c r="F535">
        <v>256</v>
      </c>
      <c r="G535" s="4">
        <v>46087.591064814813</v>
      </c>
    </row>
    <row r="536" spans="1:7" x14ac:dyDescent="0.3">
      <c r="A536">
        <v>535</v>
      </c>
      <c r="B536" t="s">
        <v>145</v>
      </c>
      <c r="C536">
        <v>51030869</v>
      </c>
      <c r="D536">
        <v>53.003142693199671</v>
      </c>
      <c r="E536" t="s">
        <v>94</v>
      </c>
      <c r="F536">
        <v>800</v>
      </c>
      <c r="G536" s="4">
        <v>46087.591064814813</v>
      </c>
    </row>
    <row r="537" spans="1:7" x14ac:dyDescent="0.3">
      <c r="A537">
        <v>536</v>
      </c>
      <c r="B537" t="s">
        <v>145</v>
      </c>
      <c r="C537">
        <v>51031113</v>
      </c>
      <c r="D537">
        <v>99.442633002826483</v>
      </c>
      <c r="E537" t="s">
        <v>275</v>
      </c>
      <c r="F537">
        <v>17</v>
      </c>
      <c r="G537" s="4">
        <v>46087.591064814813</v>
      </c>
    </row>
    <row r="538" spans="1:7" x14ac:dyDescent="0.3">
      <c r="A538">
        <v>537</v>
      </c>
      <c r="B538" t="s">
        <v>145</v>
      </c>
      <c r="C538">
        <v>51033329</v>
      </c>
      <c r="D538">
        <v>83.424642934988313</v>
      </c>
      <c r="E538" t="s">
        <v>93</v>
      </c>
      <c r="F538">
        <v>301</v>
      </c>
      <c r="G538" s="4">
        <v>46087.591064814813</v>
      </c>
    </row>
    <row r="539" spans="1:7" x14ac:dyDescent="0.3">
      <c r="A539">
        <v>538</v>
      </c>
      <c r="B539" t="s">
        <v>145</v>
      </c>
      <c r="C539">
        <v>51042905</v>
      </c>
      <c r="D539">
        <v>51.804368425804839</v>
      </c>
      <c r="E539" t="s">
        <v>94</v>
      </c>
      <c r="F539">
        <v>809</v>
      </c>
      <c r="G539" s="4">
        <v>46087.591064814813</v>
      </c>
    </row>
    <row r="540" spans="1:7" x14ac:dyDescent="0.3">
      <c r="A540">
        <v>539</v>
      </c>
      <c r="B540" t="s">
        <v>145</v>
      </c>
      <c r="C540">
        <v>51010833</v>
      </c>
      <c r="D540">
        <v>29.317598593554994</v>
      </c>
      <c r="E540" t="s">
        <v>94</v>
      </c>
      <c r="F540">
        <v>953</v>
      </c>
      <c r="G540" s="4">
        <v>46087.591064814813</v>
      </c>
    </row>
    <row r="541" spans="1:7" x14ac:dyDescent="0.3">
      <c r="A541">
        <v>540</v>
      </c>
      <c r="B541" t="s">
        <v>145</v>
      </c>
      <c r="C541">
        <v>51042956</v>
      </c>
      <c r="D541">
        <v>89.175975310076637</v>
      </c>
      <c r="E541" t="s">
        <v>92</v>
      </c>
      <c r="F541">
        <v>146</v>
      </c>
      <c r="G541" s="4">
        <v>46087.591064814813</v>
      </c>
    </row>
    <row r="542" spans="1:7" x14ac:dyDescent="0.3">
      <c r="A542">
        <v>541</v>
      </c>
      <c r="B542" t="s">
        <v>145</v>
      </c>
      <c r="C542">
        <v>51039645</v>
      </c>
      <c r="D542">
        <v>74.302885168665142</v>
      </c>
      <c r="E542" t="s">
        <v>93</v>
      </c>
      <c r="F542">
        <v>491</v>
      </c>
      <c r="G542" s="4">
        <v>46087.591064814813</v>
      </c>
    </row>
    <row r="543" spans="1:7" x14ac:dyDescent="0.3">
      <c r="A543">
        <v>542</v>
      </c>
      <c r="B543" t="s">
        <v>145</v>
      </c>
      <c r="C543">
        <v>51021622</v>
      </c>
      <c r="D543">
        <v>61.564101983709783</v>
      </c>
      <c r="E543" t="s">
        <v>94</v>
      </c>
      <c r="F543">
        <v>637</v>
      </c>
      <c r="G543" s="4">
        <v>46087.591064814813</v>
      </c>
    </row>
    <row r="544" spans="1:7" x14ac:dyDescent="0.3">
      <c r="A544">
        <v>543</v>
      </c>
      <c r="B544" t="s">
        <v>145</v>
      </c>
      <c r="C544">
        <v>51031491</v>
      </c>
      <c r="D544">
        <v>88.584123212802155</v>
      </c>
      <c r="E544" t="s">
        <v>92</v>
      </c>
      <c r="F544">
        <v>166</v>
      </c>
      <c r="G544" s="4">
        <v>46087.591064814813</v>
      </c>
    </row>
    <row r="545" spans="1:7" x14ac:dyDescent="0.3">
      <c r="A545">
        <v>544</v>
      </c>
      <c r="B545" t="s">
        <v>145</v>
      </c>
      <c r="C545">
        <v>51020162</v>
      </c>
      <c r="D545">
        <v>78.643807964803969</v>
      </c>
      <c r="E545" t="s">
        <v>93</v>
      </c>
      <c r="F545">
        <v>438</v>
      </c>
      <c r="G545" s="4">
        <v>46087.591064814813</v>
      </c>
    </row>
    <row r="546" spans="1:7" x14ac:dyDescent="0.3">
      <c r="A546">
        <v>545</v>
      </c>
      <c r="B546" t="s">
        <v>145</v>
      </c>
      <c r="C546">
        <v>51017056</v>
      </c>
      <c r="D546">
        <v>30.698</v>
      </c>
      <c r="E546" t="s">
        <v>94</v>
      </c>
      <c r="F546">
        <v>937</v>
      </c>
      <c r="G546" s="4">
        <v>46087.591064814813</v>
      </c>
    </row>
    <row r="547" spans="1:7" x14ac:dyDescent="0.3">
      <c r="A547">
        <v>546</v>
      </c>
      <c r="B547" t="s">
        <v>145</v>
      </c>
      <c r="C547">
        <v>51056019</v>
      </c>
      <c r="D547">
        <v>54.503833311469137</v>
      </c>
      <c r="E547" t="s">
        <v>94</v>
      </c>
      <c r="F547">
        <v>784</v>
      </c>
      <c r="G547" s="4">
        <v>46087.591064814813</v>
      </c>
    </row>
    <row r="548" spans="1:7" x14ac:dyDescent="0.3">
      <c r="A548">
        <v>547</v>
      </c>
      <c r="B548" t="s">
        <v>145</v>
      </c>
      <c r="C548">
        <v>51017579</v>
      </c>
      <c r="D548">
        <v>72.45040565631966</v>
      </c>
      <c r="E548" t="s">
        <v>93</v>
      </c>
      <c r="F548">
        <v>509</v>
      </c>
      <c r="G548" s="4">
        <v>46087.591064814813</v>
      </c>
    </row>
    <row r="549" spans="1:7" x14ac:dyDescent="0.3">
      <c r="A549">
        <v>548</v>
      </c>
      <c r="B549" t="s">
        <v>145</v>
      </c>
      <c r="C549">
        <v>51015487</v>
      </c>
      <c r="D549">
        <v>75.957626697573588</v>
      </c>
      <c r="E549" t="s">
        <v>93</v>
      </c>
      <c r="F549">
        <v>473</v>
      </c>
      <c r="G549" s="4">
        <v>46087.591064814813</v>
      </c>
    </row>
    <row r="550" spans="1:7" x14ac:dyDescent="0.3">
      <c r="A550">
        <v>549</v>
      </c>
      <c r="B550" t="s">
        <v>145</v>
      </c>
      <c r="C550">
        <v>51040333</v>
      </c>
      <c r="D550">
        <v>71.707222409253077</v>
      </c>
      <c r="E550" t="s">
        <v>93</v>
      </c>
      <c r="F550">
        <v>520</v>
      </c>
      <c r="G550" s="4">
        <v>46087.591064814813</v>
      </c>
    </row>
    <row r="551" spans="1:7" x14ac:dyDescent="0.3">
      <c r="A551">
        <v>550</v>
      </c>
      <c r="B551" t="s">
        <v>145</v>
      </c>
      <c r="C551">
        <v>51017153</v>
      </c>
      <c r="D551">
        <v>32.449541516689692</v>
      </c>
      <c r="E551" t="s">
        <v>94</v>
      </c>
      <c r="F551">
        <v>923</v>
      </c>
      <c r="G551" s="4">
        <v>46087.591064814813</v>
      </c>
    </row>
    <row r="552" spans="1:7" x14ac:dyDescent="0.3">
      <c r="A552">
        <v>551</v>
      </c>
      <c r="B552" t="s">
        <v>145</v>
      </c>
      <c r="C552">
        <v>51021886</v>
      </c>
      <c r="D552">
        <v>56.285778909860767</v>
      </c>
      <c r="E552" t="s">
        <v>94</v>
      </c>
      <c r="F552">
        <v>757</v>
      </c>
      <c r="G552" s="4">
        <v>46087.591064814813</v>
      </c>
    </row>
    <row r="553" spans="1:7" x14ac:dyDescent="0.3">
      <c r="A553">
        <v>552</v>
      </c>
      <c r="B553" t="s">
        <v>145</v>
      </c>
      <c r="C553">
        <v>51023188</v>
      </c>
      <c r="D553">
        <v>92.784104462916545</v>
      </c>
      <c r="E553" t="s">
        <v>92</v>
      </c>
      <c r="F553">
        <v>77</v>
      </c>
      <c r="G553" s="4">
        <v>46087.591064814813</v>
      </c>
    </row>
    <row r="554" spans="1:7" x14ac:dyDescent="0.3">
      <c r="A554">
        <v>553</v>
      </c>
      <c r="B554" t="s">
        <v>145</v>
      </c>
      <c r="C554">
        <v>51055667</v>
      </c>
      <c r="D554">
        <v>26.648143518681799</v>
      </c>
      <c r="E554" t="s">
        <v>95</v>
      </c>
      <c r="F554">
        <v>971</v>
      </c>
      <c r="G554" s="4">
        <v>46087.591064814813</v>
      </c>
    </row>
    <row r="555" spans="1:7" x14ac:dyDescent="0.3">
      <c r="A555">
        <v>554</v>
      </c>
      <c r="B555" t="s">
        <v>145</v>
      </c>
      <c r="C555">
        <v>51020081</v>
      </c>
      <c r="D555">
        <v>88.707345625720691</v>
      </c>
      <c r="E555" t="s">
        <v>92</v>
      </c>
      <c r="F555">
        <v>159</v>
      </c>
      <c r="G555" s="4">
        <v>46087.591064814813</v>
      </c>
    </row>
    <row r="556" spans="1:7" x14ac:dyDescent="0.3">
      <c r="A556">
        <v>555</v>
      </c>
      <c r="B556" t="s">
        <v>145</v>
      </c>
      <c r="C556">
        <v>51018729</v>
      </c>
      <c r="D556">
        <v>95.008812823055493</v>
      </c>
      <c r="E556" t="s">
        <v>275</v>
      </c>
      <c r="F556">
        <v>53</v>
      </c>
      <c r="G556" s="4">
        <v>46087.591064814813</v>
      </c>
    </row>
    <row r="557" spans="1:7" x14ac:dyDescent="0.3">
      <c r="A557">
        <v>556</v>
      </c>
      <c r="B557" t="s">
        <v>145</v>
      </c>
      <c r="C557">
        <v>51030222</v>
      </c>
      <c r="D557">
        <v>44.352772851831531</v>
      </c>
      <c r="E557" t="s">
        <v>94</v>
      </c>
      <c r="F557">
        <v>870</v>
      </c>
      <c r="G557" s="4">
        <v>46087.591064814813</v>
      </c>
    </row>
    <row r="558" spans="1:7" x14ac:dyDescent="0.3">
      <c r="A558">
        <v>557</v>
      </c>
      <c r="B558" t="s">
        <v>145</v>
      </c>
      <c r="C558">
        <v>51002717</v>
      </c>
      <c r="D558">
        <v>98.156415334724855</v>
      </c>
      <c r="E558" t="s">
        <v>275</v>
      </c>
      <c r="F558">
        <v>22</v>
      </c>
      <c r="G558" s="4">
        <v>46087.591064814813</v>
      </c>
    </row>
    <row r="559" spans="1:7" x14ac:dyDescent="0.3">
      <c r="A559">
        <v>558</v>
      </c>
      <c r="B559" t="s">
        <v>145</v>
      </c>
      <c r="C559">
        <v>51055454</v>
      </c>
      <c r="D559">
        <v>11.6</v>
      </c>
      <c r="E559" t="s">
        <v>95</v>
      </c>
      <c r="F559">
        <v>1146</v>
      </c>
      <c r="G559" s="4">
        <v>46087.591064814813</v>
      </c>
    </row>
    <row r="560" spans="1:7" x14ac:dyDescent="0.3">
      <c r="A560">
        <v>559</v>
      </c>
      <c r="B560" t="s">
        <v>145</v>
      </c>
      <c r="C560">
        <v>51055756</v>
      </c>
      <c r="D560">
        <v>93.517575418527002</v>
      </c>
      <c r="E560" t="s">
        <v>92</v>
      </c>
      <c r="F560">
        <v>66</v>
      </c>
      <c r="G560" s="4">
        <v>46087.591064814813</v>
      </c>
    </row>
    <row r="561" spans="1:7" x14ac:dyDescent="0.3">
      <c r="A561">
        <v>560</v>
      </c>
      <c r="B561" t="s">
        <v>145</v>
      </c>
      <c r="C561">
        <v>51011490</v>
      </c>
      <c r="D561">
        <v>83.064424499794001</v>
      </c>
      <c r="E561" t="s">
        <v>93</v>
      </c>
      <c r="F561">
        <v>319</v>
      </c>
      <c r="G561" s="4">
        <v>46087.591064814813</v>
      </c>
    </row>
    <row r="562" spans="1:7" x14ac:dyDescent="0.3">
      <c r="A562">
        <v>561</v>
      </c>
      <c r="B562" t="s">
        <v>145</v>
      </c>
      <c r="C562">
        <v>51010736</v>
      </c>
      <c r="D562">
        <v>76.094933549354081</v>
      </c>
      <c r="E562" t="s">
        <v>93</v>
      </c>
      <c r="F562">
        <v>471</v>
      </c>
      <c r="G562" s="4">
        <v>46087.591064814813</v>
      </c>
    </row>
    <row r="563" spans="1:7" x14ac:dyDescent="0.3">
      <c r="A563">
        <v>562</v>
      </c>
      <c r="B563" t="s">
        <v>145</v>
      </c>
      <c r="C563">
        <v>51016149</v>
      </c>
      <c r="D563">
        <v>65.603084415906196</v>
      </c>
      <c r="E563" t="s">
        <v>94</v>
      </c>
      <c r="F563">
        <v>600</v>
      </c>
      <c r="G563" s="4">
        <v>46087.591064814813</v>
      </c>
    </row>
    <row r="564" spans="1:7" x14ac:dyDescent="0.3">
      <c r="A564">
        <v>563</v>
      </c>
      <c r="B564" t="s">
        <v>145</v>
      </c>
      <c r="C564">
        <v>51013930</v>
      </c>
      <c r="D564">
        <v>62.672622541360909</v>
      </c>
      <c r="E564" t="s">
        <v>94</v>
      </c>
      <c r="F564">
        <v>622</v>
      </c>
      <c r="G564" s="4">
        <v>46087.591064814813</v>
      </c>
    </row>
    <row r="565" spans="1:7" x14ac:dyDescent="0.3">
      <c r="A565">
        <v>564</v>
      </c>
      <c r="B565" t="s">
        <v>145</v>
      </c>
      <c r="C565">
        <v>51055641</v>
      </c>
      <c r="D565">
        <v>60.119526432285312</v>
      </c>
      <c r="E565" t="s">
        <v>94</v>
      </c>
      <c r="F565">
        <v>666</v>
      </c>
      <c r="G565" s="4">
        <v>46087.591064814813</v>
      </c>
    </row>
    <row r="566" spans="1:7" x14ac:dyDescent="0.3">
      <c r="A566">
        <v>565</v>
      </c>
      <c r="B566" t="s">
        <v>145</v>
      </c>
      <c r="C566">
        <v>51021461</v>
      </c>
      <c r="D566">
        <v>68.734143581408091</v>
      </c>
      <c r="E566" t="s">
        <v>93</v>
      </c>
      <c r="F566">
        <v>560</v>
      </c>
      <c r="G566" s="4">
        <v>46087.591064814813</v>
      </c>
    </row>
    <row r="567" spans="1:7" x14ac:dyDescent="0.3">
      <c r="A567">
        <v>566</v>
      </c>
      <c r="B567" t="s">
        <v>145</v>
      </c>
      <c r="C567">
        <v>51039637</v>
      </c>
      <c r="D567">
        <v>91.89196976426588</v>
      </c>
      <c r="E567" t="s">
        <v>92</v>
      </c>
      <c r="F567">
        <v>88</v>
      </c>
      <c r="G567" s="4">
        <v>46087.591064814813</v>
      </c>
    </row>
    <row r="568" spans="1:7" x14ac:dyDescent="0.3">
      <c r="A568">
        <v>567</v>
      </c>
      <c r="B568" t="s">
        <v>145</v>
      </c>
      <c r="C568">
        <v>51020308</v>
      </c>
      <c r="D568">
        <v>36.746699966654035</v>
      </c>
      <c r="E568" t="s">
        <v>94</v>
      </c>
      <c r="F568">
        <v>897</v>
      </c>
      <c r="G568" s="4">
        <v>46087.591064814813</v>
      </c>
    </row>
    <row r="569" spans="1:7" x14ac:dyDescent="0.3">
      <c r="A569">
        <v>568</v>
      </c>
      <c r="B569" t="s">
        <v>145</v>
      </c>
      <c r="C569">
        <v>51040597</v>
      </c>
      <c r="D569">
        <v>58.32885924839308</v>
      </c>
      <c r="E569" t="s">
        <v>94</v>
      </c>
      <c r="F569">
        <v>709</v>
      </c>
      <c r="G569" s="4">
        <v>46087.591064814813</v>
      </c>
    </row>
    <row r="570" spans="1:7" x14ac:dyDescent="0.3">
      <c r="A570">
        <v>569</v>
      </c>
      <c r="B570" t="s">
        <v>145</v>
      </c>
      <c r="C570">
        <v>51014197</v>
      </c>
      <c r="D570">
        <v>57.761034858806788</v>
      </c>
      <c r="E570" t="s">
        <v>94</v>
      </c>
      <c r="F570">
        <v>724</v>
      </c>
      <c r="G570" s="4">
        <v>46087.591064814813</v>
      </c>
    </row>
    <row r="571" spans="1:7" x14ac:dyDescent="0.3">
      <c r="A571">
        <v>570</v>
      </c>
      <c r="B571" t="s">
        <v>145</v>
      </c>
      <c r="C571">
        <v>51056621</v>
      </c>
      <c r="D571">
        <v>89.248632098423045</v>
      </c>
      <c r="E571" t="s">
        <v>92</v>
      </c>
      <c r="F571">
        <v>144</v>
      </c>
      <c r="G571" s="4">
        <v>46087.591064814813</v>
      </c>
    </row>
    <row r="572" spans="1:7" x14ac:dyDescent="0.3">
      <c r="A572">
        <v>571</v>
      </c>
      <c r="B572" t="s">
        <v>145</v>
      </c>
      <c r="C572">
        <v>51018524</v>
      </c>
      <c r="D572">
        <v>85.464797817877027</v>
      </c>
      <c r="E572" t="s">
        <v>93</v>
      </c>
      <c r="F572">
        <v>243</v>
      </c>
      <c r="G572" s="4">
        <v>46087.591064814813</v>
      </c>
    </row>
    <row r="573" spans="1:7" x14ac:dyDescent="0.3">
      <c r="A573">
        <v>572</v>
      </c>
      <c r="B573" t="s">
        <v>145</v>
      </c>
      <c r="C573">
        <v>51056701</v>
      </c>
      <c r="D573">
        <v>47.627125062257626</v>
      </c>
      <c r="E573" t="s">
        <v>94</v>
      </c>
      <c r="F573">
        <v>843</v>
      </c>
      <c r="G573" s="4">
        <v>46087.591064814813</v>
      </c>
    </row>
    <row r="574" spans="1:7" x14ac:dyDescent="0.3">
      <c r="A574">
        <v>573</v>
      </c>
      <c r="B574" t="s">
        <v>145</v>
      </c>
      <c r="C574">
        <v>51057007</v>
      </c>
      <c r="D574">
        <v>57.989204208629978</v>
      </c>
      <c r="E574" t="s">
        <v>94</v>
      </c>
      <c r="F574">
        <v>718</v>
      </c>
      <c r="G574" s="4">
        <v>46087.591064814813</v>
      </c>
    </row>
    <row r="575" spans="1:7" x14ac:dyDescent="0.3">
      <c r="A575">
        <v>574</v>
      </c>
      <c r="B575" t="s">
        <v>145</v>
      </c>
      <c r="C575">
        <v>51011091</v>
      </c>
      <c r="D575">
        <v>58.81562264780073</v>
      </c>
      <c r="E575" t="s">
        <v>94</v>
      </c>
      <c r="F575">
        <v>697</v>
      </c>
      <c r="G575" s="4">
        <v>46087.591064814813</v>
      </c>
    </row>
    <row r="576" spans="1:7" x14ac:dyDescent="0.3">
      <c r="A576">
        <v>575</v>
      </c>
      <c r="B576" t="s">
        <v>145</v>
      </c>
      <c r="C576">
        <v>51011953</v>
      </c>
      <c r="D576">
        <v>20.2986</v>
      </c>
      <c r="E576" t="s">
        <v>95</v>
      </c>
      <c r="F576">
        <v>1016</v>
      </c>
      <c r="G576" s="4">
        <v>46087.591064814813</v>
      </c>
    </row>
    <row r="577" spans="1:7" x14ac:dyDescent="0.3">
      <c r="A577">
        <v>576</v>
      </c>
      <c r="B577" t="s">
        <v>145</v>
      </c>
      <c r="C577">
        <v>51022955</v>
      </c>
      <c r="D577">
        <v>64.493372258584159</v>
      </c>
      <c r="E577" t="s">
        <v>94</v>
      </c>
      <c r="F577">
        <v>607</v>
      </c>
      <c r="G577" s="4">
        <v>46087.591064814813</v>
      </c>
    </row>
    <row r="578" spans="1:7" x14ac:dyDescent="0.3">
      <c r="A578">
        <v>577</v>
      </c>
      <c r="B578" t="s">
        <v>145</v>
      </c>
      <c r="C578">
        <v>51021673</v>
      </c>
      <c r="D578">
        <v>22.323</v>
      </c>
      <c r="E578" t="s">
        <v>95</v>
      </c>
      <c r="F578">
        <v>999</v>
      </c>
      <c r="G578" s="4">
        <v>46087.591064814813</v>
      </c>
    </row>
    <row r="579" spans="1:7" x14ac:dyDescent="0.3">
      <c r="A579">
        <v>578</v>
      </c>
      <c r="B579" t="s">
        <v>145</v>
      </c>
      <c r="C579">
        <v>51013476</v>
      </c>
      <c r="D579">
        <v>84.598716126317868</v>
      </c>
      <c r="E579" t="s">
        <v>93</v>
      </c>
      <c r="F579">
        <v>269</v>
      </c>
      <c r="G579" s="4">
        <v>46087.591064814813</v>
      </c>
    </row>
    <row r="580" spans="1:7" x14ac:dyDescent="0.3">
      <c r="A580">
        <v>579</v>
      </c>
      <c r="B580" t="s">
        <v>145</v>
      </c>
      <c r="C580">
        <v>51022998</v>
      </c>
      <c r="D580">
        <v>96.45622170706099</v>
      </c>
      <c r="E580" t="s">
        <v>275</v>
      </c>
      <c r="F580">
        <v>36</v>
      </c>
      <c r="G580" s="4">
        <v>46087.591064814813</v>
      </c>
    </row>
    <row r="581" spans="1:7" x14ac:dyDescent="0.3">
      <c r="A581">
        <v>580</v>
      </c>
      <c r="B581" t="s">
        <v>145</v>
      </c>
      <c r="C581">
        <v>51056485</v>
      </c>
      <c r="D581">
        <v>58.237418086679014</v>
      </c>
      <c r="E581" t="s">
        <v>94</v>
      </c>
      <c r="F581">
        <v>713</v>
      </c>
      <c r="G581" s="4">
        <v>46087.591064814813</v>
      </c>
    </row>
    <row r="582" spans="1:7" x14ac:dyDescent="0.3">
      <c r="A582">
        <v>581</v>
      </c>
      <c r="B582" t="s">
        <v>145</v>
      </c>
      <c r="C582">
        <v>51055705</v>
      </c>
      <c r="D582">
        <v>94.098200291689778</v>
      </c>
      <c r="E582" t="s">
        <v>92</v>
      </c>
      <c r="F582">
        <v>63</v>
      </c>
      <c r="G582" s="4">
        <v>46087.591064814813</v>
      </c>
    </row>
    <row r="583" spans="1:7" x14ac:dyDescent="0.3">
      <c r="A583">
        <v>582</v>
      </c>
      <c r="B583" t="s">
        <v>145</v>
      </c>
      <c r="C583">
        <v>51041798</v>
      </c>
      <c r="D583">
        <v>67.374996741707164</v>
      </c>
      <c r="E583" t="s">
        <v>93</v>
      </c>
      <c r="F583">
        <v>583</v>
      </c>
      <c r="G583" s="4">
        <v>46087.591064814813</v>
      </c>
    </row>
    <row r="584" spans="1:7" x14ac:dyDescent="0.3">
      <c r="A584">
        <v>583</v>
      </c>
      <c r="B584" t="s">
        <v>145</v>
      </c>
      <c r="C584">
        <v>51020600</v>
      </c>
      <c r="D584">
        <v>58.8803203838999</v>
      </c>
      <c r="E584" t="s">
        <v>94</v>
      </c>
      <c r="F584">
        <v>695</v>
      </c>
      <c r="G584" s="4">
        <v>46087.591064814813</v>
      </c>
    </row>
    <row r="585" spans="1:7" x14ac:dyDescent="0.3">
      <c r="A585">
        <v>584</v>
      </c>
      <c r="B585" t="s">
        <v>145</v>
      </c>
      <c r="C585">
        <v>51033795</v>
      </c>
      <c r="D585">
        <v>68.274156845105509</v>
      </c>
      <c r="E585" t="s">
        <v>93</v>
      </c>
      <c r="F585">
        <v>570</v>
      </c>
      <c r="G585" s="4">
        <v>46087.591064814813</v>
      </c>
    </row>
    <row r="586" spans="1:7" x14ac:dyDescent="0.3">
      <c r="A586">
        <v>585</v>
      </c>
      <c r="B586" t="s">
        <v>145</v>
      </c>
      <c r="C586">
        <v>51030419</v>
      </c>
      <c r="D586">
        <v>82.587884663299974</v>
      </c>
      <c r="E586" t="s">
        <v>93</v>
      </c>
      <c r="F586">
        <v>337</v>
      </c>
      <c r="G586" s="4">
        <v>46087.591064814813</v>
      </c>
    </row>
    <row r="587" spans="1:7" x14ac:dyDescent="0.3">
      <c r="A587">
        <v>586</v>
      </c>
      <c r="B587" t="s">
        <v>145</v>
      </c>
      <c r="C587">
        <v>51038819</v>
      </c>
      <c r="D587">
        <v>81.012133443747572</v>
      </c>
      <c r="E587" t="s">
        <v>93</v>
      </c>
      <c r="F587">
        <v>379</v>
      </c>
      <c r="G587" s="4">
        <v>46087.591064814813</v>
      </c>
    </row>
    <row r="588" spans="1:7" x14ac:dyDescent="0.3">
      <c r="A588">
        <v>587</v>
      </c>
      <c r="B588" t="s">
        <v>145</v>
      </c>
      <c r="C588">
        <v>51021851</v>
      </c>
      <c r="D588">
        <v>50.211217806199571</v>
      </c>
      <c r="E588" t="s">
        <v>94</v>
      </c>
      <c r="F588">
        <v>824</v>
      </c>
      <c r="G588" s="4">
        <v>46087.591064814813</v>
      </c>
    </row>
    <row r="589" spans="1:7" x14ac:dyDescent="0.3">
      <c r="A589">
        <v>588</v>
      </c>
      <c r="B589" t="s">
        <v>145</v>
      </c>
      <c r="C589">
        <v>51004086</v>
      </c>
      <c r="D589">
        <v>89.340408968611527</v>
      </c>
      <c r="E589" t="s">
        <v>92</v>
      </c>
      <c r="F589">
        <v>142</v>
      </c>
      <c r="G589" s="4">
        <v>46087.591064814813</v>
      </c>
    </row>
    <row r="590" spans="1:7" x14ac:dyDescent="0.3">
      <c r="A590">
        <v>589</v>
      </c>
      <c r="B590" t="s">
        <v>145</v>
      </c>
      <c r="C590">
        <v>51017111</v>
      </c>
      <c r="D590">
        <v>80.446020915710847</v>
      </c>
      <c r="E590" t="s">
        <v>93</v>
      </c>
      <c r="F590">
        <v>395</v>
      </c>
      <c r="G590" s="4">
        <v>46087.591064814813</v>
      </c>
    </row>
    <row r="591" spans="1:7" x14ac:dyDescent="0.3">
      <c r="A591">
        <v>590</v>
      </c>
      <c r="B591" t="s">
        <v>145</v>
      </c>
      <c r="C591">
        <v>51022106</v>
      </c>
      <c r="D591">
        <v>45.649106794899645</v>
      </c>
      <c r="E591" t="s">
        <v>94</v>
      </c>
      <c r="F591">
        <v>863</v>
      </c>
      <c r="G591" s="4">
        <v>46087.591064814813</v>
      </c>
    </row>
    <row r="592" spans="1:7" x14ac:dyDescent="0.3">
      <c r="A592">
        <v>591</v>
      </c>
      <c r="B592" t="s">
        <v>145</v>
      </c>
      <c r="C592">
        <v>51056205</v>
      </c>
      <c r="D592">
        <v>80.65903444199536</v>
      </c>
      <c r="E592" t="s">
        <v>93</v>
      </c>
      <c r="F592">
        <v>390</v>
      </c>
      <c r="G592" s="4">
        <v>46087.591064814813</v>
      </c>
    </row>
    <row r="593" spans="1:7" x14ac:dyDescent="0.3">
      <c r="A593">
        <v>592</v>
      </c>
      <c r="B593" t="s">
        <v>145</v>
      </c>
      <c r="C593">
        <v>51055870</v>
      </c>
      <c r="D593">
        <v>87.13193392728536</v>
      </c>
      <c r="E593" t="s">
        <v>92</v>
      </c>
      <c r="F593">
        <v>196</v>
      </c>
      <c r="G593" s="4">
        <v>46087.591064814813</v>
      </c>
    </row>
    <row r="594" spans="1:7" x14ac:dyDescent="0.3">
      <c r="A594">
        <v>593</v>
      </c>
      <c r="B594" t="s">
        <v>145</v>
      </c>
      <c r="C594">
        <v>51017226</v>
      </c>
      <c r="D594">
        <v>28</v>
      </c>
      <c r="E594" t="s">
        <v>95</v>
      </c>
      <c r="F594">
        <v>963</v>
      </c>
      <c r="G594" s="4">
        <v>46087.591064814813</v>
      </c>
    </row>
    <row r="595" spans="1:7" x14ac:dyDescent="0.3">
      <c r="A595">
        <v>594</v>
      </c>
      <c r="B595" t="s">
        <v>145</v>
      </c>
      <c r="C595">
        <v>51056965</v>
      </c>
      <c r="D595">
        <v>25.593126886274408</v>
      </c>
      <c r="E595" t="s">
        <v>95</v>
      </c>
      <c r="F595">
        <v>978</v>
      </c>
      <c r="G595" s="4">
        <v>46087.591064814813</v>
      </c>
    </row>
    <row r="596" spans="1:7" x14ac:dyDescent="0.3">
      <c r="A596">
        <v>595</v>
      </c>
      <c r="B596" t="s">
        <v>145</v>
      </c>
      <c r="C596">
        <v>51033671</v>
      </c>
      <c r="D596">
        <v>58.286026944629675</v>
      </c>
      <c r="E596" t="s">
        <v>94</v>
      </c>
      <c r="F596">
        <v>711</v>
      </c>
      <c r="G596" s="4">
        <v>46087.591064814813</v>
      </c>
    </row>
    <row r="597" spans="1:7" x14ac:dyDescent="0.3">
      <c r="A597">
        <v>596</v>
      </c>
      <c r="B597" t="s">
        <v>145</v>
      </c>
      <c r="C597">
        <v>51038797</v>
      </c>
      <c r="D597">
        <v>92.426005571545261</v>
      </c>
      <c r="E597" t="s">
        <v>92</v>
      </c>
      <c r="F597">
        <v>82</v>
      </c>
      <c r="G597" s="4">
        <v>46087.591064814813</v>
      </c>
    </row>
    <row r="598" spans="1:7" x14ac:dyDescent="0.3">
      <c r="A598">
        <v>597</v>
      </c>
      <c r="B598" t="s">
        <v>145</v>
      </c>
      <c r="C598">
        <v>51013492</v>
      </c>
      <c r="D598">
        <v>24.429999999999996</v>
      </c>
      <c r="E598" t="s">
        <v>95</v>
      </c>
      <c r="F598">
        <v>987</v>
      </c>
      <c r="G598" s="4">
        <v>46087.591064814813</v>
      </c>
    </row>
    <row r="599" spans="1:7" x14ac:dyDescent="0.3">
      <c r="A599">
        <v>598</v>
      </c>
      <c r="B599" t="s">
        <v>145</v>
      </c>
      <c r="C599">
        <v>51019415</v>
      </c>
      <c r="D599">
        <v>57.886225298176754</v>
      </c>
      <c r="E599" t="s">
        <v>94</v>
      </c>
      <c r="F599">
        <v>721</v>
      </c>
      <c r="G599" s="4">
        <v>46087.591064814813</v>
      </c>
    </row>
    <row r="600" spans="1:7" x14ac:dyDescent="0.3">
      <c r="A600">
        <v>599</v>
      </c>
      <c r="B600" t="s">
        <v>145</v>
      </c>
      <c r="C600">
        <v>51036107</v>
      </c>
      <c r="D600">
        <v>56.951034231560399</v>
      </c>
      <c r="E600" t="s">
        <v>94</v>
      </c>
      <c r="F600">
        <v>740</v>
      </c>
      <c r="G600" s="4">
        <v>46087.591064814813</v>
      </c>
    </row>
    <row r="601" spans="1:7" x14ac:dyDescent="0.3">
      <c r="A601">
        <v>600</v>
      </c>
      <c r="B601" t="s">
        <v>145</v>
      </c>
      <c r="C601">
        <v>51056990</v>
      </c>
      <c r="D601">
        <v>84.366441468157078</v>
      </c>
      <c r="E601" t="s">
        <v>93</v>
      </c>
      <c r="F601">
        <v>276</v>
      </c>
      <c r="G601" s="4">
        <v>46087.591064814813</v>
      </c>
    </row>
    <row r="602" spans="1:7" x14ac:dyDescent="0.3">
      <c r="A602">
        <v>601</v>
      </c>
      <c r="B602" t="s">
        <v>145</v>
      </c>
      <c r="C602">
        <v>51025296</v>
      </c>
      <c r="D602">
        <v>45.939434930940124</v>
      </c>
      <c r="E602" t="s">
        <v>94</v>
      </c>
      <c r="F602">
        <v>860</v>
      </c>
      <c r="G602" s="4">
        <v>46087.591064814813</v>
      </c>
    </row>
    <row r="603" spans="1:7" x14ac:dyDescent="0.3">
      <c r="A603">
        <v>602</v>
      </c>
      <c r="B603" t="s">
        <v>145</v>
      </c>
      <c r="C603">
        <v>51056639</v>
      </c>
      <c r="D603">
        <v>35.978733229764245</v>
      </c>
      <c r="E603" t="s">
        <v>94</v>
      </c>
      <c r="F603">
        <v>901</v>
      </c>
      <c r="G603" s="4">
        <v>46087.591064814813</v>
      </c>
    </row>
    <row r="604" spans="1:7" x14ac:dyDescent="0.3">
      <c r="A604">
        <v>603</v>
      </c>
      <c r="B604" t="s">
        <v>145</v>
      </c>
      <c r="C604">
        <v>51015029</v>
      </c>
      <c r="D604">
        <v>70.32661828484656</v>
      </c>
      <c r="E604" t="s">
        <v>93</v>
      </c>
      <c r="F604">
        <v>542</v>
      </c>
      <c r="G604" s="4">
        <v>46087.591064814813</v>
      </c>
    </row>
    <row r="605" spans="1:7" x14ac:dyDescent="0.3">
      <c r="A605">
        <v>604</v>
      </c>
      <c r="B605" t="s">
        <v>145</v>
      </c>
      <c r="C605">
        <v>51055730</v>
      </c>
      <c r="D605">
        <v>56.972067818715701</v>
      </c>
      <c r="E605" t="s">
        <v>94</v>
      </c>
      <c r="F605">
        <v>738</v>
      </c>
      <c r="G605" s="4">
        <v>46087.591064814813</v>
      </c>
    </row>
    <row r="606" spans="1:7" x14ac:dyDescent="0.3">
      <c r="A606">
        <v>605</v>
      </c>
      <c r="B606" t="s">
        <v>145</v>
      </c>
      <c r="C606">
        <v>51018257</v>
      </c>
      <c r="D606">
        <v>69.648755387040367</v>
      </c>
      <c r="E606" t="s">
        <v>93</v>
      </c>
      <c r="F606">
        <v>551</v>
      </c>
      <c r="G606" s="4">
        <v>46087.591064814813</v>
      </c>
    </row>
    <row r="607" spans="1:7" x14ac:dyDescent="0.3">
      <c r="A607">
        <v>606</v>
      </c>
      <c r="B607" t="s">
        <v>145</v>
      </c>
      <c r="C607">
        <v>51055845</v>
      </c>
      <c r="D607">
        <v>88.301181497061094</v>
      </c>
      <c r="E607" t="s">
        <v>92</v>
      </c>
      <c r="F607">
        <v>172</v>
      </c>
      <c r="G607" s="4">
        <v>46087.591064814813</v>
      </c>
    </row>
    <row r="608" spans="1:7" x14ac:dyDescent="0.3">
      <c r="A608">
        <v>607</v>
      </c>
      <c r="B608" t="s">
        <v>145</v>
      </c>
      <c r="C608">
        <v>51028015</v>
      </c>
      <c r="D608">
        <v>84.598474973907969</v>
      </c>
      <c r="E608" t="s">
        <v>93</v>
      </c>
      <c r="F608">
        <v>270</v>
      </c>
      <c r="G608" s="4">
        <v>46087.591064814813</v>
      </c>
    </row>
    <row r="609" spans="1:7" x14ac:dyDescent="0.3">
      <c r="A609">
        <v>608</v>
      </c>
      <c r="B609" t="s">
        <v>145</v>
      </c>
      <c r="C609">
        <v>51012887</v>
      </c>
      <c r="D609">
        <v>94.57977093533809</v>
      </c>
      <c r="E609" t="s">
        <v>275</v>
      </c>
      <c r="F609">
        <v>59</v>
      </c>
      <c r="G609" s="4">
        <v>46087.591064814813</v>
      </c>
    </row>
    <row r="610" spans="1:7" x14ac:dyDescent="0.3">
      <c r="A610">
        <v>609</v>
      </c>
      <c r="B610" t="s">
        <v>145</v>
      </c>
      <c r="C610">
        <v>51010311</v>
      </c>
      <c r="D610">
        <v>70.607899836300646</v>
      </c>
      <c r="E610" t="s">
        <v>93</v>
      </c>
      <c r="F610">
        <v>536</v>
      </c>
      <c r="G610" s="4">
        <v>46087.591064814813</v>
      </c>
    </row>
    <row r="611" spans="1:7" x14ac:dyDescent="0.3">
      <c r="A611">
        <v>610</v>
      </c>
      <c r="B611" t="s">
        <v>145</v>
      </c>
      <c r="C611">
        <v>51036638</v>
      </c>
      <c r="D611">
        <v>50.746800997466252</v>
      </c>
      <c r="E611" t="s">
        <v>94</v>
      </c>
      <c r="F611">
        <v>818</v>
      </c>
      <c r="G611" s="4">
        <v>46087.591064814813</v>
      </c>
    </row>
    <row r="612" spans="1:7" x14ac:dyDescent="0.3">
      <c r="A612">
        <v>611</v>
      </c>
      <c r="B612" t="s">
        <v>145</v>
      </c>
      <c r="C612">
        <v>51033442</v>
      </c>
      <c r="D612">
        <v>91.488309620288675</v>
      </c>
      <c r="E612" t="s">
        <v>92</v>
      </c>
      <c r="F612">
        <v>96</v>
      </c>
      <c r="G612" s="4">
        <v>46087.591064814813</v>
      </c>
    </row>
    <row r="613" spans="1:7" x14ac:dyDescent="0.3">
      <c r="A613">
        <v>612</v>
      </c>
      <c r="B613" t="s">
        <v>145</v>
      </c>
      <c r="C613">
        <v>51014774</v>
      </c>
      <c r="D613">
        <v>80.728452186644503</v>
      </c>
      <c r="E613" t="s">
        <v>93</v>
      </c>
      <c r="F613">
        <v>386</v>
      </c>
      <c r="G613" s="4">
        <v>46087.591064814813</v>
      </c>
    </row>
    <row r="614" spans="1:7" x14ac:dyDescent="0.3">
      <c r="A614">
        <v>613</v>
      </c>
      <c r="B614" t="s">
        <v>145</v>
      </c>
      <c r="C614">
        <v>51043847</v>
      </c>
      <c r="D614">
        <v>36.137783763174191</v>
      </c>
      <c r="E614" t="s">
        <v>94</v>
      </c>
      <c r="F614">
        <v>899</v>
      </c>
      <c r="G614" s="4">
        <v>46087.591064814813</v>
      </c>
    </row>
    <row r="615" spans="1:7" x14ac:dyDescent="0.3">
      <c r="A615">
        <v>614</v>
      </c>
      <c r="B615" t="s">
        <v>145</v>
      </c>
      <c r="C615">
        <v>51032381</v>
      </c>
      <c r="D615">
        <v>76.374560091989835</v>
      </c>
      <c r="E615" t="s">
        <v>93</v>
      </c>
      <c r="F615">
        <v>464</v>
      </c>
      <c r="G615" s="4">
        <v>46087.591064814813</v>
      </c>
    </row>
    <row r="616" spans="1:7" x14ac:dyDescent="0.3">
      <c r="A616">
        <v>615</v>
      </c>
      <c r="B616" t="s">
        <v>145</v>
      </c>
      <c r="C616">
        <v>51018508</v>
      </c>
      <c r="D616">
        <v>71.662744310493281</v>
      </c>
      <c r="E616" t="s">
        <v>93</v>
      </c>
      <c r="F616">
        <v>524</v>
      </c>
      <c r="G616" s="4">
        <v>46087.591064814813</v>
      </c>
    </row>
    <row r="617" spans="1:7" x14ac:dyDescent="0.3">
      <c r="A617">
        <v>616</v>
      </c>
      <c r="B617" t="s">
        <v>145</v>
      </c>
      <c r="C617">
        <v>51003616</v>
      </c>
      <c r="D617">
        <v>88.103556860408204</v>
      </c>
      <c r="E617" t="s">
        <v>92</v>
      </c>
      <c r="F617">
        <v>176</v>
      </c>
      <c r="G617" s="4">
        <v>46087.591064814813</v>
      </c>
    </row>
    <row r="618" spans="1:7" x14ac:dyDescent="0.3">
      <c r="A618">
        <v>617</v>
      </c>
      <c r="B618" t="s">
        <v>145</v>
      </c>
      <c r="C618">
        <v>51038932</v>
      </c>
      <c r="D618">
        <v>60.148959139019595</v>
      </c>
      <c r="E618" t="s">
        <v>94</v>
      </c>
      <c r="F618">
        <v>665</v>
      </c>
      <c r="G618" s="4">
        <v>46087.591064814813</v>
      </c>
    </row>
    <row r="619" spans="1:7" x14ac:dyDescent="0.3">
      <c r="A619">
        <v>618</v>
      </c>
      <c r="B619" t="s">
        <v>145</v>
      </c>
      <c r="C619">
        <v>51039211</v>
      </c>
      <c r="D619">
        <v>47.181549325283228</v>
      </c>
      <c r="E619" t="s">
        <v>94</v>
      </c>
      <c r="F619">
        <v>845</v>
      </c>
      <c r="G619" s="4">
        <v>46087.591064814813</v>
      </c>
    </row>
    <row r="620" spans="1:7" x14ac:dyDescent="0.3">
      <c r="A620">
        <v>619</v>
      </c>
      <c r="B620" t="s">
        <v>145</v>
      </c>
      <c r="C620">
        <v>51018664</v>
      </c>
      <c r="D620">
        <v>22.49248598075722</v>
      </c>
      <c r="E620" t="s">
        <v>95</v>
      </c>
      <c r="F620">
        <v>998</v>
      </c>
      <c r="G620" s="4">
        <v>46087.591064814813</v>
      </c>
    </row>
    <row r="621" spans="1:7" x14ac:dyDescent="0.3">
      <c r="A621">
        <v>620</v>
      </c>
      <c r="B621" t="s">
        <v>145</v>
      </c>
      <c r="C621">
        <v>51056671</v>
      </c>
      <c r="D621">
        <v>81.797140385905266</v>
      </c>
      <c r="E621" t="s">
        <v>93</v>
      </c>
      <c r="F621">
        <v>354</v>
      </c>
      <c r="G621" s="4">
        <v>46087.591064814813</v>
      </c>
    </row>
    <row r="622" spans="1:7" x14ac:dyDescent="0.3">
      <c r="A622">
        <v>621</v>
      </c>
      <c r="B622" t="s">
        <v>145</v>
      </c>
      <c r="C622">
        <v>51055462</v>
      </c>
      <c r="D622">
        <v>89.869973979828174</v>
      </c>
      <c r="E622" t="s">
        <v>92</v>
      </c>
      <c r="F622">
        <v>127</v>
      </c>
      <c r="G622" s="4">
        <v>46087.591064814813</v>
      </c>
    </row>
    <row r="623" spans="1:7" x14ac:dyDescent="0.3">
      <c r="A623">
        <v>622</v>
      </c>
      <c r="B623" t="s">
        <v>145</v>
      </c>
      <c r="C623">
        <v>51014081</v>
      </c>
      <c r="D623">
        <v>85.396903206863982</v>
      </c>
      <c r="E623" t="s">
        <v>93</v>
      </c>
      <c r="F623">
        <v>247</v>
      </c>
      <c r="G623" s="4">
        <v>46087.591064814813</v>
      </c>
    </row>
    <row r="624" spans="1:7" x14ac:dyDescent="0.3">
      <c r="A624">
        <v>623</v>
      </c>
      <c r="B624" t="s">
        <v>145</v>
      </c>
      <c r="C624">
        <v>51055918</v>
      </c>
      <c r="D624">
        <v>69.854475049642289</v>
      </c>
      <c r="E624" t="s">
        <v>93</v>
      </c>
      <c r="F624">
        <v>548</v>
      </c>
      <c r="G624" s="4">
        <v>46087.591064814813</v>
      </c>
    </row>
    <row r="625" spans="1:7" x14ac:dyDescent="0.3">
      <c r="A625">
        <v>624</v>
      </c>
      <c r="B625" t="s">
        <v>145</v>
      </c>
      <c r="C625">
        <v>51016785</v>
      </c>
      <c r="D625">
        <v>87.033488798607578</v>
      </c>
      <c r="E625" t="s">
        <v>92</v>
      </c>
      <c r="F625">
        <v>198</v>
      </c>
      <c r="G625" s="4">
        <v>46087.591064814813</v>
      </c>
    </row>
    <row r="626" spans="1:7" x14ac:dyDescent="0.3">
      <c r="A626">
        <v>625</v>
      </c>
      <c r="B626" t="s">
        <v>145</v>
      </c>
      <c r="C626">
        <v>51055268</v>
      </c>
      <c r="D626">
        <v>45.031031618850122</v>
      </c>
      <c r="E626" t="s">
        <v>94</v>
      </c>
      <c r="F626">
        <v>866</v>
      </c>
      <c r="G626" s="4">
        <v>46087.591064814813</v>
      </c>
    </row>
    <row r="627" spans="1:7" x14ac:dyDescent="0.3">
      <c r="A627">
        <v>626</v>
      </c>
      <c r="B627" t="s">
        <v>145</v>
      </c>
      <c r="C627">
        <v>51015533</v>
      </c>
      <c r="D627">
        <v>88.328687931402328</v>
      </c>
      <c r="E627" t="s">
        <v>92</v>
      </c>
      <c r="F627">
        <v>170</v>
      </c>
      <c r="G627" s="4">
        <v>46087.591064814813</v>
      </c>
    </row>
    <row r="628" spans="1:7" x14ac:dyDescent="0.3">
      <c r="A628">
        <v>627</v>
      </c>
      <c r="B628" t="s">
        <v>145</v>
      </c>
      <c r="C628">
        <v>51018371</v>
      </c>
      <c r="D628">
        <v>83.18480806607873</v>
      </c>
      <c r="E628" t="s">
        <v>93</v>
      </c>
      <c r="F628">
        <v>310</v>
      </c>
      <c r="G628" s="4">
        <v>46087.591064814813</v>
      </c>
    </row>
    <row r="629" spans="1:7" x14ac:dyDescent="0.3">
      <c r="A629">
        <v>628</v>
      </c>
      <c r="B629" t="s">
        <v>145</v>
      </c>
      <c r="C629">
        <v>51004027</v>
      </c>
      <c r="D629">
        <v>68.429528181904558</v>
      </c>
      <c r="E629" t="s">
        <v>93</v>
      </c>
      <c r="F629">
        <v>566</v>
      </c>
      <c r="G629" s="4">
        <v>46087.591064814813</v>
      </c>
    </row>
    <row r="630" spans="1:7" x14ac:dyDescent="0.3">
      <c r="A630">
        <v>629</v>
      </c>
      <c r="B630" t="s">
        <v>145</v>
      </c>
      <c r="C630">
        <v>51011660</v>
      </c>
      <c r="D630">
        <v>40.324029948236706</v>
      </c>
      <c r="E630" t="s">
        <v>94</v>
      </c>
      <c r="F630">
        <v>886</v>
      </c>
      <c r="G630" s="4">
        <v>46087.591064814813</v>
      </c>
    </row>
    <row r="631" spans="1:7" x14ac:dyDescent="0.3">
      <c r="A631">
        <v>630</v>
      </c>
      <c r="B631" t="s">
        <v>145</v>
      </c>
      <c r="C631">
        <v>51022556</v>
      </c>
      <c r="D631">
        <v>71.469715034096879</v>
      </c>
      <c r="E631" t="s">
        <v>93</v>
      </c>
      <c r="F631">
        <v>527</v>
      </c>
      <c r="G631" s="4">
        <v>46087.591064814813</v>
      </c>
    </row>
    <row r="632" spans="1:7" x14ac:dyDescent="0.3">
      <c r="A632">
        <v>631</v>
      </c>
      <c r="B632" t="s">
        <v>145</v>
      </c>
      <c r="C632">
        <v>51018427</v>
      </c>
      <c r="D632">
        <v>75.422863207712638</v>
      </c>
      <c r="E632" t="s">
        <v>93</v>
      </c>
      <c r="F632">
        <v>476</v>
      </c>
      <c r="G632" s="4">
        <v>46087.591064814813</v>
      </c>
    </row>
    <row r="633" spans="1:7" x14ac:dyDescent="0.3">
      <c r="A633">
        <v>632</v>
      </c>
      <c r="B633" t="s">
        <v>145</v>
      </c>
      <c r="C633">
        <v>51024516</v>
      </c>
      <c r="D633">
        <v>82.958811750903863</v>
      </c>
      <c r="E633" t="s">
        <v>93</v>
      </c>
      <c r="F633">
        <v>322</v>
      </c>
      <c r="G633" s="4">
        <v>46087.591064814813</v>
      </c>
    </row>
    <row r="634" spans="1:7" x14ac:dyDescent="0.3">
      <c r="A634">
        <v>633</v>
      </c>
      <c r="B634" t="s">
        <v>145</v>
      </c>
      <c r="C634">
        <v>51011856</v>
      </c>
      <c r="D634">
        <v>56.699483087661363</v>
      </c>
      <c r="E634" t="s">
        <v>94</v>
      </c>
      <c r="F634">
        <v>747</v>
      </c>
      <c r="G634" s="4">
        <v>46087.591064814813</v>
      </c>
    </row>
    <row r="635" spans="1:7" x14ac:dyDescent="0.3">
      <c r="A635">
        <v>634</v>
      </c>
      <c r="B635" t="s">
        <v>145</v>
      </c>
      <c r="C635">
        <v>51032322</v>
      </c>
      <c r="D635">
        <v>61.867522121324733</v>
      </c>
      <c r="E635" t="s">
        <v>94</v>
      </c>
      <c r="F635">
        <v>630</v>
      </c>
      <c r="G635" s="4">
        <v>46087.591064814813</v>
      </c>
    </row>
    <row r="636" spans="1:7" x14ac:dyDescent="0.3">
      <c r="A636">
        <v>635</v>
      </c>
      <c r="B636" t="s">
        <v>145</v>
      </c>
      <c r="C636">
        <v>51013859</v>
      </c>
      <c r="D636">
        <v>59.090301721986279</v>
      </c>
      <c r="E636" t="s">
        <v>94</v>
      </c>
      <c r="F636">
        <v>690</v>
      </c>
      <c r="G636" s="4">
        <v>46087.591064814813</v>
      </c>
    </row>
    <row r="637" spans="1:7" x14ac:dyDescent="0.3">
      <c r="A637">
        <v>636</v>
      </c>
      <c r="B637" t="s">
        <v>145</v>
      </c>
      <c r="C637">
        <v>51008430</v>
      </c>
      <c r="D637">
        <v>67.941155056687109</v>
      </c>
      <c r="E637" t="s">
        <v>93</v>
      </c>
      <c r="F637">
        <v>572</v>
      </c>
      <c r="G637" s="4">
        <v>46087.591064814813</v>
      </c>
    </row>
    <row r="638" spans="1:7" x14ac:dyDescent="0.3">
      <c r="A638">
        <v>637</v>
      </c>
      <c r="B638" t="s">
        <v>145</v>
      </c>
      <c r="C638">
        <v>51042158</v>
      </c>
      <c r="D638">
        <v>96.75646368170095</v>
      </c>
      <c r="E638" t="s">
        <v>275</v>
      </c>
      <c r="F638">
        <v>33</v>
      </c>
      <c r="G638" s="4">
        <v>46087.591064814813</v>
      </c>
    </row>
    <row r="639" spans="1:7" x14ac:dyDescent="0.3">
      <c r="A639">
        <v>638</v>
      </c>
      <c r="B639" t="s">
        <v>145</v>
      </c>
      <c r="C639">
        <v>51011627</v>
      </c>
      <c r="D639">
        <v>61.561489073128783</v>
      </c>
      <c r="E639" t="s">
        <v>94</v>
      </c>
      <c r="F639">
        <v>638</v>
      </c>
      <c r="G639" s="4">
        <v>46087.591064814813</v>
      </c>
    </row>
    <row r="640" spans="1:7" x14ac:dyDescent="0.3">
      <c r="A640">
        <v>639</v>
      </c>
      <c r="B640" t="s">
        <v>145</v>
      </c>
      <c r="C640">
        <v>51010426</v>
      </c>
      <c r="D640">
        <v>82.736242672812992</v>
      </c>
      <c r="E640" t="s">
        <v>93</v>
      </c>
      <c r="F640">
        <v>329</v>
      </c>
      <c r="G640" s="4">
        <v>46087.591064814813</v>
      </c>
    </row>
    <row r="641" spans="1:7" x14ac:dyDescent="0.3">
      <c r="A641">
        <v>640</v>
      </c>
      <c r="B641" t="s">
        <v>145</v>
      </c>
      <c r="C641">
        <v>51033205</v>
      </c>
      <c r="D641">
        <v>58.461605117788153</v>
      </c>
      <c r="E641" t="s">
        <v>94</v>
      </c>
      <c r="F641">
        <v>703</v>
      </c>
      <c r="G641" s="4">
        <v>46087.591064814813</v>
      </c>
    </row>
    <row r="642" spans="1:7" x14ac:dyDescent="0.3">
      <c r="A642">
        <v>641</v>
      </c>
      <c r="B642" t="s">
        <v>145</v>
      </c>
      <c r="C642">
        <v>51035976</v>
      </c>
      <c r="D642">
        <v>33.799999999999997</v>
      </c>
      <c r="E642" t="s">
        <v>94</v>
      </c>
      <c r="F642">
        <v>917</v>
      </c>
      <c r="G642" s="4">
        <v>46087.591064814813</v>
      </c>
    </row>
    <row r="643" spans="1:7" x14ac:dyDescent="0.3">
      <c r="A643">
        <v>642</v>
      </c>
      <c r="B643" t="s">
        <v>145</v>
      </c>
      <c r="C643">
        <v>51010914</v>
      </c>
      <c r="D643">
        <v>57.466649672163022</v>
      </c>
      <c r="E643" t="s">
        <v>94</v>
      </c>
      <c r="F643">
        <v>728</v>
      </c>
      <c r="G643" s="4">
        <v>46087.591064814813</v>
      </c>
    </row>
    <row r="644" spans="1:7" x14ac:dyDescent="0.3">
      <c r="A644">
        <v>643</v>
      </c>
      <c r="B644" t="s">
        <v>145</v>
      </c>
      <c r="C644">
        <v>51023129</v>
      </c>
      <c r="D644">
        <v>85.711299129509968</v>
      </c>
      <c r="E644" t="s">
        <v>92</v>
      </c>
      <c r="F644">
        <v>237</v>
      </c>
      <c r="G644" s="4">
        <v>46087.591064814813</v>
      </c>
    </row>
    <row r="645" spans="1:7" x14ac:dyDescent="0.3">
      <c r="A645">
        <v>644</v>
      </c>
      <c r="B645" t="s">
        <v>145</v>
      </c>
      <c r="C645">
        <v>51054857</v>
      </c>
      <c r="D645">
        <v>57.707116915509602</v>
      </c>
      <c r="E645" t="s">
        <v>94</v>
      </c>
      <c r="F645">
        <v>725</v>
      </c>
      <c r="G645" s="4">
        <v>46087.591064814813</v>
      </c>
    </row>
    <row r="646" spans="1:7" x14ac:dyDescent="0.3">
      <c r="A646">
        <v>645</v>
      </c>
      <c r="B646" t="s">
        <v>145</v>
      </c>
      <c r="C646">
        <v>51055926</v>
      </c>
      <c r="D646">
        <v>74.467837237484616</v>
      </c>
      <c r="E646" t="s">
        <v>93</v>
      </c>
      <c r="F646">
        <v>487</v>
      </c>
      <c r="G646" s="4">
        <v>46087.591064814813</v>
      </c>
    </row>
    <row r="647" spans="1:7" x14ac:dyDescent="0.3">
      <c r="A647">
        <v>646</v>
      </c>
      <c r="B647" t="s">
        <v>145</v>
      </c>
      <c r="C647">
        <v>51021282</v>
      </c>
      <c r="D647">
        <v>34.18</v>
      </c>
      <c r="E647" t="s">
        <v>94</v>
      </c>
      <c r="F647">
        <v>911</v>
      </c>
      <c r="G647" s="4">
        <v>46087.591064814813</v>
      </c>
    </row>
    <row r="648" spans="1:7" x14ac:dyDescent="0.3">
      <c r="A648">
        <v>647</v>
      </c>
      <c r="B648" t="s">
        <v>145</v>
      </c>
      <c r="C648">
        <v>51031369</v>
      </c>
      <c r="D648">
        <v>72.402859285135719</v>
      </c>
      <c r="E648" t="s">
        <v>93</v>
      </c>
      <c r="F648">
        <v>513</v>
      </c>
      <c r="G648" s="4">
        <v>46087.591064814813</v>
      </c>
    </row>
    <row r="649" spans="1:7" x14ac:dyDescent="0.3">
      <c r="A649">
        <v>648</v>
      </c>
      <c r="B649" t="s">
        <v>145</v>
      </c>
      <c r="C649">
        <v>51024621</v>
      </c>
      <c r="D649">
        <v>58.26224485513228</v>
      </c>
      <c r="E649" t="s">
        <v>94</v>
      </c>
      <c r="F649">
        <v>712</v>
      </c>
      <c r="G649" s="4">
        <v>46087.591064814813</v>
      </c>
    </row>
    <row r="650" spans="1:7" x14ac:dyDescent="0.3">
      <c r="A650">
        <v>649</v>
      </c>
      <c r="B650" t="s">
        <v>145</v>
      </c>
      <c r="C650">
        <v>51032284</v>
      </c>
      <c r="D650">
        <v>83.153472701516804</v>
      </c>
      <c r="E650" t="s">
        <v>93</v>
      </c>
      <c r="F650">
        <v>312</v>
      </c>
      <c r="G650" s="4">
        <v>46087.591064814813</v>
      </c>
    </row>
    <row r="651" spans="1:7" x14ac:dyDescent="0.3">
      <c r="A651">
        <v>650</v>
      </c>
      <c r="B651" t="s">
        <v>145</v>
      </c>
      <c r="C651">
        <v>51018966</v>
      </c>
      <c r="D651">
        <v>88.627523916572599</v>
      </c>
      <c r="E651" t="s">
        <v>92</v>
      </c>
      <c r="F651">
        <v>165</v>
      </c>
      <c r="G651" s="4">
        <v>46087.591064814813</v>
      </c>
    </row>
    <row r="652" spans="1:7" x14ac:dyDescent="0.3">
      <c r="A652">
        <v>651</v>
      </c>
      <c r="B652" t="s">
        <v>145</v>
      </c>
      <c r="C652">
        <v>51012623</v>
      </c>
      <c r="D652">
        <v>83.49905468133862</v>
      </c>
      <c r="E652" t="s">
        <v>93</v>
      </c>
      <c r="F652">
        <v>300</v>
      </c>
      <c r="G652" s="4">
        <v>46087.591064814813</v>
      </c>
    </row>
    <row r="653" spans="1:7" x14ac:dyDescent="0.3">
      <c r="A653">
        <v>652</v>
      </c>
      <c r="B653" t="s">
        <v>145</v>
      </c>
      <c r="C653">
        <v>51019121</v>
      </c>
      <c r="D653">
        <v>88.957738365722051</v>
      </c>
      <c r="E653" t="s">
        <v>92</v>
      </c>
      <c r="F653">
        <v>154</v>
      </c>
      <c r="G653" s="4">
        <v>46087.591064814813</v>
      </c>
    </row>
    <row r="654" spans="1:7" x14ac:dyDescent="0.3">
      <c r="A654">
        <v>653</v>
      </c>
      <c r="B654" t="s">
        <v>145</v>
      </c>
      <c r="C654">
        <v>51036085</v>
      </c>
      <c r="D654">
        <v>32.6</v>
      </c>
      <c r="E654" t="s">
        <v>94</v>
      </c>
      <c r="F654">
        <v>922</v>
      </c>
      <c r="G654" s="4">
        <v>46087.591064814813</v>
      </c>
    </row>
    <row r="655" spans="1:7" x14ac:dyDescent="0.3">
      <c r="A655">
        <v>654</v>
      </c>
      <c r="B655" t="s">
        <v>145</v>
      </c>
      <c r="C655">
        <v>51002164</v>
      </c>
      <c r="D655">
        <v>80.934994038726103</v>
      </c>
      <c r="E655" t="s">
        <v>93</v>
      </c>
      <c r="F655">
        <v>380</v>
      </c>
      <c r="G655" s="4">
        <v>46087.591064814813</v>
      </c>
    </row>
    <row r="656" spans="1:7" x14ac:dyDescent="0.3">
      <c r="A656">
        <v>655</v>
      </c>
      <c r="B656" t="s">
        <v>145</v>
      </c>
      <c r="C656">
        <v>51013182</v>
      </c>
      <c r="D656">
        <v>60.656018183702955</v>
      </c>
      <c r="E656" t="s">
        <v>94</v>
      </c>
      <c r="F656">
        <v>653</v>
      </c>
      <c r="G656" s="4">
        <v>46087.591064814813</v>
      </c>
    </row>
    <row r="657" spans="1:7" x14ac:dyDescent="0.3">
      <c r="A657">
        <v>656</v>
      </c>
      <c r="B657" t="s">
        <v>145</v>
      </c>
      <c r="C657">
        <v>51033086</v>
      </c>
      <c r="D657">
        <v>59.600157967444382</v>
      </c>
      <c r="E657" t="s">
        <v>94</v>
      </c>
      <c r="F657">
        <v>676</v>
      </c>
      <c r="G657" s="4">
        <v>46087.591064814813</v>
      </c>
    </row>
    <row r="658" spans="1:7" x14ac:dyDescent="0.3">
      <c r="A658">
        <v>657</v>
      </c>
      <c r="B658" t="s">
        <v>145</v>
      </c>
      <c r="C658">
        <v>51029038</v>
      </c>
      <c r="D658">
        <v>52.910079203862175</v>
      </c>
      <c r="E658" t="s">
        <v>94</v>
      </c>
      <c r="F658">
        <v>801</v>
      </c>
      <c r="G658" s="4">
        <v>46087.591064814813</v>
      </c>
    </row>
    <row r="659" spans="1:7" x14ac:dyDescent="0.3">
      <c r="A659">
        <v>658</v>
      </c>
      <c r="B659" t="s">
        <v>145</v>
      </c>
      <c r="C659">
        <v>51024168</v>
      </c>
      <c r="D659">
        <v>72.8173808729629</v>
      </c>
      <c r="E659" t="s">
        <v>93</v>
      </c>
      <c r="F659">
        <v>502</v>
      </c>
      <c r="G659" s="4">
        <v>46087.591064814813</v>
      </c>
    </row>
    <row r="660" spans="1:7" x14ac:dyDescent="0.3">
      <c r="A660">
        <v>659</v>
      </c>
      <c r="B660" t="s">
        <v>145</v>
      </c>
      <c r="C660">
        <v>51023455</v>
      </c>
      <c r="D660">
        <v>45.665515384623966</v>
      </c>
      <c r="E660" t="s">
        <v>94</v>
      </c>
      <c r="F660">
        <v>862</v>
      </c>
      <c r="G660" s="4">
        <v>46087.591064814813</v>
      </c>
    </row>
    <row r="661" spans="1:7" x14ac:dyDescent="0.3">
      <c r="A661">
        <v>660</v>
      </c>
      <c r="B661" t="s">
        <v>145</v>
      </c>
      <c r="C661">
        <v>51016131</v>
      </c>
      <c r="D661">
        <v>96.49381377879125</v>
      </c>
      <c r="E661" t="s">
        <v>275</v>
      </c>
      <c r="F661">
        <v>35</v>
      </c>
      <c r="G661" s="4">
        <v>46087.591064814813</v>
      </c>
    </row>
    <row r="662" spans="1:7" x14ac:dyDescent="0.3">
      <c r="A662">
        <v>661</v>
      </c>
      <c r="B662" t="s">
        <v>145</v>
      </c>
      <c r="C662">
        <v>51016408</v>
      </c>
      <c r="D662">
        <v>94.996215024775964</v>
      </c>
      <c r="E662" t="s">
        <v>275</v>
      </c>
      <c r="F662">
        <v>54</v>
      </c>
      <c r="G662" s="4">
        <v>46087.591064814813</v>
      </c>
    </row>
    <row r="663" spans="1:7" x14ac:dyDescent="0.3">
      <c r="A663">
        <v>662</v>
      </c>
      <c r="B663" t="s">
        <v>145</v>
      </c>
      <c r="C663">
        <v>51056914</v>
      </c>
      <c r="D663">
        <v>86.988263658587499</v>
      </c>
      <c r="E663" t="s">
        <v>92</v>
      </c>
      <c r="F663">
        <v>200</v>
      </c>
      <c r="G663" s="4">
        <v>46087.591064814813</v>
      </c>
    </row>
    <row r="664" spans="1:7" x14ac:dyDescent="0.3">
      <c r="A664">
        <v>663</v>
      </c>
      <c r="B664" t="s">
        <v>145</v>
      </c>
      <c r="C664">
        <v>51016858</v>
      </c>
      <c r="D664">
        <v>98.980373046663388</v>
      </c>
      <c r="E664" t="s">
        <v>275</v>
      </c>
      <c r="F664">
        <v>20</v>
      </c>
      <c r="G664" s="4">
        <v>46087.591064814813</v>
      </c>
    </row>
    <row r="665" spans="1:7" x14ac:dyDescent="0.3">
      <c r="A665">
        <v>664</v>
      </c>
      <c r="B665" t="s">
        <v>145</v>
      </c>
      <c r="C665">
        <v>51035666</v>
      </c>
      <c r="D665">
        <v>74.340718821848313</v>
      </c>
      <c r="E665" t="s">
        <v>93</v>
      </c>
      <c r="F665">
        <v>489</v>
      </c>
      <c r="G665" s="4">
        <v>46087.591064814813</v>
      </c>
    </row>
    <row r="666" spans="1:7" x14ac:dyDescent="0.3">
      <c r="A666">
        <v>665</v>
      </c>
      <c r="B666" t="s">
        <v>145</v>
      </c>
      <c r="C666">
        <v>51022068</v>
      </c>
      <c r="D666">
        <v>94.502080571588564</v>
      </c>
      <c r="E666" t="s">
        <v>92</v>
      </c>
      <c r="F666">
        <v>61</v>
      </c>
      <c r="G666" s="4">
        <v>46087.591064814813</v>
      </c>
    </row>
    <row r="667" spans="1:7" x14ac:dyDescent="0.3">
      <c r="A667">
        <v>666</v>
      </c>
      <c r="B667" t="s">
        <v>145</v>
      </c>
      <c r="C667">
        <v>51013611</v>
      </c>
      <c r="D667">
        <v>91.363976557373277</v>
      </c>
      <c r="E667" t="s">
        <v>92</v>
      </c>
      <c r="F667">
        <v>99</v>
      </c>
      <c r="G667" s="4">
        <v>46087.591064814813</v>
      </c>
    </row>
    <row r="668" spans="1:7" x14ac:dyDescent="0.3">
      <c r="A668">
        <v>667</v>
      </c>
      <c r="B668" t="s">
        <v>145</v>
      </c>
      <c r="C668">
        <v>51013115</v>
      </c>
      <c r="D668">
        <v>44.335912498579887</v>
      </c>
      <c r="E668" t="s">
        <v>94</v>
      </c>
      <c r="F668">
        <v>871</v>
      </c>
      <c r="G668" s="4">
        <v>46087.591064814813</v>
      </c>
    </row>
    <row r="669" spans="1:7" x14ac:dyDescent="0.3">
      <c r="A669">
        <v>668</v>
      </c>
      <c r="B669" t="s">
        <v>145</v>
      </c>
      <c r="C669">
        <v>51056744</v>
      </c>
      <c r="D669">
        <v>81.487003424556875</v>
      </c>
      <c r="E669" t="s">
        <v>93</v>
      </c>
      <c r="F669">
        <v>364</v>
      </c>
      <c r="G669" s="4">
        <v>46087.591064814813</v>
      </c>
    </row>
    <row r="670" spans="1:7" x14ac:dyDescent="0.3">
      <c r="A670">
        <v>669</v>
      </c>
      <c r="B670" t="s">
        <v>145</v>
      </c>
      <c r="C670">
        <v>51031822</v>
      </c>
      <c r="D670">
        <v>86.947356794024401</v>
      </c>
      <c r="E670" t="s">
        <v>92</v>
      </c>
      <c r="F670">
        <v>201</v>
      </c>
      <c r="G670" s="4">
        <v>46087.591064814813</v>
      </c>
    </row>
    <row r="671" spans="1:7" x14ac:dyDescent="0.3">
      <c r="A671">
        <v>670</v>
      </c>
      <c r="B671" t="s">
        <v>145</v>
      </c>
      <c r="C671">
        <v>51025938</v>
      </c>
      <c r="D671">
        <v>46.202836221802897</v>
      </c>
      <c r="E671" t="s">
        <v>94</v>
      </c>
      <c r="F671">
        <v>853</v>
      </c>
      <c r="G671" s="4">
        <v>46087.591064814813</v>
      </c>
    </row>
    <row r="672" spans="1:7" x14ac:dyDescent="0.3">
      <c r="A672">
        <v>671</v>
      </c>
      <c r="B672" t="s">
        <v>145</v>
      </c>
      <c r="C672">
        <v>51030141</v>
      </c>
      <c r="D672">
        <v>83.388662474578737</v>
      </c>
      <c r="E672" t="s">
        <v>93</v>
      </c>
      <c r="F672">
        <v>303</v>
      </c>
      <c r="G672" s="4">
        <v>46087.591064814813</v>
      </c>
    </row>
    <row r="673" spans="1:7" x14ac:dyDescent="0.3">
      <c r="A673">
        <v>672</v>
      </c>
      <c r="B673" t="s">
        <v>145</v>
      </c>
      <c r="C673">
        <v>51004698</v>
      </c>
      <c r="D673">
        <v>90.679552230342239</v>
      </c>
      <c r="E673" t="s">
        <v>92</v>
      </c>
      <c r="F673">
        <v>111</v>
      </c>
      <c r="G673" s="4">
        <v>46087.591064814813</v>
      </c>
    </row>
    <row r="674" spans="1:7" x14ac:dyDescent="0.3">
      <c r="A674">
        <v>673</v>
      </c>
      <c r="B674" t="s">
        <v>145</v>
      </c>
      <c r="C674">
        <v>51029585</v>
      </c>
      <c r="D674">
        <v>79.30673554334598</v>
      </c>
      <c r="E674" t="s">
        <v>93</v>
      </c>
      <c r="F674">
        <v>421</v>
      </c>
      <c r="G674" s="4">
        <v>46087.591064814813</v>
      </c>
    </row>
    <row r="675" spans="1:7" x14ac:dyDescent="0.3">
      <c r="A675">
        <v>674</v>
      </c>
      <c r="B675" t="s">
        <v>145</v>
      </c>
      <c r="C675">
        <v>51018389</v>
      </c>
      <c r="D675">
        <v>76.886160835269308</v>
      </c>
      <c r="E675" t="s">
        <v>93</v>
      </c>
      <c r="F675">
        <v>453</v>
      </c>
      <c r="G675" s="4">
        <v>46087.591064814813</v>
      </c>
    </row>
    <row r="676" spans="1:7" x14ac:dyDescent="0.3">
      <c r="A676">
        <v>675</v>
      </c>
      <c r="B676" t="s">
        <v>145</v>
      </c>
      <c r="C676">
        <v>51017137</v>
      </c>
      <c r="D676">
        <v>46.060628192936697</v>
      </c>
      <c r="E676" t="s">
        <v>94</v>
      </c>
      <c r="F676">
        <v>857</v>
      </c>
      <c r="G676" s="4">
        <v>46087.591064814813</v>
      </c>
    </row>
    <row r="677" spans="1:7" x14ac:dyDescent="0.3">
      <c r="A677">
        <v>676</v>
      </c>
      <c r="B677" t="s">
        <v>145</v>
      </c>
      <c r="C677">
        <v>51041232</v>
      </c>
      <c r="D677">
        <v>88.64249235081958</v>
      </c>
      <c r="E677" t="s">
        <v>92</v>
      </c>
      <c r="F677">
        <v>164</v>
      </c>
      <c r="G677" s="4">
        <v>46087.591064814813</v>
      </c>
    </row>
    <row r="678" spans="1:7" x14ac:dyDescent="0.3">
      <c r="A678">
        <v>677</v>
      </c>
      <c r="B678" t="s">
        <v>145</v>
      </c>
      <c r="C678">
        <v>51022769</v>
      </c>
      <c r="D678">
        <v>30.92723703505148</v>
      </c>
      <c r="E678" t="s">
        <v>94</v>
      </c>
      <c r="F678">
        <v>933</v>
      </c>
      <c r="G678" s="4">
        <v>46087.591064814813</v>
      </c>
    </row>
    <row r="679" spans="1:7" x14ac:dyDescent="0.3">
      <c r="A679">
        <v>678</v>
      </c>
      <c r="B679" t="s">
        <v>145</v>
      </c>
      <c r="C679">
        <v>51031164</v>
      </c>
      <c r="D679">
        <v>90.072159531436682</v>
      </c>
      <c r="E679" t="s">
        <v>92</v>
      </c>
      <c r="F679">
        <v>121</v>
      </c>
      <c r="G679" s="4">
        <v>46087.591064814813</v>
      </c>
    </row>
    <row r="680" spans="1:7" x14ac:dyDescent="0.3">
      <c r="A680">
        <v>679</v>
      </c>
      <c r="B680" t="s">
        <v>145</v>
      </c>
      <c r="C680">
        <v>51030371</v>
      </c>
      <c r="D680">
        <v>57.468800315700435</v>
      </c>
      <c r="E680" t="s">
        <v>94</v>
      </c>
      <c r="F680">
        <v>727</v>
      </c>
      <c r="G680" s="4">
        <v>46087.591064814813</v>
      </c>
    </row>
    <row r="681" spans="1:7" x14ac:dyDescent="0.3">
      <c r="A681">
        <v>680</v>
      </c>
      <c r="B681" t="s">
        <v>145</v>
      </c>
      <c r="C681">
        <v>51040392</v>
      </c>
      <c r="D681">
        <v>72.026950461964276</v>
      </c>
      <c r="E681" t="s">
        <v>93</v>
      </c>
      <c r="F681">
        <v>519</v>
      </c>
      <c r="G681" s="4">
        <v>46087.591064814813</v>
      </c>
    </row>
    <row r="682" spans="1:7" x14ac:dyDescent="0.3">
      <c r="A682">
        <v>681</v>
      </c>
      <c r="B682" t="s">
        <v>145</v>
      </c>
      <c r="C682">
        <v>51014693</v>
      </c>
      <c r="D682">
        <v>56.347709583278302</v>
      </c>
      <c r="E682" t="s">
        <v>94</v>
      </c>
      <c r="F682">
        <v>755</v>
      </c>
      <c r="G682" s="4">
        <v>46087.591064814813</v>
      </c>
    </row>
    <row r="683" spans="1:7" x14ac:dyDescent="0.3">
      <c r="A683">
        <v>682</v>
      </c>
      <c r="B683" t="s">
        <v>145</v>
      </c>
      <c r="C683">
        <v>51055551</v>
      </c>
      <c r="D683">
        <v>78.996400313983813</v>
      </c>
      <c r="E683" t="s">
        <v>93</v>
      </c>
      <c r="F683">
        <v>429</v>
      </c>
      <c r="G683" s="4">
        <v>46087.591064814813</v>
      </c>
    </row>
    <row r="684" spans="1:7" x14ac:dyDescent="0.3">
      <c r="A684">
        <v>683</v>
      </c>
      <c r="B684" t="s">
        <v>145</v>
      </c>
      <c r="C684">
        <v>51012593</v>
      </c>
      <c r="D684">
        <v>55.986471289277709</v>
      </c>
      <c r="E684" t="s">
        <v>94</v>
      </c>
      <c r="F684">
        <v>766</v>
      </c>
      <c r="G684" s="4">
        <v>46087.591064814813</v>
      </c>
    </row>
    <row r="685" spans="1:7" x14ac:dyDescent="0.3">
      <c r="A685">
        <v>684</v>
      </c>
      <c r="B685" t="s">
        <v>145</v>
      </c>
      <c r="C685">
        <v>51015908</v>
      </c>
      <c r="D685">
        <v>72.443994112320695</v>
      </c>
      <c r="E685" t="s">
        <v>93</v>
      </c>
      <c r="F685">
        <v>510</v>
      </c>
      <c r="G685" s="4">
        <v>46087.591064814813</v>
      </c>
    </row>
    <row r="686" spans="1:7" x14ac:dyDescent="0.3">
      <c r="A686">
        <v>685</v>
      </c>
      <c r="B686" t="s">
        <v>145</v>
      </c>
      <c r="C686">
        <v>51015924</v>
      </c>
      <c r="D686">
        <v>89.011464971507735</v>
      </c>
      <c r="E686" t="s">
        <v>92</v>
      </c>
      <c r="F686">
        <v>152</v>
      </c>
      <c r="G686" s="4">
        <v>46087.591064814813</v>
      </c>
    </row>
    <row r="687" spans="1:7" x14ac:dyDescent="0.3">
      <c r="A687">
        <v>686</v>
      </c>
      <c r="B687" t="s">
        <v>145</v>
      </c>
      <c r="C687">
        <v>51034252</v>
      </c>
      <c r="D687">
        <v>86.294793757521262</v>
      </c>
      <c r="E687" t="s">
        <v>92</v>
      </c>
      <c r="F687">
        <v>222</v>
      </c>
      <c r="G687" s="4">
        <v>46087.591064814813</v>
      </c>
    </row>
    <row r="688" spans="1:7" x14ac:dyDescent="0.3">
      <c r="A688">
        <v>687</v>
      </c>
      <c r="B688" t="s">
        <v>145</v>
      </c>
      <c r="C688">
        <v>51017676</v>
      </c>
      <c r="D688">
        <v>86.38973248454721</v>
      </c>
      <c r="E688" t="s">
        <v>92</v>
      </c>
      <c r="F688">
        <v>219</v>
      </c>
      <c r="G688" s="4">
        <v>46087.591064814813</v>
      </c>
    </row>
    <row r="689" spans="1:7" x14ac:dyDescent="0.3">
      <c r="A689">
        <v>688</v>
      </c>
      <c r="B689" t="s">
        <v>145</v>
      </c>
      <c r="C689">
        <v>51033655</v>
      </c>
      <c r="D689">
        <v>99.209486955046856</v>
      </c>
      <c r="E689" t="s">
        <v>275</v>
      </c>
      <c r="F689">
        <v>19</v>
      </c>
      <c r="G689" s="4">
        <v>46087.591064814813</v>
      </c>
    </row>
    <row r="690" spans="1:7" x14ac:dyDescent="0.3">
      <c r="A690">
        <v>689</v>
      </c>
      <c r="B690" t="s">
        <v>145</v>
      </c>
      <c r="C690">
        <v>51014740</v>
      </c>
      <c r="D690">
        <v>76.069031229145423</v>
      </c>
      <c r="E690" t="s">
        <v>93</v>
      </c>
      <c r="F690">
        <v>472</v>
      </c>
      <c r="G690" s="4">
        <v>46087.591064814813</v>
      </c>
    </row>
    <row r="691" spans="1:7" x14ac:dyDescent="0.3">
      <c r="A691">
        <v>690</v>
      </c>
      <c r="B691" t="s">
        <v>145</v>
      </c>
      <c r="C691">
        <v>51011287</v>
      </c>
      <c r="D691">
        <v>69.404309166616102</v>
      </c>
      <c r="E691" t="s">
        <v>93</v>
      </c>
      <c r="F691">
        <v>555</v>
      </c>
      <c r="G691" s="4">
        <v>46087.591064814813</v>
      </c>
    </row>
    <row r="692" spans="1:7" x14ac:dyDescent="0.3">
      <c r="A692">
        <v>691</v>
      </c>
      <c r="B692" t="s">
        <v>145</v>
      </c>
      <c r="C692">
        <v>51026306</v>
      </c>
      <c r="D692">
        <v>56.450083757622011</v>
      </c>
      <c r="E692" t="s">
        <v>94</v>
      </c>
      <c r="F692">
        <v>753</v>
      </c>
      <c r="G692" s="4">
        <v>46087.591064814813</v>
      </c>
    </row>
    <row r="693" spans="1:7" x14ac:dyDescent="0.3">
      <c r="A693">
        <v>692</v>
      </c>
      <c r="B693" t="s">
        <v>145</v>
      </c>
      <c r="C693">
        <v>51040325</v>
      </c>
      <c r="D693">
        <v>76.461180333428658</v>
      </c>
      <c r="E693" t="s">
        <v>93</v>
      </c>
      <c r="F693">
        <v>461</v>
      </c>
      <c r="G693" s="4">
        <v>46087.591064814813</v>
      </c>
    </row>
    <row r="694" spans="1:7" x14ac:dyDescent="0.3">
      <c r="A694">
        <v>693</v>
      </c>
      <c r="B694" t="s">
        <v>145</v>
      </c>
      <c r="C694">
        <v>51055543</v>
      </c>
      <c r="D694">
        <v>81.142537127891217</v>
      </c>
      <c r="E694" t="s">
        <v>93</v>
      </c>
      <c r="F694">
        <v>375</v>
      </c>
      <c r="G694" s="4">
        <v>46087.591064814813</v>
      </c>
    </row>
    <row r="695" spans="1:7" x14ac:dyDescent="0.3">
      <c r="A695">
        <v>694</v>
      </c>
      <c r="B695" t="s">
        <v>145</v>
      </c>
      <c r="C695">
        <v>51037031</v>
      </c>
      <c r="D695">
        <v>52.738418708462184</v>
      </c>
      <c r="E695" t="s">
        <v>94</v>
      </c>
      <c r="F695">
        <v>802</v>
      </c>
      <c r="G695" s="4">
        <v>46087.591064814813</v>
      </c>
    </row>
    <row r="696" spans="1:7" x14ac:dyDescent="0.3">
      <c r="A696">
        <v>695</v>
      </c>
      <c r="B696" t="s">
        <v>145</v>
      </c>
      <c r="C696">
        <v>51057244</v>
      </c>
      <c r="D696">
        <v>53.371618009396691</v>
      </c>
      <c r="E696" t="s">
        <v>94</v>
      </c>
      <c r="F696">
        <v>796</v>
      </c>
      <c r="G696" s="4">
        <v>46087.591064814813</v>
      </c>
    </row>
    <row r="697" spans="1:7" x14ac:dyDescent="0.3">
      <c r="A697">
        <v>696</v>
      </c>
      <c r="B697" t="s">
        <v>145</v>
      </c>
      <c r="C697">
        <v>51032004</v>
      </c>
      <c r="D697">
        <v>54.3483041394325</v>
      </c>
      <c r="E697" t="s">
        <v>94</v>
      </c>
      <c r="F697">
        <v>788</v>
      </c>
      <c r="G697" s="4">
        <v>46087.591064814813</v>
      </c>
    </row>
    <row r="698" spans="1:7" x14ac:dyDescent="0.3">
      <c r="A698">
        <v>697</v>
      </c>
      <c r="B698" t="s">
        <v>145</v>
      </c>
      <c r="C698">
        <v>51019253</v>
      </c>
      <c r="D698">
        <v>59.816831061231738</v>
      </c>
      <c r="E698" t="s">
        <v>94</v>
      </c>
      <c r="F698">
        <v>672</v>
      </c>
      <c r="G698" s="4">
        <v>46087.591064814813</v>
      </c>
    </row>
    <row r="699" spans="1:7" x14ac:dyDescent="0.3">
      <c r="A699">
        <v>698</v>
      </c>
      <c r="B699" t="s">
        <v>145</v>
      </c>
      <c r="C699">
        <v>51008413</v>
      </c>
      <c r="D699">
        <v>60.586154726687816</v>
      </c>
      <c r="E699" t="s">
        <v>94</v>
      </c>
      <c r="F699">
        <v>656</v>
      </c>
      <c r="G699" s="4">
        <v>46087.591064814813</v>
      </c>
    </row>
    <row r="700" spans="1:7" x14ac:dyDescent="0.3">
      <c r="A700">
        <v>699</v>
      </c>
      <c r="B700" t="s">
        <v>145</v>
      </c>
      <c r="C700">
        <v>51018265</v>
      </c>
      <c r="D700">
        <v>89.903907554493188</v>
      </c>
      <c r="E700" t="s">
        <v>92</v>
      </c>
      <c r="F700">
        <v>126</v>
      </c>
      <c r="G700" s="4">
        <v>46087.591064814813</v>
      </c>
    </row>
    <row r="701" spans="1:7" x14ac:dyDescent="0.3">
      <c r="A701">
        <v>700</v>
      </c>
      <c r="B701" t="s">
        <v>145</v>
      </c>
      <c r="C701">
        <v>51022050</v>
      </c>
      <c r="D701">
        <v>50.86440047267552</v>
      </c>
      <c r="E701" t="s">
        <v>94</v>
      </c>
      <c r="F701">
        <v>815</v>
      </c>
      <c r="G701" s="4">
        <v>46087.591064814813</v>
      </c>
    </row>
    <row r="702" spans="1:7" x14ac:dyDescent="0.3">
      <c r="A702">
        <v>701</v>
      </c>
      <c r="B702" t="s">
        <v>145</v>
      </c>
      <c r="C702">
        <v>51016076</v>
      </c>
      <c r="D702">
        <v>58.119130999784154</v>
      </c>
      <c r="E702" t="s">
        <v>94</v>
      </c>
      <c r="F702">
        <v>716</v>
      </c>
      <c r="G702" s="4">
        <v>46087.591064814813</v>
      </c>
    </row>
    <row r="703" spans="1:7" x14ac:dyDescent="0.3">
      <c r="A703">
        <v>702</v>
      </c>
      <c r="B703" t="s">
        <v>145</v>
      </c>
      <c r="C703">
        <v>51014634</v>
      </c>
      <c r="D703">
        <v>81.18145495307617</v>
      </c>
      <c r="E703" t="s">
        <v>93</v>
      </c>
      <c r="F703">
        <v>373</v>
      </c>
      <c r="G703" s="4">
        <v>46087.591064814813</v>
      </c>
    </row>
    <row r="704" spans="1:7" x14ac:dyDescent="0.3">
      <c r="A704">
        <v>703</v>
      </c>
      <c r="B704" t="s">
        <v>145</v>
      </c>
      <c r="C704">
        <v>51004655</v>
      </c>
      <c r="D704">
        <v>79.640782358397288</v>
      </c>
      <c r="E704" t="s">
        <v>93</v>
      </c>
      <c r="F704">
        <v>412</v>
      </c>
      <c r="G704" s="4">
        <v>46087.591064814813</v>
      </c>
    </row>
    <row r="705" spans="1:7" x14ac:dyDescent="0.3">
      <c r="A705">
        <v>704</v>
      </c>
      <c r="B705" t="s">
        <v>145</v>
      </c>
      <c r="C705">
        <v>51030974</v>
      </c>
      <c r="D705">
        <v>29.876999999999999</v>
      </c>
      <c r="E705" t="s">
        <v>94</v>
      </c>
      <c r="F705">
        <v>944</v>
      </c>
      <c r="G705" s="4">
        <v>46087.591064814813</v>
      </c>
    </row>
    <row r="706" spans="1:7" x14ac:dyDescent="0.3">
      <c r="A706">
        <v>705</v>
      </c>
      <c r="B706" t="s">
        <v>145</v>
      </c>
      <c r="C706">
        <v>51056787</v>
      </c>
      <c r="D706">
        <v>77.545239282024625</v>
      </c>
      <c r="E706" t="s">
        <v>93</v>
      </c>
      <c r="F706">
        <v>446</v>
      </c>
      <c r="G706" s="4">
        <v>46087.591064814813</v>
      </c>
    </row>
    <row r="707" spans="1:7" x14ac:dyDescent="0.3">
      <c r="A707">
        <v>706</v>
      </c>
      <c r="B707" t="s">
        <v>145</v>
      </c>
      <c r="C707">
        <v>51032802</v>
      </c>
      <c r="D707">
        <v>79.536690074891851</v>
      </c>
      <c r="E707" t="s">
        <v>93</v>
      </c>
      <c r="F707">
        <v>415</v>
      </c>
      <c r="G707" s="4">
        <v>46087.591064814813</v>
      </c>
    </row>
    <row r="708" spans="1:7" x14ac:dyDescent="0.3">
      <c r="A708">
        <v>707</v>
      </c>
      <c r="B708" t="s">
        <v>145</v>
      </c>
      <c r="C708">
        <v>51043677</v>
      </c>
      <c r="D708">
        <v>80.241474639739181</v>
      </c>
      <c r="E708" t="s">
        <v>93</v>
      </c>
      <c r="F708">
        <v>398</v>
      </c>
      <c r="G708" s="4">
        <v>46087.591064814813</v>
      </c>
    </row>
    <row r="709" spans="1:7" x14ac:dyDescent="0.3">
      <c r="A709">
        <v>708</v>
      </c>
      <c r="B709" t="s">
        <v>145</v>
      </c>
      <c r="C709">
        <v>51022467</v>
      </c>
      <c r="D709">
        <v>56.01950318608538</v>
      </c>
      <c r="E709" t="s">
        <v>94</v>
      </c>
      <c r="F709">
        <v>765</v>
      </c>
      <c r="G709" s="4">
        <v>46087.591064814813</v>
      </c>
    </row>
    <row r="710" spans="1:7" x14ac:dyDescent="0.3">
      <c r="A710">
        <v>709</v>
      </c>
      <c r="B710" t="s">
        <v>145</v>
      </c>
      <c r="C710">
        <v>51055225</v>
      </c>
      <c r="D710">
        <v>86.810037998693119</v>
      </c>
      <c r="E710" t="s">
        <v>92</v>
      </c>
      <c r="F710">
        <v>207</v>
      </c>
      <c r="G710" s="4">
        <v>46087.591064814813</v>
      </c>
    </row>
    <row r="711" spans="1:7" x14ac:dyDescent="0.3">
      <c r="A711">
        <v>710</v>
      </c>
      <c r="B711" t="s">
        <v>145</v>
      </c>
      <c r="C711">
        <v>51041666</v>
      </c>
      <c r="D711">
        <v>21.960483536162336</v>
      </c>
      <c r="E711" t="s">
        <v>95</v>
      </c>
      <c r="F711">
        <v>1001</v>
      </c>
      <c r="G711" s="4">
        <v>46087.591064814813</v>
      </c>
    </row>
    <row r="712" spans="1:7" x14ac:dyDescent="0.3">
      <c r="A712">
        <v>711</v>
      </c>
      <c r="B712" t="s">
        <v>145</v>
      </c>
      <c r="C712">
        <v>51024753</v>
      </c>
      <c r="D712">
        <v>60.610299676943207</v>
      </c>
      <c r="E712" t="s">
        <v>94</v>
      </c>
      <c r="F712">
        <v>655</v>
      </c>
      <c r="G712" s="4">
        <v>46087.591064814813</v>
      </c>
    </row>
    <row r="713" spans="1:7" x14ac:dyDescent="0.3">
      <c r="A713">
        <v>712</v>
      </c>
      <c r="B713" t="s">
        <v>145</v>
      </c>
      <c r="C713">
        <v>51023901</v>
      </c>
      <c r="D713">
        <v>71.612082276849293</v>
      </c>
      <c r="E713" t="s">
        <v>93</v>
      </c>
      <c r="F713">
        <v>526</v>
      </c>
      <c r="G713" s="4">
        <v>46087.591064814813</v>
      </c>
    </row>
    <row r="714" spans="1:7" x14ac:dyDescent="0.3">
      <c r="A714">
        <v>713</v>
      </c>
      <c r="B714" t="s">
        <v>145</v>
      </c>
      <c r="C714">
        <v>51038401</v>
      </c>
      <c r="D714">
        <v>84.775039595517399</v>
      </c>
      <c r="E714" t="s">
        <v>93</v>
      </c>
      <c r="F714">
        <v>262</v>
      </c>
      <c r="G714" s="4">
        <v>46087.591064814813</v>
      </c>
    </row>
    <row r="715" spans="1:7" x14ac:dyDescent="0.3">
      <c r="A715">
        <v>714</v>
      </c>
      <c r="B715" t="s">
        <v>145</v>
      </c>
      <c r="C715">
        <v>51023226</v>
      </c>
      <c r="D715">
        <v>81.745502311213841</v>
      </c>
      <c r="E715" t="s">
        <v>93</v>
      </c>
      <c r="F715">
        <v>358</v>
      </c>
      <c r="G715" s="4">
        <v>46087.591064814813</v>
      </c>
    </row>
    <row r="716" spans="1:7" x14ac:dyDescent="0.3">
      <c r="A716">
        <v>715</v>
      </c>
      <c r="B716" t="s">
        <v>145</v>
      </c>
      <c r="C716">
        <v>51019717</v>
      </c>
      <c r="D716">
        <v>55.67421770973386</v>
      </c>
      <c r="E716" t="s">
        <v>94</v>
      </c>
      <c r="F716">
        <v>772</v>
      </c>
      <c r="G716" s="4">
        <v>46087.591064814813</v>
      </c>
    </row>
    <row r="717" spans="1:7" x14ac:dyDescent="0.3">
      <c r="A717">
        <v>716</v>
      </c>
      <c r="B717" t="s">
        <v>145</v>
      </c>
      <c r="C717">
        <v>51007115</v>
      </c>
      <c r="D717">
        <v>79.836679309749854</v>
      </c>
      <c r="E717" t="s">
        <v>93</v>
      </c>
      <c r="F717">
        <v>407</v>
      </c>
      <c r="G717" s="4">
        <v>46087.591064814813</v>
      </c>
    </row>
    <row r="718" spans="1:7" x14ac:dyDescent="0.3">
      <c r="A718">
        <v>717</v>
      </c>
      <c r="B718" t="s">
        <v>145</v>
      </c>
      <c r="C718">
        <v>51016637</v>
      </c>
      <c r="D718">
        <v>84.472651555006323</v>
      </c>
      <c r="E718" t="s">
        <v>93</v>
      </c>
      <c r="F718">
        <v>274</v>
      </c>
      <c r="G718" s="4">
        <v>46087.591064814813</v>
      </c>
    </row>
    <row r="719" spans="1:7" x14ac:dyDescent="0.3">
      <c r="A719">
        <v>718</v>
      </c>
      <c r="B719" t="s">
        <v>145</v>
      </c>
      <c r="C719">
        <v>51023439</v>
      </c>
      <c r="D719">
        <v>90.475844822797569</v>
      </c>
      <c r="E719" t="s">
        <v>92</v>
      </c>
      <c r="F719">
        <v>113</v>
      </c>
      <c r="G719" s="4">
        <v>46087.591064814813</v>
      </c>
    </row>
    <row r="720" spans="1:7" x14ac:dyDescent="0.3">
      <c r="A720">
        <v>719</v>
      </c>
      <c r="B720" t="s">
        <v>145</v>
      </c>
      <c r="C720">
        <v>51031334</v>
      </c>
      <c r="D720">
        <v>57.800879711341388</v>
      </c>
      <c r="E720" t="s">
        <v>94</v>
      </c>
      <c r="F720">
        <v>723</v>
      </c>
      <c r="G720" s="4">
        <v>46087.591064814813</v>
      </c>
    </row>
    <row r="721" spans="1:7" x14ac:dyDescent="0.3">
      <c r="A721">
        <v>720</v>
      </c>
      <c r="B721" t="s">
        <v>145</v>
      </c>
      <c r="C721">
        <v>51005368</v>
      </c>
      <c r="D721">
        <v>76.884694456178977</v>
      </c>
      <c r="E721" t="s">
        <v>93</v>
      </c>
      <c r="F721">
        <v>454</v>
      </c>
      <c r="G721" s="4">
        <v>46087.591064814813</v>
      </c>
    </row>
    <row r="722" spans="1:7" x14ac:dyDescent="0.3">
      <c r="A722">
        <v>721</v>
      </c>
      <c r="B722" t="s">
        <v>145</v>
      </c>
      <c r="C722">
        <v>51023803</v>
      </c>
      <c r="D722">
        <v>100</v>
      </c>
      <c r="E722" t="s">
        <v>275</v>
      </c>
      <c r="F722">
        <v>1</v>
      </c>
      <c r="G722" s="4">
        <v>46087.591064814813</v>
      </c>
    </row>
    <row r="723" spans="1:7" x14ac:dyDescent="0.3">
      <c r="A723">
        <v>722</v>
      </c>
      <c r="B723" t="s">
        <v>145</v>
      </c>
      <c r="C723">
        <v>51016777</v>
      </c>
      <c r="D723">
        <v>82.064761606700344</v>
      </c>
      <c r="E723" t="s">
        <v>93</v>
      </c>
      <c r="F723">
        <v>345</v>
      </c>
      <c r="G723" s="4">
        <v>46087.591064814813</v>
      </c>
    </row>
    <row r="724" spans="1:7" x14ac:dyDescent="0.3">
      <c r="A724">
        <v>723</v>
      </c>
      <c r="B724" t="s">
        <v>145</v>
      </c>
      <c r="C724">
        <v>51056094</v>
      </c>
      <c r="D724">
        <v>56.284012312992779</v>
      </c>
      <c r="E724" t="s">
        <v>94</v>
      </c>
      <c r="F724">
        <v>758</v>
      </c>
      <c r="G724" s="4">
        <v>46087.591064814813</v>
      </c>
    </row>
    <row r="725" spans="1:7" x14ac:dyDescent="0.3">
      <c r="A725">
        <v>724</v>
      </c>
      <c r="B725" t="s">
        <v>145</v>
      </c>
      <c r="C725">
        <v>51018044</v>
      </c>
      <c r="D725">
        <v>21.9786</v>
      </c>
      <c r="E725" t="s">
        <v>95</v>
      </c>
      <c r="F725">
        <v>1000</v>
      </c>
      <c r="G725" s="4">
        <v>46087.591064814813</v>
      </c>
    </row>
    <row r="726" spans="1:7" x14ac:dyDescent="0.3">
      <c r="A726">
        <v>725</v>
      </c>
      <c r="B726" t="s">
        <v>145</v>
      </c>
      <c r="C726">
        <v>51031318</v>
      </c>
      <c r="D726">
        <v>85.402554645869031</v>
      </c>
      <c r="E726" t="s">
        <v>93</v>
      </c>
      <c r="F726">
        <v>246</v>
      </c>
      <c r="G726" s="4">
        <v>46087.591064814813</v>
      </c>
    </row>
    <row r="727" spans="1:7" x14ac:dyDescent="0.3">
      <c r="A727">
        <v>726</v>
      </c>
      <c r="B727" t="s">
        <v>145</v>
      </c>
      <c r="C727">
        <v>51031750</v>
      </c>
      <c r="D727">
        <v>90.649867697224181</v>
      </c>
      <c r="E727" t="s">
        <v>92</v>
      </c>
      <c r="F727">
        <v>112</v>
      </c>
      <c r="G727" s="4">
        <v>46087.591064814813</v>
      </c>
    </row>
    <row r="728" spans="1:7" x14ac:dyDescent="0.3">
      <c r="A728">
        <v>727</v>
      </c>
      <c r="B728" t="s">
        <v>145</v>
      </c>
      <c r="C728">
        <v>51032063</v>
      </c>
      <c r="D728">
        <v>82.943669119214178</v>
      </c>
      <c r="E728" t="s">
        <v>93</v>
      </c>
      <c r="F728">
        <v>323</v>
      </c>
      <c r="G728" s="4">
        <v>46087.591064814813</v>
      </c>
    </row>
    <row r="729" spans="1:7" x14ac:dyDescent="0.3">
      <c r="A729">
        <v>728</v>
      </c>
      <c r="B729" t="s">
        <v>145</v>
      </c>
      <c r="C729">
        <v>51029232</v>
      </c>
      <c r="D729">
        <v>11.732000000000001</v>
      </c>
      <c r="E729" t="s">
        <v>95</v>
      </c>
      <c r="F729">
        <v>1145</v>
      </c>
      <c r="G729" s="4">
        <v>46087.591064814813</v>
      </c>
    </row>
    <row r="730" spans="1:7" x14ac:dyDescent="0.3">
      <c r="A730">
        <v>729</v>
      </c>
      <c r="B730" t="s">
        <v>145</v>
      </c>
      <c r="C730">
        <v>51035879</v>
      </c>
      <c r="D730">
        <v>74.838486425889855</v>
      </c>
      <c r="E730" t="s">
        <v>93</v>
      </c>
      <c r="F730">
        <v>482</v>
      </c>
      <c r="G730" s="4">
        <v>46087.591064814813</v>
      </c>
    </row>
    <row r="731" spans="1:7" x14ac:dyDescent="0.3">
      <c r="A731">
        <v>730</v>
      </c>
      <c r="B731" t="s">
        <v>145</v>
      </c>
      <c r="C731">
        <v>51001044</v>
      </c>
      <c r="D731">
        <v>85.424720956911514</v>
      </c>
      <c r="E731" t="s">
        <v>93</v>
      </c>
      <c r="F731">
        <v>245</v>
      </c>
      <c r="G731" s="4">
        <v>46087.591064814813</v>
      </c>
    </row>
    <row r="732" spans="1:7" x14ac:dyDescent="0.3">
      <c r="A732">
        <v>731</v>
      </c>
      <c r="B732" t="s">
        <v>145</v>
      </c>
      <c r="C732">
        <v>51028929</v>
      </c>
      <c r="D732">
        <v>72.737430021991543</v>
      </c>
      <c r="E732" t="s">
        <v>93</v>
      </c>
      <c r="F732">
        <v>504</v>
      </c>
      <c r="G732" s="4">
        <v>46087.591064814813</v>
      </c>
    </row>
    <row r="733" spans="1:7" x14ac:dyDescent="0.3">
      <c r="A733">
        <v>732</v>
      </c>
      <c r="B733" t="s">
        <v>145</v>
      </c>
      <c r="C733">
        <v>51054873</v>
      </c>
      <c r="D733">
        <v>52.489200004344944</v>
      </c>
      <c r="E733" t="s">
        <v>94</v>
      </c>
      <c r="F733">
        <v>804</v>
      </c>
      <c r="G733" s="4">
        <v>46087.591064814813</v>
      </c>
    </row>
    <row r="734" spans="1:7" x14ac:dyDescent="0.3">
      <c r="A734">
        <v>733</v>
      </c>
      <c r="B734" t="s">
        <v>145</v>
      </c>
      <c r="C734">
        <v>51013913</v>
      </c>
      <c r="D734">
        <v>68.557093862274428</v>
      </c>
      <c r="E734" t="s">
        <v>93</v>
      </c>
      <c r="F734">
        <v>564</v>
      </c>
      <c r="G734" s="4">
        <v>46087.591064814813</v>
      </c>
    </row>
    <row r="735" spans="1:7" x14ac:dyDescent="0.3">
      <c r="A735">
        <v>734</v>
      </c>
      <c r="B735" t="s">
        <v>145</v>
      </c>
      <c r="C735">
        <v>51033302</v>
      </c>
      <c r="D735">
        <v>30.215592924933794</v>
      </c>
      <c r="E735" t="s">
        <v>94</v>
      </c>
      <c r="F735">
        <v>940</v>
      </c>
      <c r="G735" s="4">
        <v>46087.591064814813</v>
      </c>
    </row>
    <row r="736" spans="1:7" x14ac:dyDescent="0.3">
      <c r="A736">
        <v>735</v>
      </c>
      <c r="B736" t="s">
        <v>145</v>
      </c>
      <c r="C736">
        <v>51054806</v>
      </c>
      <c r="D736">
        <v>86.888759908215818</v>
      </c>
      <c r="E736" t="s">
        <v>92</v>
      </c>
      <c r="F736">
        <v>204</v>
      </c>
      <c r="G736" s="4">
        <v>46087.591064814813</v>
      </c>
    </row>
    <row r="737" spans="1:7" x14ac:dyDescent="0.3">
      <c r="A737">
        <v>736</v>
      </c>
      <c r="B737" t="s">
        <v>145</v>
      </c>
      <c r="C737">
        <v>51030567</v>
      </c>
      <c r="D737">
        <v>72.553000658831394</v>
      </c>
      <c r="E737" t="s">
        <v>93</v>
      </c>
      <c r="F737">
        <v>507</v>
      </c>
      <c r="G737" s="4">
        <v>46087.591064814813</v>
      </c>
    </row>
    <row r="738" spans="1:7" x14ac:dyDescent="0.3">
      <c r="A738">
        <v>737</v>
      </c>
      <c r="B738" t="s">
        <v>145</v>
      </c>
      <c r="C738">
        <v>51014375</v>
      </c>
      <c r="D738">
        <v>64.489735776956763</v>
      </c>
      <c r="E738" t="s">
        <v>94</v>
      </c>
      <c r="F738">
        <v>608</v>
      </c>
      <c r="G738" s="4">
        <v>46087.591064814813</v>
      </c>
    </row>
    <row r="739" spans="1:7" x14ac:dyDescent="0.3">
      <c r="A739">
        <v>738</v>
      </c>
      <c r="B739" t="s">
        <v>145</v>
      </c>
      <c r="C739">
        <v>51056337</v>
      </c>
      <c r="D739">
        <v>83.308207546191312</v>
      </c>
      <c r="E739" t="s">
        <v>93</v>
      </c>
      <c r="F739">
        <v>305</v>
      </c>
      <c r="G739" s="4">
        <v>46087.591064814813</v>
      </c>
    </row>
    <row r="740" spans="1:7" x14ac:dyDescent="0.3">
      <c r="A740">
        <v>739</v>
      </c>
      <c r="B740" t="s">
        <v>145</v>
      </c>
      <c r="C740">
        <v>51054938</v>
      </c>
      <c r="D740">
        <v>78.423787986782983</v>
      </c>
      <c r="E740" t="s">
        <v>93</v>
      </c>
      <c r="F740">
        <v>440</v>
      </c>
      <c r="G740" s="4">
        <v>46087.591064814813</v>
      </c>
    </row>
    <row r="741" spans="1:7" x14ac:dyDescent="0.3">
      <c r="A741">
        <v>740</v>
      </c>
      <c r="B741" t="s">
        <v>145</v>
      </c>
      <c r="C741">
        <v>51024834</v>
      </c>
      <c r="D741">
        <v>45.968217613229413</v>
      </c>
      <c r="E741" t="s">
        <v>94</v>
      </c>
      <c r="F741">
        <v>859</v>
      </c>
      <c r="G741" s="4">
        <v>46087.591064814813</v>
      </c>
    </row>
    <row r="742" spans="1:7" x14ac:dyDescent="0.3">
      <c r="A742">
        <v>741</v>
      </c>
      <c r="B742" t="s">
        <v>145</v>
      </c>
      <c r="C742">
        <v>51016831</v>
      </c>
      <c r="D742">
        <v>81.549806152295815</v>
      </c>
      <c r="E742" t="s">
        <v>93</v>
      </c>
      <c r="F742">
        <v>363</v>
      </c>
      <c r="G742" s="4">
        <v>46087.591064814813</v>
      </c>
    </row>
    <row r="743" spans="1:7" x14ac:dyDescent="0.3">
      <c r="A743">
        <v>742</v>
      </c>
      <c r="B743" t="s">
        <v>145</v>
      </c>
      <c r="C743">
        <v>51023927</v>
      </c>
      <c r="D743">
        <v>91.211779048124427</v>
      </c>
      <c r="E743" t="s">
        <v>92</v>
      </c>
      <c r="F743">
        <v>102</v>
      </c>
      <c r="G743" s="4">
        <v>46087.591064814813</v>
      </c>
    </row>
    <row r="744" spans="1:7" x14ac:dyDescent="0.3">
      <c r="A744">
        <v>743</v>
      </c>
      <c r="B744" t="s">
        <v>145</v>
      </c>
      <c r="C744">
        <v>51020111</v>
      </c>
      <c r="D744">
        <v>56.953045221328559</v>
      </c>
      <c r="E744" t="s">
        <v>94</v>
      </c>
      <c r="F744">
        <v>739</v>
      </c>
      <c r="G744" s="4">
        <v>46087.591064814813</v>
      </c>
    </row>
    <row r="745" spans="1:7" x14ac:dyDescent="0.3">
      <c r="A745">
        <v>744</v>
      </c>
      <c r="B745" t="s">
        <v>145</v>
      </c>
      <c r="C745">
        <v>51055250</v>
      </c>
      <c r="D745">
        <v>57.215431578006395</v>
      </c>
      <c r="E745" t="s">
        <v>94</v>
      </c>
      <c r="F745">
        <v>735</v>
      </c>
      <c r="G745" s="4">
        <v>46087.591064814813</v>
      </c>
    </row>
    <row r="746" spans="1:7" x14ac:dyDescent="0.3">
      <c r="A746">
        <v>745</v>
      </c>
      <c r="B746" t="s">
        <v>145</v>
      </c>
      <c r="C746">
        <v>51018036</v>
      </c>
      <c r="D746">
        <v>58.393020297928636</v>
      </c>
      <c r="E746" t="s">
        <v>94</v>
      </c>
      <c r="F746">
        <v>708</v>
      </c>
      <c r="G746" s="4">
        <v>46087.591064814813</v>
      </c>
    </row>
    <row r="747" spans="1:7" x14ac:dyDescent="0.3">
      <c r="A747">
        <v>746</v>
      </c>
      <c r="B747" t="s">
        <v>145</v>
      </c>
      <c r="C747">
        <v>51009797</v>
      </c>
      <c r="D747">
        <v>84.737984141508605</v>
      </c>
      <c r="E747" t="s">
        <v>93</v>
      </c>
      <c r="F747">
        <v>263</v>
      </c>
      <c r="G747" s="4">
        <v>46087.591064814813</v>
      </c>
    </row>
    <row r="748" spans="1:7" x14ac:dyDescent="0.3">
      <c r="A748">
        <v>747</v>
      </c>
      <c r="B748" t="s">
        <v>145</v>
      </c>
      <c r="C748">
        <v>51041917</v>
      </c>
      <c r="D748">
        <v>56.515759739590344</v>
      </c>
      <c r="E748" t="s">
        <v>94</v>
      </c>
      <c r="F748">
        <v>751</v>
      </c>
      <c r="G748" s="4">
        <v>46087.591064814813</v>
      </c>
    </row>
    <row r="749" spans="1:7" x14ac:dyDescent="0.3">
      <c r="A749">
        <v>748</v>
      </c>
      <c r="B749" t="s">
        <v>145</v>
      </c>
      <c r="C749">
        <v>51017846</v>
      </c>
      <c r="D749">
        <v>59.385551099094009</v>
      </c>
      <c r="E749" t="s">
        <v>94</v>
      </c>
      <c r="F749">
        <v>681</v>
      </c>
      <c r="G749" s="4">
        <v>46087.591064814813</v>
      </c>
    </row>
    <row r="750" spans="1:7" x14ac:dyDescent="0.3">
      <c r="A750">
        <v>749</v>
      </c>
      <c r="B750" t="s">
        <v>145</v>
      </c>
      <c r="C750">
        <v>51015851</v>
      </c>
      <c r="D750">
        <v>87.678487851802075</v>
      </c>
      <c r="E750" t="s">
        <v>92</v>
      </c>
      <c r="F750">
        <v>183</v>
      </c>
      <c r="G750" s="4">
        <v>46087.591064814813</v>
      </c>
    </row>
    <row r="751" spans="1:7" x14ac:dyDescent="0.3">
      <c r="A751">
        <v>750</v>
      </c>
      <c r="B751" t="s">
        <v>145</v>
      </c>
      <c r="C751">
        <v>51036603</v>
      </c>
      <c r="D751">
        <v>25.816958376285321</v>
      </c>
      <c r="E751" t="s">
        <v>95</v>
      </c>
      <c r="F751">
        <v>975</v>
      </c>
      <c r="G751" s="4">
        <v>46087.591064814813</v>
      </c>
    </row>
    <row r="752" spans="1:7" x14ac:dyDescent="0.3">
      <c r="A752">
        <v>751</v>
      </c>
      <c r="B752" t="s">
        <v>145</v>
      </c>
      <c r="C752">
        <v>51020910</v>
      </c>
      <c r="D752">
        <v>83.326879841996174</v>
      </c>
      <c r="E752" t="s">
        <v>93</v>
      </c>
      <c r="F752">
        <v>304</v>
      </c>
      <c r="G752" s="4">
        <v>46087.591064814813</v>
      </c>
    </row>
    <row r="753" spans="1:7" x14ac:dyDescent="0.3">
      <c r="A753">
        <v>752</v>
      </c>
      <c r="B753" t="s">
        <v>145</v>
      </c>
      <c r="C753">
        <v>51031326</v>
      </c>
      <c r="D753">
        <v>50.136369096103529</v>
      </c>
      <c r="E753" t="s">
        <v>94</v>
      </c>
      <c r="F753">
        <v>825</v>
      </c>
      <c r="G753" s="4">
        <v>46087.591064814813</v>
      </c>
    </row>
    <row r="754" spans="1:7" x14ac:dyDescent="0.3">
      <c r="A754">
        <v>753</v>
      </c>
      <c r="B754" t="s">
        <v>145</v>
      </c>
      <c r="C754">
        <v>51033604</v>
      </c>
      <c r="D754">
        <v>95.065267200815882</v>
      </c>
      <c r="E754" t="s">
        <v>275</v>
      </c>
      <c r="F754">
        <v>51</v>
      </c>
      <c r="G754" s="4">
        <v>46087.591064814813</v>
      </c>
    </row>
    <row r="755" spans="1:7" x14ac:dyDescent="0.3">
      <c r="A755">
        <v>754</v>
      </c>
      <c r="B755" t="s">
        <v>145</v>
      </c>
      <c r="C755">
        <v>51026217</v>
      </c>
      <c r="D755">
        <v>42.270062355497693</v>
      </c>
      <c r="E755" t="s">
        <v>94</v>
      </c>
      <c r="F755">
        <v>877</v>
      </c>
      <c r="G755" s="4">
        <v>46087.591064814813</v>
      </c>
    </row>
    <row r="756" spans="1:7" x14ac:dyDescent="0.3">
      <c r="A756">
        <v>755</v>
      </c>
      <c r="B756" t="s">
        <v>145</v>
      </c>
      <c r="C756">
        <v>51039165</v>
      </c>
      <c r="D756">
        <v>67.528604749309878</v>
      </c>
      <c r="E756" t="s">
        <v>93</v>
      </c>
      <c r="F756">
        <v>580</v>
      </c>
      <c r="G756" s="4">
        <v>46087.591064814813</v>
      </c>
    </row>
    <row r="757" spans="1:7" x14ac:dyDescent="0.3">
      <c r="A757">
        <v>756</v>
      </c>
      <c r="B757" t="s">
        <v>145</v>
      </c>
      <c r="C757">
        <v>51006844</v>
      </c>
      <c r="D757">
        <v>49.693993719265187</v>
      </c>
      <c r="E757" t="s">
        <v>94</v>
      </c>
      <c r="F757">
        <v>827</v>
      </c>
      <c r="G757" s="4">
        <v>46087.591064814813</v>
      </c>
    </row>
    <row r="758" spans="1:7" x14ac:dyDescent="0.3">
      <c r="A758">
        <v>757</v>
      </c>
      <c r="B758" t="s">
        <v>145</v>
      </c>
      <c r="C758">
        <v>51020995</v>
      </c>
      <c r="D758">
        <v>51.612008280618355</v>
      </c>
      <c r="E758" t="s">
        <v>94</v>
      </c>
      <c r="F758">
        <v>813</v>
      </c>
      <c r="G758" s="4">
        <v>46087.591064814813</v>
      </c>
    </row>
    <row r="759" spans="1:7" x14ac:dyDescent="0.3">
      <c r="A759">
        <v>758</v>
      </c>
      <c r="B759" t="s">
        <v>145</v>
      </c>
      <c r="C759">
        <v>51023251</v>
      </c>
      <c r="D759">
        <v>82.123553441026118</v>
      </c>
      <c r="E759" t="s">
        <v>93</v>
      </c>
      <c r="F759">
        <v>343</v>
      </c>
      <c r="G759" s="4">
        <v>46087.591064814813</v>
      </c>
    </row>
    <row r="760" spans="1:7" x14ac:dyDescent="0.3">
      <c r="A760">
        <v>759</v>
      </c>
      <c r="B760" t="s">
        <v>145</v>
      </c>
      <c r="C760">
        <v>51010205</v>
      </c>
      <c r="D760">
        <v>19.092738301804161</v>
      </c>
      <c r="E760" t="s">
        <v>95</v>
      </c>
      <c r="F760">
        <v>1037</v>
      </c>
      <c r="G760" s="4">
        <v>46087.591064814813</v>
      </c>
    </row>
    <row r="761" spans="1:7" x14ac:dyDescent="0.3">
      <c r="A761">
        <v>760</v>
      </c>
      <c r="B761" t="s">
        <v>145</v>
      </c>
      <c r="C761">
        <v>51056922</v>
      </c>
      <c r="D761">
        <v>80.096307850981475</v>
      </c>
      <c r="E761" t="s">
        <v>93</v>
      </c>
      <c r="F761">
        <v>401</v>
      </c>
      <c r="G761" s="4">
        <v>46087.591064814813</v>
      </c>
    </row>
    <row r="762" spans="1:7" x14ac:dyDescent="0.3">
      <c r="A762">
        <v>761</v>
      </c>
      <c r="B762" t="s">
        <v>145</v>
      </c>
      <c r="C762">
        <v>51056299</v>
      </c>
      <c r="D762">
        <v>34.317800000000005</v>
      </c>
      <c r="E762" t="s">
        <v>94</v>
      </c>
      <c r="F762">
        <v>910</v>
      </c>
      <c r="G762" s="4">
        <v>46087.591064814813</v>
      </c>
    </row>
    <row r="763" spans="1:7" x14ac:dyDescent="0.3">
      <c r="A763">
        <v>762</v>
      </c>
      <c r="B763" t="s">
        <v>145</v>
      </c>
      <c r="C763">
        <v>51010175</v>
      </c>
      <c r="D763">
        <v>67.851956653631603</v>
      </c>
      <c r="E763" t="s">
        <v>93</v>
      </c>
      <c r="F763">
        <v>575</v>
      </c>
      <c r="G763" s="4">
        <v>46087.591064814813</v>
      </c>
    </row>
    <row r="764" spans="1:7" x14ac:dyDescent="0.3">
      <c r="A764">
        <v>763</v>
      </c>
      <c r="B764" t="s">
        <v>145</v>
      </c>
      <c r="C764">
        <v>51015355</v>
      </c>
      <c r="D764">
        <v>60.837153476641589</v>
      </c>
      <c r="E764" t="s">
        <v>94</v>
      </c>
      <c r="F764">
        <v>651</v>
      </c>
      <c r="G764" s="4">
        <v>46087.591064814813</v>
      </c>
    </row>
    <row r="765" spans="1:7" x14ac:dyDescent="0.3">
      <c r="A765">
        <v>764</v>
      </c>
      <c r="B765" t="s">
        <v>145</v>
      </c>
      <c r="C765">
        <v>51010191</v>
      </c>
      <c r="D765">
        <v>34.097999999999999</v>
      </c>
      <c r="E765" t="s">
        <v>94</v>
      </c>
      <c r="F765">
        <v>913</v>
      </c>
      <c r="G765" s="4">
        <v>46087.591064814813</v>
      </c>
    </row>
    <row r="766" spans="1:7" x14ac:dyDescent="0.3">
      <c r="A766">
        <v>765</v>
      </c>
      <c r="B766" t="s">
        <v>145</v>
      </c>
      <c r="C766">
        <v>51013051</v>
      </c>
      <c r="D766">
        <v>20.971979766200352</v>
      </c>
      <c r="E766" t="s">
        <v>95</v>
      </c>
      <c r="F766">
        <v>1012</v>
      </c>
      <c r="G766" s="4">
        <v>46087.591064814813</v>
      </c>
    </row>
    <row r="767" spans="1:7" x14ac:dyDescent="0.3">
      <c r="A767">
        <v>766</v>
      </c>
      <c r="B767" t="s">
        <v>145</v>
      </c>
      <c r="C767">
        <v>51032632</v>
      </c>
      <c r="D767">
        <v>49.780166191585259</v>
      </c>
      <c r="E767" t="s">
        <v>94</v>
      </c>
      <c r="F767">
        <v>826</v>
      </c>
      <c r="G767" s="4">
        <v>46087.591064814813</v>
      </c>
    </row>
    <row r="768" spans="1:7" x14ac:dyDescent="0.3">
      <c r="A768">
        <v>767</v>
      </c>
      <c r="B768" t="s">
        <v>145</v>
      </c>
      <c r="C768">
        <v>51026322</v>
      </c>
      <c r="D768">
        <v>26.9</v>
      </c>
      <c r="E768" t="s">
        <v>95</v>
      </c>
      <c r="F768">
        <v>969</v>
      </c>
      <c r="G768" s="4">
        <v>46087.591064814813</v>
      </c>
    </row>
    <row r="769" spans="1:7" x14ac:dyDescent="0.3">
      <c r="A769">
        <v>768</v>
      </c>
      <c r="B769" t="s">
        <v>145</v>
      </c>
      <c r="C769">
        <v>51019555</v>
      </c>
      <c r="D769">
        <v>53.363856893785702</v>
      </c>
      <c r="E769" t="s">
        <v>94</v>
      </c>
      <c r="F769">
        <v>797</v>
      </c>
      <c r="G769" s="4">
        <v>46087.591064814813</v>
      </c>
    </row>
    <row r="770" spans="1:7" x14ac:dyDescent="0.3">
      <c r="A770">
        <v>769</v>
      </c>
      <c r="B770" t="s">
        <v>145</v>
      </c>
      <c r="C770">
        <v>51009991</v>
      </c>
      <c r="D770">
        <v>94.709960060179668</v>
      </c>
      <c r="E770" t="s">
        <v>275</v>
      </c>
      <c r="F770">
        <v>57</v>
      </c>
      <c r="G770" s="4">
        <v>46087.591064814813</v>
      </c>
    </row>
    <row r="771" spans="1:7" x14ac:dyDescent="0.3">
      <c r="A771">
        <v>770</v>
      </c>
      <c r="B771" t="s">
        <v>145</v>
      </c>
      <c r="C771">
        <v>51025822</v>
      </c>
      <c r="D771">
        <v>47.108704814941582</v>
      </c>
      <c r="E771" t="s">
        <v>94</v>
      </c>
      <c r="F771">
        <v>847</v>
      </c>
      <c r="G771" s="4">
        <v>46087.591064814813</v>
      </c>
    </row>
    <row r="772" spans="1:7" x14ac:dyDescent="0.3">
      <c r="A772">
        <v>771</v>
      </c>
      <c r="B772" t="s">
        <v>145</v>
      </c>
      <c r="C772">
        <v>51012500</v>
      </c>
      <c r="D772">
        <v>43.637816205268265</v>
      </c>
      <c r="E772" t="s">
        <v>94</v>
      </c>
      <c r="F772">
        <v>874</v>
      </c>
      <c r="G772" s="4">
        <v>46087.591064814813</v>
      </c>
    </row>
    <row r="773" spans="1:7" x14ac:dyDescent="0.3">
      <c r="A773">
        <v>772</v>
      </c>
      <c r="B773" t="s">
        <v>145</v>
      </c>
      <c r="C773">
        <v>51015797</v>
      </c>
      <c r="D773">
        <v>88.65351853312653</v>
      </c>
      <c r="E773" t="s">
        <v>92</v>
      </c>
      <c r="F773">
        <v>163</v>
      </c>
      <c r="G773" s="4">
        <v>46087.591064814813</v>
      </c>
    </row>
    <row r="774" spans="1:7" x14ac:dyDescent="0.3">
      <c r="A774">
        <v>773</v>
      </c>
      <c r="B774" t="s">
        <v>145</v>
      </c>
      <c r="C774">
        <v>51014782</v>
      </c>
      <c r="D774">
        <v>81.858363701510171</v>
      </c>
      <c r="E774" t="s">
        <v>93</v>
      </c>
      <c r="F774">
        <v>352</v>
      </c>
      <c r="G774" s="4">
        <v>46087.591064814813</v>
      </c>
    </row>
    <row r="775" spans="1:7" x14ac:dyDescent="0.3">
      <c r="A775">
        <v>774</v>
      </c>
      <c r="B775" t="s">
        <v>145</v>
      </c>
      <c r="C775">
        <v>51013077</v>
      </c>
      <c r="D775">
        <v>87.583919417788948</v>
      </c>
      <c r="E775" t="s">
        <v>92</v>
      </c>
      <c r="F775">
        <v>187</v>
      </c>
      <c r="G775" s="4">
        <v>46087.591064814813</v>
      </c>
    </row>
    <row r="776" spans="1:7" x14ac:dyDescent="0.3">
      <c r="A776">
        <v>775</v>
      </c>
      <c r="B776" t="s">
        <v>145</v>
      </c>
      <c r="C776">
        <v>51002539</v>
      </c>
      <c r="D776">
        <v>94.32640366073214</v>
      </c>
      <c r="E776" t="s">
        <v>92</v>
      </c>
      <c r="F776">
        <v>62</v>
      </c>
      <c r="G776" s="4">
        <v>46087.591064814813</v>
      </c>
    </row>
    <row r="777" spans="1:7" x14ac:dyDescent="0.3">
      <c r="A777">
        <v>776</v>
      </c>
      <c r="B777" t="s">
        <v>145</v>
      </c>
      <c r="C777">
        <v>51031806</v>
      </c>
      <c r="D777">
        <v>46.023260484574479</v>
      </c>
      <c r="E777" t="s">
        <v>94</v>
      </c>
      <c r="F777">
        <v>858</v>
      </c>
      <c r="G777" s="4">
        <v>46087.591064814813</v>
      </c>
    </row>
    <row r="778" spans="1:7" x14ac:dyDescent="0.3">
      <c r="A778">
        <v>777</v>
      </c>
      <c r="B778" t="s">
        <v>145</v>
      </c>
      <c r="C778">
        <v>51044410</v>
      </c>
      <c r="D778">
        <v>60.215448020556515</v>
      </c>
      <c r="E778" t="s">
        <v>94</v>
      </c>
      <c r="F778">
        <v>664</v>
      </c>
      <c r="G778" s="4">
        <v>46087.591064814813</v>
      </c>
    </row>
    <row r="779" spans="1:7" x14ac:dyDescent="0.3">
      <c r="A779">
        <v>778</v>
      </c>
      <c r="B779" t="s">
        <v>145</v>
      </c>
      <c r="C779">
        <v>51033248</v>
      </c>
      <c r="D779">
        <v>67.632861715887074</v>
      </c>
      <c r="E779" t="s">
        <v>93</v>
      </c>
      <c r="F779">
        <v>579</v>
      </c>
      <c r="G779" s="4">
        <v>46087.591064814813</v>
      </c>
    </row>
    <row r="780" spans="1:7" x14ac:dyDescent="0.3">
      <c r="A780">
        <v>779</v>
      </c>
      <c r="B780" t="s">
        <v>145</v>
      </c>
      <c r="C780">
        <v>51025318</v>
      </c>
      <c r="D780">
        <v>40.67839851208609</v>
      </c>
      <c r="E780" t="s">
        <v>94</v>
      </c>
      <c r="F780">
        <v>885</v>
      </c>
      <c r="G780" s="4">
        <v>46087.591064814813</v>
      </c>
    </row>
    <row r="781" spans="1:7" x14ac:dyDescent="0.3">
      <c r="A781">
        <v>780</v>
      </c>
      <c r="B781" t="s">
        <v>145</v>
      </c>
      <c r="C781">
        <v>51031687</v>
      </c>
      <c r="D781">
        <v>82.305647038270266</v>
      </c>
      <c r="E781" t="s">
        <v>93</v>
      </c>
      <c r="F781">
        <v>340</v>
      </c>
      <c r="G781" s="4">
        <v>46087.591064814813</v>
      </c>
    </row>
    <row r="782" spans="1:7" x14ac:dyDescent="0.3">
      <c r="A782">
        <v>781</v>
      </c>
      <c r="B782" t="s">
        <v>145</v>
      </c>
      <c r="C782">
        <v>51055861</v>
      </c>
      <c r="D782">
        <v>58.937956681227085</v>
      </c>
      <c r="E782" t="s">
        <v>94</v>
      </c>
      <c r="F782">
        <v>693</v>
      </c>
      <c r="G782" s="4">
        <v>46087.591064814813</v>
      </c>
    </row>
    <row r="783" spans="1:7" x14ac:dyDescent="0.3">
      <c r="A783">
        <v>782</v>
      </c>
      <c r="B783" t="s">
        <v>145</v>
      </c>
      <c r="C783">
        <v>51019407</v>
      </c>
      <c r="D783">
        <v>80.764665306876083</v>
      </c>
      <c r="E783" t="s">
        <v>93</v>
      </c>
      <c r="F783">
        <v>384</v>
      </c>
      <c r="G783" s="4">
        <v>46087.591064814813</v>
      </c>
    </row>
    <row r="784" spans="1:7" x14ac:dyDescent="0.3">
      <c r="A784">
        <v>783</v>
      </c>
      <c r="B784" t="s">
        <v>145</v>
      </c>
      <c r="C784">
        <v>51012411</v>
      </c>
      <c r="D784">
        <v>83.858440363263398</v>
      </c>
      <c r="E784" t="s">
        <v>93</v>
      </c>
      <c r="F784">
        <v>289</v>
      </c>
      <c r="G784" s="4">
        <v>46087.591064814813</v>
      </c>
    </row>
    <row r="785" spans="1:7" x14ac:dyDescent="0.3">
      <c r="A785">
        <v>784</v>
      </c>
      <c r="B785" t="s">
        <v>145</v>
      </c>
      <c r="C785">
        <v>51020171</v>
      </c>
      <c r="D785">
        <v>78.938579057524521</v>
      </c>
      <c r="E785" t="s">
        <v>93</v>
      </c>
      <c r="F785">
        <v>431</v>
      </c>
      <c r="G785" s="4">
        <v>46087.591064814813</v>
      </c>
    </row>
    <row r="786" spans="1:7" x14ac:dyDescent="0.3">
      <c r="A786">
        <v>785</v>
      </c>
      <c r="B786" t="s">
        <v>145</v>
      </c>
      <c r="C786">
        <v>51029488</v>
      </c>
      <c r="D786">
        <v>27.977510617132783</v>
      </c>
      <c r="E786" t="s">
        <v>95</v>
      </c>
      <c r="F786">
        <v>964</v>
      </c>
      <c r="G786" s="4">
        <v>46087.591064814813</v>
      </c>
    </row>
    <row r="787" spans="1:7" x14ac:dyDescent="0.3">
      <c r="A787">
        <v>786</v>
      </c>
      <c r="B787" t="s">
        <v>145</v>
      </c>
      <c r="C787">
        <v>51017633</v>
      </c>
      <c r="D787">
        <v>86.478330324764386</v>
      </c>
      <c r="E787" t="s">
        <v>92</v>
      </c>
      <c r="F787">
        <v>215</v>
      </c>
      <c r="G787" s="4">
        <v>46087.591064814813</v>
      </c>
    </row>
    <row r="788" spans="1:7" x14ac:dyDescent="0.3">
      <c r="A788">
        <v>787</v>
      </c>
      <c r="B788" t="s">
        <v>145</v>
      </c>
      <c r="C788">
        <v>51056663</v>
      </c>
      <c r="D788">
        <v>70.507097725829681</v>
      </c>
      <c r="E788" t="s">
        <v>93</v>
      </c>
      <c r="F788">
        <v>538</v>
      </c>
      <c r="G788" s="4">
        <v>46087.591064814813</v>
      </c>
    </row>
    <row r="789" spans="1:7" x14ac:dyDescent="0.3">
      <c r="A789">
        <v>788</v>
      </c>
      <c r="B789" t="s">
        <v>145</v>
      </c>
      <c r="C789">
        <v>51026063</v>
      </c>
      <c r="D789">
        <v>87.275601519532799</v>
      </c>
      <c r="E789" t="s">
        <v>92</v>
      </c>
      <c r="F789">
        <v>193</v>
      </c>
      <c r="G789" s="4">
        <v>46087.591064814813</v>
      </c>
    </row>
    <row r="790" spans="1:7" x14ac:dyDescent="0.3">
      <c r="A790">
        <v>789</v>
      </c>
      <c r="B790" t="s">
        <v>145</v>
      </c>
      <c r="C790">
        <v>51043995</v>
      </c>
      <c r="D790">
        <v>83.602446004874153</v>
      </c>
      <c r="E790" t="s">
        <v>93</v>
      </c>
      <c r="F790">
        <v>295</v>
      </c>
      <c r="G790" s="4">
        <v>46087.591064814813</v>
      </c>
    </row>
    <row r="791" spans="1:7" x14ac:dyDescent="0.3">
      <c r="A791">
        <v>790</v>
      </c>
      <c r="B791" t="s">
        <v>145</v>
      </c>
      <c r="C791">
        <v>51011074</v>
      </c>
      <c r="D791">
        <v>93.525203093851189</v>
      </c>
      <c r="E791" t="s">
        <v>92</v>
      </c>
      <c r="F791">
        <v>65</v>
      </c>
      <c r="G791" s="4">
        <v>46087.591064814813</v>
      </c>
    </row>
    <row r="792" spans="1:7" x14ac:dyDescent="0.3">
      <c r="A792">
        <v>791</v>
      </c>
      <c r="B792" t="s">
        <v>145</v>
      </c>
      <c r="C792">
        <v>51003225</v>
      </c>
      <c r="D792">
        <v>89.359878847985826</v>
      </c>
      <c r="E792" t="s">
        <v>92</v>
      </c>
      <c r="F792">
        <v>141</v>
      </c>
      <c r="G792" s="4">
        <v>46087.591064814813</v>
      </c>
    </row>
    <row r="793" spans="1:7" x14ac:dyDescent="0.3">
      <c r="A793">
        <v>792</v>
      </c>
      <c r="B793" t="s">
        <v>145</v>
      </c>
      <c r="C793">
        <v>51024966</v>
      </c>
      <c r="D793">
        <v>79.25900909201998</v>
      </c>
      <c r="E793" t="s">
        <v>93</v>
      </c>
      <c r="F793">
        <v>422</v>
      </c>
      <c r="G793" s="4">
        <v>46087.591064814813</v>
      </c>
    </row>
    <row r="794" spans="1:7" x14ac:dyDescent="0.3">
      <c r="A794">
        <v>793</v>
      </c>
      <c r="B794" t="s">
        <v>145</v>
      </c>
      <c r="C794">
        <v>51038673</v>
      </c>
      <c r="D794">
        <v>52.522565806393196</v>
      </c>
      <c r="E794" t="s">
        <v>94</v>
      </c>
      <c r="F794">
        <v>803</v>
      </c>
      <c r="G794" s="4">
        <v>46087.591064814813</v>
      </c>
    </row>
    <row r="795" spans="1:7" x14ac:dyDescent="0.3">
      <c r="A795">
        <v>794</v>
      </c>
      <c r="B795" t="s">
        <v>145</v>
      </c>
      <c r="C795">
        <v>51013271</v>
      </c>
      <c r="D795">
        <v>85.479777198822134</v>
      </c>
      <c r="E795" t="s">
        <v>93</v>
      </c>
      <c r="F795">
        <v>242</v>
      </c>
      <c r="G795" s="4">
        <v>46087.591064814813</v>
      </c>
    </row>
    <row r="796" spans="1:7" x14ac:dyDescent="0.3">
      <c r="A796">
        <v>795</v>
      </c>
      <c r="B796" t="s">
        <v>145</v>
      </c>
      <c r="C796">
        <v>51038894</v>
      </c>
      <c r="D796">
        <v>76.228231802435573</v>
      </c>
      <c r="E796" t="s">
        <v>93</v>
      </c>
      <c r="F796">
        <v>468</v>
      </c>
      <c r="G796" s="4">
        <v>46087.591064814813</v>
      </c>
    </row>
    <row r="797" spans="1:7" x14ac:dyDescent="0.3">
      <c r="A797">
        <v>796</v>
      </c>
      <c r="B797" t="s">
        <v>145</v>
      </c>
      <c r="C797">
        <v>51021843</v>
      </c>
      <c r="D797">
        <v>82.666256185537506</v>
      </c>
      <c r="E797" t="s">
        <v>93</v>
      </c>
      <c r="F797">
        <v>333</v>
      </c>
      <c r="G797" s="4">
        <v>46087.591064814813</v>
      </c>
    </row>
    <row r="798" spans="1:7" x14ac:dyDescent="0.3">
      <c r="A798">
        <v>797</v>
      </c>
      <c r="B798" t="s">
        <v>145</v>
      </c>
      <c r="C798">
        <v>51024109</v>
      </c>
      <c r="D798">
        <v>80.705707221857438</v>
      </c>
      <c r="E798" t="s">
        <v>93</v>
      </c>
      <c r="F798">
        <v>389</v>
      </c>
      <c r="G798" s="4">
        <v>46087.591064814813</v>
      </c>
    </row>
    <row r="799" spans="1:7" x14ac:dyDescent="0.3">
      <c r="A799">
        <v>798</v>
      </c>
      <c r="B799" t="s">
        <v>145</v>
      </c>
      <c r="C799">
        <v>51056159</v>
      </c>
      <c r="D799">
        <v>99.382054890314194</v>
      </c>
      <c r="E799" t="s">
        <v>275</v>
      </c>
      <c r="F799">
        <v>18</v>
      </c>
      <c r="G799" s="4">
        <v>46087.591064814813</v>
      </c>
    </row>
    <row r="800" spans="1:7" x14ac:dyDescent="0.3">
      <c r="A800">
        <v>799</v>
      </c>
      <c r="B800" t="s">
        <v>145</v>
      </c>
      <c r="C800">
        <v>51036981</v>
      </c>
      <c r="D800">
        <v>58.467113313072261</v>
      </c>
      <c r="E800" t="s">
        <v>94</v>
      </c>
      <c r="F800">
        <v>702</v>
      </c>
      <c r="G800" s="4">
        <v>46087.591064814813</v>
      </c>
    </row>
    <row r="801" spans="1:7" x14ac:dyDescent="0.3">
      <c r="A801">
        <v>800</v>
      </c>
      <c r="B801" t="s">
        <v>145</v>
      </c>
      <c r="C801">
        <v>51032519</v>
      </c>
      <c r="D801">
        <v>58.454836944714657</v>
      </c>
      <c r="E801" t="s">
        <v>94</v>
      </c>
      <c r="F801">
        <v>705</v>
      </c>
      <c r="G801" s="4">
        <v>46087.591064814813</v>
      </c>
    </row>
    <row r="802" spans="1:7" x14ac:dyDescent="0.3">
      <c r="A802">
        <v>801</v>
      </c>
      <c r="B802" t="s">
        <v>145</v>
      </c>
      <c r="C802">
        <v>51055519</v>
      </c>
      <c r="D802">
        <v>33.119778247711388</v>
      </c>
      <c r="E802" t="s">
        <v>94</v>
      </c>
      <c r="F802">
        <v>918</v>
      </c>
      <c r="G802" s="4">
        <v>46087.591064814813</v>
      </c>
    </row>
    <row r="803" spans="1:7" x14ac:dyDescent="0.3">
      <c r="A803">
        <v>802</v>
      </c>
      <c r="B803" t="s">
        <v>145</v>
      </c>
      <c r="C803">
        <v>51032969</v>
      </c>
      <c r="D803">
        <v>55.905194549599813</v>
      </c>
      <c r="E803" t="s">
        <v>94</v>
      </c>
      <c r="F803">
        <v>768</v>
      </c>
      <c r="G803" s="4">
        <v>46087.591064814813</v>
      </c>
    </row>
    <row r="804" spans="1:7" x14ac:dyDescent="0.3">
      <c r="A804">
        <v>803</v>
      </c>
      <c r="B804" t="s">
        <v>145</v>
      </c>
      <c r="C804">
        <v>51017587</v>
      </c>
      <c r="D804">
        <v>72.95879372358533</v>
      </c>
      <c r="E804" t="s">
        <v>93</v>
      </c>
      <c r="F804">
        <v>498</v>
      </c>
      <c r="G804" s="4">
        <v>46087.591064814813</v>
      </c>
    </row>
    <row r="805" spans="1:7" x14ac:dyDescent="0.3">
      <c r="A805">
        <v>804</v>
      </c>
      <c r="B805" t="s">
        <v>145</v>
      </c>
      <c r="C805">
        <v>51018214</v>
      </c>
      <c r="D805">
        <v>67.076427580567696</v>
      </c>
      <c r="E805" t="s">
        <v>93</v>
      </c>
      <c r="F805">
        <v>587</v>
      </c>
      <c r="G805" s="4">
        <v>46087.591064814813</v>
      </c>
    </row>
    <row r="806" spans="1:7" x14ac:dyDescent="0.3">
      <c r="A806">
        <v>805</v>
      </c>
      <c r="B806" t="s">
        <v>145</v>
      </c>
      <c r="C806">
        <v>51016661</v>
      </c>
      <c r="D806">
        <v>72.75327666914076</v>
      </c>
      <c r="E806" t="s">
        <v>93</v>
      </c>
      <c r="F806">
        <v>503</v>
      </c>
      <c r="G806" s="4">
        <v>46087.591064814813</v>
      </c>
    </row>
    <row r="807" spans="1:7" x14ac:dyDescent="0.3">
      <c r="A807">
        <v>806</v>
      </c>
      <c r="B807" t="s">
        <v>145</v>
      </c>
      <c r="C807">
        <v>51002296</v>
      </c>
      <c r="D807">
        <v>68.97343659238453</v>
      </c>
      <c r="E807" t="s">
        <v>93</v>
      </c>
      <c r="F807">
        <v>558</v>
      </c>
      <c r="G807" s="4">
        <v>46087.591064814813</v>
      </c>
    </row>
    <row r="808" spans="1:7" x14ac:dyDescent="0.3">
      <c r="A808">
        <v>807</v>
      </c>
      <c r="B808" t="s">
        <v>145</v>
      </c>
      <c r="C808">
        <v>51016998</v>
      </c>
      <c r="D808">
        <v>21.102422918739453</v>
      </c>
      <c r="E808" t="s">
        <v>95</v>
      </c>
      <c r="F808">
        <v>1008</v>
      </c>
      <c r="G808" s="4">
        <v>46087.591064814813</v>
      </c>
    </row>
    <row r="809" spans="1:7" x14ac:dyDescent="0.3">
      <c r="A809">
        <v>808</v>
      </c>
      <c r="B809" t="s">
        <v>145</v>
      </c>
      <c r="C809">
        <v>51005325</v>
      </c>
      <c r="D809">
        <v>41.358261163122393</v>
      </c>
      <c r="E809" t="s">
        <v>94</v>
      </c>
      <c r="F809">
        <v>883</v>
      </c>
      <c r="G809" s="4">
        <v>46087.591064814813</v>
      </c>
    </row>
    <row r="810" spans="1:7" x14ac:dyDescent="0.3">
      <c r="A810">
        <v>809</v>
      </c>
      <c r="B810" t="s">
        <v>145</v>
      </c>
      <c r="C810">
        <v>51011937</v>
      </c>
      <c r="D810">
        <v>37.310716820466254</v>
      </c>
      <c r="E810" t="s">
        <v>94</v>
      </c>
      <c r="F810">
        <v>894</v>
      </c>
      <c r="G810" s="4">
        <v>46087.591064814813</v>
      </c>
    </row>
    <row r="811" spans="1:7" x14ac:dyDescent="0.3">
      <c r="A811">
        <v>810</v>
      </c>
      <c r="B811" t="s">
        <v>145</v>
      </c>
      <c r="C811">
        <v>51033191</v>
      </c>
      <c r="D811">
        <v>82.709717196734601</v>
      </c>
      <c r="E811" t="s">
        <v>93</v>
      </c>
      <c r="F811">
        <v>331</v>
      </c>
      <c r="G811" s="4">
        <v>46087.591064814813</v>
      </c>
    </row>
    <row r="812" spans="1:7" x14ac:dyDescent="0.3">
      <c r="A812">
        <v>811</v>
      </c>
      <c r="B812" t="s">
        <v>145</v>
      </c>
      <c r="C812">
        <v>51032560</v>
      </c>
      <c r="D812">
        <v>91.190441041279129</v>
      </c>
      <c r="E812" t="s">
        <v>92</v>
      </c>
      <c r="F812">
        <v>103</v>
      </c>
      <c r="G812" s="4">
        <v>46087.591064814813</v>
      </c>
    </row>
    <row r="813" spans="1:7" x14ac:dyDescent="0.3">
      <c r="A813">
        <v>812</v>
      </c>
      <c r="B813" t="s">
        <v>145</v>
      </c>
      <c r="C813">
        <v>51056302</v>
      </c>
      <c r="D813">
        <v>66.24068818970153</v>
      </c>
      <c r="E813" t="s">
        <v>93</v>
      </c>
      <c r="F813">
        <v>593</v>
      </c>
      <c r="G813" s="4">
        <v>46087.591064814813</v>
      </c>
    </row>
    <row r="814" spans="1:7" x14ac:dyDescent="0.3">
      <c r="A814">
        <v>813</v>
      </c>
      <c r="B814" t="s">
        <v>145</v>
      </c>
      <c r="C814">
        <v>51032659</v>
      </c>
      <c r="D814">
        <v>70.23242023819239</v>
      </c>
      <c r="E814" t="s">
        <v>93</v>
      </c>
      <c r="F814">
        <v>543</v>
      </c>
      <c r="G814" s="4">
        <v>46087.591064814813</v>
      </c>
    </row>
    <row r="815" spans="1:7" x14ac:dyDescent="0.3">
      <c r="A815">
        <v>814</v>
      </c>
      <c r="B815" t="s">
        <v>145</v>
      </c>
      <c r="C815">
        <v>51017129</v>
      </c>
      <c r="D815">
        <v>53.31402712883186</v>
      </c>
      <c r="E815" t="s">
        <v>94</v>
      </c>
      <c r="F815">
        <v>798</v>
      </c>
      <c r="G815" s="4">
        <v>46087.591064814813</v>
      </c>
    </row>
    <row r="816" spans="1:7" x14ac:dyDescent="0.3">
      <c r="A816">
        <v>815</v>
      </c>
      <c r="B816" t="s">
        <v>145</v>
      </c>
      <c r="C816">
        <v>51036191</v>
      </c>
      <c r="D816">
        <v>58.155318551523109</v>
      </c>
      <c r="E816" t="s">
        <v>94</v>
      </c>
      <c r="F816">
        <v>715</v>
      </c>
      <c r="G816" s="4">
        <v>46087.591064814813</v>
      </c>
    </row>
    <row r="817" spans="1:7" x14ac:dyDescent="0.3">
      <c r="A817">
        <v>816</v>
      </c>
      <c r="B817" t="s">
        <v>145</v>
      </c>
      <c r="C817">
        <v>51011562</v>
      </c>
      <c r="D817">
        <v>60.903212753761899</v>
      </c>
      <c r="E817" t="s">
        <v>94</v>
      </c>
      <c r="F817">
        <v>649</v>
      </c>
      <c r="G817" s="4">
        <v>46087.591064814813</v>
      </c>
    </row>
    <row r="818" spans="1:7" x14ac:dyDescent="0.3">
      <c r="A818">
        <v>817</v>
      </c>
      <c r="B818" t="s">
        <v>145</v>
      </c>
      <c r="C818">
        <v>51018346</v>
      </c>
      <c r="D818">
        <v>100</v>
      </c>
      <c r="E818" t="s">
        <v>275</v>
      </c>
      <c r="F818">
        <v>1</v>
      </c>
      <c r="G818" s="4">
        <v>46087.591064814813</v>
      </c>
    </row>
    <row r="819" spans="1:7" x14ac:dyDescent="0.3">
      <c r="A819">
        <v>818</v>
      </c>
      <c r="B819" t="s">
        <v>145</v>
      </c>
      <c r="C819">
        <v>51042514</v>
      </c>
      <c r="D819">
        <v>56.057881111677737</v>
      </c>
      <c r="E819" t="s">
        <v>94</v>
      </c>
      <c r="F819">
        <v>764</v>
      </c>
      <c r="G819" s="4">
        <v>46087.591064814813</v>
      </c>
    </row>
    <row r="820" spans="1:7" x14ac:dyDescent="0.3">
      <c r="A820">
        <v>819</v>
      </c>
      <c r="B820" t="s">
        <v>145</v>
      </c>
      <c r="C820">
        <v>51056906</v>
      </c>
      <c r="D820">
        <v>86.848839226391505</v>
      </c>
      <c r="E820" t="s">
        <v>92</v>
      </c>
      <c r="F820">
        <v>206</v>
      </c>
      <c r="G820" s="4">
        <v>46087.591064814813</v>
      </c>
    </row>
    <row r="821" spans="1:7" x14ac:dyDescent="0.3">
      <c r="A821">
        <v>820</v>
      </c>
      <c r="B821" t="s">
        <v>145</v>
      </c>
      <c r="C821">
        <v>51043375</v>
      </c>
      <c r="D821">
        <v>88.704802041391105</v>
      </c>
      <c r="E821" t="s">
        <v>92</v>
      </c>
      <c r="F821">
        <v>160</v>
      </c>
      <c r="G821" s="4">
        <v>46087.591064814813</v>
      </c>
    </row>
    <row r="822" spans="1:7" x14ac:dyDescent="0.3">
      <c r="A822">
        <v>821</v>
      </c>
      <c r="B822" t="s">
        <v>145</v>
      </c>
      <c r="C822">
        <v>51055691</v>
      </c>
      <c r="D822">
        <v>58.232981329706071</v>
      </c>
      <c r="E822" t="s">
        <v>94</v>
      </c>
      <c r="F822">
        <v>714</v>
      </c>
      <c r="G822" s="4">
        <v>46087.591064814813</v>
      </c>
    </row>
    <row r="823" spans="1:7" x14ac:dyDescent="0.3">
      <c r="A823">
        <v>822</v>
      </c>
      <c r="B823" t="s">
        <v>145</v>
      </c>
      <c r="C823">
        <v>51018958</v>
      </c>
      <c r="D823">
        <v>79.520278927716404</v>
      </c>
      <c r="E823" t="s">
        <v>93</v>
      </c>
      <c r="F823">
        <v>416</v>
      </c>
      <c r="G823" s="4">
        <v>46087.591064814813</v>
      </c>
    </row>
    <row r="824" spans="1:7" x14ac:dyDescent="0.3">
      <c r="A824">
        <v>823</v>
      </c>
      <c r="B824" t="s">
        <v>145</v>
      </c>
      <c r="C824">
        <v>51054903</v>
      </c>
      <c r="D824">
        <v>85.392553849347351</v>
      </c>
      <c r="E824" t="s">
        <v>93</v>
      </c>
      <c r="F824">
        <v>248</v>
      </c>
      <c r="G824" s="4">
        <v>46087.591064814813</v>
      </c>
    </row>
    <row r="825" spans="1:7" x14ac:dyDescent="0.3">
      <c r="A825">
        <v>824</v>
      </c>
      <c r="B825" t="s">
        <v>145</v>
      </c>
      <c r="C825">
        <v>51022084</v>
      </c>
      <c r="D825">
        <v>57.31551859453262</v>
      </c>
      <c r="E825" t="s">
        <v>94</v>
      </c>
      <c r="F825">
        <v>733</v>
      </c>
      <c r="G825" s="4">
        <v>46087.591064814813</v>
      </c>
    </row>
    <row r="826" spans="1:7" x14ac:dyDescent="0.3">
      <c r="A826">
        <v>825</v>
      </c>
      <c r="B826" t="s">
        <v>145</v>
      </c>
      <c r="C826">
        <v>51019202</v>
      </c>
      <c r="D826">
        <v>84.286391307614309</v>
      </c>
      <c r="E826" t="s">
        <v>93</v>
      </c>
      <c r="F826">
        <v>279</v>
      </c>
      <c r="G826" s="4">
        <v>46087.591064814813</v>
      </c>
    </row>
    <row r="827" spans="1:7" x14ac:dyDescent="0.3">
      <c r="A827">
        <v>826</v>
      </c>
      <c r="B827" t="s">
        <v>145</v>
      </c>
      <c r="C827">
        <v>51054920</v>
      </c>
      <c r="D827">
        <v>25.798000000000002</v>
      </c>
      <c r="E827" t="s">
        <v>95</v>
      </c>
      <c r="F827">
        <v>976</v>
      </c>
      <c r="G827" s="4">
        <v>46087.591064814813</v>
      </c>
    </row>
    <row r="828" spans="1:7" x14ac:dyDescent="0.3">
      <c r="A828">
        <v>827</v>
      </c>
      <c r="B828" t="s">
        <v>145</v>
      </c>
      <c r="C828">
        <v>51010663</v>
      </c>
      <c r="D828">
        <v>91.432619727925115</v>
      </c>
      <c r="E828" t="s">
        <v>92</v>
      </c>
      <c r="F828">
        <v>97</v>
      </c>
      <c r="G828" s="4">
        <v>46087.591064814813</v>
      </c>
    </row>
    <row r="829" spans="1:7" x14ac:dyDescent="0.3">
      <c r="A829">
        <v>828</v>
      </c>
      <c r="B829" t="s">
        <v>145</v>
      </c>
      <c r="C829">
        <v>51016866</v>
      </c>
      <c r="D829">
        <v>55.475298057628123</v>
      </c>
      <c r="E829" t="s">
        <v>94</v>
      </c>
      <c r="F829">
        <v>775</v>
      </c>
      <c r="G829" s="4">
        <v>46087.591064814813</v>
      </c>
    </row>
    <row r="830" spans="1:7" x14ac:dyDescent="0.3">
      <c r="A830">
        <v>829</v>
      </c>
      <c r="B830" t="s">
        <v>145</v>
      </c>
      <c r="C830">
        <v>51030184</v>
      </c>
      <c r="D830">
        <v>46.162648546437751</v>
      </c>
      <c r="E830" t="s">
        <v>94</v>
      </c>
      <c r="F830">
        <v>854</v>
      </c>
      <c r="G830" s="4">
        <v>46087.591064814813</v>
      </c>
    </row>
    <row r="831" spans="1:7" x14ac:dyDescent="0.3">
      <c r="A831">
        <v>830</v>
      </c>
      <c r="B831" t="s">
        <v>145</v>
      </c>
      <c r="C831">
        <v>51015428</v>
      </c>
      <c r="D831">
        <v>59.340872027411578</v>
      </c>
      <c r="E831" t="s">
        <v>94</v>
      </c>
      <c r="F831">
        <v>685</v>
      </c>
      <c r="G831" s="4">
        <v>46087.591064814813</v>
      </c>
    </row>
    <row r="832" spans="1:7" x14ac:dyDescent="0.3">
      <c r="A832">
        <v>831</v>
      </c>
      <c r="B832" t="s">
        <v>145</v>
      </c>
      <c r="C832">
        <v>51036557</v>
      </c>
      <c r="D832">
        <v>57.360397542363302</v>
      </c>
      <c r="E832" t="s">
        <v>94</v>
      </c>
      <c r="F832">
        <v>729</v>
      </c>
      <c r="G832" s="4">
        <v>46087.591064814813</v>
      </c>
    </row>
    <row r="833" spans="1:7" x14ac:dyDescent="0.3">
      <c r="A833">
        <v>832</v>
      </c>
      <c r="B833" t="s">
        <v>145</v>
      </c>
      <c r="C833">
        <v>51056175</v>
      </c>
      <c r="D833">
        <v>32.198</v>
      </c>
      <c r="E833" t="s">
        <v>94</v>
      </c>
      <c r="F833">
        <v>926</v>
      </c>
      <c r="G833" s="4">
        <v>46087.591064814813</v>
      </c>
    </row>
    <row r="834" spans="1:7" x14ac:dyDescent="0.3">
      <c r="A834">
        <v>833</v>
      </c>
      <c r="B834" t="s">
        <v>145</v>
      </c>
      <c r="C834">
        <v>51039190</v>
      </c>
      <c r="D834">
        <v>24.829890726270392</v>
      </c>
      <c r="E834" t="s">
        <v>95</v>
      </c>
      <c r="F834">
        <v>985</v>
      </c>
      <c r="G834" s="4">
        <v>46087.591064814813</v>
      </c>
    </row>
    <row r="835" spans="1:7" x14ac:dyDescent="0.3">
      <c r="A835">
        <v>834</v>
      </c>
      <c r="B835" t="s">
        <v>145</v>
      </c>
      <c r="C835">
        <v>51056604</v>
      </c>
      <c r="D835">
        <v>74.705699653327542</v>
      </c>
      <c r="E835" t="s">
        <v>93</v>
      </c>
      <c r="F835">
        <v>486</v>
      </c>
      <c r="G835" s="4">
        <v>46087.591064814813</v>
      </c>
    </row>
    <row r="836" spans="1:7" x14ac:dyDescent="0.3">
      <c r="A836">
        <v>835</v>
      </c>
      <c r="B836" t="s">
        <v>145</v>
      </c>
      <c r="C836">
        <v>51021789</v>
      </c>
      <c r="D836">
        <v>29.915600000000005</v>
      </c>
      <c r="E836" t="s">
        <v>94</v>
      </c>
      <c r="F836">
        <v>943</v>
      </c>
      <c r="G836" s="4">
        <v>46087.591064814813</v>
      </c>
    </row>
    <row r="837" spans="1:7" x14ac:dyDescent="0.3">
      <c r="A837">
        <v>836</v>
      </c>
      <c r="B837" t="s">
        <v>145</v>
      </c>
      <c r="C837">
        <v>51056795</v>
      </c>
      <c r="D837">
        <v>29.695563230191482</v>
      </c>
      <c r="E837" t="s">
        <v>94</v>
      </c>
      <c r="F837">
        <v>949</v>
      </c>
      <c r="G837" s="4">
        <v>46087.591064814813</v>
      </c>
    </row>
    <row r="838" spans="1:7" x14ac:dyDescent="0.3">
      <c r="A838">
        <v>837</v>
      </c>
      <c r="B838" t="s">
        <v>145</v>
      </c>
      <c r="C838">
        <v>51056931</v>
      </c>
      <c r="D838">
        <v>45.271822665449918</v>
      </c>
      <c r="E838" t="s">
        <v>94</v>
      </c>
      <c r="F838">
        <v>865</v>
      </c>
      <c r="G838" s="4">
        <v>46087.591064814813</v>
      </c>
    </row>
    <row r="839" spans="1:7" x14ac:dyDescent="0.3">
      <c r="A839">
        <v>838</v>
      </c>
      <c r="B839" t="s">
        <v>145</v>
      </c>
      <c r="C839">
        <v>51014120</v>
      </c>
      <c r="D839">
        <v>78.936578576180139</v>
      </c>
      <c r="E839" t="s">
        <v>93</v>
      </c>
      <c r="F839">
        <v>432</v>
      </c>
      <c r="G839" s="4">
        <v>46087.591064814813</v>
      </c>
    </row>
    <row r="840" spans="1:7" x14ac:dyDescent="0.3">
      <c r="A840">
        <v>839</v>
      </c>
      <c r="B840" t="s">
        <v>145</v>
      </c>
      <c r="C840">
        <v>51036182</v>
      </c>
      <c r="D840">
        <v>64.130665810844675</v>
      </c>
      <c r="E840" t="s">
        <v>94</v>
      </c>
      <c r="F840">
        <v>611</v>
      </c>
      <c r="G840" s="4">
        <v>46087.591064814813</v>
      </c>
    </row>
    <row r="841" spans="1:7" x14ac:dyDescent="0.3">
      <c r="A841">
        <v>840</v>
      </c>
      <c r="B841" t="s">
        <v>145</v>
      </c>
      <c r="C841">
        <v>51011465</v>
      </c>
      <c r="D841">
        <v>66.96416165445298</v>
      </c>
      <c r="E841" t="s">
        <v>93</v>
      </c>
      <c r="F841">
        <v>588</v>
      </c>
      <c r="G841" s="4">
        <v>46087.591064814813</v>
      </c>
    </row>
    <row r="842" spans="1:7" x14ac:dyDescent="0.3">
      <c r="A842">
        <v>841</v>
      </c>
      <c r="B842" t="s">
        <v>145</v>
      </c>
      <c r="C842">
        <v>51006151</v>
      </c>
      <c r="D842">
        <v>76.345218671975744</v>
      </c>
      <c r="E842" t="s">
        <v>93</v>
      </c>
      <c r="F842">
        <v>465</v>
      </c>
      <c r="G842" s="4">
        <v>46087.591064814813</v>
      </c>
    </row>
    <row r="843" spans="1:7" x14ac:dyDescent="0.3">
      <c r="A843">
        <v>842</v>
      </c>
      <c r="B843" t="s">
        <v>145</v>
      </c>
      <c r="C843">
        <v>51033418</v>
      </c>
      <c r="D843">
        <v>19.302722602604018</v>
      </c>
      <c r="E843" t="s">
        <v>95</v>
      </c>
      <c r="F843">
        <v>1027</v>
      </c>
      <c r="G843" s="4">
        <v>46087.591064814813</v>
      </c>
    </row>
    <row r="844" spans="1:7" x14ac:dyDescent="0.3">
      <c r="A844">
        <v>843</v>
      </c>
      <c r="B844" t="s">
        <v>145</v>
      </c>
      <c r="C844">
        <v>51007841</v>
      </c>
      <c r="D844">
        <v>14.098000000000003</v>
      </c>
      <c r="E844" t="s">
        <v>95</v>
      </c>
      <c r="F844">
        <v>1103</v>
      </c>
      <c r="G844" s="4">
        <v>46087.591064814813</v>
      </c>
    </row>
    <row r="845" spans="1:7" x14ac:dyDescent="0.3">
      <c r="A845">
        <v>844</v>
      </c>
      <c r="B845" t="s">
        <v>145</v>
      </c>
      <c r="C845">
        <v>51016602</v>
      </c>
      <c r="D845">
        <v>79.11042873130927</v>
      </c>
      <c r="E845" t="s">
        <v>93</v>
      </c>
      <c r="F845">
        <v>425</v>
      </c>
      <c r="G845" s="4">
        <v>46087.591064814813</v>
      </c>
    </row>
    <row r="846" spans="1:7" x14ac:dyDescent="0.3">
      <c r="A846">
        <v>845</v>
      </c>
      <c r="B846" t="s">
        <v>145</v>
      </c>
      <c r="C846">
        <v>51036077</v>
      </c>
      <c r="D846">
        <v>18.758600000000001</v>
      </c>
      <c r="E846" t="s">
        <v>95</v>
      </c>
      <c r="F846">
        <v>1044</v>
      </c>
      <c r="G846" s="4">
        <v>46087.591064814813</v>
      </c>
    </row>
    <row r="847" spans="1:7" x14ac:dyDescent="0.3">
      <c r="A847">
        <v>846</v>
      </c>
      <c r="B847" t="s">
        <v>145</v>
      </c>
      <c r="C847">
        <v>51013662</v>
      </c>
      <c r="D847">
        <v>90.906380523172416</v>
      </c>
      <c r="E847" t="s">
        <v>92</v>
      </c>
      <c r="F847">
        <v>109</v>
      </c>
      <c r="G847" s="4">
        <v>46087.591064814813</v>
      </c>
    </row>
    <row r="848" spans="1:7" x14ac:dyDescent="0.3">
      <c r="A848">
        <v>847</v>
      </c>
      <c r="B848" t="s">
        <v>145</v>
      </c>
      <c r="C848">
        <v>51010248</v>
      </c>
      <c r="D848">
        <v>71.707088061697931</v>
      </c>
      <c r="E848" t="s">
        <v>93</v>
      </c>
      <c r="F848">
        <v>521</v>
      </c>
      <c r="G848" s="4">
        <v>46087.591064814813</v>
      </c>
    </row>
    <row r="849" spans="1:7" x14ac:dyDescent="0.3">
      <c r="A849">
        <v>848</v>
      </c>
      <c r="B849" t="s">
        <v>145</v>
      </c>
      <c r="C849">
        <v>51055764</v>
      </c>
      <c r="D849">
        <v>66.724706528586495</v>
      </c>
      <c r="E849" t="s">
        <v>93</v>
      </c>
      <c r="F849">
        <v>590</v>
      </c>
      <c r="G849" s="4">
        <v>46087.591064814813</v>
      </c>
    </row>
    <row r="850" spans="1:7" x14ac:dyDescent="0.3">
      <c r="A850">
        <v>849</v>
      </c>
      <c r="B850" t="s">
        <v>145</v>
      </c>
      <c r="C850">
        <v>51012496</v>
      </c>
      <c r="D850">
        <v>95.173984864694219</v>
      </c>
      <c r="E850" t="s">
        <v>275</v>
      </c>
      <c r="F850">
        <v>50</v>
      </c>
      <c r="G850" s="4">
        <v>46087.591064814813</v>
      </c>
    </row>
    <row r="851" spans="1:7" x14ac:dyDescent="0.3">
      <c r="A851">
        <v>850</v>
      </c>
      <c r="B851" t="s">
        <v>145</v>
      </c>
      <c r="C851">
        <v>51016874</v>
      </c>
      <c r="D851">
        <v>91.375495975423718</v>
      </c>
      <c r="E851" t="s">
        <v>92</v>
      </c>
      <c r="F851">
        <v>98</v>
      </c>
      <c r="G851" s="4">
        <v>46087.591064814813</v>
      </c>
    </row>
    <row r="852" spans="1:7" x14ac:dyDescent="0.3">
      <c r="A852">
        <v>851</v>
      </c>
      <c r="B852" t="s">
        <v>145</v>
      </c>
      <c r="C852">
        <v>51011481</v>
      </c>
      <c r="D852">
        <v>74.955158217613757</v>
      </c>
      <c r="E852" t="s">
        <v>93</v>
      </c>
      <c r="F852">
        <v>478</v>
      </c>
      <c r="G852" s="4">
        <v>46087.591064814813</v>
      </c>
    </row>
    <row r="853" spans="1:7" x14ac:dyDescent="0.3">
      <c r="A853">
        <v>852</v>
      </c>
      <c r="B853" t="s">
        <v>145</v>
      </c>
      <c r="C853">
        <v>51042654</v>
      </c>
      <c r="D853">
        <v>50.811356952924243</v>
      </c>
      <c r="E853" t="s">
        <v>94</v>
      </c>
      <c r="F853">
        <v>816</v>
      </c>
      <c r="G853" s="4">
        <v>46087.591064814813</v>
      </c>
    </row>
    <row r="854" spans="1:7" x14ac:dyDescent="0.3">
      <c r="A854">
        <v>853</v>
      </c>
      <c r="B854" t="s">
        <v>145</v>
      </c>
      <c r="C854">
        <v>51057074</v>
      </c>
      <c r="D854">
        <v>59.349942280888989</v>
      </c>
      <c r="E854" t="s">
        <v>94</v>
      </c>
      <c r="F854">
        <v>684</v>
      </c>
      <c r="G854" s="4">
        <v>46087.591064814813</v>
      </c>
    </row>
    <row r="855" spans="1:7" x14ac:dyDescent="0.3">
      <c r="A855">
        <v>854</v>
      </c>
      <c r="B855" t="s">
        <v>145</v>
      </c>
      <c r="C855">
        <v>51042913</v>
      </c>
      <c r="D855">
        <v>54.147565878550644</v>
      </c>
      <c r="E855" t="s">
        <v>94</v>
      </c>
      <c r="F855">
        <v>790</v>
      </c>
      <c r="G855" s="4">
        <v>46087.591064814813</v>
      </c>
    </row>
    <row r="856" spans="1:7" x14ac:dyDescent="0.3">
      <c r="A856">
        <v>855</v>
      </c>
      <c r="B856" t="s">
        <v>145</v>
      </c>
      <c r="C856">
        <v>51025857</v>
      </c>
      <c r="D856">
        <v>81.950256857638919</v>
      </c>
      <c r="E856" t="s">
        <v>93</v>
      </c>
      <c r="F856">
        <v>347</v>
      </c>
      <c r="G856" s="4">
        <v>46087.591064814813</v>
      </c>
    </row>
    <row r="857" spans="1:7" x14ac:dyDescent="0.3">
      <c r="A857">
        <v>856</v>
      </c>
      <c r="B857" t="s">
        <v>145</v>
      </c>
      <c r="C857">
        <v>51026071</v>
      </c>
      <c r="D857">
        <v>27.933103484191193</v>
      </c>
      <c r="E857" t="s">
        <v>95</v>
      </c>
      <c r="F857">
        <v>965</v>
      </c>
      <c r="G857" s="4">
        <v>46087.591064814813</v>
      </c>
    </row>
    <row r="858" spans="1:7" x14ac:dyDescent="0.3">
      <c r="A858">
        <v>857</v>
      </c>
      <c r="B858" t="s">
        <v>145</v>
      </c>
      <c r="C858">
        <v>51017595</v>
      </c>
      <c r="D858">
        <v>34.627244734103797</v>
      </c>
      <c r="E858" t="s">
        <v>94</v>
      </c>
      <c r="F858">
        <v>907</v>
      </c>
      <c r="G858" s="4">
        <v>46087.591064814813</v>
      </c>
    </row>
    <row r="859" spans="1:7" x14ac:dyDescent="0.3">
      <c r="A859">
        <v>858</v>
      </c>
      <c r="B859" t="s">
        <v>145</v>
      </c>
      <c r="C859">
        <v>51014707</v>
      </c>
      <c r="D859">
        <v>88.661113076717712</v>
      </c>
      <c r="E859" t="s">
        <v>92</v>
      </c>
      <c r="F859">
        <v>161</v>
      </c>
      <c r="G859" s="4">
        <v>46087.591064814813</v>
      </c>
    </row>
    <row r="860" spans="1:7" x14ac:dyDescent="0.3">
      <c r="A860">
        <v>859</v>
      </c>
      <c r="B860" t="s">
        <v>145</v>
      </c>
      <c r="C860">
        <v>51032390</v>
      </c>
      <c r="D860">
        <v>27.402382719089168</v>
      </c>
      <c r="E860" t="s">
        <v>95</v>
      </c>
      <c r="F860">
        <v>968</v>
      </c>
      <c r="G860" s="4">
        <v>46087.591064814813</v>
      </c>
    </row>
    <row r="861" spans="1:7" x14ac:dyDescent="0.3">
      <c r="A861">
        <v>860</v>
      </c>
      <c r="B861" t="s">
        <v>145</v>
      </c>
      <c r="C861">
        <v>51030249</v>
      </c>
      <c r="D861">
        <v>56.203110530509768</v>
      </c>
      <c r="E861" t="s">
        <v>94</v>
      </c>
      <c r="F861">
        <v>759</v>
      </c>
      <c r="G861" s="4">
        <v>46087.591064814813</v>
      </c>
    </row>
    <row r="862" spans="1:7" x14ac:dyDescent="0.3">
      <c r="A862">
        <v>861</v>
      </c>
      <c r="B862" t="s">
        <v>145</v>
      </c>
      <c r="C862">
        <v>51029518</v>
      </c>
      <c r="D862">
        <v>21.689499999999999</v>
      </c>
      <c r="E862" t="s">
        <v>95</v>
      </c>
      <c r="F862">
        <v>1006</v>
      </c>
      <c r="G862" s="4">
        <v>46087.591064814813</v>
      </c>
    </row>
    <row r="863" spans="1:7" x14ac:dyDescent="0.3">
      <c r="A863">
        <v>862</v>
      </c>
      <c r="B863" t="s">
        <v>145</v>
      </c>
      <c r="C863">
        <v>51044011</v>
      </c>
      <c r="D863">
        <v>56.153771493646047</v>
      </c>
      <c r="E863" t="s">
        <v>94</v>
      </c>
      <c r="F863">
        <v>762</v>
      </c>
      <c r="G863" s="4">
        <v>46087.591064814813</v>
      </c>
    </row>
    <row r="864" spans="1:7" x14ac:dyDescent="0.3">
      <c r="A864">
        <v>863</v>
      </c>
      <c r="B864" t="s">
        <v>145</v>
      </c>
      <c r="C864">
        <v>51013956</v>
      </c>
      <c r="D864">
        <v>79.620182514144503</v>
      </c>
      <c r="E864" t="s">
        <v>93</v>
      </c>
      <c r="F864">
        <v>413</v>
      </c>
      <c r="G864" s="4">
        <v>46087.591064814813</v>
      </c>
    </row>
    <row r="865" spans="1:7" x14ac:dyDescent="0.3">
      <c r="A865">
        <v>864</v>
      </c>
      <c r="B865" t="s">
        <v>145</v>
      </c>
      <c r="C865">
        <v>51023846</v>
      </c>
      <c r="D865">
        <v>56.09223177707328</v>
      </c>
      <c r="E865" t="s">
        <v>94</v>
      </c>
      <c r="F865">
        <v>763</v>
      </c>
      <c r="G865" s="4">
        <v>46087.591064814813</v>
      </c>
    </row>
    <row r="866" spans="1:7" x14ac:dyDescent="0.3">
      <c r="A866">
        <v>865</v>
      </c>
      <c r="B866" t="s">
        <v>145</v>
      </c>
      <c r="C866">
        <v>51019563</v>
      </c>
      <c r="D866">
        <v>87.676079999383916</v>
      </c>
      <c r="E866" t="s">
        <v>92</v>
      </c>
      <c r="F866">
        <v>184</v>
      </c>
      <c r="G866" s="4">
        <v>46087.591064814813</v>
      </c>
    </row>
    <row r="867" spans="1:7" x14ac:dyDescent="0.3">
      <c r="A867">
        <v>866</v>
      </c>
      <c r="B867" t="s">
        <v>145</v>
      </c>
      <c r="C867">
        <v>51030711</v>
      </c>
      <c r="D867">
        <v>83.936732446582511</v>
      </c>
      <c r="E867" t="s">
        <v>93</v>
      </c>
      <c r="F867">
        <v>286</v>
      </c>
      <c r="G867" s="4">
        <v>46087.591064814813</v>
      </c>
    </row>
    <row r="868" spans="1:7" x14ac:dyDescent="0.3">
      <c r="A868">
        <v>867</v>
      </c>
      <c r="B868" t="s">
        <v>145</v>
      </c>
      <c r="C868">
        <v>51056574</v>
      </c>
      <c r="D868">
        <v>74.778121405256655</v>
      </c>
      <c r="E868" t="s">
        <v>93</v>
      </c>
      <c r="F868">
        <v>484</v>
      </c>
      <c r="G868" s="4">
        <v>46087.591064814813</v>
      </c>
    </row>
    <row r="869" spans="1:7" x14ac:dyDescent="0.3">
      <c r="A869">
        <v>868</v>
      </c>
      <c r="B869" t="s">
        <v>145</v>
      </c>
      <c r="C869">
        <v>51056957</v>
      </c>
      <c r="D869">
        <v>56.685627977371972</v>
      </c>
      <c r="E869" t="s">
        <v>94</v>
      </c>
      <c r="F869">
        <v>749</v>
      </c>
      <c r="G869" s="4">
        <v>46087.591064814813</v>
      </c>
    </row>
    <row r="870" spans="1:7" x14ac:dyDescent="0.3">
      <c r="A870">
        <v>869</v>
      </c>
      <c r="B870" t="s">
        <v>145</v>
      </c>
      <c r="C870">
        <v>51055331</v>
      </c>
      <c r="D870">
        <v>44.570737211940596</v>
      </c>
      <c r="E870" t="s">
        <v>94</v>
      </c>
      <c r="F870">
        <v>868</v>
      </c>
      <c r="G870" s="4">
        <v>46087.591064814813</v>
      </c>
    </row>
    <row r="871" spans="1:7" x14ac:dyDescent="0.3">
      <c r="A871">
        <v>870</v>
      </c>
      <c r="B871" t="s">
        <v>145</v>
      </c>
      <c r="C871">
        <v>51018397</v>
      </c>
      <c r="D871">
        <v>41.542159528849531</v>
      </c>
      <c r="E871" t="s">
        <v>94</v>
      </c>
      <c r="F871">
        <v>882</v>
      </c>
      <c r="G871" s="4">
        <v>46087.591064814813</v>
      </c>
    </row>
    <row r="872" spans="1:7" x14ac:dyDescent="0.3">
      <c r="A872">
        <v>871</v>
      </c>
      <c r="B872" t="s">
        <v>145</v>
      </c>
      <c r="C872">
        <v>51025148</v>
      </c>
      <c r="D872">
        <v>45.40103734103139</v>
      </c>
      <c r="E872" t="s">
        <v>94</v>
      </c>
      <c r="F872">
        <v>864</v>
      </c>
      <c r="G872" s="4">
        <v>46087.591064814813</v>
      </c>
    </row>
    <row r="873" spans="1:7" x14ac:dyDescent="0.3">
      <c r="A873">
        <v>872</v>
      </c>
      <c r="B873" t="s">
        <v>145</v>
      </c>
      <c r="C873">
        <v>51005392</v>
      </c>
      <c r="D873">
        <v>88.186017976431401</v>
      </c>
      <c r="E873" t="s">
        <v>92</v>
      </c>
      <c r="F873">
        <v>173</v>
      </c>
      <c r="G873" s="4">
        <v>46087.591064814813</v>
      </c>
    </row>
    <row r="874" spans="1:7" x14ac:dyDescent="0.3">
      <c r="A874">
        <v>873</v>
      </c>
      <c r="B874" t="s">
        <v>145</v>
      </c>
      <c r="C874">
        <v>51023153</v>
      </c>
      <c r="D874">
        <v>79.497906606100713</v>
      </c>
      <c r="E874" t="s">
        <v>93</v>
      </c>
      <c r="F874">
        <v>417</v>
      </c>
      <c r="G874" s="4">
        <v>46087.591064814813</v>
      </c>
    </row>
    <row r="875" spans="1:7" x14ac:dyDescent="0.3">
      <c r="A875">
        <v>874</v>
      </c>
      <c r="B875" t="s">
        <v>145</v>
      </c>
      <c r="C875">
        <v>51024095</v>
      </c>
      <c r="D875">
        <v>95.3616952684946</v>
      </c>
      <c r="E875" t="s">
        <v>275</v>
      </c>
      <c r="F875">
        <v>46</v>
      </c>
      <c r="G875" s="4">
        <v>46087.591064814813</v>
      </c>
    </row>
    <row r="876" spans="1:7" x14ac:dyDescent="0.3">
      <c r="A876">
        <v>875</v>
      </c>
      <c r="B876" t="s">
        <v>145</v>
      </c>
      <c r="C876">
        <v>51002024</v>
      </c>
      <c r="D876">
        <v>43.310003110180517</v>
      </c>
      <c r="E876" t="s">
        <v>94</v>
      </c>
      <c r="F876">
        <v>876</v>
      </c>
      <c r="G876" s="4">
        <v>46087.591064814813</v>
      </c>
    </row>
    <row r="877" spans="1:7" x14ac:dyDescent="0.3">
      <c r="A877">
        <v>876</v>
      </c>
      <c r="B877" t="s">
        <v>145</v>
      </c>
      <c r="C877">
        <v>51056311</v>
      </c>
      <c r="D877">
        <v>67.229202125424308</v>
      </c>
      <c r="E877" t="s">
        <v>93</v>
      </c>
      <c r="F877">
        <v>585</v>
      </c>
      <c r="G877" s="4">
        <v>46087.591064814813</v>
      </c>
    </row>
    <row r="878" spans="1:7" x14ac:dyDescent="0.3">
      <c r="A878">
        <v>877</v>
      </c>
      <c r="B878" t="s">
        <v>145</v>
      </c>
      <c r="C878">
        <v>51016467</v>
      </c>
      <c r="D878">
        <v>76.44756989292938</v>
      </c>
      <c r="E878" t="s">
        <v>93</v>
      </c>
      <c r="F878">
        <v>463</v>
      </c>
      <c r="G878" s="4">
        <v>46087.591064814813</v>
      </c>
    </row>
    <row r="879" spans="1:7" x14ac:dyDescent="0.3">
      <c r="A879">
        <v>878</v>
      </c>
      <c r="B879" t="s">
        <v>145</v>
      </c>
      <c r="C879">
        <v>51021614</v>
      </c>
      <c r="D879">
        <v>79.422828482005968</v>
      </c>
      <c r="E879" t="s">
        <v>93</v>
      </c>
      <c r="F879">
        <v>419</v>
      </c>
      <c r="G879" s="4">
        <v>46087.591064814813</v>
      </c>
    </row>
    <row r="880" spans="1:7" x14ac:dyDescent="0.3">
      <c r="A880">
        <v>879</v>
      </c>
      <c r="B880" t="s">
        <v>145</v>
      </c>
      <c r="C880">
        <v>51042506</v>
      </c>
      <c r="D880">
        <v>29.763148383824724</v>
      </c>
      <c r="E880" t="s">
        <v>94</v>
      </c>
      <c r="F880">
        <v>947</v>
      </c>
      <c r="G880" s="4">
        <v>46087.591064814813</v>
      </c>
    </row>
    <row r="881" spans="1:7" x14ac:dyDescent="0.3">
      <c r="A881">
        <v>880</v>
      </c>
      <c r="B881" t="s">
        <v>145</v>
      </c>
      <c r="C881">
        <v>51023412</v>
      </c>
      <c r="D881">
        <v>59.798317735272263</v>
      </c>
      <c r="E881" t="s">
        <v>94</v>
      </c>
      <c r="F881">
        <v>673</v>
      </c>
      <c r="G881" s="4">
        <v>46087.591064814813</v>
      </c>
    </row>
    <row r="882" spans="1:7" x14ac:dyDescent="0.3">
      <c r="A882">
        <v>881</v>
      </c>
      <c r="B882" t="s">
        <v>145</v>
      </c>
      <c r="C882">
        <v>51033116</v>
      </c>
      <c r="D882">
        <v>33.840429466428944</v>
      </c>
      <c r="E882" t="s">
        <v>94</v>
      </c>
      <c r="F882">
        <v>916</v>
      </c>
      <c r="G882" s="4">
        <v>46087.591064814813</v>
      </c>
    </row>
    <row r="883" spans="1:7" x14ac:dyDescent="0.3">
      <c r="A883">
        <v>882</v>
      </c>
      <c r="B883" t="s">
        <v>145</v>
      </c>
      <c r="C883">
        <v>51003292</v>
      </c>
      <c r="D883">
        <v>59.672478859799597</v>
      </c>
      <c r="E883" t="s">
        <v>94</v>
      </c>
      <c r="F883">
        <v>674</v>
      </c>
      <c r="G883" s="4">
        <v>46087.591064814813</v>
      </c>
    </row>
    <row r="884" spans="1:7" x14ac:dyDescent="0.3">
      <c r="A884">
        <v>883</v>
      </c>
      <c r="B884" t="s">
        <v>145</v>
      </c>
      <c r="C884">
        <v>51014251</v>
      </c>
      <c r="D884">
        <v>71.264947503077693</v>
      </c>
      <c r="E884" t="s">
        <v>93</v>
      </c>
      <c r="F884">
        <v>531</v>
      </c>
      <c r="G884" s="4">
        <v>46087.591064814813</v>
      </c>
    </row>
    <row r="885" spans="1:7" x14ac:dyDescent="0.3">
      <c r="A885">
        <v>884</v>
      </c>
      <c r="B885" t="s">
        <v>145</v>
      </c>
      <c r="C885">
        <v>51042999</v>
      </c>
      <c r="D885">
        <v>33.898000000000003</v>
      </c>
      <c r="E885" t="s">
        <v>94</v>
      </c>
      <c r="F885">
        <v>915</v>
      </c>
      <c r="G885" s="4">
        <v>46087.591064814813</v>
      </c>
    </row>
    <row r="886" spans="1:7" x14ac:dyDescent="0.3">
      <c r="A886">
        <v>885</v>
      </c>
      <c r="B886" t="s">
        <v>145</v>
      </c>
      <c r="C886">
        <v>51041712</v>
      </c>
      <c r="D886">
        <v>71.667406744017342</v>
      </c>
      <c r="E886" t="s">
        <v>93</v>
      </c>
      <c r="F886">
        <v>523</v>
      </c>
      <c r="G886" s="4">
        <v>46087.591064814813</v>
      </c>
    </row>
    <row r="887" spans="1:7" x14ac:dyDescent="0.3">
      <c r="A887">
        <v>886</v>
      </c>
      <c r="B887" t="s">
        <v>145</v>
      </c>
      <c r="C887">
        <v>51023293</v>
      </c>
      <c r="D887">
        <v>51.752965934086518</v>
      </c>
      <c r="E887" t="s">
        <v>94</v>
      </c>
      <c r="F887">
        <v>811</v>
      </c>
      <c r="G887" s="4">
        <v>46087.591064814813</v>
      </c>
    </row>
    <row r="888" spans="1:7" x14ac:dyDescent="0.3">
      <c r="A888">
        <v>887</v>
      </c>
      <c r="B888" t="s">
        <v>145</v>
      </c>
      <c r="C888">
        <v>51033507</v>
      </c>
      <c r="D888">
        <v>53.494250073626844</v>
      </c>
      <c r="E888" t="s">
        <v>94</v>
      </c>
      <c r="F888">
        <v>794</v>
      </c>
      <c r="G888" s="4">
        <v>46087.591064814813</v>
      </c>
    </row>
    <row r="889" spans="1:7" x14ac:dyDescent="0.3">
      <c r="A889">
        <v>888</v>
      </c>
      <c r="B889" t="s">
        <v>145</v>
      </c>
      <c r="C889">
        <v>51013875</v>
      </c>
      <c r="D889">
        <v>75.423266772799096</v>
      </c>
      <c r="E889" t="s">
        <v>93</v>
      </c>
      <c r="F889">
        <v>475</v>
      </c>
      <c r="G889" s="4">
        <v>46087.591064814813</v>
      </c>
    </row>
    <row r="890" spans="1:7" x14ac:dyDescent="0.3">
      <c r="A890">
        <v>889</v>
      </c>
      <c r="B890" t="s">
        <v>145</v>
      </c>
      <c r="C890">
        <v>51013395</v>
      </c>
      <c r="D890">
        <v>37.065606056014367</v>
      </c>
      <c r="E890" t="s">
        <v>94</v>
      </c>
      <c r="F890">
        <v>896</v>
      </c>
      <c r="G890" s="4">
        <v>46087.591064814813</v>
      </c>
    </row>
    <row r="891" spans="1:7" x14ac:dyDescent="0.3">
      <c r="A891">
        <v>890</v>
      </c>
      <c r="B891" t="s">
        <v>145</v>
      </c>
      <c r="C891">
        <v>51056108</v>
      </c>
      <c r="D891">
        <v>25.206430604357383</v>
      </c>
      <c r="E891" t="s">
        <v>95</v>
      </c>
      <c r="F891">
        <v>983</v>
      </c>
      <c r="G891" s="4">
        <v>46087.591064814813</v>
      </c>
    </row>
    <row r="892" spans="1:7" x14ac:dyDescent="0.3">
      <c r="A892">
        <v>891</v>
      </c>
      <c r="B892" t="s">
        <v>145</v>
      </c>
      <c r="C892">
        <v>51055837</v>
      </c>
      <c r="D892">
        <v>19.796940374414135</v>
      </c>
      <c r="E892" t="s">
        <v>95</v>
      </c>
      <c r="F892">
        <v>1021</v>
      </c>
      <c r="G892" s="4">
        <v>46087.591064814813</v>
      </c>
    </row>
    <row r="893" spans="1:7" x14ac:dyDescent="0.3">
      <c r="A893">
        <v>892</v>
      </c>
      <c r="B893" t="s">
        <v>145</v>
      </c>
      <c r="C893">
        <v>51056248</v>
      </c>
      <c r="D893">
        <v>32.9</v>
      </c>
      <c r="E893" t="s">
        <v>94</v>
      </c>
      <c r="F893">
        <v>920</v>
      </c>
      <c r="G893" s="4">
        <v>46087.591064814813</v>
      </c>
    </row>
    <row r="894" spans="1:7" x14ac:dyDescent="0.3">
      <c r="A894">
        <v>893</v>
      </c>
      <c r="B894" t="s">
        <v>145</v>
      </c>
      <c r="C894">
        <v>51025245</v>
      </c>
      <c r="D894">
        <v>84.095934457101947</v>
      </c>
      <c r="E894" t="s">
        <v>93</v>
      </c>
      <c r="F894">
        <v>282</v>
      </c>
      <c r="G894" s="4">
        <v>46087.591064814813</v>
      </c>
    </row>
    <row r="895" spans="1:7" x14ac:dyDescent="0.3">
      <c r="A895">
        <v>894</v>
      </c>
      <c r="B895" t="s">
        <v>145</v>
      </c>
      <c r="C895">
        <v>51016360</v>
      </c>
      <c r="D895">
        <v>30.831499999999995</v>
      </c>
      <c r="E895" t="s">
        <v>94</v>
      </c>
      <c r="F895">
        <v>934</v>
      </c>
      <c r="G895" s="4">
        <v>46087.591064814813</v>
      </c>
    </row>
    <row r="896" spans="1:7" x14ac:dyDescent="0.3">
      <c r="A896">
        <v>895</v>
      </c>
      <c r="B896" t="s">
        <v>145</v>
      </c>
      <c r="C896">
        <v>51040881</v>
      </c>
      <c r="D896">
        <v>68.612996886207767</v>
      </c>
      <c r="E896" t="s">
        <v>93</v>
      </c>
      <c r="F896">
        <v>562</v>
      </c>
      <c r="G896" s="4">
        <v>46087.591064814813</v>
      </c>
    </row>
    <row r="897" spans="1:7" x14ac:dyDescent="0.3">
      <c r="A897">
        <v>896</v>
      </c>
      <c r="B897" t="s">
        <v>145</v>
      </c>
      <c r="C897">
        <v>51031776</v>
      </c>
      <c r="D897">
        <v>25.369020895063727</v>
      </c>
      <c r="E897" t="s">
        <v>95</v>
      </c>
      <c r="F897">
        <v>982</v>
      </c>
      <c r="G897" s="4">
        <v>46087.591064814813</v>
      </c>
    </row>
    <row r="898" spans="1:7" x14ac:dyDescent="0.3">
      <c r="A898">
        <v>897</v>
      </c>
      <c r="B898" t="s">
        <v>145</v>
      </c>
      <c r="C898">
        <v>51013166</v>
      </c>
      <c r="D898">
        <v>69.489249962283267</v>
      </c>
      <c r="E898" t="s">
        <v>93</v>
      </c>
      <c r="F898">
        <v>553</v>
      </c>
      <c r="G898" s="4">
        <v>46087.591064814813</v>
      </c>
    </row>
    <row r="899" spans="1:7" x14ac:dyDescent="0.3">
      <c r="A899">
        <v>898</v>
      </c>
      <c r="B899" t="s">
        <v>145</v>
      </c>
      <c r="C899">
        <v>51032918</v>
      </c>
      <c r="D899">
        <v>53.407208963658611</v>
      </c>
      <c r="E899" t="s">
        <v>94</v>
      </c>
      <c r="F899">
        <v>795</v>
      </c>
      <c r="G899" s="4">
        <v>46087.591064814813</v>
      </c>
    </row>
    <row r="900" spans="1:7" x14ac:dyDescent="0.3">
      <c r="A900">
        <v>899</v>
      </c>
      <c r="B900" t="s">
        <v>145</v>
      </c>
      <c r="C900">
        <v>51025717</v>
      </c>
      <c r="D900">
        <v>76.459886944157915</v>
      </c>
      <c r="E900" t="s">
        <v>93</v>
      </c>
      <c r="F900">
        <v>462</v>
      </c>
      <c r="G900" s="4">
        <v>46087.591064814813</v>
      </c>
    </row>
    <row r="901" spans="1:7" x14ac:dyDescent="0.3">
      <c r="A901">
        <v>900</v>
      </c>
      <c r="B901" t="s">
        <v>145</v>
      </c>
      <c r="C901">
        <v>51033001</v>
      </c>
      <c r="D901">
        <v>81.205154869913045</v>
      </c>
      <c r="E901" t="s">
        <v>93</v>
      </c>
      <c r="F901">
        <v>372</v>
      </c>
      <c r="G901" s="4">
        <v>46087.591064814813</v>
      </c>
    </row>
    <row r="902" spans="1:7" x14ac:dyDescent="0.3">
      <c r="A902">
        <v>901</v>
      </c>
      <c r="B902" t="s">
        <v>145</v>
      </c>
      <c r="C902">
        <v>51012674</v>
      </c>
      <c r="D902">
        <v>81.734653736136394</v>
      </c>
      <c r="E902" t="s">
        <v>93</v>
      </c>
      <c r="F902">
        <v>359</v>
      </c>
      <c r="G902" s="4">
        <v>46087.591064814813</v>
      </c>
    </row>
    <row r="903" spans="1:7" x14ac:dyDescent="0.3">
      <c r="A903">
        <v>902</v>
      </c>
      <c r="B903" t="s">
        <v>145</v>
      </c>
      <c r="C903">
        <v>51007743</v>
      </c>
      <c r="D903">
        <v>89.73238147524323</v>
      </c>
      <c r="E903" t="s">
        <v>92</v>
      </c>
      <c r="F903">
        <v>130</v>
      </c>
      <c r="G903" s="4">
        <v>46087.591064814813</v>
      </c>
    </row>
    <row r="904" spans="1:7" x14ac:dyDescent="0.3">
      <c r="A904">
        <v>903</v>
      </c>
      <c r="B904" t="s">
        <v>145</v>
      </c>
      <c r="C904">
        <v>51032705</v>
      </c>
      <c r="D904">
        <v>39.985568877839427</v>
      </c>
      <c r="E904" t="s">
        <v>94</v>
      </c>
      <c r="F904">
        <v>889</v>
      </c>
      <c r="G904" s="4">
        <v>46087.591064814813</v>
      </c>
    </row>
    <row r="905" spans="1:7" x14ac:dyDescent="0.3">
      <c r="A905">
        <v>904</v>
      </c>
      <c r="B905" t="s">
        <v>145</v>
      </c>
      <c r="C905">
        <v>51041887</v>
      </c>
      <c r="D905">
        <v>83.166934357554013</v>
      </c>
      <c r="E905" t="s">
        <v>93</v>
      </c>
      <c r="F905">
        <v>311</v>
      </c>
      <c r="G905" s="4">
        <v>46087.591064814813</v>
      </c>
    </row>
    <row r="906" spans="1:7" x14ac:dyDescent="0.3">
      <c r="A906">
        <v>905</v>
      </c>
      <c r="B906" t="s">
        <v>145</v>
      </c>
      <c r="C906">
        <v>51030826</v>
      </c>
      <c r="D906">
        <v>80.70694412086128</v>
      </c>
      <c r="E906" t="s">
        <v>93</v>
      </c>
      <c r="F906">
        <v>388</v>
      </c>
      <c r="G906" s="4">
        <v>46087.591064814813</v>
      </c>
    </row>
    <row r="907" spans="1:7" x14ac:dyDescent="0.3">
      <c r="A907">
        <v>906</v>
      </c>
      <c r="B907" t="s">
        <v>145</v>
      </c>
      <c r="C907">
        <v>51011007</v>
      </c>
      <c r="D907">
        <v>72.234615991017051</v>
      </c>
      <c r="E907" t="s">
        <v>93</v>
      </c>
      <c r="F907">
        <v>517</v>
      </c>
      <c r="G907" s="4">
        <v>46087.591064814813</v>
      </c>
    </row>
    <row r="908" spans="1:7" x14ac:dyDescent="0.3">
      <c r="A908">
        <v>907</v>
      </c>
      <c r="B908" t="s">
        <v>145</v>
      </c>
      <c r="C908">
        <v>51007514</v>
      </c>
      <c r="D908">
        <v>75.574655948742091</v>
      </c>
      <c r="E908" t="s">
        <v>93</v>
      </c>
      <c r="F908">
        <v>474</v>
      </c>
      <c r="G908" s="4">
        <v>46087.591064814813</v>
      </c>
    </row>
    <row r="909" spans="1:7" x14ac:dyDescent="0.3">
      <c r="A909">
        <v>908</v>
      </c>
      <c r="B909" t="s">
        <v>145</v>
      </c>
      <c r="C909">
        <v>51024281</v>
      </c>
      <c r="D909">
        <v>54.359633153225971</v>
      </c>
      <c r="E909" t="s">
        <v>94</v>
      </c>
      <c r="F909">
        <v>787</v>
      </c>
      <c r="G909" s="4">
        <v>46087.591064814813</v>
      </c>
    </row>
    <row r="910" spans="1:7" x14ac:dyDescent="0.3">
      <c r="A910">
        <v>909</v>
      </c>
      <c r="B910" t="s">
        <v>145</v>
      </c>
      <c r="C910">
        <v>51020961</v>
      </c>
      <c r="D910">
        <v>61.289185476015568</v>
      </c>
      <c r="E910" t="s">
        <v>94</v>
      </c>
      <c r="F910">
        <v>642</v>
      </c>
      <c r="G910" s="4">
        <v>46087.591064814813</v>
      </c>
    </row>
    <row r="911" spans="1:7" x14ac:dyDescent="0.3">
      <c r="A911">
        <v>910</v>
      </c>
      <c r="B911" t="s">
        <v>145</v>
      </c>
      <c r="C911">
        <v>51022718</v>
      </c>
      <c r="D911">
        <v>30.698</v>
      </c>
      <c r="E911" t="s">
        <v>94</v>
      </c>
      <c r="F911">
        <v>937</v>
      </c>
      <c r="G911" s="4">
        <v>46087.591064814813</v>
      </c>
    </row>
    <row r="912" spans="1:7" x14ac:dyDescent="0.3">
      <c r="A912">
        <v>911</v>
      </c>
      <c r="B912" t="s">
        <v>145</v>
      </c>
      <c r="C912">
        <v>51039815</v>
      </c>
      <c r="D912">
        <v>77.638329393369958</v>
      </c>
      <c r="E912" t="s">
        <v>93</v>
      </c>
      <c r="F912">
        <v>444</v>
      </c>
      <c r="G912" s="4">
        <v>46087.591064814813</v>
      </c>
    </row>
    <row r="913" spans="1:7" x14ac:dyDescent="0.3">
      <c r="A913">
        <v>912</v>
      </c>
      <c r="B913" t="s">
        <v>145</v>
      </c>
      <c r="C913">
        <v>51023277</v>
      </c>
      <c r="D913">
        <v>72.353272802130036</v>
      </c>
      <c r="E913" t="s">
        <v>93</v>
      </c>
      <c r="F913">
        <v>515</v>
      </c>
      <c r="G913" s="4">
        <v>46087.591064814813</v>
      </c>
    </row>
    <row r="914" spans="1:7" x14ac:dyDescent="0.3">
      <c r="A914">
        <v>913</v>
      </c>
      <c r="B914" t="s">
        <v>145</v>
      </c>
      <c r="C914">
        <v>51056353</v>
      </c>
      <c r="D914">
        <v>85.931132845708888</v>
      </c>
      <c r="E914" t="s">
        <v>92</v>
      </c>
      <c r="F914">
        <v>233</v>
      </c>
      <c r="G914" s="4">
        <v>46087.591064814813</v>
      </c>
    </row>
    <row r="915" spans="1:7" x14ac:dyDescent="0.3">
      <c r="A915">
        <v>914</v>
      </c>
      <c r="B915" t="s">
        <v>145</v>
      </c>
      <c r="C915">
        <v>51001419</v>
      </c>
      <c r="D915">
        <v>56.197362796989282</v>
      </c>
      <c r="E915" t="s">
        <v>94</v>
      </c>
      <c r="F915">
        <v>760</v>
      </c>
      <c r="G915" s="4">
        <v>46087.591064814813</v>
      </c>
    </row>
    <row r="916" spans="1:7" x14ac:dyDescent="0.3">
      <c r="A916">
        <v>915</v>
      </c>
      <c r="B916" t="s">
        <v>145</v>
      </c>
      <c r="C916">
        <v>51018001</v>
      </c>
      <c r="D916">
        <v>17.898083175396248</v>
      </c>
      <c r="E916" t="s">
        <v>95</v>
      </c>
      <c r="F916">
        <v>1061</v>
      </c>
      <c r="G916" s="4">
        <v>46087.591064814813</v>
      </c>
    </row>
    <row r="917" spans="1:7" x14ac:dyDescent="0.3">
      <c r="A917">
        <v>916</v>
      </c>
      <c r="B917" t="s">
        <v>145</v>
      </c>
      <c r="C917">
        <v>51020707</v>
      </c>
      <c r="D917">
        <v>32.427176462674005</v>
      </c>
      <c r="E917" t="s">
        <v>94</v>
      </c>
      <c r="F917">
        <v>924</v>
      </c>
      <c r="G917" s="4">
        <v>46087.591064814813</v>
      </c>
    </row>
    <row r="918" spans="1:7" x14ac:dyDescent="0.3">
      <c r="A918">
        <v>917</v>
      </c>
      <c r="B918" t="s">
        <v>145</v>
      </c>
      <c r="C918">
        <v>51018923</v>
      </c>
      <c r="D918">
        <v>81.845954003114315</v>
      </c>
      <c r="E918" t="s">
        <v>93</v>
      </c>
      <c r="F918">
        <v>353</v>
      </c>
      <c r="G918" s="4">
        <v>46087.591064814813</v>
      </c>
    </row>
    <row r="919" spans="1:7" x14ac:dyDescent="0.3">
      <c r="A919">
        <v>918</v>
      </c>
      <c r="B919" t="s">
        <v>145</v>
      </c>
      <c r="C919">
        <v>51012721</v>
      </c>
      <c r="D919">
        <v>61.092020520607683</v>
      </c>
      <c r="E919" t="s">
        <v>94</v>
      </c>
      <c r="F919">
        <v>645</v>
      </c>
      <c r="G919" s="4">
        <v>46087.591064814813</v>
      </c>
    </row>
    <row r="920" spans="1:7" x14ac:dyDescent="0.3">
      <c r="A920">
        <v>919</v>
      </c>
      <c r="B920" t="s">
        <v>145</v>
      </c>
      <c r="C920">
        <v>51020634</v>
      </c>
      <c r="D920">
        <v>64.809831983313174</v>
      </c>
      <c r="E920" t="s">
        <v>94</v>
      </c>
      <c r="F920">
        <v>606</v>
      </c>
      <c r="G920" s="4">
        <v>46087.591064814813</v>
      </c>
    </row>
    <row r="921" spans="1:7" x14ac:dyDescent="0.3">
      <c r="A921">
        <v>920</v>
      </c>
      <c r="B921" t="s">
        <v>145</v>
      </c>
      <c r="C921">
        <v>51056507</v>
      </c>
      <c r="D921">
        <v>29.360252898061717</v>
      </c>
      <c r="E921" t="s">
        <v>94</v>
      </c>
      <c r="F921">
        <v>951</v>
      </c>
      <c r="G921" s="4">
        <v>46087.591064814813</v>
      </c>
    </row>
    <row r="922" spans="1:7" x14ac:dyDescent="0.3">
      <c r="A922">
        <v>921</v>
      </c>
      <c r="B922" t="s">
        <v>145</v>
      </c>
      <c r="C922">
        <v>51002105</v>
      </c>
      <c r="D922">
        <v>47.341676946819433</v>
      </c>
      <c r="E922" t="s">
        <v>94</v>
      </c>
      <c r="F922">
        <v>844</v>
      </c>
      <c r="G922" s="4">
        <v>46087.591064814813</v>
      </c>
    </row>
    <row r="923" spans="1:7" x14ac:dyDescent="0.3">
      <c r="A923">
        <v>922</v>
      </c>
      <c r="B923" t="s">
        <v>145</v>
      </c>
      <c r="C923">
        <v>51055136</v>
      </c>
      <c r="D923">
        <v>29.784999999999997</v>
      </c>
      <c r="E923" t="s">
        <v>94</v>
      </c>
      <c r="F923">
        <v>946</v>
      </c>
      <c r="G923" s="4">
        <v>46087.591064814813</v>
      </c>
    </row>
    <row r="924" spans="1:7" x14ac:dyDescent="0.3">
      <c r="A924">
        <v>923</v>
      </c>
      <c r="B924" t="s">
        <v>145</v>
      </c>
      <c r="C924">
        <v>51008685</v>
      </c>
      <c r="D924">
        <v>83.729312252908102</v>
      </c>
      <c r="E924" t="s">
        <v>93</v>
      </c>
      <c r="F924">
        <v>293</v>
      </c>
      <c r="G924" s="4">
        <v>46087.591064814813</v>
      </c>
    </row>
    <row r="925" spans="1:7" x14ac:dyDescent="0.3">
      <c r="A925">
        <v>924</v>
      </c>
      <c r="B925" t="s">
        <v>145</v>
      </c>
      <c r="C925">
        <v>51055306</v>
      </c>
      <c r="D925">
        <v>70.727143277164245</v>
      </c>
      <c r="E925" t="s">
        <v>93</v>
      </c>
      <c r="F925">
        <v>535</v>
      </c>
      <c r="G925" s="4">
        <v>46087.591064814813</v>
      </c>
    </row>
    <row r="926" spans="1:7" x14ac:dyDescent="0.3">
      <c r="A926">
        <v>925</v>
      </c>
      <c r="B926" t="s">
        <v>145</v>
      </c>
      <c r="C926">
        <v>51024036</v>
      </c>
      <c r="D926">
        <v>55.487158260093231</v>
      </c>
      <c r="E926" t="s">
        <v>94</v>
      </c>
      <c r="F926">
        <v>774</v>
      </c>
      <c r="G926" s="4">
        <v>46087.591064814813</v>
      </c>
    </row>
    <row r="927" spans="1:7" x14ac:dyDescent="0.3">
      <c r="A927">
        <v>926</v>
      </c>
      <c r="B927" t="s">
        <v>145</v>
      </c>
      <c r="C927">
        <v>51011597</v>
      </c>
      <c r="D927">
        <v>64.957101085121479</v>
      </c>
      <c r="E927" t="s">
        <v>94</v>
      </c>
      <c r="F927">
        <v>604</v>
      </c>
      <c r="G927" s="4">
        <v>46087.591064814813</v>
      </c>
    </row>
    <row r="928" spans="1:7" x14ac:dyDescent="0.3">
      <c r="A928">
        <v>927</v>
      </c>
      <c r="B928" t="s">
        <v>145</v>
      </c>
      <c r="C928">
        <v>51043260</v>
      </c>
      <c r="D928">
        <v>79.772831390159809</v>
      </c>
      <c r="E928" t="s">
        <v>93</v>
      </c>
      <c r="F928">
        <v>409</v>
      </c>
      <c r="G928" s="4">
        <v>46087.591064814813</v>
      </c>
    </row>
    <row r="929" spans="1:7" x14ac:dyDescent="0.3">
      <c r="A929">
        <v>928</v>
      </c>
      <c r="B929" t="s">
        <v>145</v>
      </c>
      <c r="C929">
        <v>51004035</v>
      </c>
      <c r="D929">
        <v>30.934628667721771</v>
      </c>
      <c r="E929" t="s">
        <v>94</v>
      </c>
      <c r="F929">
        <v>932</v>
      </c>
      <c r="G929" s="4">
        <v>46087.591064814813</v>
      </c>
    </row>
    <row r="930" spans="1:7" x14ac:dyDescent="0.3">
      <c r="A930">
        <v>929</v>
      </c>
      <c r="B930" t="s">
        <v>145</v>
      </c>
      <c r="C930">
        <v>51043537</v>
      </c>
      <c r="D930">
        <v>56.299223914786474</v>
      </c>
      <c r="E930" t="s">
        <v>94</v>
      </c>
      <c r="F930">
        <v>756</v>
      </c>
      <c r="G930" s="4">
        <v>46087.591064814813</v>
      </c>
    </row>
    <row r="931" spans="1:7" x14ac:dyDescent="0.3">
      <c r="A931">
        <v>930</v>
      </c>
      <c r="B931" t="s">
        <v>145</v>
      </c>
      <c r="C931">
        <v>51056752</v>
      </c>
      <c r="D931">
        <v>60.363098177503517</v>
      </c>
      <c r="E931" t="s">
        <v>94</v>
      </c>
      <c r="F931">
        <v>661</v>
      </c>
      <c r="G931" s="4">
        <v>46087.591064814813</v>
      </c>
    </row>
    <row r="932" spans="1:7" x14ac:dyDescent="0.3">
      <c r="A932">
        <v>931</v>
      </c>
      <c r="B932" t="s">
        <v>145</v>
      </c>
      <c r="C932">
        <v>51031857</v>
      </c>
      <c r="D932">
        <v>76.586310077125958</v>
      </c>
      <c r="E932" t="s">
        <v>93</v>
      </c>
      <c r="F932">
        <v>458</v>
      </c>
      <c r="G932" s="4">
        <v>46087.591064814813</v>
      </c>
    </row>
    <row r="933" spans="1:7" x14ac:dyDescent="0.3">
      <c r="A933">
        <v>932</v>
      </c>
      <c r="B933" t="s">
        <v>145</v>
      </c>
      <c r="C933">
        <v>51014138</v>
      </c>
      <c r="D933">
        <v>68.291781252024705</v>
      </c>
      <c r="E933" t="s">
        <v>93</v>
      </c>
      <c r="F933">
        <v>569</v>
      </c>
      <c r="G933" s="4">
        <v>46087.591064814813</v>
      </c>
    </row>
    <row r="934" spans="1:7" x14ac:dyDescent="0.3">
      <c r="A934">
        <v>933</v>
      </c>
      <c r="B934" t="s">
        <v>145</v>
      </c>
      <c r="C934">
        <v>51055578</v>
      </c>
      <c r="D934">
        <v>40.886208838966915</v>
      </c>
      <c r="E934" t="s">
        <v>94</v>
      </c>
      <c r="F934">
        <v>884</v>
      </c>
      <c r="G934" s="4">
        <v>46087.591064814813</v>
      </c>
    </row>
    <row r="935" spans="1:7" x14ac:dyDescent="0.3">
      <c r="A935">
        <v>934</v>
      </c>
      <c r="B935" t="s">
        <v>145</v>
      </c>
      <c r="C935">
        <v>51024028</v>
      </c>
      <c r="D935">
        <v>74.84072652925768</v>
      </c>
      <c r="E935" t="s">
        <v>93</v>
      </c>
      <c r="F935">
        <v>481</v>
      </c>
      <c r="G935" s="4">
        <v>46087.591064814813</v>
      </c>
    </row>
    <row r="936" spans="1:7" x14ac:dyDescent="0.3">
      <c r="A936">
        <v>935</v>
      </c>
      <c r="B936" t="s">
        <v>145</v>
      </c>
      <c r="C936">
        <v>51057031</v>
      </c>
      <c r="D936">
        <v>86.24308811881636</v>
      </c>
      <c r="E936" t="s">
        <v>92</v>
      </c>
      <c r="F936">
        <v>225</v>
      </c>
      <c r="G936" s="4">
        <v>46087.591064814813</v>
      </c>
    </row>
    <row r="937" spans="1:7" x14ac:dyDescent="0.3">
      <c r="A937">
        <v>936</v>
      </c>
      <c r="B937" t="s">
        <v>145</v>
      </c>
      <c r="C937">
        <v>51011929</v>
      </c>
      <c r="D937">
        <v>76.298198242874889</v>
      </c>
      <c r="E937" t="s">
        <v>93</v>
      </c>
      <c r="F937">
        <v>466</v>
      </c>
      <c r="G937" s="4">
        <v>46087.591064814813</v>
      </c>
    </row>
    <row r="938" spans="1:7" x14ac:dyDescent="0.3">
      <c r="A938">
        <v>937</v>
      </c>
      <c r="B938" t="s">
        <v>145</v>
      </c>
      <c r="C938">
        <v>51017773</v>
      </c>
      <c r="D938">
        <v>68.608648868268432</v>
      </c>
      <c r="E938" t="s">
        <v>93</v>
      </c>
      <c r="F938">
        <v>563</v>
      </c>
      <c r="G938" s="4">
        <v>46087.591064814813</v>
      </c>
    </row>
    <row r="939" spans="1:7" x14ac:dyDescent="0.3">
      <c r="A939">
        <v>938</v>
      </c>
      <c r="B939" t="s">
        <v>145</v>
      </c>
      <c r="C939">
        <v>51003063</v>
      </c>
      <c r="D939">
        <v>66.084052860030539</v>
      </c>
      <c r="E939" t="s">
        <v>93</v>
      </c>
      <c r="F939">
        <v>594</v>
      </c>
      <c r="G939" s="4">
        <v>46087.591064814813</v>
      </c>
    </row>
    <row r="940" spans="1:7" x14ac:dyDescent="0.3">
      <c r="A940">
        <v>939</v>
      </c>
      <c r="B940" t="s">
        <v>145</v>
      </c>
      <c r="C940">
        <v>51022572</v>
      </c>
      <c r="D940">
        <v>79.059638292815833</v>
      </c>
      <c r="E940" t="s">
        <v>93</v>
      </c>
      <c r="F940">
        <v>427</v>
      </c>
      <c r="G940" s="4">
        <v>46087.591064814813</v>
      </c>
    </row>
    <row r="941" spans="1:7" x14ac:dyDescent="0.3">
      <c r="A941">
        <v>940</v>
      </c>
      <c r="B941" t="s">
        <v>145</v>
      </c>
      <c r="C941">
        <v>51022343</v>
      </c>
      <c r="D941">
        <v>18.576978487944512</v>
      </c>
      <c r="E941" t="s">
        <v>95</v>
      </c>
      <c r="F941">
        <v>1049</v>
      </c>
      <c r="G941" s="4">
        <v>46087.591064814813</v>
      </c>
    </row>
    <row r="942" spans="1:7" x14ac:dyDescent="0.3">
      <c r="A942">
        <v>941</v>
      </c>
      <c r="B942" t="s">
        <v>145</v>
      </c>
      <c r="C942">
        <v>51015835</v>
      </c>
      <c r="D942">
        <v>22.678599999999999</v>
      </c>
      <c r="E942" t="s">
        <v>95</v>
      </c>
      <c r="F942">
        <v>996</v>
      </c>
      <c r="G942" s="4">
        <v>46087.591064814813</v>
      </c>
    </row>
    <row r="943" spans="1:7" x14ac:dyDescent="0.3">
      <c r="A943">
        <v>942</v>
      </c>
      <c r="B943" t="s">
        <v>145</v>
      </c>
      <c r="C943">
        <v>51056329</v>
      </c>
      <c r="D943">
        <v>84.49980595615618</v>
      </c>
      <c r="E943" t="s">
        <v>93</v>
      </c>
      <c r="F943">
        <v>271</v>
      </c>
      <c r="G943" s="4">
        <v>46087.591064814813</v>
      </c>
    </row>
    <row r="944" spans="1:7" x14ac:dyDescent="0.3">
      <c r="A944">
        <v>943</v>
      </c>
      <c r="B944" t="s">
        <v>145</v>
      </c>
      <c r="C944">
        <v>51030915</v>
      </c>
      <c r="D944">
        <v>24.42554433382076</v>
      </c>
      <c r="E944" t="s">
        <v>95</v>
      </c>
      <c r="F944">
        <v>988</v>
      </c>
      <c r="G944" s="4">
        <v>46087.591064814813</v>
      </c>
    </row>
    <row r="945" spans="1:7" x14ac:dyDescent="0.3">
      <c r="A945">
        <v>944</v>
      </c>
      <c r="B945" t="s">
        <v>145</v>
      </c>
      <c r="C945">
        <v>51017871</v>
      </c>
      <c r="D945">
        <v>18.621669310019001</v>
      </c>
      <c r="E945" t="s">
        <v>95</v>
      </c>
      <c r="F945">
        <v>1047</v>
      </c>
      <c r="G945" s="4">
        <v>46087.591064814813</v>
      </c>
    </row>
    <row r="946" spans="1:7" x14ac:dyDescent="0.3">
      <c r="A946">
        <v>945</v>
      </c>
      <c r="B946" t="s">
        <v>145</v>
      </c>
      <c r="C946">
        <v>51017218</v>
      </c>
      <c r="D946">
        <v>97.660591863292993</v>
      </c>
      <c r="E946" t="s">
        <v>275</v>
      </c>
      <c r="F946">
        <v>25</v>
      </c>
      <c r="G946" s="4">
        <v>46087.591064814813</v>
      </c>
    </row>
    <row r="947" spans="1:7" x14ac:dyDescent="0.3">
      <c r="A947">
        <v>946</v>
      </c>
      <c r="B947" t="s">
        <v>145</v>
      </c>
      <c r="C947">
        <v>51039025</v>
      </c>
      <c r="D947">
        <v>46.065480105388303</v>
      </c>
      <c r="E947" t="s">
        <v>94</v>
      </c>
      <c r="F947">
        <v>856</v>
      </c>
      <c r="G947" s="4">
        <v>46087.591064814813</v>
      </c>
    </row>
    <row r="948" spans="1:7" x14ac:dyDescent="0.3">
      <c r="A948">
        <v>947</v>
      </c>
      <c r="B948" t="s">
        <v>145</v>
      </c>
      <c r="C948">
        <v>51026497</v>
      </c>
      <c r="D948">
        <v>59.42696136070407</v>
      </c>
      <c r="E948" t="s">
        <v>94</v>
      </c>
      <c r="F948">
        <v>679</v>
      </c>
      <c r="G948" s="4">
        <v>46087.591064814813</v>
      </c>
    </row>
    <row r="949" spans="1:7" x14ac:dyDescent="0.3">
      <c r="A949">
        <v>948</v>
      </c>
      <c r="B949" t="s">
        <v>145</v>
      </c>
      <c r="C949">
        <v>51043693</v>
      </c>
      <c r="D949">
        <v>78.843497667554217</v>
      </c>
      <c r="E949" t="s">
        <v>93</v>
      </c>
      <c r="F949">
        <v>433</v>
      </c>
      <c r="G949" s="4">
        <v>46087.591064814813</v>
      </c>
    </row>
    <row r="950" spans="1:7" x14ac:dyDescent="0.3">
      <c r="A950">
        <v>949</v>
      </c>
      <c r="B950" t="s">
        <v>145</v>
      </c>
      <c r="C950">
        <v>51001532</v>
      </c>
      <c r="D950">
        <v>59.171691150622756</v>
      </c>
      <c r="E950" t="s">
        <v>94</v>
      </c>
      <c r="F950">
        <v>688</v>
      </c>
      <c r="G950" s="4">
        <v>46087.591064814813</v>
      </c>
    </row>
    <row r="951" spans="1:7" x14ac:dyDescent="0.3">
      <c r="A951">
        <v>950</v>
      </c>
      <c r="B951" t="s">
        <v>145</v>
      </c>
      <c r="C951">
        <v>51002709</v>
      </c>
      <c r="D951">
        <v>28.898000000000003</v>
      </c>
      <c r="E951" t="s">
        <v>95</v>
      </c>
      <c r="F951">
        <v>955</v>
      </c>
      <c r="G951" s="4">
        <v>46087.591064814813</v>
      </c>
    </row>
    <row r="952" spans="1:7" x14ac:dyDescent="0.3">
      <c r="A952">
        <v>951</v>
      </c>
      <c r="B952" t="s">
        <v>145</v>
      </c>
      <c r="C952">
        <v>51015151</v>
      </c>
      <c r="D952">
        <v>10.639999999999999</v>
      </c>
      <c r="E952" t="s">
        <v>95</v>
      </c>
      <c r="F952">
        <v>1163</v>
      </c>
      <c r="G952" s="4">
        <v>46087.591064814813</v>
      </c>
    </row>
    <row r="953" spans="1:7" x14ac:dyDescent="0.3">
      <c r="A953">
        <v>952</v>
      </c>
      <c r="B953" t="s">
        <v>145</v>
      </c>
      <c r="C953">
        <v>51009941</v>
      </c>
      <c r="D953">
        <v>65.919324080180374</v>
      </c>
      <c r="E953" t="s">
        <v>93</v>
      </c>
      <c r="F953">
        <v>597</v>
      </c>
      <c r="G953" s="4">
        <v>46087.591064814813</v>
      </c>
    </row>
    <row r="954" spans="1:7" x14ac:dyDescent="0.3">
      <c r="A954">
        <v>953</v>
      </c>
      <c r="B954" t="s">
        <v>145</v>
      </c>
      <c r="C954">
        <v>51024818</v>
      </c>
      <c r="D954">
        <v>14.835669667238101</v>
      </c>
      <c r="E954" t="s">
        <v>95</v>
      </c>
      <c r="F954">
        <v>1096</v>
      </c>
      <c r="G954" s="4">
        <v>46087.591064814813</v>
      </c>
    </row>
    <row r="955" spans="1:7" x14ac:dyDescent="0.3">
      <c r="A955">
        <v>954</v>
      </c>
      <c r="B955" t="s">
        <v>145</v>
      </c>
      <c r="C955">
        <v>51010523</v>
      </c>
      <c r="D955">
        <v>34.097999999999999</v>
      </c>
      <c r="E955" t="s">
        <v>94</v>
      </c>
      <c r="F955">
        <v>913</v>
      </c>
      <c r="G955" s="4">
        <v>46087.591064814813</v>
      </c>
    </row>
    <row r="956" spans="1:7" x14ac:dyDescent="0.3">
      <c r="A956">
        <v>955</v>
      </c>
      <c r="B956" t="s">
        <v>145</v>
      </c>
      <c r="C956">
        <v>51000552</v>
      </c>
      <c r="D956">
        <v>90.065202700160626</v>
      </c>
      <c r="E956" t="s">
        <v>92</v>
      </c>
      <c r="F956">
        <v>122</v>
      </c>
      <c r="G956" s="4">
        <v>46087.591064814813</v>
      </c>
    </row>
    <row r="957" spans="1:7" x14ac:dyDescent="0.3">
      <c r="A957">
        <v>956</v>
      </c>
      <c r="B957" t="s">
        <v>145</v>
      </c>
      <c r="C957">
        <v>51052331</v>
      </c>
      <c r="D957">
        <v>62.211038843922097</v>
      </c>
      <c r="E957" t="s">
        <v>94</v>
      </c>
      <c r="F957">
        <v>625</v>
      </c>
      <c r="G957" s="4">
        <v>46087.591064814813</v>
      </c>
    </row>
    <row r="958" spans="1:7" x14ac:dyDescent="0.3">
      <c r="A958">
        <v>957</v>
      </c>
      <c r="B958" t="s">
        <v>145</v>
      </c>
      <c r="C958">
        <v>51024460</v>
      </c>
      <c r="D958">
        <v>22.927972882145671</v>
      </c>
      <c r="E958" t="s">
        <v>95</v>
      </c>
      <c r="F958">
        <v>995</v>
      </c>
      <c r="G958" s="4">
        <v>46087.591064814813</v>
      </c>
    </row>
    <row r="959" spans="1:7" x14ac:dyDescent="0.3">
      <c r="A959">
        <v>958</v>
      </c>
      <c r="B959" t="s">
        <v>145</v>
      </c>
      <c r="C959">
        <v>51024885</v>
      </c>
      <c r="D959">
        <v>61.683636429059582</v>
      </c>
      <c r="E959" t="s">
        <v>94</v>
      </c>
      <c r="F959">
        <v>633</v>
      </c>
      <c r="G959" s="4">
        <v>46087.591064814813</v>
      </c>
    </row>
    <row r="960" spans="1:7" x14ac:dyDescent="0.3">
      <c r="A960">
        <v>959</v>
      </c>
      <c r="B960" t="s">
        <v>145</v>
      </c>
      <c r="C960">
        <v>51005554</v>
      </c>
      <c r="D960">
        <v>58.827119869984436</v>
      </c>
      <c r="E960" t="s">
        <v>94</v>
      </c>
      <c r="F960">
        <v>696</v>
      </c>
      <c r="G960" s="4">
        <v>46087.591064814813</v>
      </c>
    </row>
    <row r="961" spans="1:7" x14ac:dyDescent="0.3">
      <c r="A961">
        <v>960</v>
      </c>
      <c r="B961" t="s">
        <v>145</v>
      </c>
      <c r="C961">
        <v>51024478</v>
      </c>
      <c r="D961">
        <v>47.776513547934414</v>
      </c>
      <c r="E961" t="s">
        <v>94</v>
      </c>
      <c r="F961">
        <v>842</v>
      </c>
      <c r="G961" s="4">
        <v>46087.591064814813</v>
      </c>
    </row>
    <row r="962" spans="1:7" x14ac:dyDescent="0.3">
      <c r="A962">
        <v>961</v>
      </c>
      <c r="B962" t="s">
        <v>145</v>
      </c>
      <c r="C962">
        <v>51012691</v>
      </c>
      <c r="D962">
        <v>74.428609989624761</v>
      </c>
      <c r="E962" t="s">
        <v>93</v>
      </c>
      <c r="F962">
        <v>488</v>
      </c>
      <c r="G962" s="4">
        <v>46087.591064814813</v>
      </c>
    </row>
    <row r="963" spans="1:7" x14ac:dyDescent="0.3">
      <c r="A963">
        <v>962</v>
      </c>
      <c r="B963" t="s">
        <v>145</v>
      </c>
      <c r="C963">
        <v>51015681</v>
      </c>
      <c r="D963">
        <v>16.050734554933157</v>
      </c>
      <c r="E963" t="s">
        <v>95</v>
      </c>
      <c r="F963">
        <v>1086</v>
      </c>
      <c r="G963" s="4">
        <v>46087.591064814813</v>
      </c>
    </row>
    <row r="964" spans="1:7" x14ac:dyDescent="0.3">
      <c r="A964">
        <v>963</v>
      </c>
      <c r="B964" t="s">
        <v>145</v>
      </c>
      <c r="C964">
        <v>51019008</v>
      </c>
      <c r="D964">
        <v>29.697800000000004</v>
      </c>
      <c r="E964" t="s">
        <v>94</v>
      </c>
      <c r="F964">
        <v>948</v>
      </c>
      <c r="G964" s="4">
        <v>46087.591064814813</v>
      </c>
    </row>
    <row r="965" spans="1:7" x14ac:dyDescent="0.3">
      <c r="A965">
        <v>964</v>
      </c>
      <c r="B965" t="s">
        <v>145</v>
      </c>
      <c r="C965">
        <v>51015762</v>
      </c>
      <c r="D965">
        <v>100</v>
      </c>
      <c r="E965" t="s">
        <v>275</v>
      </c>
      <c r="F965">
        <v>1</v>
      </c>
      <c r="G965" s="4">
        <v>46087.591064814813</v>
      </c>
    </row>
    <row r="966" spans="1:7" x14ac:dyDescent="0.3">
      <c r="A966">
        <v>965</v>
      </c>
      <c r="B966" t="s">
        <v>145</v>
      </c>
      <c r="C966">
        <v>51017714</v>
      </c>
      <c r="D966">
        <v>63.390834261750761</v>
      </c>
      <c r="E966" t="s">
        <v>94</v>
      </c>
      <c r="F966">
        <v>616</v>
      </c>
      <c r="G966" s="4">
        <v>46087.591064814813</v>
      </c>
    </row>
    <row r="967" spans="1:7" x14ac:dyDescent="0.3">
      <c r="A967">
        <v>966</v>
      </c>
      <c r="B967" t="s">
        <v>145</v>
      </c>
      <c r="C967">
        <v>51031997</v>
      </c>
      <c r="D967">
        <v>51.824566806877414</v>
      </c>
      <c r="E967" t="s">
        <v>94</v>
      </c>
      <c r="F967">
        <v>808</v>
      </c>
      <c r="G967" s="4">
        <v>46087.591064814813</v>
      </c>
    </row>
    <row r="968" spans="1:7" x14ac:dyDescent="0.3">
      <c r="A968">
        <v>967</v>
      </c>
      <c r="B968" t="s">
        <v>145</v>
      </c>
      <c r="C968">
        <v>51039181</v>
      </c>
      <c r="D968">
        <v>58.968572951285566</v>
      </c>
      <c r="E968" t="s">
        <v>94</v>
      </c>
      <c r="F968">
        <v>692</v>
      </c>
      <c r="G968" s="4">
        <v>46087.591064814813</v>
      </c>
    </row>
    <row r="969" spans="1:7" x14ac:dyDescent="0.3">
      <c r="A969">
        <v>968</v>
      </c>
      <c r="B969" t="s">
        <v>145</v>
      </c>
      <c r="C969">
        <v>51057121</v>
      </c>
      <c r="D969">
        <v>60.464881885992085</v>
      </c>
      <c r="E969" t="s">
        <v>94</v>
      </c>
      <c r="F969">
        <v>659</v>
      </c>
      <c r="G969" s="4">
        <v>46087.591064814813</v>
      </c>
    </row>
    <row r="970" spans="1:7" x14ac:dyDescent="0.3">
      <c r="A970">
        <v>969</v>
      </c>
      <c r="B970" t="s">
        <v>145</v>
      </c>
      <c r="C970">
        <v>51018290</v>
      </c>
      <c r="D970">
        <v>48.224656948815202</v>
      </c>
      <c r="E970" t="s">
        <v>94</v>
      </c>
      <c r="F970">
        <v>840</v>
      </c>
      <c r="G970" s="4">
        <v>46087.591064814813</v>
      </c>
    </row>
    <row r="971" spans="1:7" x14ac:dyDescent="0.3">
      <c r="A971">
        <v>970</v>
      </c>
      <c r="B971" t="s">
        <v>145</v>
      </c>
      <c r="C971">
        <v>51043561</v>
      </c>
      <c r="D971">
        <v>61.603040941364171</v>
      </c>
      <c r="E971" t="s">
        <v>94</v>
      </c>
      <c r="F971">
        <v>635</v>
      </c>
      <c r="G971" s="4">
        <v>46087.591064814813</v>
      </c>
    </row>
    <row r="972" spans="1:7" x14ac:dyDescent="0.3">
      <c r="A972">
        <v>971</v>
      </c>
      <c r="B972" t="s">
        <v>145</v>
      </c>
      <c r="C972">
        <v>51036964</v>
      </c>
      <c r="D972">
        <v>23.87</v>
      </c>
      <c r="E972" t="s">
        <v>95</v>
      </c>
      <c r="F972">
        <v>989</v>
      </c>
      <c r="G972" s="4">
        <v>46087.591064814813</v>
      </c>
    </row>
    <row r="973" spans="1:7" x14ac:dyDescent="0.3">
      <c r="A973">
        <v>972</v>
      </c>
      <c r="B973" t="s">
        <v>145</v>
      </c>
      <c r="C973">
        <v>51030290</v>
      </c>
      <c r="D973">
        <v>34.6</v>
      </c>
      <c r="E973" t="s">
        <v>94</v>
      </c>
      <c r="F973">
        <v>908</v>
      </c>
      <c r="G973" s="4">
        <v>46087.591064814813</v>
      </c>
    </row>
    <row r="974" spans="1:7" x14ac:dyDescent="0.3">
      <c r="A974">
        <v>973</v>
      </c>
      <c r="B974" t="s">
        <v>145</v>
      </c>
      <c r="C974">
        <v>51023331</v>
      </c>
      <c r="D974">
        <v>24.498600000000003</v>
      </c>
      <c r="E974" t="s">
        <v>95</v>
      </c>
      <c r="F974">
        <v>986</v>
      </c>
      <c r="G974" s="4">
        <v>46087.591064814813</v>
      </c>
    </row>
    <row r="975" spans="1:7" x14ac:dyDescent="0.3">
      <c r="A975">
        <v>974</v>
      </c>
      <c r="B975" t="s">
        <v>145</v>
      </c>
      <c r="C975">
        <v>51024010</v>
      </c>
      <c r="D975">
        <v>70.099805908294371</v>
      </c>
      <c r="E975" t="s">
        <v>93</v>
      </c>
      <c r="F975">
        <v>544</v>
      </c>
      <c r="G975" s="4">
        <v>46087.591064814813</v>
      </c>
    </row>
    <row r="976" spans="1:7" x14ac:dyDescent="0.3">
      <c r="A976">
        <v>975</v>
      </c>
      <c r="B976" t="s">
        <v>145</v>
      </c>
      <c r="C976">
        <v>51024664</v>
      </c>
      <c r="D976">
        <v>90.972898985938599</v>
      </c>
      <c r="E976" t="s">
        <v>92</v>
      </c>
      <c r="F976">
        <v>107</v>
      </c>
      <c r="G976" s="4">
        <v>46087.591064814813</v>
      </c>
    </row>
    <row r="977" spans="1:7" x14ac:dyDescent="0.3">
      <c r="A977">
        <v>976</v>
      </c>
      <c r="B977" t="s">
        <v>145</v>
      </c>
      <c r="C977">
        <v>51009185</v>
      </c>
      <c r="D977">
        <v>77.303731226315293</v>
      </c>
      <c r="E977" t="s">
        <v>93</v>
      </c>
      <c r="F977">
        <v>451</v>
      </c>
      <c r="G977" s="4">
        <v>46087.591064814813</v>
      </c>
    </row>
    <row r="978" spans="1:7" x14ac:dyDescent="0.3">
      <c r="A978">
        <v>977</v>
      </c>
      <c r="B978" t="s">
        <v>145</v>
      </c>
      <c r="C978">
        <v>51039424</v>
      </c>
      <c r="D978">
        <v>19.508999999999997</v>
      </c>
      <c r="E978" t="s">
        <v>95</v>
      </c>
      <c r="F978">
        <v>1024</v>
      </c>
      <c r="G978" s="4">
        <v>46087.591064814813</v>
      </c>
    </row>
    <row r="979" spans="1:7" x14ac:dyDescent="0.3">
      <c r="A979">
        <v>978</v>
      </c>
      <c r="B979" t="s">
        <v>145</v>
      </c>
      <c r="C979">
        <v>51038941</v>
      </c>
      <c r="D979">
        <v>72.237023429643017</v>
      </c>
      <c r="E979" t="s">
        <v>93</v>
      </c>
      <c r="F979">
        <v>516</v>
      </c>
      <c r="G979" s="4">
        <v>46087.591064814813</v>
      </c>
    </row>
    <row r="980" spans="1:7" x14ac:dyDescent="0.3">
      <c r="A980">
        <v>979</v>
      </c>
      <c r="B980" t="s">
        <v>145</v>
      </c>
      <c r="C980">
        <v>51015126</v>
      </c>
      <c r="D980">
        <v>18.898599999999998</v>
      </c>
      <c r="E980" t="s">
        <v>95</v>
      </c>
      <c r="F980">
        <v>1041</v>
      </c>
      <c r="G980" s="4">
        <v>46087.591064814813</v>
      </c>
    </row>
    <row r="981" spans="1:7" x14ac:dyDescent="0.3">
      <c r="A981">
        <v>980</v>
      </c>
      <c r="B981" t="s">
        <v>145</v>
      </c>
      <c r="C981">
        <v>51017234</v>
      </c>
      <c r="D981">
        <v>11.501497060487385</v>
      </c>
      <c r="E981" t="s">
        <v>95</v>
      </c>
      <c r="F981">
        <v>1148</v>
      </c>
      <c r="G981" s="4">
        <v>46087.591064814813</v>
      </c>
    </row>
    <row r="982" spans="1:7" x14ac:dyDescent="0.3">
      <c r="A982">
        <v>981</v>
      </c>
      <c r="B982" t="s">
        <v>145</v>
      </c>
      <c r="C982">
        <v>51012852</v>
      </c>
      <c r="D982">
        <v>52.441404130830477</v>
      </c>
      <c r="E982" t="s">
        <v>94</v>
      </c>
      <c r="F982">
        <v>805</v>
      </c>
      <c r="G982" s="4">
        <v>46087.591064814813</v>
      </c>
    </row>
    <row r="983" spans="1:7" x14ac:dyDescent="0.3">
      <c r="A983">
        <v>982</v>
      </c>
      <c r="B983" t="s">
        <v>145</v>
      </c>
      <c r="C983">
        <v>51010396</v>
      </c>
      <c r="D983">
        <v>53.926586244113011</v>
      </c>
      <c r="E983" t="s">
        <v>94</v>
      </c>
      <c r="F983">
        <v>793</v>
      </c>
      <c r="G983" s="4">
        <v>46087.591064814813</v>
      </c>
    </row>
    <row r="984" spans="1:7" x14ac:dyDescent="0.3">
      <c r="A984">
        <v>983</v>
      </c>
      <c r="B984" t="s">
        <v>145</v>
      </c>
      <c r="C984">
        <v>51022629</v>
      </c>
      <c r="D984">
        <v>80.930150664920689</v>
      </c>
      <c r="E984" t="s">
        <v>93</v>
      </c>
      <c r="F984">
        <v>382</v>
      </c>
      <c r="G984" s="4">
        <v>46087.591064814813</v>
      </c>
    </row>
    <row r="985" spans="1:7" x14ac:dyDescent="0.3">
      <c r="A985">
        <v>984</v>
      </c>
      <c r="B985" t="s">
        <v>145</v>
      </c>
      <c r="C985">
        <v>51021274</v>
      </c>
      <c r="D985">
        <v>77.955344075744293</v>
      </c>
      <c r="E985" t="s">
        <v>93</v>
      </c>
      <c r="F985">
        <v>441</v>
      </c>
      <c r="G985" s="4">
        <v>46087.591064814813</v>
      </c>
    </row>
    <row r="986" spans="1:7" x14ac:dyDescent="0.3">
      <c r="A986">
        <v>985</v>
      </c>
      <c r="B986" t="s">
        <v>145</v>
      </c>
      <c r="C986">
        <v>51021819</v>
      </c>
      <c r="D986">
        <v>16.502929823837743</v>
      </c>
      <c r="E986" t="s">
        <v>95</v>
      </c>
      <c r="F986">
        <v>1080</v>
      </c>
      <c r="G986" s="4">
        <v>46087.591064814813</v>
      </c>
    </row>
    <row r="987" spans="1:7" x14ac:dyDescent="0.3">
      <c r="A987">
        <v>986</v>
      </c>
      <c r="B987" t="s">
        <v>145</v>
      </c>
      <c r="C987">
        <v>51011171</v>
      </c>
      <c r="D987">
        <v>42.162726048571436</v>
      </c>
      <c r="E987" t="s">
        <v>94</v>
      </c>
      <c r="F987">
        <v>879</v>
      </c>
      <c r="G987" s="4">
        <v>46087.591064814813</v>
      </c>
    </row>
    <row r="988" spans="1:7" x14ac:dyDescent="0.3">
      <c r="A988">
        <v>987</v>
      </c>
      <c r="B988" t="s">
        <v>145</v>
      </c>
      <c r="C988">
        <v>51012470</v>
      </c>
      <c r="D988">
        <v>48.738316995628182</v>
      </c>
      <c r="E988" t="s">
        <v>94</v>
      </c>
      <c r="F988">
        <v>835</v>
      </c>
      <c r="G988" s="4">
        <v>46087.591064814813</v>
      </c>
    </row>
    <row r="989" spans="1:7" x14ac:dyDescent="0.3">
      <c r="A989">
        <v>988</v>
      </c>
      <c r="B989" t="s">
        <v>145</v>
      </c>
      <c r="C989">
        <v>51032713</v>
      </c>
      <c r="D989">
        <v>81.73094431417698</v>
      </c>
      <c r="E989" t="s">
        <v>93</v>
      </c>
      <c r="F989">
        <v>360</v>
      </c>
      <c r="G989" s="4">
        <v>46087.591064814813</v>
      </c>
    </row>
    <row r="990" spans="1:7" x14ac:dyDescent="0.3">
      <c r="A990">
        <v>989</v>
      </c>
      <c r="B990" t="s">
        <v>145</v>
      </c>
      <c r="C990">
        <v>51010744</v>
      </c>
      <c r="D990">
        <v>69.544204373545142</v>
      </c>
      <c r="E990" t="s">
        <v>93</v>
      </c>
      <c r="F990">
        <v>552</v>
      </c>
      <c r="G990" s="4">
        <v>46087.591064814813</v>
      </c>
    </row>
    <row r="991" spans="1:7" x14ac:dyDescent="0.3">
      <c r="A991">
        <v>990</v>
      </c>
      <c r="B991" t="s">
        <v>145</v>
      </c>
      <c r="C991">
        <v>51057546</v>
      </c>
      <c r="D991">
        <v>29.09275888021762</v>
      </c>
      <c r="E991" t="s">
        <v>94</v>
      </c>
      <c r="F991">
        <v>954</v>
      </c>
      <c r="G991" s="4">
        <v>46087.591064814813</v>
      </c>
    </row>
    <row r="992" spans="1:7" x14ac:dyDescent="0.3">
      <c r="A992">
        <v>991</v>
      </c>
      <c r="B992" t="s">
        <v>145</v>
      </c>
      <c r="C992">
        <v>51023889</v>
      </c>
      <c r="D992">
        <v>46.830371628283395</v>
      </c>
      <c r="E992" t="s">
        <v>94</v>
      </c>
      <c r="F992">
        <v>850</v>
      </c>
      <c r="G992" s="4">
        <v>46087.591064814813</v>
      </c>
    </row>
    <row r="993" spans="1:7" x14ac:dyDescent="0.3">
      <c r="A993">
        <v>992</v>
      </c>
      <c r="B993" t="s">
        <v>145</v>
      </c>
      <c r="C993">
        <v>51031041</v>
      </c>
      <c r="D993">
        <v>69.275034811958349</v>
      </c>
      <c r="E993" t="s">
        <v>93</v>
      </c>
      <c r="F993">
        <v>556</v>
      </c>
      <c r="G993" s="4">
        <v>46087.591064814813</v>
      </c>
    </row>
    <row r="994" spans="1:7" x14ac:dyDescent="0.3">
      <c r="A994">
        <v>993</v>
      </c>
      <c r="B994" t="s">
        <v>145</v>
      </c>
      <c r="C994">
        <v>51022262</v>
      </c>
      <c r="D994">
        <v>8.9558</v>
      </c>
      <c r="E994" t="s">
        <v>95</v>
      </c>
      <c r="F994">
        <v>1182</v>
      </c>
      <c r="G994" s="4">
        <v>46087.591064814813</v>
      </c>
    </row>
    <row r="995" spans="1:7" x14ac:dyDescent="0.3">
      <c r="A995">
        <v>994</v>
      </c>
      <c r="B995" t="s">
        <v>145</v>
      </c>
      <c r="C995">
        <v>51017731</v>
      </c>
      <c r="D995">
        <v>34.995866065245892</v>
      </c>
      <c r="E995" t="s">
        <v>94</v>
      </c>
      <c r="F995">
        <v>903</v>
      </c>
      <c r="G995" s="4">
        <v>46087.591064814813</v>
      </c>
    </row>
    <row r="996" spans="1:7" x14ac:dyDescent="0.3">
      <c r="A996">
        <v>995</v>
      </c>
      <c r="B996" t="s">
        <v>145</v>
      </c>
      <c r="C996">
        <v>51000269</v>
      </c>
      <c r="D996">
        <v>7.91</v>
      </c>
      <c r="E996" t="s">
        <v>95</v>
      </c>
      <c r="F996">
        <v>1189</v>
      </c>
      <c r="G996" s="4">
        <v>46087.591064814813</v>
      </c>
    </row>
    <row r="997" spans="1:7" x14ac:dyDescent="0.3">
      <c r="A997">
        <v>996</v>
      </c>
      <c r="B997" t="s">
        <v>145</v>
      </c>
      <c r="C997">
        <v>51000862</v>
      </c>
      <c r="D997">
        <v>19.8</v>
      </c>
      <c r="E997" t="s">
        <v>95</v>
      </c>
      <c r="F997">
        <v>1020</v>
      </c>
      <c r="G997" s="4">
        <v>46087.591064814813</v>
      </c>
    </row>
    <row r="998" spans="1:7" x14ac:dyDescent="0.3">
      <c r="A998">
        <v>997</v>
      </c>
      <c r="B998" t="s">
        <v>145</v>
      </c>
      <c r="C998">
        <v>51001494</v>
      </c>
      <c r="D998">
        <v>10.709999999999999</v>
      </c>
      <c r="E998" t="s">
        <v>95</v>
      </c>
      <c r="F998">
        <v>1161</v>
      </c>
      <c r="G998" s="4">
        <v>46087.591064814813</v>
      </c>
    </row>
    <row r="999" spans="1:7" x14ac:dyDescent="0.3">
      <c r="A999">
        <v>998</v>
      </c>
      <c r="B999" t="s">
        <v>145</v>
      </c>
      <c r="C999">
        <v>51001745</v>
      </c>
      <c r="D999">
        <v>21.01</v>
      </c>
      <c r="E999" t="s">
        <v>95</v>
      </c>
      <c r="F999">
        <v>1011</v>
      </c>
      <c r="G999" s="4">
        <v>46087.591064814813</v>
      </c>
    </row>
    <row r="1000" spans="1:7" x14ac:dyDescent="0.3">
      <c r="A1000">
        <v>999</v>
      </c>
      <c r="B1000" t="s">
        <v>145</v>
      </c>
      <c r="C1000">
        <v>51001923</v>
      </c>
      <c r="D1000">
        <v>15.840000000000002</v>
      </c>
      <c r="E1000" t="s">
        <v>95</v>
      </c>
      <c r="F1000">
        <v>1090</v>
      </c>
      <c r="G1000" s="4">
        <v>46087.591064814813</v>
      </c>
    </row>
    <row r="1001" spans="1:7" x14ac:dyDescent="0.3">
      <c r="A1001">
        <v>1000</v>
      </c>
      <c r="B1001" t="s">
        <v>145</v>
      </c>
      <c r="C1001">
        <v>51003721</v>
      </c>
      <c r="D1001">
        <v>14.5</v>
      </c>
      <c r="E1001" t="s">
        <v>95</v>
      </c>
      <c r="F1001">
        <v>1099</v>
      </c>
      <c r="G1001" s="4">
        <v>46087.591064814813</v>
      </c>
    </row>
    <row r="1002" spans="1:7" x14ac:dyDescent="0.3">
      <c r="A1002">
        <v>1001</v>
      </c>
      <c r="B1002" t="s">
        <v>145</v>
      </c>
      <c r="C1002">
        <v>51004167</v>
      </c>
      <c r="D1002">
        <v>13.7</v>
      </c>
      <c r="E1002" t="s">
        <v>95</v>
      </c>
      <c r="F1002">
        <v>1109</v>
      </c>
      <c r="G1002" s="4">
        <v>46087.591064814813</v>
      </c>
    </row>
    <row r="1003" spans="1:7" x14ac:dyDescent="0.3">
      <c r="A1003">
        <v>1002</v>
      </c>
      <c r="B1003" t="s">
        <v>145</v>
      </c>
      <c r="C1003">
        <v>51004671</v>
      </c>
      <c r="D1003">
        <v>12.459999999999999</v>
      </c>
      <c r="E1003" t="s">
        <v>95</v>
      </c>
      <c r="F1003">
        <v>1136</v>
      </c>
      <c r="G1003" s="4">
        <v>46087.591064814813</v>
      </c>
    </row>
    <row r="1004" spans="1:7" x14ac:dyDescent="0.3">
      <c r="A1004">
        <v>1003</v>
      </c>
      <c r="B1004" t="s">
        <v>145</v>
      </c>
      <c r="C1004">
        <v>51005058</v>
      </c>
      <c r="D1004">
        <v>19.3</v>
      </c>
      <c r="E1004" t="s">
        <v>95</v>
      </c>
      <c r="F1004">
        <v>1028</v>
      </c>
      <c r="G1004" s="4">
        <v>46087.591064814813</v>
      </c>
    </row>
    <row r="1005" spans="1:7" x14ac:dyDescent="0.3">
      <c r="A1005">
        <v>1004</v>
      </c>
      <c r="B1005" t="s">
        <v>145</v>
      </c>
      <c r="C1005">
        <v>51005201</v>
      </c>
      <c r="D1005">
        <v>17.600000000000001</v>
      </c>
      <c r="E1005" t="s">
        <v>95</v>
      </c>
      <c r="F1005">
        <v>1064</v>
      </c>
      <c r="G1005" s="4">
        <v>46087.591064814813</v>
      </c>
    </row>
    <row r="1006" spans="1:7" x14ac:dyDescent="0.3">
      <c r="A1006">
        <v>1005</v>
      </c>
      <c r="B1006" t="s">
        <v>145</v>
      </c>
      <c r="C1006">
        <v>51005384</v>
      </c>
      <c r="D1006">
        <v>59.352800478887097</v>
      </c>
      <c r="E1006" t="s">
        <v>94</v>
      </c>
      <c r="F1006">
        <v>683</v>
      </c>
      <c r="G1006" s="4">
        <v>46087.591064814813</v>
      </c>
    </row>
    <row r="1007" spans="1:7" x14ac:dyDescent="0.3">
      <c r="A1007">
        <v>1006</v>
      </c>
      <c r="B1007" t="s">
        <v>145</v>
      </c>
      <c r="C1007">
        <v>51005902</v>
      </c>
      <c r="D1007">
        <v>76.745808124425693</v>
      </c>
      <c r="E1007" t="s">
        <v>93</v>
      </c>
      <c r="F1007">
        <v>455</v>
      </c>
      <c r="G1007" s="4">
        <v>46087.591064814813</v>
      </c>
    </row>
    <row r="1008" spans="1:7" x14ac:dyDescent="0.3">
      <c r="A1008">
        <v>1007</v>
      </c>
      <c r="B1008" t="s">
        <v>145</v>
      </c>
      <c r="C1008">
        <v>51006445</v>
      </c>
      <c r="D1008">
        <v>26.382810510270804</v>
      </c>
      <c r="E1008" t="s">
        <v>95</v>
      </c>
      <c r="F1008">
        <v>972</v>
      </c>
      <c r="G1008" s="4">
        <v>46087.591064814813</v>
      </c>
    </row>
    <row r="1009" spans="1:7" x14ac:dyDescent="0.3">
      <c r="A1009">
        <v>1008</v>
      </c>
      <c r="B1009" t="s">
        <v>145</v>
      </c>
      <c r="C1009">
        <v>51006453</v>
      </c>
      <c r="D1009">
        <v>15.639999999999999</v>
      </c>
      <c r="E1009" t="s">
        <v>95</v>
      </c>
      <c r="F1009">
        <v>1091</v>
      </c>
      <c r="G1009" s="4">
        <v>46087.591064814813</v>
      </c>
    </row>
    <row r="1010" spans="1:7" x14ac:dyDescent="0.3">
      <c r="A1010">
        <v>1009</v>
      </c>
      <c r="B1010" t="s">
        <v>145</v>
      </c>
      <c r="C1010">
        <v>51006518</v>
      </c>
      <c r="D1010">
        <v>12.81</v>
      </c>
      <c r="E1010" t="s">
        <v>95</v>
      </c>
      <c r="F1010">
        <v>1128</v>
      </c>
      <c r="G1010" s="4">
        <v>46087.591064814813</v>
      </c>
    </row>
    <row r="1011" spans="1:7" x14ac:dyDescent="0.3">
      <c r="A1011">
        <v>1010</v>
      </c>
      <c r="B1011" t="s">
        <v>145</v>
      </c>
      <c r="C1011">
        <v>51006674</v>
      </c>
      <c r="D1011">
        <v>16.5</v>
      </c>
      <c r="E1011" t="s">
        <v>95</v>
      </c>
      <c r="F1011">
        <v>1081</v>
      </c>
      <c r="G1011" s="4">
        <v>46087.591064814813</v>
      </c>
    </row>
    <row r="1012" spans="1:7" x14ac:dyDescent="0.3">
      <c r="A1012">
        <v>1011</v>
      </c>
      <c r="B1012" t="s">
        <v>145</v>
      </c>
      <c r="C1012">
        <v>51010094</v>
      </c>
      <c r="D1012">
        <v>15.3</v>
      </c>
      <c r="E1012" t="s">
        <v>95</v>
      </c>
      <c r="F1012">
        <v>1093</v>
      </c>
      <c r="G1012" s="4">
        <v>46087.591064814813</v>
      </c>
    </row>
    <row r="1013" spans="1:7" x14ac:dyDescent="0.3">
      <c r="A1013">
        <v>1012</v>
      </c>
      <c r="B1013" t="s">
        <v>145</v>
      </c>
      <c r="C1013">
        <v>51010108</v>
      </c>
      <c r="D1013">
        <v>10.36</v>
      </c>
      <c r="E1013" t="s">
        <v>95</v>
      </c>
      <c r="F1013">
        <v>1171</v>
      </c>
      <c r="G1013" s="4">
        <v>46087.591064814813</v>
      </c>
    </row>
    <row r="1014" spans="1:7" x14ac:dyDescent="0.3">
      <c r="A1014">
        <v>1013</v>
      </c>
      <c r="B1014" t="s">
        <v>145</v>
      </c>
      <c r="C1014">
        <v>51010167</v>
      </c>
      <c r="D1014">
        <v>22.655000000000001</v>
      </c>
      <c r="E1014" t="s">
        <v>95</v>
      </c>
      <c r="F1014">
        <v>997</v>
      </c>
      <c r="G1014" s="4">
        <v>46087.591064814813</v>
      </c>
    </row>
    <row r="1015" spans="1:7" x14ac:dyDescent="0.3">
      <c r="A1015">
        <v>1014</v>
      </c>
      <c r="B1015" t="s">
        <v>145</v>
      </c>
      <c r="C1015">
        <v>51010388</v>
      </c>
      <c r="D1015">
        <v>7.91</v>
      </c>
      <c r="E1015" t="s">
        <v>95</v>
      </c>
      <c r="F1015">
        <v>1189</v>
      </c>
      <c r="G1015" s="4">
        <v>46087.591064814813</v>
      </c>
    </row>
    <row r="1016" spans="1:7" x14ac:dyDescent="0.3">
      <c r="A1016">
        <v>1015</v>
      </c>
      <c r="B1016" t="s">
        <v>145</v>
      </c>
      <c r="C1016">
        <v>51010477</v>
      </c>
      <c r="D1016">
        <v>16.899999999999999</v>
      </c>
      <c r="E1016" t="s">
        <v>95</v>
      </c>
      <c r="F1016">
        <v>1073</v>
      </c>
      <c r="G1016" s="4">
        <v>46087.591064814813</v>
      </c>
    </row>
    <row r="1017" spans="1:7" x14ac:dyDescent="0.3">
      <c r="A1017">
        <v>1016</v>
      </c>
      <c r="B1017" t="s">
        <v>145</v>
      </c>
      <c r="C1017">
        <v>51010485</v>
      </c>
      <c r="D1017">
        <v>9.870000000000001</v>
      </c>
      <c r="E1017" t="s">
        <v>95</v>
      </c>
      <c r="F1017">
        <v>1177</v>
      </c>
      <c r="G1017" s="4">
        <v>46087.591064814813</v>
      </c>
    </row>
    <row r="1018" spans="1:7" x14ac:dyDescent="0.3">
      <c r="A1018">
        <v>1017</v>
      </c>
      <c r="B1018" t="s">
        <v>145</v>
      </c>
      <c r="C1018">
        <v>51010612</v>
      </c>
      <c r="D1018">
        <v>9.5899999999999981</v>
      </c>
      <c r="E1018" t="s">
        <v>95</v>
      </c>
      <c r="F1018">
        <v>1179</v>
      </c>
      <c r="G1018" s="4">
        <v>46087.591064814813</v>
      </c>
    </row>
    <row r="1019" spans="1:7" x14ac:dyDescent="0.3">
      <c r="A1019">
        <v>1018</v>
      </c>
      <c r="B1019" t="s">
        <v>145</v>
      </c>
      <c r="C1019">
        <v>51010639</v>
      </c>
      <c r="D1019">
        <v>18.100000000000001</v>
      </c>
      <c r="E1019" t="s">
        <v>95</v>
      </c>
      <c r="F1019">
        <v>1056</v>
      </c>
      <c r="G1019" s="4">
        <v>46087.591064814813</v>
      </c>
    </row>
    <row r="1020" spans="1:7" x14ac:dyDescent="0.3">
      <c r="A1020">
        <v>1019</v>
      </c>
      <c r="B1020" t="s">
        <v>145</v>
      </c>
      <c r="C1020">
        <v>51010965</v>
      </c>
      <c r="D1020">
        <v>8.33</v>
      </c>
      <c r="E1020" t="s">
        <v>95</v>
      </c>
      <c r="F1020">
        <v>1185</v>
      </c>
      <c r="G1020" s="4">
        <v>46087.591064814813</v>
      </c>
    </row>
    <row r="1021" spans="1:7" x14ac:dyDescent="0.3">
      <c r="A1021">
        <v>1020</v>
      </c>
      <c r="B1021" t="s">
        <v>145</v>
      </c>
      <c r="C1021">
        <v>51011082</v>
      </c>
      <c r="D1021">
        <v>87.498302214920244</v>
      </c>
      <c r="E1021" t="s">
        <v>92</v>
      </c>
      <c r="F1021">
        <v>189</v>
      </c>
      <c r="G1021" s="4">
        <v>46087.591064814813</v>
      </c>
    </row>
    <row r="1022" spans="1:7" x14ac:dyDescent="0.3">
      <c r="A1022">
        <v>1021</v>
      </c>
      <c r="B1022" t="s">
        <v>145</v>
      </c>
      <c r="C1022">
        <v>51011104</v>
      </c>
      <c r="D1022">
        <v>82.190641957407578</v>
      </c>
      <c r="E1022" t="s">
        <v>93</v>
      </c>
      <c r="F1022">
        <v>342</v>
      </c>
      <c r="G1022" s="4">
        <v>46087.591064814813</v>
      </c>
    </row>
    <row r="1023" spans="1:7" x14ac:dyDescent="0.3">
      <c r="A1023">
        <v>1022</v>
      </c>
      <c r="B1023" t="s">
        <v>145</v>
      </c>
      <c r="C1023">
        <v>51011163</v>
      </c>
      <c r="D1023">
        <v>81.92449944611721</v>
      </c>
      <c r="E1023" t="s">
        <v>93</v>
      </c>
      <c r="F1023">
        <v>351</v>
      </c>
      <c r="G1023" s="4">
        <v>46087.591064814813</v>
      </c>
    </row>
    <row r="1024" spans="1:7" x14ac:dyDescent="0.3">
      <c r="A1024">
        <v>1023</v>
      </c>
      <c r="B1024" t="s">
        <v>145</v>
      </c>
      <c r="C1024">
        <v>51011406</v>
      </c>
      <c r="D1024">
        <v>18.829999999999998</v>
      </c>
      <c r="E1024" t="s">
        <v>95</v>
      </c>
      <c r="F1024">
        <v>1043</v>
      </c>
      <c r="G1024" s="4">
        <v>46087.591064814813</v>
      </c>
    </row>
    <row r="1025" spans="1:7" x14ac:dyDescent="0.3">
      <c r="A1025">
        <v>1024</v>
      </c>
      <c r="B1025" t="s">
        <v>145</v>
      </c>
      <c r="C1025">
        <v>51011503</v>
      </c>
      <c r="D1025">
        <v>16.384999999999998</v>
      </c>
      <c r="E1025" t="s">
        <v>95</v>
      </c>
      <c r="F1025">
        <v>1082</v>
      </c>
      <c r="G1025" s="4">
        <v>46087.591064814813</v>
      </c>
    </row>
    <row r="1026" spans="1:7" x14ac:dyDescent="0.3">
      <c r="A1026">
        <v>1025</v>
      </c>
      <c r="B1026" t="s">
        <v>145</v>
      </c>
      <c r="C1026">
        <v>51011511</v>
      </c>
      <c r="D1026">
        <v>50.322514306966255</v>
      </c>
      <c r="E1026" t="s">
        <v>94</v>
      </c>
      <c r="F1026">
        <v>822</v>
      </c>
      <c r="G1026" s="4">
        <v>46087.591064814813</v>
      </c>
    </row>
    <row r="1027" spans="1:7" x14ac:dyDescent="0.3">
      <c r="A1027">
        <v>1026</v>
      </c>
      <c r="B1027" t="s">
        <v>145</v>
      </c>
      <c r="C1027">
        <v>51011881</v>
      </c>
      <c r="D1027">
        <v>17.7</v>
      </c>
      <c r="E1027" t="s">
        <v>95</v>
      </c>
      <c r="F1027">
        <v>1063</v>
      </c>
      <c r="G1027" s="4">
        <v>46087.591064814813</v>
      </c>
    </row>
    <row r="1028" spans="1:7" x14ac:dyDescent="0.3">
      <c r="A1028">
        <v>1027</v>
      </c>
      <c r="B1028" t="s">
        <v>145</v>
      </c>
      <c r="C1028">
        <v>51011911</v>
      </c>
      <c r="D1028">
        <v>79.254999999999995</v>
      </c>
      <c r="E1028" t="s">
        <v>93</v>
      </c>
      <c r="F1028">
        <v>423</v>
      </c>
      <c r="G1028" s="4">
        <v>46087.591064814813</v>
      </c>
    </row>
    <row r="1029" spans="1:7" x14ac:dyDescent="0.3">
      <c r="A1029">
        <v>1028</v>
      </c>
      <c r="B1029" t="s">
        <v>145</v>
      </c>
      <c r="C1029">
        <v>51011945</v>
      </c>
      <c r="D1029">
        <v>18.100000000000001</v>
      </c>
      <c r="E1029" t="s">
        <v>95</v>
      </c>
      <c r="F1029">
        <v>1056</v>
      </c>
      <c r="G1029" s="4">
        <v>46087.591064814813</v>
      </c>
    </row>
    <row r="1030" spans="1:7" x14ac:dyDescent="0.3">
      <c r="A1030">
        <v>1029</v>
      </c>
      <c r="B1030" t="s">
        <v>145</v>
      </c>
      <c r="C1030">
        <v>51012089</v>
      </c>
      <c r="D1030">
        <v>13.5</v>
      </c>
      <c r="E1030" t="s">
        <v>95</v>
      </c>
      <c r="F1030">
        <v>1111</v>
      </c>
      <c r="G1030" s="4">
        <v>46087.591064814813</v>
      </c>
    </row>
    <row r="1031" spans="1:7" x14ac:dyDescent="0.3">
      <c r="A1031">
        <v>1030</v>
      </c>
      <c r="B1031" t="s">
        <v>145</v>
      </c>
      <c r="C1031">
        <v>51012283</v>
      </c>
      <c r="D1031">
        <v>15.328000000000001</v>
      </c>
      <c r="E1031" t="s">
        <v>95</v>
      </c>
      <c r="F1031">
        <v>1092</v>
      </c>
      <c r="G1031" s="4">
        <v>46087.591064814813</v>
      </c>
    </row>
    <row r="1032" spans="1:7" x14ac:dyDescent="0.3">
      <c r="A1032">
        <v>1031</v>
      </c>
      <c r="B1032" t="s">
        <v>145</v>
      </c>
      <c r="C1032">
        <v>51012429</v>
      </c>
      <c r="D1032">
        <v>18.899999999999999</v>
      </c>
      <c r="E1032" t="s">
        <v>95</v>
      </c>
      <c r="F1032">
        <v>1039</v>
      </c>
      <c r="G1032" s="4">
        <v>46087.591064814813</v>
      </c>
    </row>
    <row r="1033" spans="1:7" x14ac:dyDescent="0.3">
      <c r="A1033">
        <v>1032</v>
      </c>
      <c r="B1033" t="s">
        <v>145</v>
      </c>
      <c r="C1033">
        <v>51012569</v>
      </c>
      <c r="D1033">
        <v>15.96</v>
      </c>
      <c r="E1033" t="s">
        <v>95</v>
      </c>
      <c r="F1033">
        <v>1089</v>
      </c>
      <c r="G1033" s="4">
        <v>46087.591064814813</v>
      </c>
    </row>
    <row r="1034" spans="1:7" x14ac:dyDescent="0.3">
      <c r="A1034">
        <v>1033</v>
      </c>
      <c r="B1034" t="s">
        <v>145</v>
      </c>
      <c r="C1034">
        <v>51012631</v>
      </c>
      <c r="D1034">
        <v>12.980000000000002</v>
      </c>
      <c r="E1034" t="s">
        <v>95</v>
      </c>
      <c r="F1034">
        <v>1124</v>
      </c>
      <c r="G1034" s="4">
        <v>46087.591064814813</v>
      </c>
    </row>
    <row r="1035" spans="1:7" x14ac:dyDescent="0.3">
      <c r="A1035">
        <v>1034</v>
      </c>
      <c r="B1035" t="s">
        <v>145</v>
      </c>
      <c r="C1035">
        <v>51012844</v>
      </c>
      <c r="D1035">
        <v>12.611154018469689</v>
      </c>
      <c r="E1035" t="s">
        <v>95</v>
      </c>
      <c r="F1035">
        <v>1133</v>
      </c>
      <c r="G1035" s="4">
        <v>46087.591064814813</v>
      </c>
    </row>
    <row r="1036" spans="1:7" x14ac:dyDescent="0.3">
      <c r="A1036">
        <v>1035</v>
      </c>
      <c r="B1036" t="s">
        <v>145</v>
      </c>
      <c r="C1036">
        <v>51012925</v>
      </c>
      <c r="D1036">
        <v>7.56</v>
      </c>
      <c r="E1036" t="s">
        <v>95</v>
      </c>
      <c r="F1036">
        <v>1192</v>
      </c>
      <c r="G1036" s="4">
        <v>46087.591064814813</v>
      </c>
    </row>
    <row r="1037" spans="1:7" x14ac:dyDescent="0.3">
      <c r="A1037">
        <v>1036</v>
      </c>
      <c r="B1037" t="s">
        <v>145</v>
      </c>
      <c r="C1037">
        <v>51012968</v>
      </c>
      <c r="D1037">
        <v>35.879999999999995</v>
      </c>
      <c r="E1037" t="s">
        <v>94</v>
      </c>
      <c r="F1037">
        <v>902</v>
      </c>
      <c r="G1037" s="4">
        <v>46087.591064814813</v>
      </c>
    </row>
    <row r="1038" spans="1:7" x14ac:dyDescent="0.3">
      <c r="A1038">
        <v>1037</v>
      </c>
      <c r="B1038" t="s">
        <v>145</v>
      </c>
      <c r="C1038">
        <v>51013042</v>
      </c>
      <c r="D1038">
        <v>54.499913293470755</v>
      </c>
      <c r="E1038" t="s">
        <v>94</v>
      </c>
      <c r="F1038">
        <v>785</v>
      </c>
      <c r="G1038" s="4">
        <v>46087.591064814813</v>
      </c>
    </row>
    <row r="1039" spans="1:7" x14ac:dyDescent="0.3">
      <c r="A1039">
        <v>1038</v>
      </c>
      <c r="B1039" t="s">
        <v>145</v>
      </c>
      <c r="C1039">
        <v>51013123</v>
      </c>
      <c r="D1039">
        <v>11</v>
      </c>
      <c r="E1039" t="s">
        <v>95</v>
      </c>
      <c r="F1039">
        <v>1154</v>
      </c>
      <c r="G1039" s="4">
        <v>46087.591064814813</v>
      </c>
    </row>
    <row r="1040" spans="1:7" x14ac:dyDescent="0.3">
      <c r="A1040">
        <v>1039</v>
      </c>
      <c r="B1040" t="s">
        <v>145</v>
      </c>
      <c r="C1040">
        <v>51013174</v>
      </c>
      <c r="D1040">
        <v>14.489999999999998</v>
      </c>
      <c r="E1040" t="s">
        <v>95</v>
      </c>
      <c r="F1040">
        <v>1101</v>
      </c>
      <c r="G1040" s="4">
        <v>46087.591064814813</v>
      </c>
    </row>
    <row r="1041" spans="1:7" x14ac:dyDescent="0.3">
      <c r="A1041">
        <v>1040</v>
      </c>
      <c r="B1041" t="s">
        <v>145</v>
      </c>
      <c r="C1041">
        <v>51013263</v>
      </c>
      <c r="D1041">
        <v>18.399999999999999</v>
      </c>
      <c r="E1041" t="s">
        <v>95</v>
      </c>
      <c r="F1041">
        <v>1052</v>
      </c>
      <c r="G1041" s="4">
        <v>46087.591064814813</v>
      </c>
    </row>
    <row r="1042" spans="1:7" x14ac:dyDescent="0.3">
      <c r="A1042">
        <v>1041</v>
      </c>
      <c r="B1042" t="s">
        <v>145</v>
      </c>
      <c r="C1042">
        <v>51013751</v>
      </c>
      <c r="D1042">
        <v>49.351164222496756</v>
      </c>
      <c r="E1042" t="s">
        <v>94</v>
      </c>
      <c r="F1042">
        <v>831</v>
      </c>
      <c r="G1042" s="4">
        <v>46087.591064814813</v>
      </c>
    </row>
    <row r="1043" spans="1:7" x14ac:dyDescent="0.3">
      <c r="A1043">
        <v>1042</v>
      </c>
      <c r="B1043" t="s">
        <v>145</v>
      </c>
      <c r="C1043">
        <v>51013905</v>
      </c>
      <c r="D1043">
        <v>10.8</v>
      </c>
      <c r="E1043" t="s">
        <v>95</v>
      </c>
      <c r="F1043">
        <v>1159</v>
      </c>
      <c r="G1043" s="4">
        <v>46087.591064814813</v>
      </c>
    </row>
    <row r="1044" spans="1:7" x14ac:dyDescent="0.3">
      <c r="A1044">
        <v>1043</v>
      </c>
      <c r="B1044" t="s">
        <v>145</v>
      </c>
      <c r="C1044">
        <v>51014073</v>
      </c>
      <c r="D1044">
        <v>18.200000000000003</v>
      </c>
      <c r="E1044" t="s">
        <v>95</v>
      </c>
      <c r="F1044">
        <v>1054</v>
      </c>
      <c r="G1044" s="4">
        <v>46087.591064814813</v>
      </c>
    </row>
    <row r="1045" spans="1:7" x14ac:dyDescent="0.3">
      <c r="A1045">
        <v>1044</v>
      </c>
      <c r="B1045" t="s">
        <v>145</v>
      </c>
      <c r="C1045">
        <v>51014154</v>
      </c>
      <c r="D1045">
        <v>13.02</v>
      </c>
      <c r="E1045" t="s">
        <v>95</v>
      </c>
      <c r="F1045">
        <v>1123</v>
      </c>
      <c r="G1045" s="4">
        <v>46087.591064814813</v>
      </c>
    </row>
    <row r="1046" spans="1:7" x14ac:dyDescent="0.3">
      <c r="A1046">
        <v>1045</v>
      </c>
      <c r="B1046" t="s">
        <v>145</v>
      </c>
      <c r="C1046">
        <v>51014227</v>
      </c>
      <c r="D1046">
        <v>52.291971982355271</v>
      </c>
      <c r="E1046" t="s">
        <v>94</v>
      </c>
      <c r="F1046">
        <v>806</v>
      </c>
      <c r="G1046" s="4">
        <v>46087.591064814813</v>
      </c>
    </row>
    <row r="1047" spans="1:7" x14ac:dyDescent="0.3">
      <c r="A1047">
        <v>1046</v>
      </c>
      <c r="B1047" t="s">
        <v>145</v>
      </c>
      <c r="C1047">
        <v>51014651</v>
      </c>
      <c r="D1047">
        <v>13.8</v>
      </c>
      <c r="E1047" t="s">
        <v>95</v>
      </c>
      <c r="F1047">
        <v>1105</v>
      </c>
      <c r="G1047" s="4">
        <v>46087.591064814813</v>
      </c>
    </row>
    <row r="1048" spans="1:7" x14ac:dyDescent="0.3">
      <c r="A1048">
        <v>1047</v>
      </c>
      <c r="B1048" t="s">
        <v>145</v>
      </c>
      <c r="C1048">
        <v>51014723</v>
      </c>
      <c r="D1048">
        <v>11.339999999999998</v>
      </c>
      <c r="E1048" t="s">
        <v>95</v>
      </c>
      <c r="F1048">
        <v>1151</v>
      </c>
      <c r="G1048" s="4">
        <v>46087.591064814813</v>
      </c>
    </row>
    <row r="1049" spans="1:7" x14ac:dyDescent="0.3">
      <c r="A1049">
        <v>1048</v>
      </c>
      <c r="B1049" t="s">
        <v>145</v>
      </c>
      <c r="C1049">
        <v>51015282</v>
      </c>
      <c r="D1049">
        <v>12.540000000000001</v>
      </c>
      <c r="E1049" t="s">
        <v>95</v>
      </c>
      <c r="F1049">
        <v>1134</v>
      </c>
      <c r="G1049" s="4">
        <v>46087.591064814813</v>
      </c>
    </row>
    <row r="1050" spans="1:7" x14ac:dyDescent="0.3">
      <c r="A1050">
        <v>1049</v>
      </c>
      <c r="B1050" t="s">
        <v>145</v>
      </c>
      <c r="C1050">
        <v>51015576</v>
      </c>
      <c r="D1050">
        <v>10.9</v>
      </c>
      <c r="E1050" t="s">
        <v>95</v>
      </c>
      <c r="F1050">
        <v>1157</v>
      </c>
      <c r="G1050" s="4">
        <v>46087.591064814813</v>
      </c>
    </row>
    <row r="1051" spans="1:7" x14ac:dyDescent="0.3">
      <c r="A1051">
        <v>1050</v>
      </c>
      <c r="B1051" t="s">
        <v>145</v>
      </c>
      <c r="C1051">
        <v>51015690</v>
      </c>
      <c r="D1051">
        <v>10.8</v>
      </c>
      <c r="E1051" t="s">
        <v>95</v>
      </c>
      <c r="F1051">
        <v>1159</v>
      </c>
      <c r="G1051" s="4">
        <v>46087.591064814813</v>
      </c>
    </row>
    <row r="1052" spans="1:7" x14ac:dyDescent="0.3">
      <c r="A1052">
        <v>1051</v>
      </c>
      <c r="B1052" t="s">
        <v>145</v>
      </c>
      <c r="C1052">
        <v>51015738</v>
      </c>
      <c r="D1052">
        <v>10.6</v>
      </c>
      <c r="E1052" t="s">
        <v>95</v>
      </c>
      <c r="F1052">
        <v>1166</v>
      </c>
      <c r="G1052" s="4">
        <v>46087.591064814813</v>
      </c>
    </row>
    <row r="1053" spans="1:7" x14ac:dyDescent="0.3">
      <c r="A1053">
        <v>1052</v>
      </c>
      <c r="B1053" t="s">
        <v>145</v>
      </c>
      <c r="C1053">
        <v>51015959</v>
      </c>
      <c r="D1053">
        <v>12.529999999999998</v>
      </c>
      <c r="E1053" t="s">
        <v>95</v>
      </c>
      <c r="F1053">
        <v>1135</v>
      </c>
      <c r="G1053" s="4">
        <v>46087.591064814813</v>
      </c>
    </row>
    <row r="1054" spans="1:7" x14ac:dyDescent="0.3">
      <c r="A1054">
        <v>1053</v>
      </c>
      <c r="B1054" t="s">
        <v>145</v>
      </c>
      <c r="C1054">
        <v>51015991</v>
      </c>
      <c r="D1054">
        <v>11.41</v>
      </c>
      <c r="E1054" t="s">
        <v>95</v>
      </c>
      <c r="F1054">
        <v>1149</v>
      </c>
      <c r="G1054" s="4">
        <v>46087.591064814813</v>
      </c>
    </row>
    <row r="1055" spans="1:7" x14ac:dyDescent="0.3">
      <c r="A1055">
        <v>1054</v>
      </c>
      <c r="B1055" t="s">
        <v>145</v>
      </c>
      <c r="C1055">
        <v>51016122</v>
      </c>
      <c r="D1055">
        <v>70.504464920627683</v>
      </c>
      <c r="E1055" t="s">
        <v>93</v>
      </c>
      <c r="F1055">
        <v>539</v>
      </c>
      <c r="G1055" s="4">
        <v>46087.591064814813</v>
      </c>
    </row>
    <row r="1056" spans="1:7" x14ac:dyDescent="0.3">
      <c r="A1056">
        <v>1055</v>
      </c>
      <c r="B1056" t="s">
        <v>145</v>
      </c>
      <c r="C1056">
        <v>51016190</v>
      </c>
      <c r="D1056">
        <v>28.5</v>
      </c>
      <c r="E1056" t="s">
        <v>95</v>
      </c>
      <c r="F1056">
        <v>959</v>
      </c>
      <c r="G1056" s="4">
        <v>46087.591064814813</v>
      </c>
    </row>
    <row r="1057" spans="1:7" x14ac:dyDescent="0.3">
      <c r="A1057">
        <v>1056</v>
      </c>
      <c r="B1057" t="s">
        <v>145</v>
      </c>
      <c r="C1057">
        <v>51016505</v>
      </c>
      <c r="D1057">
        <v>64.874601592806684</v>
      </c>
      <c r="E1057" t="s">
        <v>94</v>
      </c>
      <c r="F1057">
        <v>605</v>
      </c>
      <c r="G1057" s="4">
        <v>46087.591064814813</v>
      </c>
    </row>
    <row r="1058" spans="1:7" x14ac:dyDescent="0.3">
      <c r="A1058">
        <v>1057</v>
      </c>
      <c r="B1058" t="s">
        <v>145</v>
      </c>
      <c r="C1058">
        <v>51016670</v>
      </c>
      <c r="D1058">
        <v>28.785</v>
      </c>
      <c r="E1058" t="s">
        <v>95</v>
      </c>
      <c r="F1058">
        <v>957</v>
      </c>
      <c r="G1058" s="4">
        <v>46087.591064814813</v>
      </c>
    </row>
    <row r="1059" spans="1:7" x14ac:dyDescent="0.3">
      <c r="A1059">
        <v>1058</v>
      </c>
      <c r="B1059" t="s">
        <v>145</v>
      </c>
      <c r="C1059">
        <v>51016751</v>
      </c>
      <c r="D1059">
        <v>52.214658327130991</v>
      </c>
      <c r="E1059" t="s">
        <v>94</v>
      </c>
      <c r="F1059">
        <v>807</v>
      </c>
      <c r="G1059" s="4">
        <v>46087.591064814813</v>
      </c>
    </row>
    <row r="1060" spans="1:7" x14ac:dyDescent="0.3">
      <c r="A1060">
        <v>1059</v>
      </c>
      <c r="B1060" t="s">
        <v>145</v>
      </c>
      <c r="C1060">
        <v>51016769</v>
      </c>
      <c r="D1060">
        <v>19.600000000000001</v>
      </c>
      <c r="E1060" t="s">
        <v>95</v>
      </c>
      <c r="F1060">
        <v>1023</v>
      </c>
      <c r="G1060" s="4">
        <v>46087.591064814813</v>
      </c>
    </row>
    <row r="1061" spans="1:7" x14ac:dyDescent="0.3">
      <c r="A1061">
        <v>1060</v>
      </c>
      <c r="B1061" t="s">
        <v>145</v>
      </c>
      <c r="C1061">
        <v>51016807</v>
      </c>
      <c r="D1061">
        <v>89.834152212359584</v>
      </c>
      <c r="E1061" t="s">
        <v>92</v>
      </c>
      <c r="F1061">
        <v>128</v>
      </c>
      <c r="G1061" s="4">
        <v>46087.591064814813</v>
      </c>
    </row>
    <row r="1062" spans="1:7" x14ac:dyDescent="0.3">
      <c r="A1062">
        <v>1061</v>
      </c>
      <c r="B1062" t="s">
        <v>145</v>
      </c>
      <c r="C1062">
        <v>51016912</v>
      </c>
      <c r="D1062">
        <v>40.130778859048263</v>
      </c>
      <c r="E1062" t="s">
        <v>94</v>
      </c>
      <c r="F1062">
        <v>887</v>
      </c>
      <c r="G1062" s="4">
        <v>46087.591064814813</v>
      </c>
    </row>
    <row r="1063" spans="1:7" x14ac:dyDescent="0.3">
      <c r="A1063">
        <v>1062</v>
      </c>
      <c r="B1063" t="s">
        <v>145</v>
      </c>
      <c r="C1063">
        <v>51017005</v>
      </c>
      <c r="D1063">
        <v>19.204999999999998</v>
      </c>
      <c r="E1063" t="s">
        <v>95</v>
      </c>
      <c r="F1063">
        <v>1030</v>
      </c>
      <c r="G1063" s="4">
        <v>46087.591064814813</v>
      </c>
    </row>
    <row r="1064" spans="1:7" x14ac:dyDescent="0.3">
      <c r="A1064">
        <v>1063</v>
      </c>
      <c r="B1064" t="s">
        <v>145</v>
      </c>
      <c r="C1064">
        <v>51017200</v>
      </c>
      <c r="D1064">
        <v>17.600000000000001</v>
      </c>
      <c r="E1064" t="s">
        <v>95</v>
      </c>
      <c r="F1064">
        <v>1064</v>
      </c>
      <c r="G1064" s="4">
        <v>46087.591064814813</v>
      </c>
    </row>
    <row r="1065" spans="1:7" x14ac:dyDescent="0.3">
      <c r="A1065">
        <v>1064</v>
      </c>
      <c r="B1065" t="s">
        <v>145</v>
      </c>
      <c r="C1065">
        <v>51017692</v>
      </c>
      <c r="D1065">
        <v>10.3</v>
      </c>
      <c r="E1065" t="s">
        <v>95</v>
      </c>
      <c r="F1065">
        <v>1172</v>
      </c>
      <c r="G1065" s="4">
        <v>46087.591064814813</v>
      </c>
    </row>
    <row r="1066" spans="1:7" x14ac:dyDescent="0.3">
      <c r="A1066">
        <v>1065</v>
      </c>
      <c r="B1066" t="s">
        <v>145</v>
      </c>
      <c r="C1066">
        <v>51017781</v>
      </c>
      <c r="D1066">
        <v>37.950000000000003</v>
      </c>
      <c r="E1066" t="s">
        <v>94</v>
      </c>
      <c r="F1066">
        <v>891</v>
      </c>
      <c r="G1066" s="4">
        <v>46087.591064814813</v>
      </c>
    </row>
    <row r="1067" spans="1:7" x14ac:dyDescent="0.3">
      <c r="A1067">
        <v>1066</v>
      </c>
      <c r="B1067" t="s">
        <v>145</v>
      </c>
      <c r="C1067">
        <v>51018010</v>
      </c>
      <c r="D1067">
        <v>16.800631181617277</v>
      </c>
      <c r="E1067" t="s">
        <v>95</v>
      </c>
      <c r="F1067">
        <v>1074</v>
      </c>
      <c r="G1067" s="4">
        <v>46087.591064814813</v>
      </c>
    </row>
    <row r="1068" spans="1:7" x14ac:dyDescent="0.3">
      <c r="A1068">
        <v>1067</v>
      </c>
      <c r="B1068" t="s">
        <v>145</v>
      </c>
      <c r="C1068">
        <v>51018168</v>
      </c>
      <c r="D1068">
        <v>21.07</v>
      </c>
      <c r="E1068" t="s">
        <v>95</v>
      </c>
      <c r="F1068">
        <v>1010</v>
      </c>
      <c r="G1068" s="4">
        <v>46087.591064814813</v>
      </c>
    </row>
    <row r="1069" spans="1:7" x14ac:dyDescent="0.3">
      <c r="A1069">
        <v>1068</v>
      </c>
      <c r="B1069" t="s">
        <v>145</v>
      </c>
      <c r="C1069">
        <v>51018192</v>
      </c>
      <c r="D1069">
        <v>17.940000000000001</v>
      </c>
      <c r="E1069" t="s">
        <v>95</v>
      </c>
      <c r="F1069">
        <v>1060</v>
      </c>
      <c r="G1069" s="4">
        <v>46087.591064814813</v>
      </c>
    </row>
    <row r="1070" spans="1:7" x14ac:dyDescent="0.3">
      <c r="A1070">
        <v>1069</v>
      </c>
      <c r="B1070" t="s">
        <v>145</v>
      </c>
      <c r="C1070">
        <v>51018281</v>
      </c>
      <c r="D1070">
        <v>28.319571537872992</v>
      </c>
      <c r="E1070" t="s">
        <v>95</v>
      </c>
      <c r="F1070">
        <v>961</v>
      </c>
      <c r="G1070" s="4">
        <v>46087.591064814813</v>
      </c>
    </row>
    <row r="1071" spans="1:7" x14ac:dyDescent="0.3">
      <c r="A1071">
        <v>1070</v>
      </c>
      <c r="B1071" t="s">
        <v>145</v>
      </c>
      <c r="C1071">
        <v>51018915</v>
      </c>
      <c r="D1071">
        <v>19.3</v>
      </c>
      <c r="E1071" t="s">
        <v>95</v>
      </c>
      <c r="F1071">
        <v>1028</v>
      </c>
      <c r="G1071" s="4">
        <v>46087.591064814813</v>
      </c>
    </row>
    <row r="1072" spans="1:7" x14ac:dyDescent="0.3">
      <c r="A1072">
        <v>1071</v>
      </c>
      <c r="B1072" t="s">
        <v>145</v>
      </c>
      <c r="C1072">
        <v>51019075</v>
      </c>
      <c r="D1072">
        <v>16.2</v>
      </c>
      <c r="E1072" t="s">
        <v>95</v>
      </c>
      <c r="F1072">
        <v>1083</v>
      </c>
      <c r="G1072" s="4">
        <v>46087.591064814813</v>
      </c>
    </row>
    <row r="1073" spans="1:7" x14ac:dyDescent="0.3">
      <c r="A1073">
        <v>1072</v>
      </c>
      <c r="B1073" t="s">
        <v>145</v>
      </c>
      <c r="C1073">
        <v>51019156</v>
      </c>
      <c r="D1073">
        <v>8.3999999999999986</v>
      </c>
      <c r="E1073" t="s">
        <v>95</v>
      </c>
      <c r="F1073">
        <v>1183</v>
      </c>
      <c r="G1073" s="4">
        <v>46087.591064814813</v>
      </c>
    </row>
    <row r="1074" spans="1:7" x14ac:dyDescent="0.3">
      <c r="A1074">
        <v>1073</v>
      </c>
      <c r="B1074" t="s">
        <v>145</v>
      </c>
      <c r="C1074">
        <v>51019181</v>
      </c>
      <c r="D1074">
        <v>19.100000000000001</v>
      </c>
      <c r="E1074" t="s">
        <v>95</v>
      </c>
      <c r="F1074">
        <v>1035</v>
      </c>
      <c r="G1074" s="4">
        <v>46087.591064814813</v>
      </c>
    </row>
    <row r="1075" spans="1:7" x14ac:dyDescent="0.3">
      <c r="A1075">
        <v>1074</v>
      </c>
      <c r="B1075" t="s">
        <v>145</v>
      </c>
      <c r="C1075">
        <v>51019237</v>
      </c>
      <c r="D1075">
        <v>19.14</v>
      </c>
      <c r="E1075" t="s">
        <v>95</v>
      </c>
      <c r="F1075">
        <v>1032</v>
      </c>
      <c r="G1075" s="4">
        <v>46087.591064814813</v>
      </c>
    </row>
    <row r="1076" spans="1:7" x14ac:dyDescent="0.3">
      <c r="A1076">
        <v>1075</v>
      </c>
      <c r="B1076" t="s">
        <v>145</v>
      </c>
      <c r="C1076">
        <v>51019351</v>
      </c>
      <c r="D1076">
        <v>14.8</v>
      </c>
      <c r="E1076" t="s">
        <v>95</v>
      </c>
      <c r="F1076">
        <v>1097</v>
      </c>
      <c r="G1076" s="4">
        <v>46087.591064814813</v>
      </c>
    </row>
    <row r="1077" spans="1:7" x14ac:dyDescent="0.3">
      <c r="A1077">
        <v>1076</v>
      </c>
      <c r="B1077" t="s">
        <v>145</v>
      </c>
      <c r="C1077">
        <v>51019725</v>
      </c>
      <c r="D1077">
        <v>97.616689213587918</v>
      </c>
      <c r="E1077" t="s">
        <v>275</v>
      </c>
      <c r="F1077">
        <v>27</v>
      </c>
      <c r="G1077" s="4">
        <v>46087.591064814813</v>
      </c>
    </row>
    <row r="1078" spans="1:7" x14ac:dyDescent="0.3">
      <c r="A1078">
        <v>1077</v>
      </c>
      <c r="B1078" t="s">
        <v>145</v>
      </c>
      <c r="C1078">
        <v>51019768</v>
      </c>
      <c r="D1078">
        <v>12.4</v>
      </c>
      <c r="E1078" t="s">
        <v>95</v>
      </c>
      <c r="F1078">
        <v>1137</v>
      </c>
      <c r="G1078" s="4">
        <v>46087.591064814813</v>
      </c>
    </row>
    <row r="1079" spans="1:7" x14ac:dyDescent="0.3">
      <c r="A1079">
        <v>1078</v>
      </c>
      <c r="B1079" t="s">
        <v>145</v>
      </c>
      <c r="C1079">
        <v>51020120</v>
      </c>
      <c r="D1079">
        <v>19.910000000000004</v>
      </c>
      <c r="E1079" t="s">
        <v>95</v>
      </c>
      <c r="F1079">
        <v>1018</v>
      </c>
      <c r="G1079" s="4">
        <v>46087.591064814813</v>
      </c>
    </row>
    <row r="1080" spans="1:7" x14ac:dyDescent="0.3">
      <c r="A1080">
        <v>1079</v>
      </c>
      <c r="B1080" t="s">
        <v>145</v>
      </c>
      <c r="C1080">
        <v>51020154</v>
      </c>
      <c r="D1080">
        <v>14.080000000000002</v>
      </c>
      <c r="E1080" t="s">
        <v>95</v>
      </c>
      <c r="F1080">
        <v>1104</v>
      </c>
      <c r="G1080" s="4">
        <v>46087.591064814813</v>
      </c>
    </row>
    <row r="1081" spans="1:7" x14ac:dyDescent="0.3">
      <c r="A1081">
        <v>1080</v>
      </c>
      <c r="B1081" t="s">
        <v>145</v>
      </c>
      <c r="C1081">
        <v>51020740</v>
      </c>
      <c r="D1081">
        <v>84.11269812036825</v>
      </c>
      <c r="E1081" t="s">
        <v>93</v>
      </c>
      <c r="F1081">
        <v>281</v>
      </c>
      <c r="G1081" s="4">
        <v>46087.591064814813</v>
      </c>
    </row>
    <row r="1082" spans="1:7" x14ac:dyDescent="0.3">
      <c r="A1082">
        <v>1081</v>
      </c>
      <c r="B1082" t="s">
        <v>145</v>
      </c>
      <c r="C1082">
        <v>51021151</v>
      </c>
      <c r="D1082">
        <v>18.600000000000001</v>
      </c>
      <c r="E1082" t="s">
        <v>95</v>
      </c>
      <c r="F1082">
        <v>1048</v>
      </c>
      <c r="G1082" s="4">
        <v>46087.591064814813</v>
      </c>
    </row>
    <row r="1083" spans="1:7" x14ac:dyDescent="0.3">
      <c r="A1083">
        <v>1082</v>
      </c>
      <c r="B1083" t="s">
        <v>145</v>
      </c>
      <c r="C1083">
        <v>51021525</v>
      </c>
      <c r="D1083">
        <v>15.100000000000001</v>
      </c>
      <c r="E1083" t="s">
        <v>95</v>
      </c>
      <c r="F1083">
        <v>1095</v>
      </c>
      <c r="G1083" s="4">
        <v>46087.591064814813</v>
      </c>
    </row>
    <row r="1084" spans="1:7" x14ac:dyDescent="0.3">
      <c r="A1084">
        <v>1083</v>
      </c>
      <c r="B1084" t="s">
        <v>145</v>
      </c>
      <c r="C1084">
        <v>51021649</v>
      </c>
      <c r="D1084">
        <v>68.687182388566498</v>
      </c>
      <c r="E1084" t="s">
        <v>93</v>
      </c>
      <c r="F1084">
        <v>561</v>
      </c>
      <c r="G1084" s="4">
        <v>46087.591064814813</v>
      </c>
    </row>
    <row r="1085" spans="1:7" x14ac:dyDescent="0.3">
      <c r="A1085">
        <v>1084</v>
      </c>
      <c r="B1085" t="s">
        <v>145</v>
      </c>
      <c r="C1085">
        <v>51021908</v>
      </c>
      <c r="D1085">
        <v>10.199999999999999</v>
      </c>
      <c r="E1085" t="s">
        <v>95</v>
      </c>
      <c r="F1085">
        <v>1175</v>
      </c>
      <c r="G1085" s="4">
        <v>46087.591064814813</v>
      </c>
    </row>
    <row r="1086" spans="1:7" x14ac:dyDescent="0.3">
      <c r="A1086">
        <v>1085</v>
      </c>
      <c r="B1086" t="s">
        <v>145</v>
      </c>
      <c r="C1086">
        <v>51021924</v>
      </c>
      <c r="D1086">
        <v>17.399999999999999</v>
      </c>
      <c r="E1086" t="s">
        <v>95</v>
      </c>
      <c r="F1086">
        <v>1066</v>
      </c>
      <c r="G1086" s="4">
        <v>46087.591064814813</v>
      </c>
    </row>
    <row r="1087" spans="1:7" x14ac:dyDescent="0.3">
      <c r="A1087">
        <v>1086</v>
      </c>
      <c r="B1087" t="s">
        <v>145</v>
      </c>
      <c r="C1087">
        <v>51022203</v>
      </c>
      <c r="D1087">
        <v>10.29</v>
      </c>
      <c r="E1087" t="s">
        <v>95</v>
      </c>
      <c r="F1087">
        <v>1174</v>
      </c>
      <c r="G1087" s="4">
        <v>46087.591064814813</v>
      </c>
    </row>
    <row r="1088" spans="1:7" x14ac:dyDescent="0.3">
      <c r="A1088">
        <v>1087</v>
      </c>
      <c r="B1088" t="s">
        <v>145</v>
      </c>
      <c r="C1088">
        <v>51022271</v>
      </c>
      <c r="D1088">
        <v>12.179999999999998</v>
      </c>
      <c r="E1088" t="s">
        <v>95</v>
      </c>
      <c r="F1088">
        <v>1139</v>
      </c>
      <c r="G1088" s="4">
        <v>46087.591064814813</v>
      </c>
    </row>
    <row r="1089" spans="1:7" x14ac:dyDescent="0.3">
      <c r="A1089">
        <v>1088</v>
      </c>
      <c r="B1089" t="s">
        <v>145</v>
      </c>
      <c r="C1089">
        <v>51022297</v>
      </c>
      <c r="D1089">
        <v>18.974999999999998</v>
      </c>
      <c r="E1089" t="s">
        <v>95</v>
      </c>
      <c r="F1089">
        <v>1038</v>
      </c>
      <c r="G1089" s="4">
        <v>46087.591064814813</v>
      </c>
    </row>
    <row r="1090" spans="1:7" x14ac:dyDescent="0.3">
      <c r="A1090">
        <v>1089</v>
      </c>
      <c r="B1090" t="s">
        <v>145</v>
      </c>
      <c r="C1090">
        <v>51022807</v>
      </c>
      <c r="D1090">
        <v>84.834000592754577</v>
      </c>
      <c r="E1090" t="s">
        <v>93</v>
      </c>
      <c r="F1090">
        <v>260</v>
      </c>
      <c r="G1090" s="4">
        <v>46087.591064814813</v>
      </c>
    </row>
    <row r="1091" spans="1:7" x14ac:dyDescent="0.3">
      <c r="A1091">
        <v>1090</v>
      </c>
      <c r="B1091" t="s">
        <v>145</v>
      </c>
      <c r="C1091">
        <v>51022891</v>
      </c>
      <c r="D1091">
        <v>9.31</v>
      </c>
      <c r="E1091" t="s">
        <v>95</v>
      </c>
      <c r="F1091">
        <v>1180</v>
      </c>
      <c r="G1091" s="4">
        <v>46087.591064814813</v>
      </c>
    </row>
    <row r="1092" spans="1:7" x14ac:dyDescent="0.3">
      <c r="A1092">
        <v>1091</v>
      </c>
      <c r="B1092" t="s">
        <v>145</v>
      </c>
      <c r="C1092">
        <v>51022939</v>
      </c>
      <c r="D1092">
        <v>10.639999999999999</v>
      </c>
      <c r="E1092" t="s">
        <v>95</v>
      </c>
      <c r="F1092">
        <v>1163</v>
      </c>
      <c r="G1092" s="4">
        <v>46087.591064814813</v>
      </c>
    </row>
    <row r="1093" spans="1:7" x14ac:dyDescent="0.3">
      <c r="A1093">
        <v>1092</v>
      </c>
      <c r="B1093" t="s">
        <v>145</v>
      </c>
      <c r="C1093">
        <v>51023323</v>
      </c>
      <c r="D1093">
        <v>41.652780058601167</v>
      </c>
      <c r="E1093" t="s">
        <v>94</v>
      </c>
      <c r="F1093">
        <v>880</v>
      </c>
      <c r="G1093" s="4">
        <v>46087.591064814813</v>
      </c>
    </row>
    <row r="1094" spans="1:7" x14ac:dyDescent="0.3">
      <c r="A1094">
        <v>1093</v>
      </c>
      <c r="B1094" t="s">
        <v>145</v>
      </c>
      <c r="C1094">
        <v>51023447</v>
      </c>
      <c r="D1094">
        <v>11.129999999999999</v>
      </c>
      <c r="E1094" t="s">
        <v>95</v>
      </c>
      <c r="F1094">
        <v>1153</v>
      </c>
      <c r="G1094" s="4">
        <v>46087.591064814813</v>
      </c>
    </row>
    <row r="1095" spans="1:7" x14ac:dyDescent="0.3">
      <c r="A1095">
        <v>1094</v>
      </c>
      <c r="B1095" t="s">
        <v>145</v>
      </c>
      <c r="C1095">
        <v>51023463</v>
      </c>
      <c r="D1095">
        <v>15.290000000000001</v>
      </c>
      <c r="E1095" t="s">
        <v>95</v>
      </c>
      <c r="F1095">
        <v>1094</v>
      </c>
      <c r="G1095" s="4">
        <v>46087.591064814813</v>
      </c>
    </row>
    <row r="1096" spans="1:7" x14ac:dyDescent="0.3">
      <c r="A1096">
        <v>1095</v>
      </c>
      <c r="B1096" t="s">
        <v>145</v>
      </c>
      <c r="C1096">
        <v>51023510</v>
      </c>
      <c r="D1096">
        <v>21.734999999999996</v>
      </c>
      <c r="E1096" t="s">
        <v>95</v>
      </c>
      <c r="F1096">
        <v>1003</v>
      </c>
      <c r="G1096" s="4">
        <v>46087.591064814813</v>
      </c>
    </row>
    <row r="1097" spans="1:7" x14ac:dyDescent="0.3">
      <c r="A1097">
        <v>1096</v>
      </c>
      <c r="B1097" t="s">
        <v>145</v>
      </c>
      <c r="C1097">
        <v>51024338</v>
      </c>
      <c r="D1097">
        <v>10.4</v>
      </c>
      <c r="E1097" t="s">
        <v>95</v>
      </c>
      <c r="F1097">
        <v>1170</v>
      </c>
      <c r="G1097" s="4">
        <v>46087.591064814813</v>
      </c>
    </row>
    <row r="1098" spans="1:7" x14ac:dyDescent="0.3">
      <c r="A1098">
        <v>1097</v>
      </c>
      <c r="B1098" t="s">
        <v>145</v>
      </c>
      <c r="C1098">
        <v>51024346</v>
      </c>
      <c r="D1098">
        <v>20.680000000000003</v>
      </c>
      <c r="E1098" t="s">
        <v>95</v>
      </c>
      <c r="F1098">
        <v>1014</v>
      </c>
      <c r="G1098" s="4">
        <v>46087.591064814813</v>
      </c>
    </row>
    <row r="1099" spans="1:7" x14ac:dyDescent="0.3">
      <c r="A1099">
        <v>1098</v>
      </c>
      <c r="B1099" t="s">
        <v>145</v>
      </c>
      <c r="C1099">
        <v>51024354</v>
      </c>
      <c r="D1099">
        <v>12.7</v>
      </c>
      <c r="E1099" t="s">
        <v>95</v>
      </c>
      <c r="F1099">
        <v>1131</v>
      </c>
      <c r="G1099" s="4">
        <v>46087.591064814813</v>
      </c>
    </row>
    <row r="1100" spans="1:7" x14ac:dyDescent="0.3">
      <c r="A1100">
        <v>1099</v>
      </c>
      <c r="B1100" t="s">
        <v>145</v>
      </c>
      <c r="C1100">
        <v>51024788</v>
      </c>
      <c r="D1100">
        <v>13.6</v>
      </c>
      <c r="E1100" t="s">
        <v>95</v>
      </c>
      <c r="F1100">
        <v>1110</v>
      </c>
      <c r="G1100" s="4">
        <v>46087.591064814813</v>
      </c>
    </row>
    <row r="1101" spans="1:7" x14ac:dyDescent="0.3">
      <c r="A1101">
        <v>1100</v>
      </c>
      <c r="B1101" t="s">
        <v>145</v>
      </c>
      <c r="C1101">
        <v>51024907</v>
      </c>
      <c r="D1101">
        <v>12.879999999999999</v>
      </c>
      <c r="E1101" t="s">
        <v>95</v>
      </c>
      <c r="F1101">
        <v>1127</v>
      </c>
      <c r="G1101" s="4">
        <v>46087.591064814813</v>
      </c>
    </row>
    <row r="1102" spans="1:7" x14ac:dyDescent="0.3">
      <c r="A1102">
        <v>1101</v>
      </c>
      <c r="B1102" t="s">
        <v>145</v>
      </c>
      <c r="C1102">
        <v>51025598</v>
      </c>
      <c r="D1102">
        <v>12.764999999999999</v>
      </c>
      <c r="E1102" t="s">
        <v>95</v>
      </c>
      <c r="F1102">
        <v>1130</v>
      </c>
      <c r="G1102" s="4">
        <v>46087.591064814813</v>
      </c>
    </row>
    <row r="1103" spans="1:7" x14ac:dyDescent="0.3">
      <c r="A1103">
        <v>1102</v>
      </c>
      <c r="B1103" t="s">
        <v>145</v>
      </c>
      <c r="C1103">
        <v>51025601</v>
      </c>
      <c r="D1103">
        <v>49.243445493808927</v>
      </c>
      <c r="E1103" t="s">
        <v>94</v>
      </c>
      <c r="F1103">
        <v>833</v>
      </c>
      <c r="G1103" s="4">
        <v>46087.591064814813</v>
      </c>
    </row>
    <row r="1104" spans="1:7" x14ac:dyDescent="0.3">
      <c r="A1104">
        <v>1103</v>
      </c>
      <c r="B1104" t="s">
        <v>145</v>
      </c>
      <c r="C1104">
        <v>51025881</v>
      </c>
      <c r="D1104">
        <v>11.2</v>
      </c>
      <c r="E1104" t="s">
        <v>95</v>
      </c>
      <c r="F1104">
        <v>1152</v>
      </c>
      <c r="G1104" s="4">
        <v>46087.591064814813</v>
      </c>
    </row>
    <row r="1105" spans="1:7" x14ac:dyDescent="0.3">
      <c r="A1105">
        <v>1104</v>
      </c>
      <c r="B1105" t="s">
        <v>145</v>
      </c>
      <c r="C1105">
        <v>51028856</v>
      </c>
      <c r="D1105">
        <v>19.700000000000003</v>
      </c>
      <c r="E1105" t="s">
        <v>95</v>
      </c>
      <c r="F1105">
        <v>1022</v>
      </c>
      <c r="G1105" s="4">
        <v>46087.591064814813</v>
      </c>
    </row>
    <row r="1106" spans="1:7" x14ac:dyDescent="0.3">
      <c r="A1106">
        <v>1105</v>
      </c>
      <c r="B1106" t="s">
        <v>145</v>
      </c>
      <c r="C1106">
        <v>51030087</v>
      </c>
      <c r="D1106">
        <v>16.7</v>
      </c>
      <c r="E1106" t="s">
        <v>95</v>
      </c>
      <c r="F1106">
        <v>1076</v>
      </c>
      <c r="G1106" s="4">
        <v>46087.591064814813</v>
      </c>
    </row>
    <row r="1107" spans="1:7" x14ac:dyDescent="0.3">
      <c r="A1107">
        <v>1106</v>
      </c>
      <c r="B1107" t="s">
        <v>145</v>
      </c>
      <c r="C1107">
        <v>51030206</v>
      </c>
      <c r="D1107">
        <v>14.503499999999999</v>
      </c>
      <c r="E1107" t="s">
        <v>95</v>
      </c>
      <c r="F1107">
        <v>1098</v>
      </c>
      <c r="G1107" s="4">
        <v>46087.591064814813</v>
      </c>
    </row>
    <row r="1108" spans="1:7" x14ac:dyDescent="0.3">
      <c r="A1108">
        <v>1107</v>
      </c>
      <c r="B1108" t="s">
        <v>145</v>
      </c>
      <c r="C1108">
        <v>51030630</v>
      </c>
      <c r="D1108">
        <v>13.16</v>
      </c>
      <c r="E1108" t="s">
        <v>95</v>
      </c>
      <c r="F1108">
        <v>1120</v>
      </c>
      <c r="G1108" s="4">
        <v>46087.591064814813</v>
      </c>
    </row>
    <row r="1109" spans="1:7" x14ac:dyDescent="0.3">
      <c r="A1109">
        <v>1108</v>
      </c>
      <c r="B1109" t="s">
        <v>145</v>
      </c>
      <c r="C1109">
        <v>51030745</v>
      </c>
      <c r="D1109">
        <v>19.5</v>
      </c>
      <c r="E1109" t="s">
        <v>95</v>
      </c>
      <c r="F1109">
        <v>1025</v>
      </c>
      <c r="G1109" s="4">
        <v>46087.591064814813</v>
      </c>
    </row>
    <row r="1110" spans="1:7" x14ac:dyDescent="0.3">
      <c r="A1110">
        <v>1109</v>
      </c>
      <c r="B1110" t="s">
        <v>145</v>
      </c>
      <c r="C1110">
        <v>51030796</v>
      </c>
      <c r="D1110">
        <v>13.1</v>
      </c>
      <c r="E1110" t="s">
        <v>95</v>
      </c>
      <c r="F1110">
        <v>1121</v>
      </c>
      <c r="G1110" s="4">
        <v>46087.591064814813</v>
      </c>
    </row>
    <row r="1111" spans="1:7" x14ac:dyDescent="0.3">
      <c r="A1111">
        <v>1110</v>
      </c>
      <c r="B1111" t="s">
        <v>145</v>
      </c>
      <c r="C1111">
        <v>51030966</v>
      </c>
      <c r="D1111">
        <v>16.610000000000003</v>
      </c>
      <c r="E1111" t="s">
        <v>95</v>
      </c>
      <c r="F1111">
        <v>1077</v>
      </c>
      <c r="G1111" s="4">
        <v>46087.591064814813</v>
      </c>
    </row>
    <row r="1112" spans="1:7" x14ac:dyDescent="0.3">
      <c r="A1112">
        <v>1111</v>
      </c>
      <c r="B1112" t="s">
        <v>145</v>
      </c>
      <c r="C1112">
        <v>51031067</v>
      </c>
      <c r="D1112">
        <v>10.639999999999999</v>
      </c>
      <c r="E1112" t="s">
        <v>95</v>
      </c>
      <c r="F1112">
        <v>1163</v>
      </c>
      <c r="G1112" s="4">
        <v>46087.591064814813</v>
      </c>
    </row>
    <row r="1113" spans="1:7" x14ac:dyDescent="0.3">
      <c r="A1113">
        <v>1112</v>
      </c>
      <c r="B1113" t="s">
        <v>145</v>
      </c>
      <c r="C1113">
        <v>51031091</v>
      </c>
      <c r="D1113">
        <v>16.2</v>
      </c>
      <c r="E1113" t="s">
        <v>95</v>
      </c>
      <c r="F1113">
        <v>1083</v>
      </c>
      <c r="G1113" s="4">
        <v>46087.591064814813</v>
      </c>
    </row>
    <row r="1114" spans="1:7" x14ac:dyDescent="0.3">
      <c r="A1114">
        <v>1113</v>
      </c>
      <c r="B1114" t="s">
        <v>145</v>
      </c>
      <c r="C1114">
        <v>51031156</v>
      </c>
      <c r="D1114">
        <v>12.1</v>
      </c>
      <c r="E1114" t="s">
        <v>95</v>
      </c>
      <c r="F1114">
        <v>1140</v>
      </c>
      <c r="G1114" s="4">
        <v>46087.591064814813</v>
      </c>
    </row>
    <row r="1115" spans="1:7" x14ac:dyDescent="0.3">
      <c r="A1115">
        <v>1114</v>
      </c>
      <c r="B1115" t="s">
        <v>145</v>
      </c>
      <c r="C1115">
        <v>51031423</v>
      </c>
      <c r="D1115">
        <v>8.3999999999999986</v>
      </c>
      <c r="E1115" t="s">
        <v>95</v>
      </c>
      <c r="F1115">
        <v>1183</v>
      </c>
      <c r="G1115" s="4">
        <v>46087.591064814813</v>
      </c>
    </row>
    <row r="1116" spans="1:7" x14ac:dyDescent="0.3">
      <c r="A1116">
        <v>1115</v>
      </c>
      <c r="B1116" t="s">
        <v>145</v>
      </c>
      <c r="C1116">
        <v>51031555</v>
      </c>
      <c r="D1116">
        <v>13.3</v>
      </c>
      <c r="E1116" t="s">
        <v>95</v>
      </c>
      <c r="F1116">
        <v>1117</v>
      </c>
      <c r="G1116" s="4">
        <v>46087.591064814813</v>
      </c>
    </row>
    <row r="1117" spans="1:7" x14ac:dyDescent="0.3">
      <c r="A1117">
        <v>1116</v>
      </c>
      <c r="B1117" t="s">
        <v>145</v>
      </c>
      <c r="C1117">
        <v>51032021</v>
      </c>
      <c r="D1117">
        <v>9.17</v>
      </c>
      <c r="E1117" t="s">
        <v>95</v>
      </c>
      <c r="F1117">
        <v>1181</v>
      </c>
      <c r="G1117" s="4">
        <v>46087.591064814813</v>
      </c>
    </row>
    <row r="1118" spans="1:7" x14ac:dyDescent="0.3">
      <c r="A1118">
        <v>1117</v>
      </c>
      <c r="B1118" t="s">
        <v>145</v>
      </c>
      <c r="C1118">
        <v>51032055</v>
      </c>
      <c r="D1118">
        <v>17.05</v>
      </c>
      <c r="E1118" t="s">
        <v>95</v>
      </c>
      <c r="F1118">
        <v>1072</v>
      </c>
      <c r="G1118" s="4">
        <v>46087.591064814813</v>
      </c>
    </row>
    <row r="1119" spans="1:7" x14ac:dyDescent="0.3">
      <c r="A1119">
        <v>1118</v>
      </c>
      <c r="B1119" t="s">
        <v>145</v>
      </c>
      <c r="C1119">
        <v>51032144</v>
      </c>
      <c r="D1119">
        <v>23.730369373772447</v>
      </c>
      <c r="E1119" t="s">
        <v>95</v>
      </c>
      <c r="F1119">
        <v>990</v>
      </c>
      <c r="G1119" s="4">
        <v>46087.591064814813</v>
      </c>
    </row>
    <row r="1120" spans="1:7" x14ac:dyDescent="0.3">
      <c r="A1120">
        <v>1119</v>
      </c>
      <c r="B1120" t="s">
        <v>145</v>
      </c>
      <c r="C1120">
        <v>51032209</v>
      </c>
      <c r="D1120">
        <v>18.100000000000001</v>
      </c>
      <c r="E1120" t="s">
        <v>95</v>
      </c>
      <c r="F1120">
        <v>1056</v>
      </c>
      <c r="G1120" s="4">
        <v>46087.591064814813</v>
      </c>
    </row>
    <row r="1121" spans="1:7" x14ac:dyDescent="0.3">
      <c r="A1121">
        <v>1120</v>
      </c>
      <c r="B1121" t="s">
        <v>145</v>
      </c>
      <c r="C1121">
        <v>51032217</v>
      </c>
      <c r="D1121">
        <v>13.750000000000002</v>
      </c>
      <c r="E1121" t="s">
        <v>95</v>
      </c>
      <c r="F1121">
        <v>1107</v>
      </c>
      <c r="G1121" s="4">
        <v>46087.591064814813</v>
      </c>
    </row>
    <row r="1122" spans="1:7" x14ac:dyDescent="0.3">
      <c r="A1122">
        <v>1121</v>
      </c>
      <c r="B1122" t="s">
        <v>145</v>
      </c>
      <c r="C1122">
        <v>51032497</v>
      </c>
      <c r="D1122">
        <v>44.952879699676473</v>
      </c>
      <c r="E1122" t="s">
        <v>94</v>
      </c>
      <c r="F1122">
        <v>867</v>
      </c>
      <c r="G1122" s="4">
        <v>46087.591064814813</v>
      </c>
    </row>
    <row r="1123" spans="1:7" x14ac:dyDescent="0.3">
      <c r="A1123">
        <v>1122</v>
      </c>
      <c r="B1123" t="s">
        <v>145</v>
      </c>
      <c r="C1123">
        <v>51033019</v>
      </c>
      <c r="D1123">
        <v>19.910000000000004</v>
      </c>
      <c r="E1123" t="s">
        <v>95</v>
      </c>
      <c r="F1123">
        <v>1018</v>
      </c>
      <c r="G1123" s="4">
        <v>46087.591064814813</v>
      </c>
    </row>
    <row r="1124" spans="1:7" x14ac:dyDescent="0.3">
      <c r="A1124">
        <v>1123</v>
      </c>
      <c r="B1124" t="s">
        <v>145</v>
      </c>
      <c r="C1124">
        <v>51033647</v>
      </c>
      <c r="D1124">
        <v>16</v>
      </c>
      <c r="E1124" t="s">
        <v>95</v>
      </c>
      <c r="F1124">
        <v>1087</v>
      </c>
      <c r="G1124" s="4">
        <v>46087.591064814813</v>
      </c>
    </row>
    <row r="1125" spans="1:7" x14ac:dyDescent="0.3">
      <c r="A1125">
        <v>1124</v>
      </c>
      <c r="B1125" t="s">
        <v>145</v>
      </c>
      <c r="C1125">
        <v>51034261</v>
      </c>
      <c r="D1125">
        <v>18.052699999999998</v>
      </c>
      <c r="E1125" t="s">
        <v>95</v>
      </c>
      <c r="F1125">
        <v>1059</v>
      </c>
      <c r="G1125" s="4">
        <v>46087.591064814813</v>
      </c>
    </row>
    <row r="1126" spans="1:7" x14ac:dyDescent="0.3">
      <c r="A1126">
        <v>1125</v>
      </c>
      <c r="B1126" t="s">
        <v>145</v>
      </c>
      <c r="C1126">
        <v>51034392</v>
      </c>
      <c r="D1126">
        <v>10.43</v>
      </c>
      <c r="E1126" t="s">
        <v>95</v>
      </c>
      <c r="F1126">
        <v>1169</v>
      </c>
      <c r="G1126" s="4">
        <v>46087.591064814813</v>
      </c>
    </row>
    <row r="1127" spans="1:7" x14ac:dyDescent="0.3">
      <c r="A1127">
        <v>1126</v>
      </c>
      <c r="B1127" t="s">
        <v>145</v>
      </c>
      <c r="C1127">
        <v>51036093</v>
      </c>
      <c r="D1127">
        <v>11.8</v>
      </c>
      <c r="E1127" t="s">
        <v>95</v>
      </c>
      <c r="F1127">
        <v>1144</v>
      </c>
      <c r="G1127" s="4">
        <v>46087.591064814813</v>
      </c>
    </row>
    <row r="1128" spans="1:7" x14ac:dyDescent="0.3">
      <c r="A1128">
        <v>1127</v>
      </c>
      <c r="B1128" t="s">
        <v>145</v>
      </c>
      <c r="C1128">
        <v>51036620</v>
      </c>
      <c r="D1128">
        <v>16.8</v>
      </c>
      <c r="E1128" t="s">
        <v>95</v>
      </c>
      <c r="F1128">
        <v>1075</v>
      </c>
      <c r="G1128" s="4">
        <v>46087.591064814813</v>
      </c>
    </row>
    <row r="1129" spans="1:7" x14ac:dyDescent="0.3">
      <c r="A1129">
        <v>1128</v>
      </c>
      <c r="B1129" t="s">
        <v>145</v>
      </c>
      <c r="C1129">
        <v>51036786</v>
      </c>
      <c r="D1129">
        <v>21.734999999999996</v>
      </c>
      <c r="E1129" t="s">
        <v>95</v>
      </c>
      <c r="F1129">
        <v>1003</v>
      </c>
      <c r="G1129" s="4">
        <v>46087.591064814813</v>
      </c>
    </row>
    <row r="1130" spans="1:7" x14ac:dyDescent="0.3">
      <c r="A1130">
        <v>1129</v>
      </c>
      <c r="B1130" t="s">
        <v>145</v>
      </c>
      <c r="C1130">
        <v>51037014</v>
      </c>
      <c r="D1130">
        <v>17.100000000000001</v>
      </c>
      <c r="E1130" t="s">
        <v>95</v>
      </c>
      <c r="F1130">
        <v>1071</v>
      </c>
      <c r="G1130" s="4">
        <v>46087.591064814813</v>
      </c>
    </row>
    <row r="1131" spans="1:7" x14ac:dyDescent="0.3">
      <c r="A1131">
        <v>1130</v>
      </c>
      <c r="B1131" t="s">
        <v>145</v>
      </c>
      <c r="C1131">
        <v>51038991</v>
      </c>
      <c r="D1131">
        <v>16.198</v>
      </c>
      <c r="E1131" t="s">
        <v>95</v>
      </c>
      <c r="F1131">
        <v>1085</v>
      </c>
      <c r="G1131" s="4">
        <v>46087.591064814813</v>
      </c>
    </row>
    <row r="1132" spans="1:7" x14ac:dyDescent="0.3">
      <c r="A1132">
        <v>1131</v>
      </c>
      <c r="B1132" t="s">
        <v>145</v>
      </c>
      <c r="C1132">
        <v>51039084</v>
      </c>
      <c r="D1132">
        <v>11.819499999999998</v>
      </c>
      <c r="E1132" t="s">
        <v>95</v>
      </c>
      <c r="F1132">
        <v>1143</v>
      </c>
      <c r="G1132" s="4">
        <v>46087.591064814813</v>
      </c>
    </row>
    <row r="1133" spans="1:7" x14ac:dyDescent="0.3">
      <c r="A1133">
        <v>1132</v>
      </c>
      <c r="B1133" t="s">
        <v>145</v>
      </c>
      <c r="C1133">
        <v>51039955</v>
      </c>
      <c r="D1133">
        <v>13.370000000000001</v>
      </c>
      <c r="E1133" t="s">
        <v>95</v>
      </c>
      <c r="F1133">
        <v>1114</v>
      </c>
      <c r="G1133" s="4">
        <v>46087.591064814813</v>
      </c>
    </row>
    <row r="1134" spans="1:7" x14ac:dyDescent="0.3">
      <c r="A1134">
        <v>1133</v>
      </c>
      <c r="B1134" t="s">
        <v>145</v>
      </c>
      <c r="C1134">
        <v>51039980</v>
      </c>
      <c r="D1134">
        <v>19.14</v>
      </c>
      <c r="E1134" t="s">
        <v>95</v>
      </c>
      <c r="F1134">
        <v>1032</v>
      </c>
      <c r="G1134" s="4">
        <v>46087.591064814813</v>
      </c>
    </row>
    <row r="1135" spans="1:7" x14ac:dyDescent="0.3">
      <c r="A1135">
        <v>1134</v>
      </c>
      <c r="B1135" t="s">
        <v>145</v>
      </c>
      <c r="C1135">
        <v>51040040</v>
      </c>
      <c r="D1135">
        <v>12.9</v>
      </c>
      <c r="E1135" t="s">
        <v>95</v>
      </c>
      <c r="F1135">
        <v>1125</v>
      </c>
      <c r="G1135" s="4">
        <v>46087.591064814813</v>
      </c>
    </row>
    <row r="1136" spans="1:7" x14ac:dyDescent="0.3">
      <c r="A1136">
        <v>1135</v>
      </c>
      <c r="B1136" t="s">
        <v>145</v>
      </c>
      <c r="C1136">
        <v>51040309</v>
      </c>
      <c r="D1136">
        <v>46.622507961820766</v>
      </c>
      <c r="E1136" t="s">
        <v>94</v>
      </c>
      <c r="F1136">
        <v>852</v>
      </c>
      <c r="G1136" s="4">
        <v>46087.591064814813</v>
      </c>
    </row>
    <row r="1137" spans="1:7" x14ac:dyDescent="0.3">
      <c r="A1137">
        <v>1136</v>
      </c>
      <c r="B1137" t="s">
        <v>145</v>
      </c>
      <c r="C1137">
        <v>51040856</v>
      </c>
      <c r="D1137">
        <v>12.304999999999998</v>
      </c>
      <c r="E1137" t="s">
        <v>95</v>
      </c>
      <c r="F1137">
        <v>1138</v>
      </c>
      <c r="G1137" s="4">
        <v>46087.591064814813</v>
      </c>
    </row>
    <row r="1138" spans="1:7" x14ac:dyDescent="0.3">
      <c r="A1138">
        <v>1137</v>
      </c>
      <c r="B1138" t="s">
        <v>145</v>
      </c>
      <c r="C1138">
        <v>51040970</v>
      </c>
      <c r="D1138">
        <v>13.090000000000002</v>
      </c>
      <c r="E1138" t="s">
        <v>95</v>
      </c>
      <c r="F1138">
        <v>1122</v>
      </c>
      <c r="G1138" s="4">
        <v>46087.591064814813</v>
      </c>
    </row>
    <row r="1139" spans="1:7" x14ac:dyDescent="0.3">
      <c r="A1139">
        <v>1138</v>
      </c>
      <c r="B1139" t="s">
        <v>145</v>
      </c>
      <c r="C1139">
        <v>51041178</v>
      </c>
      <c r="D1139">
        <v>8.19</v>
      </c>
      <c r="E1139" t="s">
        <v>95</v>
      </c>
      <c r="F1139">
        <v>1187</v>
      </c>
      <c r="G1139" s="4">
        <v>46087.591064814813</v>
      </c>
    </row>
    <row r="1140" spans="1:7" x14ac:dyDescent="0.3">
      <c r="A1140">
        <v>1139</v>
      </c>
      <c r="B1140" t="s">
        <v>145</v>
      </c>
      <c r="C1140">
        <v>51041321</v>
      </c>
      <c r="D1140">
        <v>30.2</v>
      </c>
      <c r="E1140" t="s">
        <v>94</v>
      </c>
      <c r="F1140">
        <v>941</v>
      </c>
      <c r="G1140" s="4">
        <v>46087.591064814813</v>
      </c>
    </row>
    <row r="1141" spans="1:7" x14ac:dyDescent="0.3">
      <c r="A1141">
        <v>1140</v>
      </c>
      <c r="B1141" t="s">
        <v>145</v>
      </c>
      <c r="C1141">
        <v>51041836</v>
      </c>
      <c r="D1141">
        <v>17.160000000000004</v>
      </c>
      <c r="E1141" t="s">
        <v>95</v>
      </c>
      <c r="F1141">
        <v>1070</v>
      </c>
      <c r="G1141" s="4">
        <v>46087.591064814813</v>
      </c>
    </row>
    <row r="1142" spans="1:7" x14ac:dyDescent="0.3">
      <c r="A1142">
        <v>1141</v>
      </c>
      <c r="B1142" t="s">
        <v>145</v>
      </c>
      <c r="C1142">
        <v>51041925</v>
      </c>
      <c r="D1142">
        <v>18.685000000000002</v>
      </c>
      <c r="E1142" t="s">
        <v>95</v>
      </c>
      <c r="F1142">
        <v>1046</v>
      </c>
      <c r="G1142" s="4">
        <v>46087.591064814813</v>
      </c>
    </row>
    <row r="1143" spans="1:7" x14ac:dyDescent="0.3">
      <c r="A1143">
        <v>1142</v>
      </c>
      <c r="B1143" t="s">
        <v>145</v>
      </c>
      <c r="C1143">
        <v>51042166</v>
      </c>
      <c r="D1143">
        <v>18.899999999999999</v>
      </c>
      <c r="E1143" t="s">
        <v>95</v>
      </c>
      <c r="F1143">
        <v>1039</v>
      </c>
      <c r="G1143" s="4">
        <v>46087.591064814813</v>
      </c>
    </row>
    <row r="1144" spans="1:7" x14ac:dyDescent="0.3">
      <c r="A1144">
        <v>1143</v>
      </c>
      <c r="B1144" t="s">
        <v>145</v>
      </c>
      <c r="C1144">
        <v>51042352</v>
      </c>
      <c r="D1144">
        <v>18.198</v>
      </c>
      <c r="E1144" t="s">
        <v>95</v>
      </c>
      <c r="F1144">
        <v>1055</v>
      </c>
      <c r="G1144" s="4">
        <v>46087.591064814813</v>
      </c>
    </row>
    <row r="1145" spans="1:7" x14ac:dyDescent="0.3">
      <c r="A1145">
        <v>1144</v>
      </c>
      <c r="B1145" t="s">
        <v>145</v>
      </c>
      <c r="C1145">
        <v>51042492</v>
      </c>
      <c r="D1145">
        <v>54.1983885793491</v>
      </c>
      <c r="E1145" t="s">
        <v>94</v>
      </c>
      <c r="F1145">
        <v>789</v>
      </c>
      <c r="G1145" s="4">
        <v>46087.591064814813</v>
      </c>
    </row>
    <row r="1146" spans="1:7" x14ac:dyDescent="0.3">
      <c r="A1146">
        <v>1145</v>
      </c>
      <c r="B1146" t="s">
        <v>145</v>
      </c>
      <c r="C1146">
        <v>51042557</v>
      </c>
      <c r="D1146">
        <v>13.3</v>
      </c>
      <c r="E1146" t="s">
        <v>95</v>
      </c>
      <c r="F1146">
        <v>1117</v>
      </c>
      <c r="G1146" s="4">
        <v>46087.591064814813</v>
      </c>
    </row>
    <row r="1147" spans="1:7" x14ac:dyDescent="0.3">
      <c r="A1147">
        <v>1146</v>
      </c>
      <c r="B1147" t="s">
        <v>145</v>
      </c>
      <c r="C1147">
        <v>51042697</v>
      </c>
      <c r="D1147">
        <v>10.01</v>
      </c>
      <c r="E1147" t="s">
        <v>95</v>
      </c>
      <c r="F1147">
        <v>1176</v>
      </c>
      <c r="G1147" s="4">
        <v>46087.591064814813</v>
      </c>
    </row>
    <row r="1148" spans="1:7" x14ac:dyDescent="0.3">
      <c r="A1148">
        <v>1147</v>
      </c>
      <c r="B1148" t="s">
        <v>145</v>
      </c>
      <c r="C1148">
        <v>51042701</v>
      </c>
      <c r="D1148">
        <v>19.100000000000001</v>
      </c>
      <c r="E1148" t="s">
        <v>95</v>
      </c>
      <c r="F1148">
        <v>1035</v>
      </c>
      <c r="G1148" s="4">
        <v>46087.591064814813</v>
      </c>
    </row>
    <row r="1149" spans="1:7" x14ac:dyDescent="0.3">
      <c r="A1149">
        <v>1148</v>
      </c>
      <c r="B1149" t="s">
        <v>145</v>
      </c>
      <c r="C1149">
        <v>51042794</v>
      </c>
      <c r="D1149">
        <v>10.3</v>
      </c>
      <c r="E1149" t="s">
        <v>95</v>
      </c>
      <c r="F1149">
        <v>1172</v>
      </c>
      <c r="G1149" s="4">
        <v>46087.591064814813</v>
      </c>
    </row>
    <row r="1150" spans="1:7" x14ac:dyDescent="0.3">
      <c r="A1150">
        <v>1149</v>
      </c>
      <c r="B1150" t="s">
        <v>145</v>
      </c>
      <c r="C1150">
        <v>51042867</v>
      </c>
      <c r="D1150">
        <v>18.399999999999999</v>
      </c>
      <c r="E1150" t="s">
        <v>95</v>
      </c>
      <c r="F1150">
        <v>1052</v>
      </c>
      <c r="G1150" s="4">
        <v>46087.591064814813</v>
      </c>
    </row>
    <row r="1151" spans="1:7" x14ac:dyDescent="0.3">
      <c r="A1151">
        <v>1150</v>
      </c>
      <c r="B1151" t="s">
        <v>145</v>
      </c>
      <c r="C1151">
        <v>51042883</v>
      </c>
      <c r="D1151">
        <v>97.636559229272649</v>
      </c>
      <c r="E1151" t="s">
        <v>275</v>
      </c>
      <c r="F1151">
        <v>26</v>
      </c>
      <c r="G1151" s="4">
        <v>46087.591064814813</v>
      </c>
    </row>
    <row r="1152" spans="1:7" x14ac:dyDescent="0.3">
      <c r="A1152">
        <v>1151</v>
      </c>
      <c r="B1152" t="s">
        <v>145</v>
      </c>
      <c r="C1152">
        <v>51043286</v>
      </c>
      <c r="D1152">
        <v>7.77</v>
      </c>
      <c r="E1152" t="s">
        <v>95</v>
      </c>
      <c r="F1152">
        <v>1191</v>
      </c>
      <c r="G1152" s="4">
        <v>46087.591064814813</v>
      </c>
    </row>
    <row r="1153" spans="1:7" x14ac:dyDescent="0.3">
      <c r="A1153">
        <v>1152</v>
      </c>
      <c r="B1153" t="s">
        <v>145</v>
      </c>
      <c r="C1153">
        <v>51043430</v>
      </c>
      <c r="D1153">
        <v>58.419029171076197</v>
      </c>
      <c r="E1153" t="s">
        <v>94</v>
      </c>
      <c r="F1153">
        <v>707</v>
      </c>
      <c r="G1153" s="4">
        <v>46087.591064814813</v>
      </c>
    </row>
    <row r="1154" spans="1:7" x14ac:dyDescent="0.3">
      <c r="A1154">
        <v>1153</v>
      </c>
      <c r="B1154" t="s">
        <v>145</v>
      </c>
      <c r="C1154">
        <v>51043481</v>
      </c>
      <c r="D1154">
        <v>19.498000000000001</v>
      </c>
      <c r="E1154" t="s">
        <v>95</v>
      </c>
      <c r="F1154">
        <v>1026</v>
      </c>
      <c r="G1154" s="4">
        <v>46087.591064814813</v>
      </c>
    </row>
    <row r="1155" spans="1:7" x14ac:dyDescent="0.3">
      <c r="A1155">
        <v>1154</v>
      </c>
      <c r="B1155" t="s">
        <v>145</v>
      </c>
      <c r="C1155">
        <v>51043685</v>
      </c>
      <c r="D1155">
        <v>16.600000000000001</v>
      </c>
      <c r="E1155" t="s">
        <v>95</v>
      </c>
      <c r="F1155">
        <v>1079</v>
      </c>
      <c r="G1155" s="4">
        <v>46087.591064814813</v>
      </c>
    </row>
    <row r="1156" spans="1:7" x14ac:dyDescent="0.3">
      <c r="A1156">
        <v>1155</v>
      </c>
      <c r="B1156" t="s">
        <v>145</v>
      </c>
      <c r="C1156">
        <v>51044185</v>
      </c>
      <c r="D1156">
        <v>30.6</v>
      </c>
      <c r="E1156" t="s">
        <v>94</v>
      </c>
      <c r="F1156">
        <v>939</v>
      </c>
      <c r="G1156" s="4">
        <v>46087.591064814813</v>
      </c>
    </row>
    <row r="1157" spans="1:7" x14ac:dyDescent="0.3">
      <c r="A1157">
        <v>1156</v>
      </c>
      <c r="B1157" t="s">
        <v>145</v>
      </c>
      <c r="C1157">
        <v>51054474</v>
      </c>
      <c r="D1157">
        <v>32.925459634138825</v>
      </c>
      <c r="E1157" t="s">
        <v>94</v>
      </c>
      <c r="F1157">
        <v>919</v>
      </c>
      <c r="G1157" s="4">
        <v>46087.591064814813</v>
      </c>
    </row>
    <row r="1158" spans="1:7" x14ac:dyDescent="0.3">
      <c r="A1158">
        <v>1157</v>
      </c>
      <c r="B1158" t="s">
        <v>145</v>
      </c>
      <c r="C1158">
        <v>51054890</v>
      </c>
      <c r="D1158">
        <v>11.4</v>
      </c>
      <c r="E1158" t="s">
        <v>95</v>
      </c>
      <c r="F1158">
        <v>1150</v>
      </c>
      <c r="G1158" s="4">
        <v>46087.591064814813</v>
      </c>
    </row>
    <row r="1159" spans="1:7" x14ac:dyDescent="0.3">
      <c r="A1159">
        <v>1158</v>
      </c>
      <c r="B1159" t="s">
        <v>145</v>
      </c>
      <c r="C1159">
        <v>51054971</v>
      </c>
      <c r="D1159">
        <v>13.370000000000001</v>
      </c>
      <c r="E1159" t="s">
        <v>95</v>
      </c>
      <c r="F1159">
        <v>1114</v>
      </c>
      <c r="G1159" s="4">
        <v>46087.591064814813</v>
      </c>
    </row>
    <row r="1160" spans="1:7" x14ac:dyDescent="0.3">
      <c r="A1160">
        <v>1159</v>
      </c>
      <c r="B1160" t="s">
        <v>145</v>
      </c>
      <c r="C1160">
        <v>51055021</v>
      </c>
      <c r="D1160">
        <v>8.33</v>
      </c>
      <c r="E1160" t="s">
        <v>95</v>
      </c>
      <c r="F1160">
        <v>1185</v>
      </c>
      <c r="G1160" s="4">
        <v>46087.591064814813</v>
      </c>
    </row>
    <row r="1161" spans="1:7" x14ac:dyDescent="0.3">
      <c r="A1161">
        <v>1160</v>
      </c>
      <c r="B1161" t="s">
        <v>145</v>
      </c>
      <c r="C1161">
        <v>51055110</v>
      </c>
      <c r="D1161">
        <v>16.610000000000003</v>
      </c>
      <c r="E1161" t="s">
        <v>95</v>
      </c>
      <c r="F1161">
        <v>1077</v>
      </c>
      <c r="G1161" s="4">
        <v>46087.591064814813</v>
      </c>
    </row>
    <row r="1162" spans="1:7" x14ac:dyDescent="0.3">
      <c r="A1162">
        <v>1161</v>
      </c>
      <c r="B1162" t="s">
        <v>145</v>
      </c>
      <c r="C1162">
        <v>51055179</v>
      </c>
      <c r="D1162">
        <v>15.998000000000001</v>
      </c>
      <c r="E1162" t="s">
        <v>95</v>
      </c>
      <c r="F1162">
        <v>1088</v>
      </c>
      <c r="G1162" s="4">
        <v>46087.591064814813</v>
      </c>
    </row>
    <row r="1163" spans="1:7" x14ac:dyDescent="0.3">
      <c r="A1163">
        <v>1162</v>
      </c>
      <c r="B1163" t="s">
        <v>145</v>
      </c>
      <c r="C1163">
        <v>51055187</v>
      </c>
      <c r="D1163">
        <v>11.6</v>
      </c>
      <c r="E1163" t="s">
        <v>95</v>
      </c>
      <c r="F1163">
        <v>1146</v>
      </c>
      <c r="G1163" s="4">
        <v>46087.591064814813</v>
      </c>
    </row>
    <row r="1164" spans="1:7" x14ac:dyDescent="0.3">
      <c r="A1164">
        <v>1163</v>
      </c>
      <c r="B1164" t="s">
        <v>145</v>
      </c>
      <c r="C1164">
        <v>51055195</v>
      </c>
      <c r="D1164">
        <v>13.799999999999999</v>
      </c>
      <c r="E1164" t="s">
        <v>95</v>
      </c>
      <c r="F1164">
        <v>1106</v>
      </c>
      <c r="G1164" s="4">
        <v>46087.591064814813</v>
      </c>
    </row>
    <row r="1165" spans="1:7" x14ac:dyDescent="0.3">
      <c r="A1165">
        <v>1164</v>
      </c>
      <c r="B1165" t="s">
        <v>145</v>
      </c>
      <c r="C1165">
        <v>51055233</v>
      </c>
      <c r="D1165">
        <v>19.200000000000003</v>
      </c>
      <c r="E1165" t="s">
        <v>95</v>
      </c>
      <c r="F1165">
        <v>1031</v>
      </c>
      <c r="G1165" s="4">
        <v>46087.591064814813</v>
      </c>
    </row>
    <row r="1166" spans="1:7" x14ac:dyDescent="0.3">
      <c r="A1166">
        <v>1165</v>
      </c>
      <c r="B1166" t="s">
        <v>145</v>
      </c>
      <c r="C1166">
        <v>51055314</v>
      </c>
      <c r="D1166">
        <v>11.9</v>
      </c>
      <c r="E1166" t="s">
        <v>95</v>
      </c>
      <c r="F1166">
        <v>1142</v>
      </c>
      <c r="G1166" s="4">
        <v>46087.591064814813</v>
      </c>
    </row>
    <row r="1167" spans="1:7" x14ac:dyDescent="0.3">
      <c r="A1167">
        <v>1166</v>
      </c>
      <c r="B1167" t="s">
        <v>145</v>
      </c>
      <c r="C1167">
        <v>51055349</v>
      </c>
      <c r="D1167">
        <v>9.7999999999999989</v>
      </c>
      <c r="E1167" t="s">
        <v>95</v>
      </c>
      <c r="F1167">
        <v>1178</v>
      </c>
      <c r="G1167" s="4">
        <v>46087.591064814813</v>
      </c>
    </row>
    <row r="1168" spans="1:7" x14ac:dyDescent="0.3">
      <c r="A1168">
        <v>1167</v>
      </c>
      <c r="B1168" t="s">
        <v>145</v>
      </c>
      <c r="C1168">
        <v>51055381</v>
      </c>
      <c r="D1168">
        <v>12.9</v>
      </c>
      <c r="E1168" t="s">
        <v>95</v>
      </c>
      <c r="F1168">
        <v>1125</v>
      </c>
      <c r="G1168" s="4">
        <v>46087.591064814813</v>
      </c>
    </row>
    <row r="1169" spans="1:7" x14ac:dyDescent="0.3">
      <c r="A1169">
        <v>1168</v>
      </c>
      <c r="B1169" t="s">
        <v>145</v>
      </c>
      <c r="C1169">
        <v>51055403</v>
      </c>
      <c r="D1169">
        <v>14.5</v>
      </c>
      <c r="E1169" t="s">
        <v>95</v>
      </c>
      <c r="F1169">
        <v>1099</v>
      </c>
      <c r="G1169" s="4">
        <v>46087.591064814813</v>
      </c>
    </row>
    <row r="1170" spans="1:7" x14ac:dyDescent="0.3">
      <c r="A1170">
        <v>1169</v>
      </c>
      <c r="B1170" t="s">
        <v>145</v>
      </c>
      <c r="C1170">
        <v>51055420</v>
      </c>
      <c r="D1170">
        <v>18.700000000000003</v>
      </c>
      <c r="E1170" t="s">
        <v>95</v>
      </c>
      <c r="F1170">
        <v>1045</v>
      </c>
      <c r="G1170" s="4">
        <v>46087.591064814813</v>
      </c>
    </row>
    <row r="1171" spans="1:7" x14ac:dyDescent="0.3">
      <c r="A1171">
        <v>1170</v>
      </c>
      <c r="B1171" t="s">
        <v>145</v>
      </c>
      <c r="C1171">
        <v>51055438</v>
      </c>
      <c r="D1171">
        <v>28.3</v>
      </c>
      <c r="E1171" t="s">
        <v>95</v>
      </c>
      <c r="F1171">
        <v>962</v>
      </c>
      <c r="G1171" s="4">
        <v>46087.591064814813</v>
      </c>
    </row>
    <row r="1172" spans="1:7" x14ac:dyDescent="0.3">
      <c r="A1172">
        <v>1171</v>
      </c>
      <c r="B1172" t="s">
        <v>145</v>
      </c>
      <c r="C1172">
        <v>51055446</v>
      </c>
      <c r="D1172">
        <v>12.81</v>
      </c>
      <c r="E1172" t="s">
        <v>95</v>
      </c>
      <c r="F1172">
        <v>1128</v>
      </c>
      <c r="G1172" s="4">
        <v>46087.591064814813</v>
      </c>
    </row>
    <row r="1173" spans="1:7" x14ac:dyDescent="0.3">
      <c r="A1173">
        <v>1172</v>
      </c>
      <c r="B1173" t="s">
        <v>145</v>
      </c>
      <c r="C1173">
        <v>51055471</v>
      </c>
      <c r="D1173">
        <v>13.2</v>
      </c>
      <c r="E1173" t="s">
        <v>95</v>
      </c>
      <c r="F1173">
        <v>1119</v>
      </c>
      <c r="G1173" s="4">
        <v>46087.591064814813</v>
      </c>
    </row>
    <row r="1174" spans="1:7" x14ac:dyDescent="0.3">
      <c r="A1174">
        <v>1173</v>
      </c>
      <c r="B1174" t="s">
        <v>145</v>
      </c>
      <c r="C1174">
        <v>51055608</v>
      </c>
      <c r="D1174">
        <v>10.89</v>
      </c>
      <c r="E1174" t="s">
        <v>95</v>
      </c>
      <c r="F1174">
        <v>1158</v>
      </c>
      <c r="G1174" s="4">
        <v>46087.591064814813</v>
      </c>
    </row>
    <row r="1175" spans="1:7" x14ac:dyDescent="0.3">
      <c r="A1175">
        <v>1174</v>
      </c>
      <c r="B1175" t="s">
        <v>145</v>
      </c>
      <c r="C1175">
        <v>51055683</v>
      </c>
      <c r="D1175">
        <v>17.3</v>
      </c>
      <c r="E1175" t="s">
        <v>95</v>
      </c>
      <c r="F1175">
        <v>1067</v>
      </c>
      <c r="G1175" s="4">
        <v>46087.591064814813</v>
      </c>
    </row>
    <row r="1176" spans="1:7" x14ac:dyDescent="0.3">
      <c r="A1176">
        <v>1175</v>
      </c>
      <c r="B1176" t="s">
        <v>145</v>
      </c>
      <c r="C1176">
        <v>51055713</v>
      </c>
      <c r="D1176">
        <v>17.3</v>
      </c>
      <c r="E1176" t="s">
        <v>95</v>
      </c>
      <c r="F1176">
        <v>1067</v>
      </c>
      <c r="G1176" s="4">
        <v>46087.591064814813</v>
      </c>
    </row>
    <row r="1177" spans="1:7" x14ac:dyDescent="0.3">
      <c r="A1177">
        <v>1176</v>
      </c>
      <c r="B1177" t="s">
        <v>145</v>
      </c>
      <c r="C1177">
        <v>51055748</v>
      </c>
      <c r="D1177">
        <v>10.7</v>
      </c>
      <c r="E1177" t="s">
        <v>95</v>
      </c>
      <c r="F1177">
        <v>1162</v>
      </c>
      <c r="G1177" s="4">
        <v>46087.591064814813</v>
      </c>
    </row>
    <row r="1178" spans="1:7" x14ac:dyDescent="0.3">
      <c r="A1178">
        <v>1177</v>
      </c>
      <c r="B1178" t="s">
        <v>145</v>
      </c>
      <c r="C1178">
        <v>51055781</v>
      </c>
      <c r="D1178">
        <v>43.821311027232952</v>
      </c>
      <c r="E1178" t="s">
        <v>94</v>
      </c>
      <c r="F1178">
        <v>873</v>
      </c>
      <c r="G1178" s="4">
        <v>46087.591064814813</v>
      </c>
    </row>
    <row r="1179" spans="1:7" x14ac:dyDescent="0.3">
      <c r="A1179">
        <v>1178</v>
      </c>
      <c r="B1179" t="s">
        <v>145</v>
      </c>
      <c r="C1179">
        <v>51055900</v>
      </c>
      <c r="D1179">
        <v>12.67</v>
      </c>
      <c r="E1179" t="s">
        <v>95</v>
      </c>
      <c r="F1179">
        <v>1132</v>
      </c>
      <c r="G1179" s="4">
        <v>46087.591064814813</v>
      </c>
    </row>
    <row r="1180" spans="1:7" x14ac:dyDescent="0.3">
      <c r="A1180">
        <v>1179</v>
      </c>
      <c r="B1180" t="s">
        <v>145</v>
      </c>
      <c r="C1180">
        <v>51055934</v>
      </c>
      <c r="D1180">
        <v>10.6</v>
      </c>
      <c r="E1180" t="s">
        <v>95</v>
      </c>
      <c r="F1180">
        <v>1166</v>
      </c>
      <c r="G1180" s="4">
        <v>46087.591064814813</v>
      </c>
    </row>
    <row r="1181" spans="1:7" x14ac:dyDescent="0.3">
      <c r="A1181">
        <v>1180</v>
      </c>
      <c r="B1181" t="s">
        <v>145</v>
      </c>
      <c r="C1181">
        <v>51055969</v>
      </c>
      <c r="D1181">
        <v>13.339999999999998</v>
      </c>
      <c r="E1181" t="s">
        <v>95</v>
      </c>
      <c r="F1181">
        <v>1116</v>
      </c>
      <c r="G1181" s="4">
        <v>46087.591064814813</v>
      </c>
    </row>
    <row r="1182" spans="1:7" x14ac:dyDescent="0.3">
      <c r="A1182">
        <v>1181</v>
      </c>
      <c r="B1182" t="s">
        <v>145</v>
      </c>
      <c r="C1182">
        <v>51055977</v>
      </c>
      <c r="D1182">
        <v>8.0499999999999989</v>
      </c>
      <c r="E1182" t="s">
        <v>95</v>
      </c>
      <c r="F1182">
        <v>1188</v>
      </c>
      <c r="G1182" s="4">
        <v>46087.591064814813</v>
      </c>
    </row>
    <row r="1183" spans="1:7" x14ac:dyDescent="0.3">
      <c r="A1183">
        <v>1182</v>
      </c>
      <c r="B1183" t="s">
        <v>145</v>
      </c>
      <c r="C1183">
        <v>51056035</v>
      </c>
      <c r="D1183">
        <v>11</v>
      </c>
      <c r="E1183" t="s">
        <v>95</v>
      </c>
      <c r="F1183">
        <v>1154</v>
      </c>
      <c r="G1183" s="4">
        <v>46087.591064814813</v>
      </c>
    </row>
    <row r="1184" spans="1:7" x14ac:dyDescent="0.3">
      <c r="A1184">
        <v>1183</v>
      </c>
      <c r="B1184" t="s">
        <v>145</v>
      </c>
      <c r="C1184">
        <v>51056043</v>
      </c>
      <c r="D1184">
        <v>50.36267519201315</v>
      </c>
      <c r="E1184" t="s">
        <v>94</v>
      </c>
      <c r="F1184">
        <v>821</v>
      </c>
      <c r="G1184" s="4">
        <v>46087.591064814813</v>
      </c>
    </row>
    <row r="1185" spans="1:7" x14ac:dyDescent="0.3">
      <c r="A1185">
        <v>1184</v>
      </c>
      <c r="B1185" t="s">
        <v>145</v>
      </c>
      <c r="C1185">
        <v>51056141</v>
      </c>
      <c r="D1185">
        <v>72.383469917633803</v>
      </c>
      <c r="E1185" t="s">
        <v>93</v>
      </c>
      <c r="F1185">
        <v>514</v>
      </c>
      <c r="G1185" s="4">
        <v>46087.591064814813</v>
      </c>
    </row>
    <row r="1186" spans="1:7" x14ac:dyDescent="0.3">
      <c r="A1186">
        <v>1185</v>
      </c>
      <c r="B1186" t="s">
        <v>145</v>
      </c>
      <c r="C1186">
        <v>51056167</v>
      </c>
      <c r="D1186">
        <v>14.3</v>
      </c>
      <c r="E1186" t="s">
        <v>95</v>
      </c>
      <c r="F1186">
        <v>1102</v>
      </c>
      <c r="G1186" s="4">
        <v>46087.591064814813</v>
      </c>
    </row>
    <row r="1187" spans="1:7" x14ac:dyDescent="0.3">
      <c r="A1187">
        <v>1186</v>
      </c>
      <c r="B1187" t="s">
        <v>145</v>
      </c>
      <c r="C1187">
        <v>51056230</v>
      </c>
      <c r="D1187">
        <v>11</v>
      </c>
      <c r="E1187" t="s">
        <v>95</v>
      </c>
      <c r="F1187">
        <v>1154</v>
      </c>
      <c r="G1187" s="4">
        <v>46087.591064814813</v>
      </c>
    </row>
    <row r="1188" spans="1:7" x14ac:dyDescent="0.3">
      <c r="A1188">
        <v>1187</v>
      </c>
      <c r="B1188" t="s">
        <v>145</v>
      </c>
      <c r="C1188">
        <v>51056256</v>
      </c>
      <c r="D1188">
        <v>13.42</v>
      </c>
      <c r="E1188" t="s">
        <v>95</v>
      </c>
      <c r="F1188">
        <v>1113</v>
      </c>
      <c r="G1188" s="4">
        <v>46087.591064814813</v>
      </c>
    </row>
    <row r="1189" spans="1:7" x14ac:dyDescent="0.3">
      <c r="A1189">
        <v>1188</v>
      </c>
      <c r="B1189" t="s">
        <v>145</v>
      </c>
      <c r="C1189">
        <v>51056370</v>
      </c>
      <c r="D1189">
        <v>10.5</v>
      </c>
      <c r="E1189" t="s">
        <v>95</v>
      </c>
      <c r="F1189">
        <v>1168</v>
      </c>
      <c r="G1189" s="4">
        <v>46087.591064814813</v>
      </c>
    </row>
    <row r="1190" spans="1:7" x14ac:dyDescent="0.3">
      <c r="A1190">
        <v>1189</v>
      </c>
      <c r="B1190" t="s">
        <v>145</v>
      </c>
      <c r="C1190">
        <v>51056680</v>
      </c>
      <c r="D1190">
        <v>2.2999999999999998</v>
      </c>
      <c r="E1190" t="s">
        <v>95</v>
      </c>
      <c r="F1190">
        <v>1193</v>
      </c>
      <c r="G1190" s="4">
        <v>46087.591064814813</v>
      </c>
    </row>
    <row r="1191" spans="1:7" x14ac:dyDescent="0.3">
      <c r="A1191">
        <v>1190</v>
      </c>
      <c r="B1191" t="s">
        <v>145</v>
      </c>
      <c r="C1191">
        <v>51056710</v>
      </c>
      <c r="D1191">
        <v>18.480000000000004</v>
      </c>
      <c r="E1191" t="s">
        <v>95</v>
      </c>
      <c r="F1191">
        <v>1050</v>
      </c>
      <c r="G1191" s="4">
        <v>46087.591064814813</v>
      </c>
    </row>
    <row r="1192" spans="1:7" x14ac:dyDescent="0.3">
      <c r="A1192">
        <v>1191</v>
      </c>
      <c r="B1192" t="s">
        <v>145</v>
      </c>
      <c r="C1192">
        <v>51056779</v>
      </c>
      <c r="D1192">
        <v>17.2</v>
      </c>
      <c r="E1192" t="s">
        <v>95</v>
      </c>
      <c r="F1192">
        <v>1069</v>
      </c>
      <c r="G1192" s="4">
        <v>46087.591064814813</v>
      </c>
    </row>
    <row r="1193" spans="1:7" x14ac:dyDescent="0.3">
      <c r="A1193">
        <v>1192</v>
      </c>
      <c r="B1193" t="s">
        <v>145</v>
      </c>
      <c r="C1193">
        <v>51056841</v>
      </c>
      <c r="D1193">
        <v>13.750000000000002</v>
      </c>
      <c r="E1193" t="s">
        <v>95</v>
      </c>
      <c r="F1193">
        <v>1107</v>
      </c>
      <c r="G1193" s="4">
        <v>46087.591064814813</v>
      </c>
    </row>
    <row r="1194" spans="1:7" x14ac:dyDescent="0.3">
      <c r="A1194">
        <v>1193</v>
      </c>
      <c r="B1194" t="s">
        <v>145</v>
      </c>
      <c r="C1194">
        <v>51056892</v>
      </c>
      <c r="D1194">
        <v>31.253236878031927</v>
      </c>
      <c r="E1194" t="s">
        <v>94</v>
      </c>
      <c r="F1194">
        <v>930</v>
      </c>
      <c r="G1194" s="4">
        <v>46087.591064814813</v>
      </c>
    </row>
    <row r="1195" spans="1:7" x14ac:dyDescent="0.3">
      <c r="A1195">
        <v>2387</v>
      </c>
      <c r="B1195" t="s">
        <v>146</v>
      </c>
      <c r="C1195">
        <v>51015525</v>
      </c>
      <c r="D1195">
        <v>59.803872969529628</v>
      </c>
      <c r="E1195" t="s">
        <v>94</v>
      </c>
      <c r="F1195">
        <v>653</v>
      </c>
      <c r="G1195" s="4">
        <v>46087.5937962963</v>
      </c>
    </row>
    <row r="1196" spans="1:7" x14ac:dyDescent="0.3">
      <c r="A1196">
        <v>2388</v>
      </c>
      <c r="B1196" t="s">
        <v>146</v>
      </c>
      <c r="C1196">
        <v>51017790</v>
      </c>
      <c r="D1196">
        <v>37.89989225261575</v>
      </c>
      <c r="E1196" t="s">
        <v>94</v>
      </c>
      <c r="F1196">
        <v>852</v>
      </c>
      <c r="G1196" s="4">
        <v>46087.5937962963</v>
      </c>
    </row>
    <row r="1197" spans="1:7" x14ac:dyDescent="0.3">
      <c r="A1197">
        <v>2389</v>
      </c>
      <c r="B1197" t="s">
        <v>146</v>
      </c>
      <c r="C1197">
        <v>51023871</v>
      </c>
      <c r="D1197">
        <v>79.94260266746592</v>
      </c>
      <c r="E1197" t="s">
        <v>93</v>
      </c>
      <c r="F1197">
        <v>421</v>
      </c>
      <c r="G1197" s="4">
        <v>46087.5937962963</v>
      </c>
    </row>
    <row r="1198" spans="1:7" x14ac:dyDescent="0.3">
      <c r="A1198">
        <v>2390</v>
      </c>
      <c r="B1198" t="s">
        <v>146</v>
      </c>
      <c r="C1198">
        <v>51019601</v>
      </c>
      <c r="D1198">
        <v>80.781148640097513</v>
      </c>
      <c r="E1198" t="s">
        <v>93</v>
      </c>
      <c r="F1198">
        <v>398</v>
      </c>
      <c r="G1198" s="4">
        <v>46087.5937962963</v>
      </c>
    </row>
    <row r="1199" spans="1:7" x14ac:dyDescent="0.3">
      <c r="A1199">
        <v>2391</v>
      </c>
      <c r="B1199" t="s">
        <v>146</v>
      </c>
      <c r="C1199">
        <v>51021983</v>
      </c>
      <c r="D1199">
        <v>84.346617619193054</v>
      </c>
      <c r="E1199" t="s">
        <v>93</v>
      </c>
      <c r="F1199">
        <v>278</v>
      </c>
      <c r="G1199" s="4">
        <v>46087.5937962963</v>
      </c>
    </row>
    <row r="1200" spans="1:7" x14ac:dyDescent="0.3">
      <c r="A1200">
        <v>2392</v>
      </c>
      <c r="B1200" t="s">
        <v>146</v>
      </c>
      <c r="C1200">
        <v>51020201</v>
      </c>
      <c r="D1200">
        <v>83.935615213080283</v>
      </c>
      <c r="E1200" t="s">
        <v>93</v>
      </c>
      <c r="F1200">
        <v>292</v>
      </c>
      <c r="G1200" s="4">
        <v>46087.5937962963</v>
      </c>
    </row>
    <row r="1201" spans="1:7" x14ac:dyDescent="0.3">
      <c r="A1201">
        <v>2393</v>
      </c>
      <c r="B1201" t="s">
        <v>146</v>
      </c>
      <c r="C1201">
        <v>51031296</v>
      </c>
      <c r="D1201">
        <v>86.495966936253495</v>
      </c>
      <c r="E1201" t="s">
        <v>92</v>
      </c>
      <c r="F1201">
        <v>216</v>
      </c>
      <c r="G1201" s="4">
        <v>46087.5937962963</v>
      </c>
    </row>
    <row r="1202" spans="1:7" x14ac:dyDescent="0.3">
      <c r="A1202">
        <v>2394</v>
      </c>
      <c r="B1202" t="s">
        <v>146</v>
      </c>
      <c r="C1202">
        <v>51011864</v>
      </c>
      <c r="D1202">
        <v>86.009524261188744</v>
      </c>
      <c r="E1202" t="s">
        <v>92</v>
      </c>
      <c r="F1202">
        <v>238</v>
      </c>
      <c r="G1202" s="4">
        <v>46087.5937962963</v>
      </c>
    </row>
    <row r="1203" spans="1:7" x14ac:dyDescent="0.3">
      <c r="A1203">
        <v>2395</v>
      </c>
      <c r="B1203" t="s">
        <v>146</v>
      </c>
      <c r="C1203">
        <v>51005945</v>
      </c>
      <c r="D1203">
        <v>83.503484181340298</v>
      </c>
      <c r="E1203" t="s">
        <v>93</v>
      </c>
      <c r="F1203">
        <v>304</v>
      </c>
      <c r="G1203" s="4">
        <v>46087.5937962963</v>
      </c>
    </row>
    <row r="1204" spans="1:7" x14ac:dyDescent="0.3">
      <c r="A1204">
        <v>2396</v>
      </c>
      <c r="B1204" t="s">
        <v>146</v>
      </c>
      <c r="C1204">
        <v>51055586</v>
      </c>
      <c r="D1204">
        <v>74.84034046322239</v>
      </c>
      <c r="E1204" t="s">
        <v>93</v>
      </c>
      <c r="F1204">
        <v>493</v>
      </c>
      <c r="G1204" s="4">
        <v>46087.5937962963</v>
      </c>
    </row>
    <row r="1205" spans="1:7" x14ac:dyDescent="0.3">
      <c r="A1205">
        <v>2397</v>
      </c>
      <c r="B1205" t="s">
        <v>146</v>
      </c>
      <c r="C1205">
        <v>51025458</v>
      </c>
      <c r="D1205">
        <v>86.195815620788281</v>
      </c>
      <c r="E1205" t="s">
        <v>92</v>
      </c>
      <c r="F1205">
        <v>233</v>
      </c>
      <c r="G1205" s="4">
        <v>46087.5937962963</v>
      </c>
    </row>
    <row r="1206" spans="1:7" x14ac:dyDescent="0.3">
      <c r="A1206">
        <v>2398</v>
      </c>
      <c r="B1206" t="s">
        <v>146</v>
      </c>
      <c r="C1206">
        <v>51025709</v>
      </c>
      <c r="D1206">
        <v>67.596306887366424</v>
      </c>
      <c r="E1206" t="s">
        <v>93</v>
      </c>
      <c r="F1206">
        <v>559</v>
      </c>
      <c r="G1206" s="4">
        <v>46087.5937962963</v>
      </c>
    </row>
    <row r="1207" spans="1:7" x14ac:dyDescent="0.3">
      <c r="A1207">
        <v>2399</v>
      </c>
      <c r="B1207" t="s">
        <v>146</v>
      </c>
      <c r="C1207">
        <v>51019709</v>
      </c>
      <c r="D1207">
        <v>80.047346766315457</v>
      </c>
      <c r="E1207" t="s">
        <v>93</v>
      </c>
      <c r="F1207">
        <v>419</v>
      </c>
      <c r="G1207" s="4">
        <v>46087.5937962963</v>
      </c>
    </row>
    <row r="1208" spans="1:7" x14ac:dyDescent="0.3">
      <c r="A1208">
        <v>2400</v>
      </c>
      <c r="B1208" t="s">
        <v>146</v>
      </c>
      <c r="C1208">
        <v>51019377</v>
      </c>
      <c r="D1208">
        <v>87.740385955984209</v>
      </c>
      <c r="E1208" t="s">
        <v>92</v>
      </c>
      <c r="F1208">
        <v>188</v>
      </c>
      <c r="G1208" s="4">
        <v>46087.5937962963</v>
      </c>
    </row>
    <row r="1209" spans="1:7" x14ac:dyDescent="0.3">
      <c r="A1209">
        <v>2401</v>
      </c>
      <c r="B1209" t="s">
        <v>146</v>
      </c>
      <c r="C1209">
        <v>51017447</v>
      </c>
      <c r="D1209">
        <v>82.190657649679622</v>
      </c>
      <c r="E1209" t="s">
        <v>93</v>
      </c>
      <c r="F1209">
        <v>362</v>
      </c>
      <c r="G1209" s="4">
        <v>46087.5937962963</v>
      </c>
    </row>
    <row r="1210" spans="1:7" x14ac:dyDescent="0.3">
      <c r="A1210">
        <v>2402</v>
      </c>
      <c r="B1210" t="s">
        <v>146</v>
      </c>
      <c r="C1210">
        <v>51055721</v>
      </c>
      <c r="D1210">
        <v>56.856470994235949</v>
      </c>
      <c r="E1210" t="s">
        <v>94</v>
      </c>
      <c r="F1210">
        <v>715</v>
      </c>
      <c r="G1210" s="4">
        <v>46087.5937962963</v>
      </c>
    </row>
    <row r="1211" spans="1:7" x14ac:dyDescent="0.3">
      <c r="A1211">
        <v>2403</v>
      </c>
      <c r="B1211" t="s">
        <v>146</v>
      </c>
      <c r="C1211">
        <v>51023064</v>
      </c>
      <c r="D1211">
        <v>92.586476616653002</v>
      </c>
      <c r="E1211" t="s">
        <v>92</v>
      </c>
      <c r="F1211">
        <v>93</v>
      </c>
      <c r="G1211" s="4">
        <v>46087.5937962963</v>
      </c>
    </row>
    <row r="1212" spans="1:7" x14ac:dyDescent="0.3">
      <c r="A1212">
        <v>2404</v>
      </c>
      <c r="B1212" t="s">
        <v>146</v>
      </c>
      <c r="C1212">
        <v>51055063</v>
      </c>
      <c r="D1212">
        <v>59.282968273785791</v>
      </c>
      <c r="E1212" t="s">
        <v>94</v>
      </c>
      <c r="F1212">
        <v>661</v>
      </c>
      <c r="G1212" s="4">
        <v>46087.5937962963</v>
      </c>
    </row>
    <row r="1213" spans="1:7" x14ac:dyDescent="0.3">
      <c r="A1213">
        <v>2405</v>
      </c>
      <c r="B1213" t="s">
        <v>146</v>
      </c>
      <c r="C1213">
        <v>51024893</v>
      </c>
      <c r="D1213">
        <v>72.280994085085922</v>
      </c>
      <c r="E1213" t="s">
        <v>93</v>
      </c>
      <c r="F1213">
        <v>519</v>
      </c>
      <c r="G1213" s="4">
        <v>46087.5937962963</v>
      </c>
    </row>
    <row r="1214" spans="1:7" x14ac:dyDescent="0.3">
      <c r="A1214">
        <v>2406</v>
      </c>
      <c r="B1214" t="s">
        <v>146</v>
      </c>
      <c r="C1214">
        <v>51013638</v>
      </c>
      <c r="D1214">
        <v>86.782294726519993</v>
      </c>
      <c r="E1214" t="s">
        <v>92</v>
      </c>
      <c r="F1214">
        <v>204</v>
      </c>
      <c r="G1214" s="4">
        <v>46087.5937962963</v>
      </c>
    </row>
    <row r="1215" spans="1:7" x14ac:dyDescent="0.3">
      <c r="A1215">
        <v>2407</v>
      </c>
      <c r="B1215" t="s">
        <v>146</v>
      </c>
      <c r="C1215">
        <v>51011015</v>
      </c>
      <c r="D1215">
        <v>49.439680472261337</v>
      </c>
      <c r="E1215" t="s">
        <v>94</v>
      </c>
      <c r="F1215">
        <v>777</v>
      </c>
      <c r="G1215" s="4">
        <v>46087.5937962963</v>
      </c>
    </row>
    <row r="1216" spans="1:7" x14ac:dyDescent="0.3">
      <c r="A1216">
        <v>2408</v>
      </c>
      <c r="B1216" t="s">
        <v>146</v>
      </c>
      <c r="C1216">
        <v>51020758</v>
      </c>
      <c r="D1216">
        <v>71.306106941160053</v>
      </c>
      <c r="E1216" t="s">
        <v>93</v>
      </c>
      <c r="F1216">
        <v>529</v>
      </c>
      <c r="G1216" s="4">
        <v>46087.5937962963</v>
      </c>
    </row>
    <row r="1217" spans="1:7" x14ac:dyDescent="0.3">
      <c r="A1217">
        <v>2409</v>
      </c>
      <c r="B1217" t="s">
        <v>146</v>
      </c>
      <c r="C1217">
        <v>51022734</v>
      </c>
      <c r="D1217">
        <v>56.286380469552647</v>
      </c>
      <c r="E1217" t="s">
        <v>94</v>
      </c>
      <c r="F1217">
        <v>723</v>
      </c>
      <c r="G1217" s="4">
        <v>46087.5937962963</v>
      </c>
    </row>
    <row r="1218" spans="1:7" x14ac:dyDescent="0.3">
      <c r="A1218">
        <v>2410</v>
      </c>
      <c r="B1218" t="s">
        <v>146</v>
      </c>
      <c r="C1218">
        <v>51036034</v>
      </c>
      <c r="D1218">
        <v>85.773045719886426</v>
      </c>
      <c r="E1218" t="s">
        <v>93</v>
      </c>
      <c r="F1218">
        <v>242</v>
      </c>
      <c r="G1218" s="4">
        <v>46087.5937962963</v>
      </c>
    </row>
    <row r="1219" spans="1:7" x14ac:dyDescent="0.3">
      <c r="A1219">
        <v>2411</v>
      </c>
      <c r="B1219" t="s">
        <v>146</v>
      </c>
      <c r="C1219">
        <v>51019954</v>
      </c>
      <c r="D1219">
        <v>57.523104182798704</v>
      </c>
      <c r="E1219" t="s">
        <v>94</v>
      </c>
      <c r="F1219">
        <v>700</v>
      </c>
      <c r="G1219" s="4">
        <v>46087.5937962963</v>
      </c>
    </row>
    <row r="1220" spans="1:7" x14ac:dyDescent="0.3">
      <c r="A1220">
        <v>2412</v>
      </c>
      <c r="B1220" t="s">
        <v>146</v>
      </c>
      <c r="C1220">
        <v>51041895</v>
      </c>
      <c r="D1220">
        <v>77.059891504827291</v>
      </c>
      <c r="E1220" t="s">
        <v>93</v>
      </c>
      <c r="F1220">
        <v>468</v>
      </c>
      <c r="G1220" s="4">
        <v>46087.5937962963</v>
      </c>
    </row>
    <row r="1221" spans="1:7" x14ac:dyDescent="0.3">
      <c r="A1221">
        <v>2413</v>
      </c>
      <c r="B1221" t="s">
        <v>146</v>
      </c>
      <c r="C1221">
        <v>51031075</v>
      </c>
      <c r="D1221">
        <v>95.287072494104081</v>
      </c>
      <c r="E1221" t="s">
        <v>275</v>
      </c>
      <c r="F1221">
        <v>58</v>
      </c>
      <c r="G1221" s="4">
        <v>46087.5937962963</v>
      </c>
    </row>
    <row r="1222" spans="1:7" x14ac:dyDescent="0.3">
      <c r="A1222">
        <v>2414</v>
      </c>
      <c r="B1222" t="s">
        <v>146</v>
      </c>
      <c r="C1222">
        <v>51016815</v>
      </c>
      <c r="D1222">
        <v>82.77145832122541</v>
      </c>
      <c r="E1222" t="s">
        <v>93</v>
      </c>
      <c r="F1222">
        <v>340</v>
      </c>
      <c r="G1222" s="4">
        <v>46087.5937962963</v>
      </c>
    </row>
    <row r="1223" spans="1:7" x14ac:dyDescent="0.3">
      <c r="A1223">
        <v>2415</v>
      </c>
      <c r="B1223" t="s">
        <v>146</v>
      </c>
      <c r="C1223">
        <v>51010761</v>
      </c>
      <c r="D1223">
        <v>95.239897764994581</v>
      </c>
      <c r="E1223" t="s">
        <v>92</v>
      </c>
      <c r="F1223">
        <v>61</v>
      </c>
      <c r="G1223" s="4">
        <v>46087.5937962963</v>
      </c>
    </row>
    <row r="1224" spans="1:7" x14ac:dyDescent="0.3">
      <c r="A1224">
        <v>2416</v>
      </c>
      <c r="B1224" t="s">
        <v>146</v>
      </c>
      <c r="C1224">
        <v>51013301</v>
      </c>
      <c r="D1224">
        <v>57.721120240610517</v>
      </c>
      <c r="E1224" t="s">
        <v>94</v>
      </c>
      <c r="F1224">
        <v>692</v>
      </c>
      <c r="G1224" s="4">
        <v>46087.5937962963</v>
      </c>
    </row>
    <row r="1225" spans="1:7" x14ac:dyDescent="0.3">
      <c r="A1225">
        <v>2417</v>
      </c>
      <c r="B1225" t="s">
        <v>146</v>
      </c>
      <c r="C1225">
        <v>51041933</v>
      </c>
      <c r="D1225">
        <v>90.826966558880372</v>
      </c>
      <c r="E1225" t="s">
        <v>92</v>
      </c>
      <c r="F1225">
        <v>120</v>
      </c>
      <c r="G1225" s="4">
        <v>46087.5937962963</v>
      </c>
    </row>
    <row r="1226" spans="1:7" x14ac:dyDescent="0.3">
      <c r="A1226">
        <v>2418</v>
      </c>
      <c r="B1226" t="s">
        <v>146</v>
      </c>
      <c r="C1226">
        <v>51014006</v>
      </c>
      <c r="D1226">
        <v>47.547710191413529</v>
      </c>
      <c r="E1226" t="s">
        <v>94</v>
      </c>
      <c r="F1226">
        <v>798</v>
      </c>
      <c r="G1226" s="4">
        <v>46087.5937962963</v>
      </c>
    </row>
    <row r="1227" spans="1:7" x14ac:dyDescent="0.3">
      <c r="A1227">
        <v>2419</v>
      </c>
      <c r="B1227" t="s">
        <v>146</v>
      </c>
      <c r="C1227">
        <v>51000111</v>
      </c>
      <c r="D1227">
        <v>80.892173319259584</v>
      </c>
      <c r="E1227" t="s">
        <v>93</v>
      </c>
      <c r="F1227">
        <v>395</v>
      </c>
      <c r="G1227" s="4">
        <v>46087.5937962963</v>
      </c>
    </row>
    <row r="1228" spans="1:7" x14ac:dyDescent="0.3">
      <c r="A1228">
        <v>2420</v>
      </c>
      <c r="B1228" t="s">
        <v>146</v>
      </c>
      <c r="C1228">
        <v>51042735</v>
      </c>
      <c r="D1228">
        <v>57.625775084501058</v>
      </c>
      <c r="E1228" t="s">
        <v>94</v>
      </c>
      <c r="F1228">
        <v>694</v>
      </c>
      <c r="G1228" s="4">
        <v>46087.5937962963</v>
      </c>
    </row>
    <row r="1229" spans="1:7" x14ac:dyDescent="0.3">
      <c r="A1229">
        <v>2421</v>
      </c>
      <c r="B1229" t="s">
        <v>146</v>
      </c>
      <c r="C1229">
        <v>51023218</v>
      </c>
      <c r="D1229">
        <v>57.219717367869322</v>
      </c>
      <c r="E1229" t="s">
        <v>94</v>
      </c>
      <c r="F1229">
        <v>711</v>
      </c>
      <c r="G1229" s="4">
        <v>46087.5937962963</v>
      </c>
    </row>
    <row r="1230" spans="1:7" x14ac:dyDescent="0.3">
      <c r="A1230">
        <v>2422</v>
      </c>
      <c r="B1230" t="s">
        <v>146</v>
      </c>
      <c r="C1230">
        <v>51002776</v>
      </c>
      <c r="D1230">
        <v>81.87176704702901</v>
      </c>
      <c r="E1230" t="s">
        <v>93</v>
      </c>
      <c r="F1230">
        <v>372</v>
      </c>
      <c r="G1230" s="4">
        <v>46087.5937962963</v>
      </c>
    </row>
    <row r="1231" spans="1:7" x14ac:dyDescent="0.3">
      <c r="A1231">
        <v>2423</v>
      </c>
      <c r="B1231" t="s">
        <v>146</v>
      </c>
      <c r="C1231">
        <v>51015541</v>
      </c>
      <c r="D1231">
        <v>83.401008707766294</v>
      </c>
      <c r="E1231" t="s">
        <v>93</v>
      </c>
      <c r="F1231">
        <v>310</v>
      </c>
      <c r="G1231" s="4">
        <v>46087.5937962963</v>
      </c>
    </row>
    <row r="1232" spans="1:7" x14ac:dyDescent="0.3">
      <c r="A1232">
        <v>2424</v>
      </c>
      <c r="B1232" t="s">
        <v>146</v>
      </c>
      <c r="C1232">
        <v>51031890</v>
      </c>
      <c r="D1232">
        <v>81.349579110129113</v>
      </c>
      <c r="E1232" t="s">
        <v>93</v>
      </c>
      <c r="F1232">
        <v>387</v>
      </c>
      <c r="G1232" s="4">
        <v>46087.5937962963</v>
      </c>
    </row>
    <row r="1233" spans="1:7" x14ac:dyDescent="0.3">
      <c r="A1233">
        <v>2425</v>
      </c>
      <c r="B1233" t="s">
        <v>146</v>
      </c>
      <c r="C1233">
        <v>51057058</v>
      </c>
      <c r="D1233">
        <v>28.82</v>
      </c>
      <c r="E1233" t="s">
        <v>94</v>
      </c>
      <c r="F1233">
        <v>919</v>
      </c>
      <c r="G1233" s="4">
        <v>46087.5937962963</v>
      </c>
    </row>
    <row r="1234" spans="1:7" x14ac:dyDescent="0.3">
      <c r="A1234">
        <v>2426</v>
      </c>
      <c r="B1234" t="s">
        <v>146</v>
      </c>
      <c r="C1234">
        <v>51022289</v>
      </c>
      <c r="D1234">
        <v>90.474891400665499</v>
      </c>
      <c r="E1234" t="s">
        <v>92</v>
      </c>
      <c r="F1234">
        <v>123</v>
      </c>
      <c r="G1234" s="4">
        <v>46087.5937962963</v>
      </c>
    </row>
    <row r="1235" spans="1:7" x14ac:dyDescent="0.3">
      <c r="A1235">
        <v>2427</v>
      </c>
      <c r="B1235" t="s">
        <v>146</v>
      </c>
      <c r="C1235">
        <v>51016688</v>
      </c>
      <c r="D1235">
        <v>86.314827800637673</v>
      </c>
      <c r="E1235" t="s">
        <v>92</v>
      </c>
      <c r="F1235">
        <v>222</v>
      </c>
      <c r="G1235" s="4">
        <v>46087.5937962963</v>
      </c>
    </row>
    <row r="1236" spans="1:7" x14ac:dyDescent="0.3">
      <c r="A1236">
        <v>2428</v>
      </c>
      <c r="B1236" t="s">
        <v>146</v>
      </c>
      <c r="C1236">
        <v>51032527</v>
      </c>
      <c r="D1236">
        <v>95.245497838670417</v>
      </c>
      <c r="E1236" t="s">
        <v>275</v>
      </c>
      <c r="F1236">
        <v>60</v>
      </c>
      <c r="G1236" s="4">
        <v>46087.5937962963</v>
      </c>
    </row>
    <row r="1237" spans="1:7" x14ac:dyDescent="0.3">
      <c r="A1237">
        <v>2429</v>
      </c>
      <c r="B1237" t="s">
        <v>146</v>
      </c>
      <c r="C1237">
        <v>51028678</v>
      </c>
      <c r="D1237">
        <v>60.542713729154393</v>
      </c>
      <c r="E1237" t="s">
        <v>94</v>
      </c>
      <c r="F1237">
        <v>639</v>
      </c>
      <c r="G1237" s="4">
        <v>46087.5937962963</v>
      </c>
    </row>
    <row r="1238" spans="1:7" x14ac:dyDescent="0.3">
      <c r="A1238">
        <v>2430</v>
      </c>
      <c r="B1238" t="s">
        <v>146</v>
      </c>
      <c r="C1238">
        <v>51005287</v>
      </c>
      <c r="D1238">
        <v>82.7360402150466</v>
      </c>
      <c r="E1238" t="s">
        <v>93</v>
      </c>
      <c r="F1238">
        <v>341</v>
      </c>
      <c r="G1238" s="4">
        <v>46087.5937962963</v>
      </c>
    </row>
    <row r="1239" spans="1:7" x14ac:dyDescent="0.3">
      <c r="A1239">
        <v>2431</v>
      </c>
      <c r="B1239" t="s">
        <v>146</v>
      </c>
      <c r="C1239">
        <v>51055624</v>
      </c>
      <c r="D1239">
        <v>95.592171004068348</v>
      </c>
      <c r="E1239" t="s">
        <v>275</v>
      </c>
      <c r="F1239">
        <v>56</v>
      </c>
      <c r="G1239" s="4">
        <v>46087.5937962963</v>
      </c>
    </row>
    <row r="1240" spans="1:7" x14ac:dyDescent="0.3">
      <c r="A1240">
        <v>2432</v>
      </c>
      <c r="B1240" t="s">
        <v>146</v>
      </c>
      <c r="C1240">
        <v>51010884</v>
      </c>
      <c r="D1240">
        <v>45.61982720268891</v>
      </c>
      <c r="E1240" t="s">
        <v>94</v>
      </c>
      <c r="F1240">
        <v>819</v>
      </c>
      <c r="G1240" s="4">
        <v>46087.5937962963</v>
      </c>
    </row>
    <row r="1241" spans="1:7" x14ac:dyDescent="0.3">
      <c r="A1241">
        <v>2433</v>
      </c>
      <c r="B1241" t="s">
        <v>146</v>
      </c>
      <c r="C1241">
        <v>51007051</v>
      </c>
      <c r="D1241">
        <v>32.831721438894114</v>
      </c>
      <c r="E1241" t="s">
        <v>94</v>
      </c>
      <c r="F1241">
        <v>879</v>
      </c>
      <c r="G1241" s="4">
        <v>46087.5937962963</v>
      </c>
    </row>
    <row r="1242" spans="1:7" x14ac:dyDescent="0.3">
      <c r="A1242">
        <v>2434</v>
      </c>
      <c r="B1242" t="s">
        <v>146</v>
      </c>
      <c r="C1242">
        <v>51013808</v>
      </c>
      <c r="D1242">
        <v>59.514471428169024</v>
      </c>
      <c r="E1242" t="s">
        <v>94</v>
      </c>
      <c r="F1242">
        <v>657</v>
      </c>
      <c r="G1242" s="4">
        <v>46087.5937962963</v>
      </c>
    </row>
    <row r="1243" spans="1:7" x14ac:dyDescent="0.3">
      <c r="A1243">
        <v>2435</v>
      </c>
      <c r="B1243" t="s">
        <v>146</v>
      </c>
      <c r="C1243">
        <v>51035828</v>
      </c>
      <c r="D1243">
        <v>59.710125340779307</v>
      </c>
      <c r="E1243" t="s">
        <v>94</v>
      </c>
      <c r="F1243">
        <v>655</v>
      </c>
      <c r="G1243" s="4">
        <v>46087.5937962963</v>
      </c>
    </row>
    <row r="1244" spans="1:7" x14ac:dyDescent="0.3">
      <c r="A1244">
        <v>2436</v>
      </c>
      <c r="B1244" t="s">
        <v>146</v>
      </c>
      <c r="C1244">
        <v>51056051</v>
      </c>
      <c r="D1244">
        <v>83.72971964308654</v>
      </c>
      <c r="E1244" t="s">
        <v>93</v>
      </c>
      <c r="F1244">
        <v>298</v>
      </c>
      <c r="G1244" s="4">
        <v>46087.5937962963</v>
      </c>
    </row>
    <row r="1245" spans="1:7" x14ac:dyDescent="0.3">
      <c r="A1245">
        <v>2437</v>
      </c>
      <c r="B1245" t="s">
        <v>146</v>
      </c>
      <c r="C1245">
        <v>51024265</v>
      </c>
      <c r="D1245">
        <v>79.183308759366653</v>
      </c>
      <c r="E1245" t="s">
        <v>93</v>
      </c>
      <c r="F1245">
        <v>435</v>
      </c>
      <c r="G1245" s="4">
        <v>46087.5937962963</v>
      </c>
    </row>
    <row r="1246" spans="1:7" x14ac:dyDescent="0.3">
      <c r="A1246">
        <v>2438</v>
      </c>
      <c r="B1246" t="s">
        <v>146</v>
      </c>
      <c r="C1246">
        <v>51018494</v>
      </c>
      <c r="D1246">
        <v>100</v>
      </c>
      <c r="E1246" t="s">
        <v>275</v>
      </c>
      <c r="F1246">
        <v>1</v>
      </c>
      <c r="G1246" s="4">
        <v>46087.5937962963</v>
      </c>
    </row>
    <row r="1247" spans="1:7" x14ac:dyDescent="0.3">
      <c r="A1247">
        <v>2439</v>
      </c>
      <c r="B1247" t="s">
        <v>146</v>
      </c>
      <c r="C1247">
        <v>51039882</v>
      </c>
      <c r="D1247">
        <v>27.7</v>
      </c>
      <c r="E1247" t="s">
        <v>94</v>
      </c>
      <c r="F1247">
        <v>933</v>
      </c>
      <c r="G1247" s="4">
        <v>46087.5937962963</v>
      </c>
    </row>
    <row r="1248" spans="1:7" x14ac:dyDescent="0.3">
      <c r="A1248">
        <v>2440</v>
      </c>
      <c r="B1248" t="s">
        <v>146</v>
      </c>
      <c r="C1248">
        <v>51024192</v>
      </c>
      <c r="D1248">
        <v>86.717988240364278</v>
      </c>
      <c r="E1248" t="s">
        <v>92</v>
      </c>
      <c r="F1248">
        <v>208</v>
      </c>
      <c r="G1248" s="4">
        <v>46087.5937962963</v>
      </c>
    </row>
    <row r="1249" spans="1:7" x14ac:dyDescent="0.3">
      <c r="A1249">
        <v>2441</v>
      </c>
      <c r="B1249" t="s">
        <v>146</v>
      </c>
      <c r="C1249">
        <v>51008332</v>
      </c>
      <c r="D1249">
        <v>83.89731575447972</v>
      </c>
      <c r="E1249" t="s">
        <v>93</v>
      </c>
      <c r="F1249">
        <v>294</v>
      </c>
      <c r="G1249" s="4">
        <v>46087.5937962963</v>
      </c>
    </row>
    <row r="1250" spans="1:7" x14ac:dyDescent="0.3">
      <c r="A1250">
        <v>2442</v>
      </c>
      <c r="B1250" t="s">
        <v>146</v>
      </c>
      <c r="C1250">
        <v>51015258</v>
      </c>
      <c r="D1250">
        <v>96.635849181109691</v>
      </c>
      <c r="E1250" t="s">
        <v>275</v>
      </c>
      <c r="F1250">
        <v>46</v>
      </c>
      <c r="G1250" s="4">
        <v>46087.5937962963</v>
      </c>
    </row>
    <row r="1251" spans="1:7" x14ac:dyDescent="0.3">
      <c r="A1251">
        <v>2443</v>
      </c>
      <c r="B1251" t="s">
        <v>146</v>
      </c>
      <c r="C1251">
        <v>51033710</v>
      </c>
      <c r="D1251">
        <v>81.429012340180549</v>
      </c>
      <c r="E1251" t="s">
        <v>93</v>
      </c>
      <c r="F1251">
        <v>383</v>
      </c>
      <c r="G1251" s="4">
        <v>46087.5937962963</v>
      </c>
    </row>
    <row r="1252" spans="1:7" x14ac:dyDescent="0.3">
      <c r="A1252">
        <v>2444</v>
      </c>
      <c r="B1252" t="s">
        <v>146</v>
      </c>
      <c r="C1252">
        <v>51010329</v>
      </c>
      <c r="D1252">
        <v>31.552754871816191</v>
      </c>
      <c r="E1252" t="s">
        <v>94</v>
      </c>
      <c r="F1252">
        <v>895</v>
      </c>
      <c r="G1252" s="4">
        <v>46087.5937962963</v>
      </c>
    </row>
    <row r="1253" spans="1:7" x14ac:dyDescent="0.3">
      <c r="A1253">
        <v>2445</v>
      </c>
      <c r="B1253" t="s">
        <v>146</v>
      </c>
      <c r="C1253">
        <v>51011252</v>
      </c>
      <c r="D1253">
        <v>55.876460434762066</v>
      </c>
      <c r="E1253" t="s">
        <v>94</v>
      </c>
      <c r="F1253">
        <v>726</v>
      </c>
      <c r="G1253" s="4">
        <v>46087.5937962963</v>
      </c>
    </row>
    <row r="1254" spans="1:7" x14ac:dyDescent="0.3">
      <c r="A1254">
        <v>2446</v>
      </c>
      <c r="B1254" t="s">
        <v>146</v>
      </c>
      <c r="C1254">
        <v>51018648</v>
      </c>
      <c r="D1254">
        <v>81.408220145354463</v>
      </c>
      <c r="E1254" t="s">
        <v>93</v>
      </c>
      <c r="F1254">
        <v>385</v>
      </c>
      <c r="G1254" s="4">
        <v>46087.5937962963</v>
      </c>
    </row>
    <row r="1255" spans="1:7" x14ac:dyDescent="0.3">
      <c r="A1255">
        <v>2447</v>
      </c>
      <c r="B1255" t="s">
        <v>146</v>
      </c>
      <c r="C1255">
        <v>51024524</v>
      </c>
      <c r="D1255">
        <v>84.704066066084394</v>
      </c>
      <c r="E1255" t="s">
        <v>93</v>
      </c>
      <c r="F1255">
        <v>272</v>
      </c>
      <c r="G1255" s="4">
        <v>46087.5937962963</v>
      </c>
    </row>
    <row r="1256" spans="1:7" x14ac:dyDescent="0.3">
      <c r="A1256">
        <v>2448</v>
      </c>
      <c r="B1256" t="s">
        <v>146</v>
      </c>
      <c r="C1256">
        <v>51055772</v>
      </c>
      <c r="D1256">
        <v>41.231436317813255</v>
      </c>
      <c r="E1256" t="s">
        <v>94</v>
      </c>
      <c r="F1256">
        <v>843</v>
      </c>
      <c r="G1256" s="4">
        <v>46087.5937962963</v>
      </c>
    </row>
    <row r="1257" spans="1:7" x14ac:dyDescent="0.3">
      <c r="A1257">
        <v>2449</v>
      </c>
      <c r="B1257" t="s">
        <v>146</v>
      </c>
      <c r="C1257">
        <v>51031083</v>
      </c>
      <c r="D1257">
        <v>28.6</v>
      </c>
      <c r="E1257" t="s">
        <v>94</v>
      </c>
      <c r="F1257">
        <v>922</v>
      </c>
      <c r="G1257" s="4">
        <v>46087.5937962963</v>
      </c>
    </row>
    <row r="1258" spans="1:7" x14ac:dyDescent="0.3">
      <c r="A1258">
        <v>2450</v>
      </c>
      <c r="B1258" t="s">
        <v>146</v>
      </c>
      <c r="C1258">
        <v>51056647</v>
      </c>
      <c r="D1258">
        <v>70.444338036642236</v>
      </c>
      <c r="E1258" t="s">
        <v>93</v>
      </c>
      <c r="F1258">
        <v>536</v>
      </c>
      <c r="G1258" s="4">
        <v>46087.5937962963</v>
      </c>
    </row>
    <row r="1259" spans="1:7" x14ac:dyDescent="0.3">
      <c r="A1259">
        <v>2451</v>
      </c>
      <c r="B1259" t="s">
        <v>146</v>
      </c>
      <c r="C1259">
        <v>51024214</v>
      </c>
      <c r="D1259">
        <v>31.279800520937577</v>
      </c>
      <c r="E1259" t="s">
        <v>94</v>
      </c>
      <c r="F1259">
        <v>896</v>
      </c>
      <c r="G1259" s="4">
        <v>46087.5937962963</v>
      </c>
    </row>
    <row r="1260" spans="1:7" x14ac:dyDescent="0.3">
      <c r="A1260">
        <v>2452</v>
      </c>
      <c r="B1260" t="s">
        <v>146</v>
      </c>
      <c r="C1260">
        <v>51013425</v>
      </c>
      <c r="D1260">
        <v>92.802303012537379</v>
      </c>
      <c r="E1260" t="s">
        <v>92</v>
      </c>
      <c r="F1260">
        <v>90</v>
      </c>
      <c r="G1260" s="4">
        <v>46087.5937962963</v>
      </c>
    </row>
    <row r="1261" spans="1:7" x14ac:dyDescent="0.3">
      <c r="A1261">
        <v>2453</v>
      </c>
      <c r="B1261" t="s">
        <v>146</v>
      </c>
      <c r="C1261">
        <v>51025334</v>
      </c>
      <c r="D1261">
        <v>77.477979794136147</v>
      </c>
      <c r="E1261" t="s">
        <v>93</v>
      </c>
      <c r="F1261">
        <v>457</v>
      </c>
      <c r="G1261" s="4">
        <v>46087.5937962963</v>
      </c>
    </row>
    <row r="1262" spans="1:7" x14ac:dyDescent="0.3">
      <c r="A1262">
        <v>2454</v>
      </c>
      <c r="B1262" t="s">
        <v>146</v>
      </c>
      <c r="C1262">
        <v>51056132</v>
      </c>
      <c r="D1262">
        <v>48.849334867904759</v>
      </c>
      <c r="E1262" t="s">
        <v>94</v>
      </c>
      <c r="F1262">
        <v>781</v>
      </c>
      <c r="G1262" s="4">
        <v>46087.5937962963</v>
      </c>
    </row>
    <row r="1263" spans="1:7" x14ac:dyDescent="0.3">
      <c r="A1263">
        <v>2455</v>
      </c>
      <c r="B1263" t="s">
        <v>146</v>
      </c>
      <c r="C1263">
        <v>51004531</v>
      </c>
      <c r="D1263">
        <v>93.51135149726322</v>
      </c>
      <c r="E1263" t="s">
        <v>92</v>
      </c>
      <c r="F1263">
        <v>78</v>
      </c>
      <c r="G1263" s="4">
        <v>46087.5937962963</v>
      </c>
    </row>
    <row r="1264" spans="1:7" x14ac:dyDescent="0.3">
      <c r="A1264">
        <v>2456</v>
      </c>
      <c r="B1264" t="s">
        <v>146</v>
      </c>
      <c r="C1264">
        <v>51039033</v>
      </c>
      <c r="D1264">
        <v>49.942207873293924</v>
      </c>
      <c r="E1264" t="s">
        <v>94</v>
      </c>
      <c r="F1264">
        <v>772</v>
      </c>
      <c r="G1264" s="4">
        <v>46087.5937962963</v>
      </c>
    </row>
    <row r="1265" spans="1:7" x14ac:dyDescent="0.3">
      <c r="A1265">
        <v>2457</v>
      </c>
      <c r="B1265" t="s">
        <v>146</v>
      </c>
      <c r="C1265">
        <v>51024117</v>
      </c>
      <c r="D1265">
        <v>91.46419156386149</v>
      </c>
      <c r="E1265" t="s">
        <v>92</v>
      </c>
      <c r="F1265">
        <v>112</v>
      </c>
      <c r="G1265" s="4">
        <v>46087.5937962963</v>
      </c>
    </row>
    <row r="1266" spans="1:7" x14ac:dyDescent="0.3">
      <c r="A1266">
        <v>2458</v>
      </c>
      <c r="B1266" t="s">
        <v>146</v>
      </c>
      <c r="C1266">
        <v>51031768</v>
      </c>
      <c r="D1266">
        <v>58.665288206037005</v>
      </c>
      <c r="E1266" t="s">
        <v>94</v>
      </c>
      <c r="F1266">
        <v>668</v>
      </c>
      <c r="G1266" s="4">
        <v>46087.5937962963</v>
      </c>
    </row>
    <row r="1267" spans="1:7" x14ac:dyDescent="0.3">
      <c r="A1267">
        <v>2459</v>
      </c>
      <c r="B1267" t="s">
        <v>146</v>
      </c>
      <c r="C1267">
        <v>51022637</v>
      </c>
      <c r="D1267">
        <v>85.312008436147281</v>
      </c>
      <c r="E1267" t="s">
        <v>93</v>
      </c>
      <c r="F1267">
        <v>260</v>
      </c>
      <c r="G1267" s="4">
        <v>46087.5937962963</v>
      </c>
    </row>
    <row r="1268" spans="1:7" x14ac:dyDescent="0.3">
      <c r="A1268">
        <v>2460</v>
      </c>
      <c r="B1268" t="s">
        <v>146</v>
      </c>
      <c r="C1268">
        <v>51010124</v>
      </c>
      <c r="D1268">
        <v>95.834588864978059</v>
      </c>
      <c r="E1268" t="s">
        <v>275</v>
      </c>
      <c r="F1268">
        <v>55</v>
      </c>
      <c r="G1268" s="4">
        <v>46087.5937962963</v>
      </c>
    </row>
    <row r="1269" spans="1:7" x14ac:dyDescent="0.3">
      <c r="A1269">
        <v>2461</v>
      </c>
      <c r="B1269" t="s">
        <v>146</v>
      </c>
      <c r="C1269">
        <v>51012020</v>
      </c>
      <c r="D1269">
        <v>82.351448828484905</v>
      </c>
      <c r="E1269" t="s">
        <v>93</v>
      </c>
      <c r="F1269">
        <v>354</v>
      </c>
      <c r="G1269" s="4">
        <v>46087.5937962963</v>
      </c>
    </row>
    <row r="1270" spans="1:7" x14ac:dyDescent="0.3">
      <c r="A1270">
        <v>2462</v>
      </c>
      <c r="B1270" t="s">
        <v>146</v>
      </c>
      <c r="C1270">
        <v>51029968</v>
      </c>
      <c r="D1270">
        <v>85.991095434506889</v>
      </c>
      <c r="E1270" t="s">
        <v>92</v>
      </c>
      <c r="F1270">
        <v>239</v>
      </c>
      <c r="G1270" s="4">
        <v>46087.5937962963</v>
      </c>
    </row>
    <row r="1271" spans="1:7" x14ac:dyDescent="0.3">
      <c r="A1271">
        <v>2463</v>
      </c>
      <c r="B1271" t="s">
        <v>146</v>
      </c>
      <c r="C1271">
        <v>51025202</v>
      </c>
      <c r="D1271">
        <v>100</v>
      </c>
      <c r="E1271" t="s">
        <v>275</v>
      </c>
      <c r="F1271">
        <v>1</v>
      </c>
      <c r="G1271" s="4">
        <v>46087.5937962963</v>
      </c>
    </row>
    <row r="1272" spans="1:7" x14ac:dyDescent="0.3">
      <c r="A1272">
        <v>2464</v>
      </c>
      <c r="B1272" t="s">
        <v>146</v>
      </c>
      <c r="C1272">
        <v>51003667</v>
      </c>
      <c r="D1272">
        <v>65.898039817418052</v>
      </c>
      <c r="E1272" t="s">
        <v>93</v>
      </c>
      <c r="F1272">
        <v>569</v>
      </c>
      <c r="G1272" s="4">
        <v>46087.5937962963</v>
      </c>
    </row>
    <row r="1273" spans="1:7" x14ac:dyDescent="0.3">
      <c r="A1273">
        <v>2465</v>
      </c>
      <c r="B1273" t="s">
        <v>146</v>
      </c>
      <c r="C1273">
        <v>51026691</v>
      </c>
      <c r="D1273">
        <v>47.709438063875595</v>
      </c>
      <c r="E1273" t="s">
        <v>94</v>
      </c>
      <c r="F1273">
        <v>793</v>
      </c>
      <c r="G1273" s="4">
        <v>46087.5937962963</v>
      </c>
    </row>
    <row r="1274" spans="1:7" x14ac:dyDescent="0.3">
      <c r="A1274">
        <v>2466</v>
      </c>
      <c r="B1274" t="s">
        <v>146</v>
      </c>
      <c r="C1274">
        <v>51023145</v>
      </c>
      <c r="D1274">
        <v>97.579669524738932</v>
      </c>
      <c r="E1274" t="s">
        <v>275</v>
      </c>
      <c r="F1274">
        <v>33</v>
      </c>
      <c r="G1274" s="4">
        <v>46087.5937962963</v>
      </c>
    </row>
    <row r="1275" spans="1:7" x14ac:dyDescent="0.3">
      <c r="A1275">
        <v>2467</v>
      </c>
      <c r="B1275" t="s">
        <v>146</v>
      </c>
      <c r="C1275">
        <v>51056001</v>
      </c>
      <c r="D1275">
        <v>93.346460536681349</v>
      </c>
      <c r="E1275" t="s">
        <v>92</v>
      </c>
      <c r="F1275">
        <v>83</v>
      </c>
      <c r="G1275" s="4">
        <v>46087.5937962963</v>
      </c>
    </row>
    <row r="1276" spans="1:7" x14ac:dyDescent="0.3">
      <c r="A1276">
        <v>2468</v>
      </c>
      <c r="B1276" t="s">
        <v>146</v>
      </c>
      <c r="C1276">
        <v>51019652</v>
      </c>
      <c r="D1276">
        <v>89.723394933338255</v>
      </c>
      <c r="E1276" t="s">
        <v>92</v>
      </c>
      <c r="F1276">
        <v>136</v>
      </c>
      <c r="G1276" s="4">
        <v>46087.5937962963</v>
      </c>
    </row>
    <row r="1277" spans="1:7" x14ac:dyDescent="0.3">
      <c r="A1277">
        <v>2469</v>
      </c>
      <c r="B1277" t="s">
        <v>146</v>
      </c>
      <c r="C1277">
        <v>51011368</v>
      </c>
      <c r="D1277">
        <v>98.327840021734701</v>
      </c>
      <c r="E1277" t="s">
        <v>275</v>
      </c>
      <c r="F1277">
        <v>27</v>
      </c>
      <c r="G1277" s="4">
        <v>46087.5937962963</v>
      </c>
    </row>
    <row r="1278" spans="1:7" x14ac:dyDescent="0.3">
      <c r="A1278">
        <v>2470</v>
      </c>
      <c r="B1278" t="s">
        <v>146</v>
      </c>
      <c r="C1278">
        <v>51055047</v>
      </c>
      <c r="D1278">
        <v>72.390365941155423</v>
      </c>
      <c r="E1278" t="s">
        <v>93</v>
      </c>
      <c r="F1278">
        <v>517</v>
      </c>
      <c r="G1278" s="4">
        <v>46087.5937962963</v>
      </c>
    </row>
    <row r="1279" spans="1:7" x14ac:dyDescent="0.3">
      <c r="A1279">
        <v>2471</v>
      </c>
      <c r="B1279" t="s">
        <v>146</v>
      </c>
      <c r="C1279">
        <v>51018176</v>
      </c>
      <c r="D1279">
        <v>72.552031556584268</v>
      </c>
      <c r="E1279" t="s">
        <v>93</v>
      </c>
      <c r="F1279">
        <v>515</v>
      </c>
      <c r="G1279" s="4">
        <v>46087.5937962963</v>
      </c>
    </row>
    <row r="1280" spans="1:7" x14ac:dyDescent="0.3">
      <c r="A1280">
        <v>2472</v>
      </c>
      <c r="B1280" t="s">
        <v>146</v>
      </c>
      <c r="C1280">
        <v>51015622</v>
      </c>
      <c r="D1280">
        <v>57.441667457742973</v>
      </c>
      <c r="E1280" t="s">
        <v>94</v>
      </c>
      <c r="F1280">
        <v>702</v>
      </c>
      <c r="G1280" s="4">
        <v>46087.5937962963</v>
      </c>
    </row>
    <row r="1281" spans="1:7" x14ac:dyDescent="0.3">
      <c r="A1281">
        <v>2473</v>
      </c>
      <c r="B1281" t="s">
        <v>146</v>
      </c>
      <c r="C1281">
        <v>51054946</v>
      </c>
      <c r="D1281">
        <v>100</v>
      </c>
      <c r="E1281" t="s">
        <v>275</v>
      </c>
      <c r="F1281">
        <v>1</v>
      </c>
      <c r="G1281" s="4">
        <v>46087.5937962963</v>
      </c>
    </row>
    <row r="1282" spans="1:7" x14ac:dyDescent="0.3">
      <c r="A1282">
        <v>2474</v>
      </c>
      <c r="B1282" t="s">
        <v>146</v>
      </c>
      <c r="C1282">
        <v>51016220</v>
      </c>
      <c r="D1282">
        <v>100</v>
      </c>
      <c r="E1282" t="s">
        <v>275</v>
      </c>
      <c r="F1282">
        <v>1</v>
      </c>
      <c r="G1282" s="4">
        <v>46087.5937962963</v>
      </c>
    </row>
    <row r="1283" spans="1:7" x14ac:dyDescent="0.3">
      <c r="A1283">
        <v>2475</v>
      </c>
      <c r="B1283" t="s">
        <v>146</v>
      </c>
      <c r="C1283">
        <v>51025385</v>
      </c>
      <c r="D1283">
        <v>32.784150680860158</v>
      </c>
      <c r="E1283" t="s">
        <v>94</v>
      </c>
      <c r="F1283">
        <v>881</v>
      </c>
      <c r="G1283" s="4">
        <v>46087.5937962963</v>
      </c>
    </row>
    <row r="1284" spans="1:7" x14ac:dyDescent="0.3">
      <c r="A1284">
        <v>2476</v>
      </c>
      <c r="B1284" t="s">
        <v>146</v>
      </c>
      <c r="C1284">
        <v>51057163</v>
      </c>
      <c r="D1284">
        <v>55.121398623088737</v>
      </c>
      <c r="E1284" t="s">
        <v>94</v>
      </c>
      <c r="F1284">
        <v>733</v>
      </c>
      <c r="G1284" s="4">
        <v>46087.5937962963</v>
      </c>
    </row>
    <row r="1285" spans="1:7" x14ac:dyDescent="0.3">
      <c r="A1285">
        <v>2477</v>
      </c>
      <c r="B1285" t="s">
        <v>146</v>
      </c>
      <c r="C1285">
        <v>51055985</v>
      </c>
      <c r="D1285">
        <v>25.736364823263671</v>
      </c>
      <c r="E1285" t="s">
        <v>94</v>
      </c>
      <c r="F1285">
        <v>943</v>
      </c>
      <c r="G1285" s="4">
        <v>46087.5937962963</v>
      </c>
    </row>
    <row r="1286" spans="1:7" x14ac:dyDescent="0.3">
      <c r="A1286">
        <v>2478</v>
      </c>
      <c r="B1286" t="s">
        <v>146</v>
      </c>
      <c r="C1286">
        <v>51032993</v>
      </c>
      <c r="D1286">
        <v>97.502156204201626</v>
      </c>
      <c r="E1286" t="s">
        <v>275</v>
      </c>
      <c r="F1286">
        <v>34</v>
      </c>
      <c r="G1286" s="4">
        <v>46087.5937962963</v>
      </c>
    </row>
    <row r="1287" spans="1:7" x14ac:dyDescent="0.3">
      <c r="A1287">
        <v>2479</v>
      </c>
      <c r="B1287" t="s">
        <v>146</v>
      </c>
      <c r="C1287">
        <v>51015088</v>
      </c>
      <c r="D1287">
        <v>79.672556705781048</v>
      </c>
      <c r="E1287" t="s">
        <v>93</v>
      </c>
      <c r="F1287">
        <v>426</v>
      </c>
      <c r="G1287" s="4">
        <v>46087.5937962963</v>
      </c>
    </row>
    <row r="1288" spans="1:7" x14ac:dyDescent="0.3">
      <c r="A1288">
        <v>2480</v>
      </c>
      <c r="B1288" t="s">
        <v>146</v>
      </c>
      <c r="C1288">
        <v>51035658</v>
      </c>
      <c r="D1288">
        <v>80.4943425657886</v>
      </c>
      <c r="E1288" t="s">
        <v>93</v>
      </c>
      <c r="F1288">
        <v>406</v>
      </c>
      <c r="G1288" s="4">
        <v>46087.5937962963</v>
      </c>
    </row>
    <row r="1289" spans="1:7" x14ac:dyDescent="0.3">
      <c r="A1289">
        <v>2481</v>
      </c>
      <c r="B1289" t="s">
        <v>146</v>
      </c>
      <c r="C1289">
        <v>51016726</v>
      </c>
      <c r="D1289">
        <v>86.049504938268015</v>
      </c>
      <c r="E1289" t="s">
        <v>92</v>
      </c>
      <c r="F1289">
        <v>237</v>
      </c>
      <c r="G1289" s="4">
        <v>46087.5937962963</v>
      </c>
    </row>
    <row r="1290" spans="1:7" x14ac:dyDescent="0.3">
      <c r="A1290">
        <v>2482</v>
      </c>
      <c r="B1290" t="s">
        <v>146</v>
      </c>
      <c r="C1290">
        <v>51019342</v>
      </c>
      <c r="D1290">
        <v>21.75393849616546</v>
      </c>
      <c r="E1290" t="s">
        <v>95</v>
      </c>
      <c r="F1290">
        <v>969</v>
      </c>
      <c r="G1290" s="4">
        <v>46087.5937962963</v>
      </c>
    </row>
    <row r="1291" spans="1:7" x14ac:dyDescent="0.3">
      <c r="A1291">
        <v>2483</v>
      </c>
      <c r="B1291" t="s">
        <v>146</v>
      </c>
      <c r="C1291">
        <v>51014162</v>
      </c>
      <c r="D1291">
        <v>66.320292389837675</v>
      </c>
      <c r="E1291" t="s">
        <v>93</v>
      </c>
      <c r="F1291">
        <v>566</v>
      </c>
      <c r="G1291" s="4">
        <v>46087.5937962963</v>
      </c>
    </row>
    <row r="1292" spans="1:7" x14ac:dyDescent="0.3">
      <c r="A1292">
        <v>2484</v>
      </c>
      <c r="B1292" t="s">
        <v>146</v>
      </c>
      <c r="C1292">
        <v>51022360</v>
      </c>
      <c r="D1292">
        <v>89.815482375123821</v>
      </c>
      <c r="E1292" t="s">
        <v>92</v>
      </c>
      <c r="F1292">
        <v>132</v>
      </c>
      <c r="G1292" s="4">
        <v>46087.5937962963</v>
      </c>
    </row>
    <row r="1293" spans="1:7" x14ac:dyDescent="0.3">
      <c r="A1293">
        <v>2485</v>
      </c>
      <c r="B1293" t="s">
        <v>146</v>
      </c>
      <c r="C1293">
        <v>51040848</v>
      </c>
      <c r="D1293">
        <v>78.249666554241372</v>
      </c>
      <c r="E1293" t="s">
        <v>93</v>
      </c>
      <c r="F1293">
        <v>449</v>
      </c>
      <c r="G1293" s="4">
        <v>46087.5937962963</v>
      </c>
    </row>
    <row r="1294" spans="1:7" x14ac:dyDescent="0.3">
      <c r="A1294">
        <v>2486</v>
      </c>
      <c r="B1294" t="s">
        <v>146</v>
      </c>
      <c r="C1294">
        <v>51022696</v>
      </c>
      <c r="D1294">
        <v>94.081474055788973</v>
      </c>
      <c r="E1294" t="s">
        <v>92</v>
      </c>
      <c r="F1294">
        <v>72</v>
      </c>
      <c r="G1294" s="4">
        <v>46087.5937962963</v>
      </c>
    </row>
    <row r="1295" spans="1:7" x14ac:dyDescent="0.3">
      <c r="A1295">
        <v>2487</v>
      </c>
      <c r="B1295" t="s">
        <v>146</v>
      </c>
      <c r="C1295">
        <v>51056426</v>
      </c>
      <c r="D1295">
        <v>61.378314796261563</v>
      </c>
      <c r="E1295" t="s">
        <v>94</v>
      </c>
      <c r="F1295">
        <v>623</v>
      </c>
      <c r="G1295" s="4">
        <v>46087.5937962963</v>
      </c>
    </row>
    <row r="1296" spans="1:7" x14ac:dyDescent="0.3">
      <c r="A1296">
        <v>2488</v>
      </c>
      <c r="B1296" t="s">
        <v>146</v>
      </c>
      <c r="C1296">
        <v>51011350</v>
      </c>
      <c r="D1296">
        <v>56.716959566940751</v>
      </c>
      <c r="E1296" t="s">
        <v>94</v>
      </c>
      <c r="F1296">
        <v>717</v>
      </c>
      <c r="G1296" s="4">
        <v>46087.5937962963</v>
      </c>
    </row>
    <row r="1297" spans="1:7" x14ac:dyDescent="0.3">
      <c r="A1297">
        <v>2489</v>
      </c>
      <c r="B1297" t="s">
        <v>146</v>
      </c>
      <c r="C1297">
        <v>51024087</v>
      </c>
      <c r="D1297">
        <v>85.271204084442005</v>
      </c>
      <c r="E1297" t="s">
        <v>93</v>
      </c>
      <c r="F1297">
        <v>262</v>
      </c>
      <c r="G1297" s="4">
        <v>46087.5937962963</v>
      </c>
    </row>
    <row r="1298" spans="1:7" x14ac:dyDescent="0.3">
      <c r="A1298">
        <v>2490</v>
      </c>
      <c r="B1298" t="s">
        <v>146</v>
      </c>
      <c r="C1298">
        <v>51005171</v>
      </c>
      <c r="D1298">
        <v>82.277902570269745</v>
      </c>
      <c r="E1298" t="s">
        <v>93</v>
      </c>
      <c r="F1298">
        <v>357</v>
      </c>
      <c r="G1298" s="4">
        <v>46087.5937962963</v>
      </c>
    </row>
    <row r="1299" spans="1:7" x14ac:dyDescent="0.3">
      <c r="A1299">
        <v>2491</v>
      </c>
      <c r="B1299" t="s">
        <v>146</v>
      </c>
      <c r="C1299">
        <v>51005864</v>
      </c>
      <c r="D1299">
        <v>85.107261450677782</v>
      </c>
      <c r="E1299" t="s">
        <v>93</v>
      </c>
      <c r="F1299">
        <v>263</v>
      </c>
      <c r="G1299" s="4">
        <v>46087.5937962963</v>
      </c>
    </row>
    <row r="1300" spans="1:7" x14ac:dyDescent="0.3">
      <c r="A1300">
        <v>2492</v>
      </c>
      <c r="B1300" t="s">
        <v>146</v>
      </c>
      <c r="C1300">
        <v>51040317</v>
      </c>
      <c r="D1300">
        <v>87.753038848762316</v>
      </c>
      <c r="E1300" t="s">
        <v>92</v>
      </c>
      <c r="F1300">
        <v>187</v>
      </c>
      <c r="G1300" s="4">
        <v>46087.5937962963</v>
      </c>
    </row>
    <row r="1301" spans="1:7" x14ac:dyDescent="0.3">
      <c r="A1301">
        <v>2493</v>
      </c>
      <c r="B1301" t="s">
        <v>146</v>
      </c>
      <c r="C1301">
        <v>51003926</v>
      </c>
      <c r="D1301">
        <v>52.670897048638395</v>
      </c>
      <c r="E1301" t="s">
        <v>94</v>
      </c>
      <c r="F1301">
        <v>753</v>
      </c>
      <c r="G1301" s="4">
        <v>46087.5937962963</v>
      </c>
    </row>
    <row r="1302" spans="1:7" x14ac:dyDescent="0.3">
      <c r="A1302">
        <v>2494</v>
      </c>
      <c r="B1302" t="s">
        <v>146</v>
      </c>
      <c r="C1302">
        <v>51019911</v>
      </c>
      <c r="D1302">
        <v>54.434549348957411</v>
      </c>
      <c r="E1302" t="s">
        <v>94</v>
      </c>
      <c r="F1302">
        <v>742</v>
      </c>
      <c r="G1302" s="4">
        <v>46087.5937962963</v>
      </c>
    </row>
    <row r="1303" spans="1:7" x14ac:dyDescent="0.3">
      <c r="A1303">
        <v>2495</v>
      </c>
      <c r="B1303" t="s">
        <v>146</v>
      </c>
      <c r="C1303">
        <v>51022076</v>
      </c>
      <c r="D1303">
        <v>80.973710149766717</v>
      </c>
      <c r="E1303" t="s">
        <v>93</v>
      </c>
      <c r="F1303">
        <v>394</v>
      </c>
      <c r="G1303" s="4">
        <v>46087.5937962963</v>
      </c>
    </row>
    <row r="1304" spans="1:7" x14ac:dyDescent="0.3">
      <c r="A1304">
        <v>2496</v>
      </c>
      <c r="B1304" t="s">
        <v>146</v>
      </c>
      <c r="C1304">
        <v>51055217</v>
      </c>
      <c r="D1304">
        <v>47.528813485367664</v>
      </c>
      <c r="E1304" t="s">
        <v>94</v>
      </c>
      <c r="F1304">
        <v>800</v>
      </c>
      <c r="G1304" s="4">
        <v>46087.5937962963</v>
      </c>
    </row>
    <row r="1305" spans="1:7" x14ac:dyDescent="0.3">
      <c r="A1305">
        <v>2497</v>
      </c>
      <c r="B1305" t="s">
        <v>146</v>
      </c>
      <c r="C1305">
        <v>51036824</v>
      </c>
      <c r="D1305">
        <v>87.83237941680153</v>
      </c>
      <c r="E1305" t="s">
        <v>92</v>
      </c>
      <c r="F1305">
        <v>184</v>
      </c>
      <c r="G1305" s="4">
        <v>46087.5937962963</v>
      </c>
    </row>
    <row r="1306" spans="1:7" x14ac:dyDescent="0.3">
      <c r="A1306">
        <v>2498</v>
      </c>
      <c r="B1306" t="s">
        <v>146</v>
      </c>
      <c r="C1306">
        <v>51024940</v>
      </c>
      <c r="D1306">
        <v>83.031159772279153</v>
      </c>
      <c r="E1306" t="s">
        <v>93</v>
      </c>
      <c r="F1306">
        <v>328</v>
      </c>
      <c r="G1306" s="4">
        <v>46087.5937962963</v>
      </c>
    </row>
    <row r="1307" spans="1:7" x14ac:dyDescent="0.3">
      <c r="A1307">
        <v>2499</v>
      </c>
      <c r="B1307" t="s">
        <v>146</v>
      </c>
      <c r="C1307">
        <v>51033531</v>
      </c>
      <c r="D1307">
        <v>58.236109399582524</v>
      </c>
      <c r="E1307" t="s">
        <v>94</v>
      </c>
      <c r="F1307">
        <v>681</v>
      </c>
      <c r="G1307" s="4">
        <v>46087.5937962963</v>
      </c>
    </row>
    <row r="1308" spans="1:7" x14ac:dyDescent="0.3">
      <c r="A1308">
        <v>2500</v>
      </c>
      <c r="B1308" t="s">
        <v>146</v>
      </c>
      <c r="C1308">
        <v>51032454</v>
      </c>
      <c r="D1308">
        <v>46.281918053017655</v>
      </c>
      <c r="E1308" t="s">
        <v>94</v>
      </c>
      <c r="F1308">
        <v>813</v>
      </c>
      <c r="G1308" s="4">
        <v>46087.5937962963</v>
      </c>
    </row>
    <row r="1309" spans="1:7" x14ac:dyDescent="0.3">
      <c r="A1309">
        <v>2501</v>
      </c>
      <c r="B1309" t="s">
        <v>146</v>
      </c>
      <c r="C1309">
        <v>51014260</v>
      </c>
      <c r="D1309">
        <v>82.094636380436469</v>
      </c>
      <c r="E1309" t="s">
        <v>93</v>
      </c>
      <c r="F1309">
        <v>363</v>
      </c>
      <c r="G1309" s="4">
        <v>46087.5937962963</v>
      </c>
    </row>
    <row r="1310" spans="1:7" x14ac:dyDescent="0.3">
      <c r="A1310">
        <v>2502</v>
      </c>
      <c r="B1310" t="s">
        <v>146</v>
      </c>
      <c r="C1310">
        <v>51011414</v>
      </c>
      <c r="D1310">
        <v>55.75609433673101</v>
      </c>
      <c r="E1310" t="s">
        <v>94</v>
      </c>
      <c r="F1310">
        <v>728</v>
      </c>
      <c r="G1310" s="4">
        <v>46087.5937962963</v>
      </c>
    </row>
    <row r="1311" spans="1:7" x14ac:dyDescent="0.3">
      <c r="A1311">
        <v>2503</v>
      </c>
      <c r="B1311" t="s">
        <v>146</v>
      </c>
      <c r="C1311">
        <v>51018559</v>
      </c>
      <c r="D1311">
        <v>31.9</v>
      </c>
      <c r="E1311" t="s">
        <v>94</v>
      </c>
      <c r="F1311">
        <v>890</v>
      </c>
      <c r="G1311" s="4">
        <v>46087.5937962963</v>
      </c>
    </row>
    <row r="1312" spans="1:7" x14ac:dyDescent="0.3">
      <c r="A1312">
        <v>2504</v>
      </c>
      <c r="B1312" t="s">
        <v>146</v>
      </c>
      <c r="C1312">
        <v>51014308</v>
      </c>
      <c r="D1312">
        <v>49.067735179435296</v>
      </c>
      <c r="E1312" t="s">
        <v>94</v>
      </c>
      <c r="F1312">
        <v>779</v>
      </c>
      <c r="G1312" s="4">
        <v>46087.5937962963</v>
      </c>
    </row>
    <row r="1313" spans="1:7" x14ac:dyDescent="0.3">
      <c r="A1313">
        <v>2505</v>
      </c>
      <c r="B1313" t="s">
        <v>146</v>
      </c>
      <c r="C1313">
        <v>51056949</v>
      </c>
      <c r="D1313">
        <v>73.683136215923767</v>
      </c>
      <c r="E1313" t="s">
        <v>93</v>
      </c>
      <c r="F1313">
        <v>504</v>
      </c>
      <c r="G1313" s="4">
        <v>46087.5937962963</v>
      </c>
    </row>
    <row r="1314" spans="1:7" x14ac:dyDescent="0.3">
      <c r="A1314">
        <v>2506</v>
      </c>
      <c r="B1314" t="s">
        <v>146</v>
      </c>
      <c r="C1314">
        <v>51022173</v>
      </c>
      <c r="D1314">
        <v>84.97980184298676</v>
      </c>
      <c r="E1314" t="s">
        <v>93</v>
      </c>
      <c r="F1314">
        <v>266</v>
      </c>
      <c r="G1314" s="4">
        <v>46087.5937962963</v>
      </c>
    </row>
    <row r="1315" spans="1:7" x14ac:dyDescent="0.3">
      <c r="A1315">
        <v>2507</v>
      </c>
      <c r="B1315" t="s">
        <v>146</v>
      </c>
      <c r="C1315">
        <v>51023765</v>
      </c>
      <c r="D1315">
        <v>96.910537178464708</v>
      </c>
      <c r="E1315" t="s">
        <v>275</v>
      </c>
      <c r="F1315">
        <v>42</v>
      </c>
      <c r="G1315" s="4">
        <v>46087.5937962963</v>
      </c>
    </row>
    <row r="1316" spans="1:7" x14ac:dyDescent="0.3">
      <c r="A1316">
        <v>2508</v>
      </c>
      <c r="B1316" t="s">
        <v>146</v>
      </c>
      <c r="C1316">
        <v>51038908</v>
      </c>
      <c r="D1316">
        <v>67.121528168226035</v>
      </c>
      <c r="E1316" t="s">
        <v>93</v>
      </c>
      <c r="F1316">
        <v>562</v>
      </c>
      <c r="G1316" s="4">
        <v>46087.5937962963</v>
      </c>
    </row>
    <row r="1317" spans="1:7" x14ac:dyDescent="0.3">
      <c r="A1317">
        <v>2509</v>
      </c>
      <c r="B1317" t="s">
        <v>146</v>
      </c>
      <c r="C1317">
        <v>51013158</v>
      </c>
      <c r="D1317">
        <v>62.816868196732557</v>
      </c>
      <c r="E1317" t="s">
        <v>93</v>
      </c>
      <c r="F1317">
        <v>592</v>
      </c>
      <c r="G1317" s="4">
        <v>46087.5937962963</v>
      </c>
    </row>
    <row r="1318" spans="1:7" x14ac:dyDescent="0.3">
      <c r="A1318">
        <v>2510</v>
      </c>
      <c r="B1318" t="s">
        <v>146</v>
      </c>
      <c r="C1318">
        <v>51024176</v>
      </c>
      <c r="D1318">
        <v>65.599062853089038</v>
      </c>
      <c r="E1318" t="s">
        <v>93</v>
      </c>
      <c r="F1318">
        <v>570</v>
      </c>
      <c r="G1318" s="4">
        <v>46087.5937962963</v>
      </c>
    </row>
    <row r="1319" spans="1:7" x14ac:dyDescent="0.3">
      <c r="A1319">
        <v>2511</v>
      </c>
      <c r="B1319" t="s">
        <v>146</v>
      </c>
      <c r="C1319">
        <v>51000196</v>
      </c>
      <c r="D1319">
        <v>100</v>
      </c>
      <c r="E1319" t="s">
        <v>275</v>
      </c>
      <c r="F1319">
        <v>1</v>
      </c>
      <c r="G1319" s="4">
        <v>46087.5937962963</v>
      </c>
    </row>
    <row r="1320" spans="1:7" x14ac:dyDescent="0.3">
      <c r="A1320">
        <v>2512</v>
      </c>
      <c r="B1320" t="s">
        <v>146</v>
      </c>
      <c r="C1320">
        <v>51024672</v>
      </c>
      <c r="D1320">
        <v>88.985980914483918</v>
      </c>
      <c r="E1320" t="s">
        <v>92</v>
      </c>
      <c r="F1320">
        <v>153</v>
      </c>
      <c r="G1320" s="4">
        <v>46087.5937962963</v>
      </c>
    </row>
    <row r="1321" spans="1:7" x14ac:dyDescent="0.3">
      <c r="A1321">
        <v>2513</v>
      </c>
      <c r="B1321" t="s">
        <v>146</v>
      </c>
      <c r="C1321">
        <v>51021657</v>
      </c>
      <c r="D1321">
        <v>86.23920412359513</v>
      </c>
      <c r="E1321" t="s">
        <v>92</v>
      </c>
      <c r="F1321">
        <v>230</v>
      </c>
      <c r="G1321" s="4">
        <v>46087.5937962963</v>
      </c>
    </row>
    <row r="1322" spans="1:7" x14ac:dyDescent="0.3">
      <c r="A1322">
        <v>2514</v>
      </c>
      <c r="B1322" t="s">
        <v>146</v>
      </c>
      <c r="C1322">
        <v>51042263</v>
      </c>
      <c r="D1322">
        <v>74.256642144712501</v>
      </c>
      <c r="E1322" t="s">
        <v>93</v>
      </c>
      <c r="F1322">
        <v>498</v>
      </c>
      <c r="G1322" s="4">
        <v>46087.5937962963</v>
      </c>
    </row>
    <row r="1323" spans="1:7" x14ac:dyDescent="0.3">
      <c r="A1323">
        <v>2515</v>
      </c>
      <c r="B1323" t="s">
        <v>146</v>
      </c>
      <c r="C1323">
        <v>51055365</v>
      </c>
      <c r="D1323">
        <v>85.366650763735834</v>
      </c>
      <c r="E1323" t="s">
        <v>93</v>
      </c>
      <c r="F1323">
        <v>259</v>
      </c>
      <c r="G1323" s="4">
        <v>46087.5937962963</v>
      </c>
    </row>
    <row r="1324" spans="1:7" x14ac:dyDescent="0.3">
      <c r="A1324">
        <v>2516</v>
      </c>
      <c r="B1324" t="s">
        <v>146</v>
      </c>
      <c r="C1324">
        <v>51031385</v>
      </c>
      <c r="D1324">
        <v>82.417288402489731</v>
      </c>
      <c r="E1324" t="s">
        <v>93</v>
      </c>
      <c r="F1324">
        <v>350</v>
      </c>
      <c r="G1324" s="4">
        <v>46087.5937962963</v>
      </c>
    </row>
    <row r="1325" spans="1:7" x14ac:dyDescent="0.3">
      <c r="A1325">
        <v>2517</v>
      </c>
      <c r="B1325" t="s">
        <v>146</v>
      </c>
      <c r="C1325">
        <v>51041577</v>
      </c>
      <c r="D1325">
        <v>96.233923394793521</v>
      </c>
      <c r="E1325" t="s">
        <v>275</v>
      </c>
      <c r="F1325">
        <v>51</v>
      </c>
      <c r="G1325" s="4">
        <v>46087.5937962963</v>
      </c>
    </row>
    <row r="1326" spans="1:7" x14ac:dyDescent="0.3">
      <c r="A1326">
        <v>2518</v>
      </c>
      <c r="B1326" t="s">
        <v>146</v>
      </c>
      <c r="C1326">
        <v>51018877</v>
      </c>
      <c r="D1326">
        <v>17.308623006119564</v>
      </c>
      <c r="E1326" t="s">
        <v>95</v>
      </c>
      <c r="F1326">
        <v>1038</v>
      </c>
      <c r="G1326" s="4">
        <v>46087.5937962963</v>
      </c>
    </row>
    <row r="1327" spans="1:7" x14ac:dyDescent="0.3">
      <c r="A1327">
        <v>2519</v>
      </c>
      <c r="B1327" t="s">
        <v>146</v>
      </c>
      <c r="C1327">
        <v>51030303</v>
      </c>
      <c r="D1327">
        <v>33.183524589513638</v>
      </c>
      <c r="E1327" t="s">
        <v>94</v>
      </c>
      <c r="F1327">
        <v>875</v>
      </c>
      <c r="G1327" s="4">
        <v>46087.5937962963</v>
      </c>
    </row>
    <row r="1328" spans="1:7" x14ac:dyDescent="0.3">
      <c r="A1328">
        <v>2520</v>
      </c>
      <c r="B1328" t="s">
        <v>146</v>
      </c>
      <c r="C1328">
        <v>51030613</v>
      </c>
      <c r="D1328">
        <v>61.485116244087273</v>
      </c>
      <c r="E1328" t="s">
        <v>94</v>
      </c>
      <c r="F1328">
        <v>621</v>
      </c>
      <c r="G1328" s="4">
        <v>46087.5937962963</v>
      </c>
    </row>
    <row r="1329" spans="1:7" x14ac:dyDescent="0.3">
      <c r="A1329">
        <v>2521</v>
      </c>
      <c r="B1329" t="s">
        <v>146</v>
      </c>
      <c r="C1329">
        <v>51033761</v>
      </c>
      <c r="D1329">
        <v>54.000153255699438</v>
      </c>
      <c r="E1329" t="s">
        <v>94</v>
      </c>
      <c r="F1329">
        <v>745</v>
      </c>
      <c r="G1329" s="4">
        <v>46087.5937962963</v>
      </c>
    </row>
    <row r="1330" spans="1:7" x14ac:dyDescent="0.3">
      <c r="A1330">
        <v>2522</v>
      </c>
      <c r="B1330" t="s">
        <v>146</v>
      </c>
      <c r="C1330">
        <v>51023170</v>
      </c>
      <c r="D1330">
        <v>87.076004436492425</v>
      </c>
      <c r="E1330" t="s">
        <v>92</v>
      </c>
      <c r="F1330">
        <v>198</v>
      </c>
      <c r="G1330" s="4">
        <v>46087.5937962963</v>
      </c>
    </row>
    <row r="1331" spans="1:7" x14ac:dyDescent="0.3">
      <c r="A1331">
        <v>2523</v>
      </c>
      <c r="B1331" t="s">
        <v>146</v>
      </c>
      <c r="C1331">
        <v>51030079</v>
      </c>
      <c r="D1331">
        <v>75.084265446514593</v>
      </c>
      <c r="E1331" t="s">
        <v>93</v>
      </c>
      <c r="F1331">
        <v>491</v>
      </c>
      <c r="G1331" s="4">
        <v>46087.5937962963</v>
      </c>
    </row>
    <row r="1332" spans="1:7" x14ac:dyDescent="0.3">
      <c r="A1332">
        <v>2524</v>
      </c>
      <c r="B1332" t="s">
        <v>146</v>
      </c>
      <c r="C1332">
        <v>51034317</v>
      </c>
      <c r="D1332">
        <v>59.829220355924654</v>
      </c>
      <c r="E1332" t="s">
        <v>94</v>
      </c>
      <c r="F1332">
        <v>652</v>
      </c>
      <c r="G1332" s="4">
        <v>46087.5937962963</v>
      </c>
    </row>
    <row r="1333" spans="1:7" x14ac:dyDescent="0.3">
      <c r="A1333">
        <v>2525</v>
      </c>
      <c r="B1333" t="s">
        <v>146</v>
      </c>
      <c r="C1333">
        <v>51012666</v>
      </c>
      <c r="D1333">
        <v>80.238145369206521</v>
      </c>
      <c r="E1333" t="s">
        <v>93</v>
      </c>
      <c r="F1333">
        <v>414</v>
      </c>
      <c r="G1333" s="4">
        <v>46087.5937962963</v>
      </c>
    </row>
    <row r="1334" spans="1:7" x14ac:dyDescent="0.3">
      <c r="A1334">
        <v>2526</v>
      </c>
      <c r="B1334" t="s">
        <v>146</v>
      </c>
      <c r="C1334">
        <v>51036247</v>
      </c>
      <c r="D1334">
        <v>54.781562205754021</v>
      </c>
      <c r="E1334" t="s">
        <v>94</v>
      </c>
      <c r="F1334">
        <v>739</v>
      </c>
      <c r="G1334" s="4">
        <v>46087.5937962963</v>
      </c>
    </row>
    <row r="1335" spans="1:7" x14ac:dyDescent="0.3">
      <c r="A1335">
        <v>2527</v>
      </c>
      <c r="B1335" t="s">
        <v>146</v>
      </c>
      <c r="C1335">
        <v>51011325</v>
      </c>
      <c r="D1335">
        <v>26.149548848134931</v>
      </c>
      <c r="E1335" t="s">
        <v>94</v>
      </c>
      <c r="F1335">
        <v>940</v>
      </c>
      <c r="G1335" s="4">
        <v>46087.5937962963</v>
      </c>
    </row>
    <row r="1336" spans="1:7" x14ac:dyDescent="0.3">
      <c r="A1336">
        <v>2528</v>
      </c>
      <c r="B1336" t="s">
        <v>146</v>
      </c>
      <c r="C1336">
        <v>51004469</v>
      </c>
      <c r="D1336">
        <v>54.454081664641699</v>
      </c>
      <c r="E1336" t="s">
        <v>94</v>
      </c>
      <c r="F1336">
        <v>741</v>
      </c>
      <c r="G1336" s="4">
        <v>46087.5937962963</v>
      </c>
    </row>
    <row r="1337" spans="1:7" x14ac:dyDescent="0.3">
      <c r="A1337">
        <v>2529</v>
      </c>
      <c r="B1337" t="s">
        <v>146</v>
      </c>
      <c r="C1337">
        <v>51020251</v>
      </c>
      <c r="D1337">
        <v>86.855595225955469</v>
      </c>
      <c r="E1337" t="s">
        <v>92</v>
      </c>
      <c r="F1337">
        <v>203</v>
      </c>
      <c r="G1337" s="4">
        <v>46087.5937962963</v>
      </c>
    </row>
    <row r="1338" spans="1:7" x14ac:dyDescent="0.3">
      <c r="A1338">
        <v>2530</v>
      </c>
      <c r="B1338" t="s">
        <v>146</v>
      </c>
      <c r="C1338">
        <v>51016793</v>
      </c>
      <c r="D1338">
        <v>35.970000000000006</v>
      </c>
      <c r="E1338" t="s">
        <v>94</v>
      </c>
      <c r="F1338">
        <v>863</v>
      </c>
      <c r="G1338" s="4">
        <v>46087.5937962963</v>
      </c>
    </row>
    <row r="1339" spans="1:7" x14ac:dyDescent="0.3">
      <c r="A1339">
        <v>2531</v>
      </c>
      <c r="B1339" t="s">
        <v>146</v>
      </c>
      <c r="C1339">
        <v>51015401</v>
      </c>
      <c r="D1339">
        <v>97.490320025548101</v>
      </c>
      <c r="E1339" t="s">
        <v>275</v>
      </c>
      <c r="F1339">
        <v>36</v>
      </c>
      <c r="G1339" s="4">
        <v>46087.5937962963</v>
      </c>
    </row>
    <row r="1340" spans="1:7" x14ac:dyDescent="0.3">
      <c r="A1340">
        <v>2532</v>
      </c>
      <c r="B1340" t="s">
        <v>146</v>
      </c>
      <c r="C1340">
        <v>51056281</v>
      </c>
      <c r="D1340">
        <v>82.904247032598818</v>
      </c>
      <c r="E1340" t="s">
        <v>93</v>
      </c>
      <c r="F1340">
        <v>334</v>
      </c>
      <c r="G1340" s="4">
        <v>46087.5937962963</v>
      </c>
    </row>
    <row r="1341" spans="1:7" x14ac:dyDescent="0.3">
      <c r="A1341">
        <v>2533</v>
      </c>
      <c r="B1341" t="s">
        <v>146</v>
      </c>
      <c r="C1341">
        <v>51055012</v>
      </c>
      <c r="D1341">
        <v>58.380579229814963</v>
      </c>
      <c r="E1341" t="s">
        <v>94</v>
      </c>
      <c r="F1341">
        <v>675</v>
      </c>
      <c r="G1341" s="4">
        <v>46087.5937962963</v>
      </c>
    </row>
    <row r="1342" spans="1:7" x14ac:dyDescent="0.3">
      <c r="A1342">
        <v>2534</v>
      </c>
      <c r="B1342" t="s">
        <v>146</v>
      </c>
      <c r="C1342">
        <v>51006615</v>
      </c>
      <c r="D1342">
        <v>82.257551173698317</v>
      </c>
      <c r="E1342" t="s">
        <v>93</v>
      </c>
      <c r="F1342">
        <v>359</v>
      </c>
      <c r="G1342" s="4">
        <v>46087.5937962963</v>
      </c>
    </row>
    <row r="1343" spans="1:7" x14ac:dyDescent="0.3">
      <c r="A1343">
        <v>2535</v>
      </c>
      <c r="B1343" t="s">
        <v>146</v>
      </c>
      <c r="C1343">
        <v>51011724</v>
      </c>
      <c r="D1343">
        <v>88.275093232261696</v>
      </c>
      <c r="E1343" t="s">
        <v>92</v>
      </c>
      <c r="F1343">
        <v>171</v>
      </c>
      <c r="G1343" s="4">
        <v>46087.5937962963</v>
      </c>
    </row>
    <row r="1344" spans="1:7" x14ac:dyDescent="0.3">
      <c r="A1344">
        <v>2536</v>
      </c>
      <c r="B1344" t="s">
        <v>146</v>
      </c>
      <c r="C1344">
        <v>51010469</v>
      </c>
      <c r="D1344">
        <v>60.406393974959663</v>
      </c>
      <c r="E1344" t="s">
        <v>94</v>
      </c>
      <c r="F1344">
        <v>644</v>
      </c>
      <c r="G1344" s="4">
        <v>46087.5937962963</v>
      </c>
    </row>
    <row r="1345" spans="1:7" x14ac:dyDescent="0.3">
      <c r="A1345">
        <v>2537</v>
      </c>
      <c r="B1345" t="s">
        <v>146</v>
      </c>
      <c r="C1345">
        <v>51056191</v>
      </c>
      <c r="D1345">
        <v>73.840757728891973</v>
      </c>
      <c r="E1345" t="s">
        <v>93</v>
      </c>
      <c r="F1345">
        <v>502</v>
      </c>
      <c r="G1345" s="4">
        <v>46087.5937962963</v>
      </c>
    </row>
    <row r="1346" spans="1:7" x14ac:dyDescent="0.3">
      <c r="A1346">
        <v>2538</v>
      </c>
      <c r="B1346" t="s">
        <v>146</v>
      </c>
      <c r="C1346">
        <v>51023781</v>
      </c>
      <c r="D1346">
        <v>90.509440318563065</v>
      </c>
      <c r="E1346" t="s">
        <v>92</v>
      </c>
      <c r="F1346">
        <v>122</v>
      </c>
      <c r="G1346" s="4">
        <v>46087.5937962963</v>
      </c>
    </row>
    <row r="1347" spans="1:7" x14ac:dyDescent="0.3">
      <c r="A1347">
        <v>2539</v>
      </c>
      <c r="B1347" t="s">
        <v>146</v>
      </c>
      <c r="C1347">
        <v>51056221</v>
      </c>
      <c r="D1347">
        <v>71.944068312114723</v>
      </c>
      <c r="E1347" t="s">
        <v>93</v>
      </c>
      <c r="F1347">
        <v>522</v>
      </c>
      <c r="G1347" s="4">
        <v>46087.5937962963</v>
      </c>
    </row>
    <row r="1348" spans="1:7" x14ac:dyDescent="0.3">
      <c r="A1348">
        <v>2540</v>
      </c>
      <c r="B1348" t="s">
        <v>146</v>
      </c>
      <c r="C1348">
        <v>51018443</v>
      </c>
      <c r="D1348">
        <v>82.945229182708459</v>
      </c>
      <c r="E1348" t="s">
        <v>93</v>
      </c>
      <c r="F1348">
        <v>332</v>
      </c>
      <c r="G1348" s="4">
        <v>46087.5937962963</v>
      </c>
    </row>
    <row r="1349" spans="1:7" x14ac:dyDescent="0.3">
      <c r="A1349">
        <v>2541</v>
      </c>
      <c r="B1349" t="s">
        <v>146</v>
      </c>
      <c r="C1349">
        <v>51023757</v>
      </c>
      <c r="D1349">
        <v>100</v>
      </c>
      <c r="E1349" t="s">
        <v>275</v>
      </c>
      <c r="F1349">
        <v>1</v>
      </c>
      <c r="G1349" s="4">
        <v>46087.5937962963</v>
      </c>
    </row>
    <row r="1350" spans="1:7" x14ac:dyDescent="0.3">
      <c r="A1350">
        <v>2542</v>
      </c>
      <c r="B1350" t="s">
        <v>146</v>
      </c>
      <c r="C1350">
        <v>51055357</v>
      </c>
      <c r="D1350">
        <v>91.574725859329547</v>
      </c>
      <c r="E1350" t="s">
        <v>92</v>
      </c>
      <c r="F1350">
        <v>109</v>
      </c>
      <c r="G1350" s="4">
        <v>46087.5937962963</v>
      </c>
    </row>
    <row r="1351" spans="1:7" x14ac:dyDescent="0.3">
      <c r="A1351">
        <v>2543</v>
      </c>
      <c r="B1351" t="s">
        <v>146</v>
      </c>
      <c r="C1351">
        <v>51021576</v>
      </c>
      <c r="D1351">
        <v>88.838743252837958</v>
      </c>
      <c r="E1351" t="s">
        <v>92</v>
      </c>
      <c r="F1351">
        <v>156</v>
      </c>
      <c r="G1351" s="4">
        <v>46087.5937962963</v>
      </c>
    </row>
    <row r="1352" spans="1:7" x14ac:dyDescent="0.3">
      <c r="A1352">
        <v>2544</v>
      </c>
      <c r="B1352" t="s">
        <v>146</v>
      </c>
      <c r="C1352">
        <v>51018591</v>
      </c>
      <c r="D1352">
        <v>73.546779968655514</v>
      </c>
      <c r="E1352" t="s">
        <v>93</v>
      </c>
      <c r="F1352">
        <v>505</v>
      </c>
      <c r="G1352" s="4">
        <v>46087.5937962963</v>
      </c>
    </row>
    <row r="1353" spans="1:7" x14ac:dyDescent="0.3">
      <c r="A1353">
        <v>2545</v>
      </c>
      <c r="B1353" t="s">
        <v>146</v>
      </c>
      <c r="C1353">
        <v>51023471</v>
      </c>
      <c r="D1353">
        <v>86.768898347134879</v>
      </c>
      <c r="E1353" t="s">
        <v>92</v>
      </c>
      <c r="F1353">
        <v>207</v>
      </c>
      <c r="G1353" s="4">
        <v>46087.5937962963</v>
      </c>
    </row>
    <row r="1354" spans="1:7" x14ac:dyDescent="0.3">
      <c r="A1354">
        <v>2546</v>
      </c>
      <c r="B1354" t="s">
        <v>146</v>
      </c>
      <c r="C1354">
        <v>51031393</v>
      </c>
      <c r="D1354">
        <v>100</v>
      </c>
      <c r="E1354" t="s">
        <v>275</v>
      </c>
      <c r="F1354">
        <v>1</v>
      </c>
      <c r="G1354" s="4">
        <v>46087.5937962963</v>
      </c>
    </row>
    <row r="1355" spans="1:7" x14ac:dyDescent="0.3">
      <c r="A1355">
        <v>2547</v>
      </c>
      <c r="B1355" t="s">
        <v>146</v>
      </c>
      <c r="C1355">
        <v>51025971</v>
      </c>
      <c r="D1355">
        <v>83.162195749978224</v>
      </c>
      <c r="E1355" t="s">
        <v>93</v>
      </c>
      <c r="F1355">
        <v>325</v>
      </c>
      <c r="G1355" s="4">
        <v>46087.5937962963</v>
      </c>
    </row>
    <row r="1356" spans="1:7" x14ac:dyDescent="0.3">
      <c r="A1356">
        <v>2548</v>
      </c>
      <c r="B1356" t="s">
        <v>146</v>
      </c>
      <c r="C1356">
        <v>51020880</v>
      </c>
      <c r="D1356">
        <v>100</v>
      </c>
      <c r="E1356" t="s">
        <v>275</v>
      </c>
      <c r="F1356">
        <v>1</v>
      </c>
      <c r="G1356" s="4">
        <v>46087.5937962963</v>
      </c>
    </row>
    <row r="1357" spans="1:7" x14ac:dyDescent="0.3">
      <c r="A1357">
        <v>2549</v>
      </c>
      <c r="B1357" t="s">
        <v>146</v>
      </c>
      <c r="C1357">
        <v>51023056</v>
      </c>
      <c r="D1357">
        <v>83.434542770708759</v>
      </c>
      <c r="E1357" t="s">
        <v>93</v>
      </c>
      <c r="F1357">
        <v>309</v>
      </c>
      <c r="G1357" s="4">
        <v>46087.5937962963</v>
      </c>
    </row>
    <row r="1358" spans="1:7" x14ac:dyDescent="0.3">
      <c r="A1358">
        <v>2550</v>
      </c>
      <c r="B1358" t="s">
        <v>146</v>
      </c>
      <c r="C1358">
        <v>51022688</v>
      </c>
      <c r="D1358">
        <v>87.854749241143793</v>
      </c>
      <c r="E1358" t="s">
        <v>92</v>
      </c>
      <c r="F1358">
        <v>181</v>
      </c>
      <c r="G1358" s="4">
        <v>46087.5937962963</v>
      </c>
    </row>
    <row r="1359" spans="1:7" x14ac:dyDescent="0.3">
      <c r="A1359">
        <v>2551</v>
      </c>
      <c r="B1359" t="s">
        <v>146</v>
      </c>
      <c r="C1359">
        <v>51012747</v>
      </c>
      <c r="D1359">
        <v>46.786810824399318</v>
      </c>
      <c r="E1359" t="s">
        <v>94</v>
      </c>
      <c r="F1359">
        <v>809</v>
      </c>
      <c r="G1359" s="4">
        <v>46087.5937962963</v>
      </c>
    </row>
    <row r="1360" spans="1:7" x14ac:dyDescent="0.3">
      <c r="A1360">
        <v>2552</v>
      </c>
      <c r="B1360" t="s">
        <v>146</v>
      </c>
      <c r="C1360">
        <v>51032900</v>
      </c>
      <c r="D1360">
        <v>74.0678406418007</v>
      </c>
      <c r="E1360" t="s">
        <v>93</v>
      </c>
      <c r="F1360">
        <v>500</v>
      </c>
      <c r="G1360" s="4">
        <v>46087.5937962963</v>
      </c>
    </row>
    <row r="1361" spans="1:7" x14ac:dyDescent="0.3">
      <c r="A1361">
        <v>2553</v>
      </c>
      <c r="B1361" t="s">
        <v>146</v>
      </c>
      <c r="C1361">
        <v>51056434</v>
      </c>
      <c r="D1361">
        <v>79.366902962493</v>
      </c>
      <c r="E1361" t="s">
        <v>93</v>
      </c>
      <c r="F1361">
        <v>431</v>
      </c>
      <c r="G1361" s="4">
        <v>46087.5937962963</v>
      </c>
    </row>
    <row r="1362" spans="1:7" x14ac:dyDescent="0.3">
      <c r="A1362">
        <v>2554</v>
      </c>
      <c r="B1362" t="s">
        <v>146</v>
      </c>
      <c r="C1362">
        <v>51019261</v>
      </c>
      <c r="D1362">
        <v>31.696691286639588</v>
      </c>
      <c r="E1362" t="s">
        <v>94</v>
      </c>
      <c r="F1362">
        <v>892</v>
      </c>
      <c r="G1362" s="4">
        <v>46087.5937962963</v>
      </c>
    </row>
    <row r="1363" spans="1:7" x14ac:dyDescent="0.3">
      <c r="A1363">
        <v>2555</v>
      </c>
      <c r="B1363" t="s">
        <v>146</v>
      </c>
      <c r="C1363">
        <v>51018486</v>
      </c>
      <c r="D1363">
        <v>60.993331330814001</v>
      </c>
      <c r="E1363" t="s">
        <v>94</v>
      </c>
      <c r="F1363">
        <v>632</v>
      </c>
      <c r="G1363" s="4">
        <v>46087.5937962963</v>
      </c>
    </row>
    <row r="1364" spans="1:7" x14ac:dyDescent="0.3">
      <c r="A1364">
        <v>2556</v>
      </c>
      <c r="B1364" t="s">
        <v>146</v>
      </c>
      <c r="C1364">
        <v>51005732</v>
      </c>
      <c r="D1364">
        <v>76.480925946031064</v>
      </c>
      <c r="E1364" t="s">
        <v>93</v>
      </c>
      <c r="F1364">
        <v>475</v>
      </c>
      <c r="G1364" s="4">
        <v>46087.5937962963</v>
      </c>
    </row>
    <row r="1365" spans="1:7" x14ac:dyDescent="0.3">
      <c r="A1365">
        <v>2557</v>
      </c>
      <c r="B1365" t="s">
        <v>146</v>
      </c>
      <c r="C1365">
        <v>51039785</v>
      </c>
      <c r="D1365">
        <v>58.111487514486384</v>
      </c>
      <c r="E1365" t="s">
        <v>94</v>
      </c>
      <c r="F1365">
        <v>685</v>
      </c>
      <c r="G1365" s="4">
        <v>46087.5937962963</v>
      </c>
    </row>
    <row r="1366" spans="1:7" x14ac:dyDescent="0.3">
      <c r="A1366">
        <v>2558</v>
      </c>
      <c r="B1366" t="s">
        <v>146</v>
      </c>
      <c r="C1366">
        <v>51025865</v>
      </c>
      <c r="D1366">
        <v>90.053289222602828</v>
      </c>
      <c r="E1366" t="s">
        <v>92</v>
      </c>
      <c r="F1366">
        <v>130</v>
      </c>
      <c r="G1366" s="4">
        <v>46087.5937962963</v>
      </c>
    </row>
    <row r="1367" spans="1:7" x14ac:dyDescent="0.3">
      <c r="A1367">
        <v>2559</v>
      </c>
      <c r="B1367" t="s">
        <v>146</v>
      </c>
      <c r="C1367">
        <v>51015657</v>
      </c>
      <c r="D1367">
        <v>95.232181347493793</v>
      </c>
      <c r="E1367" t="s">
        <v>92</v>
      </c>
      <c r="F1367">
        <v>62</v>
      </c>
      <c r="G1367" s="4">
        <v>46087.5937962963</v>
      </c>
    </row>
    <row r="1368" spans="1:7" x14ac:dyDescent="0.3">
      <c r="A1368">
        <v>2560</v>
      </c>
      <c r="B1368" t="s">
        <v>146</v>
      </c>
      <c r="C1368">
        <v>51001168</v>
      </c>
      <c r="D1368">
        <v>85.891932276947614</v>
      </c>
      <c r="E1368" t="s">
        <v>93</v>
      </c>
      <c r="F1368">
        <v>240</v>
      </c>
      <c r="G1368" s="4">
        <v>46087.5937962963</v>
      </c>
    </row>
    <row r="1369" spans="1:7" x14ac:dyDescent="0.3">
      <c r="A1369">
        <v>2561</v>
      </c>
      <c r="B1369" t="s">
        <v>146</v>
      </c>
      <c r="C1369">
        <v>51021380</v>
      </c>
      <c r="D1369">
        <v>80.848569191707014</v>
      </c>
      <c r="E1369" t="s">
        <v>93</v>
      </c>
      <c r="F1369">
        <v>396</v>
      </c>
      <c r="G1369" s="4">
        <v>46087.5937962963</v>
      </c>
    </row>
    <row r="1370" spans="1:7" x14ac:dyDescent="0.3">
      <c r="A1370">
        <v>2562</v>
      </c>
      <c r="B1370" t="s">
        <v>146</v>
      </c>
      <c r="C1370">
        <v>51011970</v>
      </c>
      <c r="D1370">
        <v>88.290341598155393</v>
      </c>
      <c r="E1370" t="s">
        <v>92</v>
      </c>
      <c r="F1370">
        <v>170</v>
      </c>
      <c r="G1370" s="4">
        <v>46087.5937962963</v>
      </c>
    </row>
    <row r="1371" spans="1:7" x14ac:dyDescent="0.3">
      <c r="A1371">
        <v>2563</v>
      </c>
      <c r="B1371" t="s">
        <v>146</v>
      </c>
      <c r="C1371">
        <v>51036697</v>
      </c>
      <c r="D1371">
        <v>78.731570050147951</v>
      </c>
      <c r="E1371" t="s">
        <v>93</v>
      </c>
      <c r="F1371">
        <v>439</v>
      </c>
      <c r="G1371" s="4">
        <v>46087.5937962963</v>
      </c>
    </row>
    <row r="1372" spans="1:7" x14ac:dyDescent="0.3">
      <c r="A1372">
        <v>2564</v>
      </c>
      <c r="B1372" t="s">
        <v>146</v>
      </c>
      <c r="C1372">
        <v>51009061</v>
      </c>
      <c r="D1372">
        <v>62.697920463342548</v>
      </c>
      <c r="E1372" t="s">
        <v>93</v>
      </c>
      <c r="F1372">
        <v>596</v>
      </c>
      <c r="G1372" s="4">
        <v>46087.5937962963</v>
      </c>
    </row>
    <row r="1373" spans="1:7" x14ac:dyDescent="0.3">
      <c r="A1373">
        <v>2565</v>
      </c>
      <c r="B1373" t="s">
        <v>146</v>
      </c>
      <c r="C1373">
        <v>51013824</v>
      </c>
      <c r="D1373">
        <v>88.269541798003686</v>
      </c>
      <c r="E1373" t="s">
        <v>92</v>
      </c>
      <c r="F1373">
        <v>172</v>
      </c>
      <c r="G1373" s="4">
        <v>46087.5937962963</v>
      </c>
    </row>
    <row r="1374" spans="1:7" x14ac:dyDescent="0.3">
      <c r="A1374">
        <v>2566</v>
      </c>
      <c r="B1374" t="s">
        <v>146</v>
      </c>
      <c r="C1374">
        <v>51009240</v>
      </c>
      <c r="D1374">
        <v>67.96746410942869</v>
      </c>
      <c r="E1374" t="s">
        <v>93</v>
      </c>
      <c r="F1374">
        <v>556</v>
      </c>
      <c r="G1374" s="4">
        <v>46087.5937962963</v>
      </c>
    </row>
    <row r="1375" spans="1:7" x14ac:dyDescent="0.3">
      <c r="A1375">
        <v>2567</v>
      </c>
      <c r="B1375" t="s">
        <v>146</v>
      </c>
      <c r="C1375">
        <v>51001061</v>
      </c>
      <c r="D1375">
        <v>57.556948430780835</v>
      </c>
      <c r="E1375" t="s">
        <v>94</v>
      </c>
      <c r="F1375">
        <v>698</v>
      </c>
      <c r="G1375" s="4">
        <v>46087.5937962963</v>
      </c>
    </row>
    <row r="1376" spans="1:7" x14ac:dyDescent="0.3">
      <c r="A1376">
        <v>2568</v>
      </c>
      <c r="B1376" t="s">
        <v>146</v>
      </c>
      <c r="C1376">
        <v>51018621</v>
      </c>
      <c r="D1376">
        <v>50.470209125424404</v>
      </c>
      <c r="E1376" t="s">
        <v>94</v>
      </c>
      <c r="F1376">
        <v>768</v>
      </c>
      <c r="G1376" s="4">
        <v>46087.5937962963</v>
      </c>
    </row>
    <row r="1377" spans="1:7" x14ac:dyDescent="0.3">
      <c r="A1377">
        <v>2569</v>
      </c>
      <c r="B1377" t="s">
        <v>146</v>
      </c>
      <c r="C1377">
        <v>51011031</v>
      </c>
      <c r="D1377">
        <v>88.481775063915578</v>
      </c>
      <c r="E1377" t="s">
        <v>92</v>
      </c>
      <c r="F1377">
        <v>164</v>
      </c>
      <c r="G1377" s="4">
        <v>46087.5937962963</v>
      </c>
    </row>
    <row r="1378" spans="1:7" x14ac:dyDescent="0.3">
      <c r="A1378">
        <v>2570</v>
      </c>
      <c r="B1378" t="s">
        <v>146</v>
      </c>
      <c r="C1378">
        <v>51013239</v>
      </c>
      <c r="D1378">
        <v>73.239710790117016</v>
      </c>
      <c r="E1378" t="s">
        <v>93</v>
      </c>
      <c r="F1378">
        <v>508</v>
      </c>
      <c r="G1378" s="4">
        <v>46087.5937962963</v>
      </c>
    </row>
    <row r="1379" spans="1:7" x14ac:dyDescent="0.3">
      <c r="A1379">
        <v>2571</v>
      </c>
      <c r="B1379" t="s">
        <v>146</v>
      </c>
      <c r="C1379">
        <v>51030281</v>
      </c>
      <c r="D1379">
        <v>60.836704792048288</v>
      </c>
      <c r="E1379" t="s">
        <v>94</v>
      </c>
      <c r="F1379">
        <v>636</v>
      </c>
      <c r="G1379" s="4">
        <v>46087.5937962963</v>
      </c>
    </row>
    <row r="1380" spans="1:7" x14ac:dyDescent="0.3">
      <c r="A1380">
        <v>2572</v>
      </c>
      <c r="B1380" t="s">
        <v>146</v>
      </c>
      <c r="C1380">
        <v>51055829</v>
      </c>
      <c r="D1380">
        <v>58.257832949251814</v>
      </c>
      <c r="E1380" t="s">
        <v>94</v>
      </c>
      <c r="F1380">
        <v>680</v>
      </c>
      <c r="G1380" s="4">
        <v>46087.5937962963</v>
      </c>
    </row>
    <row r="1381" spans="1:7" x14ac:dyDescent="0.3">
      <c r="A1381">
        <v>2573</v>
      </c>
      <c r="B1381" t="s">
        <v>146</v>
      </c>
      <c r="C1381">
        <v>51023919</v>
      </c>
      <c r="D1381">
        <v>75.198898674659688</v>
      </c>
      <c r="E1381" t="s">
        <v>93</v>
      </c>
      <c r="F1381">
        <v>490</v>
      </c>
      <c r="G1381" s="4">
        <v>46087.5937962963</v>
      </c>
    </row>
    <row r="1382" spans="1:7" x14ac:dyDescent="0.3">
      <c r="A1382">
        <v>2574</v>
      </c>
      <c r="B1382" t="s">
        <v>146</v>
      </c>
      <c r="C1382">
        <v>51031610</v>
      </c>
      <c r="D1382">
        <v>89.866415065926574</v>
      </c>
      <c r="E1382" t="s">
        <v>92</v>
      </c>
      <c r="F1382">
        <v>131</v>
      </c>
      <c r="G1382" s="4">
        <v>46087.5937962963</v>
      </c>
    </row>
    <row r="1383" spans="1:7" x14ac:dyDescent="0.3">
      <c r="A1383">
        <v>2575</v>
      </c>
      <c r="B1383" t="s">
        <v>146</v>
      </c>
      <c r="C1383">
        <v>51024141</v>
      </c>
      <c r="D1383">
        <v>100</v>
      </c>
      <c r="E1383" t="s">
        <v>275</v>
      </c>
      <c r="F1383">
        <v>1</v>
      </c>
      <c r="G1383" s="4">
        <v>46087.5937962963</v>
      </c>
    </row>
    <row r="1384" spans="1:7" x14ac:dyDescent="0.3">
      <c r="A1384">
        <v>2576</v>
      </c>
      <c r="B1384" t="s">
        <v>146</v>
      </c>
      <c r="C1384">
        <v>51023137</v>
      </c>
      <c r="D1384">
        <v>100</v>
      </c>
      <c r="E1384" t="s">
        <v>275</v>
      </c>
      <c r="F1384">
        <v>1</v>
      </c>
      <c r="G1384" s="4">
        <v>46087.5937962963</v>
      </c>
    </row>
    <row r="1385" spans="1:7" x14ac:dyDescent="0.3">
      <c r="A1385">
        <v>2577</v>
      </c>
      <c r="B1385" t="s">
        <v>146</v>
      </c>
      <c r="C1385">
        <v>51026578</v>
      </c>
      <c r="D1385">
        <v>62.376379078097109</v>
      </c>
      <c r="E1385" t="s">
        <v>94</v>
      </c>
      <c r="F1385">
        <v>603</v>
      </c>
      <c r="G1385" s="4">
        <v>46087.5937962963</v>
      </c>
    </row>
    <row r="1386" spans="1:7" x14ac:dyDescent="0.3">
      <c r="A1386">
        <v>2578</v>
      </c>
      <c r="B1386" t="s">
        <v>146</v>
      </c>
      <c r="C1386">
        <v>51017986</v>
      </c>
      <c r="D1386">
        <v>91.800285102574378</v>
      </c>
      <c r="E1386" t="s">
        <v>92</v>
      </c>
      <c r="F1386">
        <v>102</v>
      </c>
      <c r="G1386" s="4">
        <v>46087.5937962963</v>
      </c>
    </row>
    <row r="1387" spans="1:7" x14ac:dyDescent="0.3">
      <c r="A1387">
        <v>2579</v>
      </c>
      <c r="B1387" t="s">
        <v>146</v>
      </c>
      <c r="C1387">
        <v>51055373</v>
      </c>
      <c r="D1387">
        <v>82.272284270243674</v>
      </c>
      <c r="E1387" t="s">
        <v>93</v>
      </c>
      <c r="F1387">
        <v>358</v>
      </c>
      <c r="G1387" s="4">
        <v>46087.5937962963</v>
      </c>
    </row>
    <row r="1388" spans="1:7" x14ac:dyDescent="0.3">
      <c r="A1388">
        <v>2580</v>
      </c>
      <c r="B1388" t="s">
        <v>146</v>
      </c>
      <c r="C1388">
        <v>51013794</v>
      </c>
      <c r="D1388">
        <v>42.110533754800528</v>
      </c>
      <c r="E1388" t="s">
        <v>94</v>
      </c>
      <c r="F1388">
        <v>838</v>
      </c>
      <c r="G1388" s="4">
        <v>46087.5937962963</v>
      </c>
    </row>
    <row r="1389" spans="1:7" x14ac:dyDescent="0.3">
      <c r="A1389">
        <v>2581</v>
      </c>
      <c r="B1389" t="s">
        <v>146</v>
      </c>
      <c r="C1389">
        <v>51033141</v>
      </c>
      <c r="D1389">
        <v>32.055660250267884</v>
      </c>
      <c r="E1389" t="s">
        <v>94</v>
      </c>
      <c r="F1389">
        <v>888</v>
      </c>
      <c r="G1389" s="4">
        <v>46087.5937962963</v>
      </c>
    </row>
    <row r="1390" spans="1:7" x14ac:dyDescent="0.3">
      <c r="A1390">
        <v>2582</v>
      </c>
      <c r="B1390" t="s">
        <v>146</v>
      </c>
      <c r="C1390">
        <v>51056612</v>
      </c>
      <c r="D1390">
        <v>52.363121670409548</v>
      </c>
      <c r="E1390" t="s">
        <v>94</v>
      </c>
      <c r="F1390">
        <v>755</v>
      </c>
      <c r="G1390" s="4">
        <v>46087.5937962963</v>
      </c>
    </row>
    <row r="1391" spans="1:7" x14ac:dyDescent="0.3">
      <c r="A1391">
        <v>2583</v>
      </c>
      <c r="B1391" t="s">
        <v>146</v>
      </c>
      <c r="C1391">
        <v>51032071</v>
      </c>
      <c r="D1391">
        <v>89.449976211488419</v>
      </c>
      <c r="E1391" t="s">
        <v>92</v>
      </c>
      <c r="F1391">
        <v>143</v>
      </c>
      <c r="G1391" s="4">
        <v>46087.5937962963</v>
      </c>
    </row>
    <row r="1392" spans="1:7" x14ac:dyDescent="0.3">
      <c r="A1392">
        <v>2584</v>
      </c>
      <c r="B1392" t="s">
        <v>146</v>
      </c>
      <c r="C1392">
        <v>51031121</v>
      </c>
      <c r="D1392">
        <v>93.303324997734151</v>
      </c>
      <c r="E1392" t="s">
        <v>92</v>
      </c>
      <c r="F1392">
        <v>84</v>
      </c>
      <c r="G1392" s="4">
        <v>46087.5937962963</v>
      </c>
    </row>
    <row r="1393" spans="1:7" x14ac:dyDescent="0.3">
      <c r="A1393">
        <v>2585</v>
      </c>
      <c r="B1393" t="s">
        <v>146</v>
      </c>
      <c r="C1393">
        <v>51056981</v>
      </c>
      <c r="D1393">
        <v>63.172020648823946</v>
      </c>
      <c r="E1393" t="s">
        <v>93</v>
      </c>
      <c r="F1393">
        <v>587</v>
      </c>
      <c r="G1393" s="4">
        <v>46087.5937962963</v>
      </c>
    </row>
    <row r="1394" spans="1:7" x14ac:dyDescent="0.3">
      <c r="A1394">
        <v>2586</v>
      </c>
      <c r="B1394" t="s">
        <v>146</v>
      </c>
      <c r="C1394">
        <v>51022424</v>
      </c>
      <c r="D1394">
        <v>67.762299934737229</v>
      </c>
      <c r="E1394" t="s">
        <v>93</v>
      </c>
      <c r="F1394">
        <v>557</v>
      </c>
      <c r="G1394" s="4">
        <v>46087.5937962963</v>
      </c>
    </row>
    <row r="1395" spans="1:7" x14ac:dyDescent="0.3">
      <c r="A1395">
        <v>2587</v>
      </c>
      <c r="B1395" t="s">
        <v>146</v>
      </c>
      <c r="C1395">
        <v>51025920</v>
      </c>
      <c r="D1395">
        <v>60.907061932624003</v>
      </c>
      <c r="E1395" t="s">
        <v>94</v>
      </c>
      <c r="F1395">
        <v>635</v>
      </c>
      <c r="G1395" s="4">
        <v>46087.5937962963</v>
      </c>
    </row>
    <row r="1396" spans="1:7" x14ac:dyDescent="0.3">
      <c r="A1396">
        <v>2588</v>
      </c>
      <c r="B1396" t="s">
        <v>146</v>
      </c>
      <c r="C1396">
        <v>51056388</v>
      </c>
      <c r="D1396">
        <v>82.203192607382107</v>
      </c>
      <c r="E1396" t="s">
        <v>93</v>
      </c>
      <c r="F1396">
        <v>361</v>
      </c>
      <c r="G1396" s="4">
        <v>46087.5937962963</v>
      </c>
    </row>
    <row r="1397" spans="1:7" x14ac:dyDescent="0.3">
      <c r="A1397">
        <v>2589</v>
      </c>
      <c r="B1397" t="s">
        <v>146</v>
      </c>
      <c r="C1397">
        <v>51033485</v>
      </c>
      <c r="D1397">
        <v>59.489693942166348</v>
      </c>
      <c r="E1397" t="s">
        <v>94</v>
      </c>
      <c r="F1397">
        <v>658</v>
      </c>
      <c r="G1397" s="4">
        <v>46087.5937962963</v>
      </c>
    </row>
    <row r="1398" spans="1:7" x14ac:dyDescent="0.3">
      <c r="A1398">
        <v>2590</v>
      </c>
      <c r="B1398" t="s">
        <v>146</v>
      </c>
      <c r="C1398">
        <v>51041615</v>
      </c>
      <c r="D1398">
        <v>59.905077792823768</v>
      </c>
      <c r="E1398" t="s">
        <v>94</v>
      </c>
      <c r="F1398">
        <v>649</v>
      </c>
      <c r="G1398" s="4">
        <v>46087.5937962963</v>
      </c>
    </row>
    <row r="1399" spans="1:7" x14ac:dyDescent="0.3">
      <c r="A1399">
        <v>2591</v>
      </c>
      <c r="B1399" t="s">
        <v>146</v>
      </c>
      <c r="C1399">
        <v>51017641</v>
      </c>
      <c r="D1399">
        <v>87.706171710033047</v>
      </c>
      <c r="E1399" t="s">
        <v>92</v>
      </c>
      <c r="F1399">
        <v>190</v>
      </c>
      <c r="G1399" s="4">
        <v>46087.5937962963</v>
      </c>
    </row>
    <row r="1400" spans="1:7" x14ac:dyDescent="0.3">
      <c r="A1400">
        <v>2592</v>
      </c>
      <c r="B1400" t="s">
        <v>146</v>
      </c>
      <c r="C1400">
        <v>51005741</v>
      </c>
      <c r="D1400">
        <v>80.545819714039169</v>
      </c>
      <c r="E1400" t="s">
        <v>93</v>
      </c>
      <c r="F1400">
        <v>404</v>
      </c>
      <c r="G1400" s="4">
        <v>46087.5937962963</v>
      </c>
    </row>
    <row r="1401" spans="1:7" x14ac:dyDescent="0.3">
      <c r="A1401">
        <v>2593</v>
      </c>
      <c r="B1401" t="s">
        <v>146</v>
      </c>
      <c r="C1401">
        <v>51011996</v>
      </c>
      <c r="D1401">
        <v>93.24061873908768</v>
      </c>
      <c r="E1401" t="s">
        <v>92</v>
      </c>
      <c r="F1401">
        <v>85</v>
      </c>
      <c r="G1401" s="4">
        <v>46087.5937962963</v>
      </c>
    </row>
    <row r="1402" spans="1:7" x14ac:dyDescent="0.3">
      <c r="A1402">
        <v>2594</v>
      </c>
      <c r="B1402" t="s">
        <v>146</v>
      </c>
      <c r="C1402">
        <v>51025440</v>
      </c>
      <c r="D1402">
        <v>89.76075700571019</v>
      </c>
      <c r="E1402" t="s">
        <v>92</v>
      </c>
      <c r="F1402">
        <v>134</v>
      </c>
      <c r="G1402" s="4">
        <v>46087.5937962963</v>
      </c>
    </row>
    <row r="1403" spans="1:7" x14ac:dyDescent="0.3">
      <c r="A1403">
        <v>2595</v>
      </c>
      <c r="B1403" t="s">
        <v>146</v>
      </c>
      <c r="C1403">
        <v>51055993</v>
      </c>
      <c r="D1403">
        <v>86.365149703221888</v>
      </c>
      <c r="E1403" t="s">
        <v>92</v>
      </c>
      <c r="F1403">
        <v>219</v>
      </c>
      <c r="G1403" s="4">
        <v>46087.5937962963</v>
      </c>
    </row>
    <row r="1404" spans="1:7" x14ac:dyDescent="0.3">
      <c r="A1404">
        <v>2596</v>
      </c>
      <c r="B1404" t="s">
        <v>146</v>
      </c>
      <c r="C1404">
        <v>51021231</v>
      </c>
      <c r="D1404">
        <v>52.111631012320402</v>
      </c>
      <c r="E1404" t="s">
        <v>94</v>
      </c>
      <c r="F1404">
        <v>758</v>
      </c>
      <c r="G1404" s="4">
        <v>46087.5937962963</v>
      </c>
    </row>
    <row r="1405" spans="1:7" x14ac:dyDescent="0.3">
      <c r="A1405">
        <v>2597</v>
      </c>
      <c r="B1405" t="s">
        <v>146</v>
      </c>
      <c r="C1405">
        <v>51024125</v>
      </c>
      <c r="D1405">
        <v>38.548897046850058</v>
      </c>
      <c r="E1405" t="s">
        <v>94</v>
      </c>
      <c r="F1405">
        <v>848</v>
      </c>
      <c r="G1405" s="4">
        <v>46087.5937962963</v>
      </c>
    </row>
    <row r="1406" spans="1:7" x14ac:dyDescent="0.3">
      <c r="A1406">
        <v>2598</v>
      </c>
      <c r="B1406" t="s">
        <v>146</v>
      </c>
      <c r="C1406">
        <v>51014359</v>
      </c>
      <c r="D1406">
        <v>85.569324457598029</v>
      </c>
      <c r="E1406" t="s">
        <v>93</v>
      </c>
      <c r="F1406">
        <v>252</v>
      </c>
      <c r="G1406" s="4">
        <v>46087.5937962963</v>
      </c>
    </row>
    <row r="1407" spans="1:7" x14ac:dyDescent="0.3">
      <c r="A1407">
        <v>2599</v>
      </c>
      <c r="B1407" t="s">
        <v>146</v>
      </c>
      <c r="C1407">
        <v>51024681</v>
      </c>
      <c r="D1407">
        <v>83.33933546226389</v>
      </c>
      <c r="E1407" t="s">
        <v>93</v>
      </c>
      <c r="F1407">
        <v>316</v>
      </c>
      <c r="G1407" s="4">
        <v>46087.5937962963</v>
      </c>
    </row>
    <row r="1408" spans="1:7" x14ac:dyDescent="0.3">
      <c r="A1408">
        <v>2600</v>
      </c>
      <c r="B1408" t="s">
        <v>146</v>
      </c>
      <c r="C1408">
        <v>51024001</v>
      </c>
      <c r="D1408">
        <v>35.733866907920834</v>
      </c>
      <c r="E1408" t="s">
        <v>94</v>
      </c>
      <c r="F1408">
        <v>864</v>
      </c>
      <c r="G1408" s="4">
        <v>46087.5937962963</v>
      </c>
    </row>
    <row r="1409" spans="1:7" x14ac:dyDescent="0.3">
      <c r="A1409">
        <v>2601</v>
      </c>
      <c r="B1409" t="s">
        <v>146</v>
      </c>
      <c r="C1409">
        <v>51023480</v>
      </c>
      <c r="D1409">
        <v>25.229503167732521</v>
      </c>
      <c r="E1409" t="s">
        <v>94</v>
      </c>
      <c r="F1409">
        <v>947</v>
      </c>
      <c r="G1409" s="4">
        <v>46087.5937962963</v>
      </c>
    </row>
    <row r="1410" spans="1:7" x14ac:dyDescent="0.3">
      <c r="A1410">
        <v>2602</v>
      </c>
      <c r="B1410" t="s">
        <v>146</v>
      </c>
      <c r="C1410">
        <v>51020405</v>
      </c>
      <c r="D1410">
        <v>31.69</v>
      </c>
      <c r="E1410" t="s">
        <v>94</v>
      </c>
      <c r="F1410">
        <v>893</v>
      </c>
      <c r="G1410" s="4">
        <v>46087.5937962963</v>
      </c>
    </row>
    <row r="1411" spans="1:7" x14ac:dyDescent="0.3">
      <c r="A1411">
        <v>2603</v>
      </c>
      <c r="B1411" t="s">
        <v>146</v>
      </c>
      <c r="C1411">
        <v>51044070</v>
      </c>
      <c r="D1411">
        <v>28.438029339367791</v>
      </c>
      <c r="E1411" t="s">
        <v>94</v>
      </c>
      <c r="F1411">
        <v>924</v>
      </c>
      <c r="G1411" s="4">
        <v>46087.5937962963</v>
      </c>
    </row>
    <row r="1412" spans="1:7" x14ac:dyDescent="0.3">
      <c r="A1412">
        <v>2604</v>
      </c>
      <c r="B1412" t="s">
        <v>146</v>
      </c>
      <c r="C1412">
        <v>51032110</v>
      </c>
      <c r="D1412">
        <v>56.025164675818772</v>
      </c>
      <c r="E1412" t="s">
        <v>94</v>
      </c>
      <c r="F1412">
        <v>724</v>
      </c>
      <c r="G1412" s="4">
        <v>46087.5937962963</v>
      </c>
    </row>
    <row r="1413" spans="1:7" x14ac:dyDescent="0.3">
      <c r="A1413">
        <v>2605</v>
      </c>
      <c r="B1413" t="s">
        <v>146</v>
      </c>
      <c r="C1413">
        <v>51036123</v>
      </c>
      <c r="D1413">
        <v>86.261643124713075</v>
      </c>
      <c r="E1413" t="s">
        <v>92</v>
      </c>
      <c r="F1413">
        <v>226</v>
      </c>
      <c r="G1413" s="4">
        <v>46087.5937962963</v>
      </c>
    </row>
    <row r="1414" spans="1:7" x14ac:dyDescent="0.3">
      <c r="A1414">
        <v>2606</v>
      </c>
      <c r="B1414" t="s">
        <v>146</v>
      </c>
      <c r="C1414">
        <v>51056078</v>
      </c>
      <c r="D1414">
        <v>83.540016133375886</v>
      </c>
      <c r="E1414" t="s">
        <v>93</v>
      </c>
      <c r="F1414">
        <v>303</v>
      </c>
      <c r="G1414" s="4">
        <v>46087.5937962963</v>
      </c>
    </row>
    <row r="1415" spans="1:7" x14ac:dyDescent="0.3">
      <c r="A1415">
        <v>2607</v>
      </c>
      <c r="B1415" t="s">
        <v>146</v>
      </c>
      <c r="C1415">
        <v>51012445</v>
      </c>
      <c r="D1415">
        <v>81.6384545759079</v>
      </c>
      <c r="E1415" t="s">
        <v>93</v>
      </c>
      <c r="F1415">
        <v>380</v>
      </c>
      <c r="G1415" s="4">
        <v>46087.5937962963</v>
      </c>
    </row>
    <row r="1416" spans="1:7" x14ac:dyDescent="0.3">
      <c r="A1416">
        <v>2608</v>
      </c>
      <c r="B1416" t="s">
        <v>146</v>
      </c>
      <c r="C1416">
        <v>51019661</v>
      </c>
      <c r="D1416">
        <v>78.140471275489929</v>
      </c>
      <c r="E1416" t="s">
        <v>93</v>
      </c>
      <c r="F1416">
        <v>451</v>
      </c>
      <c r="G1416" s="4">
        <v>46087.5937962963</v>
      </c>
    </row>
    <row r="1417" spans="1:7" x14ac:dyDescent="0.3">
      <c r="A1417">
        <v>2609</v>
      </c>
      <c r="B1417" t="s">
        <v>146</v>
      </c>
      <c r="C1417">
        <v>51021894</v>
      </c>
      <c r="D1417">
        <v>64.125714236746049</v>
      </c>
      <c r="E1417" t="s">
        <v>93</v>
      </c>
      <c r="F1417">
        <v>581</v>
      </c>
      <c r="G1417" s="4">
        <v>46087.5937962963</v>
      </c>
    </row>
    <row r="1418" spans="1:7" x14ac:dyDescent="0.3">
      <c r="A1418">
        <v>2610</v>
      </c>
      <c r="B1418" t="s">
        <v>146</v>
      </c>
      <c r="C1418">
        <v>51018575</v>
      </c>
      <c r="D1418">
        <v>85.383179475201572</v>
      </c>
      <c r="E1418" t="s">
        <v>93</v>
      </c>
      <c r="F1418">
        <v>257</v>
      </c>
      <c r="G1418" s="4">
        <v>46087.5937962963</v>
      </c>
    </row>
    <row r="1419" spans="1:7" x14ac:dyDescent="0.3">
      <c r="A1419">
        <v>2611</v>
      </c>
      <c r="B1419" t="s">
        <v>146</v>
      </c>
      <c r="C1419">
        <v>51031652</v>
      </c>
      <c r="D1419">
        <v>83.389894788535514</v>
      </c>
      <c r="E1419" t="s">
        <v>93</v>
      </c>
      <c r="F1419">
        <v>311</v>
      </c>
      <c r="G1419" s="4">
        <v>46087.5937962963</v>
      </c>
    </row>
    <row r="1420" spans="1:7" x14ac:dyDescent="0.3">
      <c r="A1420">
        <v>2612</v>
      </c>
      <c r="B1420" t="s">
        <v>146</v>
      </c>
      <c r="C1420">
        <v>51040627</v>
      </c>
      <c r="D1420">
        <v>85.6085097040921</v>
      </c>
      <c r="E1420" t="s">
        <v>93</v>
      </c>
      <c r="F1420">
        <v>250</v>
      </c>
      <c r="G1420" s="4">
        <v>46087.5937962963</v>
      </c>
    </row>
    <row r="1421" spans="1:7" x14ac:dyDescent="0.3">
      <c r="A1421">
        <v>2613</v>
      </c>
      <c r="B1421" t="s">
        <v>146</v>
      </c>
      <c r="C1421">
        <v>51031253</v>
      </c>
      <c r="D1421">
        <v>74.522269220382881</v>
      </c>
      <c r="E1421" t="s">
        <v>93</v>
      </c>
      <c r="F1421">
        <v>496</v>
      </c>
      <c r="G1421" s="4">
        <v>46087.5937962963</v>
      </c>
    </row>
    <row r="1422" spans="1:7" x14ac:dyDescent="0.3">
      <c r="A1422">
        <v>2614</v>
      </c>
      <c r="B1422" t="s">
        <v>146</v>
      </c>
      <c r="C1422">
        <v>51034350</v>
      </c>
      <c r="D1422">
        <v>59.857155683267891</v>
      </c>
      <c r="E1422" t="s">
        <v>94</v>
      </c>
      <c r="F1422">
        <v>650</v>
      </c>
      <c r="G1422" s="4">
        <v>46087.5937962963</v>
      </c>
    </row>
    <row r="1423" spans="1:7" x14ac:dyDescent="0.3">
      <c r="A1423">
        <v>2615</v>
      </c>
      <c r="B1423" t="s">
        <v>146</v>
      </c>
      <c r="C1423">
        <v>51022220</v>
      </c>
      <c r="D1423">
        <v>18.802956738923971</v>
      </c>
      <c r="E1423" t="s">
        <v>95</v>
      </c>
      <c r="F1423">
        <v>1015</v>
      </c>
      <c r="G1423" s="4">
        <v>46087.5937962963</v>
      </c>
    </row>
    <row r="1424" spans="1:7" x14ac:dyDescent="0.3">
      <c r="A1424">
        <v>2616</v>
      </c>
      <c r="B1424" t="s">
        <v>146</v>
      </c>
      <c r="C1424">
        <v>51019512</v>
      </c>
      <c r="D1424">
        <v>90.851111926404542</v>
      </c>
      <c r="E1424" t="s">
        <v>92</v>
      </c>
      <c r="F1424">
        <v>119</v>
      </c>
      <c r="G1424" s="4">
        <v>46087.5937962963</v>
      </c>
    </row>
    <row r="1425" spans="1:7" x14ac:dyDescent="0.3">
      <c r="A1425">
        <v>2617</v>
      </c>
      <c r="B1425" t="s">
        <v>146</v>
      </c>
      <c r="C1425">
        <v>51014391</v>
      </c>
      <c r="D1425">
        <v>82.283863505197431</v>
      </c>
      <c r="E1425" t="s">
        <v>93</v>
      </c>
      <c r="F1425">
        <v>356</v>
      </c>
      <c r="G1425" s="4">
        <v>46087.5937962963</v>
      </c>
    </row>
    <row r="1426" spans="1:7" x14ac:dyDescent="0.3">
      <c r="A1426">
        <v>2618</v>
      </c>
      <c r="B1426" t="s">
        <v>146</v>
      </c>
      <c r="C1426">
        <v>51042689</v>
      </c>
      <c r="D1426">
        <v>82.044224480926346</v>
      </c>
      <c r="E1426" t="s">
        <v>93</v>
      </c>
      <c r="F1426">
        <v>366</v>
      </c>
      <c r="G1426" s="4">
        <v>46087.5937962963</v>
      </c>
    </row>
    <row r="1427" spans="1:7" x14ac:dyDescent="0.3">
      <c r="A1427">
        <v>2619</v>
      </c>
      <c r="B1427" t="s">
        <v>146</v>
      </c>
      <c r="C1427">
        <v>51013867</v>
      </c>
      <c r="D1427">
        <v>87.947680503033013</v>
      </c>
      <c r="E1427" t="s">
        <v>92</v>
      </c>
      <c r="F1427">
        <v>177</v>
      </c>
      <c r="G1427" s="4">
        <v>46087.5937962963</v>
      </c>
    </row>
    <row r="1428" spans="1:7" x14ac:dyDescent="0.3">
      <c r="A1428">
        <v>2620</v>
      </c>
      <c r="B1428" t="s">
        <v>146</v>
      </c>
      <c r="C1428">
        <v>51021258</v>
      </c>
      <c r="D1428">
        <v>88.602955166067943</v>
      </c>
      <c r="E1428" t="s">
        <v>92</v>
      </c>
      <c r="F1428">
        <v>161</v>
      </c>
      <c r="G1428" s="4">
        <v>46087.5937962963</v>
      </c>
    </row>
    <row r="1429" spans="1:7" x14ac:dyDescent="0.3">
      <c r="A1429">
        <v>2621</v>
      </c>
      <c r="B1429" t="s">
        <v>146</v>
      </c>
      <c r="C1429">
        <v>51024591</v>
      </c>
      <c r="D1429">
        <v>70.752979362189691</v>
      </c>
      <c r="E1429" t="s">
        <v>93</v>
      </c>
      <c r="F1429">
        <v>534</v>
      </c>
      <c r="G1429" s="4">
        <v>46087.5937962963</v>
      </c>
    </row>
    <row r="1430" spans="1:7" x14ac:dyDescent="0.3">
      <c r="A1430">
        <v>2622</v>
      </c>
      <c r="B1430" t="s">
        <v>146</v>
      </c>
      <c r="C1430">
        <v>51021665</v>
      </c>
      <c r="D1430">
        <v>52.020373644821994</v>
      </c>
      <c r="E1430" t="s">
        <v>94</v>
      </c>
      <c r="F1430">
        <v>760</v>
      </c>
      <c r="G1430" s="4">
        <v>46087.5937962963</v>
      </c>
    </row>
    <row r="1431" spans="1:7" x14ac:dyDescent="0.3">
      <c r="A1431">
        <v>2623</v>
      </c>
      <c r="B1431" t="s">
        <v>146</v>
      </c>
      <c r="C1431">
        <v>51030273</v>
      </c>
      <c r="D1431">
        <v>91.00390030984039</v>
      </c>
      <c r="E1431" t="s">
        <v>92</v>
      </c>
      <c r="F1431">
        <v>118</v>
      </c>
      <c r="G1431" s="4">
        <v>46087.5937962963</v>
      </c>
    </row>
    <row r="1432" spans="1:7" x14ac:dyDescent="0.3">
      <c r="A1432">
        <v>2624</v>
      </c>
      <c r="B1432" t="s">
        <v>146</v>
      </c>
      <c r="C1432">
        <v>51024559</v>
      </c>
      <c r="D1432">
        <v>85.000617904949522</v>
      </c>
      <c r="E1432" t="s">
        <v>93</v>
      </c>
      <c r="F1432">
        <v>265</v>
      </c>
      <c r="G1432" s="4">
        <v>46087.5937962963</v>
      </c>
    </row>
    <row r="1433" spans="1:7" x14ac:dyDescent="0.3">
      <c r="A1433">
        <v>2625</v>
      </c>
      <c r="B1433" t="s">
        <v>146</v>
      </c>
      <c r="C1433">
        <v>51007565</v>
      </c>
      <c r="D1433">
        <v>84.262562958392664</v>
      </c>
      <c r="E1433" t="s">
        <v>93</v>
      </c>
      <c r="F1433">
        <v>281</v>
      </c>
      <c r="G1433" s="4">
        <v>46087.5937962963</v>
      </c>
    </row>
    <row r="1434" spans="1:7" x14ac:dyDescent="0.3">
      <c r="A1434">
        <v>2626</v>
      </c>
      <c r="B1434" t="s">
        <v>146</v>
      </c>
      <c r="C1434">
        <v>51032136</v>
      </c>
      <c r="D1434">
        <v>64.395428333605068</v>
      </c>
      <c r="E1434" t="s">
        <v>93</v>
      </c>
      <c r="F1434">
        <v>575</v>
      </c>
      <c r="G1434" s="4">
        <v>46087.5937962963</v>
      </c>
    </row>
    <row r="1435" spans="1:7" x14ac:dyDescent="0.3">
      <c r="A1435">
        <v>2627</v>
      </c>
      <c r="B1435" t="s">
        <v>146</v>
      </c>
      <c r="C1435">
        <v>51057066</v>
      </c>
      <c r="D1435">
        <v>82.444704570935443</v>
      </c>
      <c r="E1435" t="s">
        <v>93</v>
      </c>
      <c r="F1435">
        <v>348</v>
      </c>
      <c r="G1435" s="4">
        <v>46087.5937962963</v>
      </c>
    </row>
    <row r="1436" spans="1:7" x14ac:dyDescent="0.3">
      <c r="A1436">
        <v>2628</v>
      </c>
      <c r="B1436" t="s">
        <v>146</v>
      </c>
      <c r="C1436">
        <v>51021215</v>
      </c>
      <c r="D1436">
        <v>20.439999999999998</v>
      </c>
      <c r="E1436" t="s">
        <v>95</v>
      </c>
      <c r="F1436">
        <v>980</v>
      </c>
      <c r="G1436" s="4">
        <v>46087.5937962963</v>
      </c>
    </row>
    <row r="1437" spans="1:7" x14ac:dyDescent="0.3">
      <c r="A1437">
        <v>2629</v>
      </c>
      <c r="B1437" t="s">
        <v>146</v>
      </c>
      <c r="C1437">
        <v>51040937</v>
      </c>
      <c r="D1437">
        <v>82.247497842111244</v>
      </c>
      <c r="E1437" t="s">
        <v>93</v>
      </c>
      <c r="F1437">
        <v>360</v>
      </c>
      <c r="G1437" s="4">
        <v>46087.5937962963</v>
      </c>
    </row>
    <row r="1438" spans="1:7" x14ac:dyDescent="0.3">
      <c r="A1438">
        <v>2630</v>
      </c>
      <c r="B1438" t="s">
        <v>146</v>
      </c>
      <c r="C1438">
        <v>51014430</v>
      </c>
      <c r="D1438">
        <v>84.478639147122792</v>
      </c>
      <c r="E1438" t="s">
        <v>93</v>
      </c>
      <c r="F1438">
        <v>274</v>
      </c>
      <c r="G1438" s="4">
        <v>46087.5937962963</v>
      </c>
    </row>
    <row r="1439" spans="1:7" x14ac:dyDescent="0.3">
      <c r="A1439">
        <v>2631</v>
      </c>
      <c r="B1439" t="s">
        <v>146</v>
      </c>
      <c r="C1439">
        <v>51055853</v>
      </c>
      <c r="D1439">
        <v>33.060662158956902</v>
      </c>
      <c r="E1439" t="s">
        <v>94</v>
      </c>
      <c r="F1439">
        <v>877</v>
      </c>
      <c r="G1439" s="4">
        <v>46087.5937962963</v>
      </c>
    </row>
    <row r="1440" spans="1:7" x14ac:dyDescent="0.3">
      <c r="A1440">
        <v>2632</v>
      </c>
      <c r="B1440" t="s">
        <v>146</v>
      </c>
      <c r="C1440">
        <v>51056515</v>
      </c>
      <c r="D1440">
        <v>84.859367944926916</v>
      </c>
      <c r="E1440" t="s">
        <v>93</v>
      </c>
      <c r="F1440">
        <v>268</v>
      </c>
      <c r="G1440" s="4">
        <v>46087.5937962963</v>
      </c>
    </row>
    <row r="1441" spans="1:7" x14ac:dyDescent="0.3">
      <c r="A1441">
        <v>2633</v>
      </c>
      <c r="B1441" t="s">
        <v>146</v>
      </c>
      <c r="C1441">
        <v>51020952</v>
      </c>
      <c r="D1441">
        <v>99.741024136309093</v>
      </c>
      <c r="E1441" t="s">
        <v>275</v>
      </c>
      <c r="F1441">
        <v>19</v>
      </c>
      <c r="G1441" s="4">
        <v>46087.5937962963</v>
      </c>
    </row>
    <row r="1442" spans="1:7" x14ac:dyDescent="0.3">
      <c r="A1442">
        <v>2634</v>
      </c>
      <c r="B1442" t="s">
        <v>146</v>
      </c>
      <c r="C1442">
        <v>51022611</v>
      </c>
      <c r="D1442">
        <v>54.832619011080503</v>
      </c>
      <c r="E1442" t="s">
        <v>94</v>
      </c>
      <c r="F1442">
        <v>737</v>
      </c>
      <c r="G1442" s="4">
        <v>46087.5937962963</v>
      </c>
    </row>
    <row r="1443" spans="1:7" x14ac:dyDescent="0.3">
      <c r="A1443">
        <v>2635</v>
      </c>
      <c r="B1443" t="s">
        <v>146</v>
      </c>
      <c r="C1443">
        <v>51056761</v>
      </c>
      <c r="D1443">
        <v>83.638431271496714</v>
      </c>
      <c r="E1443" t="s">
        <v>93</v>
      </c>
      <c r="F1443">
        <v>300</v>
      </c>
      <c r="G1443" s="4">
        <v>46087.5937962963</v>
      </c>
    </row>
    <row r="1444" spans="1:7" x14ac:dyDescent="0.3">
      <c r="A1444">
        <v>2636</v>
      </c>
      <c r="B1444" t="s">
        <v>146</v>
      </c>
      <c r="C1444">
        <v>51031741</v>
      </c>
      <c r="D1444">
        <v>82.629056170407267</v>
      </c>
      <c r="E1444" t="s">
        <v>93</v>
      </c>
      <c r="F1444">
        <v>344</v>
      </c>
      <c r="G1444" s="4">
        <v>46087.5937962963</v>
      </c>
    </row>
    <row r="1445" spans="1:7" x14ac:dyDescent="0.3">
      <c r="A1445">
        <v>2637</v>
      </c>
      <c r="B1445" t="s">
        <v>146</v>
      </c>
      <c r="C1445">
        <v>51056469</v>
      </c>
      <c r="D1445">
        <v>83.98780624048733</v>
      </c>
      <c r="E1445" t="s">
        <v>93</v>
      </c>
      <c r="F1445">
        <v>291</v>
      </c>
      <c r="G1445" s="4">
        <v>46087.5937962963</v>
      </c>
    </row>
    <row r="1446" spans="1:7" x14ac:dyDescent="0.3">
      <c r="A1446">
        <v>2638</v>
      </c>
      <c r="B1446" t="s">
        <v>146</v>
      </c>
      <c r="C1446">
        <v>51031130</v>
      </c>
      <c r="D1446">
        <v>91.748842907217181</v>
      </c>
      <c r="E1446" t="s">
        <v>92</v>
      </c>
      <c r="F1446">
        <v>103</v>
      </c>
      <c r="G1446" s="4">
        <v>46087.5937962963</v>
      </c>
    </row>
    <row r="1447" spans="1:7" x14ac:dyDescent="0.3">
      <c r="A1447">
        <v>2639</v>
      </c>
      <c r="B1447" t="s">
        <v>146</v>
      </c>
      <c r="C1447">
        <v>51014855</v>
      </c>
      <c r="D1447">
        <v>74.513148327485709</v>
      </c>
      <c r="E1447" t="s">
        <v>93</v>
      </c>
      <c r="F1447">
        <v>497</v>
      </c>
      <c r="G1447" s="4">
        <v>46087.5937962963</v>
      </c>
    </row>
    <row r="1448" spans="1:7" x14ac:dyDescent="0.3">
      <c r="A1448">
        <v>2640</v>
      </c>
      <c r="B1448" t="s">
        <v>146</v>
      </c>
      <c r="C1448">
        <v>51055055</v>
      </c>
      <c r="D1448">
        <v>87.471522924306825</v>
      </c>
      <c r="E1448" t="s">
        <v>92</v>
      </c>
      <c r="F1448">
        <v>196</v>
      </c>
      <c r="G1448" s="4">
        <v>46087.5937962963</v>
      </c>
    </row>
    <row r="1449" spans="1:7" x14ac:dyDescent="0.3">
      <c r="A1449">
        <v>2641</v>
      </c>
      <c r="B1449" t="s">
        <v>146</v>
      </c>
      <c r="C1449">
        <v>51008634</v>
      </c>
      <c r="D1449">
        <v>87.608132485406188</v>
      </c>
      <c r="E1449" t="s">
        <v>92</v>
      </c>
      <c r="F1449">
        <v>194</v>
      </c>
      <c r="G1449" s="4">
        <v>46087.5937962963</v>
      </c>
    </row>
    <row r="1450" spans="1:7" x14ac:dyDescent="0.3">
      <c r="A1450">
        <v>2642</v>
      </c>
      <c r="B1450" t="s">
        <v>146</v>
      </c>
      <c r="C1450">
        <v>51021835</v>
      </c>
      <c r="D1450">
        <v>58.17915800647809</v>
      </c>
      <c r="E1450" t="s">
        <v>94</v>
      </c>
      <c r="F1450">
        <v>683</v>
      </c>
      <c r="G1450" s="4">
        <v>46087.5937962963</v>
      </c>
    </row>
    <row r="1451" spans="1:7" x14ac:dyDescent="0.3">
      <c r="A1451">
        <v>2643</v>
      </c>
      <c r="B1451" t="s">
        <v>146</v>
      </c>
      <c r="C1451">
        <v>51030320</v>
      </c>
      <c r="D1451">
        <v>62.658945550434879</v>
      </c>
      <c r="E1451" t="s">
        <v>94</v>
      </c>
      <c r="F1451">
        <v>598</v>
      </c>
      <c r="G1451" s="4">
        <v>46087.5937962963</v>
      </c>
    </row>
    <row r="1452" spans="1:7" x14ac:dyDescent="0.3">
      <c r="A1452">
        <v>2644</v>
      </c>
      <c r="B1452" t="s">
        <v>146</v>
      </c>
      <c r="C1452">
        <v>51033701</v>
      </c>
      <c r="D1452">
        <v>82.395609676300978</v>
      </c>
      <c r="E1452" t="s">
        <v>93</v>
      </c>
      <c r="F1452">
        <v>351</v>
      </c>
      <c r="G1452" s="4">
        <v>46087.5937962963</v>
      </c>
    </row>
    <row r="1453" spans="1:7" x14ac:dyDescent="0.3">
      <c r="A1453">
        <v>2645</v>
      </c>
      <c r="B1453" t="s">
        <v>146</v>
      </c>
      <c r="C1453">
        <v>51013280</v>
      </c>
      <c r="D1453">
        <v>87.599009548328596</v>
      </c>
      <c r="E1453" t="s">
        <v>92</v>
      </c>
      <c r="F1453">
        <v>195</v>
      </c>
      <c r="G1453" s="4">
        <v>46087.5937962963</v>
      </c>
    </row>
    <row r="1454" spans="1:7" x14ac:dyDescent="0.3">
      <c r="A1454">
        <v>2646</v>
      </c>
      <c r="B1454" t="s">
        <v>146</v>
      </c>
      <c r="C1454">
        <v>51022785</v>
      </c>
      <c r="D1454">
        <v>39.129748594805434</v>
      </c>
      <c r="E1454" t="s">
        <v>94</v>
      </c>
      <c r="F1454">
        <v>846</v>
      </c>
      <c r="G1454" s="4">
        <v>46087.5937962963</v>
      </c>
    </row>
    <row r="1455" spans="1:7" x14ac:dyDescent="0.3">
      <c r="A1455">
        <v>2647</v>
      </c>
      <c r="B1455" t="s">
        <v>146</v>
      </c>
      <c r="C1455">
        <v>51036310</v>
      </c>
      <c r="D1455">
        <v>28.889126541978136</v>
      </c>
      <c r="E1455" t="s">
        <v>94</v>
      </c>
      <c r="F1455">
        <v>917</v>
      </c>
      <c r="G1455" s="4">
        <v>46087.5937962963</v>
      </c>
    </row>
    <row r="1456" spans="1:7" x14ac:dyDescent="0.3">
      <c r="A1456">
        <v>2648</v>
      </c>
      <c r="B1456" t="s">
        <v>146</v>
      </c>
      <c r="C1456">
        <v>51010710</v>
      </c>
      <c r="D1456">
        <v>26.357999999999997</v>
      </c>
      <c r="E1456" t="s">
        <v>94</v>
      </c>
      <c r="F1456">
        <v>938</v>
      </c>
      <c r="G1456" s="4">
        <v>46087.5937962963</v>
      </c>
    </row>
    <row r="1457" spans="1:7" x14ac:dyDescent="0.3">
      <c r="A1457">
        <v>2649</v>
      </c>
      <c r="B1457" t="s">
        <v>146</v>
      </c>
      <c r="C1457">
        <v>51034376</v>
      </c>
      <c r="D1457">
        <v>93.556659521767955</v>
      </c>
      <c r="E1457" t="s">
        <v>92</v>
      </c>
      <c r="F1457">
        <v>76</v>
      </c>
      <c r="G1457" s="4">
        <v>46087.5937962963</v>
      </c>
    </row>
    <row r="1458" spans="1:7" x14ac:dyDescent="0.3">
      <c r="A1458">
        <v>2650</v>
      </c>
      <c r="B1458" t="s">
        <v>146</v>
      </c>
      <c r="C1458">
        <v>51023561</v>
      </c>
      <c r="D1458">
        <v>82.811752722382835</v>
      </c>
      <c r="E1458" t="s">
        <v>93</v>
      </c>
      <c r="F1458">
        <v>339</v>
      </c>
      <c r="G1458" s="4">
        <v>46087.5937962963</v>
      </c>
    </row>
    <row r="1459" spans="1:7" x14ac:dyDescent="0.3">
      <c r="A1459">
        <v>2651</v>
      </c>
      <c r="B1459" t="s">
        <v>146</v>
      </c>
      <c r="C1459">
        <v>51025253</v>
      </c>
      <c r="D1459">
        <v>32.501181700248125</v>
      </c>
      <c r="E1459" t="s">
        <v>94</v>
      </c>
      <c r="F1459">
        <v>884</v>
      </c>
      <c r="G1459" s="4">
        <v>46087.5937962963</v>
      </c>
    </row>
    <row r="1460" spans="1:7" x14ac:dyDescent="0.3">
      <c r="A1460">
        <v>2652</v>
      </c>
      <c r="B1460" t="s">
        <v>146</v>
      </c>
      <c r="C1460">
        <v>51030176</v>
      </c>
      <c r="D1460">
        <v>76.166979520203881</v>
      </c>
      <c r="E1460" t="s">
        <v>93</v>
      </c>
      <c r="F1460">
        <v>480</v>
      </c>
      <c r="G1460" s="4">
        <v>46087.5937962963</v>
      </c>
    </row>
    <row r="1461" spans="1:7" x14ac:dyDescent="0.3">
      <c r="A1461">
        <v>2653</v>
      </c>
      <c r="B1461" t="s">
        <v>146</v>
      </c>
      <c r="C1461">
        <v>51024575</v>
      </c>
      <c r="D1461">
        <v>79.244306732884013</v>
      </c>
      <c r="E1461" t="s">
        <v>93</v>
      </c>
      <c r="F1461">
        <v>434</v>
      </c>
      <c r="G1461" s="4">
        <v>46087.5937962963</v>
      </c>
    </row>
    <row r="1462" spans="1:7" x14ac:dyDescent="0.3">
      <c r="A1462">
        <v>2654</v>
      </c>
      <c r="B1462" t="s">
        <v>146</v>
      </c>
      <c r="C1462">
        <v>51005333</v>
      </c>
      <c r="D1462">
        <v>81.873468485942539</v>
      </c>
      <c r="E1462" t="s">
        <v>93</v>
      </c>
      <c r="F1462">
        <v>371</v>
      </c>
      <c r="G1462" s="4">
        <v>46087.5937962963</v>
      </c>
    </row>
    <row r="1463" spans="1:7" x14ac:dyDescent="0.3">
      <c r="A1463">
        <v>2655</v>
      </c>
      <c r="B1463" t="s">
        <v>146</v>
      </c>
      <c r="C1463">
        <v>51030931</v>
      </c>
      <c r="D1463">
        <v>61.070817665302016</v>
      </c>
      <c r="E1463" t="s">
        <v>94</v>
      </c>
      <c r="F1463">
        <v>630</v>
      </c>
      <c r="G1463" s="4">
        <v>46087.5937962963</v>
      </c>
    </row>
    <row r="1464" spans="1:7" x14ac:dyDescent="0.3">
      <c r="A1464">
        <v>2656</v>
      </c>
      <c r="B1464" t="s">
        <v>146</v>
      </c>
      <c r="C1464">
        <v>51056027</v>
      </c>
      <c r="D1464">
        <v>92.840708984093325</v>
      </c>
      <c r="E1464" t="s">
        <v>92</v>
      </c>
      <c r="F1464">
        <v>89</v>
      </c>
      <c r="G1464" s="4">
        <v>46087.5937962963</v>
      </c>
    </row>
    <row r="1465" spans="1:7" x14ac:dyDescent="0.3">
      <c r="A1465">
        <v>2657</v>
      </c>
      <c r="B1465" t="s">
        <v>146</v>
      </c>
      <c r="C1465">
        <v>51054911</v>
      </c>
      <c r="D1465">
        <v>80.390951582509729</v>
      </c>
      <c r="E1465" t="s">
        <v>93</v>
      </c>
      <c r="F1465">
        <v>409</v>
      </c>
      <c r="G1465" s="4">
        <v>46087.5937962963</v>
      </c>
    </row>
    <row r="1466" spans="1:7" x14ac:dyDescent="0.3">
      <c r="A1466">
        <v>2658</v>
      </c>
      <c r="B1466" t="s">
        <v>146</v>
      </c>
      <c r="C1466">
        <v>51030605</v>
      </c>
      <c r="D1466">
        <v>47.292244823206744</v>
      </c>
      <c r="E1466" t="s">
        <v>94</v>
      </c>
      <c r="F1466">
        <v>803</v>
      </c>
      <c r="G1466" s="4">
        <v>46087.5937962963</v>
      </c>
    </row>
    <row r="1467" spans="1:7" x14ac:dyDescent="0.3">
      <c r="A1467">
        <v>2659</v>
      </c>
      <c r="B1467" t="s">
        <v>146</v>
      </c>
      <c r="C1467">
        <v>51044487</v>
      </c>
      <c r="D1467">
        <v>89.636773176190729</v>
      </c>
      <c r="E1467" t="s">
        <v>92</v>
      </c>
      <c r="F1467">
        <v>138</v>
      </c>
      <c r="G1467" s="4">
        <v>46087.5937962963</v>
      </c>
    </row>
    <row r="1468" spans="1:7" x14ac:dyDescent="0.3">
      <c r="A1468">
        <v>2660</v>
      </c>
      <c r="B1468" t="s">
        <v>146</v>
      </c>
      <c r="C1468">
        <v>51035674</v>
      </c>
      <c r="D1468">
        <v>96.28894540444071</v>
      </c>
      <c r="E1468" t="s">
        <v>275</v>
      </c>
      <c r="F1468">
        <v>50</v>
      </c>
      <c r="G1468" s="4">
        <v>46087.5937962963</v>
      </c>
    </row>
    <row r="1469" spans="1:7" x14ac:dyDescent="0.3">
      <c r="A1469">
        <v>2661</v>
      </c>
      <c r="B1469" t="s">
        <v>146</v>
      </c>
      <c r="C1469">
        <v>51055128</v>
      </c>
      <c r="D1469">
        <v>96.334825999316323</v>
      </c>
      <c r="E1469" t="s">
        <v>275</v>
      </c>
      <c r="F1469">
        <v>49</v>
      </c>
      <c r="G1469" s="4">
        <v>46087.5937962963</v>
      </c>
    </row>
    <row r="1470" spans="1:7" x14ac:dyDescent="0.3">
      <c r="A1470">
        <v>2662</v>
      </c>
      <c r="B1470" t="s">
        <v>146</v>
      </c>
      <c r="C1470">
        <v>51011546</v>
      </c>
      <c r="D1470">
        <v>100</v>
      </c>
      <c r="E1470" t="s">
        <v>275</v>
      </c>
      <c r="F1470">
        <v>1</v>
      </c>
      <c r="G1470" s="4">
        <v>46087.5937962963</v>
      </c>
    </row>
    <row r="1471" spans="1:7" x14ac:dyDescent="0.3">
      <c r="A1471">
        <v>2663</v>
      </c>
      <c r="B1471" t="s">
        <v>146</v>
      </c>
      <c r="C1471">
        <v>51031482</v>
      </c>
      <c r="D1471">
        <v>91.250777936601921</v>
      </c>
      <c r="E1471" t="s">
        <v>92</v>
      </c>
      <c r="F1471">
        <v>115</v>
      </c>
      <c r="G1471" s="4">
        <v>46087.5937962963</v>
      </c>
    </row>
    <row r="1472" spans="1:7" x14ac:dyDescent="0.3">
      <c r="A1472">
        <v>2664</v>
      </c>
      <c r="B1472" t="s">
        <v>146</v>
      </c>
      <c r="C1472">
        <v>51030109</v>
      </c>
      <c r="D1472">
        <v>66.862365860880544</v>
      </c>
      <c r="E1472" t="s">
        <v>93</v>
      </c>
      <c r="F1472">
        <v>565</v>
      </c>
      <c r="G1472" s="4">
        <v>46087.5937962963</v>
      </c>
    </row>
    <row r="1473" spans="1:7" x14ac:dyDescent="0.3">
      <c r="A1473">
        <v>2665</v>
      </c>
      <c r="B1473" t="s">
        <v>146</v>
      </c>
      <c r="C1473">
        <v>51022009</v>
      </c>
      <c r="D1473">
        <v>88.427037836113826</v>
      </c>
      <c r="E1473" t="s">
        <v>92</v>
      </c>
      <c r="F1473">
        <v>165</v>
      </c>
      <c r="G1473" s="4">
        <v>46087.5937962963</v>
      </c>
    </row>
    <row r="1474" spans="1:7" x14ac:dyDescent="0.3">
      <c r="A1474">
        <v>2666</v>
      </c>
      <c r="B1474" t="s">
        <v>146</v>
      </c>
      <c r="C1474">
        <v>51015932</v>
      </c>
      <c r="D1474">
        <v>81.123969468815645</v>
      </c>
      <c r="E1474" t="s">
        <v>93</v>
      </c>
      <c r="F1474">
        <v>390</v>
      </c>
      <c r="G1474" s="4">
        <v>46087.5937962963</v>
      </c>
    </row>
    <row r="1475" spans="1:7" x14ac:dyDescent="0.3">
      <c r="A1475">
        <v>2667</v>
      </c>
      <c r="B1475" t="s">
        <v>146</v>
      </c>
      <c r="C1475">
        <v>51030028</v>
      </c>
      <c r="D1475">
        <v>60.2589735794784</v>
      </c>
      <c r="E1475" t="s">
        <v>94</v>
      </c>
      <c r="F1475">
        <v>648</v>
      </c>
      <c r="G1475" s="4">
        <v>46087.5937962963</v>
      </c>
    </row>
    <row r="1476" spans="1:7" x14ac:dyDescent="0.3">
      <c r="A1476">
        <v>2668</v>
      </c>
      <c r="B1476" t="s">
        <v>146</v>
      </c>
      <c r="C1476">
        <v>51030257</v>
      </c>
      <c r="D1476">
        <v>76.520956256585521</v>
      </c>
      <c r="E1476" t="s">
        <v>93</v>
      </c>
      <c r="F1476">
        <v>474</v>
      </c>
      <c r="G1476" s="4">
        <v>46087.5937962963</v>
      </c>
    </row>
    <row r="1477" spans="1:7" x14ac:dyDescent="0.3">
      <c r="A1477">
        <v>2669</v>
      </c>
      <c r="B1477" t="s">
        <v>146</v>
      </c>
      <c r="C1477">
        <v>51055489</v>
      </c>
      <c r="D1477">
        <v>62.203538060009649</v>
      </c>
      <c r="E1477" t="s">
        <v>94</v>
      </c>
      <c r="F1477">
        <v>607</v>
      </c>
      <c r="G1477" s="4">
        <v>46087.5937962963</v>
      </c>
    </row>
    <row r="1478" spans="1:7" x14ac:dyDescent="0.3">
      <c r="A1478">
        <v>2670</v>
      </c>
      <c r="B1478" t="s">
        <v>146</v>
      </c>
      <c r="C1478">
        <v>51019423</v>
      </c>
      <c r="D1478">
        <v>58.180891950202678</v>
      </c>
      <c r="E1478" t="s">
        <v>94</v>
      </c>
      <c r="F1478">
        <v>682</v>
      </c>
      <c r="G1478" s="4">
        <v>46087.5937962963</v>
      </c>
    </row>
    <row r="1479" spans="1:7" x14ac:dyDescent="0.3">
      <c r="A1479">
        <v>2671</v>
      </c>
      <c r="B1479" t="s">
        <v>146</v>
      </c>
      <c r="C1479">
        <v>51000811</v>
      </c>
      <c r="D1479">
        <v>76.314826839805107</v>
      </c>
      <c r="E1479" t="s">
        <v>93</v>
      </c>
      <c r="F1479">
        <v>479</v>
      </c>
      <c r="G1479" s="4">
        <v>46087.5937962963</v>
      </c>
    </row>
    <row r="1480" spans="1:7" x14ac:dyDescent="0.3">
      <c r="A1480">
        <v>2672</v>
      </c>
      <c r="B1480" t="s">
        <v>146</v>
      </c>
      <c r="C1480">
        <v>51057040</v>
      </c>
      <c r="D1480">
        <v>83.217694886906344</v>
      </c>
      <c r="E1480" t="s">
        <v>93</v>
      </c>
      <c r="F1480">
        <v>321</v>
      </c>
      <c r="G1480" s="4">
        <v>46087.5937962963</v>
      </c>
    </row>
    <row r="1481" spans="1:7" x14ac:dyDescent="0.3">
      <c r="A1481">
        <v>2673</v>
      </c>
      <c r="B1481" t="s">
        <v>146</v>
      </c>
      <c r="C1481">
        <v>51055101</v>
      </c>
      <c r="D1481">
        <v>31.020000000000003</v>
      </c>
      <c r="E1481" t="s">
        <v>94</v>
      </c>
      <c r="F1481">
        <v>899</v>
      </c>
      <c r="G1481" s="4">
        <v>46087.5937962963</v>
      </c>
    </row>
    <row r="1482" spans="1:7" x14ac:dyDescent="0.3">
      <c r="A1482">
        <v>2674</v>
      </c>
      <c r="B1482" t="s">
        <v>146</v>
      </c>
      <c r="C1482">
        <v>51016386</v>
      </c>
      <c r="D1482">
        <v>64.657290484484903</v>
      </c>
      <c r="E1482" t="s">
        <v>93</v>
      </c>
      <c r="F1482">
        <v>574</v>
      </c>
      <c r="G1482" s="4">
        <v>46087.5937962963</v>
      </c>
    </row>
    <row r="1483" spans="1:7" x14ac:dyDescent="0.3">
      <c r="A1483">
        <v>2675</v>
      </c>
      <c r="B1483" t="s">
        <v>146</v>
      </c>
      <c r="C1483">
        <v>51003594</v>
      </c>
      <c r="D1483">
        <v>91.43128159050724</v>
      </c>
      <c r="E1483" t="s">
        <v>92</v>
      </c>
      <c r="F1483">
        <v>114</v>
      </c>
      <c r="G1483" s="4">
        <v>46087.5937962963</v>
      </c>
    </row>
    <row r="1484" spans="1:7" x14ac:dyDescent="0.3">
      <c r="A1484">
        <v>2676</v>
      </c>
      <c r="B1484" t="s">
        <v>146</v>
      </c>
      <c r="C1484">
        <v>51030923</v>
      </c>
      <c r="D1484">
        <v>85.497889885259212</v>
      </c>
      <c r="E1484" t="s">
        <v>93</v>
      </c>
      <c r="F1484">
        <v>256</v>
      </c>
      <c r="G1484" s="4">
        <v>46087.5937962963</v>
      </c>
    </row>
    <row r="1485" spans="1:7" x14ac:dyDescent="0.3">
      <c r="A1485">
        <v>2677</v>
      </c>
      <c r="B1485" t="s">
        <v>146</v>
      </c>
      <c r="C1485">
        <v>51043197</v>
      </c>
      <c r="D1485">
        <v>69.212590224169915</v>
      </c>
      <c r="E1485" t="s">
        <v>93</v>
      </c>
      <c r="F1485">
        <v>548</v>
      </c>
      <c r="G1485" s="4">
        <v>46087.5937962963</v>
      </c>
    </row>
    <row r="1486" spans="1:7" x14ac:dyDescent="0.3">
      <c r="A1486">
        <v>2678</v>
      </c>
      <c r="B1486" t="s">
        <v>146</v>
      </c>
      <c r="C1486">
        <v>51022823</v>
      </c>
      <c r="D1486">
        <v>52.220536672240712</v>
      </c>
      <c r="E1486" t="s">
        <v>94</v>
      </c>
      <c r="F1486">
        <v>757</v>
      </c>
      <c r="G1486" s="4">
        <v>46087.5937962963</v>
      </c>
    </row>
    <row r="1487" spans="1:7" x14ac:dyDescent="0.3">
      <c r="A1487">
        <v>2679</v>
      </c>
      <c r="B1487" t="s">
        <v>146</v>
      </c>
      <c r="C1487">
        <v>51056060</v>
      </c>
      <c r="D1487">
        <v>84.276899008316974</v>
      </c>
      <c r="E1487" t="s">
        <v>93</v>
      </c>
      <c r="F1487">
        <v>280</v>
      </c>
      <c r="G1487" s="4">
        <v>46087.5937962963</v>
      </c>
    </row>
    <row r="1488" spans="1:7" x14ac:dyDescent="0.3">
      <c r="A1488">
        <v>2680</v>
      </c>
      <c r="B1488" t="s">
        <v>146</v>
      </c>
      <c r="C1488">
        <v>51024419</v>
      </c>
      <c r="D1488">
        <v>62.14947746670871</v>
      </c>
      <c r="E1488" t="s">
        <v>94</v>
      </c>
      <c r="F1488">
        <v>609</v>
      </c>
      <c r="G1488" s="4">
        <v>46087.5937962963</v>
      </c>
    </row>
    <row r="1489" spans="1:7" x14ac:dyDescent="0.3">
      <c r="A1489">
        <v>2681</v>
      </c>
      <c r="B1489" t="s">
        <v>146</v>
      </c>
      <c r="C1489">
        <v>51025326</v>
      </c>
      <c r="D1489">
        <v>86.206350395230913</v>
      </c>
      <c r="E1489" t="s">
        <v>92</v>
      </c>
      <c r="F1489">
        <v>232</v>
      </c>
      <c r="G1489" s="4">
        <v>46087.5937962963</v>
      </c>
    </row>
    <row r="1490" spans="1:7" x14ac:dyDescent="0.3">
      <c r="A1490">
        <v>2682</v>
      </c>
      <c r="B1490" t="s">
        <v>146</v>
      </c>
      <c r="C1490">
        <v>51020014</v>
      </c>
      <c r="D1490">
        <v>80.146928754093253</v>
      </c>
      <c r="E1490" t="s">
        <v>93</v>
      </c>
      <c r="F1490">
        <v>418</v>
      </c>
      <c r="G1490" s="4">
        <v>46087.5937962963</v>
      </c>
    </row>
    <row r="1491" spans="1:7" x14ac:dyDescent="0.3">
      <c r="A1491">
        <v>2683</v>
      </c>
      <c r="B1491" t="s">
        <v>146</v>
      </c>
      <c r="C1491">
        <v>51055951</v>
      </c>
      <c r="D1491">
        <v>47.663217948723528</v>
      </c>
      <c r="E1491" t="s">
        <v>94</v>
      </c>
      <c r="F1491">
        <v>796</v>
      </c>
      <c r="G1491" s="4">
        <v>46087.5937962963</v>
      </c>
    </row>
    <row r="1492" spans="1:7" x14ac:dyDescent="0.3">
      <c r="A1492">
        <v>2684</v>
      </c>
      <c r="B1492" t="s">
        <v>146</v>
      </c>
      <c r="C1492">
        <v>51016882</v>
      </c>
      <c r="D1492">
        <v>62.696431713580537</v>
      </c>
      <c r="E1492" t="s">
        <v>93</v>
      </c>
      <c r="F1492">
        <v>597</v>
      </c>
      <c r="G1492" s="4">
        <v>46087.5937962963</v>
      </c>
    </row>
    <row r="1493" spans="1:7" x14ac:dyDescent="0.3">
      <c r="A1493">
        <v>2685</v>
      </c>
      <c r="B1493" t="s">
        <v>146</v>
      </c>
      <c r="C1493">
        <v>51043405</v>
      </c>
      <c r="D1493">
        <v>85.726813740774404</v>
      </c>
      <c r="E1493" t="s">
        <v>93</v>
      </c>
      <c r="F1493">
        <v>247</v>
      </c>
      <c r="G1493" s="4">
        <v>46087.5937962963</v>
      </c>
    </row>
    <row r="1494" spans="1:7" x14ac:dyDescent="0.3">
      <c r="A1494">
        <v>2686</v>
      </c>
      <c r="B1494" t="s">
        <v>146</v>
      </c>
      <c r="C1494">
        <v>51008987</v>
      </c>
      <c r="D1494">
        <v>86.444626042997555</v>
      </c>
      <c r="E1494" t="s">
        <v>92</v>
      </c>
      <c r="F1494">
        <v>218</v>
      </c>
      <c r="G1494" s="4">
        <v>46087.5937962963</v>
      </c>
    </row>
    <row r="1495" spans="1:7" x14ac:dyDescent="0.3">
      <c r="A1495">
        <v>2687</v>
      </c>
      <c r="B1495" t="s">
        <v>146</v>
      </c>
      <c r="C1495">
        <v>51021088</v>
      </c>
      <c r="D1495">
        <v>94.620096711068967</v>
      </c>
      <c r="E1495" t="s">
        <v>92</v>
      </c>
      <c r="F1495">
        <v>68</v>
      </c>
      <c r="G1495" s="4">
        <v>46087.5937962963</v>
      </c>
    </row>
    <row r="1496" spans="1:7" x14ac:dyDescent="0.3">
      <c r="A1496">
        <v>2688</v>
      </c>
      <c r="B1496" t="s">
        <v>146</v>
      </c>
      <c r="C1496">
        <v>51001702</v>
      </c>
      <c r="D1496">
        <v>88.320922692221771</v>
      </c>
      <c r="E1496" t="s">
        <v>92</v>
      </c>
      <c r="F1496">
        <v>168</v>
      </c>
      <c r="G1496" s="4">
        <v>46087.5937962963</v>
      </c>
    </row>
    <row r="1497" spans="1:7" x14ac:dyDescent="0.3">
      <c r="A1497">
        <v>2689</v>
      </c>
      <c r="B1497" t="s">
        <v>146</v>
      </c>
      <c r="C1497">
        <v>51003730</v>
      </c>
      <c r="D1497">
        <v>81.800028832503557</v>
      </c>
      <c r="E1497" t="s">
        <v>93</v>
      </c>
      <c r="F1497">
        <v>376</v>
      </c>
      <c r="G1497" s="4">
        <v>46087.5937962963</v>
      </c>
    </row>
    <row r="1498" spans="1:7" x14ac:dyDescent="0.3">
      <c r="A1498">
        <v>2690</v>
      </c>
      <c r="B1498" t="s">
        <v>146</v>
      </c>
      <c r="C1498">
        <v>51012348</v>
      </c>
      <c r="D1498">
        <v>69.737824526839574</v>
      </c>
      <c r="E1498" t="s">
        <v>93</v>
      </c>
      <c r="F1498">
        <v>544</v>
      </c>
      <c r="G1498" s="4">
        <v>46087.5937962963</v>
      </c>
    </row>
    <row r="1499" spans="1:7" x14ac:dyDescent="0.3">
      <c r="A1499">
        <v>2691</v>
      </c>
      <c r="B1499" t="s">
        <v>146</v>
      </c>
      <c r="C1499">
        <v>51031563</v>
      </c>
      <c r="D1499">
        <v>82.417865237646097</v>
      </c>
      <c r="E1499" t="s">
        <v>93</v>
      </c>
      <c r="F1499">
        <v>349</v>
      </c>
      <c r="G1499" s="4">
        <v>46087.5937962963</v>
      </c>
    </row>
    <row r="1500" spans="1:7" x14ac:dyDescent="0.3">
      <c r="A1500">
        <v>2692</v>
      </c>
      <c r="B1500" t="s">
        <v>146</v>
      </c>
      <c r="C1500">
        <v>51055080</v>
      </c>
      <c r="D1500">
        <v>92.036847970568331</v>
      </c>
      <c r="E1500" t="s">
        <v>92</v>
      </c>
      <c r="F1500">
        <v>99</v>
      </c>
      <c r="G1500" s="4">
        <v>46087.5937962963</v>
      </c>
    </row>
    <row r="1501" spans="1:7" x14ac:dyDescent="0.3">
      <c r="A1501">
        <v>2693</v>
      </c>
      <c r="B1501" t="s">
        <v>146</v>
      </c>
      <c r="C1501">
        <v>51018672</v>
      </c>
      <c r="D1501">
        <v>56.01122996474993</v>
      </c>
      <c r="E1501" t="s">
        <v>94</v>
      </c>
      <c r="F1501">
        <v>725</v>
      </c>
      <c r="G1501" s="4">
        <v>46087.5937962963</v>
      </c>
    </row>
    <row r="1502" spans="1:7" x14ac:dyDescent="0.3">
      <c r="A1502">
        <v>2694</v>
      </c>
      <c r="B1502" t="s">
        <v>146</v>
      </c>
      <c r="C1502">
        <v>51019130</v>
      </c>
      <c r="D1502">
        <v>81.507268556736506</v>
      </c>
      <c r="E1502" t="s">
        <v>93</v>
      </c>
      <c r="F1502">
        <v>382</v>
      </c>
      <c r="G1502" s="4">
        <v>46087.5937962963</v>
      </c>
    </row>
    <row r="1503" spans="1:7" x14ac:dyDescent="0.3">
      <c r="A1503">
        <v>2695</v>
      </c>
      <c r="B1503" t="s">
        <v>146</v>
      </c>
      <c r="C1503">
        <v>51036255</v>
      </c>
      <c r="D1503">
        <v>63.501410482776045</v>
      </c>
      <c r="E1503" t="s">
        <v>93</v>
      </c>
      <c r="F1503">
        <v>584</v>
      </c>
      <c r="G1503" s="4">
        <v>46087.5937962963</v>
      </c>
    </row>
    <row r="1504" spans="1:7" x14ac:dyDescent="0.3">
      <c r="A1504">
        <v>2696</v>
      </c>
      <c r="B1504" t="s">
        <v>146</v>
      </c>
      <c r="C1504">
        <v>51056809</v>
      </c>
      <c r="D1504">
        <v>41.871912218177776</v>
      </c>
      <c r="E1504" t="s">
        <v>94</v>
      </c>
      <c r="F1504">
        <v>839</v>
      </c>
      <c r="G1504" s="4">
        <v>46087.5937962963</v>
      </c>
    </row>
    <row r="1505" spans="1:7" x14ac:dyDescent="0.3">
      <c r="A1505">
        <v>2697</v>
      </c>
      <c r="B1505" t="s">
        <v>146</v>
      </c>
      <c r="C1505">
        <v>51018699</v>
      </c>
      <c r="D1505">
        <v>84.480601117477718</v>
      </c>
      <c r="E1505" t="s">
        <v>93</v>
      </c>
      <c r="F1505">
        <v>273</v>
      </c>
      <c r="G1505" s="4">
        <v>46087.5937962963</v>
      </c>
    </row>
    <row r="1506" spans="1:7" x14ac:dyDescent="0.3">
      <c r="A1506">
        <v>2698</v>
      </c>
      <c r="B1506" t="s">
        <v>146</v>
      </c>
      <c r="C1506">
        <v>51010019</v>
      </c>
      <c r="D1506">
        <v>89.447346800978835</v>
      </c>
      <c r="E1506" t="s">
        <v>92</v>
      </c>
      <c r="F1506">
        <v>144</v>
      </c>
      <c r="G1506" s="4">
        <v>46087.5937962963</v>
      </c>
    </row>
    <row r="1507" spans="1:7" x14ac:dyDescent="0.3">
      <c r="A1507">
        <v>2699</v>
      </c>
      <c r="B1507" t="s">
        <v>146</v>
      </c>
      <c r="C1507">
        <v>51010647</v>
      </c>
      <c r="D1507">
        <v>75.74406457385011</v>
      </c>
      <c r="E1507" t="s">
        <v>93</v>
      </c>
      <c r="F1507">
        <v>486</v>
      </c>
      <c r="G1507" s="4">
        <v>46087.5937962963</v>
      </c>
    </row>
    <row r="1508" spans="1:7" x14ac:dyDescent="0.3">
      <c r="A1508">
        <v>2700</v>
      </c>
      <c r="B1508" t="s">
        <v>146</v>
      </c>
      <c r="C1508">
        <v>51054881</v>
      </c>
      <c r="D1508">
        <v>55.617684044297334</v>
      </c>
      <c r="E1508" t="s">
        <v>94</v>
      </c>
      <c r="F1508">
        <v>729</v>
      </c>
      <c r="G1508" s="4">
        <v>46087.5937962963</v>
      </c>
    </row>
    <row r="1509" spans="1:7" x14ac:dyDescent="0.3">
      <c r="A1509">
        <v>2701</v>
      </c>
      <c r="B1509" t="s">
        <v>146</v>
      </c>
      <c r="C1509">
        <v>51019091</v>
      </c>
      <c r="D1509">
        <v>45.263893816410487</v>
      </c>
      <c r="E1509" t="s">
        <v>94</v>
      </c>
      <c r="F1509">
        <v>822</v>
      </c>
      <c r="G1509" s="4">
        <v>46087.5937962963</v>
      </c>
    </row>
    <row r="1510" spans="1:7" x14ac:dyDescent="0.3">
      <c r="A1510">
        <v>2702</v>
      </c>
      <c r="B1510" t="s">
        <v>146</v>
      </c>
      <c r="C1510">
        <v>51018931</v>
      </c>
      <c r="D1510">
        <v>84.175199781836227</v>
      </c>
      <c r="E1510" t="s">
        <v>93</v>
      </c>
      <c r="F1510">
        <v>285</v>
      </c>
      <c r="G1510" s="4">
        <v>46087.5937962963</v>
      </c>
    </row>
    <row r="1511" spans="1:7" x14ac:dyDescent="0.3">
      <c r="A1511">
        <v>2703</v>
      </c>
      <c r="B1511" t="s">
        <v>146</v>
      </c>
      <c r="C1511">
        <v>51057015</v>
      </c>
      <c r="D1511">
        <v>91.522029463595402</v>
      </c>
      <c r="E1511" t="s">
        <v>92</v>
      </c>
      <c r="F1511">
        <v>111</v>
      </c>
      <c r="G1511" s="4">
        <v>46087.5937962963</v>
      </c>
    </row>
    <row r="1512" spans="1:7" x14ac:dyDescent="0.3">
      <c r="A1512">
        <v>2704</v>
      </c>
      <c r="B1512" t="s">
        <v>146</v>
      </c>
      <c r="C1512">
        <v>51023421</v>
      </c>
      <c r="D1512">
        <v>85.509556691642786</v>
      </c>
      <c r="E1512" t="s">
        <v>93</v>
      </c>
      <c r="F1512">
        <v>255</v>
      </c>
      <c r="G1512" s="4">
        <v>46087.5937962963</v>
      </c>
    </row>
    <row r="1513" spans="1:7" x14ac:dyDescent="0.3">
      <c r="A1513">
        <v>2705</v>
      </c>
      <c r="B1513" t="s">
        <v>146</v>
      </c>
      <c r="C1513">
        <v>51012305</v>
      </c>
      <c r="D1513">
        <v>68.956002607885523</v>
      </c>
      <c r="E1513" t="s">
        <v>93</v>
      </c>
      <c r="F1513">
        <v>550</v>
      </c>
      <c r="G1513" s="4">
        <v>46087.5937962963</v>
      </c>
    </row>
    <row r="1514" spans="1:7" x14ac:dyDescent="0.3">
      <c r="A1514">
        <v>2706</v>
      </c>
      <c r="B1514" t="s">
        <v>146</v>
      </c>
      <c r="C1514">
        <v>51014219</v>
      </c>
      <c r="D1514">
        <v>36.109999999999992</v>
      </c>
      <c r="E1514" t="s">
        <v>94</v>
      </c>
      <c r="F1514">
        <v>861</v>
      </c>
      <c r="G1514" s="4">
        <v>46087.5937962963</v>
      </c>
    </row>
    <row r="1515" spans="1:7" x14ac:dyDescent="0.3">
      <c r="A1515">
        <v>2707</v>
      </c>
      <c r="B1515" t="s">
        <v>146</v>
      </c>
      <c r="C1515">
        <v>51030753</v>
      </c>
      <c r="D1515">
        <v>97.685155998040941</v>
      </c>
      <c r="E1515" t="s">
        <v>275</v>
      </c>
      <c r="F1515">
        <v>32</v>
      </c>
      <c r="G1515" s="4">
        <v>46087.5937962963</v>
      </c>
    </row>
    <row r="1516" spans="1:7" x14ac:dyDescent="0.3">
      <c r="A1516">
        <v>2708</v>
      </c>
      <c r="B1516" t="s">
        <v>146</v>
      </c>
      <c r="C1516">
        <v>51042336</v>
      </c>
      <c r="D1516">
        <v>61.381940225550728</v>
      </c>
      <c r="E1516" t="s">
        <v>94</v>
      </c>
      <c r="F1516">
        <v>622</v>
      </c>
      <c r="G1516" s="4">
        <v>46087.5937962963</v>
      </c>
    </row>
    <row r="1517" spans="1:7" x14ac:dyDescent="0.3">
      <c r="A1517">
        <v>2709</v>
      </c>
      <c r="B1517" t="s">
        <v>146</v>
      </c>
      <c r="C1517">
        <v>51023790</v>
      </c>
      <c r="D1517">
        <v>79.593060012610323</v>
      </c>
      <c r="E1517" t="s">
        <v>93</v>
      </c>
      <c r="F1517">
        <v>427</v>
      </c>
      <c r="G1517" s="4">
        <v>46087.5937962963</v>
      </c>
    </row>
    <row r="1518" spans="1:7" x14ac:dyDescent="0.3">
      <c r="A1518">
        <v>2710</v>
      </c>
      <c r="B1518" t="s">
        <v>146</v>
      </c>
      <c r="C1518">
        <v>51022378</v>
      </c>
      <c r="D1518">
        <v>22.773456880800357</v>
      </c>
      <c r="E1518" t="s">
        <v>95</v>
      </c>
      <c r="F1518">
        <v>956</v>
      </c>
      <c r="G1518" s="4">
        <v>46087.5937962963</v>
      </c>
    </row>
    <row r="1519" spans="1:7" x14ac:dyDescent="0.3">
      <c r="A1519">
        <v>2711</v>
      </c>
      <c r="B1519" t="s">
        <v>146</v>
      </c>
      <c r="C1519">
        <v>51052072</v>
      </c>
      <c r="D1519">
        <v>48.457203740153467</v>
      </c>
      <c r="E1519" t="s">
        <v>94</v>
      </c>
      <c r="F1519">
        <v>787</v>
      </c>
      <c r="G1519" s="4">
        <v>46087.5937962963</v>
      </c>
    </row>
    <row r="1520" spans="1:7" x14ac:dyDescent="0.3">
      <c r="A1520">
        <v>2712</v>
      </c>
      <c r="B1520" t="s">
        <v>146</v>
      </c>
      <c r="C1520">
        <v>51031946</v>
      </c>
      <c r="D1520">
        <v>83.29803750025539</v>
      </c>
      <c r="E1520" t="s">
        <v>93</v>
      </c>
      <c r="F1520">
        <v>319</v>
      </c>
      <c r="G1520" s="4">
        <v>46087.5937962963</v>
      </c>
    </row>
    <row r="1521" spans="1:7" x14ac:dyDescent="0.3">
      <c r="A1521">
        <v>2713</v>
      </c>
      <c r="B1521" t="s">
        <v>146</v>
      </c>
      <c r="C1521">
        <v>51010752</v>
      </c>
      <c r="D1521">
        <v>74.229714917215205</v>
      </c>
      <c r="E1521" t="s">
        <v>93</v>
      </c>
      <c r="F1521">
        <v>499</v>
      </c>
      <c r="G1521" s="4">
        <v>46087.5937962963</v>
      </c>
    </row>
    <row r="1522" spans="1:7" x14ac:dyDescent="0.3">
      <c r="A1522">
        <v>2714</v>
      </c>
      <c r="B1522" t="s">
        <v>146</v>
      </c>
      <c r="C1522">
        <v>51055594</v>
      </c>
      <c r="D1522">
        <v>82.870411035909115</v>
      </c>
      <c r="E1522" t="s">
        <v>93</v>
      </c>
      <c r="F1522">
        <v>336</v>
      </c>
      <c r="G1522" s="4">
        <v>46087.5937962963</v>
      </c>
    </row>
    <row r="1523" spans="1:7" x14ac:dyDescent="0.3">
      <c r="A1523">
        <v>2715</v>
      </c>
      <c r="B1523" t="s">
        <v>146</v>
      </c>
      <c r="C1523">
        <v>51041585</v>
      </c>
      <c r="D1523">
        <v>95.273011556085507</v>
      </c>
      <c r="E1523" t="s">
        <v>275</v>
      </c>
      <c r="F1523">
        <v>59</v>
      </c>
      <c r="G1523" s="4">
        <v>46087.5937962963</v>
      </c>
    </row>
    <row r="1524" spans="1:7" x14ac:dyDescent="0.3">
      <c r="A1524">
        <v>2716</v>
      </c>
      <c r="B1524" t="s">
        <v>146</v>
      </c>
      <c r="C1524">
        <v>51017455</v>
      </c>
      <c r="D1524">
        <v>97.750065829073122</v>
      </c>
      <c r="E1524" t="s">
        <v>275</v>
      </c>
      <c r="F1524">
        <v>30</v>
      </c>
      <c r="G1524" s="4">
        <v>46087.5937962963</v>
      </c>
    </row>
    <row r="1525" spans="1:7" x14ac:dyDescent="0.3">
      <c r="A1525">
        <v>2717</v>
      </c>
      <c r="B1525" t="s">
        <v>146</v>
      </c>
      <c r="C1525">
        <v>51033345</v>
      </c>
      <c r="D1525">
        <v>44.853215158401248</v>
      </c>
      <c r="E1525" t="s">
        <v>94</v>
      </c>
      <c r="F1525">
        <v>824</v>
      </c>
      <c r="G1525" s="4">
        <v>46087.5937962963</v>
      </c>
    </row>
    <row r="1526" spans="1:7" x14ac:dyDescent="0.3">
      <c r="A1526">
        <v>2718</v>
      </c>
      <c r="B1526" t="s">
        <v>146</v>
      </c>
      <c r="C1526">
        <v>51012399</v>
      </c>
      <c r="D1526">
        <v>77.339254700942604</v>
      </c>
      <c r="E1526" t="s">
        <v>93</v>
      </c>
      <c r="F1526">
        <v>462</v>
      </c>
      <c r="G1526" s="4">
        <v>46087.5937962963</v>
      </c>
    </row>
    <row r="1527" spans="1:7" x14ac:dyDescent="0.3">
      <c r="A1527">
        <v>2719</v>
      </c>
      <c r="B1527" t="s">
        <v>146</v>
      </c>
      <c r="C1527">
        <v>51034236</v>
      </c>
      <c r="D1527">
        <v>83.719449437683892</v>
      </c>
      <c r="E1527" t="s">
        <v>93</v>
      </c>
      <c r="F1527">
        <v>299</v>
      </c>
      <c r="G1527" s="4">
        <v>46087.5937962963</v>
      </c>
    </row>
    <row r="1528" spans="1:7" x14ac:dyDescent="0.3">
      <c r="A1528">
        <v>2720</v>
      </c>
      <c r="B1528" t="s">
        <v>146</v>
      </c>
      <c r="C1528">
        <v>51012941</v>
      </c>
      <c r="D1528">
        <v>100</v>
      </c>
      <c r="E1528" t="s">
        <v>275</v>
      </c>
      <c r="F1528">
        <v>1</v>
      </c>
      <c r="G1528" s="4">
        <v>46087.5937962963</v>
      </c>
    </row>
    <row r="1529" spans="1:7" x14ac:dyDescent="0.3">
      <c r="A1529">
        <v>2721</v>
      </c>
      <c r="B1529" t="s">
        <v>146</v>
      </c>
      <c r="C1529">
        <v>51011694</v>
      </c>
      <c r="D1529">
        <v>76.391655553061824</v>
      </c>
      <c r="E1529" t="s">
        <v>93</v>
      </c>
      <c r="F1529">
        <v>478</v>
      </c>
      <c r="G1529" s="4">
        <v>46087.5937962963</v>
      </c>
    </row>
    <row r="1530" spans="1:7" x14ac:dyDescent="0.3">
      <c r="A1530">
        <v>2722</v>
      </c>
      <c r="B1530" t="s">
        <v>146</v>
      </c>
      <c r="C1530">
        <v>51020197</v>
      </c>
      <c r="D1530">
        <v>86.884336196781774</v>
      </c>
      <c r="E1530" t="s">
        <v>92</v>
      </c>
      <c r="F1530">
        <v>201</v>
      </c>
      <c r="G1530" s="4">
        <v>46087.5937962963</v>
      </c>
    </row>
    <row r="1531" spans="1:7" x14ac:dyDescent="0.3">
      <c r="A1531">
        <v>2723</v>
      </c>
      <c r="B1531" t="s">
        <v>146</v>
      </c>
      <c r="C1531">
        <v>51003284</v>
      </c>
      <c r="D1531">
        <v>77.00197736279712</v>
      </c>
      <c r="E1531" t="s">
        <v>93</v>
      </c>
      <c r="F1531">
        <v>469</v>
      </c>
      <c r="G1531" s="4">
        <v>46087.5937962963</v>
      </c>
    </row>
    <row r="1532" spans="1:7" x14ac:dyDescent="0.3">
      <c r="A1532">
        <v>2724</v>
      </c>
      <c r="B1532" t="s">
        <v>146</v>
      </c>
      <c r="C1532">
        <v>51025342</v>
      </c>
      <c r="D1532">
        <v>30.01136102281496</v>
      </c>
      <c r="E1532" t="s">
        <v>94</v>
      </c>
      <c r="F1532">
        <v>910</v>
      </c>
      <c r="G1532" s="4">
        <v>46087.5937962963</v>
      </c>
    </row>
    <row r="1533" spans="1:7" x14ac:dyDescent="0.3">
      <c r="A1533">
        <v>2725</v>
      </c>
      <c r="B1533" t="s">
        <v>146</v>
      </c>
      <c r="C1533">
        <v>51030389</v>
      </c>
      <c r="D1533">
        <v>97.144373021663441</v>
      </c>
      <c r="E1533" t="s">
        <v>275</v>
      </c>
      <c r="F1533">
        <v>41</v>
      </c>
      <c r="G1533" s="4">
        <v>46087.5937962963</v>
      </c>
    </row>
    <row r="1534" spans="1:7" x14ac:dyDescent="0.3">
      <c r="A1534">
        <v>2726</v>
      </c>
      <c r="B1534" t="s">
        <v>146</v>
      </c>
      <c r="C1534">
        <v>51013581</v>
      </c>
      <c r="D1534">
        <v>56.551644036401953</v>
      </c>
      <c r="E1534" t="s">
        <v>94</v>
      </c>
      <c r="F1534">
        <v>721</v>
      </c>
      <c r="G1534" s="4">
        <v>46087.5937962963</v>
      </c>
    </row>
    <row r="1535" spans="1:7" x14ac:dyDescent="0.3">
      <c r="A1535">
        <v>2727</v>
      </c>
      <c r="B1535" t="s">
        <v>146</v>
      </c>
      <c r="C1535">
        <v>51056833</v>
      </c>
      <c r="D1535">
        <v>73.327934162386981</v>
      </c>
      <c r="E1535" t="s">
        <v>93</v>
      </c>
      <c r="F1535">
        <v>507</v>
      </c>
      <c r="G1535" s="4">
        <v>46087.5937962963</v>
      </c>
    </row>
    <row r="1536" spans="1:7" x14ac:dyDescent="0.3">
      <c r="A1536">
        <v>2728</v>
      </c>
      <c r="B1536" t="s">
        <v>146</v>
      </c>
      <c r="C1536">
        <v>51056086</v>
      </c>
      <c r="D1536">
        <v>82.330115871353257</v>
      </c>
      <c r="E1536" t="s">
        <v>93</v>
      </c>
      <c r="F1536">
        <v>355</v>
      </c>
      <c r="G1536" s="4">
        <v>46087.5937962963</v>
      </c>
    </row>
    <row r="1537" spans="1:7" x14ac:dyDescent="0.3">
      <c r="A1537">
        <v>2729</v>
      </c>
      <c r="B1537" t="s">
        <v>146</v>
      </c>
      <c r="C1537">
        <v>51055241</v>
      </c>
      <c r="D1537">
        <v>78.372773673523852</v>
      </c>
      <c r="E1537" t="s">
        <v>93</v>
      </c>
      <c r="F1537">
        <v>448</v>
      </c>
      <c r="G1537" s="4">
        <v>46087.5937962963</v>
      </c>
    </row>
    <row r="1538" spans="1:7" x14ac:dyDescent="0.3">
      <c r="A1538">
        <v>2730</v>
      </c>
      <c r="B1538" t="s">
        <v>146</v>
      </c>
      <c r="C1538">
        <v>51008669</v>
      </c>
      <c r="D1538">
        <v>79.955139453063552</v>
      </c>
      <c r="E1538" t="s">
        <v>93</v>
      </c>
      <c r="F1538">
        <v>420</v>
      </c>
      <c r="G1538" s="4">
        <v>46087.5937962963</v>
      </c>
    </row>
    <row r="1539" spans="1:7" x14ac:dyDescent="0.3">
      <c r="A1539">
        <v>2731</v>
      </c>
      <c r="B1539" t="s">
        <v>146</v>
      </c>
      <c r="C1539">
        <v>51031521</v>
      </c>
      <c r="D1539">
        <v>80.177657065711358</v>
      </c>
      <c r="E1539" t="s">
        <v>93</v>
      </c>
      <c r="F1539">
        <v>416</v>
      </c>
      <c r="G1539" s="4">
        <v>46087.5937962963</v>
      </c>
    </row>
    <row r="1540" spans="1:7" x14ac:dyDescent="0.3">
      <c r="A1540">
        <v>2732</v>
      </c>
      <c r="B1540" t="s">
        <v>146</v>
      </c>
      <c r="C1540">
        <v>51033477</v>
      </c>
      <c r="D1540">
        <v>46.213722465452541</v>
      </c>
      <c r="E1540" t="s">
        <v>94</v>
      </c>
      <c r="F1540">
        <v>815</v>
      </c>
      <c r="G1540" s="4">
        <v>46087.5937962963</v>
      </c>
    </row>
    <row r="1541" spans="1:7" x14ac:dyDescent="0.3">
      <c r="A1541">
        <v>2733</v>
      </c>
      <c r="B1541" t="s">
        <v>146</v>
      </c>
      <c r="C1541">
        <v>51020651</v>
      </c>
      <c r="D1541">
        <v>90.100998325158741</v>
      </c>
      <c r="E1541" t="s">
        <v>92</v>
      </c>
      <c r="F1541">
        <v>127</v>
      </c>
      <c r="G1541" s="4">
        <v>46087.5937962963</v>
      </c>
    </row>
    <row r="1542" spans="1:7" x14ac:dyDescent="0.3">
      <c r="A1542">
        <v>2734</v>
      </c>
      <c r="B1542" t="s">
        <v>146</v>
      </c>
      <c r="C1542">
        <v>51013409</v>
      </c>
      <c r="D1542">
        <v>59.006493148436725</v>
      </c>
      <c r="E1542" t="s">
        <v>94</v>
      </c>
      <c r="F1542">
        <v>663</v>
      </c>
      <c r="G1542" s="4">
        <v>46087.5937962963</v>
      </c>
    </row>
    <row r="1543" spans="1:7" x14ac:dyDescent="0.3">
      <c r="A1543">
        <v>2735</v>
      </c>
      <c r="B1543" t="s">
        <v>146</v>
      </c>
      <c r="C1543">
        <v>51030397</v>
      </c>
      <c r="D1543">
        <v>81.703061023689358</v>
      </c>
      <c r="E1543" t="s">
        <v>93</v>
      </c>
      <c r="F1543">
        <v>379</v>
      </c>
      <c r="G1543" s="4">
        <v>46087.5937962963</v>
      </c>
    </row>
    <row r="1544" spans="1:7" x14ac:dyDescent="0.3">
      <c r="A1544">
        <v>2736</v>
      </c>
      <c r="B1544" t="s">
        <v>146</v>
      </c>
      <c r="C1544">
        <v>51010353</v>
      </c>
      <c r="D1544">
        <v>61.602562084009669</v>
      </c>
      <c r="E1544" t="s">
        <v>94</v>
      </c>
      <c r="F1544">
        <v>619</v>
      </c>
      <c r="G1544" s="4">
        <v>46087.5937962963</v>
      </c>
    </row>
    <row r="1545" spans="1:7" x14ac:dyDescent="0.3">
      <c r="A1545">
        <v>2737</v>
      </c>
      <c r="B1545" t="s">
        <v>146</v>
      </c>
      <c r="C1545">
        <v>51054814</v>
      </c>
      <c r="D1545">
        <v>77.727612450090064</v>
      </c>
      <c r="E1545" t="s">
        <v>93</v>
      </c>
      <c r="F1545">
        <v>454</v>
      </c>
      <c r="G1545" s="4">
        <v>46087.5937962963</v>
      </c>
    </row>
    <row r="1546" spans="1:7" x14ac:dyDescent="0.3">
      <c r="A1546">
        <v>2738</v>
      </c>
      <c r="B1546" t="s">
        <v>146</v>
      </c>
      <c r="C1546">
        <v>51012372</v>
      </c>
      <c r="D1546">
        <v>79.436190835697218</v>
      </c>
      <c r="E1546" t="s">
        <v>93</v>
      </c>
      <c r="F1546">
        <v>430</v>
      </c>
      <c r="G1546" s="4">
        <v>46087.5937962963</v>
      </c>
    </row>
    <row r="1547" spans="1:7" x14ac:dyDescent="0.3">
      <c r="A1547">
        <v>2739</v>
      </c>
      <c r="B1547" t="s">
        <v>146</v>
      </c>
      <c r="C1547">
        <v>51036212</v>
      </c>
      <c r="D1547">
        <v>72.216857922860569</v>
      </c>
      <c r="E1547" t="s">
        <v>93</v>
      </c>
      <c r="F1547">
        <v>520</v>
      </c>
      <c r="G1547" s="4">
        <v>46087.5937962963</v>
      </c>
    </row>
    <row r="1548" spans="1:7" x14ac:dyDescent="0.3">
      <c r="A1548">
        <v>2740</v>
      </c>
      <c r="B1548" t="s">
        <v>146</v>
      </c>
      <c r="C1548">
        <v>51029984</v>
      </c>
      <c r="D1548">
        <v>63.473558543327968</v>
      </c>
      <c r="E1548" t="s">
        <v>93</v>
      </c>
      <c r="F1548">
        <v>585</v>
      </c>
      <c r="G1548" s="4">
        <v>46087.5937962963</v>
      </c>
    </row>
    <row r="1549" spans="1:7" x14ac:dyDescent="0.3">
      <c r="A1549">
        <v>2741</v>
      </c>
      <c r="B1549" t="s">
        <v>146</v>
      </c>
      <c r="C1549">
        <v>51039777</v>
      </c>
      <c r="D1549">
        <v>85.548930206433695</v>
      </c>
      <c r="E1549" t="s">
        <v>93</v>
      </c>
      <c r="F1549">
        <v>253</v>
      </c>
      <c r="G1549" s="4">
        <v>46087.5937962963</v>
      </c>
    </row>
    <row r="1550" spans="1:7" x14ac:dyDescent="0.3">
      <c r="A1550">
        <v>2742</v>
      </c>
      <c r="B1550" t="s">
        <v>146</v>
      </c>
      <c r="C1550">
        <v>51056183</v>
      </c>
      <c r="D1550">
        <v>85.064285282522832</v>
      </c>
      <c r="E1550" t="s">
        <v>93</v>
      </c>
      <c r="F1550">
        <v>264</v>
      </c>
      <c r="G1550" s="4">
        <v>46087.5937962963</v>
      </c>
    </row>
    <row r="1551" spans="1:7" x14ac:dyDescent="0.3">
      <c r="A1551">
        <v>2743</v>
      </c>
      <c r="B1551" t="s">
        <v>146</v>
      </c>
      <c r="C1551">
        <v>51039238</v>
      </c>
      <c r="D1551">
        <v>29.148821944347468</v>
      </c>
      <c r="E1551" t="s">
        <v>94</v>
      </c>
      <c r="F1551">
        <v>916</v>
      </c>
      <c r="G1551" s="4">
        <v>46087.5937962963</v>
      </c>
    </row>
    <row r="1552" spans="1:7" x14ac:dyDescent="0.3">
      <c r="A1552">
        <v>2744</v>
      </c>
      <c r="B1552" t="s">
        <v>146</v>
      </c>
      <c r="C1552">
        <v>51007701</v>
      </c>
      <c r="D1552">
        <v>84.216588632272689</v>
      </c>
      <c r="E1552" t="s">
        <v>93</v>
      </c>
      <c r="F1552">
        <v>284</v>
      </c>
      <c r="G1552" s="4">
        <v>46087.5937962963</v>
      </c>
    </row>
    <row r="1553" spans="1:7" x14ac:dyDescent="0.3">
      <c r="A1553">
        <v>2745</v>
      </c>
      <c r="B1553" t="s">
        <v>146</v>
      </c>
      <c r="C1553">
        <v>51034228</v>
      </c>
      <c r="D1553">
        <v>61.233502814878442</v>
      </c>
      <c r="E1553" t="s">
        <v>94</v>
      </c>
      <c r="F1553">
        <v>627</v>
      </c>
      <c r="G1553" s="4">
        <v>46087.5937962963</v>
      </c>
    </row>
    <row r="1554" spans="1:7" x14ac:dyDescent="0.3">
      <c r="A1554">
        <v>2746</v>
      </c>
      <c r="B1554" t="s">
        <v>146</v>
      </c>
      <c r="C1554">
        <v>51005295</v>
      </c>
      <c r="D1554">
        <v>34.306154839831791</v>
      </c>
      <c r="E1554" t="s">
        <v>94</v>
      </c>
      <c r="F1554">
        <v>869</v>
      </c>
      <c r="G1554" s="4">
        <v>46087.5937962963</v>
      </c>
    </row>
    <row r="1555" spans="1:7" x14ac:dyDescent="0.3">
      <c r="A1555">
        <v>2747</v>
      </c>
      <c r="B1555" t="s">
        <v>146</v>
      </c>
      <c r="C1555">
        <v>51023668</v>
      </c>
      <c r="D1555">
        <v>62.369397872528786</v>
      </c>
      <c r="E1555" t="s">
        <v>94</v>
      </c>
      <c r="F1555">
        <v>604</v>
      </c>
      <c r="G1555" s="4">
        <v>46087.5937962963</v>
      </c>
    </row>
    <row r="1556" spans="1:7" x14ac:dyDescent="0.3">
      <c r="A1556">
        <v>2748</v>
      </c>
      <c r="B1556" t="s">
        <v>146</v>
      </c>
      <c r="C1556">
        <v>51018851</v>
      </c>
      <c r="D1556">
        <v>46.048151399790065</v>
      </c>
      <c r="E1556" t="s">
        <v>94</v>
      </c>
      <c r="F1556">
        <v>817</v>
      </c>
      <c r="G1556" s="4">
        <v>46087.5937962963</v>
      </c>
    </row>
    <row r="1557" spans="1:7" x14ac:dyDescent="0.3">
      <c r="A1557">
        <v>2749</v>
      </c>
      <c r="B1557" t="s">
        <v>146</v>
      </c>
      <c r="C1557">
        <v>51042042</v>
      </c>
      <c r="D1557">
        <v>77.327950870489204</v>
      </c>
      <c r="E1557" t="s">
        <v>93</v>
      </c>
      <c r="F1557">
        <v>463</v>
      </c>
      <c r="G1557" s="4">
        <v>46087.5937962963</v>
      </c>
    </row>
    <row r="1558" spans="1:7" x14ac:dyDescent="0.3">
      <c r="A1558">
        <v>2750</v>
      </c>
      <c r="B1558" t="s">
        <v>146</v>
      </c>
      <c r="C1558">
        <v>51010817</v>
      </c>
      <c r="D1558">
        <v>49.76394533166544</v>
      </c>
      <c r="E1558" t="s">
        <v>94</v>
      </c>
      <c r="F1558">
        <v>775</v>
      </c>
      <c r="G1558" s="4">
        <v>46087.5937962963</v>
      </c>
    </row>
    <row r="1559" spans="1:7" x14ac:dyDescent="0.3">
      <c r="A1559">
        <v>2751</v>
      </c>
      <c r="B1559" t="s">
        <v>146</v>
      </c>
      <c r="C1559">
        <v>51022408</v>
      </c>
      <c r="D1559">
        <v>94.280353326522544</v>
      </c>
      <c r="E1559" t="s">
        <v>92</v>
      </c>
      <c r="F1559">
        <v>70</v>
      </c>
      <c r="G1559" s="4">
        <v>46087.5937962963</v>
      </c>
    </row>
    <row r="1560" spans="1:7" x14ac:dyDescent="0.3">
      <c r="A1560">
        <v>2752</v>
      </c>
      <c r="B1560" t="s">
        <v>146</v>
      </c>
      <c r="C1560">
        <v>51032578</v>
      </c>
      <c r="D1560">
        <v>22.959999999999997</v>
      </c>
      <c r="E1560" t="s">
        <v>95</v>
      </c>
      <c r="F1560">
        <v>955</v>
      </c>
      <c r="G1560" s="4">
        <v>46087.5937962963</v>
      </c>
    </row>
    <row r="1561" spans="1:7" x14ac:dyDescent="0.3">
      <c r="A1561">
        <v>2753</v>
      </c>
      <c r="B1561" t="s">
        <v>146</v>
      </c>
      <c r="C1561">
        <v>51017978</v>
      </c>
      <c r="D1561">
        <v>82.986843212397304</v>
      </c>
      <c r="E1561" t="s">
        <v>93</v>
      </c>
      <c r="F1561">
        <v>329</v>
      </c>
      <c r="G1561" s="4">
        <v>46087.5937962963</v>
      </c>
    </row>
    <row r="1562" spans="1:7" x14ac:dyDescent="0.3">
      <c r="A1562">
        <v>2754</v>
      </c>
      <c r="B1562" t="s">
        <v>146</v>
      </c>
      <c r="C1562">
        <v>51056868</v>
      </c>
      <c r="D1562">
        <v>87.863593381558047</v>
      </c>
      <c r="E1562" t="s">
        <v>92</v>
      </c>
      <c r="F1562">
        <v>180</v>
      </c>
      <c r="G1562" s="4">
        <v>46087.5937962963</v>
      </c>
    </row>
    <row r="1563" spans="1:7" x14ac:dyDescent="0.3">
      <c r="A1563">
        <v>2755</v>
      </c>
      <c r="B1563" t="s">
        <v>146</v>
      </c>
      <c r="C1563">
        <v>51056566</v>
      </c>
      <c r="D1563">
        <v>84.473333890955971</v>
      </c>
      <c r="E1563" t="s">
        <v>93</v>
      </c>
      <c r="F1563">
        <v>275</v>
      </c>
      <c r="G1563" s="4">
        <v>46087.5937962963</v>
      </c>
    </row>
    <row r="1564" spans="1:7" x14ac:dyDescent="0.3">
      <c r="A1564">
        <v>2756</v>
      </c>
      <c r="B1564" t="s">
        <v>146</v>
      </c>
      <c r="C1564">
        <v>51005112</v>
      </c>
      <c r="D1564">
        <v>35.140455336370906</v>
      </c>
      <c r="E1564" t="s">
        <v>94</v>
      </c>
      <c r="F1564">
        <v>865</v>
      </c>
      <c r="G1564" s="4">
        <v>46087.5937962963</v>
      </c>
    </row>
    <row r="1565" spans="1:7" x14ac:dyDescent="0.3">
      <c r="A1565">
        <v>2757</v>
      </c>
      <c r="B1565" t="s">
        <v>146</v>
      </c>
      <c r="C1565">
        <v>51019946</v>
      </c>
      <c r="D1565">
        <v>80.467983362916442</v>
      </c>
      <c r="E1565" t="s">
        <v>93</v>
      </c>
      <c r="F1565">
        <v>407</v>
      </c>
      <c r="G1565" s="4">
        <v>46087.5937962963</v>
      </c>
    </row>
    <row r="1566" spans="1:7" x14ac:dyDescent="0.3">
      <c r="A1566">
        <v>2758</v>
      </c>
      <c r="B1566" t="s">
        <v>146</v>
      </c>
      <c r="C1566">
        <v>51027116</v>
      </c>
      <c r="D1566">
        <v>88.583689134066901</v>
      </c>
      <c r="E1566" t="s">
        <v>92</v>
      </c>
      <c r="F1566">
        <v>162</v>
      </c>
      <c r="G1566" s="4">
        <v>46087.5937962963</v>
      </c>
    </row>
    <row r="1567" spans="1:7" x14ac:dyDescent="0.3">
      <c r="A1567">
        <v>2759</v>
      </c>
      <c r="B1567" t="s">
        <v>146</v>
      </c>
      <c r="C1567">
        <v>51042051</v>
      </c>
      <c r="D1567">
        <v>96.71994884341899</v>
      </c>
      <c r="E1567" t="s">
        <v>275</v>
      </c>
      <c r="F1567">
        <v>43</v>
      </c>
      <c r="G1567" s="4">
        <v>46087.5937962963</v>
      </c>
    </row>
    <row r="1568" spans="1:7" x14ac:dyDescent="0.3">
      <c r="A1568">
        <v>2760</v>
      </c>
      <c r="B1568" t="s">
        <v>146</v>
      </c>
      <c r="C1568">
        <v>51024702</v>
      </c>
      <c r="D1568">
        <v>85.859377926211948</v>
      </c>
      <c r="E1568" t="s">
        <v>93</v>
      </c>
      <c r="F1568">
        <v>241</v>
      </c>
      <c r="G1568" s="4">
        <v>46087.5937962963</v>
      </c>
    </row>
    <row r="1569" spans="1:7" x14ac:dyDescent="0.3">
      <c r="A1569">
        <v>2761</v>
      </c>
      <c r="B1569" t="s">
        <v>146</v>
      </c>
      <c r="C1569">
        <v>51000251</v>
      </c>
      <c r="D1569">
        <v>48.189734491171514</v>
      </c>
      <c r="E1569" t="s">
        <v>94</v>
      </c>
      <c r="F1569">
        <v>790</v>
      </c>
      <c r="G1569" s="4">
        <v>46087.5937962963</v>
      </c>
    </row>
    <row r="1570" spans="1:7" x14ac:dyDescent="0.3">
      <c r="A1570">
        <v>2762</v>
      </c>
      <c r="B1570" t="s">
        <v>146</v>
      </c>
      <c r="C1570">
        <v>51036778</v>
      </c>
      <c r="D1570">
        <v>84.886309503161783</v>
      </c>
      <c r="E1570" t="s">
        <v>93</v>
      </c>
      <c r="F1570">
        <v>267</v>
      </c>
      <c r="G1570" s="4">
        <v>46087.5937962963</v>
      </c>
    </row>
    <row r="1571" spans="1:7" x14ac:dyDescent="0.3">
      <c r="A1571">
        <v>2763</v>
      </c>
      <c r="B1571" t="s">
        <v>146</v>
      </c>
      <c r="C1571">
        <v>51056850</v>
      </c>
      <c r="D1571">
        <v>61.716486044608558</v>
      </c>
      <c r="E1571" t="s">
        <v>94</v>
      </c>
      <c r="F1571">
        <v>617</v>
      </c>
      <c r="G1571" s="4">
        <v>46087.5937962963</v>
      </c>
    </row>
    <row r="1572" spans="1:7" x14ac:dyDescent="0.3">
      <c r="A1572">
        <v>2764</v>
      </c>
      <c r="B1572" t="s">
        <v>146</v>
      </c>
      <c r="C1572">
        <v>51054989</v>
      </c>
      <c r="D1572">
        <v>91.923117856052315</v>
      </c>
      <c r="E1572" t="s">
        <v>92</v>
      </c>
      <c r="F1572">
        <v>100</v>
      </c>
      <c r="G1572" s="4">
        <v>46087.5937962963</v>
      </c>
    </row>
    <row r="1573" spans="1:7" x14ac:dyDescent="0.3">
      <c r="A1573">
        <v>2765</v>
      </c>
      <c r="B1573" t="s">
        <v>146</v>
      </c>
      <c r="C1573">
        <v>51018737</v>
      </c>
      <c r="D1573">
        <v>84.238788782447699</v>
      </c>
      <c r="E1573" t="s">
        <v>93</v>
      </c>
      <c r="F1573">
        <v>282</v>
      </c>
      <c r="G1573" s="4">
        <v>46087.5937962963</v>
      </c>
    </row>
    <row r="1574" spans="1:7" x14ac:dyDescent="0.3">
      <c r="A1574">
        <v>2766</v>
      </c>
      <c r="B1574" t="s">
        <v>146</v>
      </c>
      <c r="C1574">
        <v>51023811</v>
      </c>
      <c r="D1574">
        <v>61.973309273926617</v>
      </c>
      <c r="E1574" t="s">
        <v>94</v>
      </c>
      <c r="F1574">
        <v>611</v>
      </c>
      <c r="G1574" s="4">
        <v>46087.5937962963</v>
      </c>
    </row>
    <row r="1575" spans="1:7" x14ac:dyDescent="0.3">
      <c r="A1575">
        <v>2767</v>
      </c>
      <c r="B1575" t="s">
        <v>146</v>
      </c>
      <c r="C1575">
        <v>51040899</v>
      </c>
      <c r="D1575">
        <v>93.451930512960431</v>
      </c>
      <c r="E1575" t="s">
        <v>92</v>
      </c>
      <c r="F1575">
        <v>79</v>
      </c>
      <c r="G1575" s="4">
        <v>46087.5937962963</v>
      </c>
    </row>
    <row r="1576" spans="1:7" x14ac:dyDescent="0.3">
      <c r="A1576">
        <v>2768</v>
      </c>
      <c r="B1576" t="s">
        <v>146</v>
      </c>
      <c r="C1576">
        <v>51022149</v>
      </c>
      <c r="D1576">
        <v>57.057851347354656</v>
      </c>
      <c r="E1576" t="s">
        <v>94</v>
      </c>
      <c r="F1576">
        <v>713</v>
      </c>
      <c r="G1576" s="4">
        <v>46087.5937962963</v>
      </c>
    </row>
    <row r="1577" spans="1:7" x14ac:dyDescent="0.3">
      <c r="A1577">
        <v>2769</v>
      </c>
      <c r="B1577" t="s">
        <v>146</v>
      </c>
      <c r="C1577">
        <v>51014189</v>
      </c>
      <c r="D1577">
        <v>84.733341910933362</v>
      </c>
      <c r="E1577" t="s">
        <v>93</v>
      </c>
      <c r="F1577">
        <v>270</v>
      </c>
      <c r="G1577" s="4">
        <v>46087.5937962963</v>
      </c>
    </row>
    <row r="1578" spans="1:7" x14ac:dyDescent="0.3">
      <c r="A1578">
        <v>2770</v>
      </c>
      <c r="B1578" t="s">
        <v>146</v>
      </c>
      <c r="C1578">
        <v>51011538</v>
      </c>
      <c r="D1578">
        <v>42.143084926463793</v>
      </c>
      <c r="E1578" t="s">
        <v>94</v>
      </c>
      <c r="F1578">
        <v>837</v>
      </c>
      <c r="G1578" s="4">
        <v>46087.5937962963</v>
      </c>
    </row>
    <row r="1579" spans="1:7" x14ac:dyDescent="0.3">
      <c r="A1579">
        <v>2771</v>
      </c>
      <c r="B1579" t="s">
        <v>146</v>
      </c>
      <c r="C1579">
        <v>51011686</v>
      </c>
      <c r="D1579">
        <v>86.113109241248281</v>
      </c>
      <c r="E1579" t="s">
        <v>92</v>
      </c>
      <c r="F1579">
        <v>235</v>
      </c>
      <c r="G1579" s="4">
        <v>46087.5937962963</v>
      </c>
    </row>
    <row r="1580" spans="1:7" x14ac:dyDescent="0.3">
      <c r="A1580">
        <v>2772</v>
      </c>
      <c r="B1580" t="s">
        <v>146</v>
      </c>
      <c r="C1580">
        <v>51055896</v>
      </c>
      <c r="D1580">
        <v>29.256649525216186</v>
      </c>
      <c r="E1580" t="s">
        <v>94</v>
      </c>
      <c r="F1580">
        <v>915</v>
      </c>
      <c r="G1580" s="4">
        <v>46087.5937962963</v>
      </c>
    </row>
    <row r="1581" spans="1:7" x14ac:dyDescent="0.3">
      <c r="A1581">
        <v>2773</v>
      </c>
      <c r="B1581" t="s">
        <v>146</v>
      </c>
      <c r="C1581">
        <v>51054962</v>
      </c>
      <c r="D1581">
        <v>49.978860506511751</v>
      </c>
      <c r="E1581" t="s">
        <v>94</v>
      </c>
      <c r="F1581">
        <v>771</v>
      </c>
      <c r="G1581" s="4">
        <v>46087.5937962963</v>
      </c>
    </row>
    <row r="1582" spans="1:7" x14ac:dyDescent="0.3">
      <c r="A1582">
        <v>2774</v>
      </c>
      <c r="B1582" t="s">
        <v>146</v>
      </c>
      <c r="C1582">
        <v>51021584</v>
      </c>
      <c r="D1582">
        <v>83.472041673916394</v>
      </c>
      <c r="E1582" t="s">
        <v>93</v>
      </c>
      <c r="F1582">
        <v>308</v>
      </c>
      <c r="G1582" s="4">
        <v>46087.5937962963</v>
      </c>
    </row>
    <row r="1583" spans="1:7" x14ac:dyDescent="0.3">
      <c r="A1583">
        <v>2775</v>
      </c>
      <c r="B1583" t="s">
        <v>146</v>
      </c>
      <c r="C1583">
        <v>51014642</v>
      </c>
      <c r="D1583">
        <v>91.849556374591842</v>
      </c>
      <c r="E1583" t="s">
        <v>92</v>
      </c>
      <c r="F1583">
        <v>101</v>
      </c>
      <c r="G1583" s="4">
        <v>46087.5937962963</v>
      </c>
    </row>
    <row r="1584" spans="1:7" x14ac:dyDescent="0.3">
      <c r="A1584">
        <v>2776</v>
      </c>
      <c r="B1584" t="s">
        <v>146</v>
      </c>
      <c r="C1584">
        <v>51038878</v>
      </c>
      <c r="D1584">
        <v>47.075956893523404</v>
      </c>
      <c r="E1584" t="s">
        <v>94</v>
      </c>
      <c r="F1584">
        <v>807</v>
      </c>
      <c r="G1584" s="4">
        <v>46087.5937962963</v>
      </c>
    </row>
    <row r="1585" spans="1:7" x14ac:dyDescent="0.3">
      <c r="A1585">
        <v>2777</v>
      </c>
      <c r="B1585" t="s">
        <v>146</v>
      </c>
      <c r="C1585">
        <v>51055292</v>
      </c>
      <c r="D1585">
        <v>77.388496721552841</v>
      </c>
      <c r="E1585" t="s">
        <v>93</v>
      </c>
      <c r="F1585">
        <v>460</v>
      </c>
      <c r="G1585" s="4">
        <v>46087.5937962963</v>
      </c>
    </row>
    <row r="1586" spans="1:7" x14ac:dyDescent="0.3">
      <c r="A1586">
        <v>2778</v>
      </c>
      <c r="B1586" t="s">
        <v>146</v>
      </c>
      <c r="C1586">
        <v>51011601</v>
      </c>
      <c r="D1586">
        <v>80.293291875410432</v>
      </c>
      <c r="E1586" t="s">
        <v>93</v>
      </c>
      <c r="F1586">
        <v>412</v>
      </c>
      <c r="G1586" s="4">
        <v>46087.5937962963</v>
      </c>
    </row>
    <row r="1587" spans="1:7" x14ac:dyDescent="0.3">
      <c r="A1587">
        <v>2779</v>
      </c>
      <c r="B1587" t="s">
        <v>146</v>
      </c>
      <c r="C1587">
        <v>51022866</v>
      </c>
      <c r="D1587">
        <v>62.251813102524835</v>
      </c>
      <c r="E1587" t="s">
        <v>94</v>
      </c>
      <c r="F1587">
        <v>606</v>
      </c>
      <c r="G1587" s="4">
        <v>46087.5937962963</v>
      </c>
    </row>
    <row r="1588" spans="1:7" x14ac:dyDescent="0.3">
      <c r="A1588">
        <v>2780</v>
      </c>
      <c r="B1588" t="s">
        <v>146</v>
      </c>
      <c r="C1588">
        <v>51017820</v>
      </c>
      <c r="D1588">
        <v>27.429537511727496</v>
      </c>
      <c r="E1588" t="s">
        <v>94</v>
      </c>
      <c r="F1588">
        <v>935</v>
      </c>
      <c r="G1588" s="4">
        <v>46087.5937962963</v>
      </c>
    </row>
    <row r="1589" spans="1:7" x14ac:dyDescent="0.3">
      <c r="A1589">
        <v>2781</v>
      </c>
      <c r="B1589" t="s">
        <v>146</v>
      </c>
      <c r="C1589">
        <v>51030761</v>
      </c>
      <c r="D1589">
        <v>30.408635613644762</v>
      </c>
      <c r="E1589" t="s">
        <v>94</v>
      </c>
      <c r="F1589">
        <v>906</v>
      </c>
      <c r="G1589" s="4">
        <v>46087.5937962963</v>
      </c>
    </row>
    <row r="1590" spans="1:7" x14ac:dyDescent="0.3">
      <c r="A1590">
        <v>2782</v>
      </c>
      <c r="B1590" t="s">
        <v>146</v>
      </c>
      <c r="C1590">
        <v>51008294</v>
      </c>
      <c r="D1590">
        <v>59.108191935333501</v>
      </c>
      <c r="E1590" t="s">
        <v>94</v>
      </c>
      <c r="F1590">
        <v>662</v>
      </c>
      <c r="G1590" s="4">
        <v>46087.5937962963</v>
      </c>
    </row>
    <row r="1591" spans="1:7" x14ac:dyDescent="0.3">
      <c r="A1591">
        <v>2783</v>
      </c>
      <c r="B1591" t="s">
        <v>146</v>
      </c>
      <c r="C1591">
        <v>51055501</v>
      </c>
      <c r="D1591">
        <v>70.078825591032967</v>
      </c>
      <c r="E1591" t="s">
        <v>93</v>
      </c>
      <c r="F1591">
        <v>542</v>
      </c>
      <c r="G1591" s="4">
        <v>46087.5937962963</v>
      </c>
    </row>
    <row r="1592" spans="1:7" x14ac:dyDescent="0.3">
      <c r="A1592">
        <v>2784</v>
      </c>
      <c r="B1592" t="s">
        <v>146</v>
      </c>
      <c r="C1592">
        <v>51038886</v>
      </c>
      <c r="D1592">
        <v>99.93903540797676</v>
      </c>
      <c r="E1592" t="s">
        <v>275</v>
      </c>
      <c r="F1592">
        <v>18</v>
      </c>
      <c r="G1592" s="4">
        <v>46087.5937962963</v>
      </c>
    </row>
    <row r="1593" spans="1:7" x14ac:dyDescent="0.3">
      <c r="A1593">
        <v>2785</v>
      </c>
      <c r="B1593" t="s">
        <v>146</v>
      </c>
      <c r="C1593">
        <v>51020316</v>
      </c>
      <c r="D1593">
        <v>95.954238928695702</v>
      </c>
      <c r="E1593" t="s">
        <v>275</v>
      </c>
      <c r="F1593">
        <v>53</v>
      </c>
      <c r="G1593" s="4">
        <v>46087.5937962963</v>
      </c>
    </row>
    <row r="1594" spans="1:7" x14ac:dyDescent="0.3">
      <c r="A1594">
        <v>2786</v>
      </c>
      <c r="B1594" t="s">
        <v>146</v>
      </c>
      <c r="C1594">
        <v>51055675</v>
      </c>
      <c r="D1594">
        <v>89.614030422101777</v>
      </c>
      <c r="E1594" t="s">
        <v>92</v>
      </c>
      <c r="F1594">
        <v>139</v>
      </c>
      <c r="G1594" s="4">
        <v>46087.5937962963</v>
      </c>
    </row>
    <row r="1595" spans="1:7" x14ac:dyDescent="0.3">
      <c r="A1595">
        <v>2787</v>
      </c>
      <c r="B1595" t="s">
        <v>146</v>
      </c>
      <c r="C1595">
        <v>51012577</v>
      </c>
      <c r="D1595">
        <v>93.658319252847662</v>
      </c>
      <c r="E1595" t="s">
        <v>92</v>
      </c>
      <c r="F1595">
        <v>75</v>
      </c>
      <c r="G1595" s="4">
        <v>46087.5937962963</v>
      </c>
    </row>
    <row r="1596" spans="1:7" x14ac:dyDescent="0.3">
      <c r="A1596">
        <v>2788</v>
      </c>
      <c r="B1596" t="s">
        <v>146</v>
      </c>
      <c r="C1596">
        <v>51017706</v>
      </c>
      <c r="D1596">
        <v>97.50113902657921</v>
      </c>
      <c r="E1596" t="s">
        <v>275</v>
      </c>
      <c r="F1596">
        <v>35</v>
      </c>
      <c r="G1596" s="4">
        <v>46087.5937962963</v>
      </c>
    </row>
    <row r="1597" spans="1:7" x14ac:dyDescent="0.3">
      <c r="A1597">
        <v>2789</v>
      </c>
      <c r="B1597" t="s">
        <v>146</v>
      </c>
      <c r="C1597">
        <v>51011236</v>
      </c>
      <c r="D1597">
        <v>83.58030550614356</v>
      </c>
      <c r="E1597" t="s">
        <v>93</v>
      </c>
      <c r="F1597">
        <v>301</v>
      </c>
      <c r="G1597" s="4">
        <v>46087.5937962963</v>
      </c>
    </row>
    <row r="1598" spans="1:7" x14ac:dyDescent="0.3">
      <c r="A1598">
        <v>2790</v>
      </c>
      <c r="B1598" t="s">
        <v>146</v>
      </c>
      <c r="C1598">
        <v>51030524</v>
      </c>
      <c r="D1598">
        <v>32.584659697658637</v>
      </c>
      <c r="E1598" t="s">
        <v>94</v>
      </c>
      <c r="F1598">
        <v>883</v>
      </c>
      <c r="G1598" s="4">
        <v>46087.5937962963</v>
      </c>
    </row>
    <row r="1599" spans="1:7" x14ac:dyDescent="0.3">
      <c r="A1599">
        <v>2791</v>
      </c>
      <c r="B1599" t="s">
        <v>146</v>
      </c>
      <c r="C1599">
        <v>51003365</v>
      </c>
      <c r="D1599">
        <v>72.457665072743751</v>
      </c>
      <c r="E1599" t="s">
        <v>93</v>
      </c>
      <c r="F1599">
        <v>516</v>
      </c>
      <c r="G1599" s="4">
        <v>46087.5937962963</v>
      </c>
    </row>
    <row r="1600" spans="1:7" x14ac:dyDescent="0.3">
      <c r="A1600">
        <v>2792</v>
      </c>
      <c r="B1600" t="s">
        <v>146</v>
      </c>
      <c r="C1600">
        <v>51031989</v>
      </c>
      <c r="D1600">
        <v>86.595075290993918</v>
      </c>
      <c r="E1600" t="s">
        <v>92</v>
      </c>
      <c r="F1600">
        <v>213</v>
      </c>
      <c r="G1600" s="4">
        <v>46087.5937962963</v>
      </c>
    </row>
    <row r="1601" spans="1:7" x14ac:dyDescent="0.3">
      <c r="A1601">
        <v>2793</v>
      </c>
      <c r="B1601" t="s">
        <v>146</v>
      </c>
      <c r="C1601">
        <v>51010922</v>
      </c>
      <c r="D1601">
        <v>54.017041174901252</v>
      </c>
      <c r="E1601" t="s">
        <v>94</v>
      </c>
      <c r="F1601">
        <v>744</v>
      </c>
      <c r="G1601" s="4">
        <v>46087.5937962963</v>
      </c>
    </row>
    <row r="1602" spans="1:7" x14ac:dyDescent="0.3">
      <c r="A1602">
        <v>2794</v>
      </c>
      <c r="B1602" t="s">
        <v>146</v>
      </c>
      <c r="C1602">
        <v>51040031</v>
      </c>
      <c r="D1602">
        <v>87.642925694289573</v>
      </c>
      <c r="E1602" t="s">
        <v>92</v>
      </c>
      <c r="F1602">
        <v>192</v>
      </c>
      <c r="G1602" s="4">
        <v>46087.5937962963</v>
      </c>
    </row>
    <row r="1603" spans="1:7" x14ac:dyDescent="0.3">
      <c r="A1603">
        <v>2795</v>
      </c>
      <c r="B1603" t="s">
        <v>146</v>
      </c>
      <c r="C1603">
        <v>51027108</v>
      </c>
      <c r="D1603">
        <v>86.655624746835244</v>
      </c>
      <c r="E1603" t="s">
        <v>92</v>
      </c>
      <c r="F1603">
        <v>211</v>
      </c>
      <c r="G1603" s="4">
        <v>46087.5937962963</v>
      </c>
    </row>
    <row r="1604" spans="1:7" x14ac:dyDescent="0.3">
      <c r="A1604">
        <v>2796</v>
      </c>
      <c r="B1604" t="s">
        <v>146</v>
      </c>
      <c r="C1604">
        <v>51022971</v>
      </c>
      <c r="D1604">
        <v>79.866227171303734</v>
      </c>
      <c r="E1604" t="s">
        <v>93</v>
      </c>
      <c r="F1604">
        <v>423</v>
      </c>
      <c r="G1604" s="4">
        <v>46087.5937962963</v>
      </c>
    </row>
    <row r="1605" spans="1:7" x14ac:dyDescent="0.3">
      <c r="A1605">
        <v>2797</v>
      </c>
      <c r="B1605" t="s">
        <v>146</v>
      </c>
      <c r="C1605">
        <v>51023005</v>
      </c>
      <c r="D1605">
        <v>89.79510672084858</v>
      </c>
      <c r="E1605" t="s">
        <v>92</v>
      </c>
      <c r="F1605">
        <v>133</v>
      </c>
      <c r="G1605" s="4">
        <v>46087.5937962963</v>
      </c>
    </row>
    <row r="1606" spans="1:7" x14ac:dyDescent="0.3">
      <c r="A1606">
        <v>2798</v>
      </c>
      <c r="B1606" t="s">
        <v>146</v>
      </c>
      <c r="C1606">
        <v>51002610</v>
      </c>
      <c r="D1606">
        <v>84.710306375184871</v>
      </c>
      <c r="E1606" t="s">
        <v>93</v>
      </c>
      <c r="F1606">
        <v>271</v>
      </c>
      <c r="G1606" s="4">
        <v>46087.5937962963</v>
      </c>
    </row>
    <row r="1607" spans="1:7" x14ac:dyDescent="0.3">
      <c r="A1607">
        <v>2799</v>
      </c>
      <c r="B1607" t="s">
        <v>146</v>
      </c>
      <c r="C1607">
        <v>51056116</v>
      </c>
      <c r="D1607">
        <v>97.150165684528417</v>
      </c>
      <c r="E1607" t="s">
        <v>275</v>
      </c>
      <c r="F1607">
        <v>40</v>
      </c>
      <c r="G1607" s="4">
        <v>46087.5937962963</v>
      </c>
    </row>
    <row r="1608" spans="1:7" x14ac:dyDescent="0.3">
      <c r="A1608">
        <v>2800</v>
      </c>
      <c r="B1608" t="s">
        <v>146</v>
      </c>
      <c r="C1608">
        <v>51020979</v>
      </c>
      <c r="D1608">
        <v>62.747827445605147</v>
      </c>
      <c r="E1608" t="s">
        <v>93</v>
      </c>
      <c r="F1608">
        <v>595</v>
      </c>
      <c r="G1608" s="4">
        <v>46087.5937962963</v>
      </c>
    </row>
    <row r="1609" spans="1:7" x14ac:dyDescent="0.3">
      <c r="A1609">
        <v>2801</v>
      </c>
      <c r="B1609" t="s">
        <v>146</v>
      </c>
      <c r="C1609">
        <v>51015207</v>
      </c>
      <c r="D1609">
        <v>85.608344288229688</v>
      </c>
      <c r="E1609" t="s">
        <v>93</v>
      </c>
      <c r="F1609">
        <v>251</v>
      </c>
      <c r="G1609" s="4">
        <v>46087.5937962963</v>
      </c>
    </row>
    <row r="1610" spans="1:7" x14ac:dyDescent="0.3">
      <c r="A1610">
        <v>2802</v>
      </c>
      <c r="B1610" t="s">
        <v>146</v>
      </c>
      <c r="C1610">
        <v>51007549</v>
      </c>
      <c r="D1610">
        <v>89.206600441919747</v>
      </c>
      <c r="E1610" t="s">
        <v>92</v>
      </c>
      <c r="F1610">
        <v>146</v>
      </c>
      <c r="G1610" s="4">
        <v>46087.5937962963</v>
      </c>
    </row>
    <row r="1611" spans="1:7" x14ac:dyDescent="0.3">
      <c r="A1611">
        <v>2803</v>
      </c>
      <c r="B1611" t="s">
        <v>146</v>
      </c>
      <c r="C1611">
        <v>51032624</v>
      </c>
      <c r="D1611">
        <v>58.038329788289587</v>
      </c>
      <c r="E1611" t="s">
        <v>94</v>
      </c>
      <c r="F1611">
        <v>687</v>
      </c>
      <c r="G1611" s="4">
        <v>46087.5937962963</v>
      </c>
    </row>
    <row r="1612" spans="1:7" x14ac:dyDescent="0.3">
      <c r="A1612">
        <v>2804</v>
      </c>
      <c r="B1612" t="s">
        <v>146</v>
      </c>
      <c r="C1612">
        <v>51002555</v>
      </c>
      <c r="D1612">
        <v>97.319461559598167</v>
      </c>
      <c r="E1612" t="s">
        <v>275</v>
      </c>
      <c r="F1612">
        <v>38</v>
      </c>
      <c r="G1612" s="4">
        <v>46087.5937962963</v>
      </c>
    </row>
    <row r="1613" spans="1:7" x14ac:dyDescent="0.3">
      <c r="A1613">
        <v>2805</v>
      </c>
      <c r="B1613" t="s">
        <v>146</v>
      </c>
      <c r="C1613">
        <v>51029879</v>
      </c>
      <c r="D1613">
        <v>79.449368228894912</v>
      </c>
      <c r="E1613" t="s">
        <v>93</v>
      </c>
      <c r="F1613">
        <v>429</v>
      </c>
      <c r="G1613" s="4">
        <v>46087.5937962963</v>
      </c>
    </row>
    <row r="1614" spans="1:7" x14ac:dyDescent="0.3">
      <c r="A1614">
        <v>2806</v>
      </c>
      <c r="B1614" t="s">
        <v>146</v>
      </c>
      <c r="C1614">
        <v>51011147</v>
      </c>
      <c r="D1614">
        <v>75.497008927725474</v>
      </c>
      <c r="E1614" t="s">
        <v>93</v>
      </c>
      <c r="F1614">
        <v>488</v>
      </c>
      <c r="G1614" s="4">
        <v>46087.5937962963</v>
      </c>
    </row>
    <row r="1615" spans="1:7" x14ac:dyDescent="0.3">
      <c r="A1615">
        <v>2807</v>
      </c>
      <c r="B1615" t="s">
        <v>146</v>
      </c>
      <c r="C1615">
        <v>51030427</v>
      </c>
      <c r="D1615">
        <v>100</v>
      </c>
      <c r="E1615" t="s">
        <v>275</v>
      </c>
      <c r="F1615">
        <v>1</v>
      </c>
      <c r="G1615" s="4">
        <v>46087.5937962963</v>
      </c>
    </row>
    <row r="1616" spans="1:7" x14ac:dyDescent="0.3">
      <c r="A1616">
        <v>2808</v>
      </c>
      <c r="B1616" t="s">
        <v>146</v>
      </c>
      <c r="C1616">
        <v>51032675</v>
      </c>
      <c r="D1616">
        <v>82.079025175845274</v>
      </c>
      <c r="E1616" t="s">
        <v>93</v>
      </c>
      <c r="F1616">
        <v>364</v>
      </c>
      <c r="G1616" s="4">
        <v>46087.5937962963</v>
      </c>
    </row>
    <row r="1617" spans="1:7" x14ac:dyDescent="0.3">
      <c r="A1617">
        <v>2809</v>
      </c>
      <c r="B1617" t="s">
        <v>146</v>
      </c>
      <c r="C1617">
        <v>51042921</v>
      </c>
      <c r="D1617">
        <v>86.27393302929616</v>
      </c>
      <c r="E1617" t="s">
        <v>92</v>
      </c>
      <c r="F1617">
        <v>225</v>
      </c>
      <c r="G1617" s="4">
        <v>46087.5937962963</v>
      </c>
    </row>
    <row r="1618" spans="1:7" x14ac:dyDescent="0.3">
      <c r="A1618">
        <v>2810</v>
      </c>
      <c r="B1618" t="s">
        <v>146</v>
      </c>
      <c r="C1618">
        <v>51056272</v>
      </c>
      <c r="D1618">
        <v>62.762564125618219</v>
      </c>
      <c r="E1618" t="s">
        <v>93</v>
      </c>
      <c r="F1618">
        <v>594</v>
      </c>
      <c r="G1618" s="4">
        <v>46087.5937962963</v>
      </c>
    </row>
    <row r="1619" spans="1:7" x14ac:dyDescent="0.3">
      <c r="A1619">
        <v>2811</v>
      </c>
      <c r="B1619" t="s">
        <v>146</v>
      </c>
      <c r="C1619">
        <v>51007883</v>
      </c>
      <c r="D1619">
        <v>82.913556634318098</v>
      </c>
      <c r="E1619" t="s">
        <v>93</v>
      </c>
      <c r="F1619">
        <v>333</v>
      </c>
      <c r="G1619" s="4">
        <v>46087.5937962963</v>
      </c>
    </row>
    <row r="1620" spans="1:7" x14ac:dyDescent="0.3">
      <c r="A1620">
        <v>2812</v>
      </c>
      <c r="B1620" t="s">
        <v>146</v>
      </c>
      <c r="C1620">
        <v>51030010</v>
      </c>
      <c r="D1620">
        <v>96.683376003156297</v>
      </c>
      <c r="E1620" t="s">
        <v>275</v>
      </c>
      <c r="F1620">
        <v>45</v>
      </c>
      <c r="G1620" s="4">
        <v>46087.5937962963</v>
      </c>
    </row>
    <row r="1621" spans="1:7" x14ac:dyDescent="0.3">
      <c r="A1621">
        <v>2813</v>
      </c>
      <c r="B1621" t="s">
        <v>146</v>
      </c>
      <c r="C1621">
        <v>51056124</v>
      </c>
      <c r="D1621">
        <v>100</v>
      </c>
      <c r="E1621" t="s">
        <v>275</v>
      </c>
      <c r="F1621">
        <v>1</v>
      </c>
      <c r="G1621" s="4">
        <v>46087.5937962963</v>
      </c>
    </row>
    <row r="1622" spans="1:7" x14ac:dyDescent="0.3">
      <c r="A1622">
        <v>2814</v>
      </c>
      <c r="B1622" t="s">
        <v>146</v>
      </c>
      <c r="C1622">
        <v>51043758</v>
      </c>
      <c r="D1622">
        <v>83.93359069317421</v>
      </c>
      <c r="E1622" t="s">
        <v>93</v>
      </c>
      <c r="F1622">
        <v>293</v>
      </c>
      <c r="G1622" s="4">
        <v>46087.5937962963</v>
      </c>
    </row>
    <row r="1623" spans="1:7" x14ac:dyDescent="0.3">
      <c r="A1623">
        <v>2815</v>
      </c>
      <c r="B1623" t="s">
        <v>146</v>
      </c>
      <c r="C1623">
        <v>51055039</v>
      </c>
      <c r="D1623">
        <v>36.97784561592136</v>
      </c>
      <c r="E1623" t="s">
        <v>94</v>
      </c>
      <c r="F1623">
        <v>858</v>
      </c>
      <c r="G1623" s="4">
        <v>46087.5937962963</v>
      </c>
    </row>
    <row r="1624" spans="1:7" x14ac:dyDescent="0.3">
      <c r="A1624">
        <v>2816</v>
      </c>
      <c r="B1624" t="s">
        <v>146</v>
      </c>
      <c r="C1624">
        <v>51056582</v>
      </c>
      <c r="D1624">
        <v>82.727128369264591</v>
      </c>
      <c r="E1624" t="s">
        <v>93</v>
      </c>
      <c r="F1624">
        <v>342</v>
      </c>
      <c r="G1624" s="4">
        <v>46087.5937962963</v>
      </c>
    </row>
    <row r="1625" spans="1:7" x14ac:dyDescent="0.3">
      <c r="A1625">
        <v>2817</v>
      </c>
      <c r="B1625" t="s">
        <v>146</v>
      </c>
      <c r="C1625">
        <v>51021321</v>
      </c>
      <c r="D1625">
        <v>72.353323933818601</v>
      </c>
      <c r="E1625" t="s">
        <v>93</v>
      </c>
      <c r="F1625">
        <v>518</v>
      </c>
      <c r="G1625" s="4">
        <v>46087.5937962963</v>
      </c>
    </row>
    <row r="1626" spans="1:7" x14ac:dyDescent="0.3">
      <c r="A1626">
        <v>2818</v>
      </c>
      <c r="B1626" t="s">
        <v>146</v>
      </c>
      <c r="C1626">
        <v>51055322</v>
      </c>
      <c r="D1626">
        <v>66.294679197129511</v>
      </c>
      <c r="E1626" t="s">
        <v>93</v>
      </c>
      <c r="F1626">
        <v>567</v>
      </c>
      <c r="G1626" s="4">
        <v>46087.5937962963</v>
      </c>
    </row>
    <row r="1627" spans="1:7" x14ac:dyDescent="0.3">
      <c r="A1627">
        <v>2819</v>
      </c>
      <c r="B1627" t="s">
        <v>146</v>
      </c>
      <c r="C1627">
        <v>51010027</v>
      </c>
      <c r="D1627">
        <v>28.5</v>
      </c>
      <c r="E1627" t="s">
        <v>94</v>
      </c>
      <c r="F1627">
        <v>923</v>
      </c>
      <c r="G1627" s="4">
        <v>46087.5937962963</v>
      </c>
    </row>
    <row r="1628" spans="1:7" x14ac:dyDescent="0.3">
      <c r="A1628">
        <v>2820</v>
      </c>
      <c r="B1628" t="s">
        <v>146</v>
      </c>
      <c r="C1628">
        <v>51011295</v>
      </c>
      <c r="D1628">
        <v>88.716624512578605</v>
      </c>
      <c r="E1628" t="s">
        <v>92</v>
      </c>
      <c r="F1628">
        <v>158</v>
      </c>
      <c r="G1628" s="4">
        <v>46087.5937962963</v>
      </c>
    </row>
    <row r="1629" spans="1:7" x14ac:dyDescent="0.3">
      <c r="A1629">
        <v>2821</v>
      </c>
      <c r="B1629" t="s">
        <v>146</v>
      </c>
      <c r="C1629">
        <v>51017145</v>
      </c>
      <c r="D1629">
        <v>62.191539655975134</v>
      </c>
      <c r="E1629" t="s">
        <v>94</v>
      </c>
      <c r="F1629">
        <v>608</v>
      </c>
      <c r="G1629" s="4">
        <v>46087.5937962963</v>
      </c>
    </row>
    <row r="1630" spans="1:7" x14ac:dyDescent="0.3">
      <c r="A1630">
        <v>2822</v>
      </c>
      <c r="B1630" t="s">
        <v>146</v>
      </c>
      <c r="C1630">
        <v>51055888</v>
      </c>
      <c r="D1630">
        <v>47.21390696666041</v>
      </c>
      <c r="E1630" t="s">
        <v>94</v>
      </c>
      <c r="F1630">
        <v>804</v>
      </c>
      <c r="G1630" s="4">
        <v>46087.5937962963</v>
      </c>
    </row>
    <row r="1631" spans="1:7" x14ac:dyDescent="0.3">
      <c r="A1631">
        <v>2823</v>
      </c>
      <c r="B1631" t="s">
        <v>146</v>
      </c>
      <c r="C1631">
        <v>51031881</v>
      </c>
      <c r="D1631">
        <v>88.233296584759572</v>
      </c>
      <c r="E1631" t="s">
        <v>92</v>
      </c>
      <c r="F1631">
        <v>173</v>
      </c>
      <c r="G1631" s="4">
        <v>46087.5937962963</v>
      </c>
    </row>
    <row r="1632" spans="1:7" x14ac:dyDescent="0.3">
      <c r="A1632">
        <v>2824</v>
      </c>
      <c r="B1632" t="s">
        <v>146</v>
      </c>
      <c r="C1632">
        <v>51010060</v>
      </c>
      <c r="D1632">
        <v>100</v>
      </c>
      <c r="E1632" t="s">
        <v>275</v>
      </c>
      <c r="F1632">
        <v>1</v>
      </c>
      <c r="G1632" s="4">
        <v>46087.5937962963</v>
      </c>
    </row>
    <row r="1633" spans="1:7" x14ac:dyDescent="0.3">
      <c r="A1633">
        <v>2825</v>
      </c>
      <c r="B1633" t="s">
        <v>146</v>
      </c>
      <c r="C1633">
        <v>51056400</v>
      </c>
      <c r="D1633">
        <v>93.068034011671557</v>
      </c>
      <c r="E1633" t="s">
        <v>92</v>
      </c>
      <c r="F1633">
        <v>88</v>
      </c>
      <c r="G1633" s="4">
        <v>46087.5937962963</v>
      </c>
    </row>
    <row r="1634" spans="1:7" x14ac:dyDescent="0.3">
      <c r="A1634">
        <v>2826</v>
      </c>
      <c r="B1634" t="s">
        <v>146</v>
      </c>
      <c r="C1634">
        <v>51056531</v>
      </c>
      <c r="D1634">
        <v>52.908509891525689</v>
      </c>
      <c r="E1634" t="s">
        <v>94</v>
      </c>
      <c r="F1634">
        <v>752</v>
      </c>
      <c r="G1634" s="4">
        <v>46087.5937962963</v>
      </c>
    </row>
    <row r="1635" spans="1:7" x14ac:dyDescent="0.3">
      <c r="A1635">
        <v>2827</v>
      </c>
      <c r="B1635" t="s">
        <v>146</v>
      </c>
      <c r="C1635">
        <v>51011643</v>
      </c>
      <c r="D1635">
        <v>64.273689137994594</v>
      </c>
      <c r="E1635" t="s">
        <v>93</v>
      </c>
      <c r="F1635">
        <v>578</v>
      </c>
      <c r="G1635" s="4">
        <v>46087.5937962963</v>
      </c>
    </row>
    <row r="1636" spans="1:7" x14ac:dyDescent="0.3">
      <c r="A1636">
        <v>2828</v>
      </c>
      <c r="B1636" t="s">
        <v>146</v>
      </c>
      <c r="C1636">
        <v>51016742</v>
      </c>
      <c r="D1636">
        <v>57.742574418906187</v>
      </c>
      <c r="E1636" t="s">
        <v>94</v>
      </c>
      <c r="F1636">
        <v>691</v>
      </c>
      <c r="G1636" s="4">
        <v>46087.5937962963</v>
      </c>
    </row>
    <row r="1637" spans="1:7" x14ac:dyDescent="0.3">
      <c r="A1637">
        <v>2829</v>
      </c>
      <c r="B1637" t="s">
        <v>146</v>
      </c>
      <c r="C1637">
        <v>51010990</v>
      </c>
      <c r="D1637">
        <v>83.48754135660262</v>
      </c>
      <c r="E1637" t="s">
        <v>93</v>
      </c>
      <c r="F1637">
        <v>307</v>
      </c>
      <c r="G1637" s="4">
        <v>46087.5937962963</v>
      </c>
    </row>
    <row r="1638" spans="1:7" x14ac:dyDescent="0.3">
      <c r="A1638">
        <v>2830</v>
      </c>
      <c r="B1638" t="s">
        <v>146</v>
      </c>
      <c r="C1638">
        <v>51039998</v>
      </c>
      <c r="D1638">
        <v>43.791876295869486</v>
      </c>
      <c r="E1638" t="s">
        <v>94</v>
      </c>
      <c r="F1638">
        <v>830</v>
      </c>
      <c r="G1638" s="4">
        <v>46087.5937962963</v>
      </c>
    </row>
    <row r="1639" spans="1:7" x14ac:dyDescent="0.3">
      <c r="A1639">
        <v>2831</v>
      </c>
      <c r="B1639" t="s">
        <v>146</v>
      </c>
      <c r="C1639">
        <v>51056736</v>
      </c>
      <c r="D1639">
        <v>61.145107523546343</v>
      </c>
      <c r="E1639" t="s">
        <v>94</v>
      </c>
      <c r="F1639">
        <v>628</v>
      </c>
      <c r="G1639" s="4">
        <v>46087.5937962963</v>
      </c>
    </row>
    <row r="1640" spans="1:7" x14ac:dyDescent="0.3">
      <c r="A1640">
        <v>2832</v>
      </c>
      <c r="B1640" t="s">
        <v>146</v>
      </c>
      <c r="C1640">
        <v>51044436</v>
      </c>
      <c r="D1640">
        <v>57.020803003923021</v>
      </c>
      <c r="E1640" t="s">
        <v>94</v>
      </c>
      <c r="F1640">
        <v>714</v>
      </c>
      <c r="G1640" s="4">
        <v>46087.5937962963</v>
      </c>
    </row>
    <row r="1641" spans="1:7" x14ac:dyDescent="0.3">
      <c r="A1641">
        <v>2833</v>
      </c>
      <c r="B1641" t="s">
        <v>146</v>
      </c>
      <c r="C1641">
        <v>51017552</v>
      </c>
      <c r="D1641">
        <v>82.598797042531672</v>
      </c>
      <c r="E1641" t="s">
        <v>93</v>
      </c>
      <c r="F1641">
        <v>346</v>
      </c>
      <c r="G1641" s="4">
        <v>46087.5937962963</v>
      </c>
    </row>
    <row r="1642" spans="1:7" x14ac:dyDescent="0.3">
      <c r="A1642">
        <v>2834</v>
      </c>
      <c r="B1642" t="s">
        <v>146</v>
      </c>
      <c r="C1642">
        <v>51055276</v>
      </c>
      <c r="D1642">
        <v>83.049021744200843</v>
      </c>
      <c r="E1642" t="s">
        <v>93</v>
      </c>
      <c r="F1642">
        <v>327</v>
      </c>
      <c r="G1642" s="4">
        <v>46087.5937962963</v>
      </c>
    </row>
    <row r="1643" spans="1:7" x14ac:dyDescent="0.3">
      <c r="A1643">
        <v>2835</v>
      </c>
      <c r="B1643" t="s">
        <v>146</v>
      </c>
      <c r="C1643">
        <v>51020189</v>
      </c>
      <c r="D1643">
        <v>63.080514543440586</v>
      </c>
      <c r="E1643" t="s">
        <v>93</v>
      </c>
      <c r="F1643">
        <v>588</v>
      </c>
      <c r="G1643" s="4">
        <v>46087.5937962963</v>
      </c>
    </row>
    <row r="1644" spans="1:7" x14ac:dyDescent="0.3">
      <c r="A1644">
        <v>2836</v>
      </c>
      <c r="B1644" t="s">
        <v>146</v>
      </c>
      <c r="C1644">
        <v>51041259</v>
      </c>
      <c r="D1644">
        <v>56.395841067869796</v>
      </c>
      <c r="E1644" t="s">
        <v>94</v>
      </c>
      <c r="F1644">
        <v>722</v>
      </c>
      <c r="G1644" s="4">
        <v>46087.5937962963</v>
      </c>
    </row>
    <row r="1645" spans="1:7" x14ac:dyDescent="0.3">
      <c r="A1645">
        <v>2837</v>
      </c>
      <c r="B1645" t="s">
        <v>146</v>
      </c>
      <c r="C1645">
        <v>51022751</v>
      </c>
      <c r="D1645">
        <v>63.179273232777803</v>
      </c>
      <c r="E1645" t="s">
        <v>93</v>
      </c>
      <c r="F1645">
        <v>586</v>
      </c>
      <c r="G1645" s="4">
        <v>46087.5937962963</v>
      </c>
    </row>
    <row r="1646" spans="1:7" x14ac:dyDescent="0.3">
      <c r="A1646">
        <v>2838</v>
      </c>
      <c r="B1646" t="s">
        <v>146</v>
      </c>
      <c r="C1646">
        <v>51016645</v>
      </c>
      <c r="D1646">
        <v>77.625434107558732</v>
      </c>
      <c r="E1646" t="s">
        <v>93</v>
      </c>
      <c r="F1646">
        <v>455</v>
      </c>
      <c r="G1646" s="4">
        <v>46087.5937962963</v>
      </c>
    </row>
    <row r="1647" spans="1:7" x14ac:dyDescent="0.3">
      <c r="A1647">
        <v>2839</v>
      </c>
      <c r="B1647" t="s">
        <v>146</v>
      </c>
      <c r="C1647">
        <v>51011155</v>
      </c>
      <c r="D1647">
        <v>88.385567669852151</v>
      </c>
      <c r="E1647" t="s">
        <v>92</v>
      </c>
      <c r="F1647">
        <v>166</v>
      </c>
      <c r="G1647" s="4">
        <v>46087.5937962963</v>
      </c>
    </row>
    <row r="1648" spans="1:7" x14ac:dyDescent="0.3">
      <c r="A1648">
        <v>2840</v>
      </c>
      <c r="B1648" t="s">
        <v>146</v>
      </c>
      <c r="C1648">
        <v>51014022</v>
      </c>
      <c r="D1648">
        <v>82.046184132611828</v>
      </c>
      <c r="E1648" t="s">
        <v>93</v>
      </c>
      <c r="F1648">
        <v>365</v>
      </c>
      <c r="G1648" s="4">
        <v>46087.5937962963</v>
      </c>
    </row>
    <row r="1649" spans="1:7" x14ac:dyDescent="0.3">
      <c r="A1649">
        <v>2841</v>
      </c>
      <c r="B1649" t="s">
        <v>146</v>
      </c>
      <c r="C1649">
        <v>51018991</v>
      </c>
      <c r="D1649">
        <v>56.561407499159721</v>
      </c>
      <c r="E1649" t="s">
        <v>94</v>
      </c>
      <c r="F1649">
        <v>720</v>
      </c>
      <c r="G1649" s="4">
        <v>46087.5937962963</v>
      </c>
    </row>
    <row r="1650" spans="1:7" x14ac:dyDescent="0.3">
      <c r="A1650">
        <v>2842</v>
      </c>
      <c r="B1650" t="s">
        <v>146</v>
      </c>
      <c r="C1650">
        <v>51030478</v>
      </c>
      <c r="D1650">
        <v>87.102529821203916</v>
      </c>
      <c r="E1650" t="s">
        <v>92</v>
      </c>
      <c r="F1650">
        <v>197</v>
      </c>
      <c r="G1650" s="4">
        <v>46087.5937962963</v>
      </c>
    </row>
    <row r="1651" spans="1:7" x14ac:dyDescent="0.3">
      <c r="A1651">
        <v>2843</v>
      </c>
      <c r="B1651" t="s">
        <v>146</v>
      </c>
      <c r="C1651">
        <v>51028040</v>
      </c>
      <c r="D1651">
        <v>86.477252018240279</v>
      </c>
      <c r="E1651" t="s">
        <v>92</v>
      </c>
      <c r="F1651">
        <v>217</v>
      </c>
      <c r="G1651" s="4">
        <v>46087.5937962963</v>
      </c>
    </row>
    <row r="1652" spans="1:7" x14ac:dyDescent="0.3">
      <c r="A1652">
        <v>2844</v>
      </c>
      <c r="B1652" t="s">
        <v>146</v>
      </c>
      <c r="C1652">
        <v>51055616</v>
      </c>
      <c r="D1652">
        <v>88.496675475140222</v>
      </c>
      <c r="E1652" t="s">
        <v>92</v>
      </c>
      <c r="F1652">
        <v>163</v>
      </c>
      <c r="G1652" s="4">
        <v>46087.5937962963</v>
      </c>
    </row>
    <row r="1653" spans="1:7" x14ac:dyDescent="0.3">
      <c r="A1653">
        <v>2845</v>
      </c>
      <c r="B1653" t="s">
        <v>146</v>
      </c>
      <c r="C1653">
        <v>51036239</v>
      </c>
      <c r="D1653">
        <v>20.9482685290271</v>
      </c>
      <c r="E1653" t="s">
        <v>95</v>
      </c>
      <c r="F1653">
        <v>977</v>
      </c>
      <c r="G1653" s="4">
        <v>46087.5937962963</v>
      </c>
    </row>
    <row r="1654" spans="1:7" x14ac:dyDescent="0.3">
      <c r="A1654">
        <v>2846</v>
      </c>
      <c r="B1654" t="s">
        <v>146</v>
      </c>
      <c r="C1654">
        <v>51025873</v>
      </c>
      <c r="D1654">
        <v>59.40962652939713</v>
      </c>
      <c r="E1654" t="s">
        <v>94</v>
      </c>
      <c r="F1654">
        <v>660</v>
      </c>
      <c r="G1654" s="4">
        <v>46087.5937962963</v>
      </c>
    </row>
    <row r="1655" spans="1:7" x14ac:dyDescent="0.3">
      <c r="A1655">
        <v>2847</v>
      </c>
      <c r="B1655" t="s">
        <v>146</v>
      </c>
      <c r="C1655">
        <v>51034155</v>
      </c>
      <c r="D1655">
        <v>70.409273132010611</v>
      </c>
      <c r="E1655" t="s">
        <v>93</v>
      </c>
      <c r="F1655">
        <v>537</v>
      </c>
      <c r="G1655" s="4">
        <v>46087.5937962963</v>
      </c>
    </row>
    <row r="1656" spans="1:7" x14ac:dyDescent="0.3">
      <c r="A1656">
        <v>2848</v>
      </c>
      <c r="B1656" t="s">
        <v>146</v>
      </c>
      <c r="C1656">
        <v>51021207</v>
      </c>
      <c r="D1656">
        <v>41.438455396707177</v>
      </c>
      <c r="E1656" t="s">
        <v>94</v>
      </c>
      <c r="F1656">
        <v>842</v>
      </c>
      <c r="G1656" s="4">
        <v>46087.5937962963</v>
      </c>
    </row>
    <row r="1657" spans="1:7" x14ac:dyDescent="0.3">
      <c r="A1657">
        <v>2849</v>
      </c>
      <c r="B1657" t="s">
        <v>146</v>
      </c>
      <c r="C1657">
        <v>51054831</v>
      </c>
      <c r="D1657">
        <v>16.95407905982665</v>
      </c>
      <c r="E1657" t="s">
        <v>95</v>
      </c>
      <c r="F1657">
        <v>1048</v>
      </c>
      <c r="G1657" s="4">
        <v>46087.5937962963</v>
      </c>
    </row>
    <row r="1658" spans="1:7" x14ac:dyDescent="0.3">
      <c r="A1658">
        <v>2850</v>
      </c>
      <c r="B1658" t="s">
        <v>146</v>
      </c>
      <c r="C1658">
        <v>51010051</v>
      </c>
      <c r="D1658">
        <v>86.280960852726338</v>
      </c>
      <c r="E1658" t="s">
        <v>92</v>
      </c>
      <c r="F1658">
        <v>224</v>
      </c>
      <c r="G1658" s="4">
        <v>46087.5937962963</v>
      </c>
    </row>
    <row r="1659" spans="1:7" x14ac:dyDescent="0.3">
      <c r="A1659">
        <v>2851</v>
      </c>
      <c r="B1659" t="s">
        <v>146</v>
      </c>
      <c r="C1659">
        <v>51015754</v>
      </c>
      <c r="D1659">
        <v>57.824127023847979</v>
      </c>
      <c r="E1659" t="s">
        <v>94</v>
      </c>
      <c r="F1659">
        <v>689</v>
      </c>
      <c r="G1659" s="4">
        <v>46087.5937962963</v>
      </c>
    </row>
    <row r="1660" spans="1:7" x14ac:dyDescent="0.3">
      <c r="A1660">
        <v>2852</v>
      </c>
      <c r="B1660" t="s">
        <v>146</v>
      </c>
      <c r="C1660">
        <v>51023528</v>
      </c>
      <c r="D1660">
        <v>57.527630396022808</v>
      </c>
      <c r="E1660" t="s">
        <v>94</v>
      </c>
      <c r="F1660">
        <v>699</v>
      </c>
      <c r="G1660" s="4">
        <v>46087.5937962963</v>
      </c>
    </row>
    <row r="1661" spans="1:7" x14ac:dyDescent="0.3">
      <c r="A1661">
        <v>2853</v>
      </c>
      <c r="B1661" t="s">
        <v>146</v>
      </c>
      <c r="C1661">
        <v>51013735</v>
      </c>
      <c r="D1661">
        <v>82.95756109221854</v>
      </c>
      <c r="E1661" t="s">
        <v>93</v>
      </c>
      <c r="F1661">
        <v>331</v>
      </c>
      <c r="G1661" s="4">
        <v>46087.5937962963</v>
      </c>
    </row>
    <row r="1662" spans="1:7" x14ac:dyDescent="0.3">
      <c r="A1662">
        <v>2854</v>
      </c>
      <c r="B1662" t="s">
        <v>146</v>
      </c>
      <c r="C1662">
        <v>51036611</v>
      </c>
      <c r="D1662">
        <v>88.983730367444366</v>
      </c>
      <c r="E1662" t="s">
        <v>92</v>
      </c>
      <c r="F1662">
        <v>154</v>
      </c>
      <c r="G1662" s="4">
        <v>46087.5937962963</v>
      </c>
    </row>
    <row r="1663" spans="1:7" x14ac:dyDescent="0.3">
      <c r="A1663">
        <v>2855</v>
      </c>
      <c r="B1663" t="s">
        <v>146</v>
      </c>
      <c r="C1663">
        <v>51010035</v>
      </c>
      <c r="D1663">
        <v>89.026419294636995</v>
      </c>
      <c r="E1663" t="s">
        <v>92</v>
      </c>
      <c r="F1663">
        <v>152</v>
      </c>
      <c r="G1663" s="4">
        <v>46087.5937962963</v>
      </c>
    </row>
    <row r="1664" spans="1:7" x14ac:dyDescent="0.3">
      <c r="A1664">
        <v>2856</v>
      </c>
      <c r="B1664" t="s">
        <v>146</v>
      </c>
      <c r="C1664">
        <v>51035682</v>
      </c>
      <c r="D1664">
        <v>41.748346710801528</v>
      </c>
      <c r="E1664" t="s">
        <v>94</v>
      </c>
      <c r="F1664">
        <v>841</v>
      </c>
      <c r="G1664" s="4">
        <v>46087.5937962963</v>
      </c>
    </row>
    <row r="1665" spans="1:7" x14ac:dyDescent="0.3">
      <c r="A1665">
        <v>2857</v>
      </c>
      <c r="B1665" t="s">
        <v>146</v>
      </c>
      <c r="C1665">
        <v>51016416</v>
      </c>
      <c r="D1665">
        <v>46.425278946185479</v>
      </c>
      <c r="E1665" t="s">
        <v>94</v>
      </c>
      <c r="F1665">
        <v>812</v>
      </c>
      <c r="G1665" s="4">
        <v>46087.5937962963</v>
      </c>
    </row>
    <row r="1666" spans="1:7" x14ac:dyDescent="0.3">
      <c r="A1666">
        <v>2858</v>
      </c>
      <c r="B1666" t="s">
        <v>146</v>
      </c>
      <c r="C1666">
        <v>51038762</v>
      </c>
      <c r="D1666">
        <v>70.400800074876244</v>
      </c>
      <c r="E1666" t="s">
        <v>93</v>
      </c>
      <c r="F1666">
        <v>538</v>
      </c>
      <c r="G1666" s="4">
        <v>46087.5937962963</v>
      </c>
    </row>
    <row r="1667" spans="1:7" x14ac:dyDescent="0.3">
      <c r="A1667">
        <v>2859</v>
      </c>
      <c r="B1667" t="s">
        <v>146</v>
      </c>
      <c r="C1667">
        <v>51023307</v>
      </c>
      <c r="D1667">
        <v>85.751434317977385</v>
      </c>
      <c r="E1667" t="s">
        <v>93</v>
      </c>
      <c r="F1667">
        <v>243</v>
      </c>
      <c r="G1667" s="4">
        <v>46087.5937962963</v>
      </c>
    </row>
    <row r="1668" spans="1:7" x14ac:dyDescent="0.3">
      <c r="A1668">
        <v>2860</v>
      </c>
      <c r="B1668" t="s">
        <v>146</v>
      </c>
      <c r="C1668">
        <v>51012062</v>
      </c>
      <c r="D1668">
        <v>72.955406502375538</v>
      </c>
      <c r="E1668" t="s">
        <v>93</v>
      </c>
      <c r="F1668">
        <v>512</v>
      </c>
      <c r="G1668" s="4">
        <v>46087.5937962963</v>
      </c>
    </row>
    <row r="1669" spans="1:7" x14ac:dyDescent="0.3">
      <c r="A1669">
        <v>2861</v>
      </c>
      <c r="B1669" t="s">
        <v>146</v>
      </c>
      <c r="C1669">
        <v>51021631</v>
      </c>
      <c r="D1669">
        <v>91.71941839917622</v>
      </c>
      <c r="E1669" t="s">
        <v>92</v>
      </c>
      <c r="F1669">
        <v>105</v>
      </c>
      <c r="G1669" s="4">
        <v>46087.5937962963</v>
      </c>
    </row>
    <row r="1670" spans="1:7" x14ac:dyDescent="0.3">
      <c r="A1670">
        <v>2862</v>
      </c>
      <c r="B1670" t="s">
        <v>146</v>
      </c>
      <c r="C1670">
        <v>51008618</v>
      </c>
      <c r="D1670">
        <v>57.618239349983462</v>
      </c>
      <c r="E1670" t="s">
        <v>94</v>
      </c>
      <c r="F1670">
        <v>695</v>
      </c>
      <c r="G1670" s="4">
        <v>46087.5937962963</v>
      </c>
    </row>
    <row r="1671" spans="1:7" x14ac:dyDescent="0.3">
      <c r="A1671">
        <v>2863</v>
      </c>
      <c r="B1671" t="s">
        <v>146</v>
      </c>
      <c r="C1671">
        <v>51010574</v>
      </c>
      <c r="D1671">
        <v>94.623914712728663</v>
      </c>
      <c r="E1671" t="s">
        <v>92</v>
      </c>
      <c r="F1671">
        <v>67</v>
      </c>
      <c r="G1671" s="4">
        <v>46087.5937962963</v>
      </c>
    </row>
    <row r="1672" spans="1:7" x14ac:dyDescent="0.3">
      <c r="A1672">
        <v>2864</v>
      </c>
      <c r="B1672" t="s">
        <v>146</v>
      </c>
      <c r="C1672">
        <v>51056493</v>
      </c>
      <c r="D1672">
        <v>91.446943181500728</v>
      </c>
      <c r="E1672" t="s">
        <v>92</v>
      </c>
      <c r="F1672">
        <v>113</v>
      </c>
      <c r="G1672" s="4">
        <v>46087.5937962963</v>
      </c>
    </row>
    <row r="1673" spans="1:7" x14ac:dyDescent="0.3">
      <c r="A1673">
        <v>2865</v>
      </c>
      <c r="B1673" t="s">
        <v>146</v>
      </c>
      <c r="C1673">
        <v>51024206</v>
      </c>
      <c r="D1673">
        <v>80.392088689474335</v>
      </c>
      <c r="E1673" t="s">
        <v>93</v>
      </c>
      <c r="F1673">
        <v>408</v>
      </c>
      <c r="G1673" s="4">
        <v>46087.5937962963</v>
      </c>
    </row>
    <row r="1674" spans="1:7" x14ac:dyDescent="0.3">
      <c r="A1674">
        <v>2866</v>
      </c>
      <c r="B1674" t="s">
        <v>146</v>
      </c>
      <c r="C1674">
        <v>51056442</v>
      </c>
      <c r="D1674">
        <v>54.881647053432161</v>
      </c>
      <c r="E1674" t="s">
        <v>94</v>
      </c>
      <c r="F1674">
        <v>736</v>
      </c>
      <c r="G1674" s="4">
        <v>46087.5937962963</v>
      </c>
    </row>
    <row r="1675" spans="1:7" x14ac:dyDescent="0.3">
      <c r="A1675">
        <v>2867</v>
      </c>
      <c r="B1675" t="s">
        <v>146</v>
      </c>
      <c r="C1675">
        <v>51033621</v>
      </c>
      <c r="D1675">
        <v>57.286785079460302</v>
      </c>
      <c r="E1675" t="s">
        <v>94</v>
      </c>
      <c r="F1675">
        <v>708</v>
      </c>
      <c r="G1675" s="4">
        <v>46087.5937962963</v>
      </c>
    </row>
    <row r="1676" spans="1:7" x14ac:dyDescent="0.3">
      <c r="A1676">
        <v>2868</v>
      </c>
      <c r="B1676" t="s">
        <v>146</v>
      </c>
      <c r="C1676">
        <v>51016394</v>
      </c>
      <c r="D1676">
        <v>86.671607520790445</v>
      </c>
      <c r="E1676" t="s">
        <v>92</v>
      </c>
      <c r="F1676">
        <v>210</v>
      </c>
      <c r="G1676" s="4">
        <v>46087.5937962963</v>
      </c>
    </row>
    <row r="1677" spans="1:7" x14ac:dyDescent="0.3">
      <c r="A1677">
        <v>2869</v>
      </c>
      <c r="B1677" t="s">
        <v>146</v>
      </c>
      <c r="C1677">
        <v>51001389</v>
      </c>
      <c r="D1677">
        <v>95.87619455709968</v>
      </c>
      <c r="E1677" t="s">
        <v>275</v>
      </c>
      <c r="F1677">
        <v>54</v>
      </c>
      <c r="G1677" s="4">
        <v>46087.5937962963</v>
      </c>
    </row>
    <row r="1678" spans="1:7" x14ac:dyDescent="0.3">
      <c r="A1678">
        <v>2870</v>
      </c>
      <c r="B1678" t="s">
        <v>146</v>
      </c>
      <c r="C1678">
        <v>51042891</v>
      </c>
      <c r="D1678">
        <v>92.435743327020276</v>
      </c>
      <c r="E1678" t="s">
        <v>92</v>
      </c>
      <c r="F1678">
        <v>96</v>
      </c>
      <c r="G1678" s="4">
        <v>46087.5937962963</v>
      </c>
    </row>
    <row r="1679" spans="1:7" x14ac:dyDescent="0.3">
      <c r="A1679">
        <v>2871</v>
      </c>
      <c r="B1679" t="s">
        <v>146</v>
      </c>
      <c r="C1679">
        <v>51055411</v>
      </c>
      <c r="D1679">
        <v>85.372945304422615</v>
      </c>
      <c r="E1679" t="s">
        <v>93</v>
      </c>
      <c r="F1679">
        <v>258</v>
      </c>
      <c r="G1679" s="4">
        <v>46087.5937962963</v>
      </c>
    </row>
    <row r="1680" spans="1:7" x14ac:dyDescent="0.3">
      <c r="A1680">
        <v>2872</v>
      </c>
      <c r="B1680" t="s">
        <v>146</v>
      </c>
      <c r="C1680">
        <v>51038657</v>
      </c>
      <c r="D1680">
        <v>33.421417460572485</v>
      </c>
      <c r="E1680" t="s">
        <v>94</v>
      </c>
      <c r="F1680">
        <v>872</v>
      </c>
      <c r="G1680" s="4">
        <v>46087.5937962963</v>
      </c>
    </row>
    <row r="1681" spans="1:7" x14ac:dyDescent="0.3">
      <c r="A1681">
        <v>2873</v>
      </c>
      <c r="B1681" t="s">
        <v>146</v>
      </c>
      <c r="C1681">
        <v>51055632</v>
      </c>
      <c r="D1681">
        <v>41.807175377748301</v>
      </c>
      <c r="E1681" t="s">
        <v>94</v>
      </c>
      <c r="F1681">
        <v>840</v>
      </c>
      <c r="G1681" s="4">
        <v>46087.5937962963</v>
      </c>
    </row>
    <row r="1682" spans="1:7" x14ac:dyDescent="0.3">
      <c r="A1682">
        <v>2874</v>
      </c>
      <c r="B1682" t="s">
        <v>146</v>
      </c>
      <c r="C1682">
        <v>51026799</v>
      </c>
      <c r="D1682">
        <v>71.349721302722173</v>
      </c>
      <c r="E1682" t="s">
        <v>93</v>
      </c>
      <c r="F1682">
        <v>527</v>
      </c>
      <c r="G1682" s="4">
        <v>46087.5937962963</v>
      </c>
    </row>
    <row r="1683" spans="1:7" x14ac:dyDescent="0.3">
      <c r="A1683">
        <v>2875</v>
      </c>
      <c r="B1683" t="s">
        <v>146</v>
      </c>
      <c r="C1683">
        <v>51018869</v>
      </c>
      <c r="D1683">
        <v>63.543211334263844</v>
      </c>
      <c r="E1683" t="s">
        <v>93</v>
      </c>
      <c r="F1683">
        <v>583</v>
      </c>
      <c r="G1683" s="4">
        <v>46087.5937962963</v>
      </c>
    </row>
    <row r="1684" spans="1:7" x14ac:dyDescent="0.3">
      <c r="A1684">
        <v>2876</v>
      </c>
      <c r="B1684" t="s">
        <v>146</v>
      </c>
      <c r="C1684">
        <v>51055144</v>
      </c>
      <c r="D1684">
        <v>88.338776084093595</v>
      </c>
      <c r="E1684" t="s">
        <v>92</v>
      </c>
      <c r="F1684">
        <v>167</v>
      </c>
      <c r="G1684" s="4">
        <v>46087.5937962963</v>
      </c>
    </row>
    <row r="1685" spans="1:7" x14ac:dyDescent="0.3">
      <c r="A1685">
        <v>2877</v>
      </c>
      <c r="B1685" t="s">
        <v>146</v>
      </c>
      <c r="C1685">
        <v>51056884</v>
      </c>
      <c r="D1685">
        <v>61.595368644485355</v>
      </c>
      <c r="E1685" t="s">
        <v>94</v>
      </c>
      <c r="F1685">
        <v>620</v>
      </c>
      <c r="G1685" s="4">
        <v>46087.5937962963</v>
      </c>
    </row>
    <row r="1686" spans="1:7" x14ac:dyDescent="0.3">
      <c r="A1686">
        <v>2878</v>
      </c>
      <c r="B1686" t="s">
        <v>146</v>
      </c>
      <c r="C1686">
        <v>51030443</v>
      </c>
      <c r="D1686">
        <v>27.2</v>
      </c>
      <c r="E1686" t="s">
        <v>94</v>
      </c>
      <c r="F1686">
        <v>936</v>
      </c>
      <c r="G1686" s="4">
        <v>46087.5937962963</v>
      </c>
    </row>
    <row r="1687" spans="1:7" x14ac:dyDescent="0.3">
      <c r="A1687">
        <v>2879</v>
      </c>
      <c r="B1687" t="s">
        <v>146</v>
      </c>
      <c r="C1687">
        <v>51016475</v>
      </c>
      <c r="D1687">
        <v>98.771979450662201</v>
      </c>
      <c r="E1687" t="s">
        <v>275</v>
      </c>
      <c r="F1687">
        <v>24</v>
      </c>
      <c r="G1687" s="4">
        <v>46087.5937962963</v>
      </c>
    </row>
    <row r="1688" spans="1:7" x14ac:dyDescent="0.3">
      <c r="A1688">
        <v>2880</v>
      </c>
      <c r="B1688" t="s">
        <v>146</v>
      </c>
      <c r="C1688">
        <v>51018893</v>
      </c>
      <c r="D1688">
        <v>86.705589065986118</v>
      </c>
      <c r="E1688" t="s">
        <v>92</v>
      </c>
      <c r="F1688">
        <v>209</v>
      </c>
      <c r="G1688" s="4">
        <v>46087.5937962963</v>
      </c>
    </row>
    <row r="1689" spans="1:7" x14ac:dyDescent="0.3">
      <c r="A1689">
        <v>2881</v>
      </c>
      <c r="B1689" t="s">
        <v>146</v>
      </c>
      <c r="C1689">
        <v>51039157</v>
      </c>
      <c r="D1689">
        <v>44.809263326056431</v>
      </c>
      <c r="E1689" t="s">
        <v>94</v>
      </c>
      <c r="F1689">
        <v>825</v>
      </c>
      <c r="G1689" s="4">
        <v>46087.5937962963</v>
      </c>
    </row>
    <row r="1690" spans="1:7" x14ac:dyDescent="0.3">
      <c r="A1690">
        <v>2882</v>
      </c>
      <c r="B1690" t="s">
        <v>146</v>
      </c>
      <c r="C1690">
        <v>51054822</v>
      </c>
      <c r="D1690">
        <v>94.906241337155265</v>
      </c>
      <c r="E1690" t="s">
        <v>92</v>
      </c>
      <c r="F1690">
        <v>66</v>
      </c>
      <c r="G1690" s="4">
        <v>46087.5937962963</v>
      </c>
    </row>
    <row r="1691" spans="1:7" x14ac:dyDescent="0.3">
      <c r="A1691">
        <v>2883</v>
      </c>
      <c r="B1691" t="s">
        <v>146</v>
      </c>
      <c r="C1691">
        <v>51003390</v>
      </c>
      <c r="D1691">
        <v>87.866485514974173</v>
      </c>
      <c r="E1691" t="s">
        <v>92</v>
      </c>
      <c r="F1691">
        <v>178</v>
      </c>
      <c r="G1691" s="4">
        <v>46087.5937962963</v>
      </c>
    </row>
    <row r="1692" spans="1:7" x14ac:dyDescent="0.3">
      <c r="A1692">
        <v>2884</v>
      </c>
      <c r="B1692" t="s">
        <v>146</v>
      </c>
      <c r="C1692">
        <v>51056477</v>
      </c>
      <c r="D1692">
        <v>88.194165505430334</v>
      </c>
      <c r="E1692" t="s">
        <v>92</v>
      </c>
      <c r="F1692">
        <v>174</v>
      </c>
      <c r="G1692" s="4">
        <v>46087.5937962963</v>
      </c>
    </row>
    <row r="1693" spans="1:7" x14ac:dyDescent="0.3">
      <c r="A1693">
        <v>2885</v>
      </c>
      <c r="B1693" t="s">
        <v>146</v>
      </c>
      <c r="C1693">
        <v>51026527</v>
      </c>
      <c r="D1693">
        <v>88.035485971144681</v>
      </c>
      <c r="E1693" t="s">
        <v>92</v>
      </c>
      <c r="F1693">
        <v>175</v>
      </c>
      <c r="G1693" s="4">
        <v>46087.5937962963</v>
      </c>
    </row>
    <row r="1694" spans="1:7" x14ac:dyDescent="0.3">
      <c r="A1694">
        <v>2886</v>
      </c>
      <c r="B1694" t="s">
        <v>146</v>
      </c>
      <c r="C1694">
        <v>51030982</v>
      </c>
      <c r="D1694">
        <v>88.967035257263504</v>
      </c>
      <c r="E1694" t="s">
        <v>92</v>
      </c>
      <c r="F1694">
        <v>155</v>
      </c>
      <c r="G1694" s="4">
        <v>46087.5937962963</v>
      </c>
    </row>
    <row r="1695" spans="1:7" x14ac:dyDescent="0.3">
      <c r="A1695">
        <v>2887</v>
      </c>
      <c r="B1695" t="s">
        <v>146</v>
      </c>
      <c r="C1695">
        <v>51023196</v>
      </c>
      <c r="D1695">
        <v>62.878708971627212</v>
      </c>
      <c r="E1695" t="s">
        <v>93</v>
      </c>
      <c r="F1695">
        <v>591</v>
      </c>
      <c r="G1695" s="4">
        <v>46087.5937962963</v>
      </c>
    </row>
    <row r="1696" spans="1:7" x14ac:dyDescent="0.3">
      <c r="A1696">
        <v>2888</v>
      </c>
      <c r="B1696" t="s">
        <v>146</v>
      </c>
      <c r="C1696">
        <v>51014596</v>
      </c>
      <c r="D1696">
        <v>92.538511699561369</v>
      </c>
      <c r="E1696" t="s">
        <v>92</v>
      </c>
      <c r="F1696">
        <v>94</v>
      </c>
      <c r="G1696" s="4">
        <v>46087.5937962963</v>
      </c>
    </row>
    <row r="1697" spans="1:7" x14ac:dyDescent="0.3">
      <c r="A1697">
        <v>2889</v>
      </c>
      <c r="B1697" t="s">
        <v>146</v>
      </c>
      <c r="C1697">
        <v>51030125</v>
      </c>
      <c r="D1697">
        <v>30.961037071973767</v>
      </c>
      <c r="E1697" t="s">
        <v>94</v>
      </c>
      <c r="F1697">
        <v>902</v>
      </c>
      <c r="G1697" s="4">
        <v>46087.5937962963</v>
      </c>
    </row>
    <row r="1698" spans="1:7" x14ac:dyDescent="0.3">
      <c r="A1698">
        <v>2890</v>
      </c>
      <c r="B1698" t="s">
        <v>146</v>
      </c>
      <c r="C1698">
        <v>51021550</v>
      </c>
      <c r="D1698">
        <v>79.719240842984931</v>
      </c>
      <c r="E1698" t="s">
        <v>93</v>
      </c>
      <c r="F1698">
        <v>425</v>
      </c>
      <c r="G1698" s="4">
        <v>46087.5937962963</v>
      </c>
    </row>
    <row r="1699" spans="1:7" x14ac:dyDescent="0.3">
      <c r="A1699">
        <v>2891</v>
      </c>
      <c r="B1699" t="s">
        <v>146</v>
      </c>
      <c r="C1699">
        <v>51031407</v>
      </c>
      <c r="D1699">
        <v>81.998018631539722</v>
      </c>
      <c r="E1699" t="s">
        <v>93</v>
      </c>
      <c r="F1699">
        <v>370</v>
      </c>
      <c r="G1699" s="4">
        <v>46087.5937962963</v>
      </c>
    </row>
    <row r="1700" spans="1:7" x14ac:dyDescent="0.3">
      <c r="A1700">
        <v>2892</v>
      </c>
      <c r="B1700" t="s">
        <v>146</v>
      </c>
      <c r="C1700">
        <v>51038754</v>
      </c>
      <c r="D1700">
        <v>79.139515179045134</v>
      </c>
      <c r="E1700" t="s">
        <v>93</v>
      </c>
      <c r="F1700">
        <v>436</v>
      </c>
      <c r="G1700" s="4">
        <v>46087.5937962963</v>
      </c>
    </row>
    <row r="1701" spans="1:7" x14ac:dyDescent="0.3">
      <c r="A1701">
        <v>2893</v>
      </c>
      <c r="B1701" t="s">
        <v>146</v>
      </c>
      <c r="C1701">
        <v>51004761</v>
      </c>
      <c r="D1701">
        <v>32.654466473564433</v>
      </c>
      <c r="E1701" t="s">
        <v>94</v>
      </c>
      <c r="F1701">
        <v>882</v>
      </c>
      <c r="G1701" s="4">
        <v>46087.5937962963</v>
      </c>
    </row>
    <row r="1702" spans="1:7" x14ac:dyDescent="0.3">
      <c r="A1702">
        <v>2894</v>
      </c>
      <c r="B1702" t="s">
        <v>146</v>
      </c>
      <c r="C1702">
        <v>51023358</v>
      </c>
      <c r="D1702">
        <v>46.275579873889711</v>
      </c>
      <c r="E1702" t="s">
        <v>94</v>
      </c>
      <c r="F1702">
        <v>814</v>
      </c>
      <c r="G1702" s="4">
        <v>46087.5937962963</v>
      </c>
    </row>
    <row r="1703" spans="1:7" x14ac:dyDescent="0.3">
      <c r="A1703">
        <v>2895</v>
      </c>
      <c r="B1703" t="s">
        <v>146</v>
      </c>
      <c r="C1703">
        <v>51022670</v>
      </c>
      <c r="D1703">
        <v>93.235844770590944</v>
      </c>
      <c r="E1703" t="s">
        <v>92</v>
      </c>
      <c r="F1703">
        <v>86</v>
      </c>
      <c r="G1703" s="4">
        <v>46087.5937962963</v>
      </c>
    </row>
    <row r="1704" spans="1:7" x14ac:dyDescent="0.3">
      <c r="A1704">
        <v>2896</v>
      </c>
      <c r="B1704" t="s">
        <v>146</v>
      </c>
      <c r="C1704">
        <v>51029976</v>
      </c>
      <c r="D1704">
        <v>75.32442068848863</v>
      </c>
      <c r="E1704" t="s">
        <v>93</v>
      </c>
      <c r="F1704">
        <v>489</v>
      </c>
      <c r="G1704" s="4">
        <v>46087.5937962963</v>
      </c>
    </row>
    <row r="1705" spans="1:7" x14ac:dyDescent="0.3">
      <c r="A1705">
        <v>2897</v>
      </c>
      <c r="B1705" t="s">
        <v>146</v>
      </c>
      <c r="C1705">
        <v>51032195</v>
      </c>
      <c r="D1705">
        <v>31.803317261148273</v>
      </c>
      <c r="E1705" t="s">
        <v>94</v>
      </c>
      <c r="F1705">
        <v>891</v>
      </c>
      <c r="G1705" s="4">
        <v>46087.5937962963</v>
      </c>
    </row>
    <row r="1706" spans="1:7" x14ac:dyDescent="0.3">
      <c r="A1706">
        <v>2898</v>
      </c>
      <c r="B1706" t="s">
        <v>146</v>
      </c>
      <c r="C1706">
        <v>51042875</v>
      </c>
      <c r="D1706">
        <v>48.294305122085291</v>
      </c>
      <c r="E1706" t="s">
        <v>94</v>
      </c>
      <c r="F1706">
        <v>788</v>
      </c>
      <c r="G1706" s="4">
        <v>46087.5937962963</v>
      </c>
    </row>
    <row r="1707" spans="1:7" x14ac:dyDescent="0.3">
      <c r="A1707">
        <v>2899</v>
      </c>
      <c r="B1707" t="s">
        <v>146</v>
      </c>
      <c r="C1707">
        <v>51010728</v>
      </c>
      <c r="D1707">
        <v>61.350578819503852</v>
      </c>
      <c r="E1707" t="s">
        <v>94</v>
      </c>
      <c r="F1707">
        <v>624</v>
      </c>
      <c r="G1707" s="4">
        <v>46087.5937962963</v>
      </c>
    </row>
    <row r="1708" spans="1:7" x14ac:dyDescent="0.3">
      <c r="A1708">
        <v>2900</v>
      </c>
      <c r="B1708" t="s">
        <v>146</v>
      </c>
      <c r="C1708">
        <v>51056655</v>
      </c>
      <c r="D1708">
        <v>93.758958924165299</v>
      </c>
      <c r="E1708" t="s">
        <v>92</v>
      </c>
      <c r="F1708">
        <v>74</v>
      </c>
      <c r="G1708" s="4">
        <v>46087.5937962963</v>
      </c>
    </row>
    <row r="1709" spans="1:7" x14ac:dyDescent="0.3">
      <c r="A1709">
        <v>2901</v>
      </c>
      <c r="B1709" t="s">
        <v>146</v>
      </c>
      <c r="C1709">
        <v>51056817</v>
      </c>
      <c r="D1709">
        <v>83.351386716161144</v>
      </c>
      <c r="E1709" t="s">
        <v>93</v>
      </c>
      <c r="F1709">
        <v>314</v>
      </c>
      <c r="G1709" s="4">
        <v>46087.5937962963</v>
      </c>
    </row>
    <row r="1710" spans="1:7" x14ac:dyDescent="0.3">
      <c r="A1710">
        <v>2902</v>
      </c>
      <c r="B1710" t="s">
        <v>146</v>
      </c>
      <c r="C1710">
        <v>51018826</v>
      </c>
      <c r="D1710">
        <v>83.274206959507197</v>
      </c>
      <c r="E1710" t="s">
        <v>93</v>
      </c>
      <c r="F1710">
        <v>320</v>
      </c>
      <c r="G1710" s="4">
        <v>46087.5937962963</v>
      </c>
    </row>
    <row r="1711" spans="1:7" x14ac:dyDescent="0.3">
      <c r="A1711">
        <v>2903</v>
      </c>
      <c r="B1711" t="s">
        <v>146</v>
      </c>
      <c r="C1711">
        <v>51019814</v>
      </c>
      <c r="D1711">
        <v>23.208505763639593</v>
      </c>
      <c r="E1711" t="s">
        <v>94</v>
      </c>
      <c r="F1711">
        <v>951</v>
      </c>
      <c r="G1711" s="4">
        <v>46087.5937962963</v>
      </c>
    </row>
    <row r="1712" spans="1:7" x14ac:dyDescent="0.3">
      <c r="A1712">
        <v>2904</v>
      </c>
      <c r="B1712" t="s">
        <v>146</v>
      </c>
      <c r="C1712">
        <v>51033281</v>
      </c>
      <c r="D1712">
        <v>49.336614156342002</v>
      </c>
      <c r="E1712" t="s">
        <v>94</v>
      </c>
      <c r="F1712">
        <v>778</v>
      </c>
      <c r="G1712" s="4">
        <v>46087.5937962963</v>
      </c>
    </row>
    <row r="1713" spans="1:7" x14ac:dyDescent="0.3">
      <c r="A1713">
        <v>2905</v>
      </c>
      <c r="B1713" t="s">
        <v>146</v>
      </c>
      <c r="C1713">
        <v>51056523</v>
      </c>
      <c r="D1713">
        <v>22.187981353273731</v>
      </c>
      <c r="E1713" t="s">
        <v>95</v>
      </c>
      <c r="F1713">
        <v>964</v>
      </c>
      <c r="G1713" s="4">
        <v>46087.5937962963</v>
      </c>
    </row>
    <row r="1714" spans="1:7" x14ac:dyDescent="0.3">
      <c r="A1714">
        <v>2906</v>
      </c>
      <c r="B1714" t="s">
        <v>146</v>
      </c>
      <c r="C1714">
        <v>51025792</v>
      </c>
      <c r="D1714">
        <v>67.200671952349254</v>
      </c>
      <c r="E1714" t="s">
        <v>93</v>
      </c>
      <c r="F1714">
        <v>560</v>
      </c>
      <c r="G1714" s="4">
        <v>46087.5937962963</v>
      </c>
    </row>
    <row r="1715" spans="1:7" x14ac:dyDescent="0.3">
      <c r="A1715">
        <v>2907</v>
      </c>
      <c r="B1715" t="s">
        <v>146</v>
      </c>
      <c r="C1715">
        <v>51056728</v>
      </c>
      <c r="D1715">
        <v>61.795618992994811</v>
      </c>
      <c r="E1715" t="s">
        <v>94</v>
      </c>
      <c r="F1715">
        <v>616</v>
      </c>
      <c r="G1715" s="4">
        <v>46087.5937962963</v>
      </c>
    </row>
    <row r="1716" spans="1:7" x14ac:dyDescent="0.3">
      <c r="A1716">
        <v>2908</v>
      </c>
      <c r="B1716" t="s">
        <v>146</v>
      </c>
      <c r="C1716">
        <v>51011708</v>
      </c>
      <c r="D1716">
        <v>46.477777686975514</v>
      </c>
      <c r="E1716" t="s">
        <v>94</v>
      </c>
      <c r="F1716">
        <v>810</v>
      </c>
      <c r="G1716" s="4">
        <v>46087.5937962963</v>
      </c>
    </row>
    <row r="1717" spans="1:7" x14ac:dyDescent="0.3">
      <c r="A1717">
        <v>2909</v>
      </c>
      <c r="B1717" t="s">
        <v>146</v>
      </c>
      <c r="C1717">
        <v>51056558</v>
      </c>
      <c r="D1717">
        <v>79.885730732248646</v>
      </c>
      <c r="E1717" t="s">
        <v>93</v>
      </c>
      <c r="F1717">
        <v>422</v>
      </c>
      <c r="G1717" s="4">
        <v>46087.5937962963</v>
      </c>
    </row>
    <row r="1718" spans="1:7" x14ac:dyDescent="0.3">
      <c r="A1718">
        <v>2910</v>
      </c>
      <c r="B1718" t="s">
        <v>146</v>
      </c>
      <c r="C1718">
        <v>51041801</v>
      </c>
      <c r="D1718">
        <v>84.152965675871258</v>
      </c>
      <c r="E1718" t="s">
        <v>93</v>
      </c>
      <c r="F1718">
        <v>286</v>
      </c>
      <c r="G1718" s="4">
        <v>46087.5937962963</v>
      </c>
    </row>
    <row r="1719" spans="1:7" x14ac:dyDescent="0.3">
      <c r="A1719">
        <v>2911</v>
      </c>
      <c r="B1719" t="s">
        <v>146</v>
      </c>
      <c r="C1719">
        <v>51055390</v>
      </c>
      <c r="D1719">
        <v>87.833174863884622</v>
      </c>
      <c r="E1719" t="s">
        <v>92</v>
      </c>
      <c r="F1719">
        <v>183</v>
      </c>
      <c r="G1719" s="4">
        <v>46087.5937962963</v>
      </c>
    </row>
    <row r="1720" spans="1:7" x14ac:dyDescent="0.3">
      <c r="A1720">
        <v>2912</v>
      </c>
      <c r="B1720" t="s">
        <v>146</v>
      </c>
      <c r="C1720">
        <v>51017081</v>
      </c>
      <c r="D1720">
        <v>58.667374418370564</v>
      </c>
      <c r="E1720" t="s">
        <v>94</v>
      </c>
      <c r="F1720">
        <v>667</v>
      </c>
      <c r="G1720" s="4">
        <v>46087.5937962963</v>
      </c>
    </row>
    <row r="1721" spans="1:7" x14ac:dyDescent="0.3">
      <c r="A1721">
        <v>2913</v>
      </c>
      <c r="B1721" t="s">
        <v>146</v>
      </c>
      <c r="C1721">
        <v>51056345</v>
      </c>
      <c r="D1721">
        <v>80.496026574021414</v>
      </c>
      <c r="E1721" t="s">
        <v>93</v>
      </c>
      <c r="F1721">
        <v>405</v>
      </c>
      <c r="G1721" s="4">
        <v>46087.5937962963</v>
      </c>
    </row>
    <row r="1722" spans="1:7" x14ac:dyDescent="0.3">
      <c r="A1722">
        <v>2914</v>
      </c>
      <c r="B1722" t="s">
        <v>146</v>
      </c>
      <c r="C1722">
        <v>51055942</v>
      </c>
      <c r="D1722">
        <v>86.641649175184781</v>
      </c>
      <c r="E1722" t="s">
        <v>92</v>
      </c>
      <c r="F1722">
        <v>212</v>
      </c>
      <c r="G1722" s="4">
        <v>46087.5937962963</v>
      </c>
    </row>
    <row r="1723" spans="1:7" x14ac:dyDescent="0.3">
      <c r="A1723">
        <v>2915</v>
      </c>
      <c r="B1723" t="s">
        <v>146</v>
      </c>
      <c r="C1723">
        <v>51036735</v>
      </c>
      <c r="D1723">
        <v>82.864416371433521</v>
      </c>
      <c r="E1723" t="s">
        <v>93</v>
      </c>
      <c r="F1723">
        <v>337</v>
      </c>
      <c r="G1723" s="4">
        <v>46087.5937962963</v>
      </c>
    </row>
    <row r="1724" spans="1:7" x14ac:dyDescent="0.3">
      <c r="A1724">
        <v>2916</v>
      </c>
      <c r="B1724" t="s">
        <v>146</v>
      </c>
      <c r="C1724">
        <v>51001427</v>
      </c>
      <c r="D1724">
        <v>82.392958066408553</v>
      </c>
      <c r="E1724" t="s">
        <v>93</v>
      </c>
      <c r="F1724">
        <v>353</v>
      </c>
      <c r="G1724" s="4">
        <v>46087.5937962963</v>
      </c>
    </row>
    <row r="1725" spans="1:7" x14ac:dyDescent="0.3">
      <c r="A1725">
        <v>2917</v>
      </c>
      <c r="B1725" t="s">
        <v>146</v>
      </c>
      <c r="C1725">
        <v>51010272</v>
      </c>
      <c r="D1725">
        <v>98.28587500543189</v>
      </c>
      <c r="E1725" t="s">
        <v>275</v>
      </c>
      <c r="F1725">
        <v>28</v>
      </c>
      <c r="G1725" s="4">
        <v>46087.5937962963</v>
      </c>
    </row>
    <row r="1726" spans="1:7" x14ac:dyDescent="0.3">
      <c r="A1726">
        <v>2918</v>
      </c>
      <c r="B1726" t="s">
        <v>146</v>
      </c>
      <c r="C1726">
        <v>51056451</v>
      </c>
      <c r="D1726">
        <v>58.583938422306758</v>
      </c>
      <c r="E1726" t="s">
        <v>94</v>
      </c>
      <c r="F1726">
        <v>670</v>
      </c>
      <c r="G1726" s="4">
        <v>46087.5937962963</v>
      </c>
    </row>
    <row r="1727" spans="1:7" x14ac:dyDescent="0.3">
      <c r="A1727">
        <v>2919</v>
      </c>
      <c r="B1727" t="s">
        <v>146</v>
      </c>
      <c r="C1727">
        <v>51018907</v>
      </c>
      <c r="D1727">
        <v>84.085806072545623</v>
      </c>
      <c r="E1727" t="s">
        <v>93</v>
      </c>
      <c r="F1727">
        <v>288</v>
      </c>
      <c r="G1727" s="4">
        <v>46087.5937962963</v>
      </c>
    </row>
    <row r="1728" spans="1:7" x14ac:dyDescent="0.3">
      <c r="A1728">
        <v>2920</v>
      </c>
      <c r="B1728" t="s">
        <v>146</v>
      </c>
      <c r="C1728">
        <v>51004108</v>
      </c>
      <c r="D1728">
        <v>85.741358789344673</v>
      </c>
      <c r="E1728" t="s">
        <v>93</v>
      </c>
      <c r="F1728">
        <v>246</v>
      </c>
      <c r="G1728" s="4">
        <v>46087.5937962963</v>
      </c>
    </row>
    <row r="1729" spans="1:7" x14ac:dyDescent="0.3">
      <c r="A1729">
        <v>2921</v>
      </c>
      <c r="B1729" t="s">
        <v>146</v>
      </c>
      <c r="C1729">
        <v>51030869</v>
      </c>
      <c r="D1729">
        <v>48.580457648366114</v>
      </c>
      <c r="E1729" t="s">
        <v>94</v>
      </c>
      <c r="F1729">
        <v>785</v>
      </c>
      <c r="G1729" s="4">
        <v>46087.5937962963</v>
      </c>
    </row>
    <row r="1730" spans="1:7" x14ac:dyDescent="0.3">
      <c r="A1730">
        <v>2922</v>
      </c>
      <c r="B1730" t="s">
        <v>146</v>
      </c>
      <c r="C1730">
        <v>51031113</v>
      </c>
      <c r="D1730">
        <v>97.748876041656359</v>
      </c>
      <c r="E1730" t="s">
        <v>275</v>
      </c>
      <c r="F1730">
        <v>31</v>
      </c>
      <c r="G1730" s="4">
        <v>46087.5937962963</v>
      </c>
    </row>
    <row r="1731" spans="1:7" x14ac:dyDescent="0.3">
      <c r="A1731">
        <v>2923</v>
      </c>
      <c r="B1731" t="s">
        <v>146</v>
      </c>
      <c r="C1731">
        <v>51033329</v>
      </c>
      <c r="D1731">
        <v>82.874281738958345</v>
      </c>
      <c r="E1731" t="s">
        <v>93</v>
      </c>
      <c r="F1731">
        <v>335</v>
      </c>
      <c r="G1731" s="4">
        <v>46087.5937962963</v>
      </c>
    </row>
    <row r="1732" spans="1:7" x14ac:dyDescent="0.3">
      <c r="A1732">
        <v>2924</v>
      </c>
      <c r="B1732" t="s">
        <v>146</v>
      </c>
      <c r="C1732">
        <v>51042905</v>
      </c>
      <c r="D1732">
        <v>56.59308510516</v>
      </c>
      <c r="E1732" t="s">
        <v>94</v>
      </c>
      <c r="F1732">
        <v>719</v>
      </c>
      <c r="G1732" s="4">
        <v>46087.5937962963</v>
      </c>
    </row>
    <row r="1733" spans="1:7" x14ac:dyDescent="0.3">
      <c r="A1733">
        <v>2925</v>
      </c>
      <c r="B1733" t="s">
        <v>146</v>
      </c>
      <c r="C1733">
        <v>51010833</v>
      </c>
      <c r="D1733">
        <v>48.999091957788835</v>
      </c>
      <c r="E1733" t="s">
        <v>94</v>
      </c>
      <c r="F1733">
        <v>780</v>
      </c>
      <c r="G1733" s="4">
        <v>46087.5937962963</v>
      </c>
    </row>
    <row r="1734" spans="1:7" x14ac:dyDescent="0.3">
      <c r="A1734">
        <v>2926</v>
      </c>
      <c r="B1734" t="s">
        <v>146</v>
      </c>
      <c r="C1734">
        <v>51042956</v>
      </c>
      <c r="D1734">
        <v>87.792085854436095</v>
      </c>
      <c r="E1734" t="s">
        <v>92</v>
      </c>
      <c r="F1734">
        <v>185</v>
      </c>
      <c r="G1734" s="4">
        <v>46087.5937962963</v>
      </c>
    </row>
    <row r="1735" spans="1:7" x14ac:dyDescent="0.3">
      <c r="A1735">
        <v>2927</v>
      </c>
      <c r="B1735" t="s">
        <v>146</v>
      </c>
      <c r="C1735">
        <v>51039645</v>
      </c>
      <c r="D1735">
        <v>89.652681985077706</v>
      </c>
      <c r="E1735" t="s">
        <v>92</v>
      </c>
      <c r="F1735">
        <v>137</v>
      </c>
      <c r="G1735" s="4">
        <v>46087.5937962963</v>
      </c>
    </row>
    <row r="1736" spans="1:7" x14ac:dyDescent="0.3">
      <c r="A1736">
        <v>2928</v>
      </c>
      <c r="B1736" t="s">
        <v>146</v>
      </c>
      <c r="C1736">
        <v>51021622</v>
      </c>
      <c r="D1736">
        <v>61.876340779293479</v>
      </c>
      <c r="E1736" t="s">
        <v>94</v>
      </c>
      <c r="F1736">
        <v>614</v>
      </c>
      <c r="G1736" s="4">
        <v>46087.5937962963</v>
      </c>
    </row>
    <row r="1737" spans="1:7" x14ac:dyDescent="0.3">
      <c r="A1737">
        <v>2929</v>
      </c>
      <c r="B1737" t="s">
        <v>146</v>
      </c>
      <c r="C1737">
        <v>51031491</v>
      </c>
      <c r="D1737">
        <v>88.651210142818144</v>
      </c>
      <c r="E1737" t="s">
        <v>92</v>
      </c>
      <c r="F1737">
        <v>159</v>
      </c>
      <c r="G1737" s="4">
        <v>46087.5937962963</v>
      </c>
    </row>
    <row r="1738" spans="1:7" x14ac:dyDescent="0.3">
      <c r="A1738">
        <v>2930</v>
      </c>
      <c r="B1738" t="s">
        <v>146</v>
      </c>
      <c r="C1738">
        <v>51020162</v>
      </c>
      <c r="D1738">
        <v>38.94083931602183</v>
      </c>
      <c r="E1738" t="s">
        <v>94</v>
      </c>
      <c r="F1738">
        <v>847</v>
      </c>
      <c r="G1738" s="4">
        <v>46087.5937962963</v>
      </c>
    </row>
    <row r="1739" spans="1:7" x14ac:dyDescent="0.3">
      <c r="A1739">
        <v>2931</v>
      </c>
      <c r="B1739" t="s">
        <v>146</v>
      </c>
      <c r="C1739">
        <v>51017056</v>
      </c>
      <c r="D1739">
        <v>30.698</v>
      </c>
      <c r="E1739" t="s">
        <v>94</v>
      </c>
      <c r="F1739">
        <v>904</v>
      </c>
      <c r="G1739" s="4">
        <v>46087.5937962963</v>
      </c>
    </row>
    <row r="1740" spans="1:7" x14ac:dyDescent="0.3">
      <c r="A1740">
        <v>2932</v>
      </c>
      <c r="B1740" t="s">
        <v>146</v>
      </c>
      <c r="C1740">
        <v>51056019</v>
      </c>
      <c r="D1740">
        <v>44.016379886609329</v>
      </c>
      <c r="E1740" t="s">
        <v>94</v>
      </c>
      <c r="F1740">
        <v>829</v>
      </c>
      <c r="G1740" s="4">
        <v>46087.5937962963</v>
      </c>
    </row>
    <row r="1741" spans="1:7" x14ac:dyDescent="0.3">
      <c r="A1741">
        <v>2933</v>
      </c>
      <c r="B1741" t="s">
        <v>146</v>
      </c>
      <c r="C1741">
        <v>51017579</v>
      </c>
      <c r="D1741">
        <v>73.097865066825506</v>
      </c>
      <c r="E1741" t="s">
        <v>93</v>
      </c>
      <c r="F1741">
        <v>510</v>
      </c>
      <c r="G1741" s="4">
        <v>46087.5937962963</v>
      </c>
    </row>
    <row r="1742" spans="1:7" x14ac:dyDescent="0.3">
      <c r="A1742">
        <v>2934</v>
      </c>
      <c r="B1742" t="s">
        <v>146</v>
      </c>
      <c r="C1742">
        <v>51015487</v>
      </c>
      <c r="D1742">
        <v>61.026663543852841</v>
      </c>
      <c r="E1742" t="s">
        <v>94</v>
      </c>
      <c r="F1742">
        <v>631</v>
      </c>
      <c r="G1742" s="4">
        <v>46087.5937962963</v>
      </c>
    </row>
    <row r="1743" spans="1:7" x14ac:dyDescent="0.3">
      <c r="A1743">
        <v>2935</v>
      </c>
      <c r="B1743" t="s">
        <v>146</v>
      </c>
      <c r="C1743">
        <v>51040333</v>
      </c>
      <c r="D1743">
        <v>77.470209242736431</v>
      </c>
      <c r="E1743" t="s">
        <v>93</v>
      </c>
      <c r="F1743">
        <v>458</v>
      </c>
      <c r="G1743" s="4">
        <v>46087.5937962963</v>
      </c>
    </row>
    <row r="1744" spans="1:7" x14ac:dyDescent="0.3">
      <c r="A1744">
        <v>2936</v>
      </c>
      <c r="B1744" t="s">
        <v>146</v>
      </c>
      <c r="C1744">
        <v>51017153</v>
      </c>
      <c r="D1744">
        <v>70.079461567892736</v>
      </c>
      <c r="E1744" t="s">
        <v>93</v>
      </c>
      <c r="F1744">
        <v>541</v>
      </c>
      <c r="G1744" s="4">
        <v>46087.5937962963</v>
      </c>
    </row>
    <row r="1745" spans="1:7" x14ac:dyDescent="0.3">
      <c r="A1745">
        <v>2937</v>
      </c>
      <c r="B1745" t="s">
        <v>146</v>
      </c>
      <c r="C1745">
        <v>51021886</v>
      </c>
      <c r="D1745">
        <v>54.79934510961035</v>
      </c>
      <c r="E1745" t="s">
        <v>94</v>
      </c>
      <c r="F1745">
        <v>738</v>
      </c>
      <c r="G1745" s="4">
        <v>46087.5937962963</v>
      </c>
    </row>
    <row r="1746" spans="1:7" x14ac:dyDescent="0.3">
      <c r="A1746">
        <v>2938</v>
      </c>
      <c r="B1746" t="s">
        <v>146</v>
      </c>
      <c r="C1746">
        <v>51023188</v>
      </c>
      <c r="D1746">
        <v>95.458970423237275</v>
      </c>
      <c r="E1746" t="s">
        <v>275</v>
      </c>
      <c r="F1746">
        <v>57</v>
      </c>
      <c r="G1746" s="4">
        <v>46087.5937962963</v>
      </c>
    </row>
    <row r="1747" spans="1:7" x14ac:dyDescent="0.3">
      <c r="A1747">
        <v>2939</v>
      </c>
      <c r="B1747" t="s">
        <v>146</v>
      </c>
      <c r="C1747">
        <v>51055667</v>
      </c>
      <c r="D1747">
        <v>28.287077218323706</v>
      </c>
      <c r="E1747" t="s">
        <v>94</v>
      </c>
      <c r="F1747">
        <v>926</v>
      </c>
      <c r="G1747" s="4">
        <v>46087.5937962963</v>
      </c>
    </row>
    <row r="1748" spans="1:7" x14ac:dyDescent="0.3">
      <c r="A1748">
        <v>2940</v>
      </c>
      <c r="B1748" t="s">
        <v>146</v>
      </c>
      <c r="C1748">
        <v>51020081</v>
      </c>
      <c r="D1748">
        <v>87.615677373957169</v>
      </c>
      <c r="E1748" t="s">
        <v>92</v>
      </c>
      <c r="F1748">
        <v>193</v>
      </c>
      <c r="G1748" s="4">
        <v>46087.5937962963</v>
      </c>
    </row>
    <row r="1749" spans="1:7" x14ac:dyDescent="0.3">
      <c r="A1749">
        <v>2941</v>
      </c>
      <c r="B1749" t="s">
        <v>146</v>
      </c>
      <c r="C1749">
        <v>51018729</v>
      </c>
      <c r="D1749">
        <v>86.213003942677602</v>
      </c>
      <c r="E1749" t="s">
        <v>92</v>
      </c>
      <c r="F1749">
        <v>231</v>
      </c>
      <c r="G1749" s="4">
        <v>46087.5937962963</v>
      </c>
    </row>
    <row r="1750" spans="1:7" x14ac:dyDescent="0.3">
      <c r="A1750">
        <v>2942</v>
      </c>
      <c r="B1750" t="s">
        <v>146</v>
      </c>
      <c r="C1750">
        <v>51030222</v>
      </c>
      <c r="D1750">
        <v>44.910090265296418</v>
      </c>
      <c r="E1750" t="s">
        <v>94</v>
      </c>
      <c r="F1750">
        <v>823</v>
      </c>
      <c r="G1750" s="4">
        <v>46087.5937962963</v>
      </c>
    </row>
    <row r="1751" spans="1:7" x14ac:dyDescent="0.3">
      <c r="A1751">
        <v>2943</v>
      </c>
      <c r="B1751" t="s">
        <v>146</v>
      </c>
      <c r="C1751">
        <v>51002717</v>
      </c>
      <c r="D1751">
        <v>31.252405330070104</v>
      </c>
      <c r="E1751" t="s">
        <v>94</v>
      </c>
      <c r="F1751">
        <v>897</v>
      </c>
      <c r="G1751" s="4">
        <v>46087.5937962963</v>
      </c>
    </row>
    <row r="1752" spans="1:7" x14ac:dyDescent="0.3">
      <c r="A1752">
        <v>2944</v>
      </c>
      <c r="B1752" t="s">
        <v>146</v>
      </c>
      <c r="C1752">
        <v>51055454</v>
      </c>
      <c r="D1752">
        <v>30.609198368121284</v>
      </c>
      <c r="E1752" t="s">
        <v>94</v>
      </c>
      <c r="F1752">
        <v>905</v>
      </c>
      <c r="G1752" s="4">
        <v>46087.5937962963</v>
      </c>
    </row>
    <row r="1753" spans="1:7" x14ac:dyDescent="0.3">
      <c r="A1753">
        <v>2945</v>
      </c>
      <c r="B1753" t="s">
        <v>146</v>
      </c>
      <c r="C1753">
        <v>51055756</v>
      </c>
      <c r="D1753">
        <v>97.911818163802408</v>
      </c>
      <c r="E1753" t="s">
        <v>275</v>
      </c>
      <c r="F1753">
        <v>29</v>
      </c>
      <c r="G1753" s="4">
        <v>46087.5937962963</v>
      </c>
    </row>
    <row r="1754" spans="1:7" x14ac:dyDescent="0.3">
      <c r="A1754">
        <v>2946</v>
      </c>
      <c r="B1754" t="s">
        <v>146</v>
      </c>
      <c r="C1754">
        <v>51011490</v>
      </c>
      <c r="D1754">
        <v>80.726739393465749</v>
      </c>
      <c r="E1754" t="s">
        <v>93</v>
      </c>
      <c r="F1754">
        <v>399</v>
      </c>
      <c r="G1754" s="4">
        <v>46087.5937962963</v>
      </c>
    </row>
    <row r="1755" spans="1:7" x14ac:dyDescent="0.3">
      <c r="A1755">
        <v>2947</v>
      </c>
      <c r="B1755" t="s">
        <v>146</v>
      </c>
      <c r="C1755">
        <v>51010736</v>
      </c>
      <c r="D1755">
        <v>92.471461828230659</v>
      </c>
      <c r="E1755" t="s">
        <v>92</v>
      </c>
      <c r="F1755">
        <v>95</v>
      </c>
      <c r="G1755" s="4">
        <v>46087.5937962963</v>
      </c>
    </row>
    <row r="1756" spans="1:7" x14ac:dyDescent="0.3">
      <c r="A1756">
        <v>2948</v>
      </c>
      <c r="B1756" t="s">
        <v>146</v>
      </c>
      <c r="C1756">
        <v>51016149</v>
      </c>
      <c r="D1756">
        <v>64.214705003643473</v>
      </c>
      <c r="E1756" t="s">
        <v>93</v>
      </c>
      <c r="F1756">
        <v>580</v>
      </c>
      <c r="G1756" s="4">
        <v>46087.5937962963</v>
      </c>
    </row>
    <row r="1757" spans="1:7" x14ac:dyDescent="0.3">
      <c r="A1757">
        <v>2949</v>
      </c>
      <c r="B1757" t="s">
        <v>146</v>
      </c>
      <c r="C1757">
        <v>51013930</v>
      </c>
      <c r="D1757">
        <v>61.876010512085578</v>
      </c>
      <c r="E1757" t="s">
        <v>94</v>
      </c>
      <c r="F1757">
        <v>615</v>
      </c>
      <c r="G1757" s="4">
        <v>46087.5937962963</v>
      </c>
    </row>
    <row r="1758" spans="1:7" x14ac:dyDescent="0.3">
      <c r="A1758">
        <v>2950</v>
      </c>
      <c r="B1758" t="s">
        <v>146</v>
      </c>
      <c r="C1758">
        <v>51055641</v>
      </c>
      <c r="D1758">
        <v>47.886428118596655</v>
      </c>
      <c r="E1758" t="s">
        <v>94</v>
      </c>
      <c r="F1758">
        <v>792</v>
      </c>
      <c r="G1758" s="4">
        <v>46087.5937962963</v>
      </c>
    </row>
    <row r="1759" spans="1:7" x14ac:dyDescent="0.3">
      <c r="A1759">
        <v>2951</v>
      </c>
      <c r="B1759" t="s">
        <v>146</v>
      </c>
      <c r="C1759">
        <v>51021461</v>
      </c>
      <c r="D1759">
        <v>100</v>
      </c>
      <c r="E1759" t="s">
        <v>275</v>
      </c>
      <c r="F1759">
        <v>1</v>
      </c>
      <c r="G1759" s="4">
        <v>46087.5937962963</v>
      </c>
    </row>
    <row r="1760" spans="1:7" x14ac:dyDescent="0.3">
      <c r="A1760">
        <v>2952</v>
      </c>
      <c r="B1760" t="s">
        <v>146</v>
      </c>
      <c r="C1760">
        <v>51039637</v>
      </c>
      <c r="D1760">
        <v>88.318864963170981</v>
      </c>
      <c r="E1760" t="s">
        <v>92</v>
      </c>
      <c r="F1760">
        <v>169</v>
      </c>
      <c r="G1760" s="4">
        <v>46087.5937962963</v>
      </c>
    </row>
    <row r="1761" spans="1:7" x14ac:dyDescent="0.3">
      <c r="A1761">
        <v>2953</v>
      </c>
      <c r="B1761" t="s">
        <v>146</v>
      </c>
      <c r="C1761">
        <v>51020308</v>
      </c>
      <c r="D1761">
        <v>72.939833691688776</v>
      </c>
      <c r="E1761" t="s">
        <v>93</v>
      </c>
      <c r="F1761">
        <v>513</v>
      </c>
      <c r="G1761" s="4">
        <v>46087.5937962963</v>
      </c>
    </row>
    <row r="1762" spans="1:7" x14ac:dyDescent="0.3">
      <c r="A1762">
        <v>2954</v>
      </c>
      <c r="B1762" t="s">
        <v>146</v>
      </c>
      <c r="C1762">
        <v>51040597</v>
      </c>
      <c r="D1762">
        <v>58.112912102276866</v>
      </c>
      <c r="E1762" t="s">
        <v>94</v>
      </c>
      <c r="F1762">
        <v>684</v>
      </c>
      <c r="G1762" s="4">
        <v>46087.5937962963</v>
      </c>
    </row>
    <row r="1763" spans="1:7" x14ac:dyDescent="0.3">
      <c r="A1763">
        <v>2955</v>
      </c>
      <c r="B1763" t="s">
        <v>146</v>
      </c>
      <c r="C1763">
        <v>51014197</v>
      </c>
      <c r="D1763">
        <v>58.277827635456056</v>
      </c>
      <c r="E1763" t="s">
        <v>94</v>
      </c>
      <c r="F1763">
        <v>677</v>
      </c>
      <c r="G1763" s="4">
        <v>46087.5937962963</v>
      </c>
    </row>
    <row r="1764" spans="1:7" x14ac:dyDescent="0.3">
      <c r="A1764">
        <v>2956</v>
      </c>
      <c r="B1764" t="s">
        <v>146</v>
      </c>
      <c r="C1764">
        <v>51056621</v>
      </c>
      <c r="D1764">
        <v>81.811947028083978</v>
      </c>
      <c r="E1764" t="s">
        <v>93</v>
      </c>
      <c r="F1764">
        <v>374</v>
      </c>
      <c r="G1764" s="4">
        <v>46087.5937962963</v>
      </c>
    </row>
    <row r="1765" spans="1:7" x14ac:dyDescent="0.3">
      <c r="A1765">
        <v>2957</v>
      </c>
      <c r="B1765" t="s">
        <v>146</v>
      </c>
      <c r="C1765">
        <v>51018524</v>
      </c>
      <c r="D1765">
        <v>87.043931078850491</v>
      </c>
      <c r="E1765" t="s">
        <v>92</v>
      </c>
      <c r="F1765">
        <v>200</v>
      </c>
      <c r="G1765" s="4">
        <v>46087.5937962963</v>
      </c>
    </row>
    <row r="1766" spans="1:7" x14ac:dyDescent="0.3">
      <c r="A1766">
        <v>2958</v>
      </c>
      <c r="B1766" t="s">
        <v>146</v>
      </c>
      <c r="C1766">
        <v>51056701</v>
      </c>
      <c r="D1766">
        <v>47.682616669275497</v>
      </c>
      <c r="E1766" t="s">
        <v>94</v>
      </c>
      <c r="F1766">
        <v>794</v>
      </c>
      <c r="G1766" s="4">
        <v>46087.5937962963</v>
      </c>
    </row>
    <row r="1767" spans="1:7" x14ac:dyDescent="0.3">
      <c r="A1767">
        <v>2959</v>
      </c>
      <c r="B1767" t="s">
        <v>146</v>
      </c>
      <c r="C1767">
        <v>51057007</v>
      </c>
      <c r="D1767">
        <v>50.652125922933578</v>
      </c>
      <c r="E1767" t="s">
        <v>94</v>
      </c>
      <c r="F1767">
        <v>765</v>
      </c>
      <c r="G1767" s="4">
        <v>46087.5937962963</v>
      </c>
    </row>
    <row r="1768" spans="1:7" x14ac:dyDescent="0.3">
      <c r="A1768">
        <v>2960</v>
      </c>
      <c r="B1768" t="s">
        <v>146</v>
      </c>
      <c r="C1768">
        <v>51011091</v>
      </c>
      <c r="D1768">
        <v>60.43925546961831</v>
      </c>
      <c r="E1768" t="s">
        <v>94</v>
      </c>
      <c r="F1768">
        <v>642</v>
      </c>
      <c r="G1768" s="4">
        <v>46087.5937962963</v>
      </c>
    </row>
    <row r="1769" spans="1:7" x14ac:dyDescent="0.3">
      <c r="A1769">
        <v>2961</v>
      </c>
      <c r="B1769" t="s">
        <v>146</v>
      </c>
      <c r="C1769">
        <v>51011953</v>
      </c>
      <c r="D1769">
        <v>23.184401324645481</v>
      </c>
      <c r="E1769" t="s">
        <v>94</v>
      </c>
      <c r="F1769">
        <v>952</v>
      </c>
      <c r="G1769" s="4">
        <v>46087.5937962963</v>
      </c>
    </row>
    <row r="1770" spans="1:7" x14ac:dyDescent="0.3">
      <c r="A1770">
        <v>2962</v>
      </c>
      <c r="B1770" t="s">
        <v>146</v>
      </c>
      <c r="C1770">
        <v>51022955</v>
      </c>
      <c r="D1770">
        <v>70.570040925637869</v>
      </c>
      <c r="E1770" t="s">
        <v>93</v>
      </c>
      <c r="F1770">
        <v>535</v>
      </c>
      <c r="G1770" s="4">
        <v>46087.5937962963</v>
      </c>
    </row>
    <row r="1771" spans="1:7" x14ac:dyDescent="0.3">
      <c r="A1771">
        <v>2963</v>
      </c>
      <c r="B1771" t="s">
        <v>146</v>
      </c>
      <c r="C1771">
        <v>51021673</v>
      </c>
      <c r="D1771">
        <v>22.323</v>
      </c>
      <c r="E1771" t="s">
        <v>95</v>
      </c>
      <c r="F1771">
        <v>961</v>
      </c>
      <c r="G1771" s="4">
        <v>46087.5937962963</v>
      </c>
    </row>
    <row r="1772" spans="1:7" x14ac:dyDescent="0.3">
      <c r="A1772">
        <v>2964</v>
      </c>
      <c r="B1772" t="s">
        <v>146</v>
      </c>
      <c r="C1772">
        <v>51013476</v>
      </c>
      <c r="D1772">
        <v>80.707771435578934</v>
      </c>
      <c r="E1772" t="s">
        <v>93</v>
      </c>
      <c r="F1772">
        <v>400</v>
      </c>
      <c r="G1772" s="4">
        <v>46087.5937962963</v>
      </c>
    </row>
    <row r="1773" spans="1:7" x14ac:dyDescent="0.3">
      <c r="A1773">
        <v>2965</v>
      </c>
      <c r="B1773" t="s">
        <v>146</v>
      </c>
      <c r="C1773">
        <v>51022998</v>
      </c>
      <c r="D1773">
        <v>96.547266129111904</v>
      </c>
      <c r="E1773" t="s">
        <v>275</v>
      </c>
      <c r="F1773">
        <v>47</v>
      </c>
      <c r="G1773" s="4">
        <v>46087.5937962963</v>
      </c>
    </row>
    <row r="1774" spans="1:7" x14ac:dyDescent="0.3">
      <c r="A1774">
        <v>2966</v>
      </c>
      <c r="B1774" t="s">
        <v>146</v>
      </c>
      <c r="C1774">
        <v>51056485</v>
      </c>
      <c r="D1774">
        <v>59.570096484536961</v>
      </c>
      <c r="E1774" t="s">
        <v>94</v>
      </c>
      <c r="F1774">
        <v>656</v>
      </c>
      <c r="G1774" s="4">
        <v>46087.5937962963</v>
      </c>
    </row>
    <row r="1775" spans="1:7" x14ac:dyDescent="0.3">
      <c r="A1775">
        <v>2967</v>
      </c>
      <c r="B1775" t="s">
        <v>146</v>
      </c>
      <c r="C1775">
        <v>51055705</v>
      </c>
      <c r="D1775">
        <v>92.781763887541501</v>
      </c>
      <c r="E1775" t="s">
        <v>92</v>
      </c>
      <c r="F1775">
        <v>91</v>
      </c>
      <c r="G1775" s="4">
        <v>46087.5937962963</v>
      </c>
    </row>
    <row r="1776" spans="1:7" x14ac:dyDescent="0.3">
      <c r="A1776">
        <v>2968</v>
      </c>
      <c r="B1776" t="s">
        <v>146</v>
      </c>
      <c r="C1776">
        <v>51041798</v>
      </c>
      <c r="D1776">
        <v>37.218994908666382</v>
      </c>
      <c r="E1776" t="s">
        <v>94</v>
      </c>
      <c r="F1776">
        <v>857</v>
      </c>
      <c r="G1776" s="4">
        <v>46087.5937962963</v>
      </c>
    </row>
    <row r="1777" spans="1:7" x14ac:dyDescent="0.3">
      <c r="A1777">
        <v>2969</v>
      </c>
      <c r="B1777" t="s">
        <v>146</v>
      </c>
      <c r="C1777">
        <v>51020600</v>
      </c>
      <c r="D1777">
        <v>58.557845776948248</v>
      </c>
      <c r="E1777" t="s">
        <v>94</v>
      </c>
      <c r="F1777">
        <v>673</v>
      </c>
      <c r="G1777" s="4">
        <v>46087.5937962963</v>
      </c>
    </row>
    <row r="1778" spans="1:7" x14ac:dyDescent="0.3">
      <c r="A1778">
        <v>2970</v>
      </c>
      <c r="B1778" t="s">
        <v>146</v>
      </c>
      <c r="C1778">
        <v>51033795</v>
      </c>
      <c r="D1778">
        <v>43.379750629675726</v>
      </c>
      <c r="E1778" t="s">
        <v>94</v>
      </c>
      <c r="F1778">
        <v>833</v>
      </c>
      <c r="G1778" s="4">
        <v>46087.5937962963</v>
      </c>
    </row>
    <row r="1779" spans="1:7" x14ac:dyDescent="0.3">
      <c r="A1779">
        <v>2971</v>
      </c>
      <c r="B1779" t="s">
        <v>146</v>
      </c>
      <c r="C1779">
        <v>51030419</v>
      </c>
      <c r="D1779">
        <v>75.81617508076701</v>
      </c>
      <c r="E1779" t="s">
        <v>93</v>
      </c>
      <c r="F1779">
        <v>484</v>
      </c>
      <c r="G1779" s="4">
        <v>46087.5937962963</v>
      </c>
    </row>
    <row r="1780" spans="1:7" x14ac:dyDescent="0.3">
      <c r="A1780">
        <v>2972</v>
      </c>
      <c r="B1780" t="s">
        <v>146</v>
      </c>
      <c r="C1780">
        <v>51038819</v>
      </c>
      <c r="D1780">
        <v>79.801999836021039</v>
      </c>
      <c r="E1780" t="s">
        <v>93</v>
      </c>
      <c r="F1780">
        <v>424</v>
      </c>
      <c r="G1780" s="4">
        <v>46087.5937962963</v>
      </c>
    </row>
    <row r="1781" spans="1:7" x14ac:dyDescent="0.3">
      <c r="A1781">
        <v>2973</v>
      </c>
      <c r="B1781" t="s">
        <v>146</v>
      </c>
      <c r="C1781">
        <v>51021851</v>
      </c>
      <c r="D1781">
        <v>89.283673078597033</v>
      </c>
      <c r="E1781" t="s">
        <v>92</v>
      </c>
      <c r="F1781">
        <v>145</v>
      </c>
      <c r="G1781" s="4">
        <v>46087.5937962963</v>
      </c>
    </row>
    <row r="1782" spans="1:7" x14ac:dyDescent="0.3">
      <c r="A1782">
        <v>2974</v>
      </c>
      <c r="B1782" t="s">
        <v>146</v>
      </c>
      <c r="C1782">
        <v>51004086</v>
      </c>
      <c r="D1782">
        <v>28.688000000000006</v>
      </c>
      <c r="E1782" t="s">
        <v>94</v>
      </c>
      <c r="F1782">
        <v>920</v>
      </c>
      <c r="G1782" s="4">
        <v>46087.5937962963</v>
      </c>
    </row>
    <row r="1783" spans="1:7" x14ac:dyDescent="0.3">
      <c r="A1783">
        <v>2975</v>
      </c>
      <c r="B1783" t="s">
        <v>146</v>
      </c>
      <c r="C1783">
        <v>51017111</v>
      </c>
      <c r="D1783">
        <v>77.563190363945978</v>
      </c>
      <c r="E1783" t="s">
        <v>93</v>
      </c>
      <c r="F1783">
        <v>456</v>
      </c>
      <c r="G1783" s="4">
        <v>46087.5937962963</v>
      </c>
    </row>
    <row r="1784" spans="1:7" x14ac:dyDescent="0.3">
      <c r="A1784">
        <v>2976</v>
      </c>
      <c r="B1784" t="s">
        <v>146</v>
      </c>
      <c r="C1784">
        <v>51022106</v>
      </c>
      <c r="D1784">
        <v>50.012030590087186</v>
      </c>
      <c r="E1784" t="s">
        <v>94</v>
      </c>
      <c r="F1784">
        <v>770</v>
      </c>
      <c r="G1784" s="4">
        <v>46087.5937962963</v>
      </c>
    </row>
    <row r="1785" spans="1:7" x14ac:dyDescent="0.3">
      <c r="A1785">
        <v>2977</v>
      </c>
      <c r="B1785" t="s">
        <v>146</v>
      </c>
      <c r="C1785">
        <v>51056205</v>
      </c>
      <c r="D1785">
        <v>81.402637640781521</v>
      </c>
      <c r="E1785" t="s">
        <v>93</v>
      </c>
      <c r="F1785">
        <v>386</v>
      </c>
      <c r="G1785" s="4">
        <v>46087.5937962963</v>
      </c>
    </row>
    <row r="1786" spans="1:7" x14ac:dyDescent="0.3">
      <c r="A1786">
        <v>2978</v>
      </c>
      <c r="B1786" t="s">
        <v>146</v>
      </c>
      <c r="C1786">
        <v>51055870</v>
      </c>
      <c r="D1786">
        <v>86.239512551405596</v>
      </c>
      <c r="E1786" t="s">
        <v>92</v>
      </c>
      <c r="F1786">
        <v>229</v>
      </c>
      <c r="G1786" s="4">
        <v>46087.5937962963</v>
      </c>
    </row>
    <row r="1787" spans="1:7" x14ac:dyDescent="0.3">
      <c r="A1787">
        <v>2979</v>
      </c>
      <c r="B1787" t="s">
        <v>146</v>
      </c>
      <c r="C1787">
        <v>51017226</v>
      </c>
      <c r="D1787">
        <v>37.864260511111965</v>
      </c>
      <c r="E1787" t="s">
        <v>94</v>
      </c>
      <c r="F1787">
        <v>854</v>
      </c>
      <c r="G1787" s="4">
        <v>46087.5937962963</v>
      </c>
    </row>
    <row r="1788" spans="1:7" x14ac:dyDescent="0.3">
      <c r="A1788">
        <v>2980</v>
      </c>
      <c r="B1788" t="s">
        <v>146</v>
      </c>
      <c r="C1788">
        <v>51056965</v>
      </c>
      <c r="D1788">
        <v>21.76698700386163</v>
      </c>
      <c r="E1788" t="s">
        <v>95</v>
      </c>
      <c r="F1788">
        <v>968</v>
      </c>
      <c r="G1788" s="4">
        <v>46087.5937962963</v>
      </c>
    </row>
    <row r="1789" spans="1:7" x14ac:dyDescent="0.3">
      <c r="A1789">
        <v>2981</v>
      </c>
      <c r="B1789" t="s">
        <v>146</v>
      </c>
      <c r="C1789">
        <v>51033671</v>
      </c>
      <c r="D1789">
        <v>57.931812295817622</v>
      </c>
      <c r="E1789" t="s">
        <v>94</v>
      </c>
      <c r="F1789">
        <v>688</v>
      </c>
      <c r="G1789" s="4">
        <v>46087.5937962963</v>
      </c>
    </row>
    <row r="1790" spans="1:7" x14ac:dyDescent="0.3">
      <c r="A1790">
        <v>2982</v>
      </c>
      <c r="B1790" t="s">
        <v>146</v>
      </c>
      <c r="C1790">
        <v>51038797</v>
      </c>
      <c r="D1790">
        <v>91.133420769565717</v>
      </c>
      <c r="E1790" t="s">
        <v>92</v>
      </c>
      <c r="F1790">
        <v>117</v>
      </c>
      <c r="G1790" s="4">
        <v>46087.5937962963</v>
      </c>
    </row>
    <row r="1791" spans="1:7" x14ac:dyDescent="0.3">
      <c r="A1791">
        <v>2983</v>
      </c>
      <c r="B1791" t="s">
        <v>146</v>
      </c>
      <c r="C1791">
        <v>51013492</v>
      </c>
      <c r="D1791">
        <v>52.948447257100973</v>
      </c>
      <c r="E1791" t="s">
        <v>94</v>
      </c>
      <c r="F1791">
        <v>751</v>
      </c>
      <c r="G1791" s="4">
        <v>46087.5937962963</v>
      </c>
    </row>
    <row r="1792" spans="1:7" x14ac:dyDescent="0.3">
      <c r="A1792">
        <v>2984</v>
      </c>
      <c r="B1792" t="s">
        <v>146</v>
      </c>
      <c r="C1792">
        <v>51019415</v>
      </c>
      <c r="D1792">
        <v>57.061186332715394</v>
      </c>
      <c r="E1792" t="s">
        <v>94</v>
      </c>
      <c r="F1792">
        <v>712</v>
      </c>
      <c r="G1792" s="4">
        <v>46087.5937962963</v>
      </c>
    </row>
    <row r="1793" spans="1:7" x14ac:dyDescent="0.3">
      <c r="A1793">
        <v>2985</v>
      </c>
      <c r="B1793" t="s">
        <v>146</v>
      </c>
      <c r="C1793">
        <v>51036107</v>
      </c>
      <c r="D1793">
        <v>18.051974932203048</v>
      </c>
      <c r="E1793" t="s">
        <v>95</v>
      </c>
      <c r="F1793">
        <v>1030</v>
      </c>
      <c r="G1793" s="4">
        <v>46087.5937962963</v>
      </c>
    </row>
    <row r="1794" spans="1:7" x14ac:dyDescent="0.3">
      <c r="A1794">
        <v>2986</v>
      </c>
      <c r="B1794" t="s">
        <v>146</v>
      </c>
      <c r="C1794">
        <v>51056990</v>
      </c>
      <c r="D1794">
        <v>83.207164545156814</v>
      </c>
      <c r="E1794" t="s">
        <v>93</v>
      </c>
      <c r="F1794">
        <v>323</v>
      </c>
      <c r="G1794" s="4">
        <v>46087.5937962963</v>
      </c>
    </row>
    <row r="1795" spans="1:7" x14ac:dyDescent="0.3">
      <c r="A1795">
        <v>2987</v>
      </c>
      <c r="B1795" t="s">
        <v>146</v>
      </c>
      <c r="C1795">
        <v>51025296</v>
      </c>
      <c r="D1795">
        <v>57.323843962991432</v>
      </c>
      <c r="E1795" t="s">
        <v>94</v>
      </c>
      <c r="F1795">
        <v>706</v>
      </c>
      <c r="G1795" s="4">
        <v>46087.5937962963</v>
      </c>
    </row>
    <row r="1796" spans="1:7" x14ac:dyDescent="0.3">
      <c r="A1796">
        <v>2988</v>
      </c>
      <c r="B1796" t="s">
        <v>146</v>
      </c>
      <c r="C1796">
        <v>51056639</v>
      </c>
      <c r="D1796">
        <v>37.232842140557253</v>
      </c>
      <c r="E1796" t="s">
        <v>94</v>
      </c>
      <c r="F1796">
        <v>856</v>
      </c>
      <c r="G1796" s="4">
        <v>46087.5937962963</v>
      </c>
    </row>
    <row r="1797" spans="1:7" x14ac:dyDescent="0.3">
      <c r="A1797">
        <v>2989</v>
      </c>
      <c r="B1797" t="s">
        <v>146</v>
      </c>
      <c r="C1797">
        <v>51015029</v>
      </c>
      <c r="D1797">
        <v>85.74697651975508</v>
      </c>
      <c r="E1797" t="s">
        <v>93</v>
      </c>
      <c r="F1797">
        <v>245</v>
      </c>
      <c r="G1797" s="4">
        <v>46087.5937962963</v>
      </c>
    </row>
    <row r="1798" spans="1:7" x14ac:dyDescent="0.3">
      <c r="A1798">
        <v>2990</v>
      </c>
      <c r="B1798" t="s">
        <v>146</v>
      </c>
      <c r="C1798">
        <v>51055730</v>
      </c>
      <c r="D1798">
        <v>58.503694244531701</v>
      </c>
      <c r="E1798" t="s">
        <v>94</v>
      </c>
      <c r="F1798">
        <v>674</v>
      </c>
      <c r="G1798" s="4">
        <v>46087.5937962963</v>
      </c>
    </row>
    <row r="1799" spans="1:7" x14ac:dyDescent="0.3">
      <c r="A1799">
        <v>2991</v>
      </c>
      <c r="B1799" t="s">
        <v>146</v>
      </c>
      <c r="C1799">
        <v>51018257</v>
      </c>
      <c r="D1799">
        <v>65.545395394838479</v>
      </c>
      <c r="E1799" t="s">
        <v>93</v>
      </c>
      <c r="F1799">
        <v>571</v>
      </c>
      <c r="G1799" s="4">
        <v>46087.5937962963</v>
      </c>
    </row>
    <row r="1800" spans="1:7" x14ac:dyDescent="0.3">
      <c r="A1800">
        <v>2992</v>
      </c>
      <c r="B1800" t="s">
        <v>146</v>
      </c>
      <c r="C1800">
        <v>51055845</v>
      </c>
      <c r="D1800">
        <v>89.027261031334703</v>
      </c>
      <c r="E1800" t="s">
        <v>92</v>
      </c>
      <c r="F1800">
        <v>151</v>
      </c>
      <c r="G1800" s="4">
        <v>46087.5937962963</v>
      </c>
    </row>
    <row r="1801" spans="1:7" x14ac:dyDescent="0.3">
      <c r="A1801">
        <v>2993</v>
      </c>
      <c r="B1801" t="s">
        <v>146</v>
      </c>
      <c r="C1801">
        <v>51028015</v>
      </c>
      <c r="D1801">
        <v>83.818753044891281</v>
      </c>
      <c r="E1801" t="s">
        <v>93</v>
      </c>
      <c r="F1801">
        <v>297</v>
      </c>
      <c r="G1801" s="4">
        <v>46087.5937962963</v>
      </c>
    </row>
    <row r="1802" spans="1:7" x14ac:dyDescent="0.3">
      <c r="A1802">
        <v>2994</v>
      </c>
      <c r="B1802" t="s">
        <v>146</v>
      </c>
      <c r="C1802">
        <v>51012887</v>
      </c>
      <c r="D1802">
        <v>76.433832384985891</v>
      </c>
      <c r="E1802" t="s">
        <v>93</v>
      </c>
      <c r="F1802">
        <v>476</v>
      </c>
      <c r="G1802" s="4">
        <v>46087.5937962963</v>
      </c>
    </row>
    <row r="1803" spans="1:7" x14ac:dyDescent="0.3">
      <c r="A1803">
        <v>2995</v>
      </c>
      <c r="B1803" t="s">
        <v>146</v>
      </c>
      <c r="C1803">
        <v>51010311</v>
      </c>
      <c r="D1803">
        <v>68.68293877424253</v>
      </c>
      <c r="E1803" t="s">
        <v>93</v>
      </c>
      <c r="F1803">
        <v>553</v>
      </c>
      <c r="G1803" s="4">
        <v>46087.5937962963</v>
      </c>
    </row>
    <row r="1804" spans="1:7" x14ac:dyDescent="0.3">
      <c r="A1804">
        <v>2996</v>
      </c>
      <c r="B1804" t="s">
        <v>146</v>
      </c>
      <c r="C1804">
        <v>51036638</v>
      </c>
      <c r="D1804">
        <v>50.513155768188881</v>
      </c>
      <c r="E1804" t="s">
        <v>94</v>
      </c>
      <c r="F1804">
        <v>767</v>
      </c>
      <c r="G1804" s="4">
        <v>46087.5937962963</v>
      </c>
    </row>
    <row r="1805" spans="1:7" x14ac:dyDescent="0.3">
      <c r="A1805">
        <v>2997</v>
      </c>
      <c r="B1805" t="s">
        <v>146</v>
      </c>
      <c r="C1805">
        <v>51033442</v>
      </c>
      <c r="D1805">
        <v>85.510455188927935</v>
      </c>
      <c r="E1805" t="s">
        <v>93</v>
      </c>
      <c r="F1805">
        <v>254</v>
      </c>
      <c r="G1805" s="4">
        <v>46087.5937962963</v>
      </c>
    </row>
    <row r="1806" spans="1:7" x14ac:dyDescent="0.3">
      <c r="A1806">
        <v>2998</v>
      </c>
      <c r="B1806" t="s">
        <v>146</v>
      </c>
      <c r="C1806">
        <v>51014774</v>
      </c>
      <c r="D1806">
        <v>80.277818192492333</v>
      </c>
      <c r="E1806" t="s">
        <v>93</v>
      </c>
      <c r="F1806">
        <v>413</v>
      </c>
      <c r="G1806" s="4">
        <v>46087.5937962963</v>
      </c>
    </row>
    <row r="1807" spans="1:7" x14ac:dyDescent="0.3">
      <c r="A1807">
        <v>2999</v>
      </c>
      <c r="B1807" t="s">
        <v>146</v>
      </c>
      <c r="C1807">
        <v>51043847</v>
      </c>
      <c r="D1807">
        <v>70.753787794441436</v>
      </c>
      <c r="E1807" t="s">
        <v>93</v>
      </c>
      <c r="F1807">
        <v>533</v>
      </c>
      <c r="G1807" s="4">
        <v>46087.5937962963</v>
      </c>
    </row>
    <row r="1808" spans="1:7" x14ac:dyDescent="0.3">
      <c r="A1808">
        <v>3000</v>
      </c>
      <c r="B1808" t="s">
        <v>146</v>
      </c>
      <c r="C1808">
        <v>51032381</v>
      </c>
      <c r="D1808">
        <v>76.687171053441318</v>
      </c>
      <c r="E1808" t="s">
        <v>93</v>
      </c>
      <c r="F1808">
        <v>472</v>
      </c>
      <c r="G1808" s="4">
        <v>46087.5937962963</v>
      </c>
    </row>
    <row r="1809" spans="1:7" x14ac:dyDescent="0.3">
      <c r="A1809">
        <v>3001</v>
      </c>
      <c r="B1809" t="s">
        <v>146</v>
      </c>
      <c r="C1809">
        <v>51018508</v>
      </c>
      <c r="D1809">
        <v>70.330737129669927</v>
      </c>
      <c r="E1809" t="s">
        <v>93</v>
      </c>
      <c r="F1809">
        <v>539</v>
      </c>
      <c r="G1809" s="4">
        <v>46087.5937962963</v>
      </c>
    </row>
    <row r="1810" spans="1:7" x14ac:dyDescent="0.3">
      <c r="A1810">
        <v>3002</v>
      </c>
      <c r="B1810" t="s">
        <v>146</v>
      </c>
      <c r="C1810">
        <v>51003616</v>
      </c>
      <c r="D1810">
        <v>86.506581673145334</v>
      </c>
      <c r="E1810" t="s">
        <v>92</v>
      </c>
      <c r="F1810">
        <v>215</v>
      </c>
      <c r="G1810" s="4">
        <v>46087.5937962963</v>
      </c>
    </row>
    <row r="1811" spans="1:7" x14ac:dyDescent="0.3">
      <c r="A1811">
        <v>3003</v>
      </c>
      <c r="B1811" t="s">
        <v>146</v>
      </c>
      <c r="C1811">
        <v>51038932</v>
      </c>
      <c r="D1811">
        <v>69.034666537917289</v>
      </c>
      <c r="E1811" t="s">
        <v>93</v>
      </c>
      <c r="F1811">
        <v>549</v>
      </c>
      <c r="G1811" s="4">
        <v>46087.5937962963</v>
      </c>
    </row>
    <row r="1812" spans="1:7" x14ac:dyDescent="0.3">
      <c r="A1812">
        <v>3004</v>
      </c>
      <c r="B1812" t="s">
        <v>146</v>
      </c>
      <c r="C1812">
        <v>51039211</v>
      </c>
      <c r="D1812">
        <v>30.885353380983972</v>
      </c>
      <c r="E1812" t="s">
        <v>94</v>
      </c>
      <c r="F1812">
        <v>903</v>
      </c>
      <c r="G1812" s="4">
        <v>46087.5937962963</v>
      </c>
    </row>
    <row r="1813" spans="1:7" x14ac:dyDescent="0.3">
      <c r="A1813">
        <v>3005</v>
      </c>
      <c r="B1813" t="s">
        <v>146</v>
      </c>
      <c r="C1813">
        <v>51018664</v>
      </c>
      <c r="D1813">
        <v>30.2</v>
      </c>
      <c r="E1813" t="s">
        <v>94</v>
      </c>
      <c r="F1813">
        <v>907</v>
      </c>
      <c r="G1813" s="4">
        <v>46087.5937962963</v>
      </c>
    </row>
    <row r="1814" spans="1:7" x14ac:dyDescent="0.3">
      <c r="A1814">
        <v>3006</v>
      </c>
      <c r="B1814" t="s">
        <v>146</v>
      </c>
      <c r="C1814">
        <v>51056671</v>
      </c>
      <c r="D1814">
        <v>97.26503056070375</v>
      </c>
      <c r="E1814" t="s">
        <v>275</v>
      </c>
      <c r="F1814">
        <v>39</v>
      </c>
      <c r="G1814" s="4">
        <v>46087.5937962963</v>
      </c>
    </row>
    <row r="1815" spans="1:7" x14ac:dyDescent="0.3">
      <c r="A1815">
        <v>3007</v>
      </c>
      <c r="B1815" t="s">
        <v>146</v>
      </c>
      <c r="C1815">
        <v>51055462</v>
      </c>
      <c r="D1815">
        <v>91.661423182395453</v>
      </c>
      <c r="E1815" t="s">
        <v>92</v>
      </c>
      <c r="F1815">
        <v>106</v>
      </c>
      <c r="G1815" s="4">
        <v>46087.5937962963</v>
      </c>
    </row>
    <row r="1816" spans="1:7" x14ac:dyDescent="0.3">
      <c r="A1816">
        <v>3008</v>
      </c>
      <c r="B1816" t="s">
        <v>146</v>
      </c>
      <c r="C1816">
        <v>51014081</v>
      </c>
      <c r="D1816">
        <v>29.684999999999999</v>
      </c>
      <c r="E1816" t="s">
        <v>94</v>
      </c>
      <c r="F1816">
        <v>912</v>
      </c>
      <c r="G1816" s="4">
        <v>46087.5937962963</v>
      </c>
    </row>
    <row r="1817" spans="1:7" x14ac:dyDescent="0.3">
      <c r="A1817">
        <v>3009</v>
      </c>
      <c r="B1817" t="s">
        <v>146</v>
      </c>
      <c r="C1817">
        <v>51055918</v>
      </c>
      <c r="D1817">
        <v>86.0799963005161</v>
      </c>
      <c r="E1817" t="s">
        <v>92</v>
      </c>
      <c r="F1817">
        <v>236</v>
      </c>
      <c r="G1817" s="4">
        <v>46087.5937962963</v>
      </c>
    </row>
    <row r="1818" spans="1:7" x14ac:dyDescent="0.3">
      <c r="A1818">
        <v>3010</v>
      </c>
      <c r="B1818" t="s">
        <v>146</v>
      </c>
      <c r="C1818">
        <v>51016785</v>
      </c>
      <c r="D1818">
        <v>83.562904480225924</v>
      </c>
      <c r="E1818" t="s">
        <v>93</v>
      </c>
      <c r="F1818">
        <v>302</v>
      </c>
      <c r="G1818" s="4">
        <v>46087.5937962963</v>
      </c>
    </row>
    <row r="1819" spans="1:7" x14ac:dyDescent="0.3">
      <c r="A1819">
        <v>3011</v>
      </c>
      <c r="B1819" t="s">
        <v>146</v>
      </c>
      <c r="C1819">
        <v>51055268</v>
      </c>
      <c r="D1819">
        <v>19.796024832539555</v>
      </c>
      <c r="E1819" t="s">
        <v>95</v>
      </c>
      <c r="F1819">
        <v>991</v>
      </c>
      <c r="G1819" s="4">
        <v>46087.5937962963</v>
      </c>
    </row>
    <row r="1820" spans="1:7" x14ac:dyDescent="0.3">
      <c r="A1820">
        <v>3012</v>
      </c>
      <c r="B1820" t="s">
        <v>146</v>
      </c>
      <c r="C1820">
        <v>51015533</v>
      </c>
      <c r="D1820">
        <v>90.280884818751105</v>
      </c>
      <c r="E1820" t="s">
        <v>92</v>
      </c>
      <c r="F1820">
        <v>125</v>
      </c>
      <c r="G1820" s="4">
        <v>46087.5937962963</v>
      </c>
    </row>
    <row r="1821" spans="1:7" x14ac:dyDescent="0.3">
      <c r="A1821">
        <v>3013</v>
      </c>
      <c r="B1821" t="s">
        <v>146</v>
      </c>
      <c r="C1821">
        <v>51018371</v>
      </c>
      <c r="D1821">
        <v>28.220564039734381</v>
      </c>
      <c r="E1821" t="s">
        <v>94</v>
      </c>
      <c r="F1821">
        <v>928</v>
      </c>
      <c r="G1821" s="4">
        <v>46087.5937962963</v>
      </c>
    </row>
    <row r="1822" spans="1:7" x14ac:dyDescent="0.3">
      <c r="A1822">
        <v>3014</v>
      </c>
      <c r="B1822" t="s">
        <v>146</v>
      </c>
      <c r="C1822">
        <v>51004027</v>
      </c>
      <c r="D1822">
        <v>77.306450864288465</v>
      </c>
      <c r="E1822" t="s">
        <v>93</v>
      </c>
      <c r="F1822">
        <v>465</v>
      </c>
      <c r="G1822" s="4">
        <v>46087.5937962963</v>
      </c>
    </row>
    <row r="1823" spans="1:7" x14ac:dyDescent="0.3">
      <c r="A1823">
        <v>3015</v>
      </c>
      <c r="B1823" t="s">
        <v>146</v>
      </c>
      <c r="C1823">
        <v>51011660</v>
      </c>
      <c r="D1823">
        <v>43.25969250313365</v>
      </c>
      <c r="E1823" t="s">
        <v>94</v>
      </c>
      <c r="F1823">
        <v>834</v>
      </c>
      <c r="G1823" s="4">
        <v>46087.5937962963</v>
      </c>
    </row>
    <row r="1824" spans="1:7" x14ac:dyDescent="0.3">
      <c r="A1824">
        <v>3016</v>
      </c>
      <c r="B1824" t="s">
        <v>146</v>
      </c>
      <c r="C1824">
        <v>51022556</v>
      </c>
      <c r="D1824">
        <v>87.757371924422515</v>
      </c>
      <c r="E1824" t="s">
        <v>92</v>
      </c>
      <c r="F1824">
        <v>186</v>
      </c>
      <c r="G1824" s="4">
        <v>46087.5937962963</v>
      </c>
    </row>
    <row r="1825" spans="1:7" x14ac:dyDescent="0.3">
      <c r="A1825">
        <v>3017</v>
      </c>
      <c r="B1825" t="s">
        <v>146</v>
      </c>
      <c r="C1825">
        <v>51018427</v>
      </c>
      <c r="D1825">
        <v>92.614131537403182</v>
      </c>
      <c r="E1825" t="s">
        <v>92</v>
      </c>
      <c r="F1825">
        <v>92</v>
      </c>
      <c r="G1825" s="4">
        <v>46087.5937962963</v>
      </c>
    </row>
    <row r="1826" spans="1:7" x14ac:dyDescent="0.3">
      <c r="A1826">
        <v>3018</v>
      </c>
      <c r="B1826" t="s">
        <v>146</v>
      </c>
      <c r="C1826">
        <v>51024516</v>
      </c>
      <c r="D1826">
        <v>80.797561456721624</v>
      </c>
      <c r="E1826" t="s">
        <v>93</v>
      </c>
      <c r="F1826">
        <v>397</v>
      </c>
      <c r="G1826" s="4">
        <v>46087.5937962963</v>
      </c>
    </row>
    <row r="1827" spans="1:7" x14ac:dyDescent="0.3">
      <c r="A1827">
        <v>3019</v>
      </c>
      <c r="B1827" t="s">
        <v>146</v>
      </c>
      <c r="C1827">
        <v>51011856</v>
      </c>
      <c r="D1827">
        <v>55.759168544754594</v>
      </c>
      <c r="E1827" t="s">
        <v>94</v>
      </c>
      <c r="F1827">
        <v>727</v>
      </c>
      <c r="G1827" s="4">
        <v>46087.5937962963</v>
      </c>
    </row>
    <row r="1828" spans="1:7" x14ac:dyDescent="0.3">
      <c r="A1828">
        <v>3020</v>
      </c>
      <c r="B1828" t="s">
        <v>146</v>
      </c>
      <c r="C1828">
        <v>51032322</v>
      </c>
      <c r="D1828">
        <v>62.915675028949053</v>
      </c>
      <c r="E1828" t="s">
        <v>93</v>
      </c>
      <c r="F1828">
        <v>590</v>
      </c>
      <c r="G1828" s="4">
        <v>46087.5937962963</v>
      </c>
    </row>
    <row r="1829" spans="1:7" x14ac:dyDescent="0.3">
      <c r="A1829">
        <v>3021</v>
      </c>
      <c r="B1829" t="s">
        <v>146</v>
      </c>
      <c r="C1829">
        <v>51013859</v>
      </c>
      <c r="D1829">
        <v>23.800403405942816</v>
      </c>
      <c r="E1829" t="s">
        <v>94</v>
      </c>
      <c r="F1829">
        <v>950</v>
      </c>
      <c r="G1829" s="4">
        <v>46087.5937962963</v>
      </c>
    </row>
    <row r="1830" spans="1:7" x14ac:dyDescent="0.3">
      <c r="A1830">
        <v>3022</v>
      </c>
      <c r="B1830" t="s">
        <v>146</v>
      </c>
      <c r="C1830">
        <v>51008430</v>
      </c>
      <c r="D1830">
        <v>81.040762330501948</v>
      </c>
      <c r="E1830" t="s">
        <v>93</v>
      </c>
      <c r="F1830">
        <v>391</v>
      </c>
      <c r="G1830" s="4">
        <v>46087.5937962963</v>
      </c>
    </row>
    <row r="1831" spans="1:7" x14ac:dyDescent="0.3">
      <c r="A1831">
        <v>3023</v>
      </c>
      <c r="B1831" t="s">
        <v>146</v>
      </c>
      <c r="C1831">
        <v>51042158</v>
      </c>
      <c r="D1831">
        <v>93.812075794591507</v>
      </c>
      <c r="E1831" t="s">
        <v>92</v>
      </c>
      <c r="F1831">
        <v>73</v>
      </c>
      <c r="G1831" s="4">
        <v>46087.5937962963</v>
      </c>
    </row>
    <row r="1832" spans="1:7" x14ac:dyDescent="0.3">
      <c r="A1832">
        <v>3024</v>
      </c>
      <c r="B1832" t="s">
        <v>146</v>
      </c>
      <c r="C1832">
        <v>51011627</v>
      </c>
      <c r="D1832">
        <v>25.752598304386204</v>
      </c>
      <c r="E1832" t="s">
        <v>94</v>
      </c>
      <c r="F1832">
        <v>942</v>
      </c>
      <c r="G1832" s="4">
        <v>46087.5937962963</v>
      </c>
    </row>
    <row r="1833" spans="1:7" x14ac:dyDescent="0.3">
      <c r="A1833">
        <v>3025</v>
      </c>
      <c r="B1833" t="s">
        <v>146</v>
      </c>
      <c r="C1833">
        <v>51010426</v>
      </c>
      <c r="D1833">
        <v>82.638860187894082</v>
      </c>
      <c r="E1833" t="s">
        <v>93</v>
      </c>
      <c r="F1833">
        <v>343</v>
      </c>
      <c r="G1833" s="4">
        <v>46087.5937962963</v>
      </c>
    </row>
    <row r="1834" spans="1:7" x14ac:dyDescent="0.3">
      <c r="A1834">
        <v>3026</v>
      </c>
      <c r="B1834" t="s">
        <v>146</v>
      </c>
      <c r="C1834">
        <v>51033205</v>
      </c>
      <c r="D1834">
        <v>62.437590722897696</v>
      </c>
      <c r="E1834" t="s">
        <v>94</v>
      </c>
      <c r="F1834">
        <v>602</v>
      </c>
      <c r="G1834" s="4">
        <v>46087.5937962963</v>
      </c>
    </row>
    <row r="1835" spans="1:7" x14ac:dyDescent="0.3">
      <c r="A1835">
        <v>3027</v>
      </c>
      <c r="B1835" t="s">
        <v>146</v>
      </c>
      <c r="C1835">
        <v>51035976</v>
      </c>
      <c r="D1835">
        <v>71.79168918006603</v>
      </c>
      <c r="E1835" t="s">
        <v>93</v>
      </c>
      <c r="F1835">
        <v>524</v>
      </c>
      <c r="G1835" s="4">
        <v>46087.5937962963</v>
      </c>
    </row>
    <row r="1836" spans="1:7" x14ac:dyDescent="0.3">
      <c r="A1836">
        <v>3028</v>
      </c>
      <c r="B1836" t="s">
        <v>146</v>
      </c>
      <c r="C1836">
        <v>51010914</v>
      </c>
      <c r="D1836">
        <v>60.282531802635148</v>
      </c>
      <c r="E1836" t="s">
        <v>94</v>
      </c>
      <c r="F1836">
        <v>647</v>
      </c>
      <c r="G1836" s="4">
        <v>46087.5937962963</v>
      </c>
    </row>
    <row r="1837" spans="1:7" x14ac:dyDescent="0.3">
      <c r="A1837">
        <v>3029</v>
      </c>
      <c r="B1837" t="s">
        <v>146</v>
      </c>
      <c r="C1837">
        <v>51023129</v>
      </c>
      <c r="D1837">
        <v>86.250472381227311</v>
      </c>
      <c r="E1837" t="s">
        <v>92</v>
      </c>
      <c r="F1837">
        <v>228</v>
      </c>
      <c r="G1837" s="4">
        <v>46087.5937962963</v>
      </c>
    </row>
    <row r="1838" spans="1:7" x14ac:dyDescent="0.3">
      <c r="A1838">
        <v>3030</v>
      </c>
      <c r="B1838" t="s">
        <v>146</v>
      </c>
      <c r="C1838">
        <v>51054857</v>
      </c>
      <c r="D1838">
        <v>57.383158711048537</v>
      </c>
      <c r="E1838" t="s">
        <v>94</v>
      </c>
      <c r="F1838">
        <v>704</v>
      </c>
      <c r="G1838" s="4">
        <v>46087.5937962963</v>
      </c>
    </row>
    <row r="1839" spans="1:7" x14ac:dyDescent="0.3">
      <c r="A1839">
        <v>3031</v>
      </c>
      <c r="B1839" t="s">
        <v>146</v>
      </c>
      <c r="C1839">
        <v>51055926</v>
      </c>
      <c r="D1839">
        <v>71.08978286986131</v>
      </c>
      <c r="E1839" t="s">
        <v>93</v>
      </c>
      <c r="F1839">
        <v>531</v>
      </c>
      <c r="G1839" s="4">
        <v>46087.5937962963</v>
      </c>
    </row>
    <row r="1840" spans="1:7" x14ac:dyDescent="0.3">
      <c r="A1840">
        <v>3032</v>
      </c>
      <c r="B1840" t="s">
        <v>146</v>
      </c>
      <c r="C1840">
        <v>51021282</v>
      </c>
      <c r="D1840">
        <v>33.335051889802749</v>
      </c>
      <c r="E1840" t="s">
        <v>94</v>
      </c>
      <c r="F1840">
        <v>873</v>
      </c>
      <c r="G1840" s="4">
        <v>46087.5937962963</v>
      </c>
    </row>
    <row r="1841" spans="1:7" x14ac:dyDescent="0.3">
      <c r="A1841">
        <v>3033</v>
      </c>
      <c r="B1841" t="s">
        <v>146</v>
      </c>
      <c r="C1841">
        <v>51031369</v>
      </c>
      <c r="D1841">
        <v>68.87397971039772</v>
      </c>
      <c r="E1841" t="s">
        <v>93</v>
      </c>
      <c r="F1841">
        <v>551</v>
      </c>
      <c r="G1841" s="4">
        <v>46087.5937962963</v>
      </c>
    </row>
    <row r="1842" spans="1:7" x14ac:dyDescent="0.3">
      <c r="A1842">
        <v>3034</v>
      </c>
      <c r="B1842" t="s">
        <v>146</v>
      </c>
      <c r="C1842">
        <v>51024621</v>
      </c>
      <c r="D1842">
        <v>57.681801261740887</v>
      </c>
      <c r="E1842" t="s">
        <v>94</v>
      </c>
      <c r="F1842">
        <v>693</v>
      </c>
      <c r="G1842" s="4">
        <v>46087.5937962963</v>
      </c>
    </row>
    <row r="1843" spans="1:7" x14ac:dyDescent="0.3">
      <c r="A1843">
        <v>3035</v>
      </c>
      <c r="B1843" t="s">
        <v>146</v>
      </c>
      <c r="C1843">
        <v>51032284</v>
      </c>
      <c r="D1843">
        <v>77.123145969086153</v>
      </c>
      <c r="E1843" t="s">
        <v>93</v>
      </c>
      <c r="F1843">
        <v>467</v>
      </c>
      <c r="G1843" s="4">
        <v>46087.5937962963</v>
      </c>
    </row>
    <row r="1844" spans="1:7" x14ac:dyDescent="0.3">
      <c r="A1844">
        <v>3036</v>
      </c>
      <c r="B1844" t="s">
        <v>146</v>
      </c>
      <c r="C1844">
        <v>51018966</v>
      </c>
      <c r="D1844">
        <v>86.86570350015262</v>
      </c>
      <c r="E1844" t="s">
        <v>92</v>
      </c>
      <c r="F1844">
        <v>202</v>
      </c>
      <c r="G1844" s="4">
        <v>46087.5937962963</v>
      </c>
    </row>
    <row r="1845" spans="1:7" x14ac:dyDescent="0.3">
      <c r="A1845">
        <v>3037</v>
      </c>
      <c r="B1845" t="s">
        <v>146</v>
      </c>
      <c r="C1845">
        <v>51012623</v>
      </c>
      <c r="D1845">
        <v>70.015407736848189</v>
      </c>
      <c r="E1845" t="s">
        <v>93</v>
      </c>
      <c r="F1845">
        <v>543</v>
      </c>
      <c r="G1845" s="4">
        <v>46087.5937962963</v>
      </c>
    </row>
    <row r="1846" spans="1:7" x14ac:dyDescent="0.3">
      <c r="A1846">
        <v>3038</v>
      </c>
      <c r="B1846" t="s">
        <v>146</v>
      </c>
      <c r="C1846">
        <v>51019121</v>
      </c>
      <c r="D1846">
        <v>89.725303258339281</v>
      </c>
      <c r="E1846" t="s">
        <v>92</v>
      </c>
      <c r="F1846">
        <v>135</v>
      </c>
      <c r="G1846" s="4">
        <v>46087.5937962963</v>
      </c>
    </row>
    <row r="1847" spans="1:7" x14ac:dyDescent="0.3">
      <c r="A1847">
        <v>3039</v>
      </c>
      <c r="B1847" t="s">
        <v>146</v>
      </c>
      <c r="C1847">
        <v>51036085</v>
      </c>
      <c r="D1847">
        <v>74.703385567943982</v>
      </c>
      <c r="E1847" t="s">
        <v>93</v>
      </c>
      <c r="F1847">
        <v>495</v>
      </c>
      <c r="G1847" s="4">
        <v>46087.5937962963</v>
      </c>
    </row>
    <row r="1848" spans="1:7" x14ac:dyDescent="0.3">
      <c r="A1848">
        <v>3040</v>
      </c>
      <c r="B1848" t="s">
        <v>146</v>
      </c>
      <c r="C1848">
        <v>51002164</v>
      </c>
      <c r="D1848">
        <v>76.117446749563968</v>
      </c>
      <c r="E1848" t="s">
        <v>93</v>
      </c>
      <c r="F1848">
        <v>481</v>
      </c>
      <c r="G1848" s="4">
        <v>46087.5937962963</v>
      </c>
    </row>
    <row r="1849" spans="1:7" x14ac:dyDescent="0.3">
      <c r="A1849">
        <v>3041</v>
      </c>
      <c r="B1849" t="s">
        <v>146</v>
      </c>
      <c r="C1849">
        <v>51013182</v>
      </c>
      <c r="D1849">
        <v>62.532967314270337</v>
      </c>
      <c r="E1849" t="s">
        <v>94</v>
      </c>
      <c r="F1849">
        <v>599</v>
      </c>
      <c r="G1849" s="4">
        <v>46087.5937962963</v>
      </c>
    </row>
    <row r="1850" spans="1:7" x14ac:dyDescent="0.3">
      <c r="A1850">
        <v>3042</v>
      </c>
      <c r="B1850" t="s">
        <v>146</v>
      </c>
      <c r="C1850">
        <v>51033086</v>
      </c>
      <c r="D1850">
        <v>21.688849035464276</v>
      </c>
      <c r="E1850" t="s">
        <v>95</v>
      </c>
      <c r="F1850">
        <v>972</v>
      </c>
      <c r="G1850" s="4">
        <v>46087.5937962963</v>
      </c>
    </row>
    <row r="1851" spans="1:7" x14ac:dyDescent="0.3">
      <c r="A1851">
        <v>3043</v>
      </c>
      <c r="B1851" t="s">
        <v>146</v>
      </c>
      <c r="C1851">
        <v>51029038</v>
      </c>
      <c r="D1851">
        <v>62.038879872456839</v>
      </c>
      <c r="E1851" t="s">
        <v>94</v>
      </c>
      <c r="F1851">
        <v>610</v>
      </c>
      <c r="G1851" s="4">
        <v>46087.5937962963</v>
      </c>
    </row>
    <row r="1852" spans="1:7" x14ac:dyDescent="0.3">
      <c r="A1852">
        <v>3044</v>
      </c>
      <c r="B1852" t="s">
        <v>146</v>
      </c>
      <c r="C1852">
        <v>51024168</v>
      </c>
      <c r="D1852">
        <v>43.470495531941054</v>
      </c>
      <c r="E1852" t="s">
        <v>94</v>
      </c>
      <c r="F1852">
        <v>832</v>
      </c>
      <c r="G1852" s="4">
        <v>46087.5937962963</v>
      </c>
    </row>
    <row r="1853" spans="1:7" x14ac:dyDescent="0.3">
      <c r="A1853">
        <v>3045</v>
      </c>
      <c r="B1853" t="s">
        <v>146</v>
      </c>
      <c r="C1853">
        <v>51023455</v>
      </c>
      <c r="D1853">
        <v>43.216192495917902</v>
      </c>
      <c r="E1853" t="s">
        <v>94</v>
      </c>
      <c r="F1853">
        <v>836</v>
      </c>
      <c r="G1853" s="4">
        <v>46087.5937962963</v>
      </c>
    </row>
    <row r="1854" spans="1:7" x14ac:dyDescent="0.3">
      <c r="A1854">
        <v>3046</v>
      </c>
      <c r="B1854" t="s">
        <v>146</v>
      </c>
      <c r="C1854">
        <v>51016131</v>
      </c>
      <c r="D1854">
        <v>96.686780663359727</v>
      </c>
      <c r="E1854" t="s">
        <v>275</v>
      </c>
      <c r="F1854">
        <v>44</v>
      </c>
      <c r="G1854" s="4">
        <v>46087.5937962963</v>
      </c>
    </row>
    <row r="1855" spans="1:7" x14ac:dyDescent="0.3">
      <c r="A1855">
        <v>3047</v>
      </c>
      <c r="B1855" t="s">
        <v>146</v>
      </c>
      <c r="C1855">
        <v>51016408</v>
      </c>
      <c r="D1855">
        <v>93.425669945203538</v>
      </c>
      <c r="E1855" t="s">
        <v>92</v>
      </c>
      <c r="F1855">
        <v>80</v>
      </c>
      <c r="G1855" s="4">
        <v>46087.5937962963</v>
      </c>
    </row>
    <row r="1856" spans="1:7" x14ac:dyDescent="0.3">
      <c r="A1856">
        <v>3048</v>
      </c>
      <c r="B1856" t="s">
        <v>146</v>
      </c>
      <c r="C1856">
        <v>51056914</v>
      </c>
      <c r="D1856">
        <v>88.032999317209843</v>
      </c>
      <c r="E1856" t="s">
        <v>92</v>
      </c>
      <c r="F1856">
        <v>176</v>
      </c>
      <c r="G1856" s="4">
        <v>46087.5937962963</v>
      </c>
    </row>
    <row r="1857" spans="1:7" x14ac:dyDescent="0.3">
      <c r="A1857">
        <v>3049</v>
      </c>
      <c r="B1857" t="s">
        <v>146</v>
      </c>
      <c r="C1857">
        <v>51016858</v>
      </c>
      <c r="D1857">
        <v>99.324999322306653</v>
      </c>
      <c r="E1857" t="s">
        <v>275</v>
      </c>
      <c r="F1857">
        <v>21</v>
      </c>
      <c r="G1857" s="4">
        <v>46087.5937962963</v>
      </c>
    </row>
    <row r="1858" spans="1:7" x14ac:dyDescent="0.3">
      <c r="A1858">
        <v>3050</v>
      </c>
      <c r="B1858" t="s">
        <v>146</v>
      </c>
      <c r="C1858">
        <v>51035666</v>
      </c>
      <c r="D1858">
        <v>84.114410627617914</v>
      </c>
      <c r="E1858" t="s">
        <v>93</v>
      </c>
      <c r="F1858">
        <v>287</v>
      </c>
      <c r="G1858" s="4">
        <v>46087.5937962963</v>
      </c>
    </row>
    <row r="1859" spans="1:7" x14ac:dyDescent="0.3">
      <c r="A1859">
        <v>3051</v>
      </c>
      <c r="B1859" t="s">
        <v>146</v>
      </c>
      <c r="C1859">
        <v>51022068</v>
      </c>
      <c r="D1859">
        <v>93.141165633636078</v>
      </c>
      <c r="E1859" t="s">
        <v>92</v>
      </c>
      <c r="F1859">
        <v>87</v>
      </c>
      <c r="G1859" s="4">
        <v>46087.5937962963</v>
      </c>
    </row>
    <row r="1860" spans="1:7" x14ac:dyDescent="0.3">
      <c r="A1860">
        <v>3052</v>
      </c>
      <c r="B1860" t="s">
        <v>146</v>
      </c>
      <c r="C1860">
        <v>51013611</v>
      </c>
      <c r="D1860">
        <v>80.669541324329842</v>
      </c>
      <c r="E1860" t="s">
        <v>93</v>
      </c>
      <c r="F1860">
        <v>403</v>
      </c>
      <c r="G1860" s="4">
        <v>46087.5937962963</v>
      </c>
    </row>
    <row r="1861" spans="1:7" x14ac:dyDescent="0.3">
      <c r="A1861">
        <v>3053</v>
      </c>
      <c r="B1861" t="s">
        <v>146</v>
      </c>
      <c r="C1861">
        <v>51013115</v>
      </c>
      <c r="D1861">
        <v>74.835386259561446</v>
      </c>
      <c r="E1861" t="s">
        <v>93</v>
      </c>
      <c r="F1861">
        <v>494</v>
      </c>
      <c r="G1861" s="4">
        <v>46087.5937962963</v>
      </c>
    </row>
    <row r="1862" spans="1:7" x14ac:dyDescent="0.3">
      <c r="A1862">
        <v>3054</v>
      </c>
      <c r="B1862" t="s">
        <v>146</v>
      </c>
      <c r="C1862">
        <v>51056744</v>
      </c>
      <c r="D1862">
        <v>68.124284104872388</v>
      </c>
      <c r="E1862" t="s">
        <v>93</v>
      </c>
      <c r="F1862">
        <v>555</v>
      </c>
      <c r="G1862" s="4">
        <v>46087.5937962963</v>
      </c>
    </row>
    <row r="1863" spans="1:7" x14ac:dyDescent="0.3">
      <c r="A1863">
        <v>3055</v>
      </c>
      <c r="B1863" t="s">
        <v>146</v>
      </c>
      <c r="C1863">
        <v>51031822</v>
      </c>
      <c r="D1863">
        <v>89.532237281739057</v>
      </c>
      <c r="E1863" t="s">
        <v>92</v>
      </c>
      <c r="F1863">
        <v>142</v>
      </c>
      <c r="G1863" s="4">
        <v>46087.5937962963</v>
      </c>
    </row>
    <row r="1864" spans="1:7" x14ac:dyDescent="0.3">
      <c r="A1864">
        <v>3056</v>
      </c>
      <c r="B1864" t="s">
        <v>146</v>
      </c>
      <c r="C1864">
        <v>51025938</v>
      </c>
      <c r="D1864">
        <v>32.085925664388519</v>
      </c>
      <c r="E1864" t="s">
        <v>94</v>
      </c>
      <c r="F1864">
        <v>886</v>
      </c>
      <c r="G1864" s="4">
        <v>46087.5937962963</v>
      </c>
    </row>
    <row r="1865" spans="1:7" x14ac:dyDescent="0.3">
      <c r="A1865">
        <v>3057</v>
      </c>
      <c r="B1865" t="s">
        <v>146</v>
      </c>
      <c r="C1865">
        <v>51030141</v>
      </c>
      <c r="D1865">
        <v>84.367267619766366</v>
      </c>
      <c r="E1865" t="s">
        <v>93</v>
      </c>
      <c r="F1865">
        <v>277</v>
      </c>
      <c r="G1865" s="4">
        <v>46087.5937962963</v>
      </c>
    </row>
    <row r="1866" spans="1:7" x14ac:dyDescent="0.3">
      <c r="A1866">
        <v>3058</v>
      </c>
      <c r="B1866" t="s">
        <v>146</v>
      </c>
      <c r="C1866">
        <v>51004698</v>
      </c>
      <c r="D1866">
        <v>77.780375949300577</v>
      </c>
      <c r="E1866" t="s">
        <v>93</v>
      </c>
      <c r="F1866">
        <v>453</v>
      </c>
      <c r="G1866" s="4">
        <v>46087.5937962963</v>
      </c>
    </row>
    <row r="1867" spans="1:7" x14ac:dyDescent="0.3">
      <c r="A1867">
        <v>3059</v>
      </c>
      <c r="B1867" t="s">
        <v>146</v>
      </c>
      <c r="C1867">
        <v>51029585</v>
      </c>
      <c r="D1867">
        <v>83.855946019495349</v>
      </c>
      <c r="E1867" t="s">
        <v>93</v>
      </c>
      <c r="F1867">
        <v>296</v>
      </c>
      <c r="G1867" s="4">
        <v>46087.5937962963</v>
      </c>
    </row>
    <row r="1868" spans="1:7" x14ac:dyDescent="0.3">
      <c r="A1868">
        <v>3060</v>
      </c>
      <c r="B1868" t="s">
        <v>146</v>
      </c>
      <c r="C1868">
        <v>51018389</v>
      </c>
      <c r="D1868">
        <v>67.662379362396408</v>
      </c>
      <c r="E1868" t="s">
        <v>93</v>
      </c>
      <c r="F1868">
        <v>558</v>
      </c>
      <c r="G1868" s="4">
        <v>46087.5937962963</v>
      </c>
    </row>
    <row r="1869" spans="1:7" x14ac:dyDescent="0.3">
      <c r="A1869">
        <v>3061</v>
      </c>
      <c r="B1869" t="s">
        <v>146</v>
      </c>
      <c r="C1869">
        <v>51017137</v>
      </c>
      <c r="D1869">
        <v>73.491704184245862</v>
      </c>
      <c r="E1869" t="s">
        <v>93</v>
      </c>
      <c r="F1869">
        <v>506</v>
      </c>
      <c r="G1869" s="4">
        <v>46087.5937962963</v>
      </c>
    </row>
    <row r="1870" spans="1:7" x14ac:dyDescent="0.3">
      <c r="A1870">
        <v>3062</v>
      </c>
      <c r="B1870" t="s">
        <v>146</v>
      </c>
      <c r="C1870">
        <v>51041232</v>
      </c>
      <c r="D1870">
        <v>86.771334931619393</v>
      </c>
      <c r="E1870" t="s">
        <v>92</v>
      </c>
      <c r="F1870">
        <v>205</v>
      </c>
      <c r="G1870" s="4">
        <v>46087.5937962963</v>
      </c>
    </row>
    <row r="1871" spans="1:7" x14ac:dyDescent="0.3">
      <c r="A1871">
        <v>3063</v>
      </c>
      <c r="B1871" t="s">
        <v>146</v>
      </c>
      <c r="C1871">
        <v>51022769</v>
      </c>
      <c r="D1871">
        <v>66.88693470889126</v>
      </c>
      <c r="E1871" t="s">
        <v>93</v>
      </c>
      <c r="F1871">
        <v>564</v>
      </c>
      <c r="G1871" s="4">
        <v>46087.5937962963</v>
      </c>
    </row>
    <row r="1872" spans="1:7" x14ac:dyDescent="0.3">
      <c r="A1872">
        <v>3064</v>
      </c>
      <c r="B1872" t="s">
        <v>146</v>
      </c>
      <c r="C1872">
        <v>51031164</v>
      </c>
      <c r="D1872">
        <v>29.554999999999996</v>
      </c>
      <c r="E1872" t="s">
        <v>94</v>
      </c>
      <c r="F1872">
        <v>914</v>
      </c>
      <c r="G1872" s="4">
        <v>46087.5937962963</v>
      </c>
    </row>
    <row r="1873" spans="1:7" x14ac:dyDescent="0.3">
      <c r="A1873">
        <v>3065</v>
      </c>
      <c r="B1873" t="s">
        <v>146</v>
      </c>
      <c r="C1873">
        <v>51030371</v>
      </c>
      <c r="D1873">
        <v>57.574019675734796</v>
      </c>
      <c r="E1873" t="s">
        <v>94</v>
      </c>
      <c r="F1873">
        <v>696</v>
      </c>
      <c r="G1873" s="4">
        <v>46087.5937962963</v>
      </c>
    </row>
    <row r="1874" spans="1:7" x14ac:dyDescent="0.3">
      <c r="A1874">
        <v>3066</v>
      </c>
      <c r="B1874" t="s">
        <v>146</v>
      </c>
      <c r="C1874">
        <v>51040392</v>
      </c>
      <c r="D1874">
        <v>45.633179625894172</v>
      </c>
      <c r="E1874" t="s">
        <v>94</v>
      </c>
      <c r="F1874">
        <v>818</v>
      </c>
      <c r="G1874" s="4">
        <v>46087.5937962963</v>
      </c>
    </row>
    <row r="1875" spans="1:7" x14ac:dyDescent="0.3">
      <c r="A1875">
        <v>3067</v>
      </c>
      <c r="B1875" t="s">
        <v>146</v>
      </c>
      <c r="C1875">
        <v>51014693</v>
      </c>
      <c r="D1875">
        <v>57.388341459598749</v>
      </c>
      <c r="E1875" t="s">
        <v>94</v>
      </c>
      <c r="F1875">
        <v>703</v>
      </c>
      <c r="G1875" s="4">
        <v>46087.5937962963</v>
      </c>
    </row>
    <row r="1876" spans="1:7" x14ac:dyDescent="0.3">
      <c r="A1876">
        <v>3068</v>
      </c>
      <c r="B1876" t="s">
        <v>146</v>
      </c>
      <c r="C1876">
        <v>51055551</v>
      </c>
      <c r="D1876">
        <v>28.1</v>
      </c>
      <c r="E1876" t="s">
        <v>94</v>
      </c>
      <c r="F1876">
        <v>930</v>
      </c>
      <c r="G1876" s="4">
        <v>46087.5937962963</v>
      </c>
    </row>
    <row r="1877" spans="1:7" x14ac:dyDescent="0.3">
      <c r="A1877">
        <v>3069</v>
      </c>
      <c r="B1877" t="s">
        <v>146</v>
      </c>
      <c r="C1877">
        <v>51012593</v>
      </c>
      <c r="D1877">
        <v>60.744422030339692</v>
      </c>
      <c r="E1877" t="s">
        <v>94</v>
      </c>
      <c r="F1877">
        <v>637</v>
      </c>
      <c r="G1877" s="4">
        <v>46087.5937962963</v>
      </c>
    </row>
    <row r="1878" spans="1:7" x14ac:dyDescent="0.3">
      <c r="A1878">
        <v>3070</v>
      </c>
      <c r="B1878" t="s">
        <v>146</v>
      </c>
      <c r="C1878">
        <v>51015908</v>
      </c>
      <c r="D1878">
        <v>89.133588580507677</v>
      </c>
      <c r="E1878" t="s">
        <v>92</v>
      </c>
      <c r="F1878">
        <v>148</v>
      </c>
      <c r="G1878" s="4">
        <v>46087.5937962963</v>
      </c>
    </row>
    <row r="1879" spans="1:7" x14ac:dyDescent="0.3">
      <c r="A1879">
        <v>3071</v>
      </c>
      <c r="B1879" t="s">
        <v>146</v>
      </c>
      <c r="C1879">
        <v>51015924</v>
      </c>
      <c r="D1879">
        <v>90.08963141529685</v>
      </c>
      <c r="E1879" t="s">
        <v>92</v>
      </c>
      <c r="F1879">
        <v>129</v>
      </c>
      <c r="G1879" s="4">
        <v>46087.5937962963</v>
      </c>
    </row>
    <row r="1880" spans="1:7" x14ac:dyDescent="0.3">
      <c r="A1880">
        <v>3072</v>
      </c>
      <c r="B1880" t="s">
        <v>146</v>
      </c>
      <c r="C1880">
        <v>51034252</v>
      </c>
      <c r="D1880">
        <v>87.724652170949824</v>
      </c>
      <c r="E1880" t="s">
        <v>92</v>
      </c>
      <c r="F1880">
        <v>189</v>
      </c>
      <c r="G1880" s="4">
        <v>46087.5937962963</v>
      </c>
    </row>
    <row r="1881" spans="1:7" x14ac:dyDescent="0.3">
      <c r="A1881">
        <v>3073</v>
      </c>
      <c r="B1881" t="s">
        <v>146</v>
      </c>
      <c r="C1881">
        <v>51017676</v>
      </c>
      <c r="D1881">
        <v>86.769169762433734</v>
      </c>
      <c r="E1881" t="s">
        <v>92</v>
      </c>
      <c r="F1881">
        <v>206</v>
      </c>
      <c r="G1881" s="4">
        <v>46087.5937962963</v>
      </c>
    </row>
    <row r="1882" spans="1:7" x14ac:dyDescent="0.3">
      <c r="A1882">
        <v>3074</v>
      </c>
      <c r="B1882" t="s">
        <v>146</v>
      </c>
      <c r="C1882">
        <v>51033655</v>
      </c>
      <c r="D1882">
        <v>92.093693591802463</v>
      </c>
      <c r="E1882" t="s">
        <v>92</v>
      </c>
      <c r="F1882">
        <v>98</v>
      </c>
      <c r="G1882" s="4">
        <v>46087.5937962963</v>
      </c>
    </row>
    <row r="1883" spans="1:7" x14ac:dyDescent="0.3">
      <c r="A1883">
        <v>3075</v>
      </c>
      <c r="B1883" t="s">
        <v>146</v>
      </c>
      <c r="C1883">
        <v>51014740</v>
      </c>
      <c r="D1883">
        <v>81.746622959511555</v>
      </c>
      <c r="E1883" t="s">
        <v>93</v>
      </c>
      <c r="F1883">
        <v>378</v>
      </c>
      <c r="G1883" s="4">
        <v>46087.5937962963</v>
      </c>
    </row>
    <row r="1884" spans="1:7" x14ac:dyDescent="0.3">
      <c r="A1884">
        <v>3076</v>
      </c>
      <c r="B1884" t="s">
        <v>146</v>
      </c>
      <c r="C1884">
        <v>51011287</v>
      </c>
      <c r="D1884">
        <v>82.004214902439998</v>
      </c>
      <c r="E1884" t="s">
        <v>93</v>
      </c>
      <c r="F1884">
        <v>369</v>
      </c>
      <c r="G1884" s="4">
        <v>46087.5937962963</v>
      </c>
    </row>
    <row r="1885" spans="1:7" x14ac:dyDescent="0.3">
      <c r="A1885">
        <v>3077</v>
      </c>
      <c r="B1885" t="s">
        <v>146</v>
      </c>
      <c r="C1885">
        <v>51026306</v>
      </c>
      <c r="D1885">
        <v>55.005553330493534</v>
      </c>
      <c r="E1885" t="s">
        <v>94</v>
      </c>
      <c r="F1885">
        <v>734</v>
      </c>
      <c r="G1885" s="4">
        <v>46087.5937962963</v>
      </c>
    </row>
    <row r="1886" spans="1:7" x14ac:dyDescent="0.3">
      <c r="A1886">
        <v>3078</v>
      </c>
      <c r="B1886" t="s">
        <v>146</v>
      </c>
      <c r="C1886">
        <v>51040325</v>
      </c>
      <c r="D1886">
        <v>61.605218529618277</v>
      </c>
      <c r="E1886" t="s">
        <v>94</v>
      </c>
      <c r="F1886">
        <v>618</v>
      </c>
      <c r="G1886" s="4">
        <v>46087.5937962963</v>
      </c>
    </row>
    <row r="1887" spans="1:7" x14ac:dyDescent="0.3">
      <c r="A1887">
        <v>3079</v>
      </c>
      <c r="B1887" t="s">
        <v>146</v>
      </c>
      <c r="C1887">
        <v>51055543</v>
      </c>
      <c r="D1887">
        <v>82.834142057767423</v>
      </c>
      <c r="E1887" t="s">
        <v>93</v>
      </c>
      <c r="F1887">
        <v>338</v>
      </c>
      <c r="G1887" s="4">
        <v>46087.5937962963</v>
      </c>
    </row>
    <row r="1888" spans="1:7" x14ac:dyDescent="0.3">
      <c r="A1888">
        <v>3080</v>
      </c>
      <c r="B1888" t="s">
        <v>146</v>
      </c>
      <c r="C1888">
        <v>51037031</v>
      </c>
      <c r="D1888">
        <v>53.143372489951453</v>
      </c>
      <c r="E1888" t="s">
        <v>94</v>
      </c>
      <c r="F1888">
        <v>750</v>
      </c>
      <c r="G1888" s="4">
        <v>46087.5937962963</v>
      </c>
    </row>
    <row r="1889" spans="1:7" x14ac:dyDescent="0.3">
      <c r="A1889">
        <v>3081</v>
      </c>
      <c r="B1889" t="s">
        <v>146</v>
      </c>
      <c r="C1889">
        <v>51057244</v>
      </c>
      <c r="D1889">
        <v>46.461959768441091</v>
      </c>
      <c r="E1889" t="s">
        <v>94</v>
      </c>
      <c r="F1889">
        <v>811</v>
      </c>
      <c r="G1889" s="4">
        <v>46087.5937962963</v>
      </c>
    </row>
    <row r="1890" spans="1:7" x14ac:dyDescent="0.3">
      <c r="A1890">
        <v>3082</v>
      </c>
      <c r="B1890" t="s">
        <v>146</v>
      </c>
      <c r="C1890">
        <v>51032004</v>
      </c>
      <c r="D1890">
        <v>15.52575659737394</v>
      </c>
      <c r="E1890" t="s">
        <v>95</v>
      </c>
      <c r="F1890">
        <v>1070</v>
      </c>
      <c r="G1890" s="4">
        <v>46087.5937962963</v>
      </c>
    </row>
    <row r="1891" spans="1:7" x14ac:dyDescent="0.3">
      <c r="A1891">
        <v>3083</v>
      </c>
      <c r="B1891" t="s">
        <v>146</v>
      </c>
      <c r="C1891">
        <v>51019253</v>
      </c>
      <c r="D1891">
        <v>58.853601114356209</v>
      </c>
      <c r="E1891" t="s">
        <v>94</v>
      </c>
      <c r="F1891">
        <v>664</v>
      </c>
      <c r="G1891" s="4">
        <v>46087.5937962963</v>
      </c>
    </row>
    <row r="1892" spans="1:7" x14ac:dyDescent="0.3">
      <c r="A1892">
        <v>3084</v>
      </c>
      <c r="B1892" t="s">
        <v>146</v>
      </c>
      <c r="C1892">
        <v>51008413</v>
      </c>
      <c r="D1892">
        <v>60.384375417578518</v>
      </c>
      <c r="E1892" t="s">
        <v>94</v>
      </c>
      <c r="F1892">
        <v>645</v>
      </c>
      <c r="G1892" s="4">
        <v>46087.5937962963</v>
      </c>
    </row>
    <row r="1893" spans="1:7" x14ac:dyDescent="0.3">
      <c r="A1893">
        <v>3085</v>
      </c>
      <c r="B1893" t="s">
        <v>146</v>
      </c>
      <c r="C1893">
        <v>51018265</v>
      </c>
      <c r="D1893">
        <v>89.568646158523038</v>
      </c>
      <c r="E1893" t="s">
        <v>92</v>
      </c>
      <c r="F1893">
        <v>140</v>
      </c>
      <c r="G1893" s="4">
        <v>46087.5937962963</v>
      </c>
    </row>
    <row r="1894" spans="1:7" x14ac:dyDescent="0.3">
      <c r="A1894">
        <v>3086</v>
      </c>
      <c r="B1894" t="s">
        <v>146</v>
      </c>
      <c r="C1894">
        <v>51022050</v>
      </c>
      <c r="D1894">
        <v>19.966642430070504</v>
      </c>
      <c r="E1894" t="s">
        <v>95</v>
      </c>
      <c r="F1894">
        <v>986</v>
      </c>
      <c r="G1894" s="4">
        <v>46087.5937962963</v>
      </c>
    </row>
    <row r="1895" spans="1:7" x14ac:dyDescent="0.3">
      <c r="A1895">
        <v>3087</v>
      </c>
      <c r="B1895" t="s">
        <v>146</v>
      </c>
      <c r="C1895">
        <v>51016076</v>
      </c>
      <c r="D1895">
        <v>58.2711187997919</v>
      </c>
      <c r="E1895" t="s">
        <v>94</v>
      </c>
      <c r="F1895">
        <v>679</v>
      </c>
      <c r="G1895" s="4">
        <v>46087.5937962963</v>
      </c>
    </row>
    <row r="1896" spans="1:7" x14ac:dyDescent="0.3">
      <c r="A1896">
        <v>3088</v>
      </c>
      <c r="B1896" t="s">
        <v>146</v>
      </c>
      <c r="C1896">
        <v>51014634</v>
      </c>
      <c r="D1896">
        <v>80.371677378199038</v>
      </c>
      <c r="E1896" t="s">
        <v>93</v>
      </c>
      <c r="F1896">
        <v>410</v>
      </c>
      <c r="G1896" s="4">
        <v>46087.5937962963</v>
      </c>
    </row>
    <row r="1897" spans="1:7" x14ac:dyDescent="0.3">
      <c r="A1897">
        <v>3089</v>
      </c>
      <c r="B1897" t="s">
        <v>146</v>
      </c>
      <c r="C1897">
        <v>51004655</v>
      </c>
      <c r="D1897">
        <v>95.043755842936207</v>
      </c>
      <c r="E1897" t="s">
        <v>92</v>
      </c>
      <c r="F1897">
        <v>65</v>
      </c>
      <c r="G1897" s="4">
        <v>46087.5937962963</v>
      </c>
    </row>
    <row r="1898" spans="1:7" x14ac:dyDescent="0.3">
      <c r="A1898">
        <v>3090</v>
      </c>
      <c r="B1898" t="s">
        <v>146</v>
      </c>
      <c r="C1898">
        <v>51030974</v>
      </c>
      <c r="D1898">
        <v>29.876999999999999</v>
      </c>
      <c r="E1898" t="s">
        <v>94</v>
      </c>
      <c r="F1898">
        <v>911</v>
      </c>
      <c r="G1898" s="4">
        <v>46087.5937962963</v>
      </c>
    </row>
    <row r="1899" spans="1:7" x14ac:dyDescent="0.3">
      <c r="A1899">
        <v>3091</v>
      </c>
      <c r="B1899" t="s">
        <v>146</v>
      </c>
      <c r="C1899">
        <v>51056787</v>
      </c>
      <c r="D1899">
        <v>77.441807453311426</v>
      </c>
      <c r="E1899" t="s">
        <v>93</v>
      </c>
      <c r="F1899">
        <v>459</v>
      </c>
      <c r="G1899" s="4">
        <v>46087.5937962963</v>
      </c>
    </row>
    <row r="1900" spans="1:7" x14ac:dyDescent="0.3">
      <c r="A1900">
        <v>3092</v>
      </c>
      <c r="B1900" t="s">
        <v>146</v>
      </c>
      <c r="C1900">
        <v>51032802</v>
      </c>
      <c r="D1900">
        <v>100</v>
      </c>
      <c r="E1900" t="s">
        <v>275</v>
      </c>
      <c r="F1900">
        <v>1</v>
      </c>
      <c r="G1900" s="4">
        <v>46087.5937962963</v>
      </c>
    </row>
    <row r="1901" spans="1:7" x14ac:dyDescent="0.3">
      <c r="A1901">
        <v>3093</v>
      </c>
      <c r="B1901" t="s">
        <v>146</v>
      </c>
      <c r="C1901">
        <v>51043677</v>
      </c>
      <c r="D1901">
        <v>78.720835443234932</v>
      </c>
      <c r="E1901" t="s">
        <v>93</v>
      </c>
      <c r="F1901">
        <v>440</v>
      </c>
      <c r="G1901" s="4">
        <v>46087.5937962963</v>
      </c>
    </row>
    <row r="1902" spans="1:7" x14ac:dyDescent="0.3">
      <c r="A1902">
        <v>3094</v>
      </c>
      <c r="B1902" t="s">
        <v>146</v>
      </c>
      <c r="C1902">
        <v>51022467</v>
      </c>
      <c r="D1902">
        <v>44.627275709641445</v>
      </c>
      <c r="E1902" t="s">
        <v>94</v>
      </c>
      <c r="F1902">
        <v>828</v>
      </c>
      <c r="G1902" s="4">
        <v>46087.5937962963</v>
      </c>
    </row>
    <row r="1903" spans="1:7" x14ac:dyDescent="0.3">
      <c r="A1903">
        <v>3095</v>
      </c>
      <c r="B1903" t="s">
        <v>146</v>
      </c>
      <c r="C1903">
        <v>51055225</v>
      </c>
      <c r="D1903">
        <v>85.288895007898816</v>
      </c>
      <c r="E1903" t="s">
        <v>93</v>
      </c>
      <c r="F1903">
        <v>261</v>
      </c>
      <c r="G1903" s="4">
        <v>46087.5937962963</v>
      </c>
    </row>
    <row r="1904" spans="1:7" x14ac:dyDescent="0.3">
      <c r="A1904">
        <v>3096</v>
      </c>
      <c r="B1904" t="s">
        <v>146</v>
      </c>
      <c r="C1904">
        <v>51041666</v>
      </c>
      <c r="D1904">
        <v>64.270669353725225</v>
      </c>
      <c r="E1904" t="s">
        <v>93</v>
      </c>
      <c r="F1904">
        <v>579</v>
      </c>
      <c r="G1904" s="4">
        <v>46087.5937962963</v>
      </c>
    </row>
    <row r="1905" spans="1:7" x14ac:dyDescent="0.3">
      <c r="A1905">
        <v>3097</v>
      </c>
      <c r="B1905" t="s">
        <v>146</v>
      </c>
      <c r="C1905">
        <v>51024753</v>
      </c>
      <c r="D1905">
        <v>58.100104463299026</v>
      </c>
      <c r="E1905" t="s">
        <v>94</v>
      </c>
      <c r="F1905">
        <v>686</v>
      </c>
      <c r="G1905" s="4">
        <v>46087.5937962963</v>
      </c>
    </row>
    <row r="1906" spans="1:7" x14ac:dyDescent="0.3">
      <c r="A1906">
        <v>3098</v>
      </c>
      <c r="B1906" t="s">
        <v>146</v>
      </c>
      <c r="C1906">
        <v>51023901</v>
      </c>
      <c r="D1906">
        <v>88.607585008898525</v>
      </c>
      <c r="E1906" t="s">
        <v>92</v>
      </c>
      <c r="F1906">
        <v>160</v>
      </c>
      <c r="G1906" s="4">
        <v>46087.5937962963</v>
      </c>
    </row>
    <row r="1907" spans="1:7" x14ac:dyDescent="0.3">
      <c r="A1907">
        <v>3099</v>
      </c>
      <c r="B1907" t="s">
        <v>146</v>
      </c>
      <c r="C1907">
        <v>51038401</v>
      </c>
      <c r="D1907">
        <v>83.375956493321212</v>
      </c>
      <c r="E1907" t="s">
        <v>93</v>
      </c>
      <c r="F1907">
        <v>313</v>
      </c>
      <c r="G1907" s="4">
        <v>46087.5937962963</v>
      </c>
    </row>
    <row r="1908" spans="1:7" x14ac:dyDescent="0.3">
      <c r="A1908">
        <v>3100</v>
      </c>
      <c r="B1908" t="s">
        <v>146</v>
      </c>
      <c r="C1908">
        <v>51023226</v>
      </c>
      <c r="D1908">
        <v>80.999933599165402</v>
      </c>
      <c r="E1908" t="s">
        <v>93</v>
      </c>
      <c r="F1908">
        <v>392</v>
      </c>
      <c r="G1908" s="4">
        <v>46087.5937962963</v>
      </c>
    </row>
    <row r="1909" spans="1:7" x14ac:dyDescent="0.3">
      <c r="A1909">
        <v>3101</v>
      </c>
      <c r="B1909" t="s">
        <v>146</v>
      </c>
      <c r="C1909">
        <v>51019717</v>
      </c>
      <c r="D1909">
        <v>55.123154865463007</v>
      </c>
      <c r="E1909" t="s">
        <v>94</v>
      </c>
      <c r="F1909">
        <v>732</v>
      </c>
      <c r="G1909" s="4">
        <v>46087.5937962963</v>
      </c>
    </row>
    <row r="1910" spans="1:7" x14ac:dyDescent="0.3">
      <c r="A1910">
        <v>3102</v>
      </c>
      <c r="B1910" t="s">
        <v>146</v>
      </c>
      <c r="C1910">
        <v>51007115</v>
      </c>
      <c r="D1910">
        <v>79.268091224537983</v>
      </c>
      <c r="E1910" t="s">
        <v>93</v>
      </c>
      <c r="F1910">
        <v>433</v>
      </c>
      <c r="G1910" s="4">
        <v>46087.5937962963</v>
      </c>
    </row>
    <row r="1911" spans="1:7" x14ac:dyDescent="0.3">
      <c r="A1911">
        <v>3103</v>
      </c>
      <c r="B1911" t="s">
        <v>146</v>
      </c>
      <c r="C1911">
        <v>51016637</v>
      </c>
      <c r="D1911">
        <v>81.414892718095103</v>
      </c>
      <c r="E1911" t="s">
        <v>93</v>
      </c>
      <c r="F1911">
        <v>384</v>
      </c>
      <c r="G1911" s="4">
        <v>46087.5937962963</v>
      </c>
    </row>
    <row r="1912" spans="1:7" x14ac:dyDescent="0.3">
      <c r="A1912">
        <v>3104</v>
      </c>
      <c r="B1912" t="s">
        <v>146</v>
      </c>
      <c r="C1912">
        <v>51023439</v>
      </c>
      <c r="D1912">
        <v>85.625205143303944</v>
      </c>
      <c r="E1912" t="s">
        <v>93</v>
      </c>
      <c r="F1912">
        <v>249</v>
      </c>
      <c r="G1912" s="4">
        <v>46087.5937962963</v>
      </c>
    </row>
    <row r="1913" spans="1:7" x14ac:dyDescent="0.3">
      <c r="A1913">
        <v>3105</v>
      </c>
      <c r="B1913" t="s">
        <v>146</v>
      </c>
      <c r="C1913">
        <v>51031334</v>
      </c>
      <c r="D1913">
        <v>69.259962457816528</v>
      </c>
      <c r="E1913" t="s">
        <v>93</v>
      </c>
      <c r="F1913">
        <v>547</v>
      </c>
      <c r="G1913" s="4">
        <v>46087.5937962963</v>
      </c>
    </row>
    <row r="1914" spans="1:7" x14ac:dyDescent="0.3">
      <c r="A1914">
        <v>3106</v>
      </c>
      <c r="B1914" t="s">
        <v>146</v>
      </c>
      <c r="C1914">
        <v>51005368</v>
      </c>
      <c r="D1914">
        <v>77.355603972932585</v>
      </c>
      <c r="E1914" t="s">
        <v>93</v>
      </c>
      <c r="F1914">
        <v>461</v>
      </c>
      <c r="G1914" s="4">
        <v>46087.5937962963</v>
      </c>
    </row>
    <row r="1915" spans="1:7" x14ac:dyDescent="0.3">
      <c r="A1915">
        <v>3107</v>
      </c>
      <c r="B1915" t="s">
        <v>146</v>
      </c>
      <c r="C1915">
        <v>51023803</v>
      </c>
      <c r="D1915">
        <v>97.350203209869676</v>
      </c>
      <c r="E1915" t="s">
        <v>275</v>
      </c>
      <c r="F1915">
        <v>37</v>
      </c>
      <c r="G1915" s="4">
        <v>46087.5937962963</v>
      </c>
    </row>
    <row r="1916" spans="1:7" x14ac:dyDescent="0.3">
      <c r="A1916">
        <v>3108</v>
      </c>
      <c r="B1916" t="s">
        <v>146</v>
      </c>
      <c r="C1916">
        <v>51016777</v>
      </c>
      <c r="D1916">
        <v>82.970752703201825</v>
      </c>
      <c r="E1916" t="s">
        <v>93</v>
      </c>
      <c r="F1916">
        <v>330</v>
      </c>
      <c r="G1916" s="4">
        <v>46087.5937962963</v>
      </c>
    </row>
    <row r="1917" spans="1:7" x14ac:dyDescent="0.3">
      <c r="A1917">
        <v>3109</v>
      </c>
      <c r="B1917" t="s">
        <v>146</v>
      </c>
      <c r="C1917">
        <v>51056094</v>
      </c>
      <c r="D1917">
        <v>55.381693447490562</v>
      </c>
      <c r="E1917" t="s">
        <v>94</v>
      </c>
      <c r="F1917">
        <v>730</v>
      </c>
      <c r="G1917" s="4">
        <v>46087.5937962963</v>
      </c>
    </row>
    <row r="1918" spans="1:7" x14ac:dyDescent="0.3">
      <c r="A1918">
        <v>3110</v>
      </c>
      <c r="B1918" t="s">
        <v>146</v>
      </c>
      <c r="C1918">
        <v>51018044</v>
      </c>
      <c r="D1918">
        <v>21.9786</v>
      </c>
      <c r="E1918" t="s">
        <v>95</v>
      </c>
      <c r="F1918">
        <v>967</v>
      </c>
      <c r="G1918" s="4">
        <v>46087.5937962963</v>
      </c>
    </row>
    <row r="1919" spans="1:7" x14ac:dyDescent="0.3">
      <c r="A1919">
        <v>3111</v>
      </c>
      <c r="B1919" t="s">
        <v>146</v>
      </c>
      <c r="C1919">
        <v>51031318</v>
      </c>
      <c r="D1919">
        <v>71.339025453982956</v>
      </c>
      <c r="E1919" t="s">
        <v>93</v>
      </c>
      <c r="F1919">
        <v>528</v>
      </c>
      <c r="G1919" s="4">
        <v>46087.5937962963</v>
      </c>
    </row>
    <row r="1920" spans="1:7" x14ac:dyDescent="0.3">
      <c r="A1920">
        <v>3112</v>
      </c>
      <c r="B1920" t="s">
        <v>146</v>
      </c>
      <c r="C1920">
        <v>51031750</v>
      </c>
      <c r="D1920">
        <v>90.400452303687715</v>
      </c>
      <c r="E1920" t="s">
        <v>92</v>
      </c>
      <c r="F1920">
        <v>124</v>
      </c>
      <c r="G1920" s="4">
        <v>46087.5937962963</v>
      </c>
    </row>
    <row r="1921" spans="1:7" x14ac:dyDescent="0.3">
      <c r="A1921">
        <v>3113</v>
      </c>
      <c r="B1921" t="s">
        <v>146</v>
      </c>
      <c r="C1921">
        <v>51032063</v>
      </c>
      <c r="D1921">
        <v>82.012198274318223</v>
      </c>
      <c r="E1921" t="s">
        <v>93</v>
      </c>
      <c r="F1921">
        <v>368</v>
      </c>
      <c r="G1921" s="4">
        <v>46087.5937962963</v>
      </c>
    </row>
    <row r="1922" spans="1:7" x14ac:dyDescent="0.3">
      <c r="A1922">
        <v>3114</v>
      </c>
      <c r="B1922" t="s">
        <v>146</v>
      </c>
      <c r="C1922">
        <v>51029232</v>
      </c>
      <c r="D1922">
        <v>22.231999999999999</v>
      </c>
      <c r="E1922" t="s">
        <v>95</v>
      </c>
      <c r="F1922">
        <v>963</v>
      </c>
      <c r="G1922" s="4">
        <v>46087.5937962963</v>
      </c>
    </row>
    <row r="1923" spans="1:7" x14ac:dyDescent="0.3">
      <c r="A1923">
        <v>3115</v>
      </c>
      <c r="B1923" t="s">
        <v>146</v>
      </c>
      <c r="C1923">
        <v>51035879</v>
      </c>
      <c r="D1923">
        <v>81.243905500924754</v>
      </c>
      <c r="E1923" t="s">
        <v>93</v>
      </c>
      <c r="F1923">
        <v>389</v>
      </c>
      <c r="G1923" s="4">
        <v>46087.5937962963</v>
      </c>
    </row>
    <row r="1924" spans="1:7" x14ac:dyDescent="0.3">
      <c r="A1924">
        <v>3116</v>
      </c>
      <c r="B1924" t="s">
        <v>146</v>
      </c>
      <c r="C1924">
        <v>51001044</v>
      </c>
      <c r="D1924">
        <v>84.218180727882171</v>
      </c>
      <c r="E1924" t="s">
        <v>93</v>
      </c>
      <c r="F1924">
        <v>283</v>
      </c>
      <c r="G1924" s="4">
        <v>46087.5937962963</v>
      </c>
    </row>
    <row r="1925" spans="1:7" x14ac:dyDescent="0.3">
      <c r="A1925">
        <v>3117</v>
      </c>
      <c r="B1925" t="s">
        <v>146</v>
      </c>
      <c r="C1925">
        <v>51028929</v>
      </c>
      <c r="D1925">
        <v>90.096617283159503</v>
      </c>
      <c r="E1925" t="s">
        <v>92</v>
      </c>
      <c r="F1925">
        <v>128</v>
      </c>
      <c r="G1925" s="4">
        <v>46087.5937962963</v>
      </c>
    </row>
    <row r="1926" spans="1:7" x14ac:dyDescent="0.3">
      <c r="A1926">
        <v>3118</v>
      </c>
      <c r="B1926" t="s">
        <v>146</v>
      </c>
      <c r="C1926">
        <v>51054873</v>
      </c>
      <c r="D1926">
        <v>80.190496964801113</v>
      </c>
      <c r="E1926" t="s">
        <v>93</v>
      </c>
      <c r="F1926">
        <v>415</v>
      </c>
      <c r="G1926" s="4">
        <v>46087.5937962963</v>
      </c>
    </row>
    <row r="1927" spans="1:7" x14ac:dyDescent="0.3">
      <c r="A1927">
        <v>3119</v>
      </c>
      <c r="B1927" t="s">
        <v>146</v>
      </c>
      <c r="C1927">
        <v>51013913</v>
      </c>
      <c r="D1927">
        <v>40.489741694676844</v>
      </c>
      <c r="E1927" t="s">
        <v>94</v>
      </c>
      <c r="F1927">
        <v>844</v>
      </c>
      <c r="G1927" s="4">
        <v>46087.5937962963</v>
      </c>
    </row>
    <row r="1928" spans="1:7" x14ac:dyDescent="0.3">
      <c r="A1928">
        <v>3120</v>
      </c>
      <c r="B1928" t="s">
        <v>146</v>
      </c>
      <c r="C1928">
        <v>51033302</v>
      </c>
      <c r="D1928">
        <v>27.770599802288945</v>
      </c>
      <c r="E1928" t="s">
        <v>94</v>
      </c>
      <c r="F1928">
        <v>932</v>
      </c>
      <c r="G1928" s="4">
        <v>46087.5937962963</v>
      </c>
    </row>
    <row r="1929" spans="1:7" x14ac:dyDescent="0.3">
      <c r="A1929">
        <v>3121</v>
      </c>
      <c r="B1929" t="s">
        <v>146</v>
      </c>
      <c r="C1929">
        <v>51054806</v>
      </c>
      <c r="D1929">
        <v>75.745289108217577</v>
      </c>
      <c r="E1929" t="s">
        <v>93</v>
      </c>
      <c r="F1929">
        <v>485</v>
      </c>
      <c r="G1929" s="4">
        <v>46087.5937962963</v>
      </c>
    </row>
    <row r="1930" spans="1:7" x14ac:dyDescent="0.3">
      <c r="A1930">
        <v>3122</v>
      </c>
      <c r="B1930" t="s">
        <v>146</v>
      </c>
      <c r="C1930">
        <v>51030567</v>
      </c>
      <c r="D1930">
        <v>37.597805627354369</v>
      </c>
      <c r="E1930" t="s">
        <v>94</v>
      </c>
      <c r="F1930">
        <v>855</v>
      </c>
      <c r="G1930" s="4">
        <v>46087.5937962963</v>
      </c>
    </row>
    <row r="1931" spans="1:7" x14ac:dyDescent="0.3">
      <c r="A1931">
        <v>3123</v>
      </c>
      <c r="B1931" t="s">
        <v>146</v>
      </c>
      <c r="C1931">
        <v>51014375</v>
      </c>
      <c r="D1931">
        <v>78.500977983050277</v>
      </c>
      <c r="E1931" t="s">
        <v>93</v>
      </c>
      <c r="F1931">
        <v>446</v>
      </c>
      <c r="G1931" s="4">
        <v>46087.5937962963</v>
      </c>
    </row>
    <row r="1932" spans="1:7" x14ac:dyDescent="0.3">
      <c r="A1932">
        <v>3124</v>
      </c>
      <c r="B1932" t="s">
        <v>146</v>
      </c>
      <c r="C1932">
        <v>51056337</v>
      </c>
      <c r="D1932">
        <v>84.472443152745043</v>
      </c>
      <c r="E1932" t="s">
        <v>93</v>
      </c>
      <c r="F1932">
        <v>276</v>
      </c>
      <c r="G1932" s="4">
        <v>46087.5937962963</v>
      </c>
    </row>
    <row r="1933" spans="1:7" x14ac:dyDescent="0.3">
      <c r="A1933">
        <v>3125</v>
      </c>
      <c r="B1933" t="s">
        <v>146</v>
      </c>
      <c r="C1933">
        <v>51054938</v>
      </c>
      <c r="D1933">
        <v>95.121159008487666</v>
      </c>
      <c r="E1933" t="s">
        <v>92</v>
      </c>
      <c r="F1933">
        <v>64</v>
      </c>
      <c r="G1933" s="4">
        <v>46087.5937962963</v>
      </c>
    </row>
    <row r="1934" spans="1:7" x14ac:dyDescent="0.3">
      <c r="A1934">
        <v>3126</v>
      </c>
      <c r="B1934" t="s">
        <v>146</v>
      </c>
      <c r="C1934">
        <v>51024834</v>
      </c>
      <c r="D1934">
        <v>52.090569615393044</v>
      </c>
      <c r="E1934" t="s">
        <v>94</v>
      </c>
      <c r="F1934">
        <v>759</v>
      </c>
      <c r="G1934" s="4">
        <v>46087.5937962963</v>
      </c>
    </row>
    <row r="1935" spans="1:7" x14ac:dyDescent="0.3">
      <c r="A1935">
        <v>3127</v>
      </c>
      <c r="B1935" t="s">
        <v>146</v>
      </c>
      <c r="C1935">
        <v>51016831</v>
      </c>
      <c r="D1935">
        <v>65.014283471190964</v>
      </c>
      <c r="E1935" t="s">
        <v>93</v>
      </c>
      <c r="F1935">
        <v>572</v>
      </c>
      <c r="G1935" s="4">
        <v>46087.5937962963</v>
      </c>
    </row>
    <row r="1936" spans="1:7" x14ac:dyDescent="0.3">
      <c r="A1936">
        <v>3128</v>
      </c>
      <c r="B1936" t="s">
        <v>146</v>
      </c>
      <c r="C1936">
        <v>51023927</v>
      </c>
      <c r="D1936">
        <v>28.861059934168374</v>
      </c>
      <c r="E1936" t="s">
        <v>94</v>
      </c>
      <c r="F1936">
        <v>918</v>
      </c>
      <c r="G1936" s="4">
        <v>46087.5937962963</v>
      </c>
    </row>
    <row r="1937" spans="1:7" x14ac:dyDescent="0.3">
      <c r="A1937">
        <v>3129</v>
      </c>
      <c r="B1937" t="s">
        <v>146</v>
      </c>
      <c r="C1937">
        <v>51020111</v>
      </c>
      <c r="D1937">
        <v>57.817667019394911</v>
      </c>
      <c r="E1937" t="s">
        <v>94</v>
      </c>
      <c r="F1937">
        <v>690</v>
      </c>
      <c r="G1937" s="4">
        <v>46087.5937962963</v>
      </c>
    </row>
    <row r="1938" spans="1:7" x14ac:dyDescent="0.3">
      <c r="A1938">
        <v>3130</v>
      </c>
      <c r="B1938" t="s">
        <v>146</v>
      </c>
      <c r="C1938">
        <v>51055250</v>
      </c>
      <c r="D1938">
        <v>46.058788540685484</v>
      </c>
      <c r="E1938" t="s">
        <v>94</v>
      </c>
      <c r="F1938">
        <v>816</v>
      </c>
      <c r="G1938" s="4">
        <v>46087.5937962963</v>
      </c>
    </row>
    <row r="1939" spans="1:7" x14ac:dyDescent="0.3">
      <c r="A1939">
        <v>3131</v>
      </c>
      <c r="B1939" t="s">
        <v>146</v>
      </c>
      <c r="C1939">
        <v>51018036</v>
      </c>
      <c r="D1939">
        <v>48.686708328422512</v>
      </c>
      <c r="E1939" t="s">
        <v>94</v>
      </c>
      <c r="F1939">
        <v>784</v>
      </c>
      <c r="G1939" s="4">
        <v>46087.5937962963</v>
      </c>
    </row>
    <row r="1940" spans="1:7" x14ac:dyDescent="0.3">
      <c r="A1940">
        <v>3132</v>
      </c>
      <c r="B1940" t="s">
        <v>146</v>
      </c>
      <c r="C1940">
        <v>51009797</v>
      </c>
      <c r="D1940">
        <v>83.344667801717875</v>
      </c>
      <c r="E1940" t="s">
        <v>93</v>
      </c>
      <c r="F1940">
        <v>315</v>
      </c>
      <c r="G1940" s="4">
        <v>46087.5937962963</v>
      </c>
    </row>
    <row r="1941" spans="1:7" x14ac:dyDescent="0.3">
      <c r="A1941">
        <v>3133</v>
      </c>
      <c r="B1941" t="s">
        <v>146</v>
      </c>
      <c r="C1941">
        <v>51041917</v>
      </c>
      <c r="D1941">
        <v>57.312837124238918</v>
      </c>
      <c r="E1941" t="s">
        <v>94</v>
      </c>
      <c r="F1941">
        <v>707</v>
      </c>
      <c r="G1941" s="4">
        <v>46087.5937962963</v>
      </c>
    </row>
    <row r="1942" spans="1:7" x14ac:dyDescent="0.3">
      <c r="A1942">
        <v>3134</v>
      </c>
      <c r="B1942" t="s">
        <v>146</v>
      </c>
      <c r="C1942">
        <v>51017846</v>
      </c>
      <c r="D1942">
        <v>47.524499311431249</v>
      </c>
      <c r="E1942" t="s">
        <v>94</v>
      </c>
      <c r="F1942">
        <v>801</v>
      </c>
      <c r="G1942" s="4">
        <v>46087.5937962963</v>
      </c>
    </row>
    <row r="1943" spans="1:7" x14ac:dyDescent="0.3">
      <c r="A1943">
        <v>3135</v>
      </c>
      <c r="B1943" t="s">
        <v>146</v>
      </c>
      <c r="C1943">
        <v>51015851</v>
      </c>
      <c r="D1943">
        <v>88.717941011037354</v>
      </c>
      <c r="E1943" t="s">
        <v>92</v>
      </c>
      <c r="F1943">
        <v>157</v>
      </c>
      <c r="G1943" s="4">
        <v>46087.5937962963</v>
      </c>
    </row>
    <row r="1944" spans="1:7" x14ac:dyDescent="0.3">
      <c r="A1944">
        <v>3136</v>
      </c>
      <c r="B1944" t="s">
        <v>146</v>
      </c>
      <c r="C1944">
        <v>51036603</v>
      </c>
      <c r="D1944">
        <v>45.309784082951715</v>
      </c>
      <c r="E1944" t="s">
        <v>94</v>
      </c>
      <c r="F1944">
        <v>821</v>
      </c>
      <c r="G1944" s="4">
        <v>46087.5937962963</v>
      </c>
    </row>
    <row r="1945" spans="1:7" x14ac:dyDescent="0.3">
      <c r="A1945">
        <v>3137</v>
      </c>
      <c r="B1945" t="s">
        <v>146</v>
      </c>
      <c r="C1945">
        <v>51020910</v>
      </c>
      <c r="D1945">
        <v>85.653026779645089</v>
      </c>
      <c r="E1945" t="s">
        <v>93</v>
      </c>
      <c r="F1945">
        <v>248</v>
      </c>
      <c r="G1945" s="4">
        <v>46087.5937962963</v>
      </c>
    </row>
    <row r="1946" spans="1:7" x14ac:dyDescent="0.3">
      <c r="A1946">
        <v>3138</v>
      </c>
      <c r="B1946" t="s">
        <v>146</v>
      </c>
      <c r="C1946">
        <v>51031326</v>
      </c>
      <c r="D1946">
        <v>59.77957793099624</v>
      </c>
      <c r="E1946" t="s">
        <v>94</v>
      </c>
      <c r="F1946">
        <v>654</v>
      </c>
      <c r="G1946" s="4">
        <v>46087.5937962963</v>
      </c>
    </row>
    <row r="1947" spans="1:7" x14ac:dyDescent="0.3">
      <c r="A1947">
        <v>3139</v>
      </c>
      <c r="B1947" t="s">
        <v>146</v>
      </c>
      <c r="C1947">
        <v>51033604</v>
      </c>
      <c r="D1947">
        <v>78.766870704495602</v>
      </c>
      <c r="E1947" t="s">
        <v>93</v>
      </c>
      <c r="F1947">
        <v>438</v>
      </c>
      <c r="G1947" s="4">
        <v>46087.5937962963</v>
      </c>
    </row>
    <row r="1948" spans="1:7" x14ac:dyDescent="0.3">
      <c r="A1948">
        <v>3140</v>
      </c>
      <c r="B1948" t="s">
        <v>146</v>
      </c>
      <c r="C1948">
        <v>51026217</v>
      </c>
      <c r="D1948">
        <v>94.091086111055105</v>
      </c>
      <c r="E1948" t="s">
        <v>92</v>
      </c>
      <c r="F1948">
        <v>71</v>
      </c>
      <c r="G1948" s="4">
        <v>46087.5937962963</v>
      </c>
    </row>
    <row r="1949" spans="1:7" x14ac:dyDescent="0.3">
      <c r="A1949">
        <v>3141</v>
      </c>
      <c r="B1949" t="s">
        <v>146</v>
      </c>
      <c r="C1949">
        <v>51039165</v>
      </c>
      <c r="D1949">
        <v>68.211434591719609</v>
      </c>
      <c r="E1949" t="s">
        <v>93</v>
      </c>
      <c r="F1949">
        <v>554</v>
      </c>
      <c r="G1949" s="4">
        <v>46087.5937962963</v>
      </c>
    </row>
    <row r="1950" spans="1:7" x14ac:dyDescent="0.3">
      <c r="A1950">
        <v>3142</v>
      </c>
      <c r="B1950" t="s">
        <v>146</v>
      </c>
      <c r="C1950">
        <v>51006844</v>
      </c>
      <c r="D1950">
        <v>22.719672060339722</v>
      </c>
      <c r="E1950" t="s">
        <v>95</v>
      </c>
      <c r="F1950">
        <v>958</v>
      </c>
      <c r="G1950" s="4">
        <v>46087.5937962963</v>
      </c>
    </row>
    <row r="1951" spans="1:7" x14ac:dyDescent="0.3">
      <c r="A1951">
        <v>3143</v>
      </c>
      <c r="B1951" t="s">
        <v>146</v>
      </c>
      <c r="C1951">
        <v>51020995</v>
      </c>
      <c r="D1951">
        <v>22.125351824192144</v>
      </c>
      <c r="E1951" t="s">
        <v>95</v>
      </c>
      <c r="F1951">
        <v>965</v>
      </c>
      <c r="G1951" s="4">
        <v>46087.5937962963</v>
      </c>
    </row>
    <row r="1952" spans="1:7" x14ac:dyDescent="0.3">
      <c r="A1952">
        <v>3144</v>
      </c>
      <c r="B1952" t="s">
        <v>146</v>
      </c>
      <c r="C1952">
        <v>51023251</v>
      </c>
      <c r="D1952">
        <v>36.138680688067495</v>
      </c>
      <c r="E1952" t="s">
        <v>94</v>
      </c>
      <c r="F1952">
        <v>860</v>
      </c>
      <c r="G1952" s="4">
        <v>46087.5937962963</v>
      </c>
    </row>
    <row r="1953" spans="1:7" x14ac:dyDescent="0.3">
      <c r="A1953">
        <v>3145</v>
      </c>
      <c r="B1953" t="s">
        <v>146</v>
      </c>
      <c r="C1953">
        <v>51010205</v>
      </c>
      <c r="D1953">
        <v>44.721000312872903</v>
      </c>
      <c r="E1953" t="s">
        <v>94</v>
      </c>
      <c r="F1953">
        <v>827</v>
      </c>
      <c r="G1953" s="4">
        <v>46087.5937962963</v>
      </c>
    </row>
    <row r="1954" spans="1:7" x14ac:dyDescent="0.3">
      <c r="A1954">
        <v>3146</v>
      </c>
      <c r="B1954" t="s">
        <v>146</v>
      </c>
      <c r="C1954">
        <v>51056922</v>
      </c>
      <c r="D1954">
        <v>79.31670275990038</v>
      </c>
      <c r="E1954" t="s">
        <v>93</v>
      </c>
      <c r="F1954">
        <v>432</v>
      </c>
      <c r="G1954" s="4">
        <v>46087.5937962963</v>
      </c>
    </row>
    <row r="1955" spans="1:7" x14ac:dyDescent="0.3">
      <c r="A1955">
        <v>3147</v>
      </c>
      <c r="B1955" t="s">
        <v>146</v>
      </c>
      <c r="C1955">
        <v>51056299</v>
      </c>
      <c r="D1955">
        <v>91.648395190294906</v>
      </c>
      <c r="E1955" t="s">
        <v>92</v>
      </c>
      <c r="F1955">
        <v>108</v>
      </c>
      <c r="G1955" s="4">
        <v>46087.5937962963</v>
      </c>
    </row>
    <row r="1956" spans="1:7" x14ac:dyDescent="0.3">
      <c r="A1956">
        <v>3148</v>
      </c>
      <c r="B1956" t="s">
        <v>146</v>
      </c>
      <c r="C1956">
        <v>51010175</v>
      </c>
      <c r="D1956">
        <v>71.234643548387226</v>
      </c>
      <c r="E1956" t="s">
        <v>93</v>
      </c>
      <c r="F1956">
        <v>530</v>
      </c>
      <c r="G1956" s="4">
        <v>46087.5937962963</v>
      </c>
    </row>
    <row r="1957" spans="1:7" x14ac:dyDescent="0.3">
      <c r="A1957">
        <v>3149</v>
      </c>
      <c r="B1957" t="s">
        <v>146</v>
      </c>
      <c r="C1957">
        <v>51015355</v>
      </c>
      <c r="D1957">
        <v>49.906970750833715</v>
      </c>
      <c r="E1957" t="s">
        <v>94</v>
      </c>
      <c r="F1957">
        <v>773</v>
      </c>
      <c r="G1957" s="4">
        <v>46087.5937962963</v>
      </c>
    </row>
    <row r="1958" spans="1:7" x14ac:dyDescent="0.3">
      <c r="A1958">
        <v>3150</v>
      </c>
      <c r="B1958" t="s">
        <v>146</v>
      </c>
      <c r="C1958">
        <v>51010191</v>
      </c>
      <c r="D1958">
        <v>98.550077952087733</v>
      </c>
      <c r="E1958" t="s">
        <v>275</v>
      </c>
      <c r="F1958">
        <v>26</v>
      </c>
      <c r="G1958" s="4">
        <v>46087.5937962963</v>
      </c>
    </row>
    <row r="1959" spans="1:7" x14ac:dyDescent="0.3">
      <c r="A1959">
        <v>3151</v>
      </c>
      <c r="B1959" t="s">
        <v>146</v>
      </c>
      <c r="C1959">
        <v>51013051</v>
      </c>
      <c r="D1959">
        <v>59.486437434566469</v>
      </c>
      <c r="E1959" t="s">
        <v>94</v>
      </c>
      <c r="F1959">
        <v>659</v>
      </c>
      <c r="G1959" s="4">
        <v>46087.5937962963</v>
      </c>
    </row>
    <row r="1960" spans="1:7" x14ac:dyDescent="0.3">
      <c r="A1960">
        <v>3152</v>
      </c>
      <c r="B1960" t="s">
        <v>146</v>
      </c>
      <c r="C1960">
        <v>51032632</v>
      </c>
      <c r="D1960">
        <v>61.924270225431826</v>
      </c>
      <c r="E1960" t="s">
        <v>94</v>
      </c>
      <c r="F1960">
        <v>613</v>
      </c>
      <c r="G1960" s="4">
        <v>46087.5937962963</v>
      </c>
    </row>
    <row r="1961" spans="1:7" x14ac:dyDescent="0.3">
      <c r="A1961">
        <v>3153</v>
      </c>
      <c r="B1961" t="s">
        <v>146</v>
      </c>
      <c r="C1961">
        <v>51026322</v>
      </c>
      <c r="D1961">
        <v>78.568087913815873</v>
      </c>
      <c r="E1961" t="s">
        <v>93</v>
      </c>
      <c r="F1961">
        <v>443</v>
      </c>
      <c r="G1961" s="4">
        <v>46087.5937962963</v>
      </c>
    </row>
    <row r="1962" spans="1:7" x14ac:dyDescent="0.3">
      <c r="A1962">
        <v>3154</v>
      </c>
      <c r="B1962" t="s">
        <v>146</v>
      </c>
      <c r="C1962">
        <v>51019555</v>
      </c>
      <c r="D1962">
        <v>31.941492897941728</v>
      </c>
      <c r="E1962" t="s">
        <v>94</v>
      </c>
      <c r="F1962">
        <v>889</v>
      </c>
      <c r="G1962" s="4">
        <v>46087.5937962963</v>
      </c>
    </row>
    <row r="1963" spans="1:7" x14ac:dyDescent="0.3">
      <c r="A1963">
        <v>3155</v>
      </c>
      <c r="B1963" t="s">
        <v>146</v>
      </c>
      <c r="C1963">
        <v>51009991</v>
      </c>
      <c r="D1963">
        <v>83.387872981757752</v>
      </c>
      <c r="E1963" t="s">
        <v>93</v>
      </c>
      <c r="F1963">
        <v>312</v>
      </c>
      <c r="G1963" s="4">
        <v>46087.5937962963</v>
      </c>
    </row>
    <row r="1964" spans="1:7" x14ac:dyDescent="0.3">
      <c r="A1964">
        <v>3156</v>
      </c>
      <c r="B1964" t="s">
        <v>146</v>
      </c>
      <c r="C1964">
        <v>51025822</v>
      </c>
      <c r="D1964">
        <v>73.024689011288075</v>
      </c>
      <c r="E1964" t="s">
        <v>93</v>
      </c>
      <c r="F1964">
        <v>511</v>
      </c>
      <c r="G1964" s="4">
        <v>46087.5937962963</v>
      </c>
    </row>
    <row r="1965" spans="1:7" x14ac:dyDescent="0.3">
      <c r="A1965">
        <v>3157</v>
      </c>
      <c r="B1965" t="s">
        <v>146</v>
      </c>
      <c r="C1965">
        <v>51012500</v>
      </c>
      <c r="D1965">
        <v>59.854618036875344</v>
      </c>
      <c r="E1965" t="s">
        <v>94</v>
      </c>
      <c r="F1965">
        <v>651</v>
      </c>
      <c r="G1965" s="4">
        <v>46087.5937962963</v>
      </c>
    </row>
    <row r="1966" spans="1:7" x14ac:dyDescent="0.3">
      <c r="A1966">
        <v>3158</v>
      </c>
      <c r="B1966" t="s">
        <v>146</v>
      </c>
      <c r="C1966">
        <v>51015797</v>
      </c>
      <c r="D1966">
        <v>85.749591884801475</v>
      </c>
      <c r="E1966" t="s">
        <v>93</v>
      </c>
      <c r="F1966">
        <v>244</v>
      </c>
      <c r="G1966" s="4">
        <v>46087.5937962963</v>
      </c>
    </row>
    <row r="1967" spans="1:7" x14ac:dyDescent="0.3">
      <c r="A1967">
        <v>3159</v>
      </c>
      <c r="B1967" t="s">
        <v>146</v>
      </c>
      <c r="C1967">
        <v>51014782</v>
      </c>
      <c r="D1967">
        <v>81.346508553537092</v>
      </c>
      <c r="E1967" t="s">
        <v>93</v>
      </c>
      <c r="F1967">
        <v>388</v>
      </c>
      <c r="G1967" s="4">
        <v>46087.5937962963</v>
      </c>
    </row>
    <row r="1968" spans="1:7" x14ac:dyDescent="0.3">
      <c r="A1968">
        <v>3160</v>
      </c>
      <c r="B1968" t="s">
        <v>146</v>
      </c>
      <c r="C1968">
        <v>51013077</v>
      </c>
      <c r="D1968">
        <v>89.150331612904537</v>
      </c>
      <c r="E1968" t="s">
        <v>92</v>
      </c>
      <c r="F1968">
        <v>147</v>
      </c>
      <c r="G1968" s="4">
        <v>46087.5937962963</v>
      </c>
    </row>
    <row r="1969" spans="1:7" x14ac:dyDescent="0.3">
      <c r="A1969">
        <v>3161</v>
      </c>
      <c r="B1969" t="s">
        <v>146</v>
      </c>
      <c r="C1969">
        <v>51002539</v>
      </c>
      <c r="D1969">
        <v>35.045847972778944</v>
      </c>
      <c r="E1969" t="s">
        <v>94</v>
      </c>
      <c r="F1969">
        <v>866</v>
      </c>
      <c r="G1969" s="4">
        <v>46087.5937962963</v>
      </c>
    </row>
    <row r="1970" spans="1:7" x14ac:dyDescent="0.3">
      <c r="A1970">
        <v>3162</v>
      </c>
      <c r="B1970" t="s">
        <v>146</v>
      </c>
      <c r="C1970">
        <v>51031806</v>
      </c>
      <c r="D1970">
        <v>47.530104423676676</v>
      </c>
      <c r="E1970" t="s">
        <v>94</v>
      </c>
      <c r="F1970">
        <v>799</v>
      </c>
      <c r="G1970" s="4">
        <v>46087.5937962963</v>
      </c>
    </row>
    <row r="1971" spans="1:7" x14ac:dyDescent="0.3">
      <c r="A1971">
        <v>3163</v>
      </c>
      <c r="B1971" t="s">
        <v>146</v>
      </c>
      <c r="C1971">
        <v>51044410</v>
      </c>
      <c r="D1971">
        <v>62.488069719932298</v>
      </c>
      <c r="E1971" t="s">
        <v>94</v>
      </c>
      <c r="F1971">
        <v>601</v>
      </c>
      <c r="G1971" s="4">
        <v>46087.5937962963</v>
      </c>
    </row>
    <row r="1972" spans="1:7" x14ac:dyDescent="0.3">
      <c r="A1972">
        <v>3164</v>
      </c>
      <c r="B1972" t="s">
        <v>146</v>
      </c>
      <c r="C1972">
        <v>51033248</v>
      </c>
      <c r="D1972">
        <v>28.33861668798961</v>
      </c>
      <c r="E1972" t="s">
        <v>94</v>
      </c>
      <c r="F1972">
        <v>925</v>
      </c>
      <c r="G1972" s="4">
        <v>46087.5937962963</v>
      </c>
    </row>
    <row r="1973" spans="1:7" x14ac:dyDescent="0.3">
      <c r="A1973">
        <v>3165</v>
      </c>
      <c r="B1973" t="s">
        <v>146</v>
      </c>
      <c r="C1973">
        <v>51025318</v>
      </c>
      <c r="D1973">
        <v>80.156816830530701</v>
      </c>
      <c r="E1973" t="s">
        <v>93</v>
      </c>
      <c r="F1973">
        <v>417</v>
      </c>
      <c r="G1973" s="4">
        <v>46087.5937962963</v>
      </c>
    </row>
    <row r="1974" spans="1:7" x14ac:dyDescent="0.3">
      <c r="A1974">
        <v>3166</v>
      </c>
      <c r="B1974" t="s">
        <v>146</v>
      </c>
      <c r="C1974">
        <v>51031687</v>
      </c>
      <c r="D1974">
        <v>78.526349916537654</v>
      </c>
      <c r="E1974" t="s">
        <v>93</v>
      </c>
      <c r="F1974">
        <v>445</v>
      </c>
      <c r="G1974" s="4">
        <v>46087.5937962963</v>
      </c>
    </row>
    <row r="1975" spans="1:7" x14ac:dyDescent="0.3">
      <c r="A1975">
        <v>3167</v>
      </c>
      <c r="B1975" t="s">
        <v>146</v>
      </c>
      <c r="C1975">
        <v>51055861</v>
      </c>
      <c r="D1975">
        <v>56.840909972944566</v>
      </c>
      <c r="E1975" t="s">
        <v>94</v>
      </c>
      <c r="F1975">
        <v>716</v>
      </c>
      <c r="G1975" s="4">
        <v>46087.5937962963</v>
      </c>
    </row>
    <row r="1976" spans="1:7" x14ac:dyDescent="0.3">
      <c r="A1976">
        <v>3168</v>
      </c>
      <c r="B1976" t="s">
        <v>146</v>
      </c>
      <c r="C1976">
        <v>51019407</v>
      </c>
      <c r="D1976">
        <v>51.619312030362025</v>
      </c>
      <c r="E1976" t="s">
        <v>94</v>
      </c>
      <c r="F1976">
        <v>761</v>
      </c>
      <c r="G1976" s="4">
        <v>46087.5937962963</v>
      </c>
    </row>
    <row r="1977" spans="1:7" x14ac:dyDescent="0.3">
      <c r="A1977">
        <v>3169</v>
      </c>
      <c r="B1977" t="s">
        <v>146</v>
      </c>
      <c r="C1977">
        <v>51012411</v>
      </c>
      <c r="D1977">
        <v>32.799999999999997</v>
      </c>
      <c r="E1977" t="s">
        <v>94</v>
      </c>
      <c r="F1977">
        <v>880</v>
      </c>
      <c r="G1977" s="4">
        <v>46087.5937962963</v>
      </c>
    </row>
    <row r="1978" spans="1:7" x14ac:dyDescent="0.3">
      <c r="A1978">
        <v>3170</v>
      </c>
      <c r="B1978" t="s">
        <v>146</v>
      </c>
      <c r="C1978">
        <v>51020171</v>
      </c>
      <c r="D1978">
        <v>30.098000000000003</v>
      </c>
      <c r="E1978" t="s">
        <v>94</v>
      </c>
      <c r="F1978">
        <v>909</v>
      </c>
      <c r="G1978" s="4">
        <v>46087.5937962963</v>
      </c>
    </row>
    <row r="1979" spans="1:7" x14ac:dyDescent="0.3">
      <c r="A1979">
        <v>3171</v>
      </c>
      <c r="B1979" t="s">
        <v>146</v>
      </c>
      <c r="C1979">
        <v>51029488</v>
      </c>
      <c r="D1979">
        <v>27.872187002115197</v>
      </c>
      <c r="E1979" t="s">
        <v>94</v>
      </c>
      <c r="F1979">
        <v>931</v>
      </c>
      <c r="G1979" s="4">
        <v>46087.5937962963</v>
      </c>
    </row>
    <row r="1980" spans="1:7" x14ac:dyDescent="0.3">
      <c r="A1980">
        <v>3172</v>
      </c>
      <c r="B1980" t="s">
        <v>146</v>
      </c>
      <c r="C1980">
        <v>51017633</v>
      </c>
      <c r="D1980">
        <v>86.340738515122325</v>
      </c>
      <c r="E1980" t="s">
        <v>92</v>
      </c>
      <c r="F1980">
        <v>221</v>
      </c>
      <c r="G1980" s="4">
        <v>46087.5937962963</v>
      </c>
    </row>
    <row r="1981" spans="1:7" x14ac:dyDescent="0.3">
      <c r="A1981">
        <v>3173</v>
      </c>
      <c r="B1981" t="s">
        <v>146</v>
      </c>
      <c r="C1981">
        <v>51056663</v>
      </c>
      <c r="D1981">
        <v>83.157951451705046</v>
      </c>
      <c r="E1981" t="s">
        <v>93</v>
      </c>
      <c r="F1981">
        <v>326</v>
      </c>
      <c r="G1981" s="4">
        <v>46087.5937962963</v>
      </c>
    </row>
    <row r="1982" spans="1:7" x14ac:dyDescent="0.3">
      <c r="A1982">
        <v>3174</v>
      </c>
      <c r="B1982" t="s">
        <v>146</v>
      </c>
      <c r="C1982">
        <v>51026063</v>
      </c>
      <c r="D1982">
        <v>90.16638714667404</v>
      </c>
      <c r="E1982" t="s">
        <v>92</v>
      </c>
      <c r="F1982">
        <v>126</v>
      </c>
      <c r="G1982" s="4">
        <v>46087.5937962963</v>
      </c>
    </row>
    <row r="1983" spans="1:7" x14ac:dyDescent="0.3">
      <c r="A1983">
        <v>3175</v>
      </c>
      <c r="B1983" t="s">
        <v>146</v>
      </c>
      <c r="C1983">
        <v>51043995</v>
      </c>
      <c r="D1983">
        <v>76.402267070434789</v>
      </c>
      <c r="E1983" t="s">
        <v>93</v>
      </c>
      <c r="F1983">
        <v>477</v>
      </c>
      <c r="G1983" s="4">
        <v>46087.5937962963</v>
      </c>
    </row>
    <row r="1984" spans="1:7" x14ac:dyDescent="0.3">
      <c r="A1984">
        <v>3176</v>
      </c>
      <c r="B1984" t="s">
        <v>146</v>
      </c>
      <c r="C1984">
        <v>51011074</v>
      </c>
      <c r="D1984">
        <v>92.126669849850586</v>
      </c>
      <c r="E1984" t="s">
        <v>92</v>
      </c>
      <c r="F1984">
        <v>97</v>
      </c>
      <c r="G1984" s="4">
        <v>46087.5937962963</v>
      </c>
    </row>
    <row r="1985" spans="1:7" x14ac:dyDescent="0.3">
      <c r="A1985">
        <v>3177</v>
      </c>
      <c r="B1985" t="s">
        <v>146</v>
      </c>
      <c r="C1985">
        <v>51003225</v>
      </c>
      <c r="D1985">
        <v>89.105357863884691</v>
      </c>
      <c r="E1985" t="s">
        <v>92</v>
      </c>
      <c r="F1985">
        <v>149</v>
      </c>
      <c r="G1985" s="4">
        <v>46087.5937962963</v>
      </c>
    </row>
    <row r="1986" spans="1:7" x14ac:dyDescent="0.3">
      <c r="A1986">
        <v>3178</v>
      </c>
      <c r="B1986" t="s">
        <v>146</v>
      </c>
      <c r="C1986">
        <v>51024966</v>
      </c>
      <c r="D1986">
        <v>78.465823694359869</v>
      </c>
      <c r="E1986" t="s">
        <v>93</v>
      </c>
      <c r="F1986">
        <v>447</v>
      </c>
      <c r="G1986" s="4">
        <v>46087.5937962963</v>
      </c>
    </row>
    <row r="1987" spans="1:7" x14ac:dyDescent="0.3">
      <c r="A1987">
        <v>3179</v>
      </c>
      <c r="B1987" t="s">
        <v>146</v>
      </c>
      <c r="C1987">
        <v>51038673</v>
      </c>
      <c r="D1987">
        <v>43.686240764766595</v>
      </c>
      <c r="E1987" t="s">
        <v>94</v>
      </c>
      <c r="F1987">
        <v>831</v>
      </c>
      <c r="G1987" s="4">
        <v>46087.5937962963</v>
      </c>
    </row>
    <row r="1988" spans="1:7" x14ac:dyDescent="0.3">
      <c r="A1988">
        <v>3180</v>
      </c>
      <c r="B1988" t="s">
        <v>146</v>
      </c>
      <c r="C1988">
        <v>51013271</v>
      </c>
      <c r="D1988">
        <v>84.341988312153404</v>
      </c>
      <c r="E1988" t="s">
        <v>93</v>
      </c>
      <c r="F1988">
        <v>279</v>
      </c>
      <c r="G1988" s="4">
        <v>46087.5937962963</v>
      </c>
    </row>
    <row r="1989" spans="1:7" x14ac:dyDescent="0.3">
      <c r="A1989">
        <v>3181</v>
      </c>
      <c r="B1989" t="s">
        <v>146</v>
      </c>
      <c r="C1989">
        <v>51038894</v>
      </c>
      <c r="D1989">
        <v>77.31802629960282</v>
      </c>
      <c r="E1989" t="s">
        <v>93</v>
      </c>
      <c r="F1989">
        <v>464</v>
      </c>
      <c r="G1989" s="4">
        <v>46087.5937962963</v>
      </c>
    </row>
    <row r="1990" spans="1:7" x14ac:dyDescent="0.3">
      <c r="A1990">
        <v>3182</v>
      </c>
      <c r="B1990" t="s">
        <v>146</v>
      </c>
      <c r="C1990">
        <v>51021843</v>
      </c>
      <c r="D1990">
        <v>83.322122724878326</v>
      </c>
      <c r="E1990" t="s">
        <v>93</v>
      </c>
      <c r="F1990">
        <v>318</v>
      </c>
      <c r="G1990" s="4">
        <v>46087.5937962963</v>
      </c>
    </row>
    <row r="1991" spans="1:7" x14ac:dyDescent="0.3">
      <c r="A1991">
        <v>3183</v>
      </c>
      <c r="B1991" t="s">
        <v>146</v>
      </c>
      <c r="C1991">
        <v>51024109</v>
      </c>
      <c r="D1991">
        <v>76.842186637422046</v>
      </c>
      <c r="E1991" t="s">
        <v>93</v>
      </c>
      <c r="F1991">
        <v>470</v>
      </c>
      <c r="G1991" s="4">
        <v>46087.5937962963</v>
      </c>
    </row>
    <row r="1992" spans="1:7" x14ac:dyDescent="0.3">
      <c r="A1992">
        <v>3184</v>
      </c>
      <c r="B1992" t="s">
        <v>146</v>
      </c>
      <c r="C1992">
        <v>51056159</v>
      </c>
      <c r="D1992">
        <v>96.492704705242033</v>
      </c>
      <c r="E1992" t="s">
        <v>275</v>
      </c>
      <c r="F1992">
        <v>48</v>
      </c>
      <c r="G1992" s="4">
        <v>46087.5937962963</v>
      </c>
    </row>
    <row r="1993" spans="1:7" x14ac:dyDescent="0.3">
      <c r="A1993">
        <v>3185</v>
      </c>
      <c r="B1993" t="s">
        <v>146</v>
      </c>
      <c r="C1993">
        <v>51036981</v>
      </c>
      <c r="D1993">
        <v>56.609127843652004</v>
      </c>
      <c r="E1993" t="s">
        <v>94</v>
      </c>
      <c r="F1993">
        <v>718</v>
      </c>
      <c r="G1993" s="4">
        <v>46087.5937962963</v>
      </c>
    </row>
    <row r="1994" spans="1:7" x14ac:dyDescent="0.3">
      <c r="A1994">
        <v>3186</v>
      </c>
      <c r="B1994" t="s">
        <v>146</v>
      </c>
      <c r="C1994">
        <v>51032519</v>
      </c>
      <c r="D1994">
        <v>60.945782180309081</v>
      </c>
      <c r="E1994" t="s">
        <v>94</v>
      </c>
      <c r="F1994">
        <v>633</v>
      </c>
      <c r="G1994" s="4">
        <v>46087.5937962963</v>
      </c>
    </row>
    <row r="1995" spans="1:7" x14ac:dyDescent="0.3">
      <c r="A1995">
        <v>3187</v>
      </c>
      <c r="B1995" t="s">
        <v>146</v>
      </c>
      <c r="C1995">
        <v>51055519</v>
      </c>
      <c r="D1995">
        <v>27.649386354091664</v>
      </c>
      <c r="E1995" t="s">
        <v>94</v>
      </c>
      <c r="F1995">
        <v>934</v>
      </c>
      <c r="G1995" s="4">
        <v>46087.5937962963</v>
      </c>
    </row>
    <row r="1996" spans="1:7" x14ac:dyDescent="0.3">
      <c r="A1996">
        <v>3188</v>
      </c>
      <c r="B1996" t="s">
        <v>146</v>
      </c>
      <c r="C1996">
        <v>51032969</v>
      </c>
      <c r="D1996">
        <v>55.268276327035139</v>
      </c>
      <c r="E1996" t="s">
        <v>94</v>
      </c>
      <c r="F1996">
        <v>731</v>
      </c>
      <c r="G1996" s="4">
        <v>46087.5937962963</v>
      </c>
    </row>
    <row r="1997" spans="1:7" x14ac:dyDescent="0.3">
      <c r="A1997">
        <v>3189</v>
      </c>
      <c r="B1997" t="s">
        <v>146</v>
      </c>
      <c r="C1997">
        <v>51017587</v>
      </c>
      <c r="D1997">
        <v>73.709681128062243</v>
      </c>
      <c r="E1997" t="s">
        <v>93</v>
      </c>
      <c r="F1997">
        <v>503</v>
      </c>
      <c r="G1997" s="4">
        <v>46087.5937962963</v>
      </c>
    </row>
    <row r="1998" spans="1:7" x14ac:dyDescent="0.3">
      <c r="A1998">
        <v>3190</v>
      </c>
      <c r="B1998" t="s">
        <v>146</v>
      </c>
      <c r="C1998">
        <v>51018214</v>
      </c>
      <c r="D1998">
        <v>28.27</v>
      </c>
      <c r="E1998" t="s">
        <v>94</v>
      </c>
      <c r="F1998">
        <v>927</v>
      </c>
      <c r="G1998" s="4">
        <v>46087.5937962963</v>
      </c>
    </row>
    <row r="1999" spans="1:7" x14ac:dyDescent="0.3">
      <c r="A1999">
        <v>3191</v>
      </c>
      <c r="B1999" t="s">
        <v>146</v>
      </c>
      <c r="C1999">
        <v>51016661</v>
      </c>
      <c r="D1999">
        <v>86.359292725320856</v>
      </c>
      <c r="E1999" t="s">
        <v>92</v>
      </c>
      <c r="F1999">
        <v>220</v>
      </c>
      <c r="G1999" s="4">
        <v>46087.5937962963</v>
      </c>
    </row>
    <row r="2000" spans="1:7" x14ac:dyDescent="0.3">
      <c r="A2000">
        <v>3192</v>
      </c>
      <c r="B2000" t="s">
        <v>146</v>
      </c>
      <c r="C2000">
        <v>51002296</v>
      </c>
      <c r="D2000">
        <v>72.798025411778269</v>
      </c>
      <c r="E2000" t="s">
        <v>93</v>
      </c>
      <c r="F2000">
        <v>514</v>
      </c>
      <c r="G2000" s="4">
        <v>46087.5937962963</v>
      </c>
    </row>
    <row r="2001" spans="1:7" x14ac:dyDescent="0.3">
      <c r="A2001">
        <v>3193</v>
      </c>
      <c r="B2001" t="s">
        <v>146</v>
      </c>
      <c r="C2001">
        <v>51016998</v>
      </c>
      <c r="D2001">
        <v>19.318827207018206</v>
      </c>
      <c r="E2001" t="s">
        <v>95</v>
      </c>
      <c r="F2001">
        <v>997</v>
      </c>
      <c r="G2001" s="4">
        <v>46087.5937962963</v>
      </c>
    </row>
    <row r="2002" spans="1:7" x14ac:dyDescent="0.3">
      <c r="A2002">
        <v>3194</v>
      </c>
      <c r="B2002" t="s">
        <v>146</v>
      </c>
      <c r="C2002">
        <v>51005325</v>
      </c>
      <c r="D2002">
        <v>48.738214618117979</v>
      </c>
      <c r="E2002" t="s">
        <v>94</v>
      </c>
      <c r="F2002">
        <v>783</v>
      </c>
      <c r="G2002" s="4">
        <v>46087.5937962963</v>
      </c>
    </row>
    <row r="2003" spans="1:7" x14ac:dyDescent="0.3">
      <c r="A2003">
        <v>3195</v>
      </c>
      <c r="B2003" t="s">
        <v>146</v>
      </c>
      <c r="C2003">
        <v>51011937</v>
      </c>
      <c r="D2003">
        <v>80.995595017106339</v>
      </c>
      <c r="E2003" t="s">
        <v>93</v>
      </c>
      <c r="F2003">
        <v>393</v>
      </c>
      <c r="G2003" s="4">
        <v>46087.5937962963</v>
      </c>
    </row>
    <row r="2004" spans="1:7" x14ac:dyDescent="0.3">
      <c r="A2004">
        <v>3196</v>
      </c>
      <c r="B2004" t="s">
        <v>146</v>
      </c>
      <c r="C2004">
        <v>51033191</v>
      </c>
      <c r="D2004">
        <v>87.848517681950483</v>
      </c>
      <c r="E2004" t="s">
        <v>92</v>
      </c>
      <c r="F2004">
        <v>182</v>
      </c>
      <c r="G2004" s="4">
        <v>46087.5937962963</v>
      </c>
    </row>
    <row r="2005" spans="1:7" x14ac:dyDescent="0.3">
      <c r="A2005">
        <v>3197</v>
      </c>
      <c r="B2005" t="s">
        <v>146</v>
      </c>
      <c r="C2005">
        <v>51032560</v>
      </c>
      <c r="D2005">
        <v>91.739009576693249</v>
      </c>
      <c r="E2005" t="s">
        <v>92</v>
      </c>
      <c r="F2005">
        <v>104</v>
      </c>
      <c r="G2005" s="4">
        <v>46087.5937962963</v>
      </c>
    </row>
    <row r="2006" spans="1:7" x14ac:dyDescent="0.3">
      <c r="A2006">
        <v>3198</v>
      </c>
      <c r="B2006" t="s">
        <v>146</v>
      </c>
      <c r="C2006">
        <v>51056302</v>
      </c>
      <c r="D2006">
        <v>61.234849090839639</v>
      </c>
      <c r="E2006" t="s">
        <v>94</v>
      </c>
      <c r="F2006">
        <v>626</v>
      </c>
      <c r="G2006" s="4">
        <v>46087.5937962963</v>
      </c>
    </row>
    <row r="2007" spans="1:7" x14ac:dyDescent="0.3">
      <c r="A2007">
        <v>3199</v>
      </c>
      <c r="B2007" t="s">
        <v>146</v>
      </c>
      <c r="C2007">
        <v>51032659</v>
      </c>
      <c r="D2007">
        <v>86.579710100309057</v>
      </c>
      <c r="E2007" t="s">
        <v>92</v>
      </c>
      <c r="F2007">
        <v>214</v>
      </c>
      <c r="G2007" s="4">
        <v>46087.5937962963</v>
      </c>
    </row>
    <row r="2008" spans="1:7" x14ac:dyDescent="0.3">
      <c r="A2008">
        <v>3200</v>
      </c>
      <c r="B2008" t="s">
        <v>146</v>
      </c>
      <c r="C2008">
        <v>51017129</v>
      </c>
      <c r="D2008">
        <v>83.495210638219078</v>
      </c>
      <c r="E2008" t="s">
        <v>93</v>
      </c>
      <c r="F2008">
        <v>306</v>
      </c>
      <c r="G2008" s="4">
        <v>46087.5937962963</v>
      </c>
    </row>
    <row r="2009" spans="1:7" x14ac:dyDescent="0.3">
      <c r="A2009">
        <v>3201</v>
      </c>
      <c r="B2009" t="s">
        <v>146</v>
      </c>
      <c r="C2009">
        <v>51036191</v>
      </c>
      <c r="D2009">
        <v>57.246744407401778</v>
      </c>
      <c r="E2009" t="s">
        <v>94</v>
      </c>
      <c r="F2009">
        <v>709</v>
      </c>
      <c r="G2009" s="4">
        <v>46087.5937962963</v>
      </c>
    </row>
    <row r="2010" spans="1:7" x14ac:dyDescent="0.3">
      <c r="A2010">
        <v>3202</v>
      </c>
      <c r="B2010" t="s">
        <v>146</v>
      </c>
      <c r="C2010">
        <v>51011562</v>
      </c>
      <c r="D2010">
        <v>61.26187966398156</v>
      </c>
      <c r="E2010" t="s">
        <v>94</v>
      </c>
      <c r="F2010">
        <v>625</v>
      </c>
      <c r="G2010" s="4">
        <v>46087.5937962963</v>
      </c>
    </row>
    <row r="2011" spans="1:7" x14ac:dyDescent="0.3">
      <c r="A2011">
        <v>3203</v>
      </c>
      <c r="B2011" t="s">
        <v>146</v>
      </c>
      <c r="C2011">
        <v>51018346</v>
      </c>
      <c r="D2011">
        <v>99.422057289696028</v>
      </c>
      <c r="E2011" t="s">
        <v>275</v>
      </c>
      <c r="F2011">
        <v>20</v>
      </c>
      <c r="G2011" s="4">
        <v>46087.5937962963</v>
      </c>
    </row>
    <row r="2012" spans="1:7" x14ac:dyDescent="0.3">
      <c r="A2012">
        <v>3204</v>
      </c>
      <c r="B2012" t="s">
        <v>146</v>
      </c>
      <c r="C2012">
        <v>51042514</v>
      </c>
      <c r="D2012">
        <v>38.351428838988149</v>
      </c>
      <c r="E2012" t="s">
        <v>94</v>
      </c>
      <c r="F2012">
        <v>850</v>
      </c>
      <c r="G2012" s="4">
        <v>46087.5937962963</v>
      </c>
    </row>
    <row r="2013" spans="1:7" x14ac:dyDescent="0.3">
      <c r="A2013">
        <v>3205</v>
      </c>
      <c r="B2013" t="s">
        <v>146</v>
      </c>
      <c r="C2013">
        <v>51056906</v>
      </c>
      <c r="D2013">
        <v>73.210975814219822</v>
      </c>
      <c r="E2013" t="s">
        <v>93</v>
      </c>
      <c r="F2013">
        <v>509</v>
      </c>
      <c r="G2013" s="4">
        <v>46087.5937962963</v>
      </c>
    </row>
    <row r="2014" spans="1:7" x14ac:dyDescent="0.3">
      <c r="A2014">
        <v>3206</v>
      </c>
      <c r="B2014" t="s">
        <v>146</v>
      </c>
      <c r="C2014">
        <v>51043375</v>
      </c>
      <c r="D2014">
        <v>91.65613060421245</v>
      </c>
      <c r="E2014" t="s">
        <v>92</v>
      </c>
      <c r="F2014">
        <v>107</v>
      </c>
      <c r="G2014" s="4">
        <v>46087.5937962963</v>
      </c>
    </row>
    <row r="2015" spans="1:7" x14ac:dyDescent="0.3">
      <c r="A2015">
        <v>3207</v>
      </c>
      <c r="B2015" t="s">
        <v>146</v>
      </c>
      <c r="C2015">
        <v>51055691</v>
      </c>
      <c r="D2015">
        <v>47.453793912519359</v>
      </c>
      <c r="E2015" t="s">
        <v>94</v>
      </c>
      <c r="F2015">
        <v>802</v>
      </c>
      <c r="G2015" s="4">
        <v>46087.5937962963</v>
      </c>
    </row>
    <row r="2016" spans="1:7" x14ac:dyDescent="0.3">
      <c r="A2016">
        <v>3208</v>
      </c>
      <c r="B2016" t="s">
        <v>146</v>
      </c>
      <c r="C2016">
        <v>51018958</v>
      </c>
      <c r="D2016">
        <v>99.15792834321681</v>
      </c>
      <c r="E2016" t="s">
        <v>275</v>
      </c>
      <c r="F2016">
        <v>22</v>
      </c>
      <c r="G2016" s="4">
        <v>46087.5937962963</v>
      </c>
    </row>
    <row r="2017" spans="1:7" x14ac:dyDescent="0.3">
      <c r="A2017">
        <v>3209</v>
      </c>
      <c r="B2017" t="s">
        <v>146</v>
      </c>
      <c r="C2017">
        <v>51054903</v>
      </c>
      <c r="D2017">
        <v>83.497842634706913</v>
      </c>
      <c r="E2017" t="s">
        <v>93</v>
      </c>
      <c r="F2017">
        <v>305</v>
      </c>
      <c r="G2017" s="4">
        <v>46087.5937962963</v>
      </c>
    </row>
    <row r="2018" spans="1:7" x14ac:dyDescent="0.3">
      <c r="A2018">
        <v>3210</v>
      </c>
      <c r="B2018" t="s">
        <v>146</v>
      </c>
      <c r="C2018">
        <v>51022084</v>
      </c>
      <c r="D2018">
        <v>54.102169777479354</v>
      </c>
      <c r="E2018" t="s">
        <v>94</v>
      </c>
      <c r="F2018">
        <v>743</v>
      </c>
      <c r="G2018" s="4">
        <v>46087.5937962963</v>
      </c>
    </row>
    <row r="2019" spans="1:7" x14ac:dyDescent="0.3">
      <c r="A2019">
        <v>3211</v>
      </c>
      <c r="B2019" t="s">
        <v>146</v>
      </c>
      <c r="C2019">
        <v>51019202</v>
      </c>
      <c r="D2019">
        <v>83.207285467773801</v>
      </c>
      <c r="E2019" t="s">
        <v>93</v>
      </c>
      <c r="F2019">
        <v>322</v>
      </c>
      <c r="G2019" s="4">
        <v>46087.5937962963</v>
      </c>
    </row>
    <row r="2020" spans="1:7" x14ac:dyDescent="0.3">
      <c r="A2020">
        <v>3212</v>
      </c>
      <c r="B2020" t="s">
        <v>146</v>
      </c>
      <c r="C2020">
        <v>51054920</v>
      </c>
      <c r="D2020">
        <v>23.021264835159901</v>
      </c>
      <c r="E2020" t="s">
        <v>94</v>
      </c>
      <c r="F2020">
        <v>953</v>
      </c>
      <c r="G2020" s="4">
        <v>46087.5937962963</v>
      </c>
    </row>
    <row r="2021" spans="1:7" x14ac:dyDescent="0.3">
      <c r="A2021">
        <v>3213</v>
      </c>
      <c r="B2021" t="s">
        <v>146</v>
      </c>
      <c r="C2021">
        <v>51010663</v>
      </c>
      <c r="D2021">
        <v>86.184444374106249</v>
      </c>
      <c r="E2021" t="s">
        <v>92</v>
      </c>
      <c r="F2021">
        <v>234</v>
      </c>
      <c r="G2021" s="4">
        <v>46087.5937962963</v>
      </c>
    </row>
    <row r="2022" spans="1:7" x14ac:dyDescent="0.3">
      <c r="A2022">
        <v>3214</v>
      </c>
      <c r="B2022" t="s">
        <v>146</v>
      </c>
      <c r="C2022">
        <v>51016866</v>
      </c>
      <c r="D2022">
        <v>50.335982527365303</v>
      </c>
      <c r="E2022" t="s">
        <v>94</v>
      </c>
      <c r="F2022">
        <v>769</v>
      </c>
      <c r="G2022" s="4">
        <v>46087.5937962963</v>
      </c>
    </row>
    <row r="2023" spans="1:7" x14ac:dyDescent="0.3">
      <c r="A2023">
        <v>3215</v>
      </c>
      <c r="B2023" t="s">
        <v>146</v>
      </c>
      <c r="C2023">
        <v>51030184</v>
      </c>
      <c r="D2023">
        <v>84.035911612610178</v>
      </c>
      <c r="E2023" t="s">
        <v>93</v>
      </c>
      <c r="F2023">
        <v>289</v>
      </c>
      <c r="G2023" s="4">
        <v>46087.5937962963</v>
      </c>
    </row>
    <row r="2024" spans="1:7" x14ac:dyDescent="0.3">
      <c r="A2024">
        <v>3216</v>
      </c>
      <c r="B2024" t="s">
        <v>146</v>
      </c>
      <c r="C2024">
        <v>51015428</v>
      </c>
      <c r="D2024">
        <v>60.301506334290352</v>
      </c>
      <c r="E2024" t="s">
        <v>94</v>
      </c>
      <c r="F2024">
        <v>646</v>
      </c>
      <c r="G2024" s="4">
        <v>46087.5937962963</v>
      </c>
    </row>
    <row r="2025" spans="1:7" x14ac:dyDescent="0.3">
      <c r="A2025">
        <v>3217</v>
      </c>
      <c r="B2025" t="s">
        <v>146</v>
      </c>
      <c r="C2025">
        <v>51036557</v>
      </c>
      <c r="D2025">
        <v>33.10064368298292</v>
      </c>
      <c r="E2025" t="s">
        <v>94</v>
      </c>
      <c r="F2025">
        <v>876</v>
      </c>
      <c r="G2025" s="4">
        <v>46087.5937962963</v>
      </c>
    </row>
    <row r="2026" spans="1:7" x14ac:dyDescent="0.3">
      <c r="A2026">
        <v>3218</v>
      </c>
      <c r="B2026" t="s">
        <v>146</v>
      </c>
      <c r="C2026">
        <v>51056175</v>
      </c>
      <c r="D2026">
        <v>31.047320831985584</v>
      </c>
      <c r="E2026" t="s">
        <v>94</v>
      </c>
      <c r="F2026">
        <v>898</v>
      </c>
      <c r="G2026" s="4">
        <v>46087.5937962963</v>
      </c>
    </row>
    <row r="2027" spans="1:7" x14ac:dyDescent="0.3">
      <c r="A2027">
        <v>3219</v>
      </c>
      <c r="B2027" t="s">
        <v>146</v>
      </c>
      <c r="C2027">
        <v>51039190</v>
      </c>
      <c r="D2027">
        <v>26.348359857596797</v>
      </c>
      <c r="E2027" t="s">
        <v>94</v>
      </c>
      <c r="F2027">
        <v>939</v>
      </c>
      <c r="G2027" s="4">
        <v>46087.5937962963</v>
      </c>
    </row>
    <row r="2028" spans="1:7" x14ac:dyDescent="0.3">
      <c r="A2028">
        <v>3220</v>
      </c>
      <c r="B2028" t="s">
        <v>146</v>
      </c>
      <c r="C2028">
        <v>51056604</v>
      </c>
      <c r="D2028">
        <v>79.588225164565671</v>
      </c>
      <c r="E2028" t="s">
        <v>93</v>
      </c>
      <c r="F2028">
        <v>428</v>
      </c>
      <c r="G2028" s="4">
        <v>46087.5937962963</v>
      </c>
    </row>
    <row r="2029" spans="1:7" x14ac:dyDescent="0.3">
      <c r="A2029">
        <v>3221</v>
      </c>
      <c r="B2029" t="s">
        <v>146</v>
      </c>
      <c r="C2029">
        <v>51021789</v>
      </c>
      <c r="D2029">
        <v>70.952667223293332</v>
      </c>
      <c r="E2029" t="s">
        <v>93</v>
      </c>
      <c r="F2029">
        <v>532</v>
      </c>
      <c r="G2029" s="4">
        <v>46087.5937962963</v>
      </c>
    </row>
    <row r="2030" spans="1:7" x14ac:dyDescent="0.3">
      <c r="A2030">
        <v>3222</v>
      </c>
      <c r="B2030" t="s">
        <v>146</v>
      </c>
      <c r="C2030">
        <v>51056795</v>
      </c>
      <c r="D2030">
        <v>58.561210050085762</v>
      </c>
      <c r="E2030" t="s">
        <v>94</v>
      </c>
      <c r="F2030">
        <v>672</v>
      </c>
      <c r="G2030" s="4">
        <v>46087.5937962963</v>
      </c>
    </row>
    <row r="2031" spans="1:7" x14ac:dyDescent="0.3">
      <c r="A2031">
        <v>3223</v>
      </c>
      <c r="B2031" t="s">
        <v>146</v>
      </c>
      <c r="C2031">
        <v>51056931</v>
      </c>
      <c r="D2031">
        <v>45.562296201178015</v>
      </c>
      <c r="E2031" t="s">
        <v>94</v>
      </c>
      <c r="F2031">
        <v>820</v>
      </c>
      <c r="G2031" s="4">
        <v>46087.5937962963</v>
      </c>
    </row>
    <row r="2032" spans="1:7" x14ac:dyDescent="0.3">
      <c r="A2032">
        <v>3224</v>
      </c>
      <c r="B2032" t="s">
        <v>146</v>
      </c>
      <c r="C2032">
        <v>51014120</v>
      </c>
      <c r="D2032">
        <v>78.597282269053096</v>
      </c>
      <c r="E2032" t="s">
        <v>93</v>
      </c>
      <c r="F2032">
        <v>442</v>
      </c>
      <c r="G2032" s="4">
        <v>46087.5937962963</v>
      </c>
    </row>
    <row r="2033" spans="1:7" x14ac:dyDescent="0.3">
      <c r="A2033">
        <v>3225</v>
      </c>
      <c r="B2033" t="s">
        <v>146</v>
      </c>
      <c r="C2033">
        <v>51036182</v>
      </c>
      <c r="D2033">
        <v>68.685104446461096</v>
      </c>
      <c r="E2033" t="s">
        <v>93</v>
      </c>
      <c r="F2033">
        <v>552</v>
      </c>
      <c r="G2033" s="4">
        <v>46087.5937962963</v>
      </c>
    </row>
    <row r="2034" spans="1:7" x14ac:dyDescent="0.3">
      <c r="A2034">
        <v>3226</v>
      </c>
      <c r="B2034" t="s">
        <v>146</v>
      </c>
      <c r="C2034">
        <v>51011465</v>
      </c>
      <c r="D2034">
        <v>64.984742128334034</v>
      </c>
      <c r="E2034" t="s">
        <v>93</v>
      </c>
      <c r="F2034">
        <v>573</v>
      </c>
      <c r="G2034" s="4">
        <v>46087.5937962963</v>
      </c>
    </row>
    <row r="2035" spans="1:7" x14ac:dyDescent="0.3">
      <c r="A2035">
        <v>3227</v>
      </c>
      <c r="B2035" t="s">
        <v>146</v>
      </c>
      <c r="C2035">
        <v>51006151</v>
      </c>
      <c r="D2035">
        <v>62.313321723629734</v>
      </c>
      <c r="E2035" t="s">
        <v>94</v>
      </c>
      <c r="F2035">
        <v>605</v>
      </c>
      <c r="G2035" s="4">
        <v>46087.5937962963</v>
      </c>
    </row>
    <row r="2036" spans="1:7" x14ac:dyDescent="0.3">
      <c r="A2036">
        <v>3228</v>
      </c>
      <c r="B2036" t="s">
        <v>146</v>
      </c>
      <c r="C2036">
        <v>51033418</v>
      </c>
      <c r="D2036">
        <v>17.080741510415525</v>
      </c>
      <c r="E2036" t="s">
        <v>95</v>
      </c>
      <c r="F2036">
        <v>1046</v>
      </c>
      <c r="G2036" s="4">
        <v>46087.5937962963</v>
      </c>
    </row>
    <row r="2037" spans="1:7" x14ac:dyDescent="0.3">
      <c r="A2037">
        <v>3229</v>
      </c>
      <c r="B2037" t="s">
        <v>146</v>
      </c>
      <c r="C2037">
        <v>51007841</v>
      </c>
      <c r="D2037">
        <v>93.372541349880564</v>
      </c>
      <c r="E2037" t="s">
        <v>92</v>
      </c>
      <c r="F2037">
        <v>81</v>
      </c>
      <c r="G2037" s="4">
        <v>46087.5937962963</v>
      </c>
    </row>
    <row r="2038" spans="1:7" x14ac:dyDescent="0.3">
      <c r="A2038">
        <v>3230</v>
      </c>
      <c r="B2038" t="s">
        <v>146</v>
      </c>
      <c r="C2038">
        <v>51016602</v>
      </c>
      <c r="D2038">
        <v>78.926388702490527</v>
      </c>
      <c r="E2038" t="s">
        <v>93</v>
      </c>
      <c r="F2038">
        <v>437</v>
      </c>
      <c r="G2038" s="4">
        <v>46087.5937962963</v>
      </c>
    </row>
    <row r="2039" spans="1:7" x14ac:dyDescent="0.3">
      <c r="A2039">
        <v>3231</v>
      </c>
      <c r="B2039" t="s">
        <v>146</v>
      </c>
      <c r="C2039">
        <v>51036077</v>
      </c>
      <c r="D2039">
        <v>17.091435995830697</v>
      </c>
      <c r="E2039" t="s">
        <v>95</v>
      </c>
      <c r="F2039">
        <v>1045</v>
      </c>
      <c r="G2039" s="4">
        <v>46087.5937962963</v>
      </c>
    </row>
    <row r="2040" spans="1:7" x14ac:dyDescent="0.3">
      <c r="A2040">
        <v>3232</v>
      </c>
      <c r="B2040" t="s">
        <v>146</v>
      </c>
      <c r="C2040">
        <v>51013662</v>
      </c>
      <c r="D2040">
        <v>89.536770303162299</v>
      </c>
      <c r="E2040" t="s">
        <v>92</v>
      </c>
      <c r="F2040">
        <v>141</v>
      </c>
      <c r="G2040" s="4">
        <v>46087.5937962963</v>
      </c>
    </row>
    <row r="2041" spans="1:7" x14ac:dyDescent="0.3">
      <c r="A2041">
        <v>3233</v>
      </c>
      <c r="B2041" t="s">
        <v>146</v>
      </c>
      <c r="C2041">
        <v>51010248</v>
      </c>
      <c r="D2041">
        <v>71.451463436428696</v>
      </c>
      <c r="E2041" t="s">
        <v>93</v>
      </c>
      <c r="F2041">
        <v>526</v>
      </c>
      <c r="G2041" s="4">
        <v>46087.5937962963</v>
      </c>
    </row>
    <row r="2042" spans="1:7" x14ac:dyDescent="0.3">
      <c r="A2042">
        <v>3234</v>
      </c>
      <c r="B2042" t="s">
        <v>146</v>
      </c>
      <c r="C2042">
        <v>51055764</v>
      </c>
      <c r="D2042">
        <v>75.052319226346228</v>
      </c>
      <c r="E2042" t="s">
        <v>93</v>
      </c>
      <c r="F2042">
        <v>492</v>
      </c>
      <c r="G2042" s="4">
        <v>46087.5937962963</v>
      </c>
    </row>
    <row r="2043" spans="1:7" x14ac:dyDescent="0.3">
      <c r="A2043">
        <v>3235</v>
      </c>
      <c r="B2043" t="s">
        <v>146</v>
      </c>
      <c r="C2043">
        <v>51012496</v>
      </c>
      <c r="D2043">
        <v>99.024985500485727</v>
      </c>
      <c r="E2043" t="s">
        <v>275</v>
      </c>
      <c r="F2043">
        <v>23</v>
      </c>
      <c r="G2043" s="4">
        <v>46087.5937962963</v>
      </c>
    </row>
    <row r="2044" spans="1:7" x14ac:dyDescent="0.3">
      <c r="A2044">
        <v>3236</v>
      </c>
      <c r="B2044" t="s">
        <v>146</v>
      </c>
      <c r="C2044">
        <v>51016874</v>
      </c>
      <c r="D2044">
        <v>31.018029054323911</v>
      </c>
      <c r="E2044" t="s">
        <v>94</v>
      </c>
      <c r="F2044">
        <v>900</v>
      </c>
      <c r="G2044" s="4">
        <v>46087.5937962963</v>
      </c>
    </row>
    <row r="2045" spans="1:7" x14ac:dyDescent="0.3">
      <c r="A2045">
        <v>3237</v>
      </c>
      <c r="B2045" t="s">
        <v>146</v>
      </c>
      <c r="C2045">
        <v>51011481</v>
      </c>
      <c r="D2045">
        <v>75.983524014918245</v>
      </c>
      <c r="E2045" t="s">
        <v>93</v>
      </c>
      <c r="F2045">
        <v>483</v>
      </c>
      <c r="G2045" s="4">
        <v>46087.5937962963</v>
      </c>
    </row>
    <row r="2046" spans="1:7" x14ac:dyDescent="0.3">
      <c r="A2046">
        <v>3238</v>
      </c>
      <c r="B2046" t="s">
        <v>146</v>
      </c>
      <c r="C2046">
        <v>51042654</v>
      </c>
      <c r="D2046">
        <v>50.842442066469793</v>
      </c>
      <c r="E2046" t="s">
        <v>94</v>
      </c>
      <c r="F2046">
        <v>764</v>
      </c>
      <c r="G2046" s="4">
        <v>46087.5937962963</v>
      </c>
    </row>
    <row r="2047" spans="1:7" x14ac:dyDescent="0.3">
      <c r="A2047">
        <v>3239</v>
      </c>
      <c r="B2047" t="s">
        <v>146</v>
      </c>
      <c r="C2047">
        <v>51057074</v>
      </c>
      <c r="D2047">
        <v>58.272976574954384</v>
      </c>
      <c r="E2047" t="s">
        <v>94</v>
      </c>
      <c r="F2047">
        <v>678</v>
      </c>
      <c r="G2047" s="4">
        <v>46087.5937962963</v>
      </c>
    </row>
    <row r="2048" spans="1:7" x14ac:dyDescent="0.3">
      <c r="A2048">
        <v>3240</v>
      </c>
      <c r="B2048" t="s">
        <v>146</v>
      </c>
      <c r="C2048">
        <v>51042913</v>
      </c>
      <c r="D2048">
        <v>60.465151259957274</v>
      </c>
      <c r="E2048" t="s">
        <v>94</v>
      </c>
      <c r="F2048">
        <v>640</v>
      </c>
      <c r="G2048" s="4">
        <v>46087.5937962963</v>
      </c>
    </row>
    <row r="2049" spans="1:7" x14ac:dyDescent="0.3">
      <c r="A2049">
        <v>3241</v>
      </c>
      <c r="B2049" t="s">
        <v>146</v>
      </c>
      <c r="C2049">
        <v>51025857</v>
      </c>
      <c r="D2049">
        <v>81.83547886102528</v>
      </c>
      <c r="E2049" t="s">
        <v>93</v>
      </c>
      <c r="F2049">
        <v>373</v>
      </c>
      <c r="G2049" s="4">
        <v>46087.5937962963</v>
      </c>
    </row>
    <row r="2050" spans="1:7" x14ac:dyDescent="0.3">
      <c r="A2050">
        <v>3242</v>
      </c>
      <c r="B2050" t="s">
        <v>146</v>
      </c>
      <c r="C2050">
        <v>51026071</v>
      </c>
      <c r="D2050">
        <v>25.788676508618423</v>
      </c>
      <c r="E2050" t="s">
        <v>94</v>
      </c>
      <c r="F2050">
        <v>941</v>
      </c>
      <c r="G2050" s="4">
        <v>46087.5937962963</v>
      </c>
    </row>
    <row r="2051" spans="1:7" x14ac:dyDescent="0.3">
      <c r="A2051">
        <v>3243</v>
      </c>
      <c r="B2051" t="s">
        <v>146</v>
      </c>
      <c r="C2051">
        <v>51017595</v>
      </c>
      <c r="D2051">
        <v>48.550477429302298</v>
      </c>
      <c r="E2051" t="s">
        <v>94</v>
      </c>
      <c r="F2051">
        <v>786</v>
      </c>
      <c r="G2051" s="4">
        <v>46087.5937962963</v>
      </c>
    </row>
    <row r="2052" spans="1:7" x14ac:dyDescent="0.3">
      <c r="A2052">
        <v>3244</v>
      </c>
      <c r="B2052" t="s">
        <v>146</v>
      </c>
      <c r="C2052">
        <v>51014707</v>
      </c>
      <c r="D2052">
        <v>87.072617421477943</v>
      </c>
      <c r="E2052" t="s">
        <v>92</v>
      </c>
      <c r="F2052">
        <v>199</v>
      </c>
      <c r="G2052" s="4">
        <v>46087.5937962963</v>
      </c>
    </row>
    <row r="2053" spans="1:7" x14ac:dyDescent="0.3">
      <c r="A2053">
        <v>3245</v>
      </c>
      <c r="B2053" t="s">
        <v>146</v>
      </c>
      <c r="C2053">
        <v>51032390</v>
      </c>
      <c r="D2053">
        <v>26.578160574553237</v>
      </c>
      <c r="E2053" t="s">
        <v>94</v>
      </c>
      <c r="F2053">
        <v>937</v>
      </c>
      <c r="G2053" s="4">
        <v>46087.5937962963</v>
      </c>
    </row>
    <row r="2054" spans="1:7" x14ac:dyDescent="0.3">
      <c r="A2054">
        <v>3246</v>
      </c>
      <c r="B2054" t="s">
        <v>146</v>
      </c>
      <c r="C2054">
        <v>51030249</v>
      </c>
      <c r="D2054">
        <v>47.079360181830687</v>
      </c>
      <c r="E2054" t="s">
        <v>94</v>
      </c>
      <c r="F2054">
        <v>806</v>
      </c>
      <c r="G2054" s="4">
        <v>46087.5937962963</v>
      </c>
    </row>
    <row r="2055" spans="1:7" x14ac:dyDescent="0.3">
      <c r="A2055">
        <v>3247</v>
      </c>
      <c r="B2055" t="s">
        <v>146</v>
      </c>
      <c r="C2055">
        <v>51029518</v>
      </c>
      <c r="D2055">
        <v>58.786705226923033</v>
      </c>
      <c r="E2055" t="s">
        <v>94</v>
      </c>
      <c r="F2055">
        <v>666</v>
      </c>
      <c r="G2055" s="4">
        <v>46087.5937962963</v>
      </c>
    </row>
    <row r="2056" spans="1:7" x14ac:dyDescent="0.3">
      <c r="A2056">
        <v>3248</v>
      </c>
      <c r="B2056" t="s">
        <v>146</v>
      </c>
      <c r="C2056">
        <v>51044011</v>
      </c>
      <c r="D2056">
        <v>52.239154497584991</v>
      </c>
      <c r="E2056" t="s">
        <v>94</v>
      </c>
      <c r="F2056">
        <v>756</v>
      </c>
      <c r="G2056" s="4">
        <v>46087.5937962963</v>
      </c>
    </row>
    <row r="2057" spans="1:7" x14ac:dyDescent="0.3">
      <c r="A2057">
        <v>3249</v>
      </c>
      <c r="B2057" t="s">
        <v>146</v>
      </c>
      <c r="C2057">
        <v>51013956</v>
      </c>
      <c r="D2057">
        <v>25.601329543570145</v>
      </c>
      <c r="E2057" t="s">
        <v>94</v>
      </c>
      <c r="F2057">
        <v>945</v>
      </c>
      <c r="G2057" s="4">
        <v>46087.5937962963</v>
      </c>
    </row>
    <row r="2058" spans="1:7" x14ac:dyDescent="0.3">
      <c r="A2058">
        <v>3250</v>
      </c>
      <c r="B2058" t="s">
        <v>146</v>
      </c>
      <c r="C2058">
        <v>51023846</v>
      </c>
      <c r="D2058">
        <v>57.32727612184415</v>
      </c>
      <c r="E2058" t="s">
        <v>94</v>
      </c>
      <c r="F2058">
        <v>705</v>
      </c>
      <c r="G2058" s="4">
        <v>46087.5937962963</v>
      </c>
    </row>
    <row r="2059" spans="1:7" x14ac:dyDescent="0.3">
      <c r="A2059">
        <v>3251</v>
      </c>
      <c r="B2059" t="s">
        <v>146</v>
      </c>
      <c r="C2059">
        <v>51019563</v>
      </c>
      <c r="D2059">
        <v>71.864304722954202</v>
      </c>
      <c r="E2059" t="s">
        <v>93</v>
      </c>
      <c r="F2059">
        <v>523</v>
      </c>
      <c r="G2059" s="4">
        <v>46087.5937962963</v>
      </c>
    </row>
    <row r="2060" spans="1:7" x14ac:dyDescent="0.3">
      <c r="A2060">
        <v>3252</v>
      </c>
      <c r="B2060" t="s">
        <v>146</v>
      </c>
      <c r="C2060">
        <v>51030711</v>
      </c>
      <c r="D2060">
        <v>83.188039271165451</v>
      </c>
      <c r="E2060" t="s">
        <v>93</v>
      </c>
      <c r="F2060">
        <v>324</v>
      </c>
      <c r="G2060" s="4">
        <v>46087.5937962963</v>
      </c>
    </row>
    <row r="2061" spans="1:7" x14ac:dyDescent="0.3">
      <c r="A2061">
        <v>3253</v>
      </c>
      <c r="B2061" t="s">
        <v>146</v>
      </c>
      <c r="C2061">
        <v>51056574</v>
      </c>
      <c r="D2061">
        <v>81.80420095778085</v>
      </c>
      <c r="E2061" t="s">
        <v>93</v>
      </c>
      <c r="F2061">
        <v>375</v>
      </c>
      <c r="G2061" s="4">
        <v>46087.5937962963</v>
      </c>
    </row>
    <row r="2062" spans="1:7" x14ac:dyDescent="0.3">
      <c r="A2062">
        <v>3254</v>
      </c>
      <c r="B2062" t="s">
        <v>146</v>
      </c>
      <c r="C2062">
        <v>51056957</v>
      </c>
      <c r="D2062">
        <v>58.839024999386005</v>
      </c>
      <c r="E2062" t="s">
        <v>94</v>
      </c>
      <c r="F2062">
        <v>665</v>
      </c>
      <c r="G2062" s="4">
        <v>46087.5937962963</v>
      </c>
    </row>
    <row r="2063" spans="1:7" x14ac:dyDescent="0.3">
      <c r="A2063">
        <v>3255</v>
      </c>
      <c r="B2063" t="s">
        <v>146</v>
      </c>
      <c r="C2063">
        <v>51055331</v>
      </c>
      <c r="D2063">
        <v>43.242570861051675</v>
      </c>
      <c r="E2063" t="s">
        <v>94</v>
      </c>
      <c r="F2063">
        <v>835</v>
      </c>
      <c r="G2063" s="4">
        <v>46087.5937962963</v>
      </c>
    </row>
    <row r="2064" spans="1:7" x14ac:dyDescent="0.3">
      <c r="A2064">
        <v>3256</v>
      </c>
      <c r="B2064" t="s">
        <v>146</v>
      </c>
      <c r="C2064">
        <v>51018397</v>
      </c>
      <c r="D2064">
        <v>14.081652606075835</v>
      </c>
      <c r="E2064" t="s">
        <v>95</v>
      </c>
      <c r="F2064">
        <v>1085</v>
      </c>
      <c r="G2064" s="4">
        <v>46087.5937962963</v>
      </c>
    </row>
    <row r="2065" spans="1:7" x14ac:dyDescent="0.3">
      <c r="A2065">
        <v>3257</v>
      </c>
      <c r="B2065" t="s">
        <v>146</v>
      </c>
      <c r="C2065">
        <v>51025148</v>
      </c>
      <c r="D2065">
        <v>28.622608938193448</v>
      </c>
      <c r="E2065" t="s">
        <v>94</v>
      </c>
      <c r="F2065">
        <v>921</v>
      </c>
      <c r="G2065" s="4">
        <v>46087.5937962963</v>
      </c>
    </row>
    <row r="2066" spans="1:7" x14ac:dyDescent="0.3">
      <c r="A2066">
        <v>3258</v>
      </c>
      <c r="B2066" t="s">
        <v>146</v>
      </c>
      <c r="C2066">
        <v>51005392</v>
      </c>
      <c r="D2066">
        <v>80.70669176709761</v>
      </c>
      <c r="E2066" t="s">
        <v>93</v>
      </c>
      <c r="F2066">
        <v>401</v>
      </c>
      <c r="G2066" s="4">
        <v>46087.5937962963</v>
      </c>
    </row>
    <row r="2067" spans="1:7" x14ac:dyDescent="0.3">
      <c r="A2067">
        <v>3259</v>
      </c>
      <c r="B2067" t="s">
        <v>146</v>
      </c>
      <c r="C2067">
        <v>51023153</v>
      </c>
      <c r="D2067">
        <v>62.770819134641023</v>
      </c>
      <c r="E2067" t="s">
        <v>93</v>
      </c>
      <c r="F2067">
        <v>593</v>
      </c>
      <c r="G2067" s="4">
        <v>46087.5937962963</v>
      </c>
    </row>
    <row r="2068" spans="1:7" x14ac:dyDescent="0.3">
      <c r="A2068">
        <v>3260</v>
      </c>
      <c r="B2068" t="s">
        <v>146</v>
      </c>
      <c r="C2068">
        <v>51024095</v>
      </c>
      <c r="D2068">
        <v>95.181524750813466</v>
      </c>
      <c r="E2068" t="s">
        <v>92</v>
      </c>
      <c r="F2068">
        <v>63</v>
      </c>
      <c r="G2068" s="4">
        <v>46087.5937962963</v>
      </c>
    </row>
    <row r="2069" spans="1:7" x14ac:dyDescent="0.3">
      <c r="A2069">
        <v>3261</v>
      </c>
      <c r="B2069" t="s">
        <v>146</v>
      </c>
      <c r="C2069">
        <v>51002024</v>
      </c>
      <c r="D2069">
        <v>47.108485352317537</v>
      </c>
      <c r="E2069" t="s">
        <v>94</v>
      </c>
      <c r="F2069">
        <v>805</v>
      </c>
      <c r="G2069" s="4">
        <v>46087.5937962963</v>
      </c>
    </row>
    <row r="2070" spans="1:7" x14ac:dyDescent="0.3">
      <c r="A2070">
        <v>3262</v>
      </c>
      <c r="B2070" t="s">
        <v>146</v>
      </c>
      <c r="C2070">
        <v>51056311</v>
      </c>
      <c r="D2070">
        <v>82.616232040481407</v>
      </c>
      <c r="E2070" t="s">
        <v>93</v>
      </c>
      <c r="F2070">
        <v>345</v>
      </c>
      <c r="G2070" s="4">
        <v>46087.5937962963</v>
      </c>
    </row>
    <row r="2071" spans="1:7" x14ac:dyDescent="0.3">
      <c r="A2071">
        <v>3263</v>
      </c>
      <c r="B2071" t="s">
        <v>146</v>
      </c>
      <c r="C2071">
        <v>51016467</v>
      </c>
      <c r="D2071">
        <v>74.015170402007499</v>
      </c>
      <c r="E2071" t="s">
        <v>93</v>
      </c>
      <c r="F2071">
        <v>501</v>
      </c>
      <c r="G2071" s="4">
        <v>46087.5937962963</v>
      </c>
    </row>
    <row r="2072" spans="1:7" x14ac:dyDescent="0.3">
      <c r="A2072">
        <v>3264</v>
      </c>
      <c r="B2072" t="s">
        <v>146</v>
      </c>
      <c r="C2072">
        <v>51021614</v>
      </c>
      <c r="D2072">
        <v>34.32</v>
      </c>
      <c r="E2072" t="s">
        <v>94</v>
      </c>
      <c r="F2072">
        <v>868</v>
      </c>
      <c r="G2072" s="4">
        <v>46087.5937962963</v>
      </c>
    </row>
    <row r="2073" spans="1:7" x14ac:dyDescent="0.3">
      <c r="A2073">
        <v>3265</v>
      </c>
      <c r="B2073" t="s">
        <v>146</v>
      </c>
      <c r="C2073">
        <v>51042506</v>
      </c>
      <c r="D2073">
        <v>82.041349477359702</v>
      </c>
      <c r="E2073" t="s">
        <v>93</v>
      </c>
      <c r="F2073">
        <v>367</v>
      </c>
      <c r="G2073" s="4">
        <v>46087.5937962963</v>
      </c>
    </row>
    <row r="2074" spans="1:7" x14ac:dyDescent="0.3">
      <c r="A2074">
        <v>3266</v>
      </c>
      <c r="B2074" t="s">
        <v>146</v>
      </c>
      <c r="C2074">
        <v>51023412</v>
      </c>
      <c r="D2074">
        <v>84.779724684349347</v>
      </c>
      <c r="E2074" t="s">
        <v>93</v>
      </c>
      <c r="F2074">
        <v>269</v>
      </c>
      <c r="G2074" s="4">
        <v>46087.5937962963</v>
      </c>
    </row>
    <row r="2075" spans="1:7" x14ac:dyDescent="0.3">
      <c r="A2075">
        <v>3267</v>
      </c>
      <c r="B2075" t="s">
        <v>146</v>
      </c>
      <c r="C2075">
        <v>51033116</v>
      </c>
      <c r="D2075">
        <v>72.010175066357931</v>
      </c>
      <c r="E2075" t="s">
        <v>93</v>
      </c>
      <c r="F2075">
        <v>521</v>
      </c>
      <c r="G2075" s="4">
        <v>46087.5937962963</v>
      </c>
    </row>
    <row r="2076" spans="1:7" x14ac:dyDescent="0.3">
      <c r="A2076">
        <v>3268</v>
      </c>
      <c r="B2076" t="s">
        <v>146</v>
      </c>
      <c r="C2076">
        <v>51003292</v>
      </c>
      <c r="D2076">
        <v>60.424588196902967</v>
      </c>
      <c r="E2076" t="s">
        <v>94</v>
      </c>
      <c r="F2076">
        <v>643</v>
      </c>
      <c r="G2076" s="4">
        <v>46087.5937962963</v>
      </c>
    </row>
    <row r="2077" spans="1:7" x14ac:dyDescent="0.3">
      <c r="A2077">
        <v>3269</v>
      </c>
      <c r="B2077" t="s">
        <v>146</v>
      </c>
      <c r="C2077">
        <v>51014251</v>
      </c>
      <c r="D2077">
        <v>62.513458774231673</v>
      </c>
      <c r="E2077" t="s">
        <v>94</v>
      </c>
      <c r="F2077">
        <v>600</v>
      </c>
      <c r="G2077" s="4">
        <v>46087.5937962963</v>
      </c>
    </row>
    <row r="2078" spans="1:7" x14ac:dyDescent="0.3">
      <c r="A2078">
        <v>3270</v>
      </c>
      <c r="B2078" t="s">
        <v>146</v>
      </c>
      <c r="C2078">
        <v>51042999</v>
      </c>
      <c r="D2078">
        <v>32.072309163518682</v>
      </c>
      <c r="E2078" t="s">
        <v>94</v>
      </c>
      <c r="F2078">
        <v>887</v>
      </c>
      <c r="G2078" s="4">
        <v>46087.5937962963</v>
      </c>
    </row>
    <row r="2079" spans="1:7" x14ac:dyDescent="0.3">
      <c r="A2079">
        <v>3271</v>
      </c>
      <c r="B2079" t="s">
        <v>146</v>
      </c>
      <c r="C2079">
        <v>51041712</v>
      </c>
      <c r="D2079">
        <v>82.588648548954822</v>
      </c>
      <c r="E2079" t="s">
        <v>93</v>
      </c>
      <c r="F2079">
        <v>347</v>
      </c>
      <c r="G2079" s="4">
        <v>46087.5937962963</v>
      </c>
    </row>
    <row r="2080" spans="1:7" x14ac:dyDescent="0.3">
      <c r="A2080">
        <v>3272</v>
      </c>
      <c r="B2080" t="s">
        <v>146</v>
      </c>
      <c r="C2080">
        <v>51023293</v>
      </c>
      <c r="D2080">
        <v>67.178843702749759</v>
      </c>
      <c r="E2080" t="s">
        <v>93</v>
      </c>
      <c r="F2080">
        <v>561</v>
      </c>
      <c r="G2080" s="4">
        <v>46087.5937962963</v>
      </c>
    </row>
    <row r="2081" spans="1:7" x14ac:dyDescent="0.3">
      <c r="A2081">
        <v>3273</v>
      </c>
      <c r="B2081" t="s">
        <v>146</v>
      </c>
      <c r="C2081">
        <v>51033507</v>
      </c>
      <c r="D2081">
        <v>16.715822631802148</v>
      </c>
      <c r="E2081" t="s">
        <v>95</v>
      </c>
      <c r="F2081">
        <v>1052</v>
      </c>
      <c r="G2081" s="4">
        <v>46087.5937962963</v>
      </c>
    </row>
    <row r="2082" spans="1:7" x14ac:dyDescent="0.3">
      <c r="A2082">
        <v>3274</v>
      </c>
      <c r="B2082" t="s">
        <v>146</v>
      </c>
      <c r="C2082">
        <v>51013875</v>
      </c>
      <c r="D2082">
        <v>80.67137812428011</v>
      </c>
      <c r="E2082" t="s">
        <v>93</v>
      </c>
      <c r="F2082">
        <v>402</v>
      </c>
      <c r="G2082" s="4">
        <v>46087.5937962963</v>
      </c>
    </row>
    <row r="2083" spans="1:7" x14ac:dyDescent="0.3">
      <c r="A2083">
        <v>3275</v>
      </c>
      <c r="B2083" t="s">
        <v>146</v>
      </c>
      <c r="C2083">
        <v>51013395</v>
      </c>
      <c r="D2083">
        <v>21.645786817375516</v>
      </c>
      <c r="E2083" t="s">
        <v>95</v>
      </c>
      <c r="F2083">
        <v>973</v>
      </c>
      <c r="G2083" s="4">
        <v>46087.5937962963</v>
      </c>
    </row>
    <row r="2084" spans="1:7" x14ac:dyDescent="0.3">
      <c r="A2084">
        <v>3276</v>
      </c>
      <c r="B2084" t="s">
        <v>146</v>
      </c>
      <c r="C2084">
        <v>51056108</v>
      </c>
      <c r="D2084">
        <v>22.303918149190835</v>
      </c>
      <c r="E2084" t="s">
        <v>95</v>
      </c>
      <c r="F2084">
        <v>962</v>
      </c>
      <c r="G2084" s="4">
        <v>46087.5937962963</v>
      </c>
    </row>
    <row r="2085" spans="1:7" x14ac:dyDescent="0.3">
      <c r="A2085">
        <v>3277</v>
      </c>
      <c r="B2085" t="s">
        <v>146</v>
      </c>
      <c r="C2085">
        <v>51055837</v>
      </c>
      <c r="D2085">
        <v>19.97354134481736</v>
      </c>
      <c r="E2085" t="s">
        <v>95</v>
      </c>
      <c r="F2085">
        <v>985</v>
      </c>
      <c r="G2085" s="4">
        <v>46087.5937962963</v>
      </c>
    </row>
    <row r="2086" spans="1:7" x14ac:dyDescent="0.3">
      <c r="A2086">
        <v>3278</v>
      </c>
      <c r="B2086" t="s">
        <v>146</v>
      </c>
      <c r="C2086">
        <v>51056248</v>
      </c>
      <c r="D2086">
        <v>34.848231195395186</v>
      </c>
      <c r="E2086" t="s">
        <v>94</v>
      </c>
      <c r="F2086">
        <v>867</v>
      </c>
      <c r="G2086" s="4">
        <v>46087.5937962963</v>
      </c>
    </row>
    <row r="2087" spans="1:7" x14ac:dyDescent="0.3">
      <c r="A2087">
        <v>3279</v>
      </c>
      <c r="B2087" t="s">
        <v>146</v>
      </c>
      <c r="C2087">
        <v>51025245</v>
      </c>
      <c r="D2087">
        <v>83.86884708371268</v>
      </c>
      <c r="E2087" t="s">
        <v>93</v>
      </c>
      <c r="F2087">
        <v>295</v>
      </c>
      <c r="G2087" s="4">
        <v>46087.5937962963</v>
      </c>
    </row>
    <row r="2088" spans="1:7" x14ac:dyDescent="0.3">
      <c r="A2088">
        <v>3280</v>
      </c>
      <c r="B2088" t="s">
        <v>146</v>
      </c>
      <c r="C2088">
        <v>51016360</v>
      </c>
      <c r="D2088">
        <v>93.521868408509633</v>
      </c>
      <c r="E2088" t="s">
        <v>92</v>
      </c>
      <c r="F2088">
        <v>77</v>
      </c>
      <c r="G2088" s="4">
        <v>46087.5937962963</v>
      </c>
    </row>
    <row r="2089" spans="1:7" x14ac:dyDescent="0.3">
      <c r="A2089">
        <v>3281</v>
      </c>
      <c r="B2089" t="s">
        <v>146</v>
      </c>
      <c r="C2089">
        <v>51040881</v>
      </c>
      <c r="D2089">
        <v>57.565076863891711</v>
      </c>
      <c r="E2089" t="s">
        <v>94</v>
      </c>
      <c r="F2089">
        <v>697</v>
      </c>
      <c r="G2089" s="4">
        <v>46087.5937962963</v>
      </c>
    </row>
    <row r="2090" spans="1:7" x14ac:dyDescent="0.3">
      <c r="A2090">
        <v>3282</v>
      </c>
      <c r="B2090" t="s">
        <v>146</v>
      </c>
      <c r="C2090">
        <v>51031776</v>
      </c>
      <c r="D2090">
        <v>25.524390938619888</v>
      </c>
      <c r="E2090" t="s">
        <v>94</v>
      </c>
      <c r="F2090">
        <v>946</v>
      </c>
      <c r="G2090" s="4">
        <v>46087.5937962963</v>
      </c>
    </row>
    <row r="2091" spans="1:7" x14ac:dyDescent="0.3">
      <c r="A2091">
        <v>3283</v>
      </c>
      <c r="B2091" t="s">
        <v>146</v>
      </c>
      <c r="C2091">
        <v>51013166</v>
      </c>
      <c r="D2091">
        <v>52.502795518318237</v>
      </c>
      <c r="E2091" t="s">
        <v>94</v>
      </c>
      <c r="F2091">
        <v>754</v>
      </c>
      <c r="G2091" s="4">
        <v>46087.5937962963</v>
      </c>
    </row>
    <row r="2092" spans="1:7" x14ac:dyDescent="0.3">
      <c r="A2092">
        <v>3284</v>
      </c>
      <c r="B2092" t="s">
        <v>146</v>
      </c>
      <c r="C2092">
        <v>51032918</v>
      </c>
      <c r="D2092">
        <v>53.193460276846046</v>
      </c>
      <c r="E2092" t="s">
        <v>94</v>
      </c>
      <c r="F2092">
        <v>749</v>
      </c>
      <c r="G2092" s="4">
        <v>46087.5937962963</v>
      </c>
    </row>
    <row r="2093" spans="1:7" x14ac:dyDescent="0.3">
      <c r="A2093">
        <v>3285</v>
      </c>
      <c r="B2093" t="s">
        <v>146</v>
      </c>
      <c r="C2093">
        <v>51025717</v>
      </c>
      <c r="D2093">
        <v>40.478449301261946</v>
      </c>
      <c r="E2093" t="s">
        <v>94</v>
      </c>
      <c r="F2093">
        <v>845</v>
      </c>
      <c r="G2093" s="4">
        <v>46087.5937962963</v>
      </c>
    </row>
    <row r="2094" spans="1:7" x14ac:dyDescent="0.3">
      <c r="A2094">
        <v>3286</v>
      </c>
      <c r="B2094" t="s">
        <v>146</v>
      </c>
      <c r="C2094">
        <v>51033001</v>
      </c>
      <c r="D2094">
        <v>78.541362818856953</v>
      </c>
      <c r="E2094" t="s">
        <v>93</v>
      </c>
      <c r="F2094">
        <v>444</v>
      </c>
      <c r="G2094" s="4">
        <v>46087.5937962963</v>
      </c>
    </row>
    <row r="2095" spans="1:7" x14ac:dyDescent="0.3">
      <c r="A2095">
        <v>3287</v>
      </c>
      <c r="B2095" t="s">
        <v>146</v>
      </c>
      <c r="C2095">
        <v>51012674</v>
      </c>
      <c r="D2095">
        <v>47.67983113947399</v>
      </c>
      <c r="E2095" t="s">
        <v>94</v>
      </c>
      <c r="F2095">
        <v>795</v>
      </c>
      <c r="G2095" s="4">
        <v>46087.5937962963</v>
      </c>
    </row>
    <row r="2096" spans="1:7" x14ac:dyDescent="0.3">
      <c r="A2096">
        <v>3288</v>
      </c>
      <c r="B2096" t="s">
        <v>146</v>
      </c>
      <c r="C2096">
        <v>51007743</v>
      </c>
      <c r="D2096">
        <v>90.560173105317162</v>
      </c>
      <c r="E2096" t="s">
        <v>92</v>
      </c>
      <c r="F2096">
        <v>121</v>
      </c>
      <c r="G2096" s="4">
        <v>46087.5937962963</v>
      </c>
    </row>
    <row r="2097" spans="1:7" x14ac:dyDescent="0.3">
      <c r="A2097">
        <v>3289</v>
      </c>
      <c r="B2097" t="s">
        <v>146</v>
      </c>
      <c r="C2097">
        <v>51032705</v>
      </c>
      <c r="D2097">
        <v>33.751477272238056</v>
      </c>
      <c r="E2097" t="s">
        <v>94</v>
      </c>
      <c r="F2097">
        <v>871</v>
      </c>
      <c r="G2097" s="4">
        <v>46087.5937962963</v>
      </c>
    </row>
    <row r="2098" spans="1:7" x14ac:dyDescent="0.3">
      <c r="A2098">
        <v>3290</v>
      </c>
      <c r="B2098" t="s">
        <v>146</v>
      </c>
      <c r="C2098">
        <v>51041887</v>
      </c>
      <c r="D2098">
        <v>78.167344203289971</v>
      </c>
      <c r="E2098" t="s">
        <v>93</v>
      </c>
      <c r="F2098">
        <v>450</v>
      </c>
      <c r="G2098" s="4">
        <v>46087.5937962963</v>
      </c>
    </row>
    <row r="2099" spans="1:7" x14ac:dyDescent="0.3">
      <c r="A2099">
        <v>3291</v>
      </c>
      <c r="B2099" t="s">
        <v>146</v>
      </c>
      <c r="C2099">
        <v>51030826</v>
      </c>
      <c r="D2099">
        <v>64.392448676287302</v>
      </c>
      <c r="E2099" t="s">
        <v>93</v>
      </c>
      <c r="F2099">
        <v>576</v>
      </c>
      <c r="G2099" s="4">
        <v>46087.5937962963</v>
      </c>
    </row>
    <row r="2100" spans="1:7" x14ac:dyDescent="0.3">
      <c r="A2100">
        <v>3292</v>
      </c>
      <c r="B2100" t="s">
        <v>146</v>
      </c>
      <c r="C2100">
        <v>51011007</v>
      </c>
      <c r="D2100">
        <v>70.212343998179847</v>
      </c>
      <c r="E2100" t="s">
        <v>93</v>
      </c>
      <c r="F2100">
        <v>540</v>
      </c>
      <c r="G2100" s="4">
        <v>46087.5937962963</v>
      </c>
    </row>
    <row r="2101" spans="1:7" x14ac:dyDescent="0.3">
      <c r="A2101">
        <v>3293</v>
      </c>
      <c r="B2101" t="s">
        <v>146</v>
      </c>
      <c r="C2101">
        <v>51007514</v>
      </c>
      <c r="D2101">
        <v>76.83253997684902</v>
      </c>
      <c r="E2101" t="s">
        <v>93</v>
      </c>
      <c r="F2101">
        <v>471</v>
      </c>
      <c r="G2101" s="4">
        <v>46087.5937962963</v>
      </c>
    </row>
    <row r="2102" spans="1:7" x14ac:dyDescent="0.3">
      <c r="A2102">
        <v>3294</v>
      </c>
      <c r="B2102" t="s">
        <v>146</v>
      </c>
      <c r="C2102">
        <v>51024281</v>
      </c>
      <c r="D2102">
        <v>53.198579481781408</v>
      </c>
      <c r="E2102" t="s">
        <v>94</v>
      </c>
      <c r="F2102">
        <v>748</v>
      </c>
      <c r="G2102" s="4">
        <v>46087.5937962963</v>
      </c>
    </row>
    <row r="2103" spans="1:7" x14ac:dyDescent="0.3">
      <c r="A2103">
        <v>3295</v>
      </c>
      <c r="B2103" t="s">
        <v>146</v>
      </c>
      <c r="C2103">
        <v>51020961</v>
      </c>
      <c r="D2103">
        <v>64.314409853543822</v>
      </c>
      <c r="E2103" t="s">
        <v>93</v>
      </c>
      <c r="F2103">
        <v>577</v>
      </c>
      <c r="G2103" s="4">
        <v>46087.5937962963</v>
      </c>
    </row>
    <row r="2104" spans="1:7" x14ac:dyDescent="0.3">
      <c r="A2104">
        <v>3296</v>
      </c>
      <c r="B2104" t="s">
        <v>146</v>
      </c>
      <c r="C2104">
        <v>51022718</v>
      </c>
      <c r="D2104">
        <v>69.415694374167629</v>
      </c>
      <c r="E2104" t="s">
        <v>93</v>
      </c>
      <c r="F2104">
        <v>545</v>
      </c>
      <c r="G2104" s="4">
        <v>46087.5937962963</v>
      </c>
    </row>
    <row r="2105" spans="1:7" x14ac:dyDescent="0.3">
      <c r="A2105">
        <v>3297</v>
      </c>
      <c r="B2105" t="s">
        <v>146</v>
      </c>
      <c r="C2105">
        <v>51039815</v>
      </c>
      <c r="D2105">
        <v>76.554209232663482</v>
      </c>
      <c r="E2105" t="s">
        <v>93</v>
      </c>
      <c r="F2105">
        <v>473</v>
      </c>
      <c r="G2105" s="4">
        <v>46087.5937962963</v>
      </c>
    </row>
    <row r="2106" spans="1:7" x14ac:dyDescent="0.3">
      <c r="A2106">
        <v>3298</v>
      </c>
      <c r="B2106" t="s">
        <v>146</v>
      </c>
      <c r="C2106">
        <v>51023277</v>
      </c>
      <c r="D2106">
        <v>78.618184846564006</v>
      </c>
      <c r="E2106" t="s">
        <v>93</v>
      </c>
      <c r="F2106">
        <v>441</v>
      </c>
      <c r="G2106" s="4">
        <v>46087.5937962963</v>
      </c>
    </row>
    <row r="2107" spans="1:7" x14ac:dyDescent="0.3">
      <c r="A2107">
        <v>3299</v>
      </c>
      <c r="B2107" t="s">
        <v>146</v>
      </c>
      <c r="C2107">
        <v>51056353</v>
      </c>
      <c r="D2107">
        <v>87.70506515398678</v>
      </c>
      <c r="E2107" t="s">
        <v>92</v>
      </c>
      <c r="F2107">
        <v>191</v>
      </c>
      <c r="G2107" s="4">
        <v>46087.5937962963</v>
      </c>
    </row>
    <row r="2108" spans="1:7" x14ac:dyDescent="0.3">
      <c r="A2108">
        <v>3300</v>
      </c>
      <c r="B2108" t="s">
        <v>146</v>
      </c>
      <c r="C2108">
        <v>51001419</v>
      </c>
      <c r="D2108">
        <v>54.609180698960806</v>
      </c>
      <c r="E2108" t="s">
        <v>94</v>
      </c>
      <c r="F2108">
        <v>740</v>
      </c>
      <c r="G2108" s="4">
        <v>46087.5937962963</v>
      </c>
    </row>
    <row r="2109" spans="1:7" x14ac:dyDescent="0.3">
      <c r="A2109">
        <v>3301</v>
      </c>
      <c r="B2109" t="s">
        <v>146</v>
      </c>
      <c r="C2109">
        <v>51018001</v>
      </c>
      <c r="D2109">
        <v>21.6251</v>
      </c>
      <c r="E2109" t="s">
        <v>95</v>
      </c>
      <c r="F2109">
        <v>974</v>
      </c>
      <c r="G2109" s="4">
        <v>46087.5937962963</v>
      </c>
    </row>
    <row r="2110" spans="1:7" x14ac:dyDescent="0.3">
      <c r="A2110">
        <v>3302</v>
      </c>
      <c r="B2110" t="s">
        <v>146</v>
      </c>
      <c r="C2110">
        <v>51020707</v>
      </c>
      <c r="D2110">
        <v>33.000081444728615</v>
      </c>
      <c r="E2110" t="s">
        <v>94</v>
      </c>
      <c r="F2110">
        <v>878</v>
      </c>
      <c r="G2110" s="4">
        <v>46087.5937962963</v>
      </c>
    </row>
    <row r="2111" spans="1:7" x14ac:dyDescent="0.3">
      <c r="A2111">
        <v>3303</v>
      </c>
      <c r="B2111" t="s">
        <v>146</v>
      </c>
      <c r="C2111">
        <v>51018923</v>
      </c>
      <c r="D2111">
        <v>75.499469481159991</v>
      </c>
      <c r="E2111" t="s">
        <v>93</v>
      </c>
      <c r="F2111">
        <v>487</v>
      </c>
      <c r="G2111" s="4">
        <v>46087.5937962963</v>
      </c>
    </row>
    <row r="2112" spans="1:7" x14ac:dyDescent="0.3">
      <c r="A2112">
        <v>3304</v>
      </c>
      <c r="B2112" t="s">
        <v>146</v>
      </c>
      <c r="C2112">
        <v>51012721</v>
      </c>
      <c r="D2112">
        <v>58.294883220871967</v>
      </c>
      <c r="E2112" t="s">
        <v>94</v>
      </c>
      <c r="F2112">
        <v>676</v>
      </c>
      <c r="G2112" s="4">
        <v>46087.5937962963</v>
      </c>
    </row>
    <row r="2113" spans="1:7" x14ac:dyDescent="0.3">
      <c r="A2113">
        <v>3305</v>
      </c>
      <c r="B2113" t="s">
        <v>146</v>
      </c>
      <c r="C2113">
        <v>51020634</v>
      </c>
      <c r="D2113">
        <v>33.284999999999997</v>
      </c>
      <c r="E2113" t="s">
        <v>94</v>
      </c>
      <c r="F2113">
        <v>874</v>
      </c>
      <c r="G2113" s="4">
        <v>46087.5937962963</v>
      </c>
    </row>
    <row r="2114" spans="1:7" x14ac:dyDescent="0.3">
      <c r="A2114">
        <v>3306</v>
      </c>
      <c r="B2114" t="s">
        <v>146</v>
      </c>
      <c r="C2114">
        <v>51056507</v>
      </c>
      <c r="D2114">
        <v>49.786605263348122</v>
      </c>
      <c r="E2114" t="s">
        <v>94</v>
      </c>
      <c r="F2114">
        <v>774</v>
      </c>
      <c r="G2114" s="4">
        <v>46087.5937962963</v>
      </c>
    </row>
    <row r="2115" spans="1:7" x14ac:dyDescent="0.3">
      <c r="A2115">
        <v>3307</v>
      </c>
      <c r="B2115" t="s">
        <v>146</v>
      </c>
      <c r="C2115">
        <v>51002105</v>
      </c>
      <c r="D2115">
        <v>53.316023805500116</v>
      </c>
      <c r="E2115" t="s">
        <v>94</v>
      </c>
      <c r="F2115">
        <v>746</v>
      </c>
      <c r="G2115" s="4">
        <v>46087.5937962963</v>
      </c>
    </row>
    <row r="2116" spans="1:7" x14ac:dyDescent="0.3">
      <c r="A2116">
        <v>3308</v>
      </c>
      <c r="B2116" t="s">
        <v>146</v>
      </c>
      <c r="C2116">
        <v>51055136</v>
      </c>
      <c r="D2116">
        <v>93.367108382040755</v>
      </c>
      <c r="E2116" t="s">
        <v>92</v>
      </c>
      <c r="F2116">
        <v>82</v>
      </c>
      <c r="G2116" s="4">
        <v>46087.5937962963</v>
      </c>
    </row>
    <row r="2117" spans="1:7" x14ac:dyDescent="0.3">
      <c r="A2117">
        <v>3309</v>
      </c>
      <c r="B2117" t="s">
        <v>146</v>
      </c>
      <c r="C2117">
        <v>51008685</v>
      </c>
      <c r="D2117">
        <v>81.52924978331383</v>
      </c>
      <c r="E2117" t="s">
        <v>93</v>
      </c>
      <c r="F2117">
        <v>381</v>
      </c>
      <c r="G2117" s="4">
        <v>46087.5937962963</v>
      </c>
    </row>
    <row r="2118" spans="1:7" x14ac:dyDescent="0.3">
      <c r="A2118">
        <v>3310</v>
      </c>
      <c r="B2118" t="s">
        <v>146</v>
      </c>
      <c r="C2118">
        <v>51055306</v>
      </c>
      <c r="D2118">
        <v>91.558871767599229</v>
      </c>
      <c r="E2118" t="s">
        <v>92</v>
      </c>
      <c r="F2118">
        <v>110</v>
      </c>
      <c r="G2118" s="4">
        <v>46087.5937962963</v>
      </c>
    </row>
    <row r="2119" spans="1:7" x14ac:dyDescent="0.3">
      <c r="A2119">
        <v>3311</v>
      </c>
      <c r="B2119" t="s">
        <v>146</v>
      </c>
      <c r="C2119">
        <v>51024036</v>
      </c>
      <c r="D2119">
        <v>66.979010532255614</v>
      </c>
      <c r="E2119" t="s">
        <v>93</v>
      </c>
      <c r="F2119">
        <v>563</v>
      </c>
      <c r="G2119" s="4">
        <v>46087.5937962963</v>
      </c>
    </row>
    <row r="2120" spans="1:7" x14ac:dyDescent="0.3">
      <c r="A2120">
        <v>3312</v>
      </c>
      <c r="B2120" t="s">
        <v>146</v>
      </c>
      <c r="C2120">
        <v>51011597</v>
      </c>
      <c r="D2120">
        <v>61.952922333828774</v>
      </c>
      <c r="E2120" t="s">
        <v>94</v>
      </c>
      <c r="F2120">
        <v>612</v>
      </c>
      <c r="G2120" s="4">
        <v>46087.5937962963</v>
      </c>
    </row>
    <row r="2121" spans="1:7" x14ac:dyDescent="0.3">
      <c r="A2121">
        <v>3313</v>
      </c>
      <c r="B2121" t="s">
        <v>146</v>
      </c>
      <c r="C2121">
        <v>51043260</v>
      </c>
      <c r="D2121">
        <v>77.15907364939315</v>
      </c>
      <c r="E2121" t="s">
        <v>93</v>
      </c>
      <c r="F2121">
        <v>466</v>
      </c>
      <c r="G2121" s="4">
        <v>46087.5937962963</v>
      </c>
    </row>
    <row r="2122" spans="1:7" x14ac:dyDescent="0.3">
      <c r="A2122">
        <v>3314</v>
      </c>
      <c r="B2122" t="s">
        <v>146</v>
      </c>
      <c r="C2122">
        <v>51004035</v>
      </c>
      <c r="D2122">
        <v>48.79433876773605</v>
      </c>
      <c r="E2122" t="s">
        <v>94</v>
      </c>
      <c r="F2122">
        <v>782</v>
      </c>
      <c r="G2122" s="4">
        <v>46087.5937962963</v>
      </c>
    </row>
    <row r="2123" spans="1:7" x14ac:dyDescent="0.3">
      <c r="A2123">
        <v>3315</v>
      </c>
      <c r="B2123" t="s">
        <v>146</v>
      </c>
      <c r="C2123">
        <v>51043537</v>
      </c>
      <c r="D2123">
        <v>57.232179896730187</v>
      </c>
      <c r="E2123" t="s">
        <v>94</v>
      </c>
      <c r="F2123">
        <v>710</v>
      </c>
      <c r="G2123" s="4">
        <v>46087.5937962963</v>
      </c>
    </row>
    <row r="2124" spans="1:7" x14ac:dyDescent="0.3">
      <c r="A2124">
        <v>3316</v>
      </c>
      <c r="B2124" t="s">
        <v>146</v>
      </c>
      <c r="C2124">
        <v>51056752</v>
      </c>
      <c r="D2124">
        <v>60.943626897894404</v>
      </c>
      <c r="E2124" t="s">
        <v>94</v>
      </c>
      <c r="F2124">
        <v>634</v>
      </c>
      <c r="G2124" s="4">
        <v>46087.5937962963</v>
      </c>
    </row>
    <row r="2125" spans="1:7" x14ac:dyDescent="0.3">
      <c r="A2125">
        <v>3317</v>
      </c>
      <c r="B2125" t="s">
        <v>146</v>
      </c>
      <c r="C2125">
        <v>51031857</v>
      </c>
      <c r="D2125">
        <v>63.003759116864103</v>
      </c>
      <c r="E2125" t="s">
        <v>93</v>
      </c>
      <c r="F2125">
        <v>589</v>
      </c>
      <c r="G2125" s="4">
        <v>46087.5937962963</v>
      </c>
    </row>
    <row r="2126" spans="1:7" x14ac:dyDescent="0.3">
      <c r="A2126">
        <v>3318</v>
      </c>
      <c r="B2126" t="s">
        <v>146</v>
      </c>
      <c r="C2126">
        <v>51014138</v>
      </c>
      <c r="D2126">
        <v>81.79725621802271</v>
      </c>
      <c r="E2126" t="s">
        <v>93</v>
      </c>
      <c r="F2126">
        <v>377</v>
      </c>
      <c r="G2126" s="4">
        <v>46087.5937962963</v>
      </c>
    </row>
    <row r="2127" spans="1:7" x14ac:dyDescent="0.3">
      <c r="A2127">
        <v>3319</v>
      </c>
      <c r="B2127" t="s">
        <v>146</v>
      </c>
      <c r="C2127">
        <v>51055578</v>
      </c>
      <c r="D2127">
        <v>49.487484102520611</v>
      </c>
      <c r="E2127" t="s">
        <v>94</v>
      </c>
      <c r="F2127">
        <v>776</v>
      </c>
      <c r="G2127" s="4">
        <v>46087.5937962963</v>
      </c>
    </row>
    <row r="2128" spans="1:7" x14ac:dyDescent="0.3">
      <c r="A2128">
        <v>3320</v>
      </c>
      <c r="B2128" t="s">
        <v>146</v>
      </c>
      <c r="C2128">
        <v>51024028</v>
      </c>
      <c r="D2128">
        <v>31.604036578720944</v>
      </c>
      <c r="E2128" t="s">
        <v>94</v>
      </c>
      <c r="F2128">
        <v>894</v>
      </c>
      <c r="G2128" s="4">
        <v>46087.5937962963</v>
      </c>
    </row>
    <row r="2129" spans="1:7" x14ac:dyDescent="0.3">
      <c r="A2129">
        <v>3321</v>
      </c>
      <c r="B2129" t="s">
        <v>146</v>
      </c>
      <c r="C2129">
        <v>51057031</v>
      </c>
      <c r="D2129">
        <v>63.677782000937562</v>
      </c>
      <c r="E2129" t="s">
        <v>93</v>
      </c>
      <c r="F2129">
        <v>582</v>
      </c>
      <c r="G2129" s="4">
        <v>46087.5937962963</v>
      </c>
    </row>
    <row r="2130" spans="1:7" x14ac:dyDescent="0.3">
      <c r="A2130">
        <v>3322</v>
      </c>
      <c r="B2130" t="s">
        <v>146</v>
      </c>
      <c r="C2130">
        <v>51011929</v>
      </c>
      <c r="D2130">
        <v>76.085314447477259</v>
      </c>
      <c r="E2130" t="s">
        <v>93</v>
      </c>
      <c r="F2130">
        <v>482</v>
      </c>
      <c r="G2130" s="4">
        <v>46087.5937962963</v>
      </c>
    </row>
    <row r="2131" spans="1:7" x14ac:dyDescent="0.3">
      <c r="A2131">
        <v>3323</v>
      </c>
      <c r="B2131" t="s">
        <v>146</v>
      </c>
      <c r="C2131">
        <v>51017773</v>
      </c>
      <c r="D2131">
        <v>38.323494383766359</v>
      </c>
      <c r="E2131" t="s">
        <v>94</v>
      </c>
      <c r="F2131">
        <v>851</v>
      </c>
      <c r="G2131" s="4">
        <v>46087.5937962963</v>
      </c>
    </row>
    <row r="2132" spans="1:7" x14ac:dyDescent="0.3">
      <c r="A2132">
        <v>3324</v>
      </c>
      <c r="B2132" t="s">
        <v>146</v>
      </c>
      <c r="C2132">
        <v>51003063</v>
      </c>
      <c r="D2132">
        <v>66.270697095080919</v>
      </c>
      <c r="E2132" t="s">
        <v>93</v>
      </c>
      <c r="F2132">
        <v>568</v>
      </c>
      <c r="G2132" s="4">
        <v>46087.5937962963</v>
      </c>
    </row>
    <row r="2133" spans="1:7" x14ac:dyDescent="0.3">
      <c r="A2133">
        <v>3325</v>
      </c>
      <c r="B2133" t="s">
        <v>146</v>
      </c>
      <c r="C2133">
        <v>51022572</v>
      </c>
      <c r="D2133">
        <v>31</v>
      </c>
      <c r="E2133" t="s">
        <v>94</v>
      </c>
      <c r="F2133">
        <v>901</v>
      </c>
      <c r="G2133" s="4">
        <v>46087.5937962963</v>
      </c>
    </row>
    <row r="2134" spans="1:7" x14ac:dyDescent="0.3">
      <c r="A2134">
        <v>3326</v>
      </c>
      <c r="B2134" t="s">
        <v>146</v>
      </c>
      <c r="C2134">
        <v>51022343</v>
      </c>
      <c r="D2134">
        <v>20.371447174972801</v>
      </c>
      <c r="E2134" t="s">
        <v>95</v>
      </c>
      <c r="F2134">
        <v>981</v>
      </c>
      <c r="G2134" s="4">
        <v>46087.5937962963</v>
      </c>
    </row>
    <row r="2135" spans="1:7" x14ac:dyDescent="0.3">
      <c r="A2135">
        <v>3327</v>
      </c>
      <c r="B2135" t="s">
        <v>146</v>
      </c>
      <c r="C2135">
        <v>51015835</v>
      </c>
      <c r="D2135">
        <v>61.1157093649066</v>
      </c>
      <c r="E2135" t="s">
        <v>94</v>
      </c>
      <c r="F2135">
        <v>629</v>
      </c>
      <c r="G2135" s="4">
        <v>46087.5937962963</v>
      </c>
    </row>
    <row r="2136" spans="1:7" x14ac:dyDescent="0.3">
      <c r="A2136">
        <v>3328</v>
      </c>
      <c r="B2136" t="s">
        <v>146</v>
      </c>
      <c r="C2136">
        <v>51056329</v>
      </c>
      <c r="D2136">
        <v>25.610778234765142</v>
      </c>
      <c r="E2136" t="s">
        <v>94</v>
      </c>
      <c r="F2136">
        <v>944</v>
      </c>
      <c r="G2136" s="4">
        <v>46087.5937962963</v>
      </c>
    </row>
    <row r="2137" spans="1:7" x14ac:dyDescent="0.3">
      <c r="A2137">
        <v>3329</v>
      </c>
      <c r="B2137" t="s">
        <v>146</v>
      </c>
      <c r="C2137">
        <v>51030915</v>
      </c>
      <c r="D2137">
        <v>23.946219793250961</v>
      </c>
      <c r="E2137" t="s">
        <v>94</v>
      </c>
      <c r="F2137">
        <v>949</v>
      </c>
      <c r="G2137" s="4">
        <v>46087.5937962963</v>
      </c>
    </row>
    <row r="2138" spans="1:7" x14ac:dyDescent="0.3">
      <c r="A2138">
        <v>3330</v>
      </c>
      <c r="B2138" t="s">
        <v>146</v>
      </c>
      <c r="C2138">
        <v>51017871</v>
      </c>
      <c r="D2138">
        <v>22.007933545966853</v>
      </c>
      <c r="E2138" t="s">
        <v>95</v>
      </c>
      <c r="F2138">
        <v>966</v>
      </c>
      <c r="G2138" s="4">
        <v>46087.5937962963</v>
      </c>
    </row>
    <row r="2139" spans="1:7" x14ac:dyDescent="0.3">
      <c r="A2139">
        <v>3331</v>
      </c>
      <c r="B2139" t="s">
        <v>146</v>
      </c>
      <c r="C2139">
        <v>51017218</v>
      </c>
      <c r="D2139">
        <v>98.58072577368732</v>
      </c>
      <c r="E2139" t="s">
        <v>275</v>
      </c>
      <c r="F2139">
        <v>25</v>
      </c>
      <c r="G2139" s="4">
        <v>46087.5937962963</v>
      </c>
    </row>
    <row r="2140" spans="1:7" x14ac:dyDescent="0.3">
      <c r="A2140">
        <v>3332</v>
      </c>
      <c r="B2140" t="s">
        <v>146</v>
      </c>
      <c r="C2140">
        <v>51039025</v>
      </c>
      <c r="D2140">
        <v>22.999407936116619</v>
      </c>
      <c r="E2140" t="s">
        <v>94</v>
      </c>
      <c r="F2140">
        <v>954</v>
      </c>
      <c r="G2140" s="4">
        <v>46087.5937962963</v>
      </c>
    </row>
    <row r="2141" spans="1:7" x14ac:dyDescent="0.3">
      <c r="A2141">
        <v>3333</v>
      </c>
      <c r="B2141" t="s">
        <v>146</v>
      </c>
      <c r="C2141">
        <v>51026497</v>
      </c>
      <c r="D2141">
        <v>50.640086680277683</v>
      </c>
      <c r="E2141" t="s">
        <v>94</v>
      </c>
      <c r="F2141">
        <v>766</v>
      </c>
      <c r="G2141" s="4">
        <v>46087.5937962963</v>
      </c>
    </row>
    <row r="2142" spans="1:7" x14ac:dyDescent="0.3">
      <c r="A2142">
        <v>3334</v>
      </c>
      <c r="B2142" t="s">
        <v>146</v>
      </c>
      <c r="C2142">
        <v>51043693</v>
      </c>
      <c r="D2142">
        <v>86.30958414300737</v>
      </c>
      <c r="E2142" t="s">
        <v>92</v>
      </c>
      <c r="F2142">
        <v>223</v>
      </c>
      <c r="G2142" s="4">
        <v>46087.5937962963</v>
      </c>
    </row>
    <row r="2143" spans="1:7" x14ac:dyDescent="0.3">
      <c r="A2143">
        <v>3335</v>
      </c>
      <c r="B2143" t="s">
        <v>146</v>
      </c>
      <c r="C2143">
        <v>51001532</v>
      </c>
      <c r="D2143">
        <v>47.933345627381449</v>
      </c>
      <c r="E2143" t="s">
        <v>94</v>
      </c>
      <c r="F2143">
        <v>791</v>
      </c>
      <c r="G2143" s="4">
        <v>46087.5937962963</v>
      </c>
    </row>
    <row r="2144" spans="1:7" x14ac:dyDescent="0.3">
      <c r="A2144">
        <v>3336</v>
      </c>
      <c r="B2144" t="s">
        <v>146</v>
      </c>
      <c r="C2144">
        <v>51002709</v>
      </c>
      <c r="D2144">
        <v>83.995372886772813</v>
      </c>
      <c r="E2144" t="s">
        <v>93</v>
      </c>
      <c r="F2144">
        <v>290</v>
      </c>
      <c r="G2144" s="4">
        <v>46087.5937962963</v>
      </c>
    </row>
    <row r="2145" spans="1:7" x14ac:dyDescent="0.3">
      <c r="A2145">
        <v>3337</v>
      </c>
      <c r="B2145" t="s">
        <v>146</v>
      </c>
      <c r="C2145">
        <v>51015151</v>
      </c>
      <c r="D2145">
        <v>10.639999999999999</v>
      </c>
      <c r="E2145" t="s">
        <v>95</v>
      </c>
      <c r="F2145">
        <v>1153</v>
      </c>
      <c r="G2145" s="4">
        <v>46087.5937962963</v>
      </c>
    </row>
    <row r="2146" spans="1:7" x14ac:dyDescent="0.3">
      <c r="A2146">
        <v>3338</v>
      </c>
      <c r="B2146" t="s">
        <v>146</v>
      </c>
      <c r="C2146">
        <v>51009941</v>
      </c>
      <c r="D2146">
        <v>82.393742415298405</v>
      </c>
      <c r="E2146" t="s">
        <v>93</v>
      </c>
      <c r="F2146">
        <v>352</v>
      </c>
      <c r="G2146" s="4">
        <v>46087.5937962963</v>
      </c>
    </row>
    <row r="2147" spans="1:7" x14ac:dyDescent="0.3">
      <c r="A2147">
        <v>3339</v>
      </c>
      <c r="B2147" t="s">
        <v>146</v>
      </c>
      <c r="C2147">
        <v>51024818</v>
      </c>
      <c r="D2147">
        <v>17.778599999999997</v>
      </c>
      <c r="E2147" t="s">
        <v>95</v>
      </c>
      <c r="F2147">
        <v>1032</v>
      </c>
      <c r="G2147" s="4">
        <v>46087.5937962963</v>
      </c>
    </row>
    <row r="2148" spans="1:7" x14ac:dyDescent="0.3">
      <c r="A2148">
        <v>3340</v>
      </c>
      <c r="B2148" t="s">
        <v>146</v>
      </c>
      <c r="C2148">
        <v>51010523</v>
      </c>
      <c r="D2148">
        <v>34.097999999999999</v>
      </c>
      <c r="E2148" t="s">
        <v>94</v>
      </c>
      <c r="F2148">
        <v>870</v>
      </c>
      <c r="G2148" s="4">
        <v>46087.5937962963</v>
      </c>
    </row>
    <row r="2149" spans="1:7" x14ac:dyDescent="0.3">
      <c r="A2149">
        <v>3341</v>
      </c>
      <c r="B2149" t="s">
        <v>146</v>
      </c>
      <c r="C2149">
        <v>51000552</v>
      </c>
      <c r="D2149">
        <v>86.253670868392163</v>
      </c>
      <c r="E2149" t="s">
        <v>92</v>
      </c>
      <c r="F2149">
        <v>227</v>
      </c>
      <c r="G2149" s="4">
        <v>46087.5937962963</v>
      </c>
    </row>
    <row r="2150" spans="1:7" x14ac:dyDescent="0.3">
      <c r="A2150">
        <v>3342</v>
      </c>
      <c r="B2150" t="s">
        <v>146</v>
      </c>
      <c r="C2150">
        <v>51052331</v>
      </c>
      <c r="D2150">
        <v>71.734204657895404</v>
      </c>
      <c r="E2150" t="s">
        <v>93</v>
      </c>
      <c r="F2150">
        <v>525</v>
      </c>
      <c r="G2150" s="4">
        <v>46087.5937962963</v>
      </c>
    </row>
    <row r="2151" spans="1:7" x14ac:dyDescent="0.3">
      <c r="A2151">
        <v>3343</v>
      </c>
      <c r="B2151" t="s">
        <v>146</v>
      </c>
      <c r="C2151">
        <v>51024460</v>
      </c>
      <c r="D2151">
        <v>17.266398395734441</v>
      </c>
      <c r="E2151" t="s">
        <v>95</v>
      </c>
      <c r="F2151">
        <v>1041</v>
      </c>
      <c r="G2151" s="4">
        <v>46087.5937962963</v>
      </c>
    </row>
    <row r="2152" spans="1:7" x14ac:dyDescent="0.3">
      <c r="A2152">
        <v>3344</v>
      </c>
      <c r="B2152" t="s">
        <v>146</v>
      </c>
      <c r="C2152">
        <v>51024885</v>
      </c>
      <c r="D2152">
        <v>47.641512436079488</v>
      </c>
      <c r="E2152" t="s">
        <v>94</v>
      </c>
      <c r="F2152">
        <v>797</v>
      </c>
      <c r="G2152" s="4">
        <v>46087.5937962963</v>
      </c>
    </row>
    <row r="2153" spans="1:7" x14ac:dyDescent="0.3">
      <c r="A2153">
        <v>3345</v>
      </c>
      <c r="B2153" t="s">
        <v>146</v>
      </c>
      <c r="C2153">
        <v>51005554</v>
      </c>
      <c r="D2153">
        <v>58.629740579286342</v>
      </c>
      <c r="E2153" t="s">
        <v>94</v>
      </c>
      <c r="F2153">
        <v>669</v>
      </c>
      <c r="G2153" s="4">
        <v>46087.5937962963</v>
      </c>
    </row>
    <row r="2154" spans="1:7" x14ac:dyDescent="0.3">
      <c r="A2154">
        <v>3346</v>
      </c>
      <c r="B2154" t="s">
        <v>146</v>
      </c>
      <c r="C2154">
        <v>51024478</v>
      </c>
      <c r="D2154">
        <v>22.728999999999999</v>
      </c>
      <c r="E2154" t="s">
        <v>95</v>
      </c>
      <c r="F2154">
        <v>957</v>
      </c>
      <c r="G2154" s="4">
        <v>46087.5937962963</v>
      </c>
    </row>
    <row r="2155" spans="1:7" x14ac:dyDescent="0.3">
      <c r="A2155">
        <v>3347</v>
      </c>
      <c r="B2155" t="s">
        <v>146</v>
      </c>
      <c r="C2155">
        <v>51012691</v>
      </c>
      <c r="D2155">
        <v>29.654570045887329</v>
      </c>
      <c r="E2155" t="s">
        <v>94</v>
      </c>
      <c r="F2155">
        <v>913</v>
      </c>
      <c r="G2155" s="4">
        <v>46087.5937962963</v>
      </c>
    </row>
    <row r="2156" spans="1:7" x14ac:dyDescent="0.3">
      <c r="A2156">
        <v>3348</v>
      </c>
      <c r="B2156" t="s">
        <v>146</v>
      </c>
      <c r="C2156">
        <v>51015681</v>
      </c>
      <c r="D2156">
        <v>60.661262283315509</v>
      </c>
      <c r="E2156" t="s">
        <v>94</v>
      </c>
      <c r="F2156">
        <v>638</v>
      </c>
      <c r="G2156" s="4">
        <v>46087.5937962963</v>
      </c>
    </row>
    <row r="2157" spans="1:7" x14ac:dyDescent="0.3">
      <c r="A2157">
        <v>3349</v>
      </c>
      <c r="B2157" t="s">
        <v>146</v>
      </c>
      <c r="C2157">
        <v>51019008</v>
      </c>
      <c r="D2157">
        <v>83.33354158068984</v>
      </c>
      <c r="E2157" t="s">
        <v>93</v>
      </c>
      <c r="F2157">
        <v>317</v>
      </c>
      <c r="G2157" s="4">
        <v>46087.5937962963</v>
      </c>
    </row>
    <row r="2158" spans="1:7" x14ac:dyDescent="0.3">
      <c r="A2158">
        <v>3350</v>
      </c>
      <c r="B2158" t="s">
        <v>146</v>
      </c>
      <c r="C2158">
        <v>51015762</v>
      </c>
      <c r="D2158">
        <v>69.265510153622571</v>
      </c>
      <c r="E2158" t="s">
        <v>93</v>
      </c>
      <c r="F2158">
        <v>546</v>
      </c>
      <c r="G2158" s="4">
        <v>46087.5937962963</v>
      </c>
    </row>
    <row r="2159" spans="1:7" x14ac:dyDescent="0.3">
      <c r="A2159">
        <v>3351</v>
      </c>
      <c r="B2159" t="s">
        <v>146</v>
      </c>
      <c r="C2159">
        <v>51017714</v>
      </c>
      <c r="D2159">
        <v>24.218599999999999</v>
      </c>
      <c r="E2159" t="s">
        <v>94</v>
      </c>
      <c r="F2159">
        <v>948</v>
      </c>
      <c r="G2159" s="4">
        <v>46087.5937962963</v>
      </c>
    </row>
    <row r="2160" spans="1:7" x14ac:dyDescent="0.3">
      <c r="A2160">
        <v>3352</v>
      </c>
      <c r="B2160" t="s">
        <v>146</v>
      </c>
      <c r="C2160">
        <v>51031997</v>
      </c>
      <c r="D2160">
        <v>12.796000000000001</v>
      </c>
      <c r="E2160" t="s">
        <v>95</v>
      </c>
      <c r="F2160">
        <v>1117</v>
      </c>
      <c r="G2160" s="4">
        <v>46087.5937962963</v>
      </c>
    </row>
    <row r="2161" spans="1:7" x14ac:dyDescent="0.3">
      <c r="A2161">
        <v>3353</v>
      </c>
      <c r="B2161" t="s">
        <v>146</v>
      </c>
      <c r="C2161">
        <v>51039181</v>
      </c>
      <c r="D2161">
        <v>60.458125016654407</v>
      </c>
      <c r="E2161" t="s">
        <v>94</v>
      </c>
      <c r="F2161">
        <v>641</v>
      </c>
      <c r="G2161" s="4">
        <v>46087.5937962963</v>
      </c>
    </row>
    <row r="2162" spans="1:7" x14ac:dyDescent="0.3">
      <c r="A2162">
        <v>3354</v>
      </c>
      <c r="B2162" t="s">
        <v>146</v>
      </c>
      <c r="C2162">
        <v>51057121</v>
      </c>
      <c r="D2162">
        <v>30.117776294591145</v>
      </c>
      <c r="E2162" t="s">
        <v>94</v>
      </c>
      <c r="F2162">
        <v>908</v>
      </c>
      <c r="G2162" s="4">
        <v>46087.5937962963</v>
      </c>
    </row>
    <row r="2163" spans="1:7" x14ac:dyDescent="0.3">
      <c r="A2163">
        <v>3355</v>
      </c>
      <c r="B2163" t="s">
        <v>146</v>
      </c>
      <c r="C2163">
        <v>51018290</v>
      </c>
      <c r="D2163">
        <v>48.217253427178477</v>
      </c>
      <c r="E2163" t="s">
        <v>94</v>
      </c>
      <c r="F2163">
        <v>789</v>
      </c>
      <c r="G2163" s="4">
        <v>46087.5937962963</v>
      </c>
    </row>
    <row r="2164" spans="1:7" x14ac:dyDescent="0.3">
      <c r="A2164">
        <v>3356</v>
      </c>
      <c r="B2164" t="s">
        <v>146</v>
      </c>
      <c r="C2164">
        <v>51043561</v>
      </c>
      <c r="D2164">
        <v>22.608599999999999</v>
      </c>
      <c r="E2164" t="s">
        <v>95</v>
      </c>
      <c r="F2164">
        <v>960</v>
      </c>
      <c r="G2164" s="4">
        <v>46087.5937962963</v>
      </c>
    </row>
    <row r="2165" spans="1:7" x14ac:dyDescent="0.3">
      <c r="A2165">
        <v>3357</v>
      </c>
      <c r="B2165" t="s">
        <v>146</v>
      </c>
      <c r="C2165">
        <v>51036964</v>
      </c>
      <c r="D2165">
        <v>51.156829760370918</v>
      </c>
      <c r="E2165" t="s">
        <v>94</v>
      </c>
      <c r="F2165">
        <v>762</v>
      </c>
      <c r="G2165" s="4">
        <v>46087.5937962963</v>
      </c>
    </row>
    <row r="2166" spans="1:7" x14ac:dyDescent="0.3">
      <c r="A2166">
        <v>3358</v>
      </c>
      <c r="B2166" t="s">
        <v>146</v>
      </c>
      <c r="C2166">
        <v>51030290</v>
      </c>
      <c r="D2166">
        <v>89.099253556008165</v>
      </c>
      <c r="E2166" t="s">
        <v>92</v>
      </c>
      <c r="F2166">
        <v>150</v>
      </c>
      <c r="G2166" s="4">
        <v>46087.5937962963</v>
      </c>
    </row>
    <row r="2167" spans="1:7" x14ac:dyDescent="0.3">
      <c r="A2167">
        <v>3359</v>
      </c>
      <c r="B2167" t="s">
        <v>146</v>
      </c>
      <c r="C2167">
        <v>51023331</v>
      </c>
      <c r="D2167">
        <v>44.757784460214275</v>
      </c>
      <c r="E2167" t="s">
        <v>94</v>
      </c>
      <c r="F2167">
        <v>826</v>
      </c>
      <c r="G2167" s="4">
        <v>46087.5937962963</v>
      </c>
    </row>
    <row r="2168" spans="1:7" x14ac:dyDescent="0.3">
      <c r="A2168">
        <v>3360</v>
      </c>
      <c r="B2168" t="s">
        <v>146</v>
      </c>
      <c r="C2168">
        <v>51024010</v>
      </c>
      <c r="D2168">
        <v>37.880143071082664</v>
      </c>
      <c r="E2168" t="s">
        <v>94</v>
      </c>
      <c r="F2168">
        <v>853</v>
      </c>
      <c r="G2168" s="4">
        <v>46087.5937962963</v>
      </c>
    </row>
    <row r="2169" spans="1:7" x14ac:dyDescent="0.3">
      <c r="A2169">
        <v>3361</v>
      </c>
      <c r="B2169" t="s">
        <v>146</v>
      </c>
      <c r="C2169">
        <v>51024664</v>
      </c>
      <c r="D2169">
        <v>80.316107551993937</v>
      </c>
      <c r="E2169" t="s">
        <v>93</v>
      </c>
      <c r="F2169">
        <v>411</v>
      </c>
      <c r="G2169" s="4">
        <v>46087.5937962963</v>
      </c>
    </row>
    <row r="2170" spans="1:7" x14ac:dyDescent="0.3">
      <c r="A2170">
        <v>3362</v>
      </c>
      <c r="B2170" t="s">
        <v>146</v>
      </c>
      <c r="C2170">
        <v>51009185</v>
      </c>
      <c r="D2170">
        <v>96.103778018515072</v>
      </c>
      <c r="E2170" t="s">
        <v>275</v>
      </c>
      <c r="F2170">
        <v>52</v>
      </c>
      <c r="G2170" s="4">
        <v>46087.5937962963</v>
      </c>
    </row>
    <row r="2171" spans="1:7" x14ac:dyDescent="0.3">
      <c r="A2171">
        <v>3363</v>
      </c>
      <c r="B2171" t="s">
        <v>146</v>
      </c>
      <c r="C2171">
        <v>51039424</v>
      </c>
      <c r="D2171">
        <v>9.0090000000000003</v>
      </c>
      <c r="E2171" t="s">
        <v>95</v>
      </c>
      <c r="F2171">
        <v>1176</v>
      </c>
      <c r="G2171" s="4">
        <v>46087.5937962963</v>
      </c>
    </row>
    <row r="2172" spans="1:7" x14ac:dyDescent="0.3">
      <c r="A2172">
        <v>3364</v>
      </c>
      <c r="B2172" t="s">
        <v>146</v>
      </c>
      <c r="C2172">
        <v>51038941</v>
      </c>
      <c r="D2172">
        <v>20.090258349772125</v>
      </c>
      <c r="E2172" t="s">
        <v>95</v>
      </c>
      <c r="F2172">
        <v>984</v>
      </c>
      <c r="G2172" s="4">
        <v>46087.5937962963</v>
      </c>
    </row>
    <row r="2173" spans="1:7" x14ac:dyDescent="0.3">
      <c r="A2173">
        <v>3365</v>
      </c>
      <c r="B2173" t="s">
        <v>146</v>
      </c>
      <c r="C2173">
        <v>51015126</v>
      </c>
      <c r="D2173">
        <v>18.898599999999998</v>
      </c>
      <c r="E2173" t="s">
        <v>95</v>
      </c>
      <c r="F2173">
        <v>1011</v>
      </c>
      <c r="G2173" s="4">
        <v>46087.5937962963</v>
      </c>
    </row>
    <row r="2174" spans="1:7" x14ac:dyDescent="0.3">
      <c r="A2174">
        <v>3366</v>
      </c>
      <c r="B2174" t="s">
        <v>146</v>
      </c>
      <c r="C2174">
        <v>51017234</v>
      </c>
      <c r="D2174">
        <v>10.08</v>
      </c>
      <c r="E2174" t="s">
        <v>95</v>
      </c>
      <c r="F2174">
        <v>1168</v>
      </c>
      <c r="G2174" s="4">
        <v>46087.5937962963</v>
      </c>
    </row>
    <row r="2175" spans="1:7" x14ac:dyDescent="0.3">
      <c r="A2175">
        <v>3367</v>
      </c>
      <c r="B2175" t="s">
        <v>146</v>
      </c>
      <c r="C2175">
        <v>51012852</v>
      </c>
      <c r="D2175">
        <v>50.859848139833183</v>
      </c>
      <c r="E2175" t="s">
        <v>94</v>
      </c>
      <c r="F2175">
        <v>763</v>
      </c>
      <c r="G2175" s="4">
        <v>46087.5937962963</v>
      </c>
    </row>
    <row r="2176" spans="1:7" x14ac:dyDescent="0.3">
      <c r="A2176">
        <v>3368</v>
      </c>
      <c r="B2176" t="s">
        <v>146</v>
      </c>
      <c r="C2176">
        <v>51010396</v>
      </c>
      <c r="D2176">
        <v>53.285345266953954</v>
      </c>
      <c r="E2176" t="s">
        <v>94</v>
      </c>
      <c r="F2176">
        <v>747</v>
      </c>
      <c r="G2176" s="4">
        <v>46087.5937962963</v>
      </c>
    </row>
    <row r="2177" spans="1:7" x14ac:dyDescent="0.3">
      <c r="A2177">
        <v>3369</v>
      </c>
      <c r="B2177" t="s">
        <v>146</v>
      </c>
      <c r="C2177">
        <v>51022629</v>
      </c>
      <c r="D2177">
        <v>28.160000000000004</v>
      </c>
      <c r="E2177" t="s">
        <v>94</v>
      </c>
      <c r="F2177">
        <v>929</v>
      </c>
      <c r="G2177" s="4">
        <v>46087.5937962963</v>
      </c>
    </row>
    <row r="2178" spans="1:7" x14ac:dyDescent="0.3">
      <c r="A2178">
        <v>3370</v>
      </c>
      <c r="B2178" t="s">
        <v>146</v>
      </c>
      <c r="C2178">
        <v>51021274</v>
      </c>
      <c r="D2178">
        <v>94.549352792735803</v>
      </c>
      <c r="E2178" t="s">
        <v>92</v>
      </c>
      <c r="F2178">
        <v>69</v>
      </c>
      <c r="G2178" s="4">
        <v>46087.5937962963</v>
      </c>
    </row>
    <row r="2179" spans="1:7" x14ac:dyDescent="0.3">
      <c r="A2179">
        <v>3371</v>
      </c>
      <c r="B2179" t="s">
        <v>146</v>
      </c>
      <c r="C2179">
        <v>51021819</v>
      </c>
      <c r="D2179">
        <v>36.03785403775332</v>
      </c>
      <c r="E2179" t="s">
        <v>94</v>
      </c>
      <c r="F2179">
        <v>862</v>
      </c>
      <c r="G2179" s="4">
        <v>46087.5937962963</v>
      </c>
    </row>
    <row r="2180" spans="1:7" x14ac:dyDescent="0.3">
      <c r="A2180">
        <v>3372</v>
      </c>
      <c r="B2180" t="s">
        <v>146</v>
      </c>
      <c r="C2180">
        <v>51011171</v>
      </c>
      <c r="D2180">
        <v>20.368600000000001</v>
      </c>
      <c r="E2180" t="s">
        <v>95</v>
      </c>
      <c r="F2180">
        <v>982</v>
      </c>
      <c r="G2180" s="4">
        <v>46087.5937962963</v>
      </c>
    </row>
    <row r="2181" spans="1:7" x14ac:dyDescent="0.3">
      <c r="A2181">
        <v>3373</v>
      </c>
      <c r="B2181" t="s">
        <v>146</v>
      </c>
      <c r="C2181">
        <v>51012470</v>
      </c>
      <c r="D2181">
        <v>87.866253823579285</v>
      </c>
      <c r="E2181" t="s">
        <v>92</v>
      </c>
      <c r="F2181">
        <v>179</v>
      </c>
      <c r="G2181" s="4">
        <v>46087.5937962963</v>
      </c>
    </row>
    <row r="2182" spans="1:7" x14ac:dyDescent="0.3">
      <c r="A2182">
        <v>3374</v>
      </c>
      <c r="B2182" t="s">
        <v>146</v>
      </c>
      <c r="C2182">
        <v>51032713</v>
      </c>
      <c r="D2182">
        <v>91.223859164380229</v>
      </c>
      <c r="E2182" t="s">
        <v>92</v>
      </c>
      <c r="F2182">
        <v>116</v>
      </c>
      <c r="G2182" s="4">
        <v>46087.5937962963</v>
      </c>
    </row>
    <row r="2183" spans="1:7" x14ac:dyDescent="0.3">
      <c r="A2183">
        <v>3375</v>
      </c>
      <c r="B2183" t="s">
        <v>146</v>
      </c>
      <c r="C2183">
        <v>51010744</v>
      </c>
      <c r="D2183">
        <v>54.890549738609323</v>
      </c>
      <c r="E2183" t="s">
        <v>94</v>
      </c>
      <c r="F2183">
        <v>735</v>
      </c>
      <c r="G2183" s="4">
        <v>46087.5937962963</v>
      </c>
    </row>
    <row r="2184" spans="1:7" x14ac:dyDescent="0.3">
      <c r="A2184">
        <v>3376</v>
      </c>
      <c r="B2184" t="s">
        <v>146</v>
      </c>
      <c r="C2184">
        <v>51057546</v>
      </c>
      <c r="D2184">
        <v>10.7</v>
      </c>
      <c r="E2184" t="s">
        <v>95</v>
      </c>
      <c r="F2184">
        <v>1151</v>
      </c>
      <c r="G2184" s="4">
        <v>46087.5937962963</v>
      </c>
    </row>
    <row r="2185" spans="1:7" x14ac:dyDescent="0.3">
      <c r="A2185">
        <v>3377</v>
      </c>
      <c r="B2185" t="s">
        <v>146</v>
      </c>
      <c r="C2185">
        <v>51023889</v>
      </c>
      <c r="D2185">
        <v>47.004884403430431</v>
      </c>
      <c r="E2185" t="s">
        <v>94</v>
      </c>
      <c r="F2185">
        <v>808</v>
      </c>
      <c r="G2185" s="4">
        <v>46087.5937962963</v>
      </c>
    </row>
    <row r="2186" spans="1:7" x14ac:dyDescent="0.3">
      <c r="A2186">
        <v>3378</v>
      </c>
      <c r="B2186" t="s">
        <v>146</v>
      </c>
      <c r="C2186">
        <v>51031041</v>
      </c>
      <c r="D2186">
        <v>10.73</v>
      </c>
      <c r="E2186" t="s">
        <v>95</v>
      </c>
      <c r="F2186">
        <v>1149</v>
      </c>
      <c r="G2186" s="4">
        <v>46087.5937962963</v>
      </c>
    </row>
    <row r="2187" spans="1:7" x14ac:dyDescent="0.3">
      <c r="A2187">
        <v>3379</v>
      </c>
      <c r="B2187" t="s">
        <v>146</v>
      </c>
      <c r="C2187">
        <v>51022262</v>
      </c>
      <c r="D2187">
        <v>8.9558</v>
      </c>
      <c r="E2187" t="s">
        <v>95</v>
      </c>
      <c r="F2187">
        <v>1177</v>
      </c>
      <c r="G2187" s="4">
        <v>46087.5937962963</v>
      </c>
    </row>
    <row r="2188" spans="1:7" x14ac:dyDescent="0.3">
      <c r="A2188">
        <v>3380</v>
      </c>
      <c r="B2188" t="s">
        <v>146</v>
      </c>
      <c r="C2188">
        <v>51017731</v>
      </c>
      <c r="D2188">
        <v>7.9667000000000012</v>
      </c>
      <c r="E2188" t="s">
        <v>95</v>
      </c>
      <c r="F2188">
        <v>1187</v>
      </c>
      <c r="G2188" s="4">
        <v>46087.5937962963</v>
      </c>
    </row>
    <row r="2189" spans="1:7" x14ac:dyDescent="0.3">
      <c r="A2189">
        <v>3381</v>
      </c>
      <c r="B2189" t="s">
        <v>146</v>
      </c>
      <c r="C2189">
        <v>51000269</v>
      </c>
      <c r="D2189">
        <v>7.91</v>
      </c>
      <c r="E2189" t="s">
        <v>95</v>
      </c>
      <c r="F2189">
        <v>1188</v>
      </c>
      <c r="G2189" s="4">
        <v>46087.5937962963</v>
      </c>
    </row>
    <row r="2190" spans="1:7" x14ac:dyDescent="0.3">
      <c r="A2190">
        <v>3382</v>
      </c>
      <c r="B2190" t="s">
        <v>146</v>
      </c>
      <c r="C2190">
        <v>51000862</v>
      </c>
      <c r="D2190">
        <v>19.8</v>
      </c>
      <c r="E2190" t="s">
        <v>95</v>
      </c>
      <c r="F2190">
        <v>989</v>
      </c>
      <c r="G2190" s="4">
        <v>46087.5937962963</v>
      </c>
    </row>
    <row r="2191" spans="1:7" x14ac:dyDescent="0.3">
      <c r="A2191">
        <v>3383</v>
      </c>
      <c r="B2191" t="s">
        <v>146</v>
      </c>
      <c r="C2191">
        <v>51001494</v>
      </c>
      <c r="D2191">
        <v>10.709999999999999</v>
      </c>
      <c r="E2191" t="s">
        <v>95</v>
      </c>
      <c r="F2191">
        <v>1150</v>
      </c>
      <c r="G2191" s="4">
        <v>46087.5937962963</v>
      </c>
    </row>
    <row r="2192" spans="1:7" x14ac:dyDescent="0.3">
      <c r="A2192">
        <v>3384</v>
      </c>
      <c r="B2192" t="s">
        <v>146</v>
      </c>
      <c r="C2192">
        <v>51001745</v>
      </c>
      <c r="D2192">
        <v>21.01</v>
      </c>
      <c r="E2192" t="s">
        <v>95</v>
      </c>
      <c r="F2192">
        <v>976</v>
      </c>
      <c r="G2192" s="4">
        <v>46087.5937962963</v>
      </c>
    </row>
    <row r="2193" spans="1:7" x14ac:dyDescent="0.3">
      <c r="A2193">
        <v>3385</v>
      </c>
      <c r="B2193" t="s">
        <v>146</v>
      </c>
      <c r="C2193">
        <v>51001923</v>
      </c>
      <c r="D2193">
        <v>15.840000000000002</v>
      </c>
      <c r="E2193" t="s">
        <v>95</v>
      </c>
      <c r="F2193">
        <v>1066</v>
      </c>
      <c r="G2193" s="4">
        <v>46087.5937962963</v>
      </c>
    </row>
    <row r="2194" spans="1:7" x14ac:dyDescent="0.3">
      <c r="A2194">
        <v>3386</v>
      </c>
      <c r="B2194" t="s">
        <v>146</v>
      </c>
      <c r="C2194">
        <v>51003721</v>
      </c>
      <c r="D2194">
        <v>14.5</v>
      </c>
      <c r="E2194" t="s">
        <v>95</v>
      </c>
      <c r="F2194">
        <v>1080</v>
      </c>
      <c r="G2194" s="4">
        <v>46087.5937962963</v>
      </c>
    </row>
    <row r="2195" spans="1:7" x14ac:dyDescent="0.3">
      <c r="A2195">
        <v>3387</v>
      </c>
      <c r="B2195" t="s">
        <v>146</v>
      </c>
      <c r="C2195">
        <v>51004167</v>
      </c>
      <c r="D2195">
        <v>13.7</v>
      </c>
      <c r="E2195" t="s">
        <v>95</v>
      </c>
      <c r="F2195">
        <v>1093</v>
      </c>
      <c r="G2195" s="4">
        <v>46087.5937962963</v>
      </c>
    </row>
    <row r="2196" spans="1:7" x14ac:dyDescent="0.3">
      <c r="A2196">
        <v>3388</v>
      </c>
      <c r="B2196" t="s">
        <v>146</v>
      </c>
      <c r="C2196">
        <v>51004671</v>
      </c>
      <c r="D2196">
        <v>12.459999999999999</v>
      </c>
      <c r="E2196" t="s">
        <v>95</v>
      </c>
      <c r="F2196">
        <v>1125</v>
      </c>
      <c r="G2196" s="4">
        <v>46087.5937962963</v>
      </c>
    </row>
    <row r="2197" spans="1:7" x14ac:dyDescent="0.3">
      <c r="A2197">
        <v>3389</v>
      </c>
      <c r="B2197" t="s">
        <v>146</v>
      </c>
      <c r="C2197">
        <v>51005058</v>
      </c>
      <c r="D2197">
        <v>19.3</v>
      </c>
      <c r="E2197" t="s">
        <v>95</v>
      </c>
      <c r="F2197">
        <v>998</v>
      </c>
      <c r="G2197" s="4">
        <v>46087.5937962963</v>
      </c>
    </row>
    <row r="2198" spans="1:7" x14ac:dyDescent="0.3">
      <c r="A2198">
        <v>3390</v>
      </c>
      <c r="B2198" t="s">
        <v>146</v>
      </c>
      <c r="C2198">
        <v>51005201</v>
      </c>
      <c r="D2198">
        <v>17.600000000000001</v>
      </c>
      <c r="E2198" t="s">
        <v>95</v>
      </c>
      <c r="F2198">
        <v>1034</v>
      </c>
      <c r="G2198" s="4">
        <v>46087.5937962963</v>
      </c>
    </row>
    <row r="2199" spans="1:7" x14ac:dyDescent="0.3">
      <c r="A2199">
        <v>3391</v>
      </c>
      <c r="B2199" t="s">
        <v>146</v>
      </c>
      <c r="C2199">
        <v>51005384</v>
      </c>
      <c r="D2199">
        <v>38.410215269154712</v>
      </c>
      <c r="E2199" t="s">
        <v>94</v>
      </c>
      <c r="F2199">
        <v>849</v>
      </c>
      <c r="G2199" s="4">
        <v>46087.5937962963</v>
      </c>
    </row>
    <row r="2200" spans="1:7" x14ac:dyDescent="0.3">
      <c r="A2200">
        <v>3392</v>
      </c>
      <c r="B2200" t="s">
        <v>146</v>
      </c>
      <c r="C2200">
        <v>51005902</v>
      </c>
      <c r="D2200">
        <v>58.576084236543615</v>
      </c>
      <c r="E2200" t="s">
        <v>94</v>
      </c>
      <c r="F2200">
        <v>671</v>
      </c>
      <c r="G2200" s="4">
        <v>46087.5937962963</v>
      </c>
    </row>
    <row r="2201" spans="1:7" x14ac:dyDescent="0.3">
      <c r="A2201">
        <v>3393</v>
      </c>
      <c r="B2201" t="s">
        <v>146</v>
      </c>
      <c r="C2201">
        <v>51006445</v>
      </c>
      <c r="D2201">
        <v>19.36</v>
      </c>
      <c r="E2201" t="s">
        <v>95</v>
      </c>
      <c r="F2201">
        <v>996</v>
      </c>
      <c r="G2201" s="4">
        <v>46087.5937962963</v>
      </c>
    </row>
    <row r="2202" spans="1:7" x14ac:dyDescent="0.3">
      <c r="A2202">
        <v>3394</v>
      </c>
      <c r="B2202" t="s">
        <v>146</v>
      </c>
      <c r="C2202">
        <v>51006453</v>
      </c>
      <c r="D2202">
        <v>15.639999999999999</v>
      </c>
      <c r="E2202" t="s">
        <v>95</v>
      </c>
      <c r="F2202">
        <v>1068</v>
      </c>
      <c r="G2202" s="4">
        <v>46087.5937962963</v>
      </c>
    </row>
    <row r="2203" spans="1:7" x14ac:dyDescent="0.3">
      <c r="A2203">
        <v>3395</v>
      </c>
      <c r="B2203" t="s">
        <v>146</v>
      </c>
      <c r="C2203">
        <v>51006518</v>
      </c>
      <c r="D2203">
        <v>12.81</v>
      </c>
      <c r="E2203" t="s">
        <v>95</v>
      </c>
      <c r="F2203">
        <v>1115</v>
      </c>
      <c r="G2203" s="4">
        <v>46087.5937962963</v>
      </c>
    </row>
    <row r="2204" spans="1:7" x14ac:dyDescent="0.3">
      <c r="A2204">
        <v>3396</v>
      </c>
      <c r="B2204" t="s">
        <v>146</v>
      </c>
      <c r="C2204">
        <v>51006674</v>
      </c>
      <c r="D2204">
        <v>16.5</v>
      </c>
      <c r="E2204" t="s">
        <v>95</v>
      </c>
      <c r="F2204">
        <v>1057</v>
      </c>
      <c r="G2204" s="4">
        <v>46087.5937962963</v>
      </c>
    </row>
    <row r="2205" spans="1:7" x14ac:dyDescent="0.3">
      <c r="A2205">
        <v>3397</v>
      </c>
      <c r="B2205" t="s">
        <v>146</v>
      </c>
      <c r="C2205">
        <v>51010094</v>
      </c>
      <c r="D2205">
        <v>15.3</v>
      </c>
      <c r="E2205" t="s">
        <v>95</v>
      </c>
      <c r="F2205">
        <v>1072</v>
      </c>
      <c r="G2205" s="4">
        <v>46087.5937962963</v>
      </c>
    </row>
    <row r="2206" spans="1:7" x14ac:dyDescent="0.3">
      <c r="A2206">
        <v>3398</v>
      </c>
      <c r="B2206" t="s">
        <v>146</v>
      </c>
      <c r="C2206">
        <v>51010108</v>
      </c>
      <c r="D2206">
        <v>10.36</v>
      </c>
      <c r="E2206" t="s">
        <v>95</v>
      </c>
      <c r="F2206">
        <v>1162</v>
      </c>
      <c r="G2206" s="4">
        <v>46087.5937962963</v>
      </c>
    </row>
    <row r="2207" spans="1:7" x14ac:dyDescent="0.3">
      <c r="A2207">
        <v>3399</v>
      </c>
      <c r="B2207" t="s">
        <v>146</v>
      </c>
      <c r="C2207">
        <v>51010167</v>
      </c>
      <c r="D2207">
        <v>22.655000000000001</v>
      </c>
      <c r="E2207" t="s">
        <v>95</v>
      </c>
      <c r="F2207">
        <v>959</v>
      </c>
      <c r="G2207" s="4">
        <v>46087.5937962963</v>
      </c>
    </row>
    <row r="2208" spans="1:7" x14ac:dyDescent="0.3">
      <c r="A2208">
        <v>3400</v>
      </c>
      <c r="B2208" t="s">
        <v>146</v>
      </c>
      <c r="C2208">
        <v>51010388</v>
      </c>
      <c r="D2208">
        <v>7.91</v>
      </c>
      <c r="E2208" t="s">
        <v>95</v>
      </c>
      <c r="F2208">
        <v>1188</v>
      </c>
      <c r="G2208" s="4">
        <v>46087.5937962963</v>
      </c>
    </row>
    <row r="2209" spans="1:7" x14ac:dyDescent="0.3">
      <c r="A2209">
        <v>3401</v>
      </c>
      <c r="B2209" t="s">
        <v>146</v>
      </c>
      <c r="C2209">
        <v>51010477</v>
      </c>
      <c r="D2209">
        <v>16.899999999999999</v>
      </c>
      <c r="E2209" t="s">
        <v>95</v>
      </c>
      <c r="F2209">
        <v>1049</v>
      </c>
      <c r="G2209" s="4">
        <v>46087.5937962963</v>
      </c>
    </row>
    <row r="2210" spans="1:7" x14ac:dyDescent="0.3">
      <c r="A2210">
        <v>3402</v>
      </c>
      <c r="B2210" t="s">
        <v>146</v>
      </c>
      <c r="C2210">
        <v>51010485</v>
      </c>
      <c r="D2210">
        <v>9.870000000000001</v>
      </c>
      <c r="E2210" t="s">
        <v>95</v>
      </c>
      <c r="F2210">
        <v>1170</v>
      </c>
      <c r="G2210" s="4">
        <v>46087.5937962963</v>
      </c>
    </row>
    <row r="2211" spans="1:7" x14ac:dyDescent="0.3">
      <c r="A2211">
        <v>3403</v>
      </c>
      <c r="B2211" t="s">
        <v>146</v>
      </c>
      <c r="C2211">
        <v>51010612</v>
      </c>
      <c r="D2211">
        <v>9.5899999999999981</v>
      </c>
      <c r="E2211" t="s">
        <v>95</v>
      </c>
      <c r="F2211">
        <v>1172</v>
      </c>
      <c r="G2211" s="4">
        <v>46087.5937962963</v>
      </c>
    </row>
    <row r="2212" spans="1:7" x14ac:dyDescent="0.3">
      <c r="A2212">
        <v>3404</v>
      </c>
      <c r="B2212" t="s">
        <v>146</v>
      </c>
      <c r="C2212">
        <v>51010639</v>
      </c>
      <c r="D2212">
        <v>18.100000000000001</v>
      </c>
      <c r="E2212" t="s">
        <v>95</v>
      </c>
      <c r="F2212">
        <v>1026</v>
      </c>
      <c r="G2212" s="4">
        <v>46087.5937962963</v>
      </c>
    </row>
    <row r="2213" spans="1:7" x14ac:dyDescent="0.3">
      <c r="A2213">
        <v>3405</v>
      </c>
      <c r="B2213" t="s">
        <v>146</v>
      </c>
      <c r="C2213">
        <v>51010965</v>
      </c>
      <c r="D2213">
        <v>8.33</v>
      </c>
      <c r="E2213" t="s">
        <v>95</v>
      </c>
      <c r="F2213">
        <v>1182</v>
      </c>
      <c r="G2213" s="4">
        <v>46087.5937962963</v>
      </c>
    </row>
    <row r="2214" spans="1:7" x14ac:dyDescent="0.3">
      <c r="A2214">
        <v>3406</v>
      </c>
      <c r="B2214" t="s">
        <v>146</v>
      </c>
      <c r="C2214">
        <v>51011082</v>
      </c>
      <c r="D2214">
        <v>32.123000000000005</v>
      </c>
      <c r="E2214" t="s">
        <v>94</v>
      </c>
      <c r="F2214">
        <v>885</v>
      </c>
      <c r="G2214" s="4">
        <v>46087.5937962963</v>
      </c>
    </row>
    <row r="2215" spans="1:7" x14ac:dyDescent="0.3">
      <c r="A2215">
        <v>3407</v>
      </c>
      <c r="B2215" t="s">
        <v>146</v>
      </c>
      <c r="C2215">
        <v>51011104</v>
      </c>
      <c r="D2215">
        <v>18.859999999999996</v>
      </c>
      <c r="E2215" t="s">
        <v>95</v>
      </c>
      <c r="F2215">
        <v>1012</v>
      </c>
      <c r="G2215" s="4">
        <v>46087.5937962963</v>
      </c>
    </row>
    <row r="2216" spans="1:7" x14ac:dyDescent="0.3">
      <c r="A2216">
        <v>3408</v>
      </c>
      <c r="B2216" t="s">
        <v>146</v>
      </c>
      <c r="C2216">
        <v>51011163</v>
      </c>
      <c r="D2216">
        <v>19.8</v>
      </c>
      <c r="E2216" t="s">
        <v>95</v>
      </c>
      <c r="F2216">
        <v>989</v>
      </c>
      <c r="G2216" s="4">
        <v>46087.5937962963</v>
      </c>
    </row>
    <row r="2217" spans="1:7" x14ac:dyDescent="0.3">
      <c r="A2217">
        <v>3409</v>
      </c>
      <c r="B2217" t="s">
        <v>146</v>
      </c>
      <c r="C2217">
        <v>51011406</v>
      </c>
      <c r="D2217">
        <v>8.33</v>
      </c>
      <c r="E2217" t="s">
        <v>95</v>
      </c>
      <c r="F2217">
        <v>1182</v>
      </c>
      <c r="G2217" s="4">
        <v>46087.5937962963</v>
      </c>
    </row>
    <row r="2218" spans="1:7" x14ac:dyDescent="0.3">
      <c r="A2218">
        <v>3410</v>
      </c>
      <c r="B2218" t="s">
        <v>146</v>
      </c>
      <c r="C2218">
        <v>51011503</v>
      </c>
      <c r="D2218">
        <v>16.384999999999998</v>
      </c>
      <c r="E2218" t="s">
        <v>95</v>
      </c>
      <c r="F2218">
        <v>1058</v>
      </c>
      <c r="G2218" s="4">
        <v>46087.5937962963</v>
      </c>
    </row>
    <row r="2219" spans="1:7" x14ac:dyDescent="0.3">
      <c r="A2219">
        <v>3411</v>
      </c>
      <c r="B2219" t="s">
        <v>146</v>
      </c>
      <c r="C2219">
        <v>51011511</v>
      </c>
      <c r="D2219">
        <v>8.68</v>
      </c>
      <c r="E2219" t="s">
        <v>95</v>
      </c>
      <c r="F2219">
        <v>1179</v>
      </c>
      <c r="G2219" s="4">
        <v>46087.5937962963</v>
      </c>
    </row>
    <row r="2220" spans="1:7" x14ac:dyDescent="0.3">
      <c r="A2220">
        <v>3412</v>
      </c>
      <c r="B2220" t="s">
        <v>146</v>
      </c>
      <c r="C2220">
        <v>51011881</v>
      </c>
      <c r="D2220">
        <v>17.7</v>
      </c>
      <c r="E2220" t="s">
        <v>95</v>
      </c>
      <c r="F2220">
        <v>1033</v>
      </c>
      <c r="G2220" s="4">
        <v>46087.5937962963</v>
      </c>
    </row>
    <row r="2221" spans="1:7" x14ac:dyDescent="0.3">
      <c r="A2221">
        <v>3413</v>
      </c>
      <c r="B2221" t="s">
        <v>146</v>
      </c>
      <c r="C2221">
        <v>51011911</v>
      </c>
      <c r="D2221">
        <v>14.254999999999999</v>
      </c>
      <c r="E2221" t="s">
        <v>95</v>
      </c>
      <c r="F2221">
        <v>1084</v>
      </c>
      <c r="G2221" s="4">
        <v>46087.5937962963</v>
      </c>
    </row>
    <row r="2222" spans="1:7" x14ac:dyDescent="0.3">
      <c r="A2222">
        <v>3414</v>
      </c>
      <c r="B2222" t="s">
        <v>146</v>
      </c>
      <c r="C2222">
        <v>51011945</v>
      </c>
      <c r="D2222">
        <v>18.100000000000001</v>
      </c>
      <c r="E2222" t="s">
        <v>95</v>
      </c>
      <c r="F2222">
        <v>1026</v>
      </c>
      <c r="G2222" s="4">
        <v>46087.5937962963</v>
      </c>
    </row>
    <row r="2223" spans="1:7" x14ac:dyDescent="0.3">
      <c r="A2223">
        <v>3415</v>
      </c>
      <c r="B2223" t="s">
        <v>146</v>
      </c>
      <c r="C2223">
        <v>51012089</v>
      </c>
      <c r="D2223">
        <v>13.5</v>
      </c>
      <c r="E2223" t="s">
        <v>95</v>
      </c>
      <c r="F2223">
        <v>1095</v>
      </c>
      <c r="G2223" s="4">
        <v>46087.5937962963</v>
      </c>
    </row>
    <row r="2224" spans="1:7" x14ac:dyDescent="0.3">
      <c r="A2224">
        <v>3416</v>
      </c>
      <c r="B2224" t="s">
        <v>146</v>
      </c>
      <c r="C2224">
        <v>51012283</v>
      </c>
      <c r="D2224">
        <v>15.328000000000001</v>
      </c>
      <c r="E2224" t="s">
        <v>95</v>
      </c>
      <c r="F2224">
        <v>1071</v>
      </c>
      <c r="G2224" s="4">
        <v>46087.5937962963</v>
      </c>
    </row>
    <row r="2225" spans="1:7" x14ac:dyDescent="0.3">
      <c r="A2225">
        <v>3417</v>
      </c>
      <c r="B2225" t="s">
        <v>146</v>
      </c>
      <c r="C2225">
        <v>51012429</v>
      </c>
      <c r="D2225">
        <v>18.899999999999999</v>
      </c>
      <c r="E2225" t="s">
        <v>95</v>
      </c>
      <c r="F2225">
        <v>1008</v>
      </c>
      <c r="G2225" s="4">
        <v>46087.5937962963</v>
      </c>
    </row>
    <row r="2226" spans="1:7" x14ac:dyDescent="0.3">
      <c r="A2226">
        <v>3418</v>
      </c>
      <c r="B2226" t="s">
        <v>146</v>
      </c>
      <c r="C2226">
        <v>51012569</v>
      </c>
      <c r="D2226">
        <v>15.96</v>
      </c>
      <c r="E2226" t="s">
        <v>95</v>
      </c>
      <c r="F2226">
        <v>1065</v>
      </c>
      <c r="G2226" s="4">
        <v>46087.5937962963</v>
      </c>
    </row>
    <row r="2227" spans="1:7" x14ac:dyDescent="0.3">
      <c r="A2227">
        <v>3419</v>
      </c>
      <c r="B2227" t="s">
        <v>146</v>
      </c>
      <c r="C2227">
        <v>51012631</v>
      </c>
      <c r="D2227">
        <v>12.980000000000002</v>
      </c>
      <c r="E2227" t="s">
        <v>95</v>
      </c>
      <c r="F2227">
        <v>1111</v>
      </c>
      <c r="G2227" s="4">
        <v>46087.5937962963</v>
      </c>
    </row>
    <row r="2228" spans="1:7" x14ac:dyDescent="0.3">
      <c r="A2228">
        <v>3420</v>
      </c>
      <c r="B2228" t="s">
        <v>146</v>
      </c>
      <c r="C2228">
        <v>51012844</v>
      </c>
      <c r="D2228">
        <v>8.8199999999999985</v>
      </c>
      <c r="E2228" t="s">
        <v>95</v>
      </c>
      <c r="F2228">
        <v>1178</v>
      </c>
      <c r="G2228" s="4">
        <v>46087.5937962963</v>
      </c>
    </row>
    <row r="2229" spans="1:7" x14ac:dyDescent="0.3">
      <c r="A2229">
        <v>3421</v>
      </c>
      <c r="B2229" t="s">
        <v>146</v>
      </c>
      <c r="C2229">
        <v>51012925</v>
      </c>
      <c r="D2229">
        <v>7.56</v>
      </c>
      <c r="E2229" t="s">
        <v>95</v>
      </c>
      <c r="F2229">
        <v>1191</v>
      </c>
      <c r="G2229" s="4">
        <v>46087.5937962963</v>
      </c>
    </row>
    <row r="2230" spans="1:7" x14ac:dyDescent="0.3">
      <c r="A2230">
        <v>3422</v>
      </c>
      <c r="B2230" t="s">
        <v>146</v>
      </c>
      <c r="C2230">
        <v>51012968</v>
      </c>
      <c r="D2230">
        <v>18.63</v>
      </c>
      <c r="E2230" t="s">
        <v>95</v>
      </c>
      <c r="F2230">
        <v>1018</v>
      </c>
      <c r="G2230" s="4">
        <v>46087.5937962963</v>
      </c>
    </row>
    <row r="2231" spans="1:7" x14ac:dyDescent="0.3">
      <c r="A2231">
        <v>3423</v>
      </c>
      <c r="B2231" t="s">
        <v>146</v>
      </c>
      <c r="C2231">
        <v>51013042</v>
      </c>
      <c r="D2231">
        <v>15.683</v>
      </c>
      <c r="E2231" t="s">
        <v>95</v>
      </c>
      <c r="F2231">
        <v>1067</v>
      </c>
      <c r="G2231" s="4">
        <v>46087.5937962963</v>
      </c>
    </row>
    <row r="2232" spans="1:7" x14ac:dyDescent="0.3">
      <c r="A2232">
        <v>3424</v>
      </c>
      <c r="B2232" t="s">
        <v>146</v>
      </c>
      <c r="C2232">
        <v>51013123</v>
      </c>
      <c r="D2232">
        <v>11</v>
      </c>
      <c r="E2232" t="s">
        <v>95</v>
      </c>
      <c r="F2232">
        <v>1142</v>
      </c>
      <c r="G2232" s="4">
        <v>46087.5937962963</v>
      </c>
    </row>
    <row r="2233" spans="1:7" x14ac:dyDescent="0.3">
      <c r="A2233">
        <v>3425</v>
      </c>
      <c r="B2233" t="s">
        <v>146</v>
      </c>
      <c r="C2233">
        <v>51013174</v>
      </c>
      <c r="D2233">
        <v>14.489999999999998</v>
      </c>
      <c r="E2233" t="s">
        <v>95</v>
      </c>
      <c r="F2233">
        <v>1082</v>
      </c>
      <c r="G2233" s="4">
        <v>46087.5937962963</v>
      </c>
    </row>
    <row r="2234" spans="1:7" x14ac:dyDescent="0.3">
      <c r="A2234">
        <v>3426</v>
      </c>
      <c r="B2234" t="s">
        <v>146</v>
      </c>
      <c r="C2234">
        <v>51013263</v>
      </c>
      <c r="D2234">
        <v>18.399999999999999</v>
      </c>
      <c r="E2234" t="s">
        <v>95</v>
      </c>
      <c r="F2234">
        <v>1021</v>
      </c>
      <c r="G2234" s="4">
        <v>46087.5937962963</v>
      </c>
    </row>
    <row r="2235" spans="1:7" x14ac:dyDescent="0.3">
      <c r="A2235">
        <v>3427</v>
      </c>
      <c r="B2235" t="s">
        <v>146</v>
      </c>
      <c r="C2235">
        <v>51013751</v>
      </c>
      <c r="D2235">
        <v>20.443500000000004</v>
      </c>
      <c r="E2235" t="s">
        <v>95</v>
      </c>
      <c r="F2235">
        <v>979</v>
      </c>
      <c r="G2235" s="4">
        <v>46087.5937962963</v>
      </c>
    </row>
    <row r="2236" spans="1:7" x14ac:dyDescent="0.3">
      <c r="A2236">
        <v>3428</v>
      </c>
      <c r="B2236" t="s">
        <v>146</v>
      </c>
      <c r="C2236">
        <v>51013905</v>
      </c>
      <c r="D2236">
        <v>10.8</v>
      </c>
      <c r="E2236" t="s">
        <v>95</v>
      </c>
      <c r="F2236">
        <v>1147</v>
      </c>
      <c r="G2236" s="4">
        <v>46087.5937962963</v>
      </c>
    </row>
    <row r="2237" spans="1:7" x14ac:dyDescent="0.3">
      <c r="A2237">
        <v>3429</v>
      </c>
      <c r="B2237" t="s">
        <v>146</v>
      </c>
      <c r="C2237">
        <v>51014073</v>
      </c>
      <c r="D2237">
        <v>18.200000000000003</v>
      </c>
      <c r="E2237" t="s">
        <v>95</v>
      </c>
      <c r="F2237">
        <v>1023</v>
      </c>
      <c r="G2237" s="4">
        <v>46087.5937962963</v>
      </c>
    </row>
    <row r="2238" spans="1:7" x14ac:dyDescent="0.3">
      <c r="A2238">
        <v>3430</v>
      </c>
      <c r="B2238" t="s">
        <v>146</v>
      </c>
      <c r="C2238">
        <v>51014154</v>
      </c>
      <c r="D2238">
        <v>13.02</v>
      </c>
      <c r="E2238" t="s">
        <v>95</v>
      </c>
      <c r="F2238">
        <v>1110</v>
      </c>
      <c r="G2238" s="4">
        <v>46087.5937962963</v>
      </c>
    </row>
    <row r="2239" spans="1:7" x14ac:dyDescent="0.3">
      <c r="A2239">
        <v>3431</v>
      </c>
      <c r="B2239" t="s">
        <v>146</v>
      </c>
      <c r="C2239">
        <v>51014227</v>
      </c>
      <c r="D2239">
        <v>13.1</v>
      </c>
      <c r="E2239" t="s">
        <v>95</v>
      </c>
      <c r="F2239">
        <v>1107</v>
      </c>
      <c r="G2239" s="4">
        <v>46087.5937962963</v>
      </c>
    </row>
    <row r="2240" spans="1:7" x14ac:dyDescent="0.3">
      <c r="A2240">
        <v>3432</v>
      </c>
      <c r="B2240" t="s">
        <v>146</v>
      </c>
      <c r="C2240">
        <v>51014651</v>
      </c>
      <c r="D2240">
        <v>13.8</v>
      </c>
      <c r="E2240" t="s">
        <v>95</v>
      </c>
      <c r="F2240">
        <v>1088</v>
      </c>
      <c r="G2240" s="4">
        <v>46087.5937962963</v>
      </c>
    </row>
    <row r="2241" spans="1:7" x14ac:dyDescent="0.3">
      <c r="A2241">
        <v>3433</v>
      </c>
      <c r="B2241" t="s">
        <v>146</v>
      </c>
      <c r="C2241">
        <v>51014723</v>
      </c>
      <c r="D2241">
        <v>11.339999999999998</v>
      </c>
      <c r="E2241" t="s">
        <v>95</v>
      </c>
      <c r="F2241">
        <v>1138</v>
      </c>
      <c r="G2241" s="4">
        <v>46087.5937962963</v>
      </c>
    </row>
    <row r="2242" spans="1:7" x14ac:dyDescent="0.3">
      <c r="A2242">
        <v>3434</v>
      </c>
      <c r="B2242" t="s">
        <v>146</v>
      </c>
      <c r="C2242">
        <v>51015282</v>
      </c>
      <c r="D2242">
        <v>12.540000000000001</v>
      </c>
      <c r="E2242" t="s">
        <v>95</v>
      </c>
      <c r="F2242">
        <v>1123</v>
      </c>
      <c r="G2242" s="4">
        <v>46087.5937962963</v>
      </c>
    </row>
    <row r="2243" spans="1:7" x14ac:dyDescent="0.3">
      <c r="A2243">
        <v>3435</v>
      </c>
      <c r="B2243" t="s">
        <v>146</v>
      </c>
      <c r="C2243">
        <v>51015576</v>
      </c>
      <c r="D2243">
        <v>10.9</v>
      </c>
      <c r="E2243" t="s">
        <v>95</v>
      </c>
      <c r="F2243">
        <v>1145</v>
      </c>
      <c r="G2243" s="4">
        <v>46087.5937962963</v>
      </c>
    </row>
    <row r="2244" spans="1:7" x14ac:dyDescent="0.3">
      <c r="A2244">
        <v>3436</v>
      </c>
      <c r="B2244" t="s">
        <v>146</v>
      </c>
      <c r="C2244">
        <v>51015690</v>
      </c>
      <c r="D2244">
        <v>10.8</v>
      </c>
      <c r="E2244" t="s">
        <v>95</v>
      </c>
      <c r="F2244">
        <v>1147</v>
      </c>
      <c r="G2244" s="4">
        <v>46087.5937962963</v>
      </c>
    </row>
    <row r="2245" spans="1:7" x14ac:dyDescent="0.3">
      <c r="A2245">
        <v>3437</v>
      </c>
      <c r="B2245" t="s">
        <v>146</v>
      </c>
      <c r="C2245">
        <v>51015738</v>
      </c>
      <c r="D2245">
        <v>10.6</v>
      </c>
      <c r="E2245" t="s">
        <v>95</v>
      </c>
      <c r="F2245">
        <v>1156</v>
      </c>
      <c r="G2245" s="4">
        <v>46087.5937962963</v>
      </c>
    </row>
    <row r="2246" spans="1:7" x14ac:dyDescent="0.3">
      <c r="A2246">
        <v>3438</v>
      </c>
      <c r="B2246" t="s">
        <v>146</v>
      </c>
      <c r="C2246">
        <v>51015959</v>
      </c>
      <c r="D2246">
        <v>12.529999999999998</v>
      </c>
      <c r="E2246" t="s">
        <v>95</v>
      </c>
      <c r="F2246">
        <v>1124</v>
      </c>
      <c r="G2246" s="4">
        <v>46087.5937962963</v>
      </c>
    </row>
    <row r="2247" spans="1:7" x14ac:dyDescent="0.3">
      <c r="A2247">
        <v>3439</v>
      </c>
      <c r="B2247" t="s">
        <v>146</v>
      </c>
      <c r="C2247">
        <v>51015991</v>
      </c>
      <c r="D2247">
        <v>11.41</v>
      </c>
      <c r="E2247" t="s">
        <v>95</v>
      </c>
      <c r="F2247">
        <v>1135</v>
      </c>
      <c r="G2247" s="4">
        <v>46087.5937962963</v>
      </c>
    </row>
    <row r="2248" spans="1:7" x14ac:dyDescent="0.3">
      <c r="A2248">
        <v>3440</v>
      </c>
      <c r="B2248" t="s">
        <v>146</v>
      </c>
      <c r="C2248">
        <v>51016122</v>
      </c>
      <c r="D2248">
        <v>12.7</v>
      </c>
      <c r="E2248" t="s">
        <v>95</v>
      </c>
      <c r="F2248">
        <v>1119</v>
      </c>
      <c r="G2248" s="4">
        <v>46087.5937962963</v>
      </c>
    </row>
    <row r="2249" spans="1:7" x14ac:dyDescent="0.3">
      <c r="A2249">
        <v>3441</v>
      </c>
      <c r="B2249" t="s">
        <v>146</v>
      </c>
      <c r="C2249">
        <v>51016190</v>
      </c>
      <c r="D2249">
        <v>13.5</v>
      </c>
      <c r="E2249" t="s">
        <v>95</v>
      </c>
      <c r="F2249">
        <v>1095</v>
      </c>
      <c r="G2249" s="4">
        <v>46087.5937962963</v>
      </c>
    </row>
    <row r="2250" spans="1:7" x14ac:dyDescent="0.3">
      <c r="A2250">
        <v>3442</v>
      </c>
      <c r="B2250" t="s">
        <v>146</v>
      </c>
      <c r="C2250">
        <v>51016505</v>
      </c>
      <c r="D2250">
        <v>11.398000000000001</v>
      </c>
      <c r="E2250" t="s">
        <v>95</v>
      </c>
      <c r="F2250">
        <v>1137</v>
      </c>
      <c r="G2250" s="4">
        <v>46087.5937962963</v>
      </c>
    </row>
    <row r="2251" spans="1:7" x14ac:dyDescent="0.3">
      <c r="A2251">
        <v>3443</v>
      </c>
      <c r="B2251" t="s">
        <v>146</v>
      </c>
      <c r="C2251">
        <v>51016670</v>
      </c>
      <c r="D2251">
        <v>13.785</v>
      </c>
      <c r="E2251" t="s">
        <v>95</v>
      </c>
      <c r="F2251">
        <v>1090</v>
      </c>
      <c r="G2251" s="4">
        <v>46087.5937962963</v>
      </c>
    </row>
    <row r="2252" spans="1:7" x14ac:dyDescent="0.3">
      <c r="A2252">
        <v>3444</v>
      </c>
      <c r="B2252" t="s">
        <v>146</v>
      </c>
      <c r="C2252">
        <v>51016751</v>
      </c>
      <c r="D2252">
        <v>13.86</v>
      </c>
      <c r="E2252" t="s">
        <v>95</v>
      </c>
      <c r="F2252">
        <v>1087</v>
      </c>
      <c r="G2252" s="4">
        <v>46087.5937962963</v>
      </c>
    </row>
    <row r="2253" spans="1:7" x14ac:dyDescent="0.3">
      <c r="A2253">
        <v>3445</v>
      </c>
      <c r="B2253" t="s">
        <v>146</v>
      </c>
      <c r="C2253">
        <v>51016769</v>
      </c>
      <c r="D2253">
        <v>19.600000000000001</v>
      </c>
      <c r="E2253" t="s">
        <v>95</v>
      </c>
      <c r="F2253">
        <v>993</v>
      </c>
      <c r="G2253" s="4">
        <v>46087.5937962963</v>
      </c>
    </row>
    <row r="2254" spans="1:7" x14ac:dyDescent="0.3">
      <c r="A2254">
        <v>3446</v>
      </c>
      <c r="B2254" t="s">
        <v>146</v>
      </c>
      <c r="C2254">
        <v>51016807</v>
      </c>
      <c r="D2254">
        <v>18.198</v>
      </c>
      <c r="E2254" t="s">
        <v>95</v>
      </c>
      <c r="F2254">
        <v>1024</v>
      </c>
      <c r="G2254" s="4">
        <v>46087.5937962963</v>
      </c>
    </row>
    <row r="2255" spans="1:7" x14ac:dyDescent="0.3">
      <c r="A2255">
        <v>3447</v>
      </c>
      <c r="B2255" t="s">
        <v>146</v>
      </c>
      <c r="C2255">
        <v>51016912</v>
      </c>
      <c r="D2255">
        <v>12.67</v>
      </c>
      <c r="E2255" t="s">
        <v>95</v>
      </c>
      <c r="F2255">
        <v>1121</v>
      </c>
      <c r="G2255" s="4">
        <v>46087.5937962963</v>
      </c>
    </row>
    <row r="2256" spans="1:7" x14ac:dyDescent="0.3">
      <c r="A2256">
        <v>3448</v>
      </c>
      <c r="B2256" t="s">
        <v>146</v>
      </c>
      <c r="C2256">
        <v>51017005</v>
      </c>
      <c r="D2256">
        <v>19.204999999999998</v>
      </c>
      <c r="E2256" t="s">
        <v>95</v>
      </c>
      <c r="F2256">
        <v>1000</v>
      </c>
      <c r="G2256" s="4">
        <v>46087.5937962963</v>
      </c>
    </row>
    <row r="2257" spans="1:7" x14ac:dyDescent="0.3">
      <c r="A2257">
        <v>3449</v>
      </c>
      <c r="B2257" t="s">
        <v>146</v>
      </c>
      <c r="C2257">
        <v>51017200</v>
      </c>
      <c r="D2257">
        <v>17.600000000000001</v>
      </c>
      <c r="E2257" t="s">
        <v>95</v>
      </c>
      <c r="F2257">
        <v>1034</v>
      </c>
      <c r="G2257" s="4">
        <v>46087.5937962963</v>
      </c>
    </row>
    <row r="2258" spans="1:7" x14ac:dyDescent="0.3">
      <c r="A2258">
        <v>3450</v>
      </c>
      <c r="B2258" t="s">
        <v>146</v>
      </c>
      <c r="C2258">
        <v>51017692</v>
      </c>
      <c r="D2258">
        <v>10.3</v>
      </c>
      <c r="E2258" t="s">
        <v>95</v>
      </c>
      <c r="F2258">
        <v>1163</v>
      </c>
      <c r="G2258" s="4">
        <v>46087.5937962963</v>
      </c>
    </row>
    <row r="2259" spans="1:7" x14ac:dyDescent="0.3">
      <c r="A2259">
        <v>3451</v>
      </c>
      <c r="B2259" t="s">
        <v>146</v>
      </c>
      <c r="C2259">
        <v>51017781</v>
      </c>
      <c r="D2259">
        <v>21.450000000000003</v>
      </c>
      <c r="E2259" t="s">
        <v>95</v>
      </c>
      <c r="F2259">
        <v>975</v>
      </c>
      <c r="G2259" s="4">
        <v>46087.5937962963</v>
      </c>
    </row>
    <row r="2260" spans="1:7" x14ac:dyDescent="0.3">
      <c r="A2260">
        <v>3452</v>
      </c>
      <c r="B2260" t="s">
        <v>146</v>
      </c>
      <c r="C2260">
        <v>51018010</v>
      </c>
      <c r="D2260">
        <v>13.229999999999999</v>
      </c>
      <c r="E2260" t="s">
        <v>95</v>
      </c>
      <c r="F2260">
        <v>1104</v>
      </c>
      <c r="G2260" s="4">
        <v>46087.5937962963</v>
      </c>
    </row>
    <row r="2261" spans="1:7" x14ac:dyDescent="0.3">
      <c r="A2261">
        <v>3453</v>
      </c>
      <c r="B2261" t="s">
        <v>146</v>
      </c>
      <c r="C2261">
        <v>51018168</v>
      </c>
      <c r="D2261">
        <v>10.57</v>
      </c>
      <c r="E2261" t="s">
        <v>95</v>
      </c>
      <c r="F2261">
        <v>1158</v>
      </c>
      <c r="G2261" s="4">
        <v>46087.5937962963</v>
      </c>
    </row>
    <row r="2262" spans="1:7" x14ac:dyDescent="0.3">
      <c r="A2262">
        <v>3454</v>
      </c>
      <c r="B2262" t="s">
        <v>146</v>
      </c>
      <c r="C2262">
        <v>51018192</v>
      </c>
      <c r="D2262">
        <v>17.940000000000001</v>
      </c>
      <c r="E2262" t="s">
        <v>95</v>
      </c>
      <c r="F2262">
        <v>1031</v>
      </c>
      <c r="G2262" s="4">
        <v>46087.5937962963</v>
      </c>
    </row>
    <row r="2263" spans="1:7" x14ac:dyDescent="0.3">
      <c r="A2263">
        <v>3455</v>
      </c>
      <c r="B2263" t="s">
        <v>146</v>
      </c>
      <c r="C2263">
        <v>51018281</v>
      </c>
      <c r="D2263">
        <v>20.239999999999998</v>
      </c>
      <c r="E2263" t="s">
        <v>95</v>
      </c>
      <c r="F2263">
        <v>983</v>
      </c>
      <c r="G2263" s="4">
        <v>46087.5937962963</v>
      </c>
    </row>
    <row r="2264" spans="1:7" x14ac:dyDescent="0.3">
      <c r="A2264">
        <v>3456</v>
      </c>
      <c r="B2264" t="s">
        <v>146</v>
      </c>
      <c r="C2264">
        <v>51018915</v>
      </c>
      <c r="D2264">
        <v>19.3</v>
      </c>
      <c r="E2264" t="s">
        <v>95</v>
      </c>
      <c r="F2264">
        <v>998</v>
      </c>
      <c r="G2264" s="4">
        <v>46087.5937962963</v>
      </c>
    </row>
    <row r="2265" spans="1:7" x14ac:dyDescent="0.3">
      <c r="A2265">
        <v>3457</v>
      </c>
      <c r="B2265" t="s">
        <v>146</v>
      </c>
      <c r="C2265">
        <v>51019075</v>
      </c>
      <c r="D2265">
        <v>16.2</v>
      </c>
      <c r="E2265" t="s">
        <v>95</v>
      </c>
      <c r="F2265">
        <v>1060</v>
      </c>
      <c r="G2265" s="4">
        <v>46087.5937962963</v>
      </c>
    </row>
    <row r="2266" spans="1:7" x14ac:dyDescent="0.3">
      <c r="A2266">
        <v>3458</v>
      </c>
      <c r="B2266" t="s">
        <v>146</v>
      </c>
      <c r="C2266">
        <v>51019156</v>
      </c>
      <c r="D2266">
        <v>8.3999999999999986</v>
      </c>
      <c r="E2266" t="s">
        <v>95</v>
      </c>
      <c r="F2266">
        <v>1180</v>
      </c>
      <c r="G2266" s="4">
        <v>46087.5937962963</v>
      </c>
    </row>
    <row r="2267" spans="1:7" x14ac:dyDescent="0.3">
      <c r="A2267">
        <v>3459</v>
      </c>
      <c r="B2267" t="s">
        <v>146</v>
      </c>
      <c r="C2267">
        <v>51019181</v>
      </c>
      <c r="D2267">
        <v>19.100000000000001</v>
      </c>
      <c r="E2267" t="s">
        <v>95</v>
      </c>
      <c r="F2267">
        <v>1005</v>
      </c>
      <c r="G2267" s="4">
        <v>46087.5937962963</v>
      </c>
    </row>
    <row r="2268" spans="1:7" x14ac:dyDescent="0.3">
      <c r="A2268">
        <v>3460</v>
      </c>
      <c r="B2268" t="s">
        <v>146</v>
      </c>
      <c r="C2268">
        <v>51019237</v>
      </c>
      <c r="D2268">
        <v>19.14</v>
      </c>
      <c r="E2268" t="s">
        <v>95</v>
      </c>
      <c r="F2268">
        <v>1003</v>
      </c>
      <c r="G2268" s="4">
        <v>46087.5937962963</v>
      </c>
    </row>
    <row r="2269" spans="1:7" x14ac:dyDescent="0.3">
      <c r="A2269">
        <v>3461</v>
      </c>
      <c r="B2269" t="s">
        <v>146</v>
      </c>
      <c r="C2269">
        <v>51019351</v>
      </c>
      <c r="D2269">
        <v>14.8</v>
      </c>
      <c r="E2269" t="s">
        <v>95</v>
      </c>
      <c r="F2269">
        <v>1078</v>
      </c>
      <c r="G2269" s="4">
        <v>46087.5937962963</v>
      </c>
    </row>
    <row r="2270" spans="1:7" x14ac:dyDescent="0.3">
      <c r="A2270">
        <v>3462</v>
      </c>
      <c r="B2270" t="s">
        <v>146</v>
      </c>
      <c r="C2270">
        <v>51019725</v>
      </c>
      <c r="D2270">
        <v>36.74</v>
      </c>
      <c r="E2270" t="s">
        <v>94</v>
      </c>
      <c r="F2270">
        <v>859</v>
      </c>
      <c r="G2270" s="4">
        <v>46087.5937962963</v>
      </c>
    </row>
    <row r="2271" spans="1:7" x14ac:dyDescent="0.3">
      <c r="A2271">
        <v>3463</v>
      </c>
      <c r="B2271" t="s">
        <v>146</v>
      </c>
      <c r="C2271">
        <v>51019768</v>
      </c>
      <c r="D2271">
        <v>12.4</v>
      </c>
      <c r="E2271" t="s">
        <v>95</v>
      </c>
      <c r="F2271">
        <v>1126</v>
      </c>
      <c r="G2271" s="4">
        <v>46087.5937962963</v>
      </c>
    </row>
    <row r="2272" spans="1:7" x14ac:dyDescent="0.3">
      <c r="A2272">
        <v>3464</v>
      </c>
      <c r="B2272" t="s">
        <v>146</v>
      </c>
      <c r="C2272">
        <v>51020120</v>
      </c>
      <c r="D2272">
        <v>19.910000000000004</v>
      </c>
      <c r="E2272" t="s">
        <v>95</v>
      </c>
      <c r="F2272">
        <v>987</v>
      </c>
      <c r="G2272" s="4">
        <v>46087.5937962963</v>
      </c>
    </row>
    <row r="2273" spans="1:7" x14ac:dyDescent="0.3">
      <c r="A2273">
        <v>3465</v>
      </c>
      <c r="B2273" t="s">
        <v>146</v>
      </c>
      <c r="C2273">
        <v>51020154</v>
      </c>
      <c r="D2273">
        <v>14.080000000000002</v>
      </c>
      <c r="E2273" t="s">
        <v>95</v>
      </c>
      <c r="F2273">
        <v>1086</v>
      </c>
      <c r="G2273" s="4">
        <v>46087.5937962963</v>
      </c>
    </row>
    <row r="2274" spans="1:7" x14ac:dyDescent="0.3">
      <c r="A2274">
        <v>3466</v>
      </c>
      <c r="B2274" t="s">
        <v>146</v>
      </c>
      <c r="C2274">
        <v>51020740</v>
      </c>
      <c r="D2274">
        <v>77.903569372206661</v>
      </c>
      <c r="E2274" t="s">
        <v>93</v>
      </c>
      <c r="F2274">
        <v>452</v>
      </c>
      <c r="G2274" s="4">
        <v>46087.5937962963</v>
      </c>
    </row>
    <row r="2275" spans="1:7" x14ac:dyDescent="0.3">
      <c r="A2275">
        <v>3467</v>
      </c>
      <c r="B2275" t="s">
        <v>146</v>
      </c>
      <c r="C2275">
        <v>51021151</v>
      </c>
      <c r="D2275">
        <v>18.600000000000001</v>
      </c>
      <c r="E2275" t="s">
        <v>95</v>
      </c>
      <c r="F2275">
        <v>1019</v>
      </c>
      <c r="G2275" s="4">
        <v>46087.5937962963</v>
      </c>
    </row>
    <row r="2276" spans="1:7" x14ac:dyDescent="0.3">
      <c r="A2276">
        <v>3468</v>
      </c>
      <c r="B2276" t="s">
        <v>146</v>
      </c>
      <c r="C2276">
        <v>51021525</v>
      </c>
      <c r="D2276">
        <v>15.100000000000001</v>
      </c>
      <c r="E2276" t="s">
        <v>95</v>
      </c>
      <c r="F2276">
        <v>1075</v>
      </c>
      <c r="G2276" s="4">
        <v>46087.5937962963</v>
      </c>
    </row>
    <row r="2277" spans="1:7" x14ac:dyDescent="0.3">
      <c r="A2277">
        <v>3469</v>
      </c>
      <c r="B2277" t="s">
        <v>146</v>
      </c>
      <c r="C2277">
        <v>51021649</v>
      </c>
      <c r="D2277">
        <v>15</v>
      </c>
      <c r="E2277" t="s">
        <v>95</v>
      </c>
      <c r="F2277">
        <v>1076</v>
      </c>
      <c r="G2277" s="4">
        <v>46087.5937962963</v>
      </c>
    </row>
    <row r="2278" spans="1:7" x14ac:dyDescent="0.3">
      <c r="A2278">
        <v>3470</v>
      </c>
      <c r="B2278" t="s">
        <v>146</v>
      </c>
      <c r="C2278">
        <v>51021908</v>
      </c>
      <c r="D2278">
        <v>10.199999999999999</v>
      </c>
      <c r="E2278" t="s">
        <v>95</v>
      </c>
      <c r="F2278">
        <v>1166</v>
      </c>
      <c r="G2278" s="4">
        <v>46087.5937962963</v>
      </c>
    </row>
    <row r="2279" spans="1:7" x14ac:dyDescent="0.3">
      <c r="A2279">
        <v>3471</v>
      </c>
      <c r="B2279" t="s">
        <v>146</v>
      </c>
      <c r="C2279">
        <v>51021924</v>
      </c>
      <c r="D2279">
        <v>17.399999999999999</v>
      </c>
      <c r="E2279" t="s">
        <v>95</v>
      </c>
      <c r="F2279">
        <v>1036</v>
      </c>
      <c r="G2279" s="4">
        <v>46087.5937962963</v>
      </c>
    </row>
    <row r="2280" spans="1:7" x14ac:dyDescent="0.3">
      <c r="A2280">
        <v>3472</v>
      </c>
      <c r="B2280" t="s">
        <v>146</v>
      </c>
      <c r="C2280">
        <v>51022203</v>
      </c>
      <c r="D2280">
        <v>10.29</v>
      </c>
      <c r="E2280" t="s">
        <v>95</v>
      </c>
      <c r="F2280">
        <v>1165</v>
      </c>
      <c r="G2280" s="4">
        <v>46087.5937962963</v>
      </c>
    </row>
    <row r="2281" spans="1:7" x14ac:dyDescent="0.3">
      <c r="A2281">
        <v>3473</v>
      </c>
      <c r="B2281" t="s">
        <v>146</v>
      </c>
      <c r="C2281">
        <v>51022271</v>
      </c>
      <c r="D2281">
        <v>12.179999999999998</v>
      </c>
      <c r="E2281" t="s">
        <v>95</v>
      </c>
      <c r="F2281">
        <v>1129</v>
      </c>
      <c r="G2281" s="4">
        <v>46087.5937962963</v>
      </c>
    </row>
    <row r="2282" spans="1:7" x14ac:dyDescent="0.3">
      <c r="A2282">
        <v>3474</v>
      </c>
      <c r="B2282" t="s">
        <v>146</v>
      </c>
      <c r="C2282">
        <v>51022297</v>
      </c>
      <c r="D2282">
        <v>18.974999999999998</v>
      </c>
      <c r="E2282" t="s">
        <v>95</v>
      </c>
      <c r="F2282">
        <v>1007</v>
      </c>
      <c r="G2282" s="4">
        <v>46087.5937962963</v>
      </c>
    </row>
    <row r="2283" spans="1:7" x14ac:dyDescent="0.3">
      <c r="A2283">
        <v>3475</v>
      </c>
      <c r="B2283" t="s">
        <v>146</v>
      </c>
      <c r="C2283">
        <v>51022807</v>
      </c>
      <c r="D2283">
        <v>18.84</v>
      </c>
      <c r="E2283" t="s">
        <v>95</v>
      </c>
      <c r="F2283">
        <v>1014</v>
      </c>
      <c r="G2283" s="4">
        <v>46087.5937962963</v>
      </c>
    </row>
    <row r="2284" spans="1:7" x14ac:dyDescent="0.3">
      <c r="A2284">
        <v>3476</v>
      </c>
      <c r="B2284" t="s">
        <v>146</v>
      </c>
      <c r="C2284">
        <v>51022891</v>
      </c>
      <c r="D2284">
        <v>9.31</v>
      </c>
      <c r="E2284" t="s">
        <v>95</v>
      </c>
      <c r="F2284">
        <v>1174</v>
      </c>
      <c r="G2284" s="4">
        <v>46087.5937962963</v>
      </c>
    </row>
    <row r="2285" spans="1:7" x14ac:dyDescent="0.3">
      <c r="A2285">
        <v>3477</v>
      </c>
      <c r="B2285" t="s">
        <v>146</v>
      </c>
      <c r="C2285">
        <v>51022939</v>
      </c>
      <c r="D2285">
        <v>10.639999999999999</v>
      </c>
      <c r="E2285" t="s">
        <v>95</v>
      </c>
      <c r="F2285">
        <v>1153</v>
      </c>
      <c r="G2285" s="4">
        <v>46087.5937962963</v>
      </c>
    </row>
    <row r="2286" spans="1:7" x14ac:dyDescent="0.3">
      <c r="A2286">
        <v>3478</v>
      </c>
      <c r="B2286" t="s">
        <v>146</v>
      </c>
      <c r="C2286">
        <v>51023323</v>
      </c>
      <c r="D2286">
        <v>10.149999999999999</v>
      </c>
      <c r="E2286" t="s">
        <v>95</v>
      </c>
      <c r="F2286">
        <v>1167</v>
      </c>
      <c r="G2286" s="4">
        <v>46087.5937962963</v>
      </c>
    </row>
    <row r="2287" spans="1:7" x14ac:dyDescent="0.3">
      <c r="A2287">
        <v>3479</v>
      </c>
      <c r="B2287" t="s">
        <v>146</v>
      </c>
      <c r="C2287">
        <v>51023447</v>
      </c>
      <c r="D2287">
        <v>11.129999999999999</v>
      </c>
      <c r="E2287" t="s">
        <v>95</v>
      </c>
      <c r="F2287">
        <v>1141</v>
      </c>
      <c r="G2287" s="4">
        <v>46087.5937962963</v>
      </c>
    </row>
    <row r="2288" spans="1:7" x14ac:dyDescent="0.3">
      <c r="A2288">
        <v>3480</v>
      </c>
      <c r="B2288" t="s">
        <v>146</v>
      </c>
      <c r="C2288">
        <v>51023463</v>
      </c>
      <c r="D2288">
        <v>15.290000000000001</v>
      </c>
      <c r="E2288" t="s">
        <v>95</v>
      </c>
      <c r="F2288">
        <v>1073</v>
      </c>
      <c r="G2288" s="4">
        <v>46087.5937962963</v>
      </c>
    </row>
    <row r="2289" spans="1:7" x14ac:dyDescent="0.3">
      <c r="A2289">
        <v>3481</v>
      </c>
      <c r="B2289" t="s">
        <v>146</v>
      </c>
      <c r="C2289">
        <v>51023510</v>
      </c>
      <c r="D2289">
        <v>21.734999999999996</v>
      </c>
      <c r="E2289" t="s">
        <v>95</v>
      </c>
      <c r="F2289">
        <v>970</v>
      </c>
      <c r="G2289" s="4">
        <v>46087.5937962963</v>
      </c>
    </row>
    <row r="2290" spans="1:7" x14ac:dyDescent="0.3">
      <c r="A2290">
        <v>3482</v>
      </c>
      <c r="B2290" t="s">
        <v>146</v>
      </c>
      <c r="C2290">
        <v>51024338</v>
      </c>
      <c r="D2290">
        <v>10.4</v>
      </c>
      <c r="E2290" t="s">
        <v>95</v>
      </c>
      <c r="F2290">
        <v>1161</v>
      </c>
      <c r="G2290" s="4">
        <v>46087.5937962963</v>
      </c>
    </row>
    <row r="2291" spans="1:7" x14ac:dyDescent="0.3">
      <c r="A2291">
        <v>3483</v>
      </c>
      <c r="B2291" t="s">
        <v>146</v>
      </c>
      <c r="C2291">
        <v>51024346</v>
      </c>
      <c r="D2291">
        <v>20.680000000000003</v>
      </c>
      <c r="E2291" t="s">
        <v>95</v>
      </c>
      <c r="F2291">
        <v>978</v>
      </c>
      <c r="G2291" s="4">
        <v>46087.5937962963</v>
      </c>
    </row>
    <row r="2292" spans="1:7" x14ac:dyDescent="0.3">
      <c r="A2292">
        <v>3484</v>
      </c>
      <c r="B2292" t="s">
        <v>146</v>
      </c>
      <c r="C2292">
        <v>51024354</v>
      </c>
      <c r="D2292">
        <v>12.7</v>
      </c>
      <c r="E2292" t="s">
        <v>95</v>
      </c>
      <c r="F2292">
        <v>1119</v>
      </c>
      <c r="G2292" s="4">
        <v>46087.5937962963</v>
      </c>
    </row>
    <row r="2293" spans="1:7" x14ac:dyDescent="0.3">
      <c r="A2293">
        <v>3485</v>
      </c>
      <c r="B2293" t="s">
        <v>146</v>
      </c>
      <c r="C2293">
        <v>51024788</v>
      </c>
      <c r="D2293">
        <v>13.6</v>
      </c>
      <c r="E2293" t="s">
        <v>95</v>
      </c>
      <c r="F2293">
        <v>1094</v>
      </c>
      <c r="G2293" s="4">
        <v>46087.5937962963</v>
      </c>
    </row>
    <row r="2294" spans="1:7" x14ac:dyDescent="0.3">
      <c r="A2294">
        <v>3486</v>
      </c>
      <c r="B2294" t="s">
        <v>146</v>
      </c>
      <c r="C2294">
        <v>51024907</v>
      </c>
      <c r="D2294">
        <v>12.879999999999999</v>
      </c>
      <c r="E2294" t="s">
        <v>95</v>
      </c>
      <c r="F2294">
        <v>1114</v>
      </c>
      <c r="G2294" s="4">
        <v>46087.5937962963</v>
      </c>
    </row>
    <row r="2295" spans="1:7" x14ac:dyDescent="0.3">
      <c r="A2295">
        <v>3487</v>
      </c>
      <c r="B2295" t="s">
        <v>146</v>
      </c>
      <c r="C2295">
        <v>51025598</v>
      </c>
      <c r="D2295">
        <v>12.764999999999999</v>
      </c>
      <c r="E2295" t="s">
        <v>95</v>
      </c>
      <c r="F2295">
        <v>1118</v>
      </c>
      <c r="G2295" s="4">
        <v>46087.5937962963</v>
      </c>
    </row>
    <row r="2296" spans="1:7" x14ac:dyDescent="0.3">
      <c r="A2296">
        <v>3488</v>
      </c>
      <c r="B2296" t="s">
        <v>146</v>
      </c>
      <c r="C2296">
        <v>51025601</v>
      </c>
      <c r="D2296">
        <v>7.3044999999999982</v>
      </c>
      <c r="E2296" t="s">
        <v>95</v>
      </c>
      <c r="F2296">
        <v>1192</v>
      </c>
      <c r="G2296" s="4">
        <v>46087.5937962963</v>
      </c>
    </row>
    <row r="2297" spans="1:7" x14ac:dyDescent="0.3">
      <c r="A2297">
        <v>3489</v>
      </c>
      <c r="B2297" t="s">
        <v>146</v>
      </c>
      <c r="C2297">
        <v>51025881</v>
      </c>
      <c r="D2297">
        <v>11.2</v>
      </c>
      <c r="E2297" t="s">
        <v>95</v>
      </c>
      <c r="F2297">
        <v>1140</v>
      </c>
      <c r="G2297" s="4">
        <v>46087.5937962963</v>
      </c>
    </row>
    <row r="2298" spans="1:7" x14ac:dyDescent="0.3">
      <c r="A2298">
        <v>3490</v>
      </c>
      <c r="B2298" t="s">
        <v>146</v>
      </c>
      <c r="C2298">
        <v>51028856</v>
      </c>
      <c r="D2298">
        <v>19.700000000000003</v>
      </c>
      <c r="E2298" t="s">
        <v>95</v>
      </c>
      <c r="F2298">
        <v>992</v>
      </c>
      <c r="G2298" s="4">
        <v>46087.5937962963</v>
      </c>
    </row>
    <row r="2299" spans="1:7" x14ac:dyDescent="0.3">
      <c r="A2299">
        <v>3491</v>
      </c>
      <c r="B2299" t="s">
        <v>146</v>
      </c>
      <c r="C2299">
        <v>51030087</v>
      </c>
      <c r="D2299">
        <v>16.7</v>
      </c>
      <c r="E2299" t="s">
        <v>95</v>
      </c>
      <c r="F2299">
        <v>1053</v>
      </c>
      <c r="G2299" s="4">
        <v>46087.5937962963</v>
      </c>
    </row>
    <row r="2300" spans="1:7" x14ac:dyDescent="0.3">
      <c r="A2300">
        <v>3492</v>
      </c>
      <c r="B2300" t="s">
        <v>146</v>
      </c>
      <c r="C2300">
        <v>51030206</v>
      </c>
      <c r="D2300">
        <v>14.503499999999999</v>
      </c>
      <c r="E2300" t="s">
        <v>95</v>
      </c>
      <c r="F2300">
        <v>1079</v>
      </c>
      <c r="G2300" s="4">
        <v>46087.5937962963</v>
      </c>
    </row>
    <row r="2301" spans="1:7" x14ac:dyDescent="0.3">
      <c r="A2301">
        <v>3493</v>
      </c>
      <c r="B2301" t="s">
        <v>146</v>
      </c>
      <c r="C2301">
        <v>51030630</v>
      </c>
      <c r="D2301">
        <v>13.16</v>
      </c>
      <c r="E2301" t="s">
        <v>95</v>
      </c>
      <c r="F2301">
        <v>1106</v>
      </c>
      <c r="G2301" s="4">
        <v>46087.5937962963</v>
      </c>
    </row>
    <row r="2302" spans="1:7" x14ac:dyDescent="0.3">
      <c r="A2302">
        <v>3494</v>
      </c>
      <c r="B2302" t="s">
        <v>146</v>
      </c>
      <c r="C2302">
        <v>51030745</v>
      </c>
      <c r="D2302">
        <v>19.5</v>
      </c>
      <c r="E2302" t="s">
        <v>95</v>
      </c>
      <c r="F2302">
        <v>994</v>
      </c>
      <c r="G2302" s="4">
        <v>46087.5937962963</v>
      </c>
    </row>
    <row r="2303" spans="1:7" x14ac:dyDescent="0.3">
      <c r="A2303">
        <v>3495</v>
      </c>
      <c r="B2303" t="s">
        <v>146</v>
      </c>
      <c r="C2303">
        <v>51030796</v>
      </c>
      <c r="D2303">
        <v>13.1</v>
      </c>
      <c r="E2303" t="s">
        <v>95</v>
      </c>
      <c r="F2303">
        <v>1107</v>
      </c>
      <c r="G2303" s="4">
        <v>46087.5937962963</v>
      </c>
    </row>
    <row r="2304" spans="1:7" x14ac:dyDescent="0.3">
      <c r="A2304">
        <v>3496</v>
      </c>
      <c r="B2304" t="s">
        <v>146</v>
      </c>
      <c r="C2304">
        <v>51030966</v>
      </c>
      <c r="D2304">
        <v>16.610000000000003</v>
      </c>
      <c r="E2304" t="s">
        <v>95</v>
      </c>
      <c r="F2304">
        <v>1054</v>
      </c>
      <c r="G2304" s="4">
        <v>46087.5937962963</v>
      </c>
    </row>
    <row r="2305" spans="1:7" x14ac:dyDescent="0.3">
      <c r="A2305">
        <v>3497</v>
      </c>
      <c r="B2305" t="s">
        <v>146</v>
      </c>
      <c r="C2305">
        <v>51031067</v>
      </c>
      <c r="D2305">
        <v>10.639999999999999</v>
      </c>
      <c r="E2305" t="s">
        <v>95</v>
      </c>
      <c r="F2305">
        <v>1153</v>
      </c>
      <c r="G2305" s="4">
        <v>46087.5937962963</v>
      </c>
    </row>
    <row r="2306" spans="1:7" x14ac:dyDescent="0.3">
      <c r="A2306">
        <v>3498</v>
      </c>
      <c r="B2306" t="s">
        <v>146</v>
      </c>
      <c r="C2306">
        <v>51031091</v>
      </c>
      <c r="D2306">
        <v>16.2</v>
      </c>
      <c r="E2306" t="s">
        <v>95</v>
      </c>
      <c r="F2306">
        <v>1060</v>
      </c>
      <c r="G2306" s="4">
        <v>46087.5937962963</v>
      </c>
    </row>
    <row r="2307" spans="1:7" x14ac:dyDescent="0.3">
      <c r="A2307">
        <v>3499</v>
      </c>
      <c r="B2307" t="s">
        <v>146</v>
      </c>
      <c r="C2307">
        <v>51031156</v>
      </c>
      <c r="D2307">
        <v>12.1</v>
      </c>
      <c r="E2307" t="s">
        <v>95</v>
      </c>
      <c r="F2307">
        <v>1130</v>
      </c>
      <c r="G2307" s="4">
        <v>46087.5937962963</v>
      </c>
    </row>
    <row r="2308" spans="1:7" x14ac:dyDescent="0.3">
      <c r="A2308">
        <v>3500</v>
      </c>
      <c r="B2308" t="s">
        <v>146</v>
      </c>
      <c r="C2308">
        <v>51031423</v>
      </c>
      <c r="D2308">
        <v>8.3999999999999986</v>
      </c>
      <c r="E2308" t="s">
        <v>95</v>
      </c>
      <c r="F2308">
        <v>1180</v>
      </c>
      <c r="G2308" s="4">
        <v>46087.5937962963</v>
      </c>
    </row>
    <row r="2309" spans="1:7" x14ac:dyDescent="0.3">
      <c r="A2309">
        <v>3501</v>
      </c>
      <c r="B2309" t="s">
        <v>146</v>
      </c>
      <c r="C2309">
        <v>51031555</v>
      </c>
      <c r="D2309">
        <v>13.3</v>
      </c>
      <c r="E2309" t="s">
        <v>95</v>
      </c>
      <c r="F2309">
        <v>1101</v>
      </c>
      <c r="G2309" s="4">
        <v>46087.5937962963</v>
      </c>
    </row>
    <row r="2310" spans="1:7" x14ac:dyDescent="0.3">
      <c r="A2310">
        <v>3502</v>
      </c>
      <c r="B2310" t="s">
        <v>146</v>
      </c>
      <c r="C2310">
        <v>51032021</v>
      </c>
      <c r="D2310">
        <v>9.17</v>
      </c>
      <c r="E2310" t="s">
        <v>95</v>
      </c>
      <c r="F2310">
        <v>1175</v>
      </c>
      <c r="G2310" s="4">
        <v>46087.5937962963</v>
      </c>
    </row>
    <row r="2311" spans="1:7" x14ac:dyDescent="0.3">
      <c r="A2311">
        <v>3503</v>
      </c>
      <c r="B2311" t="s">
        <v>146</v>
      </c>
      <c r="C2311">
        <v>51032055</v>
      </c>
      <c r="D2311">
        <v>17.05</v>
      </c>
      <c r="E2311" t="s">
        <v>95</v>
      </c>
      <c r="F2311">
        <v>1047</v>
      </c>
      <c r="G2311" s="4">
        <v>46087.5937962963</v>
      </c>
    </row>
    <row r="2312" spans="1:7" x14ac:dyDescent="0.3">
      <c r="A2312">
        <v>3504</v>
      </c>
      <c r="B2312" t="s">
        <v>146</v>
      </c>
      <c r="C2312">
        <v>51032144</v>
      </c>
      <c r="D2312">
        <v>17.384999999999998</v>
      </c>
      <c r="E2312" t="s">
        <v>95</v>
      </c>
      <c r="F2312">
        <v>1037</v>
      </c>
      <c r="G2312" s="4">
        <v>46087.5937962963</v>
      </c>
    </row>
    <row r="2313" spans="1:7" x14ac:dyDescent="0.3">
      <c r="A2313">
        <v>3505</v>
      </c>
      <c r="B2313" t="s">
        <v>146</v>
      </c>
      <c r="C2313">
        <v>51032209</v>
      </c>
      <c r="D2313">
        <v>18.100000000000001</v>
      </c>
      <c r="E2313" t="s">
        <v>95</v>
      </c>
      <c r="F2313">
        <v>1026</v>
      </c>
      <c r="G2313" s="4">
        <v>46087.5937962963</v>
      </c>
    </row>
    <row r="2314" spans="1:7" x14ac:dyDescent="0.3">
      <c r="A2314">
        <v>3506</v>
      </c>
      <c r="B2314" t="s">
        <v>146</v>
      </c>
      <c r="C2314">
        <v>51032217</v>
      </c>
      <c r="D2314">
        <v>13.750000000000002</v>
      </c>
      <c r="E2314" t="s">
        <v>95</v>
      </c>
      <c r="F2314">
        <v>1091</v>
      </c>
      <c r="G2314" s="4">
        <v>46087.5937962963</v>
      </c>
    </row>
    <row r="2315" spans="1:7" x14ac:dyDescent="0.3">
      <c r="A2315">
        <v>3507</v>
      </c>
      <c r="B2315" t="s">
        <v>146</v>
      </c>
      <c r="C2315">
        <v>51032497</v>
      </c>
      <c r="D2315">
        <v>14.984999999999999</v>
      </c>
      <c r="E2315" t="s">
        <v>95</v>
      </c>
      <c r="F2315">
        <v>1077</v>
      </c>
      <c r="G2315" s="4">
        <v>46087.5937962963</v>
      </c>
    </row>
    <row r="2316" spans="1:7" x14ac:dyDescent="0.3">
      <c r="A2316">
        <v>3508</v>
      </c>
      <c r="B2316" t="s">
        <v>146</v>
      </c>
      <c r="C2316">
        <v>51033019</v>
      </c>
      <c r="D2316">
        <v>19.910000000000004</v>
      </c>
      <c r="E2316" t="s">
        <v>95</v>
      </c>
      <c r="F2316">
        <v>987</v>
      </c>
      <c r="G2316" s="4">
        <v>46087.5937962963</v>
      </c>
    </row>
    <row r="2317" spans="1:7" x14ac:dyDescent="0.3">
      <c r="A2317">
        <v>3509</v>
      </c>
      <c r="B2317" t="s">
        <v>146</v>
      </c>
      <c r="C2317">
        <v>51033647</v>
      </c>
      <c r="D2317">
        <v>16</v>
      </c>
      <c r="E2317" t="s">
        <v>95</v>
      </c>
      <c r="F2317">
        <v>1063</v>
      </c>
      <c r="G2317" s="4">
        <v>46087.5937962963</v>
      </c>
    </row>
    <row r="2318" spans="1:7" x14ac:dyDescent="0.3">
      <c r="A2318">
        <v>3510</v>
      </c>
      <c r="B2318" t="s">
        <v>146</v>
      </c>
      <c r="C2318">
        <v>51034261</v>
      </c>
      <c r="D2318">
        <v>18.052699999999998</v>
      </c>
      <c r="E2318" t="s">
        <v>95</v>
      </c>
      <c r="F2318">
        <v>1029</v>
      </c>
      <c r="G2318" s="4">
        <v>46087.5937962963</v>
      </c>
    </row>
    <row r="2319" spans="1:7" x14ac:dyDescent="0.3">
      <c r="A2319">
        <v>3511</v>
      </c>
      <c r="B2319" t="s">
        <v>146</v>
      </c>
      <c r="C2319">
        <v>51034392</v>
      </c>
      <c r="D2319">
        <v>10.43</v>
      </c>
      <c r="E2319" t="s">
        <v>95</v>
      </c>
      <c r="F2319">
        <v>1160</v>
      </c>
      <c r="G2319" s="4">
        <v>46087.5937962963</v>
      </c>
    </row>
    <row r="2320" spans="1:7" x14ac:dyDescent="0.3">
      <c r="A2320">
        <v>3512</v>
      </c>
      <c r="B2320" t="s">
        <v>146</v>
      </c>
      <c r="C2320">
        <v>51036093</v>
      </c>
      <c r="D2320">
        <v>11.8</v>
      </c>
      <c r="E2320" t="s">
        <v>95</v>
      </c>
      <c r="F2320">
        <v>1133</v>
      </c>
      <c r="G2320" s="4">
        <v>46087.5937962963</v>
      </c>
    </row>
    <row r="2321" spans="1:7" x14ac:dyDescent="0.3">
      <c r="A2321">
        <v>3513</v>
      </c>
      <c r="B2321" t="s">
        <v>146</v>
      </c>
      <c r="C2321">
        <v>51036620</v>
      </c>
      <c r="D2321">
        <v>16.8</v>
      </c>
      <c r="E2321" t="s">
        <v>95</v>
      </c>
      <c r="F2321">
        <v>1051</v>
      </c>
      <c r="G2321" s="4">
        <v>46087.5937962963</v>
      </c>
    </row>
    <row r="2322" spans="1:7" x14ac:dyDescent="0.3">
      <c r="A2322">
        <v>3514</v>
      </c>
      <c r="B2322" t="s">
        <v>146</v>
      </c>
      <c r="C2322">
        <v>51036786</v>
      </c>
      <c r="D2322">
        <v>21.734999999999996</v>
      </c>
      <c r="E2322" t="s">
        <v>95</v>
      </c>
      <c r="F2322">
        <v>970</v>
      </c>
      <c r="G2322" s="4">
        <v>46087.5937962963</v>
      </c>
    </row>
    <row r="2323" spans="1:7" x14ac:dyDescent="0.3">
      <c r="A2323">
        <v>3515</v>
      </c>
      <c r="B2323" t="s">
        <v>146</v>
      </c>
      <c r="C2323">
        <v>51037014</v>
      </c>
      <c r="D2323">
        <v>17.100000000000001</v>
      </c>
      <c r="E2323" t="s">
        <v>95</v>
      </c>
      <c r="F2323">
        <v>1044</v>
      </c>
      <c r="G2323" s="4">
        <v>46087.5937962963</v>
      </c>
    </row>
    <row r="2324" spans="1:7" x14ac:dyDescent="0.3">
      <c r="A2324">
        <v>3516</v>
      </c>
      <c r="B2324" t="s">
        <v>146</v>
      </c>
      <c r="C2324">
        <v>51038991</v>
      </c>
      <c r="D2324">
        <v>16.198</v>
      </c>
      <c r="E2324" t="s">
        <v>95</v>
      </c>
      <c r="F2324">
        <v>1062</v>
      </c>
      <c r="G2324" s="4">
        <v>46087.5937962963</v>
      </c>
    </row>
    <row r="2325" spans="1:7" x14ac:dyDescent="0.3">
      <c r="A2325">
        <v>3517</v>
      </c>
      <c r="B2325" t="s">
        <v>146</v>
      </c>
      <c r="C2325">
        <v>51039084</v>
      </c>
      <c r="D2325">
        <v>11.819499999999998</v>
      </c>
      <c r="E2325" t="s">
        <v>95</v>
      </c>
      <c r="F2325">
        <v>1132</v>
      </c>
      <c r="G2325" s="4">
        <v>46087.5937962963</v>
      </c>
    </row>
    <row r="2326" spans="1:7" x14ac:dyDescent="0.3">
      <c r="A2326">
        <v>3518</v>
      </c>
      <c r="B2326" t="s">
        <v>146</v>
      </c>
      <c r="C2326">
        <v>51039955</v>
      </c>
      <c r="D2326">
        <v>13.370000000000001</v>
      </c>
      <c r="E2326" t="s">
        <v>95</v>
      </c>
      <c r="F2326">
        <v>1098</v>
      </c>
      <c r="G2326" s="4">
        <v>46087.5937962963</v>
      </c>
    </row>
    <row r="2327" spans="1:7" x14ac:dyDescent="0.3">
      <c r="A2327">
        <v>3519</v>
      </c>
      <c r="B2327" t="s">
        <v>146</v>
      </c>
      <c r="C2327">
        <v>51039980</v>
      </c>
      <c r="D2327">
        <v>19.14</v>
      </c>
      <c r="E2327" t="s">
        <v>95</v>
      </c>
      <c r="F2327">
        <v>1003</v>
      </c>
      <c r="G2327" s="4">
        <v>46087.5937962963</v>
      </c>
    </row>
    <row r="2328" spans="1:7" x14ac:dyDescent="0.3">
      <c r="A2328">
        <v>3520</v>
      </c>
      <c r="B2328" t="s">
        <v>146</v>
      </c>
      <c r="C2328">
        <v>51040040</v>
      </c>
      <c r="D2328">
        <v>12.9</v>
      </c>
      <c r="E2328" t="s">
        <v>95</v>
      </c>
      <c r="F2328">
        <v>1112</v>
      </c>
      <c r="G2328" s="4">
        <v>46087.5937962963</v>
      </c>
    </row>
    <row r="2329" spans="1:7" x14ac:dyDescent="0.3">
      <c r="A2329">
        <v>3521</v>
      </c>
      <c r="B2329" t="s">
        <v>146</v>
      </c>
      <c r="C2329">
        <v>51040309</v>
      </c>
      <c r="D2329">
        <v>12.3445</v>
      </c>
      <c r="E2329" t="s">
        <v>95</v>
      </c>
      <c r="F2329">
        <v>1127</v>
      </c>
      <c r="G2329" s="4">
        <v>46087.5937962963</v>
      </c>
    </row>
    <row r="2330" spans="1:7" x14ac:dyDescent="0.3">
      <c r="A2330">
        <v>3522</v>
      </c>
      <c r="B2330" t="s">
        <v>146</v>
      </c>
      <c r="C2330">
        <v>51040856</v>
      </c>
      <c r="D2330">
        <v>12.304999999999998</v>
      </c>
      <c r="E2330" t="s">
        <v>95</v>
      </c>
      <c r="F2330">
        <v>1128</v>
      </c>
      <c r="G2330" s="4">
        <v>46087.5937962963</v>
      </c>
    </row>
    <row r="2331" spans="1:7" x14ac:dyDescent="0.3">
      <c r="A2331">
        <v>3523</v>
      </c>
      <c r="B2331" t="s">
        <v>146</v>
      </c>
      <c r="C2331">
        <v>51040970</v>
      </c>
      <c r="D2331">
        <v>13.090000000000002</v>
      </c>
      <c r="E2331" t="s">
        <v>95</v>
      </c>
      <c r="F2331">
        <v>1109</v>
      </c>
      <c r="G2331" s="4">
        <v>46087.5937962963</v>
      </c>
    </row>
    <row r="2332" spans="1:7" x14ac:dyDescent="0.3">
      <c r="A2332">
        <v>3524</v>
      </c>
      <c r="B2332" t="s">
        <v>146</v>
      </c>
      <c r="C2332">
        <v>51041178</v>
      </c>
      <c r="D2332">
        <v>8.19</v>
      </c>
      <c r="E2332" t="s">
        <v>95</v>
      </c>
      <c r="F2332">
        <v>1185</v>
      </c>
      <c r="G2332" s="4">
        <v>46087.5937962963</v>
      </c>
    </row>
    <row r="2333" spans="1:7" x14ac:dyDescent="0.3">
      <c r="A2333">
        <v>3525</v>
      </c>
      <c r="B2333" t="s">
        <v>146</v>
      </c>
      <c r="C2333">
        <v>51041321</v>
      </c>
      <c r="D2333">
        <v>15.2</v>
      </c>
      <c r="E2333" t="s">
        <v>95</v>
      </c>
      <c r="F2333">
        <v>1074</v>
      </c>
      <c r="G2333" s="4">
        <v>46087.5937962963</v>
      </c>
    </row>
    <row r="2334" spans="1:7" x14ac:dyDescent="0.3">
      <c r="A2334">
        <v>3526</v>
      </c>
      <c r="B2334" t="s">
        <v>146</v>
      </c>
      <c r="C2334">
        <v>51041836</v>
      </c>
      <c r="D2334">
        <v>17.160000000000004</v>
      </c>
      <c r="E2334" t="s">
        <v>95</v>
      </c>
      <c r="F2334">
        <v>1043</v>
      </c>
      <c r="G2334" s="4">
        <v>46087.5937962963</v>
      </c>
    </row>
    <row r="2335" spans="1:7" x14ac:dyDescent="0.3">
      <c r="A2335">
        <v>3527</v>
      </c>
      <c r="B2335" t="s">
        <v>146</v>
      </c>
      <c r="C2335">
        <v>51041925</v>
      </c>
      <c r="D2335">
        <v>18.685000000000002</v>
      </c>
      <c r="E2335" t="s">
        <v>95</v>
      </c>
      <c r="F2335">
        <v>1017</v>
      </c>
      <c r="G2335" s="4">
        <v>46087.5937962963</v>
      </c>
    </row>
    <row r="2336" spans="1:7" x14ac:dyDescent="0.3">
      <c r="A2336">
        <v>3528</v>
      </c>
      <c r="B2336" t="s">
        <v>146</v>
      </c>
      <c r="C2336">
        <v>51042166</v>
      </c>
      <c r="D2336">
        <v>18.899999999999999</v>
      </c>
      <c r="E2336" t="s">
        <v>95</v>
      </c>
      <c r="F2336">
        <v>1008</v>
      </c>
      <c r="G2336" s="4">
        <v>46087.5937962963</v>
      </c>
    </row>
    <row r="2337" spans="1:7" x14ac:dyDescent="0.3">
      <c r="A2337">
        <v>3529</v>
      </c>
      <c r="B2337" t="s">
        <v>146</v>
      </c>
      <c r="C2337">
        <v>51042352</v>
      </c>
      <c r="D2337">
        <v>18.198</v>
      </c>
      <c r="E2337" t="s">
        <v>95</v>
      </c>
      <c r="F2337">
        <v>1024</v>
      </c>
      <c r="G2337" s="4">
        <v>46087.5937962963</v>
      </c>
    </row>
    <row r="2338" spans="1:7" x14ac:dyDescent="0.3">
      <c r="A2338">
        <v>3530</v>
      </c>
      <c r="B2338" t="s">
        <v>146</v>
      </c>
      <c r="C2338">
        <v>51042492</v>
      </c>
      <c r="D2338">
        <v>19.200000000000003</v>
      </c>
      <c r="E2338" t="s">
        <v>95</v>
      </c>
      <c r="F2338">
        <v>1001</v>
      </c>
      <c r="G2338" s="4">
        <v>46087.5937962963</v>
      </c>
    </row>
    <row r="2339" spans="1:7" x14ac:dyDescent="0.3">
      <c r="A2339">
        <v>3531</v>
      </c>
      <c r="B2339" t="s">
        <v>146</v>
      </c>
      <c r="C2339">
        <v>51042557</v>
      </c>
      <c r="D2339">
        <v>13.3</v>
      </c>
      <c r="E2339" t="s">
        <v>95</v>
      </c>
      <c r="F2339">
        <v>1101</v>
      </c>
      <c r="G2339" s="4">
        <v>46087.5937962963</v>
      </c>
    </row>
    <row r="2340" spans="1:7" x14ac:dyDescent="0.3">
      <c r="A2340">
        <v>3532</v>
      </c>
      <c r="B2340" t="s">
        <v>146</v>
      </c>
      <c r="C2340">
        <v>51042697</v>
      </c>
      <c r="D2340">
        <v>10.01</v>
      </c>
      <c r="E2340" t="s">
        <v>95</v>
      </c>
      <c r="F2340">
        <v>1169</v>
      </c>
      <c r="G2340" s="4">
        <v>46087.5937962963</v>
      </c>
    </row>
    <row r="2341" spans="1:7" x14ac:dyDescent="0.3">
      <c r="A2341">
        <v>3533</v>
      </c>
      <c r="B2341" t="s">
        <v>146</v>
      </c>
      <c r="C2341">
        <v>51042701</v>
      </c>
      <c r="D2341">
        <v>19.100000000000001</v>
      </c>
      <c r="E2341" t="s">
        <v>95</v>
      </c>
      <c r="F2341">
        <v>1005</v>
      </c>
      <c r="G2341" s="4">
        <v>46087.5937962963</v>
      </c>
    </row>
    <row r="2342" spans="1:7" x14ac:dyDescent="0.3">
      <c r="A2342">
        <v>3534</v>
      </c>
      <c r="B2342" t="s">
        <v>146</v>
      </c>
      <c r="C2342">
        <v>51042794</v>
      </c>
      <c r="D2342">
        <v>10.3</v>
      </c>
      <c r="E2342" t="s">
        <v>95</v>
      </c>
      <c r="F2342">
        <v>1163</v>
      </c>
      <c r="G2342" s="4">
        <v>46087.5937962963</v>
      </c>
    </row>
    <row r="2343" spans="1:7" x14ac:dyDescent="0.3">
      <c r="A2343">
        <v>3535</v>
      </c>
      <c r="B2343" t="s">
        <v>146</v>
      </c>
      <c r="C2343">
        <v>51042867</v>
      </c>
      <c r="D2343">
        <v>18.399999999999999</v>
      </c>
      <c r="E2343" t="s">
        <v>95</v>
      </c>
      <c r="F2343">
        <v>1021</v>
      </c>
      <c r="G2343" s="4">
        <v>46087.5937962963</v>
      </c>
    </row>
    <row r="2344" spans="1:7" x14ac:dyDescent="0.3">
      <c r="A2344">
        <v>3536</v>
      </c>
      <c r="B2344" t="s">
        <v>146</v>
      </c>
      <c r="C2344">
        <v>51042883</v>
      </c>
      <c r="D2344">
        <v>18.859999999999996</v>
      </c>
      <c r="E2344" t="s">
        <v>95</v>
      </c>
      <c r="F2344">
        <v>1012</v>
      </c>
      <c r="G2344" s="4">
        <v>46087.5937962963</v>
      </c>
    </row>
    <row r="2345" spans="1:7" x14ac:dyDescent="0.3">
      <c r="A2345">
        <v>3537</v>
      </c>
      <c r="B2345" t="s">
        <v>146</v>
      </c>
      <c r="C2345">
        <v>51043286</v>
      </c>
      <c r="D2345">
        <v>7.77</v>
      </c>
      <c r="E2345" t="s">
        <v>95</v>
      </c>
      <c r="F2345">
        <v>1190</v>
      </c>
      <c r="G2345" s="4">
        <v>46087.5937962963</v>
      </c>
    </row>
    <row r="2346" spans="1:7" x14ac:dyDescent="0.3">
      <c r="A2346">
        <v>3538</v>
      </c>
      <c r="B2346" t="s">
        <v>146</v>
      </c>
      <c r="C2346">
        <v>51043430</v>
      </c>
      <c r="D2346">
        <v>9.5690000000000008</v>
      </c>
      <c r="E2346" t="s">
        <v>95</v>
      </c>
      <c r="F2346">
        <v>1173</v>
      </c>
      <c r="G2346" s="4">
        <v>46087.5937962963</v>
      </c>
    </row>
    <row r="2347" spans="1:7" x14ac:dyDescent="0.3">
      <c r="A2347">
        <v>3539</v>
      </c>
      <c r="B2347" t="s">
        <v>146</v>
      </c>
      <c r="C2347">
        <v>51043481</v>
      </c>
      <c r="D2347">
        <v>19.498000000000001</v>
      </c>
      <c r="E2347" t="s">
        <v>95</v>
      </c>
      <c r="F2347">
        <v>995</v>
      </c>
      <c r="G2347" s="4">
        <v>46087.5937962963</v>
      </c>
    </row>
    <row r="2348" spans="1:7" x14ac:dyDescent="0.3">
      <c r="A2348">
        <v>3540</v>
      </c>
      <c r="B2348" t="s">
        <v>146</v>
      </c>
      <c r="C2348">
        <v>51043685</v>
      </c>
      <c r="D2348">
        <v>16.600000000000001</v>
      </c>
      <c r="E2348" t="s">
        <v>95</v>
      </c>
      <c r="F2348">
        <v>1056</v>
      </c>
      <c r="G2348" s="4">
        <v>46087.5937962963</v>
      </c>
    </row>
    <row r="2349" spans="1:7" x14ac:dyDescent="0.3">
      <c r="A2349">
        <v>3541</v>
      </c>
      <c r="B2349" t="s">
        <v>146</v>
      </c>
      <c r="C2349">
        <v>51044185</v>
      </c>
      <c r="D2349">
        <v>15.600000000000001</v>
      </c>
      <c r="E2349" t="s">
        <v>95</v>
      </c>
      <c r="F2349">
        <v>1069</v>
      </c>
      <c r="G2349" s="4">
        <v>46087.5937962963</v>
      </c>
    </row>
    <row r="2350" spans="1:7" x14ac:dyDescent="0.3">
      <c r="A2350">
        <v>3542</v>
      </c>
      <c r="B2350" t="s">
        <v>146</v>
      </c>
      <c r="C2350">
        <v>51054474</v>
      </c>
      <c r="D2350">
        <v>16.3</v>
      </c>
      <c r="E2350" t="s">
        <v>95</v>
      </c>
      <c r="F2350">
        <v>1059</v>
      </c>
      <c r="G2350" s="4">
        <v>46087.5937962963</v>
      </c>
    </row>
    <row r="2351" spans="1:7" x14ac:dyDescent="0.3">
      <c r="A2351">
        <v>3543</v>
      </c>
      <c r="B2351" t="s">
        <v>146</v>
      </c>
      <c r="C2351">
        <v>51054890</v>
      </c>
      <c r="D2351">
        <v>11.4</v>
      </c>
      <c r="E2351" t="s">
        <v>95</v>
      </c>
      <c r="F2351">
        <v>1136</v>
      </c>
      <c r="G2351" s="4">
        <v>46087.5937962963</v>
      </c>
    </row>
    <row r="2352" spans="1:7" x14ac:dyDescent="0.3">
      <c r="A2352">
        <v>3544</v>
      </c>
      <c r="B2352" t="s">
        <v>146</v>
      </c>
      <c r="C2352">
        <v>51054971</v>
      </c>
      <c r="D2352">
        <v>13.370000000000001</v>
      </c>
      <c r="E2352" t="s">
        <v>95</v>
      </c>
      <c r="F2352">
        <v>1098</v>
      </c>
      <c r="G2352" s="4">
        <v>46087.5937962963</v>
      </c>
    </row>
    <row r="2353" spans="1:7" x14ac:dyDescent="0.3">
      <c r="A2353">
        <v>3545</v>
      </c>
      <c r="B2353" t="s">
        <v>146</v>
      </c>
      <c r="C2353">
        <v>51055021</v>
      </c>
      <c r="D2353">
        <v>8.33</v>
      </c>
      <c r="E2353" t="s">
        <v>95</v>
      </c>
      <c r="F2353">
        <v>1182</v>
      </c>
      <c r="G2353" s="4">
        <v>46087.5937962963</v>
      </c>
    </row>
    <row r="2354" spans="1:7" x14ac:dyDescent="0.3">
      <c r="A2354">
        <v>3546</v>
      </c>
      <c r="B2354" t="s">
        <v>146</v>
      </c>
      <c r="C2354">
        <v>51055110</v>
      </c>
      <c r="D2354">
        <v>16.610000000000003</v>
      </c>
      <c r="E2354" t="s">
        <v>95</v>
      </c>
      <c r="F2354">
        <v>1054</v>
      </c>
      <c r="G2354" s="4">
        <v>46087.5937962963</v>
      </c>
    </row>
    <row r="2355" spans="1:7" x14ac:dyDescent="0.3">
      <c r="A2355">
        <v>3547</v>
      </c>
      <c r="B2355" t="s">
        <v>146</v>
      </c>
      <c r="C2355">
        <v>51055179</v>
      </c>
      <c r="D2355">
        <v>15.998000000000001</v>
      </c>
      <c r="E2355" t="s">
        <v>95</v>
      </c>
      <c r="F2355">
        <v>1064</v>
      </c>
      <c r="G2355" s="4">
        <v>46087.5937962963</v>
      </c>
    </row>
    <row r="2356" spans="1:7" x14ac:dyDescent="0.3">
      <c r="A2356">
        <v>3548</v>
      </c>
      <c r="B2356" t="s">
        <v>146</v>
      </c>
      <c r="C2356">
        <v>51055187</v>
      </c>
      <c r="D2356">
        <v>11.6</v>
      </c>
      <c r="E2356" t="s">
        <v>95</v>
      </c>
      <c r="F2356">
        <v>1134</v>
      </c>
      <c r="G2356" s="4">
        <v>46087.5937962963</v>
      </c>
    </row>
    <row r="2357" spans="1:7" x14ac:dyDescent="0.3">
      <c r="A2357">
        <v>3549</v>
      </c>
      <c r="B2357" t="s">
        <v>146</v>
      </c>
      <c r="C2357">
        <v>51055195</v>
      </c>
      <c r="D2357">
        <v>13.799999999999999</v>
      </c>
      <c r="E2357" t="s">
        <v>95</v>
      </c>
      <c r="F2357">
        <v>1089</v>
      </c>
      <c r="G2357" s="4">
        <v>46087.5937962963</v>
      </c>
    </row>
    <row r="2358" spans="1:7" x14ac:dyDescent="0.3">
      <c r="A2358">
        <v>3550</v>
      </c>
      <c r="B2358" t="s">
        <v>146</v>
      </c>
      <c r="C2358">
        <v>51055233</v>
      </c>
      <c r="D2358">
        <v>19.200000000000003</v>
      </c>
      <c r="E2358" t="s">
        <v>95</v>
      </c>
      <c r="F2358">
        <v>1001</v>
      </c>
      <c r="G2358" s="4">
        <v>46087.5937962963</v>
      </c>
    </row>
    <row r="2359" spans="1:7" x14ac:dyDescent="0.3">
      <c r="A2359">
        <v>3551</v>
      </c>
      <c r="B2359" t="s">
        <v>146</v>
      </c>
      <c r="C2359">
        <v>51055314</v>
      </c>
      <c r="D2359">
        <v>11.9</v>
      </c>
      <c r="E2359" t="s">
        <v>95</v>
      </c>
      <c r="F2359">
        <v>1131</v>
      </c>
      <c r="G2359" s="4">
        <v>46087.5937962963</v>
      </c>
    </row>
    <row r="2360" spans="1:7" x14ac:dyDescent="0.3">
      <c r="A2360">
        <v>3552</v>
      </c>
      <c r="B2360" t="s">
        <v>146</v>
      </c>
      <c r="C2360">
        <v>51055349</v>
      </c>
      <c r="D2360">
        <v>9.7999999999999989</v>
      </c>
      <c r="E2360" t="s">
        <v>95</v>
      </c>
      <c r="F2360">
        <v>1171</v>
      </c>
      <c r="G2360" s="4">
        <v>46087.5937962963</v>
      </c>
    </row>
    <row r="2361" spans="1:7" x14ac:dyDescent="0.3">
      <c r="A2361">
        <v>3553</v>
      </c>
      <c r="B2361" t="s">
        <v>146</v>
      </c>
      <c r="C2361">
        <v>51055381</v>
      </c>
      <c r="D2361">
        <v>12.9</v>
      </c>
      <c r="E2361" t="s">
        <v>95</v>
      </c>
      <c r="F2361">
        <v>1112</v>
      </c>
      <c r="G2361" s="4">
        <v>46087.5937962963</v>
      </c>
    </row>
    <row r="2362" spans="1:7" x14ac:dyDescent="0.3">
      <c r="A2362">
        <v>3554</v>
      </c>
      <c r="B2362" t="s">
        <v>146</v>
      </c>
      <c r="C2362">
        <v>51055403</v>
      </c>
      <c r="D2362">
        <v>14.5</v>
      </c>
      <c r="E2362" t="s">
        <v>95</v>
      </c>
      <c r="F2362">
        <v>1080</v>
      </c>
      <c r="G2362" s="4">
        <v>46087.5937962963</v>
      </c>
    </row>
    <row r="2363" spans="1:7" x14ac:dyDescent="0.3">
      <c r="A2363">
        <v>3555</v>
      </c>
      <c r="B2363" t="s">
        <v>146</v>
      </c>
      <c r="C2363">
        <v>51055420</v>
      </c>
      <c r="D2363">
        <v>18.700000000000003</v>
      </c>
      <c r="E2363" t="s">
        <v>95</v>
      </c>
      <c r="F2363">
        <v>1016</v>
      </c>
      <c r="G2363" s="4">
        <v>46087.5937962963</v>
      </c>
    </row>
    <row r="2364" spans="1:7" x14ac:dyDescent="0.3">
      <c r="A2364">
        <v>3556</v>
      </c>
      <c r="B2364" t="s">
        <v>146</v>
      </c>
      <c r="C2364">
        <v>51055438</v>
      </c>
      <c r="D2364">
        <v>13.3</v>
      </c>
      <c r="E2364" t="s">
        <v>95</v>
      </c>
      <c r="F2364">
        <v>1101</v>
      </c>
      <c r="G2364" s="4">
        <v>46087.5937962963</v>
      </c>
    </row>
    <row r="2365" spans="1:7" x14ac:dyDescent="0.3">
      <c r="A2365">
        <v>3557</v>
      </c>
      <c r="B2365" t="s">
        <v>146</v>
      </c>
      <c r="C2365">
        <v>51055446</v>
      </c>
      <c r="D2365">
        <v>12.81</v>
      </c>
      <c r="E2365" t="s">
        <v>95</v>
      </c>
      <c r="F2365">
        <v>1115</v>
      </c>
      <c r="G2365" s="4">
        <v>46087.5937962963</v>
      </c>
    </row>
    <row r="2366" spans="1:7" x14ac:dyDescent="0.3">
      <c r="A2366">
        <v>3558</v>
      </c>
      <c r="B2366" t="s">
        <v>146</v>
      </c>
      <c r="C2366">
        <v>51055471</v>
      </c>
      <c r="D2366">
        <v>13.2</v>
      </c>
      <c r="E2366" t="s">
        <v>95</v>
      </c>
      <c r="F2366">
        <v>1105</v>
      </c>
      <c r="G2366" s="4">
        <v>46087.5937962963</v>
      </c>
    </row>
    <row r="2367" spans="1:7" x14ac:dyDescent="0.3">
      <c r="A2367">
        <v>3559</v>
      </c>
      <c r="B2367" t="s">
        <v>146</v>
      </c>
      <c r="C2367">
        <v>51055608</v>
      </c>
      <c r="D2367">
        <v>10.89</v>
      </c>
      <c r="E2367" t="s">
        <v>95</v>
      </c>
      <c r="F2367">
        <v>1146</v>
      </c>
      <c r="G2367" s="4">
        <v>46087.5937962963</v>
      </c>
    </row>
    <row r="2368" spans="1:7" x14ac:dyDescent="0.3">
      <c r="A2368">
        <v>3560</v>
      </c>
      <c r="B2368" t="s">
        <v>146</v>
      </c>
      <c r="C2368">
        <v>51055683</v>
      </c>
      <c r="D2368">
        <v>17.3</v>
      </c>
      <c r="E2368" t="s">
        <v>95</v>
      </c>
      <c r="F2368">
        <v>1039</v>
      </c>
      <c r="G2368" s="4">
        <v>46087.5937962963</v>
      </c>
    </row>
    <row r="2369" spans="1:7" x14ac:dyDescent="0.3">
      <c r="A2369">
        <v>3561</v>
      </c>
      <c r="B2369" t="s">
        <v>146</v>
      </c>
      <c r="C2369">
        <v>51055713</v>
      </c>
      <c r="D2369">
        <v>17.3</v>
      </c>
      <c r="E2369" t="s">
        <v>95</v>
      </c>
      <c r="F2369">
        <v>1039</v>
      </c>
      <c r="G2369" s="4">
        <v>46087.5937962963</v>
      </c>
    </row>
    <row r="2370" spans="1:7" x14ac:dyDescent="0.3">
      <c r="A2370">
        <v>3562</v>
      </c>
      <c r="B2370" t="s">
        <v>146</v>
      </c>
      <c r="C2370">
        <v>51055748</v>
      </c>
      <c r="D2370">
        <v>10.7</v>
      </c>
      <c r="E2370" t="s">
        <v>95</v>
      </c>
      <c r="F2370">
        <v>1151</v>
      </c>
      <c r="G2370" s="4">
        <v>46087.5937962963</v>
      </c>
    </row>
    <row r="2371" spans="1:7" x14ac:dyDescent="0.3">
      <c r="A2371">
        <v>3563</v>
      </c>
      <c r="B2371" t="s">
        <v>146</v>
      </c>
      <c r="C2371">
        <v>51055781</v>
      </c>
      <c r="D2371">
        <v>11.339999999999998</v>
      </c>
      <c r="E2371" t="s">
        <v>95</v>
      </c>
      <c r="F2371">
        <v>1138</v>
      </c>
      <c r="G2371" s="4">
        <v>46087.5937962963</v>
      </c>
    </row>
    <row r="2372" spans="1:7" x14ac:dyDescent="0.3">
      <c r="A2372">
        <v>3564</v>
      </c>
      <c r="B2372" t="s">
        <v>146</v>
      </c>
      <c r="C2372">
        <v>51055900</v>
      </c>
      <c r="D2372">
        <v>12.67</v>
      </c>
      <c r="E2372" t="s">
        <v>95</v>
      </c>
      <c r="F2372">
        <v>1121</v>
      </c>
      <c r="G2372" s="4">
        <v>46087.5937962963</v>
      </c>
    </row>
    <row r="2373" spans="1:7" x14ac:dyDescent="0.3">
      <c r="A2373">
        <v>3565</v>
      </c>
      <c r="B2373" t="s">
        <v>146</v>
      </c>
      <c r="C2373">
        <v>51055934</v>
      </c>
      <c r="D2373">
        <v>10.6</v>
      </c>
      <c r="E2373" t="s">
        <v>95</v>
      </c>
      <c r="F2373">
        <v>1156</v>
      </c>
      <c r="G2373" s="4">
        <v>46087.5937962963</v>
      </c>
    </row>
    <row r="2374" spans="1:7" x14ac:dyDescent="0.3">
      <c r="A2374">
        <v>3566</v>
      </c>
      <c r="B2374" t="s">
        <v>146</v>
      </c>
      <c r="C2374">
        <v>51055969</v>
      </c>
      <c r="D2374">
        <v>13.339999999999998</v>
      </c>
      <c r="E2374" t="s">
        <v>95</v>
      </c>
      <c r="F2374">
        <v>1100</v>
      </c>
      <c r="G2374" s="4">
        <v>46087.5937962963</v>
      </c>
    </row>
    <row r="2375" spans="1:7" x14ac:dyDescent="0.3">
      <c r="A2375">
        <v>3567</v>
      </c>
      <c r="B2375" t="s">
        <v>146</v>
      </c>
      <c r="C2375">
        <v>51055977</v>
      </c>
      <c r="D2375">
        <v>8.0499999999999989</v>
      </c>
      <c r="E2375" t="s">
        <v>95</v>
      </c>
      <c r="F2375">
        <v>1186</v>
      </c>
      <c r="G2375" s="4">
        <v>46087.5937962963</v>
      </c>
    </row>
    <row r="2376" spans="1:7" x14ac:dyDescent="0.3">
      <c r="A2376">
        <v>3568</v>
      </c>
      <c r="B2376" t="s">
        <v>146</v>
      </c>
      <c r="C2376">
        <v>51056035</v>
      </c>
      <c r="D2376">
        <v>11</v>
      </c>
      <c r="E2376" t="s">
        <v>95</v>
      </c>
      <c r="F2376">
        <v>1142</v>
      </c>
      <c r="G2376" s="4">
        <v>46087.5937962963</v>
      </c>
    </row>
    <row r="2377" spans="1:7" x14ac:dyDescent="0.3">
      <c r="A2377">
        <v>3569</v>
      </c>
      <c r="B2377" t="s">
        <v>146</v>
      </c>
      <c r="C2377">
        <v>51056043</v>
      </c>
      <c r="D2377">
        <v>57.501842591608394</v>
      </c>
      <c r="E2377" t="s">
        <v>94</v>
      </c>
      <c r="F2377">
        <v>701</v>
      </c>
      <c r="G2377" s="4">
        <v>46087.5937962963</v>
      </c>
    </row>
    <row r="2378" spans="1:7" x14ac:dyDescent="0.3">
      <c r="A2378">
        <v>3570</v>
      </c>
      <c r="B2378" t="s">
        <v>146</v>
      </c>
      <c r="C2378">
        <v>51056141</v>
      </c>
      <c r="D2378">
        <v>16.86</v>
      </c>
      <c r="E2378" t="s">
        <v>95</v>
      </c>
      <c r="F2378">
        <v>1050</v>
      </c>
      <c r="G2378" s="4">
        <v>46087.5937962963</v>
      </c>
    </row>
    <row r="2379" spans="1:7" x14ac:dyDescent="0.3">
      <c r="A2379">
        <v>3571</v>
      </c>
      <c r="B2379" t="s">
        <v>146</v>
      </c>
      <c r="C2379">
        <v>51056167</v>
      </c>
      <c r="D2379">
        <v>14.3</v>
      </c>
      <c r="E2379" t="s">
        <v>95</v>
      </c>
      <c r="F2379">
        <v>1083</v>
      </c>
      <c r="G2379" s="4">
        <v>46087.5937962963</v>
      </c>
    </row>
    <row r="2380" spans="1:7" x14ac:dyDescent="0.3">
      <c r="A2380">
        <v>3572</v>
      </c>
      <c r="B2380" t="s">
        <v>146</v>
      </c>
      <c r="C2380">
        <v>51056230</v>
      </c>
      <c r="D2380">
        <v>11</v>
      </c>
      <c r="E2380" t="s">
        <v>95</v>
      </c>
      <c r="F2380">
        <v>1142</v>
      </c>
      <c r="G2380" s="4">
        <v>46087.5937962963</v>
      </c>
    </row>
    <row r="2381" spans="1:7" x14ac:dyDescent="0.3">
      <c r="A2381">
        <v>3573</v>
      </c>
      <c r="B2381" t="s">
        <v>146</v>
      </c>
      <c r="C2381">
        <v>51056256</v>
      </c>
      <c r="D2381">
        <v>13.42</v>
      </c>
      <c r="E2381" t="s">
        <v>95</v>
      </c>
      <c r="F2381">
        <v>1097</v>
      </c>
      <c r="G2381" s="4">
        <v>46087.5937962963</v>
      </c>
    </row>
    <row r="2382" spans="1:7" x14ac:dyDescent="0.3">
      <c r="A2382">
        <v>3574</v>
      </c>
      <c r="B2382" t="s">
        <v>146</v>
      </c>
      <c r="C2382">
        <v>51056370</v>
      </c>
      <c r="D2382">
        <v>10.5</v>
      </c>
      <c r="E2382" t="s">
        <v>95</v>
      </c>
      <c r="F2382">
        <v>1159</v>
      </c>
      <c r="G2382" s="4">
        <v>46087.5937962963</v>
      </c>
    </row>
    <row r="2383" spans="1:7" x14ac:dyDescent="0.3">
      <c r="A2383">
        <v>3575</v>
      </c>
      <c r="B2383" t="s">
        <v>146</v>
      </c>
      <c r="C2383">
        <v>51056680</v>
      </c>
      <c r="D2383">
        <v>2.2999999999999998</v>
      </c>
      <c r="E2383" t="s">
        <v>95</v>
      </c>
      <c r="F2383">
        <v>1193</v>
      </c>
      <c r="G2383" s="4">
        <v>46087.5937962963</v>
      </c>
    </row>
    <row r="2384" spans="1:7" x14ac:dyDescent="0.3">
      <c r="A2384">
        <v>3576</v>
      </c>
      <c r="B2384" t="s">
        <v>146</v>
      </c>
      <c r="C2384">
        <v>51056710</v>
      </c>
      <c r="D2384">
        <v>18.480000000000004</v>
      </c>
      <c r="E2384" t="s">
        <v>95</v>
      </c>
      <c r="F2384">
        <v>1020</v>
      </c>
      <c r="G2384" s="4">
        <v>46087.5937962963</v>
      </c>
    </row>
    <row r="2385" spans="1:7" x14ac:dyDescent="0.3">
      <c r="A2385">
        <v>3577</v>
      </c>
      <c r="B2385" t="s">
        <v>146</v>
      </c>
      <c r="C2385">
        <v>51056779</v>
      </c>
      <c r="D2385">
        <v>17.2</v>
      </c>
      <c r="E2385" t="s">
        <v>95</v>
      </c>
      <c r="F2385">
        <v>1042</v>
      </c>
      <c r="G2385" s="4">
        <v>46087.5937962963</v>
      </c>
    </row>
    <row r="2386" spans="1:7" x14ac:dyDescent="0.3">
      <c r="A2386">
        <v>3578</v>
      </c>
      <c r="B2386" t="s">
        <v>146</v>
      </c>
      <c r="C2386">
        <v>51056841</v>
      </c>
      <c r="D2386">
        <v>13.750000000000002</v>
      </c>
      <c r="E2386" t="s">
        <v>95</v>
      </c>
      <c r="F2386">
        <v>1091</v>
      </c>
      <c r="G2386" s="4">
        <v>46087.5937962963</v>
      </c>
    </row>
    <row r="2387" spans="1:7" x14ac:dyDescent="0.3">
      <c r="A2387">
        <v>3579</v>
      </c>
      <c r="B2387" t="s">
        <v>146</v>
      </c>
      <c r="C2387">
        <v>51056892</v>
      </c>
      <c r="D2387">
        <v>18.899999999999999</v>
      </c>
      <c r="E2387" t="s">
        <v>95</v>
      </c>
      <c r="F2387">
        <v>1008</v>
      </c>
      <c r="G2387" s="4">
        <v>46087.5937962963</v>
      </c>
    </row>
    <row r="2388" spans="1:7" x14ac:dyDescent="0.3">
      <c r="A2388">
        <v>5966</v>
      </c>
      <c r="B2388" t="s">
        <v>147</v>
      </c>
      <c r="C2388">
        <v>51015525</v>
      </c>
      <c r="D2388">
        <v>60.346133037725252</v>
      </c>
      <c r="E2388" t="s">
        <v>94</v>
      </c>
      <c r="F2388">
        <v>611</v>
      </c>
      <c r="G2388" s="4">
        <v>46087.599236111113</v>
      </c>
    </row>
    <row r="2389" spans="1:7" x14ac:dyDescent="0.3">
      <c r="A2389">
        <v>5967</v>
      </c>
      <c r="B2389" t="s">
        <v>147</v>
      </c>
      <c r="C2389">
        <v>51017790</v>
      </c>
      <c r="D2389">
        <v>79.63970142745957</v>
      </c>
      <c r="E2389" t="s">
        <v>93</v>
      </c>
      <c r="F2389">
        <v>445</v>
      </c>
      <c r="G2389" s="4">
        <v>46087.599236111113</v>
      </c>
    </row>
    <row r="2390" spans="1:7" x14ac:dyDescent="0.3">
      <c r="A2390">
        <v>5968</v>
      </c>
      <c r="B2390" t="s">
        <v>147</v>
      </c>
      <c r="C2390">
        <v>51023871</v>
      </c>
      <c r="D2390">
        <v>81.991482854307321</v>
      </c>
      <c r="E2390" t="s">
        <v>93</v>
      </c>
      <c r="F2390">
        <v>387</v>
      </c>
      <c r="G2390" s="4">
        <v>46087.599236111113</v>
      </c>
    </row>
    <row r="2391" spans="1:7" x14ac:dyDescent="0.3">
      <c r="A2391">
        <v>5969</v>
      </c>
      <c r="B2391" t="s">
        <v>147</v>
      </c>
      <c r="C2391">
        <v>51019601</v>
      </c>
      <c r="D2391">
        <v>80.806796201946341</v>
      </c>
      <c r="E2391" t="s">
        <v>93</v>
      </c>
      <c r="F2391">
        <v>419</v>
      </c>
      <c r="G2391" s="4">
        <v>46087.599236111113</v>
      </c>
    </row>
    <row r="2392" spans="1:7" x14ac:dyDescent="0.3">
      <c r="A2392">
        <v>5970</v>
      </c>
      <c r="B2392" t="s">
        <v>147</v>
      </c>
      <c r="C2392">
        <v>51021983</v>
      </c>
      <c r="D2392">
        <v>48.474469516742218</v>
      </c>
      <c r="E2392" t="s">
        <v>94</v>
      </c>
      <c r="F2392">
        <v>752</v>
      </c>
      <c r="G2392" s="4">
        <v>46087.599236111113</v>
      </c>
    </row>
    <row r="2393" spans="1:7" x14ac:dyDescent="0.3">
      <c r="A2393">
        <v>5971</v>
      </c>
      <c r="B2393" t="s">
        <v>147</v>
      </c>
      <c r="C2393">
        <v>51020201</v>
      </c>
      <c r="D2393">
        <v>85.919336994596975</v>
      </c>
      <c r="E2393" t="s">
        <v>93</v>
      </c>
      <c r="F2393">
        <v>254</v>
      </c>
      <c r="G2393" s="4">
        <v>46087.599236111113</v>
      </c>
    </row>
    <row r="2394" spans="1:7" x14ac:dyDescent="0.3">
      <c r="A2394">
        <v>5972</v>
      </c>
      <c r="B2394" t="s">
        <v>147</v>
      </c>
      <c r="C2394">
        <v>51031296</v>
      </c>
      <c r="D2394">
        <v>86.063360109825283</v>
      </c>
      <c r="E2394" t="s">
        <v>93</v>
      </c>
      <c r="F2394">
        <v>250</v>
      </c>
      <c r="G2394" s="4">
        <v>46087.599236111113</v>
      </c>
    </row>
    <row r="2395" spans="1:7" x14ac:dyDescent="0.3">
      <c r="A2395">
        <v>5973</v>
      </c>
      <c r="B2395" t="s">
        <v>147</v>
      </c>
      <c r="C2395">
        <v>51011864</v>
      </c>
      <c r="D2395">
        <v>88.021795556001635</v>
      </c>
      <c r="E2395" t="s">
        <v>92</v>
      </c>
      <c r="F2395">
        <v>198</v>
      </c>
      <c r="G2395" s="4">
        <v>46087.599236111113</v>
      </c>
    </row>
    <row r="2396" spans="1:7" x14ac:dyDescent="0.3">
      <c r="A2396">
        <v>5974</v>
      </c>
      <c r="B2396" t="s">
        <v>147</v>
      </c>
      <c r="C2396">
        <v>51005945</v>
      </c>
      <c r="D2396">
        <v>84.644822970655056</v>
      </c>
      <c r="E2396" t="s">
        <v>93</v>
      </c>
      <c r="F2396">
        <v>296</v>
      </c>
      <c r="G2396" s="4">
        <v>46087.599236111113</v>
      </c>
    </row>
    <row r="2397" spans="1:7" x14ac:dyDescent="0.3">
      <c r="A2397">
        <v>5975</v>
      </c>
      <c r="B2397" t="s">
        <v>147</v>
      </c>
      <c r="C2397">
        <v>51055586</v>
      </c>
      <c r="D2397">
        <v>81.995171387035072</v>
      </c>
      <c r="E2397" t="s">
        <v>93</v>
      </c>
      <c r="F2397">
        <v>386</v>
      </c>
      <c r="G2397" s="4">
        <v>46087.599236111113</v>
      </c>
    </row>
    <row r="2398" spans="1:7" x14ac:dyDescent="0.3">
      <c r="A2398">
        <v>5976</v>
      </c>
      <c r="B2398" t="s">
        <v>147</v>
      </c>
      <c r="C2398">
        <v>51025458</v>
      </c>
      <c r="D2398">
        <v>88.766406330257013</v>
      </c>
      <c r="E2398" t="s">
        <v>92</v>
      </c>
      <c r="F2398">
        <v>172</v>
      </c>
      <c r="G2398" s="4">
        <v>46087.599236111113</v>
      </c>
    </row>
    <row r="2399" spans="1:7" x14ac:dyDescent="0.3">
      <c r="A2399">
        <v>5977</v>
      </c>
      <c r="B2399" t="s">
        <v>147</v>
      </c>
      <c r="C2399">
        <v>51025709</v>
      </c>
      <c r="D2399">
        <v>37.808192461828888</v>
      </c>
      <c r="E2399" t="s">
        <v>94</v>
      </c>
      <c r="F2399">
        <v>796</v>
      </c>
      <c r="G2399" s="4">
        <v>46087.599236111113</v>
      </c>
    </row>
    <row r="2400" spans="1:7" x14ac:dyDescent="0.3">
      <c r="A2400">
        <v>5978</v>
      </c>
      <c r="B2400" t="s">
        <v>147</v>
      </c>
      <c r="C2400">
        <v>51019709</v>
      </c>
      <c r="D2400">
        <v>96.592290004139045</v>
      </c>
      <c r="E2400" t="s">
        <v>275</v>
      </c>
      <c r="F2400">
        <v>51</v>
      </c>
      <c r="G2400" s="4">
        <v>46087.599236111113</v>
      </c>
    </row>
    <row r="2401" spans="1:7" x14ac:dyDescent="0.3">
      <c r="A2401">
        <v>5979</v>
      </c>
      <c r="B2401" t="s">
        <v>147</v>
      </c>
      <c r="C2401">
        <v>51019377</v>
      </c>
      <c r="D2401">
        <v>85.897303001053203</v>
      </c>
      <c r="E2401" t="s">
        <v>93</v>
      </c>
      <c r="F2401">
        <v>255</v>
      </c>
      <c r="G2401" s="4">
        <v>46087.599236111113</v>
      </c>
    </row>
    <row r="2402" spans="1:7" x14ac:dyDescent="0.3">
      <c r="A2402">
        <v>5980</v>
      </c>
      <c r="B2402" t="s">
        <v>147</v>
      </c>
      <c r="C2402">
        <v>51017447</v>
      </c>
      <c r="D2402">
        <v>81.725421555065594</v>
      </c>
      <c r="E2402" t="s">
        <v>93</v>
      </c>
      <c r="F2402">
        <v>393</v>
      </c>
      <c r="G2402" s="4">
        <v>46087.599236111113</v>
      </c>
    </row>
    <row r="2403" spans="1:7" x14ac:dyDescent="0.3">
      <c r="A2403">
        <v>5981</v>
      </c>
      <c r="B2403" t="s">
        <v>147</v>
      </c>
      <c r="C2403">
        <v>51055721</v>
      </c>
      <c r="D2403">
        <v>58.277620634316875</v>
      </c>
      <c r="E2403" t="s">
        <v>94</v>
      </c>
      <c r="F2403">
        <v>651</v>
      </c>
      <c r="G2403" s="4">
        <v>46087.599236111113</v>
      </c>
    </row>
    <row r="2404" spans="1:7" x14ac:dyDescent="0.3">
      <c r="A2404">
        <v>5982</v>
      </c>
      <c r="B2404" t="s">
        <v>147</v>
      </c>
      <c r="C2404">
        <v>51023064</v>
      </c>
      <c r="D2404">
        <v>91.065192791669077</v>
      </c>
      <c r="E2404" t="s">
        <v>92</v>
      </c>
      <c r="F2404">
        <v>115</v>
      </c>
      <c r="G2404" s="4">
        <v>46087.599236111113</v>
      </c>
    </row>
    <row r="2405" spans="1:7" x14ac:dyDescent="0.3">
      <c r="A2405">
        <v>5983</v>
      </c>
      <c r="B2405" t="s">
        <v>147</v>
      </c>
      <c r="C2405">
        <v>51055063</v>
      </c>
      <c r="D2405">
        <v>55.811616511222375</v>
      </c>
      <c r="E2405" t="s">
        <v>94</v>
      </c>
      <c r="F2405">
        <v>706</v>
      </c>
      <c r="G2405" s="4">
        <v>46087.599236111113</v>
      </c>
    </row>
    <row r="2406" spans="1:7" x14ac:dyDescent="0.3">
      <c r="A2406">
        <v>5984</v>
      </c>
      <c r="B2406" t="s">
        <v>147</v>
      </c>
      <c r="C2406">
        <v>51024893</v>
      </c>
      <c r="D2406">
        <v>52.215795716325381</v>
      </c>
      <c r="E2406" t="s">
        <v>94</v>
      </c>
      <c r="F2406">
        <v>728</v>
      </c>
      <c r="G2406" s="4">
        <v>46087.599236111113</v>
      </c>
    </row>
    <row r="2407" spans="1:7" x14ac:dyDescent="0.3">
      <c r="A2407">
        <v>5985</v>
      </c>
      <c r="B2407" t="s">
        <v>147</v>
      </c>
      <c r="C2407">
        <v>51013638</v>
      </c>
      <c r="D2407">
        <v>90.345050569333139</v>
      </c>
      <c r="E2407" t="s">
        <v>92</v>
      </c>
      <c r="F2407">
        <v>130</v>
      </c>
      <c r="G2407" s="4">
        <v>46087.599236111113</v>
      </c>
    </row>
    <row r="2408" spans="1:7" x14ac:dyDescent="0.3">
      <c r="A2408">
        <v>5986</v>
      </c>
      <c r="B2408" t="s">
        <v>147</v>
      </c>
      <c r="C2408">
        <v>51011015</v>
      </c>
      <c r="D2408">
        <v>58.705492520178154</v>
      </c>
      <c r="E2408" t="s">
        <v>94</v>
      </c>
      <c r="F2408">
        <v>640</v>
      </c>
      <c r="G2408" s="4">
        <v>46087.599236111113</v>
      </c>
    </row>
    <row r="2409" spans="1:7" x14ac:dyDescent="0.3">
      <c r="A2409">
        <v>5987</v>
      </c>
      <c r="B2409" t="s">
        <v>147</v>
      </c>
      <c r="C2409">
        <v>51020758</v>
      </c>
      <c r="D2409">
        <v>35.711076237445297</v>
      </c>
      <c r="E2409" t="s">
        <v>94</v>
      </c>
      <c r="F2409">
        <v>804</v>
      </c>
      <c r="G2409" s="4">
        <v>46087.599236111113</v>
      </c>
    </row>
    <row r="2410" spans="1:7" x14ac:dyDescent="0.3">
      <c r="A2410">
        <v>5988</v>
      </c>
      <c r="B2410" t="s">
        <v>147</v>
      </c>
      <c r="C2410">
        <v>51022734</v>
      </c>
      <c r="D2410">
        <v>57.582959903916326</v>
      </c>
      <c r="E2410" t="s">
        <v>94</v>
      </c>
      <c r="F2410">
        <v>672</v>
      </c>
      <c r="G2410" s="4">
        <v>46087.599236111113</v>
      </c>
    </row>
    <row r="2411" spans="1:7" x14ac:dyDescent="0.3">
      <c r="A2411">
        <v>5989</v>
      </c>
      <c r="B2411" t="s">
        <v>147</v>
      </c>
      <c r="C2411">
        <v>51036034</v>
      </c>
      <c r="D2411">
        <v>84.523133932739526</v>
      </c>
      <c r="E2411" t="s">
        <v>93</v>
      </c>
      <c r="F2411">
        <v>299</v>
      </c>
      <c r="G2411" s="4">
        <v>46087.599236111113</v>
      </c>
    </row>
    <row r="2412" spans="1:7" x14ac:dyDescent="0.3">
      <c r="A2412">
        <v>5990</v>
      </c>
      <c r="B2412" t="s">
        <v>147</v>
      </c>
      <c r="C2412">
        <v>51019954</v>
      </c>
      <c r="D2412">
        <v>58.0210958618256</v>
      </c>
      <c r="E2412" t="s">
        <v>94</v>
      </c>
      <c r="F2412">
        <v>662</v>
      </c>
      <c r="G2412" s="4">
        <v>46087.599236111113</v>
      </c>
    </row>
    <row r="2413" spans="1:7" x14ac:dyDescent="0.3">
      <c r="A2413">
        <v>5991</v>
      </c>
      <c r="B2413" t="s">
        <v>147</v>
      </c>
      <c r="C2413">
        <v>51041895</v>
      </c>
      <c r="D2413">
        <v>71.455935054293761</v>
      </c>
      <c r="E2413" t="s">
        <v>93</v>
      </c>
      <c r="F2413">
        <v>502</v>
      </c>
      <c r="G2413" s="4">
        <v>46087.599236111113</v>
      </c>
    </row>
    <row r="2414" spans="1:7" x14ac:dyDescent="0.3">
      <c r="A2414">
        <v>5992</v>
      </c>
      <c r="B2414" t="s">
        <v>147</v>
      </c>
      <c r="C2414">
        <v>51031075</v>
      </c>
      <c r="D2414">
        <v>96.226138204092067</v>
      </c>
      <c r="E2414" t="s">
        <v>275</v>
      </c>
      <c r="F2414">
        <v>58</v>
      </c>
      <c r="G2414" s="4">
        <v>46087.599236111113</v>
      </c>
    </row>
    <row r="2415" spans="1:7" x14ac:dyDescent="0.3">
      <c r="A2415">
        <v>5993</v>
      </c>
      <c r="B2415" t="s">
        <v>147</v>
      </c>
      <c r="C2415">
        <v>51016815</v>
      </c>
      <c r="D2415">
        <v>83.30251502325973</v>
      </c>
      <c r="E2415" t="s">
        <v>93</v>
      </c>
      <c r="F2415">
        <v>337</v>
      </c>
      <c r="G2415" s="4">
        <v>46087.599236111113</v>
      </c>
    </row>
    <row r="2416" spans="1:7" x14ac:dyDescent="0.3">
      <c r="A2416">
        <v>5994</v>
      </c>
      <c r="B2416" t="s">
        <v>147</v>
      </c>
      <c r="C2416">
        <v>51010761</v>
      </c>
      <c r="D2416">
        <v>96.463623971626333</v>
      </c>
      <c r="E2416" t="s">
        <v>275</v>
      </c>
      <c r="F2416">
        <v>53</v>
      </c>
      <c r="G2416" s="4">
        <v>46087.599236111113</v>
      </c>
    </row>
    <row r="2417" spans="1:7" x14ac:dyDescent="0.3">
      <c r="A2417">
        <v>5995</v>
      </c>
      <c r="B2417" t="s">
        <v>147</v>
      </c>
      <c r="C2417">
        <v>51013301</v>
      </c>
      <c r="D2417">
        <v>58.317395291888339</v>
      </c>
      <c r="E2417" t="s">
        <v>94</v>
      </c>
      <c r="F2417">
        <v>649</v>
      </c>
      <c r="G2417" s="4">
        <v>46087.599236111113</v>
      </c>
    </row>
    <row r="2418" spans="1:7" x14ac:dyDescent="0.3">
      <c r="A2418">
        <v>5996</v>
      </c>
      <c r="B2418" t="s">
        <v>147</v>
      </c>
      <c r="C2418">
        <v>51041933</v>
      </c>
      <c r="D2418">
        <v>90.571272002946955</v>
      </c>
      <c r="E2418" t="s">
        <v>92</v>
      </c>
      <c r="F2418">
        <v>123</v>
      </c>
      <c r="G2418" s="4">
        <v>46087.599236111113</v>
      </c>
    </row>
    <row r="2419" spans="1:7" x14ac:dyDescent="0.3">
      <c r="A2419">
        <v>5997</v>
      </c>
      <c r="B2419" t="s">
        <v>147</v>
      </c>
      <c r="C2419">
        <v>51014006</v>
      </c>
      <c r="D2419">
        <v>39.161729295881401</v>
      </c>
      <c r="E2419" t="s">
        <v>94</v>
      </c>
      <c r="F2419">
        <v>792</v>
      </c>
      <c r="G2419" s="4">
        <v>46087.599236111113</v>
      </c>
    </row>
    <row r="2420" spans="1:7" x14ac:dyDescent="0.3">
      <c r="A2420">
        <v>5998</v>
      </c>
      <c r="B2420" t="s">
        <v>147</v>
      </c>
      <c r="C2420">
        <v>51000111</v>
      </c>
      <c r="D2420">
        <v>65.142310189211358</v>
      </c>
      <c r="E2420" t="s">
        <v>93</v>
      </c>
      <c r="F2420">
        <v>543</v>
      </c>
      <c r="G2420" s="4">
        <v>46087.599236111113</v>
      </c>
    </row>
    <row r="2421" spans="1:7" x14ac:dyDescent="0.3">
      <c r="A2421">
        <v>5999</v>
      </c>
      <c r="B2421" t="s">
        <v>147</v>
      </c>
      <c r="C2421">
        <v>51042735</v>
      </c>
      <c r="D2421">
        <v>57.549864197345478</v>
      </c>
      <c r="E2421" t="s">
        <v>94</v>
      </c>
      <c r="F2421">
        <v>673</v>
      </c>
      <c r="G2421" s="4">
        <v>46087.599236111113</v>
      </c>
    </row>
    <row r="2422" spans="1:7" x14ac:dyDescent="0.3">
      <c r="A2422">
        <v>6000</v>
      </c>
      <c r="B2422" t="s">
        <v>147</v>
      </c>
      <c r="C2422">
        <v>51023218</v>
      </c>
      <c r="D2422">
        <v>22.189999999999998</v>
      </c>
      <c r="E2422" t="s">
        <v>94</v>
      </c>
      <c r="F2422">
        <v>946</v>
      </c>
      <c r="G2422" s="4">
        <v>46087.599236111113</v>
      </c>
    </row>
    <row r="2423" spans="1:7" x14ac:dyDescent="0.3">
      <c r="A2423">
        <v>6001</v>
      </c>
      <c r="B2423" t="s">
        <v>147</v>
      </c>
      <c r="C2423">
        <v>51002776</v>
      </c>
      <c r="D2423">
        <v>82.856160968024227</v>
      </c>
      <c r="E2423" t="s">
        <v>93</v>
      </c>
      <c r="F2423">
        <v>359</v>
      </c>
      <c r="G2423" s="4">
        <v>46087.599236111113</v>
      </c>
    </row>
    <row r="2424" spans="1:7" x14ac:dyDescent="0.3">
      <c r="A2424">
        <v>6002</v>
      </c>
      <c r="B2424" t="s">
        <v>147</v>
      </c>
      <c r="C2424">
        <v>51015541</v>
      </c>
      <c r="D2424">
        <v>70.802496259758087</v>
      </c>
      <c r="E2424" t="s">
        <v>93</v>
      </c>
      <c r="F2424">
        <v>508</v>
      </c>
      <c r="G2424" s="4">
        <v>46087.599236111113</v>
      </c>
    </row>
    <row r="2425" spans="1:7" x14ac:dyDescent="0.3">
      <c r="A2425">
        <v>6003</v>
      </c>
      <c r="B2425" t="s">
        <v>147</v>
      </c>
      <c r="C2425">
        <v>51031890</v>
      </c>
      <c r="D2425">
        <v>27.2</v>
      </c>
      <c r="E2425" t="s">
        <v>94</v>
      </c>
      <c r="F2425">
        <v>898</v>
      </c>
      <c r="G2425" s="4">
        <v>46087.599236111113</v>
      </c>
    </row>
    <row r="2426" spans="1:7" x14ac:dyDescent="0.3">
      <c r="A2426">
        <v>6004</v>
      </c>
      <c r="B2426" t="s">
        <v>147</v>
      </c>
      <c r="C2426">
        <v>51057058</v>
      </c>
      <c r="D2426">
        <v>90.073543805751626</v>
      </c>
      <c r="E2426" t="s">
        <v>92</v>
      </c>
      <c r="F2426">
        <v>134</v>
      </c>
      <c r="G2426" s="4">
        <v>46087.599236111113</v>
      </c>
    </row>
    <row r="2427" spans="1:7" x14ac:dyDescent="0.3">
      <c r="A2427">
        <v>6005</v>
      </c>
      <c r="B2427" t="s">
        <v>147</v>
      </c>
      <c r="C2427">
        <v>51022289</v>
      </c>
      <c r="D2427">
        <v>91.816567252692849</v>
      </c>
      <c r="E2427" t="s">
        <v>92</v>
      </c>
      <c r="F2427">
        <v>107</v>
      </c>
      <c r="G2427" s="4">
        <v>46087.599236111113</v>
      </c>
    </row>
    <row r="2428" spans="1:7" x14ac:dyDescent="0.3">
      <c r="A2428">
        <v>6006</v>
      </c>
      <c r="B2428" t="s">
        <v>147</v>
      </c>
      <c r="C2428">
        <v>51016688</v>
      </c>
      <c r="D2428">
        <v>86.064718704190597</v>
      </c>
      <c r="E2428" t="s">
        <v>93</v>
      </c>
      <c r="F2428">
        <v>249</v>
      </c>
      <c r="G2428" s="4">
        <v>46087.599236111113</v>
      </c>
    </row>
    <row r="2429" spans="1:7" x14ac:dyDescent="0.3">
      <c r="A2429">
        <v>6007</v>
      </c>
      <c r="B2429" t="s">
        <v>147</v>
      </c>
      <c r="C2429">
        <v>51032527</v>
      </c>
      <c r="D2429">
        <v>95.535715364333299</v>
      </c>
      <c r="E2429" t="s">
        <v>92</v>
      </c>
      <c r="F2429">
        <v>66</v>
      </c>
      <c r="G2429" s="4">
        <v>46087.599236111113</v>
      </c>
    </row>
    <row r="2430" spans="1:7" x14ac:dyDescent="0.3">
      <c r="A2430">
        <v>6008</v>
      </c>
      <c r="B2430" t="s">
        <v>147</v>
      </c>
      <c r="C2430">
        <v>51028678</v>
      </c>
      <c r="D2430">
        <v>58.59296961236155</v>
      </c>
      <c r="E2430" t="s">
        <v>94</v>
      </c>
      <c r="F2430">
        <v>645</v>
      </c>
      <c r="G2430" s="4">
        <v>46087.599236111113</v>
      </c>
    </row>
    <row r="2431" spans="1:7" x14ac:dyDescent="0.3">
      <c r="A2431">
        <v>6009</v>
      </c>
      <c r="B2431" t="s">
        <v>147</v>
      </c>
      <c r="C2431">
        <v>51005287</v>
      </c>
      <c r="D2431">
        <v>84.053715101825404</v>
      </c>
      <c r="E2431" t="s">
        <v>93</v>
      </c>
      <c r="F2431">
        <v>320</v>
      </c>
      <c r="G2431" s="4">
        <v>46087.599236111113</v>
      </c>
    </row>
    <row r="2432" spans="1:7" x14ac:dyDescent="0.3">
      <c r="A2432">
        <v>6010</v>
      </c>
      <c r="B2432" t="s">
        <v>147</v>
      </c>
      <c r="C2432">
        <v>51055624</v>
      </c>
      <c r="D2432">
        <v>97.994419331600412</v>
      </c>
      <c r="E2432" t="s">
        <v>275</v>
      </c>
      <c r="F2432">
        <v>38</v>
      </c>
      <c r="G2432" s="4">
        <v>46087.599236111113</v>
      </c>
    </row>
    <row r="2433" spans="1:7" x14ac:dyDescent="0.3">
      <c r="A2433">
        <v>6011</v>
      </c>
      <c r="B2433" t="s">
        <v>147</v>
      </c>
      <c r="C2433">
        <v>51010884</v>
      </c>
      <c r="D2433">
        <v>19.599999999999998</v>
      </c>
      <c r="E2433" t="s">
        <v>95</v>
      </c>
      <c r="F2433">
        <v>985</v>
      </c>
      <c r="G2433" s="4">
        <v>46087.599236111113</v>
      </c>
    </row>
    <row r="2434" spans="1:7" x14ac:dyDescent="0.3">
      <c r="A2434">
        <v>6012</v>
      </c>
      <c r="B2434" t="s">
        <v>147</v>
      </c>
      <c r="C2434">
        <v>51007051</v>
      </c>
      <c r="D2434">
        <v>82.379823874252466</v>
      </c>
      <c r="E2434" t="s">
        <v>93</v>
      </c>
      <c r="F2434">
        <v>380</v>
      </c>
      <c r="G2434" s="4">
        <v>46087.599236111113</v>
      </c>
    </row>
    <row r="2435" spans="1:7" x14ac:dyDescent="0.3">
      <c r="A2435">
        <v>6013</v>
      </c>
      <c r="B2435" t="s">
        <v>147</v>
      </c>
      <c r="C2435">
        <v>51013808</v>
      </c>
      <c r="D2435">
        <v>60.136341451433367</v>
      </c>
      <c r="E2435" t="s">
        <v>94</v>
      </c>
      <c r="F2435">
        <v>616</v>
      </c>
      <c r="G2435" s="4">
        <v>46087.599236111113</v>
      </c>
    </row>
    <row r="2436" spans="1:7" x14ac:dyDescent="0.3">
      <c r="A2436">
        <v>6014</v>
      </c>
      <c r="B2436" t="s">
        <v>147</v>
      </c>
      <c r="C2436">
        <v>51035828</v>
      </c>
      <c r="D2436">
        <v>61.655683306971795</v>
      </c>
      <c r="E2436" t="s">
        <v>93</v>
      </c>
      <c r="F2436">
        <v>588</v>
      </c>
      <c r="G2436" s="4">
        <v>46087.599236111113</v>
      </c>
    </row>
    <row r="2437" spans="1:7" x14ac:dyDescent="0.3">
      <c r="A2437">
        <v>6015</v>
      </c>
      <c r="B2437" t="s">
        <v>147</v>
      </c>
      <c r="C2437">
        <v>51056051</v>
      </c>
      <c r="D2437">
        <v>84.435732154273381</v>
      </c>
      <c r="E2437" t="s">
        <v>93</v>
      </c>
      <c r="F2437">
        <v>301</v>
      </c>
      <c r="G2437" s="4">
        <v>46087.599236111113</v>
      </c>
    </row>
    <row r="2438" spans="1:7" x14ac:dyDescent="0.3">
      <c r="A2438">
        <v>6016</v>
      </c>
      <c r="B2438" t="s">
        <v>147</v>
      </c>
      <c r="C2438">
        <v>51024265</v>
      </c>
      <c r="D2438">
        <v>84.870004645940398</v>
      </c>
      <c r="E2438" t="s">
        <v>93</v>
      </c>
      <c r="F2438">
        <v>288</v>
      </c>
      <c r="G2438" s="4">
        <v>46087.599236111113</v>
      </c>
    </row>
    <row r="2439" spans="1:7" x14ac:dyDescent="0.3">
      <c r="A2439">
        <v>6017</v>
      </c>
      <c r="B2439" t="s">
        <v>147</v>
      </c>
      <c r="C2439">
        <v>51018494</v>
      </c>
      <c r="D2439">
        <v>100</v>
      </c>
      <c r="E2439" t="s">
        <v>275</v>
      </c>
      <c r="F2439">
        <v>1</v>
      </c>
      <c r="G2439" s="4">
        <v>46087.599236111113</v>
      </c>
    </row>
    <row r="2440" spans="1:7" x14ac:dyDescent="0.3">
      <c r="A2440">
        <v>6018</v>
      </c>
      <c r="B2440" t="s">
        <v>147</v>
      </c>
      <c r="C2440">
        <v>51039882</v>
      </c>
      <c r="D2440">
        <v>27.7</v>
      </c>
      <c r="E2440" t="s">
        <v>94</v>
      </c>
      <c r="F2440">
        <v>888</v>
      </c>
      <c r="G2440" s="4">
        <v>46087.599236111113</v>
      </c>
    </row>
    <row r="2441" spans="1:7" x14ac:dyDescent="0.3">
      <c r="A2441">
        <v>6019</v>
      </c>
      <c r="B2441" t="s">
        <v>147</v>
      </c>
      <c r="C2441">
        <v>51024192</v>
      </c>
      <c r="D2441">
        <v>74.539543309387582</v>
      </c>
      <c r="E2441" t="s">
        <v>93</v>
      </c>
      <c r="F2441">
        <v>477</v>
      </c>
      <c r="G2441" s="4">
        <v>46087.599236111113</v>
      </c>
    </row>
    <row r="2442" spans="1:7" x14ac:dyDescent="0.3">
      <c r="A2442">
        <v>6020</v>
      </c>
      <c r="B2442" t="s">
        <v>147</v>
      </c>
      <c r="C2442">
        <v>51008332</v>
      </c>
      <c r="D2442">
        <v>88.97511212174328</v>
      </c>
      <c r="E2442" t="s">
        <v>92</v>
      </c>
      <c r="F2442">
        <v>169</v>
      </c>
      <c r="G2442" s="4">
        <v>46087.599236111113</v>
      </c>
    </row>
    <row r="2443" spans="1:7" x14ac:dyDescent="0.3">
      <c r="A2443">
        <v>6021</v>
      </c>
      <c r="B2443" t="s">
        <v>147</v>
      </c>
      <c r="C2443">
        <v>51015258</v>
      </c>
      <c r="D2443">
        <v>85.428340451983601</v>
      </c>
      <c r="E2443" t="s">
        <v>93</v>
      </c>
      <c r="F2443">
        <v>271</v>
      </c>
      <c r="G2443" s="4">
        <v>46087.599236111113</v>
      </c>
    </row>
    <row r="2444" spans="1:7" x14ac:dyDescent="0.3">
      <c r="A2444">
        <v>6022</v>
      </c>
      <c r="B2444" t="s">
        <v>147</v>
      </c>
      <c r="C2444">
        <v>51033710</v>
      </c>
      <c r="D2444">
        <v>98.361012671891189</v>
      </c>
      <c r="E2444" t="s">
        <v>275</v>
      </c>
      <c r="F2444">
        <v>32</v>
      </c>
      <c r="G2444" s="4">
        <v>46087.599236111113</v>
      </c>
    </row>
    <row r="2445" spans="1:7" x14ac:dyDescent="0.3">
      <c r="A2445">
        <v>6023</v>
      </c>
      <c r="B2445" t="s">
        <v>147</v>
      </c>
      <c r="C2445">
        <v>51010329</v>
      </c>
      <c r="D2445">
        <v>33.700000000000003</v>
      </c>
      <c r="E2445" t="s">
        <v>94</v>
      </c>
      <c r="F2445">
        <v>816</v>
      </c>
      <c r="G2445" s="4">
        <v>46087.599236111113</v>
      </c>
    </row>
    <row r="2446" spans="1:7" x14ac:dyDescent="0.3">
      <c r="A2446">
        <v>6024</v>
      </c>
      <c r="B2446" t="s">
        <v>147</v>
      </c>
      <c r="C2446">
        <v>51011252</v>
      </c>
      <c r="D2446">
        <v>59.791842812422217</v>
      </c>
      <c r="E2446" t="s">
        <v>94</v>
      </c>
      <c r="F2446">
        <v>624</v>
      </c>
      <c r="G2446" s="4">
        <v>46087.599236111113</v>
      </c>
    </row>
    <row r="2447" spans="1:7" x14ac:dyDescent="0.3">
      <c r="A2447">
        <v>6025</v>
      </c>
      <c r="B2447" t="s">
        <v>147</v>
      </c>
      <c r="C2447">
        <v>51018648</v>
      </c>
      <c r="D2447">
        <v>81.484988936497302</v>
      </c>
      <c r="E2447" t="s">
        <v>93</v>
      </c>
      <c r="F2447">
        <v>402</v>
      </c>
      <c r="G2447" s="4">
        <v>46087.599236111113</v>
      </c>
    </row>
    <row r="2448" spans="1:7" x14ac:dyDescent="0.3">
      <c r="A2448">
        <v>6026</v>
      </c>
      <c r="B2448" t="s">
        <v>147</v>
      </c>
      <c r="C2448">
        <v>51024524</v>
      </c>
      <c r="D2448">
        <v>85.579112371062237</v>
      </c>
      <c r="E2448" t="s">
        <v>93</v>
      </c>
      <c r="F2448">
        <v>266</v>
      </c>
      <c r="G2448" s="4">
        <v>46087.599236111113</v>
      </c>
    </row>
    <row r="2449" spans="1:7" x14ac:dyDescent="0.3">
      <c r="A2449">
        <v>6027</v>
      </c>
      <c r="B2449" t="s">
        <v>147</v>
      </c>
      <c r="C2449">
        <v>51055772</v>
      </c>
      <c r="D2449">
        <v>58.060334383617935</v>
      </c>
      <c r="E2449" t="s">
        <v>94</v>
      </c>
      <c r="F2449">
        <v>659</v>
      </c>
      <c r="G2449" s="4">
        <v>46087.599236111113</v>
      </c>
    </row>
    <row r="2450" spans="1:7" x14ac:dyDescent="0.3">
      <c r="A2450">
        <v>6028</v>
      </c>
      <c r="B2450" t="s">
        <v>147</v>
      </c>
      <c r="C2450">
        <v>51031083</v>
      </c>
      <c r="D2450">
        <v>58.981210963832872</v>
      </c>
      <c r="E2450" t="s">
        <v>94</v>
      </c>
      <c r="F2450">
        <v>637</v>
      </c>
      <c r="G2450" s="4">
        <v>46087.599236111113</v>
      </c>
    </row>
    <row r="2451" spans="1:7" x14ac:dyDescent="0.3">
      <c r="A2451">
        <v>6029</v>
      </c>
      <c r="B2451" t="s">
        <v>147</v>
      </c>
      <c r="C2451">
        <v>51056647</v>
      </c>
      <c r="D2451">
        <v>88.377864187999151</v>
      </c>
      <c r="E2451" t="s">
        <v>92</v>
      </c>
      <c r="F2451">
        <v>187</v>
      </c>
      <c r="G2451" s="4">
        <v>46087.599236111113</v>
      </c>
    </row>
    <row r="2452" spans="1:7" x14ac:dyDescent="0.3">
      <c r="A2452">
        <v>6030</v>
      </c>
      <c r="B2452" t="s">
        <v>147</v>
      </c>
      <c r="C2452">
        <v>51024214</v>
      </c>
      <c r="D2452">
        <v>80.337304208245882</v>
      </c>
      <c r="E2452" t="s">
        <v>93</v>
      </c>
      <c r="F2452">
        <v>433</v>
      </c>
      <c r="G2452" s="4">
        <v>46087.599236111113</v>
      </c>
    </row>
    <row r="2453" spans="1:7" x14ac:dyDescent="0.3">
      <c r="A2453">
        <v>6031</v>
      </c>
      <c r="B2453" t="s">
        <v>147</v>
      </c>
      <c r="C2453">
        <v>51013425</v>
      </c>
      <c r="D2453">
        <v>92.466668840031801</v>
      </c>
      <c r="E2453" t="s">
        <v>92</v>
      </c>
      <c r="F2453">
        <v>96</v>
      </c>
      <c r="G2453" s="4">
        <v>46087.599236111113</v>
      </c>
    </row>
    <row r="2454" spans="1:7" x14ac:dyDescent="0.3">
      <c r="A2454">
        <v>6032</v>
      </c>
      <c r="B2454" t="s">
        <v>147</v>
      </c>
      <c r="C2454">
        <v>51025334</v>
      </c>
      <c r="D2454">
        <v>84.508873459133</v>
      </c>
      <c r="E2454" t="s">
        <v>93</v>
      </c>
      <c r="F2454">
        <v>300</v>
      </c>
      <c r="G2454" s="4">
        <v>46087.599236111113</v>
      </c>
    </row>
    <row r="2455" spans="1:7" x14ac:dyDescent="0.3">
      <c r="A2455">
        <v>6033</v>
      </c>
      <c r="B2455" t="s">
        <v>147</v>
      </c>
      <c r="C2455">
        <v>51056132</v>
      </c>
      <c r="D2455">
        <v>58.1215895172285</v>
      </c>
      <c r="E2455" t="s">
        <v>94</v>
      </c>
      <c r="F2455">
        <v>657</v>
      </c>
      <c r="G2455" s="4">
        <v>46087.599236111113</v>
      </c>
    </row>
    <row r="2456" spans="1:7" x14ac:dyDescent="0.3">
      <c r="A2456">
        <v>6034</v>
      </c>
      <c r="B2456" t="s">
        <v>147</v>
      </c>
      <c r="C2456">
        <v>51004531</v>
      </c>
      <c r="D2456">
        <v>90.479127036597561</v>
      </c>
      <c r="E2456" t="s">
        <v>92</v>
      </c>
      <c r="F2456">
        <v>124</v>
      </c>
      <c r="G2456" s="4">
        <v>46087.599236111113</v>
      </c>
    </row>
    <row r="2457" spans="1:7" x14ac:dyDescent="0.3">
      <c r="A2457">
        <v>6035</v>
      </c>
      <c r="B2457" t="s">
        <v>147</v>
      </c>
      <c r="C2457">
        <v>51039033</v>
      </c>
      <c r="D2457">
        <v>49.940618797880092</v>
      </c>
      <c r="E2457" t="s">
        <v>94</v>
      </c>
      <c r="F2457">
        <v>743</v>
      </c>
      <c r="G2457" s="4">
        <v>46087.599236111113</v>
      </c>
    </row>
    <row r="2458" spans="1:7" x14ac:dyDescent="0.3">
      <c r="A2458">
        <v>6036</v>
      </c>
      <c r="B2458" t="s">
        <v>147</v>
      </c>
      <c r="C2458">
        <v>51024117</v>
      </c>
      <c r="D2458">
        <v>93.344910419030214</v>
      </c>
      <c r="E2458" t="s">
        <v>92</v>
      </c>
      <c r="F2458">
        <v>87</v>
      </c>
      <c r="G2458" s="4">
        <v>46087.599236111113</v>
      </c>
    </row>
    <row r="2459" spans="1:7" x14ac:dyDescent="0.3">
      <c r="A2459">
        <v>6037</v>
      </c>
      <c r="B2459" t="s">
        <v>147</v>
      </c>
      <c r="C2459">
        <v>51031768</v>
      </c>
      <c r="D2459">
        <v>46.192106611967027</v>
      </c>
      <c r="E2459" t="s">
        <v>94</v>
      </c>
      <c r="F2459">
        <v>765</v>
      </c>
      <c r="G2459" s="4">
        <v>46087.599236111113</v>
      </c>
    </row>
    <row r="2460" spans="1:7" x14ac:dyDescent="0.3">
      <c r="A2460">
        <v>6038</v>
      </c>
      <c r="B2460" t="s">
        <v>147</v>
      </c>
      <c r="C2460">
        <v>51022637</v>
      </c>
      <c r="D2460">
        <v>86.132093050867113</v>
      </c>
      <c r="E2460" t="s">
        <v>93</v>
      </c>
      <c r="F2460">
        <v>246</v>
      </c>
      <c r="G2460" s="4">
        <v>46087.599236111113</v>
      </c>
    </row>
    <row r="2461" spans="1:7" x14ac:dyDescent="0.3">
      <c r="A2461">
        <v>6039</v>
      </c>
      <c r="B2461" t="s">
        <v>147</v>
      </c>
      <c r="C2461">
        <v>51010124</v>
      </c>
      <c r="D2461">
        <v>97.233757022268989</v>
      </c>
      <c r="E2461" t="s">
        <v>275</v>
      </c>
      <c r="F2461">
        <v>46</v>
      </c>
      <c r="G2461" s="4">
        <v>46087.599236111113</v>
      </c>
    </row>
    <row r="2462" spans="1:7" x14ac:dyDescent="0.3">
      <c r="A2462">
        <v>6040</v>
      </c>
      <c r="B2462" t="s">
        <v>147</v>
      </c>
      <c r="C2462">
        <v>51012020</v>
      </c>
      <c r="D2462">
        <v>82.224026163814926</v>
      </c>
      <c r="E2462" t="s">
        <v>93</v>
      </c>
      <c r="F2462">
        <v>382</v>
      </c>
      <c r="G2462" s="4">
        <v>46087.599236111113</v>
      </c>
    </row>
    <row r="2463" spans="1:7" x14ac:dyDescent="0.3">
      <c r="A2463">
        <v>6041</v>
      </c>
      <c r="B2463" t="s">
        <v>147</v>
      </c>
      <c r="C2463">
        <v>51029968</v>
      </c>
      <c r="D2463">
        <v>85.751675449982059</v>
      </c>
      <c r="E2463" t="s">
        <v>93</v>
      </c>
      <c r="F2463">
        <v>260</v>
      </c>
      <c r="G2463" s="4">
        <v>46087.599236111113</v>
      </c>
    </row>
    <row r="2464" spans="1:7" x14ac:dyDescent="0.3">
      <c r="A2464">
        <v>6042</v>
      </c>
      <c r="B2464" t="s">
        <v>147</v>
      </c>
      <c r="C2464">
        <v>51025202</v>
      </c>
      <c r="D2464">
        <v>100</v>
      </c>
      <c r="E2464" t="s">
        <v>275</v>
      </c>
      <c r="F2464">
        <v>1</v>
      </c>
      <c r="G2464" s="4">
        <v>46087.599236111113</v>
      </c>
    </row>
    <row r="2465" spans="1:7" x14ac:dyDescent="0.3">
      <c r="A2465">
        <v>6043</v>
      </c>
      <c r="B2465" t="s">
        <v>147</v>
      </c>
      <c r="C2465">
        <v>51003667</v>
      </c>
      <c r="D2465">
        <v>82.94107449737821</v>
      </c>
      <c r="E2465" t="s">
        <v>93</v>
      </c>
      <c r="F2465">
        <v>356</v>
      </c>
      <c r="G2465" s="4">
        <v>46087.599236111113</v>
      </c>
    </row>
    <row r="2466" spans="1:7" x14ac:dyDescent="0.3">
      <c r="A2466">
        <v>6044</v>
      </c>
      <c r="B2466" t="s">
        <v>147</v>
      </c>
      <c r="C2466">
        <v>51026691</v>
      </c>
      <c r="D2466">
        <v>26.585000000000001</v>
      </c>
      <c r="E2466" t="s">
        <v>94</v>
      </c>
      <c r="F2466">
        <v>903</v>
      </c>
      <c r="G2466" s="4">
        <v>46087.599236111113</v>
      </c>
    </row>
    <row r="2467" spans="1:7" x14ac:dyDescent="0.3">
      <c r="A2467">
        <v>6045</v>
      </c>
      <c r="B2467" t="s">
        <v>147</v>
      </c>
      <c r="C2467">
        <v>51023145</v>
      </c>
      <c r="D2467">
        <v>96.783727526926313</v>
      </c>
      <c r="E2467" t="s">
        <v>275</v>
      </c>
      <c r="F2467">
        <v>48</v>
      </c>
      <c r="G2467" s="4">
        <v>46087.599236111113</v>
      </c>
    </row>
    <row r="2468" spans="1:7" x14ac:dyDescent="0.3">
      <c r="A2468">
        <v>6046</v>
      </c>
      <c r="B2468" t="s">
        <v>147</v>
      </c>
      <c r="C2468">
        <v>51056001</v>
      </c>
      <c r="D2468">
        <v>96.711008312260901</v>
      </c>
      <c r="E2468" t="s">
        <v>275</v>
      </c>
      <c r="F2468">
        <v>50</v>
      </c>
      <c r="G2468" s="4">
        <v>46087.599236111113</v>
      </c>
    </row>
    <row r="2469" spans="1:7" x14ac:dyDescent="0.3">
      <c r="A2469">
        <v>6047</v>
      </c>
      <c r="B2469" t="s">
        <v>147</v>
      </c>
      <c r="C2469">
        <v>51019652</v>
      </c>
      <c r="D2469">
        <v>88.998181949294533</v>
      </c>
      <c r="E2469" t="s">
        <v>92</v>
      </c>
      <c r="F2469">
        <v>168</v>
      </c>
      <c r="G2469" s="4">
        <v>46087.599236111113</v>
      </c>
    </row>
    <row r="2470" spans="1:7" x14ac:dyDescent="0.3">
      <c r="A2470">
        <v>6048</v>
      </c>
      <c r="B2470" t="s">
        <v>147</v>
      </c>
      <c r="C2470">
        <v>51011368</v>
      </c>
      <c r="D2470">
        <v>99.736737920576417</v>
      </c>
      <c r="E2470" t="s">
        <v>275</v>
      </c>
      <c r="F2470">
        <v>20</v>
      </c>
      <c r="G2470" s="4">
        <v>46087.599236111113</v>
      </c>
    </row>
    <row r="2471" spans="1:7" x14ac:dyDescent="0.3">
      <c r="A2471">
        <v>6049</v>
      </c>
      <c r="B2471" t="s">
        <v>147</v>
      </c>
      <c r="C2471">
        <v>51055047</v>
      </c>
      <c r="D2471">
        <v>85.787409847735077</v>
      </c>
      <c r="E2471" t="s">
        <v>93</v>
      </c>
      <c r="F2471">
        <v>257</v>
      </c>
      <c r="G2471" s="4">
        <v>46087.599236111113</v>
      </c>
    </row>
    <row r="2472" spans="1:7" x14ac:dyDescent="0.3">
      <c r="A2472">
        <v>6050</v>
      </c>
      <c r="B2472" t="s">
        <v>147</v>
      </c>
      <c r="C2472">
        <v>51018176</v>
      </c>
      <c r="D2472">
        <v>81.039014504001244</v>
      </c>
      <c r="E2472" t="s">
        <v>93</v>
      </c>
      <c r="F2472">
        <v>414</v>
      </c>
      <c r="G2472" s="4">
        <v>46087.599236111113</v>
      </c>
    </row>
    <row r="2473" spans="1:7" x14ac:dyDescent="0.3">
      <c r="A2473">
        <v>6051</v>
      </c>
      <c r="B2473" t="s">
        <v>147</v>
      </c>
      <c r="C2473">
        <v>51015622</v>
      </c>
      <c r="D2473">
        <v>57.494345089215855</v>
      </c>
      <c r="E2473" t="s">
        <v>94</v>
      </c>
      <c r="F2473">
        <v>675</v>
      </c>
      <c r="G2473" s="4">
        <v>46087.599236111113</v>
      </c>
    </row>
    <row r="2474" spans="1:7" x14ac:dyDescent="0.3">
      <c r="A2474">
        <v>6052</v>
      </c>
      <c r="B2474" t="s">
        <v>147</v>
      </c>
      <c r="C2474">
        <v>51054946</v>
      </c>
      <c r="D2474">
        <v>100</v>
      </c>
      <c r="E2474" t="s">
        <v>275</v>
      </c>
      <c r="F2474">
        <v>1</v>
      </c>
      <c r="G2474" s="4">
        <v>46087.599236111113</v>
      </c>
    </row>
    <row r="2475" spans="1:7" x14ac:dyDescent="0.3">
      <c r="A2475">
        <v>6053</v>
      </c>
      <c r="B2475" t="s">
        <v>147</v>
      </c>
      <c r="C2475">
        <v>51016220</v>
      </c>
      <c r="D2475">
        <v>100</v>
      </c>
      <c r="E2475" t="s">
        <v>275</v>
      </c>
      <c r="F2475">
        <v>1</v>
      </c>
      <c r="G2475" s="4">
        <v>46087.599236111113</v>
      </c>
    </row>
    <row r="2476" spans="1:7" x14ac:dyDescent="0.3">
      <c r="A2476">
        <v>6054</v>
      </c>
      <c r="B2476" t="s">
        <v>147</v>
      </c>
      <c r="C2476">
        <v>51025385</v>
      </c>
      <c r="D2476">
        <v>55.32375232299588</v>
      </c>
      <c r="E2476" t="s">
        <v>94</v>
      </c>
      <c r="F2476">
        <v>712</v>
      </c>
      <c r="G2476" s="4">
        <v>46087.599236111113</v>
      </c>
    </row>
    <row r="2477" spans="1:7" x14ac:dyDescent="0.3">
      <c r="A2477">
        <v>6055</v>
      </c>
      <c r="B2477" t="s">
        <v>147</v>
      </c>
      <c r="C2477">
        <v>51057163</v>
      </c>
      <c r="D2477">
        <v>45.373379348932033</v>
      </c>
      <c r="E2477" t="s">
        <v>94</v>
      </c>
      <c r="F2477">
        <v>772</v>
      </c>
      <c r="G2477" s="4">
        <v>46087.599236111113</v>
      </c>
    </row>
    <row r="2478" spans="1:7" x14ac:dyDescent="0.3">
      <c r="A2478">
        <v>6056</v>
      </c>
      <c r="B2478" t="s">
        <v>147</v>
      </c>
      <c r="C2478">
        <v>51055985</v>
      </c>
      <c r="D2478">
        <v>21.328999999999997</v>
      </c>
      <c r="E2478" t="s">
        <v>95</v>
      </c>
      <c r="F2478">
        <v>959</v>
      </c>
      <c r="G2478" s="4">
        <v>46087.599236111113</v>
      </c>
    </row>
    <row r="2479" spans="1:7" x14ac:dyDescent="0.3">
      <c r="A2479">
        <v>6057</v>
      </c>
      <c r="B2479" t="s">
        <v>147</v>
      </c>
      <c r="C2479">
        <v>51032993</v>
      </c>
      <c r="D2479">
        <v>98.805719411289047</v>
      </c>
      <c r="E2479" t="s">
        <v>275</v>
      </c>
      <c r="F2479">
        <v>26</v>
      </c>
      <c r="G2479" s="4">
        <v>46087.599236111113</v>
      </c>
    </row>
    <row r="2480" spans="1:7" x14ac:dyDescent="0.3">
      <c r="A2480">
        <v>6058</v>
      </c>
      <c r="B2480" t="s">
        <v>147</v>
      </c>
      <c r="C2480">
        <v>51015088</v>
      </c>
      <c r="D2480">
        <v>81.07100447856206</v>
      </c>
      <c r="E2480" t="s">
        <v>93</v>
      </c>
      <c r="F2480">
        <v>412</v>
      </c>
      <c r="G2480" s="4">
        <v>46087.599236111113</v>
      </c>
    </row>
    <row r="2481" spans="1:7" x14ac:dyDescent="0.3">
      <c r="A2481">
        <v>6059</v>
      </c>
      <c r="B2481" t="s">
        <v>147</v>
      </c>
      <c r="C2481">
        <v>51035658</v>
      </c>
      <c r="D2481">
        <v>84.788362413784753</v>
      </c>
      <c r="E2481" t="s">
        <v>93</v>
      </c>
      <c r="F2481">
        <v>291</v>
      </c>
      <c r="G2481" s="4">
        <v>46087.599236111113</v>
      </c>
    </row>
    <row r="2482" spans="1:7" x14ac:dyDescent="0.3">
      <c r="A2482">
        <v>6060</v>
      </c>
      <c r="B2482" t="s">
        <v>147</v>
      </c>
      <c r="C2482">
        <v>51016726</v>
      </c>
      <c r="D2482">
        <v>87.289390366050966</v>
      </c>
      <c r="E2482" t="s">
        <v>92</v>
      </c>
      <c r="F2482">
        <v>218</v>
      </c>
      <c r="G2482" s="4">
        <v>46087.599236111113</v>
      </c>
    </row>
    <row r="2483" spans="1:7" x14ac:dyDescent="0.3">
      <c r="A2483">
        <v>6061</v>
      </c>
      <c r="B2483" t="s">
        <v>147</v>
      </c>
      <c r="C2483">
        <v>51019342</v>
      </c>
      <c r="D2483">
        <v>24.127600000000001</v>
      </c>
      <c r="E2483" t="s">
        <v>94</v>
      </c>
      <c r="F2483">
        <v>917</v>
      </c>
      <c r="G2483" s="4">
        <v>46087.599236111113</v>
      </c>
    </row>
    <row r="2484" spans="1:7" x14ac:dyDescent="0.3">
      <c r="A2484">
        <v>6062</v>
      </c>
      <c r="B2484" t="s">
        <v>147</v>
      </c>
      <c r="C2484">
        <v>51014162</v>
      </c>
      <c r="D2484">
        <v>68.255888099811486</v>
      </c>
      <c r="E2484" t="s">
        <v>93</v>
      </c>
      <c r="F2484">
        <v>526</v>
      </c>
      <c r="G2484" s="4">
        <v>46087.599236111113</v>
      </c>
    </row>
    <row r="2485" spans="1:7" x14ac:dyDescent="0.3">
      <c r="A2485">
        <v>6063</v>
      </c>
      <c r="B2485" t="s">
        <v>147</v>
      </c>
      <c r="C2485">
        <v>51022360</v>
      </c>
      <c r="D2485">
        <v>92.306687619195088</v>
      </c>
      <c r="E2485" t="s">
        <v>92</v>
      </c>
      <c r="F2485">
        <v>102</v>
      </c>
      <c r="G2485" s="4">
        <v>46087.599236111113</v>
      </c>
    </row>
    <row r="2486" spans="1:7" x14ac:dyDescent="0.3">
      <c r="A2486">
        <v>6064</v>
      </c>
      <c r="B2486" t="s">
        <v>147</v>
      </c>
      <c r="C2486">
        <v>51040848</v>
      </c>
      <c r="D2486">
        <v>80.968127712388878</v>
      </c>
      <c r="E2486" t="s">
        <v>93</v>
      </c>
      <c r="F2486">
        <v>416</v>
      </c>
      <c r="G2486" s="4">
        <v>46087.599236111113</v>
      </c>
    </row>
    <row r="2487" spans="1:7" x14ac:dyDescent="0.3">
      <c r="A2487">
        <v>6065</v>
      </c>
      <c r="B2487" t="s">
        <v>147</v>
      </c>
      <c r="C2487">
        <v>51022696</v>
      </c>
      <c r="D2487">
        <v>95.235817519953329</v>
      </c>
      <c r="E2487" t="s">
        <v>92</v>
      </c>
      <c r="F2487">
        <v>68</v>
      </c>
      <c r="G2487" s="4">
        <v>46087.599236111113</v>
      </c>
    </row>
    <row r="2488" spans="1:7" x14ac:dyDescent="0.3">
      <c r="A2488">
        <v>6066</v>
      </c>
      <c r="B2488" t="s">
        <v>147</v>
      </c>
      <c r="C2488">
        <v>51056426</v>
      </c>
      <c r="D2488">
        <v>61.540524214172294</v>
      </c>
      <c r="E2488" t="s">
        <v>93</v>
      </c>
      <c r="F2488">
        <v>589</v>
      </c>
      <c r="G2488" s="4">
        <v>46087.599236111113</v>
      </c>
    </row>
    <row r="2489" spans="1:7" x14ac:dyDescent="0.3">
      <c r="A2489">
        <v>6067</v>
      </c>
      <c r="B2489" t="s">
        <v>147</v>
      </c>
      <c r="C2489">
        <v>51011350</v>
      </c>
      <c r="D2489">
        <v>58.207800132387852</v>
      </c>
      <c r="E2489" t="s">
        <v>94</v>
      </c>
      <c r="F2489">
        <v>654</v>
      </c>
      <c r="G2489" s="4">
        <v>46087.599236111113</v>
      </c>
    </row>
    <row r="2490" spans="1:7" x14ac:dyDescent="0.3">
      <c r="A2490">
        <v>6068</v>
      </c>
      <c r="B2490" t="s">
        <v>147</v>
      </c>
      <c r="C2490">
        <v>51024087</v>
      </c>
      <c r="D2490">
        <v>85.249721986392089</v>
      </c>
      <c r="E2490" t="s">
        <v>93</v>
      </c>
      <c r="F2490">
        <v>276</v>
      </c>
      <c r="G2490" s="4">
        <v>46087.599236111113</v>
      </c>
    </row>
    <row r="2491" spans="1:7" x14ac:dyDescent="0.3">
      <c r="A2491">
        <v>6069</v>
      </c>
      <c r="B2491" t="s">
        <v>147</v>
      </c>
      <c r="C2491">
        <v>51005171</v>
      </c>
      <c r="D2491">
        <v>82.931706577947693</v>
      </c>
      <c r="E2491" t="s">
        <v>93</v>
      </c>
      <c r="F2491">
        <v>357</v>
      </c>
      <c r="G2491" s="4">
        <v>46087.599236111113</v>
      </c>
    </row>
    <row r="2492" spans="1:7" x14ac:dyDescent="0.3">
      <c r="A2492">
        <v>6070</v>
      </c>
      <c r="B2492" t="s">
        <v>147</v>
      </c>
      <c r="C2492">
        <v>51005864</v>
      </c>
      <c r="D2492">
        <v>86.11680268072044</v>
      </c>
      <c r="E2492" t="s">
        <v>93</v>
      </c>
      <c r="F2492">
        <v>247</v>
      </c>
      <c r="G2492" s="4">
        <v>46087.599236111113</v>
      </c>
    </row>
    <row r="2493" spans="1:7" x14ac:dyDescent="0.3">
      <c r="A2493">
        <v>6071</v>
      </c>
      <c r="B2493" t="s">
        <v>147</v>
      </c>
      <c r="C2493">
        <v>51040317</v>
      </c>
      <c r="D2493">
        <v>88.582550780897421</v>
      </c>
      <c r="E2493" t="s">
        <v>92</v>
      </c>
      <c r="F2493">
        <v>180</v>
      </c>
      <c r="G2493" s="4">
        <v>46087.599236111113</v>
      </c>
    </row>
    <row r="2494" spans="1:7" x14ac:dyDescent="0.3">
      <c r="A2494">
        <v>6072</v>
      </c>
      <c r="B2494" t="s">
        <v>147</v>
      </c>
      <c r="C2494">
        <v>51003926</v>
      </c>
      <c r="D2494">
        <v>63.392086278292922</v>
      </c>
      <c r="E2494" t="s">
        <v>93</v>
      </c>
      <c r="F2494">
        <v>554</v>
      </c>
      <c r="G2494" s="4">
        <v>46087.599236111113</v>
      </c>
    </row>
    <row r="2495" spans="1:7" x14ac:dyDescent="0.3">
      <c r="A2495">
        <v>6073</v>
      </c>
      <c r="B2495" t="s">
        <v>147</v>
      </c>
      <c r="C2495">
        <v>51019911</v>
      </c>
      <c r="D2495">
        <v>23.87</v>
      </c>
      <c r="E2495" t="s">
        <v>94</v>
      </c>
      <c r="F2495">
        <v>923</v>
      </c>
      <c r="G2495" s="4">
        <v>46087.599236111113</v>
      </c>
    </row>
    <row r="2496" spans="1:7" x14ac:dyDescent="0.3">
      <c r="A2496">
        <v>6074</v>
      </c>
      <c r="B2496" t="s">
        <v>147</v>
      </c>
      <c r="C2496">
        <v>51022076</v>
      </c>
      <c r="D2496">
        <v>86.705968564452704</v>
      </c>
      <c r="E2496" t="s">
        <v>92</v>
      </c>
      <c r="F2496">
        <v>232</v>
      </c>
      <c r="G2496" s="4">
        <v>46087.599236111113</v>
      </c>
    </row>
    <row r="2497" spans="1:7" x14ac:dyDescent="0.3">
      <c r="A2497">
        <v>6075</v>
      </c>
      <c r="B2497" t="s">
        <v>147</v>
      </c>
      <c r="C2497">
        <v>51055217</v>
      </c>
      <c r="D2497">
        <v>69.070052462749118</v>
      </c>
      <c r="E2497" t="s">
        <v>93</v>
      </c>
      <c r="F2497">
        <v>518</v>
      </c>
      <c r="G2497" s="4">
        <v>46087.599236111113</v>
      </c>
    </row>
    <row r="2498" spans="1:7" x14ac:dyDescent="0.3">
      <c r="A2498">
        <v>6076</v>
      </c>
      <c r="B2498" t="s">
        <v>147</v>
      </c>
      <c r="C2498">
        <v>51036824</v>
      </c>
      <c r="D2498">
        <v>89.643700598622303</v>
      </c>
      <c r="E2498" t="s">
        <v>92</v>
      </c>
      <c r="F2498">
        <v>144</v>
      </c>
      <c r="G2498" s="4">
        <v>46087.599236111113</v>
      </c>
    </row>
    <row r="2499" spans="1:7" x14ac:dyDescent="0.3">
      <c r="A2499">
        <v>6077</v>
      </c>
      <c r="B2499" t="s">
        <v>147</v>
      </c>
      <c r="C2499">
        <v>51024940</v>
      </c>
      <c r="D2499">
        <v>83.497078165030487</v>
      </c>
      <c r="E2499" t="s">
        <v>93</v>
      </c>
      <c r="F2499">
        <v>332</v>
      </c>
      <c r="G2499" s="4">
        <v>46087.599236111113</v>
      </c>
    </row>
    <row r="2500" spans="1:7" x14ac:dyDescent="0.3">
      <c r="A2500">
        <v>6078</v>
      </c>
      <c r="B2500" t="s">
        <v>147</v>
      </c>
      <c r="C2500">
        <v>51033531</v>
      </c>
      <c r="D2500">
        <v>58.648881211872151</v>
      </c>
      <c r="E2500" t="s">
        <v>94</v>
      </c>
      <c r="F2500">
        <v>642</v>
      </c>
      <c r="G2500" s="4">
        <v>46087.599236111113</v>
      </c>
    </row>
    <row r="2501" spans="1:7" x14ac:dyDescent="0.3">
      <c r="A2501">
        <v>6079</v>
      </c>
      <c r="B2501" t="s">
        <v>147</v>
      </c>
      <c r="C2501">
        <v>51032454</v>
      </c>
      <c r="D2501">
        <v>21.349999999999998</v>
      </c>
      <c r="E2501" t="s">
        <v>95</v>
      </c>
      <c r="F2501">
        <v>958</v>
      </c>
      <c r="G2501" s="4">
        <v>46087.599236111113</v>
      </c>
    </row>
    <row r="2502" spans="1:7" x14ac:dyDescent="0.3">
      <c r="A2502">
        <v>6080</v>
      </c>
      <c r="B2502" t="s">
        <v>147</v>
      </c>
      <c r="C2502">
        <v>51014260</v>
      </c>
      <c r="D2502">
        <v>90.217456069758569</v>
      </c>
      <c r="E2502" t="s">
        <v>92</v>
      </c>
      <c r="F2502">
        <v>132</v>
      </c>
      <c r="G2502" s="4">
        <v>46087.599236111113</v>
      </c>
    </row>
    <row r="2503" spans="1:7" x14ac:dyDescent="0.3">
      <c r="A2503">
        <v>6081</v>
      </c>
      <c r="B2503" t="s">
        <v>147</v>
      </c>
      <c r="C2503">
        <v>51011414</v>
      </c>
      <c r="D2503">
        <v>56.330813909276877</v>
      </c>
      <c r="E2503" t="s">
        <v>94</v>
      </c>
      <c r="F2503">
        <v>695</v>
      </c>
      <c r="G2503" s="4">
        <v>46087.599236111113</v>
      </c>
    </row>
    <row r="2504" spans="1:7" x14ac:dyDescent="0.3">
      <c r="A2504">
        <v>6082</v>
      </c>
      <c r="B2504" t="s">
        <v>147</v>
      </c>
      <c r="C2504">
        <v>51018559</v>
      </c>
      <c r="D2504">
        <v>31.9</v>
      </c>
      <c r="E2504" t="s">
        <v>94</v>
      </c>
      <c r="F2504">
        <v>838</v>
      </c>
      <c r="G2504" s="4">
        <v>46087.599236111113</v>
      </c>
    </row>
    <row r="2505" spans="1:7" x14ac:dyDescent="0.3">
      <c r="A2505">
        <v>6083</v>
      </c>
      <c r="B2505" t="s">
        <v>147</v>
      </c>
      <c r="C2505">
        <v>51014308</v>
      </c>
      <c r="D2505">
        <v>81.612059762751855</v>
      </c>
      <c r="E2505" t="s">
        <v>93</v>
      </c>
      <c r="F2505">
        <v>397</v>
      </c>
      <c r="G2505" s="4">
        <v>46087.599236111113</v>
      </c>
    </row>
    <row r="2506" spans="1:7" x14ac:dyDescent="0.3">
      <c r="A2506">
        <v>6084</v>
      </c>
      <c r="B2506" t="s">
        <v>147</v>
      </c>
      <c r="C2506">
        <v>51056949</v>
      </c>
      <c r="D2506">
        <v>85.157238506176299</v>
      </c>
      <c r="E2506" t="s">
        <v>93</v>
      </c>
      <c r="F2506">
        <v>280</v>
      </c>
      <c r="G2506" s="4">
        <v>46087.599236111113</v>
      </c>
    </row>
    <row r="2507" spans="1:7" x14ac:dyDescent="0.3">
      <c r="A2507">
        <v>6085</v>
      </c>
      <c r="B2507" t="s">
        <v>147</v>
      </c>
      <c r="C2507">
        <v>51022173</v>
      </c>
      <c r="D2507">
        <v>84.885151023239629</v>
      </c>
      <c r="E2507" t="s">
        <v>93</v>
      </c>
      <c r="F2507">
        <v>287</v>
      </c>
      <c r="G2507" s="4">
        <v>46087.599236111113</v>
      </c>
    </row>
    <row r="2508" spans="1:7" x14ac:dyDescent="0.3">
      <c r="A2508">
        <v>6086</v>
      </c>
      <c r="B2508" t="s">
        <v>147</v>
      </c>
      <c r="C2508">
        <v>51023765</v>
      </c>
      <c r="D2508">
        <v>96.355224701242037</v>
      </c>
      <c r="E2508" t="s">
        <v>275</v>
      </c>
      <c r="F2508">
        <v>56</v>
      </c>
      <c r="G2508" s="4">
        <v>46087.599236111113</v>
      </c>
    </row>
    <row r="2509" spans="1:7" x14ac:dyDescent="0.3">
      <c r="A2509">
        <v>6087</v>
      </c>
      <c r="B2509" t="s">
        <v>147</v>
      </c>
      <c r="C2509">
        <v>51038908</v>
      </c>
      <c r="D2509">
        <v>86.918295979080739</v>
      </c>
      <c r="E2509" t="s">
        <v>92</v>
      </c>
      <c r="F2509">
        <v>226</v>
      </c>
      <c r="G2509" s="4">
        <v>46087.599236111113</v>
      </c>
    </row>
    <row r="2510" spans="1:7" x14ac:dyDescent="0.3">
      <c r="A2510">
        <v>6088</v>
      </c>
      <c r="B2510" t="s">
        <v>147</v>
      </c>
      <c r="C2510">
        <v>51013158</v>
      </c>
      <c r="D2510">
        <v>63.055228391489436</v>
      </c>
      <c r="E2510" t="s">
        <v>93</v>
      </c>
      <c r="F2510">
        <v>558</v>
      </c>
      <c r="G2510" s="4">
        <v>46087.599236111113</v>
      </c>
    </row>
    <row r="2511" spans="1:7" x14ac:dyDescent="0.3">
      <c r="A2511">
        <v>6089</v>
      </c>
      <c r="B2511" t="s">
        <v>147</v>
      </c>
      <c r="C2511">
        <v>51024176</v>
      </c>
      <c r="D2511">
        <v>52.768657166209167</v>
      </c>
      <c r="E2511" t="s">
        <v>94</v>
      </c>
      <c r="F2511">
        <v>725</v>
      </c>
      <c r="G2511" s="4">
        <v>46087.599236111113</v>
      </c>
    </row>
    <row r="2512" spans="1:7" x14ac:dyDescent="0.3">
      <c r="A2512">
        <v>6090</v>
      </c>
      <c r="B2512" t="s">
        <v>147</v>
      </c>
      <c r="C2512">
        <v>51000196</v>
      </c>
      <c r="D2512">
        <v>100</v>
      </c>
      <c r="E2512" t="s">
        <v>275</v>
      </c>
      <c r="F2512">
        <v>1</v>
      </c>
      <c r="G2512" s="4">
        <v>46087.599236111113</v>
      </c>
    </row>
    <row r="2513" spans="1:7" x14ac:dyDescent="0.3">
      <c r="A2513">
        <v>6091</v>
      </c>
      <c r="B2513" t="s">
        <v>147</v>
      </c>
      <c r="C2513">
        <v>51024672</v>
      </c>
      <c r="D2513">
        <v>88.513854371692105</v>
      </c>
      <c r="E2513" t="s">
        <v>92</v>
      </c>
      <c r="F2513">
        <v>182</v>
      </c>
      <c r="G2513" s="4">
        <v>46087.599236111113</v>
      </c>
    </row>
    <row r="2514" spans="1:7" x14ac:dyDescent="0.3">
      <c r="A2514">
        <v>6092</v>
      </c>
      <c r="B2514" t="s">
        <v>147</v>
      </c>
      <c r="C2514">
        <v>51021657</v>
      </c>
      <c r="D2514">
        <v>87.020378023194951</v>
      </c>
      <c r="E2514" t="s">
        <v>92</v>
      </c>
      <c r="F2514">
        <v>224</v>
      </c>
      <c r="G2514" s="4">
        <v>46087.599236111113</v>
      </c>
    </row>
    <row r="2515" spans="1:7" x14ac:dyDescent="0.3">
      <c r="A2515">
        <v>6093</v>
      </c>
      <c r="B2515" t="s">
        <v>147</v>
      </c>
      <c r="C2515">
        <v>51042263</v>
      </c>
      <c r="D2515">
        <v>64.426733314364526</v>
      </c>
      <c r="E2515" t="s">
        <v>93</v>
      </c>
      <c r="F2515">
        <v>545</v>
      </c>
      <c r="G2515" s="4">
        <v>46087.599236111113</v>
      </c>
    </row>
    <row r="2516" spans="1:7" x14ac:dyDescent="0.3">
      <c r="A2516">
        <v>6094</v>
      </c>
      <c r="B2516" t="s">
        <v>147</v>
      </c>
      <c r="C2516">
        <v>51055365</v>
      </c>
      <c r="D2516">
        <v>85.764544582021216</v>
      </c>
      <c r="E2516" t="s">
        <v>93</v>
      </c>
      <c r="F2516">
        <v>259</v>
      </c>
      <c r="G2516" s="4">
        <v>46087.599236111113</v>
      </c>
    </row>
    <row r="2517" spans="1:7" x14ac:dyDescent="0.3">
      <c r="A2517">
        <v>6095</v>
      </c>
      <c r="B2517" t="s">
        <v>147</v>
      </c>
      <c r="C2517">
        <v>51031385</v>
      </c>
      <c r="D2517">
        <v>82.849228768931098</v>
      </c>
      <c r="E2517" t="s">
        <v>93</v>
      </c>
      <c r="F2517">
        <v>360</v>
      </c>
      <c r="G2517" s="4">
        <v>46087.599236111113</v>
      </c>
    </row>
    <row r="2518" spans="1:7" x14ac:dyDescent="0.3">
      <c r="A2518">
        <v>6096</v>
      </c>
      <c r="B2518" t="s">
        <v>147</v>
      </c>
      <c r="C2518">
        <v>51041577</v>
      </c>
      <c r="D2518">
        <v>96.156396334011944</v>
      </c>
      <c r="E2518" t="s">
        <v>275</v>
      </c>
      <c r="F2518">
        <v>59</v>
      </c>
      <c r="G2518" s="4">
        <v>46087.599236111113</v>
      </c>
    </row>
    <row r="2519" spans="1:7" x14ac:dyDescent="0.3">
      <c r="A2519">
        <v>6097</v>
      </c>
      <c r="B2519" t="s">
        <v>147</v>
      </c>
      <c r="C2519">
        <v>51018877</v>
      </c>
      <c r="D2519">
        <v>21.738499999999998</v>
      </c>
      <c r="E2519" t="s">
        <v>94</v>
      </c>
      <c r="F2519">
        <v>950</v>
      </c>
      <c r="G2519" s="4">
        <v>46087.599236111113</v>
      </c>
    </row>
    <row r="2520" spans="1:7" x14ac:dyDescent="0.3">
      <c r="A2520">
        <v>6098</v>
      </c>
      <c r="B2520" t="s">
        <v>147</v>
      </c>
      <c r="C2520">
        <v>51030303</v>
      </c>
      <c r="D2520">
        <v>45.597153089354798</v>
      </c>
      <c r="E2520" t="s">
        <v>94</v>
      </c>
      <c r="F2520">
        <v>769</v>
      </c>
      <c r="G2520" s="4">
        <v>46087.599236111113</v>
      </c>
    </row>
    <row r="2521" spans="1:7" x14ac:dyDescent="0.3">
      <c r="A2521">
        <v>6099</v>
      </c>
      <c r="B2521" t="s">
        <v>147</v>
      </c>
      <c r="C2521">
        <v>51030613</v>
      </c>
      <c r="D2521">
        <v>80.634754001186607</v>
      </c>
      <c r="E2521" t="s">
        <v>93</v>
      </c>
      <c r="F2521">
        <v>424</v>
      </c>
      <c r="G2521" s="4">
        <v>46087.599236111113</v>
      </c>
    </row>
    <row r="2522" spans="1:7" x14ac:dyDescent="0.3">
      <c r="A2522">
        <v>6100</v>
      </c>
      <c r="B2522" t="s">
        <v>147</v>
      </c>
      <c r="C2522">
        <v>51033761</v>
      </c>
      <c r="D2522">
        <v>47.690447791746607</v>
      </c>
      <c r="E2522" t="s">
        <v>94</v>
      </c>
      <c r="F2522">
        <v>756</v>
      </c>
      <c r="G2522" s="4">
        <v>46087.599236111113</v>
      </c>
    </row>
    <row r="2523" spans="1:7" x14ac:dyDescent="0.3">
      <c r="A2523">
        <v>6101</v>
      </c>
      <c r="B2523" t="s">
        <v>147</v>
      </c>
      <c r="C2523">
        <v>51023170</v>
      </c>
      <c r="D2523">
        <v>62.248865950461898</v>
      </c>
      <c r="E2523" t="s">
        <v>93</v>
      </c>
      <c r="F2523">
        <v>574</v>
      </c>
      <c r="G2523" s="4">
        <v>46087.599236111113</v>
      </c>
    </row>
    <row r="2524" spans="1:7" x14ac:dyDescent="0.3">
      <c r="A2524">
        <v>6102</v>
      </c>
      <c r="B2524" t="s">
        <v>147</v>
      </c>
      <c r="C2524">
        <v>51030079</v>
      </c>
      <c r="D2524">
        <v>85.038700550324592</v>
      </c>
      <c r="E2524" t="s">
        <v>93</v>
      </c>
      <c r="F2524">
        <v>283</v>
      </c>
      <c r="G2524" s="4">
        <v>46087.599236111113</v>
      </c>
    </row>
    <row r="2525" spans="1:7" x14ac:dyDescent="0.3">
      <c r="A2525">
        <v>6103</v>
      </c>
      <c r="B2525" t="s">
        <v>147</v>
      </c>
      <c r="C2525">
        <v>51034317</v>
      </c>
      <c r="D2525">
        <v>59.887255147295747</v>
      </c>
      <c r="E2525" t="s">
        <v>94</v>
      </c>
      <c r="F2525">
        <v>622</v>
      </c>
      <c r="G2525" s="4">
        <v>46087.599236111113</v>
      </c>
    </row>
    <row r="2526" spans="1:7" x14ac:dyDescent="0.3">
      <c r="A2526">
        <v>6104</v>
      </c>
      <c r="B2526" t="s">
        <v>147</v>
      </c>
      <c r="C2526">
        <v>51012666</v>
      </c>
      <c r="D2526">
        <v>68.594460085834768</v>
      </c>
      <c r="E2526" t="s">
        <v>93</v>
      </c>
      <c r="F2526">
        <v>522</v>
      </c>
      <c r="G2526" s="4">
        <v>46087.599236111113</v>
      </c>
    </row>
    <row r="2527" spans="1:7" x14ac:dyDescent="0.3">
      <c r="A2527">
        <v>6105</v>
      </c>
      <c r="B2527" t="s">
        <v>147</v>
      </c>
      <c r="C2527">
        <v>51036247</v>
      </c>
      <c r="D2527">
        <v>18.829999999999998</v>
      </c>
      <c r="E2527" t="s">
        <v>95</v>
      </c>
      <c r="F2527">
        <v>1010</v>
      </c>
      <c r="G2527" s="4">
        <v>46087.599236111113</v>
      </c>
    </row>
    <row r="2528" spans="1:7" x14ac:dyDescent="0.3">
      <c r="A2528">
        <v>6106</v>
      </c>
      <c r="B2528" t="s">
        <v>147</v>
      </c>
      <c r="C2528">
        <v>51011325</v>
      </c>
      <c r="D2528">
        <v>47.507170974705211</v>
      </c>
      <c r="E2528" t="s">
        <v>94</v>
      </c>
      <c r="F2528">
        <v>757</v>
      </c>
      <c r="G2528" s="4">
        <v>46087.599236111113</v>
      </c>
    </row>
    <row r="2529" spans="1:7" x14ac:dyDescent="0.3">
      <c r="A2529">
        <v>6107</v>
      </c>
      <c r="B2529" t="s">
        <v>147</v>
      </c>
      <c r="C2529">
        <v>51004469</v>
      </c>
      <c r="D2529">
        <v>57.101401987474254</v>
      </c>
      <c r="E2529" t="s">
        <v>94</v>
      </c>
      <c r="F2529">
        <v>681</v>
      </c>
      <c r="G2529" s="4">
        <v>46087.599236111113</v>
      </c>
    </row>
    <row r="2530" spans="1:7" x14ac:dyDescent="0.3">
      <c r="A2530">
        <v>6108</v>
      </c>
      <c r="B2530" t="s">
        <v>147</v>
      </c>
      <c r="C2530">
        <v>51020251</v>
      </c>
      <c r="D2530">
        <v>37.972160489671403</v>
      </c>
      <c r="E2530" t="s">
        <v>94</v>
      </c>
      <c r="F2530">
        <v>795</v>
      </c>
      <c r="G2530" s="4">
        <v>46087.599236111113</v>
      </c>
    </row>
    <row r="2531" spans="1:7" x14ac:dyDescent="0.3">
      <c r="A2531">
        <v>6109</v>
      </c>
      <c r="B2531" t="s">
        <v>147</v>
      </c>
      <c r="C2531">
        <v>51016793</v>
      </c>
      <c r="D2531">
        <v>46.992905910032327</v>
      </c>
      <c r="E2531" t="s">
        <v>94</v>
      </c>
      <c r="F2531">
        <v>760</v>
      </c>
      <c r="G2531" s="4">
        <v>46087.599236111113</v>
      </c>
    </row>
    <row r="2532" spans="1:7" x14ac:dyDescent="0.3">
      <c r="A2532">
        <v>6110</v>
      </c>
      <c r="B2532" t="s">
        <v>147</v>
      </c>
      <c r="C2532">
        <v>51015401</v>
      </c>
      <c r="D2532">
        <v>98.192790569450636</v>
      </c>
      <c r="E2532" t="s">
        <v>275</v>
      </c>
      <c r="F2532">
        <v>36</v>
      </c>
      <c r="G2532" s="4">
        <v>46087.599236111113</v>
      </c>
    </row>
    <row r="2533" spans="1:7" x14ac:dyDescent="0.3">
      <c r="A2533">
        <v>6111</v>
      </c>
      <c r="B2533" t="s">
        <v>147</v>
      </c>
      <c r="C2533">
        <v>51056281</v>
      </c>
      <c r="D2533">
        <v>84.299881903358312</v>
      </c>
      <c r="E2533" t="s">
        <v>93</v>
      </c>
      <c r="F2533">
        <v>306</v>
      </c>
      <c r="G2533" s="4">
        <v>46087.599236111113</v>
      </c>
    </row>
    <row r="2534" spans="1:7" x14ac:dyDescent="0.3">
      <c r="A2534">
        <v>6112</v>
      </c>
      <c r="B2534" t="s">
        <v>147</v>
      </c>
      <c r="C2534">
        <v>51055012</v>
      </c>
      <c r="D2534">
        <v>59.61358250042101</v>
      </c>
      <c r="E2534" t="s">
        <v>94</v>
      </c>
      <c r="F2534">
        <v>627</v>
      </c>
      <c r="G2534" s="4">
        <v>46087.599236111113</v>
      </c>
    </row>
    <row r="2535" spans="1:7" x14ac:dyDescent="0.3">
      <c r="A2535">
        <v>6113</v>
      </c>
      <c r="B2535" t="s">
        <v>147</v>
      </c>
      <c r="C2535">
        <v>51006615</v>
      </c>
      <c r="D2535">
        <v>84.937470449615148</v>
      </c>
      <c r="E2535" t="s">
        <v>93</v>
      </c>
      <c r="F2535">
        <v>286</v>
      </c>
      <c r="G2535" s="4">
        <v>46087.599236111113</v>
      </c>
    </row>
    <row r="2536" spans="1:7" x14ac:dyDescent="0.3">
      <c r="A2536">
        <v>6114</v>
      </c>
      <c r="B2536" t="s">
        <v>147</v>
      </c>
      <c r="C2536">
        <v>51011724</v>
      </c>
      <c r="D2536">
        <v>88.719609912336523</v>
      </c>
      <c r="E2536" t="s">
        <v>92</v>
      </c>
      <c r="F2536">
        <v>176</v>
      </c>
      <c r="G2536" s="4">
        <v>46087.599236111113</v>
      </c>
    </row>
    <row r="2537" spans="1:7" x14ac:dyDescent="0.3">
      <c r="A2537">
        <v>6115</v>
      </c>
      <c r="B2537" t="s">
        <v>147</v>
      </c>
      <c r="C2537">
        <v>51010469</v>
      </c>
      <c r="D2537">
        <v>60.147605787429853</v>
      </c>
      <c r="E2537" t="s">
        <v>94</v>
      </c>
      <c r="F2537">
        <v>614</v>
      </c>
      <c r="G2537" s="4">
        <v>46087.599236111113</v>
      </c>
    </row>
    <row r="2538" spans="1:7" x14ac:dyDescent="0.3">
      <c r="A2538">
        <v>6116</v>
      </c>
      <c r="B2538" t="s">
        <v>147</v>
      </c>
      <c r="C2538">
        <v>51056191</v>
      </c>
      <c r="D2538">
        <v>71.565725976978072</v>
      </c>
      <c r="E2538" t="s">
        <v>93</v>
      </c>
      <c r="F2538">
        <v>501</v>
      </c>
      <c r="G2538" s="4">
        <v>46087.599236111113</v>
      </c>
    </row>
    <row r="2539" spans="1:7" x14ac:dyDescent="0.3">
      <c r="A2539">
        <v>6117</v>
      </c>
      <c r="B2539" t="s">
        <v>147</v>
      </c>
      <c r="C2539">
        <v>51023781</v>
      </c>
      <c r="D2539">
        <v>92.918915687393678</v>
      </c>
      <c r="E2539" t="s">
        <v>92</v>
      </c>
      <c r="F2539">
        <v>90</v>
      </c>
      <c r="G2539" s="4">
        <v>46087.599236111113</v>
      </c>
    </row>
    <row r="2540" spans="1:7" x14ac:dyDescent="0.3">
      <c r="A2540">
        <v>6118</v>
      </c>
      <c r="B2540" t="s">
        <v>147</v>
      </c>
      <c r="C2540">
        <v>51056221</v>
      </c>
      <c r="D2540">
        <v>25.18</v>
      </c>
      <c r="E2540" t="s">
        <v>94</v>
      </c>
      <c r="F2540">
        <v>913</v>
      </c>
      <c r="G2540" s="4">
        <v>46087.599236111113</v>
      </c>
    </row>
    <row r="2541" spans="1:7" x14ac:dyDescent="0.3">
      <c r="A2541">
        <v>6119</v>
      </c>
      <c r="B2541" t="s">
        <v>147</v>
      </c>
      <c r="C2541">
        <v>51018443</v>
      </c>
      <c r="D2541">
        <v>83.114747453590937</v>
      </c>
      <c r="E2541" t="s">
        <v>93</v>
      </c>
      <c r="F2541">
        <v>349</v>
      </c>
      <c r="G2541" s="4">
        <v>46087.599236111113</v>
      </c>
    </row>
    <row r="2542" spans="1:7" x14ac:dyDescent="0.3">
      <c r="A2542">
        <v>6120</v>
      </c>
      <c r="B2542" t="s">
        <v>147</v>
      </c>
      <c r="C2542">
        <v>51023757</v>
      </c>
      <c r="D2542">
        <v>100</v>
      </c>
      <c r="E2542" t="s">
        <v>275</v>
      </c>
      <c r="F2542">
        <v>1</v>
      </c>
      <c r="G2542" s="4">
        <v>46087.599236111113</v>
      </c>
    </row>
    <row r="2543" spans="1:7" x14ac:dyDescent="0.3">
      <c r="A2543">
        <v>6121</v>
      </c>
      <c r="B2543" t="s">
        <v>147</v>
      </c>
      <c r="C2543">
        <v>51055357</v>
      </c>
      <c r="D2543">
        <v>92.11594509057889</v>
      </c>
      <c r="E2543" t="s">
        <v>92</v>
      </c>
      <c r="F2543">
        <v>105</v>
      </c>
      <c r="G2543" s="4">
        <v>46087.599236111113</v>
      </c>
    </row>
    <row r="2544" spans="1:7" x14ac:dyDescent="0.3">
      <c r="A2544">
        <v>6122</v>
      </c>
      <c r="B2544" t="s">
        <v>147</v>
      </c>
      <c r="C2544">
        <v>51021576</v>
      </c>
      <c r="D2544">
        <v>90.47018227449675</v>
      </c>
      <c r="E2544" t="s">
        <v>92</v>
      </c>
      <c r="F2544">
        <v>125</v>
      </c>
      <c r="G2544" s="4">
        <v>46087.599236111113</v>
      </c>
    </row>
    <row r="2545" spans="1:7" x14ac:dyDescent="0.3">
      <c r="A2545">
        <v>6123</v>
      </c>
      <c r="B2545" t="s">
        <v>147</v>
      </c>
      <c r="C2545">
        <v>51018591</v>
      </c>
      <c r="D2545">
        <v>89.266575657998047</v>
      </c>
      <c r="E2545" t="s">
        <v>92</v>
      </c>
      <c r="F2545">
        <v>158</v>
      </c>
      <c r="G2545" s="4">
        <v>46087.599236111113</v>
      </c>
    </row>
    <row r="2546" spans="1:7" x14ac:dyDescent="0.3">
      <c r="A2546">
        <v>6124</v>
      </c>
      <c r="B2546" t="s">
        <v>147</v>
      </c>
      <c r="C2546">
        <v>51023471</v>
      </c>
      <c r="D2546">
        <v>88.299042038386347</v>
      </c>
      <c r="E2546" t="s">
        <v>92</v>
      </c>
      <c r="F2546">
        <v>189</v>
      </c>
      <c r="G2546" s="4">
        <v>46087.599236111113</v>
      </c>
    </row>
    <row r="2547" spans="1:7" x14ac:dyDescent="0.3">
      <c r="A2547">
        <v>6125</v>
      </c>
      <c r="B2547" t="s">
        <v>147</v>
      </c>
      <c r="C2547">
        <v>51031393</v>
      </c>
      <c r="D2547">
        <v>93.809236479479452</v>
      </c>
      <c r="E2547" t="s">
        <v>92</v>
      </c>
      <c r="F2547">
        <v>79</v>
      </c>
      <c r="G2547" s="4">
        <v>46087.599236111113</v>
      </c>
    </row>
    <row r="2548" spans="1:7" x14ac:dyDescent="0.3">
      <c r="A2548">
        <v>6126</v>
      </c>
      <c r="B2548" t="s">
        <v>147</v>
      </c>
      <c r="C2548">
        <v>51025971</v>
      </c>
      <c r="D2548">
        <v>86.43439363450436</v>
      </c>
      <c r="E2548" t="s">
        <v>93</v>
      </c>
      <c r="F2548">
        <v>241</v>
      </c>
      <c r="G2548" s="4">
        <v>46087.599236111113</v>
      </c>
    </row>
    <row r="2549" spans="1:7" x14ac:dyDescent="0.3">
      <c r="A2549">
        <v>6127</v>
      </c>
      <c r="B2549" t="s">
        <v>147</v>
      </c>
      <c r="C2549">
        <v>51020880</v>
      </c>
      <c r="D2549">
        <v>100</v>
      </c>
      <c r="E2549" t="s">
        <v>275</v>
      </c>
      <c r="F2549">
        <v>1</v>
      </c>
      <c r="G2549" s="4">
        <v>46087.599236111113</v>
      </c>
    </row>
    <row r="2550" spans="1:7" x14ac:dyDescent="0.3">
      <c r="A2550">
        <v>6128</v>
      </c>
      <c r="B2550" t="s">
        <v>147</v>
      </c>
      <c r="C2550">
        <v>51023056</v>
      </c>
      <c r="D2550">
        <v>83.175060091818381</v>
      </c>
      <c r="E2550" t="s">
        <v>93</v>
      </c>
      <c r="F2550">
        <v>345</v>
      </c>
      <c r="G2550" s="4">
        <v>46087.599236111113</v>
      </c>
    </row>
    <row r="2551" spans="1:7" x14ac:dyDescent="0.3">
      <c r="A2551">
        <v>6129</v>
      </c>
      <c r="B2551" t="s">
        <v>147</v>
      </c>
      <c r="C2551">
        <v>51022688</v>
      </c>
      <c r="D2551">
        <v>89.000642557825174</v>
      </c>
      <c r="E2551" t="s">
        <v>92</v>
      </c>
      <c r="F2551">
        <v>167</v>
      </c>
      <c r="G2551" s="4">
        <v>46087.599236111113</v>
      </c>
    </row>
    <row r="2552" spans="1:7" x14ac:dyDescent="0.3">
      <c r="A2552">
        <v>6130</v>
      </c>
      <c r="B2552" t="s">
        <v>147</v>
      </c>
      <c r="C2552">
        <v>51012747</v>
      </c>
      <c r="D2552">
        <v>28.693467834665885</v>
      </c>
      <c r="E2552" t="s">
        <v>94</v>
      </c>
      <c r="F2552">
        <v>879</v>
      </c>
      <c r="G2552" s="4">
        <v>46087.599236111113</v>
      </c>
    </row>
    <row r="2553" spans="1:7" x14ac:dyDescent="0.3">
      <c r="A2553">
        <v>6131</v>
      </c>
      <c r="B2553" t="s">
        <v>147</v>
      </c>
      <c r="C2553">
        <v>51032900</v>
      </c>
      <c r="D2553">
        <v>92.855521241793838</v>
      </c>
      <c r="E2553" t="s">
        <v>92</v>
      </c>
      <c r="F2553">
        <v>92</v>
      </c>
      <c r="G2553" s="4">
        <v>46087.599236111113</v>
      </c>
    </row>
    <row r="2554" spans="1:7" x14ac:dyDescent="0.3">
      <c r="A2554">
        <v>6132</v>
      </c>
      <c r="B2554" t="s">
        <v>147</v>
      </c>
      <c r="C2554">
        <v>51056434</v>
      </c>
      <c r="D2554">
        <v>82.411755435019359</v>
      </c>
      <c r="E2554" t="s">
        <v>93</v>
      </c>
      <c r="F2554">
        <v>377</v>
      </c>
      <c r="G2554" s="4">
        <v>46087.599236111113</v>
      </c>
    </row>
    <row r="2555" spans="1:7" x14ac:dyDescent="0.3">
      <c r="A2555">
        <v>6133</v>
      </c>
      <c r="B2555" t="s">
        <v>147</v>
      </c>
      <c r="C2555">
        <v>51019261</v>
      </c>
      <c r="D2555">
        <v>38.381088765950786</v>
      </c>
      <c r="E2555" t="s">
        <v>94</v>
      </c>
      <c r="F2555">
        <v>794</v>
      </c>
      <c r="G2555" s="4">
        <v>46087.599236111113</v>
      </c>
    </row>
    <row r="2556" spans="1:7" x14ac:dyDescent="0.3">
      <c r="A2556">
        <v>6134</v>
      </c>
      <c r="B2556" t="s">
        <v>147</v>
      </c>
      <c r="C2556">
        <v>51018486</v>
      </c>
      <c r="D2556">
        <v>60.723106498139302</v>
      </c>
      <c r="E2556" t="s">
        <v>94</v>
      </c>
      <c r="F2556">
        <v>604</v>
      </c>
      <c r="G2556" s="4">
        <v>46087.599236111113</v>
      </c>
    </row>
    <row r="2557" spans="1:7" x14ac:dyDescent="0.3">
      <c r="A2557">
        <v>6135</v>
      </c>
      <c r="B2557" t="s">
        <v>147</v>
      </c>
      <c r="C2557">
        <v>51005732</v>
      </c>
      <c r="D2557">
        <v>88.862012314052507</v>
      </c>
      <c r="E2557" t="s">
        <v>92</v>
      </c>
      <c r="F2557">
        <v>171</v>
      </c>
      <c r="G2557" s="4">
        <v>46087.599236111113</v>
      </c>
    </row>
    <row r="2558" spans="1:7" x14ac:dyDescent="0.3">
      <c r="A2558">
        <v>6136</v>
      </c>
      <c r="B2558" t="s">
        <v>147</v>
      </c>
      <c r="C2558">
        <v>51039785</v>
      </c>
      <c r="D2558">
        <v>59.459445565826762</v>
      </c>
      <c r="E2558" t="s">
        <v>94</v>
      </c>
      <c r="F2558">
        <v>631</v>
      </c>
      <c r="G2558" s="4">
        <v>46087.599236111113</v>
      </c>
    </row>
    <row r="2559" spans="1:7" x14ac:dyDescent="0.3">
      <c r="A2559">
        <v>6137</v>
      </c>
      <c r="B2559" t="s">
        <v>147</v>
      </c>
      <c r="C2559">
        <v>51025865</v>
      </c>
      <c r="D2559">
        <v>90.777991458378253</v>
      </c>
      <c r="E2559" t="s">
        <v>92</v>
      </c>
      <c r="F2559">
        <v>118</v>
      </c>
      <c r="G2559" s="4">
        <v>46087.599236111113</v>
      </c>
    </row>
    <row r="2560" spans="1:7" x14ac:dyDescent="0.3">
      <c r="A2560">
        <v>6138</v>
      </c>
      <c r="B2560" t="s">
        <v>147</v>
      </c>
      <c r="C2560">
        <v>51015657</v>
      </c>
      <c r="D2560">
        <v>95.726246872452251</v>
      </c>
      <c r="E2560" t="s">
        <v>92</v>
      </c>
      <c r="F2560">
        <v>63</v>
      </c>
      <c r="G2560" s="4">
        <v>46087.599236111113</v>
      </c>
    </row>
    <row r="2561" spans="1:7" x14ac:dyDescent="0.3">
      <c r="A2561">
        <v>6139</v>
      </c>
      <c r="B2561" t="s">
        <v>147</v>
      </c>
      <c r="C2561">
        <v>51001168</v>
      </c>
      <c r="D2561">
        <v>86.315774592311215</v>
      </c>
      <c r="E2561" t="s">
        <v>93</v>
      </c>
      <c r="F2561">
        <v>243</v>
      </c>
      <c r="G2561" s="4">
        <v>46087.599236111113</v>
      </c>
    </row>
    <row r="2562" spans="1:7" x14ac:dyDescent="0.3">
      <c r="A2562">
        <v>6140</v>
      </c>
      <c r="B2562" t="s">
        <v>147</v>
      </c>
      <c r="C2562">
        <v>51021380</v>
      </c>
      <c r="D2562">
        <v>83.995761270236244</v>
      </c>
      <c r="E2562" t="s">
        <v>93</v>
      </c>
      <c r="F2562">
        <v>322</v>
      </c>
      <c r="G2562" s="4">
        <v>46087.599236111113</v>
      </c>
    </row>
    <row r="2563" spans="1:7" x14ac:dyDescent="0.3">
      <c r="A2563">
        <v>6141</v>
      </c>
      <c r="B2563" t="s">
        <v>147</v>
      </c>
      <c r="C2563">
        <v>51011970</v>
      </c>
      <c r="D2563">
        <v>89.559877011031475</v>
      </c>
      <c r="E2563" t="s">
        <v>92</v>
      </c>
      <c r="F2563">
        <v>148</v>
      </c>
      <c r="G2563" s="4">
        <v>46087.599236111113</v>
      </c>
    </row>
    <row r="2564" spans="1:7" x14ac:dyDescent="0.3">
      <c r="A2564">
        <v>6142</v>
      </c>
      <c r="B2564" t="s">
        <v>147</v>
      </c>
      <c r="C2564">
        <v>51036697</v>
      </c>
      <c r="D2564">
        <v>81.77681610268867</v>
      </c>
      <c r="E2564" t="s">
        <v>93</v>
      </c>
      <c r="F2564">
        <v>391</v>
      </c>
      <c r="G2564" s="4">
        <v>46087.599236111113</v>
      </c>
    </row>
    <row r="2565" spans="1:7" x14ac:dyDescent="0.3">
      <c r="A2565">
        <v>6143</v>
      </c>
      <c r="B2565" t="s">
        <v>147</v>
      </c>
      <c r="C2565">
        <v>51009061</v>
      </c>
      <c r="D2565">
        <v>63.010582313801827</v>
      </c>
      <c r="E2565" t="s">
        <v>93</v>
      </c>
      <c r="F2565">
        <v>559</v>
      </c>
      <c r="G2565" s="4">
        <v>46087.599236111113</v>
      </c>
    </row>
    <row r="2566" spans="1:7" x14ac:dyDescent="0.3">
      <c r="A2566">
        <v>6144</v>
      </c>
      <c r="B2566" t="s">
        <v>147</v>
      </c>
      <c r="C2566">
        <v>51013824</v>
      </c>
      <c r="D2566">
        <v>89.742439312069735</v>
      </c>
      <c r="E2566" t="s">
        <v>92</v>
      </c>
      <c r="F2566">
        <v>142</v>
      </c>
      <c r="G2566" s="4">
        <v>46087.599236111113</v>
      </c>
    </row>
    <row r="2567" spans="1:7" x14ac:dyDescent="0.3">
      <c r="A2567">
        <v>6145</v>
      </c>
      <c r="B2567" t="s">
        <v>147</v>
      </c>
      <c r="C2567">
        <v>51009240</v>
      </c>
      <c r="D2567">
        <v>84.166357608413577</v>
      </c>
      <c r="E2567" t="s">
        <v>93</v>
      </c>
      <c r="F2567">
        <v>314</v>
      </c>
      <c r="G2567" s="4">
        <v>46087.599236111113</v>
      </c>
    </row>
    <row r="2568" spans="1:7" x14ac:dyDescent="0.3">
      <c r="A2568">
        <v>6146</v>
      </c>
      <c r="B2568" t="s">
        <v>147</v>
      </c>
      <c r="C2568">
        <v>51001061</v>
      </c>
      <c r="D2568">
        <v>84.257308746317179</v>
      </c>
      <c r="E2568" t="s">
        <v>93</v>
      </c>
      <c r="F2568">
        <v>309</v>
      </c>
      <c r="G2568" s="4">
        <v>46087.599236111113</v>
      </c>
    </row>
    <row r="2569" spans="1:7" x14ac:dyDescent="0.3">
      <c r="A2569">
        <v>6147</v>
      </c>
      <c r="B2569" t="s">
        <v>147</v>
      </c>
      <c r="C2569">
        <v>51018621</v>
      </c>
      <c r="D2569">
        <v>56.977361951392794</v>
      </c>
      <c r="E2569" t="s">
        <v>94</v>
      </c>
      <c r="F2569">
        <v>682</v>
      </c>
      <c r="G2569" s="4">
        <v>46087.599236111113</v>
      </c>
    </row>
    <row r="2570" spans="1:7" x14ac:dyDescent="0.3">
      <c r="A2570">
        <v>6148</v>
      </c>
      <c r="B2570" t="s">
        <v>147</v>
      </c>
      <c r="C2570">
        <v>51011031</v>
      </c>
      <c r="D2570">
        <v>89.183751343192654</v>
      </c>
      <c r="E2570" t="s">
        <v>92</v>
      </c>
      <c r="F2570">
        <v>162</v>
      </c>
      <c r="G2570" s="4">
        <v>46087.599236111113</v>
      </c>
    </row>
    <row r="2571" spans="1:7" x14ac:dyDescent="0.3">
      <c r="A2571">
        <v>6149</v>
      </c>
      <c r="B2571" t="s">
        <v>147</v>
      </c>
      <c r="C2571">
        <v>51013239</v>
      </c>
      <c r="D2571">
        <v>89.228574975896436</v>
      </c>
      <c r="E2571" t="s">
        <v>92</v>
      </c>
      <c r="F2571">
        <v>160</v>
      </c>
      <c r="G2571" s="4">
        <v>46087.599236111113</v>
      </c>
    </row>
    <row r="2572" spans="1:7" x14ac:dyDescent="0.3">
      <c r="A2572">
        <v>6150</v>
      </c>
      <c r="B2572" t="s">
        <v>147</v>
      </c>
      <c r="C2572">
        <v>51030281</v>
      </c>
      <c r="D2572">
        <v>61.81026052275579</v>
      </c>
      <c r="E2572" t="s">
        <v>93</v>
      </c>
      <c r="F2572">
        <v>584</v>
      </c>
      <c r="G2572" s="4">
        <v>46087.599236111113</v>
      </c>
    </row>
    <row r="2573" spans="1:7" x14ac:dyDescent="0.3">
      <c r="A2573">
        <v>6151</v>
      </c>
      <c r="B2573" t="s">
        <v>147</v>
      </c>
      <c r="C2573">
        <v>51055829</v>
      </c>
      <c r="D2573">
        <v>61.455854179985067</v>
      </c>
      <c r="E2573" t="s">
        <v>93</v>
      </c>
      <c r="F2573">
        <v>590</v>
      </c>
      <c r="G2573" s="4">
        <v>46087.599236111113</v>
      </c>
    </row>
    <row r="2574" spans="1:7" x14ac:dyDescent="0.3">
      <c r="A2574">
        <v>6152</v>
      </c>
      <c r="B2574" t="s">
        <v>147</v>
      </c>
      <c r="C2574">
        <v>51023919</v>
      </c>
      <c r="D2574">
        <v>75.724844198183902</v>
      </c>
      <c r="E2574" t="s">
        <v>93</v>
      </c>
      <c r="F2574">
        <v>469</v>
      </c>
      <c r="G2574" s="4">
        <v>46087.599236111113</v>
      </c>
    </row>
    <row r="2575" spans="1:7" x14ac:dyDescent="0.3">
      <c r="A2575">
        <v>6153</v>
      </c>
      <c r="B2575" t="s">
        <v>147</v>
      </c>
      <c r="C2575">
        <v>51031610</v>
      </c>
      <c r="D2575">
        <v>63.861228271095868</v>
      </c>
      <c r="E2575" t="s">
        <v>93</v>
      </c>
      <c r="F2575">
        <v>550</v>
      </c>
      <c r="G2575" s="4">
        <v>46087.599236111113</v>
      </c>
    </row>
    <row r="2576" spans="1:7" x14ac:dyDescent="0.3">
      <c r="A2576">
        <v>6154</v>
      </c>
      <c r="B2576" t="s">
        <v>147</v>
      </c>
      <c r="C2576">
        <v>51024141</v>
      </c>
      <c r="D2576">
        <v>100</v>
      </c>
      <c r="E2576" t="s">
        <v>275</v>
      </c>
      <c r="F2576">
        <v>1</v>
      </c>
      <c r="G2576" s="4">
        <v>46087.599236111113</v>
      </c>
    </row>
    <row r="2577" spans="1:7" x14ac:dyDescent="0.3">
      <c r="A2577">
        <v>6155</v>
      </c>
      <c r="B2577" t="s">
        <v>147</v>
      </c>
      <c r="C2577">
        <v>51023137</v>
      </c>
      <c r="D2577">
        <v>100</v>
      </c>
      <c r="E2577" t="s">
        <v>275</v>
      </c>
      <c r="F2577">
        <v>1</v>
      </c>
      <c r="G2577" s="4">
        <v>46087.599236111113</v>
      </c>
    </row>
    <row r="2578" spans="1:7" x14ac:dyDescent="0.3">
      <c r="A2578">
        <v>6156</v>
      </c>
      <c r="B2578" t="s">
        <v>147</v>
      </c>
      <c r="C2578">
        <v>51026578</v>
      </c>
      <c r="D2578">
        <v>62.992914404725639</v>
      </c>
      <c r="E2578" t="s">
        <v>93</v>
      </c>
      <c r="F2578">
        <v>560</v>
      </c>
      <c r="G2578" s="4">
        <v>46087.599236111113</v>
      </c>
    </row>
    <row r="2579" spans="1:7" x14ac:dyDescent="0.3">
      <c r="A2579">
        <v>6157</v>
      </c>
      <c r="B2579" t="s">
        <v>147</v>
      </c>
      <c r="C2579">
        <v>51017986</v>
      </c>
      <c r="D2579">
        <v>93.138068784179595</v>
      </c>
      <c r="E2579" t="s">
        <v>92</v>
      </c>
      <c r="F2579">
        <v>89</v>
      </c>
      <c r="G2579" s="4">
        <v>46087.599236111113</v>
      </c>
    </row>
    <row r="2580" spans="1:7" x14ac:dyDescent="0.3">
      <c r="A2580">
        <v>6158</v>
      </c>
      <c r="B2580" t="s">
        <v>147</v>
      </c>
      <c r="C2580">
        <v>51055373</v>
      </c>
      <c r="D2580">
        <v>78.921881569050683</v>
      </c>
      <c r="E2580" t="s">
        <v>93</v>
      </c>
      <c r="F2580">
        <v>448</v>
      </c>
      <c r="G2580" s="4">
        <v>46087.599236111113</v>
      </c>
    </row>
    <row r="2581" spans="1:7" x14ac:dyDescent="0.3">
      <c r="A2581">
        <v>6159</v>
      </c>
      <c r="B2581" t="s">
        <v>147</v>
      </c>
      <c r="C2581">
        <v>51013794</v>
      </c>
      <c r="D2581">
        <v>28.98</v>
      </c>
      <c r="E2581" t="s">
        <v>94</v>
      </c>
      <c r="F2581">
        <v>877</v>
      </c>
      <c r="G2581" s="4">
        <v>46087.599236111113</v>
      </c>
    </row>
    <row r="2582" spans="1:7" x14ac:dyDescent="0.3">
      <c r="A2582">
        <v>6160</v>
      </c>
      <c r="B2582" t="s">
        <v>147</v>
      </c>
      <c r="C2582">
        <v>51033141</v>
      </c>
      <c r="D2582">
        <v>53.036452045862518</v>
      </c>
      <c r="E2582" t="s">
        <v>94</v>
      </c>
      <c r="F2582">
        <v>724</v>
      </c>
      <c r="G2582" s="4">
        <v>46087.599236111113</v>
      </c>
    </row>
    <row r="2583" spans="1:7" x14ac:dyDescent="0.3">
      <c r="A2583">
        <v>6161</v>
      </c>
      <c r="B2583" t="s">
        <v>147</v>
      </c>
      <c r="C2583">
        <v>51056612</v>
      </c>
      <c r="D2583">
        <v>88.88048675952129</v>
      </c>
      <c r="E2583" t="s">
        <v>92</v>
      </c>
      <c r="F2583">
        <v>170</v>
      </c>
      <c r="G2583" s="4">
        <v>46087.599236111113</v>
      </c>
    </row>
    <row r="2584" spans="1:7" x14ac:dyDescent="0.3">
      <c r="A2584">
        <v>6162</v>
      </c>
      <c r="B2584" t="s">
        <v>147</v>
      </c>
      <c r="C2584">
        <v>51032071</v>
      </c>
      <c r="D2584">
        <v>90.409202400451818</v>
      </c>
      <c r="E2584" t="s">
        <v>92</v>
      </c>
      <c r="F2584">
        <v>127</v>
      </c>
      <c r="G2584" s="4">
        <v>46087.599236111113</v>
      </c>
    </row>
    <row r="2585" spans="1:7" x14ac:dyDescent="0.3">
      <c r="A2585">
        <v>6163</v>
      </c>
      <c r="B2585" t="s">
        <v>147</v>
      </c>
      <c r="C2585">
        <v>51031121</v>
      </c>
      <c r="D2585">
        <v>93.587179707653732</v>
      </c>
      <c r="E2585" t="s">
        <v>92</v>
      </c>
      <c r="F2585">
        <v>82</v>
      </c>
      <c r="G2585" s="4">
        <v>46087.599236111113</v>
      </c>
    </row>
    <row r="2586" spans="1:7" x14ac:dyDescent="0.3">
      <c r="A2586">
        <v>6164</v>
      </c>
      <c r="B2586" t="s">
        <v>147</v>
      </c>
      <c r="C2586">
        <v>51056981</v>
      </c>
      <c r="D2586">
        <v>63.13176910262478</v>
      </c>
      <c r="E2586" t="s">
        <v>93</v>
      </c>
      <c r="F2586">
        <v>557</v>
      </c>
      <c r="G2586" s="4">
        <v>46087.599236111113</v>
      </c>
    </row>
    <row r="2587" spans="1:7" x14ac:dyDescent="0.3">
      <c r="A2587">
        <v>6165</v>
      </c>
      <c r="B2587" t="s">
        <v>147</v>
      </c>
      <c r="C2587">
        <v>51022424</v>
      </c>
      <c r="D2587">
        <v>67.942398492706914</v>
      </c>
      <c r="E2587" t="s">
        <v>93</v>
      </c>
      <c r="F2587">
        <v>528</v>
      </c>
      <c r="G2587" s="4">
        <v>46087.599236111113</v>
      </c>
    </row>
    <row r="2588" spans="1:7" x14ac:dyDescent="0.3">
      <c r="A2588">
        <v>6166</v>
      </c>
      <c r="B2588" t="s">
        <v>147</v>
      </c>
      <c r="C2588">
        <v>51025920</v>
      </c>
      <c r="D2588">
        <v>41.133298667904342</v>
      </c>
      <c r="E2588" t="s">
        <v>94</v>
      </c>
      <c r="F2588">
        <v>781</v>
      </c>
      <c r="G2588" s="4">
        <v>46087.599236111113</v>
      </c>
    </row>
    <row r="2589" spans="1:7" x14ac:dyDescent="0.3">
      <c r="A2589">
        <v>6167</v>
      </c>
      <c r="B2589" t="s">
        <v>147</v>
      </c>
      <c r="C2589">
        <v>51056388</v>
      </c>
      <c r="D2589">
        <v>82.835840353398112</v>
      </c>
      <c r="E2589" t="s">
        <v>93</v>
      </c>
      <c r="F2589">
        <v>361</v>
      </c>
      <c r="G2589" s="4">
        <v>46087.599236111113</v>
      </c>
    </row>
    <row r="2590" spans="1:7" x14ac:dyDescent="0.3">
      <c r="A2590">
        <v>6168</v>
      </c>
      <c r="B2590" t="s">
        <v>147</v>
      </c>
      <c r="C2590">
        <v>51033485</v>
      </c>
      <c r="D2590">
        <v>64.221124525391602</v>
      </c>
      <c r="E2590" t="s">
        <v>93</v>
      </c>
      <c r="F2590">
        <v>548</v>
      </c>
      <c r="G2590" s="4">
        <v>46087.599236111113</v>
      </c>
    </row>
    <row r="2591" spans="1:7" x14ac:dyDescent="0.3">
      <c r="A2591">
        <v>6169</v>
      </c>
      <c r="B2591" t="s">
        <v>147</v>
      </c>
      <c r="C2591">
        <v>51041615</v>
      </c>
      <c r="D2591">
        <v>57.247655835129351</v>
      </c>
      <c r="E2591" t="s">
        <v>94</v>
      </c>
      <c r="F2591">
        <v>679</v>
      </c>
      <c r="G2591" s="4">
        <v>46087.599236111113</v>
      </c>
    </row>
    <row r="2592" spans="1:7" x14ac:dyDescent="0.3">
      <c r="A2592">
        <v>6170</v>
      </c>
      <c r="B2592" t="s">
        <v>147</v>
      </c>
      <c r="C2592">
        <v>51017641</v>
      </c>
      <c r="D2592">
        <v>80.673410609789201</v>
      </c>
      <c r="E2592" t="s">
        <v>93</v>
      </c>
      <c r="F2592">
        <v>423</v>
      </c>
      <c r="G2592" s="4">
        <v>46087.599236111113</v>
      </c>
    </row>
    <row r="2593" spans="1:7" x14ac:dyDescent="0.3">
      <c r="A2593">
        <v>6171</v>
      </c>
      <c r="B2593" t="s">
        <v>147</v>
      </c>
      <c r="C2593">
        <v>51005741</v>
      </c>
      <c r="D2593">
        <v>89.439365612020396</v>
      </c>
      <c r="E2593" t="s">
        <v>92</v>
      </c>
      <c r="F2593">
        <v>151</v>
      </c>
      <c r="G2593" s="4">
        <v>46087.599236111113</v>
      </c>
    </row>
    <row r="2594" spans="1:7" x14ac:dyDescent="0.3">
      <c r="A2594">
        <v>6172</v>
      </c>
      <c r="B2594" t="s">
        <v>147</v>
      </c>
      <c r="C2594">
        <v>51011996</v>
      </c>
      <c r="D2594">
        <v>94.036734554302242</v>
      </c>
      <c r="E2594" t="s">
        <v>92</v>
      </c>
      <c r="F2594">
        <v>75</v>
      </c>
      <c r="G2594" s="4">
        <v>46087.599236111113</v>
      </c>
    </row>
    <row r="2595" spans="1:7" x14ac:dyDescent="0.3">
      <c r="A2595">
        <v>6173</v>
      </c>
      <c r="B2595" t="s">
        <v>147</v>
      </c>
      <c r="C2595">
        <v>51025440</v>
      </c>
      <c r="D2595">
        <v>90.769602609024133</v>
      </c>
      <c r="E2595" t="s">
        <v>92</v>
      </c>
      <c r="F2595">
        <v>119</v>
      </c>
      <c r="G2595" s="4">
        <v>46087.599236111113</v>
      </c>
    </row>
    <row r="2596" spans="1:7" x14ac:dyDescent="0.3">
      <c r="A2596">
        <v>6174</v>
      </c>
      <c r="B2596" t="s">
        <v>147</v>
      </c>
      <c r="C2596">
        <v>51055993</v>
      </c>
      <c r="D2596">
        <v>90.876735551828759</v>
      </c>
      <c r="E2596" t="s">
        <v>92</v>
      </c>
      <c r="F2596">
        <v>117</v>
      </c>
      <c r="G2596" s="4">
        <v>46087.599236111113</v>
      </c>
    </row>
    <row r="2597" spans="1:7" x14ac:dyDescent="0.3">
      <c r="A2597">
        <v>6175</v>
      </c>
      <c r="B2597" t="s">
        <v>147</v>
      </c>
      <c r="C2597">
        <v>51021231</v>
      </c>
      <c r="D2597">
        <v>43.763527417699876</v>
      </c>
      <c r="E2597" t="s">
        <v>94</v>
      </c>
      <c r="F2597">
        <v>777</v>
      </c>
      <c r="G2597" s="4">
        <v>46087.599236111113</v>
      </c>
    </row>
    <row r="2598" spans="1:7" x14ac:dyDescent="0.3">
      <c r="A2598">
        <v>6176</v>
      </c>
      <c r="B2598" t="s">
        <v>147</v>
      </c>
      <c r="C2598">
        <v>51024125</v>
      </c>
      <c r="D2598">
        <v>25.537085345868164</v>
      </c>
      <c r="E2598" t="s">
        <v>94</v>
      </c>
      <c r="F2598">
        <v>911</v>
      </c>
      <c r="G2598" s="4">
        <v>46087.599236111113</v>
      </c>
    </row>
    <row r="2599" spans="1:7" x14ac:dyDescent="0.3">
      <c r="A2599">
        <v>6177</v>
      </c>
      <c r="B2599" t="s">
        <v>147</v>
      </c>
      <c r="C2599">
        <v>51014359</v>
      </c>
      <c r="D2599">
        <v>81.524737799712</v>
      </c>
      <c r="E2599" t="s">
        <v>93</v>
      </c>
      <c r="F2599">
        <v>400</v>
      </c>
      <c r="G2599" s="4">
        <v>46087.599236111113</v>
      </c>
    </row>
    <row r="2600" spans="1:7" x14ac:dyDescent="0.3">
      <c r="A2600">
        <v>6178</v>
      </c>
      <c r="B2600" t="s">
        <v>147</v>
      </c>
      <c r="C2600">
        <v>51024681</v>
      </c>
      <c r="D2600">
        <v>83.078094342475282</v>
      </c>
      <c r="E2600" t="s">
        <v>93</v>
      </c>
      <c r="F2600">
        <v>351</v>
      </c>
      <c r="G2600" s="4">
        <v>46087.599236111113</v>
      </c>
    </row>
    <row r="2601" spans="1:7" x14ac:dyDescent="0.3">
      <c r="A2601">
        <v>6179</v>
      </c>
      <c r="B2601" t="s">
        <v>147</v>
      </c>
      <c r="C2601">
        <v>51024001</v>
      </c>
      <c r="D2601">
        <v>22.12</v>
      </c>
      <c r="E2601" t="s">
        <v>94</v>
      </c>
      <c r="F2601">
        <v>947</v>
      </c>
      <c r="G2601" s="4">
        <v>46087.599236111113</v>
      </c>
    </row>
    <row r="2602" spans="1:7" x14ac:dyDescent="0.3">
      <c r="A2602">
        <v>6180</v>
      </c>
      <c r="B2602" t="s">
        <v>147</v>
      </c>
      <c r="C2602">
        <v>51023480</v>
      </c>
      <c r="D2602">
        <v>63.666291185312922</v>
      </c>
      <c r="E2602" t="s">
        <v>93</v>
      </c>
      <c r="F2602">
        <v>552</v>
      </c>
      <c r="G2602" s="4">
        <v>46087.599236111113</v>
      </c>
    </row>
    <row r="2603" spans="1:7" x14ac:dyDescent="0.3">
      <c r="A2603">
        <v>6181</v>
      </c>
      <c r="B2603" t="s">
        <v>147</v>
      </c>
      <c r="C2603">
        <v>51020405</v>
      </c>
      <c r="D2603">
        <v>72.80385290877058</v>
      </c>
      <c r="E2603" t="s">
        <v>93</v>
      </c>
      <c r="F2603">
        <v>491</v>
      </c>
      <c r="G2603" s="4">
        <v>46087.599236111113</v>
      </c>
    </row>
    <row r="2604" spans="1:7" x14ac:dyDescent="0.3">
      <c r="A2604">
        <v>6182</v>
      </c>
      <c r="B2604" t="s">
        <v>147</v>
      </c>
      <c r="C2604">
        <v>51044070</v>
      </c>
      <c r="D2604">
        <v>78.446194363044071</v>
      </c>
      <c r="E2604" t="s">
        <v>93</v>
      </c>
      <c r="F2604">
        <v>452</v>
      </c>
      <c r="G2604" s="4">
        <v>46087.599236111113</v>
      </c>
    </row>
    <row r="2605" spans="1:7" x14ac:dyDescent="0.3">
      <c r="A2605">
        <v>6183</v>
      </c>
      <c r="B2605" t="s">
        <v>147</v>
      </c>
      <c r="C2605">
        <v>51032110</v>
      </c>
      <c r="D2605">
        <v>56.977302856545435</v>
      </c>
      <c r="E2605" t="s">
        <v>94</v>
      </c>
      <c r="F2605">
        <v>683</v>
      </c>
      <c r="G2605" s="4">
        <v>46087.599236111113</v>
      </c>
    </row>
    <row r="2606" spans="1:7" x14ac:dyDescent="0.3">
      <c r="A2606">
        <v>6184</v>
      </c>
      <c r="B2606" t="s">
        <v>147</v>
      </c>
      <c r="C2606">
        <v>51036123</v>
      </c>
      <c r="D2606">
        <v>87.579235257857263</v>
      </c>
      <c r="E2606" t="s">
        <v>92</v>
      </c>
      <c r="F2606">
        <v>209</v>
      </c>
      <c r="G2606" s="4">
        <v>46087.599236111113</v>
      </c>
    </row>
    <row r="2607" spans="1:7" x14ac:dyDescent="0.3">
      <c r="A2607">
        <v>6185</v>
      </c>
      <c r="B2607" t="s">
        <v>147</v>
      </c>
      <c r="C2607">
        <v>51056078</v>
      </c>
      <c r="D2607">
        <v>85.738001337383437</v>
      </c>
      <c r="E2607" t="s">
        <v>93</v>
      </c>
      <c r="F2607">
        <v>261</v>
      </c>
      <c r="G2607" s="4">
        <v>46087.599236111113</v>
      </c>
    </row>
    <row r="2608" spans="1:7" x14ac:dyDescent="0.3">
      <c r="A2608">
        <v>6186</v>
      </c>
      <c r="B2608" t="s">
        <v>147</v>
      </c>
      <c r="C2608">
        <v>51012445</v>
      </c>
      <c r="D2608">
        <v>81.514819904381753</v>
      </c>
      <c r="E2608" t="s">
        <v>93</v>
      </c>
      <c r="F2608">
        <v>401</v>
      </c>
      <c r="G2608" s="4">
        <v>46087.599236111113</v>
      </c>
    </row>
    <row r="2609" spans="1:7" x14ac:dyDescent="0.3">
      <c r="A2609">
        <v>6187</v>
      </c>
      <c r="B2609" t="s">
        <v>147</v>
      </c>
      <c r="C2609">
        <v>51019661</v>
      </c>
      <c r="D2609">
        <v>81.101957135425508</v>
      </c>
      <c r="E2609" t="s">
        <v>93</v>
      </c>
      <c r="F2609">
        <v>411</v>
      </c>
      <c r="G2609" s="4">
        <v>46087.599236111113</v>
      </c>
    </row>
    <row r="2610" spans="1:7" x14ac:dyDescent="0.3">
      <c r="A2610">
        <v>6188</v>
      </c>
      <c r="B2610" t="s">
        <v>147</v>
      </c>
      <c r="C2610">
        <v>51021894</v>
      </c>
      <c r="D2610">
        <v>29.9</v>
      </c>
      <c r="E2610" t="s">
        <v>94</v>
      </c>
      <c r="F2610">
        <v>868</v>
      </c>
      <c r="G2610" s="4">
        <v>46087.599236111113</v>
      </c>
    </row>
    <row r="2611" spans="1:7" x14ac:dyDescent="0.3">
      <c r="A2611">
        <v>6189</v>
      </c>
      <c r="B2611" t="s">
        <v>147</v>
      </c>
      <c r="C2611">
        <v>51018575</v>
      </c>
      <c r="D2611">
        <v>86.808833108172593</v>
      </c>
      <c r="E2611" t="s">
        <v>92</v>
      </c>
      <c r="F2611">
        <v>229</v>
      </c>
      <c r="G2611" s="4">
        <v>46087.599236111113</v>
      </c>
    </row>
    <row r="2612" spans="1:7" x14ac:dyDescent="0.3">
      <c r="A2612">
        <v>6190</v>
      </c>
      <c r="B2612" t="s">
        <v>147</v>
      </c>
      <c r="C2612">
        <v>51031652</v>
      </c>
      <c r="D2612">
        <v>83.776633528155386</v>
      </c>
      <c r="E2612" t="s">
        <v>93</v>
      </c>
      <c r="F2612">
        <v>327</v>
      </c>
      <c r="G2612" s="4">
        <v>46087.599236111113</v>
      </c>
    </row>
    <row r="2613" spans="1:7" x14ac:dyDescent="0.3">
      <c r="A2613">
        <v>6191</v>
      </c>
      <c r="B2613" t="s">
        <v>147</v>
      </c>
      <c r="C2613">
        <v>51040627</v>
      </c>
      <c r="D2613">
        <v>86.058591192174546</v>
      </c>
      <c r="E2613" t="s">
        <v>93</v>
      </c>
      <c r="F2613">
        <v>251</v>
      </c>
      <c r="G2613" s="4">
        <v>46087.599236111113</v>
      </c>
    </row>
    <row r="2614" spans="1:7" x14ac:dyDescent="0.3">
      <c r="A2614">
        <v>6192</v>
      </c>
      <c r="B2614" t="s">
        <v>147</v>
      </c>
      <c r="C2614">
        <v>51031253</v>
      </c>
      <c r="D2614">
        <v>83.947067609995969</v>
      </c>
      <c r="E2614" t="s">
        <v>93</v>
      </c>
      <c r="F2614">
        <v>325</v>
      </c>
      <c r="G2614" s="4">
        <v>46087.599236111113</v>
      </c>
    </row>
    <row r="2615" spans="1:7" x14ac:dyDescent="0.3">
      <c r="A2615">
        <v>6193</v>
      </c>
      <c r="B2615" t="s">
        <v>147</v>
      </c>
      <c r="C2615">
        <v>51034350</v>
      </c>
      <c r="D2615">
        <v>51.761876080249166</v>
      </c>
      <c r="E2615" t="s">
        <v>94</v>
      </c>
      <c r="F2615">
        <v>729</v>
      </c>
      <c r="G2615" s="4">
        <v>46087.599236111113</v>
      </c>
    </row>
    <row r="2616" spans="1:7" x14ac:dyDescent="0.3">
      <c r="A2616">
        <v>6194</v>
      </c>
      <c r="B2616" t="s">
        <v>147</v>
      </c>
      <c r="C2616">
        <v>51022220</v>
      </c>
      <c r="D2616">
        <v>22.012807867296146</v>
      </c>
      <c r="E2616" t="s">
        <v>94</v>
      </c>
      <c r="F2616">
        <v>948</v>
      </c>
      <c r="G2616" s="4">
        <v>46087.599236111113</v>
      </c>
    </row>
    <row r="2617" spans="1:7" x14ac:dyDescent="0.3">
      <c r="A2617">
        <v>6195</v>
      </c>
      <c r="B2617" t="s">
        <v>147</v>
      </c>
      <c r="C2617">
        <v>51019512</v>
      </c>
      <c r="D2617">
        <v>97.501450283296919</v>
      </c>
      <c r="E2617" t="s">
        <v>275</v>
      </c>
      <c r="F2617">
        <v>42</v>
      </c>
      <c r="G2617" s="4">
        <v>46087.599236111113</v>
      </c>
    </row>
    <row r="2618" spans="1:7" x14ac:dyDescent="0.3">
      <c r="A2618">
        <v>6196</v>
      </c>
      <c r="B2618" t="s">
        <v>147</v>
      </c>
      <c r="C2618">
        <v>51014391</v>
      </c>
      <c r="D2618">
        <v>85.620506866663092</v>
      </c>
      <c r="E2618" t="s">
        <v>93</v>
      </c>
      <c r="F2618">
        <v>265</v>
      </c>
      <c r="G2618" s="4">
        <v>46087.599236111113</v>
      </c>
    </row>
    <row r="2619" spans="1:7" x14ac:dyDescent="0.3">
      <c r="A2619">
        <v>6197</v>
      </c>
      <c r="B2619" t="s">
        <v>147</v>
      </c>
      <c r="C2619">
        <v>51042689</v>
      </c>
      <c r="D2619">
        <v>82.445126904477689</v>
      </c>
      <c r="E2619" t="s">
        <v>93</v>
      </c>
      <c r="F2619">
        <v>375</v>
      </c>
      <c r="G2619" s="4">
        <v>46087.599236111113</v>
      </c>
    </row>
    <row r="2620" spans="1:7" x14ac:dyDescent="0.3">
      <c r="A2620">
        <v>6198</v>
      </c>
      <c r="B2620" t="s">
        <v>147</v>
      </c>
      <c r="C2620">
        <v>51013867</v>
      </c>
      <c r="D2620">
        <v>89.362345883205691</v>
      </c>
      <c r="E2620" t="s">
        <v>92</v>
      </c>
      <c r="F2620">
        <v>154</v>
      </c>
      <c r="G2620" s="4">
        <v>46087.599236111113</v>
      </c>
    </row>
    <row r="2621" spans="1:7" x14ac:dyDescent="0.3">
      <c r="A2621">
        <v>6199</v>
      </c>
      <c r="B2621" t="s">
        <v>147</v>
      </c>
      <c r="C2621">
        <v>51021258</v>
      </c>
      <c r="D2621">
        <v>90.665437383681351</v>
      </c>
      <c r="E2621" t="s">
        <v>92</v>
      </c>
      <c r="F2621">
        <v>120</v>
      </c>
      <c r="G2621" s="4">
        <v>46087.599236111113</v>
      </c>
    </row>
    <row r="2622" spans="1:7" x14ac:dyDescent="0.3">
      <c r="A2622">
        <v>6200</v>
      </c>
      <c r="B2622" t="s">
        <v>147</v>
      </c>
      <c r="C2622">
        <v>51024591</v>
      </c>
      <c r="D2622">
        <v>31.120503367448805</v>
      </c>
      <c r="E2622" t="s">
        <v>94</v>
      </c>
      <c r="F2622">
        <v>844</v>
      </c>
      <c r="G2622" s="4">
        <v>46087.599236111113</v>
      </c>
    </row>
    <row r="2623" spans="1:7" x14ac:dyDescent="0.3">
      <c r="A2623">
        <v>6201</v>
      </c>
      <c r="B2623" t="s">
        <v>147</v>
      </c>
      <c r="C2623">
        <v>51021665</v>
      </c>
      <c r="D2623">
        <v>60.140579170187848</v>
      </c>
      <c r="E2623" t="s">
        <v>94</v>
      </c>
      <c r="F2623">
        <v>615</v>
      </c>
      <c r="G2623" s="4">
        <v>46087.599236111113</v>
      </c>
    </row>
    <row r="2624" spans="1:7" x14ac:dyDescent="0.3">
      <c r="A2624">
        <v>6202</v>
      </c>
      <c r="B2624" t="s">
        <v>147</v>
      </c>
      <c r="C2624">
        <v>51030273</v>
      </c>
      <c r="D2624">
        <v>38.903122831664604</v>
      </c>
      <c r="E2624" t="s">
        <v>94</v>
      </c>
      <c r="F2624">
        <v>793</v>
      </c>
      <c r="G2624" s="4">
        <v>46087.599236111113</v>
      </c>
    </row>
    <row r="2625" spans="1:7" x14ac:dyDescent="0.3">
      <c r="A2625">
        <v>6203</v>
      </c>
      <c r="B2625" t="s">
        <v>147</v>
      </c>
      <c r="C2625">
        <v>51024559</v>
      </c>
      <c r="D2625">
        <v>34.298494199455192</v>
      </c>
      <c r="E2625" t="s">
        <v>94</v>
      </c>
      <c r="F2625">
        <v>812</v>
      </c>
      <c r="G2625" s="4">
        <v>46087.599236111113</v>
      </c>
    </row>
    <row r="2626" spans="1:7" x14ac:dyDescent="0.3">
      <c r="A2626">
        <v>6204</v>
      </c>
      <c r="B2626" t="s">
        <v>147</v>
      </c>
      <c r="C2626">
        <v>51007565</v>
      </c>
      <c r="D2626">
        <v>84.562680179126744</v>
      </c>
      <c r="E2626" t="s">
        <v>93</v>
      </c>
      <c r="F2626">
        <v>297</v>
      </c>
      <c r="G2626" s="4">
        <v>46087.599236111113</v>
      </c>
    </row>
    <row r="2627" spans="1:7" x14ac:dyDescent="0.3">
      <c r="A2627">
        <v>6205</v>
      </c>
      <c r="B2627" t="s">
        <v>147</v>
      </c>
      <c r="C2627">
        <v>51032136</v>
      </c>
      <c r="D2627">
        <v>89.779477754745685</v>
      </c>
      <c r="E2627" t="s">
        <v>92</v>
      </c>
      <c r="F2627">
        <v>141</v>
      </c>
      <c r="G2627" s="4">
        <v>46087.599236111113</v>
      </c>
    </row>
    <row r="2628" spans="1:7" x14ac:dyDescent="0.3">
      <c r="A2628">
        <v>6206</v>
      </c>
      <c r="B2628" t="s">
        <v>147</v>
      </c>
      <c r="C2628">
        <v>51057066</v>
      </c>
      <c r="D2628">
        <v>82.559653079664471</v>
      </c>
      <c r="E2628" t="s">
        <v>93</v>
      </c>
      <c r="F2628">
        <v>371</v>
      </c>
      <c r="G2628" s="4">
        <v>46087.599236111113</v>
      </c>
    </row>
    <row r="2629" spans="1:7" x14ac:dyDescent="0.3">
      <c r="A2629">
        <v>6207</v>
      </c>
      <c r="B2629" t="s">
        <v>147</v>
      </c>
      <c r="C2629">
        <v>51021215</v>
      </c>
      <c r="D2629">
        <v>39.291206136383224</v>
      </c>
      <c r="E2629" t="s">
        <v>94</v>
      </c>
      <c r="F2629">
        <v>790</v>
      </c>
      <c r="G2629" s="4">
        <v>46087.599236111113</v>
      </c>
    </row>
    <row r="2630" spans="1:7" x14ac:dyDescent="0.3">
      <c r="A2630">
        <v>6208</v>
      </c>
      <c r="B2630" t="s">
        <v>147</v>
      </c>
      <c r="C2630">
        <v>51040937</v>
      </c>
      <c r="D2630">
        <v>82.736776219878848</v>
      </c>
      <c r="E2630" t="s">
        <v>93</v>
      </c>
      <c r="F2630">
        <v>366</v>
      </c>
      <c r="G2630" s="4">
        <v>46087.599236111113</v>
      </c>
    </row>
    <row r="2631" spans="1:7" x14ac:dyDescent="0.3">
      <c r="A2631">
        <v>6209</v>
      </c>
      <c r="B2631" t="s">
        <v>147</v>
      </c>
      <c r="C2631">
        <v>51014430</v>
      </c>
      <c r="D2631">
        <v>85.482639622086026</v>
      </c>
      <c r="E2631" t="s">
        <v>93</v>
      </c>
      <c r="F2631">
        <v>269</v>
      </c>
      <c r="G2631" s="4">
        <v>46087.599236111113</v>
      </c>
    </row>
    <row r="2632" spans="1:7" x14ac:dyDescent="0.3">
      <c r="A2632">
        <v>6210</v>
      </c>
      <c r="B2632" t="s">
        <v>147</v>
      </c>
      <c r="C2632">
        <v>51055853</v>
      </c>
      <c r="D2632">
        <v>34.602381803103832</v>
      </c>
      <c r="E2632" t="s">
        <v>94</v>
      </c>
      <c r="F2632">
        <v>808</v>
      </c>
      <c r="G2632" s="4">
        <v>46087.599236111113</v>
      </c>
    </row>
    <row r="2633" spans="1:7" x14ac:dyDescent="0.3">
      <c r="A2633">
        <v>6211</v>
      </c>
      <c r="B2633" t="s">
        <v>147</v>
      </c>
      <c r="C2633">
        <v>51056515</v>
      </c>
      <c r="D2633">
        <v>89.158789645379926</v>
      </c>
      <c r="E2633" t="s">
        <v>92</v>
      </c>
      <c r="F2633">
        <v>163</v>
      </c>
      <c r="G2633" s="4">
        <v>46087.599236111113</v>
      </c>
    </row>
    <row r="2634" spans="1:7" x14ac:dyDescent="0.3">
      <c r="A2634">
        <v>6212</v>
      </c>
      <c r="B2634" t="s">
        <v>147</v>
      </c>
      <c r="C2634">
        <v>51020952</v>
      </c>
      <c r="D2634">
        <v>99.579550855617768</v>
      </c>
      <c r="E2634" t="s">
        <v>275</v>
      </c>
      <c r="F2634">
        <v>21</v>
      </c>
      <c r="G2634" s="4">
        <v>46087.599236111113</v>
      </c>
    </row>
    <row r="2635" spans="1:7" x14ac:dyDescent="0.3">
      <c r="A2635">
        <v>6213</v>
      </c>
      <c r="B2635" t="s">
        <v>147</v>
      </c>
      <c r="C2635">
        <v>51022611</v>
      </c>
      <c r="D2635">
        <v>49.459717642235496</v>
      </c>
      <c r="E2635" t="s">
        <v>94</v>
      </c>
      <c r="F2635">
        <v>745</v>
      </c>
      <c r="G2635" s="4">
        <v>46087.599236111113</v>
      </c>
    </row>
    <row r="2636" spans="1:7" x14ac:dyDescent="0.3">
      <c r="A2636">
        <v>6214</v>
      </c>
      <c r="B2636" t="s">
        <v>147</v>
      </c>
      <c r="C2636">
        <v>51056761</v>
      </c>
      <c r="D2636">
        <v>84.212467729936336</v>
      </c>
      <c r="E2636" t="s">
        <v>93</v>
      </c>
      <c r="F2636">
        <v>311</v>
      </c>
      <c r="G2636" s="4">
        <v>46087.599236111113</v>
      </c>
    </row>
    <row r="2637" spans="1:7" x14ac:dyDescent="0.3">
      <c r="A2637">
        <v>6215</v>
      </c>
      <c r="B2637" t="s">
        <v>147</v>
      </c>
      <c r="C2637">
        <v>51031741</v>
      </c>
      <c r="D2637">
        <v>84.673759717438486</v>
      </c>
      <c r="E2637" t="s">
        <v>93</v>
      </c>
      <c r="F2637">
        <v>293</v>
      </c>
      <c r="G2637" s="4">
        <v>46087.599236111113</v>
      </c>
    </row>
    <row r="2638" spans="1:7" x14ac:dyDescent="0.3">
      <c r="A2638">
        <v>6216</v>
      </c>
      <c r="B2638" t="s">
        <v>147</v>
      </c>
      <c r="C2638">
        <v>51056469</v>
      </c>
      <c r="D2638">
        <v>86.272192523520275</v>
      </c>
      <c r="E2638" t="s">
        <v>93</v>
      </c>
      <c r="F2638">
        <v>244</v>
      </c>
      <c r="G2638" s="4">
        <v>46087.599236111113</v>
      </c>
    </row>
    <row r="2639" spans="1:7" x14ac:dyDescent="0.3">
      <c r="A2639">
        <v>6217</v>
      </c>
      <c r="B2639" t="s">
        <v>147</v>
      </c>
      <c r="C2639">
        <v>51031130</v>
      </c>
      <c r="D2639">
        <v>92.36174471101549</v>
      </c>
      <c r="E2639" t="s">
        <v>92</v>
      </c>
      <c r="F2639">
        <v>99</v>
      </c>
      <c r="G2639" s="4">
        <v>46087.599236111113</v>
      </c>
    </row>
    <row r="2640" spans="1:7" x14ac:dyDescent="0.3">
      <c r="A2640">
        <v>6218</v>
      </c>
      <c r="B2640" t="s">
        <v>147</v>
      </c>
      <c r="C2640">
        <v>51014855</v>
      </c>
      <c r="D2640">
        <v>80.496797393925334</v>
      </c>
      <c r="E2640" t="s">
        <v>93</v>
      </c>
      <c r="F2640">
        <v>430</v>
      </c>
      <c r="G2640" s="4">
        <v>46087.599236111113</v>
      </c>
    </row>
    <row r="2641" spans="1:7" x14ac:dyDescent="0.3">
      <c r="A2641">
        <v>6219</v>
      </c>
      <c r="B2641" t="s">
        <v>147</v>
      </c>
      <c r="C2641">
        <v>51055055</v>
      </c>
      <c r="D2641">
        <v>87.337700095422477</v>
      </c>
      <c r="E2641" t="s">
        <v>92</v>
      </c>
      <c r="F2641">
        <v>217</v>
      </c>
      <c r="G2641" s="4">
        <v>46087.599236111113</v>
      </c>
    </row>
    <row r="2642" spans="1:7" x14ac:dyDescent="0.3">
      <c r="A2642">
        <v>6220</v>
      </c>
      <c r="B2642" t="s">
        <v>147</v>
      </c>
      <c r="C2642">
        <v>51008634</v>
      </c>
      <c r="D2642">
        <v>74.989317540667372</v>
      </c>
      <c r="E2642" t="s">
        <v>93</v>
      </c>
      <c r="F2642">
        <v>476</v>
      </c>
      <c r="G2642" s="4">
        <v>46087.599236111113</v>
      </c>
    </row>
    <row r="2643" spans="1:7" x14ac:dyDescent="0.3">
      <c r="A2643">
        <v>6221</v>
      </c>
      <c r="B2643" t="s">
        <v>147</v>
      </c>
      <c r="C2643">
        <v>51021835</v>
      </c>
      <c r="D2643">
        <v>57.959287246247115</v>
      </c>
      <c r="E2643" t="s">
        <v>94</v>
      </c>
      <c r="F2643">
        <v>663</v>
      </c>
      <c r="G2643" s="4">
        <v>46087.599236111113</v>
      </c>
    </row>
    <row r="2644" spans="1:7" x14ac:dyDescent="0.3">
      <c r="A2644">
        <v>6222</v>
      </c>
      <c r="B2644" t="s">
        <v>147</v>
      </c>
      <c r="C2644">
        <v>51030320</v>
      </c>
      <c r="D2644">
        <v>62.512955496097959</v>
      </c>
      <c r="E2644" t="s">
        <v>93</v>
      </c>
      <c r="F2644">
        <v>568</v>
      </c>
      <c r="G2644" s="4">
        <v>46087.599236111113</v>
      </c>
    </row>
    <row r="2645" spans="1:7" x14ac:dyDescent="0.3">
      <c r="A2645">
        <v>6223</v>
      </c>
      <c r="B2645" t="s">
        <v>147</v>
      </c>
      <c r="C2645">
        <v>51033701</v>
      </c>
      <c r="D2645">
        <v>83.401403855757849</v>
      </c>
      <c r="E2645" t="s">
        <v>93</v>
      </c>
      <c r="F2645">
        <v>334</v>
      </c>
      <c r="G2645" s="4">
        <v>46087.599236111113</v>
      </c>
    </row>
    <row r="2646" spans="1:7" x14ac:dyDescent="0.3">
      <c r="A2646">
        <v>6224</v>
      </c>
      <c r="B2646" t="s">
        <v>147</v>
      </c>
      <c r="C2646">
        <v>51013280</v>
      </c>
      <c r="D2646">
        <v>89.68814107652301</v>
      </c>
      <c r="E2646" t="s">
        <v>92</v>
      </c>
      <c r="F2646">
        <v>143</v>
      </c>
      <c r="G2646" s="4">
        <v>46087.599236111113</v>
      </c>
    </row>
    <row r="2647" spans="1:7" x14ac:dyDescent="0.3">
      <c r="A2647">
        <v>6225</v>
      </c>
      <c r="B2647" t="s">
        <v>147</v>
      </c>
      <c r="C2647">
        <v>51022785</v>
      </c>
      <c r="D2647">
        <v>31.584751441324364</v>
      </c>
      <c r="E2647" t="s">
        <v>94</v>
      </c>
      <c r="F2647">
        <v>840</v>
      </c>
      <c r="G2647" s="4">
        <v>46087.599236111113</v>
      </c>
    </row>
    <row r="2648" spans="1:7" x14ac:dyDescent="0.3">
      <c r="A2648">
        <v>6226</v>
      </c>
      <c r="B2648" t="s">
        <v>147</v>
      </c>
      <c r="C2648">
        <v>51036310</v>
      </c>
      <c r="D2648">
        <v>30.463361083935681</v>
      </c>
      <c r="E2648" t="s">
        <v>94</v>
      </c>
      <c r="F2648">
        <v>855</v>
      </c>
      <c r="G2648" s="4">
        <v>46087.599236111113</v>
      </c>
    </row>
    <row r="2649" spans="1:7" x14ac:dyDescent="0.3">
      <c r="A2649">
        <v>6227</v>
      </c>
      <c r="B2649" t="s">
        <v>147</v>
      </c>
      <c r="C2649">
        <v>51010710</v>
      </c>
      <c r="D2649">
        <v>82.412019581211766</v>
      </c>
      <c r="E2649" t="s">
        <v>93</v>
      </c>
      <c r="F2649">
        <v>376</v>
      </c>
      <c r="G2649" s="4">
        <v>46087.599236111113</v>
      </c>
    </row>
    <row r="2650" spans="1:7" x14ac:dyDescent="0.3">
      <c r="A2650">
        <v>6228</v>
      </c>
      <c r="B2650" t="s">
        <v>147</v>
      </c>
      <c r="C2650">
        <v>51034376</v>
      </c>
      <c r="D2650">
        <v>85.208017080920413</v>
      </c>
      <c r="E2650" t="s">
        <v>93</v>
      </c>
      <c r="F2650">
        <v>277</v>
      </c>
      <c r="G2650" s="4">
        <v>46087.599236111113</v>
      </c>
    </row>
    <row r="2651" spans="1:7" x14ac:dyDescent="0.3">
      <c r="A2651">
        <v>6229</v>
      </c>
      <c r="B2651" t="s">
        <v>147</v>
      </c>
      <c r="C2651">
        <v>51023561</v>
      </c>
      <c r="D2651">
        <v>84.156415111043785</v>
      </c>
      <c r="E2651" t="s">
        <v>93</v>
      </c>
      <c r="F2651">
        <v>316</v>
      </c>
      <c r="G2651" s="4">
        <v>46087.599236111113</v>
      </c>
    </row>
    <row r="2652" spans="1:7" x14ac:dyDescent="0.3">
      <c r="A2652">
        <v>6230</v>
      </c>
      <c r="B2652" t="s">
        <v>147</v>
      </c>
      <c r="C2652">
        <v>51025253</v>
      </c>
      <c r="D2652">
        <v>32.457386520984372</v>
      </c>
      <c r="E2652" t="s">
        <v>94</v>
      </c>
      <c r="F2652">
        <v>831</v>
      </c>
      <c r="G2652" s="4">
        <v>46087.599236111113</v>
      </c>
    </row>
    <row r="2653" spans="1:7" x14ac:dyDescent="0.3">
      <c r="A2653">
        <v>6231</v>
      </c>
      <c r="B2653" t="s">
        <v>147</v>
      </c>
      <c r="C2653">
        <v>51030176</v>
      </c>
      <c r="D2653">
        <v>59.552894665661007</v>
      </c>
      <c r="E2653" t="s">
        <v>94</v>
      </c>
      <c r="F2653">
        <v>630</v>
      </c>
      <c r="G2653" s="4">
        <v>46087.599236111113</v>
      </c>
    </row>
    <row r="2654" spans="1:7" x14ac:dyDescent="0.3">
      <c r="A2654">
        <v>6232</v>
      </c>
      <c r="B2654" t="s">
        <v>147</v>
      </c>
      <c r="C2654">
        <v>51024575</v>
      </c>
      <c r="D2654">
        <v>75.004439286218769</v>
      </c>
      <c r="E2654" t="s">
        <v>93</v>
      </c>
      <c r="F2654">
        <v>475</v>
      </c>
      <c r="G2654" s="4">
        <v>46087.599236111113</v>
      </c>
    </row>
    <row r="2655" spans="1:7" x14ac:dyDescent="0.3">
      <c r="A2655">
        <v>6233</v>
      </c>
      <c r="B2655" t="s">
        <v>147</v>
      </c>
      <c r="C2655">
        <v>51005333</v>
      </c>
      <c r="D2655">
        <v>52.746734456703734</v>
      </c>
      <c r="E2655" t="s">
        <v>94</v>
      </c>
      <c r="F2655">
        <v>726</v>
      </c>
      <c r="G2655" s="4">
        <v>46087.599236111113</v>
      </c>
    </row>
    <row r="2656" spans="1:7" x14ac:dyDescent="0.3">
      <c r="A2656">
        <v>6234</v>
      </c>
      <c r="B2656" t="s">
        <v>147</v>
      </c>
      <c r="C2656">
        <v>51030931</v>
      </c>
      <c r="D2656">
        <v>60.599335450610141</v>
      </c>
      <c r="E2656" t="s">
        <v>94</v>
      </c>
      <c r="F2656">
        <v>606</v>
      </c>
      <c r="G2656" s="4">
        <v>46087.599236111113</v>
      </c>
    </row>
    <row r="2657" spans="1:7" x14ac:dyDescent="0.3">
      <c r="A2657">
        <v>6235</v>
      </c>
      <c r="B2657" t="s">
        <v>147</v>
      </c>
      <c r="C2657">
        <v>51056027</v>
      </c>
      <c r="D2657">
        <v>92.486264048019308</v>
      </c>
      <c r="E2657" t="s">
        <v>92</v>
      </c>
      <c r="F2657">
        <v>95</v>
      </c>
      <c r="G2657" s="4">
        <v>46087.599236111113</v>
      </c>
    </row>
    <row r="2658" spans="1:7" x14ac:dyDescent="0.3">
      <c r="A2658">
        <v>6236</v>
      </c>
      <c r="B2658" t="s">
        <v>147</v>
      </c>
      <c r="C2658">
        <v>51054911</v>
      </c>
      <c r="D2658">
        <v>84.17620530916335</v>
      </c>
      <c r="E2658" t="s">
        <v>93</v>
      </c>
      <c r="F2658">
        <v>313</v>
      </c>
      <c r="G2658" s="4">
        <v>46087.599236111113</v>
      </c>
    </row>
    <row r="2659" spans="1:7" x14ac:dyDescent="0.3">
      <c r="A2659">
        <v>6237</v>
      </c>
      <c r="B2659" t="s">
        <v>147</v>
      </c>
      <c r="C2659">
        <v>51030605</v>
      </c>
      <c r="D2659">
        <v>55.497767245770426</v>
      </c>
      <c r="E2659" t="s">
        <v>94</v>
      </c>
      <c r="F2659">
        <v>709</v>
      </c>
      <c r="G2659" s="4">
        <v>46087.599236111113</v>
      </c>
    </row>
    <row r="2660" spans="1:7" x14ac:dyDescent="0.3">
      <c r="A2660">
        <v>6238</v>
      </c>
      <c r="B2660" t="s">
        <v>147</v>
      </c>
      <c r="C2660">
        <v>51044487</v>
      </c>
      <c r="D2660">
        <v>90.376115060005759</v>
      </c>
      <c r="E2660" t="s">
        <v>92</v>
      </c>
      <c r="F2660">
        <v>129</v>
      </c>
      <c r="G2660" s="4">
        <v>46087.599236111113</v>
      </c>
    </row>
    <row r="2661" spans="1:7" x14ac:dyDescent="0.3">
      <c r="A2661">
        <v>6239</v>
      </c>
      <c r="B2661" t="s">
        <v>147</v>
      </c>
      <c r="C2661">
        <v>51035674</v>
      </c>
      <c r="D2661">
        <v>97.545411540232166</v>
      </c>
      <c r="E2661" t="s">
        <v>275</v>
      </c>
      <c r="F2661">
        <v>41</v>
      </c>
      <c r="G2661" s="4">
        <v>46087.599236111113</v>
      </c>
    </row>
    <row r="2662" spans="1:7" x14ac:dyDescent="0.3">
      <c r="A2662">
        <v>6240</v>
      </c>
      <c r="B2662" t="s">
        <v>147</v>
      </c>
      <c r="C2662">
        <v>51055128</v>
      </c>
      <c r="D2662">
        <v>94.877553917397591</v>
      </c>
      <c r="E2662" t="s">
        <v>92</v>
      </c>
      <c r="F2662">
        <v>71</v>
      </c>
      <c r="G2662" s="4">
        <v>46087.599236111113</v>
      </c>
    </row>
    <row r="2663" spans="1:7" x14ac:dyDescent="0.3">
      <c r="A2663">
        <v>6241</v>
      </c>
      <c r="B2663" t="s">
        <v>147</v>
      </c>
      <c r="C2663">
        <v>51011546</v>
      </c>
      <c r="D2663">
        <v>100</v>
      </c>
      <c r="E2663" t="s">
        <v>275</v>
      </c>
      <c r="F2663">
        <v>1</v>
      </c>
      <c r="G2663" s="4">
        <v>46087.599236111113</v>
      </c>
    </row>
    <row r="2664" spans="1:7" x14ac:dyDescent="0.3">
      <c r="A2664">
        <v>6242</v>
      </c>
      <c r="B2664" t="s">
        <v>147</v>
      </c>
      <c r="C2664">
        <v>51031482</v>
      </c>
      <c r="D2664">
        <v>93.376848834692524</v>
      </c>
      <c r="E2664" t="s">
        <v>92</v>
      </c>
      <c r="F2664">
        <v>86</v>
      </c>
      <c r="G2664" s="4">
        <v>46087.599236111113</v>
      </c>
    </row>
    <row r="2665" spans="1:7" x14ac:dyDescent="0.3">
      <c r="A2665">
        <v>6243</v>
      </c>
      <c r="B2665" t="s">
        <v>147</v>
      </c>
      <c r="C2665">
        <v>51030109</v>
      </c>
      <c r="D2665">
        <v>27.487126860062848</v>
      </c>
      <c r="E2665" t="s">
        <v>94</v>
      </c>
      <c r="F2665">
        <v>893</v>
      </c>
      <c r="G2665" s="4">
        <v>46087.599236111113</v>
      </c>
    </row>
    <row r="2666" spans="1:7" x14ac:dyDescent="0.3">
      <c r="A2666">
        <v>6244</v>
      </c>
      <c r="B2666" t="s">
        <v>147</v>
      </c>
      <c r="C2666">
        <v>51022009</v>
      </c>
      <c r="D2666">
        <v>87.919679951030687</v>
      </c>
      <c r="E2666" t="s">
        <v>92</v>
      </c>
      <c r="F2666">
        <v>201</v>
      </c>
      <c r="G2666" s="4">
        <v>46087.599236111113</v>
      </c>
    </row>
    <row r="2667" spans="1:7" x14ac:dyDescent="0.3">
      <c r="A2667">
        <v>6245</v>
      </c>
      <c r="B2667" t="s">
        <v>147</v>
      </c>
      <c r="C2667">
        <v>51015932</v>
      </c>
      <c r="D2667">
        <v>80.625404772543973</v>
      </c>
      <c r="E2667" t="s">
        <v>93</v>
      </c>
      <c r="F2667">
        <v>426</v>
      </c>
      <c r="G2667" s="4">
        <v>46087.599236111113</v>
      </c>
    </row>
    <row r="2668" spans="1:7" x14ac:dyDescent="0.3">
      <c r="A2668">
        <v>6246</v>
      </c>
      <c r="B2668" t="s">
        <v>147</v>
      </c>
      <c r="C2668">
        <v>51030028</v>
      </c>
      <c r="D2668">
        <v>60.085599532918337</v>
      </c>
      <c r="E2668" t="s">
        <v>94</v>
      </c>
      <c r="F2668">
        <v>620</v>
      </c>
      <c r="G2668" s="4">
        <v>46087.599236111113</v>
      </c>
    </row>
    <row r="2669" spans="1:7" x14ac:dyDescent="0.3">
      <c r="A2669">
        <v>6247</v>
      </c>
      <c r="B2669" t="s">
        <v>147</v>
      </c>
      <c r="C2669">
        <v>51030257</v>
      </c>
      <c r="D2669">
        <v>27.101406437063901</v>
      </c>
      <c r="E2669" t="s">
        <v>94</v>
      </c>
      <c r="F2669">
        <v>899</v>
      </c>
      <c r="G2669" s="4">
        <v>46087.599236111113</v>
      </c>
    </row>
    <row r="2670" spans="1:7" x14ac:dyDescent="0.3">
      <c r="A2670">
        <v>6248</v>
      </c>
      <c r="B2670" t="s">
        <v>147</v>
      </c>
      <c r="C2670">
        <v>51055489</v>
      </c>
      <c r="D2670">
        <v>62.469012145297633</v>
      </c>
      <c r="E2670" t="s">
        <v>93</v>
      </c>
      <c r="F2670">
        <v>569</v>
      </c>
      <c r="G2670" s="4">
        <v>46087.599236111113</v>
      </c>
    </row>
    <row r="2671" spans="1:7" x14ac:dyDescent="0.3">
      <c r="A2671">
        <v>6249</v>
      </c>
      <c r="B2671" t="s">
        <v>147</v>
      </c>
      <c r="C2671">
        <v>51019423</v>
      </c>
      <c r="D2671">
        <v>59.580121864573471</v>
      </c>
      <c r="E2671" t="s">
        <v>94</v>
      </c>
      <c r="F2671">
        <v>629</v>
      </c>
      <c r="G2671" s="4">
        <v>46087.599236111113</v>
      </c>
    </row>
    <row r="2672" spans="1:7" x14ac:dyDescent="0.3">
      <c r="A2672">
        <v>6250</v>
      </c>
      <c r="B2672" t="s">
        <v>147</v>
      </c>
      <c r="C2672">
        <v>51000811</v>
      </c>
      <c r="D2672">
        <v>80.084110464039668</v>
      </c>
      <c r="E2672" t="s">
        <v>93</v>
      </c>
      <c r="F2672">
        <v>438</v>
      </c>
      <c r="G2672" s="4">
        <v>46087.599236111113</v>
      </c>
    </row>
    <row r="2673" spans="1:7" x14ac:dyDescent="0.3">
      <c r="A2673">
        <v>6251</v>
      </c>
      <c r="B2673" t="s">
        <v>147</v>
      </c>
      <c r="C2673">
        <v>51057040</v>
      </c>
      <c r="D2673">
        <v>82.835577050058802</v>
      </c>
      <c r="E2673" t="s">
        <v>93</v>
      </c>
      <c r="F2673">
        <v>362</v>
      </c>
      <c r="G2673" s="4">
        <v>46087.599236111113</v>
      </c>
    </row>
    <row r="2674" spans="1:7" x14ac:dyDescent="0.3">
      <c r="A2674">
        <v>6252</v>
      </c>
      <c r="B2674" t="s">
        <v>147</v>
      </c>
      <c r="C2674">
        <v>51055101</v>
      </c>
      <c r="D2674">
        <v>77.162187293132817</v>
      </c>
      <c r="E2674" t="s">
        <v>93</v>
      </c>
      <c r="F2674">
        <v>456</v>
      </c>
      <c r="G2674" s="4">
        <v>46087.599236111113</v>
      </c>
    </row>
    <row r="2675" spans="1:7" x14ac:dyDescent="0.3">
      <c r="A2675">
        <v>6253</v>
      </c>
      <c r="B2675" t="s">
        <v>147</v>
      </c>
      <c r="C2675">
        <v>51016386</v>
      </c>
      <c r="D2675">
        <v>69.001738273833524</v>
      </c>
      <c r="E2675" t="s">
        <v>93</v>
      </c>
      <c r="F2675">
        <v>519</v>
      </c>
      <c r="G2675" s="4">
        <v>46087.599236111113</v>
      </c>
    </row>
    <row r="2676" spans="1:7" x14ac:dyDescent="0.3">
      <c r="A2676">
        <v>6254</v>
      </c>
      <c r="B2676" t="s">
        <v>147</v>
      </c>
      <c r="C2676">
        <v>51003594</v>
      </c>
      <c r="D2676">
        <v>91.529993455248629</v>
      </c>
      <c r="E2676" t="s">
        <v>92</v>
      </c>
      <c r="F2676">
        <v>110</v>
      </c>
      <c r="G2676" s="4">
        <v>46087.599236111113</v>
      </c>
    </row>
    <row r="2677" spans="1:7" x14ac:dyDescent="0.3">
      <c r="A2677">
        <v>6255</v>
      </c>
      <c r="B2677" t="s">
        <v>147</v>
      </c>
      <c r="C2677">
        <v>51030923</v>
      </c>
      <c r="D2677">
        <v>78.701323443626933</v>
      </c>
      <c r="E2677" t="s">
        <v>93</v>
      </c>
      <c r="F2677">
        <v>451</v>
      </c>
      <c r="G2677" s="4">
        <v>46087.599236111113</v>
      </c>
    </row>
    <row r="2678" spans="1:7" x14ac:dyDescent="0.3">
      <c r="A2678">
        <v>6256</v>
      </c>
      <c r="B2678" t="s">
        <v>147</v>
      </c>
      <c r="C2678">
        <v>51043197</v>
      </c>
      <c r="D2678">
        <v>76.120583663471578</v>
      </c>
      <c r="E2678" t="s">
        <v>93</v>
      </c>
      <c r="F2678">
        <v>463</v>
      </c>
      <c r="G2678" s="4">
        <v>46087.599236111113</v>
      </c>
    </row>
    <row r="2679" spans="1:7" x14ac:dyDescent="0.3">
      <c r="A2679">
        <v>6257</v>
      </c>
      <c r="B2679" t="s">
        <v>147</v>
      </c>
      <c r="C2679">
        <v>51022823</v>
      </c>
      <c r="D2679">
        <v>41.087173808055226</v>
      </c>
      <c r="E2679" t="s">
        <v>94</v>
      </c>
      <c r="F2679">
        <v>782</v>
      </c>
      <c r="G2679" s="4">
        <v>46087.599236111113</v>
      </c>
    </row>
    <row r="2680" spans="1:7" x14ac:dyDescent="0.3">
      <c r="A2680">
        <v>6258</v>
      </c>
      <c r="B2680" t="s">
        <v>147</v>
      </c>
      <c r="C2680">
        <v>51056060</v>
      </c>
      <c r="D2680">
        <v>88.199011165773285</v>
      </c>
      <c r="E2680" t="s">
        <v>92</v>
      </c>
      <c r="F2680">
        <v>192</v>
      </c>
      <c r="G2680" s="4">
        <v>46087.599236111113</v>
      </c>
    </row>
    <row r="2681" spans="1:7" x14ac:dyDescent="0.3">
      <c r="A2681">
        <v>6259</v>
      </c>
      <c r="B2681" t="s">
        <v>147</v>
      </c>
      <c r="C2681">
        <v>51024419</v>
      </c>
      <c r="D2681">
        <v>61.973244925073068</v>
      </c>
      <c r="E2681" t="s">
        <v>93</v>
      </c>
      <c r="F2681">
        <v>579</v>
      </c>
      <c r="G2681" s="4">
        <v>46087.599236111113</v>
      </c>
    </row>
    <row r="2682" spans="1:7" x14ac:dyDescent="0.3">
      <c r="A2682">
        <v>6260</v>
      </c>
      <c r="B2682" t="s">
        <v>147</v>
      </c>
      <c r="C2682">
        <v>51025326</v>
      </c>
      <c r="D2682">
        <v>93.499480113594444</v>
      </c>
      <c r="E2682" t="s">
        <v>92</v>
      </c>
      <c r="F2682">
        <v>85</v>
      </c>
      <c r="G2682" s="4">
        <v>46087.599236111113</v>
      </c>
    </row>
    <row r="2683" spans="1:7" x14ac:dyDescent="0.3">
      <c r="A2683">
        <v>6261</v>
      </c>
      <c r="B2683" t="s">
        <v>147</v>
      </c>
      <c r="C2683">
        <v>51020014</v>
      </c>
      <c r="D2683">
        <v>82.503294338574747</v>
      </c>
      <c r="E2683" t="s">
        <v>93</v>
      </c>
      <c r="F2683">
        <v>373</v>
      </c>
      <c r="G2683" s="4">
        <v>46087.599236111113</v>
      </c>
    </row>
    <row r="2684" spans="1:7" x14ac:dyDescent="0.3">
      <c r="A2684">
        <v>6262</v>
      </c>
      <c r="B2684" t="s">
        <v>147</v>
      </c>
      <c r="C2684">
        <v>51055951</v>
      </c>
      <c r="D2684">
        <v>55.19332681499192</v>
      </c>
      <c r="E2684" t="s">
        <v>94</v>
      </c>
      <c r="F2684">
        <v>714</v>
      </c>
      <c r="G2684" s="4">
        <v>46087.599236111113</v>
      </c>
    </row>
    <row r="2685" spans="1:7" x14ac:dyDescent="0.3">
      <c r="A2685">
        <v>6263</v>
      </c>
      <c r="B2685" t="s">
        <v>147</v>
      </c>
      <c r="C2685">
        <v>51016882</v>
      </c>
      <c r="D2685">
        <v>66.848198885471461</v>
      </c>
      <c r="E2685" t="s">
        <v>93</v>
      </c>
      <c r="F2685">
        <v>538</v>
      </c>
      <c r="G2685" s="4">
        <v>46087.599236111113</v>
      </c>
    </row>
    <row r="2686" spans="1:7" x14ac:dyDescent="0.3">
      <c r="A2686">
        <v>6264</v>
      </c>
      <c r="B2686" t="s">
        <v>147</v>
      </c>
      <c r="C2686">
        <v>51043405</v>
      </c>
      <c r="D2686">
        <v>88.057598318495039</v>
      </c>
      <c r="E2686" t="s">
        <v>92</v>
      </c>
      <c r="F2686">
        <v>196</v>
      </c>
      <c r="G2686" s="4">
        <v>46087.599236111113</v>
      </c>
    </row>
    <row r="2687" spans="1:7" x14ac:dyDescent="0.3">
      <c r="A2687">
        <v>6265</v>
      </c>
      <c r="B2687" t="s">
        <v>147</v>
      </c>
      <c r="C2687">
        <v>51008987</v>
      </c>
      <c r="D2687">
        <v>86.672894030303311</v>
      </c>
      <c r="E2687" t="s">
        <v>92</v>
      </c>
      <c r="F2687">
        <v>234</v>
      </c>
      <c r="G2687" s="4">
        <v>46087.599236111113</v>
      </c>
    </row>
    <row r="2688" spans="1:7" x14ac:dyDescent="0.3">
      <c r="A2688">
        <v>6266</v>
      </c>
      <c r="B2688" t="s">
        <v>147</v>
      </c>
      <c r="C2688">
        <v>51021088</v>
      </c>
      <c r="D2688">
        <v>96.274302041754424</v>
      </c>
      <c r="E2688" t="s">
        <v>275</v>
      </c>
      <c r="F2688">
        <v>57</v>
      </c>
      <c r="G2688" s="4">
        <v>46087.599236111113</v>
      </c>
    </row>
    <row r="2689" spans="1:7" x14ac:dyDescent="0.3">
      <c r="A2689">
        <v>6267</v>
      </c>
      <c r="B2689" t="s">
        <v>147</v>
      </c>
      <c r="C2689">
        <v>51001702</v>
      </c>
      <c r="D2689">
        <v>87.48522995909471</v>
      </c>
      <c r="E2689" t="s">
        <v>92</v>
      </c>
      <c r="F2689">
        <v>212</v>
      </c>
      <c r="G2689" s="4">
        <v>46087.599236111113</v>
      </c>
    </row>
    <row r="2690" spans="1:7" x14ac:dyDescent="0.3">
      <c r="A2690">
        <v>6268</v>
      </c>
      <c r="B2690" t="s">
        <v>147</v>
      </c>
      <c r="C2690">
        <v>51003730</v>
      </c>
      <c r="D2690">
        <v>82.610145881729593</v>
      </c>
      <c r="E2690" t="s">
        <v>93</v>
      </c>
      <c r="F2690">
        <v>370</v>
      </c>
      <c r="G2690" s="4">
        <v>46087.599236111113</v>
      </c>
    </row>
    <row r="2691" spans="1:7" x14ac:dyDescent="0.3">
      <c r="A2691">
        <v>6269</v>
      </c>
      <c r="B2691" t="s">
        <v>147</v>
      </c>
      <c r="C2691">
        <v>51012348</v>
      </c>
      <c r="D2691">
        <v>84.658489568126356</v>
      </c>
      <c r="E2691" t="s">
        <v>93</v>
      </c>
      <c r="F2691">
        <v>294</v>
      </c>
      <c r="G2691" s="4">
        <v>46087.599236111113</v>
      </c>
    </row>
    <row r="2692" spans="1:7" x14ac:dyDescent="0.3">
      <c r="A2692">
        <v>6270</v>
      </c>
      <c r="B2692" t="s">
        <v>147</v>
      </c>
      <c r="C2692">
        <v>51031563</v>
      </c>
      <c r="D2692">
        <v>83.15226220515946</v>
      </c>
      <c r="E2692" t="s">
        <v>93</v>
      </c>
      <c r="F2692">
        <v>348</v>
      </c>
      <c r="G2692" s="4">
        <v>46087.599236111113</v>
      </c>
    </row>
    <row r="2693" spans="1:7" x14ac:dyDescent="0.3">
      <c r="A2693">
        <v>6271</v>
      </c>
      <c r="B2693" t="s">
        <v>147</v>
      </c>
      <c r="C2693">
        <v>51055080</v>
      </c>
      <c r="D2693">
        <v>80.1827928506615</v>
      </c>
      <c r="E2693" t="s">
        <v>93</v>
      </c>
      <c r="F2693">
        <v>434</v>
      </c>
      <c r="G2693" s="4">
        <v>46087.599236111113</v>
      </c>
    </row>
    <row r="2694" spans="1:7" x14ac:dyDescent="0.3">
      <c r="A2694">
        <v>6272</v>
      </c>
      <c r="B2694" t="s">
        <v>147</v>
      </c>
      <c r="C2694">
        <v>51018672</v>
      </c>
      <c r="D2694">
        <v>59.281485229808503</v>
      </c>
      <c r="E2694" t="s">
        <v>94</v>
      </c>
      <c r="F2694">
        <v>633</v>
      </c>
      <c r="G2694" s="4">
        <v>46087.599236111113</v>
      </c>
    </row>
    <row r="2695" spans="1:7" x14ac:dyDescent="0.3">
      <c r="A2695">
        <v>6273</v>
      </c>
      <c r="B2695" t="s">
        <v>147</v>
      </c>
      <c r="C2695">
        <v>51019130</v>
      </c>
      <c r="D2695">
        <v>85.086468282335559</v>
      </c>
      <c r="E2695" t="s">
        <v>93</v>
      </c>
      <c r="F2695">
        <v>281</v>
      </c>
      <c r="G2695" s="4">
        <v>46087.599236111113</v>
      </c>
    </row>
    <row r="2696" spans="1:7" x14ac:dyDescent="0.3">
      <c r="A2696">
        <v>6274</v>
      </c>
      <c r="B2696" t="s">
        <v>147</v>
      </c>
      <c r="C2696">
        <v>51036255</v>
      </c>
      <c r="D2696">
        <v>65.83087451211955</v>
      </c>
      <c r="E2696" t="s">
        <v>93</v>
      </c>
      <c r="F2696">
        <v>542</v>
      </c>
      <c r="G2696" s="4">
        <v>46087.599236111113</v>
      </c>
    </row>
    <row r="2697" spans="1:7" x14ac:dyDescent="0.3">
      <c r="A2697">
        <v>6275</v>
      </c>
      <c r="B2697" t="s">
        <v>147</v>
      </c>
      <c r="C2697">
        <v>51056809</v>
      </c>
      <c r="D2697">
        <v>56.867942065102696</v>
      </c>
      <c r="E2697" t="s">
        <v>94</v>
      </c>
      <c r="F2697">
        <v>686</v>
      </c>
      <c r="G2697" s="4">
        <v>46087.599236111113</v>
      </c>
    </row>
    <row r="2698" spans="1:7" x14ac:dyDescent="0.3">
      <c r="A2698">
        <v>6276</v>
      </c>
      <c r="B2698" t="s">
        <v>147</v>
      </c>
      <c r="C2698">
        <v>51018699</v>
      </c>
      <c r="D2698">
        <v>84.548883514625516</v>
      </c>
      <c r="E2698" t="s">
        <v>93</v>
      </c>
      <c r="F2698">
        <v>298</v>
      </c>
      <c r="G2698" s="4">
        <v>46087.599236111113</v>
      </c>
    </row>
    <row r="2699" spans="1:7" x14ac:dyDescent="0.3">
      <c r="A2699">
        <v>6277</v>
      </c>
      <c r="B2699" t="s">
        <v>147</v>
      </c>
      <c r="C2699">
        <v>51010019</v>
      </c>
      <c r="D2699">
        <v>79.893985908985428</v>
      </c>
      <c r="E2699" t="s">
        <v>93</v>
      </c>
      <c r="F2699">
        <v>442</v>
      </c>
      <c r="G2699" s="4">
        <v>46087.599236111113</v>
      </c>
    </row>
    <row r="2700" spans="1:7" x14ac:dyDescent="0.3">
      <c r="A2700">
        <v>6278</v>
      </c>
      <c r="B2700" t="s">
        <v>147</v>
      </c>
      <c r="C2700">
        <v>51010647</v>
      </c>
      <c r="D2700">
        <v>80.786106309812808</v>
      </c>
      <c r="E2700" t="s">
        <v>93</v>
      </c>
      <c r="F2700">
        <v>420</v>
      </c>
      <c r="G2700" s="4">
        <v>46087.599236111113</v>
      </c>
    </row>
    <row r="2701" spans="1:7" x14ac:dyDescent="0.3">
      <c r="A2701">
        <v>6279</v>
      </c>
      <c r="B2701" t="s">
        <v>147</v>
      </c>
      <c r="C2701">
        <v>51054881</v>
      </c>
      <c r="D2701">
        <v>56.066424355824374</v>
      </c>
      <c r="E2701" t="s">
        <v>94</v>
      </c>
      <c r="F2701">
        <v>700</v>
      </c>
      <c r="G2701" s="4">
        <v>46087.599236111113</v>
      </c>
    </row>
    <row r="2702" spans="1:7" x14ac:dyDescent="0.3">
      <c r="A2702">
        <v>6280</v>
      </c>
      <c r="B2702" t="s">
        <v>147</v>
      </c>
      <c r="C2702">
        <v>51019091</v>
      </c>
      <c r="D2702">
        <v>19.332193617659225</v>
      </c>
      <c r="E2702" t="s">
        <v>95</v>
      </c>
      <c r="F2702">
        <v>991</v>
      </c>
      <c r="G2702" s="4">
        <v>46087.599236111113</v>
      </c>
    </row>
    <row r="2703" spans="1:7" x14ac:dyDescent="0.3">
      <c r="A2703">
        <v>6281</v>
      </c>
      <c r="B2703" t="s">
        <v>147</v>
      </c>
      <c r="C2703">
        <v>51018931</v>
      </c>
      <c r="D2703">
        <v>83.203468585825476</v>
      </c>
      <c r="E2703" t="s">
        <v>93</v>
      </c>
      <c r="F2703">
        <v>342</v>
      </c>
      <c r="G2703" s="4">
        <v>46087.599236111113</v>
      </c>
    </row>
    <row r="2704" spans="1:7" x14ac:dyDescent="0.3">
      <c r="A2704">
        <v>6282</v>
      </c>
      <c r="B2704" t="s">
        <v>147</v>
      </c>
      <c r="C2704">
        <v>51057015</v>
      </c>
      <c r="D2704">
        <v>93.878395186173947</v>
      </c>
      <c r="E2704" t="s">
        <v>92</v>
      </c>
      <c r="F2704">
        <v>78</v>
      </c>
      <c r="G2704" s="4">
        <v>46087.599236111113</v>
      </c>
    </row>
    <row r="2705" spans="1:7" x14ac:dyDescent="0.3">
      <c r="A2705">
        <v>6283</v>
      </c>
      <c r="B2705" t="s">
        <v>147</v>
      </c>
      <c r="C2705">
        <v>51023421</v>
      </c>
      <c r="D2705">
        <v>84.997713680227378</v>
      </c>
      <c r="E2705" t="s">
        <v>93</v>
      </c>
      <c r="F2705">
        <v>285</v>
      </c>
      <c r="G2705" s="4">
        <v>46087.599236111113</v>
      </c>
    </row>
    <row r="2706" spans="1:7" x14ac:dyDescent="0.3">
      <c r="A2706">
        <v>6284</v>
      </c>
      <c r="B2706" t="s">
        <v>147</v>
      </c>
      <c r="C2706">
        <v>51012305</v>
      </c>
      <c r="D2706">
        <v>71.80527014594486</v>
      </c>
      <c r="E2706" t="s">
        <v>93</v>
      </c>
      <c r="F2706">
        <v>500</v>
      </c>
      <c r="G2706" s="4">
        <v>46087.599236111113</v>
      </c>
    </row>
    <row r="2707" spans="1:7" x14ac:dyDescent="0.3">
      <c r="A2707">
        <v>6285</v>
      </c>
      <c r="B2707" t="s">
        <v>147</v>
      </c>
      <c r="C2707">
        <v>51014219</v>
      </c>
      <c r="D2707">
        <v>100</v>
      </c>
      <c r="E2707" t="s">
        <v>275</v>
      </c>
      <c r="F2707">
        <v>1</v>
      </c>
      <c r="G2707" s="4">
        <v>46087.599236111113</v>
      </c>
    </row>
    <row r="2708" spans="1:7" x14ac:dyDescent="0.3">
      <c r="A2708">
        <v>6286</v>
      </c>
      <c r="B2708" t="s">
        <v>147</v>
      </c>
      <c r="C2708">
        <v>51030753</v>
      </c>
      <c r="D2708">
        <v>96.516015844941791</v>
      </c>
      <c r="E2708" t="s">
        <v>275</v>
      </c>
      <c r="F2708">
        <v>52</v>
      </c>
      <c r="G2708" s="4">
        <v>46087.599236111113</v>
      </c>
    </row>
    <row r="2709" spans="1:7" x14ac:dyDescent="0.3">
      <c r="A2709">
        <v>6287</v>
      </c>
      <c r="B2709" t="s">
        <v>147</v>
      </c>
      <c r="C2709">
        <v>51042336</v>
      </c>
      <c r="D2709">
        <v>60.906106442535929</v>
      </c>
      <c r="E2709" t="s">
        <v>94</v>
      </c>
      <c r="F2709">
        <v>599</v>
      </c>
      <c r="G2709" s="4">
        <v>46087.599236111113</v>
      </c>
    </row>
    <row r="2710" spans="1:7" x14ac:dyDescent="0.3">
      <c r="A2710">
        <v>6288</v>
      </c>
      <c r="B2710" t="s">
        <v>147</v>
      </c>
      <c r="C2710">
        <v>51023790</v>
      </c>
      <c r="D2710">
        <v>81.016388522218364</v>
      </c>
      <c r="E2710" t="s">
        <v>93</v>
      </c>
      <c r="F2710">
        <v>415</v>
      </c>
      <c r="G2710" s="4">
        <v>46087.599236111113</v>
      </c>
    </row>
    <row r="2711" spans="1:7" x14ac:dyDescent="0.3">
      <c r="A2711">
        <v>6289</v>
      </c>
      <c r="B2711" t="s">
        <v>147</v>
      </c>
      <c r="C2711">
        <v>51022378</v>
      </c>
      <c r="D2711">
        <v>25.279352093706915</v>
      </c>
      <c r="E2711" t="s">
        <v>94</v>
      </c>
      <c r="F2711">
        <v>912</v>
      </c>
      <c r="G2711" s="4">
        <v>46087.599236111113</v>
      </c>
    </row>
    <row r="2712" spans="1:7" x14ac:dyDescent="0.3">
      <c r="A2712">
        <v>6290</v>
      </c>
      <c r="B2712" t="s">
        <v>147</v>
      </c>
      <c r="C2712">
        <v>51052072</v>
      </c>
      <c r="D2712">
        <v>23.346660015961099</v>
      </c>
      <c r="E2712" t="s">
        <v>94</v>
      </c>
      <c r="F2712">
        <v>929</v>
      </c>
      <c r="G2712" s="4">
        <v>46087.599236111113</v>
      </c>
    </row>
    <row r="2713" spans="1:7" x14ac:dyDescent="0.3">
      <c r="A2713">
        <v>6291</v>
      </c>
      <c r="B2713" t="s">
        <v>147</v>
      </c>
      <c r="C2713">
        <v>51031946</v>
      </c>
      <c r="D2713">
        <v>84.851225194806446</v>
      </c>
      <c r="E2713" t="s">
        <v>93</v>
      </c>
      <c r="F2713">
        <v>289</v>
      </c>
      <c r="G2713" s="4">
        <v>46087.599236111113</v>
      </c>
    </row>
    <row r="2714" spans="1:7" x14ac:dyDescent="0.3">
      <c r="A2714">
        <v>6292</v>
      </c>
      <c r="B2714" t="s">
        <v>147</v>
      </c>
      <c r="C2714">
        <v>51010752</v>
      </c>
      <c r="D2714">
        <v>30.106967971953289</v>
      </c>
      <c r="E2714" t="s">
        <v>94</v>
      </c>
      <c r="F2714">
        <v>862</v>
      </c>
      <c r="G2714" s="4">
        <v>46087.599236111113</v>
      </c>
    </row>
    <row r="2715" spans="1:7" x14ac:dyDescent="0.3">
      <c r="A2715">
        <v>6293</v>
      </c>
      <c r="B2715" t="s">
        <v>147</v>
      </c>
      <c r="C2715">
        <v>51055594</v>
      </c>
      <c r="D2715">
        <v>82.832307086279371</v>
      </c>
      <c r="E2715" t="s">
        <v>93</v>
      </c>
      <c r="F2715">
        <v>363</v>
      </c>
      <c r="G2715" s="4">
        <v>46087.599236111113</v>
      </c>
    </row>
    <row r="2716" spans="1:7" x14ac:dyDescent="0.3">
      <c r="A2716">
        <v>6294</v>
      </c>
      <c r="B2716" t="s">
        <v>147</v>
      </c>
      <c r="C2716">
        <v>51041585</v>
      </c>
      <c r="D2716">
        <v>94.473394668201252</v>
      </c>
      <c r="E2716" t="s">
        <v>92</v>
      </c>
      <c r="F2716">
        <v>73</v>
      </c>
      <c r="G2716" s="4">
        <v>46087.599236111113</v>
      </c>
    </row>
    <row r="2717" spans="1:7" x14ac:dyDescent="0.3">
      <c r="A2717">
        <v>6295</v>
      </c>
      <c r="B2717" t="s">
        <v>147</v>
      </c>
      <c r="C2717">
        <v>51017455</v>
      </c>
      <c r="D2717">
        <v>98.868378078646231</v>
      </c>
      <c r="E2717" t="s">
        <v>275</v>
      </c>
      <c r="F2717">
        <v>25</v>
      </c>
      <c r="G2717" s="4">
        <v>46087.599236111113</v>
      </c>
    </row>
    <row r="2718" spans="1:7" x14ac:dyDescent="0.3">
      <c r="A2718">
        <v>6296</v>
      </c>
      <c r="B2718" t="s">
        <v>147</v>
      </c>
      <c r="C2718">
        <v>51033345</v>
      </c>
      <c r="D2718">
        <v>50.65069731916077</v>
      </c>
      <c r="E2718" t="s">
        <v>94</v>
      </c>
      <c r="F2718">
        <v>736</v>
      </c>
      <c r="G2718" s="4">
        <v>46087.599236111113</v>
      </c>
    </row>
    <row r="2719" spans="1:7" x14ac:dyDescent="0.3">
      <c r="A2719">
        <v>6297</v>
      </c>
      <c r="B2719" t="s">
        <v>147</v>
      </c>
      <c r="C2719">
        <v>51012399</v>
      </c>
      <c r="D2719">
        <v>79.648650435739683</v>
      </c>
      <c r="E2719" t="s">
        <v>93</v>
      </c>
      <c r="F2719">
        <v>444</v>
      </c>
      <c r="G2719" s="4">
        <v>46087.599236111113</v>
      </c>
    </row>
    <row r="2720" spans="1:7" x14ac:dyDescent="0.3">
      <c r="A2720">
        <v>6298</v>
      </c>
      <c r="B2720" t="s">
        <v>147</v>
      </c>
      <c r="C2720">
        <v>51034236</v>
      </c>
      <c r="D2720">
        <v>82.791250104955111</v>
      </c>
      <c r="E2720" t="s">
        <v>93</v>
      </c>
      <c r="F2720">
        <v>364</v>
      </c>
      <c r="G2720" s="4">
        <v>46087.599236111113</v>
      </c>
    </row>
    <row r="2721" spans="1:7" x14ac:dyDescent="0.3">
      <c r="A2721">
        <v>6299</v>
      </c>
      <c r="B2721" t="s">
        <v>147</v>
      </c>
      <c r="C2721">
        <v>51012941</v>
      </c>
      <c r="D2721">
        <v>100</v>
      </c>
      <c r="E2721" t="s">
        <v>275</v>
      </c>
      <c r="F2721">
        <v>1</v>
      </c>
      <c r="G2721" s="4">
        <v>46087.599236111113</v>
      </c>
    </row>
    <row r="2722" spans="1:7" x14ac:dyDescent="0.3">
      <c r="A2722">
        <v>6300</v>
      </c>
      <c r="B2722" t="s">
        <v>147</v>
      </c>
      <c r="C2722">
        <v>51011694</v>
      </c>
      <c r="D2722">
        <v>33.220927361368268</v>
      </c>
      <c r="E2722" t="s">
        <v>94</v>
      </c>
      <c r="F2722">
        <v>820</v>
      </c>
      <c r="G2722" s="4">
        <v>46087.599236111113</v>
      </c>
    </row>
    <row r="2723" spans="1:7" x14ac:dyDescent="0.3">
      <c r="A2723">
        <v>6301</v>
      </c>
      <c r="B2723" t="s">
        <v>147</v>
      </c>
      <c r="C2723">
        <v>51020197</v>
      </c>
      <c r="D2723">
        <v>87.513383757557122</v>
      </c>
      <c r="E2723" t="s">
        <v>92</v>
      </c>
      <c r="F2723">
        <v>211</v>
      </c>
      <c r="G2723" s="4">
        <v>46087.599236111113</v>
      </c>
    </row>
    <row r="2724" spans="1:7" x14ac:dyDescent="0.3">
      <c r="A2724">
        <v>6302</v>
      </c>
      <c r="B2724" t="s">
        <v>147</v>
      </c>
      <c r="C2724">
        <v>51003284</v>
      </c>
      <c r="D2724">
        <v>94.032648437230222</v>
      </c>
      <c r="E2724" t="s">
        <v>92</v>
      </c>
      <c r="F2724">
        <v>76</v>
      </c>
      <c r="G2724" s="4">
        <v>46087.599236111113</v>
      </c>
    </row>
    <row r="2725" spans="1:7" x14ac:dyDescent="0.3">
      <c r="A2725">
        <v>6303</v>
      </c>
      <c r="B2725" t="s">
        <v>147</v>
      </c>
      <c r="C2725">
        <v>51025342</v>
      </c>
      <c r="D2725">
        <v>32.126610725672315</v>
      </c>
      <c r="E2725" t="s">
        <v>94</v>
      </c>
      <c r="F2725">
        <v>836</v>
      </c>
      <c r="G2725" s="4">
        <v>46087.599236111113</v>
      </c>
    </row>
    <row r="2726" spans="1:7" x14ac:dyDescent="0.3">
      <c r="A2726">
        <v>6304</v>
      </c>
      <c r="B2726" t="s">
        <v>147</v>
      </c>
      <c r="C2726">
        <v>51030389</v>
      </c>
      <c r="D2726">
        <v>95.147793835683601</v>
      </c>
      <c r="E2726" t="s">
        <v>92</v>
      </c>
      <c r="F2726">
        <v>69</v>
      </c>
      <c r="G2726" s="4">
        <v>46087.599236111113</v>
      </c>
    </row>
    <row r="2727" spans="1:7" x14ac:dyDescent="0.3">
      <c r="A2727">
        <v>6305</v>
      </c>
      <c r="B2727" t="s">
        <v>147</v>
      </c>
      <c r="C2727">
        <v>51013581</v>
      </c>
      <c r="D2727">
        <v>56.657839147085689</v>
      </c>
      <c r="E2727" t="s">
        <v>94</v>
      </c>
      <c r="F2727">
        <v>689</v>
      </c>
      <c r="G2727" s="4">
        <v>46087.599236111113</v>
      </c>
    </row>
    <row r="2728" spans="1:7" x14ac:dyDescent="0.3">
      <c r="A2728">
        <v>6306</v>
      </c>
      <c r="B2728" t="s">
        <v>147</v>
      </c>
      <c r="C2728">
        <v>51056833</v>
      </c>
      <c r="D2728">
        <v>83.660950310479109</v>
      </c>
      <c r="E2728" t="s">
        <v>93</v>
      </c>
      <c r="F2728">
        <v>330</v>
      </c>
      <c r="G2728" s="4">
        <v>46087.599236111113</v>
      </c>
    </row>
    <row r="2729" spans="1:7" x14ac:dyDescent="0.3">
      <c r="A2729">
        <v>6307</v>
      </c>
      <c r="B2729" t="s">
        <v>147</v>
      </c>
      <c r="C2729">
        <v>51056086</v>
      </c>
      <c r="D2729">
        <v>81.924324683612681</v>
      </c>
      <c r="E2729" t="s">
        <v>93</v>
      </c>
      <c r="F2729">
        <v>388</v>
      </c>
      <c r="G2729" s="4">
        <v>46087.599236111113</v>
      </c>
    </row>
    <row r="2730" spans="1:7" x14ac:dyDescent="0.3">
      <c r="A2730">
        <v>6308</v>
      </c>
      <c r="B2730" t="s">
        <v>147</v>
      </c>
      <c r="C2730">
        <v>51055241</v>
      </c>
      <c r="D2730">
        <v>81.732074310686144</v>
      </c>
      <c r="E2730" t="s">
        <v>93</v>
      </c>
      <c r="F2730">
        <v>392</v>
      </c>
      <c r="G2730" s="4">
        <v>46087.599236111113</v>
      </c>
    </row>
    <row r="2731" spans="1:7" x14ac:dyDescent="0.3">
      <c r="A2731">
        <v>6309</v>
      </c>
      <c r="B2731" t="s">
        <v>147</v>
      </c>
      <c r="C2731">
        <v>51008669</v>
      </c>
      <c r="D2731">
        <v>81.315845699514256</v>
      </c>
      <c r="E2731" t="s">
        <v>93</v>
      </c>
      <c r="F2731">
        <v>405</v>
      </c>
      <c r="G2731" s="4">
        <v>46087.599236111113</v>
      </c>
    </row>
    <row r="2732" spans="1:7" x14ac:dyDescent="0.3">
      <c r="A2732">
        <v>6310</v>
      </c>
      <c r="B2732" t="s">
        <v>147</v>
      </c>
      <c r="C2732">
        <v>51031521</v>
      </c>
      <c r="D2732">
        <v>29.269186615705507</v>
      </c>
      <c r="E2732" t="s">
        <v>94</v>
      </c>
      <c r="F2732">
        <v>876</v>
      </c>
      <c r="G2732" s="4">
        <v>46087.599236111113</v>
      </c>
    </row>
    <row r="2733" spans="1:7" x14ac:dyDescent="0.3">
      <c r="A2733">
        <v>6311</v>
      </c>
      <c r="B2733" t="s">
        <v>147</v>
      </c>
      <c r="C2733">
        <v>51033477</v>
      </c>
      <c r="D2733">
        <v>21.970544768720426</v>
      </c>
      <c r="E2733" t="s">
        <v>94</v>
      </c>
      <c r="F2733">
        <v>949</v>
      </c>
      <c r="G2733" s="4">
        <v>46087.599236111113</v>
      </c>
    </row>
    <row r="2734" spans="1:7" x14ac:dyDescent="0.3">
      <c r="A2734">
        <v>6312</v>
      </c>
      <c r="B2734" t="s">
        <v>147</v>
      </c>
      <c r="C2734">
        <v>51020651</v>
      </c>
      <c r="D2734">
        <v>73.478242417672135</v>
      </c>
      <c r="E2734" t="s">
        <v>93</v>
      </c>
      <c r="F2734">
        <v>486</v>
      </c>
      <c r="G2734" s="4">
        <v>46087.599236111113</v>
      </c>
    </row>
    <row r="2735" spans="1:7" x14ac:dyDescent="0.3">
      <c r="A2735">
        <v>6313</v>
      </c>
      <c r="B2735" t="s">
        <v>147</v>
      </c>
      <c r="C2735">
        <v>51013409</v>
      </c>
      <c r="D2735">
        <v>59.663560082784805</v>
      </c>
      <c r="E2735" t="s">
        <v>94</v>
      </c>
      <c r="F2735">
        <v>626</v>
      </c>
      <c r="G2735" s="4">
        <v>46087.599236111113</v>
      </c>
    </row>
    <row r="2736" spans="1:7" x14ac:dyDescent="0.3">
      <c r="A2736">
        <v>6314</v>
      </c>
      <c r="B2736" t="s">
        <v>147</v>
      </c>
      <c r="C2736">
        <v>51030397</v>
      </c>
      <c r="D2736">
        <v>83.096618684296757</v>
      </c>
      <c r="E2736" t="s">
        <v>93</v>
      </c>
      <c r="F2736">
        <v>350</v>
      </c>
      <c r="G2736" s="4">
        <v>46087.599236111113</v>
      </c>
    </row>
    <row r="2737" spans="1:7" x14ac:dyDescent="0.3">
      <c r="A2737">
        <v>6315</v>
      </c>
      <c r="B2737" t="s">
        <v>147</v>
      </c>
      <c r="C2737">
        <v>51010353</v>
      </c>
      <c r="D2737">
        <v>60.292140530344653</v>
      </c>
      <c r="E2737" t="s">
        <v>94</v>
      </c>
      <c r="F2737">
        <v>612</v>
      </c>
      <c r="G2737" s="4">
        <v>46087.599236111113</v>
      </c>
    </row>
    <row r="2738" spans="1:7" x14ac:dyDescent="0.3">
      <c r="A2738">
        <v>6316</v>
      </c>
      <c r="B2738" t="s">
        <v>147</v>
      </c>
      <c r="C2738">
        <v>51054814</v>
      </c>
      <c r="D2738">
        <v>77.580295321540149</v>
      </c>
      <c r="E2738" t="s">
        <v>93</v>
      </c>
      <c r="F2738">
        <v>455</v>
      </c>
      <c r="G2738" s="4">
        <v>46087.599236111113</v>
      </c>
    </row>
    <row r="2739" spans="1:7" x14ac:dyDescent="0.3">
      <c r="A2739">
        <v>6317</v>
      </c>
      <c r="B2739" t="s">
        <v>147</v>
      </c>
      <c r="C2739">
        <v>51012372</v>
      </c>
      <c r="D2739">
        <v>80.695012992614167</v>
      </c>
      <c r="E2739" t="s">
        <v>93</v>
      </c>
      <c r="F2739">
        <v>422</v>
      </c>
      <c r="G2739" s="4">
        <v>46087.599236111113</v>
      </c>
    </row>
    <row r="2740" spans="1:7" x14ac:dyDescent="0.3">
      <c r="A2740">
        <v>6318</v>
      </c>
      <c r="B2740" t="s">
        <v>147</v>
      </c>
      <c r="C2740">
        <v>51036212</v>
      </c>
      <c r="D2740">
        <v>79.97537534652723</v>
      </c>
      <c r="E2740" t="s">
        <v>93</v>
      </c>
      <c r="F2740">
        <v>441</v>
      </c>
      <c r="G2740" s="4">
        <v>46087.599236111113</v>
      </c>
    </row>
    <row r="2741" spans="1:7" x14ac:dyDescent="0.3">
      <c r="A2741">
        <v>6319</v>
      </c>
      <c r="B2741" t="s">
        <v>147</v>
      </c>
      <c r="C2741">
        <v>51029984</v>
      </c>
      <c r="D2741">
        <v>63.723154919653638</v>
      </c>
      <c r="E2741" t="s">
        <v>93</v>
      </c>
      <c r="F2741">
        <v>551</v>
      </c>
      <c r="G2741" s="4">
        <v>46087.599236111113</v>
      </c>
    </row>
    <row r="2742" spans="1:7" x14ac:dyDescent="0.3">
      <c r="A2742">
        <v>6320</v>
      </c>
      <c r="B2742" t="s">
        <v>147</v>
      </c>
      <c r="C2742">
        <v>51039777</v>
      </c>
      <c r="D2742">
        <v>85.424495592228865</v>
      </c>
      <c r="E2742" t="s">
        <v>93</v>
      </c>
      <c r="F2742">
        <v>272</v>
      </c>
      <c r="G2742" s="4">
        <v>46087.599236111113</v>
      </c>
    </row>
    <row r="2743" spans="1:7" x14ac:dyDescent="0.3">
      <c r="A2743">
        <v>6321</v>
      </c>
      <c r="B2743" t="s">
        <v>147</v>
      </c>
      <c r="C2743">
        <v>51056183</v>
      </c>
      <c r="D2743">
        <v>56.044173696473649</v>
      </c>
      <c r="E2743" t="s">
        <v>94</v>
      </c>
      <c r="F2743">
        <v>701</v>
      </c>
      <c r="G2743" s="4">
        <v>46087.599236111113</v>
      </c>
    </row>
    <row r="2744" spans="1:7" x14ac:dyDescent="0.3">
      <c r="A2744">
        <v>6322</v>
      </c>
      <c r="B2744" t="s">
        <v>147</v>
      </c>
      <c r="C2744">
        <v>51039238</v>
      </c>
      <c r="D2744">
        <v>30.068583584857066</v>
      </c>
      <c r="E2744" t="s">
        <v>94</v>
      </c>
      <c r="F2744">
        <v>864</v>
      </c>
      <c r="G2744" s="4">
        <v>46087.599236111113</v>
      </c>
    </row>
    <row r="2745" spans="1:7" x14ac:dyDescent="0.3">
      <c r="A2745">
        <v>6323</v>
      </c>
      <c r="B2745" t="s">
        <v>147</v>
      </c>
      <c r="C2745">
        <v>51007701</v>
      </c>
      <c r="D2745">
        <v>100</v>
      </c>
      <c r="E2745" t="s">
        <v>275</v>
      </c>
      <c r="F2745">
        <v>1</v>
      </c>
      <c r="G2745" s="4">
        <v>46087.599236111113</v>
      </c>
    </row>
    <row r="2746" spans="1:7" x14ac:dyDescent="0.3">
      <c r="A2746">
        <v>6324</v>
      </c>
      <c r="B2746" t="s">
        <v>147</v>
      </c>
      <c r="C2746">
        <v>51034228</v>
      </c>
      <c r="D2746">
        <v>60.407754758121968</v>
      </c>
      <c r="E2746" t="s">
        <v>94</v>
      </c>
      <c r="F2746">
        <v>609</v>
      </c>
      <c r="G2746" s="4">
        <v>46087.599236111113</v>
      </c>
    </row>
    <row r="2747" spans="1:7" x14ac:dyDescent="0.3">
      <c r="A2747">
        <v>6325</v>
      </c>
      <c r="B2747" t="s">
        <v>147</v>
      </c>
      <c r="C2747">
        <v>51005295</v>
      </c>
      <c r="D2747">
        <v>32.495880621749428</v>
      </c>
      <c r="E2747" t="s">
        <v>94</v>
      </c>
      <c r="F2747">
        <v>829</v>
      </c>
      <c r="G2747" s="4">
        <v>46087.599236111113</v>
      </c>
    </row>
    <row r="2748" spans="1:7" x14ac:dyDescent="0.3">
      <c r="A2748">
        <v>6326</v>
      </c>
      <c r="B2748" t="s">
        <v>147</v>
      </c>
      <c r="C2748">
        <v>51023668</v>
      </c>
      <c r="D2748">
        <v>62.62257443695551</v>
      </c>
      <c r="E2748" t="s">
        <v>93</v>
      </c>
      <c r="F2748">
        <v>565</v>
      </c>
      <c r="G2748" s="4">
        <v>46087.599236111113</v>
      </c>
    </row>
    <row r="2749" spans="1:7" x14ac:dyDescent="0.3">
      <c r="A2749">
        <v>6327</v>
      </c>
      <c r="B2749" t="s">
        <v>147</v>
      </c>
      <c r="C2749">
        <v>51018851</v>
      </c>
      <c r="D2749">
        <v>48.573810459358846</v>
      </c>
      <c r="E2749" t="s">
        <v>94</v>
      </c>
      <c r="F2749">
        <v>749</v>
      </c>
      <c r="G2749" s="4">
        <v>46087.599236111113</v>
      </c>
    </row>
    <row r="2750" spans="1:7" x14ac:dyDescent="0.3">
      <c r="A2750">
        <v>6328</v>
      </c>
      <c r="B2750" t="s">
        <v>147</v>
      </c>
      <c r="C2750">
        <v>51042042</v>
      </c>
      <c r="D2750">
        <v>85.068527549102953</v>
      </c>
      <c r="E2750" t="s">
        <v>93</v>
      </c>
      <c r="F2750">
        <v>282</v>
      </c>
      <c r="G2750" s="4">
        <v>46087.599236111113</v>
      </c>
    </row>
    <row r="2751" spans="1:7" x14ac:dyDescent="0.3">
      <c r="A2751">
        <v>6329</v>
      </c>
      <c r="B2751" t="s">
        <v>147</v>
      </c>
      <c r="C2751">
        <v>51010817</v>
      </c>
      <c r="D2751">
        <v>60.891413184147829</v>
      </c>
      <c r="E2751" t="s">
        <v>94</v>
      </c>
      <c r="F2751">
        <v>600</v>
      </c>
      <c r="G2751" s="4">
        <v>46087.599236111113</v>
      </c>
    </row>
    <row r="2752" spans="1:7" x14ac:dyDescent="0.3">
      <c r="A2752">
        <v>6330</v>
      </c>
      <c r="B2752" t="s">
        <v>147</v>
      </c>
      <c r="C2752">
        <v>51022408</v>
      </c>
      <c r="D2752">
        <v>92.781107974618735</v>
      </c>
      <c r="E2752" t="s">
        <v>92</v>
      </c>
      <c r="F2752">
        <v>94</v>
      </c>
      <c r="G2752" s="4">
        <v>46087.599236111113</v>
      </c>
    </row>
    <row r="2753" spans="1:7" x14ac:dyDescent="0.3">
      <c r="A2753">
        <v>6331</v>
      </c>
      <c r="B2753" t="s">
        <v>147</v>
      </c>
      <c r="C2753">
        <v>51032578</v>
      </c>
      <c r="D2753">
        <v>60.909381402247128</v>
      </c>
      <c r="E2753" t="s">
        <v>94</v>
      </c>
      <c r="F2753">
        <v>598</v>
      </c>
      <c r="G2753" s="4">
        <v>46087.599236111113</v>
      </c>
    </row>
    <row r="2754" spans="1:7" x14ac:dyDescent="0.3">
      <c r="A2754">
        <v>6332</v>
      </c>
      <c r="B2754" t="s">
        <v>147</v>
      </c>
      <c r="C2754">
        <v>51017978</v>
      </c>
      <c r="D2754">
        <v>85.666280548302268</v>
      </c>
      <c r="E2754" t="s">
        <v>93</v>
      </c>
      <c r="F2754">
        <v>263</v>
      </c>
      <c r="G2754" s="4">
        <v>46087.599236111113</v>
      </c>
    </row>
    <row r="2755" spans="1:7" x14ac:dyDescent="0.3">
      <c r="A2755">
        <v>6333</v>
      </c>
      <c r="B2755" t="s">
        <v>147</v>
      </c>
      <c r="C2755">
        <v>51056868</v>
      </c>
      <c r="D2755">
        <v>91.169157583736933</v>
      </c>
      <c r="E2755" t="s">
        <v>92</v>
      </c>
      <c r="F2755">
        <v>114</v>
      </c>
      <c r="G2755" s="4">
        <v>46087.599236111113</v>
      </c>
    </row>
    <row r="2756" spans="1:7" x14ac:dyDescent="0.3">
      <c r="A2756">
        <v>6334</v>
      </c>
      <c r="B2756" t="s">
        <v>147</v>
      </c>
      <c r="C2756">
        <v>51056566</v>
      </c>
      <c r="D2756">
        <v>86.471461007318226</v>
      </c>
      <c r="E2756" t="s">
        <v>92</v>
      </c>
      <c r="F2756">
        <v>236</v>
      </c>
      <c r="G2756" s="4">
        <v>46087.599236111113</v>
      </c>
    </row>
    <row r="2757" spans="1:7" x14ac:dyDescent="0.3">
      <c r="A2757">
        <v>6335</v>
      </c>
      <c r="B2757" t="s">
        <v>147</v>
      </c>
      <c r="C2757">
        <v>51005112</v>
      </c>
      <c r="D2757">
        <v>61.876570448077636</v>
      </c>
      <c r="E2757" t="s">
        <v>93</v>
      </c>
      <c r="F2757">
        <v>582</v>
      </c>
      <c r="G2757" s="4">
        <v>46087.599236111113</v>
      </c>
    </row>
    <row r="2758" spans="1:7" x14ac:dyDescent="0.3">
      <c r="A2758">
        <v>6336</v>
      </c>
      <c r="B2758" t="s">
        <v>147</v>
      </c>
      <c r="C2758">
        <v>51019946</v>
      </c>
      <c r="D2758">
        <v>32.21508932230843</v>
      </c>
      <c r="E2758" t="s">
        <v>94</v>
      </c>
      <c r="F2758">
        <v>834</v>
      </c>
      <c r="G2758" s="4">
        <v>46087.599236111113</v>
      </c>
    </row>
    <row r="2759" spans="1:7" x14ac:dyDescent="0.3">
      <c r="A2759">
        <v>6337</v>
      </c>
      <c r="B2759" t="s">
        <v>147</v>
      </c>
      <c r="C2759">
        <v>51027116</v>
      </c>
      <c r="D2759">
        <v>89.601391807231408</v>
      </c>
      <c r="E2759" t="s">
        <v>92</v>
      </c>
      <c r="F2759">
        <v>146</v>
      </c>
      <c r="G2759" s="4">
        <v>46087.599236111113</v>
      </c>
    </row>
    <row r="2760" spans="1:7" x14ac:dyDescent="0.3">
      <c r="A2760">
        <v>6338</v>
      </c>
      <c r="B2760" t="s">
        <v>147</v>
      </c>
      <c r="C2760">
        <v>51042051</v>
      </c>
      <c r="D2760">
        <v>96.09623314132449</v>
      </c>
      <c r="E2760" t="s">
        <v>275</v>
      </c>
      <c r="F2760">
        <v>60</v>
      </c>
      <c r="G2760" s="4">
        <v>46087.599236111113</v>
      </c>
    </row>
    <row r="2761" spans="1:7" x14ac:dyDescent="0.3">
      <c r="A2761">
        <v>6339</v>
      </c>
      <c r="B2761" t="s">
        <v>147</v>
      </c>
      <c r="C2761">
        <v>51024702</v>
      </c>
      <c r="D2761">
        <v>72.344121312259176</v>
      </c>
      <c r="E2761" t="s">
        <v>93</v>
      </c>
      <c r="F2761">
        <v>497</v>
      </c>
      <c r="G2761" s="4">
        <v>46087.599236111113</v>
      </c>
    </row>
    <row r="2762" spans="1:7" x14ac:dyDescent="0.3">
      <c r="A2762">
        <v>6340</v>
      </c>
      <c r="B2762" t="s">
        <v>147</v>
      </c>
      <c r="C2762">
        <v>51000251</v>
      </c>
      <c r="D2762">
        <v>21.001822375769649</v>
      </c>
      <c r="E2762" t="s">
        <v>95</v>
      </c>
      <c r="F2762">
        <v>963</v>
      </c>
      <c r="G2762" s="4">
        <v>46087.599236111113</v>
      </c>
    </row>
    <row r="2763" spans="1:7" x14ac:dyDescent="0.3">
      <c r="A2763">
        <v>6341</v>
      </c>
      <c r="B2763" t="s">
        <v>147</v>
      </c>
      <c r="C2763">
        <v>51036778</v>
      </c>
      <c r="D2763">
        <v>68.431457807895882</v>
      </c>
      <c r="E2763" t="s">
        <v>93</v>
      </c>
      <c r="F2763">
        <v>523</v>
      </c>
      <c r="G2763" s="4">
        <v>46087.599236111113</v>
      </c>
    </row>
    <row r="2764" spans="1:7" x14ac:dyDescent="0.3">
      <c r="A2764">
        <v>6342</v>
      </c>
      <c r="B2764" t="s">
        <v>147</v>
      </c>
      <c r="C2764">
        <v>51056850</v>
      </c>
      <c r="D2764">
        <v>62.405240901776963</v>
      </c>
      <c r="E2764" t="s">
        <v>93</v>
      </c>
      <c r="F2764">
        <v>571</v>
      </c>
      <c r="G2764" s="4">
        <v>46087.599236111113</v>
      </c>
    </row>
    <row r="2765" spans="1:7" x14ac:dyDescent="0.3">
      <c r="A2765">
        <v>6343</v>
      </c>
      <c r="B2765" t="s">
        <v>147</v>
      </c>
      <c r="C2765">
        <v>51054989</v>
      </c>
      <c r="D2765">
        <v>91.613054874754837</v>
      </c>
      <c r="E2765" t="s">
        <v>92</v>
      </c>
      <c r="F2765">
        <v>109</v>
      </c>
      <c r="G2765" s="4">
        <v>46087.599236111113</v>
      </c>
    </row>
    <row r="2766" spans="1:7" x14ac:dyDescent="0.3">
      <c r="A2766">
        <v>6344</v>
      </c>
      <c r="B2766" t="s">
        <v>147</v>
      </c>
      <c r="C2766">
        <v>51018737</v>
      </c>
      <c r="D2766">
        <v>84.312773126434124</v>
      </c>
      <c r="E2766" t="s">
        <v>93</v>
      </c>
      <c r="F2766">
        <v>304</v>
      </c>
      <c r="G2766" s="4">
        <v>46087.599236111113</v>
      </c>
    </row>
    <row r="2767" spans="1:7" x14ac:dyDescent="0.3">
      <c r="A2767">
        <v>6345</v>
      </c>
      <c r="B2767" t="s">
        <v>147</v>
      </c>
      <c r="C2767">
        <v>51023811</v>
      </c>
      <c r="D2767">
        <v>61.931617866357342</v>
      </c>
      <c r="E2767" t="s">
        <v>93</v>
      </c>
      <c r="F2767">
        <v>581</v>
      </c>
      <c r="G2767" s="4">
        <v>46087.599236111113</v>
      </c>
    </row>
    <row r="2768" spans="1:7" x14ac:dyDescent="0.3">
      <c r="A2768">
        <v>6346</v>
      </c>
      <c r="B2768" t="s">
        <v>147</v>
      </c>
      <c r="C2768">
        <v>51040899</v>
      </c>
      <c r="D2768">
        <v>88.646380364949323</v>
      </c>
      <c r="E2768" t="s">
        <v>92</v>
      </c>
      <c r="F2768">
        <v>179</v>
      </c>
      <c r="G2768" s="4">
        <v>46087.599236111113</v>
      </c>
    </row>
    <row r="2769" spans="1:7" x14ac:dyDescent="0.3">
      <c r="A2769">
        <v>6347</v>
      </c>
      <c r="B2769" t="s">
        <v>147</v>
      </c>
      <c r="C2769">
        <v>51022149</v>
      </c>
      <c r="D2769">
        <v>56.22869666506498</v>
      </c>
      <c r="E2769" t="s">
        <v>94</v>
      </c>
      <c r="F2769">
        <v>696</v>
      </c>
      <c r="G2769" s="4">
        <v>46087.599236111113</v>
      </c>
    </row>
    <row r="2770" spans="1:7" x14ac:dyDescent="0.3">
      <c r="A2770">
        <v>6348</v>
      </c>
      <c r="B2770" t="s">
        <v>147</v>
      </c>
      <c r="C2770">
        <v>51014189</v>
      </c>
      <c r="D2770">
        <v>83.613057560783574</v>
      </c>
      <c r="E2770" t="s">
        <v>93</v>
      </c>
      <c r="F2770">
        <v>331</v>
      </c>
      <c r="G2770" s="4">
        <v>46087.599236111113</v>
      </c>
    </row>
    <row r="2771" spans="1:7" x14ac:dyDescent="0.3">
      <c r="A2771">
        <v>6349</v>
      </c>
      <c r="B2771" t="s">
        <v>147</v>
      </c>
      <c r="C2771">
        <v>51011538</v>
      </c>
      <c r="D2771">
        <v>30.052058551060082</v>
      </c>
      <c r="E2771" t="s">
        <v>94</v>
      </c>
      <c r="F2771">
        <v>866</v>
      </c>
      <c r="G2771" s="4">
        <v>46087.599236111113</v>
      </c>
    </row>
    <row r="2772" spans="1:7" x14ac:dyDescent="0.3">
      <c r="A2772">
        <v>6350</v>
      </c>
      <c r="B2772" t="s">
        <v>147</v>
      </c>
      <c r="C2772">
        <v>51011686</v>
      </c>
      <c r="D2772">
        <v>86.080479255254929</v>
      </c>
      <c r="E2772" t="s">
        <v>93</v>
      </c>
      <c r="F2772">
        <v>248</v>
      </c>
      <c r="G2772" s="4">
        <v>46087.599236111113</v>
      </c>
    </row>
    <row r="2773" spans="1:7" x14ac:dyDescent="0.3">
      <c r="A2773">
        <v>6351</v>
      </c>
      <c r="B2773" t="s">
        <v>147</v>
      </c>
      <c r="C2773">
        <v>51055896</v>
      </c>
      <c r="D2773">
        <v>86.442111384532325</v>
      </c>
      <c r="E2773" t="s">
        <v>92</v>
      </c>
      <c r="F2773">
        <v>239</v>
      </c>
      <c r="G2773" s="4">
        <v>46087.599236111113</v>
      </c>
    </row>
    <row r="2774" spans="1:7" x14ac:dyDescent="0.3">
      <c r="A2774">
        <v>6352</v>
      </c>
      <c r="B2774" t="s">
        <v>147</v>
      </c>
      <c r="C2774">
        <v>51054962</v>
      </c>
      <c r="D2774">
        <v>31.689443093525863</v>
      </c>
      <c r="E2774" t="s">
        <v>94</v>
      </c>
      <c r="F2774">
        <v>839</v>
      </c>
      <c r="G2774" s="4">
        <v>46087.599236111113</v>
      </c>
    </row>
    <row r="2775" spans="1:7" x14ac:dyDescent="0.3">
      <c r="A2775">
        <v>6353</v>
      </c>
      <c r="B2775" t="s">
        <v>147</v>
      </c>
      <c r="C2775">
        <v>51021584</v>
      </c>
      <c r="D2775">
        <v>84.418456600547103</v>
      </c>
      <c r="E2775" t="s">
        <v>93</v>
      </c>
      <c r="F2775">
        <v>302</v>
      </c>
      <c r="G2775" s="4">
        <v>46087.599236111113</v>
      </c>
    </row>
    <row r="2776" spans="1:7" x14ac:dyDescent="0.3">
      <c r="A2776">
        <v>6354</v>
      </c>
      <c r="B2776" t="s">
        <v>147</v>
      </c>
      <c r="C2776">
        <v>51014642</v>
      </c>
      <c r="D2776">
        <v>72.575049827126307</v>
      </c>
      <c r="E2776" t="s">
        <v>93</v>
      </c>
      <c r="F2776">
        <v>495</v>
      </c>
      <c r="G2776" s="4">
        <v>46087.599236111113</v>
      </c>
    </row>
    <row r="2777" spans="1:7" x14ac:dyDescent="0.3">
      <c r="A2777">
        <v>6355</v>
      </c>
      <c r="B2777" t="s">
        <v>147</v>
      </c>
      <c r="C2777">
        <v>51038878</v>
      </c>
      <c r="D2777">
        <v>30.0530684828523</v>
      </c>
      <c r="E2777" t="s">
        <v>94</v>
      </c>
      <c r="F2777">
        <v>865</v>
      </c>
      <c r="G2777" s="4">
        <v>46087.599236111113</v>
      </c>
    </row>
    <row r="2778" spans="1:7" x14ac:dyDescent="0.3">
      <c r="A2778">
        <v>6356</v>
      </c>
      <c r="B2778" t="s">
        <v>147</v>
      </c>
      <c r="C2778">
        <v>51055292</v>
      </c>
      <c r="D2778">
        <v>33.530707418082457</v>
      </c>
      <c r="E2778" t="s">
        <v>94</v>
      </c>
      <c r="F2778">
        <v>817</v>
      </c>
      <c r="G2778" s="4">
        <v>46087.599236111113</v>
      </c>
    </row>
    <row r="2779" spans="1:7" x14ac:dyDescent="0.3">
      <c r="A2779">
        <v>6357</v>
      </c>
      <c r="B2779" t="s">
        <v>147</v>
      </c>
      <c r="C2779">
        <v>51011601</v>
      </c>
      <c r="D2779">
        <v>75.844789590784501</v>
      </c>
      <c r="E2779" t="s">
        <v>93</v>
      </c>
      <c r="F2779">
        <v>467</v>
      </c>
      <c r="G2779" s="4">
        <v>46087.599236111113</v>
      </c>
    </row>
    <row r="2780" spans="1:7" x14ac:dyDescent="0.3">
      <c r="A2780">
        <v>6358</v>
      </c>
      <c r="B2780" t="s">
        <v>147</v>
      </c>
      <c r="C2780">
        <v>51022866</v>
      </c>
      <c r="D2780">
        <v>51.376443193567233</v>
      </c>
      <c r="E2780" t="s">
        <v>94</v>
      </c>
      <c r="F2780">
        <v>733</v>
      </c>
      <c r="G2780" s="4">
        <v>46087.599236111113</v>
      </c>
    </row>
    <row r="2781" spans="1:7" x14ac:dyDescent="0.3">
      <c r="A2781">
        <v>6359</v>
      </c>
      <c r="B2781" t="s">
        <v>147</v>
      </c>
      <c r="C2781">
        <v>51017820</v>
      </c>
      <c r="D2781">
        <v>59.196937207318236</v>
      </c>
      <c r="E2781" t="s">
        <v>94</v>
      </c>
      <c r="F2781">
        <v>634</v>
      </c>
      <c r="G2781" s="4">
        <v>46087.599236111113</v>
      </c>
    </row>
    <row r="2782" spans="1:7" x14ac:dyDescent="0.3">
      <c r="A2782">
        <v>6360</v>
      </c>
      <c r="B2782" t="s">
        <v>147</v>
      </c>
      <c r="C2782">
        <v>51030761</v>
      </c>
      <c r="D2782">
        <v>61.393670629495816</v>
      </c>
      <c r="E2782" t="s">
        <v>93</v>
      </c>
      <c r="F2782">
        <v>592</v>
      </c>
      <c r="G2782" s="4">
        <v>46087.599236111113</v>
      </c>
    </row>
    <row r="2783" spans="1:7" x14ac:dyDescent="0.3">
      <c r="A2783">
        <v>6361</v>
      </c>
      <c r="B2783" t="s">
        <v>147</v>
      </c>
      <c r="C2783">
        <v>51008294</v>
      </c>
      <c r="D2783">
        <v>58.644662561652424</v>
      </c>
      <c r="E2783" t="s">
        <v>94</v>
      </c>
      <c r="F2783">
        <v>643</v>
      </c>
      <c r="G2783" s="4">
        <v>46087.599236111113</v>
      </c>
    </row>
    <row r="2784" spans="1:7" x14ac:dyDescent="0.3">
      <c r="A2784">
        <v>6362</v>
      </c>
      <c r="B2784" t="s">
        <v>147</v>
      </c>
      <c r="C2784">
        <v>51055501</v>
      </c>
      <c r="D2784">
        <v>59.609278487426806</v>
      </c>
      <c r="E2784" t="s">
        <v>94</v>
      </c>
      <c r="F2784">
        <v>628</v>
      </c>
      <c r="G2784" s="4">
        <v>46087.599236111113</v>
      </c>
    </row>
    <row r="2785" spans="1:7" x14ac:dyDescent="0.3">
      <c r="A2785">
        <v>6363</v>
      </c>
      <c r="B2785" t="s">
        <v>147</v>
      </c>
      <c r="C2785">
        <v>51038886</v>
      </c>
      <c r="D2785">
        <v>100</v>
      </c>
      <c r="E2785" t="s">
        <v>275</v>
      </c>
      <c r="F2785">
        <v>1</v>
      </c>
      <c r="G2785" s="4">
        <v>46087.599236111113</v>
      </c>
    </row>
    <row r="2786" spans="1:7" x14ac:dyDescent="0.3">
      <c r="A2786">
        <v>6364</v>
      </c>
      <c r="B2786" t="s">
        <v>147</v>
      </c>
      <c r="C2786">
        <v>51020316</v>
      </c>
      <c r="D2786">
        <v>98.36540012904193</v>
      </c>
      <c r="E2786" t="s">
        <v>275</v>
      </c>
      <c r="F2786">
        <v>31</v>
      </c>
      <c r="G2786" s="4">
        <v>46087.599236111113</v>
      </c>
    </row>
    <row r="2787" spans="1:7" x14ac:dyDescent="0.3">
      <c r="A2787">
        <v>6365</v>
      </c>
      <c r="B2787" t="s">
        <v>147</v>
      </c>
      <c r="C2787">
        <v>51055675</v>
      </c>
      <c r="D2787">
        <v>88.221679905689001</v>
      </c>
      <c r="E2787" t="s">
        <v>92</v>
      </c>
      <c r="F2787">
        <v>191</v>
      </c>
      <c r="G2787" s="4">
        <v>46087.599236111113</v>
      </c>
    </row>
    <row r="2788" spans="1:7" x14ac:dyDescent="0.3">
      <c r="A2788">
        <v>6366</v>
      </c>
      <c r="B2788" t="s">
        <v>147</v>
      </c>
      <c r="C2788">
        <v>51012577</v>
      </c>
      <c r="D2788">
        <v>98.34685560352591</v>
      </c>
      <c r="E2788" t="s">
        <v>275</v>
      </c>
      <c r="F2788">
        <v>33</v>
      </c>
      <c r="G2788" s="4">
        <v>46087.599236111113</v>
      </c>
    </row>
    <row r="2789" spans="1:7" x14ac:dyDescent="0.3">
      <c r="A2789">
        <v>6367</v>
      </c>
      <c r="B2789" t="s">
        <v>147</v>
      </c>
      <c r="C2789">
        <v>51017706</v>
      </c>
      <c r="D2789">
        <v>97.251970468244394</v>
      </c>
      <c r="E2789" t="s">
        <v>275</v>
      </c>
      <c r="F2789">
        <v>45</v>
      </c>
      <c r="G2789" s="4">
        <v>46087.599236111113</v>
      </c>
    </row>
    <row r="2790" spans="1:7" x14ac:dyDescent="0.3">
      <c r="A2790">
        <v>6368</v>
      </c>
      <c r="B2790" t="s">
        <v>147</v>
      </c>
      <c r="C2790">
        <v>51011236</v>
      </c>
      <c r="D2790">
        <v>74.21103911791046</v>
      </c>
      <c r="E2790" t="s">
        <v>93</v>
      </c>
      <c r="F2790">
        <v>479</v>
      </c>
      <c r="G2790" s="4">
        <v>46087.599236111113</v>
      </c>
    </row>
    <row r="2791" spans="1:7" x14ac:dyDescent="0.3">
      <c r="A2791">
        <v>6369</v>
      </c>
      <c r="B2791" t="s">
        <v>147</v>
      </c>
      <c r="C2791">
        <v>51030524</v>
      </c>
      <c r="D2791">
        <v>26.788030373755145</v>
      </c>
      <c r="E2791" t="s">
        <v>94</v>
      </c>
      <c r="F2791">
        <v>900</v>
      </c>
      <c r="G2791" s="4">
        <v>46087.599236111113</v>
      </c>
    </row>
    <row r="2792" spans="1:7" x14ac:dyDescent="0.3">
      <c r="A2792">
        <v>6370</v>
      </c>
      <c r="B2792" t="s">
        <v>147</v>
      </c>
      <c r="C2792">
        <v>51003365</v>
      </c>
      <c r="D2792">
        <v>86.813282527430587</v>
      </c>
      <c r="E2792" t="s">
        <v>92</v>
      </c>
      <c r="F2792">
        <v>228</v>
      </c>
      <c r="G2792" s="4">
        <v>46087.599236111113</v>
      </c>
    </row>
    <row r="2793" spans="1:7" x14ac:dyDescent="0.3">
      <c r="A2793">
        <v>6371</v>
      </c>
      <c r="B2793" t="s">
        <v>147</v>
      </c>
      <c r="C2793">
        <v>51031989</v>
      </c>
      <c r="D2793">
        <v>61.96356676990235</v>
      </c>
      <c r="E2793" t="s">
        <v>93</v>
      </c>
      <c r="F2793">
        <v>580</v>
      </c>
      <c r="G2793" s="4">
        <v>46087.599236111113</v>
      </c>
    </row>
    <row r="2794" spans="1:7" x14ac:dyDescent="0.3">
      <c r="A2794">
        <v>6372</v>
      </c>
      <c r="B2794" t="s">
        <v>147</v>
      </c>
      <c r="C2794">
        <v>51010922</v>
      </c>
      <c r="D2794">
        <v>56.617138173057022</v>
      </c>
      <c r="E2794" t="s">
        <v>94</v>
      </c>
      <c r="F2794">
        <v>690</v>
      </c>
      <c r="G2794" s="4">
        <v>46087.599236111113</v>
      </c>
    </row>
    <row r="2795" spans="1:7" x14ac:dyDescent="0.3">
      <c r="A2795">
        <v>6373</v>
      </c>
      <c r="B2795" t="s">
        <v>147</v>
      </c>
      <c r="C2795">
        <v>51040031</v>
      </c>
      <c r="D2795">
        <v>90.27202464507873</v>
      </c>
      <c r="E2795" t="s">
        <v>92</v>
      </c>
      <c r="F2795">
        <v>131</v>
      </c>
      <c r="G2795" s="4">
        <v>46087.599236111113</v>
      </c>
    </row>
    <row r="2796" spans="1:7" x14ac:dyDescent="0.3">
      <c r="A2796">
        <v>6374</v>
      </c>
      <c r="B2796" t="s">
        <v>147</v>
      </c>
      <c r="C2796">
        <v>51027108</v>
      </c>
      <c r="D2796">
        <v>88.467417656599849</v>
      </c>
      <c r="E2796" t="s">
        <v>92</v>
      </c>
      <c r="F2796">
        <v>185</v>
      </c>
      <c r="G2796" s="4">
        <v>46087.599236111113</v>
      </c>
    </row>
    <row r="2797" spans="1:7" x14ac:dyDescent="0.3">
      <c r="A2797">
        <v>6375</v>
      </c>
      <c r="B2797" t="s">
        <v>147</v>
      </c>
      <c r="C2797">
        <v>51022971</v>
      </c>
      <c r="D2797">
        <v>82.993434160660698</v>
      </c>
      <c r="E2797" t="s">
        <v>93</v>
      </c>
      <c r="F2797">
        <v>354</v>
      </c>
      <c r="G2797" s="4">
        <v>46087.599236111113</v>
      </c>
    </row>
    <row r="2798" spans="1:7" x14ac:dyDescent="0.3">
      <c r="A2798">
        <v>6376</v>
      </c>
      <c r="B2798" t="s">
        <v>147</v>
      </c>
      <c r="C2798">
        <v>51023005</v>
      </c>
      <c r="D2798">
        <v>92.319157613792001</v>
      </c>
      <c r="E2798" t="s">
        <v>92</v>
      </c>
      <c r="F2798">
        <v>101</v>
      </c>
      <c r="G2798" s="4">
        <v>46087.599236111113</v>
      </c>
    </row>
    <row r="2799" spans="1:7" x14ac:dyDescent="0.3">
      <c r="A2799">
        <v>6377</v>
      </c>
      <c r="B2799" t="s">
        <v>147</v>
      </c>
      <c r="C2799">
        <v>51002610</v>
      </c>
      <c r="D2799">
        <v>84.411702275828034</v>
      </c>
      <c r="E2799" t="s">
        <v>93</v>
      </c>
      <c r="F2799">
        <v>303</v>
      </c>
      <c r="G2799" s="4">
        <v>46087.599236111113</v>
      </c>
    </row>
    <row r="2800" spans="1:7" x14ac:dyDescent="0.3">
      <c r="A2800">
        <v>6378</v>
      </c>
      <c r="B2800" t="s">
        <v>147</v>
      </c>
      <c r="C2800">
        <v>51056116</v>
      </c>
      <c r="D2800">
        <v>98.64075506704414</v>
      </c>
      <c r="E2800" t="s">
        <v>275</v>
      </c>
      <c r="F2800">
        <v>28</v>
      </c>
      <c r="G2800" s="4">
        <v>46087.599236111113</v>
      </c>
    </row>
    <row r="2801" spans="1:7" x14ac:dyDescent="0.3">
      <c r="A2801">
        <v>6379</v>
      </c>
      <c r="B2801" t="s">
        <v>147</v>
      </c>
      <c r="C2801">
        <v>51020979</v>
      </c>
      <c r="D2801">
        <v>62.131481293109324</v>
      </c>
      <c r="E2801" t="s">
        <v>93</v>
      </c>
      <c r="F2801">
        <v>577</v>
      </c>
      <c r="G2801" s="4">
        <v>46087.599236111113</v>
      </c>
    </row>
    <row r="2802" spans="1:7" x14ac:dyDescent="0.3">
      <c r="A2802">
        <v>6380</v>
      </c>
      <c r="B2802" t="s">
        <v>147</v>
      </c>
      <c r="C2802">
        <v>51015207</v>
      </c>
      <c r="D2802">
        <v>71.171938776931427</v>
      </c>
      <c r="E2802" t="s">
        <v>93</v>
      </c>
      <c r="F2802">
        <v>506</v>
      </c>
      <c r="G2802" s="4">
        <v>46087.599236111113</v>
      </c>
    </row>
    <row r="2803" spans="1:7" x14ac:dyDescent="0.3">
      <c r="A2803">
        <v>6381</v>
      </c>
      <c r="B2803" t="s">
        <v>147</v>
      </c>
      <c r="C2803">
        <v>51007549</v>
      </c>
      <c r="D2803">
        <v>57.425202640866601</v>
      </c>
      <c r="E2803" t="s">
        <v>94</v>
      </c>
      <c r="F2803">
        <v>677</v>
      </c>
      <c r="G2803" s="4">
        <v>46087.599236111113</v>
      </c>
    </row>
    <row r="2804" spans="1:7" x14ac:dyDescent="0.3">
      <c r="A2804">
        <v>6382</v>
      </c>
      <c r="B2804" t="s">
        <v>147</v>
      </c>
      <c r="C2804">
        <v>51032624</v>
      </c>
      <c r="D2804">
        <v>58.676062671375803</v>
      </c>
      <c r="E2804" t="s">
        <v>94</v>
      </c>
      <c r="F2804">
        <v>641</v>
      </c>
      <c r="G2804" s="4">
        <v>46087.599236111113</v>
      </c>
    </row>
    <row r="2805" spans="1:7" x14ac:dyDescent="0.3">
      <c r="A2805">
        <v>6383</v>
      </c>
      <c r="B2805" t="s">
        <v>147</v>
      </c>
      <c r="C2805">
        <v>51002555</v>
      </c>
      <c r="D2805">
        <v>95.613126419688683</v>
      </c>
      <c r="E2805" t="s">
        <v>92</v>
      </c>
      <c r="F2805">
        <v>64</v>
      </c>
      <c r="G2805" s="4">
        <v>46087.599236111113</v>
      </c>
    </row>
    <row r="2806" spans="1:7" x14ac:dyDescent="0.3">
      <c r="A2806">
        <v>6384</v>
      </c>
      <c r="B2806" t="s">
        <v>147</v>
      </c>
      <c r="C2806">
        <v>51029879</v>
      </c>
      <c r="D2806">
        <v>74.307055981680676</v>
      </c>
      <c r="E2806" t="s">
        <v>93</v>
      </c>
      <c r="F2806">
        <v>478</v>
      </c>
      <c r="G2806" s="4">
        <v>46087.599236111113</v>
      </c>
    </row>
    <row r="2807" spans="1:7" x14ac:dyDescent="0.3">
      <c r="A2807">
        <v>6385</v>
      </c>
      <c r="B2807" t="s">
        <v>147</v>
      </c>
      <c r="C2807">
        <v>51011147</v>
      </c>
      <c r="D2807">
        <v>35.236164466984121</v>
      </c>
      <c r="E2807" t="s">
        <v>94</v>
      </c>
      <c r="F2807">
        <v>805</v>
      </c>
      <c r="G2807" s="4">
        <v>46087.599236111113</v>
      </c>
    </row>
    <row r="2808" spans="1:7" x14ac:dyDescent="0.3">
      <c r="A2808">
        <v>6386</v>
      </c>
      <c r="B2808" t="s">
        <v>147</v>
      </c>
      <c r="C2808">
        <v>51030427</v>
      </c>
      <c r="D2808">
        <v>100</v>
      </c>
      <c r="E2808" t="s">
        <v>275</v>
      </c>
      <c r="F2808">
        <v>1</v>
      </c>
      <c r="G2808" s="4">
        <v>46087.599236111113</v>
      </c>
    </row>
    <row r="2809" spans="1:7" x14ac:dyDescent="0.3">
      <c r="A2809">
        <v>6387</v>
      </c>
      <c r="B2809" t="s">
        <v>147</v>
      </c>
      <c r="C2809">
        <v>51032675</v>
      </c>
      <c r="D2809">
        <v>81.842719560585451</v>
      </c>
      <c r="E2809" t="s">
        <v>93</v>
      </c>
      <c r="F2809">
        <v>389</v>
      </c>
      <c r="G2809" s="4">
        <v>46087.599236111113</v>
      </c>
    </row>
    <row r="2810" spans="1:7" x14ac:dyDescent="0.3">
      <c r="A2810">
        <v>6388</v>
      </c>
      <c r="B2810" t="s">
        <v>147</v>
      </c>
      <c r="C2810">
        <v>51042921</v>
      </c>
      <c r="D2810">
        <v>79.420548777673119</v>
      </c>
      <c r="E2810" t="s">
        <v>93</v>
      </c>
      <c r="F2810">
        <v>447</v>
      </c>
      <c r="G2810" s="4">
        <v>46087.599236111113</v>
      </c>
    </row>
    <row r="2811" spans="1:7" x14ac:dyDescent="0.3">
      <c r="A2811">
        <v>6389</v>
      </c>
      <c r="B2811" t="s">
        <v>147</v>
      </c>
      <c r="C2811">
        <v>51056272</v>
      </c>
      <c r="D2811">
        <v>63.617779466897694</v>
      </c>
      <c r="E2811" t="s">
        <v>93</v>
      </c>
      <c r="F2811">
        <v>553</v>
      </c>
      <c r="G2811" s="4">
        <v>46087.599236111113</v>
      </c>
    </row>
    <row r="2812" spans="1:7" x14ac:dyDescent="0.3">
      <c r="A2812">
        <v>6390</v>
      </c>
      <c r="B2812" t="s">
        <v>147</v>
      </c>
      <c r="C2812">
        <v>51007883</v>
      </c>
      <c r="D2812">
        <v>70.235819594041843</v>
      </c>
      <c r="E2812" t="s">
        <v>93</v>
      </c>
      <c r="F2812">
        <v>511</v>
      </c>
      <c r="G2812" s="4">
        <v>46087.599236111113</v>
      </c>
    </row>
    <row r="2813" spans="1:7" x14ac:dyDescent="0.3">
      <c r="A2813">
        <v>6391</v>
      </c>
      <c r="B2813" t="s">
        <v>147</v>
      </c>
      <c r="C2813">
        <v>51030010</v>
      </c>
      <c r="D2813">
        <v>96.027377396561491</v>
      </c>
      <c r="E2813" t="s">
        <v>92</v>
      </c>
      <c r="F2813">
        <v>61</v>
      </c>
      <c r="G2813" s="4">
        <v>46087.599236111113</v>
      </c>
    </row>
    <row r="2814" spans="1:7" x14ac:dyDescent="0.3">
      <c r="A2814">
        <v>6392</v>
      </c>
      <c r="B2814" t="s">
        <v>147</v>
      </c>
      <c r="C2814">
        <v>51056124</v>
      </c>
      <c r="D2814">
        <v>85.306720981054951</v>
      </c>
      <c r="E2814" t="s">
        <v>93</v>
      </c>
      <c r="F2814">
        <v>275</v>
      </c>
      <c r="G2814" s="4">
        <v>46087.599236111113</v>
      </c>
    </row>
    <row r="2815" spans="1:7" x14ac:dyDescent="0.3">
      <c r="A2815">
        <v>6393</v>
      </c>
      <c r="B2815" t="s">
        <v>147</v>
      </c>
      <c r="C2815">
        <v>51043758</v>
      </c>
      <c r="D2815">
        <v>84.058209616385568</v>
      </c>
      <c r="E2815" t="s">
        <v>93</v>
      </c>
      <c r="F2815">
        <v>319</v>
      </c>
      <c r="G2815" s="4">
        <v>46087.599236111113</v>
      </c>
    </row>
    <row r="2816" spans="1:7" x14ac:dyDescent="0.3">
      <c r="A2816">
        <v>6394</v>
      </c>
      <c r="B2816" t="s">
        <v>147</v>
      </c>
      <c r="C2816">
        <v>51055039</v>
      </c>
      <c r="D2816">
        <v>37.111693171184406</v>
      </c>
      <c r="E2816" t="s">
        <v>94</v>
      </c>
      <c r="F2816">
        <v>799</v>
      </c>
      <c r="G2816" s="4">
        <v>46087.599236111113</v>
      </c>
    </row>
    <row r="2817" spans="1:7" x14ac:dyDescent="0.3">
      <c r="A2817">
        <v>6395</v>
      </c>
      <c r="B2817" t="s">
        <v>147</v>
      </c>
      <c r="C2817">
        <v>51056582</v>
      </c>
      <c r="D2817">
        <v>82.490547873271836</v>
      </c>
      <c r="E2817" t="s">
        <v>93</v>
      </c>
      <c r="F2817">
        <v>374</v>
      </c>
      <c r="G2817" s="4">
        <v>46087.599236111113</v>
      </c>
    </row>
    <row r="2818" spans="1:7" x14ac:dyDescent="0.3">
      <c r="A2818">
        <v>6396</v>
      </c>
      <c r="B2818" t="s">
        <v>147</v>
      </c>
      <c r="C2818">
        <v>51021321</v>
      </c>
      <c r="D2818">
        <v>89.489757755141667</v>
      </c>
      <c r="E2818" t="s">
        <v>92</v>
      </c>
      <c r="F2818">
        <v>150</v>
      </c>
      <c r="G2818" s="4">
        <v>46087.599236111113</v>
      </c>
    </row>
    <row r="2819" spans="1:7" x14ac:dyDescent="0.3">
      <c r="A2819">
        <v>6397</v>
      </c>
      <c r="B2819" t="s">
        <v>147</v>
      </c>
      <c r="C2819">
        <v>51055322</v>
      </c>
      <c r="D2819">
        <v>81.638229926089437</v>
      </c>
      <c r="E2819" t="s">
        <v>93</v>
      </c>
      <c r="F2819">
        <v>394</v>
      </c>
      <c r="G2819" s="4">
        <v>46087.599236111113</v>
      </c>
    </row>
    <row r="2820" spans="1:7" x14ac:dyDescent="0.3">
      <c r="A2820">
        <v>6398</v>
      </c>
      <c r="B2820" t="s">
        <v>147</v>
      </c>
      <c r="C2820">
        <v>51010027</v>
      </c>
      <c r="D2820">
        <v>28.283670966151004</v>
      </c>
      <c r="E2820" t="s">
        <v>94</v>
      </c>
      <c r="F2820">
        <v>884</v>
      </c>
      <c r="G2820" s="4">
        <v>46087.599236111113</v>
      </c>
    </row>
    <row r="2821" spans="1:7" x14ac:dyDescent="0.3">
      <c r="A2821">
        <v>6399</v>
      </c>
      <c r="B2821" t="s">
        <v>147</v>
      </c>
      <c r="C2821">
        <v>51011295</v>
      </c>
      <c r="D2821">
        <v>89.785551424585577</v>
      </c>
      <c r="E2821" t="s">
        <v>92</v>
      </c>
      <c r="F2821">
        <v>140</v>
      </c>
      <c r="G2821" s="4">
        <v>46087.599236111113</v>
      </c>
    </row>
    <row r="2822" spans="1:7" x14ac:dyDescent="0.3">
      <c r="A2822">
        <v>6400</v>
      </c>
      <c r="B2822" t="s">
        <v>147</v>
      </c>
      <c r="C2822">
        <v>51017145</v>
      </c>
      <c r="D2822">
        <v>61.691802079793824</v>
      </c>
      <c r="E2822" t="s">
        <v>93</v>
      </c>
      <c r="F2822">
        <v>587</v>
      </c>
      <c r="G2822" s="4">
        <v>46087.599236111113</v>
      </c>
    </row>
    <row r="2823" spans="1:7" x14ac:dyDescent="0.3">
      <c r="A2823">
        <v>6401</v>
      </c>
      <c r="B2823" t="s">
        <v>147</v>
      </c>
      <c r="C2823">
        <v>51055888</v>
      </c>
      <c r="D2823">
        <v>34.435713788871759</v>
      </c>
      <c r="E2823" t="s">
        <v>94</v>
      </c>
      <c r="F2823">
        <v>810</v>
      </c>
      <c r="G2823" s="4">
        <v>46087.599236111113</v>
      </c>
    </row>
    <row r="2824" spans="1:7" x14ac:dyDescent="0.3">
      <c r="A2824">
        <v>6402</v>
      </c>
      <c r="B2824" t="s">
        <v>147</v>
      </c>
      <c r="C2824">
        <v>51031881</v>
      </c>
      <c r="D2824">
        <v>88.657141178231683</v>
      </c>
      <c r="E2824" t="s">
        <v>92</v>
      </c>
      <c r="F2824">
        <v>178</v>
      </c>
      <c r="G2824" s="4">
        <v>46087.599236111113</v>
      </c>
    </row>
    <row r="2825" spans="1:7" x14ac:dyDescent="0.3">
      <c r="A2825">
        <v>6403</v>
      </c>
      <c r="B2825" t="s">
        <v>147</v>
      </c>
      <c r="C2825">
        <v>51010060</v>
      </c>
      <c r="D2825">
        <v>91.800167317083819</v>
      </c>
      <c r="E2825" t="s">
        <v>92</v>
      </c>
      <c r="F2825">
        <v>108</v>
      </c>
      <c r="G2825" s="4">
        <v>46087.599236111113</v>
      </c>
    </row>
    <row r="2826" spans="1:7" x14ac:dyDescent="0.3">
      <c r="A2826">
        <v>6404</v>
      </c>
      <c r="B2826" t="s">
        <v>147</v>
      </c>
      <c r="C2826">
        <v>51056400</v>
      </c>
      <c r="D2826">
        <v>95.601730661687327</v>
      </c>
      <c r="E2826" t="s">
        <v>92</v>
      </c>
      <c r="F2826">
        <v>65</v>
      </c>
      <c r="G2826" s="4">
        <v>46087.599236111113</v>
      </c>
    </row>
    <row r="2827" spans="1:7" x14ac:dyDescent="0.3">
      <c r="A2827">
        <v>6405</v>
      </c>
      <c r="B2827" t="s">
        <v>147</v>
      </c>
      <c r="C2827">
        <v>51056531</v>
      </c>
      <c r="D2827">
        <v>98.316775013793517</v>
      </c>
      <c r="E2827" t="s">
        <v>275</v>
      </c>
      <c r="F2827">
        <v>34</v>
      </c>
      <c r="G2827" s="4">
        <v>46087.599236111113</v>
      </c>
    </row>
    <row r="2828" spans="1:7" x14ac:dyDescent="0.3">
      <c r="A2828">
        <v>6406</v>
      </c>
      <c r="B2828" t="s">
        <v>147</v>
      </c>
      <c r="C2828">
        <v>51011643</v>
      </c>
      <c r="D2828">
        <v>73.157480597431828</v>
      </c>
      <c r="E2828" t="s">
        <v>93</v>
      </c>
      <c r="F2828">
        <v>489</v>
      </c>
      <c r="G2828" s="4">
        <v>46087.599236111113</v>
      </c>
    </row>
    <row r="2829" spans="1:7" x14ac:dyDescent="0.3">
      <c r="A2829">
        <v>6407</v>
      </c>
      <c r="B2829" t="s">
        <v>147</v>
      </c>
      <c r="C2829">
        <v>51016742</v>
      </c>
      <c r="D2829">
        <v>57.370775012691745</v>
      </c>
      <c r="E2829" t="s">
        <v>94</v>
      </c>
      <c r="F2829">
        <v>678</v>
      </c>
      <c r="G2829" s="4">
        <v>46087.599236111113</v>
      </c>
    </row>
    <row r="2830" spans="1:7" x14ac:dyDescent="0.3">
      <c r="A2830">
        <v>6408</v>
      </c>
      <c r="B2830" t="s">
        <v>147</v>
      </c>
      <c r="C2830">
        <v>51010990</v>
      </c>
      <c r="D2830">
        <v>83.749080887092759</v>
      </c>
      <c r="E2830" t="s">
        <v>93</v>
      </c>
      <c r="F2830">
        <v>328</v>
      </c>
      <c r="G2830" s="4">
        <v>46087.599236111113</v>
      </c>
    </row>
    <row r="2831" spans="1:7" x14ac:dyDescent="0.3">
      <c r="A2831">
        <v>6409</v>
      </c>
      <c r="B2831" t="s">
        <v>147</v>
      </c>
      <c r="C2831">
        <v>51039998</v>
      </c>
      <c r="D2831">
        <v>26.128170192647875</v>
      </c>
      <c r="E2831" t="s">
        <v>94</v>
      </c>
      <c r="F2831">
        <v>907</v>
      </c>
      <c r="G2831" s="4">
        <v>46087.599236111113</v>
      </c>
    </row>
    <row r="2832" spans="1:7" x14ac:dyDescent="0.3">
      <c r="A2832">
        <v>6410</v>
      </c>
      <c r="B2832" t="s">
        <v>147</v>
      </c>
      <c r="C2832">
        <v>51056736</v>
      </c>
      <c r="D2832">
        <v>57.68828530796803</v>
      </c>
      <c r="E2832" t="s">
        <v>94</v>
      </c>
      <c r="F2832">
        <v>671</v>
      </c>
      <c r="G2832" s="4">
        <v>46087.599236111113</v>
      </c>
    </row>
    <row r="2833" spans="1:7" x14ac:dyDescent="0.3">
      <c r="A2833">
        <v>6411</v>
      </c>
      <c r="B2833" t="s">
        <v>147</v>
      </c>
      <c r="C2833">
        <v>51044436</v>
      </c>
      <c r="D2833">
        <v>58.13442128890194</v>
      </c>
      <c r="E2833" t="s">
        <v>94</v>
      </c>
      <c r="F2833">
        <v>656</v>
      </c>
      <c r="G2833" s="4">
        <v>46087.599236111113</v>
      </c>
    </row>
    <row r="2834" spans="1:7" x14ac:dyDescent="0.3">
      <c r="A2834">
        <v>6412</v>
      </c>
      <c r="B2834" t="s">
        <v>147</v>
      </c>
      <c r="C2834">
        <v>51017552</v>
      </c>
      <c r="D2834">
        <v>81.603593203562625</v>
      </c>
      <c r="E2834" t="s">
        <v>93</v>
      </c>
      <c r="F2834">
        <v>398</v>
      </c>
      <c r="G2834" s="4">
        <v>46087.599236111113</v>
      </c>
    </row>
    <row r="2835" spans="1:7" x14ac:dyDescent="0.3">
      <c r="A2835">
        <v>6413</v>
      </c>
      <c r="B2835" t="s">
        <v>147</v>
      </c>
      <c r="C2835">
        <v>51055276</v>
      </c>
      <c r="D2835">
        <v>69.671141882137505</v>
      </c>
      <c r="E2835" t="s">
        <v>93</v>
      </c>
      <c r="F2835">
        <v>513</v>
      </c>
      <c r="G2835" s="4">
        <v>46087.599236111113</v>
      </c>
    </row>
    <row r="2836" spans="1:7" x14ac:dyDescent="0.3">
      <c r="A2836">
        <v>6414</v>
      </c>
      <c r="B2836" t="s">
        <v>147</v>
      </c>
      <c r="C2836">
        <v>51020189</v>
      </c>
      <c r="D2836">
        <v>85.704247861668151</v>
      </c>
      <c r="E2836" t="s">
        <v>93</v>
      </c>
      <c r="F2836">
        <v>262</v>
      </c>
      <c r="G2836" s="4">
        <v>46087.599236111113</v>
      </c>
    </row>
    <row r="2837" spans="1:7" x14ac:dyDescent="0.3">
      <c r="A2837">
        <v>6415</v>
      </c>
      <c r="B2837" t="s">
        <v>147</v>
      </c>
      <c r="C2837">
        <v>51041259</v>
      </c>
      <c r="D2837">
        <v>75.848994978239332</v>
      </c>
      <c r="E2837" t="s">
        <v>93</v>
      </c>
      <c r="F2837">
        <v>466</v>
      </c>
      <c r="G2837" s="4">
        <v>46087.599236111113</v>
      </c>
    </row>
    <row r="2838" spans="1:7" x14ac:dyDescent="0.3">
      <c r="A2838">
        <v>6416</v>
      </c>
      <c r="B2838" t="s">
        <v>147</v>
      </c>
      <c r="C2838">
        <v>51022751</v>
      </c>
      <c r="D2838">
        <v>64.255523907710554</v>
      </c>
      <c r="E2838" t="s">
        <v>93</v>
      </c>
      <c r="F2838">
        <v>547</v>
      </c>
      <c r="G2838" s="4">
        <v>46087.599236111113</v>
      </c>
    </row>
    <row r="2839" spans="1:7" x14ac:dyDescent="0.3">
      <c r="A2839">
        <v>6417</v>
      </c>
      <c r="B2839" t="s">
        <v>147</v>
      </c>
      <c r="C2839">
        <v>51016645</v>
      </c>
      <c r="D2839">
        <v>54.745291554521017</v>
      </c>
      <c r="E2839" t="s">
        <v>94</v>
      </c>
      <c r="F2839">
        <v>720</v>
      </c>
      <c r="G2839" s="4">
        <v>46087.599236111113</v>
      </c>
    </row>
    <row r="2840" spans="1:7" x14ac:dyDescent="0.3">
      <c r="A2840">
        <v>6418</v>
      </c>
      <c r="B2840" t="s">
        <v>147</v>
      </c>
      <c r="C2840">
        <v>51011155</v>
      </c>
      <c r="D2840">
        <v>91.368664314020535</v>
      </c>
      <c r="E2840" t="s">
        <v>92</v>
      </c>
      <c r="F2840">
        <v>112</v>
      </c>
      <c r="G2840" s="4">
        <v>46087.599236111113</v>
      </c>
    </row>
    <row r="2841" spans="1:7" x14ac:dyDescent="0.3">
      <c r="A2841">
        <v>6419</v>
      </c>
      <c r="B2841" t="s">
        <v>147</v>
      </c>
      <c r="C2841">
        <v>51014022</v>
      </c>
      <c r="D2841">
        <v>69.524587337074337</v>
      </c>
      <c r="E2841" t="s">
        <v>93</v>
      </c>
      <c r="F2841">
        <v>516</v>
      </c>
      <c r="G2841" s="4">
        <v>46087.599236111113</v>
      </c>
    </row>
    <row r="2842" spans="1:7" x14ac:dyDescent="0.3">
      <c r="A2842">
        <v>6420</v>
      </c>
      <c r="B2842" t="s">
        <v>147</v>
      </c>
      <c r="C2842">
        <v>51018991</v>
      </c>
      <c r="D2842">
        <v>54.701688970322799</v>
      </c>
      <c r="E2842" t="s">
        <v>94</v>
      </c>
      <c r="F2842">
        <v>721</v>
      </c>
      <c r="G2842" s="4">
        <v>46087.599236111113</v>
      </c>
    </row>
    <row r="2843" spans="1:7" x14ac:dyDescent="0.3">
      <c r="A2843">
        <v>6421</v>
      </c>
      <c r="B2843" t="s">
        <v>147</v>
      </c>
      <c r="C2843">
        <v>51030478</v>
      </c>
      <c r="D2843">
        <v>75.837526712670581</v>
      </c>
      <c r="E2843" t="s">
        <v>93</v>
      </c>
      <c r="F2843">
        <v>468</v>
      </c>
      <c r="G2843" s="4">
        <v>46087.599236111113</v>
      </c>
    </row>
    <row r="2844" spans="1:7" x14ac:dyDescent="0.3">
      <c r="A2844">
        <v>6422</v>
      </c>
      <c r="B2844" t="s">
        <v>147</v>
      </c>
      <c r="C2844">
        <v>51028040</v>
      </c>
      <c r="D2844">
        <v>87.847209943577795</v>
      </c>
      <c r="E2844" t="s">
        <v>92</v>
      </c>
      <c r="F2844">
        <v>205</v>
      </c>
      <c r="G2844" s="4">
        <v>46087.599236111113</v>
      </c>
    </row>
    <row r="2845" spans="1:7" x14ac:dyDescent="0.3">
      <c r="A2845">
        <v>6423</v>
      </c>
      <c r="B2845" t="s">
        <v>147</v>
      </c>
      <c r="C2845">
        <v>51055616</v>
      </c>
      <c r="D2845">
        <v>88.492928727973151</v>
      </c>
      <c r="E2845" t="s">
        <v>92</v>
      </c>
      <c r="F2845">
        <v>184</v>
      </c>
      <c r="G2845" s="4">
        <v>46087.599236111113</v>
      </c>
    </row>
    <row r="2846" spans="1:7" x14ac:dyDescent="0.3">
      <c r="A2846">
        <v>6424</v>
      </c>
      <c r="B2846" t="s">
        <v>147</v>
      </c>
      <c r="C2846">
        <v>51036239</v>
      </c>
      <c r="D2846">
        <v>22.242608063025877</v>
      </c>
      <c r="E2846" t="s">
        <v>94</v>
      </c>
      <c r="F2846">
        <v>945</v>
      </c>
      <c r="G2846" s="4">
        <v>46087.599236111113</v>
      </c>
    </row>
    <row r="2847" spans="1:7" x14ac:dyDescent="0.3">
      <c r="A2847">
        <v>6425</v>
      </c>
      <c r="B2847" t="s">
        <v>147</v>
      </c>
      <c r="C2847">
        <v>51025873</v>
      </c>
      <c r="D2847">
        <v>32.164249067503668</v>
      </c>
      <c r="E2847" t="s">
        <v>94</v>
      </c>
      <c r="F2847">
        <v>835</v>
      </c>
      <c r="G2847" s="4">
        <v>46087.599236111113</v>
      </c>
    </row>
    <row r="2848" spans="1:7" x14ac:dyDescent="0.3">
      <c r="A2848">
        <v>6426</v>
      </c>
      <c r="B2848" t="s">
        <v>147</v>
      </c>
      <c r="C2848">
        <v>51034155</v>
      </c>
      <c r="D2848">
        <v>36.274875554567288</v>
      </c>
      <c r="E2848" t="s">
        <v>94</v>
      </c>
      <c r="F2848">
        <v>803</v>
      </c>
      <c r="G2848" s="4">
        <v>46087.599236111113</v>
      </c>
    </row>
    <row r="2849" spans="1:7" x14ac:dyDescent="0.3">
      <c r="A2849">
        <v>6427</v>
      </c>
      <c r="B2849" t="s">
        <v>147</v>
      </c>
      <c r="C2849">
        <v>51021207</v>
      </c>
      <c r="D2849">
        <v>18.022787538405115</v>
      </c>
      <c r="E2849" t="s">
        <v>95</v>
      </c>
      <c r="F2849">
        <v>1030</v>
      </c>
      <c r="G2849" s="4">
        <v>46087.599236111113</v>
      </c>
    </row>
    <row r="2850" spans="1:7" x14ac:dyDescent="0.3">
      <c r="A2850">
        <v>6428</v>
      </c>
      <c r="B2850" t="s">
        <v>147</v>
      </c>
      <c r="C2850">
        <v>51054831</v>
      </c>
      <c r="D2850">
        <v>27.43995182313639</v>
      </c>
      <c r="E2850" t="s">
        <v>94</v>
      </c>
      <c r="F2850">
        <v>895</v>
      </c>
      <c r="G2850" s="4">
        <v>46087.599236111113</v>
      </c>
    </row>
    <row r="2851" spans="1:7" x14ac:dyDescent="0.3">
      <c r="A2851">
        <v>6429</v>
      </c>
      <c r="B2851" t="s">
        <v>147</v>
      </c>
      <c r="C2851">
        <v>51010051</v>
      </c>
      <c r="D2851">
        <v>89.239264254664874</v>
      </c>
      <c r="E2851" t="s">
        <v>92</v>
      </c>
      <c r="F2851">
        <v>159</v>
      </c>
      <c r="G2851" s="4">
        <v>46087.599236111113</v>
      </c>
    </row>
    <row r="2852" spans="1:7" x14ac:dyDescent="0.3">
      <c r="A2852">
        <v>6430</v>
      </c>
      <c r="B2852" t="s">
        <v>147</v>
      </c>
      <c r="C2852">
        <v>51015754</v>
      </c>
      <c r="D2852">
        <v>22.67591045096291</v>
      </c>
      <c r="E2852" t="s">
        <v>94</v>
      </c>
      <c r="F2852">
        <v>938</v>
      </c>
      <c r="G2852" s="4">
        <v>46087.599236111113</v>
      </c>
    </row>
    <row r="2853" spans="1:7" x14ac:dyDescent="0.3">
      <c r="A2853">
        <v>6431</v>
      </c>
      <c r="B2853" t="s">
        <v>147</v>
      </c>
      <c r="C2853">
        <v>51023528</v>
      </c>
      <c r="D2853">
        <v>58.884621032705212</v>
      </c>
      <c r="E2853" t="s">
        <v>94</v>
      </c>
      <c r="F2853">
        <v>638</v>
      </c>
      <c r="G2853" s="4">
        <v>46087.599236111113</v>
      </c>
    </row>
    <row r="2854" spans="1:7" x14ac:dyDescent="0.3">
      <c r="A2854">
        <v>6432</v>
      </c>
      <c r="B2854" t="s">
        <v>147</v>
      </c>
      <c r="C2854">
        <v>51013735</v>
      </c>
      <c r="D2854">
        <v>83.949162630640615</v>
      </c>
      <c r="E2854" t="s">
        <v>93</v>
      </c>
      <c r="F2854">
        <v>324</v>
      </c>
      <c r="G2854" s="4">
        <v>46087.599236111113</v>
      </c>
    </row>
    <row r="2855" spans="1:7" x14ac:dyDescent="0.3">
      <c r="A2855">
        <v>6433</v>
      </c>
      <c r="B2855" t="s">
        <v>147</v>
      </c>
      <c r="C2855">
        <v>51036611</v>
      </c>
      <c r="D2855">
        <v>89.308131081037317</v>
      </c>
      <c r="E2855" t="s">
        <v>92</v>
      </c>
      <c r="F2855">
        <v>157</v>
      </c>
      <c r="G2855" s="4">
        <v>46087.599236111113</v>
      </c>
    </row>
    <row r="2856" spans="1:7" x14ac:dyDescent="0.3">
      <c r="A2856">
        <v>6434</v>
      </c>
      <c r="B2856" t="s">
        <v>147</v>
      </c>
      <c r="C2856">
        <v>51010035</v>
      </c>
      <c r="D2856">
        <v>91.222522650358698</v>
      </c>
      <c r="E2856" t="s">
        <v>92</v>
      </c>
      <c r="F2856">
        <v>113</v>
      </c>
      <c r="G2856" s="4">
        <v>46087.599236111113</v>
      </c>
    </row>
    <row r="2857" spans="1:7" x14ac:dyDescent="0.3">
      <c r="A2857">
        <v>6435</v>
      </c>
      <c r="B2857" t="s">
        <v>147</v>
      </c>
      <c r="C2857">
        <v>51035682</v>
      </c>
      <c r="D2857">
        <v>67.092391052908695</v>
      </c>
      <c r="E2857" t="s">
        <v>93</v>
      </c>
      <c r="F2857">
        <v>537</v>
      </c>
      <c r="G2857" s="4">
        <v>46087.599236111113</v>
      </c>
    </row>
    <row r="2858" spans="1:7" x14ac:dyDescent="0.3">
      <c r="A2858">
        <v>6436</v>
      </c>
      <c r="B2858" t="s">
        <v>147</v>
      </c>
      <c r="C2858">
        <v>51016416</v>
      </c>
      <c r="D2858">
        <v>48.547553631926363</v>
      </c>
      <c r="E2858" t="s">
        <v>94</v>
      </c>
      <c r="F2858">
        <v>751</v>
      </c>
      <c r="G2858" s="4">
        <v>46087.599236111113</v>
      </c>
    </row>
    <row r="2859" spans="1:7" x14ac:dyDescent="0.3">
      <c r="A2859">
        <v>6437</v>
      </c>
      <c r="B2859" t="s">
        <v>147</v>
      </c>
      <c r="C2859">
        <v>51038762</v>
      </c>
      <c r="D2859">
        <v>86.653576386260866</v>
      </c>
      <c r="E2859" t="s">
        <v>92</v>
      </c>
      <c r="F2859">
        <v>235</v>
      </c>
      <c r="G2859" s="4">
        <v>46087.599236111113</v>
      </c>
    </row>
    <row r="2860" spans="1:7" x14ac:dyDescent="0.3">
      <c r="A2860">
        <v>6438</v>
      </c>
      <c r="B2860" t="s">
        <v>147</v>
      </c>
      <c r="C2860">
        <v>51023307</v>
      </c>
      <c r="D2860">
        <v>88.030869686128142</v>
      </c>
      <c r="E2860" t="s">
        <v>92</v>
      </c>
      <c r="F2860">
        <v>197</v>
      </c>
      <c r="G2860" s="4">
        <v>46087.599236111113</v>
      </c>
    </row>
    <row r="2861" spans="1:7" x14ac:dyDescent="0.3">
      <c r="A2861">
        <v>6439</v>
      </c>
      <c r="B2861" t="s">
        <v>147</v>
      </c>
      <c r="C2861">
        <v>51012062</v>
      </c>
      <c r="D2861">
        <v>67.732717271050348</v>
      </c>
      <c r="E2861" t="s">
        <v>93</v>
      </c>
      <c r="F2861">
        <v>532</v>
      </c>
      <c r="G2861" s="4">
        <v>46087.599236111113</v>
      </c>
    </row>
    <row r="2862" spans="1:7" x14ac:dyDescent="0.3">
      <c r="A2862">
        <v>6440</v>
      </c>
      <c r="B2862" t="s">
        <v>147</v>
      </c>
      <c r="C2862">
        <v>51021631</v>
      </c>
      <c r="D2862">
        <v>92.360925202202026</v>
      </c>
      <c r="E2862" t="s">
        <v>92</v>
      </c>
      <c r="F2862">
        <v>100</v>
      </c>
      <c r="G2862" s="4">
        <v>46087.599236111113</v>
      </c>
    </row>
    <row r="2863" spans="1:7" x14ac:dyDescent="0.3">
      <c r="A2863">
        <v>6441</v>
      </c>
      <c r="B2863" t="s">
        <v>147</v>
      </c>
      <c r="C2863">
        <v>51008618</v>
      </c>
      <c r="D2863">
        <v>20.958022911614822</v>
      </c>
      <c r="E2863" t="s">
        <v>95</v>
      </c>
      <c r="F2863">
        <v>964</v>
      </c>
      <c r="G2863" s="4">
        <v>46087.599236111113</v>
      </c>
    </row>
    <row r="2864" spans="1:7" x14ac:dyDescent="0.3">
      <c r="A2864">
        <v>6442</v>
      </c>
      <c r="B2864" t="s">
        <v>147</v>
      </c>
      <c r="C2864">
        <v>51010574</v>
      </c>
      <c r="D2864">
        <v>81.834698440150291</v>
      </c>
      <c r="E2864" t="s">
        <v>93</v>
      </c>
      <c r="F2864">
        <v>390</v>
      </c>
      <c r="G2864" s="4">
        <v>46087.599236111113</v>
      </c>
    </row>
    <row r="2865" spans="1:7" x14ac:dyDescent="0.3">
      <c r="A2865">
        <v>6443</v>
      </c>
      <c r="B2865" t="s">
        <v>147</v>
      </c>
      <c r="C2865">
        <v>51056493</v>
      </c>
      <c r="D2865">
        <v>94.360057156038792</v>
      </c>
      <c r="E2865" t="s">
        <v>92</v>
      </c>
      <c r="F2865">
        <v>74</v>
      </c>
      <c r="G2865" s="4">
        <v>46087.599236111113</v>
      </c>
    </row>
    <row r="2866" spans="1:7" x14ac:dyDescent="0.3">
      <c r="A2866">
        <v>6444</v>
      </c>
      <c r="B2866" t="s">
        <v>147</v>
      </c>
      <c r="C2866">
        <v>51024206</v>
      </c>
      <c r="D2866">
        <v>77.856367142956373</v>
      </c>
      <c r="E2866" t="s">
        <v>93</v>
      </c>
      <c r="F2866">
        <v>453</v>
      </c>
      <c r="G2866" s="4">
        <v>46087.599236111113</v>
      </c>
    </row>
    <row r="2867" spans="1:7" x14ac:dyDescent="0.3">
      <c r="A2867">
        <v>6445</v>
      </c>
      <c r="B2867" t="s">
        <v>147</v>
      </c>
      <c r="C2867">
        <v>51056442</v>
      </c>
      <c r="D2867">
        <v>56.350872925379797</v>
      </c>
      <c r="E2867" t="s">
        <v>94</v>
      </c>
      <c r="F2867">
        <v>694</v>
      </c>
      <c r="G2867" s="4">
        <v>46087.599236111113</v>
      </c>
    </row>
    <row r="2868" spans="1:7" x14ac:dyDescent="0.3">
      <c r="A2868">
        <v>6446</v>
      </c>
      <c r="B2868" t="s">
        <v>147</v>
      </c>
      <c r="C2868">
        <v>51033621</v>
      </c>
      <c r="D2868">
        <v>59.152003046719422</v>
      </c>
      <c r="E2868" t="s">
        <v>94</v>
      </c>
      <c r="F2868">
        <v>635</v>
      </c>
      <c r="G2868" s="4">
        <v>46087.599236111113</v>
      </c>
    </row>
    <row r="2869" spans="1:7" x14ac:dyDescent="0.3">
      <c r="A2869">
        <v>6447</v>
      </c>
      <c r="B2869" t="s">
        <v>147</v>
      </c>
      <c r="C2869">
        <v>51016394</v>
      </c>
      <c r="D2869">
        <v>86.1789347614517</v>
      </c>
      <c r="E2869" t="s">
        <v>93</v>
      </c>
      <c r="F2869">
        <v>245</v>
      </c>
      <c r="G2869" s="4">
        <v>46087.599236111113</v>
      </c>
    </row>
    <row r="2870" spans="1:7" x14ac:dyDescent="0.3">
      <c r="A2870">
        <v>6448</v>
      </c>
      <c r="B2870" t="s">
        <v>147</v>
      </c>
      <c r="C2870">
        <v>51001389</v>
      </c>
      <c r="D2870">
        <v>95.83472894906194</v>
      </c>
      <c r="E2870" t="s">
        <v>92</v>
      </c>
      <c r="F2870">
        <v>62</v>
      </c>
      <c r="G2870" s="4">
        <v>46087.599236111113</v>
      </c>
    </row>
    <row r="2871" spans="1:7" x14ac:dyDescent="0.3">
      <c r="A2871">
        <v>6449</v>
      </c>
      <c r="B2871" t="s">
        <v>147</v>
      </c>
      <c r="C2871">
        <v>51042891</v>
      </c>
      <c r="D2871">
        <v>92.432737073375932</v>
      </c>
      <c r="E2871" t="s">
        <v>92</v>
      </c>
      <c r="F2871">
        <v>97</v>
      </c>
      <c r="G2871" s="4">
        <v>46087.599236111113</v>
      </c>
    </row>
    <row r="2872" spans="1:7" x14ac:dyDescent="0.3">
      <c r="A2872">
        <v>6450</v>
      </c>
      <c r="B2872" t="s">
        <v>147</v>
      </c>
      <c r="C2872">
        <v>51055411</v>
      </c>
      <c r="D2872">
        <v>87.457763730309367</v>
      </c>
      <c r="E2872" t="s">
        <v>92</v>
      </c>
      <c r="F2872">
        <v>213</v>
      </c>
      <c r="G2872" s="4">
        <v>46087.599236111113</v>
      </c>
    </row>
    <row r="2873" spans="1:7" x14ac:dyDescent="0.3">
      <c r="A2873">
        <v>6451</v>
      </c>
      <c r="B2873" t="s">
        <v>147</v>
      </c>
      <c r="C2873">
        <v>51038657</v>
      </c>
      <c r="D2873">
        <v>76.090395822333193</v>
      </c>
      <c r="E2873" t="s">
        <v>93</v>
      </c>
      <c r="F2873">
        <v>465</v>
      </c>
      <c r="G2873" s="4">
        <v>46087.599236111113</v>
      </c>
    </row>
    <row r="2874" spans="1:7" x14ac:dyDescent="0.3">
      <c r="A2874">
        <v>6452</v>
      </c>
      <c r="B2874" t="s">
        <v>147</v>
      </c>
      <c r="C2874">
        <v>51055632</v>
      </c>
      <c r="D2874">
        <v>33.940053888752296</v>
      </c>
      <c r="E2874" t="s">
        <v>94</v>
      </c>
      <c r="F2874">
        <v>814</v>
      </c>
      <c r="G2874" s="4">
        <v>46087.599236111113</v>
      </c>
    </row>
    <row r="2875" spans="1:7" x14ac:dyDescent="0.3">
      <c r="A2875">
        <v>6453</v>
      </c>
      <c r="B2875" t="s">
        <v>147</v>
      </c>
      <c r="C2875">
        <v>51026799</v>
      </c>
      <c r="D2875">
        <v>86.709012152956618</v>
      </c>
      <c r="E2875" t="s">
        <v>92</v>
      </c>
      <c r="F2875">
        <v>231</v>
      </c>
      <c r="G2875" s="4">
        <v>46087.599236111113</v>
      </c>
    </row>
    <row r="2876" spans="1:7" x14ac:dyDescent="0.3">
      <c r="A2876">
        <v>6454</v>
      </c>
      <c r="B2876" t="s">
        <v>147</v>
      </c>
      <c r="C2876">
        <v>51018869</v>
      </c>
      <c r="D2876">
        <v>64.27624554154427</v>
      </c>
      <c r="E2876" t="s">
        <v>93</v>
      </c>
      <c r="F2876">
        <v>546</v>
      </c>
      <c r="G2876" s="4">
        <v>46087.599236111113</v>
      </c>
    </row>
    <row r="2877" spans="1:7" x14ac:dyDescent="0.3">
      <c r="A2877">
        <v>6455</v>
      </c>
      <c r="B2877" t="s">
        <v>147</v>
      </c>
      <c r="C2877">
        <v>51055144</v>
      </c>
      <c r="D2877">
        <v>82.383942531769762</v>
      </c>
      <c r="E2877" t="s">
        <v>93</v>
      </c>
      <c r="F2877">
        <v>379</v>
      </c>
      <c r="G2877" s="4">
        <v>46087.599236111113</v>
      </c>
    </row>
    <row r="2878" spans="1:7" x14ac:dyDescent="0.3">
      <c r="A2878">
        <v>6456</v>
      </c>
      <c r="B2878" t="s">
        <v>147</v>
      </c>
      <c r="C2878">
        <v>51056884</v>
      </c>
      <c r="D2878">
        <v>63.200245637750591</v>
      </c>
      <c r="E2878" t="s">
        <v>93</v>
      </c>
      <c r="F2878">
        <v>555</v>
      </c>
      <c r="G2878" s="4">
        <v>46087.599236111113</v>
      </c>
    </row>
    <row r="2879" spans="1:7" x14ac:dyDescent="0.3">
      <c r="A2879">
        <v>6457</v>
      </c>
      <c r="B2879" t="s">
        <v>147</v>
      </c>
      <c r="C2879">
        <v>51030443</v>
      </c>
      <c r="D2879">
        <v>83.390116537518935</v>
      </c>
      <c r="E2879" t="s">
        <v>93</v>
      </c>
      <c r="F2879">
        <v>335</v>
      </c>
      <c r="G2879" s="4">
        <v>46087.599236111113</v>
      </c>
    </row>
    <row r="2880" spans="1:7" x14ac:dyDescent="0.3">
      <c r="A2880">
        <v>6458</v>
      </c>
      <c r="B2880" t="s">
        <v>147</v>
      </c>
      <c r="C2880">
        <v>51016475</v>
      </c>
      <c r="D2880">
        <v>99.092731862239617</v>
      </c>
      <c r="E2880" t="s">
        <v>275</v>
      </c>
      <c r="F2880">
        <v>23</v>
      </c>
      <c r="G2880" s="4">
        <v>46087.599236111113</v>
      </c>
    </row>
    <row r="2881" spans="1:7" x14ac:dyDescent="0.3">
      <c r="A2881">
        <v>6459</v>
      </c>
      <c r="B2881" t="s">
        <v>147</v>
      </c>
      <c r="C2881">
        <v>51018893</v>
      </c>
      <c r="D2881">
        <v>90.00992633147581</v>
      </c>
      <c r="E2881" t="s">
        <v>92</v>
      </c>
      <c r="F2881">
        <v>135</v>
      </c>
      <c r="G2881" s="4">
        <v>46087.599236111113</v>
      </c>
    </row>
    <row r="2882" spans="1:7" x14ac:dyDescent="0.3">
      <c r="A2882">
        <v>6460</v>
      </c>
      <c r="B2882" t="s">
        <v>147</v>
      </c>
      <c r="C2882">
        <v>51039157</v>
      </c>
      <c r="D2882">
        <v>19.263519456243426</v>
      </c>
      <c r="E2882" t="s">
        <v>95</v>
      </c>
      <c r="F2882">
        <v>994</v>
      </c>
      <c r="G2882" s="4">
        <v>46087.599236111113</v>
      </c>
    </row>
    <row r="2883" spans="1:7" x14ac:dyDescent="0.3">
      <c r="A2883">
        <v>6461</v>
      </c>
      <c r="B2883" t="s">
        <v>147</v>
      </c>
      <c r="C2883">
        <v>51054822</v>
      </c>
      <c r="D2883">
        <v>93.756840476360651</v>
      </c>
      <c r="E2883" t="s">
        <v>92</v>
      </c>
      <c r="F2883">
        <v>80</v>
      </c>
      <c r="G2883" s="4">
        <v>46087.599236111113</v>
      </c>
    </row>
    <row r="2884" spans="1:7" x14ac:dyDescent="0.3">
      <c r="A2884">
        <v>6462</v>
      </c>
      <c r="B2884" t="s">
        <v>147</v>
      </c>
      <c r="C2884">
        <v>51003390</v>
      </c>
      <c r="D2884">
        <v>89.823955087827287</v>
      </c>
      <c r="E2884" t="s">
        <v>92</v>
      </c>
      <c r="F2884">
        <v>139</v>
      </c>
      <c r="G2884" s="4">
        <v>46087.599236111113</v>
      </c>
    </row>
    <row r="2885" spans="1:7" x14ac:dyDescent="0.3">
      <c r="A2885">
        <v>6463</v>
      </c>
      <c r="B2885" t="s">
        <v>147</v>
      </c>
      <c r="C2885">
        <v>51056477</v>
      </c>
      <c r="D2885">
        <v>88.765453329812004</v>
      </c>
      <c r="E2885" t="s">
        <v>92</v>
      </c>
      <c r="F2885">
        <v>173</v>
      </c>
      <c r="G2885" s="4">
        <v>46087.599236111113</v>
      </c>
    </row>
    <row r="2886" spans="1:7" x14ac:dyDescent="0.3">
      <c r="A2886">
        <v>6464</v>
      </c>
      <c r="B2886" t="s">
        <v>147</v>
      </c>
      <c r="C2886">
        <v>51026527</v>
      </c>
      <c r="D2886">
        <v>44.473106659949948</v>
      </c>
      <c r="E2886" t="s">
        <v>94</v>
      </c>
      <c r="F2886">
        <v>774</v>
      </c>
      <c r="G2886" s="4">
        <v>46087.599236111113</v>
      </c>
    </row>
    <row r="2887" spans="1:7" x14ac:dyDescent="0.3">
      <c r="A2887">
        <v>6465</v>
      </c>
      <c r="B2887" t="s">
        <v>147</v>
      </c>
      <c r="C2887">
        <v>51030982</v>
      </c>
      <c r="D2887">
        <v>89.054429068298049</v>
      </c>
      <c r="E2887" t="s">
        <v>92</v>
      </c>
      <c r="F2887">
        <v>165</v>
      </c>
      <c r="G2887" s="4">
        <v>46087.599236111113</v>
      </c>
    </row>
    <row r="2888" spans="1:7" x14ac:dyDescent="0.3">
      <c r="A2888">
        <v>6466</v>
      </c>
      <c r="B2888" t="s">
        <v>147</v>
      </c>
      <c r="C2888">
        <v>51023196</v>
      </c>
      <c r="D2888">
        <v>64.493427377404913</v>
      </c>
      <c r="E2888" t="s">
        <v>93</v>
      </c>
      <c r="F2888">
        <v>544</v>
      </c>
      <c r="G2888" s="4">
        <v>46087.599236111113</v>
      </c>
    </row>
    <row r="2889" spans="1:7" x14ac:dyDescent="0.3">
      <c r="A2889">
        <v>6467</v>
      </c>
      <c r="B2889" t="s">
        <v>147</v>
      </c>
      <c r="C2889">
        <v>51014596</v>
      </c>
      <c r="D2889">
        <v>68.626994382687798</v>
      </c>
      <c r="E2889" t="s">
        <v>93</v>
      </c>
      <c r="F2889">
        <v>521</v>
      </c>
      <c r="G2889" s="4">
        <v>46087.599236111113</v>
      </c>
    </row>
    <row r="2890" spans="1:7" x14ac:dyDescent="0.3">
      <c r="A2890">
        <v>6468</v>
      </c>
      <c r="B2890" t="s">
        <v>147</v>
      </c>
      <c r="C2890">
        <v>51030125</v>
      </c>
      <c r="D2890">
        <v>61.808658143732956</v>
      </c>
      <c r="E2890" t="s">
        <v>93</v>
      </c>
      <c r="F2890">
        <v>585</v>
      </c>
      <c r="G2890" s="4">
        <v>46087.599236111113</v>
      </c>
    </row>
    <row r="2891" spans="1:7" x14ac:dyDescent="0.3">
      <c r="A2891">
        <v>6469</v>
      </c>
      <c r="B2891" t="s">
        <v>147</v>
      </c>
      <c r="C2891">
        <v>51021550</v>
      </c>
      <c r="D2891">
        <v>76.872229036917972</v>
      </c>
      <c r="E2891" t="s">
        <v>93</v>
      </c>
      <c r="F2891">
        <v>458</v>
      </c>
      <c r="G2891" s="4">
        <v>46087.599236111113</v>
      </c>
    </row>
    <row r="2892" spans="1:7" x14ac:dyDescent="0.3">
      <c r="A2892">
        <v>6470</v>
      </c>
      <c r="B2892" t="s">
        <v>147</v>
      </c>
      <c r="C2892">
        <v>51031407</v>
      </c>
      <c r="D2892">
        <v>71.958778799199521</v>
      </c>
      <c r="E2892" t="s">
        <v>93</v>
      </c>
      <c r="F2892">
        <v>499</v>
      </c>
      <c r="G2892" s="4">
        <v>46087.599236111113</v>
      </c>
    </row>
    <row r="2893" spans="1:7" x14ac:dyDescent="0.3">
      <c r="A2893">
        <v>6471</v>
      </c>
      <c r="B2893" t="s">
        <v>147</v>
      </c>
      <c r="C2893">
        <v>51038754</v>
      </c>
      <c r="D2893">
        <v>81.187052410182872</v>
      </c>
      <c r="E2893" t="s">
        <v>93</v>
      </c>
      <c r="F2893">
        <v>408</v>
      </c>
      <c r="G2893" s="4">
        <v>46087.599236111113</v>
      </c>
    </row>
    <row r="2894" spans="1:7" x14ac:dyDescent="0.3">
      <c r="A2894">
        <v>6472</v>
      </c>
      <c r="B2894" t="s">
        <v>147</v>
      </c>
      <c r="C2894">
        <v>51004761</v>
      </c>
      <c r="D2894">
        <v>44.231047619933584</v>
      </c>
      <c r="E2894" t="s">
        <v>94</v>
      </c>
      <c r="F2894">
        <v>775</v>
      </c>
      <c r="G2894" s="4">
        <v>46087.599236111113</v>
      </c>
    </row>
    <row r="2895" spans="1:7" x14ac:dyDescent="0.3">
      <c r="A2895">
        <v>6473</v>
      </c>
      <c r="B2895" t="s">
        <v>147</v>
      </c>
      <c r="C2895">
        <v>51023358</v>
      </c>
      <c r="D2895">
        <v>30.350754197491568</v>
      </c>
      <c r="E2895" t="s">
        <v>94</v>
      </c>
      <c r="F2895">
        <v>860</v>
      </c>
      <c r="G2895" s="4">
        <v>46087.599236111113</v>
      </c>
    </row>
    <row r="2896" spans="1:7" x14ac:dyDescent="0.3">
      <c r="A2896">
        <v>6474</v>
      </c>
      <c r="B2896" t="s">
        <v>147</v>
      </c>
      <c r="C2896">
        <v>51022670</v>
      </c>
      <c r="D2896">
        <v>97.87844058513916</v>
      </c>
      <c r="E2896" t="s">
        <v>275</v>
      </c>
      <c r="F2896">
        <v>39</v>
      </c>
      <c r="G2896" s="4">
        <v>46087.599236111113</v>
      </c>
    </row>
    <row r="2897" spans="1:7" x14ac:dyDescent="0.3">
      <c r="A2897">
        <v>6475</v>
      </c>
      <c r="B2897" t="s">
        <v>147</v>
      </c>
      <c r="C2897">
        <v>51029976</v>
      </c>
      <c r="D2897">
        <v>80.857459364027804</v>
      </c>
      <c r="E2897" t="s">
        <v>93</v>
      </c>
      <c r="F2897">
        <v>417</v>
      </c>
      <c r="G2897" s="4">
        <v>46087.599236111113</v>
      </c>
    </row>
    <row r="2898" spans="1:7" x14ac:dyDescent="0.3">
      <c r="A2898">
        <v>6476</v>
      </c>
      <c r="B2898" t="s">
        <v>147</v>
      </c>
      <c r="C2898">
        <v>51032195</v>
      </c>
      <c r="D2898">
        <v>32.528171337386468</v>
      </c>
      <c r="E2898" t="s">
        <v>94</v>
      </c>
      <c r="F2898">
        <v>828</v>
      </c>
      <c r="G2898" s="4">
        <v>46087.599236111113</v>
      </c>
    </row>
    <row r="2899" spans="1:7" x14ac:dyDescent="0.3">
      <c r="A2899">
        <v>6477</v>
      </c>
      <c r="B2899" t="s">
        <v>147</v>
      </c>
      <c r="C2899">
        <v>51042875</v>
      </c>
      <c r="D2899">
        <v>45.967232517085989</v>
      </c>
      <c r="E2899" t="s">
        <v>94</v>
      </c>
      <c r="F2899">
        <v>767</v>
      </c>
      <c r="G2899" s="4">
        <v>46087.599236111113</v>
      </c>
    </row>
    <row r="2900" spans="1:7" x14ac:dyDescent="0.3">
      <c r="A2900">
        <v>6478</v>
      </c>
      <c r="B2900" t="s">
        <v>147</v>
      </c>
      <c r="C2900">
        <v>51010728</v>
      </c>
      <c r="D2900">
        <v>62.79378384152686</v>
      </c>
      <c r="E2900" t="s">
        <v>93</v>
      </c>
      <c r="F2900">
        <v>563</v>
      </c>
      <c r="G2900" s="4">
        <v>46087.599236111113</v>
      </c>
    </row>
    <row r="2901" spans="1:7" x14ac:dyDescent="0.3">
      <c r="A2901">
        <v>6479</v>
      </c>
      <c r="B2901" t="s">
        <v>147</v>
      </c>
      <c r="C2901">
        <v>51056655</v>
      </c>
      <c r="D2901">
        <v>34.991129892912156</v>
      </c>
      <c r="E2901" t="s">
        <v>94</v>
      </c>
      <c r="F2901">
        <v>806</v>
      </c>
      <c r="G2901" s="4">
        <v>46087.599236111113</v>
      </c>
    </row>
    <row r="2902" spans="1:7" x14ac:dyDescent="0.3">
      <c r="A2902">
        <v>6480</v>
      </c>
      <c r="B2902" t="s">
        <v>147</v>
      </c>
      <c r="C2902">
        <v>51056817</v>
      </c>
      <c r="D2902">
        <v>44.147656372812975</v>
      </c>
      <c r="E2902" t="s">
        <v>94</v>
      </c>
      <c r="F2902">
        <v>776</v>
      </c>
      <c r="G2902" s="4">
        <v>46087.599236111113</v>
      </c>
    </row>
    <row r="2903" spans="1:7" x14ac:dyDescent="0.3">
      <c r="A2903">
        <v>6481</v>
      </c>
      <c r="B2903" t="s">
        <v>147</v>
      </c>
      <c r="C2903">
        <v>51018826</v>
      </c>
      <c r="D2903">
        <v>88.268164667328264</v>
      </c>
      <c r="E2903" t="s">
        <v>92</v>
      </c>
      <c r="F2903">
        <v>190</v>
      </c>
      <c r="G2903" s="4">
        <v>46087.599236111113</v>
      </c>
    </row>
    <row r="2904" spans="1:7" x14ac:dyDescent="0.3">
      <c r="A2904">
        <v>6482</v>
      </c>
      <c r="B2904" t="s">
        <v>147</v>
      </c>
      <c r="C2904">
        <v>51019814</v>
      </c>
      <c r="D2904">
        <v>23.336240301750948</v>
      </c>
      <c r="E2904" t="s">
        <v>94</v>
      </c>
      <c r="F2904">
        <v>930</v>
      </c>
      <c r="G2904" s="4">
        <v>46087.599236111113</v>
      </c>
    </row>
    <row r="2905" spans="1:7" x14ac:dyDescent="0.3">
      <c r="A2905">
        <v>6483</v>
      </c>
      <c r="B2905" t="s">
        <v>147</v>
      </c>
      <c r="C2905">
        <v>51033281</v>
      </c>
      <c r="D2905">
        <v>60.981824026233561</v>
      </c>
      <c r="E2905" t="s">
        <v>93</v>
      </c>
      <c r="F2905">
        <v>597</v>
      </c>
      <c r="G2905" s="4">
        <v>46087.599236111113</v>
      </c>
    </row>
    <row r="2906" spans="1:7" x14ac:dyDescent="0.3">
      <c r="A2906">
        <v>6484</v>
      </c>
      <c r="B2906" t="s">
        <v>147</v>
      </c>
      <c r="C2906">
        <v>51056523</v>
      </c>
      <c r="D2906">
        <v>21.146109187947228</v>
      </c>
      <c r="E2906" t="s">
        <v>95</v>
      </c>
      <c r="F2906">
        <v>960</v>
      </c>
      <c r="G2906" s="4">
        <v>46087.599236111113</v>
      </c>
    </row>
    <row r="2907" spans="1:7" x14ac:dyDescent="0.3">
      <c r="A2907">
        <v>6485</v>
      </c>
      <c r="B2907" t="s">
        <v>147</v>
      </c>
      <c r="C2907">
        <v>51025792</v>
      </c>
      <c r="D2907">
        <v>30.104444091070235</v>
      </c>
      <c r="E2907" t="s">
        <v>94</v>
      </c>
      <c r="F2907">
        <v>863</v>
      </c>
      <c r="G2907" s="4">
        <v>46087.599236111113</v>
      </c>
    </row>
    <row r="2908" spans="1:7" x14ac:dyDescent="0.3">
      <c r="A2908">
        <v>6486</v>
      </c>
      <c r="B2908" t="s">
        <v>147</v>
      </c>
      <c r="C2908">
        <v>51056728</v>
      </c>
      <c r="D2908">
        <v>26.175713325400054</v>
      </c>
      <c r="E2908" t="s">
        <v>94</v>
      </c>
      <c r="F2908">
        <v>906</v>
      </c>
      <c r="G2908" s="4">
        <v>46087.599236111113</v>
      </c>
    </row>
    <row r="2909" spans="1:7" x14ac:dyDescent="0.3">
      <c r="A2909">
        <v>6487</v>
      </c>
      <c r="B2909" t="s">
        <v>147</v>
      </c>
      <c r="C2909">
        <v>51011708</v>
      </c>
      <c r="D2909">
        <v>18.770209007650852</v>
      </c>
      <c r="E2909" t="s">
        <v>95</v>
      </c>
      <c r="F2909">
        <v>1011</v>
      </c>
      <c r="G2909" s="4">
        <v>46087.599236111113</v>
      </c>
    </row>
    <row r="2910" spans="1:7" x14ac:dyDescent="0.3">
      <c r="A2910">
        <v>6488</v>
      </c>
      <c r="B2910" t="s">
        <v>147</v>
      </c>
      <c r="C2910">
        <v>51056558</v>
      </c>
      <c r="D2910">
        <v>93.289630253130312</v>
      </c>
      <c r="E2910" t="s">
        <v>92</v>
      </c>
      <c r="F2910">
        <v>88</v>
      </c>
      <c r="G2910" s="4">
        <v>46087.599236111113</v>
      </c>
    </row>
    <row r="2911" spans="1:7" x14ac:dyDescent="0.3">
      <c r="A2911">
        <v>6489</v>
      </c>
      <c r="B2911" t="s">
        <v>147</v>
      </c>
      <c r="C2911">
        <v>51041801</v>
      </c>
      <c r="D2911">
        <v>87.529961624604482</v>
      </c>
      <c r="E2911" t="s">
        <v>92</v>
      </c>
      <c r="F2911">
        <v>210</v>
      </c>
      <c r="G2911" s="4">
        <v>46087.599236111113</v>
      </c>
    </row>
    <row r="2912" spans="1:7" x14ac:dyDescent="0.3">
      <c r="A2912">
        <v>6490</v>
      </c>
      <c r="B2912" t="s">
        <v>147</v>
      </c>
      <c r="C2912">
        <v>51055390</v>
      </c>
      <c r="D2912">
        <v>88.307422871310436</v>
      </c>
      <c r="E2912" t="s">
        <v>92</v>
      </c>
      <c r="F2912">
        <v>188</v>
      </c>
      <c r="G2912" s="4">
        <v>46087.599236111113</v>
      </c>
    </row>
    <row r="2913" spans="1:7" x14ac:dyDescent="0.3">
      <c r="A2913">
        <v>6491</v>
      </c>
      <c r="B2913" t="s">
        <v>147</v>
      </c>
      <c r="C2913">
        <v>51017081</v>
      </c>
      <c r="D2913">
        <v>62.397316268447398</v>
      </c>
      <c r="E2913" t="s">
        <v>93</v>
      </c>
      <c r="F2913">
        <v>572</v>
      </c>
      <c r="G2913" s="4">
        <v>46087.599236111113</v>
      </c>
    </row>
    <row r="2914" spans="1:7" x14ac:dyDescent="0.3">
      <c r="A2914">
        <v>6492</v>
      </c>
      <c r="B2914" t="s">
        <v>147</v>
      </c>
      <c r="C2914">
        <v>51056345</v>
      </c>
      <c r="D2914">
        <v>61.744346850590659</v>
      </c>
      <c r="E2914" t="s">
        <v>93</v>
      </c>
      <c r="F2914">
        <v>586</v>
      </c>
      <c r="G2914" s="4">
        <v>46087.599236111113</v>
      </c>
    </row>
    <row r="2915" spans="1:7" x14ac:dyDescent="0.3">
      <c r="A2915">
        <v>6493</v>
      </c>
      <c r="B2915" t="s">
        <v>147</v>
      </c>
      <c r="C2915">
        <v>51055942</v>
      </c>
      <c r="D2915">
        <v>88.509246632275762</v>
      </c>
      <c r="E2915" t="s">
        <v>92</v>
      </c>
      <c r="F2915">
        <v>183</v>
      </c>
      <c r="G2915" s="4">
        <v>46087.599236111113</v>
      </c>
    </row>
    <row r="2916" spans="1:7" x14ac:dyDescent="0.3">
      <c r="A2916">
        <v>6494</v>
      </c>
      <c r="B2916" t="s">
        <v>147</v>
      </c>
      <c r="C2916">
        <v>51036735</v>
      </c>
      <c r="D2916">
        <v>88.086283196486164</v>
      </c>
      <c r="E2916" t="s">
        <v>92</v>
      </c>
      <c r="F2916">
        <v>195</v>
      </c>
      <c r="G2916" s="4">
        <v>46087.599236111113</v>
      </c>
    </row>
    <row r="2917" spans="1:7" x14ac:dyDescent="0.3">
      <c r="A2917">
        <v>6495</v>
      </c>
      <c r="B2917" t="s">
        <v>147</v>
      </c>
      <c r="C2917">
        <v>51001427</v>
      </c>
      <c r="D2917">
        <v>82.66826151922443</v>
      </c>
      <c r="E2917" t="s">
        <v>93</v>
      </c>
      <c r="F2917">
        <v>369</v>
      </c>
      <c r="G2917" s="4">
        <v>46087.599236111113</v>
      </c>
    </row>
    <row r="2918" spans="1:7" x14ac:dyDescent="0.3">
      <c r="A2918">
        <v>6496</v>
      </c>
      <c r="B2918" t="s">
        <v>147</v>
      </c>
      <c r="C2918">
        <v>51010272</v>
      </c>
      <c r="D2918">
        <v>98.511910854003943</v>
      </c>
      <c r="E2918" t="s">
        <v>275</v>
      </c>
      <c r="F2918">
        <v>30</v>
      </c>
      <c r="G2918" s="4">
        <v>46087.599236111113</v>
      </c>
    </row>
    <row r="2919" spans="1:7" x14ac:dyDescent="0.3">
      <c r="A2919">
        <v>6497</v>
      </c>
      <c r="B2919" t="s">
        <v>147</v>
      </c>
      <c r="C2919">
        <v>51056451</v>
      </c>
      <c r="D2919">
        <v>58.252976783764353</v>
      </c>
      <c r="E2919" t="s">
        <v>94</v>
      </c>
      <c r="F2919">
        <v>652</v>
      </c>
      <c r="G2919" s="4">
        <v>46087.599236111113</v>
      </c>
    </row>
    <row r="2920" spans="1:7" x14ac:dyDescent="0.3">
      <c r="A2920">
        <v>6498</v>
      </c>
      <c r="B2920" t="s">
        <v>147</v>
      </c>
      <c r="C2920">
        <v>51018907</v>
      </c>
      <c r="D2920">
        <v>73.641609466775094</v>
      </c>
      <c r="E2920" t="s">
        <v>93</v>
      </c>
      <c r="F2920">
        <v>483</v>
      </c>
      <c r="G2920" s="4">
        <v>46087.599236111113</v>
      </c>
    </row>
    <row r="2921" spans="1:7" x14ac:dyDescent="0.3">
      <c r="A2921">
        <v>6499</v>
      </c>
      <c r="B2921" t="s">
        <v>147</v>
      </c>
      <c r="C2921">
        <v>51004108</v>
      </c>
      <c r="D2921">
        <v>85.965988728613439</v>
      </c>
      <c r="E2921" t="s">
        <v>93</v>
      </c>
      <c r="F2921">
        <v>253</v>
      </c>
      <c r="G2921" s="4">
        <v>46087.599236111113</v>
      </c>
    </row>
    <row r="2922" spans="1:7" x14ac:dyDescent="0.3">
      <c r="A2922">
        <v>6500</v>
      </c>
      <c r="B2922" t="s">
        <v>147</v>
      </c>
      <c r="C2922">
        <v>51030869</v>
      </c>
      <c r="D2922">
        <v>54.797776733105025</v>
      </c>
      <c r="E2922" t="s">
        <v>94</v>
      </c>
      <c r="F2922">
        <v>719</v>
      </c>
      <c r="G2922" s="4">
        <v>46087.599236111113</v>
      </c>
    </row>
    <row r="2923" spans="1:7" x14ac:dyDescent="0.3">
      <c r="A2923">
        <v>6501</v>
      </c>
      <c r="B2923" t="s">
        <v>147</v>
      </c>
      <c r="C2923">
        <v>51031113</v>
      </c>
      <c r="D2923">
        <v>98.306443714971039</v>
      </c>
      <c r="E2923" t="s">
        <v>275</v>
      </c>
      <c r="F2923">
        <v>35</v>
      </c>
      <c r="G2923" s="4">
        <v>46087.599236111113</v>
      </c>
    </row>
    <row r="2924" spans="1:7" x14ac:dyDescent="0.3">
      <c r="A2924">
        <v>6502</v>
      </c>
      <c r="B2924" t="s">
        <v>147</v>
      </c>
      <c r="C2924">
        <v>51033329</v>
      </c>
      <c r="D2924">
        <v>83.224192489898982</v>
      </c>
      <c r="E2924" t="s">
        <v>93</v>
      </c>
      <c r="F2924">
        <v>340</v>
      </c>
      <c r="G2924" s="4">
        <v>46087.599236111113</v>
      </c>
    </row>
    <row r="2925" spans="1:7" x14ac:dyDescent="0.3">
      <c r="A2925">
        <v>6503</v>
      </c>
      <c r="B2925" t="s">
        <v>147</v>
      </c>
      <c r="C2925">
        <v>51042905</v>
      </c>
      <c r="D2925">
        <v>56.665806057078356</v>
      </c>
      <c r="E2925" t="s">
        <v>94</v>
      </c>
      <c r="F2925">
        <v>688</v>
      </c>
      <c r="G2925" s="4">
        <v>46087.599236111113</v>
      </c>
    </row>
    <row r="2926" spans="1:7" x14ac:dyDescent="0.3">
      <c r="A2926">
        <v>6504</v>
      </c>
      <c r="B2926" t="s">
        <v>147</v>
      </c>
      <c r="C2926">
        <v>51010833</v>
      </c>
      <c r="D2926">
        <v>59.796464704261126</v>
      </c>
      <c r="E2926" t="s">
        <v>94</v>
      </c>
      <c r="F2926">
        <v>623</v>
      </c>
      <c r="G2926" s="4">
        <v>46087.599236111113</v>
      </c>
    </row>
    <row r="2927" spans="1:7" x14ac:dyDescent="0.3">
      <c r="A2927">
        <v>6505</v>
      </c>
      <c r="B2927" t="s">
        <v>147</v>
      </c>
      <c r="C2927">
        <v>51042956</v>
      </c>
      <c r="D2927">
        <v>88.425165017659879</v>
      </c>
      <c r="E2927" t="s">
        <v>92</v>
      </c>
      <c r="F2927">
        <v>186</v>
      </c>
      <c r="G2927" s="4">
        <v>46087.599236111113</v>
      </c>
    </row>
    <row r="2928" spans="1:7" x14ac:dyDescent="0.3">
      <c r="A2928">
        <v>6506</v>
      </c>
      <c r="B2928" t="s">
        <v>147</v>
      </c>
      <c r="C2928">
        <v>51039645</v>
      </c>
      <c r="D2928">
        <v>82.700979388881592</v>
      </c>
      <c r="E2928" t="s">
        <v>93</v>
      </c>
      <c r="F2928">
        <v>368</v>
      </c>
      <c r="G2928" s="4">
        <v>46087.599236111113</v>
      </c>
    </row>
    <row r="2929" spans="1:7" x14ac:dyDescent="0.3">
      <c r="A2929">
        <v>6507</v>
      </c>
      <c r="B2929" t="s">
        <v>147</v>
      </c>
      <c r="C2929">
        <v>51021622</v>
      </c>
      <c r="D2929">
        <v>50.05568469760204</v>
      </c>
      <c r="E2929" t="s">
        <v>94</v>
      </c>
      <c r="F2929">
        <v>742</v>
      </c>
      <c r="G2929" s="4">
        <v>46087.599236111113</v>
      </c>
    </row>
    <row r="2930" spans="1:7" x14ac:dyDescent="0.3">
      <c r="A2930">
        <v>6508</v>
      </c>
      <c r="B2930" t="s">
        <v>147</v>
      </c>
      <c r="C2930">
        <v>51031491</v>
      </c>
      <c r="D2930">
        <v>87.760994694782042</v>
      </c>
      <c r="E2930" t="s">
        <v>92</v>
      </c>
      <c r="F2930">
        <v>207</v>
      </c>
      <c r="G2930" s="4">
        <v>46087.599236111113</v>
      </c>
    </row>
    <row r="2931" spans="1:7" x14ac:dyDescent="0.3">
      <c r="A2931">
        <v>6509</v>
      </c>
      <c r="B2931" t="s">
        <v>147</v>
      </c>
      <c r="C2931">
        <v>51020162</v>
      </c>
      <c r="D2931">
        <v>25.783650716958952</v>
      </c>
      <c r="E2931" t="s">
        <v>94</v>
      </c>
      <c r="F2931">
        <v>909</v>
      </c>
      <c r="G2931" s="4">
        <v>46087.599236111113</v>
      </c>
    </row>
    <row r="2932" spans="1:7" x14ac:dyDescent="0.3">
      <c r="A2932">
        <v>6510</v>
      </c>
      <c r="B2932" t="s">
        <v>147</v>
      </c>
      <c r="C2932">
        <v>51017056</v>
      </c>
      <c r="D2932">
        <v>30.350985858679447</v>
      </c>
      <c r="E2932" t="s">
        <v>94</v>
      </c>
      <c r="F2932">
        <v>859</v>
      </c>
      <c r="G2932" s="4">
        <v>46087.599236111113</v>
      </c>
    </row>
    <row r="2933" spans="1:7" x14ac:dyDescent="0.3">
      <c r="A2933">
        <v>6511</v>
      </c>
      <c r="B2933" t="s">
        <v>147</v>
      </c>
      <c r="C2933">
        <v>51056019</v>
      </c>
      <c r="D2933">
        <v>56.48906663244432</v>
      </c>
      <c r="E2933" t="s">
        <v>94</v>
      </c>
      <c r="F2933">
        <v>691</v>
      </c>
      <c r="G2933" s="4">
        <v>46087.599236111113</v>
      </c>
    </row>
    <row r="2934" spans="1:7" x14ac:dyDescent="0.3">
      <c r="A2934">
        <v>6512</v>
      </c>
      <c r="B2934" t="s">
        <v>147</v>
      </c>
      <c r="C2934">
        <v>51017579</v>
      </c>
      <c r="D2934">
        <v>92.288923513824116</v>
      </c>
      <c r="E2934" t="s">
        <v>92</v>
      </c>
      <c r="F2934">
        <v>103</v>
      </c>
      <c r="G2934" s="4">
        <v>46087.599236111113</v>
      </c>
    </row>
    <row r="2935" spans="1:7" x14ac:dyDescent="0.3">
      <c r="A2935">
        <v>6513</v>
      </c>
      <c r="B2935" t="s">
        <v>147</v>
      </c>
      <c r="C2935">
        <v>51015487</v>
      </c>
      <c r="D2935">
        <v>67.168402511401524</v>
      </c>
      <c r="E2935" t="s">
        <v>93</v>
      </c>
      <c r="F2935">
        <v>536</v>
      </c>
      <c r="G2935" s="4">
        <v>46087.599236111113</v>
      </c>
    </row>
    <row r="2936" spans="1:7" x14ac:dyDescent="0.3">
      <c r="A2936">
        <v>6514</v>
      </c>
      <c r="B2936" t="s">
        <v>147</v>
      </c>
      <c r="C2936">
        <v>51040333</v>
      </c>
      <c r="D2936">
        <v>87.162486745472734</v>
      </c>
      <c r="E2936" t="s">
        <v>92</v>
      </c>
      <c r="F2936">
        <v>222</v>
      </c>
      <c r="G2936" s="4">
        <v>46087.599236111113</v>
      </c>
    </row>
    <row r="2937" spans="1:7" x14ac:dyDescent="0.3">
      <c r="A2937">
        <v>6515</v>
      </c>
      <c r="B2937" t="s">
        <v>147</v>
      </c>
      <c r="C2937">
        <v>51017153</v>
      </c>
      <c r="D2937">
        <v>75.386810455008671</v>
      </c>
      <c r="E2937" t="s">
        <v>93</v>
      </c>
      <c r="F2937">
        <v>473</v>
      </c>
      <c r="G2937" s="4">
        <v>46087.599236111113</v>
      </c>
    </row>
    <row r="2938" spans="1:7" x14ac:dyDescent="0.3">
      <c r="A2938">
        <v>6516</v>
      </c>
      <c r="B2938" t="s">
        <v>147</v>
      </c>
      <c r="C2938">
        <v>51021886</v>
      </c>
      <c r="D2938">
        <v>56.101977000092177</v>
      </c>
      <c r="E2938" t="s">
        <v>94</v>
      </c>
      <c r="F2938">
        <v>699</v>
      </c>
      <c r="G2938" s="4">
        <v>46087.599236111113</v>
      </c>
    </row>
    <row r="2939" spans="1:7" x14ac:dyDescent="0.3">
      <c r="A2939">
        <v>6517</v>
      </c>
      <c r="B2939" t="s">
        <v>147</v>
      </c>
      <c r="C2939">
        <v>51023188</v>
      </c>
      <c r="D2939">
        <v>96.375290640013162</v>
      </c>
      <c r="E2939" t="s">
        <v>275</v>
      </c>
      <c r="F2939">
        <v>55</v>
      </c>
      <c r="G2939" s="4">
        <v>46087.599236111113</v>
      </c>
    </row>
    <row r="2940" spans="1:7" x14ac:dyDescent="0.3">
      <c r="A2940">
        <v>6518</v>
      </c>
      <c r="B2940" t="s">
        <v>147</v>
      </c>
      <c r="C2940">
        <v>51055667</v>
      </c>
      <c r="D2940">
        <v>30.16993441108869</v>
      </c>
      <c r="E2940" t="s">
        <v>94</v>
      </c>
      <c r="F2940">
        <v>861</v>
      </c>
      <c r="G2940" s="4">
        <v>46087.599236111113</v>
      </c>
    </row>
    <row r="2941" spans="1:7" x14ac:dyDescent="0.3">
      <c r="A2941">
        <v>6519</v>
      </c>
      <c r="B2941" t="s">
        <v>147</v>
      </c>
      <c r="C2941">
        <v>51020081</v>
      </c>
      <c r="D2941">
        <v>83.069371491439782</v>
      </c>
      <c r="E2941" t="s">
        <v>93</v>
      </c>
      <c r="F2941">
        <v>352</v>
      </c>
      <c r="G2941" s="4">
        <v>46087.599236111113</v>
      </c>
    </row>
    <row r="2942" spans="1:7" x14ac:dyDescent="0.3">
      <c r="A2942">
        <v>6520</v>
      </c>
      <c r="B2942" t="s">
        <v>147</v>
      </c>
      <c r="C2942">
        <v>51018729</v>
      </c>
      <c r="D2942">
        <v>67.921761216910937</v>
      </c>
      <c r="E2942" t="s">
        <v>93</v>
      </c>
      <c r="F2942">
        <v>529</v>
      </c>
      <c r="G2942" s="4">
        <v>46087.599236111113</v>
      </c>
    </row>
    <row r="2943" spans="1:7" x14ac:dyDescent="0.3">
      <c r="A2943">
        <v>6521</v>
      </c>
      <c r="B2943" t="s">
        <v>147</v>
      </c>
      <c r="C2943">
        <v>51030222</v>
      </c>
      <c r="D2943">
        <v>45.291061266204515</v>
      </c>
      <c r="E2943" t="s">
        <v>94</v>
      </c>
      <c r="F2943">
        <v>773</v>
      </c>
      <c r="G2943" s="4">
        <v>46087.599236111113</v>
      </c>
    </row>
    <row r="2944" spans="1:7" x14ac:dyDescent="0.3">
      <c r="A2944">
        <v>6522</v>
      </c>
      <c r="B2944" t="s">
        <v>147</v>
      </c>
      <c r="C2944">
        <v>51002717</v>
      </c>
      <c r="D2944">
        <v>40.145500877899835</v>
      </c>
      <c r="E2944" t="s">
        <v>94</v>
      </c>
      <c r="F2944">
        <v>784</v>
      </c>
      <c r="G2944" s="4">
        <v>46087.599236111113</v>
      </c>
    </row>
    <row r="2945" spans="1:7" x14ac:dyDescent="0.3">
      <c r="A2945">
        <v>6523</v>
      </c>
      <c r="B2945" t="s">
        <v>147</v>
      </c>
      <c r="C2945">
        <v>51055454</v>
      </c>
      <c r="D2945">
        <v>30.394223033121566</v>
      </c>
      <c r="E2945" t="s">
        <v>94</v>
      </c>
      <c r="F2945">
        <v>856</v>
      </c>
      <c r="G2945" s="4">
        <v>46087.599236111113</v>
      </c>
    </row>
    <row r="2946" spans="1:7" x14ac:dyDescent="0.3">
      <c r="A2946">
        <v>6524</v>
      </c>
      <c r="B2946" t="s">
        <v>147</v>
      </c>
      <c r="C2946">
        <v>51055756</v>
      </c>
      <c r="D2946">
        <v>97.597189698238182</v>
      </c>
      <c r="E2946" t="s">
        <v>275</v>
      </c>
      <c r="F2946">
        <v>40</v>
      </c>
      <c r="G2946" s="4">
        <v>46087.599236111113</v>
      </c>
    </row>
    <row r="2947" spans="1:7" x14ac:dyDescent="0.3">
      <c r="A2947">
        <v>6525</v>
      </c>
      <c r="B2947" t="s">
        <v>147</v>
      </c>
      <c r="C2947">
        <v>51011490</v>
      </c>
      <c r="D2947">
        <v>54.505753761124289</v>
      </c>
      <c r="E2947" t="s">
        <v>94</v>
      </c>
      <c r="F2947">
        <v>722</v>
      </c>
      <c r="G2947" s="4">
        <v>46087.599236111113</v>
      </c>
    </row>
    <row r="2948" spans="1:7" x14ac:dyDescent="0.3">
      <c r="A2948">
        <v>6526</v>
      </c>
      <c r="B2948" t="s">
        <v>147</v>
      </c>
      <c r="C2948">
        <v>51010736</v>
      </c>
      <c r="D2948">
        <v>87.369278755034159</v>
      </c>
      <c r="E2948" t="s">
        <v>92</v>
      </c>
      <c r="F2948">
        <v>216</v>
      </c>
      <c r="G2948" s="4">
        <v>46087.599236111113</v>
      </c>
    </row>
    <row r="2949" spans="1:7" x14ac:dyDescent="0.3">
      <c r="A2949">
        <v>6527</v>
      </c>
      <c r="B2949" t="s">
        <v>147</v>
      </c>
      <c r="C2949">
        <v>51016149</v>
      </c>
      <c r="D2949">
        <v>81.310366433394606</v>
      </c>
      <c r="E2949" t="s">
        <v>93</v>
      </c>
      <c r="F2949">
        <v>406</v>
      </c>
      <c r="G2949" s="4">
        <v>46087.599236111113</v>
      </c>
    </row>
    <row r="2950" spans="1:7" x14ac:dyDescent="0.3">
      <c r="A2950">
        <v>6528</v>
      </c>
      <c r="B2950" t="s">
        <v>147</v>
      </c>
      <c r="C2950">
        <v>51013930</v>
      </c>
      <c r="D2950">
        <v>46.372005950709813</v>
      </c>
      <c r="E2950" t="s">
        <v>94</v>
      </c>
      <c r="F2950">
        <v>763</v>
      </c>
      <c r="G2950" s="4">
        <v>46087.599236111113</v>
      </c>
    </row>
    <row r="2951" spans="1:7" x14ac:dyDescent="0.3">
      <c r="A2951">
        <v>6529</v>
      </c>
      <c r="B2951" t="s">
        <v>147</v>
      </c>
      <c r="C2951">
        <v>51055641</v>
      </c>
      <c r="D2951">
        <v>23.981392911793936</v>
      </c>
      <c r="E2951" t="s">
        <v>94</v>
      </c>
      <c r="F2951">
        <v>921</v>
      </c>
      <c r="G2951" s="4">
        <v>46087.599236111113</v>
      </c>
    </row>
    <row r="2952" spans="1:7" x14ac:dyDescent="0.3">
      <c r="A2952">
        <v>6530</v>
      </c>
      <c r="B2952" t="s">
        <v>147</v>
      </c>
      <c r="C2952">
        <v>51021461</v>
      </c>
      <c r="D2952">
        <v>100</v>
      </c>
      <c r="E2952" t="s">
        <v>275</v>
      </c>
      <c r="F2952">
        <v>1</v>
      </c>
      <c r="G2952" s="4">
        <v>46087.599236111113</v>
      </c>
    </row>
    <row r="2953" spans="1:7" x14ac:dyDescent="0.3">
      <c r="A2953">
        <v>6531</v>
      </c>
      <c r="B2953" t="s">
        <v>147</v>
      </c>
      <c r="C2953">
        <v>51039637</v>
      </c>
      <c r="D2953">
        <v>96.432113897448232</v>
      </c>
      <c r="E2953" t="s">
        <v>275</v>
      </c>
      <c r="F2953">
        <v>54</v>
      </c>
      <c r="G2953" s="4">
        <v>46087.599236111113</v>
      </c>
    </row>
    <row r="2954" spans="1:7" x14ac:dyDescent="0.3">
      <c r="A2954">
        <v>6532</v>
      </c>
      <c r="B2954" t="s">
        <v>147</v>
      </c>
      <c r="C2954">
        <v>51020308</v>
      </c>
      <c r="D2954">
        <v>85.357708379941741</v>
      </c>
      <c r="E2954" t="s">
        <v>93</v>
      </c>
      <c r="F2954">
        <v>274</v>
      </c>
      <c r="G2954" s="4">
        <v>46087.599236111113</v>
      </c>
    </row>
    <row r="2955" spans="1:7" x14ac:dyDescent="0.3">
      <c r="A2955">
        <v>6533</v>
      </c>
      <c r="B2955" t="s">
        <v>147</v>
      </c>
      <c r="C2955">
        <v>51040597</v>
      </c>
      <c r="D2955">
        <v>58.800078158328567</v>
      </c>
      <c r="E2955" t="s">
        <v>94</v>
      </c>
      <c r="F2955">
        <v>639</v>
      </c>
      <c r="G2955" s="4">
        <v>46087.599236111113</v>
      </c>
    </row>
    <row r="2956" spans="1:7" x14ac:dyDescent="0.3">
      <c r="A2956">
        <v>6534</v>
      </c>
      <c r="B2956" t="s">
        <v>147</v>
      </c>
      <c r="C2956">
        <v>51014197</v>
      </c>
      <c r="D2956">
        <v>57.779045680687169</v>
      </c>
      <c r="E2956" t="s">
        <v>94</v>
      </c>
      <c r="F2956">
        <v>669</v>
      </c>
      <c r="G2956" s="4">
        <v>46087.599236111113</v>
      </c>
    </row>
    <row r="2957" spans="1:7" x14ac:dyDescent="0.3">
      <c r="A2957">
        <v>6535</v>
      </c>
      <c r="B2957" t="s">
        <v>147</v>
      </c>
      <c r="C2957">
        <v>51056621</v>
      </c>
      <c r="D2957">
        <v>65.933019988272846</v>
      </c>
      <c r="E2957" t="s">
        <v>93</v>
      </c>
      <c r="F2957">
        <v>541</v>
      </c>
      <c r="G2957" s="4">
        <v>46087.599236111113</v>
      </c>
    </row>
    <row r="2958" spans="1:7" x14ac:dyDescent="0.3">
      <c r="A2958">
        <v>6536</v>
      </c>
      <c r="B2958" t="s">
        <v>147</v>
      </c>
      <c r="C2958">
        <v>51018524</v>
      </c>
      <c r="D2958">
        <v>86.890241850650924</v>
      </c>
      <c r="E2958" t="s">
        <v>92</v>
      </c>
      <c r="F2958">
        <v>227</v>
      </c>
      <c r="G2958" s="4">
        <v>46087.599236111113</v>
      </c>
    </row>
    <row r="2959" spans="1:7" x14ac:dyDescent="0.3">
      <c r="A2959">
        <v>6537</v>
      </c>
      <c r="B2959" t="s">
        <v>147</v>
      </c>
      <c r="C2959">
        <v>51056701</v>
      </c>
      <c r="D2959">
        <v>58.308923191076062</v>
      </c>
      <c r="E2959" t="s">
        <v>94</v>
      </c>
      <c r="F2959">
        <v>650</v>
      </c>
      <c r="G2959" s="4">
        <v>46087.599236111113</v>
      </c>
    </row>
    <row r="2960" spans="1:7" x14ac:dyDescent="0.3">
      <c r="A2960">
        <v>6538</v>
      </c>
      <c r="B2960" t="s">
        <v>147</v>
      </c>
      <c r="C2960">
        <v>51057007</v>
      </c>
      <c r="D2960">
        <v>22.471670645500868</v>
      </c>
      <c r="E2960" t="s">
        <v>94</v>
      </c>
      <c r="F2960">
        <v>944</v>
      </c>
      <c r="G2960" s="4">
        <v>46087.599236111113</v>
      </c>
    </row>
    <row r="2961" spans="1:7" x14ac:dyDescent="0.3">
      <c r="A2961">
        <v>6539</v>
      </c>
      <c r="B2961" t="s">
        <v>147</v>
      </c>
      <c r="C2961">
        <v>51011091</v>
      </c>
      <c r="D2961">
        <v>61.154657429614396</v>
      </c>
      <c r="E2961" t="s">
        <v>93</v>
      </c>
      <c r="F2961">
        <v>594</v>
      </c>
      <c r="G2961" s="4">
        <v>46087.599236111113</v>
      </c>
    </row>
    <row r="2962" spans="1:7" x14ac:dyDescent="0.3">
      <c r="A2962">
        <v>6540</v>
      </c>
      <c r="B2962" t="s">
        <v>147</v>
      </c>
      <c r="C2962">
        <v>51011953</v>
      </c>
      <c r="D2962">
        <v>22.902874226645636</v>
      </c>
      <c r="E2962" t="s">
        <v>94</v>
      </c>
      <c r="F2962">
        <v>932</v>
      </c>
      <c r="G2962" s="4">
        <v>46087.599236111113</v>
      </c>
    </row>
    <row r="2963" spans="1:7" x14ac:dyDescent="0.3">
      <c r="A2963">
        <v>6541</v>
      </c>
      <c r="B2963" t="s">
        <v>147</v>
      </c>
      <c r="C2963">
        <v>51022955</v>
      </c>
      <c r="D2963">
        <v>68.279261332204356</v>
      </c>
      <c r="E2963" t="s">
        <v>93</v>
      </c>
      <c r="F2963">
        <v>524</v>
      </c>
      <c r="G2963" s="4">
        <v>46087.599236111113</v>
      </c>
    </row>
    <row r="2964" spans="1:7" x14ac:dyDescent="0.3">
      <c r="A2964">
        <v>6542</v>
      </c>
      <c r="B2964" t="s">
        <v>147</v>
      </c>
      <c r="C2964">
        <v>51021673</v>
      </c>
      <c r="D2964">
        <v>55.109197397589639</v>
      </c>
      <c r="E2964" t="s">
        <v>94</v>
      </c>
      <c r="F2964">
        <v>715</v>
      </c>
      <c r="G2964" s="4">
        <v>46087.599236111113</v>
      </c>
    </row>
    <row r="2965" spans="1:7" x14ac:dyDescent="0.3">
      <c r="A2965">
        <v>6543</v>
      </c>
      <c r="B2965" t="s">
        <v>147</v>
      </c>
      <c r="C2965">
        <v>51013476</v>
      </c>
      <c r="D2965">
        <v>81.048844938523715</v>
      </c>
      <c r="E2965" t="s">
        <v>93</v>
      </c>
      <c r="F2965">
        <v>413</v>
      </c>
      <c r="G2965" s="4">
        <v>46087.599236111113</v>
      </c>
    </row>
    <row r="2966" spans="1:7" x14ac:dyDescent="0.3">
      <c r="A2966">
        <v>6544</v>
      </c>
      <c r="B2966" t="s">
        <v>147</v>
      </c>
      <c r="C2966">
        <v>51022998</v>
      </c>
      <c r="D2966">
        <v>98.0770561748527</v>
      </c>
      <c r="E2966" t="s">
        <v>275</v>
      </c>
      <c r="F2966">
        <v>37</v>
      </c>
      <c r="G2966" s="4">
        <v>46087.599236111113</v>
      </c>
    </row>
    <row r="2967" spans="1:7" x14ac:dyDescent="0.3">
      <c r="A2967">
        <v>6545</v>
      </c>
      <c r="B2967" t="s">
        <v>147</v>
      </c>
      <c r="C2967">
        <v>51056485</v>
      </c>
      <c r="D2967">
        <v>56.483134938630279</v>
      </c>
      <c r="E2967" t="s">
        <v>94</v>
      </c>
      <c r="F2967">
        <v>692</v>
      </c>
      <c r="G2967" s="4">
        <v>46087.599236111113</v>
      </c>
    </row>
    <row r="2968" spans="1:7" x14ac:dyDescent="0.3">
      <c r="A2968">
        <v>6546</v>
      </c>
      <c r="B2968" t="s">
        <v>147</v>
      </c>
      <c r="C2968">
        <v>51055705</v>
      </c>
      <c r="D2968">
        <v>83.214089306732973</v>
      </c>
      <c r="E2968" t="s">
        <v>93</v>
      </c>
      <c r="F2968">
        <v>341</v>
      </c>
      <c r="G2968" s="4">
        <v>46087.599236111113</v>
      </c>
    </row>
    <row r="2969" spans="1:7" x14ac:dyDescent="0.3">
      <c r="A2969">
        <v>6547</v>
      </c>
      <c r="B2969" t="s">
        <v>147</v>
      </c>
      <c r="C2969">
        <v>51041798</v>
      </c>
      <c r="D2969">
        <v>83.170215366582795</v>
      </c>
      <c r="E2969" t="s">
        <v>93</v>
      </c>
      <c r="F2969">
        <v>346</v>
      </c>
      <c r="G2969" s="4">
        <v>46087.599236111113</v>
      </c>
    </row>
    <row r="2970" spans="1:7" x14ac:dyDescent="0.3">
      <c r="A2970">
        <v>6548</v>
      </c>
      <c r="B2970" t="s">
        <v>147</v>
      </c>
      <c r="C2970">
        <v>51020600</v>
      </c>
      <c r="D2970">
        <v>58.562789323032433</v>
      </c>
      <c r="E2970" t="s">
        <v>94</v>
      </c>
      <c r="F2970">
        <v>646</v>
      </c>
      <c r="G2970" s="4">
        <v>46087.599236111113</v>
      </c>
    </row>
    <row r="2971" spans="1:7" x14ac:dyDescent="0.3">
      <c r="A2971">
        <v>6549</v>
      </c>
      <c r="B2971" t="s">
        <v>147</v>
      </c>
      <c r="C2971">
        <v>51033795</v>
      </c>
      <c r="D2971">
        <v>75.251950401149173</v>
      </c>
      <c r="E2971" t="s">
        <v>93</v>
      </c>
      <c r="F2971">
        <v>474</v>
      </c>
      <c r="G2971" s="4">
        <v>46087.599236111113</v>
      </c>
    </row>
    <row r="2972" spans="1:7" x14ac:dyDescent="0.3">
      <c r="A2972">
        <v>6550</v>
      </c>
      <c r="B2972" t="s">
        <v>147</v>
      </c>
      <c r="C2972">
        <v>51030419</v>
      </c>
      <c r="D2972">
        <v>50.18143111043608</v>
      </c>
      <c r="E2972" t="s">
        <v>94</v>
      </c>
      <c r="F2972">
        <v>741</v>
      </c>
      <c r="G2972" s="4">
        <v>46087.599236111113</v>
      </c>
    </row>
    <row r="2973" spans="1:7" x14ac:dyDescent="0.3">
      <c r="A2973">
        <v>6551</v>
      </c>
      <c r="B2973" t="s">
        <v>147</v>
      </c>
      <c r="C2973">
        <v>51038819</v>
      </c>
      <c r="D2973">
        <v>82.314928051347394</v>
      </c>
      <c r="E2973" t="s">
        <v>93</v>
      </c>
      <c r="F2973">
        <v>381</v>
      </c>
      <c r="G2973" s="4">
        <v>46087.599236111113</v>
      </c>
    </row>
    <row r="2974" spans="1:7" x14ac:dyDescent="0.3">
      <c r="A2974">
        <v>6552</v>
      </c>
      <c r="B2974" t="s">
        <v>147</v>
      </c>
      <c r="C2974">
        <v>51021851</v>
      </c>
      <c r="D2974">
        <v>90.615622492729258</v>
      </c>
      <c r="E2974" t="s">
        <v>92</v>
      </c>
      <c r="F2974">
        <v>121</v>
      </c>
      <c r="G2974" s="4">
        <v>46087.599236111113</v>
      </c>
    </row>
    <row r="2975" spans="1:7" x14ac:dyDescent="0.3">
      <c r="A2975">
        <v>6553</v>
      </c>
      <c r="B2975" t="s">
        <v>147</v>
      </c>
      <c r="C2975">
        <v>51004086</v>
      </c>
      <c r="D2975">
        <v>34.583858866530214</v>
      </c>
      <c r="E2975" t="s">
        <v>94</v>
      </c>
      <c r="F2975">
        <v>809</v>
      </c>
      <c r="G2975" s="4">
        <v>46087.599236111113</v>
      </c>
    </row>
    <row r="2976" spans="1:7" x14ac:dyDescent="0.3">
      <c r="A2976">
        <v>6554</v>
      </c>
      <c r="B2976" t="s">
        <v>147</v>
      </c>
      <c r="C2976">
        <v>51017111</v>
      </c>
      <c r="D2976">
        <v>67.620326660173646</v>
      </c>
      <c r="E2976" t="s">
        <v>93</v>
      </c>
      <c r="F2976">
        <v>534</v>
      </c>
      <c r="G2976" s="4">
        <v>46087.599236111113</v>
      </c>
    </row>
    <row r="2977" spans="1:7" x14ac:dyDescent="0.3">
      <c r="A2977">
        <v>6555</v>
      </c>
      <c r="B2977" t="s">
        <v>147</v>
      </c>
      <c r="C2977">
        <v>51022106</v>
      </c>
      <c r="D2977">
        <v>17.553914493467694</v>
      </c>
      <c r="E2977" t="s">
        <v>95</v>
      </c>
      <c r="F2977">
        <v>1039</v>
      </c>
      <c r="G2977" s="4">
        <v>46087.599236111113</v>
      </c>
    </row>
    <row r="2978" spans="1:7" x14ac:dyDescent="0.3">
      <c r="A2978">
        <v>6556</v>
      </c>
      <c r="B2978" t="s">
        <v>147</v>
      </c>
      <c r="C2978">
        <v>51056205</v>
      </c>
      <c r="D2978">
        <v>80.597286288529233</v>
      </c>
      <c r="E2978" t="s">
        <v>93</v>
      </c>
      <c r="F2978">
        <v>427</v>
      </c>
      <c r="G2978" s="4">
        <v>46087.599236111113</v>
      </c>
    </row>
    <row r="2979" spans="1:7" x14ac:dyDescent="0.3">
      <c r="A2979">
        <v>6557</v>
      </c>
      <c r="B2979" t="s">
        <v>147</v>
      </c>
      <c r="C2979">
        <v>51055870</v>
      </c>
      <c r="D2979">
        <v>88.016770439240631</v>
      </c>
      <c r="E2979" t="s">
        <v>92</v>
      </c>
      <c r="F2979">
        <v>199</v>
      </c>
      <c r="G2979" s="4">
        <v>46087.599236111113</v>
      </c>
    </row>
    <row r="2980" spans="1:7" x14ac:dyDescent="0.3">
      <c r="A2980">
        <v>6558</v>
      </c>
      <c r="B2980" t="s">
        <v>147</v>
      </c>
      <c r="C2980">
        <v>51017226</v>
      </c>
      <c r="D2980">
        <v>80.458209037304599</v>
      </c>
      <c r="E2980" t="s">
        <v>93</v>
      </c>
      <c r="F2980">
        <v>431</v>
      </c>
      <c r="G2980" s="4">
        <v>46087.599236111113</v>
      </c>
    </row>
    <row r="2981" spans="1:7" x14ac:dyDescent="0.3">
      <c r="A2981">
        <v>6559</v>
      </c>
      <c r="B2981" t="s">
        <v>147</v>
      </c>
      <c r="C2981">
        <v>51056965</v>
      </c>
      <c r="D2981">
        <v>27.40694632945053</v>
      </c>
      <c r="E2981" t="s">
        <v>94</v>
      </c>
      <c r="F2981">
        <v>896</v>
      </c>
      <c r="G2981" s="4">
        <v>46087.599236111113</v>
      </c>
    </row>
    <row r="2982" spans="1:7" x14ac:dyDescent="0.3">
      <c r="A2982">
        <v>6560</v>
      </c>
      <c r="B2982" t="s">
        <v>147</v>
      </c>
      <c r="C2982">
        <v>51033671</v>
      </c>
      <c r="D2982">
        <v>57.798758558866062</v>
      </c>
      <c r="E2982" t="s">
        <v>94</v>
      </c>
      <c r="F2982">
        <v>667</v>
      </c>
      <c r="G2982" s="4">
        <v>46087.599236111113</v>
      </c>
    </row>
    <row r="2983" spans="1:7" x14ac:dyDescent="0.3">
      <c r="A2983">
        <v>6561</v>
      </c>
      <c r="B2983" t="s">
        <v>147</v>
      </c>
      <c r="C2983">
        <v>51038797</v>
      </c>
      <c r="D2983">
        <v>92.172196044503494</v>
      </c>
      <c r="E2983" t="s">
        <v>92</v>
      </c>
      <c r="F2983">
        <v>104</v>
      </c>
      <c r="G2983" s="4">
        <v>46087.599236111113</v>
      </c>
    </row>
    <row r="2984" spans="1:7" x14ac:dyDescent="0.3">
      <c r="A2984">
        <v>6562</v>
      </c>
      <c r="B2984" t="s">
        <v>147</v>
      </c>
      <c r="C2984">
        <v>51013492</v>
      </c>
      <c r="D2984">
        <v>62.630825987088365</v>
      </c>
      <c r="E2984" t="s">
        <v>93</v>
      </c>
      <c r="F2984">
        <v>564</v>
      </c>
      <c r="G2984" s="4">
        <v>46087.599236111113</v>
      </c>
    </row>
    <row r="2985" spans="1:7" x14ac:dyDescent="0.3">
      <c r="A2985">
        <v>6563</v>
      </c>
      <c r="B2985" t="s">
        <v>147</v>
      </c>
      <c r="C2985">
        <v>51019415</v>
      </c>
      <c r="D2985">
        <v>57.245726078780855</v>
      </c>
      <c r="E2985" t="s">
        <v>94</v>
      </c>
      <c r="F2985">
        <v>680</v>
      </c>
      <c r="G2985" s="4">
        <v>46087.599236111113</v>
      </c>
    </row>
    <row r="2986" spans="1:7" x14ac:dyDescent="0.3">
      <c r="A2986">
        <v>6564</v>
      </c>
      <c r="B2986" t="s">
        <v>147</v>
      </c>
      <c r="C2986">
        <v>51036107</v>
      </c>
      <c r="D2986">
        <v>51.574439744459092</v>
      </c>
      <c r="E2986" t="s">
        <v>94</v>
      </c>
      <c r="F2986">
        <v>732</v>
      </c>
      <c r="G2986" s="4">
        <v>46087.599236111113</v>
      </c>
    </row>
    <row r="2987" spans="1:7" x14ac:dyDescent="0.3">
      <c r="A2987">
        <v>6565</v>
      </c>
      <c r="B2987" t="s">
        <v>147</v>
      </c>
      <c r="C2987">
        <v>51056990</v>
      </c>
      <c r="D2987">
        <v>67.735971571044502</v>
      </c>
      <c r="E2987" t="s">
        <v>93</v>
      </c>
      <c r="F2987">
        <v>531</v>
      </c>
      <c r="G2987" s="4">
        <v>46087.599236111113</v>
      </c>
    </row>
    <row r="2988" spans="1:7" x14ac:dyDescent="0.3">
      <c r="A2988">
        <v>6566</v>
      </c>
      <c r="B2988" t="s">
        <v>147</v>
      </c>
      <c r="C2988">
        <v>51025296</v>
      </c>
      <c r="D2988">
        <v>47.242887124568739</v>
      </c>
      <c r="E2988" t="s">
        <v>94</v>
      </c>
      <c r="F2988">
        <v>759</v>
      </c>
      <c r="G2988" s="4">
        <v>46087.599236111113</v>
      </c>
    </row>
    <row r="2989" spans="1:7" x14ac:dyDescent="0.3">
      <c r="A2989">
        <v>6567</v>
      </c>
      <c r="B2989" t="s">
        <v>147</v>
      </c>
      <c r="C2989">
        <v>51056639</v>
      </c>
      <c r="D2989">
        <v>56.780015428981727</v>
      </c>
      <c r="E2989" t="s">
        <v>94</v>
      </c>
      <c r="F2989">
        <v>687</v>
      </c>
      <c r="G2989" s="4">
        <v>46087.599236111113</v>
      </c>
    </row>
    <row r="2990" spans="1:7" x14ac:dyDescent="0.3">
      <c r="A2990">
        <v>6568</v>
      </c>
      <c r="B2990" t="s">
        <v>147</v>
      </c>
      <c r="C2990">
        <v>51015029</v>
      </c>
      <c r="D2990">
        <v>86.043459646371886</v>
      </c>
      <c r="E2990" t="s">
        <v>93</v>
      </c>
      <c r="F2990">
        <v>252</v>
      </c>
      <c r="G2990" s="4">
        <v>46087.599236111113</v>
      </c>
    </row>
    <row r="2991" spans="1:7" x14ac:dyDescent="0.3">
      <c r="A2991">
        <v>6569</v>
      </c>
      <c r="B2991" t="s">
        <v>147</v>
      </c>
      <c r="C2991">
        <v>51055730</v>
      </c>
      <c r="D2991">
        <v>47.815324703831344</v>
      </c>
      <c r="E2991" t="s">
        <v>94</v>
      </c>
      <c r="F2991">
        <v>755</v>
      </c>
      <c r="G2991" s="4">
        <v>46087.599236111113</v>
      </c>
    </row>
    <row r="2992" spans="1:7" x14ac:dyDescent="0.3">
      <c r="A2992">
        <v>6570</v>
      </c>
      <c r="B2992" t="s">
        <v>147</v>
      </c>
      <c r="C2992">
        <v>51018257</v>
      </c>
      <c r="D2992">
        <v>84.740127271160972</v>
      </c>
      <c r="E2992" t="s">
        <v>93</v>
      </c>
      <c r="F2992">
        <v>292</v>
      </c>
      <c r="G2992" s="4">
        <v>46087.599236111113</v>
      </c>
    </row>
    <row r="2993" spans="1:7" x14ac:dyDescent="0.3">
      <c r="A2993">
        <v>6571</v>
      </c>
      <c r="B2993" t="s">
        <v>147</v>
      </c>
      <c r="C2993">
        <v>51055845</v>
      </c>
      <c r="D2993">
        <v>89.632695541986266</v>
      </c>
      <c r="E2993" t="s">
        <v>92</v>
      </c>
      <c r="F2993">
        <v>145</v>
      </c>
      <c r="G2993" s="4">
        <v>46087.599236111113</v>
      </c>
    </row>
    <row r="2994" spans="1:7" x14ac:dyDescent="0.3">
      <c r="A2994">
        <v>6572</v>
      </c>
      <c r="B2994" t="s">
        <v>147</v>
      </c>
      <c r="C2994">
        <v>51028015</v>
      </c>
      <c r="D2994">
        <v>84.809503889639572</v>
      </c>
      <c r="E2994" t="s">
        <v>93</v>
      </c>
      <c r="F2994">
        <v>290</v>
      </c>
      <c r="G2994" s="4">
        <v>46087.599236111113</v>
      </c>
    </row>
    <row r="2995" spans="1:7" x14ac:dyDescent="0.3">
      <c r="A2995">
        <v>6573</v>
      </c>
      <c r="B2995" t="s">
        <v>147</v>
      </c>
      <c r="C2995">
        <v>51012887</v>
      </c>
      <c r="D2995">
        <v>93.570512826703876</v>
      </c>
      <c r="E2995" t="s">
        <v>92</v>
      </c>
      <c r="F2995">
        <v>83</v>
      </c>
      <c r="G2995" s="4">
        <v>46087.599236111113</v>
      </c>
    </row>
    <row r="2996" spans="1:7" x14ac:dyDescent="0.3">
      <c r="A2996">
        <v>6574</v>
      </c>
      <c r="B2996" t="s">
        <v>147</v>
      </c>
      <c r="C2996">
        <v>51010311</v>
      </c>
      <c r="D2996">
        <v>77.700416306413757</v>
      </c>
      <c r="E2996" t="s">
        <v>93</v>
      </c>
      <c r="F2996">
        <v>454</v>
      </c>
      <c r="G2996" s="4">
        <v>46087.599236111113</v>
      </c>
    </row>
    <row r="2997" spans="1:7" x14ac:dyDescent="0.3">
      <c r="A2997">
        <v>6575</v>
      </c>
      <c r="B2997" t="s">
        <v>147</v>
      </c>
      <c r="C2997">
        <v>51036638</v>
      </c>
      <c r="D2997">
        <v>30.383808451772769</v>
      </c>
      <c r="E2997" t="s">
        <v>94</v>
      </c>
      <c r="F2997">
        <v>858</v>
      </c>
      <c r="G2997" s="4">
        <v>46087.599236111113</v>
      </c>
    </row>
    <row r="2998" spans="1:7" x14ac:dyDescent="0.3">
      <c r="A2998">
        <v>6576</v>
      </c>
      <c r="B2998" t="s">
        <v>147</v>
      </c>
      <c r="C2998">
        <v>51033442</v>
      </c>
      <c r="D2998">
        <v>83.969653718376762</v>
      </c>
      <c r="E2998" t="s">
        <v>93</v>
      </c>
      <c r="F2998">
        <v>323</v>
      </c>
      <c r="G2998" s="4">
        <v>46087.599236111113</v>
      </c>
    </row>
    <row r="2999" spans="1:7" x14ac:dyDescent="0.3">
      <c r="A2999">
        <v>6577</v>
      </c>
      <c r="B2999" t="s">
        <v>147</v>
      </c>
      <c r="C2999">
        <v>51014774</v>
      </c>
      <c r="D2999">
        <v>80.540938661725164</v>
      </c>
      <c r="E2999" t="s">
        <v>93</v>
      </c>
      <c r="F2999">
        <v>429</v>
      </c>
      <c r="G2999" s="4">
        <v>46087.599236111113</v>
      </c>
    </row>
    <row r="3000" spans="1:7" x14ac:dyDescent="0.3">
      <c r="A3000">
        <v>6578</v>
      </c>
      <c r="B3000" t="s">
        <v>147</v>
      </c>
      <c r="C3000">
        <v>51043847</v>
      </c>
      <c r="D3000">
        <v>73.68957698828531</v>
      </c>
      <c r="E3000" t="s">
        <v>93</v>
      </c>
      <c r="F3000">
        <v>482</v>
      </c>
      <c r="G3000" s="4">
        <v>46087.599236111113</v>
      </c>
    </row>
    <row r="3001" spans="1:7" x14ac:dyDescent="0.3">
      <c r="A3001">
        <v>6579</v>
      </c>
      <c r="B3001" t="s">
        <v>147</v>
      </c>
      <c r="C3001">
        <v>51032381</v>
      </c>
      <c r="D3001">
        <v>27.578746930523085</v>
      </c>
      <c r="E3001" t="s">
        <v>94</v>
      </c>
      <c r="F3001">
        <v>891</v>
      </c>
      <c r="G3001" s="4">
        <v>46087.599236111113</v>
      </c>
    </row>
    <row r="3002" spans="1:7" x14ac:dyDescent="0.3">
      <c r="A3002">
        <v>6580</v>
      </c>
      <c r="B3002" t="s">
        <v>147</v>
      </c>
      <c r="C3002">
        <v>51018508</v>
      </c>
      <c r="D3002">
        <v>84.232159614258251</v>
      </c>
      <c r="E3002" t="s">
        <v>93</v>
      </c>
      <c r="F3002">
        <v>310</v>
      </c>
      <c r="G3002" s="4">
        <v>46087.599236111113</v>
      </c>
    </row>
    <row r="3003" spans="1:7" x14ac:dyDescent="0.3">
      <c r="A3003">
        <v>6581</v>
      </c>
      <c r="B3003" t="s">
        <v>147</v>
      </c>
      <c r="C3003">
        <v>51003616</v>
      </c>
      <c r="D3003">
        <v>85.766715429652237</v>
      </c>
      <c r="E3003" t="s">
        <v>93</v>
      </c>
      <c r="F3003">
        <v>258</v>
      </c>
      <c r="G3003" s="4">
        <v>46087.599236111113</v>
      </c>
    </row>
    <row r="3004" spans="1:7" x14ac:dyDescent="0.3">
      <c r="A3004">
        <v>6582</v>
      </c>
      <c r="B3004" t="s">
        <v>147</v>
      </c>
      <c r="C3004">
        <v>51038932</v>
      </c>
      <c r="D3004">
        <v>78.814558029693472</v>
      </c>
      <c r="E3004" t="s">
        <v>93</v>
      </c>
      <c r="F3004">
        <v>449</v>
      </c>
      <c r="G3004" s="4">
        <v>46087.599236111113</v>
      </c>
    </row>
    <row r="3005" spans="1:7" x14ac:dyDescent="0.3">
      <c r="A3005">
        <v>6583</v>
      </c>
      <c r="B3005" t="s">
        <v>147</v>
      </c>
      <c r="C3005">
        <v>51039211</v>
      </c>
      <c r="D3005">
        <v>24.0796239658583</v>
      </c>
      <c r="E3005" t="s">
        <v>94</v>
      </c>
      <c r="F3005">
        <v>920</v>
      </c>
      <c r="G3005" s="4">
        <v>46087.599236111113</v>
      </c>
    </row>
    <row r="3006" spans="1:7" x14ac:dyDescent="0.3">
      <c r="A3006">
        <v>6584</v>
      </c>
      <c r="B3006" t="s">
        <v>147</v>
      </c>
      <c r="C3006">
        <v>51018664</v>
      </c>
      <c r="D3006">
        <v>29.515264107079265</v>
      </c>
      <c r="E3006" t="s">
        <v>94</v>
      </c>
      <c r="F3006">
        <v>872</v>
      </c>
      <c r="G3006" s="4">
        <v>46087.599236111113</v>
      </c>
    </row>
    <row r="3007" spans="1:7" x14ac:dyDescent="0.3">
      <c r="A3007">
        <v>6585</v>
      </c>
      <c r="B3007" t="s">
        <v>147</v>
      </c>
      <c r="C3007">
        <v>51056671</v>
      </c>
      <c r="D3007">
        <v>99.865673054965612</v>
      </c>
      <c r="E3007" t="s">
        <v>275</v>
      </c>
      <c r="F3007">
        <v>19</v>
      </c>
      <c r="G3007" s="4">
        <v>46087.599236111113</v>
      </c>
    </row>
    <row r="3008" spans="1:7" x14ac:dyDescent="0.3">
      <c r="A3008">
        <v>6586</v>
      </c>
      <c r="B3008" t="s">
        <v>147</v>
      </c>
      <c r="C3008">
        <v>51055462</v>
      </c>
      <c r="D3008">
        <v>88.51839494495637</v>
      </c>
      <c r="E3008" t="s">
        <v>92</v>
      </c>
      <c r="F3008">
        <v>181</v>
      </c>
      <c r="G3008" s="4">
        <v>46087.599236111113</v>
      </c>
    </row>
    <row r="3009" spans="1:7" x14ac:dyDescent="0.3">
      <c r="A3009">
        <v>6587</v>
      </c>
      <c r="B3009" t="s">
        <v>147</v>
      </c>
      <c r="C3009">
        <v>51014081</v>
      </c>
      <c r="D3009">
        <v>85.000588887921253</v>
      </c>
      <c r="E3009" t="s">
        <v>93</v>
      </c>
      <c r="F3009">
        <v>284</v>
      </c>
      <c r="G3009" s="4">
        <v>46087.599236111113</v>
      </c>
    </row>
    <row r="3010" spans="1:7" x14ac:dyDescent="0.3">
      <c r="A3010">
        <v>6588</v>
      </c>
      <c r="B3010" t="s">
        <v>147</v>
      </c>
      <c r="C3010">
        <v>51055918</v>
      </c>
      <c r="D3010">
        <v>83.069187289038808</v>
      </c>
      <c r="E3010" t="s">
        <v>93</v>
      </c>
      <c r="F3010">
        <v>353</v>
      </c>
      <c r="G3010" s="4">
        <v>46087.599236111113</v>
      </c>
    </row>
    <row r="3011" spans="1:7" x14ac:dyDescent="0.3">
      <c r="A3011">
        <v>6589</v>
      </c>
      <c r="B3011" t="s">
        <v>147</v>
      </c>
      <c r="C3011">
        <v>51016785</v>
      </c>
      <c r="D3011">
        <v>87.813463087867973</v>
      </c>
      <c r="E3011" t="s">
        <v>92</v>
      </c>
      <c r="F3011">
        <v>206</v>
      </c>
      <c r="G3011" s="4">
        <v>46087.599236111113</v>
      </c>
    </row>
    <row r="3012" spans="1:7" x14ac:dyDescent="0.3">
      <c r="A3012">
        <v>6590</v>
      </c>
      <c r="B3012" t="s">
        <v>147</v>
      </c>
      <c r="C3012">
        <v>51055268</v>
      </c>
      <c r="D3012">
        <v>21.620159031153662</v>
      </c>
      <c r="E3012" t="s">
        <v>94</v>
      </c>
      <c r="F3012">
        <v>953</v>
      </c>
      <c r="G3012" s="4">
        <v>46087.599236111113</v>
      </c>
    </row>
    <row r="3013" spans="1:7" x14ac:dyDescent="0.3">
      <c r="A3013">
        <v>6591</v>
      </c>
      <c r="B3013" t="s">
        <v>147</v>
      </c>
      <c r="C3013">
        <v>51015533</v>
      </c>
      <c r="D3013">
        <v>73.597217992095494</v>
      </c>
      <c r="E3013" t="s">
        <v>93</v>
      </c>
      <c r="F3013">
        <v>484</v>
      </c>
      <c r="G3013" s="4">
        <v>46087.599236111113</v>
      </c>
    </row>
    <row r="3014" spans="1:7" x14ac:dyDescent="0.3">
      <c r="A3014">
        <v>6592</v>
      </c>
      <c r="B3014" t="s">
        <v>147</v>
      </c>
      <c r="C3014">
        <v>51018371</v>
      </c>
      <c r="D3014">
        <v>30.769883129922473</v>
      </c>
      <c r="E3014" t="s">
        <v>94</v>
      </c>
      <c r="F3014">
        <v>850</v>
      </c>
      <c r="G3014" s="4">
        <v>46087.599236111113</v>
      </c>
    </row>
    <row r="3015" spans="1:7" x14ac:dyDescent="0.3">
      <c r="A3015">
        <v>6593</v>
      </c>
      <c r="B3015" t="s">
        <v>147</v>
      </c>
      <c r="C3015">
        <v>51004027</v>
      </c>
      <c r="D3015">
        <v>81.393689843859207</v>
      </c>
      <c r="E3015" t="s">
        <v>93</v>
      </c>
      <c r="F3015">
        <v>403</v>
      </c>
      <c r="G3015" s="4">
        <v>46087.599236111113</v>
      </c>
    </row>
    <row r="3016" spans="1:7" x14ac:dyDescent="0.3">
      <c r="A3016">
        <v>6594</v>
      </c>
      <c r="B3016" t="s">
        <v>147</v>
      </c>
      <c r="C3016">
        <v>51011660</v>
      </c>
      <c r="D3016">
        <v>47.963884471092264</v>
      </c>
      <c r="E3016" t="s">
        <v>94</v>
      </c>
      <c r="F3016">
        <v>754</v>
      </c>
      <c r="G3016" s="4">
        <v>46087.599236111113</v>
      </c>
    </row>
    <row r="3017" spans="1:7" x14ac:dyDescent="0.3">
      <c r="A3017">
        <v>6595</v>
      </c>
      <c r="B3017" t="s">
        <v>147</v>
      </c>
      <c r="C3017">
        <v>51022556</v>
      </c>
      <c r="D3017">
        <v>90.397671290216664</v>
      </c>
      <c r="E3017" t="s">
        <v>92</v>
      </c>
      <c r="F3017">
        <v>128</v>
      </c>
      <c r="G3017" s="4">
        <v>46087.599236111113</v>
      </c>
    </row>
    <row r="3018" spans="1:7" x14ac:dyDescent="0.3">
      <c r="A3018">
        <v>6596</v>
      </c>
      <c r="B3018" t="s">
        <v>147</v>
      </c>
      <c r="C3018">
        <v>51018427</v>
      </c>
      <c r="D3018">
        <v>88.167906060138478</v>
      </c>
      <c r="E3018" t="s">
        <v>92</v>
      </c>
      <c r="F3018">
        <v>193</v>
      </c>
      <c r="G3018" s="4">
        <v>46087.599236111113</v>
      </c>
    </row>
    <row r="3019" spans="1:7" x14ac:dyDescent="0.3">
      <c r="A3019">
        <v>6597</v>
      </c>
      <c r="B3019" t="s">
        <v>147</v>
      </c>
      <c r="C3019">
        <v>51024516</v>
      </c>
      <c r="D3019">
        <v>80.339051963467369</v>
      </c>
      <c r="E3019" t="s">
        <v>93</v>
      </c>
      <c r="F3019">
        <v>432</v>
      </c>
      <c r="G3019" s="4">
        <v>46087.599236111113</v>
      </c>
    </row>
    <row r="3020" spans="1:7" x14ac:dyDescent="0.3">
      <c r="A3020">
        <v>6598</v>
      </c>
      <c r="B3020" t="s">
        <v>147</v>
      </c>
      <c r="C3020">
        <v>51011856</v>
      </c>
      <c r="D3020">
        <v>56.914110387521532</v>
      </c>
      <c r="E3020" t="s">
        <v>94</v>
      </c>
      <c r="F3020">
        <v>685</v>
      </c>
      <c r="G3020" s="4">
        <v>46087.599236111113</v>
      </c>
    </row>
    <row r="3021" spans="1:7" x14ac:dyDescent="0.3">
      <c r="A3021">
        <v>6599</v>
      </c>
      <c r="B3021" t="s">
        <v>147</v>
      </c>
      <c r="C3021">
        <v>51032322</v>
      </c>
      <c r="D3021">
        <v>62.801862783657363</v>
      </c>
      <c r="E3021" t="s">
        <v>93</v>
      </c>
      <c r="F3021">
        <v>562</v>
      </c>
      <c r="G3021" s="4">
        <v>46087.599236111113</v>
      </c>
    </row>
    <row r="3022" spans="1:7" x14ac:dyDescent="0.3">
      <c r="A3022">
        <v>6600</v>
      </c>
      <c r="B3022" t="s">
        <v>147</v>
      </c>
      <c r="C3022">
        <v>51013859</v>
      </c>
      <c r="D3022">
        <v>57.954645897075942</v>
      </c>
      <c r="E3022" t="s">
        <v>94</v>
      </c>
      <c r="F3022">
        <v>664</v>
      </c>
      <c r="G3022" s="4">
        <v>46087.599236111113</v>
      </c>
    </row>
    <row r="3023" spans="1:7" x14ac:dyDescent="0.3">
      <c r="A3023">
        <v>6601</v>
      </c>
      <c r="B3023" t="s">
        <v>147</v>
      </c>
      <c r="C3023">
        <v>51008430</v>
      </c>
      <c r="D3023">
        <v>81.193654709062599</v>
      </c>
      <c r="E3023" t="s">
        <v>93</v>
      </c>
      <c r="F3023">
        <v>407</v>
      </c>
      <c r="G3023" s="4">
        <v>46087.599236111113</v>
      </c>
    </row>
    <row r="3024" spans="1:7" x14ac:dyDescent="0.3">
      <c r="A3024">
        <v>6602</v>
      </c>
      <c r="B3024" t="s">
        <v>147</v>
      </c>
      <c r="C3024">
        <v>51042158</v>
      </c>
      <c r="D3024">
        <v>98.743841315272562</v>
      </c>
      <c r="E3024" t="s">
        <v>275</v>
      </c>
      <c r="F3024">
        <v>27</v>
      </c>
      <c r="G3024" s="4">
        <v>46087.599236111113</v>
      </c>
    </row>
    <row r="3025" spans="1:7" x14ac:dyDescent="0.3">
      <c r="A3025">
        <v>6603</v>
      </c>
      <c r="B3025" t="s">
        <v>147</v>
      </c>
      <c r="C3025">
        <v>51011627</v>
      </c>
      <c r="D3025">
        <v>27.650579795181528</v>
      </c>
      <c r="E3025" t="s">
        <v>94</v>
      </c>
      <c r="F3025">
        <v>889</v>
      </c>
      <c r="G3025" s="4">
        <v>46087.599236111113</v>
      </c>
    </row>
    <row r="3026" spans="1:7" x14ac:dyDescent="0.3">
      <c r="A3026">
        <v>6604</v>
      </c>
      <c r="B3026" t="s">
        <v>147</v>
      </c>
      <c r="C3026">
        <v>51010426</v>
      </c>
      <c r="D3026">
        <v>85.168909393705761</v>
      </c>
      <c r="E3026" t="s">
        <v>93</v>
      </c>
      <c r="F3026">
        <v>279</v>
      </c>
      <c r="G3026" s="4">
        <v>46087.599236111113</v>
      </c>
    </row>
    <row r="3027" spans="1:7" x14ac:dyDescent="0.3">
      <c r="A3027">
        <v>6605</v>
      </c>
      <c r="B3027" t="s">
        <v>147</v>
      </c>
      <c r="C3027">
        <v>51033205</v>
      </c>
      <c r="D3027">
        <v>61.848237609731065</v>
      </c>
      <c r="E3027" t="s">
        <v>93</v>
      </c>
      <c r="F3027">
        <v>583</v>
      </c>
      <c r="G3027" s="4">
        <v>46087.599236111113</v>
      </c>
    </row>
    <row r="3028" spans="1:7" x14ac:dyDescent="0.3">
      <c r="A3028">
        <v>6606</v>
      </c>
      <c r="B3028" t="s">
        <v>147</v>
      </c>
      <c r="C3028">
        <v>51035976</v>
      </c>
      <c r="D3028">
        <v>89.319851547748527</v>
      </c>
      <c r="E3028" t="s">
        <v>92</v>
      </c>
      <c r="F3028">
        <v>155</v>
      </c>
      <c r="G3028" s="4">
        <v>46087.599236111113</v>
      </c>
    </row>
    <row r="3029" spans="1:7" x14ac:dyDescent="0.3">
      <c r="A3029">
        <v>6607</v>
      </c>
      <c r="B3029" t="s">
        <v>147</v>
      </c>
      <c r="C3029">
        <v>51010914</v>
      </c>
      <c r="D3029">
        <v>48.559110618169974</v>
      </c>
      <c r="E3029" t="s">
        <v>94</v>
      </c>
      <c r="F3029">
        <v>750</v>
      </c>
      <c r="G3029" s="4">
        <v>46087.599236111113</v>
      </c>
    </row>
    <row r="3030" spans="1:7" x14ac:dyDescent="0.3">
      <c r="A3030">
        <v>6608</v>
      </c>
      <c r="B3030" t="s">
        <v>147</v>
      </c>
      <c r="C3030">
        <v>51023129</v>
      </c>
      <c r="D3030">
        <v>89.102683470813517</v>
      </c>
      <c r="E3030" t="s">
        <v>92</v>
      </c>
      <c r="F3030">
        <v>164</v>
      </c>
      <c r="G3030" s="4">
        <v>46087.599236111113</v>
      </c>
    </row>
    <row r="3031" spans="1:7" x14ac:dyDescent="0.3">
      <c r="A3031">
        <v>6609</v>
      </c>
      <c r="B3031" t="s">
        <v>147</v>
      </c>
      <c r="C3031">
        <v>51054857</v>
      </c>
      <c r="D3031">
        <v>45.989298951563867</v>
      </c>
      <c r="E3031" t="s">
        <v>94</v>
      </c>
      <c r="F3031">
        <v>766</v>
      </c>
      <c r="G3031" s="4">
        <v>46087.599236111113</v>
      </c>
    </row>
    <row r="3032" spans="1:7" x14ac:dyDescent="0.3">
      <c r="A3032">
        <v>6610</v>
      </c>
      <c r="B3032" t="s">
        <v>147</v>
      </c>
      <c r="C3032">
        <v>51055926</v>
      </c>
      <c r="D3032">
        <v>86.434642607609646</v>
      </c>
      <c r="E3032" t="s">
        <v>93</v>
      </c>
      <c r="F3032">
        <v>240</v>
      </c>
      <c r="G3032" s="4">
        <v>46087.599236111113</v>
      </c>
    </row>
    <row r="3033" spans="1:7" x14ac:dyDescent="0.3">
      <c r="A3033">
        <v>6611</v>
      </c>
      <c r="B3033" t="s">
        <v>147</v>
      </c>
      <c r="C3033">
        <v>51021282</v>
      </c>
      <c r="D3033">
        <v>33.286055463502926</v>
      </c>
      <c r="E3033" t="s">
        <v>94</v>
      </c>
      <c r="F3033">
        <v>819</v>
      </c>
      <c r="G3033" s="4">
        <v>46087.599236111113</v>
      </c>
    </row>
    <row r="3034" spans="1:7" x14ac:dyDescent="0.3">
      <c r="A3034">
        <v>6612</v>
      </c>
      <c r="B3034" t="s">
        <v>147</v>
      </c>
      <c r="C3034">
        <v>51031369</v>
      </c>
      <c r="D3034">
        <v>84.285368481494487</v>
      </c>
      <c r="E3034" t="s">
        <v>93</v>
      </c>
      <c r="F3034">
        <v>307</v>
      </c>
      <c r="G3034" s="4">
        <v>46087.599236111113</v>
      </c>
    </row>
    <row r="3035" spans="1:7" x14ac:dyDescent="0.3">
      <c r="A3035">
        <v>6613</v>
      </c>
      <c r="B3035" t="s">
        <v>147</v>
      </c>
      <c r="C3035">
        <v>51024621</v>
      </c>
      <c r="D3035">
        <v>29.685253651527834</v>
      </c>
      <c r="E3035" t="s">
        <v>94</v>
      </c>
      <c r="F3035">
        <v>871</v>
      </c>
      <c r="G3035" s="4">
        <v>46087.599236111113</v>
      </c>
    </row>
    <row r="3036" spans="1:7" x14ac:dyDescent="0.3">
      <c r="A3036">
        <v>6614</v>
      </c>
      <c r="B3036" t="s">
        <v>147</v>
      </c>
      <c r="C3036">
        <v>51032284</v>
      </c>
      <c r="D3036">
        <v>72.56567840878111</v>
      </c>
      <c r="E3036" t="s">
        <v>93</v>
      </c>
      <c r="F3036">
        <v>496</v>
      </c>
      <c r="G3036" s="4">
        <v>46087.599236111113</v>
      </c>
    </row>
    <row r="3037" spans="1:7" x14ac:dyDescent="0.3">
      <c r="A3037">
        <v>6615</v>
      </c>
      <c r="B3037" t="s">
        <v>147</v>
      </c>
      <c r="C3037">
        <v>51018966</v>
      </c>
      <c r="D3037">
        <v>87.398152243715003</v>
      </c>
      <c r="E3037" t="s">
        <v>92</v>
      </c>
      <c r="F3037">
        <v>215</v>
      </c>
      <c r="G3037" s="4">
        <v>46087.599236111113</v>
      </c>
    </row>
    <row r="3038" spans="1:7" x14ac:dyDescent="0.3">
      <c r="A3038">
        <v>6616</v>
      </c>
      <c r="B3038" t="s">
        <v>147</v>
      </c>
      <c r="C3038">
        <v>51012623</v>
      </c>
      <c r="D3038">
        <v>27.494872343811288</v>
      </c>
      <c r="E3038" t="s">
        <v>94</v>
      </c>
      <c r="F3038">
        <v>892</v>
      </c>
      <c r="G3038" s="4">
        <v>46087.599236111113</v>
      </c>
    </row>
    <row r="3039" spans="1:7" x14ac:dyDescent="0.3">
      <c r="A3039">
        <v>6617</v>
      </c>
      <c r="B3039" t="s">
        <v>147</v>
      </c>
      <c r="C3039">
        <v>51019121</v>
      </c>
      <c r="D3039">
        <v>89.844130199616345</v>
      </c>
      <c r="E3039" t="s">
        <v>92</v>
      </c>
      <c r="F3039">
        <v>138</v>
      </c>
      <c r="G3039" s="4">
        <v>46087.599236111113</v>
      </c>
    </row>
    <row r="3040" spans="1:7" x14ac:dyDescent="0.3">
      <c r="A3040">
        <v>6618</v>
      </c>
      <c r="B3040" t="s">
        <v>147</v>
      </c>
      <c r="C3040">
        <v>51036085</v>
      </c>
      <c r="D3040">
        <v>87.192038047441315</v>
      </c>
      <c r="E3040" t="s">
        <v>92</v>
      </c>
      <c r="F3040">
        <v>221</v>
      </c>
      <c r="G3040" s="4">
        <v>46087.599236111113</v>
      </c>
    </row>
    <row r="3041" spans="1:7" x14ac:dyDescent="0.3">
      <c r="A3041">
        <v>6619</v>
      </c>
      <c r="B3041" t="s">
        <v>147</v>
      </c>
      <c r="C3041">
        <v>51002164</v>
      </c>
      <c r="D3041">
        <v>30.678081198553002</v>
      </c>
      <c r="E3041" t="s">
        <v>94</v>
      </c>
      <c r="F3041">
        <v>852</v>
      </c>
      <c r="G3041" s="4">
        <v>46087.599236111113</v>
      </c>
    </row>
    <row r="3042" spans="1:7" x14ac:dyDescent="0.3">
      <c r="A3042">
        <v>6620</v>
      </c>
      <c r="B3042" t="s">
        <v>147</v>
      </c>
      <c r="C3042">
        <v>51013182</v>
      </c>
      <c r="D3042">
        <v>63.890539806161996</v>
      </c>
      <c r="E3042" t="s">
        <v>93</v>
      </c>
      <c r="F3042">
        <v>549</v>
      </c>
      <c r="G3042" s="4">
        <v>46087.599236111113</v>
      </c>
    </row>
    <row r="3043" spans="1:7" x14ac:dyDescent="0.3">
      <c r="A3043">
        <v>6621</v>
      </c>
      <c r="B3043" t="s">
        <v>147</v>
      </c>
      <c r="C3043">
        <v>51033086</v>
      </c>
      <c r="D3043">
        <v>23.861920423892943</v>
      </c>
      <c r="E3043" t="s">
        <v>94</v>
      </c>
      <c r="F3043">
        <v>924</v>
      </c>
      <c r="G3043" s="4">
        <v>46087.599236111113</v>
      </c>
    </row>
    <row r="3044" spans="1:7" x14ac:dyDescent="0.3">
      <c r="A3044">
        <v>6622</v>
      </c>
      <c r="B3044" t="s">
        <v>147</v>
      </c>
      <c r="C3044">
        <v>51029038</v>
      </c>
      <c r="D3044">
        <v>61.411088370601952</v>
      </c>
      <c r="E3044" t="s">
        <v>93</v>
      </c>
      <c r="F3044">
        <v>591</v>
      </c>
      <c r="G3044" s="4">
        <v>46087.599236111113</v>
      </c>
    </row>
    <row r="3045" spans="1:7" x14ac:dyDescent="0.3">
      <c r="A3045">
        <v>6623</v>
      </c>
      <c r="B3045" t="s">
        <v>147</v>
      </c>
      <c r="C3045">
        <v>51024168</v>
      </c>
      <c r="D3045">
        <v>72.587157907676556</v>
      </c>
      <c r="E3045" t="s">
        <v>93</v>
      </c>
      <c r="F3045">
        <v>493</v>
      </c>
      <c r="G3045" s="4">
        <v>46087.599236111113</v>
      </c>
    </row>
    <row r="3046" spans="1:7" x14ac:dyDescent="0.3">
      <c r="A3046">
        <v>6624</v>
      </c>
      <c r="B3046" t="s">
        <v>147</v>
      </c>
      <c r="C3046">
        <v>51023455</v>
      </c>
      <c r="D3046">
        <v>48.350635963826555</v>
      </c>
      <c r="E3046" t="s">
        <v>94</v>
      </c>
      <c r="F3046">
        <v>753</v>
      </c>
      <c r="G3046" s="4">
        <v>46087.599236111113</v>
      </c>
    </row>
    <row r="3047" spans="1:7" x14ac:dyDescent="0.3">
      <c r="A3047">
        <v>6625</v>
      </c>
      <c r="B3047" t="s">
        <v>147</v>
      </c>
      <c r="C3047">
        <v>51016131</v>
      </c>
      <c r="D3047">
        <v>80.068011175744971</v>
      </c>
      <c r="E3047" t="s">
        <v>93</v>
      </c>
      <c r="F3047">
        <v>439</v>
      </c>
      <c r="G3047" s="4">
        <v>46087.599236111113</v>
      </c>
    </row>
    <row r="3048" spans="1:7" x14ac:dyDescent="0.3">
      <c r="A3048">
        <v>6626</v>
      </c>
      <c r="B3048" t="s">
        <v>147</v>
      </c>
      <c r="C3048">
        <v>51016408</v>
      </c>
      <c r="D3048">
        <v>86.680718666249703</v>
      </c>
      <c r="E3048" t="s">
        <v>92</v>
      </c>
      <c r="F3048">
        <v>233</v>
      </c>
      <c r="G3048" s="4">
        <v>46087.599236111113</v>
      </c>
    </row>
    <row r="3049" spans="1:7" x14ac:dyDescent="0.3">
      <c r="A3049">
        <v>6627</v>
      </c>
      <c r="B3049" t="s">
        <v>147</v>
      </c>
      <c r="C3049">
        <v>51056914</v>
      </c>
      <c r="D3049">
        <v>88.759097199132015</v>
      </c>
      <c r="E3049" t="s">
        <v>92</v>
      </c>
      <c r="F3049">
        <v>174</v>
      </c>
      <c r="G3049" s="4">
        <v>46087.599236111113</v>
      </c>
    </row>
    <row r="3050" spans="1:7" x14ac:dyDescent="0.3">
      <c r="A3050">
        <v>6628</v>
      </c>
      <c r="B3050" t="s">
        <v>147</v>
      </c>
      <c r="C3050">
        <v>51016858</v>
      </c>
      <c r="D3050">
        <v>98.881089933196563</v>
      </c>
      <c r="E3050" t="s">
        <v>275</v>
      </c>
      <c r="F3050">
        <v>24</v>
      </c>
      <c r="G3050" s="4">
        <v>46087.599236111113</v>
      </c>
    </row>
    <row r="3051" spans="1:7" x14ac:dyDescent="0.3">
      <c r="A3051">
        <v>6629</v>
      </c>
      <c r="B3051" t="s">
        <v>147</v>
      </c>
      <c r="C3051">
        <v>51035666</v>
      </c>
      <c r="D3051">
        <v>86.462478492831849</v>
      </c>
      <c r="E3051" t="s">
        <v>92</v>
      </c>
      <c r="F3051">
        <v>238</v>
      </c>
      <c r="G3051" s="4">
        <v>46087.599236111113</v>
      </c>
    </row>
    <row r="3052" spans="1:7" x14ac:dyDescent="0.3">
      <c r="A3052">
        <v>6630</v>
      </c>
      <c r="B3052" t="s">
        <v>147</v>
      </c>
      <c r="C3052">
        <v>51022068</v>
      </c>
      <c r="D3052">
        <v>94.53028934370073</v>
      </c>
      <c r="E3052" t="s">
        <v>92</v>
      </c>
      <c r="F3052">
        <v>72</v>
      </c>
      <c r="G3052" s="4">
        <v>46087.599236111113</v>
      </c>
    </row>
    <row r="3053" spans="1:7" x14ac:dyDescent="0.3">
      <c r="A3053">
        <v>6631</v>
      </c>
      <c r="B3053" t="s">
        <v>147</v>
      </c>
      <c r="C3053">
        <v>51013611</v>
      </c>
      <c r="D3053">
        <v>80.56743108086043</v>
      </c>
      <c r="E3053" t="s">
        <v>93</v>
      </c>
      <c r="F3053">
        <v>428</v>
      </c>
      <c r="G3053" s="4">
        <v>46087.599236111113</v>
      </c>
    </row>
    <row r="3054" spans="1:7" x14ac:dyDescent="0.3">
      <c r="A3054">
        <v>6632</v>
      </c>
      <c r="B3054" t="s">
        <v>147</v>
      </c>
      <c r="C3054">
        <v>51013115</v>
      </c>
      <c r="D3054">
        <v>30.699872394615248</v>
      </c>
      <c r="E3054" t="s">
        <v>94</v>
      </c>
      <c r="F3054">
        <v>851</v>
      </c>
      <c r="G3054" s="4">
        <v>46087.599236111113</v>
      </c>
    </row>
    <row r="3055" spans="1:7" x14ac:dyDescent="0.3">
      <c r="A3055">
        <v>6633</v>
      </c>
      <c r="B3055" t="s">
        <v>147</v>
      </c>
      <c r="C3055">
        <v>51056744</v>
      </c>
      <c r="D3055">
        <v>83.177326667086277</v>
      </c>
      <c r="E3055" t="s">
        <v>93</v>
      </c>
      <c r="F3055">
        <v>344</v>
      </c>
      <c r="G3055" s="4">
        <v>46087.599236111113</v>
      </c>
    </row>
    <row r="3056" spans="1:7" x14ac:dyDescent="0.3">
      <c r="A3056">
        <v>6634</v>
      </c>
      <c r="B3056" t="s">
        <v>147</v>
      </c>
      <c r="C3056">
        <v>51031822</v>
      </c>
      <c r="D3056">
        <v>89.867720179830656</v>
      </c>
      <c r="E3056" t="s">
        <v>92</v>
      </c>
      <c r="F3056">
        <v>137</v>
      </c>
      <c r="G3056" s="4">
        <v>46087.599236111113</v>
      </c>
    </row>
    <row r="3057" spans="1:7" x14ac:dyDescent="0.3">
      <c r="A3057">
        <v>6635</v>
      </c>
      <c r="B3057" t="s">
        <v>147</v>
      </c>
      <c r="C3057">
        <v>51025938</v>
      </c>
      <c r="D3057">
        <v>24.126798450004504</v>
      </c>
      <c r="E3057" t="s">
        <v>94</v>
      </c>
      <c r="F3057">
        <v>918</v>
      </c>
      <c r="G3057" s="4">
        <v>46087.599236111113</v>
      </c>
    </row>
    <row r="3058" spans="1:7" x14ac:dyDescent="0.3">
      <c r="A3058">
        <v>6636</v>
      </c>
      <c r="B3058" t="s">
        <v>147</v>
      </c>
      <c r="C3058">
        <v>51030141</v>
      </c>
      <c r="D3058">
        <v>84.116256572955052</v>
      </c>
      <c r="E3058" t="s">
        <v>93</v>
      </c>
      <c r="F3058">
        <v>317</v>
      </c>
      <c r="G3058" s="4">
        <v>46087.599236111113</v>
      </c>
    </row>
    <row r="3059" spans="1:7" x14ac:dyDescent="0.3">
      <c r="A3059">
        <v>6637</v>
      </c>
      <c r="B3059" t="s">
        <v>147</v>
      </c>
      <c r="C3059">
        <v>51004698</v>
      </c>
      <c r="D3059">
        <v>37.158868219985067</v>
      </c>
      <c r="E3059" t="s">
        <v>94</v>
      </c>
      <c r="F3059">
        <v>798</v>
      </c>
      <c r="G3059" s="4">
        <v>46087.599236111113</v>
      </c>
    </row>
    <row r="3060" spans="1:7" x14ac:dyDescent="0.3">
      <c r="A3060">
        <v>6638</v>
      </c>
      <c r="B3060" t="s">
        <v>147</v>
      </c>
      <c r="C3060">
        <v>51029585</v>
      </c>
      <c r="D3060">
        <v>85.633874864394386</v>
      </c>
      <c r="E3060" t="s">
        <v>93</v>
      </c>
      <c r="F3060">
        <v>264</v>
      </c>
      <c r="G3060" s="4">
        <v>46087.599236111113</v>
      </c>
    </row>
    <row r="3061" spans="1:7" x14ac:dyDescent="0.3">
      <c r="A3061">
        <v>6639</v>
      </c>
      <c r="B3061" t="s">
        <v>147</v>
      </c>
      <c r="C3061">
        <v>51018389</v>
      </c>
      <c r="D3061">
        <v>69.579208583910116</v>
      </c>
      <c r="E3061" t="s">
        <v>93</v>
      </c>
      <c r="F3061">
        <v>515</v>
      </c>
      <c r="G3061" s="4">
        <v>46087.599236111113</v>
      </c>
    </row>
    <row r="3062" spans="1:7" x14ac:dyDescent="0.3">
      <c r="A3062">
        <v>6640</v>
      </c>
      <c r="B3062" t="s">
        <v>147</v>
      </c>
      <c r="C3062">
        <v>51017137</v>
      </c>
      <c r="D3062">
        <v>76.579175570476934</v>
      </c>
      <c r="E3062" t="s">
        <v>93</v>
      </c>
      <c r="F3062">
        <v>459</v>
      </c>
      <c r="G3062" s="4">
        <v>46087.599236111113</v>
      </c>
    </row>
    <row r="3063" spans="1:7" x14ac:dyDescent="0.3">
      <c r="A3063">
        <v>6641</v>
      </c>
      <c r="B3063" t="s">
        <v>147</v>
      </c>
      <c r="C3063">
        <v>51041232</v>
      </c>
      <c r="D3063">
        <v>89.396756082580936</v>
      </c>
      <c r="E3063" t="s">
        <v>92</v>
      </c>
      <c r="F3063">
        <v>152</v>
      </c>
      <c r="G3063" s="4">
        <v>46087.599236111113</v>
      </c>
    </row>
    <row r="3064" spans="1:7" x14ac:dyDescent="0.3">
      <c r="A3064">
        <v>6642</v>
      </c>
      <c r="B3064" t="s">
        <v>147</v>
      </c>
      <c r="C3064">
        <v>51022769</v>
      </c>
      <c r="D3064">
        <v>87.229266361811142</v>
      </c>
      <c r="E3064" t="s">
        <v>92</v>
      </c>
      <c r="F3064">
        <v>219</v>
      </c>
      <c r="G3064" s="4">
        <v>46087.599236111113</v>
      </c>
    </row>
    <row r="3065" spans="1:7" x14ac:dyDescent="0.3">
      <c r="A3065">
        <v>6643</v>
      </c>
      <c r="B3065" t="s">
        <v>147</v>
      </c>
      <c r="C3065">
        <v>51031164</v>
      </c>
      <c r="D3065">
        <v>28.563413806709736</v>
      </c>
      <c r="E3065" t="s">
        <v>94</v>
      </c>
      <c r="F3065">
        <v>881</v>
      </c>
      <c r="G3065" s="4">
        <v>46087.599236111113</v>
      </c>
    </row>
    <row r="3066" spans="1:7" x14ac:dyDescent="0.3">
      <c r="A3066">
        <v>6644</v>
      </c>
      <c r="B3066" t="s">
        <v>147</v>
      </c>
      <c r="C3066">
        <v>51030371</v>
      </c>
      <c r="D3066">
        <v>58.603281537729885</v>
      </c>
      <c r="E3066" t="s">
        <v>94</v>
      </c>
      <c r="F3066">
        <v>644</v>
      </c>
      <c r="G3066" s="4">
        <v>46087.599236111113</v>
      </c>
    </row>
    <row r="3067" spans="1:7" x14ac:dyDescent="0.3">
      <c r="A3067">
        <v>6645</v>
      </c>
      <c r="B3067" t="s">
        <v>147</v>
      </c>
      <c r="C3067">
        <v>51040392</v>
      </c>
      <c r="D3067">
        <v>33.479124839239063</v>
      </c>
      <c r="E3067" t="s">
        <v>94</v>
      </c>
      <c r="F3067">
        <v>818</v>
      </c>
      <c r="G3067" s="4">
        <v>46087.599236111113</v>
      </c>
    </row>
    <row r="3068" spans="1:7" x14ac:dyDescent="0.3">
      <c r="A3068">
        <v>6646</v>
      </c>
      <c r="B3068" t="s">
        <v>147</v>
      </c>
      <c r="C3068">
        <v>51014693</v>
      </c>
      <c r="D3068">
        <v>57.780970630610554</v>
      </c>
      <c r="E3068" t="s">
        <v>94</v>
      </c>
      <c r="F3068">
        <v>668</v>
      </c>
      <c r="G3068" s="4">
        <v>46087.599236111113</v>
      </c>
    </row>
    <row r="3069" spans="1:7" x14ac:dyDescent="0.3">
      <c r="A3069">
        <v>6647</v>
      </c>
      <c r="B3069" t="s">
        <v>147</v>
      </c>
      <c r="C3069">
        <v>51055551</v>
      </c>
      <c r="D3069">
        <v>27.236067377582039</v>
      </c>
      <c r="E3069" t="s">
        <v>94</v>
      </c>
      <c r="F3069">
        <v>897</v>
      </c>
      <c r="G3069" s="4">
        <v>46087.599236111113</v>
      </c>
    </row>
    <row r="3070" spans="1:7" x14ac:dyDescent="0.3">
      <c r="A3070">
        <v>6648</v>
      </c>
      <c r="B3070" t="s">
        <v>147</v>
      </c>
      <c r="C3070">
        <v>51012593</v>
      </c>
      <c r="D3070">
        <v>62.095815653504957</v>
      </c>
      <c r="E3070" t="s">
        <v>93</v>
      </c>
      <c r="F3070">
        <v>578</v>
      </c>
      <c r="G3070" s="4">
        <v>46087.599236111113</v>
      </c>
    </row>
    <row r="3071" spans="1:7" x14ac:dyDescent="0.3">
      <c r="A3071">
        <v>6649</v>
      </c>
      <c r="B3071" t="s">
        <v>147</v>
      </c>
      <c r="C3071">
        <v>51015908</v>
      </c>
      <c r="D3071">
        <v>88.684576807340733</v>
      </c>
      <c r="E3071" t="s">
        <v>92</v>
      </c>
      <c r="F3071">
        <v>177</v>
      </c>
      <c r="G3071" s="4">
        <v>46087.599236111113</v>
      </c>
    </row>
    <row r="3072" spans="1:7" x14ac:dyDescent="0.3">
      <c r="A3072">
        <v>6650</v>
      </c>
      <c r="B3072" t="s">
        <v>147</v>
      </c>
      <c r="C3072">
        <v>51015924</v>
      </c>
      <c r="D3072">
        <v>86.317205834421472</v>
      </c>
      <c r="E3072" t="s">
        <v>93</v>
      </c>
      <c r="F3072">
        <v>242</v>
      </c>
      <c r="G3072" s="4">
        <v>46087.599236111113</v>
      </c>
    </row>
    <row r="3073" spans="1:7" x14ac:dyDescent="0.3">
      <c r="A3073">
        <v>6651</v>
      </c>
      <c r="B3073" t="s">
        <v>147</v>
      </c>
      <c r="C3073">
        <v>51034252</v>
      </c>
      <c r="D3073">
        <v>90.455171971779379</v>
      </c>
      <c r="E3073" t="s">
        <v>92</v>
      </c>
      <c r="F3073">
        <v>126</v>
      </c>
      <c r="G3073" s="4">
        <v>46087.599236111113</v>
      </c>
    </row>
    <row r="3074" spans="1:7" x14ac:dyDescent="0.3">
      <c r="A3074">
        <v>6652</v>
      </c>
      <c r="B3074" t="s">
        <v>147</v>
      </c>
      <c r="C3074">
        <v>51017676</v>
      </c>
      <c r="D3074">
        <v>85.490253969113724</v>
      </c>
      <c r="E3074" t="s">
        <v>93</v>
      </c>
      <c r="F3074">
        <v>267</v>
      </c>
      <c r="G3074" s="4">
        <v>46087.599236111113</v>
      </c>
    </row>
    <row r="3075" spans="1:7" x14ac:dyDescent="0.3">
      <c r="A3075">
        <v>6653</v>
      </c>
      <c r="B3075" t="s">
        <v>147</v>
      </c>
      <c r="C3075">
        <v>51033655</v>
      </c>
      <c r="D3075">
        <v>100</v>
      </c>
      <c r="E3075" t="s">
        <v>275</v>
      </c>
      <c r="F3075">
        <v>1</v>
      </c>
      <c r="G3075" s="4">
        <v>46087.599236111113</v>
      </c>
    </row>
    <row r="3076" spans="1:7" x14ac:dyDescent="0.3">
      <c r="A3076">
        <v>6654</v>
      </c>
      <c r="B3076" t="s">
        <v>147</v>
      </c>
      <c r="C3076">
        <v>51014740</v>
      </c>
      <c r="D3076">
        <v>82.738843360883436</v>
      </c>
      <c r="E3076" t="s">
        <v>93</v>
      </c>
      <c r="F3076">
        <v>365</v>
      </c>
      <c r="G3076" s="4">
        <v>46087.599236111113</v>
      </c>
    </row>
    <row r="3077" spans="1:7" x14ac:dyDescent="0.3">
      <c r="A3077">
        <v>6655</v>
      </c>
      <c r="B3077" t="s">
        <v>147</v>
      </c>
      <c r="C3077">
        <v>51011287</v>
      </c>
      <c r="D3077">
        <v>84.64527226473534</v>
      </c>
      <c r="E3077" t="s">
        <v>93</v>
      </c>
      <c r="F3077">
        <v>295</v>
      </c>
      <c r="G3077" s="4">
        <v>46087.599236111113</v>
      </c>
    </row>
    <row r="3078" spans="1:7" x14ac:dyDescent="0.3">
      <c r="A3078">
        <v>6656</v>
      </c>
      <c r="B3078" t="s">
        <v>147</v>
      </c>
      <c r="C3078">
        <v>51026306</v>
      </c>
      <c r="D3078">
        <v>58.345518157222585</v>
      </c>
      <c r="E3078" t="s">
        <v>94</v>
      </c>
      <c r="F3078">
        <v>648</v>
      </c>
      <c r="G3078" s="4">
        <v>46087.599236111113</v>
      </c>
    </row>
    <row r="3079" spans="1:7" x14ac:dyDescent="0.3">
      <c r="A3079">
        <v>6657</v>
      </c>
      <c r="B3079" t="s">
        <v>147</v>
      </c>
      <c r="C3079">
        <v>51040325</v>
      </c>
      <c r="D3079">
        <v>40.070117357085287</v>
      </c>
      <c r="E3079" t="s">
        <v>94</v>
      </c>
      <c r="F3079">
        <v>786</v>
      </c>
      <c r="G3079" s="4">
        <v>46087.599236111113</v>
      </c>
    </row>
    <row r="3080" spans="1:7" x14ac:dyDescent="0.3">
      <c r="A3080">
        <v>6658</v>
      </c>
      <c r="B3080" t="s">
        <v>147</v>
      </c>
      <c r="C3080">
        <v>51055543</v>
      </c>
      <c r="D3080">
        <v>81.580522377201348</v>
      </c>
      <c r="E3080" t="s">
        <v>93</v>
      </c>
      <c r="F3080">
        <v>399</v>
      </c>
      <c r="G3080" s="4">
        <v>46087.599236111113</v>
      </c>
    </row>
    <row r="3081" spans="1:7" x14ac:dyDescent="0.3">
      <c r="A3081">
        <v>6659</v>
      </c>
      <c r="B3081" t="s">
        <v>147</v>
      </c>
      <c r="C3081">
        <v>51037031</v>
      </c>
      <c r="D3081">
        <v>55.995303437186358</v>
      </c>
      <c r="E3081" t="s">
        <v>94</v>
      </c>
      <c r="F3081">
        <v>703</v>
      </c>
      <c r="G3081" s="4">
        <v>46087.599236111113</v>
      </c>
    </row>
    <row r="3082" spans="1:7" x14ac:dyDescent="0.3">
      <c r="A3082">
        <v>6660</v>
      </c>
      <c r="B3082" t="s">
        <v>147</v>
      </c>
      <c r="C3082">
        <v>51057244</v>
      </c>
      <c r="D3082">
        <v>29.404073107294444</v>
      </c>
      <c r="E3082" t="s">
        <v>94</v>
      </c>
      <c r="F3082">
        <v>873</v>
      </c>
      <c r="G3082" s="4">
        <v>46087.599236111113</v>
      </c>
    </row>
    <row r="3083" spans="1:7" x14ac:dyDescent="0.3">
      <c r="A3083">
        <v>6661</v>
      </c>
      <c r="B3083" t="s">
        <v>147</v>
      </c>
      <c r="C3083">
        <v>51032004</v>
      </c>
      <c r="D3083">
        <v>16.840976018451617</v>
      </c>
      <c r="E3083" t="s">
        <v>95</v>
      </c>
      <c r="F3083">
        <v>1054</v>
      </c>
      <c r="G3083" s="4">
        <v>46087.599236111113</v>
      </c>
    </row>
    <row r="3084" spans="1:7" x14ac:dyDescent="0.3">
      <c r="A3084">
        <v>6662</v>
      </c>
      <c r="B3084" t="s">
        <v>147</v>
      </c>
      <c r="C3084">
        <v>51019253</v>
      </c>
      <c r="D3084">
        <v>62.970810776408797</v>
      </c>
      <c r="E3084" t="s">
        <v>93</v>
      </c>
      <c r="F3084">
        <v>561</v>
      </c>
      <c r="G3084" s="4">
        <v>46087.599236111113</v>
      </c>
    </row>
    <row r="3085" spans="1:7" x14ac:dyDescent="0.3">
      <c r="A3085">
        <v>6663</v>
      </c>
      <c r="B3085" t="s">
        <v>147</v>
      </c>
      <c r="C3085">
        <v>51008413</v>
      </c>
      <c r="D3085">
        <v>60.126791847839641</v>
      </c>
      <c r="E3085" t="s">
        <v>94</v>
      </c>
      <c r="F3085">
        <v>617</v>
      </c>
      <c r="G3085" s="4">
        <v>46087.599236111113</v>
      </c>
    </row>
    <row r="3086" spans="1:7" x14ac:dyDescent="0.3">
      <c r="A3086">
        <v>6664</v>
      </c>
      <c r="B3086" t="s">
        <v>147</v>
      </c>
      <c r="C3086">
        <v>51018265</v>
      </c>
      <c r="D3086">
        <v>75.605683959860343</v>
      </c>
      <c r="E3086" t="s">
        <v>93</v>
      </c>
      <c r="F3086">
        <v>471</v>
      </c>
      <c r="G3086" s="4">
        <v>46087.599236111113</v>
      </c>
    </row>
    <row r="3087" spans="1:7" x14ac:dyDescent="0.3">
      <c r="A3087">
        <v>6665</v>
      </c>
      <c r="B3087" t="s">
        <v>147</v>
      </c>
      <c r="C3087">
        <v>51022050</v>
      </c>
      <c r="D3087">
        <v>20.50459611433552</v>
      </c>
      <c r="E3087" t="s">
        <v>95</v>
      </c>
      <c r="F3087">
        <v>970</v>
      </c>
      <c r="G3087" s="4">
        <v>46087.599236111113</v>
      </c>
    </row>
    <row r="3088" spans="1:7" x14ac:dyDescent="0.3">
      <c r="A3088">
        <v>6666</v>
      </c>
      <c r="B3088" t="s">
        <v>147</v>
      </c>
      <c r="C3088">
        <v>51016076</v>
      </c>
      <c r="D3088">
        <v>59.398545426000027</v>
      </c>
      <c r="E3088" t="s">
        <v>94</v>
      </c>
      <c r="F3088">
        <v>632</v>
      </c>
      <c r="G3088" s="4">
        <v>46087.599236111113</v>
      </c>
    </row>
    <row r="3089" spans="1:7" x14ac:dyDescent="0.3">
      <c r="A3089">
        <v>6667</v>
      </c>
      <c r="B3089" t="s">
        <v>147</v>
      </c>
      <c r="C3089">
        <v>51014634</v>
      </c>
      <c r="D3089">
        <v>82.717303566964802</v>
      </c>
      <c r="E3089" t="s">
        <v>93</v>
      </c>
      <c r="F3089">
        <v>367</v>
      </c>
      <c r="G3089" s="4">
        <v>46087.599236111113</v>
      </c>
    </row>
    <row r="3090" spans="1:7" x14ac:dyDescent="0.3">
      <c r="A3090">
        <v>6668</v>
      </c>
      <c r="B3090" t="s">
        <v>147</v>
      </c>
      <c r="C3090">
        <v>51004655</v>
      </c>
      <c r="D3090">
        <v>81.376317218041095</v>
      </c>
      <c r="E3090" t="s">
        <v>93</v>
      </c>
      <c r="F3090">
        <v>404</v>
      </c>
      <c r="G3090" s="4">
        <v>46087.599236111113</v>
      </c>
    </row>
    <row r="3091" spans="1:7" x14ac:dyDescent="0.3">
      <c r="A3091">
        <v>6669</v>
      </c>
      <c r="B3091" t="s">
        <v>147</v>
      </c>
      <c r="C3091">
        <v>51030974</v>
      </c>
      <c r="D3091">
        <v>92.390706325232358</v>
      </c>
      <c r="E3091" t="s">
        <v>92</v>
      </c>
      <c r="F3091">
        <v>98</v>
      </c>
      <c r="G3091" s="4">
        <v>46087.599236111113</v>
      </c>
    </row>
    <row r="3092" spans="1:7" x14ac:dyDescent="0.3">
      <c r="A3092">
        <v>6670</v>
      </c>
      <c r="B3092" t="s">
        <v>147</v>
      </c>
      <c r="C3092">
        <v>51056787</v>
      </c>
      <c r="D3092">
        <v>73.927709305587953</v>
      </c>
      <c r="E3092" t="s">
        <v>93</v>
      </c>
      <c r="F3092">
        <v>481</v>
      </c>
      <c r="G3092" s="4">
        <v>46087.599236111113</v>
      </c>
    </row>
    <row r="3093" spans="1:7" x14ac:dyDescent="0.3">
      <c r="A3093">
        <v>6671</v>
      </c>
      <c r="B3093" t="s">
        <v>147</v>
      </c>
      <c r="C3093">
        <v>51032802</v>
      </c>
      <c r="D3093">
        <v>100</v>
      </c>
      <c r="E3093" t="s">
        <v>275</v>
      </c>
      <c r="F3093">
        <v>1</v>
      </c>
      <c r="G3093" s="4">
        <v>46087.599236111113</v>
      </c>
    </row>
    <row r="3094" spans="1:7" x14ac:dyDescent="0.3">
      <c r="A3094">
        <v>6672</v>
      </c>
      <c r="B3094" t="s">
        <v>147</v>
      </c>
      <c r="C3094">
        <v>51043677</v>
      </c>
      <c r="D3094">
        <v>80.050528070482301</v>
      </c>
      <c r="E3094" t="s">
        <v>93</v>
      </c>
      <c r="F3094">
        <v>440</v>
      </c>
      <c r="G3094" s="4">
        <v>46087.599236111113</v>
      </c>
    </row>
    <row r="3095" spans="1:7" x14ac:dyDescent="0.3">
      <c r="A3095">
        <v>6673</v>
      </c>
      <c r="B3095" t="s">
        <v>147</v>
      </c>
      <c r="C3095">
        <v>51022467</v>
      </c>
      <c r="D3095">
        <v>55.054860806117674</v>
      </c>
      <c r="E3095" t="s">
        <v>94</v>
      </c>
      <c r="F3095">
        <v>716</v>
      </c>
      <c r="G3095" s="4">
        <v>46087.599236111113</v>
      </c>
    </row>
    <row r="3096" spans="1:7" x14ac:dyDescent="0.3">
      <c r="A3096">
        <v>6674</v>
      </c>
      <c r="B3096" t="s">
        <v>147</v>
      </c>
      <c r="C3096">
        <v>51055225</v>
      </c>
      <c r="D3096">
        <v>85.805416261469119</v>
      </c>
      <c r="E3096" t="s">
        <v>93</v>
      </c>
      <c r="F3096">
        <v>256</v>
      </c>
      <c r="G3096" s="4">
        <v>46087.599236111113</v>
      </c>
    </row>
    <row r="3097" spans="1:7" x14ac:dyDescent="0.3">
      <c r="A3097">
        <v>6675</v>
      </c>
      <c r="B3097" t="s">
        <v>147</v>
      </c>
      <c r="C3097">
        <v>51041666</v>
      </c>
      <c r="D3097">
        <v>58.150057679637335</v>
      </c>
      <c r="E3097" t="s">
        <v>94</v>
      </c>
      <c r="F3097">
        <v>655</v>
      </c>
      <c r="G3097" s="4">
        <v>46087.599236111113</v>
      </c>
    </row>
    <row r="3098" spans="1:7" x14ac:dyDescent="0.3">
      <c r="A3098">
        <v>6676</v>
      </c>
      <c r="B3098" t="s">
        <v>147</v>
      </c>
      <c r="C3098">
        <v>51024753</v>
      </c>
      <c r="D3098">
        <v>60.83380008601884</v>
      </c>
      <c r="E3098" t="s">
        <v>94</v>
      </c>
      <c r="F3098">
        <v>602</v>
      </c>
      <c r="G3098" s="4">
        <v>46087.599236111113</v>
      </c>
    </row>
    <row r="3099" spans="1:7" x14ac:dyDescent="0.3">
      <c r="A3099">
        <v>6677</v>
      </c>
      <c r="B3099" t="s">
        <v>147</v>
      </c>
      <c r="C3099">
        <v>51023901</v>
      </c>
      <c r="D3099">
        <v>88.088748679318897</v>
      </c>
      <c r="E3099" t="s">
        <v>92</v>
      </c>
      <c r="F3099">
        <v>194</v>
      </c>
      <c r="G3099" s="4">
        <v>46087.599236111113</v>
      </c>
    </row>
    <row r="3100" spans="1:7" x14ac:dyDescent="0.3">
      <c r="A3100">
        <v>6678</v>
      </c>
      <c r="B3100" t="s">
        <v>147</v>
      </c>
      <c r="C3100">
        <v>51038401</v>
      </c>
      <c r="D3100">
        <v>45.422829095358161</v>
      </c>
      <c r="E3100" t="s">
        <v>94</v>
      </c>
      <c r="F3100">
        <v>770</v>
      </c>
      <c r="G3100" s="4">
        <v>46087.599236111113</v>
      </c>
    </row>
    <row r="3101" spans="1:7" x14ac:dyDescent="0.3">
      <c r="A3101">
        <v>6679</v>
      </c>
      <c r="B3101" t="s">
        <v>147</v>
      </c>
      <c r="C3101">
        <v>51023226</v>
      </c>
      <c r="D3101">
        <v>80.85437520241905</v>
      </c>
      <c r="E3101" t="s">
        <v>93</v>
      </c>
      <c r="F3101">
        <v>418</v>
      </c>
      <c r="G3101" s="4">
        <v>46087.599236111113</v>
      </c>
    </row>
    <row r="3102" spans="1:7" x14ac:dyDescent="0.3">
      <c r="A3102">
        <v>6680</v>
      </c>
      <c r="B3102" t="s">
        <v>147</v>
      </c>
      <c r="C3102">
        <v>51019717</v>
      </c>
      <c r="D3102">
        <v>49.719406368766997</v>
      </c>
      <c r="E3102" t="s">
        <v>94</v>
      </c>
      <c r="F3102">
        <v>744</v>
      </c>
      <c r="G3102" s="4">
        <v>46087.599236111113</v>
      </c>
    </row>
    <row r="3103" spans="1:7" x14ac:dyDescent="0.3">
      <c r="A3103">
        <v>6681</v>
      </c>
      <c r="B3103" t="s">
        <v>147</v>
      </c>
      <c r="C3103">
        <v>51007115</v>
      </c>
      <c r="D3103">
        <v>82.526574191826285</v>
      </c>
      <c r="E3103" t="s">
        <v>93</v>
      </c>
      <c r="F3103">
        <v>372</v>
      </c>
      <c r="G3103" s="4">
        <v>46087.599236111113</v>
      </c>
    </row>
    <row r="3104" spans="1:7" x14ac:dyDescent="0.3">
      <c r="A3104">
        <v>6682</v>
      </c>
      <c r="B3104" t="s">
        <v>147</v>
      </c>
      <c r="C3104">
        <v>51016637</v>
      </c>
      <c r="D3104">
        <v>85.174296783969595</v>
      </c>
      <c r="E3104" t="s">
        <v>93</v>
      </c>
      <c r="F3104">
        <v>278</v>
      </c>
      <c r="G3104" s="4">
        <v>46087.599236111113</v>
      </c>
    </row>
    <row r="3105" spans="1:7" x14ac:dyDescent="0.3">
      <c r="A3105">
        <v>6683</v>
      </c>
      <c r="B3105" t="s">
        <v>147</v>
      </c>
      <c r="C3105">
        <v>51023439</v>
      </c>
      <c r="D3105">
        <v>31.548621634709207</v>
      </c>
      <c r="E3105" t="s">
        <v>94</v>
      </c>
      <c r="F3105">
        <v>841</v>
      </c>
      <c r="G3105" s="4">
        <v>46087.599236111113</v>
      </c>
    </row>
    <row r="3106" spans="1:7" x14ac:dyDescent="0.3">
      <c r="A3106">
        <v>6684</v>
      </c>
      <c r="B3106" t="s">
        <v>147</v>
      </c>
      <c r="C3106">
        <v>51031334</v>
      </c>
      <c r="D3106">
        <v>31.238981431591451</v>
      </c>
      <c r="E3106" t="s">
        <v>94</v>
      </c>
      <c r="F3106">
        <v>842</v>
      </c>
      <c r="G3106" s="4">
        <v>46087.599236111113</v>
      </c>
    </row>
    <row r="3107" spans="1:7" x14ac:dyDescent="0.3">
      <c r="A3107">
        <v>6685</v>
      </c>
      <c r="B3107" t="s">
        <v>147</v>
      </c>
      <c r="C3107">
        <v>51005368</v>
      </c>
      <c r="D3107">
        <v>67.989029642937936</v>
      </c>
      <c r="E3107" t="s">
        <v>93</v>
      </c>
      <c r="F3107">
        <v>527</v>
      </c>
      <c r="G3107" s="4">
        <v>46087.599236111113</v>
      </c>
    </row>
    <row r="3108" spans="1:7" x14ac:dyDescent="0.3">
      <c r="A3108">
        <v>6686</v>
      </c>
      <c r="B3108" t="s">
        <v>147</v>
      </c>
      <c r="C3108">
        <v>51023803</v>
      </c>
      <c r="D3108">
        <v>95.409686363282219</v>
      </c>
      <c r="E3108" t="s">
        <v>92</v>
      </c>
      <c r="F3108">
        <v>67</v>
      </c>
      <c r="G3108" s="4">
        <v>46087.599236111113</v>
      </c>
    </row>
    <row r="3109" spans="1:7" x14ac:dyDescent="0.3">
      <c r="A3109">
        <v>6687</v>
      </c>
      <c r="B3109" t="s">
        <v>147</v>
      </c>
      <c r="C3109">
        <v>51016777</v>
      </c>
      <c r="D3109">
        <v>76.188047188262473</v>
      </c>
      <c r="E3109" t="s">
        <v>93</v>
      </c>
      <c r="F3109">
        <v>461</v>
      </c>
      <c r="G3109" s="4">
        <v>46087.599236111113</v>
      </c>
    </row>
    <row r="3110" spans="1:7" x14ac:dyDescent="0.3">
      <c r="A3110">
        <v>6688</v>
      </c>
      <c r="B3110" t="s">
        <v>147</v>
      </c>
      <c r="C3110">
        <v>51056094</v>
      </c>
      <c r="D3110">
        <v>55.785961515160643</v>
      </c>
      <c r="E3110" t="s">
        <v>94</v>
      </c>
      <c r="F3110">
        <v>707</v>
      </c>
      <c r="G3110" s="4">
        <v>46087.599236111113</v>
      </c>
    </row>
    <row r="3111" spans="1:7" x14ac:dyDescent="0.3">
      <c r="A3111">
        <v>6689</v>
      </c>
      <c r="B3111" t="s">
        <v>147</v>
      </c>
      <c r="C3111">
        <v>51018044</v>
      </c>
      <c r="D3111">
        <v>21.007163001951081</v>
      </c>
      <c r="E3111" t="s">
        <v>95</v>
      </c>
      <c r="F3111">
        <v>962</v>
      </c>
      <c r="G3111" s="4">
        <v>46087.599236111113</v>
      </c>
    </row>
    <row r="3112" spans="1:7" x14ac:dyDescent="0.3">
      <c r="A3112">
        <v>6690</v>
      </c>
      <c r="B3112" t="s">
        <v>147</v>
      </c>
      <c r="C3112">
        <v>51031318</v>
      </c>
      <c r="D3112">
        <v>51.588421873635404</v>
      </c>
      <c r="E3112" t="s">
        <v>94</v>
      </c>
      <c r="F3112">
        <v>731</v>
      </c>
      <c r="G3112" s="4">
        <v>46087.599236111113</v>
      </c>
    </row>
    <row r="3113" spans="1:7" x14ac:dyDescent="0.3">
      <c r="A3113">
        <v>6691</v>
      </c>
      <c r="B3113" t="s">
        <v>147</v>
      </c>
      <c r="C3113">
        <v>51031750</v>
      </c>
      <c r="D3113">
        <v>91.424089270515708</v>
      </c>
      <c r="E3113" t="s">
        <v>92</v>
      </c>
      <c r="F3113">
        <v>111</v>
      </c>
      <c r="G3113" s="4">
        <v>46087.599236111113</v>
      </c>
    </row>
    <row r="3114" spans="1:7" x14ac:dyDescent="0.3">
      <c r="A3114">
        <v>6692</v>
      </c>
      <c r="B3114" t="s">
        <v>147</v>
      </c>
      <c r="C3114">
        <v>51032063</v>
      </c>
      <c r="D3114">
        <v>81.619140066978545</v>
      </c>
      <c r="E3114" t="s">
        <v>93</v>
      </c>
      <c r="F3114">
        <v>396</v>
      </c>
      <c r="G3114" s="4">
        <v>46087.599236111113</v>
      </c>
    </row>
    <row r="3115" spans="1:7" x14ac:dyDescent="0.3">
      <c r="A3115">
        <v>6693</v>
      </c>
      <c r="B3115" t="s">
        <v>147</v>
      </c>
      <c r="C3115">
        <v>51029232</v>
      </c>
      <c r="D3115">
        <v>66.412882056693164</v>
      </c>
      <c r="E3115" t="s">
        <v>93</v>
      </c>
      <c r="F3115">
        <v>539</v>
      </c>
      <c r="G3115" s="4">
        <v>46087.599236111113</v>
      </c>
    </row>
    <row r="3116" spans="1:7" x14ac:dyDescent="0.3">
      <c r="A3116">
        <v>6694</v>
      </c>
      <c r="B3116" t="s">
        <v>147</v>
      </c>
      <c r="C3116">
        <v>51035879</v>
      </c>
      <c r="D3116">
        <v>40.108543770676889</v>
      </c>
      <c r="E3116" t="s">
        <v>94</v>
      </c>
      <c r="F3116">
        <v>785</v>
      </c>
      <c r="G3116" s="4">
        <v>46087.599236111113</v>
      </c>
    </row>
    <row r="3117" spans="1:7" x14ac:dyDescent="0.3">
      <c r="A3117">
        <v>6695</v>
      </c>
      <c r="B3117" t="s">
        <v>147</v>
      </c>
      <c r="C3117">
        <v>51001044</v>
      </c>
      <c r="D3117">
        <v>84.017006470262302</v>
      </c>
      <c r="E3117" t="s">
        <v>93</v>
      </c>
      <c r="F3117">
        <v>321</v>
      </c>
      <c r="G3117" s="4">
        <v>46087.599236111113</v>
      </c>
    </row>
    <row r="3118" spans="1:7" x14ac:dyDescent="0.3">
      <c r="A3118">
        <v>6696</v>
      </c>
      <c r="B3118" t="s">
        <v>147</v>
      </c>
      <c r="C3118">
        <v>51028929</v>
      </c>
      <c r="D3118">
        <v>89.541549885911891</v>
      </c>
      <c r="E3118" t="s">
        <v>92</v>
      </c>
      <c r="F3118">
        <v>149</v>
      </c>
      <c r="G3118" s="4">
        <v>46087.599236111113</v>
      </c>
    </row>
    <row r="3119" spans="1:7" x14ac:dyDescent="0.3">
      <c r="A3119">
        <v>6697</v>
      </c>
      <c r="B3119" t="s">
        <v>147</v>
      </c>
      <c r="C3119">
        <v>51054873</v>
      </c>
      <c r="D3119">
        <v>97.362626661568186</v>
      </c>
      <c r="E3119" t="s">
        <v>275</v>
      </c>
      <c r="F3119">
        <v>44</v>
      </c>
      <c r="G3119" s="4">
        <v>46087.599236111113</v>
      </c>
    </row>
    <row r="3120" spans="1:7" x14ac:dyDescent="0.3">
      <c r="A3120">
        <v>6698</v>
      </c>
      <c r="B3120" t="s">
        <v>147</v>
      </c>
      <c r="C3120">
        <v>51013913</v>
      </c>
      <c r="D3120">
        <v>84.306431860513356</v>
      </c>
      <c r="E3120" t="s">
        <v>93</v>
      </c>
      <c r="F3120">
        <v>305</v>
      </c>
      <c r="G3120" s="4">
        <v>46087.599236111113</v>
      </c>
    </row>
    <row r="3121" spans="1:7" x14ac:dyDescent="0.3">
      <c r="A3121">
        <v>6699</v>
      </c>
      <c r="B3121" t="s">
        <v>147</v>
      </c>
      <c r="C3121">
        <v>51033302</v>
      </c>
      <c r="D3121">
        <v>46.856722460175575</v>
      </c>
      <c r="E3121" t="s">
        <v>94</v>
      </c>
      <c r="F3121">
        <v>761</v>
      </c>
      <c r="G3121" s="4">
        <v>46087.599236111113</v>
      </c>
    </row>
    <row r="3122" spans="1:7" x14ac:dyDescent="0.3">
      <c r="A3122">
        <v>6700</v>
      </c>
      <c r="B3122" t="s">
        <v>147</v>
      </c>
      <c r="C3122">
        <v>51054806</v>
      </c>
      <c r="D3122">
        <v>32.410963277490879</v>
      </c>
      <c r="E3122" t="s">
        <v>94</v>
      </c>
      <c r="F3122">
        <v>832</v>
      </c>
      <c r="G3122" s="4">
        <v>46087.599236111113</v>
      </c>
    </row>
    <row r="3123" spans="1:7" x14ac:dyDescent="0.3">
      <c r="A3123">
        <v>6701</v>
      </c>
      <c r="B3123" t="s">
        <v>147</v>
      </c>
      <c r="C3123">
        <v>51030567</v>
      </c>
      <c r="D3123">
        <v>54.855678416248686</v>
      </c>
      <c r="E3123" t="s">
        <v>94</v>
      </c>
      <c r="F3123">
        <v>717</v>
      </c>
      <c r="G3123" s="4">
        <v>46087.599236111113</v>
      </c>
    </row>
    <row r="3124" spans="1:7" x14ac:dyDescent="0.3">
      <c r="A3124">
        <v>6702</v>
      </c>
      <c r="B3124" t="s">
        <v>147</v>
      </c>
      <c r="C3124">
        <v>51014375</v>
      </c>
      <c r="D3124">
        <v>37.106996687025045</v>
      </c>
      <c r="E3124" t="s">
        <v>94</v>
      </c>
      <c r="F3124">
        <v>800</v>
      </c>
      <c r="G3124" s="4">
        <v>46087.599236111113</v>
      </c>
    </row>
    <row r="3125" spans="1:7" x14ac:dyDescent="0.3">
      <c r="A3125">
        <v>6703</v>
      </c>
      <c r="B3125" t="s">
        <v>147</v>
      </c>
      <c r="C3125">
        <v>51056337</v>
      </c>
      <c r="D3125">
        <v>84.071367516423848</v>
      </c>
      <c r="E3125" t="s">
        <v>93</v>
      </c>
      <c r="F3125">
        <v>318</v>
      </c>
      <c r="G3125" s="4">
        <v>46087.599236111113</v>
      </c>
    </row>
    <row r="3126" spans="1:7" x14ac:dyDescent="0.3">
      <c r="A3126">
        <v>6704</v>
      </c>
      <c r="B3126" t="s">
        <v>147</v>
      </c>
      <c r="C3126">
        <v>51054938</v>
      </c>
      <c r="D3126">
        <v>93.914041812366449</v>
      </c>
      <c r="E3126" t="s">
        <v>92</v>
      </c>
      <c r="F3126">
        <v>77</v>
      </c>
      <c r="G3126" s="4">
        <v>46087.599236111113</v>
      </c>
    </row>
    <row r="3127" spans="1:7" x14ac:dyDescent="0.3">
      <c r="A3127">
        <v>6705</v>
      </c>
      <c r="B3127" t="s">
        <v>147</v>
      </c>
      <c r="C3127">
        <v>51024834</v>
      </c>
      <c r="D3127">
        <v>51.665672912093257</v>
      </c>
      <c r="E3127" t="s">
        <v>94</v>
      </c>
      <c r="F3127">
        <v>730</v>
      </c>
      <c r="G3127" s="4">
        <v>46087.599236111113</v>
      </c>
    </row>
    <row r="3128" spans="1:7" x14ac:dyDescent="0.3">
      <c r="A3128">
        <v>6706</v>
      </c>
      <c r="B3128" t="s">
        <v>147</v>
      </c>
      <c r="C3128">
        <v>51016831</v>
      </c>
      <c r="D3128">
        <v>39.468946189818197</v>
      </c>
      <c r="E3128" t="s">
        <v>94</v>
      </c>
      <c r="F3128">
        <v>788</v>
      </c>
      <c r="G3128" s="4">
        <v>46087.599236111113</v>
      </c>
    </row>
    <row r="3129" spans="1:7" x14ac:dyDescent="0.3">
      <c r="A3129">
        <v>6707</v>
      </c>
      <c r="B3129" t="s">
        <v>147</v>
      </c>
      <c r="C3129">
        <v>51023927</v>
      </c>
      <c r="D3129">
        <v>30.527067632203156</v>
      </c>
      <c r="E3129" t="s">
        <v>94</v>
      </c>
      <c r="F3129">
        <v>854</v>
      </c>
      <c r="G3129" s="4">
        <v>46087.599236111113</v>
      </c>
    </row>
    <row r="3130" spans="1:7" x14ac:dyDescent="0.3">
      <c r="A3130">
        <v>6708</v>
      </c>
      <c r="B3130" t="s">
        <v>147</v>
      </c>
      <c r="C3130">
        <v>51020111</v>
      </c>
      <c r="D3130">
        <v>57.514428765876559</v>
      </c>
      <c r="E3130" t="s">
        <v>94</v>
      </c>
      <c r="F3130">
        <v>674</v>
      </c>
      <c r="G3130" s="4">
        <v>46087.599236111113</v>
      </c>
    </row>
    <row r="3131" spans="1:7" x14ac:dyDescent="0.3">
      <c r="A3131">
        <v>6709</v>
      </c>
      <c r="B3131" t="s">
        <v>147</v>
      </c>
      <c r="C3131">
        <v>51055250</v>
      </c>
      <c r="D3131">
        <v>56.964896699674831</v>
      </c>
      <c r="E3131" t="s">
        <v>94</v>
      </c>
      <c r="F3131">
        <v>684</v>
      </c>
      <c r="G3131" s="4">
        <v>46087.599236111113</v>
      </c>
    </row>
    <row r="3132" spans="1:7" x14ac:dyDescent="0.3">
      <c r="A3132">
        <v>6710</v>
      </c>
      <c r="B3132" t="s">
        <v>147</v>
      </c>
      <c r="C3132">
        <v>51018036</v>
      </c>
      <c r="D3132">
        <v>80.744760568846928</v>
      </c>
      <c r="E3132" t="s">
        <v>93</v>
      </c>
      <c r="F3132">
        <v>421</v>
      </c>
      <c r="G3132" s="4">
        <v>46087.599236111113</v>
      </c>
    </row>
    <row r="3133" spans="1:7" x14ac:dyDescent="0.3">
      <c r="A3133">
        <v>6711</v>
      </c>
      <c r="B3133" t="s">
        <v>147</v>
      </c>
      <c r="C3133">
        <v>51009797</v>
      </c>
      <c r="D3133">
        <v>26.524862630576127</v>
      </c>
      <c r="E3133" t="s">
        <v>94</v>
      </c>
      <c r="F3133">
        <v>904</v>
      </c>
      <c r="G3133" s="4">
        <v>46087.599236111113</v>
      </c>
    </row>
    <row r="3134" spans="1:7" x14ac:dyDescent="0.3">
      <c r="A3134">
        <v>6712</v>
      </c>
      <c r="B3134" t="s">
        <v>147</v>
      </c>
      <c r="C3134">
        <v>51041917</v>
      </c>
      <c r="D3134">
        <v>45.748171347913313</v>
      </c>
      <c r="E3134" t="s">
        <v>94</v>
      </c>
      <c r="F3134">
        <v>768</v>
      </c>
      <c r="G3134" s="4">
        <v>46087.599236111113</v>
      </c>
    </row>
    <row r="3135" spans="1:7" x14ac:dyDescent="0.3">
      <c r="A3135">
        <v>6713</v>
      </c>
      <c r="B3135" t="s">
        <v>147</v>
      </c>
      <c r="C3135">
        <v>51017846</v>
      </c>
      <c r="D3135">
        <v>58.237512672353752</v>
      </c>
      <c r="E3135" t="s">
        <v>94</v>
      </c>
      <c r="F3135">
        <v>653</v>
      </c>
      <c r="G3135" s="4">
        <v>46087.599236111113</v>
      </c>
    </row>
    <row r="3136" spans="1:7" x14ac:dyDescent="0.3">
      <c r="A3136">
        <v>6714</v>
      </c>
      <c r="B3136" t="s">
        <v>147</v>
      </c>
      <c r="C3136">
        <v>51015851</v>
      </c>
      <c r="D3136">
        <v>87.863124435439786</v>
      </c>
      <c r="E3136" t="s">
        <v>92</v>
      </c>
      <c r="F3136">
        <v>204</v>
      </c>
      <c r="G3136" s="4">
        <v>46087.599236111113</v>
      </c>
    </row>
    <row r="3137" spans="1:7" x14ac:dyDescent="0.3">
      <c r="A3137">
        <v>6715</v>
      </c>
      <c r="B3137" t="s">
        <v>147</v>
      </c>
      <c r="C3137">
        <v>51036603</v>
      </c>
      <c r="D3137">
        <v>17.786360834588816</v>
      </c>
      <c r="E3137" t="s">
        <v>95</v>
      </c>
      <c r="F3137">
        <v>1034</v>
      </c>
      <c r="G3137" s="4">
        <v>46087.599236111113</v>
      </c>
    </row>
    <row r="3138" spans="1:7" x14ac:dyDescent="0.3">
      <c r="A3138">
        <v>6716</v>
      </c>
      <c r="B3138" t="s">
        <v>147</v>
      </c>
      <c r="C3138">
        <v>51020910</v>
      </c>
      <c r="D3138">
        <v>72.578770448370705</v>
      </c>
      <c r="E3138" t="s">
        <v>93</v>
      </c>
      <c r="F3138">
        <v>494</v>
      </c>
      <c r="G3138" s="4">
        <v>46087.599236111113</v>
      </c>
    </row>
    <row r="3139" spans="1:7" x14ac:dyDescent="0.3">
      <c r="A3139">
        <v>6717</v>
      </c>
      <c r="B3139" t="s">
        <v>147</v>
      </c>
      <c r="C3139">
        <v>51031326</v>
      </c>
      <c r="D3139">
        <v>22.962051531882594</v>
      </c>
      <c r="E3139" t="s">
        <v>94</v>
      </c>
      <c r="F3139">
        <v>931</v>
      </c>
      <c r="G3139" s="4">
        <v>46087.599236111113</v>
      </c>
    </row>
    <row r="3140" spans="1:7" x14ac:dyDescent="0.3">
      <c r="A3140">
        <v>6718</v>
      </c>
      <c r="B3140" t="s">
        <v>147</v>
      </c>
      <c r="C3140">
        <v>51033604</v>
      </c>
      <c r="D3140">
        <v>32.273279023382813</v>
      </c>
      <c r="E3140" t="s">
        <v>94</v>
      </c>
      <c r="F3140">
        <v>833</v>
      </c>
      <c r="G3140" s="4">
        <v>46087.599236111113</v>
      </c>
    </row>
    <row r="3141" spans="1:7" x14ac:dyDescent="0.3">
      <c r="A3141">
        <v>6719</v>
      </c>
      <c r="B3141" t="s">
        <v>147</v>
      </c>
      <c r="C3141">
        <v>51026217</v>
      </c>
      <c r="D3141">
        <v>89.313903896903014</v>
      </c>
      <c r="E3141" t="s">
        <v>92</v>
      </c>
      <c r="F3141">
        <v>156</v>
      </c>
      <c r="G3141" s="4">
        <v>46087.599236111113</v>
      </c>
    </row>
    <row r="3142" spans="1:7" x14ac:dyDescent="0.3">
      <c r="A3142">
        <v>6720</v>
      </c>
      <c r="B3142" t="s">
        <v>147</v>
      </c>
      <c r="C3142">
        <v>51039165</v>
      </c>
      <c r="D3142">
        <v>60.885924903108389</v>
      </c>
      <c r="E3142" t="s">
        <v>94</v>
      </c>
      <c r="F3142">
        <v>601</v>
      </c>
      <c r="G3142" s="4">
        <v>46087.599236111113</v>
      </c>
    </row>
    <row r="3143" spans="1:7" x14ac:dyDescent="0.3">
      <c r="A3143">
        <v>6721</v>
      </c>
      <c r="B3143" t="s">
        <v>147</v>
      </c>
      <c r="C3143">
        <v>51006844</v>
      </c>
      <c r="D3143">
        <v>23.617653119515271</v>
      </c>
      <c r="E3143" t="s">
        <v>94</v>
      </c>
      <c r="F3143">
        <v>926</v>
      </c>
      <c r="G3143" s="4">
        <v>46087.599236111113</v>
      </c>
    </row>
    <row r="3144" spans="1:7" x14ac:dyDescent="0.3">
      <c r="A3144">
        <v>6722</v>
      </c>
      <c r="B3144" t="s">
        <v>147</v>
      </c>
      <c r="C3144">
        <v>51020995</v>
      </c>
      <c r="D3144">
        <v>27.625525965648244</v>
      </c>
      <c r="E3144" t="s">
        <v>94</v>
      </c>
      <c r="F3144">
        <v>890</v>
      </c>
      <c r="G3144" s="4">
        <v>46087.599236111113</v>
      </c>
    </row>
    <row r="3145" spans="1:7" x14ac:dyDescent="0.3">
      <c r="A3145">
        <v>6723</v>
      </c>
      <c r="B3145" t="s">
        <v>147</v>
      </c>
      <c r="C3145">
        <v>51023251</v>
      </c>
      <c r="D3145">
        <v>75.705276133555856</v>
      </c>
      <c r="E3145" t="s">
        <v>93</v>
      </c>
      <c r="F3145">
        <v>470</v>
      </c>
      <c r="G3145" s="4">
        <v>46087.599236111113</v>
      </c>
    </row>
    <row r="3146" spans="1:7" x14ac:dyDescent="0.3">
      <c r="A3146">
        <v>6724</v>
      </c>
      <c r="B3146" t="s">
        <v>147</v>
      </c>
      <c r="C3146">
        <v>51010205</v>
      </c>
      <c r="D3146">
        <v>50.717867936428128</v>
      </c>
      <c r="E3146" t="s">
        <v>94</v>
      </c>
      <c r="F3146">
        <v>735</v>
      </c>
      <c r="G3146" s="4">
        <v>46087.599236111113</v>
      </c>
    </row>
    <row r="3147" spans="1:7" x14ac:dyDescent="0.3">
      <c r="A3147">
        <v>6725</v>
      </c>
      <c r="B3147" t="s">
        <v>147</v>
      </c>
      <c r="C3147">
        <v>51056922</v>
      </c>
      <c r="D3147">
        <v>78.806032201404705</v>
      </c>
      <c r="E3147" t="s">
        <v>93</v>
      </c>
      <c r="F3147">
        <v>450</v>
      </c>
      <c r="G3147" s="4">
        <v>46087.599236111113</v>
      </c>
    </row>
    <row r="3148" spans="1:7" x14ac:dyDescent="0.3">
      <c r="A3148">
        <v>6726</v>
      </c>
      <c r="B3148" t="s">
        <v>147</v>
      </c>
      <c r="C3148">
        <v>51056299</v>
      </c>
      <c r="D3148">
        <v>88.726631639241759</v>
      </c>
      <c r="E3148" t="s">
        <v>92</v>
      </c>
      <c r="F3148">
        <v>175</v>
      </c>
      <c r="G3148" s="4">
        <v>46087.599236111113</v>
      </c>
    </row>
    <row r="3149" spans="1:7" x14ac:dyDescent="0.3">
      <c r="A3149">
        <v>6727</v>
      </c>
      <c r="B3149" t="s">
        <v>147</v>
      </c>
      <c r="C3149">
        <v>51010175</v>
      </c>
      <c r="D3149">
        <v>39.298629463715848</v>
      </c>
      <c r="E3149" t="s">
        <v>94</v>
      </c>
      <c r="F3149">
        <v>789</v>
      </c>
      <c r="G3149" s="4">
        <v>46087.599236111113</v>
      </c>
    </row>
    <row r="3150" spans="1:7" x14ac:dyDescent="0.3">
      <c r="A3150">
        <v>6728</v>
      </c>
      <c r="B3150" t="s">
        <v>147</v>
      </c>
      <c r="C3150">
        <v>51015355</v>
      </c>
      <c r="D3150">
        <v>61.148104824366719</v>
      </c>
      <c r="E3150" t="s">
        <v>93</v>
      </c>
      <c r="F3150">
        <v>595</v>
      </c>
      <c r="G3150" s="4">
        <v>46087.599236111113</v>
      </c>
    </row>
    <row r="3151" spans="1:7" x14ac:dyDescent="0.3">
      <c r="A3151">
        <v>6729</v>
      </c>
      <c r="B3151" t="s">
        <v>147</v>
      </c>
      <c r="C3151">
        <v>51010191</v>
      </c>
      <c r="D3151">
        <v>97.370130881704654</v>
      </c>
      <c r="E3151" t="s">
        <v>275</v>
      </c>
      <c r="F3151">
        <v>43</v>
      </c>
      <c r="G3151" s="4">
        <v>46087.599236111113</v>
      </c>
    </row>
    <row r="3152" spans="1:7" x14ac:dyDescent="0.3">
      <c r="A3152">
        <v>6730</v>
      </c>
      <c r="B3152" t="s">
        <v>147</v>
      </c>
      <c r="C3152">
        <v>51013051</v>
      </c>
      <c r="D3152">
        <v>22.565866658594327</v>
      </c>
      <c r="E3152" t="s">
        <v>94</v>
      </c>
      <c r="F3152">
        <v>941</v>
      </c>
      <c r="G3152" s="4">
        <v>46087.599236111113</v>
      </c>
    </row>
    <row r="3153" spans="1:7" x14ac:dyDescent="0.3">
      <c r="A3153">
        <v>6731</v>
      </c>
      <c r="B3153" t="s">
        <v>147</v>
      </c>
      <c r="C3153">
        <v>51032632</v>
      </c>
      <c r="D3153">
        <v>62.579238151882251</v>
      </c>
      <c r="E3153" t="s">
        <v>93</v>
      </c>
      <c r="F3153">
        <v>567</v>
      </c>
      <c r="G3153" s="4">
        <v>46087.599236111113</v>
      </c>
    </row>
    <row r="3154" spans="1:7" x14ac:dyDescent="0.3">
      <c r="A3154">
        <v>6732</v>
      </c>
      <c r="B3154" t="s">
        <v>147</v>
      </c>
      <c r="C3154">
        <v>51026322</v>
      </c>
      <c r="D3154">
        <v>70.760615428149151</v>
      </c>
      <c r="E3154" t="s">
        <v>93</v>
      </c>
      <c r="F3154">
        <v>509</v>
      </c>
      <c r="G3154" s="4">
        <v>46087.599236111113</v>
      </c>
    </row>
    <row r="3155" spans="1:7" x14ac:dyDescent="0.3">
      <c r="A3155">
        <v>6733</v>
      </c>
      <c r="B3155" t="s">
        <v>147</v>
      </c>
      <c r="C3155">
        <v>51019555</v>
      </c>
      <c r="D3155">
        <v>42.91607040358079</v>
      </c>
      <c r="E3155" t="s">
        <v>94</v>
      </c>
      <c r="F3155">
        <v>778</v>
      </c>
      <c r="G3155" s="4">
        <v>46087.599236111113</v>
      </c>
    </row>
    <row r="3156" spans="1:7" x14ac:dyDescent="0.3">
      <c r="A3156">
        <v>6734</v>
      </c>
      <c r="B3156" t="s">
        <v>147</v>
      </c>
      <c r="C3156">
        <v>51009991</v>
      </c>
      <c r="D3156">
        <v>73.939655404458122</v>
      </c>
      <c r="E3156" t="s">
        <v>93</v>
      </c>
      <c r="F3156">
        <v>480</v>
      </c>
      <c r="G3156" s="4">
        <v>46087.599236111113</v>
      </c>
    </row>
    <row r="3157" spans="1:7" x14ac:dyDescent="0.3">
      <c r="A3157">
        <v>6735</v>
      </c>
      <c r="B3157" t="s">
        <v>147</v>
      </c>
      <c r="C3157">
        <v>51025822</v>
      </c>
      <c r="D3157">
        <v>82.173131741201132</v>
      </c>
      <c r="E3157" t="s">
        <v>93</v>
      </c>
      <c r="F3157">
        <v>384</v>
      </c>
      <c r="G3157" s="4">
        <v>46087.599236111113</v>
      </c>
    </row>
    <row r="3158" spans="1:7" x14ac:dyDescent="0.3">
      <c r="A3158">
        <v>6736</v>
      </c>
      <c r="B3158" t="s">
        <v>147</v>
      </c>
      <c r="C3158">
        <v>51012500</v>
      </c>
      <c r="D3158">
        <v>61.30852284820341</v>
      </c>
      <c r="E3158" t="s">
        <v>93</v>
      </c>
      <c r="F3158">
        <v>593</v>
      </c>
      <c r="G3158" s="4">
        <v>46087.599236111113</v>
      </c>
    </row>
    <row r="3159" spans="1:7" x14ac:dyDescent="0.3">
      <c r="A3159">
        <v>6737</v>
      </c>
      <c r="B3159" t="s">
        <v>147</v>
      </c>
      <c r="C3159">
        <v>51015797</v>
      </c>
      <c r="D3159">
        <v>87.135268791688162</v>
      </c>
      <c r="E3159" t="s">
        <v>92</v>
      </c>
      <c r="F3159">
        <v>223</v>
      </c>
      <c r="G3159" s="4">
        <v>46087.599236111113</v>
      </c>
    </row>
    <row r="3160" spans="1:7" x14ac:dyDescent="0.3">
      <c r="A3160">
        <v>6738</v>
      </c>
      <c r="B3160" t="s">
        <v>147</v>
      </c>
      <c r="C3160">
        <v>51014782</v>
      </c>
      <c r="D3160">
        <v>79.62048401262561</v>
      </c>
      <c r="E3160" t="s">
        <v>93</v>
      </c>
      <c r="F3160">
        <v>446</v>
      </c>
      <c r="G3160" s="4">
        <v>46087.599236111113</v>
      </c>
    </row>
    <row r="3161" spans="1:7" x14ac:dyDescent="0.3">
      <c r="A3161">
        <v>6739</v>
      </c>
      <c r="B3161" t="s">
        <v>147</v>
      </c>
      <c r="C3161">
        <v>51013077</v>
      </c>
      <c r="D3161">
        <v>90.11081926586742</v>
      </c>
      <c r="E3161" t="s">
        <v>92</v>
      </c>
      <c r="F3161">
        <v>133</v>
      </c>
      <c r="G3161" s="4">
        <v>46087.599236111113</v>
      </c>
    </row>
    <row r="3162" spans="1:7" x14ac:dyDescent="0.3">
      <c r="A3162">
        <v>6740</v>
      </c>
      <c r="B3162" t="s">
        <v>147</v>
      </c>
      <c r="C3162">
        <v>51002539</v>
      </c>
      <c r="D3162">
        <v>39.165184479902052</v>
      </c>
      <c r="E3162" t="s">
        <v>94</v>
      </c>
      <c r="F3162">
        <v>791</v>
      </c>
      <c r="G3162" s="4">
        <v>46087.599236111113</v>
      </c>
    </row>
    <row r="3163" spans="1:7" x14ac:dyDescent="0.3">
      <c r="A3163">
        <v>6741</v>
      </c>
      <c r="B3163" t="s">
        <v>147</v>
      </c>
      <c r="C3163">
        <v>51031806</v>
      </c>
      <c r="D3163">
        <v>36.561401391766424</v>
      </c>
      <c r="E3163" t="s">
        <v>94</v>
      </c>
      <c r="F3163">
        <v>801</v>
      </c>
      <c r="G3163" s="4">
        <v>46087.599236111113</v>
      </c>
    </row>
    <row r="3164" spans="1:7" x14ac:dyDescent="0.3">
      <c r="A3164">
        <v>6742</v>
      </c>
      <c r="B3164" t="s">
        <v>147</v>
      </c>
      <c r="C3164">
        <v>51044410</v>
      </c>
      <c r="D3164">
        <v>52.434946690491607</v>
      </c>
      <c r="E3164" t="s">
        <v>94</v>
      </c>
      <c r="F3164">
        <v>727</v>
      </c>
      <c r="G3164" s="4">
        <v>46087.599236111113</v>
      </c>
    </row>
    <row r="3165" spans="1:7" x14ac:dyDescent="0.3">
      <c r="A3165">
        <v>6743</v>
      </c>
      <c r="B3165" t="s">
        <v>147</v>
      </c>
      <c r="C3165">
        <v>51033248</v>
      </c>
      <c r="D3165">
        <v>27.977624584608694</v>
      </c>
      <c r="E3165" t="s">
        <v>94</v>
      </c>
      <c r="F3165">
        <v>886</v>
      </c>
      <c r="G3165" s="4">
        <v>46087.599236111113</v>
      </c>
    </row>
    <row r="3166" spans="1:7" x14ac:dyDescent="0.3">
      <c r="A3166">
        <v>6744</v>
      </c>
      <c r="B3166" t="s">
        <v>147</v>
      </c>
      <c r="C3166">
        <v>51025318</v>
      </c>
      <c r="D3166">
        <v>82.042381910655507</v>
      </c>
      <c r="E3166" t="s">
        <v>93</v>
      </c>
      <c r="F3166">
        <v>385</v>
      </c>
      <c r="G3166" s="4">
        <v>46087.599236111113</v>
      </c>
    </row>
    <row r="3167" spans="1:7" x14ac:dyDescent="0.3">
      <c r="A3167">
        <v>6745</v>
      </c>
      <c r="B3167" t="s">
        <v>147</v>
      </c>
      <c r="C3167">
        <v>51031687</v>
      </c>
      <c r="D3167">
        <v>81.110346770370896</v>
      </c>
      <c r="E3167" t="s">
        <v>93</v>
      </c>
      <c r="F3167">
        <v>410</v>
      </c>
      <c r="G3167" s="4">
        <v>46087.599236111113</v>
      </c>
    </row>
    <row r="3168" spans="1:7" x14ac:dyDescent="0.3">
      <c r="A3168">
        <v>6746</v>
      </c>
      <c r="B3168" t="s">
        <v>147</v>
      </c>
      <c r="C3168">
        <v>51055861</v>
      </c>
      <c r="D3168">
        <v>55.350875450668553</v>
      </c>
      <c r="E3168" t="s">
        <v>94</v>
      </c>
      <c r="F3168">
        <v>711</v>
      </c>
      <c r="G3168" s="4">
        <v>46087.599236111113</v>
      </c>
    </row>
    <row r="3169" spans="1:7" x14ac:dyDescent="0.3">
      <c r="A3169">
        <v>6747</v>
      </c>
      <c r="B3169" t="s">
        <v>147</v>
      </c>
      <c r="C3169">
        <v>51019407</v>
      </c>
      <c r="D3169">
        <v>62.438091778559233</v>
      </c>
      <c r="E3169" t="s">
        <v>93</v>
      </c>
      <c r="F3169">
        <v>570</v>
      </c>
      <c r="G3169" s="4">
        <v>46087.599236111113</v>
      </c>
    </row>
    <row r="3170" spans="1:7" x14ac:dyDescent="0.3">
      <c r="A3170">
        <v>6748</v>
      </c>
      <c r="B3170" t="s">
        <v>147</v>
      </c>
      <c r="C3170">
        <v>51012411</v>
      </c>
      <c r="D3170">
        <v>71.352468377478871</v>
      </c>
      <c r="E3170" t="s">
        <v>93</v>
      </c>
      <c r="F3170">
        <v>503</v>
      </c>
      <c r="G3170" s="4">
        <v>46087.599236111113</v>
      </c>
    </row>
    <row r="3171" spans="1:7" x14ac:dyDescent="0.3">
      <c r="A3171">
        <v>6749</v>
      </c>
      <c r="B3171" t="s">
        <v>147</v>
      </c>
      <c r="C3171">
        <v>51020171</v>
      </c>
      <c r="D3171">
        <v>28.703063669215865</v>
      </c>
      <c r="E3171" t="s">
        <v>94</v>
      </c>
      <c r="F3171">
        <v>878</v>
      </c>
      <c r="G3171" s="4">
        <v>46087.599236111113</v>
      </c>
    </row>
    <row r="3172" spans="1:7" x14ac:dyDescent="0.3">
      <c r="A3172">
        <v>6750</v>
      </c>
      <c r="B3172" t="s">
        <v>147</v>
      </c>
      <c r="C3172">
        <v>51029488</v>
      </c>
      <c r="D3172">
        <v>51.07542255407224</v>
      </c>
      <c r="E3172" t="s">
        <v>94</v>
      </c>
      <c r="F3172">
        <v>734</v>
      </c>
      <c r="G3172" s="4">
        <v>46087.599236111113</v>
      </c>
    </row>
    <row r="3173" spans="1:7" x14ac:dyDescent="0.3">
      <c r="A3173">
        <v>6751</v>
      </c>
      <c r="B3173" t="s">
        <v>147</v>
      </c>
      <c r="C3173">
        <v>51017633</v>
      </c>
      <c r="D3173">
        <v>85.456863995021337</v>
      </c>
      <c r="E3173" t="s">
        <v>93</v>
      </c>
      <c r="F3173">
        <v>270</v>
      </c>
      <c r="G3173" s="4">
        <v>46087.599236111113</v>
      </c>
    </row>
    <row r="3174" spans="1:7" x14ac:dyDescent="0.3">
      <c r="A3174">
        <v>6752</v>
      </c>
      <c r="B3174" t="s">
        <v>147</v>
      </c>
      <c r="C3174">
        <v>51056663</v>
      </c>
      <c r="D3174">
        <v>85.411850721505743</v>
      </c>
      <c r="E3174" t="s">
        <v>93</v>
      </c>
      <c r="F3174">
        <v>273</v>
      </c>
      <c r="G3174" s="4">
        <v>46087.599236111113</v>
      </c>
    </row>
    <row r="3175" spans="1:7" x14ac:dyDescent="0.3">
      <c r="A3175">
        <v>6753</v>
      </c>
      <c r="B3175" t="s">
        <v>147</v>
      </c>
      <c r="C3175">
        <v>51026063</v>
      </c>
      <c r="D3175">
        <v>87.910195832450412</v>
      </c>
      <c r="E3175" t="s">
        <v>92</v>
      </c>
      <c r="F3175">
        <v>202</v>
      </c>
      <c r="G3175" s="4">
        <v>46087.599236111113</v>
      </c>
    </row>
    <row r="3176" spans="1:7" x14ac:dyDescent="0.3">
      <c r="A3176">
        <v>6754</v>
      </c>
      <c r="B3176" t="s">
        <v>147</v>
      </c>
      <c r="C3176">
        <v>51043995</v>
      </c>
      <c r="D3176">
        <v>92.072804539448683</v>
      </c>
      <c r="E3176" t="s">
        <v>92</v>
      </c>
      <c r="F3176">
        <v>106</v>
      </c>
      <c r="G3176" s="4">
        <v>46087.599236111113</v>
      </c>
    </row>
    <row r="3177" spans="1:7" x14ac:dyDescent="0.3">
      <c r="A3177">
        <v>6755</v>
      </c>
      <c r="B3177" t="s">
        <v>147</v>
      </c>
      <c r="C3177">
        <v>51011074</v>
      </c>
      <c r="D3177">
        <v>55.554369360001914</v>
      </c>
      <c r="E3177" t="s">
        <v>94</v>
      </c>
      <c r="F3177">
        <v>708</v>
      </c>
      <c r="G3177" s="4">
        <v>46087.599236111113</v>
      </c>
    </row>
    <row r="3178" spans="1:7" x14ac:dyDescent="0.3">
      <c r="A3178">
        <v>6756</v>
      </c>
      <c r="B3178" t="s">
        <v>147</v>
      </c>
      <c r="C3178">
        <v>51003225</v>
      </c>
      <c r="D3178">
        <v>62.582398039770979</v>
      </c>
      <c r="E3178" t="s">
        <v>93</v>
      </c>
      <c r="F3178">
        <v>566</v>
      </c>
      <c r="G3178" s="4">
        <v>46087.599236111113</v>
      </c>
    </row>
    <row r="3179" spans="1:7" x14ac:dyDescent="0.3">
      <c r="A3179">
        <v>6757</v>
      </c>
      <c r="B3179" t="s">
        <v>147</v>
      </c>
      <c r="C3179">
        <v>51024966</v>
      </c>
      <c r="D3179">
        <v>80.167111648492039</v>
      </c>
      <c r="E3179" t="s">
        <v>93</v>
      </c>
      <c r="F3179">
        <v>435</v>
      </c>
      <c r="G3179" s="4">
        <v>46087.599236111113</v>
      </c>
    </row>
    <row r="3180" spans="1:7" x14ac:dyDescent="0.3">
      <c r="A3180">
        <v>6758</v>
      </c>
      <c r="B3180" t="s">
        <v>147</v>
      </c>
      <c r="C3180">
        <v>51038673</v>
      </c>
      <c r="D3180">
        <v>20.190787433396789</v>
      </c>
      <c r="E3180" t="s">
        <v>95</v>
      </c>
      <c r="F3180">
        <v>976</v>
      </c>
      <c r="G3180" s="4">
        <v>46087.599236111113</v>
      </c>
    </row>
    <row r="3181" spans="1:7" x14ac:dyDescent="0.3">
      <c r="A3181">
        <v>6759</v>
      </c>
      <c r="B3181" t="s">
        <v>147</v>
      </c>
      <c r="C3181">
        <v>51013271</v>
      </c>
      <c r="D3181">
        <v>77.026886093518399</v>
      </c>
      <c r="E3181" t="s">
        <v>93</v>
      </c>
      <c r="F3181">
        <v>457</v>
      </c>
      <c r="G3181" s="4">
        <v>46087.599236111113</v>
      </c>
    </row>
    <row r="3182" spans="1:7" x14ac:dyDescent="0.3">
      <c r="A3182">
        <v>6760</v>
      </c>
      <c r="B3182" t="s">
        <v>147</v>
      </c>
      <c r="C3182">
        <v>51038894</v>
      </c>
      <c r="D3182">
        <v>71.165213579096232</v>
      </c>
      <c r="E3182" t="s">
        <v>93</v>
      </c>
      <c r="F3182">
        <v>507</v>
      </c>
      <c r="G3182" s="4">
        <v>46087.599236111113</v>
      </c>
    </row>
    <row r="3183" spans="1:7" x14ac:dyDescent="0.3">
      <c r="A3183">
        <v>6761</v>
      </c>
      <c r="B3183" t="s">
        <v>147</v>
      </c>
      <c r="C3183">
        <v>51021843</v>
      </c>
      <c r="D3183">
        <v>70.425567694389414</v>
      </c>
      <c r="E3183" t="s">
        <v>93</v>
      </c>
      <c r="F3183">
        <v>510</v>
      </c>
      <c r="G3183" s="4">
        <v>46087.599236111113</v>
      </c>
    </row>
    <row r="3184" spans="1:7" x14ac:dyDescent="0.3">
      <c r="A3184">
        <v>6762</v>
      </c>
      <c r="B3184" t="s">
        <v>147</v>
      </c>
      <c r="C3184">
        <v>51024109</v>
      </c>
      <c r="D3184">
        <v>73.235877286999937</v>
      </c>
      <c r="E3184" t="s">
        <v>93</v>
      </c>
      <c r="F3184">
        <v>487</v>
      </c>
      <c r="G3184" s="4">
        <v>46087.599236111113</v>
      </c>
    </row>
    <row r="3185" spans="1:7" x14ac:dyDescent="0.3">
      <c r="A3185">
        <v>6763</v>
      </c>
      <c r="B3185" t="s">
        <v>147</v>
      </c>
      <c r="C3185">
        <v>51056159</v>
      </c>
      <c r="D3185">
        <v>96.780822148083658</v>
      </c>
      <c r="E3185" t="s">
        <v>275</v>
      </c>
      <c r="F3185">
        <v>49</v>
      </c>
      <c r="G3185" s="4">
        <v>46087.599236111113</v>
      </c>
    </row>
    <row r="3186" spans="1:7" x14ac:dyDescent="0.3">
      <c r="A3186">
        <v>6764</v>
      </c>
      <c r="B3186" t="s">
        <v>147</v>
      </c>
      <c r="C3186">
        <v>51036981</v>
      </c>
      <c r="D3186">
        <v>57.760926648589873</v>
      </c>
      <c r="E3186" t="s">
        <v>94</v>
      </c>
      <c r="F3186">
        <v>670</v>
      </c>
      <c r="G3186" s="4">
        <v>46087.599236111113</v>
      </c>
    </row>
    <row r="3187" spans="1:7" x14ac:dyDescent="0.3">
      <c r="A3187">
        <v>6765</v>
      </c>
      <c r="B3187" t="s">
        <v>147</v>
      </c>
      <c r="C3187">
        <v>51032519</v>
      </c>
      <c r="D3187">
        <v>60.120707844615694</v>
      </c>
      <c r="E3187" t="s">
        <v>94</v>
      </c>
      <c r="F3187">
        <v>618</v>
      </c>
      <c r="G3187" s="4">
        <v>46087.599236111113</v>
      </c>
    </row>
    <row r="3188" spans="1:7" x14ac:dyDescent="0.3">
      <c r="A3188">
        <v>6766</v>
      </c>
      <c r="B3188" t="s">
        <v>147</v>
      </c>
      <c r="C3188">
        <v>51055519</v>
      </c>
      <c r="D3188">
        <v>22.878822920523785</v>
      </c>
      <c r="E3188" t="s">
        <v>94</v>
      </c>
      <c r="F3188">
        <v>935</v>
      </c>
      <c r="G3188" s="4">
        <v>46087.599236111113</v>
      </c>
    </row>
    <row r="3189" spans="1:7" x14ac:dyDescent="0.3">
      <c r="A3189">
        <v>6767</v>
      </c>
      <c r="B3189" t="s">
        <v>147</v>
      </c>
      <c r="C3189">
        <v>51032969</v>
      </c>
      <c r="D3189">
        <v>56.039676696154793</v>
      </c>
      <c r="E3189" t="s">
        <v>94</v>
      </c>
      <c r="F3189">
        <v>702</v>
      </c>
      <c r="G3189" s="4">
        <v>46087.599236111113</v>
      </c>
    </row>
    <row r="3190" spans="1:7" x14ac:dyDescent="0.3">
      <c r="A3190">
        <v>6768</v>
      </c>
      <c r="B3190" t="s">
        <v>147</v>
      </c>
      <c r="C3190">
        <v>51017587</v>
      </c>
      <c r="D3190">
        <v>82.907366267822283</v>
      </c>
      <c r="E3190" t="s">
        <v>93</v>
      </c>
      <c r="F3190">
        <v>358</v>
      </c>
      <c r="G3190" s="4">
        <v>46087.599236111113</v>
      </c>
    </row>
    <row r="3191" spans="1:7" x14ac:dyDescent="0.3">
      <c r="A3191">
        <v>6769</v>
      </c>
      <c r="B3191" t="s">
        <v>147</v>
      </c>
      <c r="C3191">
        <v>51018214</v>
      </c>
      <c r="D3191">
        <v>67.905412347352254</v>
      </c>
      <c r="E3191" t="s">
        <v>93</v>
      </c>
      <c r="F3191">
        <v>530</v>
      </c>
      <c r="G3191" s="4">
        <v>46087.599236111113</v>
      </c>
    </row>
    <row r="3192" spans="1:7" x14ac:dyDescent="0.3">
      <c r="A3192">
        <v>6770</v>
      </c>
      <c r="B3192" t="s">
        <v>147</v>
      </c>
      <c r="C3192">
        <v>51016661</v>
      </c>
      <c r="D3192">
        <v>87.65797197169681</v>
      </c>
      <c r="E3192" t="s">
        <v>92</v>
      </c>
      <c r="F3192">
        <v>208</v>
      </c>
      <c r="G3192" s="4">
        <v>46087.599236111113</v>
      </c>
    </row>
    <row r="3193" spans="1:7" x14ac:dyDescent="0.3">
      <c r="A3193">
        <v>6771</v>
      </c>
      <c r="B3193" t="s">
        <v>147</v>
      </c>
      <c r="C3193">
        <v>51002296</v>
      </c>
      <c r="D3193">
        <v>83.164249848277777</v>
      </c>
      <c r="E3193" t="s">
        <v>93</v>
      </c>
      <c r="F3193">
        <v>347</v>
      </c>
      <c r="G3193" s="4">
        <v>46087.599236111113</v>
      </c>
    </row>
    <row r="3194" spans="1:7" x14ac:dyDescent="0.3">
      <c r="A3194">
        <v>6772</v>
      </c>
      <c r="B3194" t="s">
        <v>147</v>
      </c>
      <c r="C3194">
        <v>51016998</v>
      </c>
      <c r="D3194">
        <v>20.406004553499191</v>
      </c>
      <c r="E3194" t="s">
        <v>95</v>
      </c>
      <c r="F3194">
        <v>972</v>
      </c>
      <c r="G3194" s="4">
        <v>46087.599236111113</v>
      </c>
    </row>
    <row r="3195" spans="1:7" x14ac:dyDescent="0.3">
      <c r="A3195">
        <v>6773</v>
      </c>
      <c r="B3195" t="s">
        <v>147</v>
      </c>
      <c r="C3195">
        <v>51005325</v>
      </c>
      <c r="D3195">
        <v>58.55266801085255</v>
      </c>
      <c r="E3195" t="s">
        <v>94</v>
      </c>
      <c r="F3195">
        <v>647</v>
      </c>
      <c r="G3195" s="4">
        <v>46087.599236111113</v>
      </c>
    </row>
    <row r="3196" spans="1:7" x14ac:dyDescent="0.3">
      <c r="A3196">
        <v>6774</v>
      </c>
      <c r="B3196" t="s">
        <v>147</v>
      </c>
      <c r="C3196">
        <v>51011937</v>
      </c>
      <c r="D3196">
        <v>81.620566549313551</v>
      </c>
      <c r="E3196" t="s">
        <v>93</v>
      </c>
      <c r="F3196">
        <v>395</v>
      </c>
      <c r="G3196" s="4">
        <v>46087.599236111113</v>
      </c>
    </row>
    <row r="3197" spans="1:7" x14ac:dyDescent="0.3">
      <c r="A3197">
        <v>6775</v>
      </c>
      <c r="B3197" t="s">
        <v>147</v>
      </c>
      <c r="C3197">
        <v>51033191</v>
      </c>
      <c r="D3197">
        <v>50.338062970148052</v>
      </c>
      <c r="E3197" t="s">
        <v>94</v>
      </c>
      <c r="F3197">
        <v>738</v>
      </c>
      <c r="G3197" s="4">
        <v>46087.599236111113</v>
      </c>
    </row>
    <row r="3198" spans="1:7" x14ac:dyDescent="0.3">
      <c r="A3198">
        <v>6776</v>
      </c>
      <c r="B3198" t="s">
        <v>147</v>
      </c>
      <c r="C3198">
        <v>51032560</v>
      </c>
      <c r="D3198">
        <v>93.595920878187215</v>
      </c>
      <c r="E3198" t="s">
        <v>92</v>
      </c>
      <c r="F3198">
        <v>81</v>
      </c>
      <c r="G3198" s="4">
        <v>46087.599236111113</v>
      </c>
    </row>
    <row r="3199" spans="1:7" x14ac:dyDescent="0.3">
      <c r="A3199">
        <v>6777</v>
      </c>
      <c r="B3199" t="s">
        <v>147</v>
      </c>
      <c r="C3199">
        <v>51056302</v>
      </c>
      <c r="D3199">
        <v>67.732655747346911</v>
      </c>
      <c r="E3199" t="s">
        <v>93</v>
      </c>
      <c r="F3199">
        <v>533</v>
      </c>
      <c r="G3199" s="4">
        <v>46087.599236111113</v>
      </c>
    </row>
    <row r="3200" spans="1:7" x14ac:dyDescent="0.3">
      <c r="A3200">
        <v>6778</v>
      </c>
      <c r="B3200" t="s">
        <v>147</v>
      </c>
      <c r="C3200">
        <v>51032659</v>
      </c>
      <c r="D3200">
        <v>86.96022464793937</v>
      </c>
      <c r="E3200" t="s">
        <v>92</v>
      </c>
      <c r="F3200">
        <v>225</v>
      </c>
      <c r="G3200" s="4">
        <v>46087.599236111113</v>
      </c>
    </row>
    <row r="3201" spans="1:7" x14ac:dyDescent="0.3">
      <c r="A3201">
        <v>6779</v>
      </c>
      <c r="B3201" t="s">
        <v>147</v>
      </c>
      <c r="C3201">
        <v>51017129</v>
      </c>
      <c r="D3201">
        <v>83.189969919176406</v>
      </c>
      <c r="E3201" t="s">
        <v>93</v>
      </c>
      <c r="F3201">
        <v>343</v>
      </c>
      <c r="G3201" s="4">
        <v>46087.599236111113</v>
      </c>
    </row>
    <row r="3202" spans="1:7" x14ac:dyDescent="0.3">
      <c r="A3202">
        <v>6780</v>
      </c>
      <c r="B3202" t="s">
        <v>147</v>
      </c>
      <c r="C3202">
        <v>51036191</v>
      </c>
      <c r="D3202">
        <v>57.904272499356686</v>
      </c>
      <c r="E3202" t="s">
        <v>94</v>
      </c>
      <c r="F3202">
        <v>665</v>
      </c>
      <c r="G3202" s="4">
        <v>46087.599236111113</v>
      </c>
    </row>
    <row r="3203" spans="1:7" x14ac:dyDescent="0.3">
      <c r="A3203">
        <v>6781</v>
      </c>
      <c r="B3203" t="s">
        <v>147</v>
      </c>
      <c r="C3203">
        <v>51011562</v>
      </c>
      <c r="D3203">
        <v>61.04555963314214</v>
      </c>
      <c r="E3203" t="s">
        <v>93</v>
      </c>
      <c r="F3203">
        <v>596</v>
      </c>
      <c r="G3203" s="4">
        <v>46087.599236111113</v>
      </c>
    </row>
    <row r="3204" spans="1:7" x14ac:dyDescent="0.3">
      <c r="A3204">
        <v>6782</v>
      </c>
      <c r="B3204" t="s">
        <v>147</v>
      </c>
      <c r="C3204">
        <v>51018346</v>
      </c>
      <c r="D3204">
        <v>98.614959653968398</v>
      </c>
      <c r="E3204" t="s">
        <v>275</v>
      </c>
      <c r="F3204">
        <v>29</v>
      </c>
      <c r="G3204" s="4">
        <v>46087.599236111113</v>
      </c>
    </row>
    <row r="3205" spans="1:7" x14ac:dyDescent="0.3">
      <c r="A3205">
        <v>6783</v>
      </c>
      <c r="B3205" t="s">
        <v>147</v>
      </c>
      <c r="C3205">
        <v>51042514</v>
      </c>
      <c r="D3205">
        <v>57.900254020767861</v>
      </c>
      <c r="E3205" t="s">
        <v>94</v>
      </c>
      <c r="F3205">
        <v>666</v>
      </c>
      <c r="G3205" s="4">
        <v>46087.599236111113</v>
      </c>
    </row>
    <row r="3206" spans="1:7" x14ac:dyDescent="0.3">
      <c r="A3206">
        <v>6784</v>
      </c>
      <c r="B3206" t="s">
        <v>147</v>
      </c>
      <c r="C3206">
        <v>51056906</v>
      </c>
      <c r="D3206">
        <v>76.450398752375335</v>
      </c>
      <c r="E3206" t="s">
        <v>93</v>
      </c>
      <c r="F3206">
        <v>460</v>
      </c>
      <c r="G3206" s="4">
        <v>46087.599236111113</v>
      </c>
    </row>
    <row r="3207" spans="1:7" x14ac:dyDescent="0.3">
      <c r="A3207">
        <v>6785</v>
      </c>
      <c r="B3207" t="s">
        <v>147</v>
      </c>
      <c r="C3207">
        <v>51043375</v>
      </c>
      <c r="D3207">
        <v>90.962638596343766</v>
      </c>
      <c r="E3207" t="s">
        <v>92</v>
      </c>
      <c r="F3207">
        <v>116</v>
      </c>
      <c r="G3207" s="4">
        <v>46087.599236111113</v>
      </c>
    </row>
    <row r="3208" spans="1:7" x14ac:dyDescent="0.3">
      <c r="A3208">
        <v>6786</v>
      </c>
      <c r="B3208" t="s">
        <v>147</v>
      </c>
      <c r="C3208">
        <v>51055691</v>
      </c>
      <c r="D3208">
        <v>50.222750355871504</v>
      </c>
      <c r="E3208" t="s">
        <v>94</v>
      </c>
      <c r="F3208">
        <v>740</v>
      </c>
      <c r="G3208" s="4">
        <v>46087.599236111113</v>
      </c>
    </row>
    <row r="3209" spans="1:7" x14ac:dyDescent="0.3">
      <c r="A3209">
        <v>6787</v>
      </c>
      <c r="B3209" t="s">
        <v>147</v>
      </c>
      <c r="C3209">
        <v>51018958</v>
      </c>
      <c r="D3209">
        <v>96.955509644826165</v>
      </c>
      <c r="E3209" t="s">
        <v>275</v>
      </c>
      <c r="F3209">
        <v>47</v>
      </c>
      <c r="G3209" s="4">
        <v>46087.599236111113</v>
      </c>
    </row>
    <row r="3210" spans="1:7" x14ac:dyDescent="0.3">
      <c r="A3210">
        <v>6788</v>
      </c>
      <c r="B3210" t="s">
        <v>147</v>
      </c>
      <c r="C3210">
        <v>51054903</v>
      </c>
      <c r="D3210">
        <v>83.487901956149557</v>
      </c>
      <c r="E3210" t="s">
        <v>93</v>
      </c>
      <c r="F3210">
        <v>333</v>
      </c>
      <c r="G3210" s="4">
        <v>46087.599236111113</v>
      </c>
    </row>
    <row r="3211" spans="1:7" x14ac:dyDescent="0.3">
      <c r="A3211">
        <v>6789</v>
      </c>
      <c r="B3211" t="s">
        <v>147</v>
      </c>
      <c r="C3211">
        <v>51022084</v>
      </c>
      <c r="D3211">
        <v>58.034836893969178</v>
      </c>
      <c r="E3211" t="s">
        <v>94</v>
      </c>
      <c r="F3211">
        <v>661</v>
      </c>
      <c r="G3211" s="4">
        <v>46087.599236111113</v>
      </c>
    </row>
    <row r="3212" spans="1:7" x14ac:dyDescent="0.3">
      <c r="A3212">
        <v>6790</v>
      </c>
      <c r="B3212" t="s">
        <v>147</v>
      </c>
      <c r="C3212">
        <v>51019202</v>
      </c>
      <c r="D3212">
        <v>68.987681545528815</v>
      </c>
      <c r="E3212" t="s">
        <v>93</v>
      </c>
      <c r="F3212">
        <v>520</v>
      </c>
      <c r="G3212" s="4">
        <v>46087.599236111113</v>
      </c>
    </row>
    <row r="3213" spans="1:7" x14ac:dyDescent="0.3">
      <c r="A3213">
        <v>6791</v>
      </c>
      <c r="B3213" t="s">
        <v>147</v>
      </c>
      <c r="C3213">
        <v>51054920</v>
      </c>
      <c r="D3213">
        <v>24.082245147149809</v>
      </c>
      <c r="E3213" t="s">
        <v>94</v>
      </c>
      <c r="F3213">
        <v>919</v>
      </c>
      <c r="G3213" s="4">
        <v>46087.599236111113</v>
      </c>
    </row>
    <row r="3214" spans="1:7" x14ac:dyDescent="0.3">
      <c r="A3214">
        <v>6792</v>
      </c>
      <c r="B3214" t="s">
        <v>147</v>
      </c>
      <c r="C3214">
        <v>51010663</v>
      </c>
      <c r="D3214">
        <v>84.159873964833949</v>
      </c>
      <c r="E3214" t="s">
        <v>93</v>
      </c>
      <c r="F3214">
        <v>315</v>
      </c>
      <c r="G3214" s="4">
        <v>46087.599236111113</v>
      </c>
    </row>
    <row r="3215" spans="1:7" x14ac:dyDescent="0.3">
      <c r="A3215">
        <v>6793</v>
      </c>
      <c r="B3215" t="s">
        <v>147</v>
      </c>
      <c r="C3215">
        <v>51016866</v>
      </c>
      <c r="D3215">
        <v>18.488303653017397</v>
      </c>
      <c r="E3215" t="s">
        <v>95</v>
      </c>
      <c r="F3215">
        <v>1019</v>
      </c>
      <c r="G3215" s="4">
        <v>46087.599236111113</v>
      </c>
    </row>
    <row r="3216" spans="1:7" x14ac:dyDescent="0.3">
      <c r="A3216">
        <v>6794</v>
      </c>
      <c r="B3216" t="s">
        <v>147</v>
      </c>
      <c r="C3216">
        <v>51030184</v>
      </c>
      <c r="D3216">
        <v>49.221687443330033</v>
      </c>
      <c r="E3216" t="s">
        <v>94</v>
      </c>
      <c r="F3216">
        <v>748</v>
      </c>
      <c r="G3216" s="4">
        <v>46087.599236111113</v>
      </c>
    </row>
    <row r="3217" spans="1:7" x14ac:dyDescent="0.3">
      <c r="A3217">
        <v>6795</v>
      </c>
      <c r="B3217" t="s">
        <v>147</v>
      </c>
      <c r="C3217">
        <v>51015428</v>
      </c>
      <c r="D3217">
        <v>60.057828319448539</v>
      </c>
      <c r="E3217" t="s">
        <v>94</v>
      </c>
      <c r="F3217">
        <v>621</v>
      </c>
      <c r="G3217" s="4">
        <v>46087.599236111113</v>
      </c>
    </row>
    <row r="3218" spans="1:7" x14ac:dyDescent="0.3">
      <c r="A3218">
        <v>6796</v>
      </c>
      <c r="B3218" t="s">
        <v>147</v>
      </c>
      <c r="C3218">
        <v>51036557</v>
      </c>
      <c r="D3218">
        <v>21.565022870617728</v>
      </c>
      <c r="E3218" t="s">
        <v>95</v>
      </c>
      <c r="F3218">
        <v>955</v>
      </c>
      <c r="G3218" s="4">
        <v>46087.599236111113</v>
      </c>
    </row>
    <row r="3219" spans="1:7" x14ac:dyDescent="0.3">
      <c r="A3219">
        <v>6797</v>
      </c>
      <c r="B3219" t="s">
        <v>147</v>
      </c>
      <c r="C3219">
        <v>51056175</v>
      </c>
      <c r="D3219">
        <v>30.823790725020817</v>
      </c>
      <c r="E3219" t="s">
        <v>94</v>
      </c>
      <c r="F3219">
        <v>849</v>
      </c>
      <c r="G3219" s="4">
        <v>46087.599236111113</v>
      </c>
    </row>
    <row r="3220" spans="1:7" x14ac:dyDescent="0.3">
      <c r="A3220">
        <v>6798</v>
      </c>
      <c r="B3220" t="s">
        <v>147</v>
      </c>
      <c r="C3220">
        <v>51039190</v>
      </c>
      <c r="D3220">
        <v>76.099219357229998</v>
      </c>
      <c r="E3220" t="s">
        <v>93</v>
      </c>
      <c r="F3220">
        <v>464</v>
      </c>
      <c r="G3220" s="4">
        <v>46087.599236111113</v>
      </c>
    </row>
    <row r="3221" spans="1:7" x14ac:dyDescent="0.3">
      <c r="A3221">
        <v>6799</v>
      </c>
      <c r="B3221" t="s">
        <v>147</v>
      </c>
      <c r="C3221">
        <v>51056604</v>
      </c>
      <c r="D3221">
        <v>55.874253327417513</v>
      </c>
      <c r="E3221" t="s">
        <v>94</v>
      </c>
      <c r="F3221">
        <v>704</v>
      </c>
      <c r="G3221" s="4">
        <v>46087.599236111113</v>
      </c>
    </row>
    <row r="3222" spans="1:7" x14ac:dyDescent="0.3">
      <c r="A3222">
        <v>6800</v>
      </c>
      <c r="B3222" t="s">
        <v>147</v>
      </c>
      <c r="C3222">
        <v>51021789</v>
      </c>
      <c r="D3222">
        <v>72.779973174340512</v>
      </c>
      <c r="E3222" t="s">
        <v>93</v>
      </c>
      <c r="F3222">
        <v>492</v>
      </c>
      <c r="G3222" s="4">
        <v>46087.599236111113</v>
      </c>
    </row>
    <row r="3223" spans="1:7" x14ac:dyDescent="0.3">
      <c r="A3223">
        <v>6801</v>
      </c>
      <c r="B3223" t="s">
        <v>147</v>
      </c>
      <c r="C3223">
        <v>51056795</v>
      </c>
      <c r="D3223">
        <v>55.399445272079767</v>
      </c>
      <c r="E3223" t="s">
        <v>94</v>
      </c>
      <c r="F3223">
        <v>710</v>
      </c>
      <c r="G3223" s="4">
        <v>46087.599236111113</v>
      </c>
    </row>
    <row r="3224" spans="1:7" x14ac:dyDescent="0.3">
      <c r="A3224">
        <v>6802</v>
      </c>
      <c r="B3224" t="s">
        <v>147</v>
      </c>
      <c r="C3224">
        <v>51056931</v>
      </c>
      <c r="D3224">
        <v>22.528651021833227</v>
      </c>
      <c r="E3224" t="s">
        <v>94</v>
      </c>
      <c r="F3224">
        <v>943</v>
      </c>
      <c r="G3224" s="4">
        <v>46087.599236111113</v>
      </c>
    </row>
    <row r="3225" spans="1:7" x14ac:dyDescent="0.3">
      <c r="A3225">
        <v>6803</v>
      </c>
      <c r="B3225" t="s">
        <v>147</v>
      </c>
      <c r="C3225">
        <v>51014120</v>
      </c>
      <c r="D3225">
        <v>66.39189343516027</v>
      </c>
      <c r="E3225" t="s">
        <v>93</v>
      </c>
      <c r="F3225">
        <v>540</v>
      </c>
      <c r="G3225" s="4">
        <v>46087.599236111113</v>
      </c>
    </row>
    <row r="3226" spans="1:7" x14ac:dyDescent="0.3">
      <c r="A3226">
        <v>6804</v>
      </c>
      <c r="B3226" t="s">
        <v>147</v>
      </c>
      <c r="C3226">
        <v>51036182</v>
      </c>
      <c r="D3226">
        <v>55.199131164776809</v>
      </c>
      <c r="E3226" t="s">
        <v>94</v>
      </c>
      <c r="F3226">
        <v>713</v>
      </c>
      <c r="G3226" s="4">
        <v>46087.599236111113</v>
      </c>
    </row>
    <row r="3227" spans="1:7" x14ac:dyDescent="0.3">
      <c r="A3227">
        <v>6805</v>
      </c>
      <c r="B3227" t="s">
        <v>147</v>
      </c>
      <c r="C3227">
        <v>51011465</v>
      </c>
      <c r="D3227">
        <v>27.449916541224475</v>
      </c>
      <c r="E3227" t="s">
        <v>94</v>
      </c>
      <c r="F3227">
        <v>894</v>
      </c>
      <c r="G3227" s="4">
        <v>46087.599236111113</v>
      </c>
    </row>
    <row r="3228" spans="1:7" x14ac:dyDescent="0.3">
      <c r="A3228">
        <v>6806</v>
      </c>
      <c r="B3228" t="s">
        <v>147</v>
      </c>
      <c r="C3228">
        <v>51006151</v>
      </c>
      <c r="D3228">
        <v>71.972990195617086</v>
      </c>
      <c r="E3228" t="s">
        <v>93</v>
      </c>
      <c r="F3228">
        <v>498</v>
      </c>
      <c r="G3228" s="4">
        <v>46087.599236111113</v>
      </c>
    </row>
    <row r="3229" spans="1:7" x14ac:dyDescent="0.3">
      <c r="A3229">
        <v>6807</v>
      </c>
      <c r="B3229" t="s">
        <v>147</v>
      </c>
      <c r="C3229">
        <v>51033418</v>
      </c>
      <c r="D3229">
        <v>25.156082913006134</v>
      </c>
      <c r="E3229" t="s">
        <v>94</v>
      </c>
      <c r="F3229">
        <v>914</v>
      </c>
      <c r="G3229" s="4">
        <v>46087.599236111113</v>
      </c>
    </row>
    <row r="3230" spans="1:7" x14ac:dyDescent="0.3">
      <c r="A3230">
        <v>6808</v>
      </c>
      <c r="B3230" t="s">
        <v>147</v>
      </c>
      <c r="C3230">
        <v>51007841</v>
      </c>
      <c r="D3230">
        <v>31.998175670519093</v>
      </c>
      <c r="E3230" t="s">
        <v>94</v>
      </c>
      <c r="F3230">
        <v>837</v>
      </c>
      <c r="G3230" s="4">
        <v>46087.599236111113</v>
      </c>
    </row>
    <row r="3231" spans="1:7" x14ac:dyDescent="0.3">
      <c r="A3231">
        <v>6809</v>
      </c>
      <c r="B3231" t="s">
        <v>147</v>
      </c>
      <c r="C3231">
        <v>51016602</v>
      </c>
      <c r="D3231">
        <v>30.393336348488774</v>
      </c>
      <c r="E3231" t="s">
        <v>94</v>
      </c>
      <c r="F3231">
        <v>857</v>
      </c>
      <c r="G3231" s="4">
        <v>46087.599236111113</v>
      </c>
    </row>
    <row r="3232" spans="1:7" x14ac:dyDescent="0.3">
      <c r="A3232">
        <v>6810</v>
      </c>
      <c r="B3232" t="s">
        <v>147</v>
      </c>
      <c r="C3232">
        <v>51036077</v>
      </c>
      <c r="D3232">
        <v>17.903569300695782</v>
      </c>
      <c r="E3232" t="s">
        <v>95</v>
      </c>
      <c r="F3232">
        <v>1032</v>
      </c>
      <c r="G3232" s="4">
        <v>46087.599236111113</v>
      </c>
    </row>
    <row r="3233" spans="1:7" x14ac:dyDescent="0.3">
      <c r="A3233">
        <v>6811</v>
      </c>
      <c r="B3233" t="s">
        <v>147</v>
      </c>
      <c r="C3233">
        <v>51013662</v>
      </c>
      <c r="D3233">
        <v>60.346231081699152</v>
      </c>
      <c r="E3233" t="s">
        <v>94</v>
      </c>
      <c r="F3233">
        <v>610</v>
      </c>
      <c r="G3233" s="4">
        <v>46087.599236111113</v>
      </c>
    </row>
    <row r="3234" spans="1:7" x14ac:dyDescent="0.3">
      <c r="A3234">
        <v>6812</v>
      </c>
      <c r="B3234" t="s">
        <v>147</v>
      </c>
      <c r="C3234">
        <v>51010248</v>
      </c>
      <c r="D3234">
        <v>87.228836148861646</v>
      </c>
      <c r="E3234" t="s">
        <v>92</v>
      </c>
      <c r="F3234">
        <v>220</v>
      </c>
      <c r="G3234" s="4">
        <v>46087.599236111113</v>
      </c>
    </row>
    <row r="3235" spans="1:7" x14ac:dyDescent="0.3">
      <c r="A3235">
        <v>6813</v>
      </c>
      <c r="B3235" t="s">
        <v>147</v>
      </c>
      <c r="C3235">
        <v>51055764</v>
      </c>
      <c r="D3235">
        <v>82.961113154279985</v>
      </c>
      <c r="E3235" t="s">
        <v>93</v>
      </c>
      <c r="F3235">
        <v>355</v>
      </c>
      <c r="G3235" s="4">
        <v>46087.599236111113</v>
      </c>
    </row>
    <row r="3236" spans="1:7" x14ac:dyDescent="0.3">
      <c r="A3236">
        <v>6814</v>
      </c>
      <c r="B3236" t="s">
        <v>147</v>
      </c>
      <c r="C3236">
        <v>51012496</v>
      </c>
      <c r="D3236">
        <v>89.02849482309631</v>
      </c>
      <c r="E3236" t="s">
        <v>92</v>
      </c>
      <c r="F3236">
        <v>166</v>
      </c>
      <c r="G3236" s="4">
        <v>46087.599236111113</v>
      </c>
    </row>
    <row r="3237" spans="1:7" x14ac:dyDescent="0.3">
      <c r="A3237">
        <v>6815</v>
      </c>
      <c r="B3237" t="s">
        <v>147</v>
      </c>
      <c r="C3237">
        <v>51016874</v>
      </c>
      <c r="D3237">
        <v>90.600971943216194</v>
      </c>
      <c r="E3237" t="s">
        <v>92</v>
      </c>
      <c r="F3237">
        <v>122</v>
      </c>
      <c r="G3237" s="4">
        <v>46087.599236111113</v>
      </c>
    </row>
    <row r="3238" spans="1:7" x14ac:dyDescent="0.3">
      <c r="A3238">
        <v>6816</v>
      </c>
      <c r="B3238" t="s">
        <v>147</v>
      </c>
      <c r="C3238">
        <v>51011481</v>
      </c>
      <c r="D3238">
        <v>49.422343194696204</v>
      </c>
      <c r="E3238" t="s">
        <v>94</v>
      </c>
      <c r="F3238">
        <v>747</v>
      </c>
      <c r="G3238" s="4">
        <v>46087.599236111113</v>
      </c>
    </row>
    <row r="3239" spans="1:7" x14ac:dyDescent="0.3">
      <c r="A3239">
        <v>6817</v>
      </c>
      <c r="B3239" t="s">
        <v>147</v>
      </c>
      <c r="C3239">
        <v>51042654</v>
      </c>
      <c r="D3239">
        <v>49.438541735991279</v>
      </c>
      <c r="E3239" t="s">
        <v>94</v>
      </c>
      <c r="F3239">
        <v>746</v>
      </c>
      <c r="G3239" s="4">
        <v>46087.599236111113</v>
      </c>
    </row>
    <row r="3240" spans="1:7" x14ac:dyDescent="0.3">
      <c r="A3240">
        <v>6818</v>
      </c>
      <c r="B3240" t="s">
        <v>147</v>
      </c>
      <c r="C3240">
        <v>51057074</v>
      </c>
      <c r="D3240">
        <v>54.197797016941919</v>
      </c>
      <c r="E3240" t="s">
        <v>94</v>
      </c>
      <c r="F3240">
        <v>723</v>
      </c>
      <c r="G3240" s="4">
        <v>46087.599236111113</v>
      </c>
    </row>
    <row r="3241" spans="1:7" x14ac:dyDescent="0.3">
      <c r="A3241">
        <v>6819</v>
      </c>
      <c r="B3241" t="s">
        <v>147</v>
      </c>
      <c r="C3241">
        <v>51042913</v>
      </c>
      <c r="D3241">
        <v>62.161635027959115</v>
      </c>
      <c r="E3241" t="s">
        <v>93</v>
      </c>
      <c r="F3241">
        <v>576</v>
      </c>
      <c r="G3241" s="4">
        <v>46087.599236111113</v>
      </c>
    </row>
    <row r="3242" spans="1:7" x14ac:dyDescent="0.3">
      <c r="A3242">
        <v>6820</v>
      </c>
      <c r="B3242" t="s">
        <v>147</v>
      </c>
      <c r="C3242">
        <v>51025857</v>
      </c>
      <c r="D3242">
        <v>46.226573963783018</v>
      </c>
      <c r="E3242" t="s">
        <v>94</v>
      </c>
      <c r="F3242">
        <v>764</v>
      </c>
      <c r="G3242" s="4">
        <v>46087.599236111113</v>
      </c>
    </row>
    <row r="3243" spans="1:7" x14ac:dyDescent="0.3">
      <c r="A3243">
        <v>6821</v>
      </c>
      <c r="B3243" t="s">
        <v>147</v>
      </c>
      <c r="C3243">
        <v>51026071</v>
      </c>
      <c r="D3243">
        <v>73.528489008236136</v>
      </c>
      <c r="E3243" t="s">
        <v>93</v>
      </c>
      <c r="F3243">
        <v>485</v>
      </c>
      <c r="G3243" s="4">
        <v>46087.599236111113</v>
      </c>
    </row>
    <row r="3244" spans="1:7" x14ac:dyDescent="0.3">
      <c r="A3244">
        <v>6822</v>
      </c>
      <c r="B3244" t="s">
        <v>147</v>
      </c>
      <c r="C3244">
        <v>51017595</v>
      </c>
      <c r="D3244">
        <v>50.423756269914328</v>
      </c>
      <c r="E3244" t="s">
        <v>94</v>
      </c>
      <c r="F3244">
        <v>737</v>
      </c>
      <c r="G3244" s="4">
        <v>46087.599236111113</v>
      </c>
    </row>
    <row r="3245" spans="1:7" x14ac:dyDescent="0.3">
      <c r="A3245">
        <v>6823</v>
      </c>
      <c r="B3245" t="s">
        <v>147</v>
      </c>
      <c r="C3245">
        <v>51014707</v>
      </c>
      <c r="D3245">
        <v>34.332371497182628</v>
      </c>
      <c r="E3245" t="s">
        <v>94</v>
      </c>
      <c r="F3245">
        <v>811</v>
      </c>
      <c r="G3245" s="4">
        <v>46087.599236111113</v>
      </c>
    </row>
    <row r="3246" spans="1:7" x14ac:dyDescent="0.3">
      <c r="A3246">
        <v>6824</v>
      </c>
      <c r="B3246" t="s">
        <v>147</v>
      </c>
      <c r="C3246">
        <v>51032390</v>
      </c>
      <c r="D3246">
        <v>26.747823129687383</v>
      </c>
      <c r="E3246" t="s">
        <v>94</v>
      </c>
      <c r="F3246">
        <v>901</v>
      </c>
      <c r="G3246" s="4">
        <v>46087.599236111113</v>
      </c>
    </row>
    <row r="3247" spans="1:7" x14ac:dyDescent="0.3">
      <c r="A3247">
        <v>6825</v>
      </c>
      <c r="B3247" t="s">
        <v>147</v>
      </c>
      <c r="C3247">
        <v>51030249</v>
      </c>
      <c r="D3247">
        <v>58.072038125868524</v>
      </c>
      <c r="E3247" t="s">
        <v>94</v>
      </c>
      <c r="F3247">
        <v>658</v>
      </c>
      <c r="G3247" s="4">
        <v>46087.599236111113</v>
      </c>
    </row>
    <row r="3248" spans="1:7" x14ac:dyDescent="0.3">
      <c r="A3248">
        <v>6826</v>
      </c>
      <c r="B3248" t="s">
        <v>147</v>
      </c>
      <c r="C3248">
        <v>51029518</v>
      </c>
      <c r="D3248">
        <v>59.699310224915401</v>
      </c>
      <c r="E3248" t="s">
        <v>94</v>
      </c>
      <c r="F3248">
        <v>625</v>
      </c>
      <c r="G3248" s="4">
        <v>46087.599236111113</v>
      </c>
    </row>
    <row r="3249" spans="1:7" x14ac:dyDescent="0.3">
      <c r="A3249">
        <v>6827</v>
      </c>
      <c r="B3249" t="s">
        <v>147</v>
      </c>
      <c r="C3249">
        <v>51044011</v>
      </c>
      <c r="D3249">
        <v>19.718700239105377</v>
      </c>
      <c r="E3249" t="s">
        <v>95</v>
      </c>
      <c r="F3249">
        <v>982</v>
      </c>
      <c r="G3249" s="4">
        <v>46087.599236111113</v>
      </c>
    </row>
    <row r="3250" spans="1:7" x14ac:dyDescent="0.3">
      <c r="A3250">
        <v>6828</v>
      </c>
      <c r="B3250" t="s">
        <v>147</v>
      </c>
      <c r="C3250">
        <v>51013956</v>
      </c>
      <c r="D3250">
        <v>28.116330825491907</v>
      </c>
      <c r="E3250" t="s">
        <v>94</v>
      </c>
      <c r="F3250">
        <v>885</v>
      </c>
      <c r="G3250" s="4">
        <v>46087.599236111113</v>
      </c>
    </row>
    <row r="3251" spans="1:7" x14ac:dyDescent="0.3">
      <c r="A3251">
        <v>6829</v>
      </c>
      <c r="B3251" t="s">
        <v>147</v>
      </c>
      <c r="C3251">
        <v>51023846</v>
      </c>
      <c r="D3251">
        <v>56.363818135736068</v>
      </c>
      <c r="E3251" t="s">
        <v>94</v>
      </c>
      <c r="F3251">
        <v>693</v>
      </c>
      <c r="G3251" s="4">
        <v>46087.599236111113</v>
      </c>
    </row>
    <row r="3252" spans="1:7" x14ac:dyDescent="0.3">
      <c r="A3252">
        <v>6830</v>
      </c>
      <c r="B3252" t="s">
        <v>147</v>
      </c>
      <c r="C3252">
        <v>51019563</v>
      </c>
      <c r="D3252">
        <v>60.450248259955799</v>
      </c>
      <c r="E3252" t="s">
        <v>94</v>
      </c>
      <c r="F3252">
        <v>608</v>
      </c>
      <c r="G3252" s="4">
        <v>46087.599236111113</v>
      </c>
    </row>
    <row r="3253" spans="1:7" x14ac:dyDescent="0.3">
      <c r="A3253">
        <v>6831</v>
      </c>
      <c r="B3253" t="s">
        <v>147</v>
      </c>
      <c r="C3253">
        <v>51030711</v>
      </c>
      <c r="D3253">
        <v>83.294431150418291</v>
      </c>
      <c r="E3253" t="s">
        <v>93</v>
      </c>
      <c r="F3253">
        <v>338</v>
      </c>
      <c r="G3253" s="4">
        <v>46087.599236111113</v>
      </c>
    </row>
    <row r="3254" spans="1:7" x14ac:dyDescent="0.3">
      <c r="A3254">
        <v>6832</v>
      </c>
      <c r="B3254" t="s">
        <v>147</v>
      </c>
      <c r="C3254">
        <v>51056574</v>
      </c>
      <c r="D3254">
        <v>83.715694415296298</v>
      </c>
      <c r="E3254" t="s">
        <v>93</v>
      </c>
      <c r="F3254">
        <v>329</v>
      </c>
      <c r="G3254" s="4">
        <v>46087.599236111113</v>
      </c>
    </row>
    <row r="3255" spans="1:7" x14ac:dyDescent="0.3">
      <c r="A3255">
        <v>6833</v>
      </c>
      <c r="B3255" t="s">
        <v>147</v>
      </c>
      <c r="C3255">
        <v>51056957</v>
      </c>
      <c r="D3255">
        <v>58.992652006787381</v>
      </c>
      <c r="E3255" t="s">
        <v>94</v>
      </c>
      <c r="F3255">
        <v>636</v>
      </c>
      <c r="G3255" s="4">
        <v>46087.599236111113</v>
      </c>
    </row>
    <row r="3256" spans="1:7" x14ac:dyDescent="0.3">
      <c r="A3256">
        <v>6834</v>
      </c>
      <c r="B3256" t="s">
        <v>147</v>
      </c>
      <c r="C3256">
        <v>51055331</v>
      </c>
      <c r="D3256">
        <v>17.480101600231372</v>
      </c>
      <c r="E3256" t="s">
        <v>95</v>
      </c>
      <c r="F3256">
        <v>1040</v>
      </c>
      <c r="G3256" s="4">
        <v>46087.599236111113</v>
      </c>
    </row>
    <row r="3257" spans="1:7" x14ac:dyDescent="0.3">
      <c r="A3257">
        <v>6835</v>
      </c>
      <c r="B3257" t="s">
        <v>147</v>
      </c>
      <c r="C3257">
        <v>51018397</v>
      </c>
      <c r="D3257">
        <v>17.83044288596809</v>
      </c>
      <c r="E3257" t="s">
        <v>95</v>
      </c>
      <c r="F3257">
        <v>1033</v>
      </c>
      <c r="G3257" s="4">
        <v>46087.599236111113</v>
      </c>
    </row>
    <row r="3258" spans="1:7" x14ac:dyDescent="0.3">
      <c r="A3258">
        <v>6836</v>
      </c>
      <c r="B3258" t="s">
        <v>147</v>
      </c>
      <c r="C3258">
        <v>51025148</v>
      </c>
      <c r="D3258">
        <v>29.280294954685946</v>
      </c>
      <c r="E3258" t="s">
        <v>94</v>
      </c>
      <c r="F3258">
        <v>874</v>
      </c>
      <c r="G3258" s="4">
        <v>46087.599236111113</v>
      </c>
    </row>
    <row r="3259" spans="1:7" x14ac:dyDescent="0.3">
      <c r="A3259">
        <v>6837</v>
      </c>
      <c r="B3259" t="s">
        <v>147</v>
      </c>
      <c r="C3259">
        <v>51005392</v>
      </c>
      <c r="D3259">
        <v>33.905158279879998</v>
      </c>
      <c r="E3259" t="s">
        <v>94</v>
      </c>
      <c r="F3259">
        <v>815</v>
      </c>
      <c r="G3259" s="4">
        <v>46087.599236111113</v>
      </c>
    </row>
    <row r="3260" spans="1:7" x14ac:dyDescent="0.3">
      <c r="A3260">
        <v>6838</v>
      </c>
      <c r="B3260" t="s">
        <v>147</v>
      </c>
      <c r="C3260">
        <v>51023153</v>
      </c>
      <c r="D3260">
        <v>45.409649204227385</v>
      </c>
      <c r="E3260" t="s">
        <v>94</v>
      </c>
      <c r="F3260">
        <v>771</v>
      </c>
      <c r="G3260" s="4">
        <v>46087.599236111113</v>
      </c>
    </row>
    <row r="3261" spans="1:7" x14ac:dyDescent="0.3">
      <c r="A3261">
        <v>6839</v>
      </c>
      <c r="B3261" t="s">
        <v>147</v>
      </c>
      <c r="C3261">
        <v>51024095</v>
      </c>
      <c r="D3261">
        <v>89.222529926651703</v>
      </c>
      <c r="E3261" t="s">
        <v>92</v>
      </c>
      <c r="F3261">
        <v>161</v>
      </c>
      <c r="G3261" s="4">
        <v>46087.599236111113</v>
      </c>
    </row>
    <row r="3262" spans="1:7" x14ac:dyDescent="0.3">
      <c r="A3262">
        <v>6840</v>
      </c>
      <c r="B3262" t="s">
        <v>147</v>
      </c>
      <c r="C3262">
        <v>51002024</v>
      </c>
      <c r="D3262">
        <v>60.459695206500079</v>
      </c>
      <c r="E3262" t="s">
        <v>94</v>
      </c>
      <c r="F3262">
        <v>607</v>
      </c>
      <c r="G3262" s="4">
        <v>46087.599236111113</v>
      </c>
    </row>
    <row r="3263" spans="1:7" x14ac:dyDescent="0.3">
      <c r="A3263">
        <v>6841</v>
      </c>
      <c r="B3263" t="s">
        <v>147</v>
      </c>
      <c r="C3263">
        <v>51056311</v>
      </c>
      <c r="D3263">
        <v>83.250450895119869</v>
      </c>
      <c r="E3263" t="s">
        <v>93</v>
      </c>
      <c r="F3263">
        <v>339</v>
      </c>
      <c r="G3263" s="4">
        <v>46087.599236111113</v>
      </c>
    </row>
    <row r="3264" spans="1:7" x14ac:dyDescent="0.3">
      <c r="A3264">
        <v>6842</v>
      </c>
      <c r="B3264" t="s">
        <v>147</v>
      </c>
      <c r="C3264">
        <v>51016467</v>
      </c>
      <c r="D3264">
        <v>92.833588926934823</v>
      </c>
      <c r="E3264" t="s">
        <v>92</v>
      </c>
      <c r="F3264">
        <v>93</v>
      </c>
      <c r="G3264" s="4">
        <v>46087.599236111113</v>
      </c>
    </row>
    <row r="3265" spans="1:7" x14ac:dyDescent="0.3">
      <c r="A3265">
        <v>6843</v>
      </c>
      <c r="B3265" t="s">
        <v>147</v>
      </c>
      <c r="C3265">
        <v>51021614</v>
      </c>
      <c r="D3265">
        <v>33.132337813582602</v>
      </c>
      <c r="E3265" t="s">
        <v>94</v>
      </c>
      <c r="F3265">
        <v>822</v>
      </c>
      <c r="G3265" s="4">
        <v>46087.599236111113</v>
      </c>
    </row>
    <row r="3266" spans="1:7" x14ac:dyDescent="0.3">
      <c r="A3266">
        <v>6844</v>
      </c>
      <c r="B3266" t="s">
        <v>147</v>
      </c>
      <c r="C3266">
        <v>51042506</v>
      </c>
      <c r="D3266">
        <v>84.274107246974253</v>
      </c>
      <c r="E3266" t="s">
        <v>93</v>
      </c>
      <c r="F3266">
        <v>308</v>
      </c>
      <c r="G3266" s="4">
        <v>46087.599236111113</v>
      </c>
    </row>
    <row r="3267" spans="1:7" x14ac:dyDescent="0.3">
      <c r="A3267">
        <v>6845</v>
      </c>
      <c r="B3267" t="s">
        <v>147</v>
      </c>
      <c r="C3267">
        <v>51023412</v>
      </c>
      <c r="D3267">
        <v>86.467340406732319</v>
      </c>
      <c r="E3267" t="s">
        <v>92</v>
      </c>
      <c r="F3267">
        <v>237</v>
      </c>
      <c r="G3267" s="4">
        <v>46087.599236111113</v>
      </c>
    </row>
    <row r="3268" spans="1:7" x14ac:dyDescent="0.3">
      <c r="A3268">
        <v>6846</v>
      </c>
      <c r="B3268" t="s">
        <v>147</v>
      </c>
      <c r="C3268">
        <v>51033116</v>
      </c>
      <c r="D3268">
        <v>83.925302069203894</v>
      </c>
      <c r="E3268" t="s">
        <v>93</v>
      </c>
      <c r="F3268">
        <v>326</v>
      </c>
      <c r="G3268" s="4">
        <v>46087.599236111113</v>
      </c>
    </row>
    <row r="3269" spans="1:7" x14ac:dyDescent="0.3">
      <c r="A3269">
        <v>6847</v>
      </c>
      <c r="B3269" t="s">
        <v>147</v>
      </c>
      <c r="C3269">
        <v>51003292</v>
      </c>
      <c r="D3269">
        <v>54.805747438467101</v>
      </c>
      <c r="E3269" t="s">
        <v>94</v>
      </c>
      <c r="F3269">
        <v>718</v>
      </c>
      <c r="G3269" s="4">
        <v>46087.599236111113</v>
      </c>
    </row>
    <row r="3270" spans="1:7" x14ac:dyDescent="0.3">
      <c r="A3270">
        <v>6848</v>
      </c>
      <c r="B3270" t="s">
        <v>147</v>
      </c>
      <c r="C3270">
        <v>51014251</v>
      </c>
      <c r="D3270">
        <v>32.687512304912659</v>
      </c>
      <c r="E3270" t="s">
        <v>94</v>
      </c>
      <c r="F3270">
        <v>826</v>
      </c>
      <c r="G3270" s="4">
        <v>46087.599236111113</v>
      </c>
    </row>
    <row r="3271" spans="1:7" x14ac:dyDescent="0.3">
      <c r="A3271">
        <v>6849</v>
      </c>
      <c r="B3271" t="s">
        <v>147</v>
      </c>
      <c r="C3271">
        <v>51042999</v>
      </c>
      <c r="D3271">
        <v>33.041377981196533</v>
      </c>
      <c r="E3271" t="s">
        <v>94</v>
      </c>
      <c r="F3271">
        <v>824</v>
      </c>
      <c r="G3271" s="4">
        <v>46087.599236111113</v>
      </c>
    </row>
    <row r="3272" spans="1:7" x14ac:dyDescent="0.3">
      <c r="A3272">
        <v>6850</v>
      </c>
      <c r="B3272" t="s">
        <v>147</v>
      </c>
      <c r="C3272">
        <v>51041712</v>
      </c>
      <c r="D3272">
        <v>69.869555151040245</v>
      </c>
      <c r="E3272" t="s">
        <v>93</v>
      </c>
      <c r="F3272">
        <v>512</v>
      </c>
      <c r="G3272" s="4">
        <v>46087.599236111113</v>
      </c>
    </row>
    <row r="3273" spans="1:7" x14ac:dyDescent="0.3">
      <c r="A3273">
        <v>6851</v>
      </c>
      <c r="B3273" t="s">
        <v>147</v>
      </c>
      <c r="C3273">
        <v>51023293</v>
      </c>
      <c r="D3273">
        <v>25.567462289703322</v>
      </c>
      <c r="E3273" t="s">
        <v>94</v>
      </c>
      <c r="F3273">
        <v>910</v>
      </c>
      <c r="G3273" s="4">
        <v>46087.599236111113</v>
      </c>
    </row>
    <row r="3274" spans="1:7" x14ac:dyDescent="0.3">
      <c r="A3274">
        <v>6852</v>
      </c>
      <c r="B3274" t="s">
        <v>147</v>
      </c>
      <c r="C3274">
        <v>51033507</v>
      </c>
      <c r="D3274">
        <v>18.607071496546485</v>
      </c>
      <c r="E3274" t="s">
        <v>95</v>
      </c>
      <c r="F3274">
        <v>1015</v>
      </c>
      <c r="G3274" s="4">
        <v>46087.599236111113</v>
      </c>
    </row>
    <row r="3275" spans="1:7" x14ac:dyDescent="0.3">
      <c r="A3275">
        <v>6853</v>
      </c>
      <c r="B3275" t="s">
        <v>147</v>
      </c>
      <c r="C3275">
        <v>51013875</v>
      </c>
      <c r="D3275">
        <v>84.192090723525411</v>
      </c>
      <c r="E3275" t="s">
        <v>93</v>
      </c>
      <c r="F3275">
        <v>312</v>
      </c>
      <c r="G3275" s="4">
        <v>46087.599236111113</v>
      </c>
    </row>
    <row r="3276" spans="1:7" x14ac:dyDescent="0.3">
      <c r="A3276">
        <v>6854</v>
      </c>
      <c r="B3276" t="s">
        <v>147</v>
      </c>
      <c r="C3276">
        <v>51013395</v>
      </c>
      <c r="D3276">
        <v>23.370504635466709</v>
      </c>
      <c r="E3276" t="s">
        <v>94</v>
      </c>
      <c r="F3276">
        <v>928</v>
      </c>
      <c r="G3276" s="4">
        <v>46087.599236111113</v>
      </c>
    </row>
    <row r="3277" spans="1:7" x14ac:dyDescent="0.3">
      <c r="A3277">
        <v>6855</v>
      </c>
      <c r="B3277" t="s">
        <v>147</v>
      </c>
      <c r="C3277">
        <v>51056108</v>
      </c>
      <c r="D3277">
        <v>75.409214665753908</v>
      </c>
      <c r="E3277" t="s">
        <v>93</v>
      </c>
      <c r="F3277">
        <v>472</v>
      </c>
      <c r="G3277" s="4">
        <v>46087.599236111113</v>
      </c>
    </row>
    <row r="3278" spans="1:7" x14ac:dyDescent="0.3">
      <c r="A3278">
        <v>6856</v>
      </c>
      <c r="B3278" t="s">
        <v>147</v>
      </c>
      <c r="C3278">
        <v>51055837</v>
      </c>
      <c r="D3278">
        <v>20.815945332492145</v>
      </c>
      <c r="E3278" t="s">
        <v>95</v>
      </c>
      <c r="F3278">
        <v>966</v>
      </c>
      <c r="G3278" s="4">
        <v>46087.599236111113</v>
      </c>
    </row>
    <row r="3279" spans="1:7" x14ac:dyDescent="0.3">
      <c r="A3279">
        <v>6857</v>
      </c>
      <c r="B3279" t="s">
        <v>147</v>
      </c>
      <c r="C3279">
        <v>51056248</v>
      </c>
      <c r="D3279">
        <v>32.473556479389039</v>
      </c>
      <c r="E3279" t="s">
        <v>94</v>
      </c>
      <c r="F3279">
        <v>830</v>
      </c>
      <c r="G3279" s="4">
        <v>46087.599236111113</v>
      </c>
    </row>
    <row r="3280" spans="1:7" x14ac:dyDescent="0.3">
      <c r="A3280">
        <v>6858</v>
      </c>
      <c r="B3280" t="s">
        <v>147</v>
      </c>
      <c r="C3280">
        <v>51025245</v>
      </c>
      <c r="D3280">
        <v>82.187267507888521</v>
      </c>
      <c r="E3280" t="s">
        <v>93</v>
      </c>
      <c r="F3280">
        <v>383</v>
      </c>
      <c r="G3280" s="4">
        <v>46087.599236111113</v>
      </c>
    </row>
    <row r="3281" spans="1:7" x14ac:dyDescent="0.3">
      <c r="A3281">
        <v>6859</v>
      </c>
      <c r="B3281" t="s">
        <v>147</v>
      </c>
      <c r="C3281">
        <v>51016360</v>
      </c>
      <c r="D3281">
        <v>92.909522549818504</v>
      </c>
      <c r="E3281" t="s">
        <v>92</v>
      </c>
      <c r="F3281">
        <v>91</v>
      </c>
      <c r="G3281" s="4">
        <v>46087.599236111113</v>
      </c>
    </row>
    <row r="3282" spans="1:7" x14ac:dyDescent="0.3">
      <c r="A3282">
        <v>6860</v>
      </c>
      <c r="B3282" t="s">
        <v>147</v>
      </c>
      <c r="C3282">
        <v>51040881</v>
      </c>
      <c r="D3282">
        <v>31.196207088473571</v>
      </c>
      <c r="E3282" t="s">
        <v>94</v>
      </c>
      <c r="F3282">
        <v>843</v>
      </c>
      <c r="G3282" s="4">
        <v>46087.599236111113</v>
      </c>
    </row>
    <row r="3283" spans="1:7" x14ac:dyDescent="0.3">
      <c r="A3283">
        <v>6861</v>
      </c>
      <c r="B3283" t="s">
        <v>147</v>
      </c>
      <c r="C3283">
        <v>51031776</v>
      </c>
      <c r="D3283">
        <v>63.145462301270967</v>
      </c>
      <c r="E3283" t="s">
        <v>93</v>
      </c>
      <c r="F3283">
        <v>556</v>
      </c>
      <c r="G3283" s="4">
        <v>46087.599236111113</v>
      </c>
    </row>
    <row r="3284" spans="1:7" x14ac:dyDescent="0.3">
      <c r="A3284">
        <v>6862</v>
      </c>
      <c r="B3284" t="s">
        <v>147</v>
      </c>
      <c r="C3284">
        <v>51013166</v>
      </c>
      <c r="D3284">
        <v>69.439563725266083</v>
      </c>
      <c r="E3284" t="s">
        <v>93</v>
      </c>
      <c r="F3284">
        <v>517</v>
      </c>
      <c r="G3284" s="4">
        <v>46087.599236111113</v>
      </c>
    </row>
    <row r="3285" spans="1:7" x14ac:dyDescent="0.3">
      <c r="A3285">
        <v>6863</v>
      </c>
      <c r="B3285" t="s">
        <v>147</v>
      </c>
      <c r="C3285">
        <v>51032918</v>
      </c>
      <c r="D3285">
        <v>18.587078397547895</v>
      </c>
      <c r="E3285" t="s">
        <v>95</v>
      </c>
      <c r="F3285">
        <v>1017</v>
      </c>
      <c r="G3285" s="4">
        <v>46087.599236111113</v>
      </c>
    </row>
    <row r="3286" spans="1:7" x14ac:dyDescent="0.3">
      <c r="A3286">
        <v>6864</v>
      </c>
      <c r="B3286" t="s">
        <v>147</v>
      </c>
      <c r="C3286">
        <v>51025717</v>
      </c>
      <c r="D3286">
        <v>32.572351663370853</v>
      </c>
      <c r="E3286" t="s">
        <v>94</v>
      </c>
      <c r="F3286">
        <v>827</v>
      </c>
      <c r="G3286" s="4">
        <v>46087.599236111113</v>
      </c>
    </row>
    <row r="3287" spans="1:7" x14ac:dyDescent="0.3">
      <c r="A3287">
        <v>6865</v>
      </c>
      <c r="B3287" t="s">
        <v>147</v>
      </c>
      <c r="C3287">
        <v>51033001</v>
      </c>
      <c r="D3287">
        <v>80.086096937197169</v>
      </c>
      <c r="E3287" t="s">
        <v>93</v>
      </c>
      <c r="F3287">
        <v>437</v>
      </c>
      <c r="G3287" s="4">
        <v>46087.599236111113</v>
      </c>
    </row>
    <row r="3288" spans="1:7" x14ac:dyDescent="0.3">
      <c r="A3288">
        <v>6866</v>
      </c>
      <c r="B3288" t="s">
        <v>147</v>
      </c>
      <c r="C3288">
        <v>51012674</v>
      </c>
      <c r="D3288">
        <v>82.408796466516364</v>
      </c>
      <c r="E3288" t="s">
        <v>93</v>
      </c>
      <c r="F3288">
        <v>378</v>
      </c>
      <c r="G3288" s="4">
        <v>46087.599236111113</v>
      </c>
    </row>
    <row r="3289" spans="1:7" x14ac:dyDescent="0.3">
      <c r="A3289">
        <v>6867</v>
      </c>
      <c r="B3289" t="s">
        <v>147</v>
      </c>
      <c r="C3289">
        <v>51007743</v>
      </c>
      <c r="D3289">
        <v>89.39295040932258</v>
      </c>
      <c r="E3289" t="s">
        <v>92</v>
      </c>
      <c r="F3289">
        <v>153</v>
      </c>
      <c r="G3289" s="4">
        <v>46087.599236111113</v>
      </c>
    </row>
    <row r="3290" spans="1:7" x14ac:dyDescent="0.3">
      <c r="A3290">
        <v>6868</v>
      </c>
      <c r="B3290" t="s">
        <v>147</v>
      </c>
      <c r="C3290">
        <v>51032705</v>
      </c>
      <c r="D3290">
        <v>17.04086019373646</v>
      </c>
      <c r="E3290" t="s">
        <v>95</v>
      </c>
      <c r="F3290">
        <v>1051</v>
      </c>
      <c r="G3290" s="4">
        <v>46087.599236111113</v>
      </c>
    </row>
    <row r="3291" spans="1:7" x14ac:dyDescent="0.3">
      <c r="A3291">
        <v>6869</v>
      </c>
      <c r="B3291" t="s">
        <v>147</v>
      </c>
      <c r="C3291">
        <v>51041887</v>
      </c>
      <c r="D3291">
        <v>71.295350876062301</v>
      </c>
      <c r="E3291" t="s">
        <v>93</v>
      </c>
      <c r="F3291">
        <v>505</v>
      </c>
      <c r="G3291" s="4">
        <v>46087.599236111113</v>
      </c>
    </row>
    <row r="3292" spans="1:7" x14ac:dyDescent="0.3">
      <c r="A3292">
        <v>6870</v>
      </c>
      <c r="B3292" t="s">
        <v>147</v>
      </c>
      <c r="C3292">
        <v>51030826</v>
      </c>
      <c r="D3292">
        <v>80.633796880080141</v>
      </c>
      <c r="E3292" t="s">
        <v>93</v>
      </c>
      <c r="F3292">
        <v>425</v>
      </c>
      <c r="G3292" s="4">
        <v>46087.599236111113</v>
      </c>
    </row>
    <row r="3293" spans="1:7" x14ac:dyDescent="0.3">
      <c r="A3293">
        <v>6871</v>
      </c>
      <c r="B3293" t="s">
        <v>147</v>
      </c>
      <c r="C3293">
        <v>51011007</v>
      </c>
      <c r="D3293">
        <v>67.597258702876132</v>
      </c>
      <c r="E3293" t="s">
        <v>93</v>
      </c>
      <c r="F3293">
        <v>535</v>
      </c>
      <c r="G3293" s="4">
        <v>46087.599236111113</v>
      </c>
    </row>
    <row r="3294" spans="1:7" x14ac:dyDescent="0.3">
      <c r="A3294">
        <v>6872</v>
      </c>
      <c r="B3294" t="s">
        <v>147</v>
      </c>
      <c r="C3294">
        <v>51007514</v>
      </c>
      <c r="D3294">
        <v>26.362130253425615</v>
      </c>
      <c r="E3294" t="s">
        <v>94</v>
      </c>
      <c r="F3294">
        <v>905</v>
      </c>
      <c r="G3294" s="4">
        <v>46087.599236111113</v>
      </c>
    </row>
    <row r="3295" spans="1:7" x14ac:dyDescent="0.3">
      <c r="A3295">
        <v>6873</v>
      </c>
      <c r="B3295" t="s">
        <v>147</v>
      </c>
      <c r="C3295">
        <v>51024281</v>
      </c>
      <c r="D3295">
        <v>17.41333942201193</v>
      </c>
      <c r="E3295" t="s">
        <v>95</v>
      </c>
      <c r="F3295">
        <v>1041</v>
      </c>
      <c r="G3295" s="4">
        <v>46087.599236111113</v>
      </c>
    </row>
    <row r="3296" spans="1:7" x14ac:dyDescent="0.3">
      <c r="A3296">
        <v>6874</v>
      </c>
      <c r="B3296" t="s">
        <v>147</v>
      </c>
      <c r="C3296">
        <v>51020961</v>
      </c>
      <c r="D3296">
        <v>71.325061651872957</v>
      </c>
      <c r="E3296" t="s">
        <v>93</v>
      </c>
      <c r="F3296">
        <v>504</v>
      </c>
      <c r="G3296" s="4">
        <v>46087.599236111113</v>
      </c>
    </row>
    <row r="3297" spans="1:7" x14ac:dyDescent="0.3">
      <c r="A3297">
        <v>6875</v>
      </c>
      <c r="B3297" t="s">
        <v>147</v>
      </c>
      <c r="C3297">
        <v>51022718</v>
      </c>
      <c r="D3297">
        <v>85.48441572152862</v>
      </c>
      <c r="E3297" t="s">
        <v>93</v>
      </c>
      <c r="F3297">
        <v>268</v>
      </c>
      <c r="G3297" s="4">
        <v>46087.599236111113</v>
      </c>
    </row>
    <row r="3298" spans="1:7" x14ac:dyDescent="0.3">
      <c r="A3298">
        <v>6876</v>
      </c>
      <c r="B3298" t="s">
        <v>147</v>
      </c>
      <c r="C3298">
        <v>51039815</v>
      </c>
      <c r="D3298">
        <v>30.852880085646621</v>
      </c>
      <c r="E3298" t="s">
        <v>94</v>
      </c>
      <c r="F3298">
        <v>847</v>
      </c>
      <c r="G3298" s="4">
        <v>46087.599236111113</v>
      </c>
    </row>
    <row r="3299" spans="1:7" x14ac:dyDescent="0.3">
      <c r="A3299">
        <v>6877</v>
      </c>
      <c r="B3299" t="s">
        <v>147</v>
      </c>
      <c r="C3299">
        <v>51023277</v>
      </c>
      <c r="D3299">
        <v>29.279118838158386</v>
      </c>
      <c r="E3299" t="s">
        <v>94</v>
      </c>
      <c r="F3299">
        <v>875</v>
      </c>
      <c r="G3299" s="4">
        <v>46087.599236111113</v>
      </c>
    </row>
    <row r="3300" spans="1:7" x14ac:dyDescent="0.3">
      <c r="A3300">
        <v>6878</v>
      </c>
      <c r="B3300" t="s">
        <v>147</v>
      </c>
      <c r="C3300">
        <v>51056353</v>
      </c>
      <c r="D3300">
        <v>86.801717125688356</v>
      </c>
      <c r="E3300" t="s">
        <v>92</v>
      </c>
      <c r="F3300">
        <v>230</v>
      </c>
      <c r="G3300" s="4">
        <v>46087.599236111113</v>
      </c>
    </row>
    <row r="3301" spans="1:7" x14ac:dyDescent="0.3">
      <c r="A3301">
        <v>6879</v>
      </c>
      <c r="B3301" t="s">
        <v>147</v>
      </c>
      <c r="C3301">
        <v>51001419</v>
      </c>
      <c r="D3301">
        <v>55.872864808740417</v>
      </c>
      <c r="E3301" t="s">
        <v>94</v>
      </c>
      <c r="F3301">
        <v>705</v>
      </c>
      <c r="G3301" s="4">
        <v>46087.599236111113</v>
      </c>
    </row>
    <row r="3302" spans="1:7" x14ac:dyDescent="0.3">
      <c r="A3302">
        <v>6880</v>
      </c>
      <c r="B3302" t="s">
        <v>147</v>
      </c>
      <c r="C3302">
        <v>51018001</v>
      </c>
      <c r="D3302">
        <v>21.491227864661965</v>
      </c>
      <c r="E3302" t="s">
        <v>95</v>
      </c>
      <c r="F3302">
        <v>956</v>
      </c>
      <c r="G3302" s="4">
        <v>46087.599236111113</v>
      </c>
    </row>
    <row r="3303" spans="1:7" x14ac:dyDescent="0.3">
      <c r="A3303">
        <v>6881</v>
      </c>
      <c r="B3303" t="s">
        <v>147</v>
      </c>
      <c r="C3303">
        <v>51020707</v>
      </c>
      <c r="D3303">
        <v>87.88782868259139</v>
      </c>
      <c r="E3303" t="s">
        <v>92</v>
      </c>
      <c r="F3303">
        <v>203</v>
      </c>
      <c r="G3303" s="4">
        <v>46087.599236111113</v>
      </c>
    </row>
    <row r="3304" spans="1:7" x14ac:dyDescent="0.3">
      <c r="A3304">
        <v>6882</v>
      </c>
      <c r="B3304" t="s">
        <v>147</v>
      </c>
      <c r="C3304">
        <v>51018923</v>
      </c>
      <c r="D3304">
        <v>81.119980462944724</v>
      </c>
      <c r="E3304" t="s">
        <v>93</v>
      </c>
      <c r="F3304">
        <v>409</v>
      </c>
      <c r="G3304" s="4">
        <v>46087.599236111113</v>
      </c>
    </row>
    <row r="3305" spans="1:7" x14ac:dyDescent="0.3">
      <c r="A3305">
        <v>6883</v>
      </c>
      <c r="B3305" t="s">
        <v>147</v>
      </c>
      <c r="C3305">
        <v>51012721</v>
      </c>
      <c r="D3305">
        <v>22.867029316364142</v>
      </c>
      <c r="E3305" t="s">
        <v>94</v>
      </c>
      <c r="F3305">
        <v>936</v>
      </c>
      <c r="G3305" s="4">
        <v>46087.599236111113</v>
      </c>
    </row>
    <row r="3306" spans="1:7" x14ac:dyDescent="0.3">
      <c r="A3306">
        <v>6884</v>
      </c>
      <c r="B3306" t="s">
        <v>147</v>
      </c>
      <c r="C3306">
        <v>51020634</v>
      </c>
      <c r="D3306">
        <v>32.882371170536757</v>
      </c>
      <c r="E3306" t="s">
        <v>94</v>
      </c>
      <c r="F3306">
        <v>825</v>
      </c>
      <c r="G3306" s="4">
        <v>46087.599236111113</v>
      </c>
    </row>
    <row r="3307" spans="1:7" x14ac:dyDescent="0.3">
      <c r="A3307">
        <v>6885</v>
      </c>
      <c r="B3307" t="s">
        <v>147</v>
      </c>
      <c r="C3307">
        <v>51056507</v>
      </c>
      <c r="D3307">
        <v>60.628089252305138</v>
      </c>
      <c r="E3307" t="s">
        <v>94</v>
      </c>
      <c r="F3307">
        <v>605</v>
      </c>
      <c r="G3307" s="4">
        <v>46087.599236111113</v>
      </c>
    </row>
    <row r="3308" spans="1:7" x14ac:dyDescent="0.3">
      <c r="A3308">
        <v>6886</v>
      </c>
      <c r="B3308" t="s">
        <v>147</v>
      </c>
      <c r="C3308">
        <v>51002105</v>
      </c>
      <c r="D3308">
        <v>46.653847678930191</v>
      </c>
      <c r="E3308" t="s">
        <v>94</v>
      </c>
      <c r="F3308">
        <v>762</v>
      </c>
      <c r="G3308" s="4">
        <v>46087.599236111113</v>
      </c>
    </row>
    <row r="3309" spans="1:7" x14ac:dyDescent="0.3">
      <c r="A3309">
        <v>6887</v>
      </c>
      <c r="B3309" t="s">
        <v>147</v>
      </c>
      <c r="C3309">
        <v>51055136</v>
      </c>
      <c r="D3309">
        <v>93.502076056011973</v>
      </c>
      <c r="E3309" t="s">
        <v>92</v>
      </c>
      <c r="F3309">
        <v>84</v>
      </c>
      <c r="G3309" s="4">
        <v>46087.599236111113</v>
      </c>
    </row>
    <row r="3310" spans="1:7" x14ac:dyDescent="0.3">
      <c r="A3310">
        <v>6888</v>
      </c>
      <c r="B3310" t="s">
        <v>147</v>
      </c>
      <c r="C3310">
        <v>51008685</v>
      </c>
      <c r="D3310">
        <v>80.122216531175908</v>
      </c>
      <c r="E3310" t="s">
        <v>93</v>
      </c>
      <c r="F3310">
        <v>436</v>
      </c>
      <c r="G3310" s="4">
        <v>46087.599236111113</v>
      </c>
    </row>
    <row r="3311" spans="1:7" x14ac:dyDescent="0.3">
      <c r="A3311">
        <v>6889</v>
      </c>
      <c r="B3311" t="s">
        <v>147</v>
      </c>
      <c r="C3311">
        <v>51055306</v>
      </c>
      <c r="D3311">
        <v>33.158817861780292</v>
      </c>
      <c r="E3311" t="s">
        <v>94</v>
      </c>
      <c r="F3311">
        <v>821</v>
      </c>
      <c r="G3311" s="4">
        <v>46087.599236111113</v>
      </c>
    </row>
    <row r="3312" spans="1:7" x14ac:dyDescent="0.3">
      <c r="A3312">
        <v>6890</v>
      </c>
      <c r="B3312" t="s">
        <v>147</v>
      </c>
      <c r="C3312">
        <v>51024036</v>
      </c>
      <c r="D3312">
        <v>83.367416331353596</v>
      </c>
      <c r="E3312" t="s">
        <v>93</v>
      </c>
      <c r="F3312">
        <v>336</v>
      </c>
      <c r="G3312" s="4">
        <v>46087.599236111113</v>
      </c>
    </row>
    <row r="3313" spans="1:7" x14ac:dyDescent="0.3">
      <c r="A3313">
        <v>6891</v>
      </c>
      <c r="B3313" t="s">
        <v>147</v>
      </c>
      <c r="C3313">
        <v>51011597</v>
      </c>
      <c r="D3313">
        <v>60.767619703276758</v>
      </c>
      <c r="E3313" t="s">
        <v>94</v>
      </c>
      <c r="F3313">
        <v>603</v>
      </c>
      <c r="G3313" s="4">
        <v>46087.599236111113</v>
      </c>
    </row>
    <row r="3314" spans="1:7" x14ac:dyDescent="0.3">
      <c r="A3314">
        <v>6892</v>
      </c>
      <c r="B3314" t="s">
        <v>147</v>
      </c>
      <c r="C3314">
        <v>51043260</v>
      </c>
      <c r="D3314">
        <v>79.732357748089157</v>
      </c>
      <c r="E3314" t="s">
        <v>93</v>
      </c>
      <c r="F3314">
        <v>443</v>
      </c>
      <c r="G3314" s="4">
        <v>46087.599236111113</v>
      </c>
    </row>
    <row r="3315" spans="1:7" x14ac:dyDescent="0.3">
      <c r="A3315">
        <v>6893</v>
      </c>
      <c r="B3315" t="s">
        <v>147</v>
      </c>
      <c r="C3315">
        <v>51004035</v>
      </c>
      <c r="D3315">
        <v>47.351963956317704</v>
      </c>
      <c r="E3315" t="s">
        <v>94</v>
      </c>
      <c r="F3315">
        <v>758</v>
      </c>
      <c r="G3315" s="4">
        <v>46087.599236111113</v>
      </c>
    </row>
    <row r="3316" spans="1:7" x14ac:dyDescent="0.3">
      <c r="A3316">
        <v>6894</v>
      </c>
      <c r="B3316" t="s">
        <v>147</v>
      </c>
      <c r="C3316">
        <v>51043537</v>
      </c>
      <c r="D3316">
        <v>22.564885054572287</v>
      </c>
      <c r="E3316" t="s">
        <v>94</v>
      </c>
      <c r="F3316">
        <v>942</v>
      </c>
      <c r="G3316" s="4">
        <v>46087.599236111113</v>
      </c>
    </row>
    <row r="3317" spans="1:7" x14ac:dyDescent="0.3">
      <c r="A3317">
        <v>6895</v>
      </c>
      <c r="B3317" t="s">
        <v>147</v>
      </c>
      <c r="C3317">
        <v>51056752</v>
      </c>
      <c r="D3317">
        <v>58.035612373401143</v>
      </c>
      <c r="E3317" t="s">
        <v>94</v>
      </c>
      <c r="F3317">
        <v>660</v>
      </c>
      <c r="G3317" s="4">
        <v>46087.599236111113</v>
      </c>
    </row>
    <row r="3318" spans="1:7" x14ac:dyDescent="0.3">
      <c r="A3318">
        <v>6896</v>
      </c>
      <c r="B3318" t="s">
        <v>147</v>
      </c>
      <c r="C3318">
        <v>51031857</v>
      </c>
      <c r="D3318">
        <v>25.070936812731262</v>
      </c>
      <c r="E3318" t="s">
        <v>94</v>
      </c>
      <c r="F3318">
        <v>915</v>
      </c>
      <c r="G3318" s="4">
        <v>46087.599236111113</v>
      </c>
    </row>
    <row r="3319" spans="1:7" x14ac:dyDescent="0.3">
      <c r="A3319">
        <v>6897</v>
      </c>
      <c r="B3319" t="s">
        <v>147</v>
      </c>
      <c r="C3319">
        <v>51014138</v>
      </c>
      <c r="D3319">
        <v>36.391169771067688</v>
      </c>
      <c r="E3319" t="s">
        <v>94</v>
      </c>
      <c r="F3319">
        <v>802</v>
      </c>
      <c r="G3319" s="4">
        <v>46087.599236111113</v>
      </c>
    </row>
    <row r="3320" spans="1:7" x14ac:dyDescent="0.3">
      <c r="A3320">
        <v>6898</v>
      </c>
      <c r="B3320" t="s">
        <v>147</v>
      </c>
      <c r="C3320">
        <v>51055578</v>
      </c>
      <c r="D3320">
        <v>42.449142161289878</v>
      </c>
      <c r="E3320" t="s">
        <v>94</v>
      </c>
      <c r="F3320">
        <v>780</v>
      </c>
      <c r="G3320" s="4">
        <v>46087.599236111113</v>
      </c>
    </row>
    <row r="3321" spans="1:7" x14ac:dyDescent="0.3">
      <c r="A3321">
        <v>6899</v>
      </c>
      <c r="B3321" t="s">
        <v>147</v>
      </c>
      <c r="C3321">
        <v>51024028</v>
      </c>
      <c r="D3321">
        <v>28.540557468568686</v>
      </c>
      <c r="E3321" t="s">
        <v>94</v>
      </c>
      <c r="F3321">
        <v>882</v>
      </c>
      <c r="G3321" s="4">
        <v>46087.599236111113</v>
      </c>
    </row>
    <row r="3322" spans="1:7" x14ac:dyDescent="0.3">
      <c r="A3322">
        <v>6900</v>
      </c>
      <c r="B3322" t="s">
        <v>147</v>
      </c>
      <c r="C3322">
        <v>51057031</v>
      </c>
      <c r="D3322">
        <v>62.180997802613795</v>
      </c>
      <c r="E3322" t="s">
        <v>93</v>
      </c>
      <c r="F3322">
        <v>575</v>
      </c>
      <c r="G3322" s="4">
        <v>46087.599236111113</v>
      </c>
    </row>
    <row r="3323" spans="1:7" x14ac:dyDescent="0.3">
      <c r="A3323">
        <v>6901</v>
      </c>
      <c r="B3323" t="s">
        <v>147</v>
      </c>
      <c r="C3323">
        <v>51011929</v>
      </c>
      <c r="D3323">
        <v>26.598000000000003</v>
      </c>
      <c r="E3323" t="s">
        <v>94</v>
      </c>
      <c r="F3323">
        <v>902</v>
      </c>
      <c r="G3323" s="4">
        <v>46087.599236111113</v>
      </c>
    </row>
    <row r="3324" spans="1:7" x14ac:dyDescent="0.3">
      <c r="A3324">
        <v>6902</v>
      </c>
      <c r="B3324" t="s">
        <v>147</v>
      </c>
      <c r="C3324">
        <v>51017773</v>
      </c>
      <c r="D3324">
        <v>73.108503213171886</v>
      </c>
      <c r="E3324" t="s">
        <v>93</v>
      </c>
      <c r="F3324">
        <v>490</v>
      </c>
      <c r="G3324" s="4">
        <v>46087.599236111113</v>
      </c>
    </row>
    <row r="3325" spans="1:7" x14ac:dyDescent="0.3">
      <c r="A3325">
        <v>6903</v>
      </c>
      <c r="B3325" t="s">
        <v>147</v>
      </c>
      <c r="C3325">
        <v>51003063</v>
      </c>
      <c r="D3325">
        <v>50.238109890397325</v>
      </c>
      <c r="E3325" t="s">
        <v>94</v>
      </c>
      <c r="F3325">
        <v>739</v>
      </c>
      <c r="G3325" s="4">
        <v>46087.599236111113</v>
      </c>
    </row>
    <row r="3326" spans="1:7" x14ac:dyDescent="0.3">
      <c r="A3326">
        <v>6904</v>
      </c>
      <c r="B3326" t="s">
        <v>147</v>
      </c>
      <c r="C3326">
        <v>51022572</v>
      </c>
      <c r="D3326">
        <v>31</v>
      </c>
      <c r="E3326" t="s">
        <v>94</v>
      </c>
      <c r="F3326">
        <v>846</v>
      </c>
      <c r="G3326" s="4">
        <v>46087.599236111113</v>
      </c>
    </row>
    <row r="3327" spans="1:7" x14ac:dyDescent="0.3">
      <c r="A3327">
        <v>6905</v>
      </c>
      <c r="B3327" t="s">
        <v>147</v>
      </c>
      <c r="C3327">
        <v>51022343</v>
      </c>
      <c r="D3327">
        <v>22.89</v>
      </c>
      <c r="E3327" t="s">
        <v>94</v>
      </c>
      <c r="F3327">
        <v>933</v>
      </c>
      <c r="G3327" s="4">
        <v>46087.599236111113</v>
      </c>
    </row>
    <row r="3328" spans="1:7" x14ac:dyDescent="0.3">
      <c r="A3328">
        <v>6906</v>
      </c>
      <c r="B3328" t="s">
        <v>147</v>
      </c>
      <c r="C3328">
        <v>51015835</v>
      </c>
      <c r="D3328">
        <v>62.371193002848443</v>
      </c>
      <c r="E3328" t="s">
        <v>93</v>
      </c>
      <c r="F3328">
        <v>573</v>
      </c>
      <c r="G3328" s="4">
        <v>46087.599236111113</v>
      </c>
    </row>
    <row r="3329" spans="1:7" x14ac:dyDescent="0.3">
      <c r="A3329">
        <v>6907</v>
      </c>
      <c r="B3329" t="s">
        <v>147</v>
      </c>
      <c r="C3329">
        <v>51056329</v>
      </c>
      <c r="D3329">
        <v>33.056000000000004</v>
      </c>
      <c r="E3329" t="s">
        <v>94</v>
      </c>
      <c r="F3329">
        <v>823</v>
      </c>
      <c r="G3329" s="4">
        <v>46087.599236111113</v>
      </c>
    </row>
    <row r="3330" spans="1:7" x14ac:dyDescent="0.3">
      <c r="A3330">
        <v>6908</v>
      </c>
      <c r="B3330" t="s">
        <v>147</v>
      </c>
      <c r="C3330">
        <v>51030915</v>
      </c>
      <c r="D3330">
        <v>30.825000000000003</v>
      </c>
      <c r="E3330" t="s">
        <v>94</v>
      </c>
      <c r="F3330">
        <v>848</v>
      </c>
      <c r="G3330" s="4">
        <v>46087.599236111113</v>
      </c>
    </row>
    <row r="3331" spans="1:7" x14ac:dyDescent="0.3">
      <c r="A3331">
        <v>6909</v>
      </c>
      <c r="B3331" t="s">
        <v>147</v>
      </c>
      <c r="C3331">
        <v>51017871</v>
      </c>
      <c r="D3331">
        <v>29.935000000000002</v>
      </c>
      <c r="E3331" t="s">
        <v>94</v>
      </c>
      <c r="F3331">
        <v>867</v>
      </c>
      <c r="G3331" s="4">
        <v>46087.599236111113</v>
      </c>
    </row>
    <row r="3332" spans="1:7" x14ac:dyDescent="0.3">
      <c r="A3332">
        <v>6910</v>
      </c>
      <c r="B3332" t="s">
        <v>147</v>
      </c>
      <c r="C3332">
        <v>51017218</v>
      </c>
      <c r="D3332">
        <v>99.527209383436087</v>
      </c>
      <c r="E3332" t="s">
        <v>275</v>
      </c>
      <c r="F3332">
        <v>22</v>
      </c>
      <c r="G3332" s="4">
        <v>46087.599236111113</v>
      </c>
    </row>
    <row r="3333" spans="1:7" x14ac:dyDescent="0.3">
      <c r="A3333">
        <v>6911</v>
      </c>
      <c r="B3333" t="s">
        <v>147</v>
      </c>
      <c r="C3333">
        <v>51039025</v>
      </c>
      <c r="D3333">
        <v>23.59</v>
      </c>
      <c r="E3333" t="s">
        <v>94</v>
      </c>
      <c r="F3333">
        <v>927</v>
      </c>
      <c r="G3333" s="4">
        <v>46087.599236111113</v>
      </c>
    </row>
    <row r="3334" spans="1:7" x14ac:dyDescent="0.3">
      <c r="A3334">
        <v>6912</v>
      </c>
      <c r="B3334" t="s">
        <v>147</v>
      </c>
      <c r="C3334">
        <v>51026497</v>
      </c>
      <c r="D3334">
        <v>42.860413350485224</v>
      </c>
      <c r="E3334" t="s">
        <v>94</v>
      </c>
      <c r="F3334">
        <v>779</v>
      </c>
      <c r="G3334" s="4">
        <v>46087.599236111113</v>
      </c>
    </row>
    <row r="3335" spans="1:7" x14ac:dyDescent="0.3">
      <c r="A3335">
        <v>6913</v>
      </c>
      <c r="B3335" t="s">
        <v>147</v>
      </c>
      <c r="C3335">
        <v>51043693</v>
      </c>
      <c r="D3335">
        <v>73.216177783504875</v>
      </c>
      <c r="E3335" t="s">
        <v>93</v>
      </c>
      <c r="F3335">
        <v>488</v>
      </c>
      <c r="G3335" s="4">
        <v>46087.599236111113</v>
      </c>
    </row>
    <row r="3336" spans="1:7" x14ac:dyDescent="0.3">
      <c r="A3336">
        <v>6914</v>
      </c>
      <c r="B3336" t="s">
        <v>147</v>
      </c>
      <c r="C3336">
        <v>51001532</v>
      </c>
      <c r="D3336">
        <v>20.65</v>
      </c>
      <c r="E3336" t="s">
        <v>95</v>
      </c>
      <c r="F3336">
        <v>968</v>
      </c>
      <c r="G3336" s="4">
        <v>46087.599236111113</v>
      </c>
    </row>
    <row r="3337" spans="1:7" x14ac:dyDescent="0.3">
      <c r="A3337">
        <v>6915</v>
      </c>
      <c r="B3337" t="s">
        <v>147</v>
      </c>
      <c r="C3337">
        <v>51002709</v>
      </c>
      <c r="D3337">
        <v>56.144041972251905</v>
      </c>
      <c r="E3337" t="s">
        <v>94</v>
      </c>
      <c r="F3337">
        <v>698</v>
      </c>
      <c r="G3337" s="4">
        <v>46087.599236111113</v>
      </c>
    </row>
    <row r="3338" spans="1:7" x14ac:dyDescent="0.3">
      <c r="A3338">
        <v>6916</v>
      </c>
      <c r="B3338" t="s">
        <v>147</v>
      </c>
      <c r="C3338">
        <v>51015151</v>
      </c>
      <c r="D3338">
        <v>23.877000614722455</v>
      </c>
      <c r="E3338" t="s">
        <v>94</v>
      </c>
      <c r="F3338">
        <v>922</v>
      </c>
      <c r="G3338" s="4">
        <v>46087.599236111113</v>
      </c>
    </row>
    <row r="3339" spans="1:7" x14ac:dyDescent="0.3">
      <c r="A3339">
        <v>6917</v>
      </c>
      <c r="B3339" t="s">
        <v>147</v>
      </c>
      <c r="C3339">
        <v>51009941</v>
      </c>
      <c r="D3339">
        <v>76.135052809354491</v>
      </c>
      <c r="E3339" t="s">
        <v>93</v>
      </c>
      <c r="F3339">
        <v>462</v>
      </c>
      <c r="G3339" s="4">
        <v>46087.599236111113</v>
      </c>
    </row>
    <row r="3340" spans="1:7" x14ac:dyDescent="0.3">
      <c r="A3340">
        <v>6918</v>
      </c>
      <c r="B3340" t="s">
        <v>147</v>
      </c>
      <c r="C3340">
        <v>51024818</v>
      </c>
      <c r="D3340">
        <v>17.778599999999997</v>
      </c>
      <c r="E3340" t="s">
        <v>95</v>
      </c>
      <c r="F3340">
        <v>1035</v>
      </c>
      <c r="G3340" s="4">
        <v>46087.599236111113</v>
      </c>
    </row>
    <row r="3341" spans="1:7" x14ac:dyDescent="0.3">
      <c r="A3341">
        <v>6919</v>
      </c>
      <c r="B3341" t="s">
        <v>147</v>
      </c>
      <c r="C3341">
        <v>51010523</v>
      </c>
      <c r="D3341">
        <v>34.097999999999999</v>
      </c>
      <c r="E3341" t="s">
        <v>94</v>
      </c>
      <c r="F3341">
        <v>813</v>
      </c>
      <c r="G3341" s="4">
        <v>46087.599236111113</v>
      </c>
    </row>
    <row r="3342" spans="1:7" x14ac:dyDescent="0.3">
      <c r="A3342">
        <v>6920</v>
      </c>
      <c r="B3342" t="s">
        <v>147</v>
      </c>
      <c r="C3342">
        <v>51000552</v>
      </c>
      <c r="D3342">
        <v>31.03</v>
      </c>
      <c r="E3342" t="s">
        <v>94</v>
      </c>
      <c r="F3342">
        <v>845</v>
      </c>
      <c r="G3342" s="4">
        <v>46087.599236111113</v>
      </c>
    </row>
    <row r="3343" spans="1:7" x14ac:dyDescent="0.3">
      <c r="A3343">
        <v>6921</v>
      </c>
      <c r="B3343" t="s">
        <v>147</v>
      </c>
      <c r="C3343">
        <v>51052331</v>
      </c>
      <c r="D3343">
        <v>88.002663533158497</v>
      </c>
      <c r="E3343" t="s">
        <v>92</v>
      </c>
      <c r="F3343">
        <v>200</v>
      </c>
      <c r="G3343" s="4">
        <v>46087.599236111113</v>
      </c>
    </row>
    <row r="3344" spans="1:7" x14ac:dyDescent="0.3">
      <c r="A3344">
        <v>6922</v>
      </c>
      <c r="B3344" t="s">
        <v>147</v>
      </c>
      <c r="C3344">
        <v>51024460</v>
      </c>
      <c r="D3344">
        <v>19.821413279159358</v>
      </c>
      <c r="E3344" t="s">
        <v>95</v>
      </c>
      <c r="F3344">
        <v>979</v>
      </c>
      <c r="G3344" s="4">
        <v>46087.599236111113</v>
      </c>
    </row>
    <row r="3345" spans="1:7" x14ac:dyDescent="0.3">
      <c r="A3345">
        <v>6923</v>
      </c>
      <c r="B3345" t="s">
        <v>147</v>
      </c>
      <c r="C3345">
        <v>51024885</v>
      </c>
      <c r="D3345">
        <v>22.89</v>
      </c>
      <c r="E3345" t="s">
        <v>94</v>
      </c>
      <c r="F3345">
        <v>933</v>
      </c>
      <c r="G3345" s="4">
        <v>46087.599236111113</v>
      </c>
    </row>
    <row r="3346" spans="1:7" x14ac:dyDescent="0.3">
      <c r="A3346">
        <v>6924</v>
      </c>
      <c r="B3346" t="s">
        <v>147</v>
      </c>
      <c r="C3346">
        <v>51005554</v>
      </c>
      <c r="D3346">
        <v>57.489168620002317</v>
      </c>
      <c r="E3346" t="s">
        <v>94</v>
      </c>
      <c r="F3346">
        <v>676</v>
      </c>
      <c r="G3346" s="4">
        <v>46087.599236111113</v>
      </c>
    </row>
    <row r="3347" spans="1:7" x14ac:dyDescent="0.3">
      <c r="A3347">
        <v>6925</v>
      </c>
      <c r="B3347" t="s">
        <v>147</v>
      </c>
      <c r="C3347">
        <v>51024478</v>
      </c>
      <c r="D3347">
        <v>22.728999999999999</v>
      </c>
      <c r="E3347" t="s">
        <v>94</v>
      </c>
      <c r="F3347">
        <v>937</v>
      </c>
      <c r="G3347" s="4">
        <v>46087.599236111113</v>
      </c>
    </row>
    <row r="3348" spans="1:7" x14ac:dyDescent="0.3">
      <c r="A3348">
        <v>6926</v>
      </c>
      <c r="B3348" t="s">
        <v>147</v>
      </c>
      <c r="C3348">
        <v>51012691</v>
      </c>
      <c r="D3348">
        <v>39.674999999999997</v>
      </c>
      <c r="E3348" t="s">
        <v>94</v>
      </c>
      <c r="F3348">
        <v>787</v>
      </c>
      <c r="G3348" s="4">
        <v>46087.599236111113</v>
      </c>
    </row>
    <row r="3349" spans="1:7" x14ac:dyDescent="0.3">
      <c r="A3349">
        <v>6927</v>
      </c>
      <c r="B3349" t="s">
        <v>147</v>
      </c>
      <c r="C3349">
        <v>51015681</v>
      </c>
      <c r="D3349">
        <v>21.572599999999998</v>
      </c>
      <c r="E3349" t="s">
        <v>94</v>
      </c>
      <c r="F3349">
        <v>954</v>
      </c>
      <c r="G3349" s="4">
        <v>46087.599236111113</v>
      </c>
    </row>
    <row r="3350" spans="1:7" x14ac:dyDescent="0.3">
      <c r="A3350">
        <v>6928</v>
      </c>
      <c r="B3350" t="s">
        <v>147</v>
      </c>
      <c r="C3350">
        <v>51019008</v>
      </c>
      <c r="D3350">
        <v>89.568901185956307</v>
      </c>
      <c r="E3350" t="s">
        <v>92</v>
      </c>
      <c r="F3350">
        <v>147</v>
      </c>
      <c r="G3350" s="4">
        <v>46087.599236111113</v>
      </c>
    </row>
    <row r="3351" spans="1:7" x14ac:dyDescent="0.3">
      <c r="A3351">
        <v>6929</v>
      </c>
      <c r="B3351" t="s">
        <v>147</v>
      </c>
      <c r="C3351">
        <v>51015762</v>
      </c>
      <c r="D3351">
        <v>40.199999999999996</v>
      </c>
      <c r="E3351" t="s">
        <v>94</v>
      </c>
      <c r="F3351">
        <v>783</v>
      </c>
      <c r="G3351" s="4">
        <v>46087.599236111113</v>
      </c>
    </row>
    <row r="3352" spans="1:7" x14ac:dyDescent="0.3">
      <c r="A3352">
        <v>6930</v>
      </c>
      <c r="B3352" t="s">
        <v>147</v>
      </c>
      <c r="C3352">
        <v>51017714</v>
      </c>
      <c r="D3352">
        <v>37.706361391094546</v>
      </c>
      <c r="E3352" t="s">
        <v>94</v>
      </c>
      <c r="F3352">
        <v>797</v>
      </c>
      <c r="G3352" s="4">
        <v>46087.599236111113</v>
      </c>
    </row>
    <row r="3353" spans="1:7" x14ac:dyDescent="0.3">
      <c r="A3353">
        <v>6931</v>
      </c>
      <c r="B3353" t="s">
        <v>147</v>
      </c>
      <c r="C3353">
        <v>51031997</v>
      </c>
      <c r="D3353">
        <v>27.796000000000003</v>
      </c>
      <c r="E3353" t="s">
        <v>94</v>
      </c>
      <c r="F3353">
        <v>887</v>
      </c>
      <c r="G3353" s="4">
        <v>46087.599236111113</v>
      </c>
    </row>
    <row r="3354" spans="1:7" x14ac:dyDescent="0.3">
      <c r="A3354">
        <v>6932</v>
      </c>
      <c r="B3354" t="s">
        <v>147</v>
      </c>
      <c r="C3354">
        <v>51039181</v>
      </c>
      <c r="D3354">
        <v>60.10409507625279</v>
      </c>
      <c r="E3354" t="s">
        <v>94</v>
      </c>
      <c r="F3354">
        <v>619</v>
      </c>
      <c r="G3354" s="4">
        <v>46087.599236111113</v>
      </c>
    </row>
    <row r="3355" spans="1:7" x14ac:dyDescent="0.3">
      <c r="A3355">
        <v>6933</v>
      </c>
      <c r="B3355" t="s">
        <v>147</v>
      </c>
      <c r="C3355">
        <v>51057121</v>
      </c>
      <c r="D3355">
        <v>94.992217546929098</v>
      </c>
      <c r="E3355" t="s">
        <v>92</v>
      </c>
      <c r="F3355">
        <v>70</v>
      </c>
      <c r="G3355" s="4">
        <v>46087.599236111113</v>
      </c>
    </row>
    <row r="3356" spans="1:7" x14ac:dyDescent="0.3">
      <c r="A3356">
        <v>6934</v>
      </c>
      <c r="B3356" t="s">
        <v>147</v>
      </c>
      <c r="C3356">
        <v>51018290</v>
      </c>
      <c r="D3356">
        <v>60.27659823854146</v>
      </c>
      <c r="E3356" t="s">
        <v>94</v>
      </c>
      <c r="F3356">
        <v>613</v>
      </c>
      <c r="G3356" s="4">
        <v>46087.599236111113</v>
      </c>
    </row>
    <row r="3357" spans="1:7" x14ac:dyDescent="0.3">
      <c r="A3357">
        <v>6935</v>
      </c>
      <c r="B3357" t="s">
        <v>147</v>
      </c>
      <c r="C3357">
        <v>51043561</v>
      </c>
      <c r="D3357">
        <v>22.608599999999999</v>
      </c>
      <c r="E3357" t="s">
        <v>94</v>
      </c>
      <c r="F3357">
        <v>940</v>
      </c>
      <c r="G3357" s="4">
        <v>46087.599236111113</v>
      </c>
    </row>
    <row r="3358" spans="1:7" x14ac:dyDescent="0.3">
      <c r="A3358">
        <v>6936</v>
      </c>
      <c r="B3358" t="s">
        <v>147</v>
      </c>
      <c r="C3358">
        <v>51036964</v>
      </c>
      <c r="D3358">
        <v>56.157074818212699</v>
      </c>
      <c r="E3358" t="s">
        <v>94</v>
      </c>
      <c r="F3358">
        <v>697</v>
      </c>
      <c r="G3358" s="4">
        <v>46087.599236111113</v>
      </c>
    </row>
    <row r="3359" spans="1:7" x14ac:dyDescent="0.3">
      <c r="A3359">
        <v>6937</v>
      </c>
      <c r="B3359" t="s">
        <v>147</v>
      </c>
      <c r="C3359">
        <v>51030290</v>
      </c>
      <c r="D3359">
        <v>89.980245010924705</v>
      </c>
      <c r="E3359" t="s">
        <v>92</v>
      </c>
      <c r="F3359">
        <v>136</v>
      </c>
      <c r="G3359" s="4">
        <v>46087.599236111113</v>
      </c>
    </row>
    <row r="3360" spans="1:7" x14ac:dyDescent="0.3">
      <c r="A3360">
        <v>6938</v>
      </c>
      <c r="B3360" t="s">
        <v>147</v>
      </c>
      <c r="C3360">
        <v>51023331</v>
      </c>
      <c r="D3360">
        <v>24.498600000000003</v>
      </c>
      <c r="E3360" t="s">
        <v>94</v>
      </c>
      <c r="F3360">
        <v>916</v>
      </c>
      <c r="G3360" s="4">
        <v>46087.599236111113</v>
      </c>
    </row>
    <row r="3361" spans="1:7" x14ac:dyDescent="0.3">
      <c r="A3361">
        <v>6939</v>
      </c>
      <c r="B3361" t="s">
        <v>147</v>
      </c>
      <c r="C3361">
        <v>51024010</v>
      </c>
      <c r="D3361">
        <v>25.9</v>
      </c>
      <c r="E3361" t="s">
        <v>94</v>
      </c>
      <c r="F3361">
        <v>908</v>
      </c>
      <c r="G3361" s="4">
        <v>46087.599236111113</v>
      </c>
    </row>
    <row r="3362" spans="1:7" x14ac:dyDescent="0.3">
      <c r="A3362">
        <v>6940</v>
      </c>
      <c r="B3362" t="s">
        <v>147</v>
      </c>
      <c r="C3362">
        <v>51024664</v>
      </c>
      <c r="D3362">
        <v>87.399127954690101</v>
      </c>
      <c r="E3362" t="s">
        <v>92</v>
      </c>
      <c r="F3362">
        <v>214</v>
      </c>
      <c r="G3362" s="4">
        <v>46087.599236111113</v>
      </c>
    </row>
    <row r="3363" spans="1:7" x14ac:dyDescent="0.3">
      <c r="A3363">
        <v>6941</v>
      </c>
      <c r="B3363" t="s">
        <v>147</v>
      </c>
      <c r="C3363">
        <v>51009185</v>
      </c>
      <c r="D3363">
        <v>30.599999999999998</v>
      </c>
      <c r="E3363" t="s">
        <v>94</v>
      </c>
      <c r="F3363">
        <v>853</v>
      </c>
      <c r="G3363" s="4">
        <v>46087.599236111113</v>
      </c>
    </row>
    <row r="3364" spans="1:7" x14ac:dyDescent="0.3">
      <c r="A3364">
        <v>6942</v>
      </c>
      <c r="B3364" t="s">
        <v>147</v>
      </c>
      <c r="C3364">
        <v>51039424</v>
      </c>
      <c r="D3364">
        <v>19.508999999999997</v>
      </c>
      <c r="E3364" t="s">
        <v>95</v>
      </c>
      <c r="F3364">
        <v>986</v>
      </c>
      <c r="G3364" s="4">
        <v>46087.599236111113</v>
      </c>
    </row>
    <row r="3365" spans="1:7" x14ac:dyDescent="0.3">
      <c r="A3365">
        <v>6943</v>
      </c>
      <c r="B3365" t="s">
        <v>147</v>
      </c>
      <c r="C3365">
        <v>51038941</v>
      </c>
      <c r="D3365">
        <v>28.288</v>
      </c>
      <c r="E3365" t="s">
        <v>94</v>
      </c>
      <c r="F3365">
        <v>883</v>
      </c>
      <c r="G3365" s="4">
        <v>46087.599236111113</v>
      </c>
    </row>
    <row r="3366" spans="1:7" x14ac:dyDescent="0.3">
      <c r="A3366">
        <v>6944</v>
      </c>
      <c r="B3366" t="s">
        <v>147</v>
      </c>
      <c r="C3366">
        <v>51015126</v>
      </c>
      <c r="D3366">
        <v>18.898599999999998</v>
      </c>
      <c r="E3366" t="s">
        <v>95</v>
      </c>
      <c r="F3366">
        <v>1006</v>
      </c>
      <c r="G3366" s="4">
        <v>46087.599236111113</v>
      </c>
    </row>
    <row r="3367" spans="1:7" x14ac:dyDescent="0.3">
      <c r="A3367">
        <v>6945</v>
      </c>
      <c r="B3367" t="s">
        <v>147</v>
      </c>
      <c r="C3367">
        <v>51017234</v>
      </c>
      <c r="D3367">
        <v>20.58</v>
      </c>
      <c r="E3367" t="s">
        <v>95</v>
      </c>
      <c r="F3367">
        <v>969</v>
      </c>
      <c r="G3367" s="4">
        <v>46087.599236111113</v>
      </c>
    </row>
    <row r="3368" spans="1:7" x14ac:dyDescent="0.3">
      <c r="A3368">
        <v>6946</v>
      </c>
      <c r="B3368" t="s">
        <v>147</v>
      </c>
      <c r="C3368">
        <v>51012852</v>
      </c>
      <c r="D3368">
        <v>18.549999999999997</v>
      </c>
      <c r="E3368" t="s">
        <v>95</v>
      </c>
      <c r="F3368">
        <v>1018</v>
      </c>
      <c r="G3368" s="4">
        <v>46087.599236111113</v>
      </c>
    </row>
    <row r="3369" spans="1:7" x14ac:dyDescent="0.3">
      <c r="A3369">
        <v>6947</v>
      </c>
      <c r="B3369" t="s">
        <v>147</v>
      </c>
      <c r="C3369">
        <v>51010396</v>
      </c>
      <c r="D3369">
        <v>20.86</v>
      </c>
      <c r="E3369" t="s">
        <v>95</v>
      </c>
      <c r="F3369">
        <v>965</v>
      </c>
      <c r="G3369" s="4">
        <v>46087.599236111113</v>
      </c>
    </row>
    <row r="3370" spans="1:7" x14ac:dyDescent="0.3">
      <c r="A3370">
        <v>6948</v>
      </c>
      <c r="B3370" t="s">
        <v>147</v>
      </c>
      <c r="C3370">
        <v>51022629</v>
      </c>
      <c r="D3370">
        <v>68.257380928025086</v>
      </c>
      <c r="E3370" t="s">
        <v>93</v>
      </c>
      <c r="F3370">
        <v>525</v>
      </c>
      <c r="G3370" s="4">
        <v>46087.599236111113</v>
      </c>
    </row>
    <row r="3371" spans="1:7" x14ac:dyDescent="0.3">
      <c r="A3371">
        <v>6949</v>
      </c>
      <c r="B3371" t="s">
        <v>147</v>
      </c>
      <c r="C3371">
        <v>51021274</v>
      </c>
      <c r="D3371">
        <v>34.722600000000007</v>
      </c>
      <c r="E3371" t="s">
        <v>94</v>
      </c>
      <c r="F3371">
        <v>807</v>
      </c>
      <c r="G3371" s="4">
        <v>46087.599236111113</v>
      </c>
    </row>
    <row r="3372" spans="1:7" x14ac:dyDescent="0.3">
      <c r="A3372">
        <v>6950</v>
      </c>
      <c r="B3372" t="s">
        <v>147</v>
      </c>
      <c r="C3372">
        <v>51021819</v>
      </c>
      <c r="D3372">
        <v>23.659999999999997</v>
      </c>
      <c r="E3372" t="s">
        <v>94</v>
      </c>
      <c r="F3372">
        <v>925</v>
      </c>
      <c r="G3372" s="4">
        <v>46087.599236111113</v>
      </c>
    </row>
    <row r="3373" spans="1:7" x14ac:dyDescent="0.3">
      <c r="A3373">
        <v>6951</v>
      </c>
      <c r="B3373" t="s">
        <v>147</v>
      </c>
      <c r="C3373">
        <v>51011171</v>
      </c>
      <c r="D3373">
        <v>20.368600000000001</v>
      </c>
      <c r="E3373" t="s">
        <v>95</v>
      </c>
      <c r="F3373">
        <v>973</v>
      </c>
      <c r="G3373" s="4">
        <v>46087.599236111113</v>
      </c>
    </row>
    <row r="3374" spans="1:7" x14ac:dyDescent="0.3">
      <c r="A3374">
        <v>6952</v>
      </c>
      <c r="B3374" t="s">
        <v>147</v>
      </c>
      <c r="C3374">
        <v>51012470</v>
      </c>
      <c r="D3374">
        <v>69.625705066018668</v>
      </c>
      <c r="E3374" t="s">
        <v>93</v>
      </c>
      <c r="F3374">
        <v>514</v>
      </c>
      <c r="G3374" s="4">
        <v>46087.599236111113</v>
      </c>
    </row>
    <row r="3375" spans="1:7" x14ac:dyDescent="0.3">
      <c r="A3375">
        <v>6953</v>
      </c>
      <c r="B3375" t="s">
        <v>147</v>
      </c>
      <c r="C3375">
        <v>51032713</v>
      </c>
      <c r="D3375">
        <v>29.697800000000004</v>
      </c>
      <c r="E3375" t="s">
        <v>94</v>
      </c>
      <c r="F3375">
        <v>870</v>
      </c>
      <c r="G3375" s="4">
        <v>46087.599236111113</v>
      </c>
    </row>
    <row r="3376" spans="1:7" x14ac:dyDescent="0.3">
      <c r="A3376">
        <v>6954</v>
      </c>
      <c r="B3376" t="s">
        <v>147</v>
      </c>
      <c r="C3376">
        <v>51010744</v>
      </c>
      <c r="D3376">
        <v>29.763044387839692</v>
      </c>
      <c r="E3376" t="s">
        <v>94</v>
      </c>
      <c r="F3376">
        <v>869</v>
      </c>
      <c r="G3376" s="4">
        <v>46087.599236111113</v>
      </c>
    </row>
    <row r="3377" spans="1:7" x14ac:dyDescent="0.3">
      <c r="A3377">
        <v>6955</v>
      </c>
      <c r="B3377" t="s">
        <v>147</v>
      </c>
      <c r="C3377">
        <v>51057546</v>
      </c>
      <c r="D3377">
        <v>28.618224728585883</v>
      </c>
      <c r="E3377" t="s">
        <v>94</v>
      </c>
      <c r="F3377">
        <v>880</v>
      </c>
      <c r="G3377" s="4">
        <v>46087.599236111113</v>
      </c>
    </row>
    <row r="3378" spans="1:7" x14ac:dyDescent="0.3">
      <c r="A3378">
        <v>6956</v>
      </c>
      <c r="B3378" t="s">
        <v>147</v>
      </c>
      <c r="C3378">
        <v>51023889</v>
      </c>
      <c r="D3378">
        <v>8.6030000000000015</v>
      </c>
      <c r="E3378" t="s">
        <v>95</v>
      </c>
      <c r="F3378">
        <v>1179</v>
      </c>
      <c r="G3378" s="4">
        <v>46087.599236111113</v>
      </c>
    </row>
    <row r="3379" spans="1:7" x14ac:dyDescent="0.3">
      <c r="A3379">
        <v>6957</v>
      </c>
      <c r="B3379" t="s">
        <v>147</v>
      </c>
      <c r="C3379">
        <v>51031041</v>
      </c>
      <c r="D3379">
        <v>10.73</v>
      </c>
      <c r="E3379" t="s">
        <v>95</v>
      </c>
      <c r="F3379">
        <v>1151</v>
      </c>
      <c r="G3379" s="4">
        <v>46087.599236111113</v>
      </c>
    </row>
    <row r="3380" spans="1:7" x14ac:dyDescent="0.3">
      <c r="A3380">
        <v>6958</v>
      </c>
      <c r="B3380" t="s">
        <v>147</v>
      </c>
      <c r="C3380">
        <v>51022262</v>
      </c>
      <c r="D3380">
        <v>8.9558</v>
      </c>
      <c r="E3380" t="s">
        <v>95</v>
      </c>
      <c r="F3380">
        <v>1176</v>
      </c>
      <c r="G3380" s="4">
        <v>46087.599236111113</v>
      </c>
    </row>
    <row r="3381" spans="1:7" x14ac:dyDescent="0.3">
      <c r="A3381">
        <v>6959</v>
      </c>
      <c r="B3381" t="s">
        <v>147</v>
      </c>
      <c r="C3381">
        <v>51017731</v>
      </c>
      <c r="D3381">
        <v>7.9667000000000012</v>
      </c>
      <c r="E3381" t="s">
        <v>95</v>
      </c>
      <c r="F3381">
        <v>1187</v>
      </c>
      <c r="G3381" s="4">
        <v>46087.599236111113</v>
      </c>
    </row>
    <row r="3382" spans="1:7" x14ac:dyDescent="0.3">
      <c r="A3382">
        <v>6960</v>
      </c>
      <c r="B3382" t="s">
        <v>147</v>
      </c>
      <c r="C3382">
        <v>51000269</v>
      </c>
      <c r="D3382">
        <v>7.91</v>
      </c>
      <c r="E3382" t="s">
        <v>95</v>
      </c>
      <c r="F3382">
        <v>1188</v>
      </c>
      <c r="G3382" s="4">
        <v>46087.599236111113</v>
      </c>
    </row>
    <row r="3383" spans="1:7" x14ac:dyDescent="0.3">
      <c r="A3383">
        <v>6961</v>
      </c>
      <c r="B3383" t="s">
        <v>147</v>
      </c>
      <c r="C3383">
        <v>51000862</v>
      </c>
      <c r="D3383">
        <v>19.8</v>
      </c>
      <c r="E3383" t="s">
        <v>95</v>
      </c>
      <c r="F3383">
        <v>980</v>
      </c>
      <c r="G3383" s="4">
        <v>46087.599236111113</v>
      </c>
    </row>
    <row r="3384" spans="1:7" x14ac:dyDescent="0.3">
      <c r="A3384">
        <v>6962</v>
      </c>
      <c r="B3384" t="s">
        <v>147</v>
      </c>
      <c r="C3384">
        <v>51001494</v>
      </c>
      <c r="D3384">
        <v>10.709999999999999</v>
      </c>
      <c r="E3384" t="s">
        <v>95</v>
      </c>
      <c r="F3384">
        <v>1152</v>
      </c>
      <c r="G3384" s="4">
        <v>46087.599236111113</v>
      </c>
    </row>
    <row r="3385" spans="1:7" x14ac:dyDescent="0.3">
      <c r="A3385">
        <v>6963</v>
      </c>
      <c r="B3385" t="s">
        <v>147</v>
      </c>
      <c r="C3385">
        <v>51001745</v>
      </c>
      <c r="D3385">
        <v>21.01</v>
      </c>
      <c r="E3385" t="s">
        <v>95</v>
      </c>
      <c r="F3385">
        <v>961</v>
      </c>
      <c r="G3385" s="4">
        <v>46087.599236111113</v>
      </c>
    </row>
    <row r="3386" spans="1:7" x14ac:dyDescent="0.3">
      <c r="A3386">
        <v>6964</v>
      </c>
      <c r="B3386" t="s">
        <v>147</v>
      </c>
      <c r="C3386">
        <v>51001923</v>
      </c>
      <c r="D3386">
        <v>15.840000000000002</v>
      </c>
      <c r="E3386" t="s">
        <v>95</v>
      </c>
      <c r="F3386">
        <v>1069</v>
      </c>
      <c r="G3386" s="4">
        <v>46087.599236111113</v>
      </c>
    </row>
    <row r="3387" spans="1:7" x14ac:dyDescent="0.3">
      <c r="A3387">
        <v>6965</v>
      </c>
      <c r="B3387" t="s">
        <v>147</v>
      </c>
      <c r="C3387">
        <v>51003721</v>
      </c>
      <c r="D3387">
        <v>14.5</v>
      </c>
      <c r="E3387" t="s">
        <v>95</v>
      </c>
      <c r="F3387">
        <v>1083</v>
      </c>
      <c r="G3387" s="4">
        <v>46087.599236111113</v>
      </c>
    </row>
    <row r="3388" spans="1:7" x14ac:dyDescent="0.3">
      <c r="A3388">
        <v>6966</v>
      </c>
      <c r="B3388" t="s">
        <v>147</v>
      </c>
      <c r="C3388">
        <v>51004167</v>
      </c>
      <c r="D3388">
        <v>13.7</v>
      </c>
      <c r="E3388" t="s">
        <v>95</v>
      </c>
      <c r="F3388">
        <v>1095</v>
      </c>
      <c r="G3388" s="4">
        <v>46087.599236111113</v>
      </c>
    </row>
    <row r="3389" spans="1:7" x14ac:dyDescent="0.3">
      <c r="A3389">
        <v>6967</v>
      </c>
      <c r="B3389" t="s">
        <v>147</v>
      </c>
      <c r="C3389">
        <v>51004671</v>
      </c>
      <c r="D3389">
        <v>12.459999999999999</v>
      </c>
      <c r="E3389" t="s">
        <v>95</v>
      </c>
      <c r="F3389">
        <v>1127</v>
      </c>
      <c r="G3389" s="4">
        <v>46087.599236111113</v>
      </c>
    </row>
    <row r="3390" spans="1:7" x14ac:dyDescent="0.3">
      <c r="A3390">
        <v>6968</v>
      </c>
      <c r="B3390" t="s">
        <v>147</v>
      </c>
      <c r="C3390">
        <v>51005058</v>
      </c>
      <c r="D3390">
        <v>19.3</v>
      </c>
      <c r="E3390" t="s">
        <v>95</v>
      </c>
      <c r="F3390">
        <v>992</v>
      </c>
      <c r="G3390" s="4">
        <v>46087.599236111113</v>
      </c>
    </row>
    <row r="3391" spans="1:7" x14ac:dyDescent="0.3">
      <c r="A3391">
        <v>6969</v>
      </c>
      <c r="B3391" t="s">
        <v>147</v>
      </c>
      <c r="C3391">
        <v>51005201</v>
      </c>
      <c r="D3391">
        <v>17.600000000000001</v>
      </c>
      <c r="E3391" t="s">
        <v>95</v>
      </c>
      <c r="F3391">
        <v>1037</v>
      </c>
      <c r="G3391" s="4">
        <v>46087.599236111113</v>
      </c>
    </row>
    <row r="3392" spans="1:7" x14ac:dyDescent="0.3">
      <c r="A3392">
        <v>6970</v>
      </c>
      <c r="B3392" t="s">
        <v>147</v>
      </c>
      <c r="C3392">
        <v>51005384</v>
      </c>
      <c r="D3392">
        <v>10.57</v>
      </c>
      <c r="E3392" t="s">
        <v>95</v>
      </c>
      <c r="F3392">
        <v>1158</v>
      </c>
      <c r="G3392" s="4">
        <v>46087.599236111113</v>
      </c>
    </row>
    <row r="3393" spans="1:7" x14ac:dyDescent="0.3">
      <c r="A3393">
        <v>6971</v>
      </c>
      <c r="B3393" t="s">
        <v>147</v>
      </c>
      <c r="C3393">
        <v>51005902</v>
      </c>
      <c r="D3393">
        <v>15.840000000000002</v>
      </c>
      <c r="E3393" t="s">
        <v>95</v>
      </c>
      <c r="F3393">
        <v>1069</v>
      </c>
      <c r="G3393" s="4">
        <v>46087.599236111113</v>
      </c>
    </row>
    <row r="3394" spans="1:7" x14ac:dyDescent="0.3">
      <c r="A3394">
        <v>6972</v>
      </c>
      <c r="B3394" t="s">
        <v>147</v>
      </c>
      <c r="C3394">
        <v>51006445</v>
      </c>
      <c r="D3394">
        <v>19.36</v>
      </c>
      <c r="E3394" t="s">
        <v>95</v>
      </c>
      <c r="F3394">
        <v>990</v>
      </c>
      <c r="G3394" s="4">
        <v>46087.599236111113</v>
      </c>
    </row>
    <row r="3395" spans="1:7" x14ac:dyDescent="0.3">
      <c r="A3395">
        <v>6973</v>
      </c>
      <c r="B3395" t="s">
        <v>147</v>
      </c>
      <c r="C3395">
        <v>51006453</v>
      </c>
      <c r="D3395">
        <v>15.639999999999999</v>
      </c>
      <c r="E3395" t="s">
        <v>95</v>
      </c>
      <c r="F3395">
        <v>1072</v>
      </c>
      <c r="G3395" s="4">
        <v>46087.599236111113</v>
      </c>
    </row>
    <row r="3396" spans="1:7" x14ac:dyDescent="0.3">
      <c r="A3396">
        <v>6974</v>
      </c>
      <c r="B3396" t="s">
        <v>147</v>
      </c>
      <c r="C3396">
        <v>51006518</v>
      </c>
      <c r="D3396">
        <v>12.81</v>
      </c>
      <c r="E3396" t="s">
        <v>95</v>
      </c>
      <c r="F3396">
        <v>1117</v>
      </c>
      <c r="G3396" s="4">
        <v>46087.599236111113</v>
      </c>
    </row>
    <row r="3397" spans="1:7" x14ac:dyDescent="0.3">
      <c r="A3397">
        <v>6975</v>
      </c>
      <c r="B3397" t="s">
        <v>147</v>
      </c>
      <c r="C3397">
        <v>51006674</v>
      </c>
      <c r="D3397">
        <v>16.5</v>
      </c>
      <c r="E3397" t="s">
        <v>95</v>
      </c>
      <c r="F3397">
        <v>1060</v>
      </c>
      <c r="G3397" s="4">
        <v>46087.599236111113</v>
      </c>
    </row>
    <row r="3398" spans="1:7" x14ac:dyDescent="0.3">
      <c r="A3398">
        <v>6976</v>
      </c>
      <c r="B3398" t="s">
        <v>147</v>
      </c>
      <c r="C3398">
        <v>51010094</v>
      </c>
      <c r="D3398">
        <v>15.3</v>
      </c>
      <c r="E3398" t="s">
        <v>95</v>
      </c>
      <c r="F3398">
        <v>1075</v>
      </c>
      <c r="G3398" s="4">
        <v>46087.599236111113</v>
      </c>
    </row>
    <row r="3399" spans="1:7" x14ac:dyDescent="0.3">
      <c r="A3399">
        <v>6977</v>
      </c>
      <c r="B3399" t="s">
        <v>147</v>
      </c>
      <c r="C3399">
        <v>51010108</v>
      </c>
      <c r="D3399">
        <v>10.36</v>
      </c>
      <c r="E3399" t="s">
        <v>95</v>
      </c>
      <c r="F3399">
        <v>1163</v>
      </c>
      <c r="G3399" s="4">
        <v>46087.599236111113</v>
      </c>
    </row>
    <row r="3400" spans="1:7" x14ac:dyDescent="0.3">
      <c r="A3400">
        <v>6978</v>
      </c>
      <c r="B3400" t="s">
        <v>147</v>
      </c>
      <c r="C3400">
        <v>51010167</v>
      </c>
      <c r="D3400">
        <v>22.655000000000001</v>
      </c>
      <c r="E3400" t="s">
        <v>94</v>
      </c>
      <c r="F3400">
        <v>939</v>
      </c>
      <c r="G3400" s="4">
        <v>46087.599236111113</v>
      </c>
    </row>
    <row r="3401" spans="1:7" x14ac:dyDescent="0.3">
      <c r="A3401">
        <v>6979</v>
      </c>
      <c r="B3401" t="s">
        <v>147</v>
      </c>
      <c r="C3401">
        <v>51010388</v>
      </c>
      <c r="D3401">
        <v>7.91</v>
      </c>
      <c r="E3401" t="s">
        <v>95</v>
      </c>
      <c r="F3401">
        <v>1188</v>
      </c>
      <c r="G3401" s="4">
        <v>46087.599236111113</v>
      </c>
    </row>
    <row r="3402" spans="1:7" x14ac:dyDescent="0.3">
      <c r="A3402">
        <v>6980</v>
      </c>
      <c r="B3402" t="s">
        <v>147</v>
      </c>
      <c r="C3402">
        <v>51010477</v>
      </c>
      <c r="D3402">
        <v>16.899999999999999</v>
      </c>
      <c r="E3402" t="s">
        <v>95</v>
      </c>
      <c r="F3402">
        <v>1052</v>
      </c>
      <c r="G3402" s="4">
        <v>46087.599236111113</v>
      </c>
    </row>
    <row r="3403" spans="1:7" x14ac:dyDescent="0.3">
      <c r="A3403">
        <v>6981</v>
      </c>
      <c r="B3403" t="s">
        <v>147</v>
      </c>
      <c r="C3403">
        <v>51010485</v>
      </c>
      <c r="D3403">
        <v>9.870000000000001</v>
      </c>
      <c r="E3403" t="s">
        <v>95</v>
      </c>
      <c r="F3403">
        <v>1170</v>
      </c>
      <c r="G3403" s="4">
        <v>46087.599236111113</v>
      </c>
    </row>
    <row r="3404" spans="1:7" x14ac:dyDescent="0.3">
      <c r="A3404">
        <v>6982</v>
      </c>
      <c r="B3404" t="s">
        <v>147</v>
      </c>
      <c r="C3404">
        <v>51010612</v>
      </c>
      <c r="D3404">
        <v>9.5899999999999981</v>
      </c>
      <c r="E3404" t="s">
        <v>95</v>
      </c>
      <c r="F3404">
        <v>1172</v>
      </c>
      <c r="G3404" s="4">
        <v>46087.599236111113</v>
      </c>
    </row>
    <row r="3405" spans="1:7" x14ac:dyDescent="0.3">
      <c r="A3405">
        <v>6983</v>
      </c>
      <c r="B3405" t="s">
        <v>147</v>
      </c>
      <c r="C3405">
        <v>51010639</v>
      </c>
      <c r="D3405">
        <v>18.100000000000001</v>
      </c>
      <c r="E3405" t="s">
        <v>95</v>
      </c>
      <c r="F3405">
        <v>1026</v>
      </c>
      <c r="G3405" s="4">
        <v>46087.599236111113</v>
      </c>
    </row>
    <row r="3406" spans="1:7" x14ac:dyDescent="0.3">
      <c r="A3406">
        <v>6984</v>
      </c>
      <c r="B3406" t="s">
        <v>147</v>
      </c>
      <c r="C3406">
        <v>51010965</v>
      </c>
      <c r="D3406">
        <v>8.33</v>
      </c>
      <c r="E3406" t="s">
        <v>95</v>
      </c>
      <c r="F3406">
        <v>1182</v>
      </c>
      <c r="G3406" s="4">
        <v>46087.599236111113</v>
      </c>
    </row>
    <row r="3407" spans="1:7" x14ac:dyDescent="0.3">
      <c r="A3407">
        <v>6985</v>
      </c>
      <c r="B3407" t="s">
        <v>147</v>
      </c>
      <c r="C3407">
        <v>51011082</v>
      </c>
      <c r="D3407">
        <v>17.123000000000001</v>
      </c>
      <c r="E3407" t="s">
        <v>95</v>
      </c>
      <c r="F3407">
        <v>1048</v>
      </c>
      <c r="G3407" s="4">
        <v>46087.599236111113</v>
      </c>
    </row>
    <row r="3408" spans="1:7" x14ac:dyDescent="0.3">
      <c r="A3408">
        <v>6986</v>
      </c>
      <c r="B3408" t="s">
        <v>147</v>
      </c>
      <c r="C3408">
        <v>51011104</v>
      </c>
      <c r="D3408">
        <v>18.859999999999996</v>
      </c>
      <c r="E3408" t="s">
        <v>95</v>
      </c>
      <c r="F3408">
        <v>1007</v>
      </c>
      <c r="G3408" s="4">
        <v>46087.599236111113</v>
      </c>
    </row>
    <row r="3409" spans="1:7" x14ac:dyDescent="0.3">
      <c r="A3409">
        <v>6987</v>
      </c>
      <c r="B3409" t="s">
        <v>147</v>
      </c>
      <c r="C3409">
        <v>51011163</v>
      </c>
      <c r="D3409">
        <v>19.8</v>
      </c>
      <c r="E3409" t="s">
        <v>95</v>
      </c>
      <c r="F3409">
        <v>980</v>
      </c>
      <c r="G3409" s="4">
        <v>46087.599236111113</v>
      </c>
    </row>
    <row r="3410" spans="1:7" x14ac:dyDescent="0.3">
      <c r="A3410">
        <v>6988</v>
      </c>
      <c r="B3410" t="s">
        <v>147</v>
      </c>
      <c r="C3410">
        <v>51011406</v>
      </c>
      <c r="D3410">
        <v>8.33</v>
      </c>
      <c r="E3410" t="s">
        <v>95</v>
      </c>
      <c r="F3410">
        <v>1182</v>
      </c>
      <c r="G3410" s="4">
        <v>46087.599236111113</v>
      </c>
    </row>
    <row r="3411" spans="1:7" x14ac:dyDescent="0.3">
      <c r="A3411">
        <v>6989</v>
      </c>
      <c r="B3411" t="s">
        <v>147</v>
      </c>
      <c r="C3411">
        <v>51011503</v>
      </c>
      <c r="D3411">
        <v>16.384999999999998</v>
      </c>
      <c r="E3411" t="s">
        <v>95</v>
      </c>
      <c r="F3411">
        <v>1061</v>
      </c>
      <c r="G3411" s="4">
        <v>46087.599236111113</v>
      </c>
    </row>
    <row r="3412" spans="1:7" x14ac:dyDescent="0.3">
      <c r="A3412">
        <v>6990</v>
      </c>
      <c r="B3412" t="s">
        <v>147</v>
      </c>
      <c r="C3412">
        <v>51011511</v>
      </c>
      <c r="D3412">
        <v>8.68</v>
      </c>
      <c r="E3412" t="s">
        <v>95</v>
      </c>
      <c r="F3412">
        <v>1178</v>
      </c>
      <c r="G3412" s="4">
        <v>46087.599236111113</v>
      </c>
    </row>
    <row r="3413" spans="1:7" x14ac:dyDescent="0.3">
      <c r="A3413">
        <v>6991</v>
      </c>
      <c r="B3413" t="s">
        <v>147</v>
      </c>
      <c r="C3413">
        <v>51011881</v>
      </c>
      <c r="D3413">
        <v>17.7</v>
      </c>
      <c r="E3413" t="s">
        <v>95</v>
      </c>
      <c r="F3413">
        <v>1036</v>
      </c>
      <c r="G3413" s="4">
        <v>46087.599236111113</v>
      </c>
    </row>
    <row r="3414" spans="1:7" x14ac:dyDescent="0.3">
      <c r="A3414">
        <v>6992</v>
      </c>
      <c r="B3414" t="s">
        <v>147</v>
      </c>
      <c r="C3414">
        <v>51011911</v>
      </c>
      <c r="D3414">
        <v>14.254999999999999</v>
      </c>
      <c r="E3414" t="s">
        <v>95</v>
      </c>
      <c r="F3414">
        <v>1087</v>
      </c>
      <c r="G3414" s="4">
        <v>46087.599236111113</v>
      </c>
    </row>
    <row r="3415" spans="1:7" x14ac:dyDescent="0.3">
      <c r="A3415">
        <v>6993</v>
      </c>
      <c r="B3415" t="s">
        <v>147</v>
      </c>
      <c r="C3415">
        <v>51011945</v>
      </c>
      <c r="D3415">
        <v>18.100000000000001</v>
      </c>
      <c r="E3415" t="s">
        <v>95</v>
      </c>
      <c r="F3415">
        <v>1026</v>
      </c>
      <c r="G3415" s="4">
        <v>46087.599236111113</v>
      </c>
    </row>
    <row r="3416" spans="1:7" x14ac:dyDescent="0.3">
      <c r="A3416">
        <v>6994</v>
      </c>
      <c r="B3416" t="s">
        <v>147</v>
      </c>
      <c r="C3416">
        <v>51012089</v>
      </c>
      <c r="D3416">
        <v>13.5</v>
      </c>
      <c r="E3416" t="s">
        <v>95</v>
      </c>
      <c r="F3416">
        <v>1097</v>
      </c>
      <c r="G3416" s="4">
        <v>46087.599236111113</v>
      </c>
    </row>
    <row r="3417" spans="1:7" x14ac:dyDescent="0.3">
      <c r="A3417">
        <v>6995</v>
      </c>
      <c r="B3417" t="s">
        <v>147</v>
      </c>
      <c r="C3417">
        <v>51012283</v>
      </c>
      <c r="D3417">
        <v>15.328000000000001</v>
      </c>
      <c r="E3417" t="s">
        <v>95</v>
      </c>
      <c r="F3417">
        <v>1074</v>
      </c>
      <c r="G3417" s="4">
        <v>46087.599236111113</v>
      </c>
    </row>
    <row r="3418" spans="1:7" x14ac:dyDescent="0.3">
      <c r="A3418">
        <v>6996</v>
      </c>
      <c r="B3418" t="s">
        <v>147</v>
      </c>
      <c r="C3418">
        <v>51012429</v>
      </c>
      <c r="D3418">
        <v>18.899999999999999</v>
      </c>
      <c r="E3418" t="s">
        <v>95</v>
      </c>
      <c r="F3418">
        <v>1003</v>
      </c>
      <c r="G3418" s="4">
        <v>46087.599236111113</v>
      </c>
    </row>
    <row r="3419" spans="1:7" x14ac:dyDescent="0.3">
      <c r="A3419">
        <v>6997</v>
      </c>
      <c r="B3419" t="s">
        <v>147</v>
      </c>
      <c r="C3419">
        <v>51012569</v>
      </c>
      <c r="D3419">
        <v>15.96</v>
      </c>
      <c r="E3419" t="s">
        <v>95</v>
      </c>
      <c r="F3419">
        <v>1068</v>
      </c>
      <c r="G3419" s="4">
        <v>46087.599236111113</v>
      </c>
    </row>
    <row r="3420" spans="1:7" x14ac:dyDescent="0.3">
      <c r="A3420">
        <v>6998</v>
      </c>
      <c r="B3420" t="s">
        <v>147</v>
      </c>
      <c r="C3420">
        <v>51012631</v>
      </c>
      <c r="D3420">
        <v>12.980000000000002</v>
      </c>
      <c r="E3420" t="s">
        <v>95</v>
      </c>
      <c r="F3420">
        <v>1113</v>
      </c>
      <c r="G3420" s="4">
        <v>46087.599236111113</v>
      </c>
    </row>
    <row r="3421" spans="1:7" x14ac:dyDescent="0.3">
      <c r="A3421">
        <v>6999</v>
      </c>
      <c r="B3421" t="s">
        <v>147</v>
      </c>
      <c r="C3421">
        <v>51012844</v>
      </c>
      <c r="D3421">
        <v>8.8199999999999985</v>
      </c>
      <c r="E3421" t="s">
        <v>95</v>
      </c>
      <c r="F3421">
        <v>1177</v>
      </c>
      <c r="G3421" s="4">
        <v>46087.599236111113</v>
      </c>
    </row>
    <row r="3422" spans="1:7" x14ac:dyDescent="0.3">
      <c r="A3422">
        <v>7000</v>
      </c>
      <c r="B3422" t="s">
        <v>147</v>
      </c>
      <c r="C3422">
        <v>51012925</v>
      </c>
      <c r="D3422">
        <v>7.56</v>
      </c>
      <c r="E3422" t="s">
        <v>95</v>
      </c>
      <c r="F3422">
        <v>1191</v>
      </c>
      <c r="G3422" s="4">
        <v>46087.599236111113</v>
      </c>
    </row>
    <row r="3423" spans="1:7" x14ac:dyDescent="0.3">
      <c r="A3423">
        <v>7001</v>
      </c>
      <c r="B3423" t="s">
        <v>147</v>
      </c>
      <c r="C3423">
        <v>51012968</v>
      </c>
      <c r="D3423">
        <v>18.63</v>
      </c>
      <c r="E3423" t="s">
        <v>95</v>
      </c>
      <c r="F3423">
        <v>1014</v>
      </c>
      <c r="G3423" s="4">
        <v>46087.599236111113</v>
      </c>
    </row>
    <row r="3424" spans="1:7" x14ac:dyDescent="0.3">
      <c r="A3424">
        <v>7002</v>
      </c>
      <c r="B3424" t="s">
        <v>147</v>
      </c>
      <c r="C3424">
        <v>51013042</v>
      </c>
      <c r="D3424">
        <v>15.683</v>
      </c>
      <c r="E3424" t="s">
        <v>95</v>
      </c>
      <c r="F3424">
        <v>1071</v>
      </c>
      <c r="G3424" s="4">
        <v>46087.599236111113</v>
      </c>
    </row>
    <row r="3425" spans="1:7" x14ac:dyDescent="0.3">
      <c r="A3425">
        <v>7003</v>
      </c>
      <c r="B3425" t="s">
        <v>147</v>
      </c>
      <c r="C3425">
        <v>51013123</v>
      </c>
      <c r="D3425">
        <v>11</v>
      </c>
      <c r="E3425" t="s">
        <v>95</v>
      </c>
      <c r="F3425">
        <v>1144</v>
      </c>
      <c r="G3425" s="4">
        <v>46087.599236111113</v>
      </c>
    </row>
    <row r="3426" spans="1:7" x14ac:dyDescent="0.3">
      <c r="A3426">
        <v>7004</v>
      </c>
      <c r="B3426" t="s">
        <v>147</v>
      </c>
      <c r="C3426">
        <v>51013174</v>
      </c>
      <c r="D3426">
        <v>14.489999999999998</v>
      </c>
      <c r="E3426" t="s">
        <v>95</v>
      </c>
      <c r="F3426">
        <v>1085</v>
      </c>
      <c r="G3426" s="4">
        <v>46087.599236111113</v>
      </c>
    </row>
    <row r="3427" spans="1:7" x14ac:dyDescent="0.3">
      <c r="A3427">
        <v>7005</v>
      </c>
      <c r="B3427" t="s">
        <v>147</v>
      </c>
      <c r="C3427">
        <v>51013263</v>
      </c>
      <c r="D3427">
        <v>18.399999999999999</v>
      </c>
      <c r="E3427" t="s">
        <v>95</v>
      </c>
      <c r="F3427">
        <v>1021</v>
      </c>
      <c r="G3427" s="4">
        <v>46087.599236111113</v>
      </c>
    </row>
    <row r="3428" spans="1:7" x14ac:dyDescent="0.3">
      <c r="A3428">
        <v>7006</v>
      </c>
      <c r="B3428" t="s">
        <v>147</v>
      </c>
      <c r="C3428">
        <v>51013751</v>
      </c>
      <c r="D3428">
        <v>20.443500000000004</v>
      </c>
      <c r="E3428" t="s">
        <v>95</v>
      </c>
      <c r="F3428">
        <v>971</v>
      </c>
      <c r="G3428" s="4">
        <v>46087.599236111113</v>
      </c>
    </row>
    <row r="3429" spans="1:7" x14ac:dyDescent="0.3">
      <c r="A3429">
        <v>7007</v>
      </c>
      <c r="B3429" t="s">
        <v>147</v>
      </c>
      <c r="C3429">
        <v>51013905</v>
      </c>
      <c r="D3429">
        <v>10.8</v>
      </c>
      <c r="E3429" t="s">
        <v>95</v>
      </c>
      <c r="F3429">
        <v>1149</v>
      </c>
      <c r="G3429" s="4">
        <v>46087.599236111113</v>
      </c>
    </row>
    <row r="3430" spans="1:7" x14ac:dyDescent="0.3">
      <c r="A3430">
        <v>7008</v>
      </c>
      <c r="B3430" t="s">
        <v>147</v>
      </c>
      <c r="C3430">
        <v>51014073</v>
      </c>
      <c r="D3430">
        <v>18.200000000000003</v>
      </c>
      <c r="E3430" t="s">
        <v>95</v>
      </c>
      <c r="F3430">
        <v>1023</v>
      </c>
      <c r="G3430" s="4">
        <v>46087.599236111113</v>
      </c>
    </row>
    <row r="3431" spans="1:7" x14ac:dyDescent="0.3">
      <c r="A3431">
        <v>7009</v>
      </c>
      <c r="B3431" t="s">
        <v>147</v>
      </c>
      <c r="C3431">
        <v>51014154</v>
      </c>
      <c r="D3431">
        <v>13.02</v>
      </c>
      <c r="E3431" t="s">
        <v>95</v>
      </c>
      <c r="F3431">
        <v>1112</v>
      </c>
      <c r="G3431" s="4">
        <v>46087.599236111113</v>
      </c>
    </row>
    <row r="3432" spans="1:7" x14ac:dyDescent="0.3">
      <c r="A3432">
        <v>7010</v>
      </c>
      <c r="B3432" t="s">
        <v>147</v>
      </c>
      <c r="C3432">
        <v>51014227</v>
      </c>
      <c r="D3432">
        <v>13.1</v>
      </c>
      <c r="E3432" t="s">
        <v>95</v>
      </c>
      <c r="F3432">
        <v>1109</v>
      </c>
      <c r="G3432" s="4">
        <v>46087.599236111113</v>
      </c>
    </row>
    <row r="3433" spans="1:7" x14ac:dyDescent="0.3">
      <c r="A3433">
        <v>7011</v>
      </c>
      <c r="B3433" t="s">
        <v>147</v>
      </c>
      <c r="C3433">
        <v>51014651</v>
      </c>
      <c r="D3433">
        <v>13.8</v>
      </c>
      <c r="E3433" t="s">
        <v>95</v>
      </c>
      <c r="F3433">
        <v>1090</v>
      </c>
      <c r="G3433" s="4">
        <v>46087.599236111113</v>
      </c>
    </row>
    <row r="3434" spans="1:7" x14ac:dyDescent="0.3">
      <c r="A3434">
        <v>7012</v>
      </c>
      <c r="B3434" t="s">
        <v>147</v>
      </c>
      <c r="C3434">
        <v>51014723</v>
      </c>
      <c r="D3434">
        <v>11.339999999999998</v>
      </c>
      <c r="E3434" t="s">
        <v>95</v>
      </c>
      <c r="F3434">
        <v>1140</v>
      </c>
      <c r="G3434" s="4">
        <v>46087.599236111113</v>
      </c>
    </row>
    <row r="3435" spans="1:7" x14ac:dyDescent="0.3">
      <c r="A3435">
        <v>7013</v>
      </c>
      <c r="B3435" t="s">
        <v>147</v>
      </c>
      <c r="C3435">
        <v>51015282</v>
      </c>
      <c r="D3435">
        <v>12.540000000000001</v>
      </c>
      <c r="E3435" t="s">
        <v>95</v>
      </c>
      <c r="F3435">
        <v>1124</v>
      </c>
      <c r="G3435" s="4">
        <v>46087.599236111113</v>
      </c>
    </row>
    <row r="3436" spans="1:7" x14ac:dyDescent="0.3">
      <c r="A3436">
        <v>7014</v>
      </c>
      <c r="B3436" t="s">
        <v>147</v>
      </c>
      <c r="C3436">
        <v>51015576</v>
      </c>
      <c r="D3436">
        <v>10.9</v>
      </c>
      <c r="E3436" t="s">
        <v>95</v>
      </c>
      <c r="F3436">
        <v>1147</v>
      </c>
      <c r="G3436" s="4">
        <v>46087.599236111113</v>
      </c>
    </row>
    <row r="3437" spans="1:7" x14ac:dyDescent="0.3">
      <c r="A3437">
        <v>7015</v>
      </c>
      <c r="B3437" t="s">
        <v>147</v>
      </c>
      <c r="C3437">
        <v>51015690</v>
      </c>
      <c r="D3437">
        <v>10.8</v>
      </c>
      <c r="E3437" t="s">
        <v>95</v>
      </c>
      <c r="F3437">
        <v>1149</v>
      </c>
      <c r="G3437" s="4">
        <v>46087.599236111113</v>
      </c>
    </row>
    <row r="3438" spans="1:7" x14ac:dyDescent="0.3">
      <c r="A3438">
        <v>7016</v>
      </c>
      <c r="B3438" t="s">
        <v>147</v>
      </c>
      <c r="C3438">
        <v>51015738</v>
      </c>
      <c r="D3438">
        <v>10.6</v>
      </c>
      <c r="E3438" t="s">
        <v>95</v>
      </c>
      <c r="F3438">
        <v>1156</v>
      </c>
      <c r="G3438" s="4">
        <v>46087.599236111113</v>
      </c>
    </row>
    <row r="3439" spans="1:7" x14ac:dyDescent="0.3">
      <c r="A3439">
        <v>7017</v>
      </c>
      <c r="B3439" t="s">
        <v>147</v>
      </c>
      <c r="C3439">
        <v>51015959</v>
      </c>
      <c r="D3439">
        <v>12.529999999999998</v>
      </c>
      <c r="E3439" t="s">
        <v>95</v>
      </c>
      <c r="F3439">
        <v>1125</v>
      </c>
      <c r="G3439" s="4">
        <v>46087.599236111113</v>
      </c>
    </row>
    <row r="3440" spans="1:7" x14ac:dyDescent="0.3">
      <c r="A3440">
        <v>7018</v>
      </c>
      <c r="B3440" t="s">
        <v>147</v>
      </c>
      <c r="C3440">
        <v>51015991</v>
      </c>
      <c r="D3440">
        <v>11.41</v>
      </c>
      <c r="E3440" t="s">
        <v>95</v>
      </c>
      <c r="F3440">
        <v>1137</v>
      </c>
      <c r="G3440" s="4">
        <v>46087.599236111113</v>
      </c>
    </row>
    <row r="3441" spans="1:7" x14ac:dyDescent="0.3">
      <c r="A3441">
        <v>7019</v>
      </c>
      <c r="B3441" t="s">
        <v>147</v>
      </c>
      <c r="C3441">
        <v>51016122</v>
      </c>
      <c r="D3441">
        <v>12.7</v>
      </c>
      <c r="E3441" t="s">
        <v>95</v>
      </c>
      <c r="F3441">
        <v>1120</v>
      </c>
      <c r="G3441" s="4">
        <v>46087.599236111113</v>
      </c>
    </row>
    <row r="3442" spans="1:7" x14ac:dyDescent="0.3">
      <c r="A3442">
        <v>7020</v>
      </c>
      <c r="B3442" t="s">
        <v>147</v>
      </c>
      <c r="C3442">
        <v>51016190</v>
      </c>
      <c r="D3442">
        <v>13.5</v>
      </c>
      <c r="E3442" t="s">
        <v>95</v>
      </c>
      <c r="F3442">
        <v>1097</v>
      </c>
      <c r="G3442" s="4">
        <v>46087.599236111113</v>
      </c>
    </row>
    <row r="3443" spans="1:7" x14ac:dyDescent="0.3">
      <c r="A3443">
        <v>7021</v>
      </c>
      <c r="B3443" t="s">
        <v>147</v>
      </c>
      <c r="C3443">
        <v>51016505</v>
      </c>
      <c r="D3443">
        <v>11.398000000000001</v>
      </c>
      <c r="E3443" t="s">
        <v>95</v>
      </c>
      <c r="F3443">
        <v>1139</v>
      </c>
      <c r="G3443" s="4">
        <v>46087.599236111113</v>
      </c>
    </row>
    <row r="3444" spans="1:7" x14ac:dyDescent="0.3">
      <c r="A3444">
        <v>7022</v>
      </c>
      <c r="B3444" t="s">
        <v>147</v>
      </c>
      <c r="C3444">
        <v>51016670</v>
      </c>
      <c r="D3444">
        <v>13.785</v>
      </c>
      <c r="E3444" t="s">
        <v>95</v>
      </c>
      <c r="F3444">
        <v>1092</v>
      </c>
      <c r="G3444" s="4">
        <v>46087.599236111113</v>
      </c>
    </row>
    <row r="3445" spans="1:7" x14ac:dyDescent="0.3">
      <c r="A3445">
        <v>7023</v>
      </c>
      <c r="B3445" t="s">
        <v>147</v>
      </c>
      <c r="C3445">
        <v>51016751</v>
      </c>
      <c r="D3445">
        <v>13.86</v>
      </c>
      <c r="E3445" t="s">
        <v>95</v>
      </c>
      <c r="F3445">
        <v>1089</v>
      </c>
      <c r="G3445" s="4">
        <v>46087.599236111113</v>
      </c>
    </row>
    <row r="3446" spans="1:7" x14ac:dyDescent="0.3">
      <c r="A3446">
        <v>7024</v>
      </c>
      <c r="B3446" t="s">
        <v>147</v>
      </c>
      <c r="C3446">
        <v>51016769</v>
      </c>
      <c r="D3446">
        <v>19.600000000000001</v>
      </c>
      <c r="E3446" t="s">
        <v>95</v>
      </c>
      <c r="F3446">
        <v>984</v>
      </c>
      <c r="G3446" s="4">
        <v>46087.599236111113</v>
      </c>
    </row>
    <row r="3447" spans="1:7" x14ac:dyDescent="0.3">
      <c r="A3447">
        <v>7025</v>
      </c>
      <c r="B3447" t="s">
        <v>147</v>
      </c>
      <c r="C3447">
        <v>51016807</v>
      </c>
      <c r="D3447">
        <v>18.198</v>
      </c>
      <c r="E3447" t="s">
        <v>95</v>
      </c>
      <c r="F3447">
        <v>1024</v>
      </c>
      <c r="G3447" s="4">
        <v>46087.599236111113</v>
      </c>
    </row>
    <row r="3448" spans="1:7" x14ac:dyDescent="0.3">
      <c r="A3448">
        <v>7026</v>
      </c>
      <c r="B3448" t="s">
        <v>147</v>
      </c>
      <c r="C3448">
        <v>51016912</v>
      </c>
      <c r="D3448">
        <v>12.67</v>
      </c>
      <c r="E3448" t="s">
        <v>95</v>
      </c>
      <c r="F3448">
        <v>1122</v>
      </c>
      <c r="G3448" s="4">
        <v>46087.599236111113</v>
      </c>
    </row>
    <row r="3449" spans="1:7" x14ac:dyDescent="0.3">
      <c r="A3449">
        <v>7027</v>
      </c>
      <c r="B3449" t="s">
        <v>147</v>
      </c>
      <c r="C3449">
        <v>51017005</v>
      </c>
      <c r="D3449">
        <v>19.204999999999998</v>
      </c>
      <c r="E3449" t="s">
        <v>95</v>
      </c>
      <c r="F3449">
        <v>995</v>
      </c>
      <c r="G3449" s="4">
        <v>46087.599236111113</v>
      </c>
    </row>
    <row r="3450" spans="1:7" x14ac:dyDescent="0.3">
      <c r="A3450">
        <v>7028</v>
      </c>
      <c r="B3450" t="s">
        <v>147</v>
      </c>
      <c r="C3450">
        <v>51017200</v>
      </c>
      <c r="D3450">
        <v>17.600000000000001</v>
      </c>
      <c r="E3450" t="s">
        <v>95</v>
      </c>
      <c r="F3450">
        <v>1037</v>
      </c>
      <c r="G3450" s="4">
        <v>46087.599236111113</v>
      </c>
    </row>
    <row r="3451" spans="1:7" x14ac:dyDescent="0.3">
      <c r="A3451">
        <v>7029</v>
      </c>
      <c r="B3451" t="s">
        <v>147</v>
      </c>
      <c r="C3451">
        <v>51017692</v>
      </c>
      <c r="D3451">
        <v>10.3</v>
      </c>
      <c r="E3451" t="s">
        <v>95</v>
      </c>
      <c r="F3451">
        <v>1164</v>
      </c>
      <c r="G3451" s="4">
        <v>46087.599236111113</v>
      </c>
    </row>
    <row r="3452" spans="1:7" x14ac:dyDescent="0.3">
      <c r="A3452">
        <v>7030</v>
      </c>
      <c r="B3452" t="s">
        <v>147</v>
      </c>
      <c r="C3452">
        <v>51017781</v>
      </c>
      <c r="D3452">
        <v>21.450000000000003</v>
      </c>
      <c r="E3452" t="s">
        <v>95</v>
      </c>
      <c r="F3452">
        <v>957</v>
      </c>
      <c r="G3452" s="4">
        <v>46087.599236111113</v>
      </c>
    </row>
    <row r="3453" spans="1:7" x14ac:dyDescent="0.3">
      <c r="A3453">
        <v>7031</v>
      </c>
      <c r="B3453" t="s">
        <v>147</v>
      </c>
      <c r="C3453">
        <v>51018010</v>
      </c>
      <c r="D3453">
        <v>13.229999999999999</v>
      </c>
      <c r="E3453" t="s">
        <v>95</v>
      </c>
      <c r="F3453">
        <v>1106</v>
      </c>
      <c r="G3453" s="4">
        <v>46087.599236111113</v>
      </c>
    </row>
    <row r="3454" spans="1:7" x14ac:dyDescent="0.3">
      <c r="A3454">
        <v>7032</v>
      </c>
      <c r="B3454" t="s">
        <v>147</v>
      </c>
      <c r="C3454">
        <v>51018168</v>
      </c>
      <c r="D3454">
        <v>10.57</v>
      </c>
      <c r="E3454" t="s">
        <v>95</v>
      </c>
      <c r="F3454">
        <v>1158</v>
      </c>
      <c r="G3454" s="4">
        <v>46087.599236111113</v>
      </c>
    </row>
    <row r="3455" spans="1:7" x14ac:dyDescent="0.3">
      <c r="A3455">
        <v>7033</v>
      </c>
      <c r="B3455" t="s">
        <v>147</v>
      </c>
      <c r="C3455">
        <v>51018192</v>
      </c>
      <c r="D3455">
        <v>17.940000000000001</v>
      </c>
      <c r="E3455" t="s">
        <v>95</v>
      </c>
      <c r="F3455">
        <v>1031</v>
      </c>
      <c r="G3455" s="4">
        <v>46087.599236111113</v>
      </c>
    </row>
    <row r="3456" spans="1:7" x14ac:dyDescent="0.3">
      <c r="A3456">
        <v>7034</v>
      </c>
      <c r="B3456" t="s">
        <v>147</v>
      </c>
      <c r="C3456">
        <v>51018281</v>
      </c>
      <c r="D3456">
        <v>20.239999999999998</v>
      </c>
      <c r="E3456" t="s">
        <v>95</v>
      </c>
      <c r="F3456">
        <v>974</v>
      </c>
      <c r="G3456" s="4">
        <v>46087.599236111113</v>
      </c>
    </row>
    <row r="3457" spans="1:7" x14ac:dyDescent="0.3">
      <c r="A3457">
        <v>7035</v>
      </c>
      <c r="B3457" t="s">
        <v>147</v>
      </c>
      <c r="C3457">
        <v>51018915</v>
      </c>
      <c r="D3457">
        <v>19.3</v>
      </c>
      <c r="E3457" t="s">
        <v>95</v>
      </c>
      <c r="F3457">
        <v>992</v>
      </c>
      <c r="G3457" s="4">
        <v>46087.599236111113</v>
      </c>
    </row>
    <row r="3458" spans="1:7" x14ac:dyDescent="0.3">
      <c r="A3458">
        <v>7036</v>
      </c>
      <c r="B3458" t="s">
        <v>147</v>
      </c>
      <c r="C3458">
        <v>51019075</v>
      </c>
      <c r="D3458">
        <v>16.2</v>
      </c>
      <c r="E3458" t="s">
        <v>95</v>
      </c>
      <c r="F3458">
        <v>1063</v>
      </c>
      <c r="G3458" s="4">
        <v>46087.599236111113</v>
      </c>
    </row>
    <row r="3459" spans="1:7" x14ac:dyDescent="0.3">
      <c r="A3459">
        <v>7037</v>
      </c>
      <c r="B3459" t="s">
        <v>147</v>
      </c>
      <c r="C3459">
        <v>51019156</v>
      </c>
      <c r="D3459">
        <v>8.3999999999999986</v>
      </c>
      <c r="E3459" t="s">
        <v>95</v>
      </c>
      <c r="F3459">
        <v>1180</v>
      </c>
      <c r="G3459" s="4">
        <v>46087.599236111113</v>
      </c>
    </row>
    <row r="3460" spans="1:7" x14ac:dyDescent="0.3">
      <c r="A3460">
        <v>7038</v>
      </c>
      <c r="B3460" t="s">
        <v>147</v>
      </c>
      <c r="C3460">
        <v>51019181</v>
      </c>
      <c r="D3460">
        <v>19.100000000000001</v>
      </c>
      <c r="E3460" t="s">
        <v>95</v>
      </c>
      <c r="F3460">
        <v>1000</v>
      </c>
      <c r="G3460" s="4">
        <v>46087.599236111113</v>
      </c>
    </row>
    <row r="3461" spans="1:7" x14ac:dyDescent="0.3">
      <c r="A3461">
        <v>7039</v>
      </c>
      <c r="B3461" t="s">
        <v>147</v>
      </c>
      <c r="C3461">
        <v>51019237</v>
      </c>
      <c r="D3461">
        <v>19.14</v>
      </c>
      <c r="E3461" t="s">
        <v>95</v>
      </c>
      <c r="F3461">
        <v>998</v>
      </c>
      <c r="G3461" s="4">
        <v>46087.599236111113</v>
      </c>
    </row>
    <row r="3462" spans="1:7" x14ac:dyDescent="0.3">
      <c r="A3462">
        <v>7040</v>
      </c>
      <c r="B3462" t="s">
        <v>147</v>
      </c>
      <c r="C3462">
        <v>51019351</v>
      </c>
      <c r="D3462">
        <v>14.8</v>
      </c>
      <c r="E3462" t="s">
        <v>95</v>
      </c>
      <c r="F3462">
        <v>1081</v>
      </c>
      <c r="G3462" s="4">
        <v>46087.599236111113</v>
      </c>
    </row>
    <row r="3463" spans="1:7" x14ac:dyDescent="0.3">
      <c r="A3463">
        <v>7041</v>
      </c>
      <c r="B3463" t="s">
        <v>147</v>
      </c>
      <c r="C3463">
        <v>51019725</v>
      </c>
      <c r="D3463">
        <v>20.239999999999998</v>
      </c>
      <c r="E3463" t="s">
        <v>95</v>
      </c>
      <c r="F3463">
        <v>974</v>
      </c>
      <c r="G3463" s="4">
        <v>46087.599236111113</v>
      </c>
    </row>
    <row r="3464" spans="1:7" x14ac:dyDescent="0.3">
      <c r="A3464">
        <v>7042</v>
      </c>
      <c r="B3464" t="s">
        <v>147</v>
      </c>
      <c r="C3464">
        <v>51019768</v>
      </c>
      <c r="D3464">
        <v>12.4</v>
      </c>
      <c r="E3464" t="s">
        <v>95</v>
      </c>
      <c r="F3464">
        <v>1128</v>
      </c>
      <c r="G3464" s="4">
        <v>46087.599236111113</v>
      </c>
    </row>
    <row r="3465" spans="1:7" x14ac:dyDescent="0.3">
      <c r="A3465">
        <v>7043</v>
      </c>
      <c r="B3465" t="s">
        <v>147</v>
      </c>
      <c r="C3465">
        <v>51020120</v>
      </c>
      <c r="D3465">
        <v>19.910000000000004</v>
      </c>
      <c r="E3465" t="s">
        <v>95</v>
      </c>
      <c r="F3465">
        <v>977</v>
      </c>
      <c r="G3465" s="4">
        <v>46087.599236111113</v>
      </c>
    </row>
    <row r="3466" spans="1:7" x14ac:dyDescent="0.3">
      <c r="A3466">
        <v>7044</v>
      </c>
      <c r="B3466" t="s">
        <v>147</v>
      </c>
      <c r="C3466">
        <v>51020154</v>
      </c>
      <c r="D3466">
        <v>14.080000000000002</v>
      </c>
      <c r="E3466" t="s">
        <v>95</v>
      </c>
      <c r="F3466">
        <v>1088</v>
      </c>
      <c r="G3466" s="4">
        <v>46087.599236111113</v>
      </c>
    </row>
    <row r="3467" spans="1:7" x14ac:dyDescent="0.3">
      <c r="A3467">
        <v>7045</v>
      </c>
      <c r="B3467" t="s">
        <v>147</v>
      </c>
      <c r="C3467">
        <v>51020740</v>
      </c>
      <c r="D3467">
        <v>19.48</v>
      </c>
      <c r="E3467" t="s">
        <v>95</v>
      </c>
      <c r="F3467">
        <v>989</v>
      </c>
      <c r="G3467" s="4">
        <v>46087.599236111113</v>
      </c>
    </row>
    <row r="3468" spans="1:7" x14ac:dyDescent="0.3">
      <c r="A3468">
        <v>7046</v>
      </c>
      <c r="B3468" t="s">
        <v>147</v>
      </c>
      <c r="C3468">
        <v>51021151</v>
      </c>
      <c r="D3468">
        <v>18.600000000000001</v>
      </c>
      <c r="E3468" t="s">
        <v>95</v>
      </c>
      <c r="F3468">
        <v>1016</v>
      </c>
      <c r="G3468" s="4">
        <v>46087.599236111113</v>
      </c>
    </row>
    <row r="3469" spans="1:7" x14ac:dyDescent="0.3">
      <c r="A3469">
        <v>7047</v>
      </c>
      <c r="B3469" t="s">
        <v>147</v>
      </c>
      <c r="C3469">
        <v>51021525</v>
      </c>
      <c r="D3469">
        <v>15.100000000000001</v>
      </c>
      <c r="E3469" t="s">
        <v>95</v>
      </c>
      <c r="F3469">
        <v>1078</v>
      </c>
      <c r="G3469" s="4">
        <v>46087.599236111113</v>
      </c>
    </row>
    <row r="3470" spans="1:7" x14ac:dyDescent="0.3">
      <c r="A3470">
        <v>7048</v>
      </c>
      <c r="B3470" t="s">
        <v>147</v>
      </c>
      <c r="C3470">
        <v>51021649</v>
      </c>
      <c r="D3470">
        <v>15</v>
      </c>
      <c r="E3470" t="s">
        <v>95</v>
      </c>
      <c r="F3470">
        <v>1079</v>
      </c>
      <c r="G3470" s="4">
        <v>46087.599236111113</v>
      </c>
    </row>
    <row r="3471" spans="1:7" x14ac:dyDescent="0.3">
      <c r="A3471">
        <v>7049</v>
      </c>
      <c r="B3471" t="s">
        <v>147</v>
      </c>
      <c r="C3471">
        <v>51021908</v>
      </c>
      <c r="D3471">
        <v>10.199999999999999</v>
      </c>
      <c r="E3471" t="s">
        <v>95</v>
      </c>
      <c r="F3471">
        <v>1167</v>
      </c>
      <c r="G3471" s="4">
        <v>46087.599236111113</v>
      </c>
    </row>
    <row r="3472" spans="1:7" x14ac:dyDescent="0.3">
      <c r="A3472">
        <v>7050</v>
      </c>
      <c r="B3472" t="s">
        <v>147</v>
      </c>
      <c r="C3472">
        <v>51021924</v>
      </c>
      <c r="D3472">
        <v>17.399999999999999</v>
      </c>
      <c r="E3472" t="s">
        <v>95</v>
      </c>
      <c r="F3472">
        <v>1042</v>
      </c>
      <c r="G3472" s="4">
        <v>46087.599236111113</v>
      </c>
    </row>
    <row r="3473" spans="1:7" x14ac:dyDescent="0.3">
      <c r="A3473">
        <v>7051</v>
      </c>
      <c r="B3473" t="s">
        <v>147</v>
      </c>
      <c r="C3473">
        <v>51022203</v>
      </c>
      <c r="D3473">
        <v>10.29</v>
      </c>
      <c r="E3473" t="s">
        <v>95</v>
      </c>
      <c r="F3473">
        <v>1166</v>
      </c>
      <c r="G3473" s="4">
        <v>46087.599236111113</v>
      </c>
    </row>
    <row r="3474" spans="1:7" x14ac:dyDescent="0.3">
      <c r="A3474">
        <v>7052</v>
      </c>
      <c r="B3474" t="s">
        <v>147</v>
      </c>
      <c r="C3474">
        <v>51022271</v>
      </c>
      <c r="D3474">
        <v>12.179999999999998</v>
      </c>
      <c r="E3474" t="s">
        <v>95</v>
      </c>
      <c r="F3474">
        <v>1131</v>
      </c>
      <c r="G3474" s="4">
        <v>46087.599236111113</v>
      </c>
    </row>
    <row r="3475" spans="1:7" x14ac:dyDescent="0.3">
      <c r="A3475">
        <v>7053</v>
      </c>
      <c r="B3475" t="s">
        <v>147</v>
      </c>
      <c r="C3475">
        <v>51022297</v>
      </c>
      <c r="D3475">
        <v>18.974999999999998</v>
      </c>
      <c r="E3475" t="s">
        <v>95</v>
      </c>
      <c r="F3475">
        <v>1002</v>
      </c>
      <c r="G3475" s="4">
        <v>46087.599236111113</v>
      </c>
    </row>
    <row r="3476" spans="1:7" x14ac:dyDescent="0.3">
      <c r="A3476">
        <v>7054</v>
      </c>
      <c r="B3476" t="s">
        <v>147</v>
      </c>
      <c r="C3476">
        <v>51022807</v>
      </c>
      <c r="D3476">
        <v>18.84</v>
      </c>
      <c r="E3476" t="s">
        <v>95</v>
      </c>
      <c r="F3476">
        <v>1009</v>
      </c>
      <c r="G3476" s="4">
        <v>46087.599236111113</v>
      </c>
    </row>
    <row r="3477" spans="1:7" x14ac:dyDescent="0.3">
      <c r="A3477">
        <v>7055</v>
      </c>
      <c r="B3477" t="s">
        <v>147</v>
      </c>
      <c r="C3477">
        <v>51022891</v>
      </c>
      <c r="D3477">
        <v>9.31</v>
      </c>
      <c r="E3477" t="s">
        <v>95</v>
      </c>
      <c r="F3477">
        <v>1174</v>
      </c>
      <c r="G3477" s="4">
        <v>46087.599236111113</v>
      </c>
    </row>
    <row r="3478" spans="1:7" x14ac:dyDescent="0.3">
      <c r="A3478">
        <v>7056</v>
      </c>
      <c r="B3478" t="s">
        <v>147</v>
      </c>
      <c r="C3478">
        <v>51022939</v>
      </c>
      <c r="D3478">
        <v>10.639999999999999</v>
      </c>
      <c r="E3478" t="s">
        <v>95</v>
      </c>
      <c r="F3478">
        <v>1154</v>
      </c>
      <c r="G3478" s="4">
        <v>46087.599236111113</v>
      </c>
    </row>
    <row r="3479" spans="1:7" x14ac:dyDescent="0.3">
      <c r="A3479">
        <v>7057</v>
      </c>
      <c r="B3479" t="s">
        <v>147</v>
      </c>
      <c r="C3479">
        <v>51023323</v>
      </c>
      <c r="D3479">
        <v>10.149999999999999</v>
      </c>
      <c r="E3479" t="s">
        <v>95</v>
      </c>
      <c r="F3479">
        <v>1168</v>
      </c>
      <c r="G3479" s="4">
        <v>46087.599236111113</v>
      </c>
    </row>
    <row r="3480" spans="1:7" x14ac:dyDescent="0.3">
      <c r="A3480">
        <v>7058</v>
      </c>
      <c r="B3480" t="s">
        <v>147</v>
      </c>
      <c r="C3480">
        <v>51023447</v>
      </c>
      <c r="D3480">
        <v>11.129999999999999</v>
      </c>
      <c r="E3480" t="s">
        <v>95</v>
      </c>
      <c r="F3480">
        <v>1143</v>
      </c>
      <c r="G3480" s="4">
        <v>46087.599236111113</v>
      </c>
    </row>
    <row r="3481" spans="1:7" x14ac:dyDescent="0.3">
      <c r="A3481">
        <v>7059</v>
      </c>
      <c r="B3481" t="s">
        <v>147</v>
      </c>
      <c r="C3481">
        <v>51023463</v>
      </c>
      <c r="D3481">
        <v>15.290000000000001</v>
      </c>
      <c r="E3481" t="s">
        <v>95</v>
      </c>
      <c r="F3481">
        <v>1076</v>
      </c>
      <c r="G3481" s="4">
        <v>46087.599236111113</v>
      </c>
    </row>
    <row r="3482" spans="1:7" x14ac:dyDescent="0.3">
      <c r="A3482">
        <v>7060</v>
      </c>
      <c r="B3482" t="s">
        <v>147</v>
      </c>
      <c r="C3482">
        <v>51023510</v>
      </c>
      <c r="D3482">
        <v>21.734999999999996</v>
      </c>
      <c r="E3482" t="s">
        <v>94</v>
      </c>
      <c r="F3482">
        <v>951</v>
      </c>
      <c r="G3482" s="4">
        <v>46087.599236111113</v>
      </c>
    </row>
    <row r="3483" spans="1:7" x14ac:dyDescent="0.3">
      <c r="A3483">
        <v>7061</v>
      </c>
      <c r="B3483" t="s">
        <v>147</v>
      </c>
      <c r="C3483">
        <v>51024338</v>
      </c>
      <c r="D3483">
        <v>10.4</v>
      </c>
      <c r="E3483" t="s">
        <v>95</v>
      </c>
      <c r="F3483">
        <v>1162</v>
      </c>
      <c r="G3483" s="4">
        <v>46087.599236111113</v>
      </c>
    </row>
    <row r="3484" spans="1:7" x14ac:dyDescent="0.3">
      <c r="A3484">
        <v>7062</v>
      </c>
      <c r="B3484" t="s">
        <v>147</v>
      </c>
      <c r="C3484">
        <v>51024346</v>
      </c>
      <c r="D3484">
        <v>20.680000000000003</v>
      </c>
      <c r="E3484" t="s">
        <v>95</v>
      </c>
      <c r="F3484">
        <v>967</v>
      </c>
      <c r="G3484" s="4">
        <v>46087.599236111113</v>
      </c>
    </row>
    <row r="3485" spans="1:7" x14ac:dyDescent="0.3">
      <c r="A3485">
        <v>7063</v>
      </c>
      <c r="B3485" t="s">
        <v>147</v>
      </c>
      <c r="C3485">
        <v>51024354</v>
      </c>
      <c r="D3485">
        <v>12.7</v>
      </c>
      <c r="E3485" t="s">
        <v>95</v>
      </c>
      <c r="F3485">
        <v>1120</v>
      </c>
      <c r="G3485" s="4">
        <v>46087.599236111113</v>
      </c>
    </row>
    <row r="3486" spans="1:7" x14ac:dyDescent="0.3">
      <c r="A3486">
        <v>7064</v>
      </c>
      <c r="B3486" t="s">
        <v>147</v>
      </c>
      <c r="C3486">
        <v>51024788</v>
      </c>
      <c r="D3486">
        <v>13.6</v>
      </c>
      <c r="E3486" t="s">
        <v>95</v>
      </c>
      <c r="F3486">
        <v>1096</v>
      </c>
      <c r="G3486" s="4">
        <v>46087.599236111113</v>
      </c>
    </row>
    <row r="3487" spans="1:7" x14ac:dyDescent="0.3">
      <c r="A3487">
        <v>7065</v>
      </c>
      <c r="B3487" t="s">
        <v>147</v>
      </c>
      <c r="C3487">
        <v>51024907</v>
      </c>
      <c r="D3487">
        <v>12.879999999999999</v>
      </c>
      <c r="E3487" t="s">
        <v>95</v>
      </c>
      <c r="F3487">
        <v>1116</v>
      </c>
      <c r="G3487" s="4">
        <v>46087.599236111113</v>
      </c>
    </row>
    <row r="3488" spans="1:7" x14ac:dyDescent="0.3">
      <c r="A3488">
        <v>7066</v>
      </c>
      <c r="B3488" t="s">
        <v>147</v>
      </c>
      <c r="C3488">
        <v>51025598</v>
      </c>
      <c r="D3488">
        <v>12.764999999999999</v>
      </c>
      <c r="E3488" t="s">
        <v>95</v>
      </c>
      <c r="F3488">
        <v>1119</v>
      </c>
      <c r="G3488" s="4">
        <v>46087.599236111113</v>
      </c>
    </row>
    <row r="3489" spans="1:7" x14ac:dyDescent="0.3">
      <c r="A3489">
        <v>7067</v>
      </c>
      <c r="B3489" t="s">
        <v>147</v>
      </c>
      <c r="C3489">
        <v>51025601</v>
      </c>
      <c r="D3489">
        <v>7.3044999999999982</v>
      </c>
      <c r="E3489" t="s">
        <v>95</v>
      </c>
      <c r="F3489">
        <v>1192</v>
      </c>
      <c r="G3489" s="4">
        <v>46087.599236111113</v>
      </c>
    </row>
    <row r="3490" spans="1:7" x14ac:dyDescent="0.3">
      <c r="A3490">
        <v>7068</v>
      </c>
      <c r="B3490" t="s">
        <v>147</v>
      </c>
      <c r="C3490">
        <v>51025881</v>
      </c>
      <c r="D3490">
        <v>11.2</v>
      </c>
      <c r="E3490" t="s">
        <v>95</v>
      </c>
      <c r="F3490">
        <v>1142</v>
      </c>
      <c r="G3490" s="4">
        <v>46087.599236111113</v>
      </c>
    </row>
    <row r="3491" spans="1:7" x14ac:dyDescent="0.3">
      <c r="A3491">
        <v>7069</v>
      </c>
      <c r="B3491" t="s">
        <v>147</v>
      </c>
      <c r="C3491">
        <v>51028856</v>
      </c>
      <c r="D3491">
        <v>19.700000000000003</v>
      </c>
      <c r="E3491" t="s">
        <v>95</v>
      </c>
      <c r="F3491">
        <v>983</v>
      </c>
      <c r="G3491" s="4">
        <v>46087.599236111113</v>
      </c>
    </row>
    <row r="3492" spans="1:7" x14ac:dyDescent="0.3">
      <c r="A3492">
        <v>7070</v>
      </c>
      <c r="B3492" t="s">
        <v>147</v>
      </c>
      <c r="C3492">
        <v>51030087</v>
      </c>
      <c r="D3492">
        <v>16.7</v>
      </c>
      <c r="E3492" t="s">
        <v>95</v>
      </c>
      <c r="F3492">
        <v>1056</v>
      </c>
      <c r="G3492" s="4">
        <v>46087.599236111113</v>
      </c>
    </row>
    <row r="3493" spans="1:7" x14ac:dyDescent="0.3">
      <c r="A3493">
        <v>7071</v>
      </c>
      <c r="B3493" t="s">
        <v>147</v>
      </c>
      <c r="C3493">
        <v>51030206</v>
      </c>
      <c r="D3493">
        <v>14.503499999999999</v>
      </c>
      <c r="E3493" t="s">
        <v>95</v>
      </c>
      <c r="F3493">
        <v>1082</v>
      </c>
      <c r="G3493" s="4">
        <v>46087.599236111113</v>
      </c>
    </row>
    <row r="3494" spans="1:7" x14ac:dyDescent="0.3">
      <c r="A3494">
        <v>7072</v>
      </c>
      <c r="B3494" t="s">
        <v>147</v>
      </c>
      <c r="C3494">
        <v>51030630</v>
      </c>
      <c r="D3494">
        <v>13.16</v>
      </c>
      <c r="E3494" t="s">
        <v>95</v>
      </c>
      <c r="F3494">
        <v>1108</v>
      </c>
      <c r="G3494" s="4">
        <v>46087.599236111113</v>
      </c>
    </row>
    <row r="3495" spans="1:7" x14ac:dyDescent="0.3">
      <c r="A3495">
        <v>7073</v>
      </c>
      <c r="B3495" t="s">
        <v>147</v>
      </c>
      <c r="C3495">
        <v>51030745</v>
      </c>
      <c r="D3495">
        <v>19.5</v>
      </c>
      <c r="E3495" t="s">
        <v>95</v>
      </c>
      <c r="F3495">
        <v>987</v>
      </c>
      <c r="G3495" s="4">
        <v>46087.599236111113</v>
      </c>
    </row>
    <row r="3496" spans="1:7" x14ac:dyDescent="0.3">
      <c r="A3496">
        <v>7074</v>
      </c>
      <c r="B3496" t="s">
        <v>147</v>
      </c>
      <c r="C3496">
        <v>51030796</v>
      </c>
      <c r="D3496">
        <v>13.1</v>
      </c>
      <c r="E3496" t="s">
        <v>95</v>
      </c>
      <c r="F3496">
        <v>1109</v>
      </c>
      <c r="G3496" s="4">
        <v>46087.599236111113</v>
      </c>
    </row>
    <row r="3497" spans="1:7" x14ac:dyDescent="0.3">
      <c r="A3497">
        <v>7075</v>
      </c>
      <c r="B3497" t="s">
        <v>147</v>
      </c>
      <c r="C3497">
        <v>51030966</v>
      </c>
      <c r="D3497">
        <v>16.610000000000003</v>
      </c>
      <c r="E3497" t="s">
        <v>95</v>
      </c>
      <c r="F3497">
        <v>1057</v>
      </c>
      <c r="G3497" s="4">
        <v>46087.599236111113</v>
      </c>
    </row>
    <row r="3498" spans="1:7" x14ac:dyDescent="0.3">
      <c r="A3498">
        <v>7076</v>
      </c>
      <c r="B3498" t="s">
        <v>147</v>
      </c>
      <c r="C3498">
        <v>51031067</v>
      </c>
      <c r="D3498">
        <v>10.639999999999999</v>
      </c>
      <c r="E3498" t="s">
        <v>95</v>
      </c>
      <c r="F3498">
        <v>1154</v>
      </c>
      <c r="G3498" s="4">
        <v>46087.599236111113</v>
      </c>
    </row>
    <row r="3499" spans="1:7" x14ac:dyDescent="0.3">
      <c r="A3499">
        <v>7077</v>
      </c>
      <c r="B3499" t="s">
        <v>147</v>
      </c>
      <c r="C3499">
        <v>51031091</v>
      </c>
      <c r="D3499">
        <v>16.2</v>
      </c>
      <c r="E3499" t="s">
        <v>95</v>
      </c>
      <c r="F3499">
        <v>1063</v>
      </c>
      <c r="G3499" s="4">
        <v>46087.599236111113</v>
      </c>
    </row>
    <row r="3500" spans="1:7" x14ac:dyDescent="0.3">
      <c r="A3500">
        <v>7078</v>
      </c>
      <c r="B3500" t="s">
        <v>147</v>
      </c>
      <c r="C3500">
        <v>51031156</v>
      </c>
      <c r="D3500">
        <v>12.1</v>
      </c>
      <c r="E3500" t="s">
        <v>95</v>
      </c>
      <c r="F3500">
        <v>1132</v>
      </c>
      <c r="G3500" s="4">
        <v>46087.599236111113</v>
      </c>
    </row>
    <row r="3501" spans="1:7" x14ac:dyDescent="0.3">
      <c r="A3501">
        <v>7079</v>
      </c>
      <c r="B3501" t="s">
        <v>147</v>
      </c>
      <c r="C3501">
        <v>51031423</v>
      </c>
      <c r="D3501">
        <v>8.3999999999999986</v>
      </c>
      <c r="E3501" t="s">
        <v>95</v>
      </c>
      <c r="F3501">
        <v>1180</v>
      </c>
      <c r="G3501" s="4">
        <v>46087.599236111113</v>
      </c>
    </row>
    <row r="3502" spans="1:7" x14ac:dyDescent="0.3">
      <c r="A3502">
        <v>7080</v>
      </c>
      <c r="B3502" t="s">
        <v>147</v>
      </c>
      <c r="C3502">
        <v>51031555</v>
      </c>
      <c r="D3502">
        <v>13.3</v>
      </c>
      <c r="E3502" t="s">
        <v>95</v>
      </c>
      <c r="F3502">
        <v>1103</v>
      </c>
      <c r="G3502" s="4">
        <v>46087.599236111113</v>
      </c>
    </row>
    <row r="3503" spans="1:7" x14ac:dyDescent="0.3">
      <c r="A3503">
        <v>7081</v>
      </c>
      <c r="B3503" t="s">
        <v>147</v>
      </c>
      <c r="C3503">
        <v>51032021</v>
      </c>
      <c r="D3503">
        <v>9.17</v>
      </c>
      <c r="E3503" t="s">
        <v>95</v>
      </c>
      <c r="F3503">
        <v>1175</v>
      </c>
      <c r="G3503" s="4">
        <v>46087.599236111113</v>
      </c>
    </row>
    <row r="3504" spans="1:7" x14ac:dyDescent="0.3">
      <c r="A3504">
        <v>7082</v>
      </c>
      <c r="B3504" t="s">
        <v>147</v>
      </c>
      <c r="C3504">
        <v>51032055</v>
      </c>
      <c r="D3504">
        <v>17.05</v>
      </c>
      <c r="E3504" t="s">
        <v>95</v>
      </c>
      <c r="F3504">
        <v>1050</v>
      </c>
      <c r="G3504" s="4">
        <v>46087.599236111113</v>
      </c>
    </row>
    <row r="3505" spans="1:7" x14ac:dyDescent="0.3">
      <c r="A3505">
        <v>7083</v>
      </c>
      <c r="B3505" t="s">
        <v>147</v>
      </c>
      <c r="C3505">
        <v>51032144</v>
      </c>
      <c r="D3505">
        <v>17.384999999999998</v>
      </c>
      <c r="E3505" t="s">
        <v>95</v>
      </c>
      <c r="F3505">
        <v>1043</v>
      </c>
      <c r="G3505" s="4">
        <v>46087.599236111113</v>
      </c>
    </row>
    <row r="3506" spans="1:7" x14ac:dyDescent="0.3">
      <c r="A3506">
        <v>7084</v>
      </c>
      <c r="B3506" t="s">
        <v>147</v>
      </c>
      <c r="C3506">
        <v>51032209</v>
      </c>
      <c r="D3506">
        <v>18.100000000000001</v>
      </c>
      <c r="E3506" t="s">
        <v>95</v>
      </c>
      <c r="F3506">
        <v>1026</v>
      </c>
      <c r="G3506" s="4">
        <v>46087.599236111113</v>
      </c>
    </row>
    <row r="3507" spans="1:7" x14ac:dyDescent="0.3">
      <c r="A3507">
        <v>7085</v>
      </c>
      <c r="B3507" t="s">
        <v>147</v>
      </c>
      <c r="C3507">
        <v>51032217</v>
      </c>
      <c r="D3507">
        <v>13.750000000000002</v>
      </c>
      <c r="E3507" t="s">
        <v>95</v>
      </c>
      <c r="F3507">
        <v>1093</v>
      </c>
      <c r="G3507" s="4">
        <v>46087.599236111113</v>
      </c>
    </row>
    <row r="3508" spans="1:7" x14ac:dyDescent="0.3">
      <c r="A3508">
        <v>7086</v>
      </c>
      <c r="B3508" t="s">
        <v>147</v>
      </c>
      <c r="C3508">
        <v>51032497</v>
      </c>
      <c r="D3508">
        <v>14.984999999999999</v>
      </c>
      <c r="E3508" t="s">
        <v>95</v>
      </c>
      <c r="F3508">
        <v>1080</v>
      </c>
      <c r="G3508" s="4">
        <v>46087.599236111113</v>
      </c>
    </row>
    <row r="3509" spans="1:7" x14ac:dyDescent="0.3">
      <c r="A3509">
        <v>7087</v>
      </c>
      <c r="B3509" t="s">
        <v>147</v>
      </c>
      <c r="C3509">
        <v>51033019</v>
      </c>
      <c r="D3509">
        <v>19.910000000000004</v>
      </c>
      <c r="E3509" t="s">
        <v>95</v>
      </c>
      <c r="F3509">
        <v>977</v>
      </c>
      <c r="G3509" s="4">
        <v>46087.599236111113</v>
      </c>
    </row>
    <row r="3510" spans="1:7" x14ac:dyDescent="0.3">
      <c r="A3510">
        <v>7088</v>
      </c>
      <c r="B3510" t="s">
        <v>147</v>
      </c>
      <c r="C3510">
        <v>51033647</v>
      </c>
      <c r="D3510">
        <v>16</v>
      </c>
      <c r="E3510" t="s">
        <v>95</v>
      </c>
      <c r="F3510">
        <v>1066</v>
      </c>
      <c r="G3510" s="4">
        <v>46087.599236111113</v>
      </c>
    </row>
    <row r="3511" spans="1:7" x14ac:dyDescent="0.3">
      <c r="A3511">
        <v>7089</v>
      </c>
      <c r="B3511" t="s">
        <v>147</v>
      </c>
      <c r="C3511">
        <v>51034261</v>
      </c>
      <c r="D3511">
        <v>18.052699999999998</v>
      </c>
      <c r="E3511" t="s">
        <v>95</v>
      </c>
      <c r="F3511">
        <v>1029</v>
      </c>
      <c r="G3511" s="4">
        <v>46087.599236111113</v>
      </c>
    </row>
    <row r="3512" spans="1:7" x14ac:dyDescent="0.3">
      <c r="A3512">
        <v>7090</v>
      </c>
      <c r="B3512" t="s">
        <v>147</v>
      </c>
      <c r="C3512">
        <v>51034392</v>
      </c>
      <c r="D3512">
        <v>10.43</v>
      </c>
      <c r="E3512" t="s">
        <v>95</v>
      </c>
      <c r="F3512">
        <v>1161</v>
      </c>
      <c r="G3512" s="4">
        <v>46087.599236111113</v>
      </c>
    </row>
    <row r="3513" spans="1:7" x14ac:dyDescent="0.3">
      <c r="A3513">
        <v>7091</v>
      </c>
      <c r="B3513" t="s">
        <v>147</v>
      </c>
      <c r="C3513">
        <v>51036093</v>
      </c>
      <c r="D3513">
        <v>11.8</v>
      </c>
      <c r="E3513" t="s">
        <v>95</v>
      </c>
      <c r="F3513">
        <v>1135</v>
      </c>
      <c r="G3513" s="4">
        <v>46087.599236111113</v>
      </c>
    </row>
    <row r="3514" spans="1:7" x14ac:dyDescent="0.3">
      <c r="A3514">
        <v>7092</v>
      </c>
      <c r="B3514" t="s">
        <v>147</v>
      </c>
      <c r="C3514">
        <v>51036620</v>
      </c>
      <c r="D3514">
        <v>16.8</v>
      </c>
      <c r="E3514" t="s">
        <v>95</v>
      </c>
      <c r="F3514">
        <v>1055</v>
      </c>
      <c r="G3514" s="4">
        <v>46087.599236111113</v>
      </c>
    </row>
    <row r="3515" spans="1:7" x14ac:dyDescent="0.3">
      <c r="A3515">
        <v>7093</v>
      </c>
      <c r="B3515" t="s">
        <v>147</v>
      </c>
      <c r="C3515">
        <v>51036786</v>
      </c>
      <c r="D3515">
        <v>21.734999999999996</v>
      </c>
      <c r="E3515" t="s">
        <v>94</v>
      </c>
      <c r="F3515">
        <v>951</v>
      </c>
      <c r="G3515" s="4">
        <v>46087.599236111113</v>
      </c>
    </row>
    <row r="3516" spans="1:7" x14ac:dyDescent="0.3">
      <c r="A3516">
        <v>7094</v>
      </c>
      <c r="B3516" t="s">
        <v>147</v>
      </c>
      <c r="C3516">
        <v>51037014</v>
      </c>
      <c r="D3516">
        <v>17.100000000000001</v>
      </c>
      <c r="E3516" t="s">
        <v>95</v>
      </c>
      <c r="F3516">
        <v>1049</v>
      </c>
      <c r="G3516" s="4">
        <v>46087.599236111113</v>
      </c>
    </row>
    <row r="3517" spans="1:7" x14ac:dyDescent="0.3">
      <c r="A3517">
        <v>7095</v>
      </c>
      <c r="B3517" t="s">
        <v>147</v>
      </c>
      <c r="C3517">
        <v>51038991</v>
      </c>
      <c r="D3517">
        <v>16.198</v>
      </c>
      <c r="E3517" t="s">
        <v>95</v>
      </c>
      <c r="F3517">
        <v>1065</v>
      </c>
      <c r="G3517" s="4">
        <v>46087.599236111113</v>
      </c>
    </row>
    <row r="3518" spans="1:7" x14ac:dyDescent="0.3">
      <c r="A3518">
        <v>7096</v>
      </c>
      <c r="B3518" t="s">
        <v>147</v>
      </c>
      <c r="C3518">
        <v>51039084</v>
      </c>
      <c r="D3518">
        <v>11.819499999999998</v>
      </c>
      <c r="E3518" t="s">
        <v>95</v>
      </c>
      <c r="F3518">
        <v>1134</v>
      </c>
      <c r="G3518" s="4">
        <v>46087.599236111113</v>
      </c>
    </row>
    <row r="3519" spans="1:7" x14ac:dyDescent="0.3">
      <c r="A3519">
        <v>7097</v>
      </c>
      <c r="B3519" t="s">
        <v>147</v>
      </c>
      <c r="C3519">
        <v>51039955</v>
      </c>
      <c r="D3519">
        <v>13.370000000000001</v>
      </c>
      <c r="E3519" t="s">
        <v>95</v>
      </c>
      <c r="F3519">
        <v>1100</v>
      </c>
      <c r="G3519" s="4">
        <v>46087.599236111113</v>
      </c>
    </row>
    <row r="3520" spans="1:7" x14ac:dyDescent="0.3">
      <c r="A3520">
        <v>7098</v>
      </c>
      <c r="B3520" t="s">
        <v>147</v>
      </c>
      <c r="C3520">
        <v>51039980</v>
      </c>
      <c r="D3520">
        <v>19.14</v>
      </c>
      <c r="E3520" t="s">
        <v>95</v>
      </c>
      <c r="F3520">
        <v>998</v>
      </c>
      <c r="G3520" s="4">
        <v>46087.599236111113</v>
      </c>
    </row>
    <row r="3521" spans="1:7" x14ac:dyDescent="0.3">
      <c r="A3521">
        <v>7099</v>
      </c>
      <c r="B3521" t="s">
        <v>147</v>
      </c>
      <c r="C3521">
        <v>51040040</v>
      </c>
      <c r="D3521">
        <v>12.9</v>
      </c>
      <c r="E3521" t="s">
        <v>95</v>
      </c>
      <c r="F3521">
        <v>1114</v>
      </c>
      <c r="G3521" s="4">
        <v>46087.599236111113</v>
      </c>
    </row>
    <row r="3522" spans="1:7" x14ac:dyDescent="0.3">
      <c r="A3522">
        <v>7100</v>
      </c>
      <c r="B3522" t="s">
        <v>147</v>
      </c>
      <c r="C3522">
        <v>51040309</v>
      </c>
      <c r="D3522">
        <v>12.3445</v>
      </c>
      <c r="E3522" t="s">
        <v>95</v>
      </c>
      <c r="F3522">
        <v>1129</v>
      </c>
      <c r="G3522" s="4">
        <v>46087.599236111113</v>
      </c>
    </row>
    <row r="3523" spans="1:7" x14ac:dyDescent="0.3">
      <c r="A3523">
        <v>7101</v>
      </c>
      <c r="B3523" t="s">
        <v>147</v>
      </c>
      <c r="C3523">
        <v>51040856</v>
      </c>
      <c r="D3523">
        <v>12.304999999999998</v>
      </c>
      <c r="E3523" t="s">
        <v>95</v>
      </c>
      <c r="F3523">
        <v>1130</v>
      </c>
      <c r="G3523" s="4">
        <v>46087.599236111113</v>
      </c>
    </row>
    <row r="3524" spans="1:7" x14ac:dyDescent="0.3">
      <c r="A3524">
        <v>7102</v>
      </c>
      <c r="B3524" t="s">
        <v>147</v>
      </c>
      <c r="C3524">
        <v>51040970</v>
      </c>
      <c r="D3524">
        <v>13.090000000000002</v>
      </c>
      <c r="E3524" t="s">
        <v>95</v>
      </c>
      <c r="F3524">
        <v>1111</v>
      </c>
      <c r="G3524" s="4">
        <v>46087.599236111113</v>
      </c>
    </row>
    <row r="3525" spans="1:7" x14ac:dyDescent="0.3">
      <c r="A3525">
        <v>7103</v>
      </c>
      <c r="B3525" t="s">
        <v>147</v>
      </c>
      <c r="C3525">
        <v>51041178</v>
      </c>
      <c r="D3525">
        <v>8.19</v>
      </c>
      <c r="E3525" t="s">
        <v>95</v>
      </c>
      <c r="F3525">
        <v>1185</v>
      </c>
      <c r="G3525" s="4">
        <v>46087.599236111113</v>
      </c>
    </row>
    <row r="3526" spans="1:7" x14ac:dyDescent="0.3">
      <c r="A3526">
        <v>7104</v>
      </c>
      <c r="B3526" t="s">
        <v>147</v>
      </c>
      <c r="C3526">
        <v>51041321</v>
      </c>
      <c r="D3526">
        <v>15.2</v>
      </c>
      <c r="E3526" t="s">
        <v>95</v>
      </c>
      <c r="F3526">
        <v>1077</v>
      </c>
      <c r="G3526" s="4">
        <v>46087.599236111113</v>
      </c>
    </row>
    <row r="3527" spans="1:7" x14ac:dyDescent="0.3">
      <c r="A3527">
        <v>7105</v>
      </c>
      <c r="B3527" t="s">
        <v>147</v>
      </c>
      <c r="C3527">
        <v>51041836</v>
      </c>
      <c r="D3527">
        <v>17.160000000000004</v>
      </c>
      <c r="E3527" t="s">
        <v>95</v>
      </c>
      <c r="F3527">
        <v>1047</v>
      </c>
      <c r="G3527" s="4">
        <v>46087.599236111113</v>
      </c>
    </row>
    <row r="3528" spans="1:7" x14ac:dyDescent="0.3">
      <c r="A3528">
        <v>7106</v>
      </c>
      <c r="B3528" t="s">
        <v>147</v>
      </c>
      <c r="C3528">
        <v>51041925</v>
      </c>
      <c r="D3528">
        <v>18.685000000000002</v>
      </c>
      <c r="E3528" t="s">
        <v>95</v>
      </c>
      <c r="F3528">
        <v>1013</v>
      </c>
      <c r="G3528" s="4">
        <v>46087.599236111113</v>
      </c>
    </row>
    <row r="3529" spans="1:7" x14ac:dyDescent="0.3">
      <c r="A3529">
        <v>7107</v>
      </c>
      <c r="B3529" t="s">
        <v>147</v>
      </c>
      <c r="C3529">
        <v>51042166</v>
      </c>
      <c r="D3529">
        <v>18.899999999999999</v>
      </c>
      <c r="E3529" t="s">
        <v>95</v>
      </c>
      <c r="F3529">
        <v>1003</v>
      </c>
      <c r="G3529" s="4">
        <v>46087.599236111113</v>
      </c>
    </row>
    <row r="3530" spans="1:7" x14ac:dyDescent="0.3">
      <c r="A3530">
        <v>7108</v>
      </c>
      <c r="B3530" t="s">
        <v>147</v>
      </c>
      <c r="C3530">
        <v>51042352</v>
      </c>
      <c r="D3530">
        <v>18.198</v>
      </c>
      <c r="E3530" t="s">
        <v>95</v>
      </c>
      <c r="F3530">
        <v>1024</v>
      </c>
      <c r="G3530" s="4">
        <v>46087.599236111113</v>
      </c>
    </row>
    <row r="3531" spans="1:7" x14ac:dyDescent="0.3">
      <c r="A3531">
        <v>7109</v>
      </c>
      <c r="B3531" t="s">
        <v>147</v>
      </c>
      <c r="C3531">
        <v>51042492</v>
      </c>
      <c r="D3531">
        <v>19.200000000000003</v>
      </c>
      <c r="E3531" t="s">
        <v>95</v>
      </c>
      <c r="F3531">
        <v>996</v>
      </c>
      <c r="G3531" s="4">
        <v>46087.599236111113</v>
      </c>
    </row>
    <row r="3532" spans="1:7" x14ac:dyDescent="0.3">
      <c r="A3532">
        <v>7110</v>
      </c>
      <c r="B3532" t="s">
        <v>147</v>
      </c>
      <c r="C3532">
        <v>51042557</v>
      </c>
      <c r="D3532">
        <v>13.3</v>
      </c>
      <c r="E3532" t="s">
        <v>95</v>
      </c>
      <c r="F3532">
        <v>1103</v>
      </c>
      <c r="G3532" s="4">
        <v>46087.599236111113</v>
      </c>
    </row>
    <row r="3533" spans="1:7" x14ac:dyDescent="0.3">
      <c r="A3533">
        <v>7111</v>
      </c>
      <c r="B3533" t="s">
        <v>147</v>
      </c>
      <c r="C3533">
        <v>51042697</v>
      </c>
      <c r="D3533">
        <v>10.01</v>
      </c>
      <c r="E3533" t="s">
        <v>95</v>
      </c>
      <c r="F3533">
        <v>1169</v>
      </c>
      <c r="G3533" s="4">
        <v>46087.599236111113</v>
      </c>
    </row>
    <row r="3534" spans="1:7" x14ac:dyDescent="0.3">
      <c r="A3534">
        <v>7112</v>
      </c>
      <c r="B3534" t="s">
        <v>147</v>
      </c>
      <c r="C3534">
        <v>51042701</v>
      </c>
      <c r="D3534">
        <v>19.100000000000001</v>
      </c>
      <c r="E3534" t="s">
        <v>95</v>
      </c>
      <c r="F3534">
        <v>1000</v>
      </c>
      <c r="G3534" s="4">
        <v>46087.599236111113</v>
      </c>
    </row>
    <row r="3535" spans="1:7" x14ac:dyDescent="0.3">
      <c r="A3535">
        <v>7113</v>
      </c>
      <c r="B3535" t="s">
        <v>147</v>
      </c>
      <c r="C3535">
        <v>51042794</v>
      </c>
      <c r="D3535">
        <v>10.3</v>
      </c>
      <c r="E3535" t="s">
        <v>95</v>
      </c>
      <c r="F3535">
        <v>1164</v>
      </c>
      <c r="G3535" s="4">
        <v>46087.599236111113</v>
      </c>
    </row>
    <row r="3536" spans="1:7" x14ac:dyDescent="0.3">
      <c r="A3536">
        <v>7114</v>
      </c>
      <c r="B3536" t="s">
        <v>147</v>
      </c>
      <c r="C3536">
        <v>51042867</v>
      </c>
      <c r="D3536">
        <v>18.399999999999999</v>
      </c>
      <c r="E3536" t="s">
        <v>95</v>
      </c>
      <c r="F3536">
        <v>1021</v>
      </c>
      <c r="G3536" s="4">
        <v>46087.599236111113</v>
      </c>
    </row>
    <row r="3537" spans="1:7" x14ac:dyDescent="0.3">
      <c r="A3537">
        <v>7115</v>
      </c>
      <c r="B3537" t="s">
        <v>147</v>
      </c>
      <c r="C3537">
        <v>51042883</v>
      </c>
      <c r="D3537">
        <v>18.859999999999996</v>
      </c>
      <c r="E3537" t="s">
        <v>95</v>
      </c>
      <c r="F3537">
        <v>1007</v>
      </c>
      <c r="G3537" s="4">
        <v>46087.599236111113</v>
      </c>
    </row>
    <row r="3538" spans="1:7" x14ac:dyDescent="0.3">
      <c r="A3538">
        <v>7116</v>
      </c>
      <c r="B3538" t="s">
        <v>147</v>
      </c>
      <c r="C3538">
        <v>51043286</v>
      </c>
      <c r="D3538">
        <v>7.77</v>
      </c>
      <c r="E3538" t="s">
        <v>95</v>
      </c>
      <c r="F3538">
        <v>1190</v>
      </c>
      <c r="G3538" s="4">
        <v>46087.599236111113</v>
      </c>
    </row>
    <row r="3539" spans="1:7" x14ac:dyDescent="0.3">
      <c r="A3539">
        <v>7117</v>
      </c>
      <c r="B3539" t="s">
        <v>147</v>
      </c>
      <c r="C3539">
        <v>51043430</v>
      </c>
      <c r="D3539">
        <v>9.5690000000000008</v>
      </c>
      <c r="E3539" t="s">
        <v>95</v>
      </c>
      <c r="F3539">
        <v>1173</v>
      </c>
      <c r="G3539" s="4">
        <v>46087.599236111113</v>
      </c>
    </row>
    <row r="3540" spans="1:7" x14ac:dyDescent="0.3">
      <c r="A3540">
        <v>7118</v>
      </c>
      <c r="B3540" t="s">
        <v>147</v>
      </c>
      <c r="C3540">
        <v>51043481</v>
      </c>
      <c r="D3540">
        <v>19.498000000000001</v>
      </c>
      <c r="E3540" t="s">
        <v>95</v>
      </c>
      <c r="F3540">
        <v>988</v>
      </c>
      <c r="G3540" s="4">
        <v>46087.599236111113</v>
      </c>
    </row>
    <row r="3541" spans="1:7" x14ac:dyDescent="0.3">
      <c r="A3541">
        <v>7119</v>
      </c>
      <c r="B3541" t="s">
        <v>147</v>
      </c>
      <c r="C3541">
        <v>51043685</v>
      </c>
      <c r="D3541">
        <v>16.600000000000001</v>
      </c>
      <c r="E3541" t="s">
        <v>95</v>
      </c>
      <c r="F3541">
        <v>1059</v>
      </c>
      <c r="G3541" s="4">
        <v>46087.599236111113</v>
      </c>
    </row>
    <row r="3542" spans="1:7" x14ac:dyDescent="0.3">
      <c r="A3542">
        <v>7120</v>
      </c>
      <c r="B3542" t="s">
        <v>147</v>
      </c>
      <c r="C3542">
        <v>51044185</v>
      </c>
      <c r="D3542">
        <v>15.600000000000001</v>
      </c>
      <c r="E3542" t="s">
        <v>95</v>
      </c>
      <c r="F3542">
        <v>1073</v>
      </c>
      <c r="G3542" s="4">
        <v>46087.599236111113</v>
      </c>
    </row>
    <row r="3543" spans="1:7" x14ac:dyDescent="0.3">
      <c r="A3543">
        <v>7121</v>
      </c>
      <c r="B3543" t="s">
        <v>147</v>
      </c>
      <c r="C3543">
        <v>51054474</v>
      </c>
      <c r="D3543">
        <v>16.3</v>
      </c>
      <c r="E3543" t="s">
        <v>95</v>
      </c>
      <c r="F3543">
        <v>1062</v>
      </c>
      <c r="G3543" s="4">
        <v>46087.599236111113</v>
      </c>
    </row>
    <row r="3544" spans="1:7" x14ac:dyDescent="0.3">
      <c r="A3544">
        <v>7122</v>
      </c>
      <c r="B3544" t="s">
        <v>147</v>
      </c>
      <c r="C3544">
        <v>51054890</v>
      </c>
      <c r="D3544">
        <v>11.4</v>
      </c>
      <c r="E3544" t="s">
        <v>95</v>
      </c>
      <c r="F3544">
        <v>1138</v>
      </c>
      <c r="G3544" s="4">
        <v>46087.599236111113</v>
      </c>
    </row>
    <row r="3545" spans="1:7" x14ac:dyDescent="0.3">
      <c r="A3545">
        <v>7123</v>
      </c>
      <c r="B3545" t="s">
        <v>147</v>
      </c>
      <c r="C3545">
        <v>51054971</v>
      </c>
      <c r="D3545">
        <v>13.370000000000001</v>
      </c>
      <c r="E3545" t="s">
        <v>95</v>
      </c>
      <c r="F3545">
        <v>1100</v>
      </c>
      <c r="G3545" s="4">
        <v>46087.599236111113</v>
      </c>
    </row>
    <row r="3546" spans="1:7" x14ac:dyDescent="0.3">
      <c r="A3546">
        <v>7124</v>
      </c>
      <c r="B3546" t="s">
        <v>147</v>
      </c>
      <c r="C3546">
        <v>51055021</v>
      </c>
      <c r="D3546">
        <v>8.33</v>
      </c>
      <c r="E3546" t="s">
        <v>95</v>
      </c>
      <c r="F3546">
        <v>1182</v>
      </c>
      <c r="G3546" s="4">
        <v>46087.599236111113</v>
      </c>
    </row>
    <row r="3547" spans="1:7" x14ac:dyDescent="0.3">
      <c r="A3547">
        <v>7125</v>
      </c>
      <c r="B3547" t="s">
        <v>147</v>
      </c>
      <c r="C3547">
        <v>51055110</v>
      </c>
      <c r="D3547">
        <v>16.610000000000003</v>
      </c>
      <c r="E3547" t="s">
        <v>95</v>
      </c>
      <c r="F3547">
        <v>1057</v>
      </c>
      <c r="G3547" s="4">
        <v>46087.599236111113</v>
      </c>
    </row>
    <row r="3548" spans="1:7" x14ac:dyDescent="0.3">
      <c r="A3548">
        <v>7126</v>
      </c>
      <c r="B3548" t="s">
        <v>147</v>
      </c>
      <c r="C3548">
        <v>51055179</v>
      </c>
      <c r="D3548">
        <v>15.998000000000001</v>
      </c>
      <c r="E3548" t="s">
        <v>95</v>
      </c>
      <c r="F3548">
        <v>1067</v>
      </c>
      <c r="G3548" s="4">
        <v>46087.599236111113</v>
      </c>
    </row>
    <row r="3549" spans="1:7" x14ac:dyDescent="0.3">
      <c r="A3549">
        <v>7127</v>
      </c>
      <c r="B3549" t="s">
        <v>147</v>
      </c>
      <c r="C3549">
        <v>51055187</v>
      </c>
      <c r="D3549">
        <v>11.6</v>
      </c>
      <c r="E3549" t="s">
        <v>95</v>
      </c>
      <c r="F3549">
        <v>1136</v>
      </c>
      <c r="G3549" s="4">
        <v>46087.599236111113</v>
      </c>
    </row>
    <row r="3550" spans="1:7" x14ac:dyDescent="0.3">
      <c r="A3550">
        <v>7128</v>
      </c>
      <c r="B3550" t="s">
        <v>147</v>
      </c>
      <c r="C3550">
        <v>51055195</v>
      </c>
      <c r="D3550">
        <v>13.799999999999999</v>
      </c>
      <c r="E3550" t="s">
        <v>95</v>
      </c>
      <c r="F3550">
        <v>1091</v>
      </c>
      <c r="G3550" s="4">
        <v>46087.599236111113</v>
      </c>
    </row>
    <row r="3551" spans="1:7" x14ac:dyDescent="0.3">
      <c r="A3551">
        <v>7129</v>
      </c>
      <c r="B3551" t="s">
        <v>147</v>
      </c>
      <c r="C3551">
        <v>51055233</v>
      </c>
      <c r="D3551">
        <v>19.200000000000003</v>
      </c>
      <c r="E3551" t="s">
        <v>95</v>
      </c>
      <c r="F3551">
        <v>996</v>
      </c>
      <c r="G3551" s="4">
        <v>46087.599236111113</v>
      </c>
    </row>
    <row r="3552" spans="1:7" x14ac:dyDescent="0.3">
      <c r="A3552">
        <v>7130</v>
      </c>
      <c r="B3552" t="s">
        <v>147</v>
      </c>
      <c r="C3552">
        <v>51055314</v>
      </c>
      <c r="D3552">
        <v>11.9</v>
      </c>
      <c r="E3552" t="s">
        <v>95</v>
      </c>
      <c r="F3552">
        <v>1133</v>
      </c>
      <c r="G3552" s="4">
        <v>46087.599236111113</v>
      </c>
    </row>
    <row r="3553" spans="1:7" x14ac:dyDescent="0.3">
      <c r="A3553">
        <v>7131</v>
      </c>
      <c r="B3553" t="s">
        <v>147</v>
      </c>
      <c r="C3553">
        <v>51055349</v>
      </c>
      <c r="D3553">
        <v>9.7999999999999989</v>
      </c>
      <c r="E3553" t="s">
        <v>95</v>
      </c>
      <c r="F3553">
        <v>1171</v>
      </c>
      <c r="G3553" s="4">
        <v>46087.599236111113</v>
      </c>
    </row>
    <row r="3554" spans="1:7" x14ac:dyDescent="0.3">
      <c r="A3554">
        <v>7132</v>
      </c>
      <c r="B3554" t="s">
        <v>147</v>
      </c>
      <c r="C3554">
        <v>51055381</v>
      </c>
      <c r="D3554">
        <v>12.9</v>
      </c>
      <c r="E3554" t="s">
        <v>95</v>
      </c>
      <c r="F3554">
        <v>1114</v>
      </c>
      <c r="G3554" s="4">
        <v>46087.599236111113</v>
      </c>
    </row>
    <row r="3555" spans="1:7" x14ac:dyDescent="0.3">
      <c r="A3555">
        <v>7133</v>
      </c>
      <c r="B3555" t="s">
        <v>147</v>
      </c>
      <c r="C3555">
        <v>51055403</v>
      </c>
      <c r="D3555">
        <v>14.5</v>
      </c>
      <c r="E3555" t="s">
        <v>95</v>
      </c>
      <c r="F3555">
        <v>1083</v>
      </c>
      <c r="G3555" s="4">
        <v>46087.599236111113</v>
      </c>
    </row>
    <row r="3556" spans="1:7" x14ac:dyDescent="0.3">
      <c r="A3556">
        <v>7134</v>
      </c>
      <c r="B3556" t="s">
        <v>147</v>
      </c>
      <c r="C3556">
        <v>51055420</v>
      </c>
      <c r="D3556">
        <v>18.700000000000003</v>
      </c>
      <c r="E3556" t="s">
        <v>95</v>
      </c>
      <c r="F3556">
        <v>1012</v>
      </c>
      <c r="G3556" s="4">
        <v>46087.599236111113</v>
      </c>
    </row>
    <row r="3557" spans="1:7" x14ac:dyDescent="0.3">
      <c r="A3557">
        <v>7135</v>
      </c>
      <c r="B3557" t="s">
        <v>147</v>
      </c>
      <c r="C3557">
        <v>51055438</v>
      </c>
      <c r="D3557">
        <v>13.3</v>
      </c>
      <c r="E3557" t="s">
        <v>95</v>
      </c>
      <c r="F3557">
        <v>1103</v>
      </c>
      <c r="G3557" s="4">
        <v>46087.599236111113</v>
      </c>
    </row>
    <row r="3558" spans="1:7" x14ac:dyDescent="0.3">
      <c r="A3558">
        <v>7136</v>
      </c>
      <c r="B3558" t="s">
        <v>147</v>
      </c>
      <c r="C3558">
        <v>51055446</v>
      </c>
      <c r="D3558">
        <v>12.81</v>
      </c>
      <c r="E3558" t="s">
        <v>95</v>
      </c>
      <c r="F3558">
        <v>1117</v>
      </c>
      <c r="G3558" s="4">
        <v>46087.599236111113</v>
      </c>
    </row>
    <row r="3559" spans="1:7" x14ac:dyDescent="0.3">
      <c r="A3559">
        <v>7137</v>
      </c>
      <c r="B3559" t="s">
        <v>147</v>
      </c>
      <c r="C3559">
        <v>51055471</v>
      </c>
      <c r="D3559">
        <v>13.2</v>
      </c>
      <c r="E3559" t="s">
        <v>95</v>
      </c>
      <c r="F3559">
        <v>1107</v>
      </c>
      <c r="G3559" s="4">
        <v>46087.599236111113</v>
      </c>
    </row>
    <row r="3560" spans="1:7" x14ac:dyDescent="0.3">
      <c r="A3560">
        <v>7138</v>
      </c>
      <c r="B3560" t="s">
        <v>147</v>
      </c>
      <c r="C3560">
        <v>51055608</v>
      </c>
      <c r="D3560">
        <v>10.89</v>
      </c>
      <c r="E3560" t="s">
        <v>95</v>
      </c>
      <c r="F3560">
        <v>1148</v>
      </c>
      <c r="G3560" s="4">
        <v>46087.599236111113</v>
      </c>
    </row>
    <row r="3561" spans="1:7" x14ac:dyDescent="0.3">
      <c r="A3561">
        <v>7139</v>
      </c>
      <c r="B3561" t="s">
        <v>147</v>
      </c>
      <c r="C3561">
        <v>51055683</v>
      </c>
      <c r="D3561">
        <v>17.3</v>
      </c>
      <c r="E3561" t="s">
        <v>95</v>
      </c>
      <c r="F3561">
        <v>1044</v>
      </c>
      <c r="G3561" s="4">
        <v>46087.599236111113</v>
      </c>
    </row>
    <row r="3562" spans="1:7" x14ac:dyDescent="0.3">
      <c r="A3562">
        <v>7140</v>
      </c>
      <c r="B3562" t="s">
        <v>147</v>
      </c>
      <c r="C3562">
        <v>51055713</v>
      </c>
      <c r="D3562">
        <v>17.3</v>
      </c>
      <c r="E3562" t="s">
        <v>95</v>
      </c>
      <c r="F3562">
        <v>1044</v>
      </c>
      <c r="G3562" s="4">
        <v>46087.599236111113</v>
      </c>
    </row>
    <row r="3563" spans="1:7" x14ac:dyDescent="0.3">
      <c r="A3563">
        <v>7141</v>
      </c>
      <c r="B3563" t="s">
        <v>147</v>
      </c>
      <c r="C3563">
        <v>51055748</v>
      </c>
      <c r="D3563">
        <v>10.7</v>
      </c>
      <c r="E3563" t="s">
        <v>95</v>
      </c>
      <c r="F3563">
        <v>1153</v>
      </c>
      <c r="G3563" s="4">
        <v>46087.599236111113</v>
      </c>
    </row>
    <row r="3564" spans="1:7" x14ac:dyDescent="0.3">
      <c r="A3564">
        <v>7142</v>
      </c>
      <c r="B3564" t="s">
        <v>147</v>
      </c>
      <c r="C3564">
        <v>51055781</v>
      </c>
      <c r="D3564">
        <v>11.339999999999998</v>
      </c>
      <c r="E3564" t="s">
        <v>95</v>
      </c>
      <c r="F3564">
        <v>1140</v>
      </c>
      <c r="G3564" s="4">
        <v>46087.599236111113</v>
      </c>
    </row>
    <row r="3565" spans="1:7" x14ac:dyDescent="0.3">
      <c r="A3565">
        <v>7143</v>
      </c>
      <c r="B3565" t="s">
        <v>147</v>
      </c>
      <c r="C3565">
        <v>51055900</v>
      </c>
      <c r="D3565">
        <v>12.67</v>
      </c>
      <c r="E3565" t="s">
        <v>95</v>
      </c>
      <c r="F3565">
        <v>1122</v>
      </c>
      <c r="G3565" s="4">
        <v>46087.599236111113</v>
      </c>
    </row>
    <row r="3566" spans="1:7" x14ac:dyDescent="0.3">
      <c r="A3566">
        <v>7144</v>
      </c>
      <c r="B3566" t="s">
        <v>147</v>
      </c>
      <c r="C3566">
        <v>51055934</v>
      </c>
      <c r="D3566">
        <v>10.6</v>
      </c>
      <c r="E3566" t="s">
        <v>95</v>
      </c>
      <c r="F3566">
        <v>1156</v>
      </c>
      <c r="G3566" s="4">
        <v>46087.599236111113</v>
      </c>
    </row>
    <row r="3567" spans="1:7" x14ac:dyDescent="0.3">
      <c r="A3567">
        <v>7145</v>
      </c>
      <c r="B3567" t="s">
        <v>147</v>
      </c>
      <c r="C3567">
        <v>51055969</v>
      </c>
      <c r="D3567">
        <v>13.339999999999998</v>
      </c>
      <c r="E3567" t="s">
        <v>95</v>
      </c>
      <c r="F3567">
        <v>1102</v>
      </c>
      <c r="G3567" s="4">
        <v>46087.599236111113</v>
      </c>
    </row>
    <row r="3568" spans="1:7" x14ac:dyDescent="0.3">
      <c r="A3568">
        <v>7146</v>
      </c>
      <c r="B3568" t="s">
        <v>147</v>
      </c>
      <c r="C3568">
        <v>51055977</v>
      </c>
      <c r="D3568">
        <v>8.0499999999999989</v>
      </c>
      <c r="E3568" t="s">
        <v>95</v>
      </c>
      <c r="F3568">
        <v>1186</v>
      </c>
      <c r="G3568" s="4">
        <v>46087.599236111113</v>
      </c>
    </row>
    <row r="3569" spans="1:7" x14ac:dyDescent="0.3">
      <c r="A3569">
        <v>7147</v>
      </c>
      <c r="B3569" t="s">
        <v>147</v>
      </c>
      <c r="C3569">
        <v>51056035</v>
      </c>
      <c r="D3569">
        <v>11</v>
      </c>
      <c r="E3569" t="s">
        <v>95</v>
      </c>
      <c r="F3569">
        <v>1144</v>
      </c>
      <c r="G3569" s="4">
        <v>46087.599236111113</v>
      </c>
    </row>
    <row r="3570" spans="1:7" x14ac:dyDescent="0.3">
      <c r="A3570">
        <v>7148</v>
      </c>
      <c r="B3570" t="s">
        <v>147</v>
      </c>
      <c r="C3570">
        <v>51056043</v>
      </c>
      <c r="D3570">
        <v>12.5076</v>
      </c>
      <c r="E3570" t="s">
        <v>95</v>
      </c>
      <c r="F3570">
        <v>1126</v>
      </c>
      <c r="G3570" s="4">
        <v>46087.599236111113</v>
      </c>
    </row>
    <row r="3571" spans="1:7" x14ac:dyDescent="0.3">
      <c r="A3571">
        <v>7149</v>
      </c>
      <c r="B3571" t="s">
        <v>147</v>
      </c>
      <c r="C3571">
        <v>51056141</v>
      </c>
      <c r="D3571">
        <v>16.86</v>
      </c>
      <c r="E3571" t="s">
        <v>95</v>
      </c>
      <c r="F3571">
        <v>1053</v>
      </c>
      <c r="G3571" s="4">
        <v>46087.599236111113</v>
      </c>
    </row>
    <row r="3572" spans="1:7" x14ac:dyDescent="0.3">
      <c r="A3572">
        <v>7150</v>
      </c>
      <c r="B3572" t="s">
        <v>147</v>
      </c>
      <c r="C3572">
        <v>51056167</v>
      </c>
      <c r="D3572">
        <v>14.3</v>
      </c>
      <c r="E3572" t="s">
        <v>95</v>
      </c>
      <c r="F3572">
        <v>1086</v>
      </c>
      <c r="G3572" s="4">
        <v>46087.599236111113</v>
      </c>
    </row>
    <row r="3573" spans="1:7" x14ac:dyDescent="0.3">
      <c r="A3573">
        <v>7151</v>
      </c>
      <c r="B3573" t="s">
        <v>147</v>
      </c>
      <c r="C3573">
        <v>51056230</v>
      </c>
      <c r="D3573">
        <v>11</v>
      </c>
      <c r="E3573" t="s">
        <v>95</v>
      </c>
      <c r="F3573">
        <v>1144</v>
      </c>
      <c r="G3573" s="4">
        <v>46087.599236111113</v>
      </c>
    </row>
    <row r="3574" spans="1:7" x14ac:dyDescent="0.3">
      <c r="A3574">
        <v>7152</v>
      </c>
      <c r="B3574" t="s">
        <v>147</v>
      </c>
      <c r="C3574">
        <v>51056256</v>
      </c>
      <c r="D3574">
        <v>13.42</v>
      </c>
      <c r="E3574" t="s">
        <v>95</v>
      </c>
      <c r="F3574">
        <v>1099</v>
      </c>
      <c r="G3574" s="4">
        <v>46087.599236111113</v>
      </c>
    </row>
    <row r="3575" spans="1:7" x14ac:dyDescent="0.3">
      <c r="A3575">
        <v>7153</v>
      </c>
      <c r="B3575" t="s">
        <v>147</v>
      </c>
      <c r="C3575">
        <v>51056370</v>
      </c>
      <c r="D3575">
        <v>10.5</v>
      </c>
      <c r="E3575" t="s">
        <v>95</v>
      </c>
      <c r="F3575">
        <v>1160</v>
      </c>
      <c r="G3575" s="4">
        <v>46087.599236111113</v>
      </c>
    </row>
    <row r="3576" spans="1:7" x14ac:dyDescent="0.3">
      <c r="A3576">
        <v>7154</v>
      </c>
      <c r="B3576" t="s">
        <v>147</v>
      </c>
      <c r="C3576">
        <v>51056680</v>
      </c>
      <c r="D3576">
        <v>2.2999999999999998</v>
      </c>
      <c r="E3576" t="s">
        <v>95</v>
      </c>
      <c r="F3576">
        <v>1193</v>
      </c>
      <c r="G3576" s="4">
        <v>46087.599236111113</v>
      </c>
    </row>
    <row r="3577" spans="1:7" x14ac:dyDescent="0.3">
      <c r="A3577">
        <v>7155</v>
      </c>
      <c r="B3577" t="s">
        <v>147</v>
      </c>
      <c r="C3577">
        <v>51056710</v>
      </c>
      <c r="D3577">
        <v>18.480000000000004</v>
      </c>
      <c r="E3577" t="s">
        <v>95</v>
      </c>
      <c r="F3577">
        <v>1020</v>
      </c>
      <c r="G3577" s="4">
        <v>46087.599236111113</v>
      </c>
    </row>
    <row r="3578" spans="1:7" x14ac:dyDescent="0.3">
      <c r="A3578">
        <v>7156</v>
      </c>
      <c r="B3578" t="s">
        <v>147</v>
      </c>
      <c r="C3578">
        <v>51056779</v>
      </c>
      <c r="D3578">
        <v>17.2</v>
      </c>
      <c r="E3578" t="s">
        <v>95</v>
      </c>
      <c r="F3578">
        <v>1046</v>
      </c>
      <c r="G3578" s="4">
        <v>46087.599236111113</v>
      </c>
    </row>
    <row r="3579" spans="1:7" x14ac:dyDescent="0.3">
      <c r="A3579">
        <v>7157</v>
      </c>
      <c r="B3579" t="s">
        <v>147</v>
      </c>
      <c r="C3579">
        <v>51056841</v>
      </c>
      <c r="D3579">
        <v>13.750000000000002</v>
      </c>
      <c r="E3579" t="s">
        <v>95</v>
      </c>
      <c r="F3579">
        <v>1093</v>
      </c>
      <c r="G3579" s="4">
        <v>46087.599236111113</v>
      </c>
    </row>
    <row r="3580" spans="1:7" x14ac:dyDescent="0.3">
      <c r="A3580">
        <v>7158</v>
      </c>
      <c r="B3580" t="s">
        <v>147</v>
      </c>
      <c r="C3580">
        <v>51056892</v>
      </c>
      <c r="D3580">
        <v>18.899999999999999</v>
      </c>
      <c r="E3580" t="s">
        <v>95</v>
      </c>
      <c r="F3580">
        <v>1003</v>
      </c>
      <c r="G3580" s="4">
        <v>46087.599236111113</v>
      </c>
    </row>
    <row r="3581" spans="1:7" x14ac:dyDescent="0.3">
      <c r="A3581">
        <v>10738</v>
      </c>
      <c r="B3581" t="s">
        <v>148</v>
      </c>
      <c r="C3581">
        <v>51015525</v>
      </c>
      <c r="D3581">
        <v>60.003597842036974</v>
      </c>
      <c r="E3581" t="s">
        <v>94</v>
      </c>
      <c r="F3581">
        <v>668</v>
      </c>
      <c r="G3581" s="4">
        <v>46087.602233796293</v>
      </c>
    </row>
    <row r="3582" spans="1:7" x14ac:dyDescent="0.3">
      <c r="A3582">
        <v>10739</v>
      </c>
      <c r="B3582" t="s">
        <v>148</v>
      </c>
      <c r="C3582">
        <v>51017790</v>
      </c>
      <c r="D3582">
        <v>65.214932272628928</v>
      </c>
      <c r="E3582" t="s">
        <v>94</v>
      </c>
      <c r="F3582">
        <v>603</v>
      </c>
      <c r="G3582" s="4">
        <v>46087.602233796293</v>
      </c>
    </row>
    <row r="3583" spans="1:7" x14ac:dyDescent="0.3">
      <c r="A3583">
        <v>10740</v>
      </c>
      <c r="B3583" t="s">
        <v>148</v>
      </c>
      <c r="C3583">
        <v>51023871</v>
      </c>
      <c r="D3583">
        <v>79.04483109119893</v>
      </c>
      <c r="E3583" t="s">
        <v>93</v>
      </c>
      <c r="F3583">
        <v>428</v>
      </c>
      <c r="G3583" s="4">
        <v>46087.602233796293</v>
      </c>
    </row>
    <row r="3584" spans="1:7" x14ac:dyDescent="0.3">
      <c r="A3584">
        <v>10741</v>
      </c>
      <c r="B3584" t="s">
        <v>148</v>
      </c>
      <c r="C3584">
        <v>51019601</v>
      </c>
      <c r="D3584">
        <v>80.743816584963355</v>
      </c>
      <c r="E3584" t="s">
        <v>93</v>
      </c>
      <c r="F3584">
        <v>385</v>
      </c>
      <c r="G3584" s="4">
        <v>46087.602233796293</v>
      </c>
    </row>
    <row r="3585" spans="1:7" x14ac:dyDescent="0.3">
      <c r="A3585">
        <v>10742</v>
      </c>
      <c r="B3585" t="s">
        <v>148</v>
      </c>
      <c r="C3585">
        <v>51021983</v>
      </c>
      <c r="D3585">
        <v>42.179781183902982</v>
      </c>
      <c r="E3585" t="s">
        <v>94</v>
      </c>
      <c r="F3585">
        <v>878</v>
      </c>
      <c r="G3585" s="4">
        <v>46087.602233796293</v>
      </c>
    </row>
    <row r="3586" spans="1:7" x14ac:dyDescent="0.3">
      <c r="A3586">
        <v>10743</v>
      </c>
      <c r="B3586" t="s">
        <v>148</v>
      </c>
      <c r="C3586">
        <v>51020201</v>
      </c>
      <c r="D3586">
        <v>70.4407942166293</v>
      </c>
      <c r="E3586" t="s">
        <v>93</v>
      </c>
      <c r="F3586">
        <v>540</v>
      </c>
      <c r="G3586" s="4">
        <v>46087.602233796293</v>
      </c>
    </row>
    <row r="3587" spans="1:7" x14ac:dyDescent="0.3">
      <c r="A3587">
        <v>10744</v>
      </c>
      <c r="B3587" t="s">
        <v>148</v>
      </c>
      <c r="C3587">
        <v>51031296</v>
      </c>
      <c r="D3587">
        <v>85.618883906538287</v>
      </c>
      <c r="E3587" t="s">
        <v>93</v>
      </c>
      <c r="F3587">
        <v>240</v>
      </c>
      <c r="G3587" s="4">
        <v>46087.602233796293</v>
      </c>
    </row>
    <row r="3588" spans="1:7" x14ac:dyDescent="0.3">
      <c r="A3588">
        <v>10745</v>
      </c>
      <c r="B3588" t="s">
        <v>148</v>
      </c>
      <c r="C3588">
        <v>51011864</v>
      </c>
      <c r="D3588">
        <v>86.359507630330171</v>
      </c>
      <c r="E3588" t="s">
        <v>92</v>
      </c>
      <c r="F3588">
        <v>220</v>
      </c>
      <c r="G3588" s="4">
        <v>46087.602233796293</v>
      </c>
    </row>
    <row r="3589" spans="1:7" x14ac:dyDescent="0.3">
      <c r="A3589">
        <v>10746</v>
      </c>
      <c r="B3589" t="s">
        <v>148</v>
      </c>
      <c r="C3589">
        <v>51005945</v>
      </c>
      <c r="D3589">
        <v>85.936133490724728</v>
      </c>
      <c r="E3589" t="s">
        <v>92</v>
      </c>
      <c r="F3589">
        <v>231</v>
      </c>
      <c r="G3589" s="4">
        <v>46087.602233796293</v>
      </c>
    </row>
    <row r="3590" spans="1:7" x14ac:dyDescent="0.3">
      <c r="A3590">
        <v>10747</v>
      </c>
      <c r="B3590" t="s">
        <v>148</v>
      </c>
      <c r="C3590">
        <v>51055586</v>
      </c>
      <c r="D3590">
        <v>74.807934268145857</v>
      </c>
      <c r="E3590" t="s">
        <v>93</v>
      </c>
      <c r="F3590">
        <v>483</v>
      </c>
      <c r="G3590" s="4">
        <v>46087.602233796293</v>
      </c>
    </row>
    <row r="3591" spans="1:7" x14ac:dyDescent="0.3">
      <c r="A3591">
        <v>10748</v>
      </c>
      <c r="B3591" t="s">
        <v>148</v>
      </c>
      <c r="C3591">
        <v>51025458</v>
      </c>
      <c r="D3591">
        <v>83.63815029013908</v>
      </c>
      <c r="E3591" t="s">
        <v>93</v>
      </c>
      <c r="F3591">
        <v>294</v>
      </c>
      <c r="G3591" s="4">
        <v>46087.602233796293</v>
      </c>
    </row>
    <row r="3592" spans="1:7" x14ac:dyDescent="0.3">
      <c r="A3592">
        <v>10749</v>
      </c>
      <c r="B3592" t="s">
        <v>148</v>
      </c>
      <c r="C3592">
        <v>51025709</v>
      </c>
      <c r="D3592">
        <v>78.677971470294352</v>
      </c>
      <c r="E3592" t="s">
        <v>93</v>
      </c>
      <c r="F3592">
        <v>437</v>
      </c>
      <c r="G3592" s="4">
        <v>46087.602233796293</v>
      </c>
    </row>
    <row r="3593" spans="1:7" x14ac:dyDescent="0.3">
      <c r="A3593">
        <v>10750</v>
      </c>
      <c r="B3593" t="s">
        <v>148</v>
      </c>
      <c r="C3593">
        <v>51019709</v>
      </c>
      <c r="D3593">
        <v>79.364856670931516</v>
      </c>
      <c r="E3593" t="s">
        <v>93</v>
      </c>
      <c r="F3593">
        <v>420</v>
      </c>
      <c r="G3593" s="4">
        <v>46087.602233796293</v>
      </c>
    </row>
    <row r="3594" spans="1:7" x14ac:dyDescent="0.3">
      <c r="A3594">
        <v>10751</v>
      </c>
      <c r="B3594" t="s">
        <v>148</v>
      </c>
      <c r="C3594">
        <v>51019377</v>
      </c>
      <c r="D3594">
        <v>83.508050693204623</v>
      </c>
      <c r="E3594" t="s">
        <v>93</v>
      </c>
      <c r="F3594">
        <v>299</v>
      </c>
      <c r="G3594" s="4">
        <v>46087.602233796293</v>
      </c>
    </row>
    <row r="3595" spans="1:7" x14ac:dyDescent="0.3">
      <c r="A3595">
        <v>10752</v>
      </c>
      <c r="B3595" t="s">
        <v>148</v>
      </c>
      <c r="C3595">
        <v>51017447</v>
      </c>
      <c r="D3595">
        <v>81.408976359266191</v>
      </c>
      <c r="E3595" t="s">
        <v>93</v>
      </c>
      <c r="F3595">
        <v>366</v>
      </c>
      <c r="G3595" s="4">
        <v>46087.602233796293</v>
      </c>
    </row>
    <row r="3596" spans="1:7" x14ac:dyDescent="0.3">
      <c r="A3596">
        <v>10753</v>
      </c>
      <c r="B3596" t="s">
        <v>148</v>
      </c>
      <c r="C3596">
        <v>51055721</v>
      </c>
      <c r="D3596">
        <v>55.862163470851854</v>
      </c>
      <c r="E3596" t="s">
        <v>94</v>
      </c>
      <c r="F3596">
        <v>770</v>
      </c>
      <c r="G3596" s="4">
        <v>46087.602233796293</v>
      </c>
    </row>
    <row r="3597" spans="1:7" x14ac:dyDescent="0.3">
      <c r="A3597">
        <v>10754</v>
      </c>
      <c r="B3597" t="s">
        <v>148</v>
      </c>
      <c r="C3597">
        <v>51023064</v>
      </c>
      <c r="D3597">
        <v>90.337237003110886</v>
      </c>
      <c r="E3597" t="s">
        <v>92</v>
      </c>
      <c r="F3597">
        <v>116</v>
      </c>
      <c r="G3597" s="4">
        <v>46087.602233796293</v>
      </c>
    </row>
    <row r="3598" spans="1:7" x14ac:dyDescent="0.3">
      <c r="A3598">
        <v>10755</v>
      </c>
      <c r="B3598" t="s">
        <v>148</v>
      </c>
      <c r="C3598">
        <v>51055063</v>
      </c>
      <c r="D3598">
        <v>59.357663253420711</v>
      </c>
      <c r="E3598" t="s">
        <v>94</v>
      </c>
      <c r="F3598">
        <v>682</v>
      </c>
      <c r="G3598" s="4">
        <v>46087.602233796293</v>
      </c>
    </row>
    <row r="3599" spans="1:7" x14ac:dyDescent="0.3">
      <c r="A3599">
        <v>10756</v>
      </c>
      <c r="B3599" t="s">
        <v>148</v>
      </c>
      <c r="C3599">
        <v>51024893</v>
      </c>
      <c r="D3599">
        <v>45.833265436866881</v>
      </c>
      <c r="E3599" t="s">
        <v>94</v>
      </c>
      <c r="F3599">
        <v>861</v>
      </c>
      <c r="G3599" s="4">
        <v>46087.602233796293</v>
      </c>
    </row>
    <row r="3600" spans="1:7" x14ac:dyDescent="0.3">
      <c r="A3600">
        <v>10757</v>
      </c>
      <c r="B3600" t="s">
        <v>148</v>
      </c>
      <c r="C3600">
        <v>51013638</v>
      </c>
      <c r="D3600">
        <v>86.645332735973724</v>
      </c>
      <c r="E3600" t="s">
        <v>92</v>
      </c>
      <c r="F3600">
        <v>211</v>
      </c>
      <c r="G3600" s="4">
        <v>46087.602233796293</v>
      </c>
    </row>
    <row r="3601" spans="1:7" x14ac:dyDescent="0.3">
      <c r="A3601">
        <v>10758</v>
      </c>
      <c r="B3601" t="s">
        <v>148</v>
      </c>
      <c r="C3601">
        <v>51011015</v>
      </c>
      <c r="D3601">
        <v>32.339747366786597</v>
      </c>
      <c r="E3601" t="s">
        <v>94</v>
      </c>
      <c r="F3601">
        <v>925</v>
      </c>
      <c r="G3601" s="4">
        <v>46087.602233796293</v>
      </c>
    </row>
    <row r="3602" spans="1:7" x14ac:dyDescent="0.3">
      <c r="A3602">
        <v>10759</v>
      </c>
      <c r="B3602" t="s">
        <v>148</v>
      </c>
      <c r="C3602">
        <v>51020758</v>
      </c>
      <c r="D3602">
        <v>80.033403654097981</v>
      </c>
      <c r="E3602" t="s">
        <v>93</v>
      </c>
      <c r="F3602">
        <v>406</v>
      </c>
      <c r="G3602" s="4">
        <v>46087.602233796293</v>
      </c>
    </row>
    <row r="3603" spans="1:7" x14ac:dyDescent="0.3">
      <c r="A3603">
        <v>10760</v>
      </c>
      <c r="B3603" t="s">
        <v>148</v>
      </c>
      <c r="C3603">
        <v>51022734</v>
      </c>
      <c r="D3603">
        <v>56.883478736988515</v>
      </c>
      <c r="E3603" t="s">
        <v>94</v>
      </c>
      <c r="F3603">
        <v>742</v>
      </c>
      <c r="G3603" s="4">
        <v>46087.602233796293</v>
      </c>
    </row>
    <row r="3604" spans="1:7" x14ac:dyDescent="0.3">
      <c r="A3604">
        <v>10761</v>
      </c>
      <c r="B3604" t="s">
        <v>148</v>
      </c>
      <c r="C3604">
        <v>51036034</v>
      </c>
      <c r="D3604">
        <v>86.734002305456016</v>
      </c>
      <c r="E3604" t="s">
        <v>92</v>
      </c>
      <c r="F3604">
        <v>209</v>
      </c>
      <c r="G3604" s="4">
        <v>46087.602233796293</v>
      </c>
    </row>
    <row r="3605" spans="1:7" x14ac:dyDescent="0.3">
      <c r="A3605">
        <v>10762</v>
      </c>
      <c r="B3605" t="s">
        <v>148</v>
      </c>
      <c r="C3605">
        <v>51019954</v>
      </c>
      <c r="D3605">
        <v>48.563978840640331</v>
      </c>
      <c r="E3605" t="s">
        <v>94</v>
      </c>
      <c r="F3605">
        <v>837</v>
      </c>
      <c r="G3605" s="4">
        <v>46087.602233796293</v>
      </c>
    </row>
    <row r="3606" spans="1:7" x14ac:dyDescent="0.3">
      <c r="A3606">
        <v>10763</v>
      </c>
      <c r="B3606" t="s">
        <v>148</v>
      </c>
      <c r="C3606">
        <v>51041895</v>
      </c>
      <c r="D3606">
        <v>76.158221934308486</v>
      </c>
      <c r="E3606" t="s">
        <v>93</v>
      </c>
      <c r="F3606">
        <v>470</v>
      </c>
      <c r="G3606" s="4">
        <v>46087.602233796293</v>
      </c>
    </row>
    <row r="3607" spans="1:7" x14ac:dyDescent="0.3">
      <c r="A3607">
        <v>10764</v>
      </c>
      <c r="B3607" t="s">
        <v>148</v>
      </c>
      <c r="C3607">
        <v>51031075</v>
      </c>
      <c r="D3607">
        <v>95.273214391704713</v>
      </c>
      <c r="E3607" t="s">
        <v>275</v>
      </c>
      <c r="F3607">
        <v>49</v>
      </c>
      <c r="G3607" s="4">
        <v>46087.602233796293</v>
      </c>
    </row>
    <row r="3608" spans="1:7" x14ac:dyDescent="0.3">
      <c r="A3608">
        <v>10765</v>
      </c>
      <c r="B3608" t="s">
        <v>148</v>
      </c>
      <c r="C3608">
        <v>51016815</v>
      </c>
      <c r="D3608">
        <v>69.896379558097465</v>
      </c>
      <c r="E3608" t="s">
        <v>93</v>
      </c>
      <c r="F3608">
        <v>547</v>
      </c>
      <c r="G3608" s="4">
        <v>46087.602233796293</v>
      </c>
    </row>
    <row r="3609" spans="1:7" x14ac:dyDescent="0.3">
      <c r="A3609">
        <v>10766</v>
      </c>
      <c r="B3609" t="s">
        <v>148</v>
      </c>
      <c r="C3609">
        <v>51010761</v>
      </c>
      <c r="D3609">
        <v>93.963814765370572</v>
      </c>
      <c r="E3609" t="s">
        <v>92</v>
      </c>
      <c r="F3609">
        <v>64</v>
      </c>
      <c r="G3609" s="4">
        <v>46087.602233796293</v>
      </c>
    </row>
    <row r="3610" spans="1:7" x14ac:dyDescent="0.3">
      <c r="A3610">
        <v>10767</v>
      </c>
      <c r="B3610" t="s">
        <v>148</v>
      </c>
      <c r="C3610">
        <v>51013301</v>
      </c>
      <c r="D3610">
        <v>57.9234431331938</v>
      </c>
      <c r="E3610" t="s">
        <v>94</v>
      </c>
      <c r="F3610">
        <v>720</v>
      </c>
      <c r="G3610" s="4">
        <v>46087.602233796293</v>
      </c>
    </row>
    <row r="3611" spans="1:7" x14ac:dyDescent="0.3">
      <c r="A3611">
        <v>10768</v>
      </c>
      <c r="B3611" t="s">
        <v>148</v>
      </c>
      <c r="C3611">
        <v>51041933</v>
      </c>
      <c r="D3611">
        <v>91.340944906604705</v>
      </c>
      <c r="E3611" t="s">
        <v>92</v>
      </c>
      <c r="F3611">
        <v>100</v>
      </c>
      <c r="G3611" s="4">
        <v>46087.602233796293</v>
      </c>
    </row>
    <row r="3612" spans="1:7" x14ac:dyDescent="0.3">
      <c r="A3612">
        <v>10769</v>
      </c>
      <c r="B3612" t="s">
        <v>148</v>
      </c>
      <c r="C3612">
        <v>51014006</v>
      </c>
      <c r="D3612">
        <v>55.729183886305201</v>
      </c>
      <c r="E3612" t="s">
        <v>94</v>
      </c>
      <c r="F3612">
        <v>771</v>
      </c>
      <c r="G3612" s="4">
        <v>46087.602233796293</v>
      </c>
    </row>
    <row r="3613" spans="1:7" x14ac:dyDescent="0.3">
      <c r="A3613">
        <v>10770</v>
      </c>
      <c r="B3613" t="s">
        <v>148</v>
      </c>
      <c r="C3613">
        <v>51000111</v>
      </c>
      <c r="D3613">
        <v>98.473020724893274</v>
      </c>
      <c r="E3613" t="s">
        <v>275</v>
      </c>
      <c r="F3613">
        <v>21</v>
      </c>
      <c r="G3613" s="4">
        <v>46087.602233796293</v>
      </c>
    </row>
    <row r="3614" spans="1:7" x14ac:dyDescent="0.3">
      <c r="A3614">
        <v>10771</v>
      </c>
      <c r="B3614" t="s">
        <v>148</v>
      </c>
      <c r="C3614">
        <v>51042735</v>
      </c>
      <c r="D3614">
        <v>58.460506609504449</v>
      </c>
      <c r="E3614" t="s">
        <v>94</v>
      </c>
      <c r="F3614">
        <v>704</v>
      </c>
      <c r="G3614" s="4">
        <v>46087.602233796293</v>
      </c>
    </row>
    <row r="3615" spans="1:7" x14ac:dyDescent="0.3">
      <c r="A3615">
        <v>10772</v>
      </c>
      <c r="B3615" t="s">
        <v>148</v>
      </c>
      <c r="C3615">
        <v>51023218</v>
      </c>
      <c r="D3615">
        <v>57.978174104404403</v>
      </c>
      <c r="E3615" t="s">
        <v>94</v>
      </c>
      <c r="F3615">
        <v>719</v>
      </c>
      <c r="G3615" s="4">
        <v>46087.602233796293</v>
      </c>
    </row>
    <row r="3616" spans="1:7" x14ac:dyDescent="0.3">
      <c r="A3616">
        <v>10773</v>
      </c>
      <c r="B3616" t="s">
        <v>148</v>
      </c>
      <c r="C3616">
        <v>51002776</v>
      </c>
      <c r="D3616">
        <v>83.107794988084407</v>
      </c>
      <c r="E3616" t="s">
        <v>93</v>
      </c>
      <c r="F3616">
        <v>315</v>
      </c>
      <c r="G3616" s="4">
        <v>46087.602233796293</v>
      </c>
    </row>
    <row r="3617" spans="1:7" x14ac:dyDescent="0.3">
      <c r="A3617">
        <v>10774</v>
      </c>
      <c r="B3617" t="s">
        <v>148</v>
      </c>
      <c r="C3617">
        <v>51015541</v>
      </c>
      <c r="D3617">
        <v>83.970815740618548</v>
      </c>
      <c r="E3617" t="s">
        <v>93</v>
      </c>
      <c r="F3617">
        <v>284</v>
      </c>
      <c r="G3617" s="4">
        <v>46087.602233796293</v>
      </c>
    </row>
    <row r="3618" spans="1:7" x14ac:dyDescent="0.3">
      <c r="A3618">
        <v>10775</v>
      </c>
      <c r="B3618" t="s">
        <v>148</v>
      </c>
      <c r="C3618">
        <v>51031890</v>
      </c>
      <c r="D3618">
        <v>84.479135883484716</v>
      </c>
      <c r="E3618" t="s">
        <v>93</v>
      </c>
      <c r="F3618">
        <v>273</v>
      </c>
      <c r="G3618" s="4">
        <v>46087.602233796293</v>
      </c>
    </row>
    <row r="3619" spans="1:7" x14ac:dyDescent="0.3">
      <c r="A3619">
        <v>10776</v>
      </c>
      <c r="B3619" t="s">
        <v>148</v>
      </c>
      <c r="C3619">
        <v>51057058</v>
      </c>
      <c r="D3619">
        <v>83.771227197121931</v>
      </c>
      <c r="E3619" t="s">
        <v>93</v>
      </c>
      <c r="F3619">
        <v>292</v>
      </c>
      <c r="G3619" s="4">
        <v>46087.602233796293</v>
      </c>
    </row>
    <row r="3620" spans="1:7" x14ac:dyDescent="0.3">
      <c r="A3620">
        <v>10777</v>
      </c>
      <c r="B3620" t="s">
        <v>148</v>
      </c>
      <c r="C3620">
        <v>51022289</v>
      </c>
      <c r="D3620">
        <v>89.058992430327947</v>
      </c>
      <c r="E3620" t="s">
        <v>92</v>
      </c>
      <c r="F3620">
        <v>151</v>
      </c>
      <c r="G3620" s="4">
        <v>46087.602233796293</v>
      </c>
    </row>
    <row r="3621" spans="1:7" x14ac:dyDescent="0.3">
      <c r="A3621">
        <v>10778</v>
      </c>
      <c r="B3621" t="s">
        <v>148</v>
      </c>
      <c r="C3621">
        <v>51016688</v>
      </c>
      <c r="D3621">
        <v>85.212407530375117</v>
      </c>
      <c r="E3621" t="s">
        <v>93</v>
      </c>
      <c r="F3621">
        <v>252</v>
      </c>
      <c r="G3621" s="4">
        <v>46087.602233796293</v>
      </c>
    </row>
    <row r="3622" spans="1:7" x14ac:dyDescent="0.3">
      <c r="A3622">
        <v>10779</v>
      </c>
      <c r="B3622" t="s">
        <v>148</v>
      </c>
      <c r="C3622">
        <v>51032527</v>
      </c>
      <c r="D3622">
        <v>86.91441575846919</v>
      </c>
      <c r="E3622" t="s">
        <v>92</v>
      </c>
      <c r="F3622">
        <v>202</v>
      </c>
      <c r="G3622" s="4">
        <v>46087.602233796293</v>
      </c>
    </row>
    <row r="3623" spans="1:7" x14ac:dyDescent="0.3">
      <c r="A3623">
        <v>10780</v>
      </c>
      <c r="B3623" t="s">
        <v>148</v>
      </c>
      <c r="C3623">
        <v>51028678</v>
      </c>
      <c r="D3623">
        <v>63.153170152714559</v>
      </c>
      <c r="E3623" t="s">
        <v>94</v>
      </c>
      <c r="F3623">
        <v>618</v>
      </c>
      <c r="G3623" s="4">
        <v>46087.602233796293</v>
      </c>
    </row>
    <row r="3624" spans="1:7" x14ac:dyDescent="0.3">
      <c r="A3624">
        <v>10781</v>
      </c>
      <c r="B3624" t="s">
        <v>148</v>
      </c>
      <c r="C3624">
        <v>51005287</v>
      </c>
      <c r="D3624">
        <v>81.769541859531714</v>
      </c>
      <c r="E3624" t="s">
        <v>93</v>
      </c>
      <c r="F3624">
        <v>356</v>
      </c>
      <c r="G3624" s="4">
        <v>46087.602233796293</v>
      </c>
    </row>
    <row r="3625" spans="1:7" x14ac:dyDescent="0.3">
      <c r="A3625">
        <v>10782</v>
      </c>
      <c r="B3625" t="s">
        <v>148</v>
      </c>
      <c r="C3625">
        <v>51055624</v>
      </c>
      <c r="D3625">
        <v>87.454265664665002</v>
      </c>
      <c r="E3625" t="s">
        <v>92</v>
      </c>
      <c r="F3625">
        <v>190</v>
      </c>
      <c r="G3625" s="4">
        <v>46087.602233796293</v>
      </c>
    </row>
    <row r="3626" spans="1:7" x14ac:dyDescent="0.3">
      <c r="A3626">
        <v>10783</v>
      </c>
      <c r="B3626" t="s">
        <v>148</v>
      </c>
      <c r="C3626">
        <v>51010884</v>
      </c>
      <c r="D3626">
        <v>56.696907030672669</v>
      </c>
      <c r="E3626" t="s">
        <v>94</v>
      </c>
      <c r="F3626">
        <v>748</v>
      </c>
      <c r="G3626" s="4">
        <v>46087.602233796293</v>
      </c>
    </row>
    <row r="3627" spans="1:7" x14ac:dyDescent="0.3">
      <c r="A3627">
        <v>10784</v>
      </c>
      <c r="B3627" t="s">
        <v>148</v>
      </c>
      <c r="C3627">
        <v>51007051</v>
      </c>
      <c r="D3627">
        <v>65.574443825656274</v>
      </c>
      <c r="E3627" t="s">
        <v>94</v>
      </c>
      <c r="F3627">
        <v>601</v>
      </c>
      <c r="G3627" s="4">
        <v>46087.602233796293</v>
      </c>
    </row>
    <row r="3628" spans="1:7" x14ac:dyDescent="0.3">
      <c r="A3628">
        <v>10785</v>
      </c>
      <c r="B3628" t="s">
        <v>148</v>
      </c>
      <c r="C3628">
        <v>51013808</v>
      </c>
      <c r="D3628">
        <v>59.516159227205918</v>
      </c>
      <c r="E3628" t="s">
        <v>94</v>
      </c>
      <c r="F3628">
        <v>678</v>
      </c>
      <c r="G3628" s="4">
        <v>46087.602233796293</v>
      </c>
    </row>
    <row r="3629" spans="1:7" x14ac:dyDescent="0.3">
      <c r="A3629">
        <v>10786</v>
      </c>
      <c r="B3629" t="s">
        <v>148</v>
      </c>
      <c r="C3629">
        <v>51035828</v>
      </c>
      <c r="D3629">
        <v>62.010965166799316</v>
      </c>
      <c r="E3629" t="s">
        <v>94</v>
      </c>
      <c r="F3629">
        <v>629</v>
      </c>
      <c r="G3629" s="4">
        <v>46087.602233796293</v>
      </c>
    </row>
    <row r="3630" spans="1:7" x14ac:dyDescent="0.3">
      <c r="A3630">
        <v>10787</v>
      </c>
      <c r="B3630" t="s">
        <v>148</v>
      </c>
      <c r="C3630">
        <v>51056051</v>
      </c>
      <c r="D3630">
        <v>85.647581066801621</v>
      </c>
      <c r="E3630" t="s">
        <v>92</v>
      </c>
      <c r="F3630">
        <v>238</v>
      </c>
      <c r="G3630" s="4">
        <v>46087.602233796293</v>
      </c>
    </row>
    <row r="3631" spans="1:7" x14ac:dyDescent="0.3">
      <c r="A3631">
        <v>10788</v>
      </c>
      <c r="B3631" t="s">
        <v>148</v>
      </c>
      <c r="C3631">
        <v>51024265</v>
      </c>
      <c r="D3631">
        <v>79.44797344465762</v>
      </c>
      <c r="E3631" t="s">
        <v>93</v>
      </c>
      <c r="F3631">
        <v>418</v>
      </c>
      <c r="G3631" s="4">
        <v>46087.602233796293</v>
      </c>
    </row>
    <row r="3632" spans="1:7" x14ac:dyDescent="0.3">
      <c r="A3632">
        <v>10789</v>
      </c>
      <c r="B3632" t="s">
        <v>148</v>
      </c>
      <c r="C3632">
        <v>51018494</v>
      </c>
      <c r="D3632">
        <v>100</v>
      </c>
      <c r="E3632" t="s">
        <v>275</v>
      </c>
      <c r="F3632">
        <v>1</v>
      </c>
      <c r="G3632" s="4">
        <v>46087.602233796293</v>
      </c>
    </row>
    <row r="3633" spans="1:7" x14ac:dyDescent="0.3">
      <c r="A3633">
        <v>10790</v>
      </c>
      <c r="B3633" t="s">
        <v>148</v>
      </c>
      <c r="C3633">
        <v>51039882</v>
      </c>
      <c r="D3633">
        <v>27.7</v>
      </c>
      <c r="E3633" t="s">
        <v>95</v>
      </c>
      <c r="F3633">
        <v>966</v>
      </c>
      <c r="G3633" s="4">
        <v>46087.602233796293</v>
      </c>
    </row>
    <row r="3634" spans="1:7" x14ac:dyDescent="0.3">
      <c r="A3634">
        <v>10791</v>
      </c>
      <c r="B3634" t="s">
        <v>148</v>
      </c>
      <c r="C3634">
        <v>51024192</v>
      </c>
      <c r="D3634">
        <v>88.108647323928082</v>
      </c>
      <c r="E3634" t="s">
        <v>92</v>
      </c>
      <c r="F3634">
        <v>175</v>
      </c>
      <c r="G3634" s="4">
        <v>46087.602233796293</v>
      </c>
    </row>
    <row r="3635" spans="1:7" x14ac:dyDescent="0.3">
      <c r="A3635">
        <v>10792</v>
      </c>
      <c r="B3635" t="s">
        <v>148</v>
      </c>
      <c r="C3635">
        <v>51008332</v>
      </c>
      <c r="D3635">
        <v>81.294937524051875</v>
      </c>
      <c r="E3635" t="s">
        <v>93</v>
      </c>
      <c r="F3635">
        <v>369</v>
      </c>
      <c r="G3635" s="4">
        <v>46087.602233796293</v>
      </c>
    </row>
    <row r="3636" spans="1:7" x14ac:dyDescent="0.3">
      <c r="A3636">
        <v>10793</v>
      </c>
      <c r="B3636" t="s">
        <v>148</v>
      </c>
      <c r="C3636">
        <v>51015258</v>
      </c>
      <c r="D3636">
        <v>76.228636273023895</v>
      </c>
      <c r="E3636" t="s">
        <v>93</v>
      </c>
      <c r="F3636">
        <v>467</v>
      </c>
      <c r="G3636" s="4">
        <v>46087.602233796293</v>
      </c>
    </row>
    <row r="3637" spans="1:7" x14ac:dyDescent="0.3">
      <c r="A3637">
        <v>10794</v>
      </c>
      <c r="B3637" t="s">
        <v>148</v>
      </c>
      <c r="C3637">
        <v>51033710</v>
      </c>
      <c r="D3637">
        <v>81.229448257361426</v>
      </c>
      <c r="E3637" t="s">
        <v>93</v>
      </c>
      <c r="F3637">
        <v>371</v>
      </c>
      <c r="G3637" s="4">
        <v>46087.602233796293</v>
      </c>
    </row>
    <row r="3638" spans="1:7" x14ac:dyDescent="0.3">
      <c r="A3638">
        <v>10795</v>
      </c>
      <c r="B3638" t="s">
        <v>148</v>
      </c>
      <c r="C3638">
        <v>51010329</v>
      </c>
      <c r="D3638">
        <v>28.513487089041938</v>
      </c>
      <c r="E3638" t="s">
        <v>95</v>
      </c>
      <c r="F3638">
        <v>958</v>
      </c>
      <c r="G3638" s="4">
        <v>46087.602233796293</v>
      </c>
    </row>
    <row r="3639" spans="1:7" x14ac:dyDescent="0.3">
      <c r="A3639">
        <v>10796</v>
      </c>
      <c r="B3639" t="s">
        <v>148</v>
      </c>
      <c r="C3639">
        <v>51011252</v>
      </c>
      <c r="D3639">
        <v>20.292918113324909</v>
      </c>
      <c r="E3639" t="s">
        <v>95</v>
      </c>
      <c r="F3639">
        <v>1017</v>
      </c>
      <c r="G3639" s="4">
        <v>46087.602233796293</v>
      </c>
    </row>
    <row r="3640" spans="1:7" x14ac:dyDescent="0.3">
      <c r="A3640">
        <v>10797</v>
      </c>
      <c r="B3640" t="s">
        <v>148</v>
      </c>
      <c r="C3640">
        <v>51018648</v>
      </c>
      <c r="D3640">
        <v>81.29248348713287</v>
      </c>
      <c r="E3640" t="s">
        <v>93</v>
      </c>
      <c r="F3640">
        <v>370</v>
      </c>
      <c r="G3640" s="4">
        <v>46087.602233796293</v>
      </c>
    </row>
    <row r="3641" spans="1:7" x14ac:dyDescent="0.3">
      <c r="A3641">
        <v>10798</v>
      </c>
      <c r="B3641" t="s">
        <v>148</v>
      </c>
      <c r="C3641">
        <v>51024524</v>
      </c>
      <c r="D3641">
        <v>86.493994189861809</v>
      </c>
      <c r="E3641" t="s">
        <v>92</v>
      </c>
      <c r="F3641">
        <v>214</v>
      </c>
      <c r="G3641" s="4">
        <v>46087.602233796293</v>
      </c>
    </row>
    <row r="3642" spans="1:7" x14ac:dyDescent="0.3">
      <c r="A3642">
        <v>10799</v>
      </c>
      <c r="B3642" t="s">
        <v>148</v>
      </c>
      <c r="C3642">
        <v>51055772</v>
      </c>
      <c r="D3642">
        <v>60.284273420338536</v>
      </c>
      <c r="E3642" t="s">
        <v>94</v>
      </c>
      <c r="F3642">
        <v>662</v>
      </c>
      <c r="G3642" s="4">
        <v>46087.602233796293</v>
      </c>
    </row>
    <row r="3643" spans="1:7" x14ac:dyDescent="0.3">
      <c r="A3643">
        <v>10800</v>
      </c>
      <c r="B3643" t="s">
        <v>148</v>
      </c>
      <c r="C3643">
        <v>51031083</v>
      </c>
      <c r="D3643">
        <v>67.875113702205141</v>
      </c>
      <c r="E3643" t="s">
        <v>93</v>
      </c>
      <c r="F3643">
        <v>573</v>
      </c>
      <c r="G3643" s="4">
        <v>46087.602233796293</v>
      </c>
    </row>
    <row r="3644" spans="1:7" x14ac:dyDescent="0.3">
      <c r="A3644">
        <v>10801</v>
      </c>
      <c r="B3644" t="s">
        <v>148</v>
      </c>
      <c r="C3644">
        <v>51056647</v>
      </c>
      <c r="D3644">
        <v>70.534657407534169</v>
      </c>
      <c r="E3644" t="s">
        <v>93</v>
      </c>
      <c r="F3644">
        <v>537</v>
      </c>
      <c r="G3644" s="4">
        <v>46087.602233796293</v>
      </c>
    </row>
    <row r="3645" spans="1:7" x14ac:dyDescent="0.3">
      <c r="A3645">
        <v>10802</v>
      </c>
      <c r="B3645" t="s">
        <v>148</v>
      </c>
      <c r="C3645">
        <v>51024214</v>
      </c>
      <c r="D3645">
        <v>25.46</v>
      </c>
      <c r="E3645" t="s">
        <v>95</v>
      </c>
      <c r="F3645">
        <v>980</v>
      </c>
      <c r="G3645" s="4">
        <v>46087.602233796293</v>
      </c>
    </row>
    <row r="3646" spans="1:7" x14ac:dyDescent="0.3">
      <c r="A3646">
        <v>10803</v>
      </c>
      <c r="B3646" t="s">
        <v>148</v>
      </c>
      <c r="C3646">
        <v>51013425</v>
      </c>
      <c r="D3646">
        <v>91.687580496304221</v>
      </c>
      <c r="E3646" t="s">
        <v>92</v>
      </c>
      <c r="F3646">
        <v>94</v>
      </c>
      <c r="G3646" s="4">
        <v>46087.602233796293</v>
      </c>
    </row>
    <row r="3647" spans="1:7" x14ac:dyDescent="0.3">
      <c r="A3647">
        <v>10804</v>
      </c>
      <c r="B3647" t="s">
        <v>148</v>
      </c>
      <c r="C3647">
        <v>51025334</v>
      </c>
      <c r="D3647">
        <v>71.357290102102098</v>
      </c>
      <c r="E3647" t="s">
        <v>93</v>
      </c>
      <c r="F3647">
        <v>528</v>
      </c>
      <c r="G3647" s="4">
        <v>46087.602233796293</v>
      </c>
    </row>
    <row r="3648" spans="1:7" x14ac:dyDescent="0.3">
      <c r="A3648">
        <v>10805</v>
      </c>
      <c r="B3648" t="s">
        <v>148</v>
      </c>
      <c r="C3648">
        <v>51056132</v>
      </c>
      <c r="D3648">
        <v>56.932736610062427</v>
      </c>
      <c r="E3648" t="s">
        <v>94</v>
      </c>
      <c r="F3648">
        <v>741</v>
      </c>
      <c r="G3648" s="4">
        <v>46087.602233796293</v>
      </c>
    </row>
    <row r="3649" spans="1:7" x14ac:dyDescent="0.3">
      <c r="A3649">
        <v>10806</v>
      </c>
      <c r="B3649" t="s">
        <v>148</v>
      </c>
      <c r="C3649">
        <v>51004531</v>
      </c>
      <c r="D3649">
        <v>96.02242306949546</v>
      </c>
      <c r="E3649" t="s">
        <v>275</v>
      </c>
      <c r="F3649">
        <v>41</v>
      </c>
      <c r="G3649" s="4">
        <v>46087.602233796293</v>
      </c>
    </row>
    <row r="3650" spans="1:7" x14ac:dyDescent="0.3">
      <c r="A3650">
        <v>10807</v>
      </c>
      <c r="B3650" t="s">
        <v>148</v>
      </c>
      <c r="C3650">
        <v>51039033</v>
      </c>
      <c r="D3650">
        <v>60.235818180484536</v>
      </c>
      <c r="E3650" t="s">
        <v>94</v>
      </c>
      <c r="F3650">
        <v>663</v>
      </c>
      <c r="G3650" s="4">
        <v>46087.602233796293</v>
      </c>
    </row>
    <row r="3651" spans="1:7" x14ac:dyDescent="0.3">
      <c r="A3651">
        <v>10808</v>
      </c>
      <c r="B3651" t="s">
        <v>148</v>
      </c>
      <c r="C3651">
        <v>51024117</v>
      </c>
      <c r="D3651">
        <v>91.980767127979874</v>
      </c>
      <c r="E3651" t="s">
        <v>92</v>
      </c>
      <c r="F3651">
        <v>86</v>
      </c>
      <c r="G3651" s="4">
        <v>46087.602233796293</v>
      </c>
    </row>
    <row r="3652" spans="1:7" x14ac:dyDescent="0.3">
      <c r="A3652">
        <v>10809</v>
      </c>
      <c r="B3652" t="s">
        <v>148</v>
      </c>
      <c r="C3652">
        <v>51031768</v>
      </c>
      <c r="D3652">
        <v>59.539223593756866</v>
      </c>
      <c r="E3652" t="s">
        <v>94</v>
      </c>
      <c r="F3652">
        <v>677</v>
      </c>
      <c r="G3652" s="4">
        <v>46087.602233796293</v>
      </c>
    </row>
    <row r="3653" spans="1:7" x14ac:dyDescent="0.3">
      <c r="A3653">
        <v>10810</v>
      </c>
      <c r="B3653" t="s">
        <v>148</v>
      </c>
      <c r="C3653">
        <v>51022637</v>
      </c>
      <c r="D3653">
        <v>86.038712744778223</v>
      </c>
      <c r="E3653" t="s">
        <v>92</v>
      </c>
      <c r="F3653">
        <v>228</v>
      </c>
      <c r="G3653" s="4">
        <v>46087.602233796293</v>
      </c>
    </row>
    <row r="3654" spans="1:7" x14ac:dyDescent="0.3">
      <c r="A3654">
        <v>10811</v>
      </c>
      <c r="B3654" t="s">
        <v>148</v>
      </c>
      <c r="C3654">
        <v>51010124</v>
      </c>
      <c r="D3654">
        <v>94.561510308291588</v>
      </c>
      <c r="E3654" t="s">
        <v>275</v>
      </c>
      <c r="F3654">
        <v>60</v>
      </c>
      <c r="G3654" s="4">
        <v>46087.602233796293</v>
      </c>
    </row>
    <row r="3655" spans="1:7" x14ac:dyDescent="0.3">
      <c r="A3655">
        <v>10812</v>
      </c>
      <c r="B3655" t="s">
        <v>148</v>
      </c>
      <c r="C3655">
        <v>51012020</v>
      </c>
      <c r="D3655">
        <v>81.949029284632218</v>
      </c>
      <c r="E3655" t="s">
        <v>93</v>
      </c>
      <c r="F3655">
        <v>348</v>
      </c>
      <c r="G3655" s="4">
        <v>46087.602233796293</v>
      </c>
    </row>
    <row r="3656" spans="1:7" x14ac:dyDescent="0.3">
      <c r="A3656">
        <v>10813</v>
      </c>
      <c r="B3656" t="s">
        <v>148</v>
      </c>
      <c r="C3656">
        <v>51029968</v>
      </c>
      <c r="D3656">
        <v>84.657834513355454</v>
      </c>
      <c r="E3656" t="s">
        <v>93</v>
      </c>
      <c r="F3656">
        <v>265</v>
      </c>
      <c r="G3656" s="4">
        <v>46087.602233796293</v>
      </c>
    </row>
    <row r="3657" spans="1:7" x14ac:dyDescent="0.3">
      <c r="A3657">
        <v>10814</v>
      </c>
      <c r="B3657" t="s">
        <v>148</v>
      </c>
      <c r="C3657">
        <v>51025202</v>
      </c>
      <c r="D3657">
        <v>91.717382986850865</v>
      </c>
      <c r="E3657" t="s">
        <v>92</v>
      </c>
      <c r="F3657">
        <v>93</v>
      </c>
      <c r="G3657" s="4">
        <v>46087.602233796293</v>
      </c>
    </row>
    <row r="3658" spans="1:7" x14ac:dyDescent="0.3">
      <c r="A3658">
        <v>10815</v>
      </c>
      <c r="B3658" t="s">
        <v>148</v>
      </c>
      <c r="C3658">
        <v>51003667</v>
      </c>
      <c r="D3658">
        <v>82.92140695475139</v>
      </c>
      <c r="E3658" t="s">
        <v>93</v>
      </c>
      <c r="F3658">
        <v>324</v>
      </c>
      <c r="G3658" s="4">
        <v>46087.602233796293</v>
      </c>
    </row>
    <row r="3659" spans="1:7" x14ac:dyDescent="0.3">
      <c r="A3659">
        <v>10816</v>
      </c>
      <c r="B3659" t="s">
        <v>148</v>
      </c>
      <c r="C3659">
        <v>51026691</v>
      </c>
      <c r="D3659">
        <v>77.431116271418915</v>
      </c>
      <c r="E3659" t="s">
        <v>93</v>
      </c>
      <c r="F3659">
        <v>448</v>
      </c>
      <c r="G3659" s="4">
        <v>46087.602233796293</v>
      </c>
    </row>
    <row r="3660" spans="1:7" x14ac:dyDescent="0.3">
      <c r="A3660">
        <v>10817</v>
      </c>
      <c r="B3660" t="s">
        <v>148</v>
      </c>
      <c r="C3660">
        <v>51023145</v>
      </c>
      <c r="D3660">
        <v>95.8116583571436</v>
      </c>
      <c r="E3660" t="s">
        <v>275</v>
      </c>
      <c r="F3660">
        <v>43</v>
      </c>
      <c r="G3660" s="4">
        <v>46087.602233796293</v>
      </c>
    </row>
    <row r="3661" spans="1:7" x14ac:dyDescent="0.3">
      <c r="A3661">
        <v>10818</v>
      </c>
      <c r="B3661" t="s">
        <v>148</v>
      </c>
      <c r="C3661">
        <v>51056001</v>
      </c>
      <c r="D3661">
        <v>89.45757352115676</v>
      </c>
      <c r="E3661" t="s">
        <v>92</v>
      </c>
      <c r="F3661">
        <v>138</v>
      </c>
      <c r="G3661" s="4">
        <v>46087.602233796293</v>
      </c>
    </row>
    <row r="3662" spans="1:7" x14ac:dyDescent="0.3">
      <c r="A3662">
        <v>10819</v>
      </c>
      <c r="B3662" t="s">
        <v>148</v>
      </c>
      <c r="C3662">
        <v>51019652</v>
      </c>
      <c r="D3662">
        <v>88.533216709040857</v>
      </c>
      <c r="E3662" t="s">
        <v>92</v>
      </c>
      <c r="F3662">
        <v>167</v>
      </c>
      <c r="G3662" s="4">
        <v>46087.602233796293</v>
      </c>
    </row>
    <row r="3663" spans="1:7" x14ac:dyDescent="0.3">
      <c r="A3663">
        <v>10820</v>
      </c>
      <c r="B3663" t="s">
        <v>148</v>
      </c>
      <c r="C3663">
        <v>51011368</v>
      </c>
      <c r="D3663">
        <v>97.803513704355424</v>
      </c>
      <c r="E3663" t="s">
        <v>275</v>
      </c>
      <c r="F3663">
        <v>24</v>
      </c>
      <c r="G3663" s="4">
        <v>46087.602233796293</v>
      </c>
    </row>
    <row r="3664" spans="1:7" x14ac:dyDescent="0.3">
      <c r="A3664">
        <v>10821</v>
      </c>
      <c r="B3664" t="s">
        <v>148</v>
      </c>
      <c r="C3664">
        <v>51055047</v>
      </c>
      <c r="D3664">
        <v>85.274041779092173</v>
      </c>
      <c r="E3664" t="s">
        <v>93</v>
      </c>
      <c r="F3664">
        <v>251</v>
      </c>
      <c r="G3664" s="4">
        <v>46087.602233796293</v>
      </c>
    </row>
    <row r="3665" spans="1:7" x14ac:dyDescent="0.3">
      <c r="A3665">
        <v>10822</v>
      </c>
      <c r="B3665" t="s">
        <v>148</v>
      </c>
      <c r="C3665">
        <v>51018176</v>
      </c>
      <c r="D3665">
        <v>67.686528353246374</v>
      </c>
      <c r="E3665" t="s">
        <v>93</v>
      </c>
      <c r="F3665">
        <v>578</v>
      </c>
      <c r="G3665" s="4">
        <v>46087.602233796293</v>
      </c>
    </row>
    <row r="3666" spans="1:7" x14ac:dyDescent="0.3">
      <c r="A3666">
        <v>10823</v>
      </c>
      <c r="B3666" t="s">
        <v>148</v>
      </c>
      <c r="C3666">
        <v>51015622</v>
      </c>
      <c r="D3666">
        <v>57.817420484520554</v>
      </c>
      <c r="E3666" t="s">
        <v>94</v>
      </c>
      <c r="F3666">
        <v>722</v>
      </c>
      <c r="G3666" s="4">
        <v>46087.602233796293</v>
      </c>
    </row>
    <row r="3667" spans="1:7" x14ac:dyDescent="0.3">
      <c r="A3667">
        <v>10824</v>
      </c>
      <c r="B3667" t="s">
        <v>148</v>
      </c>
      <c r="C3667">
        <v>51054946</v>
      </c>
      <c r="D3667">
        <v>100</v>
      </c>
      <c r="E3667" t="s">
        <v>275</v>
      </c>
      <c r="F3667">
        <v>1</v>
      </c>
      <c r="G3667" s="4">
        <v>46087.602233796293</v>
      </c>
    </row>
    <row r="3668" spans="1:7" x14ac:dyDescent="0.3">
      <c r="A3668">
        <v>10825</v>
      </c>
      <c r="B3668" t="s">
        <v>148</v>
      </c>
      <c r="C3668">
        <v>51016220</v>
      </c>
      <c r="D3668">
        <v>96.243178251015507</v>
      </c>
      <c r="E3668" t="s">
        <v>275</v>
      </c>
      <c r="F3668">
        <v>37</v>
      </c>
      <c r="G3668" s="4">
        <v>46087.602233796293</v>
      </c>
    </row>
    <row r="3669" spans="1:7" x14ac:dyDescent="0.3">
      <c r="A3669">
        <v>10826</v>
      </c>
      <c r="B3669" t="s">
        <v>148</v>
      </c>
      <c r="C3669">
        <v>51025385</v>
      </c>
      <c r="D3669">
        <v>50.704179073825905</v>
      </c>
      <c r="E3669" t="s">
        <v>94</v>
      </c>
      <c r="F3669">
        <v>819</v>
      </c>
      <c r="G3669" s="4">
        <v>46087.602233796293</v>
      </c>
    </row>
    <row r="3670" spans="1:7" x14ac:dyDescent="0.3">
      <c r="A3670">
        <v>10827</v>
      </c>
      <c r="B3670" t="s">
        <v>148</v>
      </c>
      <c r="C3670">
        <v>51057163</v>
      </c>
      <c r="D3670">
        <v>56.463482935615978</v>
      </c>
      <c r="E3670" t="s">
        <v>94</v>
      </c>
      <c r="F3670">
        <v>752</v>
      </c>
      <c r="G3670" s="4">
        <v>46087.602233796293</v>
      </c>
    </row>
    <row r="3671" spans="1:7" x14ac:dyDescent="0.3">
      <c r="A3671">
        <v>10828</v>
      </c>
      <c r="B3671" t="s">
        <v>148</v>
      </c>
      <c r="C3671">
        <v>51055985</v>
      </c>
      <c r="D3671">
        <v>48.517913562849486</v>
      </c>
      <c r="E3671" t="s">
        <v>94</v>
      </c>
      <c r="F3671">
        <v>838</v>
      </c>
      <c r="G3671" s="4">
        <v>46087.602233796293</v>
      </c>
    </row>
    <row r="3672" spans="1:7" x14ac:dyDescent="0.3">
      <c r="A3672">
        <v>10829</v>
      </c>
      <c r="B3672" t="s">
        <v>148</v>
      </c>
      <c r="C3672">
        <v>51032993</v>
      </c>
      <c r="D3672">
        <v>97.957034914729078</v>
      </c>
      <c r="E3672" t="s">
        <v>275</v>
      </c>
      <c r="F3672">
        <v>23</v>
      </c>
      <c r="G3672" s="4">
        <v>46087.602233796293</v>
      </c>
    </row>
    <row r="3673" spans="1:7" x14ac:dyDescent="0.3">
      <c r="A3673">
        <v>10830</v>
      </c>
      <c r="B3673" t="s">
        <v>148</v>
      </c>
      <c r="C3673">
        <v>51015088</v>
      </c>
      <c r="D3673">
        <v>80.930696764379377</v>
      </c>
      <c r="E3673" t="s">
        <v>93</v>
      </c>
      <c r="F3673">
        <v>381</v>
      </c>
      <c r="G3673" s="4">
        <v>46087.602233796293</v>
      </c>
    </row>
    <row r="3674" spans="1:7" x14ac:dyDescent="0.3">
      <c r="A3674">
        <v>10831</v>
      </c>
      <c r="B3674" t="s">
        <v>148</v>
      </c>
      <c r="C3674">
        <v>51035658</v>
      </c>
      <c r="D3674">
        <v>83.521151080206295</v>
      </c>
      <c r="E3674" t="s">
        <v>93</v>
      </c>
      <c r="F3674">
        <v>298</v>
      </c>
      <c r="G3674" s="4">
        <v>46087.602233796293</v>
      </c>
    </row>
    <row r="3675" spans="1:7" x14ac:dyDescent="0.3">
      <c r="A3675">
        <v>10832</v>
      </c>
      <c r="B3675" t="s">
        <v>148</v>
      </c>
      <c r="C3675">
        <v>51016726</v>
      </c>
      <c r="D3675">
        <v>86.324711914467599</v>
      </c>
      <c r="E3675" t="s">
        <v>92</v>
      </c>
      <c r="F3675">
        <v>221</v>
      </c>
      <c r="G3675" s="4">
        <v>46087.602233796293</v>
      </c>
    </row>
    <row r="3676" spans="1:7" x14ac:dyDescent="0.3">
      <c r="A3676">
        <v>10833</v>
      </c>
      <c r="B3676" t="s">
        <v>148</v>
      </c>
      <c r="C3676">
        <v>51019342</v>
      </c>
      <c r="D3676">
        <v>21.833487422338635</v>
      </c>
      <c r="E3676" t="s">
        <v>95</v>
      </c>
      <c r="F3676">
        <v>1002</v>
      </c>
      <c r="G3676" s="4">
        <v>46087.602233796293</v>
      </c>
    </row>
    <row r="3677" spans="1:7" x14ac:dyDescent="0.3">
      <c r="A3677">
        <v>10834</v>
      </c>
      <c r="B3677" t="s">
        <v>148</v>
      </c>
      <c r="C3677">
        <v>51014162</v>
      </c>
      <c r="D3677">
        <v>80.260589379083441</v>
      </c>
      <c r="E3677" t="s">
        <v>93</v>
      </c>
      <c r="F3677">
        <v>397</v>
      </c>
      <c r="G3677" s="4">
        <v>46087.602233796293</v>
      </c>
    </row>
    <row r="3678" spans="1:7" x14ac:dyDescent="0.3">
      <c r="A3678">
        <v>10835</v>
      </c>
      <c r="B3678" t="s">
        <v>148</v>
      </c>
      <c r="C3678">
        <v>51022360</v>
      </c>
      <c r="D3678">
        <v>87.921733810185941</v>
      </c>
      <c r="E3678" t="s">
        <v>92</v>
      </c>
      <c r="F3678">
        <v>179</v>
      </c>
      <c r="G3678" s="4">
        <v>46087.602233796293</v>
      </c>
    </row>
    <row r="3679" spans="1:7" x14ac:dyDescent="0.3">
      <c r="A3679">
        <v>10836</v>
      </c>
      <c r="B3679" t="s">
        <v>148</v>
      </c>
      <c r="C3679">
        <v>51040848</v>
      </c>
      <c r="D3679">
        <v>65.268310755568507</v>
      </c>
      <c r="E3679" t="s">
        <v>94</v>
      </c>
      <c r="F3679">
        <v>602</v>
      </c>
      <c r="G3679" s="4">
        <v>46087.602233796293</v>
      </c>
    </row>
    <row r="3680" spans="1:7" x14ac:dyDescent="0.3">
      <c r="A3680">
        <v>10837</v>
      </c>
      <c r="B3680" t="s">
        <v>148</v>
      </c>
      <c r="C3680">
        <v>51022696</v>
      </c>
      <c r="D3680">
        <v>92.505295981193754</v>
      </c>
      <c r="E3680" t="s">
        <v>92</v>
      </c>
      <c r="F3680">
        <v>80</v>
      </c>
      <c r="G3680" s="4">
        <v>46087.602233796293</v>
      </c>
    </row>
    <row r="3681" spans="1:7" x14ac:dyDescent="0.3">
      <c r="A3681">
        <v>10838</v>
      </c>
      <c r="B3681" t="s">
        <v>148</v>
      </c>
      <c r="C3681">
        <v>51056426</v>
      </c>
      <c r="D3681">
        <v>61.820695802852377</v>
      </c>
      <c r="E3681" t="s">
        <v>94</v>
      </c>
      <c r="F3681">
        <v>632</v>
      </c>
      <c r="G3681" s="4">
        <v>46087.602233796293</v>
      </c>
    </row>
    <row r="3682" spans="1:7" x14ac:dyDescent="0.3">
      <c r="A3682">
        <v>10839</v>
      </c>
      <c r="B3682" t="s">
        <v>148</v>
      </c>
      <c r="C3682">
        <v>51011350</v>
      </c>
      <c r="D3682">
        <v>57.211705704611212</v>
      </c>
      <c r="E3682" t="s">
        <v>94</v>
      </c>
      <c r="F3682">
        <v>736</v>
      </c>
      <c r="G3682" s="4">
        <v>46087.602233796293</v>
      </c>
    </row>
    <row r="3683" spans="1:7" x14ac:dyDescent="0.3">
      <c r="A3683">
        <v>10840</v>
      </c>
      <c r="B3683" t="s">
        <v>148</v>
      </c>
      <c r="C3683">
        <v>51024087</v>
      </c>
      <c r="D3683">
        <v>84.306904174581618</v>
      </c>
      <c r="E3683" t="s">
        <v>93</v>
      </c>
      <c r="F3683">
        <v>278</v>
      </c>
      <c r="G3683" s="4">
        <v>46087.602233796293</v>
      </c>
    </row>
    <row r="3684" spans="1:7" x14ac:dyDescent="0.3">
      <c r="A3684">
        <v>10841</v>
      </c>
      <c r="B3684" t="s">
        <v>148</v>
      </c>
      <c r="C3684">
        <v>51005171</v>
      </c>
      <c r="D3684">
        <v>82.773164680139644</v>
      </c>
      <c r="E3684" t="s">
        <v>93</v>
      </c>
      <c r="F3684">
        <v>327</v>
      </c>
      <c r="G3684" s="4">
        <v>46087.602233796293</v>
      </c>
    </row>
    <row r="3685" spans="1:7" x14ac:dyDescent="0.3">
      <c r="A3685">
        <v>10842</v>
      </c>
      <c r="B3685" t="s">
        <v>148</v>
      </c>
      <c r="C3685">
        <v>51005864</v>
      </c>
      <c r="D3685">
        <v>55.452562496321299</v>
      </c>
      <c r="E3685" t="s">
        <v>94</v>
      </c>
      <c r="F3685">
        <v>776</v>
      </c>
      <c r="G3685" s="4">
        <v>46087.602233796293</v>
      </c>
    </row>
    <row r="3686" spans="1:7" x14ac:dyDescent="0.3">
      <c r="A3686">
        <v>10843</v>
      </c>
      <c r="B3686" t="s">
        <v>148</v>
      </c>
      <c r="C3686">
        <v>51040317</v>
      </c>
      <c r="D3686">
        <v>88.454460737592385</v>
      </c>
      <c r="E3686" t="s">
        <v>92</v>
      </c>
      <c r="F3686">
        <v>168</v>
      </c>
      <c r="G3686" s="4">
        <v>46087.602233796293</v>
      </c>
    </row>
    <row r="3687" spans="1:7" x14ac:dyDescent="0.3">
      <c r="A3687">
        <v>10844</v>
      </c>
      <c r="B3687" t="s">
        <v>148</v>
      </c>
      <c r="C3687">
        <v>51003926</v>
      </c>
      <c r="D3687">
        <v>60.473245409873464</v>
      </c>
      <c r="E3687" t="s">
        <v>94</v>
      </c>
      <c r="F3687">
        <v>658</v>
      </c>
      <c r="G3687" s="4">
        <v>46087.602233796293</v>
      </c>
    </row>
    <row r="3688" spans="1:7" x14ac:dyDescent="0.3">
      <c r="A3688">
        <v>10845</v>
      </c>
      <c r="B3688" t="s">
        <v>148</v>
      </c>
      <c r="C3688">
        <v>51019911</v>
      </c>
      <c r="D3688">
        <v>61.063935431832469</v>
      </c>
      <c r="E3688" t="s">
        <v>94</v>
      </c>
      <c r="F3688">
        <v>647</v>
      </c>
      <c r="G3688" s="4">
        <v>46087.602233796293</v>
      </c>
    </row>
    <row r="3689" spans="1:7" x14ac:dyDescent="0.3">
      <c r="A3689">
        <v>10846</v>
      </c>
      <c r="B3689" t="s">
        <v>148</v>
      </c>
      <c r="C3689">
        <v>51022076</v>
      </c>
      <c r="D3689">
        <v>85.455868708105484</v>
      </c>
      <c r="E3689" t="s">
        <v>93</v>
      </c>
      <c r="F3689">
        <v>244</v>
      </c>
      <c r="G3689" s="4">
        <v>46087.602233796293</v>
      </c>
    </row>
    <row r="3690" spans="1:7" x14ac:dyDescent="0.3">
      <c r="A3690">
        <v>10847</v>
      </c>
      <c r="B3690" t="s">
        <v>148</v>
      </c>
      <c r="C3690">
        <v>51055217</v>
      </c>
      <c r="D3690">
        <v>64.355603773551579</v>
      </c>
      <c r="E3690" t="s">
        <v>94</v>
      </c>
      <c r="F3690">
        <v>609</v>
      </c>
      <c r="G3690" s="4">
        <v>46087.602233796293</v>
      </c>
    </row>
    <row r="3691" spans="1:7" x14ac:dyDescent="0.3">
      <c r="A3691">
        <v>10848</v>
      </c>
      <c r="B3691" t="s">
        <v>148</v>
      </c>
      <c r="C3691">
        <v>51036824</v>
      </c>
      <c r="D3691">
        <v>72.584600740051073</v>
      </c>
      <c r="E3691" t="s">
        <v>93</v>
      </c>
      <c r="F3691">
        <v>506</v>
      </c>
      <c r="G3691" s="4">
        <v>46087.602233796293</v>
      </c>
    </row>
    <row r="3692" spans="1:7" x14ac:dyDescent="0.3">
      <c r="A3692">
        <v>10849</v>
      </c>
      <c r="B3692" t="s">
        <v>148</v>
      </c>
      <c r="C3692">
        <v>51024940</v>
      </c>
      <c r="D3692">
        <v>83.307868709190515</v>
      </c>
      <c r="E3692" t="s">
        <v>93</v>
      </c>
      <c r="F3692">
        <v>306</v>
      </c>
      <c r="G3692" s="4">
        <v>46087.602233796293</v>
      </c>
    </row>
    <row r="3693" spans="1:7" x14ac:dyDescent="0.3">
      <c r="A3693">
        <v>10850</v>
      </c>
      <c r="B3693" t="s">
        <v>148</v>
      </c>
      <c r="C3693">
        <v>51033531</v>
      </c>
      <c r="D3693">
        <v>59.328571540791025</v>
      </c>
      <c r="E3693" t="s">
        <v>94</v>
      </c>
      <c r="F3693">
        <v>686</v>
      </c>
      <c r="G3693" s="4">
        <v>46087.602233796293</v>
      </c>
    </row>
    <row r="3694" spans="1:7" x14ac:dyDescent="0.3">
      <c r="A3694">
        <v>10851</v>
      </c>
      <c r="B3694" t="s">
        <v>148</v>
      </c>
      <c r="C3694">
        <v>51032454</v>
      </c>
      <c r="D3694">
        <v>46.748159527028847</v>
      </c>
      <c r="E3694" t="s">
        <v>94</v>
      </c>
      <c r="F3694">
        <v>851</v>
      </c>
      <c r="G3694" s="4">
        <v>46087.602233796293</v>
      </c>
    </row>
    <row r="3695" spans="1:7" x14ac:dyDescent="0.3">
      <c r="A3695">
        <v>10852</v>
      </c>
      <c r="B3695" t="s">
        <v>148</v>
      </c>
      <c r="C3695">
        <v>51014260</v>
      </c>
      <c r="D3695">
        <v>89.425828509447129</v>
      </c>
      <c r="E3695" t="s">
        <v>92</v>
      </c>
      <c r="F3695">
        <v>140</v>
      </c>
      <c r="G3695" s="4">
        <v>46087.602233796293</v>
      </c>
    </row>
    <row r="3696" spans="1:7" x14ac:dyDescent="0.3">
      <c r="A3696">
        <v>10853</v>
      </c>
      <c r="B3696" t="s">
        <v>148</v>
      </c>
      <c r="C3696">
        <v>51011414</v>
      </c>
      <c r="D3696">
        <v>55.354347629811471</v>
      </c>
      <c r="E3696" t="s">
        <v>94</v>
      </c>
      <c r="F3696">
        <v>779</v>
      </c>
      <c r="G3696" s="4">
        <v>46087.602233796293</v>
      </c>
    </row>
    <row r="3697" spans="1:7" x14ac:dyDescent="0.3">
      <c r="A3697">
        <v>10854</v>
      </c>
      <c r="B3697" t="s">
        <v>148</v>
      </c>
      <c r="C3697">
        <v>51018559</v>
      </c>
      <c r="D3697">
        <v>31.9</v>
      </c>
      <c r="E3697" t="s">
        <v>94</v>
      </c>
      <c r="F3697">
        <v>927</v>
      </c>
      <c r="G3697" s="4">
        <v>46087.602233796293</v>
      </c>
    </row>
    <row r="3698" spans="1:7" x14ac:dyDescent="0.3">
      <c r="A3698">
        <v>10855</v>
      </c>
      <c r="B3698" t="s">
        <v>148</v>
      </c>
      <c r="C3698">
        <v>51014308</v>
      </c>
      <c r="D3698">
        <v>80.092026994275273</v>
      </c>
      <c r="E3698" t="s">
        <v>93</v>
      </c>
      <c r="F3698">
        <v>402</v>
      </c>
      <c r="G3698" s="4">
        <v>46087.602233796293</v>
      </c>
    </row>
    <row r="3699" spans="1:7" x14ac:dyDescent="0.3">
      <c r="A3699">
        <v>10856</v>
      </c>
      <c r="B3699" t="s">
        <v>148</v>
      </c>
      <c r="C3699">
        <v>51056949</v>
      </c>
      <c r="D3699">
        <v>85.334793950766951</v>
      </c>
      <c r="E3699" t="s">
        <v>93</v>
      </c>
      <c r="F3699">
        <v>250</v>
      </c>
      <c r="G3699" s="4">
        <v>46087.602233796293</v>
      </c>
    </row>
    <row r="3700" spans="1:7" x14ac:dyDescent="0.3">
      <c r="A3700">
        <v>10857</v>
      </c>
      <c r="B3700" t="s">
        <v>148</v>
      </c>
      <c r="C3700">
        <v>51022173</v>
      </c>
      <c r="D3700">
        <v>83.210696041074897</v>
      </c>
      <c r="E3700" t="s">
        <v>93</v>
      </c>
      <c r="F3700">
        <v>309</v>
      </c>
      <c r="G3700" s="4">
        <v>46087.602233796293</v>
      </c>
    </row>
    <row r="3701" spans="1:7" x14ac:dyDescent="0.3">
      <c r="A3701">
        <v>10858</v>
      </c>
      <c r="B3701" t="s">
        <v>148</v>
      </c>
      <c r="C3701">
        <v>51023765</v>
      </c>
      <c r="D3701">
        <v>95.293521623969312</v>
      </c>
      <c r="E3701" t="s">
        <v>275</v>
      </c>
      <c r="F3701">
        <v>48</v>
      </c>
      <c r="G3701" s="4">
        <v>46087.602233796293</v>
      </c>
    </row>
    <row r="3702" spans="1:7" x14ac:dyDescent="0.3">
      <c r="A3702">
        <v>10859</v>
      </c>
      <c r="B3702" t="s">
        <v>148</v>
      </c>
      <c r="C3702">
        <v>51038908</v>
      </c>
      <c r="D3702">
        <v>88.94336169567076</v>
      </c>
      <c r="E3702" t="s">
        <v>92</v>
      </c>
      <c r="F3702">
        <v>155</v>
      </c>
      <c r="G3702" s="4">
        <v>46087.602233796293</v>
      </c>
    </row>
    <row r="3703" spans="1:7" x14ac:dyDescent="0.3">
      <c r="A3703">
        <v>10860</v>
      </c>
      <c r="B3703" t="s">
        <v>148</v>
      </c>
      <c r="C3703">
        <v>51013158</v>
      </c>
      <c r="D3703">
        <v>62.624577066033019</v>
      </c>
      <c r="E3703" t="s">
        <v>94</v>
      </c>
      <c r="F3703">
        <v>623</v>
      </c>
      <c r="G3703" s="4">
        <v>46087.602233796293</v>
      </c>
    </row>
    <row r="3704" spans="1:7" x14ac:dyDescent="0.3">
      <c r="A3704">
        <v>10861</v>
      </c>
      <c r="B3704" t="s">
        <v>148</v>
      </c>
      <c r="C3704">
        <v>51024176</v>
      </c>
      <c r="D3704">
        <v>64.064044946975116</v>
      </c>
      <c r="E3704" t="s">
        <v>94</v>
      </c>
      <c r="F3704">
        <v>612</v>
      </c>
      <c r="G3704" s="4">
        <v>46087.602233796293</v>
      </c>
    </row>
    <row r="3705" spans="1:7" x14ac:dyDescent="0.3">
      <c r="A3705">
        <v>10862</v>
      </c>
      <c r="B3705" t="s">
        <v>148</v>
      </c>
      <c r="C3705">
        <v>51000196</v>
      </c>
      <c r="D3705">
        <v>88.372447805471637</v>
      </c>
      <c r="E3705" t="s">
        <v>92</v>
      </c>
      <c r="F3705">
        <v>169</v>
      </c>
      <c r="G3705" s="4">
        <v>46087.602233796293</v>
      </c>
    </row>
    <row r="3706" spans="1:7" x14ac:dyDescent="0.3">
      <c r="A3706">
        <v>10863</v>
      </c>
      <c r="B3706" t="s">
        <v>148</v>
      </c>
      <c r="C3706">
        <v>51024672</v>
      </c>
      <c r="D3706">
        <v>78.97108851929049</v>
      </c>
      <c r="E3706" t="s">
        <v>93</v>
      </c>
      <c r="F3706">
        <v>430</v>
      </c>
      <c r="G3706" s="4">
        <v>46087.602233796293</v>
      </c>
    </row>
    <row r="3707" spans="1:7" x14ac:dyDescent="0.3">
      <c r="A3707">
        <v>10864</v>
      </c>
      <c r="B3707" t="s">
        <v>148</v>
      </c>
      <c r="C3707">
        <v>51021657</v>
      </c>
      <c r="D3707">
        <v>31.36</v>
      </c>
      <c r="E3707" t="s">
        <v>94</v>
      </c>
      <c r="F3707">
        <v>929</v>
      </c>
      <c r="G3707" s="4">
        <v>46087.602233796293</v>
      </c>
    </row>
    <row r="3708" spans="1:7" x14ac:dyDescent="0.3">
      <c r="A3708">
        <v>10865</v>
      </c>
      <c r="B3708" t="s">
        <v>148</v>
      </c>
      <c r="C3708">
        <v>51042263</v>
      </c>
      <c r="D3708">
        <v>80.553511102681952</v>
      </c>
      <c r="E3708" t="s">
        <v>93</v>
      </c>
      <c r="F3708">
        <v>392</v>
      </c>
      <c r="G3708" s="4">
        <v>46087.602233796293</v>
      </c>
    </row>
    <row r="3709" spans="1:7" x14ac:dyDescent="0.3">
      <c r="A3709">
        <v>10866</v>
      </c>
      <c r="B3709" t="s">
        <v>148</v>
      </c>
      <c r="C3709">
        <v>51055365</v>
      </c>
      <c r="D3709">
        <v>86.423184985471124</v>
      </c>
      <c r="E3709" t="s">
        <v>92</v>
      </c>
      <c r="F3709">
        <v>218</v>
      </c>
      <c r="G3709" s="4">
        <v>46087.602233796293</v>
      </c>
    </row>
    <row r="3710" spans="1:7" x14ac:dyDescent="0.3">
      <c r="A3710">
        <v>10867</v>
      </c>
      <c r="B3710" t="s">
        <v>148</v>
      </c>
      <c r="C3710">
        <v>51031385</v>
      </c>
      <c r="D3710">
        <v>82.731453828000227</v>
      </c>
      <c r="E3710" t="s">
        <v>93</v>
      </c>
      <c r="F3710">
        <v>330</v>
      </c>
      <c r="G3710" s="4">
        <v>46087.602233796293</v>
      </c>
    </row>
    <row r="3711" spans="1:7" x14ac:dyDescent="0.3">
      <c r="A3711">
        <v>10868</v>
      </c>
      <c r="B3711" t="s">
        <v>148</v>
      </c>
      <c r="C3711">
        <v>51041577</v>
      </c>
      <c r="D3711">
        <v>93.367706168205174</v>
      </c>
      <c r="E3711" t="s">
        <v>92</v>
      </c>
      <c r="F3711">
        <v>70</v>
      </c>
      <c r="G3711" s="4">
        <v>46087.602233796293</v>
      </c>
    </row>
    <row r="3712" spans="1:7" x14ac:dyDescent="0.3">
      <c r="A3712">
        <v>10869</v>
      </c>
      <c r="B3712" t="s">
        <v>148</v>
      </c>
      <c r="C3712">
        <v>51018877</v>
      </c>
      <c r="D3712">
        <v>60.887461223927403</v>
      </c>
      <c r="E3712" t="s">
        <v>94</v>
      </c>
      <c r="F3712">
        <v>650</v>
      </c>
      <c r="G3712" s="4">
        <v>46087.602233796293</v>
      </c>
    </row>
    <row r="3713" spans="1:7" x14ac:dyDescent="0.3">
      <c r="A3713">
        <v>10870</v>
      </c>
      <c r="B3713" t="s">
        <v>148</v>
      </c>
      <c r="C3713">
        <v>51030303</v>
      </c>
      <c r="D3713">
        <v>21.079102384552968</v>
      </c>
      <c r="E3713" t="s">
        <v>95</v>
      </c>
      <c r="F3713">
        <v>1009</v>
      </c>
      <c r="G3713" s="4">
        <v>46087.602233796293</v>
      </c>
    </row>
    <row r="3714" spans="1:7" x14ac:dyDescent="0.3">
      <c r="A3714">
        <v>10871</v>
      </c>
      <c r="B3714" t="s">
        <v>148</v>
      </c>
      <c r="C3714">
        <v>51030613</v>
      </c>
      <c r="D3714">
        <v>63.509237854810095</v>
      </c>
      <c r="E3714" t="s">
        <v>94</v>
      </c>
      <c r="F3714">
        <v>615</v>
      </c>
      <c r="G3714" s="4">
        <v>46087.602233796293</v>
      </c>
    </row>
    <row r="3715" spans="1:7" x14ac:dyDescent="0.3">
      <c r="A3715">
        <v>10872</v>
      </c>
      <c r="B3715" t="s">
        <v>148</v>
      </c>
      <c r="C3715">
        <v>51033761</v>
      </c>
      <c r="D3715">
        <v>55.53751156439511</v>
      </c>
      <c r="E3715" t="s">
        <v>94</v>
      </c>
      <c r="F3715">
        <v>773</v>
      </c>
      <c r="G3715" s="4">
        <v>46087.602233796293</v>
      </c>
    </row>
    <row r="3716" spans="1:7" x14ac:dyDescent="0.3">
      <c r="A3716">
        <v>10873</v>
      </c>
      <c r="B3716" t="s">
        <v>148</v>
      </c>
      <c r="C3716">
        <v>51023170</v>
      </c>
      <c r="D3716">
        <v>87.325564837239028</v>
      </c>
      <c r="E3716" t="s">
        <v>92</v>
      </c>
      <c r="F3716">
        <v>192</v>
      </c>
      <c r="G3716" s="4">
        <v>46087.602233796293</v>
      </c>
    </row>
    <row r="3717" spans="1:7" x14ac:dyDescent="0.3">
      <c r="A3717">
        <v>10874</v>
      </c>
      <c r="B3717" t="s">
        <v>148</v>
      </c>
      <c r="C3717">
        <v>51030079</v>
      </c>
      <c r="D3717">
        <v>70.049338513178952</v>
      </c>
      <c r="E3717" t="s">
        <v>93</v>
      </c>
      <c r="F3717">
        <v>545</v>
      </c>
      <c r="G3717" s="4">
        <v>46087.602233796293</v>
      </c>
    </row>
    <row r="3718" spans="1:7" x14ac:dyDescent="0.3">
      <c r="A3718">
        <v>10875</v>
      </c>
      <c r="B3718" t="s">
        <v>148</v>
      </c>
      <c r="C3718">
        <v>51034317</v>
      </c>
      <c r="D3718">
        <v>60.379190567968344</v>
      </c>
      <c r="E3718" t="s">
        <v>94</v>
      </c>
      <c r="F3718">
        <v>660</v>
      </c>
      <c r="G3718" s="4">
        <v>46087.602233796293</v>
      </c>
    </row>
    <row r="3719" spans="1:7" x14ac:dyDescent="0.3">
      <c r="A3719">
        <v>10876</v>
      </c>
      <c r="B3719" t="s">
        <v>148</v>
      </c>
      <c r="C3719">
        <v>51012666</v>
      </c>
      <c r="D3719">
        <v>80.549147069369624</v>
      </c>
      <c r="E3719" t="s">
        <v>93</v>
      </c>
      <c r="F3719">
        <v>393</v>
      </c>
      <c r="G3719" s="4">
        <v>46087.602233796293</v>
      </c>
    </row>
    <row r="3720" spans="1:7" x14ac:dyDescent="0.3">
      <c r="A3720">
        <v>10877</v>
      </c>
      <c r="B3720" t="s">
        <v>148</v>
      </c>
      <c r="C3720">
        <v>51036247</v>
      </c>
      <c r="D3720">
        <v>54.521299959434181</v>
      </c>
      <c r="E3720" t="s">
        <v>94</v>
      </c>
      <c r="F3720">
        <v>783</v>
      </c>
      <c r="G3720" s="4">
        <v>46087.602233796293</v>
      </c>
    </row>
    <row r="3721" spans="1:7" x14ac:dyDescent="0.3">
      <c r="A3721">
        <v>10878</v>
      </c>
      <c r="B3721" t="s">
        <v>148</v>
      </c>
      <c r="C3721">
        <v>51011325</v>
      </c>
      <c r="D3721">
        <v>21.693000000000001</v>
      </c>
      <c r="E3721" t="s">
        <v>95</v>
      </c>
      <c r="F3721">
        <v>1005</v>
      </c>
      <c r="G3721" s="4">
        <v>46087.602233796293</v>
      </c>
    </row>
    <row r="3722" spans="1:7" x14ac:dyDescent="0.3">
      <c r="A3722">
        <v>10879</v>
      </c>
      <c r="B3722" t="s">
        <v>148</v>
      </c>
      <c r="C3722">
        <v>51004469</v>
      </c>
      <c r="D3722">
        <v>55.393433028756064</v>
      </c>
      <c r="E3722" t="s">
        <v>94</v>
      </c>
      <c r="F3722">
        <v>778</v>
      </c>
      <c r="G3722" s="4">
        <v>46087.602233796293</v>
      </c>
    </row>
    <row r="3723" spans="1:7" x14ac:dyDescent="0.3">
      <c r="A3723">
        <v>10880</v>
      </c>
      <c r="B3723" t="s">
        <v>148</v>
      </c>
      <c r="C3723">
        <v>51020251</v>
      </c>
      <c r="D3723">
        <v>86.448337703219096</v>
      </c>
      <c r="E3723" t="s">
        <v>92</v>
      </c>
      <c r="F3723">
        <v>216</v>
      </c>
      <c r="G3723" s="4">
        <v>46087.602233796293</v>
      </c>
    </row>
    <row r="3724" spans="1:7" x14ac:dyDescent="0.3">
      <c r="A3724">
        <v>10881</v>
      </c>
      <c r="B3724" t="s">
        <v>148</v>
      </c>
      <c r="C3724">
        <v>51016793</v>
      </c>
      <c r="D3724">
        <v>89.172940121547327</v>
      </c>
      <c r="E3724" t="s">
        <v>92</v>
      </c>
      <c r="F3724">
        <v>147</v>
      </c>
      <c r="G3724" s="4">
        <v>46087.602233796293</v>
      </c>
    </row>
    <row r="3725" spans="1:7" x14ac:dyDescent="0.3">
      <c r="A3725">
        <v>10882</v>
      </c>
      <c r="B3725" t="s">
        <v>148</v>
      </c>
      <c r="C3725">
        <v>51015401</v>
      </c>
      <c r="D3725">
        <v>97.581459370633183</v>
      </c>
      <c r="E3725" t="s">
        <v>275</v>
      </c>
      <c r="F3725">
        <v>28</v>
      </c>
      <c r="G3725" s="4">
        <v>46087.602233796293</v>
      </c>
    </row>
    <row r="3726" spans="1:7" x14ac:dyDescent="0.3">
      <c r="A3726">
        <v>10883</v>
      </c>
      <c r="B3726" t="s">
        <v>148</v>
      </c>
      <c r="C3726">
        <v>51056281</v>
      </c>
      <c r="D3726">
        <v>84.636701828962998</v>
      </c>
      <c r="E3726" t="s">
        <v>93</v>
      </c>
      <c r="F3726">
        <v>267</v>
      </c>
      <c r="G3726" s="4">
        <v>46087.602233796293</v>
      </c>
    </row>
    <row r="3727" spans="1:7" x14ac:dyDescent="0.3">
      <c r="A3727">
        <v>10884</v>
      </c>
      <c r="B3727" t="s">
        <v>148</v>
      </c>
      <c r="C3727">
        <v>51055012</v>
      </c>
      <c r="D3727">
        <v>59.026758978260645</v>
      </c>
      <c r="E3727" t="s">
        <v>94</v>
      </c>
      <c r="F3727">
        <v>691</v>
      </c>
      <c r="G3727" s="4">
        <v>46087.602233796293</v>
      </c>
    </row>
    <row r="3728" spans="1:7" x14ac:dyDescent="0.3">
      <c r="A3728">
        <v>10885</v>
      </c>
      <c r="B3728" t="s">
        <v>148</v>
      </c>
      <c r="C3728">
        <v>51006615</v>
      </c>
      <c r="D3728">
        <v>83.529945316606941</v>
      </c>
      <c r="E3728" t="s">
        <v>93</v>
      </c>
      <c r="F3728">
        <v>297</v>
      </c>
      <c r="G3728" s="4">
        <v>46087.602233796293</v>
      </c>
    </row>
    <row r="3729" spans="1:7" x14ac:dyDescent="0.3">
      <c r="A3729">
        <v>10886</v>
      </c>
      <c r="B3729" t="s">
        <v>148</v>
      </c>
      <c r="C3729">
        <v>51011724</v>
      </c>
      <c r="D3729">
        <v>89.11750704632162</v>
      </c>
      <c r="E3729" t="s">
        <v>92</v>
      </c>
      <c r="F3729">
        <v>148</v>
      </c>
      <c r="G3729" s="4">
        <v>46087.602233796293</v>
      </c>
    </row>
    <row r="3730" spans="1:7" x14ac:dyDescent="0.3">
      <c r="A3730">
        <v>10887</v>
      </c>
      <c r="B3730" t="s">
        <v>148</v>
      </c>
      <c r="C3730">
        <v>51010469</v>
      </c>
      <c r="D3730">
        <v>59.326613235377124</v>
      </c>
      <c r="E3730" t="s">
        <v>94</v>
      </c>
      <c r="F3730">
        <v>687</v>
      </c>
      <c r="G3730" s="4">
        <v>46087.602233796293</v>
      </c>
    </row>
    <row r="3731" spans="1:7" x14ac:dyDescent="0.3">
      <c r="A3731">
        <v>10888</v>
      </c>
      <c r="B3731" t="s">
        <v>148</v>
      </c>
      <c r="C3731">
        <v>51056191</v>
      </c>
      <c r="D3731">
        <v>81.750507342774696</v>
      </c>
      <c r="E3731" t="s">
        <v>93</v>
      </c>
      <c r="F3731">
        <v>357</v>
      </c>
      <c r="G3731" s="4">
        <v>46087.602233796293</v>
      </c>
    </row>
    <row r="3732" spans="1:7" x14ac:dyDescent="0.3">
      <c r="A3732">
        <v>10889</v>
      </c>
      <c r="B3732" t="s">
        <v>148</v>
      </c>
      <c r="C3732">
        <v>51023781</v>
      </c>
      <c r="D3732">
        <v>73.062385546327121</v>
      </c>
      <c r="E3732" t="s">
        <v>93</v>
      </c>
      <c r="F3732">
        <v>495</v>
      </c>
      <c r="G3732" s="4">
        <v>46087.602233796293</v>
      </c>
    </row>
    <row r="3733" spans="1:7" x14ac:dyDescent="0.3">
      <c r="A3733">
        <v>10890</v>
      </c>
      <c r="B3733" t="s">
        <v>148</v>
      </c>
      <c r="C3733">
        <v>51056221</v>
      </c>
      <c r="D3733">
        <v>77.333425721447824</v>
      </c>
      <c r="E3733" t="s">
        <v>93</v>
      </c>
      <c r="F3733">
        <v>450</v>
      </c>
      <c r="G3733" s="4">
        <v>46087.602233796293</v>
      </c>
    </row>
    <row r="3734" spans="1:7" x14ac:dyDescent="0.3">
      <c r="A3734">
        <v>10891</v>
      </c>
      <c r="B3734" t="s">
        <v>148</v>
      </c>
      <c r="C3734">
        <v>51018443</v>
      </c>
      <c r="D3734">
        <v>83.083344489350708</v>
      </c>
      <c r="E3734" t="s">
        <v>93</v>
      </c>
      <c r="F3734">
        <v>317</v>
      </c>
      <c r="G3734" s="4">
        <v>46087.602233796293</v>
      </c>
    </row>
    <row r="3735" spans="1:7" x14ac:dyDescent="0.3">
      <c r="A3735">
        <v>10892</v>
      </c>
      <c r="B3735" t="s">
        <v>148</v>
      </c>
      <c r="C3735">
        <v>51023757</v>
      </c>
      <c r="D3735">
        <v>100</v>
      </c>
      <c r="E3735" t="s">
        <v>275</v>
      </c>
      <c r="F3735">
        <v>1</v>
      </c>
      <c r="G3735" s="4">
        <v>46087.602233796293</v>
      </c>
    </row>
    <row r="3736" spans="1:7" x14ac:dyDescent="0.3">
      <c r="A3736">
        <v>10893</v>
      </c>
      <c r="B3736" t="s">
        <v>148</v>
      </c>
      <c r="C3736">
        <v>51055357</v>
      </c>
      <c r="D3736">
        <v>91.079975402687666</v>
      </c>
      <c r="E3736" t="s">
        <v>92</v>
      </c>
      <c r="F3736">
        <v>105</v>
      </c>
      <c r="G3736" s="4">
        <v>46087.602233796293</v>
      </c>
    </row>
    <row r="3737" spans="1:7" x14ac:dyDescent="0.3">
      <c r="A3737">
        <v>10894</v>
      </c>
      <c r="B3737" t="s">
        <v>148</v>
      </c>
      <c r="C3737">
        <v>51021576</v>
      </c>
      <c r="D3737">
        <v>96.030034049593496</v>
      </c>
      <c r="E3737" t="s">
        <v>275</v>
      </c>
      <c r="F3737">
        <v>40</v>
      </c>
      <c r="G3737" s="4">
        <v>46087.602233796293</v>
      </c>
    </row>
    <row r="3738" spans="1:7" x14ac:dyDescent="0.3">
      <c r="A3738">
        <v>10895</v>
      </c>
      <c r="B3738" t="s">
        <v>148</v>
      </c>
      <c r="C3738">
        <v>51018591</v>
      </c>
      <c r="D3738">
        <v>89.212208951847217</v>
      </c>
      <c r="E3738" t="s">
        <v>92</v>
      </c>
      <c r="F3738">
        <v>145</v>
      </c>
      <c r="G3738" s="4">
        <v>46087.602233796293</v>
      </c>
    </row>
    <row r="3739" spans="1:7" x14ac:dyDescent="0.3">
      <c r="A3739">
        <v>10896</v>
      </c>
      <c r="B3739" t="s">
        <v>148</v>
      </c>
      <c r="C3739">
        <v>51023471</v>
      </c>
      <c r="D3739">
        <v>85.632134141691211</v>
      </c>
      <c r="E3739" t="s">
        <v>92</v>
      </c>
      <c r="F3739">
        <v>239</v>
      </c>
      <c r="G3739" s="4">
        <v>46087.602233796293</v>
      </c>
    </row>
    <row r="3740" spans="1:7" x14ac:dyDescent="0.3">
      <c r="A3740">
        <v>10897</v>
      </c>
      <c r="B3740" t="s">
        <v>148</v>
      </c>
      <c r="C3740">
        <v>51031393</v>
      </c>
      <c r="D3740">
        <v>80.911105316836426</v>
      </c>
      <c r="E3740" t="s">
        <v>93</v>
      </c>
      <c r="F3740">
        <v>383</v>
      </c>
      <c r="G3740" s="4">
        <v>46087.602233796293</v>
      </c>
    </row>
    <row r="3741" spans="1:7" x14ac:dyDescent="0.3">
      <c r="A3741">
        <v>10898</v>
      </c>
      <c r="B3741" t="s">
        <v>148</v>
      </c>
      <c r="C3741">
        <v>51025971</v>
      </c>
      <c r="D3741">
        <v>30.798000000000002</v>
      </c>
      <c r="E3741" t="s">
        <v>94</v>
      </c>
      <c r="F3741">
        <v>936</v>
      </c>
      <c r="G3741" s="4">
        <v>46087.602233796293</v>
      </c>
    </row>
    <row r="3742" spans="1:7" x14ac:dyDescent="0.3">
      <c r="A3742">
        <v>10899</v>
      </c>
      <c r="B3742" t="s">
        <v>148</v>
      </c>
      <c r="C3742">
        <v>51020880</v>
      </c>
      <c r="D3742">
        <v>100</v>
      </c>
      <c r="E3742" t="s">
        <v>275</v>
      </c>
      <c r="F3742">
        <v>1</v>
      </c>
      <c r="G3742" s="4">
        <v>46087.602233796293</v>
      </c>
    </row>
    <row r="3743" spans="1:7" x14ac:dyDescent="0.3">
      <c r="A3743">
        <v>10900</v>
      </c>
      <c r="B3743" t="s">
        <v>148</v>
      </c>
      <c r="C3743">
        <v>51023056</v>
      </c>
      <c r="D3743">
        <v>83.267987899368507</v>
      </c>
      <c r="E3743" t="s">
        <v>93</v>
      </c>
      <c r="F3743">
        <v>308</v>
      </c>
      <c r="G3743" s="4">
        <v>46087.602233796293</v>
      </c>
    </row>
    <row r="3744" spans="1:7" x14ac:dyDescent="0.3">
      <c r="A3744">
        <v>10901</v>
      </c>
      <c r="B3744" t="s">
        <v>148</v>
      </c>
      <c r="C3744">
        <v>51022688</v>
      </c>
      <c r="D3744">
        <v>88.81110719955015</v>
      </c>
      <c r="E3744" t="s">
        <v>92</v>
      </c>
      <c r="F3744">
        <v>157</v>
      </c>
      <c r="G3744" s="4">
        <v>46087.602233796293</v>
      </c>
    </row>
    <row r="3745" spans="1:7" x14ac:dyDescent="0.3">
      <c r="A3745">
        <v>10902</v>
      </c>
      <c r="B3745" t="s">
        <v>148</v>
      </c>
      <c r="C3745">
        <v>51012747</v>
      </c>
      <c r="D3745">
        <v>77.855453099871539</v>
      </c>
      <c r="E3745" t="s">
        <v>93</v>
      </c>
      <c r="F3745">
        <v>442</v>
      </c>
      <c r="G3745" s="4">
        <v>46087.602233796293</v>
      </c>
    </row>
    <row r="3746" spans="1:7" x14ac:dyDescent="0.3">
      <c r="A3746">
        <v>10903</v>
      </c>
      <c r="B3746" t="s">
        <v>148</v>
      </c>
      <c r="C3746">
        <v>51032900</v>
      </c>
      <c r="D3746">
        <v>74.135968893013327</v>
      </c>
      <c r="E3746" t="s">
        <v>93</v>
      </c>
      <c r="F3746">
        <v>492</v>
      </c>
      <c r="G3746" s="4">
        <v>46087.602233796293</v>
      </c>
    </row>
    <row r="3747" spans="1:7" x14ac:dyDescent="0.3">
      <c r="A3747">
        <v>10904</v>
      </c>
      <c r="B3747" t="s">
        <v>148</v>
      </c>
      <c r="C3747">
        <v>51056434</v>
      </c>
      <c r="D3747">
        <v>81.464809127255378</v>
      </c>
      <c r="E3747" t="s">
        <v>93</v>
      </c>
      <c r="F3747">
        <v>365</v>
      </c>
      <c r="G3747" s="4">
        <v>46087.602233796293</v>
      </c>
    </row>
    <row r="3748" spans="1:7" x14ac:dyDescent="0.3">
      <c r="A3748">
        <v>10905</v>
      </c>
      <c r="B3748" t="s">
        <v>148</v>
      </c>
      <c r="C3748">
        <v>51019261</v>
      </c>
      <c r="D3748">
        <v>72.880440850099973</v>
      </c>
      <c r="E3748" t="s">
        <v>93</v>
      </c>
      <c r="F3748">
        <v>500</v>
      </c>
      <c r="G3748" s="4">
        <v>46087.602233796293</v>
      </c>
    </row>
    <row r="3749" spans="1:7" x14ac:dyDescent="0.3">
      <c r="A3749">
        <v>10906</v>
      </c>
      <c r="B3749" t="s">
        <v>148</v>
      </c>
      <c r="C3749">
        <v>51018486</v>
      </c>
      <c r="D3749">
        <v>60.473610631943593</v>
      </c>
      <c r="E3749" t="s">
        <v>94</v>
      </c>
      <c r="F3749">
        <v>657</v>
      </c>
      <c r="G3749" s="4">
        <v>46087.602233796293</v>
      </c>
    </row>
    <row r="3750" spans="1:7" x14ac:dyDescent="0.3">
      <c r="A3750">
        <v>10907</v>
      </c>
      <c r="B3750" t="s">
        <v>148</v>
      </c>
      <c r="C3750">
        <v>51005732</v>
      </c>
      <c r="D3750">
        <v>79.75712749973529</v>
      </c>
      <c r="E3750" t="s">
        <v>93</v>
      </c>
      <c r="F3750">
        <v>410</v>
      </c>
      <c r="G3750" s="4">
        <v>46087.602233796293</v>
      </c>
    </row>
    <row r="3751" spans="1:7" x14ac:dyDescent="0.3">
      <c r="A3751">
        <v>10908</v>
      </c>
      <c r="B3751" t="s">
        <v>148</v>
      </c>
      <c r="C3751">
        <v>51039785</v>
      </c>
      <c r="D3751">
        <v>54.885273552215764</v>
      </c>
      <c r="E3751" t="s">
        <v>94</v>
      </c>
      <c r="F3751">
        <v>781</v>
      </c>
      <c r="G3751" s="4">
        <v>46087.602233796293</v>
      </c>
    </row>
    <row r="3752" spans="1:7" x14ac:dyDescent="0.3">
      <c r="A3752">
        <v>10909</v>
      </c>
      <c r="B3752" t="s">
        <v>148</v>
      </c>
      <c r="C3752">
        <v>51025865</v>
      </c>
      <c r="D3752">
        <v>90.397961025281504</v>
      </c>
      <c r="E3752" t="s">
        <v>92</v>
      </c>
      <c r="F3752">
        <v>115</v>
      </c>
      <c r="G3752" s="4">
        <v>46087.602233796293</v>
      </c>
    </row>
    <row r="3753" spans="1:7" x14ac:dyDescent="0.3">
      <c r="A3753">
        <v>10910</v>
      </c>
      <c r="B3753" t="s">
        <v>148</v>
      </c>
      <c r="C3753">
        <v>51015657</v>
      </c>
      <c r="D3753">
        <v>77.618526419936927</v>
      </c>
      <c r="E3753" t="s">
        <v>93</v>
      </c>
      <c r="F3753">
        <v>445</v>
      </c>
      <c r="G3753" s="4">
        <v>46087.602233796293</v>
      </c>
    </row>
    <row r="3754" spans="1:7" x14ac:dyDescent="0.3">
      <c r="A3754">
        <v>10911</v>
      </c>
      <c r="B3754" t="s">
        <v>148</v>
      </c>
      <c r="C3754">
        <v>51001168</v>
      </c>
      <c r="D3754">
        <v>72.618681821376811</v>
      </c>
      <c r="E3754" t="s">
        <v>93</v>
      </c>
      <c r="F3754">
        <v>505</v>
      </c>
      <c r="G3754" s="4">
        <v>46087.602233796293</v>
      </c>
    </row>
    <row r="3755" spans="1:7" x14ac:dyDescent="0.3">
      <c r="A3755">
        <v>10912</v>
      </c>
      <c r="B3755" t="s">
        <v>148</v>
      </c>
      <c r="C3755">
        <v>51021380</v>
      </c>
      <c r="D3755">
        <v>74.32351729733206</v>
      </c>
      <c r="E3755" t="s">
        <v>93</v>
      </c>
      <c r="F3755">
        <v>490</v>
      </c>
      <c r="G3755" s="4">
        <v>46087.602233796293</v>
      </c>
    </row>
    <row r="3756" spans="1:7" x14ac:dyDescent="0.3">
      <c r="A3756">
        <v>10913</v>
      </c>
      <c r="B3756" t="s">
        <v>148</v>
      </c>
      <c r="C3756">
        <v>51011970</v>
      </c>
      <c r="D3756">
        <v>87.525933246793045</v>
      </c>
      <c r="E3756" t="s">
        <v>92</v>
      </c>
      <c r="F3756">
        <v>188</v>
      </c>
      <c r="G3756" s="4">
        <v>46087.602233796293</v>
      </c>
    </row>
    <row r="3757" spans="1:7" x14ac:dyDescent="0.3">
      <c r="A3757">
        <v>10914</v>
      </c>
      <c r="B3757" t="s">
        <v>148</v>
      </c>
      <c r="C3757">
        <v>51036697</v>
      </c>
      <c r="D3757">
        <v>38.324666557420315</v>
      </c>
      <c r="E3757" t="s">
        <v>94</v>
      </c>
      <c r="F3757">
        <v>890</v>
      </c>
      <c r="G3757" s="4">
        <v>46087.602233796293</v>
      </c>
    </row>
    <row r="3758" spans="1:7" x14ac:dyDescent="0.3">
      <c r="A3758">
        <v>10915</v>
      </c>
      <c r="B3758" t="s">
        <v>148</v>
      </c>
      <c r="C3758">
        <v>51009061</v>
      </c>
      <c r="D3758">
        <v>47.117371105809056</v>
      </c>
      <c r="E3758" t="s">
        <v>94</v>
      </c>
      <c r="F3758">
        <v>846</v>
      </c>
      <c r="G3758" s="4">
        <v>46087.602233796293</v>
      </c>
    </row>
    <row r="3759" spans="1:7" x14ac:dyDescent="0.3">
      <c r="A3759">
        <v>10916</v>
      </c>
      <c r="B3759" t="s">
        <v>148</v>
      </c>
      <c r="C3759">
        <v>51013824</v>
      </c>
      <c r="D3759">
        <v>89.961713350421789</v>
      </c>
      <c r="E3759" t="s">
        <v>92</v>
      </c>
      <c r="F3759">
        <v>124</v>
      </c>
      <c r="G3759" s="4">
        <v>46087.602233796293</v>
      </c>
    </row>
    <row r="3760" spans="1:7" x14ac:dyDescent="0.3">
      <c r="A3760">
        <v>10917</v>
      </c>
      <c r="B3760" t="s">
        <v>148</v>
      </c>
      <c r="C3760">
        <v>51009240</v>
      </c>
      <c r="D3760">
        <v>67.39706592766467</v>
      </c>
      <c r="E3760" t="s">
        <v>93</v>
      </c>
      <c r="F3760">
        <v>582</v>
      </c>
      <c r="G3760" s="4">
        <v>46087.602233796293</v>
      </c>
    </row>
    <row r="3761" spans="1:7" x14ac:dyDescent="0.3">
      <c r="A3761">
        <v>10918</v>
      </c>
      <c r="B3761" t="s">
        <v>148</v>
      </c>
      <c r="C3761">
        <v>51001061</v>
      </c>
      <c r="D3761">
        <v>67.692121463671739</v>
      </c>
      <c r="E3761" t="s">
        <v>93</v>
      </c>
      <c r="F3761">
        <v>577</v>
      </c>
      <c r="G3761" s="4">
        <v>46087.602233796293</v>
      </c>
    </row>
    <row r="3762" spans="1:7" x14ac:dyDescent="0.3">
      <c r="A3762">
        <v>10919</v>
      </c>
      <c r="B3762" t="s">
        <v>148</v>
      </c>
      <c r="C3762">
        <v>51018621</v>
      </c>
      <c r="D3762">
        <v>18.40666549781351</v>
      </c>
      <c r="E3762" t="s">
        <v>95</v>
      </c>
      <c r="F3762">
        <v>1051</v>
      </c>
      <c r="G3762" s="4">
        <v>46087.602233796293</v>
      </c>
    </row>
    <row r="3763" spans="1:7" x14ac:dyDescent="0.3">
      <c r="A3763">
        <v>10920</v>
      </c>
      <c r="B3763" t="s">
        <v>148</v>
      </c>
      <c r="C3763">
        <v>51011031</v>
      </c>
      <c r="D3763">
        <v>89.697843153954807</v>
      </c>
      <c r="E3763" t="s">
        <v>92</v>
      </c>
      <c r="F3763">
        <v>132</v>
      </c>
      <c r="G3763" s="4">
        <v>46087.602233796293</v>
      </c>
    </row>
    <row r="3764" spans="1:7" x14ac:dyDescent="0.3">
      <c r="A3764">
        <v>10921</v>
      </c>
      <c r="B3764" t="s">
        <v>148</v>
      </c>
      <c r="C3764">
        <v>51013239</v>
      </c>
      <c r="D3764">
        <v>72.892084453726397</v>
      </c>
      <c r="E3764" t="s">
        <v>93</v>
      </c>
      <c r="F3764">
        <v>499</v>
      </c>
      <c r="G3764" s="4">
        <v>46087.602233796293</v>
      </c>
    </row>
    <row r="3765" spans="1:7" x14ac:dyDescent="0.3">
      <c r="A3765">
        <v>10922</v>
      </c>
      <c r="B3765" t="s">
        <v>148</v>
      </c>
      <c r="C3765">
        <v>51030281</v>
      </c>
      <c r="D3765">
        <v>59.946932209492047</v>
      </c>
      <c r="E3765" t="s">
        <v>94</v>
      </c>
      <c r="F3765">
        <v>670</v>
      </c>
      <c r="G3765" s="4">
        <v>46087.602233796293</v>
      </c>
    </row>
    <row r="3766" spans="1:7" x14ac:dyDescent="0.3">
      <c r="A3766">
        <v>10923</v>
      </c>
      <c r="B3766" t="s">
        <v>148</v>
      </c>
      <c r="C3766">
        <v>51055829</v>
      </c>
      <c r="D3766">
        <v>34.594931491881177</v>
      </c>
      <c r="E3766" t="s">
        <v>94</v>
      </c>
      <c r="F3766">
        <v>909</v>
      </c>
      <c r="G3766" s="4">
        <v>46087.602233796293</v>
      </c>
    </row>
    <row r="3767" spans="1:7" x14ac:dyDescent="0.3">
      <c r="A3767">
        <v>10924</v>
      </c>
      <c r="B3767" t="s">
        <v>148</v>
      </c>
      <c r="C3767">
        <v>51023919</v>
      </c>
      <c r="D3767">
        <v>72.502526282578174</v>
      </c>
      <c r="E3767" t="s">
        <v>93</v>
      </c>
      <c r="F3767">
        <v>508</v>
      </c>
      <c r="G3767" s="4">
        <v>46087.602233796293</v>
      </c>
    </row>
    <row r="3768" spans="1:7" x14ac:dyDescent="0.3">
      <c r="A3768">
        <v>10925</v>
      </c>
      <c r="B3768" t="s">
        <v>148</v>
      </c>
      <c r="C3768">
        <v>51031610</v>
      </c>
      <c r="D3768">
        <v>93.45191633093954</v>
      </c>
      <c r="E3768" t="s">
        <v>92</v>
      </c>
      <c r="F3768">
        <v>68</v>
      </c>
      <c r="G3768" s="4">
        <v>46087.602233796293</v>
      </c>
    </row>
    <row r="3769" spans="1:7" x14ac:dyDescent="0.3">
      <c r="A3769">
        <v>10926</v>
      </c>
      <c r="B3769" t="s">
        <v>148</v>
      </c>
      <c r="C3769">
        <v>51024141</v>
      </c>
      <c r="D3769">
        <v>100</v>
      </c>
      <c r="E3769" t="s">
        <v>275</v>
      </c>
      <c r="F3769">
        <v>1</v>
      </c>
      <c r="G3769" s="4">
        <v>46087.602233796293</v>
      </c>
    </row>
    <row r="3770" spans="1:7" x14ac:dyDescent="0.3">
      <c r="A3770">
        <v>10927</v>
      </c>
      <c r="B3770" t="s">
        <v>148</v>
      </c>
      <c r="C3770">
        <v>51023137</v>
      </c>
      <c r="D3770">
        <v>100</v>
      </c>
      <c r="E3770" t="s">
        <v>275</v>
      </c>
      <c r="F3770">
        <v>1</v>
      </c>
      <c r="G3770" s="4">
        <v>46087.602233796293</v>
      </c>
    </row>
    <row r="3771" spans="1:7" x14ac:dyDescent="0.3">
      <c r="A3771">
        <v>10928</v>
      </c>
      <c r="B3771" t="s">
        <v>148</v>
      </c>
      <c r="C3771">
        <v>51026578</v>
      </c>
      <c r="D3771">
        <v>61.842395362144281</v>
      </c>
      <c r="E3771" t="s">
        <v>94</v>
      </c>
      <c r="F3771">
        <v>631</v>
      </c>
      <c r="G3771" s="4">
        <v>46087.602233796293</v>
      </c>
    </row>
    <row r="3772" spans="1:7" x14ac:dyDescent="0.3">
      <c r="A3772">
        <v>10929</v>
      </c>
      <c r="B3772" t="s">
        <v>148</v>
      </c>
      <c r="C3772">
        <v>51017986</v>
      </c>
      <c r="D3772">
        <v>92.759314834324499</v>
      </c>
      <c r="E3772" t="s">
        <v>92</v>
      </c>
      <c r="F3772">
        <v>78</v>
      </c>
      <c r="G3772" s="4">
        <v>46087.602233796293</v>
      </c>
    </row>
    <row r="3773" spans="1:7" x14ac:dyDescent="0.3">
      <c r="A3773">
        <v>10930</v>
      </c>
      <c r="B3773" t="s">
        <v>148</v>
      </c>
      <c r="C3773">
        <v>51055373</v>
      </c>
      <c r="D3773">
        <v>83.095742369885116</v>
      </c>
      <c r="E3773" t="s">
        <v>93</v>
      </c>
      <c r="F3773">
        <v>316</v>
      </c>
      <c r="G3773" s="4">
        <v>46087.602233796293</v>
      </c>
    </row>
    <row r="3774" spans="1:7" x14ac:dyDescent="0.3">
      <c r="A3774">
        <v>10931</v>
      </c>
      <c r="B3774" t="s">
        <v>148</v>
      </c>
      <c r="C3774">
        <v>51013794</v>
      </c>
      <c r="D3774">
        <v>67.347651196573779</v>
      </c>
      <c r="E3774" t="s">
        <v>93</v>
      </c>
      <c r="F3774">
        <v>584</v>
      </c>
      <c r="G3774" s="4">
        <v>46087.602233796293</v>
      </c>
    </row>
    <row r="3775" spans="1:7" x14ac:dyDescent="0.3">
      <c r="A3775">
        <v>10932</v>
      </c>
      <c r="B3775" t="s">
        <v>148</v>
      </c>
      <c r="C3775">
        <v>51033141</v>
      </c>
      <c r="D3775">
        <v>57.572465935004253</v>
      </c>
      <c r="E3775" t="s">
        <v>94</v>
      </c>
      <c r="F3775">
        <v>726</v>
      </c>
      <c r="G3775" s="4">
        <v>46087.602233796293</v>
      </c>
    </row>
    <row r="3776" spans="1:7" x14ac:dyDescent="0.3">
      <c r="A3776">
        <v>10933</v>
      </c>
      <c r="B3776" t="s">
        <v>148</v>
      </c>
      <c r="C3776">
        <v>51056612</v>
      </c>
      <c r="D3776">
        <v>46.952706213971034</v>
      </c>
      <c r="E3776" t="s">
        <v>94</v>
      </c>
      <c r="F3776">
        <v>849</v>
      </c>
      <c r="G3776" s="4">
        <v>46087.602233796293</v>
      </c>
    </row>
    <row r="3777" spans="1:7" x14ac:dyDescent="0.3">
      <c r="A3777">
        <v>10934</v>
      </c>
      <c r="B3777" t="s">
        <v>148</v>
      </c>
      <c r="C3777">
        <v>51032071</v>
      </c>
      <c r="D3777">
        <v>89.919277678072007</v>
      </c>
      <c r="E3777" t="s">
        <v>92</v>
      </c>
      <c r="F3777">
        <v>125</v>
      </c>
      <c r="G3777" s="4">
        <v>46087.602233796293</v>
      </c>
    </row>
    <row r="3778" spans="1:7" x14ac:dyDescent="0.3">
      <c r="A3778">
        <v>10935</v>
      </c>
      <c r="B3778" t="s">
        <v>148</v>
      </c>
      <c r="C3778">
        <v>51031121</v>
      </c>
      <c r="D3778">
        <v>90.142636765061809</v>
      </c>
      <c r="E3778" t="s">
        <v>92</v>
      </c>
      <c r="F3778">
        <v>120</v>
      </c>
      <c r="G3778" s="4">
        <v>46087.602233796293</v>
      </c>
    </row>
    <row r="3779" spans="1:7" x14ac:dyDescent="0.3">
      <c r="A3779">
        <v>10936</v>
      </c>
      <c r="B3779" t="s">
        <v>148</v>
      </c>
      <c r="C3779">
        <v>51056981</v>
      </c>
      <c r="D3779">
        <v>48.427051002617752</v>
      </c>
      <c r="E3779" t="s">
        <v>94</v>
      </c>
      <c r="F3779">
        <v>839</v>
      </c>
      <c r="G3779" s="4">
        <v>46087.602233796293</v>
      </c>
    </row>
    <row r="3780" spans="1:7" x14ac:dyDescent="0.3">
      <c r="A3780">
        <v>10937</v>
      </c>
      <c r="B3780" t="s">
        <v>148</v>
      </c>
      <c r="C3780">
        <v>51022424</v>
      </c>
      <c r="D3780">
        <v>12.038599999999999</v>
      </c>
      <c r="E3780" t="s">
        <v>95</v>
      </c>
      <c r="F3780">
        <v>1141</v>
      </c>
      <c r="G3780" s="4">
        <v>46087.602233796293</v>
      </c>
    </row>
    <row r="3781" spans="1:7" x14ac:dyDescent="0.3">
      <c r="A3781">
        <v>10938</v>
      </c>
      <c r="B3781" t="s">
        <v>148</v>
      </c>
      <c r="C3781">
        <v>51025920</v>
      </c>
      <c r="D3781">
        <v>61.416679308172213</v>
      </c>
      <c r="E3781" t="s">
        <v>94</v>
      </c>
      <c r="F3781">
        <v>640</v>
      </c>
      <c r="G3781" s="4">
        <v>46087.602233796293</v>
      </c>
    </row>
    <row r="3782" spans="1:7" x14ac:dyDescent="0.3">
      <c r="A3782">
        <v>10939</v>
      </c>
      <c r="B3782" t="s">
        <v>148</v>
      </c>
      <c r="C3782">
        <v>51056388</v>
      </c>
      <c r="D3782">
        <v>81.9416393493035</v>
      </c>
      <c r="E3782" t="s">
        <v>93</v>
      </c>
      <c r="F3782">
        <v>349</v>
      </c>
      <c r="G3782" s="4">
        <v>46087.602233796293</v>
      </c>
    </row>
    <row r="3783" spans="1:7" x14ac:dyDescent="0.3">
      <c r="A3783">
        <v>10940</v>
      </c>
      <c r="B3783" t="s">
        <v>148</v>
      </c>
      <c r="C3783">
        <v>51033485</v>
      </c>
      <c r="D3783">
        <v>49.330636257993845</v>
      </c>
      <c r="E3783" t="s">
        <v>94</v>
      </c>
      <c r="F3783">
        <v>832</v>
      </c>
      <c r="G3783" s="4">
        <v>46087.602233796293</v>
      </c>
    </row>
    <row r="3784" spans="1:7" x14ac:dyDescent="0.3">
      <c r="A3784">
        <v>10941</v>
      </c>
      <c r="B3784" t="s">
        <v>148</v>
      </c>
      <c r="C3784">
        <v>51041615</v>
      </c>
      <c r="D3784">
        <v>49.498898825100241</v>
      </c>
      <c r="E3784" t="s">
        <v>94</v>
      </c>
      <c r="F3784">
        <v>829</v>
      </c>
      <c r="G3784" s="4">
        <v>46087.602233796293</v>
      </c>
    </row>
    <row r="3785" spans="1:7" x14ac:dyDescent="0.3">
      <c r="A3785">
        <v>10942</v>
      </c>
      <c r="B3785" t="s">
        <v>148</v>
      </c>
      <c r="C3785">
        <v>51017641</v>
      </c>
      <c r="D3785">
        <v>86.601238186171699</v>
      </c>
      <c r="E3785" t="s">
        <v>92</v>
      </c>
      <c r="F3785">
        <v>212</v>
      </c>
      <c r="G3785" s="4">
        <v>46087.602233796293</v>
      </c>
    </row>
    <row r="3786" spans="1:7" x14ac:dyDescent="0.3">
      <c r="A3786">
        <v>10943</v>
      </c>
      <c r="B3786" t="s">
        <v>148</v>
      </c>
      <c r="C3786">
        <v>51005741</v>
      </c>
      <c r="D3786">
        <v>89.4541852433169</v>
      </c>
      <c r="E3786" t="s">
        <v>92</v>
      </c>
      <c r="F3786">
        <v>139</v>
      </c>
      <c r="G3786" s="4">
        <v>46087.602233796293</v>
      </c>
    </row>
    <row r="3787" spans="1:7" x14ac:dyDescent="0.3">
      <c r="A3787">
        <v>10944</v>
      </c>
      <c r="B3787" t="s">
        <v>148</v>
      </c>
      <c r="C3787">
        <v>51011996</v>
      </c>
      <c r="D3787">
        <v>92.407856855058697</v>
      </c>
      <c r="E3787" t="s">
        <v>92</v>
      </c>
      <c r="F3787">
        <v>83</v>
      </c>
      <c r="G3787" s="4">
        <v>46087.602233796293</v>
      </c>
    </row>
    <row r="3788" spans="1:7" x14ac:dyDescent="0.3">
      <c r="A3788">
        <v>10945</v>
      </c>
      <c r="B3788" t="s">
        <v>148</v>
      </c>
      <c r="C3788">
        <v>51025440</v>
      </c>
      <c r="D3788">
        <v>89.628877231662898</v>
      </c>
      <c r="E3788" t="s">
        <v>92</v>
      </c>
      <c r="F3788">
        <v>136</v>
      </c>
      <c r="G3788" s="4">
        <v>46087.602233796293</v>
      </c>
    </row>
    <row r="3789" spans="1:7" x14ac:dyDescent="0.3">
      <c r="A3789">
        <v>10946</v>
      </c>
      <c r="B3789" t="s">
        <v>148</v>
      </c>
      <c r="C3789">
        <v>51055993</v>
      </c>
      <c r="D3789">
        <v>71.677172118854102</v>
      </c>
      <c r="E3789" t="s">
        <v>93</v>
      </c>
      <c r="F3789">
        <v>522</v>
      </c>
      <c r="G3789" s="4">
        <v>46087.602233796293</v>
      </c>
    </row>
    <row r="3790" spans="1:7" x14ac:dyDescent="0.3">
      <c r="A3790">
        <v>10947</v>
      </c>
      <c r="B3790" t="s">
        <v>148</v>
      </c>
      <c r="C3790">
        <v>51021231</v>
      </c>
      <c r="D3790">
        <v>56.564976165583005</v>
      </c>
      <c r="E3790" t="s">
        <v>94</v>
      </c>
      <c r="F3790">
        <v>750</v>
      </c>
      <c r="G3790" s="4">
        <v>46087.602233796293</v>
      </c>
    </row>
    <row r="3791" spans="1:7" x14ac:dyDescent="0.3">
      <c r="A3791">
        <v>10948</v>
      </c>
      <c r="B3791" t="s">
        <v>148</v>
      </c>
      <c r="C3791">
        <v>51024125</v>
      </c>
      <c r="D3791">
        <v>37.180254379656418</v>
      </c>
      <c r="E3791" t="s">
        <v>94</v>
      </c>
      <c r="F3791">
        <v>895</v>
      </c>
      <c r="G3791" s="4">
        <v>46087.602233796293</v>
      </c>
    </row>
    <row r="3792" spans="1:7" x14ac:dyDescent="0.3">
      <c r="A3792">
        <v>10949</v>
      </c>
      <c r="B3792" t="s">
        <v>148</v>
      </c>
      <c r="C3792">
        <v>51014359</v>
      </c>
      <c r="D3792">
        <v>30.8</v>
      </c>
      <c r="E3792" t="s">
        <v>94</v>
      </c>
      <c r="F3792">
        <v>935</v>
      </c>
      <c r="G3792" s="4">
        <v>46087.602233796293</v>
      </c>
    </row>
    <row r="3793" spans="1:7" x14ac:dyDescent="0.3">
      <c r="A3793">
        <v>10950</v>
      </c>
      <c r="B3793" t="s">
        <v>148</v>
      </c>
      <c r="C3793">
        <v>51024681</v>
      </c>
      <c r="D3793">
        <v>85.056857972323414</v>
      </c>
      <c r="E3793" t="s">
        <v>93</v>
      </c>
      <c r="F3793">
        <v>255</v>
      </c>
      <c r="G3793" s="4">
        <v>46087.602233796293</v>
      </c>
    </row>
    <row r="3794" spans="1:7" x14ac:dyDescent="0.3">
      <c r="A3794">
        <v>10951</v>
      </c>
      <c r="B3794" t="s">
        <v>148</v>
      </c>
      <c r="C3794">
        <v>51024001</v>
      </c>
      <c r="D3794">
        <v>61.440360957390972</v>
      </c>
      <c r="E3794" t="s">
        <v>94</v>
      </c>
      <c r="F3794">
        <v>639</v>
      </c>
      <c r="G3794" s="4">
        <v>46087.602233796293</v>
      </c>
    </row>
    <row r="3795" spans="1:7" x14ac:dyDescent="0.3">
      <c r="A3795">
        <v>10952</v>
      </c>
      <c r="B3795" t="s">
        <v>148</v>
      </c>
      <c r="C3795">
        <v>51023480</v>
      </c>
      <c r="D3795">
        <v>25.100224660987113</v>
      </c>
      <c r="E3795" t="s">
        <v>95</v>
      </c>
      <c r="F3795">
        <v>984</v>
      </c>
      <c r="G3795" s="4">
        <v>46087.602233796293</v>
      </c>
    </row>
    <row r="3796" spans="1:7" x14ac:dyDescent="0.3">
      <c r="A3796">
        <v>10953</v>
      </c>
      <c r="B3796" t="s">
        <v>148</v>
      </c>
      <c r="C3796">
        <v>51020405</v>
      </c>
      <c r="D3796">
        <v>71.134204006173434</v>
      </c>
      <c r="E3796" t="s">
        <v>93</v>
      </c>
      <c r="F3796">
        <v>533</v>
      </c>
      <c r="G3796" s="4">
        <v>46087.602233796293</v>
      </c>
    </row>
    <row r="3797" spans="1:7" x14ac:dyDescent="0.3">
      <c r="A3797">
        <v>10954</v>
      </c>
      <c r="B3797" t="s">
        <v>148</v>
      </c>
      <c r="C3797">
        <v>51044070</v>
      </c>
      <c r="D3797">
        <v>74.94634652246863</v>
      </c>
      <c r="E3797" t="s">
        <v>93</v>
      </c>
      <c r="F3797">
        <v>479</v>
      </c>
      <c r="G3797" s="4">
        <v>46087.602233796293</v>
      </c>
    </row>
    <row r="3798" spans="1:7" x14ac:dyDescent="0.3">
      <c r="A3798">
        <v>10955</v>
      </c>
      <c r="B3798" t="s">
        <v>148</v>
      </c>
      <c r="C3798">
        <v>51032110</v>
      </c>
      <c r="D3798">
        <v>54.905888958593486</v>
      </c>
      <c r="E3798" t="s">
        <v>94</v>
      </c>
      <c r="F3798">
        <v>780</v>
      </c>
      <c r="G3798" s="4">
        <v>46087.602233796293</v>
      </c>
    </row>
    <row r="3799" spans="1:7" x14ac:dyDescent="0.3">
      <c r="A3799">
        <v>10956</v>
      </c>
      <c r="B3799" t="s">
        <v>148</v>
      </c>
      <c r="C3799">
        <v>51036123</v>
      </c>
      <c r="D3799">
        <v>70.438116109311423</v>
      </c>
      <c r="E3799" t="s">
        <v>93</v>
      </c>
      <c r="F3799">
        <v>541</v>
      </c>
      <c r="G3799" s="4">
        <v>46087.602233796293</v>
      </c>
    </row>
    <row r="3800" spans="1:7" x14ac:dyDescent="0.3">
      <c r="A3800">
        <v>10957</v>
      </c>
      <c r="B3800" t="s">
        <v>148</v>
      </c>
      <c r="C3800">
        <v>51056078</v>
      </c>
      <c r="D3800">
        <v>71.017834921234993</v>
      </c>
      <c r="E3800" t="s">
        <v>93</v>
      </c>
      <c r="F3800">
        <v>534</v>
      </c>
      <c r="G3800" s="4">
        <v>46087.602233796293</v>
      </c>
    </row>
    <row r="3801" spans="1:7" x14ac:dyDescent="0.3">
      <c r="A3801">
        <v>10958</v>
      </c>
      <c r="B3801" t="s">
        <v>148</v>
      </c>
      <c r="C3801">
        <v>51012445</v>
      </c>
      <c r="D3801">
        <v>65.921295862222848</v>
      </c>
      <c r="E3801" t="s">
        <v>93</v>
      </c>
      <c r="F3801">
        <v>596</v>
      </c>
      <c r="G3801" s="4">
        <v>46087.602233796293</v>
      </c>
    </row>
    <row r="3802" spans="1:7" x14ac:dyDescent="0.3">
      <c r="A3802">
        <v>10959</v>
      </c>
      <c r="B3802" t="s">
        <v>148</v>
      </c>
      <c r="C3802">
        <v>51019661</v>
      </c>
      <c r="D3802">
        <v>81.041275079699986</v>
      </c>
      <c r="E3802" t="s">
        <v>93</v>
      </c>
      <c r="F3802">
        <v>377</v>
      </c>
      <c r="G3802" s="4">
        <v>46087.602233796293</v>
      </c>
    </row>
    <row r="3803" spans="1:7" x14ac:dyDescent="0.3">
      <c r="A3803">
        <v>10960</v>
      </c>
      <c r="B3803" t="s">
        <v>148</v>
      </c>
      <c r="C3803">
        <v>51021894</v>
      </c>
      <c r="D3803">
        <v>23.62957574471141</v>
      </c>
      <c r="E3803" t="s">
        <v>95</v>
      </c>
      <c r="F3803">
        <v>991</v>
      </c>
      <c r="G3803" s="4">
        <v>46087.602233796293</v>
      </c>
    </row>
    <row r="3804" spans="1:7" x14ac:dyDescent="0.3">
      <c r="A3804">
        <v>10961</v>
      </c>
      <c r="B3804" t="s">
        <v>148</v>
      </c>
      <c r="C3804">
        <v>51018575</v>
      </c>
      <c r="D3804">
        <v>87.151236042466834</v>
      </c>
      <c r="E3804" t="s">
        <v>92</v>
      </c>
      <c r="F3804">
        <v>195</v>
      </c>
      <c r="G3804" s="4">
        <v>46087.602233796293</v>
      </c>
    </row>
    <row r="3805" spans="1:7" x14ac:dyDescent="0.3">
      <c r="A3805">
        <v>10962</v>
      </c>
      <c r="B3805" t="s">
        <v>148</v>
      </c>
      <c r="C3805">
        <v>51031652</v>
      </c>
      <c r="D3805">
        <v>84.62854011638639</v>
      </c>
      <c r="E3805" t="s">
        <v>93</v>
      </c>
      <c r="F3805">
        <v>268</v>
      </c>
      <c r="G3805" s="4">
        <v>46087.602233796293</v>
      </c>
    </row>
    <row r="3806" spans="1:7" x14ac:dyDescent="0.3">
      <c r="A3806">
        <v>10963</v>
      </c>
      <c r="B3806" t="s">
        <v>148</v>
      </c>
      <c r="C3806">
        <v>51040627</v>
      </c>
      <c r="D3806">
        <v>72.987263268021294</v>
      </c>
      <c r="E3806" t="s">
        <v>93</v>
      </c>
      <c r="F3806">
        <v>497</v>
      </c>
      <c r="G3806" s="4">
        <v>46087.602233796293</v>
      </c>
    </row>
    <row r="3807" spans="1:7" x14ac:dyDescent="0.3">
      <c r="A3807">
        <v>10964</v>
      </c>
      <c r="B3807" t="s">
        <v>148</v>
      </c>
      <c r="C3807">
        <v>51031253</v>
      </c>
      <c r="D3807">
        <v>53.285575195398991</v>
      </c>
      <c r="E3807" t="s">
        <v>94</v>
      </c>
      <c r="F3807">
        <v>799</v>
      </c>
      <c r="G3807" s="4">
        <v>46087.602233796293</v>
      </c>
    </row>
    <row r="3808" spans="1:7" x14ac:dyDescent="0.3">
      <c r="A3808">
        <v>10965</v>
      </c>
      <c r="B3808" t="s">
        <v>148</v>
      </c>
      <c r="C3808">
        <v>51034350</v>
      </c>
      <c r="D3808">
        <v>58.677585600730495</v>
      </c>
      <c r="E3808" t="s">
        <v>94</v>
      </c>
      <c r="F3808">
        <v>700</v>
      </c>
      <c r="G3808" s="4">
        <v>46087.602233796293</v>
      </c>
    </row>
    <row r="3809" spans="1:7" x14ac:dyDescent="0.3">
      <c r="A3809">
        <v>10966</v>
      </c>
      <c r="B3809" t="s">
        <v>148</v>
      </c>
      <c r="C3809">
        <v>51022220</v>
      </c>
      <c r="D3809">
        <v>44.493737829840903</v>
      </c>
      <c r="E3809" t="s">
        <v>94</v>
      </c>
      <c r="F3809">
        <v>869</v>
      </c>
      <c r="G3809" s="4">
        <v>46087.602233796293</v>
      </c>
    </row>
    <row r="3810" spans="1:7" x14ac:dyDescent="0.3">
      <c r="A3810">
        <v>10967</v>
      </c>
      <c r="B3810" t="s">
        <v>148</v>
      </c>
      <c r="C3810">
        <v>51019512</v>
      </c>
      <c r="D3810">
        <v>97.453268603000708</v>
      </c>
      <c r="E3810" t="s">
        <v>275</v>
      </c>
      <c r="F3810">
        <v>30</v>
      </c>
      <c r="G3810" s="4">
        <v>46087.602233796293</v>
      </c>
    </row>
    <row r="3811" spans="1:7" x14ac:dyDescent="0.3">
      <c r="A3811">
        <v>10968</v>
      </c>
      <c r="B3811" t="s">
        <v>148</v>
      </c>
      <c r="C3811">
        <v>51014391</v>
      </c>
      <c r="D3811">
        <v>79.618041011518159</v>
      </c>
      <c r="E3811" t="s">
        <v>93</v>
      </c>
      <c r="F3811">
        <v>414</v>
      </c>
      <c r="G3811" s="4">
        <v>46087.602233796293</v>
      </c>
    </row>
    <row r="3812" spans="1:7" x14ac:dyDescent="0.3">
      <c r="A3812">
        <v>10969</v>
      </c>
      <c r="B3812" t="s">
        <v>148</v>
      </c>
      <c r="C3812">
        <v>51042689</v>
      </c>
      <c r="D3812">
        <v>66.546326918475714</v>
      </c>
      <c r="E3812" t="s">
        <v>93</v>
      </c>
      <c r="F3812">
        <v>592</v>
      </c>
      <c r="G3812" s="4">
        <v>46087.602233796293</v>
      </c>
    </row>
    <row r="3813" spans="1:7" x14ac:dyDescent="0.3">
      <c r="A3813">
        <v>10970</v>
      </c>
      <c r="B3813" t="s">
        <v>148</v>
      </c>
      <c r="C3813">
        <v>51013867</v>
      </c>
      <c r="D3813">
        <v>97.511143760450963</v>
      </c>
      <c r="E3813" t="s">
        <v>275</v>
      </c>
      <c r="F3813">
        <v>29</v>
      </c>
      <c r="G3813" s="4">
        <v>46087.602233796293</v>
      </c>
    </row>
    <row r="3814" spans="1:7" x14ac:dyDescent="0.3">
      <c r="A3814">
        <v>10971</v>
      </c>
      <c r="B3814" t="s">
        <v>148</v>
      </c>
      <c r="C3814">
        <v>51021258</v>
      </c>
      <c r="D3814">
        <v>90.333197754907815</v>
      </c>
      <c r="E3814" t="s">
        <v>92</v>
      </c>
      <c r="F3814">
        <v>117</v>
      </c>
      <c r="G3814" s="4">
        <v>46087.602233796293</v>
      </c>
    </row>
    <row r="3815" spans="1:7" x14ac:dyDescent="0.3">
      <c r="A3815">
        <v>10972</v>
      </c>
      <c r="B3815" t="s">
        <v>148</v>
      </c>
      <c r="C3815">
        <v>51024591</v>
      </c>
      <c r="D3815">
        <v>83.83472096245444</v>
      </c>
      <c r="E3815" t="s">
        <v>93</v>
      </c>
      <c r="F3815">
        <v>290</v>
      </c>
      <c r="G3815" s="4">
        <v>46087.602233796293</v>
      </c>
    </row>
    <row r="3816" spans="1:7" x14ac:dyDescent="0.3">
      <c r="A3816">
        <v>10973</v>
      </c>
      <c r="B3816" t="s">
        <v>148</v>
      </c>
      <c r="C3816">
        <v>51021665</v>
      </c>
      <c r="D3816">
        <v>61.584614572234834</v>
      </c>
      <c r="E3816" t="s">
        <v>94</v>
      </c>
      <c r="F3816">
        <v>636</v>
      </c>
      <c r="G3816" s="4">
        <v>46087.602233796293</v>
      </c>
    </row>
    <row r="3817" spans="1:7" x14ac:dyDescent="0.3">
      <c r="A3817">
        <v>10974</v>
      </c>
      <c r="B3817" t="s">
        <v>148</v>
      </c>
      <c r="C3817">
        <v>51030273</v>
      </c>
      <c r="D3817">
        <v>91.092238644411609</v>
      </c>
      <c r="E3817" t="s">
        <v>92</v>
      </c>
      <c r="F3817">
        <v>104</v>
      </c>
      <c r="G3817" s="4">
        <v>46087.602233796293</v>
      </c>
    </row>
    <row r="3818" spans="1:7" x14ac:dyDescent="0.3">
      <c r="A3818">
        <v>10975</v>
      </c>
      <c r="B3818" t="s">
        <v>148</v>
      </c>
      <c r="C3818">
        <v>51024559</v>
      </c>
      <c r="D3818">
        <v>64.285588092019822</v>
      </c>
      <c r="E3818" t="s">
        <v>94</v>
      </c>
      <c r="F3818">
        <v>610</v>
      </c>
      <c r="G3818" s="4">
        <v>46087.602233796293</v>
      </c>
    </row>
    <row r="3819" spans="1:7" x14ac:dyDescent="0.3">
      <c r="A3819">
        <v>10976</v>
      </c>
      <c r="B3819" t="s">
        <v>148</v>
      </c>
      <c r="C3819">
        <v>51007565</v>
      </c>
      <c r="D3819">
        <v>84.310750943982924</v>
      </c>
      <c r="E3819" t="s">
        <v>93</v>
      </c>
      <c r="F3819">
        <v>277</v>
      </c>
      <c r="G3819" s="4">
        <v>46087.602233796293</v>
      </c>
    </row>
    <row r="3820" spans="1:7" x14ac:dyDescent="0.3">
      <c r="A3820">
        <v>10977</v>
      </c>
      <c r="B3820" t="s">
        <v>148</v>
      </c>
      <c r="C3820">
        <v>51032136</v>
      </c>
      <c r="D3820">
        <v>71.338613006083435</v>
      </c>
      <c r="E3820" t="s">
        <v>93</v>
      </c>
      <c r="F3820">
        <v>529</v>
      </c>
      <c r="G3820" s="4">
        <v>46087.602233796293</v>
      </c>
    </row>
    <row r="3821" spans="1:7" x14ac:dyDescent="0.3">
      <c r="A3821">
        <v>10978</v>
      </c>
      <c r="B3821" t="s">
        <v>148</v>
      </c>
      <c r="C3821">
        <v>51057066</v>
      </c>
      <c r="D3821">
        <v>66.060113867165768</v>
      </c>
      <c r="E3821" t="s">
        <v>93</v>
      </c>
      <c r="F3821">
        <v>595</v>
      </c>
      <c r="G3821" s="4">
        <v>46087.602233796293</v>
      </c>
    </row>
    <row r="3822" spans="1:7" x14ac:dyDescent="0.3">
      <c r="A3822">
        <v>10979</v>
      </c>
      <c r="B3822" t="s">
        <v>148</v>
      </c>
      <c r="C3822">
        <v>51021215</v>
      </c>
      <c r="D3822">
        <v>56.829025187262822</v>
      </c>
      <c r="E3822" t="s">
        <v>94</v>
      </c>
      <c r="F3822">
        <v>743</v>
      </c>
      <c r="G3822" s="4">
        <v>46087.602233796293</v>
      </c>
    </row>
    <row r="3823" spans="1:7" x14ac:dyDescent="0.3">
      <c r="A3823">
        <v>10980</v>
      </c>
      <c r="B3823" t="s">
        <v>148</v>
      </c>
      <c r="C3823">
        <v>51040937</v>
      </c>
      <c r="D3823">
        <v>82.665633971014529</v>
      </c>
      <c r="E3823" t="s">
        <v>93</v>
      </c>
      <c r="F3823">
        <v>334</v>
      </c>
      <c r="G3823" s="4">
        <v>46087.602233796293</v>
      </c>
    </row>
    <row r="3824" spans="1:7" x14ac:dyDescent="0.3">
      <c r="A3824">
        <v>10981</v>
      </c>
      <c r="B3824" t="s">
        <v>148</v>
      </c>
      <c r="C3824">
        <v>51014430</v>
      </c>
      <c r="D3824">
        <v>85.074482318441795</v>
      </c>
      <c r="E3824" t="s">
        <v>93</v>
      </c>
      <c r="F3824">
        <v>254</v>
      </c>
      <c r="G3824" s="4">
        <v>46087.602233796293</v>
      </c>
    </row>
    <row r="3825" spans="1:7" x14ac:dyDescent="0.3">
      <c r="A3825">
        <v>10982</v>
      </c>
      <c r="B3825" t="s">
        <v>148</v>
      </c>
      <c r="C3825">
        <v>51055853</v>
      </c>
      <c r="D3825">
        <v>92.471562843412954</v>
      </c>
      <c r="E3825" t="s">
        <v>92</v>
      </c>
      <c r="F3825">
        <v>81</v>
      </c>
      <c r="G3825" s="4">
        <v>46087.602233796293</v>
      </c>
    </row>
    <row r="3826" spans="1:7" x14ac:dyDescent="0.3">
      <c r="A3826">
        <v>10983</v>
      </c>
      <c r="B3826" t="s">
        <v>148</v>
      </c>
      <c r="C3826">
        <v>51056515</v>
      </c>
      <c r="D3826">
        <v>89.666494805936026</v>
      </c>
      <c r="E3826" t="s">
        <v>92</v>
      </c>
      <c r="F3826">
        <v>133</v>
      </c>
      <c r="G3826" s="4">
        <v>46087.602233796293</v>
      </c>
    </row>
    <row r="3827" spans="1:7" x14ac:dyDescent="0.3">
      <c r="A3827">
        <v>10984</v>
      </c>
      <c r="B3827" t="s">
        <v>148</v>
      </c>
      <c r="C3827">
        <v>51020952</v>
      </c>
      <c r="D3827">
        <v>100</v>
      </c>
      <c r="E3827" t="s">
        <v>275</v>
      </c>
      <c r="F3827">
        <v>1</v>
      </c>
      <c r="G3827" s="4">
        <v>46087.602233796293</v>
      </c>
    </row>
    <row r="3828" spans="1:7" x14ac:dyDescent="0.3">
      <c r="A3828">
        <v>10985</v>
      </c>
      <c r="B3828" t="s">
        <v>148</v>
      </c>
      <c r="C3828">
        <v>51022611</v>
      </c>
      <c r="D3828">
        <v>44.099707649976487</v>
      </c>
      <c r="E3828" t="s">
        <v>94</v>
      </c>
      <c r="F3828">
        <v>872</v>
      </c>
      <c r="G3828" s="4">
        <v>46087.602233796293</v>
      </c>
    </row>
    <row r="3829" spans="1:7" x14ac:dyDescent="0.3">
      <c r="A3829">
        <v>10986</v>
      </c>
      <c r="B3829" t="s">
        <v>148</v>
      </c>
      <c r="C3829">
        <v>51056761</v>
      </c>
      <c r="D3829">
        <v>84.976863256623119</v>
      </c>
      <c r="E3829" t="s">
        <v>93</v>
      </c>
      <c r="F3829">
        <v>257</v>
      </c>
      <c r="G3829" s="4">
        <v>46087.602233796293</v>
      </c>
    </row>
    <row r="3830" spans="1:7" x14ac:dyDescent="0.3">
      <c r="A3830">
        <v>10987</v>
      </c>
      <c r="B3830" t="s">
        <v>148</v>
      </c>
      <c r="C3830">
        <v>51031741</v>
      </c>
      <c r="D3830">
        <v>85.965597691164788</v>
      </c>
      <c r="E3830" t="s">
        <v>92</v>
      </c>
      <c r="F3830">
        <v>230</v>
      </c>
      <c r="G3830" s="4">
        <v>46087.602233796293</v>
      </c>
    </row>
    <row r="3831" spans="1:7" x14ac:dyDescent="0.3">
      <c r="A3831">
        <v>10988</v>
      </c>
      <c r="B3831" t="s">
        <v>148</v>
      </c>
      <c r="C3831">
        <v>51056469</v>
      </c>
      <c r="D3831">
        <v>85.49186795514413</v>
      </c>
      <c r="E3831" t="s">
        <v>93</v>
      </c>
      <c r="F3831">
        <v>241</v>
      </c>
      <c r="G3831" s="4">
        <v>46087.602233796293</v>
      </c>
    </row>
    <row r="3832" spans="1:7" x14ac:dyDescent="0.3">
      <c r="A3832">
        <v>10989</v>
      </c>
      <c r="B3832" t="s">
        <v>148</v>
      </c>
      <c r="C3832">
        <v>51031130</v>
      </c>
      <c r="D3832">
        <v>92.80557621980897</v>
      </c>
      <c r="E3832" t="s">
        <v>92</v>
      </c>
      <c r="F3832">
        <v>76</v>
      </c>
      <c r="G3832" s="4">
        <v>46087.602233796293</v>
      </c>
    </row>
    <row r="3833" spans="1:7" x14ac:dyDescent="0.3">
      <c r="A3833">
        <v>10990</v>
      </c>
      <c r="B3833" t="s">
        <v>148</v>
      </c>
      <c r="C3833">
        <v>51014855</v>
      </c>
      <c r="D3833">
        <v>76.639814433297232</v>
      </c>
      <c r="E3833" t="s">
        <v>93</v>
      </c>
      <c r="F3833">
        <v>456</v>
      </c>
      <c r="G3833" s="4">
        <v>46087.602233796293</v>
      </c>
    </row>
    <row r="3834" spans="1:7" x14ac:dyDescent="0.3">
      <c r="A3834">
        <v>10991</v>
      </c>
      <c r="B3834" t="s">
        <v>148</v>
      </c>
      <c r="C3834">
        <v>51055055</v>
      </c>
      <c r="D3834">
        <v>84.667290041901595</v>
      </c>
      <c r="E3834" t="s">
        <v>93</v>
      </c>
      <c r="F3834">
        <v>264</v>
      </c>
      <c r="G3834" s="4">
        <v>46087.602233796293</v>
      </c>
    </row>
    <row r="3835" spans="1:7" x14ac:dyDescent="0.3">
      <c r="A3835">
        <v>10992</v>
      </c>
      <c r="B3835" t="s">
        <v>148</v>
      </c>
      <c r="C3835">
        <v>51008634</v>
      </c>
      <c r="D3835">
        <v>78.593299959467515</v>
      </c>
      <c r="E3835" t="s">
        <v>93</v>
      </c>
      <c r="F3835">
        <v>439</v>
      </c>
      <c r="G3835" s="4">
        <v>46087.602233796293</v>
      </c>
    </row>
    <row r="3836" spans="1:7" x14ac:dyDescent="0.3">
      <c r="A3836">
        <v>10993</v>
      </c>
      <c r="B3836" t="s">
        <v>148</v>
      </c>
      <c r="C3836">
        <v>51021835</v>
      </c>
      <c r="D3836">
        <v>58.779614855378121</v>
      </c>
      <c r="E3836" t="s">
        <v>94</v>
      </c>
      <c r="F3836">
        <v>698</v>
      </c>
      <c r="G3836" s="4">
        <v>46087.602233796293</v>
      </c>
    </row>
    <row r="3837" spans="1:7" x14ac:dyDescent="0.3">
      <c r="A3837">
        <v>10994</v>
      </c>
      <c r="B3837" t="s">
        <v>148</v>
      </c>
      <c r="C3837">
        <v>51030320</v>
      </c>
      <c r="D3837">
        <v>40.073048807935486</v>
      </c>
      <c r="E3837" t="s">
        <v>94</v>
      </c>
      <c r="F3837">
        <v>888</v>
      </c>
      <c r="G3837" s="4">
        <v>46087.602233796293</v>
      </c>
    </row>
    <row r="3838" spans="1:7" x14ac:dyDescent="0.3">
      <c r="A3838">
        <v>10995</v>
      </c>
      <c r="B3838" t="s">
        <v>148</v>
      </c>
      <c r="C3838">
        <v>51033701</v>
      </c>
      <c r="D3838">
        <v>83.152369152300963</v>
      </c>
      <c r="E3838" t="s">
        <v>93</v>
      </c>
      <c r="F3838">
        <v>313</v>
      </c>
      <c r="G3838" s="4">
        <v>46087.602233796293</v>
      </c>
    </row>
    <row r="3839" spans="1:7" x14ac:dyDescent="0.3">
      <c r="A3839">
        <v>10996</v>
      </c>
      <c r="B3839" t="s">
        <v>148</v>
      </c>
      <c r="C3839">
        <v>51013280</v>
      </c>
      <c r="D3839">
        <v>82.468094676164782</v>
      </c>
      <c r="E3839" t="s">
        <v>93</v>
      </c>
      <c r="F3839">
        <v>339</v>
      </c>
      <c r="G3839" s="4">
        <v>46087.602233796293</v>
      </c>
    </row>
    <row r="3840" spans="1:7" x14ac:dyDescent="0.3">
      <c r="A3840">
        <v>10997</v>
      </c>
      <c r="B3840" t="s">
        <v>148</v>
      </c>
      <c r="C3840">
        <v>51022785</v>
      </c>
      <c r="D3840">
        <v>81.34913295417374</v>
      </c>
      <c r="E3840" t="s">
        <v>93</v>
      </c>
      <c r="F3840">
        <v>368</v>
      </c>
      <c r="G3840" s="4">
        <v>46087.602233796293</v>
      </c>
    </row>
    <row r="3841" spans="1:7" x14ac:dyDescent="0.3">
      <c r="A3841">
        <v>10998</v>
      </c>
      <c r="B3841" t="s">
        <v>148</v>
      </c>
      <c r="C3841">
        <v>51036310</v>
      </c>
      <c r="D3841">
        <v>30.062058710214721</v>
      </c>
      <c r="E3841" t="s">
        <v>94</v>
      </c>
      <c r="F3841">
        <v>942</v>
      </c>
      <c r="G3841" s="4">
        <v>46087.602233796293</v>
      </c>
    </row>
    <row r="3842" spans="1:7" x14ac:dyDescent="0.3">
      <c r="A3842">
        <v>10999</v>
      </c>
      <c r="B3842" t="s">
        <v>148</v>
      </c>
      <c r="C3842">
        <v>51010710</v>
      </c>
      <c r="D3842">
        <v>26.357999999999997</v>
      </c>
      <c r="E3842" t="s">
        <v>95</v>
      </c>
      <c r="F3842">
        <v>973</v>
      </c>
      <c r="G3842" s="4">
        <v>46087.602233796293</v>
      </c>
    </row>
    <row r="3843" spans="1:7" x14ac:dyDescent="0.3">
      <c r="A3843">
        <v>11000</v>
      </c>
      <c r="B3843" t="s">
        <v>148</v>
      </c>
      <c r="C3843">
        <v>51034376</v>
      </c>
      <c r="D3843">
        <v>96.637180376709566</v>
      </c>
      <c r="E3843" t="s">
        <v>275</v>
      </c>
      <c r="F3843">
        <v>34</v>
      </c>
      <c r="G3843" s="4">
        <v>46087.602233796293</v>
      </c>
    </row>
    <row r="3844" spans="1:7" x14ac:dyDescent="0.3">
      <c r="A3844">
        <v>11001</v>
      </c>
      <c r="B3844" t="s">
        <v>148</v>
      </c>
      <c r="C3844">
        <v>51023561</v>
      </c>
      <c r="D3844">
        <v>58.684673906843265</v>
      </c>
      <c r="E3844" t="s">
        <v>94</v>
      </c>
      <c r="F3844">
        <v>699</v>
      </c>
      <c r="G3844" s="4">
        <v>46087.602233796293</v>
      </c>
    </row>
    <row r="3845" spans="1:7" x14ac:dyDescent="0.3">
      <c r="A3845">
        <v>11002</v>
      </c>
      <c r="B3845" t="s">
        <v>148</v>
      </c>
      <c r="C3845">
        <v>51025253</v>
      </c>
      <c r="D3845">
        <v>86.283009937404785</v>
      </c>
      <c r="E3845" t="s">
        <v>92</v>
      </c>
      <c r="F3845">
        <v>223</v>
      </c>
      <c r="G3845" s="4">
        <v>46087.602233796293</v>
      </c>
    </row>
    <row r="3846" spans="1:7" x14ac:dyDescent="0.3">
      <c r="A3846">
        <v>11003</v>
      </c>
      <c r="B3846" t="s">
        <v>148</v>
      </c>
      <c r="C3846">
        <v>51030176</v>
      </c>
      <c r="D3846">
        <v>87.86333087579554</v>
      </c>
      <c r="E3846" t="s">
        <v>92</v>
      </c>
      <c r="F3846">
        <v>180</v>
      </c>
      <c r="G3846" s="4">
        <v>46087.602233796293</v>
      </c>
    </row>
    <row r="3847" spans="1:7" x14ac:dyDescent="0.3">
      <c r="A3847">
        <v>11004</v>
      </c>
      <c r="B3847" t="s">
        <v>148</v>
      </c>
      <c r="C3847">
        <v>51024575</v>
      </c>
      <c r="D3847">
        <v>77.531393015856224</v>
      </c>
      <c r="E3847" t="s">
        <v>93</v>
      </c>
      <c r="F3847">
        <v>447</v>
      </c>
      <c r="G3847" s="4">
        <v>46087.602233796293</v>
      </c>
    </row>
    <row r="3848" spans="1:7" x14ac:dyDescent="0.3">
      <c r="A3848">
        <v>11005</v>
      </c>
      <c r="B3848" t="s">
        <v>148</v>
      </c>
      <c r="C3848">
        <v>51005333</v>
      </c>
      <c r="D3848">
        <v>90.964486184095264</v>
      </c>
      <c r="E3848" t="s">
        <v>92</v>
      </c>
      <c r="F3848">
        <v>108</v>
      </c>
      <c r="G3848" s="4">
        <v>46087.602233796293</v>
      </c>
    </row>
    <row r="3849" spans="1:7" x14ac:dyDescent="0.3">
      <c r="A3849">
        <v>11006</v>
      </c>
      <c r="B3849" t="s">
        <v>148</v>
      </c>
      <c r="C3849">
        <v>51030931</v>
      </c>
      <c r="D3849">
        <v>60.649708849563076</v>
      </c>
      <c r="E3849" t="s">
        <v>94</v>
      </c>
      <c r="F3849">
        <v>654</v>
      </c>
      <c r="G3849" s="4">
        <v>46087.602233796293</v>
      </c>
    </row>
    <row r="3850" spans="1:7" x14ac:dyDescent="0.3">
      <c r="A3850">
        <v>11007</v>
      </c>
      <c r="B3850" t="s">
        <v>148</v>
      </c>
      <c r="C3850">
        <v>51056027</v>
      </c>
      <c r="D3850">
        <v>92.509835137761868</v>
      </c>
      <c r="E3850" t="s">
        <v>92</v>
      </c>
      <c r="F3850">
        <v>79</v>
      </c>
      <c r="G3850" s="4">
        <v>46087.602233796293</v>
      </c>
    </row>
    <row r="3851" spans="1:7" x14ac:dyDescent="0.3">
      <c r="A3851">
        <v>11008</v>
      </c>
      <c r="B3851" t="s">
        <v>148</v>
      </c>
      <c r="C3851">
        <v>51054911</v>
      </c>
      <c r="D3851">
        <v>36.668240333081798</v>
      </c>
      <c r="E3851" t="s">
        <v>94</v>
      </c>
      <c r="F3851">
        <v>898</v>
      </c>
      <c r="G3851" s="4">
        <v>46087.602233796293</v>
      </c>
    </row>
    <row r="3852" spans="1:7" x14ac:dyDescent="0.3">
      <c r="A3852">
        <v>11009</v>
      </c>
      <c r="B3852" t="s">
        <v>148</v>
      </c>
      <c r="C3852">
        <v>51030605</v>
      </c>
      <c r="D3852">
        <v>47.7838859034187</v>
      </c>
      <c r="E3852" t="s">
        <v>94</v>
      </c>
      <c r="F3852">
        <v>841</v>
      </c>
      <c r="G3852" s="4">
        <v>46087.602233796293</v>
      </c>
    </row>
    <row r="3853" spans="1:7" x14ac:dyDescent="0.3">
      <c r="A3853">
        <v>11010</v>
      </c>
      <c r="B3853" t="s">
        <v>148</v>
      </c>
      <c r="C3853">
        <v>51044487</v>
      </c>
      <c r="D3853">
        <v>90.00129280995489</v>
      </c>
      <c r="E3853" t="s">
        <v>92</v>
      </c>
      <c r="F3853">
        <v>123</v>
      </c>
      <c r="G3853" s="4">
        <v>46087.602233796293</v>
      </c>
    </row>
    <row r="3854" spans="1:7" x14ac:dyDescent="0.3">
      <c r="A3854">
        <v>11011</v>
      </c>
      <c r="B3854" t="s">
        <v>148</v>
      </c>
      <c r="C3854">
        <v>51035674</v>
      </c>
      <c r="D3854">
        <v>97.21953824344898</v>
      </c>
      <c r="E3854" t="s">
        <v>275</v>
      </c>
      <c r="F3854">
        <v>32</v>
      </c>
      <c r="G3854" s="4">
        <v>46087.602233796293</v>
      </c>
    </row>
    <row r="3855" spans="1:7" x14ac:dyDescent="0.3">
      <c r="A3855">
        <v>11012</v>
      </c>
      <c r="B3855" t="s">
        <v>148</v>
      </c>
      <c r="C3855">
        <v>51055128</v>
      </c>
      <c r="D3855">
        <v>95.38683078727702</v>
      </c>
      <c r="E3855" t="s">
        <v>275</v>
      </c>
      <c r="F3855">
        <v>45</v>
      </c>
      <c r="G3855" s="4">
        <v>46087.602233796293</v>
      </c>
    </row>
    <row r="3856" spans="1:7" x14ac:dyDescent="0.3">
      <c r="A3856">
        <v>11013</v>
      </c>
      <c r="B3856" t="s">
        <v>148</v>
      </c>
      <c r="C3856">
        <v>51011546</v>
      </c>
      <c r="D3856">
        <v>100</v>
      </c>
      <c r="E3856" t="s">
        <v>275</v>
      </c>
      <c r="F3856">
        <v>1</v>
      </c>
      <c r="G3856" s="4">
        <v>46087.602233796293</v>
      </c>
    </row>
    <row r="3857" spans="1:7" x14ac:dyDescent="0.3">
      <c r="A3857">
        <v>11014</v>
      </c>
      <c r="B3857" t="s">
        <v>148</v>
      </c>
      <c r="C3857">
        <v>51031482</v>
      </c>
      <c r="D3857">
        <v>92.89780648706045</v>
      </c>
      <c r="E3857" t="s">
        <v>92</v>
      </c>
      <c r="F3857">
        <v>74</v>
      </c>
      <c r="G3857" s="4">
        <v>46087.602233796293</v>
      </c>
    </row>
    <row r="3858" spans="1:7" x14ac:dyDescent="0.3">
      <c r="A3858">
        <v>11015</v>
      </c>
      <c r="B3858" t="s">
        <v>148</v>
      </c>
      <c r="C3858">
        <v>51030109</v>
      </c>
      <c r="D3858">
        <v>80.331435727890806</v>
      </c>
      <c r="E3858" t="s">
        <v>93</v>
      </c>
      <c r="F3858">
        <v>396</v>
      </c>
      <c r="G3858" s="4">
        <v>46087.602233796293</v>
      </c>
    </row>
    <row r="3859" spans="1:7" x14ac:dyDescent="0.3">
      <c r="A3859">
        <v>11016</v>
      </c>
      <c r="B3859" t="s">
        <v>148</v>
      </c>
      <c r="C3859">
        <v>51022009</v>
      </c>
      <c r="D3859">
        <v>88.829053730852465</v>
      </c>
      <c r="E3859" t="s">
        <v>92</v>
      </c>
      <c r="F3859">
        <v>156</v>
      </c>
      <c r="G3859" s="4">
        <v>46087.602233796293</v>
      </c>
    </row>
    <row r="3860" spans="1:7" x14ac:dyDescent="0.3">
      <c r="A3860">
        <v>11017</v>
      </c>
      <c r="B3860" t="s">
        <v>148</v>
      </c>
      <c r="C3860">
        <v>51015932</v>
      </c>
      <c r="D3860">
        <v>76.589428894754064</v>
      </c>
      <c r="E3860" t="s">
        <v>93</v>
      </c>
      <c r="F3860">
        <v>457</v>
      </c>
      <c r="G3860" s="4">
        <v>46087.602233796293</v>
      </c>
    </row>
    <row r="3861" spans="1:7" x14ac:dyDescent="0.3">
      <c r="A3861">
        <v>11018</v>
      </c>
      <c r="B3861" t="s">
        <v>148</v>
      </c>
      <c r="C3861">
        <v>51030028</v>
      </c>
      <c r="D3861">
        <v>59.855036400440632</v>
      </c>
      <c r="E3861" t="s">
        <v>94</v>
      </c>
      <c r="F3861">
        <v>671</v>
      </c>
      <c r="G3861" s="4">
        <v>46087.602233796293</v>
      </c>
    </row>
    <row r="3862" spans="1:7" x14ac:dyDescent="0.3">
      <c r="A3862">
        <v>11019</v>
      </c>
      <c r="B3862" t="s">
        <v>148</v>
      </c>
      <c r="C3862">
        <v>51030257</v>
      </c>
      <c r="D3862">
        <v>61.658730268733692</v>
      </c>
      <c r="E3862" t="s">
        <v>94</v>
      </c>
      <c r="F3862">
        <v>634</v>
      </c>
      <c r="G3862" s="4">
        <v>46087.602233796293</v>
      </c>
    </row>
    <row r="3863" spans="1:7" x14ac:dyDescent="0.3">
      <c r="A3863">
        <v>11020</v>
      </c>
      <c r="B3863" t="s">
        <v>148</v>
      </c>
      <c r="C3863">
        <v>51055489</v>
      </c>
      <c r="D3863">
        <v>63.090911132726205</v>
      </c>
      <c r="E3863" t="s">
        <v>94</v>
      </c>
      <c r="F3863">
        <v>619</v>
      </c>
      <c r="G3863" s="4">
        <v>46087.602233796293</v>
      </c>
    </row>
    <row r="3864" spans="1:7" x14ac:dyDescent="0.3">
      <c r="A3864">
        <v>11021</v>
      </c>
      <c r="B3864" t="s">
        <v>148</v>
      </c>
      <c r="C3864">
        <v>51019423</v>
      </c>
      <c r="D3864">
        <v>61.266018759424689</v>
      </c>
      <c r="E3864" t="s">
        <v>94</v>
      </c>
      <c r="F3864">
        <v>643</v>
      </c>
      <c r="G3864" s="4">
        <v>46087.602233796293</v>
      </c>
    </row>
    <row r="3865" spans="1:7" x14ac:dyDescent="0.3">
      <c r="A3865">
        <v>11022</v>
      </c>
      <c r="B3865" t="s">
        <v>148</v>
      </c>
      <c r="C3865">
        <v>51000811</v>
      </c>
      <c r="D3865">
        <v>86.73879543771244</v>
      </c>
      <c r="E3865" t="s">
        <v>92</v>
      </c>
      <c r="F3865">
        <v>208</v>
      </c>
      <c r="G3865" s="4">
        <v>46087.602233796293</v>
      </c>
    </row>
    <row r="3866" spans="1:7" x14ac:dyDescent="0.3">
      <c r="A3866">
        <v>11023</v>
      </c>
      <c r="B3866" t="s">
        <v>148</v>
      </c>
      <c r="C3866">
        <v>51057040</v>
      </c>
      <c r="D3866">
        <v>81.170792009321616</v>
      </c>
      <c r="E3866" t="s">
        <v>93</v>
      </c>
      <c r="F3866">
        <v>374</v>
      </c>
      <c r="G3866" s="4">
        <v>46087.602233796293</v>
      </c>
    </row>
    <row r="3867" spans="1:7" x14ac:dyDescent="0.3">
      <c r="A3867">
        <v>11024</v>
      </c>
      <c r="B3867" t="s">
        <v>148</v>
      </c>
      <c r="C3867">
        <v>51055101</v>
      </c>
      <c r="D3867">
        <v>34.824185796719838</v>
      </c>
      <c r="E3867" t="s">
        <v>94</v>
      </c>
      <c r="F3867">
        <v>905</v>
      </c>
      <c r="G3867" s="4">
        <v>46087.602233796293</v>
      </c>
    </row>
    <row r="3868" spans="1:7" x14ac:dyDescent="0.3">
      <c r="A3868">
        <v>11025</v>
      </c>
      <c r="B3868" t="s">
        <v>148</v>
      </c>
      <c r="C3868">
        <v>51016386</v>
      </c>
      <c r="D3868">
        <v>80.594303609766399</v>
      </c>
      <c r="E3868" t="s">
        <v>93</v>
      </c>
      <c r="F3868">
        <v>391</v>
      </c>
      <c r="G3868" s="4">
        <v>46087.602233796293</v>
      </c>
    </row>
    <row r="3869" spans="1:7" x14ac:dyDescent="0.3">
      <c r="A3869">
        <v>11026</v>
      </c>
      <c r="B3869" t="s">
        <v>148</v>
      </c>
      <c r="C3869">
        <v>51003594</v>
      </c>
      <c r="D3869">
        <v>78.788379390763737</v>
      </c>
      <c r="E3869" t="s">
        <v>93</v>
      </c>
      <c r="F3869">
        <v>435</v>
      </c>
      <c r="G3869" s="4">
        <v>46087.602233796293</v>
      </c>
    </row>
    <row r="3870" spans="1:7" x14ac:dyDescent="0.3">
      <c r="A3870">
        <v>11027</v>
      </c>
      <c r="B3870" t="s">
        <v>148</v>
      </c>
      <c r="C3870">
        <v>51030923</v>
      </c>
      <c r="D3870">
        <v>91.732748536208348</v>
      </c>
      <c r="E3870" t="s">
        <v>92</v>
      </c>
      <c r="F3870">
        <v>92</v>
      </c>
      <c r="G3870" s="4">
        <v>46087.602233796293</v>
      </c>
    </row>
    <row r="3871" spans="1:7" x14ac:dyDescent="0.3">
      <c r="A3871">
        <v>11028</v>
      </c>
      <c r="B3871" t="s">
        <v>148</v>
      </c>
      <c r="C3871">
        <v>51043197</v>
      </c>
      <c r="D3871">
        <v>68.202363004885996</v>
      </c>
      <c r="E3871" t="s">
        <v>93</v>
      </c>
      <c r="F3871">
        <v>571</v>
      </c>
      <c r="G3871" s="4">
        <v>46087.602233796293</v>
      </c>
    </row>
    <row r="3872" spans="1:7" x14ac:dyDescent="0.3">
      <c r="A3872">
        <v>11029</v>
      </c>
      <c r="B3872" t="s">
        <v>148</v>
      </c>
      <c r="C3872">
        <v>51022823</v>
      </c>
      <c r="D3872">
        <v>74.726200638105823</v>
      </c>
      <c r="E3872" t="s">
        <v>93</v>
      </c>
      <c r="F3872">
        <v>485</v>
      </c>
      <c r="G3872" s="4">
        <v>46087.602233796293</v>
      </c>
    </row>
    <row r="3873" spans="1:7" x14ac:dyDescent="0.3">
      <c r="A3873">
        <v>11030</v>
      </c>
      <c r="B3873" t="s">
        <v>148</v>
      </c>
      <c r="C3873">
        <v>51056060</v>
      </c>
      <c r="D3873">
        <v>84.808044186182187</v>
      </c>
      <c r="E3873" t="s">
        <v>93</v>
      </c>
      <c r="F3873">
        <v>261</v>
      </c>
      <c r="G3873" s="4">
        <v>46087.602233796293</v>
      </c>
    </row>
    <row r="3874" spans="1:7" x14ac:dyDescent="0.3">
      <c r="A3874">
        <v>11031</v>
      </c>
      <c r="B3874" t="s">
        <v>148</v>
      </c>
      <c r="C3874">
        <v>51024419</v>
      </c>
      <c r="D3874">
        <v>23.378600000000002</v>
      </c>
      <c r="E3874" t="s">
        <v>95</v>
      </c>
      <c r="F3874">
        <v>993</v>
      </c>
      <c r="G3874" s="4">
        <v>46087.602233796293</v>
      </c>
    </row>
    <row r="3875" spans="1:7" x14ac:dyDescent="0.3">
      <c r="A3875">
        <v>11032</v>
      </c>
      <c r="B3875" t="s">
        <v>148</v>
      </c>
      <c r="C3875">
        <v>51025326</v>
      </c>
      <c r="D3875">
        <v>50.279613172371974</v>
      </c>
      <c r="E3875" t="s">
        <v>94</v>
      </c>
      <c r="F3875">
        <v>823</v>
      </c>
      <c r="G3875" s="4">
        <v>46087.602233796293</v>
      </c>
    </row>
    <row r="3876" spans="1:7" x14ac:dyDescent="0.3">
      <c r="A3876">
        <v>11033</v>
      </c>
      <c r="B3876" t="s">
        <v>148</v>
      </c>
      <c r="C3876">
        <v>51020014</v>
      </c>
      <c r="D3876">
        <v>82.078093873010076</v>
      </c>
      <c r="E3876" t="s">
        <v>93</v>
      </c>
      <c r="F3876">
        <v>344</v>
      </c>
      <c r="G3876" s="4">
        <v>46087.602233796293</v>
      </c>
    </row>
    <row r="3877" spans="1:7" x14ac:dyDescent="0.3">
      <c r="A3877">
        <v>11034</v>
      </c>
      <c r="B3877" t="s">
        <v>148</v>
      </c>
      <c r="C3877">
        <v>51055951</v>
      </c>
      <c r="D3877">
        <v>59.600537311358792</v>
      </c>
      <c r="E3877" t="s">
        <v>94</v>
      </c>
      <c r="F3877">
        <v>675</v>
      </c>
      <c r="G3877" s="4">
        <v>46087.602233796293</v>
      </c>
    </row>
    <row r="3878" spans="1:7" x14ac:dyDescent="0.3">
      <c r="A3878">
        <v>11035</v>
      </c>
      <c r="B3878" t="s">
        <v>148</v>
      </c>
      <c r="C3878">
        <v>51016882</v>
      </c>
      <c r="D3878">
        <v>51.373381211423961</v>
      </c>
      <c r="E3878" t="s">
        <v>94</v>
      </c>
      <c r="F3878">
        <v>814</v>
      </c>
      <c r="G3878" s="4">
        <v>46087.602233796293</v>
      </c>
    </row>
    <row r="3879" spans="1:7" x14ac:dyDescent="0.3">
      <c r="A3879">
        <v>11036</v>
      </c>
      <c r="B3879" t="s">
        <v>148</v>
      </c>
      <c r="C3879">
        <v>51043405</v>
      </c>
      <c r="D3879">
        <v>83.306427545408681</v>
      </c>
      <c r="E3879" t="s">
        <v>93</v>
      </c>
      <c r="F3879">
        <v>307</v>
      </c>
      <c r="G3879" s="4">
        <v>46087.602233796293</v>
      </c>
    </row>
    <row r="3880" spans="1:7" x14ac:dyDescent="0.3">
      <c r="A3880">
        <v>11037</v>
      </c>
      <c r="B3880" t="s">
        <v>148</v>
      </c>
      <c r="C3880">
        <v>51008987</v>
      </c>
      <c r="D3880">
        <v>85.744845125232857</v>
      </c>
      <c r="E3880" t="s">
        <v>92</v>
      </c>
      <c r="F3880">
        <v>236</v>
      </c>
      <c r="G3880" s="4">
        <v>46087.602233796293</v>
      </c>
    </row>
    <row r="3881" spans="1:7" x14ac:dyDescent="0.3">
      <c r="A3881">
        <v>11038</v>
      </c>
      <c r="B3881" t="s">
        <v>148</v>
      </c>
      <c r="C3881">
        <v>51021088</v>
      </c>
      <c r="D3881">
        <v>89.662034405515726</v>
      </c>
      <c r="E3881" t="s">
        <v>92</v>
      </c>
      <c r="F3881">
        <v>134</v>
      </c>
      <c r="G3881" s="4">
        <v>46087.602233796293</v>
      </c>
    </row>
    <row r="3882" spans="1:7" x14ac:dyDescent="0.3">
      <c r="A3882">
        <v>11039</v>
      </c>
      <c r="B3882" t="s">
        <v>148</v>
      </c>
      <c r="C3882">
        <v>51001702</v>
      </c>
      <c r="D3882">
        <v>88.070583197256909</v>
      </c>
      <c r="E3882" t="s">
        <v>92</v>
      </c>
      <c r="F3882">
        <v>178</v>
      </c>
      <c r="G3882" s="4">
        <v>46087.602233796293</v>
      </c>
    </row>
    <row r="3883" spans="1:7" x14ac:dyDescent="0.3">
      <c r="A3883">
        <v>11040</v>
      </c>
      <c r="B3883" t="s">
        <v>148</v>
      </c>
      <c r="C3883">
        <v>51003730</v>
      </c>
      <c r="D3883">
        <v>50.750307649877364</v>
      </c>
      <c r="E3883" t="s">
        <v>94</v>
      </c>
      <c r="F3883">
        <v>817</v>
      </c>
      <c r="G3883" s="4">
        <v>46087.602233796293</v>
      </c>
    </row>
    <row r="3884" spans="1:7" x14ac:dyDescent="0.3">
      <c r="A3884">
        <v>11041</v>
      </c>
      <c r="B3884" t="s">
        <v>148</v>
      </c>
      <c r="C3884">
        <v>51012348</v>
      </c>
      <c r="D3884">
        <v>68.734591374075109</v>
      </c>
      <c r="E3884" t="s">
        <v>93</v>
      </c>
      <c r="F3884">
        <v>559</v>
      </c>
      <c r="G3884" s="4">
        <v>46087.602233796293</v>
      </c>
    </row>
    <row r="3885" spans="1:7" x14ac:dyDescent="0.3">
      <c r="A3885">
        <v>11042</v>
      </c>
      <c r="B3885" t="s">
        <v>148</v>
      </c>
      <c r="C3885">
        <v>51031563</v>
      </c>
      <c r="D3885">
        <v>79.120361994657785</v>
      </c>
      <c r="E3885" t="s">
        <v>93</v>
      </c>
      <c r="F3885">
        <v>424</v>
      </c>
      <c r="G3885" s="4">
        <v>46087.602233796293</v>
      </c>
    </row>
    <row r="3886" spans="1:7" x14ac:dyDescent="0.3">
      <c r="A3886">
        <v>11043</v>
      </c>
      <c r="B3886" t="s">
        <v>148</v>
      </c>
      <c r="C3886">
        <v>51055080</v>
      </c>
      <c r="D3886">
        <v>88.72400915092048</v>
      </c>
      <c r="E3886" t="s">
        <v>92</v>
      </c>
      <c r="F3886">
        <v>158</v>
      </c>
      <c r="G3886" s="4">
        <v>46087.602233796293</v>
      </c>
    </row>
    <row r="3887" spans="1:7" x14ac:dyDescent="0.3">
      <c r="A3887">
        <v>11044</v>
      </c>
      <c r="B3887" t="s">
        <v>148</v>
      </c>
      <c r="C3887">
        <v>51018672</v>
      </c>
      <c r="D3887">
        <v>58.452280980502735</v>
      </c>
      <c r="E3887" t="s">
        <v>94</v>
      </c>
      <c r="F3887">
        <v>706</v>
      </c>
      <c r="G3887" s="4">
        <v>46087.602233796293</v>
      </c>
    </row>
    <row r="3888" spans="1:7" x14ac:dyDescent="0.3">
      <c r="A3888">
        <v>11045</v>
      </c>
      <c r="B3888" t="s">
        <v>148</v>
      </c>
      <c r="C3888">
        <v>51019130</v>
      </c>
      <c r="D3888">
        <v>67.860510064092153</v>
      </c>
      <c r="E3888" t="s">
        <v>93</v>
      </c>
      <c r="F3888">
        <v>574</v>
      </c>
      <c r="G3888" s="4">
        <v>46087.602233796293</v>
      </c>
    </row>
    <row r="3889" spans="1:7" x14ac:dyDescent="0.3">
      <c r="A3889">
        <v>11046</v>
      </c>
      <c r="B3889" t="s">
        <v>148</v>
      </c>
      <c r="C3889">
        <v>51036255</v>
      </c>
      <c r="D3889">
        <v>74.051979345450547</v>
      </c>
      <c r="E3889" t="s">
        <v>93</v>
      </c>
      <c r="F3889">
        <v>493</v>
      </c>
      <c r="G3889" s="4">
        <v>46087.602233796293</v>
      </c>
    </row>
    <row r="3890" spans="1:7" x14ac:dyDescent="0.3">
      <c r="A3890">
        <v>11047</v>
      </c>
      <c r="B3890" t="s">
        <v>148</v>
      </c>
      <c r="C3890">
        <v>51056809</v>
      </c>
      <c r="D3890">
        <v>72.827131551466749</v>
      </c>
      <c r="E3890" t="s">
        <v>93</v>
      </c>
      <c r="F3890">
        <v>501</v>
      </c>
      <c r="G3890" s="4">
        <v>46087.602233796293</v>
      </c>
    </row>
    <row r="3891" spans="1:7" x14ac:dyDescent="0.3">
      <c r="A3891">
        <v>11048</v>
      </c>
      <c r="B3891" t="s">
        <v>148</v>
      </c>
      <c r="C3891">
        <v>51018699</v>
      </c>
      <c r="D3891">
        <v>84.424931250062613</v>
      </c>
      <c r="E3891" t="s">
        <v>93</v>
      </c>
      <c r="F3891">
        <v>275</v>
      </c>
      <c r="G3891" s="4">
        <v>46087.602233796293</v>
      </c>
    </row>
    <row r="3892" spans="1:7" x14ac:dyDescent="0.3">
      <c r="A3892">
        <v>11049</v>
      </c>
      <c r="B3892" t="s">
        <v>148</v>
      </c>
      <c r="C3892">
        <v>51010019</v>
      </c>
      <c r="D3892">
        <v>88.985049732713037</v>
      </c>
      <c r="E3892" t="s">
        <v>92</v>
      </c>
      <c r="F3892">
        <v>153</v>
      </c>
      <c r="G3892" s="4">
        <v>46087.602233796293</v>
      </c>
    </row>
    <row r="3893" spans="1:7" x14ac:dyDescent="0.3">
      <c r="A3893">
        <v>11050</v>
      </c>
      <c r="B3893" t="s">
        <v>148</v>
      </c>
      <c r="C3893">
        <v>51010647</v>
      </c>
      <c r="D3893">
        <v>63.087933147437965</v>
      </c>
      <c r="E3893" t="s">
        <v>94</v>
      </c>
      <c r="F3893">
        <v>620</v>
      </c>
      <c r="G3893" s="4">
        <v>46087.602233796293</v>
      </c>
    </row>
    <row r="3894" spans="1:7" x14ac:dyDescent="0.3">
      <c r="A3894">
        <v>11051</v>
      </c>
      <c r="B3894" t="s">
        <v>148</v>
      </c>
      <c r="C3894">
        <v>51054881</v>
      </c>
      <c r="D3894">
        <v>55.925866736850558</v>
      </c>
      <c r="E3894" t="s">
        <v>94</v>
      </c>
      <c r="F3894">
        <v>767</v>
      </c>
      <c r="G3894" s="4">
        <v>46087.602233796293</v>
      </c>
    </row>
    <row r="3895" spans="1:7" x14ac:dyDescent="0.3">
      <c r="A3895">
        <v>11052</v>
      </c>
      <c r="B3895" t="s">
        <v>148</v>
      </c>
      <c r="C3895">
        <v>51019091</v>
      </c>
      <c r="D3895">
        <v>20.635693231702831</v>
      </c>
      <c r="E3895" t="s">
        <v>95</v>
      </c>
      <c r="F3895">
        <v>1015</v>
      </c>
      <c r="G3895" s="4">
        <v>46087.602233796293</v>
      </c>
    </row>
    <row r="3896" spans="1:7" x14ac:dyDescent="0.3">
      <c r="A3896">
        <v>11053</v>
      </c>
      <c r="B3896" t="s">
        <v>148</v>
      </c>
      <c r="C3896">
        <v>51018931</v>
      </c>
      <c r="D3896">
        <v>84.235298947157645</v>
      </c>
      <c r="E3896" t="s">
        <v>93</v>
      </c>
      <c r="F3896">
        <v>280</v>
      </c>
      <c r="G3896" s="4">
        <v>46087.602233796293</v>
      </c>
    </row>
    <row r="3897" spans="1:7" x14ac:dyDescent="0.3">
      <c r="A3897">
        <v>11054</v>
      </c>
      <c r="B3897" t="s">
        <v>148</v>
      </c>
      <c r="C3897">
        <v>51057015</v>
      </c>
      <c r="D3897">
        <v>91.803642991139242</v>
      </c>
      <c r="E3897" t="s">
        <v>92</v>
      </c>
      <c r="F3897">
        <v>91</v>
      </c>
      <c r="G3897" s="4">
        <v>46087.602233796293</v>
      </c>
    </row>
    <row r="3898" spans="1:7" x14ac:dyDescent="0.3">
      <c r="A3898">
        <v>11055</v>
      </c>
      <c r="B3898" t="s">
        <v>148</v>
      </c>
      <c r="C3898">
        <v>51023421</v>
      </c>
      <c r="D3898">
        <v>83.402521386412374</v>
      </c>
      <c r="E3898" t="s">
        <v>93</v>
      </c>
      <c r="F3898">
        <v>302</v>
      </c>
      <c r="G3898" s="4">
        <v>46087.602233796293</v>
      </c>
    </row>
    <row r="3899" spans="1:7" x14ac:dyDescent="0.3">
      <c r="A3899">
        <v>11056</v>
      </c>
      <c r="B3899" t="s">
        <v>148</v>
      </c>
      <c r="C3899">
        <v>51012305</v>
      </c>
      <c r="D3899">
        <v>82.879977359613306</v>
      </c>
      <c r="E3899" t="s">
        <v>93</v>
      </c>
      <c r="F3899">
        <v>326</v>
      </c>
      <c r="G3899" s="4">
        <v>46087.602233796293</v>
      </c>
    </row>
    <row r="3900" spans="1:7" x14ac:dyDescent="0.3">
      <c r="A3900">
        <v>11057</v>
      </c>
      <c r="B3900" t="s">
        <v>148</v>
      </c>
      <c r="C3900">
        <v>51014219</v>
      </c>
      <c r="D3900">
        <v>18.859999999999996</v>
      </c>
      <c r="E3900" t="s">
        <v>95</v>
      </c>
      <c r="F3900">
        <v>1042</v>
      </c>
      <c r="G3900" s="4">
        <v>46087.602233796293</v>
      </c>
    </row>
    <row r="3901" spans="1:7" x14ac:dyDescent="0.3">
      <c r="A3901">
        <v>11058</v>
      </c>
      <c r="B3901" t="s">
        <v>148</v>
      </c>
      <c r="C3901">
        <v>51030753</v>
      </c>
      <c r="D3901">
        <v>86.242818505461457</v>
      </c>
      <c r="E3901" t="s">
        <v>92</v>
      </c>
      <c r="F3901">
        <v>226</v>
      </c>
      <c r="G3901" s="4">
        <v>46087.602233796293</v>
      </c>
    </row>
    <row r="3902" spans="1:7" x14ac:dyDescent="0.3">
      <c r="A3902">
        <v>11059</v>
      </c>
      <c r="B3902" t="s">
        <v>148</v>
      </c>
      <c r="C3902">
        <v>51042336</v>
      </c>
      <c r="D3902">
        <v>61.30254267033331</v>
      </c>
      <c r="E3902" t="s">
        <v>94</v>
      </c>
      <c r="F3902">
        <v>641</v>
      </c>
      <c r="G3902" s="4">
        <v>46087.602233796293</v>
      </c>
    </row>
    <row r="3903" spans="1:7" x14ac:dyDescent="0.3">
      <c r="A3903">
        <v>11060</v>
      </c>
      <c r="B3903" t="s">
        <v>148</v>
      </c>
      <c r="C3903">
        <v>51023790</v>
      </c>
      <c r="D3903">
        <v>80.19211262932825</v>
      </c>
      <c r="E3903" t="s">
        <v>93</v>
      </c>
      <c r="F3903">
        <v>399</v>
      </c>
      <c r="G3903" s="4">
        <v>46087.602233796293</v>
      </c>
    </row>
    <row r="3904" spans="1:7" x14ac:dyDescent="0.3">
      <c r="A3904">
        <v>11061</v>
      </c>
      <c r="B3904" t="s">
        <v>148</v>
      </c>
      <c r="C3904">
        <v>51022378</v>
      </c>
      <c r="D3904">
        <v>20.829230991488483</v>
      </c>
      <c r="E3904" t="s">
        <v>95</v>
      </c>
      <c r="F3904">
        <v>1013</v>
      </c>
      <c r="G3904" s="4">
        <v>46087.602233796293</v>
      </c>
    </row>
    <row r="3905" spans="1:7" x14ac:dyDescent="0.3">
      <c r="A3905">
        <v>11062</v>
      </c>
      <c r="B3905" t="s">
        <v>148</v>
      </c>
      <c r="C3905">
        <v>51052072</v>
      </c>
      <c r="D3905">
        <v>57.353695389814121</v>
      </c>
      <c r="E3905" t="s">
        <v>94</v>
      </c>
      <c r="F3905">
        <v>731</v>
      </c>
      <c r="G3905" s="4">
        <v>46087.602233796293</v>
      </c>
    </row>
    <row r="3906" spans="1:7" x14ac:dyDescent="0.3">
      <c r="A3906">
        <v>11063</v>
      </c>
      <c r="B3906" t="s">
        <v>148</v>
      </c>
      <c r="C3906">
        <v>51031946</v>
      </c>
      <c r="D3906">
        <v>67.779827990313322</v>
      </c>
      <c r="E3906" t="s">
        <v>93</v>
      </c>
      <c r="F3906">
        <v>576</v>
      </c>
      <c r="G3906" s="4">
        <v>46087.602233796293</v>
      </c>
    </row>
    <row r="3907" spans="1:7" x14ac:dyDescent="0.3">
      <c r="A3907">
        <v>11064</v>
      </c>
      <c r="B3907" t="s">
        <v>148</v>
      </c>
      <c r="C3907">
        <v>51010752</v>
      </c>
      <c r="D3907">
        <v>86.134602099736284</v>
      </c>
      <c r="E3907" t="s">
        <v>92</v>
      </c>
      <c r="F3907">
        <v>227</v>
      </c>
      <c r="G3907" s="4">
        <v>46087.602233796293</v>
      </c>
    </row>
    <row r="3908" spans="1:7" x14ac:dyDescent="0.3">
      <c r="A3908">
        <v>11065</v>
      </c>
      <c r="B3908" t="s">
        <v>148</v>
      </c>
      <c r="C3908">
        <v>51055594</v>
      </c>
      <c r="D3908">
        <v>83.531673398531638</v>
      </c>
      <c r="E3908" t="s">
        <v>93</v>
      </c>
      <c r="F3908">
        <v>296</v>
      </c>
      <c r="G3908" s="4">
        <v>46087.602233796293</v>
      </c>
    </row>
    <row r="3909" spans="1:7" x14ac:dyDescent="0.3">
      <c r="A3909">
        <v>11066</v>
      </c>
      <c r="B3909" t="s">
        <v>148</v>
      </c>
      <c r="C3909">
        <v>51041585</v>
      </c>
      <c r="D3909">
        <v>92.898627580393935</v>
      </c>
      <c r="E3909" t="s">
        <v>92</v>
      </c>
      <c r="F3909">
        <v>73</v>
      </c>
      <c r="G3909" s="4">
        <v>46087.602233796293</v>
      </c>
    </row>
    <row r="3910" spans="1:7" x14ac:dyDescent="0.3">
      <c r="A3910">
        <v>11067</v>
      </c>
      <c r="B3910" t="s">
        <v>148</v>
      </c>
      <c r="C3910">
        <v>51017455</v>
      </c>
      <c r="D3910">
        <v>82.010677476301836</v>
      </c>
      <c r="E3910" t="s">
        <v>93</v>
      </c>
      <c r="F3910">
        <v>346</v>
      </c>
      <c r="G3910" s="4">
        <v>46087.602233796293</v>
      </c>
    </row>
    <row r="3911" spans="1:7" x14ac:dyDescent="0.3">
      <c r="A3911">
        <v>11068</v>
      </c>
      <c r="B3911" t="s">
        <v>148</v>
      </c>
      <c r="C3911">
        <v>51033345</v>
      </c>
      <c r="D3911">
        <v>54.703902090442554</v>
      </c>
      <c r="E3911" t="s">
        <v>94</v>
      </c>
      <c r="F3911">
        <v>782</v>
      </c>
      <c r="G3911" s="4">
        <v>46087.602233796293</v>
      </c>
    </row>
    <row r="3912" spans="1:7" x14ac:dyDescent="0.3">
      <c r="A3912">
        <v>11069</v>
      </c>
      <c r="B3912" t="s">
        <v>148</v>
      </c>
      <c r="C3912">
        <v>51012399</v>
      </c>
      <c r="D3912">
        <v>77.696723898936995</v>
      </c>
      <c r="E3912" t="s">
        <v>93</v>
      </c>
      <c r="F3912">
        <v>443</v>
      </c>
      <c r="G3912" s="4">
        <v>46087.602233796293</v>
      </c>
    </row>
    <row r="3913" spans="1:7" x14ac:dyDescent="0.3">
      <c r="A3913">
        <v>11070</v>
      </c>
      <c r="B3913" t="s">
        <v>148</v>
      </c>
      <c r="C3913">
        <v>51034236</v>
      </c>
      <c r="D3913">
        <v>83.808359969495129</v>
      </c>
      <c r="E3913" t="s">
        <v>93</v>
      </c>
      <c r="F3913">
        <v>291</v>
      </c>
      <c r="G3913" s="4">
        <v>46087.602233796293</v>
      </c>
    </row>
    <row r="3914" spans="1:7" x14ac:dyDescent="0.3">
      <c r="A3914">
        <v>11071</v>
      </c>
      <c r="B3914" t="s">
        <v>148</v>
      </c>
      <c r="C3914">
        <v>51012941</v>
      </c>
      <c r="D3914">
        <v>100</v>
      </c>
      <c r="E3914" t="s">
        <v>275</v>
      </c>
      <c r="F3914">
        <v>1</v>
      </c>
      <c r="G3914" s="4">
        <v>46087.602233796293</v>
      </c>
    </row>
    <row r="3915" spans="1:7" x14ac:dyDescent="0.3">
      <c r="A3915">
        <v>11072</v>
      </c>
      <c r="B3915" t="s">
        <v>148</v>
      </c>
      <c r="C3915">
        <v>51011694</v>
      </c>
      <c r="D3915">
        <v>73.052532746852478</v>
      </c>
      <c r="E3915" t="s">
        <v>93</v>
      </c>
      <c r="F3915">
        <v>496</v>
      </c>
      <c r="G3915" s="4">
        <v>46087.602233796293</v>
      </c>
    </row>
    <row r="3916" spans="1:7" x14ac:dyDescent="0.3">
      <c r="A3916">
        <v>11073</v>
      </c>
      <c r="B3916" t="s">
        <v>148</v>
      </c>
      <c r="C3916">
        <v>51020197</v>
      </c>
      <c r="D3916">
        <v>83.964041937646058</v>
      </c>
      <c r="E3916" t="s">
        <v>93</v>
      </c>
      <c r="F3916">
        <v>285</v>
      </c>
      <c r="G3916" s="4">
        <v>46087.602233796293</v>
      </c>
    </row>
    <row r="3917" spans="1:7" x14ac:dyDescent="0.3">
      <c r="A3917">
        <v>11074</v>
      </c>
      <c r="B3917" t="s">
        <v>148</v>
      </c>
      <c r="C3917">
        <v>51003284</v>
      </c>
      <c r="D3917">
        <v>87.029072531350593</v>
      </c>
      <c r="E3917" t="s">
        <v>92</v>
      </c>
      <c r="F3917">
        <v>199</v>
      </c>
      <c r="G3917" s="4">
        <v>46087.602233796293</v>
      </c>
    </row>
    <row r="3918" spans="1:7" x14ac:dyDescent="0.3">
      <c r="A3918">
        <v>11075</v>
      </c>
      <c r="B3918" t="s">
        <v>148</v>
      </c>
      <c r="C3918">
        <v>51025342</v>
      </c>
      <c r="D3918">
        <v>71.638747958942361</v>
      </c>
      <c r="E3918" t="s">
        <v>93</v>
      </c>
      <c r="F3918">
        <v>525</v>
      </c>
      <c r="G3918" s="4">
        <v>46087.602233796293</v>
      </c>
    </row>
    <row r="3919" spans="1:7" x14ac:dyDescent="0.3">
      <c r="A3919">
        <v>11076</v>
      </c>
      <c r="B3919" t="s">
        <v>148</v>
      </c>
      <c r="C3919">
        <v>51030389</v>
      </c>
      <c r="D3919">
        <v>96.053869583196331</v>
      </c>
      <c r="E3919" t="s">
        <v>275</v>
      </c>
      <c r="F3919">
        <v>39</v>
      </c>
      <c r="G3919" s="4">
        <v>46087.602233796293</v>
      </c>
    </row>
    <row r="3920" spans="1:7" x14ac:dyDescent="0.3">
      <c r="A3920">
        <v>11077</v>
      </c>
      <c r="B3920" t="s">
        <v>148</v>
      </c>
      <c r="C3920">
        <v>51013581</v>
      </c>
      <c r="D3920">
        <v>56.748135526696771</v>
      </c>
      <c r="E3920" t="s">
        <v>94</v>
      </c>
      <c r="F3920">
        <v>745</v>
      </c>
      <c r="G3920" s="4">
        <v>46087.602233796293</v>
      </c>
    </row>
    <row r="3921" spans="1:7" x14ac:dyDescent="0.3">
      <c r="A3921">
        <v>11078</v>
      </c>
      <c r="B3921" t="s">
        <v>148</v>
      </c>
      <c r="C3921">
        <v>51056833</v>
      </c>
      <c r="D3921">
        <v>81.636299893085649</v>
      </c>
      <c r="E3921" t="s">
        <v>93</v>
      </c>
      <c r="F3921">
        <v>361</v>
      </c>
      <c r="G3921" s="4">
        <v>46087.602233796293</v>
      </c>
    </row>
    <row r="3922" spans="1:7" x14ac:dyDescent="0.3">
      <c r="A3922">
        <v>11079</v>
      </c>
      <c r="B3922" t="s">
        <v>148</v>
      </c>
      <c r="C3922">
        <v>51056086</v>
      </c>
      <c r="D3922">
        <v>81.931748177830769</v>
      </c>
      <c r="E3922" t="s">
        <v>93</v>
      </c>
      <c r="F3922">
        <v>350</v>
      </c>
      <c r="G3922" s="4">
        <v>46087.602233796293</v>
      </c>
    </row>
    <row r="3923" spans="1:7" x14ac:dyDescent="0.3">
      <c r="A3923">
        <v>11080</v>
      </c>
      <c r="B3923" t="s">
        <v>148</v>
      </c>
      <c r="C3923">
        <v>51055241</v>
      </c>
      <c r="D3923">
        <v>79.079140638807388</v>
      </c>
      <c r="E3923" t="s">
        <v>93</v>
      </c>
      <c r="F3923">
        <v>426</v>
      </c>
      <c r="G3923" s="4">
        <v>46087.602233796293</v>
      </c>
    </row>
    <row r="3924" spans="1:7" x14ac:dyDescent="0.3">
      <c r="A3924">
        <v>11081</v>
      </c>
      <c r="B3924" t="s">
        <v>148</v>
      </c>
      <c r="C3924">
        <v>51008669</v>
      </c>
      <c r="D3924">
        <v>25.54983509933362</v>
      </c>
      <c r="E3924" t="s">
        <v>95</v>
      </c>
      <c r="F3924">
        <v>979</v>
      </c>
      <c r="G3924" s="4">
        <v>46087.602233796293</v>
      </c>
    </row>
    <row r="3925" spans="1:7" x14ac:dyDescent="0.3">
      <c r="A3925">
        <v>11082</v>
      </c>
      <c r="B3925" t="s">
        <v>148</v>
      </c>
      <c r="C3925">
        <v>51031521</v>
      </c>
      <c r="D3925">
        <v>81.790390032250713</v>
      </c>
      <c r="E3925" t="s">
        <v>93</v>
      </c>
      <c r="F3925">
        <v>355</v>
      </c>
      <c r="G3925" s="4">
        <v>46087.602233796293</v>
      </c>
    </row>
    <row r="3926" spans="1:7" x14ac:dyDescent="0.3">
      <c r="A3926">
        <v>11083</v>
      </c>
      <c r="B3926" t="s">
        <v>148</v>
      </c>
      <c r="C3926">
        <v>51033477</v>
      </c>
      <c r="D3926">
        <v>46.991096374522513</v>
      </c>
      <c r="E3926" t="s">
        <v>94</v>
      </c>
      <c r="F3926">
        <v>848</v>
      </c>
      <c r="G3926" s="4">
        <v>46087.602233796293</v>
      </c>
    </row>
    <row r="3927" spans="1:7" x14ac:dyDescent="0.3">
      <c r="A3927">
        <v>11084</v>
      </c>
      <c r="B3927" t="s">
        <v>148</v>
      </c>
      <c r="C3927">
        <v>51020651</v>
      </c>
      <c r="D3927">
        <v>90.290358746490881</v>
      </c>
      <c r="E3927" t="s">
        <v>92</v>
      </c>
      <c r="F3927">
        <v>118</v>
      </c>
      <c r="G3927" s="4">
        <v>46087.602233796293</v>
      </c>
    </row>
    <row r="3928" spans="1:7" x14ac:dyDescent="0.3">
      <c r="A3928">
        <v>11085</v>
      </c>
      <c r="B3928" t="s">
        <v>148</v>
      </c>
      <c r="C3928">
        <v>51013409</v>
      </c>
      <c r="D3928">
        <v>48.992704425141596</v>
      </c>
      <c r="E3928" t="s">
        <v>94</v>
      </c>
      <c r="F3928">
        <v>834</v>
      </c>
      <c r="G3928" s="4">
        <v>46087.602233796293</v>
      </c>
    </row>
    <row r="3929" spans="1:7" x14ac:dyDescent="0.3">
      <c r="A3929">
        <v>11086</v>
      </c>
      <c r="B3929" t="s">
        <v>148</v>
      </c>
      <c r="C3929">
        <v>51030397</v>
      </c>
      <c r="D3929">
        <v>25.9</v>
      </c>
      <c r="E3929" t="s">
        <v>95</v>
      </c>
      <c r="F3929">
        <v>974</v>
      </c>
      <c r="G3929" s="4">
        <v>46087.602233796293</v>
      </c>
    </row>
    <row r="3930" spans="1:7" x14ac:dyDescent="0.3">
      <c r="A3930">
        <v>11087</v>
      </c>
      <c r="B3930" t="s">
        <v>148</v>
      </c>
      <c r="C3930">
        <v>51010353</v>
      </c>
      <c r="D3930">
        <v>60.736177794825039</v>
      </c>
      <c r="E3930" t="s">
        <v>94</v>
      </c>
      <c r="F3930">
        <v>652</v>
      </c>
      <c r="G3930" s="4">
        <v>46087.602233796293</v>
      </c>
    </row>
    <row r="3931" spans="1:7" x14ac:dyDescent="0.3">
      <c r="A3931">
        <v>11088</v>
      </c>
      <c r="B3931" t="s">
        <v>148</v>
      </c>
      <c r="C3931">
        <v>51054814</v>
      </c>
      <c r="D3931">
        <v>84.89075904250133</v>
      </c>
      <c r="E3931" t="s">
        <v>93</v>
      </c>
      <c r="F3931">
        <v>259</v>
      </c>
      <c r="G3931" s="4">
        <v>46087.602233796293</v>
      </c>
    </row>
    <row r="3932" spans="1:7" x14ac:dyDescent="0.3">
      <c r="A3932">
        <v>11089</v>
      </c>
      <c r="B3932" t="s">
        <v>148</v>
      </c>
      <c r="C3932">
        <v>51012372</v>
      </c>
      <c r="D3932">
        <v>78.745185940508492</v>
      </c>
      <c r="E3932" t="s">
        <v>93</v>
      </c>
      <c r="F3932">
        <v>436</v>
      </c>
      <c r="G3932" s="4">
        <v>46087.602233796293</v>
      </c>
    </row>
    <row r="3933" spans="1:7" x14ac:dyDescent="0.3">
      <c r="A3933">
        <v>11090</v>
      </c>
      <c r="B3933" t="s">
        <v>148</v>
      </c>
      <c r="C3933">
        <v>51036212</v>
      </c>
      <c r="D3933">
        <v>34.799999999999997</v>
      </c>
      <c r="E3933" t="s">
        <v>94</v>
      </c>
      <c r="F3933">
        <v>906</v>
      </c>
      <c r="G3933" s="4">
        <v>46087.602233796293</v>
      </c>
    </row>
    <row r="3934" spans="1:7" x14ac:dyDescent="0.3">
      <c r="A3934">
        <v>11091</v>
      </c>
      <c r="B3934" t="s">
        <v>148</v>
      </c>
      <c r="C3934">
        <v>51029984</v>
      </c>
      <c r="D3934">
        <v>63.358621598632716</v>
      </c>
      <c r="E3934" t="s">
        <v>94</v>
      </c>
      <c r="F3934">
        <v>617</v>
      </c>
      <c r="G3934" s="4">
        <v>46087.602233796293</v>
      </c>
    </row>
    <row r="3935" spans="1:7" x14ac:dyDescent="0.3">
      <c r="A3935">
        <v>11092</v>
      </c>
      <c r="B3935" t="s">
        <v>148</v>
      </c>
      <c r="C3935">
        <v>51039777</v>
      </c>
      <c r="D3935">
        <v>86.243220635535565</v>
      </c>
      <c r="E3935" t="s">
        <v>92</v>
      </c>
      <c r="F3935">
        <v>224</v>
      </c>
      <c r="G3935" s="4">
        <v>46087.602233796293</v>
      </c>
    </row>
    <row r="3936" spans="1:7" x14ac:dyDescent="0.3">
      <c r="A3936">
        <v>11093</v>
      </c>
      <c r="B3936" t="s">
        <v>148</v>
      </c>
      <c r="C3936">
        <v>51056183</v>
      </c>
      <c r="D3936">
        <v>82.742230522373063</v>
      </c>
      <c r="E3936" t="s">
        <v>93</v>
      </c>
      <c r="F3936">
        <v>328</v>
      </c>
      <c r="G3936" s="4">
        <v>46087.602233796293</v>
      </c>
    </row>
    <row r="3937" spans="1:7" x14ac:dyDescent="0.3">
      <c r="A3937">
        <v>11094</v>
      </c>
      <c r="B3937" t="s">
        <v>148</v>
      </c>
      <c r="C3937">
        <v>51039238</v>
      </c>
      <c r="D3937">
        <v>80.173424308113198</v>
      </c>
      <c r="E3937" t="s">
        <v>93</v>
      </c>
      <c r="F3937">
        <v>400</v>
      </c>
      <c r="G3937" s="4">
        <v>46087.602233796293</v>
      </c>
    </row>
    <row r="3938" spans="1:7" x14ac:dyDescent="0.3">
      <c r="A3938">
        <v>11095</v>
      </c>
      <c r="B3938" t="s">
        <v>148</v>
      </c>
      <c r="C3938">
        <v>51007701</v>
      </c>
      <c r="D3938">
        <v>100</v>
      </c>
      <c r="E3938" t="s">
        <v>275</v>
      </c>
      <c r="F3938">
        <v>1</v>
      </c>
      <c r="G3938" s="4">
        <v>46087.602233796293</v>
      </c>
    </row>
    <row r="3939" spans="1:7" x14ac:dyDescent="0.3">
      <c r="A3939">
        <v>11096</v>
      </c>
      <c r="B3939" t="s">
        <v>148</v>
      </c>
      <c r="C3939">
        <v>51034228</v>
      </c>
      <c r="D3939">
        <v>61.07411454198219</v>
      </c>
      <c r="E3939" t="s">
        <v>94</v>
      </c>
      <c r="F3939">
        <v>646</v>
      </c>
      <c r="G3939" s="4">
        <v>46087.602233796293</v>
      </c>
    </row>
    <row r="3940" spans="1:7" x14ac:dyDescent="0.3">
      <c r="A3940">
        <v>11097</v>
      </c>
      <c r="B3940" t="s">
        <v>148</v>
      </c>
      <c r="C3940">
        <v>51005295</v>
      </c>
      <c r="D3940">
        <v>82.28740514322196</v>
      </c>
      <c r="E3940" t="s">
        <v>93</v>
      </c>
      <c r="F3940">
        <v>341</v>
      </c>
      <c r="G3940" s="4">
        <v>46087.602233796293</v>
      </c>
    </row>
    <row r="3941" spans="1:7" x14ac:dyDescent="0.3">
      <c r="A3941">
        <v>11098</v>
      </c>
      <c r="B3941" t="s">
        <v>148</v>
      </c>
      <c r="C3941">
        <v>51023668</v>
      </c>
      <c r="D3941">
        <v>62.073665238476401</v>
      </c>
      <c r="E3941" t="s">
        <v>94</v>
      </c>
      <c r="F3941">
        <v>627</v>
      </c>
      <c r="G3941" s="4">
        <v>46087.602233796293</v>
      </c>
    </row>
    <row r="3942" spans="1:7" x14ac:dyDescent="0.3">
      <c r="A3942">
        <v>11099</v>
      </c>
      <c r="B3942" t="s">
        <v>148</v>
      </c>
      <c r="C3942">
        <v>51018851</v>
      </c>
      <c r="D3942">
        <v>59.160419109137713</v>
      </c>
      <c r="E3942" t="s">
        <v>94</v>
      </c>
      <c r="F3942">
        <v>689</v>
      </c>
      <c r="G3942" s="4">
        <v>46087.602233796293</v>
      </c>
    </row>
    <row r="3943" spans="1:7" x14ac:dyDescent="0.3">
      <c r="A3943">
        <v>11100</v>
      </c>
      <c r="B3943" t="s">
        <v>148</v>
      </c>
      <c r="C3943">
        <v>51042042</v>
      </c>
      <c r="D3943">
        <v>41.621701550245326</v>
      </c>
      <c r="E3943" t="s">
        <v>94</v>
      </c>
      <c r="F3943">
        <v>881</v>
      </c>
      <c r="G3943" s="4">
        <v>46087.602233796293</v>
      </c>
    </row>
    <row r="3944" spans="1:7" x14ac:dyDescent="0.3">
      <c r="A3944">
        <v>11101</v>
      </c>
      <c r="B3944" t="s">
        <v>148</v>
      </c>
      <c r="C3944">
        <v>51010817</v>
      </c>
      <c r="D3944">
        <v>58.071409442114167</v>
      </c>
      <c r="E3944" t="s">
        <v>94</v>
      </c>
      <c r="F3944">
        <v>717</v>
      </c>
      <c r="G3944" s="4">
        <v>46087.602233796293</v>
      </c>
    </row>
    <row r="3945" spans="1:7" x14ac:dyDescent="0.3">
      <c r="A3945">
        <v>11102</v>
      </c>
      <c r="B3945" t="s">
        <v>148</v>
      </c>
      <c r="C3945">
        <v>51022408</v>
      </c>
      <c r="D3945">
        <v>92.349462251919064</v>
      </c>
      <c r="E3945" t="s">
        <v>92</v>
      </c>
      <c r="F3945">
        <v>84</v>
      </c>
      <c r="G3945" s="4">
        <v>46087.602233796293</v>
      </c>
    </row>
    <row r="3946" spans="1:7" x14ac:dyDescent="0.3">
      <c r="A3946">
        <v>11103</v>
      </c>
      <c r="B3946" t="s">
        <v>148</v>
      </c>
      <c r="C3946">
        <v>51032578</v>
      </c>
      <c r="D3946">
        <v>22.959999999999997</v>
      </c>
      <c r="E3946" t="s">
        <v>95</v>
      </c>
      <c r="F3946">
        <v>994</v>
      </c>
      <c r="G3946" s="4">
        <v>46087.602233796293</v>
      </c>
    </row>
    <row r="3947" spans="1:7" x14ac:dyDescent="0.3">
      <c r="A3947">
        <v>11104</v>
      </c>
      <c r="B3947" t="s">
        <v>148</v>
      </c>
      <c r="C3947">
        <v>51017978</v>
      </c>
      <c r="D3947">
        <v>72.192569257530351</v>
      </c>
      <c r="E3947" t="s">
        <v>93</v>
      </c>
      <c r="F3947">
        <v>518</v>
      </c>
      <c r="G3947" s="4">
        <v>46087.602233796293</v>
      </c>
    </row>
    <row r="3948" spans="1:7" x14ac:dyDescent="0.3">
      <c r="A3948">
        <v>11105</v>
      </c>
      <c r="B3948" t="s">
        <v>148</v>
      </c>
      <c r="C3948">
        <v>51056868</v>
      </c>
      <c r="D3948">
        <v>29.322749995847026</v>
      </c>
      <c r="E3948" t="s">
        <v>94</v>
      </c>
      <c r="F3948">
        <v>952</v>
      </c>
      <c r="G3948" s="4">
        <v>46087.602233796293</v>
      </c>
    </row>
    <row r="3949" spans="1:7" x14ac:dyDescent="0.3">
      <c r="A3949">
        <v>11106</v>
      </c>
      <c r="B3949" t="s">
        <v>148</v>
      </c>
      <c r="C3949">
        <v>51056566</v>
      </c>
      <c r="D3949">
        <v>69.929611411777643</v>
      </c>
      <c r="E3949" t="s">
        <v>93</v>
      </c>
      <c r="F3949">
        <v>546</v>
      </c>
      <c r="G3949" s="4">
        <v>46087.602233796293</v>
      </c>
    </row>
    <row r="3950" spans="1:7" x14ac:dyDescent="0.3">
      <c r="A3950">
        <v>11107</v>
      </c>
      <c r="B3950" t="s">
        <v>148</v>
      </c>
      <c r="C3950">
        <v>51005112</v>
      </c>
      <c r="D3950">
        <v>57.343613112384077</v>
      </c>
      <c r="E3950" t="s">
        <v>94</v>
      </c>
      <c r="F3950">
        <v>732</v>
      </c>
      <c r="G3950" s="4">
        <v>46087.602233796293</v>
      </c>
    </row>
    <row r="3951" spans="1:7" x14ac:dyDescent="0.3">
      <c r="A3951">
        <v>11108</v>
      </c>
      <c r="B3951" t="s">
        <v>148</v>
      </c>
      <c r="C3951">
        <v>51019946</v>
      </c>
      <c r="D3951">
        <v>87.623257545661858</v>
      </c>
      <c r="E3951" t="s">
        <v>92</v>
      </c>
      <c r="F3951">
        <v>185</v>
      </c>
      <c r="G3951" s="4">
        <v>46087.602233796293</v>
      </c>
    </row>
    <row r="3952" spans="1:7" x14ac:dyDescent="0.3">
      <c r="A3952">
        <v>11109</v>
      </c>
      <c r="B3952" t="s">
        <v>148</v>
      </c>
      <c r="C3952">
        <v>51027116</v>
      </c>
      <c r="D3952">
        <v>89.468826294029995</v>
      </c>
      <c r="E3952" t="s">
        <v>92</v>
      </c>
      <c r="F3952">
        <v>137</v>
      </c>
      <c r="G3952" s="4">
        <v>46087.602233796293</v>
      </c>
    </row>
    <row r="3953" spans="1:7" x14ac:dyDescent="0.3">
      <c r="A3953">
        <v>11110</v>
      </c>
      <c r="B3953" t="s">
        <v>148</v>
      </c>
      <c r="C3953">
        <v>51042051</v>
      </c>
      <c r="D3953">
        <v>97.290640836301165</v>
      </c>
      <c r="E3953" t="s">
        <v>275</v>
      </c>
      <c r="F3953">
        <v>31</v>
      </c>
      <c r="G3953" s="4">
        <v>46087.602233796293</v>
      </c>
    </row>
    <row r="3954" spans="1:7" x14ac:dyDescent="0.3">
      <c r="A3954">
        <v>11111</v>
      </c>
      <c r="B3954" t="s">
        <v>148</v>
      </c>
      <c r="C3954">
        <v>51024702</v>
      </c>
      <c r="D3954">
        <v>73.931530694912965</v>
      </c>
      <c r="E3954" t="s">
        <v>93</v>
      </c>
      <c r="F3954">
        <v>494</v>
      </c>
      <c r="G3954" s="4">
        <v>46087.602233796293</v>
      </c>
    </row>
    <row r="3955" spans="1:7" x14ac:dyDescent="0.3">
      <c r="A3955">
        <v>11112</v>
      </c>
      <c r="B3955" t="s">
        <v>148</v>
      </c>
      <c r="C3955">
        <v>51000251</v>
      </c>
      <c r="D3955">
        <v>56.180921249283443</v>
      </c>
      <c r="E3955" t="s">
        <v>94</v>
      </c>
      <c r="F3955">
        <v>761</v>
      </c>
      <c r="G3955" s="4">
        <v>46087.602233796293</v>
      </c>
    </row>
    <row r="3956" spans="1:7" x14ac:dyDescent="0.3">
      <c r="A3956">
        <v>11113</v>
      </c>
      <c r="B3956" t="s">
        <v>148</v>
      </c>
      <c r="C3956">
        <v>51036778</v>
      </c>
      <c r="D3956">
        <v>84.483920850539377</v>
      </c>
      <c r="E3956" t="s">
        <v>93</v>
      </c>
      <c r="F3956">
        <v>272</v>
      </c>
      <c r="G3956" s="4">
        <v>46087.602233796293</v>
      </c>
    </row>
    <row r="3957" spans="1:7" x14ac:dyDescent="0.3">
      <c r="A3957">
        <v>11114</v>
      </c>
      <c r="B3957" t="s">
        <v>148</v>
      </c>
      <c r="C3957">
        <v>51056850</v>
      </c>
      <c r="D3957">
        <v>43.417044559493178</v>
      </c>
      <c r="E3957" t="s">
        <v>94</v>
      </c>
      <c r="F3957">
        <v>875</v>
      </c>
      <c r="G3957" s="4">
        <v>46087.602233796293</v>
      </c>
    </row>
    <row r="3958" spans="1:7" x14ac:dyDescent="0.3">
      <c r="A3958">
        <v>11115</v>
      </c>
      <c r="B3958" t="s">
        <v>148</v>
      </c>
      <c r="C3958">
        <v>51054989</v>
      </c>
      <c r="D3958">
        <v>91.912007677287846</v>
      </c>
      <c r="E3958" t="s">
        <v>92</v>
      </c>
      <c r="F3958">
        <v>87</v>
      </c>
      <c r="G3958" s="4">
        <v>46087.602233796293</v>
      </c>
    </row>
    <row r="3959" spans="1:7" x14ac:dyDescent="0.3">
      <c r="A3959">
        <v>11116</v>
      </c>
      <c r="B3959" t="s">
        <v>148</v>
      </c>
      <c r="C3959">
        <v>51018737</v>
      </c>
      <c r="D3959">
        <v>29.4</v>
      </c>
      <c r="E3959" t="s">
        <v>94</v>
      </c>
      <c r="F3959">
        <v>950</v>
      </c>
      <c r="G3959" s="4">
        <v>46087.602233796293</v>
      </c>
    </row>
    <row r="3960" spans="1:7" x14ac:dyDescent="0.3">
      <c r="A3960">
        <v>11117</v>
      </c>
      <c r="B3960" t="s">
        <v>148</v>
      </c>
      <c r="C3960">
        <v>51023811</v>
      </c>
      <c r="D3960">
        <v>60.90385808576471</v>
      </c>
      <c r="E3960" t="s">
        <v>94</v>
      </c>
      <c r="F3960">
        <v>648</v>
      </c>
      <c r="G3960" s="4">
        <v>46087.602233796293</v>
      </c>
    </row>
    <row r="3961" spans="1:7" x14ac:dyDescent="0.3">
      <c r="A3961">
        <v>11118</v>
      </c>
      <c r="B3961" t="s">
        <v>148</v>
      </c>
      <c r="C3961">
        <v>51040899</v>
      </c>
      <c r="D3961">
        <v>92.882894692831258</v>
      </c>
      <c r="E3961" t="s">
        <v>92</v>
      </c>
      <c r="F3961">
        <v>75</v>
      </c>
      <c r="G3961" s="4">
        <v>46087.602233796293</v>
      </c>
    </row>
    <row r="3962" spans="1:7" x14ac:dyDescent="0.3">
      <c r="A3962">
        <v>11119</v>
      </c>
      <c r="B3962" t="s">
        <v>148</v>
      </c>
      <c r="C3962">
        <v>51022149</v>
      </c>
      <c r="D3962">
        <v>57.232788493463069</v>
      </c>
      <c r="E3962" t="s">
        <v>94</v>
      </c>
      <c r="F3962">
        <v>734</v>
      </c>
      <c r="G3962" s="4">
        <v>46087.602233796293</v>
      </c>
    </row>
    <row r="3963" spans="1:7" x14ac:dyDescent="0.3">
      <c r="A3963">
        <v>11120</v>
      </c>
      <c r="B3963" t="s">
        <v>148</v>
      </c>
      <c r="C3963">
        <v>51014189</v>
      </c>
      <c r="D3963">
        <v>83.91180075214335</v>
      </c>
      <c r="E3963" t="s">
        <v>93</v>
      </c>
      <c r="F3963">
        <v>287</v>
      </c>
      <c r="G3963" s="4">
        <v>46087.602233796293</v>
      </c>
    </row>
    <row r="3964" spans="1:7" x14ac:dyDescent="0.3">
      <c r="A3964">
        <v>11121</v>
      </c>
      <c r="B3964" t="s">
        <v>148</v>
      </c>
      <c r="C3964">
        <v>51011538</v>
      </c>
      <c r="D3964">
        <v>48.692059069816985</v>
      </c>
      <c r="E3964" t="s">
        <v>94</v>
      </c>
      <c r="F3964">
        <v>836</v>
      </c>
      <c r="G3964" s="4">
        <v>46087.602233796293</v>
      </c>
    </row>
    <row r="3965" spans="1:7" x14ac:dyDescent="0.3">
      <c r="A3965">
        <v>11122</v>
      </c>
      <c r="B3965" t="s">
        <v>148</v>
      </c>
      <c r="C3965">
        <v>51011686</v>
      </c>
      <c r="D3965">
        <v>67.492506255921086</v>
      </c>
      <c r="E3965" t="s">
        <v>93</v>
      </c>
      <c r="F3965">
        <v>581</v>
      </c>
      <c r="G3965" s="4">
        <v>46087.602233796293</v>
      </c>
    </row>
    <row r="3966" spans="1:7" x14ac:dyDescent="0.3">
      <c r="A3966">
        <v>11123</v>
      </c>
      <c r="B3966" t="s">
        <v>148</v>
      </c>
      <c r="C3966">
        <v>51055896</v>
      </c>
      <c r="D3966">
        <v>68.350813288676648</v>
      </c>
      <c r="E3966" t="s">
        <v>93</v>
      </c>
      <c r="F3966">
        <v>568</v>
      </c>
      <c r="G3966" s="4">
        <v>46087.602233796293</v>
      </c>
    </row>
    <row r="3967" spans="1:7" x14ac:dyDescent="0.3">
      <c r="A3967">
        <v>11124</v>
      </c>
      <c r="B3967" t="s">
        <v>148</v>
      </c>
      <c r="C3967">
        <v>51054962</v>
      </c>
      <c r="D3967">
        <v>79.812629650935236</v>
      </c>
      <c r="E3967" t="s">
        <v>93</v>
      </c>
      <c r="F3967">
        <v>408</v>
      </c>
      <c r="G3967" s="4">
        <v>46087.602233796293</v>
      </c>
    </row>
    <row r="3968" spans="1:7" x14ac:dyDescent="0.3">
      <c r="A3968">
        <v>11125</v>
      </c>
      <c r="B3968" t="s">
        <v>148</v>
      </c>
      <c r="C3968">
        <v>51021584</v>
      </c>
      <c r="D3968">
        <v>76.196810493183989</v>
      </c>
      <c r="E3968" t="s">
        <v>93</v>
      </c>
      <c r="F3968">
        <v>469</v>
      </c>
      <c r="G3968" s="4">
        <v>46087.602233796293</v>
      </c>
    </row>
    <row r="3969" spans="1:7" x14ac:dyDescent="0.3">
      <c r="A3969">
        <v>11126</v>
      </c>
      <c r="B3969" t="s">
        <v>148</v>
      </c>
      <c r="C3969">
        <v>51014642</v>
      </c>
      <c r="D3969">
        <v>28.889714095815368</v>
      </c>
      <c r="E3969" t="s">
        <v>95</v>
      </c>
      <c r="F3969">
        <v>956</v>
      </c>
      <c r="G3969" s="4">
        <v>46087.602233796293</v>
      </c>
    </row>
    <row r="3970" spans="1:7" x14ac:dyDescent="0.3">
      <c r="A3970">
        <v>11127</v>
      </c>
      <c r="B3970" t="s">
        <v>148</v>
      </c>
      <c r="C3970">
        <v>51038878</v>
      </c>
      <c r="D3970">
        <v>26.7</v>
      </c>
      <c r="E3970" t="s">
        <v>95</v>
      </c>
      <c r="F3970">
        <v>970</v>
      </c>
      <c r="G3970" s="4">
        <v>46087.602233796293</v>
      </c>
    </row>
    <row r="3971" spans="1:7" x14ac:dyDescent="0.3">
      <c r="A3971">
        <v>11128</v>
      </c>
      <c r="B3971" t="s">
        <v>148</v>
      </c>
      <c r="C3971">
        <v>51055292</v>
      </c>
      <c r="D3971">
        <v>65.835257263477914</v>
      </c>
      <c r="E3971" t="s">
        <v>94</v>
      </c>
      <c r="F3971">
        <v>598</v>
      </c>
      <c r="G3971" s="4">
        <v>46087.602233796293</v>
      </c>
    </row>
    <row r="3972" spans="1:7" x14ac:dyDescent="0.3">
      <c r="A3972">
        <v>11129</v>
      </c>
      <c r="B3972" t="s">
        <v>148</v>
      </c>
      <c r="C3972">
        <v>51011601</v>
      </c>
      <c r="D3972">
        <v>68.537513726997631</v>
      </c>
      <c r="E3972" t="s">
        <v>93</v>
      </c>
      <c r="F3972">
        <v>565</v>
      </c>
      <c r="G3972" s="4">
        <v>46087.602233796293</v>
      </c>
    </row>
    <row r="3973" spans="1:7" x14ac:dyDescent="0.3">
      <c r="A3973">
        <v>11130</v>
      </c>
      <c r="B3973" t="s">
        <v>148</v>
      </c>
      <c r="C3973">
        <v>51022866</v>
      </c>
      <c r="D3973">
        <v>63.54198635432391</v>
      </c>
      <c r="E3973" t="s">
        <v>94</v>
      </c>
      <c r="F3973">
        <v>614</v>
      </c>
      <c r="G3973" s="4">
        <v>46087.602233796293</v>
      </c>
    </row>
    <row r="3974" spans="1:7" x14ac:dyDescent="0.3">
      <c r="A3974">
        <v>11131</v>
      </c>
      <c r="B3974" t="s">
        <v>148</v>
      </c>
      <c r="C3974">
        <v>51017820</v>
      </c>
      <c r="D3974">
        <v>72.438279137297016</v>
      </c>
      <c r="E3974" t="s">
        <v>93</v>
      </c>
      <c r="F3974">
        <v>511</v>
      </c>
      <c r="G3974" s="4">
        <v>46087.602233796293</v>
      </c>
    </row>
    <row r="3975" spans="1:7" x14ac:dyDescent="0.3">
      <c r="A3975">
        <v>11132</v>
      </c>
      <c r="B3975" t="s">
        <v>148</v>
      </c>
      <c r="C3975">
        <v>51030761</v>
      </c>
      <c r="D3975">
        <v>21.652620481026219</v>
      </c>
      <c r="E3975" t="s">
        <v>95</v>
      </c>
      <c r="F3975">
        <v>1007</v>
      </c>
      <c r="G3975" s="4">
        <v>46087.602233796293</v>
      </c>
    </row>
    <row r="3976" spans="1:7" x14ac:dyDescent="0.3">
      <c r="A3976">
        <v>11133</v>
      </c>
      <c r="B3976" t="s">
        <v>148</v>
      </c>
      <c r="C3976">
        <v>51008294</v>
      </c>
      <c r="D3976">
        <v>58.319076038158464</v>
      </c>
      <c r="E3976" t="s">
        <v>94</v>
      </c>
      <c r="F3976">
        <v>710</v>
      </c>
      <c r="G3976" s="4">
        <v>46087.602233796293</v>
      </c>
    </row>
    <row r="3977" spans="1:7" x14ac:dyDescent="0.3">
      <c r="A3977">
        <v>11134</v>
      </c>
      <c r="B3977" t="s">
        <v>148</v>
      </c>
      <c r="C3977">
        <v>51055501</v>
      </c>
      <c r="D3977">
        <v>72.42704489971986</v>
      </c>
      <c r="E3977" t="s">
        <v>93</v>
      </c>
      <c r="F3977">
        <v>512</v>
      </c>
      <c r="G3977" s="4">
        <v>46087.602233796293</v>
      </c>
    </row>
    <row r="3978" spans="1:7" x14ac:dyDescent="0.3">
      <c r="A3978">
        <v>11135</v>
      </c>
      <c r="B3978" t="s">
        <v>148</v>
      </c>
      <c r="C3978">
        <v>51038886</v>
      </c>
      <c r="D3978">
        <v>100</v>
      </c>
      <c r="E3978" t="s">
        <v>275</v>
      </c>
      <c r="F3978">
        <v>1</v>
      </c>
      <c r="G3978" s="4">
        <v>46087.602233796293</v>
      </c>
    </row>
    <row r="3979" spans="1:7" x14ac:dyDescent="0.3">
      <c r="A3979">
        <v>11136</v>
      </c>
      <c r="B3979" t="s">
        <v>148</v>
      </c>
      <c r="C3979">
        <v>51020316</v>
      </c>
      <c r="D3979">
        <v>94.953459923594522</v>
      </c>
      <c r="E3979" t="s">
        <v>275</v>
      </c>
      <c r="F3979">
        <v>55</v>
      </c>
      <c r="G3979" s="4">
        <v>46087.602233796293</v>
      </c>
    </row>
    <row r="3980" spans="1:7" x14ac:dyDescent="0.3">
      <c r="A3980">
        <v>11137</v>
      </c>
      <c r="B3980" t="s">
        <v>148</v>
      </c>
      <c r="C3980">
        <v>51055675</v>
      </c>
      <c r="D3980">
        <v>90.777878610907138</v>
      </c>
      <c r="E3980" t="s">
        <v>92</v>
      </c>
      <c r="F3980">
        <v>110</v>
      </c>
      <c r="G3980" s="4">
        <v>46087.602233796293</v>
      </c>
    </row>
    <row r="3981" spans="1:7" x14ac:dyDescent="0.3">
      <c r="A3981">
        <v>11138</v>
      </c>
      <c r="B3981" t="s">
        <v>148</v>
      </c>
      <c r="C3981">
        <v>51012577</v>
      </c>
      <c r="D3981">
        <v>94.652253683322868</v>
      </c>
      <c r="E3981" t="s">
        <v>275</v>
      </c>
      <c r="F3981">
        <v>58</v>
      </c>
      <c r="G3981" s="4">
        <v>46087.602233796293</v>
      </c>
    </row>
    <row r="3982" spans="1:7" x14ac:dyDescent="0.3">
      <c r="A3982">
        <v>11139</v>
      </c>
      <c r="B3982" t="s">
        <v>148</v>
      </c>
      <c r="C3982">
        <v>51017706</v>
      </c>
      <c r="D3982">
        <v>96.233091872754017</v>
      </c>
      <c r="E3982" t="s">
        <v>275</v>
      </c>
      <c r="F3982">
        <v>38</v>
      </c>
      <c r="G3982" s="4">
        <v>46087.602233796293</v>
      </c>
    </row>
    <row r="3983" spans="1:7" x14ac:dyDescent="0.3">
      <c r="A3983">
        <v>11140</v>
      </c>
      <c r="B3983" t="s">
        <v>148</v>
      </c>
      <c r="C3983">
        <v>51011236</v>
      </c>
      <c r="D3983">
        <v>84.07108520864432</v>
      </c>
      <c r="E3983" t="s">
        <v>93</v>
      </c>
      <c r="F3983">
        <v>283</v>
      </c>
      <c r="G3983" s="4">
        <v>46087.602233796293</v>
      </c>
    </row>
    <row r="3984" spans="1:7" x14ac:dyDescent="0.3">
      <c r="A3984">
        <v>11141</v>
      </c>
      <c r="B3984" t="s">
        <v>148</v>
      </c>
      <c r="C3984">
        <v>51030524</v>
      </c>
      <c r="D3984">
        <v>59.41500193373092</v>
      </c>
      <c r="E3984" t="s">
        <v>94</v>
      </c>
      <c r="F3984">
        <v>680</v>
      </c>
      <c r="G3984" s="4">
        <v>46087.602233796293</v>
      </c>
    </row>
    <row r="3985" spans="1:7" x14ac:dyDescent="0.3">
      <c r="A3985">
        <v>11142</v>
      </c>
      <c r="B3985" t="s">
        <v>148</v>
      </c>
      <c r="C3985">
        <v>51003365</v>
      </c>
      <c r="D3985">
        <v>86.863772610540963</v>
      </c>
      <c r="E3985" t="s">
        <v>92</v>
      </c>
      <c r="F3985">
        <v>205</v>
      </c>
      <c r="G3985" s="4">
        <v>46087.602233796293</v>
      </c>
    </row>
    <row r="3986" spans="1:7" x14ac:dyDescent="0.3">
      <c r="A3986">
        <v>11143</v>
      </c>
      <c r="B3986" t="s">
        <v>148</v>
      </c>
      <c r="C3986">
        <v>51031989</v>
      </c>
      <c r="D3986">
        <v>86.426061634991768</v>
      </c>
      <c r="E3986" t="s">
        <v>92</v>
      </c>
      <c r="F3986">
        <v>217</v>
      </c>
      <c r="G3986" s="4">
        <v>46087.602233796293</v>
      </c>
    </row>
    <row r="3987" spans="1:7" x14ac:dyDescent="0.3">
      <c r="A3987">
        <v>11144</v>
      </c>
      <c r="B3987" t="s">
        <v>148</v>
      </c>
      <c r="C3987">
        <v>51010922</v>
      </c>
      <c r="D3987">
        <v>53.986161178241034</v>
      </c>
      <c r="E3987" t="s">
        <v>94</v>
      </c>
      <c r="F3987">
        <v>791</v>
      </c>
      <c r="G3987" s="4">
        <v>46087.602233796293</v>
      </c>
    </row>
    <row r="3988" spans="1:7" x14ac:dyDescent="0.3">
      <c r="A3988">
        <v>11145</v>
      </c>
      <c r="B3988" t="s">
        <v>148</v>
      </c>
      <c r="C3988">
        <v>51040031</v>
      </c>
      <c r="D3988">
        <v>88.075909411872388</v>
      </c>
      <c r="E3988" t="s">
        <v>92</v>
      </c>
      <c r="F3988">
        <v>177</v>
      </c>
      <c r="G3988" s="4">
        <v>46087.602233796293</v>
      </c>
    </row>
    <row r="3989" spans="1:7" x14ac:dyDescent="0.3">
      <c r="A3989">
        <v>11146</v>
      </c>
      <c r="B3989" t="s">
        <v>148</v>
      </c>
      <c r="C3989">
        <v>51027108</v>
      </c>
      <c r="D3989">
        <v>85.786329380959401</v>
      </c>
      <c r="E3989" t="s">
        <v>92</v>
      </c>
      <c r="F3989">
        <v>235</v>
      </c>
      <c r="G3989" s="4">
        <v>46087.602233796293</v>
      </c>
    </row>
    <row r="3990" spans="1:7" x14ac:dyDescent="0.3">
      <c r="A3990">
        <v>11147</v>
      </c>
      <c r="B3990" t="s">
        <v>148</v>
      </c>
      <c r="C3990">
        <v>51022971</v>
      </c>
      <c r="D3990">
        <v>65.613649881857626</v>
      </c>
      <c r="E3990" t="s">
        <v>94</v>
      </c>
      <c r="F3990">
        <v>599</v>
      </c>
      <c r="G3990" s="4">
        <v>46087.602233796293</v>
      </c>
    </row>
    <row r="3991" spans="1:7" x14ac:dyDescent="0.3">
      <c r="A3991">
        <v>11148</v>
      </c>
      <c r="B3991" t="s">
        <v>148</v>
      </c>
      <c r="C3991">
        <v>51023005</v>
      </c>
      <c r="D3991">
        <v>83.048748193891385</v>
      </c>
      <c r="E3991" t="s">
        <v>93</v>
      </c>
      <c r="F3991">
        <v>320</v>
      </c>
      <c r="G3991" s="4">
        <v>46087.602233796293</v>
      </c>
    </row>
    <row r="3992" spans="1:7" x14ac:dyDescent="0.3">
      <c r="A3992">
        <v>11149</v>
      </c>
      <c r="B3992" t="s">
        <v>148</v>
      </c>
      <c r="C3992">
        <v>51002610</v>
      </c>
      <c r="D3992">
        <v>83.152192685530764</v>
      </c>
      <c r="E3992" t="s">
        <v>93</v>
      </c>
      <c r="F3992">
        <v>314</v>
      </c>
      <c r="G3992" s="4">
        <v>46087.602233796293</v>
      </c>
    </row>
    <row r="3993" spans="1:7" x14ac:dyDescent="0.3">
      <c r="A3993">
        <v>11150</v>
      </c>
      <c r="B3993" t="s">
        <v>148</v>
      </c>
      <c r="C3993">
        <v>51056116</v>
      </c>
      <c r="D3993">
        <v>88.656119960806592</v>
      </c>
      <c r="E3993" t="s">
        <v>92</v>
      </c>
      <c r="F3993">
        <v>162</v>
      </c>
      <c r="G3993" s="4">
        <v>46087.602233796293</v>
      </c>
    </row>
    <row r="3994" spans="1:7" x14ac:dyDescent="0.3">
      <c r="A3994">
        <v>11151</v>
      </c>
      <c r="B3994" t="s">
        <v>148</v>
      </c>
      <c r="C3994">
        <v>51020979</v>
      </c>
      <c r="D3994">
        <v>63.086656676246527</v>
      </c>
      <c r="E3994" t="s">
        <v>94</v>
      </c>
      <c r="F3994">
        <v>621</v>
      </c>
      <c r="G3994" s="4">
        <v>46087.602233796293</v>
      </c>
    </row>
    <row r="3995" spans="1:7" x14ac:dyDescent="0.3">
      <c r="A3995">
        <v>11152</v>
      </c>
      <c r="B3995" t="s">
        <v>148</v>
      </c>
      <c r="C3995">
        <v>51015207</v>
      </c>
      <c r="D3995">
        <v>87.453847304636497</v>
      </c>
      <c r="E3995" t="s">
        <v>92</v>
      </c>
      <c r="F3995">
        <v>191</v>
      </c>
      <c r="G3995" s="4">
        <v>46087.602233796293</v>
      </c>
    </row>
    <row r="3996" spans="1:7" x14ac:dyDescent="0.3">
      <c r="A3996">
        <v>11153</v>
      </c>
      <c r="B3996" t="s">
        <v>148</v>
      </c>
      <c r="C3996">
        <v>51007549</v>
      </c>
      <c r="D3996">
        <v>92.118108017480054</v>
      </c>
      <c r="E3996" t="s">
        <v>92</v>
      </c>
      <c r="F3996">
        <v>85</v>
      </c>
      <c r="G3996" s="4">
        <v>46087.602233796293</v>
      </c>
    </row>
    <row r="3997" spans="1:7" x14ac:dyDescent="0.3">
      <c r="A3997">
        <v>11154</v>
      </c>
      <c r="B3997" t="s">
        <v>148</v>
      </c>
      <c r="C3997">
        <v>51032624</v>
      </c>
      <c r="D3997">
        <v>37.442277040051259</v>
      </c>
      <c r="E3997" t="s">
        <v>94</v>
      </c>
      <c r="F3997">
        <v>893</v>
      </c>
      <c r="G3997" s="4">
        <v>46087.602233796293</v>
      </c>
    </row>
    <row r="3998" spans="1:7" x14ac:dyDescent="0.3">
      <c r="A3998">
        <v>11155</v>
      </c>
      <c r="B3998" t="s">
        <v>148</v>
      </c>
      <c r="C3998">
        <v>51002555</v>
      </c>
      <c r="D3998">
        <v>93.366317943737755</v>
      </c>
      <c r="E3998" t="s">
        <v>92</v>
      </c>
      <c r="F3998">
        <v>71</v>
      </c>
      <c r="G3998" s="4">
        <v>46087.602233796293</v>
      </c>
    </row>
    <row r="3999" spans="1:7" x14ac:dyDescent="0.3">
      <c r="A3999">
        <v>11156</v>
      </c>
      <c r="B3999" t="s">
        <v>148</v>
      </c>
      <c r="C3999">
        <v>51029879</v>
      </c>
      <c r="D3999">
        <v>79.708395084479534</v>
      </c>
      <c r="E3999" t="s">
        <v>93</v>
      </c>
      <c r="F3999">
        <v>411</v>
      </c>
      <c r="G3999" s="4">
        <v>46087.602233796293</v>
      </c>
    </row>
    <row r="4000" spans="1:7" x14ac:dyDescent="0.3">
      <c r="A4000">
        <v>11157</v>
      </c>
      <c r="B4000" t="s">
        <v>148</v>
      </c>
      <c r="C4000">
        <v>51011147</v>
      </c>
      <c r="D4000">
        <v>75.41152873887053</v>
      </c>
      <c r="E4000" t="s">
        <v>93</v>
      </c>
      <c r="F4000">
        <v>477</v>
      </c>
      <c r="G4000" s="4">
        <v>46087.602233796293</v>
      </c>
    </row>
    <row r="4001" spans="1:7" x14ac:dyDescent="0.3">
      <c r="A4001">
        <v>11158</v>
      </c>
      <c r="B4001" t="s">
        <v>148</v>
      </c>
      <c r="C4001">
        <v>51030427</v>
      </c>
      <c r="D4001">
        <v>100</v>
      </c>
      <c r="E4001" t="s">
        <v>275</v>
      </c>
      <c r="F4001">
        <v>1</v>
      </c>
      <c r="G4001" s="4">
        <v>46087.602233796293</v>
      </c>
    </row>
    <row r="4002" spans="1:7" x14ac:dyDescent="0.3">
      <c r="A4002">
        <v>11159</v>
      </c>
      <c r="B4002" t="s">
        <v>148</v>
      </c>
      <c r="C4002">
        <v>51032675</v>
      </c>
      <c r="D4002">
        <v>78.791610869587061</v>
      </c>
      <c r="E4002" t="s">
        <v>93</v>
      </c>
      <c r="F4002">
        <v>434</v>
      </c>
      <c r="G4002" s="4">
        <v>46087.602233796293</v>
      </c>
    </row>
    <row r="4003" spans="1:7" x14ac:dyDescent="0.3">
      <c r="A4003">
        <v>11160</v>
      </c>
      <c r="B4003" t="s">
        <v>148</v>
      </c>
      <c r="C4003">
        <v>51042921</v>
      </c>
      <c r="D4003">
        <v>84.650194118336103</v>
      </c>
      <c r="E4003" t="s">
        <v>93</v>
      </c>
      <c r="F4003">
        <v>266</v>
      </c>
      <c r="G4003" s="4">
        <v>46087.602233796293</v>
      </c>
    </row>
    <row r="4004" spans="1:7" x14ac:dyDescent="0.3">
      <c r="A4004">
        <v>11161</v>
      </c>
      <c r="B4004" t="s">
        <v>148</v>
      </c>
      <c r="C4004">
        <v>51056272</v>
      </c>
      <c r="D4004">
        <v>50.552557814296442</v>
      </c>
      <c r="E4004" t="s">
        <v>94</v>
      </c>
      <c r="F4004">
        <v>820</v>
      </c>
      <c r="G4004" s="4">
        <v>46087.602233796293</v>
      </c>
    </row>
    <row r="4005" spans="1:7" x14ac:dyDescent="0.3">
      <c r="A4005">
        <v>11162</v>
      </c>
      <c r="B4005" t="s">
        <v>148</v>
      </c>
      <c r="C4005">
        <v>51007883</v>
      </c>
      <c r="D4005">
        <v>66.627426023306256</v>
      </c>
      <c r="E4005" t="s">
        <v>93</v>
      </c>
      <c r="F4005">
        <v>591</v>
      </c>
      <c r="G4005" s="4">
        <v>46087.602233796293</v>
      </c>
    </row>
    <row r="4006" spans="1:7" x14ac:dyDescent="0.3">
      <c r="A4006">
        <v>11163</v>
      </c>
      <c r="B4006" t="s">
        <v>148</v>
      </c>
      <c r="C4006">
        <v>51030010</v>
      </c>
      <c r="D4006">
        <v>95.359831145834093</v>
      </c>
      <c r="E4006" t="s">
        <v>275</v>
      </c>
      <c r="F4006">
        <v>47</v>
      </c>
      <c r="G4006" s="4">
        <v>46087.602233796293</v>
      </c>
    </row>
    <row r="4007" spans="1:7" x14ac:dyDescent="0.3">
      <c r="A4007">
        <v>11164</v>
      </c>
      <c r="B4007" t="s">
        <v>148</v>
      </c>
      <c r="C4007">
        <v>51056124</v>
      </c>
      <c r="D4007">
        <v>93.030352150147905</v>
      </c>
      <c r="E4007" t="s">
        <v>92</v>
      </c>
      <c r="F4007">
        <v>72</v>
      </c>
      <c r="G4007" s="4">
        <v>46087.602233796293</v>
      </c>
    </row>
    <row r="4008" spans="1:7" x14ac:dyDescent="0.3">
      <c r="A4008">
        <v>11165</v>
      </c>
      <c r="B4008" t="s">
        <v>148</v>
      </c>
      <c r="C4008">
        <v>51043758</v>
      </c>
      <c r="D4008">
        <v>82.700640168592386</v>
      </c>
      <c r="E4008" t="s">
        <v>93</v>
      </c>
      <c r="F4008">
        <v>332</v>
      </c>
      <c r="G4008" s="4">
        <v>46087.602233796293</v>
      </c>
    </row>
    <row r="4009" spans="1:7" x14ac:dyDescent="0.3">
      <c r="A4009">
        <v>11166</v>
      </c>
      <c r="B4009" t="s">
        <v>148</v>
      </c>
      <c r="C4009">
        <v>51055039</v>
      </c>
      <c r="D4009">
        <v>90.196911313008997</v>
      </c>
      <c r="E4009" t="s">
        <v>92</v>
      </c>
      <c r="F4009">
        <v>119</v>
      </c>
      <c r="G4009" s="4">
        <v>46087.602233796293</v>
      </c>
    </row>
    <row r="4010" spans="1:7" x14ac:dyDescent="0.3">
      <c r="A4010">
        <v>11167</v>
      </c>
      <c r="B4010" t="s">
        <v>148</v>
      </c>
      <c r="C4010">
        <v>51056582</v>
      </c>
      <c r="D4010">
        <v>82.530956067332099</v>
      </c>
      <c r="E4010" t="s">
        <v>93</v>
      </c>
      <c r="F4010">
        <v>338</v>
      </c>
      <c r="G4010" s="4">
        <v>46087.602233796293</v>
      </c>
    </row>
    <row r="4011" spans="1:7" x14ac:dyDescent="0.3">
      <c r="A4011">
        <v>11168</v>
      </c>
      <c r="B4011" t="s">
        <v>148</v>
      </c>
      <c r="C4011">
        <v>51021321</v>
      </c>
      <c r="D4011">
        <v>77.334806396998033</v>
      </c>
      <c r="E4011" t="s">
        <v>93</v>
      </c>
      <c r="F4011">
        <v>449</v>
      </c>
      <c r="G4011" s="4">
        <v>46087.602233796293</v>
      </c>
    </row>
    <row r="4012" spans="1:7" x14ac:dyDescent="0.3">
      <c r="A4012">
        <v>11169</v>
      </c>
      <c r="B4012" t="s">
        <v>148</v>
      </c>
      <c r="C4012">
        <v>51055322</v>
      </c>
      <c r="D4012">
        <v>82.914045972618851</v>
      </c>
      <c r="E4012" t="s">
        <v>93</v>
      </c>
      <c r="F4012">
        <v>325</v>
      </c>
      <c r="G4012" s="4">
        <v>46087.602233796293</v>
      </c>
    </row>
    <row r="4013" spans="1:7" x14ac:dyDescent="0.3">
      <c r="A4013">
        <v>11170</v>
      </c>
      <c r="B4013" t="s">
        <v>148</v>
      </c>
      <c r="C4013">
        <v>51010027</v>
      </c>
      <c r="D4013">
        <v>28.5</v>
      </c>
      <c r="E4013" t="s">
        <v>95</v>
      </c>
      <c r="F4013">
        <v>959</v>
      </c>
      <c r="G4013" s="4">
        <v>46087.602233796293</v>
      </c>
    </row>
    <row r="4014" spans="1:7" x14ac:dyDescent="0.3">
      <c r="A4014">
        <v>11171</v>
      </c>
      <c r="B4014" t="s">
        <v>148</v>
      </c>
      <c r="C4014">
        <v>51011295</v>
      </c>
      <c r="D4014">
        <v>87.856970233529324</v>
      </c>
      <c r="E4014" t="s">
        <v>92</v>
      </c>
      <c r="F4014">
        <v>181</v>
      </c>
      <c r="G4014" s="4">
        <v>46087.602233796293</v>
      </c>
    </row>
    <row r="4015" spans="1:7" x14ac:dyDescent="0.3">
      <c r="A4015">
        <v>11172</v>
      </c>
      <c r="B4015" t="s">
        <v>148</v>
      </c>
      <c r="C4015">
        <v>51017145</v>
      </c>
      <c r="D4015">
        <v>62.17029467253478</v>
      </c>
      <c r="E4015" t="s">
        <v>94</v>
      </c>
      <c r="F4015">
        <v>626</v>
      </c>
      <c r="G4015" s="4">
        <v>46087.602233796293</v>
      </c>
    </row>
    <row r="4016" spans="1:7" x14ac:dyDescent="0.3">
      <c r="A4016">
        <v>11173</v>
      </c>
      <c r="B4016" t="s">
        <v>148</v>
      </c>
      <c r="C4016">
        <v>51055888</v>
      </c>
      <c r="D4016">
        <v>56.807978505635703</v>
      </c>
      <c r="E4016" t="s">
        <v>94</v>
      </c>
      <c r="F4016">
        <v>744</v>
      </c>
      <c r="G4016" s="4">
        <v>46087.602233796293</v>
      </c>
    </row>
    <row r="4017" spans="1:7" x14ac:dyDescent="0.3">
      <c r="A4017">
        <v>11174</v>
      </c>
      <c r="B4017" t="s">
        <v>148</v>
      </c>
      <c r="C4017">
        <v>51031881</v>
      </c>
      <c r="D4017">
        <v>89.635117003389894</v>
      </c>
      <c r="E4017" t="s">
        <v>92</v>
      </c>
      <c r="F4017">
        <v>135</v>
      </c>
      <c r="G4017" s="4">
        <v>46087.602233796293</v>
      </c>
    </row>
    <row r="4018" spans="1:7" x14ac:dyDescent="0.3">
      <c r="A4018">
        <v>11175</v>
      </c>
      <c r="B4018" t="s">
        <v>148</v>
      </c>
      <c r="C4018">
        <v>51010060</v>
      </c>
      <c r="D4018">
        <v>93.460500101931871</v>
      </c>
      <c r="E4018" t="s">
        <v>92</v>
      </c>
      <c r="F4018">
        <v>67</v>
      </c>
      <c r="G4018" s="4">
        <v>46087.602233796293</v>
      </c>
    </row>
    <row r="4019" spans="1:7" x14ac:dyDescent="0.3">
      <c r="A4019">
        <v>11176</v>
      </c>
      <c r="B4019" t="s">
        <v>148</v>
      </c>
      <c r="C4019">
        <v>51056400</v>
      </c>
      <c r="D4019">
        <v>84.899566855828581</v>
      </c>
      <c r="E4019" t="s">
        <v>93</v>
      </c>
      <c r="F4019">
        <v>258</v>
      </c>
      <c r="G4019" s="4">
        <v>46087.602233796293</v>
      </c>
    </row>
    <row r="4020" spans="1:7" x14ac:dyDescent="0.3">
      <c r="A4020">
        <v>11177</v>
      </c>
      <c r="B4020" t="s">
        <v>148</v>
      </c>
      <c r="C4020">
        <v>51056531</v>
      </c>
      <c r="D4020">
        <v>93.377534092260063</v>
      </c>
      <c r="E4020" t="s">
        <v>92</v>
      </c>
      <c r="F4020">
        <v>69</v>
      </c>
      <c r="G4020" s="4">
        <v>46087.602233796293</v>
      </c>
    </row>
    <row r="4021" spans="1:7" x14ac:dyDescent="0.3">
      <c r="A4021">
        <v>11178</v>
      </c>
      <c r="B4021" t="s">
        <v>148</v>
      </c>
      <c r="C4021">
        <v>51011643</v>
      </c>
      <c r="D4021">
        <v>80.06724166064204</v>
      </c>
      <c r="E4021" t="s">
        <v>93</v>
      </c>
      <c r="F4021">
        <v>405</v>
      </c>
      <c r="G4021" s="4">
        <v>46087.602233796293</v>
      </c>
    </row>
    <row r="4022" spans="1:7" x14ac:dyDescent="0.3">
      <c r="A4022">
        <v>11179</v>
      </c>
      <c r="B4022" t="s">
        <v>148</v>
      </c>
      <c r="C4022">
        <v>51016742</v>
      </c>
      <c r="D4022">
        <v>56.718352088520035</v>
      </c>
      <c r="E4022" t="s">
        <v>94</v>
      </c>
      <c r="F4022">
        <v>746</v>
      </c>
      <c r="G4022" s="4">
        <v>46087.602233796293</v>
      </c>
    </row>
    <row r="4023" spans="1:7" x14ac:dyDescent="0.3">
      <c r="A4023">
        <v>11180</v>
      </c>
      <c r="B4023" t="s">
        <v>148</v>
      </c>
      <c r="C4023">
        <v>51010990</v>
      </c>
      <c r="D4023">
        <v>46.104188825521334</v>
      </c>
      <c r="E4023" t="s">
        <v>94</v>
      </c>
      <c r="F4023">
        <v>855</v>
      </c>
      <c r="G4023" s="4">
        <v>46087.602233796293</v>
      </c>
    </row>
    <row r="4024" spans="1:7" x14ac:dyDescent="0.3">
      <c r="A4024">
        <v>11181</v>
      </c>
      <c r="B4024" t="s">
        <v>148</v>
      </c>
      <c r="C4024">
        <v>51039998</v>
      </c>
      <c r="D4024">
        <v>67.17917912656273</v>
      </c>
      <c r="E4024" t="s">
        <v>93</v>
      </c>
      <c r="F4024">
        <v>586</v>
      </c>
      <c r="G4024" s="4">
        <v>46087.602233796293</v>
      </c>
    </row>
    <row r="4025" spans="1:7" x14ac:dyDescent="0.3">
      <c r="A4025">
        <v>11182</v>
      </c>
      <c r="B4025" t="s">
        <v>148</v>
      </c>
      <c r="C4025">
        <v>51056736</v>
      </c>
      <c r="D4025">
        <v>61.134269349205155</v>
      </c>
      <c r="E4025" t="s">
        <v>94</v>
      </c>
      <c r="F4025">
        <v>644</v>
      </c>
      <c r="G4025" s="4">
        <v>46087.602233796293</v>
      </c>
    </row>
    <row r="4026" spans="1:7" x14ac:dyDescent="0.3">
      <c r="A4026">
        <v>11183</v>
      </c>
      <c r="B4026" t="s">
        <v>148</v>
      </c>
      <c r="C4026">
        <v>51044436</v>
      </c>
      <c r="D4026">
        <v>57.355163544305164</v>
      </c>
      <c r="E4026" t="s">
        <v>94</v>
      </c>
      <c r="F4026">
        <v>730</v>
      </c>
      <c r="G4026" s="4">
        <v>46087.602233796293</v>
      </c>
    </row>
    <row r="4027" spans="1:7" x14ac:dyDescent="0.3">
      <c r="A4027">
        <v>11184</v>
      </c>
      <c r="B4027" t="s">
        <v>148</v>
      </c>
      <c r="C4027">
        <v>51017552</v>
      </c>
      <c r="D4027">
        <v>82.598552302307112</v>
      </c>
      <c r="E4027" t="s">
        <v>93</v>
      </c>
      <c r="F4027">
        <v>336</v>
      </c>
      <c r="G4027" s="4">
        <v>46087.602233796293</v>
      </c>
    </row>
    <row r="4028" spans="1:7" x14ac:dyDescent="0.3">
      <c r="A4028">
        <v>11185</v>
      </c>
      <c r="B4028" t="s">
        <v>148</v>
      </c>
      <c r="C4028">
        <v>51055276</v>
      </c>
      <c r="D4028">
        <v>69.70150883998275</v>
      </c>
      <c r="E4028" t="s">
        <v>93</v>
      </c>
      <c r="F4028">
        <v>550</v>
      </c>
      <c r="G4028" s="4">
        <v>46087.602233796293</v>
      </c>
    </row>
    <row r="4029" spans="1:7" x14ac:dyDescent="0.3">
      <c r="A4029">
        <v>11186</v>
      </c>
      <c r="B4029" t="s">
        <v>148</v>
      </c>
      <c r="C4029">
        <v>51020189</v>
      </c>
      <c r="D4029">
        <v>85.975152435441842</v>
      </c>
      <c r="E4029" t="s">
        <v>92</v>
      </c>
      <c r="F4029">
        <v>229</v>
      </c>
      <c r="G4029" s="4">
        <v>46087.602233796293</v>
      </c>
    </row>
    <row r="4030" spans="1:7" x14ac:dyDescent="0.3">
      <c r="A4030">
        <v>11187</v>
      </c>
      <c r="B4030" t="s">
        <v>148</v>
      </c>
      <c r="C4030">
        <v>51041259</v>
      </c>
      <c r="D4030">
        <v>25.434144134258876</v>
      </c>
      <c r="E4030" t="s">
        <v>95</v>
      </c>
      <c r="F4030">
        <v>981</v>
      </c>
      <c r="G4030" s="4">
        <v>46087.602233796293</v>
      </c>
    </row>
    <row r="4031" spans="1:7" x14ac:dyDescent="0.3">
      <c r="A4031">
        <v>11188</v>
      </c>
      <c r="B4031" t="s">
        <v>148</v>
      </c>
      <c r="C4031">
        <v>51022751</v>
      </c>
      <c r="D4031">
        <v>34.860643278329185</v>
      </c>
      <c r="E4031" t="s">
        <v>94</v>
      </c>
      <c r="F4031">
        <v>904</v>
      </c>
      <c r="G4031" s="4">
        <v>46087.602233796293</v>
      </c>
    </row>
    <row r="4032" spans="1:7" x14ac:dyDescent="0.3">
      <c r="A4032">
        <v>11189</v>
      </c>
      <c r="B4032" t="s">
        <v>148</v>
      </c>
      <c r="C4032">
        <v>51016645</v>
      </c>
      <c r="D4032">
        <v>34.1</v>
      </c>
      <c r="E4032" t="s">
        <v>94</v>
      </c>
      <c r="F4032">
        <v>912</v>
      </c>
      <c r="G4032" s="4">
        <v>46087.602233796293</v>
      </c>
    </row>
    <row r="4033" spans="1:7" x14ac:dyDescent="0.3">
      <c r="A4033">
        <v>11190</v>
      </c>
      <c r="B4033" t="s">
        <v>148</v>
      </c>
      <c r="C4033">
        <v>51011155</v>
      </c>
      <c r="D4033">
        <v>90.415851359748061</v>
      </c>
      <c r="E4033" t="s">
        <v>92</v>
      </c>
      <c r="F4033">
        <v>114</v>
      </c>
      <c r="G4033" s="4">
        <v>46087.602233796293</v>
      </c>
    </row>
    <row r="4034" spans="1:7" x14ac:dyDescent="0.3">
      <c r="A4034">
        <v>11191</v>
      </c>
      <c r="B4034" t="s">
        <v>148</v>
      </c>
      <c r="C4034">
        <v>51014022</v>
      </c>
      <c r="D4034">
        <v>82.644058878356816</v>
      </c>
      <c r="E4034" t="s">
        <v>93</v>
      </c>
      <c r="F4034">
        <v>335</v>
      </c>
      <c r="G4034" s="4">
        <v>46087.602233796293</v>
      </c>
    </row>
    <row r="4035" spans="1:7" x14ac:dyDescent="0.3">
      <c r="A4035">
        <v>11192</v>
      </c>
      <c r="B4035" t="s">
        <v>148</v>
      </c>
      <c r="C4035">
        <v>51018991</v>
      </c>
      <c r="D4035">
        <v>19.11</v>
      </c>
      <c r="E4035" t="s">
        <v>95</v>
      </c>
      <c r="F4035">
        <v>1034</v>
      </c>
      <c r="G4035" s="4">
        <v>46087.602233796293</v>
      </c>
    </row>
    <row r="4036" spans="1:7" x14ac:dyDescent="0.3">
      <c r="A4036">
        <v>11193</v>
      </c>
      <c r="B4036" t="s">
        <v>148</v>
      </c>
      <c r="C4036">
        <v>51030478</v>
      </c>
      <c r="D4036">
        <v>87.10892602060045</v>
      </c>
      <c r="E4036" t="s">
        <v>92</v>
      </c>
      <c r="F4036">
        <v>197</v>
      </c>
      <c r="G4036" s="4">
        <v>46087.602233796293</v>
      </c>
    </row>
    <row r="4037" spans="1:7" x14ac:dyDescent="0.3">
      <c r="A4037">
        <v>11194</v>
      </c>
      <c r="B4037" t="s">
        <v>148</v>
      </c>
      <c r="C4037">
        <v>51028040</v>
      </c>
      <c r="D4037">
        <v>87.619102790262531</v>
      </c>
      <c r="E4037" t="s">
        <v>92</v>
      </c>
      <c r="F4037">
        <v>186</v>
      </c>
      <c r="G4037" s="4">
        <v>46087.602233796293</v>
      </c>
    </row>
    <row r="4038" spans="1:7" x14ac:dyDescent="0.3">
      <c r="A4038">
        <v>11195</v>
      </c>
      <c r="B4038" t="s">
        <v>148</v>
      </c>
      <c r="C4038">
        <v>51055616</v>
      </c>
      <c r="D4038">
        <v>85.931925391295167</v>
      </c>
      <c r="E4038" t="s">
        <v>92</v>
      </c>
      <c r="F4038">
        <v>232</v>
      </c>
      <c r="G4038" s="4">
        <v>46087.602233796293</v>
      </c>
    </row>
    <row r="4039" spans="1:7" x14ac:dyDescent="0.3">
      <c r="A4039">
        <v>11196</v>
      </c>
      <c r="B4039" t="s">
        <v>148</v>
      </c>
      <c r="C4039">
        <v>51036239</v>
      </c>
      <c r="D4039">
        <v>36.065221002774777</v>
      </c>
      <c r="E4039" t="s">
        <v>94</v>
      </c>
      <c r="F4039">
        <v>900</v>
      </c>
      <c r="G4039" s="4">
        <v>46087.602233796293</v>
      </c>
    </row>
    <row r="4040" spans="1:7" x14ac:dyDescent="0.3">
      <c r="A4040">
        <v>11197</v>
      </c>
      <c r="B4040" t="s">
        <v>148</v>
      </c>
      <c r="C4040">
        <v>51025873</v>
      </c>
      <c r="D4040">
        <v>58.904871121236276</v>
      </c>
      <c r="E4040" t="s">
        <v>94</v>
      </c>
      <c r="F4040">
        <v>694</v>
      </c>
      <c r="G4040" s="4">
        <v>46087.602233796293</v>
      </c>
    </row>
    <row r="4041" spans="1:7" x14ac:dyDescent="0.3">
      <c r="A4041">
        <v>11198</v>
      </c>
      <c r="B4041" t="s">
        <v>148</v>
      </c>
      <c r="C4041">
        <v>51034155</v>
      </c>
      <c r="D4041">
        <v>86.701271024515748</v>
      </c>
      <c r="E4041" t="s">
        <v>92</v>
      </c>
      <c r="F4041">
        <v>210</v>
      </c>
      <c r="G4041" s="4">
        <v>46087.602233796293</v>
      </c>
    </row>
    <row r="4042" spans="1:7" x14ac:dyDescent="0.3">
      <c r="A4042">
        <v>11199</v>
      </c>
      <c r="B4042" t="s">
        <v>148</v>
      </c>
      <c r="C4042">
        <v>51021207</v>
      </c>
      <c r="D4042">
        <v>51.795370941653047</v>
      </c>
      <c r="E4042" t="s">
        <v>94</v>
      </c>
      <c r="F4042">
        <v>810</v>
      </c>
      <c r="G4042" s="4">
        <v>46087.602233796293</v>
      </c>
    </row>
    <row r="4043" spans="1:7" x14ac:dyDescent="0.3">
      <c r="A4043">
        <v>11200</v>
      </c>
      <c r="B4043" t="s">
        <v>148</v>
      </c>
      <c r="C4043">
        <v>51054831</v>
      </c>
      <c r="D4043">
        <v>27.607800000000005</v>
      </c>
      <c r="E4043" t="s">
        <v>95</v>
      </c>
      <c r="F4043">
        <v>967</v>
      </c>
      <c r="G4043" s="4">
        <v>46087.602233796293</v>
      </c>
    </row>
    <row r="4044" spans="1:7" x14ac:dyDescent="0.3">
      <c r="A4044">
        <v>11201</v>
      </c>
      <c r="B4044" t="s">
        <v>148</v>
      </c>
      <c r="C4044">
        <v>51010051</v>
      </c>
      <c r="D4044">
        <v>81.08595226025929</v>
      </c>
      <c r="E4044" t="s">
        <v>93</v>
      </c>
      <c r="F4044">
        <v>376</v>
      </c>
      <c r="G4044" s="4">
        <v>46087.602233796293</v>
      </c>
    </row>
    <row r="4045" spans="1:7" x14ac:dyDescent="0.3">
      <c r="A4045">
        <v>11202</v>
      </c>
      <c r="B4045" t="s">
        <v>148</v>
      </c>
      <c r="C4045">
        <v>51015754</v>
      </c>
      <c r="D4045">
        <v>56.992317796595032</v>
      </c>
      <c r="E4045" t="s">
        <v>94</v>
      </c>
      <c r="F4045">
        <v>737</v>
      </c>
      <c r="G4045" s="4">
        <v>46087.602233796293</v>
      </c>
    </row>
    <row r="4046" spans="1:7" x14ac:dyDescent="0.3">
      <c r="A4046">
        <v>11203</v>
      </c>
      <c r="B4046" t="s">
        <v>148</v>
      </c>
      <c r="C4046">
        <v>51023528</v>
      </c>
      <c r="D4046">
        <v>59.974345031619741</v>
      </c>
      <c r="E4046" t="s">
        <v>94</v>
      </c>
      <c r="F4046">
        <v>669</v>
      </c>
      <c r="G4046" s="4">
        <v>46087.602233796293</v>
      </c>
    </row>
    <row r="4047" spans="1:7" x14ac:dyDescent="0.3">
      <c r="A4047">
        <v>11204</v>
      </c>
      <c r="B4047" t="s">
        <v>148</v>
      </c>
      <c r="C4047">
        <v>51013735</v>
      </c>
      <c r="D4047">
        <v>69.050258299414182</v>
      </c>
      <c r="E4047" t="s">
        <v>93</v>
      </c>
      <c r="F4047">
        <v>557</v>
      </c>
      <c r="G4047" s="4">
        <v>46087.602233796293</v>
      </c>
    </row>
    <row r="4048" spans="1:7" x14ac:dyDescent="0.3">
      <c r="A4048">
        <v>11205</v>
      </c>
      <c r="B4048" t="s">
        <v>148</v>
      </c>
      <c r="C4048">
        <v>51036611</v>
      </c>
      <c r="D4048">
        <v>88.318998708743123</v>
      </c>
      <c r="E4048" t="s">
        <v>92</v>
      </c>
      <c r="F4048">
        <v>171</v>
      </c>
      <c r="G4048" s="4">
        <v>46087.602233796293</v>
      </c>
    </row>
    <row r="4049" spans="1:7" x14ac:dyDescent="0.3">
      <c r="A4049">
        <v>11206</v>
      </c>
      <c r="B4049" t="s">
        <v>148</v>
      </c>
      <c r="C4049">
        <v>51010035</v>
      </c>
      <c r="D4049">
        <v>69.840784153180223</v>
      </c>
      <c r="E4049" t="s">
        <v>93</v>
      </c>
      <c r="F4049">
        <v>549</v>
      </c>
      <c r="G4049" s="4">
        <v>46087.602233796293</v>
      </c>
    </row>
    <row r="4050" spans="1:7" x14ac:dyDescent="0.3">
      <c r="A4050">
        <v>11207</v>
      </c>
      <c r="B4050" t="s">
        <v>148</v>
      </c>
      <c r="C4050">
        <v>51035682</v>
      </c>
      <c r="D4050">
        <v>66.840530975748209</v>
      </c>
      <c r="E4050" t="s">
        <v>93</v>
      </c>
      <c r="F4050">
        <v>589</v>
      </c>
      <c r="G4050" s="4">
        <v>46087.602233796293</v>
      </c>
    </row>
    <row r="4051" spans="1:7" x14ac:dyDescent="0.3">
      <c r="A4051">
        <v>11208</v>
      </c>
      <c r="B4051" t="s">
        <v>148</v>
      </c>
      <c r="C4051">
        <v>51016416</v>
      </c>
      <c r="D4051">
        <v>17.768066342655668</v>
      </c>
      <c r="E4051" t="s">
        <v>95</v>
      </c>
      <c r="F4051">
        <v>1062</v>
      </c>
      <c r="G4051" s="4">
        <v>46087.602233796293</v>
      </c>
    </row>
    <row r="4052" spans="1:7" x14ac:dyDescent="0.3">
      <c r="A4052">
        <v>11209</v>
      </c>
      <c r="B4052" t="s">
        <v>148</v>
      </c>
      <c r="C4052">
        <v>51038762</v>
      </c>
      <c r="D4052">
        <v>31.87476801147492</v>
      </c>
      <c r="E4052" t="s">
        <v>94</v>
      </c>
      <c r="F4052">
        <v>928</v>
      </c>
      <c r="G4052" s="4">
        <v>46087.602233796293</v>
      </c>
    </row>
    <row r="4053" spans="1:7" x14ac:dyDescent="0.3">
      <c r="A4053">
        <v>11210</v>
      </c>
      <c r="B4053" t="s">
        <v>148</v>
      </c>
      <c r="C4053">
        <v>51023307</v>
      </c>
      <c r="D4053">
        <v>85.34171565171664</v>
      </c>
      <c r="E4053" t="s">
        <v>93</v>
      </c>
      <c r="F4053">
        <v>249</v>
      </c>
      <c r="G4053" s="4">
        <v>46087.602233796293</v>
      </c>
    </row>
    <row r="4054" spans="1:7" x14ac:dyDescent="0.3">
      <c r="A4054">
        <v>11211</v>
      </c>
      <c r="B4054" t="s">
        <v>148</v>
      </c>
      <c r="C4054">
        <v>51012062</v>
      </c>
      <c r="D4054">
        <v>81.401811502141697</v>
      </c>
      <c r="E4054" t="s">
        <v>93</v>
      </c>
      <c r="F4054">
        <v>367</v>
      </c>
      <c r="G4054" s="4">
        <v>46087.602233796293</v>
      </c>
    </row>
    <row r="4055" spans="1:7" x14ac:dyDescent="0.3">
      <c r="A4055">
        <v>11212</v>
      </c>
      <c r="B4055" t="s">
        <v>148</v>
      </c>
      <c r="C4055">
        <v>51021631</v>
      </c>
      <c r="D4055">
        <v>91.808593156880804</v>
      </c>
      <c r="E4055" t="s">
        <v>92</v>
      </c>
      <c r="F4055">
        <v>90</v>
      </c>
      <c r="G4055" s="4">
        <v>46087.602233796293</v>
      </c>
    </row>
    <row r="4056" spans="1:7" x14ac:dyDescent="0.3">
      <c r="A4056">
        <v>11213</v>
      </c>
      <c r="B4056" t="s">
        <v>148</v>
      </c>
      <c r="C4056">
        <v>51008618</v>
      </c>
      <c r="D4056">
        <v>60.083011837713649</v>
      </c>
      <c r="E4056" t="s">
        <v>94</v>
      </c>
      <c r="F4056">
        <v>667</v>
      </c>
      <c r="G4056" s="4">
        <v>46087.602233796293</v>
      </c>
    </row>
    <row r="4057" spans="1:7" x14ac:dyDescent="0.3">
      <c r="A4057">
        <v>11214</v>
      </c>
      <c r="B4057" t="s">
        <v>148</v>
      </c>
      <c r="C4057">
        <v>51010574</v>
      </c>
      <c r="D4057">
        <v>91.508446348163758</v>
      </c>
      <c r="E4057" t="s">
        <v>92</v>
      </c>
      <c r="F4057">
        <v>95</v>
      </c>
      <c r="G4057" s="4">
        <v>46087.602233796293</v>
      </c>
    </row>
    <row r="4058" spans="1:7" x14ac:dyDescent="0.3">
      <c r="A4058">
        <v>11215</v>
      </c>
      <c r="B4058" t="s">
        <v>148</v>
      </c>
      <c r="C4058">
        <v>51056493</v>
      </c>
      <c r="D4058">
        <v>76.582577846935379</v>
      </c>
      <c r="E4058" t="s">
        <v>93</v>
      </c>
      <c r="F4058">
        <v>459</v>
      </c>
      <c r="G4058" s="4">
        <v>46087.602233796293</v>
      </c>
    </row>
    <row r="4059" spans="1:7" x14ac:dyDescent="0.3">
      <c r="A4059">
        <v>11216</v>
      </c>
      <c r="B4059" t="s">
        <v>148</v>
      </c>
      <c r="C4059">
        <v>51024206</v>
      </c>
      <c r="D4059">
        <v>23.492902281491411</v>
      </c>
      <c r="E4059" t="s">
        <v>95</v>
      </c>
      <c r="F4059">
        <v>992</v>
      </c>
      <c r="G4059" s="4">
        <v>46087.602233796293</v>
      </c>
    </row>
    <row r="4060" spans="1:7" x14ac:dyDescent="0.3">
      <c r="A4060">
        <v>11217</v>
      </c>
      <c r="B4060" t="s">
        <v>148</v>
      </c>
      <c r="C4060">
        <v>51056442</v>
      </c>
      <c r="D4060">
        <v>56.442008649131644</v>
      </c>
      <c r="E4060" t="s">
        <v>94</v>
      </c>
      <c r="F4060">
        <v>754</v>
      </c>
      <c r="G4060" s="4">
        <v>46087.602233796293</v>
      </c>
    </row>
    <row r="4061" spans="1:7" x14ac:dyDescent="0.3">
      <c r="A4061">
        <v>11218</v>
      </c>
      <c r="B4061" t="s">
        <v>148</v>
      </c>
      <c r="C4061">
        <v>51033621</v>
      </c>
      <c r="D4061">
        <v>58.642395264333011</v>
      </c>
      <c r="E4061" t="s">
        <v>94</v>
      </c>
      <c r="F4061">
        <v>701</v>
      </c>
      <c r="G4061" s="4">
        <v>46087.602233796293</v>
      </c>
    </row>
    <row r="4062" spans="1:7" x14ac:dyDescent="0.3">
      <c r="A4062">
        <v>11219</v>
      </c>
      <c r="B4062" t="s">
        <v>148</v>
      </c>
      <c r="C4062">
        <v>51016394</v>
      </c>
      <c r="D4062">
        <v>86.564266569858177</v>
      </c>
      <c r="E4062" t="s">
        <v>92</v>
      </c>
      <c r="F4062">
        <v>213</v>
      </c>
      <c r="G4062" s="4">
        <v>46087.602233796293</v>
      </c>
    </row>
    <row r="4063" spans="1:7" x14ac:dyDescent="0.3">
      <c r="A4063">
        <v>11220</v>
      </c>
      <c r="B4063" t="s">
        <v>148</v>
      </c>
      <c r="C4063">
        <v>51001389</v>
      </c>
      <c r="D4063">
        <v>95.979175653976014</v>
      </c>
      <c r="E4063" t="s">
        <v>275</v>
      </c>
      <c r="F4063">
        <v>42</v>
      </c>
      <c r="G4063" s="4">
        <v>46087.602233796293</v>
      </c>
    </row>
    <row r="4064" spans="1:7" x14ac:dyDescent="0.3">
      <c r="A4064">
        <v>11221</v>
      </c>
      <c r="B4064" t="s">
        <v>148</v>
      </c>
      <c r="C4064">
        <v>51042891</v>
      </c>
      <c r="D4064">
        <v>95.015368968516569</v>
      </c>
      <c r="E4064" t="s">
        <v>275</v>
      </c>
      <c r="F4064">
        <v>52</v>
      </c>
      <c r="G4064" s="4">
        <v>46087.602233796293</v>
      </c>
    </row>
    <row r="4065" spans="1:7" x14ac:dyDescent="0.3">
      <c r="A4065">
        <v>11222</v>
      </c>
      <c r="B4065" t="s">
        <v>148</v>
      </c>
      <c r="C4065">
        <v>51055411</v>
      </c>
      <c r="D4065">
        <v>85.157814414082608</v>
      </c>
      <c r="E4065" t="s">
        <v>93</v>
      </c>
      <c r="F4065">
        <v>253</v>
      </c>
      <c r="G4065" s="4">
        <v>46087.602233796293</v>
      </c>
    </row>
    <row r="4066" spans="1:7" x14ac:dyDescent="0.3">
      <c r="A4066">
        <v>11223</v>
      </c>
      <c r="B4066" t="s">
        <v>148</v>
      </c>
      <c r="C4066">
        <v>51038657</v>
      </c>
      <c r="D4066">
        <v>89.090567439476501</v>
      </c>
      <c r="E4066" t="s">
        <v>92</v>
      </c>
      <c r="F4066">
        <v>150</v>
      </c>
      <c r="G4066" s="4">
        <v>46087.602233796293</v>
      </c>
    </row>
    <row r="4067" spans="1:7" x14ac:dyDescent="0.3">
      <c r="A4067">
        <v>11224</v>
      </c>
      <c r="B4067" t="s">
        <v>148</v>
      </c>
      <c r="C4067">
        <v>51055632</v>
      </c>
      <c r="D4067">
        <v>69.453666622725791</v>
      </c>
      <c r="E4067" t="s">
        <v>93</v>
      </c>
      <c r="F4067">
        <v>554</v>
      </c>
      <c r="G4067" s="4">
        <v>46087.602233796293</v>
      </c>
    </row>
    <row r="4068" spans="1:7" x14ac:dyDescent="0.3">
      <c r="A4068">
        <v>11225</v>
      </c>
      <c r="B4068" t="s">
        <v>148</v>
      </c>
      <c r="C4068">
        <v>51026799</v>
      </c>
      <c r="D4068">
        <v>71.246299514195655</v>
      </c>
      <c r="E4068" t="s">
        <v>93</v>
      </c>
      <c r="F4068">
        <v>532</v>
      </c>
      <c r="G4068" s="4">
        <v>46087.602233796293</v>
      </c>
    </row>
    <row r="4069" spans="1:7" x14ac:dyDescent="0.3">
      <c r="A4069">
        <v>11226</v>
      </c>
      <c r="B4069" t="s">
        <v>148</v>
      </c>
      <c r="C4069">
        <v>51018869</v>
      </c>
      <c r="D4069">
        <v>74.917622463875105</v>
      </c>
      <c r="E4069" t="s">
        <v>93</v>
      </c>
      <c r="F4069">
        <v>480</v>
      </c>
      <c r="G4069" s="4">
        <v>46087.602233796293</v>
      </c>
    </row>
    <row r="4070" spans="1:7" x14ac:dyDescent="0.3">
      <c r="A4070">
        <v>11227</v>
      </c>
      <c r="B4070" t="s">
        <v>148</v>
      </c>
      <c r="C4070">
        <v>51055144</v>
      </c>
      <c r="D4070">
        <v>29.834214612509399</v>
      </c>
      <c r="E4070" t="s">
        <v>94</v>
      </c>
      <c r="F4070">
        <v>945</v>
      </c>
      <c r="G4070" s="4">
        <v>46087.602233796293</v>
      </c>
    </row>
    <row r="4071" spans="1:7" x14ac:dyDescent="0.3">
      <c r="A4071">
        <v>11228</v>
      </c>
      <c r="B4071" t="s">
        <v>148</v>
      </c>
      <c r="C4071">
        <v>51056884</v>
      </c>
      <c r="D4071">
        <v>62.073359868845436</v>
      </c>
      <c r="E4071" t="s">
        <v>94</v>
      </c>
      <c r="F4071">
        <v>628</v>
      </c>
      <c r="G4071" s="4">
        <v>46087.602233796293</v>
      </c>
    </row>
    <row r="4072" spans="1:7" x14ac:dyDescent="0.3">
      <c r="A4072">
        <v>11229</v>
      </c>
      <c r="B4072" t="s">
        <v>148</v>
      </c>
      <c r="C4072">
        <v>51030443</v>
      </c>
      <c r="D4072">
        <v>83.081615617156729</v>
      </c>
      <c r="E4072" t="s">
        <v>93</v>
      </c>
      <c r="F4072">
        <v>318</v>
      </c>
      <c r="G4072" s="4">
        <v>46087.602233796293</v>
      </c>
    </row>
    <row r="4073" spans="1:7" x14ac:dyDescent="0.3">
      <c r="A4073">
        <v>11230</v>
      </c>
      <c r="B4073" t="s">
        <v>148</v>
      </c>
      <c r="C4073">
        <v>51016475</v>
      </c>
      <c r="D4073">
        <v>71.277142917131059</v>
      </c>
      <c r="E4073" t="s">
        <v>93</v>
      </c>
      <c r="F4073">
        <v>530</v>
      </c>
      <c r="G4073" s="4">
        <v>46087.602233796293</v>
      </c>
    </row>
    <row r="4074" spans="1:7" x14ac:dyDescent="0.3">
      <c r="A4074">
        <v>11231</v>
      </c>
      <c r="B4074" t="s">
        <v>148</v>
      </c>
      <c r="C4074">
        <v>51018893</v>
      </c>
      <c r="D4074">
        <v>87.693097391739926</v>
      </c>
      <c r="E4074" t="s">
        <v>92</v>
      </c>
      <c r="F4074">
        <v>182</v>
      </c>
      <c r="G4074" s="4">
        <v>46087.602233796293</v>
      </c>
    </row>
    <row r="4075" spans="1:7" x14ac:dyDescent="0.3">
      <c r="A4075">
        <v>11232</v>
      </c>
      <c r="B4075" t="s">
        <v>148</v>
      </c>
      <c r="C4075">
        <v>51039157</v>
      </c>
      <c r="D4075">
        <v>53.975575307763172</v>
      </c>
      <c r="E4075" t="s">
        <v>94</v>
      </c>
      <c r="F4075">
        <v>792</v>
      </c>
      <c r="G4075" s="4">
        <v>46087.602233796293</v>
      </c>
    </row>
    <row r="4076" spans="1:7" x14ac:dyDescent="0.3">
      <c r="A4076">
        <v>11233</v>
      </c>
      <c r="B4076" t="s">
        <v>148</v>
      </c>
      <c r="C4076">
        <v>51054822</v>
      </c>
      <c r="D4076">
        <v>94.825633716012661</v>
      </c>
      <c r="E4076" t="s">
        <v>275</v>
      </c>
      <c r="F4076">
        <v>56</v>
      </c>
      <c r="G4076" s="4">
        <v>46087.602233796293</v>
      </c>
    </row>
    <row r="4077" spans="1:7" x14ac:dyDescent="0.3">
      <c r="A4077">
        <v>11234</v>
      </c>
      <c r="B4077" t="s">
        <v>148</v>
      </c>
      <c r="C4077">
        <v>51003390</v>
      </c>
      <c r="D4077">
        <v>89.745268501254984</v>
      </c>
      <c r="E4077" t="s">
        <v>92</v>
      </c>
      <c r="F4077">
        <v>129</v>
      </c>
      <c r="G4077" s="4">
        <v>46087.602233796293</v>
      </c>
    </row>
    <row r="4078" spans="1:7" x14ac:dyDescent="0.3">
      <c r="A4078">
        <v>11235</v>
      </c>
      <c r="B4078" t="s">
        <v>148</v>
      </c>
      <c r="C4078">
        <v>51056477</v>
      </c>
      <c r="D4078">
        <v>88.124459796774275</v>
      </c>
      <c r="E4078" t="s">
        <v>92</v>
      </c>
      <c r="F4078">
        <v>174</v>
      </c>
      <c r="G4078" s="4">
        <v>46087.602233796293</v>
      </c>
    </row>
    <row r="4079" spans="1:7" x14ac:dyDescent="0.3">
      <c r="A4079">
        <v>11236</v>
      </c>
      <c r="B4079" t="s">
        <v>148</v>
      </c>
      <c r="C4079">
        <v>51026527</v>
      </c>
      <c r="D4079">
        <v>89.108814137895607</v>
      </c>
      <c r="E4079" t="s">
        <v>92</v>
      </c>
      <c r="F4079">
        <v>149</v>
      </c>
      <c r="G4079" s="4">
        <v>46087.602233796293</v>
      </c>
    </row>
    <row r="4080" spans="1:7" x14ac:dyDescent="0.3">
      <c r="A4080">
        <v>11237</v>
      </c>
      <c r="B4080" t="s">
        <v>148</v>
      </c>
      <c r="C4080">
        <v>51030982</v>
      </c>
      <c r="D4080">
        <v>89.716963673443644</v>
      </c>
      <c r="E4080" t="s">
        <v>92</v>
      </c>
      <c r="F4080">
        <v>131</v>
      </c>
      <c r="G4080" s="4">
        <v>46087.602233796293</v>
      </c>
    </row>
    <row r="4081" spans="1:7" x14ac:dyDescent="0.3">
      <c r="A4081">
        <v>11238</v>
      </c>
      <c r="B4081" t="s">
        <v>148</v>
      </c>
      <c r="C4081">
        <v>51023196</v>
      </c>
      <c r="D4081">
        <v>51.712037275550358</v>
      </c>
      <c r="E4081" t="s">
        <v>94</v>
      </c>
      <c r="F4081">
        <v>812</v>
      </c>
      <c r="G4081" s="4">
        <v>46087.602233796293</v>
      </c>
    </row>
    <row r="4082" spans="1:7" x14ac:dyDescent="0.3">
      <c r="A4082">
        <v>11239</v>
      </c>
      <c r="B4082" t="s">
        <v>148</v>
      </c>
      <c r="C4082">
        <v>51014596</v>
      </c>
      <c r="D4082">
        <v>100</v>
      </c>
      <c r="E4082" t="s">
        <v>275</v>
      </c>
      <c r="F4082">
        <v>1</v>
      </c>
      <c r="G4082" s="4">
        <v>46087.602233796293</v>
      </c>
    </row>
    <row r="4083" spans="1:7" x14ac:dyDescent="0.3">
      <c r="A4083">
        <v>11240</v>
      </c>
      <c r="B4083" t="s">
        <v>148</v>
      </c>
      <c r="C4083">
        <v>51030125</v>
      </c>
      <c r="D4083">
        <v>31.134366185742746</v>
      </c>
      <c r="E4083" t="s">
        <v>94</v>
      </c>
      <c r="F4083">
        <v>931</v>
      </c>
      <c r="G4083" s="4">
        <v>46087.602233796293</v>
      </c>
    </row>
    <row r="4084" spans="1:7" x14ac:dyDescent="0.3">
      <c r="A4084">
        <v>11241</v>
      </c>
      <c r="B4084" t="s">
        <v>148</v>
      </c>
      <c r="C4084">
        <v>51021550</v>
      </c>
      <c r="D4084">
        <v>81.035041411640265</v>
      </c>
      <c r="E4084" t="s">
        <v>93</v>
      </c>
      <c r="F4084">
        <v>378</v>
      </c>
      <c r="G4084" s="4">
        <v>46087.602233796293</v>
      </c>
    </row>
    <row r="4085" spans="1:7" x14ac:dyDescent="0.3">
      <c r="A4085">
        <v>11242</v>
      </c>
      <c r="B4085" t="s">
        <v>148</v>
      </c>
      <c r="C4085">
        <v>51031407</v>
      </c>
      <c r="D4085">
        <v>81.573569941299965</v>
      </c>
      <c r="E4085" t="s">
        <v>93</v>
      </c>
      <c r="F4085">
        <v>362</v>
      </c>
      <c r="G4085" s="4">
        <v>46087.602233796293</v>
      </c>
    </row>
    <row r="4086" spans="1:7" x14ac:dyDescent="0.3">
      <c r="A4086">
        <v>11243</v>
      </c>
      <c r="B4086" t="s">
        <v>148</v>
      </c>
      <c r="C4086">
        <v>51038754</v>
      </c>
      <c r="D4086">
        <v>91.016885310371478</v>
      </c>
      <c r="E4086" t="s">
        <v>92</v>
      </c>
      <c r="F4086">
        <v>106</v>
      </c>
      <c r="G4086" s="4">
        <v>46087.602233796293</v>
      </c>
    </row>
    <row r="4087" spans="1:7" x14ac:dyDescent="0.3">
      <c r="A4087">
        <v>11244</v>
      </c>
      <c r="B4087" t="s">
        <v>148</v>
      </c>
      <c r="C4087">
        <v>51004761</v>
      </c>
      <c r="D4087">
        <v>68.429196852633495</v>
      </c>
      <c r="E4087" t="s">
        <v>93</v>
      </c>
      <c r="F4087">
        <v>567</v>
      </c>
      <c r="G4087" s="4">
        <v>46087.602233796293</v>
      </c>
    </row>
    <row r="4088" spans="1:7" x14ac:dyDescent="0.3">
      <c r="A4088">
        <v>11245</v>
      </c>
      <c r="B4088" t="s">
        <v>148</v>
      </c>
      <c r="C4088">
        <v>51023358</v>
      </c>
      <c r="D4088">
        <v>80.715861846708805</v>
      </c>
      <c r="E4088" t="s">
        <v>93</v>
      </c>
      <c r="F4088">
        <v>387</v>
      </c>
      <c r="G4088" s="4">
        <v>46087.602233796293</v>
      </c>
    </row>
    <row r="4089" spans="1:7" x14ac:dyDescent="0.3">
      <c r="A4089">
        <v>11246</v>
      </c>
      <c r="B4089" t="s">
        <v>148</v>
      </c>
      <c r="C4089">
        <v>51022670</v>
      </c>
      <c r="D4089">
        <v>95.789091572241134</v>
      </c>
      <c r="E4089" t="s">
        <v>275</v>
      </c>
      <c r="F4089">
        <v>44</v>
      </c>
      <c r="G4089" s="4">
        <v>46087.602233796293</v>
      </c>
    </row>
    <row r="4090" spans="1:7" x14ac:dyDescent="0.3">
      <c r="A4090">
        <v>11247</v>
      </c>
      <c r="B4090" t="s">
        <v>148</v>
      </c>
      <c r="C4090">
        <v>51029976</v>
      </c>
      <c r="D4090">
        <v>25.785</v>
      </c>
      <c r="E4090" t="s">
        <v>95</v>
      </c>
      <c r="F4090">
        <v>977</v>
      </c>
      <c r="G4090" s="4">
        <v>46087.602233796293</v>
      </c>
    </row>
    <row r="4091" spans="1:7" x14ac:dyDescent="0.3">
      <c r="A4091">
        <v>11248</v>
      </c>
      <c r="B4091" t="s">
        <v>148</v>
      </c>
      <c r="C4091">
        <v>51032195</v>
      </c>
      <c r="D4091">
        <v>13.5</v>
      </c>
      <c r="E4091" t="s">
        <v>95</v>
      </c>
      <c r="F4091">
        <v>1111</v>
      </c>
      <c r="G4091" s="4">
        <v>46087.602233796293</v>
      </c>
    </row>
    <row r="4092" spans="1:7" x14ac:dyDescent="0.3">
      <c r="A4092">
        <v>11249</v>
      </c>
      <c r="B4092" t="s">
        <v>148</v>
      </c>
      <c r="C4092">
        <v>51042875</v>
      </c>
      <c r="D4092">
        <v>49.361703670533593</v>
      </c>
      <c r="E4092" t="s">
        <v>94</v>
      </c>
      <c r="F4092">
        <v>830</v>
      </c>
      <c r="G4092" s="4">
        <v>46087.602233796293</v>
      </c>
    </row>
    <row r="4093" spans="1:7" x14ac:dyDescent="0.3">
      <c r="A4093">
        <v>11250</v>
      </c>
      <c r="B4093" t="s">
        <v>148</v>
      </c>
      <c r="C4093">
        <v>51010728</v>
      </c>
      <c r="D4093">
        <v>62.511039254136129</v>
      </c>
      <c r="E4093" t="s">
        <v>94</v>
      </c>
      <c r="F4093">
        <v>624</v>
      </c>
      <c r="G4093" s="4">
        <v>46087.602233796293</v>
      </c>
    </row>
    <row r="4094" spans="1:7" x14ac:dyDescent="0.3">
      <c r="A4094">
        <v>11251</v>
      </c>
      <c r="B4094" t="s">
        <v>148</v>
      </c>
      <c r="C4094">
        <v>51056655</v>
      </c>
      <c r="D4094">
        <v>91.879304636023889</v>
      </c>
      <c r="E4094" t="s">
        <v>92</v>
      </c>
      <c r="F4094">
        <v>89</v>
      </c>
      <c r="G4094" s="4">
        <v>46087.602233796293</v>
      </c>
    </row>
    <row r="4095" spans="1:7" x14ac:dyDescent="0.3">
      <c r="A4095">
        <v>11252</v>
      </c>
      <c r="B4095" t="s">
        <v>148</v>
      </c>
      <c r="C4095">
        <v>51056817</v>
      </c>
      <c r="D4095">
        <v>76.493291703424674</v>
      </c>
      <c r="E4095" t="s">
        <v>93</v>
      </c>
      <c r="F4095">
        <v>460</v>
      </c>
      <c r="G4095" s="4">
        <v>46087.602233796293</v>
      </c>
    </row>
    <row r="4096" spans="1:7" x14ac:dyDescent="0.3">
      <c r="A4096">
        <v>11253</v>
      </c>
      <c r="B4096" t="s">
        <v>148</v>
      </c>
      <c r="C4096">
        <v>51018826</v>
      </c>
      <c r="D4096">
        <v>63.790582332585039</v>
      </c>
      <c r="E4096" t="s">
        <v>94</v>
      </c>
      <c r="F4096">
        <v>613</v>
      </c>
      <c r="G4096" s="4">
        <v>46087.602233796293</v>
      </c>
    </row>
    <row r="4097" spans="1:7" x14ac:dyDescent="0.3">
      <c r="A4097">
        <v>11254</v>
      </c>
      <c r="B4097" t="s">
        <v>148</v>
      </c>
      <c r="C4097">
        <v>51019814</v>
      </c>
      <c r="D4097">
        <v>49.532130903666712</v>
      </c>
      <c r="E4097" t="s">
        <v>94</v>
      </c>
      <c r="F4097">
        <v>828</v>
      </c>
      <c r="G4097" s="4">
        <v>46087.602233796293</v>
      </c>
    </row>
    <row r="4098" spans="1:7" x14ac:dyDescent="0.3">
      <c r="A4098">
        <v>11255</v>
      </c>
      <c r="B4098" t="s">
        <v>148</v>
      </c>
      <c r="C4098">
        <v>51033281</v>
      </c>
      <c r="D4098">
        <v>32.882995139337105</v>
      </c>
      <c r="E4098" t="s">
        <v>94</v>
      </c>
      <c r="F4098">
        <v>921</v>
      </c>
      <c r="G4098" s="4">
        <v>46087.602233796293</v>
      </c>
    </row>
    <row r="4099" spans="1:7" x14ac:dyDescent="0.3">
      <c r="A4099">
        <v>11256</v>
      </c>
      <c r="B4099" t="s">
        <v>148</v>
      </c>
      <c r="C4099">
        <v>51056523</v>
      </c>
      <c r="D4099">
        <v>54.425936377385881</v>
      </c>
      <c r="E4099" t="s">
        <v>94</v>
      </c>
      <c r="F4099">
        <v>786</v>
      </c>
      <c r="G4099" s="4">
        <v>46087.602233796293</v>
      </c>
    </row>
    <row r="4100" spans="1:7" x14ac:dyDescent="0.3">
      <c r="A4100">
        <v>11257</v>
      </c>
      <c r="B4100" t="s">
        <v>148</v>
      </c>
      <c r="C4100">
        <v>51025792</v>
      </c>
      <c r="D4100">
        <v>80.08112484768553</v>
      </c>
      <c r="E4100" t="s">
        <v>93</v>
      </c>
      <c r="F4100">
        <v>403</v>
      </c>
      <c r="G4100" s="4">
        <v>46087.602233796293</v>
      </c>
    </row>
    <row r="4101" spans="1:7" x14ac:dyDescent="0.3">
      <c r="A4101">
        <v>11258</v>
      </c>
      <c r="B4101" t="s">
        <v>148</v>
      </c>
      <c r="C4101">
        <v>51056728</v>
      </c>
      <c r="D4101">
        <v>77.18935666254059</v>
      </c>
      <c r="E4101" t="s">
        <v>93</v>
      </c>
      <c r="F4101">
        <v>452</v>
      </c>
      <c r="G4101" s="4">
        <v>46087.602233796293</v>
      </c>
    </row>
    <row r="4102" spans="1:7" x14ac:dyDescent="0.3">
      <c r="A4102">
        <v>11259</v>
      </c>
      <c r="B4102" t="s">
        <v>148</v>
      </c>
      <c r="C4102">
        <v>51011708</v>
      </c>
      <c r="D4102">
        <v>55.438397645225038</v>
      </c>
      <c r="E4102" t="s">
        <v>94</v>
      </c>
      <c r="F4102">
        <v>777</v>
      </c>
      <c r="G4102" s="4">
        <v>46087.602233796293</v>
      </c>
    </row>
    <row r="4103" spans="1:7" x14ac:dyDescent="0.3">
      <c r="A4103">
        <v>11260</v>
      </c>
      <c r="B4103" t="s">
        <v>148</v>
      </c>
      <c r="C4103">
        <v>51056558</v>
      </c>
      <c r="D4103">
        <v>91.298676428644839</v>
      </c>
      <c r="E4103" t="s">
        <v>92</v>
      </c>
      <c r="F4103">
        <v>101</v>
      </c>
      <c r="G4103" s="4">
        <v>46087.602233796293</v>
      </c>
    </row>
    <row r="4104" spans="1:7" x14ac:dyDescent="0.3">
      <c r="A4104">
        <v>11261</v>
      </c>
      <c r="B4104" t="s">
        <v>148</v>
      </c>
      <c r="C4104">
        <v>51041801</v>
      </c>
      <c r="D4104">
        <v>83.909631758385757</v>
      </c>
      <c r="E4104" t="s">
        <v>93</v>
      </c>
      <c r="F4104">
        <v>288</v>
      </c>
      <c r="G4104" s="4">
        <v>46087.602233796293</v>
      </c>
    </row>
    <row r="4105" spans="1:7" x14ac:dyDescent="0.3">
      <c r="A4105">
        <v>11262</v>
      </c>
      <c r="B4105" t="s">
        <v>148</v>
      </c>
      <c r="C4105">
        <v>51055390</v>
      </c>
      <c r="D4105">
        <v>89.314386433294459</v>
      </c>
      <c r="E4105" t="s">
        <v>92</v>
      </c>
      <c r="F4105">
        <v>143</v>
      </c>
      <c r="G4105" s="4">
        <v>46087.602233796293</v>
      </c>
    </row>
    <row r="4106" spans="1:7" x14ac:dyDescent="0.3">
      <c r="A4106">
        <v>11263</v>
      </c>
      <c r="B4106" t="s">
        <v>148</v>
      </c>
      <c r="C4106">
        <v>51017081</v>
      </c>
      <c r="D4106">
        <v>37.766139455081685</v>
      </c>
      <c r="E4106" t="s">
        <v>94</v>
      </c>
      <c r="F4106">
        <v>892</v>
      </c>
      <c r="G4106" s="4">
        <v>46087.602233796293</v>
      </c>
    </row>
    <row r="4107" spans="1:7" x14ac:dyDescent="0.3">
      <c r="A4107">
        <v>11264</v>
      </c>
      <c r="B4107" t="s">
        <v>148</v>
      </c>
      <c r="C4107">
        <v>51056345</v>
      </c>
      <c r="D4107">
        <v>80.079951834536175</v>
      </c>
      <c r="E4107" t="s">
        <v>93</v>
      </c>
      <c r="F4107">
        <v>404</v>
      </c>
      <c r="G4107" s="4">
        <v>46087.602233796293</v>
      </c>
    </row>
    <row r="4108" spans="1:7" x14ac:dyDescent="0.3">
      <c r="A4108">
        <v>11265</v>
      </c>
      <c r="B4108" t="s">
        <v>148</v>
      </c>
      <c r="C4108">
        <v>51055942</v>
      </c>
      <c r="D4108">
        <v>85.819981376236271</v>
      </c>
      <c r="E4108" t="s">
        <v>92</v>
      </c>
      <c r="F4108">
        <v>234</v>
      </c>
      <c r="G4108" s="4">
        <v>46087.602233796293</v>
      </c>
    </row>
    <row r="4109" spans="1:7" x14ac:dyDescent="0.3">
      <c r="A4109">
        <v>11266</v>
      </c>
      <c r="B4109" t="s">
        <v>148</v>
      </c>
      <c r="C4109">
        <v>51036735</v>
      </c>
      <c r="D4109">
        <v>86.89522433446048</v>
      </c>
      <c r="E4109" t="s">
        <v>92</v>
      </c>
      <c r="F4109">
        <v>203</v>
      </c>
      <c r="G4109" s="4">
        <v>46087.602233796293</v>
      </c>
    </row>
    <row r="4110" spans="1:7" x14ac:dyDescent="0.3">
      <c r="A4110">
        <v>11267</v>
      </c>
      <c r="B4110" t="s">
        <v>148</v>
      </c>
      <c r="C4110">
        <v>51001427</v>
      </c>
      <c r="D4110">
        <v>82.96158275721929</v>
      </c>
      <c r="E4110" t="s">
        <v>93</v>
      </c>
      <c r="F4110">
        <v>321</v>
      </c>
      <c r="G4110" s="4">
        <v>46087.602233796293</v>
      </c>
    </row>
    <row r="4111" spans="1:7" x14ac:dyDescent="0.3">
      <c r="A4111">
        <v>11268</v>
      </c>
      <c r="B4111" t="s">
        <v>148</v>
      </c>
      <c r="C4111">
        <v>51010272</v>
      </c>
      <c r="D4111">
        <v>80.459341019047642</v>
      </c>
      <c r="E4111" t="s">
        <v>93</v>
      </c>
      <c r="F4111">
        <v>394</v>
      </c>
      <c r="G4111" s="4">
        <v>46087.602233796293</v>
      </c>
    </row>
    <row r="4112" spans="1:7" x14ac:dyDescent="0.3">
      <c r="A4112">
        <v>11269</v>
      </c>
      <c r="B4112" t="s">
        <v>148</v>
      </c>
      <c r="C4112">
        <v>51056451</v>
      </c>
      <c r="D4112">
        <v>55.895152538553511</v>
      </c>
      <c r="E4112" t="s">
        <v>94</v>
      </c>
      <c r="F4112">
        <v>769</v>
      </c>
      <c r="G4112" s="4">
        <v>46087.602233796293</v>
      </c>
    </row>
    <row r="4113" spans="1:7" x14ac:dyDescent="0.3">
      <c r="A4113">
        <v>11270</v>
      </c>
      <c r="B4113" t="s">
        <v>148</v>
      </c>
      <c r="C4113">
        <v>51018907</v>
      </c>
      <c r="D4113">
        <v>87.244915101735813</v>
      </c>
      <c r="E4113" t="s">
        <v>92</v>
      </c>
      <c r="F4113">
        <v>194</v>
      </c>
      <c r="G4113" s="4">
        <v>46087.602233796293</v>
      </c>
    </row>
    <row r="4114" spans="1:7" x14ac:dyDescent="0.3">
      <c r="A4114">
        <v>11271</v>
      </c>
      <c r="B4114" t="s">
        <v>148</v>
      </c>
      <c r="C4114">
        <v>51004108</v>
      </c>
      <c r="D4114">
        <v>85.009359200076375</v>
      </c>
      <c r="E4114" t="s">
        <v>93</v>
      </c>
      <c r="F4114">
        <v>256</v>
      </c>
      <c r="G4114" s="4">
        <v>46087.602233796293</v>
      </c>
    </row>
    <row r="4115" spans="1:7" x14ac:dyDescent="0.3">
      <c r="A4115">
        <v>11272</v>
      </c>
      <c r="B4115" t="s">
        <v>148</v>
      </c>
      <c r="C4115">
        <v>51030869</v>
      </c>
      <c r="D4115">
        <v>53.003142693199671</v>
      </c>
      <c r="E4115" t="s">
        <v>94</v>
      </c>
      <c r="F4115">
        <v>800</v>
      </c>
      <c r="G4115" s="4">
        <v>46087.602233796293</v>
      </c>
    </row>
    <row r="4116" spans="1:7" x14ac:dyDescent="0.3">
      <c r="A4116">
        <v>11273</v>
      </c>
      <c r="B4116" t="s">
        <v>148</v>
      </c>
      <c r="C4116">
        <v>51031113</v>
      </c>
      <c r="D4116">
        <v>99.442633002826483</v>
      </c>
      <c r="E4116" t="s">
        <v>275</v>
      </c>
      <c r="F4116">
        <v>17</v>
      </c>
      <c r="G4116" s="4">
        <v>46087.602233796293</v>
      </c>
    </row>
    <row r="4117" spans="1:7" x14ac:dyDescent="0.3">
      <c r="A4117">
        <v>11274</v>
      </c>
      <c r="B4117" t="s">
        <v>148</v>
      </c>
      <c r="C4117">
        <v>51033329</v>
      </c>
      <c r="D4117">
        <v>83.424642934988313</v>
      </c>
      <c r="E4117" t="s">
        <v>93</v>
      </c>
      <c r="F4117">
        <v>301</v>
      </c>
      <c r="G4117" s="4">
        <v>46087.602233796293</v>
      </c>
    </row>
    <row r="4118" spans="1:7" x14ac:dyDescent="0.3">
      <c r="A4118">
        <v>11275</v>
      </c>
      <c r="B4118" t="s">
        <v>148</v>
      </c>
      <c r="C4118">
        <v>51042905</v>
      </c>
      <c r="D4118">
        <v>51.804368425804839</v>
      </c>
      <c r="E4118" t="s">
        <v>94</v>
      </c>
      <c r="F4118">
        <v>809</v>
      </c>
      <c r="G4118" s="4">
        <v>46087.602233796293</v>
      </c>
    </row>
    <row r="4119" spans="1:7" x14ac:dyDescent="0.3">
      <c r="A4119">
        <v>11276</v>
      </c>
      <c r="B4119" t="s">
        <v>148</v>
      </c>
      <c r="C4119">
        <v>51010833</v>
      </c>
      <c r="D4119">
        <v>29.317598593554994</v>
      </c>
      <c r="E4119" t="s">
        <v>94</v>
      </c>
      <c r="F4119">
        <v>953</v>
      </c>
      <c r="G4119" s="4">
        <v>46087.602233796293</v>
      </c>
    </row>
    <row r="4120" spans="1:7" x14ac:dyDescent="0.3">
      <c r="A4120">
        <v>11277</v>
      </c>
      <c r="B4120" t="s">
        <v>148</v>
      </c>
      <c r="C4120">
        <v>51042956</v>
      </c>
      <c r="D4120">
        <v>89.175975310076637</v>
      </c>
      <c r="E4120" t="s">
        <v>92</v>
      </c>
      <c r="F4120">
        <v>146</v>
      </c>
      <c r="G4120" s="4">
        <v>46087.602233796293</v>
      </c>
    </row>
    <row r="4121" spans="1:7" x14ac:dyDescent="0.3">
      <c r="A4121">
        <v>11278</v>
      </c>
      <c r="B4121" t="s">
        <v>148</v>
      </c>
      <c r="C4121">
        <v>51039645</v>
      </c>
      <c r="D4121">
        <v>74.302885168665142</v>
      </c>
      <c r="E4121" t="s">
        <v>93</v>
      </c>
      <c r="F4121">
        <v>491</v>
      </c>
      <c r="G4121" s="4">
        <v>46087.602233796293</v>
      </c>
    </row>
    <row r="4122" spans="1:7" x14ac:dyDescent="0.3">
      <c r="A4122">
        <v>11279</v>
      </c>
      <c r="B4122" t="s">
        <v>148</v>
      </c>
      <c r="C4122">
        <v>51021622</v>
      </c>
      <c r="D4122">
        <v>61.564101983709783</v>
      </c>
      <c r="E4122" t="s">
        <v>94</v>
      </c>
      <c r="F4122">
        <v>637</v>
      </c>
      <c r="G4122" s="4">
        <v>46087.602233796293</v>
      </c>
    </row>
    <row r="4123" spans="1:7" x14ac:dyDescent="0.3">
      <c r="A4123">
        <v>11280</v>
      </c>
      <c r="B4123" t="s">
        <v>148</v>
      </c>
      <c r="C4123">
        <v>51031491</v>
      </c>
      <c r="D4123">
        <v>88.584123212802155</v>
      </c>
      <c r="E4123" t="s">
        <v>92</v>
      </c>
      <c r="F4123">
        <v>166</v>
      </c>
      <c r="G4123" s="4">
        <v>46087.602233796293</v>
      </c>
    </row>
    <row r="4124" spans="1:7" x14ac:dyDescent="0.3">
      <c r="A4124">
        <v>11281</v>
      </c>
      <c r="B4124" t="s">
        <v>148</v>
      </c>
      <c r="C4124">
        <v>51020162</v>
      </c>
      <c r="D4124">
        <v>78.643807964803969</v>
      </c>
      <c r="E4124" t="s">
        <v>93</v>
      </c>
      <c r="F4124">
        <v>438</v>
      </c>
      <c r="G4124" s="4">
        <v>46087.602233796293</v>
      </c>
    </row>
    <row r="4125" spans="1:7" x14ac:dyDescent="0.3">
      <c r="A4125">
        <v>11282</v>
      </c>
      <c r="B4125" t="s">
        <v>148</v>
      </c>
      <c r="C4125">
        <v>51017056</v>
      </c>
      <c r="D4125">
        <v>30.698</v>
      </c>
      <c r="E4125" t="s">
        <v>94</v>
      </c>
      <c r="F4125">
        <v>937</v>
      </c>
      <c r="G4125" s="4">
        <v>46087.602233796293</v>
      </c>
    </row>
    <row r="4126" spans="1:7" x14ac:dyDescent="0.3">
      <c r="A4126">
        <v>11283</v>
      </c>
      <c r="B4126" t="s">
        <v>148</v>
      </c>
      <c r="C4126">
        <v>51056019</v>
      </c>
      <c r="D4126">
        <v>54.503833311469137</v>
      </c>
      <c r="E4126" t="s">
        <v>94</v>
      </c>
      <c r="F4126">
        <v>784</v>
      </c>
      <c r="G4126" s="4">
        <v>46087.602233796293</v>
      </c>
    </row>
    <row r="4127" spans="1:7" x14ac:dyDescent="0.3">
      <c r="A4127">
        <v>11284</v>
      </c>
      <c r="B4127" t="s">
        <v>148</v>
      </c>
      <c r="C4127">
        <v>51017579</v>
      </c>
      <c r="D4127">
        <v>72.45040565631966</v>
      </c>
      <c r="E4127" t="s">
        <v>93</v>
      </c>
      <c r="F4127">
        <v>509</v>
      </c>
      <c r="G4127" s="4">
        <v>46087.602233796293</v>
      </c>
    </row>
    <row r="4128" spans="1:7" x14ac:dyDescent="0.3">
      <c r="A4128">
        <v>11285</v>
      </c>
      <c r="B4128" t="s">
        <v>148</v>
      </c>
      <c r="C4128">
        <v>51015487</v>
      </c>
      <c r="D4128">
        <v>75.957626697573588</v>
      </c>
      <c r="E4128" t="s">
        <v>93</v>
      </c>
      <c r="F4128">
        <v>473</v>
      </c>
      <c r="G4128" s="4">
        <v>46087.602233796293</v>
      </c>
    </row>
    <row r="4129" spans="1:7" x14ac:dyDescent="0.3">
      <c r="A4129">
        <v>11286</v>
      </c>
      <c r="B4129" t="s">
        <v>148</v>
      </c>
      <c r="C4129">
        <v>51040333</v>
      </c>
      <c r="D4129">
        <v>71.707222409253077</v>
      </c>
      <c r="E4129" t="s">
        <v>93</v>
      </c>
      <c r="F4129">
        <v>520</v>
      </c>
      <c r="G4129" s="4">
        <v>46087.602233796293</v>
      </c>
    </row>
    <row r="4130" spans="1:7" x14ac:dyDescent="0.3">
      <c r="A4130">
        <v>11287</v>
      </c>
      <c r="B4130" t="s">
        <v>148</v>
      </c>
      <c r="C4130">
        <v>51017153</v>
      </c>
      <c r="D4130">
        <v>32.449541516689692</v>
      </c>
      <c r="E4130" t="s">
        <v>94</v>
      </c>
      <c r="F4130">
        <v>923</v>
      </c>
      <c r="G4130" s="4">
        <v>46087.602233796293</v>
      </c>
    </row>
    <row r="4131" spans="1:7" x14ac:dyDescent="0.3">
      <c r="A4131">
        <v>11288</v>
      </c>
      <c r="B4131" t="s">
        <v>148</v>
      </c>
      <c r="C4131">
        <v>51021886</v>
      </c>
      <c r="D4131">
        <v>56.285778909860767</v>
      </c>
      <c r="E4131" t="s">
        <v>94</v>
      </c>
      <c r="F4131">
        <v>757</v>
      </c>
      <c r="G4131" s="4">
        <v>46087.602233796293</v>
      </c>
    </row>
    <row r="4132" spans="1:7" x14ac:dyDescent="0.3">
      <c r="A4132">
        <v>11289</v>
      </c>
      <c r="B4132" t="s">
        <v>148</v>
      </c>
      <c r="C4132">
        <v>51023188</v>
      </c>
      <c r="D4132">
        <v>92.784104462916545</v>
      </c>
      <c r="E4132" t="s">
        <v>92</v>
      </c>
      <c r="F4132">
        <v>77</v>
      </c>
      <c r="G4132" s="4">
        <v>46087.602233796293</v>
      </c>
    </row>
    <row r="4133" spans="1:7" x14ac:dyDescent="0.3">
      <c r="A4133">
        <v>11290</v>
      </c>
      <c r="B4133" t="s">
        <v>148</v>
      </c>
      <c r="C4133">
        <v>51055667</v>
      </c>
      <c r="D4133">
        <v>26.648143518681799</v>
      </c>
      <c r="E4133" t="s">
        <v>95</v>
      </c>
      <c r="F4133">
        <v>971</v>
      </c>
      <c r="G4133" s="4">
        <v>46087.602233796293</v>
      </c>
    </row>
    <row r="4134" spans="1:7" x14ac:dyDescent="0.3">
      <c r="A4134">
        <v>11291</v>
      </c>
      <c r="B4134" t="s">
        <v>148</v>
      </c>
      <c r="C4134">
        <v>51020081</v>
      </c>
      <c r="D4134">
        <v>88.707345625720691</v>
      </c>
      <c r="E4134" t="s">
        <v>92</v>
      </c>
      <c r="F4134">
        <v>159</v>
      </c>
      <c r="G4134" s="4">
        <v>46087.602233796293</v>
      </c>
    </row>
    <row r="4135" spans="1:7" x14ac:dyDescent="0.3">
      <c r="A4135">
        <v>11292</v>
      </c>
      <c r="B4135" t="s">
        <v>148</v>
      </c>
      <c r="C4135">
        <v>51018729</v>
      </c>
      <c r="D4135">
        <v>95.008812823055493</v>
      </c>
      <c r="E4135" t="s">
        <v>275</v>
      </c>
      <c r="F4135">
        <v>53</v>
      </c>
      <c r="G4135" s="4">
        <v>46087.602233796293</v>
      </c>
    </row>
    <row r="4136" spans="1:7" x14ac:dyDescent="0.3">
      <c r="A4136">
        <v>11293</v>
      </c>
      <c r="B4136" t="s">
        <v>148</v>
      </c>
      <c r="C4136">
        <v>51030222</v>
      </c>
      <c r="D4136">
        <v>44.352772851831531</v>
      </c>
      <c r="E4136" t="s">
        <v>94</v>
      </c>
      <c r="F4136">
        <v>870</v>
      </c>
      <c r="G4136" s="4">
        <v>46087.602233796293</v>
      </c>
    </row>
    <row r="4137" spans="1:7" x14ac:dyDescent="0.3">
      <c r="A4137">
        <v>11294</v>
      </c>
      <c r="B4137" t="s">
        <v>148</v>
      </c>
      <c r="C4137">
        <v>51002717</v>
      </c>
      <c r="D4137">
        <v>98.156415334724855</v>
      </c>
      <c r="E4137" t="s">
        <v>275</v>
      </c>
      <c r="F4137">
        <v>22</v>
      </c>
      <c r="G4137" s="4">
        <v>46087.602233796293</v>
      </c>
    </row>
    <row r="4138" spans="1:7" x14ac:dyDescent="0.3">
      <c r="A4138">
        <v>11295</v>
      </c>
      <c r="B4138" t="s">
        <v>148</v>
      </c>
      <c r="C4138">
        <v>51055454</v>
      </c>
      <c r="D4138">
        <v>11.6</v>
      </c>
      <c r="E4138" t="s">
        <v>95</v>
      </c>
      <c r="F4138">
        <v>1146</v>
      </c>
      <c r="G4138" s="4">
        <v>46087.602233796293</v>
      </c>
    </row>
    <row r="4139" spans="1:7" x14ac:dyDescent="0.3">
      <c r="A4139">
        <v>11296</v>
      </c>
      <c r="B4139" t="s">
        <v>148</v>
      </c>
      <c r="C4139">
        <v>51055756</v>
      </c>
      <c r="D4139">
        <v>93.517575418527002</v>
      </c>
      <c r="E4139" t="s">
        <v>92</v>
      </c>
      <c r="F4139">
        <v>66</v>
      </c>
      <c r="G4139" s="4">
        <v>46087.602233796293</v>
      </c>
    </row>
    <row r="4140" spans="1:7" x14ac:dyDescent="0.3">
      <c r="A4140">
        <v>11297</v>
      </c>
      <c r="B4140" t="s">
        <v>148</v>
      </c>
      <c r="C4140">
        <v>51011490</v>
      </c>
      <c r="D4140">
        <v>83.064424499794001</v>
      </c>
      <c r="E4140" t="s">
        <v>93</v>
      </c>
      <c r="F4140">
        <v>319</v>
      </c>
      <c r="G4140" s="4">
        <v>46087.602233796293</v>
      </c>
    </row>
    <row r="4141" spans="1:7" x14ac:dyDescent="0.3">
      <c r="A4141">
        <v>11298</v>
      </c>
      <c r="B4141" t="s">
        <v>148</v>
      </c>
      <c r="C4141">
        <v>51010736</v>
      </c>
      <c r="D4141">
        <v>76.094933549354081</v>
      </c>
      <c r="E4141" t="s">
        <v>93</v>
      </c>
      <c r="F4141">
        <v>471</v>
      </c>
      <c r="G4141" s="4">
        <v>46087.602233796293</v>
      </c>
    </row>
    <row r="4142" spans="1:7" x14ac:dyDescent="0.3">
      <c r="A4142">
        <v>11299</v>
      </c>
      <c r="B4142" t="s">
        <v>148</v>
      </c>
      <c r="C4142">
        <v>51016149</v>
      </c>
      <c r="D4142">
        <v>65.603084415906196</v>
      </c>
      <c r="E4142" t="s">
        <v>94</v>
      </c>
      <c r="F4142">
        <v>600</v>
      </c>
      <c r="G4142" s="4">
        <v>46087.602233796293</v>
      </c>
    </row>
    <row r="4143" spans="1:7" x14ac:dyDescent="0.3">
      <c r="A4143">
        <v>11300</v>
      </c>
      <c r="B4143" t="s">
        <v>148</v>
      </c>
      <c r="C4143">
        <v>51013930</v>
      </c>
      <c r="D4143">
        <v>62.672622541360909</v>
      </c>
      <c r="E4143" t="s">
        <v>94</v>
      </c>
      <c r="F4143">
        <v>622</v>
      </c>
      <c r="G4143" s="4">
        <v>46087.602233796293</v>
      </c>
    </row>
    <row r="4144" spans="1:7" x14ac:dyDescent="0.3">
      <c r="A4144">
        <v>11301</v>
      </c>
      <c r="B4144" t="s">
        <v>148</v>
      </c>
      <c r="C4144">
        <v>51055641</v>
      </c>
      <c r="D4144">
        <v>60.119526432285312</v>
      </c>
      <c r="E4144" t="s">
        <v>94</v>
      </c>
      <c r="F4144">
        <v>666</v>
      </c>
      <c r="G4144" s="4">
        <v>46087.602233796293</v>
      </c>
    </row>
    <row r="4145" spans="1:7" x14ac:dyDescent="0.3">
      <c r="A4145">
        <v>11302</v>
      </c>
      <c r="B4145" t="s">
        <v>148</v>
      </c>
      <c r="C4145">
        <v>51021461</v>
      </c>
      <c r="D4145">
        <v>68.734143581408091</v>
      </c>
      <c r="E4145" t="s">
        <v>93</v>
      </c>
      <c r="F4145">
        <v>560</v>
      </c>
      <c r="G4145" s="4">
        <v>46087.602233796293</v>
      </c>
    </row>
    <row r="4146" spans="1:7" x14ac:dyDescent="0.3">
      <c r="A4146">
        <v>11303</v>
      </c>
      <c r="B4146" t="s">
        <v>148</v>
      </c>
      <c r="C4146">
        <v>51039637</v>
      </c>
      <c r="D4146">
        <v>91.89196976426588</v>
      </c>
      <c r="E4146" t="s">
        <v>92</v>
      </c>
      <c r="F4146">
        <v>88</v>
      </c>
      <c r="G4146" s="4">
        <v>46087.602233796293</v>
      </c>
    </row>
    <row r="4147" spans="1:7" x14ac:dyDescent="0.3">
      <c r="A4147">
        <v>11304</v>
      </c>
      <c r="B4147" t="s">
        <v>148</v>
      </c>
      <c r="C4147">
        <v>51020308</v>
      </c>
      <c r="D4147">
        <v>36.746699966654035</v>
      </c>
      <c r="E4147" t="s">
        <v>94</v>
      </c>
      <c r="F4147">
        <v>897</v>
      </c>
      <c r="G4147" s="4">
        <v>46087.602233796293</v>
      </c>
    </row>
    <row r="4148" spans="1:7" x14ac:dyDescent="0.3">
      <c r="A4148">
        <v>11305</v>
      </c>
      <c r="B4148" t="s">
        <v>148</v>
      </c>
      <c r="C4148">
        <v>51040597</v>
      </c>
      <c r="D4148">
        <v>58.32885924839308</v>
      </c>
      <c r="E4148" t="s">
        <v>94</v>
      </c>
      <c r="F4148">
        <v>709</v>
      </c>
      <c r="G4148" s="4">
        <v>46087.602233796293</v>
      </c>
    </row>
    <row r="4149" spans="1:7" x14ac:dyDescent="0.3">
      <c r="A4149">
        <v>11306</v>
      </c>
      <c r="B4149" t="s">
        <v>148</v>
      </c>
      <c r="C4149">
        <v>51014197</v>
      </c>
      <c r="D4149">
        <v>57.761034858806788</v>
      </c>
      <c r="E4149" t="s">
        <v>94</v>
      </c>
      <c r="F4149">
        <v>724</v>
      </c>
      <c r="G4149" s="4">
        <v>46087.602233796293</v>
      </c>
    </row>
    <row r="4150" spans="1:7" x14ac:dyDescent="0.3">
      <c r="A4150">
        <v>11307</v>
      </c>
      <c r="B4150" t="s">
        <v>148</v>
      </c>
      <c r="C4150">
        <v>51056621</v>
      </c>
      <c r="D4150">
        <v>89.248632098423045</v>
      </c>
      <c r="E4150" t="s">
        <v>92</v>
      </c>
      <c r="F4150">
        <v>144</v>
      </c>
      <c r="G4150" s="4">
        <v>46087.602233796293</v>
      </c>
    </row>
    <row r="4151" spans="1:7" x14ac:dyDescent="0.3">
      <c r="A4151">
        <v>11308</v>
      </c>
      <c r="B4151" t="s">
        <v>148</v>
      </c>
      <c r="C4151">
        <v>51018524</v>
      </c>
      <c r="D4151">
        <v>85.464797817877027</v>
      </c>
      <c r="E4151" t="s">
        <v>93</v>
      </c>
      <c r="F4151">
        <v>243</v>
      </c>
      <c r="G4151" s="4">
        <v>46087.602233796293</v>
      </c>
    </row>
    <row r="4152" spans="1:7" x14ac:dyDescent="0.3">
      <c r="A4152">
        <v>11309</v>
      </c>
      <c r="B4152" t="s">
        <v>148</v>
      </c>
      <c r="C4152">
        <v>51056701</v>
      </c>
      <c r="D4152">
        <v>47.627125062257626</v>
      </c>
      <c r="E4152" t="s">
        <v>94</v>
      </c>
      <c r="F4152">
        <v>843</v>
      </c>
      <c r="G4152" s="4">
        <v>46087.602233796293</v>
      </c>
    </row>
    <row r="4153" spans="1:7" x14ac:dyDescent="0.3">
      <c r="A4153">
        <v>11310</v>
      </c>
      <c r="B4153" t="s">
        <v>148</v>
      </c>
      <c r="C4153">
        <v>51057007</v>
      </c>
      <c r="D4153">
        <v>57.989204208629978</v>
      </c>
      <c r="E4153" t="s">
        <v>94</v>
      </c>
      <c r="F4153">
        <v>718</v>
      </c>
      <c r="G4153" s="4">
        <v>46087.602233796293</v>
      </c>
    </row>
    <row r="4154" spans="1:7" x14ac:dyDescent="0.3">
      <c r="A4154">
        <v>11311</v>
      </c>
      <c r="B4154" t="s">
        <v>148</v>
      </c>
      <c r="C4154">
        <v>51011091</v>
      </c>
      <c r="D4154">
        <v>58.81562264780073</v>
      </c>
      <c r="E4154" t="s">
        <v>94</v>
      </c>
      <c r="F4154">
        <v>697</v>
      </c>
      <c r="G4154" s="4">
        <v>46087.602233796293</v>
      </c>
    </row>
    <row r="4155" spans="1:7" x14ac:dyDescent="0.3">
      <c r="A4155">
        <v>11312</v>
      </c>
      <c r="B4155" t="s">
        <v>148</v>
      </c>
      <c r="C4155">
        <v>51011953</v>
      </c>
      <c r="D4155">
        <v>20.2986</v>
      </c>
      <c r="E4155" t="s">
        <v>95</v>
      </c>
      <c r="F4155">
        <v>1016</v>
      </c>
      <c r="G4155" s="4">
        <v>46087.602233796293</v>
      </c>
    </row>
    <row r="4156" spans="1:7" x14ac:dyDescent="0.3">
      <c r="A4156">
        <v>11313</v>
      </c>
      <c r="B4156" t="s">
        <v>148</v>
      </c>
      <c r="C4156">
        <v>51022955</v>
      </c>
      <c r="D4156">
        <v>64.493372258584159</v>
      </c>
      <c r="E4156" t="s">
        <v>94</v>
      </c>
      <c r="F4156">
        <v>607</v>
      </c>
      <c r="G4156" s="4">
        <v>46087.602233796293</v>
      </c>
    </row>
    <row r="4157" spans="1:7" x14ac:dyDescent="0.3">
      <c r="A4157">
        <v>11314</v>
      </c>
      <c r="B4157" t="s">
        <v>148</v>
      </c>
      <c r="C4157">
        <v>51021673</v>
      </c>
      <c r="D4157">
        <v>22.323</v>
      </c>
      <c r="E4157" t="s">
        <v>95</v>
      </c>
      <c r="F4157">
        <v>999</v>
      </c>
      <c r="G4157" s="4">
        <v>46087.602233796293</v>
      </c>
    </row>
    <row r="4158" spans="1:7" x14ac:dyDescent="0.3">
      <c r="A4158">
        <v>11315</v>
      </c>
      <c r="B4158" t="s">
        <v>148</v>
      </c>
      <c r="C4158">
        <v>51013476</v>
      </c>
      <c r="D4158">
        <v>84.598716126317868</v>
      </c>
      <c r="E4158" t="s">
        <v>93</v>
      </c>
      <c r="F4158">
        <v>269</v>
      </c>
      <c r="G4158" s="4">
        <v>46087.602233796293</v>
      </c>
    </row>
    <row r="4159" spans="1:7" x14ac:dyDescent="0.3">
      <c r="A4159">
        <v>11316</v>
      </c>
      <c r="B4159" t="s">
        <v>148</v>
      </c>
      <c r="C4159">
        <v>51022998</v>
      </c>
      <c r="D4159">
        <v>96.45622170706099</v>
      </c>
      <c r="E4159" t="s">
        <v>275</v>
      </c>
      <c r="F4159">
        <v>36</v>
      </c>
      <c r="G4159" s="4">
        <v>46087.602233796293</v>
      </c>
    </row>
    <row r="4160" spans="1:7" x14ac:dyDescent="0.3">
      <c r="A4160">
        <v>11317</v>
      </c>
      <c r="B4160" t="s">
        <v>148</v>
      </c>
      <c r="C4160">
        <v>51056485</v>
      </c>
      <c r="D4160">
        <v>58.237418086679014</v>
      </c>
      <c r="E4160" t="s">
        <v>94</v>
      </c>
      <c r="F4160">
        <v>713</v>
      </c>
      <c r="G4160" s="4">
        <v>46087.602233796293</v>
      </c>
    </row>
    <row r="4161" spans="1:7" x14ac:dyDescent="0.3">
      <c r="A4161">
        <v>11318</v>
      </c>
      <c r="B4161" t="s">
        <v>148</v>
      </c>
      <c r="C4161">
        <v>51055705</v>
      </c>
      <c r="D4161">
        <v>94.098200291689778</v>
      </c>
      <c r="E4161" t="s">
        <v>92</v>
      </c>
      <c r="F4161">
        <v>63</v>
      </c>
      <c r="G4161" s="4">
        <v>46087.602233796293</v>
      </c>
    </row>
    <row r="4162" spans="1:7" x14ac:dyDescent="0.3">
      <c r="A4162">
        <v>11319</v>
      </c>
      <c r="B4162" t="s">
        <v>148</v>
      </c>
      <c r="C4162">
        <v>51041798</v>
      </c>
      <c r="D4162">
        <v>67.374996741707164</v>
      </c>
      <c r="E4162" t="s">
        <v>93</v>
      </c>
      <c r="F4162">
        <v>583</v>
      </c>
      <c r="G4162" s="4">
        <v>46087.602233796293</v>
      </c>
    </row>
    <row r="4163" spans="1:7" x14ac:dyDescent="0.3">
      <c r="A4163">
        <v>11320</v>
      </c>
      <c r="B4163" t="s">
        <v>148</v>
      </c>
      <c r="C4163">
        <v>51020600</v>
      </c>
      <c r="D4163">
        <v>58.8803203838999</v>
      </c>
      <c r="E4163" t="s">
        <v>94</v>
      </c>
      <c r="F4163">
        <v>695</v>
      </c>
      <c r="G4163" s="4">
        <v>46087.602233796293</v>
      </c>
    </row>
    <row r="4164" spans="1:7" x14ac:dyDescent="0.3">
      <c r="A4164">
        <v>11321</v>
      </c>
      <c r="B4164" t="s">
        <v>148</v>
      </c>
      <c r="C4164">
        <v>51033795</v>
      </c>
      <c r="D4164">
        <v>68.274156845105509</v>
      </c>
      <c r="E4164" t="s">
        <v>93</v>
      </c>
      <c r="F4164">
        <v>570</v>
      </c>
      <c r="G4164" s="4">
        <v>46087.602233796293</v>
      </c>
    </row>
    <row r="4165" spans="1:7" x14ac:dyDescent="0.3">
      <c r="A4165">
        <v>11322</v>
      </c>
      <c r="B4165" t="s">
        <v>148</v>
      </c>
      <c r="C4165">
        <v>51030419</v>
      </c>
      <c r="D4165">
        <v>82.587884663299974</v>
      </c>
      <c r="E4165" t="s">
        <v>93</v>
      </c>
      <c r="F4165">
        <v>337</v>
      </c>
      <c r="G4165" s="4">
        <v>46087.602233796293</v>
      </c>
    </row>
    <row r="4166" spans="1:7" x14ac:dyDescent="0.3">
      <c r="A4166">
        <v>11323</v>
      </c>
      <c r="B4166" t="s">
        <v>148</v>
      </c>
      <c r="C4166">
        <v>51038819</v>
      </c>
      <c r="D4166">
        <v>81.012133443747572</v>
      </c>
      <c r="E4166" t="s">
        <v>93</v>
      </c>
      <c r="F4166">
        <v>379</v>
      </c>
      <c r="G4166" s="4">
        <v>46087.602233796293</v>
      </c>
    </row>
    <row r="4167" spans="1:7" x14ac:dyDescent="0.3">
      <c r="A4167">
        <v>11324</v>
      </c>
      <c r="B4167" t="s">
        <v>148</v>
      </c>
      <c r="C4167">
        <v>51021851</v>
      </c>
      <c r="D4167">
        <v>50.211217806199571</v>
      </c>
      <c r="E4167" t="s">
        <v>94</v>
      </c>
      <c r="F4167">
        <v>824</v>
      </c>
      <c r="G4167" s="4">
        <v>46087.602233796293</v>
      </c>
    </row>
    <row r="4168" spans="1:7" x14ac:dyDescent="0.3">
      <c r="A4168">
        <v>11325</v>
      </c>
      <c r="B4168" t="s">
        <v>148</v>
      </c>
      <c r="C4168">
        <v>51004086</v>
      </c>
      <c r="D4168">
        <v>89.340408968611527</v>
      </c>
      <c r="E4168" t="s">
        <v>92</v>
      </c>
      <c r="F4168">
        <v>142</v>
      </c>
      <c r="G4168" s="4">
        <v>46087.602233796293</v>
      </c>
    </row>
    <row r="4169" spans="1:7" x14ac:dyDescent="0.3">
      <c r="A4169">
        <v>11326</v>
      </c>
      <c r="B4169" t="s">
        <v>148</v>
      </c>
      <c r="C4169">
        <v>51017111</v>
      </c>
      <c r="D4169">
        <v>80.446020915710847</v>
      </c>
      <c r="E4169" t="s">
        <v>93</v>
      </c>
      <c r="F4169">
        <v>395</v>
      </c>
      <c r="G4169" s="4">
        <v>46087.602233796293</v>
      </c>
    </row>
    <row r="4170" spans="1:7" x14ac:dyDescent="0.3">
      <c r="A4170">
        <v>11327</v>
      </c>
      <c r="B4170" t="s">
        <v>148</v>
      </c>
      <c r="C4170">
        <v>51022106</v>
      </c>
      <c r="D4170">
        <v>45.649106794899645</v>
      </c>
      <c r="E4170" t="s">
        <v>94</v>
      </c>
      <c r="F4170">
        <v>863</v>
      </c>
      <c r="G4170" s="4">
        <v>46087.602233796293</v>
      </c>
    </row>
    <row r="4171" spans="1:7" x14ac:dyDescent="0.3">
      <c r="A4171">
        <v>11328</v>
      </c>
      <c r="B4171" t="s">
        <v>148</v>
      </c>
      <c r="C4171">
        <v>51056205</v>
      </c>
      <c r="D4171">
        <v>80.65903444199536</v>
      </c>
      <c r="E4171" t="s">
        <v>93</v>
      </c>
      <c r="F4171">
        <v>390</v>
      </c>
      <c r="G4171" s="4">
        <v>46087.602233796293</v>
      </c>
    </row>
    <row r="4172" spans="1:7" x14ac:dyDescent="0.3">
      <c r="A4172">
        <v>11329</v>
      </c>
      <c r="B4172" t="s">
        <v>148</v>
      </c>
      <c r="C4172">
        <v>51055870</v>
      </c>
      <c r="D4172">
        <v>87.13193392728536</v>
      </c>
      <c r="E4172" t="s">
        <v>92</v>
      </c>
      <c r="F4172">
        <v>196</v>
      </c>
      <c r="G4172" s="4">
        <v>46087.602233796293</v>
      </c>
    </row>
    <row r="4173" spans="1:7" x14ac:dyDescent="0.3">
      <c r="A4173">
        <v>11330</v>
      </c>
      <c r="B4173" t="s">
        <v>148</v>
      </c>
      <c r="C4173">
        <v>51017226</v>
      </c>
      <c r="D4173">
        <v>28</v>
      </c>
      <c r="E4173" t="s">
        <v>95</v>
      </c>
      <c r="F4173">
        <v>963</v>
      </c>
      <c r="G4173" s="4">
        <v>46087.602233796293</v>
      </c>
    </row>
    <row r="4174" spans="1:7" x14ac:dyDescent="0.3">
      <c r="A4174">
        <v>11331</v>
      </c>
      <c r="B4174" t="s">
        <v>148</v>
      </c>
      <c r="C4174">
        <v>51056965</v>
      </c>
      <c r="D4174">
        <v>25.593126886274408</v>
      </c>
      <c r="E4174" t="s">
        <v>95</v>
      </c>
      <c r="F4174">
        <v>978</v>
      </c>
      <c r="G4174" s="4">
        <v>46087.602233796293</v>
      </c>
    </row>
    <row r="4175" spans="1:7" x14ac:dyDescent="0.3">
      <c r="A4175">
        <v>11332</v>
      </c>
      <c r="B4175" t="s">
        <v>148</v>
      </c>
      <c r="C4175">
        <v>51033671</v>
      </c>
      <c r="D4175">
        <v>58.286026944629675</v>
      </c>
      <c r="E4175" t="s">
        <v>94</v>
      </c>
      <c r="F4175">
        <v>711</v>
      </c>
      <c r="G4175" s="4">
        <v>46087.602233796293</v>
      </c>
    </row>
    <row r="4176" spans="1:7" x14ac:dyDescent="0.3">
      <c r="A4176">
        <v>11333</v>
      </c>
      <c r="B4176" t="s">
        <v>148</v>
      </c>
      <c r="C4176">
        <v>51038797</v>
      </c>
      <c r="D4176">
        <v>92.426005571545261</v>
      </c>
      <c r="E4176" t="s">
        <v>92</v>
      </c>
      <c r="F4176">
        <v>82</v>
      </c>
      <c r="G4176" s="4">
        <v>46087.602233796293</v>
      </c>
    </row>
    <row r="4177" spans="1:7" x14ac:dyDescent="0.3">
      <c r="A4177">
        <v>11334</v>
      </c>
      <c r="B4177" t="s">
        <v>148</v>
      </c>
      <c r="C4177">
        <v>51013492</v>
      </c>
      <c r="D4177">
        <v>24.429999999999996</v>
      </c>
      <c r="E4177" t="s">
        <v>95</v>
      </c>
      <c r="F4177">
        <v>987</v>
      </c>
      <c r="G4177" s="4">
        <v>46087.602233796293</v>
      </c>
    </row>
    <row r="4178" spans="1:7" x14ac:dyDescent="0.3">
      <c r="A4178">
        <v>11335</v>
      </c>
      <c r="B4178" t="s">
        <v>148</v>
      </c>
      <c r="C4178">
        <v>51019415</v>
      </c>
      <c r="D4178">
        <v>57.886225298176754</v>
      </c>
      <c r="E4178" t="s">
        <v>94</v>
      </c>
      <c r="F4178">
        <v>721</v>
      </c>
      <c r="G4178" s="4">
        <v>46087.602233796293</v>
      </c>
    </row>
    <row r="4179" spans="1:7" x14ac:dyDescent="0.3">
      <c r="A4179">
        <v>11336</v>
      </c>
      <c r="B4179" t="s">
        <v>148</v>
      </c>
      <c r="C4179">
        <v>51036107</v>
      </c>
      <c r="D4179">
        <v>56.951034231560399</v>
      </c>
      <c r="E4179" t="s">
        <v>94</v>
      </c>
      <c r="F4179">
        <v>740</v>
      </c>
      <c r="G4179" s="4">
        <v>46087.602233796293</v>
      </c>
    </row>
    <row r="4180" spans="1:7" x14ac:dyDescent="0.3">
      <c r="A4180">
        <v>11337</v>
      </c>
      <c r="B4180" t="s">
        <v>148</v>
      </c>
      <c r="C4180">
        <v>51056990</v>
      </c>
      <c r="D4180">
        <v>84.366441468157078</v>
      </c>
      <c r="E4180" t="s">
        <v>93</v>
      </c>
      <c r="F4180">
        <v>276</v>
      </c>
      <c r="G4180" s="4">
        <v>46087.602233796293</v>
      </c>
    </row>
    <row r="4181" spans="1:7" x14ac:dyDescent="0.3">
      <c r="A4181">
        <v>11338</v>
      </c>
      <c r="B4181" t="s">
        <v>148</v>
      </c>
      <c r="C4181">
        <v>51025296</v>
      </c>
      <c r="D4181">
        <v>45.939434930940124</v>
      </c>
      <c r="E4181" t="s">
        <v>94</v>
      </c>
      <c r="F4181">
        <v>860</v>
      </c>
      <c r="G4181" s="4">
        <v>46087.602233796293</v>
      </c>
    </row>
    <row r="4182" spans="1:7" x14ac:dyDescent="0.3">
      <c r="A4182">
        <v>11339</v>
      </c>
      <c r="B4182" t="s">
        <v>148</v>
      </c>
      <c r="C4182">
        <v>51056639</v>
      </c>
      <c r="D4182">
        <v>35.978733229764245</v>
      </c>
      <c r="E4182" t="s">
        <v>94</v>
      </c>
      <c r="F4182">
        <v>901</v>
      </c>
      <c r="G4182" s="4">
        <v>46087.602233796293</v>
      </c>
    </row>
    <row r="4183" spans="1:7" x14ac:dyDescent="0.3">
      <c r="A4183">
        <v>11340</v>
      </c>
      <c r="B4183" t="s">
        <v>148</v>
      </c>
      <c r="C4183">
        <v>51015029</v>
      </c>
      <c r="D4183">
        <v>70.32661828484656</v>
      </c>
      <c r="E4183" t="s">
        <v>93</v>
      </c>
      <c r="F4183">
        <v>542</v>
      </c>
      <c r="G4183" s="4">
        <v>46087.602233796293</v>
      </c>
    </row>
    <row r="4184" spans="1:7" x14ac:dyDescent="0.3">
      <c r="A4184">
        <v>11341</v>
      </c>
      <c r="B4184" t="s">
        <v>148</v>
      </c>
      <c r="C4184">
        <v>51055730</v>
      </c>
      <c r="D4184">
        <v>56.972067818715701</v>
      </c>
      <c r="E4184" t="s">
        <v>94</v>
      </c>
      <c r="F4184">
        <v>738</v>
      </c>
      <c r="G4184" s="4">
        <v>46087.602233796293</v>
      </c>
    </row>
    <row r="4185" spans="1:7" x14ac:dyDescent="0.3">
      <c r="A4185">
        <v>11342</v>
      </c>
      <c r="B4185" t="s">
        <v>148</v>
      </c>
      <c r="C4185">
        <v>51018257</v>
      </c>
      <c r="D4185">
        <v>69.648755387040367</v>
      </c>
      <c r="E4185" t="s">
        <v>93</v>
      </c>
      <c r="F4185">
        <v>551</v>
      </c>
      <c r="G4185" s="4">
        <v>46087.602233796293</v>
      </c>
    </row>
    <row r="4186" spans="1:7" x14ac:dyDescent="0.3">
      <c r="A4186">
        <v>11343</v>
      </c>
      <c r="B4186" t="s">
        <v>148</v>
      </c>
      <c r="C4186">
        <v>51055845</v>
      </c>
      <c r="D4186">
        <v>88.301181497061094</v>
      </c>
      <c r="E4186" t="s">
        <v>92</v>
      </c>
      <c r="F4186">
        <v>172</v>
      </c>
      <c r="G4186" s="4">
        <v>46087.602233796293</v>
      </c>
    </row>
    <row r="4187" spans="1:7" x14ac:dyDescent="0.3">
      <c r="A4187">
        <v>11344</v>
      </c>
      <c r="B4187" t="s">
        <v>148</v>
      </c>
      <c r="C4187">
        <v>51028015</v>
      </c>
      <c r="D4187">
        <v>84.598474973907969</v>
      </c>
      <c r="E4187" t="s">
        <v>93</v>
      </c>
      <c r="F4187">
        <v>270</v>
      </c>
      <c r="G4187" s="4">
        <v>46087.602233796293</v>
      </c>
    </row>
    <row r="4188" spans="1:7" x14ac:dyDescent="0.3">
      <c r="A4188">
        <v>11345</v>
      </c>
      <c r="B4188" t="s">
        <v>148</v>
      </c>
      <c r="C4188">
        <v>51012887</v>
      </c>
      <c r="D4188">
        <v>94.57977093533809</v>
      </c>
      <c r="E4188" t="s">
        <v>275</v>
      </c>
      <c r="F4188">
        <v>59</v>
      </c>
      <c r="G4188" s="4">
        <v>46087.602233796293</v>
      </c>
    </row>
    <row r="4189" spans="1:7" x14ac:dyDescent="0.3">
      <c r="A4189">
        <v>11346</v>
      </c>
      <c r="B4189" t="s">
        <v>148</v>
      </c>
      <c r="C4189">
        <v>51010311</v>
      </c>
      <c r="D4189">
        <v>70.607899836300646</v>
      </c>
      <c r="E4189" t="s">
        <v>93</v>
      </c>
      <c r="F4189">
        <v>536</v>
      </c>
      <c r="G4189" s="4">
        <v>46087.602233796293</v>
      </c>
    </row>
    <row r="4190" spans="1:7" x14ac:dyDescent="0.3">
      <c r="A4190">
        <v>11347</v>
      </c>
      <c r="B4190" t="s">
        <v>148</v>
      </c>
      <c r="C4190">
        <v>51036638</v>
      </c>
      <c r="D4190">
        <v>50.746800997466252</v>
      </c>
      <c r="E4190" t="s">
        <v>94</v>
      </c>
      <c r="F4190">
        <v>818</v>
      </c>
      <c r="G4190" s="4">
        <v>46087.602233796293</v>
      </c>
    </row>
    <row r="4191" spans="1:7" x14ac:dyDescent="0.3">
      <c r="A4191">
        <v>11348</v>
      </c>
      <c r="B4191" t="s">
        <v>148</v>
      </c>
      <c r="C4191">
        <v>51033442</v>
      </c>
      <c r="D4191">
        <v>91.488309620288675</v>
      </c>
      <c r="E4191" t="s">
        <v>92</v>
      </c>
      <c r="F4191">
        <v>96</v>
      </c>
      <c r="G4191" s="4">
        <v>46087.602233796293</v>
      </c>
    </row>
    <row r="4192" spans="1:7" x14ac:dyDescent="0.3">
      <c r="A4192">
        <v>11349</v>
      </c>
      <c r="B4192" t="s">
        <v>148</v>
      </c>
      <c r="C4192">
        <v>51014774</v>
      </c>
      <c r="D4192">
        <v>80.728452186644503</v>
      </c>
      <c r="E4192" t="s">
        <v>93</v>
      </c>
      <c r="F4192">
        <v>386</v>
      </c>
      <c r="G4192" s="4">
        <v>46087.602233796293</v>
      </c>
    </row>
    <row r="4193" spans="1:7" x14ac:dyDescent="0.3">
      <c r="A4193">
        <v>11350</v>
      </c>
      <c r="B4193" t="s">
        <v>148</v>
      </c>
      <c r="C4193">
        <v>51043847</v>
      </c>
      <c r="D4193">
        <v>36.137783763174191</v>
      </c>
      <c r="E4193" t="s">
        <v>94</v>
      </c>
      <c r="F4193">
        <v>899</v>
      </c>
      <c r="G4193" s="4">
        <v>46087.602233796293</v>
      </c>
    </row>
    <row r="4194" spans="1:7" x14ac:dyDescent="0.3">
      <c r="A4194">
        <v>11351</v>
      </c>
      <c r="B4194" t="s">
        <v>148</v>
      </c>
      <c r="C4194">
        <v>51032381</v>
      </c>
      <c r="D4194">
        <v>76.374560091989835</v>
      </c>
      <c r="E4194" t="s">
        <v>93</v>
      </c>
      <c r="F4194">
        <v>464</v>
      </c>
      <c r="G4194" s="4">
        <v>46087.602233796293</v>
      </c>
    </row>
    <row r="4195" spans="1:7" x14ac:dyDescent="0.3">
      <c r="A4195">
        <v>11352</v>
      </c>
      <c r="B4195" t="s">
        <v>148</v>
      </c>
      <c r="C4195">
        <v>51018508</v>
      </c>
      <c r="D4195">
        <v>71.662744310493281</v>
      </c>
      <c r="E4195" t="s">
        <v>93</v>
      </c>
      <c r="F4195">
        <v>524</v>
      </c>
      <c r="G4195" s="4">
        <v>46087.602233796293</v>
      </c>
    </row>
    <row r="4196" spans="1:7" x14ac:dyDescent="0.3">
      <c r="A4196">
        <v>11353</v>
      </c>
      <c r="B4196" t="s">
        <v>148</v>
      </c>
      <c r="C4196">
        <v>51003616</v>
      </c>
      <c r="D4196">
        <v>88.103556860408204</v>
      </c>
      <c r="E4196" t="s">
        <v>92</v>
      </c>
      <c r="F4196">
        <v>176</v>
      </c>
      <c r="G4196" s="4">
        <v>46087.602233796293</v>
      </c>
    </row>
    <row r="4197" spans="1:7" x14ac:dyDescent="0.3">
      <c r="A4197">
        <v>11354</v>
      </c>
      <c r="B4197" t="s">
        <v>148</v>
      </c>
      <c r="C4197">
        <v>51038932</v>
      </c>
      <c r="D4197">
        <v>60.148959139019595</v>
      </c>
      <c r="E4197" t="s">
        <v>94</v>
      </c>
      <c r="F4197">
        <v>665</v>
      </c>
      <c r="G4197" s="4">
        <v>46087.602233796293</v>
      </c>
    </row>
    <row r="4198" spans="1:7" x14ac:dyDescent="0.3">
      <c r="A4198">
        <v>11355</v>
      </c>
      <c r="B4198" t="s">
        <v>148</v>
      </c>
      <c r="C4198">
        <v>51039211</v>
      </c>
      <c r="D4198">
        <v>47.181549325283228</v>
      </c>
      <c r="E4198" t="s">
        <v>94</v>
      </c>
      <c r="F4198">
        <v>845</v>
      </c>
      <c r="G4198" s="4">
        <v>46087.602233796293</v>
      </c>
    </row>
    <row r="4199" spans="1:7" x14ac:dyDescent="0.3">
      <c r="A4199">
        <v>11356</v>
      </c>
      <c r="B4199" t="s">
        <v>148</v>
      </c>
      <c r="C4199">
        <v>51018664</v>
      </c>
      <c r="D4199">
        <v>22.49248598075722</v>
      </c>
      <c r="E4199" t="s">
        <v>95</v>
      </c>
      <c r="F4199">
        <v>998</v>
      </c>
      <c r="G4199" s="4">
        <v>46087.602233796293</v>
      </c>
    </row>
    <row r="4200" spans="1:7" x14ac:dyDescent="0.3">
      <c r="A4200">
        <v>11357</v>
      </c>
      <c r="B4200" t="s">
        <v>148</v>
      </c>
      <c r="C4200">
        <v>51056671</v>
      </c>
      <c r="D4200">
        <v>81.797140385905266</v>
      </c>
      <c r="E4200" t="s">
        <v>93</v>
      </c>
      <c r="F4200">
        <v>354</v>
      </c>
      <c r="G4200" s="4">
        <v>46087.602233796293</v>
      </c>
    </row>
    <row r="4201" spans="1:7" x14ac:dyDescent="0.3">
      <c r="A4201">
        <v>11358</v>
      </c>
      <c r="B4201" t="s">
        <v>148</v>
      </c>
      <c r="C4201">
        <v>51055462</v>
      </c>
      <c r="D4201">
        <v>89.869973979828174</v>
      </c>
      <c r="E4201" t="s">
        <v>92</v>
      </c>
      <c r="F4201">
        <v>127</v>
      </c>
      <c r="G4201" s="4">
        <v>46087.602233796293</v>
      </c>
    </row>
    <row r="4202" spans="1:7" x14ac:dyDescent="0.3">
      <c r="A4202">
        <v>11359</v>
      </c>
      <c r="B4202" t="s">
        <v>148</v>
      </c>
      <c r="C4202">
        <v>51014081</v>
      </c>
      <c r="D4202">
        <v>85.396903206863982</v>
      </c>
      <c r="E4202" t="s">
        <v>93</v>
      </c>
      <c r="F4202">
        <v>247</v>
      </c>
      <c r="G4202" s="4">
        <v>46087.602233796293</v>
      </c>
    </row>
    <row r="4203" spans="1:7" x14ac:dyDescent="0.3">
      <c r="A4203">
        <v>11360</v>
      </c>
      <c r="B4203" t="s">
        <v>148</v>
      </c>
      <c r="C4203">
        <v>51055918</v>
      </c>
      <c r="D4203">
        <v>69.854475049642289</v>
      </c>
      <c r="E4203" t="s">
        <v>93</v>
      </c>
      <c r="F4203">
        <v>548</v>
      </c>
      <c r="G4203" s="4">
        <v>46087.602233796293</v>
      </c>
    </row>
    <row r="4204" spans="1:7" x14ac:dyDescent="0.3">
      <c r="A4204">
        <v>11361</v>
      </c>
      <c r="B4204" t="s">
        <v>148</v>
      </c>
      <c r="C4204">
        <v>51016785</v>
      </c>
      <c r="D4204">
        <v>87.033488798607578</v>
      </c>
      <c r="E4204" t="s">
        <v>92</v>
      </c>
      <c r="F4204">
        <v>198</v>
      </c>
      <c r="G4204" s="4">
        <v>46087.602233796293</v>
      </c>
    </row>
    <row r="4205" spans="1:7" x14ac:dyDescent="0.3">
      <c r="A4205">
        <v>11362</v>
      </c>
      <c r="B4205" t="s">
        <v>148</v>
      </c>
      <c r="C4205">
        <v>51055268</v>
      </c>
      <c r="D4205">
        <v>45.031031618850122</v>
      </c>
      <c r="E4205" t="s">
        <v>94</v>
      </c>
      <c r="F4205">
        <v>866</v>
      </c>
      <c r="G4205" s="4">
        <v>46087.602233796293</v>
      </c>
    </row>
    <row r="4206" spans="1:7" x14ac:dyDescent="0.3">
      <c r="A4206">
        <v>11363</v>
      </c>
      <c r="B4206" t="s">
        <v>148</v>
      </c>
      <c r="C4206">
        <v>51015533</v>
      </c>
      <c r="D4206">
        <v>88.328687931402328</v>
      </c>
      <c r="E4206" t="s">
        <v>92</v>
      </c>
      <c r="F4206">
        <v>170</v>
      </c>
      <c r="G4206" s="4">
        <v>46087.602233796293</v>
      </c>
    </row>
    <row r="4207" spans="1:7" x14ac:dyDescent="0.3">
      <c r="A4207">
        <v>11364</v>
      </c>
      <c r="B4207" t="s">
        <v>148</v>
      </c>
      <c r="C4207">
        <v>51018371</v>
      </c>
      <c r="D4207">
        <v>83.18480806607873</v>
      </c>
      <c r="E4207" t="s">
        <v>93</v>
      </c>
      <c r="F4207">
        <v>310</v>
      </c>
      <c r="G4207" s="4">
        <v>46087.602233796293</v>
      </c>
    </row>
    <row r="4208" spans="1:7" x14ac:dyDescent="0.3">
      <c r="A4208">
        <v>11365</v>
      </c>
      <c r="B4208" t="s">
        <v>148</v>
      </c>
      <c r="C4208">
        <v>51004027</v>
      </c>
      <c r="D4208">
        <v>68.429528181904558</v>
      </c>
      <c r="E4208" t="s">
        <v>93</v>
      </c>
      <c r="F4208">
        <v>566</v>
      </c>
      <c r="G4208" s="4">
        <v>46087.602233796293</v>
      </c>
    </row>
    <row r="4209" spans="1:7" x14ac:dyDescent="0.3">
      <c r="A4209">
        <v>11366</v>
      </c>
      <c r="B4209" t="s">
        <v>148</v>
      </c>
      <c r="C4209">
        <v>51011660</v>
      </c>
      <c r="D4209">
        <v>40.324029948236706</v>
      </c>
      <c r="E4209" t="s">
        <v>94</v>
      </c>
      <c r="F4209">
        <v>886</v>
      </c>
      <c r="G4209" s="4">
        <v>46087.602233796293</v>
      </c>
    </row>
    <row r="4210" spans="1:7" x14ac:dyDescent="0.3">
      <c r="A4210">
        <v>11367</v>
      </c>
      <c r="B4210" t="s">
        <v>148</v>
      </c>
      <c r="C4210">
        <v>51022556</v>
      </c>
      <c r="D4210">
        <v>71.469715034096879</v>
      </c>
      <c r="E4210" t="s">
        <v>93</v>
      </c>
      <c r="F4210">
        <v>527</v>
      </c>
      <c r="G4210" s="4">
        <v>46087.602233796293</v>
      </c>
    </row>
    <row r="4211" spans="1:7" x14ac:dyDescent="0.3">
      <c r="A4211">
        <v>11368</v>
      </c>
      <c r="B4211" t="s">
        <v>148</v>
      </c>
      <c r="C4211">
        <v>51018427</v>
      </c>
      <c r="D4211">
        <v>75.422863207712638</v>
      </c>
      <c r="E4211" t="s">
        <v>93</v>
      </c>
      <c r="F4211">
        <v>476</v>
      </c>
      <c r="G4211" s="4">
        <v>46087.602233796293</v>
      </c>
    </row>
    <row r="4212" spans="1:7" x14ac:dyDescent="0.3">
      <c r="A4212">
        <v>11369</v>
      </c>
      <c r="B4212" t="s">
        <v>148</v>
      </c>
      <c r="C4212">
        <v>51024516</v>
      </c>
      <c r="D4212">
        <v>82.958811750903863</v>
      </c>
      <c r="E4212" t="s">
        <v>93</v>
      </c>
      <c r="F4212">
        <v>322</v>
      </c>
      <c r="G4212" s="4">
        <v>46087.602233796293</v>
      </c>
    </row>
    <row r="4213" spans="1:7" x14ac:dyDescent="0.3">
      <c r="A4213">
        <v>11370</v>
      </c>
      <c r="B4213" t="s">
        <v>148</v>
      </c>
      <c r="C4213">
        <v>51011856</v>
      </c>
      <c r="D4213">
        <v>56.699483087661363</v>
      </c>
      <c r="E4213" t="s">
        <v>94</v>
      </c>
      <c r="F4213">
        <v>747</v>
      </c>
      <c r="G4213" s="4">
        <v>46087.602233796293</v>
      </c>
    </row>
    <row r="4214" spans="1:7" x14ac:dyDescent="0.3">
      <c r="A4214">
        <v>11371</v>
      </c>
      <c r="B4214" t="s">
        <v>148</v>
      </c>
      <c r="C4214">
        <v>51032322</v>
      </c>
      <c r="D4214">
        <v>61.867522121324733</v>
      </c>
      <c r="E4214" t="s">
        <v>94</v>
      </c>
      <c r="F4214">
        <v>630</v>
      </c>
      <c r="G4214" s="4">
        <v>46087.602233796293</v>
      </c>
    </row>
    <row r="4215" spans="1:7" x14ac:dyDescent="0.3">
      <c r="A4215">
        <v>11372</v>
      </c>
      <c r="B4215" t="s">
        <v>148</v>
      </c>
      <c r="C4215">
        <v>51013859</v>
      </c>
      <c r="D4215">
        <v>59.090301721986279</v>
      </c>
      <c r="E4215" t="s">
        <v>94</v>
      </c>
      <c r="F4215">
        <v>690</v>
      </c>
      <c r="G4215" s="4">
        <v>46087.602233796293</v>
      </c>
    </row>
    <row r="4216" spans="1:7" x14ac:dyDescent="0.3">
      <c r="A4216">
        <v>11373</v>
      </c>
      <c r="B4216" t="s">
        <v>148</v>
      </c>
      <c r="C4216">
        <v>51008430</v>
      </c>
      <c r="D4216">
        <v>67.941155056687109</v>
      </c>
      <c r="E4216" t="s">
        <v>93</v>
      </c>
      <c r="F4216">
        <v>572</v>
      </c>
      <c r="G4216" s="4">
        <v>46087.602233796293</v>
      </c>
    </row>
    <row r="4217" spans="1:7" x14ac:dyDescent="0.3">
      <c r="A4217">
        <v>11374</v>
      </c>
      <c r="B4217" t="s">
        <v>148</v>
      </c>
      <c r="C4217">
        <v>51042158</v>
      </c>
      <c r="D4217">
        <v>96.75646368170095</v>
      </c>
      <c r="E4217" t="s">
        <v>275</v>
      </c>
      <c r="F4217">
        <v>33</v>
      </c>
      <c r="G4217" s="4">
        <v>46087.602233796293</v>
      </c>
    </row>
    <row r="4218" spans="1:7" x14ac:dyDescent="0.3">
      <c r="A4218">
        <v>11375</v>
      </c>
      <c r="B4218" t="s">
        <v>148</v>
      </c>
      <c r="C4218">
        <v>51011627</v>
      </c>
      <c r="D4218">
        <v>61.561489073128783</v>
      </c>
      <c r="E4218" t="s">
        <v>94</v>
      </c>
      <c r="F4218">
        <v>638</v>
      </c>
      <c r="G4218" s="4">
        <v>46087.602233796293</v>
      </c>
    </row>
    <row r="4219" spans="1:7" x14ac:dyDescent="0.3">
      <c r="A4219">
        <v>11376</v>
      </c>
      <c r="B4219" t="s">
        <v>148</v>
      </c>
      <c r="C4219">
        <v>51010426</v>
      </c>
      <c r="D4219">
        <v>82.736242672812992</v>
      </c>
      <c r="E4219" t="s">
        <v>93</v>
      </c>
      <c r="F4219">
        <v>329</v>
      </c>
      <c r="G4219" s="4">
        <v>46087.602233796293</v>
      </c>
    </row>
    <row r="4220" spans="1:7" x14ac:dyDescent="0.3">
      <c r="A4220">
        <v>11377</v>
      </c>
      <c r="B4220" t="s">
        <v>148</v>
      </c>
      <c r="C4220">
        <v>51033205</v>
      </c>
      <c r="D4220">
        <v>58.461605117788153</v>
      </c>
      <c r="E4220" t="s">
        <v>94</v>
      </c>
      <c r="F4220">
        <v>703</v>
      </c>
      <c r="G4220" s="4">
        <v>46087.602233796293</v>
      </c>
    </row>
    <row r="4221" spans="1:7" x14ac:dyDescent="0.3">
      <c r="A4221">
        <v>11378</v>
      </c>
      <c r="B4221" t="s">
        <v>148</v>
      </c>
      <c r="C4221">
        <v>51035976</v>
      </c>
      <c r="D4221">
        <v>33.799999999999997</v>
      </c>
      <c r="E4221" t="s">
        <v>94</v>
      </c>
      <c r="F4221">
        <v>917</v>
      </c>
      <c r="G4221" s="4">
        <v>46087.602233796293</v>
      </c>
    </row>
    <row r="4222" spans="1:7" x14ac:dyDescent="0.3">
      <c r="A4222">
        <v>11379</v>
      </c>
      <c r="B4222" t="s">
        <v>148</v>
      </c>
      <c r="C4222">
        <v>51010914</v>
      </c>
      <c r="D4222">
        <v>57.466649672163022</v>
      </c>
      <c r="E4222" t="s">
        <v>94</v>
      </c>
      <c r="F4222">
        <v>728</v>
      </c>
      <c r="G4222" s="4">
        <v>46087.602233796293</v>
      </c>
    </row>
    <row r="4223" spans="1:7" x14ac:dyDescent="0.3">
      <c r="A4223">
        <v>11380</v>
      </c>
      <c r="B4223" t="s">
        <v>148</v>
      </c>
      <c r="C4223">
        <v>51023129</v>
      </c>
      <c r="D4223">
        <v>85.711299129509968</v>
      </c>
      <c r="E4223" t="s">
        <v>92</v>
      </c>
      <c r="F4223">
        <v>237</v>
      </c>
      <c r="G4223" s="4">
        <v>46087.602233796293</v>
      </c>
    </row>
    <row r="4224" spans="1:7" x14ac:dyDescent="0.3">
      <c r="A4224">
        <v>11381</v>
      </c>
      <c r="B4224" t="s">
        <v>148</v>
      </c>
      <c r="C4224">
        <v>51054857</v>
      </c>
      <c r="D4224">
        <v>57.707116915509602</v>
      </c>
      <c r="E4224" t="s">
        <v>94</v>
      </c>
      <c r="F4224">
        <v>725</v>
      </c>
      <c r="G4224" s="4">
        <v>46087.602233796293</v>
      </c>
    </row>
    <row r="4225" spans="1:7" x14ac:dyDescent="0.3">
      <c r="A4225">
        <v>11382</v>
      </c>
      <c r="B4225" t="s">
        <v>148</v>
      </c>
      <c r="C4225">
        <v>51055926</v>
      </c>
      <c r="D4225">
        <v>74.467837237484616</v>
      </c>
      <c r="E4225" t="s">
        <v>93</v>
      </c>
      <c r="F4225">
        <v>487</v>
      </c>
      <c r="G4225" s="4">
        <v>46087.602233796293</v>
      </c>
    </row>
    <row r="4226" spans="1:7" x14ac:dyDescent="0.3">
      <c r="A4226">
        <v>11383</v>
      </c>
      <c r="B4226" t="s">
        <v>148</v>
      </c>
      <c r="C4226">
        <v>51021282</v>
      </c>
      <c r="D4226">
        <v>34.18</v>
      </c>
      <c r="E4226" t="s">
        <v>94</v>
      </c>
      <c r="F4226">
        <v>911</v>
      </c>
      <c r="G4226" s="4">
        <v>46087.602233796293</v>
      </c>
    </row>
    <row r="4227" spans="1:7" x14ac:dyDescent="0.3">
      <c r="A4227">
        <v>11384</v>
      </c>
      <c r="B4227" t="s">
        <v>148</v>
      </c>
      <c r="C4227">
        <v>51031369</v>
      </c>
      <c r="D4227">
        <v>72.402859285135719</v>
      </c>
      <c r="E4227" t="s">
        <v>93</v>
      </c>
      <c r="F4227">
        <v>513</v>
      </c>
      <c r="G4227" s="4">
        <v>46087.602233796293</v>
      </c>
    </row>
    <row r="4228" spans="1:7" x14ac:dyDescent="0.3">
      <c r="A4228">
        <v>11385</v>
      </c>
      <c r="B4228" t="s">
        <v>148</v>
      </c>
      <c r="C4228">
        <v>51024621</v>
      </c>
      <c r="D4228">
        <v>58.26224485513228</v>
      </c>
      <c r="E4228" t="s">
        <v>94</v>
      </c>
      <c r="F4228">
        <v>712</v>
      </c>
      <c r="G4228" s="4">
        <v>46087.602233796293</v>
      </c>
    </row>
    <row r="4229" spans="1:7" x14ac:dyDescent="0.3">
      <c r="A4229">
        <v>11386</v>
      </c>
      <c r="B4229" t="s">
        <v>148</v>
      </c>
      <c r="C4229">
        <v>51032284</v>
      </c>
      <c r="D4229">
        <v>83.153472701516804</v>
      </c>
      <c r="E4229" t="s">
        <v>93</v>
      </c>
      <c r="F4229">
        <v>312</v>
      </c>
      <c r="G4229" s="4">
        <v>46087.602233796293</v>
      </c>
    </row>
    <row r="4230" spans="1:7" x14ac:dyDescent="0.3">
      <c r="A4230">
        <v>11387</v>
      </c>
      <c r="B4230" t="s">
        <v>148</v>
      </c>
      <c r="C4230">
        <v>51018966</v>
      </c>
      <c r="D4230">
        <v>88.627523916572599</v>
      </c>
      <c r="E4230" t="s">
        <v>92</v>
      </c>
      <c r="F4230">
        <v>165</v>
      </c>
      <c r="G4230" s="4">
        <v>46087.602233796293</v>
      </c>
    </row>
    <row r="4231" spans="1:7" x14ac:dyDescent="0.3">
      <c r="A4231">
        <v>11388</v>
      </c>
      <c r="B4231" t="s">
        <v>148</v>
      </c>
      <c r="C4231">
        <v>51012623</v>
      </c>
      <c r="D4231">
        <v>83.49905468133862</v>
      </c>
      <c r="E4231" t="s">
        <v>93</v>
      </c>
      <c r="F4231">
        <v>300</v>
      </c>
      <c r="G4231" s="4">
        <v>46087.602233796293</v>
      </c>
    </row>
    <row r="4232" spans="1:7" x14ac:dyDescent="0.3">
      <c r="A4232">
        <v>11389</v>
      </c>
      <c r="B4232" t="s">
        <v>148</v>
      </c>
      <c r="C4232">
        <v>51019121</v>
      </c>
      <c r="D4232">
        <v>88.957738365722051</v>
      </c>
      <c r="E4232" t="s">
        <v>92</v>
      </c>
      <c r="F4232">
        <v>154</v>
      </c>
      <c r="G4232" s="4">
        <v>46087.602233796293</v>
      </c>
    </row>
    <row r="4233" spans="1:7" x14ac:dyDescent="0.3">
      <c r="A4233">
        <v>11390</v>
      </c>
      <c r="B4233" t="s">
        <v>148</v>
      </c>
      <c r="C4233">
        <v>51036085</v>
      </c>
      <c r="D4233">
        <v>32.6</v>
      </c>
      <c r="E4233" t="s">
        <v>94</v>
      </c>
      <c r="F4233">
        <v>922</v>
      </c>
      <c r="G4233" s="4">
        <v>46087.602233796293</v>
      </c>
    </row>
    <row r="4234" spans="1:7" x14ac:dyDescent="0.3">
      <c r="A4234">
        <v>11391</v>
      </c>
      <c r="B4234" t="s">
        <v>148</v>
      </c>
      <c r="C4234">
        <v>51002164</v>
      </c>
      <c r="D4234">
        <v>80.934994038726103</v>
      </c>
      <c r="E4234" t="s">
        <v>93</v>
      </c>
      <c r="F4234">
        <v>380</v>
      </c>
      <c r="G4234" s="4">
        <v>46087.602233796293</v>
      </c>
    </row>
    <row r="4235" spans="1:7" x14ac:dyDescent="0.3">
      <c r="A4235">
        <v>11392</v>
      </c>
      <c r="B4235" t="s">
        <v>148</v>
      </c>
      <c r="C4235">
        <v>51013182</v>
      </c>
      <c r="D4235">
        <v>60.656018183702955</v>
      </c>
      <c r="E4235" t="s">
        <v>94</v>
      </c>
      <c r="F4235">
        <v>653</v>
      </c>
      <c r="G4235" s="4">
        <v>46087.602233796293</v>
      </c>
    </row>
    <row r="4236" spans="1:7" x14ac:dyDescent="0.3">
      <c r="A4236">
        <v>11393</v>
      </c>
      <c r="B4236" t="s">
        <v>148</v>
      </c>
      <c r="C4236">
        <v>51033086</v>
      </c>
      <c r="D4236">
        <v>59.600157967444382</v>
      </c>
      <c r="E4236" t="s">
        <v>94</v>
      </c>
      <c r="F4236">
        <v>676</v>
      </c>
      <c r="G4236" s="4">
        <v>46087.602233796293</v>
      </c>
    </row>
    <row r="4237" spans="1:7" x14ac:dyDescent="0.3">
      <c r="A4237">
        <v>11394</v>
      </c>
      <c r="B4237" t="s">
        <v>148</v>
      </c>
      <c r="C4237">
        <v>51029038</v>
      </c>
      <c r="D4237">
        <v>52.910079203862175</v>
      </c>
      <c r="E4237" t="s">
        <v>94</v>
      </c>
      <c r="F4237">
        <v>801</v>
      </c>
      <c r="G4237" s="4">
        <v>46087.602233796293</v>
      </c>
    </row>
    <row r="4238" spans="1:7" x14ac:dyDescent="0.3">
      <c r="A4238">
        <v>11395</v>
      </c>
      <c r="B4238" t="s">
        <v>148</v>
      </c>
      <c r="C4238">
        <v>51024168</v>
      </c>
      <c r="D4238">
        <v>72.8173808729629</v>
      </c>
      <c r="E4238" t="s">
        <v>93</v>
      </c>
      <c r="F4238">
        <v>502</v>
      </c>
      <c r="G4238" s="4">
        <v>46087.602233796293</v>
      </c>
    </row>
    <row r="4239" spans="1:7" x14ac:dyDescent="0.3">
      <c r="A4239">
        <v>11396</v>
      </c>
      <c r="B4239" t="s">
        <v>148</v>
      </c>
      <c r="C4239">
        <v>51023455</v>
      </c>
      <c r="D4239">
        <v>45.665515384623966</v>
      </c>
      <c r="E4239" t="s">
        <v>94</v>
      </c>
      <c r="F4239">
        <v>862</v>
      </c>
      <c r="G4239" s="4">
        <v>46087.602233796293</v>
      </c>
    </row>
    <row r="4240" spans="1:7" x14ac:dyDescent="0.3">
      <c r="A4240">
        <v>11397</v>
      </c>
      <c r="B4240" t="s">
        <v>148</v>
      </c>
      <c r="C4240">
        <v>51016131</v>
      </c>
      <c r="D4240">
        <v>96.49381377879125</v>
      </c>
      <c r="E4240" t="s">
        <v>275</v>
      </c>
      <c r="F4240">
        <v>35</v>
      </c>
      <c r="G4240" s="4">
        <v>46087.602233796293</v>
      </c>
    </row>
    <row r="4241" spans="1:7" x14ac:dyDescent="0.3">
      <c r="A4241">
        <v>11398</v>
      </c>
      <c r="B4241" t="s">
        <v>148</v>
      </c>
      <c r="C4241">
        <v>51016408</v>
      </c>
      <c r="D4241">
        <v>94.996215024775964</v>
      </c>
      <c r="E4241" t="s">
        <v>275</v>
      </c>
      <c r="F4241">
        <v>54</v>
      </c>
      <c r="G4241" s="4">
        <v>46087.602233796293</v>
      </c>
    </row>
    <row r="4242" spans="1:7" x14ac:dyDescent="0.3">
      <c r="A4242">
        <v>11399</v>
      </c>
      <c r="B4242" t="s">
        <v>148</v>
      </c>
      <c r="C4242">
        <v>51056914</v>
      </c>
      <c r="D4242">
        <v>86.988263658587499</v>
      </c>
      <c r="E4242" t="s">
        <v>92</v>
      </c>
      <c r="F4242">
        <v>200</v>
      </c>
      <c r="G4242" s="4">
        <v>46087.602233796293</v>
      </c>
    </row>
    <row r="4243" spans="1:7" x14ac:dyDescent="0.3">
      <c r="A4243">
        <v>11400</v>
      </c>
      <c r="B4243" t="s">
        <v>148</v>
      </c>
      <c r="C4243">
        <v>51016858</v>
      </c>
      <c r="D4243">
        <v>98.980373046663388</v>
      </c>
      <c r="E4243" t="s">
        <v>275</v>
      </c>
      <c r="F4243">
        <v>20</v>
      </c>
      <c r="G4243" s="4">
        <v>46087.602233796293</v>
      </c>
    </row>
    <row r="4244" spans="1:7" x14ac:dyDescent="0.3">
      <c r="A4244">
        <v>11401</v>
      </c>
      <c r="B4244" t="s">
        <v>148</v>
      </c>
      <c r="C4244">
        <v>51035666</v>
      </c>
      <c r="D4244">
        <v>74.340718821848313</v>
      </c>
      <c r="E4244" t="s">
        <v>93</v>
      </c>
      <c r="F4244">
        <v>489</v>
      </c>
      <c r="G4244" s="4">
        <v>46087.602233796293</v>
      </c>
    </row>
    <row r="4245" spans="1:7" x14ac:dyDescent="0.3">
      <c r="A4245">
        <v>11402</v>
      </c>
      <c r="B4245" t="s">
        <v>148</v>
      </c>
      <c r="C4245">
        <v>51022068</v>
      </c>
      <c r="D4245">
        <v>94.502080571588564</v>
      </c>
      <c r="E4245" t="s">
        <v>92</v>
      </c>
      <c r="F4245">
        <v>61</v>
      </c>
      <c r="G4245" s="4">
        <v>46087.602233796293</v>
      </c>
    </row>
    <row r="4246" spans="1:7" x14ac:dyDescent="0.3">
      <c r="A4246">
        <v>11403</v>
      </c>
      <c r="B4246" t="s">
        <v>148</v>
      </c>
      <c r="C4246">
        <v>51013611</v>
      </c>
      <c r="D4246">
        <v>91.363976557373277</v>
      </c>
      <c r="E4246" t="s">
        <v>92</v>
      </c>
      <c r="F4246">
        <v>99</v>
      </c>
      <c r="G4246" s="4">
        <v>46087.602233796293</v>
      </c>
    </row>
    <row r="4247" spans="1:7" x14ac:dyDescent="0.3">
      <c r="A4247">
        <v>11404</v>
      </c>
      <c r="B4247" t="s">
        <v>148</v>
      </c>
      <c r="C4247">
        <v>51013115</v>
      </c>
      <c r="D4247">
        <v>44.335912498579887</v>
      </c>
      <c r="E4247" t="s">
        <v>94</v>
      </c>
      <c r="F4247">
        <v>871</v>
      </c>
      <c r="G4247" s="4">
        <v>46087.602233796293</v>
      </c>
    </row>
    <row r="4248" spans="1:7" x14ac:dyDescent="0.3">
      <c r="A4248">
        <v>11405</v>
      </c>
      <c r="B4248" t="s">
        <v>148</v>
      </c>
      <c r="C4248">
        <v>51056744</v>
      </c>
      <c r="D4248">
        <v>81.487003424556875</v>
      </c>
      <c r="E4248" t="s">
        <v>93</v>
      </c>
      <c r="F4248">
        <v>364</v>
      </c>
      <c r="G4248" s="4">
        <v>46087.602233796293</v>
      </c>
    </row>
    <row r="4249" spans="1:7" x14ac:dyDescent="0.3">
      <c r="A4249">
        <v>11406</v>
      </c>
      <c r="B4249" t="s">
        <v>148</v>
      </c>
      <c r="C4249">
        <v>51031822</v>
      </c>
      <c r="D4249">
        <v>86.947356794024401</v>
      </c>
      <c r="E4249" t="s">
        <v>92</v>
      </c>
      <c r="F4249">
        <v>201</v>
      </c>
      <c r="G4249" s="4">
        <v>46087.602233796293</v>
      </c>
    </row>
    <row r="4250" spans="1:7" x14ac:dyDescent="0.3">
      <c r="A4250">
        <v>11407</v>
      </c>
      <c r="B4250" t="s">
        <v>148</v>
      </c>
      <c r="C4250">
        <v>51025938</v>
      </c>
      <c r="D4250">
        <v>46.202836221802897</v>
      </c>
      <c r="E4250" t="s">
        <v>94</v>
      </c>
      <c r="F4250">
        <v>853</v>
      </c>
      <c r="G4250" s="4">
        <v>46087.602233796293</v>
      </c>
    </row>
    <row r="4251" spans="1:7" x14ac:dyDescent="0.3">
      <c r="A4251">
        <v>11408</v>
      </c>
      <c r="B4251" t="s">
        <v>148</v>
      </c>
      <c r="C4251">
        <v>51030141</v>
      </c>
      <c r="D4251">
        <v>83.388662474578737</v>
      </c>
      <c r="E4251" t="s">
        <v>93</v>
      </c>
      <c r="F4251">
        <v>303</v>
      </c>
      <c r="G4251" s="4">
        <v>46087.602233796293</v>
      </c>
    </row>
    <row r="4252" spans="1:7" x14ac:dyDescent="0.3">
      <c r="A4252">
        <v>11409</v>
      </c>
      <c r="B4252" t="s">
        <v>148</v>
      </c>
      <c r="C4252">
        <v>51004698</v>
      </c>
      <c r="D4252">
        <v>90.679552230342239</v>
      </c>
      <c r="E4252" t="s">
        <v>92</v>
      </c>
      <c r="F4252">
        <v>111</v>
      </c>
      <c r="G4252" s="4">
        <v>46087.602233796293</v>
      </c>
    </row>
    <row r="4253" spans="1:7" x14ac:dyDescent="0.3">
      <c r="A4253">
        <v>11410</v>
      </c>
      <c r="B4253" t="s">
        <v>148</v>
      </c>
      <c r="C4253">
        <v>51029585</v>
      </c>
      <c r="D4253">
        <v>79.30673554334598</v>
      </c>
      <c r="E4253" t="s">
        <v>93</v>
      </c>
      <c r="F4253">
        <v>421</v>
      </c>
      <c r="G4253" s="4">
        <v>46087.602233796293</v>
      </c>
    </row>
    <row r="4254" spans="1:7" x14ac:dyDescent="0.3">
      <c r="A4254">
        <v>11411</v>
      </c>
      <c r="B4254" t="s">
        <v>148</v>
      </c>
      <c r="C4254">
        <v>51018389</v>
      </c>
      <c r="D4254">
        <v>76.886160835269308</v>
      </c>
      <c r="E4254" t="s">
        <v>93</v>
      </c>
      <c r="F4254">
        <v>453</v>
      </c>
      <c r="G4254" s="4">
        <v>46087.602233796293</v>
      </c>
    </row>
    <row r="4255" spans="1:7" x14ac:dyDescent="0.3">
      <c r="A4255">
        <v>11412</v>
      </c>
      <c r="B4255" t="s">
        <v>148</v>
      </c>
      <c r="C4255">
        <v>51017137</v>
      </c>
      <c r="D4255">
        <v>46.060628192936697</v>
      </c>
      <c r="E4255" t="s">
        <v>94</v>
      </c>
      <c r="F4255">
        <v>857</v>
      </c>
      <c r="G4255" s="4">
        <v>46087.602233796293</v>
      </c>
    </row>
    <row r="4256" spans="1:7" x14ac:dyDescent="0.3">
      <c r="A4256">
        <v>11413</v>
      </c>
      <c r="B4256" t="s">
        <v>148</v>
      </c>
      <c r="C4256">
        <v>51041232</v>
      </c>
      <c r="D4256">
        <v>88.64249235081958</v>
      </c>
      <c r="E4256" t="s">
        <v>92</v>
      </c>
      <c r="F4256">
        <v>164</v>
      </c>
      <c r="G4256" s="4">
        <v>46087.602233796293</v>
      </c>
    </row>
    <row r="4257" spans="1:7" x14ac:dyDescent="0.3">
      <c r="A4257">
        <v>11414</v>
      </c>
      <c r="B4257" t="s">
        <v>148</v>
      </c>
      <c r="C4257">
        <v>51022769</v>
      </c>
      <c r="D4257">
        <v>30.92723703505148</v>
      </c>
      <c r="E4257" t="s">
        <v>94</v>
      </c>
      <c r="F4257">
        <v>933</v>
      </c>
      <c r="G4257" s="4">
        <v>46087.602233796293</v>
      </c>
    </row>
    <row r="4258" spans="1:7" x14ac:dyDescent="0.3">
      <c r="A4258">
        <v>11415</v>
      </c>
      <c r="B4258" t="s">
        <v>148</v>
      </c>
      <c r="C4258">
        <v>51031164</v>
      </c>
      <c r="D4258">
        <v>90.072159531436682</v>
      </c>
      <c r="E4258" t="s">
        <v>92</v>
      </c>
      <c r="F4258">
        <v>121</v>
      </c>
      <c r="G4258" s="4">
        <v>46087.602233796293</v>
      </c>
    </row>
    <row r="4259" spans="1:7" x14ac:dyDescent="0.3">
      <c r="A4259">
        <v>11416</v>
      </c>
      <c r="B4259" t="s">
        <v>148</v>
      </c>
      <c r="C4259">
        <v>51030371</v>
      </c>
      <c r="D4259">
        <v>57.468800315700435</v>
      </c>
      <c r="E4259" t="s">
        <v>94</v>
      </c>
      <c r="F4259">
        <v>727</v>
      </c>
      <c r="G4259" s="4">
        <v>46087.602233796293</v>
      </c>
    </row>
    <row r="4260" spans="1:7" x14ac:dyDescent="0.3">
      <c r="A4260">
        <v>11417</v>
      </c>
      <c r="B4260" t="s">
        <v>148</v>
      </c>
      <c r="C4260">
        <v>51040392</v>
      </c>
      <c r="D4260">
        <v>72.026950461964276</v>
      </c>
      <c r="E4260" t="s">
        <v>93</v>
      </c>
      <c r="F4260">
        <v>519</v>
      </c>
      <c r="G4260" s="4">
        <v>46087.602233796293</v>
      </c>
    </row>
    <row r="4261" spans="1:7" x14ac:dyDescent="0.3">
      <c r="A4261">
        <v>11418</v>
      </c>
      <c r="B4261" t="s">
        <v>148</v>
      </c>
      <c r="C4261">
        <v>51014693</v>
      </c>
      <c r="D4261">
        <v>56.347709583278302</v>
      </c>
      <c r="E4261" t="s">
        <v>94</v>
      </c>
      <c r="F4261">
        <v>755</v>
      </c>
      <c r="G4261" s="4">
        <v>46087.602233796293</v>
      </c>
    </row>
    <row r="4262" spans="1:7" x14ac:dyDescent="0.3">
      <c r="A4262">
        <v>11419</v>
      </c>
      <c r="B4262" t="s">
        <v>148</v>
      </c>
      <c r="C4262">
        <v>51055551</v>
      </c>
      <c r="D4262">
        <v>78.996400313983813</v>
      </c>
      <c r="E4262" t="s">
        <v>93</v>
      </c>
      <c r="F4262">
        <v>429</v>
      </c>
      <c r="G4262" s="4">
        <v>46087.602233796293</v>
      </c>
    </row>
    <row r="4263" spans="1:7" x14ac:dyDescent="0.3">
      <c r="A4263">
        <v>11420</v>
      </c>
      <c r="B4263" t="s">
        <v>148</v>
      </c>
      <c r="C4263">
        <v>51012593</v>
      </c>
      <c r="D4263">
        <v>55.986471289277709</v>
      </c>
      <c r="E4263" t="s">
        <v>94</v>
      </c>
      <c r="F4263">
        <v>766</v>
      </c>
      <c r="G4263" s="4">
        <v>46087.602233796293</v>
      </c>
    </row>
    <row r="4264" spans="1:7" x14ac:dyDescent="0.3">
      <c r="A4264">
        <v>11421</v>
      </c>
      <c r="B4264" t="s">
        <v>148</v>
      </c>
      <c r="C4264">
        <v>51015908</v>
      </c>
      <c r="D4264">
        <v>72.443994112320695</v>
      </c>
      <c r="E4264" t="s">
        <v>93</v>
      </c>
      <c r="F4264">
        <v>510</v>
      </c>
      <c r="G4264" s="4">
        <v>46087.602233796293</v>
      </c>
    </row>
    <row r="4265" spans="1:7" x14ac:dyDescent="0.3">
      <c r="A4265">
        <v>11422</v>
      </c>
      <c r="B4265" t="s">
        <v>148</v>
      </c>
      <c r="C4265">
        <v>51015924</v>
      </c>
      <c r="D4265">
        <v>89.011464971507735</v>
      </c>
      <c r="E4265" t="s">
        <v>92</v>
      </c>
      <c r="F4265">
        <v>152</v>
      </c>
      <c r="G4265" s="4">
        <v>46087.602233796293</v>
      </c>
    </row>
    <row r="4266" spans="1:7" x14ac:dyDescent="0.3">
      <c r="A4266">
        <v>11423</v>
      </c>
      <c r="B4266" t="s">
        <v>148</v>
      </c>
      <c r="C4266">
        <v>51034252</v>
      </c>
      <c r="D4266">
        <v>86.294793757521262</v>
      </c>
      <c r="E4266" t="s">
        <v>92</v>
      </c>
      <c r="F4266">
        <v>222</v>
      </c>
      <c r="G4266" s="4">
        <v>46087.602233796293</v>
      </c>
    </row>
    <row r="4267" spans="1:7" x14ac:dyDescent="0.3">
      <c r="A4267">
        <v>11424</v>
      </c>
      <c r="B4267" t="s">
        <v>148</v>
      </c>
      <c r="C4267">
        <v>51017676</v>
      </c>
      <c r="D4267">
        <v>86.38973248454721</v>
      </c>
      <c r="E4267" t="s">
        <v>92</v>
      </c>
      <c r="F4267">
        <v>219</v>
      </c>
      <c r="G4267" s="4">
        <v>46087.602233796293</v>
      </c>
    </row>
    <row r="4268" spans="1:7" x14ac:dyDescent="0.3">
      <c r="A4268">
        <v>11425</v>
      </c>
      <c r="B4268" t="s">
        <v>148</v>
      </c>
      <c r="C4268">
        <v>51033655</v>
      </c>
      <c r="D4268">
        <v>99.209486955046856</v>
      </c>
      <c r="E4268" t="s">
        <v>275</v>
      </c>
      <c r="F4268">
        <v>19</v>
      </c>
      <c r="G4268" s="4">
        <v>46087.602233796293</v>
      </c>
    </row>
    <row r="4269" spans="1:7" x14ac:dyDescent="0.3">
      <c r="A4269">
        <v>11426</v>
      </c>
      <c r="B4269" t="s">
        <v>148</v>
      </c>
      <c r="C4269">
        <v>51014740</v>
      </c>
      <c r="D4269">
        <v>76.069031229145423</v>
      </c>
      <c r="E4269" t="s">
        <v>93</v>
      </c>
      <c r="F4269">
        <v>472</v>
      </c>
      <c r="G4269" s="4">
        <v>46087.602233796293</v>
      </c>
    </row>
    <row r="4270" spans="1:7" x14ac:dyDescent="0.3">
      <c r="A4270">
        <v>11427</v>
      </c>
      <c r="B4270" t="s">
        <v>148</v>
      </c>
      <c r="C4270">
        <v>51011287</v>
      </c>
      <c r="D4270">
        <v>69.404309166616102</v>
      </c>
      <c r="E4270" t="s">
        <v>93</v>
      </c>
      <c r="F4270">
        <v>555</v>
      </c>
      <c r="G4270" s="4">
        <v>46087.602233796293</v>
      </c>
    </row>
    <row r="4271" spans="1:7" x14ac:dyDescent="0.3">
      <c r="A4271">
        <v>11428</v>
      </c>
      <c r="B4271" t="s">
        <v>148</v>
      </c>
      <c r="C4271">
        <v>51026306</v>
      </c>
      <c r="D4271">
        <v>56.450083757622011</v>
      </c>
      <c r="E4271" t="s">
        <v>94</v>
      </c>
      <c r="F4271">
        <v>753</v>
      </c>
      <c r="G4271" s="4">
        <v>46087.602233796293</v>
      </c>
    </row>
    <row r="4272" spans="1:7" x14ac:dyDescent="0.3">
      <c r="A4272">
        <v>11429</v>
      </c>
      <c r="B4272" t="s">
        <v>148</v>
      </c>
      <c r="C4272">
        <v>51040325</v>
      </c>
      <c r="D4272">
        <v>76.461180333428658</v>
      </c>
      <c r="E4272" t="s">
        <v>93</v>
      </c>
      <c r="F4272">
        <v>461</v>
      </c>
      <c r="G4272" s="4">
        <v>46087.602233796293</v>
      </c>
    </row>
    <row r="4273" spans="1:7" x14ac:dyDescent="0.3">
      <c r="A4273">
        <v>11430</v>
      </c>
      <c r="B4273" t="s">
        <v>148</v>
      </c>
      <c r="C4273">
        <v>51055543</v>
      </c>
      <c r="D4273">
        <v>81.142537127891217</v>
      </c>
      <c r="E4273" t="s">
        <v>93</v>
      </c>
      <c r="F4273">
        <v>375</v>
      </c>
      <c r="G4273" s="4">
        <v>46087.602233796293</v>
      </c>
    </row>
    <row r="4274" spans="1:7" x14ac:dyDescent="0.3">
      <c r="A4274">
        <v>11431</v>
      </c>
      <c r="B4274" t="s">
        <v>148</v>
      </c>
      <c r="C4274">
        <v>51037031</v>
      </c>
      <c r="D4274">
        <v>52.738418708462184</v>
      </c>
      <c r="E4274" t="s">
        <v>94</v>
      </c>
      <c r="F4274">
        <v>802</v>
      </c>
      <c r="G4274" s="4">
        <v>46087.602233796293</v>
      </c>
    </row>
    <row r="4275" spans="1:7" x14ac:dyDescent="0.3">
      <c r="A4275">
        <v>11432</v>
      </c>
      <c r="B4275" t="s">
        <v>148</v>
      </c>
      <c r="C4275">
        <v>51057244</v>
      </c>
      <c r="D4275">
        <v>53.371618009396691</v>
      </c>
      <c r="E4275" t="s">
        <v>94</v>
      </c>
      <c r="F4275">
        <v>796</v>
      </c>
      <c r="G4275" s="4">
        <v>46087.602233796293</v>
      </c>
    </row>
    <row r="4276" spans="1:7" x14ac:dyDescent="0.3">
      <c r="A4276">
        <v>11433</v>
      </c>
      <c r="B4276" t="s">
        <v>148</v>
      </c>
      <c r="C4276">
        <v>51032004</v>
      </c>
      <c r="D4276">
        <v>54.3483041394325</v>
      </c>
      <c r="E4276" t="s">
        <v>94</v>
      </c>
      <c r="F4276">
        <v>788</v>
      </c>
      <c r="G4276" s="4">
        <v>46087.602233796293</v>
      </c>
    </row>
    <row r="4277" spans="1:7" x14ac:dyDescent="0.3">
      <c r="A4277">
        <v>11434</v>
      </c>
      <c r="B4277" t="s">
        <v>148</v>
      </c>
      <c r="C4277">
        <v>51019253</v>
      </c>
      <c r="D4277">
        <v>59.816831061231738</v>
      </c>
      <c r="E4277" t="s">
        <v>94</v>
      </c>
      <c r="F4277">
        <v>672</v>
      </c>
      <c r="G4277" s="4">
        <v>46087.602233796293</v>
      </c>
    </row>
    <row r="4278" spans="1:7" x14ac:dyDescent="0.3">
      <c r="A4278">
        <v>11435</v>
      </c>
      <c r="B4278" t="s">
        <v>148</v>
      </c>
      <c r="C4278">
        <v>51008413</v>
      </c>
      <c r="D4278">
        <v>60.586154726687816</v>
      </c>
      <c r="E4278" t="s">
        <v>94</v>
      </c>
      <c r="F4278">
        <v>656</v>
      </c>
      <c r="G4278" s="4">
        <v>46087.602233796293</v>
      </c>
    </row>
    <row r="4279" spans="1:7" x14ac:dyDescent="0.3">
      <c r="A4279">
        <v>11436</v>
      </c>
      <c r="B4279" t="s">
        <v>148</v>
      </c>
      <c r="C4279">
        <v>51018265</v>
      </c>
      <c r="D4279">
        <v>89.903907554493188</v>
      </c>
      <c r="E4279" t="s">
        <v>92</v>
      </c>
      <c r="F4279">
        <v>126</v>
      </c>
      <c r="G4279" s="4">
        <v>46087.602233796293</v>
      </c>
    </row>
    <row r="4280" spans="1:7" x14ac:dyDescent="0.3">
      <c r="A4280">
        <v>11437</v>
      </c>
      <c r="B4280" t="s">
        <v>148</v>
      </c>
      <c r="C4280">
        <v>51022050</v>
      </c>
      <c r="D4280">
        <v>50.86440047267552</v>
      </c>
      <c r="E4280" t="s">
        <v>94</v>
      </c>
      <c r="F4280">
        <v>815</v>
      </c>
      <c r="G4280" s="4">
        <v>46087.602233796293</v>
      </c>
    </row>
    <row r="4281" spans="1:7" x14ac:dyDescent="0.3">
      <c r="A4281">
        <v>11438</v>
      </c>
      <c r="B4281" t="s">
        <v>148</v>
      </c>
      <c r="C4281">
        <v>51016076</v>
      </c>
      <c r="D4281">
        <v>58.119130999784154</v>
      </c>
      <c r="E4281" t="s">
        <v>94</v>
      </c>
      <c r="F4281">
        <v>716</v>
      </c>
      <c r="G4281" s="4">
        <v>46087.602233796293</v>
      </c>
    </row>
    <row r="4282" spans="1:7" x14ac:dyDescent="0.3">
      <c r="A4282">
        <v>11439</v>
      </c>
      <c r="B4282" t="s">
        <v>148</v>
      </c>
      <c r="C4282">
        <v>51014634</v>
      </c>
      <c r="D4282">
        <v>81.18145495307617</v>
      </c>
      <c r="E4282" t="s">
        <v>93</v>
      </c>
      <c r="F4282">
        <v>373</v>
      </c>
      <c r="G4282" s="4">
        <v>46087.602233796293</v>
      </c>
    </row>
    <row r="4283" spans="1:7" x14ac:dyDescent="0.3">
      <c r="A4283">
        <v>11440</v>
      </c>
      <c r="B4283" t="s">
        <v>148</v>
      </c>
      <c r="C4283">
        <v>51004655</v>
      </c>
      <c r="D4283">
        <v>79.640782358397288</v>
      </c>
      <c r="E4283" t="s">
        <v>93</v>
      </c>
      <c r="F4283">
        <v>412</v>
      </c>
      <c r="G4283" s="4">
        <v>46087.602233796293</v>
      </c>
    </row>
    <row r="4284" spans="1:7" x14ac:dyDescent="0.3">
      <c r="A4284">
        <v>11441</v>
      </c>
      <c r="B4284" t="s">
        <v>148</v>
      </c>
      <c r="C4284">
        <v>51030974</v>
      </c>
      <c r="D4284">
        <v>29.876999999999999</v>
      </c>
      <c r="E4284" t="s">
        <v>94</v>
      </c>
      <c r="F4284">
        <v>944</v>
      </c>
      <c r="G4284" s="4">
        <v>46087.602233796293</v>
      </c>
    </row>
    <row r="4285" spans="1:7" x14ac:dyDescent="0.3">
      <c r="A4285">
        <v>11442</v>
      </c>
      <c r="B4285" t="s">
        <v>148</v>
      </c>
      <c r="C4285">
        <v>51056787</v>
      </c>
      <c r="D4285">
        <v>77.545239282024625</v>
      </c>
      <c r="E4285" t="s">
        <v>93</v>
      </c>
      <c r="F4285">
        <v>446</v>
      </c>
      <c r="G4285" s="4">
        <v>46087.602233796293</v>
      </c>
    </row>
    <row r="4286" spans="1:7" x14ac:dyDescent="0.3">
      <c r="A4286">
        <v>11443</v>
      </c>
      <c r="B4286" t="s">
        <v>148</v>
      </c>
      <c r="C4286">
        <v>51032802</v>
      </c>
      <c r="D4286">
        <v>79.536690074891851</v>
      </c>
      <c r="E4286" t="s">
        <v>93</v>
      </c>
      <c r="F4286">
        <v>415</v>
      </c>
      <c r="G4286" s="4">
        <v>46087.602233796293</v>
      </c>
    </row>
    <row r="4287" spans="1:7" x14ac:dyDescent="0.3">
      <c r="A4287">
        <v>11444</v>
      </c>
      <c r="B4287" t="s">
        <v>148</v>
      </c>
      <c r="C4287">
        <v>51043677</v>
      </c>
      <c r="D4287">
        <v>80.241474639739181</v>
      </c>
      <c r="E4287" t="s">
        <v>93</v>
      </c>
      <c r="F4287">
        <v>398</v>
      </c>
      <c r="G4287" s="4">
        <v>46087.602233796293</v>
      </c>
    </row>
    <row r="4288" spans="1:7" x14ac:dyDescent="0.3">
      <c r="A4288">
        <v>11445</v>
      </c>
      <c r="B4288" t="s">
        <v>148</v>
      </c>
      <c r="C4288">
        <v>51022467</v>
      </c>
      <c r="D4288">
        <v>56.01950318608538</v>
      </c>
      <c r="E4288" t="s">
        <v>94</v>
      </c>
      <c r="F4288">
        <v>765</v>
      </c>
      <c r="G4288" s="4">
        <v>46087.602233796293</v>
      </c>
    </row>
    <row r="4289" spans="1:7" x14ac:dyDescent="0.3">
      <c r="A4289">
        <v>11446</v>
      </c>
      <c r="B4289" t="s">
        <v>148</v>
      </c>
      <c r="C4289">
        <v>51055225</v>
      </c>
      <c r="D4289">
        <v>86.810037998693119</v>
      </c>
      <c r="E4289" t="s">
        <v>92</v>
      </c>
      <c r="F4289">
        <v>207</v>
      </c>
      <c r="G4289" s="4">
        <v>46087.602233796293</v>
      </c>
    </row>
    <row r="4290" spans="1:7" x14ac:dyDescent="0.3">
      <c r="A4290">
        <v>11447</v>
      </c>
      <c r="B4290" t="s">
        <v>148</v>
      </c>
      <c r="C4290">
        <v>51041666</v>
      </c>
      <c r="D4290">
        <v>21.960483536162336</v>
      </c>
      <c r="E4290" t="s">
        <v>95</v>
      </c>
      <c r="F4290">
        <v>1001</v>
      </c>
      <c r="G4290" s="4">
        <v>46087.602233796293</v>
      </c>
    </row>
    <row r="4291" spans="1:7" x14ac:dyDescent="0.3">
      <c r="A4291">
        <v>11448</v>
      </c>
      <c r="B4291" t="s">
        <v>148</v>
      </c>
      <c r="C4291">
        <v>51024753</v>
      </c>
      <c r="D4291">
        <v>60.610299676943207</v>
      </c>
      <c r="E4291" t="s">
        <v>94</v>
      </c>
      <c r="F4291">
        <v>655</v>
      </c>
      <c r="G4291" s="4">
        <v>46087.602233796293</v>
      </c>
    </row>
    <row r="4292" spans="1:7" x14ac:dyDescent="0.3">
      <c r="A4292">
        <v>11449</v>
      </c>
      <c r="B4292" t="s">
        <v>148</v>
      </c>
      <c r="C4292">
        <v>51023901</v>
      </c>
      <c r="D4292">
        <v>71.612082276849293</v>
      </c>
      <c r="E4292" t="s">
        <v>93</v>
      </c>
      <c r="F4292">
        <v>526</v>
      </c>
      <c r="G4292" s="4">
        <v>46087.602233796293</v>
      </c>
    </row>
    <row r="4293" spans="1:7" x14ac:dyDescent="0.3">
      <c r="A4293">
        <v>11450</v>
      </c>
      <c r="B4293" t="s">
        <v>148</v>
      </c>
      <c r="C4293">
        <v>51038401</v>
      </c>
      <c r="D4293">
        <v>84.775039595517399</v>
      </c>
      <c r="E4293" t="s">
        <v>93</v>
      </c>
      <c r="F4293">
        <v>262</v>
      </c>
      <c r="G4293" s="4">
        <v>46087.602233796293</v>
      </c>
    </row>
    <row r="4294" spans="1:7" x14ac:dyDescent="0.3">
      <c r="A4294">
        <v>11451</v>
      </c>
      <c r="B4294" t="s">
        <v>148</v>
      </c>
      <c r="C4294">
        <v>51023226</v>
      </c>
      <c r="D4294">
        <v>81.745502311213841</v>
      </c>
      <c r="E4294" t="s">
        <v>93</v>
      </c>
      <c r="F4294">
        <v>358</v>
      </c>
      <c r="G4294" s="4">
        <v>46087.602233796293</v>
      </c>
    </row>
    <row r="4295" spans="1:7" x14ac:dyDescent="0.3">
      <c r="A4295">
        <v>11452</v>
      </c>
      <c r="B4295" t="s">
        <v>148</v>
      </c>
      <c r="C4295">
        <v>51019717</v>
      </c>
      <c r="D4295">
        <v>55.67421770973386</v>
      </c>
      <c r="E4295" t="s">
        <v>94</v>
      </c>
      <c r="F4295">
        <v>772</v>
      </c>
      <c r="G4295" s="4">
        <v>46087.602233796293</v>
      </c>
    </row>
    <row r="4296" spans="1:7" x14ac:dyDescent="0.3">
      <c r="A4296">
        <v>11453</v>
      </c>
      <c r="B4296" t="s">
        <v>148</v>
      </c>
      <c r="C4296">
        <v>51007115</v>
      </c>
      <c r="D4296">
        <v>79.836679309749854</v>
      </c>
      <c r="E4296" t="s">
        <v>93</v>
      </c>
      <c r="F4296">
        <v>407</v>
      </c>
      <c r="G4296" s="4">
        <v>46087.602233796293</v>
      </c>
    </row>
    <row r="4297" spans="1:7" x14ac:dyDescent="0.3">
      <c r="A4297">
        <v>11454</v>
      </c>
      <c r="B4297" t="s">
        <v>148</v>
      </c>
      <c r="C4297">
        <v>51016637</v>
      </c>
      <c r="D4297">
        <v>84.472651555006323</v>
      </c>
      <c r="E4297" t="s">
        <v>93</v>
      </c>
      <c r="F4297">
        <v>274</v>
      </c>
      <c r="G4297" s="4">
        <v>46087.602233796293</v>
      </c>
    </row>
    <row r="4298" spans="1:7" x14ac:dyDescent="0.3">
      <c r="A4298">
        <v>11455</v>
      </c>
      <c r="B4298" t="s">
        <v>148</v>
      </c>
      <c r="C4298">
        <v>51023439</v>
      </c>
      <c r="D4298">
        <v>90.475844822797569</v>
      </c>
      <c r="E4298" t="s">
        <v>92</v>
      </c>
      <c r="F4298">
        <v>113</v>
      </c>
      <c r="G4298" s="4">
        <v>46087.602233796293</v>
      </c>
    </row>
    <row r="4299" spans="1:7" x14ac:dyDescent="0.3">
      <c r="A4299">
        <v>11456</v>
      </c>
      <c r="B4299" t="s">
        <v>148</v>
      </c>
      <c r="C4299">
        <v>51031334</v>
      </c>
      <c r="D4299">
        <v>57.800879711341388</v>
      </c>
      <c r="E4299" t="s">
        <v>94</v>
      </c>
      <c r="F4299">
        <v>723</v>
      </c>
      <c r="G4299" s="4">
        <v>46087.602233796293</v>
      </c>
    </row>
    <row r="4300" spans="1:7" x14ac:dyDescent="0.3">
      <c r="A4300">
        <v>11457</v>
      </c>
      <c r="B4300" t="s">
        <v>148</v>
      </c>
      <c r="C4300">
        <v>51005368</v>
      </c>
      <c r="D4300">
        <v>76.884694456178977</v>
      </c>
      <c r="E4300" t="s">
        <v>93</v>
      </c>
      <c r="F4300">
        <v>454</v>
      </c>
      <c r="G4300" s="4">
        <v>46087.602233796293</v>
      </c>
    </row>
    <row r="4301" spans="1:7" x14ac:dyDescent="0.3">
      <c r="A4301">
        <v>11458</v>
      </c>
      <c r="B4301" t="s">
        <v>148</v>
      </c>
      <c r="C4301">
        <v>51023803</v>
      </c>
      <c r="D4301">
        <v>100</v>
      </c>
      <c r="E4301" t="s">
        <v>275</v>
      </c>
      <c r="F4301">
        <v>1</v>
      </c>
      <c r="G4301" s="4">
        <v>46087.602233796293</v>
      </c>
    </row>
    <row r="4302" spans="1:7" x14ac:dyDescent="0.3">
      <c r="A4302">
        <v>11459</v>
      </c>
      <c r="B4302" t="s">
        <v>148</v>
      </c>
      <c r="C4302">
        <v>51016777</v>
      </c>
      <c r="D4302">
        <v>82.064761606700344</v>
      </c>
      <c r="E4302" t="s">
        <v>93</v>
      </c>
      <c r="F4302">
        <v>345</v>
      </c>
      <c r="G4302" s="4">
        <v>46087.602233796293</v>
      </c>
    </row>
    <row r="4303" spans="1:7" x14ac:dyDescent="0.3">
      <c r="A4303">
        <v>11460</v>
      </c>
      <c r="B4303" t="s">
        <v>148</v>
      </c>
      <c r="C4303">
        <v>51056094</v>
      </c>
      <c r="D4303">
        <v>56.284012312992779</v>
      </c>
      <c r="E4303" t="s">
        <v>94</v>
      </c>
      <c r="F4303">
        <v>758</v>
      </c>
      <c r="G4303" s="4">
        <v>46087.602233796293</v>
      </c>
    </row>
    <row r="4304" spans="1:7" x14ac:dyDescent="0.3">
      <c r="A4304">
        <v>11461</v>
      </c>
      <c r="B4304" t="s">
        <v>148</v>
      </c>
      <c r="C4304">
        <v>51018044</v>
      </c>
      <c r="D4304">
        <v>21.9786</v>
      </c>
      <c r="E4304" t="s">
        <v>95</v>
      </c>
      <c r="F4304">
        <v>1000</v>
      </c>
      <c r="G4304" s="4">
        <v>46087.602233796293</v>
      </c>
    </row>
    <row r="4305" spans="1:7" x14ac:dyDescent="0.3">
      <c r="A4305">
        <v>11462</v>
      </c>
      <c r="B4305" t="s">
        <v>148</v>
      </c>
      <c r="C4305">
        <v>51031318</v>
      </c>
      <c r="D4305">
        <v>85.402554645869031</v>
      </c>
      <c r="E4305" t="s">
        <v>93</v>
      </c>
      <c r="F4305">
        <v>246</v>
      </c>
      <c r="G4305" s="4">
        <v>46087.602233796293</v>
      </c>
    </row>
    <row r="4306" spans="1:7" x14ac:dyDescent="0.3">
      <c r="A4306">
        <v>11463</v>
      </c>
      <c r="B4306" t="s">
        <v>148</v>
      </c>
      <c r="C4306">
        <v>51031750</v>
      </c>
      <c r="D4306">
        <v>90.649867697224181</v>
      </c>
      <c r="E4306" t="s">
        <v>92</v>
      </c>
      <c r="F4306">
        <v>112</v>
      </c>
      <c r="G4306" s="4">
        <v>46087.602233796293</v>
      </c>
    </row>
    <row r="4307" spans="1:7" x14ac:dyDescent="0.3">
      <c r="A4307">
        <v>11464</v>
      </c>
      <c r="B4307" t="s">
        <v>148</v>
      </c>
      <c r="C4307">
        <v>51032063</v>
      </c>
      <c r="D4307">
        <v>82.943669119214178</v>
      </c>
      <c r="E4307" t="s">
        <v>93</v>
      </c>
      <c r="F4307">
        <v>323</v>
      </c>
      <c r="G4307" s="4">
        <v>46087.602233796293</v>
      </c>
    </row>
    <row r="4308" spans="1:7" x14ac:dyDescent="0.3">
      <c r="A4308">
        <v>11465</v>
      </c>
      <c r="B4308" t="s">
        <v>148</v>
      </c>
      <c r="C4308">
        <v>51029232</v>
      </c>
      <c r="D4308">
        <v>11.732000000000001</v>
      </c>
      <c r="E4308" t="s">
        <v>95</v>
      </c>
      <c r="F4308">
        <v>1145</v>
      </c>
      <c r="G4308" s="4">
        <v>46087.602233796293</v>
      </c>
    </row>
    <row r="4309" spans="1:7" x14ac:dyDescent="0.3">
      <c r="A4309">
        <v>11466</v>
      </c>
      <c r="B4309" t="s">
        <v>148</v>
      </c>
      <c r="C4309">
        <v>51035879</v>
      </c>
      <c r="D4309">
        <v>74.838486425889855</v>
      </c>
      <c r="E4309" t="s">
        <v>93</v>
      </c>
      <c r="F4309">
        <v>482</v>
      </c>
      <c r="G4309" s="4">
        <v>46087.602233796293</v>
      </c>
    </row>
    <row r="4310" spans="1:7" x14ac:dyDescent="0.3">
      <c r="A4310">
        <v>11467</v>
      </c>
      <c r="B4310" t="s">
        <v>148</v>
      </c>
      <c r="C4310">
        <v>51001044</v>
      </c>
      <c r="D4310">
        <v>85.424720956911514</v>
      </c>
      <c r="E4310" t="s">
        <v>93</v>
      </c>
      <c r="F4310">
        <v>245</v>
      </c>
      <c r="G4310" s="4">
        <v>46087.602233796293</v>
      </c>
    </row>
    <row r="4311" spans="1:7" x14ac:dyDescent="0.3">
      <c r="A4311">
        <v>11468</v>
      </c>
      <c r="B4311" t="s">
        <v>148</v>
      </c>
      <c r="C4311">
        <v>51028929</v>
      </c>
      <c r="D4311">
        <v>72.737430021991543</v>
      </c>
      <c r="E4311" t="s">
        <v>93</v>
      </c>
      <c r="F4311">
        <v>504</v>
      </c>
      <c r="G4311" s="4">
        <v>46087.602233796293</v>
      </c>
    </row>
    <row r="4312" spans="1:7" x14ac:dyDescent="0.3">
      <c r="A4312">
        <v>11469</v>
      </c>
      <c r="B4312" t="s">
        <v>148</v>
      </c>
      <c r="C4312">
        <v>51054873</v>
      </c>
      <c r="D4312">
        <v>52.489200004344944</v>
      </c>
      <c r="E4312" t="s">
        <v>94</v>
      </c>
      <c r="F4312">
        <v>804</v>
      </c>
      <c r="G4312" s="4">
        <v>46087.602233796293</v>
      </c>
    </row>
    <row r="4313" spans="1:7" x14ac:dyDescent="0.3">
      <c r="A4313">
        <v>11470</v>
      </c>
      <c r="B4313" t="s">
        <v>148</v>
      </c>
      <c r="C4313">
        <v>51013913</v>
      </c>
      <c r="D4313">
        <v>68.557093862274428</v>
      </c>
      <c r="E4313" t="s">
        <v>93</v>
      </c>
      <c r="F4313">
        <v>564</v>
      </c>
      <c r="G4313" s="4">
        <v>46087.602233796293</v>
      </c>
    </row>
    <row r="4314" spans="1:7" x14ac:dyDescent="0.3">
      <c r="A4314">
        <v>11471</v>
      </c>
      <c r="B4314" t="s">
        <v>148</v>
      </c>
      <c r="C4314">
        <v>51033302</v>
      </c>
      <c r="D4314">
        <v>30.215592924933794</v>
      </c>
      <c r="E4314" t="s">
        <v>94</v>
      </c>
      <c r="F4314">
        <v>940</v>
      </c>
      <c r="G4314" s="4">
        <v>46087.602233796293</v>
      </c>
    </row>
    <row r="4315" spans="1:7" x14ac:dyDescent="0.3">
      <c r="A4315">
        <v>11472</v>
      </c>
      <c r="B4315" t="s">
        <v>148</v>
      </c>
      <c r="C4315">
        <v>51054806</v>
      </c>
      <c r="D4315">
        <v>86.888759908215818</v>
      </c>
      <c r="E4315" t="s">
        <v>92</v>
      </c>
      <c r="F4315">
        <v>204</v>
      </c>
      <c r="G4315" s="4">
        <v>46087.602233796293</v>
      </c>
    </row>
    <row r="4316" spans="1:7" x14ac:dyDescent="0.3">
      <c r="A4316">
        <v>11473</v>
      </c>
      <c r="B4316" t="s">
        <v>148</v>
      </c>
      <c r="C4316">
        <v>51030567</v>
      </c>
      <c r="D4316">
        <v>72.553000658831394</v>
      </c>
      <c r="E4316" t="s">
        <v>93</v>
      </c>
      <c r="F4316">
        <v>507</v>
      </c>
      <c r="G4316" s="4">
        <v>46087.602233796293</v>
      </c>
    </row>
    <row r="4317" spans="1:7" x14ac:dyDescent="0.3">
      <c r="A4317">
        <v>11474</v>
      </c>
      <c r="B4317" t="s">
        <v>148</v>
      </c>
      <c r="C4317">
        <v>51014375</v>
      </c>
      <c r="D4317">
        <v>64.489735776956763</v>
      </c>
      <c r="E4317" t="s">
        <v>94</v>
      </c>
      <c r="F4317">
        <v>608</v>
      </c>
      <c r="G4317" s="4">
        <v>46087.602233796293</v>
      </c>
    </row>
    <row r="4318" spans="1:7" x14ac:dyDescent="0.3">
      <c r="A4318">
        <v>11475</v>
      </c>
      <c r="B4318" t="s">
        <v>148</v>
      </c>
      <c r="C4318">
        <v>51056337</v>
      </c>
      <c r="D4318">
        <v>83.308207546191312</v>
      </c>
      <c r="E4318" t="s">
        <v>93</v>
      </c>
      <c r="F4318">
        <v>305</v>
      </c>
      <c r="G4318" s="4">
        <v>46087.602233796293</v>
      </c>
    </row>
    <row r="4319" spans="1:7" x14ac:dyDescent="0.3">
      <c r="A4319">
        <v>11476</v>
      </c>
      <c r="B4319" t="s">
        <v>148</v>
      </c>
      <c r="C4319">
        <v>51054938</v>
      </c>
      <c r="D4319">
        <v>78.423787986782983</v>
      </c>
      <c r="E4319" t="s">
        <v>93</v>
      </c>
      <c r="F4319">
        <v>440</v>
      </c>
      <c r="G4319" s="4">
        <v>46087.602233796293</v>
      </c>
    </row>
    <row r="4320" spans="1:7" x14ac:dyDescent="0.3">
      <c r="A4320">
        <v>11477</v>
      </c>
      <c r="B4320" t="s">
        <v>148</v>
      </c>
      <c r="C4320">
        <v>51024834</v>
      </c>
      <c r="D4320">
        <v>45.968217613229413</v>
      </c>
      <c r="E4320" t="s">
        <v>94</v>
      </c>
      <c r="F4320">
        <v>859</v>
      </c>
      <c r="G4320" s="4">
        <v>46087.602233796293</v>
      </c>
    </row>
    <row r="4321" spans="1:7" x14ac:dyDescent="0.3">
      <c r="A4321">
        <v>11478</v>
      </c>
      <c r="B4321" t="s">
        <v>148</v>
      </c>
      <c r="C4321">
        <v>51016831</v>
      </c>
      <c r="D4321">
        <v>81.549806152295815</v>
      </c>
      <c r="E4321" t="s">
        <v>93</v>
      </c>
      <c r="F4321">
        <v>363</v>
      </c>
      <c r="G4321" s="4">
        <v>46087.602233796293</v>
      </c>
    </row>
    <row r="4322" spans="1:7" x14ac:dyDescent="0.3">
      <c r="A4322">
        <v>11479</v>
      </c>
      <c r="B4322" t="s">
        <v>148</v>
      </c>
      <c r="C4322">
        <v>51023927</v>
      </c>
      <c r="D4322">
        <v>91.211779048124427</v>
      </c>
      <c r="E4322" t="s">
        <v>92</v>
      </c>
      <c r="F4322">
        <v>102</v>
      </c>
      <c r="G4322" s="4">
        <v>46087.602233796293</v>
      </c>
    </row>
    <row r="4323" spans="1:7" x14ac:dyDescent="0.3">
      <c r="A4323">
        <v>11480</v>
      </c>
      <c r="B4323" t="s">
        <v>148</v>
      </c>
      <c r="C4323">
        <v>51020111</v>
      </c>
      <c r="D4323">
        <v>56.953045221328559</v>
      </c>
      <c r="E4323" t="s">
        <v>94</v>
      </c>
      <c r="F4323">
        <v>739</v>
      </c>
      <c r="G4323" s="4">
        <v>46087.602233796293</v>
      </c>
    </row>
    <row r="4324" spans="1:7" x14ac:dyDescent="0.3">
      <c r="A4324">
        <v>11481</v>
      </c>
      <c r="B4324" t="s">
        <v>148</v>
      </c>
      <c r="C4324">
        <v>51055250</v>
      </c>
      <c r="D4324">
        <v>57.215431578006395</v>
      </c>
      <c r="E4324" t="s">
        <v>94</v>
      </c>
      <c r="F4324">
        <v>735</v>
      </c>
      <c r="G4324" s="4">
        <v>46087.602233796293</v>
      </c>
    </row>
    <row r="4325" spans="1:7" x14ac:dyDescent="0.3">
      <c r="A4325">
        <v>11482</v>
      </c>
      <c r="B4325" t="s">
        <v>148</v>
      </c>
      <c r="C4325">
        <v>51018036</v>
      </c>
      <c r="D4325">
        <v>58.393020297928636</v>
      </c>
      <c r="E4325" t="s">
        <v>94</v>
      </c>
      <c r="F4325">
        <v>708</v>
      </c>
      <c r="G4325" s="4">
        <v>46087.602233796293</v>
      </c>
    </row>
    <row r="4326" spans="1:7" x14ac:dyDescent="0.3">
      <c r="A4326">
        <v>11483</v>
      </c>
      <c r="B4326" t="s">
        <v>148</v>
      </c>
      <c r="C4326">
        <v>51009797</v>
      </c>
      <c r="D4326">
        <v>84.737984141508605</v>
      </c>
      <c r="E4326" t="s">
        <v>93</v>
      </c>
      <c r="F4326">
        <v>263</v>
      </c>
      <c r="G4326" s="4">
        <v>46087.602233796293</v>
      </c>
    </row>
    <row r="4327" spans="1:7" x14ac:dyDescent="0.3">
      <c r="A4327">
        <v>11484</v>
      </c>
      <c r="B4327" t="s">
        <v>148</v>
      </c>
      <c r="C4327">
        <v>51041917</v>
      </c>
      <c r="D4327">
        <v>56.515759739590344</v>
      </c>
      <c r="E4327" t="s">
        <v>94</v>
      </c>
      <c r="F4327">
        <v>751</v>
      </c>
      <c r="G4327" s="4">
        <v>46087.602233796293</v>
      </c>
    </row>
    <row r="4328" spans="1:7" x14ac:dyDescent="0.3">
      <c r="A4328">
        <v>11485</v>
      </c>
      <c r="B4328" t="s">
        <v>148</v>
      </c>
      <c r="C4328">
        <v>51017846</v>
      </c>
      <c r="D4328">
        <v>59.385551099094009</v>
      </c>
      <c r="E4328" t="s">
        <v>94</v>
      </c>
      <c r="F4328">
        <v>681</v>
      </c>
      <c r="G4328" s="4">
        <v>46087.602233796293</v>
      </c>
    </row>
    <row r="4329" spans="1:7" x14ac:dyDescent="0.3">
      <c r="A4329">
        <v>11486</v>
      </c>
      <c r="B4329" t="s">
        <v>148</v>
      </c>
      <c r="C4329">
        <v>51015851</v>
      </c>
      <c r="D4329">
        <v>87.678487851802075</v>
      </c>
      <c r="E4329" t="s">
        <v>92</v>
      </c>
      <c r="F4329">
        <v>183</v>
      </c>
      <c r="G4329" s="4">
        <v>46087.602233796293</v>
      </c>
    </row>
    <row r="4330" spans="1:7" x14ac:dyDescent="0.3">
      <c r="A4330">
        <v>11487</v>
      </c>
      <c r="B4330" t="s">
        <v>148</v>
      </c>
      <c r="C4330">
        <v>51036603</v>
      </c>
      <c r="D4330">
        <v>25.816958376285321</v>
      </c>
      <c r="E4330" t="s">
        <v>95</v>
      </c>
      <c r="F4330">
        <v>975</v>
      </c>
      <c r="G4330" s="4">
        <v>46087.602233796293</v>
      </c>
    </row>
    <row r="4331" spans="1:7" x14ac:dyDescent="0.3">
      <c r="A4331">
        <v>11488</v>
      </c>
      <c r="B4331" t="s">
        <v>148</v>
      </c>
      <c r="C4331">
        <v>51020910</v>
      </c>
      <c r="D4331">
        <v>83.326879841996174</v>
      </c>
      <c r="E4331" t="s">
        <v>93</v>
      </c>
      <c r="F4331">
        <v>304</v>
      </c>
      <c r="G4331" s="4">
        <v>46087.602233796293</v>
      </c>
    </row>
    <row r="4332" spans="1:7" x14ac:dyDescent="0.3">
      <c r="A4332">
        <v>11489</v>
      </c>
      <c r="B4332" t="s">
        <v>148</v>
      </c>
      <c r="C4332">
        <v>51031326</v>
      </c>
      <c r="D4332">
        <v>50.136369096103529</v>
      </c>
      <c r="E4332" t="s">
        <v>94</v>
      </c>
      <c r="F4332">
        <v>825</v>
      </c>
      <c r="G4332" s="4">
        <v>46087.602233796293</v>
      </c>
    </row>
    <row r="4333" spans="1:7" x14ac:dyDescent="0.3">
      <c r="A4333">
        <v>11490</v>
      </c>
      <c r="B4333" t="s">
        <v>148</v>
      </c>
      <c r="C4333">
        <v>51033604</v>
      </c>
      <c r="D4333">
        <v>95.065267200815882</v>
      </c>
      <c r="E4333" t="s">
        <v>275</v>
      </c>
      <c r="F4333">
        <v>51</v>
      </c>
      <c r="G4333" s="4">
        <v>46087.602233796293</v>
      </c>
    </row>
    <row r="4334" spans="1:7" x14ac:dyDescent="0.3">
      <c r="A4334">
        <v>11491</v>
      </c>
      <c r="B4334" t="s">
        <v>148</v>
      </c>
      <c r="C4334">
        <v>51026217</v>
      </c>
      <c r="D4334">
        <v>42.270062355497693</v>
      </c>
      <c r="E4334" t="s">
        <v>94</v>
      </c>
      <c r="F4334">
        <v>877</v>
      </c>
      <c r="G4334" s="4">
        <v>46087.602233796293</v>
      </c>
    </row>
    <row r="4335" spans="1:7" x14ac:dyDescent="0.3">
      <c r="A4335">
        <v>11492</v>
      </c>
      <c r="B4335" t="s">
        <v>148</v>
      </c>
      <c r="C4335">
        <v>51039165</v>
      </c>
      <c r="D4335">
        <v>67.528604749309878</v>
      </c>
      <c r="E4335" t="s">
        <v>93</v>
      </c>
      <c r="F4335">
        <v>580</v>
      </c>
      <c r="G4335" s="4">
        <v>46087.602233796293</v>
      </c>
    </row>
    <row r="4336" spans="1:7" x14ac:dyDescent="0.3">
      <c r="A4336">
        <v>11493</v>
      </c>
      <c r="B4336" t="s">
        <v>148</v>
      </c>
      <c r="C4336">
        <v>51006844</v>
      </c>
      <c r="D4336">
        <v>49.693993719265187</v>
      </c>
      <c r="E4336" t="s">
        <v>94</v>
      </c>
      <c r="F4336">
        <v>827</v>
      </c>
      <c r="G4336" s="4">
        <v>46087.602233796293</v>
      </c>
    </row>
    <row r="4337" spans="1:7" x14ac:dyDescent="0.3">
      <c r="A4337">
        <v>11494</v>
      </c>
      <c r="B4337" t="s">
        <v>148</v>
      </c>
      <c r="C4337">
        <v>51020995</v>
      </c>
      <c r="D4337">
        <v>51.612008280618355</v>
      </c>
      <c r="E4337" t="s">
        <v>94</v>
      </c>
      <c r="F4337">
        <v>813</v>
      </c>
      <c r="G4337" s="4">
        <v>46087.602233796293</v>
      </c>
    </row>
    <row r="4338" spans="1:7" x14ac:dyDescent="0.3">
      <c r="A4338">
        <v>11495</v>
      </c>
      <c r="B4338" t="s">
        <v>148</v>
      </c>
      <c r="C4338">
        <v>51023251</v>
      </c>
      <c r="D4338">
        <v>82.123553441026118</v>
      </c>
      <c r="E4338" t="s">
        <v>93</v>
      </c>
      <c r="F4338">
        <v>343</v>
      </c>
      <c r="G4338" s="4">
        <v>46087.602233796293</v>
      </c>
    </row>
    <row r="4339" spans="1:7" x14ac:dyDescent="0.3">
      <c r="A4339">
        <v>11496</v>
      </c>
      <c r="B4339" t="s">
        <v>148</v>
      </c>
      <c r="C4339">
        <v>51010205</v>
      </c>
      <c r="D4339">
        <v>19.092738301804161</v>
      </c>
      <c r="E4339" t="s">
        <v>95</v>
      </c>
      <c r="F4339">
        <v>1037</v>
      </c>
      <c r="G4339" s="4">
        <v>46087.602233796293</v>
      </c>
    </row>
    <row r="4340" spans="1:7" x14ac:dyDescent="0.3">
      <c r="A4340">
        <v>11497</v>
      </c>
      <c r="B4340" t="s">
        <v>148</v>
      </c>
      <c r="C4340">
        <v>51056922</v>
      </c>
      <c r="D4340">
        <v>80.096307850981475</v>
      </c>
      <c r="E4340" t="s">
        <v>93</v>
      </c>
      <c r="F4340">
        <v>401</v>
      </c>
      <c r="G4340" s="4">
        <v>46087.602233796293</v>
      </c>
    </row>
    <row r="4341" spans="1:7" x14ac:dyDescent="0.3">
      <c r="A4341">
        <v>11498</v>
      </c>
      <c r="B4341" t="s">
        <v>148</v>
      </c>
      <c r="C4341">
        <v>51056299</v>
      </c>
      <c r="D4341">
        <v>34.317800000000005</v>
      </c>
      <c r="E4341" t="s">
        <v>94</v>
      </c>
      <c r="F4341">
        <v>910</v>
      </c>
      <c r="G4341" s="4">
        <v>46087.602233796293</v>
      </c>
    </row>
    <row r="4342" spans="1:7" x14ac:dyDescent="0.3">
      <c r="A4342">
        <v>11499</v>
      </c>
      <c r="B4342" t="s">
        <v>148</v>
      </c>
      <c r="C4342">
        <v>51010175</v>
      </c>
      <c r="D4342">
        <v>67.851956653631603</v>
      </c>
      <c r="E4342" t="s">
        <v>93</v>
      </c>
      <c r="F4342">
        <v>575</v>
      </c>
      <c r="G4342" s="4">
        <v>46087.602233796293</v>
      </c>
    </row>
    <row r="4343" spans="1:7" x14ac:dyDescent="0.3">
      <c r="A4343">
        <v>11500</v>
      </c>
      <c r="B4343" t="s">
        <v>148</v>
      </c>
      <c r="C4343">
        <v>51015355</v>
      </c>
      <c r="D4343">
        <v>60.837153476641589</v>
      </c>
      <c r="E4343" t="s">
        <v>94</v>
      </c>
      <c r="F4343">
        <v>651</v>
      </c>
      <c r="G4343" s="4">
        <v>46087.602233796293</v>
      </c>
    </row>
    <row r="4344" spans="1:7" x14ac:dyDescent="0.3">
      <c r="A4344">
        <v>11501</v>
      </c>
      <c r="B4344" t="s">
        <v>148</v>
      </c>
      <c r="C4344">
        <v>51010191</v>
      </c>
      <c r="D4344">
        <v>34.097999999999999</v>
      </c>
      <c r="E4344" t="s">
        <v>94</v>
      </c>
      <c r="F4344">
        <v>913</v>
      </c>
      <c r="G4344" s="4">
        <v>46087.602233796293</v>
      </c>
    </row>
    <row r="4345" spans="1:7" x14ac:dyDescent="0.3">
      <c r="A4345">
        <v>11502</v>
      </c>
      <c r="B4345" t="s">
        <v>148</v>
      </c>
      <c r="C4345">
        <v>51013051</v>
      </c>
      <c r="D4345">
        <v>20.971979766200352</v>
      </c>
      <c r="E4345" t="s">
        <v>95</v>
      </c>
      <c r="F4345">
        <v>1012</v>
      </c>
      <c r="G4345" s="4">
        <v>46087.602233796293</v>
      </c>
    </row>
    <row r="4346" spans="1:7" x14ac:dyDescent="0.3">
      <c r="A4346">
        <v>11503</v>
      </c>
      <c r="B4346" t="s">
        <v>148</v>
      </c>
      <c r="C4346">
        <v>51032632</v>
      </c>
      <c r="D4346">
        <v>49.780166191585259</v>
      </c>
      <c r="E4346" t="s">
        <v>94</v>
      </c>
      <c r="F4346">
        <v>826</v>
      </c>
      <c r="G4346" s="4">
        <v>46087.602233796293</v>
      </c>
    </row>
    <row r="4347" spans="1:7" x14ac:dyDescent="0.3">
      <c r="A4347">
        <v>11504</v>
      </c>
      <c r="B4347" t="s">
        <v>148</v>
      </c>
      <c r="C4347">
        <v>51026322</v>
      </c>
      <c r="D4347">
        <v>26.9</v>
      </c>
      <c r="E4347" t="s">
        <v>95</v>
      </c>
      <c r="F4347">
        <v>969</v>
      </c>
      <c r="G4347" s="4">
        <v>46087.602233796293</v>
      </c>
    </row>
    <row r="4348" spans="1:7" x14ac:dyDescent="0.3">
      <c r="A4348">
        <v>11505</v>
      </c>
      <c r="B4348" t="s">
        <v>148</v>
      </c>
      <c r="C4348">
        <v>51019555</v>
      </c>
      <c r="D4348">
        <v>53.363856893785702</v>
      </c>
      <c r="E4348" t="s">
        <v>94</v>
      </c>
      <c r="F4348">
        <v>797</v>
      </c>
      <c r="G4348" s="4">
        <v>46087.602233796293</v>
      </c>
    </row>
    <row r="4349" spans="1:7" x14ac:dyDescent="0.3">
      <c r="A4349">
        <v>11506</v>
      </c>
      <c r="B4349" t="s">
        <v>148</v>
      </c>
      <c r="C4349">
        <v>51009991</v>
      </c>
      <c r="D4349">
        <v>94.709960060179668</v>
      </c>
      <c r="E4349" t="s">
        <v>275</v>
      </c>
      <c r="F4349">
        <v>57</v>
      </c>
      <c r="G4349" s="4">
        <v>46087.602233796293</v>
      </c>
    </row>
    <row r="4350" spans="1:7" x14ac:dyDescent="0.3">
      <c r="A4350">
        <v>11507</v>
      </c>
      <c r="B4350" t="s">
        <v>148</v>
      </c>
      <c r="C4350">
        <v>51025822</v>
      </c>
      <c r="D4350">
        <v>47.108704814941582</v>
      </c>
      <c r="E4350" t="s">
        <v>94</v>
      </c>
      <c r="F4350">
        <v>847</v>
      </c>
      <c r="G4350" s="4">
        <v>46087.602233796293</v>
      </c>
    </row>
    <row r="4351" spans="1:7" x14ac:dyDescent="0.3">
      <c r="A4351">
        <v>11508</v>
      </c>
      <c r="B4351" t="s">
        <v>148</v>
      </c>
      <c r="C4351">
        <v>51012500</v>
      </c>
      <c r="D4351">
        <v>43.637816205268265</v>
      </c>
      <c r="E4351" t="s">
        <v>94</v>
      </c>
      <c r="F4351">
        <v>874</v>
      </c>
      <c r="G4351" s="4">
        <v>46087.602233796293</v>
      </c>
    </row>
    <row r="4352" spans="1:7" x14ac:dyDescent="0.3">
      <c r="A4352">
        <v>11509</v>
      </c>
      <c r="B4352" t="s">
        <v>148</v>
      </c>
      <c r="C4352">
        <v>51015797</v>
      </c>
      <c r="D4352">
        <v>88.65351853312653</v>
      </c>
      <c r="E4352" t="s">
        <v>92</v>
      </c>
      <c r="F4352">
        <v>163</v>
      </c>
      <c r="G4352" s="4">
        <v>46087.602233796293</v>
      </c>
    </row>
    <row r="4353" spans="1:7" x14ac:dyDescent="0.3">
      <c r="A4353">
        <v>11510</v>
      </c>
      <c r="B4353" t="s">
        <v>148</v>
      </c>
      <c r="C4353">
        <v>51014782</v>
      </c>
      <c r="D4353">
        <v>81.858363701510171</v>
      </c>
      <c r="E4353" t="s">
        <v>93</v>
      </c>
      <c r="F4353">
        <v>352</v>
      </c>
      <c r="G4353" s="4">
        <v>46087.602233796293</v>
      </c>
    </row>
    <row r="4354" spans="1:7" x14ac:dyDescent="0.3">
      <c r="A4354">
        <v>11511</v>
      </c>
      <c r="B4354" t="s">
        <v>148</v>
      </c>
      <c r="C4354">
        <v>51013077</v>
      </c>
      <c r="D4354">
        <v>87.583919417788948</v>
      </c>
      <c r="E4354" t="s">
        <v>92</v>
      </c>
      <c r="F4354">
        <v>187</v>
      </c>
      <c r="G4354" s="4">
        <v>46087.602233796293</v>
      </c>
    </row>
    <row r="4355" spans="1:7" x14ac:dyDescent="0.3">
      <c r="A4355">
        <v>11512</v>
      </c>
      <c r="B4355" t="s">
        <v>148</v>
      </c>
      <c r="C4355">
        <v>51002539</v>
      </c>
      <c r="D4355">
        <v>94.32640366073214</v>
      </c>
      <c r="E4355" t="s">
        <v>92</v>
      </c>
      <c r="F4355">
        <v>62</v>
      </c>
      <c r="G4355" s="4">
        <v>46087.602233796293</v>
      </c>
    </row>
    <row r="4356" spans="1:7" x14ac:dyDescent="0.3">
      <c r="A4356">
        <v>11513</v>
      </c>
      <c r="B4356" t="s">
        <v>148</v>
      </c>
      <c r="C4356">
        <v>51031806</v>
      </c>
      <c r="D4356">
        <v>46.023260484574479</v>
      </c>
      <c r="E4356" t="s">
        <v>94</v>
      </c>
      <c r="F4356">
        <v>858</v>
      </c>
      <c r="G4356" s="4">
        <v>46087.602233796293</v>
      </c>
    </row>
    <row r="4357" spans="1:7" x14ac:dyDescent="0.3">
      <c r="A4357">
        <v>11514</v>
      </c>
      <c r="B4357" t="s">
        <v>148</v>
      </c>
      <c r="C4357">
        <v>51044410</v>
      </c>
      <c r="D4357">
        <v>60.215448020556515</v>
      </c>
      <c r="E4357" t="s">
        <v>94</v>
      </c>
      <c r="F4357">
        <v>664</v>
      </c>
      <c r="G4357" s="4">
        <v>46087.602233796293</v>
      </c>
    </row>
    <row r="4358" spans="1:7" x14ac:dyDescent="0.3">
      <c r="A4358">
        <v>11515</v>
      </c>
      <c r="B4358" t="s">
        <v>148</v>
      </c>
      <c r="C4358">
        <v>51033248</v>
      </c>
      <c r="D4358">
        <v>67.632861715887074</v>
      </c>
      <c r="E4358" t="s">
        <v>93</v>
      </c>
      <c r="F4358">
        <v>579</v>
      </c>
      <c r="G4358" s="4">
        <v>46087.602233796293</v>
      </c>
    </row>
    <row r="4359" spans="1:7" x14ac:dyDescent="0.3">
      <c r="A4359">
        <v>11516</v>
      </c>
      <c r="B4359" t="s">
        <v>148</v>
      </c>
      <c r="C4359">
        <v>51025318</v>
      </c>
      <c r="D4359">
        <v>40.67839851208609</v>
      </c>
      <c r="E4359" t="s">
        <v>94</v>
      </c>
      <c r="F4359">
        <v>885</v>
      </c>
      <c r="G4359" s="4">
        <v>46087.602233796293</v>
      </c>
    </row>
    <row r="4360" spans="1:7" x14ac:dyDescent="0.3">
      <c r="A4360">
        <v>11517</v>
      </c>
      <c r="B4360" t="s">
        <v>148</v>
      </c>
      <c r="C4360">
        <v>51031687</v>
      </c>
      <c r="D4360">
        <v>82.305647038270266</v>
      </c>
      <c r="E4360" t="s">
        <v>93</v>
      </c>
      <c r="F4360">
        <v>340</v>
      </c>
      <c r="G4360" s="4">
        <v>46087.602233796293</v>
      </c>
    </row>
    <row r="4361" spans="1:7" x14ac:dyDescent="0.3">
      <c r="A4361">
        <v>11518</v>
      </c>
      <c r="B4361" t="s">
        <v>148</v>
      </c>
      <c r="C4361">
        <v>51055861</v>
      </c>
      <c r="D4361">
        <v>58.937956681227085</v>
      </c>
      <c r="E4361" t="s">
        <v>94</v>
      </c>
      <c r="F4361">
        <v>693</v>
      </c>
      <c r="G4361" s="4">
        <v>46087.602233796293</v>
      </c>
    </row>
    <row r="4362" spans="1:7" x14ac:dyDescent="0.3">
      <c r="A4362">
        <v>11519</v>
      </c>
      <c r="B4362" t="s">
        <v>148</v>
      </c>
      <c r="C4362">
        <v>51019407</v>
      </c>
      <c r="D4362">
        <v>80.764665306876083</v>
      </c>
      <c r="E4362" t="s">
        <v>93</v>
      </c>
      <c r="F4362">
        <v>384</v>
      </c>
      <c r="G4362" s="4">
        <v>46087.602233796293</v>
      </c>
    </row>
    <row r="4363" spans="1:7" x14ac:dyDescent="0.3">
      <c r="A4363">
        <v>11520</v>
      </c>
      <c r="B4363" t="s">
        <v>148</v>
      </c>
      <c r="C4363">
        <v>51012411</v>
      </c>
      <c r="D4363">
        <v>83.858440363263398</v>
      </c>
      <c r="E4363" t="s">
        <v>93</v>
      </c>
      <c r="F4363">
        <v>289</v>
      </c>
      <c r="G4363" s="4">
        <v>46087.602233796293</v>
      </c>
    </row>
    <row r="4364" spans="1:7" x14ac:dyDescent="0.3">
      <c r="A4364">
        <v>11521</v>
      </c>
      <c r="B4364" t="s">
        <v>148</v>
      </c>
      <c r="C4364">
        <v>51020171</v>
      </c>
      <c r="D4364">
        <v>78.938579057524521</v>
      </c>
      <c r="E4364" t="s">
        <v>93</v>
      </c>
      <c r="F4364">
        <v>431</v>
      </c>
      <c r="G4364" s="4">
        <v>46087.602233796293</v>
      </c>
    </row>
    <row r="4365" spans="1:7" x14ac:dyDescent="0.3">
      <c r="A4365">
        <v>11522</v>
      </c>
      <c r="B4365" t="s">
        <v>148</v>
      </c>
      <c r="C4365">
        <v>51029488</v>
      </c>
      <c r="D4365">
        <v>27.977510617132783</v>
      </c>
      <c r="E4365" t="s">
        <v>95</v>
      </c>
      <c r="F4365">
        <v>964</v>
      </c>
      <c r="G4365" s="4">
        <v>46087.602233796293</v>
      </c>
    </row>
    <row r="4366" spans="1:7" x14ac:dyDescent="0.3">
      <c r="A4366">
        <v>11523</v>
      </c>
      <c r="B4366" t="s">
        <v>148</v>
      </c>
      <c r="C4366">
        <v>51017633</v>
      </c>
      <c r="D4366">
        <v>86.478330324764386</v>
      </c>
      <c r="E4366" t="s">
        <v>92</v>
      </c>
      <c r="F4366">
        <v>215</v>
      </c>
      <c r="G4366" s="4">
        <v>46087.602233796293</v>
      </c>
    </row>
    <row r="4367" spans="1:7" x14ac:dyDescent="0.3">
      <c r="A4367">
        <v>11524</v>
      </c>
      <c r="B4367" t="s">
        <v>148</v>
      </c>
      <c r="C4367">
        <v>51056663</v>
      </c>
      <c r="D4367">
        <v>70.507097725829681</v>
      </c>
      <c r="E4367" t="s">
        <v>93</v>
      </c>
      <c r="F4367">
        <v>538</v>
      </c>
      <c r="G4367" s="4">
        <v>46087.602233796293</v>
      </c>
    </row>
    <row r="4368" spans="1:7" x14ac:dyDescent="0.3">
      <c r="A4368">
        <v>11525</v>
      </c>
      <c r="B4368" t="s">
        <v>148</v>
      </c>
      <c r="C4368">
        <v>51026063</v>
      </c>
      <c r="D4368">
        <v>87.275601519532799</v>
      </c>
      <c r="E4368" t="s">
        <v>92</v>
      </c>
      <c r="F4368">
        <v>193</v>
      </c>
      <c r="G4368" s="4">
        <v>46087.602233796293</v>
      </c>
    </row>
    <row r="4369" spans="1:7" x14ac:dyDescent="0.3">
      <c r="A4369">
        <v>11526</v>
      </c>
      <c r="B4369" t="s">
        <v>148</v>
      </c>
      <c r="C4369">
        <v>51043995</v>
      </c>
      <c r="D4369">
        <v>83.602446004874153</v>
      </c>
      <c r="E4369" t="s">
        <v>93</v>
      </c>
      <c r="F4369">
        <v>295</v>
      </c>
      <c r="G4369" s="4">
        <v>46087.602233796293</v>
      </c>
    </row>
    <row r="4370" spans="1:7" x14ac:dyDescent="0.3">
      <c r="A4370">
        <v>11527</v>
      </c>
      <c r="B4370" t="s">
        <v>148</v>
      </c>
      <c r="C4370">
        <v>51011074</v>
      </c>
      <c r="D4370">
        <v>93.525203093851189</v>
      </c>
      <c r="E4370" t="s">
        <v>92</v>
      </c>
      <c r="F4370">
        <v>65</v>
      </c>
      <c r="G4370" s="4">
        <v>46087.602233796293</v>
      </c>
    </row>
    <row r="4371" spans="1:7" x14ac:dyDescent="0.3">
      <c r="A4371">
        <v>11528</v>
      </c>
      <c r="B4371" t="s">
        <v>148</v>
      </c>
      <c r="C4371">
        <v>51003225</v>
      </c>
      <c r="D4371">
        <v>89.359878847985826</v>
      </c>
      <c r="E4371" t="s">
        <v>92</v>
      </c>
      <c r="F4371">
        <v>141</v>
      </c>
      <c r="G4371" s="4">
        <v>46087.602233796293</v>
      </c>
    </row>
    <row r="4372" spans="1:7" x14ac:dyDescent="0.3">
      <c r="A4372">
        <v>11529</v>
      </c>
      <c r="B4372" t="s">
        <v>148</v>
      </c>
      <c r="C4372">
        <v>51024966</v>
      </c>
      <c r="D4372">
        <v>79.25900909201998</v>
      </c>
      <c r="E4372" t="s">
        <v>93</v>
      </c>
      <c r="F4372">
        <v>422</v>
      </c>
      <c r="G4372" s="4">
        <v>46087.602233796293</v>
      </c>
    </row>
    <row r="4373" spans="1:7" x14ac:dyDescent="0.3">
      <c r="A4373">
        <v>11530</v>
      </c>
      <c r="B4373" t="s">
        <v>148</v>
      </c>
      <c r="C4373">
        <v>51038673</v>
      </c>
      <c r="D4373">
        <v>52.522565806393196</v>
      </c>
      <c r="E4373" t="s">
        <v>94</v>
      </c>
      <c r="F4373">
        <v>803</v>
      </c>
      <c r="G4373" s="4">
        <v>46087.602233796293</v>
      </c>
    </row>
    <row r="4374" spans="1:7" x14ac:dyDescent="0.3">
      <c r="A4374">
        <v>11531</v>
      </c>
      <c r="B4374" t="s">
        <v>148</v>
      </c>
      <c r="C4374">
        <v>51013271</v>
      </c>
      <c r="D4374">
        <v>85.479777198822134</v>
      </c>
      <c r="E4374" t="s">
        <v>93</v>
      </c>
      <c r="F4374">
        <v>242</v>
      </c>
      <c r="G4374" s="4">
        <v>46087.602233796293</v>
      </c>
    </row>
    <row r="4375" spans="1:7" x14ac:dyDescent="0.3">
      <c r="A4375">
        <v>11532</v>
      </c>
      <c r="B4375" t="s">
        <v>148</v>
      </c>
      <c r="C4375">
        <v>51038894</v>
      </c>
      <c r="D4375">
        <v>76.228231802435573</v>
      </c>
      <c r="E4375" t="s">
        <v>93</v>
      </c>
      <c r="F4375">
        <v>468</v>
      </c>
      <c r="G4375" s="4">
        <v>46087.602233796293</v>
      </c>
    </row>
    <row r="4376" spans="1:7" x14ac:dyDescent="0.3">
      <c r="A4376">
        <v>11533</v>
      </c>
      <c r="B4376" t="s">
        <v>148</v>
      </c>
      <c r="C4376">
        <v>51021843</v>
      </c>
      <c r="D4376">
        <v>82.666256185537506</v>
      </c>
      <c r="E4376" t="s">
        <v>93</v>
      </c>
      <c r="F4376">
        <v>333</v>
      </c>
      <c r="G4376" s="4">
        <v>46087.602233796293</v>
      </c>
    </row>
    <row r="4377" spans="1:7" x14ac:dyDescent="0.3">
      <c r="A4377">
        <v>11534</v>
      </c>
      <c r="B4377" t="s">
        <v>148</v>
      </c>
      <c r="C4377">
        <v>51024109</v>
      </c>
      <c r="D4377">
        <v>80.705707221857438</v>
      </c>
      <c r="E4377" t="s">
        <v>93</v>
      </c>
      <c r="F4377">
        <v>389</v>
      </c>
      <c r="G4377" s="4">
        <v>46087.602233796293</v>
      </c>
    </row>
    <row r="4378" spans="1:7" x14ac:dyDescent="0.3">
      <c r="A4378">
        <v>11535</v>
      </c>
      <c r="B4378" t="s">
        <v>148</v>
      </c>
      <c r="C4378">
        <v>51056159</v>
      </c>
      <c r="D4378">
        <v>99.382054890314194</v>
      </c>
      <c r="E4378" t="s">
        <v>275</v>
      </c>
      <c r="F4378">
        <v>18</v>
      </c>
      <c r="G4378" s="4">
        <v>46087.602233796293</v>
      </c>
    </row>
    <row r="4379" spans="1:7" x14ac:dyDescent="0.3">
      <c r="A4379">
        <v>11536</v>
      </c>
      <c r="B4379" t="s">
        <v>148</v>
      </c>
      <c r="C4379">
        <v>51036981</v>
      </c>
      <c r="D4379">
        <v>58.467113313072261</v>
      </c>
      <c r="E4379" t="s">
        <v>94</v>
      </c>
      <c r="F4379">
        <v>702</v>
      </c>
      <c r="G4379" s="4">
        <v>46087.602233796293</v>
      </c>
    </row>
    <row r="4380" spans="1:7" x14ac:dyDescent="0.3">
      <c r="A4380">
        <v>11537</v>
      </c>
      <c r="B4380" t="s">
        <v>148</v>
      </c>
      <c r="C4380">
        <v>51032519</v>
      </c>
      <c r="D4380">
        <v>58.454836944714657</v>
      </c>
      <c r="E4380" t="s">
        <v>94</v>
      </c>
      <c r="F4380">
        <v>705</v>
      </c>
      <c r="G4380" s="4">
        <v>46087.602233796293</v>
      </c>
    </row>
    <row r="4381" spans="1:7" x14ac:dyDescent="0.3">
      <c r="A4381">
        <v>11538</v>
      </c>
      <c r="B4381" t="s">
        <v>148</v>
      </c>
      <c r="C4381">
        <v>51055519</v>
      </c>
      <c r="D4381">
        <v>33.119778247711388</v>
      </c>
      <c r="E4381" t="s">
        <v>94</v>
      </c>
      <c r="F4381">
        <v>918</v>
      </c>
      <c r="G4381" s="4">
        <v>46087.602233796293</v>
      </c>
    </row>
    <row r="4382" spans="1:7" x14ac:dyDescent="0.3">
      <c r="A4382">
        <v>11539</v>
      </c>
      <c r="B4382" t="s">
        <v>148</v>
      </c>
      <c r="C4382">
        <v>51032969</v>
      </c>
      <c r="D4382">
        <v>55.905194549599813</v>
      </c>
      <c r="E4382" t="s">
        <v>94</v>
      </c>
      <c r="F4382">
        <v>768</v>
      </c>
      <c r="G4382" s="4">
        <v>46087.602233796293</v>
      </c>
    </row>
    <row r="4383" spans="1:7" x14ac:dyDescent="0.3">
      <c r="A4383">
        <v>11540</v>
      </c>
      <c r="B4383" t="s">
        <v>148</v>
      </c>
      <c r="C4383">
        <v>51017587</v>
      </c>
      <c r="D4383">
        <v>72.95879372358533</v>
      </c>
      <c r="E4383" t="s">
        <v>93</v>
      </c>
      <c r="F4383">
        <v>498</v>
      </c>
      <c r="G4383" s="4">
        <v>46087.602233796293</v>
      </c>
    </row>
    <row r="4384" spans="1:7" x14ac:dyDescent="0.3">
      <c r="A4384">
        <v>11541</v>
      </c>
      <c r="B4384" t="s">
        <v>148</v>
      </c>
      <c r="C4384">
        <v>51018214</v>
      </c>
      <c r="D4384">
        <v>67.076427580567696</v>
      </c>
      <c r="E4384" t="s">
        <v>93</v>
      </c>
      <c r="F4384">
        <v>587</v>
      </c>
      <c r="G4384" s="4">
        <v>46087.602233796293</v>
      </c>
    </row>
    <row r="4385" spans="1:7" x14ac:dyDescent="0.3">
      <c r="A4385">
        <v>11542</v>
      </c>
      <c r="B4385" t="s">
        <v>148</v>
      </c>
      <c r="C4385">
        <v>51016661</v>
      </c>
      <c r="D4385">
        <v>72.75327666914076</v>
      </c>
      <c r="E4385" t="s">
        <v>93</v>
      </c>
      <c r="F4385">
        <v>503</v>
      </c>
      <c r="G4385" s="4">
        <v>46087.602233796293</v>
      </c>
    </row>
    <row r="4386" spans="1:7" x14ac:dyDescent="0.3">
      <c r="A4386">
        <v>11543</v>
      </c>
      <c r="B4386" t="s">
        <v>148</v>
      </c>
      <c r="C4386">
        <v>51002296</v>
      </c>
      <c r="D4386">
        <v>68.97343659238453</v>
      </c>
      <c r="E4386" t="s">
        <v>93</v>
      </c>
      <c r="F4386">
        <v>558</v>
      </c>
      <c r="G4386" s="4">
        <v>46087.602233796293</v>
      </c>
    </row>
    <row r="4387" spans="1:7" x14ac:dyDescent="0.3">
      <c r="A4387">
        <v>11544</v>
      </c>
      <c r="B4387" t="s">
        <v>148</v>
      </c>
      <c r="C4387">
        <v>51016998</v>
      </c>
      <c r="D4387">
        <v>21.102422918739453</v>
      </c>
      <c r="E4387" t="s">
        <v>95</v>
      </c>
      <c r="F4387">
        <v>1008</v>
      </c>
      <c r="G4387" s="4">
        <v>46087.602233796293</v>
      </c>
    </row>
    <row r="4388" spans="1:7" x14ac:dyDescent="0.3">
      <c r="A4388">
        <v>11545</v>
      </c>
      <c r="B4388" t="s">
        <v>148</v>
      </c>
      <c r="C4388">
        <v>51005325</v>
      </c>
      <c r="D4388">
        <v>41.358261163122393</v>
      </c>
      <c r="E4388" t="s">
        <v>94</v>
      </c>
      <c r="F4388">
        <v>883</v>
      </c>
      <c r="G4388" s="4">
        <v>46087.602233796293</v>
      </c>
    </row>
    <row r="4389" spans="1:7" x14ac:dyDescent="0.3">
      <c r="A4389">
        <v>11546</v>
      </c>
      <c r="B4389" t="s">
        <v>148</v>
      </c>
      <c r="C4389">
        <v>51011937</v>
      </c>
      <c r="D4389">
        <v>37.310716820466254</v>
      </c>
      <c r="E4389" t="s">
        <v>94</v>
      </c>
      <c r="F4389">
        <v>894</v>
      </c>
      <c r="G4389" s="4">
        <v>46087.602233796293</v>
      </c>
    </row>
    <row r="4390" spans="1:7" x14ac:dyDescent="0.3">
      <c r="A4390">
        <v>11547</v>
      </c>
      <c r="B4390" t="s">
        <v>148</v>
      </c>
      <c r="C4390">
        <v>51033191</v>
      </c>
      <c r="D4390">
        <v>82.709717196734601</v>
      </c>
      <c r="E4390" t="s">
        <v>93</v>
      </c>
      <c r="F4390">
        <v>331</v>
      </c>
      <c r="G4390" s="4">
        <v>46087.602233796293</v>
      </c>
    </row>
    <row r="4391" spans="1:7" x14ac:dyDescent="0.3">
      <c r="A4391">
        <v>11548</v>
      </c>
      <c r="B4391" t="s">
        <v>148</v>
      </c>
      <c r="C4391">
        <v>51032560</v>
      </c>
      <c r="D4391">
        <v>91.190441041279129</v>
      </c>
      <c r="E4391" t="s">
        <v>92</v>
      </c>
      <c r="F4391">
        <v>103</v>
      </c>
      <c r="G4391" s="4">
        <v>46087.602233796293</v>
      </c>
    </row>
    <row r="4392" spans="1:7" x14ac:dyDescent="0.3">
      <c r="A4392">
        <v>11549</v>
      </c>
      <c r="B4392" t="s">
        <v>148</v>
      </c>
      <c r="C4392">
        <v>51056302</v>
      </c>
      <c r="D4392">
        <v>66.24068818970153</v>
      </c>
      <c r="E4392" t="s">
        <v>93</v>
      </c>
      <c r="F4392">
        <v>593</v>
      </c>
      <c r="G4392" s="4">
        <v>46087.602233796293</v>
      </c>
    </row>
    <row r="4393" spans="1:7" x14ac:dyDescent="0.3">
      <c r="A4393">
        <v>11550</v>
      </c>
      <c r="B4393" t="s">
        <v>148</v>
      </c>
      <c r="C4393">
        <v>51032659</v>
      </c>
      <c r="D4393">
        <v>70.23242023819239</v>
      </c>
      <c r="E4393" t="s">
        <v>93</v>
      </c>
      <c r="F4393">
        <v>543</v>
      </c>
      <c r="G4393" s="4">
        <v>46087.602233796293</v>
      </c>
    </row>
    <row r="4394" spans="1:7" x14ac:dyDescent="0.3">
      <c r="A4394">
        <v>11551</v>
      </c>
      <c r="B4394" t="s">
        <v>148</v>
      </c>
      <c r="C4394">
        <v>51017129</v>
      </c>
      <c r="D4394">
        <v>53.31402712883186</v>
      </c>
      <c r="E4394" t="s">
        <v>94</v>
      </c>
      <c r="F4394">
        <v>798</v>
      </c>
      <c r="G4394" s="4">
        <v>46087.602233796293</v>
      </c>
    </row>
    <row r="4395" spans="1:7" x14ac:dyDescent="0.3">
      <c r="A4395">
        <v>11552</v>
      </c>
      <c r="B4395" t="s">
        <v>148</v>
      </c>
      <c r="C4395">
        <v>51036191</v>
      </c>
      <c r="D4395">
        <v>58.155318551523109</v>
      </c>
      <c r="E4395" t="s">
        <v>94</v>
      </c>
      <c r="F4395">
        <v>715</v>
      </c>
      <c r="G4395" s="4">
        <v>46087.602233796293</v>
      </c>
    </row>
    <row r="4396" spans="1:7" x14ac:dyDescent="0.3">
      <c r="A4396">
        <v>11553</v>
      </c>
      <c r="B4396" t="s">
        <v>148</v>
      </c>
      <c r="C4396">
        <v>51011562</v>
      </c>
      <c r="D4396">
        <v>60.903212753761899</v>
      </c>
      <c r="E4396" t="s">
        <v>94</v>
      </c>
      <c r="F4396">
        <v>649</v>
      </c>
      <c r="G4396" s="4">
        <v>46087.602233796293</v>
      </c>
    </row>
    <row r="4397" spans="1:7" x14ac:dyDescent="0.3">
      <c r="A4397">
        <v>11554</v>
      </c>
      <c r="B4397" t="s">
        <v>148</v>
      </c>
      <c r="C4397">
        <v>51018346</v>
      </c>
      <c r="D4397">
        <v>100</v>
      </c>
      <c r="E4397" t="s">
        <v>275</v>
      </c>
      <c r="F4397">
        <v>1</v>
      </c>
      <c r="G4397" s="4">
        <v>46087.602233796293</v>
      </c>
    </row>
    <row r="4398" spans="1:7" x14ac:dyDescent="0.3">
      <c r="A4398">
        <v>11555</v>
      </c>
      <c r="B4398" t="s">
        <v>148</v>
      </c>
      <c r="C4398">
        <v>51042514</v>
      </c>
      <c r="D4398">
        <v>56.057881111677737</v>
      </c>
      <c r="E4398" t="s">
        <v>94</v>
      </c>
      <c r="F4398">
        <v>764</v>
      </c>
      <c r="G4398" s="4">
        <v>46087.602233796293</v>
      </c>
    </row>
    <row r="4399" spans="1:7" x14ac:dyDescent="0.3">
      <c r="A4399">
        <v>11556</v>
      </c>
      <c r="B4399" t="s">
        <v>148</v>
      </c>
      <c r="C4399">
        <v>51056906</v>
      </c>
      <c r="D4399">
        <v>86.848839226391505</v>
      </c>
      <c r="E4399" t="s">
        <v>92</v>
      </c>
      <c r="F4399">
        <v>206</v>
      </c>
      <c r="G4399" s="4">
        <v>46087.602233796293</v>
      </c>
    </row>
    <row r="4400" spans="1:7" x14ac:dyDescent="0.3">
      <c r="A4400">
        <v>11557</v>
      </c>
      <c r="B4400" t="s">
        <v>148</v>
      </c>
      <c r="C4400">
        <v>51043375</v>
      </c>
      <c r="D4400">
        <v>88.704802041391105</v>
      </c>
      <c r="E4400" t="s">
        <v>92</v>
      </c>
      <c r="F4400">
        <v>160</v>
      </c>
      <c r="G4400" s="4">
        <v>46087.602233796293</v>
      </c>
    </row>
    <row r="4401" spans="1:7" x14ac:dyDescent="0.3">
      <c r="A4401">
        <v>11558</v>
      </c>
      <c r="B4401" t="s">
        <v>148</v>
      </c>
      <c r="C4401">
        <v>51055691</v>
      </c>
      <c r="D4401">
        <v>58.232981329706071</v>
      </c>
      <c r="E4401" t="s">
        <v>94</v>
      </c>
      <c r="F4401">
        <v>714</v>
      </c>
      <c r="G4401" s="4">
        <v>46087.602233796293</v>
      </c>
    </row>
    <row r="4402" spans="1:7" x14ac:dyDescent="0.3">
      <c r="A4402">
        <v>11559</v>
      </c>
      <c r="B4402" t="s">
        <v>148</v>
      </c>
      <c r="C4402">
        <v>51018958</v>
      </c>
      <c r="D4402">
        <v>79.520278927716404</v>
      </c>
      <c r="E4402" t="s">
        <v>93</v>
      </c>
      <c r="F4402">
        <v>416</v>
      </c>
      <c r="G4402" s="4">
        <v>46087.602233796293</v>
      </c>
    </row>
    <row r="4403" spans="1:7" x14ac:dyDescent="0.3">
      <c r="A4403">
        <v>11560</v>
      </c>
      <c r="B4403" t="s">
        <v>148</v>
      </c>
      <c r="C4403">
        <v>51054903</v>
      </c>
      <c r="D4403">
        <v>85.392553849347351</v>
      </c>
      <c r="E4403" t="s">
        <v>93</v>
      </c>
      <c r="F4403">
        <v>248</v>
      </c>
      <c r="G4403" s="4">
        <v>46087.602233796293</v>
      </c>
    </row>
    <row r="4404" spans="1:7" x14ac:dyDescent="0.3">
      <c r="A4404">
        <v>11561</v>
      </c>
      <c r="B4404" t="s">
        <v>148</v>
      </c>
      <c r="C4404">
        <v>51022084</v>
      </c>
      <c r="D4404">
        <v>57.31551859453262</v>
      </c>
      <c r="E4404" t="s">
        <v>94</v>
      </c>
      <c r="F4404">
        <v>733</v>
      </c>
      <c r="G4404" s="4">
        <v>46087.602233796293</v>
      </c>
    </row>
    <row r="4405" spans="1:7" x14ac:dyDescent="0.3">
      <c r="A4405">
        <v>11562</v>
      </c>
      <c r="B4405" t="s">
        <v>148</v>
      </c>
      <c r="C4405">
        <v>51019202</v>
      </c>
      <c r="D4405">
        <v>84.286391307614309</v>
      </c>
      <c r="E4405" t="s">
        <v>93</v>
      </c>
      <c r="F4405">
        <v>279</v>
      </c>
      <c r="G4405" s="4">
        <v>46087.602233796293</v>
      </c>
    </row>
    <row r="4406" spans="1:7" x14ac:dyDescent="0.3">
      <c r="A4406">
        <v>11563</v>
      </c>
      <c r="B4406" t="s">
        <v>148</v>
      </c>
      <c r="C4406">
        <v>51054920</v>
      </c>
      <c r="D4406">
        <v>25.798000000000002</v>
      </c>
      <c r="E4406" t="s">
        <v>95</v>
      </c>
      <c r="F4406">
        <v>976</v>
      </c>
      <c r="G4406" s="4">
        <v>46087.602233796293</v>
      </c>
    </row>
    <row r="4407" spans="1:7" x14ac:dyDescent="0.3">
      <c r="A4407">
        <v>11564</v>
      </c>
      <c r="B4407" t="s">
        <v>148</v>
      </c>
      <c r="C4407">
        <v>51010663</v>
      </c>
      <c r="D4407">
        <v>91.432619727925115</v>
      </c>
      <c r="E4407" t="s">
        <v>92</v>
      </c>
      <c r="F4407">
        <v>97</v>
      </c>
      <c r="G4407" s="4">
        <v>46087.602233796293</v>
      </c>
    </row>
    <row r="4408" spans="1:7" x14ac:dyDescent="0.3">
      <c r="A4408">
        <v>11565</v>
      </c>
      <c r="B4408" t="s">
        <v>148</v>
      </c>
      <c r="C4408">
        <v>51016866</v>
      </c>
      <c r="D4408">
        <v>55.475298057628123</v>
      </c>
      <c r="E4408" t="s">
        <v>94</v>
      </c>
      <c r="F4408">
        <v>775</v>
      </c>
      <c r="G4408" s="4">
        <v>46087.602233796293</v>
      </c>
    </row>
    <row r="4409" spans="1:7" x14ac:dyDescent="0.3">
      <c r="A4409">
        <v>11566</v>
      </c>
      <c r="B4409" t="s">
        <v>148</v>
      </c>
      <c r="C4409">
        <v>51030184</v>
      </c>
      <c r="D4409">
        <v>46.162648546437751</v>
      </c>
      <c r="E4409" t="s">
        <v>94</v>
      </c>
      <c r="F4409">
        <v>854</v>
      </c>
      <c r="G4409" s="4">
        <v>46087.602233796293</v>
      </c>
    </row>
    <row r="4410" spans="1:7" x14ac:dyDescent="0.3">
      <c r="A4410">
        <v>11567</v>
      </c>
      <c r="B4410" t="s">
        <v>148</v>
      </c>
      <c r="C4410">
        <v>51015428</v>
      </c>
      <c r="D4410">
        <v>59.340872027411578</v>
      </c>
      <c r="E4410" t="s">
        <v>94</v>
      </c>
      <c r="F4410">
        <v>685</v>
      </c>
      <c r="G4410" s="4">
        <v>46087.602233796293</v>
      </c>
    </row>
    <row r="4411" spans="1:7" x14ac:dyDescent="0.3">
      <c r="A4411">
        <v>11568</v>
      </c>
      <c r="B4411" t="s">
        <v>148</v>
      </c>
      <c r="C4411">
        <v>51036557</v>
      </c>
      <c r="D4411">
        <v>57.360397542363302</v>
      </c>
      <c r="E4411" t="s">
        <v>94</v>
      </c>
      <c r="F4411">
        <v>729</v>
      </c>
      <c r="G4411" s="4">
        <v>46087.602233796293</v>
      </c>
    </row>
    <row r="4412" spans="1:7" x14ac:dyDescent="0.3">
      <c r="A4412">
        <v>11569</v>
      </c>
      <c r="B4412" t="s">
        <v>148</v>
      </c>
      <c r="C4412">
        <v>51056175</v>
      </c>
      <c r="D4412">
        <v>32.198</v>
      </c>
      <c r="E4412" t="s">
        <v>94</v>
      </c>
      <c r="F4412">
        <v>926</v>
      </c>
      <c r="G4412" s="4">
        <v>46087.602233796293</v>
      </c>
    </row>
    <row r="4413" spans="1:7" x14ac:dyDescent="0.3">
      <c r="A4413">
        <v>11570</v>
      </c>
      <c r="B4413" t="s">
        <v>148</v>
      </c>
      <c r="C4413">
        <v>51039190</v>
      </c>
      <c r="D4413">
        <v>24.829890726270392</v>
      </c>
      <c r="E4413" t="s">
        <v>95</v>
      </c>
      <c r="F4413">
        <v>985</v>
      </c>
      <c r="G4413" s="4">
        <v>46087.602233796293</v>
      </c>
    </row>
    <row r="4414" spans="1:7" x14ac:dyDescent="0.3">
      <c r="A4414">
        <v>11571</v>
      </c>
      <c r="B4414" t="s">
        <v>148</v>
      </c>
      <c r="C4414">
        <v>51056604</v>
      </c>
      <c r="D4414">
        <v>74.705699653327542</v>
      </c>
      <c r="E4414" t="s">
        <v>93</v>
      </c>
      <c r="F4414">
        <v>486</v>
      </c>
      <c r="G4414" s="4">
        <v>46087.602233796293</v>
      </c>
    </row>
    <row r="4415" spans="1:7" x14ac:dyDescent="0.3">
      <c r="A4415">
        <v>11572</v>
      </c>
      <c r="B4415" t="s">
        <v>148</v>
      </c>
      <c r="C4415">
        <v>51021789</v>
      </c>
      <c r="D4415">
        <v>29.915600000000005</v>
      </c>
      <c r="E4415" t="s">
        <v>94</v>
      </c>
      <c r="F4415">
        <v>943</v>
      </c>
      <c r="G4415" s="4">
        <v>46087.602233796293</v>
      </c>
    </row>
    <row r="4416" spans="1:7" x14ac:dyDescent="0.3">
      <c r="A4416">
        <v>11573</v>
      </c>
      <c r="B4416" t="s">
        <v>148</v>
      </c>
      <c r="C4416">
        <v>51056795</v>
      </c>
      <c r="D4416">
        <v>29.695563230191482</v>
      </c>
      <c r="E4416" t="s">
        <v>94</v>
      </c>
      <c r="F4416">
        <v>949</v>
      </c>
      <c r="G4416" s="4">
        <v>46087.602233796293</v>
      </c>
    </row>
    <row r="4417" spans="1:7" x14ac:dyDescent="0.3">
      <c r="A4417">
        <v>11574</v>
      </c>
      <c r="B4417" t="s">
        <v>148</v>
      </c>
      <c r="C4417">
        <v>51056931</v>
      </c>
      <c r="D4417">
        <v>45.271822665449918</v>
      </c>
      <c r="E4417" t="s">
        <v>94</v>
      </c>
      <c r="F4417">
        <v>865</v>
      </c>
      <c r="G4417" s="4">
        <v>46087.602233796293</v>
      </c>
    </row>
    <row r="4418" spans="1:7" x14ac:dyDescent="0.3">
      <c r="A4418">
        <v>11575</v>
      </c>
      <c r="B4418" t="s">
        <v>148</v>
      </c>
      <c r="C4418">
        <v>51014120</v>
      </c>
      <c r="D4418">
        <v>78.936578576180139</v>
      </c>
      <c r="E4418" t="s">
        <v>93</v>
      </c>
      <c r="F4418">
        <v>432</v>
      </c>
      <c r="G4418" s="4">
        <v>46087.602233796293</v>
      </c>
    </row>
    <row r="4419" spans="1:7" x14ac:dyDescent="0.3">
      <c r="A4419">
        <v>11576</v>
      </c>
      <c r="B4419" t="s">
        <v>148</v>
      </c>
      <c r="C4419">
        <v>51036182</v>
      </c>
      <c r="D4419">
        <v>64.130665810844675</v>
      </c>
      <c r="E4419" t="s">
        <v>94</v>
      </c>
      <c r="F4419">
        <v>611</v>
      </c>
      <c r="G4419" s="4">
        <v>46087.602233796293</v>
      </c>
    </row>
    <row r="4420" spans="1:7" x14ac:dyDescent="0.3">
      <c r="A4420">
        <v>11577</v>
      </c>
      <c r="B4420" t="s">
        <v>148</v>
      </c>
      <c r="C4420">
        <v>51011465</v>
      </c>
      <c r="D4420">
        <v>66.96416165445298</v>
      </c>
      <c r="E4420" t="s">
        <v>93</v>
      </c>
      <c r="F4420">
        <v>588</v>
      </c>
      <c r="G4420" s="4">
        <v>46087.602233796293</v>
      </c>
    </row>
    <row r="4421" spans="1:7" x14ac:dyDescent="0.3">
      <c r="A4421">
        <v>11578</v>
      </c>
      <c r="B4421" t="s">
        <v>148</v>
      </c>
      <c r="C4421">
        <v>51006151</v>
      </c>
      <c r="D4421">
        <v>76.345218671975744</v>
      </c>
      <c r="E4421" t="s">
        <v>93</v>
      </c>
      <c r="F4421">
        <v>465</v>
      </c>
      <c r="G4421" s="4">
        <v>46087.602233796293</v>
      </c>
    </row>
    <row r="4422" spans="1:7" x14ac:dyDescent="0.3">
      <c r="A4422">
        <v>11579</v>
      </c>
      <c r="B4422" t="s">
        <v>148</v>
      </c>
      <c r="C4422">
        <v>51033418</v>
      </c>
      <c r="D4422">
        <v>19.302722602604018</v>
      </c>
      <c r="E4422" t="s">
        <v>95</v>
      </c>
      <c r="F4422">
        <v>1027</v>
      </c>
      <c r="G4422" s="4">
        <v>46087.602233796293</v>
      </c>
    </row>
    <row r="4423" spans="1:7" x14ac:dyDescent="0.3">
      <c r="A4423">
        <v>11580</v>
      </c>
      <c r="B4423" t="s">
        <v>148</v>
      </c>
      <c r="C4423">
        <v>51007841</v>
      </c>
      <c r="D4423">
        <v>14.098000000000003</v>
      </c>
      <c r="E4423" t="s">
        <v>95</v>
      </c>
      <c r="F4423">
        <v>1103</v>
      </c>
      <c r="G4423" s="4">
        <v>46087.602233796293</v>
      </c>
    </row>
    <row r="4424" spans="1:7" x14ac:dyDescent="0.3">
      <c r="A4424">
        <v>11581</v>
      </c>
      <c r="B4424" t="s">
        <v>148</v>
      </c>
      <c r="C4424">
        <v>51016602</v>
      </c>
      <c r="D4424">
        <v>79.11042873130927</v>
      </c>
      <c r="E4424" t="s">
        <v>93</v>
      </c>
      <c r="F4424">
        <v>425</v>
      </c>
      <c r="G4424" s="4">
        <v>46087.602233796293</v>
      </c>
    </row>
    <row r="4425" spans="1:7" x14ac:dyDescent="0.3">
      <c r="A4425">
        <v>11582</v>
      </c>
      <c r="B4425" t="s">
        <v>148</v>
      </c>
      <c r="C4425">
        <v>51036077</v>
      </c>
      <c r="D4425">
        <v>18.758600000000001</v>
      </c>
      <c r="E4425" t="s">
        <v>95</v>
      </c>
      <c r="F4425">
        <v>1044</v>
      </c>
      <c r="G4425" s="4">
        <v>46087.602233796293</v>
      </c>
    </row>
    <row r="4426" spans="1:7" x14ac:dyDescent="0.3">
      <c r="A4426">
        <v>11583</v>
      </c>
      <c r="B4426" t="s">
        <v>148</v>
      </c>
      <c r="C4426">
        <v>51013662</v>
      </c>
      <c r="D4426">
        <v>90.906380523172416</v>
      </c>
      <c r="E4426" t="s">
        <v>92</v>
      </c>
      <c r="F4426">
        <v>109</v>
      </c>
      <c r="G4426" s="4">
        <v>46087.602233796293</v>
      </c>
    </row>
    <row r="4427" spans="1:7" x14ac:dyDescent="0.3">
      <c r="A4427">
        <v>11584</v>
      </c>
      <c r="B4427" t="s">
        <v>148</v>
      </c>
      <c r="C4427">
        <v>51010248</v>
      </c>
      <c r="D4427">
        <v>71.707088061697931</v>
      </c>
      <c r="E4427" t="s">
        <v>93</v>
      </c>
      <c r="F4427">
        <v>521</v>
      </c>
      <c r="G4427" s="4">
        <v>46087.602233796293</v>
      </c>
    </row>
    <row r="4428" spans="1:7" x14ac:dyDescent="0.3">
      <c r="A4428">
        <v>11585</v>
      </c>
      <c r="B4428" t="s">
        <v>148</v>
      </c>
      <c r="C4428">
        <v>51055764</v>
      </c>
      <c r="D4428">
        <v>66.724706528586495</v>
      </c>
      <c r="E4428" t="s">
        <v>93</v>
      </c>
      <c r="F4428">
        <v>590</v>
      </c>
      <c r="G4428" s="4">
        <v>46087.602233796293</v>
      </c>
    </row>
    <row r="4429" spans="1:7" x14ac:dyDescent="0.3">
      <c r="A4429">
        <v>11586</v>
      </c>
      <c r="B4429" t="s">
        <v>148</v>
      </c>
      <c r="C4429">
        <v>51012496</v>
      </c>
      <c r="D4429">
        <v>95.173984864694219</v>
      </c>
      <c r="E4429" t="s">
        <v>275</v>
      </c>
      <c r="F4429">
        <v>50</v>
      </c>
      <c r="G4429" s="4">
        <v>46087.602233796293</v>
      </c>
    </row>
    <row r="4430" spans="1:7" x14ac:dyDescent="0.3">
      <c r="A4430">
        <v>11587</v>
      </c>
      <c r="B4430" t="s">
        <v>148</v>
      </c>
      <c r="C4430">
        <v>51016874</v>
      </c>
      <c r="D4430">
        <v>91.375495975423718</v>
      </c>
      <c r="E4430" t="s">
        <v>92</v>
      </c>
      <c r="F4430">
        <v>98</v>
      </c>
      <c r="G4430" s="4">
        <v>46087.602233796293</v>
      </c>
    </row>
    <row r="4431" spans="1:7" x14ac:dyDescent="0.3">
      <c r="A4431">
        <v>11588</v>
      </c>
      <c r="B4431" t="s">
        <v>148</v>
      </c>
      <c r="C4431">
        <v>51011481</v>
      </c>
      <c r="D4431">
        <v>74.955158217613757</v>
      </c>
      <c r="E4431" t="s">
        <v>93</v>
      </c>
      <c r="F4431">
        <v>478</v>
      </c>
      <c r="G4431" s="4">
        <v>46087.602233796293</v>
      </c>
    </row>
    <row r="4432" spans="1:7" x14ac:dyDescent="0.3">
      <c r="A4432">
        <v>11589</v>
      </c>
      <c r="B4432" t="s">
        <v>148</v>
      </c>
      <c r="C4432">
        <v>51042654</v>
      </c>
      <c r="D4432">
        <v>50.811356952924243</v>
      </c>
      <c r="E4432" t="s">
        <v>94</v>
      </c>
      <c r="F4432">
        <v>816</v>
      </c>
      <c r="G4432" s="4">
        <v>46087.602233796293</v>
      </c>
    </row>
    <row r="4433" spans="1:7" x14ac:dyDescent="0.3">
      <c r="A4433">
        <v>11590</v>
      </c>
      <c r="B4433" t="s">
        <v>148</v>
      </c>
      <c r="C4433">
        <v>51057074</v>
      </c>
      <c r="D4433">
        <v>59.349942280888989</v>
      </c>
      <c r="E4433" t="s">
        <v>94</v>
      </c>
      <c r="F4433">
        <v>684</v>
      </c>
      <c r="G4433" s="4">
        <v>46087.602233796293</v>
      </c>
    </row>
    <row r="4434" spans="1:7" x14ac:dyDescent="0.3">
      <c r="A4434">
        <v>11591</v>
      </c>
      <c r="B4434" t="s">
        <v>148</v>
      </c>
      <c r="C4434">
        <v>51042913</v>
      </c>
      <c r="D4434">
        <v>54.147565878550644</v>
      </c>
      <c r="E4434" t="s">
        <v>94</v>
      </c>
      <c r="F4434">
        <v>790</v>
      </c>
      <c r="G4434" s="4">
        <v>46087.602233796293</v>
      </c>
    </row>
    <row r="4435" spans="1:7" x14ac:dyDescent="0.3">
      <c r="A4435">
        <v>11592</v>
      </c>
      <c r="B4435" t="s">
        <v>148</v>
      </c>
      <c r="C4435">
        <v>51025857</v>
      </c>
      <c r="D4435">
        <v>81.950256857638919</v>
      </c>
      <c r="E4435" t="s">
        <v>93</v>
      </c>
      <c r="F4435">
        <v>347</v>
      </c>
      <c r="G4435" s="4">
        <v>46087.602233796293</v>
      </c>
    </row>
    <row r="4436" spans="1:7" x14ac:dyDescent="0.3">
      <c r="A4436">
        <v>11593</v>
      </c>
      <c r="B4436" t="s">
        <v>148</v>
      </c>
      <c r="C4436">
        <v>51026071</v>
      </c>
      <c r="D4436">
        <v>27.933103484191193</v>
      </c>
      <c r="E4436" t="s">
        <v>95</v>
      </c>
      <c r="F4436">
        <v>965</v>
      </c>
      <c r="G4436" s="4">
        <v>46087.602233796293</v>
      </c>
    </row>
    <row r="4437" spans="1:7" x14ac:dyDescent="0.3">
      <c r="A4437">
        <v>11594</v>
      </c>
      <c r="B4437" t="s">
        <v>148</v>
      </c>
      <c r="C4437">
        <v>51017595</v>
      </c>
      <c r="D4437">
        <v>34.627244734103797</v>
      </c>
      <c r="E4437" t="s">
        <v>94</v>
      </c>
      <c r="F4437">
        <v>907</v>
      </c>
      <c r="G4437" s="4">
        <v>46087.602233796293</v>
      </c>
    </row>
    <row r="4438" spans="1:7" x14ac:dyDescent="0.3">
      <c r="A4438">
        <v>11595</v>
      </c>
      <c r="B4438" t="s">
        <v>148</v>
      </c>
      <c r="C4438">
        <v>51014707</v>
      </c>
      <c r="D4438">
        <v>88.661113076717712</v>
      </c>
      <c r="E4438" t="s">
        <v>92</v>
      </c>
      <c r="F4438">
        <v>161</v>
      </c>
      <c r="G4438" s="4">
        <v>46087.602233796293</v>
      </c>
    </row>
    <row r="4439" spans="1:7" x14ac:dyDescent="0.3">
      <c r="A4439">
        <v>11596</v>
      </c>
      <c r="B4439" t="s">
        <v>148</v>
      </c>
      <c r="C4439">
        <v>51032390</v>
      </c>
      <c r="D4439">
        <v>27.402382719089168</v>
      </c>
      <c r="E4439" t="s">
        <v>95</v>
      </c>
      <c r="F4439">
        <v>968</v>
      </c>
      <c r="G4439" s="4">
        <v>46087.602233796293</v>
      </c>
    </row>
    <row r="4440" spans="1:7" x14ac:dyDescent="0.3">
      <c r="A4440">
        <v>11597</v>
      </c>
      <c r="B4440" t="s">
        <v>148</v>
      </c>
      <c r="C4440">
        <v>51030249</v>
      </c>
      <c r="D4440">
        <v>56.203110530509768</v>
      </c>
      <c r="E4440" t="s">
        <v>94</v>
      </c>
      <c r="F4440">
        <v>759</v>
      </c>
      <c r="G4440" s="4">
        <v>46087.602233796293</v>
      </c>
    </row>
    <row r="4441" spans="1:7" x14ac:dyDescent="0.3">
      <c r="A4441">
        <v>11598</v>
      </c>
      <c r="B4441" t="s">
        <v>148</v>
      </c>
      <c r="C4441">
        <v>51029518</v>
      </c>
      <c r="D4441">
        <v>21.689499999999999</v>
      </c>
      <c r="E4441" t="s">
        <v>95</v>
      </c>
      <c r="F4441">
        <v>1006</v>
      </c>
      <c r="G4441" s="4">
        <v>46087.602233796293</v>
      </c>
    </row>
    <row r="4442" spans="1:7" x14ac:dyDescent="0.3">
      <c r="A4442">
        <v>11599</v>
      </c>
      <c r="B4442" t="s">
        <v>148</v>
      </c>
      <c r="C4442">
        <v>51044011</v>
      </c>
      <c r="D4442">
        <v>56.153771493646047</v>
      </c>
      <c r="E4442" t="s">
        <v>94</v>
      </c>
      <c r="F4442">
        <v>762</v>
      </c>
      <c r="G4442" s="4">
        <v>46087.602233796293</v>
      </c>
    </row>
    <row r="4443" spans="1:7" x14ac:dyDescent="0.3">
      <c r="A4443">
        <v>11600</v>
      </c>
      <c r="B4443" t="s">
        <v>148</v>
      </c>
      <c r="C4443">
        <v>51013956</v>
      </c>
      <c r="D4443">
        <v>79.620182514144503</v>
      </c>
      <c r="E4443" t="s">
        <v>93</v>
      </c>
      <c r="F4443">
        <v>413</v>
      </c>
      <c r="G4443" s="4">
        <v>46087.602233796293</v>
      </c>
    </row>
    <row r="4444" spans="1:7" x14ac:dyDescent="0.3">
      <c r="A4444">
        <v>11601</v>
      </c>
      <c r="B4444" t="s">
        <v>148</v>
      </c>
      <c r="C4444">
        <v>51023846</v>
      </c>
      <c r="D4444">
        <v>56.09223177707328</v>
      </c>
      <c r="E4444" t="s">
        <v>94</v>
      </c>
      <c r="F4444">
        <v>763</v>
      </c>
      <c r="G4444" s="4">
        <v>46087.602233796293</v>
      </c>
    </row>
    <row r="4445" spans="1:7" x14ac:dyDescent="0.3">
      <c r="A4445">
        <v>11602</v>
      </c>
      <c r="B4445" t="s">
        <v>148</v>
      </c>
      <c r="C4445">
        <v>51019563</v>
      </c>
      <c r="D4445">
        <v>87.676079999383916</v>
      </c>
      <c r="E4445" t="s">
        <v>92</v>
      </c>
      <c r="F4445">
        <v>184</v>
      </c>
      <c r="G4445" s="4">
        <v>46087.602233796293</v>
      </c>
    </row>
    <row r="4446" spans="1:7" x14ac:dyDescent="0.3">
      <c r="A4446">
        <v>11603</v>
      </c>
      <c r="B4446" t="s">
        <v>148</v>
      </c>
      <c r="C4446">
        <v>51030711</v>
      </c>
      <c r="D4446">
        <v>83.936732446582511</v>
      </c>
      <c r="E4446" t="s">
        <v>93</v>
      </c>
      <c r="F4446">
        <v>286</v>
      </c>
      <c r="G4446" s="4">
        <v>46087.602233796293</v>
      </c>
    </row>
    <row r="4447" spans="1:7" x14ac:dyDescent="0.3">
      <c r="A4447">
        <v>11604</v>
      </c>
      <c r="B4447" t="s">
        <v>148</v>
      </c>
      <c r="C4447">
        <v>51056574</v>
      </c>
      <c r="D4447">
        <v>74.778121405256655</v>
      </c>
      <c r="E4447" t="s">
        <v>93</v>
      </c>
      <c r="F4447">
        <v>484</v>
      </c>
      <c r="G4447" s="4">
        <v>46087.602233796293</v>
      </c>
    </row>
    <row r="4448" spans="1:7" x14ac:dyDescent="0.3">
      <c r="A4448">
        <v>11605</v>
      </c>
      <c r="B4448" t="s">
        <v>148</v>
      </c>
      <c r="C4448">
        <v>51056957</v>
      </c>
      <c r="D4448">
        <v>56.685627977371972</v>
      </c>
      <c r="E4448" t="s">
        <v>94</v>
      </c>
      <c r="F4448">
        <v>749</v>
      </c>
      <c r="G4448" s="4">
        <v>46087.602233796293</v>
      </c>
    </row>
    <row r="4449" spans="1:7" x14ac:dyDescent="0.3">
      <c r="A4449">
        <v>11606</v>
      </c>
      <c r="B4449" t="s">
        <v>148</v>
      </c>
      <c r="C4449">
        <v>51055331</v>
      </c>
      <c r="D4449">
        <v>44.570737211940596</v>
      </c>
      <c r="E4449" t="s">
        <v>94</v>
      </c>
      <c r="F4449">
        <v>868</v>
      </c>
      <c r="G4449" s="4">
        <v>46087.602233796293</v>
      </c>
    </row>
    <row r="4450" spans="1:7" x14ac:dyDescent="0.3">
      <c r="A4450">
        <v>11607</v>
      </c>
      <c r="B4450" t="s">
        <v>148</v>
      </c>
      <c r="C4450">
        <v>51018397</v>
      </c>
      <c r="D4450">
        <v>41.542159528849531</v>
      </c>
      <c r="E4450" t="s">
        <v>94</v>
      </c>
      <c r="F4450">
        <v>882</v>
      </c>
      <c r="G4450" s="4">
        <v>46087.602233796293</v>
      </c>
    </row>
    <row r="4451" spans="1:7" x14ac:dyDescent="0.3">
      <c r="A4451">
        <v>11608</v>
      </c>
      <c r="B4451" t="s">
        <v>148</v>
      </c>
      <c r="C4451">
        <v>51025148</v>
      </c>
      <c r="D4451">
        <v>45.40103734103139</v>
      </c>
      <c r="E4451" t="s">
        <v>94</v>
      </c>
      <c r="F4451">
        <v>864</v>
      </c>
      <c r="G4451" s="4">
        <v>46087.602233796293</v>
      </c>
    </row>
    <row r="4452" spans="1:7" x14ac:dyDescent="0.3">
      <c r="A4452">
        <v>11609</v>
      </c>
      <c r="B4452" t="s">
        <v>148</v>
      </c>
      <c r="C4452">
        <v>51005392</v>
      </c>
      <c r="D4452">
        <v>88.186017976431401</v>
      </c>
      <c r="E4452" t="s">
        <v>92</v>
      </c>
      <c r="F4452">
        <v>173</v>
      </c>
      <c r="G4452" s="4">
        <v>46087.602233796293</v>
      </c>
    </row>
    <row r="4453" spans="1:7" x14ac:dyDescent="0.3">
      <c r="A4453">
        <v>11610</v>
      </c>
      <c r="B4453" t="s">
        <v>148</v>
      </c>
      <c r="C4453">
        <v>51023153</v>
      </c>
      <c r="D4453">
        <v>79.497906606100713</v>
      </c>
      <c r="E4453" t="s">
        <v>93</v>
      </c>
      <c r="F4453">
        <v>417</v>
      </c>
      <c r="G4453" s="4">
        <v>46087.602233796293</v>
      </c>
    </row>
    <row r="4454" spans="1:7" x14ac:dyDescent="0.3">
      <c r="A4454">
        <v>11611</v>
      </c>
      <c r="B4454" t="s">
        <v>148</v>
      </c>
      <c r="C4454">
        <v>51024095</v>
      </c>
      <c r="D4454">
        <v>95.3616952684946</v>
      </c>
      <c r="E4454" t="s">
        <v>275</v>
      </c>
      <c r="F4454">
        <v>46</v>
      </c>
      <c r="G4454" s="4">
        <v>46087.602233796293</v>
      </c>
    </row>
    <row r="4455" spans="1:7" x14ac:dyDescent="0.3">
      <c r="A4455">
        <v>11612</v>
      </c>
      <c r="B4455" t="s">
        <v>148</v>
      </c>
      <c r="C4455">
        <v>51002024</v>
      </c>
      <c r="D4455">
        <v>43.310003110180517</v>
      </c>
      <c r="E4455" t="s">
        <v>94</v>
      </c>
      <c r="F4455">
        <v>876</v>
      </c>
      <c r="G4455" s="4">
        <v>46087.602233796293</v>
      </c>
    </row>
    <row r="4456" spans="1:7" x14ac:dyDescent="0.3">
      <c r="A4456">
        <v>11613</v>
      </c>
      <c r="B4456" t="s">
        <v>148</v>
      </c>
      <c r="C4456">
        <v>51056311</v>
      </c>
      <c r="D4456">
        <v>67.229202125424308</v>
      </c>
      <c r="E4456" t="s">
        <v>93</v>
      </c>
      <c r="F4456">
        <v>585</v>
      </c>
      <c r="G4456" s="4">
        <v>46087.602233796293</v>
      </c>
    </row>
    <row r="4457" spans="1:7" x14ac:dyDescent="0.3">
      <c r="A4457">
        <v>11614</v>
      </c>
      <c r="B4457" t="s">
        <v>148</v>
      </c>
      <c r="C4457">
        <v>51016467</v>
      </c>
      <c r="D4457">
        <v>76.44756989292938</v>
      </c>
      <c r="E4457" t="s">
        <v>93</v>
      </c>
      <c r="F4457">
        <v>463</v>
      </c>
      <c r="G4457" s="4">
        <v>46087.602233796293</v>
      </c>
    </row>
    <row r="4458" spans="1:7" x14ac:dyDescent="0.3">
      <c r="A4458">
        <v>11615</v>
      </c>
      <c r="B4458" t="s">
        <v>148</v>
      </c>
      <c r="C4458">
        <v>51021614</v>
      </c>
      <c r="D4458">
        <v>79.422828482005968</v>
      </c>
      <c r="E4458" t="s">
        <v>93</v>
      </c>
      <c r="F4458">
        <v>419</v>
      </c>
      <c r="G4458" s="4">
        <v>46087.602233796293</v>
      </c>
    </row>
    <row r="4459" spans="1:7" x14ac:dyDescent="0.3">
      <c r="A4459">
        <v>11616</v>
      </c>
      <c r="B4459" t="s">
        <v>148</v>
      </c>
      <c r="C4459">
        <v>51042506</v>
      </c>
      <c r="D4459">
        <v>29.763148383824724</v>
      </c>
      <c r="E4459" t="s">
        <v>94</v>
      </c>
      <c r="F4459">
        <v>947</v>
      </c>
      <c r="G4459" s="4">
        <v>46087.602233796293</v>
      </c>
    </row>
    <row r="4460" spans="1:7" x14ac:dyDescent="0.3">
      <c r="A4460">
        <v>11617</v>
      </c>
      <c r="B4460" t="s">
        <v>148</v>
      </c>
      <c r="C4460">
        <v>51023412</v>
      </c>
      <c r="D4460">
        <v>59.798317735272263</v>
      </c>
      <c r="E4460" t="s">
        <v>94</v>
      </c>
      <c r="F4460">
        <v>673</v>
      </c>
      <c r="G4460" s="4">
        <v>46087.602233796293</v>
      </c>
    </row>
    <row r="4461" spans="1:7" x14ac:dyDescent="0.3">
      <c r="A4461">
        <v>11618</v>
      </c>
      <c r="B4461" t="s">
        <v>148</v>
      </c>
      <c r="C4461">
        <v>51033116</v>
      </c>
      <c r="D4461">
        <v>33.840429466428944</v>
      </c>
      <c r="E4461" t="s">
        <v>94</v>
      </c>
      <c r="F4461">
        <v>916</v>
      </c>
      <c r="G4461" s="4">
        <v>46087.602233796293</v>
      </c>
    </row>
    <row r="4462" spans="1:7" x14ac:dyDescent="0.3">
      <c r="A4462">
        <v>11619</v>
      </c>
      <c r="B4462" t="s">
        <v>148</v>
      </c>
      <c r="C4462">
        <v>51003292</v>
      </c>
      <c r="D4462">
        <v>59.672478859799597</v>
      </c>
      <c r="E4462" t="s">
        <v>94</v>
      </c>
      <c r="F4462">
        <v>674</v>
      </c>
      <c r="G4462" s="4">
        <v>46087.602233796293</v>
      </c>
    </row>
    <row r="4463" spans="1:7" x14ac:dyDescent="0.3">
      <c r="A4463">
        <v>11620</v>
      </c>
      <c r="B4463" t="s">
        <v>148</v>
      </c>
      <c r="C4463">
        <v>51014251</v>
      </c>
      <c r="D4463">
        <v>71.264947503077693</v>
      </c>
      <c r="E4463" t="s">
        <v>93</v>
      </c>
      <c r="F4463">
        <v>531</v>
      </c>
      <c r="G4463" s="4">
        <v>46087.602233796293</v>
      </c>
    </row>
    <row r="4464" spans="1:7" x14ac:dyDescent="0.3">
      <c r="A4464">
        <v>11621</v>
      </c>
      <c r="B4464" t="s">
        <v>148</v>
      </c>
      <c r="C4464">
        <v>51042999</v>
      </c>
      <c r="D4464">
        <v>33.898000000000003</v>
      </c>
      <c r="E4464" t="s">
        <v>94</v>
      </c>
      <c r="F4464">
        <v>915</v>
      </c>
      <c r="G4464" s="4">
        <v>46087.602233796293</v>
      </c>
    </row>
    <row r="4465" spans="1:7" x14ac:dyDescent="0.3">
      <c r="A4465">
        <v>11622</v>
      </c>
      <c r="B4465" t="s">
        <v>148</v>
      </c>
      <c r="C4465">
        <v>51041712</v>
      </c>
      <c r="D4465">
        <v>71.667406744017342</v>
      </c>
      <c r="E4465" t="s">
        <v>93</v>
      </c>
      <c r="F4465">
        <v>523</v>
      </c>
      <c r="G4465" s="4">
        <v>46087.602233796293</v>
      </c>
    </row>
    <row r="4466" spans="1:7" x14ac:dyDescent="0.3">
      <c r="A4466">
        <v>11623</v>
      </c>
      <c r="B4466" t="s">
        <v>148</v>
      </c>
      <c r="C4466">
        <v>51023293</v>
      </c>
      <c r="D4466">
        <v>51.752965934086518</v>
      </c>
      <c r="E4466" t="s">
        <v>94</v>
      </c>
      <c r="F4466">
        <v>811</v>
      </c>
      <c r="G4466" s="4">
        <v>46087.602233796293</v>
      </c>
    </row>
    <row r="4467" spans="1:7" x14ac:dyDescent="0.3">
      <c r="A4467">
        <v>11624</v>
      </c>
      <c r="B4467" t="s">
        <v>148</v>
      </c>
      <c r="C4467">
        <v>51033507</v>
      </c>
      <c r="D4467">
        <v>53.494250073626844</v>
      </c>
      <c r="E4467" t="s">
        <v>94</v>
      </c>
      <c r="F4467">
        <v>794</v>
      </c>
      <c r="G4467" s="4">
        <v>46087.602233796293</v>
      </c>
    </row>
    <row r="4468" spans="1:7" x14ac:dyDescent="0.3">
      <c r="A4468">
        <v>11625</v>
      </c>
      <c r="B4468" t="s">
        <v>148</v>
      </c>
      <c r="C4468">
        <v>51013875</v>
      </c>
      <c r="D4468">
        <v>75.423266772799096</v>
      </c>
      <c r="E4468" t="s">
        <v>93</v>
      </c>
      <c r="F4468">
        <v>475</v>
      </c>
      <c r="G4468" s="4">
        <v>46087.602233796293</v>
      </c>
    </row>
    <row r="4469" spans="1:7" x14ac:dyDescent="0.3">
      <c r="A4469">
        <v>11626</v>
      </c>
      <c r="B4469" t="s">
        <v>148</v>
      </c>
      <c r="C4469">
        <v>51013395</v>
      </c>
      <c r="D4469">
        <v>37.065606056014367</v>
      </c>
      <c r="E4469" t="s">
        <v>94</v>
      </c>
      <c r="F4469">
        <v>896</v>
      </c>
      <c r="G4469" s="4">
        <v>46087.602233796293</v>
      </c>
    </row>
    <row r="4470" spans="1:7" x14ac:dyDescent="0.3">
      <c r="A4470">
        <v>11627</v>
      </c>
      <c r="B4470" t="s">
        <v>148</v>
      </c>
      <c r="C4470">
        <v>51056108</v>
      </c>
      <c r="D4470">
        <v>25.206430604357383</v>
      </c>
      <c r="E4470" t="s">
        <v>95</v>
      </c>
      <c r="F4470">
        <v>983</v>
      </c>
      <c r="G4470" s="4">
        <v>46087.602233796293</v>
      </c>
    </row>
    <row r="4471" spans="1:7" x14ac:dyDescent="0.3">
      <c r="A4471">
        <v>11628</v>
      </c>
      <c r="B4471" t="s">
        <v>148</v>
      </c>
      <c r="C4471">
        <v>51055837</v>
      </c>
      <c r="D4471">
        <v>19.796940374414135</v>
      </c>
      <c r="E4471" t="s">
        <v>95</v>
      </c>
      <c r="F4471">
        <v>1021</v>
      </c>
      <c r="G4471" s="4">
        <v>46087.602233796293</v>
      </c>
    </row>
    <row r="4472" spans="1:7" x14ac:dyDescent="0.3">
      <c r="A4472">
        <v>11629</v>
      </c>
      <c r="B4472" t="s">
        <v>148</v>
      </c>
      <c r="C4472">
        <v>51056248</v>
      </c>
      <c r="D4472">
        <v>32.9</v>
      </c>
      <c r="E4472" t="s">
        <v>94</v>
      </c>
      <c r="F4472">
        <v>920</v>
      </c>
      <c r="G4472" s="4">
        <v>46087.602233796293</v>
      </c>
    </row>
    <row r="4473" spans="1:7" x14ac:dyDescent="0.3">
      <c r="A4473">
        <v>11630</v>
      </c>
      <c r="B4473" t="s">
        <v>148</v>
      </c>
      <c r="C4473">
        <v>51025245</v>
      </c>
      <c r="D4473">
        <v>84.095934457101947</v>
      </c>
      <c r="E4473" t="s">
        <v>93</v>
      </c>
      <c r="F4473">
        <v>282</v>
      </c>
      <c r="G4473" s="4">
        <v>46087.602233796293</v>
      </c>
    </row>
    <row r="4474" spans="1:7" x14ac:dyDescent="0.3">
      <c r="A4474">
        <v>11631</v>
      </c>
      <c r="B4474" t="s">
        <v>148</v>
      </c>
      <c r="C4474">
        <v>51016360</v>
      </c>
      <c r="D4474">
        <v>30.831499999999995</v>
      </c>
      <c r="E4474" t="s">
        <v>94</v>
      </c>
      <c r="F4474">
        <v>934</v>
      </c>
      <c r="G4474" s="4">
        <v>46087.602233796293</v>
      </c>
    </row>
    <row r="4475" spans="1:7" x14ac:dyDescent="0.3">
      <c r="A4475">
        <v>11632</v>
      </c>
      <c r="B4475" t="s">
        <v>148</v>
      </c>
      <c r="C4475">
        <v>51040881</v>
      </c>
      <c r="D4475">
        <v>68.612996886207767</v>
      </c>
      <c r="E4475" t="s">
        <v>93</v>
      </c>
      <c r="F4475">
        <v>562</v>
      </c>
      <c r="G4475" s="4">
        <v>46087.602233796293</v>
      </c>
    </row>
    <row r="4476" spans="1:7" x14ac:dyDescent="0.3">
      <c r="A4476">
        <v>11633</v>
      </c>
      <c r="B4476" t="s">
        <v>148</v>
      </c>
      <c r="C4476">
        <v>51031776</v>
      </c>
      <c r="D4476">
        <v>25.369020895063727</v>
      </c>
      <c r="E4476" t="s">
        <v>95</v>
      </c>
      <c r="F4476">
        <v>982</v>
      </c>
      <c r="G4476" s="4">
        <v>46087.602233796293</v>
      </c>
    </row>
    <row r="4477" spans="1:7" x14ac:dyDescent="0.3">
      <c r="A4477">
        <v>11634</v>
      </c>
      <c r="B4477" t="s">
        <v>148</v>
      </c>
      <c r="C4477">
        <v>51013166</v>
      </c>
      <c r="D4477">
        <v>69.489249962283267</v>
      </c>
      <c r="E4477" t="s">
        <v>93</v>
      </c>
      <c r="F4477">
        <v>553</v>
      </c>
      <c r="G4477" s="4">
        <v>46087.602233796293</v>
      </c>
    </row>
    <row r="4478" spans="1:7" x14ac:dyDescent="0.3">
      <c r="A4478">
        <v>11635</v>
      </c>
      <c r="B4478" t="s">
        <v>148</v>
      </c>
      <c r="C4478">
        <v>51032918</v>
      </c>
      <c r="D4478">
        <v>53.407208963658611</v>
      </c>
      <c r="E4478" t="s">
        <v>94</v>
      </c>
      <c r="F4478">
        <v>795</v>
      </c>
      <c r="G4478" s="4">
        <v>46087.602233796293</v>
      </c>
    </row>
    <row r="4479" spans="1:7" x14ac:dyDescent="0.3">
      <c r="A4479">
        <v>11636</v>
      </c>
      <c r="B4479" t="s">
        <v>148</v>
      </c>
      <c r="C4479">
        <v>51025717</v>
      </c>
      <c r="D4479">
        <v>76.459886944157915</v>
      </c>
      <c r="E4479" t="s">
        <v>93</v>
      </c>
      <c r="F4479">
        <v>462</v>
      </c>
      <c r="G4479" s="4">
        <v>46087.602233796293</v>
      </c>
    </row>
    <row r="4480" spans="1:7" x14ac:dyDescent="0.3">
      <c r="A4480">
        <v>11637</v>
      </c>
      <c r="B4480" t="s">
        <v>148</v>
      </c>
      <c r="C4480">
        <v>51033001</v>
      </c>
      <c r="D4480">
        <v>81.205154869913045</v>
      </c>
      <c r="E4480" t="s">
        <v>93</v>
      </c>
      <c r="F4480">
        <v>372</v>
      </c>
      <c r="G4480" s="4">
        <v>46087.602233796293</v>
      </c>
    </row>
    <row r="4481" spans="1:7" x14ac:dyDescent="0.3">
      <c r="A4481">
        <v>11638</v>
      </c>
      <c r="B4481" t="s">
        <v>148</v>
      </c>
      <c r="C4481">
        <v>51012674</v>
      </c>
      <c r="D4481">
        <v>81.734653736136394</v>
      </c>
      <c r="E4481" t="s">
        <v>93</v>
      </c>
      <c r="F4481">
        <v>359</v>
      </c>
      <c r="G4481" s="4">
        <v>46087.602233796293</v>
      </c>
    </row>
    <row r="4482" spans="1:7" x14ac:dyDescent="0.3">
      <c r="A4482">
        <v>11639</v>
      </c>
      <c r="B4482" t="s">
        <v>148</v>
      </c>
      <c r="C4482">
        <v>51007743</v>
      </c>
      <c r="D4482">
        <v>89.73238147524323</v>
      </c>
      <c r="E4482" t="s">
        <v>92</v>
      </c>
      <c r="F4482">
        <v>130</v>
      </c>
      <c r="G4482" s="4">
        <v>46087.602233796293</v>
      </c>
    </row>
    <row r="4483" spans="1:7" x14ac:dyDescent="0.3">
      <c r="A4483">
        <v>11640</v>
      </c>
      <c r="B4483" t="s">
        <v>148</v>
      </c>
      <c r="C4483">
        <v>51032705</v>
      </c>
      <c r="D4483">
        <v>39.985568877839427</v>
      </c>
      <c r="E4483" t="s">
        <v>94</v>
      </c>
      <c r="F4483">
        <v>889</v>
      </c>
      <c r="G4483" s="4">
        <v>46087.602233796293</v>
      </c>
    </row>
    <row r="4484" spans="1:7" x14ac:dyDescent="0.3">
      <c r="A4484">
        <v>11641</v>
      </c>
      <c r="B4484" t="s">
        <v>148</v>
      </c>
      <c r="C4484">
        <v>51041887</v>
      </c>
      <c r="D4484">
        <v>83.166934357554013</v>
      </c>
      <c r="E4484" t="s">
        <v>93</v>
      </c>
      <c r="F4484">
        <v>311</v>
      </c>
      <c r="G4484" s="4">
        <v>46087.602233796293</v>
      </c>
    </row>
    <row r="4485" spans="1:7" x14ac:dyDescent="0.3">
      <c r="A4485">
        <v>11642</v>
      </c>
      <c r="B4485" t="s">
        <v>148</v>
      </c>
      <c r="C4485">
        <v>51030826</v>
      </c>
      <c r="D4485">
        <v>80.70694412086128</v>
      </c>
      <c r="E4485" t="s">
        <v>93</v>
      </c>
      <c r="F4485">
        <v>388</v>
      </c>
      <c r="G4485" s="4">
        <v>46087.602233796293</v>
      </c>
    </row>
    <row r="4486" spans="1:7" x14ac:dyDescent="0.3">
      <c r="A4486">
        <v>11643</v>
      </c>
      <c r="B4486" t="s">
        <v>148</v>
      </c>
      <c r="C4486">
        <v>51011007</v>
      </c>
      <c r="D4486">
        <v>72.234615991017051</v>
      </c>
      <c r="E4486" t="s">
        <v>93</v>
      </c>
      <c r="F4486">
        <v>517</v>
      </c>
      <c r="G4486" s="4">
        <v>46087.602233796293</v>
      </c>
    </row>
    <row r="4487" spans="1:7" x14ac:dyDescent="0.3">
      <c r="A4487">
        <v>11644</v>
      </c>
      <c r="B4487" t="s">
        <v>148</v>
      </c>
      <c r="C4487">
        <v>51007514</v>
      </c>
      <c r="D4487">
        <v>75.574655948742091</v>
      </c>
      <c r="E4487" t="s">
        <v>93</v>
      </c>
      <c r="F4487">
        <v>474</v>
      </c>
      <c r="G4487" s="4">
        <v>46087.602233796293</v>
      </c>
    </row>
    <row r="4488" spans="1:7" x14ac:dyDescent="0.3">
      <c r="A4488">
        <v>11645</v>
      </c>
      <c r="B4488" t="s">
        <v>148</v>
      </c>
      <c r="C4488">
        <v>51024281</v>
      </c>
      <c r="D4488">
        <v>54.359633153225971</v>
      </c>
      <c r="E4488" t="s">
        <v>94</v>
      </c>
      <c r="F4488">
        <v>787</v>
      </c>
      <c r="G4488" s="4">
        <v>46087.602233796293</v>
      </c>
    </row>
    <row r="4489" spans="1:7" x14ac:dyDescent="0.3">
      <c r="A4489">
        <v>11646</v>
      </c>
      <c r="B4489" t="s">
        <v>148</v>
      </c>
      <c r="C4489">
        <v>51020961</v>
      </c>
      <c r="D4489">
        <v>61.289185476015568</v>
      </c>
      <c r="E4489" t="s">
        <v>94</v>
      </c>
      <c r="F4489">
        <v>642</v>
      </c>
      <c r="G4489" s="4">
        <v>46087.602233796293</v>
      </c>
    </row>
    <row r="4490" spans="1:7" x14ac:dyDescent="0.3">
      <c r="A4490">
        <v>11647</v>
      </c>
      <c r="B4490" t="s">
        <v>148</v>
      </c>
      <c r="C4490">
        <v>51022718</v>
      </c>
      <c r="D4490">
        <v>30.698</v>
      </c>
      <c r="E4490" t="s">
        <v>94</v>
      </c>
      <c r="F4490">
        <v>937</v>
      </c>
      <c r="G4490" s="4">
        <v>46087.602233796293</v>
      </c>
    </row>
    <row r="4491" spans="1:7" x14ac:dyDescent="0.3">
      <c r="A4491">
        <v>11648</v>
      </c>
      <c r="B4491" t="s">
        <v>148</v>
      </c>
      <c r="C4491">
        <v>51039815</v>
      </c>
      <c r="D4491">
        <v>77.638329393369958</v>
      </c>
      <c r="E4491" t="s">
        <v>93</v>
      </c>
      <c r="F4491">
        <v>444</v>
      </c>
      <c r="G4491" s="4">
        <v>46087.602233796293</v>
      </c>
    </row>
    <row r="4492" spans="1:7" x14ac:dyDescent="0.3">
      <c r="A4492">
        <v>11649</v>
      </c>
      <c r="B4492" t="s">
        <v>148</v>
      </c>
      <c r="C4492">
        <v>51023277</v>
      </c>
      <c r="D4492">
        <v>72.353272802130036</v>
      </c>
      <c r="E4492" t="s">
        <v>93</v>
      </c>
      <c r="F4492">
        <v>515</v>
      </c>
      <c r="G4492" s="4">
        <v>46087.602233796293</v>
      </c>
    </row>
    <row r="4493" spans="1:7" x14ac:dyDescent="0.3">
      <c r="A4493">
        <v>11650</v>
      </c>
      <c r="B4493" t="s">
        <v>148</v>
      </c>
      <c r="C4493">
        <v>51056353</v>
      </c>
      <c r="D4493">
        <v>85.931132845708888</v>
      </c>
      <c r="E4493" t="s">
        <v>92</v>
      </c>
      <c r="F4493">
        <v>233</v>
      </c>
      <c r="G4493" s="4">
        <v>46087.602233796293</v>
      </c>
    </row>
    <row r="4494" spans="1:7" x14ac:dyDescent="0.3">
      <c r="A4494">
        <v>11651</v>
      </c>
      <c r="B4494" t="s">
        <v>148</v>
      </c>
      <c r="C4494">
        <v>51001419</v>
      </c>
      <c r="D4494">
        <v>56.197362796989282</v>
      </c>
      <c r="E4494" t="s">
        <v>94</v>
      </c>
      <c r="F4494">
        <v>760</v>
      </c>
      <c r="G4494" s="4">
        <v>46087.602233796293</v>
      </c>
    </row>
    <row r="4495" spans="1:7" x14ac:dyDescent="0.3">
      <c r="A4495">
        <v>11652</v>
      </c>
      <c r="B4495" t="s">
        <v>148</v>
      </c>
      <c r="C4495">
        <v>51018001</v>
      </c>
      <c r="D4495">
        <v>17.898083175396248</v>
      </c>
      <c r="E4495" t="s">
        <v>95</v>
      </c>
      <c r="F4495">
        <v>1061</v>
      </c>
      <c r="G4495" s="4">
        <v>46087.602233796293</v>
      </c>
    </row>
    <row r="4496" spans="1:7" x14ac:dyDescent="0.3">
      <c r="A4496">
        <v>11653</v>
      </c>
      <c r="B4496" t="s">
        <v>148</v>
      </c>
      <c r="C4496">
        <v>51020707</v>
      </c>
      <c r="D4496">
        <v>32.427176462674005</v>
      </c>
      <c r="E4496" t="s">
        <v>94</v>
      </c>
      <c r="F4496">
        <v>924</v>
      </c>
      <c r="G4496" s="4">
        <v>46087.602233796293</v>
      </c>
    </row>
    <row r="4497" spans="1:7" x14ac:dyDescent="0.3">
      <c r="A4497">
        <v>11654</v>
      </c>
      <c r="B4497" t="s">
        <v>148</v>
      </c>
      <c r="C4497">
        <v>51018923</v>
      </c>
      <c r="D4497">
        <v>81.845954003114315</v>
      </c>
      <c r="E4497" t="s">
        <v>93</v>
      </c>
      <c r="F4497">
        <v>353</v>
      </c>
      <c r="G4497" s="4">
        <v>46087.602233796293</v>
      </c>
    </row>
    <row r="4498" spans="1:7" x14ac:dyDescent="0.3">
      <c r="A4498">
        <v>11655</v>
      </c>
      <c r="B4498" t="s">
        <v>148</v>
      </c>
      <c r="C4498">
        <v>51012721</v>
      </c>
      <c r="D4498">
        <v>61.092020520607683</v>
      </c>
      <c r="E4498" t="s">
        <v>94</v>
      </c>
      <c r="F4498">
        <v>645</v>
      </c>
      <c r="G4498" s="4">
        <v>46087.602233796293</v>
      </c>
    </row>
    <row r="4499" spans="1:7" x14ac:dyDescent="0.3">
      <c r="A4499">
        <v>11656</v>
      </c>
      <c r="B4499" t="s">
        <v>148</v>
      </c>
      <c r="C4499">
        <v>51020634</v>
      </c>
      <c r="D4499">
        <v>64.809831983313174</v>
      </c>
      <c r="E4499" t="s">
        <v>94</v>
      </c>
      <c r="F4499">
        <v>606</v>
      </c>
      <c r="G4499" s="4">
        <v>46087.602233796293</v>
      </c>
    </row>
    <row r="4500" spans="1:7" x14ac:dyDescent="0.3">
      <c r="A4500">
        <v>11657</v>
      </c>
      <c r="B4500" t="s">
        <v>148</v>
      </c>
      <c r="C4500">
        <v>51056507</v>
      </c>
      <c r="D4500">
        <v>29.360252898061717</v>
      </c>
      <c r="E4500" t="s">
        <v>94</v>
      </c>
      <c r="F4500">
        <v>951</v>
      </c>
      <c r="G4500" s="4">
        <v>46087.602233796293</v>
      </c>
    </row>
    <row r="4501" spans="1:7" x14ac:dyDescent="0.3">
      <c r="A4501">
        <v>11658</v>
      </c>
      <c r="B4501" t="s">
        <v>148</v>
      </c>
      <c r="C4501">
        <v>51002105</v>
      </c>
      <c r="D4501">
        <v>47.341676946819433</v>
      </c>
      <c r="E4501" t="s">
        <v>94</v>
      </c>
      <c r="F4501">
        <v>844</v>
      </c>
      <c r="G4501" s="4">
        <v>46087.602233796293</v>
      </c>
    </row>
    <row r="4502" spans="1:7" x14ac:dyDescent="0.3">
      <c r="A4502">
        <v>11659</v>
      </c>
      <c r="B4502" t="s">
        <v>148</v>
      </c>
      <c r="C4502">
        <v>51055136</v>
      </c>
      <c r="D4502">
        <v>29.784999999999997</v>
      </c>
      <c r="E4502" t="s">
        <v>94</v>
      </c>
      <c r="F4502">
        <v>946</v>
      </c>
      <c r="G4502" s="4">
        <v>46087.602233796293</v>
      </c>
    </row>
    <row r="4503" spans="1:7" x14ac:dyDescent="0.3">
      <c r="A4503">
        <v>11660</v>
      </c>
      <c r="B4503" t="s">
        <v>148</v>
      </c>
      <c r="C4503">
        <v>51008685</v>
      </c>
      <c r="D4503">
        <v>83.729312252908102</v>
      </c>
      <c r="E4503" t="s">
        <v>93</v>
      </c>
      <c r="F4503">
        <v>293</v>
      </c>
      <c r="G4503" s="4">
        <v>46087.602233796293</v>
      </c>
    </row>
    <row r="4504" spans="1:7" x14ac:dyDescent="0.3">
      <c r="A4504">
        <v>11661</v>
      </c>
      <c r="B4504" t="s">
        <v>148</v>
      </c>
      <c r="C4504">
        <v>51055306</v>
      </c>
      <c r="D4504">
        <v>70.727143277164245</v>
      </c>
      <c r="E4504" t="s">
        <v>93</v>
      </c>
      <c r="F4504">
        <v>535</v>
      </c>
      <c r="G4504" s="4">
        <v>46087.602233796293</v>
      </c>
    </row>
    <row r="4505" spans="1:7" x14ac:dyDescent="0.3">
      <c r="A4505">
        <v>11662</v>
      </c>
      <c r="B4505" t="s">
        <v>148</v>
      </c>
      <c r="C4505">
        <v>51024036</v>
      </c>
      <c r="D4505">
        <v>55.487158260093231</v>
      </c>
      <c r="E4505" t="s">
        <v>94</v>
      </c>
      <c r="F4505">
        <v>774</v>
      </c>
      <c r="G4505" s="4">
        <v>46087.602233796293</v>
      </c>
    </row>
    <row r="4506" spans="1:7" x14ac:dyDescent="0.3">
      <c r="A4506">
        <v>11663</v>
      </c>
      <c r="B4506" t="s">
        <v>148</v>
      </c>
      <c r="C4506">
        <v>51011597</v>
      </c>
      <c r="D4506">
        <v>64.957101085121479</v>
      </c>
      <c r="E4506" t="s">
        <v>94</v>
      </c>
      <c r="F4506">
        <v>604</v>
      </c>
      <c r="G4506" s="4">
        <v>46087.602233796293</v>
      </c>
    </row>
    <row r="4507" spans="1:7" x14ac:dyDescent="0.3">
      <c r="A4507">
        <v>11664</v>
      </c>
      <c r="B4507" t="s">
        <v>148</v>
      </c>
      <c r="C4507">
        <v>51043260</v>
      </c>
      <c r="D4507">
        <v>79.772831390159809</v>
      </c>
      <c r="E4507" t="s">
        <v>93</v>
      </c>
      <c r="F4507">
        <v>409</v>
      </c>
      <c r="G4507" s="4">
        <v>46087.602233796293</v>
      </c>
    </row>
    <row r="4508" spans="1:7" x14ac:dyDescent="0.3">
      <c r="A4508">
        <v>11665</v>
      </c>
      <c r="B4508" t="s">
        <v>148</v>
      </c>
      <c r="C4508">
        <v>51004035</v>
      </c>
      <c r="D4508">
        <v>30.934628667721771</v>
      </c>
      <c r="E4508" t="s">
        <v>94</v>
      </c>
      <c r="F4508">
        <v>932</v>
      </c>
      <c r="G4508" s="4">
        <v>46087.602233796293</v>
      </c>
    </row>
    <row r="4509" spans="1:7" x14ac:dyDescent="0.3">
      <c r="A4509">
        <v>11666</v>
      </c>
      <c r="B4509" t="s">
        <v>148</v>
      </c>
      <c r="C4509">
        <v>51043537</v>
      </c>
      <c r="D4509">
        <v>56.299223914786474</v>
      </c>
      <c r="E4509" t="s">
        <v>94</v>
      </c>
      <c r="F4509">
        <v>756</v>
      </c>
      <c r="G4509" s="4">
        <v>46087.602233796293</v>
      </c>
    </row>
    <row r="4510" spans="1:7" x14ac:dyDescent="0.3">
      <c r="A4510">
        <v>11667</v>
      </c>
      <c r="B4510" t="s">
        <v>148</v>
      </c>
      <c r="C4510">
        <v>51056752</v>
      </c>
      <c r="D4510">
        <v>60.363098177503517</v>
      </c>
      <c r="E4510" t="s">
        <v>94</v>
      </c>
      <c r="F4510">
        <v>661</v>
      </c>
      <c r="G4510" s="4">
        <v>46087.602233796293</v>
      </c>
    </row>
    <row r="4511" spans="1:7" x14ac:dyDescent="0.3">
      <c r="A4511">
        <v>11668</v>
      </c>
      <c r="B4511" t="s">
        <v>148</v>
      </c>
      <c r="C4511">
        <v>51031857</v>
      </c>
      <c r="D4511">
        <v>76.586310077125958</v>
      </c>
      <c r="E4511" t="s">
        <v>93</v>
      </c>
      <c r="F4511">
        <v>458</v>
      </c>
      <c r="G4511" s="4">
        <v>46087.602233796293</v>
      </c>
    </row>
    <row r="4512" spans="1:7" x14ac:dyDescent="0.3">
      <c r="A4512">
        <v>11669</v>
      </c>
      <c r="B4512" t="s">
        <v>148</v>
      </c>
      <c r="C4512">
        <v>51014138</v>
      </c>
      <c r="D4512">
        <v>68.291781252024705</v>
      </c>
      <c r="E4512" t="s">
        <v>93</v>
      </c>
      <c r="F4512">
        <v>569</v>
      </c>
      <c r="G4512" s="4">
        <v>46087.602233796293</v>
      </c>
    </row>
    <row r="4513" spans="1:7" x14ac:dyDescent="0.3">
      <c r="A4513">
        <v>11670</v>
      </c>
      <c r="B4513" t="s">
        <v>148</v>
      </c>
      <c r="C4513">
        <v>51055578</v>
      </c>
      <c r="D4513">
        <v>40.886208838966915</v>
      </c>
      <c r="E4513" t="s">
        <v>94</v>
      </c>
      <c r="F4513">
        <v>884</v>
      </c>
      <c r="G4513" s="4">
        <v>46087.602233796293</v>
      </c>
    </row>
    <row r="4514" spans="1:7" x14ac:dyDescent="0.3">
      <c r="A4514">
        <v>11671</v>
      </c>
      <c r="B4514" t="s">
        <v>148</v>
      </c>
      <c r="C4514">
        <v>51024028</v>
      </c>
      <c r="D4514">
        <v>74.84072652925768</v>
      </c>
      <c r="E4514" t="s">
        <v>93</v>
      </c>
      <c r="F4514">
        <v>481</v>
      </c>
      <c r="G4514" s="4">
        <v>46087.602233796293</v>
      </c>
    </row>
    <row r="4515" spans="1:7" x14ac:dyDescent="0.3">
      <c r="A4515">
        <v>11672</v>
      </c>
      <c r="B4515" t="s">
        <v>148</v>
      </c>
      <c r="C4515">
        <v>51057031</v>
      </c>
      <c r="D4515">
        <v>86.24308811881636</v>
      </c>
      <c r="E4515" t="s">
        <v>92</v>
      </c>
      <c r="F4515">
        <v>225</v>
      </c>
      <c r="G4515" s="4">
        <v>46087.602233796293</v>
      </c>
    </row>
    <row r="4516" spans="1:7" x14ac:dyDescent="0.3">
      <c r="A4516">
        <v>11673</v>
      </c>
      <c r="B4516" t="s">
        <v>148</v>
      </c>
      <c r="C4516">
        <v>51011929</v>
      </c>
      <c r="D4516">
        <v>76.298198242874889</v>
      </c>
      <c r="E4516" t="s">
        <v>93</v>
      </c>
      <c r="F4516">
        <v>466</v>
      </c>
      <c r="G4516" s="4">
        <v>46087.602233796293</v>
      </c>
    </row>
    <row r="4517" spans="1:7" x14ac:dyDescent="0.3">
      <c r="A4517">
        <v>11674</v>
      </c>
      <c r="B4517" t="s">
        <v>148</v>
      </c>
      <c r="C4517">
        <v>51017773</v>
      </c>
      <c r="D4517">
        <v>68.608648868268432</v>
      </c>
      <c r="E4517" t="s">
        <v>93</v>
      </c>
      <c r="F4517">
        <v>563</v>
      </c>
      <c r="G4517" s="4">
        <v>46087.602233796293</v>
      </c>
    </row>
    <row r="4518" spans="1:7" x14ac:dyDescent="0.3">
      <c r="A4518">
        <v>11675</v>
      </c>
      <c r="B4518" t="s">
        <v>148</v>
      </c>
      <c r="C4518">
        <v>51003063</v>
      </c>
      <c r="D4518">
        <v>66.084052860030539</v>
      </c>
      <c r="E4518" t="s">
        <v>93</v>
      </c>
      <c r="F4518">
        <v>594</v>
      </c>
      <c r="G4518" s="4">
        <v>46087.602233796293</v>
      </c>
    </row>
    <row r="4519" spans="1:7" x14ac:dyDescent="0.3">
      <c r="A4519">
        <v>11676</v>
      </c>
      <c r="B4519" t="s">
        <v>148</v>
      </c>
      <c r="C4519">
        <v>51022572</v>
      </c>
      <c r="D4519">
        <v>79.059638292815833</v>
      </c>
      <c r="E4519" t="s">
        <v>93</v>
      </c>
      <c r="F4519">
        <v>427</v>
      </c>
      <c r="G4519" s="4">
        <v>46087.602233796293</v>
      </c>
    </row>
    <row r="4520" spans="1:7" x14ac:dyDescent="0.3">
      <c r="A4520">
        <v>11677</v>
      </c>
      <c r="B4520" t="s">
        <v>148</v>
      </c>
      <c r="C4520">
        <v>51022343</v>
      </c>
      <c r="D4520">
        <v>18.576978487944512</v>
      </c>
      <c r="E4520" t="s">
        <v>95</v>
      </c>
      <c r="F4520">
        <v>1049</v>
      </c>
      <c r="G4520" s="4">
        <v>46087.602233796293</v>
      </c>
    </row>
    <row r="4521" spans="1:7" x14ac:dyDescent="0.3">
      <c r="A4521">
        <v>11678</v>
      </c>
      <c r="B4521" t="s">
        <v>148</v>
      </c>
      <c r="C4521">
        <v>51015835</v>
      </c>
      <c r="D4521">
        <v>22.678599999999999</v>
      </c>
      <c r="E4521" t="s">
        <v>95</v>
      </c>
      <c r="F4521">
        <v>996</v>
      </c>
      <c r="G4521" s="4">
        <v>46087.602233796293</v>
      </c>
    </row>
    <row r="4522" spans="1:7" x14ac:dyDescent="0.3">
      <c r="A4522">
        <v>11679</v>
      </c>
      <c r="B4522" t="s">
        <v>148</v>
      </c>
      <c r="C4522">
        <v>51056329</v>
      </c>
      <c r="D4522">
        <v>84.49980595615618</v>
      </c>
      <c r="E4522" t="s">
        <v>93</v>
      </c>
      <c r="F4522">
        <v>271</v>
      </c>
      <c r="G4522" s="4">
        <v>46087.602233796293</v>
      </c>
    </row>
    <row r="4523" spans="1:7" x14ac:dyDescent="0.3">
      <c r="A4523">
        <v>11680</v>
      </c>
      <c r="B4523" t="s">
        <v>148</v>
      </c>
      <c r="C4523">
        <v>51030915</v>
      </c>
      <c r="D4523">
        <v>24.42554433382076</v>
      </c>
      <c r="E4523" t="s">
        <v>95</v>
      </c>
      <c r="F4523">
        <v>988</v>
      </c>
      <c r="G4523" s="4">
        <v>46087.602233796293</v>
      </c>
    </row>
    <row r="4524" spans="1:7" x14ac:dyDescent="0.3">
      <c r="A4524">
        <v>11681</v>
      </c>
      <c r="B4524" t="s">
        <v>148</v>
      </c>
      <c r="C4524">
        <v>51017871</v>
      </c>
      <c r="D4524">
        <v>18.621669310019001</v>
      </c>
      <c r="E4524" t="s">
        <v>95</v>
      </c>
      <c r="F4524">
        <v>1047</v>
      </c>
      <c r="G4524" s="4">
        <v>46087.602233796293</v>
      </c>
    </row>
    <row r="4525" spans="1:7" x14ac:dyDescent="0.3">
      <c r="A4525">
        <v>11682</v>
      </c>
      <c r="B4525" t="s">
        <v>148</v>
      </c>
      <c r="C4525">
        <v>51017218</v>
      </c>
      <c r="D4525">
        <v>97.660591863292993</v>
      </c>
      <c r="E4525" t="s">
        <v>275</v>
      </c>
      <c r="F4525">
        <v>25</v>
      </c>
      <c r="G4525" s="4">
        <v>46087.602233796293</v>
      </c>
    </row>
    <row r="4526" spans="1:7" x14ac:dyDescent="0.3">
      <c r="A4526">
        <v>11683</v>
      </c>
      <c r="B4526" t="s">
        <v>148</v>
      </c>
      <c r="C4526">
        <v>51039025</v>
      </c>
      <c r="D4526">
        <v>46.065480105388303</v>
      </c>
      <c r="E4526" t="s">
        <v>94</v>
      </c>
      <c r="F4526">
        <v>856</v>
      </c>
      <c r="G4526" s="4">
        <v>46087.602233796293</v>
      </c>
    </row>
    <row r="4527" spans="1:7" x14ac:dyDescent="0.3">
      <c r="A4527">
        <v>11684</v>
      </c>
      <c r="B4527" t="s">
        <v>148</v>
      </c>
      <c r="C4527">
        <v>51026497</v>
      </c>
      <c r="D4527">
        <v>59.42696136070407</v>
      </c>
      <c r="E4527" t="s">
        <v>94</v>
      </c>
      <c r="F4527">
        <v>679</v>
      </c>
      <c r="G4527" s="4">
        <v>46087.602233796293</v>
      </c>
    </row>
    <row r="4528" spans="1:7" x14ac:dyDescent="0.3">
      <c r="A4528">
        <v>11685</v>
      </c>
      <c r="B4528" t="s">
        <v>148</v>
      </c>
      <c r="C4528">
        <v>51043693</v>
      </c>
      <c r="D4528">
        <v>78.843497667554217</v>
      </c>
      <c r="E4528" t="s">
        <v>93</v>
      </c>
      <c r="F4528">
        <v>433</v>
      </c>
      <c r="G4528" s="4">
        <v>46087.602233796293</v>
      </c>
    </row>
    <row r="4529" spans="1:7" x14ac:dyDescent="0.3">
      <c r="A4529">
        <v>11686</v>
      </c>
      <c r="B4529" t="s">
        <v>148</v>
      </c>
      <c r="C4529">
        <v>51001532</v>
      </c>
      <c r="D4529">
        <v>59.171691150622756</v>
      </c>
      <c r="E4529" t="s">
        <v>94</v>
      </c>
      <c r="F4529">
        <v>688</v>
      </c>
      <c r="G4529" s="4">
        <v>46087.602233796293</v>
      </c>
    </row>
    <row r="4530" spans="1:7" x14ac:dyDescent="0.3">
      <c r="A4530">
        <v>11687</v>
      </c>
      <c r="B4530" t="s">
        <v>148</v>
      </c>
      <c r="C4530">
        <v>51002709</v>
      </c>
      <c r="D4530">
        <v>28.898000000000003</v>
      </c>
      <c r="E4530" t="s">
        <v>95</v>
      </c>
      <c r="F4530">
        <v>955</v>
      </c>
      <c r="G4530" s="4">
        <v>46087.602233796293</v>
      </c>
    </row>
    <row r="4531" spans="1:7" x14ac:dyDescent="0.3">
      <c r="A4531">
        <v>11688</v>
      </c>
      <c r="B4531" t="s">
        <v>148</v>
      </c>
      <c r="C4531">
        <v>51015151</v>
      </c>
      <c r="D4531">
        <v>10.639999999999999</v>
      </c>
      <c r="E4531" t="s">
        <v>95</v>
      </c>
      <c r="F4531">
        <v>1163</v>
      </c>
      <c r="G4531" s="4">
        <v>46087.602233796293</v>
      </c>
    </row>
    <row r="4532" spans="1:7" x14ac:dyDescent="0.3">
      <c r="A4532">
        <v>11689</v>
      </c>
      <c r="B4532" t="s">
        <v>148</v>
      </c>
      <c r="C4532">
        <v>51009941</v>
      </c>
      <c r="D4532">
        <v>65.919324080180374</v>
      </c>
      <c r="E4532" t="s">
        <v>93</v>
      </c>
      <c r="F4532">
        <v>597</v>
      </c>
      <c r="G4532" s="4">
        <v>46087.602233796293</v>
      </c>
    </row>
    <row r="4533" spans="1:7" x14ac:dyDescent="0.3">
      <c r="A4533">
        <v>11690</v>
      </c>
      <c r="B4533" t="s">
        <v>148</v>
      </c>
      <c r="C4533">
        <v>51024818</v>
      </c>
      <c r="D4533">
        <v>14.835669667238101</v>
      </c>
      <c r="E4533" t="s">
        <v>95</v>
      </c>
      <c r="F4533">
        <v>1096</v>
      </c>
      <c r="G4533" s="4">
        <v>46087.602233796293</v>
      </c>
    </row>
    <row r="4534" spans="1:7" x14ac:dyDescent="0.3">
      <c r="A4534">
        <v>11691</v>
      </c>
      <c r="B4534" t="s">
        <v>148</v>
      </c>
      <c r="C4534">
        <v>51010523</v>
      </c>
      <c r="D4534">
        <v>34.097999999999999</v>
      </c>
      <c r="E4534" t="s">
        <v>94</v>
      </c>
      <c r="F4534">
        <v>913</v>
      </c>
      <c r="G4534" s="4">
        <v>46087.602233796293</v>
      </c>
    </row>
    <row r="4535" spans="1:7" x14ac:dyDescent="0.3">
      <c r="A4535">
        <v>11692</v>
      </c>
      <c r="B4535" t="s">
        <v>148</v>
      </c>
      <c r="C4535">
        <v>51000552</v>
      </c>
      <c r="D4535">
        <v>90.065202700160626</v>
      </c>
      <c r="E4535" t="s">
        <v>92</v>
      </c>
      <c r="F4535">
        <v>122</v>
      </c>
      <c r="G4535" s="4">
        <v>46087.602233796293</v>
      </c>
    </row>
    <row r="4536" spans="1:7" x14ac:dyDescent="0.3">
      <c r="A4536">
        <v>11693</v>
      </c>
      <c r="B4536" t="s">
        <v>148</v>
      </c>
      <c r="C4536">
        <v>51052331</v>
      </c>
      <c r="D4536">
        <v>62.211038843922097</v>
      </c>
      <c r="E4536" t="s">
        <v>94</v>
      </c>
      <c r="F4536">
        <v>625</v>
      </c>
      <c r="G4536" s="4">
        <v>46087.602233796293</v>
      </c>
    </row>
    <row r="4537" spans="1:7" x14ac:dyDescent="0.3">
      <c r="A4537">
        <v>11694</v>
      </c>
      <c r="B4537" t="s">
        <v>148</v>
      </c>
      <c r="C4537">
        <v>51024460</v>
      </c>
      <c r="D4537">
        <v>22.927972882145671</v>
      </c>
      <c r="E4537" t="s">
        <v>95</v>
      </c>
      <c r="F4537">
        <v>995</v>
      </c>
      <c r="G4537" s="4">
        <v>46087.602233796293</v>
      </c>
    </row>
    <row r="4538" spans="1:7" x14ac:dyDescent="0.3">
      <c r="A4538">
        <v>11695</v>
      </c>
      <c r="B4538" t="s">
        <v>148</v>
      </c>
      <c r="C4538">
        <v>51024885</v>
      </c>
      <c r="D4538">
        <v>61.683636429059582</v>
      </c>
      <c r="E4538" t="s">
        <v>94</v>
      </c>
      <c r="F4538">
        <v>633</v>
      </c>
      <c r="G4538" s="4">
        <v>46087.602233796293</v>
      </c>
    </row>
    <row r="4539" spans="1:7" x14ac:dyDescent="0.3">
      <c r="A4539">
        <v>11696</v>
      </c>
      <c r="B4539" t="s">
        <v>148</v>
      </c>
      <c r="C4539">
        <v>51005554</v>
      </c>
      <c r="D4539">
        <v>58.827119869984436</v>
      </c>
      <c r="E4539" t="s">
        <v>94</v>
      </c>
      <c r="F4539">
        <v>696</v>
      </c>
      <c r="G4539" s="4">
        <v>46087.602233796293</v>
      </c>
    </row>
    <row r="4540" spans="1:7" x14ac:dyDescent="0.3">
      <c r="A4540">
        <v>11697</v>
      </c>
      <c r="B4540" t="s">
        <v>148</v>
      </c>
      <c r="C4540">
        <v>51024478</v>
      </c>
      <c r="D4540">
        <v>47.776513547934414</v>
      </c>
      <c r="E4540" t="s">
        <v>94</v>
      </c>
      <c r="F4540">
        <v>842</v>
      </c>
      <c r="G4540" s="4">
        <v>46087.602233796293</v>
      </c>
    </row>
    <row r="4541" spans="1:7" x14ac:dyDescent="0.3">
      <c r="A4541">
        <v>11698</v>
      </c>
      <c r="B4541" t="s">
        <v>148</v>
      </c>
      <c r="C4541">
        <v>51012691</v>
      </c>
      <c r="D4541">
        <v>74.428609989624761</v>
      </c>
      <c r="E4541" t="s">
        <v>93</v>
      </c>
      <c r="F4541">
        <v>488</v>
      </c>
      <c r="G4541" s="4">
        <v>46087.602233796293</v>
      </c>
    </row>
    <row r="4542" spans="1:7" x14ac:dyDescent="0.3">
      <c r="A4542">
        <v>11699</v>
      </c>
      <c r="B4542" t="s">
        <v>148</v>
      </c>
      <c r="C4542">
        <v>51015681</v>
      </c>
      <c r="D4542">
        <v>16.050734554933157</v>
      </c>
      <c r="E4542" t="s">
        <v>95</v>
      </c>
      <c r="F4542">
        <v>1086</v>
      </c>
      <c r="G4542" s="4">
        <v>46087.602233796293</v>
      </c>
    </row>
    <row r="4543" spans="1:7" x14ac:dyDescent="0.3">
      <c r="A4543">
        <v>11700</v>
      </c>
      <c r="B4543" t="s">
        <v>148</v>
      </c>
      <c r="C4543">
        <v>51019008</v>
      </c>
      <c r="D4543">
        <v>29.697800000000004</v>
      </c>
      <c r="E4543" t="s">
        <v>94</v>
      </c>
      <c r="F4543">
        <v>948</v>
      </c>
      <c r="G4543" s="4">
        <v>46087.602233796293</v>
      </c>
    </row>
    <row r="4544" spans="1:7" x14ac:dyDescent="0.3">
      <c r="A4544">
        <v>11701</v>
      </c>
      <c r="B4544" t="s">
        <v>148</v>
      </c>
      <c r="C4544">
        <v>51015762</v>
      </c>
      <c r="D4544">
        <v>100</v>
      </c>
      <c r="E4544" t="s">
        <v>275</v>
      </c>
      <c r="F4544">
        <v>1</v>
      </c>
      <c r="G4544" s="4">
        <v>46087.602233796293</v>
      </c>
    </row>
    <row r="4545" spans="1:7" x14ac:dyDescent="0.3">
      <c r="A4545">
        <v>11702</v>
      </c>
      <c r="B4545" t="s">
        <v>148</v>
      </c>
      <c r="C4545">
        <v>51017714</v>
      </c>
      <c r="D4545">
        <v>63.390834261750761</v>
      </c>
      <c r="E4545" t="s">
        <v>94</v>
      </c>
      <c r="F4545">
        <v>616</v>
      </c>
      <c r="G4545" s="4">
        <v>46087.602233796293</v>
      </c>
    </row>
    <row r="4546" spans="1:7" x14ac:dyDescent="0.3">
      <c r="A4546">
        <v>11703</v>
      </c>
      <c r="B4546" t="s">
        <v>148</v>
      </c>
      <c r="C4546">
        <v>51031997</v>
      </c>
      <c r="D4546">
        <v>51.824566806877414</v>
      </c>
      <c r="E4546" t="s">
        <v>94</v>
      </c>
      <c r="F4546">
        <v>808</v>
      </c>
      <c r="G4546" s="4">
        <v>46087.602233796293</v>
      </c>
    </row>
    <row r="4547" spans="1:7" x14ac:dyDescent="0.3">
      <c r="A4547">
        <v>11704</v>
      </c>
      <c r="B4547" t="s">
        <v>148</v>
      </c>
      <c r="C4547">
        <v>51039181</v>
      </c>
      <c r="D4547">
        <v>58.968572951285566</v>
      </c>
      <c r="E4547" t="s">
        <v>94</v>
      </c>
      <c r="F4547">
        <v>692</v>
      </c>
      <c r="G4547" s="4">
        <v>46087.602233796293</v>
      </c>
    </row>
    <row r="4548" spans="1:7" x14ac:dyDescent="0.3">
      <c r="A4548">
        <v>11705</v>
      </c>
      <c r="B4548" t="s">
        <v>148</v>
      </c>
      <c r="C4548">
        <v>51057121</v>
      </c>
      <c r="D4548">
        <v>60.464881885992085</v>
      </c>
      <c r="E4548" t="s">
        <v>94</v>
      </c>
      <c r="F4548">
        <v>659</v>
      </c>
      <c r="G4548" s="4">
        <v>46087.602233796293</v>
      </c>
    </row>
    <row r="4549" spans="1:7" x14ac:dyDescent="0.3">
      <c r="A4549">
        <v>11706</v>
      </c>
      <c r="B4549" t="s">
        <v>148</v>
      </c>
      <c r="C4549">
        <v>51018290</v>
      </c>
      <c r="D4549">
        <v>48.224656948815202</v>
      </c>
      <c r="E4549" t="s">
        <v>94</v>
      </c>
      <c r="F4549">
        <v>840</v>
      </c>
      <c r="G4549" s="4">
        <v>46087.602233796293</v>
      </c>
    </row>
    <row r="4550" spans="1:7" x14ac:dyDescent="0.3">
      <c r="A4550">
        <v>11707</v>
      </c>
      <c r="B4550" t="s">
        <v>148</v>
      </c>
      <c r="C4550">
        <v>51043561</v>
      </c>
      <c r="D4550">
        <v>61.603040941364171</v>
      </c>
      <c r="E4550" t="s">
        <v>94</v>
      </c>
      <c r="F4550">
        <v>635</v>
      </c>
      <c r="G4550" s="4">
        <v>46087.602233796293</v>
      </c>
    </row>
    <row r="4551" spans="1:7" x14ac:dyDescent="0.3">
      <c r="A4551">
        <v>11708</v>
      </c>
      <c r="B4551" t="s">
        <v>148</v>
      </c>
      <c r="C4551">
        <v>51036964</v>
      </c>
      <c r="D4551">
        <v>23.87</v>
      </c>
      <c r="E4551" t="s">
        <v>95</v>
      </c>
      <c r="F4551">
        <v>989</v>
      </c>
      <c r="G4551" s="4">
        <v>46087.602233796293</v>
      </c>
    </row>
    <row r="4552" spans="1:7" x14ac:dyDescent="0.3">
      <c r="A4552">
        <v>11709</v>
      </c>
      <c r="B4552" t="s">
        <v>148</v>
      </c>
      <c r="C4552">
        <v>51030290</v>
      </c>
      <c r="D4552">
        <v>34.6</v>
      </c>
      <c r="E4552" t="s">
        <v>94</v>
      </c>
      <c r="F4552">
        <v>908</v>
      </c>
      <c r="G4552" s="4">
        <v>46087.602233796293</v>
      </c>
    </row>
    <row r="4553" spans="1:7" x14ac:dyDescent="0.3">
      <c r="A4553">
        <v>11710</v>
      </c>
      <c r="B4553" t="s">
        <v>148</v>
      </c>
      <c r="C4553">
        <v>51023331</v>
      </c>
      <c r="D4553">
        <v>24.498600000000003</v>
      </c>
      <c r="E4553" t="s">
        <v>95</v>
      </c>
      <c r="F4553">
        <v>986</v>
      </c>
      <c r="G4553" s="4">
        <v>46087.602233796293</v>
      </c>
    </row>
    <row r="4554" spans="1:7" x14ac:dyDescent="0.3">
      <c r="A4554">
        <v>11711</v>
      </c>
      <c r="B4554" t="s">
        <v>148</v>
      </c>
      <c r="C4554">
        <v>51024010</v>
      </c>
      <c r="D4554">
        <v>70.099805908294371</v>
      </c>
      <c r="E4554" t="s">
        <v>93</v>
      </c>
      <c r="F4554">
        <v>544</v>
      </c>
      <c r="G4554" s="4">
        <v>46087.602233796293</v>
      </c>
    </row>
    <row r="4555" spans="1:7" x14ac:dyDescent="0.3">
      <c r="A4555">
        <v>11712</v>
      </c>
      <c r="B4555" t="s">
        <v>148</v>
      </c>
      <c r="C4555">
        <v>51024664</v>
      </c>
      <c r="D4555">
        <v>90.972898985938599</v>
      </c>
      <c r="E4555" t="s">
        <v>92</v>
      </c>
      <c r="F4555">
        <v>107</v>
      </c>
      <c r="G4555" s="4">
        <v>46087.602233796293</v>
      </c>
    </row>
    <row r="4556" spans="1:7" x14ac:dyDescent="0.3">
      <c r="A4556">
        <v>11713</v>
      </c>
      <c r="B4556" t="s">
        <v>148</v>
      </c>
      <c r="C4556">
        <v>51009185</v>
      </c>
      <c r="D4556">
        <v>77.303731226315293</v>
      </c>
      <c r="E4556" t="s">
        <v>93</v>
      </c>
      <c r="F4556">
        <v>451</v>
      </c>
      <c r="G4556" s="4">
        <v>46087.602233796293</v>
      </c>
    </row>
    <row r="4557" spans="1:7" x14ac:dyDescent="0.3">
      <c r="A4557">
        <v>11714</v>
      </c>
      <c r="B4557" t="s">
        <v>148</v>
      </c>
      <c r="C4557">
        <v>51039424</v>
      </c>
      <c r="D4557">
        <v>19.508999999999997</v>
      </c>
      <c r="E4557" t="s">
        <v>95</v>
      </c>
      <c r="F4557">
        <v>1024</v>
      </c>
      <c r="G4557" s="4">
        <v>46087.602233796293</v>
      </c>
    </row>
    <row r="4558" spans="1:7" x14ac:dyDescent="0.3">
      <c r="A4558">
        <v>11715</v>
      </c>
      <c r="B4558" t="s">
        <v>148</v>
      </c>
      <c r="C4558">
        <v>51038941</v>
      </c>
      <c r="D4558">
        <v>72.237023429643017</v>
      </c>
      <c r="E4558" t="s">
        <v>93</v>
      </c>
      <c r="F4558">
        <v>516</v>
      </c>
      <c r="G4558" s="4">
        <v>46087.602233796293</v>
      </c>
    </row>
    <row r="4559" spans="1:7" x14ac:dyDescent="0.3">
      <c r="A4559">
        <v>11716</v>
      </c>
      <c r="B4559" t="s">
        <v>148</v>
      </c>
      <c r="C4559">
        <v>51015126</v>
      </c>
      <c r="D4559">
        <v>18.898599999999998</v>
      </c>
      <c r="E4559" t="s">
        <v>95</v>
      </c>
      <c r="F4559">
        <v>1041</v>
      </c>
      <c r="G4559" s="4">
        <v>46087.602233796293</v>
      </c>
    </row>
    <row r="4560" spans="1:7" x14ac:dyDescent="0.3">
      <c r="A4560">
        <v>11717</v>
      </c>
      <c r="B4560" t="s">
        <v>148</v>
      </c>
      <c r="C4560">
        <v>51017234</v>
      </c>
      <c r="D4560">
        <v>11.501497060487385</v>
      </c>
      <c r="E4560" t="s">
        <v>95</v>
      </c>
      <c r="F4560">
        <v>1148</v>
      </c>
      <c r="G4560" s="4">
        <v>46087.602233796293</v>
      </c>
    </row>
    <row r="4561" spans="1:7" x14ac:dyDescent="0.3">
      <c r="A4561">
        <v>11718</v>
      </c>
      <c r="B4561" t="s">
        <v>148</v>
      </c>
      <c r="C4561">
        <v>51012852</v>
      </c>
      <c r="D4561">
        <v>52.441404130830477</v>
      </c>
      <c r="E4561" t="s">
        <v>94</v>
      </c>
      <c r="F4561">
        <v>805</v>
      </c>
      <c r="G4561" s="4">
        <v>46087.602233796293</v>
      </c>
    </row>
    <row r="4562" spans="1:7" x14ac:dyDescent="0.3">
      <c r="A4562">
        <v>11719</v>
      </c>
      <c r="B4562" t="s">
        <v>148</v>
      </c>
      <c r="C4562">
        <v>51010396</v>
      </c>
      <c r="D4562">
        <v>53.926586244113011</v>
      </c>
      <c r="E4562" t="s">
        <v>94</v>
      </c>
      <c r="F4562">
        <v>793</v>
      </c>
      <c r="G4562" s="4">
        <v>46087.602233796293</v>
      </c>
    </row>
    <row r="4563" spans="1:7" x14ac:dyDescent="0.3">
      <c r="A4563">
        <v>11720</v>
      </c>
      <c r="B4563" t="s">
        <v>148</v>
      </c>
      <c r="C4563">
        <v>51022629</v>
      </c>
      <c r="D4563">
        <v>80.930150664920689</v>
      </c>
      <c r="E4563" t="s">
        <v>93</v>
      </c>
      <c r="F4563">
        <v>382</v>
      </c>
      <c r="G4563" s="4">
        <v>46087.602233796293</v>
      </c>
    </row>
    <row r="4564" spans="1:7" x14ac:dyDescent="0.3">
      <c r="A4564">
        <v>11721</v>
      </c>
      <c r="B4564" t="s">
        <v>148</v>
      </c>
      <c r="C4564">
        <v>51021274</v>
      </c>
      <c r="D4564">
        <v>77.955344075744293</v>
      </c>
      <c r="E4564" t="s">
        <v>93</v>
      </c>
      <c r="F4564">
        <v>441</v>
      </c>
      <c r="G4564" s="4">
        <v>46087.602233796293</v>
      </c>
    </row>
    <row r="4565" spans="1:7" x14ac:dyDescent="0.3">
      <c r="A4565">
        <v>11722</v>
      </c>
      <c r="B4565" t="s">
        <v>148</v>
      </c>
      <c r="C4565">
        <v>51021819</v>
      </c>
      <c r="D4565">
        <v>16.502929823837743</v>
      </c>
      <c r="E4565" t="s">
        <v>95</v>
      </c>
      <c r="F4565">
        <v>1080</v>
      </c>
      <c r="G4565" s="4">
        <v>46087.602233796293</v>
      </c>
    </row>
    <row r="4566" spans="1:7" x14ac:dyDescent="0.3">
      <c r="A4566">
        <v>11723</v>
      </c>
      <c r="B4566" t="s">
        <v>148</v>
      </c>
      <c r="C4566">
        <v>51011171</v>
      </c>
      <c r="D4566">
        <v>42.162726048571436</v>
      </c>
      <c r="E4566" t="s">
        <v>94</v>
      </c>
      <c r="F4566">
        <v>879</v>
      </c>
      <c r="G4566" s="4">
        <v>46087.602233796293</v>
      </c>
    </row>
    <row r="4567" spans="1:7" x14ac:dyDescent="0.3">
      <c r="A4567">
        <v>11724</v>
      </c>
      <c r="B4567" t="s">
        <v>148</v>
      </c>
      <c r="C4567">
        <v>51012470</v>
      </c>
      <c r="D4567">
        <v>48.738316995628182</v>
      </c>
      <c r="E4567" t="s">
        <v>94</v>
      </c>
      <c r="F4567">
        <v>835</v>
      </c>
      <c r="G4567" s="4">
        <v>46087.602233796293</v>
      </c>
    </row>
    <row r="4568" spans="1:7" x14ac:dyDescent="0.3">
      <c r="A4568">
        <v>11725</v>
      </c>
      <c r="B4568" t="s">
        <v>148</v>
      </c>
      <c r="C4568">
        <v>51032713</v>
      </c>
      <c r="D4568">
        <v>81.73094431417698</v>
      </c>
      <c r="E4568" t="s">
        <v>93</v>
      </c>
      <c r="F4568">
        <v>360</v>
      </c>
      <c r="G4568" s="4">
        <v>46087.602233796293</v>
      </c>
    </row>
    <row r="4569" spans="1:7" x14ac:dyDescent="0.3">
      <c r="A4569">
        <v>11726</v>
      </c>
      <c r="B4569" t="s">
        <v>148</v>
      </c>
      <c r="C4569">
        <v>51010744</v>
      </c>
      <c r="D4569">
        <v>69.544204373545142</v>
      </c>
      <c r="E4569" t="s">
        <v>93</v>
      </c>
      <c r="F4569">
        <v>552</v>
      </c>
      <c r="G4569" s="4">
        <v>46087.602233796293</v>
      </c>
    </row>
    <row r="4570" spans="1:7" x14ac:dyDescent="0.3">
      <c r="A4570">
        <v>11727</v>
      </c>
      <c r="B4570" t="s">
        <v>148</v>
      </c>
      <c r="C4570">
        <v>51057546</v>
      </c>
      <c r="D4570">
        <v>29.09275888021762</v>
      </c>
      <c r="E4570" t="s">
        <v>94</v>
      </c>
      <c r="F4570">
        <v>954</v>
      </c>
      <c r="G4570" s="4">
        <v>46087.602233796293</v>
      </c>
    </row>
    <row r="4571" spans="1:7" x14ac:dyDescent="0.3">
      <c r="A4571">
        <v>11728</v>
      </c>
      <c r="B4571" t="s">
        <v>148</v>
      </c>
      <c r="C4571">
        <v>51023889</v>
      </c>
      <c r="D4571">
        <v>46.830371628283395</v>
      </c>
      <c r="E4571" t="s">
        <v>94</v>
      </c>
      <c r="F4571">
        <v>850</v>
      </c>
      <c r="G4571" s="4">
        <v>46087.602233796293</v>
      </c>
    </row>
    <row r="4572" spans="1:7" x14ac:dyDescent="0.3">
      <c r="A4572">
        <v>11729</v>
      </c>
      <c r="B4572" t="s">
        <v>148</v>
      </c>
      <c r="C4572">
        <v>51031041</v>
      </c>
      <c r="D4572">
        <v>69.275034811958349</v>
      </c>
      <c r="E4572" t="s">
        <v>93</v>
      </c>
      <c r="F4572">
        <v>556</v>
      </c>
      <c r="G4572" s="4">
        <v>46087.602233796293</v>
      </c>
    </row>
    <row r="4573" spans="1:7" x14ac:dyDescent="0.3">
      <c r="A4573">
        <v>11730</v>
      </c>
      <c r="B4573" t="s">
        <v>148</v>
      </c>
      <c r="C4573">
        <v>51022262</v>
      </c>
      <c r="D4573">
        <v>8.9558</v>
      </c>
      <c r="E4573" t="s">
        <v>95</v>
      </c>
      <c r="F4573">
        <v>1182</v>
      </c>
      <c r="G4573" s="4">
        <v>46087.602233796293</v>
      </c>
    </row>
    <row r="4574" spans="1:7" x14ac:dyDescent="0.3">
      <c r="A4574">
        <v>11731</v>
      </c>
      <c r="B4574" t="s">
        <v>148</v>
      </c>
      <c r="C4574">
        <v>51017731</v>
      </c>
      <c r="D4574">
        <v>34.995866065245892</v>
      </c>
      <c r="E4574" t="s">
        <v>94</v>
      </c>
      <c r="F4574">
        <v>903</v>
      </c>
      <c r="G4574" s="4">
        <v>46087.602233796293</v>
      </c>
    </row>
    <row r="4575" spans="1:7" x14ac:dyDescent="0.3">
      <c r="A4575">
        <v>11732</v>
      </c>
      <c r="B4575" t="s">
        <v>148</v>
      </c>
      <c r="C4575">
        <v>51000269</v>
      </c>
      <c r="D4575">
        <v>7.91</v>
      </c>
      <c r="E4575" t="s">
        <v>95</v>
      </c>
      <c r="F4575">
        <v>1189</v>
      </c>
      <c r="G4575" s="4">
        <v>46087.602233796293</v>
      </c>
    </row>
    <row r="4576" spans="1:7" x14ac:dyDescent="0.3">
      <c r="A4576">
        <v>11733</v>
      </c>
      <c r="B4576" t="s">
        <v>148</v>
      </c>
      <c r="C4576">
        <v>51000862</v>
      </c>
      <c r="D4576">
        <v>19.8</v>
      </c>
      <c r="E4576" t="s">
        <v>95</v>
      </c>
      <c r="F4576">
        <v>1020</v>
      </c>
      <c r="G4576" s="4">
        <v>46087.602233796293</v>
      </c>
    </row>
    <row r="4577" spans="1:7" x14ac:dyDescent="0.3">
      <c r="A4577">
        <v>11734</v>
      </c>
      <c r="B4577" t="s">
        <v>148</v>
      </c>
      <c r="C4577">
        <v>51001494</v>
      </c>
      <c r="D4577">
        <v>10.709999999999999</v>
      </c>
      <c r="E4577" t="s">
        <v>95</v>
      </c>
      <c r="F4577">
        <v>1161</v>
      </c>
      <c r="G4577" s="4">
        <v>46087.602233796293</v>
      </c>
    </row>
    <row r="4578" spans="1:7" x14ac:dyDescent="0.3">
      <c r="A4578">
        <v>11735</v>
      </c>
      <c r="B4578" t="s">
        <v>148</v>
      </c>
      <c r="C4578">
        <v>51001745</v>
      </c>
      <c r="D4578">
        <v>21.01</v>
      </c>
      <c r="E4578" t="s">
        <v>95</v>
      </c>
      <c r="F4578">
        <v>1011</v>
      </c>
      <c r="G4578" s="4">
        <v>46087.602233796293</v>
      </c>
    </row>
    <row r="4579" spans="1:7" x14ac:dyDescent="0.3">
      <c r="A4579">
        <v>11736</v>
      </c>
      <c r="B4579" t="s">
        <v>148</v>
      </c>
      <c r="C4579">
        <v>51001923</v>
      </c>
      <c r="D4579">
        <v>15.840000000000002</v>
      </c>
      <c r="E4579" t="s">
        <v>95</v>
      </c>
      <c r="F4579">
        <v>1090</v>
      </c>
      <c r="G4579" s="4">
        <v>46087.602233796293</v>
      </c>
    </row>
    <row r="4580" spans="1:7" x14ac:dyDescent="0.3">
      <c r="A4580">
        <v>11737</v>
      </c>
      <c r="B4580" t="s">
        <v>148</v>
      </c>
      <c r="C4580">
        <v>51003721</v>
      </c>
      <c r="D4580">
        <v>14.5</v>
      </c>
      <c r="E4580" t="s">
        <v>95</v>
      </c>
      <c r="F4580">
        <v>1099</v>
      </c>
      <c r="G4580" s="4">
        <v>46087.602233796293</v>
      </c>
    </row>
    <row r="4581" spans="1:7" x14ac:dyDescent="0.3">
      <c r="A4581">
        <v>11738</v>
      </c>
      <c r="B4581" t="s">
        <v>148</v>
      </c>
      <c r="C4581">
        <v>51004167</v>
      </c>
      <c r="D4581">
        <v>13.7</v>
      </c>
      <c r="E4581" t="s">
        <v>95</v>
      </c>
      <c r="F4581">
        <v>1109</v>
      </c>
      <c r="G4581" s="4">
        <v>46087.602233796293</v>
      </c>
    </row>
    <row r="4582" spans="1:7" x14ac:dyDescent="0.3">
      <c r="A4582">
        <v>11739</v>
      </c>
      <c r="B4582" t="s">
        <v>148</v>
      </c>
      <c r="C4582">
        <v>51004671</v>
      </c>
      <c r="D4582">
        <v>12.459999999999999</v>
      </c>
      <c r="E4582" t="s">
        <v>95</v>
      </c>
      <c r="F4582">
        <v>1136</v>
      </c>
      <c r="G4582" s="4">
        <v>46087.602233796293</v>
      </c>
    </row>
    <row r="4583" spans="1:7" x14ac:dyDescent="0.3">
      <c r="A4583">
        <v>11740</v>
      </c>
      <c r="B4583" t="s">
        <v>148</v>
      </c>
      <c r="C4583">
        <v>51005058</v>
      </c>
      <c r="D4583">
        <v>19.3</v>
      </c>
      <c r="E4583" t="s">
        <v>95</v>
      </c>
      <c r="F4583">
        <v>1028</v>
      </c>
      <c r="G4583" s="4">
        <v>46087.602233796293</v>
      </c>
    </row>
    <row r="4584" spans="1:7" x14ac:dyDescent="0.3">
      <c r="A4584">
        <v>11741</v>
      </c>
      <c r="B4584" t="s">
        <v>148</v>
      </c>
      <c r="C4584">
        <v>51005201</v>
      </c>
      <c r="D4584">
        <v>17.600000000000001</v>
      </c>
      <c r="E4584" t="s">
        <v>95</v>
      </c>
      <c r="F4584">
        <v>1064</v>
      </c>
      <c r="G4584" s="4">
        <v>46087.602233796293</v>
      </c>
    </row>
    <row r="4585" spans="1:7" x14ac:dyDescent="0.3">
      <c r="A4585">
        <v>11742</v>
      </c>
      <c r="B4585" t="s">
        <v>148</v>
      </c>
      <c r="C4585">
        <v>51005384</v>
      </c>
      <c r="D4585">
        <v>59.352800478887097</v>
      </c>
      <c r="E4585" t="s">
        <v>94</v>
      </c>
      <c r="F4585">
        <v>683</v>
      </c>
      <c r="G4585" s="4">
        <v>46087.602233796293</v>
      </c>
    </row>
    <row r="4586" spans="1:7" x14ac:dyDescent="0.3">
      <c r="A4586">
        <v>11743</v>
      </c>
      <c r="B4586" t="s">
        <v>148</v>
      </c>
      <c r="C4586">
        <v>51005902</v>
      </c>
      <c r="D4586">
        <v>76.745808124425693</v>
      </c>
      <c r="E4586" t="s">
        <v>93</v>
      </c>
      <c r="F4586">
        <v>455</v>
      </c>
      <c r="G4586" s="4">
        <v>46087.602233796293</v>
      </c>
    </row>
    <row r="4587" spans="1:7" x14ac:dyDescent="0.3">
      <c r="A4587">
        <v>11744</v>
      </c>
      <c r="B4587" t="s">
        <v>148</v>
      </c>
      <c r="C4587">
        <v>51006445</v>
      </c>
      <c r="D4587">
        <v>26.382810510270804</v>
      </c>
      <c r="E4587" t="s">
        <v>95</v>
      </c>
      <c r="F4587">
        <v>972</v>
      </c>
      <c r="G4587" s="4">
        <v>46087.602233796293</v>
      </c>
    </row>
    <row r="4588" spans="1:7" x14ac:dyDescent="0.3">
      <c r="A4588">
        <v>11745</v>
      </c>
      <c r="B4588" t="s">
        <v>148</v>
      </c>
      <c r="C4588">
        <v>51006453</v>
      </c>
      <c r="D4588">
        <v>15.639999999999999</v>
      </c>
      <c r="E4588" t="s">
        <v>95</v>
      </c>
      <c r="F4588">
        <v>1091</v>
      </c>
      <c r="G4588" s="4">
        <v>46087.602233796293</v>
      </c>
    </row>
    <row r="4589" spans="1:7" x14ac:dyDescent="0.3">
      <c r="A4589">
        <v>11746</v>
      </c>
      <c r="B4589" t="s">
        <v>148</v>
      </c>
      <c r="C4589">
        <v>51006518</v>
      </c>
      <c r="D4589">
        <v>12.81</v>
      </c>
      <c r="E4589" t="s">
        <v>95</v>
      </c>
      <c r="F4589">
        <v>1128</v>
      </c>
      <c r="G4589" s="4">
        <v>46087.602233796293</v>
      </c>
    </row>
    <row r="4590" spans="1:7" x14ac:dyDescent="0.3">
      <c r="A4590">
        <v>11747</v>
      </c>
      <c r="B4590" t="s">
        <v>148</v>
      </c>
      <c r="C4590">
        <v>51006674</v>
      </c>
      <c r="D4590">
        <v>16.5</v>
      </c>
      <c r="E4590" t="s">
        <v>95</v>
      </c>
      <c r="F4590">
        <v>1081</v>
      </c>
      <c r="G4590" s="4">
        <v>46087.602233796293</v>
      </c>
    </row>
    <row r="4591" spans="1:7" x14ac:dyDescent="0.3">
      <c r="A4591">
        <v>11748</v>
      </c>
      <c r="B4591" t="s">
        <v>148</v>
      </c>
      <c r="C4591">
        <v>51010094</v>
      </c>
      <c r="D4591">
        <v>15.3</v>
      </c>
      <c r="E4591" t="s">
        <v>95</v>
      </c>
      <c r="F4591">
        <v>1093</v>
      </c>
      <c r="G4591" s="4">
        <v>46087.602233796293</v>
      </c>
    </row>
    <row r="4592" spans="1:7" x14ac:dyDescent="0.3">
      <c r="A4592">
        <v>11749</v>
      </c>
      <c r="B4592" t="s">
        <v>148</v>
      </c>
      <c r="C4592">
        <v>51010108</v>
      </c>
      <c r="D4592">
        <v>10.36</v>
      </c>
      <c r="E4592" t="s">
        <v>95</v>
      </c>
      <c r="F4592">
        <v>1171</v>
      </c>
      <c r="G4592" s="4">
        <v>46087.602233796293</v>
      </c>
    </row>
    <row r="4593" spans="1:7" x14ac:dyDescent="0.3">
      <c r="A4593">
        <v>11750</v>
      </c>
      <c r="B4593" t="s">
        <v>148</v>
      </c>
      <c r="C4593">
        <v>51010167</v>
      </c>
      <c r="D4593">
        <v>22.655000000000001</v>
      </c>
      <c r="E4593" t="s">
        <v>95</v>
      </c>
      <c r="F4593">
        <v>997</v>
      </c>
      <c r="G4593" s="4">
        <v>46087.602233796293</v>
      </c>
    </row>
    <row r="4594" spans="1:7" x14ac:dyDescent="0.3">
      <c r="A4594">
        <v>11751</v>
      </c>
      <c r="B4594" t="s">
        <v>148</v>
      </c>
      <c r="C4594">
        <v>51010388</v>
      </c>
      <c r="D4594">
        <v>7.91</v>
      </c>
      <c r="E4594" t="s">
        <v>95</v>
      </c>
      <c r="F4594">
        <v>1189</v>
      </c>
      <c r="G4594" s="4">
        <v>46087.602233796293</v>
      </c>
    </row>
    <row r="4595" spans="1:7" x14ac:dyDescent="0.3">
      <c r="A4595">
        <v>11752</v>
      </c>
      <c r="B4595" t="s">
        <v>148</v>
      </c>
      <c r="C4595">
        <v>51010477</v>
      </c>
      <c r="D4595">
        <v>16.899999999999999</v>
      </c>
      <c r="E4595" t="s">
        <v>95</v>
      </c>
      <c r="F4595">
        <v>1073</v>
      </c>
      <c r="G4595" s="4">
        <v>46087.602233796293</v>
      </c>
    </row>
    <row r="4596" spans="1:7" x14ac:dyDescent="0.3">
      <c r="A4596">
        <v>11753</v>
      </c>
      <c r="B4596" t="s">
        <v>148</v>
      </c>
      <c r="C4596">
        <v>51010485</v>
      </c>
      <c r="D4596">
        <v>9.870000000000001</v>
      </c>
      <c r="E4596" t="s">
        <v>95</v>
      </c>
      <c r="F4596">
        <v>1177</v>
      </c>
      <c r="G4596" s="4">
        <v>46087.602233796293</v>
      </c>
    </row>
    <row r="4597" spans="1:7" x14ac:dyDescent="0.3">
      <c r="A4597">
        <v>11754</v>
      </c>
      <c r="B4597" t="s">
        <v>148</v>
      </c>
      <c r="C4597">
        <v>51010612</v>
      </c>
      <c r="D4597">
        <v>9.5899999999999981</v>
      </c>
      <c r="E4597" t="s">
        <v>95</v>
      </c>
      <c r="F4597">
        <v>1179</v>
      </c>
      <c r="G4597" s="4">
        <v>46087.602233796293</v>
      </c>
    </row>
    <row r="4598" spans="1:7" x14ac:dyDescent="0.3">
      <c r="A4598">
        <v>11755</v>
      </c>
      <c r="B4598" t="s">
        <v>148</v>
      </c>
      <c r="C4598">
        <v>51010639</v>
      </c>
      <c r="D4598">
        <v>18.100000000000001</v>
      </c>
      <c r="E4598" t="s">
        <v>95</v>
      </c>
      <c r="F4598">
        <v>1056</v>
      </c>
      <c r="G4598" s="4">
        <v>46087.602233796293</v>
      </c>
    </row>
    <row r="4599" spans="1:7" x14ac:dyDescent="0.3">
      <c r="A4599">
        <v>11756</v>
      </c>
      <c r="B4599" t="s">
        <v>148</v>
      </c>
      <c r="C4599">
        <v>51010965</v>
      </c>
      <c r="D4599">
        <v>8.33</v>
      </c>
      <c r="E4599" t="s">
        <v>95</v>
      </c>
      <c r="F4599">
        <v>1185</v>
      </c>
      <c r="G4599" s="4">
        <v>46087.602233796293</v>
      </c>
    </row>
    <row r="4600" spans="1:7" x14ac:dyDescent="0.3">
      <c r="A4600">
        <v>11757</v>
      </c>
      <c r="B4600" t="s">
        <v>148</v>
      </c>
      <c r="C4600">
        <v>51011082</v>
      </c>
      <c r="D4600">
        <v>87.498302214920244</v>
      </c>
      <c r="E4600" t="s">
        <v>92</v>
      </c>
      <c r="F4600">
        <v>189</v>
      </c>
      <c r="G4600" s="4">
        <v>46087.602233796293</v>
      </c>
    </row>
    <row r="4601" spans="1:7" x14ac:dyDescent="0.3">
      <c r="A4601">
        <v>11758</v>
      </c>
      <c r="B4601" t="s">
        <v>148</v>
      </c>
      <c r="C4601">
        <v>51011104</v>
      </c>
      <c r="D4601">
        <v>82.190641957407578</v>
      </c>
      <c r="E4601" t="s">
        <v>93</v>
      </c>
      <c r="F4601">
        <v>342</v>
      </c>
      <c r="G4601" s="4">
        <v>46087.602233796293</v>
      </c>
    </row>
    <row r="4602" spans="1:7" x14ac:dyDescent="0.3">
      <c r="A4602">
        <v>11759</v>
      </c>
      <c r="B4602" t="s">
        <v>148</v>
      </c>
      <c r="C4602">
        <v>51011163</v>
      </c>
      <c r="D4602">
        <v>81.92449944611721</v>
      </c>
      <c r="E4602" t="s">
        <v>93</v>
      </c>
      <c r="F4602">
        <v>351</v>
      </c>
      <c r="G4602" s="4">
        <v>46087.602233796293</v>
      </c>
    </row>
    <row r="4603" spans="1:7" x14ac:dyDescent="0.3">
      <c r="A4603">
        <v>11760</v>
      </c>
      <c r="B4603" t="s">
        <v>148</v>
      </c>
      <c r="C4603">
        <v>51011406</v>
      </c>
      <c r="D4603">
        <v>18.829999999999998</v>
      </c>
      <c r="E4603" t="s">
        <v>95</v>
      </c>
      <c r="F4603">
        <v>1043</v>
      </c>
      <c r="G4603" s="4">
        <v>46087.602233796293</v>
      </c>
    </row>
    <row r="4604" spans="1:7" x14ac:dyDescent="0.3">
      <c r="A4604">
        <v>11761</v>
      </c>
      <c r="B4604" t="s">
        <v>148</v>
      </c>
      <c r="C4604">
        <v>51011503</v>
      </c>
      <c r="D4604">
        <v>16.384999999999998</v>
      </c>
      <c r="E4604" t="s">
        <v>95</v>
      </c>
      <c r="F4604">
        <v>1082</v>
      </c>
      <c r="G4604" s="4">
        <v>46087.602233796293</v>
      </c>
    </row>
    <row r="4605" spans="1:7" x14ac:dyDescent="0.3">
      <c r="A4605">
        <v>11762</v>
      </c>
      <c r="B4605" t="s">
        <v>148</v>
      </c>
      <c r="C4605">
        <v>51011511</v>
      </c>
      <c r="D4605">
        <v>50.322514306966255</v>
      </c>
      <c r="E4605" t="s">
        <v>94</v>
      </c>
      <c r="F4605">
        <v>822</v>
      </c>
      <c r="G4605" s="4">
        <v>46087.602233796293</v>
      </c>
    </row>
    <row r="4606" spans="1:7" x14ac:dyDescent="0.3">
      <c r="A4606">
        <v>11763</v>
      </c>
      <c r="B4606" t="s">
        <v>148</v>
      </c>
      <c r="C4606">
        <v>51011881</v>
      </c>
      <c r="D4606">
        <v>17.7</v>
      </c>
      <c r="E4606" t="s">
        <v>95</v>
      </c>
      <c r="F4606">
        <v>1063</v>
      </c>
      <c r="G4606" s="4">
        <v>46087.602233796293</v>
      </c>
    </row>
    <row r="4607" spans="1:7" x14ac:dyDescent="0.3">
      <c r="A4607">
        <v>11764</v>
      </c>
      <c r="B4607" t="s">
        <v>148</v>
      </c>
      <c r="C4607">
        <v>51011911</v>
      </c>
      <c r="D4607">
        <v>79.254999999999995</v>
      </c>
      <c r="E4607" t="s">
        <v>93</v>
      </c>
      <c r="F4607">
        <v>423</v>
      </c>
      <c r="G4607" s="4">
        <v>46087.602233796293</v>
      </c>
    </row>
    <row r="4608" spans="1:7" x14ac:dyDescent="0.3">
      <c r="A4608">
        <v>11765</v>
      </c>
      <c r="B4608" t="s">
        <v>148</v>
      </c>
      <c r="C4608">
        <v>51011945</v>
      </c>
      <c r="D4608">
        <v>18.100000000000001</v>
      </c>
      <c r="E4608" t="s">
        <v>95</v>
      </c>
      <c r="F4608">
        <v>1056</v>
      </c>
      <c r="G4608" s="4">
        <v>46087.602233796293</v>
      </c>
    </row>
    <row r="4609" spans="1:7" x14ac:dyDescent="0.3">
      <c r="A4609">
        <v>11766</v>
      </c>
      <c r="B4609" t="s">
        <v>148</v>
      </c>
      <c r="C4609">
        <v>51012089</v>
      </c>
      <c r="D4609">
        <v>13.5</v>
      </c>
      <c r="E4609" t="s">
        <v>95</v>
      </c>
      <c r="F4609">
        <v>1111</v>
      </c>
      <c r="G4609" s="4">
        <v>46087.602233796293</v>
      </c>
    </row>
    <row r="4610" spans="1:7" x14ac:dyDescent="0.3">
      <c r="A4610">
        <v>11767</v>
      </c>
      <c r="B4610" t="s">
        <v>148</v>
      </c>
      <c r="C4610">
        <v>51012283</v>
      </c>
      <c r="D4610">
        <v>15.328000000000001</v>
      </c>
      <c r="E4610" t="s">
        <v>95</v>
      </c>
      <c r="F4610">
        <v>1092</v>
      </c>
      <c r="G4610" s="4">
        <v>46087.602233796293</v>
      </c>
    </row>
    <row r="4611" spans="1:7" x14ac:dyDescent="0.3">
      <c r="A4611">
        <v>11768</v>
      </c>
      <c r="B4611" t="s">
        <v>148</v>
      </c>
      <c r="C4611">
        <v>51012429</v>
      </c>
      <c r="D4611">
        <v>18.899999999999999</v>
      </c>
      <c r="E4611" t="s">
        <v>95</v>
      </c>
      <c r="F4611">
        <v>1039</v>
      </c>
      <c r="G4611" s="4">
        <v>46087.602233796293</v>
      </c>
    </row>
    <row r="4612" spans="1:7" x14ac:dyDescent="0.3">
      <c r="A4612">
        <v>11769</v>
      </c>
      <c r="B4612" t="s">
        <v>148</v>
      </c>
      <c r="C4612">
        <v>51012569</v>
      </c>
      <c r="D4612">
        <v>15.96</v>
      </c>
      <c r="E4612" t="s">
        <v>95</v>
      </c>
      <c r="F4612">
        <v>1089</v>
      </c>
      <c r="G4612" s="4">
        <v>46087.602233796293</v>
      </c>
    </row>
    <row r="4613" spans="1:7" x14ac:dyDescent="0.3">
      <c r="A4613">
        <v>11770</v>
      </c>
      <c r="B4613" t="s">
        <v>148</v>
      </c>
      <c r="C4613">
        <v>51012631</v>
      </c>
      <c r="D4613">
        <v>12.980000000000002</v>
      </c>
      <c r="E4613" t="s">
        <v>95</v>
      </c>
      <c r="F4613">
        <v>1124</v>
      </c>
      <c r="G4613" s="4">
        <v>46087.602233796293</v>
      </c>
    </row>
    <row r="4614" spans="1:7" x14ac:dyDescent="0.3">
      <c r="A4614">
        <v>11771</v>
      </c>
      <c r="B4614" t="s">
        <v>148</v>
      </c>
      <c r="C4614">
        <v>51012844</v>
      </c>
      <c r="D4614">
        <v>12.611154018469689</v>
      </c>
      <c r="E4614" t="s">
        <v>95</v>
      </c>
      <c r="F4614">
        <v>1133</v>
      </c>
      <c r="G4614" s="4">
        <v>46087.602233796293</v>
      </c>
    </row>
    <row r="4615" spans="1:7" x14ac:dyDescent="0.3">
      <c r="A4615">
        <v>11772</v>
      </c>
      <c r="B4615" t="s">
        <v>148</v>
      </c>
      <c r="C4615">
        <v>51012925</v>
      </c>
      <c r="D4615">
        <v>7.56</v>
      </c>
      <c r="E4615" t="s">
        <v>95</v>
      </c>
      <c r="F4615">
        <v>1192</v>
      </c>
      <c r="G4615" s="4">
        <v>46087.602233796293</v>
      </c>
    </row>
    <row r="4616" spans="1:7" x14ac:dyDescent="0.3">
      <c r="A4616">
        <v>11773</v>
      </c>
      <c r="B4616" t="s">
        <v>148</v>
      </c>
      <c r="C4616">
        <v>51012968</v>
      </c>
      <c r="D4616">
        <v>35.879999999999995</v>
      </c>
      <c r="E4616" t="s">
        <v>94</v>
      </c>
      <c r="F4616">
        <v>902</v>
      </c>
      <c r="G4616" s="4">
        <v>46087.602233796293</v>
      </c>
    </row>
    <row r="4617" spans="1:7" x14ac:dyDescent="0.3">
      <c r="A4617">
        <v>11774</v>
      </c>
      <c r="B4617" t="s">
        <v>148</v>
      </c>
      <c r="C4617">
        <v>51013042</v>
      </c>
      <c r="D4617">
        <v>54.499913293470755</v>
      </c>
      <c r="E4617" t="s">
        <v>94</v>
      </c>
      <c r="F4617">
        <v>785</v>
      </c>
      <c r="G4617" s="4">
        <v>46087.602233796293</v>
      </c>
    </row>
    <row r="4618" spans="1:7" x14ac:dyDescent="0.3">
      <c r="A4618">
        <v>11775</v>
      </c>
      <c r="B4618" t="s">
        <v>148</v>
      </c>
      <c r="C4618">
        <v>51013123</v>
      </c>
      <c r="D4618">
        <v>11</v>
      </c>
      <c r="E4618" t="s">
        <v>95</v>
      </c>
      <c r="F4618">
        <v>1154</v>
      </c>
      <c r="G4618" s="4">
        <v>46087.602233796293</v>
      </c>
    </row>
    <row r="4619" spans="1:7" x14ac:dyDescent="0.3">
      <c r="A4619">
        <v>11776</v>
      </c>
      <c r="B4619" t="s">
        <v>148</v>
      </c>
      <c r="C4619">
        <v>51013174</v>
      </c>
      <c r="D4619">
        <v>14.489999999999998</v>
      </c>
      <c r="E4619" t="s">
        <v>95</v>
      </c>
      <c r="F4619">
        <v>1101</v>
      </c>
      <c r="G4619" s="4">
        <v>46087.602233796293</v>
      </c>
    </row>
    <row r="4620" spans="1:7" x14ac:dyDescent="0.3">
      <c r="A4620">
        <v>11777</v>
      </c>
      <c r="B4620" t="s">
        <v>148</v>
      </c>
      <c r="C4620">
        <v>51013263</v>
      </c>
      <c r="D4620">
        <v>18.399999999999999</v>
      </c>
      <c r="E4620" t="s">
        <v>95</v>
      </c>
      <c r="F4620">
        <v>1052</v>
      </c>
      <c r="G4620" s="4">
        <v>46087.602233796293</v>
      </c>
    </row>
    <row r="4621" spans="1:7" x14ac:dyDescent="0.3">
      <c r="A4621">
        <v>11778</v>
      </c>
      <c r="B4621" t="s">
        <v>148</v>
      </c>
      <c r="C4621">
        <v>51013751</v>
      </c>
      <c r="D4621">
        <v>49.351164222496756</v>
      </c>
      <c r="E4621" t="s">
        <v>94</v>
      </c>
      <c r="F4621">
        <v>831</v>
      </c>
      <c r="G4621" s="4">
        <v>46087.602233796293</v>
      </c>
    </row>
    <row r="4622" spans="1:7" x14ac:dyDescent="0.3">
      <c r="A4622">
        <v>11779</v>
      </c>
      <c r="B4622" t="s">
        <v>148</v>
      </c>
      <c r="C4622">
        <v>51013905</v>
      </c>
      <c r="D4622">
        <v>10.8</v>
      </c>
      <c r="E4622" t="s">
        <v>95</v>
      </c>
      <c r="F4622">
        <v>1159</v>
      </c>
      <c r="G4622" s="4">
        <v>46087.602233796293</v>
      </c>
    </row>
    <row r="4623" spans="1:7" x14ac:dyDescent="0.3">
      <c r="A4623">
        <v>11780</v>
      </c>
      <c r="B4623" t="s">
        <v>148</v>
      </c>
      <c r="C4623">
        <v>51014073</v>
      </c>
      <c r="D4623">
        <v>18.200000000000003</v>
      </c>
      <c r="E4623" t="s">
        <v>95</v>
      </c>
      <c r="F4623">
        <v>1054</v>
      </c>
      <c r="G4623" s="4">
        <v>46087.602233796293</v>
      </c>
    </row>
    <row r="4624" spans="1:7" x14ac:dyDescent="0.3">
      <c r="A4624">
        <v>11781</v>
      </c>
      <c r="B4624" t="s">
        <v>148</v>
      </c>
      <c r="C4624">
        <v>51014154</v>
      </c>
      <c r="D4624">
        <v>13.02</v>
      </c>
      <c r="E4624" t="s">
        <v>95</v>
      </c>
      <c r="F4624">
        <v>1123</v>
      </c>
      <c r="G4624" s="4">
        <v>46087.602233796293</v>
      </c>
    </row>
    <row r="4625" spans="1:7" x14ac:dyDescent="0.3">
      <c r="A4625">
        <v>11782</v>
      </c>
      <c r="B4625" t="s">
        <v>148</v>
      </c>
      <c r="C4625">
        <v>51014227</v>
      </c>
      <c r="D4625">
        <v>52.291971982355271</v>
      </c>
      <c r="E4625" t="s">
        <v>94</v>
      </c>
      <c r="F4625">
        <v>806</v>
      </c>
      <c r="G4625" s="4">
        <v>46087.602233796293</v>
      </c>
    </row>
    <row r="4626" spans="1:7" x14ac:dyDescent="0.3">
      <c r="A4626">
        <v>11783</v>
      </c>
      <c r="B4626" t="s">
        <v>148</v>
      </c>
      <c r="C4626">
        <v>51014651</v>
      </c>
      <c r="D4626">
        <v>13.8</v>
      </c>
      <c r="E4626" t="s">
        <v>95</v>
      </c>
      <c r="F4626">
        <v>1105</v>
      </c>
      <c r="G4626" s="4">
        <v>46087.602233796293</v>
      </c>
    </row>
    <row r="4627" spans="1:7" x14ac:dyDescent="0.3">
      <c r="A4627">
        <v>11784</v>
      </c>
      <c r="B4627" t="s">
        <v>148</v>
      </c>
      <c r="C4627">
        <v>51014723</v>
      </c>
      <c r="D4627">
        <v>11.339999999999998</v>
      </c>
      <c r="E4627" t="s">
        <v>95</v>
      </c>
      <c r="F4627">
        <v>1151</v>
      </c>
      <c r="G4627" s="4">
        <v>46087.602233796293</v>
      </c>
    </row>
    <row r="4628" spans="1:7" x14ac:dyDescent="0.3">
      <c r="A4628">
        <v>11785</v>
      </c>
      <c r="B4628" t="s">
        <v>148</v>
      </c>
      <c r="C4628">
        <v>51015282</v>
      </c>
      <c r="D4628">
        <v>12.540000000000001</v>
      </c>
      <c r="E4628" t="s">
        <v>95</v>
      </c>
      <c r="F4628">
        <v>1134</v>
      </c>
      <c r="G4628" s="4">
        <v>46087.602233796293</v>
      </c>
    </row>
    <row r="4629" spans="1:7" x14ac:dyDescent="0.3">
      <c r="A4629">
        <v>11786</v>
      </c>
      <c r="B4629" t="s">
        <v>148</v>
      </c>
      <c r="C4629">
        <v>51015576</v>
      </c>
      <c r="D4629">
        <v>10.9</v>
      </c>
      <c r="E4629" t="s">
        <v>95</v>
      </c>
      <c r="F4629">
        <v>1157</v>
      </c>
      <c r="G4629" s="4">
        <v>46087.602233796293</v>
      </c>
    </row>
    <row r="4630" spans="1:7" x14ac:dyDescent="0.3">
      <c r="A4630">
        <v>11787</v>
      </c>
      <c r="B4630" t="s">
        <v>148</v>
      </c>
      <c r="C4630">
        <v>51015690</v>
      </c>
      <c r="D4630">
        <v>10.8</v>
      </c>
      <c r="E4630" t="s">
        <v>95</v>
      </c>
      <c r="F4630">
        <v>1159</v>
      </c>
      <c r="G4630" s="4">
        <v>46087.602233796293</v>
      </c>
    </row>
    <row r="4631" spans="1:7" x14ac:dyDescent="0.3">
      <c r="A4631">
        <v>11788</v>
      </c>
      <c r="B4631" t="s">
        <v>148</v>
      </c>
      <c r="C4631">
        <v>51015738</v>
      </c>
      <c r="D4631">
        <v>10.6</v>
      </c>
      <c r="E4631" t="s">
        <v>95</v>
      </c>
      <c r="F4631">
        <v>1166</v>
      </c>
      <c r="G4631" s="4">
        <v>46087.602233796293</v>
      </c>
    </row>
    <row r="4632" spans="1:7" x14ac:dyDescent="0.3">
      <c r="A4632">
        <v>11789</v>
      </c>
      <c r="B4632" t="s">
        <v>148</v>
      </c>
      <c r="C4632">
        <v>51015959</v>
      </c>
      <c r="D4632">
        <v>12.529999999999998</v>
      </c>
      <c r="E4632" t="s">
        <v>95</v>
      </c>
      <c r="F4632">
        <v>1135</v>
      </c>
      <c r="G4632" s="4">
        <v>46087.602233796293</v>
      </c>
    </row>
    <row r="4633" spans="1:7" x14ac:dyDescent="0.3">
      <c r="A4633">
        <v>11790</v>
      </c>
      <c r="B4633" t="s">
        <v>148</v>
      </c>
      <c r="C4633">
        <v>51015991</v>
      </c>
      <c r="D4633">
        <v>11.41</v>
      </c>
      <c r="E4633" t="s">
        <v>95</v>
      </c>
      <c r="F4633">
        <v>1149</v>
      </c>
      <c r="G4633" s="4">
        <v>46087.602233796293</v>
      </c>
    </row>
    <row r="4634" spans="1:7" x14ac:dyDescent="0.3">
      <c r="A4634">
        <v>11791</v>
      </c>
      <c r="B4634" t="s">
        <v>148</v>
      </c>
      <c r="C4634">
        <v>51016122</v>
      </c>
      <c r="D4634">
        <v>70.504464920627683</v>
      </c>
      <c r="E4634" t="s">
        <v>93</v>
      </c>
      <c r="F4634">
        <v>539</v>
      </c>
      <c r="G4634" s="4">
        <v>46087.602233796293</v>
      </c>
    </row>
    <row r="4635" spans="1:7" x14ac:dyDescent="0.3">
      <c r="A4635">
        <v>11792</v>
      </c>
      <c r="B4635" t="s">
        <v>148</v>
      </c>
      <c r="C4635">
        <v>51016190</v>
      </c>
      <c r="D4635">
        <v>28.5</v>
      </c>
      <c r="E4635" t="s">
        <v>95</v>
      </c>
      <c r="F4635">
        <v>959</v>
      </c>
      <c r="G4635" s="4">
        <v>46087.602233796293</v>
      </c>
    </row>
    <row r="4636" spans="1:7" x14ac:dyDescent="0.3">
      <c r="A4636">
        <v>11793</v>
      </c>
      <c r="B4636" t="s">
        <v>148</v>
      </c>
      <c r="C4636">
        <v>51016505</v>
      </c>
      <c r="D4636">
        <v>64.874601592806684</v>
      </c>
      <c r="E4636" t="s">
        <v>94</v>
      </c>
      <c r="F4636">
        <v>605</v>
      </c>
      <c r="G4636" s="4">
        <v>46087.602233796293</v>
      </c>
    </row>
    <row r="4637" spans="1:7" x14ac:dyDescent="0.3">
      <c r="A4637">
        <v>11794</v>
      </c>
      <c r="B4637" t="s">
        <v>148</v>
      </c>
      <c r="C4637">
        <v>51016670</v>
      </c>
      <c r="D4637">
        <v>28.785</v>
      </c>
      <c r="E4637" t="s">
        <v>95</v>
      </c>
      <c r="F4637">
        <v>957</v>
      </c>
      <c r="G4637" s="4">
        <v>46087.602233796293</v>
      </c>
    </row>
    <row r="4638" spans="1:7" x14ac:dyDescent="0.3">
      <c r="A4638">
        <v>11795</v>
      </c>
      <c r="B4638" t="s">
        <v>148</v>
      </c>
      <c r="C4638">
        <v>51016751</v>
      </c>
      <c r="D4638">
        <v>52.214658327130991</v>
      </c>
      <c r="E4638" t="s">
        <v>94</v>
      </c>
      <c r="F4638">
        <v>807</v>
      </c>
      <c r="G4638" s="4">
        <v>46087.602233796293</v>
      </c>
    </row>
    <row r="4639" spans="1:7" x14ac:dyDescent="0.3">
      <c r="A4639">
        <v>11796</v>
      </c>
      <c r="B4639" t="s">
        <v>148</v>
      </c>
      <c r="C4639">
        <v>51016769</v>
      </c>
      <c r="D4639">
        <v>19.600000000000001</v>
      </c>
      <c r="E4639" t="s">
        <v>95</v>
      </c>
      <c r="F4639">
        <v>1023</v>
      </c>
      <c r="G4639" s="4">
        <v>46087.602233796293</v>
      </c>
    </row>
    <row r="4640" spans="1:7" x14ac:dyDescent="0.3">
      <c r="A4640">
        <v>11797</v>
      </c>
      <c r="B4640" t="s">
        <v>148</v>
      </c>
      <c r="C4640">
        <v>51016807</v>
      </c>
      <c r="D4640">
        <v>89.834152212359584</v>
      </c>
      <c r="E4640" t="s">
        <v>92</v>
      </c>
      <c r="F4640">
        <v>128</v>
      </c>
      <c r="G4640" s="4">
        <v>46087.602233796293</v>
      </c>
    </row>
    <row r="4641" spans="1:7" x14ac:dyDescent="0.3">
      <c r="A4641">
        <v>11798</v>
      </c>
      <c r="B4641" t="s">
        <v>148</v>
      </c>
      <c r="C4641">
        <v>51016912</v>
      </c>
      <c r="D4641">
        <v>40.130778859048263</v>
      </c>
      <c r="E4641" t="s">
        <v>94</v>
      </c>
      <c r="F4641">
        <v>887</v>
      </c>
      <c r="G4641" s="4">
        <v>46087.602233796293</v>
      </c>
    </row>
    <row r="4642" spans="1:7" x14ac:dyDescent="0.3">
      <c r="A4642">
        <v>11799</v>
      </c>
      <c r="B4642" t="s">
        <v>148</v>
      </c>
      <c r="C4642">
        <v>51017005</v>
      </c>
      <c r="D4642">
        <v>19.204999999999998</v>
      </c>
      <c r="E4642" t="s">
        <v>95</v>
      </c>
      <c r="F4642">
        <v>1030</v>
      </c>
      <c r="G4642" s="4">
        <v>46087.602233796293</v>
      </c>
    </row>
    <row r="4643" spans="1:7" x14ac:dyDescent="0.3">
      <c r="A4643">
        <v>11800</v>
      </c>
      <c r="B4643" t="s">
        <v>148</v>
      </c>
      <c r="C4643">
        <v>51017200</v>
      </c>
      <c r="D4643">
        <v>17.600000000000001</v>
      </c>
      <c r="E4643" t="s">
        <v>95</v>
      </c>
      <c r="F4643">
        <v>1064</v>
      </c>
      <c r="G4643" s="4">
        <v>46087.602233796293</v>
      </c>
    </row>
    <row r="4644" spans="1:7" x14ac:dyDescent="0.3">
      <c r="A4644">
        <v>11801</v>
      </c>
      <c r="B4644" t="s">
        <v>148</v>
      </c>
      <c r="C4644">
        <v>51017692</v>
      </c>
      <c r="D4644">
        <v>10.3</v>
      </c>
      <c r="E4644" t="s">
        <v>95</v>
      </c>
      <c r="F4644">
        <v>1172</v>
      </c>
      <c r="G4644" s="4">
        <v>46087.602233796293</v>
      </c>
    </row>
    <row r="4645" spans="1:7" x14ac:dyDescent="0.3">
      <c r="A4645">
        <v>11802</v>
      </c>
      <c r="B4645" t="s">
        <v>148</v>
      </c>
      <c r="C4645">
        <v>51017781</v>
      </c>
      <c r="D4645">
        <v>37.950000000000003</v>
      </c>
      <c r="E4645" t="s">
        <v>94</v>
      </c>
      <c r="F4645">
        <v>891</v>
      </c>
      <c r="G4645" s="4">
        <v>46087.602233796293</v>
      </c>
    </row>
    <row r="4646" spans="1:7" x14ac:dyDescent="0.3">
      <c r="A4646">
        <v>11803</v>
      </c>
      <c r="B4646" t="s">
        <v>148</v>
      </c>
      <c r="C4646">
        <v>51018010</v>
      </c>
      <c r="D4646">
        <v>16.800631181617277</v>
      </c>
      <c r="E4646" t="s">
        <v>95</v>
      </c>
      <c r="F4646">
        <v>1074</v>
      </c>
      <c r="G4646" s="4">
        <v>46087.602233796293</v>
      </c>
    </row>
    <row r="4647" spans="1:7" x14ac:dyDescent="0.3">
      <c r="A4647">
        <v>11804</v>
      </c>
      <c r="B4647" t="s">
        <v>148</v>
      </c>
      <c r="C4647">
        <v>51018168</v>
      </c>
      <c r="D4647">
        <v>21.07</v>
      </c>
      <c r="E4647" t="s">
        <v>95</v>
      </c>
      <c r="F4647">
        <v>1010</v>
      </c>
      <c r="G4647" s="4">
        <v>46087.602233796293</v>
      </c>
    </row>
    <row r="4648" spans="1:7" x14ac:dyDescent="0.3">
      <c r="A4648">
        <v>11805</v>
      </c>
      <c r="B4648" t="s">
        <v>148</v>
      </c>
      <c r="C4648">
        <v>51018192</v>
      </c>
      <c r="D4648">
        <v>17.940000000000001</v>
      </c>
      <c r="E4648" t="s">
        <v>95</v>
      </c>
      <c r="F4648">
        <v>1060</v>
      </c>
      <c r="G4648" s="4">
        <v>46087.602233796293</v>
      </c>
    </row>
    <row r="4649" spans="1:7" x14ac:dyDescent="0.3">
      <c r="A4649">
        <v>11806</v>
      </c>
      <c r="B4649" t="s">
        <v>148</v>
      </c>
      <c r="C4649">
        <v>51018281</v>
      </c>
      <c r="D4649">
        <v>28.319571537872992</v>
      </c>
      <c r="E4649" t="s">
        <v>95</v>
      </c>
      <c r="F4649">
        <v>961</v>
      </c>
      <c r="G4649" s="4">
        <v>46087.602233796293</v>
      </c>
    </row>
    <row r="4650" spans="1:7" x14ac:dyDescent="0.3">
      <c r="A4650">
        <v>11807</v>
      </c>
      <c r="B4650" t="s">
        <v>148</v>
      </c>
      <c r="C4650">
        <v>51018915</v>
      </c>
      <c r="D4650">
        <v>19.3</v>
      </c>
      <c r="E4650" t="s">
        <v>95</v>
      </c>
      <c r="F4650">
        <v>1028</v>
      </c>
      <c r="G4650" s="4">
        <v>46087.602233796293</v>
      </c>
    </row>
    <row r="4651" spans="1:7" x14ac:dyDescent="0.3">
      <c r="A4651">
        <v>11808</v>
      </c>
      <c r="B4651" t="s">
        <v>148</v>
      </c>
      <c r="C4651">
        <v>51019075</v>
      </c>
      <c r="D4651">
        <v>16.2</v>
      </c>
      <c r="E4651" t="s">
        <v>95</v>
      </c>
      <c r="F4651">
        <v>1083</v>
      </c>
      <c r="G4651" s="4">
        <v>46087.602233796293</v>
      </c>
    </row>
    <row r="4652" spans="1:7" x14ac:dyDescent="0.3">
      <c r="A4652">
        <v>11809</v>
      </c>
      <c r="B4652" t="s">
        <v>148</v>
      </c>
      <c r="C4652">
        <v>51019156</v>
      </c>
      <c r="D4652">
        <v>8.3999999999999986</v>
      </c>
      <c r="E4652" t="s">
        <v>95</v>
      </c>
      <c r="F4652">
        <v>1183</v>
      </c>
      <c r="G4652" s="4">
        <v>46087.602233796293</v>
      </c>
    </row>
    <row r="4653" spans="1:7" x14ac:dyDescent="0.3">
      <c r="A4653">
        <v>11810</v>
      </c>
      <c r="B4653" t="s">
        <v>148</v>
      </c>
      <c r="C4653">
        <v>51019181</v>
      </c>
      <c r="D4653">
        <v>19.100000000000001</v>
      </c>
      <c r="E4653" t="s">
        <v>95</v>
      </c>
      <c r="F4653">
        <v>1035</v>
      </c>
      <c r="G4653" s="4">
        <v>46087.602233796293</v>
      </c>
    </row>
    <row r="4654" spans="1:7" x14ac:dyDescent="0.3">
      <c r="A4654">
        <v>11811</v>
      </c>
      <c r="B4654" t="s">
        <v>148</v>
      </c>
      <c r="C4654">
        <v>51019237</v>
      </c>
      <c r="D4654">
        <v>19.14</v>
      </c>
      <c r="E4654" t="s">
        <v>95</v>
      </c>
      <c r="F4654">
        <v>1032</v>
      </c>
      <c r="G4654" s="4">
        <v>46087.602233796293</v>
      </c>
    </row>
    <row r="4655" spans="1:7" x14ac:dyDescent="0.3">
      <c r="A4655">
        <v>11812</v>
      </c>
      <c r="B4655" t="s">
        <v>148</v>
      </c>
      <c r="C4655">
        <v>51019351</v>
      </c>
      <c r="D4655">
        <v>14.8</v>
      </c>
      <c r="E4655" t="s">
        <v>95</v>
      </c>
      <c r="F4655">
        <v>1097</v>
      </c>
      <c r="G4655" s="4">
        <v>46087.602233796293</v>
      </c>
    </row>
    <row r="4656" spans="1:7" x14ac:dyDescent="0.3">
      <c r="A4656">
        <v>11813</v>
      </c>
      <c r="B4656" t="s">
        <v>148</v>
      </c>
      <c r="C4656">
        <v>51019725</v>
      </c>
      <c r="D4656">
        <v>97.616689213587918</v>
      </c>
      <c r="E4656" t="s">
        <v>275</v>
      </c>
      <c r="F4656">
        <v>27</v>
      </c>
      <c r="G4656" s="4">
        <v>46087.602233796293</v>
      </c>
    </row>
    <row r="4657" spans="1:7" x14ac:dyDescent="0.3">
      <c r="A4657">
        <v>11814</v>
      </c>
      <c r="B4657" t="s">
        <v>148</v>
      </c>
      <c r="C4657">
        <v>51019768</v>
      </c>
      <c r="D4657">
        <v>12.4</v>
      </c>
      <c r="E4657" t="s">
        <v>95</v>
      </c>
      <c r="F4657">
        <v>1137</v>
      </c>
      <c r="G4657" s="4">
        <v>46087.602233796293</v>
      </c>
    </row>
    <row r="4658" spans="1:7" x14ac:dyDescent="0.3">
      <c r="A4658">
        <v>11815</v>
      </c>
      <c r="B4658" t="s">
        <v>148</v>
      </c>
      <c r="C4658">
        <v>51020120</v>
      </c>
      <c r="D4658">
        <v>19.910000000000004</v>
      </c>
      <c r="E4658" t="s">
        <v>95</v>
      </c>
      <c r="F4658">
        <v>1018</v>
      </c>
      <c r="G4658" s="4">
        <v>46087.602233796293</v>
      </c>
    </row>
    <row r="4659" spans="1:7" x14ac:dyDescent="0.3">
      <c r="A4659">
        <v>11816</v>
      </c>
      <c r="B4659" t="s">
        <v>148</v>
      </c>
      <c r="C4659">
        <v>51020154</v>
      </c>
      <c r="D4659">
        <v>14.080000000000002</v>
      </c>
      <c r="E4659" t="s">
        <v>95</v>
      </c>
      <c r="F4659">
        <v>1104</v>
      </c>
      <c r="G4659" s="4">
        <v>46087.602233796293</v>
      </c>
    </row>
    <row r="4660" spans="1:7" x14ac:dyDescent="0.3">
      <c r="A4660">
        <v>11817</v>
      </c>
      <c r="B4660" t="s">
        <v>148</v>
      </c>
      <c r="C4660">
        <v>51020740</v>
      </c>
      <c r="D4660">
        <v>84.11269812036825</v>
      </c>
      <c r="E4660" t="s">
        <v>93</v>
      </c>
      <c r="F4660">
        <v>281</v>
      </c>
      <c r="G4660" s="4">
        <v>46087.602233796293</v>
      </c>
    </row>
    <row r="4661" spans="1:7" x14ac:dyDescent="0.3">
      <c r="A4661">
        <v>11818</v>
      </c>
      <c r="B4661" t="s">
        <v>148</v>
      </c>
      <c r="C4661">
        <v>51021151</v>
      </c>
      <c r="D4661">
        <v>18.600000000000001</v>
      </c>
      <c r="E4661" t="s">
        <v>95</v>
      </c>
      <c r="F4661">
        <v>1048</v>
      </c>
      <c r="G4661" s="4">
        <v>46087.602233796293</v>
      </c>
    </row>
    <row r="4662" spans="1:7" x14ac:dyDescent="0.3">
      <c r="A4662">
        <v>11819</v>
      </c>
      <c r="B4662" t="s">
        <v>148</v>
      </c>
      <c r="C4662">
        <v>51021525</v>
      </c>
      <c r="D4662">
        <v>15.100000000000001</v>
      </c>
      <c r="E4662" t="s">
        <v>95</v>
      </c>
      <c r="F4662">
        <v>1095</v>
      </c>
      <c r="G4662" s="4">
        <v>46087.602233796293</v>
      </c>
    </row>
    <row r="4663" spans="1:7" x14ac:dyDescent="0.3">
      <c r="A4663">
        <v>11820</v>
      </c>
      <c r="B4663" t="s">
        <v>148</v>
      </c>
      <c r="C4663">
        <v>51021649</v>
      </c>
      <c r="D4663">
        <v>68.687182388566498</v>
      </c>
      <c r="E4663" t="s">
        <v>93</v>
      </c>
      <c r="F4663">
        <v>561</v>
      </c>
      <c r="G4663" s="4">
        <v>46087.602233796293</v>
      </c>
    </row>
    <row r="4664" spans="1:7" x14ac:dyDescent="0.3">
      <c r="A4664">
        <v>11821</v>
      </c>
      <c r="B4664" t="s">
        <v>148</v>
      </c>
      <c r="C4664">
        <v>51021908</v>
      </c>
      <c r="D4664">
        <v>10.199999999999999</v>
      </c>
      <c r="E4664" t="s">
        <v>95</v>
      </c>
      <c r="F4664">
        <v>1175</v>
      </c>
      <c r="G4664" s="4">
        <v>46087.602233796293</v>
      </c>
    </row>
    <row r="4665" spans="1:7" x14ac:dyDescent="0.3">
      <c r="A4665">
        <v>11822</v>
      </c>
      <c r="B4665" t="s">
        <v>148</v>
      </c>
      <c r="C4665">
        <v>51021924</v>
      </c>
      <c r="D4665">
        <v>17.399999999999999</v>
      </c>
      <c r="E4665" t="s">
        <v>95</v>
      </c>
      <c r="F4665">
        <v>1066</v>
      </c>
      <c r="G4665" s="4">
        <v>46087.602233796293</v>
      </c>
    </row>
    <row r="4666" spans="1:7" x14ac:dyDescent="0.3">
      <c r="A4666">
        <v>11823</v>
      </c>
      <c r="B4666" t="s">
        <v>148</v>
      </c>
      <c r="C4666">
        <v>51022203</v>
      </c>
      <c r="D4666">
        <v>10.29</v>
      </c>
      <c r="E4666" t="s">
        <v>95</v>
      </c>
      <c r="F4666">
        <v>1174</v>
      </c>
      <c r="G4666" s="4">
        <v>46087.602233796293</v>
      </c>
    </row>
    <row r="4667" spans="1:7" x14ac:dyDescent="0.3">
      <c r="A4667">
        <v>11824</v>
      </c>
      <c r="B4667" t="s">
        <v>148</v>
      </c>
      <c r="C4667">
        <v>51022271</v>
      </c>
      <c r="D4667">
        <v>12.179999999999998</v>
      </c>
      <c r="E4667" t="s">
        <v>95</v>
      </c>
      <c r="F4667">
        <v>1139</v>
      </c>
      <c r="G4667" s="4">
        <v>46087.602233796293</v>
      </c>
    </row>
    <row r="4668" spans="1:7" x14ac:dyDescent="0.3">
      <c r="A4668">
        <v>11825</v>
      </c>
      <c r="B4668" t="s">
        <v>148</v>
      </c>
      <c r="C4668">
        <v>51022297</v>
      </c>
      <c r="D4668">
        <v>18.974999999999998</v>
      </c>
      <c r="E4668" t="s">
        <v>95</v>
      </c>
      <c r="F4668">
        <v>1038</v>
      </c>
      <c r="G4668" s="4">
        <v>46087.602233796293</v>
      </c>
    </row>
    <row r="4669" spans="1:7" x14ac:dyDescent="0.3">
      <c r="A4669">
        <v>11826</v>
      </c>
      <c r="B4669" t="s">
        <v>148</v>
      </c>
      <c r="C4669">
        <v>51022807</v>
      </c>
      <c r="D4669">
        <v>84.834000592754577</v>
      </c>
      <c r="E4669" t="s">
        <v>93</v>
      </c>
      <c r="F4669">
        <v>260</v>
      </c>
      <c r="G4669" s="4">
        <v>46087.602233796293</v>
      </c>
    </row>
    <row r="4670" spans="1:7" x14ac:dyDescent="0.3">
      <c r="A4670">
        <v>11827</v>
      </c>
      <c r="B4670" t="s">
        <v>148</v>
      </c>
      <c r="C4670">
        <v>51022891</v>
      </c>
      <c r="D4670">
        <v>9.31</v>
      </c>
      <c r="E4670" t="s">
        <v>95</v>
      </c>
      <c r="F4670">
        <v>1180</v>
      </c>
      <c r="G4670" s="4">
        <v>46087.602233796293</v>
      </c>
    </row>
    <row r="4671" spans="1:7" x14ac:dyDescent="0.3">
      <c r="A4671">
        <v>11828</v>
      </c>
      <c r="B4671" t="s">
        <v>148</v>
      </c>
      <c r="C4671">
        <v>51022939</v>
      </c>
      <c r="D4671">
        <v>10.639999999999999</v>
      </c>
      <c r="E4671" t="s">
        <v>95</v>
      </c>
      <c r="F4671">
        <v>1163</v>
      </c>
      <c r="G4671" s="4">
        <v>46087.602233796293</v>
      </c>
    </row>
    <row r="4672" spans="1:7" x14ac:dyDescent="0.3">
      <c r="A4672">
        <v>11829</v>
      </c>
      <c r="B4672" t="s">
        <v>148</v>
      </c>
      <c r="C4672">
        <v>51023323</v>
      </c>
      <c r="D4672">
        <v>41.652780058601167</v>
      </c>
      <c r="E4672" t="s">
        <v>94</v>
      </c>
      <c r="F4672">
        <v>880</v>
      </c>
      <c r="G4672" s="4">
        <v>46087.602233796293</v>
      </c>
    </row>
    <row r="4673" spans="1:7" x14ac:dyDescent="0.3">
      <c r="A4673">
        <v>11830</v>
      </c>
      <c r="B4673" t="s">
        <v>148</v>
      </c>
      <c r="C4673">
        <v>51023447</v>
      </c>
      <c r="D4673">
        <v>11.129999999999999</v>
      </c>
      <c r="E4673" t="s">
        <v>95</v>
      </c>
      <c r="F4673">
        <v>1153</v>
      </c>
      <c r="G4673" s="4">
        <v>46087.602233796293</v>
      </c>
    </row>
    <row r="4674" spans="1:7" x14ac:dyDescent="0.3">
      <c r="A4674">
        <v>11831</v>
      </c>
      <c r="B4674" t="s">
        <v>148</v>
      </c>
      <c r="C4674">
        <v>51023463</v>
      </c>
      <c r="D4674">
        <v>15.290000000000001</v>
      </c>
      <c r="E4674" t="s">
        <v>95</v>
      </c>
      <c r="F4674">
        <v>1094</v>
      </c>
      <c r="G4674" s="4">
        <v>46087.602233796293</v>
      </c>
    </row>
    <row r="4675" spans="1:7" x14ac:dyDescent="0.3">
      <c r="A4675">
        <v>11832</v>
      </c>
      <c r="B4675" t="s">
        <v>148</v>
      </c>
      <c r="C4675">
        <v>51023510</v>
      </c>
      <c r="D4675">
        <v>21.734999999999996</v>
      </c>
      <c r="E4675" t="s">
        <v>95</v>
      </c>
      <c r="F4675">
        <v>1003</v>
      </c>
      <c r="G4675" s="4">
        <v>46087.602233796293</v>
      </c>
    </row>
    <row r="4676" spans="1:7" x14ac:dyDescent="0.3">
      <c r="A4676">
        <v>11833</v>
      </c>
      <c r="B4676" t="s">
        <v>148</v>
      </c>
      <c r="C4676">
        <v>51024338</v>
      </c>
      <c r="D4676">
        <v>10.4</v>
      </c>
      <c r="E4676" t="s">
        <v>95</v>
      </c>
      <c r="F4676">
        <v>1170</v>
      </c>
      <c r="G4676" s="4">
        <v>46087.602233796293</v>
      </c>
    </row>
    <row r="4677" spans="1:7" x14ac:dyDescent="0.3">
      <c r="A4677">
        <v>11834</v>
      </c>
      <c r="B4677" t="s">
        <v>148</v>
      </c>
      <c r="C4677">
        <v>51024346</v>
      </c>
      <c r="D4677">
        <v>20.680000000000003</v>
      </c>
      <c r="E4677" t="s">
        <v>95</v>
      </c>
      <c r="F4677">
        <v>1014</v>
      </c>
      <c r="G4677" s="4">
        <v>46087.602233796293</v>
      </c>
    </row>
    <row r="4678" spans="1:7" x14ac:dyDescent="0.3">
      <c r="A4678">
        <v>11835</v>
      </c>
      <c r="B4678" t="s">
        <v>148</v>
      </c>
      <c r="C4678">
        <v>51024354</v>
      </c>
      <c r="D4678">
        <v>12.7</v>
      </c>
      <c r="E4678" t="s">
        <v>95</v>
      </c>
      <c r="F4678">
        <v>1131</v>
      </c>
      <c r="G4678" s="4">
        <v>46087.602233796293</v>
      </c>
    </row>
    <row r="4679" spans="1:7" x14ac:dyDescent="0.3">
      <c r="A4679">
        <v>11836</v>
      </c>
      <c r="B4679" t="s">
        <v>148</v>
      </c>
      <c r="C4679">
        <v>51024788</v>
      </c>
      <c r="D4679">
        <v>13.6</v>
      </c>
      <c r="E4679" t="s">
        <v>95</v>
      </c>
      <c r="F4679">
        <v>1110</v>
      </c>
      <c r="G4679" s="4">
        <v>46087.602233796293</v>
      </c>
    </row>
    <row r="4680" spans="1:7" x14ac:dyDescent="0.3">
      <c r="A4680">
        <v>11837</v>
      </c>
      <c r="B4680" t="s">
        <v>148</v>
      </c>
      <c r="C4680">
        <v>51024907</v>
      </c>
      <c r="D4680">
        <v>12.879999999999999</v>
      </c>
      <c r="E4680" t="s">
        <v>95</v>
      </c>
      <c r="F4680">
        <v>1127</v>
      </c>
      <c r="G4680" s="4">
        <v>46087.602233796293</v>
      </c>
    </row>
    <row r="4681" spans="1:7" x14ac:dyDescent="0.3">
      <c r="A4681">
        <v>11838</v>
      </c>
      <c r="B4681" t="s">
        <v>148</v>
      </c>
      <c r="C4681">
        <v>51025598</v>
      </c>
      <c r="D4681">
        <v>12.764999999999999</v>
      </c>
      <c r="E4681" t="s">
        <v>95</v>
      </c>
      <c r="F4681">
        <v>1130</v>
      </c>
      <c r="G4681" s="4">
        <v>46087.602233796293</v>
      </c>
    </row>
    <row r="4682" spans="1:7" x14ac:dyDescent="0.3">
      <c r="A4682">
        <v>11839</v>
      </c>
      <c r="B4682" t="s">
        <v>148</v>
      </c>
      <c r="C4682">
        <v>51025601</v>
      </c>
      <c r="D4682">
        <v>49.243445493808927</v>
      </c>
      <c r="E4682" t="s">
        <v>94</v>
      </c>
      <c r="F4682">
        <v>833</v>
      </c>
      <c r="G4682" s="4">
        <v>46087.602233796293</v>
      </c>
    </row>
    <row r="4683" spans="1:7" x14ac:dyDescent="0.3">
      <c r="A4683">
        <v>11840</v>
      </c>
      <c r="B4683" t="s">
        <v>148</v>
      </c>
      <c r="C4683">
        <v>51025881</v>
      </c>
      <c r="D4683">
        <v>11.2</v>
      </c>
      <c r="E4683" t="s">
        <v>95</v>
      </c>
      <c r="F4683">
        <v>1152</v>
      </c>
      <c r="G4683" s="4">
        <v>46087.602233796293</v>
      </c>
    </row>
    <row r="4684" spans="1:7" x14ac:dyDescent="0.3">
      <c r="A4684">
        <v>11841</v>
      </c>
      <c r="B4684" t="s">
        <v>148</v>
      </c>
      <c r="C4684">
        <v>51028856</v>
      </c>
      <c r="D4684">
        <v>19.700000000000003</v>
      </c>
      <c r="E4684" t="s">
        <v>95</v>
      </c>
      <c r="F4684">
        <v>1022</v>
      </c>
      <c r="G4684" s="4">
        <v>46087.602233796293</v>
      </c>
    </row>
    <row r="4685" spans="1:7" x14ac:dyDescent="0.3">
      <c r="A4685">
        <v>11842</v>
      </c>
      <c r="B4685" t="s">
        <v>148</v>
      </c>
      <c r="C4685">
        <v>51030087</v>
      </c>
      <c r="D4685">
        <v>16.7</v>
      </c>
      <c r="E4685" t="s">
        <v>95</v>
      </c>
      <c r="F4685">
        <v>1076</v>
      </c>
      <c r="G4685" s="4">
        <v>46087.602233796293</v>
      </c>
    </row>
    <row r="4686" spans="1:7" x14ac:dyDescent="0.3">
      <c r="A4686">
        <v>11843</v>
      </c>
      <c r="B4686" t="s">
        <v>148</v>
      </c>
      <c r="C4686">
        <v>51030206</v>
      </c>
      <c r="D4686">
        <v>14.503499999999999</v>
      </c>
      <c r="E4686" t="s">
        <v>95</v>
      </c>
      <c r="F4686">
        <v>1098</v>
      </c>
      <c r="G4686" s="4">
        <v>46087.602233796293</v>
      </c>
    </row>
    <row r="4687" spans="1:7" x14ac:dyDescent="0.3">
      <c r="A4687">
        <v>11844</v>
      </c>
      <c r="B4687" t="s">
        <v>148</v>
      </c>
      <c r="C4687">
        <v>51030630</v>
      </c>
      <c r="D4687">
        <v>13.16</v>
      </c>
      <c r="E4687" t="s">
        <v>95</v>
      </c>
      <c r="F4687">
        <v>1120</v>
      </c>
      <c r="G4687" s="4">
        <v>46087.602233796293</v>
      </c>
    </row>
    <row r="4688" spans="1:7" x14ac:dyDescent="0.3">
      <c r="A4688">
        <v>11845</v>
      </c>
      <c r="B4688" t="s">
        <v>148</v>
      </c>
      <c r="C4688">
        <v>51030745</v>
      </c>
      <c r="D4688">
        <v>19.5</v>
      </c>
      <c r="E4688" t="s">
        <v>95</v>
      </c>
      <c r="F4688">
        <v>1025</v>
      </c>
      <c r="G4688" s="4">
        <v>46087.602233796293</v>
      </c>
    </row>
    <row r="4689" spans="1:7" x14ac:dyDescent="0.3">
      <c r="A4689">
        <v>11846</v>
      </c>
      <c r="B4689" t="s">
        <v>148</v>
      </c>
      <c r="C4689">
        <v>51030796</v>
      </c>
      <c r="D4689">
        <v>13.1</v>
      </c>
      <c r="E4689" t="s">
        <v>95</v>
      </c>
      <c r="F4689">
        <v>1121</v>
      </c>
      <c r="G4689" s="4">
        <v>46087.602233796293</v>
      </c>
    </row>
    <row r="4690" spans="1:7" x14ac:dyDescent="0.3">
      <c r="A4690">
        <v>11847</v>
      </c>
      <c r="B4690" t="s">
        <v>148</v>
      </c>
      <c r="C4690">
        <v>51030966</v>
      </c>
      <c r="D4690">
        <v>16.610000000000003</v>
      </c>
      <c r="E4690" t="s">
        <v>95</v>
      </c>
      <c r="F4690">
        <v>1077</v>
      </c>
      <c r="G4690" s="4">
        <v>46087.602233796293</v>
      </c>
    </row>
    <row r="4691" spans="1:7" x14ac:dyDescent="0.3">
      <c r="A4691">
        <v>11848</v>
      </c>
      <c r="B4691" t="s">
        <v>148</v>
      </c>
      <c r="C4691">
        <v>51031067</v>
      </c>
      <c r="D4691">
        <v>10.639999999999999</v>
      </c>
      <c r="E4691" t="s">
        <v>95</v>
      </c>
      <c r="F4691">
        <v>1163</v>
      </c>
      <c r="G4691" s="4">
        <v>46087.602233796293</v>
      </c>
    </row>
    <row r="4692" spans="1:7" x14ac:dyDescent="0.3">
      <c r="A4692">
        <v>11849</v>
      </c>
      <c r="B4692" t="s">
        <v>148</v>
      </c>
      <c r="C4692">
        <v>51031091</v>
      </c>
      <c r="D4692">
        <v>16.2</v>
      </c>
      <c r="E4692" t="s">
        <v>95</v>
      </c>
      <c r="F4692">
        <v>1083</v>
      </c>
      <c r="G4692" s="4">
        <v>46087.602233796293</v>
      </c>
    </row>
    <row r="4693" spans="1:7" x14ac:dyDescent="0.3">
      <c r="A4693">
        <v>11850</v>
      </c>
      <c r="B4693" t="s">
        <v>148</v>
      </c>
      <c r="C4693">
        <v>51031156</v>
      </c>
      <c r="D4693">
        <v>12.1</v>
      </c>
      <c r="E4693" t="s">
        <v>95</v>
      </c>
      <c r="F4693">
        <v>1140</v>
      </c>
      <c r="G4693" s="4">
        <v>46087.602233796293</v>
      </c>
    </row>
    <row r="4694" spans="1:7" x14ac:dyDescent="0.3">
      <c r="A4694">
        <v>11851</v>
      </c>
      <c r="B4694" t="s">
        <v>148</v>
      </c>
      <c r="C4694">
        <v>51031423</v>
      </c>
      <c r="D4694">
        <v>8.3999999999999986</v>
      </c>
      <c r="E4694" t="s">
        <v>95</v>
      </c>
      <c r="F4694">
        <v>1183</v>
      </c>
      <c r="G4694" s="4">
        <v>46087.602233796293</v>
      </c>
    </row>
    <row r="4695" spans="1:7" x14ac:dyDescent="0.3">
      <c r="A4695">
        <v>11852</v>
      </c>
      <c r="B4695" t="s">
        <v>148</v>
      </c>
      <c r="C4695">
        <v>51031555</v>
      </c>
      <c r="D4695">
        <v>13.3</v>
      </c>
      <c r="E4695" t="s">
        <v>95</v>
      </c>
      <c r="F4695">
        <v>1117</v>
      </c>
      <c r="G4695" s="4">
        <v>46087.602233796293</v>
      </c>
    </row>
    <row r="4696" spans="1:7" x14ac:dyDescent="0.3">
      <c r="A4696">
        <v>11853</v>
      </c>
      <c r="B4696" t="s">
        <v>148</v>
      </c>
      <c r="C4696">
        <v>51032021</v>
      </c>
      <c r="D4696">
        <v>9.17</v>
      </c>
      <c r="E4696" t="s">
        <v>95</v>
      </c>
      <c r="F4696">
        <v>1181</v>
      </c>
      <c r="G4696" s="4">
        <v>46087.602233796293</v>
      </c>
    </row>
    <row r="4697" spans="1:7" x14ac:dyDescent="0.3">
      <c r="A4697">
        <v>11854</v>
      </c>
      <c r="B4697" t="s">
        <v>148</v>
      </c>
      <c r="C4697">
        <v>51032055</v>
      </c>
      <c r="D4697">
        <v>17.05</v>
      </c>
      <c r="E4697" t="s">
        <v>95</v>
      </c>
      <c r="F4697">
        <v>1072</v>
      </c>
      <c r="G4697" s="4">
        <v>46087.602233796293</v>
      </c>
    </row>
    <row r="4698" spans="1:7" x14ac:dyDescent="0.3">
      <c r="A4698">
        <v>11855</v>
      </c>
      <c r="B4698" t="s">
        <v>148</v>
      </c>
      <c r="C4698">
        <v>51032144</v>
      </c>
      <c r="D4698">
        <v>23.730369373772447</v>
      </c>
      <c r="E4698" t="s">
        <v>95</v>
      </c>
      <c r="F4698">
        <v>990</v>
      </c>
      <c r="G4698" s="4">
        <v>46087.602233796293</v>
      </c>
    </row>
    <row r="4699" spans="1:7" x14ac:dyDescent="0.3">
      <c r="A4699">
        <v>11856</v>
      </c>
      <c r="B4699" t="s">
        <v>148</v>
      </c>
      <c r="C4699">
        <v>51032209</v>
      </c>
      <c r="D4699">
        <v>18.100000000000001</v>
      </c>
      <c r="E4699" t="s">
        <v>95</v>
      </c>
      <c r="F4699">
        <v>1056</v>
      </c>
      <c r="G4699" s="4">
        <v>46087.602233796293</v>
      </c>
    </row>
    <row r="4700" spans="1:7" x14ac:dyDescent="0.3">
      <c r="A4700">
        <v>11857</v>
      </c>
      <c r="B4700" t="s">
        <v>148</v>
      </c>
      <c r="C4700">
        <v>51032217</v>
      </c>
      <c r="D4700">
        <v>13.750000000000002</v>
      </c>
      <c r="E4700" t="s">
        <v>95</v>
      </c>
      <c r="F4700">
        <v>1107</v>
      </c>
      <c r="G4700" s="4">
        <v>46087.602233796293</v>
      </c>
    </row>
    <row r="4701" spans="1:7" x14ac:dyDescent="0.3">
      <c r="A4701">
        <v>11858</v>
      </c>
      <c r="B4701" t="s">
        <v>148</v>
      </c>
      <c r="C4701">
        <v>51032497</v>
      </c>
      <c r="D4701">
        <v>44.952879699676473</v>
      </c>
      <c r="E4701" t="s">
        <v>94</v>
      </c>
      <c r="F4701">
        <v>867</v>
      </c>
      <c r="G4701" s="4">
        <v>46087.602233796293</v>
      </c>
    </row>
    <row r="4702" spans="1:7" x14ac:dyDescent="0.3">
      <c r="A4702">
        <v>11859</v>
      </c>
      <c r="B4702" t="s">
        <v>148</v>
      </c>
      <c r="C4702">
        <v>51033019</v>
      </c>
      <c r="D4702">
        <v>19.910000000000004</v>
      </c>
      <c r="E4702" t="s">
        <v>95</v>
      </c>
      <c r="F4702">
        <v>1018</v>
      </c>
      <c r="G4702" s="4">
        <v>46087.602233796293</v>
      </c>
    </row>
    <row r="4703" spans="1:7" x14ac:dyDescent="0.3">
      <c r="A4703">
        <v>11860</v>
      </c>
      <c r="B4703" t="s">
        <v>148</v>
      </c>
      <c r="C4703">
        <v>51033647</v>
      </c>
      <c r="D4703">
        <v>16</v>
      </c>
      <c r="E4703" t="s">
        <v>95</v>
      </c>
      <c r="F4703">
        <v>1087</v>
      </c>
      <c r="G4703" s="4">
        <v>46087.602233796293</v>
      </c>
    </row>
    <row r="4704" spans="1:7" x14ac:dyDescent="0.3">
      <c r="A4704">
        <v>11861</v>
      </c>
      <c r="B4704" t="s">
        <v>148</v>
      </c>
      <c r="C4704">
        <v>51034261</v>
      </c>
      <c r="D4704">
        <v>18.052699999999998</v>
      </c>
      <c r="E4704" t="s">
        <v>95</v>
      </c>
      <c r="F4704">
        <v>1059</v>
      </c>
      <c r="G4704" s="4">
        <v>46087.602233796293</v>
      </c>
    </row>
    <row r="4705" spans="1:7" x14ac:dyDescent="0.3">
      <c r="A4705">
        <v>11862</v>
      </c>
      <c r="B4705" t="s">
        <v>148</v>
      </c>
      <c r="C4705">
        <v>51034392</v>
      </c>
      <c r="D4705">
        <v>10.43</v>
      </c>
      <c r="E4705" t="s">
        <v>95</v>
      </c>
      <c r="F4705">
        <v>1169</v>
      </c>
      <c r="G4705" s="4">
        <v>46087.602233796293</v>
      </c>
    </row>
    <row r="4706" spans="1:7" x14ac:dyDescent="0.3">
      <c r="A4706">
        <v>11863</v>
      </c>
      <c r="B4706" t="s">
        <v>148</v>
      </c>
      <c r="C4706">
        <v>51036093</v>
      </c>
      <c r="D4706">
        <v>11.8</v>
      </c>
      <c r="E4706" t="s">
        <v>95</v>
      </c>
      <c r="F4706">
        <v>1144</v>
      </c>
      <c r="G4706" s="4">
        <v>46087.602233796293</v>
      </c>
    </row>
    <row r="4707" spans="1:7" x14ac:dyDescent="0.3">
      <c r="A4707">
        <v>11864</v>
      </c>
      <c r="B4707" t="s">
        <v>148</v>
      </c>
      <c r="C4707">
        <v>51036620</v>
      </c>
      <c r="D4707">
        <v>16.8</v>
      </c>
      <c r="E4707" t="s">
        <v>95</v>
      </c>
      <c r="F4707">
        <v>1075</v>
      </c>
      <c r="G4707" s="4">
        <v>46087.602233796293</v>
      </c>
    </row>
    <row r="4708" spans="1:7" x14ac:dyDescent="0.3">
      <c r="A4708">
        <v>11865</v>
      </c>
      <c r="B4708" t="s">
        <v>148</v>
      </c>
      <c r="C4708">
        <v>51036786</v>
      </c>
      <c r="D4708">
        <v>21.734999999999996</v>
      </c>
      <c r="E4708" t="s">
        <v>95</v>
      </c>
      <c r="F4708">
        <v>1003</v>
      </c>
      <c r="G4708" s="4">
        <v>46087.602233796293</v>
      </c>
    </row>
    <row r="4709" spans="1:7" x14ac:dyDescent="0.3">
      <c r="A4709">
        <v>11866</v>
      </c>
      <c r="B4709" t="s">
        <v>148</v>
      </c>
      <c r="C4709">
        <v>51037014</v>
      </c>
      <c r="D4709">
        <v>17.100000000000001</v>
      </c>
      <c r="E4709" t="s">
        <v>95</v>
      </c>
      <c r="F4709">
        <v>1071</v>
      </c>
      <c r="G4709" s="4">
        <v>46087.602233796293</v>
      </c>
    </row>
    <row r="4710" spans="1:7" x14ac:dyDescent="0.3">
      <c r="A4710">
        <v>11867</v>
      </c>
      <c r="B4710" t="s">
        <v>148</v>
      </c>
      <c r="C4710">
        <v>51038991</v>
      </c>
      <c r="D4710">
        <v>16.198</v>
      </c>
      <c r="E4710" t="s">
        <v>95</v>
      </c>
      <c r="F4710">
        <v>1085</v>
      </c>
      <c r="G4710" s="4">
        <v>46087.602233796293</v>
      </c>
    </row>
    <row r="4711" spans="1:7" x14ac:dyDescent="0.3">
      <c r="A4711">
        <v>11868</v>
      </c>
      <c r="B4711" t="s">
        <v>148</v>
      </c>
      <c r="C4711">
        <v>51039084</v>
      </c>
      <c r="D4711">
        <v>11.819499999999998</v>
      </c>
      <c r="E4711" t="s">
        <v>95</v>
      </c>
      <c r="F4711">
        <v>1143</v>
      </c>
      <c r="G4711" s="4">
        <v>46087.602233796293</v>
      </c>
    </row>
    <row r="4712" spans="1:7" x14ac:dyDescent="0.3">
      <c r="A4712">
        <v>11869</v>
      </c>
      <c r="B4712" t="s">
        <v>148</v>
      </c>
      <c r="C4712">
        <v>51039955</v>
      </c>
      <c r="D4712">
        <v>13.370000000000001</v>
      </c>
      <c r="E4712" t="s">
        <v>95</v>
      </c>
      <c r="F4712">
        <v>1114</v>
      </c>
      <c r="G4712" s="4">
        <v>46087.602233796293</v>
      </c>
    </row>
    <row r="4713" spans="1:7" x14ac:dyDescent="0.3">
      <c r="A4713">
        <v>11870</v>
      </c>
      <c r="B4713" t="s">
        <v>148</v>
      </c>
      <c r="C4713">
        <v>51039980</v>
      </c>
      <c r="D4713">
        <v>19.14</v>
      </c>
      <c r="E4713" t="s">
        <v>95</v>
      </c>
      <c r="F4713">
        <v>1032</v>
      </c>
      <c r="G4713" s="4">
        <v>46087.602233796293</v>
      </c>
    </row>
    <row r="4714" spans="1:7" x14ac:dyDescent="0.3">
      <c r="A4714">
        <v>11871</v>
      </c>
      <c r="B4714" t="s">
        <v>148</v>
      </c>
      <c r="C4714">
        <v>51040040</v>
      </c>
      <c r="D4714">
        <v>12.9</v>
      </c>
      <c r="E4714" t="s">
        <v>95</v>
      </c>
      <c r="F4714">
        <v>1125</v>
      </c>
      <c r="G4714" s="4">
        <v>46087.602233796293</v>
      </c>
    </row>
    <row r="4715" spans="1:7" x14ac:dyDescent="0.3">
      <c r="A4715">
        <v>11872</v>
      </c>
      <c r="B4715" t="s">
        <v>148</v>
      </c>
      <c r="C4715">
        <v>51040309</v>
      </c>
      <c r="D4715">
        <v>46.622507961820766</v>
      </c>
      <c r="E4715" t="s">
        <v>94</v>
      </c>
      <c r="F4715">
        <v>852</v>
      </c>
      <c r="G4715" s="4">
        <v>46087.602233796293</v>
      </c>
    </row>
    <row r="4716" spans="1:7" x14ac:dyDescent="0.3">
      <c r="A4716">
        <v>11873</v>
      </c>
      <c r="B4716" t="s">
        <v>148</v>
      </c>
      <c r="C4716">
        <v>51040856</v>
      </c>
      <c r="D4716">
        <v>12.304999999999998</v>
      </c>
      <c r="E4716" t="s">
        <v>95</v>
      </c>
      <c r="F4716">
        <v>1138</v>
      </c>
      <c r="G4716" s="4">
        <v>46087.602233796293</v>
      </c>
    </row>
    <row r="4717" spans="1:7" x14ac:dyDescent="0.3">
      <c r="A4717">
        <v>11874</v>
      </c>
      <c r="B4717" t="s">
        <v>148</v>
      </c>
      <c r="C4717">
        <v>51040970</v>
      </c>
      <c r="D4717">
        <v>13.090000000000002</v>
      </c>
      <c r="E4717" t="s">
        <v>95</v>
      </c>
      <c r="F4717">
        <v>1122</v>
      </c>
      <c r="G4717" s="4">
        <v>46087.602233796293</v>
      </c>
    </row>
    <row r="4718" spans="1:7" x14ac:dyDescent="0.3">
      <c r="A4718">
        <v>11875</v>
      </c>
      <c r="B4718" t="s">
        <v>148</v>
      </c>
      <c r="C4718">
        <v>51041178</v>
      </c>
      <c r="D4718">
        <v>8.19</v>
      </c>
      <c r="E4718" t="s">
        <v>95</v>
      </c>
      <c r="F4718">
        <v>1187</v>
      </c>
      <c r="G4718" s="4">
        <v>46087.602233796293</v>
      </c>
    </row>
    <row r="4719" spans="1:7" x14ac:dyDescent="0.3">
      <c r="A4719">
        <v>11876</v>
      </c>
      <c r="B4719" t="s">
        <v>148</v>
      </c>
      <c r="C4719">
        <v>51041321</v>
      </c>
      <c r="D4719">
        <v>30.2</v>
      </c>
      <c r="E4719" t="s">
        <v>94</v>
      </c>
      <c r="F4719">
        <v>941</v>
      </c>
      <c r="G4719" s="4">
        <v>46087.602233796293</v>
      </c>
    </row>
    <row r="4720" spans="1:7" x14ac:dyDescent="0.3">
      <c r="A4720">
        <v>11877</v>
      </c>
      <c r="B4720" t="s">
        <v>148</v>
      </c>
      <c r="C4720">
        <v>51041836</v>
      </c>
      <c r="D4720">
        <v>17.160000000000004</v>
      </c>
      <c r="E4720" t="s">
        <v>95</v>
      </c>
      <c r="F4720">
        <v>1070</v>
      </c>
      <c r="G4720" s="4">
        <v>46087.602233796293</v>
      </c>
    </row>
    <row r="4721" spans="1:7" x14ac:dyDescent="0.3">
      <c r="A4721">
        <v>11878</v>
      </c>
      <c r="B4721" t="s">
        <v>148</v>
      </c>
      <c r="C4721">
        <v>51041925</v>
      </c>
      <c r="D4721">
        <v>18.685000000000002</v>
      </c>
      <c r="E4721" t="s">
        <v>95</v>
      </c>
      <c r="F4721">
        <v>1046</v>
      </c>
      <c r="G4721" s="4">
        <v>46087.602233796293</v>
      </c>
    </row>
    <row r="4722" spans="1:7" x14ac:dyDescent="0.3">
      <c r="A4722">
        <v>11879</v>
      </c>
      <c r="B4722" t="s">
        <v>148</v>
      </c>
      <c r="C4722">
        <v>51042166</v>
      </c>
      <c r="D4722">
        <v>18.899999999999999</v>
      </c>
      <c r="E4722" t="s">
        <v>95</v>
      </c>
      <c r="F4722">
        <v>1039</v>
      </c>
      <c r="G4722" s="4">
        <v>46087.602233796293</v>
      </c>
    </row>
    <row r="4723" spans="1:7" x14ac:dyDescent="0.3">
      <c r="A4723">
        <v>11880</v>
      </c>
      <c r="B4723" t="s">
        <v>148</v>
      </c>
      <c r="C4723">
        <v>51042352</v>
      </c>
      <c r="D4723">
        <v>18.198</v>
      </c>
      <c r="E4723" t="s">
        <v>95</v>
      </c>
      <c r="F4723">
        <v>1055</v>
      </c>
      <c r="G4723" s="4">
        <v>46087.602233796293</v>
      </c>
    </row>
    <row r="4724" spans="1:7" x14ac:dyDescent="0.3">
      <c r="A4724">
        <v>11881</v>
      </c>
      <c r="B4724" t="s">
        <v>148</v>
      </c>
      <c r="C4724">
        <v>51042492</v>
      </c>
      <c r="D4724">
        <v>54.1983885793491</v>
      </c>
      <c r="E4724" t="s">
        <v>94</v>
      </c>
      <c r="F4724">
        <v>789</v>
      </c>
      <c r="G4724" s="4">
        <v>46087.602233796293</v>
      </c>
    </row>
    <row r="4725" spans="1:7" x14ac:dyDescent="0.3">
      <c r="A4725">
        <v>11882</v>
      </c>
      <c r="B4725" t="s">
        <v>148</v>
      </c>
      <c r="C4725">
        <v>51042557</v>
      </c>
      <c r="D4725">
        <v>13.3</v>
      </c>
      <c r="E4725" t="s">
        <v>95</v>
      </c>
      <c r="F4725">
        <v>1117</v>
      </c>
      <c r="G4725" s="4">
        <v>46087.602233796293</v>
      </c>
    </row>
    <row r="4726" spans="1:7" x14ac:dyDescent="0.3">
      <c r="A4726">
        <v>11883</v>
      </c>
      <c r="B4726" t="s">
        <v>148</v>
      </c>
      <c r="C4726">
        <v>51042697</v>
      </c>
      <c r="D4726">
        <v>10.01</v>
      </c>
      <c r="E4726" t="s">
        <v>95</v>
      </c>
      <c r="F4726">
        <v>1176</v>
      </c>
      <c r="G4726" s="4">
        <v>46087.602233796293</v>
      </c>
    </row>
    <row r="4727" spans="1:7" x14ac:dyDescent="0.3">
      <c r="A4727">
        <v>11884</v>
      </c>
      <c r="B4727" t="s">
        <v>148</v>
      </c>
      <c r="C4727">
        <v>51042701</v>
      </c>
      <c r="D4727">
        <v>19.100000000000001</v>
      </c>
      <c r="E4727" t="s">
        <v>95</v>
      </c>
      <c r="F4727">
        <v>1035</v>
      </c>
      <c r="G4727" s="4">
        <v>46087.602233796293</v>
      </c>
    </row>
    <row r="4728" spans="1:7" x14ac:dyDescent="0.3">
      <c r="A4728">
        <v>11885</v>
      </c>
      <c r="B4728" t="s">
        <v>148</v>
      </c>
      <c r="C4728">
        <v>51042794</v>
      </c>
      <c r="D4728">
        <v>10.3</v>
      </c>
      <c r="E4728" t="s">
        <v>95</v>
      </c>
      <c r="F4728">
        <v>1172</v>
      </c>
      <c r="G4728" s="4">
        <v>46087.602233796293</v>
      </c>
    </row>
    <row r="4729" spans="1:7" x14ac:dyDescent="0.3">
      <c r="A4729">
        <v>11886</v>
      </c>
      <c r="B4729" t="s">
        <v>148</v>
      </c>
      <c r="C4729">
        <v>51042867</v>
      </c>
      <c r="D4729">
        <v>18.399999999999999</v>
      </c>
      <c r="E4729" t="s">
        <v>95</v>
      </c>
      <c r="F4729">
        <v>1052</v>
      </c>
      <c r="G4729" s="4">
        <v>46087.602233796293</v>
      </c>
    </row>
    <row r="4730" spans="1:7" x14ac:dyDescent="0.3">
      <c r="A4730">
        <v>11887</v>
      </c>
      <c r="B4730" t="s">
        <v>148</v>
      </c>
      <c r="C4730">
        <v>51042883</v>
      </c>
      <c r="D4730">
        <v>97.636559229272649</v>
      </c>
      <c r="E4730" t="s">
        <v>275</v>
      </c>
      <c r="F4730">
        <v>26</v>
      </c>
      <c r="G4730" s="4">
        <v>46087.602233796293</v>
      </c>
    </row>
    <row r="4731" spans="1:7" x14ac:dyDescent="0.3">
      <c r="A4731">
        <v>11888</v>
      </c>
      <c r="B4731" t="s">
        <v>148</v>
      </c>
      <c r="C4731">
        <v>51043286</v>
      </c>
      <c r="D4731">
        <v>7.77</v>
      </c>
      <c r="E4731" t="s">
        <v>95</v>
      </c>
      <c r="F4731">
        <v>1191</v>
      </c>
      <c r="G4731" s="4">
        <v>46087.602233796293</v>
      </c>
    </row>
    <row r="4732" spans="1:7" x14ac:dyDescent="0.3">
      <c r="A4732">
        <v>11889</v>
      </c>
      <c r="B4732" t="s">
        <v>148</v>
      </c>
      <c r="C4732">
        <v>51043430</v>
      </c>
      <c r="D4732">
        <v>58.419029171076197</v>
      </c>
      <c r="E4732" t="s">
        <v>94</v>
      </c>
      <c r="F4732">
        <v>707</v>
      </c>
      <c r="G4732" s="4">
        <v>46087.602233796293</v>
      </c>
    </row>
    <row r="4733" spans="1:7" x14ac:dyDescent="0.3">
      <c r="A4733">
        <v>11890</v>
      </c>
      <c r="B4733" t="s">
        <v>148</v>
      </c>
      <c r="C4733">
        <v>51043481</v>
      </c>
      <c r="D4733">
        <v>19.498000000000001</v>
      </c>
      <c r="E4733" t="s">
        <v>95</v>
      </c>
      <c r="F4733">
        <v>1026</v>
      </c>
      <c r="G4733" s="4">
        <v>46087.602233796293</v>
      </c>
    </row>
    <row r="4734" spans="1:7" x14ac:dyDescent="0.3">
      <c r="A4734">
        <v>11891</v>
      </c>
      <c r="B4734" t="s">
        <v>148</v>
      </c>
      <c r="C4734">
        <v>51043685</v>
      </c>
      <c r="D4734">
        <v>16.600000000000001</v>
      </c>
      <c r="E4734" t="s">
        <v>95</v>
      </c>
      <c r="F4734">
        <v>1079</v>
      </c>
      <c r="G4734" s="4">
        <v>46087.602233796293</v>
      </c>
    </row>
    <row r="4735" spans="1:7" x14ac:dyDescent="0.3">
      <c r="A4735">
        <v>11892</v>
      </c>
      <c r="B4735" t="s">
        <v>148</v>
      </c>
      <c r="C4735">
        <v>51044185</v>
      </c>
      <c r="D4735">
        <v>30.6</v>
      </c>
      <c r="E4735" t="s">
        <v>94</v>
      </c>
      <c r="F4735">
        <v>939</v>
      </c>
      <c r="G4735" s="4">
        <v>46087.602233796293</v>
      </c>
    </row>
    <row r="4736" spans="1:7" x14ac:dyDescent="0.3">
      <c r="A4736">
        <v>11893</v>
      </c>
      <c r="B4736" t="s">
        <v>148</v>
      </c>
      <c r="C4736">
        <v>51054474</v>
      </c>
      <c r="D4736">
        <v>32.925459634138825</v>
      </c>
      <c r="E4736" t="s">
        <v>94</v>
      </c>
      <c r="F4736">
        <v>919</v>
      </c>
      <c r="G4736" s="4">
        <v>46087.602233796293</v>
      </c>
    </row>
    <row r="4737" spans="1:7" x14ac:dyDescent="0.3">
      <c r="A4737">
        <v>11894</v>
      </c>
      <c r="B4737" t="s">
        <v>148</v>
      </c>
      <c r="C4737">
        <v>51054890</v>
      </c>
      <c r="D4737">
        <v>11.4</v>
      </c>
      <c r="E4737" t="s">
        <v>95</v>
      </c>
      <c r="F4737">
        <v>1150</v>
      </c>
      <c r="G4737" s="4">
        <v>46087.602233796293</v>
      </c>
    </row>
    <row r="4738" spans="1:7" x14ac:dyDescent="0.3">
      <c r="A4738">
        <v>11895</v>
      </c>
      <c r="B4738" t="s">
        <v>148</v>
      </c>
      <c r="C4738">
        <v>51054971</v>
      </c>
      <c r="D4738">
        <v>13.370000000000001</v>
      </c>
      <c r="E4738" t="s">
        <v>95</v>
      </c>
      <c r="F4738">
        <v>1114</v>
      </c>
      <c r="G4738" s="4">
        <v>46087.602233796293</v>
      </c>
    </row>
    <row r="4739" spans="1:7" x14ac:dyDescent="0.3">
      <c r="A4739">
        <v>11896</v>
      </c>
      <c r="B4739" t="s">
        <v>148</v>
      </c>
      <c r="C4739">
        <v>51055021</v>
      </c>
      <c r="D4739">
        <v>8.33</v>
      </c>
      <c r="E4739" t="s">
        <v>95</v>
      </c>
      <c r="F4739">
        <v>1185</v>
      </c>
      <c r="G4739" s="4">
        <v>46087.602233796293</v>
      </c>
    </row>
    <row r="4740" spans="1:7" x14ac:dyDescent="0.3">
      <c r="A4740">
        <v>11897</v>
      </c>
      <c r="B4740" t="s">
        <v>148</v>
      </c>
      <c r="C4740">
        <v>51055110</v>
      </c>
      <c r="D4740">
        <v>16.610000000000003</v>
      </c>
      <c r="E4740" t="s">
        <v>95</v>
      </c>
      <c r="F4740">
        <v>1077</v>
      </c>
      <c r="G4740" s="4">
        <v>46087.602233796293</v>
      </c>
    </row>
    <row r="4741" spans="1:7" x14ac:dyDescent="0.3">
      <c r="A4741">
        <v>11898</v>
      </c>
      <c r="B4741" t="s">
        <v>148</v>
      </c>
      <c r="C4741">
        <v>51055179</v>
      </c>
      <c r="D4741">
        <v>15.998000000000001</v>
      </c>
      <c r="E4741" t="s">
        <v>95</v>
      </c>
      <c r="F4741">
        <v>1088</v>
      </c>
      <c r="G4741" s="4">
        <v>46087.602233796293</v>
      </c>
    </row>
    <row r="4742" spans="1:7" x14ac:dyDescent="0.3">
      <c r="A4742">
        <v>11899</v>
      </c>
      <c r="B4742" t="s">
        <v>148</v>
      </c>
      <c r="C4742">
        <v>51055187</v>
      </c>
      <c r="D4742">
        <v>11.6</v>
      </c>
      <c r="E4742" t="s">
        <v>95</v>
      </c>
      <c r="F4742">
        <v>1146</v>
      </c>
      <c r="G4742" s="4">
        <v>46087.602233796293</v>
      </c>
    </row>
    <row r="4743" spans="1:7" x14ac:dyDescent="0.3">
      <c r="A4743">
        <v>11900</v>
      </c>
      <c r="B4743" t="s">
        <v>148</v>
      </c>
      <c r="C4743">
        <v>51055195</v>
      </c>
      <c r="D4743">
        <v>13.799999999999999</v>
      </c>
      <c r="E4743" t="s">
        <v>95</v>
      </c>
      <c r="F4743">
        <v>1106</v>
      </c>
      <c r="G4743" s="4">
        <v>46087.602233796293</v>
      </c>
    </row>
    <row r="4744" spans="1:7" x14ac:dyDescent="0.3">
      <c r="A4744">
        <v>11901</v>
      </c>
      <c r="B4744" t="s">
        <v>148</v>
      </c>
      <c r="C4744">
        <v>51055233</v>
      </c>
      <c r="D4744">
        <v>19.200000000000003</v>
      </c>
      <c r="E4744" t="s">
        <v>95</v>
      </c>
      <c r="F4744">
        <v>1031</v>
      </c>
      <c r="G4744" s="4">
        <v>46087.602233796293</v>
      </c>
    </row>
    <row r="4745" spans="1:7" x14ac:dyDescent="0.3">
      <c r="A4745">
        <v>11902</v>
      </c>
      <c r="B4745" t="s">
        <v>148</v>
      </c>
      <c r="C4745">
        <v>51055314</v>
      </c>
      <c r="D4745">
        <v>11.9</v>
      </c>
      <c r="E4745" t="s">
        <v>95</v>
      </c>
      <c r="F4745">
        <v>1142</v>
      </c>
      <c r="G4745" s="4">
        <v>46087.602233796293</v>
      </c>
    </row>
    <row r="4746" spans="1:7" x14ac:dyDescent="0.3">
      <c r="A4746">
        <v>11903</v>
      </c>
      <c r="B4746" t="s">
        <v>148</v>
      </c>
      <c r="C4746">
        <v>51055349</v>
      </c>
      <c r="D4746">
        <v>9.7999999999999989</v>
      </c>
      <c r="E4746" t="s">
        <v>95</v>
      </c>
      <c r="F4746">
        <v>1178</v>
      </c>
      <c r="G4746" s="4">
        <v>46087.602233796293</v>
      </c>
    </row>
    <row r="4747" spans="1:7" x14ac:dyDescent="0.3">
      <c r="A4747">
        <v>11904</v>
      </c>
      <c r="B4747" t="s">
        <v>148</v>
      </c>
      <c r="C4747">
        <v>51055381</v>
      </c>
      <c r="D4747">
        <v>12.9</v>
      </c>
      <c r="E4747" t="s">
        <v>95</v>
      </c>
      <c r="F4747">
        <v>1125</v>
      </c>
      <c r="G4747" s="4">
        <v>46087.602233796293</v>
      </c>
    </row>
    <row r="4748" spans="1:7" x14ac:dyDescent="0.3">
      <c r="A4748">
        <v>11905</v>
      </c>
      <c r="B4748" t="s">
        <v>148</v>
      </c>
      <c r="C4748">
        <v>51055403</v>
      </c>
      <c r="D4748">
        <v>14.5</v>
      </c>
      <c r="E4748" t="s">
        <v>95</v>
      </c>
      <c r="F4748">
        <v>1099</v>
      </c>
      <c r="G4748" s="4">
        <v>46087.602233796293</v>
      </c>
    </row>
    <row r="4749" spans="1:7" x14ac:dyDescent="0.3">
      <c r="A4749">
        <v>11906</v>
      </c>
      <c r="B4749" t="s">
        <v>148</v>
      </c>
      <c r="C4749">
        <v>51055420</v>
      </c>
      <c r="D4749">
        <v>18.700000000000003</v>
      </c>
      <c r="E4749" t="s">
        <v>95</v>
      </c>
      <c r="F4749">
        <v>1045</v>
      </c>
      <c r="G4749" s="4">
        <v>46087.602233796293</v>
      </c>
    </row>
    <row r="4750" spans="1:7" x14ac:dyDescent="0.3">
      <c r="A4750">
        <v>11907</v>
      </c>
      <c r="B4750" t="s">
        <v>148</v>
      </c>
      <c r="C4750">
        <v>51055438</v>
      </c>
      <c r="D4750">
        <v>28.3</v>
      </c>
      <c r="E4750" t="s">
        <v>95</v>
      </c>
      <c r="F4750">
        <v>962</v>
      </c>
      <c r="G4750" s="4">
        <v>46087.602233796293</v>
      </c>
    </row>
    <row r="4751" spans="1:7" x14ac:dyDescent="0.3">
      <c r="A4751">
        <v>11908</v>
      </c>
      <c r="B4751" t="s">
        <v>148</v>
      </c>
      <c r="C4751">
        <v>51055446</v>
      </c>
      <c r="D4751">
        <v>12.81</v>
      </c>
      <c r="E4751" t="s">
        <v>95</v>
      </c>
      <c r="F4751">
        <v>1128</v>
      </c>
      <c r="G4751" s="4">
        <v>46087.602233796293</v>
      </c>
    </row>
    <row r="4752" spans="1:7" x14ac:dyDescent="0.3">
      <c r="A4752">
        <v>11909</v>
      </c>
      <c r="B4752" t="s">
        <v>148</v>
      </c>
      <c r="C4752">
        <v>51055471</v>
      </c>
      <c r="D4752">
        <v>13.2</v>
      </c>
      <c r="E4752" t="s">
        <v>95</v>
      </c>
      <c r="F4752">
        <v>1119</v>
      </c>
      <c r="G4752" s="4">
        <v>46087.602233796293</v>
      </c>
    </row>
    <row r="4753" spans="1:7" x14ac:dyDescent="0.3">
      <c r="A4753">
        <v>11910</v>
      </c>
      <c r="B4753" t="s">
        <v>148</v>
      </c>
      <c r="C4753">
        <v>51055608</v>
      </c>
      <c r="D4753">
        <v>10.89</v>
      </c>
      <c r="E4753" t="s">
        <v>95</v>
      </c>
      <c r="F4753">
        <v>1158</v>
      </c>
      <c r="G4753" s="4">
        <v>46087.602233796293</v>
      </c>
    </row>
    <row r="4754" spans="1:7" x14ac:dyDescent="0.3">
      <c r="A4754">
        <v>11911</v>
      </c>
      <c r="B4754" t="s">
        <v>148</v>
      </c>
      <c r="C4754">
        <v>51055683</v>
      </c>
      <c r="D4754">
        <v>17.3</v>
      </c>
      <c r="E4754" t="s">
        <v>95</v>
      </c>
      <c r="F4754">
        <v>1067</v>
      </c>
      <c r="G4754" s="4">
        <v>46087.602233796293</v>
      </c>
    </row>
    <row r="4755" spans="1:7" x14ac:dyDescent="0.3">
      <c r="A4755">
        <v>11912</v>
      </c>
      <c r="B4755" t="s">
        <v>148</v>
      </c>
      <c r="C4755">
        <v>51055713</v>
      </c>
      <c r="D4755">
        <v>17.3</v>
      </c>
      <c r="E4755" t="s">
        <v>95</v>
      </c>
      <c r="F4755">
        <v>1067</v>
      </c>
      <c r="G4755" s="4">
        <v>46087.602233796293</v>
      </c>
    </row>
    <row r="4756" spans="1:7" x14ac:dyDescent="0.3">
      <c r="A4756">
        <v>11913</v>
      </c>
      <c r="B4756" t="s">
        <v>148</v>
      </c>
      <c r="C4756">
        <v>51055748</v>
      </c>
      <c r="D4756">
        <v>10.7</v>
      </c>
      <c r="E4756" t="s">
        <v>95</v>
      </c>
      <c r="F4756">
        <v>1162</v>
      </c>
      <c r="G4756" s="4">
        <v>46087.602233796293</v>
      </c>
    </row>
    <row r="4757" spans="1:7" x14ac:dyDescent="0.3">
      <c r="A4757">
        <v>11914</v>
      </c>
      <c r="B4757" t="s">
        <v>148</v>
      </c>
      <c r="C4757">
        <v>51055781</v>
      </c>
      <c r="D4757">
        <v>43.821311027232952</v>
      </c>
      <c r="E4757" t="s">
        <v>94</v>
      </c>
      <c r="F4757">
        <v>873</v>
      </c>
      <c r="G4757" s="4">
        <v>46087.602233796293</v>
      </c>
    </row>
    <row r="4758" spans="1:7" x14ac:dyDescent="0.3">
      <c r="A4758">
        <v>11915</v>
      </c>
      <c r="B4758" t="s">
        <v>148</v>
      </c>
      <c r="C4758">
        <v>51055900</v>
      </c>
      <c r="D4758">
        <v>12.67</v>
      </c>
      <c r="E4758" t="s">
        <v>95</v>
      </c>
      <c r="F4758">
        <v>1132</v>
      </c>
      <c r="G4758" s="4">
        <v>46087.602233796293</v>
      </c>
    </row>
    <row r="4759" spans="1:7" x14ac:dyDescent="0.3">
      <c r="A4759">
        <v>11916</v>
      </c>
      <c r="B4759" t="s">
        <v>148</v>
      </c>
      <c r="C4759">
        <v>51055934</v>
      </c>
      <c r="D4759">
        <v>10.6</v>
      </c>
      <c r="E4759" t="s">
        <v>95</v>
      </c>
      <c r="F4759">
        <v>1166</v>
      </c>
      <c r="G4759" s="4">
        <v>46087.602233796293</v>
      </c>
    </row>
    <row r="4760" spans="1:7" x14ac:dyDescent="0.3">
      <c r="A4760">
        <v>11917</v>
      </c>
      <c r="B4760" t="s">
        <v>148</v>
      </c>
      <c r="C4760">
        <v>51055969</v>
      </c>
      <c r="D4760">
        <v>13.339999999999998</v>
      </c>
      <c r="E4760" t="s">
        <v>95</v>
      </c>
      <c r="F4760">
        <v>1116</v>
      </c>
      <c r="G4760" s="4">
        <v>46087.602233796293</v>
      </c>
    </row>
    <row r="4761" spans="1:7" x14ac:dyDescent="0.3">
      <c r="A4761">
        <v>11918</v>
      </c>
      <c r="B4761" t="s">
        <v>148</v>
      </c>
      <c r="C4761">
        <v>51055977</v>
      </c>
      <c r="D4761">
        <v>8.0499999999999989</v>
      </c>
      <c r="E4761" t="s">
        <v>95</v>
      </c>
      <c r="F4761">
        <v>1188</v>
      </c>
      <c r="G4761" s="4">
        <v>46087.602233796293</v>
      </c>
    </row>
    <row r="4762" spans="1:7" x14ac:dyDescent="0.3">
      <c r="A4762">
        <v>11919</v>
      </c>
      <c r="B4762" t="s">
        <v>148</v>
      </c>
      <c r="C4762">
        <v>51056035</v>
      </c>
      <c r="D4762">
        <v>11</v>
      </c>
      <c r="E4762" t="s">
        <v>95</v>
      </c>
      <c r="F4762">
        <v>1154</v>
      </c>
      <c r="G4762" s="4">
        <v>46087.602233796293</v>
      </c>
    </row>
    <row r="4763" spans="1:7" x14ac:dyDescent="0.3">
      <c r="A4763">
        <v>11920</v>
      </c>
      <c r="B4763" t="s">
        <v>148</v>
      </c>
      <c r="C4763">
        <v>51056043</v>
      </c>
      <c r="D4763">
        <v>50.36267519201315</v>
      </c>
      <c r="E4763" t="s">
        <v>94</v>
      </c>
      <c r="F4763">
        <v>821</v>
      </c>
      <c r="G4763" s="4">
        <v>46087.602233796293</v>
      </c>
    </row>
    <row r="4764" spans="1:7" x14ac:dyDescent="0.3">
      <c r="A4764">
        <v>11921</v>
      </c>
      <c r="B4764" t="s">
        <v>148</v>
      </c>
      <c r="C4764">
        <v>51056141</v>
      </c>
      <c r="D4764">
        <v>72.383469917633803</v>
      </c>
      <c r="E4764" t="s">
        <v>93</v>
      </c>
      <c r="F4764">
        <v>514</v>
      </c>
      <c r="G4764" s="4">
        <v>46087.602233796293</v>
      </c>
    </row>
    <row r="4765" spans="1:7" x14ac:dyDescent="0.3">
      <c r="A4765">
        <v>11922</v>
      </c>
      <c r="B4765" t="s">
        <v>148</v>
      </c>
      <c r="C4765">
        <v>51056167</v>
      </c>
      <c r="D4765">
        <v>14.3</v>
      </c>
      <c r="E4765" t="s">
        <v>95</v>
      </c>
      <c r="F4765">
        <v>1102</v>
      </c>
      <c r="G4765" s="4">
        <v>46087.602233796293</v>
      </c>
    </row>
    <row r="4766" spans="1:7" x14ac:dyDescent="0.3">
      <c r="A4766">
        <v>11923</v>
      </c>
      <c r="B4766" t="s">
        <v>148</v>
      </c>
      <c r="C4766">
        <v>51056230</v>
      </c>
      <c r="D4766">
        <v>11</v>
      </c>
      <c r="E4766" t="s">
        <v>95</v>
      </c>
      <c r="F4766">
        <v>1154</v>
      </c>
      <c r="G4766" s="4">
        <v>46087.602233796293</v>
      </c>
    </row>
    <row r="4767" spans="1:7" x14ac:dyDescent="0.3">
      <c r="A4767">
        <v>11924</v>
      </c>
      <c r="B4767" t="s">
        <v>148</v>
      </c>
      <c r="C4767">
        <v>51056256</v>
      </c>
      <c r="D4767">
        <v>13.42</v>
      </c>
      <c r="E4767" t="s">
        <v>95</v>
      </c>
      <c r="F4767">
        <v>1113</v>
      </c>
      <c r="G4767" s="4">
        <v>46087.602233796293</v>
      </c>
    </row>
    <row r="4768" spans="1:7" x14ac:dyDescent="0.3">
      <c r="A4768">
        <v>11925</v>
      </c>
      <c r="B4768" t="s">
        <v>148</v>
      </c>
      <c r="C4768">
        <v>51056370</v>
      </c>
      <c r="D4768">
        <v>10.5</v>
      </c>
      <c r="E4768" t="s">
        <v>95</v>
      </c>
      <c r="F4768">
        <v>1168</v>
      </c>
      <c r="G4768" s="4">
        <v>46087.602233796293</v>
      </c>
    </row>
    <row r="4769" spans="1:7" x14ac:dyDescent="0.3">
      <c r="A4769">
        <v>11926</v>
      </c>
      <c r="B4769" t="s">
        <v>148</v>
      </c>
      <c r="C4769">
        <v>51056680</v>
      </c>
      <c r="D4769">
        <v>2.2999999999999998</v>
      </c>
      <c r="E4769" t="s">
        <v>95</v>
      </c>
      <c r="F4769">
        <v>1193</v>
      </c>
      <c r="G4769" s="4">
        <v>46087.602233796293</v>
      </c>
    </row>
    <row r="4770" spans="1:7" x14ac:dyDescent="0.3">
      <c r="A4770">
        <v>11927</v>
      </c>
      <c r="B4770" t="s">
        <v>148</v>
      </c>
      <c r="C4770">
        <v>51056710</v>
      </c>
      <c r="D4770">
        <v>18.480000000000004</v>
      </c>
      <c r="E4770" t="s">
        <v>95</v>
      </c>
      <c r="F4770">
        <v>1050</v>
      </c>
      <c r="G4770" s="4">
        <v>46087.602233796293</v>
      </c>
    </row>
    <row r="4771" spans="1:7" x14ac:dyDescent="0.3">
      <c r="A4771">
        <v>11928</v>
      </c>
      <c r="B4771" t="s">
        <v>148</v>
      </c>
      <c r="C4771">
        <v>51056779</v>
      </c>
      <c r="D4771">
        <v>17.2</v>
      </c>
      <c r="E4771" t="s">
        <v>95</v>
      </c>
      <c r="F4771">
        <v>1069</v>
      </c>
      <c r="G4771" s="4">
        <v>46087.602233796293</v>
      </c>
    </row>
    <row r="4772" spans="1:7" x14ac:dyDescent="0.3">
      <c r="A4772">
        <v>11929</v>
      </c>
      <c r="B4772" t="s">
        <v>148</v>
      </c>
      <c r="C4772">
        <v>51056841</v>
      </c>
      <c r="D4772">
        <v>13.750000000000002</v>
      </c>
      <c r="E4772" t="s">
        <v>95</v>
      </c>
      <c r="F4772">
        <v>1107</v>
      </c>
      <c r="G4772" s="4">
        <v>46087.602233796293</v>
      </c>
    </row>
    <row r="4773" spans="1:7" x14ac:dyDescent="0.3">
      <c r="A4773">
        <v>11930</v>
      </c>
      <c r="B4773" t="s">
        <v>148</v>
      </c>
      <c r="C4773">
        <v>51056892</v>
      </c>
      <c r="D4773">
        <v>31.253236878031927</v>
      </c>
      <c r="E4773" t="s">
        <v>94</v>
      </c>
      <c r="F4773">
        <v>930</v>
      </c>
      <c r="G4773" s="4">
        <v>46087.602233796293</v>
      </c>
    </row>
    <row r="4774" spans="1:7" x14ac:dyDescent="0.3">
      <c r="A4774">
        <v>16703</v>
      </c>
      <c r="B4774" t="s">
        <v>149</v>
      </c>
      <c r="C4774">
        <v>51015525</v>
      </c>
      <c r="D4774">
        <v>59.803872969529628</v>
      </c>
      <c r="E4774" t="s">
        <v>94</v>
      </c>
      <c r="F4774">
        <v>653</v>
      </c>
      <c r="G4774" s="4">
        <v>46087.603310185186</v>
      </c>
    </row>
    <row r="4775" spans="1:7" x14ac:dyDescent="0.3">
      <c r="A4775">
        <v>16704</v>
      </c>
      <c r="B4775" t="s">
        <v>149</v>
      </c>
      <c r="C4775">
        <v>51017790</v>
      </c>
      <c r="D4775">
        <v>37.89989225261575</v>
      </c>
      <c r="E4775" t="s">
        <v>94</v>
      </c>
      <c r="F4775">
        <v>852</v>
      </c>
      <c r="G4775" s="4">
        <v>46087.603310185186</v>
      </c>
    </row>
    <row r="4776" spans="1:7" x14ac:dyDescent="0.3">
      <c r="A4776">
        <v>16705</v>
      </c>
      <c r="B4776" t="s">
        <v>149</v>
      </c>
      <c r="C4776">
        <v>51023871</v>
      </c>
      <c r="D4776">
        <v>79.94260266746592</v>
      </c>
      <c r="E4776" t="s">
        <v>93</v>
      </c>
      <c r="F4776">
        <v>421</v>
      </c>
      <c r="G4776" s="4">
        <v>46087.603310185186</v>
      </c>
    </row>
    <row r="4777" spans="1:7" x14ac:dyDescent="0.3">
      <c r="A4777">
        <v>16706</v>
      </c>
      <c r="B4777" t="s">
        <v>149</v>
      </c>
      <c r="C4777">
        <v>51019601</v>
      </c>
      <c r="D4777">
        <v>80.781148640097513</v>
      </c>
      <c r="E4777" t="s">
        <v>93</v>
      </c>
      <c r="F4777">
        <v>398</v>
      </c>
      <c r="G4777" s="4">
        <v>46087.603310185186</v>
      </c>
    </row>
    <row r="4778" spans="1:7" x14ac:dyDescent="0.3">
      <c r="A4778">
        <v>16707</v>
      </c>
      <c r="B4778" t="s">
        <v>149</v>
      </c>
      <c r="C4778">
        <v>51021983</v>
      </c>
      <c r="D4778">
        <v>84.346617619193054</v>
      </c>
      <c r="E4778" t="s">
        <v>93</v>
      </c>
      <c r="F4778">
        <v>278</v>
      </c>
      <c r="G4778" s="4">
        <v>46087.603310185186</v>
      </c>
    </row>
    <row r="4779" spans="1:7" x14ac:dyDescent="0.3">
      <c r="A4779">
        <v>16708</v>
      </c>
      <c r="B4779" t="s">
        <v>149</v>
      </c>
      <c r="C4779">
        <v>51020201</v>
      </c>
      <c r="D4779">
        <v>83.935615213080283</v>
      </c>
      <c r="E4779" t="s">
        <v>93</v>
      </c>
      <c r="F4779">
        <v>292</v>
      </c>
      <c r="G4779" s="4">
        <v>46087.603310185186</v>
      </c>
    </row>
    <row r="4780" spans="1:7" x14ac:dyDescent="0.3">
      <c r="A4780">
        <v>16709</v>
      </c>
      <c r="B4780" t="s">
        <v>149</v>
      </c>
      <c r="C4780">
        <v>51031296</v>
      </c>
      <c r="D4780">
        <v>86.495966936253495</v>
      </c>
      <c r="E4780" t="s">
        <v>92</v>
      </c>
      <c r="F4780">
        <v>216</v>
      </c>
      <c r="G4780" s="4">
        <v>46087.603310185186</v>
      </c>
    </row>
    <row r="4781" spans="1:7" x14ac:dyDescent="0.3">
      <c r="A4781">
        <v>16710</v>
      </c>
      <c r="B4781" t="s">
        <v>149</v>
      </c>
      <c r="C4781">
        <v>51011864</v>
      </c>
      <c r="D4781">
        <v>86.009524261188744</v>
      </c>
      <c r="E4781" t="s">
        <v>92</v>
      </c>
      <c r="F4781">
        <v>238</v>
      </c>
      <c r="G4781" s="4">
        <v>46087.603310185186</v>
      </c>
    </row>
    <row r="4782" spans="1:7" x14ac:dyDescent="0.3">
      <c r="A4782">
        <v>16711</v>
      </c>
      <c r="B4782" t="s">
        <v>149</v>
      </c>
      <c r="C4782">
        <v>51005945</v>
      </c>
      <c r="D4782">
        <v>83.503484181340298</v>
      </c>
      <c r="E4782" t="s">
        <v>93</v>
      </c>
      <c r="F4782">
        <v>304</v>
      </c>
      <c r="G4782" s="4">
        <v>46087.603310185186</v>
      </c>
    </row>
    <row r="4783" spans="1:7" x14ac:dyDescent="0.3">
      <c r="A4783">
        <v>16712</v>
      </c>
      <c r="B4783" t="s">
        <v>149</v>
      </c>
      <c r="C4783">
        <v>51055586</v>
      </c>
      <c r="D4783">
        <v>74.84034046322239</v>
      </c>
      <c r="E4783" t="s">
        <v>93</v>
      </c>
      <c r="F4783">
        <v>493</v>
      </c>
      <c r="G4783" s="4">
        <v>46087.603310185186</v>
      </c>
    </row>
    <row r="4784" spans="1:7" x14ac:dyDescent="0.3">
      <c r="A4784">
        <v>16713</v>
      </c>
      <c r="B4784" t="s">
        <v>149</v>
      </c>
      <c r="C4784">
        <v>51025458</v>
      </c>
      <c r="D4784">
        <v>86.195815620788281</v>
      </c>
      <c r="E4784" t="s">
        <v>92</v>
      </c>
      <c r="F4784">
        <v>233</v>
      </c>
      <c r="G4784" s="4">
        <v>46087.603310185186</v>
      </c>
    </row>
    <row r="4785" spans="1:7" x14ac:dyDescent="0.3">
      <c r="A4785">
        <v>16714</v>
      </c>
      <c r="B4785" t="s">
        <v>149</v>
      </c>
      <c r="C4785">
        <v>51025709</v>
      </c>
      <c r="D4785">
        <v>67.596306887366424</v>
      </c>
      <c r="E4785" t="s">
        <v>93</v>
      </c>
      <c r="F4785">
        <v>559</v>
      </c>
      <c r="G4785" s="4">
        <v>46087.603310185186</v>
      </c>
    </row>
    <row r="4786" spans="1:7" x14ac:dyDescent="0.3">
      <c r="A4786">
        <v>16715</v>
      </c>
      <c r="B4786" t="s">
        <v>149</v>
      </c>
      <c r="C4786">
        <v>51019709</v>
      </c>
      <c r="D4786">
        <v>80.047346766315457</v>
      </c>
      <c r="E4786" t="s">
        <v>93</v>
      </c>
      <c r="F4786">
        <v>419</v>
      </c>
      <c r="G4786" s="4">
        <v>46087.603310185186</v>
      </c>
    </row>
    <row r="4787" spans="1:7" x14ac:dyDescent="0.3">
      <c r="A4787">
        <v>16716</v>
      </c>
      <c r="B4787" t="s">
        <v>149</v>
      </c>
      <c r="C4787">
        <v>51019377</v>
      </c>
      <c r="D4787">
        <v>87.740385955984209</v>
      </c>
      <c r="E4787" t="s">
        <v>92</v>
      </c>
      <c r="F4787">
        <v>188</v>
      </c>
      <c r="G4787" s="4">
        <v>46087.603310185186</v>
      </c>
    </row>
    <row r="4788" spans="1:7" x14ac:dyDescent="0.3">
      <c r="A4788">
        <v>16717</v>
      </c>
      <c r="B4788" t="s">
        <v>149</v>
      </c>
      <c r="C4788">
        <v>51017447</v>
      </c>
      <c r="D4788">
        <v>82.190657649679622</v>
      </c>
      <c r="E4788" t="s">
        <v>93</v>
      </c>
      <c r="F4788">
        <v>362</v>
      </c>
      <c r="G4788" s="4">
        <v>46087.603310185186</v>
      </c>
    </row>
    <row r="4789" spans="1:7" x14ac:dyDescent="0.3">
      <c r="A4789">
        <v>16718</v>
      </c>
      <c r="B4789" t="s">
        <v>149</v>
      </c>
      <c r="C4789">
        <v>51055721</v>
      </c>
      <c r="D4789">
        <v>56.856470994235949</v>
      </c>
      <c r="E4789" t="s">
        <v>94</v>
      </c>
      <c r="F4789">
        <v>715</v>
      </c>
      <c r="G4789" s="4">
        <v>46087.603310185186</v>
      </c>
    </row>
    <row r="4790" spans="1:7" x14ac:dyDescent="0.3">
      <c r="A4790">
        <v>16719</v>
      </c>
      <c r="B4790" t="s">
        <v>149</v>
      </c>
      <c r="C4790">
        <v>51023064</v>
      </c>
      <c r="D4790">
        <v>92.586476616653002</v>
      </c>
      <c r="E4790" t="s">
        <v>92</v>
      </c>
      <c r="F4790">
        <v>93</v>
      </c>
      <c r="G4790" s="4">
        <v>46087.603310185186</v>
      </c>
    </row>
    <row r="4791" spans="1:7" x14ac:dyDescent="0.3">
      <c r="A4791">
        <v>16720</v>
      </c>
      <c r="B4791" t="s">
        <v>149</v>
      </c>
      <c r="C4791">
        <v>51055063</v>
      </c>
      <c r="D4791">
        <v>59.282968273785791</v>
      </c>
      <c r="E4791" t="s">
        <v>94</v>
      </c>
      <c r="F4791">
        <v>661</v>
      </c>
      <c r="G4791" s="4">
        <v>46087.603310185186</v>
      </c>
    </row>
    <row r="4792" spans="1:7" x14ac:dyDescent="0.3">
      <c r="A4792">
        <v>16721</v>
      </c>
      <c r="B4792" t="s">
        <v>149</v>
      </c>
      <c r="C4792">
        <v>51024893</v>
      </c>
      <c r="D4792">
        <v>72.280994085085922</v>
      </c>
      <c r="E4792" t="s">
        <v>93</v>
      </c>
      <c r="F4792">
        <v>519</v>
      </c>
      <c r="G4792" s="4">
        <v>46087.603310185186</v>
      </c>
    </row>
    <row r="4793" spans="1:7" x14ac:dyDescent="0.3">
      <c r="A4793">
        <v>16722</v>
      </c>
      <c r="B4793" t="s">
        <v>149</v>
      </c>
      <c r="C4793">
        <v>51013638</v>
      </c>
      <c r="D4793">
        <v>86.782294726519993</v>
      </c>
      <c r="E4793" t="s">
        <v>92</v>
      </c>
      <c r="F4793">
        <v>204</v>
      </c>
      <c r="G4793" s="4">
        <v>46087.603310185186</v>
      </c>
    </row>
    <row r="4794" spans="1:7" x14ac:dyDescent="0.3">
      <c r="A4794">
        <v>16723</v>
      </c>
      <c r="B4794" t="s">
        <v>149</v>
      </c>
      <c r="C4794">
        <v>51011015</v>
      </c>
      <c r="D4794">
        <v>49.439680472261337</v>
      </c>
      <c r="E4794" t="s">
        <v>94</v>
      </c>
      <c r="F4794">
        <v>777</v>
      </c>
      <c r="G4794" s="4">
        <v>46087.603310185186</v>
      </c>
    </row>
    <row r="4795" spans="1:7" x14ac:dyDescent="0.3">
      <c r="A4795">
        <v>16724</v>
      </c>
      <c r="B4795" t="s">
        <v>149</v>
      </c>
      <c r="C4795">
        <v>51020758</v>
      </c>
      <c r="D4795">
        <v>71.306106941160053</v>
      </c>
      <c r="E4795" t="s">
        <v>93</v>
      </c>
      <c r="F4795">
        <v>529</v>
      </c>
      <c r="G4795" s="4">
        <v>46087.603310185186</v>
      </c>
    </row>
    <row r="4796" spans="1:7" x14ac:dyDescent="0.3">
      <c r="A4796">
        <v>16725</v>
      </c>
      <c r="B4796" t="s">
        <v>149</v>
      </c>
      <c r="C4796">
        <v>51022734</v>
      </c>
      <c r="D4796">
        <v>56.286380469552647</v>
      </c>
      <c r="E4796" t="s">
        <v>94</v>
      </c>
      <c r="F4796">
        <v>723</v>
      </c>
      <c r="G4796" s="4">
        <v>46087.603310185186</v>
      </c>
    </row>
    <row r="4797" spans="1:7" x14ac:dyDescent="0.3">
      <c r="A4797">
        <v>16726</v>
      </c>
      <c r="B4797" t="s">
        <v>149</v>
      </c>
      <c r="C4797">
        <v>51036034</v>
      </c>
      <c r="D4797">
        <v>85.773045719886426</v>
      </c>
      <c r="E4797" t="s">
        <v>93</v>
      </c>
      <c r="F4797">
        <v>242</v>
      </c>
      <c r="G4797" s="4">
        <v>46087.603310185186</v>
      </c>
    </row>
    <row r="4798" spans="1:7" x14ac:dyDescent="0.3">
      <c r="A4798">
        <v>16727</v>
      </c>
      <c r="B4798" t="s">
        <v>149</v>
      </c>
      <c r="C4798">
        <v>51019954</v>
      </c>
      <c r="D4798">
        <v>57.523104182798704</v>
      </c>
      <c r="E4798" t="s">
        <v>94</v>
      </c>
      <c r="F4798">
        <v>700</v>
      </c>
      <c r="G4798" s="4">
        <v>46087.603310185186</v>
      </c>
    </row>
    <row r="4799" spans="1:7" x14ac:dyDescent="0.3">
      <c r="A4799">
        <v>16728</v>
      </c>
      <c r="B4799" t="s">
        <v>149</v>
      </c>
      <c r="C4799">
        <v>51041895</v>
      </c>
      <c r="D4799">
        <v>77.059891504827291</v>
      </c>
      <c r="E4799" t="s">
        <v>93</v>
      </c>
      <c r="F4799">
        <v>468</v>
      </c>
      <c r="G4799" s="4">
        <v>46087.603310185186</v>
      </c>
    </row>
    <row r="4800" spans="1:7" x14ac:dyDescent="0.3">
      <c r="A4800">
        <v>16729</v>
      </c>
      <c r="B4800" t="s">
        <v>149</v>
      </c>
      <c r="C4800">
        <v>51031075</v>
      </c>
      <c r="D4800">
        <v>95.287072494104081</v>
      </c>
      <c r="E4800" t="s">
        <v>275</v>
      </c>
      <c r="F4800">
        <v>58</v>
      </c>
      <c r="G4800" s="4">
        <v>46087.603310185186</v>
      </c>
    </row>
    <row r="4801" spans="1:7" x14ac:dyDescent="0.3">
      <c r="A4801">
        <v>16730</v>
      </c>
      <c r="B4801" t="s">
        <v>149</v>
      </c>
      <c r="C4801">
        <v>51016815</v>
      </c>
      <c r="D4801">
        <v>82.77145832122541</v>
      </c>
      <c r="E4801" t="s">
        <v>93</v>
      </c>
      <c r="F4801">
        <v>340</v>
      </c>
      <c r="G4801" s="4">
        <v>46087.603310185186</v>
      </c>
    </row>
    <row r="4802" spans="1:7" x14ac:dyDescent="0.3">
      <c r="A4802">
        <v>16731</v>
      </c>
      <c r="B4802" t="s">
        <v>149</v>
      </c>
      <c r="C4802">
        <v>51010761</v>
      </c>
      <c r="D4802">
        <v>95.239897764994581</v>
      </c>
      <c r="E4802" t="s">
        <v>92</v>
      </c>
      <c r="F4802">
        <v>61</v>
      </c>
      <c r="G4802" s="4">
        <v>46087.603310185186</v>
      </c>
    </row>
    <row r="4803" spans="1:7" x14ac:dyDescent="0.3">
      <c r="A4803">
        <v>16732</v>
      </c>
      <c r="B4803" t="s">
        <v>149</v>
      </c>
      <c r="C4803">
        <v>51013301</v>
      </c>
      <c r="D4803">
        <v>57.721120240610517</v>
      </c>
      <c r="E4803" t="s">
        <v>94</v>
      </c>
      <c r="F4803">
        <v>692</v>
      </c>
      <c r="G4803" s="4">
        <v>46087.603310185186</v>
      </c>
    </row>
    <row r="4804" spans="1:7" x14ac:dyDescent="0.3">
      <c r="A4804">
        <v>16733</v>
      </c>
      <c r="B4804" t="s">
        <v>149</v>
      </c>
      <c r="C4804">
        <v>51041933</v>
      </c>
      <c r="D4804">
        <v>90.826966558880372</v>
      </c>
      <c r="E4804" t="s">
        <v>92</v>
      </c>
      <c r="F4804">
        <v>120</v>
      </c>
      <c r="G4804" s="4">
        <v>46087.603310185186</v>
      </c>
    </row>
    <row r="4805" spans="1:7" x14ac:dyDescent="0.3">
      <c r="A4805">
        <v>16734</v>
      </c>
      <c r="B4805" t="s">
        <v>149</v>
      </c>
      <c r="C4805">
        <v>51014006</v>
      </c>
      <c r="D4805">
        <v>47.547710191413529</v>
      </c>
      <c r="E4805" t="s">
        <v>94</v>
      </c>
      <c r="F4805">
        <v>798</v>
      </c>
      <c r="G4805" s="4">
        <v>46087.603310185186</v>
      </c>
    </row>
    <row r="4806" spans="1:7" x14ac:dyDescent="0.3">
      <c r="A4806">
        <v>16735</v>
      </c>
      <c r="B4806" t="s">
        <v>149</v>
      </c>
      <c r="C4806">
        <v>51000111</v>
      </c>
      <c r="D4806">
        <v>80.892173319259584</v>
      </c>
      <c r="E4806" t="s">
        <v>93</v>
      </c>
      <c r="F4806">
        <v>395</v>
      </c>
      <c r="G4806" s="4">
        <v>46087.603310185186</v>
      </c>
    </row>
    <row r="4807" spans="1:7" x14ac:dyDescent="0.3">
      <c r="A4807">
        <v>16736</v>
      </c>
      <c r="B4807" t="s">
        <v>149</v>
      </c>
      <c r="C4807">
        <v>51042735</v>
      </c>
      <c r="D4807">
        <v>57.625775084501058</v>
      </c>
      <c r="E4807" t="s">
        <v>94</v>
      </c>
      <c r="F4807">
        <v>694</v>
      </c>
      <c r="G4807" s="4">
        <v>46087.603310185186</v>
      </c>
    </row>
    <row r="4808" spans="1:7" x14ac:dyDescent="0.3">
      <c r="A4808">
        <v>16737</v>
      </c>
      <c r="B4808" t="s">
        <v>149</v>
      </c>
      <c r="C4808">
        <v>51023218</v>
      </c>
      <c r="D4808">
        <v>57.219717367869322</v>
      </c>
      <c r="E4808" t="s">
        <v>94</v>
      </c>
      <c r="F4808">
        <v>711</v>
      </c>
      <c r="G4808" s="4">
        <v>46087.603310185186</v>
      </c>
    </row>
    <row r="4809" spans="1:7" x14ac:dyDescent="0.3">
      <c r="A4809">
        <v>16738</v>
      </c>
      <c r="B4809" t="s">
        <v>149</v>
      </c>
      <c r="C4809">
        <v>51002776</v>
      </c>
      <c r="D4809">
        <v>81.87176704702901</v>
      </c>
      <c r="E4809" t="s">
        <v>93</v>
      </c>
      <c r="F4809">
        <v>372</v>
      </c>
      <c r="G4809" s="4">
        <v>46087.603310185186</v>
      </c>
    </row>
    <row r="4810" spans="1:7" x14ac:dyDescent="0.3">
      <c r="A4810">
        <v>16739</v>
      </c>
      <c r="B4810" t="s">
        <v>149</v>
      </c>
      <c r="C4810">
        <v>51015541</v>
      </c>
      <c r="D4810">
        <v>83.401008707766294</v>
      </c>
      <c r="E4810" t="s">
        <v>93</v>
      </c>
      <c r="F4810">
        <v>310</v>
      </c>
      <c r="G4810" s="4">
        <v>46087.603310185186</v>
      </c>
    </row>
    <row r="4811" spans="1:7" x14ac:dyDescent="0.3">
      <c r="A4811">
        <v>16740</v>
      </c>
      <c r="B4811" t="s">
        <v>149</v>
      </c>
      <c r="C4811">
        <v>51031890</v>
      </c>
      <c r="D4811">
        <v>81.349579110129113</v>
      </c>
      <c r="E4811" t="s">
        <v>93</v>
      </c>
      <c r="F4811">
        <v>387</v>
      </c>
      <c r="G4811" s="4">
        <v>46087.603310185186</v>
      </c>
    </row>
    <row r="4812" spans="1:7" x14ac:dyDescent="0.3">
      <c r="A4812">
        <v>16741</v>
      </c>
      <c r="B4812" t="s">
        <v>149</v>
      </c>
      <c r="C4812">
        <v>51057058</v>
      </c>
      <c r="D4812">
        <v>28.82</v>
      </c>
      <c r="E4812" t="s">
        <v>94</v>
      </c>
      <c r="F4812">
        <v>919</v>
      </c>
      <c r="G4812" s="4">
        <v>46087.603310185186</v>
      </c>
    </row>
    <row r="4813" spans="1:7" x14ac:dyDescent="0.3">
      <c r="A4813">
        <v>16742</v>
      </c>
      <c r="B4813" t="s">
        <v>149</v>
      </c>
      <c r="C4813">
        <v>51022289</v>
      </c>
      <c r="D4813">
        <v>90.474891400665499</v>
      </c>
      <c r="E4813" t="s">
        <v>92</v>
      </c>
      <c r="F4813">
        <v>123</v>
      </c>
      <c r="G4813" s="4">
        <v>46087.603310185186</v>
      </c>
    </row>
    <row r="4814" spans="1:7" x14ac:dyDescent="0.3">
      <c r="A4814">
        <v>16743</v>
      </c>
      <c r="B4814" t="s">
        <v>149</v>
      </c>
      <c r="C4814">
        <v>51016688</v>
      </c>
      <c r="D4814">
        <v>86.314827800637673</v>
      </c>
      <c r="E4814" t="s">
        <v>92</v>
      </c>
      <c r="F4814">
        <v>222</v>
      </c>
      <c r="G4814" s="4">
        <v>46087.603310185186</v>
      </c>
    </row>
    <row r="4815" spans="1:7" x14ac:dyDescent="0.3">
      <c r="A4815">
        <v>16744</v>
      </c>
      <c r="B4815" t="s">
        <v>149</v>
      </c>
      <c r="C4815">
        <v>51032527</v>
      </c>
      <c r="D4815">
        <v>95.245497838670417</v>
      </c>
      <c r="E4815" t="s">
        <v>275</v>
      </c>
      <c r="F4815">
        <v>60</v>
      </c>
      <c r="G4815" s="4">
        <v>46087.603310185186</v>
      </c>
    </row>
    <row r="4816" spans="1:7" x14ac:dyDescent="0.3">
      <c r="A4816">
        <v>16745</v>
      </c>
      <c r="B4816" t="s">
        <v>149</v>
      </c>
      <c r="C4816">
        <v>51028678</v>
      </c>
      <c r="D4816">
        <v>60.542713729154393</v>
      </c>
      <c r="E4816" t="s">
        <v>94</v>
      </c>
      <c r="F4816">
        <v>639</v>
      </c>
      <c r="G4816" s="4">
        <v>46087.603310185186</v>
      </c>
    </row>
    <row r="4817" spans="1:7" x14ac:dyDescent="0.3">
      <c r="A4817">
        <v>16746</v>
      </c>
      <c r="B4817" t="s">
        <v>149</v>
      </c>
      <c r="C4817">
        <v>51005287</v>
      </c>
      <c r="D4817">
        <v>82.7360402150466</v>
      </c>
      <c r="E4817" t="s">
        <v>93</v>
      </c>
      <c r="F4817">
        <v>341</v>
      </c>
      <c r="G4817" s="4">
        <v>46087.603310185186</v>
      </c>
    </row>
    <row r="4818" spans="1:7" x14ac:dyDescent="0.3">
      <c r="A4818">
        <v>16747</v>
      </c>
      <c r="B4818" t="s">
        <v>149</v>
      </c>
      <c r="C4818">
        <v>51055624</v>
      </c>
      <c r="D4818">
        <v>95.592171004068348</v>
      </c>
      <c r="E4818" t="s">
        <v>275</v>
      </c>
      <c r="F4818">
        <v>56</v>
      </c>
      <c r="G4818" s="4">
        <v>46087.603310185186</v>
      </c>
    </row>
    <row r="4819" spans="1:7" x14ac:dyDescent="0.3">
      <c r="A4819">
        <v>16748</v>
      </c>
      <c r="B4819" t="s">
        <v>149</v>
      </c>
      <c r="C4819">
        <v>51010884</v>
      </c>
      <c r="D4819">
        <v>45.61982720268891</v>
      </c>
      <c r="E4819" t="s">
        <v>94</v>
      </c>
      <c r="F4819">
        <v>819</v>
      </c>
      <c r="G4819" s="4">
        <v>46087.603310185186</v>
      </c>
    </row>
    <row r="4820" spans="1:7" x14ac:dyDescent="0.3">
      <c r="A4820">
        <v>16749</v>
      </c>
      <c r="B4820" t="s">
        <v>149</v>
      </c>
      <c r="C4820">
        <v>51007051</v>
      </c>
      <c r="D4820">
        <v>32.831721438894114</v>
      </c>
      <c r="E4820" t="s">
        <v>94</v>
      </c>
      <c r="F4820">
        <v>879</v>
      </c>
      <c r="G4820" s="4">
        <v>46087.603310185186</v>
      </c>
    </row>
    <row r="4821" spans="1:7" x14ac:dyDescent="0.3">
      <c r="A4821">
        <v>16750</v>
      </c>
      <c r="B4821" t="s">
        <v>149</v>
      </c>
      <c r="C4821">
        <v>51013808</v>
      </c>
      <c r="D4821">
        <v>59.514471428169024</v>
      </c>
      <c r="E4821" t="s">
        <v>94</v>
      </c>
      <c r="F4821">
        <v>657</v>
      </c>
      <c r="G4821" s="4">
        <v>46087.603310185186</v>
      </c>
    </row>
    <row r="4822" spans="1:7" x14ac:dyDescent="0.3">
      <c r="A4822">
        <v>16751</v>
      </c>
      <c r="B4822" t="s">
        <v>149</v>
      </c>
      <c r="C4822">
        <v>51035828</v>
      </c>
      <c r="D4822">
        <v>59.710125340779307</v>
      </c>
      <c r="E4822" t="s">
        <v>94</v>
      </c>
      <c r="F4822">
        <v>655</v>
      </c>
      <c r="G4822" s="4">
        <v>46087.603310185186</v>
      </c>
    </row>
    <row r="4823" spans="1:7" x14ac:dyDescent="0.3">
      <c r="A4823">
        <v>16752</v>
      </c>
      <c r="B4823" t="s">
        <v>149</v>
      </c>
      <c r="C4823">
        <v>51056051</v>
      </c>
      <c r="D4823">
        <v>83.72971964308654</v>
      </c>
      <c r="E4823" t="s">
        <v>93</v>
      </c>
      <c r="F4823">
        <v>298</v>
      </c>
      <c r="G4823" s="4">
        <v>46087.603310185186</v>
      </c>
    </row>
    <row r="4824" spans="1:7" x14ac:dyDescent="0.3">
      <c r="A4824">
        <v>16753</v>
      </c>
      <c r="B4824" t="s">
        <v>149</v>
      </c>
      <c r="C4824">
        <v>51024265</v>
      </c>
      <c r="D4824">
        <v>79.183308759366653</v>
      </c>
      <c r="E4824" t="s">
        <v>93</v>
      </c>
      <c r="F4824">
        <v>435</v>
      </c>
      <c r="G4824" s="4">
        <v>46087.603310185186</v>
      </c>
    </row>
    <row r="4825" spans="1:7" x14ac:dyDescent="0.3">
      <c r="A4825">
        <v>16754</v>
      </c>
      <c r="B4825" t="s">
        <v>149</v>
      </c>
      <c r="C4825">
        <v>51018494</v>
      </c>
      <c r="D4825">
        <v>100</v>
      </c>
      <c r="E4825" t="s">
        <v>275</v>
      </c>
      <c r="F4825">
        <v>1</v>
      </c>
      <c r="G4825" s="4">
        <v>46087.603310185186</v>
      </c>
    </row>
    <row r="4826" spans="1:7" x14ac:dyDescent="0.3">
      <c r="A4826">
        <v>16755</v>
      </c>
      <c r="B4826" t="s">
        <v>149</v>
      </c>
      <c r="C4826">
        <v>51039882</v>
      </c>
      <c r="D4826">
        <v>27.7</v>
      </c>
      <c r="E4826" t="s">
        <v>94</v>
      </c>
      <c r="F4826">
        <v>933</v>
      </c>
      <c r="G4826" s="4">
        <v>46087.603310185186</v>
      </c>
    </row>
    <row r="4827" spans="1:7" x14ac:dyDescent="0.3">
      <c r="A4827">
        <v>16756</v>
      </c>
      <c r="B4827" t="s">
        <v>149</v>
      </c>
      <c r="C4827">
        <v>51024192</v>
      </c>
      <c r="D4827">
        <v>86.717988240364278</v>
      </c>
      <c r="E4827" t="s">
        <v>92</v>
      </c>
      <c r="F4827">
        <v>208</v>
      </c>
      <c r="G4827" s="4">
        <v>46087.603310185186</v>
      </c>
    </row>
    <row r="4828" spans="1:7" x14ac:dyDescent="0.3">
      <c r="A4828">
        <v>16757</v>
      </c>
      <c r="B4828" t="s">
        <v>149</v>
      </c>
      <c r="C4828">
        <v>51008332</v>
      </c>
      <c r="D4828">
        <v>83.89731575447972</v>
      </c>
      <c r="E4828" t="s">
        <v>93</v>
      </c>
      <c r="F4828">
        <v>294</v>
      </c>
      <c r="G4828" s="4">
        <v>46087.603310185186</v>
      </c>
    </row>
    <row r="4829" spans="1:7" x14ac:dyDescent="0.3">
      <c r="A4829">
        <v>16758</v>
      </c>
      <c r="B4829" t="s">
        <v>149</v>
      </c>
      <c r="C4829">
        <v>51015258</v>
      </c>
      <c r="D4829">
        <v>96.635849181109691</v>
      </c>
      <c r="E4829" t="s">
        <v>275</v>
      </c>
      <c r="F4829">
        <v>46</v>
      </c>
      <c r="G4829" s="4">
        <v>46087.603310185186</v>
      </c>
    </row>
    <row r="4830" spans="1:7" x14ac:dyDescent="0.3">
      <c r="A4830">
        <v>16759</v>
      </c>
      <c r="B4830" t="s">
        <v>149</v>
      </c>
      <c r="C4830">
        <v>51033710</v>
      </c>
      <c r="D4830">
        <v>81.429012340180549</v>
      </c>
      <c r="E4830" t="s">
        <v>93</v>
      </c>
      <c r="F4830">
        <v>383</v>
      </c>
      <c r="G4830" s="4">
        <v>46087.603310185186</v>
      </c>
    </row>
    <row r="4831" spans="1:7" x14ac:dyDescent="0.3">
      <c r="A4831">
        <v>16760</v>
      </c>
      <c r="B4831" t="s">
        <v>149</v>
      </c>
      <c r="C4831">
        <v>51010329</v>
      </c>
      <c r="D4831">
        <v>31.552754871816191</v>
      </c>
      <c r="E4831" t="s">
        <v>94</v>
      </c>
      <c r="F4831">
        <v>895</v>
      </c>
      <c r="G4831" s="4">
        <v>46087.603310185186</v>
      </c>
    </row>
    <row r="4832" spans="1:7" x14ac:dyDescent="0.3">
      <c r="A4832">
        <v>16761</v>
      </c>
      <c r="B4832" t="s">
        <v>149</v>
      </c>
      <c r="C4832">
        <v>51011252</v>
      </c>
      <c r="D4832">
        <v>55.876460434762066</v>
      </c>
      <c r="E4832" t="s">
        <v>94</v>
      </c>
      <c r="F4832">
        <v>726</v>
      </c>
      <c r="G4832" s="4">
        <v>46087.603310185186</v>
      </c>
    </row>
    <row r="4833" spans="1:7" x14ac:dyDescent="0.3">
      <c r="A4833">
        <v>16762</v>
      </c>
      <c r="B4833" t="s">
        <v>149</v>
      </c>
      <c r="C4833">
        <v>51018648</v>
      </c>
      <c r="D4833">
        <v>81.408220145354463</v>
      </c>
      <c r="E4833" t="s">
        <v>93</v>
      </c>
      <c r="F4833">
        <v>385</v>
      </c>
      <c r="G4833" s="4">
        <v>46087.603310185186</v>
      </c>
    </row>
    <row r="4834" spans="1:7" x14ac:dyDescent="0.3">
      <c r="A4834">
        <v>16763</v>
      </c>
      <c r="B4834" t="s">
        <v>149</v>
      </c>
      <c r="C4834">
        <v>51024524</v>
      </c>
      <c r="D4834">
        <v>84.704066066084394</v>
      </c>
      <c r="E4834" t="s">
        <v>93</v>
      </c>
      <c r="F4834">
        <v>272</v>
      </c>
      <c r="G4834" s="4">
        <v>46087.603310185186</v>
      </c>
    </row>
    <row r="4835" spans="1:7" x14ac:dyDescent="0.3">
      <c r="A4835">
        <v>16764</v>
      </c>
      <c r="B4835" t="s">
        <v>149</v>
      </c>
      <c r="C4835">
        <v>51055772</v>
      </c>
      <c r="D4835">
        <v>41.231436317813255</v>
      </c>
      <c r="E4835" t="s">
        <v>94</v>
      </c>
      <c r="F4835">
        <v>843</v>
      </c>
      <c r="G4835" s="4">
        <v>46087.603310185186</v>
      </c>
    </row>
    <row r="4836" spans="1:7" x14ac:dyDescent="0.3">
      <c r="A4836">
        <v>16765</v>
      </c>
      <c r="B4836" t="s">
        <v>149</v>
      </c>
      <c r="C4836">
        <v>51031083</v>
      </c>
      <c r="D4836">
        <v>28.6</v>
      </c>
      <c r="E4836" t="s">
        <v>94</v>
      </c>
      <c r="F4836">
        <v>922</v>
      </c>
      <c r="G4836" s="4">
        <v>46087.603310185186</v>
      </c>
    </row>
    <row r="4837" spans="1:7" x14ac:dyDescent="0.3">
      <c r="A4837">
        <v>16766</v>
      </c>
      <c r="B4837" t="s">
        <v>149</v>
      </c>
      <c r="C4837">
        <v>51056647</v>
      </c>
      <c r="D4837">
        <v>70.444338036642236</v>
      </c>
      <c r="E4837" t="s">
        <v>93</v>
      </c>
      <c r="F4837">
        <v>536</v>
      </c>
      <c r="G4837" s="4">
        <v>46087.603310185186</v>
      </c>
    </row>
    <row r="4838" spans="1:7" x14ac:dyDescent="0.3">
      <c r="A4838">
        <v>16767</v>
      </c>
      <c r="B4838" t="s">
        <v>149</v>
      </c>
      <c r="C4838">
        <v>51024214</v>
      </c>
      <c r="D4838">
        <v>31.279800520937577</v>
      </c>
      <c r="E4838" t="s">
        <v>94</v>
      </c>
      <c r="F4838">
        <v>896</v>
      </c>
      <c r="G4838" s="4">
        <v>46087.603310185186</v>
      </c>
    </row>
    <row r="4839" spans="1:7" x14ac:dyDescent="0.3">
      <c r="A4839">
        <v>16768</v>
      </c>
      <c r="B4839" t="s">
        <v>149</v>
      </c>
      <c r="C4839">
        <v>51013425</v>
      </c>
      <c r="D4839">
        <v>92.802303012537379</v>
      </c>
      <c r="E4839" t="s">
        <v>92</v>
      </c>
      <c r="F4839">
        <v>90</v>
      </c>
      <c r="G4839" s="4">
        <v>46087.603310185186</v>
      </c>
    </row>
    <row r="4840" spans="1:7" x14ac:dyDescent="0.3">
      <c r="A4840">
        <v>16769</v>
      </c>
      <c r="B4840" t="s">
        <v>149</v>
      </c>
      <c r="C4840">
        <v>51025334</v>
      </c>
      <c r="D4840">
        <v>77.477979794136147</v>
      </c>
      <c r="E4840" t="s">
        <v>93</v>
      </c>
      <c r="F4840">
        <v>457</v>
      </c>
      <c r="G4840" s="4">
        <v>46087.603310185186</v>
      </c>
    </row>
    <row r="4841" spans="1:7" x14ac:dyDescent="0.3">
      <c r="A4841">
        <v>16770</v>
      </c>
      <c r="B4841" t="s">
        <v>149</v>
      </c>
      <c r="C4841">
        <v>51056132</v>
      </c>
      <c r="D4841">
        <v>48.849334867904759</v>
      </c>
      <c r="E4841" t="s">
        <v>94</v>
      </c>
      <c r="F4841">
        <v>781</v>
      </c>
      <c r="G4841" s="4">
        <v>46087.603310185186</v>
      </c>
    </row>
    <row r="4842" spans="1:7" x14ac:dyDescent="0.3">
      <c r="A4842">
        <v>16771</v>
      </c>
      <c r="B4842" t="s">
        <v>149</v>
      </c>
      <c r="C4842">
        <v>51004531</v>
      </c>
      <c r="D4842">
        <v>93.51135149726322</v>
      </c>
      <c r="E4842" t="s">
        <v>92</v>
      </c>
      <c r="F4842">
        <v>78</v>
      </c>
      <c r="G4842" s="4">
        <v>46087.603310185186</v>
      </c>
    </row>
    <row r="4843" spans="1:7" x14ac:dyDescent="0.3">
      <c r="A4843">
        <v>16772</v>
      </c>
      <c r="B4843" t="s">
        <v>149</v>
      </c>
      <c r="C4843">
        <v>51039033</v>
      </c>
      <c r="D4843">
        <v>49.942207873293924</v>
      </c>
      <c r="E4843" t="s">
        <v>94</v>
      </c>
      <c r="F4843">
        <v>772</v>
      </c>
      <c r="G4843" s="4">
        <v>46087.603310185186</v>
      </c>
    </row>
    <row r="4844" spans="1:7" x14ac:dyDescent="0.3">
      <c r="A4844">
        <v>16773</v>
      </c>
      <c r="B4844" t="s">
        <v>149</v>
      </c>
      <c r="C4844">
        <v>51024117</v>
      </c>
      <c r="D4844">
        <v>91.46419156386149</v>
      </c>
      <c r="E4844" t="s">
        <v>92</v>
      </c>
      <c r="F4844">
        <v>112</v>
      </c>
      <c r="G4844" s="4">
        <v>46087.603310185186</v>
      </c>
    </row>
    <row r="4845" spans="1:7" x14ac:dyDescent="0.3">
      <c r="A4845">
        <v>16774</v>
      </c>
      <c r="B4845" t="s">
        <v>149</v>
      </c>
      <c r="C4845">
        <v>51031768</v>
      </c>
      <c r="D4845">
        <v>58.665288206037005</v>
      </c>
      <c r="E4845" t="s">
        <v>94</v>
      </c>
      <c r="F4845">
        <v>668</v>
      </c>
      <c r="G4845" s="4">
        <v>46087.603310185186</v>
      </c>
    </row>
    <row r="4846" spans="1:7" x14ac:dyDescent="0.3">
      <c r="A4846">
        <v>16775</v>
      </c>
      <c r="B4846" t="s">
        <v>149</v>
      </c>
      <c r="C4846">
        <v>51022637</v>
      </c>
      <c r="D4846">
        <v>85.312008436147281</v>
      </c>
      <c r="E4846" t="s">
        <v>93</v>
      </c>
      <c r="F4846">
        <v>260</v>
      </c>
      <c r="G4846" s="4">
        <v>46087.603310185186</v>
      </c>
    </row>
    <row r="4847" spans="1:7" x14ac:dyDescent="0.3">
      <c r="A4847">
        <v>16776</v>
      </c>
      <c r="B4847" t="s">
        <v>149</v>
      </c>
      <c r="C4847">
        <v>51010124</v>
      </c>
      <c r="D4847">
        <v>95.834588864978059</v>
      </c>
      <c r="E4847" t="s">
        <v>275</v>
      </c>
      <c r="F4847">
        <v>55</v>
      </c>
      <c r="G4847" s="4">
        <v>46087.603310185186</v>
      </c>
    </row>
    <row r="4848" spans="1:7" x14ac:dyDescent="0.3">
      <c r="A4848">
        <v>16777</v>
      </c>
      <c r="B4848" t="s">
        <v>149</v>
      </c>
      <c r="C4848">
        <v>51012020</v>
      </c>
      <c r="D4848">
        <v>82.351448828484905</v>
      </c>
      <c r="E4848" t="s">
        <v>93</v>
      </c>
      <c r="F4848">
        <v>354</v>
      </c>
      <c r="G4848" s="4">
        <v>46087.603310185186</v>
      </c>
    </row>
    <row r="4849" spans="1:7" x14ac:dyDescent="0.3">
      <c r="A4849">
        <v>16778</v>
      </c>
      <c r="B4849" t="s">
        <v>149</v>
      </c>
      <c r="C4849">
        <v>51029968</v>
      </c>
      <c r="D4849">
        <v>85.991095434506889</v>
      </c>
      <c r="E4849" t="s">
        <v>92</v>
      </c>
      <c r="F4849">
        <v>239</v>
      </c>
      <c r="G4849" s="4">
        <v>46087.603310185186</v>
      </c>
    </row>
    <row r="4850" spans="1:7" x14ac:dyDescent="0.3">
      <c r="A4850">
        <v>16779</v>
      </c>
      <c r="B4850" t="s">
        <v>149</v>
      </c>
      <c r="C4850">
        <v>51025202</v>
      </c>
      <c r="D4850">
        <v>100</v>
      </c>
      <c r="E4850" t="s">
        <v>275</v>
      </c>
      <c r="F4850">
        <v>1</v>
      </c>
      <c r="G4850" s="4">
        <v>46087.603310185186</v>
      </c>
    </row>
    <row r="4851" spans="1:7" x14ac:dyDescent="0.3">
      <c r="A4851">
        <v>16780</v>
      </c>
      <c r="B4851" t="s">
        <v>149</v>
      </c>
      <c r="C4851">
        <v>51003667</v>
      </c>
      <c r="D4851">
        <v>65.898039817418052</v>
      </c>
      <c r="E4851" t="s">
        <v>93</v>
      </c>
      <c r="F4851">
        <v>569</v>
      </c>
      <c r="G4851" s="4">
        <v>46087.603310185186</v>
      </c>
    </row>
    <row r="4852" spans="1:7" x14ac:dyDescent="0.3">
      <c r="A4852">
        <v>16781</v>
      </c>
      <c r="B4852" t="s">
        <v>149</v>
      </c>
      <c r="C4852">
        <v>51026691</v>
      </c>
      <c r="D4852">
        <v>47.709438063875595</v>
      </c>
      <c r="E4852" t="s">
        <v>94</v>
      </c>
      <c r="F4852">
        <v>793</v>
      </c>
      <c r="G4852" s="4">
        <v>46087.603310185186</v>
      </c>
    </row>
    <row r="4853" spans="1:7" x14ac:dyDescent="0.3">
      <c r="A4853">
        <v>16782</v>
      </c>
      <c r="B4853" t="s">
        <v>149</v>
      </c>
      <c r="C4853">
        <v>51023145</v>
      </c>
      <c r="D4853">
        <v>97.579669524738932</v>
      </c>
      <c r="E4853" t="s">
        <v>275</v>
      </c>
      <c r="F4853">
        <v>33</v>
      </c>
      <c r="G4853" s="4">
        <v>46087.603310185186</v>
      </c>
    </row>
    <row r="4854" spans="1:7" x14ac:dyDescent="0.3">
      <c r="A4854">
        <v>16783</v>
      </c>
      <c r="B4854" t="s">
        <v>149</v>
      </c>
      <c r="C4854">
        <v>51056001</v>
      </c>
      <c r="D4854">
        <v>93.346460536681349</v>
      </c>
      <c r="E4854" t="s">
        <v>92</v>
      </c>
      <c r="F4854">
        <v>83</v>
      </c>
      <c r="G4854" s="4">
        <v>46087.603310185186</v>
      </c>
    </row>
    <row r="4855" spans="1:7" x14ac:dyDescent="0.3">
      <c r="A4855">
        <v>16784</v>
      </c>
      <c r="B4855" t="s">
        <v>149</v>
      </c>
      <c r="C4855">
        <v>51019652</v>
      </c>
      <c r="D4855">
        <v>89.723394933338255</v>
      </c>
      <c r="E4855" t="s">
        <v>92</v>
      </c>
      <c r="F4855">
        <v>136</v>
      </c>
      <c r="G4855" s="4">
        <v>46087.603310185186</v>
      </c>
    </row>
    <row r="4856" spans="1:7" x14ac:dyDescent="0.3">
      <c r="A4856">
        <v>16785</v>
      </c>
      <c r="B4856" t="s">
        <v>149</v>
      </c>
      <c r="C4856">
        <v>51011368</v>
      </c>
      <c r="D4856">
        <v>98.327840021734701</v>
      </c>
      <c r="E4856" t="s">
        <v>275</v>
      </c>
      <c r="F4856">
        <v>27</v>
      </c>
      <c r="G4856" s="4">
        <v>46087.603310185186</v>
      </c>
    </row>
    <row r="4857" spans="1:7" x14ac:dyDescent="0.3">
      <c r="A4857">
        <v>16786</v>
      </c>
      <c r="B4857" t="s">
        <v>149</v>
      </c>
      <c r="C4857">
        <v>51055047</v>
      </c>
      <c r="D4857">
        <v>72.390365941155423</v>
      </c>
      <c r="E4857" t="s">
        <v>93</v>
      </c>
      <c r="F4857">
        <v>517</v>
      </c>
      <c r="G4857" s="4">
        <v>46087.603310185186</v>
      </c>
    </row>
    <row r="4858" spans="1:7" x14ac:dyDescent="0.3">
      <c r="A4858">
        <v>16787</v>
      </c>
      <c r="B4858" t="s">
        <v>149</v>
      </c>
      <c r="C4858">
        <v>51018176</v>
      </c>
      <c r="D4858">
        <v>72.552031556584268</v>
      </c>
      <c r="E4858" t="s">
        <v>93</v>
      </c>
      <c r="F4858">
        <v>515</v>
      </c>
      <c r="G4858" s="4">
        <v>46087.603310185186</v>
      </c>
    </row>
    <row r="4859" spans="1:7" x14ac:dyDescent="0.3">
      <c r="A4859">
        <v>16788</v>
      </c>
      <c r="B4859" t="s">
        <v>149</v>
      </c>
      <c r="C4859">
        <v>51015622</v>
      </c>
      <c r="D4859">
        <v>57.441667457742973</v>
      </c>
      <c r="E4859" t="s">
        <v>94</v>
      </c>
      <c r="F4859">
        <v>702</v>
      </c>
      <c r="G4859" s="4">
        <v>46087.603310185186</v>
      </c>
    </row>
    <row r="4860" spans="1:7" x14ac:dyDescent="0.3">
      <c r="A4860">
        <v>16789</v>
      </c>
      <c r="B4860" t="s">
        <v>149</v>
      </c>
      <c r="C4860">
        <v>51054946</v>
      </c>
      <c r="D4860">
        <v>100</v>
      </c>
      <c r="E4860" t="s">
        <v>275</v>
      </c>
      <c r="F4860">
        <v>1</v>
      </c>
      <c r="G4860" s="4">
        <v>46087.603310185186</v>
      </c>
    </row>
    <row r="4861" spans="1:7" x14ac:dyDescent="0.3">
      <c r="A4861">
        <v>16790</v>
      </c>
      <c r="B4861" t="s">
        <v>149</v>
      </c>
      <c r="C4861">
        <v>51016220</v>
      </c>
      <c r="D4861">
        <v>100</v>
      </c>
      <c r="E4861" t="s">
        <v>275</v>
      </c>
      <c r="F4861">
        <v>1</v>
      </c>
      <c r="G4861" s="4">
        <v>46087.603310185186</v>
      </c>
    </row>
    <row r="4862" spans="1:7" x14ac:dyDescent="0.3">
      <c r="A4862">
        <v>16791</v>
      </c>
      <c r="B4862" t="s">
        <v>149</v>
      </c>
      <c r="C4862">
        <v>51025385</v>
      </c>
      <c r="D4862">
        <v>32.784150680860158</v>
      </c>
      <c r="E4862" t="s">
        <v>94</v>
      </c>
      <c r="F4862">
        <v>881</v>
      </c>
      <c r="G4862" s="4">
        <v>46087.603310185186</v>
      </c>
    </row>
    <row r="4863" spans="1:7" x14ac:dyDescent="0.3">
      <c r="A4863">
        <v>16792</v>
      </c>
      <c r="B4863" t="s">
        <v>149</v>
      </c>
      <c r="C4863">
        <v>51057163</v>
      </c>
      <c r="D4863">
        <v>55.121398623088737</v>
      </c>
      <c r="E4863" t="s">
        <v>94</v>
      </c>
      <c r="F4863">
        <v>733</v>
      </c>
      <c r="G4863" s="4">
        <v>46087.603310185186</v>
      </c>
    </row>
    <row r="4864" spans="1:7" x14ac:dyDescent="0.3">
      <c r="A4864">
        <v>16793</v>
      </c>
      <c r="B4864" t="s">
        <v>149</v>
      </c>
      <c r="C4864">
        <v>51055985</v>
      </c>
      <c r="D4864">
        <v>25.736364823263671</v>
      </c>
      <c r="E4864" t="s">
        <v>94</v>
      </c>
      <c r="F4864">
        <v>943</v>
      </c>
      <c r="G4864" s="4">
        <v>46087.603310185186</v>
      </c>
    </row>
    <row r="4865" spans="1:7" x14ac:dyDescent="0.3">
      <c r="A4865">
        <v>16794</v>
      </c>
      <c r="B4865" t="s">
        <v>149</v>
      </c>
      <c r="C4865">
        <v>51032993</v>
      </c>
      <c r="D4865">
        <v>97.502156204201626</v>
      </c>
      <c r="E4865" t="s">
        <v>275</v>
      </c>
      <c r="F4865">
        <v>34</v>
      </c>
      <c r="G4865" s="4">
        <v>46087.603310185186</v>
      </c>
    </row>
    <row r="4866" spans="1:7" x14ac:dyDescent="0.3">
      <c r="A4866">
        <v>16795</v>
      </c>
      <c r="B4866" t="s">
        <v>149</v>
      </c>
      <c r="C4866">
        <v>51015088</v>
      </c>
      <c r="D4866">
        <v>79.672556705781048</v>
      </c>
      <c r="E4866" t="s">
        <v>93</v>
      </c>
      <c r="F4866">
        <v>426</v>
      </c>
      <c r="G4866" s="4">
        <v>46087.603310185186</v>
      </c>
    </row>
    <row r="4867" spans="1:7" x14ac:dyDescent="0.3">
      <c r="A4867">
        <v>16796</v>
      </c>
      <c r="B4867" t="s">
        <v>149</v>
      </c>
      <c r="C4867">
        <v>51035658</v>
      </c>
      <c r="D4867">
        <v>80.4943425657886</v>
      </c>
      <c r="E4867" t="s">
        <v>93</v>
      </c>
      <c r="F4867">
        <v>406</v>
      </c>
      <c r="G4867" s="4">
        <v>46087.603310185186</v>
      </c>
    </row>
    <row r="4868" spans="1:7" x14ac:dyDescent="0.3">
      <c r="A4868">
        <v>16797</v>
      </c>
      <c r="B4868" t="s">
        <v>149</v>
      </c>
      <c r="C4868">
        <v>51016726</v>
      </c>
      <c r="D4868">
        <v>86.049504938268015</v>
      </c>
      <c r="E4868" t="s">
        <v>92</v>
      </c>
      <c r="F4868">
        <v>237</v>
      </c>
      <c r="G4868" s="4">
        <v>46087.603310185186</v>
      </c>
    </row>
    <row r="4869" spans="1:7" x14ac:dyDescent="0.3">
      <c r="A4869">
        <v>16798</v>
      </c>
      <c r="B4869" t="s">
        <v>149</v>
      </c>
      <c r="C4869">
        <v>51019342</v>
      </c>
      <c r="D4869">
        <v>21.75393849616546</v>
      </c>
      <c r="E4869" t="s">
        <v>95</v>
      </c>
      <c r="F4869">
        <v>969</v>
      </c>
      <c r="G4869" s="4">
        <v>46087.603310185186</v>
      </c>
    </row>
    <row r="4870" spans="1:7" x14ac:dyDescent="0.3">
      <c r="A4870">
        <v>16799</v>
      </c>
      <c r="B4870" t="s">
        <v>149</v>
      </c>
      <c r="C4870">
        <v>51014162</v>
      </c>
      <c r="D4870">
        <v>66.320292389837675</v>
      </c>
      <c r="E4870" t="s">
        <v>93</v>
      </c>
      <c r="F4870">
        <v>566</v>
      </c>
      <c r="G4870" s="4">
        <v>46087.603310185186</v>
      </c>
    </row>
    <row r="4871" spans="1:7" x14ac:dyDescent="0.3">
      <c r="A4871">
        <v>16800</v>
      </c>
      <c r="B4871" t="s">
        <v>149</v>
      </c>
      <c r="C4871">
        <v>51022360</v>
      </c>
      <c r="D4871">
        <v>89.815482375123821</v>
      </c>
      <c r="E4871" t="s">
        <v>92</v>
      </c>
      <c r="F4871">
        <v>132</v>
      </c>
      <c r="G4871" s="4">
        <v>46087.603310185186</v>
      </c>
    </row>
    <row r="4872" spans="1:7" x14ac:dyDescent="0.3">
      <c r="A4872">
        <v>16801</v>
      </c>
      <c r="B4872" t="s">
        <v>149</v>
      </c>
      <c r="C4872">
        <v>51040848</v>
      </c>
      <c r="D4872">
        <v>78.249666554241372</v>
      </c>
      <c r="E4872" t="s">
        <v>93</v>
      </c>
      <c r="F4872">
        <v>449</v>
      </c>
      <c r="G4872" s="4">
        <v>46087.603310185186</v>
      </c>
    </row>
    <row r="4873" spans="1:7" x14ac:dyDescent="0.3">
      <c r="A4873">
        <v>16802</v>
      </c>
      <c r="B4873" t="s">
        <v>149</v>
      </c>
      <c r="C4873">
        <v>51022696</v>
      </c>
      <c r="D4873">
        <v>94.081474055788973</v>
      </c>
      <c r="E4873" t="s">
        <v>92</v>
      </c>
      <c r="F4873">
        <v>72</v>
      </c>
      <c r="G4873" s="4">
        <v>46087.603310185186</v>
      </c>
    </row>
    <row r="4874" spans="1:7" x14ac:dyDescent="0.3">
      <c r="A4874">
        <v>16803</v>
      </c>
      <c r="B4874" t="s">
        <v>149</v>
      </c>
      <c r="C4874">
        <v>51056426</v>
      </c>
      <c r="D4874">
        <v>61.378314796261563</v>
      </c>
      <c r="E4874" t="s">
        <v>94</v>
      </c>
      <c r="F4874">
        <v>623</v>
      </c>
      <c r="G4874" s="4">
        <v>46087.603310185186</v>
      </c>
    </row>
    <row r="4875" spans="1:7" x14ac:dyDescent="0.3">
      <c r="A4875">
        <v>16804</v>
      </c>
      <c r="B4875" t="s">
        <v>149</v>
      </c>
      <c r="C4875">
        <v>51011350</v>
      </c>
      <c r="D4875">
        <v>56.716959566940751</v>
      </c>
      <c r="E4875" t="s">
        <v>94</v>
      </c>
      <c r="F4875">
        <v>717</v>
      </c>
      <c r="G4875" s="4">
        <v>46087.603310185186</v>
      </c>
    </row>
    <row r="4876" spans="1:7" x14ac:dyDescent="0.3">
      <c r="A4876">
        <v>16805</v>
      </c>
      <c r="B4876" t="s">
        <v>149</v>
      </c>
      <c r="C4876">
        <v>51024087</v>
      </c>
      <c r="D4876">
        <v>85.271204084442005</v>
      </c>
      <c r="E4876" t="s">
        <v>93</v>
      </c>
      <c r="F4876">
        <v>262</v>
      </c>
      <c r="G4876" s="4">
        <v>46087.603310185186</v>
      </c>
    </row>
    <row r="4877" spans="1:7" x14ac:dyDescent="0.3">
      <c r="A4877">
        <v>16806</v>
      </c>
      <c r="B4877" t="s">
        <v>149</v>
      </c>
      <c r="C4877">
        <v>51005171</v>
      </c>
      <c r="D4877">
        <v>82.277902570269745</v>
      </c>
      <c r="E4877" t="s">
        <v>93</v>
      </c>
      <c r="F4877">
        <v>357</v>
      </c>
      <c r="G4877" s="4">
        <v>46087.603310185186</v>
      </c>
    </row>
    <row r="4878" spans="1:7" x14ac:dyDescent="0.3">
      <c r="A4878">
        <v>16807</v>
      </c>
      <c r="B4878" t="s">
        <v>149</v>
      </c>
      <c r="C4878">
        <v>51005864</v>
      </c>
      <c r="D4878">
        <v>85.107261450677782</v>
      </c>
      <c r="E4878" t="s">
        <v>93</v>
      </c>
      <c r="F4878">
        <v>263</v>
      </c>
      <c r="G4878" s="4">
        <v>46087.603310185186</v>
      </c>
    </row>
    <row r="4879" spans="1:7" x14ac:dyDescent="0.3">
      <c r="A4879">
        <v>16808</v>
      </c>
      <c r="B4879" t="s">
        <v>149</v>
      </c>
      <c r="C4879">
        <v>51040317</v>
      </c>
      <c r="D4879">
        <v>87.753038848762316</v>
      </c>
      <c r="E4879" t="s">
        <v>92</v>
      </c>
      <c r="F4879">
        <v>187</v>
      </c>
      <c r="G4879" s="4">
        <v>46087.603310185186</v>
      </c>
    </row>
    <row r="4880" spans="1:7" x14ac:dyDescent="0.3">
      <c r="A4880">
        <v>16809</v>
      </c>
      <c r="B4880" t="s">
        <v>149</v>
      </c>
      <c r="C4880">
        <v>51003926</v>
      </c>
      <c r="D4880">
        <v>52.670897048638395</v>
      </c>
      <c r="E4880" t="s">
        <v>94</v>
      </c>
      <c r="F4880">
        <v>753</v>
      </c>
      <c r="G4880" s="4">
        <v>46087.603310185186</v>
      </c>
    </row>
    <row r="4881" spans="1:7" x14ac:dyDescent="0.3">
      <c r="A4881">
        <v>16810</v>
      </c>
      <c r="B4881" t="s">
        <v>149</v>
      </c>
      <c r="C4881">
        <v>51019911</v>
      </c>
      <c r="D4881">
        <v>54.434549348957411</v>
      </c>
      <c r="E4881" t="s">
        <v>94</v>
      </c>
      <c r="F4881">
        <v>742</v>
      </c>
      <c r="G4881" s="4">
        <v>46087.603310185186</v>
      </c>
    </row>
    <row r="4882" spans="1:7" x14ac:dyDescent="0.3">
      <c r="A4882">
        <v>16811</v>
      </c>
      <c r="B4882" t="s">
        <v>149</v>
      </c>
      <c r="C4882">
        <v>51022076</v>
      </c>
      <c r="D4882">
        <v>80.973710149766717</v>
      </c>
      <c r="E4882" t="s">
        <v>93</v>
      </c>
      <c r="F4882">
        <v>394</v>
      </c>
      <c r="G4882" s="4">
        <v>46087.603310185186</v>
      </c>
    </row>
    <row r="4883" spans="1:7" x14ac:dyDescent="0.3">
      <c r="A4883">
        <v>16812</v>
      </c>
      <c r="B4883" t="s">
        <v>149</v>
      </c>
      <c r="C4883">
        <v>51055217</v>
      </c>
      <c r="D4883">
        <v>47.528813485367664</v>
      </c>
      <c r="E4883" t="s">
        <v>94</v>
      </c>
      <c r="F4883">
        <v>800</v>
      </c>
      <c r="G4883" s="4">
        <v>46087.603310185186</v>
      </c>
    </row>
    <row r="4884" spans="1:7" x14ac:dyDescent="0.3">
      <c r="A4884">
        <v>16813</v>
      </c>
      <c r="B4884" t="s">
        <v>149</v>
      </c>
      <c r="C4884">
        <v>51036824</v>
      </c>
      <c r="D4884">
        <v>87.83237941680153</v>
      </c>
      <c r="E4884" t="s">
        <v>92</v>
      </c>
      <c r="F4884">
        <v>184</v>
      </c>
      <c r="G4884" s="4">
        <v>46087.603310185186</v>
      </c>
    </row>
    <row r="4885" spans="1:7" x14ac:dyDescent="0.3">
      <c r="A4885">
        <v>16814</v>
      </c>
      <c r="B4885" t="s">
        <v>149</v>
      </c>
      <c r="C4885">
        <v>51024940</v>
      </c>
      <c r="D4885">
        <v>83.031159772279153</v>
      </c>
      <c r="E4885" t="s">
        <v>93</v>
      </c>
      <c r="F4885">
        <v>328</v>
      </c>
      <c r="G4885" s="4">
        <v>46087.603310185186</v>
      </c>
    </row>
    <row r="4886" spans="1:7" x14ac:dyDescent="0.3">
      <c r="A4886">
        <v>16815</v>
      </c>
      <c r="B4886" t="s">
        <v>149</v>
      </c>
      <c r="C4886">
        <v>51033531</v>
      </c>
      <c r="D4886">
        <v>58.236109399582524</v>
      </c>
      <c r="E4886" t="s">
        <v>94</v>
      </c>
      <c r="F4886">
        <v>681</v>
      </c>
      <c r="G4886" s="4">
        <v>46087.603310185186</v>
      </c>
    </row>
    <row r="4887" spans="1:7" x14ac:dyDescent="0.3">
      <c r="A4887">
        <v>16816</v>
      </c>
      <c r="B4887" t="s">
        <v>149</v>
      </c>
      <c r="C4887">
        <v>51032454</v>
      </c>
      <c r="D4887">
        <v>46.281918053017655</v>
      </c>
      <c r="E4887" t="s">
        <v>94</v>
      </c>
      <c r="F4887">
        <v>813</v>
      </c>
      <c r="G4887" s="4">
        <v>46087.603310185186</v>
      </c>
    </row>
    <row r="4888" spans="1:7" x14ac:dyDescent="0.3">
      <c r="A4888">
        <v>16817</v>
      </c>
      <c r="B4888" t="s">
        <v>149</v>
      </c>
      <c r="C4888">
        <v>51014260</v>
      </c>
      <c r="D4888">
        <v>82.094636380436469</v>
      </c>
      <c r="E4888" t="s">
        <v>93</v>
      </c>
      <c r="F4888">
        <v>363</v>
      </c>
      <c r="G4888" s="4">
        <v>46087.603310185186</v>
      </c>
    </row>
    <row r="4889" spans="1:7" x14ac:dyDescent="0.3">
      <c r="A4889">
        <v>16818</v>
      </c>
      <c r="B4889" t="s">
        <v>149</v>
      </c>
      <c r="C4889">
        <v>51011414</v>
      </c>
      <c r="D4889">
        <v>55.75609433673101</v>
      </c>
      <c r="E4889" t="s">
        <v>94</v>
      </c>
      <c r="F4889">
        <v>728</v>
      </c>
      <c r="G4889" s="4">
        <v>46087.603310185186</v>
      </c>
    </row>
    <row r="4890" spans="1:7" x14ac:dyDescent="0.3">
      <c r="A4890">
        <v>16819</v>
      </c>
      <c r="B4890" t="s">
        <v>149</v>
      </c>
      <c r="C4890">
        <v>51018559</v>
      </c>
      <c r="D4890">
        <v>31.9</v>
      </c>
      <c r="E4890" t="s">
        <v>94</v>
      </c>
      <c r="F4890">
        <v>890</v>
      </c>
      <c r="G4890" s="4">
        <v>46087.603310185186</v>
      </c>
    </row>
    <row r="4891" spans="1:7" x14ac:dyDescent="0.3">
      <c r="A4891">
        <v>16820</v>
      </c>
      <c r="B4891" t="s">
        <v>149</v>
      </c>
      <c r="C4891">
        <v>51014308</v>
      </c>
      <c r="D4891">
        <v>49.067735179435296</v>
      </c>
      <c r="E4891" t="s">
        <v>94</v>
      </c>
      <c r="F4891">
        <v>779</v>
      </c>
      <c r="G4891" s="4">
        <v>46087.603310185186</v>
      </c>
    </row>
    <row r="4892" spans="1:7" x14ac:dyDescent="0.3">
      <c r="A4892">
        <v>16821</v>
      </c>
      <c r="B4892" t="s">
        <v>149</v>
      </c>
      <c r="C4892">
        <v>51056949</v>
      </c>
      <c r="D4892">
        <v>73.683136215923767</v>
      </c>
      <c r="E4892" t="s">
        <v>93</v>
      </c>
      <c r="F4892">
        <v>504</v>
      </c>
      <c r="G4892" s="4">
        <v>46087.603310185186</v>
      </c>
    </row>
    <row r="4893" spans="1:7" x14ac:dyDescent="0.3">
      <c r="A4893">
        <v>16822</v>
      </c>
      <c r="B4893" t="s">
        <v>149</v>
      </c>
      <c r="C4893">
        <v>51022173</v>
      </c>
      <c r="D4893">
        <v>84.97980184298676</v>
      </c>
      <c r="E4893" t="s">
        <v>93</v>
      </c>
      <c r="F4893">
        <v>266</v>
      </c>
      <c r="G4893" s="4">
        <v>46087.603310185186</v>
      </c>
    </row>
    <row r="4894" spans="1:7" x14ac:dyDescent="0.3">
      <c r="A4894">
        <v>16823</v>
      </c>
      <c r="B4894" t="s">
        <v>149</v>
      </c>
      <c r="C4894">
        <v>51023765</v>
      </c>
      <c r="D4894">
        <v>96.910537178464708</v>
      </c>
      <c r="E4894" t="s">
        <v>275</v>
      </c>
      <c r="F4894">
        <v>42</v>
      </c>
      <c r="G4894" s="4">
        <v>46087.603310185186</v>
      </c>
    </row>
    <row r="4895" spans="1:7" x14ac:dyDescent="0.3">
      <c r="A4895">
        <v>16824</v>
      </c>
      <c r="B4895" t="s">
        <v>149</v>
      </c>
      <c r="C4895">
        <v>51038908</v>
      </c>
      <c r="D4895">
        <v>67.121528168226035</v>
      </c>
      <c r="E4895" t="s">
        <v>93</v>
      </c>
      <c r="F4895">
        <v>562</v>
      </c>
      <c r="G4895" s="4">
        <v>46087.603310185186</v>
      </c>
    </row>
    <row r="4896" spans="1:7" x14ac:dyDescent="0.3">
      <c r="A4896">
        <v>16825</v>
      </c>
      <c r="B4896" t="s">
        <v>149</v>
      </c>
      <c r="C4896">
        <v>51013158</v>
      </c>
      <c r="D4896">
        <v>62.816868196732557</v>
      </c>
      <c r="E4896" t="s">
        <v>93</v>
      </c>
      <c r="F4896">
        <v>592</v>
      </c>
      <c r="G4896" s="4">
        <v>46087.603310185186</v>
      </c>
    </row>
    <row r="4897" spans="1:7" x14ac:dyDescent="0.3">
      <c r="A4897">
        <v>16826</v>
      </c>
      <c r="B4897" t="s">
        <v>149</v>
      </c>
      <c r="C4897">
        <v>51024176</v>
      </c>
      <c r="D4897">
        <v>65.599062853089038</v>
      </c>
      <c r="E4897" t="s">
        <v>93</v>
      </c>
      <c r="F4897">
        <v>570</v>
      </c>
      <c r="G4897" s="4">
        <v>46087.603310185186</v>
      </c>
    </row>
    <row r="4898" spans="1:7" x14ac:dyDescent="0.3">
      <c r="A4898">
        <v>16827</v>
      </c>
      <c r="B4898" t="s">
        <v>149</v>
      </c>
      <c r="C4898">
        <v>51000196</v>
      </c>
      <c r="D4898">
        <v>100</v>
      </c>
      <c r="E4898" t="s">
        <v>275</v>
      </c>
      <c r="F4898">
        <v>1</v>
      </c>
      <c r="G4898" s="4">
        <v>46087.603310185186</v>
      </c>
    </row>
    <row r="4899" spans="1:7" x14ac:dyDescent="0.3">
      <c r="A4899">
        <v>16828</v>
      </c>
      <c r="B4899" t="s">
        <v>149</v>
      </c>
      <c r="C4899">
        <v>51024672</v>
      </c>
      <c r="D4899">
        <v>88.985980914483918</v>
      </c>
      <c r="E4899" t="s">
        <v>92</v>
      </c>
      <c r="F4899">
        <v>153</v>
      </c>
      <c r="G4899" s="4">
        <v>46087.603310185186</v>
      </c>
    </row>
    <row r="4900" spans="1:7" x14ac:dyDescent="0.3">
      <c r="A4900">
        <v>16829</v>
      </c>
      <c r="B4900" t="s">
        <v>149</v>
      </c>
      <c r="C4900">
        <v>51021657</v>
      </c>
      <c r="D4900">
        <v>86.23920412359513</v>
      </c>
      <c r="E4900" t="s">
        <v>92</v>
      </c>
      <c r="F4900">
        <v>230</v>
      </c>
      <c r="G4900" s="4">
        <v>46087.603310185186</v>
      </c>
    </row>
    <row r="4901" spans="1:7" x14ac:dyDescent="0.3">
      <c r="A4901">
        <v>16830</v>
      </c>
      <c r="B4901" t="s">
        <v>149</v>
      </c>
      <c r="C4901">
        <v>51042263</v>
      </c>
      <c r="D4901">
        <v>74.256642144712501</v>
      </c>
      <c r="E4901" t="s">
        <v>93</v>
      </c>
      <c r="F4901">
        <v>498</v>
      </c>
      <c r="G4901" s="4">
        <v>46087.603310185186</v>
      </c>
    </row>
    <row r="4902" spans="1:7" x14ac:dyDescent="0.3">
      <c r="A4902">
        <v>16831</v>
      </c>
      <c r="B4902" t="s">
        <v>149</v>
      </c>
      <c r="C4902">
        <v>51055365</v>
      </c>
      <c r="D4902">
        <v>85.366650763735834</v>
      </c>
      <c r="E4902" t="s">
        <v>93</v>
      </c>
      <c r="F4902">
        <v>259</v>
      </c>
      <c r="G4902" s="4">
        <v>46087.603310185186</v>
      </c>
    </row>
    <row r="4903" spans="1:7" x14ac:dyDescent="0.3">
      <c r="A4903">
        <v>16832</v>
      </c>
      <c r="B4903" t="s">
        <v>149</v>
      </c>
      <c r="C4903">
        <v>51031385</v>
      </c>
      <c r="D4903">
        <v>82.417288402489731</v>
      </c>
      <c r="E4903" t="s">
        <v>93</v>
      </c>
      <c r="F4903">
        <v>350</v>
      </c>
      <c r="G4903" s="4">
        <v>46087.603310185186</v>
      </c>
    </row>
    <row r="4904" spans="1:7" x14ac:dyDescent="0.3">
      <c r="A4904">
        <v>16833</v>
      </c>
      <c r="B4904" t="s">
        <v>149</v>
      </c>
      <c r="C4904">
        <v>51041577</v>
      </c>
      <c r="D4904">
        <v>96.233923394793521</v>
      </c>
      <c r="E4904" t="s">
        <v>275</v>
      </c>
      <c r="F4904">
        <v>51</v>
      </c>
      <c r="G4904" s="4">
        <v>46087.603310185186</v>
      </c>
    </row>
    <row r="4905" spans="1:7" x14ac:dyDescent="0.3">
      <c r="A4905">
        <v>16834</v>
      </c>
      <c r="B4905" t="s">
        <v>149</v>
      </c>
      <c r="C4905">
        <v>51018877</v>
      </c>
      <c r="D4905">
        <v>17.308623006119564</v>
      </c>
      <c r="E4905" t="s">
        <v>95</v>
      </c>
      <c r="F4905">
        <v>1038</v>
      </c>
      <c r="G4905" s="4">
        <v>46087.603310185186</v>
      </c>
    </row>
    <row r="4906" spans="1:7" x14ac:dyDescent="0.3">
      <c r="A4906">
        <v>16835</v>
      </c>
      <c r="B4906" t="s">
        <v>149</v>
      </c>
      <c r="C4906">
        <v>51030303</v>
      </c>
      <c r="D4906">
        <v>33.183524589513638</v>
      </c>
      <c r="E4906" t="s">
        <v>94</v>
      </c>
      <c r="F4906">
        <v>875</v>
      </c>
      <c r="G4906" s="4">
        <v>46087.603310185186</v>
      </c>
    </row>
    <row r="4907" spans="1:7" x14ac:dyDescent="0.3">
      <c r="A4907">
        <v>16836</v>
      </c>
      <c r="B4907" t="s">
        <v>149</v>
      </c>
      <c r="C4907">
        <v>51030613</v>
      </c>
      <c r="D4907">
        <v>61.485116244087273</v>
      </c>
      <c r="E4907" t="s">
        <v>94</v>
      </c>
      <c r="F4907">
        <v>621</v>
      </c>
      <c r="G4907" s="4">
        <v>46087.603310185186</v>
      </c>
    </row>
    <row r="4908" spans="1:7" x14ac:dyDescent="0.3">
      <c r="A4908">
        <v>16837</v>
      </c>
      <c r="B4908" t="s">
        <v>149</v>
      </c>
      <c r="C4908">
        <v>51033761</v>
      </c>
      <c r="D4908">
        <v>54.000153255699438</v>
      </c>
      <c r="E4908" t="s">
        <v>94</v>
      </c>
      <c r="F4908">
        <v>745</v>
      </c>
      <c r="G4908" s="4">
        <v>46087.603310185186</v>
      </c>
    </row>
    <row r="4909" spans="1:7" x14ac:dyDescent="0.3">
      <c r="A4909">
        <v>16838</v>
      </c>
      <c r="B4909" t="s">
        <v>149</v>
      </c>
      <c r="C4909">
        <v>51023170</v>
      </c>
      <c r="D4909">
        <v>87.076004436492425</v>
      </c>
      <c r="E4909" t="s">
        <v>92</v>
      </c>
      <c r="F4909">
        <v>198</v>
      </c>
      <c r="G4909" s="4">
        <v>46087.603310185186</v>
      </c>
    </row>
    <row r="4910" spans="1:7" x14ac:dyDescent="0.3">
      <c r="A4910">
        <v>16839</v>
      </c>
      <c r="B4910" t="s">
        <v>149</v>
      </c>
      <c r="C4910">
        <v>51030079</v>
      </c>
      <c r="D4910">
        <v>75.084265446514593</v>
      </c>
      <c r="E4910" t="s">
        <v>93</v>
      </c>
      <c r="F4910">
        <v>491</v>
      </c>
      <c r="G4910" s="4">
        <v>46087.603310185186</v>
      </c>
    </row>
    <row r="4911" spans="1:7" x14ac:dyDescent="0.3">
      <c r="A4911">
        <v>16840</v>
      </c>
      <c r="B4911" t="s">
        <v>149</v>
      </c>
      <c r="C4911">
        <v>51034317</v>
      </c>
      <c r="D4911">
        <v>59.829220355924654</v>
      </c>
      <c r="E4911" t="s">
        <v>94</v>
      </c>
      <c r="F4911">
        <v>652</v>
      </c>
      <c r="G4911" s="4">
        <v>46087.603310185186</v>
      </c>
    </row>
    <row r="4912" spans="1:7" x14ac:dyDescent="0.3">
      <c r="A4912">
        <v>16841</v>
      </c>
      <c r="B4912" t="s">
        <v>149</v>
      </c>
      <c r="C4912">
        <v>51012666</v>
      </c>
      <c r="D4912">
        <v>80.238145369206521</v>
      </c>
      <c r="E4912" t="s">
        <v>93</v>
      </c>
      <c r="F4912">
        <v>414</v>
      </c>
      <c r="G4912" s="4">
        <v>46087.603310185186</v>
      </c>
    </row>
    <row r="4913" spans="1:7" x14ac:dyDescent="0.3">
      <c r="A4913">
        <v>16842</v>
      </c>
      <c r="B4913" t="s">
        <v>149</v>
      </c>
      <c r="C4913">
        <v>51036247</v>
      </c>
      <c r="D4913">
        <v>54.781562205754021</v>
      </c>
      <c r="E4913" t="s">
        <v>94</v>
      </c>
      <c r="F4913">
        <v>739</v>
      </c>
      <c r="G4913" s="4">
        <v>46087.603310185186</v>
      </c>
    </row>
    <row r="4914" spans="1:7" x14ac:dyDescent="0.3">
      <c r="A4914">
        <v>16843</v>
      </c>
      <c r="B4914" t="s">
        <v>149</v>
      </c>
      <c r="C4914">
        <v>51011325</v>
      </c>
      <c r="D4914">
        <v>26.149548848134931</v>
      </c>
      <c r="E4914" t="s">
        <v>94</v>
      </c>
      <c r="F4914">
        <v>940</v>
      </c>
      <c r="G4914" s="4">
        <v>46087.603310185186</v>
      </c>
    </row>
    <row r="4915" spans="1:7" x14ac:dyDescent="0.3">
      <c r="A4915">
        <v>16844</v>
      </c>
      <c r="B4915" t="s">
        <v>149</v>
      </c>
      <c r="C4915">
        <v>51004469</v>
      </c>
      <c r="D4915">
        <v>54.454081664641699</v>
      </c>
      <c r="E4915" t="s">
        <v>94</v>
      </c>
      <c r="F4915">
        <v>741</v>
      </c>
      <c r="G4915" s="4">
        <v>46087.603310185186</v>
      </c>
    </row>
    <row r="4916" spans="1:7" x14ac:dyDescent="0.3">
      <c r="A4916">
        <v>16845</v>
      </c>
      <c r="B4916" t="s">
        <v>149</v>
      </c>
      <c r="C4916">
        <v>51020251</v>
      </c>
      <c r="D4916">
        <v>86.855595225955469</v>
      </c>
      <c r="E4916" t="s">
        <v>92</v>
      </c>
      <c r="F4916">
        <v>203</v>
      </c>
      <c r="G4916" s="4">
        <v>46087.603310185186</v>
      </c>
    </row>
    <row r="4917" spans="1:7" x14ac:dyDescent="0.3">
      <c r="A4917">
        <v>16846</v>
      </c>
      <c r="B4917" t="s">
        <v>149</v>
      </c>
      <c r="C4917">
        <v>51016793</v>
      </c>
      <c r="D4917">
        <v>35.970000000000006</v>
      </c>
      <c r="E4917" t="s">
        <v>94</v>
      </c>
      <c r="F4917">
        <v>863</v>
      </c>
      <c r="G4917" s="4">
        <v>46087.603310185186</v>
      </c>
    </row>
    <row r="4918" spans="1:7" x14ac:dyDescent="0.3">
      <c r="A4918">
        <v>16847</v>
      </c>
      <c r="B4918" t="s">
        <v>149</v>
      </c>
      <c r="C4918">
        <v>51015401</v>
      </c>
      <c r="D4918">
        <v>97.490320025548101</v>
      </c>
      <c r="E4918" t="s">
        <v>275</v>
      </c>
      <c r="F4918">
        <v>36</v>
      </c>
      <c r="G4918" s="4">
        <v>46087.603310185186</v>
      </c>
    </row>
    <row r="4919" spans="1:7" x14ac:dyDescent="0.3">
      <c r="A4919">
        <v>16848</v>
      </c>
      <c r="B4919" t="s">
        <v>149</v>
      </c>
      <c r="C4919">
        <v>51056281</v>
      </c>
      <c r="D4919">
        <v>82.904247032598818</v>
      </c>
      <c r="E4919" t="s">
        <v>93</v>
      </c>
      <c r="F4919">
        <v>334</v>
      </c>
      <c r="G4919" s="4">
        <v>46087.603310185186</v>
      </c>
    </row>
    <row r="4920" spans="1:7" x14ac:dyDescent="0.3">
      <c r="A4920">
        <v>16849</v>
      </c>
      <c r="B4920" t="s">
        <v>149</v>
      </c>
      <c r="C4920">
        <v>51055012</v>
      </c>
      <c r="D4920">
        <v>58.380579229814963</v>
      </c>
      <c r="E4920" t="s">
        <v>94</v>
      </c>
      <c r="F4920">
        <v>675</v>
      </c>
      <c r="G4920" s="4">
        <v>46087.603310185186</v>
      </c>
    </row>
    <row r="4921" spans="1:7" x14ac:dyDescent="0.3">
      <c r="A4921">
        <v>16850</v>
      </c>
      <c r="B4921" t="s">
        <v>149</v>
      </c>
      <c r="C4921">
        <v>51006615</v>
      </c>
      <c r="D4921">
        <v>82.257551173698317</v>
      </c>
      <c r="E4921" t="s">
        <v>93</v>
      </c>
      <c r="F4921">
        <v>359</v>
      </c>
      <c r="G4921" s="4">
        <v>46087.603310185186</v>
      </c>
    </row>
    <row r="4922" spans="1:7" x14ac:dyDescent="0.3">
      <c r="A4922">
        <v>16851</v>
      </c>
      <c r="B4922" t="s">
        <v>149</v>
      </c>
      <c r="C4922">
        <v>51011724</v>
      </c>
      <c r="D4922">
        <v>88.275093232261696</v>
      </c>
      <c r="E4922" t="s">
        <v>92</v>
      </c>
      <c r="F4922">
        <v>171</v>
      </c>
      <c r="G4922" s="4">
        <v>46087.603310185186</v>
      </c>
    </row>
    <row r="4923" spans="1:7" x14ac:dyDescent="0.3">
      <c r="A4923">
        <v>16852</v>
      </c>
      <c r="B4923" t="s">
        <v>149</v>
      </c>
      <c r="C4923">
        <v>51010469</v>
      </c>
      <c r="D4923">
        <v>60.406393974959663</v>
      </c>
      <c r="E4923" t="s">
        <v>94</v>
      </c>
      <c r="F4923">
        <v>644</v>
      </c>
      <c r="G4923" s="4">
        <v>46087.603310185186</v>
      </c>
    </row>
    <row r="4924" spans="1:7" x14ac:dyDescent="0.3">
      <c r="A4924">
        <v>16853</v>
      </c>
      <c r="B4924" t="s">
        <v>149</v>
      </c>
      <c r="C4924">
        <v>51056191</v>
      </c>
      <c r="D4924">
        <v>73.840757728891973</v>
      </c>
      <c r="E4924" t="s">
        <v>93</v>
      </c>
      <c r="F4924">
        <v>502</v>
      </c>
      <c r="G4924" s="4">
        <v>46087.603310185186</v>
      </c>
    </row>
    <row r="4925" spans="1:7" x14ac:dyDescent="0.3">
      <c r="A4925">
        <v>16854</v>
      </c>
      <c r="B4925" t="s">
        <v>149</v>
      </c>
      <c r="C4925">
        <v>51023781</v>
      </c>
      <c r="D4925">
        <v>90.509440318563065</v>
      </c>
      <c r="E4925" t="s">
        <v>92</v>
      </c>
      <c r="F4925">
        <v>122</v>
      </c>
      <c r="G4925" s="4">
        <v>46087.603310185186</v>
      </c>
    </row>
    <row r="4926" spans="1:7" x14ac:dyDescent="0.3">
      <c r="A4926">
        <v>16855</v>
      </c>
      <c r="B4926" t="s">
        <v>149</v>
      </c>
      <c r="C4926">
        <v>51056221</v>
      </c>
      <c r="D4926">
        <v>71.944068312114723</v>
      </c>
      <c r="E4926" t="s">
        <v>93</v>
      </c>
      <c r="F4926">
        <v>522</v>
      </c>
      <c r="G4926" s="4">
        <v>46087.603310185186</v>
      </c>
    </row>
    <row r="4927" spans="1:7" x14ac:dyDescent="0.3">
      <c r="A4927">
        <v>16856</v>
      </c>
      <c r="B4927" t="s">
        <v>149</v>
      </c>
      <c r="C4927">
        <v>51018443</v>
      </c>
      <c r="D4927">
        <v>82.945229182708459</v>
      </c>
      <c r="E4927" t="s">
        <v>93</v>
      </c>
      <c r="F4927">
        <v>332</v>
      </c>
      <c r="G4927" s="4">
        <v>46087.603310185186</v>
      </c>
    </row>
    <row r="4928" spans="1:7" x14ac:dyDescent="0.3">
      <c r="A4928">
        <v>16857</v>
      </c>
      <c r="B4928" t="s">
        <v>149</v>
      </c>
      <c r="C4928">
        <v>51023757</v>
      </c>
      <c r="D4928">
        <v>100</v>
      </c>
      <c r="E4928" t="s">
        <v>275</v>
      </c>
      <c r="F4928">
        <v>1</v>
      </c>
      <c r="G4928" s="4">
        <v>46087.603310185186</v>
      </c>
    </row>
    <row r="4929" spans="1:7" x14ac:dyDescent="0.3">
      <c r="A4929">
        <v>16858</v>
      </c>
      <c r="B4929" t="s">
        <v>149</v>
      </c>
      <c r="C4929">
        <v>51055357</v>
      </c>
      <c r="D4929">
        <v>91.574725859329547</v>
      </c>
      <c r="E4929" t="s">
        <v>92</v>
      </c>
      <c r="F4929">
        <v>109</v>
      </c>
      <c r="G4929" s="4">
        <v>46087.603310185186</v>
      </c>
    </row>
    <row r="4930" spans="1:7" x14ac:dyDescent="0.3">
      <c r="A4930">
        <v>16859</v>
      </c>
      <c r="B4930" t="s">
        <v>149</v>
      </c>
      <c r="C4930">
        <v>51021576</v>
      </c>
      <c r="D4930">
        <v>88.838743252837958</v>
      </c>
      <c r="E4930" t="s">
        <v>92</v>
      </c>
      <c r="F4930">
        <v>156</v>
      </c>
      <c r="G4930" s="4">
        <v>46087.603310185186</v>
      </c>
    </row>
    <row r="4931" spans="1:7" x14ac:dyDescent="0.3">
      <c r="A4931">
        <v>16860</v>
      </c>
      <c r="B4931" t="s">
        <v>149</v>
      </c>
      <c r="C4931">
        <v>51018591</v>
      </c>
      <c r="D4931">
        <v>73.546779968655514</v>
      </c>
      <c r="E4931" t="s">
        <v>93</v>
      </c>
      <c r="F4931">
        <v>505</v>
      </c>
      <c r="G4931" s="4">
        <v>46087.603310185186</v>
      </c>
    </row>
    <row r="4932" spans="1:7" x14ac:dyDescent="0.3">
      <c r="A4932">
        <v>16861</v>
      </c>
      <c r="B4932" t="s">
        <v>149</v>
      </c>
      <c r="C4932">
        <v>51023471</v>
      </c>
      <c r="D4932">
        <v>86.768898347134879</v>
      </c>
      <c r="E4932" t="s">
        <v>92</v>
      </c>
      <c r="F4932">
        <v>207</v>
      </c>
      <c r="G4932" s="4">
        <v>46087.603310185186</v>
      </c>
    </row>
    <row r="4933" spans="1:7" x14ac:dyDescent="0.3">
      <c r="A4933">
        <v>16862</v>
      </c>
      <c r="B4933" t="s">
        <v>149</v>
      </c>
      <c r="C4933">
        <v>51031393</v>
      </c>
      <c r="D4933">
        <v>100</v>
      </c>
      <c r="E4933" t="s">
        <v>275</v>
      </c>
      <c r="F4933">
        <v>1</v>
      </c>
      <c r="G4933" s="4">
        <v>46087.603310185186</v>
      </c>
    </row>
    <row r="4934" spans="1:7" x14ac:dyDescent="0.3">
      <c r="A4934">
        <v>16863</v>
      </c>
      <c r="B4934" t="s">
        <v>149</v>
      </c>
      <c r="C4934">
        <v>51025971</v>
      </c>
      <c r="D4934">
        <v>83.162195749978224</v>
      </c>
      <c r="E4934" t="s">
        <v>93</v>
      </c>
      <c r="F4934">
        <v>325</v>
      </c>
      <c r="G4934" s="4">
        <v>46087.603310185186</v>
      </c>
    </row>
    <row r="4935" spans="1:7" x14ac:dyDescent="0.3">
      <c r="A4935">
        <v>16864</v>
      </c>
      <c r="B4935" t="s">
        <v>149</v>
      </c>
      <c r="C4935">
        <v>51020880</v>
      </c>
      <c r="D4935">
        <v>100</v>
      </c>
      <c r="E4935" t="s">
        <v>275</v>
      </c>
      <c r="F4935">
        <v>1</v>
      </c>
      <c r="G4935" s="4">
        <v>46087.603310185186</v>
      </c>
    </row>
    <row r="4936" spans="1:7" x14ac:dyDescent="0.3">
      <c r="A4936">
        <v>16865</v>
      </c>
      <c r="B4936" t="s">
        <v>149</v>
      </c>
      <c r="C4936">
        <v>51023056</v>
      </c>
      <c r="D4936">
        <v>83.434542770708759</v>
      </c>
      <c r="E4936" t="s">
        <v>93</v>
      </c>
      <c r="F4936">
        <v>309</v>
      </c>
      <c r="G4936" s="4">
        <v>46087.603310185186</v>
      </c>
    </row>
    <row r="4937" spans="1:7" x14ac:dyDescent="0.3">
      <c r="A4937">
        <v>16866</v>
      </c>
      <c r="B4937" t="s">
        <v>149</v>
      </c>
      <c r="C4937">
        <v>51022688</v>
      </c>
      <c r="D4937">
        <v>87.854749241143793</v>
      </c>
      <c r="E4937" t="s">
        <v>92</v>
      </c>
      <c r="F4937">
        <v>181</v>
      </c>
      <c r="G4937" s="4">
        <v>46087.603310185186</v>
      </c>
    </row>
    <row r="4938" spans="1:7" x14ac:dyDescent="0.3">
      <c r="A4938">
        <v>16867</v>
      </c>
      <c r="B4938" t="s">
        <v>149</v>
      </c>
      <c r="C4938">
        <v>51012747</v>
      </c>
      <c r="D4938">
        <v>46.786810824399318</v>
      </c>
      <c r="E4938" t="s">
        <v>94</v>
      </c>
      <c r="F4938">
        <v>809</v>
      </c>
      <c r="G4938" s="4">
        <v>46087.603310185186</v>
      </c>
    </row>
    <row r="4939" spans="1:7" x14ac:dyDescent="0.3">
      <c r="A4939">
        <v>16868</v>
      </c>
      <c r="B4939" t="s">
        <v>149</v>
      </c>
      <c r="C4939">
        <v>51032900</v>
      </c>
      <c r="D4939">
        <v>74.0678406418007</v>
      </c>
      <c r="E4939" t="s">
        <v>93</v>
      </c>
      <c r="F4939">
        <v>500</v>
      </c>
      <c r="G4939" s="4">
        <v>46087.603310185186</v>
      </c>
    </row>
    <row r="4940" spans="1:7" x14ac:dyDescent="0.3">
      <c r="A4940">
        <v>16869</v>
      </c>
      <c r="B4940" t="s">
        <v>149</v>
      </c>
      <c r="C4940">
        <v>51056434</v>
      </c>
      <c r="D4940">
        <v>79.366902962493</v>
      </c>
      <c r="E4940" t="s">
        <v>93</v>
      </c>
      <c r="F4940">
        <v>431</v>
      </c>
      <c r="G4940" s="4">
        <v>46087.603310185186</v>
      </c>
    </row>
    <row r="4941" spans="1:7" x14ac:dyDescent="0.3">
      <c r="A4941">
        <v>16870</v>
      </c>
      <c r="B4941" t="s">
        <v>149</v>
      </c>
      <c r="C4941">
        <v>51019261</v>
      </c>
      <c r="D4941">
        <v>31.696691286639588</v>
      </c>
      <c r="E4941" t="s">
        <v>94</v>
      </c>
      <c r="F4941">
        <v>892</v>
      </c>
      <c r="G4941" s="4">
        <v>46087.603310185186</v>
      </c>
    </row>
    <row r="4942" spans="1:7" x14ac:dyDescent="0.3">
      <c r="A4942">
        <v>16871</v>
      </c>
      <c r="B4942" t="s">
        <v>149</v>
      </c>
      <c r="C4942">
        <v>51018486</v>
      </c>
      <c r="D4942">
        <v>60.993331330814001</v>
      </c>
      <c r="E4942" t="s">
        <v>94</v>
      </c>
      <c r="F4942">
        <v>632</v>
      </c>
      <c r="G4942" s="4">
        <v>46087.603310185186</v>
      </c>
    </row>
    <row r="4943" spans="1:7" x14ac:dyDescent="0.3">
      <c r="A4943">
        <v>16872</v>
      </c>
      <c r="B4943" t="s">
        <v>149</v>
      </c>
      <c r="C4943">
        <v>51005732</v>
      </c>
      <c r="D4943">
        <v>76.480925946031064</v>
      </c>
      <c r="E4943" t="s">
        <v>93</v>
      </c>
      <c r="F4943">
        <v>475</v>
      </c>
      <c r="G4943" s="4">
        <v>46087.603310185186</v>
      </c>
    </row>
    <row r="4944" spans="1:7" x14ac:dyDescent="0.3">
      <c r="A4944">
        <v>16873</v>
      </c>
      <c r="B4944" t="s">
        <v>149</v>
      </c>
      <c r="C4944">
        <v>51039785</v>
      </c>
      <c r="D4944">
        <v>58.111487514486384</v>
      </c>
      <c r="E4944" t="s">
        <v>94</v>
      </c>
      <c r="F4944">
        <v>685</v>
      </c>
      <c r="G4944" s="4">
        <v>46087.603310185186</v>
      </c>
    </row>
    <row r="4945" spans="1:7" x14ac:dyDescent="0.3">
      <c r="A4945">
        <v>16874</v>
      </c>
      <c r="B4945" t="s">
        <v>149</v>
      </c>
      <c r="C4945">
        <v>51025865</v>
      </c>
      <c r="D4945">
        <v>90.053289222602828</v>
      </c>
      <c r="E4945" t="s">
        <v>92</v>
      </c>
      <c r="F4945">
        <v>130</v>
      </c>
      <c r="G4945" s="4">
        <v>46087.603310185186</v>
      </c>
    </row>
    <row r="4946" spans="1:7" x14ac:dyDescent="0.3">
      <c r="A4946">
        <v>16875</v>
      </c>
      <c r="B4946" t="s">
        <v>149</v>
      </c>
      <c r="C4946">
        <v>51015657</v>
      </c>
      <c r="D4946">
        <v>95.232181347493793</v>
      </c>
      <c r="E4946" t="s">
        <v>92</v>
      </c>
      <c r="F4946">
        <v>62</v>
      </c>
      <c r="G4946" s="4">
        <v>46087.603310185186</v>
      </c>
    </row>
    <row r="4947" spans="1:7" x14ac:dyDescent="0.3">
      <c r="A4947">
        <v>16876</v>
      </c>
      <c r="B4947" t="s">
        <v>149</v>
      </c>
      <c r="C4947">
        <v>51001168</v>
      </c>
      <c r="D4947">
        <v>85.891932276947614</v>
      </c>
      <c r="E4947" t="s">
        <v>93</v>
      </c>
      <c r="F4947">
        <v>240</v>
      </c>
      <c r="G4947" s="4">
        <v>46087.603310185186</v>
      </c>
    </row>
    <row r="4948" spans="1:7" x14ac:dyDescent="0.3">
      <c r="A4948">
        <v>16877</v>
      </c>
      <c r="B4948" t="s">
        <v>149</v>
      </c>
      <c r="C4948">
        <v>51021380</v>
      </c>
      <c r="D4948">
        <v>80.848569191707014</v>
      </c>
      <c r="E4948" t="s">
        <v>93</v>
      </c>
      <c r="F4948">
        <v>396</v>
      </c>
      <c r="G4948" s="4">
        <v>46087.603310185186</v>
      </c>
    </row>
    <row r="4949" spans="1:7" x14ac:dyDescent="0.3">
      <c r="A4949">
        <v>16878</v>
      </c>
      <c r="B4949" t="s">
        <v>149</v>
      </c>
      <c r="C4949">
        <v>51011970</v>
      </c>
      <c r="D4949">
        <v>88.290341598155393</v>
      </c>
      <c r="E4949" t="s">
        <v>92</v>
      </c>
      <c r="F4949">
        <v>170</v>
      </c>
      <c r="G4949" s="4">
        <v>46087.603310185186</v>
      </c>
    </row>
    <row r="4950" spans="1:7" x14ac:dyDescent="0.3">
      <c r="A4950">
        <v>16879</v>
      </c>
      <c r="B4950" t="s">
        <v>149</v>
      </c>
      <c r="C4950">
        <v>51036697</v>
      </c>
      <c r="D4950">
        <v>78.731570050147951</v>
      </c>
      <c r="E4950" t="s">
        <v>93</v>
      </c>
      <c r="F4950">
        <v>439</v>
      </c>
      <c r="G4950" s="4">
        <v>46087.603310185186</v>
      </c>
    </row>
    <row r="4951" spans="1:7" x14ac:dyDescent="0.3">
      <c r="A4951">
        <v>16880</v>
      </c>
      <c r="B4951" t="s">
        <v>149</v>
      </c>
      <c r="C4951">
        <v>51009061</v>
      </c>
      <c r="D4951">
        <v>62.697920463342548</v>
      </c>
      <c r="E4951" t="s">
        <v>93</v>
      </c>
      <c r="F4951">
        <v>596</v>
      </c>
      <c r="G4951" s="4">
        <v>46087.603310185186</v>
      </c>
    </row>
    <row r="4952" spans="1:7" x14ac:dyDescent="0.3">
      <c r="A4952">
        <v>16881</v>
      </c>
      <c r="B4952" t="s">
        <v>149</v>
      </c>
      <c r="C4952">
        <v>51013824</v>
      </c>
      <c r="D4952">
        <v>88.269541798003686</v>
      </c>
      <c r="E4952" t="s">
        <v>92</v>
      </c>
      <c r="F4952">
        <v>172</v>
      </c>
      <c r="G4952" s="4">
        <v>46087.603310185186</v>
      </c>
    </row>
    <row r="4953" spans="1:7" x14ac:dyDescent="0.3">
      <c r="A4953">
        <v>16882</v>
      </c>
      <c r="B4953" t="s">
        <v>149</v>
      </c>
      <c r="C4953">
        <v>51009240</v>
      </c>
      <c r="D4953">
        <v>67.96746410942869</v>
      </c>
      <c r="E4953" t="s">
        <v>93</v>
      </c>
      <c r="F4953">
        <v>556</v>
      </c>
      <c r="G4953" s="4">
        <v>46087.603310185186</v>
      </c>
    </row>
    <row r="4954" spans="1:7" x14ac:dyDescent="0.3">
      <c r="A4954">
        <v>16883</v>
      </c>
      <c r="B4954" t="s">
        <v>149</v>
      </c>
      <c r="C4954">
        <v>51001061</v>
      </c>
      <c r="D4954">
        <v>57.556948430780835</v>
      </c>
      <c r="E4954" t="s">
        <v>94</v>
      </c>
      <c r="F4954">
        <v>698</v>
      </c>
      <c r="G4954" s="4">
        <v>46087.603310185186</v>
      </c>
    </row>
    <row r="4955" spans="1:7" x14ac:dyDescent="0.3">
      <c r="A4955">
        <v>16884</v>
      </c>
      <c r="B4955" t="s">
        <v>149</v>
      </c>
      <c r="C4955">
        <v>51018621</v>
      </c>
      <c r="D4955">
        <v>50.470209125424404</v>
      </c>
      <c r="E4955" t="s">
        <v>94</v>
      </c>
      <c r="F4955">
        <v>768</v>
      </c>
      <c r="G4955" s="4">
        <v>46087.603310185186</v>
      </c>
    </row>
    <row r="4956" spans="1:7" x14ac:dyDescent="0.3">
      <c r="A4956">
        <v>16885</v>
      </c>
      <c r="B4956" t="s">
        <v>149</v>
      </c>
      <c r="C4956">
        <v>51011031</v>
      </c>
      <c r="D4956">
        <v>88.481775063915578</v>
      </c>
      <c r="E4956" t="s">
        <v>92</v>
      </c>
      <c r="F4956">
        <v>164</v>
      </c>
      <c r="G4956" s="4">
        <v>46087.603310185186</v>
      </c>
    </row>
    <row r="4957" spans="1:7" x14ac:dyDescent="0.3">
      <c r="A4957">
        <v>16886</v>
      </c>
      <c r="B4957" t="s">
        <v>149</v>
      </c>
      <c r="C4957">
        <v>51013239</v>
      </c>
      <c r="D4957">
        <v>73.239710790117016</v>
      </c>
      <c r="E4957" t="s">
        <v>93</v>
      </c>
      <c r="F4957">
        <v>508</v>
      </c>
      <c r="G4957" s="4">
        <v>46087.603310185186</v>
      </c>
    </row>
    <row r="4958" spans="1:7" x14ac:dyDescent="0.3">
      <c r="A4958">
        <v>16887</v>
      </c>
      <c r="B4958" t="s">
        <v>149</v>
      </c>
      <c r="C4958">
        <v>51030281</v>
      </c>
      <c r="D4958">
        <v>60.836704792048288</v>
      </c>
      <c r="E4958" t="s">
        <v>94</v>
      </c>
      <c r="F4958">
        <v>636</v>
      </c>
      <c r="G4958" s="4">
        <v>46087.603310185186</v>
      </c>
    </row>
    <row r="4959" spans="1:7" x14ac:dyDescent="0.3">
      <c r="A4959">
        <v>16888</v>
      </c>
      <c r="B4959" t="s">
        <v>149</v>
      </c>
      <c r="C4959">
        <v>51055829</v>
      </c>
      <c r="D4959">
        <v>58.257832949251814</v>
      </c>
      <c r="E4959" t="s">
        <v>94</v>
      </c>
      <c r="F4959">
        <v>680</v>
      </c>
      <c r="G4959" s="4">
        <v>46087.603310185186</v>
      </c>
    </row>
    <row r="4960" spans="1:7" x14ac:dyDescent="0.3">
      <c r="A4960">
        <v>16889</v>
      </c>
      <c r="B4960" t="s">
        <v>149</v>
      </c>
      <c r="C4960">
        <v>51023919</v>
      </c>
      <c r="D4960">
        <v>75.198898674659688</v>
      </c>
      <c r="E4960" t="s">
        <v>93</v>
      </c>
      <c r="F4960">
        <v>490</v>
      </c>
      <c r="G4960" s="4">
        <v>46087.603310185186</v>
      </c>
    </row>
    <row r="4961" spans="1:7" x14ac:dyDescent="0.3">
      <c r="A4961">
        <v>16890</v>
      </c>
      <c r="B4961" t="s">
        <v>149</v>
      </c>
      <c r="C4961">
        <v>51031610</v>
      </c>
      <c r="D4961">
        <v>89.866415065926574</v>
      </c>
      <c r="E4961" t="s">
        <v>92</v>
      </c>
      <c r="F4961">
        <v>131</v>
      </c>
      <c r="G4961" s="4">
        <v>46087.603310185186</v>
      </c>
    </row>
    <row r="4962" spans="1:7" x14ac:dyDescent="0.3">
      <c r="A4962">
        <v>16891</v>
      </c>
      <c r="B4962" t="s">
        <v>149</v>
      </c>
      <c r="C4962">
        <v>51024141</v>
      </c>
      <c r="D4962">
        <v>100</v>
      </c>
      <c r="E4962" t="s">
        <v>275</v>
      </c>
      <c r="F4962">
        <v>1</v>
      </c>
      <c r="G4962" s="4">
        <v>46087.603310185186</v>
      </c>
    </row>
    <row r="4963" spans="1:7" x14ac:dyDescent="0.3">
      <c r="A4963">
        <v>16892</v>
      </c>
      <c r="B4963" t="s">
        <v>149</v>
      </c>
      <c r="C4963">
        <v>51023137</v>
      </c>
      <c r="D4963">
        <v>100</v>
      </c>
      <c r="E4963" t="s">
        <v>275</v>
      </c>
      <c r="F4963">
        <v>1</v>
      </c>
      <c r="G4963" s="4">
        <v>46087.603310185186</v>
      </c>
    </row>
    <row r="4964" spans="1:7" x14ac:dyDescent="0.3">
      <c r="A4964">
        <v>16893</v>
      </c>
      <c r="B4964" t="s">
        <v>149</v>
      </c>
      <c r="C4964">
        <v>51026578</v>
      </c>
      <c r="D4964">
        <v>62.376379078097109</v>
      </c>
      <c r="E4964" t="s">
        <v>94</v>
      </c>
      <c r="F4964">
        <v>603</v>
      </c>
      <c r="G4964" s="4">
        <v>46087.603310185186</v>
      </c>
    </row>
    <row r="4965" spans="1:7" x14ac:dyDescent="0.3">
      <c r="A4965">
        <v>16894</v>
      </c>
      <c r="B4965" t="s">
        <v>149</v>
      </c>
      <c r="C4965">
        <v>51017986</v>
      </c>
      <c r="D4965">
        <v>91.800285102574378</v>
      </c>
      <c r="E4965" t="s">
        <v>92</v>
      </c>
      <c r="F4965">
        <v>102</v>
      </c>
      <c r="G4965" s="4">
        <v>46087.603310185186</v>
      </c>
    </row>
    <row r="4966" spans="1:7" x14ac:dyDescent="0.3">
      <c r="A4966">
        <v>16895</v>
      </c>
      <c r="B4966" t="s">
        <v>149</v>
      </c>
      <c r="C4966">
        <v>51055373</v>
      </c>
      <c r="D4966">
        <v>82.272284270243674</v>
      </c>
      <c r="E4966" t="s">
        <v>93</v>
      </c>
      <c r="F4966">
        <v>358</v>
      </c>
      <c r="G4966" s="4">
        <v>46087.603310185186</v>
      </c>
    </row>
    <row r="4967" spans="1:7" x14ac:dyDescent="0.3">
      <c r="A4967">
        <v>16896</v>
      </c>
      <c r="B4967" t="s">
        <v>149</v>
      </c>
      <c r="C4967">
        <v>51013794</v>
      </c>
      <c r="D4967">
        <v>42.110533754800528</v>
      </c>
      <c r="E4967" t="s">
        <v>94</v>
      </c>
      <c r="F4967">
        <v>838</v>
      </c>
      <c r="G4967" s="4">
        <v>46087.603310185186</v>
      </c>
    </row>
    <row r="4968" spans="1:7" x14ac:dyDescent="0.3">
      <c r="A4968">
        <v>16897</v>
      </c>
      <c r="B4968" t="s">
        <v>149</v>
      </c>
      <c r="C4968">
        <v>51033141</v>
      </c>
      <c r="D4968">
        <v>32.055660250267884</v>
      </c>
      <c r="E4968" t="s">
        <v>94</v>
      </c>
      <c r="F4968">
        <v>888</v>
      </c>
      <c r="G4968" s="4">
        <v>46087.603310185186</v>
      </c>
    </row>
    <row r="4969" spans="1:7" x14ac:dyDescent="0.3">
      <c r="A4969">
        <v>16898</v>
      </c>
      <c r="B4969" t="s">
        <v>149</v>
      </c>
      <c r="C4969">
        <v>51056612</v>
      </c>
      <c r="D4969">
        <v>52.363121670409548</v>
      </c>
      <c r="E4969" t="s">
        <v>94</v>
      </c>
      <c r="F4969">
        <v>755</v>
      </c>
      <c r="G4969" s="4">
        <v>46087.603310185186</v>
      </c>
    </row>
    <row r="4970" spans="1:7" x14ac:dyDescent="0.3">
      <c r="A4970">
        <v>16899</v>
      </c>
      <c r="B4970" t="s">
        <v>149</v>
      </c>
      <c r="C4970">
        <v>51032071</v>
      </c>
      <c r="D4970">
        <v>89.449976211488419</v>
      </c>
      <c r="E4970" t="s">
        <v>92</v>
      </c>
      <c r="F4970">
        <v>143</v>
      </c>
      <c r="G4970" s="4">
        <v>46087.603310185186</v>
      </c>
    </row>
    <row r="4971" spans="1:7" x14ac:dyDescent="0.3">
      <c r="A4971">
        <v>16900</v>
      </c>
      <c r="B4971" t="s">
        <v>149</v>
      </c>
      <c r="C4971">
        <v>51031121</v>
      </c>
      <c r="D4971">
        <v>93.303324997734151</v>
      </c>
      <c r="E4971" t="s">
        <v>92</v>
      </c>
      <c r="F4971">
        <v>84</v>
      </c>
      <c r="G4971" s="4">
        <v>46087.603310185186</v>
      </c>
    </row>
    <row r="4972" spans="1:7" x14ac:dyDescent="0.3">
      <c r="A4972">
        <v>16901</v>
      </c>
      <c r="B4972" t="s">
        <v>149</v>
      </c>
      <c r="C4972">
        <v>51056981</v>
      </c>
      <c r="D4972">
        <v>63.172020648823946</v>
      </c>
      <c r="E4972" t="s">
        <v>93</v>
      </c>
      <c r="F4972">
        <v>587</v>
      </c>
      <c r="G4972" s="4">
        <v>46087.603310185186</v>
      </c>
    </row>
    <row r="4973" spans="1:7" x14ac:dyDescent="0.3">
      <c r="A4973">
        <v>16902</v>
      </c>
      <c r="B4973" t="s">
        <v>149</v>
      </c>
      <c r="C4973">
        <v>51022424</v>
      </c>
      <c r="D4973">
        <v>67.762299934737229</v>
      </c>
      <c r="E4973" t="s">
        <v>93</v>
      </c>
      <c r="F4973">
        <v>557</v>
      </c>
      <c r="G4973" s="4">
        <v>46087.603310185186</v>
      </c>
    </row>
    <row r="4974" spans="1:7" x14ac:dyDescent="0.3">
      <c r="A4974">
        <v>16903</v>
      </c>
      <c r="B4974" t="s">
        <v>149</v>
      </c>
      <c r="C4974">
        <v>51025920</v>
      </c>
      <c r="D4974">
        <v>60.907061932624003</v>
      </c>
      <c r="E4974" t="s">
        <v>94</v>
      </c>
      <c r="F4974">
        <v>635</v>
      </c>
      <c r="G4974" s="4">
        <v>46087.603310185186</v>
      </c>
    </row>
    <row r="4975" spans="1:7" x14ac:dyDescent="0.3">
      <c r="A4975">
        <v>16904</v>
      </c>
      <c r="B4975" t="s">
        <v>149</v>
      </c>
      <c r="C4975">
        <v>51056388</v>
      </c>
      <c r="D4975">
        <v>82.203192607382107</v>
      </c>
      <c r="E4975" t="s">
        <v>93</v>
      </c>
      <c r="F4975">
        <v>361</v>
      </c>
      <c r="G4975" s="4">
        <v>46087.603310185186</v>
      </c>
    </row>
    <row r="4976" spans="1:7" x14ac:dyDescent="0.3">
      <c r="A4976">
        <v>16905</v>
      </c>
      <c r="B4976" t="s">
        <v>149</v>
      </c>
      <c r="C4976">
        <v>51033485</v>
      </c>
      <c r="D4976">
        <v>59.489693942166348</v>
      </c>
      <c r="E4976" t="s">
        <v>94</v>
      </c>
      <c r="F4976">
        <v>658</v>
      </c>
      <c r="G4976" s="4">
        <v>46087.603310185186</v>
      </c>
    </row>
    <row r="4977" spans="1:7" x14ac:dyDescent="0.3">
      <c r="A4977">
        <v>16906</v>
      </c>
      <c r="B4977" t="s">
        <v>149</v>
      </c>
      <c r="C4977">
        <v>51041615</v>
      </c>
      <c r="D4977">
        <v>59.905077792823768</v>
      </c>
      <c r="E4977" t="s">
        <v>94</v>
      </c>
      <c r="F4977">
        <v>649</v>
      </c>
      <c r="G4977" s="4">
        <v>46087.603310185186</v>
      </c>
    </row>
    <row r="4978" spans="1:7" x14ac:dyDescent="0.3">
      <c r="A4978">
        <v>16907</v>
      </c>
      <c r="B4978" t="s">
        <v>149</v>
      </c>
      <c r="C4978">
        <v>51017641</v>
      </c>
      <c r="D4978">
        <v>87.706171710033047</v>
      </c>
      <c r="E4978" t="s">
        <v>92</v>
      </c>
      <c r="F4978">
        <v>190</v>
      </c>
      <c r="G4978" s="4">
        <v>46087.603310185186</v>
      </c>
    </row>
    <row r="4979" spans="1:7" x14ac:dyDescent="0.3">
      <c r="A4979">
        <v>16908</v>
      </c>
      <c r="B4979" t="s">
        <v>149</v>
      </c>
      <c r="C4979">
        <v>51005741</v>
      </c>
      <c r="D4979">
        <v>80.545819714039169</v>
      </c>
      <c r="E4979" t="s">
        <v>93</v>
      </c>
      <c r="F4979">
        <v>404</v>
      </c>
      <c r="G4979" s="4">
        <v>46087.603310185186</v>
      </c>
    </row>
    <row r="4980" spans="1:7" x14ac:dyDescent="0.3">
      <c r="A4980">
        <v>16909</v>
      </c>
      <c r="B4980" t="s">
        <v>149</v>
      </c>
      <c r="C4980">
        <v>51011996</v>
      </c>
      <c r="D4980">
        <v>93.24061873908768</v>
      </c>
      <c r="E4980" t="s">
        <v>92</v>
      </c>
      <c r="F4980">
        <v>85</v>
      </c>
      <c r="G4980" s="4">
        <v>46087.603310185186</v>
      </c>
    </row>
    <row r="4981" spans="1:7" x14ac:dyDescent="0.3">
      <c r="A4981">
        <v>16910</v>
      </c>
      <c r="B4981" t="s">
        <v>149</v>
      </c>
      <c r="C4981">
        <v>51025440</v>
      </c>
      <c r="D4981">
        <v>89.76075700571019</v>
      </c>
      <c r="E4981" t="s">
        <v>92</v>
      </c>
      <c r="F4981">
        <v>134</v>
      </c>
      <c r="G4981" s="4">
        <v>46087.603310185186</v>
      </c>
    </row>
    <row r="4982" spans="1:7" x14ac:dyDescent="0.3">
      <c r="A4982">
        <v>16911</v>
      </c>
      <c r="B4982" t="s">
        <v>149</v>
      </c>
      <c r="C4982">
        <v>51055993</v>
      </c>
      <c r="D4982">
        <v>86.365149703221888</v>
      </c>
      <c r="E4982" t="s">
        <v>92</v>
      </c>
      <c r="F4982">
        <v>219</v>
      </c>
      <c r="G4982" s="4">
        <v>46087.603310185186</v>
      </c>
    </row>
    <row r="4983" spans="1:7" x14ac:dyDescent="0.3">
      <c r="A4983">
        <v>16912</v>
      </c>
      <c r="B4983" t="s">
        <v>149</v>
      </c>
      <c r="C4983">
        <v>51021231</v>
      </c>
      <c r="D4983">
        <v>52.111631012320402</v>
      </c>
      <c r="E4983" t="s">
        <v>94</v>
      </c>
      <c r="F4983">
        <v>758</v>
      </c>
      <c r="G4983" s="4">
        <v>46087.603310185186</v>
      </c>
    </row>
    <row r="4984" spans="1:7" x14ac:dyDescent="0.3">
      <c r="A4984">
        <v>16913</v>
      </c>
      <c r="B4984" t="s">
        <v>149</v>
      </c>
      <c r="C4984">
        <v>51024125</v>
      </c>
      <c r="D4984">
        <v>38.548897046850058</v>
      </c>
      <c r="E4984" t="s">
        <v>94</v>
      </c>
      <c r="F4984">
        <v>848</v>
      </c>
      <c r="G4984" s="4">
        <v>46087.603310185186</v>
      </c>
    </row>
    <row r="4985" spans="1:7" x14ac:dyDescent="0.3">
      <c r="A4985">
        <v>16914</v>
      </c>
      <c r="B4985" t="s">
        <v>149</v>
      </c>
      <c r="C4985">
        <v>51014359</v>
      </c>
      <c r="D4985">
        <v>85.569324457598029</v>
      </c>
      <c r="E4985" t="s">
        <v>93</v>
      </c>
      <c r="F4985">
        <v>252</v>
      </c>
      <c r="G4985" s="4">
        <v>46087.603310185186</v>
      </c>
    </row>
    <row r="4986" spans="1:7" x14ac:dyDescent="0.3">
      <c r="A4986">
        <v>16915</v>
      </c>
      <c r="B4986" t="s">
        <v>149</v>
      </c>
      <c r="C4986">
        <v>51024681</v>
      </c>
      <c r="D4986">
        <v>83.33933546226389</v>
      </c>
      <c r="E4986" t="s">
        <v>93</v>
      </c>
      <c r="F4986">
        <v>316</v>
      </c>
      <c r="G4986" s="4">
        <v>46087.603310185186</v>
      </c>
    </row>
    <row r="4987" spans="1:7" x14ac:dyDescent="0.3">
      <c r="A4987">
        <v>16916</v>
      </c>
      <c r="B4987" t="s">
        <v>149</v>
      </c>
      <c r="C4987">
        <v>51024001</v>
      </c>
      <c r="D4987">
        <v>35.733866907920834</v>
      </c>
      <c r="E4987" t="s">
        <v>94</v>
      </c>
      <c r="F4987">
        <v>864</v>
      </c>
      <c r="G4987" s="4">
        <v>46087.603310185186</v>
      </c>
    </row>
    <row r="4988" spans="1:7" x14ac:dyDescent="0.3">
      <c r="A4988">
        <v>16917</v>
      </c>
      <c r="B4988" t="s">
        <v>149</v>
      </c>
      <c r="C4988">
        <v>51023480</v>
      </c>
      <c r="D4988">
        <v>25.229503167732521</v>
      </c>
      <c r="E4988" t="s">
        <v>94</v>
      </c>
      <c r="F4988">
        <v>947</v>
      </c>
      <c r="G4988" s="4">
        <v>46087.603310185186</v>
      </c>
    </row>
    <row r="4989" spans="1:7" x14ac:dyDescent="0.3">
      <c r="A4989">
        <v>16918</v>
      </c>
      <c r="B4989" t="s">
        <v>149</v>
      </c>
      <c r="C4989">
        <v>51020405</v>
      </c>
      <c r="D4989">
        <v>31.69</v>
      </c>
      <c r="E4989" t="s">
        <v>94</v>
      </c>
      <c r="F4989">
        <v>893</v>
      </c>
      <c r="G4989" s="4">
        <v>46087.603310185186</v>
      </c>
    </row>
    <row r="4990" spans="1:7" x14ac:dyDescent="0.3">
      <c r="A4990">
        <v>16919</v>
      </c>
      <c r="B4990" t="s">
        <v>149</v>
      </c>
      <c r="C4990">
        <v>51044070</v>
      </c>
      <c r="D4990">
        <v>28.438029339367791</v>
      </c>
      <c r="E4990" t="s">
        <v>94</v>
      </c>
      <c r="F4990">
        <v>924</v>
      </c>
      <c r="G4990" s="4">
        <v>46087.603310185186</v>
      </c>
    </row>
    <row r="4991" spans="1:7" x14ac:dyDescent="0.3">
      <c r="A4991">
        <v>16920</v>
      </c>
      <c r="B4991" t="s">
        <v>149</v>
      </c>
      <c r="C4991">
        <v>51032110</v>
      </c>
      <c r="D4991">
        <v>56.025164675818772</v>
      </c>
      <c r="E4991" t="s">
        <v>94</v>
      </c>
      <c r="F4991">
        <v>724</v>
      </c>
      <c r="G4991" s="4">
        <v>46087.603310185186</v>
      </c>
    </row>
    <row r="4992" spans="1:7" x14ac:dyDescent="0.3">
      <c r="A4992">
        <v>16921</v>
      </c>
      <c r="B4992" t="s">
        <v>149</v>
      </c>
      <c r="C4992">
        <v>51036123</v>
      </c>
      <c r="D4992">
        <v>86.261643124713075</v>
      </c>
      <c r="E4992" t="s">
        <v>92</v>
      </c>
      <c r="F4992">
        <v>226</v>
      </c>
      <c r="G4992" s="4">
        <v>46087.603310185186</v>
      </c>
    </row>
    <row r="4993" spans="1:7" x14ac:dyDescent="0.3">
      <c r="A4993">
        <v>16922</v>
      </c>
      <c r="B4993" t="s">
        <v>149</v>
      </c>
      <c r="C4993">
        <v>51056078</v>
      </c>
      <c r="D4993">
        <v>83.540016133375886</v>
      </c>
      <c r="E4993" t="s">
        <v>93</v>
      </c>
      <c r="F4993">
        <v>303</v>
      </c>
      <c r="G4993" s="4">
        <v>46087.603310185186</v>
      </c>
    </row>
    <row r="4994" spans="1:7" x14ac:dyDescent="0.3">
      <c r="A4994">
        <v>16923</v>
      </c>
      <c r="B4994" t="s">
        <v>149</v>
      </c>
      <c r="C4994">
        <v>51012445</v>
      </c>
      <c r="D4994">
        <v>81.6384545759079</v>
      </c>
      <c r="E4994" t="s">
        <v>93</v>
      </c>
      <c r="F4994">
        <v>380</v>
      </c>
      <c r="G4994" s="4">
        <v>46087.603310185186</v>
      </c>
    </row>
    <row r="4995" spans="1:7" x14ac:dyDescent="0.3">
      <c r="A4995">
        <v>16924</v>
      </c>
      <c r="B4995" t="s">
        <v>149</v>
      </c>
      <c r="C4995">
        <v>51019661</v>
      </c>
      <c r="D4995">
        <v>78.140471275489929</v>
      </c>
      <c r="E4995" t="s">
        <v>93</v>
      </c>
      <c r="F4995">
        <v>451</v>
      </c>
      <c r="G4995" s="4">
        <v>46087.603310185186</v>
      </c>
    </row>
    <row r="4996" spans="1:7" x14ac:dyDescent="0.3">
      <c r="A4996">
        <v>16925</v>
      </c>
      <c r="B4996" t="s">
        <v>149</v>
      </c>
      <c r="C4996">
        <v>51021894</v>
      </c>
      <c r="D4996">
        <v>64.125714236746049</v>
      </c>
      <c r="E4996" t="s">
        <v>93</v>
      </c>
      <c r="F4996">
        <v>581</v>
      </c>
      <c r="G4996" s="4">
        <v>46087.603310185186</v>
      </c>
    </row>
    <row r="4997" spans="1:7" x14ac:dyDescent="0.3">
      <c r="A4997">
        <v>16926</v>
      </c>
      <c r="B4997" t="s">
        <v>149</v>
      </c>
      <c r="C4997">
        <v>51018575</v>
      </c>
      <c r="D4997">
        <v>85.383179475201572</v>
      </c>
      <c r="E4997" t="s">
        <v>93</v>
      </c>
      <c r="F4997">
        <v>257</v>
      </c>
      <c r="G4997" s="4">
        <v>46087.603310185186</v>
      </c>
    </row>
    <row r="4998" spans="1:7" x14ac:dyDescent="0.3">
      <c r="A4998">
        <v>16927</v>
      </c>
      <c r="B4998" t="s">
        <v>149</v>
      </c>
      <c r="C4998">
        <v>51031652</v>
      </c>
      <c r="D4998">
        <v>83.389894788535514</v>
      </c>
      <c r="E4998" t="s">
        <v>93</v>
      </c>
      <c r="F4998">
        <v>311</v>
      </c>
      <c r="G4998" s="4">
        <v>46087.603310185186</v>
      </c>
    </row>
    <row r="4999" spans="1:7" x14ac:dyDescent="0.3">
      <c r="A4999">
        <v>16928</v>
      </c>
      <c r="B4999" t="s">
        <v>149</v>
      </c>
      <c r="C4999">
        <v>51040627</v>
      </c>
      <c r="D4999">
        <v>85.6085097040921</v>
      </c>
      <c r="E4999" t="s">
        <v>93</v>
      </c>
      <c r="F4999">
        <v>250</v>
      </c>
      <c r="G4999" s="4">
        <v>46087.603310185186</v>
      </c>
    </row>
    <row r="5000" spans="1:7" x14ac:dyDescent="0.3">
      <c r="A5000">
        <v>16929</v>
      </c>
      <c r="B5000" t="s">
        <v>149</v>
      </c>
      <c r="C5000">
        <v>51031253</v>
      </c>
      <c r="D5000">
        <v>74.522269220382881</v>
      </c>
      <c r="E5000" t="s">
        <v>93</v>
      </c>
      <c r="F5000">
        <v>496</v>
      </c>
      <c r="G5000" s="4">
        <v>46087.603310185186</v>
      </c>
    </row>
    <row r="5001" spans="1:7" x14ac:dyDescent="0.3">
      <c r="A5001">
        <v>16930</v>
      </c>
      <c r="B5001" t="s">
        <v>149</v>
      </c>
      <c r="C5001">
        <v>51034350</v>
      </c>
      <c r="D5001">
        <v>59.857155683267891</v>
      </c>
      <c r="E5001" t="s">
        <v>94</v>
      </c>
      <c r="F5001">
        <v>650</v>
      </c>
      <c r="G5001" s="4">
        <v>46087.603310185186</v>
      </c>
    </row>
    <row r="5002" spans="1:7" x14ac:dyDescent="0.3">
      <c r="A5002">
        <v>16931</v>
      </c>
      <c r="B5002" t="s">
        <v>149</v>
      </c>
      <c r="C5002">
        <v>51022220</v>
      </c>
      <c r="D5002">
        <v>18.802956738923971</v>
      </c>
      <c r="E5002" t="s">
        <v>95</v>
      </c>
      <c r="F5002">
        <v>1015</v>
      </c>
      <c r="G5002" s="4">
        <v>46087.603310185186</v>
      </c>
    </row>
    <row r="5003" spans="1:7" x14ac:dyDescent="0.3">
      <c r="A5003">
        <v>16932</v>
      </c>
      <c r="B5003" t="s">
        <v>149</v>
      </c>
      <c r="C5003">
        <v>51019512</v>
      </c>
      <c r="D5003">
        <v>90.851111926404542</v>
      </c>
      <c r="E5003" t="s">
        <v>92</v>
      </c>
      <c r="F5003">
        <v>119</v>
      </c>
      <c r="G5003" s="4">
        <v>46087.603310185186</v>
      </c>
    </row>
    <row r="5004" spans="1:7" x14ac:dyDescent="0.3">
      <c r="A5004">
        <v>16933</v>
      </c>
      <c r="B5004" t="s">
        <v>149</v>
      </c>
      <c r="C5004">
        <v>51014391</v>
      </c>
      <c r="D5004">
        <v>82.283863505197431</v>
      </c>
      <c r="E5004" t="s">
        <v>93</v>
      </c>
      <c r="F5004">
        <v>356</v>
      </c>
      <c r="G5004" s="4">
        <v>46087.603310185186</v>
      </c>
    </row>
    <row r="5005" spans="1:7" x14ac:dyDescent="0.3">
      <c r="A5005">
        <v>16934</v>
      </c>
      <c r="B5005" t="s">
        <v>149</v>
      </c>
      <c r="C5005">
        <v>51042689</v>
      </c>
      <c r="D5005">
        <v>82.044224480926346</v>
      </c>
      <c r="E5005" t="s">
        <v>93</v>
      </c>
      <c r="F5005">
        <v>366</v>
      </c>
      <c r="G5005" s="4">
        <v>46087.603310185186</v>
      </c>
    </row>
    <row r="5006" spans="1:7" x14ac:dyDescent="0.3">
      <c r="A5006">
        <v>16935</v>
      </c>
      <c r="B5006" t="s">
        <v>149</v>
      </c>
      <c r="C5006">
        <v>51013867</v>
      </c>
      <c r="D5006">
        <v>87.947680503033013</v>
      </c>
      <c r="E5006" t="s">
        <v>92</v>
      </c>
      <c r="F5006">
        <v>177</v>
      </c>
      <c r="G5006" s="4">
        <v>46087.603310185186</v>
      </c>
    </row>
    <row r="5007" spans="1:7" x14ac:dyDescent="0.3">
      <c r="A5007">
        <v>16936</v>
      </c>
      <c r="B5007" t="s">
        <v>149</v>
      </c>
      <c r="C5007">
        <v>51021258</v>
      </c>
      <c r="D5007">
        <v>88.602955166067943</v>
      </c>
      <c r="E5007" t="s">
        <v>92</v>
      </c>
      <c r="F5007">
        <v>161</v>
      </c>
      <c r="G5007" s="4">
        <v>46087.603310185186</v>
      </c>
    </row>
    <row r="5008" spans="1:7" x14ac:dyDescent="0.3">
      <c r="A5008">
        <v>16937</v>
      </c>
      <c r="B5008" t="s">
        <v>149</v>
      </c>
      <c r="C5008">
        <v>51024591</v>
      </c>
      <c r="D5008">
        <v>70.752979362189691</v>
      </c>
      <c r="E5008" t="s">
        <v>93</v>
      </c>
      <c r="F5008">
        <v>534</v>
      </c>
      <c r="G5008" s="4">
        <v>46087.603310185186</v>
      </c>
    </row>
    <row r="5009" spans="1:7" x14ac:dyDescent="0.3">
      <c r="A5009">
        <v>16938</v>
      </c>
      <c r="B5009" t="s">
        <v>149</v>
      </c>
      <c r="C5009">
        <v>51021665</v>
      </c>
      <c r="D5009">
        <v>52.020373644821994</v>
      </c>
      <c r="E5009" t="s">
        <v>94</v>
      </c>
      <c r="F5009">
        <v>760</v>
      </c>
      <c r="G5009" s="4">
        <v>46087.603310185186</v>
      </c>
    </row>
    <row r="5010" spans="1:7" x14ac:dyDescent="0.3">
      <c r="A5010">
        <v>16939</v>
      </c>
      <c r="B5010" t="s">
        <v>149</v>
      </c>
      <c r="C5010">
        <v>51030273</v>
      </c>
      <c r="D5010">
        <v>91.00390030984039</v>
      </c>
      <c r="E5010" t="s">
        <v>92</v>
      </c>
      <c r="F5010">
        <v>118</v>
      </c>
      <c r="G5010" s="4">
        <v>46087.603310185186</v>
      </c>
    </row>
    <row r="5011" spans="1:7" x14ac:dyDescent="0.3">
      <c r="A5011">
        <v>16940</v>
      </c>
      <c r="B5011" t="s">
        <v>149</v>
      </c>
      <c r="C5011">
        <v>51024559</v>
      </c>
      <c r="D5011">
        <v>85.000617904949522</v>
      </c>
      <c r="E5011" t="s">
        <v>93</v>
      </c>
      <c r="F5011">
        <v>265</v>
      </c>
      <c r="G5011" s="4">
        <v>46087.603310185186</v>
      </c>
    </row>
    <row r="5012" spans="1:7" x14ac:dyDescent="0.3">
      <c r="A5012">
        <v>16941</v>
      </c>
      <c r="B5012" t="s">
        <v>149</v>
      </c>
      <c r="C5012">
        <v>51007565</v>
      </c>
      <c r="D5012">
        <v>84.262562958392664</v>
      </c>
      <c r="E5012" t="s">
        <v>93</v>
      </c>
      <c r="F5012">
        <v>281</v>
      </c>
      <c r="G5012" s="4">
        <v>46087.603310185186</v>
      </c>
    </row>
    <row r="5013" spans="1:7" x14ac:dyDescent="0.3">
      <c r="A5013">
        <v>16942</v>
      </c>
      <c r="B5013" t="s">
        <v>149</v>
      </c>
      <c r="C5013">
        <v>51032136</v>
      </c>
      <c r="D5013">
        <v>64.395428333605068</v>
      </c>
      <c r="E5013" t="s">
        <v>93</v>
      </c>
      <c r="F5013">
        <v>575</v>
      </c>
      <c r="G5013" s="4">
        <v>46087.603310185186</v>
      </c>
    </row>
    <row r="5014" spans="1:7" x14ac:dyDescent="0.3">
      <c r="A5014">
        <v>16943</v>
      </c>
      <c r="B5014" t="s">
        <v>149</v>
      </c>
      <c r="C5014">
        <v>51057066</v>
      </c>
      <c r="D5014">
        <v>82.444704570935443</v>
      </c>
      <c r="E5014" t="s">
        <v>93</v>
      </c>
      <c r="F5014">
        <v>348</v>
      </c>
      <c r="G5014" s="4">
        <v>46087.603310185186</v>
      </c>
    </row>
    <row r="5015" spans="1:7" x14ac:dyDescent="0.3">
      <c r="A5015">
        <v>16944</v>
      </c>
      <c r="B5015" t="s">
        <v>149</v>
      </c>
      <c r="C5015">
        <v>51021215</v>
      </c>
      <c r="D5015">
        <v>20.439999999999998</v>
      </c>
      <c r="E5015" t="s">
        <v>95</v>
      </c>
      <c r="F5015">
        <v>980</v>
      </c>
      <c r="G5015" s="4">
        <v>46087.603310185186</v>
      </c>
    </row>
    <row r="5016" spans="1:7" x14ac:dyDescent="0.3">
      <c r="A5016">
        <v>16945</v>
      </c>
      <c r="B5016" t="s">
        <v>149</v>
      </c>
      <c r="C5016">
        <v>51040937</v>
      </c>
      <c r="D5016">
        <v>82.247497842111244</v>
      </c>
      <c r="E5016" t="s">
        <v>93</v>
      </c>
      <c r="F5016">
        <v>360</v>
      </c>
      <c r="G5016" s="4">
        <v>46087.603310185186</v>
      </c>
    </row>
    <row r="5017" spans="1:7" x14ac:dyDescent="0.3">
      <c r="A5017">
        <v>16946</v>
      </c>
      <c r="B5017" t="s">
        <v>149</v>
      </c>
      <c r="C5017">
        <v>51014430</v>
      </c>
      <c r="D5017">
        <v>84.478639147122792</v>
      </c>
      <c r="E5017" t="s">
        <v>93</v>
      </c>
      <c r="F5017">
        <v>274</v>
      </c>
      <c r="G5017" s="4">
        <v>46087.603310185186</v>
      </c>
    </row>
    <row r="5018" spans="1:7" x14ac:dyDescent="0.3">
      <c r="A5018">
        <v>16947</v>
      </c>
      <c r="B5018" t="s">
        <v>149</v>
      </c>
      <c r="C5018">
        <v>51055853</v>
      </c>
      <c r="D5018">
        <v>33.060662158956902</v>
      </c>
      <c r="E5018" t="s">
        <v>94</v>
      </c>
      <c r="F5018">
        <v>877</v>
      </c>
      <c r="G5018" s="4">
        <v>46087.603310185186</v>
      </c>
    </row>
    <row r="5019" spans="1:7" x14ac:dyDescent="0.3">
      <c r="A5019">
        <v>16948</v>
      </c>
      <c r="B5019" t="s">
        <v>149</v>
      </c>
      <c r="C5019">
        <v>51056515</v>
      </c>
      <c r="D5019">
        <v>84.859367944926916</v>
      </c>
      <c r="E5019" t="s">
        <v>93</v>
      </c>
      <c r="F5019">
        <v>268</v>
      </c>
      <c r="G5019" s="4">
        <v>46087.603310185186</v>
      </c>
    </row>
    <row r="5020" spans="1:7" x14ac:dyDescent="0.3">
      <c r="A5020">
        <v>16949</v>
      </c>
      <c r="B5020" t="s">
        <v>149</v>
      </c>
      <c r="C5020">
        <v>51020952</v>
      </c>
      <c r="D5020">
        <v>99.741024136309093</v>
      </c>
      <c r="E5020" t="s">
        <v>275</v>
      </c>
      <c r="F5020">
        <v>19</v>
      </c>
      <c r="G5020" s="4">
        <v>46087.603310185186</v>
      </c>
    </row>
    <row r="5021" spans="1:7" x14ac:dyDescent="0.3">
      <c r="A5021">
        <v>16950</v>
      </c>
      <c r="B5021" t="s">
        <v>149</v>
      </c>
      <c r="C5021">
        <v>51022611</v>
      </c>
      <c r="D5021">
        <v>54.832619011080503</v>
      </c>
      <c r="E5021" t="s">
        <v>94</v>
      </c>
      <c r="F5021">
        <v>737</v>
      </c>
      <c r="G5021" s="4">
        <v>46087.603310185186</v>
      </c>
    </row>
    <row r="5022" spans="1:7" x14ac:dyDescent="0.3">
      <c r="A5022">
        <v>16951</v>
      </c>
      <c r="B5022" t="s">
        <v>149</v>
      </c>
      <c r="C5022">
        <v>51056761</v>
      </c>
      <c r="D5022">
        <v>83.638431271496714</v>
      </c>
      <c r="E5022" t="s">
        <v>93</v>
      </c>
      <c r="F5022">
        <v>300</v>
      </c>
      <c r="G5022" s="4">
        <v>46087.603310185186</v>
      </c>
    </row>
    <row r="5023" spans="1:7" x14ac:dyDescent="0.3">
      <c r="A5023">
        <v>16952</v>
      </c>
      <c r="B5023" t="s">
        <v>149</v>
      </c>
      <c r="C5023">
        <v>51031741</v>
      </c>
      <c r="D5023">
        <v>82.629056170407267</v>
      </c>
      <c r="E5023" t="s">
        <v>93</v>
      </c>
      <c r="F5023">
        <v>344</v>
      </c>
      <c r="G5023" s="4">
        <v>46087.603310185186</v>
      </c>
    </row>
    <row r="5024" spans="1:7" x14ac:dyDescent="0.3">
      <c r="A5024">
        <v>16953</v>
      </c>
      <c r="B5024" t="s">
        <v>149</v>
      </c>
      <c r="C5024">
        <v>51056469</v>
      </c>
      <c r="D5024">
        <v>83.98780624048733</v>
      </c>
      <c r="E5024" t="s">
        <v>93</v>
      </c>
      <c r="F5024">
        <v>291</v>
      </c>
      <c r="G5024" s="4">
        <v>46087.603310185186</v>
      </c>
    </row>
    <row r="5025" spans="1:7" x14ac:dyDescent="0.3">
      <c r="A5025">
        <v>16954</v>
      </c>
      <c r="B5025" t="s">
        <v>149</v>
      </c>
      <c r="C5025">
        <v>51031130</v>
      </c>
      <c r="D5025">
        <v>91.748842907217181</v>
      </c>
      <c r="E5025" t="s">
        <v>92</v>
      </c>
      <c r="F5025">
        <v>103</v>
      </c>
      <c r="G5025" s="4">
        <v>46087.603310185186</v>
      </c>
    </row>
    <row r="5026" spans="1:7" x14ac:dyDescent="0.3">
      <c r="A5026">
        <v>16955</v>
      </c>
      <c r="B5026" t="s">
        <v>149</v>
      </c>
      <c r="C5026">
        <v>51014855</v>
      </c>
      <c r="D5026">
        <v>74.513148327485709</v>
      </c>
      <c r="E5026" t="s">
        <v>93</v>
      </c>
      <c r="F5026">
        <v>497</v>
      </c>
      <c r="G5026" s="4">
        <v>46087.603310185186</v>
      </c>
    </row>
    <row r="5027" spans="1:7" x14ac:dyDescent="0.3">
      <c r="A5027">
        <v>16956</v>
      </c>
      <c r="B5027" t="s">
        <v>149</v>
      </c>
      <c r="C5027">
        <v>51055055</v>
      </c>
      <c r="D5027">
        <v>87.471522924306825</v>
      </c>
      <c r="E5027" t="s">
        <v>92</v>
      </c>
      <c r="F5027">
        <v>196</v>
      </c>
      <c r="G5027" s="4">
        <v>46087.603310185186</v>
      </c>
    </row>
    <row r="5028" spans="1:7" x14ac:dyDescent="0.3">
      <c r="A5028">
        <v>16957</v>
      </c>
      <c r="B5028" t="s">
        <v>149</v>
      </c>
      <c r="C5028">
        <v>51008634</v>
      </c>
      <c r="D5028">
        <v>87.608132485406188</v>
      </c>
      <c r="E5028" t="s">
        <v>92</v>
      </c>
      <c r="F5028">
        <v>194</v>
      </c>
      <c r="G5028" s="4">
        <v>46087.603310185186</v>
      </c>
    </row>
    <row r="5029" spans="1:7" x14ac:dyDescent="0.3">
      <c r="A5029">
        <v>16958</v>
      </c>
      <c r="B5029" t="s">
        <v>149</v>
      </c>
      <c r="C5029">
        <v>51021835</v>
      </c>
      <c r="D5029">
        <v>58.17915800647809</v>
      </c>
      <c r="E5029" t="s">
        <v>94</v>
      </c>
      <c r="F5029">
        <v>683</v>
      </c>
      <c r="G5029" s="4">
        <v>46087.603310185186</v>
      </c>
    </row>
    <row r="5030" spans="1:7" x14ac:dyDescent="0.3">
      <c r="A5030">
        <v>16959</v>
      </c>
      <c r="B5030" t="s">
        <v>149</v>
      </c>
      <c r="C5030">
        <v>51030320</v>
      </c>
      <c r="D5030">
        <v>62.658945550434879</v>
      </c>
      <c r="E5030" t="s">
        <v>94</v>
      </c>
      <c r="F5030">
        <v>598</v>
      </c>
      <c r="G5030" s="4">
        <v>46087.603310185186</v>
      </c>
    </row>
    <row r="5031" spans="1:7" x14ac:dyDescent="0.3">
      <c r="A5031">
        <v>16960</v>
      </c>
      <c r="B5031" t="s">
        <v>149</v>
      </c>
      <c r="C5031">
        <v>51033701</v>
      </c>
      <c r="D5031">
        <v>82.395609676300978</v>
      </c>
      <c r="E5031" t="s">
        <v>93</v>
      </c>
      <c r="F5031">
        <v>351</v>
      </c>
      <c r="G5031" s="4">
        <v>46087.603310185186</v>
      </c>
    </row>
    <row r="5032" spans="1:7" x14ac:dyDescent="0.3">
      <c r="A5032">
        <v>16961</v>
      </c>
      <c r="B5032" t="s">
        <v>149</v>
      </c>
      <c r="C5032">
        <v>51013280</v>
      </c>
      <c r="D5032">
        <v>87.599009548328596</v>
      </c>
      <c r="E5032" t="s">
        <v>92</v>
      </c>
      <c r="F5032">
        <v>195</v>
      </c>
      <c r="G5032" s="4">
        <v>46087.603310185186</v>
      </c>
    </row>
    <row r="5033" spans="1:7" x14ac:dyDescent="0.3">
      <c r="A5033">
        <v>16962</v>
      </c>
      <c r="B5033" t="s">
        <v>149</v>
      </c>
      <c r="C5033">
        <v>51022785</v>
      </c>
      <c r="D5033">
        <v>39.129748594805434</v>
      </c>
      <c r="E5033" t="s">
        <v>94</v>
      </c>
      <c r="F5033">
        <v>846</v>
      </c>
      <c r="G5033" s="4">
        <v>46087.603310185186</v>
      </c>
    </row>
    <row r="5034" spans="1:7" x14ac:dyDescent="0.3">
      <c r="A5034">
        <v>16963</v>
      </c>
      <c r="B5034" t="s">
        <v>149</v>
      </c>
      <c r="C5034">
        <v>51036310</v>
      </c>
      <c r="D5034">
        <v>28.889126541978136</v>
      </c>
      <c r="E5034" t="s">
        <v>94</v>
      </c>
      <c r="F5034">
        <v>917</v>
      </c>
      <c r="G5034" s="4">
        <v>46087.603310185186</v>
      </c>
    </row>
    <row r="5035" spans="1:7" x14ac:dyDescent="0.3">
      <c r="A5035">
        <v>16964</v>
      </c>
      <c r="B5035" t="s">
        <v>149</v>
      </c>
      <c r="C5035">
        <v>51010710</v>
      </c>
      <c r="D5035">
        <v>26.357999999999997</v>
      </c>
      <c r="E5035" t="s">
        <v>94</v>
      </c>
      <c r="F5035">
        <v>938</v>
      </c>
      <c r="G5035" s="4">
        <v>46087.603310185186</v>
      </c>
    </row>
    <row r="5036" spans="1:7" x14ac:dyDescent="0.3">
      <c r="A5036">
        <v>16965</v>
      </c>
      <c r="B5036" t="s">
        <v>149</v>
      </c>
      <c r="C5036">
        <v>51034376</v>
      </c>
      <c r="D5036">
        <v>93.556659521767955</v>
      </c>
      <c r="E5036" t="s">
        <v>92</v>
      </c>
      <c r="F5036">
        <v>76</v>
      </c>
      <c r="G5036" s="4">
        <v>46087.603310185186</v>
      </c>
    </row>
    <row r="5037" spans="1:7" x14ac:dyDescent="0.3">
      <c r="A5037">
        <v>16966</v>
      </c>
      <c r="B5037" t="s">
        <v>149</v>
      </c>
      <c r="C5037">
        <v>51023561</v>
      </c>
      <c r="D5037">
        <v>82.811752722382835</v>
      </c>
      <c r="E5037" t="s">
        <v>93</v>
      </c>
      <c r="F5037">
        <v>339</v>
      </c>
      <c r="G5037" s="4">
        <v>46087.603310185186</v>
      </c>
    </row>
    <row r="5038" spans="1:7" x14ac:dyDescent="0.3">
      <c r="A5038">
        <v>16967</v>
      </c>
      <c r="B5038" t="s">
        <v>149</v>
      </c>
      <c r="C5038">
        <v>51025253</v>
      </c>
      <c r="D5038">
        <v>32.501181700248125</v>
      </c>
      <c r="E5038" t="s">
        <v>94</v>
      </c>
      <c r="F5038">
        <v>884</v>
      </c>
      <c r="G5038" s="4">
        <v>46087.603310185186</v>
      </c>
    </row>
    <row r="5039" spans="1:7" x14ac:dyDescent="0.3">
      <c r="A5039">
        <v>16968</v>
      </c>
      <c r="B5039" t="s">
        <v>149</v>
      </c>
      <c r="C5039">
        <v>51030176</v>
      </c>
      <c r="D5039">
        <v>76.166979520203881</v>
      </c>
      <c r="E5039" t="s">
        <v>93</v>
      </c>
      <c r="F5039">
        <v>480</v>
      </c>
      <c r="G5039" s="4">
        <v>46087.603310185186</v>
      </c>
    </row>
    <row r="5040" spans="1:7" x14ac:dyDescent="0.3">
      <c r="A5040">
        <v>16969</v>
      </c>
      <c r="B5040" t="s">
        <v>149</v>
      </c>
      <c r="C5040">
        <v>51024575</v>
      </c>
      <c r="D5040">
        <v>79.244306732884013</v>
      </c>
      <c r="E5040" t="s">
        <v>93</v>
      </c>
      <c r="F5040">
        <v>434</v>
      </c>
      <c r="G5040" s="4">
        <v>46087.603310185186</v>
      </c>
    </row>
    <row r="5041" spans="1:7" x14ac:dyDescent="0.3">
      <c r="A5041">
        <v>16970</v>
      </c>
      <c r="B5041" t="s">
        <v>149</v>
      </c>
      <c r="C5041">
        <v>51005333</v>
      </c>
      <c r="D5041">
        <v>81.873468485942539</v>
      </c>
      <c r="E5041" t="s">
        <v>93</v>
      </c>
      <c r="F5041">
        <v>371</v>
      </c>
      <c r="G5041" s="4">
        <v>46087.603310185186</v>
      </c>
    </row>
    <row r="5042" spans="1:7" x14ac:dyDescent="0.3">
      <c r="A5042">
        <v>16971</v>
      </c>
      <c r="B5042" t="s">
        <v>149</v>
      </c>
      <c r="C5042">
        <v>51030931</v>
      </c>
      <c r="D5042">
        <v>61.070817665302016</v>
      </c>
      <c r="E5042" t="s">
        <v>94</v>
      </c>
      <c r="F5042">
        <v>630</v>
      </c>
      <c r="G5042" s="4">
        <v>46087.603310185186</v>
      </c>
    </row>
    <row r="5043" spans="1:7" x14ac:dyDescent="0.3">
      <c r="A5043">
        <v>16972</v>
      </c>
      <c r="B5043" t="s">
        <v>149</v>
      </c>
      <c r="C5043">
        <v>51056027</v>
      </c>
      <c r="D5043">
        <v>92.840708984093325</v>
      </c>
      <c r="E5043" t="s">
        <v>92</v>
      </c>
      <c r="F5043">
        <v>89</v>
      </c>
      <c r="G5043" s="4">
        <v>46087.603310185186</v>
      </c>
    </row>
    <row r="5044" spans="1:7" x14ac:dyDescent="0.3">
      <c r="A5044">
        <v>16973</v>
      </c>
      <c r="B5044" t="s">
        <v>149</v>
      </c>
      <c r="C5044">
        <v>51054911</v>
      </c>
      <c r="D5044">
        <v>80.390951582509729</v>
      </c>
      <c r="E5044" t="s">
        <v>93</v>
      </c>
      <c r="F5044">
        <v>409</v>
      </c>
      <c r="G5044" s="4">
        <v>46087.603310185186</v>
      </c>
    </row>
    <row r="5045" spans="1:7" x14ac:dyDescent="0.3">
      <c r="A5045">
        <v>16974</v>
      </c>
      <c r="B5045" t="s">
        <v>149</v>
      </c>
      <c r="C5045">
        <v>51030605</v>
      </c>
      <c r="D5045">
        <v>47.292244823206744</v>
      </c>
      <c r="E5045" t="s">
        <v>94</v>
      </c>
      <c r="F5045">
        <v>803</v>
      </c>
      <c r="G5045" s="4">
        <v>46087.603310185186</v>
      </c>
    </row>
    <row r="5046" spans="1:7" x14ac:dyDescent="0.3">
      <c r="A5046">
        <v>16975</v>
      </c>
      <c r="B5046" t="s">
        <v>149</v>
      </c>
      <c r="C5046">
        <v>51044487</v>
      </c>
      <c r="D5046">
        <v>89.636773176190729</v>
      </c>
      <c r="E5046" t="s">
        <v>92</v>
      </c>
      <c r="F5046">
        <v>138</v>
      </c>
      <c r="G5046" s="4">
        <v>46087.603310185186</v>
      </c>
    </row>
    <row r="5047" spans="1:7" x14ac:dyDescent="0.3">
      <c r="A5047">
        <v>16976</v>
      </c>
      <c r="B5047" t="s">
        <v>149</v>
      </c>
      <c r="C5047">
        <v>51035674</v>
      </c>
      <c r="D5047">
        <v>96.28894540444071</v>
      </c>
      <c r="E5047" t="s">
        <v>275</v>
      </c>
      <c r="F5047">
        <v>50</v>
      </c>
      <c r="G5047" s="4">
        <v>46087.603310185186</v>
      </c>
    </row>
    <row r="5048" spans="1:7" x14ac:dyDescent="0.3">
      <c r="A5048">
        <v>16977</v>
      </c>
      <c r="B5048" t="s">
        <v>149</v>
      </c>
      <c r="C5048">
        <v>51055128</v>
      </c>
      <c r="D5048">
        <v>96.334825999316323</v>
      </c>
      <c r="E5048" t="s">
        <v>275</v>
      </c>
      <c r="F5048">
        <v>49</v>
      </c>
      <c r="G5048" s="4">
        <v>46087.603310185186</v>
      </c>
    </row>
    <row r="5049" spans="1:7" x14ac:dyDescent="0.3">
      <c r="A5049">
        <v>16978</v>
      </c>
      <c r="B5049" t="s">
        <v>149</v>
      </c>
      <c r="C5049">
        <v>51011546</v>
      </c>
      <c r="D5049">
        <v>100</v>
      </c>
      <c r="E5049" t="s">
        <v>275</v>
      </c>
      <c r="F5049">
        <v>1</v>
      </c>
      <c r="G5049" s="4">
        <v>46087.603310185186</v>
      </c>
    </row>
    <row r="5050" spans="1:7" x14ac:dyDescent="0.3">
      <c r="A5050">
        <v>16979</v>
      </c>
      <c r="B5050" t="s">
        <v>149</v>
      </c>
      <c r="C5050">
        <v>51031482</v>
      </c>
      <c r="D5050">
        <v>91.250777936601921</v>
      </c>
      <c r="E5050" t="s">
        <v>92</v>
      </c>
      <c r="F5050">
        <v>115</v>
      </c>
      <c r="G5050" s="4">
        <v>46087.603310185186</v>
      </c>
    </row>
    <row r="5051" spans="1:7" x14ac:dyDescent="0.3">
      <c r="A5051">
        <v>16980</v>
      </c>
      <c r="B5051" t="s">
        <v>149</v>
      </c>
      <c r="C5051">
        <v>51030109</v>
      </c>
      <c r="D5051">
        <v>66.862365860880544</v>
      </c>
      <c r="E5051" t="s">
        <v>93</v>
      </c>
      <c r="F5051">
        <v>565</v>
      </c>
      <c r="G5051" s="4">
        <v>46087.603310185186</v>
      </c>
    </row>
    <row r="5052" spans="1:7" x14ac:dyDescent="0.3">
      <c r="A5052">
        <v>16981</v>
      </c>
      <c r="B5052" t="s">
        <v>149</v>
      </c>
      <c r="C5052">
        <v>51022009</v>
      </c>
      <c r="D5052">
        <v>88.427037836113826</v>
      </c>
      <c r="E5052" t="s">
        <v>92</v>
      </c>
      <c r="F5052">
        <v>165</v>
      </c>
      <c r="G5052" s="4">
        <v>46087.603310185186</v>
      </c>
    </row>
    <row r="5053" spans="1:7" x14ac:dyDescent="0.3">
      <c r="A5053">
        <v>16982</v>
      </c>
      <c r="B5053" t="s">
        <v>149</v>
      </c>
      <c r="C5053">
        <v>51015932</v>
      </c>
      <c r="D5053">
        <v>81.123969468815645</v>
      </c>
      <c r="E5053" t="s">
        <v>93</v>
      </c>
      <c r="F5053">
        <v>390</v>
      </c>
      <c r="G5053" s="4">
        <v>46087.603310185186</v>
      </c>
    </row>
    <row r="5054" spans="1:7" x14ac:dyDescent="0.3">
      <c r="A5054">
        <v>16983</v>
      </c>
      <c r="B5054" t="s">
        <v>149</v>
      </c>
      <c r="C5054">
        <v>51030028</v>
      </c>
      <c r="D5054">
        <v>60.2589735794784</v>
      </c>
      <c r="E5054" t="s">
        <v>94</v>
      </c>
      <c r="F5054">
        <v>648</v>
      </c>
      <c r="G5054" s="4">
        <v>46087.603310185186</v>
      </c>
    </row>
    <row r="5055" spans="1:7" x14ac:dyDescent="0.3">
      <c r="A5055">
        <v>16984</v>
      </c>
      <c r="B5055" t="s">
        <v>149</v>
      </c>
      <c r="C5055">
        <v>51030257</v>
      </c>
      <c r="D5055">
        <v>76.520956256585521</v>
      </c>
      <c r="E5055" t="s">
        <v>93</v>
      </c>
      <c r="F5055">
        <v>474</v>
      </c>
      <c r="G5055" s="4">
        <v>46087.603310185186</v>
      </c>
    </row>
    <row r="5056" spans="1:7" x14ac:dyDescent="0.3">
      <c r="A5056">
        <v>16985</v>
      </c>
      <c r="B5056" t="s">
        <v>149</v>
      </c>
      <c r="C5056">
        <v>51055489</v>
      </c>
      <c r="D5056">
        <v>62.203538060009649</v>
      </c>
      <c r="E5056" t="s">
        <v>94</v>
      </c>
      <c r="F5056">
        <v>607</v>
      </c>
      <c r="G5056" s="4">
        <v>46087.603310185186</v>
      </c>
    </row>
    <row r="5057" spans="1:7" x14ac:dyDescent="0.3">
      <c r="A5057">
        <v>16986</v>
      </c>
      <c r="B5057" t="s">
        <v>149</v>
      </c>
      <c r="C5057">
        <v>51019423</v>
      </c>
      <c r="D5057">
        <v>58.180891950202678</v>
      </c>
      <c r="E5057" t="s">
        <v>94</v>
      </c>
      <c r="F5057">
        <v>682</v>
      </c>
      <c r="G5057" s="4">
        <v>46087.603310185186</v>
      </c>
    </row>
    <row r="5058" spans="1:7" x14ac:dyDescent="0.3">
      <c r="A5058">
        <v>16987</v>
      </c>
      <c r="B5058" t="s">
        <v>149</v>
      </c>
      <c r="C5058">
        <v>51000811</v>
      </c>
      <c r="D5058">
        <v>76.314826839805107</v>
      </c>
      <c r="E5058" t="s">
        <v>93</v>
      </c>
      <c r="F5058">
        <v>479</v>
      </c>
      <c r="G5058" s="4">
        <v>46087.603310185186</v>
      </c>
    </row>
    <row r="5059" spans="1:7" x14ac:dyDescent="0.3">
      <c r="A5059">
        <v>16988</v>
      </c>
      <c r="B5059" t="s">
        <v>149</v>
      </c>
      <c r="C5059">
        <v>51057040</v>
      </c>
      <c r="D5059">
        <v>83.217694886906344</v>
      </c>
      <c r="E5059" t="s">
        <v>93</v>
      </c>
      <c r="F5059">
        <v>321</v>
      </c>
      <c r="G5059" s="4">
        <v>46087.603310185186</v>
      </c>
    </row>
    <row r="5060" spans="1:7" x14ac:dyDescent="0.3">
      <c r="A5060">
        <v>16989</v>
      </c>
      <c r="B5060" t="s">
        <v>149</v>
      </c>
      <c r="C5060">
        <v>51055101</v>
      </c>
      <c r="D5060">
        <v>31.020000000000003</v>
      </c>
      <c r="E5060" t="s">
        <v>94</v>
      </c>
      <c r="F5060">
        <v>899</v>
      </c>
      <c r="G5060" s="4">
        <v>46087.603310185186</v>
      </c>
    </row>
    <row r="5061" spans="1:7" x14ac:dyDescent="0.3">
      <c r="A5061">
        <v>16990</v>
      </c>
      <c r="B5061" t="s">
        <v>149</v>
      </c>
      <c r="C5061">
        <v>51016386</v>
      </c>
      <c r="D5061">
        <v>64.657290484484903</v>
      </c>
      <c r="E5061" t="s">
        <v>93</v>
      </c>
      <c r="F5061">
        <v>574</v>
      </c>
      <c r="G5061" s="4">
        <v>46087.603310185186</v>
      </c>
    </row>
    <row r="5062" spans="1:7" x14ac:dyDescent="0.3">
      <c r="A5062">
        <v>16991</v>
      </c>
      <c r="B5062" t="s">
        <v>149</v>
      </c>
      <c r="C5062">
        <v>51003594</v>
      </c>
      <c r="D5062">
        <v>91.43128159050724</v>
      </c>
      <c r="E5062" t="s">
        <v>92</v>
      </c>
      <c r="F5062">
        <v>114</v>
      </c>
      <c r="G5062" s="4">
        <v>46087.603310185186</v>
      </c>
    </row>
    <row r="5063" spans="1:7" x14ac:dyDescent="0.3">
      <c r="A5063">
        <v>16992</v>
      </c>
      <c r="B5063" t="s">
        <v>149</v>
      </c>
      <c r="C5063">
        <v>51030923</v>
      </c>
      <c r="D5063">
        <v>85.497889885259212</v>
      </c>
      <c r="E5063" t="s">
        <v>93</v>
      </c>
      <c r="F5063">
        <v>256</v>
      </c>
      <c r="G5063" s="4">
        <v>46087.603310185186</v>
      </c>
    </row>
    <row r="5064" spans="1:7" x14ac:dyDescent="0.3">
      <c r="A5064">
        <v>16993</v>
      </c>
      <c r="B5064" t="s">
        <v>149</v>
      </c>
      <c r="C5064">
        <v>51043197</v>
      </c>
      <c r="D5064">
        <v>69.212590224169915</v>
      </c>
      <c r="E5064" t="s">
        <v>93</v>
      </c>
      <c r="F5064">
        <v>548</v>
      </c>
      <c r="G5064" s="4">
        <v>46087.603310185186</v>
      </c>
    </row>
    <row r="5065" spans="1:7" x14ac:dyDescent="0.3">
      <c r="A5065">
        <v>16994</v>
      </c>
      <c r="B5065" t="s">
        <v>149</v>
      </c>
      <c r="C5065">
        <v>51022823</v>
      </c>
      <c r="D5065">
        <v>52.220536672240712</v>
      </c>
      <c r="E5065" t="s">
        <v>94</v>
      </c>
      <c r="F5065">
        <v>757</v>
      </c>
      <c r="G5065" s="4">
        <v>46087.603310185186</v>
      </c>
    </row>
    <row r="5066" spans="1:7" x14ac:dyDescent="0.3">
      <c r="A5066">
        <v>16995</v>
      </c>
      <c r="B5066" t="s">
        <v>149</v>
      </c>
      <c r="C5066">
        <v>51056060</v>
      </c>
      <c r="D5066">
        <v>84.276899008316974</v>
      </c>
      <c r="E5066" t="s">
        <v>93</v>
      </c>
      <c r="F5066">
        <v>280</v>
      </c>
      <c r="G5066" s="4">
        <v>46087.603310185186</v>
      </c>
    </row>
    <row r="5067" spans="1:7" x14ac:dyDescent="0.3">
      <c r="A5067">
        <v>16996</v>
      </c>
      <c r="B5067" t="s">
        <v>149</v>
      </c>
      <c r="C5067">
        <v>51024419</v>
      </c>
      <c r="D5067">
        <v>62.14947746670871</v>
      </c>
      <c r="E5067" t="s">
        <v>94</v>
      </c>
      <c r="F5067">
        <v>609</v>
      </c>
      <c r="G5067" s="4">
        <v>46087.603310185186</v>
      </c>
    </row>
    <row r="5068" spans="1:7" x14ac:dyDescent="0.3">
      <c r="A5068">
        <v>16997</v>
      </c>
      <c r="B5068" t="s">
        <v>149</v>
      </c>
      <c r="C5068">
        <v>51025326</v>
      </c>
      <c r="D5068">
        <v>86.206350395230913</v>
      </c>
      <c r="E5068" t="s">
        <v>92</v>
      </c>
      <c r="F5068">
        <v>232</v>
      </c>
      <c r="G5068" s="4">
        <v>46087.603310185186</v>
      </c>
    </row>
    <row r="5069" spans="1:7" x14ac:dyDescent="0.3">
      <c r="A5069">
        <v>16998</v>
      </c>
      <c r="B5069" t="s">
        <v>149</v>
      </c>
      <c r="C5069">
        <v>51020014</v>
      </c>
      <c r="D5069">
        <v>80.146928754093253</v>
      </c>
      <c r="E5069" t="s">
        <v>93</v>
      </c>
      <c r="F5069">
        <v>418</v>
      </c>
      <c r="G5069" s="4">
        <v>46087.603310185186</v>
      </c>
    </row>
    <row r="5070" spans="1:7" x14ac:dyDescent="0.3">
      <c r="A5070">
        <v>16999</v>
      </c>
      <c r="B5070" t="s">
        <v>149</v>
      </c>
      <c r="C5070">
        <v>51055951</v>
      </c>
      <c r="D5070">
        <v>47.663217948723528</v>
      </c>
      <c r="E5070" t="s">
        <v>94</v>
      </c>
      <c r="F5070">
        <v>796</v>
      </c>
      <c r="G5070" s="4">
        <v>46087.603310185186</v>
      </c>
    </row>
    <row r="5071" spans="1:7" x14ac:dyDescent="0.3">
      <c r="A5071">
        <v>17000</v>
      </c>
      <c r="B5071" t="s">
        <v>149</v>
      </c>
      <c r="C5071">
        <v>51016882</v>
      </c>
      <c r="D5071">
        <v>62.696431713580537</v>
      </c>
      <c r="E5071" t="s">
        <v>93</v>
      </c>
      <c r="F5071">
        <v>597</v>
      </c>
      <c r="G5071" s="4">
        <v>46087.603310185186</v>
      </c>
    </row>
    <row r="5072" spans="1:7" x14ac:dyDescent="0.3">
      <c r="A5072">
        <v>17001</v>
      </c>
      <c r="B5072" t="s">
        <v>149</v>
      </c>
      <c r="C5072">
        <v>51043405</v>
      </c>
      <c r="D5072">
        <v>85.726813740774404</v>
      </c>
      <c r="E5072" t="s">
        <v>93</v>
      </c>
      <c r="F5072">
        <v>247</v>
      </c>
      <c r="G5072" s="4">
        <v>46087.603310185186</v>
      </c>
    </row>
    <row r="5073" spans="1:7" x14ac:dyDescent="0.3">
      <c r="A5073">
        <v>17002</v>
      </c>
      <c r="B5073" t="s">
        <v>149</v>
      </c>
      <c r="C5073">
        <v>51008987</v>
      </c>
      <c r="D5073">
        <v>86.444626042997555</v>
      </c>
      <c r="E5073" t="s">
        <v>92</v>
      </c>
      <c r="F5073">
        <v>218</v>
      </c>
      <c r="G5073" s="4">
        <v>46087.603310185186</v>
      </c>
    </row>
    <row r="5074" spans="1:7" x14ac:dyDescent="0.3">
      <c r="A5074">
        <v>17003</v>
      </c>
      <c r="B5074" t="s">
        <v>149</v>
      </c>
      <c r="C5074">
        <v>51021088</v>
      </c>
      <c r="D5074">
        <v>94.620096711068967</v>
      </c>
      <c r="E5074" t="s">
        <v>92</v>
      </c>
      <c r="F5074">
        <v>68</v>
      </c>
      <c r="G5074" s="4">
        <v>46087.603310185186</v>
      </c>
    </row>
    <row r="5075" spans="1:7" x14ac:dyDescent="0.3">
      <c r="A5075">
        <v>17004</v>
      </c>
      <c r="B5075" t="s">
        <v>149</v>
      </c>
      <c r="C5075">
        <v>51001702</v>
      </c>
      <c r="D5075">
        <v>88.320922692221771</v>
      </c>
      <c r="E5075" t="s">
        <v>92</v>
      </c>
      <c r="F5075">
        <v>168</v>
      </c>
      <c r="G5075" s="4">
        <v>46087.603310185186</v>
      </c>
    </row>
    <row r="5076" spans="1:7" x14ac:dyDescent="0.3">
      <c r="A5076">
        <v>17005</v>
      </c>
      <c r="B5076" t="s">
        <v>149</v>
      </c>
      <c r="C5076">
        <v>51003730</v>
      </c>
      <c r="D5076">
        <v>81.800028832503557</v>
      </c>
      <c r="E5076" t="s">
        <v>93</v>
      </c>
      <c r="F5076">
        <v>376</v>
      </c>
      <c r="G5076" s="4">
        <v>46087.603310185186</v>
      </c>
    </row>
    <row r="5077" spans="1:7" x14ac:dyDescent="0.3">
      <c r="A5077">
        <v>17006</v>
      </c>
      <c r="B5077" t="s">
        <v>149</v>
      </c>
      <c r="C5077">
        <v>51012348</v>
      </c>
      <c r="D5077">
        <v>69.737824526839574</v>
      </c>
      <c r="E5077" t="s">
        <v>93</v>
      </c>
      <c r="F5077">
        <v>544</v>
      </c>
      <c r="G5077" s="4">
        <v>46087.603310185186</v>
      </c>
    </row>
    <row r="5078" spans="1:7" x14ac:dyDescent="0.3">
      <c r="A5078">
        <v>17007</v>
      </c>
      <c r="B5078" t="s">
        <v>149</v>
      </c>
      <c r="C5078">
        <v>51031563</v>
      </c>
      <c r="D5078">
        <v>82.417865237646097</v>
      </c>
      <c r="E5078" t="s">
        <v>93</v>
      </c>
      <c r="F5078">
        <v>349</v>
      </c>
      <c r="G5078" s="4">
        <v>46087.603310185186</v>
      </c>
    </row>
    <row r="5079" spans="1:7" x14ac:dyDescent="0.3">
      <c r="A5079">
        <v>17008</v>
      </c>
      <c r="B5079" t="s">
        <v>149</v>
      </c>
      <c r="C5079">
        <v>51055080</v>
      </c>
      <c r="D5079">
        <v>92.036847970568331</v>
      </c>
      <c r="E5079" t="s">
        <v>92</v>
      </c>
      <c r="F5079">
        <v>99</v>
      </c>
      <c r="G5079" s="4">
        <v>46087.603310185186</v>
      </c>
    </row>
    <row r="5080" spans="1:7" x14ac:dyDescent="0.3">
      <c r="A5080">
        <v>17009</v>
      </c>
      <c r="B5080" t="s">
        <v>149</v>
      </c>
      <c r="C5080">
        <v>51018672</v>
      </c>
      <c r="D5080">
        <v>56.01122996474993</v>
      </c>
      <c r="E5080" t="s">
        <v>94</v>
      </c>
      <c r="F5080">
        <v>725</v>
      </c>
      <c r="G5080" s="4">
        <v>46087.603310185186</v>
      </c>
    </row>
    <row r="5081" spans="1:7" x14ac:dyDescent="0.3">
      <c r="A5081">
        <v>17010</v>
      </c>
      <c r="B5081" t="s">
        <v>149</v>
      </c>
      <c r="C5081">
        <v>51019130</v>
      </c>
      <c r="D5081">
        <v>81.507268556736506</v>
      </c>
      <c r="E5081" t="s">
        <v>93</v>
      </c>
      <c r="F5081">
        <v>382</v>
      </c>
      <c r="G5081" s="4">
        <v>46087.603310185186</v>
      </c>
    </row>
    <row r="5082" spans="1:7" x14ac:dyDescent="0.3">
      <c r="A5082">
        <v>17011</v>
      </c>
      <c r="B5082" t="s">
        <v>149</v>
      </c>
      <c r="C5082">
        <v>51036255</v>
      </c>
      <c r="D5082">
        <v>63.501410482776045</v>
      </c>
      <c r="E5082" t="s">
        <v>93</v>
      </c>
      <c r="F5082">
        <v>584</v>
      </c>
      <c r="G5082" s="4">
        <v>46087.603310185186</v>
      </c>
    </row>
    <row r="5083" spans="1:7" x14ac:dyDescent="0.3">
      <c r="A5083">
        <v>17012</v>
      </c>
      <c r="B5083" t="s">
        <v>149</v>
      </c>
      <c r="C5083">
        <v>51056809</v>
      </c>
      <c r="D5083">
        <v>41.871912218177776</v>
      </c>
      <c r="E5083" t="s">
        <v>94</v>
      </c>
      <c r="F5083">
        <v>839</v>
      </c>
      <c r="G5083" s="4">
        <v>46087.603310185186</v>
      </c>
    </row>
    <row r="5084" spans="1:7" x14ac:dyDescent="0.3">
      <c r="A5084">
        <v>17013</v>
      </c>
      <c r="B5084" t="s">
        <v>149</v>
      </c>
      <c r="C5084">
        <v>51018699</v>
      </c>
      <c r="D5084">
        <v>84.480601117477718</v>
      </c>
      <c r="E5084" t="s">
        <v>93</v>
      </c>
      <c r="F5084">
        <v>273</v>
      </c>
      <c r="G5084" s="4">
        <v>46087.603310185186</v>
      </c>
    </row>
    <row r="5085" spans="1:7" x14ac:dyDescent="0.3">
      <c r="A5085">
        <v>17014</v>
      </c>
      <c r="B5085" t="s">
        <v>149</v>
      </c>
      <c r="C5085">
        <v>51010019</v>
      </c>
      <c r="D5085">
        <v>89.447346800978835</v>
      </c>
      <c r="E5085" t="s">
        <v>92</v>
      </c>
      <c r="F5085">
        <v>144</v>
      </c>
      <c r="G5085" s="4">
        <v>46087.603310185186</v>
      </c>
    </row>
    <row r="5086" spans="1:7" x14ac:dyDescent="0.3">
      <c r="A5086">
        <v>17015</v>
      </c>
      <c r="B5086" t="s">
        <v>149</v>
      </c>
      <c r="C5086">
        <v>51010647</v>
      </c>
      <c r="D5086">
        <v>75.74406457385011</v>
      </c>
      <c r="E5086" t="s">
        <v>93</v>
      </c>
      <c r="F5086">
        <v>486</v>
      </c>
      <c r="G5086" s="4">
        <v>46087.603310185186</v>
      </c>
    </row>
    <row r="5087" spans="1:7" x14ac:dyDescent="0.3">
      <c r="A5087">
        <v>17016</v>
      </c>
      <c r="B5087" t="s">
        <v>149</v>
      </c>
      <c r="C5087">
        <v>51054881</v>
      </c>
      <c r="D5087">
        <v>55.617684044297334</v>
      </c>
      <c r="E5087" t="s">
        <v>94</v>
      </c>
      <c r="F5087">
        <v>729</v>
      </c>
      <c r="G5087" s="4">
        <v>46087.603310185186</v>
      </c>
    </row>
    <row r="5088" spans="1:7" x14ac:dyDescent="0.3">
      <c r="A5088">
        <v>17017</v>
      </c>
      <c r="B5088" t="s">
        <v>149</v>
      </c>
      <c r="C5088">
        <v>51019091</v>
      </c>
      <c r="D5088">
        <v>45.263893816410487</v>
      </c>
      <c r="E5088" t="s">
        <v>94</v>
      </c>
      <c r="F5088">
        <v>822</v>
      </c>
      <c r="G5088" s="4">
        <v>46087.603310185186</v>
      </c>
    </row>
    <row r="5089" spans="1:7" x14ac:dyDescent="0.3">
      <c r="A5089">
        <v>17018</v>
      </c>
      <c r="B5089" t="s">
        <v>149</v>
      </c>
      <c r="C5089">
        <v>51018931</v>
      </c>
      <c r="D5089">
        <v>84.175199781836227</v>
      </c>
      <c r="E5089" t="s">
        <v>93</v>
      </c>
      <c r="F5089">
        <v>285</v>
      </c>
      <c r="G5089" s="4">
        <v>46087.603310185186</v>
      </c>
    </row>
    <row r="5090" spans="1:7" x14ac:dyDescent="0.3">
      <c r="A5090">
        <v>17019</v>
      </c>
      <c r="B5090" t="s">
        <v>149</v>
      </c>
      <c r="C5090">
        <v>51057015</v>
      </c>
      <c r="D5090">
        <v>91.522029463595402</v>
      </c>
      <c r="E5090" t="s">
        <v>92</v>
      </c>
      <c r="F5090">
        <v>111</v>
      </c>
      <c r="G5090" s="4">
        <v>46087.603310185186</v>
      </c>
    </row>
    <row r="5091" spans="1:7" x14ac:dyDescent="0.3">
      <c r="A5091">
        <v>17020</v>
      </c>
      <c r="B5091" t="s">
        <v>149</v>
      </c>
      <c r="C5091">
        <v>51023421</v>
      </c>
      <c r="D5091">
        <v>85.509556691642786</v>
      </c>
      <c r="E5091" t="s">
        <v>93</v>
      </c>
      <c r="F5091">
        <v>255</v>
      </c>
      <c r="G5091" s="4">
        <v>46087.603310185186</v>
      </c>
    </row>
    <row r="5092" spans="1:7" x14ac:dyDescent="0.3">
      <c r="A5092">
        <v>17021</v>
      </c>
      <c r="B5092" t="s">
        <v>149</v>
      </c>
      <c r="C5092">
        <v>51012305</v>
      </c>
      <c r="D5092">
        <v>68.956002607885523</v>
      </c>
      <c r="E5092" t="s">
        <v>93</v>
      </c>
      <c r="F5092">
        <v>550</v>
      </c>
      <c r="G5092" s="4">
        <v>46087.603310185186</v>
      </c>
    </row>
    <row r="5093" spans="1:7" x14ac:dyDescent="0.3">
      <c r="A5093">
        <v>17022</v>
      </c>
      <c r="B5093" t="s">
        <v>149</v>
      </c>
      <c r="C5093">
        <v>51014219</v>
      </c>
      <c r="D5093">
        <v>36.109999999999992</v>
      </c>
      <c r="E5093" t="s">
        <v>94</v>
      </c>
      <c r="F5093">
        <v>861</v>
      </c>
      <c r="G5093" s="4">
        <v>46087.603310185186</v>
      </c>
    </row>
    <row r="5094" spans="1:7" x14ac:dyDescent="0.3">
      <c r="A5094">
        <v>17023</v>
      </c>
      <c r="B5094" t="s">
        <v>149</v>
      </c>
      <c r="C5094">
        <v>51030753</v>
      </c>
      <c r="D5094">
        <v>97.685155998040941</v>
      </c>
      <c r="E5094" t="s">
        <v>275</v>
      </c>
      <c r="F5094">
        <v>32</v>
      </c>
      <c r="G5094" s="4">
        <v>46087.603310185186</v>
      </c>
    </row>
    <row r="5095" spans="1:7" x14ac:dyDescent="0.3">
      <c r="A5095">
        <v>17024</v>
      </c>
      <c r="B5095" t="s">
        <v>149</v>
      </c>
      <c r="C5095">
        <v>51042336</v>
      </c>
      <c r="D5095">
        <v>61.381940225550728</v>
      </c>
      <c r="E5095" t="s">
        <v>94</v>
      </c>
      <c r="F5095">
        <v>622</v>
      </c>
      <c r="G5095" s="4">
        <v>46087.603310185186</v>
      </c>
    </row>
    <row r="5096" spans="1:7" x14ac:dyDescent="0.3">
      <c r="A5096">
        <v>17025</v>
      </c>
      <c r="B5096" t="s">
        <v>149</v>
      </c>
      <c r="C5096">
        <v>51023790</v>
      </c>
      <c r="D5096">
        <v>79.593060012610323</v>
      </c>
      <c r="E5096" t="s">
        <v>93</v>
      </c>
      <c r="F5096">
        <v>427</v>
      </c>
      <c r="G5096" s="4">
        <v>46087.603310185186</v>
      </c>
    </row>
    <row r="5097" spans="1:7" x14ac:dyDescent="0.3">
      <c r="A5097">
        <v>17026</v>
      </c>
      <c r="B5097" t="s">
        <v>149</v>
      </c>
      <c r="C5097">
        <v>51022378</v>
      </c>
      <c r="D5097">
        <v>22.773456880800357</v>
      </c>
      <c r="E5097" t="s">
        <v>95</v>
      </c>
      <c r="F5097">
        <v>956</v>
      </c>
      <c r="G5097" s="4">
        <v>46087.603310185186</v>
      </c>
    </row>
    <row r="5098" spans="1:7" x14ac:dyDescent="0.3">
      <c r="A5098">
        <v>17027</v>
      </c>
      <c r="B5098" t="s">
        <v>149</v>
      </c>
      <c r="C5098">
        <v>51052072</v>
      </c>
      <c r="D5098">
        <v>48.457203740153467</v>
      </c>
      <c r="E5098" t="s">
        <v>94</v>
      </c>
      <c r="F5098">
        <v>787</v>
      </c>
      <c r="G5098" s="4">
        <v>46087.603310185186</v>
      </c>
    </row>
    <row r="5099" spans="1:7" x14ac:dyDescent="0.3">
      <c r="A5099">
        <v>17028</v>
      </c>
      <c r="B5099" t="s">
        <v>149</v>
      </c>
      <c r="C5099">
        <v>51031946</v>
      </c>
      <c r="D5099">
        <v>83.29803750025539</v>
      </c>
      <c r="E5099" t="s">
        <v>93</v>
      </c>
      <c r="F5099">
        <v>319</v>
      </c>
      <c r="G5099" s="4">
        <v>46087.603310185186</v>
      </c>
    </row>
    <row r="5100" spans="1:7" x14ac:dyDescent="0.3">
      <c r="A5100">
        <v>17029</v>
      </c>
      <c r="B5100" t="s">
        <v>149</v>
      </c>
      <c r="C5100">
        <v>51010752</v>
      </c>
      <c r="D5100">
        <v>74.229714917215205</v>
      </c>
      <c r="E5100" t="s">
        <v>93</v>
      </c>
      <c r="F5100">
        <v>499</v>
      </c>
      <c r="G5100" s="4">
        <v>46087.603310185186</v>
      </c>
    </row>
    <row r="5101" spans="1:7" x14ac:dyDescent="0.3">
      <c r="A5101">
        <v>17030</v>
      </c>
      <c r="B5101" t="s">
        <v>149</v>
      </c>
      <c r="C5101">
        <v>51055594</v>
      </c>
      <c r="D5101">
        <v>82.870411035909115</v>
      </c>
      <c r="E5101" t="s">
        <v>93</v>
      </c>
      <c r="F5101">
        <v>336</v>
      </c>
      <c r="G5101" s="4">
        <v>46087.603310185186</v>
      </c>
    </row>
    <row r="5102" spans="1:7" x14ac:dyDescent="0.3">
      <c r="A5102">
        <v>17031</v>
      </c>
      <c r="B5102" t="s">
        <v>149</v>
      </c>
      <c r="C5102">
        <v>51041585</v>
      </c>
      <c r="D5102">
        <v>95.273011556085507</v>
      </c>
      <c r="E5102" t="s">
        <v>275</v>
      </c>
      <c r="F5102">
        <v>59</v>
      </c>
      <c r="G5102" s="4">
        <v>46087.603310185186</v>
      </c>
    </row>
    <row r="5103" spans="1:7" x14ac:dyDescent="0.3">
      <c r="A5103">
        <v>17032</v>
      </c>
      <c r="B5103" t="s">
        <v>149</v>
      </c>
      <c r="C5103">
        <v>51017455</v>
      </c>
      <c r="D5103">
        <v>97.750065829073122</v>
      </c>
      <c r="E5103" t="s">
        <v>275</v>
      </c>
      <c r="F5103">
        <v>30</v>
      </c>
      <c r="G5103" s="4">
        <v>46087.603310185186</v>
      </c>
    </row>
    <row r="5104" spans="1:7" x14ac:dyDescent="0.3">
      <c r="A5104">
        <v>17033</v>
      </c>
      <c r="B5104" t="s">
        <v>149</v>
      </c>
      <c r="C5104">
        <v>51033345</v>
      </c>
      <c r="D5104">
        <v>44.853215158401248</v>
      </c>
      <c r="E5104" t="s">
        <v>94</v>
      </c>
      <c r="F5104">
        <v>824</v>
      </c>
      <c r="G5104" s="4">
        <v>46087.603310185186</v>
      </c>
    </row>
    <row r="5105" spans="1:7" x14ac:dyDescent="0.3">
      <c r="A5105">
        <v>17034</v>
      </c>
      <c r="B5105" t="s">
        <v>149</v>
      </c>
      <c r="C5105">
        <v>51012399</v>
      </c>
      <c r="D5105">
        <v>77.339254700942604</v>
      </c>
      <c r="E5105" t="s">
        <v>93</v>
      </c>
      <c r="F5105">
        <v>462</v>
      </c>
      <c r="G5105" s="4">
        <v>46087.603310185186</v>
      </c>
    </row>
    <row r="5106" spans="1:7" x14ac:dyDescent="0.3">
      <c r="A5106">
        <v>17035</v>
      </c>
      <c r="B5106" t="s">
        <v>149</v>
      </c>
      <c r="C5106">
        <v>51034236</v>
      </c>
      <c r="D5106">
        <v>83.719449437683892</v>
      </c>
      <c r="E5106" t="s">
        <v>93</v>
      </c>
      <c r="F5106">
        <v>299</v>
      </c>
      <c r="G5106" s="4">
        <v>46087.603310185186</v>
      </c>
    </row>
    <row r="5107" spans="1:7" x14ac:dyDescent="0.3">
      <c r="A5107">
        <v>17036</v>
      </c>
      <c r="B5107" t="s">
        <v>149</v>
      </c>
      <c r="C5107">
        <v>51012941</v>
      </c>
      <c r="D5107">
        <v>100</v>
      </c>
      <c r="E5107" t="s">
        <v>275</v>
      </c>
      <c r="F5107">
        <v>1</v>
      </c>
      <c r="G5107" s="4">
        <v>46087.603310185186</v>
      </c>
    </row>
    <row r="5108" spans="1:7" x14ac:dyDescent="0.3">
      <c r="A5108">
        <v>17037</v>
      </c>
      <c r="B5108" t="s">
        <v>149</v>
      </c>
      <c r="C5108">
        <v>51011694</v>
      </c>
      <c r="D5108">
        <v>76.391655553061824</v>
      </c>
      <c r="E5108" t="s">
        <v>93</v>
      </c>
      <c r="F5108">
        <v>478</v>
      </c>
      <c r="G5108" s="4">
        <v>46087.603310185186</v>
      </c>
    </row>
    <row r="5109" spans="1:7" x14ac:dyDescent="0.3">
      <c r="A5109">
        <v>17038</v>
      </c>
      <c r="B5109" t="s">
        <v>149</v>
      </c>
      <c r="C5109">
        <v>51020197</v>
      </c>
      <c r="D5109">
        <v>86.884336196781774</v>
      </c>
      <c r="E5109" t="s">
        <v>92</v>
      </c>
      <c r="F5109">
        <v>201</v>
      </c>
      <c r="G5109" s="4">
        <v>46087.603310185186</v>
      </c>
    </row>
    <row r="5110" spans="1:7" x14ac:dyDescent="0.3">
      <c r="A5110">
        <v>17039</v>
      </c>
      <c r="B5110" t="s">
        <v>149</v>
      </c>
      <c r="C5110">
        <v>51003284</v>
      </c>
      <c r="D5110">
        <v>77.00197736279712</v>
      </c>
      <c r="E5110" t="s">
        <v>93</v>
      </c>
      <c r="F5110">
        <v>469</v>
      </c>
      <c r="G5110" s="4">
        <v>46087.603310185186</v>
      </c>
    </row>
    <row r="5111" spans="1:7" x14ac:dyDescent="0.3">
      <c r="A5111">
        <v>17040</v>
      </c>
      <c r="B5111" t="s">
        <v>149</v>
      </c>
      <c r="C5111">
        <v>51025342</v>
      </c>
      <c r="D5111">
        <v>30.01136102281496</v>
      </c>
      <c r="E5111" t="s">
        <v>94</v>
      </c>
      <c r="F5111">
        <v>910</v>
      </c>
      <c r="G5111" s="4">
        <v>46087.603310185186</v>
      </c>
    </row>
    <row r="5112" spans="1:7" x14ac:dyDescent="0.3">
      <c r="A5112">
        <v>17041</v>
      </c>
      <c r="B5112" t="s">
        <v>149</v>
      </c>
      <c r="C5112">
        <v>51030389</v>
      </c>
      <c r="D5112">
        <v>97.144373021663441</v>
      </c>
      <c r="E5112" t="s">
        <v>275</v>
      </c>
      <c r="F5112">
        <v>41</v>
      </c>
      <c r="G5112" s="4">
        <v>46087.603310185186</v>
      </c>
    </row>
    <row r="5113" spans="1:7" x14ac:dyDescent="0.3">
      <c r="A5113">
        <v>17042</v>
      </c>
      <c r="B5113" t="s">
        <v>149</v>
      </c>
      <c r="C5113">
        <v>51013581</v>
      </c>
      <c r="D5113">
        <v>56.551644036401953</v>
      </c>
      <c r="E5113" t="s">
        <v>94</v>
      </c>
      <c r="F5113">
        <v>721</v>
      </c>
      <c r="G5113" s="4">
        <v>46087.603310185186</v>
      </c>
    </row>
    <row r="5114" spans="1:7" x14ac:dyDescent="0.3">
      <c r="A5114">
        <v>17043</v>
      </c>
      <c r="B5114" t="s">
        <v>149</v>
      </c>
      <c r="C5114">
        <v>51056833</v>
      </c>
      <c r="D5114">
        <v>73.327934162386981</v>
      </c>
      <c r="E5114" t="s">
        <v>93</v>
      </c>
      <c r="F5114">
        <v>507</v>
      </c>
      <c r="G5114" s="4">
        <v>46087.603310185186</v>
      </c>
    </row>
    <row r="5115" spans="1:7" x14ac:dyDescent="0.3">
      <c r="A5115">
        <v>17044</v>
      </c>
      <c r="B5115" t="s">
        <v>149</v>
      </c>
      <c r="C5115">
        <v>51056086</v>
      </c>
      <c r="D5115">
        <v>82.330115871353257</v>
      </c>
      <c r="E5115" t="s">
        <v>93</v>
      </c>
      <c r="F5115">
        <v>355</v>
      </c>
      <c r="G5115" s="4">
        <v>46087.603310185186</v>
      </c>
    </row>
    <row r="5116" spans="1:7" x14ac:dyDescent="0.3">
      <c r="A5116">
        <v>17045</v>
      </c>
      <c r="B5116" t="s">
        <v>149</v>
      </c>
      <c r="C5116">
        <v>51055241</v>
      </c>
      <c r="D5116">
        <v>78.372773673523852</v>
      </c>
      <c r="E5116" t="s">
        <v>93</v>
      </c>
      <c r="F5116">
        <v>448</v>
      </c>
      <c r="G5116" s="4">
        <v>46087.603310185186</v>
      </c>
    </row>
    <row r="5117" spans="1:7" x14ac:dyDescent="0.3">
      <c r="A5117">
        <v>17046</v>
      </c>
      <c r="B5117" t="s">
        <v>149</v>
      </c>
      <c r="C5117">
        <v>51008669</v>
      </c>
      <c r="D5117">
        <v>79.955139453063552</v>
      </c>
      <c r="E5117" t="s">
        <v>93</v>
      </c>
      <c r="F5117">
        <v>420</v>
      </c>
      <c r="G5117" s="4">
        <v>46087.603310185186</v>
      </c>
    </row>
    <row r="5118" spans="1:7" x14ac:dyDescent="0.3">
      <c r="A5118">
        <v>17047</v>
      </c>
      <c r="B5118" t="s">
        <v>149</v>
      </c>
      <c r="C5118">
        <v>51031521</v>
      </c>
      <c r="D5118">
        <v>80.177657065711358</v>
      </c>
      <c r="E5118" t="s">
        <v>93</v>
      </c>
      <c r="F5118">
        <v>416</v>
      </c>
      <c r="G5118" s="4">
        <v>46087.603310185186</v>
      </c>
    </row>
    <row r="5119" spans="1:7" x14ac:dyDescent="0.3">
      <c r="A5119">
        <v>17048</v>
      </c>
      <c r="B5119" t="s">
        <v>149</v>
      </c>
      <c r="C5119">
        <v>51033477</v>
      </c>
      <c r="D5119">
        <v>46.213722465452541</v>
      </c>
      <c r="E5119" t="s">
        <v>94</v>
      </c>
      <c r="F5119">
        <v>815</v>
      </c>
      <c r="G5119" s="4">
        <v>46087.603310185186</v>
      </c>
    </row>
    <row r="5120" spans="1:7" x14ac:dyDescent="0.3">
      <c r="A5120">
        <v>17049</v>
      </c>
      <c r="B5120" t="s">
        <v>149</v>
      </c>
      <c r="C5120">
        <v>51020651</v>
      </c>
      <c r="D5120">
        <v>90.100998325158741</v>
      </c>
      <c r="E5120" t="s">
        <v>92</v>
      </c>
      <c r="F5120">
        <v>127</v>
      </c>
      <c r="G5120" s="4">
        <v>46087.603310185186</v>
      </c>
    </row>
    <row r="5121" spans="1:7" x14ac:dyDescent="0.3">
      <c r="A5121">
        <v>17050</v>
      </c>
      <c r="B5121" t="s">
        <v>149</v>
      </c>
      <c r="C5121">
        <v>51013409</v>
      </c>
      <c r="D5121">
        <v>59.006493148436725</v>
      </c>
      <c r="E5121" t="s">
        <v>94</v>
      </c>
      <c r="F5121">
        <v>663</v>
      </c>
      <c r="G5121" s="4">
        <v>46087.603310185186</v>
      </c>
    </row>
    <row r="5122" spans="1:7" x14ac:dyDescent="0.3">
      <c r="A5122">
        <v>17051</v>
      </c>
      <c r="B5122" t="s">
        <v>149</v>
      </c>
      <c r="C5122">
        <v>51030397</v>
      </c>
      <c r="D5122">
        <v>81.703061023689358</v>
      </c>
      <c r="E5122" t="s">
        <v>93</v>
      </c>
      <c r="F5122">
        <v>379</v>
      </c>
      <c r="G5122" s="4">
        <v>46087.603310185186</v>
      </c>
    </row>
    <row r="5123" spans="1:7" x14ac:dyDescent="0.3">
      <c r="A5123">
        <v>17052</v>
      </c>
      <c r="B5123" t="s">
        <v>149</v>
      </c>
      <c r="C5123">
        <v>51010353</v>
      </c>
      <c r="D5123">
        <v>61.602562084009669</v>
      </c>
      <c r="E5123" t="s">
        <v>94</v>
      </c>
      <c r="F5123">
        <v>619</v>
      </c>
      <c r="G5123" s="4">
        <v>46087.603310185186</v>
      </c>
    </row>
    <row r="5124" spans="1:7" x14ac:dyDescent="0.3">
      <c r="A5124">
        <v>17053</v>
      </c>
      <c r="B5124" t="s">
        <v>149</v>
      </c>
      <c r="C5124">
        <v>51054814</v>
      </c>
      <c r="D5124">
        <v>77.727612450090064</v>
      </c>
      <c r="E5124" t="s">
        <v>93</v>
      </c>
      <c r="F5124">
        <v>454</v>
      </c>
      <c r="G5124" s="4">
        <v>46087.603310185186</v>
      </c>
    </row>
    <row r="5125" spans="1:7" x14ac:dyDescent="0.3">
      <c r="A5125">
        <v>17054</v>
      </c>
      <c r="B5125" t="s">
        <v>149</v>
      </c>
      <c r="C5125">
        <v>51012372</v>
      </c>
      <c r="D5125">
        <v>79.436190835697218</v>
      </c>
      <c r="E5125" t="s">
        <v>93</v>
      </c>
      <c r="F5125">
        <v>430</v>
      </c>
      <c r="G5125" s="4">
        <v>46087.603310185186</v>
      </c>
    </row>
    <row r="5126" spans="1:7" x14ac:dyDescent="0.3">
      <c r="A5126">
        <v>17055</v>
      </c>
      <c r="B5126" t="s">
        <v>149</v>
      </c>
      <c r="C5126">
        <v>51036212</v>
      </c>
      <c r="D5126">
        <v>72.216857922860569</v>
      </c>
      <c r="E5126" t="s">
        <v>93</v>
      </c>
      <c r="F5126">
        <v>520</v>
      </c>
      <c r="G5126" s="4">
        <v>46087.603310185186</v>
      </c>
    </row>
    <row r="5127" spans="1:7" x14ac:dyDescent="0.3">
      <c r="A5127">
        <v>17056</v>
      </c>
      <c r="B5127" t="s">
        <v>149</v>
      </c>
      <c r="C5127">
        <v>51029984</v>
      </c>
      <c r="D5127">
        <v>63.473558543327968</v>
      </c>
      <c r="E5127" t="s">
        <v>93</v>
      </c>
      <c r="F5127">
        <v>585</v>
      </c>
      <c r="G5127" s="4">
        <v>46087.603310185186</v>
      </c>
    </row>
    <row r="5128" spans="1:7" x14ac:dyDescent="0.3">
      <c r="A5128">
        <v>17057</v>
      </c>
      <c r="B5128" t="s">
        <v>149</v>
      </c>
      <c r="C5128">
        <v>51039777</v>
      </c>
      <c r="D5128">
        <v>85.548930206433695</v>
      </c>
      <c r="E5128" t="s">
        <v>93</v>
      </c>
      <c r="F5128">
        <v>253</v>
      </c>
      <c r="G5128" s="4">
        <v>46087.603310185186</v>
      </c>
    </row>
    <row r="5129" spans="1:7" x14ac:dyDescent="0.3">
      <c r="A5129">
        <v>17058</v>
      </c>
      <c r="B5129" t="s">
        <v>149</v>
      </c>
      <c r="C5129">
        <v>51056183</v>
      </c>
      <c r="D5129">
        <v>85.064285282522832</v>
      </c>
      <c r="E5129" t="s">
        <v>93</v>
      </c>
      <c r="F5129">
        <v>264</v>
      </c>
      <c r="G5129" s="4">
        <v>46087.603310185186</v>
      </c>
    </row>
    <row r="5130" spans="1:7" x14ac:dyDescent="0.3">
      <c r="A5130">
        <v>17059</v>
      </c>
      <c r="B5130" t="s">
        <v>149</v>
      </c>
      <c r="C5130">
        <v>51039238</v>
      </c>
      <c r="D5130">
        <v>29.148821944347468</v>
      </c>
      <c r="E5130" t="s">
        <v>94</v>
      </c>
      <c r="F5130">
        <v>916</v>
      </c>
      <c r="G5130" s="4">
        <v>46087.603310185186</v>
      </c>
    </row>
    <row r="5131" spans="1:7" x14ac:dyDescent="0.3">
      <c r="A5131">
        <v>17060</v>
      </c>
      <c r="B5131" t="s">
        <v>149</v>
      </c>
      <c r="C5131">
        <v>51007701</v>
      </c>
      <c r="D5131">
        <v>84.216588632272689</v>
      </c>
      <c r="E5131" t="s">
        <v>93</v>
      </c>
      <c r="F5131">
        <v>284</v>
      </c>
      <c r="G5131" s="4">
        <v>46087.603310185186</v>
      </c>
    </row>
    <row r="5132" spans="1:7" x14ac:dyDescent="0.3">
      <c r="A5132">
        <v>17061</v>
      </c>
      <c r="B5132" t="s">
        <v>149</v>
      </c>
      <c r="C5132">
        <v>51034228</v>
      </c>
      <c r="D5132">
        <v>61.233502814878442</v>
      </c>
      <c r="E5132" t="s">
        <v>94</v>
      </c>
      <c r="F5132">
        <v>627</v>
      </c>
      <c r="G5132" s="4">
        <v>46087.603310185186</v>
      </c>
    </row>
    <row r="5133" spans="1:7" x14ac:dyDescent="0.3">
      <c r="A5133">
        <v>17062</v>
      </c>
      <c r="B5133" t="s">
        <v>149</v>
      </c>
      <c r="C5133">
        <v>51005295</v>
      </c>
      <c r="D5133">
        <v>34.306154839831791</v>
      </c>
      <c r="E5133" t="s">
        <v>94</v>
      </c>
      <c r="F5133">
        <v>869</v>
      </c>
      <c r="G5133" s="4">
        <v>46087.603310185186</v>
      </c>
    </row>
    <row r="5134" spans="1:7" x14ac:dyDescent="0.3">
      <c r="A5134">
        <v>17063</v>
      </c>
      <c r="B5134" t="s">
        <v>149</v>
      </c>
      <c r="C5134">
        <v>51023668</v>
      </c>
      <c r="D5134">
        <v>62.369397872528786</v>
      </c>
      <c r="E5134" t="s">
        <v>94</v>
      </c>
      <c r="F5134">
        <v>604</v>
      </c>
      <c r="G5134" s="4">
        <v>46087.603310185186</v>
      </c>
    </row>
    <row r="5135" spans="1:7" x14ac:dyDescent="0.3">
      <c r="A5135">
        <v>17064</v>
      </c>
      <c r="B5135" t="s">
        <v>149</v>
      </c>
      <c r="C5135">
        <v>51018851</v>
      </c>
      <c r="D5135">
        <v>46.048151399790065</v>
      </c>
      <c r="E5135" t="s">
        <v>94</v>
      </c>
      <c r="F5135">
        <v>817</v>
      </c>
      <c r="G5135" s="4">
        <v>46087.603310185186</v>
      </c>
    </row>
    <row r="5136" spans="1:7" x14ac:dyDescent="0.3">
      <c r="A5136">
        <v>17065</v>
      </c>
      <c r="B5136" t="s">
        <v>149</v>
      </c>
      <c r="C5136">
        <v>51042042</v>
      </c>
      <c r="D5136">
        <v>77.327950870489204</v>
      </c>
      <c r="E5136" t="s">
        <v>93</v>
      </c>
      <c r="F5136">
        <v>463</v>
      </c>
      <c r="G5136" s="4">
        <v>46087.603310185186</v>
      </c>
    </row>
    <row r="5137" spans="1:7" x14ac:dyDescent="0.3">
      <c r="A5137">
        <v>17066</v>
      </c>
      <c r="B5137" t="s">
        <v>149</v>
      </c>
      <c r="C5137">
        <v>51010817</v>
      </c>
      <c r="D5137">
        <v>49.76394533166544</v>
      </c>
      <c r="E5137" t="s">
        <v>94</v>
      </c>
      <c r="F5137">
        <v>775</v>
      </c>
      <c r="G5137" s="4">
        <v>46087.603310185186</v>
      </c>
    </row>
    <row r="5138" spans="1:7" x14ac:dyDescent="0.3">
      <c r="A5138">
        <v>17067</v>
      </c>
      <c r="B5138" t="s">
        <v>149</v>
      </c>
      <c r="C5138">
        <v>51022408</v>
      </c>
      <c r="D5138">
        <v>94.280353326522544</v>
      </c>
      <c r="E5138" t="s">
        <v>92</v>
      </c>
      <c r="F5138">
        <v>70</v>
      </c>
      <c r="G5138" s="4">
        <v>46087.603310185186</v>
      </c>
    </row>
    <row r="5139" spans="1:7" x14ac:dyDescent="0.3">
      <c r="A5139">
        <v>17068</v>
      </c>
      <c r="B5139" t="s">
        <v>149</v>
      </c>
      <c r="C5139">
        <v>51032578</v>
      </c>
      <c r="D5139">
        <v>22.959999999999997</v>
      </c>
      <c r="E5139" t="s">
        <v>95</v>
      </c>
      <c r="F5139">
        <v>955</v>
      </c>
      <c r="G5139" s="4">
        <v>46087.603310185186</v>
      </c>
    </row>
    <row r="5140" spans="1:7" x14ac:dyDescent="0.3">
      <c r="A5140">
        <v>17069</v>
      </c>
      <c r="B5140" t="s">
        <v>149</v>
      </c>
      <c r="C5140">
        <v>51017978</v>
      </c>
      <c r="D5140">
        <v>82.986843212397304</v>
      </c>
      <c r="E5140" t="s">
        <v>93</v>
      </c>
      <c r="F5140">
        <v>329</v>
      </c>
      <c r="G5140" s="4">
        <v>46087.603310185186</v>
      </c>
    </row>
    <row r="5141" spans="1:7" x14ac:dyDescent="0.3">
      <c r="A5141">
        <v>17070</v>
      </c>
      <c r="B5141" t="s">
        <v>149</v>
      </c>
      <c r="C5141">
        <v>51056868</v>
      </c>
      <c r="D5141">
        <v>87.863593381558047</v>
      </c>
      <c r="E5141" t="s">
        <v>92</v>
      </c>
      <c r="F5141">
        <v>180</v>
      </c>
      <c r="G5141" s="4">
        <v>46087.603310185186</v>
      </c>
    </row>
    <row r="5142" spans="1:7" x14ac:dyDescent="0.3">
      <c r="A5142">
        <v>17071</v>
      </c>
      <c r="B5142" t="s">
        <v>149</v>
      </c>
      <c r="C5142">
        <v>51056566</v>
      </c>
      <c r="D5142">
        <v>84.473333890955971</v>
      </c>
      <c r="E5142" t="s">
        <v>93</v>
      </c>
      <c r="F5142">
        <v>275</v>
      </c>
      <c r="G5142" s="4">
        <v>46087.603310185186</v>
      </c>
    </row>
    <row r="5143" spans="1:7" x14ac:dyDescent="0.3">
      <c r="A5143">
        <v>17072</v>
      </c>
      <c r="B5143" t="s">
        <v>149</v>
      </c>
      <c r="C5143">
        <v>51005112</v>
      </c>
      <c r="D5143">
        <v>35.140455336370906</v>
      </c>
      <c r="E5143" t="s">
        <v>94</v>
      </c>
      <c r="F5143">
        <v>865</v>
      </c>
      <c r="G5143" s="4">
        <v>46087.603310185186</v>
      </c>
    </row>
    <row r="5144" spans="1:7" x14ac:dyDescent="0.3">
      <c r="A5144">
        <v>17073</v>
      </c>
      <c r="B5144" t="s">
        <v>149</v>
      </c>
      <c r="C5144">
        <v>51019946</v>
      </c>
      <c r="D5144">
        <v>80.467983362916442</v>
      </c>
      <c r="E5144" t="s">
        <v>93</v>
      </c>
      <c r="F5144">
        <v>407</v>
      </c>
      <c r="G5144" s="4">
        <v>46087.603310185186</v>
      </c>
    </row>
    <row r="5145" spans="1:7" x14ac:dyDescent="0.3">
      <c r="A5145">
        <v>17074</v>
      </c>
      <c r="B5145" t="s">
        <v>149</v>
      </c>
      <c r="C5145">
        <v>51027116</v>
      </c>
      <c r="D5145">
        <v>88.583689134066901</v>
      </c>
      <c r="E5145" t="s">
        <v>92</v>
      </c>
      <c r="F5145">
        <v>162</v>
      </c>
      <c r="G5145" s="4">
        <v>46087.603310185186</v>
      </c>
    </row>
    <row r="5146" spans="1:7" x14ac:dyDescent="0.3">
      <c r="A5146">
        <v>17075</v>
      </c>
      <c r="B5146" t="s">
        <v>149</v>
      </c>
      <c r="C5146">
        <v>51042051</v>
      </c>
      <c r="D5146">
        <v>96.71994884341899</v>
      </c>
      <c r="E5146" t="s">
        <v>275</v>
      </c>
      <c r="F5146">
        <v>43</v>
      </c>
      <c r="G5146" s="4">
        <v>46087.603310185186</v>
      </c>
    </row>
    <row r="5147" spans="1:7" x14ac:dyDescent="0.3">
      <c r="A5147">
        <v>17076</v>
      </c>
      <c r="B5147" t="s">
        <v>149</v>
      </c>
      <c r="C5147">
        <v>51024702</v>
      </c>
      <c r="D5147">
        <v>85.859377926211948</v>
      </c>
      <c r="E5147" t="s">
        <v>93</v>
      </c>
      <c r="F5147">
        <v>241</v>
      </c>
      <c r="G5147" s="4">
        <v>46087.603310185186</v>
      </c>
    </row>
    <row r="5148" spans="1:7" x14ac:dyDescent="0.3">
      <c r="A5148">
        <v>17077</v>
      </c>
      <c r="B5148" t="s">
        <v>149</v>
      </c>
      <c r="C5148">
        <v>51000251</v>
      </c>
      <c r="D5148">
        <v>48.189734491171514</v>
      </c>
      <c r="E5148" t="s">
        <v>94</v>
      </c>
      <c r="F5148">
        <v>790</v>
      </c>
      <c r="G5148" s="4">
        <v>46087.603310185186</v>
      </c>
    </row>
    <row r="5149" spans="1:7" x14ac:dyDescent="0.3">
      <c r="A5149">
        <v>17078</v>
      </c>
      <c r="B5149" t="s">
        <v>149</v>
      </c>
      <c r="C5149">
        <v>51036778</v>
      </c>
      <c r="D5149">
        <v>84.886309503161783</v>
      </c>
      <c r="E5149" t="s">
        <v>93</v>
      </c>
      <c r="F5149">
        <v>267</v>
      </c>
      <c r="G5149" s="4">
        <v>46087.603310185186</v>
      </c>
    </row>
    <row r="5150" spans="1:7" x14ac:dyDescent="0.3">
      <c r="A5150">
        <v>17079</v>
      </c>
      <c r="B5150" t="s">
        <v>149</v>
      </c>
      <c r="C5150">
        <v>51056850</v>
      </c>
      <c r="D5150">
        <v>61.716486044608558</v>
      </c>
      <c r="E5150" t="s">
        <v>94</v>
      </c>
      <c r="F5150">
        <v>617</v>
      </c>
      <c r="G5150" s="4">
        <v>46087.603310185186</v>
      </c>
    </row>
    <row r="5151" spans="1:7" x14ac:dyDescent="0.3">
      <c r="A5151">
        <v>17080</v>
      </c>
      <c r="B5151" t="s">
        <v>149</v>
      </c>
      <c r="C5151">
        <v>51054989</v>
      </c>
      <c r="D5151">
        <v>91.923117856052315</v>
      </c>
      <c r="E5151" t="s">
        <v>92</v>
      </c>
      <c r="F5151">
        <v>100</v>
      </c>
      <c r="G5151" s="4">
        <v>46087.603310185186</v>
      </c>
    </row>
    <row r="5152" spans="1:7" x14ac:dyDescent="0.3">
      <c r="A5152">
        <v>17081</v>
      </c>
      <c r="B5152" t="s">
        <v>149</v>
      </c>
      <c r="C5152">
        <v>51018737</v>
      </c>
      <c r="D5152">
        <v>84.238788782447699</v>
      </c>
      <c r="E5152" t="s">
        <v>93</v>
      </c>
      <c r="F5152">
        <v>282</v>
      </c>
      <c r="G5152" s="4">
        <v>46087.603310185186</v>
      </c>
    </row>
    <row r="5153" spans="1:7" x14ac:dyDescent="0.3">
      <c r="A5153">
        <v>17082</v>
      </c>
      <c r="B5153" t="s">
        <v>149</v>
      </c>
      <c r="C5153">
        <v>51023811</v>
      </c>
      <c r="D5153">
        <v>61.973309273926617</v>
      </c>
      <c r="E5153" t="s">
        <v>94</v>
      </c>
      <c r="F5153">
        <v>611</v>
      </c>
      <c r="G5153" s="4">
        <v>46087.603310185186</v>
      </c>
    </row>
    <row r="5154" spans="1:7" x14ac:dyDescent="0.3">
      <c r="A5154">
        <v>17083</v>
      </c>
      <c r="B5154" t="s">
        <v>149</v>
      </c>
      <c r="C5154">
        <v>51040899</v>
      </c>
      <c r="D5154">
        <v>93.451930512960431</v>
      </c>
      <c r="E5154" t="s">
        <v>92</v>
      </c>
      <c r="F5154">
        <v>79</v>
      </c>
      <c r="G5154" s="4">
        <v>46087.603310185186</v>
      </c>
    </row>
    <row r="5155" spans="1:7" x14ac:dyDescent="0.3">
      <c r="A5155">
        <v>17084</v>
      </c>
      <c r="B5155" t="s">
        <v>149</v>
      </c>
      <c r="C5155">
        <v>51022149</v>
      </c>
      <c r="D5155">
        <v>57.057851347354656</v>
      </c>
      <c r="E5155" t="s">
        <v>94</v>
      </c>
      <c r="F5155">
        <v>713</v>
      </c>
      <c r="G5155" s="4">
        <v>46087.603310185186</v>
      </c>
    </row>
    <row r="5156" spans="1:7" x14ac:dyDescent="0.3">
      <c r="A5156">
        <v>17085</v>
      </c>
      <c r="B5156" t="s">
        <v>149</v>
      </c>
      <c r="C5156">
        <v>51014189</v>
      </c>
      <c r="D5156">
        <v>84.733341910933362</v>
      </c>
      <c r="E5156" t="s">
        <v>93</v>
      </c>
      <c r="F5156">
        <v>270</v>
      </c>
      <c r="G5156" s="4">
        <v>46087.603310185186</v>
      </c>
    </row>
    <row r="5157" spans="1:7" x14ac:dyDescent="0.3">
      <c r="A5157">
        <v>17086</v>
      </c>
      <c r="B5157" t="s">
        <v>149</v>
      </c>
      <c r="C5157">
        <v>51011538</v>
      </c>
      <c r="D5157">
        <v>42.143084926463793</v>
      </c>
      <c r="E5157" t="s">
        <v>94</v>
      </c>
      <c r="F5157">
        <v>837</v>
      </c>
      <c r="G5157" s="4">
        <v>46087.603310185186</v>
      </c>
    </row>
    <row r="5158" spans="1:7" x14ac:dyDescent="0.3">
      <c r="A5158">
        <v>17087</v>
      </c>
      <c r="B5158" t="s">
        <v>149</v>
      </c>
      <c r="C5158">
        <v>51011686</v>
      </c>
      <c r="D5158">
        <v>86.113109241248281</v>
      </c>
      <c r="E5158" t="s">
        <v>92</v>
      </c>
      <c r="F5158">
        <v>235</v>
      </c>
      <c r="G5158" s="4">
        <v>46087.603310185186</v>
      </c>
    </row>
    <row r="5159" spans="1:7" x14ac:dyDescent="0.3">
      <c r="A5159">
        <v>17088</v>
      </c>
      <c r="B5159" t="s">
        <v>149</v>
      </c>
      <c r="C5159">
        <v>51055896</v>
      </c>
      <c r="D5159">
        <v>29.256649525216186</v>
      </c>
      <c r="E5159" t="s">
        <v>94</v>
      </c>
      <c r="F5159">
        <v>915</v>
      </c>
      <c r="G5159" s="4">
        <v>46087.603310185186</v>
      </c>
    </row>
    <row r="5160" spans="1:7" x14ac:dyDescent="0.3">
      <c r="A5160">
        <v>17089</v>
      </c>
      <c r="B5160" t="s">
        <v>149</v>
      </c>
      <c r="C5160">
        <v>51054962</v>
      </c>
      <c r="D5160">
        <v>49.978860506511751</v>
      </c>
      <c r="E5160" t="s">
        <v>94</v>
      </c>
      <c r="F5160">
        <v>771</v>
      </c>
      <c r="G5160" s="4">
        <v>46087.603310185186</v>
      </c>
    </row>
    <row r="5161" spans="1:7" x14ac:dyDescent="0.3">
      <c r="A5161">
        <v>17090</v>
      </c>
      <c r="B5161" t="s">
        <v>149</v>
      </c>
      <c r="C5161">
        <v>51021584</v>
      </c>
      <c r="D5161">
        <v>83.472041673916394</v>
      </c>
      <c r="E5161" t="s">
        <v>93</v>
      </c>
      <c r="F5161">
        <v>308</v>
      </c>
      <c r="G5161" s="4">
        <v>46087.603310185186</v>
      </c>
    </row>
    <row r="5162" spans="1:7" x14ac:dyDescent="0.3">
      <c r="A5162">
        <v>17091</v>
      </c>
      <c r="B5162" t="s">
        <v>149</v>
      </c>
      <c r="C5162">
        <v>51014642</v>
      </c>
      <c r="D5162">
        <v>91.849556374591842</v>
      </c>
      <c r="E5162" t="s">
        <v>92</v>
      </c>
      <c r="F5162">
        <v>101</v>
      </c>
      <c r="G5162" s="4">
        <v>46087.603310185186</v>
      </c>
    </row>
    <row r="5163" spans="1:7" x14ac:dyDescent="0.3">
      <c r="A5163">
        <v>17092</v>
      </c>
      <c r="B5163" t="s">
        <v>149</v>
      </c>
      <c r="C5163">
        <v>51038878</v>
      </c>
      <c r="D5163">
        <v>47.075956893523404</v>
      </c>
      <c r="E5163" t="s">
        <v>94</v>
      </c>
      <c r="F5163">
        <v>807</v>
      </c>
      <c r="G5163" s="4">
        <v>46087.603310185186</v>
      </c>
    </row>
    <row r="5164" spans="1:7" x14ac:dyDescent="0.3">
      <c r="A5164">
        <v>17093</v>
      </c>
      <c r="B5164" t="s">
        <v>149</v>
      </c>
      <c r="C5164">
        <v>51055292</v>
      </c>
      <c r="D5164">
        <v>77.388496721552841</v>
      </c>
      <c r="E5164" t="s">
        <v>93</v>
      </c>
      <c r="F5164">
        <v>460</v>
      </c>
      <c r="G5164" s="4">
        <v>46087.603310185186</v>
      </c>
    </row>
    <row r="5165" spans="1:7" x14ac:dyDescent="0.3">
      <c r="A5165">
        <v>17094</v>
      </c>
      <c r="B5165" t="s">
        <v>149</v>
      </c>
      <c r="C5165">
        <v>51011601</v>
      </c>
      <c r="D5165">
        <v>80.293291875410432</v>
      </c>
      <c r="E5165" t="s">
        <v>93</v>
      </c>
      <c r="F5165">
        <v>412</v>
      </c>
      <c r="G5165" s="4">
        <v>46087.603310185186</v>
      </c>
    </row>
    <row r="5166" spans="1:7" x14ac:dyDescent="0.3">
      <c r="A5166">
        <v>17095</v>
      </c>
      <c r="B5166" t="s">
        <v>149</v>
      </c>
      <c r="C5166">
        <v>51022866</v>
      </c>
      <c r="D5166">
        <v>62.251813102524835</v>
      </c>
      <c r="E5166" t="s">
        <v>94</v>
      </c>
      <c r="F5166">
        <v>606</v>
      </c>
      <c r="G5166" s="4">
        <v>46087.603310185186</v>
      </c>
    </row>
    <row r="5167" spans="1:7" x14ac:dyDescent="0.3">
      <c r="A5167">
        <v>17096</v>
      </c>
      <c r="B5167" t="s">
        <v>149</v>
      </c>
      <c r="C5167">
        <v>51017820</v>
      </c>
      <c r="D5167">
        <v>27.429537511727496</v>
      </c>
      <c r="E5167" t="s">
        <v>94</v>
      </c>
      <c r="F5167">
        <v>935</v>
      </c>
      <c r="G5167" s="4">
        <v>46087.603310185186</v>
      </c>
    </row>
    <row r="5168" spans="1:7" x14ac:dyDescent="0.3">
      <c r="A5168">
        <v>17097</v>
      </c>
      <c r="B5168" t="s">
        <v>149</v>
      </c>
      <c r="C5168">
        <v>51030761</v>
      </c>
      <c r="D5168">
        <v>30.408635613644762</v>
      </c>
      <c r="E5168" t="s">
        <v>94</v>
      </c>
      <c r="F5168">
        <v>906</v>
      </c>
      <c r="G5168" s="4">
        <v>46087.603310185186</v>
      </c>
    </row>
    <row r="5169" spans="1:7" x14ac:dyDescent="0.3">
      <c r="A5169">
        <v>17098</v>
      </c>
      <c r="B5169" t="s">
        <v>149</v>
      </c>
      <c r="C5169">
        <v>51008294</v>
      </c>
      <c r="D5169">
        <v>59.108191935333501</v>
      </c>
      <c r="E5169" t="s">
        <v>94</v>
      </c>
      <c r="F5169">
        <v>662</v>
      </c>
      <c r="G5169" s="4">
        <v>46087.603310185186</v>
      </c>
    </row>
    <row r="5170" spans="1:7" x14ac:dyDescent="0.3">
      <c r="A5170">
        <v>17099</v>
      </c>
      <c r="B5170" t="s">
        <v>149</v>
      </c>
      <c r="C5170">
        <v>51055501</v>
      </c>
      <c r="D5170">
        <v>70.078825591032967</v>
      </c>
      <c r="E5170" t="s">
        <v>93</v>
      </c>
      <c r="F5170">
        <v>542</v>
      </c>
      <c r="G5170" s="4">
        <v>46087.603310185186</v>
      </c>
    </row>
    <row r="5171" spans="1:7" x14ac:dyDescent="0.3">
      <c r="A5171">
        <v>17100</v>
      </c>
      <c r="B5171" t="s">
        <v>149</v>
      </c>
      <c r="C5171">
        <v>51038886</v>
      </c>
      <c r="D5171">
        <v>99.93903540797676</v>
      </c>
      <c r="E5171" t="s">
        <v>275</v>
      </c>
      <c r="F5171">
        <v>18</v>
      </c>
      <c r="G5171" s="4">
        <v>46087.603310185186</v>
      </c>
    </row>
    <row r="5172" spans="1:7" x14ac:dyDescent="0.3">
      <c r="A5172">
        <v>17101</v>
      </c>
      <c r="B5172" t="s">
        <v>149</v>
      </c>
      <c r="C5172">
        <v>51020316</v>
      </c>
      <c r="D5172">
        <v>95.954238928695702</v>
      </c>
      <c r="E5172" t="s">
        <v>275</v>
      </c>
      <c r="F5172">
        <v>53</v>
      </c>
      <c r="G5172" s="4">
        <v>46087.603310185186</v>
      </c>
    </row>
    <row r="5173" spans="1:7" x14ac:dyDescent="0.3">
      <c r="A5173">
        <v>17102</v>
      </c>
      <c r="B5173" t="s">
        <v>149</v>
      </c>
      <c r="C5173">
        <v>51055675</v>
      </c>
      <c r="D5173">
        <v>89.614030422101777</v>
      </c>
      <c r="E5173" t="s">
        <v>92</v>
      </c>
      <c r="F5173">
        <v>139</v>
      </c>
      <c r="G5173" s="4">
        <v>46087.603310185186</v>
      </c>
    </row>
    <row r="5174" spans="1:7" x14ac:dyDescent="0.3">
      <c r="A5174">
        <v>17103</v>
      </c>
      <c r="B5174" t="s">
        <v>149</v>
      </c>
      <c r="C5174">
        <v>51012577</v>
      </c>
      <c r="D5174">
        <v>93.658319252847662</v>
      </c>
      <c r="E5174" t="s">
        <v>92</v>
      </c>
      <c r="F5174">
        <v>75</v>
      </c>
      <c r="G5174" s="4">
        <v>46087.603310185186</v>
      </c>
    </row>
    <row r="5175" spans="1:7" x14ac:dyDescent="0.3">
      <c r="A5175">
        <v>17104</v>
      </c>
      <c r="B5175" t="s">
        <v>149</v>
      </c>
      <c r="C5175">
        <v>51017706</v>
      </c>
      <c r="D5175">
        <v>97.50113902657921</v>
      </c>
      <c r="E5175" t="s">
        <v>275</v>
      </c>
      <c r="F5175">
        <v>35</v>
      </c>
      <c r="G5175" s="4">
        <v>46087.603310185186</v>
      </c>
    </row>
    <row r="5176" spans="1:7" x14ac:dyDescent="0.3">
      <c r="A5176">
        <v>17105</v>
      </c>
      <c r="B5176" t="s">
        <v>149</v>
      </c>
      <c r="C5176">
        <v>51011236</v>
      </c>
      <c r="D5176">
        <v>83.58030550614356</v>
      </c>
      <c r="E5176" t="s">
        <v>93</v>
      </c>
      <c r="F5176">
        <v>301</v>
      </c>
      <c r="G5176" s="4">
        <v>46087.603310185186</v>
      </c>
    </row>
    <row r="5177" spans="1:7" x14ac:dyDescent="0.3">
      <c r="A5177">
        <v>17106</v>
      </c>
      <c r="B5177" t="s">
        <v>149</v>
      </c>
      <c r="C5177">
        <v>51030524</v>
      </c>
      <c r="D5177">
        <v>32.584659697658637</v>
      </c>
      <c r="E5177" t="s">
        <v>94</v>
      </c>
      <c r="F5177">
        <v>883</v>
      </c>
      <c r="G5177" s="4">
        <v>46087.603310185186</v>
      </c>
    </row>
    <row r="5178" spans="1:7" x14ac:dyDescent="0.3">
      <c r="A5178">
        <v>17107</v>
      </c>
      <c r="B5178" t="s">
        <v>149</v>
      </c>
      <c r="C5178">
        <v>51003365</v>
      </c>
      <c r="D5178">
        <v>72.457665072743751</v>
      </c>
      <c r="E5178" t="s">
        <v>93</v>
      </c>
      <c r="F5178">
        <v>516</v>
      </c>
      <c r="G5178" s="4">
        <v>46087.603310185186</v>
      </c>
    </row>
    <row r="5179" spans="1:7" x14ac:dyDescent="0.3">
      <c r="A5179">
        <v>17108</v>
      </c>
      <c r="B5179" t="s">
        <v>149</v>
      </c>
      <c r="C5179">
        <v>51031989</v>
      </c>
      <c r="D5179">
        <v>86.595075290993918</v>
      </c>
      <c r="E5179" t="s">
        <v>92</v>
      </c>
      <c r="F5179">
        <v>213</v>
      </c>
      <c r="G5179" s="4">
        <v>46087.603310185186</v>
      </c>
    </row>
    <row r="5180" spans="1:7" x14ac:dyDescent="0.3">
      <c r="A5180">
        <v>17109</v>
      </c>
      <c r="B5180" t="s">
        <v>149</v>
      </c>
      <c r="C5180">
        <v>51010922</v>
      </c>
      <c r="D5180">
        <v>54.017041174901252</v>
      </c>
      <c r="E5180" t="s">
        <v>94</v>
      </c>
      <c r="F5180">
        <v>744</v>
      </c>
      <c r="G5180" s="4">
        <v>46087.603310185186</v>
      </c>
    </row>
    <row r="5181" spans="1:7" x14ac:dyDescent="0.3">
      <c r="A5181">
        <v>17110</v>
      </c>
      <c r="B5181" t="s">
        <v>149</v>
      </c>
      <c r="C5181">
        <v>51040031</v>
      </c>
      <c r="D5181">
        <v>87.642925694289573</v>
      </c>
      <c r="E5181" t="s">
        <v>92</v>
      </c>
      <c r="F5181">
        <v>192</v>
      </c>
      <c r="G5181" s="4">
        <v>46087.603310185186</v>
      </c>
    </row>
    <row r="5182" spans="1:7" x14ac:dyDescent="0.3">
      <c r="A5182">
        <v>17111</v>
      </c>
      <c r="B5182" t="s">
        <v>149</v>
      </c>
      <c r="C5182">
        <v>51027108</v>
      </c>
      <c r="D5182">
        <v>86.655624746835244</v>
      </c>
      <c r="E5182" t="s">
        <v>92</v>
      </c>
      <c r="F5182">
        <v>211</v>
      </c>
      <c r="G5182" s="4">
        <v>46087.603310185186</v>
      </c>
    </row>
    <row r="5183" spans="1:7" x14ac:dyDescent="0.3">
      <c r="A5183">
        <v>17112</v>
      </c>
      <c r="B5183" t="s">
        <v>149</v>
      </c>
      <c r="C5183">
        <v>51022971</v>
      </c>
      <c r="D5183">
        <v>79.866227171303734</v>
      </c>
      <c r="E5183" t="s">
        <v>93</v>
      </c>
      <c r="F5183">
        <v>423</v>
      </c>
      <c r="G5183" s="4">
        <v>46087.603310185186</v>
      </c>
    </row>
    <row r="5184" spans="1:7" x14ac:dyDescent="0.3">
      <c r="A5184">
        <v>17113</v>
      </c>
      <c r="B5184" t="s">
        <v>149</v>
      </c>
      <c r="C5184">
        <v>51023005</v>
      </c>
      <c r="D5184">
        <v>89.79510672084858</v>
      </c>
      <c r="E5184" t="s">
        <v>92</v>
      </c>
      <c r="F5184">
        <v>133</v>
      </c>
      <c r="G5184" s="4">
        <v>46087.603310185186</v>
      </c>
    </row>
    <row r="5185" spans="1:7" x14ac:dyDescent="0.3">
      <c r="A5185">
        <v>17114</v>
      </c>
      <c r="B5185" t="s">
        <v>149</v>
      </c>
      <c r="C5185">
        <v>51002610</v>
      </c>
      <c r="D5185">
        <v>84.710306375184871</v>
      </c>
      <c r="E5185" t="s">
        <v>93</v>
      </c>
      <c r="F5185">
        <v>271</v>
      </c>
      <c r="G5185" s="4">
        <v>46087.603310185186</v>
      </c>
    </row>
    <row r="5186" spans="1:7" x14ac:dyDescent="0.3">
      <c r="A5186">
        <v>17115</v>
      </c>
      <c r="B5186" t="s">
        <v>149</v>
      </c>
      <c r="C5186">
        <v>51056116</v>
      </c>
      <c r="D5186">
        <v>97.150165684528417</v>
      </c>
      <c r="E5186" t="s">
        <v>275</v>
      </c>
      <c r="F5186">
        <v>40</v>
      </c>
      <c r="G5186" s="4">
        <v>46087.603310185186</v>
      </c>
    </row>
    <row r="5187" spans="1:7" x14ac:dyDescent="0.3">
      <c r="A5187">
        <v>17116</v>
      </c>
      <c r="B5187" t="s">
        <v>149</v>
      </c>
      <c r="C5187">
        <v>51020979</v>
      </c>
      <c r="D5187">
        <v>62.747827445605147</v>
      </c>
      <c r="E5187" t="s">
        <v>93</v>
      </c>
      <c r="F5187">
        <v>595</v>
      </c>
      <c r="G5187" s="4">
        <v>46087.603310185186</v>
      </c>
    </row>
    <row r="5188" spans="1:7" x14ac:dyDescent="0.3">
      <c r="A5188">
        <v>17117</v>
      </c>
      <c r="B5188" t="s">
        <v>149</v>
      </c>
      <c r="C5188">
        <v>51015207</v>
      </c>
      <c r="D5188">
        <v>85.608344288229688</v>
      </c>
      <c r="E5188" t="s">
        <v>93</v>
      </c>
      <c r="F5188">
        <v>251</v>
      </c>
      <c r="G5188" s="4">
        <v>46087.603310185186</v>
      </c>
    </row>
    <row r="5189" spans="1:7" x14ac:dyDescent="0.3">
      <c r="A5189">
        <v>17118</v>
      </c>
      <c r="B5189" t="s">
        <v>149</v>
      </c>
      <c r="C5189">
        <v>51007549</v>
      </c>
      <c r="D5189">
        <v>89.206600441919747</v>
      </c>
      <c r="E5189" t="s">
        <v>92</v>
      </c>
      <c r="F5189">
        <v>146</v>
      </c>
      <c r="G5189" s="4">
        <v>46087.603310185186</v>
      </c>
    </row>
    <row r="5190" spans="1:7" x14ac:dyDescent="0.3">
      <c r="A5190">
        <v>17119</v>
      </c>
      <c r="B5190" t="s">
        <v>149</v>
      </c>
      <c r="C5190">
        <v>51032624</v>
      </c>
      <c r="D5190">
        <v>58.038329788289587</v>
      </c>
      <c r="E5190" t="s">
        <v>94</v>
      </c>
      <c r="F5190">
        <v>687</v>
      </c>
      <c r="G5190" s="4">
        <v>46087.603310185186</v>
      </c>
    </row>
    <row r="5191" spans="1:7" x14ac:dyDescent="0.3">
      <c r="A5191">
        <v>17120</v>
      </c>
      <c r="B5191" t="s">
        <v>149</v>
      </c>
      <c r="C5191">
        <v>51002555</v>
      </c>
      <c r="D5191">
        <v>97.319461559598167</v>
      </c>
      <c r="E5191" t="s">
        <v>275</v>
      </c>
      <c r="F5191">
        <v>38</v>
      </c>
      <c r="G5191" s="4">
        <v>46087.603310185186</v>
      </c>
    </row>
    <row r="5192" spans="1:7" x14ac:dyDescent="0.3">
      <c r="A5192">
        <v>17121</v>
      </c>
      <c r="B5192" t="s">
        <v>149</v>
      </c>
      <c r="C5192">
        <v>51029879</v>
      </c>
      <c r="D5192">
        <v>79.449368228894912</v>
      </c>
      <c r="E5192" t="s">
        <v>93</v>
      </c>
      <c r="F5192">
        <v>429</v>
      </c>
      <c r="G5192" s="4">
        <v>46087.603310185186</v>
      </c>
    </row>
    <row r="5193" spans="1:7" x14ac:dyDescent="0.3">
      <c r="A5193">
        <v>17122</v>
      </c>
      <c r="B5193" t="s">
        <v>149</v>
      </c>
      <c r="C5193">
        <v>51011147</v>
      </c>
      <c r="D5193">
        <v>75.497008927725474</v>
      </c>
      <c r="E5193" t="s">
        <v>93</v>
      </c>
      <c r="F5193">
        <v>488</v>
      </c>
      <c r="G5193" s="4">
        <v>46087.603310185186</v>
      </c>
    </row>
    <row r="5194" spans="1:7" x14ac:dyDescent="0.3">
      <c r="A5194">
        <v>17123</v>
      </c>
      <c r="B5194" t="s">
        <v>149</v>
      </c>
      <c r="C5194">
        <v>51030427</v>
      </c>
      <c r="D5194">
        <v>100</v>
      </c>
      <c r="E5194" t="s">
        <v>275</v>
      </c>
      <c r="F5194">
        <v>1</v>
      </c>
      <c r="G5194" s="4">
        <v>46087.603310185186</v>
      </c>
    </row>
    <row r="5195" spans="1:7" x14ac:dyDescent="0.3">
      <c r="A5195">
        <v>17124</v>
      </c>
      <c r="B5195" t="s">
        <v>149</v>
      </c>
      <c r="C5195">
        <v>51032675</v>
      </c>
      <c r="D5195">
        <v>82.079025175845274</v>
      </c>
      <c r="E5195" t="s">
        <v>93</v>
      </c>
      <c r="F5195">
        <v>364</v>
      </c>
      <c r="G5195" s="4">
        <v>46087.603310185186</v>
      </c>
    </row>
    <row r="5196" spans="1:7" x14ac:dyDescent="0.3">
      <c r="A5196">
        <v>17125</v>
      </c>
      <c r="B5196" t="s">
        <v>149</v>
      </c>
      <c r="C5196">
        <v>51042921</v>
      </c>
      <c r="D5196">
        <v>86.27393302929616</v>
      </c>
      <c r="E5196" t="s">
        <v>92</v>
      </c>
      <c r="F5196">
        <v>225</v>
      </c>
      <c r="G5196" s="4">
        <v>46087.603310185186</v>
      </c>
    </row>
    <row r="5197" spans="1:7" x14ac:dyDescent="0.3">
      <c r="A5197">
        <v>17126</v>
      </c>
      <c r="B5197" t="s">
        <v>149</v>
      </c>
      <c r="C5197">
        <v>51056272</v>
      </c>
      <c r="D5197">
        <v>62.762564125618219</v>
      </c>
      <c r="E5197" t="s">
        <v>93</v>
      </c>
      <c r="F5197">
        <v>594</v>
      </c>
      <c r="G5197" s="4">
        <v>46087.603310185186</v>
      </c>
    </row>
    <row r="5198" spans="1:7" x14ac:dyDescent="0.3">
      <c r="A5198">
        <v>17127</v>
      </c>
      <c r="B5198" t="s">
        <v>149</v>
      </c>
      <c r="C5198">
        <v>51007883</v>
      </c>
      <c r="D5198">
        <v>82.913556634318098</v>
      </c>
      <c r="E5198" t="s">
        <v>93</v>
      </c>
      <c r="F5198">
        <v>333</v>
      </c>
      <c r="G5198" s="4">
        <v>46087.603310185186</v>
      </c>
    </row>
    <row r="5199" spans="1:7" x14ac:dyDescent="0.3">
      <c r="A5199">
        <v>17128</v>
      </c>
      <c r="B5199" t="s">
        <v>149</v>
      </c>
      <c r="C5199">
        <v>51030010</v>
      </c>
      <c r="D5199">
        <v>96.683376003156297</v>
      </c>
      <c r="E5199" t="s">
        <v>275</v>
      </c>
      <c r="F5199">
        <v>45</v>
      </c>
      <c r="G5199" s="4">
        <v>46087.603310185186</v>
      </c>
    </row>
    <row r="5200" spans="1:7" x14ac:dyDescent="0.3">
      <c r="A5200">
        <v>17129</v>
      </c>
      <c r="B5200" t="s">
        <v>149</v>
      </c>
      <c r="C5200">
        <v>51056124</v>
      </c>
      <c r="D5200">
        <v>100</v>
      </c>
      <c r="E5200" t="s">
        <v>275</v>
      </c>
      <c r="F5200">
        <v>1</v>
      </c>
      <c r="G5200" s="4">
        <v>46087.603310185186</v>
      </c>
    </row>
    <row r="5201" spans="1:7" x14ac:dyDescent="0.3">
      <c r="A5201">
        <v>17130</v>
      </c>
      <c r="B5201" t="s">
        <v>149</v>
      </c>
      <c r="C5201">
        <v>51043758</v>
      </c>
      <c r="D5201">
        <v>83.93359069317421</v>
      </c>
      <c r="E5201" t="s">
        <v>93</v>
      </c>
      <c r="F5201">
        <v>293</v>
      </c>
      <c r="G5201" s="4">
        <v>46087.603310185186</v>
      </c>
    </row>
    <row r="5202" spans="1:7" x14ac:dyDescent="0.3">
      <c r="A5202">
        <v>17131</v>
      </c>
      <c r="B5202" t="s">
        <v>149</v>
      </c>
      <c r="C5202">
        <v>51055039</v>
      </c>
      <c r="D5202">
        <v>36.97784561592136</v>
      </c>
      <c r="E5202" t="s">
        <v>94</v>
      </c>
      <c r="F5202">
        <v>858</v>
      </c>
      <c r="G5202" s="4">
        <v>46087.603310185186</v>
      </c>
    </row>
    <row r="5203" spans="1:7" x14ac:dyDescent="0.3">
      <c r="A5203">
        <v>17132</v>
      </c>
      <c r="B5203" t="s">
        <v>149</v>
      </c>
      <c r="C5203">
        <v>51056582</v>
      </c>
      <c r="D5203">
        <v>82.727128369264591</v>
      </c>
      <c r="E5203" t="s">
        <v>93</v>
      </c>
      <c r="F5203">
        <v>342</v>
      </c>
      <c r="G5203" s="4">
        <v>46087.603310185186</v>
      </c>
    </row>
    <row r="5204" spans="1:7" x14ac:dyDescent="0.3">
      <c r="A5204">
        <v>17133</v>
      </c>
      <c r="B5204" t="s">
        <v>149</v>
      </c>
      <c r="C5204">
        <v>51021321</v>
      </c>
      <c r="D5204">
        <v>72.353323933818601</v>
      </c>
      <c r="E5204" t="s">
        <v>93</v>
      </c>
      <c r="F5204">
        <v>518</v>
      </c>
      <c r="G5204" s="4">
        <v>46087.603310185186</v>
      </c>
    </row>
    <row r="5205" spans="1:7" x14ac:dyDescent="0.3">
      <c r="A5205">
        <v>17134</v>
      </c>
      <c r="B5205" t="s">
        <v>149</v>
      </c>
      <c r="C5205">
        <v>51055322</v>
      </c>
      <c r="D5205">
        <v>66.294679197129511</v>
      </c>
      <c r="E5205" t="s">
        <v>93</v>
      </c>
      <c r="F5205">
        <v>567</v>
      </c>
      <c r="G5205" s="4">
        <v>46087.603310185186</v>
      </c>
    </row>
    <row r="5206" spans="1:7" x14ac:dyDescent="0.3">
      <c r="A5206">
        <v>17135</v>
      </c>
      <c r="B5206" t="s">
        <v>149</v>
      </c>
      <c r="C5206">
        <v>51010027</v>
      </c>
      <c r="D5206">
        <v>28.5</v>
      </c>
      <c r="E5206" t="s">
        <v>94</v>
      </c>
      <c r="F5206">
        <v>923</v>
      </c>
      <c r="G5206" s="4">
        <v>46087.603310185186</v>
      </c>
    </row>
    <row r="5207" spans="1:7" x14ac:dyDescent="0.3">
      <c r="A5207">
        <v>17136</v>
      </c>
      <c r="B5207" t="s">
        <v>149</v>
      </c>
      <c r="C5207">
        <v>51011295</v>
      </c>
      <c r="D5207">
        <v>88.716624512578605</v>
      </c>
      <c r="E5207" t="s">
        <v>92</v>
      </c>
      <c r="F5207">
        <v>158</v>
      </c>
      <c r="G5207" s="4">
        <v>46087.603310185186</v>
      </c>
    </row>
    <row r="5208" spans="1:7" x14ac:dyDescent="0.3">
      <c r="A5208">
        <v>17137</v>
      </c>
      <c r="B5208" t="s">
        <v>149</v>
      </c>
      <c r="C5208">
        <v>51017145</v>
      </c>
      <c r="D5208">
        <v>62.191539655975134</v>
      </c>
      <c r="E5208" t="s">
        <v>94</v>
      </c>
      <c r="F5208">
        <v>608</v>
      </c>
      <c r="G5208" s="4">
        <v>46087.603310185186</v>
      </c>
    </row>
    <row r="5209" spans="1:7" x14ac:dyDescent="0.3">
      <c r="A5209">
        <v>17138</v>
      </c>
      <c r="B5209" t="s">
        <v>149</v>
      </c>
      <c r="C5209">
        <v>51055888</v>
      </c>
      <c r="D5209">
        <v>47.21390696666041</v>
      </c>
      <c r="E5209" t="s">
        <v>94</v>
      </c>
      <c r="F5209">
        <v>804</v>
      </c>
      <c r="G5209" s="4">
        <v>46087.603310185186</v>
      </c>
    </row>
    <row r="5210" spans="1:7" x14ac:dyDescent="0.3">
      <c r="A5210">
        <v>17139</v>
      </c>
      <c r="B5210" t="s">
        <v>149</v>
      </c>
      <c r="C5210">
        <v>51031881</v>
      </c>
      <c r="D5210">
        <v>88.233296584759572</v>
      </c>
      <c r="E5210" t="s">
        <v>92</v>
      </c>
      <c r="F5210">
        <v>173</v>
      </c>
      <c r="G5210" s="4">
        <v>46087.603310185186</v>
      </c>
    </row>
    <row r="5211" spans="1:7" x14ac:dyDescent="0.3">
      <c r="A5211">
        <v>17140</v>
      </c>
      <c r="B5211" t="s">
        <v>149</v>
      </c>
      <c r="C5211">
        <v>51010060</v>
      </c>
      <c r="D5211">
        <v>100</v>
      </c>
      <c r="E5211" t="s">
        <v>275</v>
      </c>
      <c r="F5211">
        <v>1</v>
      </c>
      <c r="G5211" s="4">
        <v>46087.603310185186</v>
      </c>
    </row>
    <row r="5212" spans="1:7" x14ac:dyDescent="0.3">
      <c r="A5212">
        <v>17141</v>
      </c>
      <c r="B5212" t="s">
        <v>149</v>
      </c>
      <c r="C5212">
        <v>51056400</v>
      </c>
      <c r="D5212">
        <v>93.068034011671557</v>
      </c>
      <c r="E5212" t="s">
        <v>92</v>
      </c>
      <c r="F5212">
        <v>88</v>
      </c>
      <c r="G5212" s="4">
        <v>46087.603310185186</v>
      </c>
    </row>
    <row r="5213" spans="1:7" x14ac:dyDescent="0.3">
      <c r="A5213">
        <v>17142</v>
      </c>
      <c r="B5213" t="s">
        <v>149</v>
      </c>
      <c r="C5213">
        <v>51056531</v>
      </c>
      <c r="D5213">
        <v>52.908509891525689</v>
      </c>
      <c r="E5213" t="s">
        <v>94</v>
      </c>
      <c r="F5213">
        <v>752</v>
      </c>
      <c r="G5213" s="4">
        <v>46087.603310185186</v>
      </c>
    </row>
    <row r="5214" spans="1:7" x14ac:dyDescent="0.3">
      <c r="A5214">
        <v>17143</v>
      </c>
      <c r="B5214" t="s">
        <v>149</v>
      </c>
      <c r="C5214">
        <v>51011643</v>
      </c>
      <c r="D5214">
        <v>64.273689137994594</v>
      </c>
      <c r="E5214" t="s">
        <v>93</v>
      </c>
      <c r="F5214">
        <v>578</v>
      </c>
      <c r="G5214" s="4">
        <v>46087.603310185186</v>
      </c>
    </row>
    <row r="5215" spans="1:7" x14ac:dyDescent="0.3">
      <c r="A5215">
        <v>17144</v>
      </c>
      <c r="B5215" t="s">
        <v>149</v>
      </c>
      <c r="C5215">
        <v>51016742</v>
      </c>
      <c r="D5215">
        <v>57.742574418906187</v>
      </c>
      <c r="E5215" t="s">
        <v>94</v>
      </c>
      <c r="F5215">
        <v>691</v>
      </c>
      <c r="G5215" s="4">
        <v>46087.603310185186</v>
      </c>
    </row>
    <row r="5216" spans="1:7" x14ac:dyDescent="0.3">
      <c r="A5216">
        <v>17145</v>
      </c>
      <c r="B5216" t="s">
        <v>149</v>
      </c>
      <c r="C5216">
        <v>51010990</v>
      </c>
      <c r="D5216">
        <v>83.48754135660262</v>
      </c>
      <c r="E5216" t="s">
        <v>93</v>
      </c>
      <c r="F5216">
        <v>307</v>
      </c>
      <c r="G5216" s="4">
        <v>46087.603310185186</v>
      </c>
    </row>
    <row r="5217" spans="1:7" x14ac:dyDescent="0.3">
      <c r="A5217">
        <v>17146</v>
      </c>
      <c r="B5217" t="s">
        <v>149</v>
      </c>
      <c r="C5217">
        <v>51039998</v>
      </c>
      <c r="D5217">
        <v>43.791876295869486</v>
      </c>
      <c r="E5217" t="s">
        <v>94</v>
      </c>
      <c r="F5217">
        <v>830</v>
      </c>
      <c r="G5217" s="4">
        <v>46087.603310185186</v>
      </c>
    </row>
    <row r="5218" spans="1:7" x14ac:dyDescent="0.3">
      <c r="A5218">
        <v>17147</v>
      </c>
      <c r="B5218" t="s">
        <v>149</v>
      </c>
      <c r="C5218">
        <v>51056736</v>
      </c>
      <c r="D5218">
        <v>61.145107523546343</v>
      </c>
      <c r="E5218" t="s">
        <v>94</v>
      </c>
      <c r="F5218">
        <v>628</v>
      </c>
      <c r="G5218" s="4">
        <v>46087.603310185186</v>
      </c>
    </row>
    <row r="5219" spans="1:7" x14ac:dyDescent="0.3">
      <c r="A5219">
        <v>17148</v>
      </c>
      <c r="B5219" t="s">
        <v>149</v>
      </c>
      <c r="C5219">
        <v>51044436</v>
      </c>
      <c r="D5219">
        <v>57.020803003923021</v>
      </c>
      <c r="E5219" t="s">
        <v>94</v>
      </c>
      <c r="F5219">
        <v>714</v>
      </c>
      <c r="G5219" s="4">
        <v>46087.603310185186</v>
      </c>
    </row>
    <row r="5220" spans="1:7" x14ac:dyDescent="0.3">
      <c r="A5220">
        <v>17149</v>
      </c>
      <c r="B5220" t="s">
        <v>149</v>
      </c>
      <c r="C5220">
        <v>51017552</v>
      </c>
      <c r="D5220">
        <v>82.598797042531672</v>
      </c>
      <c r="E5220" t="s">
        <v>93</v>
      </c>
      <c r="F5220">
        <v>346</v>
      </c>
      <c r="G5220" s="4">
        <v>46087.603310185186</v>
      </c>
    </row>
    <row r="5221" spans="1:7" x14ac:dyDescent="0.3">
      <c r="A5221">
        <v>17150</v>
      </c>
      <c r="B5221" t="s">
        <v>149</v>
      </c>
      <c r="C5221">
        <v>51055276</v>
      </c>
      <c r="D5221">
        <v>83.049021744200843</v>
      </c>
      <c r="E5221" t="s">
        <v>93</v>
      </c>
      <c r="F5221">
        <v>327</v>
      </c>
      <c r="G5221" s="4">
        <v>46087.603310185186</v>
      </c>
    </row>
    <row r="5222" spans="1:7" x14ac:dyDescent="0.3">
      <c r="A5222">
        <v>17151</v>
      </c>
      <c r="B5222" t="s">
        <v>149</v>
      </c>
      <c r="C5222">
        <v>51020189</v>
      </c>
      <c r="D5222">
        <v>63.080514543440586</v>
      </c>
      <c r="E5222" t="s">
        <v>93</v>
      </c>
      <c r="F5222">
        <v>588</v>
      </c>
      <c r="G5222" s="4">
        <v>46087.603310185186</v>
      </c>
    </row>
    <row r="5223" spans="1:7" x14ac:dyDescent="0.3">
      <c r="A5223">
        <v>17152</v>
      </c>
      <c r="B5223" t="s">
        <v>149</v>
      </c>
      <c r="C5223">
        <v>51041259</v>
      </c>
      <c r="D5223">
        <v>56.395841067869796</v>
      </c>
      <c r="E5223" t="s">
        <v>94</v>
      </c>
      <c r="F5223">
        <v>722</v>
      </c>
      <c r="G5223" s="4">
        <v>46087.603310185186</v>
      </c>
    </row>
    <row r="5224" spans="1:7" x14ac:dyDescent="0.3">
      <c r="A5224">
        <v>17153</v>
      </c>
      <c r="B5224" t="s">
        <v>149</v>
      </c>
      <c r="C5224">
        <v>51022751</v>
      </c>
      <c r="D5224">
        <v>63.179273232777803</v>
      </c>
      <c r="E5224" t="s">
        <v>93</v>
      </c>
      <c r="F5224">
        <v>586</v>
      </c>
      <c r="G5224" s="4">
        <v>46087.603310185186</v>
      </c>
    </row>
    <row r="5225" spans="1:7" x14ac:dyDescent="0.3">
      <c r="A5225">
        <v>17154</v>
      </c>
      <c r="B5225" t="s">
        <v>149</v>
      </c>
      <c r="C5225">
        <v>51016645</v>
      </c>
      <c r="D5225">
        <v>77.625434107558732</v>
      </c>
      <c r="E5225" t="s">
        <v>93</v>
      </c>
      <c r="F5225">
        <v>455</v>
      </c>
      <c r="G5225" s="4">
        <v>46087.603310185186</v>
      </c>
    </row>
    <row r="5226" spans="1:7" x14ac:dyDescent="0.3">
      <c r="A5226">
        <v>17155</v>
      </c>
      <c r="B5226" t="s">
        <v>149</v>
      </c>
      <c r="C5226">
        <v>51011155</v>
      </c>
      <c r="D5226">
        <v>88.385567669852151</v>
      </c>
      <c r="E5226" t="s">
        <v>92</v>
      </c>
      <c r="F5226">
        <v>166</v>
      </c>
      <c r="G5226" s="4">
        <v>46087.603310185186</v>
      </c>
    </row>
    <row r="5227" spans="1:7" x14ac:dyDescent="0.3">
      <c r="A5227">
        <v>17156</v>
      </c>
      <c r="B5227" t="s">
        <v>149</v>
      </c>
      <c r="C5227">
        <v>51014022</v>
      </c>
      <c r="D5227">
        <v>82.046184132611828</v>
      </c>
      <c r="E5227" t="s">
        <v>93</v>
      </c>
      <c r="F5227">
        <v>365</v>
      </c>
      <c r="G5227" s="4">
        <v>46087.603310185186</v>
      </c>
    </row>
    <row r="5228" spans="1:7" x14ac:dyDescent="0.3">
      <c r="A5228">
        <v>17157</v>
      </c>
      <c r="B5228" t="s">
        <v>149</v>
      </c>
      <c r="C5228">
        <v>51018991</v>
      </c>
      <c r="D5228">
        <v>56.561407499159721</v>
      </c>
      <c r="E5228" t="s">
        <v>94</v>
      </c>
      <c r="F5228">
        <v>720</v>
      </c>
      <c r="G5228" s="4">
        <v>46087.603310185186</v>
      </c>
    </row>
    <row r="5229" spans="1:7" x14ac:dyDescent="0.3">
      <c r="A5229">
        <v>17158</v>
      </c>
      <c r="B5229" t="s">
        <v>149</v>
      </c>
      <c r="C5229">
        <v>51030478</v>
      </c>
      <c r="D5229">
        <v>87.102529821203916</v>
      </c>
      <c r="E5229" t="s">
        <v>92</v>
      </c>
      <c r="F5229">
        <v>197</v>
      </c>
      <c r="G5229" s="4">
        <v>46087.603310185186</v>
      </c>
    </row>
    <row r="5230" spans="1:7" x14ac:dyDescent="0.3">
      <c r="A5230">
        <v>17159</v>
      </c>
      <c r="B5230" t="s">
        <v>149</v>
      </c>
      <c r="C5230">
        <v>51028040</v>
      </c>
      <c r="D5230">
        <v>86.477252018240279</v>
      </c>
      <c r="E5230" t="s">
        <v>92</v>
      </c>
      <c r="F5230">
        <v>217</v>
      </c>
      <c r="G5230" s="4">
        <v>46087.603310185186</v>
      </c>
    </row>
    <row r="5231" spans="1:7" x14ac:dyDescent="0.3">
      <c r="A5231">
        <v>17160</v>
      </c>
      <c r="B5231" t="s">
        <v>149</v>
      </c>
      <c r="C5231">
        <v>51055616</v>
      </c>
      <c r="D5231">
        <v>88.496675475140222</v>
      </c>
      <c r="E5231" t="s">
        <v>92</v>
      </c>
      <c r="F5231">
        <v>163</v>
      </c>
      <c r="G5231" s="4">
        <v>46087.603310185186</v>
      </c>
    </row>
    <row r="5232" spans="1:7" x14ac:dyDescent="0.3">
      <c r="A5232">
        <v>17161</v>
      </c>
      <c r="B5232" t="s">
        <v>149</v>
      </c>
      <c r="C5232">
        <v>51036239</v>
      </c>
      <c r="D5232">
        <v>20.9482685290271</v>
      </c>
      <c r="E5232" t="s">
        <v>95</v>
      </c>
      <c r="F5232">
        <v>977</v>
      </c>
      <c r="G5232" s="4">
        <v>46087.603310185186</v>
      </c>
    </row>
    <row r="5233" spans="1:7" x14ac:dyDescent="0.3">
      <c r="A5233">
        <v>17162</v>
      </c>
      <c r="B5233" t="s">
        <v>149</v>
      </c>
      <c r="C5233">
        <v>51025873</v>
      </c>
      <c r="D5233">
        <v>59.40962652939713</v>
      </c>
      <c r="E5233" t="s">
        <v>94</v>
      </c>
      <c r="F5233">
        <v>660</v>
      </c>
      <c r="G5233" s="4">
        <v>46087.603310185186</v>
      </c>
    </row>
    <row r="5234" spans="1:7" x14ac:dyDescent="0.3">
      <c r="A5234">
        <v>17163</v>
      </c>
      <c r="B5234" t="s">
        <v>149</v>
      </c>
      <c r="C5234">
        <v>51034155</v>
      </c>
      <c r="D5234">
        <v>70.409273132010611</v>
      </c>
      <c r="E5234" t="s">
        <v>93</v>
      </c>
      <c r="F5234">
        <v>537</v>
      </c>
      <c r="G5234" s="4">
        <v>46087.603310185186</v>
      </c>
    </row>
    <row r="5235" spans="1:7" x14ac:dyDescent="0.3">
      <c r="A5235">
        <v>17164</v>
      </c>
      <c r="B5235" t="s">
        <v>149</v>
      </c>
      <c r="C5235">
        <v>51021207</v>
      </c>
      <c r="D5235">
        <v>41.438455396707177</v>
      </c>
      <c r="E5235" t="s">
        <v>94</v>
      </c>
      <c r="F5235">
        <v>842</v>
      </c>
      <c r="G5235" s="4">
        <v>46087.603310185186</v>
      </c>
    </row>
    <row r="5236" spans="1:7" x14ac:dyDescent="0.3">
      <c r="A5236">
        <v>17165</v>
      </c>
      <c r="B5236" t="s">
        <v>149</v>
      </c>
      <c r="C5236">
        <v>51054831</v>
      </c>
      <c r="D5236">
        <v>16.95407905982665</v>
      </c>
      <c r="E5236" t="s">
        <v>95</v>
      </c>
      <c r="F5236">
        <v>1048</v>
      </c>
      <c r="G5236" s="4">
        <v>46087.603310185186</v>
      </c>
    </row>
    <row r="5237" spans="1:7" x14ac:dyDescent="0.3">
      <c r="A5237">
        <v>17166</v>
      </c>
      <c r="B5237" t="s">
        <v>149</v>
      </c>
      <c r="C5237">
        <v>51010051</v>
      </c>
      <c r="D5237">
        <v>86.280960852726338</v>
      </c>
      <c r="E5237" t="s">
        <v>92</v>
      </c>
      <c r="F5237">
        <v>224</v>
      </c>
      <c r="G5237" s="4">
        <v>46087.603310185186</v>
      </c>
    </row>
    <row r="5238" spans="1:7" x14ac:dyDescent="0.3">
      <c r="A5238">
        <v>17167</v>
      </c>
      <c r="B5238" t="s">
        <v>149</v>
      </c>
      <c r="C5238">
        <v>51015754</v>
      </c>
      <c r="D5238">
        <v>57.824127023847979</v>
      </c>
      <c r="E5238" t="s">
        <v>94</v>
      </c>
      <c r="F5238">
        <v>689</v>
      </c>
      <c r="G5238" s="4">
        <v>46087.603310185186</v>
      </c>
    </row>
    <row r="5239" spans="1:7" x14ac:dyDescent="0.3">
      <c r="A5239">
        <v>17168</v>
      </c>
      <c r="B5239" t="s">
        <v>149</v>
      </c>
      <c r="C5239">
        <v>51023528</v>
      </c>
      <c r="D5239">
        <v>57.527630396022808</v>
      </c>
      <c r="E5239" t="s">
        <v>94</v>
      </c>
      <c r="F5239">
        <v>699</v>
      </c>
      <c r="G5239" s="4">
        <v>46087.603310185186</v>
      </c>
    </row>
    <row r="5240" spans="1:7" x14ac:dyDescent="0.3">
      <c r="A5240">
        <v>17169</v>
      </c>
      <c r="B5240" t="s">
        <v>149</v>
      </c>
      <c r="C5240">
        <v>51013735</v>
      </c>
      <c r="D5240">
        <v>82.95756109221854</v>
      </c>
      <c r="E5240" t="s">
        <v>93</v>
      </c>
      <c r="F5240">
        <v>331</v>
      </c>
      <c r="G5240" s="4">
        <v>46087.603310185186</v>
      </c>
    </row>
    <row r="5241" spans="1:7" x14ac:dyDescent="0.3">
      <c r="A5241">
        <v>17170</v>
      </c>
      <c r="B5241" t="s">
        <v>149</v>
      </c>
      <c r="C5241">
        <v>51036611</v>
      </c>
      <c r="D5241">
        <v>88.983730367444366</v>
      </c>
      <c r="E5241" t="s">
        <v>92</v>
      </c>
      <c r="F5241">
        <v>154</v>
      </c>
      <c r="G5241" s="4">
        <v>46087.603310185186</v>
      </c>
    </row>
    <row r="5242" spans="1:7" x14ac:dyDescent="0.3">
      <c r="A5242">
        <v>17171</v>
      </c>
      <c r="B5242" t="s">
        <v>149</v>
      </c>
      <c r="C5242">
        <v>51010035</v>
      </c>
      <c r="D5242">
        <v>89.026419294636995</v>
      </c>
      <c r="E5242" t="s">
        <v>92</v>
      </c>
      <c r="F5242">
        <v>152</v>
      </c>
      <c r="G5242" s="4">
        <v>46087.603310185186</v>
      </c>
    </row>
    <row r="5243" spans="1:7" x14ac:dyDescent="0.3">
      <c r="A5243">
        <v>17172</v>
      </c>
      <c r="B5243" t="s">
        <v>149</v>
      </c>
      <c r="C5243">
        <v>51035682</v>
      </c>
      <c r="D5243">
        <v>41.748346710801528</v>
      </c>
      <c r="E5243" t="s">
        <v>94</v>
      </c>
      <c r="F5243">
        <v>841</v>
      </c>
      <c r="G5243" s="4">
        <v>46087.603310185186</v>
      </c>
    </row>
    <row r="5244" spans="1:7" x14ac:dyDescent="0.3">
      <c r="A5244">
        <v>17173</v>
      </c>
      <c r="B5244" t="s">
        <v>149</v>
      </c>
      <c r="C5244">
        <v>51016416</v>
      </c>
      <c r="D5244">
        <v>46.425278946185479</v>
      </c>
      <c r="E5244" t="s">
        <v>94</v>
      </c>
      <c r="F5244">
        <v>812</v>
      </c>
      <c r="G5244" s="4">
        <v>46087.603310185186</v>
      </c>
    </row>
    <row r="5245" spans="1:7" x14ac:dyDescent="0.3">
      <c r="A5245">
        <v>17174</v>
      </c>
      <c r="B5245" t="s">
        <v>149</v>
      </c>
      <c r="C5245">
        <v>51038762</v>
      </c>
      <c r="D5245">
        <v>70.400800074876244</v>
      </c>
      <c r="E5245" t="s">
        <v>93</v>
      </c>
      <c r="F5245">
        <v>538</v>
      </c>
      <c r="G5245" s="4">
        <v>46087.603310185186</v>
      </c>
    </row>
    <row r="5246" spans="1:7" x14ac:dyDescent="0.3">
      <c r="A5246">
        <v>17175</v>
      </c>
      <c r="B5246" t="s">
        <v>149</v>
      </c>
      <c r="C5246">
        <v>51023307</v>
      </c>
      <c r="D5246">
        <v>85.751434317977385</v>
      </c>
      <c r="E5246" t="s">
        <v>93</v>
      </c>
      <c r="F5246">
        <v>243</v>
      </c>
      <c r="G5246" s="4">
        <v>46087.603310185186</v>
      </c>
    </row>
    <row r="5247" spans="1:7" x14ac:dyDescent="0.3">
      <c r="A5247">
        <v>17176</v>
      </c>
      <c r="B5247" t="s">
        <v>149</v>
      </c>
      <c r="C5247">
        <v>51012062</v>
      </c>
      <c r="D5247">
        <v>72.955406502375538</v>
      </c>
      <c r="E5247" t="s">
        <v>93</v>
      </c>
      <c r="F5247">
        <v>512</v>
      </c>
      <c r="G5247" s="4">
        <v>46087.603310185186</v>
      </c>
    </row>
    <row r="5248" spans="1:7" x14ac:dyDescent="0.3">
      <c r="A5248">
        <v>17177</v>
      </c>
      <c r="B5248" t="s">
        <v>149</v>
      </c>
      <c r="C5248">
        <v>51021631</v>
      </c>
      <c r="D5248">
        <v>91.71941839917622</v>
      </c>
      <c r="E5248" t="s">
        <v>92</v>
      </c>
      <c r="F5248">
        <v>105</v>
      </c>
      <c r="G5248" s="4">
        <v>46087.603310185186</v>
      </c>
    </row>
    <row r="5249" spans="1:7" x14ac:dyDescent="0.3">
      <c r="A5249">
        <v>17178</v>
      </c>
      <c r="B5249" t="s">
        <v>149</v>
      </c>
      <c r="C5249">
        <v>51008618</v>
      </c>
      <c r="D5249">
        <v>57.618239349983462</v>
      </c>
      <c r="E5249" t="s">
        <v>94</v>
      </c>
      <c r="F5249">
        <v>695</v>
      </c>
      <c r="G5249" s="4">
        <v>46087.603310185186</v>
      </c>
    </row>
    <row r="5250" spans="1:7" x14ac:dyDescent="0.3">
      <c r="A5250">
        <v>17179</v>
      </c>
      <c r="B5250" t="s">
        <v>149</v>
      </c>
      <c r="C5250">
        <v>51010574</v>
      </c>
      <c r="D5250">
        <v>94.623914712728663</v>
      </c>
      <c r="E5250" t="s">
        <v>92</v>
      </c>
      <c r="F5250">
        <v>67</v>
      </c>
      <c r="G5250" s="4">
        <v>46087.603310185186</v>
      </c>
    </row>
    <row r="5251" spans="1:7" x14ac:dyDescent="0.3">
      <c r="A5251">
        <v>17180</v>
      </c>
      <c r="B5251" t="s">
        <v>149</v>
      </c>
      <c r="C5251">
        <v>51056493</v>
      </c>
      <c r="D5251">
        <v>91.446943181500728</v>
      </c>
      <c r="E5251" t="s">
        <v>92</v>
      </c>
      <c r="F5251">
        <v>113</v>
      </c>
      <c r="G5251" s="4">
        <v>46087.603310185186</v>
      </c>
    </row>
    <row r="5252" spans="1:7" x14ac:dyDescent="0.3">
      <c r="A5252">
        <v>17181</v>
      </c>
      <c r="B5252" t="s">
        <v>149</v>
      </c>
      <c r="C5252">
        <v>51024206</v>
      </c>
      <c r="D5252">
        <v>80.392088689474335</v>
      </c>
      <c r="E5252" t="s">
        <v>93</v>
      </c>
      <c r="F5252">
        <v>408</v>
      </c>
      <c r="G5252" s="4">
        <v>46087.603310185186</v>
      </c>
    </row>
    <row r="5253" spans="1:7" x14ac:dyDescent="0.3">
      <c r="A5253">
        <v>17182</v>
      </c>
      <c r="B5253" t="s">
        <v>149</v>
      </c>
      <c r="C5253">
        <v>51056442</v>
      </c>
      <c r="D5253">
        <v>54.881647053432161</v>
      </c>
      <c r="E5253" t="s">
        <v>94</v>
      </c>
      <c r="F5253">
        <v>736</v>
      </c>
      <c r="G5253" s="4">
        <v>46087.603310185186</v>
      </c>
    </row>
    <row r="5254" spans="1:7" x14ac:dyDescent="0.3">
      <c r="A5254">
        <v>17183</v>
      </c>
      <c r="B5254" t="s">
        <v>149</v>
      </c>
      <c r="C5254">
        <v>51033621</v>
      </c>
      <c r="D5254">
        <v>57.286785079460302</v>
      </c>
      <c r="E5254" t="s">
        <v>94</v>
      </c>
      <c r="F5254">
        <v>708</v>
      </c>
      <c r="G5254" s="4">
        <v>46087.603310185186</v>
      </c>
    </row>
    <row r="5255" spans="1:7" x14ac:dyDescent="0.3">
      <c r="A5255">
        <v>17184</v>
      </c>
      <c r="B5255" t="s">
        <v>149</v>
      </c>
      <c r="C5255">
        <v>51016394</v>
      </c>
      <c r="D5255">
        <v>86.671607520790445</v>
      </c>
      <c r="E5255" t="s">
        <v>92</v>
      </c>
      <c r="F5255">
        <v>210</v>
      </c>
      <c r="G5255" s="4">
        <v>46087.603310185186</v>
      </c>
    </row>
    <row r="5256" spans="1:7" x14ac:dyDescent="0.3">
      <c r="A5256">
        <v>17185</v>
      </c>
      <c r="B5256" t="s">
        <v>149</v>
      </c>
      <c r="C5256">
        <v>51001389</v>
      </c>
      <c r="D5256">
        <v>95.87619455709968</v>
      </c>
      <c r="E5256" t="s">
        <v>275</v>
      </c>
      <c r="F5256">
        <v>54</v>
      </c>
      <c r="G5256" s="4">
        <v>46087.603310185186</v>
      </c>
    </row>
    <row r="5257" spans="1:7" x14ac:dyDescent="0.3">
      <c r="A5257">
        <v>17186</v>
      </c>
      <c r="B5257" t="s">
        <v>149</v>
      </c>
      <c r="C5257">
        <v>51042891</v>
      </c>
      <c r="D5257">
        <v>92.435743327020276</v>
      </c>
      <c r="E5257" t="s">
        <v>92</v>
      </c>
      <c r="F5257">
        <v>96</v>
      </c>
      <c r="G5257" s="4">
        <v>46087.603310185186</v>
      </c>
    </row>
    <row r="5258" spans="1:7" x14ac:dyDescent="0.3">
      <c r="A5258">
        <v>17187</v>
      </c>
      <c r="B5258" t="s">
        <v>149</v>
      </c>
      <c r="C5258">
        <v>51055411</v>
      </c>
      <c r="D5258">
        <v>85.372945304422615</v>
      </c>
      <c r="E5258" t="s">
        <v>93</v>
      </c>
      <c r="F5258">
        <v>258</v>
      </c>
      <c r="G5258" s="4">
        <v>46087.603310185186</v>
      </c>
    </row>
    <row r="5259" spans="1:7" x14ac:dyDescent="0.3">
      <c r="A5259">
        <v>17188</v>
      </c>
      <c r="B5259" t="s">
        <v>149</v>
      </c>
      <c r="C5259">
        <v>51038657</v>
      </c>
      <c r="D5259">
        <v>33.421417460572485</v>
      </c>
      <c r="E5259" t="s">
        <v>94</v>
      </c>
      <c r="F5259">
        <v>872</v>
      </c>
      <c r="G5259" s="4">
        <v>46087.603310185186</v>
      </c>
    </row>
    <row r="5260" spans="1:7" x14ac:dyDescent="0.3">
      <c r="A5260">
        <v>17189</v>
      </c>
      <c r="B5260" t="s">
        <v>149</v>
      </c>
      <c r="C5260">
        <v>51055632</v>
      </c>
      <c r="D5260">
        <v>41.807175377748301</v>
      </c>
      <c r="E5260" t="s">
        <v>94</v>
      </c>
      <c r="F5260">
        <v>840</v>
      </c>
      <c r="G5260" s="4">
        <v>46087.603310185186</v>
      </c>
    </row>
    <row r="5261" spans="1:7" x14ac:dyDescent="0.3">
      <c r="A5261">
        <v>17190</v>
      </c>
      <c r="B5261" t="s">
        <v>149</v>
      </c>
      <c r="C5261">
        <v>51026799</v>
      </c>
      <c r="D5261">
        <v>71.349721302722173</v>
      </c>
      <c r="E5261" t="s">
        <v>93</v>
      </c>
      <c r="F5261">
        <v>527</v>
      </c>
      <c r="G5261" s="4">
        <v>46087.603310185186</v>
      </c>
    </row>
    <row r="5262" spans="1:7" x14ac:dyDescent="0.3">
      <c r="A5262">
        <v>17191</v>
      </c>
      <c r="B5262" t="s">
        <v>149</v>
      </c>
      <c r="C5262">
        <v>51018869</v>
      </c>
      <c r="D5262">
        <v>63.543211334263844</v>
      </c>
      <c r="E5262" t="s">
        <v>93</v>
      </c>
      <c r="F5262">
        <v>583</v>
      </c>
      <c r="G5262" s="4">
        <v>46087.603310185186</v>
      </c>
    </row>
    <row r="5263" spans="1:7" x14ac:dyDescent="0.3">
      <c r="A5263">
        <v>17192</v>
      </c>
      <c r="B5263" t="s">
        <v>149</v>
      </c>
      <c r="C5263">
        <v>51055144</v>
      </c>
      <c r="D5263">
        <v>88.338776084093595</v>
      </c>
      <c r="E5263" t="s">
        <v>92</v>
      </c>
      <c r="F5263">
        <v>167</v>
      </c>
      <c r="G5263" s="4">
        <v>46087.603310185186</v>
      </c>
    </row>
    <row r="5264" spans="1:7" x14ac:dyDescent="0.3">
      <c r="A5264">
        <v>17193</v>
      </c>
      <c r="B5264" t="s">
        <v>149</v>
      </c>
      <c r="C5264">
        <v>51056884</v>
      </c>
      <c r="D5264">
        <v>61.595368644485355</v>
      </c>
      <c r="E5264" t="s">
        <v>94</v>
      </c>
      <c r="F5264">
        <v>620</v>
      </c>
      <c r="G5264" s="4">
        <v>46087.603310185186</v>
      </c>
    </row>
    <row r="5265" spans="1:7" x14ac:dyDescent="0.3">
      <c r="A5265">
        <v>17194</v>
      </c>
      <c r="B5265" t="s">
        <v>149</v>
      </c>
      <c r="C5265">
        <v>51030443</v>
      </c>
      <c r="D5265">
        <v>27.2</v>
      </c>
      <c r="E5265" t="s">
        <v>94</v>
      </c>
      <c r="F5265">
        <v>936</v>
      </c>
      <c r="G5265" s="4">
        <v>46087.603310185186</v>
      </c>
    </row>
    <row r="5266" spans="1:7" x14ac:dyDescent="0.3">
      <c r="A5266">
        <v>17195</v>
      </c>
      <c r="B5266" t="s">
        <v>149</v>
      </c>
      <c r="C5266">
        <v>51016475</v>
      </c>
      <c r="D5266">
        <v>98.771979450662201</v>
      </c>
      <c r="E5266" t="s">
        <v>275</v>
      </c>
      <c r="F5266">
        <v>24</v>
      </c>
      <c r="G5266" s="4">
        <v>46087.603310185186</v>
      </c>
    </row>
    <row r="5267" spans="1:7" x14ac:dyDescent="0.3">
      <c r="A5267">
        <v>17196</v>
      </c>
      <c r="B5267" t="s">
        <v>149</v>
      </c>
      <c r="C5267">
        <v>51018893</v>
      </c>
      <c r="D5267">
        <v>86.705589065986118</v>
      </c>
      <c r="E5267" t="s">
        <v>92</v>
      </c>
      <c r="F5267">
        <v>209</v>
      </c>
      <c r="G5267" s="4">
        <v>46087.603310185186</v>
      </c>
    </row>
    <row r="5268" spans="1:7" x14ac:dyDescent="0.3">
      <c r="A5268">
        <v>17197</v>
      </c>
      <c r="B5268" t="s">
        <v>149</v>
      </c>
      <c r="C5268">
        <v>51039157</v>
      </c>
      <c r="D5268">
        <v>44.809263326056431</v>
      </c>
      <c r="E5268" t="s">
        <v>94</v>
      </c>
      <c r="F5268">
        <v>825</v>
      </c>
      <c r="G5268" s="4">
        <v>46087.603310185186</v>
      </c>
    </row>
    <row r="5269" spans="1:7" x14ac:dyDescent="0.3">
      <c r="A5269">
        <v>17198</v>
      </c>
      <c r="B5269" t="s">
        <v>149</v>
      </c>
      <c r="C5269">
        <v>51054822</v>
      </c>
      <c r="D5269">
        <v>94.906241337155265</v>
      </c>
      <c r="E5269" t="s">
        <v>92</v>
      </c>
      <c r="F5269">
        <v>66</v>
      </c>
      <c r="G5269" s="4">
        <v>46087.603310185186</v>
      </c>
    </row>
    <row r="5270" spans="1:7" x14ac:dyDescent="0.3">
      <c r="A5270">
        <v>17199</v>
      </c>
      <c r="B5270" t="s">
        <v>149</v>
      </c>
      <c r="C5270">
        <v>51003390</v>
      </c>
      <c r="D5270">
        <v>87.866485514974173</v>
      </c>
      <c r="E5270" t="s">
        <v>92</v>
      </c>
      <c r="F5270">
        <v>178</v>
      </c>
      <c r="G5270" s="4">
        <v>46087.603310185186</v>
      </c>
    </row>
    <row r="5271" spans="1:7" x14ac:dyDescent="0.3">
      <c r="A5271">
        <v>17200</v>
      </c>
      <c r="B5271" t="s">
        <v>149</v>
      </c>
      <c r="C5271">
        <v>51056477</v>
      </c>
      <c r="D5271">
        <v>88.194165505430334</v>
      </c>
      <c r="E5271" t="s">
        <v>92</v>
      </c>
      <c r="F5271">
        <v>174</v>
      </c>
      <c r="G5271" s="4">
        <v>46087.603310185186</v>
      </c>
    </row>
    <row r="5272" spans="1:7" x14ac:dyDescent="0.3">
      <c r="A5272">
        <v>17201</v>
      </c>
      <c r="B5272" t="s">
        <v>149</v>
      </c>
      <c r="C5272">
        <v>51026527</v>
      </c>
      <c r="D5272">
        <v>88.035485971144681</v>
      </c>
      <c r="E5272" t="s">
        <v>92</v>
      </c>
      <c r="F5272">
        <v>175</v>
      </c>
      <c r="G5272" s="4">
        <v>46087.603310185186</v>
      </c>
    </row>
    <row r="5273" spans="1:7" x14ac:dyDescent="0.3">
      <c r="A5273">
        <v>17202</v>
      </c>
      <c r="B5273" t="s">
        <v>149</v>
      </c>
      <c r="C5273">
        <v>51030982</v>
      </c>
      <c r="D5273">
        <v>88.967035257263504</v>
      </c>
      <c r="E5273" t="s">
        <v>92</v>
      </c>
      <c r="F5273">
        <v>155</v>
      </c>
      <c r="G5273" s="4">
        <v>46087.603310185186</v>
      </c>
    </row>
    <row r="5274" spans="1:7" x14ac:dyDescent="0.3">
      <c r="A5274">
        <v>17203</v>
      </c>
      <c r="B5274" t="s">
        <v>149</v>
      </c>
      <c r="C5274">
        <v>51023196</v>
      </c>
      <c r="D5274">
        <v>62.878708971627212</v>
      </c>
      <c r="E5274" t="s">
        <v>93</v>
      </c>
      <c r="F5274">
        <v>591</v>
      </c>
      <c r="G5274" s="4">
        <v>46087.603310185186</v>
      </c>
    </row>
    <row r="5275" spans="1:7" x14ac:dyDescent="0.3">
      <c r="A5275">
        <v>17204</v>
      </c>
      <c r="B5275" t="s">
        <v>149</v>
      </c>
      <c r="C5275">
        <v>51014596</v>
      </c>
      <c r="D5275">
        <v>92.538511699561369</v>
      </c>
      <c r="E5275" t="s">
        <v>92</v>
      </c>
      <c r="F5275">
        <v>94</v>
      </c>
      <c r="G5275" s="4">
        <v>46087.603310185186</v>
      </c>
    </row>
    <row r="5276" spans="1:7" x14ac:dyDescent="0.3">
      <c r="A5276">
        <v>17205</v>
      </c>
      <c r="B5276" t="s">
        <v>149</v>
      </c>
      <c r="C5276">
        <v>51030125</v>
      </c>
      <c r="D5276">
        <v>30.961037071973767</v>
      </c>
      <c r="E5276" t="s">
        <v>94</v>
      </c>
      <c r="F5276">
        <v>902</v>
      </c>
      <c r="G5276" s="4">
        <v>46087.603310185186</v>
      </c>
    </row>
    <row r="5277" spans="1:7" x14ac:dyDescent="0.3">
      <c r="A5277">
        <v>17206</v>
      </c>
      <c r="B5277" t="s">
        <v>149</v>
      </c>
      <c r="C5277">
        <v>51021550</v>
      </c>
      <c r="D5277">
        <v>79.719240842984931</v>
      </c>
      <c r="E5277" t="s">
        <v>93</v>
      </c>
      <c r="F5277">
        <v>425</v>
      </c>
      <c r="G5277" s="4">
        <v>46087.603310185186</v>
      </c>
    </row>
    <row r="5278" spans="1:7" x14ac:dyDescent="0.3">
      <c r="A5278">
        <v>17207</v>
      </c>
      <c r="B5278" t="s">
        <v>149</v>
      </c>
      <c r="C5278">
        <v>51031407</v>
      </c>
      <c r="D5278">
        <v>81.998018631539722</v>
      </c>
      <c r="E5278" t="s">
        <v>93</v>
      </c>
      <c r="F5278">
        <v>370</v>
      </c>
      <c r="G5278" s="4">
        <v>46087.603310185186</v>
      </c>
    </row>
    <row r="5279" spans="1:7" x14ac:dyDescent="0.3">
      <c r="A5279">
        <v>17208</v>
      </c>
      <c r="B5279" t="s">
        <v>149</v>
      </c>
      <c r="C5279">
        <v>51038754</v>
      </c>
      <c r="D5279">
        <v>79.139515179045134</v>
      </c>
      <c r="E5279" t="s">
        <v>93</v>
      </c>
      <c r="F5279">
        <v>436</v>
      </c>
      <c r="G5279" s="4">
        <v>46087.603310185186</v>
      </c>
    </row>
    <row r="5280" spans="1:7" x14ac:dyDescent="0.3">
      <c r="A5280">
        <v>17209</v>
      </c>
      <c r="B5280" t="s">
        <v>149</v>
      </c>
      <c r="C5280">
        <v>51004761</v>
      </c>
      <c r="D5280">
        <v>32.654466473564433</v>
      </c>
      <c r="E5280" t="s">
        <v>94</v>
      </c>
      <c r="F5280">
        <v>882</v>
      </c>
      <c r="G5280" s="4">
        <v>46087.603310185186</v>
      </c>
    </row>
    <row r="5281" spans="1:7" x14ac:dyDescent="0.3">
      <c r="A5281">
        <v>17210</v>
      </c>
      <c r="B5281" t="s">
        <v>149</v>
      </c>
      <c r="C5281">
        <v>51023358</v>
      </c>
      <c r="D5281">
        <v>46.275579873889711</v>
      </c>
      <c r="E5281" t="s">
        <v>94</v>
      </c>
      <c r="F5281">
        <v>814</v>
      </c>
      <c r="G5281" s="4">
        <v>46087.603310185186</v>
      </c>
    </row>
    <row r="5282" spans="1:7" x14ac:dyDescent="0.3">
      <c r="A5282">
        <v>17211</v>
      </c>
      <c r="B5282" t="s">
        <v>149</v>
      </c>
      <c r="C5282">
        <v>51022670</v>
      </c>
      <c r="D5282">
        <v>93.235844770590944</v>
      </c>
      <c r="E5282" t="s">
        <v>92</v>
      </c>
      <c r="F5282">
        <v>86</v>
      </c>
      <c r="G5282" s="4">
        <v>46087.603310185186</v>
      </c>
    </row>
    <row r="5283" spans="1:7" x14ac:dyDescent="0.3">
      <c r="A5283">
        <v>17212</v>
      </c>
      <c r="B5283" t="s">
        <v>149</v>
      </c>
      <c r="C5283">
        <v>51029976</v>
      </c>
      <c r="D5283">
        <v>75.32442068848863</v>
      </c>
      <c r="E5283" t="s">
        <v>93</v>
      </c>
      <c r="F5283">
        <v>489</v>
      </c>
      <c r="G5283" s="4">
        <v>46087.603310185186</v>
      </c>
    </row>
    <row r="5284" spans="1:7" x14ac:dyDescent="0.3">
      <c r="A5284">
        <v>17213</v>
      </c>
      <c r="B5284" t="s">
        <v>149</v>
      </c>
      <c r="C5284">
        <v>51032195</v>
      </c>
      <c r="D5284">
        <v>31.803317261148273</v>
      </c>
      <c r="E5284" t="s">
        <v>94</v>
      </c>
      <c r="F5284">
        <v>891</v>
      </c>
      <c r="G5284" s="4">
        <v>46087.603310185186</v>
      </c>
    </row>
    <row r="5285" spans="1:7" x14ac:dyDescent="0.3">
      <c r="A5285">
        <v>17214</v>
      </c>
      <c r="B5285" t="s">
        <v>149</v>
      </c>
      <c r="C5285">
        <v>51042875</v>
      </c>
      <c r="D5285">
        <v>48.294305122085291</v>
      </c>
      <c r="E5285" t="s">
        <v>94</v>
      </c>
      <c r="F5285">
        <v>788</v>
      </c>
      <c r="G5285" s="4">
        <v>46087.603310185186</v>
      </c>
    </row>
    <row r="5286" spans="1:7" x14ac:dyDescent="0.3">
      <c r="A5286">
        <v>17215</v>
      </c>
      <c r="B5286" t="s">
        <v>149</v>
      </c>
      <c r="C5286">
        <v>51010728</v>
      </c>
      <c r="D5286">
        <v>61.350578819503852</v>
      </c>
      <c r="E5286" t="s">
        <v>94</v>
      </c>
      <c r="F5286">
        <v>624</v>
      </c>
      <c r="G5286" s="4">
        <v>46087.603310185186</v>
      </c>
    </row>
    <row r="5287" spans="1:7" x14ac:dyDescent="0.3">
      <c r="A5287">
        <v>17216</v>
      </c>
      <c r="B5287" t="s">
        <v>149</v>
      </c>
      <c r="C5287">
        <v>51056655</v>
      </c>
      <c r="D5287">
        <v>93.758958924165299</v>
      </c>
      <c r="E5287" t="s">
        <v>92</v>
      </c>
      <c r="F5287">
        <v>74</v>
      </c>
      <c r="G5287" s="4">
        <v>46087.603310185186</v>
      </c>
    </row>
    <row r="5288" spans="1:7" x14ac:dyDescent="0.3">
      <c r="A5288">
        <v>17217</v>
      </c>
      <c r="B5288" t="s">
        <v>149</v>
      </c>
      <c r="C5288">
        <v>51056817</v>
      </c>
      <c r="D5288">
        <v>83.351386716161144</v>
      </c>
      <c r="E5288" t="s">
        <v>93</v>
      </c>
      <c r="F5288">
        <v>314</v>
      </c>
      <c r="G5288" s="4">
        <v>46087.603310185186</v>
      </c>
    </row>
    <row r="5289" spans="1:7" x14ac:dyDescent="0.3">
      <c r="A5289">
        <v>17218</v>
      </c>
      <c r="B5289" t="s">
        <v>149</v>
      </c>
      <c r="C5289">
        <v>51018826</v>
      </c>
      <c r="D5289">
        <v>83.274206959507197</v>
      </c>
      <c r="E5289" t="s">
        <v>93</v>
      </c>
      <c r="F5289">
        <v>320</v>
      </c>
      <c r="G5289" s="4">
        <v>46087.603310185186</v>
      </c>
    </row>
    <row r="5290" spans="1:7" x14ac:dyDescent="0.3">
      <c r="A5290">
        <v>17219</v>
      </c>
      <c r="B5290" t="s">
        <v>149</v>
      </c>
      <c r="C5290">
        <v>51019814</v>
      </c>
      <c r="D5290">
        <v>23.208505763639593</v>
      </c>
      <c r="E5290" t="s">
        <v>94</v>
      </c>
      <c r="F5290">
        <v>951</v>
      </c>
      <c r="G5290" s="4">
        <v>46087.603310185186</v>
      </c>
    </row>
    <row r="5291" spans="1:7" x14ac:dyDescent="0.3">
      <c r="A5291">
        <v>17220</v>
      </c>
      <c r="B5291" t="s">
        <v>149</v>
      </c>
      <c r="C5291">
        <v>51033281</v>
      </c>
      <c r="D5291">
        <v>49.336614156342002</v>
      </c>
      <c r="E5291" t="s">
        <v>94</v>
      </c>
      <c r="F5291">
        <v>778</v>
      </c>
      <c r="G5291" s="4">
        <v>46087.603310185186</v>
      </c>
    </row>
    <row r="5292" spans="1:7" x14ac:dyDescent="0.3">
      <c r="A5292">
        <v>17221</v>
      </c>
      <c r="B5292" t="s">
        <v>149</v>
      </c>
      <c r="C5292">
        <v>51056523</v>
      </c>
      <c r="D5292">
        <v>22.187981353273731</v>
      </c>
      <c r="E5292" t="s">
        <v>95</v>
      </c>
      <c r="F5292">
        <v>964</v>
      </c>
      <c r="G5292" s="4">
        <v>46087.603310185186</v>
      </c>
    </row>
    <row r="5293" spans="1:7" x14ac:dyDescent="0.3">
      <c r="A5293">
        <v>17222</v>
      </c>
      <c r="B5293" t="s">
        <v>149</v>
      </c>
      <c r="C5293">
        <v>51025792</v>
      </c>
      <c r="D5293">
        <v>67.200671952349254</v>
      </c>
      <c r="E5293" t="s">
        <v>93</v>
      </c>
      <c r="F5293">
        <v>560</v>
      </c>
      <c r="G5293" s="4">
        <v>46087.603310185186</v>
      </c>
    </row>
    <row r="5294" spans="1:7" x14ac:dyDescent="0.3">
      <c r="A5294">
        <v>17223</v>
      </c>
      <c r="B5294" t="s">
        <v>149</v>
      </c>
      <c r="C5294">
        <v>51056728</v>
      </c>
      <c r="D5294">
        <v>61.795618992994811</v>
      </c>
      <c r="E5294" t="s">
        <v>94</v>
      </c>
      <c r="F5294">
        <v>616</v>
      </c>
      <c r="G5294" s="4">
        <v>46087.603310185186</v>
      </c>
    </row>
    <row r="5295" spans="1:7" x14ac:dyDescent="0.3">
      <c r="A5295">
        <v>17224</v>
      </c>
      <c r="B5295" t="s">
        <v>149</v>
      </c>
      <c r="C5295">
        <v>51011708</v>
      </c>
      <c r="D5295">
        <v>46.477777686975514</v>
      </c>
      <c r="E5295" t="s">
        <v>94</v>
      </c>
      <c r="F5295">
        <v>810</v>
      </c>
      <c r="G5295" s="4">
        <v>46087.603310185186</v>
      </c>
    </row>
    <row r="5296" spans="1:7" x14ac:dyDescent="0.3">
      <c r="A5296">
        <v>17225</v>
      </c>
      <c r="B5296" t="s">
        <v>149</v>
      </c>
      <c r="C5296">
        <v>51056558</v>
      </c>
      <c r="D5296">
        <v>79.885730732248646</v>
      </c>
      <c r="E5296" t="s">
        <v>93</v>
      </c>
      <c r="F5296">
        <v>422</v>
      </c>
      <c r="G5296" s="4">
        <v>46087.603310185186</v>
      </c>
    </row>
    <row r="5297" spans="1:7" x14ac:dyDescent="0.3">
      <c r="A5297">
        <v>17226</v>
      </c>
      <c r="B5297" t="s">
        <v>149</v>
      </c>
      <c r="C5297">
        <v>51041801</v>
      </c>
      <c r="D5297">
        <v>84.152965675871258</v>
      </c>
      <c r="E5297" t="s">
        <v>93</v>
      </c>
      <c r="F5297">
        <v>286</v>
      </c>
      <c r="G5297" s="4">
        <v>46087.603310185186</v>
      </c>
    </row>
    <row r="5298" spans="1:7" x14ac:dyDescent="0.3">
      <c r="A5298">
        <v>17227</v>
      </c>
      <c r="B5298" t="s">
        <v>149</v>
      </c>
      <c r="C5298">
        <v>51055390</v>
      </c>
      <c r="D5298">
        <v>87.833174863884622</v>
      </c>
      <c r="E5298" t="s">
        <v>92</v>
      </c>
      <c r="F5298">
        <v>183</v>
      </c>
      <c r="G5298" s="4">
        <v>46087.603310185186</v>
      </c>
    </row>
    <row r="5299" spans="1:7" x14ac:dyDescent="0.3">
      <c r="A5299">
        <v>17228</v>
      </c>
      <c r="B5299" t="s">
        <v>149</v>
      </c>
      <c r="C5299">
        <v>51017081</v>
      </c>
      <c r="D5299">
        <v>58.667374418370564</v>
      </c>
      <c r="E5299" t="s">
        <v>94</v>
      </c>
      <c r="F5299">
        <v>667</v>
      </c>
      <c r="G5299" s="4">
        <v>46087.603310185186</v>
      </c>
    </row>
    <row r="5300" spans="1:7" x14ac:dyDescent="0.3">
      <c r="A5300">
        <v>17229</v>
      </c>
      <c r="B5300" t="s">
        <v>149</v>
      </c>
      <c r="C5300">
        <v>51056345</v>
      </c>
      <c r="D5300">
        <v>80.496026574021414</v>
      </c>
      <c r="E5300" t="s">
        <v>93</v>
      </c>
      <c r="F5300">
        <v>405</v>
      </c>
      <c r="G5300" s="4">
        <v>46087.603310185186</v>
      </c>
    </row>
    <row r="5301" spans="1:7" x14ac:dyDescent="0.3">
      <c r="A5301">
        <v>17230</v>
      </c>
      <c r="B5301" t="s">
        <v>149</v>
      </c>
      <c r="C5301">
        <v>51055942</v>
      </c>
      <c r="D5301">
        <v>86.641649175184781</v>
      </c>
      <c r="E5301" t="s">
        <v>92</v>
      </c>
      <c r="F5301">
        <v>212</v>
      </c>
      <c r="G5301" s="4">
        <v>46087.603310185186</v>
      </c>
    </row>
    <row r="5302" spans="1:7" x14ac:dyDescent="0.3">
      <c r="A5302">
        <v>17231</v>
      </c>
      <c r="B5302" t="s">
        <v>149</v>
      </c>
      <c r="C5302">
        <v>51036735</v>
      </c>
      <c r="D5302">
        <v>82.864416371433521</v>
      </c>
      <c r="E5302" t="s">
        <v>93</v>
      </c>
      <c r="F5302">
        <v>337</v>
      </c>
      <c r="G5302" s="4">
        <v>46087.603310185186</v>
      </c>
    </row>
    <row r="5303" spans="1:7" x14ac:dyDescent="0.3">
      <c r="A5303">
        <v>17232</v>
      </c>
      <c r="B5303" t="s">
        <v>149</v>
      </c>
      <c r="C5303">
        <v>51001427</v>
      </c>
      <c r="D5303">
        <v>82.392958066408553</v>
      </c>
      <c r="E5303" t="s">
        <v>93</v>
      </c>
      <c r="F5303">
        <v>353</v>
      </c>
      <c r="G5303" s="4">
        <v>46087.603310185186</v>
      </c>
    </row>
    <row r="5304" spans="1:7" x14ac:dyDescent="0.3">
      <c r="A5304">
        <v>17233</v>
      </c>
      <c r="B5304" t="s">
        <v>149</v>
      </c>
      <c r="C5304">
        <v>51010272</v>
      </c>
      <c r="D5304">
        <v>98.28587500543189</v>
      </c>
      <c r="E5304" t="s">
        <v>275</v>
      </c>
      <c r="F5304">
        <v>28</v>
      </c>
      <c r="G5304" s="4">
        <v>46087.603310185186</v>
      </c>
    </row>
    <row r="5305" spans="1:7" x14ac:dyDescent="0.3">
      <c r="A5305">
        <v>17234</v>
      </c>
      <c r="B5305" t="s">
        <v>149</v>
      </c>
      <c r="C5305">
        <v>51056451</v>
      </c>
      <c r="D5305">
        <v>58.583938422306758</v>
      </c>
      <c r="E5305" t="s">
        <v>94</v>
      </c>
      <c r="F5305">
        <v>670</v>
      </c>
      <c r="G5305" s="4">
        <v>46087.603310185186</v>
      </c>
    </row>
    <row r="5306" spans="1:7" x14ac:dyDescent="0.3">
      <c r="A5306">
        <v>17235</v>
      </c>
      <c r="B5306" t="s">
        <v>149</v>
      </c>
      <c r="C5306">
        <v>51018907</v>
      </c>
      <c r="D5306">
        <v>84.085806072545623</v>
      </c>
      <c r="E5306" t="s">
        <v>93</v>
      </c>
      <c r="F5306">
        <v>288</v>
      </c>
      <c r="G5306" s="4">
        <v>46087.603310185186</v>
      </c>
    </row>
    <row r="5307" spans="1:7" x14ac:dyDescent="0.3">
      <c r="A5307">
        <v>17236</v>
      </c>
      <c r="B5307" t="s">
        <v>149</v>
      </c>
      <c r="C5307">
        <v>51004108</v>
      </c>
      <c r="D5307">
        <v>85.741358789344673</v>
      </c>
      <c r="E5307" t="s">
        <v>93</v>
      </c>
      <c r="F5307">
        <v>246</v>
      </c>
      <c r="G5307" s="4">
        <v>46087.603310185186</v>
      </c>
    </row>
    <row r="5308" spans="1:7" x14ac:dyDescent="0.3">
      <c r="A5308">
        <v>17237</v>
      </c>
      <c r="B5308" t="s">
        <v>149</v>
      </c>
      <c r="C5308">
        <v>51030869</v>
      </c>
      <c r="D5308">
        <v>48.580457648366114</v>
      </c>
      <c r="E5308" t="s">
        <v>94</v>
      </c>
      <c r="F5308">
        <v>785</v>
      </c>
      <c r="G5308" s="4">
        <v>46087.603310185186</v>
      </c>
    </row>
    <row r="5309" spans="1:7" x14ac:dyDescent="0.3">
      <c r="A5309">
        <v>17238</v>
      </c>
      <c r="B5309" t="s">
        <v>149</v>
      </c>
      <c r="C5309">
        <v>51031113</v>
      </c>
      <c r="D5309">
        <v>97.748876041656359</v>
      </c>
      <c r="E5309" t="s">
        <v>275</v>
      </c>
      <c r="F5309">
        <v>31</v>
      </c>
      <c r="G5309" s="4">
        <v>46087.603310185186</v>
      </c>
    </row>
    <row r="5310" spans="1:7" x14ac:dyDescent="0.3">
      <c r="A5310">
        <v>17239</v>
      </c>
      <c r="B5310" t="s">
        <v>149</v>
      </c>
      <c r="C5310">
        <v>51033329</v>
      </c>
      <c r="D5310">
        <v>82.874281738958345</v>
      </c>
      <c r="E5310" t="s">
        <v>93</v>
      </c>
      <c r="F5310">
        <v>335</v>
      </c>
      <c r="G5310" s="4">
        <v>46087.603310185186</v>
      </c>
    </row>
    <row r="5311" spans="1:7" x14ac:dyDescent="0.3">
      <c r="A5311">
        <v>17240</v>
      </c>
      <c r="B5311" t="s">
        <v>149</v>
      </c>
      <c r="C5311">
        <v>51042905</v>
      </c>
      <c r="D5311">
        <v>56.59308510516</v>
      </c>
      <c r="E5311" t="s">
        <v>94</v>
      </c>
      <c r="F5311">
        <v>719</v>
      </c>
      <c r="G5311" s="4">
        <v>46087.603310185186</v>
      </c>
    </row>
    <row r="5312" spans="1:7" x14ac:dyDescent="0.3">
      <c r="A5312">
        <v>17241</v>
      </c>
      <c r="B5312" t="s">
        <v>149</v>
      </c>
      <c r="C5312">
        <v>51010833</v>
      </c>
      <c r="D5312">
        <v>48.999091957788835</v>
      </c>
      <c r="E5312" t="s">
        <v>94</v>
      </c>
      <c r="F5312">
        <v>780</v>
      </c>
      <c r="G5312" s="4">
        <v>46087.603310185186</v>
      </c>
    </row>
    <row r="5313" spans="1:7" x14ac:dyDescent="0.3">
      <c r="A5313">
        <v>17242</v>
      </c>
      <c r="B5313" t="s">
        <v>149</v>
      </c>
      <c r="C5313">
        <v>51042956</v>
      </c>
      <c r="D5313">
        <v>87.792085854436095</v>
      </c>
      <c r="E5313" t="s">
        <v>92</v>
      </c>
      <c r="F5313">
        <v>185</v>
      </c>
      <c r="G5313" s="4">
        <v>46087.603310185186</v>
      </c>
    </row>
    <row r="5314" spans="1:7" x14ac:dyDescent="0.3">
      <c r="A5314">
        <v>17243</v>
      </c>
      <c r="B5314" t="s">
        <v>149</v>
      </c>
      <c r="C5314">
        <v>51039645</v>
      </c>
      <c r="D5314">
        <v>89.652681985077706</v>
      </c>
      <c r="E5314" t="s">
        <v>92</v>
      </c>
      <c r="F5314">
        <v>137</v>
      </c>
      <c r="G5314" s="4">
        <v>46087.603310185186</v>
      </c>
    </row>
    <row r="5315" spans="1:7" x14ac:dyDescent="0.3">
      <c r="A5315">
        <v>17244</v>
      </c>
      <c r="B5315" t="s">
        <v>149</v>
      </c>
      <c r="C5315">
        <v>51021622</v>
      </c>
      <c r="D5315">
        <v>61.876340779293479</v>
      </c>
      <c r="E5315" t="s">
        <v>94</v>
      </c>
      <c r="F5315">
        <v>614</v>
      </c>
      <c r="G5315" s="4">
        <v>46087.603310185186</v>
      </c>
    </row>
    <row r="5316" spans="1:7" x14ac:dyDescent="0.3">
      <c r="A5316">
        <v>17245</v>
      </c>
      <c r="B5316" t="s">
        <v>149</v>
      </c>
      <c r="C5316">
        <v>51031491</v>
      </c>
      <c r="D5316">
        <v>88.651210142818144</v>
      </c>
      <c r="E5316" t="s">
        <v>92</v>
      </c>
      <c r="F5316">
        <v>159</v>
      </c>
      <c r="G5316" s="4">
        <v>46087.603310185186</v>
      </c>
    </row>
    <row r="5317" spans="1:7" x14ac:dyDescent="0.3">
      <c r="A5317">
        <v>17246</v>
      </c>
      <c r="B5317" t="s">
        <v>149</v>
      </c>
      <c r="C5317">
        <v>51020162</v>
      </c>
      <c r="D5317">
        <v>38.94083931602183</v>
      </c>
      <c r="E5317" t="s">
        <v>94</v>
      </c>
      <c r="F5317">
        <v>847</v>
      </c>
      <c r="G5317" s="4">
        <v>46087.603310185186</v>
      </c>
    </row>
    <row r="5318" spans="1:7" x14ac:dyDescent="0.3">
      <c r="A5318">
        <v>17247</v>
      </c>
      <c r="B5318" t="s">
        <v>149</v>
      </c>
      <c r="C5318">
        <v>51017056</v>
      </c>
      <c r="D5318">
        <v>30.698</v>
      </c>
      <c r="E5318" t="s">
        <v>94</v>
      </c>
      <c r="F5318">
        <v>904</v>
      </c>
      <c r="G5318" s="4">
        <v>46087.603310185186</v>
      </c>
    </row>
    <row r="5319" spans="1:7" x14ac:dyDescent="0.3">
      <c r="A5319">
        <v>17248</v>
      </c>
      <c r="B5319" t="s">
        <v>149</v>
      </c>
      <c r="C5319">
        <v>51056019</v>
      </c>
      <c r="D5319">
        <v>44.016379886609329</v>
      </c>
      <c r="E5319" t="s">
        <v>94</v>
      </c>
      <c r="F5319">
        <v>829</v>
      </c>
      <c r="G5319" s="4">
        <v>46087.603310185186</v>
      </c>
    </row>
    <row r="5320" spans="1:7" x14ac:dyDescent="0.3">
      <c r="A5320">
        <v>17249</v>
      </c>
      <c r="B5320" t="s">
        <v>149</v>
      </c>
      <c r="C5320">
        <v>51017579</v>
      </c>
      <c r="D5320">
        <v>73.097865066825506</v>
      </c>
      <c r="E5320" t="s">
        <v>93</v>
      </c>
      <c r="F5320">
        <v>510</v>
      </c>
      <c r="G5320" s="4">
        <v>46087.603310185186</v>
      </c>
    </row>
    <row r="5321" spans="1:7" x14ac:dyDescent="0.3">
      <c r="A5321">
        <v>17250</v>
      </c>
      <c r="B5321" t="s">
        <v>149</v>
      </c>
      <c r="C5321">
        <v>51015487</v>
      </c>
      <c r="D5321">
        <v>61.026663543852841</v>
      </c>
      <c r="E5321" t="s">
        <v>94</v>
      </c>
      <c r="F5321">
        <v>631</v>
      </c>
      <c r="G5321" s="4">
        <v>46087.603310185186</v>
      </c>
    </row>
    <row r="5322" spans="1:7" x14ac:dyDescent="0.3">
      <c r="A5322">
        <v>17251</v>
      </c>
      <c r="B5322" t="s">
        <v>149</v>
      </c>
      <c r="C5322">
        <v>51040333</v>
      </c>
      <c r="D5322">
        <v>77.470209242736431</v>
      </c>
      <c r="E5322" t="s">
        <v>93</v>
      </c>
      <c r="F5322">
        <v>458</v>
      </c>
      <c r="G5322" s="4">
        <v>46087.603310185186</v>
      </c>
    </row>
    <row r="5323" spans="1:7" x14ac:dyDescent="0.3">
      <c r="A5323">
        <v>17252</v>
      </c>
      <c r="B5323" t="s">
        <v>149</v>
      </c>
      <c r="C5323">
        <v>51017153</v>
      </c>
      <c r="D5323">
        <v>70.079461567892736</v>
      </c>
      <c r="E5323" t="s">
        <v>93</v>
      </c>
      <c r="F5323">
        <v>541</v>
      </c>
      <c r="G5323" s="4">
        <v>46087.603310185186</v>
      </c>
    </row>
    <row r="5324" spans="1:7" x14ac:dyDescent="0.3">
      <c r="A5324">
        <v>17253</v>
      </c>
      <c r="B5324" t="s">
        <v>149</v>
      </c>
      <c r="C5324">
        <v>51021886</v>
      </c>
      <c r="D5324">
        <v>54.79934510961035</v>
      </c>
      <c r="E5324" t="s">
        <v>94</v>
      </c>
      <c r="F5324">
        <v>738</v>
      </c>
      <c r="G5324" s="4">
        <v>46087.603310185186</v>
      </c>
    </row>
    <row r="5325" spans="1:7" x14ac:dyDescent="0.3">
      <c r="A5325">
        <v>17254</v>
      </c>
      <c r="B5325" t="s">
        <v>149</v>
      </c>
      <c r="C5325">
        <v>51023188</v>
      </c>
      <c r="D5325">
        <v>95.458970423237275</v>
      </c>
      <c r="E5325" t="s">
        <v>275</v>
      </c>
      <c r="F5325">
        <v>57</v>
      </c>
      <c r="G5325" s="4">
        <v>46087.603310185186</v>
      </c>
    </row>
    <row r="5326" spans="1:7" x14ac:dyDescent="0.3">
      <c r="A5326">
        <v>17255</v>
      </c>
      <c r="B5326" t="s">
        <v>149</v>
      </c>
      <c r="C5326">
        <v>51055667</v>
      </c>
      <c r="D5326">
        <v>28.287077218323706</v>
      </c>
      <c r="E5326" t="s">
        <v>94</v>
      </c>
      <c r="F5326">
        <v>926</v>
      </c>
      <c r="G5326" s="4">
        <v>46087.603310185186</v>
      </c>
    </row>
    <row r="5327" spans="1:7" x14ac:dyDescent="0.3">
      <c r="A5327">
        <v>17256</v>
      </c>
      <c r="B5327" t="s">
        <v>149</v>
      </c>
      <c r="C5327">
        <v>51020081</v>
      </c>
      <c r="D5327">
        <v>87.615677373957169</v>
      </c>
      <c r="E5327" t="s">
        <v>92</v>
      </c>
      <c r="F5327">
        <v>193</v>
      </c>
      <c r="G5327" s="4">
        <v>46087.603310185186</v>
      </c>
    </row>
    <row r="5328" spans="1:7" x14ac:dyDescent="0.3">
      <c r="A5328">
        <v>17257</v>
      </c>
      <c r="B5328" t="s">
        <v>149</v>
      </c>
      <c r="C5328">
        <v>51018729</v>
      </c>
      <c r="D5328">
        <v>86.213003942677602</v>
      </c>
      <c r="E5328" t="s">
        <v>92</v>
      </c>
      <c r="F5328">
        <v>231</v>
      </c>
      <c r="G5328" s="4">
        <v>46087.603310185186</v>
      </c>
    </row>
    <row r="5329" spans="1:7" x14ac:dyDescent="0.3">
      <c r="A5329">
        <v>17258</v>
      </c>
      <c r="B5329" t="s">
        <v>149</v>
      </c>
      <c r="C5329">
        <v>51030222</v>
      </c>
      <c r="D5329">
        <v>44.910090265296418</v>
      </c>
      <c r="E5329" t="s">
        <v>94</v>
      </c>
      <c r="F5329">
        <v>823</v>
      </c>
      <c r="G5329" s="4">
        <v>46087.603310185186</v>
      </c>
    </row>
    <row r="5330" spans="1:7" x14ac:dyDescent="0.3">
      <c r="A5330">
        <v>17259</v>
      </c>
      <c r="B5330" t="s">
        <v>149</v>
      </c>
      <c r="C5330">
        <v>51002717</v>
      </c>
      <c r="D5330">
        <v>31.252405330070104</v>
      </c>
      <c r="E5330" t="s">
        <v>94</v>
      </c>
      <c r="F5330">
        <v>897</v>
      </c>
      <c r="G5330" s="4">
        <v>46087.603310185186</v>
      </c>
    </row>
    <row r="5331" spans="1:7" x14ac:dyDescent="0.3">
      <c r="A5331">
        <v>17260</v>
      </c>
      <c r="B5331" t="s">
        <v>149</v>
      </c>
      <c r="C5331">
        <v>51055454</v>
      </c>
      <c r="D5331">
        <v>30.609198368121284</v>
      </c>
      <c r="E5331" t="s">
        <v>94</v>
      </c>
      <c r="F5331">
        <v>905</v>
      </c>
      <c r="G5331" s="4">
        <v>46087.603310185186</v>
      </c>
    </row>
    <row r="5332" spans="1:7" x14ac:dyDescent="0.3">
      <c r="A5332">
        <v>17261</v>
      </c>
      <c r="B5332" t="s">
        <v>149</v>
      </c>
      <c r="C5332">
        <v>51055756</v>
      </c>
      <c r="D5332">
        <v>97.911818163802408</v>
      </c>
      <c r="E5332" t="s">
        <v>275</v>
      </c>
      <c r="F5332">
        <v>29</v>
      </c>
      <c r="G5332" s="4">
        <v>46087.603310185186</v>
      </c>
    </row>
    <row r="5333" spans="1:7" x14ac:dyDescent="0.3">
      <c r="A5333">
        <v>17262</v>
      </c>
      <c r="B5333" t="s">
        <v>149</v>
      </c>
      <c r="C5333">
        <v>51011490</v>
      </c>
      <c r="D5333">
        <v>80.726739393465749</v>
      </c>
      <c r="E5333" t="s">
        <v>93</v>
      </c>
      <c r="F5333">
        <v>399</v>
      </c>
      <c r="G5333" s="4">
        <v>46087.603310185186</v>
      </c>
    </row>
    <row r="5334" spans="1:7" x14ac:dyDescent="0.3">
      <c r="A5334">
        <v>17263</v>
      </c>
      <c r="B5334" t="s">
        <v>149</v>
      </c>
      <c r="C5334">
        <v>51010736</v>
      </c>
      <c r="D5334">
        <v>92.471461828230659</v>
      </c>
      <c r="E5334" t="s">
        <v>92</v>
      </c>
      <c r="F5334">
        <v>95</v>
      </c>
      <c r="G5334" s="4">
        <v>46087.603310185186</v>
      </c>
    </row>
    <row r="5335" spans="1:7" x14ac:dyDescent="0.3">
      <c r="A5335">
        <v>17264</v>
      </c>
      <c r="B5335" t="s">
        <v>149</v>
      </c>
      <c r="C5335">
        <v>51016149</v>
      </c>
      <c r="D5335">
        <v>64.214705003643473</v>
      </c>
      <c r="E5335" t="s">
        <v>93</v>
      </c>
      <c r="F5335">
        <v>580</v>
      </c>
      <c r="G5335" s="4">
        <v>46087.603310185186</v>
      </c>
    </row>
    <row r="5336" spans="1:7" x14ac:dyDescent="0.3">
      <c r="A5336">
        <v>17265</v>
      </c>
      <c r="B5336" t="s">
        <v>149</v>
      </c>
      <c r="C5336">
        <v>51013930</v>
      </c>
      <c r="D5336">
        <v>61.876010512085578</v>
      </c>
      <c r="E5336" t="s">
        <v>94</v>
      </c>
      <c r="F5336">
        <v>615</v>
      </c>
      <c r="G5336" s="4">
        <v>46087.603310185186</v>
      </c>
    </row>
    <row r="5337" spans="1:7" x14ac:dyDescent="0.3">
      <c r="A5337">
        <v>17266</v>
      </c>
      <c r="B5337" t="s">
        <v>149</v>
      </c>
      <c r="C5337">
        <v>51055641</v>
      </c>
      <c r="D5337">
        <v>47.886428118596655</v>
      </c>
      <c r="E5337" t="s">
        <v>94</v>
      </c>
      <c r="F5337">
        <v>792</v>
      </c>
      <c r="G5337" s="4">
        <v>46087.603310185186</v>
      </c>
    </row>
    <row r="5338" spans="1:7" x14ac:dyDescent="0.3">
      <c r="A5338">
        <v>17267</v>
      </c>
      <c r="B5338" t="s">
        <v>149</v>
      </c>
      <c r="C5338">
        <v>51021461</v>
      </c>
      <c r="D5338">
        <v>100</v>
      </c>
      <c r="E5338" t="s">
        <v>275</v>
      </c>
      <c r="F5338">
        <v>1</v>
      </c>
      <c r="G5338" s="4">
        <v>46087.603310185186</v>
      </c>
    </row>
    <row r="5339" spans="1:7" x14ac:dyDescent="0.3">
      <c r="A5339">
        <v>17268</v>
      </c>
      <c r="B5339" t="s">
        <v>149</v>
      </c>
      <c r="C5339">
        <v>51039637</v>
      </c>
      <c r="D5339">
        <v>88.318864963170981</v>
      </c>
      <c r="E5339" t="s">
        <v>92</v>
      </c>
      <c r="F5339">
        <v>169</v>
      </c>
      <c r="G5339" s="4">
        <v>46087.603310185186</v>
      </c>
    </row>
    <row r="5340" spans="1:7" x14ac:dyDescent="0.3">
      <c r="A5340">
        <v>17269</v>
      </c>
      <c r="B5340" t="s">
        <v>149</v>
      </c>
      <c r="C5340">
        <v>51020308</v>
      </c>
      <c r="D5340">
        <v>72.939833691688776</v>
      </c>
      <c r="E5340" t="s">
        <v>93</v>
      </c>
      <c r="F5340">
        <v>513</v>
      </c>
      <c r="G5340" s="4">
        <v>46087.603310185186</v>
      </c>
    </row>
    <row r="5341" spans="1:7" x14ac:dyDescent="0.3">
      <c r="A5341">
        <v>17270</v>
      </c>
      <c r="B5341" t="s">
        <v>149</v>
      </c>
      <c r="C5341">
        <v>51040597</v>
      </c>
      <c r="D5341">
        <v>58.112912102276866</v>
      </c>
      <c r="E5341" t="s">
        <v>94</v>
      </c>
      <c r="F5341">
        <v>684</v>
      </c>
      <c r="G5341" s="4">
        <v>46087.603310185186</v>
      </c>
    </row>
    <row r="5342" spans="1:7" x14ac:dyDescent="0.3">
      <c r="A5342">
        <v>17271</v>
      </c>
      <c r="B5342" t="s">
        <v>149</v>
      </c>
      <c r="C5342">
        <v>51014197</v>
      </c>
      <c r="D5342">
        <v>58.277827635456056</v>
      </c>
      <c r="E5342" t="s">
        <v>94</v>
      </c>
      <c r="F5342">
        <v>677</v>
      </c>
      <c r="G5342" s="4">
        <v>46087.603310185186</v>
      </c>
    </row>
    <row r="5343" spans="1:7" x14ac:dyDescent="0.3">
      <c r="A5343">
        <v>17272</v>
      </c>
      <c r="B5343" t="s">
        <v>149</v>
      </c>
      <c r="C5343">
        <v>51056621</v>
      </c>
      <c r="D5343">
        <v>81.811947028083978</v>
      </c>
      <c r="E5343" t="s">
        <v>93</v>
      </c>
      <c r="F5343">
        <v>374</v>
      </c>
      <c r="G5343" s="4">
        <v>46087.603310185186</v>
      </c>
    </row>
    <row r="5344" spans="1:7" x14ac:dyDescent="0.3">
      <c r="A5344">
        <v>17273</v>
      </c>
      <c r="B5344" t="s">
        <v>149</v>
      </c>
      <c r="C5344">
        <v>51018524</v>
      </c>
      <c r="D5344">
        <v>87.043931078850491</v>
      </c>
      <c r="E5344" t="s">
        <v>92</v>
      </c>
      <c r="F5344">
        <v>200</v>
      </c>
      <c r="G5344" s="4">
        <v>46087.603310185186</v>
      </c>
    </row>
    <row r="5345" spans="1:7" x14ac:dyDescent="0.3">
      <c r="A5345">
        <v>17274</v>
      </c>
      <c r="B5345" t="s">
        <v>149</v>
      </c>
      <c r="C5345">
        <v>51056701</v>
      </c>
      <c r="D5345">
        <v>47.682616669275497</v>
      </c>
      <c r="E5345" t="s">
        <v>94</v>
      </c>
      <c r="F5345">
        <v>794</v>
      </c>
      <c r="G5345" s="4">
        <v>46087.603310185186</v>
      </c>
    </row>
    <row r="5346" spans="1:7" x14ac:dyDescent="0.3">
      <c r="A5346">
        <v>17275</v>
      </c>
      <c r="B5346" t="s">
        <v>149</v>
      </c>
      <c r="C5346">
        <v>51057007</v>
      </c>
      <c r="D5346">
        <v>50.652125922933578</v>
      </c>
      <c r="E5346" t="s">
        <v>94</v>
      </c>
      <c r="F5346">
        <v>765</v>
      </c>
      <c r="G5346" s="4">
        <v>46087.603310185186</v>
      </c>
    </row>
    <row r="5347" spans="1:7" x14ac:dyDescent="0.3">
      <c r="A5347">
        <v>17276</v>
      </c>
      <c r="B5347" t="s">
        <v>149</v>
      </c>
      <c r="C5347">
        <v>51011091</v>
      </c>
      <c r="D5347">
        <v>60.43925546961831</v>
      </c>
      <c r="E5347" t="s">
        <v>94</v>
      </c>
      <c r="F5347">
        <v>642</v>
      </c>
      <c r="G5347" s="4">
        <v>46087.603310185186</v>
      </c>
    </row>
    <row r="5348" spans="1:7" x14ac:dyDescent="0.3">
      <c r="A5348">
        <v>17277</v>
      </c>
      <c r="B5348" t="s">
        <v>149</v>
      </c>
      <c r="C5348">
        <v>51011953</v>
      </c>
      <c r="D5348">
        <v>23.184401324645481</v>
      </c>
      <c r="E5348" t="s">
        <v>94</v>
      </c>
      <c r="F5348">
        <v>952</v>
      </c>
      <c r="G5348" s="4">
        <v>46087.603310185186</v>
      </c>
    </row>
    <row r="5349" spans="1:7" x14ac:dyDescent="0.3">
      <c r="A5349">
        <v>17278</v>
      </c>
      <c r="B5349" t="s">
        <v>149</v>
      </c>
      <c r="C5349">
        <v>51022955</v>
      </c>
      <c r="D5349">
        <v>70.570040925637869</v>
      </c>
      <c r="E5349" t="s">
        <v>93</v>
      </c>
      <c r="F5349">
        <v>535</v>
      </c>
      <c r="G5349" s="4">
        <v>46087.603310185186</v>
      </c>
    </row>
    <row r="5350" spans="1:7" x14ac:dyDescent="0.3">
      <c r="A5350">
        <v>17279</v>
      </c>
      <c r="B5350" t="s">
        <v>149</v>
      </c>
      <c r="C5350">
        <v>51021673</v>
      </c>
      <c r="D5350">
        <v>22.323</v>
      </c>
      <c r="E5350" t="s">
        <v>95</v>
      </c>
      <c r="F5350">
        <v>961</v>
      </c>
      <c r="G5350" s="4">
        <v>46087.603310185186</v>
      </c>
    </row>
    <row r="5351" spans="1:7" x14ac:dyDescent="0.3">
      <c r="A5351">
        <v>17280</v>
      </c>
      <c r="B5351" t="s">
        <v>149</v>
      </c>
      <c r="C5351">
        <v>51013476</v>
      </c>
      <c r="D5351">
        <v>80.707771435578934</v>
      </c>
      <c r="E5351" t="s">
        <v>93</v>
      </c>
      <c r="F5351">
        <v>400</v>
      </c>
      <c r="G5351" s="4">
        <v>46087.603310185186</v>
      </c>
    </row>
    <row r="5352" spans="1:7" x14ac:dyDescent="0.3">
      <c r="A5352">
        <v>17281</v>
      </c>
      <c r="B5352" t="s">
        <v>149</v>
      </c>
      <c r="C5352">
        <v>51022998</v>
      </c>
      <c r="D5352">
        <v>96.547266129111904</v>
      </c>
      <c r="E5352" t="s">
        <v>275</v>
      </c>
      <c r="F5352">
        <v>47</v>
      </c>
      <c r="G5352" s="4">
        <v>46087.603310185186</v>
      </c>
    </row>
    <row r="5353" spans="1:7" x14ac:dyDescent="0.3">
      <c r="A5353">
        <v>17282</v>
      </c>
      <c r="B5353" t="s">
        <v>149</v>
      </c>
      <c r="C5353">
        <v>51056485</v>
      </c>
      <c r="D5353">
        <v>59.570096484536961</v>
      </c>
      <c r="E5353" t="s">
        <v>94</v>
      </c>
      <c r="F5353">
        <v>656</v>
      </c>
      <c r="G5353" s="4">
        <v>46087.603310185186</v>
      </c>
    </row>
    <row r="5354" spans="1:7" x14ac:dyDescent="0.3">
      <c r="A5354">
        <v>17283</v>
      </c>
      <c r="B5354" t="s">
        <v>149</v>
      </c>
      <c r="C5354">
        <v>51055705</v>
      </c>
      <c r="D5354">
        <v>92.781763887541501</v>
      </c>
      <c r="E5354" t="s">
        <v>92</v>
      </c>
      <c r="F5354">
        <v>91</v>
      </c>
      <c r="G5354" s="4">
        <v>46087.603310185186</v>
      </c>
    </row>
    <row r="5355" spans="1:7" x14ac:dyDescent="0.3">
      <c r="A5355">
        <v>17284</v>
      </c>
      <c r="B5355" t="s">
        <v>149</v>
      </c>
      <c r="C5355">
        <v>51041798</v>
      </c>
      <c r="D5355">
        <v>37.218994908666382</v>
      </c>
      <c r="E5355" t="s">
        <v>94</v>
      </c>
      <c r="F5355">
        <v>857</v>
      </c>
      <c r="G5355" s="4">
        <v>46087.603310185186</v>
      </c>
    </row>
    <row r="5356" spans="1:7" x14ac:dyDescent="0.3">
      <c r="A5356">
        <v>17285</v>
      </c>
      <c r="B5356" t="s">
        <v>149</v>
      </c>
      <c r="C5356">
        <v>51020600</v>
      </c>
      <c r="D5356">
        <v>58.557845776948248</v>
      </c>
      <c r="E5356" t="s">
        <v>94</v>
      </c>
      <c r="F5356">
        <v>673</v>
      </c>
      <c r="G5356" s="4">
        <v>46087.603310185186</v>
      </c>
    </row>
    <row r="5357" spans="1:7" x14ac:dyDescent="0.3">
      <c r="A5357">
        <v>17286</v>
      </c>
      <c r="B5357" t="s">
        <v>149</v>
      </c>
      <c r="C5357">
        <v>51033795</v>
      </c>
      <c r="D5357">
        <v>43.379750629675726</v>
      </c>
      <c r="E5357" t="s">
        <v>94</v>
      </c>
      <c r="F5357">
        <v>833</v>
      </c>
      <c r="G5357" s="4">
        <v>46087.603310185186</v>
      </c>
    </row>
    <row r="5358" spans="1:7" x14ac:dyDescent="0.3">
      <c r="A5358">
        <v>17287</v>
      </c>
      <c r="B5358" t="s">
        <v>149</v>
      </c>
      <c r="C5358">
        <v>51030419</v>
      </c>
      <c r="D5358">
        <v>75.81617508076701</v>
      </c>
      <c r="E5358" t="s">
        <v>93</v>
      </c>
      <c r="F5358">
        <v>484</v>
      </c>
      <c r="G5358" s="4">
        <v>46087.603310185186</v>
      </c>
    </row>
    <row r="5359" spans="1:7" x14ac:dyDescent="0.3">
      <c r="A5359">
        <v>17288</v>
      </c>
      <c r="B5359" t="s">
        <v>149</v>
      </c>
      <c r="C5359">
        <v>51038819</v>
      </c>
      <c r="D5359">
        <v>79.801999836021039</v>
      </c>
      <c r="E5359" t="s">
        <v>93</v>
      </c>
      <c r="F5359">
        <v>424</v>
      </c>
      <c r="G5359" s="4">
        <v>46087.603310185186</v>
      </c>
    </row>
    <row r="5360" spans="1:7" x14ac:dyDescent="0.3">
      <c r="A5360">
        <v>17289</v>
      </c>
      <c r="B5360" t="s">
        <v>149</v>
      </c>
      <c r="C5360">
        <v>51021851</v>
      </c>
      <c r="D5360">
        <v>89.283673078597033</v>
      </c>
      <c r="E5360" t="s">
        <v>92</v>
      </c>
      <c r="F5360">
        <v>145</v>
      </c>
      <c r="G5360" s="4">
        <v>46087.603310185186</v>
      </c>
    </row>
    <row r="5361" spans="1:7" x14ac:dyDescent="0.3">
      <c r="A5361">
        <v>17290</v>
      </c>
      <c r="B5361" t="s">
        <v>149</v>
      </c>
      <c r="C5361">
        <v>51004086</v>
      </c>
      <c r="D5361">
        <v>28.688000000000006</v>
      </c>
      <c r="E5361" t="s">
        <v>94</v>
      </c>
      <c r="F5361">
        <v>920</v>
      </c>
      <c r="G5361" s="4">
        <v>46087.603310185186</v>
      </c>
    </row>
    <row r="5362" spans="1:7" x14ac:dyDescent="0.3">
      <c r="A5362">
        <v>17291</v>
      </c>
      <c r="B5362" t="s">
        <v>149</v>
      </c>
      <c r="C5362">
        <v>51017111</v>
      </c>
      <c r="D5362">
        <v>77.563190363945978</v>
      </c>
      <c r="E5362" t="s">
        <v>93</v>
      </c>
      <c r="F5362">
        <v>456</v>
      </c>
      <c r="G5362" s="4">
        <v>46087.603310185186</v>
      </c>
    </row>
    <row r="5363" spans="1:7" x14ac:dyDescent="0.3">
      <c r="A5363">
        <v>17292</v>
      </c>
      <c r="B5363" t="s">
        <v>149</v>
      </c>
      <c r="C5363">
        <v>51022106</v>
      </c>
      <c r="D5363">
        <v>50.012030590087186</v>
      </c>
      <c r="E5363" t="s">
        <v>94</v>
      </c>
      <c r="F5363">
        <v>770</v>
      </c>
      <c r="G5363" s="4">
        <v>46087.603310185186</v>
      </c>
    </row>
    <row r="5364" spans="1:7" x14ac:dyDescent="0.3">
      <c r="A5364">
        <v>17293</v>
      </c>
      <c r="B5364" t="s">
        <v>149</v>
      </c>
      <c r="C5364">
        <v>51056205</v>
      </c>
      <c r="D5364">
        <v>81.402637640781521</v>
      </c>
      <c r="E5364" t="s">
        <v>93</v>
      </c>
      <c r="F5364">
        <v>386</v>
      </c>
      <c r="G5364" s="4">
        <v>46087.603310185186</v>
      </c>
    </row>
    <row r="5365" spans="1:7" x14ac:dyDescent="0.3">
      <c r="A5365">
        <v>17294</v>
      </c>
      <c r="B5365" t="s">
        <v>149</v>
      </c>
      <c r="C5365">
        <v>51055870</v>
      </c>
      <c r="D5365">
        <v>86.239512551405596</v>
      </c>
      <c r="E5365" t="s">
        <v>92</v>
      </c>
      <c r="F5365">
        <v>229</v>
      </c>
      <c r="G5365" s="4">
        <v>46087.603310185186</v>
      </c>
    </row>
    <row r="5366" spans="1:7" x14ac:dyDescent="0.3">
      <c r="A5366">
        <v>17295</v>
      </c>
      <c r="B5366" t="s">
        <v>149</v>
      </c>
      <c r="C5366">
        <v>51017226</v>
      </c>
      <c r="D5366">
        <v>37.864260511111965</v>
      </c>
      <c r="E5366" t="s">
        <v>94</v>
      </c>
      <c r="F5366">
        <v>854</v>
      </c>
      <c r="G5366" s="4">
        <v>46087.603310185186</v>
      </c>
    </row>
    <row r="5367" spans="1:7" x14ac:dyDescent="0.3">
      <c r="A5367">
        <v>17296</v>
      </c>
      <c r="B5367" t="s">
        <v>149</v>
      </c>
      <c r="C5367">
        <v>51056965</v>
      </c>
      <c r="D5367">
        <v>21.76698700386163</v>
      </c>
      <c r="E5367" t="s">
        <v>95</v>
      </c>
      <c r="F5367">
        <v>968</v>
      </c>
      <c r="G5367" s="4">
        <v>46087.603310185186</v>
      </c>
    </row>
    <row r="5368" spans="1:7" x14ac:dyDescent="0.3">
      <c r="A5368">
        <v>17297</v>
      </c>
      <c r="B5368" t="s">
        <v>149</v>
      </c>
      <c r="C5368">
        <v>51033671</v>
      </c>
      <c r="D5368">
        <v>57.931812295817622</v>
      </c>
      <c r="E5368" t="s">
        <v>94</v>
      </c>
      <c r="F5368">
        <v>688</v>
      </c>
      <c r="G5368" s="4">
        <v>46087.603310185186</v>
      </c>
    </row>
    <row r="5369" spans="1:7" x14ac:dyDescent="0.3">
      <c r="A5369">
        <v>17298</v>
      </c>
      <c r="B5369" t="s">
        <v>149</v>
      </c>
      <c r="C5369">
        <v>51038797</v>
      </c>
      <c r="D5369">
        <v>91.133420769565717</v>
      </c>
      <c r="E5369" t="s">
        <v>92</v>
      </c>
      <c r="F5369">
        <v>117</v>
      </c>
      <c r="G5369" s="4">
        <v>46087.603310185186</v>
      </c>
    </row>
    <row r="5370" spans="1:7" x14ac:dyDescent="0.3">
      <c r="A5370">
        <v>17299</v>
      </c>
      <c r="B5370" t="s">
        <v>149</v>
      </c>
      <c r="C5370">
        <v>51013492</v>
      </c>
      <c r="D5370">
        <v>52.948447257100973</v>
      </c>
      <c r="E5370" t="s">
        <v>94</v>
      </c>
      <c r="F5370">
        <v>751</v>
      </c>
      <c r="G5370" s="4">
        <v>46087.603310185186</v>
      </c>
    </row>
    <row r="5371" spans="1:7" x14ac:dyDescent="0.3">
      <c r="A5371">
        <v>17300</v>
      </c>
      <c r="B5371" t="s">
        <v>149</v>
      </c>
      <c r="C5371">
        <v>51019415</v>
      </c>
      <c r="D5371">
        <v>57.061186332715394</v>
      </c>
      <c r="E5371" t="s">
        <v>94</v>
      </c>
      <c r="F5371">
        <v>712</v>
      </c>
      <c r="G5371" s="4">
        <v>46087.603310185186</v>
      </c>
    </row>
    <row r="5372" spans="1:7" x14ac:dyDescent="0.3">
      <c r="A5372">
        <v>17301</v>
      </c>
      <c r="B5372" t="s">
        <v>149</v>
      </c>
      <c r="C5372">
        <v>51036107</v>
      </c>
      <c r="D5372">
        <v>18.051974932203048</v>
      </c>
      <c r="E5372" t="s">
        <v>95</v>
      </c>
      <c r="F5372">
        <v>1030</v>
      </c>
      <c r="G5372" s="4">
        <v>46087.603310185186</v>
      </c>
    </row>
    <row r="5373" spans="1:7" x14ac:dyDescent="0.3">
      <c r="A5373">
        <v>17302</v>
      </c>
      <c r="B5373" t="s">
        <v>149</v>
      </c>
      <c r="C5373">
        <v>51056990</v>
      </c>
      <c r="D5373">
        <v>83.207164545156814</v>
      </c>
      <c r="E5373" t="s">
        <v>93</v>
      </c>
      <c r="F5373">
        <v>323</v>
      </c>
      <c r="G5373" s="4">
        <v>46087.603310185186</v>
      </c>
    </row>
    <row r="5374" spans="1:7" x14ac:dyDescent="0.3">
      <c r="A5374">
        <v>17303</v>
      </c>
      <c r="B5374" t="s">
        <v>149</v>
      </c>
      <c r="C5374">
        <v>51025296</v>
      </c>
      <c r="D5374">
        <v>57.323843962991432</v>
      </c>
      <c r="E5374" t="s">
        <v>94</v>
      </c>
      <c r="F5374">
        <v>706</v>
      </c>
      <c r="G5374" s="4">
        <v>46087.603310185186</v>
      </c>
    </row>
    <row r="5375" spans="1:7" x14ac:dyDescent="0.3">
      <c r="A5375">
        <v>17304</v>
      </c>
      <c r="B5375" t="s">
        <v>149</v>
      </c>
      <c r="C5375">
        <v>51056639</v>
      </c>
      <c r="D5375">
        <v>37.232842140557253</v>
      </c>
      <c r="E5375" t="s">
        <v>94</v>
      </c>
      <c r="F5375">
        <v>856</v>
      </c>
      <c r="G5375" s="4">
        <v>46087.603310185186</v>
      </c>
    </row>
    <row r="5376" spans="1:7" x14ac:dyDescent="0.3">
      <c r="A5376">
        <v>17305</v>
      </c>
      <c r="B5376" t="s">
        <v>149</v>
      </c>
      <c r="C5376">
        <v>51015029</v>
      </c>
      <c r="D5376">
        <v>85.74697651975508</v>
      </c>
      <c r="E5376" t="s">
        <v>93</v>
      </c>
      <c r="F5376">
        <v>245</v>
      </c>
      <c r="G5376" s="4">
        <v>46087.603310185186</v>
      </c>
    </row>
    <row r="5377" spans="1:7" x14ac:dyDescent="0.3">
      <c r="A5377">
        <v>17306</v>
      </c>
      <c r="B5377" t="s">
        <v>149</v>
      </c>
      <c r="C5377">
        <v>51055730</v>
      </c>
      <c r="D5377">
        <v>58.503694244531701</v>
      </c>
      <c r="E5377" t="s">
        <v>94</v>
      </c>
      <c r="F5377">
        <v>674</v>
      </c>
      <c r="G5377" s="4">
        <v>46087.603310185186</v>
      </c>
    </row>
    <row r="5378" spans="1:7" x14ac:dyDescent="0.3">
      <c r="A5378">
        <v>17307</v>
      </c>
      <c r="B5378" t="s">
        <v>149</v>
      </c>
      <c r="C5378">
        <v>51018257</v>
      </c>
      <c r="D5378">
        <v>65.545395394838479</v>
      </c>
      <c r="E5378" t="s">
        <v>93</v>
      </c>
      <c r="F5378">
        <v>571</v>
      </c>
      <c r="G5378" s="4">
        <v>46087.603310185186</v>
      </c>
    </row>
    <row r="5379" spans="1:7" x14ac:dyDescent="0.3">
      <c r="A5379">
        <v>17308</v>
      </c>
      <c r="B5379" t="s">
        <v>149</v>
      </c>
      <c r="C5379">
        <v>51055845</v>
      </c>
      <c r="D5379">
        <v>89.027261031334703</v>
      </c>
      <c r="E5379" t="s">
        <v>92</v>
      </c>
      <c r="F5379">
        <v>151</v>
      </c>
      <c r="G5379" s="4">
        <v>46087.603310185186</v>
      </c>
    </row>
    <row r="5380" spans="1:7" x14ac:dyDescent="0.3">
      <c r="A5380">
        <v>17309</v>
      </c>
      <c r="B5380" t="s">
        <v>149</v>
      </c>
      <c r="C5380">
        <v>51028015</v>
      </c>
      <c r="D5380">
        <v>83.818753044891281</v>
      </c>
      <c r="E5380" t="s">
        <v>93</v>
      </c>
      <c r="F5380">
        <v>297</v>
      </c>
      <c r="G5380" s="4">
        <v>46087.603310185186</v>
      </c>
    </row>
    <row r="5381" spans="1:7" x14ac:dyDescent="0.3">
      <c r="A5381">
        <v>17310</v>
      </c>
      <c r="B5381" t="s">
        <v>149</v>
      </c>
      <c r="C5381">
        <v>51012887</v>
      </c>
      <c r="D5381">
        <v>76.433832384985891</v>
      </c>
      <c r="E5381" t="s">
        <v>93</v>
      </c>
      <c r="F5381">
        <v>476</v>
      </c>
      <c r="G5381" s="4">
        <v>46087.603310185186</v>
      </c>
    </row>
    <row r="5382" spans="1:7" x14ac:dyDescent="0.3">
      <c r="A5382">
        <v>17311</v>
      </c>
      <c r="B5382" t="s">
        <v>149</v>
      </c>
      <c r="C5382">
        <v>51010311</v>
      </c>
      <c r="D5382">
        <v>68.68293877424253</v>
      </c>
      <c r="E5382" t="s">
        <v>93</v>
      </c>
      <c r="F5382">
        <v>553</v>
      </c>
      <c r="G5382" s="4">
        <v>46087.603310185186</v>
      </c>
    </row>
    <row r="5383" spans="1:7" x14ac:dyDescent="0.3">
      <c r="A5383">
        <v>17312</v>
      </c>
      <c r="B5383" t="s">
        <v>149</v>
      </c>
      <c r="C5383">
        <v>51036638</v>
      </c>
      <c r="D5383">
        <v>50.513155768188881</v>
      </c>
      <c r="E5383" t="s">
        <v>94</v>
      </c>
      <c r="F5383">
        <v>767</v>
      </c>
      <c r="G5383" s="4">
        <v>46087.603310185186</v>
      </c>
    </row>
    <row r="5384" spans="1:7" x14ac:dyDescent="0.3">
      <c r="A5384">
        <v>17313</v>
      </c>
      <c r="B5384" t="s">
        <v>149</v>
      </c>
      <c r="C5384">
        <v>51033442</v>
      </c>
      <c r="D5384">
        <v>85.510455188927935</v>
      </c>
      <c r="E5384" t="s">
        <v>93</v>
      </c>
      <c r="F5384">
        <v>254</v>
      </c>
      <c r="G5384" s="4">
        <v>46087.603310185186</v>
      </c>
    </row>
    <row r="5385" spans="1:7" x14ac:dyDescent="0.3">
      <c r="A5385">
        <v>17314</v>
      </c>
      <c r="B5385" t="s">
        <v>149</v>
      </c>
      <c r="C5385">
        <v>51014774</v>
      </c>
      <c r="D5385">
        <v>80.277818192492333</v>
      </c>
      <c r="E5385" t="s">
        <v>93</v>
      </c>
      <c r="F5385">
        <v>413</v>
      </c>
      <c r="G5385" s="4">
        <v>46087.603310185186</v>
      </c>
    </row>
    <row r="5386" spans="1:7" x14ac:dyDescent="0.3">
      <c r="A5386">
        <v>17315</v>
      </c>
      <c r="B5386" t="s">
        <v>149</v>
      </c>
      <c r="C5386">
        <v>51043847</v>
      </c>
      <c r="D5386">
        <v>70.753787794441436</v>
      </c>
      <c r="E5386" t="s">
        <v>93</v>
      </c>
      <c r="F5386">
        <v>533</v>
      </c>
      <c r="G5386" s="4">
        <v>46087.603310185186</v>
      </c>
    </row>
    <row r="5387" spans="1:7" x14ac:dyDescent="0.3">
      <c r="A5387">
        <v>17316</v>
      </c>
      <c r="B5387" t="s">
        <v>149</v>
      </c>
      <c r="C5387">
        <v>51032381</v>
      </c>
      <c r="D5387">
        <v>76.687171053441318</v>
      </c>
      <c r="E5387" t="s">
        <v>93</v>
      </c>
      <c r="F5387">
        <v>472</v>
      </c>
      <c r="G5387" s="4">
        <v>46087.603310185186</v>
      </c>
    </row>
    <row r="5388" spans="1:7" x14ac:dyDescent="0.3">
      <c r="A5388">
        <v>17317</v>
      </c>
      <c r="B5388" t="s">
        <v>149</v>
      </c>
      <c r="C5388">
        <v>51018508</v>
      </c>
      <c r="D5388">
        <v>70.330737129669927</v>
      </c>
      <c r="E5388" t="s">
        <v>93</v>
      </c>
      <c r="F5388">
        <v>539</v>
      </c>
      <c r="G5388" s="4">
        <v>46087.603310185186</v>
      </c>
    </row>
    <row r="5389" spans="1:7" x14ac:dyDescent="0.3">
      <c r="A5389">
        <v>17318</v>
      </c>
      <c r="B5389" t="s">
        <v>149</v>
      </c>
      <c r="C5389">
        <v>51003616</v>
      </c>
      <c r="D5389">
        <v>86.506581673145334</v>
      </c>
      <c r="E5389" t="s">
        <v>92</v>
      </c>
      <c r="F5389">
        <v>215</v>
      </c>
      <c r="G5389" s="4">
        <v>46087.603310185186</v>
      </c>
    </row>
    <row r="5390" spans="1:7" x14ac:dyDescent="0.3">
      <c r="A5390">
        <v>17319</v>
      </c>
      <c r="B5390" t="s">
        <v>149</v>
      </c>
      <c r="C5390">
        <v>51038932</v>
      </c>
      <c r="D5390">
        <v>69.034666537917289</v>
      </c>
      <c r="E5390" t="s">
        <v>93</v>
      </c>
      <c r="F5390">
        <v>549</v>
      </c>
      <c r="G5390" s="4">
        <v>46087.603310185186</v>
      </c>
    </row>
    <row r="5391" spans="1:7" x14ac:dyDescent="0.3">
      <c r="A5391">
        <v>17320</v>
      </c>
      <c r="B5391" t="s">
        <v>149</v>
      </c>
      <c r="C5391">
        <v>51039211</v>
      </c>
      <c r="D5391">
        <v>30.885353380983972</v>
      </c>
      <c r="E5391" t="s">
        <v>94</v>
      </c>
      <c r="F5391">
        <v>903</v>
      </c>
      <c r="G5391" s="4">
        <v>46087.603310185186</v>
      </c>
    </row>
    <row r="5392" spans="1:7" x14ac:dyDescent="0.3">
      <c r="A5392">
        <v>17321</v>
      </c>
      <c r="B5392" t="s">
        <v>149</v>
      </c>
      <c r="C5392">
        <v>51018664</v>
      </c>
      <c r="D5392">
        <v>30.2</v>
      </c>
      <c r="E5392" t="s">
        <v>94</v>
      </c>
      <c r="F5392">
        <v>907</v>
      </c>
      <c r="G5392" s="4">
        <v>46087.603310185186</v>
      </c>
    </row>
    <row r="5393" spans="1:7" x14ac:dyDescent="0.3">
      <c r="A5393">
        <v>17322</v>
      </c>
      <c r="B5393" t="s">
        <v>149</v>
      </c>
      <c r="C5393">
        <v>51056671</v>
      </c>
      <c r="D5393">
        <v>97.26503056070375</v>
      </c>
      <c r="E5393" t="s">
        <v>275</v>
      </c>
      <c r="F5393">
        <v>39</v>
      </c>
      <c r="G5393" s="4">
        <v>46087.603310185186</v>
      </c>
    </row>
    <row r="5394" spans="1:7" x14ac:dyDescent="0.3">
      <c r="A5394">
        <v>17323</v>
      </c>
      <c r="B5394" t="s">
        <v>149</v>
      </c>
      <c r="C5394">
        <v>51055462</v>
      </c>
      <c r="D5394">
        <v>91.661423182395453</v>
      </c>
      <c r="E5394" t="s">
        <v>92</v>
      </c>
      <c r="F5394">
        <v>106</v>
      </c>
      <c r="G5394" s="4">
        <v>46087.603310185186</v>
      </c>
    </row>
    <row r="5395" spans="1:7" x14ac:dyDescent="0.3">
      <c r="A5395">
        <v>17324</v>
      </c>
      <c r="B5395" t="s">
        <v>149</v>
      </c>
      <c r="C5395">
        <v>51014081</v>
      </c>
      <c r="D5395">
        <v>29.684999999999999</v>
      </c>
      <c r="E5395" t="s">
        <v>94</v>
      </c>
      <c r="F5395">
        <v>912</v>
      </c>
      <c r="G5395" s="4">
        <v>46087.603310185186</v>
      </c>
    </row>
    <row r="5396" spans="1:7" x14ac:dyDescent="0.3">
      <c r="A5396">
        <v>17325</v>
      </c>
      <c r="B5396" t="s">
        <v>149</v>
      </c>
      <c r="C5396">
        <v>51055918</v>
      </c>
      <c r="D5396">
        <v>86.0799963005161</v>
      </c>
      <c r="E5396" t="s">
        <v>92</v>
      </c>
      <c r="F5396">
        <v>236</v>
      </c>
      <c r="G5396" s="4">
        <v>46087.603310185186</v>
      </c>
    </row>
    <row r="5397" spans="1:7" x14ac:dyDescent="0.3">
      <c r="A5397">
        <v>17326</v>
      </c>
      <c r="B5397" t="s">
        <v>149</v>
      </c>
      <c r="C5397">
        <v>51016785</v>
      </c>
      <c r="D5397">
        <v>83.562904480225924</v>
      </c>
      <c r="E5397" t="s">
        <v>93</v>
      </c>
      <c r="F5397">
        <v>302</v>
      </c>
      <c r="G5397" s="4">
        <v>46087.603310185186</v>
      </c>
    </row>
    <row r="5398" spans="1:7" x14ac:dyDescent="0.3">
      <c r="A5398">
        <v>17327</v>
      </c>
      <c r="B5398" t="s">
        <v>149</v>
      </c>
      <c r="C5398">
        <v>51055268</v>
      </c>
      <c r="D5398">
        <v>19.796024832539555</v>
      </c>
      <c r="E5398" t="s">
        <v>95</v>
      </c>
      <c r="F5398">
        <v>991</v>
      </c>
      <c r="G5398" s="4">
        <v>46087.603310185186</v>
      </c>
    </row>
    <row r="5399" spans="1:7" x14ac:dyDescent="0.3">
      <c r="A5399">
        <v>17328</v>
      </c>
      <c r="B5399" t="s">
        <v>149</v>
      </c>
      <c r="C5399">
        <v>51015533</v>
      </c>
      <c r="D5399">
        <v>90.280884818751105</v>
      </c>
      <c r="E5399" t="s">
        <v>92</v>
      </c>
      <c r="F5399">
        <v>125</v>
      </c>
      <c r="G5399" s="4">
        <v>46087.603310185186</v>
      </c>
    </row>
    <row r="5400" spans="1:7" x14ac:dyDescent="0.3">
      <c r="A5400">
        <v>17329</v>
      </c>
      <c r="B5400" t="s">
        <v>149</v>
      </c>
      <c r="C5400">
        <v>51018371</v>
      </c>
      <c r="D5400">
        <v>28.220564039734381</v>
      </c>
      <c r="E5400" t="s">
        <v>94</v>
      </c>
      <c r="F5400">
        <v>928</v>
      </c>
      <c r="G5400" s="4">
        <v>46087.603310185186</v>
      </c>
    </row>
    <row r="5401" spans="1:7" x14ac:dyDescent="0.3">
      <c r="A5401">
        <v>17330</v>
      </c>
      <c r="B5401" t="s">
        <v>149</v>
      </c>
      <c r="C5401">
        <v>51004027</v>
      </c>
      <c r="D5401">
        <v>77.306450864288465</v>
      </c>
      <c r="E5401" t="s">
        <v>93</v>
      </c>
      <c r="F5401">
        <v>465</v>
      </c>
      <c r="G5401" s="4">
        <v>46087.603310185186</v>
      </c>
    </row>
    <row r="5402" spans="1:7" x14ac:dyDescent="0.3">
      <c r="A5402">
        <v>17331</v>
      </c>
      <c r="B5402" t="s">
        <v>149</v>
      </c>
      <c r="C5402">
        <v>51011660</v>
      </c>
      <c r="D5402">
        <v>43.25969250313365</v>
      </c>
      <c r="E5402" t="s">
        <v>94</v>
      </c>
      <c r="F5402">
        <v>834</v>
      </c>
      <c r="G5402" s="4">
        <v>46087.603310185186</v>
      </c>
    </row>
    <row r="5403" spans="1:7" x14ac:dyDescent="0.3">
      <c r="A5403">
        <v>17332</v>
      </c>
      <c r="B5403" t="s">
        <v>149</v>
      </c>
      <c r="C5403">
        <v>51022556</v>
      </c>
      <c r="D5403">
        <v>87.757371924422515</v>
      </c>
      <c r="E5403" t="s">
        <v>92</v>
      </c>
      <c r="F5403">
        <v>186</v>
      </c>
      <c r="G5403" s="4">
        <v>46087.603310185186</v>
      </c>
    </row>
    <row r="5404" spans="1:7" x14ac:dyDescent="0.3">
      <c r="A5404">
        <v>17333</v>
      </c>
      <c r="B5404" t="s">
        <v>149</v>
      </c>
      <c r="C5404">
        <v>51018427</v>
      </c>
      <c r="D5404">
        <v>92.614131537403182</v>
      </c>
      <c r="E5404" t="s">
        <v>92</v>
      </c>
      <c r="F5404">
        <v>92</v>
      </c>
      <c r="G5404" s="4">
        <v>46087.603310185186</v>
      </c>
    </row>
    <row r="5405" spans="1:7" x14ac:dyDescent="0.3">
      <c r="A5405">
        <v>17334</v>
      </c>
      <c r="B5405" t="s">
        <v>149</v>
      </c>
      <c r="C5405">
        <v>51024516</v>
      </c>
      <c r="D5405">
        <v>80.797561456721624</v>
      </c>
      <c r="E5405" t="s">
        <v>93</v>
      </c>
      <c r="F5405">
        <v>397</v>
      </c>
      <c r="G5405" s="4">
        <v>46087.603310185186</v>
      </c>
    </row>
    <row r="5406" spans="1:7" x14ac:dyDescent="0.3">
      <c r="A5406">
        <v>17335</v>
      </c>
      <c r="B5406" t="s">
        <v>149</v>
      </c>
      <c r="C5406">
        <v>51011856</v>
      </c>
      <c r="D5406">
        <v>55.759168544754594</v>
      </c>
      <c r="E5406" t="s">
        <v>94</v>
      </c>
      <c r="F5406">
        <v>727</v>
      </c>
      <c r="G5406" s="4">
        <v>46087.603310185186</v>
      </c>
    </row>
    <row r="5407" spans="1:7" x14ac:dyDescent="0.3">
      <c r="A5407">
        <v>17336</v>
      </c>
      <c r="B5407" t="s">
        <v>149</v>
      </c>
      <c r="C5407">
        <v>51032322</v>
      </c>
      <c r="D5407">
        <v>62.915675028949053</v>
      </c>
      <c r="E5407" t="s">
        <v>93</v>
      </c>
      <c r="F5407">
        <v>590</v>
      </c>
      <c r="G5407" s="4">
        <v>46087.603310185186</v>
      </c>
    </row>
    <row r="5408" spans="1:7" x14ac:dyDescent="0.3">
      <c r="A5408">
        <v>17337</v>
      </c>
      <c r="B5408" t="s">
        <v>149</v>
      </c>
      <c r="C5408">
        <v>51013859</v>
      </c>
      <c r="D5408">
        <v>23.800403405942816</v>
      </c>
      <c r="E5408" t="s">
        <v>94</v>
      </c>
      <c r="F5408">
        <v>950</v>
      </c>
      <c r="G5408" s="4">
        <v>46087.603310185186</v>
      </c>
    </row>
    <row r="5409" spans="1:7" x14ac:dyDescent="0.3">
      <c r="A5409">
        <v>17338</v>
      </c>
      <c r="B5409" t="s">
        <v>149</v>
      </c>
      <c r="C5409">
        <v>51008430</v>
      </c>
      <c r="D5409">
        <v>81.040762330501948</v>
      </c>
      <c r="E5409" t="s">
        <v>93</v>
      </c>
      <c r="F5409">
        <v>391</v>
      </c>
      <c r="G5409" s="4">
        <v>46087.603310185186</v>
      </c>
    </row>
    <row r="5410" spans="1:7" x14ac:dyDescent="0.3">
      <c r="A5410">
        <v>17339</v>
      </c>
      <c r="B5410" t="s">
        <v>149</v>
      </c>
      <c r="C5410">
        <v>51042158</v>
      </c>
      <c r="D5410">
        <v>93.812075794591507</v>
      </c>
      <c r="E5410" t="s">
        <v>92</v>
      </c>
      <c r="F5410">
        <v>73</v>
      </c>
      <c r="G5410" s="4">
        <v>46087.603310185186</v>
      </c>
    </row>
    <row r="5411" spans="1:7" x14ac:dyDescent="0.3">
      <c r="A5411">
        <v>17340</v>
      </c>
      <c r="B5411" t="s">
        <v>149</v>
      </c>
      <c r="C5411">
        <v>51011627</v>
      </c>
      <c r="D5411">
        <v>25.752598304386204</v>
      </c>
      <c r="E5411" t="s">
        <v>94</v>
      </c>
      <c r="F5411">
        <v>942</v>
      </c>
      <c r="G5411" s="4">
        <v>46087.603310185186</v>
      </c>
    </row>
    <row r="5412" spans="1:7" x14ac:dyDescent="0.3">
      <c r="A5412">
        <v>17341</v>
      </c>
      <c r="B5412" t="s">
        <v>149</v>
      </c>
      <c r="C5412">
        <v>51010426</v>
      </c>
      <c r="D5412">
        <v>82.638860187894082</v>
      </c>
      <c r="E5412" t="s">
        <v>93</v>
      </c>
      <c r="F5412">
        <v>343</v>
      </c>
      <c r="G5412" s="4">
        <v>46087.603310185186</v>
      </c>
    </row>
    <row r="5413" spans="1:7" x14ac:dyDescent="0.3">
      <c r="A5413">
        <v>17342</v>
      </c>
      <c r="B5413" t="s">
        <v>149</v>
      </c>
      <c r="C5413">
        <v>51033205</v>
      </c>
      <c r="D5413">
        <v>62.437590722897696</v>
      </c>
      <c r="E5413" t="s">
        <v>94</v>
      </c>
      <c r="F5413">
        <v>602</v>
      </c>
      <c r="G5413" s="4">
        <v>46087.603310185186</v>
      </c>
    </row>
    <row r="5414" spans="1:7" x14ac:dyDescent="0.3">
      <c r="A5414">
        <v>17343</v>
      </c>
      <c r="B5414" t="s">
        <v>149</v>
      </c>
      <c r="C5414">
        <v>51035976</v>
      </c>
      <c r="D5414">
        <v>71.79168918006603</v>
      </c>
      <c r="E5414" t="s">
        <v>93</v>
      </c>
      <c r="F5414">
        <v>524</v>
      </c>
      <c r="G5414" s="4">
        <v>46087.603310185186</v>
      </c>
    </row>
    <row r="5415" spans="1:7" x14ac:dyDescent="0.3">
      <c r="A5415">
        <v>17344</v>
      </c>
      <c r="B5415" t="s">
        <v>149</v>
      </c>
      <c r="C5415">
        <v>51010914</v>
      </c>
      <c r="D5415">
        <v>60.282531802635148</v>
      </c>
      <c r="E5415" t="s">
        <v>94</v>
      </c>
      <c r="F5415">
        <v>647</v>
      </c>
      <c r="G5415" s="4">
        <v>46087.603310185186</v>
      </c>
    </row>
    <row r="5416" spans="1:7" x14ac:dyDescent="0.3">
      <c r="A5416">
        <v>17345</v>
      </c>
      <c r="B5416" t="s">
        <v>149</v>
      </c>
      <c r="C5416">
        <v>51023129</v>
      </c>
      <c r="D5416">
        <v>86.250472381227311</v>
      </c>
      <c r="E5416" t="s">
        <v>92</v>
      </c>
      <c r="F5416">
        <v>228</v>
      </c>
      <c r="G5416" s="4">
        <v>46087.603310185186</v>
      </c>
    </row>
    <row r="5417" spans="1:7" x14ac:dyDescent="0.3">
      <c r="A5417">
        <v>17346</v>
      </c>
      <c r="B5417" t="s">
        <v>149</v>
      </c>
      <c r="C5417">
        <v>51054857</v>
      </c>
      <c r="D5417">
        <v>57.383158711048537</v>
      </c>
      <c r="E5417" t="s">
        <v>94</v>
      </c>
      <c r="F5417">
        <v>704</v>
      </c>
      <c r="G5417" s="4">
        <v>46087.603310185186</v>
      </c>
    </row>
    <row r="5418" spans="1:7" x14ac:dyDescent="0.3">
      <c r="A5418">
        <v>17347</v>
      </c>
      <c r="B5418" t="s">
        <v>149</v>
      </c>
      <c r="C5418">
        <v>51055926</v>
      </c>
      <c r="D5418">
        <v>71.08978286986131</v>
      </c>
      <c r="E5418" t="s">
        <v>93</v>
      </c>
      <c r="F5418">
        <v>531</v>
      </c>
      <c r="G5418" s="4">
        <v>46087.603310185186</v>
      </c>
    </row>
    <row r="5419" spans="1:7" x14ac:dyDescent="0.3">
      <c r="A5419">
        <v>17348</v>
      </c>
      <c r="B5419" t="s">
        <v>149</v>
      </c>
      <c r="C5419">
        <v>51021282</v>
      </c>
      <c r="D5419">
        <v>33.335051889802749</v>
      </c>
      <c r="E5419" t="s">
        <v>94</v>
      </c>
      <c r="F5419">
        <v>873</v>
      </c>
      <c r="G5419" s="4">
        <v>46087.603310185186</v>
      </c>
    </row>
    <row r="5420" spans="1:7" x14ac:dyDescent="0.3">
      <c r="A5420">
        <v>17349</v>
      </c>
      <c r="B5420" t="s">
        <v>149</v>
      </c>
      <c r="C5420">
        <v>51031369</v>
      </c>
      <c r="D5420">
        <v>68.87397971039772</v>
      </c>
      <c r="E5420" t="s">
        <v>93</v>
      </c>
      <c r="F5420">
        <v>551</v>
      </c>
      <c r="G5420" s="4">
        <v>46087.603310185186</v>
      </c>
    </row>
    <row r="5421" spans="1:7" x14ac:dyDescent="0.3">
      <c r="A5421">
        <v>17350</v>
      </c>
      <c r="B5421" t="s">
        <v>149</v>
      </c>
      <c r="C5421">
        <v>51024621</v>
      </c>
      <c r="D5421">
        <v>57.681801261740887</v>
      </c>
      <c r="E5421" t="s">
        <v>94</v>
      </c>
      <c r="F5421">
        <v>693</v>
      </c>
      <c r="G5421" s="4">
        <v>46087.603310185186</v>
      </c>
    </row>
    <row r="5422" spans="1:7" x14ac:dyDescent="0.3">
      <c r="A5422">
        <v>17351</v>
      </c>
      <c r="B5422" t="s">
        <v>149</v>
      </c>
      <c r="C5422">
        <v>51032284</v>
      </c>
      <c r="D5422">
        <v>77.123145969086153</v>
      </c>
      <c r="E5422" t="s">
        <v>93</v>
      </c>
      <c r="F5422">
        <v>467</v>
      </c>
      <c r="G5422" s="4">
        <v>46087.603310185186</v>
      </c>
    </row>
    <row r="5423" spans="1:7" x14ac:dyDescent="0.3">
      <c r="A5423">
        <v>17352</v>
      </c>
      <c r="B5423" t="s">
        <v>149</v>
      </c>
      <c r="C5423">
        <v>51018966</v>
      </c>
      <c r="D5423">
        <v>86.86570350015262</v>
      </c>
      <c r="E5423" t="s">
        <v>92</v>
      </c>
      <c r="F5423">
        <v>202</v>
      </c>
      <c r="G5423" s="4">
        <v>46087.603310185186</v>
      </c>
    </row>
    <row r="5424" spans="1:7" x14ac:dyDescent="0.3">
      <c r="A5424">
        <v>17353</v>
      </c>
      <c r="B5424" t="s">
        <v>149</v>
      </c>
      <c r="C5424">
        <v>51012623</v>
      </c>
      <c r="D5424">
        <v>70.015407736848189</v>
      </c>
      <c r="E5424" t="s">
        <v>93</v>
      </c>
      <c r="F5424">
        <v>543</v>
      </c>
      <c r="G5424" s="4">
        <v>46087.603310185186</v>
      </c>
    </row>
    <row r="5425" spans="1:7" x14ac:dyDescent="0.3">
      <c r="A5425">
        <v>17354</v>
      </c>
      <c r="B5425" t="s">
        <v>149</v>
      </c>
      <c r="C5425">
        <v>51019121</v>
      </c>
      <c r="D5425">
        <v>89.725303258339281</v>
      </c>
      <c r="E5425" t="s">
        <v>92</v>
      </c>
      <c r="F5425">
        <v>135</v>
      </c>
      <c r="G5425" s="4">
        <v>46087.603310185186</v>
      </c>
    </row>
    <row r="5426" spans="1:7" x14ac:dyDescent="0.3">
      <c r="A5426">
        <v>17355</v>
      </c>
      <c r="B5426" t="s">
        <v>149</v>
      </c>
      <c r="C5426">
        <v>51036085</v>
      </c>
      <c r="D5426">
        <v>74.703385567943982</v>
      </c>
      <c r="E5426" t="s">
        <v>93</v>
      </c>
      <c r="F5426">
        <v>495</v>
      </c>
      <c r="G5426" s="4">
        <v>46087.603310185186</v>
      </c>
    </row>
    <row r="5427" spans="1:7" x14ac:dyDescent="0.3">
      <c r="A5427">
        <v>17356</v>
      </c>
      <c r="B5427" t="s">
        <v>149</v>
      </c>
      <c r="C5427">
        <v>51002164</v>
      </c>
      <c r="D5427">
        <v>76.117446749563968</v>
      </c>
      <c r="E5427" t="s">
        <v>93</v>
      </c>
      <c r="F5427">
        <v>481</v>
      </c>
      <c r="G5427" s="4">
        <v>46087.603310185186</v>
      </c>
    </row>
    <row r="5428" spans="1:7" x14ac:dyDescent="0.3">
      <c r="A5428">
        <v>17357</v>
      </c>
      <c r="B5428" t="s">
        <v>149</v>
      </c>
      <c r="C5428">
        <v>51013182</v>
      </c>
      <c r="D5428">
        <v>62.532967314270337</v>
      </c>
      <c r="E5428" t="s">
        <v>94</v>
      </c>
      <c r="F5428">
        <v>599</v>
      </c>
      <c r="G5428" s="4">
        <v>46087.603310185186</v>
      </c>
    </row>
    <row r="5429" spans="1:7" x14ac:dyDescent="0.3">
      <c r="A5429">
        <v>17358</v>
      </c>
      <c r="B5429" t="s">
        <v>149</v>
      </c>
      <c r="C5429">
        <v>51033086</v>
      </c>
      <c r="D5429">
        <v>21.688849035464276</v>
      </c>
      <c r="E5429" t="s">
        <v>95</v>
      </c>
      <c r="F5429">
        <v>972</v>
      </c>
      <c r="G5429" s="4">
        <v>46087.603310185186</v>
      </c>
    </row>
    <row r="5430" spans="1:7" x14ac:dyDescent="0.3">
      <c r="A5430">
        <v>17359</v>
      </c>
      <c r="B5430" t="s">
        <v>149</v>
      </c>
      <c r="C5430">
        <v>51029038</v>
      </c>
      <c r="D5430">
        <v>62.038879872456839</v>
      </c>
      <c r="E5430" t="s">
        <v>94</v>
      </c>
      <c r="F5430">
        <v>610</v>
      </c>
      <c r="G5430" s="4">
        <v>46087.603310185186</v>
      </c>
    </row>
    <row r="5431" spans="1:7" x14ac:dyDescent="0.3">
      <c r="A5431">
        <v>17360</v>
      </c>
      <c r="B5431" t="s">
        <v>149</v>
      </c>
      <c r="C5431">
        <v>51024168</v>
      </c>
      <c r="D5431">
        <v>43.470495531941054</v>
      </c>
      <c r="E5431" t="s">
        <v>94</v>
      </c>
      <c r="F5431">
        <v>832</v>
      </c>
      <c r="G5431" s="4">
        <v>46087.603310185186</v>
      </c>
    </row>
    <row r="5432" spans="1:7" x14ac:dyDescent="0.3">
      <c r="A5432">
        <v>17361</v>
      </c>
      <c r="B5432" t="s">
        <v>149</v>
      </c>
      <c r="C5432">
        <v>51023455</v>
      </c>
      <c r="D5432">
        <v>43.216192495917902</v>
      </c>
      <c r="E5432" t="s">
        <v>94</v>
      </c>
      <c r="F5432">
        <v>836</v>
      </c>
      <c r="G5432" s="4">
        <v>46087.603310185186</v>
      </c>
    </row>
    <row r="5433" spans="1:7" x14ac:dyDescent="0.3">
      <c r="A5433">
        <v>17362</v>
      </c>
      <c r="B5433" t="s">
        <v>149</v>
      </c>
      <c r="C5433">
        <v>51016131</v>
      </c>
      <c r="D5433">
        <v>96.686780663359727</v>
      </c>
      <c r="E5433" t="s">
        <v>275</v>
      </c>
      <c r="F5433">
        <v>44</v>
      </c>
      <c r="G5433" s="4">
        <v>46087.603310185186</v>
      </c>
    </row>
    <row r="5434" spans="1:7" x14ac:dyDescent="0.3">
      <c r="A5434">
        <v>17363</v>
      </c>
      <c r="B5434" t="s">
        <v>149</v>
      </c>
      <c r="C5434">
        <v>51016408</v>
      </c>
      <c r="D5434">
        <v>93.425669945203538</v>
      </c>
      <c r="E5434" t="s">
        <v>92</v>
      </c>
      <c r="F5434">
        <v>80</v>
      </c>
      <c r="G5434" s="4">
        <v>46087.603310185186</v>
      </c>
    </row>
    <row r="5435" spans="1:7" x14ac:dyDescent="0.3">
      <c r="A5435">
        <v>17364</v>
      </c>
      <c r="B5435" t="s">
        <v>149</v>
      </c>
      <c r="C5435">
        <v>51056914</v>
      </c>
      <c r="D5435">
        <v>88.032999317209843</v>
      </c>
      <c r="E5435" t="s">
        <v>92</v>
      </c>
      <c r="F5435">
        <v>176</v>
      </c>
      <c r="G5435" s="4">
        <v>46087.603310185186</v>
      </c>
    </row>
    <row r="5436" spans="1:7" x14ac:dyDescent="0.3">
      <c r="A5436">
        <v>17365</v>
      </c>
      <c r="B5436" t="s">
        <v>149</v>
      </c>
      <c r="C5436">
        <v>51016858</v>
      </c>
      <c r="D5436">
        <v>99.324999322306653</v>
      </c>
      <c r="E5436" t="s">
        <v>275</v>
      </c>
      <c r="F5436">
        <v>21</v>
      </c>
      <c r="G5436" s="4">
        <v>46087.603310185186</v>
      </c>
    </row>
    <row r="5437" spans="1:7" x14ac:dyDescent="0.3">
      <c r="A5437">
        <v>17366</v>
      </c>
      <c r="B5437" t="s">
        <v>149</v>
      </c>
      <c r="C5437">
        <v>51035666</v>
      </c>
      <c r="D5437">
        <v>84.114410627617914</v>
      </c>
      <c r="E5437" t="s">
        <v>93</v>
      </c>
      <c r="F5437">
        <v>287</v>
      </c>
      <c r="G5437" s="4">
        <v>46087.603310185186</v>
      </c>
    </row>
    <row r="5438" spans="1:7" x14ac:dyDescent="0.3">
      <c r="A5438">
        <v>17367</v>
      </c>
      <c r="B5438" t="s">
        <v>149</v>
      </c>
      <c r="C5438">
        <v>51022068</v>
      </c>
      <c r="D5438">
        <v>93.141165633636078</v>
      </c>
      <c r="E5438" t="s">
        <v>92</v>
      </c>
      <c r="F5438">
        <v>87</v>
      </c>
      <c r="G5438" s="4">
        <v>46087.603310185186</v>
      </c>
    </row>
    <row r="5439" spans="1:7" x14ac:dyDescent="0.3">
      <c r="A5439">
        <v>17368</v>
      </c>
      <c r="B5439" t="s">
        <v>149</v>
      </c>
      <c r="C5439">
        <v>51013611</v>
      </c>
      <c r="D5439">
        <v>80.669541324329842</v>
      </c>
      <c r="E5439" t="s">
        <v>93</v>
      </c>
      <c r="F5439">
        <v>403</v>
      </c>
      <c r="G5439" s="4">
        <v>46087.603310185186</v>
      </c>
    </row>
    <row r="5440" spans="1:7" x14ac:dyDescent="0.3">
      <c r="A5440">
        <v>17369</v>
      </c>
      <c r="B5440" t="s">
        <v>149</v>
      </c>
      <c r="C5440">
        <v>51013115</v>
      </c>
      <c r="D5440">
        <v>74.835386259561446</v>
      </c>
      <c r="E5440" t="s">
        <v>93</v>
      </c>
      <c r="F5440">
        <v>494</v>
      </c>
      <c r="G5440" s="4">
        <v>46087.603310185186</v>
      </c>
    </row>
    <row r="5441" spans="1:7" x14ac:dyDescent="0.3">
      <c r="A5441">
        <v>17370</v>
      </c>
      <c r="B5441" t="s">
        <v>149</v>
      </c>
      <c r="C5441">
        <v>51056744</v>
      </c>
      <c r="D5441">
        <v>68.124284104872388</v>
      </c>
      <c r="E5441" t="s">
        <v>93</v>
      </c>
      <c r="F5441">
        <v>555</v>
      </c>
      <c r="G5441" s="4">
        <v>46087.603310185186</v>
      </c>
    </row>
    <row r="5442" spans="1:7" x14ac:dyDescent="0.3">
      <c r="A5442">
        <v>17371</v>
      </c>
      <c r="B5442" t="s">
        <v>149</v>
      </c>
      <c r="C5442">
        <v>51031822</v>
      </c>
      <c r="D5442">
        <v>89.532237281739057</v>
      </c>
      <c r="E5442" t="s">
        <v>92</v>
      </c>
      <c r="F5442">
        <v>142</v>
      </c>
      <c r="G5442" s="4">
        <v>46087.603310185186</v>
      </c>
    </row>
    <row r="5443" spans="1:7" x14ac:dyDescent="0.3">
      <c r="A5443">
        <v>17372</v>
      </c>
      <c r="B5443" t="s">
        <v>149</v>
      </c>
      <c r="C5443">
        <v>51025938</v>
      </c>
      <c r="D5443">
        <v>32.085925664388519</v>
      </c>
      <c r="E5443" t="s">
        <v>94</v>
      </c>
      <c r="F5443">
        <v>886</v>
      </c>
      <c r="G5443" s="4">
        <v>46087.603310185186</v>
      </c>
    </row>
    <row r="5444" spans="1:7" x14ac:dyDescent="0.3">
      <c r="A5444">
        <v>17373</v>
      </c>
      <c r="B5444" t="s">
        <v>149</v>
      </c>
      <c r="C5444">
        <v>51030141</v>
      </c>
      <c r="D5444">
        <v>84.367267619766366</v>
      </c>
      <c r="E5444" t="s">
        <v>93</v>
      </c>
      <c r="F5444">
        <v>277</v>
      </c>
      <c r="G5444" s="4">
        <v>46087.603310185186</v>
      </c>
    </row>
    <row r="5445" spans="1:7" x14ac:dyDescent="0.3">
      <c r="A5445">
        <v>17374</v>
      </c>
      <c r="B5445" t="s">
        <v>149</v>
      </c>
      <c r="C5445">
        <v>51004698</v>
      </c>
      <c r="D5445">
        <v>77.780375949300577</v>
      </c>
      <c r="E5445" t="s">
        <v>93</v>
      </c>
      <c r="F5445">
        <v>453</v>
      </c>
      <c r="G5445" s="4">
        <v>46087.603310185186</v>
      </c>
    </row>
    <row r="5446" spans="1:7" x14ac:dyDescent="0.3">
      <c r="A5446">
        <v>17375</v>
      </c>
      <c r="B5446" t="s">
        <v>149</v>
      </c>
      <c r="C5446">
        <v>51029585</v>
      </c>
      <c r="D5446">
        <v>83.855946019495349</v>
      </c>
      <c r="E5446" t="s">
        <v>93</v>
      </c>
      <c r="F5446">
        <v>296</v>
      </c>
      <c r="G5446" s="4">
        <v>46087.603310185186</v>
      </c>
    </row>
    <row r="5447" spans="1:7" x14ac:dyDescent="0.3">
      <c r="A5447">
        <v>17376</v>
      </c>
      <c r="B5447" t="s">
        <v>149</v>
      </c>
      <c r="C5447">
        <v>51018389</v>
      </c>
      <c r="D5447">
        <v>67.662379362396408</v>
      </c>
      <c r="E5447" t="s">
        <v>93</v>
      </c>
      <c r="F5447">
        <v>558</v>
      </c>
      <c r="G5447" s="4">
        <v>46087.603310185186</v>
      </c>
    </row>
    <row r="5448" spans="1:7" x14ac:dyDescent="0.3">
      <c r="A5448">
        <v>17377</v>
      </c>
      <c r="B5448" t="s">
        <v>149</v>
      </c>
      <c r="C5448">
        <v>51017137</v>
      </c>
      <c r="D5448">
        <v>73.491704184245862</v>
      </c>
      <c r="E5448" t="s">
        <v>93</v>
      </c>
      <c r="F5448">
        <v>506</v>
      </c>
      <c r="G5448" s="4">
        <v>46087.603310185186</v>
      </c>
    </row>
    <row r="5449" spans="1:7" x14ac:dyDescent="0.3">
      <c r="A5449">
        <v>17378</v>
      </c>
      <c r="B5449" t="s">
        <v>149</v>
      </c>
      <c r="C5449">
        <v>51041232</v>
      </c>
      <c r="D5449">
        <v>86.771334931619393</v>
      </c>
      <c r="E5449" t="s">
        <v>92</v>
      </c>
      <c r="F5449">
        <v>205</v>
      </c>
      <c r="G5449" s="4">
        <v>46087.603310185186</v>
      </c>
    </row>
    <row r="5450" spans="1:7" x14ac:dyDescent="0.3">
      <c r="A5450">
        <v>17379</v>
      </c>
      <c r="B5450" t="s">
        <v>149</v>
      </c>
      <c r="C5450">
        <v>51022769</v>
      </c>
      <c r="D5450">
        <v>66.88693470889126</v>
      </c>
      <c r="E5450" t="s">
        <v>93</v>
      </c>
      <c r="F5450">
        <v>564</v>
      </c>
      <c r="G5450" s="4">
        <v>46087.603310185186</v>
      </c>
    </row>
    <row r="5451" spans="1:7" x14ac:dyDescent="0.3">
      <c r="A5451">
        <v>17380</v>
      </c>
      <c r="B5451" t="s">
        <v>149</v>
      </c>
      <c r="C5451">
        <v>51031164</v>
      </c>
      <c r="D5451">
        <v>29.554999999999996</v>
      </c>
      <c r="E5451" t="s">
        <v>94</v>
      </c>
      <c r="F5451">
        <v>914</v>
      </c>
      <c r="G5451" s="4">
        <v>46087.603310185186</v>
      </c>
    </row>
    <row r="5452" spans="1:7" x14ac:dyDescent="0.3">
      <c r="A5452">
        <v>17381</v>
      </c>
      <c r="B5452" t="s">
        <v>149</v>
      </c>
      <c r="C5452">
        <v>51030371</v>
      </c>
      <c r="D5452">
        <v>57.574019675734796</v>
      </c>
      <c r="E5452" t="s">
        <v>94</v>
      </c>
      <c r="F5452">
        <v>696</v>
      </c>
      <c r="G5452" s="4">
        <v>46087.603310185186</v>
      </c>
    </row>
    <row r="5453" spans="1:7" x14ac:dyDescent="0.3">
      <c r="A5453">
        <v>17382</v>
      </c>
      <c r="B5453" t="s">
        <v>149</v>
      </c>
      <c r="C5453">
        <v>51040392</v>
      </c>
      <c r="D5453">
        <v>45.633179625894172</v>
      </c>
      <c r="E5453" t="s">
        <v>94</v>
      </c>
      <c r="F5453">
        <v>818</v>
      </c>
      <c r="G5453" s="4">
        <v>46087.603310185186</v>
      </c>
    </row>
    <row r="5454" spans="1:7" x14ac:dyDescent="0.3">
      <c r="A5454">
        <v>17383</v>
      </c>
      <c r="B5454" t="s">
        <v>149</v>
      </c>
      <c r="C5454">
        <v>51014693</v>
      </c>
      <c r="D5454">
        <v>57.388341459598749</v>
      </c>
      <c r="E5454" t="s">
        <v>94</v>
      </c>
      <c r="F5454">
        <v>703</v>
      </c>
      <c r="G5454" s="4">
        <v>46087.603310185186</v>
      </c>
    </row>
    <row r="5455" spans="1:7" x14ac:dyDescent="0.3">
      <c r="A5455">
        <v>17384</v>
      </c>
      <c r="B5455" t="s">
        <v>149</v>
      </c>
      <c r="C5455">
        <v>51055551</v>
      </c>
      <c r="D5455">
        <v>28.1</v>
      </c>
      <c r="E5455" t="s">
        <v>94</v>
      </c>
      <c r="F5455">
        <v>930</v>
      </c>
      <c r="G5455" s="4">
        <v>46087.603310185186</v>
      </c>
    </row>
    <row r="5456" spans="1:7" x14ac:dyDescent="0.3">
      <c r="A5456">
        <v>17385</v>
      </c>
      <c r="B5456" t="s">
        <v>149</v>
      </c>
      <c r="C5456">
        <v>51012593</v>
      </c>
      <c r="D5456">
        <v>60.744422030339692</v>
      </c>
      <c r="E5456" t="s">
        <v>94</v>
      </c>
      <c r="F5456">
        <v>637</v>
      </c>
      <c r="G5456" s="4">
        <v>46087.603310185186</v>
      </c>
    </row>
    <row r="5457" spans="1:7" x14ac:dyDescent="0.3">
      <c r="A5457">
        <v>17386</v>
      </c>
      <c r="B5457" t="s">
        <v>149</v>
      </c>
      <c r="C5457">
        <v>51015908</v>
      </c>
      <c r="D5457">
        <v>89.133588580507677</v>
      </c>
      <c r="E5457" t="s">
        <v>92</v>
      </c>
      <c r="F5457">
        <v>148</v>
      </c>
      <c r="G5457" s="4">
        <v>46087.603310185186</v>
      </c>
    </row>
    <row r="5458" spans="1:7" x14ac:dyDescent="0.3">
      <c r="A5458">
        <v>17387</v>
      </c>
      <c r="B5458" t="s">
        <v>149</v>
      </c>
      <c r="C5458">
        <v>51015924</v>
      </c>
      <c r="D5458">
        <v>90.08963141529685</v>
      </c>
      <c r="E5458" t="s">
        <v>92</v>
      </c>
      <c r="F5458">
        <v>129</v>
      </c>
      <c r="G5458" s="4">
        <v>46087.603310185186</v>
      </c>
    </row>
    <row r="5459" spans="1:7" x14ac:dyDescent="0.3">
      <c r="A5459">
        <v>17388</v>
      </c>
      <c r="B5459" t="s">
        <v>149</v>
      </c>
      <c r="C5459">
        <v>51034252</v>
      </c>
      <c r="D5459">
        <v>87.724652170949824</v>
      </c>
      <c r="E5459" t="s">
        <v>92</v>
      </c>
      <c r="F5459">
        <v>189</v>
      </c>
      <c r="G5459" s="4">
        <v>46087.603310185186</v>
      </c>
    </row>
    <row r="5460" spans="1:7" x14ac:dyDescent="0.3">
      <c r="A5460">
        <v>17389</v>
      </c>
      <c r="B5460" t="s">
        <v>149</v>
      </c>
      <c r="C5460">
        <v>51017676</v>
      </c>
      <c r="D5460">
        <v>86.769169762433734</v>
      </c>
      <c r="E5460" t="s">
        <v>92</v>
      </c>
      <c r="F5460">
        <v>206</v>
      </c>
      <c r="G5460" s="4">
        <v>46087.603310185186</v>
      </c>
    </row>
    <row r="5461" spans="1:7" x14ac:dyDescent="0.3">
      <c r="A5461">
        <v>17390</v>
      </c>
      <c r="B5461" t="s">
        <v>149</v>
      </c>
      <c r="C5461">
        <v>51033655</v>
      </c>
      <c r="D5461">
        <v>92.093693591802463</v>
      </c>
      <c r="E5461" t="s">
        <v>92</v>
      </c>
      <c r="F5461">
        <v>98</v>
      </c>
      <c r="G5461" s="4">
        <v>46087.603310185186</v>
      </c>
    </row>
    <row r="5462" spans="1:7" x14ac:dyDescent="0.3">
      <c r="A5462">
        <v>17391</v>
      </c>
      <c r="B5462" t="s">
        <v>149</v>
      </c>
      <c r="C5462">
        <v>51014740</v>
      </c>
      <c r="D5462">
        <v>81.746622959511555</v>
      </c>
      <c r="E5462" t="s">
        <v>93</v>
      </c>
      <c r="F5462">
        <v>378</v>
      </c>
      <c r="G5462" s="4">
        <v>46087.603310185186</v>
      </c>
    </row>
    <row r="5463" spans="1:7" x14ac:dyDescent="0.3">
      <c r="A5463">
        <v>17392</v>
      </c>
      <c r="B5463" t="s">
        <v>149</v>
      </c>
      <c r="C5463">
        <v>51011287</v>
      </c>
      <c r="D5463">
        <v>82.004214902439998</v>
      </c>
      <c r="E5463" t="s">
        <v>93</v>
      </c>
      <c r="F5463">
        <v>369</v>
      </c>
      <c r="G5463" s="4">
        <v>46087.603310185186</v>
      </c>
    </row>
    <row r="5464" spans="1:7" x14ac:dyDescent="0.3">
      <c r="A5464">
        <v>17393</v>
      </c>
      <c r="B5464" t="s">
        <v>149</v>
      </c>
      <c r="C5464">
        <v>51026306</v>
      </c>
      <c r="D5464">
        <v>55.005553330493534</v>
      </c>
      <c r="E5464" t="s">
        <v>94</v>
      </c>
      <c r="F5464">
        <v>734</v>
      </c>
      <c r="G5464" s="4">
        <v>46087.603310185186</v>
      </c>
    </row>
    <row r="5465" spans="1:7" x14ac:dyDescent="0.3">
      <c r="A5465">
        <v>17394</v>
      </c>
      <c r="B5465" t="s">
        <v>149</v>
      </c>
      <c r="C5465">
        <v>51040325</v>
      </c>
      <c r="D5465">
        <v>61.605218529618277</v>
      </c>
      <c r="E5465" t="s">
        <v>94</v>
      </c>
      <c r="F5465">
        <v>618</v>
      </c>
      <c r="G5465" s="4">
        <v>46087.603310185186</v>
      </c>
    </row>
    <row r="5466" spans="1:7" x14ac:dyDescent="0.3">
      <c r="A5466">
        <v>17395</v>
      </c>
      <c r="B5466" t="s">
        <v>149</v>
      </c>
      <c r="C5466">
        <v>51055543</v>
      </c>
      <c r="D5466">
        <v>82.834142057767423</v>
      </c>
      <c r="E5466" t="s">
        <v>93</v>
      </c>
      <c r="F5466">
        <v>338</v>
      </c>
      <c r="G5466" s="4">
        <v>46087.603310185186</v>
      </c>
    </row>
    <row r="5467" spans="1:7" x14ac:dyDescent="0.3">
      <c r="A5467">
        <v>17396</v>
      </c>
      <c r="B5467" t="s">
        <v>149</v>
      </c>
      <c r="C5467">
        <v>51037031</v>
      </c>
      <c r="D5467">
        <v>53.143372489951453</v>
      </c>
      <c r="E5467" t="s">
        <v>94</v>
      </c>
      <c r="F5467">
        <v>750</v>
      </c>
      <c r="G5467" s="4">
        <v>46087.603310185186</v>
      </c>
    </row>
    <row r="5468" spans="1:7" x14ac:dyDescent="0.3">
      <c r="A5468">
        <v>17397</v>
      </c>
      <c r="B5468" t="s">
        <v>149</v>
      </c>
      <c r="C5468">
        <v>51057244</v>
      </c>
      <c r="D5468">
        <v>46.461959768441091</v>
      </c>
      <c r="E5468" t="s">
        <v>94</v>
      </c>
      <c r="F5468">
        <v>811</v>
      </c>
      <c r="G5468" s="4">
        <v>46087.603310185186</v>
      </c>
    </row>
    <row r="5469" spans="1:7" x14ac:dyDescent="0.3">
      <c r="A5469">
        <v>17398</v>
      </c>
      <c r="B5469" t="s">
        <v>149</v>
      </c>
      <c r="C5469">
        <v>51032004</v>
      </c>
      <c r="D5469">
        <v>15.52575659737394</v>
      </c>
      <c r="E5469" t="s">
        <v>95</v>
      </c>
      <c r="F5469">
        <v>1070</v>
      </c>
      <c r="G5469" s="4">
        <v>46087.603310185186</v>
      </c>
    </row>
    <row r="5470" spans="1:7" x14ac:dyDescent="0.3">
      <c r="A5470">
        <v>17399</v>
      </c>
      <c r="B5470" t="s">
        <v>149</v>
      </c>
      <c r="C5470">
        <v>51019253</v>
      </c>
      <c r="D5470">
        <v>58.853601114356209</v>
      </c>
      <c r="E5470" t="s">
        <v>94</v>
      </c>
      <c r="F5470">
        <v>664</v>
      </c>
      <c r="G5470" s="4">
        <v>46087.603310185186</v>
      </c>
    </row>
    <row r="5471" spans="1:7" x14ac:dyDescent="0.3">
      <c r="A5471">
        <v>17400</v>
      </c>
      <c r="B5471" t="s">
        <v>149</v>
      </c>
      <c r="C5471">
        <v>51008413</v>
      </c>
      <c r="D5471">
        <v>60.384375417578518</v>
      </c>
      <c r="E5471" t="s">
        <v>94</v>
      </c>
      <c r="F5471">
        <v>645</v>
      </c>
      <c r="G5471" s="4">
        <v>46087.603310185186</v>
      </c>
    </row>
    <row r="5472" spans="1:7" x14ac:dyDescent="0.3">
      <c r="A5472">
        <v>17401</v>
      </c>
      <c r="B5472" t="s">
        <v>149</v>
      </c>
      <c r="C5472">
        <v>51018265</v>
      </c>
      <c r="D5472">
        <v>89.568646158523038</v>
      </c>
      <c r="E5472" t="s">
        <v>92</v>
      </c>
      <c r="F5472">
        <v>140</v>
      </c>
      <c r="G5472" s="4">
        <v>46087.603310185186</v>
      </c>
    </row>
    <row r="5473" spans="1:7" x14ac:dyDescent="0.3">
      <c r="A5473">
        <v>17402</v>
      </c>
      <c r="B5473" t="s">
        <v>149</v>
      </c>
      <c r="C5473">
        <v>51022050</v>
      </c>
      <c r="D5473">
        <v>19.966642430070504</v>
      </c>
      <c r="E5473" t="s">
        <v>95</v>
      </c>
      <c r="F5473">
        <v>986</v>
      </c>
      <c r="G5473" s="4">
        <v>46087.603310185186</v>
      </c>
    </row>
    <row r="5474" spans="1:7" x14ac:dyDescent="0.3">
      <c r="A5474">
        <v>17403</v>
      </c>
      <c r="B5474" t="s">
        <v>149</v>
      </c>
      <c r="C5474">
        <v>51016076</v>
      </c>
      <c r="D5474">
        <v>58.2711187997919</v>
      </c>
      <c r="E5474" t="s">
        <v>94</v>
      </c>
      <c r="F5474">
        <v>679</v>
      </c>
      <c r="G5474" s="4">
        <v>46087.603310185186</v>
      </c>
    </row>
    <row r="5475" spans="1:7" x14ac:dyDescent="0.3">
      <c r="A5475">
        <v>17404</v>
      </c>
      <c r="B5475" t="s">
        <v>149</v>
      </c>
      <c r="C5475">
        <v>51014634</v>
      </c>
      <c r="D5475">
        <v>80.371677378199038</v>
      </c>
      <c r="E5475" t="s">
        <v>93</v>
      </c>
      <c r="F5475">
        <v>410</v>
      </c>
      <c r="G5475" s="4">
        <v>46087.603310185186</v>
      </c>
    </row>
    <row r="5476" spans="1:7" x14ac:dyDescent="0.3">
      <c r="A5476">
        <v>17405</v>
      </c>
      <c r="B5476" t="s">
        <v>149</v>
      </c>
      <c r="C5476">
        <v>51004655</v>
      </c>
      <c r="D5476">
        <v>95.043755842936207</v>
      </c>
      <c r="E5476" t="s">
        <v>92</v>
      </c>
      <c r="F5476">
        <v>65</v>
      </c>
      <c r="G5476" s="4">
        <v>46087.603310185186</v>
      </c>
    </row>
    <row r="5477" spans="1:7" x14ac:dyDescent="0.3">
      <c r="A5477">
        <v>17406</v>
      </c>
      <c r="B5477" t="s">
        <v>149</v>
      </c>
      <c r="C5477">
        <v>51030974</v>
      </c>
      <c r="D5477">
        <v>29.876999999999999</v>
      </c>
      <c r="E5477" t="s">
        <v>94</v>
      </c>
      <c r="F5477">
        <v>911</v>
      </c>
      <c r="G5477" s="4">
        <v>46087.603310185186</v>
      </c>
    </row>
    <row r="5478" spans="1:7" x14ac:dyDescent="0.3">
      <c r="A5478">
        <v>17407</v>
      </c>
      <c r="B5478" t="s">
        <v>149</v>
      </c>
      <c r="C5478">
        <v>51056787</v>
      </c>
      <c r="D5478">
        <v>77.441807453311426</v>
      </c>
      <c r="E5478" t="s">
        <v>93</v>
      </c>
      <c r="F5478">
        <v>459</v>
      </c>
      <c r="G5478" s="4">
        <v>46087.603310185186</v>
      </c>
    </row>
    <row r="5479" spans="1:7" x14ac:dyDescent="0.3">
      <c r="A5479">
        <v>17408</v>
      </c>
      <c r="B5479" t="s">
        <v>149</v>
      </c>
      <c r="C5479">
        <v>51032802</v>
      </c>
      <c r="D5479">
        <v>100</v>
      </c>
      <c r="E5479" t="s">
        <v>275</v>
      </c>
      <c r="F5479">
        <v>1</v>
      </c>
      <c r="G5479" s="4">
        <v>46087.603310185186</v>
      </c>
    </row>
    <row r="5480" spans="1:7" x14ac:dyDescent="0.3">
      <c r="A5480">
        <v>17409</v>
      </c>
      <c r="B5480" t="s">
        <v>149</v>
      </c>
      <c r="C5480">
        <v>51043677</v>
      </c>
      <c r="D5480">
        <v>78.720835443234932</v>
      </c>
      <c r="E5480" t="s">
        <v>93</v>
      </c>
      <c r="F5480">
        <v>440</v>
      </c>
      <c r="G5480" s="4">
        <v>46087.603310185186</v>
      </c>
    </row>
    <row r="5481" spans="1:7" x14ac:dyDescent="0.3">
      <c r="A5481">
        <v>17410</v>
      </c>
      <c r="B5481" t="s">
        <v>149</v>
      </c>
      <c r="C5481">
        <v>51022467</v>
      </c>
      <c r="D5481">
        <v>44.627275709641445</v>
      </c>
      <c r="E5481" t="s">
        <v>94</v>
      </c>
      <c r="F5481">
        <v>828</v>
      </c>
      <c r="G5481" s="4">
        <v>46087.603310185186</v>
      </c>
    </row>
    <row r="5482" spans="1:7" x14ac:dyDescent="0.3">
      <c r="A5482">
        <v>17411</v>
      </c>
      <c r="B5482" t="s">
        <v>149</v>
      </c>
      <c r="C5482">
        <v>51055225</v>
      </c>
      <c r="D5482">
        <v>85.288895007898816</v>
      </c>
      <c r="E5482" t="s">
        <v>93</v>
      </c>
      <c r="F5482">
        <v>261</v>
      </c>
      <c r="G5482" s="4">
        <v>46087.603310185186</v>
      </c>
    </row>
    <row r="5483" spans="1:7" x14ac:dyDescent="0.3">
      <c r="A5483">
        <v>17412</v>
      </c>
      <c r="B5483" t="s">
        <v>149</v>
      </c>
      <c r="C5483">
        <v>51041666</v>
      </c>
      <c r="D5483">
        <v>64.270669353725225</v>
      </c>
      <c r="E5483" t="s">
        <v>93</v>
      </c>
      <c r="F5483">
        <v>579</v>
      </c>
      <c r="G5483" s="4">
        <v>46087.603310185186</v>
      </c>
    </row>
    <row r="5484" spans="1:7" x14ac:dyDescent="0.3">
      <c r="A5484">
        <v>17413</v>
      </c>
      <c r="B5484" t="s">
        <v>149</v>
      </c>
      <c r="C5484">
        <v>51024753</v>
      </c>
      <c r="D5484">
        <v>58.100104463299026</v>
      </c>
      <c r="E5484" t="s">
        <v>94</v>
      </c>
      <c r="F5484">
        <v>686</v>
      </c>
      <c r="G5484" s="4">
        <v>46087.603310185186</v>
      </c>
    </row>
    <row r="5485" spans="1:7" x14ac:dyDescent="0.3">
      <c r="A5485">
        <v>17414</v>
      </c>
      <c r="B5485" t="s">
        <v>149</v>
      </c>
      <c r="C5485">
        <v>51023901</v>
      </c>
      <c r="D5485">
        <v>88.607585008898525</v>
      </c>
      <c r="E5485" t="s">
        <v>92</v>
      </c>
      <c r="F5485">
        <v>160</v>
      </c>
      <c r="G5485" s="4">
        <v>46087.603310185186</v>
      </c>
    </row>
    <row r="5486" spans="1:7" x14ac:dyDescent="0.3">
      <c r="A5486">
        <v>17415</v>
      </c>
      <c r="B5486" t="s">
        <v>149</v>
      </c>
      <c r="C5486">
        <v>51038401</v>
      </c>
      <c r="D5486">
        <v>83.375956493321212</v>
      </c>
      <c r="E5486" t="s">
        <v>93</v>
      </c>
      <c r="F5486">
        <v>313</v>
      </c>
      <c r="G5486" s="4">
        <v>46087.603310185186</v>
      </c>
    </row>
    <row r="5487" spans="1:7" x14ac:dyDescent="0.3">
      <c r="A5487">
        <v>17416</v>
      </c>
      <c r="B5487" t="s">
        <v>149</v>
      </c>
      <c r="C5487">
        <v>51023226</v>
      </c>
      <c r="D5487">
        <v>80.999933599165402</v>
      </c>
      <c r="E5487" t="s">
        <v>93</v>
      </c>
      <c r="F5487">
        <v>392</v>
      </c>
      <c r="G5487" s="4">
        <v>46087.603310185186</v>
      </c>
    </row>
    <row r="5488" spans="1:7" x14ac:dyDescent="0.3">
      <c r="A5488">
        <v>17417</v>
      </c>
      <c r="B5488" t="s">
        <v>149</v>
      </c>
      <c r="C5488">
        <v>51019717</v>
      </c>
      <c r="D5488">
        <v>55.123154865463007</v>
      </c>
      <c r="E5488" t="s">
        <v>94</v>
      </c>
      <c r="F5488">
        <v>732</v>
      </c>
      <c r="G5488" s="4">
        <v>46087.603310185186</v>
      </c>
    </row>
    <row r="5489" spans="1:7" x14ac:dyDescent="0.3">
      <c r="A5489">
        <v>17418</v>
      </c>
      <c r="B5489" t="s">
        <v>149</v>
      </c>
      <c r="C5489">
        <v>51007115</v>
      </c>
      <c r="D5489">
        <v>79.268091224537983</v>
      </c>
      <c r="E5489" t="s">
        <v>93</v>
      </c>
      <c r="F5489">
        <v>433</v>
      </c>
      <c r="G5489" s="4">
        <v>46087.603310185186</v>
      </c>
    </row>
    <row r="5490" spans="1:7" x14ac:dyDescent="0.3">
      <c r="A5490">
        <v>17419</v>
      </c>
      <c r="B5490" t="s">
        <v>149</v>
      </c>
      <c r="C5490">
        <v>51016637</v>
      </c>
      <c r="D5490">
        <v>81.414892718095103</v>
      </c>
      <c r="E5490" t="s">
        <v>93</v>
      </c>
      <c r="F5490">
        <v>384</v>
      </c>
      <c r="G5490" s="4">
        <v>46087.603310185186</v>
      </c>
    </row>
    <row r="5491" spans="1:7" x14ac:dyDescent="0.3">
      <c r="A5491">
        <v>17420</v>
      </c>
      <c r="B5491" t="s">
        <v>149</v>
      </c>
      <c r="C5491">
        <v>51023439</v>
      </c>
      <c r="D5491">
        <v>85.625205143303944</v>
      </c>
      <c r="E5491" t="s">
        <v>93</v>
      </c>
      <c r="F5491">
        <v>249</v>
      </c>
      <c r="G5491" s="4">
        <v>46087.603310185186</v>
      </c>
    </row>
    <row r="5492" spans="1:7" x14ac:dyDescent="0.3">
      <c r="A5492">
        <v>17421</v>
      </c>
      <c r="B5492" t="s">
        <v>149</v>
      </c>
      <c r="C5492">
        <v>51031334</v>
      </c>
      <c r="D5492">
        <v>69.259962457816528</v>
      </c>
      <c r="E5492" t="s">
        <v>93</v>
      </c>
      <c r="F5492">
        <v>547</v>
      </c>
      <c r="G5492" s="4">
        <v>46087.603310185186</v>
      </c>
    </row>
    <row r="5493" spans="1:7" x14ac:dyDescent="0.3">
      <c r="A5493">
        <v>17422</v>
      </c>
      <c r="B5493" t="s">
        <v>149</v>
      </c>
      <c r="C5493">
        <v>51005368</v>
      </c>
      <c r="D5493">
        <v>77.355603972932585</v>
      </c>
      <c r="E5493" t="s">
        <v>93</v>
      </c>
      <c r="F5493">
        <v>461</v>
      </c>
      <c r="G5493" s="4">
        <v>46087.603310185186</v>
      </c>
    </row>
    <row r="5494" spans="1:7" x14ac:dyDescent="0.3">
      <c r="A5494">
        <v>17423</v>
      </c>
      <c r="B5494" t="s">
        <v>149</v>
      </c>
      <c r="C5494">
        <v>51023803</v>
      </c>
      <c r="D5494">
        <v>97.350203209869676</v>
      </c>
      <c r="E5494" t="s">
        <v>275</v>
      </c>
      <c r="F5494">
        <v>37</v>
      </c>
      <c r="G5494" s="4">
        <v>46087.603310185186</v>
      </c>
    </row>
    <row r="5495" spans="1:7" x14ac:dyDescent="0.3">
      <c r="A5495">
        <v>17424</v>
      </c>
      <c r="B5495" t="s">
        <v>149</v>
      </c>
      <c r="C5495">
        <v>51016777</v>
      </c>
      <c r="D5495">
        <v>82.970752703201825</v>
      </c>
      <c r="E5495" t="s">
        <v>93</v>
      </c>
      <c r="F5495">
        <v>330</v>
      </c>
      <c r="G5495" s="4">
        <v>46087.603310185186</v>
      </c>
    </row>
    <row r="5496" spans="1:7" x14ac:dyDescent="0.3">
      <c r="A5496">
        <v>17425</v>
      </c>
      <c r="B5496" t="s">
        <v>149</v>
      </c>
      <c r="C5496">
        <v>51056094</v>
      </c>
      <c r="D5496">
        <v>55.381693447490562</v>
      </c>
      <c r="E5496" t="s">
        <v>94</v>
      </c>
      <c r="F5496">
        <v>730</v>
      </c>
      <c r="G5496" s="4">
        <v>46087.603310185186</v>
      </c>
    </row>
    <row r="5497" spans="1:7" x14ac:dyDescent="0.3">
      <c r="A5497">
        <v>17426</v>
      </c>
      <c r="B5497" t="s">
        <v>149</v>
      </c>
      <c r="C5497">
        <v>51018044</v>
      </c>
      <c r="D5497">
        <v>21.9786</v>
      </c>
      <c r="E5497" t="s">
        <v>95</v>
      </c>
      <c r="F5497">
        <v>967</v>
      </c>
      <c r="G5497" s="4">
        <v>46087.603310185186</v>
      </c>
    </row>
    <row r="5498" spans="1:7" x14ac:dyDescent="0.3">
      <c r="A5498">
        <v>17427</v>
      </c>
      <c r="B5498" t="s">
        <v>149</v>
      </c>
      <c r="C5498">
        <v>51031318</v>
      </c>
      <c r="D5498">
        <v>71.339025453982956</v>
      </c>
      <c r="E5498" t="s">
        <v>93</v>
      </c>
      <c r="F5498">
        <v>528</v>
      </c>
      <c r="G5498" s="4">
        <v>46087.603310185186</v>
      </c>
    </row>
    <row r="5499" spans="1:7" x14ac:dyDescent="0.3">
      <c r="A5499">
        <v>17428</v>
      </c>
      <c r="B5499" t="s">
        <v>149</v>
      </c>
      <c r="C5499">
        <v>51031750</v>
      </c>
      <c r="D5499">
        <v>90.400452303687715</v>
      </c>
      <c r="E5499" t="s">
        <v>92</v>
      </c>
      <c r="F5499">
        <v>124</v>
      </c>
      <c r="G5499" s="4">
        <v>46087.603310185186</v>
      </c>
    </row>
    <row r="5500" spans="1:7" x14ac:dyDescent="0.3">
      <c r="A5500">
        <v>17429</v>
      </c>
      <c r="B5500" t="s">
        <v>149</v>
      </c>
      <c r="C5500">
        <v>51032063</v>
      </c>
      <c r="D5500">
        <v>82.012198274318223</v>
      </c>
      <c r="E5500" t="s">
        <v>93</v>
      </c>
      <c r="F5500">
        <v>368</v>
      </c>
      <c r="G5500" s="4">
        <v>46087.603310185186</v>
      </c>
    </row>
    <row r="5501" spans="1:7" x14ac:dyDescent="0.3">
      <c r="A5501">
        <v>17430</v>
      </c>
      <c r="B5501" t="s">
        <v>149</v>
      </c>
      <c r="C5501">
        <v>51029232</v>
      </c>
      <c r="D5501">
        <v>22.231999999999999</v>
      </c>
      <c r="E5501" t="s">
        <v>95</v>
      </c>
      <c r="F5501">
        <v>963</v>
      </c>
      <c r="G5501" s="4">
        <v>46087.603310185186</v>
      </c>
    </row>
    <row r="5502" spans="1:7" x14ac:dyDescent="0.3">
      <c r="A5502">
        <v>17431</v>
      </c>
      <c r="B5502" t="s">
        <v>149</v>
      </c>
      <c r="C5502">
        <v>51035879</v>
      </c>
      <c r="D5502">
        <v>81.243905500924754</v>
      </c>
      <c r="E5502" t="s">
        <v>93</v>
      </c>
      <c r="F5502">
        <v>389</v>
      </c>
      <c r="G5502" s="4">
        <v>46087.603310185186</v>
      </c>
    </row>
    <row r="5503" spans="1:7" x14ac:dyDescent="0.3">
      <c r="A5503">
        <v>17432</v>
      </c>
      <c r="B5503" t="s">
        <v>149</v>
      </c>
      <c r="C5503">
        <v>51001044</v>
      </c>
      <c r="D5503">
        <v>84.218180727882171</v>
      </c>
      <c r="E5503" t="s">
        <v>93</v>
      </c>
      <c r="F5503">
        <v>283</v>
      </c>
      <c r="G5503" s="4">
        <v>46087.603310185186</v>
      </c>
    </row>
    <row r="5504" spans="1:7" x14ac:dyDescent="0.3">
      <c r="A5504">
        <v>17433</v>
      </c>
      <c r="B5504" t="s">
        <v>149</v>
      </c>
      <c r="C5504">
        <v>51028929</v>
      </c>
      <c r="D5504">
        <v>90.096617283159503</v>
      </c>
      <c r="E5504" t="s">
        <v>92</v>
      </c>
      <c r="F5504">
        <v>128</v>
      </c>
      <c r="G5504" s="4">
        <v>46087.603310185186</v>
      </c>
    </row>
    <row r="5505" spans="1:7" x14ac:dyDescent="0.3">
      <c r="A5505">
        <v>17434</v>
      </c>
      <c r="B5505" t="s">
        <v>149</v>
      </c>
      <c r="C5505">
        <v>51054873</v>
      </c>
      <c r="D5505">
        <v>80.190496964801113</v>
      </c>
      <c r="E5505" t="s">
        <v>93</v>
      </c>
      <c r="F5505">
        <v>415</v>
      </c>
      <c r="G5505" s="4">
        <v>46087.603310185186</v>
      </c>
    </row>
    <row r="5506" spans="1:7" x14ac:dyDescent="0.3">
      <c r="A5506">
        <v>17435</v>
      </c>
      <c r="B5506" t="s">
        <v>149</v>
      </c>
      <c r="C5506">
        <v>51013913</v>
      </c>
      <c r="D5506">
        <v>40.489741694676844</v>
      </c>
      <c r="E5506" t="s">
        <v>94</v>
      </c>
      <c r="F5506">
        <v>844</v>
      </c>
      <c r="G5506" s="4">
        <v>46087.603310185186</v>
      </c>
    </row>
    <row r="5507" spans="1:7" x14ac:dyDescent="0.3">
      <c r="A5507">
        <v>17436</v>
      </c>
      <c r="B5507" t="s">
        <v>149</v>
      </c>
      <c r="C5507">
        <v>51033302</v>
      </c>
      <c r="D5507">
        <v>27.770599802288945</v>
      </c>
      <c r="E5507" t="s">
        <v>94</v>
      </c>
      <c r="F5507">
        <v>932</v>
      </c>
      <c r="G5507" s="4">
        <v>46087.603310185186</v>
      </c>
    </row>
    <row r="5508" spans="1:7" x14ac:dyDescent="0.3">
      <c r="A5508">
        <v>17437</v>
      </c>
      <c r="B5508" t="s">
        <v>149</v>
      </c>
      <c r="C5508">
        <v>51054806</v>
      </c>
      <c r="D5508">
        <v>75.745289108217577</v>
      </c>
      <c r="E5508" t="s">
        <v>93</v>
      </c>
      <c r="F5508">
        <v>485</v>
      </c>
      <c r="G5508" s="4">
        <v>46087.603310185186</v>
      </c>
    </row>
    <row r="5509" spans="1:7" x14ac:dyDescent="0.3">
      <c r="A5509">
        <v>17438</v>
      </c>
      <c r="B5509" t="s">
        <v>149</v>
      </c>
      <c r="C5509">
        <v>51030567</v>
      </c>
      <c r="D5509">
        <v>37.597805627354369</v>
      </c>
      <c r="E5509" t="s">
        <v>94</v>
      </c>
      <c r="F5509">
        <v>855</v>
      </c>
      <c r="G5509" s="4">
        <v>46087.603310185186</v>
      </c>
    </row>
    <row r="5510" spans="1:7" x14ac:dyDescent="0.3">
      <c r="A5510">
        <v>17439</v>
      </c>
      <c r="B5510" t="s">
        <v>149</v>
      </c>
      <c r="C5510">
        <v>51014375</v>
      </c>
      <c r="D5510">
        <v>78.500977983050277</v>
      </c>
      <c r="E5510" t="s">
        <v>93</v>
      </c>
      <c r="F5510">
        <v>446</v>
      </c>
      <c r="G5510" s="4">
        <v>46087.603310185186</v>
      </c>
    </row>
    <row r="5511" spans="1:7" x14ac:dyDescent="0.3">
      <c r="A5511">
        <v>17440</v>
      </c>
      <c r="B5511" t="s">
        <v>149</v>
      </c>
      <c r="C5511">
        <v>51056337</v>
      </c>
      <c r="D5511">
        <v>84.472443152745043</v>
      </c>
      <c r="E5511" t="s">
        <v>93</v>
      </c>
      <c r="F5511">
        <v>276</v>
      </c>
      <c r="G5511" s="4">
        <v>46087.603310185186</v>
      </c>
    </row>
    <row r="5512" spans="1:7" x14ac:dyDescent="0.3">
      <c r="A5512">
        <v>17441</v>
      </c>
      <c r="B5512" t="s">
        <v>149</v>
      </c>
      <c r="C5512">
        <v>51054938</v>
      </c>
      <c r="D5512">
        <v>95.121159008487666</v>
      </c>
      <c r="E5512" t="s">
        <v>92</v>
      </c>
      <c r="F5512">
        <v>64</v>
      </c>
      <c r="G5512" s="4">
        <v>46087.603310185186</v>
      </c>
    </row>
    <row r="5513" spans="1:7" x14ac:dyDescent="0.3">
      <c r="A5513">
        <v>17442</v>
      </c>
      <c r="B5513" t="s">
        <v>149</v>
      </c>
      <c r="C5513">
        <v>51024834</v>
      </c>
      <c r="D5513">
        <v>52.090569615393044</v>
      </c>
      <c r="E5513" t="s">
        <v>94</v>
      </c>
      <c r="F5513">
        <v>759</v>
      </c>
      <c r="G5513" s="4">
        <v>46087.603310185186</v>
      </c>
    </row>
    <row r="5514" spans="1:7" x14ac:dyDescent="0.3">
      <c r="A5514">
        <v>17443</v>
      </c>
      <c r="B5514" t="s">
        <v>149</v>
      </c>
      <c r="C5514">
        <v>51016831</v>
      </c>
      <c r="D5514">
        <v>65.014283471190964</v>
      </c>
      <c r="E5514" t="s">
        <v>93</v>
      </c>
      <c r="F5514">
        <v>572</v>
      </c>
      <c r="G5514" s="4">
        <v>46087.603310185186</v>
      </c>
    </row>
    <row r="5515" spans="1:7" x14ac:dyDescent="0.3">
      <c r="A5515">
        <v>17444</v>
      </c>
      <c r="B5515" t="s">
        <v>149</v>
      </c>
      <c r="C5515">
        <v>51023927</v>
      </c>
      <c r="D5515">
        <v>28.861059934168374</v>
      </c>
      <c r="E5515" t="s">
        <v>94</v>
      </c>
      <c r="F5515">
        <v>918</v>
      </c>
      <c r="G5515" s="4">
        <v>46087.603310185186</v>
      </c>
    </row>
    <row r="5516" spans="1:7" x14ac:dyDescent="0.3">
      <c r="A5516">
        <v>17445</v>
      </c>
      <c r="B5516" t="s">
        <v>149</v>
      </c>
      <c r="C5516">
        <v>51020111</v>
      </c>
      <c r="D5516">
        <v>57.817667019394911</v>
      </c>
      <c r="E5516" t="s">
        <v>94</v>
      </c>
      <c r="F5516">
        <v>690</v>
      </c>
      <c r="G5516" s="4">
        <v>46087.603310185186</v>
      </c>
    </row>
    <row r="5517" spans="1:7" x14ac:dyDescent="0.3">
      <c r="A5517">
        <v>17446</v>
      </c>
      <c r="B5517" t="s">
        <v>149</v>
      </c>
      <c r="C5517">
        <v>51055250</v>
      </c>
      <c r="D5517">
        <v>46.058788540685484</v>
      </c>
      <c r="E5517" t="s">
        <v>94</v>
      </c>
      <c r="F5517">
        <v>816</v>
      </c>
      <c r="G5517" s="4">
        <v>46087.603310185186</v>
      </c>
    </row>
    <row r="5518" spans="1:7" x14ac:dyDescent="0.3">
      <c r="A5518">
        <v>17447</v>
      </c>
      <c r="B5518" t="s">
        <v>149</v>
      </c>
      <c r="C5518">
        <v>51018036</v>
      </c>
      <c r="D5518">
        <v>48.686708328422512</v>
      </c>
      <c r="E5518" t="s">
        <v>94</v>
      </c>
      <c r="F5518">
        <v>784</v>
      </c>
      <c r="G5518" s="4">
        <v>46087.603310185186</v>
      </c>
    </row>
    <row r="5519" spans="1:7" x14ac:dyDescent="0.3">
      <c r="A5519">
        <v>17448</v>
      </c>
      <c r="B5519" t="s">
        <v>149</v>
      </c>
      <c r="C5519">
        <v>51009797</v>
      </c>
      <c r="D5519">
        <v>83.344667801717875</v>
      </c>
      <c r="E5519" t="s">
        <v>93</v>
      </c>
      <c r="F5519">
        <v>315</v>
      </c>
      <c r="G5519" s="4">
        <v>46087.603310185186</v>
      </c>
    </row>
    <row r="5520" spans="1:7" x14ac:dyDescent="0.3">
      <c r="A5520">
        <v>17449</v>
      </c>
      <c r="B5520" t="s">
        <v>149</v>
      </c>
      <c r="C5520">
        <v>51041917</v>
      </c>
      <c r="D5520">
        <v>57.312837124238918</v>
      </c>
      <c r="E5520" t="s">
        <v>94</v>
      </c>
      <c r="F5520">
        <v>707</v>
      </c>
      <c r="G5520" s="4">
        <v>46087.603310185186</v>
      </c>
    </row>
    <row r="5521" spans="1:7" x14ac:dyDescent="0.3">
      <c r="A5521">
        <v>17450</v>
      </c>
      <c r="B5521" t="s">
        <v>149</v>
      </c>
      <c r="C5521">
        <v>51017846</v>
      </c>
      <c r="D5521">
        <v>47.524499311431249</v>
      </c>
      <c r="E5521" t="s">
        <v>94</v>
      </c>
      <c r="F5521">
        <v>801</v>
      </c>
      <c r="G5521" s="4">
        <v>46087.603310185186</v>
      </c>
    </row>
    <row r="5522" spans="1:7" x14ac:dyDescent="0.3">
      <c r="A5522">
        <v>17451</v>
      </c>
      <c r="B5522" t="s">
        <v>149</v>
      </c>
      <c r="C5522">
        <v>51015851</v>
      </c>
      <c r="D5522">
        <v>88.717941011037354</v>
      </c>
      <c r="E5522" t="s">
        <v>92</v>
      </c>
      <c r="F5522">
        <v>157</v>
      </c>
      <c r="G5522" s="4">
        <v>46087.603310185186</v>
      </c>
    </row>
    <row r="5523" spans="1:7" x14ac:dyDescent="0.3">
      <c r="A5523">
        <v>17452</v>
      </c>
      <c r="B5523" t="s">
        <v>149</v>
      </c>
      <c r="C5523">
        <v>51036603</v>
      </c>
      <c r="D5523">
        <v>45.309784082951715</v>
      </c>
      <c r="E5523" t="s">
        <v>94</v>
      </c>
      <c r="F5523">
        <v>821</v>
      </c>
      <c r="G5523" s="4">
        <v>46087.603310185186</v>
      </c>
    </row>
    <row r="5524" spans="1:7" x14ac:dyDescent="0.3">
      <c r="A5524">
        <v>17453</v>
      </c>
      <c r="B5524" t="s">
        <v>149</v>
      </c>
      <c r="C5524">
        <v>51020910</v>
      </c>
      <c r="D5524">
        <v>85.653026779645089</v>
      </c>
      <c r="E5524" t="s">
        <v>93</v>
      </c>
      <c r="F5524">
        <v>248</v>
      </c>
      <c r="G5524" s="4">
        <v>46087.603310185186</v>
      </c>
    </row>
    <row r="5525" spans="1:7" x14ac:dyDescent="0.3">
      <c r="A5525">
        <v>17454</v>
      </c>
      <c r="B5525" t="s">
        <v>149</v>
      </c>
      <c r="C5525">
        <v>51031326</v>
      </c>
      <c r="D5525">
        <v>59.77957793099624</v>
      </c>
      <c r="E5525" t="s">
        <v>94</v>
      </c>
      <c r="F5525">
        <v>654</v>
      </c>
      <c r="G5525" s="4">
        <v>46087.603310185186</v>
      </c>
    </row>
    <row r="5526" spans="1:7" x14ac:dyDescent="0.3">
      <c r="A5526">
        <v>17455</v>
      </c>
      <c r="B5526" t="s">
        <v>149</v>
      </c>
      <c r="C5526">
        <v>51033604</v>
      </c>
      <c r="D5526">
        <v>78.766870704495602</v>
      </c>
      <c r="E5526" t="s">
        <v>93</v>
      </c>
      <c r="F5526">
        <v>438</v>
      </c>
      <c r="G5526" s="4">
        <v>46087.603310185186</v>
      </c>
    </row>
    <row r="5527" spans="1:7" x14ac:dyDescent="0.3">
      <c r="A5527">
        <v>17456</v>
      </c>
      <c r="B5527" t="s">
        <v>149</v>
      </c>
      <c r="C5527">
        <v>51026217</v>
      </c>
      <c r="D5527">
        <v>94.091086111055105</v>
      </c>
      <c r="E5527" t="s">
        <v>92</v>
      </c>
      <c r="F5527">
        <v>71</v>
      </c>
      <c r="G5527" s="4">
        <v>46087.603310185186</v>
      </c>
    </row>
    <row r="5528" spans="1:7" x14ac:dyDescent="0.3">
      <c r="A5528">
        <v>17457</v>
      </c>
      <c r="B5528" t="s">
        <v>149</v>
      </c>
      <c r="C5528">
        <v>51039165</v>
      </c>
      <c r="D5528">
        <v>68.211434591719609</v>
      </c>
      <c r="E5528" t="s">
        <v>93</v>
      </c>
      <c r="F5528">
        <v>554</v>
      </c>
      <c r="G5528" s="4">
        <v>46087.603310185186</v>
      </c>
    </row>
    <row r="5529" spans="1:7" x14ac:dyDescent="0.3">
      <c r="A5529">
        <v>17458</v>
      </c>
      <c r="B5529" t="s">
        <v>149</v>
      </c>
      <c r="C5529">
        <v>51006844</v>
      </c>
      <c r="D5529">
        <v>22.719672060339722</v>
      </c>
      <c r="E5529" t="s">
        <v>95</v>
      </c>
      <c r="F5529">
        <v>958</v>
      </c>
      <c r="G5529" s="4">
        <v>46087.603310185186</v>
      </c>
    </row>
    <row r="5530" spans="1:7" x14ac:dyDescent="0.3">
      <c r="A5530">
        <v>17459</v>
      </c>
      <c r="B5530" t="s">
        <v>149</v>
      </c>
      <c r="C5530">
        <v>51020995</v>
      </c>
      <c r="D5530">
        <v>22.125351824192144</v>
      </c>
      <c r="E5530" t="s">
        <v>95</v>
      </c>
      <c r="F5530">
        <v>965</v>
      </c>
      <c r="G5530" s="4">
        <v>46087.603310185186</v>
      </c>
    </row>
    <row r="5531" spans="1:7" x14ac:dyDescent="0.3">
      <c r="A5531">
        <v>17460</v>
      </c>
      <c r="B5531" t="s">
        <v>149</v>
      </c>
      <c r="C5531">
        <v>51023251</v>
      </c>
      <c r="D5531">
        <v>36.138680688067495</v>
      </c>
      <c r="E5531" t="s">
        <v>94</v>
      </c>
      <c r="F5531">
        <v>860</v>
      </c>
      <c r="G5531" s="4">
        <v>46087.603310185186</v>
      </c>
    </row>
    <row r="5532" spans="1:7" x14ac:dyDescent="0.3">
      <c r="A5532">
        <v>17461</v>
      </c>
      <c r="B5532" t="s">
        <v>149</v>
      </c>
      <c r="C5532">
        <v>51010205</v>
      </c>
      <c r="D5532">
        <v>44.721000312872903</v>
      </c>
      <c r="E5532" t="s">
        <v>94</v>
      </c>
      <c r="F5532">
        <v>827</v>
      </c>
      <c r="G5532" s="4">
        <v>46087.603310185186</v>
      </c>
    </row>
    <row r="5533" spans="1:7" x14ac:dyDescent="0.3">
      <c r="A5533">
        <v>17462</v>
      </c>
      <c r="B5533" t="s">
        <v>149</v>
      </c>
      <c r="C5533">
        <v>51056922</v>
      </c>
      <c r="D5533">
        <v>79.31670275990038</v>
      </c>
      <c r="E5533" t="s">
        <v>93</v>
      </c>
      <c r="F5533">
        <v>432</v>
      </c>
      <c r="G5533" s="4">
        <v>46087.603310185186</v>
      </c>
    </row>
    <row r="5534" spans="1:7" x14ac:dyDescent="0.3">
      <c r="A5534">
        <v>17463</v>
      </c>
      <c r="B5534" t="s">
        <v>149</v>
      </c>
      <c r="C5534">
        <v>51056299</v>
      </c>
      <c r="D5534">
        <v>91.648395190294906</v>
      </c>
      <c r="E5534" t="s">
        <v>92</v>
      </c>
      <c r="F5534">
        <v>108</v>
      </c>
      <c r="G5534" s="4">
        <v>46087.603310185186</v>
      </c>
    </row>
    <row r="5535" spans="1:7" x14ac:dyDescent="0.3">
      <c r="A5535">
        <v>17464</v>
      </c>
      <c r="B5535" t="s">
        <v>149</v>
      </c>
      <c r="C5535">
        <v>51010175</v>
      </c>
      <c r="D5535">
        <v>71.234643548387226</v>
      </c>
      <c r="E5535" t="s">
        <v>93</v>
      </c>
      <c r="F5535">
        <v>530</v>
      </c>
      <c r="G5535" s="4">
        <v>46087.603310185186</v>
      </c>
    </row>
    <row r="5536" spans="1:7" x14ac:dyDescent="0.3">
      <c r="A5536">
        <v>17465</v>
      </c>
      <c r="B5536" t="s">
        <v>149</v>
      </c>
      <c r="C5536">
        <v>51015355</v>
      </c>
      <c r="D5536">
        <v>49.906970750833715</v>
      </c>
      <c r="E5536" t="s">
        <v>94</v>
      </c>
      <c r="F5536">
        <v>773</v>
      </c>
      <c r="G5536" s="4">
        <v>46087.603310185186</v>
      </c>
    </row>
    <row r="5537" spans="1:7" x14ac:dyDescent="0.3">
      <c r="A5537">
        <v>17466</v>
      </c>
      <c r="B5537" t="s">
        <v>149</v>
      </c>
      <c r="C5537">
        <v>51010191</v>
      </c>
      <c r="D5537">
        <v>98.550077952087733</v>
      </c>
      <c r="E5537" t="s">
        <v>275</v>
      </c>
      <c r="F5537">
        <v>26</v>
      </c>
      <c r="G5537" s="4">
        <v>46087.603310185186</v>
      </c>
    </row>
    <row r="5538" spans="1:7" x14ac:dyDescent="0.3">
      <c r="A5538">
        <v>17467</v>
      </c>
      <c r="B5538" t="s">
        <v>149</v>
      </c>
      <c r="C5538">
        <v>51013051</v>
      </c>
      <c r="D5538">
        <v>59.486437434566469</v>
      </c>
      <c r="E5538" t="s">
        <v>94</v>
      </c>
      <c r="F5538">
        <v>659</v>
      </c>
      <c r="G5538" s="4">
        <v>46087.603310185186</v>
      </c>
    </row>
    <row r="5539" spans="1:7" x14ac:dyDescent="0.3">
      <c r="A5539">
        <v>17468</v>
      </c>
      <c r="B5539" t="s">
        <v>149</v>
      </c>
      <c r="C5539">
        <v>51032632</v>
      </c>
      <c r="D5539">
        <v>61.924270225431826</v>
      </c>
      <c r="E5539" t="s">
        <v>94</v>
      </c>
      <c r="F5539">
        <v>613</v>
      </c>
      <c r="G5539" s="4">
        <v>46087.603310185186</v>
      </c>
    </row>
    <row r="5540" spans="1:7" x14ac:dyDescent="0.3">
      <c r="A5540">
        <v>17469</v>
      </c>
      <c r="B5540" t="s">
        <v>149</v>
      </c>
      <c r="C5540">
        <v>51026322</v>
      </c>
      <c r="D5540">
        <v>78.568087913815873</v>
      </c>
      <c r="E5540" t="s">
        <v>93</v>
      </c>
      <c r="F5540">
        <v>443</v>
      </c>
      <c r="G5540" s="4">
        <v>46087.603310185186</v>
      </c>
    </row>
    <row r="5541" spans="1:7" x14ac:dyDescent="0.3">
      <c r="A5541">
        <v>17470</v>
      </c>
      <c r="B5541" t="s">
        <v>149</v>
      </c>
      <c r="C5541">
        <v>51019555</v>
      </c>
      <c r="D5541">
        <v>31.941492897941728</v>
      </c>
      <c r="E5541" t="s">
        <v>94</v>
      </c>
      <c r="F5541">
        <v>889</v>
      </c>
      <c r="G5541" s="4">
        <v>46087.603310185186</v>
      </c>
    </row>
    <row r="5542" spans="1:7" x14ac:dyDescent="0.3">
      <c r="A5542">
        <v>17471</v>
      </c>
      <c r="B5542" t="s">
        <v>149</v>
      </c>
      <c r="C5542">
        <v>51009991</v>
      </c>
      <c r="D5542">
        <v>83.387872981757752</v>
      </c>
      <c r="E5542" t="s">
        <v>93</v>
      </c>
      <c r="F5542">
        <v>312</v>
      </c>
      <c r="G5542" s="4">
        <v>46087.603310185186</v>
      </c>
    </row>
    <row r="5543" spans="1:7" x14ac:dyDescent="0.3">
      <c r="A5543">
        <v>17472</v>
      </c>
      <c r="B5543" t="s">
        <v>149</v>
      </c>
      <c r="C5543">
        <v>51025822</v>
      </c>
      <c r="D5543">
        <v>73.024689011288075</v>
      </c>
      <c r="E5543" t="s">
        <v>93</v>
      </c>
      <c r="F5543">
        <v>511</v>
      </c>
      <c r="G5543" s="4">
        <v>46087.603310185186</v>
      </c>
    </row>
    <row r="5544" spans="1:7" x14ac:dyDescent="0.3">
      <c r="A5544">
        <v>17473</v>
      </c>
      <c r="B5544" t="s">
        <v>149</v>
      </c>
      <c r="C5544">
        <v>51012500</v>
      </c>
      <c r="D5544">
        <v>59.854618036875344</v>
      </c>
      <c r="E5544" t="s">
        <v>94</v>
      </c>
      <c r="F5544">
        <v>651</v>
      </c>
      <c r="G5544" s="4">
        <v>46087.603310185186</v>
      </c>
    </row>
    <row r="5545" spans="1:7" x14ac:dyDescent="0.3">
      <c r="A5545">
        <v>17474</v>
      </c>
      <c r="B5545" t="s">
        <v>149</v>
      </c>
      <c r="C5545">
        <v>51015797</v>
      </c>
      <c r="D5545">
        <v>85.749591884801475</v>
      </c>
      <c r="E5545" t="s">
        <v>93</v>
      </c>
      <c r="F5545">
        <v>244</v>
      </c>
      <c r="G5545" s="4">
        <v>46087.603310185186</v>
      </c>
    </row>
    <row r="5546" spans="1:7" x14ac:dyDescent="0.3">
      <c r="A5546">
        <v>17475</v>
      </c>
      <c r="B5546" t="s">
        <v>149</v>
      </c>
      <c r="C5546">
        <v>51014782</v>
      </c>
      <c r="D5546">
        <v>81.346508553537092</v>
      </c>
      <c r="E5546" t="s">
        <v>93</v>
      </c>
      <c r="F5546">
        <v>388</v>
      </c>
      <c r="G5546" s="4">
        <v>46087.603310185186</v>
      </c>
    </row>
    <row r="5547" spans="1:7" x14ac:dyDescent="0.3">
      <c r="A5547">
        <v>17476</v>
      </c>
      <c r="B5547" t="s">
        <v>149</v>
      </c>
      <c r="C5547">
        <v>51013077</v>
      </c>
      <c r="D5547">
        <v>89.150331612904537</v>
      </c>
      <c r="E5547" t="s">
        <v>92</v>
      </c>
      <c r="F5547">
        <v>147</v>
      </c>
      <c r="G5547" s="4">
        <v>46087.603310185186</v>
      </c>
    </row>
    <row r="5548" spans="1:7" x14ac:dyDescent="0.3">
      <c r="A5548">
        <v>17477</v>
      </c>
      <c r="B5548" t="s">
        <v>149</v>
      </c>
      <c r="C5548">
        <v>51002539</v>
      </c>
      <c r="D5548">
        <v>35.045847972778944</v>
      </c>
      <c r="E5548" t="s">
        <v>94</v>
      </c>
      <c r="F5548">
        <v>866</v>
      </c>
      <c r="G5548" s="4">
        <v>46087.603310185186</v>
      </c>
    </row>
    <row r="5549" spans="1:7" x14ac:dyDescent="0.3">
      <c r="A5549">
        <v>17478</v>
      </c>
      <c r="B5549" t="s">
        <v>149</v>
      </c>
      <c r="C5549">
        <v>51031806</v>
      </c>
      <c r="D5549">
        <v>47.530104423676676</v>
      </c>
      <c r="E5549" t="s">
        <v>94</v>
      </c>
      <c r="F5549">
        <v>799</v>
      </c>
      <c r="G5549" s="4">
        <v>46087.603310185186</v>
      </c>
    </row>
    <row r="5550" spans="1:7" x14ac:dyDescent="0.3">
      <c r="A5550">
        <v>17479</v>
      </c>
      <c r="B5550" t="s">
        <v>149</v>
      </c>
      <c r="C5550">
        <v>51044410</v>
      </c>
      <c r="D5550">
        <v>62.488069719932298</v>
      </c>
      <c r="E5550" t="s">
        <v>94</v>
      </c>
      <c r="F5550">
        <v>601</v>
      </c>
      <c r="G5550" s="4">
        <v>46087.603310185186</v>
      </c>
    </row>
    <row r="5551" spans="1:7" x14ac:dyDescent="0.3">
      <c r="A5551">
        <v>17480</v>
      </c>
      <c r="B5551" t="s">
        <v>149</v>
      </c>
      <c r="C5551">
        <v>51033248</v>
      </c>
      <c r="D5551">
        <v>28.33861668798961</v>
      </c>
      <c r="E5551" t="s">
        <v>94</v>
      </c>
      <c r="F5551">
        <v>925</v>
      </c>
      <c r="G5551" s="4">
        <v>46087.603310185186</v>
      </c>
    </row>
    <row r="5552" spans="1:7" x14ac:dyDescent="0.3">
      <c r="A5552">
        <v>17481</v>
      </c>
      <c r="B5552" t="s">
        <v>149</v>
      </c>
      <c r="C5552">
        <v>51025318</v>
      </c>
      <c r="D5552">
        <v>80.156816830530701</v>
      </c>
      <c r="E5552" t="s">
        <v>93</v>
      </c>
      <c r="F5552">
        <v>417</v>
      </c>
      <c r="G5552" s="4">
        <v>46087.603310185186</v>
      </c>
    </row>
    <row r="5553" spans="1:7" x14ac:dyDescent="0.3">
      <c r="A5553">
        <v>17482</v>
      </c>
      <c r="B5553" t="s">
        <v>149</v>
      </c>
      <c r="C5553">
        <v>51031687</v>
      </c>
      <c r="D5553">
        <v>78.526349916537654</v>
      </c>
      <c r="E5553" t="s">
        <v>93</v>
      </c>
      <c r="F5553">
        <v>445</v>
      </c>
      <c r="G5553" s="4">
        <v>46087.603310185186</v>
      </c>
    </row>
    <row r="5554" spans="1:7" x14ac:dyDescent="0.3">
      <c r="A5554">
        <v>17483</v>
      </c>
      <c r="B5554" t="s">
        <v>149</v>
      </c>
      <c r="C5554">
        <v>51055861</v>
      </c>
      <c r="D5554">
        <v>56.840909972944566</v>
      </c>
      <c r="E5554" t="s">
        <v>94</v>
      </c>
      <c r="F5554">
        <v>716</v>
      </c>
      <c r="G5554" s="4">
        <v>46087.603310185186</v>
      </c>
    </row>
    <row r="5555" spans="1:7" x14ac:dyDescent="0.3">
      <c r="A5555">
        <v>17484</v>
      </c>
      <c r="B5555" t="s">
        <v>149</v>
      </c>
      <c r="C5555">
        <v>51019407</v>
      </c>
      <c r="D5555">
        <v>51.619312030362025</v>
      </c>
      <c r="E5555" t="s">
        <v>94</v>
      </c>
      <c r="F5555">
        <v>761</v>
      </c>
      <c r="G5555" s="4">
        <v>46087.603310185186</v>
      </c>
    </row>
    <row r="5556" spans="1:7" x14ac:dyDescent="0.3">
      <c r="A5556">
        <v>17485</v>
      </c>
      <c r="B5556" t="s">
        <v>149</v>
      </c>
      <c r="C5556">
        <v>51012411</v>
      </c>
      <c r="D5556">
        <v>32.799999999999997</v>
      </c>
      <c r="E5556" t="s">
        <v>94</v>
      </c>
      <c r="F5556">
        <v>880</v>
      </c>
      <c r="G5556" s="4">
        <v>46087.603310185186</v>
      </c>
    </row>
    <row r="5557" spans="1:7" x14ac:dyDescent="0.3">
      <c r="A5557">
        <v>17486</v>
      </c>
      <c r="B5557" t="s">
        <v>149</v>
      </c>
      <c r="C5557">
        <v>51020171</v>
      </c>
      <c r="D5557">
        <v>30.098000000000003</v>
      </c>
      <c r="E5557" t="s">
        <v>94</v>
      </c>
      <c r="F5557">
        <v>909</v>
      </c>
      <c r="G5557" s="4">
        <v>46087.603310185186</v>
      </c>
    </row>
    <row r="5558" spans="1:7" x14ac:dyDescent="0.3">
      <c r="A5558">
        <v>17487</v>
      </c>
      <c r="B5558" t="s">
        <v>149</v>
      </c>
      <c r="C5558">
        <v>51029488</v>
      </c>
      <c r="D5558">
        <v>27.872187002115197</v>
      </c>
      <c r="E5558" t="s">
        <v>94</v>
      </c>
      <c r="F5558">
        <v>931</v>
      </c>
      <c r="G5558" s="4">
        <v>46087.603310185186</v>
      </c>
    </row>
    <row r="5559" spans="1:7" x14ac:dyDescent="0.3">
      <c r="A5559">
        <v>17488</v>
      </c>
      <c r="B5559" t="s">
        <v>149</v>
      </c>
      <c r="C5559">
        <v>51017633</v>
      </c>
      <c r="D5559">
        <v>86.340738515122325</v>
      </c>
      <c r="E5559" t="s">
        <v>92</v>
      </c>
      <c r="F5559">
        <v>221</v>
      </c>
      <c r="G5559" s="4">
        <v>46087.603310185186</v>
      </c>
    </row>
    <row r="5560" spans="1:7" x14ac:dyDescent="0.3">
      <c r="A5560">
        <v>17489</v>
      </c>
      <c r="B5560" t="s">
        <v>149</v>
      </c>
      <c r="C5560">
        <v>51056663</v>
      </c>
      <c r="D5560">
        <v>83.157951451705046</v>
      </c>
      <c r="E5560" t="s">
        <v>93</v>
      </c>
      <c r="F5560">
        <v>326</v>
      </c>
      <c r="G5560" s="4">
        <v>46087.603310185186</v>
      </c>
    </row>
    <row r="5561" spans="1:7" x14ac:dyDescent="0.3">
      <c r="A5561">
        <v>17490</v>
      </c>
      <c r="B5561" t="s">
        <v>149</v>
      </c>
      <c r="C5561">
        <v>51026063</v>
      </c>
      <c r="D5561">
        <v>90.16638714667404</v>
      </c>
      <c r="E5561" t="s">
        <v>92</v>
      </c>
      <c r="F5561">
        <v>126</v>
      </c>
      <c r="G5561" s="4">
        <v>46087.603310185186</v>
      </c>
    </row>
    <row r="5562" spans="1:7" x14ac:dyDescent="0.3">
      <c r="A5562">
        <v>17491</v>
      </c>
      <c r="B5562" t="s">
        <v>149</v>
      </c>
      <c r="C5562">
        <v>51043995</v>
      </c>
      <c r="D5562">
        <v>76.402267070434789</v>
      </c>
      <c r="E5562" t="s">
        <v>93</v>
      </c>
      <c r="F5562">
        <v>477</v>
      </c>
      <c r="G5562" s="4">
        <v>46087.603310185186</v>
      </c>
    </row>
    <row r="5563" spans="1:7" x14ac:dyDescent="0.3">
      <c r="A5563">
        <v>17492</v>
      </c>
      <c r="B5563" t="s">
        <v>149</v>
      </c>
      <c r="C5563">
        <v>51011074</v>
      </c>
      <c r="D5563">
        <v>92.126669849850586</v>
      </c>
      <c r="E5563" t="s">
        <v>92</v>
      </c>
      <c r="F5563">
        <v>97</v>
      </c>
      <c r="G5563" s="4">
        <v>46087.603310185186</v>
      </c>
    </row>
    <row r="5564" spans="1:7" x14ac:dyDescent="0.3">
      <c r="A5564">
        <v>17493</v>
      </c>
      <c r="B5564" t="s">
        <v>149</v>
      </c>
      <c r="C5564">
        <v>51003225</v>
      </c>
      <c r="D5564">
        <v>89.105357863884691</v>
      </c>
      <c r="E5564" t="s">
        <v>92</v>
      </c>
      <c r="F5564">
        <v>149</v>
      </c>
      <c r="G5564" s="4">
        <v>46087.603310185186</v>
      </c>
    </row>
    <row r="5565" spans="1:7" x14ac:dyDescent="0.3">
      <c r="A5565">
        <v>17494</v>
      </c>
      <c r="B5565" t="s">
        <v>149</v>
      </c>
      <c r="C5565">
        <v>51024966</v>
      </c>
      <c r="D5565">
        <v>78.465823694359869</v>
      </c>
      <c r="E5565" t="s">
        <v>93</v>
      </c>
      <c r="F5565">
        <v>447</v>
      </c>
      <c r="G5565" s="4">
        <v>46087.603310185186</v>
      </c>
    </row>
    <row r="5566" spans="1:7" x14ac:dyDescent="0.3">
      <c r="A5566">
        <v>17495</v>
      </c>
      <c r="B5566" t="s">
        <v>149</v>
      </c>
      <c r="C5566">
        <v>51038673</v>
      </c>
      <c r="D5566">
        <v>43.686240764766595</v>
      </c>
      <c r="E5566" t="s">
        <v>94</v>
      </c>
      <c r="F5566">
        <v>831</v>
      </c>
      <c r="G5566" s="4">
        <v>46087.603310185186</v>
      </c>
    </row>
    <row r="5567" spans="1:7" x14ac:dyDescent="0.3">
      <c r="A5567">
        <v>17496</v>
      </c>
      <c r="B5567" t="s">
        <v>149</v>
      </c>
      <c r="C5567">
        <v>51013271</v>
      </c>
      <c r="D5567">
        <v>84.341988312153404</v>
      </c>
      <c r="E5567" t="s">
        <v>93</v>
      </c>
      <c r="F5567">
        <v>279</v>
      </c>
      <c r="G5567" s="4">
        <v>46087.603310185186</v>
      </c>
    </row>
    <row r="5568" spans="1:7" x14ac:dyDescent="0.3">
      <c r="A5568">
        <v>17497</v>
      </c>
      <c r="B5568" t="s">
        <v>149</v>
      </c>
      <c r="C5568">
        <v>51038894</v>
      </c>
      <c r="D5568">
        <v>77.31802629960282</v>
      </c>
      <c r="E5568" t="s">
        <v>93</v>
      </c>
      <c r="F5568">
        <v>464</v>
      </c>
      <c r="G5568" s="4">
        <v>46087.603310185186</v>
      </c>
    </row>
    <row r="5569" spans="1:7" x14ac:dyDescent="0.3">
      <c r="A5569">
        <v>17498</v>
      </c>
      <c r="B5569" t="s">
        <v>149</v>
      </c>
      <c r="C5569">
        <v>51021843</v>
      </c>
      <c r="D5569">
        <v>83.322122724878326</v>
      </c>
      <c r="E5569" t="s">
        <v>93</v>
      </c>
      <c r="F5569">
        <v>318</v>
      </c>
      <c r="G5569" s="4">
        <v>46087.603310185186</v>
      </c>
    </row>
    <row r="5570" spans="1:7" x14ac:dyDescent="0.3">
      <c r="A5570">
        <v>17499</v>
      </c>
      <c r="B5570" t="s">
        <v>149</v>
      </c>
      <c r="C5570">
        <v>51024109</v>
      </c>
      <c r="D5570">
        <v>76.842186637422046</v>
      </c>
      <c r="E5570" t="s">
        <v>93</v>
      </c>
      <c r="F5570">
        <v>470</v>
      </c>
      <c r="G5570" s="4">
        <v>46087.603310185186</v>
      </c>
    </row>
    <row r="5571" spans="1:7" x14ac:dyDescent="0.3">
      <c r="A5571">
        <v>17500</v>
      </c>
      <c r="B5571" t="s">
        <v>149</v>
      </c>
      <c r="C5571">
        <v>51056159</v>
      </c>
      <c r="D5571">
        <v>96.492704705242033</v>
      </c>
      <c r="E5571" t="s">
        <v>275</v>
      </c>
      <c r="F5571">
        <v>48</v>
      </c>
      <c r="G5571" s="4">
        <v>46087.603310185186</v>
      </c>
    </row>
    <row r="5572" spans="1:7" x14ac:dyDescent="0.3">
      <c r="A5572">
        <v>17501</v>
      </c>
      <c r="B5572" t="s">
        <v>149</v>
      </c>
      <c r="C5572">
        <v>51036981</v>
      </c>
      <c r="D5572">
        <v>56.609127843652004</v>
      </c>
      <c r="E5572" t="s">
        <v>94</v>
      </c>
      <c r="F5572">
        <v>718</v>
      </c>
      <c r="G5572" s="4">
        <v>46087.603310185186</v>
      </c>
    </row>
    <row r="5573" spans="1:7" x14ac:dyDescent="0.3">
      <c r="A5573">
        <v>17502</v>
      </c>
      <c r="B5573" t="s">
        <v>149</v>
      </c>
      <c r="C5573">
        <v>51032519</v>
      </c>
      <c r="D5573">
        <v>60.945782180309081</v>
      </c>
      <c r="E5573" t="s">
        <v>94</v>
      </c>
      <c r="F5573">
        <v>633</v>
      </c>
      <c r="G5573" s="4">
        <v>46087.603310185186</v>
      </c>
    </row>
    <row r="5574" spans="1:7" x14ac:dyDescent="0.3">
      <c r="A5574">
        <v>17503</v>
      </c>
      <c r="B5574" t="s">
        <v>149</v>
      </c>
      <c r="C5574">
        <v>51055519</v>
      </c>
      <c r="D5574">
        <v>27.649386354091664</v>
      </c>
      <c r="E5574" t="s">
        <v>94</v>
      </c>
      <c r="F5574">
        <v>934</v>
      </c>
      <c r="G5574" s="4">
        <v>46087.603310185186</v>
      </c>
    </row>
    <row r="5575" spans="1:7" x14ac:dyDescent="0.3">
      <c r="A5575">
        <v>17504</v>
      </c>
      <c r="B5575" t="s">
        <v>149</v>
      </c>
      <c r="C5575">
        <v>51032969</v>
      </c>
      <c r="D5575">
        <v>55.268276327035139</v>
      </c>
      <c r="E5575" t="s">
        <v>94</v>
      </c>
      <c r="F5575">
        <v>731</v>
      </c>
      <c r="G5575" s="4">
        <v>46087.603310185186</v>
      </c>
    </row>
    <row r="5576" spans="1:7" x14ac:dyDescent="0.3">
      <c r="A5576">
        <v>17505</v>
      </c>
      <c r="B5576" t="s">
        <v>149</v>
      </c>
      <c r="C5576">
        <v>51017587</v>
      </c>
      <c r="D5576">
        <v>73.709681128062243</v>
      </c>
      <c r="E5576" t="s">
        <v>93</v>
      </c>
      <c r="F5576">
        <v>503</v>
      </c>
      <c r="G5576" s="4">
        <v>46087.603310185186</v>
      </c>
    </row>
    <row r="5577" spans="1:7" x14ac:dyDescent="0.3">
      <c r="A5577">
        <v>17506</v>
      </c>
      <c r="B5577" t="s">
        <v>149</v>
      </c>
      <c r="C5577">
        <v>51018214</v>
      </c>
      <c r="D5577">
        <v>28.27</v>
      </c>
      <c r="E5577" t="s">
        <v>94</v>
      </c>
      <c r="F5577">
        <v>927</v>
      </c>
      <c r="G5577" s="4">
        <v>46087.603310185186</v>
      </c>
    </row>
    <row r="5578" spans="1:7" x14ac:dyDescent="0.3">
      <c r="A5578">
        <v>17507</v>
      </c>
      <c r="B5578" t="s">
        <v>149</v>
      </c>
      <c r="C5578">
        <v>51016661</v>
      </c>
      <c r="D5578">
        <v>86.359292725320856</v>
      </c>
      <c r="E5578" t="s">
        <v>92</v>
      </c>
      <c r="F5578">
        <v>220</v>
      </c>
      <c r="G5578" s="4">
        <v>46087.603310185186</v>
      </c>
    </row>
    <row r="5579" spans="1:7" x14ac:dyDescent="0.3">
      <c r="A5579">
        <v>17508</v>
      </c>
      <c r="B5579" t="s">
        <v>149</v>
      </c>
      <c r="C5579">
        <v>51002296</v>
      </c>
      <c r="D5579">
        <v>72.798025411778269</v>
      </c>
      <c r="E5579" t="s">
        <v>93</v>
      </c>
      <c r="F5579">
        <v>514</v>
      </c>
      <c r="G5579" s="4">
        <v>46087.603310185186</v>
      </c>
    </row>
    <row r="5580" spans="1:7" x14ac:dyDescent="0.3">
      <c r="A5580">
        <v>17509</v>
      </c>
      <c r="B5580" t="s">
        <v>149</v>
      </c>
      <c r="C5580">
        <v>51016998</v>
      </c>
      <c r="D5580">
        <v>19.318827207018206</v>
      </c>
      <c r="E5580" t="s">
        <v>95</v>
      </c>
      <c r="F5580">
        <v>997</v>
      </c>
      <c r="G5580" s="4">
        <v>46087.603310185186</v>
      </c>
    </row>
    <row r="5581" spans="1:7" x14ac:dyDescent="0.3">
      <c r="A5581">
        <v>17510</v>
      </c>
      <c r="B5581" t="s">
        <v>149</v>
      </c>
      <c r="C5581">
        <v>51005325</v>
      </c>
      <c r="D5581">
        <v>48.738214618117979</v>
      </c>
      <c r="E5581" t="s">
        <v>94</v>
      </c>
      <c r="F5581">
        <v>783</v>
      </c>
      <c r="G5581" s="4">
        <v>46087.603310185186</v>
      </c>
    </row>
    <row r="5582" spans="1:7" x14ac:dyDescent="0.3">
      <c r="A5582">
        <v>17511</v>
      </c>
      <c r="B5582" t="s">
        <v>149</v>
      </c>
      <c r="C5582">
        <v>51011937</v>
      </c>
      <c r="D5582">
        <v>80.995595017106339</v>
      </c>
      <c r="E5582" t="s">
        <v>93</v>
      </c>
      <c r="F5582">
        <v>393</v>
      </c>
      <c r="G5582" s="4">
        <v>46087.603310185186</v>
      </c>
    </row>
    <row r="5583" spans="1:7" x14ac:dyDescent="0.3">
      <c r="A5583">
        <v>17512</v>
      </c>
      <c r="B5583" t="s">
        <v>149</v>
      </c>
      <c r="C5583">
        <v>51033191</v>
      </c>
      <c r="D5583">
        <v>87.848517681950483</v>
      </c>
      <c r="E5583" t="s">
        <v>92</v>
      </c>
      <c r="F5583">
        <v>182</v>
      </c>
      <c r="G5583" s="4">
        <v>46087.603310185186</v>
      </c>
    </row>
    <row r="5584" spans="1:7" x14ac:dyDescent="0.3">
      <c r="A5584">
        <v>17513</v>
      </c>
      <c r="B5584" t="s">
        <v>149</v>
      </c>
      <c r="C5584">
        <v>51032560</v>
      </c>
      <c r="D5584">
        <v>91.739009576693249</v>
      </c>
      <c r="E5584" t="s">
        <v>92</v>
      </c>
      <c r="F5584">
        <v>104</v>
      </c>
      <c r="G5584" s="4">
        <v>46087.603310185186</v>
      </c>
    </row>
    <row r="5585" spans="1:7" x14ac:dyDescent="0.3">
      <c r="A5585">
        <v>17514</v>
      </c>
      <c r="B5585" t="s">
        <v>149</v>
      </c>
      <c r="C5585">
        <v>51056302</v>
      </c>
      <c r="D5585">
        <v>61.234849090839639</v>
      </c>
      <c r="E5585" t="s">
        <v>94</v>
      </c>
      <c r="F5585">
        <v>626</v>
      </c>
      <c r="G5585" s="4">
        <v>46087.603310185186</v>
      </c>
    </row>
    <row r="5586" spans="1:7" x14ac:dyDescent="0.3">
      <c r="A5586">
        <v>17515</v>
      </c>
      <c r="B5586" t="s">
        <v>149</v>
      </c>
      <c r="C5586">
        <v>51032659</v>
      </c>
      <c r="D5586">
        <v>86.579710100309057</v>
      </c>
      <c r="E5586" t="s">
        <v>92</v>
      </c>
      <c r="F5586">
        <v>214</v>
      </c>
      <c r="G5586" s="4">
        <v>46087.603310185186</v>
      </c>
    </row>
    <row r="5587" spans="1:7" x14ac:dyDescent="0.3">
      <c r="A5587">
        <v>17516</v>
      </c>
      <c r="B5587" t="s">
        <v>149</v>
      </c>
      <c r="C5587">
        <v>51017129</v>
      </c>
      <c r="D5587">
        <v>83.495210638219078</v>
      </c>
      <c r="E5587" t="s">
        <v>93</v>
      </c>
      <c r="F5587">
        <v>306</v>
      </c>
      <c r="G5587" s="4">
        <v>46087.603310185186</v>
      </c>
    </row>
    <row r="5588" spans="1:7" x14ac:dyDescent="0.3">
      <c r="A5588">
        <v>17517</v>
      </c>
      <c r="B5588" t="s">
        <v>149</v>
      </c>
      <c r="C5588">
        <v>51036191</v>
      </c>
      <c r="D5588">
        <v>57.246744407401778</v>
      </c>
      <c r="E5588" t="s">
        <v>94</v>
      </c>
      <c r="F5588">
        <v>709</v>
      </c>
      <c r="G5588" s="4">
        <v>46087.603310185186</v>
      </c>
    </row>
    <row r="5589" spans="1:7" x14ac:dyDescent="0.3">
      <c r="A5589">
        <v>17518</v>
      </c>
      <c r="B5589" t="s">
        <v>149</v>
      </c>
      <c r="C5589">
        <v>51011562</v>
      </c>
      <c r="D5589">
        <v>61.26187966398156</v>
      </c>
      <c r="E5589" t="s">
        <v>94</v>
      </c>
      <c r="F5589">
        <v>625</v>
      </c>
      <c r="G5589" s="4">
        <v>46087.603310185186</v>
      </c>
    </row>
    <row r="5590" spans="1:7" x14ac:dyDescent="0.3">
      <c r="A5590">
        <v>17519</v>
      </c>
      <c r="B5590" t="s">
        <v>149</v>
      </c>
      <c r="C5590">
        <v>51018346</v>
      </c>
      <c r="D5590">
        <v>99.422057289696028</v>
      </c>
      <c r="E5590" t="s">
        <v>275</v>
      </c>
      <c r="F5590">
        <v>20</v>
      </c>
      <c r="G5590" s="4">
        <v>46087.603310185186</v>
      </c>
    </row>
    <row r="5591" spans="1:7" x14ac:dyDescent="0.3">
      <c r="A5591">
        <v>17520</v>
      </c>
      <c r="B5591" t="s">
        <v>149</v>
      </c>
      <c r="C5591">
        <v>51042514</v>
      </c>
      <c r="D5591">
        <v>38.351428838988149</v>
      </c>
      <c r="E5591" t="s">
        <v>94</v>
      </c>
      <c r="F5591">
        <v>850</v>
      </c>
      <c r="G5591" s="4">
        <v>46087.603310185186</v>
      </c>
    </row>
    <row r="5592" spans="1:7" x14ac:dyDescent="0.3">
      <c r="A5592">
        <v>17521</v>
      </c>
      <c r="B5592" t="s">
        <v>149</v>
      </c>
      <c r="C5592">
        <v>51056906</v>
      </c>
      <c r="D5592">
        <v>73.210975814219822</v>
      </c>
      <c r="E5592" t="s">
        <v>93</v>
      </c>
      <c r="F5592">
        <v>509</v>
      </c>
      <c r="G5592" s="4">
        <v>46087.603310185186</v>
      </c>
    </row>
    <row r="5593" spans="1:7" x14ac:dyDescent="0.3">
      <c r="A5593">
        <v>17522</v>
      </c>
      <c r="B5593" t="s">
        <v>149</v>
      </c>
      <c r="C5593">
        <v>51043375</v>
      </c>
      <c r="D5593">
        <v>91.65613060421245</v>
      </c>
      <c r="E5593" t="s">
        <v>92</v>
      </c>
      <c r="F5593">
        <v>107</v>
      </c>
      <c r="G5593" s="4">
        <v>46087.603310185186</v>
      </c>
    </row>
    <row r="5594" spans="1:7" x14ac:dyDescent="0.3">
      <c r="A5594">
        <v>17523</v>
      </c>
      <c r="B5594" t="s">
        <v>149</v>
      </c>
      <c r="C5594">
        <v>51055691</v>
      </c>
      <c r="D5594">
        <v>47.453793912519359</v>
      </c>
      <c r="E5594" t="s">
        <v>94</v>
      </c>
      <c r="F5594">
        <v>802</v>
      </c>
      <c r="G5594" s="4">
        <v>46087.603310185186</v>
      </c>
    </row>
    <row r="5595" spans="1:7" x14ac:dyDescent="0.3">
      <c r="A5595">
        <v>17524</v>
      </c>
      <c r="B5595" t="s">
        <v>149</v>
      </c>
      <c r="C5595">
        <v>51018958</v>
      </c>
      <c r="D5595">
        <v>99.15792834321681</v>
      </c>
      <c r="E5595" t="s">
        <v>275</v>
      </c>
      <c r="F5595">
        <v>22</v>
      </c>
      <c r="G5595" s="4">
        <v>46087.603310185186</v>
      </c>
    </row>
    <row r="5596" spans="1:7" x14ac:dyDescent="0.3">
      <c r="A5596">
        <v>17525</v>
      </c>
      <c r="B5596" t="s">
        <v>149</v>
      </c>
      <c r="C5596">
        <v>51054903</v>
      </c>
      <c r="D5596">
        <v>83.497842634706913</v>
      </c>
      <c r="E5596" t="s">
        <v>93</v>
      </c>
      <c r="F5596">
        <v>305</v>
      </c>
      <c r="G5596" s="4">
        <v>46087.603310185186</v>
      </c>
    </row>
    <row r="5597" spans="1:7" x14ac:dyDescent="0.3">
      <c r="A5597">
        <v>17526</v>
      </c>
      <c r="B5597" t="s">
        <v>149</v>
      </c>
      <c r="C5597">
        <v>51022084</v>
      </c>
      <c r="D5597">
        <v>54.102169777479354</v>
      </c>
      <c r="E5597" t="s">
        <v>94</v>
      </c>
      <c r="F5597">
        <v>743</v>
      </c>
      <c r="G5597" s="4">
        <v>46087.603310185186</v>
      </c>
    </row>
    <row r="5598" spans="1:7" x14ac:dyDescent="0.3">
      <c r="A5598">
        <v>17527</v>
      </c>
      <c r="B5598" t="s">
        <v>149</v>
      </c>
      <c r="C5598">
        <v>51019202</v>
      </c>
      <c r="D5598">
        <v>83.207285467773801</v>
      </c>
      <c r="E5598" t="s">
        <v>93</v>
      </c>
      <c r="F5598">
        <v>322</v>
      </c>
      <c r="G5598" s="4">
        <v>46087.603310185186</v>
      </c>
    </row>
    <row r="5599" spans="1:7" x14ac:dyDescent="0.3">
      <c r="A5599">
        <v>17528</v>
      </c>
      <c r="B5599" t="s">
        <v>149</v>
      </c>
      <c r="C5599">
        <v>51054920</v>
      </c>
      <c r="D5599">
        <v>23.021264835159901</v>
      </c>
      <c r="E5599" t="s">
        <v>94</v>
      </c>
      <c r="F5599">
        <v>953</v>
      </c>
      <c r="G5599" s="4">
        <v>46087.603310185186</v>
      </c>
    </row>
    <row r="5600" spans="1:7" x14ac:dyDescent="0.3">
      <c r="A5600">
        <v>17529</v>
      </c>
      <c r="B5600" t="s">
        <v>149</v>
      </c>
      <c r="C5600">
        <v>51010663</v>
      </c>
      <c r="D5600">
        <v>86.184444374106249</v>
      </c>
      <c r="E5600" t="s">
        <v>92</v>
      </c>
      <c r="F5600">
        <v>234</v>
      </c>
      <c r="G5600" s="4">
        <v>46087.603310185186</v>
      </c>
    </row>
    <row r="5601" spans="1:7" x14ac:dyDescent="0.3">
      <c r="A5601">
        <v>17530</v>
      </c>
      <c r="B5601" t="s">
        <v>149</v>
      </c>
      <c r="C5601">
        <v>51016866</v>
      </c>
      <c r="D5601">
        <v>50.335982527365303</v>
      </c>
      <c r="E5601" t="s">
        <v>94</v>
      </c>
      <c r="F5601">
        <v>769</v>
      </c>
      <c r="G5601" s="4">
        <v>46087.603310185186</v>
      </c>
    </row>
    <row r="5602" spans="1:7" x14ac:dyDescent="0.3">
      <c r="A5602">
        <v>17531</v>
      </c>
      <c r="B5602" t="s">
        <v>149</v>
      </c>
      <c r="C5602">
        <v>51030184</v>
      </c>
      <c r="D5602">
        <v>84.035911612610178</v>
      </c>
      <c r="E5602" t="s">
        <v>93</v>
      </c>
      <c r="F5602">
        <v>289</v>
      </c>
      <c r="G5602" s="4">
        <v>46087.603310185186</v>
      </c>
    </row>
    <row r="5603" spans="1:7" x14ac:dyDescent="0.3">
      <c r="A5603">
        <v>17532</v>
      </c>
      <c r="B5603" t="s">
        <v>149</v>
      </c>
      <c r="C5603">
        <v>51015428</v>
      </c>
      <c r="D5603">
        <v>60.301506334290352</v>
      </c>
      <c r="E5603" t="s">
        <v>94</v>
      </c>
      <c r="F5603">
        <v>646</v>
      </c>
      <c r="G5603" s="4">
        <v>46087.603310185186</v>
      </c>
    </row>
    <row r="5604" spans="1:7" x14ac:dyDescent="0.3">
      <c r="A5604">
        <v>17533</v>
      </c>
      <c r="B5604" t="s">
        <v>149</v>
      </c>
      <c r="C5604">
        <v>51036557</v>
      </c>
      <c r="D5604">
        <v>33.10064368298292</v>
      </c>
      <c r="E5604" t="s">
        <v>94</v>
      </c>
      <c r="F5604">
        <v>876</v>
      </c>
      <c r="G5604" s="4">
        <v>46087.603310185186</v>
      </c>
    </row>
    <row r="5605" spans="1:7" x14ac:dyDescent="0.3">
      <c r="A5605">
        <v>17534</v>
      </c>
      <c r="B5605" t="s">
        <v>149</v>
      </c>
      <c r="C5605">
        <v>51056175</v>
      </c>
      <c r="D5605">
        <v>31.047320831985584</v>
      </c>
      <c r="E5605" t="s">
        <v>94</v>
      </c>
      <c r="F5605">
        <v>898</v>
      </c>
      <c r="G5605" s="4">
        <v>46087.603310185186</v>
      </c>
    </row>
    <row r="5606" spans="1:7" x14ac:dyDescent="0.3">
      <c r="A5606">
        <v>17535</v>
      </c>
      <c r="B5606" t="s">
        <v>149</v>
      </c>
      <c r="C5606">
        <v>51039190</v>
      </c>
      <c r="D5606">
        <v>26.348359857596797</v>
      </c>
      <c r="E5606" t="s">
        <v>94</v>
      </c>
      <c r="F5606">
        <v>939</v>
      </c>
      <c r="G5606" s="4">
        <v>46087.603310185186</v>
      </c>
    </row>
    <row r="5607" spans="1:7" x14ac:dyDescent="0.3">
      <c r="A5607">
        <v>17536</v>
      </c>
      <c r="B5607" t="s">
        <v>149</v>
      </c>
      <c r="C5607">
        <v>51056604</v>
      </c>
      <c r="D5607">
        <v>79.588225164565671</v>
      </c>
      <c r="E5607" t="s">
        <v>93</v>
      </c>
      <c r="F5607">
        <v>428</v>
      </c>
      <c r="G5607" s="4">
        <v>46087.603310185186</v>
      </c>
    </row>
    <row r="5608" spans="1:7" x14ac:dyDescent="0.3">
      <c r="A5608">
        <v>17537</v>
      </c>
      <c r="B5608" t="s">
        <v>149</v>
      </c>
      <c r="C5608">
        <v>51021789</v>
      </c>
      <c r="D5608">
        <v>70.952667223293332</v>
      </c>
      <c r="E5608" t="s">
        <v>93</v>
      </c>
      <c r="F5608">
        <v>532</v>
      </c>
      <c r="G5608" s="4">
        <v>46087.603310185186</v>
      </c>
    </row>
    <row r="5609" spans="1:7" x14ac:dyDescent="0.3">
      <c r="A5609">
        <v>17538</v>
      </c>
      <c r="B5609" t="s">
        <v>149</v>
      </c>
      <c r="C5609">
        <v>51056795</v>
      </c>
      <c r="D5609">
        <v>58.561210050085762</v>
      </c>
      <c r="E5609" t="s">
        <v>94</v>
      </c>
      <c r="F5609">
        <v>672</v>
      </c>
      <c r="G5609" s="4">
        <v>46087.603310185186</v>
      </c>
    </row>
    <row r="5610" spans="1:7" x14ac:dyDescent="0.3">
      <c r="A5610">
        <v>17539</v>
      </c>
      <c r="B5610" t="s">
        <v>149</v>
      </c>
      <c r="C5610">
        <v>51056931</v>
      </c>
      <c r="D5610">
        <v>45.562296201178015</v>
      </c>
      <c r="E5610" t="s">
        <v>94</v>
      </c>
      <c r="F5610">
        <v>820</v>
      </c>
      <c r="G5610" s="4">
        <v>46087.603310185186</v>
      </c>
    </row>
    <row r="5611" spans="1:7" x14ac:dyDescent="0.3">
      <c r="A5611">
        <v>17540</v>
      </c>
      <c r="B5611" t="s">
        <v>149</v>
      </c>
      <c r="C5611">
        <v>51014120</v>
      </c>
      <c r="D5611">
        <v>78.597282269053096</v>
      </c>
      <c r="E5611" t="s">
        <v>93</v>
      </c>
      <c r="F5611">
        <v>442</v>
      </c>
      <c r="G5611" s="4">
        <v>46087.603310185186</v>
      </c>
    </row>
    <row r="5612" spans="1:7" x14ac:dyDescent="0.3">
      <c r="A5612">
        <v>17541</v>
      </c>
      <c r="B5612" t="s">
        <v>149</v>
      </c>
      <c r="C5612">
        <v>51036182</v>
      </c>
      <c r="D5612">
        <v>68.685104446461096</v>
      </c>
      <c r="E5612" t="s">
        <v>93</v>
      </c>
      <c r="F5612">
        <v>552</v>
      </c>
      <c r="G5612" s="4">
        <v>46087.603310185186</v>
      </c>
    </row>
    <row r="5613" spans="1:7" x14ac:dyDescent="0.3">
      <c r="A5613">
        <v>17542</v>
      </c>
      <c r="B5613" t="s">
        <v>149</v>
      </c>
      <c r="C5613">
        <v>51011465</v>
      </c>
      <c r="D5613">
        <v>64.984742128334034</v>
      </c>
      <c r="E5613" t="s">
        <v>93</v>
      </c>
      <c r="F5613">
        <v>573</v>
      </c>
      <c r="G5613" s="4">
        <v>46087.603310185186</v>
      </c>
    </row>
    <row r="5614" spans="1:7" x14ac:dyDescent="0.3">
      <c r="A5614">
        <v>17543</v>
      </c>
      <c r="B5614" t="s">
        <v>149</v>
      </c>
      <c r="C5614">
        <v>51006151</v>
      </c>
      <c r="D5614">
        <v>62.313321723629734</v>
      </c>
      <c r="E5614" t="s">
        <v>94</v>
      </c>
      <c r="F5614">
        <v>605</v>
      </c>
      <c r="G5614" s="4">
        <v>46087.603310185186</v>
      </c>
    </row>
    <row r="5615" spans="1:7" x14ac:dyDescent="0.3">
      <c r="A5615">
        <v>17544</v>
      </c>
      <c r="B5615" t="s">
        <v>149</v>
      </c>
      <c r="C5615">
        <v>51033418</v>
      </c>
      <c r="D5615">
        <v>17.080741510415525</v>
      </c>
      <c r="E5615" t="s">
        <v>95</v>
      </c>
      <c r="F5615">
        <v>1046</v>
      </c>
      <c r="G5615" s="4">
        <v>46087.603310185186</v>
      </c>
    </row>
    <row r="5616" spans="1:7" x14ac:dyDescent="0.3">
      <c r="A5616">
        <v>17545</v>
      </c>
      <c r="B5616" t="s">
        <v>149</v>
      </c>
      <c r="C5616">
        <v>51007841</v>
      </c>
      <c r="D5616">
        <v>93.372541349880564</v>
      </c>
      <c r="E5616" t="s">
        <v>92</v>
      </c>
      <c r="F5616">
        <v>81</v>
      </c>
      <c r="G5616" s="4">
        <v>46087.603310185186</v>
      </c>
    </row>
    <row r="5617" spans="1:7" x14ac:dyDescent="0.3">
      <c r="A5617">
        <v>17546</v>
      </c>
      <c r="B5617" t="s">
        <v>149</v>
      </c>
      <c r="C5617">
        <v>51016602</v>
      </c>
      <c r="D5617">
        <v>78.926388702490527</v>
      </c>
      <c r="E5617" t="s">
        <v>93</v>
      </c>
      <c r="F5617">
        <v>437</v>
      </c>
      <c r="G5617" s="4">
        <v>46087.603310185186</v>
      </c>
    </row>
    <row r="5618" spans="1:7" x14ac:dyDescent="0.3">
      <c r="A5618">
        <v>17547</v>
      </c>
      <c r="B5618" t="s">
        <v>149</v>
      </c>
      <c r="C5618">
        <v>51036077</v>
      </c>
      <c r="D5618">
        <v>17.091435995830697</v>
      </c>
      <c r="E5618" t="s">
        <v>95</v>
      </c>
      <c r="F5618">
        <v>1045</v>
      </c>
      <c r="G5618" s="4">
        <v>46087.603310185186</v>
      </c>
    </row>
    <row r="5619" spans="1:7" x14ac:dyDescent="0.3">
      <c r="A5619">
        <v>17548</v>
      </c>
      <c r="B5619" t="s">
        <v>149</v>
      </c>
      <c r="C5619">
        <v>51013662</v>
      </c>
      <c r="D5619">
        <v>89.536770303162299</v>
      </c>
      <c r="E5619" t="s">
        <v>92</v>
      </c>
      <c r="F5619">
        <v>141</v>
      </c>
      <c r="G5619" s="4">
        <v>46087.603310185186</v>
      </c>
    </row>
    <row r="5620" spans="1:7" x14ac:dyDescent="0.3">
      <c r="A5620">
        <v>17549</v>
      </c>
      <c r="B5620" t="s">
        <v>149</v>
      </c>
      <c r="C5620">
        <v>51010248</v>
      </c>
      <c r="D5620">
        <v>71.451463436428696</v>
      </c>
      <c r="E5620" t="s">
        <v>93</v>
      </c>
      <c r="F5620">
        <v>526</v>
      </c>
      <c r="G5620" s="4">
        <v>46087.603310185186</v>
      </c>
    </row>
    <row r="5621" spans="1:7" x14ac:dyDescent="0.3">
      <c r="A5621">
        <v>17550</v>
      </c>
      <c r="B5621" t="s">
        <v>149</v>
      </c>
      <c r="C5621">
        <v>51055764</v>
      </c>
      <c r="D5621">
        <v>75.052319226346228</v>
      </c>
      <c r="E5621" t="s">
        <v>93</v>
      </c>
      <c r="F5621">
        <v>492</v>
      </c>
      <c r="G5621" s="4">
        <v>46087.603310185186</v>
      </c>
    </row>
    <row r="5622" spans="1:7" x14ac:dyDescent="0.3">
      <c r="A5622">
        <v>17551</v>
      </c>
      <c r="B5622" t="s">
        <v>149</v>
      </c>
      <c r="C5622">
        <v>51012496</v>
      </c>
      <c r="D5622">
        <v>99.024985500485727</v>
      </c>
      <c r="E5622" t="s">
        <v>275</v>
      </c>
      <c r="F5622">
        <v>23</v>
      </c>
      <c r="G5622" s="4">
        <v>46087.603310185186</v>
      </c>
    </row>
    <row r="5623" spans="1:7" x14ac:dyDescent="0.3">
      <c r="A5623">
        <v>17552</v>
      </c>
      <c r="B5623" t="s">
        <v>149</v>
      </c>
      <c r="C5623">
        <v>51016874</v>
      </c>
      <c r="D5623">
        <v>31.018029054323911</v>
      </c>
      <c r="E5623" t="s">
        <v>94</v>
      </c>
      <c r="F5623">
        <v>900</v>
      </c>
      <c r="G5623" s="4">
        <v>46087.603310185186</v>
      </c>
    </row>
    <row r="5624" spans="1:7" x14ac:dyDescent="0.3">
      <c r="A5624">
        <v>17553</v>
      </c>
      <c r="B5624" t="s">
        <v>149</v>
      </c>
      <c r="C5624">
        <v>51011481</v>
      </c>
      <c r="D5624">
        <v>75.983524014918245</v>
      </c>
      <c r="E5624" t="s">
        <v>93</v>
      </c>
      <c r="F5624">
        <v>483</v>
      </c>
      <c r="G5624" s="4">
        <v>46087.603310185186</v>
      </c>
    </row>
    <row r="5625" spans="1:7" x14ac:dyDescent="0.3">
      <c r="A5625">
        <v>17554</v>
      </c>
      <c r="B5625" t="s">
        <v>149</v>
      </c>
      <c r="C5625">
        <v>51042654</v>
      </c>
      <c r="D5625">
        <v>50.842442066469793</v>
      </c>
      <c r="E5625" t="s">
        <v>94</v>
      </c>
      <c r="F5625">
        <v>764</v>
      </c>
      <c r="G5625" s="4">
        <v>46087.603310185186</v>
      </c>
    </row>
    <row r="5626" spans="1:7" x14ac:dyDescent="0.3">
      <c r="A5626">
        <v>17555</v>
      </c>
      <c r="B5626" t="s">
        <v>149</v>
      </c>
      <c r="C5626">
        <v>51057074</v>
      </c>
      <c r="D5626">
        <v>58.272976574954384</v>
      </c>
      <c r="E5626" t="s">
        <v>94</v>
      </c>
      <c r="F5626">
        <v>678</v>
      </c>
      <c r="G5626" s="4">
        <v>46087.603310185186</v>
      </c>
    </row>
    <row r="5627" spans="1:7" x14ac:dyDescent="0.3">
      <c r="A5627">
        <v>17556</v>
      </c>
      <c r="B5627" t="s">
        <v>149</v>
      </c>
      <c r="C5627">
        <v>51042913</v>
      </c>
      <c r="D5627">
        <v>60.465151259957274</v>
      </c>
      <c r="E5627" t="s">
        <v>94</v>
      </c>
      <c r="F5627">
        <v>640</v>
      </c>
      <c r="G5627" s="4">
        <v>46087.603310185186</v>
      </c>
    </row>
    <row r="5628" spans="1:7" x14ac:dyDescent="0.3">
      <c r="A5628">
        <v>17557</v>
      </c>
      <c r="B5628" t="s">
        <v>149</v>
      </c>
      <c r="C5628">
        <v>51025857</v>
      </c>
      <c r="D5628">
        <v>81.83547886102528</v>
      </c>
      <c r="E5628" t="s">
        <v>93</v>
      </c>
      <c r="F5628">
        <v>373</v>
      </c>
      <c r="G5628" s="4">
        <v>46087.603310185186</v>
      </c>
    </row>
    <row r="5629" spans="1:7" x14ac:dyDescent="0.3">
      <c r="A5629">
        <v>17558</v>
      </c>
      <c r="B5629" t="s">
        <v>149</v>
      </c>
      <c r="C5629">
        <v>51026071</v>
      </c>
      <c r="D5629">
        <v>25.788676508618423</v>
      </c>
      <c r="E5629" t="s">
        <v>94</v>
      </c>
      <c r="F5629">
        <v>941</v>
      </c>
      <c r="G5629" s="4">
        <v>46087.603310185186</v>
      </c>
    </row>
    <row r="5630" spans="1:7" x14ac:dyDescent="0.3">
      <c r="A5630">
        <v>17559</v>
      </c>
      <c r="B5630" t="s">
        <v>149</v>
      </c>
      <c r="C5630">
        <v>51017595</v>
      </c>
      <c r="D5630">
        <v>48.550477429302298</v>
      </c>
      <c r="E5630" t="s">
        <v>94</v>
      </c>
      <c r="F5630">
        <v>786</v>
      </c>
      <c r="G5630" s="4">
        <v>46087.603310185186</v>
      </c>
    </row>
    <row r="5631" spans="1:7" x14ac:dyDescent="0.3">
      <c r="A5631">
        <v>17560</v>
      </c>
      <c r="B5631" t="s">
        <v>149</v>
      </c>
      <c r="C5631">
        <v>51014707</v>
      </c>
      <c r="D5631">
        <v>87.072617421477943</v>
      </c>
      <c r="E5631" t="s">
        <v>92</v>
      </c>
      <c r="F5631">
        <v>199</v>
      </c>
      <c r="G5631" s="4">
        <v>46087.603310185186</v>
      </c>
    </row>
    <row r="5632" spans="1:7" x14ac:dyDescent="0.3">
      <c r="A5632">
        <v>17561</v>
      </c>
      <c r="B5632" t="s">
        <v>149</v>
      </c>
      <c r="C5632">
        <v>51032390</v>
      </c>
      <c r="D5632">
        <v>26.578160574553237</v>
      </c>
      <c r="E5632" t="s">
        <v>94</v>
      </c>
      <c r="F5632">
        <v>937</v>
      </c>
      <c r="G5632" s="4">
        <v>46087.603310185186</v>
      </c>
    </row>
    <row r="5633" spans="1:7" x14ac:dyDescent="0.3">
      <c r="A5633">
        <v>17562</v>
      </c>
      <c r="B5633" t="s">
        <v>149</v>
      </c>
      <c r="C5633">
        <v>51030249</v>
      </c>
      <c r="D5633">
        <v>47.079360181830687</v>
      </c>
      <c r="E5633" t="s">
        <v>94</v>
      </c>
      <c r="F5633">
        <v>806</v>
      </c>
      <c r="G5633" s="4">
        <v>46087.603310185186</v>
      </c>
    </row>
    <row r="5634" spans="1:7" x14ac:dyDescent="0.3">
      <c r="A5634">
        <v>17563</v>
      </c>
      <c r="B5634" t="s">
        <v>149</v>
      </c>
      <c r="C5634">
        <v>51029518</v>
      </c>
      <c r="D5634">
        <v>58.786705226923033</v>
      </c>
      <c r="E5634" t="s">
        <v>94</v>
      </c>
      <c r="F5634">
        <v>666</v>
      </c>
      <c r="G5634" s="4">
        <v>46087.603310185186</v>
      </c>
    </row>
    <row r="5635" spans="1:7" x14ac:dyDescent="0.3">
      <c r="A5635">
        <v>17564</v>
      </c>
      <c r="B5635" t="s">
        <v>149</v>
      </c>
      <c r="C5635">
        <v>51044011</v>
      </c>
      <c r="D5635">
        <v>52.239154497584991</v>
      </c>
      <c r="E5635" t="s">
        <v>94</v>
      </c>
      <c r="F5635">
        <v>756</v>
      </c>
      <c r="G5635" s="4">
        <v>46087.603310185186</v>
      </c>
    </row>
    <row r="5636" spans="1:7" x14ac:dyDescent="0.3">
      <c r="A5636">
        <v>17565</v>
      </c>
      <c r="B5636" t="s">
        <v>149</v>
      </c>
      <c r="C5636">
        <v>51013956</v>
      </c>
      <c r="D5636">
        <v>25.601329543570145</v>
      </c>
      <c r="E5636" t="s">
        <v>94</v>
      </c>
      <c r="F5636">
        <v>945</v>
      </c>
      <c r="G5636" s="4">
        <v>46087.603310185186</v>
      </c>
    </row>
    <row r="5637" spans="1:7" x14ac:dyDescent="0.3">
      <c r="A5637">
        <v>17566</v>
      </c>
      <c r="B5637" t="s">
        <v>149</v>
      </c>
      <c r="C5637">
        <v>51023846</v>
      </c>
      <c r="D5637">
        <v>57.32727612184415</v>
      </c>
      <c r="E5637" t="s">
        <v>94</v>
      </c>
      <c r="F5637">
        <v>705</v>
      </c>
      <c r="G5637" s="4">
        <v>46087.603310185186</v>
      </c>
    </row>
    <row r="5638" spans="1:7" x14ac:dyDescent="0.3">
      <c r="A5638">
        <v>17567</v>
      </c>
      <c r="B5638" t="s">
        <v>149</v>
      </c>
      <c r="C5638">
        <v>51019563</v>
      </c>
      <c r="D5638">
        <v>71.864304722954202</v>
      </c>
      <c r="E5638" t="s">
        <v>93</v>
      </c>
      <c r="F5638">
        <v>523</v>
      </c>
      <c r="G5638" s="4">
        <v>46087.603310185186</v>
      </c>
    </row>
    <row r="5639" spans="1:7" x14ac:dyDescent="0.3">
      <c r="A5639">
        <v>17568</v>
      </c>
      <c r="B5639" t="s">
        <v>149</v>
      </c>
      <c r="C5639">
        <v>51030711</v>
      </c>
      <c r="D5639">
        <v>83.188039271165451</v>
      </c>
      <c r="E5639" t="s">
        <v>93</v>
      </c>
      <c r="F5639">
        <v>324</v>
      </c>
      <c r="G5639" s="4">
        <v>46087.603310185186</v>
      </c>
    </row>
    <row r="5640" spans="1:7" x14ac:dyDescent="0.3">
      <c r="A5640">
        <v>17569</v>
      </c>
      <c r="B5640" t="s">
        <v>149</v>
      </c>
      <c r="C5640">
        <v>51056574</v>
      </c>
      <c r="D5640">
        <v>81.80420095778085</v>
      </c>
      <c r="E5640" t="s">
        <v>93</v>
      </c>
      <c r="F5640">
        <v>375</v>
      </c>
      <c r="G5640" s="4">
        <v>46087.603310185186</v>
      </c>
    </row>
    <row r="5641" spans="1:7" x14ac:dyDescent="0.3">
      <c r="A5641">
        <v>17570</v>
      </c>
      <c r="B5641" t="s">
        <v>149</v>
      </c>
      <c r="C5641">
        <v>51056957</v>
      </c>
      <c r="D5641">
        <v>58.839024999386005</v>
      </c>
      <c r="E5641" t="s">
        <v>94</v>
      </c>
      <c r="F5641">
        <v>665</v>
      </c>
      <c r="G5641" s="4">
        <v>46087.603310185186</v>
      </c>
    </row>
    <row r="5642" spans="1:7" x14ac:dyDescent="0.3">
      <c r="A5642">
        <v>17571</v>
      </c>
      <c r="B5642" t="s">
        <v>149</v>
      </c>
      <c r="C5642">
        <v>51055331</v>
      </c>
      <c r="D5642">
        <v>43.242570861051675</v>
      </c>
      <c r="E5642" t="s">
        <v>94</v>
      </c>
      <c r="F5642">
        <v>835</v>
      </c>
      <c r="G5642" s="4">
        <v>46087.603310185186</v>
      </c>
    </row>
    <row r="5643" spans="1:7" x14ac:dyDescent="0.3">
      <c r="A5643">
        <v>17572</v>
      </c>
      <c r="B5643" t="s">
        <v>149</v>
      </c>
      <c r="C5643">
        <v>51018397</v>
      </c>
      <c r="D5643">
        <v>14.081652606075835</v>
      </c>
      <c r="E5643" t="s">
        <v>95</v>
      </c>
      <c r="F5643">
        <v>1085</v>
      </c>
      <c r="G5643" s="4">
        <v>46087.603310185186</v>
      </c>
    </row>
    <row r="5644" spans="1:7" x14ac:dyDescent="0.3">
      <c r="A5644">
        <v>17573</v>
      </c>
      <c r="B5644" t="s">
        <v>149</v>
      </c>
      <c r="C5644">
        <v>51025148</v>
      </c>
      <c r="D5644">
        <v>28.622608938193448</v>
      </c>
      <c r="E5644" t="s">
        <v>94</v>
      </c>
      <c r="F5644">
        <v>921</v>
      </c>
      <c r="G5644" s="4">
        <v>46087.603310185186</v>
      </c>
    </row>
    <row r="5645" spans="1:7" x14ac:dyDescent="0.3">
      <c r="A5645">
        <v>17574</v>
      </c>
      <c r="B5645" t="s">
        <v>149</v>
      </c>
      <c r="C5645">
        <v>51005392</v>
      </c>
      <c r="D5645">
        <v>80.70669176709761</v>
      </c>
      <c r="E5645" t="s">
        <v>93</v>
      </c>
      <c r="F5645">
        <v>401</v>
      </c>
      <c r="G5645" s="4">
        <v>46087.603310185186</v>
      </c>
    </row>
    <row r="5646" spans="1:7" x14ac:dyDescent="0.3">
      <c r="A5646">
        <v>17575</v>
      </c>
      <c r="B5646" t="s">
        <v>149</v>
      </c>
      <c r="C5646">
        <v>51023153</v>
      </c>
      <c r="D5646">
        <v>62.770819134641023</v>
      </c>
      <c r="E5646" t="s">
        <v>93</v>
      </c>
      <c r="F5646">
        <v>593</v>
      </c>
      <c r="G5646" s="4">
        <v>46087.603310185186</v>
      </c>
    </row>
    <row r="5647" spans="1:7" x14ac:dyDescent="0.3">
      <c r="A5647">
        <v>17576</v>
      </c>
      <c r="B5647" t="s">
        <v>149</v>
      </c>
      <c r="C5647">
        <v>51024095</v>
      </c>
      <c r="D5647">
        <v>95.181524750813466</v>
      </c>
      <c r="E5647" t="s">
        <v>92</v>
      </c>
      <c r="F5647">
        <v>63</v>
      </c>
      <c r="G5647" s="4">
        <v>46087.603310185186</v>
      </c>
    </row>
    <row r="5648" spans="1:7" x14ac:dyDescent="0.3">
      <c r="A5648">
        <v>17577</v>
      </c>
      <c r="B5648" t="s">
        <v>149</v>
      </c>
      <c r="C5648">
        <v>51002024</v>
      </c>
      <c r="D5648">
        <v>47.108485352317537</v>
      </c>
      <c r="E5648" t="s">
        <v>94</v>
      </c>
      <c r="F5648">
        <v>805</v>
      </c>
      <c r="G5648" s="4">
        <v>46087.603310185186</v>
      </c>
    </row>
    <row r="5649" spans="1:7" x14ac:dyDescent="0.3">
      <c r="A5649">
        <v>17578</v>
      </c>
      <c r="B5649" t="s">
        <v>149</v>
      </c>
      <c r="C5649">
        <v>51056311</v>
      </c>
      <c r="D5649">
        <v>82.616232040481407</v>
      </c>
      <c r="E5649" t="s">
        <v>93</v>
      </c>
      <c r="F5649">
        <v>345</v>
      </c>
      <c r="G5649" s="4">
        <v>46087.603310185186</v>
      </c>
    </row>
    <row r="5650" spans="1:7" x14ac:dyDescent="0.3">
      <c r="A5650">
        <v>17579</v>
      </c>
      <c r="B5650" t="s">
        <v>149</v>
      </c>
      <c r="C5650">
        <v>51016467</v>
      </c>
      <c r="D5650">
        <v>74.015170402007499</v>
      </c>
      <c r="E5650" t="s">
        <v>93</v>
      </c>
      <c r="F5650">
        <v>501</v>
      </c>
      <c r="G5650" s="4">
        <v>46087.603310185186</v>
      </c>
    </row>
    <row r="5651" spans="1:7" x14ac:dyDescent="0.3">
      <c r="A5651">
        <v>17580</v>
      </c>
      <c r="B5651" t="s">
        <v>149</v>
      </c>
      <c r="C5651">
        <v>51021614</v>
      </c>
      <c r="D5651">
        <v>34.32</v>
      </c>
      <c r="E5651" t="s">
        <v>94</v>
      </c>
      <c r="F5651">
        <v>868</v>
      </c>
      <c r="G5651" s="4">
        <v>46087.603310185186</v>
      </c>
    </row>
    <row r="5652" spans="1:7" x14ac:dyDescent="0.3">
      <c r="A5652">
        <v>17581</v>
      </c>
      <c r="B5652" t="s">
        <v>149</v>
      </c>
      <c r="C5652">
        <v>51042506</v>
      </c>
      <c r="D5652">
        <v>82.041349477359702</v>
      </c>
      <c r="E5652" t="s">
        <v>93</v>
      </c>
      <c r="F5652">
        <v>367</v>
      </c>
      <c r="G5652" s="4">
        <v>46087.603310185186</v>
      </c>
    </row>
    <row r="5653" spans="1:7" x14ac:dyDescent="0.3">
      <c r="A5653">
        <v>17582</v>
      </c>
      <c r="B5653" t="s">
        <v>149</v>
      </c>
      <c r="C5653">
        <v>51023412</v>
      </c>
      <c r="D5653">
        <v>84.779724684349347</v>
      </c>
      <c r="E5653" t="s">
        <v>93</v>
      </c>
      <c r="F5653">
        <v>269</v>
      </c>
      <c r="G5653" s="4">
        <v>46087.603310185186</v>
      </c>
    </row>
    <row r="5654" spans="1:7" x14ac:dyDescent="0.3">
      <c r="A5654">
        <v>17583</v>
      </c>
      <c r="B5654" t="s">
        <v>149</v>
      </c>
      <c r="C5654">
        <v>51033116</v>
      </c>
      <c r="D5654">
        <v>72.010175066357931</v>
      </c>
      <c r="E5654" t="s">
        <v>93</v>
      </c>
      <c r="F5654">
        <v>521</v>
      </c>
      <c r="G5654" s="4">
        <v>46087.603310185186</v>
      </c>
    </row>
    <row r="5655" spans="1:7" x14ac:dyDescent="0.3">
      <c r="A5655">
        <v>17584</v>
      </c>
      <c r="B5655" t="s">
        <v>149</v>
      </c>
      <c r="C5655">
        <v>51003292</v>
      </c>
      <c r="D5655">
        <v>60.424588196902967</v>
      </c>
      <c r="E5655" t="s">
        <v>94</v>
      </c>
      <c r="F5655">
        <v>643</v>
      </c>
      <c r="G5655" s="4">
        <v>46087.603310185186</v>
      </c>
    </row>
    <row r="5656" spans="1:7" x14ac:dyDescent="0.3">
      <c r="A5656">
        <v>17585</v>
      </c>
      <c r="B5656" t="s">
        <v>149</v>
      </c>
      <c r="C5656">
        <v>51014251</v>
      </c>
      <c r="D5656">
        <v>62.513458774231673</v>
      </c>
      <c r="E5656" t="s">
        <v>94</v>
      </c>
      <c r="F5656">
        <v>600</v>
      </c>
      <c r="G5656" s="4">
        <v>46087.603310185186</v>
      </c>
    </row>
    <row r="5657" spans="1:7" x14ac:dyDescent="0.3">
      <c r="A5657">
        <v>17586</v>
      </c>
      <c r="B5657" t="s">
        <v>149</v>
      </c>
      <c r="C5657">
        <v>51042999</v>
      </c>
      <c r="D5657">
        <v>32.072309163518682</v>
      </c>
      <c r="E5657" t="s">
        <v>94</v>
      </c>
      <c r="F5657">
        <v>887</v>
      </c>
      <c r="G5657" s="4">
        <v>46087.603310185186</v>
      </c>
    </row>
    <row r="5658" spans="1:7" x14ac:dyDescent="0.3">
      <c r="A5658">
        <v>17587</v>
      </c>
      <c r="B5658" t="s">
        <v>149</v>
      </c>
      <c r="C5658">
        <v>51041712</v>
      </c>
      <c r="D5658">
        <v>82.588648548954822</v>
      </c>
      <c r="E5658" t="s">
        <v>93</v>
      </c>
      <c r="F5658">
        <v>347</v>
      </c>
      <c r="G5658" s="4">
        <v>46087.603310185186</v>
      </c>
    </row>
    <row r="5659" spans="1:7" x14ac:dyDescent="0.3">
      <c r="A5659">
        <v>17588</v>
      </c>
      <c r="B5659" t="s">
        <v>149</v>
      </c>
      <c r="C5659">
        <v>51023293</v>
      </c>
      <c r="D5659">
        <v>67.178843702749759</v>
      </c>
      <c r="E5659" t="s">
        <v>93</v>
      </c>
      <c r="F5659">
        <v>561</v>
      </c>
      <c r="G5659" s="4">
        <v>46087.603310185186</v>
      </c>
    </row>
    <row r="5660" spans="1:7" x14ac:dyDescent="0.3">
      <c r="A5660">
        <v>17589</v>
      </c>
      <c r="B5660" t="s">
        <v>149</v>
      </c>
      <c r="C5660">
        <v>51033507</v>
      </c>
      <c r="D5660">
        <v>16.715822631802148</v>
      </c>
      <c r="E5660" t="s">
        <v>95</v>
      </c>
      <c r="F5660">
        <v>1052</v>
      </c>
      <c r="G5660" s="4">
        <v>46087.603310185186</v>
      </c>
    </row>
    <row r="5661" spans="1:7" x14ac:dyDescent="0.3">
      <c r="A5661">
        <v>17590</v>
      </c>
      <c r="B5661" t="s">
        <v>149</v>
      </c>
      <c r="C5661">
        <v>51013875</v>
      </c>
      <c r="D5661">
        <v>80.67137812428011</v>
      </c>
      <c r="E5661" t="s">
        <v>93</v>
      </c>
      <c r="F5661">
        <v>402</v>
      </c>
      <c r="G5661" s="4">
        <v>46087.603310185186</v>
      </c>
    </row>
    <row r="5662" spans="1:7" x14ac:dyDescent="0.3">
      <c r="A5662">
        <v>17591</v>
      </c>
      <c r="B5662" t="s">
        <v>149</v>
      </c>
      <c r="C5662">
        <v>51013395</v>
      </c>
      <c r="D5662">
        <v>21.645786817375516</v>
      </c>
      <c r="E5662" t="s">
        <v>95</v>
      </c>
      <c r="F5662">
        <v>973</v>
      </c>
      <c r="G5662" s="4">
        <v>46087.603310185186</v>
      </c>
    </row>
    <row r="5663" spans="1:7" x14ac:dyDescent="0.3">
      <c r="A5663">
        <v>17592</v>
      </c>
      <c r="B5663" t="s">
        <v>149</v>
      </c>
      <c r="C5663">
        <v>51056108</v>
      </c>
      <c r="D5663">
        <v>22.303918149190835</v>
      </c>
      <c r="E5663" t="s">
        <v>95</v>
      </c>
      <c r="F5663">
        <v>962</v>
      </c>
      <c r="G5663" s="4">
        <v>46087.603310185186</v>
      </c>
    </row>
    <row r="5664" spans="1:7" x14ac:dyDescent="0.3">
      <c r="A5664">
        <v>17593</v>
      </c>
      <c r="B5664" t="s">
        <v>149</v>
      </c>
      <c r="C5664">
        <v>51055837</v>
      </c>
      <c r="D5664">
        <v>19.97354134481736</v>
      </c>
      <c r="E5664" t="s">
        <v>95</v>
      </c>
      <c r="F5664">
        <v>985</v>
      </c>
      <c r="G5664" s="4">
        <v>46087.603310185186</v>
      </c>
    </row>
    <row r="5665" spans="1:7" x14ac:dyDescent="0.3">
      <c r="A5665">
        <v>17594</v>
      </c>
      <c r="B5665" t="s">
        <v>149</v>
      </c>
      <c r="C5665">
        <v>51056248</v>
      </c>
      <c r="D5665">
        <v>34.848231195395186</v>
      </c>
      <c r="E5665" t="s">
        <v>94</v>
      </c>
      <c r="F5665">
        <v>867</v>
      </c>
      <c r="G5665" s="4">
        <v>46087.603310185186</v>
      </c>
    </row>
    <row r="5666" spans="1:7" x14ac:dyDescent="0.3">
      <c r="A5666">
        <v>17595</v>
      </c>
      <c r="B5666" t="s">
        <v>149</v>
      </c>
      <c r="C5666">
        <v>51025245</v>
      </c>
      <c r="D5666">
        <v>83.86884708371268</v>
      </c>
      <c r="E5666" t="s">
        <v>93</v>
      </c>
      <c r="F5666">
        <v>295</v>
      </c>
      <c r="G5666" s="4">
        <v>46087.603310185186</v>
      </c>
    </row>
    <row r="5667" spans="1:7" x14ac:dyDescent="0.3">
      <c r="A5667">
        <v>17596</v>
      </c>
      <c r="B5667" t="s">
        <v>149</v>
      </c>
      <c r="C5667">
        <v>51016360</v>
      </c>
      <c r="D5667">
        <v>93.521868408509633</v>
      </c>
      <c r="E5667" t="s">
        <v>92</v>
      </c>
      <c r="F5667">
        <v>77</v>
      </c>
      <c r="G5667" s="4">
        <v>46087.603310185186</v>
      </c>
    </row>
    <row r="5668" spans="1:7" x14ac:dyDescent="0.3">
      <c r="A5668">
        <v>17597</v>
      </c>
      <c r="B5668" t="s">
        <v>149</v>
      </c>
      <c r="C5668">
        <v>51040881</v>
      </c>
      <c r="D5668">
        <v>57.565076863891711</v>
      </c>
      <c r="E5668" t="s">
        <v>94</v>
      </c>
      <c r="F5668">
        <v>697</v>
      </c>
      <c r="G5668" s="4">
        <v>46087.603310185186</v>
      </c>
    </row>
    <row r="5669" spans="1:7" x14ac:dyDescent="0.3">
      <c r="A5669">
        <v>17598</v>
      </c>
      <c r="B5669" t="s">
        <v>149</v>
      </c>
      <c r="C5669">
        <v>51031776</v>
      </c>
      <c r="D5669">
        <v>25.524390938619888</v>
      </c>
      <c r="E5669" t="s">
        <v>94</v>
      </c>
      <c r="F5669">
        <v>946</v>
      </c>
      <c r="G5669" s="4">
        <v>46087.603310185186</v>
      </c>
    </row>
    <row r="5670" spans="1:7" x14ac:dyDescent="0.3">
      <c r="A5670">
        <v>17599</v>
      </c>
      <c r="B5670" t="s">
        <v>149</v>
      </c>
      <c r="C5670">
        <v>51013166</v>
      </c>
      <c r="D5670">
        <v>52.502795518318237</v>
      </c>
      <c r="E5670" t="s">
        <v>94</v>
      </c>
      <c r="F5670">
        <v>754</v>
      </c>
      <c r="G5670" s="4">
        <v>46087.603310185186</v>
      </c>
    </row>
    <row r="5671" spans="1:7" x14ac:dyDescent="0.3">
      <c r="A5671">
        <v>17600</v>
      </c>
      <c r="B5671" t="s">
        <v>149</v>
      </c>
      <c r="C5671">
        <v>51032918</v>
      </c>
      <c r="D5671">
        <v>53.193460276846046</v>
      </c>
      <c r="E5671" t="s">
        <v>94</v>
      </c>
      <c r="F5671">
        <v>749</v>
      </c>
      <c r="G5671" s="4">
        <v>46087.603310185186</v>
      </c>
    </row>
    <row r="5672" spans="1:7" x14ac:dyDescent="0.3">
      <c r="A5672">
        <v>17601</v>
      </c>
      <c r="B5672" t="s">
        <v>149</v>
      </c>
      <c r="C5672">
        <v>51025717</v>
      </c>
      <c r="D5672">
        <v>40.478449301261946</v>
      </c>
      <c r="E5672" t="s">
        <v>94</v>
      </c>
      <c r="F5672">
        <v>845</v>
      </c>
      <c r="G5672" s="4">
        <v>46087.603310185186</v>
      </c>
    </row>
    <row r="5673" spans="1:7" x14ac:dyDescent="0.3">
      <c r="A5673">
        <v>17602</v>
      </c>
      <c r="B5673" t="s">
        <v>149</v>
      </c>
      <c r="C5673">
        <v>51033001</v>
      </c>
      <c r="D5673">
        <v>78.541362818856953</v>
      </c>
      <c r="E5673" t="s">
        <v>93</v>
      </c>
      <c r="F5673">
        <v>444</v>
      </c>
      <c r="G5673" s="4">
        <v>46087.603310185186</v>
      </c>
    </row>
    <row r="5674" spans="1:7" x14ac:dyDescent="0.3">
      <c r="A5674">
        <v>17603</v>
      </c>
      <c r="B5674" t="s">
        <v>149</v>
      </c>
      <c r="C5674">
        <v>51012674</v>
      </c>
      <c r="D5674">
        <v>47.67983113947399</v>
      </c>
      <c r="E5674" t="s">
        <v>94</v>
      </c>
      <c r="F5674">
        <v>795</v>
      </c>
      <c r="G5674" s="4">
        <v>46087.603310185186</v>
      </c>
    </row>
    <row r="5675" spans="1:7" x14ac:dyDescent="0.3">
      <c r="A5675">
        <v>17604</v>
      </c>
      <c r="B5675" t="s">
        <v>149</v>
      </c>
      <c r="C5675">
        <v>51007743</v>
      </c>
      <c r="D5675">
        <v>90.560173105317162</v>
      </c>
      <c r="E5675" t="s">
        <v>92</v>
      </c>
      <c r="F5675">
        <v>121</v>
      </c>
      <c r="G5675" s="4">
        <v>46087.603310185186</v>
      </c>
    </row>
    <row r="5676" spans="1:7" x14ac:dyDescent="0.3">
      <c r="A5676">
        <v>17605</v>
      </c>
      <c r="B5676" t="s">
        <v>149</v>
      </c>
      <c r="C5676">
        <v>51032705</v>
      </c>
      <c r="D5676">
        <v>33.751477272238056</v>
      </c>
      <c r="E5676" t="s">
        <v>94</v>
      </c>
      <c r="F5676">
        <v>871</v>
      </c>
      <c r="G5676" s="4">
        <v>46087.603310185186</v>
      </c>
    </row>
    <row r="5677" spans="1:7" x14ac:dyDescent="0.3">
      <c r="A5677">
        <v>17606</v>
      </c>
      <c r="B5677" t="s">
        <v>149</v>
      </c>
      <c r="C5677">
        <v>51041887</v>
      </c>
      <c r="D5677">
        <v>78.167344203289971</v>
      </c>
      <c r="E5677" t="s">
        <v>93</v>
      </c>
      <c r="F5677">
        <v>450</v>
      </c>
      <c r="G5677" s="4">
        <v>46087.603310185186</v>
      </c>
    </row>
    <row r="5678" spans="1:7" x14ac:dyDescent="0.3">
      <c r="A5678">
        <v>17607</v>
      </c>
      <c r="B5678" t="s">
        <v>149</v>
      </c>
      <c r="C5678">
        <v>51030826</v>
      </c>
      <c r="D5678">
        <v>64.392448676287302</v>
      </c>
      <c r="E5678" t="s">
        <v>93</v>
      </c>
      <c r="F5678">
        <v>576</v>
      </c>
      <c r="G5678" s="4">
        <v>46087.603310185186</v>
      </c>
    </row>
    <row r="5679" spans="1:7" x14ac:dyDescent="0.3">
      <c r="A5679">
        <v>17608</v>
      </c>
      <c r="B5679" t="s">
        <v>149</v>
      </c>
      <c r="C5679">
        <v>51011007</v>
      </c>
      <c r="D5679">
        <v>70.212343998179847</v>
      </c>
      <c r="E5679" t="s">
        <v>93</v>
      </c>
      <c r="F5679">
        <v>540</v>
      </c>
      <c r="G5679" s="4">
        <v>46087.603310185186</v>
      </c>
    </row>
    <row r="5680" spans="1:7" x14ac:dyDescent="0.3">
      <c r="A5680">
        <v>17609</v>
      </c>
      <c r="B5680" t="s">
        <v>149</v>
      </c>
      <c r="C5680">
        <v>51007514</v>
      </c>
      <c r="D5680">
        <v>76.83253997684902</v>
      </c>
      <c r="E5680" t="s">
        <v>93</v>
      </c>
      <c r="F5680">
        <v>471</v>
      </c>
      <c r="G5680" s="4">
        <v>46087.603310185186</v>
      </c>
    </row>
    <row r="5681" spans="1:7" x14ac:dyDescent="0.3">
      <c r="A5681">
        <v>17610</v>
      </c>
      <c r="B5681" t="s">
        <v>149</v>
      </c>
      <c r="C5681">
        <v>51024281</v>
      </c>
      <c r="D5681">
        <v>53.198579481781408</v>
      </c>
      <c r="E5681" t="s">
        <v>94</v>
      </c>
      <c r="F5681">
        <v>748</v>
      </c>
      <c r="G5681" s="4">
        <v>46087.603310185186</v>
      </c>
    </row>
    <row r="5682" spans="1:7" x14ac:dyDescent="0.3">
      <c r="A5682">
        <v>17611</v>
      </c>
      <c r="B5682" t="s">
        <v>149</v>
      </c>
      <c r="C5682">
        <v>51020961</v>
      </c>
      <c r="D5682">
        <v>64.314409853543822</v>
      </c>
      <c r="E5682" t="s">
        <v>93</v>
      </c>
      <c r="F5682">
        <v>577</v>
      </c>
      <c r="G5682" s="4">
        <v>46087.603310185186</v>
      </c>
    </row>
    <row r="5683" spans="1:7" x14ac:dyDescent="0.3">
      <c r="A5683">
        <v>17612</v>
      </c>
      <c r="B5683" t="s">
        <v>149</v>
      </c>
      <c r="C5683">
        <v>51022718</v>
      </c>
      <c r="D5683">
        <v>69.415694374167629</v>
      </c>
      <c r="E5683" t="s">
        <v>93</v>
      </c>
      <c r="F5683">
        <v>545</v>
      </c>
      <c r="G5683" s="4">
        <v>46087.603310185186</v>
      </c>
    </row>
    <row r="5684" spans="1:7" x14ac:dyDescent="0.3">
      <c r="A5684">
        <v>17613</v>
      </c>
      <c r="B5684" t="s">
        <v>149</v>
      </c>
      <c r="C5684">
        <v>51039815</v>
      </c>
      <c r="D5684">
        <v>76.554209232663482</v>
      </c>
      <c r="E5684" t="s">
        <v>93</v>
      </c>
      <c r="F5684">
        <v>473</v>
      </c>
      <c r="G5684" s="4">
        <v>46087.603310185186</v>
      </c>
    </row>
    <row r="5685" spans="1:7" x14ac:dyDescent="0.3">
      <c r="A5685">
        <v>17614</v>
      </c>
      <c r="B5685" t="s">
        <v>149</v>
      </c>
      <c r="C5685">
        <v>51023277</v>
      </c>
      <c r="D5685">
        <v>78.618184846564006</v>
      </c>
      <c r="E5685" t="s">
        <v>93</v>
      </c>
      <c r="F5685">
        <v>441</v>
      </c>
      <c r="G5685" s="4">
        <v>46087.603310185186</v>
      </c>
    </row>
    <row r="5686" spans="1:7" x14ac:dyDescent="0.3">
      <c r="A5686">
        <v>17615</v>
      </c>
      <c r="B5686" t="s">
        <v>149</v>
      </c>
      <c r="C5686">
        <v>51056353</v>
      </c>
      <c r="D5686">
        <v>87.70506515398678</v>
      </c>
      <c r="E5686" t="s">
        <v>92</v>
      </c>
      <c r="F5686">
        <v>191</v>
      </c>
      <c r="G5686" s="4">
        <v>46087.603310185186</v>
      </c>
    </row>
    <row r="5687" spans="1:7" x14ac:dyDescent="0.3">
      <c r="A5687">
        <v>17616</v>
      </c>
      <c r="B5687" t="s">
        <v>149</v>
      </c>
      <c r="C5687">
        <v>51001419</v>
      </c>
      <c r="D5687">
        <v>54.609180698960806</v>
      </c>
      <c r="E5687" t="s">
        <v>94</v>
      </c>
      <c r="F5687">
        <v>740</v>
      </c>
      <c r="G5687" s="4">
        <v>46087.603310185186</v>
      </c>
    </row>
    <row r="5688" spans="1:7" x14ac:dyDescent="0.3">
      <c r="A5688">
        <v>17617</v>
      </c>
      <c r="B5688" t="s">
        <v>149</v>
      </c>
      <c r="C5688">
        <v>51018001</v>
      </c>
      <c r="D5688">
        <v>21.6251</v>
      </c>
      <c r="E5688" t="s">
        <v>95</v>
      </c>
      <c r="F5688">
        <v>974</v>
      </c>
      <c r="G5688" s="4">
        <v>46087.603310185186</v>
      </c>
    </row>
    <row r="5689" spans="1:7" x14ac:dyDescent="0.3">
      <c r="A5689">
        <v>17618</v>
      </c>
      <c r="B5689" t="s">
        <v>149</v>
      </c>
      <c r="C5689">
        <v>51020707</v>
      </c>
      <c r="D5689">
        <v>33.000081444728615</v>
      </c>
      <c r="E5689" t="s">
        <v>94</v>
      </c>
      <c r="F5689">
        <v>878</v>
      </c>
      <c r="G5689" s="4">
        <v>46087.603310185186</v>
      </c>
    </row>
    <row r="5690" spans="1:7" x14ac:dyDescent="0.3">
      <c r="A5690">
        <v>17619</v>
      </c>
      <c r="B5690" t="s">
        <v>149</v>
      </c>
      <c r="C5690">
        <v>51018923</v>
      </c>
      <c r="D5690">
        <v>75.499469481159991</v>
      </c>
      <c r="E5690" t="s">
        <v>93</v>
      </c>
      <c r="F5690">
        <v>487</v>
      </c>
      <c r="G5690" s="4">
        <v>46087.603310185186</v>
      </c>
    </row>
    <row r="5691" spans="1:7" x14ac:dyDescent="0.3">
      <c r="A5691">
        <v>17620</v>
      </c>
      <c r="B5691" t="s">
        <v>149</v>
      </c>
      <c r="C5691">
        <v>51012721</v>
      </c>
      <c r="D5691">
        <v>58.294883220871967</v>
      </c>
      <c r="E5691" t="s">
        <v>94</v>
      </c>
      <c r="F5691">
        <v>676</v>
      </c>
      <c r="G5691" s="4">
        <v>46087.603310185186</v>
      </c>
    </row>
    <row r="5692" spans="1:7" x14ac:dyDescent="0.3">
      <c r="A5692">
        <v>17621</v>
      </c>
      <c r="B5692" t="s">
        <v>149</v>
      </c>
      <c r="C5692">
        <v>51020634</v>
      </c>
      <c r="D5692">
        <v>33.284999999999997</v>
      </c>
      <c r="E5692" t="s">
        <v>94</v>
      </c>
      <c r="F5692">
        <v>874</v>
      </c>
      <c r="G5692" s="4">
        <v>46087.603310185186</v>
      </c>
    </row>
    <row r="5693" spans="1:7" x14ac:dyDescent="0.3">
      <c r="A5693">
        <v>17622</v>
      </c>
      <c r="B5693" t="s">
        <v>149</v>
      </c>
      <c r="C5693">
        <v>51056507</v>
      </c>
      <c r="D5693">
        <v>49.786605263348122</v>
      </c>
      <c r="E5693" t="s">
        <v>94</v>
      </c>
      <c r="F5693">
        <v>774</v>
      </c>
      <c r="G5693" s="4">
        <v>46087.603310185186</v>
      </c>
    </row>
    <row r="5694" spans="1:7" x14ac:dyDescent="0.3">
      <c r="A5694">
        <v>17623</v>
      </c>
      <c r="B5694" t="s">
        <v>149</v>
      </c>
      <c r="C5694">
        <v>51002105</v>
      </c>
      <c r="D5694">
        <v>53.316023805500116</v>
      </c>
      <c r="E5694" t="s">
        <v>94</v>
      </c>
      <c r="F5694">
        <v>746</v>
      </c>
      <c r="G5694" s="4">
        <v>46087.603310185186</v>
      </c>
    </row>
    <row r="5695" spans="1:7" x14ac:dyDescent="0.3">
      <c r="A5695">
        <v>17624</v>
      </c>
      <c r="B5695" t="s">
        <v>149</v>
      </c>
      <c r="C5695">
        <v>51055136</v>
      </c>
      <c r="D5695">
        <v>93.367108382040755</v>
      </c>
      <c r="E5695" t="s">
        <v>92</v>
      </c>
      <c r="F5695">
        <v>82</v>
      </c>
      <c r="G5695" s="4">
        <v>46087.603310185186</v>
      </c>
    </row>
    <row r="5696" spans="1:7" x14ac:dyDescent="0.3">
      <c r="A5696">
        <v>17625</v>
      </c>
      <c r="B5696" t="s">
        <v>149</v>
      </c>
      <c r="C5696">
        <v>51008685</v>
      </c>
      <c r="D5696">
        <v>81.52924978331383</v>
      </c>
      <c r="E5696" t="s">
        <v>93</v>
      </c>
      <c r="F5696">
        <v>381</v>
      </c>
      <c r="G5696" s="4">
        <v>46087.603310185186</v>
      </c>
    </row>
    <row r="5697" spans="1:7" x14ac:dyDescent="0.3">
      <c r="A5697">
        <v>17626</v>
      </c>
      <c r="B5697" t="s">
        <v>149</v>
      </c>
      <c r="C5697">
        <v>51055306</v>
      </c>
      <c r="D5697">
        <v>91.558871767599229</v>
      </c>
      <c r="E5697" t="s">
        <v>92</v>
      </c>
      <c r="F5697">
        <v>110</v>
      </c>
      <c r="G5697" s="4">
        <v>46087.603310185186</v>
      </c>
    </row>
    <row r="5698" spans="1:7" x14ac:dyDescent="0.3">
      <c r="A5698">
        <v>17627</v>
      </c>
      <c r="B5698" t="s">
        <v>149</v>
      </c>
      <c r="C5698">
        <v>51024036</v>
      </c>
      <c r="D5698">
        <v>66.979010532255614</v>
      </c>
      <c r="E5698" t="s">
        <v>93</v>
      </c>
      <c r="F5698">
        <v>563</v>
      </c>
      <c r="G5698" s="4">
        <v>46087.603310185186</v>
      </c>
    </row>
    <row r="5699" spans="1:7" x14ac:dyDescent="0.3">
      <c r="A5699">
        <v>17628</v>
      </c>
      <c r="B5699" t="s">
        <v>149</v>
      </c>
      <c r="C5699">
        <v>51011597</v>
      </c>
      <c r="D5699">
        <v>61.952922333828774</v>
      </c>
      <c r="E5699" t="s">
        <v>94</v>
      </c>
      <c r="F5699">
        <v>612</v>
      </c>
      <c r="G5699" s="4">
        <v>46087.603310185186</v>
      </c>
    </row>
    <row r="5700" spans="1:7" x14ac:dyDescent="0.3">
      <c r="A5700">
        <v>17629</v>
      </c>
      <c r="B5700" t="s">
        <v>149</v>
      </c>
      <c r="C5700">
        <v>51043260</v>
      </c>
      <c r="D5700">
        <v>77.15907364939315</v>
      </c>
      <c r="E5700" t="s">
        <v>93</v>
      </c>
      <c r="F5700">
        <v>466</v>
      </c>
      <c r="G5700" s="4">
        <v>46087.603310185186</v>
      </c>
    </row>
    <row r="5701" spans="1:7" x14ac:dyDescent="0.3">
      <c r="A5701">
        <v>17630</v>
      </c>
      <c r="B5701" t="s">
        <v>149</v>
      </c>
      <c r="C5701">
        <v>51004035</v>
      </c>
      <c r="D5701">
        <v>48.79433876773605</v>
      </c>
      <c r="E5701" t="s">
        <v>94</v>
      </c>
      <c r="F5701">
        <v>782</v>
      </c>
      <c r="G5701" s="4">
        <v>46087.603310185186</v>
      </c>
    </row>
    <row r="5702" spans="1:7" x14ac:dyDescent="0.3">
      <c r="A5702">
        <v>17631</v>
      </c>
      <c r="B5702" t="s">
        <v>149</v>
      </c>
      <c r="C5702">
        <v>51043537</v>
      </c>
      <c r="D5702">
        <v>57.232179896730187</v>
      </c>
      <c r="E5702" t="s">
        <v>94</v>
      </c>
      <c r="F5702">
        <v>710</v>
      </c>
      <c r="G5702" s="4">
        <v>46087.603310185186</v>
      </c>
    </row>
    <row r="5703" spans="1:7" x14ac:dyDescent="0.3">
      <c r="A5703">
        <v>17632</v>
      </c>
      <c r="B5703" t="s">
        <v>149</v>
      </c>
      <c r="C5703">
        <v>51056752</v>
      </c>
      <c r="D5703">
        <v>60.943626897894404</v>
      </c>
      <c r="E5703" t="s">
        <v>94</v>
      </c>
      <c r="F5703">
        <v>634</v>
      </c>
      <c r="G5703" s="4">
        <v>46087.603310185186</v>
      </c>
    </row>
    <row r="5704" spans="1:7" x14ac:dyDescent="0.3">
      <c r="A5704">
        <v>17633</v>
      </c>
      <c r="B5704" t="s">
        <v>149</v>
      </c>
      <c r="C5704">
        <v>51031857</v>
      </c>
      <c r="D5704">
        <v>63.003759116864103</v>
      </c>
      <c r="E5704" t="s">
        <v>93</v>
      </c>
      <c r="F5704">
        <v>589</v>
      </c>
      <c r="G5704" s="4">
        <v>46087.603310185186</v>
      </c>
    </row>
    <row r="5705" spans="1:7" x14ac:dyDescent="0.3">
      <c r="A5705">
        <v>17634</v>
      </c>
      <c r="B5705" t="s">
        <v>149</v>
      </c>
      <c r="C5705">
        <v>51014138</v>
      </c>
      <c r="D5705">
        <v>81.79725621802271</v>
      </c>
      <c r="E5705" t="s">
        <v>93</v>
      </c>
      <c r="F5705">
        <v>377</v>
      </c>
      <c r="G5705" s="4">
        <v>46087.603310185186</v>
      </c>
    </row>
    <row r="5706" spans="1:7" x14ac:dyDescent="0.3">
      <c r="A5706">
        <v>17635</v>
      </c>
      <c r="B5706" t="s">
        <v>149</v>
      </c>
      <c r="C5706">
        <v>51055578</v>
      </c>
      <c r="D5706">
        <v>49.487484102520611</v>
      </c>
      <c r="E5706" t="s">
        <v>94</v>
      </c>
      <c r="F5706">
        <v>776</v>
      </c>
      <c r="G5706" s="4">
        <v>46087.603310185186</v>
      </c>
    </row>
    <row r="5707" spans="1:7" x14ac:dyDescent="0.3">
      <c r="A5707">
        <v>17636</v>
      </c>
      <c r="B5707" t="s">
        <v>149</v>
      </c>
      <c r="C5707">
        <v>51024028</v>
      </c>
      <c r="D5707">
        <v>31.604036578720944</v>
      </c>
      <c r="E5707" t="s">
        <v>94</v>
      </c>
      <c r="F5707">
        <v>894</v>
      </c>
      <c r="G5707" s="4">
        <v>46087.603310185186</v>
      </c>
    </row>
    <row r="5708" spans="1:7" x14ac:dyDescent="0.3">
      <c r="A5708">
        <v>17637</v>
      </c>
      <c r="B5708" t="s">
        <v>149</v>
      </c>
      <c r="C5708">
        <v>51057031</v>
      </c>
      <c r="D5708">
        <v>63.677782000937562</v>
      </c>
      <c r="E5708" t="s">
        <v>93</v>
      </c>
      <c r="F5708">
        <v>582</v>
      </c>
      <c r="G5708" s="4">
        <v>46087.603310185186</v>
      </c>
    </row>
    <row r="5709" spans="1:7" x14ac:dyDescent="0.3">
      <c r="A5709">
        <v>17638</v>
      </c>
      <c r="B5709" t="s">
        <v>149</v>
      </c>
      <c r="C5709">
        <v>51011929</v>
      </c>
      <c r="D5709">
        <v>76.085314447477259</v>
      </c>
      <c r="E5709" t="s">
        <v>93</v>
      </c>
      <c r="F5709">
        <v>482</v>
      </c>
      <c r="G5709" s="4">
        <v>46087.603310185186</v>
      </c>
    </row>
    <row r="5710" spans="1:7" x14ac:dyDescent="0.3">
      <c r="A5710">
        <v>17639</v>
      </c>
      <c r="B5710" t="s">
        <v>149</v>
      </c>
      <c r="C5710">
        <v>51017773</v>
      </c>
      <c r="D5710">
        <v>38.323494383766359</v>
      </c>
      <c r="E5710" t="s">
        <v>94</v>
      </c>
      <c r="F5710">
        <v>851</v>
      </c>
      <c r="G5710" s="4">
        <v>46087.603310185186</v>
      </c>
    </row>
    <row r="5711" spans="1:7" x14ac:dyDescent="0.3">
      <c r="A5711">
        <v>17640</v>
      </c>
      <c r="B5711" t="s">
        <v>149</v>
      </c>
      <c r="C5711">
        <v>51003063</v>
      </c>
      <c r="D5711">
        <v>66.270697095080919</v>
      </c>
      <c r="E5711" t="s">
        <v>93</v>
      </c>
      <c r="F5711">
        <v>568</v>
      </c>
      <c r="G5711" s="4">
        <v>46087.603310185186</v>
      </c>
    </row>
    <row r="5712" spans="1:7" x14ac:dyDescent="0.3">
      <c r="A5712">
        <v>17641</v>
      </c>
      <c r="B5712" t="s">
        <v>149</v>
      </c>
      <c r="C5712">
        <v>51022572</v>
      </c>
      <c r="D5712">
        <v>31</v>
      </c>
      <c r="E5712" t="s">
        <v>94</v>
      </c>
      <c r="F5712">
        <v>901</v>
      </c>
      <c r="G5712" s="4">
        <v>46087.603310185186</v>
      </c>
    </row>
    <row r="5713" spans="1:7" x14ac:dyDescent="0.3">
      <c r="A5713">
        <v>17642</v>
      </c>
      <c r="B5713" t="s">
        <v>149</v>
      </c>
      <c r="C5713">
        <v>51022343</v>
      </c>
      <c r="D5713">
        <v>20.371447174972801</v>
      </c>
      <c r="E5713" t="s">
        <v>95</v>
      </c>
      <c r="F5713">
        <v>981</v>
      </c>
      <c r="G5713" s="4">
        <v>46087.603310185186</v>
      </c>
    </row>
    <row r="5714" spans="1:7" x14ac:dyDescent="0.3">
      <c r="A5714">
        <v>17643</v>
      </c>
      <c r="B5714" t="s">
        <v>149</v>
      </c>
      <c r="C5714">
        <v>51015835</v>
      </c>
      <c r="D5714">
        <v>61.1157093649066</v>
      </c>
      <c r="E5714" t="s">
        <v>94</v>
      </c>
      <c r="F5714">
        <v>629</v>
      </c>
      <c r="G5714" s="4">
        <v>46087.603310185186</v>
      </c>
    </row>
    <row r="5715" spans="1:7" x14ac:dyDescent="0.3">
      <c r="A5715">
        <v>17644</v>
      </c>
      <c r="B5715" t="s">
        <v>149</v>
      </c>
      <c r="C5715">
        <v>51056329</v>
      </c>
      <c r="D5715">
        <v>25.610778234765142</v>
      </c>
      <c r="E5715" t="s">
        <v>94</v>
      </c>
      <c r="F5715">
        <v>944</v>
      </c>
      <c r="G5715" s="4">
        <v>46087.603310185186</v>
      </c>
    </row>
    <row r="5716" spans="1:7" x14ac:dyDescent="0.3">
      <c r="A5716">
        <v>17645</v>
      </c>
      <c r="B5716" t="s">
        <v>149</v>
      </c>
      <c r="C5716">
        <v>51030915</v>
      </c>
      <c r="D5716">
        <v>23.946219793250961</v>
      </c>
      <c r="E5716" t="s">
        <v>94</v>
      </c>
      <c r="F5716">
        <v>949</v>
      </c>
      <c r="G5716" s="4">
        <v>46087.603310185186</v>
      </c>
    </row>
    <row r="5717" spans="1:7" x14ac:dyDescent="0.3">
      <c r="A5717">
        <v>17646</v>
      </c>
      <c r="B5717" t="s">
        <v>149</v>
      </c>
      <c r="C5717">
        <v>51017871</v>
      </c>
      <c r="D5717">
        <v>22.007933545966853</v>
      </c>
      <c r="E5717" t="s">
        <v>95</v>
      </c>
      <c r="F5717">
        <v>966</v>
      </c>
      <c r="G5717" s="4">
        <v>46087.603310185186</v>
      </c>
    </row>
    <row r="5718" spans="1:7" x14ac:dyDescent="0.3">
      <c r="A5718">
        <v>17647</v>
      </c>
      <c r="B5718" t="s">
        <v>149</v>
      </c>
      <c r="C5718">
        <v>51017218</v>
      </c>
      <c r="D5718">
        <v>98.58072577368732</v>
      </c>
      <c r="E5718" t="s">
        <v>275</v>
      </c>
      <c r="F5718">
        <v>25</v>
      </c>
      <c r="G5718" s="4">
        <v>46087.603310185186</v>
      </c>
    </row>
    <row r="5719" spans="1:7" x14ac:dyDescent="0.3">
      <c r="A5719">
        <v>17648</v>
      </c>
      <c r="B5719" t="s">
        <v>149</v>
      </c>
      <c r="C5719">
        <v>51039025</v>
      </c>
      <c r="D5719">
        <v>22.999407936116619</v>
      </c>
      <c r="E5719" t="s">
        <v>94</v>
      </c>
      <c r="F5719">
        <v>954</v>
      </c>
      <c r="G5719" s="4">
        <v>46087.603310185186</v>
      </c>
    </row>
    <row r="5720" spans="1:7" x14ac:dyDescent="0.3">
      <c r="A5720">
        <v>17649</v>
      </c>
      <c r="B5720" t="s">
        <v>149</v>
      </c>
      <c r="C5720">
        <v>51026497</v>
      </c>
      <c r="D5720">
        <v>50.640086680277683</v>
      </c>
      <c r="E5720" t="s">
        <v>94</v>
      </c>
      <c r="F5720">
        <v>766</v>
      </c>
      <c r="G5720" s="4">
        <v>46087.603310185186</v>
      </c>
    </row>
    <row r="5721" spans="1:7" x14ac:dyDescent="0.3">
      <c r="A5721">
        <v>17650</v>
      </c>
      <c r="B5721" t="s">
        <v>149</v>
      </c>
      <c r="C5721">
        <v>51043693</v>
      </c>
      <c r="D5721">
        <v>86.30958414300737</v>
      </c>
      <c r="E5721" t="s">
        <v>92</v>
      </c>
      <c r="F5721">
        <v>223</v>
      </c>
      <c r="G5721" s="4">
        <v>46087.603310185186</v>
      </c>
    </row>
    <row r="5722" spans="1:7" x14ac:dyDescent="0.3">
      <c r="A5722">
        <v>17651</v>
      </c>
      <c r="B5722" t="s">
        <v>149</v>
      </c>
      <c r="C5722">
        <v>51001532</v>
      </c>
      <c r="D5722">
        <v>47.933345627381449</v>
      </c>
      <c r="E5722" t="s">
        <v>94</v>
      </c>
      <c r="F5722">
        <v>791</v>
      </c>
      <c r="G5722" s="4">
        <v>46087.603310185186</v>
      </c>
    </row>
    <row r="5723" spans="1:7" x14ac:dyDescent="0.3">
      <c r="A5723">
        <v>17652</v>
      </c>
      <c r="B5723" t="s">
        <v>149</v>
      </c>
      <c r="C5723">
        <v>51002709</v>
      </c>
      <c r="D5723">
        <v>83.995372886772813</v>
      </c>
      <c r="E5723" t="s">
        <v>93</v>
      </c>
      <c r="F5723">
        <v>290</v>
      </c>
      <c r="G5723" s="4">
        <v>46087.603310185186</v>
      </c>
    </row>
    <row r="5724" spans="1:7" x14ac:dyDescent="0.3">
      <c r="A5724">
        <v>17653</v>
      </c>
      <c r="B5724" t="s">
        <v>149</v>
      </c>
      <c r="C5724">
        <v>51015151</v>
      </c>
      <c r="D5724">
        <v>10.639999999999999</v>
      </c>
      <c r="E5724" t="s">
        <v>95</v>
      </c>
      <c r="F5724">
        <v>1153</v>
      </c>
      <c r="G5724" s="4">
        <v>46087.603310185186</v>
      </c>
    </row>
    <row r="5725" spans="1:7" x14ac:dyDescent="0.3">
      <c r="A5725">
        <v>17654</v>
      </c>
      <c r="B5725" t="s">
        <v>149</v>
      </c>
      <c r="C5725">
        <v>51009941</v>
      </c>
      <c r="D5725">
        <v>82.393742415298405</v>
      </c>
      <c r="E5725" t="s">
        <v>93</v>
      </c>
      <c r="F5725">
        <v>352</v>
      </c>
      <c r="G5725" s="4">
        <v>46087.603310185186</v>
      </c>
    </row>
    <row r="5726" spans="1:7" x14ac:dyDescent="0.3">
      <c r="A5726">
        <v>17655</v>
      </c>
      <c r="B5726" t="s">
        <v>149</v>
      </c>
      <c r="C5726">
        <v>51024818</v>
      </c>
      <c r="D5726">
        <v>17.778599999999997</v>
      </c>
      <c r="E5726" t="s">
        <v>95</v>
      </c>
      <c r="F5726">
        <v>1032</v>
      </c>
      <c r="G5726" s="4">
        <v>46087.603310185186</v>
      </c>
    </row>
    <row r="5727" spans="1:7" x14ac:dyDescent="0.3">
      <c r="A5727">
        <v>17656</v>
      </c>
      <c r="B5727" t="s">
        <v>149</v>
      </c>
      <c r="C5727">
        <v>51010523</v>
      </c>
      <c r="D5727">
        <v>34.097999999999999</v>
      </c>
      <c r="E5727" t="s">
        <v>94</v>
      </c>
      <c r="F5727">
        <v>870</v>
      </c>
      <c r="G5727" s="4">
        <v>46087.603310185186</v>
      </c>
    </row>
    <row r="5728" spans="1:7" x14ac:dyDescent="0.3">
      <c r="A5728">
        <v>17657</v>
      </c>
      <c r="B5728" t="s">
        <v>149</v>
      </c>
      <c r="C5728">
        <v>51000552</v>
      </c>
      <c r="D5728">
        <v>86.253670868392163</v>
      </c>
      <c r="E5728" t="s">
        <v>92</v>
      </c>
      <c r="F5728">
        <v>227</v>
      </c>
      <c r="G5728" s="4">
        <v>46087.603310185186</v>
      </c>
    </row>
    <row r="5729" spans="1:7" x14ac:dyDescent="0.3">
      <c r="A5729">
        <v>17658</v>
      </c>
      <c r="B5729" t="s">
        <v>149</v>
      </c>
      <c r="C5729">
        <v>51052331</v>
      </c>
      <c r="D5729">
        <v>71.734204657895404</v>
      </c>
      <c r="E5729" t="s">
        <v>93</v>
      </c>
      <c r="F5729">
        <v>525</v>
      </c>
      <c r="G5729" s="4">
        <v>46087.603310185186</v>
      </c>
    </row>
    <row r="5730" spans="1:7" x14ac:dyDescent="0.3">
      <c r="A5730">
        <v>17659</v>
      </c>
      <c r="B5730" t="s">
        <v>149</v>
      </c>
      <c r="C5730">
        <v>51024460</v>
      </c>
      <c r="D5730">
        <v>17.266398395734441</v>
      </c>
      <c r="E5730" t="s">
        <v>95</v>
      </c>
      <c r="F5730">
        <v>1041</v>
      </c>
      <c r="G5730" s="4">
        <v>46087.603310185186</v>
      </c>
    </row>
    <row r="5731" spans="1:7" x14ac:dyDescent="0.3">
      <c r="A5731">
        <v>17660</v>
      </c>
      <c r="B5731" t="s">
        <v>149</v>
      </c>
      <c r="C5731">
        <v>51024885</v>
      </c>
      <c r="D5731">
        <v>47.641512436079488</v>
      </c>
      <c r="E5731" t="s">
        <v>94</v>
      </c>
      <c r="F5731">
        <v>797</v>
      </c>
      <c r="G5731" s="4">
        <v>46087.603310185186</v>
      </c>
    </row>
    <row r="5732" spans="1:7" x14ac:dyDescent="0.3">
      <c r="A5732">
        <v>17661</v>
      </c>
      <c r="B5732" t="s">
        <v>149</v>
      </c>
      <c r="C5732">
        <v>51005554</v>
      </c>
      <c r="D5732">
        <v>58.629740579286342</v>
      </c>
      <c r="E5732" t="s">
        <v>94</v>
      </c>
      <c r="F5732">
        <v>669</v>
      </c>
      <c r="G5732" s="4">
        <v>46087.603310185186</v>
      </c>
    </row>
    <row r="5733" spans="1:7" x14ac:dyDescent="0.3">
      <c r="A5733">
        <v>17662</v>
      </c>
      <c r="B5733" t="s">
        <v>149</v>
      </c>
      <c r="C5733">
        <v>51024478</v>
      </c>
      <c r="D5733">
        <v>22.728999999999999</v>
      </c>
      <c r="E5733" t="s">
        <v>95</v>
      </c>
      <c r="F5733">
        <v>957</v>
      </c>
      <c r="G5733" s="4">
        <v>46087.603310185186</v>
      </c>
    </row>
    <row r="5734" spans="1:7" x14ac:dyDescent="0.3">
      <c r="A5734">
        <v>17663</v>
      </c>
      <c r="B5734" t="s">
        <v>149</v>
      </c>
      <c r="C5734">
        <v>51012691</v>
      </c>
      <c r="D5734">
        <v>29.654570045887329</v>
      </c>
      <c r="E5734" t="s">
        <v>94</v>
      </c>
      <c r="F5734">
        <v>913</v>
      </c>
      <c r="G5734" s="4">
        <v>46087.603310185186</v>
      </c>
    </row>
    <row r="5735" spans="1:7" x14ac:dyDescent="0.3">
      <c r="A5735">
        <v>17664</v>
      </c>
      <c r="B5735" t="s">
        <v>149</v>
      </c>
      <c r="C5735">
        <v>51015681</v>
      </c>
      <c r="D5735">
        <v>60.661262283315509</v>
      </c>
      <c r="E5735" t="s">
        <v>94</v>
      </c>
      <c r="F5735">
        <v>638</v>
      </c>
      <c r="G5735" s="4">
        <v>46087.603310185186</v>
      </c>
    </row>
    <row r="5736" spans="1:7" x14ac:dyDescent="0.3">
      <c r="A5736">
        <v>17665</v>
      </c>
      <c r="B5736" t="s">
        <v>149</v>
      </c>
      <c r="C5736">
        <v>51019008</v>
      </c>
      <c r="D5736">
        <v>83.33354158068984</v>
      </c>
      <c r="E5736" t="s">
        <v>93</v>
      </c>
      <c r="F5736">
        <v>317</v>
      </c>
      <c r="G5736" s="4">
        <v>46087.603310185186</v>
      </c>
    </row>
    <row r="5737" spans="1:7" x14ac:dyDescent="0.3">
      <c r="A5737">
        <v>17666</v>
      </c>
      <c r="B5737" t="s">
        <v>149</v>
      </c>
      <c r="C5737">
        <v>51015762</v>
      </c>
      <c r="D5737">
        <v>69.265510153622571</v>
      </c>
      <c r="E5737" t="s">
        <v>93</v>
      </c>
      <c r="F5737">
        <v>546</v>
      </c>
      <c r="G5737" s="4">
        <v>46087.603310185186</v>
      </c>
    </row>
    <row r="5738" spans="1:7" x14ac:dyDescent="0.3">
      <c r="A5738">
        <v>17667</v>
      </c>
      <c r="B5738" t="s">
        <v>149</v>
      </c>
      <c r="C5738">
        <v>51017714</v>
      </c>
      <c r="D5738">
        <v>24.218599999999999</v>
      </c>
      <c r="E5738" t="s">
        <v>94</v>
      </c>
      <c r="F5738">
        <v>948</v>
      </c>
      <c r="G5738" s="4">
        <v>46087.603310185186</v>
      </c>
    </row>
    <row r="5739" spans="1:7" x14ac:dyDescent="0.3">
      <c r="A5739">
        <v>17668</v>
      </c>
      <c r="B5739" t="s">
        <v>149</v>
      </c>
      <c r="C5739">
        <v>51031997</v>
      </c>
      <c r="D5739">
        <v>12.796000000000001</v>
      </c>
      <c r="E5739" t="s">
        <v>95</v>
      </c>
      <c r="F5739">
        <v>1117</v>
      </c>
      <c r="G5739" s="4">
        <v>46087.603310185186</v>
      </c>
    </row>
    <row r="5740" spans="1:7" x14ac:dyDescent="0.3">
      <c r="A5740">
        <v>17669</v>
      </c>
      <c r="B5740" t="s">
        <v>149</v>
      </c>
      <c r="C5740">
        <v>51039181</v>
      </c>
      <c r="D5740">
        <v>60.458125016654407</v>
      </c>
      <c r="E5740" t="s">
        <v>94</v>
      </c>
      <c r="F5740">
        <v>641</v>
      </c>
      <c r="G5740" s="4">
        <v>46087.603310185186</v>
      </c>
    </row>
    <row r="5741" spans="1:7" x14ac:dyDescent="0.3">
      <c r="A5741">
        <v>17670</v>
      </c>
      <c r="B5741" t="s">
        <v>149</v>
      </c>
      <c r="C5741">
        <v>51057121</v>
      </c>
      <c r="D5741">
        <v>30.117776294591145</v>
      </c>
      <c r="E5741" t="s">
        <v>94</v>
      </c>
      <c r="F5741">
        <v>908</v>
      </c>
      <c r="G5741" s="4">
        <v>46087.603310185186</v>
      </c>
    </row>
    <row r="5742" spans="1:7" x14ac:dyDescent="0.3">
      <c r="A5742">
        <v>17671</v>
      </c>
      <c r="B5742" t="s">
        <v>149</v>
      </c>
      <c r="C5742">
        <v>51018290</v>
      </c>
      <c r="D5742">
        <v>48.217253427178477</v>
      </c>
      <c r="E5742" t="s">
        <v>94</v>
      </c>
      <c r="F5742">
        <v>789</v>
      </c>
      <c r="G5742" s="4">
        <v>46087.603310185186</v>
      </c>
    </row>
    <row r="5743" spans="1:7" x14ac:dyDescent="0.3">
      <c r="A5743">
        <v>17672</v>
      </c>
      <c r="B5743" t="s">
        <v>149</v>
      </c>
      <c r="C5743">
        <v>51043561</v>
      </c>
      <c r="D5743">
        <v>22.608599999999999</v>
      </c>
      <c r="E5743" t="s">
        <v>95</v>
      </c>
      <c r="F5743">
        <v>960</v>
      </c>
      <c r="G5743" s="4">
        <v>46087.603310185186</v>
      </c>
    </row>
    <row r="5744" spans="1:7" x14ac:dyDescent="0.3">
      <c r="A5744">
        <v>17673</v>
      </c>
      <c r="B5744" t="s">
        <v>149</v>
      </c>
      <c r="C5744">
        <v>51036964</v>
      </c>
      <c r="D5744">
        <v>51.156829760370918</v>
      </c>
      <c r="E5744" t="s">
        <v>94</v>
      </c>
      <c r="F5744">
        <v>762</v>
      </c>
      <c r="G5744" s="4">
        <v>46087.603310185186</v>
      </c>
    </row>
    <row r="5745" spans="1:7" x14ac:dyDescent="0.3">
      <c r="A5745">
        <v>17674</v>
      </c>
      <c r="B5745" t="s">
        <v>149</v>
      </c>
      <c r="C5745">
        <v>51030290</v>
      </c>
      <c r="D5745">
        <v>89.099253556008165</v>
      </c>
      <c r="E5745" t="s">
        <v>92</v>
      </c>
      <c r="F5745">
        <v>150</v>
      </c>
      <c r="G5745" s="4">
        <v>46087.603310185186</v>
      </c>
    </row>
    <row r="5746" spans="1:7" x14ac:dyDescent="0.3">
      <c r="A5746">
        <v>17675</v>
      </c>
      <c r="B5746" t="s">
        <v>149</v>
      </c>
      <c r="C5746">
        <v>51023331</v>
      </c>
      <c r="D5746">
        <v>44.757784460214275</v>
      </c>
      <c r="E5746" t="s">
        <v>94</v>
      </c>
      <c r="F5746">
        <v>826</v>
      </c>
      <c r="G5746" s="4">
        <v>46087.603310185186</v>
      </c>
    </row>
    <row r="5747" spans="1:7" x14ac:dyDescent="0.3">
      <c r="A5747">
        <v>17676</v>
      </c>
      <c r="B5747" t="s">
        <v>149</v>
      </c>
      <c r="C5747">
        <v>51024010</v>
      </c>
      <c r="D5747">
        <v>37.880143071082664</v>
      </c>
      <c r="E5747" t="s">
        <v>94</v>
      </c>
      <c r="F5747">
        <v>853</v>
      </c>
      <c r="G5747" s="4">
        <v>46087.603310185186</v>
      </c>
    </row>
    <row r="5748" spans="1:7" x14ac:dyDescent="0.3">
      <c r="A5748">
        <v>17677</v>
      </c>
      <c r="B5748" t="s">
        <v>149</v>
      </c>
      <c r="C5748">
        <v>51024664</v>
      </c>
      <c r="D5748">
        <v>80.316107551993937</v>
      </c>
      <c r="E5748" t="s">
        <v>93</v>
      </c>
      <c r="F5748">
        <v>411</v>
      </c>
      <c r="G5748" s="4">
        <v>46087.603310185186</v>
      </c>
    </row>
    <row r="5749" spans="1:7" x14ac:dyDescent="0.3">
      <c r="A5749">
        <v>17678</v>
      </c>
      <c r="B5749" t="s">
        <v>149</v>
      </c>
      <c r="C5749">
        <v>51009185</v>
      </c>
      <c r="D5749">
        <v>96.103778018515072</v>
      </c>
      <c r="E5749" t="s">
        <v>275</v>
      </c>
      <c r="F5749">
        <v>52</v>
      </c>
      <c r="G5749" s="4">
        <v>46087.603310185186</v>
      </c>
    </row>
    <row r="5750" spans="1:7" x14ac:dyDescent="0.3">
      <c r="A5750">
        <v>17679</v>
      </c>
      <c r="B5750" t="s">
        <v>149</v>
      </c>
      <c r="C5750">
        <v>51039424</v>
      </c>
      <c r="D5750">
        <v>9.0090000000000003</v>
      </c>
      <c r="E5750" t="s">
        <v>95</v>
      </c>
      <c r="F5750">
        <v>1176</v>
      </c>
      <c r="G5750" s="4">
        <v>46087.603310185186</v>
      </c>
    </row>
    <row r="5751" spans="1:7" x14ac:dyDescent="0.3">
      <c r="A5751">
        <v>17680</v>
      </c>
      <c r="B5751" t="s">
        <v>149</v>
      </c>
      <c r="C5751">
        <v>51038941</v>
      </c>
      <c r="D5751">
        <v>20.090258349772125</v>
      </c>
      <c r="E5751" t="s">
        <v>95</v>
      </c>
      <c r="F5751">
        <v>984</v>
      </c>
      <c r="G5751" s="4">
        <v>46087.603310185186</v>
      </c>
    </row>
    <row r="5752" spans="1:7" x14ac:dyDescent="0.3">
      <c r="A5752">
        <v>17681</v>
      </c>
      <c r="B5752" t="s">
        <v>149</v>
      </c>
      <c r="C5752">
        <v>51015126</v>
      </c>
      <c r="D5752">
        <v>18.898599999999998</v>
      </c>
      <c r="E5752" t="s">
        <v>95</v>
      </c>
      <c r="F5752">
        <v>1011</v>
      </c>
      <c r="G5752" s="4">
        <v>46087.603310185186</v>
      </c>
    </row>
    <row r="5753" spans="1:7" x14ac:dyDescent="0.3">
      <c r="A5753">
        <v>17682</v>
      </c>
      <c r="B5753" t="s">
        <v>149</v>
      </c>
      <c r="C5753">
        <v>51017234</v>
      </c>
      <c r="D5753">
        <v>10.08</v>
      </c>
      <c r="E5753" t="s">
        <v>95</v>
      </c>
      <c r="F5753">
        <v>1168</v>
      </c>
      <c r="G5753" s="4">
        <v>46087.603310185186</v>
      </c>
    </row>
    <row r="5754" spans="1:7" x14ac:dyDescent="0.3">
      <c r="A5754">
        <v>17683</v>
      </c>
      <c r="B5754" t="s">
        <v>149</v>
      </c>
      <c r="C5754">
        <v>51012852</v>
      </c>
      <c r="D5754">
        <v>50.859848139833183</v>
      </c>
      <c r="E5754" t="s">
        <v>94</v>
      </c>
      <c r="F5754">
        <v>763</v>
      </c>
      <c r="G5754" s="4">
        <v>46087.603310185186</v>
      </c>
    </row>
    <row r="5755" spans="1:7" x14ac:dyDescent="0.3">
      <c r="A5755">
        <v>17684</v>
      </c>
      <c r="B5755" t="s">
        <v>149</v>
      </c>
      <c r="C5755">
        <v>51010396</v>
      </c>
      <c r="D5755">
        <v>53.285345266953954</v>
      </c>
      <c r="E5755" t="s">
        <v>94</v>
      </c>
      <c r="F5755">
        <v>747</v>
      </c>
      <c r="G5755" s="4">
        <v>46087.603310185186</v>
      </c>
    </row>
    <row r="5756" spans="1:7" x14ac:dyDescent="0.3">
      <c r="A5756">
        <v>17685</v>
      </c>
      <c r="B5756" t="s">
        <v>149</v>
      </c>
      <c r="C5756">
        <v>51022629</v>
      </c>
      <c r="D5756">
        <v>28.160000000000004</v>
      </c>
      <c r="E5756" t="s">
        <v>94</v>
      </c>
      <c r="F5756">
        <v>929</v>
      </c>
      <c r="G5756" s="4">
        <v>46087.603310185186</v>
      </c>
    </row>
    <row r="5757" spans="1:7" x14ac:dyDescent="0.3">
      <c r="A5757">
        <v>17686</v>
      </c>
      <c r="B5757" t="s">
        <v>149</v>
      </c>
      <c r="C5757">
        <v>51021274</v>
      </c>
      <c r="D5757">
        <v>94.549352792735803</v>
      </c>
      <c r="E5757" t="s">
        <v>92</v>
      </c>
      <c r="F5757">
        <v>69</v>
      </c>
      <c r="G5757" s="4">
        <v>46087.603310185186</v>
      </c>
    </row>
    <row r="5758" spans="1:7" x14ac:dyDescent="0.3">
      <c r="A5758">
        <v>17687</v>
      </c>
      <c r="B5758" t="s">
        <v>149</v>
      </c>
      <c r="C5758">
        <v>51021819</v>
      </c>
      <c r="D5758">
        <v>36.03785403775332</v>
      </c>
      <c r="E5758" t="s">
        <v>94</v>
      </c>
      <c r="F5758">
        <v>862</v>
      </c>
      <c r="G5758" s="4">
        <v>46087.603310185186</v>
      </c>
    </row>
    <row r="5759" spans="1:7" x14ac:dyDescent="0.3">
      <c r="A5759">
        <v>17688</v>
      </c>
      <c r="B5759" t="s">
        <v>149</v>
      </c>
      <c r="C5759">
        <v>51011171</v>
      </c>
      <c r="D5759">
        <v>20.368600000000001</v>
      </c>
      <c r="E5759" t="s">
        <v>95</v>
      </c>
      <c r="F5759">
        <v>982</v>
      </c>
      <c r="G5759" s="4">
        <v>46087.603310185186</v>
      </c>
    </row>
    <row r="5760" spans="1:7" x14ac:dyDescent="0.3">
      <c r="A5760">
        <v>17689</v>
      </c>
      <c r="B5760" t="s">
        <v>149</v>
      </c>
      <c r="C5760">
        <v>51012470</v>
      </c>
      <c r="D5760">
        <v>87.866253823579285</v>
      </c>
      <c r="E5760" t="s">
        <v>92</v>
      </c>
      <c r="F5760">
        <v>179</v>
      </c>
      <c r="G5760" s="4">
        <v>46087.603310185186</v>
      </c>
    </row>
    <row r="5761" spans="1:7" x14ac:dyDescent="0.3">
      <c r="A5761">
        <v>17690</v>
      </c>
      <c r="B5761" t="s">
        <v>149</v>
      </c>
      <c r="C5761">
        <v>51032713</v>
      </c>
      <c r="D5761">
        <v>91.223859164380229</v>
      </c>
      <c r="E5761" t="s">
        <v>92</v>
      </c>
      <c r="F5761">
        <v>116</v>
      </c>
      <c r="G5761" s="4">
        <v>46087.603310185186</v>
      </c>
    </row>
    <row r="5762" spans="1:7" x14ac:dyDescent="0.3">
      <c r="A5762">
        <v>17691</v>
      </c>
      <c r="B5762" t="s">
        <v>149</v>
      </c>
      <c r="C5762">
        <v>51010744</v>
      </c>
      <c r="D5762">
        <v>54.890549738609323</v>
      </c>
      <c r="E5762" t="s">
        <v>94</v>
      </c>
      <c r="F5762">
        <v>735</v>
      </c>
      <c r="G5762" s="4">
        <v>46087.603310185186</v>
      </c>
    </row>
    <row r="5763" spans="1:7" x14ac:dyDescent="0.3">
      <c r="A5763">
        <v>17692</v>
      </c>
      <c r="B5763" t="s">
        <v>149</v>
      </c>
      <c r="C5763">
        <v>51057546</v>
      </c>
      <c r="D5763">
        <v>10.7</v>
      </c>
      <c r="E5763" t="s">
        <v>95</v>
      </c>
      <c r="F5763">
        <v>1151</v>
      </c>
      <c r="G5763" s="4">
        <v>46087.603310185186</v>
      </c>
    </row>
    <row r="5764" spans="1:7" x14ac:dyDescent="0.3">
      <c r="A5764">
        <v>17693</v>
      </c>
      <c r="B5764" t="s">
        <v>149</v>
      </c>
      <c r="C5764">
        <v>51023889</v>
      </c>
      <c r="D5764">
        <v>47.004884403430431</v>
      </c>
      <c r="E5764" t="s">
        <v>94</v>
      </c>
      <c r="F5764">
        <v>808</v>
      </c>
      <c r="G5764" s="4">
        <v>46087.603310185186</v>
      </c>
    </row>
    <row r="5765" spans="1:7" x14ac:dyDescent="0.3">
      <c r="A5765">
        <v>17694</v>
      </c>
      <c r="B5765" t="s">
        <v>149</v>
      </c>
      <c r="C5765">
        <v>51031041</v>
      </c>
      <c r="D5765">
        <v>10.73</v>
      </c>
      <c r="E5765" t="s">
        <v>95</v>
      </c>
      <c r="F5765">
        <v>1149</v>
      </c>
      <c r="G5765" s="4">
        <v>46087.603310185186</v>
      </c>
    </row>
    <row r="5766" spans="1:7" x14ac:dyDescent="0.3">
      <c r="A5766">
        <v>17695</v>
      </c>
      <c r="B5766" t="s">
        <v>149</v>
      </c>
      <c r="C5766">
        <v>51022262</v>
      </c>
      <c r="D5766">
        <v>8.9558</v>
      </c>
      <c r="E5766" t="s">
        <v>95</v>
      </c>
      <c r="F5766">
        <v>1177</v>
      </c>
      <c r="G5766" s="4">
        <v>46087.603310185186</v>
      </c>
    </row>
    <row r="5767" spans="1:7" x14ac:dyDescent="0.3">
      <c r="A5767">
        <v>17696</v>
      </c>
      <c r="B5767" t="s">
        <v>149</v>
      </c>
      <c r="C5767">
        <v>51017731</v>
      </c>
      <c r="D5767">
        <v>7.9667000000000012</v>
      </c>
      <c r="E5767" t="s">
        <v>95</v>
      </c>
      <c r="F5767">
        <v>1187</v>
      </c>
      <c r="G5767" s="4">
        <v>46087.603310185186</v>
      </c>
    </row>
    <row r="5768" spans="1:7" x14ac:dyDescent="0.3">
      <c r="A5768">
        <v>17697</v>
      </c>
      <c r="B5768" t="s">
        <v>149</v>
      </c>
      <c r="C5768">
        <v>51000269</v>
      </c>
      <c r="D5768">
        <v>7.91</v>
      </c>
      <c r="E5768" t="s">
        <v>95</v>
      </c>
      <c r="F5768">
        <v>1188</v>
      </c>
      <c r="G5768" s="4">
        <v>46087.603310185186</v>
      </c>
    </row>
    <row r="5769" spans="1:7" x14ac:dyDescent="0.3">
      <c r="A5769">
        <v>17698</v>
      </c>
      <c r="B5769" t="s">
        <v>149</v>
      </c>
      <c r="C5769">
        <v>51000862</v>
      </c>
      <c r="D5769">
        <v>19.8</v>
      </c>
      <c r="E5769" t="s">
        <v>95</v>
      </c>
      <c r="F5769">
        <v>989</v>
      </c>
      <c r="G5769" s="4">
        <v>46087.603310185186</v>
      </c>
    </row>
    <row r="5770" spans="1:7" x14ac:dyDescent="0.3">
      <c r="A5770">
        <v>17699</v>
      </c>
      <c r="B5770" t="s">
        <v>149</v>
      </c>
      <c r="C5770">
        <v>51001494</v>
      </c>
      <c r="D5770">
        <v>10.709999999999999</v>
      </c>
      <c r="E5770" t="s">
        <v>95</v>
      </c>
      <c r="F5770">
        <v>1150</v>
      </c>
      <c r="G5770" s="4">
        <v>46087.603310185186</v>
      </c>
    </row>
    <row r="5771" spans="1:7" x14ac:dyDescent="0.3">
      <c r="A5771">
        <v>17700</v>
      </c>
      <c r="B5771" t="s">
        <v>149</v>
      </c>
      <c r="C5771">
        <v>51001745</v>
      </c>
      <c r="D5771">
        <v>21.01</v>
      </c>
      <c r="E5771" t="s">
        <v>95</v>
      </c>
      <c r="F5771">
        <v>976</v>
      </c>
      <c r="G5771" s="4">
        <v>46087.603310185186</v>
      </c>
    </row>
    <row r="5772" spans="1:7" x14ac:dyDescent="0.3">
      <c r="A5772">
        <v>17701</v>
      </c>
      <c r="B5772" t="s">
        <v>149</v>
      </c>
      <c r="C5772">
        <v>51001923</v>
      </c>
      <c r="D5772">
        <v>15.840000000000002</v>
      </c>
      <c r="E5772" t="s">
        <v>95</v>
      </c>
      <c r="F5772">
        <v>1066</v>
      </c>
      <c r="G5772" s="4">
        <v>46087.603310185186</v>
      </c>
    </row>
    <row r="5773" spans="1:7" x14ac:dyDescent="0.3">
      <c r="A5773">
        <v>17702</v>
      </c>
      <c r="B5773" t="s">
        <v>149</v>
      </c>
      <c r="C5773">
        <v>51003721</v>
      </c>
      <c r="D5773">
        <v>14.5</v>
      </c>
      <c r="E5773" t="s">
        <v>95</v>
      </c>
      <c r="F5773">
        <v>1080</v>
      </c>
      <c r="G5773" s="4">
        <v>46087.603310185186</v>
      </c>
    </row>
    <row r="5774" spans="1:7" x14ac:dyDescent="0.3">
      <c r="A5774">
        <v>17703</v>
      </c>
      <c r="B5774" t="s">
        <v>149</v>
      </c>
      <c r="C5774">
        <v>51004167</v>
      </c>
      <c r="D5774">
        <v>13.7</v>
      </c>
      <c r="E5774" t="s">
        <v>95</v>
      </c>
      <c r="F5774">
        <v>1093</v>
      </c>
      <c r="G5774" s="4">
        <v>46087.603310185186</v>
      </c>
    </row>
    <row r="5775" spans="1:7" x14ac:dyDescent="0.3">
      <c r="A5775">
        <v>17704</v>
      </c>
      <c r="B5775" t="s">
        <v>149</v>
      </c>
      <c r="C5775">
        <v>51004671</v>
      </c>
      <c r="D5775">
        <v>12.459999999999999</v>
      </c>
      <c r="E5775" t="s">
        <v>95</v>
      </c>
      <c r="F5775">
        <v>1125</v>
      </c>
      <c r="G5775" s="4">
        <v>46087.603310185186</v>
      </c>
    </row>
    <row r="5776" spans="1:7" x14ac:dyDescent="0.3">
      <c r="A5776">
        <v>17705</v>
      </c>
      <c r="B5776" t="s">
        <v>149</v>
      </c>
      <c r="C5776">
        <v>51005058</v>
      </c>
      <c r="D5776">
        <v>19.3</v>
      </c>
      <c r="E5776" t="s">
        <v>95</v>
      </c>
      <c r="F5776">
        <v>998</v>
      </c>
      <c r="G5776" s="4">
        <v>46087.603310185186</v>
      </c>
    </row>
    <row r="5777" spans="1:7" x14ac:dyDescent="0.3">
      <c r="A5777">
        <v>17706</v>
      </c>
      <c r="B5777" t="s">
        <v>149</v>
      </c>
      <c r="C5777">
        <v>51005201</v>
      </c>
      <c r="D5777">
        <v>17.600000000000001</v>
      </c>
      <c r="E5777" t="s">
        <v>95</v>
      </c>
      <c r="F5777">
        <v>1034</v>
      </c>
      <c r="G5777" s="4">
        <v>46087.603310185186</v>
      </c>
    </row>
    <row r="5778" spans="1:7" x14ac:dyDescent="0.3">
      <c r="A5778">
        <v>17707</v>
      </c>
      <c r="B5778" t="s">
        <v>149</v>
      </c>
      <c r="C5778">
        <v>51005384</v>
      </c>
      <c r="D5778">
        <v>38.410215269154712</v>
      </c>
      <c r="E5778" t="s">
        <v>94</v>
      </c>
      <c r="F5778">
        <v>849</v>
      </c>
      <c r="G5778" s="4">
        <v>46087.603310185186</v>
      </c>
    </row>
    <row r="5779" spans="1:7" x14ac:dyDescent="0.3">
      <c r="A5779">
        <v>17708</v>
      </c>
      <c r="B5779" t="s">
        <v>149</v>
      </c>
      <c r="C5779">
        <v>51005902</v>
      </c>
      <c r="D5779">
        <v>58.576084236543615</v>
      </c>
      <c r="E5779" t="s">
        <v>94</v>
      </c>
      <c r="F5779">
        <v>671</v>
      </c>
      <c r="G5779" s="4">
        <v>46087.603310185186</v>
      </c>
    </row>
    <row r="5780" spans="1:7" x14ac:dyDescent="0.3">
      <c r="A5780">
        <v>17709</v>
      </c>
      <c r="B5780" t="s">
        <v>149</v>
      </c>
      <c r="C5780">
        <v>51006445</v>
      </c>
      <c r="D5780">
        <v>19.36</v>
      </c>
      <c r="E5780" t="s">
        <v>95</v>
      </c>
      <c r="F5780">
        <v>996</v>
      </c>
      <c r="G5780" s="4">
        <v>46087.603310185186</v>
      </c>
    </row>
    <row r="5781" spans="1:7" x14ac:dyDescent="0.3">
      <c r="A5781">
        <v>17710</v>
      </c>
      <c r="B5781" t="s">
        <v>149</v>
      </c>
      <c r="C5781">
        <v>51006453</v>
      </c>
      <c r="D5781">
        <v>15.639999999999999</v>
      </c>
      <c r="E5781" t="s">
        <v>95</v>
      </c>
      <c r="F5781">
        <v>1068</v>
      </c>
      <c r="G5781" s="4">
        <v>46087.603310185186</v>
      </c>
    </row>
    <row r="5782" spans="1:7" x14ac:dyDescent="0.3">
      <c r="A5782">
        <v>17711</v>
      </c>
      <c r="B5782" t="s">
        <v>149</v>
      </c>
      <c r="C5782">
        <v>51006518</v>
      </c>
      <c r="D5782">
        <v>12.81</v>
      </c>
      <c r="E5782" t="s">
        <v>95</v>
      </c>
      <c r="F5782">
        <v>1115</v>
      </c>
      <c r="G5782" s="4">
        <v>46087.603310185186</v>
      </c>
    </row>
    <row r="5783" spans="1:7" x14ac:dyDescent="0.3">
      <c r="A5783">
        <v>17712</v>
      </c>
      <c r="B5783" t="s">
        <v>149</v>
      </c>
      <c r="C5783">
        <v>51006674</v>
      </c>
      <c r="D5783">
        <v>16.5</v>
      </c>
      <c r="E5783" t="s">
        <v>95</v>
      </c>
      <c r="F5783">
        <v>1057</v>
      </c>
      <c r="G5783" s="4">
        <v>46087.603310185186</v>
      </c>
    </row>
    <row r="5784" spans="1:7" x14ac:dyDescent="0.3">
      <c r="A5784">
        <v>17713</v>
      </c>
      <c r="B5784" t="s">
        <v>149</v>
      </c>
      <c r="C5784">
        <v>51010094</v>
      </c>
      <c r="D5784">
        <v>15.3</v>
      </c>
      <c r="E5784" t="s">
        <v>95</v>
      </c>
      <c r="F5784">
        <v>1072</v>
      </c>
      <c r="G5784" s="4">
        <v>46087.603310185186</v>
      </c>
    </row>
    <row r="5785" spans="1:7" x14ac:dyDescent="0.3">
      <c r="A5785">
        <v>17714</v>
      </c>
      <c r="B5785" t="s">
        <v>149</v>
      </c>
      <c r="C5785">
        <v>51010108</v>
      </c>
      <c r="D5785">
        <v>10.36</v>
      </c>
      <c r="E5785" t="s">
        <v>95</v>
      </c>
      <c r="F5785">
        <v>1162</v>
      </c>
      <c r="G5785" s="4">
        <v>46087.603310185186</v>
      </c>
    </row>
    <row r="5786" spans="1:7" x14ac:dyDescent="0.3">
      <c r="A5786">
        <v>17715</v>
      </c>
      <c r="B5786" t="s">
        <v>149</v>
      </c>
      <c r="C5786">
        <v>51010167</v>
      </c>
      <c r="D5786">
        <v>22.655000000000001</v>
      </c>
      <c r="E5786" t="s">
        <v>95</v>
      </c>
      <c r="F5786">
        <v>959</v>
      </c>
      <c r="G5786" s="4">
        <v>46087.603310185186</v>
      </c>
    </row>
    <row r="5787" spans="1:7" x14ac:dyDescent="0.3">
      <c r="A5787">
        <v>17716</v>
      </c>
      <c r="B5787" t="s">
        <v>149</v>
      </c>
      <c r="C5787">
        <v>51010388</v>
      </c>
      <c r="D5787">
        <v>7.91</v>
      </c>
      <c r="E5787" t="s">
        <v>95</v>
      </c>
      <c r="F5787">
        <v>1188</v>
      </c>
      <c r="G5787" s="4">
        <v>46087.603310185186</v>
      </c>
    </row>
    <row r="5788" spans="1:7" x14ac:dyDescent="0.3">
      <c r="A5788">
        <v>17717</v>
      </c>
      <c r="B5788" t="s">
        <v>149</v>
      </c>
      <c r="C5788">
        <v>51010477</v>
      </c>
      <c r="D5788">
        <v>16.899999999999999</v>
      </c>
      <c r="E5788" t="s">
        <v>95</v>
      </c>
      <c r="F5788">
        <v>1049</v>
      </c>
      <c r="G5788" s="4">
        <v>46087.603310185186</v>
      </c>
    </row>
    <row r="5789" spans="1:7" x14ac:dyDescent="0.3">
      <c r="A5789">
        <v>17718</v>
      </c>
      <c r="B5789" t="s">
        <v>149</v>
      </c>
      <c r="C5789">
        <v>51010485</v>
      </c>
      <c r="D5789">
        <v>9.870000000000001</v>
      </c>
      <c r="E5789" t="s">
        <v>95</v>
      </c>
      <c r="F5789">
        <v>1170</v>
      </c>
      <c r="G5789" s="4">
        <v>46087.603310185186</v>
      </c>
    </row>
    <row r="5790" spans="1:7" x14ac:dyDescent="0.3">
      <c r="A5790">
        <v>17719</v>
      </c>
      <c r="B5790" t="s">
        <v>149</v>
      </c>
      <c r="C5790">
        <v>51010612</v>
      </c>
      <c r="D5790">
        <v>9.5899999999999981</v>
      </c>
      <c r="E5790" t="s">
        <v>95</v>
      </c>
      <c r="F5790">
        <v>1172</v>
      </c>
      <c r="G5790" s="4">
        <v>46087.603310185186</v>
      </c>
    </row>
    <row r="5791" spans="1:7" x14ac:dyDescent="0.3">
      <c r="A5791">
        <v>17720</v>
      </c>
      <c r="B5791" t="s">
        <v>149</v>
      </c>
      <c r="C5791">
        <v>51010639</v>
      </c>
      <c r="D5791">
        <v>18.100000000000001</v>
      </c>
      <c r="E5791" t="s">
        <v>95</v>
      </c>
      <c r="F5791">
        <v>1026</v>
      </c>
      <c r="G5791" s="4">
        <v>46087.603310185186</v>
      </c>
    </row>
    <row r="5792" spans="1:7" x14ac:dyDescent="0.3">
      <c r="A5792">
        <v>17721</v>
      </c>
      <c r="B5792" t="s">
        <v>149</v>
      </c>
      <c r="C5792">
        <v>51010965</v>
      </c>
      <c r="D5792">
        <v>8.33</v>
      </c>
      <c r="E5792" t="s">
        <v>95</v>
      </c>
      <c r="F5792">
        <v>1182</v>
      </c>
      <c r="G5792" s="4">
        <v>46087.603310185186</v>
      </c>
    </row>
    <row r="5793" spans="1:7" x14ac:dyDescent="0.3">
      <c r="A5793">
        <v>17722</v>
      </c>
      <c r="B5793" t="s">
        <v>149</v>
      </c>
      <c r="C5793">
        <v>51011082</v>
      </c>
      <c r="D5793">
        <v>32.123000000000005</v>
      </c>
      <c r="E5793" t="s">
        <v>94</v>
      </c>
      <c r="F5793">
        <v>885</v>
      </c>
      <c r="G5793" s="4">
        <v>46087.603310185186</v>
      </c>
    </row>
    <row r="5794" spans="1:7" x14ac:dyDescent="0.3">
      <c r="A5794">
        <v>17723</v>
      </c>
      <c r="B5794" t="s">
        <v>149</v>
      </c>
      <c r="C5794">
        <v>51011104</v>
      </c>
      <c r="D5794">
        <v>18.859999999999996</v>
      </c>
      <c r="E5794" t="s">
        <v>95</v>
      </c>
      <c r="F5794">
        <v>1012</v>
      </c>
      <c r="G5794" s="4">
        <v>46087.603310185186</v>
      </c>
    </row>
    <row r="5795" spans="1:7" x14ac:dyDescent="0.3">
      <c r="A5795">
        <v>17724</v>
      </c>
      <c r="B5795" t="s">
        <v>149</v>
      </c>
      <c r="C5795">
        <v>51011163</v>
      </c>
      <c r="D5795">
        <v>19.8</v>
      </c>
      <c r="E5795" t="s">
        <v>95</v>
      </c>
      <c r="F5795">
        <v>989</v>
      </c>
      <c r="G5795" s="4">
        <v>46087.603310185186</v>
      </c>
    </row>
    <row r="5796" spans="1:7" x14ac:dyDescent="0.3">
      <c r="A5796">
        <v>17725</v>
      </c>
      <c r="B5796" t="s">
        <v>149</v>
      </c>
      <c r="C5796">
        <v>51011406</v>
      </c>
      <c r="D5796">
        <v>8.33</v>
      </c>
      <c r="E5796" t="s">
        <v>95</v>
      </c>
      <c r="F5796">
        <v>1182</v>
      </c>
      <c r="G5796" s="4">
        <v>46087.603310185186</v>
      </c>
    </row>
    <row r="5797" spans="1:7" x14ac:dyDescent="0.3">
      <c r="A5797">
        <v>17726</v>
      </c>
      <c r="B5797" t="s">
        <v>149</v>
      </c>
      <c r="C5797">
        <v>51011503</v>
      </c>
      <c r="D5797">
        <v>16.384999999999998</v>
      </c>
      <c r="E5797" t="s">
        <v>95</v>
      </c>
      <c r="F5797">
        <v>1058</v>
      </c>
      <c r="G5797" s="4">
        <v>46087.603310185186</v>
      </c>
    </row>
    <row r="5798" spans="1:7" x14ac:dyDescent="0.3">
      <c r="A5798">
        <v>17727</v>
      </c>
      <c r="B5798" t="s">
        <v>149</v>
      </c>
      <c r="C5798">
        <v>51011511</v>
      </c>
      <c r="D5798">
        <v>8.68</v>
      </c>
      <c r="E5798" t="s">
        <v>95</v>
      </c>
      <c r="F5798">
        <v>1179</v>
      </c>
      <c r="G5798" s="4">
        <v>46087.603310185186</v>
      </c>
    </row>
    <row r="5799" spans="1:7" x14ac:dyDescent="0.3">
      <c r="A5799">
        <v>17728</v>
      </c>
      <c r="B5799" t="s">
        <v>149</v>
      </c>
      <c r="C5799">
        <v>51011881</v>
      </c>
      <c r="D5799">
        <v>17.7</v>
      </c>
      <c r="E5799" t="s">
        <v>95</v>
      </c>
      <c r="F5799">
        <v>1033</v>
      </c>
      <c r="G5799" s="4">
        <v>46087.603310185186</v>
      </c>
    </row>
    <row r="5800" spans="1:7" x14ac:dyDescent="0.3">
      <c r="A5800">
        <v>17729</v>
      </c>
      <c r="B5800" t="s">
        <v>149</v>
      </c>
      <c r="C5800">
        <v>51011911</v>
      </c>
      <c r="D5800">
        <v>14.254999999999999</v>
      </c>
      <c r="E5800" t="s">
        <v>95</v>
      </c>
      <c r="F5800">
        <v>1084</v>
      </c>
      <c r="G5800" s="4">
        <v>46087.603310185186</v>
      </c>
    </row>
    <row r="5801" spans="1:7" x14ac:dyDescent="0.3">
      <c r="A5801">
        <v>17730</v>
      </c>
      <c r="B5801" t="s">
        <v>149</v>
      </c>
      <c r="C5801">
        <v>51011945</v>
      </c>
      <c r="D5801">
        <v>18.100000000000001</v>
      </c>
      <c r="E5801" t="s">
        <v>95</v>
      </c>
      <c r="F5801">
        <v>1026</v>
      </c>
      <c r="G5801" s="4">
        <v>46087.603310185186</v>
      </c>
    </row>
    <row r="5802" spans="1:7" x14ac:dyDescent="0.3">
      <c r="A5802">
        <v>17731</v>
      </c>
      <c r="B5802" t="s">
        <v>149</v>
      </c>
      <c r="C5802">
        <v>51012089</v>
      </c>
      <c r="D5802">
        <v>13.5</v>
      </c>
      <c r="E5802" t="s">
        <v>95</v>
      </c>
      <c r="F5802">
        <v>1095</v>
      </c>
      <c r="G5802" s="4">
        <v>46087.603310185186</v>
      </c>
    </row>
    <row r="5803" spans="1:7" x14ac:dyDescent="0.3">
      <c r="A5803">
        <v>17732</v>
      </c>
      <c r="B5803" t="s">
        <v>149</v>
      </c>
      <c r="C5803">
        <v>51012283</v>
      </c>
      <c r="D5803">
        <v>15.328000000000001</v>
      </c>
      <c r="E5803" t="s">
        <v>95</v>
      </c>
      <c r="F5803">
        <v>1071</v>
      </c>
      <c r="G5803" s="4">
        <v>46087.603310185186</v>
      </c>
    </row>
    <row r="5804" spans="1:7" x14ac:dyDescent="0.3">
      <c r="A5804">
        <v>17733</v>
      </c>
      <c r="B5804" t="s">
        <v>149</v>
      </c>
      <c r="C5804">
        <v>51012429</v>
      </c>
      <c r="D5804">
        <v>18.899999999999999</v>
      </c>
      <c r="E5804" t="s">
        <v>95</v>
      </c>
      <c r="F5804">
        <v>1008</v>
      </c>
      <c r="G5804" s="4">
        <v>46087.603310185186</v>
      </c>
    </row>
    <row r="5805" spans="1:7" x14ac:dyDescent="0.3">
      <c r="A5805">
        <v>17734</v>
      </c>
      <c r="B5805" t="s">
        <v>149</v>
      </c>
      <c r="C5805">
        <v>51012569</v>
      </c>
      <c r="D5805">
        <v>15.96</v>
      </c>
      <c r="E5805" t="s">
        <v>95</v>
      </c>
      <c r="F5805">
        <v>1065</v>
      </c>
      <c r="G5805" s="4">
        <v>46087.603310185186</v>
      </c>
    </row>
    <row r="5806" spans="1:7" x14ac:dyDescent="0.3">
      <c r="A5806">
        <v>17735</v>
      </c>
      <c r="B5806" t="s">
        <v>149</v>
      </c>
      <c r="C5806">
        <v>51012631</v>
      </c>
      <c r="D5806">
        <v>12.980000000000002</v>
      </c>
      <c r="E5806" t="s">
        <v>95</v>
      </c>
      <c r="F5806">
        <v>1111</v>
      </c>
      <c r="G5806" s="4">
        <v>46087.603310185186</v>
      </c>
    </row>
    <row r="5807" spans="1:7" x14ac:dyDescent="0.3">
      <c r="A5807">
        <v>17736</v>
      </c>
      <c r="B5807" t="s">
        <v>149</v>
      </c>
      <c r="C5807">
        <v>51012844</v>
      </c>
      <c r="D5807">
        <v>8.8199999999999985</v>
      </c>
      <c r="E5807" t="s">
        <v>95</v>
      </c>
      <c r="F5807">
        <v>1178</v>
      </c>
      <c r="G5807" s="4">
        <v>46087.603310185186</v>
      </c>
    </row>
    <row r="5808" spans="1:7" x14ac:dyDescent="0.3">
      <c r="A5808">
        <v>17737</v>
      </c>
      <c r="B5808" t="s">
        <v>149</v>
      </c>
      <c r="C5808">
        <v>51012925</v>
      </c>
      <c r="D5808">
        <v>7.56</v>
      </c>
      <c r="E5808" t="s">
        <v>95</v>
      </c>
      <c r="F5808">
        <v>1191</v>
      </c>
      <c r="G5808" s="4">
        <v>46087.603310185186</v>
      </c>
    </row>
    <row r="5809" spans="1:7" x14ac:dyDescent="0.3">
      <c r="A5809">
        <v>17738</v>
      </c>
      <c r="B5809" t="s">
        <v>149</v>
      </c>
      <c r="C5809">
        <v>51012968</v>
      </c>
      <c r="D5809">
        <v>18.63</v>
      </c>
      <c r="E5809" t="s">
        <v>95</v>
      </c>
      <c r="F5809">
        <v>1018</v>
      </c>
      <c r="G5809" s="4">
        <v>46087.603310185186</v>
      </c>
    </row>
    <row r="5810" spans="1:7" x14ac:dyDescent="0.3">
      <c r="A5810">
        <v>17739</v>
      </c>
      <c r="B5810" t="s">
        <v>149</v>
      </c>
      <c r="C5810">
        <v>51013042</v>
      </c>
      <c r="D5810">
        <v>15.683</v>
      </c>
      <c r="E5810" t="s">
        <v>95</v>
      </c>
      <c r="F5810">
        <v>1067</v>
      </c>
      <c r="G5810" s="4">
        <v>46087.603310185186</v>
      </c>
    </row>
    <row r="5811" spans="1:7" x14ac:dyDescent="0.3">
      <c r="A5811">
        <v>17740</v>
      </c>
      <c r="B5811" t="s">
        <v>149</v>
      </c>
      <c r="C5811">
        <v>51013123</v>
      </c>
      <c r="D5811">
        <v>11</v>
      </c>
      <c r="E5811" t="s">
        <v>95</v>
      </c>
      <c r="F5811">
        <v>1142</v>
      </c>
      <c r="G5811" s="4">
        <v>46087.603310185186</v>
      </c>
    </row>
    <row r="5812" spans="1:7" x14ac:dyDescent="0.3">
      <c r="A5812">
        <v>17741</v>
      </c>
      <c r="B5812" t="s">
        <v>149</v>
      </c>
      <c r="C5812">
        <v>51013174</v>
      </c>
      <c r="D5812">
        <v>14.489999999999998</v>
      </c>
      <c r="E5812" t="s">
        <v>95</v>
      </c>
      <c r="F5812">
        <v>1082</v>
      </c>
      <c r="G5812" s="4">
        <v>46087.603310185186</v>
      </c>
    </row>
    <row r="5813" spans="1:7" x14ac:dyDescent="0.3">
      <c r="A5813">
        <v>17742</v>
      </c>
      <c r="B5813" t="s">
        <v>149</v>
      </c>
      <c r="C5813">
        <v>51013263</v>
      </c>
      <c r="D5813">
        <v>18.399999999999999</v>
      </c>
      <c r="E5813" t="s">
        <v>95</v>
      </c>
      <c r="F5813">
        <v>1021</v>
      </c>
      <c r="G5813" s="4">
        <v>46087.603310185186</v>
      </c>
    </row>
    <row r="5814" spans="1:7" x14ac:dyDescent="0.3">
      <c r="A5814">
        <v>17743</v>
      </c>
      <c r="B5814" t="s">
        <v>149</v>
      </c>
      <c r="C5814">
        <v>51013751</v>
      </c>
      <c r="D5814">
        <v>20.443500000000004</v>
      </c>
      <c r="E5814" t="s">
        <v>95</v>
      </c>
      <c r="F5814">
        <v>979</v>
      </c>
      <c r="G5814" s="4">
        <v>46087.603310185186</v>
      </c>
    </row>
    <row r="5815" spans="1:7" x14ac:dyDescent="0.3">
      <c r="A5815">
        <v>17744</v>
      </c>
      <c r="B5815" t="s">
        <v>149</v>
      </c>
      <c r="C5815">
        <v>51013905</v>
      </c>
      <c r="D5815">
        <v>10.8</v>
      </c>
      <c r="E5815" t="s">
        <v>95</v>
      </c>
      <c r="F5815">
        <v>1147</v>
      </c>
      <c r="G5815" s="4">
        <v>46087.603310185186</v>
      </c>
    </row>
    <row r="5816" spans="1:7" x14ac:dyDescent="0.3">
      <c r="A5816">
        <v>17745</v>
      </c>
      <c r="B5816" t="s">
        <v>149</v>
      </c>
      <c r="C5816">
        <v>51014073</v>
      </c>
      <c r="D5816">
        <v>18.200000000000003</v>
      </c>
      <c r="E5816" t="s">
        <v>95</v>
      </c>
      <c r="F5816">
        <v>1023</v>
      </c>
      <c r="G5816" s="4">
        <v>46087.603310185186</v>
      </c>
    </row>
    <row r="5817" spans="1:7" x14ac:dyDescent="0.3">
      <c r="A5817">
        <v>17746</v>
      </c>
      <c r="B5817" t="s">
        <v>149</v>
      </c>
      <c r="C5817">
        <v>51014154</v>
      </c>
      <c r="D5817">
        <v>13.02</v>
      </c>
      <c r="E5817" t="s">
        <v>95</v>
      </c>
      <c r="F5817">
        <v>1110</v>
      </c>
      <c r="G5817" s="4">
        <v>46087.603310185186</v>
      </c>
    </row>
    <row r="5818" spans="1:7" x14ac:dyDescent="0.3">
      <c r="A5818">
        <v>17747</v>
      </c>
      <c r="B5818" t="s">
        <v>149</v>
      </c>
      <c r="C5818">
        <v>51014227</v>
      </c>
      <c r="D5818">
        <v>13.1</v>
      </c>
      <c r="E5818" t="s">
        <v>95</v>
      </c>
      <c r="F5818">
        <v>1107</v>
      </c>
      <c r="G5818" s="4">
        <v>46087.603310185186</v>
      </c>
    </row>
    <row r="5819" spans="1:7" x14ac:dyDescent="0.3">
      <c r="A5819">
        <v>17748</v>
      </c>
      <c r="B5819" t="s">
        <v>149</v>
      </c>
      <c r="C5819">
        <v>51014651</v>
      </c>
      <c r="D5819">
        <v>13.8</v>
      </c>
      <c r="E5819" t="s">
        <v>95</v>
      </c>
      <c r="F5819">
        <v>1088</v>
      </c>
      <c r="G5819" s="4">
        <v>46087.603310185186</v>
      </c>
    </row>
    <row r="5820" spans="1:7" x14ac:dyDescent="0.3">
      <c r="A5820">
        <v>17749</v>
      </c>
      <c r="B5820" t="s">
        <v>149</v>
      </c>
      <c r="C5820">
        <v>51014723</v>
      </c>
      <c r="D5820">
        <v>11.339999999999998</v>
      </c>
      <c r="E5820" t="s">
        <v>95</v>
      </c>
      <c r="F5820">
        <v>1138</v>
      </c>
      <c r="G5820" s="4">
        <v>46087.603310185186</v>
      </c>
    </row>
    <row r="5821" spans="1:7" x14ac:dyDescent="0.3">
      <c r="A5821">
        <v>17750</v>
      </c>
      <c r="B5821" t="s">
        <v>149</v>
      </c>
      <c r="C5821">
        <v>51015282</v>
      </c>
      <c r="D5821">
        <v>12.540000000000001</v>
      </c>
      <c r="E5821" t="s">
        <v>95</v>
      </c>
      <c r="F5821">
        <v>1123</v>
      </c>
      <c r="G5821" s="4">
        <v>46087.603310185186</v>
      </c>
    </row>
    <row r="5822" spans="1:7" x14ac:dyDescent="0.3">
      <c r="A5822">
        <v>17751</v>
      </c>
      <c r="B5822" t="s">
        <v>149</v>
      </c>
      <c r="C5822">
        <v>51015576</v>
      </c>
      <c r="D5822">
        <v>10.9</v>
      </c>
      <c r="E5822" t="s">
        <v>95</v>
      </c>
      <c r="F5822">
        <v>1145</v>
      </c>
      <c r="G5822" s="4">
        <v>46087.603310185186</v>
      </c>
    </row>
    <row r="5823" spans="1:7" x14ac:dyDescent="0.3">
      <c r="A5823">
        <v>17752</v>
      </c>
      <c r="B5823" t="s">
        <v>149</v>
      </c>
      <c r="C5823">
        <v>51015690</v>
      </c>
      <c r="D5823">
        <v>10.8</v>
      </c>
      <c r="E5823" t="s">
        <v>95</v>
      </c>
      <c r="F5823">
        <v>1147</v>
      </c>
      <c r="G5823" s="4">
        <v>46087.603310185186</v>
      </c>
    </row>
    <row r="5824" spans="1:7" x14ac:dyDescent="0.3">
      <c r="A5824">
        <v>17753</v>
      </c>
      <c r="B5824" t="s">
        <v>149</v>
      </c>
      <c r="C5824">
        <v>51015738</v>
      </c>
      <c r="D5824">
        <v>10.6</v>
      </c>
      <c r="E5824" t="s">
        <v>95</v>
      </c>
      <c r="F5824">
        <v>1156</v>
      </c>
      <c r="G5824" s="4">
        <v>46087.603310185186</v>
      </c>
    </row>
    <row r="5825" spans="1:7" x14ac:dyDescent="0.3">
      <c r="A5825">
        <v>17754</v>
      </c>
      <c r="B5825" t="s">
        <v>149</v>
      </c>
      <c r="C5825">
        <v>51015959</v>
      </c>
      <c r="D5825">
        <v>12.529999999999998</v>
      </c>
      <c r="E5825" t="s">
        <v>95</v>
      </c>
      <c r="F5825">
        <v>1124</v>
      </c>
      <c r="G5825" s="4">
        <v>46087.603310185186</v>
      </c>
    </row>
    <row r="5826" spans="1:7" x14ac:dyDescent="0.3">
      <c r="A5826">
        <v>17755</v>
      </c>
      <c r="B5826" t="s">
        <v>149</v>
      </c>
      <c r="C5826">
        <v>51015991</v>
      </c>
      <c r="D5826">
        <v>11.41</v>
      </c>
      <c r="E5826" t="s">
        <v>95</v>
      </c>
      <c r="F5826">
        <v>1135</v>
      </c>
      <c r="G5826" s="4">
        <v>46087.603310185186</v>
      </c>
    </row>
    <row r="5827" spans="1:7" x14ac:dyDescent="0.3">
      <c r="A5827">
        <v>17756</v>
      </c>
      <c r="B5827" t="s">
        <v>149</v>
      </c>
      <c r="C5827">
        <v>51016122</v>
      </c>
      <c r="D5827">
        <v>12.7</v>
      </c>
      <c r="E5827" t="s">
        <v>95</v>
      </c>
      <c r="F5827">
        <v>1119</v>
      </c>
      <c r="G5827" s="4">
        <v>46087.603310185186</v>
      </c>
    </row>
    <row r="5828" spans="1:7" x14ac:dyDescent="0.3">
      <c r="A5828">
        <v>17757</v>
      </c>
      <c r="B5828" t="s">
        <v>149</v>
      </c>
      <c r="C5828">
        <v>51016190</v>
      </c>
      <c r="D5828">
        <v>13.5</v>
      </c>
      <c r="E5828" t="s">
        <v>95</v>
      </c>
      <c r="F5828">
        <v>1095</v>
      </c>
      <c r="G5828" s="4">
        <v>46087.603310185186</v>
      </c>
    </row>
    <row r="5829" spans="1:7" x14ac:dyDescent="0.3">
      <c r="A5829">
        <v>17758</v>
      </c>
      <c r="B5829" t="s">
        <v>149</v>
      </c>
      <c r="C5829">
        <v>51016505</v>
      </c>
      <c r="D5829">
        <v>11.398000000000001</v>
      </c>
      <c r="E5829" t="s">
        <v>95</v>
      </c>
      <c r="F5829">
        <v>1137</v>
      </c>
      <c r="G5829" s="4">
        <v>46087.603310185186</v>
      </c>
    </row>
    <row r="5830" spans="1:7" x14ac:dyDescent="0.3">
      <c r="A5830">
        <v>17759</v>
      </c>
      <c r="B5830" t="s">
        <v>149</v>
      </c>
      <c r="C5830">
        <v>51016670</v>
      </c>
      <c r="D5830">
        <v>13.785</v>
      </c>
      <c r="E5830" t="s">
        <v>95</v>
      </c>
      <c r="F5830">
        <v>1090</v>
      </c>
      <c r="G5830" s="4">
        <v>46087.603310185186</v>
      </c>
    </row>
    <row r="5831" spans="1:7" x14ac:dyDescent="0.3">
      <c r="A5831">
        <v>17760</v>
      </c>
      <c r="B5831" t="s">
        <v>149</v>
      </c>
      <c r="C5831">
        <v>51016751</v>
      </c>
      <c r="D5831">
        <v>13.86</v>
      </c>
      <c r="E5831" t="s">
        <v>95</v>
      </c>
      <c r="F5831">
        <v>1087</v>
      </c>
      <c r="G5831" s="4">
        <v>46087.603310185186</v>
      </c>
    </row>
    <row r="5832" spans="1:7" x14ac:dyDescent="0.3">
      <c r="A5832">
        <v>17761</v>
      </c>
      <c r="B5832" t="s">
        <v>149</v>
      </c>
      <c r="C5832">
        <v>51016769</v>
      </c>
      <c r="D5832">
        <v>19.600000000000001</v>
      </c>
      <c r="E5832" t="s">
        <v>95</v>
      </c>
      <c r="F5832">
        <v>993</v>
      </c>
      <c r="G5832" s="4">
        <v>46087.603310185186</v>
      </c>
    </row>
    <row r="5833" spans="1:7" x14ac:dyDescent="0.3">
      <c r="A5833">
        <v>17762</v>
      </c>
      <c r="B5833" t="s">
        <v>149</v>
      </c>
      <c r="C5833">
        <v>51016807</v>
      </c>
      <c r="D5833">
        <v>18.198</v>
      </c>
      <c r="E5833" t="s">
        <v>95</v>
      </c>
      <c r="F5833">
        <v>1024</v>
      </c>
      <c r="G5833" s="4">
        <v>46087.603310185186</v>
      </c>
    </row>
    <row r="5834" spans="1:7" x14ac:dyDescent="0.3">
      <c r="A5834">
        <v>17763</v>
      </c>
      <c r="B5834" t="s">
        <v>149</v>
      </c>
      <c r="C5834">
        <v>51016912</v>
      </c>
      <c r="D5834">
        <v>12.67</v>
      </c>
      <c r="E5834" t="s">
        <v>95</v>
      </c>
      <c r="F5834">
        <v>1121</v>
      </c>
      <c r="G5834" s="4">
        <v>46087.603310185186</v>
      </c>
    </row>
    <row r="5835" spans="1:7" x14ac:dyDescent="0.3">
      <c r="A5835">
        <v>17764</v>
      </c>
      <c r="B5835" t="s">
        <v>149</v>
      </c>
      <c r="C5835">
        <v>51017005</v>
      </c>
      <c r="D5835">
        <v>19.204999999999998</v>
      </c>
      <c r="E5835" t="s">
        <v>95</v>
      </c>
      <c r="F5835">
        <v>1000</v>
      </c>
      <c r="G5835" s="4">
        <v>46087.603310185186</v>
      </c>
    </row>
    <row r="5836" spans="1:7" x14ac:dyDescent="0.3">
      <c r="A5836">
        <v>17765</v>
      </c>
      <c r="B5836" t="s">
        <v>149</v>
      </c>
      <c r="C5836">
        <v>51017200</v>
      </c>
      <c r="D5836">
        <v>17.600000000000001</v>
      </c>
      <c r="E5836" t="s">
        <v>95</v>
      </c>
      <c r="F5836">
        <v>1034</v>
      </c>
      <c r="G5836" s="4">
        <v>46087.603310185186</v>
      </c>
    </row>
    <row r="5837" spans="1:7" x14ac:dyDescent="0.3">
      <c r="A5837">
        <v>17766</v>
      </c>
      <c r="B5837" t="s">
        <v>149</v>
      </c>
      <c r="C5837">
        <v>51017692</v>
      </c>
      <c r="D5837">
        <v>10.3</v>
      </c>
      <c r="E5837" t="s">
        <v>95</v>
      </c>
      <c r="F5837">
        <v>1163</v>
      </c>
      <c r="G5837" s="4">
        <v>46087.603310185186</v>
      </c>
    </row>
    <row r="5838" spans="1:7" x14ac:dyDescent="0.3">
      <c r="A5838">
        <v>17767</v>
      </c>
      <c r="B5838" t="s">
        <v>149</v>
      </c>
      <c r="C5838">
        <v>51017781</v>
      </c>
      <c r="D5838">
        <v>21.450000000000003</v>
      </c>
      <c r="E5838" t="s">
        <v>95</v>
      </c>
      <c r="F5838">
        <v>975</v>
      </c>
      <c r="G5838" s="4">
        <v>46087.603310185186</v>
      </c>
    </row>
    <row r="5839" spans="1:7" x14ac:dyDescent="0.3">
      <c r="A5839">
        <v>17768</v>
      </c>
      <c r="B5839" t="s">
        <v>149</v>
      </c>
      <c r="C5839">
        <v>51018010</v>
      </c>
      <c r="D5839">
        <v>13.229999999999999</v>
      </c>
      <c r="E5839" t="s">
        <v>95</v>
      </c>
      <c r="F5839">
        <v>1104</v>
      </c>
      <c r="G5839" s="4">
        <v>46087.603310185186</v>
      </c>
    </row>
    <row r="5840" spans="1:7" x14ac:dyDescent="0.3">
      <c r="A5840">
        <v>17769</v>
      </c>
      <c r="B5840" t="s">
        <v>149</v>
      </c>
      <c r="C5840">
        <v>51018168</v>
      </c>
      <c r="D5840">
        <v>10.57</v>
      </c>
      <c r="E5840" t="s">
        <v>95</v>
      </c>
      <c r="F5840">
        <v>1158</v>
      </c>
      <c r="G5840" s="4">
        <v>46087.603310185186</v>
      </c>
    </row>
    <row r="5841" spans="1:7" x14ac:dyDescent="0.3">
      <c r="A5841">
        <v>17770</v>
      </c>
      <c r="B5841" t="s">
        <v>149</v>
      </c>
      <c r="C5841">
        <v>51018192</v>
      </c>
      <c r="D5841">
        <v>17.940000000000001</v>
      </c>
      <c r="E5841" t="s">
        <v>95</v>
      </c>
      <c r="F5841">
        <v>1031</v>
      </c>
      <c r="G5841" s="4">
        <v>46087.603310185186</v>
      </c>
    </row>
    <row r="5842" spans="1:7" x14ac:dyDescent="0.3">
      <c r="A5842">
        <v>17771</v>
      </c>
      <c r="B5842" t="s">
        <v>149</v>
      </c>
      <c r="C5842">
        <v>51018281</v>
      </c>
      <c r="D5842">
        <v>20.239999999999998</v>
      </c>
      <c r="E5842" t="s">
        <v>95</v>
      </c>
      <c r="F5842">
        <v>983</v>
      </c>
      <c r="G5842" s="4">
        <v>46087.603310185186</v>
      </c>
    </row>
    <row r="5843" spans="1:7" x14ac:dyDescent="0.3">
      <c r="A5843">
        <v>17772</v>
      </c>
      <c r="B5843" t="s">
        <v>149</v>
      </c>
      <c r="C5843">
        <v>51018915</v>
      </c>
      <c r="D5843">
        <v>19.3</v>
      </c>
      <c r="E5843" t="s">
        <v>95</v>
      </c>
      <c r="F5843">
        <v>998</v>
      </c>
      <c r="G5843" s="4">
        <v>46087.603310185186</v>
      </c>
    </row>
    <row r="5844" spans="1:7" x14ac:dyDescent="0.3">
      <c r="A5844">
        <v>17773</v>
      </c>
      <c r="B5844" t="s">
        <v>149</v>
      </c>
      <c r="C5844">
        <v>51019075</v>
      </c>
      <c r="D5844">
        <v>16.2</v>
      </c>
      <c r="E5844" t="s">
        <v>95</v>
      </c>
      <c r="F5844">
        <v>1060</v>
      </c>
      <c r="G5844" s="4">
        <v>46087.603310185186</v>
      </c>
    </row>
    <row r="5845" spans="1:7" x14ac:dyDescent="0.3">
      <c r="A5845">
        <v>17774</v>
      </c>
      <c r="B5845" t="s">
        <v>149</v>
      </c>
      <c r="C5845">
        <v>51019156</v>
      </c>
      <c r="D5845">
        <v>8.3999999999999986</v>
      </c>
      <c r="E5845" t="s">
        <v>95</v>
      </c>
      <c r="F5845">
        <v>1180</v>
      </c>
      <c r="G5845" s="4">
        <v>46087.603310185186</v>
      </c>
    </row>
    <row r="5846" spans="1:7" x14ac:dyDescent="0.3">
      <c r="A5846">
        <v>17775</v>
      </c>
      <c r="B5846" t="s">
        <v>149</v>
      </c>
      <c r="C5846">
        <v>51019181</v>
      </c>
      <c r="D5846">
        <v>19.100000000000001</v>
      </c>
      <c r="E5846" t="s">
        <v>95</v>
      </c>
      <c r="F5846">
        <v>1005</v>
      </c>
      <c r="G5846" s="4">
        <v>46087.603310185186</v>
      </c>
    </row>
    <row r="5847" spans="1:7" x14ac:dyDescent="0.3">
      <c r="A5847">
        <v>17776</v>
      </c>
      <c r="B5847" t="s">
        <v>149</v>
      </c>
      <c r="C5847">
        <v>51019237</v>
      </c>
      <c r="D5847">
        <v>19.14</v>
      </c>
      <c r="E5847" t="s">
        <v>95</v>
      </c>
      <c r="F5847">
        <v>1003</v>
      </c>
      <c r="G5847" s="4">
        <v>46087.603310185186</v>
      </c>
    </row>
    <row r="5848" spans="1:7" x14ac:dyDescent="0.3">
      <c r="A5848">
        <v>17777</v>
      </c>
      <c r="B5848" t="s">
        <v>149</v>
      </c>
      <c r="C5848">
        <v>51019351</v>
      </c>
      <c r="D5848">
        <v>14.8</v>
      </c>
      <c r="E5848" t="s">
        <v>95</v>
      </c>
      <c r="F5848">
        <v>1078</v>
      </c>
      <c r="G5848" s="4">
        <v>46087.603310185186</v>
      </c>
    </row>
    <row r="5849" spans="1:7" x14ac:dyDescent="0.3">
      <c r="A5849">
        <v>17778</v>
      </c>
      <c r="B5849" t="s">
        <v>149</v>
      </c>
      <c r="C5849">
        <v>51019725</v>
      </c>
      <c r="D5849">
        <v>36.74</v>
      </c>
      <c r="E5849" t="s">
        <v>94</v>
      </c>
      <c r="F5849">
        <v>859</v>
      </c>
      <c r="G5849" s="4">
        <v>46087.603310185186</v>
      </c>
    </row>
    <row r="5850" spans="1:7" x14ac:dyDescent="0.3">
      <c r="A5850">
        <v>17779</v>
      </c>
      <c r="B5850" t="s">
        <v>149</v>
      </c>
      <c r="C5850">
        <v>51019768</v>
      </c>
      <c r="D5850">
        <v>12.4</v>
      </c>
      <c r="E5850" t="s">
        <v>95</v>
      </c>
      <c r="F5850">
        <v>1126</v>
      </c>
      <c r="G5850" s="4">
        <v>46087.603310185186</v>
      </c>
    </row>
    <row r="5851" spans="1:7" x14ac:dyDescent="0.3">
      <c r="A5851">
        <v>17780</v>
      </c>
      <c r="B5851" t="s">
        <v>149</v>
      </c>
      <c r="C5851">
        <v>51020120</v>
      </c>
      <c r="D5851">
        <v>19.910000000000004</v>
      </c>
      <c r="E5851" t="s">
        <v>95</v>
      </c>
      <c r="F5851">
        <v>987</v>
      </c>
      <c r="G5851" s="4">
        <v>46087.603310185186</v>
      </c>
    </row>
    <row r="5852" spans="1:7" x14ac:dyDescent="0.3">
      <c r="A5852">
        <v>17781</v>
      </c>
      <c r="B5852" t="s">
        <v>149</v>
      </c>
      <c r="C5852">
        <v>51020154</v>
      </c>
      <c r="D5852">
        <v>14.080000000000002</v>
      </c>
      <c r="E5852" t="s">
        <v>95</v>
      </c>
      <c r="F5852">
        <v>1086</v>
      </c>
      <c r="G5852" s="4">
        <v>46087.603310185186</v>
      </c>
    </row>
    <row r="5853" spans="1:7" x14ac:dyDescent="0.3">
      <c r="A5853">
        <v>17782</v>
      </c>
      <c r="B5853" t="s">
        <v>149</v>
      </c>
      <c r="C5853">
        <v>51020740</v>
      </c>
      <c r="D5853">
        <v>77.903569372206661</v>
      </c>
      <c r="E5853" t="s">
        <v>93</v>
      </c>
      <c r="F5853">
        <v>452</v>
      </c>
      <c r="G5853" s="4">
        <v>46087.603310185186</v>
      </c>
    </row>
    <row r="5854" spans="1:7" x14ac:dyDescent="0.3">
      <c r="A5854">
        <v>17783</v>
      </c>
      <c r="B5854" t="s">
        <v>149</v>
      </c>
      <c r="C5854">
        <v>51021151</v>
      </c>
      <c r="D5854">
        <v>18.600000000000001</v>
      </c>
      <c r="E5854" t="s">
        <v>95</v>
      </c>
      <c r="F5854">
        <v>1019</v>
      </c>
      <c r="G5854" s="4">
        <v>46087.603310185186</v>
      </c>
    </row>
    <row r="5855" spans="1:7" x14ac:dyDescent="0.3">
      <c r="A5855">
        <v>17784</v>
      </c>
      <c r="B5855" t="s">
        <v>149</v>
      </c>
      <c r="C5855">
        <v>51021525</v>
      </c>
      <c r="D5855">
        <v>15.100000000000001</v>
      </c>
      <c r="E5855" t="s">
        <v>95</v>
      </c>
      <c r="F5855">
        <v>1075</v>
      </c>
      <c r="G5855" s="4">
        <v>46087.603310185186</v>
      </c>
    </row>
    <row r="5856" spans="1:7" x14ac:dyDescent="0.3">
      <c r="A5856">
        <v>17785</v>
      </c>
      <c r="B5856" t="s">
        <v>149</v>
      </c>
      <c r="C5856">
        <v>51021649</v>
      </c>
      <c r="D5856">
        <v>15</v>
      </c>
      <c r="E5856" t="s">
        <v>95</v>
      </c>
      <c r="F5856">
        <v>1076</v>
      </c>
      <c r="G5856" s="4">
        <v>46087.603310185186</v>
      </c>
    </row>
    <row r="5857" spans="1:7" x14ac:dyDescent="0.3">
      <c r="A5857">
        <v>17786</v>
      </c>
      <c r="B5857" t="s">
        <v>149</v>
      </c>
      <c r="C5857">
        <v>51021908</v>
      </c>
      <c r="D5857">
        <v>10.199999999999999</v>
      </c>
      <c r="E5857" t="s">
        <v>95</v>
      </c>
      <c r="F5857">
        <v>1166</v>
      </c>
      <c r="G5857" s="4">
        <v>46087.603310185186</v>
      </c>
    </row>
    <row r="5858" spans="1:7" x14ac:dyDescent="0.3">
      <c r="A5858">
        <v>17787</v>
      </c>
      <c r="B5858" t="s">
        <v>149</v>
      </c>
      <c r="C5858">
        <v>51021924</v>
      </c>
      <c r="D5858">
        <v>17.399999999999999</v>
      </c>
      <c r="E5858" t="s">
        <v>95</v>
      </c>
      <c r="F5858">
        <v>1036</v>
      </c>
      <c r="G5858" s="4">
        <v>46087.603310185186</v>
      </c>
    </row>
    <row r="5859" spans="1:7" x14ac:dyDescent="0.3">
      <c r="A5859">
        <v>17788</v>
      </c>
      <c r="B5859" t="s">
        <v>149</v>
      </c>
      <c r="C5859">
        <v>51022203</v>
      </c>
      <c r="D5859">
        <v>10.29</v>
      </c>
      <c r="E5859" t="s">
        <v>95</v>
      </c>
      <c r="F5859">
        <v>1165</v>
      </c>
      <c r="G5859" s="4">
        <v>46087.603310185186</v>
      </c>
    </row>
    <row r="5860" spans="1:7" x14ac:dyDescent="0.3">
      <c r="A5860">
        <v>17789</v>
      </c>
      <c r="B5860" t="s">
        <v>149</v>
      </c>
      <c r="C5860">
        <v>51022271</v>
      </c>
      <c r="D5860">
        <v>12.179999999999998</v>
      </c>
      <c r="E5860" t="s">
        <v>95</v>
      </c>
      <c r="F5860">
        <v>1129</v>
      </c>
      <c r="G5860" s="4">
        <v>46087.603310185186</v>
      </c>
    </row>
    <row r="5861" spans="1:7" x14ac:dyDescent="0.3">
      <c r="A5861">
        <v>17790</v>
      </c>
      <c r="B5861" t="s">
        <v>149</v>
      </c>
      <c r="C5861">
        <v>51022297</v>
      </c>
      <c r="D5861">
        <v>18.974999999999998</v>
      </c>
      <c r="E5861" t="s">
        <v>95</v>
      </c>
      <c r="F5861">
        <v>1007</v>
      </c>
      <c r="G5861" s="4">
        <v>46087.603310185186</v>
      </c>
    </row>
    <row r="5862" spans="1:7" x14ac:dyDescent="0.3">
      <c r="A5862">
        <v>17791</v>
      </c>
      <c r="B5862" t="s">
        <v>149</v>
      </c>
      <c r="C5862">
        <v>51022807</v>
      </c>
      <c r="D5862">
        <v>18.84</v>
      </c>
      <c r="E5862" t="s">
        <v>95</v>
      </c>
      <c r="F5862">
        <v>1014</v>
      </c>
      <c r="G5862" s="4">
        <v>46087.603310185186</v>
      </c>
    </row>
    <row r="5863" spans="1:7" x14ac:dyDescent="0.3">
      <c r="A5863">
        <v>17792</v>
      </c>
      <c r="B5863" t="s">
        <v>149</v>
      </c>
      <c r="C5863">
        <v>51022891</v>
      </c>
      <c r="D5863">
        <v>9.31</v>
      </c>
      <c r="E5863" t="s">
        <v>95</v>
      </c>
      <c r="F5863">
        <v>1174</v>
      </c>
      <c r="G5863" s="4">
        <v>46087.603310185186</v>
      </c>
    </row>
    <row r="5864" spans="1:7" x14ac:dyDescent="0.3">
      <c r="A5864">
        <v>17793</v>
      </c>
      <c r="B5864" t="s">
        <v>149</v>
      </c>
      <c r="C5864">
        <v>51022939</v>
      </c>
      <c r="D5864">
        <v>10.639999999999999</v>
      </c>
      <c r="E5864" t="s">
        <v>95</v>
      </c>
      <c r="F5864">
        <v>1153</v>
      </c>
      <c r="G5864" s="4">
        <v>46087.603310185186</v>
      </c>
    </row>
    <row r="5865" spans="1:7" x14ac:dyDescent="0.3">
      <c r="A5865">
        <v>17794</v>
      </c>
      <c r="B5865" t="s">
        <v>149</v>
      </c>
      <c r="C5865">
        <v>51023323</v>
      </c>
      <c r="D5865">
        <v>10.149999999999999</v>
      </c>
      <c r="E5865" t="s">
        <v>95</v>
      </c>
      <c r="F5865">
        <v>1167</v>
      </c>
      <c r="G5865" s="4">
        <v>46087.603310185186</v>
      </c>
    </row>
    <row r="5866" spans="1:7" x14ac:dyDescent="0.3">
      <c r="A5866">
        <v>17795</v>
      </c>
      <c r="B5866" t="s">
        <v>149</v>
      </c>
      <c r="C5866">
        <v>51023447</v>
      </c>
      <c r="D5866">
        <v>11.129999999999999</v>
      </c>
      <c r="E5866" t="s">
        <v>95</v>
      </c>
      <c r="F5866">
        <v>1141</v>
      </c>
      <c r="G5866" s="4">
        <v>46087.603310185186</v>
      </c>
    </row>
    <row r="5867" spans="1:7" x14ac:dyDescent="0.3">
      <c r="A5867">
        <v>17796</v>
      </c>
      <c r="B5867" t="s">
        <v>149</v>
      </c>
      <c r="C5867">
        <v>51023463</v>
      </c>
      <c r="D5867">
        <v>15.290000000000001</v>
      </c>
      <c r="E5867" t="s">
        <v>95</v>
      </c>
      <c r="F5867">
        <v>1073</v>
      </c>
      <c r="G5867" s="4">
        <v>46087.603310185186</v>
      </c>
    </row>
    <row r="5868" spans="1:7" x14ac:dyDescent="0.3">
      <c r="A5868">
        <v>17797</v>
      </c>
      <c r="B5868" t="s">
        <v>149</v>
      </c>
      <c r="C5868">
        <v>51023510</v>
      </c>
      <c r="D5868">
        <v>21.734999999999996</v>
      </c>
      <c r="E5868" t="s">
        <v>95</v>
      </c>
      <c r="F5868">
        <v>970</v>
      </c>
      <c r="G5868" s="4">
        <v>46087.603310185186</v>
      </c>
    </row>
    <row r="5869" spans="1:7" x14ac:dyDescent="0.3">
      <c r="A5869">
        <v>17798</v>
      </c>
      <c r="B5869" t="s">
        <v>149</v>
      </c>
      <c r="C5869">
        <v>51024338</v>
      </c>
      <c r="D5869">
        <v>10.4</v>
      </c>
      <c r="E5869" t="s">
        <v>95</v>
      </c>
      <c r="F5869">
        <v>1161</v>
      </c>
      <c r="G5869" s="4">
        <v>46087.603310185186</v>
      </c>
    </row>
    <row r="5870" spans="1:7" x14ac:dyDescent="0.3">
      <c r="A5870">
        <v>17799</v>
      </c>
      <c r="B5870" t="s">
        <v>149</v>
      </c>
      <c r="C5870">
        <v>51024346</v>
      </c>
      <c r="D5870">
        <v>20.680000000000003</v>
      </c>
      <c r="E5870" t="s">
        <v>95</v>
      </c>
      <c r="F5870">
        <v>978</v>
      </c>
      <c r="G5870" s="4">
        <v>46087.603310185186</v>
      </c>
    </row>
    <row r="5871" spans="1:7" x14ac:dyDescent="0.3">
      <c r="A5871">
        <v>17800</v>
      </c>
      <c r="B5871" t="s">
        <v>149</v>
      </c>
      <c r="C5871">
        <v>51024354</v>
      </c>
      <c r="D5871">
        <v>12.7</v>
      </c>
      <c r="E5871" t="s">
        <v>95</v>
      </c>
      <c r="F5871">
        <v>1119</v>
      </c>
      <c r="G5871" s="4">
        <v>46087.603310185186</v>
      </c>
    </row>
    <row r="5872" spans="1:7" x14ac:dyDescent="0.3">
      <c r="A5872">
        <v>17801</v>
      </c>
      <c r="B5872" t="s">
        <v>149</v>
      </c>
      <c r="C5872">
        <v>51024788</v>
      </c>
      <c r="D5872">
        <v>13.6</v>
      </c>
      <c r="E5872" t="s">
        <v>95</v>
      </c>
      <c r="F5872">
        <v>1094</v>
      </c>
      <c r="G5872" s="4">
        <v>46087.603310185186</v>
      </c>
    </row>
    <row r="5873" spans="1:7" x14ac:dyDescent="0.3">
      <c r="A5873">
        <v>17802</v>
      </c>
      <c r="B5873" t="s">
        <v>149</v>
      </c>
      <c r="C5873">
        <v>51024907</v>
      </c>
      <c r="D5873">
        <v>12.879999999999999</v>
      </c>
      <c r="E5873" t="s">
        <v>95</v>
      </c>
      <c r="F5873">
        <v>1114</v>
      </c>
      <c r="G5873" s="4">
        <v>46087.603310185186</v>
      </c>
    </row>
    <row r="5874" spans="1:7" x14ac:dyDescent="0.3">
      <c r="A5874">
        <v>17803</v>
      </c>
      <c r="B5874" t="s">
        <v>149</v>
      </c>
      <c r="C5874">
        <v>51025598</v>
      </c>
      <c r="D5874">
        <v>12.764999999999999</v>
      </c>
      <c r="E5874" t="s">
        <v>95</v>
      </c>
      <c r="F5874">
        <v>1118</v>
      </c>
      <c r="G5874" s="4">
        <v>46087.603310185186</v>
      </c>
    </row>
    <row r="5875" spans="1:7" x14ac:dyDescent="0.3">
      <c r="A5875">
        <v>17804</v>
      </c>
      <c r="B5875" t="s">
        <v>149</v>
      </c>
      <c r="C5875">
        <v>51025601</v>
      </c>
      <c r="D5875">
        <v>7.3044999999999982</v>
      </c>
      <c r="E5875" t="s">
        <v>95</v>
      </c>
      <c r="F5875">
        <v>1192</v>
      </c>
      <c r="G5875" s="4">
        <v>46087.603310185186</v>
      </c>
    </row>
    <row r="5876" spans="1:7" x14ac:dyDescent="0.3">
      <c r="A5876">
        <v>17805</v>
      </c>
      <c r="B5876" t="s">
        <v>149</v>
      </c>
      <c r="C5876">
        <v>51025881</v>
      </c>
      <c r="D5876">
        <v>11.2</v>
      </c>
      <c r="E5876" t="s">
        <v>95</v>
      </c>
      <c r="F5876">
        <v>1140</v>
      </c>
      <c r="G5876" s="4">
        <v>46087.603310185186</v>
      </c>
    </row>
    <row r="5877" spans="1:7" x14ac:dyDescent="0.3">
      <c r="A5877">
        <v>17806</v>
      </c>
      <c r="B5877" t="s">
        <v>149</v>
      </c>
      <c r="C5877">
        <v>51028856</v>
      </c>
      <c r="D5877">
        <v>19.700000000000003</v>
      </c>
      <c r="E5877" t="s">
        <v>95</v>
      </c>
      <c r="F5877">
        <v>992</v>
      </c>
      <c r="G5877" s="4">
        <v>46087.603310185186</v>
      </c>
    </row>
    <row r="5878" spans="1:7" x14ac:dyDescent="0.3">
      <c r="A5878">
        <v>17807</v>
      </c>
      <c r="B5878" t="s">
        <v>149</v>
      </c>
      <c r="C5878">
        <v>51030087</v>
      </c>
      <c r="D5878">
        <v>16.7</v>
      </c>
      <c r="E5878" t="s">
        <v>95</v>
      </c>
      <c r="F5878">
        <v>1053</v>
      </c>
      <c r="G5878" s="4">
        <v>46087.603310185186</v>
      </c>
    </row>
    <row r="5879" spans="1:7" x14ac:dyDescent="0.3">
      <c r="A5879">
        <v>17808</v>
      </c>
      <c r="B5879" t="s">
        <v>149</v>
      </c>
      <c r="C5879">
        <v>51030206</v>
      </c>
      <c r="D5879">
        <v>14.503499999999999</v>
      </c>
      <c r="E5879" t="s">
        <v>95</v>
      </c>
      <c r="F5879">
        <v>1079</v>
      </c>
      <c r="G5879" s="4">
        <v>46087.603310185186</v>
      </c>
    </row>
    <row r="5880" spans="1:7" x14ac:dyDescent="0.3">
      <c r="A5880">
        <v>17809</v>
      </c>
      <c r="B5880" t="s">
        <v>149</v>
      </c>
      <c r="C5880">
        <v>51030630</v>
      </c>
      <c r="D5880">
        <v>13.16</v>
      </c>
      <c r="E5880" t="s">
        <v>95</v>
      </c>
      <c r="F5880">
        <v>1106</v>
      </c>
      <c r="G5880" s="4">
        <v>46087.603310185186</v>
      </c>
    </row>
    <row r="5881" spans="1:7" x14ac:dyDescent="0.3">
      <c r="A5881">
        <v>17810</v>
      </c>
      <c r="B5881" t="s">
        <v>149</v>
      </c>
      <c r="C5881">
        <v>51030745</v>
      </c>
      <c r="D5881">
        <v>19.5</v>
      </c>
      <c r="E5881" t="s">
        <v>95</v>
      </c>
      <c r="F5881">
        <v>994</v>
      </c>
      <c r="G5881" s="4">
        <v>46087.603310185186</v>
      </c>
    </row>
    <row r="5882" spans="1:7" x14ac:dyDescent="0.3">
      <c r="A5882">
        <v>17811</v>
      </c>
      <c r="B5882" t="s">
        <v>149</v>
      </c>
      <c r="C5882">
        <v>51030796</v>
      </c>
      <c r="D5882">
        <v>13.1</v>
      </c>
      <c r="E5882" t="s">
        <v>95</v>
      </c>
      <c r="F5882">
        <v>1107</v>
      </c>
      <c r="G5882" s="4">
        <v>46087.603310185186</v>
      </c>
    </row>
    <row r="5883" spans="1:7" x14ac:dyDescent="0.3">
      <c r="A5883">
        <v>17812</v>
      </c>
      <c r="B5883" t="s">
        <v>149</v>
      </c>
      <c r="C5883">
        <v>51030966</v>
      </c>
      <c r="D5883">
        <v>16.610000000000003</v>
      </c>
      <c r="E5883" t="s">
        <v>95</v>
      </c>
      <c r="F5883">
        <v>1054</v>
      </c>
      <c r="G5883" s="4">
        <v>46087.603310185186</v>
      </c>
    </row>
    <row r="5884" spans="1:7" x14ac:dyDescent="0.3">
      <c r="A5884">
        <v>17813</v>
      </c>
      <c r="B5884" t="s">
        <v>149</v>
      </c>
      <c r="C5884">
        <v>51031067</v>
      </c>
      <c r="D5884">
        <v>10.639999999999999</v>
      </c>
      <c r="E5884" t="s">
        <v>95</v>
      </c>
      <c r="F5884">
        <v>1153</v>
      </c>
      <c r="G5884" s="4">
        <v>46087.603310185186</v>
      </c>
    </row>
    <row r="5885" spans="1:7" x14ac:dyDescent="0.3">
      <c r="A5885">
        <v>17814</v>
      </c>
      <c r="B5885" t="s">
        <v>149</v>
      </c>
      <c r="C5885">
        <v>51031091</v>
      </c>
      <c r="D5885">
        <v>16.2</v>
      </c>
      <c r="E5885" t="s">
        <v>95</v>
      </c>
      <c r="F5885">
        <v>1060</v>
      </c>
      <c r="G5885" s="4">
        <v>46087.603310185186</v>
      </c>
    </row>
    <row r="5886" spans="1:7" x14ac:dyDescent="0.3">
      <c r="A5886">
        <v>17815</v>
      </c>
      <c r="B5886" t="s">
        <v>149</v>
      </c>
      <c r="C5886">
        <v>51031156</v>
      </c>
      <c r="D5886">
        <v>12.1</v>
      </c>
      <c r="E5886" t="s">
        <v>95</v>
      </c>
      <c r="F5886">
        <v>1130</v>
      </c>
      <c r="G5886" s="4">
        <v>46087.603310185186</v>
      </c>
    </row>
    <row r="5887" spans="1:7" x14ac:dyDescent="0.3">
      <c r="A5887">
        <v>17816</v>
      </c>
      <c r="B5887" t="s">
        <v>149</v>
      </c>
      <c r="C5887">
        <v>51031423</v>
      </c>
      <c r="D5887">
        <v>8.3999999999999986</v>
      </c>
      <c r="E5887" t="s">
        <v>95</v>
      </c>
      <c r="F5887">
        <v>1180</v>
      </c>
      <c r="G5887" s="4">
        <v>46087.603310185186</v>
      </c>
    </row>
    <row r="5888" spans="1:7" x14ac:dyDescent="0.3">
      <c r="A5888">
        <v>17817</v>
      </c>
      <c r="B5888" t="s">
        <v>149</v>
      </c>
      <c r="C5888">
        <v>51031555</v>
      </c>
      <c r="D5888">
        <v>13.3</v>
      </c>
      <c r="E5888" t="s">
        <v>95</v>
      </c>
      <c r="F5888">
        <v>1101</v>
      </c>
      <c r="G5888" s="4">
        <v>46087.603310185186</v>
      </c>
    </row>
    <row r="5889" spans="1:7" x14ac:dyDescent="0.3">
      <c r="A5889">
        <v>17818</v>
      </c>
      <c r="B5889" t="s">
        <v>149</v>
      </c>
      <c r="C5889">
        <v>51032021</v>
      </c>
      <c r="D5889">
        <v>9.17</v>
      </c>
      <c r="E5889" t="s">
        <v>95</v>
      </c>
      <c r="F5889">
        <v>1175</v>
      </c>
      <c r="G5889" s="4">
        <v>46087.603310185186</v>
      </c>
    </row>
    <row r="5890" spans="1:7" x14ac:dyDescent="0.3">
      <c r="A5890">
        <v>17819</v>
      </c>
      <c r="B5890" t="s">
        <v>149</v>
      </c>
      <c r="C5890">
        <v>51032055</v>
      </c>
      <c r="D5890">
        <v>17.05</v>
      </c>
      <c r="E5890" t="s">
        <v>95</v>
      </c>
      <c r="F5890">
        <v>1047</v>
      </c>
      <c r="G5890" s="4">
        <v>46087.603310185186</v>
      </c>
    </row>
    <row r="5891" spans="1:7" x14ac:dyDescent="0.3">
      <c r="A5891">
        <v>17820</v>
      </c>
      <c r="B5891" t="s">
        <v>149</v>
      </c>
      <c r="C5891">
        <v>51032144</v>
      </c>
      <c r="D5891">
        <v>17.384999999999998</v>
      </c>
      <c r="E5891" t="s">
        <v>95</v>
      </c>
      <c r="F5891">
        <v>1037</v>
      </c>
      <c r="G5891" s="4">
        <v>46087.603310185186</v>
      </c>
    </row>
    <row r="5892" spans="1:7" x14ac:dyDescent="0.3">
      <c r="A5892">
        <v>17821</v>
      </c>
      <c r="B5892" t="s">
        <v>149</v>
      </c>
      <c r="C5892">
        <v>51032209</v>
      </c>
      <c r="D5892">
        <v>18.100000000000001</v>
      </c>
      <c r="E5892" t="s">
        <v>95</v>
      </c>
      <c r="F5892">
        <v>1026</v>
      </c>
      <c r="G5892" s="4">
        <v>46087.603310185186</v>
      </c>
    </row>
    <row r="5893" spans="1:7" x14ac:dyDescent="0.3">
      <c r="A5893">
        <v>17822</v>
      </c>
      <c r="B5893" t="s">
        <v>149</v>
      </c>
      <c r="C5893">
        <v>51032217</v>
      </c>
      <c r="D5893">
        <v>13.750000000000002</v>
      </c>
      <c r="E5893" t="s">
        <v>95</v>
      </c>
      <c r="F5893">
        <v>1091</v>
      </c>
      <c r="G5893" s="4">
        <v>46087.603310185186</v>
      </c>
    </row>
    <row r="5894" spans="1:7" x14ac:dyDescent="0.3">
      <c r="A5894">
        <v>17823</v>
      </c>
      <c r="B5894" t="s">
        <v>149</v>
      </c>
      <c r="C5894">
        <v>51032497</v>
      </c>
      <c r="D5894">
        <v>14.984999999999999</v>
      </c>
      <c r="E5894" t="s">
        <v>95</v>
      </c>
      <c r="F5894">
        <v>1077</v>
      </c>
      <c r="G5894" s="4">
        <v>46087.603310185186</v>
      </c>
    </row>
    <row r="5895" spans="1:7" x14ac:dyDescent="0.3">
      <c r="A5895">
        <v>17824</v>
      </c>
      <c r="B5895" t="s">
        <v>149</v>
      </c>
      <c r="C5895">
        <v>51033019</v>
      </c>
      <c r="D5895">
        <v>19.910000000000004</v>
      </c>
      <c r="E5895" t="s">
        <v>95</v>
      </c>
      <c r="F5895">
        <v>987</v>
      </c>
      <c r="G5895" s="4">
        <v>46087.603310185186</v>
      </c>
    </row>
    <row r="5896" spans="1:7" x14ac:dyDescent="0.3">
      <c r="A5896">
        <v>17825</v>
      </c>
      <c r="B5896" t="s">
        <v>149</v>
      </c>
      <c r="C5896">
        <v>51033647</v>
      </c>
      <c r="D5896">
        <v>16</v>
      </c>
      <c r="E5896" t="s">
        <v>95</v>
      </c>
      <c r="F5896">
        <v>1063</v>
      </c>
      <c r="G5896" s="4">
        <v>46087.603310185186</v>
      </c>
    </row>
    <row r="5897" spans="1:7" x14ac:dyDescent="0.3">
      <c r="A5897">
        <v>17826</v>
      </c>
      <c r="B5897" t="s">
        <v>149</v>
      </c>
      <c r="C5897">
        <v>51034261</v>
      </c>
      <c r="D5897">
        <v>18.052699999999998</v>
      </c>
      <c r="E5897" t="s">
        <v>95</v>
      </c>
      <c r="F5897">
        <v>1029</v>
      </c>
      <c r="G5897" s="4">
        <v>46087.603310185186</v>
      </c>
    </row>
    <row r="5898" spans="1:7" x14ac:dyDescent="0.3">
      <c r="A5898">
        <v>17827</v>
      </c>
      <c r="B5898" t="s">
        <v>149</v>
      </c>
      <c r="C5898">
        <v>51034392</v>
      </c>
      <c r="D5898">
        <v>10.43</v>
      </c>
      <c r="E5898" t="s">
        <v>95</v>
      </c>
      <c r="F5898">
        <v>1160</v>
      </c>
      <c r="G5898" s="4">
        <v>46087.603310185186</v>
      </c>
    </row>
    <row r="5899" spans="1:7" x14ac:dyDescent="0.3">
      <c r="A5899">
        <v>17828</v>
      </c>
      <c r="B5899" t="s">
        <v>149</v>
      </c>
      <c r="C5899">
        <v>51036093</v>
      </c>
      <c r="D5899">
        <v>11.8</v>
      </c>
      <c r="E5899" t="s">
        <v>95</v>
      </c>
      <c r="F5899">
        <v>1133</v>
      </c>
      <c r="G5899" s="4">
        <v>46087.603310185186</v>
      </c>
    </row>
    <row r="5900" spans="1:7" x14ac:dyDescent="0.3">
      <c r="A5900">
        <v>17829</v>
      </c>
      <c r="B5900" t="s">
        <v>149</v>
      </c>
      <c r="C5900">
        <v>51036620</v>
      </c>
      <c r="D5900">
        <v>16.8</v>
      </c>
      <c r="E5900" t="s">
        <v>95</v>
      </c>
      <c r="F5900">
        <v>1051</v>
      </c>
      <c r="G5900" s="4">
        <v>46087.603310185186</v>
      </c>
    </row>
    <row r="5901" spans="1:7" x14ac:dyDescent="0.3">
      <c r="A5901">
        <v>17830</v>
      </c>
      <c r="B5901" t="s">
        <v>149</v>
      </c>
      <c r="C5901">
        <v>51036786</v>
      </c>
      <c r="D5901">
        <v>21.734999999999996</v>
      </c>
      <c r="E5901" t="s">
        <v>95</v>
      </c>
      <c r="F5901">
        <v>970</v>
      </c>
      <c r="G5901" s="4">
        <v>46087.603310185186</v>
      </c>
    </row>
    <row r="5902" spans="1:7" x14ac:dyDescent="0.3">
      <c r="A5902">
        <v>17831</v>
      </c>
      <c r="B5902" t="s">
        <v>149</v>
      </c>
      <c r="C5902">
        <v>51037014</v>
      </c>
      <c r="D5902">
        <v>17.100000000000001</v>
      </c>
      <c r="E5902" t="s">
        <v>95</v>
      </c>
      <c r="F5902">
        <v>1044</v>
      </c>
      <c r="G5902" s="4">
        <v>46087.603310185186</v>
      </c>
    </row>
    <row r="5903" spans="1:7" x14ac:dyDescent="0.3">
      <c r="A5903">
        <v>17832</v>
      </c>
      <c r="B5903" t="s">
        <v>149</v>
      </c>
      <c r="C5903">
        <v>51038991</v>
      </c>
      <c r="D5903">
        <v>16.198</v>
      </c>
      <c r="E5903" t="s">
        <v>95</v>
      </c>
      <c r="F5903">
        <v>1062</v>
      </c>
      <c r="G5903" s="4">
        <v>46087.603310185186</v>
      </c>
    </row>
    <row r="5904" spans="1:7" x14ac:dyDescent="0.3">
      <c r="A5904">
        <v>17833</v>
      </c>
      <c r="B5904" t="s">
        <v>149</v>
      </c>
      <c r="C5904">
        <v>51039084</v>
      </c>
      <c r="D5904">
        <v>11.819499999999998</v>
      </c>
      <c r="E5904" t="s">
        <v>95</v>
      </c>
      <c r="F5904">
        <v>1132</v>
      </c>
      <c r="G5904" s="4">
        <v>46087.603310185186</v>
      </c>
    </row>
    <row r="5905" spans="1:7" x14ac:dyDescent="0.3">
      <c r="A5905">
        <v>17834</v>
      </c>
      <c r="B5905" t="s">
        <v>149</v>
      </c>
      <c r="C5905">
        <v>51039955</v>
      </c>
      <c r="D5905">
        <v>13.370000000000001</v>
      </c>
      <c r="E5905" t="s">
        <v>95</v>
      </c>
      <c r="F5905">
        <v>1098</v>
      </c>
      <c r="G5905" s="4">
        <v>46087.603310185186</v>
      </c>
    </row>
    <row r="5906" spans="1:7" x14ac:dyDescent="0.3">
      <c r="A5906">
        <v>17835</v>
      </c>
      <c r="B5906" t="s">
        <v>149</v>
      </c>
      <c r="C5906">
        <v>51039980</v>
      </c>
      <c r="D5906">
        <v>19.14</v>
      </c>
      <c r="E5906" t="s">
        <v>95</v>
      </c>
      <c r="F5906">
        <v>1003</v>
      </c>
      <c r="G5906" s="4">
        <v>46087.603310185186</v>
      </c>
    </row>
    <row r="5907" spans="1:7" x14ac:dyDescent="0.3">
      <c r="A5907">
        <v>17836</v>
      </c>
      <c r="B5907" t="s">
        <v>149</v>
      </c>
      <c r="C5907">
        <v>51040040</v>
      </c>
      <c r="D5907">
        <v>12.9</v>
      </c>
      <c r="E5907" t="s">
        <v>95</v>
      </c>
      <c r="F5907">
        <v>1112</v>
      </c>
      <c r="G5907" s="4">
        <v>46087.603310185186</v>
      </c>
    </row>
    <row r="5908" spans="1:7" x14ac:dyDescent="0.3">
      <c r="A5908">
        <v>17837</v>
      </c>
      <c r="B5908" t="s">
        <v>149</v>
      </c>
      <c r="C5908">
        <v>51040309</v>
      </c>
      <c r="D5908">
        <v>12.3445</v>
      </c>
      <c r="E5908" t="s">
        <v>95</v>
      </c>
      <c r="F5908">
        <v>1127</v>
      </c>
      <c r="G5908" s="4">
        <v>46087.603310185186</v>
      </c>
    </row>
    <row r="5909" spans="1:7" x14ac:dyDescent="0.3">
      <c r="A5909">
        <v>17838</v>
      </c>
      <c r="B5909" t="s">
        <v>149</v>
      </c>
      <c r="C5909">
        <v>51040856</v>
      </c>
      <c r="D5909">
        <v>12.304999999999998</v>
      </c>
      <c r="E5909" t="s">
        <v>95</v>
      </c>
      <c r="F5909">
        <v>1128</v>
      </c>
      <c r="G5909" s="4">
        <v>46087.603310185186</v>
      </c>
    </row>
    <row r="5910" spans="1:7" x14ac:dyDescent="0.3">
      <c r="A5910">
        <v>17839</v>
      </c>
      <c r="B5910" t="s">
        <v>149</v>
      </c>
      <c r="C5910">
        <v>51040970</v>
      </c>
      <c r="D5910">
        <v>13.090000000000002</v>
      </c>
      <c r="E5910" t="s">
        <v>95</v>
      </c>
      <c r="F5910">
        <v>1109</v>
      </c>
      <c r="G5910" s="4">
        <v>46087.603310185186</v>
      </c>
    </row>
    <row r="5911" spans="1:7" x14ac:dyDescent="0.3">
      <c r="A5911">
        <v>17840</v>
      </c>
      <c r="B5911" t="s">
        <v>149</v>
      </c>
      <c r="C5911">
        <v>51041178</v>
      </c>
      <c r="D5911">
        <v>8.19</v>
      </c>
      <c r="E5911" t="s">
        <v>95</v>
      </c>
      <c r="F5911">
        <v>1185</v>
      </c>
      <c r="G5911" s="4">
        <v>46087.603310185186</v>
      </c>
    </row>
    <row r="5912" spans="1:7" x14ac:dyDescent="0.3">
      <c r="A5912">
        <v>17841</v>
      </c>
      <c r="B5912" t="s">
        <v>149</v>
      </c>
      <c r="C5912">
        <v>51041321</v>
      </c>
      <c r="D5912">
        <v>15.2</v>
      </c>
      <c r="E5912" t="s">
        <v>95</v>
      </c>
      <c r="F5912">
        <v>1074</v>
      </c>
      <c r="G5912" s="4">
        <v>46087.603310185186</v>
      </c>
    </row>
    <row r="5913" spans="1:7" x14ac:dyDescent="0.3">
      <c r="A5913">
        <v>17842</v>
      </c>
      <c r="B5913" t="s">
        <v>149</v>
      </c>
      <c r="C5913">
        <v>51041836</v>
      </c>
      <c r="D5913">
        <v>17.160000000000004</v>
      </c>
      <c r="E5913" t="s">
        <v>95</v>
      </c>
      <c r="F5913">
        <v>1043</v>
      </c>
      <c r="G5913" s="4">
        <v>46087.603310185186</v>
      </c>
    </row>
    <row r="5914" spans="1:7" x14ac:dyDescent="0.3">
      <c r="A5914">
        <v>17843</v>
      </c>
      <c r="B5914" t="s">
        <v>149</v>
      </c>
      <c r="C5914">
        <v>51041925</v>
      </c>
      <c r="D5914">
        <v>18.685000000000002</v>
      </c>
      <c r="E5914" t="s">
        <v>95</v>
      </c>
      <c r="F5914">
        <v>1017</v>
      </c>
      <c r="G5914" s="4">
        <v>46087.603310185186</v>
      </c>
    </row>
    <row r="5915" spans="1:7" x14ac:dyDescent="0.3">
      <c r="A5915">
        <v>17844</v>
      </c>
      <c r="B5915" t="s">
        <v>149</v>
      </c>
      <c r="C5915">
        <v>51042166</v>
      </c>
      <c r="D5915">
        <v>18.899999999999999</v>
      </c>
      <c r="E5915" t="s">
        <v>95</v>
      </c>
      <c r="F5915">
        <v>1008</v>
      </c>
      <c r="G5915" s="4">
        <v>46087.603310185186</v>
      </c>
    </row>
    <row r="5916" spans="1:7" x14ac:dyDescent="0.3">
      <c r="A5916">
        <v>17845</v>
      </c>
      <c r="B5916" t="s">
        <v>149</v>
      </c>
      <c r="C5916">
        <v>51042352</v>
      </c>
      <c r="D5916">
        <v>18.198</v>
      </c>
      <c r="E5916" t="s">
        <v>95</v>
      </c>
      <c r="F5916">
        <v>1024</v>
      </c>
      <c r="G5916" s="4">
        <v>46087.603310185186</v>
      </c>
    </row>
    <row r="5917" spans="1:7" x14ac:dyDescent="0.3">
      <c r="A5917">
        <v>17846</v>
      </c>
      <c r="B5917" t="s">
        <v>149</v>
      </c>
      <c r="C5917">
        <v>51042492</v>
      </c>
      <c r="D5917">
        <v>19.200000000000003</v>
      </c>
      <c r="E5917" t="s">
        <v>95</v>
      </c>
      <c r="F5917">
        <v>1001</v>
      </c>
      <c r="G5917" s="4">
        <v>46087.603310185186</v>
      </c>
    </row>
    <row r="5918" spans="1:7" x14ac:dyDescent="0.3">
      <c r="A5918">
        <v>17847</v>
      </c>
      <c r="B5918" t="s">
        <v>149</v>
      </c>
      <c r="C5918">
        <v>51042557</v>
      </c>
      <c r="D5918">
        <v>13.3</v>
      </c>
      <c r="E5918" t="s">
        <v>95</v>
      </c>
      <c r="F5918">
        <v>1101</v>
      </c>
      <c r="G5918" s="4">
        <v>46087.603310185186</v>
      </c>
    </row>
    <row r="5919" spans="1:7" x14ac:dyDescent="0.3">
      <c r="A5919">
        <v>17848</v>
      </c>
      <c r="B5919" t="s">
        <v>149</v>
      </c>
      <c r="C5919">
        <v>51042697</v>
      </c>
      <c r="D5919">
        <v>10.01</v>
      </c>
      <c r="E5919" t="s">
        <v>95</v>
      </c>
      <c r="F5919">
        <v>1169</v>
      </c>
      <c r="G5919" s="4">
        <v>46087.603310185186</v>
      </c>
    </row>
    <row r="5920" spans="1:7" x14ac:dyDescent="0.3">
      <c r="A5920">
        <v>17849</v>
      </c>
      <c r="B5920" t="s">
        <v>149</v>
      </c>
      <c r="C5920">
        <v>51042701</v>
      </c>
      <c r="D5920">
        <v>19.100000000000001</v>
      </c>
      <c r="E5920" t="s">
        <v>95</v>
      </c>
      <c r="F5920">
        <v>1005</v>
      </c>
      <c r="G5920" s="4">
        <v>46087.603310185186</v>
      </c>
    </row>
    <row r="5921" spans="1:7" x14ac:dyDescent="0.3">
      <c r="A5921">
        <v>17850</v>
      </c>
      <c r="B5921" t="s">
        <v>149</v>
      </c>
      <c r="C5921">
        <v>51042794</v>
      </c>
      <c r="D5921">
        <v>10.3</v>
      </c>
      <c r="E5921" t="s">
        <v>95</v>
      </c>
      <c r="F5921">
        <v>1163</v>
      </c>
      <c r="G5921" s="4">
        <v>46087.603310185186</v>
      </c>
    </row>
    <row r="5922" spans="1:7" x14ac:dyDescent="0.3">
      <c r="A5922">
        <v>17851</v>
      </c>
      <c r="B5922" t="s">
        <v>149</v>
      </c>
      <c r="C5922">
        <v>51042867</v>
      </c>
      <c r="D5922">
        <v>18.399999999999999</v>
      </c>
      <c r="E5922" t="s">
        <v>95</v>
      </c>
      <c r="F5922">
        <v>1021</v>
      </c>
      <c r="G5922" s="4">
        <v>46087.603310185186</v>
      </c>
    </row>
    <row r="5923" spans="1:7" x14ac:dyDescent="0.3">
      <c r="A5923">
        <v>17852</v>
      </c>
      <c r="B5923" t="s">
        <v>149</v>
      </c>
      <c r="C5923">
        <v>51042883</v>
      </c>
      <c r="D5923">
        <v>18.859999999999996</v>
      </c>
      <c r="E5923" t="s">
        <v>95</v>
      </c>
      <c r="F5923">
        <v>1012</v>
      </c>
      <c r="G5923" s="4">
        <v>46087.603310185186</v>
      </c>
    </row>
    <row r="5924" spans="1:7" x14ac:dyDescent="0.3">
      <c r="A5924">
        <v>17853</v>
      </c>
      <c r="B5924" t="s">
        <v>149</v>
      </c>
      <c r="C5924">
        <v>51043286</v>
      </c>
      <c r="D5924">
        <v>7.77</v>
      </c>
      <c r="E5924" t="s">
        <v>95</v>
      </c>
      <c r="F5924">
        <v>1190</v>
      </c>
      <c r="G5924" s="4">
        <v>46087.603310185186</v>
      </c>
    </row>
    <row r="5925" spans="1:7" x14ac:dyDescent="0.3">
      <c r="A5925">
        <v>17854</v>
      </c>
      <c r="B5925" t="s">
        <v>149</v>
      </c>
      <c r="C5925">
        <v>51043430</v>
      </c>
      <c r="D5925">
        <v>9.5690000000000008</v>
      </c>
      <c r="E5925" t="s">
        <v>95</v>
      </c>
      <c r="F5925">
        <v>1173</v>
      </c>
      <c r="G5925" s="4">
        <v>46087.603310185186</v>
      </c>
    </row>
    <row r="5926" spans="1:7" x14ac:dyDescent="0.3">
      <c r="A5926">
        <v>17855</v>
      </c>
      <c r="B5926" t="s">
        <v>149</v>
      </c>
      <c r="C5926">
        <v>51043481</v>
      </c>
      <c r="D5926">
        <v>19.498000000000001</v>
      </c>
      <c r="E5926" t="s">
        <v>95</v>
      </c>
      <c r="F5926">
        <v>995</v>
      </c>
      <c r="G5926" s="4">
        <v>46087.603310185186</v>
      </c>
    </row>
    <row r="5927" spans="1:7" x14ac:dyDescent="0.3">
      <c r="A5927">
        <v>17856</v>
      </c>
      <c r="B5927" t="s">
        <v>149</v>
      </c>
      <c r="C5927">
        <v>51043685</v>
      </c>
      <c r="D5927">
        <v>16.600000000000001</v>
      </c>
      <c r="E5927" t="s">
        <v>95</v>
      </c>
      <c r="F5927">
        <v>1056</v>
      </c>
      <c r="G5927" s="4">
        <v>46087.603310185186</v>
      </c>
    </row>
    <row r="5928" spans="1:7" x14ac:dyDescent="0.3">
      <c r="A5928">
        <v>17857</v>
      </c>
      <c r="B5928" t="s">
        <v>149</v>
      </c>
      <c r="C5928">
        <v>51044185</v>
      </c>
      <c r="D5928">
        <v>15.600000000000001</v>
      </c>
      <c r="E5928" t="s">
        <v>95</v>
      </c>
      <c r="F5928">
        <v>1069</v>
      </c>
      <c r="G5928" s="4">
        <v>46087.603310185186</v>
      </c>
    </row>
    <row r="5929" spans="1:7" x14ac:dyDescent="0.3">
      <c r="A5929">
        <v>17858</v>
      </c>
      <c r="B5929" t="s">
        <v>149</v>
      </c>
      <c r="C5929">
        <v>51054474</v>
      </c>
      <c r="D5929">
        <v>16.3</v>
      </c>
      <c r="E5929" t="s">
        <v>95</v>
      </c>
      <c r="F5929">
        <v>1059</v>
      </c>
      <c r="G5929" s="4">
        <v>46087.603310185186</v>
      </c>
    </row>
    <row r="5930" spans="1:7" x14ac:dyDescent="0.3">
      <c r="A5930">
        <v>17859</v>
      </c>
      <c r="B5930" t="s">
        <v>149</v>
      </c>
      <c r="C5930">
        <v>51054890</v>
      </c>
      <c r="D5930">
        <v>11.4</v>
      </c>
      <c r="E5930" t="s">
        <v>95</v>
      </c>
      <c r="F5930">
        <v>1136</v>
      </c>
      <c r="G5930" s="4">
        <v>46087.603310185186</v>
      </c>
    </row>
    <row r="5931" spans="1:7" x14ac:dyDescent="0.3">
      <c r="A5931">
        <v>17860</v>
      </c>
      <c r="B5931" t="s">
        <v>149</v>
      </c>
      <c r="C5931">
        <v>51054971</v>
      </c>
      <c r="D5931">
        <v>13.370000000000001</v>
      </c>
      <c r="E5931" t="s">
        <v>95</v>
      </c>
      <c r="F5931">
        <v>1098</v>
      </c>
      <c r="G5931" s="4">
        <v>46087.603310185186</v>
      </c>
    </row>
    <row r="5932" spans="1:7" x14ac:dyDescent="0.3">
      <c r="A5932">
        <v>17861</v>
      </c>
      <c r="B5932" t="s">
        <v>149</v>
      </c>
      <c r="C5932">
        <v>51055021</v>
      </c>
      <c r="D5932">
        <v>8.33</v>
      </c>
      <c r="E5932" t="s">
        <v>95</v>
      </c>
      <c r="F5932">
        <v>1182</v>
      </c>
      <c r="G5932" s="4">
        <v>46087.603310185186</v>
      </c>
    </row>
    <row r="5933" spans="1:7" x14ac:dyDescent="0.3">
      <c r="A5933">
        <v>17862</v>
      </c>
      <c r="B5933" t="s">
        <v>149</v>
      </c>
      <c r="C5933">
        <v>51055110</v>
      </c>
      <c r="D5933">
        <v>16.610000000000003</v>
      </c>
      <c r="E5933" t="s">
        <v>95</v>
      </c>
      <c r="F5933">
        <v>1054</v>
      </c>
      <c r="G5933" s="4">
        <v>46087.603310185186</v>
      </c>
    </row>
    <row r="5934" spans="1:7" x14ac:dyDescent="0.3">
      <c r="A5934">
        <v>17863</v>
      </c>
      <c r="B5934" t="s">
        <v>149</v>
      </c>
      <c r="C5934">
        <v>51055179</v>
      </c>
      <c r="D5934">
        <v>15.998000000000001</v>
      </c>
      <c r="E5934" t="s">
        <v>95</v>
      </c>
      <c r="F5934">
        <v>1064</v>
      </c>
      <c r="G5934" s="4">
        <v>46087.603310185186</v>
      </c>
    </row>
    <row r="5935" spans="1:7" x14ac:dyDescent="0.3">
      <c r="A5935">
        <v>17864</v>
      </c>
      <c r="B5935" t="s">
        <v>149</v>
      </c>
      <c r="C5935">
        <v>51055187</v>
      </c>
      <c r="D5935">
        <v>11.6</v>
      </c>
      <c r="E5935" t="s">
        <v>95</v>
      </c>
      <c r="F5935">
        <v>1134</v>
      </c>
      <c r="G5935" s="4">
        <v>46087.603310185186</v>
      </c>
    </row>
    <row r="5936" spans="1:7" x14ac:dyDescent="0.3">
      <c r="A5936">
        <v>17865</v>
      </c>
      <c r="B5936" t="s">
        <v>149</v>
      </c>
      <c r="C5936">
        <v>51055195</v>
      </c>
      <c r="D5936">
        <v>13.799999999999999</v>
      </c>
      <c r="E5936" t="s">
        <v>95</v>
      </c>
      <c r="F5936">
        <v>1089</v>
      </c>
      <c r="G5936" s="4">
        <v>46087.603310185186</v>
      </c>
    </row>
    <row r="5937" spans="1:7" x14ac:dyDescent="0.3">
      <c r="A5937">
        <v>17866</v>
      </c>
      <c r="B5937" t="s">
        <v>149</v>
      </c>
      <c r="C5937">
        <v>51055233</v>
      </c>
      <c r="D5937">
        <v>19.200000000000003</v>
      </c>
      <c r="E5937" t="s">
        <v>95</v>
      </c>
      <c r="F5937">
        <v>1001</v>
      </c>
      <c r="G5937" s="4">
        <v>46087.603310185186</v>
      </c>
    </row>
    <row r="5938" spans="1:7" x14ac:dyDescent="0.3">
      <c r="A5938">
        <v>17867</v>
      </c>
      <c r="B5938" t="s">
        <v>149</v>
      </c>
      <c r="C5938">
        <v>51055314</v>
      </c>
      <c r="D5938">
        <v>11.9</v>
      </c>
      <c r="E5938" t="s">
        <v>95</v>
      </c>
      <c r="F5938">
        <v>1131</v>
      </c>
      <c r="G5938" s="4">
        <v>46087.603310185186</v>
      </c>
    </row>
    <row r="5939" spans="1:7" x14ac:dyDescent="0.3">
      <c r="A5939">
        <v>17868</v>
      </c>
      <c r="B5939" t="s">
        <v>149</v>
      </c>
      <c r="C5939">
        <v>51055349</v>
      </c>
      <c r="D5939">
        <v>9.7999999999999989</v>
      </c>
      <c r="E5939" t="s">
        <v>95</v>
      </c>
      <c r="F5939">
        <v>1171</v>
      </c>
      <c r="G5939" s="4">
        <v>46087.603310185186</v>
      </c>
    </row>
    <row r="5940" spans="1:7" x14ac:dyDescent="0.3">
      <c r="A5940">
        <v>17869</v>
      </c>
      <c r="B5940" t="s">
        <v>149</v>
      </c>
      <c r="C5940">
        <v>51055381</v>
      </c>
      <c r="D5940">
        <v>12.9</v>
      </c>
      <c r="E5940" t="s">
        <v>95</v>
      </c>
      <c r="F5940">
        <v>1112</v>
      </c>
      <c r="G5940" s="4">
        <v>46087.603310185186</v>
      </c>
    </row>
    <row r="5941" spans="1:7" x14ac:dyDescent="0.3">
      <c r="A5941">
        <v>17870</v>
      </c>
      <c r="B5941" t="s">
        <v>149</v>
      </c>
      <c r="C5941">
        <v>51055403</v>
      </c>
      <c r="D5941">
        <v>14.5</v>
      </c>
      <c r="E5941" t="s">
        <v>95</v>
      </c>
      <c r="F5941">
        <v>1080</v>
      </c>
      <c r="G5941" s="4">
        <v>46087.603310185186</v>
      </c>
    </row>
    <row r="5942" spans="1:7" x14ac:dyDescent="0.3">
      <c r="A5942">
        <v>17871</v>
      </c>
      <c r="B5942" t="s">
        <v>149</v>
      </c>
      <c r="C5942">
        <v>51055420</v>
      </c>
      <c r="D5942">
        <v>18.700000000000003</v>
      </c>
      <c r="E5942" t="s">
        <v>95</v>
      </c>
      <c r="F5942">
        <v>1016</v>
      </c>
      <c r="G5942" s="4">
        <v>46087.603310185186</v>
      </c>
    </row>
    <row r="5943" spans="1:7" x14ac:dyDescent="0.3">
      <c r="A5943">
        <v>17872</v>
      </c>
      <c r="B5943" t="s">
        <v>149</v>
      </c>
      <c r="C5943">
        <v>51055438</v>
      </c>
      <c r="D5943">
        <v>13.3</v>
      </c>
      <c r="E5943" t="s">
        <v>95</v>
      </c>
      <c r="F5943">
        <v>1101</v>
      </c>
      <c r="G5943" s="4">
        <v>46087.603310185186</v>
      </c>
    </row>
    <row r="5944" spans="1:7" x14ac:dyDescent="0.3">
      <c r="A5944">
        <v>17873</v>
      </c>
      <c r="B5944" t="s">
        <v>149</v>
      </c>
      <c r="C5944">
        <v>51055446</v>
      </c>
      <c r="D5944">
        <v>12.81</v>
      </c>
      <c r="E5944" t="s">
        <v>95</v>
      </c>
      <c r="F5944">
        <v>1115</v>
      </c>
      <c r="G5944" s="4">
        <v>46087.603310185186</v>
      </c>
    </row>
    <row r="5945" spans="1:7" x14ac:dyDescent="0.3">
      <c r="A5945">
        <v>17874</v>
      </c>
      <c r="B5945" t="s">
        <v>149</v>
      </c>
      <c r="C5945">
        <v>51055471</v>
      </c>
      <c r="D5945">
        <v>13.2</v>
      </c>
      <c r="E5945" t="s">
        <v>95</v>
      </c>
      <c r="F5945">
        <v>1105</v>
      </c>
      <c r="G5945" s="4">
        <v>46087.603310185186</v>
      </c>
    </row>
    <row r="5946" spans="1:7" x14ac:dyDescent="0.3">
      <c r="A5946">
        <v>17875</v>
      </c>
      <c r="B5946" t="s">
        <v>149</v>
      </c>
      <c r="C5946">
        <v>51055608</v>
      </c>
      <c r="D5946">
        <v>10.89</v>
      </c>
      <c r="E5946" t="s">
        <v>95</v>
      </c>
      <c r="F5946">
        <v>1146</v>
      </c>
      <c r="G5946" s="4">
        <v>46087.603310185186</v>
      </c>
    </row>
    <row r="5947" spans="1:7" x14ac:dyDescent="0.3">
      <c r="A5947">
        <v>17876</v>
      </c>
      <c r="B5947" t="s">
        <v>149</v>
      </c>
      <c r="C5947">
        <v>51055683</v>
      </c>
      <c r="D5947">
        <v>17.3</v>
      </c>
      <c r="E5947" t="s">
        <v>95</v>
      </c>
      <c r="F5947">
        <v>1039</v>
      </c>
      <c r="G5947" s="4">
        <v>46087.603310185186</v>
      </c>
    </row>
    <row r="5948" spans="1:7" x14ac:dyDescent="0.3">
      <c r="A5948">
        <v>17877</v>
      </c>
      <c r="B5948" t="s">
        <v>149</v>
      </c>
      <c r="C5948">
        <v>51055713</v>
      </c>
      <c r="D5948">
        <v>17.3</v>
      </c>
      <c r="E5948" t="s">
        <v>95</v>
      </c>
      <c r="F5948">
        <v>1039</v>
      </c>
      <c r="G5948" s="4">
        <v>46087.603310185186</v>
      </c>
    </row>
    <row r="5949" spans="1:7" x14ac:dyDescent="0.3">
      <c r="A5949">
        <v>17878</v>
      </c>
      <c r="B5949" t="s">
        <v>149</v>
      </c>
      <c r="C5949">
        <v>51055748</v>
      </c>
      <c r="D5949">
        <v>10.7</v>
      </c>
      <c r="E5949" t="s">
        <v>95</v>
      </c>
      <c r="F5949">
        <v>1151</v>
      </c>
      <c r="G5949" s="4">
        <v>46087.603310185186</v>
      </c>
    </row>
    <row r="5950" spans="1:7" x14ac:dyDescent="0.3">
      <c r="A5950">
        <v>17879</v>
      </c>
      <c r="B5950" t="s">
        <v>149</v>
      </c>
      <c r="C5950">
        <v>51055781</v>
      </c>
      <c r="D5950">
        <v>11.339999999999998</v>
      </c>
      <c r="E5950" t="s">
        <v>95</v>
      </c>
      <c r="F5950">
        <v>1138</v>
      </c>
      <c r="G5950" s="4">
        <v>46087.603310185186</v>
      </c>
    </row>
    <row r="5951" spans="1:7" x14ac:dyDescent="0.3">
      <c r="A5951">
        <v>17880</v>
      </c>
      <c r="B5951" t="s">
        <v>149</v>
      </c>
      <c r="C5951">
        <v>51055900</v>
      </c>
      <c r="D5951">
        <v>12.67</v>
      </c>
      <c r="E5951" t="s">
        <v>95</v>
      </c>
      <c r="F5951">
        <v>1121</v>
      </c>
      <c r="G5951" s="4">
        <v>46087.603310185186</v>
      </c>
    </row>
    <row r="5952" spans="1:7" x14ac:dyDescent="0.3">
      <c r="A5952">
        <v>17881</v>
      </c>
      <c r="B5952" t="s">
        <v>149</v>
      </c>
      <c r="C5952">
        <v>51055934</v>
      </c>
      <c r="D5952">
        <v>10.6</v>
      </c>
      <c r="E5952" t="s">
        <v>95</v>
      </c>
      <c r="F5952">
        <v>1156</v>
      </c>
      <c r="G5952" s="4">
        <v>46087.603310185186</v>
      </c>
    </row>
    <row r="5953" spans="1:7" x14ac:dyDescent="0.3">
      <c r="A5953">
        <v>17882</v>
      </c>
      <c r="B5953" t="s">
        <v>149</v>
      </c>
      <c r="C5953">
        <v>51055969</v>
      </c>
      <c r="D5953">
        <v>13.339999999999998</v>
      </c>
      <c r="E5953" t="s">
        <v>95</v>
      </c>
      <c r="F5953">
        <v>1100</v>
      </c>
      <c r="G5953" s="4">
        <v>46087.603310185186</v>
      </c>
    </row>
    <row r="5954" spans="1:7" x14ac:dyDescent="0.3">
      <c r="A5954">
        <v>17883</v>
      </c>
      <c r="B5954" t="s">
        <v>149</v>
      </c>
      <c r="C5954">
        <v>51055977</v>
      </c>
      <c r="D5954">
        <v>8.0499999999999989</v>
      </c>
      <c r="E5954" t="s">
        <v>95</v>
      </c>
      <c r="F5954">
        <v>1186</v>
      </c>
      <c r="G5954" s="4">
        <v>46087.603310185186</v>
      </c>
    </row>
    <row r="5955" spans="1:7" x14ac:dyDescent="0.3">
      <c r="A5955">
        <v>17884</v>
      </c>
      <c r="B5955" t="s">
        <v>149</v>
      </c>
      <c r="C5955">
        <v>51056035</v>
      </c>
      <c r="D5955">
        <v>11</v>
      </c>
      <c r="E5955" t="s">
        <v>95</v>
      </c>
      <c r="F5955">
        <v>1142</v>
      </c>
      <c r="G5955" s="4">
        <v>46087.603310185186</v>
      </c>
    </row>
    <row r="5956" spans="1:7" x14ac:dyDescent="0.3">
      <c r="A5956">
        <v>17885</v>
      </c>
      <c r="B5956" t="s">
        <v>149</v>
      </c>
      <c r="C5956">
        <v>51056043</v>
      </c>
      <c r="D5956">
        <v>57.501842591608394</v>
      </c>
      <c r="E5956" t="s">
        <v>94</v>
      </c>
      <c r="F5956">
        <v>701</v>
      </c>
      <c r="G5956" s="4">
        <v>46087.603310185186</v>
      </c>
    </row>
    <row r="5957" spans="1:7" x14ac:dyDescent="0.3">
      <c r="A5957">
        <v>17886</v>
      </c>
      <c r="B5957" t="s">
        <v>149</v>
      </c>
      <c r="C5957">
        <v>51056141</v>
      </c>
      <c r="D5957">
        <v>16.86</v>
      </c>
      <c r="E5957" t="s">
        <v>95</v>
      </c>
      <c r="F5957">
        <v>1050</v>
      </c>
      <c r="G5957" s="4">
        <v>46087.603310185186</v>
      </c>
    </row>
    <row r="5958" spans="1:7" x14ac:dyDescent="0.3">
      <c r="A5958">
        <v>17887</v>
      </c>
      <c r="B5958" t="s">
        <v>149</v>
      </c>
      <c r="C5958">
        <v>51056167</v>
      </c>
      <c r="D5958">
        <v>14.3</v>
      </c>
      <c r="E5958" t="s">
        <v>95</v>
      </c>
      <c r="F5958">
        <v>1083</v>
      </c>
      <c r="G5958" s="4">
        <v>46087.603310185186</v>
      </c>
    </row>
    <row r="5959" spans="1:7" x14ac:dyDescent="0.3">
      <c r="A5959">
        <v>17888</v>
      </c>
      <c r="B5959" t="s">
        <v>149</v>
      </c>
      <c r="C5959">
        <v>51056230</v>
      </c>
      <c r="D5959">
        <v>11</v>
      </c>
      <c r="E5959" t="s">
        <v>95</v>
      </c>
      <c r="F5959">
        <v>1142</v>
      </c>
      <c r="G5959" s="4">
        <v>46087.603310185186</v>
      </c>
    </row>
    <row r="5960" spans="1:7" x14ac:dyDescent="0.3">
      <c r="A5960">
        <v>17889</v>
      </c>
      <c r="B5960" t="s">
        <v>149</v>
      </c>
      <c r="C5960">
        <v>51056256</v>
      </c>
      <c r="D5960">
        <v>13.42</v>
      </c>
      <c r="E5960" t="s">
        <v>95</v>
      </c>
      <c r="F5960">
        <v>1097</v>
      </c>
      <c r="G5960" s="4">
        <v>46087.603310185186</v>
      </c>
    </row>
    <row r="5961" spans="1:7" x14ac:dyDescent="0.3">
      <c r="A5961">
        <v>17890</v>
      </c>
      <c r="B5961" t="s">
        <v>149</v>
      </c>
      <c r="C5961">
        <v>51056370</v>
      </c>
      <c r="D5961">
        <v>10.5</v>
      </c>
      <c r="E5961" t="s">
        <v>95</v>
      </c>
      <c r="F5961">
        <v>1159</v>
      </c>
      <c r="G5961" s="4">
        <v>46087.603310185186</v>
      </c>
    </row>
    <row r="5962" spans="1:7" x14ac:dyDescent="0.3">
      <c r="A5962">
        <v>17891</v>
      </c>
      <c r="B5962" t="s">
        <v>149</v>
      </c>
      <c r="C5962">
        <v>51056680</v>
      </c>
      <c r="D5962">
        <v>2.2999999999999998</v>
      </c>
      <c r="E5962" t="s">
        <v>95</v>
      </c>
      <c r="F5962">
        <v>1193</v>
      </c>
      <c r="G5962" s="4">
        <v>46087.603310185186</v>
      </c>
    </row>
    <row r="5963" spans="1:7" x14ac:dyDescent="0.3">
      <c r="A5963">
        <v>17892</v>
      </c>
      <c r="B5963" t="s">
        <v>149</v>
      </c>
      <c r="C5963">
        <v>51056710</v>
      </c>
      <c r="D5963">
        <v>18.480000000000004</v>
      </c>
      <c r="E5963" t="s">
        <v>95</v>
      </c>
      <c r="F5963">
        <v>1020</v>
      </c>
      <c r="G5963" s="4">
        <v>46087.603310185186</v>
      </c>
    </row>
    <row r="5964" spans="1:7" x14ac:dyDescent="0.3">
      <c r="A5964">
        <v>17893</v>
      </c>
      <c r="B5964" t="s">
        <v>149</v>
      </c>
      <c r="C5964">
        <v>51056779</v>
      </c>
      <c r="D5964">
        <v>17.2</v>
      </c>
      <c r="E5964" t="s">
        <v>95</v>
      </c>
      <c r="F5964">
        <v>1042</v>
      </c>
      <c r="G5964" s="4">
        <v>46087.603310185186</v>
      </c>
    </row>
    <row r="5965" spans="1:7" x14ac:dyDescent="0.3">
      <c r="A5965">
        <v>17894</v>
      </c>
      <c r="B5965" t="s">
        <v>149</v>
      </c>
      <c r="C5965">
        <v>51056841</v>
      </c>
      <c r="D5965">
        <v>13.750000000000002</v>
      </c>
      <c r="E5965" t="s">
        <v>95</v>
      </c>
      <c r="F5965">
        <v>1091</v>
      </c>
      <c r="G5965" s="4">
        <v>46087.603310185186</v>
      </c>
    </row>
    <row r="5966" spans="1:7" x14ac:dyDescent="0.3">
      <c r="A5966">
        <v>17895</v>
      </c>
      <c r="B5966" t="s">
        <v>149</v>
      </c>
      <c r="C5966">
        <v>51056892</v>
      </c>
      <c r="D5966">
        <v>18.899999999999999</v>
      </c>
      <c r="E5966" t="s">
        <v>95</v>
      </c>
      <c r="F5966">
        <v>1008</v>
      </c>
      <c r="G5966" s="4">
        <v>46087.603310185186</v>
      </c>
    </row>
    <row r="5967" spans="1:7" x14ac:dyDescent="0.3">
      <c r="A5967">
        <v>23861</v>
      </c>
      <c r="B5967" t="s">
        <v>150</v>
      </c>
      <c r="C5967">
        <v>51015525</v>
      </c>
      <c r="D5967">
        <v>60.346133037725252</v>
      </c>
      <c r="E5967" t="s">
        <v>94</v>
      </c>
      <c r="F5967">
        <v>611</v>
      </c>
      <c r="G5967" s="4">
        <v>46087.604456018518</v>
      </c>
    </row>
    <row r="5968" spans="1:7" x14ac:dyDescent="0.3">
      <c r="A5968">
        <v>23862</v>
      </c>
      <c r="B5968" t="s">
        <v>150</v>
      </c>
      <c r="C5968">
        <v>51017790</v>
      </c>
      <c r="D5968">
        <v>79.63970142745957</v>
      </c>
      <c r="E5968" t="s">
        <v>93</v>
      </c>
      <c r="F5968">
        <v>445</v>
      </c>
      <c r="G5968" s="4">
        <v>46087.604456018518</v>
      </c>
    </row>
    <row r="5969" spans="1:7" x14ac:dyDescent="0.3">
      <c r="A5969">
        <v>23863</v>
      </c>
      <c r="B5969" t="s">
        <v>150</v>
      </c>
      <c r="C5969">
        <v>51023871</v>
      </c>
      <c r="D5969">
        <v>81.991482854307321</v>
      </c>
      <c r="E5969" t="s">
        <v>93</v>
      </c>
      <c r="F5969">
        <v>387</v>
      </c>
      <c r="G5969" s="4">
        <v>46087.604456018518</v>
      </c>
    </row>
    <row r="5970" spans="1:7" x14ac:dyDescent="0.3">
      <c r="A5970">
        <v>23864</v>
      </c>
      <c r="B5970" t="s">
        <v>150</v>
      </c>
      <c r="C5970">
        <v>51019601</v>
      </c>
      <c r="D5970">
        <v>80.806796201946341</v>
      </c>
      <c r="E5970" t="s">
        <v>93</v>
      </c>
      <c r="F5970">
        <v>419</v>
      </c>
      <c r="G5970" s="4">
        <v>46087.604456018518</v>
      </c>
    </row>
    <row r="5971" spans="1:7" x14ac:dyDescent="0.3">
      <c r="A5971">
        <v>23865</v>
      </c>
      <c r="B5971" t="s">
        <v>150</v>
      </c>
      <c r="C5971">
        <v>51021983</v>
      </c>
      <c r="D5971">
        <v>48.474469516742218</v>
      </c>
      <c r="E5971" t="s">
        <v>94</v>
      </c>
      <c r="F5971">
        <v>752</v>
      </c>
      <c r="G5971" s="4">
        <v>46087.604456018518</v>
      </c>
    </row>
    <row r="5972" spans="1:7" x14ac:dyDescent="0.3">
      <c r="A5972">
        <v>23866</v>
      </c>
      <c r="B5972" t="s">
        <v>150</v>
      </c>
      <c r="C5972">
        <v>51020201</v>
      </c>
      <c r="D5972">
        <v>85.919336994596975</v>
      </c>
      <c r="E5972" t="s">
        <v>93</v>
      </c>
      <c r="F5972">
        <v>254</v>
      </c>
      <c r="G5972" s="4">
        <v>46087.604456018518</v>
      </c>
    </row>
    <row r="5973" spans="1:7" x14ac:dyDescent="0.3">
      <c r="A5973">
        <v>23867</v>
      </c>
      <c r="B5973" t="s">
        <v>150</v>
      </c>
      <c r="C5973">
        <v>51031296</v>
      </c>
      <c r="D5973">
        <v>86.063360109825283</v>
      </c>
      <c r="E5973" t="s">
        <v>93</v>
      </c>
      <c r="F5973">
        <v>250</v>
      </c>
      <c r="G5973" s="4">
        <v>46087.604456018518</v>
      </c>
    </row>
    <row r="5974" spans="1:7" x14ac:dyDescent="0.3">
      <c r="A5974">
        <v>23868</v>
      </c>
      <c r="B5974" t="s">
        <v>150</v>
      </c>
      <c r="C5974">
        <v>51011864</v>
      </c>
      <c r="D5974">
        <v>88.021795556001635</v>
      </c>
      <c r="E5974" t="s">
        <v>92</v>
      </c>
      <c r="F5974">
        <v>198</v>
      </c>
      <c r="G5974" s="4">
        <v>46087.604456018518</v>
      </c>
    </row>
    <row r="5975" spans="1:7" x14ac:dyDescent="0.3">
      <c r="A5975">
        <v>23869</v>
      </c>
      <c r="B5975" t="s">
        <v>150</v>
      </c>
      <c r="C5975">
        <v>51005945</v>
      </c>
      <c r="D5975">
        <v>84.644822970655056</v>
      </c>
      <c r="E5975" t="s">
        <v>93</v>
      </c>
      <c r="F5975">
        <v>296</v>
      </c>
      <c r="G5975" s="4">
        <v>46087.604456018518</v>
      </c>
    </row>
    <row r="5976" spans="1:7" x14ac:dyDescent="0.3">
      <c r="A5976">
        <v>23870</v>
      </c>
      <c r="B5976" t="s">
        <v>150</v>
      </c>
      <c r="C5976">
        <v>51055586</v>
      </c>
      <c r="D5976">
        <v>81.995171387035072</v>
      </c>
      <c r="E5976" t="s">
        <v>93</v>
      </c>
      <c r="F5976">
        <v>386</v>
      </c>
      <c r="G5976" s="4">
        <v>46087.604456018518</v>
      </c>
    </row>
    <row r="5977" spans="1:7" x14ac:dyDescent="0.3">
      <c r="A5977">
        <v>23871</v>
      </c>
      <c r="B5977" t="s">
        <v>150</v>
      </c>
      <c r="C5977">
        <v>51025458</v>
      </c>
      <c r="D5977">
        <v>88.766406330257013</v>
      </c>
      <c r="E5977" t="s">
        <v>92</v>
      </c>
      <c r="F5977">
        <v>172</v>
      </c>
      <c r="G5977" s="4">
        <v>46087.604456018518</v>
      </c>
    </row>
    <row r="5978" spans="1:7" x14ac:dyDescent="0.3">
      <c r="A5978">
        <v>23872</v>
      </c>
      <c r="B5978" t="s">
        <v>150</v>
      </c>
      <c r="C5978">
        <v>51025709</v>
      </c>
      <c r="D5978">
        <v>37.808192461828888</v>
      </c>
      <c r="E5978" t="s">
        <v>94</v>
      </c>
      <c r="F5978">
        <v>796</v>
      </c>
      <c r="G5978" s="4">
        <v>46087.604456018518</v>
      </c>
    </row>
    <row r="5979" spans="1:7" x14ac:dyDescent="0.3">
      <c r="A5979">
        <v>23873</v>
      </c>
      <c r="B5979" t="s">
        <v>150</v>
      </c>
      <c r="C5979">
        <v>51019709</v>
      </c>
      <c r="D5979">
        <v>96.592290004139045</v>
      </c>
      <c r="E5979" t="s">
        <v>275</v>
      </c>
      <c r="F5979">
        <v>51</v>
      </c>
      <c r="G5979" s="4">
        <v>46087.604456018518</v>
      </c>
    </row>
    <row r="5980" spans="1:7" x14ac:dyDescent="0.3">
      <c r="A5980">
        <v>23874</v>
      </c>
      <c r="B5980" t="s">
        <v>150</v>
      </c>
      <c r="C5980">
        <v>51019377</v>
      </c>
      <c r="D5980">
        <v>85.897303001053203</v>
      </c>
      <c r="E5980" t="s">
        <v>93</v>
      </c>
      <c r="F5980">
        <v>255</v>
      </c>
      <c r="G5980" s="4">
        <v>46087.604456018518</v>
      </c>
    </row>
    <row r="5981" spans="1:7" x14ac:dyDescent="0.3">
      <c r="A5981">
        <v>23875</v>
      </c>
      <c r="B5981" t="s">
        <v>150</v>
      </c>
      <c r="C5981">
        <v>51017447</v>
      </c>
      <c r="D5981">
        <v>81.725421555065594</v>
      </c>
      <c r="E5981" t="s">
        <v>93</v>
      </c>
      <c r="F5981">
        <v>393</v>
      </c>
      <c r="G5981" s="4">
        <v>46087.604456018518</v>
      </c>
    </row>
    <row r="5982" spans="1:7" x14ac:dyDescent="0.3">
      <c r="A5982">
        <v>23876</v>
      </c>
      <c r="B5982" t="s">
        <v>150</v>
      </c>
      <c r="C5982">
        <v>51055721</v>
      </c>
      <c r="D5982">
        <v>58.277620634316875</v>
      </c>
      <c r="E5982" t="s">
        <v>94</v>
      </c>
      <c r="F5982">
        <v>651</v>
      </c>
      <c r="G5982" s="4">
        <v>46087.604456018518</v>
      </c>
    </row>
    <row r="5983" spans="1:7" x14ac:dyDescent="0.3">
      <c r="A5983">
        <v>23877</v>
      </c>
      <c r="B5983" t="s">
        <v>150</v>
      </c>
      <c r="C5983">
        <v>51023064</v>
      </c>
      <c r="D5983">
        <v>91.065192791669077</v>
      </c>
      <c r="E5983" t="s">
        <v>92</v>
      </c>
      <c r="F5983">
        <v>115</v>
      </c>
      <c r="G5983" s="4">
        <v>46087.604456018518</v>
      </c>
    </row>
    <row r="5984" spans="1:7" x14ac:dyDescent="0.3">
      <c r="A5984">
        <v>23878</v>
      </c>
      <c r="B5984" t="s">
        <v>150</v>
      </c>
      <c r="C5984">
        <v>51055063</v>
      </c>
      <c r="D5984">
        <v>55.811616511222375</v>
      </c>
      <c r="E5984" t="s">
        <v>94</v>
      </c>
      <c r="F5984">
        <v>706</v>
      </c>
      <c r="G5984" s="4">
        <v>46087.604456018518</v>
      </c>
    </row>
    <row r="5985" spans="1:7" x14ac:dyDescent="0.3">
      <c r="A5985">
        <v>23879</v>
      </c>
      <c r="B5985" t="s">
        <v>150</v>
      </c>
      <c r="C5985">
        <v>51024893</v>
      </c>
      <c r="D5985">
        <v>52.215795716325381</v>
      </c>
      <c r="E5985" t="s">
        <v>94</v>
      </c>
      <c r="F5985">
        <v>728</v>
      </c>
      <c r="G5985" s="4">
        <v>46087.604456018518</v>
      </c>
    </row>
    <row r="5986" spans="1:7" x14ac:dyDescent="0.3">
      <c r="A5986">
        <v>23880</v>
      </c>
      <c r="B5986" t="s">
        <v>150</v>
      </c>
      <c r="C5986">
        <v>51013638</v>
      </c>
      <c r="D5986">
        <v>90.345050569333139</v>
      </c>
      <c r="E5986" t="s">
        <v>92</v>
      </c>
      <c r="F5986">
        <v>130</v>
      </c>
      <c r="G5986" s="4">
        <v>46087.604456018518</v>
      </c>
    </row>
    <row r="5987" spans="1:7" x14ac:dyDescent="0.3">
      <c r="A5987">
        <v>23881</v>
      </c>
      <c r="B5987" t="s">
        <v>150</v>
      </c>
      <c r="C5987">
        <v>51011015</v>
      </c>
      <c r="D5987">
        <v>58.705492520178154</v>
      </c>
      <c r="E5987" t="s">
        <v>94</v>
      </c>
      <c r="F5987">
        <v>640</v>
      </c>
      <c r="G5987" s="4">
        <v>46087.604456018518</v>
      </c>
    </row>
    <row r="5988" spans="1:7" x14ac:dyDescent="0.3">
      <c r="A5988">
        <v>23882</v>
      </c>
      <c r="B5988" t="s">
        <v>150</v>
      </c>
      <c r="C5988">
        <v>51020758</v>
      </c>
      <c r="D5988">
        <v>35.711076237445297</v>
      </c>
      <c r="E5988" t="s">
        <v>94</v>
      </c>
      <c r="F5988">
        <v>804</v>
      </c>
      <c r="G5988" s="4">
        <v>46087.604456018518</v>
      </c>
    </row>
    <row r="5989" spans="1:7" x14ac:dyDescent="0.3">
      <c r="A5989">
        <v>23883</v>
      </c>
      <c r="B5989" t="s">
        <v>150</v>
      </c>
      <c r="C5989">
        <v>51022734</v>
      </c>
      <c r="D5989">
        <v>57.582959903916326</v>
      </c>
      <c r="E5989" t="s">
        <v>94</v>
      </c>
      <c r="F5989">
        <v>672</v>
      </c>
      <c r="G5989" s="4">
        <v>46087.604456018518</v>
      </c>
    </row>
    <row r="5990" spans="1:7" x14ac:dyDescent="0.3">
      <c r="A5990">
        <v>23884</v>
      </c>
      <c r="B5990" t="s">
        <v>150</v>
      </c>
      <c r="C5990">
        <v>51036034</v>
      </c>
      <c r="D5990">
        <v>84.523133932739526</v>
      </c>
      <c r="E5990" t="s">
        <v>93</v>
      </c>
      <c r="F5990">
        <v>299</v>
      </c>
      <c r="G5990" s="4">
        <v>46087.604456018518</v>
      </c>
    </row>
    <row r="5991" spans="1:7" x14ac:dyDescent="0.3">
      <c r="A5991">
        <v>23885</v>
      </c>
      <c r="B5991" t="s">
        <v>150</v>
      </c>
      <c r="C5991">
        <v>51019954</v>
      </c>
      <c r="D5991">
        <v>58.0210958618256</v>
      </c>
      <c r="E5991" t="s">
        <v>94</v>
      </c>
      <c r="F5991">
        <v>662</v>
      </c>
      <c r="G5991" s="4">
        <v>46087.604456018518</v>
      </c>
    </row>
    <row r="5992" spans="1:7" x14ac:dyDescent="0.3">
      <c r="A5992">
        <v>23886</v>
      </c>
      <c r="B5992" t="s">
        <v>150</v>
      </c>
      <c r="C5992">
        <v>51041895</v>
      </c>
      <c r="D5992">
        <v>71.455935054293761</v>
      </c>
      <c r="E5992" t="s">
        <v>93</v>
      </c>
      <c r="F5992">
        <v>502</v>
      </c>
      <c r="G5992" s="4">
        <v>46087.604456018518</v>
      </c>
    </row>
    <row r="5993" spans="1:7" x14ac:dyDescent="0.3">
      <c r="A5993">
        <v>23887</v>
      </c>
      <c r="B5993" t="s">
        <v>150</v>
      </c>
      <c r="C5993">
        <v>51031075</v>
      </c>
      <c r="D5993">
        <v>96.226138204092067</v>
      </c>
      <c r="E5993" t="s">
        <v>275</v>
      </c>
      <c r="F5993">
        <v>58</v>
      </c>
      <c r="G5993" s="4">
        <v>46087.604456018518</v>
      </c>
    </row>
    <row r="5994" spans="1:7" x14ac:dyDescent="0.3">
      <c r="A5994">
        <v>23888</v>
      </c>
      <c r="B5994" t="s">
        <v>150</v>
      </c>
      <c r="C5994">
        <v>51016815</v>
      </c>
      <c r="D5994">
        <v>83.30251502325973</v>
      </c>
      <c r="E5994" t="s">
        <v>93</v>
      </c>
      <c r="F5994">
        <v>337</v>
      </c>
      <c r="G5994" s="4">
        <v>46087.604456018518</v>
      </c>
    </row>
    <row r="5995" spans="1:7" x14ac:dyDescent="0.3">
      <c r="A5995">
        <v>23889</v>
      </c>
      <c r="B5995" t="s">
        <v>150</v>
      </c>
      <c r="C5995">
        <v>51010761</v>
      </c>
      <c r="D5995">
        <v>96.463623971626333</v>
      </c>
      <c r="E5995" t="s">
        <v>275</v>
      </c>
      <c r="F5995">
        <v>53</v>
      </c>
      <c r="G5995" s="4">
        <v>46087.604456018518</v>
      </c>
    </row>
    <row r="5996" spans="1:7" x14ac:dyDescent="0.3">
      <c r="A5996">
        <v>23890</v>
      </c>
      <c r="B5996" t="s">
        <v>150</v>
      </c>
      <c r="C5996">
        <v>51013301</v>
      </c>
      <c r="D5996">
        <v>58.317395291888339</v>
      </c>
      <c r="E5996" t="s">
        <v>94</v>
      </c>
      <c r="F5996">
        <v>649</v>
      </c>
      <c r="G5996" s="4">
        <v>46087.604456018518</v>
      </c>
    </row>
    <row r="5997" spans="1:7" x14ac:dyDescent="0.3">
      <c r="A5997">
        <v>23891</v>
      </c>
      <c r="B5997" t="s">
        <v>150</v>
      </c>
      <c r="C5997">
        <v>51041933</v>
      </c>
      <c r="D5997">
        <v>90.571272002946955</v>
      </c>
      <c r="E5997" t="s">
        <v>92</v>
      </c>
      <c r="F5997">
        <v>123</v>
      </c>
      <c r="G5997" s="4">
        <v>46087.604456018518</v>
      </c>
    </row>
    <row r="5998" spans="1:7" x14ac:dyDescent="0.3">
      <c r="A5998">
        <v>23892</v>
      </c>
      <c r="B5998" t="s">
        <v>150</v>
      </c>
      <c r="C5998">
        <v>51014006</v>
      </c>
      <c r="D5998">
        <v>39.161729295881401</v>
      </c>
      <c r="E5998" t="s">
        <v>94</v>
      </c>
      <c r="F5998">
        <v>792</v>
      </c>
      <c r="G5998" s="4">
        <v>46087.604456018518</v>
      </c>
    </row>
    <row r="5999" spans="1:7" x14ac:dyDescent="0.3">
      <c r="A5999">
        <v>23893</v>
      </c>
      <c r="B5999" t="s">
        <v>150</v>
      </c>
      <c r="C5999">
        <v>51000111</v>
      </c>
      <c r="D5999">
        <v>65.142310189211358</v>
      </c>
      <c r="E5999" t="s">
        <v>93</v>
      </c>
      <c r="F5999">
        <v>543</v>
      </c>
      <c r="G5999" s="4">
        <v>46087.604456018518</v>
      </c>
    </row>
    <row r="6000" spans="1:7" x14ac:dyDescent="0.3">
      <c r="A6000">
        <v>23894</v>
      </c>
      <c r="B6000" t="s">
        <v>150</v>
      </c>
      <c r="C6000">
        <v>51042735</v>
      </c>
      <c r="D6000">
        <v>57.549864197345478</v>
      </c>
      <c r="E6000" t="s">
        <v>94</v>
      </c>
      <c r="F6000">
        <v>673</v>
      </c>
      <c r="G6000" s="4">
        <v>46087.604456018518</v>
      </c>
    </row>
    <row r="6001" spans="1:7" x14ac:dyDescent="0.3">
      <c r="A6001">
        <v>23895</v>
      </c>
      <c r="B6001" t="s">
        <v>150</v>
      </c>
      <c r="C6001">
        <v>51023218</v>
      </c>
      <c r="D6001">
        <v>22.189999999999998</v>
      </c>
      <c r="E6001" t="s">
        <v>94</v>
      </c>
      <c r="F6001">
        <v>946</v>
      </c>
      <c r="G6001" s="4">
        <v>46087.604456018518</v>
      </c>
    </row>
    <row r="6002" spans="1:7" x14ac:dyDescent="0.3">
      <c r="A6002">
        <v>23896</v>
      </c>
      <c r="B6002" t="s">
        <v>150</v>
      </c>
      <c r="C6002">
        <v>51002776</v>
      </c>
      <c r="D6002">
        <v>82.856160968024227</v>
      </c>
      <c r="E6002" t="s">
        <v>93</v>
      </c>
      <c r="F6002">
        <v>359</v>
      </c>
      <c r="G6002" s="4">
        <v>46087.604456018518</v>
      </c>
    </row>
    <row r="6003" spans="1:7" x14ac:dyDescent="0.3">
      <c r="A6003">
        <v>23897</v>
      </c>
      <c r="B6003" t="s">
        <v>150</v>
      </c>
      <c r="C6003">
        <v>51015541</v>
      </c>
      <c r="D6003">
        <v>70.802496259758087</v>
      </c>
      <c r="E6003" t="s">
        <v>93</v>
      </c>
      <c r="F6003">
        <v>508</v>
      </c>
      <c r="G6003" s="4">
        <v>46087.604456018518</v>
      </c>
    </row>
    <row r="6004" spans="1:7" x14ac:dyDescent="0.3">
      <c r="A6004">
        <v>23898</v>
      </c>
      <c r="B6004" t="s">
        <v>150</v>
      </c>
      <c r="C6004">
        <v>51031890</v>
      </c>
      <c r="D6004">
        <v>27.2</v>
      </c>
      <c r="E6004" t="s">
        <v>94</v>
      </c>
      <c r="F6004">
        <v>898</v>
      </c>
      <c r="G6004" s="4">
        <v>46087.604456018518</v>
      </c>
    </row>
    <row r="6005" spans="1:7" x14ac:dyDescent="0.3">
      <c r="A6005">
        <v>23899</v>
      </c>
      <c r="B6005" t="s">
        <v>150</v>
      </c>
      <c r="C6005">
        <v>51057058</v>
      </c>
      <c r="D6005">
        <v>90.073543805751626</v>
      </c>
      <c r="E6005" t="s">
        <v>92</v>
      </c>
      <c r="F6005">
        <v>134</v>
      </c>
      <c r="G6005" s="4">
        <v>46087.604456018518</v>
      </c>
    </row>
    <row r="6006" spans="1:7" x14ac:dyDescent="0.3">
      <c r="A6006">
        <v>23900</v>
      </c>
      <c r="B6006" t="s">
        <v>150</v>
      </c>
      <c r="C6006">
        <v>51022289</v>
      </c>
      <c r="D6006">
        <v>91.816567252692849</v>
      </c>
      <c r="E6006" t="s">
        <v>92</v>
      </c>
      <c r="F6006">
        <v>107</v>
      </c>
      <c r="G6006" s="4">
        <v>46087.604456018518</v>
      </c>
    </row>
    <row r="6007" spans="1:7" x14ac:dyDescent="0.3">
      <c r="A6007">
        <v>23901</v>
      </c>
      <c r="B6007" t="s">
        <v>150</v>
      </c>
      <c r="C6007">
        <v>51016688</v>
      </c>
      <c r="D6007">
        <v>86.064718704190597</v>
      </c>
      <c r="E6007" t="s">
        <v>93</v>
      </c>
      <c r="F6007">
        <v>249</v>
      </c>
      <c r="G6007" s="4">
        <v>46087.604456018518</v>
      </c>
    </row>
    <row r="6008" spans="1:7" x14ac:dyDescent="0.3">
      <c r="A6008">
        <v>23902</v>
      </c>
      <c r="B6008" t="s">
        <v>150</v>
      </c>
      <c r="C6008">
        <v>51032527</v>
      </c>
      <c r="D6008">
        <v>95.535715364333299</v>
      </c>
      <c r="E6008" t="s">
        <v>92</v>
      </c>
      <c r="F6008">
        <v>66</v>
      </c>
      <c r="G6008" s="4">
        <v>46087.604456018518</v>
      </c>
    </row>
    <row r="6009" spans="1:7" x14ac:dyDescent="0.3">
      <c r="A6009">
        <v>23903</v>
      </c>
      <c r="B6009" t="s">
        <v>150</v>
      </c>
      <c r="C6009">
        <v>51028678</v>
      </c>
      <c r="D6009">
        <v>58.59296961236155</v>
      </c>
      <c r="E6009" t="s">
        <v>94</v>
      </c>
      <c r="F6009">
        <v>645</v>
      </c>
      <c r="G6009" s="4">
        <v>46087.604456018518</v>
      </c>
    </row>
    <row r="6010" spans="1:7" x14ac:dyDescent="0.3">
      <c r="A6010">
        <v>23904</v>
      </c>
      <c r="B6010" t="s">
        <v>150</v>
      </c>
      <c r="C6010">
        <v>51005287</v>
      </c>
      <c r="D6010">
        <v>84.053715101825404</v>
      </c>
      <c r="E6010" t="s">
        <v>93</v>
      </c>
      <c r="F6010">
        <v>320</v>
      </c>
      <c r="G6010" s="4">
        <v>46087.604456018518</v>
      </c>
    </row>
    <row r="6011" spans="1:7" x14ac:dyDescent="0.3">
      <c r="A6011">
        <v>23905</v>
      </c>
      <c r="B6011" t="s">
        <v>150</v>
      </c>
      <c r="C6011">
        <v>51055624</v>
      </c>
      <c r="D6011">
        <v>97.994419331600412</v>
      </c>
      <c r="E6011" t="s">
        <v>275</v>
      </c>
      <c r="F6011">
        <v>38</v>
      </c>
      <c r="G6011" s="4">
        <v>46087.604456018518</v>
      </c>
    </row>
    <row r="6012" spans="1:7" x14ac:dyDescent="0.3">
      <c r="A6012">
        <v>23906</v>
      </c>
      <c r="B6012" t="s">
        <v>150</v>
      </c>
      <c r="C6012">
        <v>51010884</v>
      </c>
      <c r="D6012">
        <v>19.599999999999998</v>
      </c>
      <c r="E6012" t="s">
        <v>95</v>
      </c>
      <c r="F6012">
        <v>985</v>
      </c>
      <c r="G6012" s="4">
        <v>46087.604456018518</v>
      </c>
    </row>
    <row r="6013" spans="1:7" x14ac:dyDescent="0.3">
      <c r="A6013">
        <v>23907</v>
      </c>
      <c r="B6013" t="s">
        <v>150</v>
      </c>
      <c r="C6013">
        <v>51007051</v>
      </c>
      <c r="D6013">
        <v>82.379823874252466</v>
      </c>
      <c r="E6013" t="s">
        <v>93</v>
      </c>
      <c r="F6013">
        <v>380</v>
      </c>
      <c r="G6013" s="4">
        <v>46087.604456018518</v>
      </c>
    </row>
    <row r="6014" spans="1:7" x14ac:dyDescent="0.3">
      <c r="A6014">
        <v>23908</v>
      </c>
      <c r="B6014" t="s">
        <v>150</v>
      </c>
      <c r="C6014">
        <v>51013808</v>
      </c>
      <c r="D6014">
        <v>60.136341451433367</v>
      </c>
      <c r="E6014" t="s">
        <v>94</v>
      </c>
      <c r="F6014">
        <v>616</v>
      </c>
      <c r="G6014" s="4">
        <v>46087.604456018518</v>
      </c>
    </row>
    <row r="6015" spans="1:7" x14ac:dyDescent="0.3">
      <c r="A6015">
        <v>23909</v>
      </c>
      <c r="B6015" t="s">
        <v>150</v>
      </c>
      <c r="C6015">
        <v>51035828</v>
      </c>
      <c r="D6015">
        <v>61.655683306971795</v>
      </c>
      <c r="E6015" t="s">
        <v>93</v>
      </c>
      <c r="F6015">
        <v>588</v>
      </c>
      <c r="G6015" s="4">
        <v>46087.604456018518</v>
      </c>
    </row>
    <row r="6016" spans="1:7" x14ac:dyDescent="0.3">
      <c r="A6016">
        <v>23910</v>
      </c>
      <c r="B6016" t="s">
        <v>150</v>
      </c>
      <c r="C6016">
        <v>51056051</v>
      </c>
      <c r="D6016">
        <v>84.435732154273381</v>
      </c>
      <c r="E6016" t="s">
        <v>93</v>
      </c>
      <c r="F6016">
        <v>301</v>
      </c>
      <c r="G6016" s="4">
        <v>46087.604456018518</v>
      </c>
    </row>
    <row r="6017" spans="1:7" x14ac:dyDescent="0.3">
      <c r="A6017">
        <v>23911</v>
      </c>
      <c r="B6017" t="s">
        <v>150</v>
      </c>
      <c r="C6017">
        <v>51024265</v>
      </c>
      <c r="D6017">
        <v>84.870004645940398</v>
      </c>
      <c r="E6017" t="s">
        <v>93</v>
      </c>
      <c r="F6017">
        <v>288</v>
      </c>
      <c r="G6017" s="4">
        <v>46087.604456018518</v>
      </c>
    </row>
    <row r="6018" spans="1:7" x14ac:dyDescent="0.3">
      <c r="A6018">
        <v>23912</v>
      </c>
      <c r="B6018" t="s">
        <v>150</v>
      </c>
      <c r="C6018">
        <v>51018494</v>
      </c>
      <c r="D6018">
        <v>100</v>
      </c>
      <c r="E6018" t="s">
        <v>275</v>
      </c>
      <c r="F6018">
        <v>1</v>
      </c>
      <c r="G6018" s="4">
        <v>46087.604456018518</v>
      </c>
    </row>
    <row r="6019" spans="1:7" x14ac:dyDescent="0.3">
      <c r="A6019">
        <v>23913</v>
      </c>
      <c r="B6019" t="s">
        <v>150</v>
      </c>
      <c r="C6019">
        <v>51039882</v>
      </c>
      <c r="D6019">
        <v>27.7</v>
      </c>
      <c r="E6019" t="s">
        <v>94</v>
      </c>
      <c r="F6019">
        <v>888</v>
      </c>
      <c r="G6019" s="4">
        <v>46087.604456018518</v>
      </c>
    </row>
    <row r="6020" spans="1:7" x14ac:dyDescent="0.3">
      <c r="A6020">
        <v>23914</v>
      </c>
      <c r="B6020" t="s">
        <v>150</v>
      </c>
      <c r="C6020">
        <v>51024192</v>
      </c>
      <c r="D6020">
        <v>74.539543309387582</v>
      </c>
      <c r="E6020" t="s">
        <v>93</v>
      </c>
      <c r="F6020">
        <v>477</v>
      </c>
      <c r="G6020" s="4">
        <v>46087.604456018518</v>
      </c>
    </row>
    <row r="6021" spans="1:7" x14ac:dyDescent="0.3">
      <c r="A6021">
        <v>23915</v>
      </c>
      <c r="B6021" t="s">
        <v>150</v>
      </c>
      <c r="C6021">
        <v>51008332</v>
      </c>
      <c r="D6021">
        <v>88.97511212174328</v>
      </c>
      <c r="E6021" t="s">
        <v>92</v>
      </c>
      <c r="F6021">
        <v>169</v>
      </c>
      <c r="G6021" s="4">
        <v>46087.604456018518</v>
      </c>
    </row>
    <row r="6022" spans="1:7" x14ac:dyDescent="0.3">
      <c r="A6022">
        <v>23916</v>
      </c>
      <c r="B6022" t="s">
        <v>150</v>
      </c>
      <c r="C6022">
        <v>51015258</v>
      </c>
      <c r="D6022">
        <v>85.428340451983601</v>
      </c>
      <c r="E6022" t="s">
        <v>93</v>
      </c>
      <c r="F6022">
        <v>271</v>
      </c>
      <c r="G6022" s="4">
        <v>46087.604456018518</v>
      </c>
    </row>
    <row r="6023" spans="1:7" x14ac:dyDescent="0.3">
      <c r="A6023">
        <v>23917</v>
      </c>
      <c r="B6023" t="s">
        <v>150</v>
      </c>
      <c r="C6023">
        <v>51033710</v>
      </c>
      <c r="D6023">
        <v>98.361012671891189</v>
      </c>
      <c r="E6023" t="s">
        <v>275</v>
      </c>
      <c r="F6023">
        <v>32</v>
      </c>
      <c r="G6023" s="4">
        <v>46087.604456018518</v>
      </c>
    </row>
    <row r="6024" spans="1:7" x14ac:dyDescent="0.3">
      <c r="A6024">
        <v>23918</v>
      </c>
      <c r="B6024" t="s">
        <v>150</v>
      </c>
      <c r="C6024">
        <v>51010329</v>
      </c>
      <c r="D6024">
        <v>33.700000000000003</v>
      </c>
      <c r="E6024" t="s">
        <v>94</v>
      </c>
      <c r="F6024">
        <v>816</v>
      </c>
      <c r="G6024" s="4">
        <v>46087.604456018518</v>
      </c>
    </row>
    <row r="6025" spans="1:7" x14ac:dyDescent="0.3">
      <c r="A6025">
        <v>23919</v>
      </c>
      <c r="B6025" t="s">
        <v>150</v>
      </c>
      <c r="C6025">
        <v>51011252</v>
      </c>
      <c r="D6025">
        <v>59.791842812422217</v>
      </c>
      <c r="E6025" t="s">
        <v>94</v>
      </c>
      <c r="F6025">
        <v>624</v>
      </c>
      <c r="G6025" s="4">
        <v>46087.604456018518</v>
      </c>
    </row>
    <row r="6026" spans="1:7" x14ac:dyDescent="0.3">
      <c r="A6026">
        <v>23920</v>
      </c>
      <c r="B6026" t="s">
        <v>150</v>
      </c>
      <c r="C6026">
        <v>51018648</v>
      </c>
      <c r="D6026">
        <v>81.484988936497302</v>
      </c>
      <c r="E6026" t="s">
        <v>93</v>
      </c>
      <c r="F6026">
        <v>402</v>
      </c>
      <c r="G6026" s="4">
        <v>46087.604456018518</v>
      </c>
    </row>
    <row r="6027" spans="1:7" x14ac:dyDescent="0.3">
      <c r="A6027">
        <v>23921</v>
      </c>
      <c r="B6027" t="s">
        <v>150</v>
      </c>
      <c r="C6027">
        <v>51024524</v>
      </c>
      <c r="D6027">
        <v>85.579112371062237</v>
      </c>
      <c r="E6027" t="s">
        <v>93</v>
      </c>
      <c r="F6027">
        <v>266</v>
      </c>
      <c r="G6027" s="4">
        <v>46087.604456018518</v>
      </c>
    </row>
    <row r="6028" spans="1:7" x14ac:dyDescent="0.3">
      <c r="A6028">
        <v>23922</v>
      </c>
      <c r="B6028" t="s">
        <v>150</v>
      </c>
      <c r="C6028">
        <v>51055772</v>
      </c>
      <c r="D6028">
        <v>58.060334383617935</v>
      </c>
      <c r="E6028" t="s">
        <v>94</v>
      </c>
      <c r="F6028">
        <v>659</v>
      </c>
      <c r="G6028" s="4">
        <v>46087.604456018518</v>
      </c>
    </row>
    <row r="6029" spans="1:7" x14ac:dyDescent="0.3">
      <c r="A6029">
        <v>23923</v>
      </c>
      <c r="B6029" t="s">
        <v>150</v>
      </c>
      <c r="C6029">
        <v>51031083</v>
      </c>
      <c r="D6029">
        <v>58.981210963832872</v>
      </c>
      <c r="E6029" t="s">
        <v>94</v>
      </c>
      <c r="F6029">
        <v>637</v>
      </c>
      <c r="G6029" s="4">
        <v>46087.604456018518</v>
      </c>
    </row>
    <row r="6030" spans="1:7" x14ac:dyDescent="0.3">
      <c r="A6030">
        <v>23924</v>
      </c>
      <c r="B6030" t="s">
        <v>150</v>
      </c>
      <c r="C6030">
        <v>51056647</v>
      </c>
      <c r="D6030">
        <v>88.377864187999151</v>
      </c>
      <c r="E6030" t="s">
        <v>92</v>
      </c>
      <c r="F6030">
        <v>187</v>
      </c>
      <c r="G6030" s="4">
        <v>46087.604456018518</v>
      </c>
    </row>
    <row r="6031" spans="1:7" x14ac:dyDescent="0.3">
      <c r="A6031">
        <v>23925</v>
      </c>
      <c r="B6031" t="s">
        <v>150</v>
      </c>
      <c r="C6031">
        <v>51024214</v>
      </c>
      <c r="D6031">
        <v>80.337304208245882</v>
      </c>
      <c r="E6031" t="s">
        <v>93</v>
      </c>
      <c r="F6031">
        <v>433</v>
      </c>
      <c r="G6031" s="4">
        <v>46087.604456018518</v>
      </c>
    </row>
    <row r="6032" spans="1:7" x14ac:dyDescent="0.3">
      <c r="A6032">
        <v>23926</v>
      </c>
      <c r="B6032" t="s">
        <v>150</v>
      </c>
      <c r="C6032">
        <v>51013425</v>
      </c>
      <c r="D6032">
        <v>92.466668840031801</v>
      </c>
      <c r="E6032" t="s">
        <v>92</v>
      </c>
      <c r="F6032">
        <v>96</v>
      </c>
      <c r="G6032" s="4">
        <v>46087.604456018518</v>
      </c>
    </row>
    <row r="6033" spans="1:7" x14ac:dyDescent="0.3">
      <c r="A6033">
        <v>23927</v>
      </c>
      <c r="B6033" t="s">
        <v>150</v>
      </c>
      <c r="C6033">
        <v>51025334</v>
      </c>
      <c r="D6033">
        <v>84.508873459133</v>
      </c>
      <c r="E6033" t="s">
        <v>93</v>
      </c>
      <c r="F6033">
        <v>300</v>
      </c>
      <c r="G6033" s="4">
        <v>46087.604456018518</v>
      </c>
    </row>
    <row r="6034" spans="1:7" x14ac:dyDescent="0.3">
      <c r="A6034">
        <v>23928</v>
      </c>
      <c r="B6034" t="s">
        <v>150</v>
      </c>
      <c r="C6034">
        <v>51056132</v>
      </c>
      <c r="D6034">
        <v>58.1215895172285</v>
      </c>
      <c r="E6034" t="s">
        <v>94</v>
      </c>
      <c r="F6034">
        <v>657</v>
      </c>
      <c r="G6034" s="4">
        <v>46087.604456018518</v>
      </c>
    </row>
    <row r="6035" spans="1:7" x14ac:dyDescent="0.3">
      <c r="A6035">
        <v>23929</v>
      </c>
      <c r="B6035" t="s">
        <v>150</v>
      </c>
      <c r="C6035">
        <v>51004531</v>
      </c>
      <c r="D6035">
        <v>90.479127036597561</v>
      </c>
      <c r="E6035" t="s">
        <v>92</v>
      </c>
      <c r="F6035">
        <v>124</v>
      </c>
      <c r="G6035" s="4">
        <v>46087.604456018518</v>
      </c>
    </row>
    <row r="6036" spans="1:7" x14ac:dyDescent="0.3">
      <c r="A6036">
        <v>23930</v>
      </c>
      <c r="B6036" t="s">
        <v>150</v>
      </c>
      <c r="C6036">
        <v>51039033</v>
      </c>
      <c r="D6036">
        <v>49.940618797880092</v>
      </c>
      <c r="E6036" t="s">
        <v>94</v>
      </c>
      <c r="F6036">
        <v>743</v>
      </c>
      <c r="G6036" s="4">
        <v>46087.604456018518</v>
      </c>
    </row>
    <row r="6037" spans="1:7" x14ac:dyDescent="0.3">
      <c r="A6037">
        <v>23931</v>
      </c>
      <c r="B6037" t="s">
        <v>150</v>
      </c>
      <c r="C6037">
        <v>51024117</v>
      </c>
      <c r="D6037">
        <v>93.344910419030214</v>
      </c>
      <c r="E6037" t="s">
        <v>92</v>
      </c>
      <c r="F6037">
        <v>87</v>
      </c>
      <c r="G6037" s="4">
        <v>46087.604456018518</v>
      </c>
    </row>
    <row r="6038" spans="1:7" x14ac:dyDescent="0.3">
      <c r="A6038">
        <v>23932</v>
      </c>
      <c r="B6038" t="s">
        <v>150</v>
      </c>
      <c r="C6038">
        <v>51031768</v>
      </c>
      <c r="D6038">
        <v>46.192106611967027</v>
      </c>
      <c r="E6038" t="s">
        <v>94</v>
      </c>
      <c r="F6038">
        <v>765</v>
      </c>
      <c r="G6038" s="4">
        <v>46087.604456018518</v>
      </c>
    </row>
    <row r="6039" spans="1:7" x14ac:dyDescent="0.3">
      <c r="A6039">
        <v>23933</v>
      </c>
      <c r="B6039" t="s">
        <v>150</v>
      </c>
      <c r="C6039">
        <v>51022637</v>
      </c>
      <c r="D6039">
        <v>86.132093050867113</v>
      </c>
      <c r="E6039" t="s">
        <v>93</v>
      </c>
      <c r="F6039">
        <v>246</v>
      </c>
      <c r="G6039" s="4">
        <v>46087.604456018518</v>
      </c>
    </row>
    <row r="6040" spans="1:7" x14ac:dyDescent="0.3">
      <c r="A6040">
        <v>23934</v>
      </c>
      <c r="B6040" t="s">
        <v>150</v>
      </c>
      <c r="C6040">
        <v>51010124</v>
      </c>
      <c r="D6040">
        <v>97.233757022268989</v>
      </c>
      <c r="E6040" t="s">
        <v>275</v>
      </c>
      <c r="F6040">
        <v>46</v>
      </c>
      <c r="G6040" s="4">
        <v>46087.604456018518</v>
      </c>
    </row>
    <row r="6041" spans="1:7" x14ac:dyDescent="0.3">
      <c r="A6041">
        <v>23935</v>
      </c>
      <c r="B6041" t="s">
        <v>150</v>
      </c>
      <c r="C6041">
        <v>51012020</v>
      </c>
      <c r="D6041">
        <v>82.224026163814926</v>
      </c>
      <c r="E6041" t="s">
        <v>93</v>
      </c>
      <c r="F6041">
        <v>382</v>
      </c>
      <c r="G6041" s="4">
        <v>46087.604456018518</v>
      </c>
    </row>
    <row r="6042" spans="1:7" x14ac:dyDescent="0.3">
      <c r="A6042">
        <v>23936</v>
      </c>
      <c r="B6042" t="s">
        <v>150</v>
      </c>
      <c r="C6042">
        <v>51029968</v>
      </c>
      <c r="D6042">
        <v>85.751675449982059</v>
      </c>
      <c r="E6042" t="s">
        <v>93</v>
      </c>
      <c r="F6042">
        <v>260</v>
      </c>
      <c r="G6042" s="4">
        <v>46087.604456018518</v>
      </c>
    </row>
    <row r="6043" spans="1:7" x14ac:dyDescent="0.3">
      <c r="A6043">
        <v>23937</v>
      </c>
      <c r="B6043" t="s">
        <v>150</v>
      </c>
      <c r="C6043">
        <v>51025202</v>
      </c>
      <c r="D6043">
        <v>100</v>
      </c>
      <c r="E6043" t="s">
        <v>275</v>
      </c>
      <c r="F6043">
        <v>1</v>
      </c>
      <c r="G6043" s="4">
        <v>46087.604456018518</v>
      </c>
    </row>
    <row r="6044" spans="1:7" x14ac:dyDescent="0.3">
      <c r="A6044">
        <v>23938</v>
      </c>
      <c r="B6044" t="s">
        <v>150</v>
      </c>
      <c r="C6044">
        <v>51003667</v>
      </c>
      <c r="D6044">
        <v>82.94107449737821</v>
      </c>
      <c r="E6044" t="s">
        <v>93</v>
      </c>
      <c r="F6044">
        <v>356</v>
      </c>
      <c r="G6044" s="4">
        <v>46087.604456018518</v>
      </c>
    </row>
    <row r="6045" spans="1:7" x14ac:dyDescent="0.3">
      <c r="A6045">
        <v>23939</v>
      </c>
      <c r="B6045" t="s">
        <v>150</v>
      </c>
      <c r="C6045">
        <v>51026691</v>
      </c>
      <c r="D6045">
        <v>26.585000000000001</v>
      </c>
      <c r="E6045" t="s">
        <v>94</v>
      </c>
      <c r="F6045">
        <v>903</v>
      </c>
      <c r="G6045" s="4">
        <v>46087.604456018518</v>
      </c>
    </row>
    <row r="6046" spans="1:7" x14ac:dyDescent="0.3">
      <c r="A6046">
        <v>23940</v>
      </c>
      <c r="B6046" t="s">
        <v>150</v>
      </c>
      <c r="C6046">
        <v>51023145</v>
      </c>
      <c r="D6046">
        <v>96.783727526926313</v>
      </c>
      <c r="E6046" t="s">
        <v>275</v>
      </c>
      <c r="F6046">
        <v>48</v>
      </c>
      <c r="G6046" s="4">
        <v>46087.604456018518</v>
      </c>
    </row>
    <row r="6047" spans="1:7" x14ac:dyDescent="0.3">
      <c r="A6047">
        <v>23941</v>
      </c>
      <c r="B6047" t="s">
        <v>150</v>
      </c>
      <c r="C6047">
        <v>51056001</v>
      </c>
      <c r="D6047">
        <v>96.711008312260901</v>
      </c>
      <c r="E6047" t="s">
        <v>275</v>
      </c>
      <c r="F6047">
        <v>50</v>
      </c>
      <c r="G6047" s="4">
        <v>46087.604456018518</v>
      </c>
    </row>
    <row r="6048" spans="1:7" x14ac:dyDescent="0.3">
      <c r="A6048">
        <v>23942</v>
      </c>
      <c r="B6048" t="s">
        <v>150</v>
      </c>
      <c r="C6048">
        <v>51019652</v>
      </c>
      <c r="D6048">
        <v>88.998181949294533</v>
      </c>
      <c r="E6048" t="s">
        <v>92</v>
      </c>
      <c r="F6048">
        <v>168</v>
      </c>
      <c r="G6048" s="4">
        <v>46087.604456018518</v>
      </c>
    </row>
    <row r="6049" spans="1:7" x14ac:dyDescent="0.3">
      <c r="A6049">
        <v>23943</v>
      </c>
      <c r="B6049" t="s">
        <v>150</v>
      </c>
      <c r="C6049">
        <v>51011368</v>
      </c>
      <c r="D6049">
        <v>99.736737920576417</v>
      </c>
      <c r="E6049" t="s">
        <v>275</v>
      </c>
      <c r="F6049">
        <v>20</v>
      </c>
      <c r="G6049" s="4">
        <v>46087.604456018518</v>
      </c>
    </row>
    <row r="6050" spans="1:7" x14ac:dyDescent="0.3">
      <c r="A6050">
        <v>23944</v>
      </c>
      <c r="B6050" t="s">
        <v>150</v>
      </c>
      <c r="C6050">
        <v>51055047</v>
      </c>
      <c r="D6050">
        <v>85.787409847735077</v>
      </c>
      <c r="E6050" t="s">
        <v>93</v>
      </c>
      <c r="F6050">
        <v>257</v>
      </c>
      <c r="G6050" s="4">
        <v>46087.604456018518</v>
      </c>
    </row>
    <row r="6051" spans="1:7" x14ac:dyDescent="0.3">
      <c r="A6051">
        <v>23945</v>
      </c>
      <c r="B6051" t="s">
        <v>150</v>
      </c>
      <c r="C6051">
        <v>51018176</v>
      </c>
      <c r="D6051">
        <v>81.039014504001244</v>
      </c>
      <c r="E6051" t="s">
        <v>93</v>
      </c>
      <c r="F6051">
        <v>414</v>
      </c>
      <c r="G6051" s="4">
        <v>46087.604456018518</v>
      </c>
    </row>
    <row r="6052" spans="1:7" x14ac:dyDescent="0.3">
      <c r="A6052">
        <v>23946</v>
      </c>
      <c r="B6052" t="s">
        <v>150</v>
      </c>
      <c r="C6052">
        <v>51015622</v>
      </c>
      <c r="D6052">
        <v>57.494345089215855</v>
      </c>
      <c r="E6052" t="s">
        <v>94</v>
      </c>
      <c r="F6052">
        <v>675</v>
      </c>
      <c r="G6052" s="4">
        <v>46087.604456018518</v>
      </c>
    </row>
    <row r="6053" spans="1:7" x14ac:dyDescent="0.3">
      <c r="A6053">
        <v>23947</v>
      </c>
      <c r="B6053" t="s">
        <v>150</v>
      </c>
      <c r="C6053">
        <v>51054946</v>
      </c>
      <c r="D6053">
        <v>100</v>
      </c>
      <c r="E6053" t="s">
        <v>275</v>
      </c>
      <c r="F6053">
        <v>1</v>
      </c>
      <c r="G6053" s="4">
        <v>46087.604456018518</v>
      </c>
    </row>
    <row r="6054" spans="1:7" x14ac:dyDescent="0.3">
      <c r="A6054">
        <v>23948</v>
      </c>
      <c r="B6054" t="s">
        <v>150</v>
      </c>
      <c r="C6054">
        <v>51016220</v>
      </c>
      <c r="D6054">
        <v>100</v>
      </c>
      <c r="E6054" t="s">
        <v>275</v>
      </c>
      <c r="F6054">
        <v>1</v>
      </c>
      <c r="G6054" s="4">
        <v>46087.604456018518</v>
      </c>
    </row>
    <row r="6055" spans="1:7" x14ac:dyDescent="0.3">
      <c r="A6055">
        <v>23949</v>
      </c>
      <c r="B6055" t="s">
        <v>150</v>
      </c>
      <c r="C6055">
        <v>51025385</v>
      </c>
      <c r="D6055">
        <v>55.32375232299588</v>
      </c>
      <c r="E6055" t="s">
        <v>94</v>
      </c>
      <c r="F6055">
        <v>712</v>
      </c>
      <c r="G6055" s="4">
        <v>46087.604456018518</v>
      </c>
    </row>
    <row r="6056" spans="1:7" x14ac:dyDescent="0.3">
      <c r="A6056">
        <v>23950</v>
      </c>
      <c r="B6056" t="s">
        <v>150</v>
      </c>
      <c r="C6056">
        <v>51057163</v>
      </c>
      <c r="D6056">
        <v>45.373379348932033</v>
      </c>
      <c r="E6056" t="s">
        <v>94</v>
      </c>
      <c r="F6056">
        <v>772</v>
      </c>
      <c r="G6056" s="4">
        <v>46087.604456018518</v>
      </c>
    </row>
    <row r="6057" spans="1:7" x14ac:dyDescent="0.3">
      <c r="A6057">
        <v>23951</v>
      </c>
      <c r="B6057" t="s">
        <v>150</v>
      </c>
      <c r="C6057">
        <v>51055985</v>
      </c>
      <c r="D6057">
        <v>21.328999999999997</v>
      </c>
      <c r="E6057" t="s">
        <v>95</v>
      </c>
      <c r="F6057">
        <v>959</v>
      </c>
      <c r="G6057" s="4">
        <v>46087.604456018518</v>
      </c>
    </row>
    <row r="6058" spans="1:7" x14ac:dyDescent="0.3">
      <c r="A6058">
        <v>23952</v>
      </c>
      <c r="B6058" t="s">
        <v>150</v>
      </c>
      <c r="C6058">
        <v>51032993</v>
      </c>
      <c r="D6058">
        <v>98.805719411289047</v>
      </c>
      <c r="E6058" t="s">
        <v>275</v>
      </c>
      <c r="F6058">
        <v>26</v>
      </c>
      <c r="G6058" s="4">
        <v>46087.604456018518</v>
      </c>
    </row>
    <row r="6059" spans="1:7" x14ac:dyDescent="0.3">
      <c r="A6059">
        <v>23953</v>
      </c>
      <c r="B6059" t="s">
        <v>150</v>
      </c>
      <c r="C6059">
        <v>51015088</v>
      </c>
      <c r="D6059">
        <v>81.07100447856206</v>
      </c>
      <c r="E6059" t="s">
        <v>93</v>
      </c>
      <c r="F6059">
        <v>412</v>
      </c>
      <c r="G6059" s="4">
        <v>46087.604456018518</v>
      </c>
    </row>
    <row r="6060" spans="1:7" x14ac:dyDescent="0.3">
      <c r="A6060">
        <v>23954</v>
      </c>
      <c r="B6060" t="s">
        <v>150</v>
      </c>
      <c r="C6060">
        <v>51035658</v>
      </c>
      <c r="D6060">
        <v>84.788362413784753</v>
      </c>
      <c r="E6060" t="s">
        <v>93</v>
      </c>
      <c r="F6060">
        <v>291</v>
      </c>
      <c r="G6060" s="4">
        <v>46087.604456018518</v>
      </c>
    </row>
    <row r="6061" spans="1:7" x14ac:dyDescent="0.3">
      <c r="A6061">
        <v>23955</v>
      </c>
      <c r="B6061" t="s">
        <v>150</v>
      </c>
      <c r="C6061">
        <v>51016726</v>
      </c>
      <c r="D6061">
        <v>87.289390366050966</v>
      </c>
      <c r="E6061" t="s">
        <v>92</v>
      </c>
      <c r="F6061">
        <v>218</v>
      </c>
      <c r="G6061" s="4">
        <v>46087.604456018518</v>
      </c>
    </row>
    <row r="6062" spans="1:7" x14ac:dyDescent="0.3">
      <c r="A6062">
        <v>23956</v>
      </c>
      <c r="B6062" t="s">
        <v>150</v>
      </c>
      <c r="C6062">
        <v>51019342</v>
      </c>
      <c r="D6062">
        <v>24.127600000000001</v>
      </c>
      <c r="E6062" t="s">
        <v>94</v>
      </c>
      <c r="F6062">
        <v>917</v>
      </c>
      <c r="G6062" s="4">
        <v>46087.604456018518</v>
      </c>
    </row>
    <row r="6063" spans="1:7" x14ac:dyDescent="0.3">
      <c r="A6063">
        <v>23957</v>
      </c>
      <c r="B6063" t="s">
        <v>150</v>
      </c>
      <c r="C6063">
        <v>51014162</v>
      </c>
      <c r="D6063">
        <v>68.255888099811486</v>
      </c>
      <c r="E6063" t="s">
        <v>93</v>
      </c>
      <c r="F6063">
        <v>526</v>
      </c>
      <c r="G6063" s="4">
        <v>46087.604456018518</v>
      </c>
    </row>
    <row r="6064" spans="1:7" x14ac:dyDescent="0.3">
      <c r="A6064">
        <v>23958</v>
      </c>
      <c r="B6064" t="s">
        <v>150</v>
      </c>
      <c r="C6064">
        <v>51022360</v>
      </c>
      <c r="D6064">
        <v>92.306687619195088</v>
      </c>
      <c r="E6064" t="s">
        <v>92</v>
      </c>
      <c r="F6064">
        <v>102</v>
      </c>
      <c r="G6064" s="4">
        <v>46087.604456018518</v>
      </c>
    </row>
    <row r="6065" spans="1:7" x14ac:dyDescent="0.3">
      <c r="A6065">
        <v>23959</v>
      </c>
      <c r="B6065" t="s">
        <v>150</v>
      </c>
      <c r="C6065">
        <v>51040848</v>
      </c>
      <c r="D6065">
        <v>80.968127712388878</v>
      </c>
      <c r="E6065" t="s">
        <v>93</v>
      </c>
      <c r="F6065">
        <v>416</v>
      </c>
      <c r="G6065" s="4">
        <v>46087.604456018518</v>
      </c>
    </row>
    <row r="6066" spans="1:7" x14ac:dyDescent="0.3">
      <c r="A6066">
        <v>23960</v>
      </c>
      <c r="B6066" t="s">
        <v>150</v>
      </c>
      <c r="C6066">
        <v>51022696</v>
      </c>
      <c r="D6066">
        <v>95.235817519953329</v>
      </c>
      <c r="E6066" t="s">
        <v>92</v>
      </c>
      <c r="F6066">
        <v>68</v>
      </c>
      <c r="G6066" s="4">
        <v>46087.604456018518</v>
      </c>
    </row>
    <row r="6067" spans="1:7" x14ac:dyDescent="0.3">
      <c r="A6067">
        <v>23961</v>
      </c>
      <c r="B6067" t="s">
        <v>150</v>
      </c>
      <c r="C6067">
        <v>51056426</v>
      </c>
      <c r="D6067">
        <v>61.540524214172294</v>
      </c>
      <c r="E6067" t="s">
        <v>93</v>
      </c>
      <c r="F6067">
        <v>589</v>
      </c>
      <c r="G6067" s="4">
        <v>46087.604456018518</v>
      </c>
    </row>
    <row r="6068" spans="1:7" x14ac:dyDescent="0.3">
      <c r="A6068">
        <v>23962</v>
      </c>
      <c r="B6068" t="s">
        <v>150</v>
      </c>
      <c r="C6068">
        <v>51011350</v>
      </c>
      <c r="D6068">
        <v>58.207800132387852</v>
      </c>
      <c r="E6068" t="s">
        <v>94</v>
      </c>
      <c r="F6068">
        <v>654</v>
      </c>
      <c r="G6068" s="4">
        <v>46087.604456018518</v>
      </c>
    </row>
    <row r="6069" spans="1:7" x14ac:dyDescent="0.3">
      <c r="A6069">
        <v>23963</v>
      </c>
      <c r="B6069" t="s">
        <v>150</v>
      </c>
      <c r="C6069">
        <v>51024087</v>
      </c>
      <c r="D6069">
        <v>85.249721986392089</v>
      </c>
      <c r="E6069" t="s">
        <v>93</v>
      </c>
      <c r="F6069">
        <v>276</v>
      </c>
      <c r="G6069" s="4">
        <v>46087.604456018518</v>
      </c>
    </row>
    <row r="6070" spans="1:7" x14ac:dyDescent="0.3">
      <c r="A6070">
        <v>23964</v>
      </c>
      <c r="B6070" t="s">
        <v>150</v>
      </c>
      <c r="C6070">
        <v>51005171</v>
      </c>
      <c r="D6070">
        <v>82.931706577947693</v>
      </c>
      <c r="E6070" t="s">
        <v>93</v>
      </c>
      <c r="F6070">
        <v>357</v>
      </c>
      <c r="G6070" s="4">
        <v>46087.604456018518</v>
      </c>
    </row>
    <row r="6071" spans="1:7" x14ac:dyDescent="0.3">
      <c r="A6071">
        <v>23965</v>
      </c>
      <c r="B6071" t="s">
        <v>150</v>
      </c>
      <c r="C6071">
        <v>51005864</v>
      </c>
      <c r="D6071">
        <v>86.11680268072044</v>
      </c>
      <c r="E6071" t="s">
        <v>93</v>
      </c>
      <c r="F6071">
        <v>247</v>
      </c>
      <c r="G6071" s="4">
        <v>46087.604456018518</v>
      </c>
    </row>
    <row r="6072" spans="1:7" x14ac:dyDescent="0.3">
      <c r="A6072">
        <v>23966</v>
      </c>
      <c r="B6072" t="s">
        <v>150</v>
      </c>
      <c r="C6072">
        <v>51040317</v>
      </c>
      <c r="D6072">
        <v>88.582550780897421</v>
      </c>
      <c r="E6072" t="s">
        <v>92</v>
      </c>
      <c r="F6072">
        <v>180</v>
      </c>
      <c r="G6072" s="4">
        <v>46087.604456018518</v>
      </c>
    </row>
    <row r="6073" spans="1:7" x14ac:dyDescent="0.3">
      <c r="A6073">
        <v>23967</v>
      </c>
      <c r="B6073" t="s">
        <v>150</v>
      </c>
      <c r="C6073">
        <v>51003926</v>
      </c>
      <c r="D6073">
        <v>63.392086278292922</v>
      </c>
      <c r="E6073" t="s">
        <v>93</v>
      </c>
      <c r="F6073">
        <v>554</v>
      </c>
      <c r="G6073" s="4">
        <v>46087.604456018518</v>
      </c>
    </row>
    <row r="6074" spans="1:7" x14ac:dyDescent="0.3">
      <c r="A6074">
        <v>23968</v>
      </c>
      <c r="B6074" t="s">
        <v>150</v>
      </c>
      <c r="C6074">
        <v>51019911</v>
      </c>
      <c r="D6074">
        <v>23.87</v>
      </c>
      <c r="E6074" t="s">
        <v>94</v>
      </c>
      <c r="F6074">
        <v>923</v>
      </c>
      <c r="G6074" s="4">
        <v>46087.604456018518</v>
      </c>
    </row>
    <row r="6075" spans="1:7" x14ac:dyDescent="0.3">
      <c r="A6075">
        <v>23969</v>
      </c>
      <c r="B6075" t="s">
        <v>150</v>
      </c>
      <c r="C6075">
        <v>51022076</v>
      </c>
      <c r="D6075">
        <v>86.705968564452704</v>
      </c>
      <c r="E6075" t="s">
        <v>92</v>
      </c>
      <c r="F6075">
        <v>232</v>
      </c>
      <c r="G6075" s="4">
        <v>46087.604456018518</v>
      </c>
    </row>
    <row r="6076" spans="1:7" x14ac:dyDescent="0.3">
      <c r="A6076">
        <v>23970</v>
      </c>
      <c r="B6076" t="s">
        <v>150</v>
      </c>
      <c r="C6076">
        <v>51055217</v>
      </c>
      <c r="D6076">
        <v>69.070052462749118</v>
      </c>
      <c r="E6076" t="s">
        <v>93</v>
      </c>
      <c r="F6076">
        <v>518</v>
      </c>
      <c r="G6076" s="4">
        <v>46087.604456018518</v>
      </c>
    </row>
    <row r="6077" spans="1:7" x14ac:dyDescent="0.3">
      <c r="A6077">
        <v>23971</v>
      </c>
      <c r="B6077" t="s">
        <v>150</v>
      </c>
      <c r="C6077">
        <v>51036824</v>
      </c>
      <c r="D6077">
        <v>89.643700598622303</v>
      </c>
      <c r="E6077" t="s">
        <v>92</v>
      </c>
      <c r="F6077">
        <v>144</v>
      </c>
      <c r="G6077" s="4">
        <v>46087.604456018518</v>
      </c>
    </row>
    <row r="6078" spans="1:7" x14ac:dyDescent="0.3">
      <c r="A6078">
        <v>23972</v>
      </c>
      <c r="B6078" t="s">
        <v>150</v>
      </c>
      <c r="C6078">
        <v>51024940</v>
      </c>
      <c r="D6078">
        <v>83.497078165030487</v>
      </c>
      <c r="E6078" t="s">
        <v>93</v>
      </c>
      <c r="F6078">
        <v>332</v>
      </c>
      <c r="G6078" s="4">
        <v>46087.604456018518</v>
      </c>
    </row>
    <row r="6079" spans="1:7" x14ac:dyDescent="0.3">
      <c r="A6079">
        <v>23973</v>
      </c>
      <c r="B6079" t="s">
        <v>150</v>
      </c>
      <c r="C6079">
        <v>51033531</v>
      </c>
      <c r="D6079">
        <v>58.648881211872151</v>
      </c>
      <c r="E6079" t="s">
        <v>94</v>
      </c>
      <c r="F6079">
        <v>642</v>
      </c>
      <c r="G6079" s="4">
        <v>46087.604456018518</v>
      </c>
    </row>
    <row r="6080" spans="1:7" x14ac:dyDescent="0.3">
      <c r="A6080">
        <v>23974</v>
      </c>
      <c r="B6080" t="s">
        <v>150</v>
      </c>
      <c r="C6080">
        <v>51032454</v>
      </c>
      <c r="D6080">
        <v>21.349999999999998</v>
      </c>
      <c r="E6080" t="s">
        <v>95</v>
      </c>
      <c r="F6080">
        <v>958</v>
      </c>
      <c r="G6080" s="4">
        <v>46087.604456018518</v>
      </c>
    </row>
    <row r="6081" spans="1:7" x14ac:dyDescent="0.3">
      <c r="A6081">
        <v>23975</v>
      </c>
      <c r="B6081" t="s">
        <v>150</v>
      </c>
      <c r="C6081">
        <v>51014260</v>
      </c>
      <c r="D6081">
        <v>90.217456069758569</v>
      </c>
      <c r="E6081" t="s">
        <v>92</v>
      </c>
      <c r="F6081">
        <v>132</v>
      </c>
      <c r="G6081" s="4">
        <v>46087.604456018518</v>
      </c>
    </row>
    <row r="6082" spans="1:7" x14ac:dyDescent="0.3">
      <c r="A6082">
        <v>23976</v>
      </c>
      <c r="B6082" t="s">
        <v>150</v>
      </c>
      <c r="C6082">
        <v>51011414</v>
      </c>
      <c r="D6082">
        <v>56.330813909276877</v>
      </c>
      <c r="E6082" t="s">
        <v>94</v>
      </c>
      <c r="F6082">
        <v>695</v>
      </c>
      <c r="G6082" s="4">
        <v>46087.604456018518</v>
      </c>
    </row>
    <row r="6083" spans="1:7" x14ac:dyDescent="0.3">
      <c r="A6083">
        <v>23977</v>
      </c>
      <c r="B6083" t="s">
        <v>150</v>
      </c>
      <c r="C6083">
        <v>51018559</v>
      </c>
      <c r="D6083">
        <v>31.9</v>
      </c>
      <c r="E6083" t="s">
        <v>94</v>
      </c>
      <c r="F6083">
        <v>838</v>
      </c>
      <c r="G6083" s="4">
        <v>46087.604456018518</v>
      </c>
    </row>
    <row r="6084" spans="1:7" x14ac:dyDescent="0.3">
      <c r="A6084">
        <v>23978</v>
      </c>
      <c r="B6084" t="s">
        <v>150</v>
      </c>
      <c r="C6084">
        <v>51014308</v>
      </c>
      <c r="D6084">
        <v>81.612059762751855</v>
      </c>
      <c r="E6084" t="s">
        <v>93</v>
      </c>
      <c r="F6084">
        <v>397</v>
      </c>
      <c r="G6084" s="4">
        <v>46087.604456018518</v>
      </c>
    </row>
    <row r="6085" spans="1:7" x14ac:dyDescent="0.3">
      <c r="A6085">
        <v>23979</v>
      </c>
      <c r="B6085" t="s">
        <v>150</v>
      </c>
      <c r="C6085">
        <v>51056949</v>
      </c>
      <c r="D6085">
        <v>85.157238506176299</v>
      </c>
      <c r="E6085" t="s">
        <v>93</v>
      </c>
      <c r="F6085">
        <v>280</v>
      </c>
      <c r="G6085" s="4">
        <v>46087.604456018518</v>
      </c>
    </row>
    <row r="6086" spans="1:7" x14ac:dyDescent="0.3">
      <c r="A6086">
        <v>23980</v>
      </c>
      <c r="B6086" t="s">
        <v>150</v>
      </c>
      <c r="C6086">
        <v>51022173</v>
      </c>
      <c r="D6086">
        <v>84.885151023239629</v>
      </c>
      <c r="E6086" t="s">
        <v>93</v>
      </c>
      <c r="F6086">
        <v>287</v>
      </c>
      <c r="G6086" s="4">
        <v>46087.604456018518</v>
      </c>
    </row>
    <row r="6087" spans="1:7" x14ac:dyDescent="0.3">
      <c r="A6087">
        <v>23981</v>
      </c>
      <c r="B6087" t="s">
        <v>150</v>
      </c>
      <c r="C6087">
        <v>51023765</v>
      </c>
      <c r="D6087">
        <v>96.355224701242037</v>
      </c>
      <c r="E6087" t="s">
        <v>275</v>
      </c>
      <c r="F6087">
        <v>56</v>
      </c>
      <c r="G6087" s="4">
        <v>46087.604456018518</v>
      </c>
    </row>
    <row r="6088" spans="1:7" x14ac:dyDescent="0.3">
      <c r="A6088">
        <v>23982</v>
      </c>
      <c r="B6088" t="s">
        <v>150</v>
      </c>
      <c r="C6088">
        <v>51038908</v>
      </c>
      <c r="D6088">
        <v>86.918295979080739</v>
      </c>
      <c r="E6088" t="s">
        <v>92</v>
      </c>
      <c r="F6088">
        <v>226</v>
      </c>
      <c r="G6088" s="4">
        <v>46087.604456018518</v>
      </c>
    </row>
    <row r="6089" spans="1:7" x14ac:dyDescent="0.3">
      <c r="A6089">
        <v>23983</v>
      </c>
      <c r="B6089" t="s">
        <v>150</v>
      </c>
      <c r="C6089">
        <v>51013158</v>
      </c>
      <c r="D6089">
        <v>63.055228391489436</v>
      </c>
      <c r="E6089" t="s">
        <v>93</v>
      </c>
      <c r="F6089">
        <v>558</v>
      </c>
      <c r="G6089" s="4">
        <v>46087.604456018518</v>
      </c>
    </row>
    <row r="6090" spans="1:7" x14ac:dyDescent="0.3">
      <c r="A6090">
        <v>23984</v>
      </c>
      <c r="B6090" t="s">
        <v>150</v>
      </c>
      <c r="C6090">
        <v>51024176</v>
      </c>
      <c r="D6090">
        <v>52.768657166209167</v>
      </c>
      <c r="E6090" t="s">
        <v>94</v>
      </c>
      <c r="F6090">
        <v>725</v>
      </c>
      <c r="G6090" s="4">
        <v>46087.604456018518</v>
      </c>
    </row>
    <row r="6091" spans="1:7" x14ac:dyDescent="0.3">
      <c r="A6091">
        <v>23985</v>
      </c>
      <c r="B6091" t="s">
        <v>150</v>
      </c>
      <c r="C6091">
        <v>51000196</v>
      </c>
      <c r="D6091">
        <v>100</v>
      </c>
      <c r="E6091" t="s">
        <v>275</v>
      </c>
      <c r="F6091">
        <v>1</v>
      </c>
      <c r="G6091" s="4">
        <v>46087.604456018518</v>
      </c>
    </row>
    <row r="6092" spans="1:7" x14ac:dyDescent="0.3">
      <c r="A6092">
        <v>23986</v>
      </c>
      <c r="B6092" t="s">
        <v>150</v>
      </c>
      <c r="C6092">
        <v>51024672</v>
      </c>
      <c r="D6092">
        <v>88.513854371692105</v>
      </c>
      <c r="E6092" t="s">
        <v>92</v>
      </c>
      <c r="F6092">
        <v>182</v>
      </c>
      <c r="G6092" s="4">
        <v>46087.604456018518</v>
      </c>
    </row>
    <row r="6093" spans="1:7" x14ac:dyDescent="0.3">
      <c r="A6093">
        <v>23987</v>
      </c>
      <c r="B6093" t="s">
        <v>150</v>
      </c>
      <c r="C6093">
        <v>51021657</v>
      </c>
      <c r="D6093">
        <v>87.020378023194951</v>
      </c>
      <c r="E6093" t="s">
        <v>92</v>
      </c>
      <c r="F6093">
        <v>224</v>
      </c>
      <c r="G6093" s="4">
        <v>46087.604456018518</v>
      </c>
    </row>
    <row r="6094" spans="1:7" x14ac:dyDescent="0.3">
      <c r="A6094">
        <v>23988</v>
      </c>
      <c r="B6094" t="s">
        <v>150</v>
      </c>
      <c r="C6094">
        <v>51042263</v>
      </c>
      <c r="D6094">
        <v>64.426733314364526</v>
      </c>
      <c r="E6094" t="s">
        <v>93</v>
      </c>
      <c r="F6094">
        <v>545</v>
      </c>
      <c r="G6094" s="4">
        <v>46087.604456018518</v>
      </c>
    </row>
    <row r="6095" spans="1:7" x14ac:dyDescent="0.3">
      <c r="A6095">
        <v>23989</v>
      </c>
      <c r="B6095" t="s">
        <v>150</v>
      </c>
      <c r="C6095">
        <v>51055365</v>
      </c>
      <c r="D6095">
        <v>85.764544582021216</v>
      </c>
      <c r="E6095" t="s">
        <v>93</v>
      </c>
      <c r="F6095">
        <v>259</v>
      </c>
      <c r="G6095" s="4">
        <v>46087.604456018518</v>
      </c>
    </row>
    <row r="6096" spans="1:7" x14ac:dyDescent="0.3">
      <c r="A6096">
        <v>23990</v>
      </c>
      <c r="B6096" t="s">
        <v>150</v>
      </c>
      <c r="C6096">
        <v>51031385</v>
      </c>
      <c r="D6096">
        <v>82.849228768931098</v>
      </c>
      <c r="E6096" t="s">
        <v>93</v>
      </c>
      <c r="F6096">
        <v>360</v>
      </c>
      <c r="G6096" s="4">
        <v>46087.604456018518</v>
      </c>
    </row>
    <row r="6097" spans="1:7" x14ac:dyDescent="0.3">
      <c r="A6097">
        <v>23991</v>
      </c>
      <c r="B6097" t="s">
        <v>150</v>
      </c>
      <c r="C6097">
        <v>51041577</v>
      </c>
      <c r="D6097">
        <v>96.156396334011944</v>
      </c>
      <c r="E6097" t="s">
        <v>275</v>
      </c>
      <c r="F6097">
        <v>59</v>
      </c>
      <c r="G6097" s="4">
        <v>46087.604456018518</v>
      </c>
    </row>
    <row r="6098" spans="1:7" x14ac:dyDescent="0.3">
      <c r="A6098">
        <v>23992</v>
      </c>
      <c r="B6098" t="s">
        <v>150</v>
      </c>
      <c r="C6098">
        <v>51018877</v>
      </c>
      <c r="D6098">
        <v>21.738499999999998</v>
      </c>
      <c r="E6098" t="s">
        <v>94</v>
      </c>
      <c r="F6098">
        <v>950</v>
      </c>
      <c r="G6098" s="4">
        <v>46087.604456018518</v>
      </c>
    </row>
    <row r="6099" spans="1:7" x14ac:dyDescent="0.3">
      <c r="A6099">
        <v>23993</v>
      </c>
      <c r="B6099" t="s">
        <v>150</v>
      </c>
      <c r="C6099">
        <v>51030303</v>
      </c>
      <c r="D6099">
        <v>45.597153089354798</v>
      </c>
      <c r="E6099" t="s">
        <v>94</v>
      </c>
      <c r="F6099">
        <v>769</v>
      </c>
      <c r="G6099" s="4">
        <v>46087.604456018518</v>
      </c>
    </row>
    <row r="6100" spans="1:7" x14ac:dyDescent="0.3">
      <c r="A6100">
        <v>23994</v>
      </c>
      <c r="B6100" t="s">
        <v>150</v>
      </c>
      <c r="C6100">
        <v>51030613</v>
      </c>
      <c r="D6100">
        <v>80.634754001186607</v>
      </c>
      <c r="E6100" t="s">
        <v>93</v>
      </c>
      <c r="F6100">
        <v>424</v>
      </c>
      <c r="G6100" s="4">
        <v>46087.604456018518</v>
      </c>
    </row>
    <row r="6101" spans="1:7" x14ac:dyDescent="0.3">
      <c r="A6101">
        <v>23995</v>
      </c>
      <c r="B6101" t="s">
        <v>150</v>
      </c>
      <c r="C6101">
        <v>51033761</v>
      </c>
      <c r="D6101">
        <v>47.690447791746607</v>
      </c>
      <c r="E6101" t="s">
        <v>94</v>
      </c>
      <c r="F6101">
        <v>756</v>
      </c>
      <c r="G6101" s="4">
        <v>46087.604456018518</v>
      </c>
    </row>
    <row r="6102" spans="1:7" x14ac:dyDescent="0.3">
      <c r="A6102">
        <v>23996</v>
      </c>
      <c r="B6102" t="s">
        <v>150</v>
      </c>
      <c r="C6102">
        <v>51023170</v>
      </c>
      <c r="D6102">
        <v>62.248865950461898</v>
      </c>
      <c r="E6102" t="s">
        <v>93</v>
      </c>
      <c r="F6102">
        <v>574</v>
      </c>
      <c r="G6102" s="4">
        <v>46087.604456018518</v>
      </c>
    </row>
    <row r="6103" spans="1:7" x14ac:dyDescent="0.3">
      <c r="A6103">
        <v>23997</v>
      </c>
      <c r="B6103" t="s">
        <v>150</v>
      </c>
      <c r="C6103">
        <v>51030079</v>
      </c>
      <c r="D6103">
        <v>85.038700550324592</v>
      </c>
      <c r="E6103" t="s">
        <v>93</v>
      </c>
      <c r="F6103">
        <v>283</v>
      </c>
      <c r="G6103" s="4">
        <v>46087.604456018518</v>
      </c>
    </row>
    <row r="6104" spans="1:7" x14ac:dyDescent="0.3">
      <c r="A6104">
        <v>23998</v>
      </c>
      <c r="B6104" t="s">
        <v>150</v>
      </c>
      <c r="C6104">
        <v>51034317</v>
      </c>
      <c r="D6104">
        <v>59.887255147295747</v>
      </c>
      <c r="E6104" t="s">
        <v>94</v>
      </c>
      <c r="F6104">
        <v>622</v>
      </c>
      <c r="G6104" s="4">
        <v>46087.604456018518</v>
      </c>
    </row>
    <row r="6105" spans="1:7" x14ac:dyDescent="0.3">
      <c r="A6105">
        <v>23999</v>
      </c>
      <c r="B6105" t="s">
        <v>150</v>
      </c>
      <c r="C6105">
        <v>51012666</v>
      </c>
      <c r="D6105">
        <v>68.594460085834768</v>
      </c>
      <c r="E6105" t="s">
        <v>93</v>
      </c>
      <c r="F6105">
        <v>522</v>
      </c>
      <c r="G6105" s="4">
        <v>46087.604456018518</v>
      </c>
    </row>
    <row r="6106" spans="1:7" x14ac:dyDescent="0.3">
      <c r="A6106">
        <v>24000</v>
      </c>
      <c r="B6106" t="s">
        <v>150</v>
      </c>
      <c r="C6106">
        <v>51036247</v>
      </c>
      <c r="D6106">
        <v>18.829999999999998</v>
      </c>
      <c r="E6106" t="s">
        <v>95</v>
      </c>
      <c r="F6106">
        <v>1010</v>
      </c>
      <c r="G6106" s="4">
        <v>46087.604456018518</v>
      </c>
    </row>
    <row r="6107" spans="1:7" x14ac:dyDescent="0.3">
      <c r="A6107">
        <v>24001</v>
      </c>
      <c r="B6107" t="s">
        <v>150</v>
      </c>
      <c r="C6107">
        <v>51011325</v>
      </c>
      <c r="D6107">
        <v>47.507170974705211</v>
      </c>
      <c r="E6107" t="s">
        <v>94</v>
      </c>
      <c r="F6107">
        <v>757</v>
      </c>
      <c r="G6107" s="4">
        <v>46087.604456018518</v>
      </c>
    </row>
    <row r="6108" spans="1:7" x14ac:dyDescent="0.3">
      <c r="A6108">
        <v>24002</v>
      </c>
      <c r="B6108" t="s">
        <v>150</v>
      </c>
      <c r="C6108">
        <v>51004469</v>
      </c>
      <c r="D6108">
        <v>57.101401987474254</v>
      </c>
      <c r="E6108" t="s">
        <v>94</v>
      </c>
      <c r="F6108">
        <v>681</v>
      </c>
      <c r="G6108" s="4">
        <v>46087.604456018518</v>
      </c>
    </row>
    <row r="6109" spans="1:7" x14ac:dyDescent="0.3">
      <c r="A6109">
        <v>24003</v>
      </c>
      <c r="B6109" t="s">
        <v>150</v>
      </c>
      <c r="C6109">
        <v>51020251</v>
      </c>
      <c r="D6109">
        <v>37.972160489671403</v>
      </c>
      <c r="E6109" t="s">
        <v>94</v>
      </c>
      <c r="F6109">
        <v>795</v>
      </c>
      <c r="G6109" s="4">
        <v>46087.604456018518</v>
      </c>
    </row>
    <row r="6110" spans="1:7" x14ac:dyDescent="0.3">
      <c r="A6110">
        <v>24004</v>
      </c>
      <c r="B6110" t="s">
        <v>150</v>
      </c>
      <c r="C6110">
        <v>51016793</v>
      </c>
      <c r="D6110">
        <v>46.992905910032327</v>
      </c>
      <c r="E6110" t="s">
        <v>94</v>
      </c>
      <c r="F6110">
        <v>760</v>
      </c>
      <c r="G6110" s="4">
        <v>46087.604456018518</v>
      </c>
    </row>
    <row r="6111" spans="1:7" x14ac:dyDescent="0.3">
      <c r="A6111">
        <v>24005</v>
      </c>
      <c r="B6111" t="s">
        <v>150</v>
      </c>
      <c r="C6111">
        <v>51015401</v>
      </c>
      <c r="D6111">
        <v>98.192790569450636</v>
      </c>
      <c r="E6111" t="s">
        <v>275</v>
      </c>
      <c r="F6111">
        <v>36</v>
      </c>
      <c r="G6111" s="4">
        <v>46087.604456018518</v>
      </c>
    </row>
    <row r="6112" spans="1:7" x14ac:dyDescent="0.3">
      <c r="A6112">
        <v>24006</v>
      </c>
      <c r="B6112" t="s">
        <v>150</v>
      </c>
      <c r="C6112">
        <v>51056281</v>
      </c>
      <c r="D6112">
        <v>84.299881903358312</v>
      </c>
      <c r="E6112" t="s">
        <v>93</v>
      </c>
      <c r="F6112">
        <v>306</v>
      </c>
      <c r="G6112" s="4">
        <v>46087.604456018518</v>
      </c>
    </row>
    <row r="6113" spans="1:7" x14ac:dyDescent="0.3">
      <c r="A6113">
        <v>24007</v>
      </c>
      <c r="B6113" t="s">
        <v>150</v>
      </c>
      <c r="C6113">
        <v>51055012</v>
      </c>
      <c r="D6113">
        <v>59.61358250042101</v>
      </c>
      <c r="E6113" t="s">
        <v>94</v>
      </c>
      <c r="F6113">
        <v>627</v>
      </c>
      <c r="G6113" s="4">
        <v>46087.604456018518</v>
      </c>
    </row>
    <row r="6114" spans="1:7" x14ac:dyDescent="0.3">
      <c r="A6114">
        <v>24008</v>
      </c>
      <c r="B6114" t="s">
        <v>150</v>
      </c>
      <c r="C6114">
        <v>51006615</v>
      </c>
      <c r="D6114">
        <v>84.937470449615148</v>
      </c>
      <c r="E6114" t="s">
        <v>93</v>
      </c>
      <c r="F6114">
        <v>286</v>
      </c>
      <c r="G6114" s="4">
        <v>46087.604456018518</v>
      </c>
    </row>
    <row r="6115" spans="1:7" x14ac:dyDescent="0.3">
      <c r="A6115">
        <v>24009</v>
      </c>
      <c r="B6115" t="s">
        <v>150</v>
      </c>
      <c r="C6115">
        <v>51011724</v>
      </c>
      <c r="D6115">
        <v>88.719609912336523</v>
      </c>
      <c r="E6115" t="s">
        <v>92</v>
      </c>
      <c r="F6115">
        <v>176</v>
      </c>
      <c r="G6115" s="4">
        <v>46087.604456018518</v>
      </c>
    </row>
    <row r="6116" spans="1:7" x14ac:dyDescent="0.3">
      <c r="A6116">
        <v>24010</v>
      </c>
      <c r="B6116" t="s">
        <v>150</v>
      </c>
      <c r="C6116">
        <v>51010469</v>
      </c>
      <c r="D6116">
        <v>60.147605787429853</v>
      </c>
      <c r="E6116" t="s">
        <v>94</v>
      </c>
      <c r="F6116">
        <v>614</v>
      </c>
      <c r="G6116" s="4">
        <v>46087.604456018518</v>
      </c>
    </row>
    <row r="6117" spans="1:7" x14ac:dyDescent="0.3">
      <c r="A6117">
        <v>24011</v>
      </c>
      <c r="B6117" t="s">
        <v>150</v>
      </c>
      <c r="C6117">
        <v>51056191</v>
      </c>
      <c r="D6117">
        <v>71.565725976978072</v>
      </c>
      <c r="E6117" t="s">
        <v>93</v>
      </c>
      <c r="F6117">
        <v>501</v>
      </c>
      <c r="G6117" s="4">
        <v>46087.604456018518</v>
      </c>
    </row>
    <row r="6118" spans="1:7" x14ac:dyDescent="0.3">
      <c r="A6118">
        <v>24012</v>
      </c>
      <c r="B6118" t="s">
        <v>150</v>
      </c>
      <c r="C6118">
        <v>51023781</v>
      </c>
      <c r="D6118">
        <v>92.918915687393678</v>
      </c>
      <c r="E6118" t="s">
        <v>92</v>
      </c>
      <c r="F6118">
        <v>90</v>
      </c>
      <c r="G6118" s="4">
        <v>46087.604456018518</v>
      </c>
    </row>
    <row r="6119" spans="1:7" x14ac:dyDescent="0.3">
      <c r="A6119">
        <v>24013</v>
      </c>
      <c r="B6119" t="s">
        <v>150</v>
      </c>
      <c r="C6119">
        <v>51056221</v>
      </c>
      <c r="D6119">
        <v>25.18</v>
      </c>
      <c r="E6119" t="s">
        <v>94</v>
      </c>
      <c r="F6119">
        <v>913</v>
      </c>
      <c r="G6119" s="4">
        <v>46087.604456018518</v>
      </c>
    </row>
    <row r="6120" spans="1:7" x14ac:dyDescent="0.3">
      <c r="A6120">
        <v>24014</v>
      </c>
      <c r="B6120" t="s">
        <v>150</v>
      </c>
      <c r="C6120">
        <v>51018443</v>
      </c>
      <c r="D6120">
        <v>83.114747453590937</v>
      </c>
      <c r="E6120" t="s">
        <v>93</v>
      </c>
      <c r="F6120">
        <v>349</v>
      </c>
      <c r="G6120" s="4">
        <v>46087.604456018518</v>
      </c>
    </row>
    <row r="6121" spans="1:7" x14ac:dyDescent="0.3">
      <c r="A6121">
        <v>24015</v>
      </c>
      <c r="B6121" t="s">
        <v>150</v>
      </c>
      <c r="C6121">
        <v>51023757</v>
      </c>
      <c r="D6121">
        <v>100</v>
      </c>
      <c r="E6121" t="s">
        <v>275</v>
      </c>
      <c r="F6121">
        <v>1</v>
      </c>
      <c r="G6121" s="4">
        <v>46087.604456018518</v>
      </c>
    </row>
    <row r="6122" spans="1:7" x14ac:dyDescent="0.3">
      <c r="A6122">
        <v>24016</v>
      </c>
      <c r="B6122" t="s">
        <v>150</v>
      </c>
      <c r="C6122">
        <v>51055357</v>
      </c>
      <c r="D6122">
        <v>92.11594509057889</v>
      </c>
      <c r="E6122" t="s">
        <v>92</v>
      </c>
      <c r="F6122">
        <v>105</v>
      </c>
      <c r="G6122" s="4">
        <v>46087.604456018518</v>
      </c>
    </row>
    <row r="6123" spans="1:7" x14ac:dyDescent="0.3">
      <c r="A6123">
        <v>24017</v>
      </c>
      <c r="B6123" t="s">
        <v>150</v>
      </c>
      <c r="C6123">
        <v>51021576</v>
      </c>
      <c r="D6123">
        <v>90.47018227449675</v>
      </c>
      <c r="E6123" t="s">
        <v>92</v>
      </c>
      <c r="F6123">
        <v>125</v>
      </c>
      <c r="G6123" s="4">
        <v>46087.604456018518</v>
      </c>
    </row>
    <row r="6124" spans="1:7" x14ac:dyDescent="0.3">
      <c r="A6124">
        <v>24018</v>
      </c>
      <c r="B6124" t="s">
        <v>150</v>
      </c>
      <c r="C6124">
        <v>51018591</v>
      </c>
      <c r="D6124">
        <v>89.266575657998047</v>
      </c>
      <c r="E6124" t="s">
        <v>92</v>
      </c>
      <c r="F6124">
        <v>158</v>
      </c>
      <c r="G6124" s="4">
        <v>46087.604456018518</v>
      </c>
    </row>
    <row r="6125" spans="1:7" x14ac:dyDescent="0.3">
      <c r="A6125">
        <v>24019</v>
      </c>
      <c r="B6125" t="s">
        <v>150</v>
      </c>
      <c r="C6125">
        <v>51023471</v>
      </c>
      <c r="D6125">
        <v>88.299042038386347</v>
      </c>
      <c r="E6125" t="s">
        <v>92</v>
      </c>
      <c r="F6125">
        <v>189</v>
      </c>
      <c r="G6125" s="4">
        <v>46087.604456018518</v>
      </c>
    </row>
    <row r="6126" spans="1:7" x14ac:dyDescent="0.3">
      <c r="A6126">
        <v>24020</v>
      </c>
      <c r="B6126" t="s">
        <v>150</v>
      </c>
      <c r="C6126">
        <v>51031393</v>
      </c>
      <c r="D6126">
        <v>93.809236479479452</v>
      </c>
      <c r="E6126" t="s">
        <v>92</v>
      </c>
      <c r="F6126">
        <v>79</v>
      </c>
      <c r="G6126" s="4">
        <v>46087.604456018518</v>
      </c>
    </row>
    <row r="6127" spans="1:7" x14ac:dyDescent="0.3">
      <c r="A6127">
        <v>24021</v>
      </c>
      <c r="B6127" t="s">
        <v>150</v>
      </c>
      <c r="C6127">
        <v>51025971</v>
      </c>
      <c r="D6127">
        <v>86.43439363450436</v>
      </c>
      <c r="E6127" t="s">
        <v>93</v>
      </c>
      <c r="F6127">
        <v>241</v>
      </c>
      <c r="G6127" s="4">
        <v>46087.604456018518</v>
      </c>
    </row>
    <row r="6128" spans="1:7" x14ac:dyDescent="0.3">
      <c r="A6128">
        <v>24022</v>
      </c>
      <c r="B6128" t="s">
        <v>150</v>
      </c>
      <c r="C6128">
        <v>51020880</v>
      </c>
      <c r="D6128">
        <v>100</v>
      </c>
      <c r="E6128" t="s">
        <v>275</v>
      </c>
      <c r="F6128">
        <v>1</v>
      </c>
      <c r="G6128" s="4">
        <v>46087.604456018518</v>
      </c>
    </row>
    <row r="6129" spans="1:7" x14ac:dyDescent="0.3">
      <c r="A6129">
        <v>24023</v>
      </c>
      <c r="B6129" t="s">
        <v>150</v>
      </c>
      <c r="C6129">
        <v>51023056</v>
      </c>
      <c r="D6129">
        <v>83.175060091818381</v>
      </c>
      <c r="E6129" t="s">
        <v>93</v>
      </c>
      <c r="F6129">
        <v>345</v>
      </c>
      <c r="G6129" s="4">
        <v>46087.604456018518</v>
      </c>
    </row>
    <row r="6130" spans="1:7" x14ac:dyDescent="0.3">
      <c r="A6130">
        <v>24024</v>
      </c>
      <c r="B6130" t="s">
        <v>150</v>
      </c>
      <c r="C6130">
        <v>51022688</v>
      </c>
      <c r="D6130">
        <v>89.000642557825174</v>
      </c>
      <c r="E6130" t="s">
        <v>92</v>
      </c>
      <c r="F6130">
        <v>167</v>
      </c>
      <c r="G6130" s="4">
        <v>46087.604456018518</v>
      </c>
    </row>
    <row r="6131" spans="1:7" x14ac:dyDescent="0.3">
      <c r="A6131">
        <v>24025</v>
      </c>
      <c r="B6131" t="s">
        <v>150</v>
      </c>
      <c r="C6131">
        <v>51012747</v>
      </c>
      <c r="D6131">
        <v>28.693467834665885</v>
      </c>
      <c r="E6131" t="s">
        <v>94</v>
      </c>
      <c r="F6131">
        <v>879</v>
      </c>
      <c r="G6131" s="4">
        <v>46087.604456018518</v>
      </c>
    </row>
    <row r="6132" spans="1:7" x14ac:dyDescent="0.3">
      <c r="A6132">
        <v>24026</v>
      </c>
      <c r="B6132" t="s">
        <v>150</v>
      </c>
      <c r="C6132">
        <v>51032900</v>
      </c>
      <c r="D6132">
        <v>92.855521241793838</v>
      </c>
      <c r="E6132" t="s">
        <v>92</v>
      </c>
      <c r="F6132">
        <v>92</v>
      </c>
      <c r="G6132" s="4">
        <v>46087.604456018518</v>
      </c>
    </row>
    <row r="6133" spans="1:7" x14ac:dyDescent="0.3">
      <c r="A6133">
        <v>24027</v>
      </c>
      <c r="B6133" t="s">
        <v>150</v>
      </c>
      <c r="C6133">
        <v>51056434</v>
      </c>
      <c r="D6133">
        <v>82.411755435019359</v>
      </c>
      <c r="E6133" t="s">
        <v>93</v>
      </c>
      <c r="F6133">
        <v>377</v>
      </c>
      <c r="G6133" s="4">
        <v>46087.604456018518</v>
      </c>
    </row>
    <row r="6134" spans="1:7" x14ac:dyDescent="0.3">
      <c r="A6134">
        <v>24028</v>
      </c>
      <c r="B6134" t="s">
        <v>150</v>
      </c>
      <c r="C6134">
        <v>51019261</v>
      </c>
      <c r="D6134">
        <v>38.381088765950786</v>
      </c>
      <c r="E6134" t="s">
        <v>94</v>
      </c>
      <c r="F6134">
        <v>794</v>
      </c>
      <c r="G6134" s="4">
        <v>46087.604456018518</v>
      </c>
    </row>
    <row r="6135" spans="1:7" x14ac:dyDescent="0.3">
      <c r="A6135">
        <v>24029</v>
      </c>
      <c r="B6135" t="s">
        <v>150</v>
      </c>
      <c r="C6135">
        <v>51018486</v>
      </c>
      <c r="D6135">
        <v>60.723106498139302</v>
      </c>
      <c r="E6135" t="s">
        <v>94</v>
      </c>
      <c r="F6135">
        <v>604</v>
      </c>
      <c r="G6135" s="4">
        <v>46087.604456018518</v>
      </c>
    </row>
    <row r="6136" spans="1:7" x14ac:dyDescent="0.3">
      <c r="A6136">
        <v>24030</v>
      </c>
      <c r="B6136" t="s">
        <v>150</v>
      </c>
      <c r="C6136">
        <v>51005732</v>
      </c>
      <c r="D6136">
        <v>88.862012314052507</v>
      </c>
      <c r="E6136" t="s">
        <v>92</v>
      </c>
      <c r="F6136">
        <v>171</v>
      </c>
      <c r="G6136" s="4">
        <v>46087.604456018518</v>
      </c>
    </row>
    <row r="6137" spans="1:7" x14ac:dyDescent="0.3">
      <c r="A6137">
        <v>24031</v>
      </c>
      <c r="B6137" t="s">
        <v>150</v>
      </c>
      <c r="C6137">
        <v>51039785</v>
      </c>
      <c r="D6137">
        <v>59.459445565826762</v>
      </c>
      <c r="E6137" t="s">
        <v>94</v>
      </c>
      <c r="F6137">
        <v>631</v>
      </c>
      <c r="G6137" s="4">
        <v>46087.604456018518</v>
      </c>
    </row>
    <row r="6138" spans="1:7" x14ac:dyDescent="0.3">
      <c r="A6138">
        <v>24032</v>
      </c>
      <c r="B6138" t="s">
        <v>150</v>
      </c>
      <c r="C6138">
        <v>51025865</v>
      </c>
      <c r="D6138">
        <v>90.777991458378253</v>
      </c>
      <c r="E6138" t="s">
        <v>92</v>
      </c>
      <c r="F6138">
        <v>118</v>
      </c>
      <c r="G6138" s="4">
        <v>46087.604456018518</v>
      </c>
    </row>
    <row r="6139" spans="1:7" x14ac:dyDescent="0.3">
      <c r="A6139">
        <v>24033</v>
      </c>
      <c r="B6139" t="s">
        <v>150</v>
      </c>
      <c r="C6139">
        <v>51015657</v>
      </c>
      <c r="D6139">
        <v>95.726246872452251</v>
      </c>
      <c r="E6139" t="s">
        <v>92</v>
      </c>
      <c r="F6139">
        <v>63</v>
      </c>
      <c r="G6139" s="4">
        <v>46087.604456018518</v>
      </c>
    </row>
    <row r="6140" spans="1:7" x14ac:dyDescent="0.3">
      <c r="A6140">
        <v>24034</v>
      </c>
      <c r="B6140" t="s">
        <v>150</v>
      </c>
      <c r="C6140">
        <v>51001168</v>
      </c>
      <c r="D6140">
        <v>86.315774592311215</v>
      </c>
      <c r="E6140" t="s">
        <v>93</v>
      </c>
      <c r="F6140">
        <v>243</v>
      </c>
      <c r="G6140" s="4">
        <v>46087.604456018518</v>
      </c>
    </row>
    <row r="6141" spans="1:7" x14ac:dyDescent="0.3">
      <c r="A6141">
        <v>24035</v>
      </c>
      <c r="B6141" t="s">
        <v>150</v>
      </c>
      <c r="C6141">
        <v>51021380</v>
      </c>
      <c r="D6141">
        <v>83.995761270236244</v>
      </c>
      <c r="E6141" t="s">
        <v>93</v>
      </c>
      <c r="F6141">
        <v>322</v>
      </c>
      <c r="G6141" s="4">
        <v>46087.604456018518</v>
      </c>
    </row>
    <row r="6142" spans="1:7" x14ac:dyDescent="0.3">
      <c r="A6142">
        <v>24036</v>
      </c>
      <c r="B6142" t="s">
        <v>150</v>
      </c>
      <c r="C6142">
        <v>51011970</v>
      </c>
      <c r="D6142">
        <v>89.559877011031475</v>
      </c>
      <c r="E6142" t="s">
        <v>92</v>
      </c>
      <c r="F6142">
        <v>148</v>
      </c>
      <c r="G6142" s="4">
        <v>46087.604456018518</v>
      </c>
    </row>
    <row r="6143" spans="1:7" x14ac:dyDescent="0.3">
      <c r="A6143">
        <v>24037</v>
      </c>
      <c r="B6143" t="s">
        <v>150</v>
      </c>
      <c r="C6143">
        <v>51036697</v>
      </c>
      <c r="D6143">
        <v>81.77681610268867</v>
      </c>
      <c r="E6143" t="s">
        <v>93</v>
      </c>
      <c r="F6143">
        <v>391</v>
      </c>
      <c r="G6143" s="4">
        <v>46087.604456018518</v>
      </c>
    </row>
    <row r="6144" spans="1:7" x14ac:dyDescent="0.3">
      <c r="A6144">
        <v>24038</v>
      </c>
      <c r="B6144" t="s">
        <v>150</v>
      </c>
      <c r="C6144">
        <v>51009061</v>
      </c>
      <c r="D6144">
        <v>63.010582313801827</v>
      </c>
      <c r="E6144" t="s">
        <v>93</v>
      </c>
      <c r="F6144">
        <v>559</v>
      </c>
      <c r="G6144" s="4">
        <v>46087.604456018518</v>
      </c>
    </row>
    <row r="6145" spans="1:7" x14ac:dyDescent="0.3">
      <c r="A6145">
        <v>24039</v>
      </c>
      <c r="B6145" t="s">
        <v>150</v>
      </c>
      <c r="C6145">
        <v>51013824</v>
      </c>
      <c r="D6145">
        <v>89.742439312069735</v>
      </c>
      <c r="E6145" t="s">
        <v>92</v>
      </c>
      <c r="F6145">
        <v>142</v>
      </c>
      <c r="G6145" s="4">
        <v>46087.604456018518</v>
      </c>
    </row>
    <row r="6146" spans="1:7" x14ac:dyDescent="0.3">
      <c r="A6146">
        <v>24040</v>
      </c>
      <c r="B6146" t="s">
        <v>150</v>
      </c>
      <c r="C6146">
        <v>51009240</v>
      </c>
      <c r="D6146">
        <v>84.166357608413577</v>
      </c>
      <c r="E6146" t="s">
        <v>93</v>
      </c>
      <c r="F6146">
        <v>314</v>
      </c>
      <c r="G6146" s="4">
        <v>46087.604456018518</v>
      </c>
    </row>
    <row r="6147" spans="1:7" x14ac:dyDescent="0.3">
      <c r="A6147">
        <v>24041</v>
      </c>
      <c r="B6147" t="s">
        <v>150</v>
      </c>
      <c r="C6147">
        <v>51001061</v>
      </c>
      <c r="D6147">
        <v>84.257308746317179</v>
      </c>
      <c r="E6147" t="s">
        <v>93</v>
      </c>
      <c r="F6147">
        <v>309</v>
      </c>
      <c r="G6147" s="4">
        <v>46087.604456018518</v>
      </c>
    </row>
    <row r="6148" spans="1:7" x14ac:dyDescent="0.3">
      <c r="A6148">
        <v>24042</v>
      </c>
      <c r="B6148" t="s">
        <v>150</v>
      </c>
      <c r="C6148">
        <v>51018621</v>
      </c>
      <c r="D6148">
        <v>56.977361951392794</v>
      </c>
      <c r="E6148" t="s">
        <v>94</v>
      </c>
      <c r="F6148">
        <v>682</v>
      </c>
      <c r="G6148" s="4">
        <v>46087.604456018518</v>
      </c>
    </row>
    <row r="6149" spans="1:7" x14ac:dyDescent="0.3">
      <c r="A6149">
        <v>24043</v>
      </c>
      <c r="B6149" t="s">
        <v>150</v>
      </c>
      <c r="C6149">
        <v>51011031</v>
      </c>
      <c r="D6149">
        <v>89.183751343192654</v>
      </c>
      <c r="E6149" t="s">
        <v>92</v>
      </c>
      <c r="F6149">
        <v>162</v>
      </c>
      <c r="G6149" s="4">
        <v>46087.604456018518</v>
      </c>
    </row>
    <row r="6150" spans="1:7" x14ac:dyDescent="0.3">
      <c r="A6150">
        <v>24044</v>
      </c>
      <c r="B6150" t="s">
        <v>150</v>
      </c>
      <c r="C6150">
        <v>51013239</v>
      </c>
      <c r="D6150">
        <v>89.228574975896436</v>
      </c>
      <c r="E6150" t="s">
        <v>92</v>
      </c>
      <c r="F6150">
        <v>160</v>
      </c>
      <c r="G6150" s="4">
        <v>46087.604456018518</v>
      </c>
    </row>
    <row r="6151" spans="1:7" x14ac:dyDescent="0.3">
      <c r="A6151">
        <v>24045</v>
      </c>
      <c r="B6151" t="s">
        <v>150</v>
      </c>
      <c r="C6151">
        <v>51030281</v>
      </c>
      <c r="D6151">
        <v>61.81026052275579</v>
      </c>
      <c r="E6151" t="s">
        <v>93</v>
      </c>
      <c r="F6151">
        <v>584</v>
      </c>
      <c r="G6151" s="4">
        <v>46087.604456018518</v>
      </c>
    </row>
    <row r="6152" spans="1:7" x14ac:dyDescent="0.3">
      <c r="A6152">
        <v>24046</v>
      </c>
      <c r="B6152" t="s">
        <v>150</v>
      </c>
      <c r="C6152">
        <v>51055829</v>
      </c>
      <c r="D6152">
        <v>61.455854179985067</v>
      </c>
      <c r="E6152" t="s">
        <v>93</v>
      </c>
      <c r="F6152">
        <v>590</v>
      </c>
      <c r="G6152" s="4">
        <v>46087.604456018518</v>
      </c>
    </row>
    <row r="6153" spans="1:7" x14ac:dyDescent="0.3">
      <c r="A6153">
        <v>24047</v>
      </c>
      <c r="B6153" t="s">
        <v>150</v>
      </c>
      <c r="C6153">
        <v>51023919</v>
      </c>
      <c r="D6153">
        <v>75.724844198183902</v>
      </c>
      <c r="E6153" t="s">
        <v>93</v>
      </c>
      <c r="F6153">
        <v>469</v>
      </c>
      <c r="G6153" s="4">
        <v>46087.604456018518</v>
      </c>
    </row>
    <row r="6154" spans="1:7" x14ac:dyDescent="0.3">
      <c r="A6154">
        <v>24048</v>
      </c>
      <c r="B6154" t="s">
        <v>150</v>
      </c>
      <c r="C6154">
        <v>51031610</v>
      </c>
      <c r="D6154">
        <v>63.861228271095868</v>
      </c>
      <c r="E6154" t="s">
        <v>93</v>
      </c>
      <c r="F6154">
        <v>550</v>
      </c>
      <c r="G6154" s="4">
        <v>46087.604456018518</v>
      </c>
    </row>
    <row r="6155" spans="1:7" x14ac:dyDescent="0.3">
      <c r="A6155">
        <v>24049</v>
      </c>
      <c r="B6155" t="s">
        <v>150</v>
      </c>
      <c r="C6155">
        <v>51024141</v>
      </c>
      <c r="D6155">
        <v>100</v>
      </c>
      <c r="E6155" t="s">
        <v>275</v>
      </c>
      <c r="F6155">
        <v>1</v>
      </c>
      <c r="G6155" s="4">
        <v>46087.604456018518</v>
      </c>
    </row>
    <row r="6156" spans="1:7" x14ac:dyDescent="0.3">
      <c r="A6156">
        <v>24050</v>
      </c>
      <c r="B6156" t="s">
        <v>150</v>
      </c>
      <c r="C6156">
        <v>51023137</v>
      </c>
      <c r="D6156">
        <v>100</v>
      </c>
      <c r="E6156" t="s">
        <v>275</v>
      </c>
      <c r="F6156">
        <v>1</v>
      </c>
      <c r="G6156" s="4">
        <v>46087.604456018518</v>
      </c>
    </row>
    <row r="6157" spans="1:7" x14ac:dyDescent="0.3">
      <c r="A6157">
        <v>24051</v>
      </c>
      <c r="B6157" t="s">
        <v>150</v>
      </c>
      <c r="C6157">
        <v>51026578</v>
      </c>
      <c r="D6157">
        <v>62.992914404725639</v>
      </c>
      <c r="E6157" t="s">
        <v>93</v>
      </c>
      <c r="F6157">
        <v>560</v>
      </c>
      <c r="G6157" s="4">
        <v>46087.604456018518</v>
      </c>
    </row>
    <row r="6158" spans="1:7" x14ac:dyDescent="0.3">
      <c r="A6158">
        <v>24052</v>
      </c>
      <c r="B6158" t="s">
        <v>150</v>
      </c>
      <c r="C6158">
        <v>51017986</v>
      </c>
      <c r="D6158">
        <v>93.138068784179595</v>
      </c>
      <c r="E6158" t="s">
        <v>92</v>
      </c>
      <c r="F6158">
        <v>89</v>
      </c>
      <c r="G6158" s="4">
        <v>46087.604456018518</v>
      </c>
    </row>
    <row r="6159" spans="1:7" x14ac:dyDescent="0.3">
      <c r="A6159">
        <v>24053</v>
      </c>
      <c r="B6159" t="s">
        <v>150</v>
      </c>
      <c r="C6159">
        <v>51055373</v>
      </c>
      <c r="D6159">
        <v>78.921881569050683</v>
      </c>
      <c r="E6159" t="s">
        <v>93</v>
      </c>
      <c r="F6159">
        <v>448</v>
      </c>
      <c r="G6159" s="4">
        <v>46087.604456018518</v>
      </c>
    </row>
    <row r="6160" spans="1:7" x14ac:dyDescent="0.3">
      <c r="A6160">
        <v>24054</v>
      </c>
      <c r="B6160" t="s">
        <v>150</v>
      </c>
      <c r="C6160">
        <v>51013794</v>
      </c>
      <c r="D6160">
        <v>28.98</v>
      </c>
      <c r="E6160" t="s">
        <v>94</v>
      </c>
      <c r="F6160">
        <v>877</v>
      </c>
      <c r="G6160" s="4">
        <v>46087.604456018518</v>
      </c>
    </row>
    <row r="6161" spans="1:7" x14ac:dyDescent="0.3">
      <c r="A6161">
        <v>24055</v>
      </c>
      <c r="B6161" t="s">
        <v>150</v>
      </c>
      <c r="C6161">
        <v>51033141</v>
      </c>
      <c r="D6161">
        <v>53.036452045862518</v>
      </c>
      <c r="E6161" t="s">
        <v>94</v>
      </c>
      <c r="F6161">
        <v>724</v>
      </c>
      <c r="G6161" s="4">
        <v>46087.604456018518</v>
      </c>
    </row>
    <row r="6162" spans="1:7" x14ac:dyDescent="0.3">
      <c r="A6162">
        <v>24056</v>
      </c>
      <c r="B6162" t="s">
        <v>150</v>
      </c>
      <c r="C6162">
        <v>51056612</v>
      </c>
      <c r="D6162">
        <v>88.88048675952129</v>
      </c>
      <c r="E6162" t="s">
        <v>92</v>
      </c>
      <c r="F6162">
        <v>170</v>
      </c>
      <c r="G6162" s="4">
        <v>46087.604456018518</v>
      </c>
    </row>
    <row r="6163" spans="1:7" x14ac:dyDescent="0.3">
      <c r="A6163">
        <v>24057</v>
      </c>
      <c r="B6163" t="s">
        <v>150</v>
      </c>
      <c r="C6163">
        <v>51032071</v>
      </c>
      <c r="D6163">
        <v>90.409202400451818</v>
      </c>
      <c r="E6163" t="s">
        <v>92</v>
      </c>
      <c r="F6163">
        <v>127</v>
      </c>
      <c r="G6163" s="4">
        <v>46087.604456018518</v>
      </c>
    </row>
    <row r="6164" spans="1:7" x14ac:dyDescent="0.3">
      <c r="A6164">
        <v>24058</v>
      </c>
      <c r="B6164" t="s">
        <v>150</v>
      </c>
      <c r="C6164">
        <v>51031121</v>
      </c>
      <c r="D6164">
        <v>93.587179707653732</v>
      </c>
      <c r="E6164" t="s">
        <v>92</v>
      </c>
      <c r="F6164">
        <v>82</v>
      </c>
      <c r="G6164" s="4">
        <v>46087.604456018518</v>
      </c>
    </row>
    <row r="6165" spans="1:7" x14ac:dyDescent="0.3">
      <c r="A6165">
        <v>24059</v>
      </c>
      <c r="B6165" t="s">
        <v>150</v>
      </c>
      <c r="C6165">
        <v>51056981</v>
      </c>
      <c r="D6165">
        <v>63.13176910262478</v>
      </c>
      <c r="E6165" t="s">
        <v>93</v>
      </c>
      <c r="F6165">
        <v>557</v>
      </c>
      <c r="G6165" s="4">
        <v>46087.604456018518</v>
      </c>
    </row>
    <row r="6166" spans="1:7" x14ac:dyDescent="0.3">
      <c r="A6166">
        <v>24060</v>
      </c>
      <c r="B6166" t="s">
        <v>150</v>
      </c>
      <c r="C6166">
        <v>51022424</v>
      </c>
      <c r="D6166">
        <v>67.942398492706914</v>
      </c>
      <c r="E6166" t="s">
        <v>93</v>
      </c>
      <c r="F6166">
        <v>528</v>
      </c>
      <c r="G6166" s="4">
        <v>46087.604456018518</v>
      </c>
    </row>
    <row r="6167" spans="1:7" x14ac:dyDescent="0.3">
      <c r="A6167">
        <v>24061</v>
      </c>
      <c r="B6167" t="s">
        <v>150</v>
      </c>
      <c r="C6167">
        <v>51025920</v>
      </c>
      <c r="D6167">
        <v>41.133298667904342</v>
      </c>
      <c r="E6167" t="s">
        <v>94</v>
      </c>
      <c r="F6167">
        <v>781</v>
      </c>
      <c r="G6167" s="4">
        <v>46087.604456018518</v>
      </c>
    </row>
    <row r="6168" spans="1:7" x14ac:dyDescent="0.3">
      <c r="A6168">
        <v>24062</v>
      </c>
      <c r="B6168" t="s">
        <v>150</v>
      </c>
      <c r="C6168">
        <v>51056388</v>
      </c>
      <c r="D6168">
        <v>82.835840353398112</v>
      </c>
      <c r="E6168" t="s">
        <v>93</v>
      </c>
      <c r="F6168">
        <v>361</v>
      </c>
      <c r="G6168" s="4">
        <v>46087.604456018518</v>
      </c>
    </row>
    <row r="6169" spans="1:7" x14ac:dyDescent="0.3">
      <c r="A6169">
        <v>24063</v>
      </c>
      <c r="B6169" t="s">
        <v>150</v>
      </c>
      <c r="C6169">
        <v>51033485</v>
      </c>
      <c r="D6169">
        <v>64.221124525391602</v>
      </c>
      <c r="E6169" t="s">
        <v>93</v>
      </c>
      <c r="F6169">
        <v>548</v>
      </c>
      <c r="G6169" s="4">
        <v>46087.604456018518</v>
      </c>
    </row>
    <row r="6170" spans="1:7" x14ac:dyDescent="0.3">
      <c r="A6170">
        <v>24064</v>
      </c>
      <c r="B6170" t="s">
        <v>150</v>
      </c>
      <c r="C6170">
        <v>51041615</v>
      </c>
      <c r="D6170">
        <v>57.247655835129351</v>
      </c>
      <c r="E6170" t="s">
        <v>94</v>
      </c>
      <c r="F6170">
        <v>679</v>
      </c>
      <c r="G6170" s="4">
        <v>46087.604456018518</v>
      </c>
    </row>
    <row r="6171" spans="1:7" x14ac:dyDescent="0.3">
      <c r="A6171">
        <v>24065</v>
      </c>
      <c r="B6171" t="s">
        <v>150</v>
      </c>
      <c r="C6171">
        <v>51017641</v>
      </c>
      <c r="D6171">
        <v>80.673410609789201</v>
      </c>
      <c r="E6171" t="s">
        <v>93</v>
      </c>
      <c r="F6171">
        <v>423</v>
      </c>
      <c r="G6171" s="4">
        <v>46087.604456018518</v>
      </c>
    </row>
    <row r="6172" spans="1:7" x14ac:dyDescent="0.3">
      <c r="A6172">
        <v>24066</v>
      </c>
      <c r="B6172" t="s">
        <v>150</v>
      </c>
      <c r="C6172">
        <v>51005741</v>
      </c>
      <c r="D6172">
        <v>89.439365612020396</v>
      </c>
      <c r="E6172" t="s">
        <v>92</v>
      </c>
      <c r="F6172">
        <v>151</v>
      </c>
      <c r="G6172" s="4">
        <v>46087.604456018518</v>
      </c>
    </row>
    <row r="6173" spans="1:7" x14ac:dyDescent="0.3">
      <c r="A6173">
        <v>24067</v>
      </c>
      <c r="B6173" t="s">
        <v>150</v>
      </c>
      <c r="C6173">
        <v>51011996</v>
      </c>
      <c r="D6173">
        <v>94.036734554302242</v>
      </c>
      <c r="E6173" t="s">
        <v>92</v>
      </c>
      <c r="F6173">
        <v>75</v>
      </c>
      <c r="G6173" s="4">
        <v>46087.604456018518</v>
      </c>
    </row>
    <row r="6174" spans="1:7" x14ac:dyDescent="0.3">
      <c r="A6174">
        <v>24068</v>
      </c>
      <c r="B6174" t="s">
        <v>150</v>
      </c>
      <c r="C6174">
        <v>51025440</v>
      </c>
      <c r="D6174">
        <v>90.769602609024133</v>
      </c>
      <c r="E6174" t="s">
        <v>92</v>
      </c>
      <c r="F6174">
        <v>119</v>
      </c>
      <c r="G6174" s="4">
        <v>46087.604456018518</v>
      </c>
    </row>
    <row r="6175" spans="1:7" x14ac:dyDescent="0.3">
      <c r="A6175">
        <v>24069</v>
      </c>
      <c r="B6175" t="s">
        <v>150</v>
      </c>
      <c r="C6175">
        <v>51055993</v>
      </c>
      <c r="D6175">
        <v>90.876735551828759</v>
      </c>
      <c r="E6175" t="s">
        <v>92</v>
      </c>
      <c r="F6175">
        <v>117</v>
      </c>
      <c r="G6175" s="4">
        <v>46087.604456018518</v>
      </c>
    </row>
    <row r="6176" spans="1:7" x14ac:dyDescent="0.3">
      <c r="A6176">
        <v>24070</v>
      </c>
      <c r="B6176" t="s">
        <v>150</v>
      </c>
      <c r="C6176">
        <v>51021231</v>
      </c>
      <c r="D6176">
        <v>43.763527417699876</v>
      </c>
      <c r="E6176" t="s">
        <v>94</v>
      </c>
      <c r="F6176">
        <v>777</v>
      </c>
      <c r="G6176" s="4">
        <v>46087.604456018518</v>
      </c>
    </row>
    <row r="6177" spans="1:7" x14ac:dyDescent="0.3">
      <c r="A6177">
        <v>24071</v>
      </c>
      <c r="B6177" t="s">
        <v>150</v>
      </c>
      <c r="C6177">
        <v>51024125</v>
      </c>
      <c r="D6177">
        <v>25.537085345868164</v>
      </c>
      <c r="E6177" t="s">
        <v>94</v>
      </c>
      <c r="F6177">
        <v>911</v>
      </c>
      <c r="G6177" s="4">
        <v>46087.604456018518</v>
      </c>
    </row>
    <row r="6178" spans="1:7" x14ac:dyDescent="0.3">
      <c r="A6178">
        <v>24072</v>
      </c>
      <c r="B6178" t="s">
        <v>150</v>
      </c>
      <c r="C6178">
        <v>51014359</v>
      </c>
      <c r="D6178">
        <v>81.524737799712</v>
      </c>
      <c r="E6178" t="s">
        <v>93</v>
      </c>
      <c r="F6178">
        <v>400</v>
      </c>
      <c r="G6178" s="4">
        <v>46087.604456018518</v>
      </c>
    </row>
    <row r="6179" spans="1:7" x14ac:dyDescent="0.3">
      <c r="A6179">
        <v>24073</v>
      </c>
      <c r="B6179" t="s">
        <v>150</v>
      </c>
      <c r="C6179">
        <v>51024681</v>
      </c>
      <c r="D6179">
        <v>83.078094342475282</v>
      </c>
      <c r="E6179" t="s">
        <v>93</v>
      </c>
      <c r="F6179">
        <v>351</v>
      </c>
      <c r="G6179" s="4">
        <v>46087.604456018518</v>
      </c>
    </row>
    <row r="6180" spans="1:7" x14ac:dyDescent="0.3">
      <c r="A6180">
        <v>24074</v>
      </c>
      <c r="B6180" t="s">
        <v>150</v>
      </c>
      <c r="C6180">
        <v>51024001</v>
      </c>
      <c r="D6180">
        <v>22.12</v>
      </c>
      <c r="E6180" t="s">
        <v>94</v>
      </c>
      <c r="F6180">
        <v>947</v>
      </c>
      <c r="G6180" s="4">
        <v>46087.604456018518</v>
      </c>
    </row>
    <row r="6181" spans="1:7" x14ac:dyDescent="0.3">
      <c r="A6181">
        <v>24075</v>
      </c>
      <c r="B6181" t="s">
        <v>150</v>
      </c>
      <c r="C6181">
        <v>51023480</v>
      </c>
      <c r="D6181">
        <v>63.666291185312922</v>
      </c>
      <c r="E6181" t="s">
        <v>93</v>
      </c>
      <c r="F6181">
        <v>552</v>
      </c>
      <c r="G6181" s="4">
        <v>46087.604456018518</v>
      </c>
    </row>
    <row r="6182" spans="1:7" x14ac:dyDescent="0.3">
      <c r="A6182">
        <v>24076</v>
      </c>
      <c r="B6182" t="s">
        <v>150</v>
      </c>
      <c r="C6182">
        <v>51020405</v>
      </c>
      <c r="D6182">
        <v>72.80385290877058</v>
      </c>
      <c r="E6182" t="s">
        <v>93</v>
      </c>
      <c r="F6182">
        <v>491</v>
      </c>
      <c r="G6182" s="4">
        <v>46087.604456018518</v>
      </c>
    </row>
    <row r="6183" spans="1:7" x14ac:dyDescent="0.3">
      <c r="A6183">
        <v>24077</v>
      </c>
      <c r="B6183" t="s">
        <v>150</v>
      </c>
      <c r="C6183">
        <v>51044070</v>
      </c>
      <c r="D6183">
        <v>78.446194363044071</v>
      </c>
      <c r="E6183" t="s">
        <v>93</v>
      </c>
      <c r="F6183">
        <v>452</v>
      </c>
      <c r="G6183" s="4">
        <v>46087.604456018518</v>
      </c>
    </row>
    <row r="6184" spans="1:7" x14ac:dyDescent="0.3">
      <c r="A6184">
        <v>24078</v>
      </c>
      <c r="B6184" t="s">
        <v>150</v>
      </c>
      <c r="C6184">
        <v>51032110</v>
      </c>
      <c r="D6184">
        <v>56.977302856545435</v>
      </c>
      <c r="E6184" t="s">
        <v>94</v>
      </c>
      <c r="F6184">
        <v>683</v>
      </c>
      <c r="G6184" s="4">
        <v>46087.604456018518</v>
      </c>
    </row>
    <row r="6185" spans="1:7" x14ac:dyDescent="0.3">
      <c r="A6185">
        <v>24079</v>
      </c>
      <c r="B6185" t="s">
        <v>150</v>
      </c>
      <c r="C6185">
        <v>51036123</v>
      </c>
      <c r="D6185">
        <v>87.579235257857263</v>
      </c>
      <c r="E6185" t="s">
        <v>92</v>
      </c>
      <c r="F6185">
        <v>209</v>
      </c>
      <c r="G6185" s="4">
        <v>46087.604456018518</v>
      </c>
    </row>
    <row r="6186" spans="1:7" x14ac:dyDescent="0.3">
      <c r="A6186">
        <v>24080</v>
      </c>
      <c r="B6186" t="s">
        <v>150</v>
      </c>
      <c r="C6186">
        <v>51056078</v>
      </c>
      <c r="D6186">
        <v>85.738001337383437</v>
      </c>
      <c r="E6186" t="s">
        <v>93</v>
      </c>
      <c r="F6186">
        <v>261</v>
      </c>
      <c r="G6186" s="4">
        <v>46087.604456018518</v>
      </c>
    </row>
    <row r="6187" spans="1:7" x14ac:dyDescent="0.3">
      <c r="A6187">
        <v>24081</v>
      </c>
      <c r="B6187" t="s">
        <v>150</v>
      </c>
      <c r="C6187">
        <v>51012445</v>
      </c>
      <c r="D6187">
        <v>81.514819904381753</v>
      </c>
      <c r="E6187" t="s">
        <v>93</v>
      </c>
      <c r="F6187">
        <v>401</v>
      </c>
      <c r="G6187" s="4">
        <v>46087.604456018518</v>
      </c>
    </row>
    <row r="6188" spans="1:7" x14ac:dyDescent="0.3">
      <c r="A6188">
        <v>24082</v>
      </c>
      <c r="B6188" t="s">
        <v>150</v>
      </c>
      <c r="C6188">
        <v>51019661</v>
      </c>
      <c r="D6188">
        <v>81.101957135425508</v>
      </c>
      <c r="E6188" t="s">
        <v>93</v>
      </c>
      <c r="F6188">
        <v>411</v>
      </c>
      <c r="G6188" s="4">
        <v>46087.604456018518</v>
      </c>
    </row>
    <row r="6189" spans="1:7" x14ac:dyDescent="0.3">
      <c r="A6189">
        <v>24083</v>
      </c>
      <c r="B6189" t="s">
        <v>150</v>
      </c>
      <c r="C6189">
        <v>51021894</v>
      </c>
      <c r="D6189">
        <v>29.9</v>
      </c>
      <c r="E6189" t="s">
        <v>94</v>
      </c>
      <c r="F6189">
        <v>868</v>
      </c>
      <c r="G6189" s="4">
        <v>46087.604456018518</v>
      </c>
    </row>
    <row r="6190" spans="1:7" x14ac:dyDescent="0.3">
      <c r="A6190">
        <v>24084</v>
      </c>
      <c r="B6190" t="s">
        <v>150</v>
      </c>
      <c r="C6190">
        <v>51018575</v>
      </c>
      <c r="D6190">
        <v>86.808833108172593</v>
      </c>
      <c r="E6190" t="s">
        <v>92</v>
      </c>
      <c r="F6190">
        <v>229</v>
      </c>
      <c r="G6190" s="4">
        <v>46087.604456018518</v>
      </c>
    </row>
    <row r="6191" spans="1:7" x14ac:dyDescent="0.3">
      <c r="A6191">
        <v>24085</v>
      </c>
      <c r="B6191" t="s">
        <v>150</v>
      </c>
      <c r="C6191">
        <v>51031652</v>
      </c>
      <c r="D6191">
        <v>83.776633528155386</v>
      </c>
      <c r="E6191" t="s">
        <v>93</v>
      </c>
      <c r="F6191">
        <v>327</v>
      </c>
      <c r="G6191" s="4">
        <v>46087.604456018518</v>
      </c>
    </row>
    <row r="6192" spans="1:7" x14ac:dyDescent="0.3">
      <c r="A6192">
        <v>24086</v>
      </c>
      <c r="B6192" t="s">
        <v>150</v>
      </c>
      <c r="C6192">
        <v>51040627</v>
      </c>
      <c r="D6192">
        <v>86.058591192174546</v>
      </c>
      <c r="E6192" t="s">
        <v>93</v>
      </c>
      <c r="F6192">
        <v>251</v>
      </c>
      <c r="G6192" s="4">
        <v>46087.604456018518</v>
      </c>
    </row>
    <row r="6193" spans="1:7" x14ac:dyDescent="0.3">
      <c r="A6193">
        <v>24087</v>
      </c>
      <c r="B6193" t="s">
        <v>150</v>
      </c>
      <c r="C6193">
        <v>51031253</v>
      </c>
      <c r="D6193">
        <v>83.947067609995969</v>
      </c>
      <c r="E6193" t="s">
        <v>93</v>
      </c>
      <c r="F6193">
        <v>325</v>
      </c>
      <c r="G6193" s="4">
        <v>46087.604456018518</v>
      </c>
    </row>
    <row r="6194" spans="1:7" x14ac:dyDescent="0.3">
      <c r="A6194">
        <v>24088</v>
      </c>
      <c r="B6194" t="s">
        <v>150</v>
      </c>
      <c r="C6194">
        <v>51034350</v>
      </c>
      <c r="D6194">
        <v>51.761876080249166</v>
      </c>
      <c r="E6194" t="s">
        <v>94</v>
      </c>
      <c r="F6194">
        <v>729</v>
      </c>
      <c r="G6194" s="4">
        <v>46087.604456018518</v>
      </c>
    </row>
    <row r="6195" spans="1:7" x14ac:dyDescent="0.3">
      <c r="A6195">
        <v>24089</v>
      </c>
      <c r="B6195" t="s">
        <v>150</v>
      </c>
      <c r="C6195">
        <v>51022220</v>
      </c>
      <c r="D6195">
        <v>22.012807867296146</v>
      </c>
      <c r="E6195" t="s">
        <v>94</v>
      </c>
      <c r="F6195">
        <v>948</v>
      </c>
      <c r="G6195" s="4">
        <v>46087.604456018518</v>
      </c>
    </row>
    <row r="6196" spans="1:7" x14ac:dyDescent="0.3">
      <c r="A6196">
        <v>24090</v>
      </c>
      <c r="B6196" t="s">
        <v>150</v>
      </c>
      <c r="C6196">
        <v>51019512</v>
      </c>
      <c r="D6196">
        <v>97.501450283296919</v>
      </c>
      <c r="E6196" t="s">
        <v>275</v>
      </c>
      <c r="F6196">
        <v>42</v>
      </c>
      <c r="G6196" s="4">
        <v>46087.604456018518</v>
      </c>
    </row>
    <row r="6197" spans="1:7" x14ac:dyDescent="0.3">
      <c r="A6197">
        <v>24091</v>
      </c>
      <c r="B6197" t="s">
        <v>150</v>
      </c>
      <c r="C6197">
        <v>51014391</v>
      </c>
      <c r="D6197">
        <v>85.620506866663092</v>
      </c>
      <c r="E6197" t="s">
        <v>93</v>
      </c>
      <c r="F6197">
        <v>265</v>
      </c>
      <c r="G6197" s="4">
        <v>46087.604456018518</v>
      </c>
    </row>
    <row r="6198" spans="1:7" x14ac:dyDescent="0.3">
      <c r="A6198">
        <v>24092</v>
      </c>
      <c r="B6198" t="s">
        <v>150</v>
      </c>
      <c r="C6198">
        <v>51042689</v>
      </c>
      <c r="D6198">
        <v>82.445126904477689</v>
      </c>
      <c r="E6198" t="s">
        <v>93</v>
      </c>
      <c r="F6198">
        <v>375</v>
      </c>
      <c r="G6198" s="4">
        <v>46087.604456018518</v>
      </c>
    </row>
    <row r="6199" spans="1:7" x14ac:dyDescent="0.3">
      <c r="A6199">
        <v>24093</v>
      </c>
      <c r="B6199" t="s">
        <v>150</v>
      </c>
      <c r="C6199">
        <v>51013867</v>
      </c>
      <c r="D6199">
        <v>89.362345883205691</v>
      </c>
      <c r="E6199" t="s">
        <v>92</v>
      </c>
      <c r="F6199">
        <v>154</v>
      </c>
      <c r="G6199" s="4">
        <v>46087.604456018518</v>
      </c>
    </row>
    <row r="6200" spans="1:7" x14ac:dyDescent="0.3">
      <c r="A6200">
        <v>24094</v>
      </c>
      <c r="B6200" t="s">
        <v>150</v>
      </c>
      <c r="C6200">
        <v>51021258</v>
      </c>
      <c r="D6200">
        <v>90.665437383681351</v>
      </c>
      <c r="E6200" t="s">
        <v>92</v>
      </c>
      <c r="F6200">
        <v>120</v>
      </c>
      <c r="G6200" s="4">
        <v>46087.604456018518</v>
      </c>
    </row>
    <row r="6201" spans="1:7" x14ac:dyDescent="0.3">
      <c r="A6201">
        <v>24095</v>
      </c>
      <c r="B6201" t="s">
        <v>150</v>
      </c>
      <c r="C6201">
        <v>51024591</v>
      </c>
      <c r="D6201">
        <v>31.120503367448805</v>
      </c>
      <c r="E6201" t="s">
        <v>94</v>
      </c>
      <c r="F6201">
        <v>844</v>
      </c>
      <c r="G6201" s="4">
        <v>46087.604456018518</v>
      </c>
    </row>
    <row r="6202" spans="1:7" x14ac:dyDescent="0.3">
      <c r="A6202">
        <v>24096</v>
      </c>
      <c r="B6202" t="s">
        <v>150</v>
      </c>
      <c r="C6202">
        <v>51021665</v>
      </c>
      <c r="D6202">
        <v>60.140579170187848</v>
      </c>
      <c r="E6202" t="s">
        <v>94</v>
      </c>
      <c r="F6202">
        <v>615</v>
      </c>
      <c r="G6202" s="4">
        <v>46087.604456018518</v>
      </c>
    </row>
    <row r="6203" spans="1:7" x14ac:dyDescent="0.3">
      <c r="A6203">
        <v>24097</v>
      </c>
      <c r="B6203" t="s">
        <v>150</v>
      </c>
      <c r="C6203">
        <v>51030273</v>
      </c>
      <c r="D6203">
        <v>38.903122831664604</v>
      </c>
      <c r="E6203" t="s">
        <v>94</v>
      </c>
      <c r="F6203">
        <v>793</v>
      </c>
      <c r="G6203" s="4">
        <v>46087.604456018518</v>
      </c>
    </row>
    <row r="6204" spans="1:7" x14ac:dyDescent="0.3">
      <c r="A6204">
        <v>24098</v>
      </c>
      <c r="B6204" t="s">
        <v>150</v>
      </c>
      <c r="C6204">
        <v>51024559</v>
      </c>
      <c r="D6204">
        <v>34.298494199455192</v>
      </c>
      <c r="E6204" t="s">
        <v>94</v>
      </c>
      <c r="F6204">
        <v>812</v>
      </c>
      <c r="G6204" s="4">
        <v>46087.604456018518</v>
      </c>
    </row>
    <row r="6205" spans="1:7" x14ac:dyDescent="0.3">
      <c r="A6205">
        <v>24099</v>
      </c>
      <c r="B6205" t="s">
        <v>150</v>
      </c>
      <c r="C6205">
        <v>51007565</v>
      </c>
      <c r="D6205">
        <v>84.562680179126744</v>
      </c>
      <c r="E6205" t="s">
        <v>93</v>
      </c>
      <c r="F6205">
        <v>297</v>
      </c>
      <c r="G6205" s="4">
        <v>46087.604456018518</v>
      </c>
    </row>
    <row r="6206" spans="1:7" x14ac:dyDescent="0.3">
      <c r="A6206">
        <v>24100</v>
      </c>
      <c r="B6206" t="s">
        <v>150</v>
      </c>
      <c r="C6206">
        <v>51032136</v>
      </c>
      <c r="D6206">
        <v>89.779477754745685</v>
      </c>
      <c r="E6206" t="s">
        <v>92</v>
      </c>
      <c r="F6206">
        <v>141</v>
      </c>
      <c r="G6206" s="4">
        <v>46087.604456018518</v>
      </c>
    </row>
    <row r="6207" spans="1:7" x14ac:dyDescent="0.3">
      <c r="A6207">
        <v>24101</v>
      </c>
      <c r="B6207" t="s">
        <v>150</v>
      </c>
      <c r="C6207">
        <v>51057066</v>
      </c>
      <c r="D6207">
        <v>82.559653079664471</v>
      </c>
      <c r="E6207" t="s">
        <v>93</v>
      </c>
      <c r="F6207">
        <v>371</v>
      </c>
      <c r="G6207" s="4">
        <v>46087.604456018518</v>
      </c>
    </row>
    <row r="6208" spans="1:7" x14ac:dyDescent="0.3">
      <c r="A6208">
        <v>24102</v>
      </c>
      <c r="B6208" t="s">
        <v>150</v>
      </c>
      <c r="C6208">
        <v>51021215</v>
      </c>
      <c r="D6208">
        <v>39.291206136383224</v>
      </c>
      <c r="E6208" t="s">
        <v>94</v>
      </c>
      <c r="F6208">
        <v>790</v>
      </c>
      <c r="G6208" s="4">
        <v>46087.604456018518</v>
      </c>
    </row>
    <row r="6209" spans="1:7" x14ac:dyDescent="0.3">
      <c r="A6209">
        <v>24103</v>
      </c>
      <c r="B6209" t="s">
        <v>150</v>
      </c>
      <c r="C6209">
        <v>51040937</v>
      </c>
      <c r="D6209">
        <v>82.736776219878848</v>
      </c>
      <c r="E6209" t="s">
        <v>93</v>
      </c>
      <c r="F6209">
        <v>366</v>
      </c>
      <c r="G6209" s="4">
        <v>46087.604456018518</v>
      </c>
    </row>
    <row r="6210" spans="1:7" x14ac:dyDescent="0.3">
      <c r="A6210">
        <v>24104</v>
      </c>
      <c r="B6210" t="s">
        <v>150</v>
      </c>
      <c r="C6210">
        <v>51014430</v>
      </c>
      <c r="D6210">
        <v>85.482639622086026</v>
      </c>
      <c r="E6210" t="s">
        <v>93</v>
      </c>
      <c r="F6210">
        <v>269</v>
      </c>
      <c r="G6210" s="4">
        <v>46087.604456018518</v>
      </c>
    </row>
    <row r="6211" spans="1:7" x14ac:dyDescent="0.3">
      <c r="A6211">
        <v>24105</v>
      </c>
      <c r="B6211" t="s">
        <v>150</v>
      </c>
      <c r="C6211">
        <v>51055853</v>
      </c>
      <c r="D6211">
        <v>34.602381803103832</v>
      </c>
      <c r="E6211" t="s">
        <v>94</v>
      </c>
      <c r="F6211">
        <v>808</v>
      </c>
      <c r="G6211" s="4">
        <v>46087.604456018518</v>
      </c>
    </row>
    <row r="6212" spans="1:7" x14ac:dyDescent="0.3">
      <c r="A6212">
        <v>24106</v>
      </c>
      <c r="B6212" t="s">
        <v>150</v>
      </c>
      <c r="C6212">
        <v>51056515</v>
      </c>
      <c r="D6212">
        <v>89.158789645379926</v>
      </c>
      <c r="E6212" t="s">
        <v>92</v>
      </c>
      <c r="F6212">
        <v>163</v>
      </c>
      <c r="G6212" s="4">
        <v>46087.604456018518</v>
      </c>
    </row>
    <row r="6213" spans="1:7" x14ac:dyDescent="0.3">
      <c r="A6213">
        <v>24107</v>
      </c>
      <c r="B6213" t="s">
        <v>150</v>
      </c>
      <c r="C6213">
        <v>51020952</v>
      </c>
      <c r="D6213">
        <v>99.579550855617768</v>
      </c>
      <c r="E6213" t="s">
        <v>275</v>
      </c>
      <c r="F6213">
        <v>21</v>
      </c>
      <c r="G6213" s="4">
        <v>46087.604456018518</v>
      </c>
    </row>
    <row r="6214" spans="1:7" x14ac:dyDescent="0.3">
      <c r="A6214">
        <v>24108</v>
      </c>
      <c r="B6214" t="s">
        <v>150</v>
      </c>
      <c r="C6214">
        <v>51022611</v>
      </c>
      <c r="D6214">
        <v>49.459717642235496</v>
      </c>
      <c r="E6214" t="s">
        <v>94</v>
      </c>
      <c r="F6214">
        <v>745</v>
      </c>
      <c r="G6214" s="4">
        <v>46087.604456018518</v>
      </c>
    </row>
    <row r="6215" spans="1:7" x14ac:dyDescent="0.3">
      <c r="A6215">
        <v>24109</v>
      </c>
      <c r="B6215" t="s">
        <v>150</v>
      </c>
      <c r="C6215">
        <v>51056761</v>
      </c>
      <c r="D6215">
        <v>84.212467729936336</v>
      </c>
      <c r="E6215" t="s">
        <v>93</v>
      </c>
      <c r="F6215">
        <v>311</v>
      </c>
      <c r="G6215" s="4">
        <v>46087.604456018518</v>
      </c>
    </row>
    <row r="6216" spans="1:7" x14ac:dyDescent="0.3">
      <c r="A6216">
        <v>24110</v>
      </c>
      <c r="B6216" t="s">
        <v>150</v>
      </c>
      <c r="C6216">
        <v>51031741</v>
      </c>
      <c r="D6216">
        <v>84.673759717438486</v>
      </c>
      <c r="E6216" t="s">
        <v>93</v>
      </c>
      <c r="F6216">
        <v>293</v>
      </c>
      <c r="G6216" s="4">
        <v>46087.604456018518</v>
      </c>
    </row>
    <row r="6217" spans="1:7" x14ac:dyDescent="0.3">
      <c r="A6217">
        <v>24111</v>
      </c>
      <c r="B6217" t="s">
        <v>150</v>
      </c>
      <c r="C6217">
        <v>51056469</v>
      </c>
      <c r="D6217">
        <v>86.272192523520275</v>
      </c>
      <c r="E6217" t="s">
        <v>93</v>
      </c>
      <c r="F6217">
        <v>244</v>
      </c>
      <c r="G6217" s="4">
        <v>46087.604456018518</v>
      </c>
    </row>
    <row r="6218" spans="1:7" x14ac:dyDescent="0.3">
      <c r="A6218">
        <v>24112</v>
      </c>
      <c r="B6218" t="s">
        <v>150</v>
      </c>
      <c r="C6218">
        <v>51031130</v>
      </c>
      <c r="D6218">
        <v>92.36174471101549</v>
      </c>
      <c r="E6218" t="s">
        <v>92</v>
      </c>
      <c r="F6218">
        <v>99</v>
      </c>
      <c r="G6218" s="4">
        <v>46087.604456018518</v>
      </c>
    </row>
    <row r="6219" spans="1:7" x14ac:dyDescent="0.3">
      <c r="A6219">
        <v>24113</v>
      </c>
      <c r="B6219" t="s">
        <v>150</v>
      </c>
      <c r="C6219">
        <v>51014855</v>
      </c>
      <c r="D6219">
        <v>80.496797393925334</v>
      </c>
      <c r="E6219" t="s">
        <v>93</v>
      </c>
      <c r="F6219">
        <v>430</v>
      </c>
      <c r="G6219" s="4">
        <v>46087.604456018518</v>
      </c>
    </row>
    <row r="6220" spans="1:7" x14ac:dyDescent="0.3">
      <c r="A6220">
        <v>24114</v>
      </c>
      <c r="B6220" t="s">
        <v>150</v>
      </c>
      <c r="C6220">
        <v>51055055</v>
      </c>
      <c r="D6220">
        <v>87.337700095422477</v>
      </c>
      <c r="E6220" t="s">
        <v>92</v>
      </c>
      <c r="F6220">
        <v>217</v>
      </c>
      <c r="G6220" s="4">
        <v>46087.604456018518</v>
      </c>
    </row>
    <row r="6221" spans="1:7" x14ac:dyDescent="0.3">
      <c r="A6221">
        <v>24115</v>
      </c>
      <c r="B6221" t="s">
        <v>150</v>
      </c>
      <c r="C6221">
        <v>51008634</v>
      </c>
      <c r="D6221">
        <v>74.989317540667372</v>
      </c>
      <c r="E6221" t="s">
        <v>93</v>
      </c>
      <c r="F6221">
        <v>476</v>
      </c>
      <c r="G6221" s="4">
        <v>46087.604456018518</v>
      </c>
    </row>
    <row r="6222" spans="1:7" x14ac:dyDescent="0.3">
      <c r="A6222">
        <v>24116</v>
      </c>
      <c r="B6222" t="s">
        <v>150</v>
      </c>
      <c r="C6222">
        <v>51021835</v>
      </c>
      <c r="D6222">
        <v>57.959287246247115</v>
      </c>
      <c r="E6222" t="s">
        <v>94</v>
      </c>
      <c r="F6222">
        <v>663</v>
      </c>
      <c r="G6222" s="4">
        <v>46087.604456018518</v>
      </c>
    </row>
    <row r="6223" spans="1:7" x14ac:dyDescent="0.3">
      <c r="A6223">
        <v>24117</v>
      </c>
      <c r="B6223" t="s">
        <v>150</v>
      </c>
      <c r="C6223">
        <v>51030320</v>
      </c>
      <c r="D6223">
        <v>62.512955496097959</v>
      </c>
      <c r="E6223" t="s">
        <v>93</v>
      </c>
      <c r="F6223">
        <v>568</v>
      </c>
      <c r="G6223" s="4">
        <v>46087.604456018518</v>
      </c>
    </row>
    <row r="6224" spans="1:7" x14ac:dyDescent="0.3">
      <c r="A6224">
        <v>24118</v>
      </c>
      <c r="B6224" t="s">
        <v>150</v>
      </c>
      <c r="C6224">
        <v>51033701</v>
      </c>
      <c r="D6224">
        <v>83.401403855757849</v>
      </c>
      <c r="E6224" t="s">
        <v>93</v>
      </c>
      <c r="F6224">
        <v>334</v>
      </c>
      <c r="G6224" s="4">
        <v>46087.604456018518</v>
      </c>
    </row>
    <row r="6225" spans="1:7" x14ac:dyDescent="0.3">
      <c r="A6225">
        <v>24119</v>
      </c>
      <c r="B6225" t="s">
        <v>150</v>
      </c>
      <c r="C6225">
        <v>51013280</v>
      </c>
      <c r="D6225">
        <v>89.68814107652301</v>
      </c>
      <c r="E6225" t="s">
        <v>92</v>
      </c>
      <c r="F6225">
        <v>143</v>
      </c>
      <c r="G6225" s="4">
        <v>46087.604456018518</v>
      </c>
    </row>
    <row r="6226" spans="1:7" x14ac:dyDescent="0.3">
      <c r="A6226">
        <v>24120</v>
      </c>
      <c r="B6226" t="s">
        <v>150</v>
      </c>
      <c r="C6226">
        <v>51022785</v>
      </c>
      <c r="D6226">
        <v>31.584751441324364</v>
      </c>
      <c r="E6226" t="s">
        <v>94</v>
      </c>
      <c r="F6226">
        <v>840</v>
      </c>
      <c r="G6226" s="4">
        <v>46087.604456018518</v>
      </c>
    </row>
    <row r="6227" spans="1:7" x14ac:dyDescent="0.3">
      <c r="A6227">
        <v>24121</v>
      </c>
      <c r="B6227" t="s">
        <v>150</v>
      </c>
      <c r="C6227">
        <v>51036310</v>
      </c>
      <c r="D6227">
        <v>30.463361083935681</v>
      </c>
      <c r="E6227" t="s">
        <v>94</v>
      </c>
      <c r="F6227">
        <v>855</v>
      </c>
      <c r="G6227" s="4">
        <v>46087.604456018518</v>
      </c>
    </row>
    <row r="6228" spans="1:7" x14ac:dyDescent="0.3">
      <c r="A6228">
        <v>24122</v>
      </c>
      <c r="B6228" t="s">
        <v>150</v>
      </c>
      <c r="C6228">
        <v>51010710</v>
      </c>
      <c r="D6228">
        <v>82.412019581211766</v>
      </c>
      <c r="E6228" t="s">
        <v>93</v>
      </c>
      <c r="F6228">
        <v>376</v>
      </c>
      <c r="G6228" s="4">
        <v>46087.604456018518</v>
      </c>
    </row>
    <row r="6229" spans="1:7" x14ac:dyDescent="0.3">
      <c r="A6229">
        <v>24123</v>
      </c>
      <c r="B6229" t="s">
        <v>150</v>
      </c>
      <c r="C6229">
        <v>51034376</v>
      </c>
      <c r="D6229">
        <v>85.208017080920413</v>
      </c>
      <c r="E6229" t="s">
        <v>93</v>
      </c>
      <c r="F6229">
        <v>277</v>
      </c>
      <c r="G6229" s="4">
        <v>46087.604456018518</v>
      </c>
    </row>
    <row r="6230" spans="1:7" x14ac:dyDescent="0.3">
      <c r="A6230">
        <v>24124</v>
      </c>
      <c r="B6230" t="s">
        <v>150</v>
      </c>
      <c r="C6230">
        <v>51023561</v>
      </c>
      <c r="D6230">
        <v>84.156415111043785</v>
      </c>
      <c r="E6230" t="s">
        <v>93</v>
      </c>
      <c r="F6230">
        <v>316</v>
      </c>
      <c r="G6230" s="4">
        <v>46087.604456018518</v>
      </c>
    </row>
    <row r="6231" spans="1:7" x14ac:dyDescent="0.3">
      <c r="A6231">
        <v>24125</v>
      </c>
      <c r="B6231" t="s">
        <v>150</v>
      </c>
      <c r="C6231">
        <v>51025253</v>
      </c>
      <c r="D6231">
        <v>32.457386520984372</v>
      </c>
      <c r="E6231" t="s">
        <v>94</v>
      </c>
      <c r="F6231">
        <v>831</v>
      </c>
      <c r="G6231" s="4">
        <v>46087.604456018518</v>
      </c>
    </row>
    <row r="6232" spans="1:7" x14ac:dyDescent="0.3">
      <c r="A6232">
        <v>24126</v>
      </c>
      <c r="B6232" t="s">
        <v>150</v>
      </c>
      <c r="C6232">
        <v>51030176</v>
      </c>
      <c r="D6232">
        <v>59.552894665661007</v>
      </c>
      <c r="E6232" t="s">
        <v>94</v>
      </c>
      <c r="F6232">
        <v>630</v>
      </c>
      <c r="G6232" s="4">
        <v>46087.604456018518</v>
      </c>
    </row>
    <row r="6233" spans="1:7" x14ac:dyDescent="0.3">
      <c r="A6233">
        <v>24127</v>
      </c>
      <c r="B6233" t="s">
        <v>150</v>
      </c>
      <c r="C6233">
        <v>51024575</v>
      </c>
      <c r="D6233">
        <v>75.004439286218769</v>
      </c>
      <c r="E6233" t="s">
        <v>93</v>
      </c>
      <c r="F6233">
        <v>475</v>
      </c>
      <c r="G6233" s="4">
        <v>46087.604456018518</v>
      </c>
    </row>
    <row r="6234" spans="1:7" x14ac:dyDescent="0.3">
      <c r="A6234">
        <v>24128</v>
      </c>
      <c r="B6234" t="s">
        <v>150</v>
      </c>
      <c r="C6234">
        <v>51005333</v>
      </c>
      <c r="D6234">
        <v>52.746734456703734</v>
      </c>
      <c r="E6234" t="s">
        <v>94</v>
      </c>
      <c r="F6234">
        <v>726</v>
      </c>
      <c r="G6234" s="4">
        <v>46087.604456018518</v>
      </c>
    </row>
    <row r="6235" spans="1:7" x14ac:dyDescent="0.3">
      <c r="A6235">
        <v>24129</v>
      </c>
      <c r="B6235" t="s">
        <v>150</v>
      </c>
      <c r="C6235">
        <v>51030931</v>
      </c>
      <c r="D6235">
        <v>60.599335450610141</v>
      </c>
      <c r="E6235" t="s">
        <v>94</v>
      </c>
      <c r="F6235">
        <v>606</v>
      </c>
      <c r="G6235" s="4">
        <v>46087.604456018518</v>
      </c>
    </row>
    <row r="6236" spans="1:7" x14ac:dyDescent="0.3">
      <c r="A6236">
        <v>24130</v>
      </c>
      <c r="B6236" t="s">
        <v>150</v>
      </c>
      <c r="C6236">
        <v>51056027</v>
      </c>
      <c r="D6236">
        <v>92.486264048019308</v>
      </c>
      <c r="E6236" t="s">
        <v>92</v>
      </c>
      <c r="F6236">
        <v>95</v>
      </c>
      <c r="G6236" s="4">
        <v>46087.604456018518</v>
      </c>
    </row>
    <row r="6237" spans="1:7" x14ac:dyDescent="0.3">
      <c r="A6237">
        <v>24131</v>
      </c>
      <c r="B6237" t="s">
        <v>150</v>
      </c>
      <c r="C6237">
        <v>51054911</v>
      </c>
      <c r="D6237">
        <v>84.17620530916335</v>
      </c>
      <c r="E6237" t="s">
        <v>93</v>
      </c>
      <c r="F6237">
        <v>313</v>
      </c>
      <c r="G6237" s="4">
        <v>46087.604456018518</v>
      </c>
    </row>
    <row r="6238" spans="1:7" x14ac:dyDescent="0.3">
      <c r="A6238">
        <v>24132</v>
      </c>
      <c r="B6238" t="s">
        <v>150</v>
      </c>
      <c r="C6238">
        <v>51030605</v>
      </c>
      <c r="D6238">
        <v>55.497767245770426</v>
      </c>
      <c r="E6238" t="s">
        <v>94</v>
      </c>
      <c r="F6238">
        <v>709</v>
      </c>
      <c r="G6238" s="4">
        <v>46087.604456018518</v>
      </c>
    </row>
    <row r="6239" spans="1:7" x14ac:dyDescent="0.3">
      <c r="A6239">
        <v>24133</v>
      </c>
      <c r="B6239" t="s">
        <v>150</v>
      </c>
      <c r="C6239">
        <v>51044487</v>
      </c>
      <c r="D6239">
        <v>90.376115060005759</v>
      </c>
      <c r="E6239" t="s">
        <v>92</v>
      </c>
      <c r="F6239">
        <v>129</v>
      </c>
      <c r="G6239" s="4">
        <v>46087.604456018518</v>
      </c>
    </row>
    <row r="6240" spans="1:7" x14ac:dyDescent="0.3">
      <c r="A6240">
        <v>24134</v>
      </c>
      <c r="B6240" t="s">
        <v>150</v>
      </c>
      <c r="C6240">
        <v>51035674</v>
      </c>
      <c r="D6240">
        <v>97.545411540232166</v>
      </c>
      <c r="E6240" t="s">
        <v>275</v>
      </c>
      <c r="F6240">
        <v>41</v>
      </c>
      <c r="G6240" s="4">
        <v>46087.604456018518</v>
      </c>
    </row>
    <row r="6241" spans="1:7" x14ac:dyDescent="0.3">
      <c r="A6241">
        <v>24135</v>
      </c>
      <c r="B6241" t="s">
        <v>150</v>
      </c>
      <c r="C6241">
        <v>51055128</v>
      </c>
      <c r="D6241">
        <v>94.877553917397591</v>
      </c>
      <c r="E6241" t="s">
        <v>92</v>
      </c>
      <c r="F6241">
        <v>71</v>
      </c>
      <c r="G6241" s="4">
        <v>46087.604456018518</v>
      </c>
    </row>
    <row r="6242" spans="1:7" x14ac:dyDescent="0.3">
      <c r="A6242">
        <v>24136</v>
      </c>
      <c r="B6242" t="s">
        <v>150</v>
      </c>
      <c r="C6242">
        <v>51011546</v>
      </c>
      <c r="D6242">
        <v>100</v>
      </c>
      <c r="E6242" t="s">
        <v>275</v>
      </c>
      <c r="F6242">
        <v>1</v>
      </c>
      <c r="G6242" s="4">
        <v>46087.604456018518</v>
      </c>
    </row>
    <row r="6243" spans="1:7" x14ac:dyDescent="0.3">
      <c r="A6243">
        <v>24137</v>
      </c>
      <c r="B6243" t="s">
        <v>150</v>
      </c>
      <c r="C6243">
        <v>51031482</v>
      </c>
      <c r="D6243">
        <v>93.376848834692524</v>
      </c>
      <c r="E6243" t="s">
        <v>92</v>
      </c>
      <c r="F6243">
        <v>86</v>
      </c>
      <c r="G6243" s="4">
        <v>46087.604456018518</v>
      </c>
    </row>
    <row r="6244" spans="1:7" x14ac:dyDescent="0.3">
      <c r="A6244">
        <v>24138</v>
      </c>
      <c r="B6244" t="s">
        <v>150</v>
      </c>
      <c r="C6244">
        <v>51030109</v>
      </c>
      <c r="D6244">
        <v>27.487126860062848</v>
      </c>
      <c r="E6244" t="s">
        <v>94</v>
      </c>
      <c r="F6244">
        <v>893</v>
      </c>
      <c r="G6244" s="4">
        <v>46087.604456018518</v>
      </c>
    </row>
    <row r="6245" spans="1:7" x14ac:dyDescent="0.3">
      <c r="A6245">
        <v>24139</v>
      </c>
      <c r="B6245" t="s">
        <v>150</v>
      </c>
      <c r="C6245">
        <v>51022009</v>
      </c>
      <c r="D6245">
        <v>87.919679951030687</v>
      </c>
      <c r="E6245" t="s">
        <v>92</v>
      </c>
      <c r="F6245">
        <v>201</v>
      </c>
      <c r="G6245" s="4">
        <v>46087.604456018518</v>
      </c>
    </row>
    <row r="6246" spans="1:7" x14ac:dyDescent="0.3">
      <c r="A6246">
        <v>24140</v>
      </c>
      <c r="B6246" t="s">
        <v>150</v>
      </c>
      <c r="C6246">
        <v>51015932</v>
      </c>
      <c r="D6246">
        <v>80.625404772543973</v>
      </c>
      <c r="E6246" t="s">
        <v>93</v>
      </c>
      <c r="F6246">
        <v>426</v>
      </c>
      <c r="G6246" s="4">
        <v>46087.604456018518</v>
      </c>
    </row>
    <row r="6247" spans="1:7" x14ac:dyDescent="0.3">
      <c r="A6247">
        <v>24141</v>
      </c>
      <c r="B6247" t="s">
        <v>150</v>
      </c>
      <c r="C6247">
        <v>51030028</v>
      </c>
      <c r="D6247">
        <v>60.085599532918337</v>
      </c>
      <c r="E6247" t="s">
        <v>94</v>
      </c>
      <c r="F6247">
        <v>620</v>
      </c>
      <c r="G6247" s="4">
        <v>46087.604456018518</v>
      </c>
    </row>
    <row r="6248" spans="1:7" x14ac:dyDescent="0.3">
      <c r="A6248">
        <v>24142</v>
      </c>
      <c r="B6248" t="s">
        <v>150</v>
      </c>
      <c r="C6248">
        <v>51030257</v>
      </c>
      <c r="D6248">
        <v>27.101406437063901</v>
      </c>
      <c r="E6248" t="s">
        <v>94</v>
      </c>
      <c r="F6248">
        <v>899</v>
      </c>
      <c r="G6248" s="4">
        <v>46087.604456018518</v>
      </c>
    </row>
    <row r="6249" spans="1:7" x14ac:dyDescent="0.3">
      <c r="A6249">
        <v>24143</v>
      </c>
      <c r="B6249" t="s">
        <v>150</v>
      </c>
      <c r="C6249">
        <v>51055489</v>
      </c>
      <c r="D6249">
        <v>62.469012145297633</v>
      </c>
      <c r="E6249" t="s">
        <v>93</v>
      </c>
      <c r="F6249">
        <v>569</v>
      </c>
      <c r="G6249" s="4">
        <v>46087.604456018518</v>
      </c>
    </row>
    <row r="6250" spans="1:7" x14ac:dyDescent="0.3">
      <c r="A6250">
        <v>24144</v>
      </c>
      <c r="B6250" t="s">
        <v>150</v>
      </c>
      <c r="C6250">
        <v>51019423</v>
      </c>
      <c r="D6250">
        <v>59.580121864573471</v>
      </c>
      <c r="E6250" t="s">
        <v>94</v>
      </c>
      <c r="F6250">
        <v>629</v>
      </c>
      <c r="G6250" s="4">
        <v>46087.604456018518</v>
      </c>
    </row>
    <row r="6251" spans="1:7" x14ac:dyDescent="0.3">
      <c r="A6251">
        <v>24145</v>
      </c>
      <c r="B6251" t="s">
        <v>150</v>
      </c>
      <c r="C6251">
        <v>51000811</v>
      </c>
      <c r="D6251">
        <v>80.084110464039668</v>
      </c>
      <c r="E6251" t="s">
        <v>93</v>
      </c>
      <c r="F6251">
        <v>438</v>
      </c>
      <c r="G6251" s="4">
        <v>46087.604456018518</v>
      </c>
    </row>
    <row r="6252" spans="1:7" x14ac:dyDescent="0.3">
      <c r="A6252">
        <v>24146</v>
      </c>
      <c r="B6252" t="s">
        <v>150</v>
      </c>
      <c r="C6252">
        <v>51057040</v>
      </c>
      <c r="D6252">
        <v>82.835577050058802</v>
      </c>
      <c r="E6252" t="s">
        <v>93</v>
      </c>
      <c r="F6252">
        <v>362</v>
      </c>
      <c r="G6252" s="4">
        <v>46087.604456018518</v>
      </c>
    </row>
    <row r="6253" spans="1:7" x14ac:dyDescent="0.3">
      <c r="A6253">
        <v>24147</v>
      </c>
      <c r="B6253" t="s">
        <v>150</v>
      </c>
      <c r="C6253">
        <v>51055101</v>
      </c>
      <c r="D6253">
        <v>77.162187293132817</v>
      </c>
      <c r="E6253" t="s">
        <v>93</v>
      </c>
      <c r="F6253">
        <v>456</v>
      </c>
      <c r="G6253" s="4">
        <v>46087.604456018518</v>
      </c>
    </row>
    <row r="6254" spans="1:7" x14ac:dyDescent="0.3">
      <c r="A6254">
        <v>24148</v>
      </c>
      <c r="B6254" t="s">
        <v>150</v>
      </c>
      <c r="C6254">
        <v>51016386</v>
      </c>
      <c r="D6254">
        <v>69.001738273833524</v>
      </c>
      <c r="E6254" t="s">
        <v>93</v>
      </c>
      <c r="F6254">
        <v>519</v>
      </c>
      <c r="G6254" s="4">
        <v>46087.604456018518</v>
      </c>
    </row>
    <row r="6255" spans="1:7" x14ac:dyDescent="0.3">
      <c r="A6255">
        <v>24149</v>
      </c>
      <c r="B6255" t="s">
        <v>150</v>
      </c>
      <c r="C6255">
        <v>51003594</v>
      </c>
      <c r="D6255">
        <v>91.529993455248629</v>
      </c>
      <c r="E6255" t="s">
        <v>92</v>
      </c>
      <c r="F6255">
        <v>110</v>
      </c>
      <c r="G6255" s="4">
        <v>46087.604456018518</v>
      </c>
    </row>
    <row r="6256" spans="1:7" x14ac:dyDescent="0.3">
      <c r="A6256">
        <v>24150</v>
      </c>
      <c r="B6256" t="s">
        <v>150</v>
      </c>
      <c r="C6256">
        <v>51030923</v>
      </c>
      <c r="D6256">
        <v>78.701323443626933</v>
      </c>
      <c r="E6256" t="s">
        <v>93</v>
      </c>
      <c r="F6256">
        <v>451</v>
      </c>
      <c r="G6256" s="4">
        <v>46087.604456018518</v>
      </c>
    </row>
    <row r="6257" spans="1:7" x14ac:dyDescent="0.3">
      <c r="A6257">
        <v>24151</v>
      </c>
      <c r="B6257" t="s">
        <v>150</v>
      </c>
      <c r="C6257">
        <v>51043197</v>
      </c>
      <c r="D6257">
        <v>76.120583663471578</v>
      </c>
      <c r="E6257" t="s">
        <v>93</v>
      </c>
      <c r="F6257">
        <v>463</v>
      </c>
      <c r="G6257" s="4">
        <v>46087.604456018518</v>
      </c>
    </row>
    <row r="6258" spans="1:7" x14ac:dyDescent="0.3">
      <c r="A6258">
        <v>24152</v>
      </c>
      <c r="B6258" t="s">
        <v>150</v>
      </c>
      <c r="C6258">
        <v>51022823</v>
      </c>
      <c r="D6258">
        <v>41.087173808055226</v>
      </c>
      <c r="E6258" t="s">
        <v>94</v>
      </c>
      <c r="F6258">
        <v>782</v>
      </c>
      <c r="G6258" s="4">
        <v>46087.604456018518</v>
      </c>
    </row>
    <row r="6259" spans="1:7" x14ac:dyDescent="0.3">
      <c r="A6259">
        <v>24153</v>
      </c>
      <c r="B6259" t="s">
        <v>150</v>
      </c>
      <c r="C6259">
        <v>51056060</v>
      </c>
      <c r="D6259">
        <v>88.199011165773285</v>
      </c>
      <c r="E6259" t="s">
        <v>92</v>
      </c>
      <c r="F6259">
        <v>192</v>
      </c>
      <c r="G6259" s="4">
        <v>46087.604456018518</v>
      </c>
    </row>
    <row r="6260" spans="1:7" x14ac:dyDescent="0.3">
      <c r="A6260">
        <v>24154</v>
      </c>
      <c r="B6260" t="s">
        <v>150</v>
      </c>
      <c r="C6260">
        <v>51024419</v>
      </c>
      <c r="D6260">
        <v>61.973244925073068</v>
      </c>
      <c r="E6260" t="s">
        <v>93</v>
      </c>
      <c r="F6260">
        <v>579</v>
      </c>
      <c r="G6260" s="4">
        <v>46087.604456018518</v>
      </c>
    </row>
    <row r="6261" spans="1:7" x14ac:dyDescent="0.3">
      <c r="A6261">
        <v>24155</v>
      </c>
      <c r="B6261" t="s">
        <v>150</v>
      </c>
      <c r="C6261">
        <v>51025326</v>
      </c>
      <c r="D6261">
        <v>93.499480113594444</v>
      </c>
      <c r="E6261" t="s">
        <v>92</v>
      </c>
      <c r="F6261">
        <v>85</v>
      </c>
      <c r="G6261" s="4">
        <v>46087.604456018518</v>
      </c>
    </row>
    <row r="6262" spans="1:7" x14ac:dyDescent="0.3">
      <c r="A6262">
        <v>24156</v>
      </c>
      <c r="B6262" t="s">
        <v>150</v>
      </c>
      <c r="C6262">
        <v>51020014</v>
      </c>
      <c r="D6262">
        <v>82.503294338574747</v>
      </c>
      <c r="E6262" t="s">
        <v>93</v>
      </c>
      <c r="F6262">
        <v>373</v>
      </c>
      <c r="G6262" s="4">
        <v>46087.604456018518</v>
      </c>
    </row>
    <row r="6263" spans="1:7" x14ac:dyDescent="0.3">
      <c r="A6263">
        <v>24157</v>
      </c>
      <c r="B6263" t="s">
        <v>150</v>
      </c>
      <c r="C6263">
        <v>51055951</v>
      </c>
      <c r="D6263">
        <v>55.19332681499192</v>
      </c>
      <c r="E6263" t="s">
        <v>94</v>
      </c>
      <c r="F6263">
        <v>714</v>
      </c>
      <c r="G6263" s="4">
        <v>46087.604456018518</v>
      </c>
    </row>
    <row r="6264" spans="1:7" x14ac:dyDescent="0.3">
      <c r="A6264">
        <v>24158</v>
      </c>
      <c r="B6264" t="s">
        <v>150</v>
      </c>
      <c r="C6264">
        <v>51016882</v>
      </c>
      <c r="D6264">
        <v>66.848198885471461</v>
      </c>
      <c r="E6264" t="s">
        <v>93</v>
      </c>
      <c r="F6264">
        <v>538</v>
      </c>
      <c r="G6264" s="4">
        <v>46087.604456018518</v>
      </c>
    </row>
    <row r="6265" spans="1:7" x14ac:dyDescent="0.3">
      <c r="A6265">
        <v>24159</v>
      </c>
      <c r="B6265" t="s">
        <v>150</v>
      </c>
      <c r="C6265">
        <v>51043405</v>
      </c>
      <c r="D6265">
        <v>88.057598318495039</v>
      </c>
      <c r="E6265" t="s">
        <v>92</v>
      </c>
      <c r="F6265">
        <v>196</v>
      </c>
      <c r="G6265" s="4">
        <v>46087.604456018518</v>
      </c>
    </row>
    <row r="6266" spans="1:7" x14ac:dyDescent="0.3">
      <c r="A6266">
        <v>24160</v>
      </c>
      <c r="B6266" t="s">
        <v>150</v>
      </c>
      <c r="C6266">
        <v>51008987</v>
      </c>
      <c r="D6266">
        <v>86.672894030303311</v>
      </c>
      <c r="E6266" t="s">
        <v>92</v>
      </c>
      <c r="F6266">
        <v>234</v>
      </c>
      <c r="G6266" s="4">
        <v>46087.604456018518</v>
      </c>
    </row>
    <row r="6267" spans="1:7" x14ac:dyDescent="0.3">
      <c r="A6267">
        <v>24161</v>
      </c>
      <c r="B6267" t="s">
        <v>150</v>
      </c>
      <c r="C6267">
        <v>51021088</v>
      </c>
      <c r="D6267">
        <v>96.274302041754424</v>
      </c>
      <c r="E6267" t="s">
        <v>275</v>
      </c>
      <c r="F6267">
        <v>57</v>
      </c>
      <c r="G6267" s="4">
        <v>46087.604456018518</v>
      </c>
    </row>
    <row r="6268" spans="1:7" x14ac:dyDescent="0.3">
      <c r="A6268">
        <v>24162</v>
      </c>
      <c r="B6268" t="s">
        <v>150</v>
      </c>
      <c r="C6268">
        <v>51001702</v>
      </c>
      <c r="D6268">
        <v>87.48522995909471</v>
      </c>
      <c r="E6268" t="s">
        <v>92</v>
      </c>
      <c r="F6268">
        <v>212</v>
      </c>
      <c r="G6268" s="4">
        <v>46087.604456018518</v>
      </c>
    </row>
    <row r="6269" spans="1:7" x14ac:dyDescent="0.3">
      <c r="A6269">
        <v>24163</v>
      </c>
      <c r="B6269" t="s">
        <v>150</v>
      </c>
      <c r="C6269">
        <v>51003730</v>
      </c>
      <c r="D6269">
        <v>82.610145881729593</v>
      </c>
      <c r="E6269" t="s">
        <v>93</v>
      </c>
      <c r="F6269">
        <v>370</v>
      </c>
      <c r="G6269" s="4">
        <v>46087.604456018518</v>
      </c>
    </row>
    <row r="6270" spans="1:7" x14ac:dyDescent="0.3">
      <c r="A6270">
        <v>24164</v>
      </c>
      <c r="B6270" t="s">
        <v>150</v>
      </c>
      <c r="C6270">
        <v>51012348</v>
      </c>
      <c r="D6270">
        <v>84.658489568126356</v>
      </c>
      <c r="E6270" t="s">
        <v>93</v>
      </c>
      <c r="F6270">
        <v>294</v>
      </c>
      <c r="G6270" s="4">
        <v>46087.604456018518</v>
      </c>
    </row>
    <row r="6271" spans="1:7" x14ac:dyDescent="0.3">
      <c r="A6271">
        <v>24165</v>
      </c>
      <c r="B6271" t="s">
        <v>150</v>
      </c>
      <c r="C6271">
        <v>51031563</v>
      </c>
      <c r="D6271">
        <v>83.15226220515946</v>
      </c>
      <c r="E6271" t="s">
        <v>93</v>
      </c>
      <c r="F6271">
        <v>348</v>
      </c>
      <c r="G6271" s="4">
        <v>46087.604456018518</v>
      </c>
    </row>
    <row r="6272" spans="1:7" x14ac:dyDescent="0.3">
      <c r="A6272">
        <v>24166</v>
      </c>
      <c r="B6272" t="s">
        <v>150</v>
      </c>
      <c r="C6272">
        <v>51055080</v>
      </c>
      <c r="D6272">
        <v>80.1827928506615</v>
      </c>
      <c r="E6272" t="s">
        <v>93</v>
      </c>
      <c r="F6272">
        <v>434</v>
      </c>
      <c r="G6272" s="4">
        <v>46087.604456018518</v>
      </c>
    </row>
    <row r="6273" spans="1:7" x14ac:dyDescent="0.3">
      <c r="A6273">
        <v>24167</v>
      </c>
      <c r="B6273" t="s">
        <v>150</v>
      </c>
      <c r="C6273">
        <v>51018672</v>
      </c>
      <c r="D6273">
        <v>59.281485229808503</v>
      </c>
      <c r="E6273" t="s">
        <v>94</v>
      </c>
      <c r="F6273">
        <v>633</v>
      </c>
      <c r="G6273" s="4">
        <v>46087.604456018518</v>
      </c>
    </row>
    <row r="6274" spans="1:7" x14ac:dyDescent="0.3">
      <c r="A6274">
        <v>24168</v>
      </c>
      <c r="B6274" t="s">
        <v>150</v>
      </c>
      <c r="C6274">
        <v>51019130</v>
      </c>
      <c r="D6274">
        <v>85.086468282335559</v>
      </c>
      <c r="E6274" t="s">
        <v>93</v>
      </c>
      <c r="F6274">
        <v>281</v>
      </c>
      <c r="G6274" s="4">
        <v>46087.604456018518</v>
      </c>
    </row>
    <row r="6275" spans="1:7" x14ac:dyDescent="0.3">
      <c r="A6275">
        <v>24169</v>
      </c>
      <c r="B6275" t="s">
        <v>150</v>
      </c>
      <c r="C6275">
        <v>51036255</v>
      </c>
      <c r="D6275">
        <v>65.83087451211955</v>
      </c>
      <c r="E6275" t="s">
        <v>93</v>
      </c>
      <c r="F6275">
        <v>542</v>
      </c>
      <c r="G6275" s="4">
        <v>46087.604456018518</v>
      </c>
    </row>
    <row r="6276" spans="1:7" x14ac:dyDescent="0.3">
      <c r="A6276">
        <v>24170</v>
      </c>
      <c r="B6276" t="s">
        <v>150</v>
      </c>
      <c r="C6276">
        <v>51056809</v>
      </c>
      <c r="D6276">
        <v>56.867942065102696</v>
      </c>
      <c r="E6276" t="s">
        <v>94</v>
      </c>
      <c r="F6276">
        <v>686</v>
      </c>
      <c r="G6276" s="4">
        <v>46087.604456018518</v>
      </c>
    </row>
    <row r="6277" spans="1:7" x14ac:dyDescent="0.3">
      <c r="A6277">
        <v>24171</v>
      </c>
      <c r="B6277" t="s">
        <v>150</v>
      </c>
      <c r="C6277">
        <v>51018699</v>
      </c>
      <c r="D6277">
        <v>84.548883514625516</v>
      </c>
      <c r="E6277" t="s">
        <v>93</v>
      </c>
      <c r="F6277">
        <v>298</v>
      </c>
      <c r="G6277" s="4">
        <v>46087.604456018518</v>
      </c>
    </row>
    <row r="6278" spans="1:7" x14ac:dyDescent="0.3">
      <c r="A6278">
        <v>24172</v>
      </c>
      <c r="B6278" t="s">
        <v>150</v>
      </c>
      <c r="C6278">
        <v>51010019</v>
      </c>
      <c r="D6278">
        <v>79.893985908985428</v>
      </c>
      <c r="E6278" t="s">
        <v>93</v>
      </c>
      <c r="F6278">
        <v>442</v>
      </c>
      <c r="G6278" s="4">
        <v>46087.604456018518</v>
      </c>
    </row>
    <row r="6279" spans="1:7" x14ac:dyDescent="0.3">
      <c r="A6279">
        <v>24173</v>
      </c>
      <c r="B6279" t="s">
        <v>150</v>
      </c>
      <c r="C6279">
        <v>51010647</v>
      </c>
      <c r="D6279">
        <v>80.786106309812808</v>
      </c>
      <c r="E6279" t="s">
        <v>93</v>
      </c>
      <c r="F6279">
        <v>420</v>
      </c>
      <c r="G6279" s="4">
        <v>46087.604456018518</v>
      </c>
    </row>
    <row r="6280" spans="1:7" x14ac:dyDescent="0.3">
      <c r="A6280">
        <v>24174</v>
      </c>
      <c r="B6280" t="s">
        <v>150</v>
      </c>
      <c r="C6280">
        <v>51054881</v>
      </c>
      <c r="D6280">
        <v>56.066424355824374</v>
      </c>
      <c r="E6280" t="s">
        <v>94</v>
      </c>
      <c r="F6280">
        <v>700</v>
      </c>
      <c r="G6280" s="4">
        <v>46087.604456018518</v>
      </c>
    </row>
    <row r="6281" spans="1:7" x14ac:dyDescent="0.3">
      <c r="A6281">
        <v>24175</v>
      </c>
      <c r="B6281" t="s">
        <v>150</v>
      </c>
      <c r="C6281">
        <v>51019091</v>
      </c>
      <c r="D6281">
        <v>19.332193617659225</v>
      </c>
      <c r="E6281" t="s">
        <v>95</v>
      </c>
      <c r="F6281">
        <v>991</v>
      </c>
      <c r="G6281" s="4">
        <v>46087.604456018518</v>
      </c>
    </row>
    <row r="6282" spans="1:7" x14ac:dyDescent="0.3">
      <c r="A6282">
        <v>24176</v>
      </c>
      <c r="B6282" t="s">
        <v>150</v>
      </c>
      <c r="C6282">
        <v>51018931</v>
      </c>
      <c r="D6282">
        <v>83.203468585825476</v>
      </c>
      <c r="E6282" t="s">
        <v>93</v>
      </c>
      <c r="F6282">
        <v>342</v>
      </c>
      <c r="G6282" s="4">
        <v>46087.604456018518</v>
      </c>
    </row>
    <row r="6283" spans="1:7" x14ac:dyDescent="0.3">
      <c r="A6283">
        <v>24177</v>
      </c>
      <c r="B6283" t="s">
        <v>150</v>
      </c>
      <c r="C6283">
        <v>51057015</v>
      </c>
      <c r="D6283">
        <v>93.878395186173947</v>
      </c>
      <c r="E6283" t="s">
        <v>92</v>
      </c>
      <c r="F6283">
        <v>78</v>
      </c>
      <c r="G6283" s="4">
        <v>46087.604456018518</v>
      </c>
    </row>
    <row r="6284" spans="1:7" x14ac:dyDescent="0.3">
      <c r="A6284">
        <v>24178</v>
      </c>
      <c r="B6284" t="s">
        <v>150</v>
      </c>
      <c r="C6284">
        <v>51023421</v>
      </c>
      <c r="D6284">
        <v>84.997713680227378</v>
      </c>
      <c r="E6284" t="s">
        <v>93</v>
      </c>
      <c r="F6284">
        <v>285</v>
      </c>
      <c r="G6284" s="4">
        <v>46087.604456018518</v>
      </c>
    </row>
    <row r="6285" spans="1:7" x14ac:dyDescent="0.3">
      <c r="A6285">
        <v>24179</v>
      </c>
      <c r="B6285" t="s">
        <v>150</v>
      </c>
      <c r="C6285">
        <v>51012305</v>
      </c>
      <c r="D6285">
        <v>71.80527014594486</v>
      </c>
      <c r="E6285" t="s">
        <v>93</v>
      </c>
      <c r="F6285">
        <v>500</v>
      </c>
      <c r="G6285" s="4">
        <v>46087.604456018518</v>
      </c>
    </row>
    <row r="6286" spans="1:7" x14ac:dyDescent="0.3">
      <c r="A6286">
        <v>24180</v>
      </c>
      <c r="B6286" t="s">
        <v>150</v>
      </c>
      <c r="C6286">
        <v>51014219</v>
      </c>
      <c r="D6286">
        <v>100</v>
      </c>
      <c r="E6286" t="s">
        <v>275</v>
      </c>
      <c r="F6286">
        <v>1</v>
      </c>
      <c r="G6286" s="4">
        <v>46087.604456018518</v>
      </c>
    </row>
    <row r="6287" spans="1:7" x14ac:dyDescent="0.3">
      <c r="A6287">
        <v>24181</v>
      </c>
      <c r="B6287" t="s">
        <v>150</v>
      </c>
      <c r="C6287">
        <v>51030753</v>
      </c>
      <c r="D6287">
        <v>96.516015844941791</v>
      </c>
      <c r="E6287" t="s">
        <v>275</v>
      </c>
      <c r="F6287">
        <v>52</v>
      </c>
      <c r="G6287" s="4">
        <v>46087.604456018518</v>
      </c>
    </row>
    <row r="6288" spans="1:7" x14ac:dyDescent="0.3">
      <c r="A6288">
        <v>24182</v>
      </c>
      <c r="B6288" t="s">
        <v>150</v>
      </c>
      <c r="C6288">
        <v>51042336</v>
      </c>
      <c r="D6288">
        <v>60.906106442535929</v>
      </c>
      <c r="E6288" t="s">
        <v>94</v>
      </c>
      <c r="F6288">
        <v>599</v>
      </c>
      <c r="G6288" s="4">
        <v>46087.604456018518</v>
      </c>
    </row>
    <row r="6289" spans="1:7" x14ac:dyDescent="0.3">
      <c r="A6289">
        <v>24183</v>
      </c>
      <c r="B6289" t="s">
        <v>150</v>
      </c>
      <c r="C6289">
        <v>51023790</v>
      </c>
      <c r="D6289">
        <v>81.016388522218364</v>
      </c>
      <c r="E6289" t="s">
        <v>93</v>
      </c>
      <c r="F6289">
        <v>415</v>
      </c>
      <c r="G6289" s="4">
        <v>46087.604456018518</v>
      </c>
    </row>
    <row r="6290" spans="1:7" x14ac:dyDescent="0.3">
      <c r="A6290">
        <v>24184</v>
      </c>
      <c r="B6290" t="s">
        <v>150</v>
      </c>
      <c r="C6290">
        <v>51022378</v>
      </c>
      <c r="D6290">
        <v>25.279352093706915</v>
      </c>
      <c r="E6290" t="s">
        <v>94</v>
      </c>
      <c r="F6290">
        <v>912</v>
      </c>
      <c r="G6290" s="4">
        <v>46087.604456018518</v>
      </c>
    </row>
    <row r="6291" spans="1:7" x14ac:dyDescent="0.3">
      <c r="A6291">
        <v>24185</v>
      </c>
      <c r="B6291" t="s">
        <v>150</v>
      </c>
      <c r="C6291">
        <v>51052072</v>
      </c>
      <c r="D6291">
        <v>23.346660015961099</v>
      </c>
      <c r="E6291" t="s">
        <v>94</v>
      </c>
      <c r="F6291">
        <v>929</v>
      </c>
      <c r="G6291" s="4">
        <v>46087.604456018518</v>
      </c>
    </row>
    <row r="6292" spans="1:7" x14ac:dyDescent="0.3">
      <c r="A6292">
        <v>24186</v>
      </c>
      <c r="B6292" t="s">
        <v>150</v>
      </c>
      <c r="C6292">
        <v>51031946</v>
      </c>
      <c r="D6292">
        <v>84.851225194806446</v>
      </c>
      <c r="E6292" t="s">
        <v>93</v>
      </c>
      <c r="F6292">
        <v>289</v>
      </c>
      <c r="G6292" s="4">
        <v>46087.604456018518</v>
      </c>
    </row>
    <row r="6293" spans="1:7" x14ac:dyDescent="0.3">
      <c r="A6293">
        <v>24187</v>
      </c>
      <c r="B6293" t="s">
        <v>150</v>
      </c>
      <c r="C6293">
        <v>51010752</v>
      </c>
      <c r="D6293">
        <v>30.106967971953289</v>
      </c>
      <c r="E6293" t="s">
        <v>94</v>
      </c>
      <c r="F6293">
        <v>862</v>
      </c>
      <c r="G6293" s="4">
        <v>46087.604456018518</v>
      </c>
    </row>
    <row r="6294" spans="1:7" x14ac:dyDescent="0.3">
      <c r="A6294">
        <v>24188</v>
      </c>
      <c r="B6294" t="s">
        <v>150</v>
      </c>
      <c r="C6294">
        <v>51055594</v>
      </c>
      <c r="D6294">
        <v>82.832307086279371</v>
      </c>
      <c r="E6294" t="s">
        <v>93</v>
      </c>
      <c r="F6294">
        <v>363</v>
      </c>
      <c r="G6294" s="4">
        <v>46087.604456018518</v>
      </c>
    </row>
    <row r="6295" spans="1:7" x14ac:dyDescent="0.3">
      <c r="A6295">
        <v>24189</v>
      </c>
      <c r="B6295" t="s">
        <v>150</v>
      </c>
      <c r="C6295">
        <v>51041585</v>
      </c>
      <c r="D6295">
        <v>94.473394668201252</v>
      </c>
      <c r="E6295" t="s">
        <v>92</v>
      </c>
      <c r="F6295">
        <v>73</v>
      </c>
      <c r="G6295" s="4">
        <v>46087.604456018518</v>
      </c>
    </row>
    <row r="6296" spans="1:7" x14ac:dyDescent="0.3">
      <c r="A6296">
        <v>24190</v>
      </c>
      <c r="B6296" t="s">
        <v>150</v>
      </c>
      <c r="C6296">
        <v>51017455</v>
      </c>
      <c r="D6296">
        <v>98.868378078646231</v>
      </c>
      <c r="E6296" t="s">
        <v>275</v>
      </c>
      <c r="F6296">
        <v>25</v>
      </c>
      <c r="G6296" s="4">
        <v>46087.604456018518</v>
      </c>
    </row>
    <row r="6297" spans="1:7" x14ac:dyDescent="0.3">
      <c r="A6297">
        <v>24191</v>
      </c>
      <c r="B6297" t="s">
        <v>150</v>
      </c>
      <c r="C6297">
        <v>51033345</v>
      </c>
      <c r="D6297">
        <v>50.65069731916077</v>
      </c>
      <c r="E6297" t="s">
        <v>94</v>
      </c>
      <c r="F6297">
        <v>736</v>
      </c>
      <c r="G6297" s="4">
        <v>46087.604456018518</v>
      </c>
    </row>
    <row r="6298" spans="1:7" x14ac:dyDescent="0.3">
      <c r="A6298">
        <v>24192</v>
      </c>
      <c r="B6298" t="s">
        <v>150</v>
      </c>
      <c r="C6298">
        <v>51012399</v>
      </c>
      <c r="D6298">
        <v>79.648650435739683</v>
      </c>
      <c r="E6298" t="s">
        <v>93</v>
      </c>
      <c r="F6298">
        <v>444</v>
      </c>
      <c r="G6298" s="4">
        <v>46087.604456018518</v>
      </c>
    </row>
    <row r="6299" spans="1:7" x14ac:dyDescent="0.3">
      <c r="A6299">
        <v>24193</v>
      </c>
      <c r="B6299" t="s">
        <v>150</v>
      </c>
      <c r="C6299">
        <v>51034236</v>
      </c>
      <c r="D6299">
        <v>82.791250104955111</v>
      </c>
      <c r="E6299" t="s">
        <v>93</v>
      </c>
      <c r="F6299">
        <v>364</v>
      </c>
      <c r="G6299" s="4">
        <v>46087.604456018518</v>
      </c>
    </row>
    <row r="6300" spans="1:7" x14ac:dyDescent="0.3">
      <c r="A6300">
        <v>24194</v>
      </c>
      <c r="B6300" t="s">
        <v>150</v>
      </c>
      <c r="C6300">
        <v>51012941</v>
      </c>
      <c r="D6300">
        <v>100</v>
      </c>
      <c r="E6300" t="s">
        <v>275</v>
      </c>
      <c r="F6300">
        <v>1</v>
      </c>
      <c r="G6300" s="4">
        <v>46087.604456018518</v>
      </c>
    </row>
    <row r="6301" spans="1:7" x14ac:dyDescent="0.3">
      <c r="A6301">
        <v>24195</v>
      </c>
      <c r="B6301" t="s">
        <v>150</v>
      </c>
      <c r="C6301">
        <v>51011694</v>
      </c>
      <c r="D6301">
        <v>33.220927361368268</v>
      </c>
      <c r="E6301" t="s">
        <v>94</v>
      </c>
      <c r="F6301">
        <v>820</v>
      </c>
      <c r="G6301" s="4">
        <v>46087.604456018518</v>
      </c>
    </row>
    <row r="6302" spans="1:7" x14ac:dyDescent="0.3">
      <c r="A6302">
        <v>24196</v>
      </c>
      <c r="B6302" t="s">
        <v>150</v>
      </c>
      <c r="C6302">
        <v>51020197</v>
      </c>
      <c r="D6302">
        <v>87.513383757557122</v>
      </c>
      <c r="E6302" t="s">
        <v>92</v>
      </c>
      <c r="F6302">
        <v>211</v>
      </c>
      <c r="G6302" s="4">
        <v>46087.604456018518</v>
      </c>
    </row>
    <row r="6303" spans="1:7" x14ac:dyDescent="0.3">
      <c r="A6303">
        <v>24197</v>
      </c>
      <c r="B6303" t="s">
        <v>150</v>
      </c>
      <c r="C6303">
        <v>51003284</v>
      </c>
      <c r="D6303">
        <v>94.032648437230222</v>
      </c>
      <c r="E6303" t="s">
        <v>92</v>
      </c>
      <c r="F6303">
        <v>76</v>
      </c>
      <c r="G6303" s="4">
        <v>46087.604456018518</v>
      </c>
    </row>
    <row r="6304" spans="1:7" x14ac:dyDescent="0.3">
      <c r="A6304">
        <v>24198</v>
      </c>
      <c r="B6304" t="s">
        <v>150</v>
      </c>
      <c r="C6304">
        <v>51025342</v>
      </c>
      <c r="D6304">
        <v>32.126610725672315</v>
      </c>
      <c r="E6304" t="s">
        <v>94</v>
      </c>
      <c r="F6304">
        <v>836</v>
      </c>
      <c r="G6304" s="4">
        <v>46087.604456018518</v>
      </c>
    </row>
    <row r="6305" spans="1:7" x14ac:dyDescent="0.3">
      <c r="A6305">
        <v>24199</v>
      </c>
      <c r="B6305" t="s">
        <v>150</v>
      </c>
      <c r="C6305">
        <v>51030389</v>
      </c>
      <c r="D6305">
        <v>95.147793835683601</v>
      </c>
      <c r="E6305" t="s">
        <v>92</v>
      </c>
      <c r="F6305">
        <v>69</v>
      </c>
      <c r="G6305" s="4">
        <v>46087.604456018518</v>
      </c>
    </row>
    <row r="6306" spans="1:7" x14ac:dyDescent="0.3">
      <c r="A6306">
        <v>24200</v>
      </c>
      <c r="B6306" t="s">
        <v>150</v>
      </c>
      <c r="C6306">
        <v>51013581</v>
      </c>
      <c r="D6306">
        <v>56.657839147085689</v>
      </c>
      <c r="E6306" t="s">
        <v>94</v>
      </c>
      <c r="F6306">
        <v>689</v>
      </c>
      <c r="G6306" s="4">
        <v>46087.604456018518</v>
      </c>
    </row>
    <row r="6307" spans="1:7" x14ac:dyDescent="0.3">
      <c r="A6307">
        <v>24201</v>
      </c>
      <c r="B6307" t="s">
        <v>150</v>
      </c>
      <c r="C6307">
        <v>51056833</v>
      </c>
      <c r="D6307">
        <v>83.660950310479109</v>
      </c>
      <c r="E6307" t="s">
        <v>93</v>
      </c>
      <c r="F6307">
        <v>330</v>
      </c>
      <c r="G6307" s="4">
        <v>46087.604456018518</v>
      </c>
    </row>
    <row r="6308" spans="1:7" x14ac:dyDescent="0.3">
      <c r="A6308">
        <v>24202</v>
      </c>
      <c r="B6308" t="s">
        <v>150</v>
      </c>
      <c r="C6308">
        <v>51056086</v>
      </c>
      <c r="D6308">
        <v>81.924324683612681</v>
      </c>
      <c r="E6308" t="s">
        <v>93</v>
      </c>
      <c r="F6308">
        <v>388</v>
      </c>
      <c r="G6308" s="4">
        <v>46087.604456018518</v>
      </c>
    </row>
    <row r="6309" spans="1:7" x14ac:dyDescent="0.3">
      <c r="A6309">
        <v>24203</v>
      </c>
      <c r="B6309" t="s">
        <v>150</v>
      </c>
      <c r="C6309">
        <v>51055241</v>
      </c>
      <c r="D6309">
        <v>81.732074310686144</v>
      </c>
      <c r="E6309" t="s">
        <v>93</v>
      </c>
      <c r="F6309">
        <v>392</v>
      </c>
      <c r="G6309" s="4">
        <v>46087.604456018518</v>
      </c>
    </row>
    <row r="6310" spans="1:7" x14ac:dyDescent="0.3">
      <c r="A6310">
        <v>24204</v>
      </c>
      <c r="B6310" t="s">
        <v>150</v>
      </c>
      <c r="C6310">
        <v>51008669</v>
      </c>
      <c r="D6310">
        <v>81.315845699514256</v>
      </c>
      <c r="E6310" t="s">
        <v>93</v>
      </c>
      <c r="F6310">
        <v>405</v>
      </c>
      <c r="G6310" s="4">
        <v>46087.604456018518</v>
      </c>
    </row>
    <row r="6311" spans="1:7" x14ac:dyDescent="0.3">
      <c r="A6311">
        <v>24205</v>
      </c>
      <c r="B6311" t="s">
        <v>150</v>
      </c>
      <c r="C6311">
        <v>51031521</v>
      </c>
      <c r="D6311">
        <v>29.269186615705507</v>
      </c>
      <c r="E6311" t="s">
        <v>94</v>
      </c>
      <c r="F6311">
        <v>876</v>
      </c>
      <c r="G6311" s="4">
        <v>46087.604456018518</v>
      </c>
    </row>
    <row r="6312" spans="1:7" x14ac:dyDescent="0.3">
      <c r="A6312">
        <v>24206</v>
      </c>
      <c r="B6312" t="s">
        <v>150</v>
      </c>
      <c r="C6312">
        <v>51033477</v>
      </c>
      <c r="D6312">
        <v>21.970544768720426</v>
      </c>
      <c r="E6312" t="s">
        <v>94</v>
      </c>
      <c r="F6312">
        <v>949</v>
      </c>
      <c r="G6312" s="4">
        <v>46087.604456018518</v>
      </c>
    </row>
    <row r="6313" spans="1:7" x14ac:dyDescent="0.3">
      <c r="A6313">
        <v>24207</v>
      </c>
      <c r="B6313" t="s">
        <v>150</v>
      </c>
      <c r="C6313">
        <v>51020651</v>
      </c>
      <c r="D6313">
        <v>73.478242417672135</v>
      </c>
      <c r="E6313" t="s">
        <v>93</v>
      </c>
      <c r="F6313">
        <v>486</v>
      </c>
      <c r="G6313" s="4">
        <v>46087.604456018518</v>
      </c>
    </row>
    <row r="6314" spans="1:7" x14ac:dyDescent="0.3">
      <c r="A6314">
        <v>24208</v>
      </c>
      <c r="B6314" t="s">
        <v>150</v>
      </c>
      <c r="C6314">
        <v>51013409</v>
      </c>
      <c r="D6314">
        <v>59.663560082784805</v>
      </c>
      <c r="E6314" t="s">
        <v>94</v>
      </c>
      <c r="F6314">
        <v>626</v>
      </c>
      <c r="G6314" s="4">
        <v>46087.604456018518</v>
      </c>
    </row>
    <row r="6315" spans="1:7" x14ac:dyDescent="0.3">
      <c r="A6315">
        <v>24209</v>
      </c>
      <c r="B6315" t="s">
        <v>150</v>
      </c>
      <c r="C6315">
        <v>51030397</v>
      </c>
      <c r="D6315">
        <v>83.096618684296757</v>
      </c>
      <c r="E6315" t="s">
        <v>93</v>
      </c>
      <c r="F6315">
        <v>350</v>
      </c>
      <c r="G6315" s="4">
        <v>46087.604456018518</v>
      </c>
    </row>
    <row r="6316" spans="1:7" x14ac:dyDescent="0.3">
      <c r="A6316">
        <v>24210</v>
      </c>
      <c r="B6316" t="s">
        <v>150</v>
      </c>
      <c r="C6316">
        <v>51010353</v>
      </c>
      <c r="D6316">
        <v>60.292140530344653</v>
      </c>
      <c r="E6316" t="s">
        <v>94</v>
      </c>
      <c r="F6316">
        <v>612</v>
      </c>
      <c r="G6316" s="4">
        <v>46087.604456018518</v>
      </c>
    </row>
    <row r="6317" spans="1:7" x14ac:dyDescent="0.3">
      <c r="A6317">
        <v>24211</v>
      </c>
      <c r="B6317" t="s">
        <v>150</v>
      </c>
      <c r="C6317">
        <v>51054814</v>
      </c>
      <c r="D6317">
        <v>77.580295321540149</v>
      </c>
      <c r="E6317" t="s">
        <v>93</v>
      </c>
      <c r="F6317">
        <v>455</v>
      </c>
      <c r="G6317" s="4">
        <v>46087.604456018518</v>
      </c>
    </row>
    <row r="6318" spans="1:7" x14ac:dyDescent="0.3">
      <c r="A6318">
        <v>24212</v>
      </c>
      <c r="B6318" t="s">
        <v>150</v>
      </c>
      <c r="C6318">
        <v>51012372</v>
      </c>
      <c r="D6318">
        <v>80.695012992614167</v>
      </c>
      <c r="E6318" t="s">
        <v>93</v>
      </c>
      <c r="F6318">
        <v>422</v>
      </c>
      <c r="G6318" s="4">
        <v>46087.604456018518</v>
      </c>
    </row>
    <row r="6319" spans="1:7" x14ac:dyDescent="0.3">
      <c r="A6319">
        <v>24213</v>
      </c>
      <c r="B6319" t="s">
        <v>150</v>
      </c>
      <c r="C6319">
        <v>51036212</v>
      </c>
      <c r="D6319">
        <v>79.97537534652723</v>
      </c>
      <c r="E6319" t="s">
        <v>93</v>
      </c>
      <c r="F6319">
        <v>441</v>
      </c>
      <c r="G6319" s="4">
        <v>46087.604456018518</v>
      </c>
    </row>
    <row r="6320" spans="1:7" x14ac:dyDescent="0.3">
      <c r="A6320">
        <v>24214</v>
      </c>
      <c r="B6320" t="s">
        <v>150</v>
      </c>
      <c r="C6320">
        <v>51029984</v>
      </c>
      <c r="D6320">
        <v>63.723154919653638</v>
      </c>
      <c r="E6320" t="s">
        <v>93</v>
      </c>
      <c r="F6320">
        <v>551</v>
      </c>
      <c r="G6320" s="4">
        <v>46087.604456018518</v>
      </c>
    </row>
    <row r="6321" spans="1:7" x14ac:dyDescent="0.3">
      <c r="A6321">
        <v>24215</v>
      </c>
      <c r="B6321" t="s">
        <v>150</v>
      </c>
      <c r="C6321">
        <v>51039777</v>
      </c>
      <c r="D6321">
        <v>85.424495592228865</v>
      </c>
      <c r="E6321" t="s">
        <v>93</v>
      </c>
      <c r="F6321">
        <v>272</v>
      </c>
      <c r="G6321" s="4">
        <v>46087.604456018518</v>
      </c>
    </row>
    <row r="6322" spans="1:7" x14ac:dyDescent="0.3">
      <c r="A6322">
        <v>24216</v>
      </c>
      <c r="B6322" t="s">
        <v>150</v>
      </c>
      <c r="C6322">
        <v>51056183</v>
      </c>
      <c r="D6322">
        <v>56.044173696473649</v>
      </c>
      <c r="E6322" t="s">
        <v>94</v>
      </c>
      <c r="F6322">
        <v>701</v>
      </c>
      <c r="G6322" s="4">
        <v>46087.604456018518</v>
      </c>
    </row>
    <row r="6323" spans="1:7" x14ac:dyDescent="0.3">
      <c r="A6323">
        <v>24217</v>
      </c>
      <c r="B6323" t="s">
        <v>150</v>
      </c>
      <c r="C6323">
        <v>51039238</v>
      </c>
      <c r="D6323">
        <v>30.068583584857066</v>
      </c>
      <c r="E6323" t="s">
        <v>94</v>
      </c>
      <c r="F6323">
        <v>864</v>
      </c>
      <c r="G6323" s="4">
        <v>46087.604456018518</v>
      </c>
    </row>
    <row r="6324" spans="1:7" x14ac:dyDescent="0.3">
      <c r="A6324">
        <v>24218</v>
      </c>
      <c r="B6324" t="s">
        <v>150</v>
      </c>
      <c r="C6324">
        <v>51007701</v>
      </c>
      <c r="D6324">
        <v>100</v>
      </c>
      <c r="E6324" t="s">
        <v>275</v>
      </c>
      <c r="F6324">
        <v>1</v>
      </c>
      <c r="G6324" s="4">
        <v>46087.604456018518</v>
      </c>
    </row>
    <row r="6325" spans="1:7" x14ac:dyDescent="0.3">
      <c r="A6325">
        <v>24219</v>
      </c>
      <c r="B6325" t="s">
        <v>150</v>
      </c>
      <c r="C6325">
        <v>51034228</v>
      </c>
      <c r="D6325">
        <v>60.407754758121968</v>
      </c>
      <c r="E6325" t="s">
        <v>94</v>
      </c>
      <c r="F6325">
        <v>609</v>
      </c>
      <c r="G6325" s="4">
        <v>46087.604456018518</v>
      </c>
    </row>
    <row r="6326" spans="1:7" x14ac:dyDescent="0.3">
      <c r="A6326">
        <v>24220</v>
      </c>
      <c r="B6326" t="s">
        <v>150</v>
      </c>
      <c r="C6326">
        <v>51005295</v>
      </c>
      <c r="D6326">
        <v>32.495880621749428</v>
      </c>
      <c r="E6326" t="s">
        <v>94</v>
      </c>
      <c r="F6326">
        <v>829</v>
      </c>
      <c r="G6326" s="4">
        <v>46087.604456018518</v>
      </c>
    </row>
    <row r="6327" spans="1:7" x14ac:dyDescent="0.3">
      <c r="A6327">
        <v>24221</v>
      </c>
      <c r="B6327" t="s">
        <v>150</v>
      </c>
      <c r="C6327">
        <v>51023668</v>
      </c>
      <c r="D6327">
        <v>62.62257443695551</v>
      </c>
      <c r="E6327" t="s">
        <v>93</v>
      </c>
      <c r="F6327">
        <v>565</v>
      </c>
      <c r="G6327" s="4">
        <v>46087.604456018518</v>
      </c>
    </row>
    <row r="6328" spans="1:7" x14ac:dyDescent="0.3">
      <c r="A6328">
        <v>24222</v>
      </c>
      <c r="B6328" t="s">
        <v>150</v>
      </c>
      <c r="C6328">
        <v>51018851</v>
      </c>
      <c r="D6328">
        <v>48.573810459358846</v>
      </c>
      <c r="E6328" t="s">
        <v>94</v>
      </c>
      <c r="F6328">
        <v>749</v>
      </c>
      <c r="G6328" s="4">
        <v>46087.604456018518</v>
      </c>
    </row>
    <row r="6329" spans="1:7" x14ac:dyDescent="0.3">
      <c r="A6329">
        <v>24223</v>
      </c>
      <c r="B6329" t="s">
        <v>150</v>
      </c>
      <c r="C6329">
        <v>51042042</v>
      </c>
      <c r="D6329">
        <v>85.068527549102953</v>
      </c>
      <c r="E6329" t="s">
        <v>93</v>
      </c>
      <c r="F6329">
        <v>282</v>
      </c>
      <c r="G6329" s="4">
        <v>46087.604456018518</v>
      </c>
    </row>
    <row r="6330" spans="1:7" x14ac:dyDescent="0.3">
      <c r="A6330">
        <v>24224</v>
      </c>
      <c r="B6330" t="s">
        <v>150</v>
      </c>
      <c r="C6330">
        <v>51010817</v>
      </c>
      <c r="D6330">
        <v>60.891413184147829</v>
      </c>
      <c r="E6330" t="s">
        <v>94</v>
      </c>
      <c r="F6330">
        <v>600</v>
      </c>
      <c r="G6330" s="4">
        <v>46087.604456018518</v>
      </c>
    </row>
    <row r="6331" spans="1:7" x14ac:dyDescent="0.3">
      <c r="A6331">
        <v>24225</v>
      </c>
      <c r="B6331" t="s">
        <v>150</v>
      </c>
      <c r="C6331">
        <v>51022408</v>
      </c>
      <c r="D6331">
        <v>92.781107974618735</v>
      </c>
      <c r="E6331" t="s">
        <v>92</v>
      </c>
      <c r="F6331">
        <v>94</v>
      </c>
      <c r="G6331" s="4">
        <v>46087.604456018518</v>
      </c>
    </row>
    <row r="6332" spans="1:7" x14ac:dyDescent="0.3">
      <c r="A6332">
        <v>24226</v>
      </c>
      <c r="B6332" t="s">
        <v>150</v>
      </c>
      <c r="C6332">
        <v>51032578</v>
      </c>
      <c r="D6332">
        <v>60.909381402247128</v>
      </c>
      <c r="E6332" t="s">
        <v>94</v>
      </c>
      <c r="F6332">
        <v>598</v>
      </c>
      <c r="G6332" s="4">
        <v>46087.604456018518</v>
      </c>
    </row>
    <row r="6333" spans="1:7" x14ac:dyDescent="0.3">
      <c r="A6333">
        <v>24227</v>
      </c>
      <c r="B6333" t="s">
        <v>150</v>
      </c>
      <c r="C6333">
        <v>51017978</v>
      </c>
      <c r="D6333">
        <v>85.666280548302268</v>
      </c>
      <c r="E6333" t="s">
        <v>93</v>
      </c>
      <c r="F6333">
        <v>263</v>
      </c>
      <c r="G6333" s="4">
        <v>46087.604456018518</v>
      </c>
    </row>
    <row r="6334" spans="1:7" x14ac:dyDescent="0.3">
      <c r="A6334">
        <v>24228</v>
      </c>
      <c r="B6334" t="s">
        <v>150</v>
      </c>
      <c r="C6334">
        <v>51056868</v>
      </c>
      <c r="D6334">
        <v>91.169157583736933</v>
      </c>
      <c r="E6334" t="s">
        <v>92</v>
      </c>
      <c r="F6334">
        <v>114</v>
      </c>
      <c r="G6334" s="4">
        <v>46087.604456018518</v>
      </c>
    </row>
    <row r="6335" spans="1:7" x14ac:dyDescent="0.3">
      <c r="A6335">
        <v>24229</v>
      </c>
      <c r="B6335" t="s">
        <v>150</v>
      </c>
      <c r="C6335">
        <v>51056566</v>
      </c>
      <c r="D6335">
        <v>86.471461007318226</v>
      </c>
      <c r="E6335" t="s">
        <v>92</v>
      </c>
      <c r="F6335">
        <v>236</v>
      </c>
      <c r="G6335" s="4">
        <v>46087.604456018518</v>
      </c>
    </row>
    <row r="6336" spans="1:7" x14ac:dyDescent="0.3">
      <c r="A6336">
        <v>24230</v>
      </c>
      <c r="B6336" t="s">
        <v>150</v>
      </c>
      <c r="C6336">
        <v>51005112</v>
      </c>
      <c r="D6336">
        <v>61.876570448077636</v>
      </c>
      <c r="E6336" t="s">
        <v>93</v>
      </c>
      <c r="F6336">
        <v>582</v>
      </c>
      <c r="G6336" s="4">
        <v>46087.604456018518</v>
      </c>
    </row>
    <row r="6337" spans="1:7" x14ac:dyDescent="0.3">
      <c r="A6337">
        <v>24231</v>
      </c>
      <c r="B6337" t="s">
        <v>150</v>
      </c>
      <c r="C6337">
        <v>51019946</v>
      </c>
      <c r="D6337">
        <v>32.21508932230843</v>
      </c>
      <c r="E6337" t="s">
        <v>94</v>
      </c>
      <c r="F6337">
        <v>834</v>
      </c>
      <c r="G6337" s="4">
        <v>46087.604456018518</v>
      </c>
    </row>
    <row r="6338" spans="1:7" x14ac:dyDescent="0.3">
      <c r="A6338">
        <v>24232</v>
      </c>
      <c r="B6338" t="s">
        <v>150</v>
      </c>
      <c r="C6338">
        <v>51027116</v>
      </c>
      <c r="D6338">
        <v>89.601391807231408</v>
      </c>
      <c r="E6338" t="s">
        <v>92</v>
      </c>
      <c r="F6338">
        <v>146</v>
      </c>
      <c r="G6338" s="4">
        <v>46087.604456018518</v>
      </c>
    </row>
    <row r="6339" spans="1:7" x14ac:dyDescent="0.3">
      <c r="A6339">
        <v>24233</v>
      </c>
      <c r="B6339" t="s">
        <v>150</v>
      </c>
      <c r="C6339">
        <v>51042051</v>
      </c>
      <c r="D6339">
        <v>96.09623314132449</v>
      </c>
      <c r="E6339" t="s">
        <v>275</v>
      </c>
      <c r="F6339">
        <v>60</v>
      </c>
      <c r="G6339" s="4">
        <v>46087.604456018518</v>
      </c>
    </row>
    <row r="6340" spans="1:7" x14ac:dyDescent="0.3">
      <c r="A6340">
        <v>24234</v>
      </c>
      <c r="B6340" t="s">
        <v>150</v>
      </c>
      <c r="C6340">
        <v>51024702</v>
      </c>
      <c r="D6340">
        <v>72.344121312259176</v>
      </c>
      <c r="E6340" t="s">
        <v>93</v>
      </c>
      <c r="F6340">
        <v>497</v>
      </c>
      <c r="G6340" s="4">
        <v>46087.604456018518</v>
      </c>
    </row>
    <row r="6341" spans="1:7" x14ac:dyDescent="0.3">
      <c r="A6341">
        <v>24235</v>
      </c>
      <c r="B6341" t="s">
        <v>150</v>
      </c>
      <c r="C6341">
        <v>51000251</v>
      </c>
      <c r="D6341">
        <v>21.001822375769649</v>
      </c>
      <c r="E6341" t="s">
        <v>95</v>
      </c>
      <c r="F6341">
        <v>963</v>
      </c>
      <c r="G6341" s="4">
        <v>46087.604456018518</v>
      </c>
    </row>
    <row r="6342" spans="1:7" x14ac:dyDescent="0.3">
      <c r="A6342">
        <v>24236</v>
      </c>
      <c r="B6342" t="s">
        <v>150</v>
      </c>
      <c r="C6342">
        <v>51036778</v>
      </c>
      <c r="D6342">
        <v>68.431457807895882</v>
      </c>
      <c r="E6342" t="s">
        <v>93</v>
      </c>
      <c r="F6342">
        <v>523</v>
      </c>
      <c r="G6342" s="4">
        <v>46087.604456018518</v>
      </c>
    </row>
    <row r="6343" spans="1:7" x14ac:dyDescent="0.3">
      <c r="A6343">
        <v>24237</v>
      </c>
      <c r="B6343" t="s">
        <v>150</v>
      </c>
      <c r="C6343">
        <v>51056850</v>
      </c>
      <c r="D6343">
        <v>62.405240901776963</v>
      </c>
      <c r="E6343" t="s">
        <v>93</v>
      </c>
      <c r="F6343">
        <v>571</v>
      </c>
      <c r="G6343" s="4">
        <v>46087.604456018518</v>
      </c>
    </row>
    <row r="6344" spans="1:7" x14ac:dyDescent="0.3">
      <c r="A6344">
        <v>24238</v>
      </c>
      <c r="B6344" t="s">
        <v>150</v>
      </c>
      <c r="C6344">
        <v>51054989</v>
      </c>
      <c r="D6344">
        <v>91.613054874754837</v>
      </c>
      <c r="E6344" t="s">
        <v>92</v>
      </c>
      <c r="F6344">
        <v>109</v>
      </c>
      <c r="G6344" s="4">
        <v>46087.604456018518</v>
      </c>
    </row>
    <row r="6345" spans="1:7" x14ac:dyDescent="0.3">
      <c r="A6345">
        <v>24239</v>
      </c>
      <c r="B6345" t="s">
        <v>150</v>
      </c>
      <c r="C6345">
        <v>51018737</v>
      </c>
      <c r="D6345">
        <v>84.312773126434124</v>
      </c>
      <c r="E6345" t="s">
        <v>93</v>
      </c>
      <c r="F6345">
        <v>304</v>
      </c>
      <c r="G6345" s="4">
        <v>46087.604456018518</v>
      </c>
    </row>
    <row r="6346" spans="1:7" x14ac:dyDescent="0.3">
      <c r="A6346">
        <v>24240</v>
      </c>
      <c r="B6346" t="s">
        <v>150</v>
      </c>
      <c r="C6346">
        <v>51023811</v>
      </c>
      <c r="D6346">
        <v>61.931617866357342</v>
      </c>
      <c r="E6346" t="s">
        <v>93</v>
      </c>
      <c r="F6346">
        <v>581</v>
      </c>
      <c r="G6346" s="4">
        <v>46087.604456018518</v>
      </c>
    </row>
    <row r="6347" spans="1:7" x14ac:dyDescent="0.3">
      <c r="A6347">
        <v>24241</v>
      </c>
      <c r="B6347" t="s">
        <v>150</v>
      </c>
      <c r="C6347">
        <v>51040899</v>
      </c>
      <c r="D6347">
        <v>88.646380364949323</v>
      </c>
      <c r="E6347" t="s">
        <v>92</v>
      </c>
      <c r="F6347">
        <v>179</v>
      </c>
      <c r="G6347" s="4">
        <v>46087.604456018518</v>
      </c>
    </row>
    <row r="6348" spans="1:7" x14ac:dyDescent="0.3">
      <c r="A6348">
        <v>24242</v>
      </c>
      <c r="B6348" t="s">
        <v>150</v>
      </c>
      <c r="C6348">
        <v>51022149</v>
      </c>
      <c r="D6348">
        <v>56.22869666506498</v>
      </c>
      <c r="E6348" t="s">
        <v>94</v>
      </c>
      <c r="F6348">
        <v>696</v>
      </c>
      <c r="G6348" s="4">
        <v>46087.604456018518</v>
      </c>
    </row>
    <row r="6349" spans="1:7" x14ac:dyDescent="0.3">
      <c r="A6349">
        <v>24243</v>
      </c>
      <c r="B6349" t="s">
        <v>150</v>
      </c>
      <c r="C6349">
        <v>51014189</v>
      </c>
      <c r="D6349">
        <v>83.613057560783574</v>
      </c>
      <c r="E6349" t="s">
        <v>93</v>
      </c>
      <c r="F6349">
        <v>331</v>
      </c>
      <c r="G6349" s="4">
        <v>46087.604456018518</v>
      </c>
    </row>
    <row r="6350" spans="1:7" x14ac:dyDescent="0.3">
      <c r="A6350">
        <v>24244</v>
      </c>
      <c r="B6350" t="s">
        <v>150</v>
      </c>
      <c r="C6350">
        <v>51011538</v>
      </c>
      <c r="D6350">
        <v>30.052058551060082</v>
      </c>
      <c r="E6350" t="s">
        <v>94</v>
      </c>
      <c r="F6350">
        <v>866</v>
      </c>
      <c r="G6350" s="4">
        <v>46087.604456018518</v>
      </c>
    </row>
    <row r="6351" spans="1:7" x14ac:dyDescent="0.3">
      <c r="A6351">
        <v>24245</v>
      </c>
      <c r="B6351" t="s">
        <v>150</v>
      </c>
      <c r="C6351">
        <v>51011686</v>
      </c>
      <c r="D6351">
        <v>86.080479255254929</v>
      </c>
      <c r="E6351" t="s">
        <v>93</v>
      </c>
      <c r="F6351">
        <v>248</v>
      </c>
      <c r="G6351" s="4">
        <v>46087.604456018518</v>
      </c>
    </row>
    <row r="6352" spans="1:7" x14ac:dyDescent="0.3">
      <c r="A6352">
        <v>24246</v>
      </c>
      <c r="B6352" t="s">
        <v>150</v>
      </c>
      <c r="C6352">
        <v>51055896</v>
      </c>
      <c r="D6352">
        <v>86.442111384532325</v>
      </c>
      <c r="E6352" t="s">
        <v>92</v>
      </c>
      <c r="F6352">
        <v>239</v>
      </c>
      <c r="G6352" s="4">
        <v>46087.604456018518</v>
      </c>
    </row>
    <row r="6353" spans="1:7" x14ac:dyDescent="0.3">
      <c r="A6353">
        <v>24247</v>
      </c>
      <c r="B6353" t="s">
        <v>150</v>
      </c>
      <c r="C6353">
        <v>51054962</v>
      </c>
      <c r="D6353">
        <v>31.689443093525863</v>
      </c>
      <c r="E6353" t="s">
        <v>94</v>
      </c>
      <c r="F6353">
        <v>839</v>
      </c>
      <c r="G6353" s="4">
        <v>46087.604456018518</v>
      </c>
    </row>
    <row r="6354" spans="1:7" x14ac:dyDescent="0.3">
      <c r="A6354">
        <v>24248</v>
      </c>
      <c r="B6354" t="s">
        <v>150</v>
      </c>
      <c r="C6354">
        <v>51021584</v>
      </c>
      <c r="D6354">
        <v>84.418456600547103</v>
      </c>
      <c r="E6354" t="s">
        <v>93</v>
      </c>
      <c r="F6354">
        <v>302</v>
      </c>
      <c r="G6354" s="4">
        <v>46087.604456018518</v>
      </c>
    </row>
    <row r="6355" spans="1:7" x14ac:dyDescent="0.3">
      <c r="A6355">
        <v>24249</v>
      </c>
      <c r="B6355" t="s">
        <v>150</v>
      </c>
      <c r="C6355">
        <v>51014642</v>
      </c>
      <c r="D6355">
        <v>72.575049827126307</v>
      </c>
      <c r="E6355" t="s">
        <v>93</v>
      </c>
      <c r="F6355">
        <v>495</v>
      </c>
      <c r="G6355" s="4">
        <v>46087.604456018518</v>
      </c>
    </row>
    <row r="6356" spans="1:7" x14ac:dyDescent="0.3">
      <c r="A6356">
        <v>24250</v>
      </c>
      <c r="B6356" t="s">
        <v>150</v>
      </c>
      <c r="C6356">
        <v>51038878</v>
      </c>
      <c r="D6356">
        <v>30.0530684828523</v>
      </c>
      <c r="E6356" t="s">
        <v>94</v>
      </c>
      <c r="F6356">
        <v>865</v>
      </c>
      <c r="G6356" s="4">
        <v>46087.604456018518</v>
      </c>
    </row>
    <row r="6357" spans="1:7" x14ac:dyDescent="0.3">
      <c r="A6357">
        <v>24251</v>
      </c>
      <c r="B6357" t="s">
        <v>150</v>
      </c>
      <c r="C6357">
        <v>51055292</v>
      </c>
      <c r="D6357">
        <v>33.530707418082457</v>
      </c>
      <c r="E6357" t="s">
        <v>94</v>
      </c>
      <c r="F6357">
        <v>817</v>
      </c>
      <c r="G6357" s="4">
        <v>46087.604456018518</v>
      </c>
    </row>
    <row r="6358" spans="1:7" x14ac:dyDescent="0.3">
      <c r="A6358">
        <v>24252</v>
      </c>
      <c r="B6358" t="s">
        <v>150</v>
      </c>
      <c r="C6358">
        <v>51011601</v>
      </c>
      <c r="D6358">
        <v>75.844789590784501</v>
      </c>
      <c r="E6358" t="s">
        <v>93</v>
      </c>
      <c r="F6358">
        <v>467</v>
      </c>
      <c r="G6358" s="4">
        <v>46087.604456018518</v>
      </c>
    </row>
    <row r="6359" spans="1:7" x14ac:dyDescent="0.3">
      <c r="A6359">
        <v>24253</v>
      </c>
      <c r="B6359" t="s">
        <v>150</v>
      </c>
      <c r="C6359">
        <v>51022866</v>
      </c>
      <c r="D6359">
        <v>51.376443193567233</v>
      </c>
      <c r="E6359" t="s">
        <v>94</v>
      </c>
      <c r="F6359">
        <v>733</v>
      </c>
      <c r="G6359" s="4">
        <v>46087.604456018518</v>
      </c>
    </row>
    <row r="6360" spans="1:7" x14ac:dyDescent="0.3">
      <c r="A6360">
        <v>24254</v>
      </c>
      <c r="B6360" t="s">
        <v>150</v>
      </c>
      <c r="C6360">
        <v>51017820</v>
      </c>
      <c r="D6360">
        <v>59.196937207318236</v>
      </c>
      <c r="E6360" t="s">
        <v>94</v>
      </c>
      <c r="F6360">
        <v>634</v>
      </c>
      <c r="G6360" s="4">
        <v>46087.604456018518</v>
      </c>
    </row>
    <row r="6361" spans="1:7" x14ac:dyDescent="0.3">
      <c r="A6361">
        <v>24255</v>
      </c>
      <c r="B6361" t="s">
        <v>150</v>
      </c>
      <c r="C6361">
        <v>51030761</v>
      </c>
      <c r="D6361">
        <v>61.393670629495816</v>
      </c>
      <c r="E6361" t="s">
        <v>93</v>
      </c>
      <c r="F6361">
        <v>592</v>
      </c>
      <c r="G6361" s="4">
        <v>46087.604456018518</v>
      </c>
    </row>
    <row r="6362" spans="1:7" x14ac:dyDescent="0.3">
      <c r="A6362">
        <v>24256</v>
      </c>
      <c r="B6362" t="s">
        <v>150</v>
      </c>
      <c r="C6362">
        <v>51008294</v>
      </c>
      <c r="D6362">
        <v>58.644662561652424</v>
      </c>
      <c r="E6362" t="s">
        <v>94</v>
      </c>
      <c r="F6362">
        <v>643</v>
      </c>
      <c r="G6362" s="4">
        <v>46087.604456018518</v>
      </c>
    </row>
    <row r="6363" spans="1:7" x14ac:dyDescent="0.3">
      <c r="A6363">
        <v>24257</v>
      </c>
      <c r="B6363" t="s">
        <v>150</v>
      </c>
      <c r="C6363">
        <v>51055501</v>
      </c>
      <c r="D6363">
        <v>59.609278487426806</v>
      </c>
      <c r="E6363" t="s">
        <v>94</v>
      </c>
      <c r="F6363">
        <v>628</v>
      </c>
      <c r="G6363" s="4">
        <v>46087.604456018518</v>
      </c>
    </row>
    <row r="6364" spans="1:7" x14ac:dyDescent="0.3">
      <c r="A6364">
        <v>24258</v>
      </c>
      <c r="B6364" t="s">
        <v>150</v>
      </c>
      <c r="C6364">
        <v>51038886</v>
      </c>
      <c r="D6364">
        <v>100</v>
      </c>
      <c r="E6364" t="s">
        <v>275</v>
      </c>
      <c r="F6364">
        <v>1</v>
      </c>
      <c r="G6364" s="4">
        <v>46087.604456018518</v>
      </c>
    </row>
    <row r="6365" spans="1:7" x14ac:dyDescent="0.3">
      <c r="A6365">
        <v>24259</v>
      </c>
      <c r="B6365" t="s">
        <v>150</v>
      </c>
      <c r="C6365">
        <v>51020316</v>
      </c>
      <c r="D6365">
        <v>98.36540012904193</v>
      </c>
      <c r="E6365" t="s">
        <v>275</v>
      </c>
      <c r="F6365">
        <v>31</v>
      </c>
      <c r="G6365" s="4">
        <v>46087.604456018518</v>
      </c>
    </row>
    <row r="6366" spans="1:7" x14ac:dyDescent="0.3">
      <c r="A6366">
        <v>24260</v>
      </c>
      <c r="B6366" t="s">
        <v>150</v>
      </c>
      <c r="C6366">
        <v>51055675</v>
      </c>
      <c r="D6366">
        <v>88.221679905689001</v>
      </c>
      <c r="E6366" t="s">
        <v>92</v>
      </c>
      <c r="F6366">
        <v>191</v>
      </c>
      <c r="G6366" s="4">
        <v>46087.604456018518</v>
      </c>
    </row>
    <row r="6367" spans="1:7" x14ac:dyDescent="0.3">
      <c r="A6367">
        <v>24261</v>
      </c>
      <c r="B6367" t="s">
        <v>150</v>
      </c>
      <c r="C6367">
        <v>51012577</v>
      </c>
      <c r="D6367">
        <v>98.34685560352591</v>
      </c>
      <c r="E6367" t="s">
        <v>275</v>
      </c>
      <c r="F6367">
        <v>33</v>
      </c>
      <c r="G6367" s="4">
        <v>46087.604456018518</v>
      </c>
    </row>
    <row r="6368" spans="1:7" x14ac:dyDescent="0.3">
      <c r="A6368">
        <v>24262</v>
      </c>
      <c r="B6368" t="s">
        <v>150</v>
      </c>
      <c r="C6368">
        <v>51017706</v>
      </c>
      <c r="D6368">
        <v>97.251970468244394</v>
      </c>
      <c r="E6368" t="s">
        <v>275</v>
      </c>
      <c r="F6368">
        <v>45</v>
      </c>
      <c r="G6368" s="4">
        <v>46087.604456018518</v>
      </c>
    </row>
    <row r="6369" spans="1:7" x14ac:dyDescent="0.3">
      <c r="A6369">
        <v>24263</v>
      </c>
      <c r="B6369" t="s">
        <v>150</v>
      </c>
      <c r="C6369">
        <v>51011236</v>
      </c>
      <c r="D6369">
        <v>74.21103911791046</v>
      </c>
      <c r="E6369" t="s">
        <v>93</v>
      </c>
      <c r="F6369">
        <v>479</v>
      </c>
      <c r="G6369" s="4">
        <v>46087.604456018518</v>
      </c>
    </row>
    <row r="6370" spans="1:7" x14ac:dyDescent="0.3">
      <c r="A6370">
        <v>24264</v>
      </c>
      <c r="B6370" t="s">
        <v>150</v>
      </c>
      <c r="C6370">
        <v>51030524</v>
      </c>
      <c r="D6370">
        <v>26.788030373755145</v>
      </c>
      <c r="E6370" t="s">
        <v>94</v>
      </c>
      <c r="F6370">
        <v>900</v>
      </c>
      <c r="G6370" s="4">
        <v>46087.604456018518</v>
      </c>
    </row>
    <row r="6371" spans="1:7" x14ac:dyDescent="0.3">
      <c r="A6371">
        <v>24265</v>
      </c>
      <c r="B6371" t="s">
        <v>150</v>
      </c>
      <c r="C6371">
        <v>51003365</v>
      </c>
      <c r="D6371">
        <v>86.813282527430587</v>
      </c>
      <c r="E6371" t="s">
        <v>92</v>
      </c>
      <c r="F6371">
        <v>228</v>
      </c>
      <c r="G6371" s="4">
        <v>46087.604456018518</v>
      </c>
    </row>
    <row r="6372" spans="1:7" x14ac:dyDescent="0.3">
      <c r="A6372">
        <v>24266</v>
      </c>
      <c r="B6372" t="s">
        <v>150</v>
      </c>
      <c r="C6372">
        <v>51031989</v>
      </c>
      <c r="D6372">
        <v>61.96356676990235</v>
      </c>
      <c r="E6372" t="s">
        <v>93</v>
      </c>
      <c r="F6372">
        <v>580</v>
      </c>
      <c r="G6372" s="4">
        <v>46087.604456018518</v>
      </c>
    </row>
    <row r="6373" spans="1:7" x14ac:dyDescent="0.3">
      <c r="A6373">
        <v>24267</v>
      </c>
      <c r="B6373" t="s">
        <v>150</v>
      </c>
      <c r="C6373">
        <v>51010922</v>
      </c>
      <c r="D6373">
        <v>56.617138173057022</v>
      </c>
      <c r="E6373" t="s">
        <v>94</v>
      </c>
      <c r="F6373">
        <v>690</v>
      </c>
      <c r="G6373" s="4">
        <v>46087.604456018518</v>
      </c>
    </row>
    <row r="6374" spans="1:7" x14ac:dyDescent="0.3">
      <c r="A6374">
        <v>24268</v>
      </c>
      <c r="B6374" t="s">
        <v>150</v>
      </c>
      <c r="C6374">
        <v>51040031</v>
      </c>
      <c r="D6374">
        <v>90.27202464507873</v>
      </c>
      <c r="E6374" t="s">
        <v>92</v>
      </c>
      <c r="F6374">
        <v>131</v>
      </c>
      <c r="G6374" s="4">
        <v>46087.604456018518</v>
      </c>
    </row>
    <row r="6375" spans="1:7" x14ac:dyDescent="0.3">
      <c r="A6375">
        <v>24269</v>
      </c>
      <c r="B6375" t="s">
        <v>150</v>
      </c>
      <c r="C6375">
        <v>51027108</v>
      </c>
      <c r="D6375">
        <v>88.467417656599849</v>
      </c>
      <c r="E6375" t="s">
        <v>92</v>
      </c>
      <c r="F6375">
        <v>185</v>
      </c>
      <c r="G6375" s="4">
        <v>46087.604456018518</v>
      </c>
    </row>
    <row r="6376" spans="1:7" x14ac:dyDescent="0.3">
      <c r="A6376">
        <v>24270</v>
      </c>
      <c r="B6376" t="s">
        <v>150</v>
      </c>
      <c r="C6376">
        <v>51022971</v>
      </c>
      <c r="D6376">
        <v>82.993434160660698</v>
      </c>
      <c r="E6376" t="s">
        <v>93</v>
      </c>
      <c r="F6376">
        <v>354</v>
      </c>
      <c r="G6376" s="4">
        <v>46087.604456018518</v>
      </c>
    </row>
    <row r="6377" spans="1:7" x14ac:dyDescent="0.3">
      <c r="A6377">
        <v>24271</v>
      </c>
      <c r="B6377" t="s">
        <v>150</v>
      </c>
      <c r="C6377">
        <v>51023005</v>
      </c>
      <c r="D6377">
        <v>92.319157613792001</v>
      </c>
      <c r="E6377" t="s">
        <v>92</v>
      </c>
      <c r="F6377">
        <v>101</v>
      </c>
      <c r="G6377" s="4">
        <v>46087.604456018518</v>
      </c>
    </row>
    <row r="6378" spans="1:7" x14ac:dyDescent="0.3">
      <c r="A6378">
        <v>24272</v>
      </c>
      <c r="B6378" t="s">
        <v>150</v>
      </c>
      <c r="C6378">
        <v>51002610</v>
      </c>
      <c r="D6378">
        <v>84.411702275828034</v>
      </c>
      <c r="E6378" t="s">
        <v>93</v>
      </c>
      <c r="F6378">
        <v>303</v>
      </c>
      <c r="G6378" s="4">
        <v>46087.604456018518</v>
      </c>
    </row>
    <row r="6379" spans="1:7" x14ac:dyDescent="0.3">
      <c r="A6379">
        <v>24273</v>
      </c>
      <c r="B6379" t="s">
        <v>150</v>
      </c>
      <c r="C6379">
        <v>51056116</v>
      </c>
      <c r="D6379">
        <v>98.64075506704414</v>
      </c>
      <c r="E6379" t="s">
        <v>275</v>
      </c>
      <c r="F6379">
        <v>28</v>
      </c>
      <c r="G6379" s="4">
        <v>46087.604456018518</v>
      </c>
    </row>
    <row r="6380" spans="1:7" x14ac:dyDescent="0.3">
      <c r="A6380">
        <v>24274</v>
      </c>
      <c r="B6380" t="s">
        <v>150</v>
      </c>
      <c r="C6380">
        <v>51020979</v>
      </c>
      <c r="D6380">
        <v>62.131481293109324</v>
      </c>
      <c r="E6380" t="s">
        <v>93</v>
      </c>
      <c r="F6380">
        <v>577</v>
      </c>
      <c r="G6380" s="4">
        <v>46087.604456018518</v>
      </c>
    </row>
    <row r="6381" spans="1:7" x14ac:dyDescent="0.3">
      <c r="A6381">
        <v>24275</v>
      </c>
      <c r="B6381" t="s">
        <v>150</v>
      </c>
      <c r="C6381">
        <v>51015207</v>
      </c>
      <c r="D6381">
        <v>71.171938776931427</v>
      </c>
      <c r="E6381" t="s">
        <v>93</v>
      </c>
      <c r="F6381">
        <v>506</v>
      </c>
      <c r="G6381" s="4">
        <v>46087.604456018518</v>
      </c>
    </row>
    <row r="6382" spans="1:7" x14ac:dyDescent="0.3">
      <c r="A6382">
        <v>24276</v>
      </c>
      <c r="B6382" t="s">
        <v>150</v>
      </c>
      <c r="C6382">
        <v>51007549</v>
      </c>
      <c r="D6382">
        <v>57.425202640866601</v>
      </c>
      <c r="E6382" t="s">
        <v>94</v>
      </c>
      <c r="F6382">
        <v>677</v>
      </c>
      <c r="G6382" s="4">
        <v>46087.604456018518</v>
      </c>
    </row>
    <row r="6383" spans="1:7" x14ac:dyDescent="0.3">
      <c r="A6383">
        <v>24277</v>
      </c>
      <c r="B6383" t="s">
        <v>150</v>
      </c>
      <c r="C6383">
        <v>51032624</v>
      </c>
      <c r="D6383">
        <v>58.676062671375803</v>
      </c>
      <c r="E6383" t="s">
        <v>94</v>
      </c>
      <c r="F6383">
        <v>641</v>
      </c>
      <c r="G6383" s="4">
        <v>46087.604456018518</v>
      </c>
    </row>
    <row r="6384" spans="1:7" x14ac:dyDescent="0.3">
      <c r="A6384">
        <v>24278</v>
      </c>
      <c r="B6384" t="s">
        <v>150</v>
      </c>
      <c r="C6384">
        <v>51002555</v>
      </c>
      <c r="D6384">
        <v>95.613126419688683</v>
      </c>
      <c r="E6384" t="s">
        <v>92</v>
      </c>
      <c r="F6384">
        <v>64</v>
      </c>
      <c r="G6384" s="4">
        <v>46087.604456018518</v>
      </c>
    </row>
    <row r="6385" spans="1:7" x14ac:dyDescent="0.3">
      <c r="A6385">
        <v>24279</v>
      </c>
      <c r="B6385" t="s">
        <v>150</v>
      </c>
      <c r="C6385">
        <v>51029879</v>
      </c>
      <c r="D6385">
        <v>74.307055981680676</v>
      </c>
      <c r="E6385" t="s">
        <v>93</v>
      </c>
      <c r="F6385">
        <v>478</v>
      </c>
      <c r="G6385" s="4">
        <v>46087.604456018518</v>
      </c>
    </row>
    <row r="6386" spans="1:7" x14ac:dyDescent="0.3">
      <c r="A6386">
        <v>24280</v>
      </c>
      <c r="B6386" t="s">
        <v>150</v>
      </c>
      <c r="C6386">
        <v>51011147</v>
      </c>
      <c r="D6386">
        <v>35.236164466984121</v>
      </c>
      <c r="E6386" t="s">
        <v>94</v>
      </c>
      <c r="F6386">
        <v>805</v>
      </c>
      <c r="G6386" s="4">
        <v>46087.604456018518</v>
      </c>
    </row>
    <row r="6387" spans="1:7" x14ac:dyDescent="0.3">
      <c r="A6387">
        <v>24281</v>
      </c>
      <c r="B6387" t="s">
        <v>150</v>
      </c>
      <c r="C6387">
        <v>51030427</v>
      </c>
      <c r="D6387">
        <v>100</v>
      </c>
      <c r="E6387" t="s">
        <v>275</v>
      </c>
      <c r="F6387">
        <v>1</v>
      </c>
      <c r="G6387" s="4">
        <v>46087.604456018518</v>
      </c>
    </row>
    <row r="6388" spans="1:7" x14ac:dyDescent="0.3">
      <c r="A6388">
        <v>24282</v>
      </c>
      <c r="B6388" t="s">
        <v>150</v>
      </c>
      <c r="C6388">
        <v>51032675</v>
      </c>
      <c r="D6388">
        <v>81.842719560585451</v>
      </c>
      <c r="E6388" t="s">
        <v>93</v>
      </c>
      <c r="F6388">
        <v>389</v>
      </c>
      <c r="G6388" s="4">
        <v>46087.604456018518</v>
      </c>
    </row>
    <row r="6389" spans="1:7" x14ac:dyDescent="0.3">
      <c r="A6389">
        <v>24283</v>
      </c>
      <c r="B6389" t="s">
        <v>150</v>
      </c>
      <c r="C6389">
        <v>51042921</v>
      </c>
      <c r="D6389">
        <v>79.420548777673119</v>
      </c>
      <c r="E6389" t="s">
        <v>93</v>
      </c>
      <c r="F6389">
        <v>447</v>
      </c>
      <c r="G6389" s="4">
        <v>46087.604456018518</v>
      </c>
    </row>
    <row r="6390" spans="1:7" x14ac:dyDescent="0.3">
      <c r="A6390">
        <v>24284</v>
      </c>
      <c r="B6390" t="s">
        <v>150</v>
      </c>
      <c r="C6390">
        <v>51056272</v>
      </c>
      <c r="D6390">
        <v>63.617779466897694</v>
      </c>
      <c r="E6390" t="s">
        <v>93</v>
      </c>
      <c r="F6390">
        <v>553</v>
      </c>
      <c r="G6390" s="4">
        <v>46087.604456018518</v>
      </c>
    </row>
    <row r="6391" spans="1:7" x14ac:dyDescent="0.3">
      <c r="A6391">
        <v>24285</v>
      </c>
      <c r="B6391" t="s">
        <v>150</v>
      </c>
      <c r="C6391">
        <v>51007883</v>
      </c>
      <c r="D6391">
        <v>70.235819594041843</v>
      </c>
      <c r="E6391" t="s">
        <v>93</v>
      </c>
      <c r="F6391">
        <v>511</v>
      </c>
      <c r="G6391" s="4">
        <v>46087.604456018518</v>
      </c>
    </row>
    <row r="6392" spans="1:7" x14ac:dyDescent="0.3">
      <c r="A6392">
        <v>24286</v>
      </c>
      <c r="B6392" t="s">
        <v>150</v>
      </c>
      <c r="C6392">
        <v>51030010</v>
      </c>
      <c r="D6392">
        <v>96.027377396561491</v>
      </c>
      <c r="E6392" t="s">
        <v>92</v>
      </c>
      <c r="F6392">
        <v>61</v>
      </c>
      <c r="G6392" s="4">
        <v>46087.604456018518</v>
      </c>
    </row>
    <row r="6393" spans="1:7" x14ac:dyDescent="0.3">
      <c r="A6393">
        <v>24287</v>
      </c>
      <c r="B6393" t="s">
        <v>150</v>
      </c>
      <c r="C6393">
        <v>51056124</v>
      </c>
      <c r="D6393">
        <v>85.306720981054951</v>
      </c>
      <c r="E6393" t="s">
        <v>93</v>
      </c>
      <c r="F6393">
        <v>275</v>
      </c>
      <c r="G6393" s="4">
        <v>46087.604456018518</v>
      </c>
    </row>
    <row r="6394" spans="1:7" x14ac:dyDescent="0.3">
      <c r="A6394">
        <v>24288</v>
      </c>
      <c r="B6394" t="s">
        <v>150</v>
      </c>
      <c r="C6394">
        <v>51043758</v>
      </c>
      <c r="D6394">
        <v>84.058209616385568</v>
      </c>
      <c r="E6394" t="s">
        <v>93</v>
      </c>
      <c r="F6394">
        <v>319</v>
      </c>
      <c r="G6394" s="4">
        <v>46087.604456018518</v>
      </c>
    </row>
    <row r="6395" spans="1:7" x14ac:dyDescent="0.3">
      <c r="A6395">
        <v>24289</v>
      </c>
      <c r="B6395" t="s">
        <v>150</v>
      </c>
      <c r="C6395">
        <v>51055039</v>
      </c>
      <c r="D6395">
        <v>37.111693171184406</v>
      </c>
      <c r="E6395" t="s">
        <v>94</v>
      </c>
      <c r="F6395">
        <v>799</v>
      </c>
      <c r="G6395" s="4">
        <v>46087.604456018518</v>
      </c>
    </row>
    <row r="6396" spans="1:7" x14ac:dyDescent="0.3">
      <c r="A6396">
        <v>24290</v>
      </c>
      <c r="B6396" t="s">
        <v>150</v>
      </c>
      <c r="C6396">
        <v>51056582</v>
      </c>
      <c r="D6396">
        <v>82.490547873271836</v>
      </c>
      <c r="E6396" t="s">
        <v>93</v>
      </c>
      <c r="F6396">
        <v>374</v>
      </c>
      <c r="G6396" s="4">
        <v>46087.604456018518</v>
      </c>
    </row>
    <row r="6397" spans="1:7" x14ac:dyDescent="0.3">
      <c r="A6397">
        <v>24291</v>
      </c>
      <c r="B6397" t="s">
        <v>150</v>
      </c>
      <c r="C6397">
        <v>51021321</v>
      </c>
      <c r="D6397">
        <v>89.489757755141667</v>
      </c>
      <c r="E6397" t="s">
        <v>92</v>
      </c>
      <c r="F6397">
        <v>150</v>
      </c>
      <c r="G6397" s="4">
        <v>46087.604456018518</v>
      </c>
    </row>
    <row r="6398" spans="1:7" x14ac:dyDescent="0.3">
      <c r="A6398">
        <v>24292</v>
      </c>
      <c r="B6398" t="s">
        <v>150</v>
      </c>
      <c r="C6398">
        <v>51055322</v>
      </c>
      <c r="D6398">
        <v>81.638229926089437</v>
      </c>
      <c r="E6398" t="s">
        <v>93</v>
      </c>
      <c r="F6398">
        <v>394</v>
      </c>
      <c r="G6398" s="4">
        <v>46087.604456018518</v>
      </c>
    </row>
    <row r="6399" spans="1:7" x14ac:dyDescent="0.3">
      <c r="A6399">
        <v>24293</v>
      </c>
      <c r="B6399" t="s">
        <v>150</v>
      </c>
      <c r="C6399">
        <v>51010027</v>
      </c>
      <c r="D6399">
        <v>28.283670966151004</v>
      </c>
      <c r="E6399" t="s">
        <v>94</v>
      </c>
      <c r="F6399">
        <v>884</v>
      </c>
      <c r="G6399" s="4">
        <v>46087.604456018518</v>
      </c>
    </row>
    <row r="6400" spans="1:7" x14ac:dyDescent="0.3">
      <c r="A6400">
        <v>24294</v>
      </c>
      <c r="B6400" t="s">
        <v>150</v>
      </c>
      <c r="C6400">
        <v>51011295</v>
      </c>
      <c r="D6400">
        <v>89.785551424585577</v>
      </c>
      <c r="E6400" t="s">
        <v>92</v>
      </c>
      <c r="F6400">
        <v>140</v>
      </c>
      <c r="G6400" s="4">
        <v>46087.604456018518</v>
      </c>
    </row>
    <row r="6401" spans="1:7" x14ac:dyDescent="0.3">
      <c r="A6401">
        <v>24295</v>
      </c>
      <c r="B6401" t="s">
        <v>150</v>
      </c>
      <c r="C6401">
        <v>51017145</v>
      </c>
      <c r="D6401">
        <v>61.691802079793824</v>
      </c>
      <c r="E6401" t="s">
        <v>93</v>
      </c>
      <c r="F6401">
        <v>587</v>
      </c>
      <c r="G6401" s="4">
        <v>46087.604456018518</v>
      </c>
    </row>
    <row r="6402" spans="1:7" x14ac:dyDescent="0.3">
      <c r="A6402">
        <v>24296</v>
      </c>
      <c r="B6402" t="s">
        <v>150</v>
      </c>
      <c r="C6402">
        <v>51055888</v>
      </c>
      <c r="D6402">
        <v>34.435713788871759</v>
      </c>
      <c r="E6402" t="s">
        <v>94</v>
      </c>
      <c r="F6402">
        <v>810</v>
      </c>
      <c r="G6402" s="4">
        <v>46087.604456018518</v>
      </c>
    </row>
    <row r="6403" spans="1:7" x14ac:dyDescent="0.3">
      <c r="A6403">
        <v>24297</v>
      </c>
      <c r="B6403" t="s">
        <v>150</v>
      </c>
      <c r="C6403">
        <v>51031881</v>
      </c>
      <c r="D6403">
        <v>88.657141178231683</v>
      </c>
      <c r="E6403" t="s">
        <v>92</v>
      </c>
      <c r="F6403">
        <v>178</v>
      </c>
      <c r="G6403" s="4">
        <v>46087.604456018518</v>
      </c>
    </row>
    <row r="6404" spans="1:7" x14ac:dyDescent="0.3">
      <c r="A6404">
        <v>24298</v>
      </c>
      <c r="B6404" t="s">
        <v>150</v>
      </c>
      <c r="C6404">
        <v>51010060</v>
      </c>
      <c r="D6404">
        <v>91.800167317083819</v>
      </c>
      <c r="E6404" t="s">
        <v>92</v>
      </c>
      <c r="F6404">
        <v>108</v>
      </c>
      <c r="G6404" s="4">
        <v>46087.604456018518</v>
      </c>
    </row>
    <row r="6405" spans="1:7" x14ac:dyDescent="0.3">
      <c r="A6405">
        <v>24299</v>
      </c>
      <c r="B6405" t="s">
        <v>150</v>
      </c>
      <c r="C6405">
        <v>51056400</v>
      </c>
      <c r="D6405">
        <v>95.601730661687327</v>
      </c>
      <c r="E6405" t="s">
        <v>92</v>
      </c>
      <c r="F6405">
        <v>65</v>
      </c>
      <c r="G6405" s="4">
        <v>46087.604456018518</v>
      </c>
    </row>
    <row r="6406" spans="1:7" x14ac:dyDescent="0.3">
      <c r="A6406">
        <v>24300</v>
      </c>
      <c r="B6406" t="s">
        <v>150</v>
      </c>
      <c r="C6406">
        <v>51056531</v>
      </c>
      <c r="D6406">
        <v>98.316775013793517</v>
      </c>
      <c r="E6406" t="s">
        <v>275</v>
      </c>
      <c r="F6406">
        <v>34</v>
      </c>
      <c r="G6406" s="4">
        <v>46087.604456018518</v>
      </c>
    </row>
    <row r="6407" spans="1:7" x14ac:dyDescent="0.3">
      <c r="A6407">
        <v>24301</v>
      </c>
      <c r="B6407" t="s">
        <v>150</v>
      </c>
      <c r="C6407">
        <v>51011643</v>
      </c>
      <c r="D6407">
        <v>73.157480597431828</v>
      </c>
      <c r="E6407" t="s">
        <v>93</v>
      </c>
      <c r="F6407">
        <v>489</v>
      </c>
      <c r="G6407" s="4">
        <v>46087.604456018518</v>
      </c>
    </row>
    <row r="6408" spans="1:7" x14ac:dyDescent="0.3">
      <c r="A6408">
        <v>24302</v>
      </c>
      <c r="B6408" t="s">
        <v>150</v>
      </c>
      <c r="C6408">
        <v>51016742</v>
      </c>
      <c r="D6408">
        <v>57.370775012691745</v>
      </c>
      <c r="E6408" t="s">
        <v>94</v>
      </c>
      <c r="F6408">
        <v>678</v>
      </c>
      <c r="G6408" s="4">
        <v>46087.604456018518</v>
      </c>
    </row>
    <row r="6409" spans="1:7" x14ac:dyDescent="0.3">
      <c r="A6409">
        <v>24303</v>
      </c>
      <c r="B6409" t="s">
        <v>150</v>
      </c>
      <c r="C6409">
        <v>51010990</v>
      </c>
      <c r="D6409">
        <v>83.749080887092759</v>
      </c>
      <c r="E6409" t="s">
        <v>93</v>
      </c>
      <c r="F6409">
        <v>328</v>
      </c>
      <c r="G6409" s="4">
        <v>46087.604456018518</v>
      </c>
    </row>
    <row r="6410" spans="1:7" x14ac:dyDescent="0.3">
      <c r="A6410">
        <v>24304</v>
      </c>
      <c r="B6410" t="s">
        <v>150</v>
      </c>
      <c r="C6410">
        <v>51039998</v>
      </c>
      <c r="D6410">
        <v>26.128170192647875</v>
      </c>
      <c r="E6410" t="s">
        <v>94</v>
      </c>
      <c r="F6410">
        <v>907</v>
      </c>
      <c r="G6410" s="4">
        <v>46087.604456018518</v>
      </c>
    </row>
    <row r="6411" spans="1:7" x14ac:dyDescent="0.3">
      <c r="A6411">
        <v>24305</v>
      </c>
      <c r="B6411" t="s">
        <v>150</v>
      </c>
      <c r="C6411">
        <v>51056736</v>
      </c>
      <c r="D6411">
        <v>57.68828530796803</v>
      </c>
      <c r="E6411" t="s">
        <v>94</v>
      </c>
      <c r="F6411">
        <v>671</v>
      </c>
      <c r="G6411" s="4">
        <v>46087.604456018518</v>
      </c>
    </row>
    <row r="6412" spans="1:7" x14ac:dyDescent="0.3">
      <c r="A6412">
        <v>24306</v>
      </c>
      <c r="B6412" t="s">
        <v>150</v>
      </c>
      <c r="C6412">
        <v>51044436</v>
      </c>
      <c r="D6412">
        <v>58.13442128890194</v>
      </c>
      <c r="E6412" t="s">
        <v>94</v>
      </c>
      <c r="F6412">
        <v>656</v>
      </c>
      <c r="G6412" s="4">
        <v>46087.604456018518</v>
      </c>
    </row>
    <row r="6413" spans="1:7" x14ac:dyDescent="0.3">
      <c r="A6413">
        <v>24307</v>
      </c>
      <c r="B6413" t="s">
        <v>150</v>
      </c>
      <c r="C6413">
        <v>51017552</v>
      </c>
      <c r="D6413">
        <v>81.603593203562625</v>
      </c>
      <c r="E6413" t="s">
        <v>93</v>
      </c>
      <c r="F6413">
        <v>398</v>
      </c>
      <c r="G6413" s="4">
        <v>46087.604456018518</v>
      </c>
    </row>
    <row r="6414" spans="1:7" x14ac:dyDescent="0.3">
      <c r="A6414">
        <v>24308</v>
      </c>
      <c r="B6414" t="s">
        <v>150</v>
      </c>
      <c r="C6414">
        <v>51055276</v>
      </c>
      <c r="D6414">
        <v>69.671141882137505</v>
      </c>
      <c r="E6414" t="s">
        <v>93</v>
      </c>
      <c r="F6414">
        <v>513</v>
      </c>
      <c r="G6414" s="4">
        <v>46087.604456018518</v>
      </c>
    </row>
    <row r="6415" spans="1:7" x14ac:dyDescent="0.3">
      <c r="A6415">
        <v>24309</v>
      </c>
      <c r="B6415" t="s">
        <v>150</v>
      </c>
      <c r="C6415">
        <v>51020189</v>
      </c>
      <c r="D6415">
        <v>85.704247861668151</v>
      </c>
      <c r="E6415" t="s">
        <v>93</v>
      </c>
      <c r="F6415">
        <v>262</v>
      </c>
      <c r="G6415" s="4">
        <v>46087.604456018518</v>
      </c>
    </row>
    <row r="6416" spans="1:7" x14ac:dyDescent="0.3">
      <c r="A6416">
        <v>24310</v>
      </c>
      <c r="B6416" t="s">
        <v>150</v>
      </c>
      <c r="C6416">
        <v>51041259</v>
      </c>
      <c r="D6416">
        <v>75.848994978239332</v>
      </c>
      <c r="E6416" t="s">
        <v>93</v>
      </c>
      <c r="F6416">
        <v>466</v>
      </c>
      <c r="G6416" s="4">
        <v>46087.604456018518</v>
      </c>
    </row>
    <row r="6417" spans="1:7" x14ac:dyDescent="0.3">
      <c r="A6417">
        <v>24311</v>
      </c>
      <c r="B6417" t="s">
        <v>150</v>
      </c>
      <c r="C6417">
        <v>51022751</v>
      </c>
      <c r="D6417">
        <v>64.255523907710554</v>
      </c>
      <c r="E6417" t="s">
        <v>93</v>
      </c>
      <c r="F6417">
        <v>547</v>
      </c>
      <c r="G6417" s="4">
        <v>46087.604456018518</v>
      </c>
    </row>
    <row r="6418" spans="1:7" x14ac:dyDescent="0.3">
      <c r="A6418">
        <v>24312</v>
      </c>
      <c r="B6418" t="s">
        <v>150</v>
      </c>
      <c r="C6418">
        <v>51016645</v>
      </c>
      <c r="D6418">
        <v>54.745291554521017</v>
      </c>
      <c r="E6418" t="s">
        <v>94</v>
      </c>
      <c r="F6418">
        <v>720</v>
      </c>
      <c r="G6418" s="4">
        <v>46087.604456018518</v>
      </c>
    </row>
    <row r="6419" spans="1:7" x14ac:dyDescent="0.3">
      <c r="A6419">
        <v>24313</v>
      </c>
      <c r="B6419" t="s">
        <v>150</v>
      </c>
      <c r="C6419">
        <v>51011155</v>
      </c>
      <c r="D6419">
        <v>91.368664314020535</v>
      </c>
      <c r="E6419" t="s">
        <v>92</v>
      </c>
      <c r="F6419">
        <v>112</v>
      </c>
      <c r="G6419" s="4">
        <v>46087.604456018518</v>
      </c>
    </row>
    <row r="6420" spans="1:7" x14ac:dyDescent="0.3">
      <c r="A6420">
        <v>24314</v>
      </c>
      <c r="B6420" t="s">
        <v>150</v>
      </c>
      <c r="C6420">
        <v>51014022</v>
      </c>
      <c r="D6420">
        <v>69.524587337074337</v>
      </c>
      <c r="E6420" t="s">
        <v>93</v>
      </c>
      <c r="F6420">
        <v>516</v>
      </c>
      <c r="G6420" s="4">
        <v>46087.604456018518</v>
      </c>
    </row>
    <row r="6421" spans="1:7" x14ac:dyDescent="0.3">
      <c r="A6421">
        <v>24315</v>
      </c>
      <c r="B6421" t="s">
        <v>150</v>
      </c>
      <c r="C6421">
        <v>51018991</v>
      </c>
      <c r="D6421">
        <v>54.701688970322799</v>
      </c>
      <c r="E6421" t="s">
        <v>94</v>
      </c>
      <c r="F6421">
        <v>721</v>
      </c>
      <c r="G6421" s="4">
        <v>46087.604456018518</v>
      </c>
    </row>
    <row r="6422" spans="1:7" x14ac:dyDescent="0.3">
      <c r="A6422">
        <v>24316</v>
      </c>
      <c r="B6422" t="s">
        <v>150</v>
      </c>
      <c r="C6422">
        <v>51030478</v>
      </c>
      <c r="D6422">
        <v>75.837526712670581</v>
      </c>
      <c r="E6422" t="s">
        <v>93</v>
      </c>
      <c r="F6422">
        <v>468</v>
      </c>
      <c r="G6422" s="4">
        <v>46087.604456018518</v>
      </c>
    </row>
    <row r="6423" spans="1:7" x14ac:dyDescent="0.3">
      <c r="A6423">
        <v>24317</v>
      </c>
      <c r="B6423" t="s">
        <v>150</v>
      </c>
      <c r="C6423">
        <v>51028040</v>
      </c>
      <c r="D6423">
        <v>87.847209943577795</v>
      </c>
      <c r="E6423" t="s">
        <v>92</v>
      </c>
      <c r="F6423">
        <v>205</v>
      </c>
      <c r="G6423" s="4">
        <v>46087.604456018518</v>
      </c>
    </row>
    <row r="6424" spans="1:7" x14ac:dyDescent="0.3">
      <c r="A6424">
        <v>24318</v>
      </c>
      <c r="B6424" t="s">
        <v>150</v>
      </c>
      <c r="C6424">
        <v>51055616</v>
      </c>
      <c r="D6424">
        <v>88.492928727973151</v>
      </c>
      <c r="E6424" t="s">
        <v>92</v>
      </c>
      <c r="F6424">
        <v>184</v>
      </c>
      <c r="G6424" s="4">
        <v>46087.604456018518</v>
      </c>
    </row>
    <row r="6425" spans="1:7" x14ac:dyDescent="0.3">
      <c r="A6425">
        <v>24319</v>
      </c>
      <c r="B6425" t="s">
        <v>150</v>
      </c>
      <c r="C6425">
        <v>51036239</v>
      </c>
      <c r="D6425">
        <v>22.242608063025877</v>
      </c>
      <c r="E6425" t="s">
        <v>94</v>
      </c>
      <c r="F6425">
        <v>945</v>
      </c>
      <c r="G6425" s="4">
        <v>46087.604456018518</v>
      </c>
    </row>
    <row r="6426" spans="1:7" x14ac:dyDescent="0.3">
      <c r="A6426">
        <v>24320</v>
      </c>
      <c r="B6426" t="s">
        <v>150</v>
      </c>
      <c r="C6426">
        <v>51025873</v>
      </c>
      <c r="D6426">
        <v>32.164249067503668</v>
      </c>
      <c r="E6426" t="s">
        <v>94</v>
      </c>
      <c r="F6426">
        <v>835</v>
      </c>
      <c r="G6426" s="4">
        <v>46087.604456018518</v>
      </c>
    </row>
    <row r="6427" spans="1:7" x14ac:dyDescent="0.3">
      <c r="A6427">
        <v>24321</v>
      </c>
      <c r="B6427" t="s">
        <v>150</v>
      </c>
      <c r="C6427">
        <v>51034155</v>
      </c>
      <c r="D6427">
        <v>36.274875554567288</v>
      </c>
      <c r="E6427" t="s">
        <v>94</v>
      </c>
      <c r="F6427">
        <v>803</v>
      </c>
      <c r="G6427" s="4">
        <v>46087.604456018518</v>
      </c>
    </row>
    <row r="6428" spans="1:7" x14ac:dyDescent="0.3">
      <c r="A6428">
        <v>24322</v>
      </c>
      <c r="B6428" t="s">
        <v>150</v>
      </c>
      <c r="C6428">
        <v>51021207</v>
      </c>
      <c r="D6428">
        <v>18.022787538405115</v>
      </c>
      <c r="E6428" t="s">
        <v>95</v>
      </c>
      <c r="F6428">
        <v>1030</v>
      </c>
      <c r="G6428" s="4">
        <v>46087.604456018518</v>
      </c>
    </row>
    <row r="6429" spans="1:7" x14ac:dyDescent="0.3">
      <c r="A6429">
        <v>24323</v>
      </c>
      <c r="B6429" t="s">
        <v>150</v>
      </c>
      <c r="C6429">
        <v>51054831</v>
      </c>
      <c r="D6429">
        <v>27.43995182313639</v>
      </c>
      <c r="E6429" t="s">
        <v>94</v>
      </c>
      <c r="F6429">
        <v>895</v>
      </c>
      <c r="G6429" s="4">
        <v>46087.604456018518</v>
      </c>
    </row>
    <row r="6430" spans="1:7" x14ac:dyDescent="0.3">
      <c r="A6430">
        <v>24324</v>
      </c>
      <c r="B6430" t="s">
        <v>150</v>
      </c>
      <c r="C6430">
        <v>51010051</v>
      </c>
      <c r="D6430">
        <v>89.239264254664874</v>
      </c>
      <c r="E6430" t="s">
        <v>92</v>
      </c>
      <c r="F6430">
        <v>159</v>
      </c>
      <c r="G6430" s="4">
        <v>46087.604456018518</v>
      </c>
    </row>
    <row r="6431" spans="1:7" x14ac:dyDescent="0.3">
      <c r="A6431">
        <v>24325</v>
      </c>
      <c r="B6431" t="s">
        <v>150</v>
      </c>
      <c r="C6431">
        <v>51015754</v>
      </c>
      <c r="D6431">
        <v>22.67591045096291</v>
      </c>
      <c r="E6431" t="s">
        <v>94</v>
      </c>
      <c r="F6431">
        <v>938</v>
      </c>
      <c r="G6431" s="4">
        <v>46087.604456018518</v>
      </c>
    </row>
    <row r="6432" spans="1:7" x14ac:dyDescent="0.3">
      <c r="A6432">
        <v>24326</v>
      </c>
      <c r="B6432" t="s">
        <v>150</v>
      </c>
      <c r="C6432">
        <v>51023528</v>
      </c>
      <c r="D6432">
        <v>58.884621032705212</v>
      </c>
      <c r="E6432" t="s">
        <v>94</v>
      </c>
      <c r="F6432">
        <v>638</v>
      </c>
      <c r="G6432" s="4">
        <v>46087.604456018518</v>
      </c>
    </row>
    <row r="6433" spans="1:7" x14ac:dyDescent="0.3">
      <c r="A6433">
        <v>24327</v>
      </c>
      <c r="B6433" t="s">
        <v>150</v>
      </c>
      <c r="C6433">
        <v>51013735</v>
      </c>
      <c r="D6433">
        <v>83.949162630640615</v>
      </c>
      <c r="E6433" t="s">
        <v>93</v>
      </c>
      <c r="F6433">
        <v>324</v>
      </c>
      <c r="G6433" s="4">
        <v>46087.604456018518</v>
      </c>
    </row>
    <row r="6434" spans="1:7" x14ac:dyDescent="0.3">
      <c r="A6434">
        <v>24328</v>
      </c>
      <c r="B6434" t="s">
        <v>150</v>
      </c>
      <c r="C6434">
        <v>51036611</v>
      </c>
      <c r="D6434">
        <v>89.308131081037317</v>
      </c>
      <c r="E6434" t="s">
        <v>92</v>
      </c>
      <c r="F6434">
        <v>157</v>
      </c>
      <c r="G6434" s="4">
        <v>46087.604456018518</v>
      </c>
    </row>
    <row r="6435" spans="1:7" x14ac:dyDescent="0.3">
      <c r="A6435">
        <v>24329</v>
      </c>
      <c r="B6435" t="s">
        <v>150</v>
      </c>
      <c r="C6435">
        <v>51010035</v>
      </c>
      <c r="D6435">
        <v>91.222522650358698</v>
      </c>
      <c r="E6435" t="s">
        <v>92</v>
      </c>
      <c r="F6435">
        <v>113</v>
      </c>
      <c r="G6435" s="4">
        <v>46087.604456018518</v>
      </c>
    </row>
    <row r="6436" spans="1:7" x14ac:dyDescent="0.3">
      <c r="A6436">
        <v>24330</v>
      </c>
      <c r="B6436" t="s">
        <v>150</v>
      </c>
      <c r="C6436">
        <v>51035682</v>
      </c>
      <c r="D6436">
        <v>67.092391052908695</v>
      </c>
      <c r="E6436" t="s">
        <v>93</v>
      </c>
      <c r="F6436">
        <v>537</v>
      </c>
      <c r="G6436" s="4">
        <v>46087.604456018518</v>
      </c>
    </row>
    <row r="6437" spans="1:7" x14ac:dyDescent="0.3">
      <c r="A6437">
        <v>24331</v>
      </c>
      <c r="B6437" t="s">
        <v>150</v>
      </c>
      <c r="C6437">
        <v>51016416</v>
      </c>
      <c r="D6437">
        <v>48.547553631926363</v>
      </c>
      <c r="E6437" t="s">
        <v>94</v>
      </c>
      <c r="F6437">
        <v>751</v>
      </c>
      <c r="G6437" s="4">
        <v>46087.604456018518</v>
      </c>
    </row>
    <row r="6438" spans="1:7" x14ac:dyDescent="0.3">
      <c r="A6438">
        <v>24332</v>
      </c>
      <c r="B6438" t="s">
        <v>150</v>
      </c>
      <c r="C6438">
        <v>51038762</v>
      </c>
      <c r="D6438">
        <v>86.653576386260866</v>
      </c>
      <c r="E6438" t="s">
        <v>92</v>
      </c>
      <c r="F6438">
        <v>235</v>
      </c>
      <c r="G6438" s="4">
        <v>46087.604456018518</v>
      </c>
    </row>
    <row r="6439" spans="1:7" x14ac:dyDescent="0.3">
      <c r="A6439">
        <v>24333</v>
      </c>
      <c r="B6439" t="s">
        <v>150</v>
      </c>
      <c r="C6439">
        <v>51023307</v>
      </c>
      <c r="D6439">
        <v>88.030869686128142</v>
      </c>
      <c r="E6439" t="s">
        <v>92</v>
      </c>
      <c r="F6439">
        <v>197</v>
      </c>
      <c r="G6439" s="4">
        <v>46087.604456018518</v>
      </c>
    </row>
    <row r="6440" spans="1:7" x14ac:dyDescent="0.3">
      <c r="A6440">
        <v>24334</v>
      </c>
      <c r="B6440" t="s">
        <v>150</v>
      </c>
      <c r="C6440">
        <v>51012062</v>
      </c>
      <c r="D6440">
        <v>67.732717271050348</v>
      </c>
      <c r="E6440" t="s">
        <v>93</v>
      </c>
      <c r="F6440">
        <v>532</v>
      </c>
      <c r="G6440" s="4">
        <v>46087.604456018518</v>
      </c>
    </row>
    <row r="6441" spans="1:7" x14ac:dyDescent="0.3">
      <c r="A6441">
        <v>24335</v>
      </c>
      <c r="B6441" t="s">
        <v>150</v>
      </c>
      <c r="C6441">
        <v>51021631</v>
      </c>
      <c r="D6441">
        <v>92.360925202202026</v>
      </c>
      <c r="E6441" t="s">
        <v>92</v>
      </c>
      <c r="F6441">
        <v>100</v>
      </c>
      <c r="G6441" s="4">
        <v>46087.604456018518</v>
      </c>
    </row>
    <row r="6442" spans="1:7" x14ac:dyDescent="0.3">
      <c r="A6442">
        <v>24336</v>
      </c>
      <c r="B6442" t="s">
        <v>150</v>
      </c>
      <c r="C6442">
        <v>51008618</v>
      </c>
      <c r="D6442">
        <v>20.958022911614822</v>
      </c>
      <c r="E6442" t="s">
        <v>95</v>
      </c>
      <c r="F6442">
        <v>964</v>
      </c>
      <c r="G6442" s="4">
        <v>46087.604456018518</v>
      </c>
    </row>
    <row r="6443" spans="1:7" x14ac:dyDescent="0.3">
      <c r="A6443">
        <v>24337</v>
      </c>
      <c r="B6443" t="s">
        <v>150</v>
      </c>
      <c r="C6443">
        <v>51010574</v>
      </c>
      <c r="D6443">
        <v>81.834698440150291</v>
      </c>
      <c r="E6443" t="s">
        <v>93</v>
      </c>
      <c r="F6443">
        <v>390</v>
      </c>
      <c r="G6443" s="4">
        <v>46087.604456018518</v>
      </c>
    </row>
    <row r="6444" spans="1:7" x14ac:dyDescent="0.3">
      <c r="A6444">
        <v>24338</v>
      </c>
      <c r="B6444" t="s">
        <v>150</v>
      </c>
      <c r="C6444">
        <v>51056493</v>
      </c>
      <c r="D6444">
        <v>94.360057156038792</v>
      </c>
      <c r="E6444" t="s">
        <v>92</v>
      </c>
      <c r="F6444">
        <v>74</v>
      </c>
      <c r="G6444" s="4">
        <v>46087.604456018518</v>
      </c>
    </row>
    <row r="6445" spans="1:7" x14ac:dyDescent="0.3">
      <c r="A6445">
        <v>24339</v>
      </c>
      <c r="B6445" t="s">
        <v>150</v>
      </c>
      <c r="C6445">
        <v>51024206</v>
      </c>
      <c r="D6445">
        <v>77.856367142956373</v>
      </c>
      <c r="E6445" t="s">
        <v>93</v>
      </c>
      <c r="F6445">
        <v>453</v>
      </c>
      <c r="G6445" s="4">
        <v>46087.604456018518</v>
      </c>
    </row>
    <row r="6446" spans="1:7" x14ac:dyDescent="0.3">
      <c r="A6446">
        <v>24340</v>
      </c>
      <c r="B6446" t="s">
        <v>150</v>
      </c>
      <c r="C6446">
        <v>51056442</v>
      </c>
      <c r="D6446">
        <v>56.350872925379797</v>
      </c>
      <c r="E6446" t="s">
        <v>94</v>
      </c>
      <c r="F6446">
        <v>694</v>
      </c>
      <c r="G6446" s="4">
        <v>46087.604456018518</v>
      </c>
    </row>
    <row r="6447" spans="1:7" x14ac:dyDescent="0.3">
      <c r="A6447">
        <v>24341</v>
      </c>
      <c r="B6447" t="s">
        <v>150</v>
      </c>
      <c r="C6447">
        <v>51033621</v>
      </c>
      <c r="D6447">
        <v>59.152003046719422</v>
      </c>
      <c r="E6447" t="s">
        <v>94</v>
      </c>
      <c r="F6447">
        <v>635</v>
      </c>
      <c r="G6447" s="4">
        <v>46087.604456018518</v>
      </c>
    </row>
    <row r="6448" spans="1:7" x14ac:dyDescent="0.3">
      <c r="A6448">
        <v>24342</v>
      </c>
      <c r="B6448" t="s">
        <v>150</v>
      </c>
      <c r="C6448">
        <v>51016394</v>
      </c>
      <c r="D6448">
        <v>86.1789347614517</v>
      </c>
      <c r="E6448" t="s">
        <v>93</v>
      </c>
      <c r="F6448">
        <v>245</v>
      </c>
      <c r="G6448" s="4">
        <v>46087.604456018518</v>
      </c>
    </row>
    <row r="6449" spans="1:7" x14ac:dyDescent="0.3">
      <c r="A6449">
        <v>24343</v>
      </c>
      <c r="B6449" t="s">
        <v>150</v>
      </c>
      <c r="C6449">
        <v>51001389</v>
      </c>
      <c r="D6449">
        <v>95.83472894906194</v>
      </c>
      <c r="E6449" t="s">
        <v>92</v>
      </c>
      <c r="F6449">
        <v>62</v>
      </c>
      <c r="G6449" s="4">
        <v>46087.604456018518</v>
      </c>
    </row>
    <row r="6450" spans="1:7" x14ac:dyDescent="0.3">
      <c r="A6450">
        <v>24344</v>
      </c>
      <c r="B6450" t="s">
        <v>150</v>
      </c>
      <c r="C6450">
        <v>51042891</v>
      </c>
      <c r="D6450">
        <v>92.432737073375932</v>
      </c>
      <c r="E6450" t="s">
        <v>92</v>
      </c>
      <c r="F6450">
        <v>97</v>
      </c>
      <c r="G6450" s="4">
        <v>46087.604456018518</v>
      </c>
    </row>
    <row r="6451" spans="1:7" x14ac:dyDescent="0.3">
      <c r="A6451">
        <v>24345</v>
      </c>
      <c r="B6451" t="s">
        <v>150</v>
      </c>
      <c r="C6451">
        <v>51055411</v>
      </c>
      <c r="D6451">
        <v>87.457763730309367</v>
      </c>
      <c r="E6451" t="s">
        <v>92</v>
      </c>
      <c r="F6451">
        <v>213</v>
      </c>
      <c r="G6451" s="4">
        <v>46087.604456018518</v>
      </c>
    </row>
    <row r="6452" spans="1:7" x14ac:dyDescent="0.3">
      <c r="A6452">
        <v>24346</v>
      </c>
      <c r="B6452" t="s">
        <v>150</v>
      </c>
      <c r="C6452">
        <v>51038657</v>
      </c>
      <c r="D6452">
        <v>76.090395822333193</v>
      </c>
      <c r="E6452" t="s">
        <v>93</v>
      </c>
      <c r="F6452">
        <v>465</v>
      </c>
      <c r="G6452" s="4">
        <v>46087.604456018518</v>
      </c>
    </row>
    <row r="6453" spans="1:7" x14ac:dyDescent="0.3">
      <c r="A6453">
        <v>24347</v>
      </c>
      <c r="B6453" t="s">
        <v>150</v>
      </c>
      <c r="C6453">
        <v>51055632</v>
      </c>
      <c r="D6453">
        <v>33.940053888752296</v>
      </c>
      <c r="E6453" t="s">
        <v>94</v>
      </c>
      <c r="F6453">
        <v>814</v>
      </c>
      <c r="G6453" s="4">
        <v>46087.604456018518</v>
      </c>
    </row>
    <row r="6454" spans="1:7" x14ac:dyDescent="0.3">
      <c r="A6454">
        <v>24348</v>
      </c>
      <c r="B6454" t="s">
        <v>150</v>
      </c>
      <c r="C6454">
        <v>51026799</v>
      </c>
      <c r="D6454">
        <v>86.709012152956618</v>
      </c>
      <c r="E6454" t="s">
        <v>92</v>
      </c>
      <c r="F6454">
        <v>231</v>
      </c>
      <c r="G6454" s="4">
        <v>46087.604456018518</v>
      </c>
    </row>
    <row r="6455" spans="1:7" x14ac:dyDescent="0.3">
      <c r="A6455">
        <v>24349</v>
      </c>
      <c r="B6455" t="s">
        <v>150</v>
      </c>
      <c r="C6455">
        <v>51018869</v>
      </c>
      <c r="D6455">
        <v>64.27624554154427</v>
      </c>
      <c r="E6455" t="s">
        <v>93</v>
      </c>
      <c r="F6455">
        <v>546</v>
      </c>
      <c r="G6455" s="4">
        <v>46087.604456018518</v>
      </c>
    </row>
    <row r="6456" spans="1:7" x14ac:dyDescent="0.3">
      <c r="A6456">
        <v>24350</v>
      </c>
      <c r="B6456" t="s">
        <v>150</v>
      </c>
      <c r="C6456">
        <v>51055144</v>
      </c>
      <c r="D6456">
        <v>82.383942531769762</v>
      </c>
      <c r="E6456" t="s">
        <v>93</v>
      </c>
      <c r="F6456">
        <v>379</v>
      </c>
      <c r="G6456" s="4">
        <v>46087.604456018518</v>
      </c>
    </row>
    <row r="6457" spans="1:7" x14ac:dyDescent="0.3">
      <c r="A6457">
        <v>24351</v>
      </c>
      <c r="B6457" t="s">
        <v>150</v>
      </c>
      <c r="C6457">
        <v>51056884</v>
      </c>
      <c r="D6457">
        <v>63.200245637750591</v>
      </c>
      <c r="E6457" t="s">
        <v>93</v>
      </c>
      <c r="F6457">
        <v>555</v>
      </c>
      <c r="G6457" s="4">
        <v>46087.604456018518</v>
      </c>
    </row>
    <row r="6458" spans="1:7" x14ac:dyDescent="0.3">
      <c r="A6458">
        <v>24352</v>
      </c>
      <c r="B6458" t="s">
        <v>150</v>
      </c>
      <c r="C6458">
        <v>51030443</v>
      </c>
      <c r="D6458">
        <v>83.390116537518935</v>
      </c>
      <c r="E6458" t="s">
        <v>93</v>
      </c>
      <c r="F6458">
        <v>335</v>
      </c>
      <c r="G6458" s="4">
        <v>46087.604456018518</v>
      </c>
    </row>
    <row r="6459" spans="1:7" x14ac:dyDescent="0.3">
      <c r="A6459">
        <v>24353</v>
      </c>
      <c r="B6459" t="s">
        <v>150</v>
      </c>
      <c r="C6459">
        <v>51016475</v>
      </c>
      <c r="D6459">
        <v>99.092731862239617</v>
      </c>
      <c r="E6459" t="s">
        <v>275</v>
      </c>
      <c r="F6459">
        <v>23</v>
      </c>
      <c r="G6459" s="4">
        <v>46087.604456018518</v>
      </c>
    </row>
    <row r="6460" spans="1:7" x14ac:dyDescent="0.3">
      <c r="A6460">
        <v>24354</v>
      </c>
      <c r="B6460" t="s">
        <v>150</v>
      </c>
      <c r="C6460">
        <v>51018893</v>
      </c>
      <c r="D6460">
        <v>90.00992633147581</v>
      </c>
      <c r="E6460" t="s">
        <v>92</v>
      </c>
      <c r="F6460">
        <v>135</v>
      </c>
      <c r="G6460" s="4">
        <v>46087.604456018518</v>
      </c>
    </row>
    <row r="6461" spans="1:7" x14ac:dyDescent="0.3">
      <c r="A6461">
        <v>24355</v>
      </c>
      <c r="B6461" t="s">
        <v>150</v>
      </c>
      <c r="C6461">
        <v>51039157</v>
      </c>
      <c r="D6461">
        <v>19.263519456243426</v>
      </c>
      <c r="E6461" t="s">
        <v>95</v>
      </c>
      <c r="F6461">
        <v>994</v>
      </c>
      <c r="G6461" s="4">
        <v>46087.604456018518</v>
      </c>
    </row>
    <row r="6462" spans="1:7" x14ac:dyDescent="0.3">
      <c r="A6462">
        <v>24356</v>
      </c>
      <c r="B6462" t="s">
        <v>150</v>
      </c>
      <c r="C6462">
        <v>51054822</v>
      </c>
      <c r="D6462">
        <v>93.756840476360651</v>
      </c>
      <c r="E6462" t="s">
        <v>92</v>
      </c>
      <c r="F6462">
        <v>80</v>
      </c>
      <c r="G6462" s="4">
        <v>46087.604456018518</v>
      </c>
    </row>
    <row r="6463" spans="1:7" x14ac:dyDescent="0.3">
      <c r="A6463">
        <v>24357</v>
      </c>
      <c r="B6463" t="s">
        <v>150</v>
      </c>
      <c r="C6463">
        <v>51003390</v>
      </c>
      <c r="D6463">
        <v>89.823955087827287</v>
      </c>
      <c r="E6463" t="s">
        <v>92</v>
      </c>
      <c r="F6463">
        <v>139</v>
      </c>
      <c r="G6463" s="4">
        <v>46087.604456018518</v>
      </c>
    </row>
    <row r="6464" spans="1:7" x14ac:dyDescent="0.3">
      <c r="A6464">
        <v>24358</v>
      </c>
      <c r="B6464" t="s">
        <v>150</v>
      </c>
      <c r="C6464">
        <v>51056477</v>
      </c>
      <c r="D6464">
        <v>88.765453329812004</v>
      </c>
      <c r="E6464" t="s">
        <v>92</v>
      </c>
      <c r="F6464">
        <v>173</v>
      </c>
      <c r="G6464" s="4">
        <v>46087.604456018518</v>
      </c>
    </row>
    <row r="6465" spans="1:7" x14ac:dyDescent="0.3">
      <c r="A6465">
        <v>24359</v>
      </c>
      <c r="B6465" t="s">
        <v>150</v>
      </c>
      <c r="C6465">
        <v>51026527</v>
      </c>
      <c r="D6465">
        <v>44.473106659949948</v>
      </c>
      <c r="E6465" t="s">
        <v>94</v>
      </c>
      <c r="F6465">
        <v>774</v>
      </c>
      <c r="G6465" s="4">
        <v>46087.604456018518</v>
      </c>
    </row>
    <row r="6466" spans="1:7" x14ac:dyDescent="0.3">
      <c r="A6466">
        <v>24360</v>
      </c>
      <c r="B6466" t="s">
        <v>150</v>
      </c>
      <c r="C6466">
        <v>51030982</v>
      </c>
      <c r="D6466">
        <v>89.054429068298049</v>
      </c>
      <c r="E6466" t="s">
        <v>92</v>
      </c>
      <c r="F6466">
        <v>165</v>
      </c>
      <c r="G6466" s="4">
        <v>46087.604456018518</v>
      </c>
    </row>
    <row r="6467" spans="1:7" x14ac:dyDescent="0.3">
      <c r="A6467">
        <v>24361</v>
      </c>
      <c r="B6467" t="s">
        <v>150</v>
      </c>
      <c r="C6467">
        <v>51023196</v>
      </c>
      <c r="D6467">
        <v>64.493427377404913</v>
      </c>
      <c r="E6467" t="s">
        <v>93</v>
      </c>
      <c r="F6467">
        <v>544</v>
      </c>
      <c r="G6467" s="4">
        <v>46087.604456018518</v>
      </c>
    </row>
    <row r="6468" spans="1:7" x14ac:dyDescent="0.3">
      <c r="A6468">
        <v>24362</v>
      </c>
      <c r="B6468" t="s">
        <v>150</v>
      </c>
      <c r="C6468">
        <v>51014596</v>
      </c>
      <c r="D6468">
        <v>68.626994382687798</v>
      </c>
      <c r="E6468" t="s">
        <v>93</v>
      </c>
      <c r="F6468">
        <v>521</v>
      </c>
      <c r="G6468" s="4">
        <v>46087.604456018518</v>
      </c>
    </row>
    <row r="6469" spans="1:7" x14ac:dyDescent="0.3">
      <c r="A6469">
        <v>24363</v>
      </c>
      <c r="B6469" t="s">
        <v>150</v>
      </c>
      <c r="C6469">
        <v>51030125</v>
      </c>
      <c r="D6469">
        <v>61.808658143732956</v>
      </c>
      <c r="E6469" t="s">
        <v>93</v>
      </c>
      <c r="F6469">
        <v>585</v>
      </c>
      <c r="G6469" s="4">
        <v>46087.604456018518</v>
      </c>
    </row>
    <row r="6470" spans="1:7" x14ac:dyDescent="0.3">
      <c r="A6470">
        <v>24364</v>
      </c>
      <c r="B6470" t="s">
        <v>150</v>
      </c>
      <c r="C6470">
        <v>51021550</v>
      </c>
      <c r="D6470">
        <v>76.872229036917972</v>
      </c>
      <c r="E6470" t="s">
        <v>93</v>
      </c>
      <c r="F6470">
        <v>458</v>
      </c>
      <c r="G6470" s="4">
        <v>46087.604456018518</v>
      </c>
    </row>
    <row r="6471" spans="1:7" x14ac:dyDescent="0.3">
      <c r="A6471">
        <v>24365</v>
      </c>
      <c r="B6471" t="s">
        <v>150</v>
      </c>
      <c r="C6471">
        <v>51031407</v>
      </c>
      <c r="D6471">
        <v>71.958778799199521</v>
      </c>
      <c r="E6471" t="s">
        <v>93</v>
      </c>
      <c r="F6471">
        <v>499</v>
      </c>
      <c r="G6471" s="4">
        <v>46087.604456018518</v>
      </c>
    </row>
    <row r="6472" spans="1:7" x14ac:dyDescent="0.3">
      <c r="A6472">
        <v>24366</v>
      </c>
      <c r="B6472" t="s">
        <v>150</v>
      </c>
      <c r="C6472">
        <v>51038754</v>
      </c>
      <c r="D6472">
        <v>81.187052410182872</v>
      </c>
      <c r="E6472" t="s">
        <v>93</v>
      </c>
      <c r="F6472">
        <v>408</v>
      </c>
      <c r="G6472" s="4">
        <v>46087.604456018518</v>
      </c>
    </row>
    <row r="6473" spans="1:7" x14ac:dyDescent="0.3">
      <c r="A6473">
        <v>24367</v>
      </c>
      <c r="B6473" t="s">
        <v>150</v>
      </c>
      <c r="C6473">
        <v>51004761</v>
      </c>
      <c r="D6473">
        <v>44.231047619933584</v>
      </c>
      <c r="E6473" t="s">
        <v>94</v>
      </c>
      <c r="F6473">
        <v>775</v>
      </c>
      <c r="G6473" s="4">
        <v>46087.604456018518</v>
      </c>
    </row>
    <row r="6474" spans="1:7" x14ac:dyDescent="0.3">
      <c r="A6474">
        <v>24368</v>
      </c>
      <c r="B6474" t="s">
        <v>150</v>
      </c>
      <c r="C6474">
        <v>51023358</v>
      </c>
      <c r="D6474">
        <v>30.350754197491568</v>
      </c>
      <c r="E6474" t="s">
        <v>94</v>
      </c>
      <c r="F6474">
        <v>860</v>
      </c>
      <c r="G6474" s="4">
        <v>46087.604456018518</v>
      </c>
    </row>
    <row r="6475" spans="1:7" x14ac:dyDescent="0.3">
      <c r="A6475">
        <v>24369</v>
      </c>
      <c r="B6475" t="s">
        <v>150</v>
      </c>
      <c r="C6475">
        <v>51022670</v>
      </c>
      <c r="D6475">
        <v>97.87844058513916</v>
      </c>
      <c r="E6475" t="s">
        <v>275</v>
      </c>
      <c r="F6475">
        <v>39</v>
      </c>
      <c r="G6475" s="4">
        <v>46087.604456018518</v>
      </c>
    </row>
    <row r="6476" spans="1:7" x14ac:dyDescent="0.3">
      <c r="A6476">
        <v>24370</v>
      </c>
      <c r="B6476" t="s">
        <v>150</v>
      </c>
      <c r="C6476">
        <v>51029976</v>
      </c>
      <c r="D6476">
        <v>80.857459364027804</v>
      </c>
      <c r="E6476" t="s">
        <v>93</v>
      </c>
      <c r="F6476">
        <v>417</v>
      </c>
      <c r="G6476" s="4">
        <v>46087.604456018518</v>
      </c>
    </row>
    <row r="6477" spans="1:7" x14ac:dyDescent="0.3">
      <c r="A6477">
        <v>24371</v>
      </c>
      <c r="B6477" t="s">
        <v>150</v>
      </c>
      <c r="C6477">
        <v>51032195</v>
      </c>
      <c r="D6477">
        <v>32.528171337386468</v>
      </c>
      <c r="E6477" t="s">
        <v>94</v>
      </c>
      <c r="F6477">
        <v>828</v>
      </c>
      <c r="G6477" s="4">
        <v>46087.604456018518</v>
      </c>
    </row>
    <row r="6478" spans="1:7" x14ac:dyDescent="0.3">
      <c r="A6478">
        <v>24372</v>
      </c>
      <c r="B6478" t="s">
        <v>150</v>
      </c>
      <c r="C6478">
        <v>51042875</v>
      </c>
      <c r="D6478">
        <v>45.967232517085989</v>
      </c>
      <c r="E6478" t="s">
        <v>94</v>
      </c>
      <c r="F6478">
        <v>767</v>
      </c>
      <c r="G6478" s="4">
        <v>46087.604456018518</v>
      </c>
    </row>
    <row r="6479" spans="1:7" x14ac:dyDescent="0.3">
      <c r="A6479">
        <v>24373</v>
      </c>
      <c r="B6479" t="s">
        <v>150</v>
      </c>
      <c r="C6479">
        <v>51010728</v>
      </c>
      <c r="D6479">
        <v>62.79378384152686</v>
      </c>
      <c r="E6479" t="s">
        <v>93</v>
      </c>
      <c r="F6479">
        <v>563</v>
      </c>
      <c r="G6479" s="4">
        <v>46087.604456018518</v>
      </c>
    </row>
    <row r="6480" spans="1:7" x14ac:dyDescent="0.3">
      <c r="A6480">
        <v>24374</v>
      </c>
      <c r="B6480" t="s">
        <v>150</v>
      </c>
      <c r="C6480">
        <v>51056655</v>
      </c>
      <c r="D6480">
        <v>34.991129892912156</v>
      </c>
      <c r="E6480" t="s">
        <v>94</v>
      </c>
      <c r="F6480">
        <v>806</v>
      </c>
      <c r="G6480" s="4">
        <v>46087.604456018518</v>
      </c>
    </row>
    <row r="6481" spans="1:7" x14ac:dyDescent="0.3">
      <c r="A6481">
        <v>24375</v>
      </c>
      <c r="B6481" t="s">
        <v>150</v>
      </c>
      <c r="C6481">
        <v>51056817</v>
      </c>
      <c r="D6481">
        <v>44.147656372812975</v>
      </c>
      <c r="E6481" t="s">
        <v>94</v>
      </c>
      <c r="F6481">
        <v>776</v>
      </c>
      <c r="G6481" s="4">
        <v>46087.604456018518</v>
      </c>
    </row>
    <row r="6482" spans="1:7" x14ac:dyDescent="0.3">
      <c r="A6482">
        <v>24376</v>
      </c>
      <c r="B6482" t="s">
        <v>150</v>
      </c>
      <c r="C6482">
        <v>51018826</v>
      </c>
      <c r="D6482">
        <v>88.268164667328264</v>
      </c>
      <c r="E6482" t="s">
        <v>92</v>
      </c>
      <c r="F6482">
        <v>190</v>
      </c>
      <c r="G6482" s="4">
        <v>46087.604456018518</v>
      </c>
    </row>
    <row r="6483" spans="1:7" x14ac:dyDescent="0.3">
      <c r="A6483">
        <v>24377</v>
      </c>
      <c r="B6483" t="s">
        <v>150</v>
      </c>
      <c r="C6483">
        <v>51019814</v>
      </c>
      <c r="D6483">
        <v>23.336240301750948</v>
      </c>
      <c r="E6483" t="s">
        <v>94</v>
      </c>
      <c r="F6483">
        <v>930</v>
      </c>
      <c r="G6483" s="4">
        <v>46087.604456018518</v>
      </c>
    </row>
    <row r="6484" spans="1:7" x14ac:dyDescent="0.3">
      <c r="A6484">
        <v>24378</v>
      </c>
      <c r="B6484" t="s">
        <v>150</v>
      </c>
      <c r="C6484">
        <v>51033281</v>
      </c>
      <c r="D6484">
        <v>60.981824026233561</v>
      </c>
      <c r="E6484" t="s">
        <v>93</v>
      </c>
      <c r="F6484">
        <v>597</v>
      </c>
      <c r="G6484" s="4">
        <v>46087.604456018518</v>
      </c>
    </row>
    <row r="6485" spans="1:7" x14ac:dyDescent="0.3">
      <c r="A6485">
        <v>24379</v>
      </c>
      <c r="B6485" t="s">
        <v>150</v>
      </c>
      <c r="C6485">
        <v>51056523</v>
      </c>
      <c r="D6485">
        <v>21.146109187947228</v>
      </c>
      <c r="E6485" t="s">
        <v>95</v>
      </c>
      <c r="F6485">
        <v>960</v>
      </c>
      <c r="G6485" s="4">
        <v>46087.604456018518</v>
      </c>
    </row>
    <row r="6486" spans="1:7" x14ac:dyDescent="0.3">
      <c r="A6486">
        <v>24380</v>
      </c>
      <c r="B6486" t="s">
        <v>150</v>
      </c>
      <c r="C6486">
        <v>51025792</v>
      </c>
      <c r="D6486">
        <v>30.104444091070235</v>
      </c>
      <c r="E6486" t="s">
        <v>94</v>
      </c>
      <c r="F6486">
        <v>863</v>
      </c>
      <c r="G6486" s="4">
        <v>46087.604456018518</v>
      </c>
    </row>
    <row r="6487" spans="1:7" x14ac:dyDescent="0.3">
      <c r="A6487">
        <v>24381</v>
      </c>
      <c r="B6487" t="s">
        <v>150</v>
      </c>
      <c r="C6487">
        <v>51056728</v>
      </c>
      <c r="D6487">
        <v>26.175713325400054</v>
      </c>
      <c r="E6487" t="s">
        <v>94</v>
      </c>
      <c r="F6487">
        <v>906</v>
      </c>
      <c r="G6487" s="4">
        <v>46087.604456018518</v>
      </c>
    </row>
    <row r="6488" spans="1:7" x14ac:dyDescent="0.3">
      <c r="A6488">
        <v>24382</v>
      </c>
      <c r="B6488" t="s">
        <v>150</v>
      </c>
      <c r="C6488">
        <v>51011708</v>
      </c>
      <c r="D6488">
        <v>18.770209007650852</v>
      </c>
      <c r="E6488" t="s">
        <v>95</v>
      </c>
      <c r="F6488">
        <v>1011</v>
      </c>
      <c r="G6488" s="4">
        <v>46087.604456018518</v>
      </c>
    </row>
    <row r="6489" spans="1:7" x14ac:dyDescent="0.3">
      <c r="A6489">
        <v>24383</v>
      </c>
      <c r="B6489" t="s">
        <v>150</v>
      </c>
      <c r="C6489">
        <v>51056558</v>
      </c>
      <c r="D6489">
        <v>93.289630253130312</v>
      </c>
      <c r="E6489" t="s">
        <v>92</v>
      </c>
      <c r="F6489">
        <v>88</v>
      </c>
      <c r="G6489" s="4">
        <v>46087.604456018518</v>
      </c>
    </row>
    <row r="6490" spans="1:7" x14ac:dyDescent="0.3">
      <c r="A6490">
        <v>24384</v>
      </c>
      <c r="B6490" t="s">
        <v>150</v>
      </c>
      <c r="C6490">
        <v>51041801</v>
      </c>
      <c r="D6490">
        <v>87.529961624604482</v>
      </c>
      <c r="E6490" t="s">
        <v>92</v>
      </c>
      <c r="F6490">
        <v>210</v>
      </c>
      <c r="G6490" s="4">
        <v>46087.604456018518</v>
      </c>
    </row>
    <row r="6491" spans="1:7" x14ac:dyDescent="0.3">
      <c r="A6491">
        <v>24385</v>
      </c>
      <c r="B6491" t="s">
        <v>150</v>
      </c>
      <c r="C6491">
        <v>51055390</v>
      </c>
      <c r="D6491">
        <v>88.307422871310436</v>
      </c>
      <c r="E6491" t="s">
        <v>92</v>
      </c>
      <c r="F6491">
        <v>188</v>
      </c>
      <c r="G6491" s="4">
        <v>46087.604456018518</v>
      </c>
    </row>
    <row r="6492" spans="1:7" x14ac:dyDescent="0.3">
      <c r="A6492">
        <v>24386</v>
      </c>
      <c r="B6492" t="s">
        <v>150</v>
      </c>
      <c r="C6492">
        <v>51017081</v>
      </c>
      <c r="D6492">
        <v>62.397316268447398</v>
      </c>
      <c r="E6492" t="s">
        <v>93</v>
      </c>
      <c r="F6492">
        <v>572</v>
      </c>
      <c r="G6492" s="4">
        <v>46087.604456018518</v>
      </c>
    </row>
    <row r="6493" spans="1:7" x14ac:dyDescent="0.3">
      <c r="A6493">
        <v>24387</v>
      </c>
      <c r="B6493" t="s">
        <v>150</v>
      </c>
      <c r="C6493">
        <v>51056345</v>
      </c>
      <c r="D6493">
        <v>61.744346850590659</v>
      </c>
      <c r="E6493" t="s">
        <v>93</v>
      </c>
      <c r="F6493">
        <v>586</v>
      </c>
      <c r="G6493" s="4">
        <v>46087.604456018518</v>
      </c>
    </row>
    <row r="6494" spans="1:7" x14ac:dyDescent="0.3">
      <c r="A6494">
        <v>24388</v>
      </c>
      <c r="B6494" t="s">
        <v>150</v>
      </c>
      <c r="C6494">
        <v>51055942</v>
      </c>
      <c r="D6494">
        <v>88.509246632275762</v>
      </c>
      <c r="E6494" t="s">
        <v>92</v>
      </c>
      <c r="F6494">
        <v>183</v>
      </c>
      <c r="G6494" s="4">
        <v>46087.604456018518</v>
      </c>
    </row>
    <row r="6495" spans="1:7" x14ac:dyDescent="0.3">
      <c r="A6495">
        <v>24389</v>
      </c>
      <c r="B6495" t="s">
        <v>150</v>
      </c>
      <c r="C6495">
        <v>51036735</v>
      </c>
      <c r="D6495">
        <v>88.086283196486164</v>
      </c>
      <c r="E6495" t="s">
        <v>92</v>
      </c>
      <c r="F6495">
        <v>195</v>
      </c>
      <c r="G6495" s="4">
        <v>46087.604456018518</v>
      </c>
    </row>
    <row r="6496" spans="1:7" x14ac:dyDescent="0.3">
      <c r="A6496">
        <v>24390</v>
      </c>
      <c r="B6496" t="s">
        <v>150</v>
      </c>
      <c r="C6496">
        <v>51001427</v>
      </c>
      <c r="D6496">
        <v>82.66826151922443</v>
      </c>
      <c r="E6496" t="s">
        <v>93</v>
      </c>
      <c r="F6496">
        <v>369</v>
      </c>
      <c r="G6496" s="4">
        <v>46087.604456018518</v>
      </c>
    </row>
    <row r="6497" spans="1:7" x14ac:dyDescent="0.3">
      <c r="A6497">
        <v>24391</v>
      </c>
      <c r="B6497" t="s">
        <v>150</v>
      </c>
      <c r="C6497">
        <v>51010272</v>
      </c>
      <c r="D6497">
        <v>98.511910854003943</v>
      </c>
      <c r="E6497" t="s">
        <v>275</v>
      </c>
      <c r="F6497">
        <v>30</v>
      </c>
      <c r="G6497" s="4">
        <v>46087.604456018518</v>
      </c>
    </row>
    <row r="6498" spans="1:7" x14ac:dyDescent="0.3">
      <c r="A6498">
        <v>24392</v>
      </c>
      <c r="B6498" t="s">
        <v>150</v>
      </c>
      <c r="C6498">
        <v>51056451</v>
      </c>
      <c r="D6498">
        <v>58.252976783764353</v>
      </c>
      <c r="E6498" t="s">
        <v>94</v>
      </c>
      <c r="F6498">
        <v>652</v>
      </c>
      <c r="G6498" s="4">
        <v>46087.604456018518</v>
      </c>
    </row>
    <row r="6499" spans="1:7" x14ac:dyDescent="0.3">
      <c r="A6499">
        <v>24393</v>
      </c>
      <c r="B6499" t="s">
        <v>150</v>
      </c>
      <c r="C6499">
        <v>51018907</v>
      </c>
      <c r="D6499">
        <v>73.641609466775094</v>
      </c>
      <c r="E6499" t="s">
        <v>93</v>
      </c>
      <c r="F6499">
        <v>483</v>
      </c>
      <c r="G6499" s="4">
        <v>46087.604456018518</v>
      </c>
    </row>
    <row r="6500" spans="1:7" x14ac:dyDescent="0.3">
      <c r="A6500">
        <v>24394</v>
      </c>
      <c r="B6500" t="s">
        <v>150</v>
      </c>
      <c r="C6500">
        <v>51004108</v>
      </c>
      <c r="D6500">
        <v>85.965988728613439</v>
      </c>
      <c r="E6500" t="s">
        <v>93</v>
      </c>
      <c r="F6500">
        <v>253</v>
      </c>
      <c r="G6500" s="4">
        <v>46087.604456018518</v>
      </c>
    </row>
    <row r="6501" spans="1:7" x14ac:dyDescent="0.3">
      <c r="A6501">
        <v>24395</v>
      </c>
      <c r="B6501" t="s">
        <v>150</v>
      </c>
      <c r="C6501">
        <v>51030869</v>
      </c>
      <c r="D6501">
        <v>54.797776733105025</v>
      </c>
      <c r="E6501" t="s">
        <v>94</v>
      </c>
      <c r="F6501">
        <v>719</v>
      </c>
      <c r="G6501" s="4">
        <v>46087.604456018518</v>
      </c>
    </row>
    <row r="6502" spans="1:7" x14ac:dyDescent="0.3">
      <c r="A6502">
        <v>24396</v>
      </c>
      <c r="B6502" t="s">
        <v>150</v>
      </c>
      <c r="C6502">
        <v>51031113</v>
      </c>
      <c r="D6502">
        <v>98.306443714971039</v>
      </c>
      <c r="E6502" t="s">
        <v>275</v>
      </c>
      <c r="F6502">
        <v>35</v>
      </c>
      <c r="G6502" s="4">
        <v>46087.604456018518</v>
      </c>
    </row>
    <row r="6503" spans="1:7" x14ac:dyDescent="0.3">
      <c r="A6503">
        <v>24397</v>
      </c>
      <c r="B6503" t="s">
        <v>150</v>
      </c>
      <c r="C6503">
        <v>51033329</v>
      </c>
      <c r="D6503">
        <v>83.224192489898982</v>
      </c>
      <c r="E6503" t="s">
        <v>93</v>
      </c>
      <c r="F6503">
        <v>340</v>
      </c>
      <c r="G6503" s="4">
        <v>46087.604456018518</v>
      </c>
    </row>
    <row r="6504" spans="1:7" x14ac:dyDescent="0.3">
      <c r="A6504">
        <v>24398</v>
      </c>
      <c r="B6504" t="s">
        <v>150</v>
      </c>
      <c r="C6504">
        <v>51042905</v>
      </c>
      <c r="D6504">
        <v>56.665806057078356</v>
      </c>
      <c r="E6504" t="s">
        <v>94</v>
      </c>
      <c r="F6504">
        <v>688</v>
      </c>
      <c r="G6504" s="4">
        <v>46087.604456018518</v>
      </c>
    </row>
    <row r="6505" spans="1:7" x14ac:dyDescent="0.3">
      <c r="A6505">
        <v>24399</v>
      </c>
      <c r="B6505" t="s">
        <v>150</v>
      </c>
      <c r="C6505">
        <v>51010833</v>
      </c>
      <c r="D6505">
        <v>59.796464704261126</v>
      </c>
      <c r="E6505" t="s">
        <v>94</v>
      </c>
      <c r="F6505">
        <v>623</v>
      </c>
      <c r="G6505" s="4">
        <v>46087.604456018518</v>
      </c>
    </row>
    <row r="6506" spans="1:7" x14ac:dyDescent="0.3">
      <c r="A6506">
        <v>24400</v>
      </c>
      <c r="B6506" t="s">
        <v>150</v>
      </c>
      <c r="C6506">
        <v>51042956</v>
      </c>
      <c r="D6506">
        <v>88.425165017659879</v>
      </c>
      <c r="E6506" t="s">
        <v>92</v>
      </c>
      <c r="F6506">
        <v>186</v>
      </c>
      <c r="G6506" s="4">
        <v>46087.604456018518</v>
      </c>
    </row>
    <row r="6507" spans="1:7" x14ac:dyDescent="0.3">
      <c r="A6507">
        <v>24401</v>
      </c>
      <c r="B6507" t="s">
        <v>150</v>
      </c>
      <c r="C6507">
        <v>51039645</v>
      </c>
      <c r="D6507">
        <v>82.700979388881592</v>
      </c>
      <c r="E6507" t="s">
        <v>93</v>
      </c>
      <c r="F6507">
        <v>368</v>
      </c>
      <c r="G6507" s="4">
        <v>46087.604456018518</v>
      </c>
    </row>
    <row r="6508" spans="1:7" x14ac:dyDescent="0.3">
      <c r="A6508">
        <v>24402</v>
      </c>
      <c r="B6508" t="s">
        <v>150</v>
      </c>
      <c r="C6508">
        <v>51021622</v>
      </c>
      <c r="D6508">
        <v>50.05568469760204</v>
      </c>
      <c r="E6508" t="s">
        <v>94</v>
      </c>
      <c r="F6508">
        <v>742</v>
      </c>
      <c r="G6508" s="4">
        <v>46087.604456018518</v>
      </c>
    </row>
    <row r="6509" spans="1:7" x14ac:dyDescent="0.3">
      <c r="A6509">
        <v>24403</v>
      </c>
      <c r="B6509" t="s">
        <v>150</v>
      </c>
      <c r="C6509">
        <v>51031491</v>
      </c>
      <c r="D6509">
        <v>87.760994694782042</v>
      </c>
      <c r="E6509" t="s">
        <v>92</v>
      </c>
      <c r="F6509">
        <v>207</v>
      </c>
      <c r="G6509" s="4">
        <v>46087.604456018518</v>
      </c>
    </row>
    <row r="6510" spans="1:7" x14ac:dyDescent="0.3">
      <c r="A6510">
        <v>24404</v>
      </c>
      <c r="B6510" t="s">
        <v>150</v>
      </c>
      <c r="C6510">
        <v>51020162</v>
      </c>
      <c r="D6510">
        <v>25.783650716958952</v>
      </c>
      <c r="E6510" t="s">
        <v>94</v>
      </c>
      <c r="F6510">
        <v>909</v>
      </c>
      <c r="G6510" s="4">
        <v>46087.604456018518</v>
      </c>
    </row>
    <row r="6511" spans="1:7" x14ac:dyDescent="0.3">
      <c r="A6511">
        <v>24405</v>
      </c>
      <c r="B6511" t="s">
        <v>150</v>
      </c>
      <c r="C6511">
        <v>51017056</v>
      </c>
      <c r="D6511">
        <v>30.350985858679447</v>
      </c>
      <c r="E6511" t="s">
        <v>94</v>
      </c>
      <c r="F6511">
        <v>859</v>
      </c>
      <c r="G6511" s="4">
        <v>46087.604456018518</v>
      </c>
    </row>
    <row r="6512" spans="1:7" x14ac:dyDescent="0.3">
      <c r="A6512">
        <v>24406</v>
      </c>
      <c r="B6512" t="s">
        <v>150</v>
      </c>
      <c r="C6512">
        <v>51056019</v>
      </c>
      <c r="D6512">
        <v>56.48906663244432</v>
      </c>
      <c r="E6512" t="s">
        <v>94</v>
      </c>
      <c r="F6512">
        <v>691</v>
      </c>
      <c r="G6512" s="4">
        <v>46087.604456018518</v>
      </c>
    </row>
    <row r="6513" spans="1:7" x14ac:dyDescent="0.3">
      <c r="A6513">
        <v>24407</v>
      </c>
      <c r="B6513" t="s">
        <v>150</v>
      </c>
      <c r="C6513">
        <v>51017579</v>
      </c>
      <c r="D6513">
        <v>92.288923513824116</v>
      </c>
      <c r="E6513" t="s">
        <v>92</v>
      </c>
      <c r="F6513">
        <v>103</v>
      </c>
      <c r="G6513" s="4">
        <v>46087.604456018518</v>
      </c>
    </row>
    <row r="6514" spans="1:7" x14ac:dyDescent="0.3">
      <c r="A6514">
        <v>24408</v>
      </c>
      <c r="B6514" t="s">
        <v>150</v>
      </c>
      <c r="C6514">
        <v>51015487</v>
      </c>
      <c r="D6514">
        <v>67.168402511401524</v>
      </c>
      <c r="E6514" t="s">
        <v>93</v>
      </c>
      <c r="F6514">
        <v>536</v>
      </c>
      <c r="G6514" s="4">
        <v>46087.604456018518</v>
      </c>
    </row>
    <row r="6515" spans="1:7" x14ac:dyDescent="0.3">
      <c r="A6515">
        <v>24409</v>
      </c>
      <c r="B6515" t="s">
        <v>150</v>
      </c>
      <c r="C6515">
        <v>51040333</v>
      </c>
      <c r="D6515">
        <v>87.162486745472734</v>
      </c>
      <c r="E6515" t="s">
        <v>92</v>
      </c>
      <c r="F6515">
        <v>222</v>
      </c>
      <c r="G6515" s="4">
        <v>46087.604456018518</v>
      </c>
    </row>
    <row r="6516" spans="1:7" x14ac:dyDescent="0.3">
      <c r="A6516">
        <v>24410</v>
      </c>
      <c r="B6516" t="s">
        <v>150</v>
      </c>
      <c r="C6516">
        <v>51017153</v>
      </c>
      <c r="D6516">
        <v>75.386810455008671</v>
      </c>
      <c r="E6516" t="s">
        <v>93</v>
      </c>
      <c r="F6516">
        <v>473</v>
      </c>
      <c r="G6516" s="4">
        <v>46087.604456018518</v>
      </c>
    </row>
    <row r="6517" spans="1:7" x14ac:dyDescent="0.3">
      <c r="A6517">
        <v>24411</v>
      </c>
      <c r="B6517" t="s">
        <v>150</v>
      </c>
      <c r="C6517">
        <v>51021886</v>
      </c>
      <c r="D6517">
        <v>56.101977000092177</v>
      </c>
      <c r="E6517" t="s">
        <v>94</v>
      </c>
      <c r="F6517">
        <v>699</v>
      </c>
      <c r="G6517" s="4">
        <v>46087.604456018518</v>
      </c>
    </row>
    <row r="6518" spans="1:7" x14ac:dyDescent="0.3">
      <c r="A6518">
        <v>24412</v>
      </c>
      <c r="B6518" t="s">
        <v>150</v>
      </c>
      <c r="C6518">
        <v>51023188</v>
      </c>
      <c r="D6518">
        <v>96.375290640013162</v>
      </c>
      <c r="E6518" t="s">
        <v>275</v>
      </c>
      <c r="F6518">
        <v>55</v>
      </c>
      <c r="G6518" s="4">
        <v>46087.604456018518</v>
      </c>
    </row>
    <row r="6519" spans="1:7" x14ac:dyDescent="0.3">
      <c r="A6519">
        <v>24413</v>
      </c>
      <c r="B6519" t="s">
        <v>150</v>
      </c>
      <c r="C6519">
        <v>51055667</v>
      </c>
      <c r="D6519">
        <v>30.16993441108869</v>
      </c>
      <c r="E6519" t="s">
        <v>94</v>
      </c>
      <c r="F6519">
        <v>861</v>
      </c>
      <c r="G6519" s="4">
        <v>46087.604456018518</v>
      </c>
    </row>
    <row r="6520" spans="1:7" x14ac:dyDescent="0.3">
      <c r="A6520">
        <v>24414</v>
      </c>
      <c r="B6520" t="s">
        <v>150</v>
      </c>
      <c r="C6520">
        <v>51020081</v>
      </c>
      <c r="D6520">
        <v>83.069371491439782</v>
      </c>
      <c r="E6520" t="s">
        <v>93</v>
      </c>
      <c r="F6520">
        <v>352</v>
      </c>
      <c r="G6520" s="4">
        <v>46087.604456018518</v>
      </c>
    </row>
    <row r="6521" spans="1:7" x14ac:dyDescent="0.3">
      <c r="A6521">
        <v>24415</v>
      </c>
      <c r="B6521" t="s">
        <v>150</v>
      </c>
      <c r="C6521">
        <v>51018729</v>
      </c>
      <c r="D6521">
        <v>67.921761216910937</v>
      </c>
      <c r="E6521" t="s">
        <v>93</v>
      </c>
      <c r="F6521">
        <v>529</v>
      </c>
      <c r="G6521" s="4">
        <v>46087.604456018518</v>
      </c>
    </row>
    <row r="6522" spans="1:7" x14ac:dyDescent="0.3">
      <c r="A6522">
        <v>24416</v>
      </c>
      <c r="B6522" t="s">
        <v>150</v>
      </c>
      <c r="C6522">
        <v>51030222</v>
      </c>
      <c r="D6522">
        <v>45.291061266204515</v>
      </c>
      <c r="E6522" t="s">
        <v>94</v>
      </c>
      <c r="F6522">
        <v>773</v>
      </c>
      <c r="G6522" s="4">
        <v>46087.604456018518</v>
      </c>
    </row>
    <row r="6523" spans="1:7" x14ac:dyDescent="0.3">
      <c r="A6523">
        <v>24417</v>
      </c>
      <c r="B6523" t="s">
        <v>150</v>
      </c>
      <c r="C6523">
        <v>51002717</v>
      </c>
      <c r="D6523">
        <v>40.145500877899835</v>
      </c>
      <c r="E6523" t="s">
        <v>94</v>
      </c>
      <c r="F6523">
        <v>784</v>
      </c>
      <c r="G6523" s="4">
        <v>46087.604456018518</v>
      </c>
    </row>
    <row r="6524" spans="1:7" x14ac:dyDescent="0.3">
      <c r="A6524">
        <v>24418</v>
      </c>
      <c r="B6524" t="s">
        <v>150</v>
      </c>
      <c r="C6524">
        <v>51055454</v>
      </c>
      <c r="D6524">
        <v>30.394223033121566</v>
      </c>
      <c r="E6524" t="s">
        <v>94</v>
      </c>
      <c r="F6524">
        <v>856</v>
      </c>
      <c r="G6524" s="4">
        <v>46087.604456018518</v>
      </c>
    </row>
    <row r="6525" spans="1:7" x14ac:dyDescent="0.3">
      <c r="A6525">
        <v>24419</v>
      </c>
      <c r="B6525" t="s">
        <v>150</v>
      </c>
      <c r="C6525">
        <v>51055756</v>
      </c>
      <c r="D6525">
        <v>97.597189698238182</v>
      </c>
      <c r="E6525" t="s">
        <v>275</v>
      </c>
      <c r="F6525">
        <v>40</v>
      </c>
      <c r="G6525" s="4">
        <v>46087.604456018518</v>
      </c>
    </row>
    <row r="6526" spans="1:7" x14ac:dyDescent="0.3">
      <c r="A6526">
        <v>24420</v>
      </c>
      <c r="B6526" t="s">
        <v>150</v>
      </c>
      <c r="C6526">
        <v>51011490</v>
      </c>
      <c r="D6526">
        <v>54.505753761124289</v>
      </c>
      <c r="E6526" t="s">
        <v>94</v>
      </c>
      <c r="F6526">
        <v>722</v>
      </c>
      <c r="G6526" s="4">
        <v>46087.604456018518</v>
      </c>
    </row>
    <row r="6527" spans="1:7" x14ac:dyDescent="0.3">
      <c r="A6527">
        <v>24421</v>
      </c>
      <c r="B6527" t="s">
        <v>150</v>
      </c>
      <c r="C6527">
        <v>51010736</v>
      </c>
      <c r="D6527">
        <v>87.369278755034159</v>
      </c>
      <c r="E6527" t="s">
        <v>92</v>
      </c>
      <c r="F6527">
        <v>216</v>
      </c>
      <c r="G6527" s="4">
        <v>46087.604456018518</v>
      </c>
    </row>
    <row r="6528" spans="1:7" x14ac:dyDescent="0.3">
      <c r="A6528">
        <v>24422</v>
      </c>
      <c r="B6528" t="s">
        <v>150</v>
      </c>
      <c r="C6528">
        <v>51016149</v>
      </c>
      <c r="D6528">
        <v>81.310366433394606</v>
      </c>
      <c r="E6528" t="s">
        <v>93</v>
      </c>
      <c r="F6528">
        <v>406</v>
      </c>
      <c r="G6528" s="4">
        <v>46087.604456018518</v>
      </c>
    </row>
    <row r="6529" spans="1:7" x14ac:dyDescent="0.3">
      <c r="A6529">
        <v>24423</v>
      </c>
      <c r="B6529" t="s">
        <v>150</v>
      </c>
      <c r="C6529">
        <v>51013930</v>
      </c>
      <c r="D6529">
        <v>46.372005950709813</v>
      </c>
      <c r="E6529" t="s">
        <v>94</v>
      </c>
      <c r="F6529">
        <v>763</v>
      </c>
      <c r="G6529" s="4">
        <v>46087.604456018518</v>
      </c>
    </row>
    <row r="6530" spans="1:7" x14ac:dyDescent="0.3">
      <c r="A6530">
        <v>24424</v>
      </c>
      <c r="B6530" t="s">
        <v>150</v>
      </c>
      <c r="C6530">
        <v>51055641</v>
      </c>
      <c r="D6530">
        <v>23.981392911793936</v>
      </c>
      <c r="E6530" t="s">
        <v>94</v>
      </c>
      <c r="F6530">
        <v>921</v>
      </c>
      <c r="G6530" s="4">
        <v>46087.604456018518</v>
      </c>
    </row>
    <row r="6531" spans="1:7" x14ac:dyDescent="0.3">
      <c r="A6531">
        <v>24425</v>
      </c>
      <c r="B6531" t="s">
        <v>150</v>
      </c>
      <c r="C6531">
        <v>51021461</v>
      </c>
      <c r="D6531">
        <v>100</v>
      </c>
      <c r="E6531" t="s">
        <v>275</v>
      </c>
      <c r="F6531">
        <v>1</v>
      </c>
      <c r="G6531" s="4">
        <v>46087.604456018518</v>
      </c>
    </row>
    <row r="6532" spans="1:7" x14ac:dyDescent="0.3">
      <c r="A6532">
        <v>24426</v>
      </c>
      <c r="B6532" t="s">
        <v>150</v>
      </c>
      <c r="C6532">
        <v>51039637</v>
      </c>
      <c r="D6532">
        <v>96.432113897448232</v>
      </c>
      <c r="E6532" t="s">
        <v>275</v>
      </c>
      <c r="F6532">
        <v>54</v>
      </c>
      <c r="G6532" s="4">
        <v>46087.604456018518</v>
      </c>
    </row>
    <row r="6533" spans="1:7" x14ac:dyDescent="0.3">
      <c r="A6533">
        <v>24427</v>
      </c>
      <c r="B6533" t="s">
        <v>150</v>
      </c>
      <c r="C6533">
        <v>51020308</v>
      </c>
      <c r="D6533">
        <v>85.357708379941741</v>
      </c>
      <c r="E6533" t="s">
        <v>93</v>
      </c>
      <c r="F6533">
        <v>274</v>
      </c>
      <c r="G6533" s="4">
        <v>46087.604456018518</v>
      </c>
    </row>
    <row r="6534" spans="1:7" x14ac:dyDescent="0.3">
      <c r="A6534">
        <v>24428</v>
      </c>
      <c r="B6534" t="s">
        <v>150</v>
      </c>
      <c r="C6534">
        <v>51040597</v>
      </c>
      <c r="D6534">
        <v>58.800078158328567</v>
      </c>
      <c r="E6534" t="s">
        <v>94</v>
      </c>
      <c r="F6534">
        <v>639</v>
      </c>
      <c r="G6534" s="4">
        <v>46087.604456018518</v>
      </c>
    </row>
    <row r="6535" spans="1:7" x14ac:dyDescent="0.3">
      <c r="A6535">
        <v>24429</v>
      </c>
      <c r="B6535" t="s">
        <v>150</v>
      </c>
      <c r="C6535">
        <v>51014197</v>
      </c>
      <c r="D6535">
        <v>57.779045680687169</v>
      </c>
      <c r="E6535" t="s">
        <v>94</v>
      </c>
      <c r="F6535">
        <v>669</v>
      </c>
      <c r="G6535" s="4">
        <v>46087.604456018518</v>
      </c>
    </row>
    <row r="6536" spans="1:7" x14ac:dyDescent="0.3">
      <c r="A6536">
        <v>24430</v>
      </c>
      <c r="B6536" t="s">
        <v>150</v>
      </c>
      <c r="C6536">
        <v>51056621</v>
      </c>
      <c r="D6536">
        <v>65.933019988272846</v>
      </c>
      <c r="E6536" t="s">
        <v>93</v>
      </c>
      <c r="F6536">
        <v>541</v>
      </c>
      <c r="G6536" s="4">
        <v>46087.604456018518</v>
      </c>
    </row>
    <row r="6537" spans="1:7" x14ac:dyDescent="0.3">
      <c r="A6537">
        <v>24431</v>
      </c>
      <c r="B6537" t="s">
        <v>150</v>
      </c>
      <c r="C6537">
        <v>51018524</v>
      </c>
      <c r="D6537">
        <v>86.890241850650924</v>
      </c>
      <c r="E6537" t="s">
        <v>92</v>
      </c>
      <c r="F6537">
        <v>227</v>
      </c>
      <c r="G6537" s="4">
        <v>46087.604456018518</v>
      </c>
    </row>
    <row r="6538" spans="1:7" x14ac:dyDescent="0.3">
      <c r="A6538">
        <v>24432</v>
      </c>
      <c r="B6538" t="s">
        <v>150</v>
      </c>
      <c r="C6538">
        <v>51056701</v>
      </c>
      <c r="D6538">
        <v>58.308923191076062</v>
      </c>
      <c r="E6538" t="s">
        <v>94</v>
      </c>
      <c r="F6538">
        <v>650</v>
      </c>
      <c r="G6538" s="4">
        <v>46087.604456018518</v>
      </c>
    </row>
    <row r="6539" spans="1:7" x14ac:dyDescent="0.3">
      <c r="A6539">
        <v>24433</v>
      </c>
      <c r="B6539" t="s">
        <v>150</v>
      </c>
      <c r="C6539">
        <v>51057007</v>
      </c>
      <c r="D6539">
        <v>22.471670645500868</v>
      </c>
      <c r="E6539" t="s">
        <v>94</v>
      </c>
      <c r="F6539">
        <v>944</v>
      </c>
      <c r="G6539" s="4">
        <v>46087.604456018518</v>
      </c>
    </row>
    <row r="6540" spans="1:7" x14ac:dyDescent="0.3">
      <c r="A6540">
        <v>24434</v>
      </c>
      <c r="B6540" t="s">
        <v>150</v>
      </c>
      <c r="C6540">
        <v>51011091</v>
      </c>
      <c r="D6540">
        <v>61.154657429614396</v>
      </c>
      <c r="E6540" t="s">
        <v>93</v>
      </c>
      <c r="F6540">
        <v>594</v>
      </c>
      <c r="G6540" s="4">
        <v>46087.604456018518</v>
      </c>
    </row>
    <row r="6541" spans="1:7" x14ac:dyDescent="0.3">
      <c r="A6541">
        <v>24435</v>
      </c>
      <c r="B6541" t="s">
        <v>150</v>
      </c>
      <c r="C6541">
        <v>51011953</v>
      </c>
      <c r="D6541">
        <v>22.902874226645636</v>
      </c>
      <c r="E6541" t="s">
        <v>94</v>
      </c>
      <c r="F6541">
        <v>932</v>
      </c>
      <c r="G6541" s="4">
        <v>46087.604456018518</v>
      </c>
    </row>
    <row r="6542" spans="1:7" x14ac:dyDescent="0.3">
      <c r="A6542">
        <v>24436</v>
      </c>
      <c r="B6542" t="s">
        <v>150</v>
      </c>
      <c r="C6542">
        <v>51022955</v>
      </c>
      <c r="D6542">
        <v>68.279261332204356</v>
      </c>
      <c r="E6542" t="s">
        <v>93</v>
      </c>
      <c r="F6542">
        <v>524</v>
      </c>
      <c r="G6542" s="4">
        <v>46087.604456018518</v>
      </c>
    </row>
    <row r="6543" spans="1:7" x14ac:dyDescent="0.3">
      <c r="A6543">
        <v>24437</v>
      </c>
      <c r="B6543" t="s">
        <v>150</v>
      </c>
      <c r="C6543">
        <v>51021673</v>
      </c>
      <c r="D6543">
        <v>55.109197397589639</v>
      </c>
      <c r="E6543" t="s">
        <v>94</v>
      </c>
      <c r="F6543">
        <v>715</v>
      </c>
      <c r="G6543" s="4">
        <v>46087.604456018518</v>
      </c>
    </row>
    <row r="6544" spans="1:7" x14ac:dyDescent="0.3">
      <c r="A6544">
        <v>24438</v>
      </c>
      <c r="B6544" t="s">
        <v>150</v>
      </c>
      <c r="C6544">
        <v>51013476</v>
      </c>
      <c r="D6544">
        <v>81.048844938523715</v>
      </c>
      <c r="E6544" t="s">
        <v>93</v>
      </c>
      <c r="F6544">
        <v>413</v>
      </c>
      <c r="G6544" s="4">
        <v>46087.604456018518</v>
      </c>
    </row>
    <row r="6545" spans="1:7" x14ac:dyDescent="0.3">
      <c r="A6545">
        <v>24439</v>
      </c>
      <c r="B6545" t="s">
        <v>150</v>
      </c>
      <c r="C6545">
        <v>51022998</v>
      </c>
      <c r="D6545">
        <v>98.0770561748527</v>
      </c>
      <c r="E6545" t="s">
        <v>275</v>
      </c>
      <c r="F6545">
        <v>37</v>
      </c>
      <c r="G6545" s="4">
        <v>46087.604456018518</v>
      </c>
    </row>
    <row r="6546" spans="1:7" x14ac:dyDescent="0.3">
      <c r="A6546">
        <v>24440</v>
      </c>
      <c r="B6546" t="s">
        <v>150</v>
      </c>
      <c r="C6546">
        <v>51056485</v>
      </c>
      <c r="D6546">
        <v>56.483134938630279</v>
      </c>
      <c r="E6546" t="s">
        <v>94</v>
      </c>
      <c r="F6546">
        <v>692</v>
      </c>
      <c r="G6546" s="4">
        <v>46087.604456018518</v>
      </c>
    </row>
    <row r="6547" spans="1:7" x14ac:dyDescent="0.3">
      <c r="A6547">
        <v>24441</v>
      </c>
      <c r="B6547" t="s">
        <v>150</v>
      </c>
      <c r="C6547">
        <v>51055705</v>
      </c>
      <c r="D6547">
        <v>83.214089306732973</v>
      </c>
      <c r="E6547" t="s">
        <v>93</v>
      </c>
      <c r="F6547">
        <v>341</v>
      </c>
      <c r="G6547" s="4">
        <v>46087.604456018518</v>
      </c>
    </row>
    <row r="6548" spans="1:7" x14ac:dyDescent="0.3">
      <c r="A6548">
        <v>24442</v>
      </c>
      <c r="B6548" t="s">
        <v>150</v>
      </c>
      <c r="C6548">
        <v>51041798</v>
      </c>
      <c r="D6548">
        <v>83.170215366582795</v>
      </c>
      <c r="E6548" t="s">
        <v>93</v>
      </c>
      <c r="F6548">
        <v>346</v>
      </c>
      <c r="G6548" s="4">
        <v>46087.604456018518</v>
      </c>
    </row>
    <row r="6549" spans="1:7" x14ac:dyDescent="0.3">
      <c r="A6549">
        <v>24443</v>
      </c>
      <c r="B6549" t="s">
        <v>150</v>
      </c>
      <c r="C6549">
        <v>51020600</v>
      </c>
      <c r="D6549">
        <v>58.562789323032433</v>
      </c>
      <c r="E6549" t="s">
        <v>94</v>
      </c>
      <c r="F6549">
        <v>646</v>
      </c>
      <c r="G6549" s="4">
        <v>46087.604456018518</v>
      </c>
    </row>
    <row r="6550" spans="1:7" x14ac:dyDescent="0.3">
      <c r="A6550">
        <v>24444</v>
      </c>
      <c r="B6550" t="s">
        <v>150</v>
      </c>
      <c r="C6550">
        <v>51033795</v>
      </c>
      <c r="D6550">
        <v>75.251950401149173</v>
      </c>
      <c r="E6550" t="s">
        <v>93</v>
      </c>
      <c r="F6550">
        <v>474</v>
      </c>
      <c r="G6550" s="4">
        <v>46087.604456018518</v>
      </c>
    </row>
    <row r="6551" spans="1:7" x14ac:dyDescent="0.3">
      <c r="A6551">
        <v>24445</v>
      </c>
      <c r="B6551" t="s">
        <v>150</v>
      </c>
      <c r="C6551">
        <v>51030419</v>
      </c>
      <c r="D6551">
        <v>50.18143111043608</v>
      </c>
      <c r="E6551" t="s">
        <v>94</v>
      </c>
      <c r="F6551">
        <v>741</v>
      </c>
      <c r="G6551" s="4">
        <v>46087.604456018518</v>
      </c>
    </row>
    <row r="6552" spans="1:7" x14ac:dyDescent="0.3">
      <c r="A6552">
        <v>24446</v>
      </c>
      <c r="B6552" t="s">
        <v>150</v>
      </c>
      <c r="C6552">
        <v>51038819</v>
      </c>
      <c r="D6552">
        <v>82.314928051347394</v>
      </c>
      <c r="E6552" t="s">
        <v>93</v>
      </c>
      <c r="F6552">
        <v>381</v>
      </c>
      <c r="G6552" s="4">
        <v>46087.604456018518</v>
      </c>
    </row>
    <row r="6553" spans="1:7" x14ac:dyDescent="0.3">
      <c r="A6553">
        <v>24447</v>
      </c>
      <c r="B6553" t="s">
        <v>150</v>
      </c>
      <c r="C6553">
        <v>51021851</v>
      </c>
      <c r="D6553">
        <v>90.615622492729258</v>
      </c>
      <c r="E6553" t="s">
        <v>92</v>
      </c>
      <c r="F6553">
        <v>121</v>
      </c>
      <c r="G6553" s="4">
        <v>46087.604456018518</v>
      </c>
    </row>
    <row r="6554" spans="1:7" x14ac:dyDescent="0.3">
      <c r="A6554">
        <v>24448</v>
      </c>
      <c r="B6554" t="s">
        <v>150</v>
      </c>
      <c r="C6554">
        <v>51004086</v>
      </c>
      <c r="D6554">
        <v>34.583858866530214</v>
      </c>
      <c r="E6554" t="s">
        <v>94</v>
      </c>
      <c r="F6554">
        <v>809</v>
      </c>
      <c r="G6554" s="4">
        <v>46087.604456018518</v>
      </c>
    </row>
    <row r="6555" spans="1:7" x14ac:dyDescent="0.3">
      <c r="A6555">
        <v>24449</v>
      </c>
      <c r="B6555" t="s">
        <v>150</v>
      </c>
      <c r="C6555">
        <v>51017111</v>
      </c>
      <c r="D6555">
        <v>67.620326660173646</v>
      </c>
      <c r="E6555" t="s">
        <v>93</v>
      </c>
      <c r="F6555">
        <v>534</v>
      </c>
      <c r="G6555" s="4">
        <v>46087.604456018518</v>
      </c>
    </row>
    <row r="6556" spans="1:7" x14ac:dyDescent="0.3">
      <c r="A6556">
        <v>24450</v>
      </c>
      <c r="B6556" t="s">
        <v>150</v>
      </c>
      <c r="C6556">
        <v>51022106</v>
      </c>
      <c r="D6556">
        <v>17.553914493467694</v>
      </c>
      <c r="E6556" t="s">
        <v>95</v>
      </c>
      <c r="F6556">
        <v>1039</v>
      </c>
      <c r="G6556" s="4">
        <v>46087.604456018518</v>
      </c>
    </row>
    <row r="6557" spans="1:7" x14ac:dyDescent="0.3">
      <c r="A6557">
        <v>24451</v>
      </c>
      <c r="B6557" t="s">
        <v>150</v>
      </c>
      <c r="C6557">
        <v>51056205</v>
      </c>
      <c r="D6557">
        <v>80.597286288529233</v>
      </c>
      <c r="E6557" t="s">
        <v>93</v>
      </c>
      <c r="F6557">
        <v>427</v>
      </c>
      <c r="G6557" s="4">
        <v>46087.604456018518</v>
      </c>
    </row>
    <row r="6558" spans="1:7" x14ac:dyDescent="0.3">
      <c r="A6558">
        <v>24452</v>
      </c>
      <c r="B6558" t="s">
        <v>150</v>
      </c>
      <c r="C6558">
        <v>51055870</v>
      </c>
      <c r="D6558">
        <v>88.016770439240631</v>
      </c>
      <c r="E6558" t="s">
        <v>92</v>
      </c>
      <c r="F6558">
        <v>199</v>
      </c>
      <c r="G6558" s="4">
        <v>46087.604456018518</v>
      </c>
    </row>
    <row r="6559" spans="1:7" x14ac:dyDescent="0.3">
      <c r="A6559">
        <v>24453</v>
      </c>
      <c r="B6559" t="s">
        <v>150</v>
      </c>
      <c r="C6559">
        <v>51017226</v>
      </c>
      <c r="D6559">
        <v>80.458209037304599</v>
      </c>
      <c r="E6559" t="s">
        <v>93</v>
      </c>
      <c r="F6559">
        <v>431</v>
      </c>
      <c r="G6559" s="4">
        <v>46087.604456018518</v>
      </c>
    </row>
    <row r="6560" spans="1:7" x14ac:dyDescent="0.3">
      <c r="A6560">
        <v>24454</v>
      </c>
      <c r="B6560" t="s">
        <v>150</v>
      </c>
      <c r="C6560">
        <v>51056965</v>
      </c>
      <c r="D6560">
        <v>27.40694632945053</v>
      </c>
      <c r="E6560" t="s">
        <v>94</v>
      </c>
      <c r="F6560">
        <v>896</v>
      </c>
      <c r="G6560" s="4">
        <v>46087.604456018518</v>
      </c>
    </row>
    <row r="6561" spans="1:7" x14ac:dyDescent="0.3">
      <c r="A6561">
        <v>24455</v>
      </c>
      <c r="B6561" t="s">
        <v>150</v>
      </c>
      <c r="C6561">
        <v>51033671</v>
      </c>
      <c r="D6561">
        <v>57.798758558866062</v>
      </c>
      <c r="E6561" t="s">
        <v>94</v>
      </c>
      <c r="F6561">
        <v>667</v>
      </c>
      <c r="G6561" s="4">
        <v>46087.604456018518</v>
      </c>
    </row>
    <row r="6562" spans="1:7" x14ac:dyDescent="0.3">
      <c r="A6562">
        <v>24456</v>
      </c>
      <c r="B6562" t="s">
        <v>150</v>
      </c>
      <c r="C6562">
        <v>51038797</v>
      </c>
      <c r="D6562">
        <v>92.172196044503494</v>
      </c>
      <c r="E6562" t="s">
        <v>92</v>
      </c>
      <c r="F6562">
        <v>104</v>
      </c>
      <c r="G6562" s="4">
        <v>46087.604456018518</v>
      </c>
    </row>
    <row r="6563" spans="1:7" x14ac:dyDescent="0.3">
      <c r="A6563">
        <v>24457</v>
      </c>
      <c r="B6563" t="s">
        <v>150</v>
      </c>
      <c r="C6563">
        <v>51013492</v>
      </c>
      <c r="D6563">
        <v>62.630825987088365</v>
      </c>
      <c r="E6563" t="s">
        <v>93</v>
      </c>
      <c r="F6563">
        <v>564</v>
      </c>
      <c r="G6563" s="4">
        <v>46087.604456018518</v>
      </c>
    </row>
    <row r="6564" spans="1:7" x14ac:dyDescent="0.3">
      <c r="A6564">
        <v>24458</v>
      </c>
      <c r="B6564" t="s">
        <v>150</v>
      </c>
      <c r="C6564">
        <v>51019415</v>
      </c>
      <c r="D6564">
        <v>57.245726078780855</v>
      </c>
      <c r="E6564" t="s">
        <v>94</v>
      </c>
      <c r="F6564">
        <v>680</v>
      </c>
      <c r="G6564" s="4">
        <v>46087.604456018518</v>
      </c>
    </row>
    <row r="6565" spans="1:7" x14ac:dyDescent="0.3">
      <c r="A6565">
        <v>24459</v>
      </c>
      <c r="B6565" t="s">
        <v>150</v>
      </c>
      <c r="C6565">
        <v>51036107</v>
      </c>
      <c r="D6565">
        <v>51.574439744459092</v>
      </c>
      <c r="E6565" t="s">
        <v>94</v>
      </c>
      <c r="F6565">
        <v>732</v>
      </c>
      <c r="G6565" s="4">
        <v>46087.604456018518</v>
      </c>
    </row>
    <row r="6566" spans="1:7" x14ac:dyDescent="0.3">
      <c r="A6566">
        <v>24460</v>
      </c>
      <c r="B6566" t="s">
        <v>150</v>
      </c>
      <c r="C6566">
        <v>51056990</v>
      </c>
      <c r="D6566">
        <v>67.735971571044502</v>
      </c>
      <c r="E6566" t="s">
        <v>93</v>
      </c>
      <c r="F6566">
        <v>531</v>
      </c>
      <c r="G6566" s="4">
        <v>46087.604456018518</v>
      </c>
    </row>
    <row r="6567" spans="1:7" x14ac:dyDescent="0.3">
      <c r="A6567">
        <v>24461</v>
      </c>
      <c r="B6567" t="s">
        <v>150</v>
      </c>
      <c r="C6567">
        <v>51025296</v>
      </c>
      <c r="D6567">
        <v>47.242887124568739</v>
      </c>
      <c r="E6567" t="s">
        <v>94</v>
      </c>
      <c r="F6567">
        <v>759</v>
      </c>
      <c r="G6567" s="4">
        <v>46087.604456018518</v>
      </c>
    </row>
    <row r="6568" spans="1:7" x14ac:dyDescent="0.3">
      <c r="A6568">
        <v>24462</v>
      </c>
      <c r="B6568" t="s">
        <v>150</v>
      </c>
      <c r="C6568">
        <v>51056639</v>
      </c>
      <c r="D6568">
        <v>56.780015428981727</v>
      </c>
      <c r="E6568" t="s">
        <v>94</v>
      </c>
      <c r="F6568">
        <v>687</v>
      </c>
      <c r="G6568" s="4">
        <v>46087.604456018518</v>
      </c>
    </row>
    <row r="6569" spans="1:7" x14ac:dyDescent="0.3">
      <c r="A6569">
        <v>24463</v>
      </c>
      <c r="B6569" t="s">
        <v>150</v>
      </c>
      <c r="C6569">
        <v>51015029</v>
      </c>
      <c r="D6569">
        <v>86.043459646371886</v>
      </c>
      <c r="E6569" t="s">
        <v>93</v>
      </c>
      <c r="F6569">
        <v>252</v>
      </c>
      <c r="G6569" s="4">
        <v>46087.604456018518</v>
      </c>
    </row>
    <row r="6570" spans="1:7" x14ac:dyDescent="0.3">
      <c r="A6570">
        <v>24464</v>
      </c>
      <c r="B6570" t="s">
        <v>150</v>
      </c>
      <c r="C6570">
        <v>51055730</v>
      </c>
      <c r="D6570">
        <v>47.815324703831344</v>
      </c>
      <c r="E6570" t="s">
        <v>94</v>
      </c>
      <c r="F6570">
        <v>755</v>
      </c>
      <c r="G6570" s="4">
        <v>46087.604456018518</v>
      </c>
    </row>
    <row r="6571" spans="1:7" x14ac:dyDescent="0.3">
      <c r="A6571">
        <v>24465</v>
      </c>
      <c r="B6571" t="s">
        <v>150</v>
      </c>
      <c r="C6571">
        <v>51018257</v>
      </c>
      <c r="D6571">
        <v>84.740127271160972</v>
      </c>
      <c r="E6571" t="s">
        <v>93</v>
      </c>
      <c r="F6571">
        <v>292</v>
      </c>
      <c r="G6571" s="4">
        <v>46087.604456018518</v>
      </c>
    </row>
    <row r="6572" spans="1:7" x14ac:dyDescent="0.3">
      <c r="A6572">
        <v>24466</v>
      </c>
      <c r="B6572" t="s">
        <v>150</v>
      </c>
      <c r="C6572">
        <v>51055845</v>
      </c>
      <c r="D6572">
        <v>89.632695541986266</v>
      </c>
      <c r="E6572" t="s">
        <v>92</v>
      </c>
      <c r="F6572">
        <v>145</v>
      </c>
      <c r="G6572" s="4">
        <v>46087.604456018518</v>
      </c>
    </row>
    <row r="6573" spans="1:7" x14ac:dyDescent="0.3">
      <c r="A6573">
        <v>24467</v>
      </c>
      <c r="B6573" t="s">
        <v>150</v>
      </c>
      <c r="C6573">
        <v>51028015</v>
      </c>
      <c r="D6573">
        <v>84.809503889639572</v>
      </c>
      <c r="E6573" t="s">
        <v>93</v>
      </c>
      <c r="F6573">
        <v>290</v>
      </c>
      <c r="G6573" s="4">
        <v>46087.604456018518</v>
      </c>
    </row>
    <row r="6574" spans="1:7" x14ac:dyDescent="0.3">
      <c r="A6574">
        <v>24468</v>
      </c>
      <c r="B6574" t="s">
        <v>150</v>
      </c>
      <c r="C6574">
        <v>51012887</v>
      </c>
      <c r="D6574">
        <v>93.570512826703876</v>
      </c>
      <c r="E6574" t="s">
        <v>92</v>
      </c>
      <c r="F6574">
        <v>83</v>
      </c>
      <c r="G6574" s="4">
        <v>46087.604456018518</v>
      </c>
    </row>
    <row r="6575" spans="1:7" x14ac:dyDescent="0.3">
      <c r="A6575">
        <v>24469</v>
      </c>
      <c r="B6575" t="s">
        <v>150</v>
      </c>
      <c r="C6575">
        <v>51010311</v>
      </c>
      <c r="D6575">
        <v>77.700416306413757</v>
      </c>
      <c r="E6575" t="s">
        <v>93</v>
      </c>
      <c r="F6575">
        <v>454</v>
      </c>
      <c r="G6575" s="4">
        <v>46087.604456018518</v>
      </c>
    </row>
    <row r="6576" spans="1:7" x14ac:dyDescent="0.3">
      <c r="A6576">
        <v>24470</v>
      </c>
      <c r="B6576" t="s">
        <v>150</v>
      </c>
      <c r="C6576">
        <v>51036638</v>
      </c>
      <c r="D6576">
        <v>30.383808451772769</v>
      </c>
      <c r="E6576" t="s">
        <v>94</v>
      </c>
      <c r="F6576">
        <v>858</v>
      </c>
      <c r="G6576" s="4">
        <v>46087.604456018518</v>
      </c>
    </row>
    <row r="6577" spans="1:7" x14ac:dyDescent="0.3">
      <c r="A6577">
        <v>24471</v>
      </c>
      <c r="B6577" t="s">
        <v>150</v>
      </c>
      <c r="C6577">
        <v>51033442</v>
      </c>
      <c r="D6577">
        <v>83.969653718376762</v>
      </c>
      <c r="E6577" t="s">
        <v>93</v>
      </c>
      <c r="F6577">
        <v>323</v>
      </c>
      <c r="G6577" s="4">
        <v>46087.604456018518</v>
      </c>
    </row>
    <row r="6578" spans="1:7" x14ac:dyDescent="0.3">
      <c r="A6578">
        <v>24472</v>
      </c>
      <c r="B6578" t="s">
        <v>150</v>
      </c>
      <c r="C6578">
        <v>51014774</v>
      </c>
      <c r="D6578">
        <v>80.540938661725164</v>
      </c>
      <c r="E6578" t="s">
        <v>93</v>
      </c>
      <c r="F6578">
        <v>429</v>
      </c>
      <c r="G6578" s="4">
        <v>46087.604456018518</v>
      </c>
    </row>
    <row r="6579" spans="1:7" x14ac:dyDescent="0.3">
      <c r="A6579">
        <v>24473</v>
      </c>
      <c r="B6579" t="s">
        <v>150</v>
      </c>
      <c r="C6579">
        <v>51043847</v>
      </c>
      <c r="D6579">
        <v>73.68957698828531</v>
      </c>
      <c r="E6579" t="s">
        <v>93</v>
      </c>
      <c r="F6579">
        <v>482</v>
      </c>
      <c r="G6579" s="4">
        <v>46087.604456018518</v>
      </c>
    </row>
    <row r="6580" spans="1:7" x14ac:dyDescent="0.3">
      <c r="A6580">
        <v>24474</v>
      </c>
      <c r="B6580" t="s">
        <v>150</v>
      </c>
      <c r="C6580">
        <v>51032381</v>
      </c>
      <c r="D6580">
        <v>27.578746930523085</v>
      </c>
      <c r="E6580" t="s">
        <v>94</v>
      </c>
      <c r="F6580">
        <v>891</v>
      </c>
      <c r="G6580" s="4">
        <v>46087.604456018518</v>
      </c>
    </row>
    <row r="6581" spans="1:7" x14ac:dyDescent="0.3">
      <c r="A6581">
        <v>24475</v>
      </c>
      <c r="B6581" t="s">
        <v>150</v>
      </c>
      <c r="C6581">
        <v>51018508</v>
      </c>
      <c r="D6581">
        <v>84.232159614258251</v>
      </c>
      <c r="E6581" t="s">
        <v>93</v>
      </c>
      <c r="F6581">
        <v>310</v>
      </c>
      <c r="G6581" s="4">
        <v>46087.604456018518</v>
      </c>
    </row>
    <row r="6582" spans="1:7" x14ac:dyDescent="0.3">
      <c r="A6582">
        <v>24476</v>
      </c>
      <c r="B6582" t="s">
        <v>150</v>
      </c>
      <c r="C6582">
        <v>51003616</v>
      </c>
      <c r="D6582">
        <v>85.766715429652237</v>
      </c>
      <c r="E6582" t="s">
        <v>93</v>
      </c>
      <c r="F6582">
        <v>258</v>
      </c>
      <c r="G6582" s="4">
        <v>46087.604456018518</v>
      </c>
    </row>
    <row r="6583" spans="1:7" x14ac:dyDescent="0.3">
      <c r="A6583">
        <v>24477</v>
      </c>
      <c r="B6583" t="s">
        <v>150</v>
      </c>
      <c r="C6583">
        <v>51038932</v>
      </c>
      <c r="D6583">
        <v>78.814558029693472</v>
      </c>
      <c r="E6583" t="s">
        <v>93</v>
      </c>
      <c r="F6583">
        <v>449</v>
      </c>
      <c r="G6583" s="4">
        <v>46087.604456018518</v>
      </c>
    </row>
    <row r="6584" spans="1:7" x14ac:dyDescent="0.3">
      <c r="A6584">
        <v>24478</v>
      </c>
      <c r="B6584" t="s">
        <v>150</v>
      </c>
      <c r="C6584">
        <v>51039211</v>
      </c>
      <c r="D6584">
        <v>24.0796239658583</v>
      </c>
      <c r="E6584" t="s">
        <v>94</v>
      </c>
      <c r="F6584">
        <v>920</v>
      </c>
      <c r="G6584" s="4">
        <v>46087.604456018518</v>
      </c>
    </row>
    <row r="6585" spans="1:7" x14ac:dyDescent="0.3">
      <c r="A6585">
        <v>24479</v>
      </c>
      <c r="B6585" t="s">
        <v>150</v>
      </c>
      <c r="C6585">
        <v>51018664</v>
      </c>
      <c r="D6585">
        <v>29.515264107079265</v>
      </c>
      <c r="E6585" t="s">
        <v>94</v>
      </c>
      <c r="F6585">
        <v>872</v>
      </c>
      <c r="G6585" s="4">
        <v>46087.604456018518</v>
      </c>
    </row>
    <row r="6586" spans="1:7" x14ac:dyDescent="0.3">
      <c r="A6586">
        <v>24480</v>
      </c>
      <c r="B6586" t="s">
        <v>150</v>
      </c>
      <c r="C6586">
        <v>51056671</v>
      </c>
      <c r="D6586">
        <v>99.865673054965612</v>
      </c>
      <c r="E6586" t="s">
        <v>275</v>
      </c>
      <c r="F6586">
        <v>19</v>
      </c>
      <c r="G6586" s="4">
        <v>46087.604456018518</v>
      </c>
    </row>
    <row r="6587" spans="1:7" x14ac:dyDescent="0.3">
      <c r="A6587">
        <v>24481</v>
      </c>
      <c r="B6587" t="s">
        <v>150</v>
      </c>
      <c r="C6587">
        <v>51055462</v>
      </c>
      <c r="D6587">
        <v>88.51839494495637</v>
      </c>
      <c r="E6587" t="s">
        <v>92</v>
      </c>
      <c r="F6587">
        <v>181</v>
      </c>
      <c r="G6587" s="4">
        <v>46087.604456018518</v>
      </c>
    </row>
    <row r="6588" spans="1:7" x14ac:dyDescent="0.3">
      <c r="A6588">
        <v>24482</v>
      </c>
      <c r="B6588" t="s">
        <v>150</v>
      </c>
      <c r="C6588">
        <v>51014081</v>
      </c>
      <c r="D6588">
        <v>85.000588887921253</v>
      </c>
      <c r="E6588" t="s">
        <v>93</v>
      </c>
      <c r="F6588">
        <v>284</v>
      </c>
      <c r="G6588" s="4">
        <v>46087.604456018518</v>
      </c>
    </row>
    <row r="6589" spans="1:7" x14ac:dyDescent="0.3">
      <c r="A6589">
        <v>24483</v>
      </c>
      <c r="B6589" t="s">
        <v>150</v>
      </c>
      <c r="C6589">
        <v>51055918</v>
      </c>
      <c r="D6589">
        <v>83.069187289038808</v>
      </c>
      <c r="E6589" t="s">
        <v>93</v>
      </c>
      <c r="F6589">
        <v>353</v>
      </c>
      <c r="G6589" s="4">
        <v>46087.604456018518</v>
      </c>
    </row>
    <row r="6590" spans="1:7" x14ac:dyDescent="0.3">
      <c r="A6590">
        <v>24484</v>
      </c>
      <c r="B6590" t="s">
        <v>150</v>
      </c>
      <c r="C6590">
        <v>51016785</v>
      </c>
      <c r="D6590">
        <v>87.813463087867973</v>
      </c>
      <c r="E6590" t="s">
        <v>92</v>
      </c>
      <c r="F6590">
        <v>206</v>
      </c>
      <c r="G6590" s="4">
        <v>46087.604456018518</v>
      </c>
    </row>
    <row r="6591" spans="1:7" x14ac:dyDescent="0.3">
      <c r="A6591">
        <v>24485</v>
      </c>
      <c r="B6591" t="s">
        <v>150</v>
      </c>
      <c r="C6591">
        <v>51055268</v>
      </c>
      <c r="D6591">
        <v>21.620159031153662</v>
      </c>
      <c r="E6591" t="s">
        <v>94</v>
      </c>
      <c r="F6591">
        <v>953</v>
      </c>
      <c r="G6591" s="4">
        <v>46087.604456018518</v>
      </c>
    </row>
    <row r="6592" spans="1:7" x14ac:dyDescent="0.3">
      <c r="A6592">
        <v>24486</v>
      </c>
      <c r="B6592" t="s">
        <v>150</v>
      </c>
      <c r="C6592">
        <v>51015533</v>
      </c>
      <c r="D6592">
        <v>73.597217992095494</v>
      </c>
      <c r="E6592" t="s">
        <v>93</v>
      </c>
      <c r="F6592">
        <v>484</v>
      </c>
      <c r="G6592" s="4">
        <v>46087.604456018518</v>
      </c>
    </row>
    <row r="6593" spans="1:7" x14ac:dyDescent="0.3">
      <c r="A6593">
        <v>24487</v>
      </c>
      <c r="B6593" t="s">
        <v>150</v>
      </c>
      <c r="C6593">
        <v>51018371</v>
      </c>
      <c r="D6593">
        <v>30.769883129922473</v>
      </c>
      <c r="E6593" t="s">
        <v>94</v>
      </c>
      <c r="F6593">
        <v>850</v>
      </c>
      <c r="G6593" s="4">
        <v>46087.604456018518</v>
      </c>
    </row>
    <row r="6594" spans="1:7" x14ac:dyDescent="0.3">
      <c r="A6594">
        <v>24488</v>
      </c>
      <c r="B6594" t="s">
        <v>150</v>
      </c>
      <c r="C6594">
        <v>51004027</v>
      </c>
      <c r="D6594">
        <v>81.393689843859207</v>
      </c>
      <c r="E6594" t="s">
        <v>93</v>
      </c>
      <c r="F6594">
        <v>403</v>
      </c>
      <c r="G6594" s="4">
        <v>46087.604456018518</v>
      </c>
    </row>
    <row r="6595" spans="1:7" x14ac:dyDescent="0.3">
      <c r="A6595">
        <v>24489</v>
      </c>
      <c r="B6595" t="s">
        <v>150</v>
      </c>
      <c r="C6595">
        <v>51011660</v>
      </c>
      <c r="D6595">
        <v>47.963884471092264</v>
      </c>
      <c r="E6595" t="s">
        <v>94</v>
      </c>
      <c r="F6595">
        <v>754</v>
      </c>
      <c r="G6595" s="4">
        <v>46087.604456018518</v>
      </c>
    </row>
    <row r="6596" spans="1:7" x14ac:dyDescent="0.3">
      <c r="A6596">
        <v>24490</v>
      </c>
      <c r="B6596" t="s">
        <v>150</v>
      </c>
      <c r="C6596">
        <v>51022556</v>
      </c>
      <c r="D6596">
        <v>90.397671290216664</v>
      </c>
      <c r="E6596" t="s">
        <v>92</v>
      </c>
      <c r="F6596">
        <v>128</v>
      </c>
      <c r="G6596" s="4">
        <v>46087.604456018518</v>
      </c>
    </row>
    <row r="6597" spans="1:7" x14ac:dyDescent="0.3">
      <c r="A6597">
        <v>24491</v>
      </c>
      <c r="B6597" t="s">
        <v>150</v>
      </c>
      <c r="C6597">
        <v>51018427</v>
      </c>
      <c r="D6597">
        <v>88.167906060138478</v>
      </c>
      <c r="E6597" t="s">
        <v>92</v>
      </c>
      <c r="F6597">
        <v>193</v>
      </c>
      <c r="G6597" s="4">
        <v>46087.604456018518</v>
      </c>
    </row>
    <row r="6598" spans="1:7" x14ac:dyDescent="0.3">
      <c r="A6598">
        <v>24492</v>
      </c>
      <c r="B6598" t="s">
        <v>150</v>
      </c>
      <c r="C6598">
        <v>51024516</v>
      </c>
      <c r="D6598">
        <v>80.339051963467369</v>
      </c>
      <c r="E6598" t="s">
        <v>93</v>
      </c>
      <c r="F6598">
        <v>432</v>
      </c>
      <c r="G6598" s="4">
        <v>46087.604456018518</v>
      </c>
    </row>
    <row r="6599" spans="1:7" x14ac:dyDescent="0.3">
      <c r="A6599">
        <v>24493</v>
      </c>
      <c r="B6599" t="s">
        <v>150</v>
      </c>
      <c r="C6599">
        <v>51011856</v>
      </c>
      <c r="D6599">
        <v>56.914110387521532</v>
      </c>
      <c r="E6599" t="s">
        <v>94</v>
      </c>
      <c r="F6599">
        <v>685</v>
      </c>
      <c r="G6599" s="4">
        <v>46087.604456018518</v>
      </c>
    </row>
    <row r="6600" spans="1:7" x14ac:dyDescent="0.3">
      <c r="A6600">
        <v>24494</v>
      </c>
      <c r="B6600" t="s">
        <v>150</v>
      </c>
      <c r="C6600">
        <v>51032322</v>
      </c>
      <c r="D6600">
        <v>62.801862783657363</v>
      </c>
      <c r="E6600" t="s">
        <v>93</v>
      </c>
      <c r="F6600">
        <v>562</v>
      </c>
      <c r="G6600" s="4">
        <v>46087.604456018518</v>
      </c>
    </row>
    <row r="6601" spans="1:7" x14ac:dyDescent="0.3">
      <c r="A6601">
        <v>24495</v>
      </c>
      <c r="B6601" t="s">
        <v>150</v>
      </c>
      <c r="C6601">
        <v>51013859</v>
      </c>
      <c r="D6601">
        <v>57.954645897075942</v>
      </c>
      <c r="E6601" t="s">
        <v>94</v>
      </c>
      <c r="F6601">
        <v>664</v>
      </c>
      <c r="G6601" s="4">
        <v>46087.604456018518</v>
      </c>
    </row>
    <row r="6602" spans="1:7" x14ac:dyDescent="0.3">
      <c r="A6602">
        <v>24496</v>
      </c>
      <c r="B6602" t="s">
        <v>150</v>
      </c>
      <c r="C6602">
        <v>51008430</v>
      </c>
      <c r="D6602">
        <v>81.193654709062599</v>
      </c>
      <c r="E6602" t="s">
        <v>93</v>
      </c>
      <c r="F6602">
        <v>407</v>
      </c>
      <c r="G6602" s="4">
        <v>46087.604456018518</v>
      </c>
    </row>
    <row r="6603" spans="1:7" x14ac:dyDescent="0.3">
      <c r="A6603">
        <v>24497</v>
      </c>
      <c r="B6603" t="s">
        <v>150</v>
      </c>
      <c r="C6603">
        <v>51042158</v>
      </c>
      <c r="D6603">
        <v>98.743841315272562</v>
      </c>
      <c r="E6603" t="s">
        <v>275</v>
      </c>
      <c r="F6603">
        <v>27</v>
      </c>
      <c r="G6603" s="4">
        <v>46087.604456018518</v>
      </c>
    </row>
    <row r="6604" spans="1:7" x14ac:dyDescent="0.3">
      <c r="A6604">
        <v>24498</v>
      </c>
      <c r="B6604" t="s">
        <v>150</v>
      </c>
      <c r="C6604">
        <v>51011627</v>
      </c>
      <c r="D6604">
        <v>27.650579795181528</v>
      </c>
      <c r="E6604" t="s">
        <v>94</v>
      </c>
      <c r="F6604">
        <v>889</v>
      </c>
      <c r="G6604" s="4">
        <v>46087.604456018518</v>
      </c>
    </row>
    <row r="6605" spans="1:7" x14ac:dyDescent="0.3">
      <c r="A6605">
        <v>24499</v>
      </c>
      <c r="B6605" t="s">
        <v>150</v>
      </c>
      <c r="C6605">
        <v>51010426</v>
      </c>
      <c r="D6605">
        <v>85.168909393705761</v>
      </c>
      <c r="E6605" t="s">
        <v>93</v>
      </c>
      <c r="F6605">
        <v>279</v>
      </c>
      <c r="G6605" s="4">
        <v>46087.604456018518</v>
      </c>
    </row>
    <row r="6606" spans="1:7" x14ac:dyDescent="0.3">
      <c r="A6606">
        <v>24500</v>
      </c>
      <c r="B6606" t="s">
        <v>150</v>
      </c>
      <c r="C6606">
        <v>51033205</v>
      </c>
      <c r="D6606">
        <v>61.848237609731065</v>
      </c>
      <c r="E6606" t="s">
        <v>93</v>
      </c>
      <c r="F6606">
        <v>583</v>
      </c>
      <c r="G6606" s="4">
        <v>46087.604456018518</v>
      </c>
    </row>
    <row r="6607" spans="1:7" x14ac:dyDescent="0.3">
      <c r="A6607">
        <v>24501</v>
      </c>
      <c r="B6607" t="s">
        <v>150</v>
      </c>
      <c r="C6607">
        <v>51035976</v>
      </c>
      <c r="D6607">
        <v>89.319851547748527</v>
      </c>
      <c r="E6607" t="s">
        <v>92</v>
      </c>
      <c r="F6607">
        <v>155</v>
      </c>
      <c r="G6607" s="4">
        <v>46087.604456018518</v>
      </c>
    </row>
    <row r="6608" spans="1:7" x14ac:dyDescent="0.3">
      <c r="A6608">
        <v>24502</v>
      </c>
      <c r="B6608" t="s">
        <v>150</v>
      </c>
      <c r="C6608">
        <v>51010914</v>
      </c>
      <c r="D6608">
        <v>48.559110618169974</v>
      </c>
      <c r="E6608" t="s">
        <v>94</v>
      </c>
      <c r="F6608">
        <v>750</v>
      </c>
      <c r="G6608" s="4">
        <v>46087.604456018518</v>
      </c>
    </row>
    <row r="6609" spans="1:7" x14ac:dyDescent="0.3">
      <c r="A6609">
        <v>24503</v>
      </c>
      <c r="B6609" t="s">
        <v>150</v>
      </c>
      <c r="C6609">
        <v>51023129</v>
      </c>
      <c r="D6609">
        <v>89.102683470813517</v>
      </c>
      <c r="E6609" t="s">
        <v>92</v>
      </c>
      <c r="F6609">
        <v>164</v>
      </c>
      <c r="G6609" s="4">
        <v>46087.604456018518</v>
      </c>
    </row>
    <row r="6610" spans="1:7" x14ac:dyDescent="0.3">
      <c r="A6610">
        <v>24504</v>
      </c>
      <c r="B6610" t="s">
        <v>150</v>
      </c>
      <c r="C6610">
        <v>51054857</v>
      </c>
      <c r="D6610">
        <v>45.989298951563867</v>
      </c>
      <c r="E6610" t="s">
        <v>94</v>
      </c>
      <c r="F6610">
        <v>766</v>
      </c>
      <c r="G6610" s="4">
        <v>46087.604456018518</v>
      </c>
    </row>
    <row r="6611" spans="1:7" x14ac:dyDescent="0.3">
      <c r="A6611">
        <v>24505</v>
      </c>
      <c r="B6611" t="s">
        <v>150</v>
      </c>
      <c r="C6611">
        <v>51055926</v>
      </c>
      <c r="D6611">
        <v>86.434642607609646</v>
      </c>
      <c r="E6611" t="s">
        <v>93</v>
      </c>
      <c r="F6611">
        <v>240</v>
      </c>
      <c r="G6611" s="4">
        <v>46087.604456018518</v>
      </c>
    </row>
    <row r="6612" spans="1:7" x14ac:dyDescent="0.3">
      <c r="A6612">
        <v>24506</v>
      </c>
      <c r="B6612" t="s">
        <v>150</v>
      </c>
      <c r="C6612">
        <v>51021282</v>
      </c>
      <c r="D6612">
        <v>33.286055463502926</v>
      </c>
      <c r="E6612" t="s">
        <v>94</v>
      </c>
      <c r="F6612">
        <v>819</v>
      </c>
      <c r="G6612" s="4">
        <v>46087.604456018518</v>
      </c>
    </row>
    <row r="6613" spans="1:7" x14ac:dyDescent="0.3">
      <c r="A6613">
        <v>24507</v>
      </c>
      <c r="B6613" t="s">
        <v>150</v>
      </c>
      <c r="C6613">
        <v>51031369</v>
      </c>
      <c r="D6613">
        <v>84.285368481494487</v>
      </c>
      <c r="E6613" t="s">
        <v>93</v>
      </c>
      <c r="F6613">
        <v>307</v>
      </c>
      <c r="G6613" s="4">
        <v>46087.604456018518</v>
      </c>
    </row>
    <row r="6614" spans="1:7" x14ac:dyDescent="0.3">
      <c r="A6614">
        <v>24508</v>
      </c>
      <c r="B6614" t="s">
        <v>150</v>
      </c>
      <c r="C6614">
        <v>51024621</v>
      </c>
      <c r="D6614">
        <v>29.685253651527834</v>
      </c>
      <c r="E6614" t="s">
        <v>94</v>
      </c>
      <c r="F6614">
        <v>871</v>
      </c>
      <c r="G6614" s="4">
        <v>46087.604456018518</v>
      </c>
    </row>
    <row r="6615" spans="1:7" x14ac:dyDescent="0.3">
      <c r="A6615">
        <v>24509</v>
      </c>
      <c r="B6615" t="s">
        <v>150</v>
      </c>
      <c r="C6615">
        <v>51032284</v>
      </c>
      <c r="D6615">
        <v>72.56567840878111</v>
      </c>
      <c r="E6615" t="s">
        <v>93</v>
      </c>
      <c r="F6615">
        <v>496</v>
      </c>
      <c r="G6615" s="4">
        <v>46087.604456018518</v>
      </c>
    </row>
    <row r="6616" spans="1:7" x14ac:dyDescent="0.3">
      <c r="A6616">
        <v>24510</v>
      </c>
      <c r="B6616" t="s">
        <v>150</v>
      </c>
      <c r="C6616">
        <v>51018966</v>
      </c>
      <c r="D6616">
        <v>87.398152243715003</v>
      </c>
      <c r="E6616" t="s">
        <v>92</v>
      </c>
      <c r="F6616">
        <v>215</v>
      </c>
      <c r="G6616" s="4">
        <v>46087.604456018518</v>
      </c>
    </row>
    <row r="6617" spans="1:7" x14ac:dyDescent="0.3">
      <c r="A6617">
        <v>24511</v>
      </c>
      <c r="B6617" t="s">
        <v>150</v>
      </c>
      <c r="C6617">
        <v>51012623</v>
      </c>
      <c r="D6617">
        <v>27.494872343811288</v>
      </c>
      <c r="E6617" t="s">
        <v>94</v>
      </c>
      <c r="F6617">
        <v>892</v>
      </c>
      <c r="G6617" s="4">
        <v>46087.604456018518</v>
      </c>
    </row>
    <row r="6618" spans="1:7" x14ac:dyDescent="0.3">
      <c r="A6618">
        <v>24512</v>
      </c>
      <c r="B6618" t="s">
        <v>150</v>
      </c>
      <c r="C6618">
        <v>51019121</v>
      </c>
      <c r="D6618">
        <v>89.844130199616345</v>
      </c>
      <c r="E6618" t="s">
        <v>92</v>
      </c>
      <c r="F6618">
        <v>138</v>
      </c>
      <c r="G6618" s="4">
        <v>46087.604456018518</v>
      </c>
    </row>
    <row r="6619" spans="1:7" x14ac:dyDescent="0.3">
      <c r="A6619">
        <v>24513</v>
      </c>
      <c r="B6619" t="s">
        <v>150</v>
      </c>
      <c r="C6619">
        <v>51036085</v>
      </c>
      <c r="D6619">
        <v>87.192038047441315</v>
      </c>
      <c r="E6619" t="s">
        <v>92</v>
      </c>
      <c r="F6619">
        <v>221</v>
      </c>
      <c r="G6619" s="4">
        <v>46087.604456018518</v>
      </c>
    </row>
    <row r="6620" spans="1:7" x14ac:dyDescent="0.3">
      <c r="A6620">
        <v>24514</v>
      </c>
      <c r="B6620" t="s">
        <v>150</v>
      </c>
      <c r="C6620">
        <v>51002164</v>
      </c>
      <c r="D6620">
        <v>30.678081198553002</v>
      </c>
      <c r="E6620" t="s">
        <v>94</v>
      </c>
      <c r="F6620">
        <v>852</v>
      </c>
      <c r="G6620" s="4">
        <v>46087.604456018518</v>
      </c>
    </row>
    <row r="6621" spans="1:7" x14ac:dyDescent="0.3">
      <c r="A6621">
        <v>24515</v>
      </c>
      <c r="B6621" t="s">
        <v>150</v>
      </c>
      <c r="C6621">
        <v>51013182</v>
      </c>
      <c r="D6621">
        <v>63.890539806161996</v>
      </c>
      <c r="E6621" t="s">
        <v>93</v>
      </c>
      <c r="F6621">
        <v>549</v>
      </c>
      <c r="G6621" s="4">
        <v>46087.604456018518</v>
      </c>
    </row>
    <row r="6622" spans="1:7" x14ac:dyDescent="0.3">
      <c r="A6622">
        <v>24516</v>
      </c>
      <c r="B6622" t="s">
        <v>150</v>
      </c>
      <c r="C6622">
        <v>51033086</v>
      </c>
      <c r="D6622">
        <v>23.861920423892943</v>
      </c>
      <c r="E6622" t="s">
        <v>94</v>
      </c>
      <c r="F6622">
        <v>924</v>
      </c>
      <c r="G6622" s="4">
        <v>46087.604456018518</v>
      </c>
    </row>
    <row r="6623" spans="1:7" x14ac:dyDescent="0.3">
      <c r="A6623">
        <v>24517</v>
      </c>
      <c r="B6623" t="s">
        <v>150</v>
      </c>
      <c r="C6623">
        <v>51029038</v>
      </c>
      <c r="D6623">
        <v>61.411088370601952</v>
      </c>
      <c r="E6623" t="s">
        <v>93</v>
      </c>
      <c r="F6623">
        <v>591</v>
      </c>
      <c r="G6623" s="4">
        <v>46087.604456018518</v>
      </c>
    </row>
    <row r="6624" spans="1:7" x14ac:dyDescent="0.3">
      <c r="A6624">
        <v>24518</v>
      </c>
      <c r="B6624" t="s">
        <v>150</v>
      </c>
      <c r="C6624">
        <v>51024168</v>
      </c>
      <c r="D6624">
        <v>72.587157907676556</v>
      </c>
      <c r="E6624" t="s">
        <v>93</v>
      </c>
      <c r="F6624">
        <v>493</v>
      </c>
      <c r="G6624" s="4">
        <v>46087.604456018518</v>
      </c>
    </row>
    <row r="6625" spans="1:7" x14ac:dyDescent="0.3">
      <c r="A6625">
        <v>24519</v>
      </c>
      <c r="B6625" t="s">
        <v>150</v>
      </c>
      <c r="C6625">
        <v>51023455</v>
      </c>
      <c r="D6625">
        <v>48.350635963826555</v>
      </c>
      <c r="E6625" t="s">
        <v>94</v>
      </c>
      <c r="F6625">
        <v>753</v>
      </c>
      <c r="G6625" s="4">
        <v>46087.604456018518</v>
      </c>
    </row>
    <row r="6626" spans="1:7" x14ac:dyDescent="0.3">
      <c r="A6626">
        <v>24520</v>
      </c>
      <c r="B6626" t="s">
        <v>150</v>
      </c>
      <c r="C6626">
        <v>51016131</v>
      </c>
      <c r="D6626">
        <v>80.068011175744971</v>
      </c>
      <c r="E6626" t="s">
        <v>93</v>
      </c>
      <c r="F6626">
        <v>439</v>
      </c>
      <c r="G6626" s="4">
        <v>46087.604456018518</v>
      </c>
    </row>
    <row r="6627" spans="1:7" x14ac:dyDescent="0.3">
      <c r="A6627">
        <v>24521</v>
      </c>
      <c r="B6627" t="s">
        <v>150</v>
      </c>
      <c r="C6627">
        <v>51016408</v>
      </c>
      <c r="D6627">
        <v>86.680718666249703</v>
      </c>
      <c r="E6627" t="s">
        <v>92</v>
      </c>
      <c r="F6627">
        <v>233</v>
      </c>
      <c r="G6627" s="4">
        <v>46087.604456018518</v>
      </c>
    </row>
    <row r="6628" spans="1:7" x14ac:dyDescent="0.3">
      <c r="A6628">
        <v>24522</v>
      </c>
      <c r="B6628" t="s">
        <v>150</v>
      </c>
      <c r="C6628">
        <v>51056914</v>
      </c>
      <c r="D6628">
        <v>88.759097199132015</v>
      </c>
      <c r="E6628" t="s">
        <v>92</v>
      </c>
      <c r="F6628">
        <v>174</v>
      </c>
      <c r="G6628" s="4">
        <v>46087.604456018518</v>
      </c>
    </row>
    <row r="6629" spans="1:7" x14ac:dyDescent="0.3">
      <c r="A6629">
        <v>24523</v>
      </c>
      <c r="B6629" t="s">
        <v>150</v>
      </c>
      <c r="C6629">
        <v>51016858</v>
      </c>
      <c r="D6629">
        <v>98.881089933196563</v>
      </c>
      <c r="E6629" t="s">
        <v>275</v>
      </c>
      <c r="F6629">
        <v>24</v>
      </c>
      <c r="G6629" s="4">
        <v>46087.604456018518</v>
      </c>
    </row>
    <row r="6630" spans="1:7" x14ac:dyDescent="0.3">
      <c r="A6630">
        <v>24524</v>
      </c>
      <c r="B6630" t="s">
        <v>150</v>
      </c>
      <c r="C6630">
        <v>51035666</v>
      </c>
      <c r="D6630">
        <v>86.462478492831849</v>
      </c>
      <c r="E6630" t="s">
        <v>92</v>
      </c>
      <c r="F6630">
        <v>238</v>
      </c>
      <c r="G6630" s="4">
        <v>46087.604456018518</v>
      </c>
    </row>
    <row r="6631" spans="1:7" x14ac:dyDescent="0.3">
      <c r="A6631">
        <v>24525</v>
      </c>
      <c r="B6631" t="s">
        <v>150</v>
      </c>
      <c r="C6631">
        <v>51022068</v>
      </c>
      <c r="D6631">
        <v>94.53028934370073</v>
      </c>
      <c r="E6631" t="s">
        <v>92</v>
      </c>
      <c r="F6631">
        <v>72</v>
      </c>
      <c r="G6631" s="4">
        <v>46087.604456018518</v>
      </c>
    </row>
    <row r="6632" spans="1:7" x14ac:dyDescent="0.3">
      <c r="A6632">
        <v>24526</v>
      </c>
      <c r="B6632" t="s">
        <v>150</v>
      </c>
      <c r="C6632">
        <v>51013611</v>
      </c>
      <c r="D6632">
        <v>80.56743108086043</v>
      </c>
      <c r="E6632" t="s">
        <v>93</v>
      </c>
      <c r="F6632">
        <v>428</v>
      </c>
      <c r="G6632" s="4">
        <v>46087.604456018518</v>
      </c>
    </row>
    <row r="6633" spans="1:7" x14ac:dyDescent="0.3">
      <c r="A6633">
        <v>24527</v>
      </c>
      <c r="B6633" t="s">
        <v>150</v>
      </c>
      <c r="C6633">
        <v>51013115</v>
      </c>
      <c r="D6633">
        <v>30.699872394615248</v>
      </c>
      <c r="E6633" t="s">
        <v>94</v>
      </c>
      <c r="F6633">
        <v>851</v>
      </c>
      <c r="G6633" s="4">
        <v>46087.604456018518</v>
      </c>
    </row>
    <row r="6634" spans="1:7" x14ac:dyDescent="0.3">
      <c r="A6634">
        <v>24528</v>
      </c>
      <c r="B6634" t="s">
        <v>150</v>
      </c>
      <c r="C6634">
        <v>51056744</v>
      </c>
      <c r="D6634">
        <v>83.177326667086277</v>
      </c>
      <c r="E6634" t="s">
        <v>93</v>
      </c>
      <c r="F6634">
        <v>344</v>
      </c>
      <c r="G6634" s="4">
        <v>46087.604456018518</v>
      </c>
    </row>
    <row r="6635" spans="1:7" x14ac:dyDescent="0.3">
      <c r="A6635">
        <v>24529</v>
      </c>
      <c r="B6635" t="s">
        <v>150</v>
      </c>
      <c r="C6635">
        <v>51031822</v>
      </c>
      <c r="D6635">
        <v>89.867720179830656</v>
      </c>
      <c r="E6635" t="s">
        <v>92</v>
      </c>
      <c r="F6635">
        <v>137</v>
      </c>
      <c r="G6635" s="4">
        <v>46087.604456018518</v>
      </c>
    </row>
    <row r="6636" spans="1:7" x14ac:dyDescent="0.3">
      <c r="A6636">
        <v>24530</v>
      </c>
      <c r="B6636" t="s">
        <v>150</v>
      </c>
      <c r="C6636">
        <v>51025938</v>
      </c>
      <c r="D6636">
        <v>24.126798450004504</v>
      </c>
      <c r="E6636" t="s">
        <v>94</v>
      </c>
      <c r="F6636">
        <v>918</v>
      </c>
      <c r="G6636" s="4">
        <v>46087.604456018518</v>
      </c>
    </row>
    <row r="6637" spans="1:7" x14ac:dyDescent="0.3">
      <c r="A6637">
        <v>24531</v>
      </c>
      <c r="B6637" t="s">
        <v>150</v>
      </c>
      <c r="C6637">
        <v>51030141</v>
      </c>
      <c r="D6637">
        <v>84.116256572955052</v>
      </c>
      <c r="E6637" t="s">
        <v>93</v>
      </c>
      <c r="F6637">
        <v>317</v>
      </c>
      <c r="G6637" s="4">
        <v>46087.604456018518</v>
      </c>
    </row>
    <row r="6638" spans="1:7" x14ac:dyDescent="0.3">
      <c r="A6638">
        <v>24532</v>
      </c>
      <c r="B6638" t="s">
        <v>150</v>
      </c>
      <c r="C6638">
        <v>51004698</v>
      </c>
      <c r="D6638">
        <v>37.158868219985067</v>
      </c>
      <c r="E6638" t="s">
        <v>94</v>
      </c>
      <c r="F6638">
        <v>798</v>
      </c>
      <c r="G6638" s="4">
        <v>46087.604456018518</v>
      </c>
    </row>
    <row r="6639" spans="1:7" x14ac:dyDescent="0.3">
      <c r="A6639">
        <v>24533</v>
      </c>
      <c r="B6639" t="s">
        <v>150</v>
      </c>
      <c r="C6639">
        <v>51029585</v>
      </c>
      <c r="D6639">
        <v>85.633874864394386</v>
      </c>
      <c r="E6639" t="s">
        <v>93</v>
      </c>
      <c r="F6639">
        <v>264</v>
      </c>
      <c r="G6639" s="4">
        <v>46087.604456018518</v>
      </c>
    </row>
    <row r="6640" spans="1:7" x14ac:dyDescent="0.3">
      <c r="A6640">
        <v>24534</v>
      </c>
      <c r="B6640" t="s">
        <v>150</v>
      </c>
      <c r="C6640">
        <v>51018389</v>
      </c>
      <c r="D6640">
        <v>69.579208583910116</v>
      </c>
      <c r="E6640" t="s">
        <v>93</v>
      </c>
      <c r="F6640">
        <v>515</v>
      </c>
      <c r="G6640" s="4">
        <v>46087.604456018518</v>
      </c>
    </row>
    <row r="6641" spans="1:7" x14ac:dyDescent="0.3">
      <c r="A6641">
        <v>24535</v>
      </c>
      <c r="B6641" t="s">
        <v>150</v>
      </c>
      <c r="C6641">
        <v>51017137</v>
      </c>
      <c r="D6641">
        <v>76.579175570476934</v>
      </c>
      <c r="E6641" t="s">
        <v>93</v>
      </c>
      <c r="F6641">
        <v>459</v>
      </c>
      <c r="G6641" s="4">
        <v>46087.604456018518</v>
      </c>
    </row>
    <row r="6642" spans="1:7" x14ac:dyDescent="0.3">
      <c r="A6642">
        <v>24536</v>
      </c>
      <c r="B6642" t="s">
        <v>150</v>
      </c>
      <c r="C6642">
        <v>51041232</v>
      </c>
      <c r="D6642">
        <v>89.396756082580936</v>
      </c>
      <c r="E6642" t="s">
        <v>92</v>
      </c>
      <c r="F6642">
        <v>152</v>
      </c>
      <c r="G6642" s="4">
        <v>46087.604456018518</v>
      </c>
    </row>
    <row r="6643" spans="1:7" x14ac:dyDescent="0.3">
      <c r="A6643">
        <v>24537</v>
      </c>
      <c r="B6643" t="s">
        <v>150</v>
      </c>
      <c r="C6643">
        <v>51022769</v>
      </c>
      <c r="D6643">
        <v>87.229266361811142</v>
      </c>
      <c r="E6643" t="s">
        <v>92</v>
      </c>
      <c r="F6643">
        <v>219</v>
      </c>
      <c r="G6643" s="4">
        <v>46087.604456018518</v>
      </c>
    </row>
    <row r="6644" spans="1:7" x14ac:dyDescent="0.3">
      <c r="A6644">
        <v>24538</v>
      </c>
      <c r="B6644" t="s">
        <v>150</v>
      </c>
      <c r="C6644">
        <v>51031164</v>
      </c>
      <c r="D6644">
        <v>28.563413806709736</v>
      </c>
      <c r="E6644" t="s">
        <v>94</v>
      </c>
      <c r="F6644">
        <v>881</v>
      </c>
      <c r="G6644" s="4">
        <v>46087.604456018518</v>
      </c>
    </row>
    <row r="6645" spans="1:7" x14ac:dyDescent="0.3">
      <c r="A6645">
        <v>24539</v>
      </c>
      <c r="B6645" t="s">
        <v>150</v>
      </c>
      <c r="C6645">
        <v>51030371</v>
      </c>
      <c r="D6645">
        <v>58.603281537729885</v>
      </c>
      <c r="E6645" t="s">
        <v>94</v>
      </c>
      <c r="F6645">
        <v>644</v>
      </c>
      <c r="G6645" s="4">
        <v>46087.604456018518</v>
      </c>
    </row>
    <row r="6646" spans="1:7" x14ac:dyDescent="0.3">
      <c r="A6646">
        <v>24540</v>
      </c>
      <c r="B6646" t="s">
        <v>150</v>
      </c>
      <c r="C6646">
        <v>51040392</v>
      </c>
      <c r="D6646">
        <v>33.479124839239063</v>
      </c>
      <c r="E6646" t="s">
        <v>94</v>
      </c>
      <c r="F6646">
        <v>818</v>
      </c>
      <c r="G6646" s="4">
        <v>46087.604456018518</v>
      </c>
    </row>
    <row r="6647" spans="1:7" x14ac:dyDescent="0.3">
      <c r="A6647">
        <v>24541</v>
      </c>
      <c r="B6647" t="s">
        <v>150</v>
      </c>
      <c r="C6647">
        <v>51014693</v>
      </c>
      <c r="D6647">
        <v>57.780970630610554</v>
      </c>
      <c r="E6647" t="s">
        <v>94</v>
      </c>
      <c r="F6647">
        <v>668</v>
      </c>
      <c r="G6647" s="4">
        <v>46087.604456018518</v>
      </c>
    </row>
    <row r="6648" spans="1:7" x14ac:dyDescent="0.3">
      <c r="A6648">
        <v>24542</v>
      </c>
      <c r="B6648" t="s">
        <v>150</v>
      </c>
      <c r="C6648">
        <v>51055551</v>
      </c>
      <c r="D6648">
        <v>27.236067377582039</v>
      </c>
      <c r="E6648" t="s">
        <v>94</v>
      </c>
      <c r="F6648">
        <v>897</v>
      </c>
      <c r="G6648" s="4">
        <v>46087.604456018518</v>
      </c>
    </row>
    <row r="6649" spans="1:7" x14ac:dyDescent="0.3">
      <c r="A6649">
        <v>24543</v>
      </c>
      <c r="B6649" t="s">
        <v>150</v>
      </c>
      <c r="C6649">
        <v>51012593</v>
      </c>
      <c r="D6649">
        <v>62.095815653504957</v>
      </c>
      <c r="E6649" t="s">
        <v>93</v>
      </c>
      <c r="F6649">
        <v>578</v>
      </c>
      <c r="G6649" s="4">
        <v>46087.604456018518</v>
      </c>
    </row>
    <row r="6650" spans="1:7" x14ac:dyDescent="0.3">
      <c r="A6650">
        <v>24544</v>
      </c>
      <c r="B6650" t="s">
        <v>150</v>
      </c>
      <c r="C6650">
        <v>51015908</v>
      </c>
      <c r="D6650">
        <v>88.684576807340733</v>
      </c>
      <c r="E6650" t="s">
        <v>92</v>
      </c>
      <c r="F6650">
        <v>177</v>
      </c>
      <c r="G6650" s="4">
        <v>46087.604456018518</v>
      </c>
    </row>
    <row r="6651" spans="1:7" x14ac:dyDescent="0.3">
      <c r="A6651">
        <v>24545</v>
      </c>
      <c r="B6651" t="s">
        <v>150</v>
      </c>
      <c r="C6651">
        <v>51015924</v>
      </c>
      <c r="D6651">
        <v>86.317205834421472</v>
      </c>
      <c r="E6651" t="s">
        <v>93</v>
      </c>
      <c r="F6651">
        <v>242</v>
      </c>
      <c r="G6651" s="4">
        <v>46087.604456018518</v>
      </c>
    </row>
    <row r="6652" spans="1:7" x14ac:dyDescent="0.3">
      <c r="A6652">
        <v>24546</v>
      </c>
      <c r="B6652" t="s">
        <v>150</v>
      </c>
      <c r="C6652">
        <v>51034252</v>
      </c>
      <c r="D6652">
        <v>90.455171971779379</v>
      </c>
      <c r="E6652" t="s">
        <v>92</v>
      </c>
      <c r="F6652">
        <v>126</v>
      </c>
      <c r="G6652" s="4">
        <v>46087.604456018518</v>
      </c>
    </row>
    <row r="6653" spans="1:7" x14ac:dyDescent="0.3">
      <c r="A6653">
        <v>24547</v>
      </c>
      <c r="B6653" t="s">
        <v>150</v>
      </c>
      <c r="C6653">
        <v>51017676</v>
      </c>
      <c r="D6653">
        <v>85.490253969113724</v>
      </c>
      <c r="E6653" t="s">
        <v>93</v>
      </c>
      <c r="F6653">
        <v>267</v>
      </c>
      <c r="G6653" s="4">
        <v>46087.604456018518</v>
      </c>
    </row>
    <row r="6654" spans="1:7" x14ac:dyDescent="0.3">
      <c r="A6654">
        <v>24548</v>
      </c>
      <c r="B6654" t="s">
        <v>150</v>
      </c>
      <c r="C6654">
        <v>51033655</v>
      </c>
      <c r="D6654">
        <v>100</v>
      </c>
      <c r="E6654" t="s">
        <v>275</v>
      </c>
      <c r="F6654">
        <v>1</v>
      </c>
      <c r="G6654" s="4">
        <v>46087.604456018518</v>
      </c>
    </row>
    <row r="6655" spans="1:7" x14ac:dyDescent="0.3">
      <c r="A6655">
        <v>24549</v>
      </c>
      <c r="B6655" t="s">
        <v>150</v>
      </c>
      <c r="C6655">
        <v>51014740</v>
      </c>
      <c r="D6655">
        <v>82.738843360883436</v>
      </c>
      <c r="E6655" t="s">
        <v>93</v>
      </c>
      <c r="F6655">
        <v>365</v>
      </c>
      <c r="G6655" s="4">
        <v>46087.604456018518</v>
      </c>
    </row>
    <row r="6656" spans="1:7" x14ac:dyDescent="0.3">
      <c r="A6656">
        <v>24550</v>
      </c>
      <c r="B6656" t="s">
        <v>150</v>
      </c>
      <c r="C6656">
        <v>51011287</v>
      </c>
      <c r="D6656">
        <v>84.64527226473534</v>
      </c>
      <c r="E6656" t="s">
        <v>93</v>
      </c>
      <c r="F6656">
        <v>295</v>
      </c>
      <c r="G6656" s="4">
        <v>46087.604456018518</v>
      </c>
    </row>
    <row r="6657" spans="1:7" x14ac:dyDescent="0.3">
      <c r="A6657">
        <v>24551</v>
      </c>
      <c r="B6657" t="s">
        <v>150</v>
      </c>
      <c r="C6657">
        <v>51026306</v>
      </c>
      <c r="D6657">
        <v>58.345518157222585</v>
      </c>
      <c r="E6657" t="s">
        <v>94</v>
      </c>
      <c r="F6657">
        <v>648</v>
      </c>
      <c r="G6657" s="4">
        <v>46087.604456018518</v>
      </c>
    </row>
    <row r="6658" spans="1:7" x14ac:dyDescent="0.3">
      <c r="A6658">
        <v>24552</v>
      </c>
      <c r="B6658" t="s">
        <v>150</v>
      </c>
      <c r="C6658">
        <v>51040325</v>
      </c>
      <c r="D6658">
        <v>40.070117357085287</v>
      </c>
      <c r="E6658" t="s">
        <v>94</v>
      </c>
      <c r="F6658">
        <v>786</v>
      </c>
      <c r="G6658" s="4">
        <v>46087.604456018518</v>
      </c>
    </row>
    <row r="6659" spans="1:7" x14ac:dyDescent="0.3">
      <c r="A6659">
        <v>24553</v>
      </c>
      <c r="B6659" t="s">
        <v>150</v>
      </c>
      <c r="C6659">
        <v>51055543</v>
      </c>
      <c r="D6659">
        <v>81.580522377201348</v>
      </c>
      <c r="E6659" t="s">
        <v>93</v>
      </c>
      <c r="F6659">
        <v>399</v>
      </c>
      <c r="G6659" s="4">
        <v>46087.604456018518</v>
      </c>
    </row>
    <row r="6660" spans="1:7" x14ac:dyDescent="0.3">
      <c r="A6660">
        <v>24554</v>
      </c>
      <c r="B6660" t="s">
        <v>150</v>
      </c>
      <c r="C6660">
        <v>51037031</v>
      </c>
      <c r="D6660">
        <v>55.995303437186358</v>
      </c>
      <c r="E6660" t="s">
        <v>94</v>
      </c>
      <c r="F6660">
        <v>703</v>
      </c>
      <c r="G6660" s="4">
        <v>46087.604456018518</v>
      </c>
    </row>
    <row r="6661" spans="1:7" x14ac:dyDescent="0.3">
      <c r="A6661">
        <v>24555</v>
      </c>
      <c r="B6661" t="s">
        <v>150</v>
      </c>
      <c r="C6661">
        <v>51057244</v>
      </c>
      <c r="D6661">
        <v>29.404073107294444</v>
      </c>
      <c r="E6661" t="s">
        <v>94</v>
      </c>
      <c r="F6661">
        <v>873</v>
      </c>
      <c r="G6661" s="4">
        <v>46087.604456018518</v>
      </c>
    </row>
    <row r="6662" spans="1:7" x14ac:dyDescent="0.3">
      <c r="A6662">
        <v>24556</v>
      </c>
      <c r="B6662" t="s">
        <v>150</v>
      </c>
      <c r="C6662">
        <v>51032004</v>
      </c>
      <c r="D6662">
        <v>16.840976018451617</v>
      </c>
      <c r="E6662" t="s">
        <v>95</v>
      </c>
      <c r="F6662">
        <v>1054</v>
      </c>
      <c r="G6662" s="4">
        <v>46087.604456018518</v>
      </c>
    </row>
    <row r="6663" spans="1:7" x14ac:dyDescent="0.3">
      <c r="A6663">
        <v>24557</v>
      </c>
      <c r="B6663" t="s">
        <v>150</v>
      </c>
      <c r="C6663">
        <v>51019253</v>
      </c>
      <c r="D6663">
        <v>62.970810776408797</v>
      </c>
      <c r="E6663" t="s">
        <v>93</v>
      </c>
      <c r="F6663">
        <v>561</v>
      </c>
      <c r="G6663" s="4">
        <v>46087.604456018518</v>
      </c>
    </row>
    <row r="6664" spans="1:7" x14ac:dyDescent="0.3">
      <c r="A6664">
        <v>24558</v>
      </c>
      <c r="B6664" t="s">
        <v>150</v>
      </c>
      <c r="C6664">
        <v>51008413</v>
      </c>
      <c r="D6664">
        <v>60.126791847839641</v>
      </c>
      <c r="E6664" t="s">
        <v>94</v>
      </c>
      <c r="F6664">
        <v>617</v>
      </c>
      <c r="G6664" s="4">
        <v>46087.604456018518</v>
      </c>
    </row>
    <row r="6665" spans="1:7" x14ac:dyDescent="0.3">
      <c r="A6665">
        <v>24559</v>
      </c>
      <c r="B6665" t="s">
        <v>150</v>
      </c>
      <c r="C6665">
        <v>51018265</v>
      </c>
      <c r="D6665">
        <v>75.605683959860343</v>
      </c>
      <c r="E6665" t="s">
        <v>93</v>
      </c>
      <c r="F6665">
        <v>471</v>
      </c>
      <c r="G6665" s="4">
        <v>46087.604456018518</v>
      </c>
    </row>
    <row r="6666" spans="1:7" x14ac:dyDescent="0.3">
      <c r="A6666">
        <v>24560</v>
      </c>
      <c r="B6666" t="s">
        <v>150</v>
      </c>
      <c r="C6666">
        <v>51022050</v>
      </c>
      <c r="D6666">
        <v>20.50459611433552</v>
      </c>
      <c r="E6666" t="s">
        <v>95</v>
      </c>
      <c r="F6666">
        <v>970</v>
      </c>
      <c r="G6666" s="4">
        <v>46087.604456018518</v>
      </c>
    </row>
    <row r="6667" spans="1:7" x14ac:dyDescent="0.3">
      <c r="A6667">
        <v>24561</v>
      </c>
      <c r="B6667" t="s">
        <v>150</v>
      </c>
      <c r="C6667">
        <v>51016076</v>
      </c>
      <c r="D6667">
        <v>59.398545426000027</v>
      </c>
      <c r="E6667" t="s">
        <v>94</v>
      </c>
      <c r="F6667">
        <v>632</v>
      </c>
      <c r="G6667" s="4">
        <v>46087.604456018518</v>
      </c>
    </row>
    <row r="6668" spans="1:7" x14ac:dyDescent="0.3">
      <c r="A6668">
        <v>24562</v>
      </c>
      <c r="B6668" t="s">
        <v>150</v>
      </c>
      <c r="C6668">
        <v>51014634</v>
      </c>
      <c r="D6668">
        <v>82.717303566964802</v>
      </c>
      <c r="E6668" t="s">
        <v>93</v>
      </c>
      <c r="F6668">
        <v>367</v>
      </c>
      <c r="G6668" s="4">
        <v>46087.604456018518</v>
      </c>
    </row>
    <row r="6669" spans="1:7" x14ac:dyDescent="0.3">
      <c r="A6669">
        <v>24563</v>
      </c>
      <c r="B6669" t="s">
        <v>150</v>
      </c>
      <c r="C6669">
        <v>51004655</v>
      </c>
      <c r="D6669">
        <v>81.376317218041095</v>
      </c>
      <c r="E6669" t="s">
        <v>93</v>
      </c>
      <c r="F6669">
        <v>404</v>
      </c>
      <c r="G6669" s="4">
        <v>46087.604456018518</v>
      </c>
    </row>
    <row r="6670" spans="1:7" x14ac:dyDescent="0.3">
      <c r="A6670">
        <v>24564</v>
      </c>
      <c r="B6670" t="s">
        <v>150</v>
      </c>
      <c r="C6670">
        <v>51030974</v>
      </c>
      <c r="D6670">
        <v>92.390706325232358</v>
      </c>
      <c r="E6670" t="s">
        <v>92</v>
      </c>
      <c r="F6670">
        <v>98</v>
      </c>
      <c r="G6670" s="4">
        <v>46087.604456018518</v>
      </c>
    </row>
    <row r="6671" spans="1:7" x14ac:dyDescent="0.3">
      <c r="A6671">
        <v>24565</v>
      </c>
      <c r="B6671" t="s">
        <v>150</v>
      </c>
      <c r="C6671">
        <v>51056787</v>
      </c>
      <c r="D6671">
        <v>73.927709305587953</v>
      </c>
      <c r="E6671" t="s">
        <v>93</v>
      </c>
      <c r="F6671">
        <v>481</v>
      </c>
      <c r="G6671" s="4">
        <v>46087.604456018518</v>
      </c>
    </row>
    <row r="6672" spans="1:7" x14ac:dyDescent="0.3">
      <c r="A6672">
        <v>24566</v>
      </c>
      <c r="B6672" t="s">
        <v>150</v>
      </c>
      <c r="C6672">
        <v>51032802</v>
      </c>
      <c r="D6672">
        <v>100</v>
      </c>
      <c r="E6672" t="s">
        <v>275</v>
      </c>
      <c r="F6672">
        <v>1</v>
      </c>
      <c r="G6672" s="4">
        <v>46087.604456018518</v>
      </c>
    </row>
    <row r="6673" spans="1:7" x14ac:dyDescent="0.3">
      <c r="A6673">
        <v>24567</v>
      </c>
      <c r="B6673" t="s">
        <v>150</v>
      </c>
      <c r="C6673">
        <v>51043677</v>
      </c>
      <c r="D6673">
        <v>80.050528070482301</v>
      </c>
      <c r="E6673" t="s">
        <v>93</v>
      </c>
      <c r="F6673">
        <v>440</v>
      </c>
      <c r="G6673" s="4">
        <v>46087.604456018518</v>
      </c>
    </row>
    <row r="6674" spans="1:7" x14ac:dyDescent="0.3">
      <c r="A6674">
        <v>24568</v>
      </c>
      <c r="B6674" t="s">
        <v>150</v>
      </c>
      <c r="C6674">
        <v>51022467</v>
      </c>
      <c r="D6674">
        <v>55.054860806117674</v>
      </c>
      <c r="E6674" t="s">
        <v>94</v>
      </c>
      <c r="F6674">
        <v>716</v>
      </c>
      <c r="G6674" s="4">
        <v>46087.604456018518</v>
      </c>
    </row>
    <row r="6675" spans="1:7" x14ac:dyDescent="0.3">
      <c r="A6675">
        <v>24569</v>
      </c>
      <c r="B6675" t="s">
        <v>150</v>
      </c>
      <c r="C6675">
        <v>51055225</v>
      </c>
      <c r="D6675">
        <v>85.805416261469119</v>
      </c>
      <c r="E6675" t="s">
        <v>93</v>
      </c>
      <c r="F6675">
        <v>256</v>
      </c>
      <c r="G6675" s="4">
        <v>46087.604456018518</v>
      </c>
    </row>
    <row r="6676" spans="1:7" x14ac:dyDescent="0.3">
      <c r="A6676">
        <v>24570</v>
      </c>
      <c r="B6676" t="s">
        <v>150</v>
      </c>
      <c r="C6676">
        <v>51041666</v>
      </c>
      <c r="D6676">
        <v>58.150057679637335</v>
      </c>
      <c r="E6676" t="s">
        <v>94</v>
      </c>
      <c r="F6676">
        <v>655</v>
      </c>
      <c r="G6676" s="4">
        <v>46087.604456018518</v>
      </c>
    </row>
    <row r="6677" spans="1:7" x14ac:dyDescent="0.3">
      <c r="A6677">
        <v>24571</v>
      </c>
      <c r="B6677" t="s">
        <v>150</v>
      </c>
      <c r="C6677">
        <v>51024753</v>
      </c>
      <c r="D6677">
        <v>60.83380008601884</v>
      </c>
      <c r="E6677" t="s">
        <v>94</v>
      </c>
      <c r="F6677">
        <v>602</v>
      </c>
      <c r="G6677" s="4">
        <v>46087.604456018518</v>
      </c>
    </row>
    <row r="6678" spans="1:7" x14ac:dyDescent="0.3">
      <c r="A6678">
        <v>24572</v>
      </c>
      <c r="B6678" t="s">
        <v>150</v>
      </c>
      <c r="C6678">
        <v>51023901</v>
      </c>
      <c r="D6678">
        <v>88.088748679318897</v>
      </c>
      <c r="E6678" t="s">
        <v>92</v>
      </c>
      <c r="F6678">
        <v>194</v>
      </c>
      <c r="G6678" s="4">
        <v>46087.604456018518</v>
      </c>
    </row>
    <row r="6679" spans="1:7" x14ac:dyDescent="0.3">
      <c r="A6679">
        <v>24573</v>
      </c>
      <c r="B6679" t="s">
        <v>150</v>
      </c>
      <c r="C6679">
        <v>51038401</v>
      </c>
      <c r="D6679">
        <v>45.422829095358161</v>
      </c>
      <c r="E6679" t="s">
        <v>94</v>
      </c>
      <c r="F6679">
        <v>770</v>
      </c>
      <c r="G6679" s="4">
        <v>46087.604456018518</v>
      </c>
    </row>
    <row r="6680" spans="1:7" x14ac:dyDescent="0.3">
      <c r="A6680">
        <v>24574</v>
      </c>
      <c r="B6680" t="s">
        <v>150</v>
      </c>
      <c r="C6680">
        <v>51023226</v>
      </c>
      <c r="D6680">
        <v>80.85437520241905</v>
      </c>
      <c r="E6680" t="s">
        <v>93</v>
      </c>
      <c r="F6680">
        <v>418</v>
      </c>
      <c r="G6680" s="4">
        <v>46087.604456018518</v>
      </c>
    </row>
    <row r="6681" spans="1:7" x14ac:dyDescent="0.3">
      <c r="A6681">
        <v>24575</v>
      </c>
      <c r="B6681" t="s">
        <v>150</v>
      </c>
      <c r="C6681">
        <v>51019717</v>
      </c>
      <c r="D6681">
        <v>49.719406368766997</v>
      </c>
      <c r="E6681" t="s">
        <v>94</v>
      </c>
      <c r="F6681">
        <v>744</v>
      </c>
      <c r="G6681" s="4">
        <v>46087.604456018518</v>
      </c>
    </row>
    <row r="6682" spans="1:7" x14ac:dyDescent="0.3">
      <c r="A6682">
        <v>24576</v>
      </c>
      <c r="B6682" t="s">
        <v>150</v>
      </c>
      <c r="C6682">
        <v>51007115</v>
      </c>
      <c r="D6682">
        <v>82.526574191826285</v>
      </c>
      <c r="E6682" t="s">
        <v>93</v>
      </c>
      <c r="F6682">
        <v>372</v>
      </c>
      <c r="G6682" s="4">
        <v>46087.604456018518</v>
      </c>
    </row>
    <row r="6683" spans="1:7" x14ac:dyDescent="0.3">
      <c r="A6683">
        <v>24577</v>
      </c>
      <c r="B6683" t="s">
        <v>150</v>
      </c>
      <c r="C6683">
        <v>51016637</v>
      </c>
      <c r="D6683">
        <v>85.174296783969595</v>
      </c>
      <c r="E6683" t="s">
        <v>93</v>
      </c>
      <c r="F6683">
        <v>278</v>
      </c>
      <c r="G6683" s="4">
        <v>46087.604456018518</v>
      </c>
    </row>
    <row r="6684" spans="1:7" x14ac:dyDescent="0.3">
      <c r="A6684">
        <v>24578</v>
      </c>
      <c r="B6684" t="s">
        <v>150</v>
      </c>
      <c r="C6684">
        <v>51023439</v>
      </c>
      <c r="D6684">
        <v>31.548621634709207</v>
      </c>
      <c r="E6684" t="s">
        <v>94</v>
      </c>
      <c r="F6684">
        <v>841</v>
      </c>
      <c r="G6684" s="4">
        <v>46087.604456018518</v>
      </c>
    </row>
    <row r="6685" spans="1:7" x14ac:dyDescent="0.3">
      <c r="A6685">
        <v>24579</v>
      </c>
      <c r="B6685" t="s">
        <v>150</v>
      </c>
      <c r="C6685">
        <v>51031334</v>
      </c>
      <c r="D6685">
        <v>31.238981431591451</v>
      </c>
      <c r="E6685" t="s">
        <v>94</v>
      </c>
      <c r="F6685">
        <v>842</v>
      </c>
      <c r="G6685" s="4">
        <v>46087.604456018518</v>
      </c>
    </row>
    <row r="6686" spans="1:7" x14ac:dyDescent="0.3">
      <c r="A6686">
        <v>24580</v>
      </c>
      <c r="B6686" t="s">
        <v>150</v>
      </c>
      <c r="C6686">
        <v>51005368</v>
      </c>
      <c r="D6686">
        <v>67.989029642937936</v>
      </c>
      <c r="E6686" t="s">
        <v>93</v>
      </c>
      <c r="F6686">
        <v>527</v>
      </c>
      <c r="G6686" s="4">
        <v>46087.604456018518</v>
      </c>
    </row>
    <row r="6687" spans="1:7" x14ac:dyDescent="0.3">
      <c r="A6687">
        <v>24581</v>
      </c>
      <c r="B6687" t="s">
        <v>150</v>
      </c>
      <c r="C6687">
        <v>51023803</v>
      </c>
      <c r="D6687">
        <v>95.409686363282219</v>
      </c>
      <c r="E6687" t="s">
        <v>92</v>
      </c>
      <c r="F6687">
        <v>67</v>
      </c>
      <c r="G6687" s="4">
        <v>46087.604456018518</v>
      </c>
    </row>
    <row r="6688" spans="1:7" x14ac:dyDescent="0.3">
      <c r="A6688">
        <v>24582</v>
      </c>
      <c r="B6688" t="s">
        <v>150</v>
      </c>
      <c r="C6688">
        <v>51016777</v>
      </c>
      <c r="D6688">
        <v>76.188047188262473</v>
      </c>
      <c r="E6688" t="s">
        <v>93</v>
      </c>
      <c r="F6688">
        <v>461</v>
      </c>
      <c r="G6688" s="4">
        <v>46087.604456018518</v>
      </c>
    </row>
    <row r="6689" spans="1:7" x14ac:dyDescent="0.3">
      <c r="A6689">
        <v>24583</v>
      </c>
      <c r="B6689" t="s">
        <v>150</v>
      </c>
      <c r="C6689">
        <v>51056094</v>
      </c>
      <c r="D6689">
        <v>55.785961515160643</v>
      </c>
      <c r="E6689" t="s">
        <v>94</v>
      </c>
      <c r="F6689">
        <v>707</v>
      </c>
      <c r="G6689" s="4">
        <v>46087.604456018518</v>
      </c>
    </row>
    <row r="6690" spans="1:7" x14ac:dyDescent="0.3">
      <c r="A6690">
        <v>24584</v>
      </c>
      <c r="B6690" t="s">
        <v>150</v>
      </c>
      <c r="C6690">
        <v>51018044</v>
      </c>
      <c r="D6690">
        <v>21.007163001951081</v>
      </c>
      <c r="E6690" t="s">
        <v>95</v>
      </c>
      <c r="F6690">
        <v>962</v>
      </c>
      <c r="G6690" s="4">
        <v>46087.604456018518</v>
      </c>
    </row>
    <row r="6691" spans="1:7" x14ac:dyDescent="0.3">
      <c r="A6691">
        <v>24585</v>
      </c>
      <c r="B6691" t="s">
        <v>150</v>
      </c>
      <c r="C6691">
        <v>51031318</v>
      </c>
      <c r="D6691">
        <v>51.588421873635404</v>
      </c>
      <c r="E6691" t="s">
        <v>94</v>
      </c>
      <c r="F6691">
        <v>731</v>
      </c>
      <c r="G6691" s="4">
        <v>46087.604456018518</v>
      </c>
    </row>
    <row r="6692" spans="1:7" x14ac:dyDescent="0.3">
      <c r="A6692">
        <v>24586</v>
      </c>
      <c r="B6692" t="s">
        <v>150</v>
      </c>
      <c r="C6692">
        <v>51031750</v>
      </c>
      <c r="D6692">
        <v>91.424089270515708</v>
      </c>
      <c r="E6692" t="s">
        <v>92</v>
      </c>
      <c r="F6692">
        <v>111</v>
      </c>
      <c r="G6692" s="4">
        <v>46087.604456018518</v>
      </c>
    </row>
    <row r="6693" spans="1:7" x14ac:dyDescent="0.3">
      <c r="A6693">
        <v>24587</v>
      </c>
      <c r="B6693" t="s">
        <v>150</v>
      </c>
      <c r="C6693">
        <v>51032063</v>
      </c>
      <c r="D6693">
        <v>81.619140066978545</v>
      </c>
      <c r="E6693" t="s">
        <v>93</v>
      </c>
      <c r="F6693">
        <v>396</v>
      </c>
      <c r="G6693" s="4">
        <v>46087.604456018518</v>
      </c>
    </row>
    <row r="6694" spans="1:7" x14ac:dyDescent="0.3">
      <c r="A6694">
        <v>24588</v>
      </c>
      <c r="B6694" t="s">
        <v>150</v>
      </c>
      <c r="C6694">
        <v>51029232</v>
      </c>
      <c r="D6694">
        <v>66.412882056693164</v>
      </c>
      <c r="E6694" t="s">
        <v>93</v>
      </c>
      <c r="F6694">
        <v>539</v>
      </c>
      <c r="G6694" s="4">
        <v>46087.604456018518</v>
      </c>
    </row>
    <row r="6695" spans="1:7" x14ac:dyDescent="0.3">
      <c r="A6695">
        <v>24589</v>
      </c>
      <c r="B6695" t="s">
        <v>150</v>
      </c>
      <c r="C6695">
        <v>51035879</v>
      </c>
      <c r="D6695">
        <v>40.108543770676889</v>
      </c>
      <c r="E6695" t="s">
        <v>94</v>
      </c>
      <c r="F6695">
        <v>785</v>
      </c>
      <c r="G6695" s="4">
        <v>46087.604456018518</v>
      </c>
    </row>
    <row r="6696" spans="1:7" x14ac:dyDescent="0.3">
      <c r="A6696">
        <v>24590</v>
      </c>
      <c r="B6696" t="s">
        <v>150</v>
      </c>
      <c r="C6696">
        <v>51001044</v>
      </c>
      <c r="D6696">
        <v>84.017006470262302</v>
      </c>
      <c r="E6696" t="s">
        <v>93</v>
      </c>
      <c r="F6696">
        <v>321</v>
      </c>
      <c r="G6696" s="4">
        <v>46087.604456018518</v>
      </c>
    </row>
    <row r="6697" spans="1:7" x14ac:dyDescent="0.3">
      <c r="A6697">
        <v>24591</v>
      </c>
      <c r="B6697" t="s">
        <v>150</v>
      </c>
      <c r="C6697">
        <v>51028929</v>
      </c>
      <c r="D6697">
        <v>89.541549885911891</v>
      </c>
      <c r="E6697" t="s">
        <v>92</v>
      </c>
      <c r="F6697">
        <v>149</v>
      </c>
      <c r="G6697" s="4">
        <v>46087.604456018518</v>
      </c>
    </row>
    <row r="6698" spans="1:7" x14ac:dyDescent="0.3">
      <c r="A6698">
        <v>24592</v>
      </c>
      <c r="B6698" t="s">
        <v>150</v>
      </c>
      <c r="C6698">
        <v>51054873</v>
      </c>
      <c r="D6698">
        <v>97.362626661568186</v>
      </c>
      <c r="E6698" t="s">
        <v>275</v>
      </c>
      <c r="F6698">
        <v>44</v>
      </c>
      <c r="G6698" s="4">
        <v>46087.604456018518</v>
      </c>
    </row>
    <row r="6699" spans="1:7" x14ac:dyDescent="0.3">
      <c r="A6699">
        <v>24593</v>
      </c>
      <c r="B6699" t="s">
        <v>150</v>
      </c>
      <c r="C6699">
        <v>51013913</v>
      </c>
      <c r="D6699">
        <v>84.306431860513356</v>
      </c>
      <c r="E6699" t="s">
        <v>93</v>
      </c>
      <c r="F6699">
        <v>305</v>
      </c>
      <c r="G6699" s="4">
        <v>46087.604456018518</v>
      </c>
    </row>
    <row r="6700" spans="1:7" x14ac:dyDescent="0.3">
      <c r="A6700">
        <v>24594</v>
      </c>
      <c r="B6700" t="s">
        <v>150</v>
      </c>
      <c r="C6700">
        <v>51033302</v>
      </c>
      <c r="D6700">
        <v>46.856722460175575</v>
      </c>
      <c r="E6700" t="s">
        <v>94</v>
      </c>
      <c r="F6700">
        <v>761</v>
      </c>
      <c r="G6700" s="4">
        <v>46087.604456018518</v>
      </c>
    </row>
    <row r="6701" spans="1:7" x14ac:dyDescent="0.3">
      <c r="A6701">
        <v>24595</v>
      </c>
      <c r="B6701" t="s">
        <v>150</v>
      </c>
      <c r="C6701">
        <v>51054806</v>
      </c>
      <c r="D6701">
        <v>32.410963277490879</v>
      </c>
      <c r="E6701" t="s">
        <v>94</v>
      </c>
      <c r="F6701">
        <v>832</v>
      </c>
      <c r="G6701" s="4">
        <v>46087.604456018518</v>
      </c>
    </row>
    <row r="6702" spans="1:7" x14ac:dyDescent="0.3">
      <c r="A6702">
        <v>24596</v>
      </c>
      <c r="B6702" t="s">
        <v>150</v>
      </c>
      <c r="C6702">
        <v>51030567</v>
      </c>
      <c r="D6702">
        <v>54.855678416248686</v>
      </c>
      <c r="E6702" t="s">
        <v>94</v>
      </c>
      <c r="F6702">
        <v>717</v>
      </c>
      <c r="G6702" s="4">
        <v>46087.604456018518</v>
      </c>
    </row>
    <row r="6703" spans="1:7" x14ac:dyDescent="0.3">
      <c r="A6703">
        <v>24597</v>
      </c>
      <c r="B6703" t="s">
        <v>150</v>
      </c>
      <c r="C6703">
        <v>51014375</v>
      </c>
      <c r="D6703">
        <v>37.106996687025045</v>
      </c>
      <c r="E6703" t="s">
        <v>94</v>
      </c>
      <c r="F6703">
        <v>800</v>
      </c>
      <c r="G6703" s="4">
        <v>46087.604456018518</v>
      </c>
    </row>
    <row r="6704" spans="1:7" x14ac:dyDescent="0.3">
      <c r="A6704">
        <v>24598</v>
      </c>
      <c r="B6704" t="s">
        <v>150</v>
      </c>
      <c r="C6704">
        <v>51056337</v>
      </c>
      <c r="D6704">
        <v>84.071367516423848</v>
      </c>
      <c r="E6704" t="s">
        <v>93</v>
      </c>
      <c r="F6704">
        <v>318</v>
      </c>
      <c r="G6704" s="4">
        <v>46087.604456018518</v>
      </c>
    </row>
    <row r="6705" spans="1:7" x14ac:dyDescent="0.3">
      <c r="A6705">
        <v>24599</v>
      </c>
      <c r="B6705" t="s">
        <v>150</v>
      </c>
      <c r="C6705">
        <v>51054938</v>
      </c>
      <c r="D6705">
        <v>93.914041812366449</v>
      </c>
      <c r="E6705" t="s">
        <v>92</v>
      </c>
      <c r="F6705">
        <v>77</v>
      </c>
      <c r="G6705" s="4">
        <v>46087.604456018518</v>
      </c>
    </row>
    <row r="6706" spans="1:7" x14ac:dyDescent="0.3">
      <c r="A6706">
        <v>24600</v>
      </c>
      <c r="B6706" t="s">
        <v>150</v>
      </c>
      <c r="C6706">
        <v>51024834</v>
      </c>
      <c r="D6706">
        <v>51.665672912093257</v>
      </c>
      <c r="E6706" t="s">
        <v>94</v>
      </c>
      <c r="F6706">
        <v>730</v>
      </c>
      <c r="G6706" s="4">
        <v>46087.604456018518</v>
      </c>
    </row>
    <row r="6707" spans="1:7" x14ac:dyDescent="0.3">
      <c r="A6707">
        <v>24601</v>
      </c>
      <c r="B6707" t="s">
        <v>150</v>
      </c>
      <c r="C6707">
        <v>51016831</v>
      </c>
      <c r="D6707">
        <v>39.468946189818197</v>
      </c>
      <c r="E6707" t="s">
        <v>94</v>
      </c>
      <c r="F6707">
        <v>788</v>
      </c>
      <c r="G6707" s="4">
        <v>46087.604456018518</v>
      </c>
    </row>
    <row r="6708" spans="1:7" x14ac:dyDescent="0.3">
      <c r="A6708">
        <v>24602</v>
      </c>
      <c r="B6708" t="s">
        <v>150</v>
      </c>
      <c r="C6708">
        <v>51023927</v>
      </c>
      <c r="D6708">
        <v>30.527067632203156</v>
      </c>
      <c r="E6708" t="s">
        <v>94</v>
      </c>
      <c r="F6708">
        <v>854</v>
      </c>
      <c r="G6708" s="4">
        <v>46087.604456018518</v>
      </c>
    </row>
    <row r="6709" spans="1:7" x14ac:dyDescent="0.3">
      <c r="A6709">
        <v>24603</v>
      </c>
      <c r="B6709" t="s">
        <v>150</v>
      </c>
      <c r="C6709">
        <v>51020111</v>
      </c>
      <c r="D6709">
        <v>57.514428765876559</v>
      </c>
      <c r="E6709" t="s">
        <v>94</v>
      </c>
      <c r="F6709">
        <v>674</v>
      </c>
      <c r="G6709" s="4">
        <v>46087.604456018518</v>
      </c>
    </row>
    <row r="6710" spans="1:7" x14ac:dyDescent="0.3">
      <c r="A6710">
        <v>24604</v>
      </c>
      <c r="B6710" t="s">
        <v>150</v>
      </c>
      <c r="C6710">
        <v>51055250</v>
      </c>
      <c r="D6710">
        <v>56.964896699674831</v>
      </c>
      <c r="E6710" t="s">
        <v>94</v>
      </c>
      <c r="F6710">
        <v>684</v>
      </c>
      <c r="G6710" s="4">
        <v>46087.604456018518</v>
      </c>
    </row>
    <row r="6711" spans="1:7" x14ac:dyDescent="0.3">
      <c r="A6711">
        <v>24605</v>
      </c>
      <c r="B6711" t="s">
        <v>150</v>
      </c>
      <c r="C6711">
        <v>51018036</v>
      </c>
      <c r="D6711">
        <v>80.744760568846928</v>
      </c>
      <c r="E6711" t="s">
        <v>93</v>
      </c>
      <c r="F6711">
        <v>421</v>
      </c>
      <c r="G6711" s="4">
        <v>46087.604456018518</v>
      </c>
    </row>
    <row r="6712" spans="1:7" x14ac:dyDescent="0.3">
      <c r="A6712">
        <v>24606</v>
      </c>
      <c r="B6712" t="s">
        <v>150</v>
      </c>
      <c r="C6712">
        <v>51009797</v>
      </c>
      <c r="D6712">
        <v>26.524862630576127</v>
      </c>
      <c r="E6712" t="s">
        <v>94</v>
      </c>
      <c r="F6712">
        <v>904</v>
      </c>
      <c r="G6712" s="4">
        <v>46087.604456018518</v>
      </c>
    </row>
    <row r="6713" spans="1:7" x14ac:dyDescent="0.3">
      <c r="A6713">
        <v>24607</v>
      </c>
      <c r="B6713" t="s">
        <v>150</v>
      </c>
      <c r="C6713">
        <v>51041917</v>
      </c>
      <c r="D6713">
        <v>45.748171347913313</v>
      </c>
      <c r="E6713" t="s">
        <v>94</v>
      </c>
      <c r="F6713">
        <v>768</v>
      </c>
      <c r="G6713" s="4">
        <v>46087.604456018518</v>
      </c>
    </row>
    <row r="6714" spans="1:7" x14ac:dyDescent="0.3">
      <c r="A6714">
        <v>24608</v>
      </c>
      <c r="B6714" t="s">
        <v>150</v>
      </c>
      <c r="C6714">
        <v>51017846</v>
      </c>
      <c r="D6714">
        <v>58.237512672353752</v>
      </c>
      <c r="E6714" t="s">
        <v>94</v>
      </c>
      <c r="F6714">
        <v>653</v>
      </c>
      <c r="G6714" s="4">
        <v>46087.604456018518</v>
      </c>
    </row>
    <row r="6715" spans="1:7" x14ac:dyDescent="0.3">
      <c r="A6715">
        <v>24609</v>
      </c>
      <c r="B6715" t="s">
        <v>150</v>
      </c>
      <c r="C6715">
        <v>51015851</v>
      </c>
      <c r="D6715">
        <v>87.863124435439786</v>
      </c>
      <c r="E6715" t="s">
        <v>92</v>
      </c>
      <c r="F6715">
        <v>204</v>
      </c>
      <c r="G6715" s="4">
        <v>46087.604456018518</v>
      </c>
    </row>
    <row r="6716" spans="1:7" x14ac:dyDescent="0.3">
      <c r="A6716">
        <v>24610</v>
      </c>
      <c r="B6716" t="s">
        <v>150</v>
      </c>
      <c r="C6716">
        <v>51036603</v>
      </c>
      <c r="D6716">
        <v>17.786360834588816</v>
      </c>
      <c r="E6716" t="s">
        <v>95</v>
      </c>
      <c r="F6716">
        <v>1034</v>
      </c>
      <c r="G6716" s="4">
        <v>46087.604456018518</v>
      </c>
    </row>
    <row r="6717" spans="1:7" x14ac:dyDescent="0.3">
      <c r="A6717">
        <v>24611</v>
      </c>
      <c r="B6717" t="s">
        <v>150</v>
      </c>
      <c r="C6717">
        <v>51020910</v>
      </c>
      <c r="D6717">
        <v>72.578770448370705</v>
      </c>
      <c r="E6717" t="s">
        <v>93</v>
      </c>
      <c r="F6717">
        <v>494</v>
      </c>
      <c r="G6717" s="4">
        <v>46087.604456018518</v>
      </c>
    </row>
    <row r="6718" spans="1:7" x14ac:dyDescent="0.3">
      <c r="A6718">
        <v>24612</v>
      </c>
      <c r="B6718" t="s">
        <v>150</v>
      </c>
      <c r="C6718">
        <v>51031326</v>
      </c>
      <c r="D6718">
        <v>22.962051531882594</v>
      </c>
      <c r="E6718" t="s">
        <v>94</v>
      </c>
      <c r="F6718">
        <v>931</v>
      </c>
      <c r="G6718" s="4">
        <v>46087.604456018518</v>
      </c>
    </row>
    <row r="6719" spans="1:7" x14ac:dyDescent="0.3">
      <c r="A6719">
        <v>24613</v>
      </c>
      <c r="B6719" t="s">
        <v>150</v>
      </c>
      <c r="C6719">
        <v>51033604</v>
      </c>
      <c r="D6719">
        <v>32.273279023382813</v>
      </c>
      <c r="E6719" t="s">
        <v>94</v>
      </c>
      <c r="F6719">
        <v>833</v>
      </c>
      <c r="G6719" s="4">
        <v>46087.604456018518</v>
      </c>
    </row>
    <row r="6720" spans="1:7" x14ac:dyDescent="0.3">
      <c r="A6720">
        <v>24614</v>
      </c>
      <c r="B6720" t="s">
        <v>150</v>
      </c>
      <c r="C6720">
        <v>51026217</v>
      </c>
      <c r="D6720">
        <v>89.313903896903014</v>
      </c>
      <c r="E6720" t="s">
        <v>92</v>
      </c>
      <c r="F6720">
        <v>156</v>
      </c>
      <c r="G6720" s="4">
        <v>46087.604456018518</v>
      </c>
    </row>
    <row r="6721" spans="1:7" x14ac:dyDescent="0.3">
      <c r="A6721">
        <v>24615</v>
      </c>
      <c r="B6721" t="s">
        <v>150</v>
      </c>
      <c r="C6721">
        <v>51039165</v>
      </c>
      <c r="D6721">
        <v>60.885924903108389</v>
      </c>
      <c r="E6721" t="s">
        <v>94</v>
      </c>
      <c r="F6721">
        <v>601</v>
      </c>
      <c r="G6721" s="4">
        <v>46087.604456018518</v>
      </c>
    </row>
    <row r="6722" spans="1:7" x14ac:dyDescent="0.3">
      <c r="A6722">
        <v>24616</v>
      </c>
      <c r="B6722" t="s">
        <v>150</v>
      </c>
      <c r="C6722">
        <v>51006844</v>
      </c>
      <c r="D6722">
        <v>23.617653119515271</v>
      </c>
      <c r="E6722" t="s">
        <v>94</v>
      </c>
      <c r="F6722">
        <v>926</v>
      </c>
      <c r="G6722" s="4">
        <v>46087.604456018518</v>
      </c>
    </row>
    <row r="6723" spans="1:7" x14ac:dyDescent="0.3">
      <c r="A6723">
        <v>24617</v>
      </c>
      <c r="B6723" t="s">
        <v>150</v>
      </c>
      <c r="C6723">
        <v>51020995</v>
      </c>
      <c r="D6723">
        <v>27.625525965648244</v>
      </c>
      <c r="E6723" t="s">
        <v>94</v>
      </c>
      <c r="F6723">
        <v>890</v>
      </c>
      <c r="G6723" s="4">
        <v>46087.604456018518</v>
      </c>
    </row>
    <row r="6724" spans="1:7" x14ac:dyDescent="0.3">
      <c r="A6724">
        <v>24618</v>
      </c>
      <c r="B6724" t="s">
        <v>150</v>
      </c>
      <c r="C6724">
        <v>51023251</v>
      </c>
      <c r="D6724">
        <v>75.705276133555856</v>
      </c>
      <c r="E6724" t="s">
        <v>93</v>
      </c>
      <c r="F6724">
        <v>470</v>
      </c>
      <c r="G6724" s="4">
        <v>46087.604456018518</v>
      </c>
    </row>
    <row r="6725" spans="1:7" x14ac:dyDescent="0.3">
      <c r="A6725">
        <v>24619</v>
      </c>
      <c r="B6725" t="s">
        <v>150</v>
      </c>
      <c r="C6725">
        <v>51010205</v>
      </c>
      <c r="D6725">
        <v>50.717867936428128</v>
      </c>
      <c r="E6725" t="s">
        <v>94</v>
      </c>
      <c r="F6725">
        <v>735</v>
      </c>
      <c r="G6725" s="4">
        <v>46087.604456018518</v>
      </c>
    </row>
    <row r="6726" spans="1:7" x14ac:dyDescent="0.3">
      <c r="A6726">
        <v>24620</v>
      </c>
      <c r="B6726" t="s">
        <v>150</v>
      </c>
      <c r="C6726">
        <v>51056922</v>
      </c>
      <c r="D6726">
        <v>78.806032201404705</v>
      </c>
      <c r="E6726" t="s">
        <v>93</v>
      </c>
      <c r="F6726">
        <v>450</v>
      </c>
      <c r="G6726" s="4">
        <v>46087.604456018518</v>
      </c>
    </row>
    <row r="6727" spans="1:7" x14ac:dyDescent="0.3">
      <c r="A6727">
        <v>24621</v>
      </c>
      <c r="B6727" t="s">
        <v>150</v>
      </c>
      <c r="C6727">
        <v>51056299</v>
      </c>
      <c r="D6727">
        <v>88.726631639241759</v>
      </c>
      <c r="E6727" t="s">
        <v>92</v>
      </c>
      <c r="F6727">
        <v>175</v>
      </c>
      <c r="G6727" s="4">
        <v>46087.604456018518</v>
      </c>
    </row>
    <row r="6728" spans="1:7" x14ac:dyDescent="0.3">
      <c r="A6728">
        <v>24622</v>
      </c>
      <c r="B6728" t="s">
        <v>150</v>
      </c>
      <c r="C6728">
        <v>51010175</v>
      </c>
      <c r="D6728">
        <v>39.298629463715848</v>
      </c>
      <c r="E6728" t="s">
        <v>94</v>
      </c>
      <c r="F6728">
        <v>789</v>
      </c>
      <c r="G6728" s="4">
        <v>46087.604456018518</v>
      </c>
    </row>
    <row r="6729" spans="1:7" x14ac:dyDescent="0.3">
      <c r="A6729">
        <v>24623</v>
      </c>
      <c r="B6729" t="s">
        <v>150</v>
      </c>
      <c r="C6729">
        <v>51015355</v>
      </c>
      <c r="D6729">
        <v>61.148104824366719</v>
      </c>
      <c r="E6729" t="s">
        <v>93</v>
      </c>
      <c r="F6729">
        <v>595</v>
      </c>
      <c r="G6729" s="4">
        <v>46087.604456018518</v>
      </c>
    </row>
    <row r="6730" spans="1:7" x14ac:dyDescent="0.3">
      <c r="A6730">
        <v>24624</v>
      </c>
      <c r="B6730" t="s">
        <v>150</v>
      </c>
      <c r="C6730">
        <v>51010191</v>
      </c>
      <c r="D6730">
        <v>97.370130881704654</v>
      </c>
      <c r="E6730" t="s">
        <v>275</v>
      </c>
      <c r="F6730">
        <v>43</v>
      </c>
      <c r="G6730" s="4">
        <v>46087.604456018518</v>
      </c>
    </row>
    <row r="6731" spans="1:7" x14ac:dyDescent="0.3">
      <c r="A6731">
        <v>24625</v>
      </c>
      <c r="B6731" t="s">
        <v>150</v>
      </c>
      <c r="C6731">
        <v>51013051</v>
      </c>
      <c r="D6731">
        <v>22.565866658594327</v>
      </c>
      <c r="E6731" t="s">
        <v>94</v>
      </c>
      <c r="F6731">
        <v>941</v>
      </c>
      <c r="G6731" s="4">
        <v>46087.604456018518</v>
      </c>
    </row>
    <row r="6732" spans="1:7" x14ac:dyDescent="0.3">
      <c r="A6732">
        <v>24626</v>
      </c>
      <c r="B6732" t="s">
        <v>150</v>
      </c>
      <c r="C6732">
        <v>51032632</v>
      </c>
      <c r="D6732">
        <v>62.579238151882251</v>
      </c>
      <c r="E6732" t="s">
        <v>93</v>
      </c>
      <c r="F6732">
        <v>567</v>
      </c>
      <c r="G6732" s="4">
        <v>46087.604456018518</v>
      </c>
    </row>
    <row r="6733" spans="1:7" x14ac:dyDescent="0.3">
      <c r="A6733">
        <v>24627</v>
      </c>
      <c r="B6733" t="s">
        <v>150</v>
      </c>
      <c r="C6733">
        <v>51026322</v>
      </c>
      <c r="D6733">
        <v>70.760615428149151</v>
      </c>
      <c r="E6733" t="s">
        <v>93</v>
      </c>
      <c r="F6733">
        <v>509</v>
      </c>
      <c r="G6733" s="4">
        <v>46087.604456018518</v>
      </c>
    </row>
    <row r="6734" spans="1:7" x14ac:dyDescent="0.3">
      <c r="A6734">
        <v>24628</v>
      </c>
      <c r="B6734" t="s">
        <v>150</v>
      </c>
      <c r="C6734">
        <v>51019555</v>
      </c>
      <c r="D6734">
        <v>42.91607040358079</v>
      </c>
      <c r="E6734" t="s">
        <v>94</v>
      </c>
      <c r="F6734">
        <v>778</v>
      </c>
      <c r="G6734" s="4">
        <v>46087.604456018518</v>
      </c>
    </row>
    <row r="6735" spans="1:7" x14ac:dyDescent="0.3">
      <c r="A6735">
        <v>24629</v>
      </c>
      <c r="B6735" t="s">
        <v>150</v>
      </c>
      <c r="C6735">
        <v>51009991</v>
      </c>
      <c r="D6735">
        <v>73.939655404458122</v>
      </c>
      <c r="E6735" t="s">
        <v>93</v>
      </c>
      <c r="F6735">
        <v>480</v>
      </c>
      <c r="G6735" s="4">
        <v>46087.604456018518</v>
      </c>
    </row>
    <row r="6736" spans="1:7" x14ac:dyDescent="0.3">
      <c r="A6736">
        <v>24630</v>
      </c>
      <c r="B6736" t="s">
        <v>150</v>
      </c>
      <c r="C6736">
        <v>51025822</v>
      </c>
      <c r="D6736">
        <v>82.173131741201132</v>
      </c>
      <c r="E6736" t="s">
        <v>93</v>
      </c>
      <c r="F6736">
        <v>384</v>
      </c>
      <c r="G6736" s="4">
        <v>46087.604456018518</v>
      </c>
    </row>
    <row r="6737" spans="1:7" x14ac:dyDescent="0.3">
      <c r="A6737">
        <v>24631</v>
      </c>
      <c r="B6737" t="s">
        <v>150</v>
      </c>
      <c r="C6737">
        <v>51012500</v>
      </c>
      <c r="D6737">
        <v>61.30852284820341</v>
      </c>
      <c r="E6737" t="s">
        <v>93</v>
      </c>
      <c r="F6737">
        <v>593</v>
      </c>
      <c r="G6737" s="4">
        <v>46087.604456018518</v>
      </c>
    </row>
    <row r="6738" spans="1:7" x14ac:dyDescent="0.3">
      <c r="A6738">
        <v>24632</v>
      </c>
      <c r="B6738" t="s">
        <v>150</v>
      </c>
      <c r="C6738">
        <v>51015797</v>
      </c>
      <c r="D6738">
        <v>87.135268791688162</v>
      </c>
      <c r="E6738" t="s">
        <v>92</v>
      </c>
      <c r="F6738">
        <v>223</v>
      </c>
      <c r="G6738" s="4">
        <v>46087.604456018518</v>
      </c>
    </row>
    <row r="6739" spans="1:7" x14ac:dyDescent="0.3">
      <c r="A6739">
        <v>24633</v>
      </c>
      <c r="B6739" t="s">
        <v>150</v>
      </c>
      <c r="C6739">
        <v>51014782</v>
      </c>
      <c r="D6739">
        <v>79.62048401262561</v>
      </c>
      <c r="E6739" t="s">
        <v>93</v>
      </c>
      <c r="F6739">
        <v>446</v>
      </c>
      <c r="G6739" s="4">
        <v>46087.604456018518</v>
      </c>
    </row>
    <row r="6740" spans="1:7" x14ac:dyDescent="0.3">
      <c r="A6740">
        <v>24634</v>
      </c>
      <c r="B6740" t="s">
        <v>150</v>
      </c>
      <c r="C6740">
        <v>51013077</v>
      </c>
      <c r="D6740">
        <v>90.11081926586742</v>
      </c>
      <c r="E6740" t="s">
        <v>92</v>
      </c>
      <c r="F6740">
        <v>133</v>
      </c>
      <c r="G6740" s="4">
        <v>46087.604456018518</v>
      </c>
    </row>
    <row r="6741" spans="1:7" x14ac:dyDescent="0.3">
      <c r="A6741">
        <v>24635</v>
      </c>
      <c r="B6741" t="s">
        <v>150</v>
      </c>
      <c r="C6741">
        <v>51002539</v>
      </c>
      <c r="D6741">
        <v>39.165184479902052</v>
      </c>
      <c r="E6741" t="s">
        <v>94</v>
      </c>
      <c r="F6741">
        <v>791</v>
      </c>
      <c r="G6741" s="4">
        <v>46087.604456018518</v>
      </c>
    </row>
    <row r="6742" spans="1:7" x14ac:dyDescent="0.3">
      <c r="A6742">
        <v>24636</v>
      </c>
      <c r="B6742" t="s">
        <v>150</v>
      </c>
      <c r="C6742">
        <v>51031806</v>
      </c>
      <c r="D6742">
        <v>36.561401391766424</v>
      </c>
      <c r="E6742" t="s">
        <v>94</v>
      </c>
      <c r="F6742">
        <v>801</v>
      </c>
      <c r="G6742" s="4">
        <v>46087.604456018518</v>
      </c>
    </row>
    <row r="6743" spans="1:7" x14ac:dyDescent="0.3">
      <c r="A6743">
        <v>24637</v>
      </c>
      <c r="B6743" t="s">
        <v>150</v>
      </c>
      <c r="C6743">
        <v>51044410</v>
      </c>
      <c r="D6743">
        <v>52.434946690491607</v>
      </c>
      <c r="E6743" t="s">
        <v>94</v>
      </c>
      <c r="F6743">
        <v>727</v>
      </c>
      <c r="G6743" s="4">
        <v>46087.604456018518</v>
      </c>
    </row>
    <row r="6744" spans="1:7" x14ac:dyDescent="0.3">
      <c r="A6744">
        <v>24638</v>
      </c>
      <c r="B6744" t="s">
        <v>150</v>
      </c>
      <c r="C6744">
        <v>51033248</v>
      </c>
      <c r="D6744">
        <v>27.977624584608694</v>
      </c>
      <c r="E6744" t="s">
        <v>94</v>
      </c>
      <c r="F6744">
        <v>886</v>
      </c>
      <c r="G6744" s="4">
        <v>46087.604456018518</v>
      </c>
    </row>
    <row r="6745" spans="1:7" x14ac:dyDescent="0.3">
      <c r="A6745">
        <v>24639</v>
      </c>
      <c r="B6745" t="s">
        <v>150</v>
      </c>
      <c r="C6745">
        <v>51025318</v>
      </c>
      <c r="D6745">
        <v>82.042381910655507</v>
      </c>
      <c r="E6745" t="s">
        <v>93</v>
      </c>
      <c r="F6745">
        <v>385</v>
      </c>
      <c r="G6745" s="4">
        <v>46087.604456018518</v>
      </c>
    </row>
    <row r="6746" spans="1:7" x14ac:dyDescent="0.3">
      <c r="A6746">
        <v>24640</v>
      </c>
      <c r="B6746" t="s">
        <v>150</v>
      </c>
      <c r="C6746">
        <v>51031687</v>
      </c>
      <c r="D6746">
        <v>81.110346770370896</v>
      </c>
      <c r="E6746" t="s">
        <v>93</v>
      </c>
      <c r="F6746">
        <v>410</v>
      </c>
      <c r="G6746" s="4">
        <v>46087.604456018518</v>
      </c>
    </row>
    <row r="6747" spans="1:7" x14ac:dyDescent="0.3">
      <c r="A6747">
        <v>24641</v>
      </c>
      <c r="B6747" t="s">
        <v>150</v>
      </c>
      <c r="C6747">
        <v>51055861</v>
      </c>
      <c r="D6747">
        <v>55.350875450668553</v>
      </c>
      <c r="E6747" t="s">
        <v>94</v>
      </c>
      <c r="F6747">
        <v>711</v>
      </c>
      <c r="G6747" s="4">
        <v>46087.604456018518</v>
      </c>
    </row>
    <row r="6748" spans="1:7" x14ac:dyDescent="0.3">
      <c r="A6748">
        <v>24642</v>
      </c>
      <c r="B6748" t="s">
        <v>150</v>
      </c>
      <c r="C6748">
        <v>51019407</v>
      </c>
      <c r="D6748">
        <v>62.438091778559233</v>
      </c>
      <c r="E6748" t="s">
        <v>93</v>
      </c>
      <c r="F6748">
        <v>570</v>
      </c>
      <c r="G6748" s="4">
        <v>46087.604456018518</v>
      </c>
    </row>
    <row r="6749" spans="1:7" x14ac:dyDescent="0.3">
      <c r="A6749">
        <v>24643</v>
      </c>
      <c r="B6749" t="s">
        <v>150</v>
      </c>
      <c r="C6749">
        <v>51012411</v>
      </c>
      <c r="D6749">
        <v>71.352468377478871</v>
      </c>
      <c r="E6749" t="s">
        <v>93</v>
      </c>
      <c r="F6749">
        <v>503</v>
      </c>
      <c r="G6749" s="4">
        <v>46087.604456018518</v>
      </c>
    </row>
    <row r="6750" spans="1:7" x14ac:dyDescent="0.3">
      <c r="A6750">
        <v>24644</v>
      </c>
      <c r="B6750" t="s">
        <v>150</v>
      </c>
      <c r="C6750">
        <v>51020171</v>
      </c>
      <c r="D6750">
        <v>28.703063669215865</v>
      </c>
      <c r="E6750" t="s">
        <v>94</v>
      </c>
      <c r="F6750">
        <v>878</v>
      </c>
      <c r="G6750" s="4">
        <v>46087.604456018518</v>
      </c>
    </row>
    <row r="6751" spans="1:7" x14ac:dyDescent="0.3">
      <c r="A6751">
        <v>24645</v>
      </c>
      <c r="B6751" t="s">
        <v>150</v>
      </c>
      <c r="C6751">
        <v>51029488</v>
      </c>
      <c r="D6751">
        <v>51.07542255407224</v>
      </c>
      <c r="E6751" t="s">
        <v>94</v>
      </c>
      <c r="F6751">
        <v>734</v>
      </c>
      <c r="G6751" s="4">
        <v>46087.604456018518</v>
      </c>
    </row>
    <row r="6752" spans="1:7" x14ac:dyDescent="0.3">
      <c r="A6752">
        <v>24646</v>
      </c>
      <c r="B6752" t="s">
        <v>150</v>
      </c>
      <c r="C6752">
        <v>51017633</v>
      </c>
      <c r="D6752">
        <v>85.456863995021337</v>
      </c>
      <c r="E6752" t="s">
        <v>93</v>
      </c>
      <c r="F6752">
        <v>270</v>
      </c>
      <c r="G6752" s="4">
        <v>46087.604456018518</v>
      </c>
    </row>
    <row r="6753" spans="1:7" x14ac:dyDescent="0.3">
      <c r="A6753">
        <v>24647</v>
      </c>
      <c r="B6753" t="s">
        <v>150</v>
      </c>
      <c r="C6753">
        <v>51056663</v>
      </c>
      <c r="D6753">
        <v>85.411850721505743</v>
      </c>
      <c r="E6753" t="s">
        <v>93</v>
      </c>
      <c r="F6753">
        <v>273</v>
      </c>
      <c r="G6753" s="4">
        <v>46087.604456018518</v>
      </c>
    </row>
    <row r="6754" spans="1:7" x14ac:dyDescent="0.3">
      <c r="A6754">
        <v>24648</v>
      </c>
      <c r="B6754" t="s">
        <v>150</v>
      </c>
      <c r="C6754">
        <v>51026063</v>
      </c>
      <c r="D6754">
        <v>87.910195832450412</v>
      </c>
      <c r="E6754" t="s">
        <v>92</v>
      </c>
      <c r="F6754">
        <v>202</v>
      </c>
      <c r="G6754" s="4">
        <v>46087.604456018518</v>
      </c>
    </row>
    <row r="6755" spans="1:7" x14ac:dyDescent="0.3">
      <c r="A6755">
        <v>24649</v>
      </c>
      <c r="B6755" t="s">
        <v>150</v>
      </c>
      <c r="C6755">
        <v>51043995</v>
      </c>
      <c r="D6755">
        <v>92.072804539448683</v>
      </c>
      <c r="E6755" t="s">
        <v>92</v>
      </c>
      <c r="F6755">
        <v>106</v>
      </c>
      <c r="G6755" s="4">
        <v>46087.604456018518</v>
      </c>
    </row>
    <row r="6756" spans="1:7" x14ac:dyDescent="0.3">
      <c r="A6756">
        <v>24650</v>
      </c>
      <c r="B6756" t="s">
        <v>150</v>
      </c>
      <c r="C6756">
        <v>51011074</v>
      </c>
      <c r="D6756">
        <v>55.554369360001914</v>
      </c>
      <c r="E6756" t="s">
        <v>94</v>
      </c>
      <c r="F6756">
        <v>708</v>
      </c>
      <c r="G6756" s="4">
        <v>46087.604456018518</v>
      </c>
    </row>
    <row r="6757" spans="1:7" x14ac:dyDescent="0.3">
      <c r="A6757">
        <v>24651</v>
      </c>
      <c r="B6757" t="s">
        <v>150</v>
      </c>
      <c r="C6757">
        <v>51003225</v>
      </c>
      <c r="D6757">
        <v>62.582398039770979</v>
      </c>
      <c r="E6757" t="s">
        <v>93</v>
      </c>
      <c r="F6757">
        <v>566</v>
      </c>
      <c r="G6757" s="4">
        <v>46087.604456018518</v>
      </c>
    </row>
    <row r="6758" spans="1:7" x14ac:dyDescent="0.3">
      <c r="A6758">
        <v>24652</v>
      </c>
      <c r="B6758" t="s">
        <v>150</v>
      </c>
      <c r="C6758">
        <v>51024966</v>
      </c>
      <c r="D6758">
        <v>80.167111648492039</v>
      </c>
      <c r="E6758" t="s">
        <v>93</v>
      </c>
      <c r="F6758">
        <v>435</v>
      </c>
      <c r="G6758" s="4">
        <v>46087.604456018518</v>
      </c>
    </row>
    <row r="6759" spans="1:7" x14ac:dyDescent="0.3">
      <c r="A6759">
        <v>24653</v>
      </c>
      <c r="B6759" t="s">
        <v>150</v>
      </c>
      <c r="C6759">
        <v>51038673</v>
      </c>
      <c r="D6759">
        <v>20.190787433396789</v>
      </c>
      <c r="E6759" t="s">
        <v>95</v>
      </c>
      <c r="F6759">
        <v>976</v>
      </c>
      <c r="G6759" s="4">
        <v>46087.604456018518</v>
      </c>
    </row>
    <row r="6760" spans="1:7" x14ac:dyDescent="0.3">
      <c r="A6760">
        <v>24654</v>
      </c>
      <c r="B6760" t="s">
        <v>150</v>
      </c>
      <c r="C6760">
        <v>51013271</v>
      </c>
      <c r="D6760">
        <v>77.026886093518399</v>
      </c>
      <c r="E6760" t="s">
        <v>93</v>
      </c>
      <c r="F6760">
        <v>457</v>
      </c>
      <c r="G6760" s="4">
        <v>46087.604456018518</v>
      </c>
    </row>
    <row r="6761" spans="1:7" x14ac:dyDescent="0.3">
      <c r="A6761">
        <v>24655</v>
      </c>
      <c r="B6761" t="s">
        <v>150</v>
      </c>
      <c r="C6761">
        <v>51038894</v>
      </c>
      <c r="D6761">
        <v>71.165213579096232</v>
      </c>
      <c r="E6761" t="s">
        <v>93</v>
      </c>
      <c r="F6761">
        <v>507</v>
      </c>
      <c r="G6761" s="4">
        <v>46087.604456018518</v>
      </c>
    </row>
    <row r="6762" spans="1:7" x14ac:dyDescent="0.3">
      <c r="A6762">
        <v>24656</v>
      </c>
      <c r="B6762" t="s">
        <v>150</v>
      </c>
      <c r="C6762">
        <v>51021843</v>
      </c>
      <c r="D6762">
        <v>70.425567694389414</v>
      </c>
      <c r="E6762" t="s">
        <v>93</v>
      </c>
      <c r="F6762">
        <v>510</v>
      </c>
      <c r="G6762" s="4">
        <v>46087.604456018518</v>
      </c>
    </row>
    <row r="6763" spans="1:7" x14ac:dyDescent="0.3">
      <c r="A6763">
        <v>24657</v>
      </c>
      <c r="B6763" t="s">
        <v>150</v>
      </c>
      <c r="C6763">
        <v>51024109</v>
      </c>
      <c r="D6763">
        <v>73.235877286999937</v>
      </c>
      <c r="E6763" t="s">
        <v>93</v>
      </c>
      <c r="F6763">
        <v>487</v>
      </c>
      <c r="G6763" s="4">
        <v>46087.604456018518</v>
      </c>
    </row>
    <row r="6764" spans="1:7" x14ac:dyDescent="0.3">
      <c r="A6764">
        <v>24658</v>
      </c>
      <c r="B6764" t="s">
        <v>150</v>
      </c>
      <c r="C6764">
        <v>51056159</v>
      </c>
      <c r="D6764">
        <v>96.780822148083658</v>
      </c>
      <c r="E6764" t="s">
        <v>275</v>
      </c>
      <c r="F6764">
        <v>49</v>
      </c>
      <c r="G6764" s="4">
        <v>46087.604456018518</v>
      </c>
    </row>
    <row r="6765" spans="1:7" x14ac:dyDescent="0.3">
      <c r="A6765">
        <v>24659</v>
      </c>
      <c r="B6765" t="s">
        <v>150</v>
      </c>
      <c r="C6765">
        <v>51036981</v>
      </c>
      <c r="D6765">
        <v>57.760926648589873</v>
      </c>
      <c r="E6765" t="s">
        <v>94</v>
      </c>
      <c r="F6765">
        <v>670</v>
      </c>
      <c r="G6765" s="4">
        <v>46087.604456018518</v>
      </c>
    </row>
    <row r="6766" spans="1:7" x14ac:dyDescent="0.3">
      <c r="A6766">
        <v>24660</v>
      </c>
      <c r="B6766" t="s">
        <v>150</v>
      </c>
      <c r="C6766">
        <v>51032519</v>
      </c>
      <c r="D6766">
        <v>60.120707844615694</v>
      </c>
      <c r="E6766" t="s">
        <v>94</v>
      </c>
      <c r="F6766">
        <v>618</v>
      </c>
      <c r="G6766" s="4">
        <v>46087.604456018518</v>
      </c>
    </row>
    <row r="6767" spans="1:7" x14ac:dyDescent="0.3">
      <c r="A6767">
        <v>24661</v>
      </c>
      <c r="B6767" t="s">
        <v>150</v>
      </c>
      <c r="C6767">
        <v>51055519</v>
      </c>
      <c r="D6767">
        <v>22.878822920523785</v>
      </c>
      <c r="E6767" t="s">
        <v>94</v>
      </c>
      <c r="F6767">
        <v>935</v>
      </c>
      <c r="G6767" s="4">
        <v>46087.604456018518</v>
      </c>
    </row>
    <row r="6768" spans="1:7" x14ac:dyDescent="0.3">
      <c r="A6768">
        <v>24662</v>
      </c>
      <c r="B6768" t="s">
        <v>150</v>
      </c>
      <c r="C6768">
        <v>51032969</v>
      </c>
      <c r="D6768">
        <v>56.039676696154793</v>
      </c>
      <c r="E6768" t="s">
        <v>94</v>
      </c>
      <c r="F6768">
        <v>702</v>
      </c>
      <c r="G6768" s="4">
        <v>46087.604456018518</v>
      </c>
    </row>
    <row r="6769" spans="1:7" x14ac:dyDescent="0.3">
      <c r="A6769">
        <v>24663</v>
      </c>
      <c r="B6769" t="s">
        <v>150</v>
      </c>
      <c r="C6769">
        <v>51017587</v>
      </c>
      <c r="D6769">
        <v>82.907366267822283</v>
      </c>
      <c r="E6769" t="s">
        <v>93</v>
      </c>
      <c r="F6769">
        <v>358</v>
      </c>
      <c r="G6769" s="4">
        <v>46087.604456018518</v>
      </c>
    </row>
    <row r="6770" spans="1:7" x14ac:dyDescent="0.3">
      <c r="A6770">
        <v>24664</v>
      </c>
      <c r="B6770" t="s">
        <v>150</v>
      </c>
      <c r="C6770">
        <v>51018214</v>
      </c>
      <c r="D6770">
        <v>67.905412347352254</v>
      </c>
      <c r="E6770" t="s">
        <v>93</v>
      </c>
      <c r="F6770">
        <v>530</v>
      </c>
      <c r="G6770" s="4">
        <v>46087.604456018518</v>
      </c>
    </row>
    <row r="6771" spans="1:7" x14ac:dyDescent="0.3">
      <c r="A6771">
        <v>24665</v>
      </c>
      <c r="B6771" t="s">
        <v>150</v>
      </c>
      <c r="C6771">
        <v>51016661</v>
      </c>
      <c r="D6771">
        <v>87.65797197169681</v>
      </c>
      <c r="E6771" t="s">
        <v>92</v>
      </c>
      <c r="F6771">
        <v>208</v>
      </c>
      <c r="G6771" s="4">
        <v>46087.604456018518</v>
      </c>
    </row>
    <row r="6772" spans="1:7" x14ac:dyDescent="0.3">
      <c r="A6772">
        <v>24666</v>
      </c>
      <c r="B6772" t="s">
        <v>150</v>
      </c>
      <c r="C6772">
        <v>51002296</v>
      </c>
      <c r="D6772">
        <v>83.164249848277777</v>
      </c>
      <c r="E6772" t="s">
        <v>93</v>
      </c>
      <c r="F6772">
        <v>347</v>
      </c>
      <c r="G6772" s="4">
        <v>46087.604456018518</v>
      </c>
    </row>
    <row r="6773" spans="1:7" x14ac:dyDescent="0.3">
      <c r="A6773">
        <v>24667</v>
      </c>
      <c r="B6773" t="s">
        <v>150</v>
      </c>
      <c r="C6773">
        <v>51016998</v>
      </c>
      <c r="D6773">
        <v>20.406004553499191</v>
      </c>
      <c r="E6773" t="s">
        <v>95</v>
      </c>
      <c r="F6773">
        <v>972</v>
      </c>
      <c r="G6773" s="4">
        <v>46087.604456018518</v>
      </c>
    </row>
    <row r="6774" spans="1:7" x14ac:dyDescent="0.3">
      <c r="A6774">
        <v>24668</v>
      </c>
      <c r="B6774" t="s">
        <v>150</v>
      </c>
      <c r="C6774">
        <v>51005325</v>
      </c>
      <c r="D6774">
        <v>58.55266801085255</v>
      </c>
      <c r="E6774" t="s">
        <v>94</v>
      </c>
      <c r="F6774">
        <v>647</v>
      </c>
      <c r="G6774" s="4">
        <v>46087.604456018518</v>
      </c>
    </row>
    <row r="6775" spans="1:7" x14ac:dyDescent="0.3">
      <c r="A6775">
        <v>24669</v>
      </c>
      <c r="B6775" t="s">
        <v>150</v>
      </c>
      <c r="C6775">
        <v>51011937</v>
      </c>
      <c r="D6775">
        <v>81.620566549313551</v>
      </c>
      <c r="E6775" t="s">
        <v>93</v>
      </c>
      <c r="F6775">
        <v>395</v>
      </c>
      <c r="G6775" s="4">
        <v>46087.604456018518</v>
      </c>
    </row>
    <row r="6776" spans="1:7" x14ac:dyDescent="0.3">
      <c r="A6776">
        <v>24670</v>
      </c>
      <c r="B6776" t="s">
        <v>150</v>
      </c>
      <c r="C6776">
        <v>51033191</v>
      </c>
      <c r="D6776">
        <v>50.338062970148052</v>
      </c>
      <c r="E6776" t="s">
        <v>94</v>
      </c>
      <c r="F6776">
        <v>738</v>
      </c>
      <c r="G6776" s="4">
        <v>46087.604456018518</v>
      </c>
    </row>
    <row r="6777" spans="1:7" x14ac:dyDescent="0.3">
      <c r="A6777">
        <v>24671</v>
      </c>
      <c r="B6777" t="s">
        <v>150</v>
      </c>
      <c r="C6777">
        <v>51032560</v>
      </c>
      <c r="D6777">
        <v>93.595920878187215</v>
      </c>
      <c r="E6777" t="s">
        <v>92</v>
      </c>
      <c r="F6777">
        <v>81</v>
      </c>
      <c r="G6777" s="4">
        <v>46087.604456018518</v>
      </c>
    </row>
    <row r="6778" spans="1:7" x14ac:dyDescent="0.3">
      <c r="A6778">
        <v>24672</v>
      </c>
      <c r="B6778" t="s">
        <v>150</v>
      </c>
      <c r="C6778">
        <v>51056302</v>
      </c>
      <c r="D6778">
        <v>67.732655747346911</v>
      </c>
      <c r="E6778" t="s">
        <v>93</v>
      </c>
      <c r="F6778">
        <v>533</v>
      </c>
      <c r="G6778" s="4">
        <v>46087.604456018518</v>
      </c>
    </row>
    <row r="6779" spans="1:7" x14ac:dyDescent="0.3">
      <c r="A6779">
        <v>24673</v>
      </c>
      <c r="B6779" t="s">
        <v>150</v>
      </c>
      <c r="C6779">
        <v>51032659</v>
      </c>
      <c r="D6779">
        <v>86.96022464793937</v>
      </c>
      <c r="E6779" t="s">
        <v>92</v>
      </c>
      <c r="F6779">
        <v>225</v>
      </c>
      <c r="G6779" s="4">
        <v>46087.604456018518</v>
      </c>
    </row>
    <row r="6780" spans="1:7" x14ac:dyDescent="0.3">
      <c r="A6780">
        <v>24674</v>
      </c>
      <c r="B6780" t="s">
        <v>150</v>
      </c>
      <c r="C6780">
        <v>51017129</v>
      </c>
      <c r="D6780">
        <v>83.189969919176406</v>
      </c>
      <c r="E6780" t="s">
        <v>93</v>
      </c>
      <c r="F6780">
        <v>343</v>
      </c>
      <c r="G6780" s="4">
        <v>46087.604456018518</v>
      </c>
    </row>
    <row r="6781" spans="1:7" x14ac:dyDescent="0.3">
      <c r="A6781">
        <v>24675</v>
      </c>
      <c r="B6781" t="s">
        <v>150</v>
      </c>
      <c r="C6781">
        <v>51036191</v>
      </c>
      <c r="D6781">
        <v>57.904272499356686</v>
      </c>
      <c r="E6781" t="s">
        <v>94</v>
      </c>
      <c r="F6781">
        <v>665</v>
      </c>
      <c r="G6781" s="4">
        <v>46087.604456018518</v>
      </c>
    </row>
    <row r="6782" spans="1:7" x14ac:dyDescent="0.3">
      <c r="A6782">
        <v>24676</v>
      </c>
      <c r="B6782" t="s">
        <v>150</v>
      </c>
      <c r="C6782">
        <v>51011562</v>
      </c>
      <c r="D6782">
        <v>61.04555963314214</v>
      </c>
      <c r="E6782" t="s">
        <v>93</v>
      </c>
      <c r="F6782">
        <v>596</v>
      </c>
      <c r="G6782" s="4">
        <v>46087.604456018518</v>
      </c>
    </row>
    <row r="6783" spans="1:7" x14ac:dyDescent="0.3">
      <c r="A6783">
        <v>24677</v>
      </c>
      <c r="B6783" t="s">
        <v>150</v>
      </c>
      <c r="C6783">
        <v>51018346</v>
      </c>
      <c r="D6783">
        <v>98.614959653968398</v>
      </c>
      <c r="E6783" t="s">
        <v>275</v>
      </c>
      <c r="F6783">
        <v>29</v>
      </c>
      <c r="G6783" s="4">
        <v>46087.604456018518</v>
      </c>
    </row>
    <row r="6784" spans="1:7" x14ac:dyDescent="0.3">
      <c r="A6784">
        <v>24678</v>
      </c>
      <c r="B6784" t="s">
        <v>150</v>
      </c>
      <c r="C6784">
        <v>51042514</v>
      </c>
      <c r="D6784">
        <v>57.900254020767861</v>
      </c>
      <c r="E6784" t="s">
        <v>94</v>
      </c>
      <c r="F6784">
        <v>666</v>
      </c>
      <c r="G6784" s="4">
        <v>46087.604456018518</v>
      </c>
    </row>
    <row r="6785" spans="1:7" x14ac:dyDescent="0.3">
      <c r="A6785">
        <v>24679</v>
      </c>
      <c r="B6785" t="s">
        <v>150</v>
      </c>
      <c r="C6785">
        <v>51056906</v>
      </c>
      <c r="D6785">
        <v>76.450398752375335</v>
      </c>
      <c r="E6785" t="s">
        <v>93</v>
      </c>
      <c r="F6785">
        <v>460</v>
      </c>
      <c r="G6785" s="4">
        <v>46087.604456018518</v>
      </c>
    </row>
    <row r="6786" spans="1:7" x14ac:dyDescent="0.3">
      <c r="A6786">
        <v>24680</v>
      </c>
      <c r="B6786" t="s">
        <v>150</v>
      </c>
      <c r="C6786">
        <v>51043375</v>
      </c>
      <c r="D6786">
        <v>90.962638596343766</v>
      </c>
      <c r="E6786" t="s">
        <v>92</v>
      </c>
      <c r="F6786">
        <v>116</v>
      </c>
      <c r="G6786" s="4">
        <v>46087.604456018518</v>
      </c>
    </row>
    <row r="6787" spans="1:7" x14ac:dyDescent="0.3">
      <c r="A6787">
        <v>24681</v>
      </c>
      <c r="B6787" t="s">
        <v>150</v>
      </c>
      <c r="C6787">
        <v>51055691</v>
      </c>
      <c r="D6787">
        <v>50.222750355871504</v>
      </c>
      <c r="E6787" t="s">
        <v>94</v>
      </c>
      <c r="F6787">
        <v>740</v>
      </c>
      <c r="G6787" s="4">
        <v>46087.604456018518</v>
      </c>
    </row>
    <row r="6788" spans="1:7" x14ac:dyDescent="0.3">
      <c r="A6788">
        <v>24682</v>
      </c>
      <c r="B6788" t="s">
        <v>150</v>
      </c>
      <c r="C6788">
        <v>51018958</v>
      </c>
      <c r="D6788">
        <v>96.955509644826165</v>
      </c>
      <c r="E6788" t="s">
        <v>275</v>
      </c>
      <c r="F6788">
        <v>47</v>
      </c>
      <c r="G6788" s="4">
        <v>46087.604456018518</v>
      </c>
    </row>
    <row r="6789" spans="1:7" x14ac:dyDescent="0.3">
      <c r="A6789">
        <v>24683</v>
      </c>
      <c r="B6789" t="s">
        <v>150</v>
      </c>
      <c r="C6789">
        <v>51054903</v>
      </c>
      <c r="D6789">
        <v>83.487901956149557</v>
      </c>
      <c r="E6789" t="s">
        <v>93</v>
      </c>
      <c r="F6789">
        <v>333</v>
      </c>
      <c r="G6789" s="4">
        <v>46087.604456018518</v>
      </c>
    </row>
    <row r="6790" spans="1:7" x14ac:dyDescent="0.3">
      <c r="A6790">
        <v>24684</v>
      </c>
      <c r="B6790" t="s">
        <v>150</v>
      </c>
      <c r="C6790">
        <v>51022084</v>
      </c>
      <c r="D6790">
        <v>58.034836893969178</v>
      </c>
      <c r="E6790" t="s">
        <v>94</v>
      </c>
      <c r="F6790">
        <v>661</v>
      </c>
      <c r="G6790" s="4">
        <v>46087.604456018518</v>
      </c>
    </row>
    <row r="6791" spans="1:7" x14ac:dyDescent="0.3">
      <c r="A6791">
        <v>24685</v>
      </c>
      <c r="B6791" t="s">
        <v>150</v>
      </c>
      <c r="C6791">
        <v>51019202</v>
      </c>
      <c r="D6791">
        <v>68.987681545528815</v>
      </c>
      <c r="E6791" t="s">
        <v>93</v>
      </c>
      <c r="F6791">
        <v>520</v>
      </c>
      <c r="G6791" s="4">
        <v>46087.604456018518</v>
      </c>
    </row>
    <row r="6792" spans="1:7" x14ac:dyDescent="0.3">
      <c r="A6792">
        <v>24686</v>
      </c>
      <c r="B6792" t="s">
        <v>150</v>
      </c>
      <c r="C6792">
        <v>51054920</v>
      </c>
      <c r="D6792">
        <v>24.082245147149809</v>
      </c>
      <c r="E6792" t="s">
        <v>94</v>
      </c>
      <c r="F6792">
        <v>919</v>
      </c>
      <c r="G6792" s="4">
        <v>46087.604456018518</v>
      </c>
    </row>
    <row r="6793" spans="1:7" x14ac:dyDescent="0.3">
      <c r="A6793">
        <v>24687</v>
      </c>
      <c r="B6793" t="s">
        <v>150</v>
      </c>
      <c r="C6793">
        <v>51010663</v>
      </c>
      <c r="D6793">
        <v>84.159873964833949</v>
      </c>
      <c r="E6793" t="s">
        <v>93</v>
      </c>
      <c r="F6793">
        <v>315</v>
      </c>
      <c r="G6793" s="4">
        <v>46087.604456018518</v>
      </c>
    </row>
    <row r="6794" spans="1:7" x14ac:dyDescent="0.3">
      <c r="A6794">
        <v>24688</v>
      </c>
      <c r="B6794" t="s">
        <v>150</v>
      </c>
      <c r="C6794">
        <v>51016866</v>
      </c>
      <c r="D6794">
        <v>18.488303653017397</v>
      </c>
      <c r="E6794" t="s">
        <v>95</v>
      </c>
      <c r="F6794">
        <v>1019</v>
      </c>
      <c r="G6794" s="4">
        <v>46087.604456018518</v>
      </c>
    </row>
    <row r="6795" spans="1:7" x14ac:dyDescent="0.3">
      <c r="A6795">
        <v>24689</v>
      </c>
      <c r="B6795" t="s">
        <v>150</v>
      </c>
      <c r="C6795">
        <v>51030184</v>
      </c>
      <c r="D6795">
        <v>49.221687443330033</v>
      </c>
      <c r="E6795" t="s">
        <v>94</v>
      </c>
      <c r="F6795">
        <v>748</v>
      </c>
      <c r="G6795" s="4">
        <v>46087.604456018518</v>
      </c>
    </row>
    <row r="6796" spans="1:7" x14ac:dyDescent="0.3">
      <c r="A6796">
        <v>24690</v>
      </c>
      <c r="B6796" t="s">
        <v>150</v>
      </c>
      <c r="C6796">
        <v>51015428</v>
      </c>
      <c r="D6796">
        <v>60.057828319448539</v>
      </c>
      <c r="E6796" t="s">
        <v>94</v>
      </c>
      <c r="F6796">
        <v>621</v>
      </c>
      <c r="G6796" s="4">
        <v>46087.604456018518</v>
      </c>
    </row>
    <row r="6797" spans="1:7" x14ac:dyDescent="0.3">
      <c r="A6797">
        <v>24691</v>
      </c>
      <c r="B6797" t="s">
        <v>150</v>
      </c>
      <c r="C6797">
        <v>51036557</v>
      </c>
      <c r="D6797">
        <v>21.565022870617728</v>
      </c>
      <c r="E6797" t="s">
        <v>95</v>
      </c>
      <c r="F6797">
        <v>955</v>
      </c>
      <c r="G6797" s="4">
        <v>46087.604456018518</v>
      </c>
    </row>
    <row r="6798" spans="1:7" x14ac:dyDescent="0.3">
      <c r="A6798">
        <v>24692</v>
      </c>
      <c r="B6798" t="s">
        <v>150</v>
      </c>
      <c r="C6798">
        <v>51056175</v>
      </c>
      <c r="D6798">
        <v>30.823790725020817</v>
      </c>
      <c r="E6798" t="s">
        <v>94</v>
      </c>
      <c r="F6798">
        <v>849</v>
      </c>
      <c r="G6798" s="4">
        <v>46087.604456018518</v>
      </c>
    </row>
    <row r="6799" spans="1:7" x14ac:dyDescent="0.3">
      <c r="A6799">
        <v>24693</v>
      </c>
      <c r="B6799" t="s">
        <v>150</v>
      </c>
      <c r="C6799">
        <v>51039190</v>
      </c>
      <c r="D6799">
        <v>76.099219357229998</v>
      </c>
      <c r="E6799" t="s">
        <v>93</v>
      </c>
      <c r="F6799">
        <v>464</v>
      </c>
      <c r="G6799" s="4">
        <v>46087.604456018518</v>
      </c>
    </row>
    <row r="6800" spans="1:7" x14ac:dyDescent="0.3">
      <c r="A6800">
        <v>24694</v>
      </c>
      <c r="B6800" t="s">
        <v>150</v>
      </c>
      <c r="C6800">
        <v>51056604</v>
      </c>
      <c r="D6800">
        <v>55.874253327417513</v>
      </c>
      <c r="E6800" t="s">
        <v>94</v>
      </c>
      <c r="F6800">
        <v>704</v>
      </c>
      <c r="G6800" s="4">
        <v>46087.604456018518</v>
      </c>
    </row>
    <row r="6801" spans="1:7" x14ac:dyDescent="0.3">
      <c r="A6801">
        <v>24695</v>
      </c>
      <c r="B6801" t="s">
        <v>150</v>
      </c>
      <c r="C6801">
        <v>51021789</v>
      </c>
      <c r="D6801">
        <v>72.779973174340512</v>
      </c>
      <c r="E6801" t="s">
        <v>93</v>
      </c>
      <c r="F6801">
        <v>492</v>
      </c>
      <c r="G6801" s="4">
        <v>46087.604456018518</v>
      </c>
    </row>
    <row r="6802" spans="1:7" x14ac:dyDescent="0.3">
      <c r="A6802">
        <v>24696</v>
      </c>
      <c r="B6802" t="s">
        <v>150</v>
      </c>
      <c r="C6802">
        <v>51056795</v>
      </c>
      <c r="D6802">
        <v>55.399445272079767</v>
      </c>
      <c r="E6802" t="s">
        <v>94</v>
      </c>
      <c r="F6802">
        <v>710</v>
      </c>
      <c r="G6802" s="4">
        <v>46087.604456018518</v>
      </c>
    </row>
    <row r="6803" spans="1:7" x14ac:dyDescent="0.3">
      <c r="A6803">
        <v>24697</v>
      </c>
      <c r="B6803" t="s">
        <v>150</v>
      </c>
      <c r="C6803">
        <v>51056931</v>
      </c>
      <c r="D6803">
        <v>22.528651021833227</v>
      </c>
      <c r="E6803" t="s">
        <v>94</v>
      </c>
      <c r="F6803">
        <v>943</v>
      </c>
      <c r="G6803" s="4">
        <v>46087.604456018518</v>
      </c>
    </row>
    <row r="6804" spans="1:7" x14ac:dyDescent="0.3">
      <c r="A6804">
        <v>24698</v>
      </c>
      <c r="B6804" t="s">
        <v>150</v>
      </c>
      <c r="C6804">
        <v>51014120</v>
      </c>
      <c r="D6804">
        <v>66.39189343516027</v>
      </c>
      <c r="E6804" t="s">
        <v>93</v>
      </c>
      <c r="F6804">
        <v>540</v>
      </c>
      <c r="G6804" s="4">
        <v>46087.604456018518</v>
      </c>
    </row>
    <row r="6805" spans="1:7" x14ac:dyDescent="0.3">
      <c r="A6805">
        <v>24699</v>
      </c>
      <c r="B6805" t="s">
        <v>150</v>
      </c>
      <c r="C6805">
        <v>51036182</v>
      </c>
      <c r="D6805">
        <v>55.199131164776809</v>
      </c>
      <c r="E6805" t="s">
        <v>94</v>
      </c>
      <c r="F6805">
        <v>713</v>
      </c>
      <c r="G6805" s="4">
        <v>46087.604456018518</v>
      </c>
    </row>
    <row r="6806" spans="1:7" x14ac:dyDescent="0.3">
      <c r="A6806">
        <v>24700</v>
      </c>
      <c r="B6806" t="s">
        <v>150</v>
      </c>
      <c r="C6806">
        <v>51011465</v>
      </c>
      <c r="D6806">
        <v>27.449916541224475</v>
      </c>
      <c r="E6806" t="s">
        <v>94</v>
      </c>
      <c r="F6806">
        <v>894</v>
      </c>
      <c r="G6806" s="4">
        <v>46087.604456018518</v>
      </c>
    </row>
    <row r="6807" spans="1:7" x14ac:dyDescent="0.3">
      <c r="A6807">
        <v>24701</v>
      </c>
      <c r="B6807" t="s">
        <v>150</v>
      </c>
      <c r="C6807">
        <v>51006151</v>
      </c>
      <c r="D6807">
        <v>71.972990195617086</v>
      </c>
      <c r="E6807" t="s">
        <v>93</v>
      </c>
      <c r="F6807">
        <v>498</v>
      </c>
      <c r="G6807" s="4">
        <v>46087.604456018518</v>
      </c>
    </row>
    <row r="6808" spans="1:7" x14ac:dyDescent="0.3">
      <c r="A6808">
        <v>24702</v>
      </c>
      <c r="B6808" t="s">
        <v>150</v>
      </c>
      <c r="C6808">
        <v>51033418</v>
      </c>
      <c r="D6808">
        <v>25.156082913006134</v>
      </c>
      <c r="E6808" t="s">
        <v>94</v>
      </c>
      <c r="F6808">
        <v>914</v>
      </c>
      <c r="G6808" s="4">
        <v>46087.604456018518</v>
      </c>
    </row>
    <row r="6809" spans="1:7" x14ac:dyDescent="0.3">
      <c r="A6809">
        <v>24703</v>
      </c>
      <c r="B6809" t="s">
        <v>150</v>
      </c>
      <c r="C6809">
        <v>51007841</v>
      </c>
      <c r="D6809">
        <v>31.998175670519093</v>
      </c>
      <c r="E6809" t="s">
        <v>94</v>
      </c>
      <c r="F6809">
        <v>837</v>
      </c>
      <c r="G6809" s="4">
        <v>46087.604456018518</v>
      </c>
    </row>
    <row r="6810" spans="1:7" x14ac:dyDescent="0.3">
      <c r="A6810">
        <v>24704</v>
      </c>
      <c r="B6810" t="s">
        <v>150</v>
      </c>
      <c r="C6810">
        <v>51016602</v>
      </c>
      <c r="D6810">
        <v>30.393336348488774</v>
      </c>
      <c r="E6810" t="s">
        <v>94</v>
      </c>
      <c r="F6810">
        <v>857</v>
      </c>
      <c r="G6810" s="4">
        <v>46087.604456018518</v>
      </c>
    </row>
    <row r="6811" spans="1:7" x14ac:dyDescent="0.3">
      <c r="A6811">
        <v>24705</v>
      </c>
      <c r="B6811" t="s">
        <v>150</v>
      </c>
      <c r="C6811">
        <v>51036077</v>
      </c>
      <c r="D6811">
        <v>17.903569300695782</v>
      </c>
      <c r="E6811" t="s">
        <v>95</v>
      </c>
      <c r="F6811">
        <v>1032</v>
      </c>
      <c r="G6811" s="4">
        <v>46087.604456018518</v>
      </c>
    </row>
    <row r="6812" spans="1:7" x14ac:dyDescent="0.3">
      <c r="A6812">
        <v>24706</v>
      </c>
      <c r="B6812" t="s">
        <v>150</v>
      </c>
      <c r="C6812">
        <v>51013662</v>
      </c>
      <c r="D6812">
        <v>60.346231081699152</v>
      </c>
      <c r="E6812" t="s">
        <v>94</v>
      </c>
      <c r="F6812">
        <v>610</v>
      </c>
      <c r="G6812" s="4">
        <v>46087.604456018518</v>
      </c>
    </row>
    <row r="6813" spans="1:7" x14ac:dyDescent="0.3">
      <c r="A6813">
        <v>24707</v>
      </c>
      <c r="B6813" t="s">
        <v>150</v>
      </c>
      <c r="C6813">
        <v>51010248</v>
      </c>
      <c r="D6813">
        <v>87.228836148861646</v>
      </c>
      <c r="E6813" t="s">
        <v>92</v>
      </c>
      <c r="F6813">
        <v>220</v>
      </c>
      <c r="G6813" s="4">
        <v>46087.604456018518</v>
      </c>
    </row>
    <row r="6814" spans="1:7" x14ac:dyDescent="0.3">
      <c r="A6814">
        <v>24708</v>
      </c>
      <c r="B6814" t="s">
        <v>150</v>
      </c>
      <c r="C6814">
        <v>51055764</v>
      </c>
      <c r="D6814">
        <v>82.961113154279985</v>
      </c>
      <c r="E6814" t="s">
        <v>93</v>
      </c>
      <c r="F6814">
        <v>355</v>
      </c>
      <c r="G6814" s="4">
        <v>46087.604456018518</v>
      </c>
    </row>
    <row r="6815" spans="1:7" x14ac:dyDescent="0.3">
      <c r="A6815">
        <v>24709</v>
      </c>
      <c r="B6815" t="s">
        <v>150</v>
      </c>
      <c r="C6815">
        <v>51012496</v>
      </c>
      <c r="D6815">
        <v>89.02849482309631</v>
      </c>
      <c r="E6815" t="s">
        <v>92</v>
      </c>
      <c r="F6815">
        <v>166</v>
      </c>
      <c r="G6815" s="4">
        <v>46087.604456018518</v>
      </c>
    </row>
    <row r="6816" spans="1:7" x14ac:dyDescent="0.3">
      <c r="A6816">
        <v>24710</v>
      </c>
      <c r="B6816" t="s">
        <v>150</v>
      </c>
      <c r="C6816">
        <v>51016874</v>
      </c>
      <c r="D6816">
        <v>90.600971943216194</v>
      </c>
      <c r="E6816" t="s">
        <v>92</v>
      </c>
      <c r="F6816">
        <v>122</v>
      </c>
      <c r="G6816" s="4">
        <v>46087.604456018518</v>
      </c>
    </row>
    <row r="6817" spans="1:7" x14ac:dyDescent="0.3">
      <c r="A6817">
        <v>24711</v>
      </c>
      <c r="B6817" t="s">
        <v>150</v>
      </c>
      <c r="C6817">
        <v>51011481</v>
      </c>
      <c r="D6817">
        <v>49.422343194696204</v>
      </c>
      <c r="E6817" t="s">
        <v>94</v>
      </c>
      <c r="F6817">
        <v>747</v>
      </c>
      <c r="G6817" s="4">
        <v>46087.604456018518</v>
      </c>
    </row>
    <row r="6818" spans="1:7" x14ac:dyDescent="0.3">
      <c r="A6818">
        <v>24712</v>
      </c>
      <c r="B6818" t="s">
        <v>150</v>
      </c>
      <c r="C6818">
        <v>51042654</v>
      </c>
      <c r="D6818">
        <v>49.438541735991279</v>
      </c>
      <c r="E6818" t="s">
        <v>94</v>
      </c>
      <c r="F6818">
        <v>746</v>
      </c>
      <c r="G6818" s="4">
        <v>46087.604456018518</v>
      </c>
    </row>
    <row r="6819" spans="1:7" x14ac:dyDescent="0.3">
      <c r="A6819">
        <v>24713</v>
      </c>
      <c r="B6819" t="s">
        <v>150</v>
      </c>
      <c r="C6819">
        <v>51057074</v>
      </c>
      <c r="D6819">
        <v>54.197797016941919</v>
      </c>
      <c r="E6819" t="s">
        <v>94</v>
      </c>
      <c r="F6819">
        <v>723</v>
      </c>
      <c r="G6819" s="4">
        <v>46087.604456018518</v>
      </c>
    </row>
    <row r="6820" spans="1:7" x14ac:dyDescent="0.3">
      <c r="A6820">
        <v>24714</v>
      </c>
      <c r="B6820" t="s">
        <v>150</v>
      </c>
      <c r="C6820">
        <v>51042913</v>
      </c>
      <c r="D6820">
        <v>62.161635027959115</v>
      </c>
      <c r="E6820" t="s">
        <v>93</v>
      </c>
      <c r="F6820">
        <v>576</v>
      </c>
      <c r="G6820" s="4">
        <v>46087.604456018518</v>
      </c>
    </row>
    <row r="6821" spans="1:7" x14ac:dyDescent="0.3">
      <c r="A6821">
        <v>24715</v>
      </c>
      <c r="B6821" t="s">
        <v>150</v>
      </c>
      <c r="C6821">
        <v>51025857</v>
      </c>
      <c r="D6821">
        <v>46.226573963783018</v>
      </c>
      <c r="E6821" t="s">
        <v>94</v>
      </c>
      <c r="F6821">
        <v>764</v>
      </c>
      <c r="G6821" s="4">
        <v>46087.604456018518</v>
      </c>
    </row>
    <row r="6822" spans="1:7" x14ac:dyDescent="0.3">
      <c r="A6822">
        <v>24716</v>
      </c>
      <c r="B6822" t="s">
        <v>150</v>
      </c>
      <c r="C6822">
        <v>51026071</v>
      </c>
      <c r="D6822">
        <v>73.528489008236136</v>
      </c>
      <c r="E6822" t="s">
        <v>93</v>
      </c>
      <c r="F6822">
        <v>485</v>
      </c>
      <c r="G6822" s="4">
        <v>46087.604456018518</v>
      </c>
    </row>
    <row r="6823" spans="1:7" x14ac:dyDescent="0.3">
      <c r="A6823">
        <v>24717</v>
      </c>
      <c r="B6823" t="s">
        <v>150</v>
      </c>
      <c r="C6823">
        <v>51017595</v>
      </c>
      <c r="D6823">
        <v>50.423756269914328</v>
      </c>
      <c r="E6823" t="s">
        <v>94</v>
      </c>
      <c r="F6823">
        <v>737</v>
      </c>
      <c r="G6823" s="4">
        <v>46087.604456018518</v>
      </c>
    </row>
    <row r="6824" spans="1:7" x14ac:dyDescent="0.3">
      <c r="A6824">
        <v>24718</v>
      </c>
      <c r="B6824" t="s">
        <v>150</v>
      </c>
      <c r="C6824">
        <v>51014707</v>
      </c>
      <c r="D6824">
        <v>34.332371497182628</v>
      </c>
      <c r="E6824" t="s">
        <v>94</v>
      </c>
      <c r="F6824">
        <v>811</v>
      </c>
      <c r="G6824" s="4">
        <v>46087.604456018518</v>
      </c>
    </row>
    <row r="6825" spans="1:7" x14ac:dyDescent="0.3">
      <c r="A6825">
        <v>24719</v>
      </c>
      <c r="B6825" t="s">
        <v>150</v>
      </c>
      <c r="C6825">
        <v>51032390</v>
      </c>
      <c r="D6825">
        <v>26.747823129687383</v>
      </c>
      <c r="E6825" t="s">
        <v>94</v>
      </c>
      <c r="F6825">
        <v>901</v>
      </c>
      <c r="G6825" s="4">
        <v>46087.604456018518</v>
      </c>
    </row>
    <row r="6826" spans="1:7" x14ac:dyDescent="0.3">
      <c r="A6826">
        <v>24720</v>
      </c>
      <c r="B6826" t="s">
        <v>150</v>
      </c>
      <c r="C6826">
        <v>51030249</v>
      </c>
      <c r="D6826">
        <v>58.072038125868524</v>
      </c>
      <c r="E6826" t="s">
        <v>94</v>
      </c>
      <c r="F6826">
        <v>658</v>
      </c>
      <c r="G6826" s="4">
        <v>46087.604456018518</v>
      </c>
    </row>
    <row r="6827" spans="1:7" x14ac:dyDescent="0.3">
      <c r="A6827">
        <v>24721</v>
      </c>
      <c r="B6827" t="s">
        <v>150</v>
      </c>
      <c r="C6827">
        <v>51029518</v>
      </c>
      <c r="D6827">
        <v>59.699310224915401</v>
      </c>
      <c r="E6827" t="s">
        <v>94</v>
      </c>
      <c r="F6827">
        <v>625</v>
      </c>
      <c r="G6827" s="4">
        <v>46087.604456018518</v>
      </c>
    </row>
    <row r="6828" spans="1:7" x14ac:dyDescent="0.3">
      <c r="A6828">
        <v>24722</v>
      </c>
      <c r="B6828" t="s">
        <v>150</v>
      </c>
      <c r="C6828">
        <v>51044011</v>
      </c>
      <c r="D6828">
        <v>19.718700239105377</v>
      </c>
      <c r="E6828" t="s">
        <v>95</v>
      </c>
      <c r="F6828">
        <v>982</v>
      </c>
      <c r="G6828" s="4">
        <v>46087.604456018518</v>
      </c>
    </row>
    <row r="6829" spans="1:7" x14ac:dyDescent="0.3">
      <c r="A6829">
        <v>24723</v>
      </c>
      <c r="B6829" t="s">
        <v>150</v>
      </c>
      <c r="C6829">
        <v>51013956</v>
      </c>
      <c r="D6829">
        <v>28.116330825491907</v>
      </c>
      <c r="E6829" t="s">
        <v>94</v>
      </c>
      <c r="F6829">
        <v>885</v>
      </c>
      <c r="G6829" s="4">
        <v>46087.604456018518</v>
      </c>
    </row>
    <row r="6830" spans="1:7" x14ac:dyDescent="0.3">
      <c r="A6830">
        <v>24724</v>
      </c>
      <c r="B6830" t="s">
        <v>150</v>
      </c>
      <c r="C6830">
        <v>51023846</v>
      </c>
      <c r="D6830">
        <v>56.363818135736068</v>
      </c>
      <c r="E6830" t="s">
        <v>94</v>
      </c>
      <c r="F6830">
        <v>693</v>
      </c>
      <c r="G6830" s="4">
        <v>46087.604456018518</v>
      </c>
    </row>
    <row r="6831" spans="1:7" x14ac:dyDescent="0.3">
      <c r="A6831">
        <v>24725</v>
      </c>
      <c r="B6831" t="s">
        <v>150</v>
      </c>
      <c r="C6831">
        <v>51019563</v>
      </c>
      <c r="D6831">
        <v>60.450248259955799</v>
      </c>
      <c r="E6831" t="s">
        <v>94</v>
      </c>
      <c r="F6831">
        <v>608</v>
      </c>
      <c r="G6831" s="4">
        <v>46087.604456018518</v>
      </c>
    </row>
    <row r="6832" spans="1:7" x14ac:dyDescent="0.3">
      <c r="A6832">
        <v>24726</v>
      </c>
      <c r="B6832" t="s">
        <v>150</v>
      </c>
      <c r="C6832">
        <v>51030711</v>
      </c>
      <c r="D6832">
        <v>83.294431150418291</v>
      </c>
      <c r="E6832" t="s">
        <v>93</v>
      </c>
      <c r="F6832">
        <v>338</v>
      </c>
      <c r="G6832" s="4">
        <v>46087.604456018518</v>
      </c>
    </row>
    <row r="6833" spans="1:7" x14ac:dyDescent="0.3">
      <c r="A6833">
        <v>24727</v>
      </c>
      <c r="B6833" t="s">
        <v>150</v>
      </c>
      <c r="C6833">
        <v>51056574</v>
      </c>
      <c r="D6833">
        <v>83.715694415296298</v>
      </c>
      <c r="E6833" t="s">
        <v>93</v>
      </c>
      <c r="F6833">
        <v>329</v>
      </c>
      <c r="G6833" s="4">
        <v>46087.604456018518</v>
      </c>
    </row>
    <row r="6834" spans="1:7" x14ac:dyDescent="0.3">
      <c r="A6834">
        <v>24728</v>
      </c>
      <c r="B6834" t="s">
        <v>150</v>
      </c>
      <c r="C6834">
        <v>51056957</v>
      </c>
      <c r="D6834">
        <v>58.992652006787381</v>
      </c>
      <c r="E6834" t="s">
        <v>94</v>
      </c>
      <c r="F6834">
        <v>636</v>
      </c>
      <c r="G6834" s="4">
        <v>46087.604456018518</v>
      </c>
    </row>
    <row r="6835" spans="1:7" x14ac:dyDescent="0.3">
      <c r="A6835">
        <v>24729</v>
      </c>
      <c r="B6835" t="s">
        <v>150</v>
      </c>
      <c r="C6835">
        <v>51055331</v>
      </c>
      <c r="D6835">
        <v>17.480101600231372</v>
      </c>
      <c r="E6835" t="s">
        <v>95</v>
      </c>
      <c r="F6835">
        <v>1040</v>
      </c>
      <c r="G6835" s="4">
        <v>46087.604456018518</v>
      </c>
    </row>
    <row r="6836" spans="1:7" x14ac:dyDescent="0.3">
      <c r="A6836">
        <v>24730</v>
      </c>
      <c r="B6836" t="s">
        <v>150</v>
      </c>
      <c r="C6836">
        <v>51018397</v>
      </c>
      <c r="D6836">
        <v>17.83044288596809</v>
      </c>
      <c r="E6836" t="s">
        <v>95</v>
      </c>
      <c r="F6836">
        <v>1033</v>
      </c>
      <c r="G6836" s="4">
        <v>46087.604456018518</v>
      </c>
    </row>
    <row r="6837" spans="1:7" x14ac:dyDescent="0.3">
      <c r="A6837">
        <v>24731</v>
      </c>
      <c r="B6837" t="s">
        <v>150</v>
      </c>
      <c r="C6837">
        <v>51025148</v>
      </c>
      <c r="D6837">
        <v>29.280294954685946</v>
      </c>
      <c r="E6837" t="s">
        <v>94</v>
      </c>
      <c r="F6837">
        <v>874</v>
      </c>
      <c r="G6837" s="4">
        <v>46087.604456018518</v>
      </c>
    </row>
    <row r="6838" spans="1:7" x14ac:dyDescent="0.3">
      <c r="A6838">
        <v>24732</v>
      </c>
      <c r="B6838" t="s">
        <v>150</v>
      </c>
      <c r="C6838">
        <v>51005392</v>
      </c>
      <c r="D6838">
        <v>33.905158279879998</v>
      </c>
      <c r="E6838" t="s">
        <v>94</v>
      </c>
      <c r="F6838">
        <v>815</v>
      </c>
      <c r="G6838" s="4">
        <v>46087.604456018518</v>
      </c>
    </row>
    <row r="6839" spans="1:7" x14ac:dyDescent="0.3">
      <c r="A6839">
        <v>24733</v>
      </c>
      <c r="B6839" t="s">
        <v>150</v>
      </c>
      <c r="C6839">
        <v>51023153</v>
      </c>
      <c r="D6839">
        <v>45.409649204227385</v>
      </c>
      <c r="E6839" t="s">
        <v>94</v>
      </c>
      <c r="F6839">
        <v>771</v>
      </c>
      <c r="G6839" s="4">
        <v>46087.604456018518</v>
      </c>
    </row>
    <row r="6840" spans="1:7" x14ac:dyDescent="0.3">
      <c r="A6840">
        <v>24734</v>
      </c>
      <c r="B6840" t="s">
        <v>150</v>
      </c>
      <c r="C6840">
        <v>51024095</v>
      </c>
      <c r="D6840">
        <v>89.222529926651703</v>
      </c>
      <c r="E6840" t="s">
        <v>92</v>
      </c>
      <c r="F6840">
        <v>161</v>
      </c>
      <c r="G6840" s="4">
        <v>46087.604456018518</v>
      </c>
    </row>
    <row r="6841" spans="1:7" x14ac:dyDescent="0.3">
      <c r="A6841">
        <v>24735</v>
      </c>
      <c r="B6841" t="s">
        <v>150</v>
      </c>
      <c r="C6841">
        <v>51002024</v>
      </c>
      <c r="D6841">
        <v>60.459695206500079</v>
      </c>
      <c r="E6841" t="s">
        <v>94</v>
      </c>
      <c r="F6841">
        <v>607</v>
      </c>
      <c r="G6841" s="4">
        <v>46087.604456018518</v>
      </c>
    </row>
    <row r="6842" spans="1:7" x14ac:dyDescent="0.3">
      <c r="A6842">
        <v>24736</v>
      </c>
      <c r="B6842" t="s">
        <v>150</v>
      </c>
      <c r="C6842">
        <v>51056311</v>
      </c>
      <c r="D6842">
        <v>83.250450895119869</v>
      </c>
      <c r="E6842" t="s">
        <v>93</v>
      </c>
      <c r="F6842">
        <v>339</v>
      </c>
      <c r="G6842" s="4">
        <v>46087.604456018518</v>
      </c>
    </row>
    <row r="6843" spans="1:7" x14ac:dyDescent="0.3">
      <c r="A6843">
        <v>24737</v>
      </c>
      <c r="B6843" t="s">
        <v>150</v>
      </c>
      <c r="C6843">
        <v>51016467</v>
      </c>
      <c r="D6843">
        <v>92.833588926934823</v>
      </c>
      <c r="E6843" t="s">
        <v>92</v>
      </c>
      <c r="F6843">
        <v>93</v>
      </c>
      <c r="G6843" s="4">
        <v>46087.604456018518</v>
      </c>
    </row>
    <row r="6844" spans="1:7" x14ac:dyDescent="0.3">
      <c r="A6844">
        <v>24738</v>
      </c>
      <c r="B6844" t="s">
        <v>150</v>
      </c>
      <c r="C6844">
        <v>51021614</v>
      </c>
      <c r="D6844">
        <v>33.132337813582602</v>
      </c>
      <c r="E6844" t="s">
        <v>94</v>
      </c>
      <c r="F6844">
        <v>822</v>
      </c>
      <c r="G6844" s="4">
        <v>46087.604456018518</v>
      </c>
    </row>
    <row r="6845" spans="1:7" x14ac:dyDescent="0.3">
      <c r="A6845">
        <v>24739</v>
      </c>
      <c r="B6845" t="s">
        <v>150</v>
      </c>
      <c r="C6845">
        <v>51042506</v>
      </c>
      <c r="D6845">
        <v>84.274107246974253</v>
      </c>
      <c r="E6845" t="s">
        <v>93</v>
      </c>
      <c r="F6845">
        <v>308</v>
      </c>
      <c r="G6845" s="4">
        <v>46087.604456018518</v>
      </c>
    </row>
    <row r="6846" spans="1:7" x14ac:dyDescent="0.3">
      <c r="A6846">
        <v>24740</v>
      </c>
      <c r="B6846" t="s">
        <v>150</v>
      </c>
      <c r="C6846">
        <v>51023412</v>
      </c>
      <c r="D6846">
        <v>86.467340406732319</v>
      </c>
      <c r="E6846" t="s">
        <v>92</v>
      </c>
      <c r="F6846">
        <v>237</v>
      </c>
      <c r="G6846" s="4">
        <v>46087.604456018518</v>
      </c>
    </row>
    <row r="6847" spans="1:7" x14ac:dyDescent="0.3">
      <c r="A6847">
        <v>24741</v>
      </c>
      <c r="B6847" t="s">
        <v>150</v>
      </c>
      <c r="C6847">
        <v>51033116</v>
      </c>
      <c r="D6847">
        <v>83.925302069203894</v>
      </c>
      <c r="E6847" t="s">
        <v>93</v>
      </c>
      <c r="F6847">
        <v>326</v>
      </c>
      <c r="G6847" s="4">
        <v>46087.604456018518</v>
      </c>
    </row>
    <row r="6848" spans="1:7" x14ac:dyDescent="0.3">
      <c r="A6848">
        <v>24742</v>
      </c>
      <c r="B6848" t="s">
        <v>150</v>
      </c>
      <c r="C6848">
        <v>51003292</v>
      </c>
      <c r="D6848">
        <v>54.805747438467101</v>
      </c>
      <c r="E6848" t="s">
        <v>94</v>
      </c>
      <c r="F6848">
        <v>718</v>
      </c>
      <c r="G6848" s="4">
        <v>46087.604456018518</v>
      </c>
    </row>
    <row r="6849" spans="1:7" x14ac:dyDescent="0.3">
      <c r="A6849">
        <v>24743</v>
      </c>
      <c r="B6849" t="s">
        <v>150</v>
      </c>
      <c r="C6849">
        <v>51014251</v>
      </c>
      <c r="D6849">
        <v>32.687512304912659</v>
      </c>
      <c r="E6849" t="s">
        <v>94</v>
      </c>
      <c r="F6849">
        <v>826</v>
      </c>
      <c r="G6849" s="4">
        <v>46087.604456018518</v>
      </c>
    </row>
    <row r="6850" spans="1:7" x14ac:dyDescent="0.3">
      <c r="A6850">
        <v>24744</v>
      </c>
      <c r="B6850" t="s">
        <v>150</v>
      </c>
      <c r="C6850">
        <v>51042999</v>
      </c>
      <c r="D6850">
        <v>33.041377981196533</v>
      </c>
      <c r="E6850" t="s">
        <v>94</v>
      </c>
      <c r="F6850">
        <v>824</v>
      </c>
      <c r="G6850" s="4">
        <v>46087.604456018518</v>
      </c>
    </row>
    <row r="6851" spans="1:7" x14ac:dyDescent="0.3">
      <c r="A6851">
        <v>24745</v>
      </c>
      <c r="B6851" t="s">
        <v>150</v>
      </c>
      <c r="C6851">
        <v>51041712</v>
      </c>
      <c r="D6851">
        <v>69.869555151040245</v>
      </c>
      <c r="E6851" t="s">
        <v>93</v>
      </c>
      <c r="F6851">
        <v>512</v>
      </c>
      <c r="G6851" s="4">
        <v>46087.604456018518</v>
      </c>
    </row>
    <row r="6852" spans="1:7" x14ac:dyDescent="0.3">
      <c r="A6852">
        <v>24746</v>
      </c>
      <c r="B6852" t="s">
        <v>150</v>
      </c>
      <c r="C6852">
        <v>51023293</v>
      </c>
      <c r="D6852">
        <v>25.567462289703322</v>
      </c>
      <c r="E6852" t="s">
        <v>94</v>
      </c>
      <c r="F6852">
        <v>910</v>
      </c>
      <c r="G6852" s="4">
        <v>46087.604456018518</v>
      </c>
    </row>
    <row r="6853" spans="1:7" x14ac:dyDescent="0.3">
      <c r="A6853">
        <v>24747</v>
      </c>
      <c r="B6853" t="s">
        <v>150</v>
      </c>
      <c r="C6853">
        <v>51033507</v>
      </c>
      <c r="D6853">
        <v>18.607071496546485</v>
      </c>
      <c r="E6853" t="s">
        <v>95</v>
      </c>
      <c r="F6853">
        <v>1015</v>
      </c>
      <c r="G6853" s="4">
        <v>46087.604456018518</v>
      </c>
    </row>
    <row r="6854" spans="1:7" x14ac:dyDescent="0.3">
      <c r="A6854">
        <v>24748</v>
      </c>
      <c r="B6854" t="s">
        <v>150</v>
      </c>
      <c r="C6854">
        <v>51013875</v>
      </c>
      <c r="D6854">
        <v>84.192090723525411</v>
      </c>
      <c r="E6854" t="s">
        <v>93</v>
      </c>
      <c r="F6854">
        <v>312</v>
      </c>
      <c r="G6854" s="4">
        <v>46087.604456018518</v>
      </c>
    </row>
    <row r="6855" spans="1:7" x14ac:dyDescent="0.3">
      <c r="A6855">
        <v>24749</v>
      </c>
      <c r="B6855" t="s">
        <v>150</v>
      </c>
      <c r="C6855">
        <v>51013395</v>
      </c>
      <c r="D6855">
        <v>23.370504635466709</v>
      </c>
      <c r="E6855" t="s">
        <v>94</v>
      </c>
      <c r="F6855">
        <v>928</v>
      </c>
      <c r="G6855" s="4">
        <v>46087.604456018518</v>
      </c>
    </row>
    <row r="6856" spans="1:7" x14ac:dyDescent="0.3">
      <c r="A6856">
        <v>24750</v>
      </c>
      <c r="B6856" t="s">
        <v>150</v>
      </c>
      <c r="C6856">
        <v>51056108</v>
      </c>
      <c r="D6856">
        <v>75.409214665753908</v>
      </c>
      <c r="E6856" t="s">
        <v>93</v>
      </c>
      <c r="F6856">
        <v>472</v>
      </c>
      <c r="G6856" s="4">
        <v>46087.604456018518</v>
      </c>
    </row>
    <row r="6857" spans="1:7" x14ac:dyDescent="0.3">
      <c r="A6857">
        <v>24751</v>
      </c>
      <c r="B6857" t="s">
        <v>150</v>
      </c>
      <c r="C6857">
        <v>51055837</v>
      </c>
      <c r="D6857">
        <v>20.815945332492145</v>
      </c>
      <c r="E6857" t="s">
        <v>95</v>
      </c>
      <c r="F6857">
        <v>966</v>
      </c>
      <c r="G6857" s="4">
        <v>46087.604456018518</v>
      </c>
    </row>
    <row r="6858" spans="1:7" x14ac:dyDescent="0.3">
      <c r="A6858">
        <v>24752</v>
      </c>
      <c r="B6858" t="s">
        <v>150</v>
      </c>
      <c r="C6858">
        <v>51056248</v>
      </c>
      <c r="D6858">
        <v>32.473556479389039</v>
      </c>
      <c r="E6858" t="s">
        <v>94</v>
      </c>
      <c r="F6858">
        <v>830</v>
      </c>
      <c r="G6858" s="4">
        <v>46087.604456018518</v>
      </c>
    </row>
    <row r="6859" spans="1:7" x14ac:dyDescent="0.3">
      <c r="A6859">
        <v>24753</v>
      </c>
      <c r="B6859" t="s">
        <v>150</v>
      </c>
      <c r="C6859">
        <v>51025245</v>
      </c>
      <c r="D6859">
        <v>82.187267507888521</v>
      </c>
      <c r="E6859" t="s">
        <v>93</v>
      </c>
      <c r="F6859">
        <v>383</v>
      </c>
      <c r="G6859" s="4">
        <v>46087.604456018518</v>
      </c>
    </row>
    <row r="6860" spans="1:7" x14ac:dyDescent="0.3">
      <c r="A6860">
        <v>24754</v>
      </c>
      <c r="B6860" t="s">
        <v>150</v>
      </c>
      <c r="C6860">
        <v>51016360</v>
      </c>
      <c r="D6860">
        <v>92.909522549818504</v>
      </c>
      <c r="E6860" t="s">
        <v>92</v>
      </c>
      <c r="F6860">
        <v>91</v>
      </c>
      <c r="G6860" s="4">
        <v>46087.604456018518</v>
      </c>
    </row>
    <row r="6861" spans="1:7" x14ac:dyDescent="0.3">
      <c r="A6861">
        <v>24755</v>
      </c>
      <c r="B6861" t="s">
        <v>150</v>
      </c>
      <c r="C6861">
        <v>51040881</v>
      </c>
      <c r="D6861">
        <v>31.196207088473571</v>
      </c>
      <c r="E6861" t="s">
        <v>94</v>
      </c>
      <c r="F6861">
        <v>843</v>
      </c>
      <c r="G6861" s="4">
        <v>46087.604456018518</v>
      </c>
    </row>
    <row r="6862" spans="1:7" x14ac:dyDescent="0.3">
      <c r="A6862">
        <v>24756</v>
      </c>
      <c r="B6862" t="s">
        <v>150</v>
      </c>
      <c r="C6862">
        <v>51031776</v>
      </c>
      <c r="D6862">
        <v>63.145462301270967</v>
      </c>
      <c r="E6862" t="s">
        <v>93</v>
      </c>
      <c r="F6862">
        <v>556</v>
      </c>
      <c r="G6862" s="4">
        <v>46087.604456018518</v>
      </c>
    </row>
    <row r="6863" spans="1:7" x14ac:dyDescent="0.3">
      <c r="A6863">
        <v>24757</v>
      </c>
      <c r="B6863" t="s">
        <v>150</v>
      </c>
      <c r="C6863">
        <v>51013166</v>
      </c>
      <c r="D6863">
        <v>69.439563725266083</v>
      </c>
      <c r="E6863" t="s">
        <v>93</v>
      </c>
      <c r="F6863">
        <v>517</v>
      </c>
      <c r="G6863" s="4">
        <v>46087.604456018518</v>
      </c>
    </row>
    <row r="6864" spans="1:7" x14ac:dyDescent="0.3">
      <c r="A6864">
        <v>24758</v>
      </c>
      <c r="B6864" t="s">
        <v>150</v>
      </c>
      <c r="C6864">
        <v>51032918</v>
      </c>
      <c r="D6864">
        <v>18.587078397547895</v>
      </c>
      <c r="E6864" t="s">
        <v>95</v>
      </c>
      <c r="F6864">
        <v>1017</v>
      </c>
      <c r="G6864" s="4">
        <v>46087.604456018518</v>
      </c>
    </row>
    <row r="6865" spans="1:7" x14ac:dyDescent="0.3">
      <c r="A6865">
        <v>24759</v>
      </c>
      <c r="B6865" t="s">
        <v>150</v>
      </c>
      <c r="C6865">
        <v>51025717</v>
      </c>
      <c r="D6865">
        <v>32.572351663370853</v>
      </c>
      <c r="E6865" t="s">
        <v>94</v>
      </c>
      <c r="F6865">
        <v>827</v>
      </c>
      <c r="G6865" s="4">
        <v>46087.604456018518</v>
      </c>
    </row>
    <row r="6866" spans="1:7" x14ac:dyDescent="0.3">
      <c r="A6866">
        <v>24760</v>
      </c>
      <c r="B6866" t="s">
        <v>150</v>
      </c>
      <c r="C6866">
        <v>51033001</v>
      </c>
      <c r="D6866">
        <v>80.086096937197169</v>
      </c>
      <c r="E6866" t="s">
        <v>93</v>
      </c>
      <c r="F6866">
        <v>437</v>
      </c>
      <c r="G6866" s="4">
        <v>46087.604456018518</v>
      </c>
    </row>
    <row r="6867" spans="1:7" x14ac:dyDescent="0.3">
      <c r="A6867">
        <v>24761</v>
      </c>
      <c r="B6867" t="s">
        <v>150</v>
      </c>
      <c r="C6867">
        <v>51012674</v>
      </c>
      <c r="D6867">
        <v>82.408796466516364</v>
      </c>
      <c r="E6867" t="s">
        <v>93</v>
      </c>
      <c r="F6867">
        <v>378</v>
      </c>
      <c r="G6867" s="4">
        <v>46087.604456018518</v>
      </c>
    </row>
    <row r="6868" spans="1:7" x14ac:dyDescent="0.3">
      <c r="A6868">
        <v>24762</v>
      </c>
      <c r="B6868" t="s">
        <v>150</v>
      </c>
      <c r="C6868">
        <v>51007743</v>
      </c>
      <c r="D6868">
        <v>89.39295040932258</v>
      </c>
      <c r="E6868" t="s">
        <v>92</v>
      </c>
      <c r="F6868">
        <v>153</v>
      </c>
      <c r="G6868" s="4">
        <v>46087.604456018518</v>
      </c>
    </row>
    <row r="6869" spans="1:7" x14ac:dyDescent="0.3">
      <c r="A6869">
        <v>24763</v>
      </c>
      <c r="B6869" t="s">
        <v>150</v>
      </c>
      <c r="C6869">
        <v>51032705</v>
      </c>
      <c r="D6869">
        <v>17.04086019373646</v>
      </c>
      <c r="E6869" t="s">
        <v>95</v>
      </c>
      <c r="F6869">
        <v>1051</v>
      </c>
      <c r="G6869" s="4">
        <v>46087.604456018518</v>
      </c>
    </row>
    <row r="6870" spans="1:7" x14ac:dyDescent="0.3">
      <c r="A6870">
        <v>24764</v>
      </c>
      <c r="B6870" t="s">
        <v>150</v>
      </c>
      <c r="C6870">
        <v>51041887</v>
      </c>
      <c r="D6870">
        <v>71.295350876062301</v>
      </c>
      <c r="E6870" t="s">
        <v>93</v>
      </c>
      <c r="F6870">
        <v>505</v>
      </c>
      <c r="G6870" s="4">
        <v>46087.604456018518</v>
      </c>
    </row>
    <row r="6871" spans="1:7" x14ac:dyDescent="0.3">
      <c r="A6871">
        <v>24765</v>
      </c>
      <c r="B6871" t="s">
        <v>150</v>
      </c>
      <c r="C6871">
        <v>51030826</v>
      </c>
      <c r="D6871">
        <v>80.633796880080141</v>
      </c>
      <c r="E6871" t="s">
        <v>93</v>
      </c>
      <c r="F6871">
        <v>425</v>
      </c>
      <c r="G6871" s="4">
        <v>46087.604456018518</v>
      </c>
    </row>
    <row r="6872" spans="1:7" x14ac:dyDescent="0.3">
      <c r="A6872">
        <v>24766</v>
      </c>
      <c r="B6872" t="s">
        <v>150</v>
      </c>
      <c r="C6872">
        <v>51011007</v>
      </c>
      <c r="D6872">
        <v>67.597258702876132</v>
      </c>
      <c r="E6872" t="s">
        <v>93</v>
      </c>
      <c r="F6872">
        <v>535</v>
      </c>
      <c r="G6872" s="4">
        <v>46087.604456018518</v>
      </c>
    </row>
    <row r="6873" spans="1:7" x14ac:dyDescent="0.3">
      <c r="A6873">
        <v>24767</v>
      </c>
      <c r="B6873" t="s">
        <v>150</v>
      </c>
      <c r="C6873">
        <v>51007514</v>
      </c>
      <c r="D6873">
        <v>26.362130253425615</v>
      </c>
      <c r="E6873" t="s">
        <v>94</v>
      </c>
      <c r="F6873">
        <v>905</v>
      </c>
      <c r="G6873" s="4">
        <v>46087.604456018518</v>
      </c>
    </row>
    <row r="6874" spans="1:7" x14ac:dyDescent="0.3">
      <c r="A6874">
        <v>24768</v>
      </c>
      <c r="B6874" t="s">
        <v>150</v>
      </c>
      <c r="C6874">
        <v>51024281</v>
      </c>
      <c r="D6874">
        <v>17.41333942201193</v>
      </c>
      <c r="E6874" t="s">
        <v>95</v>
      </c>
      <c r="F6874">
        <v>1041</v>
      </c>
      <c r="G6874" s="4">
        <v>46087.604456018518</v>
      </c>
    </row>
    <row r="6875" spans="1:7" x14ac:dyDescent="0.3">
      <c r="A6875">
        <v>24769</v>
      </c>
      <c r="B6875" t="s">
        <v>150</v>
      </c>
      <c r="C6875">
        <v>51020961</v>
      </c>
      <c r="D6875">
        <v>71.325061651872957</v>
      </c>
      <c r="E6875" t="s">
        <v>93</v>
      </c>
      <c r="F6875">
        <v>504</v>
      </c>
      <c r="G6875" s="4">
        <v>46087.604456018518</v>
      </c>
    </row>
    <row r="6876" spans="1:7" x14ac:dyDescent="0.3">
      <c r="A6876">
        <v>24770</v>
      </c>
      <c r="B6876" t="s">
        <v>150</v>
      </c>
      <c r="C6876">
        <v>51022718</v>
      </c>
      <c r="D6876">
        <v>85.48441572152862</v>
      </c>
      <c r="E6876" t="s">
        <v>93</v>
      </c>
      <c r="F6876">
        <v>268</v>
      </c>
      <c r="G6876" s="4">
        <v>46087.604456018518</v>
      </c>
    </row>
    <row r="6877" spans="1:7" x14ac:dyDescent="0.3">
      <c r="A6877">
        <v>24771</v>
      </c>
      <c r="B6877" t="s">
        <v>150</v>
      </c>
      <c r="C6877">
        <v>51039815</v>
      </c>
      <c r="D6877">
        <v>30.852880085646621</v>
      </c>
      <c r="E6877" t="s">
        <v>94</v>
      </c>
      <c r="F6877">
        <v>847</v>
      </c>
      <c r="G6877" s="4">
        <v>46087.604456018518</v>
      </c>
    </row>
    <row r="6878" spans="1:7" x14ac:dyDescent="0.3">
      <c r="A6878">
        <v>24772</v>
      </c>
      <c r="B6878" t="s">
        <v>150</v>
      </c>
      <c r="C6878">
        <v>51023277</v>
      </c>
      <c r="D6878">
        <v>29.279118838158386</v>
      </c>
      <c r="E6878" t="s">
        <v>94</v>
      </c>
      <c r="F6878">
        <v>875</v>
      </c>
      <c r="G6878" s="4">
        <v>46087.604456018518</v>
      </c>
    </row>
    <row r="6879" spans="1:7" x14ac:dyDescent="0.3">
      <c r="A6879">
        <v>24773</v>
      </c>
      <c r="B6879" t="s">
        <v>150</v>
      </c>
      <c r="C6879">
        <v>51056353</v>
      </c>
      <c r="D6879">
        <v>86.801717125688356</v>
      </c>
      <c r="E6879" t="s">
        <v>92</v>
      </c>
      <c r="F6879">
        <v>230</v>
      </c>
      <c r="G6879" s="4">
        <v>46087.604456018518</v>
      </c>
    </row>
    <row r="6880" spans="1:7" x14ac:dyDescent="0.3">
      <c r="A6880">
        <v>24774</v>
      </c>
      <c r="B6880" t="s">
        <v>150</v>
      </c>
      <c r="C6880">
        <v>51001419</v>
      </c>
      <c r="D6880">
        <v>55.872864808740417</v>
      </c>
      <c r="E6880" t="s">
        <v>94</v>
      </c>
      <c r="F6880">
        <v>705</v>
      </c>
      <c r="G6880" s="4">
        <v>46087.604456018518</v>
      </c>
    </row>
    <row r="6881" spans="1:7" x14ac:dyDescent="0.3">
      <c r="A6881">
        <v>24775</v>
      </c>
      <c r="B6881" t="s">
        <v>150</v>
      </c>
      <c r="C6881">
        <v>51018001</v>
      </c>
      <c r="D6881">
        <v>21.491227864661965</v>
      </c>
      <c r="E6881" t="s">
        <v>95</v>
      </c>
      <c r="F6881">
        <v>956</v>
      </c>
      <c r="G6881" s="4">
        <v>46087.604456018518</v>
      </c>
    </row>
    <row r="6882" spans="1:7" x14ac:dyDescent="0.3">
      <c r="A6882">
        <v>24776</v>
      </c>
      <c r="B6882" t="s">
        <v>150</v>
      </c>
      <c r="C6882">
        <v>51020707</v>
      </c>
      <c r="D6882">
        <v>87.88782868259139</v>
      </c>
      <c r="E6882" t="s">
        <v>92</v>
      </c>
      <c r="F6882">
        <v>203</v>
      </c>
      <c r="G6882" s="4">
        <v>46087.604456018518</v>
      </c>
    </row>
    <row r="6883" spans="1:7" x14ac:dyDescent="0.3">
      <c r="A6883">
        <v>24777</v>
      </c>
      <c r="B6883" t="s">
        <v>150</v>
      </c>
      <c r="C6883">
        <v>51018923</v>
      </c>
      <c r="D6883">
        <v>81.119980462944724</v>
      </c>
      <c r="E6883" t="s">
        <v>93</v>
      </c>
      <c r="F6883">
        <v>409</v>
      </c>
      <c r="G6883" s="4">
        <v>46087.604456018518</v>
      </c>
    </row>
    <row r="6884" spans="1:7" x14ac:dyDescent="0.3">
      <c r="A6884">
        <v>24778</v>
      </c>
      <c r="B6884" t="s">
        <v>150</v>
      </c>
      <c r="C6884">
        <v>51012721</v>
      </c>
      <c r="D6884">
        <v>22.867029316364142</v>
      </c>
      <c r="E6884" t="s">
        <v>94</v>
      </c>
      <c r="F6884">
        <v>936</v>
      </c>
      <c r="G6884" s="4">
        <v>46087.604456018518</v>
      </c>
    </row>
    <row r="6885" spans="1:7" x14ac:dyDescent="0.3">
      <c r="A6885">
        <v>24779</v>
      </c>
      <c r="B6885" t="s">
        <v>150</v>
      </c>
      <c r="C6885">
        <v>51020634</v>
      </c>
      <c r="D6885">
        <v>32.882371170536757</v>
      </c>
      <c r="E6885" t="s">
        <v>94</v>
      </c>
      <c r="F6885">
        <v>825</v>
      </c>
      <c r="G6885" s="4">
        <v>46087.604456018518</v>
      </c>
    </row>
    <row r="6886" spans="1:7" x14ac:dyDescent="0.3">
      <c r="A6886">
        <v>24780</v>
      </c>
      <c r="B6886" t="s">
        <v>150</v>
      </c>
      <c r="C6886">
        <v>51056507</v>
      </c>
      <c r="D6886">
        <v>60.628089252305138</v>
      </c>
      <c r="E6886" t="s">
        <v>94</v>
      </c>
      <c r="F6886">
        <v>605</v>
      </c>
      <c r="G6886" s="4">
        <v>46087.604456018518</v>
      </c>
    </row>
    <row r="6887" spans="1:7" x14ac:dyDescent="0.3">
      <c r="A6887">
        <v>24781</v>
      </c>
      <c r="B6887" t="s">
        <v>150</v>
      </c>
      <c r="C6887">
        <v>51002105</v>
      </c>
      <c r="D6887">
        <v>46.653847678930191</v>
      </c>
      <c r="E6887" t="s">
        <v>94</v>
      </c>
      <c r="F6887">
        <v>762</v>
      </c>
      <c r="G6887" s="4">
        <v>46087.604456018518</v>
      </c>
    </row>
    <row r="6888" spans="1:7" x14ac:dyDescent="0.3">
      <c r="A6888">
        <v>24782</v>
      </c>
      <c r="B6888" t="s">
        <v>150</v>
      </c>
      <c r="C6888">
        <v>51055136</v>
      </c>
      <c r="D6888">
        <v>93.502076056011973</v>
      </c>
      <c r="E6888" t="s">
        <v>92</v>
      </c>
      <c r="F6888">
        <v>84</v>
      </c>
      <c r="G6888" s="4">
        <v>46087.604456018518</v>
      </c>
    </row>
    <row r="6889" spans="1:7" x14ac:dyDescent="0.3">
      <c r="A6889">
        <v>24783</v>
      </c>
      <c r="B6889" t="s">
        <v>150</v>
      </c>
      <c r="C6889">
        <v>51008685</v>
      </c>
      <c r="D6889">
        <v>80.122216531175908</v>
      </c>
      <c r="E6889" t="s">
        <v>93</v>
      </c>
      <c r="F6889">
        <v>436</v>
      </c>
      <c r="G6889" s="4">
        <v>46087.604456018518</v>
      </c>
    </row>
    <row r="6890" spans="1:7" x14ac:dyDescent="0.3">
      <c r="A6890">
        <v>24784</v>
      </c>
      <c r="B6890" t="s">
        <v>150</v>
      </c>
      <c r="C6890">
        <v>51055306</v>
      </c>
      <c r="D6890">
        <v>33.158817861780292</v>
      </c>
      <c r="E6890" t="s">
        <v>94</v>
      </c>
      <c r="F6890">
        <v>821</v>
      </c>
      <c r="G6890" s="4">
        <v>46087.604456018518</v>
      </c>
    </row>
    <row r="6891" spans="1:7" x14ac:dyDescent="0.3">
      <c r="A6891">
        <v>24785</v>
      </c>
      <c r="B6891" t="s">
        <v>150</v>
      </c>
      <c r="C6891">
        <v>51024036</v>
      </c>
      <c r="D6891">
        <v>83.367416331353596</v>
      </c>
      <c r="E6891" t="s">
        <v>93</v>
      </c>
      <c r="F6891">
        <v>336</v>
      </c>
      <c r="G6891" s="4">
        <v>46087.604456018518</v>
      </c>
    </row>
    <row r="6892" spans="1:7" x14ac:dyDescent="0.3">
      <c r="A6892">
        <v>24786</v>
      </c>
      <c r="B6892" t="s">
        <v>150</v>
      </c>
      <c r="C6892">
        <v>51011597</v>
      </c>
      <c r="D6892">
        <v>60.767619703276758</v>
      </c>
      <c r="E6892" t="s">
        <v>94</v>
      </c>
      <c r="F6892">
        <v>603</v>
      </c>
      <c r="G6892" s="4">
        <v>46087.604456018518</v>
      </c>
    </row>
    <row r="6893" spans="1:7" x14ac:dyDescent="0.3">
      <c r="A6893">
        <v>24787</v>
      </c>
      <c r="B6893" t="s">
        <v>150</v>
      </c>
      <c r="C6893">
        <v>51043260</v>
      </c>
      <c r="D6893">
        <v>79.732357748089157</v>
      </c>
      <c r="E6893" t="s">
        <v>93</v>
      </c>
      <c r="F6893">
        <v>443</v>
      </c>
      <c r="G6893" s="4">
        <v>46087.604456018518</v>
      </c>
    </row>
    <row r="6894" spans="1:7" x14ac:dyDescent="0.3">
      <c r="A6894">
        <v>24788</v>
      </c>
      <c r="B6894" t="s">
        <v>150</v>
      </c>
      <c r="C6894">
        <v>51004035</v>
      </c>
      <c r="D6894">
        <v>47.351963956317704</v>
      </c>
      <c r="E6894" t="s">
        <v>94</v>
      </c>
      <c r="F6894">
        <v>758</v>
      </c>
      <c r="G6894" s="4">
        <v>46087.604456018518</v>
      </c>
    </row>
    <row r="6895" spans="1:7" x14ac:dyDescent="0.3">
      <c r="A6895">
        <v>24789</v>
      </c>
      <c r="B6895" t="s">
        <v>150</v>
      </c>
      <c r="C6895">
        <v>51043537</v>
      </c>
      <c r="D6895">
        <v>22.564885054572287</v>
      </c>
      <c r="E6895" t="s">
        <v>94</v>
      </c>
      <c r="F6895">
        <v>942</v>
      </c>
      <c r="G6895" s="4">
        <v>46087.604456018518</v>
      </c>
    </row>
    <row r="6896" spans="1:7" x14ac:dyDescent="0.3">
      <c r="A6896">
        <v>24790</v>
      </c>
      <c r="B6896" t="s">
        <v>150</v>
      </c>
      <c r="C6896">
        <v>51056752</v>
      </c>
      <c r="D6896">
        <v>58.035612373401143</v>
      </c>
      <c r="E6896" t="s">
        <v>94</v>
      </c>
      <c r="F6896">
        <v>660</v>
      </c>
      <c r="G6896" s="4">
        <v>46087.604456018518</v>
      </c>
    </row>
    <row r="6897" spans="1:7" x14ac:dyDescent="0.3">
      <c r="A6897">
        <v>24791</v>
      </c>
      <c r="B6897" t="s">
        <v>150</v>
      </c>
      <c r="C6897">
        <v>51031857</v>
      </c>
      <c r="D6897">
        <v>25.070936812731262</v>
      </c>
      <c r="E6897" t="s">
        <v>94</v>
      </c>
      <c r="F6897">
        <v>915</v>
      </c>
      <c r="G6897" s="4">
        <v>46087.604456018518</v>
      </c>
    </row>
    <row r="6898" spans="1:7" x14ac:dyDescent="0.3">
      <c r="A6898">
        <v>24792</v>
      </c>
      <c r="B6898" t="s">
        <v>150</v>
      </c>
      <c r="C6898">
        <v>51014138</v>
      </c>
      <c r="D6898">
        <v>36.391169771067688</v>
      </c>
      <c r="E6898" t="s">
        <v>94</v>
      </c>
      <c r="F6898">
        <v>802</v>
      </c>
      <c r="G6898" s="4">
        <v>46087.604456018518</v>
      </c>
    </row>
    <row r="6899" spans="1:7" x14ac:dyDescent="0.3">
      <c r="A6899">
        <v>24793</v>
      </c>
      <c r="B6899" t="s">
        <v>150</v>
      </c>
      <c r="C6899">
        <v>51055578</v>
      </c>
      <c r="D6899">
        <v>42.449142161289878</v>
      </c>
      <c r="E6899" t="s">
        <v>94</v>
      </c>
      <c r="F6899">
        <v>780</v>
      </c>
      <c r="G6899" s="4">
        <v>46087.604456018518</v>
      </c>
    </row>
    <row r="6900" spans="1:7" x14ac:dyDescent="0.3">
      <c r="A6900">
        <v>24794</v>
      </c>
      <c r="B6900" t="s">
        <v>150</v>
      </c>
      <c r="C6900">
        <v>51024028</v>
      </c>
      <c r="D6900">
        <v>28.540557468568686</v>
      </c>
      <c r="E6900" t="s">
        <v>94</v>
      </c>
      <c r="F6900">
        <v>882</v>
      </c>
      <c r="G6900" s="4">
        <v>46087.604456018518</v>
      </c>
    </row>
    <row r="6901" spans="1:7" x14ac:dyDescent="0.3">
      <c r="A6901">
        <v>24795</v>
      </c>
      <c r="B6901" t="s">
        <v>150</v>
      </c>
      <c r="C6901">
        <v>51057031</v>
      </c>
      <c r="D6901">
        <v>62.180997802613795</v>
      </c>
      <c r="E6901" t="s">
        <v>93</v>
      </c>
      <c r="F6901">
        <v>575</v>
      </c>
      <c r="G6901" s="4">
        <v>46087.604456018518</v>
      </c>
    </row>
    <row r="6902" spans="1:7" x14ac:dyDescent="0.3">
      <c r="A6902">
        <v>24796</v>
      </c>
      <c r="B6902" t="s">
        <v>150</v>
      </c>
      <c r="C6902">
        <v>51011929</v>
      </c>
      <c r="D6902">
        <v>26.598000000000003</v>
      </c>
      <c r="E6902" t="s">
        <v>94</v>
      </c>
      <c r="F6902">
        <v>902</v>
      </c>
      <c r="G6902" s="4">
        <v>46087.604456018518</v>
      </c>
    </row>
    <row r="6903" spans="1:7" x14ac:dyDescent="0.3">
      <c r="A6903">
        <v>24797</v>
      </c>
      <c r="B6903" t="s">
        <v>150</v>
      </c>
      <c r="C6903">
        <v>51017773</v>
      </c>
      <c r="D6903">
        <v>73.108503213171886</v>
      </c>
      <c r="E6903" t="s">
        <v>93</v>
      </c>
      <c r="F6903">
        <v>490</v>
      </c>
      <c r="G6903" s="4">
        <v>46087.604456018518</v>
      </c>
    </row>
    <row r="6904" spans="1:7" x14ac:dyDescent="0.3">
      <c r="A6904">
        <v>24798</v>
      </c>
      <c r="B6904" t="s">
        <v>150</v>
      </c>
      <c r="C6904">
        <v>51003063</v>
      </c>
      <c r="D6904">
        <v>50.238109890397325</v>
      </c>
      <c r="E6904" t="s">
        <v>94</v>
      </c>
      <c r="F6904">
        <v>739</v>
      </c>
      <c r="G6904" s="4">
        <v>46087.604456018518</v>
      </c>
    </row>
    <row r="6905" spans="1:7" x14ac:dyDescent="0.3">
      <c r="A6905">
        <v>24799</v>
      </c>
      <c r="B6905" t="s">
        <v>150</v>
      </c>
      <c r="C6905">
        <v>51022572</v>
      </c>
      <c r="D6905">
        <v>31</v>
      </c>
      <c r="E6905" t="s">
        <v>94</v>
      </c>
      <c r="F6905">
        <v>846</v>
      </c>
      <c r="G6905" s="4">
        <v>46087.604456018518</v>
      </c>
    </row>
    <row r="6906" spans="1:7" x14ac:dyDescent="0.3">
      <c r="A6906">
        <v>24800</v>
      </c>
      <c r="B6906" t="s">
        <v>150</v>
      </c>
      <c r="C6906">
        <v>51022343</v>
      </c>
      <c r="D6906">
        <v>22.89</v>
      </c>
      <c r="E6906" t="s">
        <v>94</v>
      </c>
      <c r="F6906">
        <v>933</v>
      </c>
      <c r="G6906" s="4">
        <v>46087.604456018518</v>
      </c>
    </row>
    <row r="6907" spans="1:7" x14ac:dyDescent="0.3">
      <c r="A6907">
        <v>24801</v>
      </c>
      <c r="B6907" t="s">
        <v>150</v>
      </c>
      <c r="C6907">
        <v>51015835</v>
      </c>
      <c r="D6907">
        <v>62.371193002848443</v>
      </c>
      <c r="E6907" t="s">
        <v>93</v>
      </c>
      <c r="F6907">
        <v>573</v>
      </c>
      <c r="G6907" s="4">
        <v>46087.604456018518</v>
      </c>
    </row>
    <row r="6908" spans="1:7" x14ac:dyDescent="0.3">
      <c r="A6908">
        <v>24802</v>
      </c>
      <c r="B6908" t="s">
        <v>150</v>
      </c>
      <c r="C6908">
        <v>51056329</v>
      </c>
      <c r="D6908">
        <v>33.056000000000004</v>
      </c>
      <c r="E6908" t="s">
        <v>94</v>
      </c>
      <c r="F6908">
        <v>823</v>
      </c>
      <c r="G6908" s="4">
        <v>46087.604456018518</v>
      </c>
    </row>
    <row r="6909" spans="1:7" x14ac:dyDescent="0.3">
      <c r="A6909">
        <v>24803</v>
      </c>
      <c r="B6909" t="s">
        <v>150</v>
      </c>
      <c r="C6909">
        <v>51030915</v>
      </c>
      <c r="D6909">
        <v>30.825000000000003</v>
      </c>
      <c r="E6909" t="s">
        <v>94</v>
      </c>
      <c r="F6909">
        <v>848</v>
      </c>
      <c r="G6909" s="4">
        <v>46087.604456018518</v>
      </c>
    </row>
    <row r="6910" spans="1:7" x14ac:dyDescent="0.3">
      <c r="A6910">
        <v>24804</v>
      </c>
      <c r="B6910" t="s">
        <v>150</v>
      </c>
      <c r="C6910">
        <v>51017871</v>
      </c>
      <c r="D6910">
        <v>29.935000000000002</v>
      </c>
      <c r="E6910" t="s">
        <v>94</v>
      </c>
      <c r="F6910">
        <v>867</v>
      </c>
      <c r="G6910" s="4">
        <v>46087.604456018518</v>
      </c>
    </row>
    <row r="6911" spans="1:7" x14ac:dyDescent="0.3">
      <c r="A6911">
        <v>24805</v>
      </c>
      <c r="B6911" t="s">
        <v>150</v>
      </c>
      <c r="C6911">
        <v>51017218</v>
      </c>
      <c r="D6911">
        <v>99.527209383436087</v>
      </c>
      <c r="E6911" t="s">
        <v>275</v>
      </c>
      <c r="F6911">
        <v>22</v>
      </c>
      <c r="G6911" s="4">
        <v>46087.604456018518</v>
      </c>
    </row>
    <row r="6912" spans="1:7" x14ac:dyDescent="0.3">
      <c r="A6912">
        <v>24806</v>
      </c>
      <c r="B6912" t="s">
        <v>150</v>
      </c>
      <c r="C6912">
        <v>51039025</v>
      </c>
      <c r="D6912">
        <v>23.59</v>
      </c>
      <c r="E6912" t="s">
        <v>94</v>
      </c>
      <c r="F6912">
        <v>927</v>
      </c>
      <c r="G6912" s="4">
        <v>46087.604456018518</v>
      </c>
    </row>
    <row r="6913" spans="1:7" x14ac:dyDescent="0.3">
      <c r="A6913">
        <v>24807</v>
      </c>
      <c r="B6913" t="s">
        <v>150</v>
      </c>
      <c r="C6913">
        <v>51026497</v>
      </c>
      <c r="D6913">
        <v>42.860413350485224</v>
      </c>
      <c r="E6913" t="s">
        <v>94</v>
      </c>
      <c r="F6913">
        <v>779</v>
      </c>
      <c r="G6913" s="4">
        <v>46087.604456018518</v>
      </c>
    </row>
    <row r="6914" spans="1:7" x14ac:dyDescent="0.3">
      <c r="A6914">
        <v>24808</v>
      </c>
      <c r="B6914" t="s">
        <v>150</v>
      </c>
      <c r="C6914">
        <v>51043693</v>
      </c>
      <c r="D6914">
        <v>73.216177783504875</v>
      </c>
      <c r="E6914" t="s">
        <v>93</v>
      </c>
      <c r="F6914">
        <v>488</v>
      </c>
      <c r="G6914" s="4">
        <v>46087.604456018518</v>
      </c>
    </row>
    <row r="6915" spans="1:7" x14ac:dyDescent="0.3">
      <c r="A6915">
        <v>24809</v>
      </c>
      <c r="B6915" t="s">
        <v>150</v>
      </c>
      <c r="C6915">
        <v>51001532</v>
      </c>
      <c r="D6915">
        <v>20.65</v>
      </c>
      <c r="E6915" t="s">
        <v>95</v>
      </c>
      <c r="F6915">
        <v>968</v>
      </c>
      <c r="G6915" s="4">
        <v>46087.604456018518</v>
      </c>
    </row>
    <row r="6916" spans="1:7" x14ac:dyDescent="0.3">
      <c r="A6916">
        <v>24810</v>
      </c>
      <c r="B6916" t="s">
        <v>150</v>
      </c>
      <c r="C6916">
        <v>51002709</v>
      </c>
      <c r="D6916">
        <v>56.144041972251905</v>
      </c>
      <c r="E6916" t="s">
        <v>94</v>
      </c>
      <c r="F6916">
        <v>698</v>
      </c>
      <c r="G6916" s="4">
        <v>46087.604456018518</v>
      </c>
    </row>
    <row r="6917" spans="1:7" x14ac:dyDescent="0.3">
      <c r="A6917">
        <v>24811</v>
      </c>
      <c r="B6917" t="s">
        <v>150</v>
      </c>
      <c r="C6917">
        <v>51015151</v>
      </c>
      <c r="D6917">
        <v>23.877000614722455</v>
      </c>
      <c r="E6917" t="s">
        <v>94</v>
      </c>
      <c r="F6917">
        <v>922</v>
      </c>
      <c r="G6917" s="4">
        <v>46087.604456018518</v>
      </c>
    </row>
    <row r="6918" spans="1:7" x14ac:dyDescent="0.3">
      <c r="A6918">
        <v>24812</v>
      </c>
      <c r="B6918" t="s">
        <v>150</v>
      </c>
      <c r="C6918">
        <v>51009941</v>
      </c>
      <c r="D6918">
        <v>76.135052809354491</v>
      </c>
      <c r="E6918" t="s">
        <v>93</v>
      </c>
      <c r="F6918">
        <v>462</v>
      </c>
      <c r="G6918" s="4">
        <v>46087.604456018518</v>
      </c>
    </row>
    <row r="6919" spans="1:7" x14ac:dyDescent="0.3">
      <c r="A6919">
        <v>24813</v>
      </c>
      <c r="B6919" t="s">
        <v>150</v>
      </c>
      <c r="C6919">
        <v>51024818</v>
      </c>
      <c r="D6919">
        <v>17.778599999999997</v>
      </c>
      <c r="E6919" t="s">
        <v>95</v>
      </c>
      <c r="F6919">
        <v>1035</v>
      </c>
      <c r="G6919" s="4">
        <v>46087.604456018518</v>
      </c>
    </row>
    <row r="6920" spans="1:7" x14ac:dyDescent="0.3">
      <c r="A6920">
        <v>24814</v>
      </c>
      <c r="B6920" t="s">
        <v>150</v>
      </c>
      <c r="C6920">
        <v>51010523</v>
      </c>
      <c r="D6920">
        <v>34.097999999999999</v>
      </c>
      <c r="E6920" t="s">
        <v>94</v>
      </c>
      <c r="F6920">
        <v>813</v>
      </c>
      <c r="G6920" s="4">
        <v>46087.604456018518</v>
      </c>
    </row>
    <row r="6921" spans="1:7" x14ac:dyDescent="0.3">
      <c r="A6921">
        <v>24815</v>
      </c>
      <c r="B6921" t="s">
        <v>150</v>
      </c>
      <c r="C6921">
        <v>51000552</v>
      </c>
      <c r="D6921">
        <v>31.03</v>
      </c>
      <c r="E6921" t="s">
        <v>94</v>
      </c>
      <c r="F6921">
        <v>845</v>
      </c>
      <c r="G6921" s="4">
        <v>46087.604456018518</v>
      </c>
    </row>
    <row r="6922" spans="1:7" x14ac:dyDescent="0.3">
      <c r="A6922">
        <v>24816</v>
      </c>
      <c r="B6922" t="s">
        <v>150</v>
      </c>
      <c r="C6922">
        <v>51052331</v>
      </c>
      <c r="D6922">
        <v>88.002663533158497</v>
      </c>
      <c r="E6922" t="s">
        <v>92</v>
      </c>
      <c r="F6922">
        <v>200</v>
      </c>
      <c r="G6922" s="4">
        <v>46087.604456018518</v>
      </c>
    </row>
    <row r="6923" spans="1:7" x14ac:dyDescent="0.3">
      <c r="A6923">
        <v>24817</v>
      </c>
      <c r="B6923" t="s">
        <v>150</v>
      </c>
      <c r="C6923">
        <v>51024460</v>
      </c>
      <c r="D6923">
        <v>19.821413279159358</v>
      </c>
      <c r="E6923" t="s">
        <v>95</v>
      </c>
      <c r="F6923">
        <v>979</v>
      </c>
      <c r="G6923" s="4">
        <v>46087.604456018518</v>
      </c>
    </row>
    <row r="6924" spans="1:7" x14ac:dyDescent="0.3">
      <c r="A6924">
        <v>24818</v>
      </c>
      <c r="B6924" t="s">
        <v>150</v>
      </c>
      <c r="C6924">
        <v>51024885</v>
      </c>
      <c r="D6924">
        <v>22.89</v>
      </c>
      <c r="E6924" t="s">
        <v>94</v>
      </c>
      <c r="F6924">
        <v>933</v>
      </c>
      <c r="G6924" s="4">
        <v>46087.604456018518</v>
      </c>
    </row>
    <row r="6925" spans="1:7" x14ac:dyDescent="0.3">
      <c r="A6925">
        <v>24819</v>
      </c>
      <c r="B6925" t="s">
        <v>150</v>
      </c>
      <c r="C6925">
        <v>51005554</v>
      </c>
      <c r="D6925">
        <v>57.489168620002317</v>
      </c>
      <c r="E6925" t="s">
        <v>94</v>
      </c>
      <c r="F6925">
        <v>676</v>
      </c>
      <c r="G6925" s="4">
        <v>46087.604456018518</v>
      </c>
    </row>
    <row r="6926" spans="1:7" x14ac:dyDescent="0.3">
      <c r="A6926">
        <v>24820</v>
      </c>
      <c r="B6926" t="s">
        <v>150</v>
      </c>
      <c r="C6926">
        <v>51024478</v>
      </c>
      <c r="D6926">
        <v>22.728999999999999</v>
      </c>
      <c r="E6926" t="s">
        <v>94</v>
      </c>
      <c r="F6926">
        <v>937</v>
      </c>
      <c r="G6926" s="4">
        <v>46087.604456018518</v>
      </c>
    </row>
    <row r="6927" spans="1:7" x14ac:dyDescent="0.3">
      <c r="A6927">
        <v>24821</v>
      </c>
      <c r="B6927" t="s">
        <v>150</v>
      </c>
      <c r="C6927">
        <v>51012691</v>
      </c>
      <c r="D6927">
        <v>39.674999999999997</v>
      </c>
      <c r="E6927" t="s">
        <v>94</v>
      </c>
      <c r="F6927">
        <v>787</v>
      </c>
      <c r="G6927" s="4">
        <v>46087.604456018518</v>
      </c>
    </row>
    <row r="6928" spans="1:7" x14ac:dyDescent="0.3">
      <c r="A6928">
        <v>24822</v>
      </c>
      <c r="B6928" t="s">
        <v>150</v>
      </c>
      <c r="C6928">
        <v>51015681</v>
      </c>
      <c r="D6928">
        <v>21.572599999999998</v>
      </c>
      <c r="E6928" t="s">
        <v>94</v>
      </c>
      <c r="F6928">
        <v>954</v>
      </c>
      <c r="G6928" s="4">
        <v>46087.604456018518</v>
      </c>
    </row>
    <row r="6929" spans="1:7" x14ac:dyDescent="0.3">
      <c r="A6929">
        <v>24823</v>
      </c>
      <c r="B6929" t="s">
        <v>150</v>
      </c>
      <c r="C6929">
        <v>51019008</v>
      </c>
      <c r="D6929">
        <v>89.568901185956307</v>
      </c>
      <c r="E6929" t="s">
        <v>92</v>
      </c>
      <c r="F6929">
        <v>147</v>
      </c>
      <c r="G6929" s="4">
        <v>46087.604456018518</v>
      </c>
    </row>
    <row r="6930" spans="1:7" x14ac:dyDescent="0.3">
      <c r="A6930">
        <v>24824</v>
      </c>
      <c r="B6930" t="s">
        <v>150</v>
      </c>
      <c r="C6930">
        <v>51015762</v>
      </c>
      <c r="D6930">
        <v>40.199999999999996</v>
      </c>
      <c r="E6930" t="s">
        <v>94</v>
      </c>
      <c r="F6930">
        <v>783</v>
      </c>
      <c r="G6930" s="4">
        <v>46087.604456018518</v>
      </c>
    </row>
    <row r="6931" spans="1:7" x14ac:dyDescent="0.3">
      <c r="A6931">
        <v>24825</v>
      </c>
      <c r="B6931" t="s">
        <v>150</v>
      </c>
      <c r="C6931">
        <v>51017714</v>
      </c>
      <c r="D6931">
        <v>37.706361391094546</v>
      </c>
      <c r="E6931" t="s">
        <v>94</v>
      </c>
      <c r="F6931">
        <v>797</v>
      </c>
      <c r="G6931" s="4">
        <v>46087.604456018518</v>
      </c>
    </row>
    <row r="6932" spans="1:7" x14ac:dyDescent="0.3">
      <c r="A6932">
        <v>24826</v>
      </c>
      <c r="B6932" t="s">
        <v>150</v>
      </c>
      <c r="C6932">
        <v>51031997</v>
      </c>
      <c r="D6932">
        <v>27.796000000000003</v>
      </c>
      <c r="E6932" t="s">
        <v>94</v>
      </c>
      <c r="F6932">
        <v>887</v>
      </c>
      <c r="G6932" s="4">
        <v>46087.604456018518</v>
      </c>
    </row>
    <row r="6933" spans="1:7" x14ac:dyDescent="0.3">
      <c r="A6933">
        <v>24827</v>
      </c>
      <c r="B6933" t="s">
        <v>150</v>
      </c>
      <c r="C6933">
        <v>51039181</v>
      </c>
      <c r="D6933">
        <v>60.10409507625279</v>
      </c>
      <c r="E6933" t="s">
        <v>94</v>
      </c>
      <c r="F6933">
        <v>619</v>
      </c>
      <c r="G6933" s="4">
        <v>46087.604456018518</v>
      </c>
    </row>
    <row r="6934" spans="1:7" x14ac:dyDescent="0.3">
      <c r="A6934">
        <v>24828</v>
      </c>
      <c r="B6934" t="s">
        <v>150</v>
      </c>
      <c r="C6934">
        <v>51057121</v>
      </c>
      <c r="D6934">
        <v>94.992217546929098</v>
      </c>
      <c r="E6934" t="s">
        <v>92</v>
      </c>
      <c r="F6934">
        <v>70</v>
      </c>
      <c r="G6934" s="4">
        <v>46087.604456018518</v>
      </c>
    </row>
    <row r="6935" spans="1:7" x14ac:dyDescent="0.3">
      <c r="A6935">
        <v>24829</v>
      </c>
      <c r="B6935" t="s">
        <v>150</v>
      </c>
      <c r="C6935">
        <v>51018290</v>
      </c>
      <c r="D6935">
        <v>60.27659823854146</v>
      </c>
      <c r="E6935" t="s">
        <v>94</v>
      </c>
      <c r="F6935">
        <v>613</v>
      </c>
      <c r="G6935" s="4">
        <v>46087.604456018518</v>
      </c>
    </row>
    <row r="6936" spans="1:7" x14ac:dyDescent="0.3">
      <c r="A6936">
        <v>24830</v>
      </c>
      <c r="B6936" t="s">
        <v>150</v>
      </c>
      <c r="C6936">
        <v>51043561</v>
      </c>
      <c r="D6936">
        <v>22.608599999999999</v>
      </c>
      <c r="E6936" t="s">
        <v>94</v>
      </c>
      <c r="F6936">
        <v>940</v>
      </c>
      <c r="G6936" s="4">
        <v>46087.604456018518</v>
      </c>
    </row>
    <row r="6937" spans="1:7" x14ac:dyDescent="0.3">
      <c r="A6937">
        <v>24831</v>
      </c>
      <c r="B6937" t="s">
        <v>150</v>
      </c>
      <c r="C6937">
        <v>51036964</v>
      </c>
      <c r="D6937">
        <v>56.157074818212699</v>
      </c>
      <c r="E6937" t="s">
        <v>94</v>
      </c>
      <c r="F6937">
        <v>697</v>
      </c>
      <c r="G6937" s="4">
        <v>46087.604456018518</v>
      </c>
    </row>
    <row r="6938" spans="1:7" x14ac:dyDescent="0.3">
      <c r="A6938">
        <v>24832</v>
      </c>
      <c r="B6938" t="s">
        <v>150</v>
      </c>
      <c r="C6938">
        <v>51030290</v>
      </c>
      <c r="D6938">
        <v>89.980245010924705</v>
      </c>
      <c r="E6938" t="s">
        <v>92</v>
      </c>
      <c r="F6938">
        <v>136</v>
      </c>
      <c r="G6938" s="4">
        <v>46087.604456018518</v>
      </c>
    </row>
    <row r="6939" spans="1:7" x14ac:dyDescent="0.3">
      <c r="A6939">
        <v>24833</v>
      </c>
      <c r="B6939" t="s">
        <v>150</v>
      </c>
      <c r="C6939">
        <v>51023331</v>
      </c>
      <c r="D6939">
        <v>24.498600000000003</v>
      </c>
      <c r="E6939" t="s">
        <v>94</v>
      </c>
      <c r="F6939">
        <v>916</v>
      </c>
      <c r="G6939" s="4">
        <v>46087.604456018518</v>
      </c>
    </row>
    <row r="6940" spans="1:7" x14ac:dyDescent="0.3">
      <c r="A6940">
        <v>24834</v>
      </c>
      <c r="B6940" t="s">
        <v>150</v>
      </c>
      <c r="C6940">
        <v>51024010</v>
      </c>
      <c r="D6940">
        <v>25.9</v>
      </c>
      <c r="E6940" t="s">
        <v>94</v>
      </c>
      <c r="F6940">
        <v>908</v>
      </c>
      <c r="G6940" s="4">
        <v>46087.604456018518</v>
      </c>
    </row>
    <row r="6941" spans="1:7" x14ac:dyDescent="0.3">
      <c r="A6941">
        <v>24835</v>
      </c>
      <c r="B6941" t="s">
        <v>150</v>
      </c>
      <c r="C6941">
        <v>51024664</v>
      </c>
      <c r="D6941">
        <v>87.399127954690101</v>
      </c>
      <c r="E6941" t="s">
        <v>92</v>
      </c>
      <c r="F6941">
        <v>214</v>
      </c>
      <c r="G6941" s="4">
        <v>46087.604456018518</v>
      </c>
    </row>
    <row r="6942" spans="1:7" x14ac:dyDescent="0.3">
      <c r="A6942">
        <v>24836</v>
      </c>
      <c r="B6942" t="s">
        <v>150</v>
      </c>
      <c r="C6942">
        <v>51009185</v>
      </c>
      <c r="D6942">
        <v>30.599999999999998</v>
      </c>
      <c r="E6942" t="s">
        <v>94</v>
      </c>
      <c r="F6942">
        <v>853</v>
      </c>
      <c r="G6942" s="4">
        <v>46087.604456018518</v>
      </c>
    </row>
    <row r="6943" spans="1:7" x14ac:dyDescent="0.3">
      <c r="A6943">
        <v>24837</v>
      </c>
      <c r="B6943" t="s">
        <v>150</v>
      </c>
      <c r="C6943">
        <v>51039424</v>
      </c>
      <c r="D6943">
        <v>19.508999999999997</v>
      </c>
      <c r="E6943" t="s">
        <v>95</v>
      </c>
      <c r="F6943">
        <v>986</v>
      </c>
      <c r="G6943" s="4">
        <v>46087.604456018518</v>
      </c>
    </row>
    <row r="6944" spans="1:7" x14ac:dyDescent="0.3">
      <c r="A6944">
        <v>24838</v>
      </c>
      <c r="B6944" t="s">
        <v>150</v>
      </c>
      <c r="C6944">
        <v>51038941</v>
      </c>
      <c r="D6944">
        <v>28.288</v>
      </c>
      <c r="E6944" t="s">
        <v>94</v>
      </c>
      <c r="F6944">
        <v>883</v>
      </c>
      <c r="G6944" s="4">
        <v>46087.604456018518</v>
      </c>
    </row>
    <row r="6945" spans="1:7" x14ac:dyDescent="0.3">
      <c r="A6945">
        <v>24839</v>
      </c>
      <c r="B6945" t="s">
        <v>150</v>
      </c>
      <c r="C6945">
        <v>51015126</v>
      </c>
      <c r="D6945">
        <v>18.898599999999998</v>
      </c>
      <c r="E6945" t="s">
        <v>95</v>
      </c>
      <c r="F6945">
        <v>1006</v>
      </c>
      <c r="G6945" s="4">
        <v>46087.604456018518</v>
      </c>
    </row>
    <row r="6946" spans="1:7" x14ac:dyDescent="0.3">
      <c r="A6946">
        <v>24840</v>
      </c>
      <c r="B6946" t="s">
        <v>150</v>
      </c>
      <c r="C6946">
        <v>51017234</v>
      </c>
      <c r="D6946">
        <v>20.58</v>
      </c>
      <c r="E6946" t="s">
        <v>95</v>
      </c>
      <c r="F6946">
        <v>969</v>
      </c>
      <c r="G6946" s="4">
        <v>46087.604456018518</v>
      </c>
    </row>
    <row r="6947" spans="1:7" x14ac:dyDescent="0.3">
      <c r="A6947">
        <v>24841</v>
      </c>
      <c r="B6947" t="s">
        <v>150</v>
      </c>
      <c r="C6947">
        <v>51012852</v>
      </c>
      <c r="D6947">
        <v>18.549999999999997</v>
      </c>
      <c r="E6947" t="s">
        <v>95</v>
      </c>
      <c r="F6947">
        <v>1018</v>
      </c>
      <c r="G6947" s="4">
        <v>46087.604456018518</v>
      </c>
    </row>
    <row r="6948" spans="1:7" x14ac:dyDescent="0.3">
      <c r="A6948">
        <v>24842</v>
      </c>
      <c r="B6948" t="s">
        <v>150</v>
      </c>
      <c r="C6948">
        <v>51010396</v>
      </c>
      <c r="D6948">
        <v>20.86</v>
      </c>
      <c r="E6948" t="s">
        <v>95</v>
      </c>
      <c r="F6948">
        <v>965</v>
      </c>
      <c r="G6948" s="4">
        <v>46087.604456018518</v>
      </c>
    </row>
    <row r="6949" spans="1:7" x14ac:dyDescent="0.3">
      <c r="A6949">
        <v>24843</v>
      </c>
      <c r="B6949" t="s">
        <v>150</v>
      </c>
      <c r="C6949">
        <v>51022629</v>
      </c>
      <c r="D6949">
        <v>68.257380928025086</v>
      </c>
      <c r="E6949" t="s">
        <v>93</v>
      </c>
      <c r="F6949">
        <v>525</v>
      </c>
      <c r="G6949" s="4">
        <v>46087.604456018518</v>
      </c>
    </row>
    <row r="6950" spans="1:7" x14ac:dyDescent="0.3">
      <c r="A6950">
        <v>24844</v>
      </c>
      <c r="B6950" t="s">
        <v>150</v>
      </c>
      <c r="C6950">
        <v>51021274</v>
      </c>
      <c r="D6950">
        <v>34.722600000000007</v>
      </c>
      <c r="E6950" t="s">
        <v>94</v>
      </c>
      <c r="F6950">
        <v>807</v>
      </c>
      <c r="G6950" s="4">
        <v>46087.604456018518</v>
      </c>
    </row>
    <row r="6951" spans="1:7" x14ac:dyDescent="0.3">
      <c r="A6951">
        <v>24845</v>
      </c>
      <c r="B6951" t="s">
        <v>150</v>
      </c>
      <c r="C6951">
        <v>51021819</v>
      </c>
      <c r="D6951">
        <v>23.659999999999997</v>
      </c>
      <c r="E6951" t="s">
        <v>94</v>
      </c>
      <c r="F6951">
        <v>925</v>
      </c>
      <c r="G6951" s="4">
        <v>46087.604456018518</v>
      </c>
    </row>
    <row r="6952" spans="1:7" x14ac:dyDescent="0.3">
      <c r="A6952">
        <v>24846</v>
      </c>
      <c r="B6952" t="s">
        <v>150</v>
      </c>
      <c r="C6952">
        <v>51011171</v>
      </c>
      <c r="D6952">
        <v>20.368600000000001</v>
      </c>
      <c r="E6952" t="s">
        <v>95</v>
      </c>
      <c r="F6952">
        <v>973</v>
      </c>
      <c r="G6952" s="4">
        <v>46087.604456018518</v>
      </c>
    </row>
    <row r="6953" spans="1:7" x14ac:dyDescent="0.3">
      <c r="A6953">
        <v>24847</v>
      </c>
      <c r="B6953" t="s">
        <v>150</v>
      </c>
      <c r="C6953">
        <v>51012470</v>
      </c>
      <c r="D6953">
        <v>69.625705066018668</v>
      </c>
      <c r="E6953" t="s">
        <v>93</v>
      </c>
      <c r="F6953">
        <v>514</v>
      </c>
      <c r="G6953" s="4">
        <v>46087.604456018518</v>
      </c>
    </row>
    <row r="6954" spans="1:7" x14ac:dyDescent="0.3">
      <c r="A6954">
        <v>24848</v>
      </c>
      <c r="B6954" t="s">
        <v>150</v>
      </c>
      <c r="C6954">
        <v>51032713</v>
      </c>
      <c r="D6954">
        <v>29.697800000000004</v>
      </c>
      <c r="E6954" t="s">
        <v>94</v>
      </c>
      <c r="F6954">
        <v>870</v>
      </c>
      <c r="G6954" s="4">
        <v>46087.604456018518</v>
      </c>
    </row>
    <row r="6955" spans="1:7" x14ac:dyDescent="0.3">
      <c r="A6955">
        <v>24849</v>
      </c>
      <c r="B6955" t="s">
        <v>150</v>
      </c>
      <c r="C6955">
        <v>51010744</v>
      </c>
      <c r="D6955">
        <v>29.763044387839692</v>
      </c>
      <c r="E6955" t="s">
        <v>94</v>
      </c>
      <c r="F6955">
        <v>869</v>
      </c>
      <c r="G6955" s="4">
        <v>46087.604456018518</v>
      </c>
    </row>
    <row r="6956" spans="1:7" x14ac:dyDescent="0.3">
      <c r="A6956">
        <v>24850</v>
      </c>
      <c r="B6956" t="s">
        <v>150</v>
      </c>
      <c r="C6956">
        <v>51057546</v>
      </c>
      <c r="D6956">
        <v>28.618224728585883</v>
      </c>
      <c r="E6956" t="s">
        <v>94</v>
      </c>
      <c r="F6956">
        <v>880</v>
      </c>
      <c r="G6956" s="4">
        <v>46087.604456018518</v>
      </c>
    </row>
    <row r="6957" spans="1:7" x14ac:dyDescent="0.3">
      <c r="A6957">
        <v>24851</v>
      </c>
      <c r="B6957" t="s">
        <v>150</v>
      </c>
      <c r="C6957">
        <v>51023889</v>
      </c>
      <c r="D6957">
        <v>8.6030000000000015</v>
      </c>
      <c r="E6957" t="s">
        <v>95</v>
      </c>
      <c r="F6957">
        <v>1179</v>
      </c>
      <c r="G6957" s="4">
        <v>46087.604456018518</v>
      </c>
    </row>
    <row r="6958" spans="1:7" x14ac:dyDescent="0.3">
      <c r="A6958">
        <v>24852</v>
      </c>
      <c r="B6958" t="s">
        <v>150</v>
      </c>
      <c r="C6958">
        <v>51031041</v>
      </c>
      <c r="D6958">
        <v>10.73</v>
      </c>
      <c r="E6958" t="s">
        <v>95</v>
      </c>
      <c r="F6958">
        <v>1151</v>
      </c>
      <c r="G6958" s="4">
        <v>46087.604456018518</v>
      </c>
    </row>
    <row r="6959" spans="1:7" x14ac:dyDescent="0.3">
      <c r="A6959">
        <v>24853</v>
      </c>
      <c r="B6959" t="s">
        <v>150</v>
      </c>
      <c r="C6959">
        <v>51022262</v>
      </c>
      <c r="D6959">
        <v>8.9558</v>
      </c>
      <c r="E6959" t="s">
        <v>95</v>
      </c>
      <c r="F6959">
        <v>1176</v>
      </c>
      <c r="G6959" s="4">
        <v>46087.604456018518</v>
      </c>
    </row>
    <row r="6960" spans="1:7" x14ac:dyDescent="0.3">
      <c r="A6960">
        <v>24854</v>
      </c>
      <c r="B6960" t="s">
        <v>150</v>
      </c>
      <c r="C6960">
        <v>51017731</v>
      </c>
      <c r="D6960">
        <v>7.9667000000000012</v>
      </c>
      <c r="E6960" t="s">
        <v>95</v>
      </c>
      <c r="F6960">
        <v>1187</v>
      </c>
      <c r="G6960" s="4">
        <v>46087.604456018518</v>
      </c>
    </row>
    <row r="6961" spans="1:7" x14ac:dyDescent="0.3">
      <c r="A6961">
        <v>24855</v>
      </c>
      <c r="B6961" t="s">
        <v>150</v>
      </c>
      <c r="C6961">
        <v>51000269</v>
      </c>
      <c r="D6961">
        <v>7.91</v>
      </c>
      <c r="E6961" t="s">
        <v>95</v>
      </c>
      <c r="F6961">
        <v>1188</v>
      </c>
      <c r="G6961" s="4">
        <v>46087.604456018518</v>
      </c>
    </row>
    <row r="6962" spans="1:7" x14ac:dyDescent="0.3">
      <c r="A6962">
        <v>24856</v>
      </c>
      <c r="B6962" t="s">
        <v>150</v>
      </c>
      <c r="C6962">
        <v>51000862</v>
      </c>
      <c r="D6962">
        <v>19.8</v>
      </c>
      <c r="E6962" t="s">
        <v>95</v>
      </c>
      <c r="F6962">
        <v>980</v>
      </c>
      <c r="G6962" s="4">
        <v>46087.604456018518</v>
      </c>
    </row>
    <row r="6963" spans="1:7" x14ac:dyDescent="0.3">
      <c r="A6963">
        <v>24857</v>
      </c>
      <c r="B6963" t="s">
        <v>150</v>
      </c>
      <c r="C6963">
        <v>51001494</v>
      </c>
      <c r="D6963">
        <v>10.709999999999999</v>
      </c>
      <c r="E6963" t="s">
        <v>95</v>
      </c>
      <c r="F6963">
        <v>1152</v>
      </c>
      <c r="G6963" s="4">
        <v>46087.604456018518</v>
      </c>
    </row>
    <row r="6964" spans="1:7" x14ac:dyDescent="0.3">
      <c r="A6964">
        <v>24858</v>
      </c>
      <c r="B6964" t="s">
        <v>150</v>
      </c>
      <c r="C6964">
        <v>51001745</v>
      </c>
      <c r="D6964">
        <v>21.01</v>
      </c>
      <c r="E6964" t="s">
        <v>95</v>
      </c>
      <c r="F6964">
        <v>961</v>
      </c>
      <c r="G6964" s="4">
        <v>46087.604456018518</v>
      </c>
    </row>
    <row r="6965" spans="1:7" x14ac:dyDescent="0.3">
      <c r="A6965">
        <v>24859</v>
      </c>
      <c r="B6965" t="s">
        <v>150</v>
      </c>
      <c r="C6965">
        <v>51001923</v>
      </c>
      <c r="D6965">
        <v>15.840000000000002</v>
      </c>
      <c r="E6965" t="s">
        <v>95</v>
      </c>
      <c r="F6965">
        <v>1069</v>
      </c>
      <c r="G6965" s="4">
        <v>46087.604456018518</v>
      </c>
    </row>
    <row r="6966" spans="1:7" x14ac:dyDescent="0.3">
      <c r="A6966">
        <v>24860</v>
      </c>
      <c r="B6966" t="s">
        <v>150</v>
      </c>
      <c r="C6966">
        <v>51003721</v>
      </c>
      <c r="D6966">
        <v>14.5</v>
      </c>
      <c r="E6966" t="s">
        <v>95</v>
      </c>
      <c r="F6966">
        <v>1083</v>
      </c>
      <c r="G6966" s="4">
        <v>46087.604456018518</v>
      </c>
    </row>
    <row r="6967" spans="1:7" x14ac:dyDescent="0.3">
      <c r="A6967">
        <v>24861</v>
      </c>
      <c r="B6967" t="s">
        <v>150</v>
      </c>
      <c r="C6967">
        <v>51004167</v>
      </c>
      <c r="D6967">
        <v>13.7</v>
      </c>
      <c r="E6967" t="s">
        <v>95</v>
      </c>
      <c r="F6967">
        <v>1095</v>
      </c>
      <c r="G6967" s="4">
        <v>46087.604456018518</v>
      </c>
    </row>
    <row r="6968" spans="1:7" x14ac:dyDescent="0.3">
      <c r="A6968">
        <v>24862</v>
      </c>
      <c r="B6968" t="s">
        <v>150</v>
      </c>
      <c r="C6968">
        <v>51004671</v>
      </c>
      <c r="D6968">
        <v>12.459999999999999</v>
      </c>
      <c r="E6968" t="s">
        <v>95</v>
      </c>
      <c r="F6968">
        <v>1127</v>
      </c>
      <c r="G6968" s="4">
        <v>46087.604456018518</v>
      </c>
    </row>
    <row r="6969" spans="1:7" x14ac:dyDescent="0.3">
      <c r="A6969">
        <v>24863</v>
      </c>
      <c r="B6969" t="s">
        <v>150</v>
      </c>
      <c r="C6969">
        <v>51005058</v>
      </c>
      <c r="D6969">
        <v>19.3</v>
      </c>
      <c r="E6969" t="s">
        <v>95</v>
      </c>
      <c r="F6969">
        <v>992</v>
      </c>
      <c r="G6969" s="4">
        <v>46087.604456018518</v>
      </c>
    </row>
    <row r="6970" spans="1:7" x14ac:dyDescent="0.3">
      <c r="A6970">
        <v>24864</v>
      </c>
      <c r="B6970" t="s">
        <v>150</v>
      </c>
      <c r="C6970">
        <v>51005201</v>
      </c>
      <c r="D6970">
        <v>17.600000000000001</v>
      </c>
      <c r="E6970" t="s">
        <v>95</v>
      </c>
      <c r="F6970">
        <v>1037</v>
      </c>
      <c r="G6970" s="4">
        <v>46087.604456018518</v>
      </c>
    </row>
    <row r="6971" spans="1:7" x14ac:dyDescent="0.3">
      <c r="A6971">
        <v>24865</v>
      </c>
      <c r="B6971" t="s">
        <v>150</v>
      </c>
      <c r="C6971">
        <v>51005384</v>
      </c>
      <c r="D6971">
        <v>10.57</v>
      </c>
      <c r="E6971" t="s">
        <v>95</v>
      </c>
      <c r="F6971">
        <v>1158</v>
      </c>
      <c r="G6971" s="4">
        <v>46087.604456018518</v>
      </c>
    </row>
    <row r="6972" spans="1:7" x14ac:dyDescent="0.3">
      <c r="A6972">
        <v>24866</v>
      </c>
      <c r="B6972" t="s">
        <v>150</v>
      </c>
      <c r="C6972">
        <v>51005902</v>
      </c>
      <c r="D6972">
        <v>15.840000000000002</v>
      </c>
      <c r="E6972" t="s">
        <v>95</v>
      </c>
      <c r="F6972">
        <v>1069</v>
      </c>
      <c r="G6972" s="4">
        <v>46087.604456018518</v>
      </c>
    </row>
    <row r="6973" spans="1:7" x14ac:dyDescent="0.3">
      <c r="A6973">
        <v>24867</v>
      </c>
      <c r="B6973" t="s">
        <v>150</v>
      </c>
      <c r="C6973">
        <v>51006445</v>
      </c>
      <c r="D6973">
        <v>19.36</v>
      </c>
      <c r="E6973" t="s">
        <v>95</v>
      </c>
      <c r="F6973">
        <v>990</v>
      </c>
      <c r="G6973" s="4">
        <v>46087.604456018518</v>
      </c>
    </row>
    <row r="6974" spans="1:7" x14ac:dyDescent="0.3">
      <c r="A6974">
        <v>24868</v>
      </c>
      <c r="B6974" t="s">
        <v>150</v>
      </c>
      <c r="C6974">
        <v>51006453</v>
      </c>
      <c r="D6974">
        <v>15.639999999999999</v>
      </c>
      <c r="E6974" t="s">
        <v>95</v>
      </c>
      <c r="F6974">
        <v>1072</v>
      </c>
      <c r="G6974" s="4">
        <v>46087.604456018518</v>
      </c>
    </row>
    <row r="6975" spans="1:7" x14ac:dyDescent="0.3">
      <c r="A6975">
        <v>24869</v>
      </c>
      <c r="B6975" t="s">
        <v>150</v>
      </c>
      <c r="C6975">
        <v>51006518</v>
      </c>
      <c r="D6975">
        <v>12.81</v>
      </c>
      <c r="E6975" t="s">
        <v>95</v>
      </c>
      <c r="F6975">
        <v>1117</v>
      </c>
      <c r="G6975" s="4">
        <v>46087.604456018518</v>
      </c>
    </row>
    <row r="6976" spans="1:7" x14ac:dyDescent="0.3">
      <c r="A6976">
        <v>24870</v>
      </c>
      <c r="B6976" t="s">
        <v>150</v>
      </c>
      <c r="C6976">
        <v>51006674</v>
      </c>
      <c r="D6976">
        <v>16.5</v>
      </c>
      <c r="E6976" t="s">
        <v>95</v>
      </c>
      <c r="F6976">
        <v>1060</v>
      </c>
      <c r="G6976" s="4">
        <v>46087.604456018518</v>
      </c>
    </row>
    <row r="6977" spans="1:7" x14ac:dyDescent="0.3">
      <c r="A6977">
        <v>24871</v>
      </c>
      <c r="B6977" t="s">
        <v>150</v>
      </c>
      <c r="C6977">
        <v>51010094</v>
      </c>
      <c r="D6977">
        <v>15.3</v>
      </c>
      <c r="E6977" t="s">
        <v>95</v>
      </c>
      <c r="F6977">
        <v>1075</v>
      </c>
      <c r="G6977" s="4">
        <v>46087.604456018518</v>
      </c>
    </row>
    <row r="6978" spans="1:7" x14ac:dyDescent="0.3">
      <c r="A6978">
        <v>24872</v>
      </c>
      <c r="B6978" t="s">
        <v>150</v>
      </c>
      <c r="C6978">
        <v>51010108</v>
      </c>
      <c r="D6978">
        <v>10.36</v>
      </c>
      <c r="E6978" t="s">
        <v>95</v>
      </c>
      <c r="F6978">
        <v>1163</v>
      </c>
      <c r="G6978" s="4">
        <v>46087.604456018518</v>
      </c>
    </row>
    <row r="6979" spans="1:7" x14ac:dyDescent="0.3">
      <c r="A6979">
        <v>24873</v>
      </c>
      <c r="B6979" t="s">
        <v>150</v>
      </c>
      <c r="C6979">
        <v>51010167</v>
      </c>
      <c r="D6979">
        <v>22.655000000000001</v>
      </c>
      <c r="E6979" t="s">
        <v>94</v>
      </c>
      <c r="F6979">
        <v>939</v>
      </c>
      <c r="G6979" s="4">
        <v>46087.604456018518</v>
      </c>
    </row>
    <row r="6980" spans="1:7" x14ac:dyDescent="0.3">
      <c r="A6980">
        <v>24874</v>
      </c>
      <c r="B6980" t="s">
        <v>150</v>
      </c>
      <c r="C6980">
        <v>51010388</v>
      </c>
      <c r="D6980">
        <v>7.91</v>
      </c>
      <c r="E6980" t="s">
        <v>95</v>
      </c>
      <c r="F6980">
        <v>1188</v>
      </c>
      <c r="G6980" s="4">
        <v>46087.604456018518</v>
      </c>
    </row>
    <row r="6981" spans="1:7" x14ac:dyDescent="0.3">
      <c r="A6981">
        <v>24875</v>
      </c>
      <c r="B6981" t="s">
        <v>150</v>
      </c>
      <c r="C6981">
        <v>51010477</v>
      </c>
      <c r="D6981">
        <v>16.899999999999999</v>
      </c>
      <c r="E6981" t="s">
        <v>95</v>
      </c>
      <c r="F6981">
        <v>1052</v>
      </c>
      <c r="G6981" s="4">
        <v>46087.604456018518</v>
      </c>
    </row>
    <row r="6982" spans="1:7" x14ac:dyDescent="0.3">
      <c r="A6982">
        <v>24876</v>
      </c>
      <c r="B6982" t="s">
        <v>150</v>
      </c>
      <c r="C6982">
        <v>51010485</v>
      </c>
      <c r="D6982">
        <v>9.870000000000001</v>
      </c>
      <c r="E6982" t="s">
        <v>95</v>
      </c>
      <c r="F6982">
        <v>1170</v>
      </c>
      <c r="G6982" s="4">
        <v>46087.604456018518</v>
      </c>
    </row>
    <row r="6983" spans="1:7" x14ac:dyDescent="0.3">
      <c r="A6983">
        <v>24877</v>
      </c>
      <c r="B6983" t="s">
        <v>150</v>
      </c>
      <c r="C6983">
        <v>51010612</v>
      </c>
      <c r="D6983">
        <v>9.5899999999999981</v>
      </c>
      <c r="E6983" t="s">
        <v>95</v>
      </c>
      <c r="F6983">
        <v>1172</v>
      </c>
      <c r="G6983" s="4">
        <v>46087.604456018518</v>
      </c>
    </row>
    <row r="6984" spans="1:7" x14ac:dyDescent="0.3">
      <c r="A6984">
        <v>24878</v>
      </c>
      <c r="B6984" t="s">
        <v>150</v>
      </c>
      <c r="C6984">
        <v>51010639</v>
      </c>
      <c r="D6984">
        <v>18.100000000000001</v>
      </c>
      <c r="E6984" t="s">
        <v>95</v>
      </c>
      <c r="F6984">
        <v>1026</v>
      </c>
      <c r="G6984" s="4">
        <v>46087.604456018518</v>
      </c>
    </row>
    <row r="6985" spans="1:7" x14ac:dyDescent="0.3">
      <c r="A6985">
        <v>24879</v>
      </c>
      <c r="B6985" t="s">
        <v>150</v>
      </c>
      <c r="C6985">
        <v>51010965</v>
      </c>
      <c r="D6985">
        <v>8.33</v>
      </c>
      <c r="E6985" t="s">
        <v>95</v>
      </c>
      <c r="F6985">
        <v>1182</v>
      </c>
      <c r="G6985" s="4">
        <v>46087.604456018518</v>
      </c>
    </row>
    <row r="6986" spans="1:7" x14ac:dyDescent="0.3">
      <c r="A6986">
        <v>24880</v>
      </c>
      <c r="B6986" t="s">
        <v>150</v>
      </c>
      <c r="C6986">
        <v>51011082</v>
      </c>
      <c r="D6986">
        <v>17.123000000000001</v>
      </c>
      <c r="E6986" t="s">
        <v>95</v>
      </c>
      <c r="F6986">
        <v>1048</v>
      </c>
      <c r="G6986" s="4">
        <v>46087.604456018518</v>
      </c>
    </row>
    <row r="6987" spans="1:7" x14ac:dyDescent="0.3">
      <c r="A6987">
        <v>24881</v>
      </c>
      <c r="B6987" t="s">
        <v>150</v>
      </c>
      <c r="C6987">
        <v>51011104</v>
      </c>
      <c r="D6987">
        <v>18.859999999999996</v>
      </c>
      <c r="E6987" t="s">
        <v>95</v>
      </c>
      <c r="F6987">
        <v>1007</v>
      </c>
      <c r="G6987" s="4">
        <v>46087.604456018518</v>
      </c>
    </row>
    <row r="6988" spans="1:7" x14ac:dyDescent="0.3">
      <c r="A6988">
        <v>24882</v>
      </c>
      <c r="B6988" t="s">
        <v>150</v>
      </c>
      <c r="C6988">
        <v>51011163</v>
      </c>
      <c r="D6988">
        <v>19.8</v>
      </c>
      <c r="E6988" t="s">
        <v>95</v>
      </c>
      <c r="F6988">
        <v>980</v>
      </c>
      <c r="G6988" s="4">
        <v>46087.604456018518</v>
      </c>
    </row>
    <row r="6989" spans="1:7" x14ac:dyDescent="0.3">
      <c r="A6989">
        <v>24883</v>
      </c>
      <c r="B6989" t="s">
        <v>150</v>
      </c>
      <c r="C6989">
        <v>51011406</v>
      </c>
      <c r="D6989">
        <v>8.33</v>
      </c>
      <c r="E6989" t="s">
        <v>95</v>
      </c>
      <c r="F6989">
        <v>1182</v>
      </c>
      <c r="G6989" s="4">
        <v>46087.604456018518</v>
      </c>
    </row>
    <row r="6990" spans="1:7" x14ac:dyDescent="0.3">
      <c r="A6990">
        <v>24884</v>
      </c>
      <c r="B6990" t="s">
        <v>150</v>
      </c>
      <c r="C6990">
        <v>51011503</v>
      </c>
      <c r="D6990">
        <v>16.384999999999998</v>
      </c>
      <c r="E6990" t="s">
        <v>95</v>
      </c>
      <c r="F6990">
        <v>1061</v>
      </c>
      <c r="G6990" s="4">
        <v>46087.604456018518</v>
      </c>
    </row>
    <row r="6991" spans="1:7" x14ac:dyDescent="0.3">
      <c r="A6991">
        <v>24885</v>
      </c>
      <c r="B6991" t="s">
        <v>150</v>
      </c>
      <c r="C6991">
        <v>51011511</v>
      </c>
      <c r="D6991">
        <v>8.68</v>
      </c>
      <c r="E6991" t="s">
        <v>95</v>
      </c>
      <c r="F6991">
        <v>1178</v>
      </c>
      <c r="G6991" s="4">
        <v>46087.604456018518</v>
      </c>
    </row>
    <row r="6992" spans="1:7" x14ac:dyDescent="0.3">
      <c r="A6992">
        <v>24886</v>
      </c>
      <c r="B6992" t="s">
        <v>150</v>
      </c>
      <c r="C6992">
        <v>51011881</v>
      </c>
      <c r="D6992">
        <v>17.7</v>
      </c>
      <c r="E6992" t="s">
        <v>95</v>
      </c>
      <c r="F6992">
        <v>1036</v>
      </c>
      <c r="G6992" s="4">
        <v>46087.604456018518</v>
      </c>
    </row>
    <row r="6993" spans="1:7" x14ac:dyDescent="0.3">
      <c r="A6993">
        <v>24887</v>
      </c>
      <c r="B6993" t="s">
        <v>150</v>
      </c>
      <c r="C6993">
        <v>51011911</v>
      </c>
      <c r="D6993">
        <v>14.254999999999999</v>
      </c>
      <c r="E6993" t="s">
        <v>95</v>
      </c>
      <c r="F6993">
        <v>1087</v>
      </c>
      <c r="G6993" s="4">
        <v>46087.604456018518</v>
      </c>
    </row>
    <row r="6994" spans="1:7" x14ac:dyDescent="0.3">
      <c r="A6994">
        <v>24888</v>
      </c>
      <c r="B6994" t="s">
        <v>150</v>
      </c>
      <c r="C6994">
        <v>51011945</v>
      </c>
      <c r="D6994">
        <v>18.100000000000001</v>
      </c>
      <c r="E6994" t="s">
        <v>95</v>
      </c>
      <c r="F6994">
        <v>1026</v>
      </c>
      <c r="G6994" s="4">
        <v>46087.604456018518</v>
      </c>
    </row>
    <row r="6995" spans="1:7" x14ac:dyDescent="0.3">
      <c r="A6995">
        <v>24889</v>
      </c>
      <c r="B6995" t="s">
        <v>150</v>
      </c>
      <c r="C6995">
        <v>51012089</v>
      </c>
      <c r="D6995">
        <v>13.5</v>
      </c>
      <c r="E6995" t="s">
        <v>95</v>
      </c>
      <c r="F6995">
        <v>1097</v>
      </c>
      <c r="G6995" s="4">
        <v>46087.604456018518</v>
      </c>
    </row>
    <row r="6996" spans="1:7" x14ac:dyDescent="0.3">
      <c r="A6996">
        <v>24890</v>
      </c>
      <c r="B6996" t="s">
        <v>150</v>
      </c>
      <c r="C6996">
        <v>51012283</v>
      </c>
      <c r="D6996">
        <v>15.328000000000001</v>
      </c>
      <c r="E6996" t="s">
        <v>95</v>
      </c>
      <c r="F6996">
        <v>1074</v>
      </c>
      <c r="G6996" s="4">
        <v>46087.604456018518</v>
      </c>
    </row>
    <row r="6997" spans="1:7" x14ac:dyDescent="0.3">
      <c r="A6997">
        <v>24891</v>
      </c>
      <c r="B6997" t="s">
        <v>150</v>
      </c>
      <c r="C6997">
        <v>51012429</v>
      </c>
      <c r="D6997">
        <v>18.899999999999999</v>
      </c>
      <c r="E6997" t="s">
        <v>95</v>
      </c>
      <c r="F6997">
        <v>1003</v>
      </c>
      <c r="G6997" s="4">
        <v>46087.604456018518</v>
      </c>
    </row>
    <row r="6998" spans="1:7" x14ac:dyDescent="0.3">
      <c r="A6998">
        <v>24892</v>
      </c>
      <c r="B6998" t="s">
        <v>150</v>
      </c>
      <c r="C6998">
        <v>51012569</v>
      </c>
      <c r="D6998">
        <v>15.96</v>
      </c>
      <c r="E6998" t="s">
        <v>95</v>
      </c>
      <c r="F6998">
        <v>1068</v>
      </c>
      <c r="G6998" s="4">
        <v>46087.604456018518</v>
      </c>
    </row>
    <row r="6999" spans="1:7" x14ac:dyDescent="0.3">
      <c r="A6999">
        <v>24893</v>
      </c>
      <c r="B6999" t="s">
        <v>150</v>
      </c>
      <c r="C6999">
        <v>51012631</v>
      </c>
      <c r="D6999">
        <v>12.980000000000002</v>
      </c>
      <c r="E6999" t="s">
        <v>95</v>
      </c>
      <c r="F6999">
        <v>1113</v>
      </c>
      <c r="G6999" s="4">
        <v>46087.604456018518</v>
      </c>
    </row>
    <row r="7000" spans="1:7" x14ac:dyDescent="0.3">
      <c r="A7000">
        <v>24894</v>
      </c>
      <c r="B7000" t="s">
        <v>150</v>
      </c>
      <c r="C7000">
        <v>51012844</v>
      </c>
      <c r="D7000">
        <v>8.8199999999999985</v>
      </c>
      <c r="E7000" t="s">
        <v>95</v>
      </c>
      <c r="F7000">
        <v>1177</v>
      </c>
      <c r="G7000" s="4">
        <v>46087.604456018518</v>
      </c>
    </row>
    <row r="7001" spans="1:7" x14ac:dyDescent="0.3">
      <c r="A7001">
        <v>24895</v>
      </c>
      <c r="B7001" t="s">
        <v>150</v>
      </c>
      <c r="C7001">
        <v>51012925</v>
      </c>
      <c r="D7001">
        <v>7.56</v>
      </c>
      <c r="E7001" t="s">
        <v>95</v>
      </c>
      <c r="F7001">
        <v>1191</v>
      </c>
      <c r="G7001" s="4">
        <v>46087.604456018518</v>
      </c>
    </row>
    <row r="7002" spans="1:7" x14ac:dyDescent="0.3">
      <c r="A7002">
        <v>24896</v>
      </c>
      <c r="B7002" t="s">
        <v>150</v>
      </c>
      <c r="C7002">
        <v>51012968</v>
      </c>
      <c r="D7002">
        <v>18.63</v>
      </c>
      <c r="E7002" t="s">
        <v>95</v>
      </c>
      <c r="F7002">
        <v>1014</v>
      </c>
      <c r="G7002" s="4">
        <v>46087.604456018518</v>
      </c>
    </row>
    <row r="7003" spans="1:7" x14ac:dyDescent="0.3">
      <c r="A7003">
        <v>24897</v>
      </c>
      <c r="B7003" t="s">
        <v>150</v>
      </c>
      <c r="C7003">
        <v>51013042</v>
      </c>
      <c r="D7003">
        <v>15.683</v>
      </c>
      <c r="E7003" t="s">
        <v>95</v>
      </c>
      <c r="F7003">
        <v>1071</v>
      </c>
      <c r="G7003" s="4">
        <v>46087.604456018518</v>
      </c>
    </row>
    <row r="7004" spans="1:7" x14ac:dyDescent="0.3">
      <c r="A7004">
        <v>24898</v>
      </c>
      <c r="B7004" t="s">
        <v>150</v>
      </c>
      <c r="C7004">
        <v>51013123</v>
      </c>
      <c r="D7004">
        <v>11</v>
      </c>
      <c r="E7004" t="s">
        <v>95</v>
      </c>
      <c r="F7004">
        <v>1144</v>
      </c>
      <c r="G7004" s="4">
        <v>46087.604456018518</v>
      </c>
    </row>
    <row r="7005" spans="1:7" x14ac:dyDescent="0.3">
      <c r="A7005">
        <v>24899</v>
      </c>
      <c r="B7005" t="s">
        <v>150</v>
      </c>
      <c r="C7005">
        <v>51013174</v>
      </c>
      <c r="D7005">
        <v>14.489999999999998</v>
      </c>
      <c r="E7005" t="s">
        <v>95</v>
      </c>
      <c r="F7005">
        <v>1085</v>
      </c>
      <c r="G7005" s="4">
        <v>46087.604456018518</v>
      </c>
    </row>
    <row r="7006" spans="1:7" x14ac:dyDescent="0.3">
      <c r="A7006">
        <v>24900</v>
      </c>
      <c r="B7006" t="s">
        <v>150</v>
      </c>
      <c r="C7006">
        <v>51013263</v>
      </c>
      <c r="D7006">
        <v>18.399999999999999</v>
      </c>
      <c r="E7006" t="s">
        <v>95</v>
      </c>
      <c r="F7006">
        <v>1021</v>
      </c>
      <c r="G7006" s="4">
        <v>46087.604456018518</v>
      </c>
    </row>
    <row r="7007" spans="1:7" x14ac:dyDescent="0.3">
      <c r="A7007">
        <v>24901</v>
      </c>
      <c r="B7007" t="s">
        <v>150</v>
      </c>
      <c r="C7007">
        <v>51013751</v>
      </c>
      <c r="D7007">
        <v>20.443500000000004</v>
      </c>
      <c r="E7007" t="s">
        <v>95</v>
      </c>
      <c r="F7007">
        <v>971</v>
      </c>
      <c r="G7007" s="4">
        <v>46087.604456018518</v>
      </c>
    </row>
    <row r="7008" spans="1:7" x14ac:dyDescent="0.3">
      <c r="A7008">
        <v>24902</v>
      </c>
      <c r="B7008" t="s">
        <v>150</v>
      </c>
      <c r="C7008">
        <v>51013905</v>
      </c>
      <c r="D7008">
        <v>10.8</v>
      </c>
      <c r="E7008" t="s">
        <v>95</v>
      </c>
      <c r="F7008">
        <v>1149</v>
      </c>
      <c r="G7008" s="4">
        <v>46087.604456018518</v>
      </c>
    </row>
    <row r="7009" spans="1:7" x14ac:dyDescent="0.3">
      <c r="A7009">
        <v>24903</v>
      </c>
      <c r="B7009" t="s">
        <v>150</v>
      </c>
      <c r="C7009">
        <v>51014073</v>
      </c>
      <c r="D7009">
        <v>18.200000000000003</v>
      </c>
      <c r="E7009" t="s">
        <v>95</v>
      </c>
      <c r="F7009">
        <v>1023</v>
      </c>
      <c r="G7009" s="4">
        <v>46087.604456018518</v>
      </c>
    </row>
    <row r="7010" spans="1:7" x14ac:dyDescent="0.3">
      <c r="A7010">
        <v>24904</v>
      </c>
      <c r="B7010" t="s">
        <v>150</v>
      </c>
      <c r="C7010">
        <v>51014154</v>
      </c>
      <c r="D7010">
        <v>13.02</v>
      </c>
      <c r="E7010" t="s">
        <v>95</v>
      </c>
      <c r="F7010">
        <v>1112</v>
      </c>
      <c r="G7010" s="4">
        <v>46087.604456018518</v>
      </c>
    </row>
    <row r="7011" spans="1:7" x14ac:dyDescent="0.3">
      <c r="A7011">
        <v>24905</v>
      </c>
      <c r="B7011" t="s">
        <v>150</v>
      </c>
      <c r="C7011">
        <v>51014227</v>
      </c>
      <c r="D7011">
        <v>13.1</v>
      </c>
      <c r="E7011" t="s">
        <v>95</v>
      </c>
      <c r="F7011">
        <v>1109</v>
      </c>
      <c r="G7011" s="4">
        <v>46087.604456018518</v>
      </c>
    </row>
    <row r="7012" spans="1:7" x14ac:dyDescent="0.3">
      <c r="A7012">
        <v>24906</v>
      </c>
      <c r="B7012" t="s">
        <v>150</v>
      </c>
      <c r="C7012">
        <v>51014651</v>
      </c>
      <c r="D7012">
        <v>13.8</v>
      </c>
      <c r="E7012" t="s">
        <v>95</v>
      </c>
      <c r="F7012">
        <v>1090</v>
      </c>
      <c r="G7012" s="4">
        <v>46087.604456018518</v>
      </c>
    </row>
    <row r="7013" spans="1:7" x14ac:dyDescent="0.3">
      <c r="A7013">
        <v>24907</v>
      </c>
      <c r="B7013" t="s">
        <v>150</v>
      </c>
      <c r="C7013">
        <v>51014723</v>
      </c>
      <c r="D7013">
        <v>11.339999999999998</v>
      </c>
      <c r="E7013" t="s">
        <v>95</v>
      </c>
      <c r="F7013">
        <v>1140</v>
      </c>
      <c r="G7013" s="4">
        <v>46087.604456018518</v>
      </c>
    </row>
    <row r="7014" spans="1:7" x14ac:dyDescent="0.3">
      <c r="A7014">
        <v>24908</v>
      </c>
      <c r="B7014" t="s">
        <v>150</v>
      </c>
      <c r="C7014">
        <v>51015282</v>
      </c>
      <c r="D7014">
        <v>12.540000000000001</v>
      </c>
      <c r="E7014" t="s">
        <v>95</v>
      </c>
      <c r="F7014">
        <v>1124</v>
      </c>
      <c r="G7014" s="4">
        <v>46087.604456018518</v>
      </c>
    </row>
    <row r="7015" spans="1:7" x14ac:dyDescent="0.3">
      <c r="A7015">
        <v>24909</v>
      </c>
      <c r="B7015" t="s">
        <v>150</v>
      </c>
      <c r="C7015">
        <v>51015576</v>
      </c>
      <c r="D7015">
        <v>10.9</v>
      </c>
      <c r="E7015" t="s">
        <v>95</v>
      </c>
      <c r="F7015">
        <v>1147</v>
      </c>
      <c r="G7015" s="4">
        <v>46087.604456018518</v>
      </c>
    </row>
    <row r="7016" spans="1:7" x14ac:dyDescent="0.3">
      <c r="A7016">
        <v>24910</v>
      </c>
      <c r="B7016" t="s">
        <v>150</v>
      </c>
      <c r="C7016">
        <v>51015690</v>
      </c>
      <c r="D7016">
        <v>10.8</v>
      </c>
      <c r="E7016" t="s">
        <v>95</v>
      </c>
      <c r="F7016">
        <v>1149</v>
      </c>
      <c r="G7016" s="4">
        <v>46087.604456018518</v>
      </c>
    </row>
    <row r="7017" spans="1:7" x14ac:dyDescent="0.3">
      <c r="A7017">
        <v>24911</v>
      </c>
      <c r="B7017" t="s">
        <v>150</v>
      </c>
      <c r="C7017">
        <v>51015738</v>
      </c>
      <c r="D7017">
        <v>10.6</v>
      </c>
      <c r="E7017" t="s">
        <v>95</v>
      </c>
      <c r="F7017">
        <v>1156</v>
      </c>
      <c r="G7017" s="4">
        <v>46087.604456018518</v>
      </c>
    </row>
    <row r="7018" spans="1:7" x14ac:dyDescent="0.3">
      <c r="A7018">
        <v>24912</v>
      </c>
      <c r="B7018" t="s">
        <v>150</v>
      </c>
      <c r="C7018">
        <v>51015959</v>
      </c>
      <c r="D7018">
        <v>12.529999999999998</v>
      </c>
      <c r="E7018" t="s">
        <v>95</v>
      </c>
      <c r="F7018">
        <v>1125</v>
      </c>
      <c r="G7018" s="4">
        <v>46087.604456018518</v>
      </c>
    </row>
    <row r="7019" spans="1:7" x14ac:dyDescent="0.3">
      <c r="A7019">
        <v>24913</v>
      </c>
      <c r="B7019" t="s">
        <v>150</v>
      </c>
      <c r="C7019">
        <v>51015991</v>
      </c>
      <c r="D7019">
        <v>11.41</v>
      </c>
      <c r="E7019" t="s">
        <v>95</v>
      </c>
      <c r="F7019">
        <v>1137</v>
      </c>
      <c r="G7019" s="4">
        <v>46087.604456018518</v>
      </c>
    </row>
    <row r="7020" spans="1:7" x14ac:dyDescent="0.3">
      <c r="A7020">
        <v>24914</v>
      </c>
      <c r="B7020" t="s">
        <v>150</v>
      </c>
      <c r="C7020">
        <v>51016122</v>
      </c>
      <c r="D7020">
        <v>12.7</v>
      </c>
      <c r="E7020" t="s">
        <v>95</v>
      </c>
      <c r="F7020">
        <v>1120</v>
      </c>
      <c r="G7020" s="4">
        <v>46087.604456018518</v>
      </c>
    </row>
    <row r="7021" spans="1:7" x14ac:dyDescent="0.3">
      <c r="A7021">
        <v>24915</v>
      </c>
      <c r="B7021" t="s">
        <v>150</v>
      </c>
      <c r="C7021">
        <v>51016190</v>
      </c>
      <c r="D7021">
        <v>13.5</v>
      </c>
      <c r="E7021" t="s">
        <v>95</v>
      </c>
      <c r="F7021">
        <v>1097</v>
      </c>
      <c r="G7021" s="4">
        <v>46087.604456018518</v>
      </c>
    </row>
    <row r="7022" spans="1:7" x14ac:dyDescent="0.3">
      <c r="A7022">
        <v>24916</v>
      </c>
      <c r="B7022" t="s">
        <v>150</v>
      </c>
      <c r="C7022">
        <v>51016505</v>
      </c>
      <c r="D7022">
        <v>11.398000000000001</v>
      </c>
      <c r="E7022" t="s">
        <v>95</v>
      </c>
      <c r="F7022">
        <v>1139</v>
      </c>
      <c r="G7022" s="4">
        <v>46087.604456018518</v>
      </c>
    </row>
    <row r="7023" spans="1:7" x14ac:dyDescent="0.3">
      <c r="A7023">
        <v>24917</v>
      </c>
      <c r="B7023" t="s">
        <v>150</v>
      </c>
      <c r="C7023">
        <v>51016670</v>
      </c>
      <c r="D7023">
        <v>13.785</v>
      </c>
      <c r="E7023" t="s">
        <v>95</v>
      </c>
      <c r="F7023">
        <v>1092</v>
      </c>
      <c r="G7023" s="4">
        <v>46087.604456018518</v>
      </c>
    </row>
    <row r="7024" spans="1:7" x14ac:dyDescent="0.3">
      <c r="A7024">
        <v>24918</v>
      </c>
      <c r="B7024" t="s">
        <v>150</v>
      </c>
      <c r="C7024">
        <v>51016751</v>
      </c>
      <c r="D7024">
        <v>13.86</v>
      </c>
      <c r="E7024" t="s">
        <v>95</v>
      </c>
      <c r="F7024">
        <v>1089</v>
      </c>
      <c r="G7024" s="4">
        <v>46087.604456018518</v>
      </c>
    </row>
    <row r="7025" spans="1:7" x14ac:dyDescent="0.3">
      <c r="A7025">
        <v>24919</v>
      </c>
      <c r="B7025" t="s">
        <v>150</v>
      </c>
      <c r="C7025">
        <v>51016769</v>
      </c>
      <c r="D7025">
        <v>19.600000000000001</v>
      </c>
      <c r="E7025" t="s">
        <v>95</v>
      </c>
      <c r="F7025">
        <v>984</v>
      </c>
      <c r="G7025" s="4">
        <v>46087.604456018518</v>
      </c>
    </row>
    <row r="7026" spans="1:7" x14ac:dyDescent="0.3">
      <c r="A7026">
        <v>24920</v>
      </c>
      <c r="B7026" t="s">
        <v>150</v>
      </c>
      <c r="C7026">
        <v>51016807</v>
      </c>
      <c r="D7026">
        <v>18.198</v>
      </c>
      <c r="E7026" t="s">
        <v>95</v>
      </c>
      <c r="F7026">
        <v>1024</v>
      </c>
      <c r="G7026" s="4">
        <v>46087.604456018518</v>
      </c>
    </row>
    <row r="7027" spans="1:7" x14ac:dyDescent="0.3">
      <c r="A7027">
        <v>24921</v>
      </c>
      <c r="B7027" t="s">
        <v>150</v>
      </c>
      <c r="C7027">
        <v>51016912</v>
      </c>
      <c r="D7027">
        <v>12.67</v>
      </c>
      <c r="E7027" t="s">
        <v>95</v>
      </c>
      <c r="F7027">
        <v>1122</v>
      </c>
      <c r="G7027" s="4">
        <v>46087.604456018518</v>
      </c>
    </row>
    <row r="7028" spans="1:7" x14ac:dyDescent="0.3">
      <c r="A7028">
        <v>24922</v>
      </c>
      <c r="B7028" t="s">
        <v>150</v>
      </c>
      <c r="C7028">
        <v>51017005</v>
      </c>
      <c r="D7028">
        <v>19.204999999999998</v>
      </c>
      <c r="E7028" t="s">
        <v>95</v>
      </c>
      <c r="F7028">
        <v>995</v>
      </c>
      <c r="G7028" s="4">
        <v>46087.604456018518</v>
      </c>
    </row>
    <row r="7029" spans="1:7" x14ac:dyDescent="0.3">
      <c r="A7029">
        <v>24923</v>
      </c>
      <c r="B7029" t="s">
        <v>150</v>
      </c>
      <c r="C7029">
        <v>51017200</v>
      </c>
      <c r="D7029">
        <v>17.600000000000001</v>
      </c>
      <c r="E7029" t="s">
        <v>95</v>
      </c>
      <c r="F7029">
        <v>1037</v>
      </c>
      <c r="G7029" s="4">
        <v>46087.604456018518</v>
      </c>
    </row>
    <row r="7030" spans="1:7" x14ac:dyDescent="0.3">
      <c r="A7030">
        <v>24924</v>
      </c>
      <c r="B7030" t="s">
        <v>150</v>
      </c>
      <c r="C7030">
        <v>51017692</v>
      </c>
      <c r="D7030">
        <v>10.3</v>
      </c>
      <c r="E7030" t="s">
        <v>95</v>
      </c>
      <c r="F7030">
        <v>1164</v>
      </c>
      <c r="G7030" s="4">
        <v>46087.604456018518</v>
      </c>
    </row>
    <row r="7031" spans="1:7" x14ac:dyDescent="0.3">
      <c r="A7031">
        <v>24925</v>
      </c>
      <c r="B7031" t="s">
        <v>150</v>
      </c>
      <c r="C7031">
        <v>51017781</v>
      </c>
      <c r="D7031">
        <v>21.450000000000003</v>
      </c>
      <c r="E7031" t="s">
        <v>95</v>
      </c>
      <c r="F7031">
        <v>957</v>
      </c>
      <c r="G7031" s="4">
        <v>46087.604456018518</v>
      </c>
    </row>
    <row r="7032" spans="1:7" x14ac:dyDescent="0.3">
      <c r="A7032">
        <v>24926</v>
      </c>
      <c r="B7032" t="s">
        <v>150</v>
      </c>
      <c r="C7032">
        <v>51018010</v>
      </c>
      <c r="D7032">
        <v>13.229999999999999</v>
      </c>
      <c r="E7032" t="s">
        <v>95</v>
      </c>
      <c r="F7032">
        <v>1106</v>
      </c>
      <c r="G7032" s="4">
        <v>46087.604456018518</v>
      </c>
    </row>
    <row r="7033" spans="1:7" x14ac:dyDescent="0.3">
      <c r="A7033">
        <v>24927</v>
      </c>
      <c r="B7033" t="s">
        <v>150</v>
      </c>
      <c r="C7033">
        <v>51018168</v>
      </c>
      <c r="D7033">
        <v>10.57</v>
      </c>
      <c r="E7033" t="s">
        <v>95</v>
      </c>
      <c r="F7033">
        <v>1158</v>
      </c>
      <c r="G7033" s="4">
        <v>46087.604456018518</v>
      </c>
    </row>
    <row r="7034" spans="1:7" x14ac:dyDescent="0.3">
      <c r="A7034">
        <v>24928</v>
      </c>
      <c r="B7034" t="s">
        <v>150</v>
      </c>
      <c r="C7034">
        <v>51018192</v>
      </c>
      <c r="D7034">
        <v>17.940000000000001</v>
      </c>
      <c r="E7034" t="s">
        <v>95</v>
      </c>
      <c r="F7034">
        <v>1031</v>
      </c>
      <c r="G7034" s="4">
        <v>46087.604456018518</v>
      </c>
    </row>
    <row r="7035" spans="1:7" x14ac:dyDescent="0.3">
      <c r="A7035">
        <v>24929</v>
      </c>
      <c r="B7035" t="s">
        <v>150</v>
      </c>
      <c r="C7035">
        <v>51018281</v>
      </c>
      <c r="D7035">
        <v>20.239999999999998</v>
      </c>
      <c r="E7035" t="s">
        <v>95</v>
      </c>
      <c r="F7035">
        <v>974</v>
      </c>
      <c r="G7035" s="4">
        <v>46087.604456018518</v>
      </c>
    </row>
    <row r="7036" spans="1:7" x14ac:dyDescent="0.3">
      <c r="A7036">
        <v>24930</v>
      </c>
      <c r="B7036" t="s">
        <v>150</v>
      </c>
      <c r="C7036">
        <v>51018915</v>
      </c>
      <c r="D7036">
        <v>19.3</v>
      </c>
      <c r="E7036" t="s">
        <v>95</v>
      </c>
      <c r="F7036">
        <v>992</v>
      </c>
      <c r="G7036" s="4">
        <v>46087.604456018518</v>
      </c>
    </row>
    <row r="7037" spans="1:7" x14ac:dyDescent="0.3">
      <c r="A7037">
        <v>24931</v>
      </c>
      <c r="B7037" t="s">
        <v>150</v>
      </c>
      <c r="C7037">
        <v>51019075</v>
      </c>
      <c r="D7037">
        <v>16.2</v>
      </c>
      <c r="E7037" t="s">
        <v>95</v>
      </c>
      <c r="F7037">
        <v>1063</v>
      </c>
      <c r="G7037" s="4">
        <v>46087.604456018518</v>
      </c>
    </row>
    <row r="7038" spans="1:7" x14ac:dyDescent="0.3">
      <c r="A7038">
        <v>24932</v>
      </c>
      <c r="B7038" t="s">
        <v>150</v>
      </c>
      <c r="C7038">
        <v>51019156</v>
      </c>
      <c r="D7038">
        <v>8.3999999999999986</v>
      </c>
      <c r="E7038" t="s">
        <v>95</v>
      </c>
      <c r="F7038">
        <v>1180</v>
      </c>
      <c r="G7038" s="4">
        <v>46087.604456018518</v>
      </c>
    </row>
    <row r="7039" spans="1:7" x14ac:dyDescent="0.3">
      <c r="A7039">
        <v>24933</v>
      </c>
      <c r="B7039" t="s">
        <v>150</v>
      </c>
      <c r="C7039">
        <v>51019181</v>
      </c>
      <c r="D7039">
        <v>19.100000000000001</v>
      </c>
      <c r="E7039" t="s">
        <v>95</v>
      </c>
      <c r="F7039">
        <v>1000</v>
      </c>
      <c r="G7039" s="4">
        <v>46087.604456018518</v>
      </c>
    </row>
    <row r="7040" spans="1:7" x14ac:dyDescent="0.3">
      <c r="A7040">
        <v>24934</v>
      </c>
      <c r="B7040" t="s">
        <v>150</v>
      </c>
      <c r="C7040">
        <v>51019237</v>
      </c>
      <c r="D7040">
        <v>19.14</v>
      </c>
      <c r="E7040" t="s">
        <v>95</v>
      </c>
      <c r="F7040">
        <v>998</v>
      </c>
      <c r="G7040" s="4">
        <v>46087.604456018518</v>
      </c>
    </row>
    <row r="7041" spans="1:7" x14ac:dyDescent="0.3">
      <c r="A7041">
        <v>24935</v>
      </c>
      <c r="B7041" t="s">
        <v>150</v>
      </c>
      <c r="C7041">
        <v>51019351</v>
      </c>
      <c r="D7041">
        <v>14.8</v>
      </c>
      <c r="E7041" t="s">
        <v>95</v>
      </c>
      <c r="F7041">
        <v>1081</v>
      </c>
      <c r="G7041" s="4">
        <v>46087.604456018518</v>
      </c>
    </row>
    <row r="7042" spans="1:7" x14ac:dyDescent="0.3">
      <c r="A7042">
        <v>24936</v>
      </c>
      <c r="B7042" t="s">
        <v>150</v>
      </c>
      <c r="C7042">
        <v>51019725</v>
      </c>
      <c r="D7042">
        <v>20.239999999999998</v>
      </c>
      <c r="E7042" t="s">
        <v>95</v>
      </c>
      <c r="F7042">
        <v>974</v>
      </c>
      <c r="G7042" s="4">
        <v>46087.604456018518</v>
      </c>
    </row>
    <row r="7043" spans="1:7" x14ac:dyDescent="0.3">
      <c r="A7043">
        <v>24937</v>
      </c>
      <c r="B7043" t="s">
        <v>150</v>
      </c>
      <c r="C7043">
        <v>51019768</v>
      </c>
      <c r="D7043">
        <v>12.4</v>
      </c>
      <c r="E7043" t="s">
        <v>95</v>
      </c>
      <c r="F7043">
        <v>1128</v>
      </c>
      <c r="G7043" s="4">
        <v>46087.604456018518</v>
      </c>
    </row>
    <row r="7044" spans="1:7" x14ac:dyDescent="0.3">
      <c r="A7044">
        <v>24938</v>
      </c>
      <c r="B7044" t="s">
        <v>150</v>
      </c>
      <c r="C7044">
        <v>51020120</v>
      </c>
      <c r="D7044">
        <v>19.910000000000004</v>
      </c>
      <c r="E7044" t="s">
        <v>95</v>
      </c>
      <c r="F7044">
        <v>977</v>
      </c>
      <c r="G7044" s="4">
        <v>46087.604456018518</v>
      </c>
    </row>
    <row r="7045" spans="1:7" x14ac:dyDescent="0.3">
      <c r="A7045">
        <v>24939</v>
      </c>
      <c r="B7045" t="s">
        <v>150</v>
      </c>
      <c r="C7045">
        <v>51020154</v>
      </c>
      <c r="D7045">
        <v>14.080000000000002</v>
      </c>
      <c r="E7045" t="s">
        <v>95</v>
      </c>
      <c r="F7045">
        <v>1088</v>
      </c>
      <c r="G7045" s="4">
        <v>46087.604456018518</v>
      </c>
    </row>
    <row r="7046" spans="1:7" x14ac:dyDescent="0.3">
      <c r="A7046">
        <v>24940</v>
      </c>
      <c r="B7046" t="s">
        <v>150</v>
      </c>
      <c r="C7046">
        <v>51020740</v>
      </c>
      <c r="D7046">
        <v>19.48</v>
      </c>
      <c r="E7046" t="s">
        <v>95</v>
      </c>
      <c r="F7046">
        <v>989</v>
      </c>
      <c r="G7046" s="4">
        <v>46087.604456018518</v>
      </c>
    </row>
    <row r="7047" spans="1:7" x14ac:dyDescent="0.3">
      <c r="A7047">
        <v>24941</v>
      </c>
      <c r="B7047" t="s">
        <v>150</v>
      </c>
      <c r="C7047">
        <v>51021151</v>
      </c>
      <c r="D7047">
        <v>18.600000000000001</v>
      </c>
      <c r="E7047" t="s">
        <v>95</v>
      </c>
      <c r="F7047">
        <v>1016</v>
      </c>
      <c r="G7047" s="4">
        <v>46087.604456018518</v>
      </c>
    </row>
    <row r="7048" spans="1:7" x14ac:dyDescent="0.3">
      <c r="A7048">
        <v>24942</v>
      </c>
      <c r="B7048" t="s">
        <v>150</v>
      </c>
      <c r="C7048">
        <v>51021525</v>
      </c>
      <c r="D7048">
        <v>15.100000000000001</v>
      </c>
      <c r="E7048" t="s">
        <v>95</v>
      </c>
      <c r="F7048">
        <v>1078</v>
      </c>
      <c r="G7048" s="4">
        <v>46087.604456018518</v>
      </c>
    </row>
    <row r="7049" spans="1:7" x14ac:dyDescent="0.3">
      <c r="A7049">
        <v>24943</v>
      </c>
      <c r="B7049" t="s">
        <v>150</v>
      </c>
      <c r="C7049">
        <v>51021649</v>
      </c>
      <c r="D7049">
        <v>15</v>
      </c>
      <c r="E7049" t="s">
        <v>95</v>
      </c>
      <c r="F7049">
        <v>1079</v>
      </c>
      <c r="G7049" s="4">
        <v>46087.604456018518</v>
      </c>
    </row>
    <row r="7050" spans="1:7" x14ac:dyDescent="0.3">
      <c r="A7050">
        <v>24944</v>
      </c>
      <c r="B7050" t="s">
        <v>150</v>
      </c>
      <c r="C7050">
        <v>51021908</v>
      </c>
      <c r="D7050">
        <v>10.199999999999999</v>
      </c>
      <c r="E7050" t="s">
        <v>95</v>
      </c>
      <c r="F7050">
        <v>1167</v>
      </c>
      <c r="G7050" s="4">
        <v>46087.604456018518</v>
      </c>
    </row>
    <row r="7051" spans="1:7" x14ac:dyDescent="0.3">
      <c r="A7051">
        <v>24945</v>
      </c>
      <c r="B7051" t="s">
        <v>150</v>
      </c>
      <c r="C7051">
        <v>51021924</v>
      </c>
      <c r="D7051">
        <v>17.399999999999999</v>
      </c>
      <c r="E7051" t="s">
        <v>95</v>
      </c>
      <c r="F7051">
        <v>1042</v>
      </c>
      <c r="G7051" s="4">
        <v>46087.604456018518</v>
      </c>
    </row>
    <row r="7052" spans="1:7" x14ac:dyDescent="0.3">
      <c r="A7052">
        <v>24946</v>
      </c>
      <c r="B7052" t="s">
        <v>150</v>
      </c>
      <c r="C7052">
        <v>51022203</v>
      </c>
      <c r="D7052">
        <v>10.29</v>
      </c>
      <c r="E7052" t="s">
        <v>95</v>
      </c>
      <c r="F7052">
        <v>1166</v>
      </c>
      <c r="G7052" s="4">
        <v>46087.604456018518</v>
      </c>
    </row>
    <row r="7053" spans="1:7" x14ac:dyDescent="0.3">
      <c r="A7053">
        <v>24947</v>
      </c>
      <c r="B7053" t="s">
        <v>150</v>
      </c>
      <c r="C7053">
        <v>51022271</v>
      </c>
      <c r="D7053">
        <v>12.179999999999998</v>
      </c>
      <c r="E7053" t="s">
        <v>95</v>
      </c>
      <c r="F7053">
        <v>1131</v>
      </c>
      <c r="G7053" s="4">
        <v>46087.604456018518</v>
      </c>
    </row>
    <row r="7054" spans="1:7" x14ac:dyDescent="0.3">
      <c r="A7054">
        <v>24948</v>
      </c>
      <c r="B7054" t="s">
        <v>150</v>
      </c>
      <c r="C7054">
        <v>51022297</v>
      </c>
      <c r="D7054">
        <v>18.974999999999998</v>
      </c>
      <c r="E7054" t="s">
        <v>95</v>
      </c>
      <c r="F7054">
        <v>1002</v>
      </c>
      <c r="G7054" s="4">
        <v>46087.604456018518</v>
      </c>
    </row>
    <row r="7055" spans="1:7" x14ac:dyDescent="0.3">
      <c r="A7055">
        <v>24949</v>
      </c>
      <c r="B7055" t="s">
        <v>150</v>
      </c>
      <c r="C7055">
        <v>51022807</v>
      </c>
      <c r="D7055">
        <v>18.84</v>
      </c>
      <c r="E7055" t="s">
        <v>95</v>
      </c>
      <c r="F7055">
        <v>1009</v>
      </c>
      <c r="G7055" s="4">
        <v>46087.604456018518</v>
      </c>
    </row>
    <row r="7056" spans="1:7" x14ac:dyDescent="0.3">
      <c r="A7056">
        <v>24950</v>
      </c>
      <c r="B7056" t="s">
        <v>150</v>
      </c>
      <c r="C7056">
        <v>51022891</v>
      </c>
      <c r="D7056">
        <v>9.31</v>
      </c>
      <c r="E7056" t="s">
        <v>95</v>
      </c>
      <c r="F7056">
        <v>1174</v>
      </c>
      <c r="G7056" s="4">
        <v>46087.604456018518</v>
      </c>
    </row>
    <row r="7057" spans="1:7" x14ac:dyDescent="0.3">
      <c r="A7057">
        <v>24951</v>
      </c>
      <c r="B7057" t="s">
        <v>150</v>
      </c>
      <c r="C7057">
        <v>51022939</v>
      </c>
      <c r="D7057">
        <v>10.639999999999999</v>
      </c>
      <c r="E7057" t="s">
        <v>95</v>
      </c>
      <c r="F7057">
        <v>1154</v>
      </c>
      <c r="G7057" s="4">
        <v>46087.604456018518</v>
      </c>
    </row>
    <row r="7058" spans="1:7" x14ac:dyDescent="0.3">
      <c r="A7058">
        <v>24952</v>
      </c>
      <c r="B7058" t="s">
        <v>150</v>
      </c>
      <c r="C7058">
        <v>51023323</v>
      </c>
      <c r="D7058">
        <v>10.149999999999999</v>
      </c>
      <c r="E7058" t="s">
        <v>95</v>
      </c>
      <c r="F7058">
        <v>1168</v>
      </c>
      <c r="G7058" s="4">
        <v>46087.604456018518</v>
      </c>
    </row>
    <row r="7059" spans="1:7" x14ac:dyDescent="0.3">
      <c r="A7059">
        <v>24953</v>
      </c>
      <c r="B7059" t="s">
        <v>150</v>
      </c>
      <c r="C7059">
        <v>51023447</v>
      </c>
      <c r="D7059">
        <v>11.129999999999999</v>
      </c>
      <c r="E7059" t="s">
        <v>95</v>
      </c>
      <c r="F7059">
        <v>1143</v>
      </c>
      <c r="G7059" s="4">
        <v>46087.604456018518</v>
      </c>
    </row>
    <row r="7060" spans="1:7" x14ac:dyDescent="0.3">
      <c r="A7060">
        <v>24954</v>
      </c>
      <c r="B7060" t="s">
        <v>150</v>
      </c>
      <c r="C7060">
        <v>51023463</v>
      </c>
      <c r="D7060">
        <v>15.290000000000001</v>
      </c>
      <c r="E7060" t="s">
        <v>95</v>
      </c>
      <c r="F7060">
        <v>1076</v>
      </c>
      <c r="G7060" s="4">
        <v>46087.604456018518</v>
      </c>
    </row>
    <row r="7061" spans="1:7" x14ac:dyDescent="0.3">
      <c r="A7061">
        <v>24955</v>
      </c>
      <c r="B7061" t="s">
        <v>150</v>
      </c>
      <c r="C7061">
        <v>51023510</v>
      </c>
      <c r="D7061">
        <v>21.734999999999996</v>
      </c>
      <c r="E7061" t="s">
        <v>94</v>
      </c>
      <c r="F7061">
        <v>951</v>
      </c>
      <c r="G7061" s="4">
        <v>46087.604456018518</v>
      </c>
    </row>
    <row r="7062" spans="1:7" x14ac:dyDescent="0.3">
      <c r="A7062">
        <v>24956</v>
      </c>
      <c r="B7062" t="s">
        <v>150</v>
      </c>
      <c r="C7062">
        <v>51024338</v>
      </c>
      <c r="D7062">
        <v>10.4</v>
      </c>
      <c r="E7062" t="s">
        <v>95</v>
      </c>
      <c r="F7062">
        <v>1162</v>
      </c>
      <c r="G7062" s="4">
        <v>46087.604456018518</v>
      </c>
    </row>
    <row r="7063" spans="1:7" x14ac:dyDescent="0.3">
      <c r="A7063">
        <v>24957</v>
      </c>
      <c r="B7063" t="s">
        <v>150</v>
      </c>
      <c r="C7063">
        <v>51024346</v>
      </c>
      <c r="D7063">
        <v>20.680000000000003</v>
      </c>
      <c r="E7063" t="s">
        <v>95</v>
      </c>
      <c r="F7063">
        <v>967</v>
      </c>
      <c r="G7063" s="4">
        <v>46087.604456018518</v>
      </c>
    </row>
    <row r="7064" spans="1:7" x14ac:dyDescent="0.3">
      <c r="A7064">
        <v>24958</v>
      </c>
      <c r="B7064" t="s">
        <v>150</v>
      </c>
      <c r="C7064">
        <v>51024354</v>
      </c>
      <c r="D7064">
        <v>12.7</v>
      </c>
      <c r="E7064" t="s">
        <v>95</v>
      </c>
      <c r="F7064">
        <v>1120</v>
      </c>
      <c r="G7064" s="4">
        <v>46087.604456018518</v>
      </c>
    </row>
    <row r="7065" spans="1:7" x14ac:dyDescent="0.3">
      <c r="A7065">
        <v>24959</v>
      </c>
      <c r="B7065" t="s">
        <v>150</v>
      </c>
      <c r="C7065">
        <v>51024788</v>
      </c>
      <c r="D7065">
        <v>13.6</v>
      </c>
      <c r="E7065" t="s">
        <v>95</v>
      </c>
      <c r="F7065">
        <v>1096</v>
      </c>
      <c r="G7065" s="4">
        <v>46087.604456018518</v>
      </c>
    </row>
    <row r="7066" spans="1:7" x14ac:dyDescent="0.3">
      <c r="A7066">
        <v>24960</v>
      </c>
      <c r="B7066" t="s">
        <v>150</v>
      </c>
      <c r="C7066">
        <v>51024907</v>
      </c>
      <c r="D7066">
        <v>12.879999999999999</v>
      </c>
      <c r="E7066" t="s">
        <v>95</v>
      </c>
      <c r="F7066">
        <v>1116</v>
      </c>
      <c r="G7066" s="4">
        <v>46087.604456018518</v>
      </c>
    </row>
    <row r="7067" spans="1:7" x14ac:dyDescent="0.3">
      <c r="A7067">
        <v>24961</v>
      </c>
      <c r="B7067" t="s">
        <v>150</v>
      </c>
      <c r="C7067">
        <v>51025598</v>
      </c>
      <c r="D7067">
        <v>12.764999999999999</v>
      </c>
      <c r="E7067" t="s">
        <v>95</v>
      </c>
      <c r="F7067">
        <v>1119</v>
      </c>
      <c r="G7067" s="4">
        <v>46087.604456018518</v>
      </c>
    </row>
    <row r="7068" spans="1:7" x14ac:dyDescent="0.3">
      <c r="A7068">
        <v>24962</v>
      </c>
      <c r="B7068" t="s">
        <v>150</v>
      </c>
      <c r="C7068">
        <v>51025601</v>
      </c>
      <c r="D7068">
        <v>7.3044999999999982</v>
      </c>
      <c r="E7068" t="s">
        <v>95</v>
      </c>
      <c r="F7068">
        <v>1192</v>
      </c>
      <c r="G7068" s="4">
        <v>46087.604456018518</v>
      </c>
    </row>
    <row r="7069" spans="1:7" x14ac:dyDescent="0.3">
      <c r="A7069">
        <v>24963</v>
      </c>
      <c r="B7069" t="s">
        <v>150</v>
      </c>
      <c r="C7069">
        <v>51025881</v>
      </c>
      <c r="D7069">
        <v>11.2</v>
      </c>
      <c r="E7069" t="s">
        <v>95</v>
      </c>
      <c r="F7069">
        <v>1142</v>
      </c>
      <c r="G7069" s="4">
        <v>46087.604456018518</v>
      </c>
    </row>
    <row r="7070" spans="1:7" x14ac:dyDescent="0.3">
      <c r="A7070">
        <v>24964</v>
      </c>
      <c r="B7070" t="s">
        <v>150</v>
      </c>
      <c r="C7070">
        <v>51028856</v>
      </c>
      <c r="D7070">
        <v>19.700000000000003</v>
      </c>
      <c r="E7070" t="s">
        <v>95</v>
      </c>
      <c r="F7070">
        <v>983</v>
      </c>
      <c r="G7070" s="4">
        <v>46087.604456018518</v>
      </c>
    </row>
    <row r="7071" spans="1:7" x14ac:dyDescent="0.3">
      <c r="A7071">
        <v>24965</v>
      </c>
      <c r="B7071" t="s">
        <v>150</v>
      </c>
      <c r="C7071">
        <v>51030087</v>
      </c>
      <c r="D7071">
        <v>16.7</v>
      </c>
      <c r="E7071" t="s">
        <v>95</v>
      </c>
      <c r="F7071">
        <v>1056</v>
      </c>
      <c r="G7071" s="4">
        <v>46087.604456018518</v>
      </c>
    </row>
    <row r="7072" spans="1:7" x14ac:dyDescent="0.3">
      <c r="A7072">
        <v>24966</v>
      </c>
      <c r="B7072" t="s">
        <v>150</v>
      </c>
      <c r="C7072">
        <v>51030206</v>
      </c>
      <c r="D7072">
        <v>14.503499999999999</v>
      </c>
      <c r="E7072" t="s">
        <v>95</v>
      </c>
      <c r="F7072">
        <v>1082</v>
      </c>
      <c r="G7072" s="4">
        <v>46087.604456018518</v>
      </c>
    </row>
    <row r="7073" spans="1:7" x14ac:dyDescent="0.3">
      <c r="A7073">
        <v>24967</v>
      </c>
      <c r="B7073" t="s">
        <v>150</v>
      </c>
      <c r="C7073">
        <v>51030630</v>
      </c>
      <c r="D7073">
        <v>13.16</v>
      </c>
      <c r="E7073" t="s">
        <v>95</v>
      </c>
      <c r="F7073">
        <v>1108</v>
      </c>
      <c r="G7073" s="4">
        <v>46087.604456018518</v>
      </c>
    </row>
    <row r="7074" spans="1:7" x14ac:dyDescent="0.3">
      <c r="A7074">
        <v>24968</v>
      </c>
      <c r="B7074" t="s">
        <v>150</v>
      </c>
      <c r="C7074">
        <v>51030745</v>
      </c>
      <c r="D7074">
        <v>19.5</v>
      </c>
      <c r="E7074" t="s">
        <v>95</v>
      </c>
      <c r="F7074">
        <v>987</v>
      </c>
      <c r="G7074" s="4">
        <v>46087.604456018518</v>
      </c>
    </row>
    <row r="7075" spans="1:7" x14ac:dyDescent="0.3">
      <c r="A7075">
        <v>24969</v>
      </c>
      <c r="B7075" t="s">
        <v>150</v>
      </c>
      <c r="C7075">
        <v>51030796</v>
      </c>
      <c r="D7075">
        <v>13.1</v>
      </c>
      <c r="E7075" t="s">
        <v>95</v>
      </c>
      <c r="F7075">
        <v>1109</v>
      </c>
      <c r="G7075" s="4">
        <v>46087.604456018518</v>
      </c>
    </row>
    <row r="7076" spans="1:7" x14ac:dyDescent="0.3">
      <c r="A7076">
        <v>24970</v>
      </c>
      <c r="B7076" t="s">
        <v>150</v>
      </c>
      <c r="C7076">
        <v>51030966</v>
      </c>
      <c r="D7076">
        <v>16.610000000000003</v>
      </c>
      <c r="E7076" t="s">
        <v>95</v>
      </c>
      <c r="F7076">
        <v>1057</v>
      </c>
      <c r="G7076" s="4">
        <v>46087.604456018518</v>
      </c>
    </row>
    <row r="7077" spans="1:7" x14ac:dyDescent="0.3">
      <c r="A7077">
        <v>24971</v>
      </c>
      <c r="B7077" t="s">
        <v>150</v>
      </c>
      <c r="C7077">
        <v>51031067</v>
      </c>
      <c r="D7077">
        <v>10.639999999999999</v>
      </c>
      <c r="E7077" t="s">
        <v>95</v>
      </c>
      <c r="F7077">
        <v>1154</v>
      </c>
      <c r="G7077" s="4">
        <v>46087.604456018518</v>
      </c>
    </row>
    <row r="7078" spans="1:7" x14ac:dyDescent="0.3">
      <c r="A7078">
        <v>24972</v>
      </c>
      <c r="B7078" t="s">
        <v>150</v>
      </c>
      <c r="C7078">
        <v>51031091</v>
      </c>
      <c r="D7078">
        <v>16.2</v>
      </c>
      <c r="E7078" t="s">
        <v>95</v>
      </c>
      <c r="F7078">
        <v>1063</v>
      </c>
      <c r="G7078" s="4">
        <v>46087.604456018518</v>
      </c>
    </row>
    <row r="7079" spans="1:7" x14ac:dyDescent="0.3">
      <c r="A7079">
        <v>24973</v>
      </c>
      <c r="B7079" t="s">
        <v>150</v>
      </c>
      <c r="C7079">
        <v>51031156</v>
      </c>
      <c r="D7079">
        <v>12.1</v>
      </c>
      <c r="E7079" t="s">
        <v>95</v>
      </c>
      <c r="F7079">
        <v>1132</v>
      </c>
      <c r="G7079" s="4">
        <v>46087.604456018518</v>
      </c>
    </row>
    <row r="7080" spans="1:7" x14ac:dyDescent="0.3">
      <c r="A7080">
        <v>24974</v>
      </c>
      <c r="B7080" t="s">
        <v>150</v>
      </c>
      <c r="C7080">
        <v>51031423</v>
      </c>
      <c r="D7080">
        <v>8.3999999999999986</v>
      </c>
      <c r="E7080" t="s">
        <v>95</v>
      </c>
      <c r="F7080">
        <v>1180</v>
      </c>
      <c r="G7080" s="4">
        <v>46087.604456018518</v>
      </c>
    </row>
    <row r="7081" spans="1:7" x14ac:dyDescent="0.3">
      <c r="A7081">
        <v>24975</v>
      </c>
      <c r="B7081" t="s">
        <v>150</v>
      </c>
      <c r="C7081">
        <v>51031555</v>
      </c>
      <c r="D7081">
        <v>13.3</v>
      </c>
      <c r="E7081" t="s">
        <v>95</v>
      </c>
      <c r="F7081">
        <v>1103</v>
      </c>
      <c r="G7081" s="4">
        <v>46087.604456018518</v>
      </c>
    </row>
    <row r="7082" spans="1:7" x14ac:dyDescent="0.3">
      <c r="A7082">
        <v>24976</v>
      </c>
      <c r="B7082" t="s">
        <v>150</v>
      </c>
      <c r="C7082">
        <v>51032021</v>
      </c>
      <c r="D7082">
        <v>9.17</v>
      </c>
      <c r="E7082" t="s">
        <v>95</v>
      </c>
      <c r="F7082">
        <v>1175</v>
      </c>
      <c r="G7082" s="4">
        <v>46087.604456018518</v>
      </c>
    </row>
    <row r="7083" spans="1:7" x14ac:dyDescent="0.3">
      <c r="A7083">
        <v>24977</v>
      </c>
      <c r="B7083" t="s">
        <v>150</v>
      </c>
      <c r="C7083">
        <v>51032055</v>
      </c>
      <c r="D7083">
        <v>17.05</v>
      </c>
      <c r="E7083" t="s">
        <v>95</v>
      </c>
      <c r="F7083">
        <v>1050</v>
      </c>
      <c r="G7083" s="4">
        <v>46087.604456018518</v>
      </c>
    </row>
    <row r="7084" spans="1:7" x14ac:dyDescent="0.3">
      <c r="A7084">
        <v>24978</v>
      </c>
      <c r="B7084" t="s">
        <v>150</v>
      </c>
      <c r="C7084">
        <v>51032144</v>
      </c>
      <c r="D7084">
        <v>17.384999999999998</v>
      </c>
      <c r="E7084" t="s">
        <v>95</v>
      </c>
      <c r="F7084">
        <v>1043</v>
      </c>
      <c r="G7084" s="4">
        <v>46087.604456018518</v>
      </c>
    </row>
    <row r="7085" spans="1:7" x14ac:dyDescent="0.3">
      <c r="A7085">
        <v>24979</v>
      </c>
      <c r="B7085" t="s">
        <v>150</v>
      </c>
      <c r="C7085">
        <v>51032209</v>
      </c>
      <c r="D7085">
        <v>18.100000000000001</v>
      </c>
      <c r="E7085" t="s">
        <v>95</v>
      </c>
      <c r="F7085">
        <v>1026</v>
      </c>
      <c r="G7085" s="4">
        <v>46087.604456018518</v>
      </c>
    </row>
    <row r="7086" spans="1:7" x14ac:dyDescent="0.3">
      <c r="A7086">
        <v>24980</v>
      </c>
      <c r="B7086" t="s">
        <v>150</v>
      </c>
      <c r="C7086">
        <v>51032217</v>
      </c>
      <c r="D7086">
        <v>13.750000000000002</v>
      </c>
      <c r="E7086" t="s">
        <v>95</v>
      </c>
      <c r="F7086">
        <v>1093</v>
      </c>
      <c r="G7086" s="4">
        <v>46087.604456018518</v>
      </c>
    </row>
    <row r="7087" spans="1:7" x14ac:dyDescent="0.3">
      <c r="A7087">
        <v>24981</v>
      </c>
      <c r="B7087" t="s">
        <v>150</v>
      </c>
      <c r="C7087">
        <v>51032497</v>
      </c>
      <c r="D7087">
        <v>14.984999999999999</v>
      </c>
      <c r="E7087" t="s">
        <v>95</v>
      </c>
      <c r="F7087">
        <v>1080</v>
      </c>
      <c r="G7087" s="4">
        <v>46087.604456018518</v>
      </c>
    </row>
    <row r="7088" spans="1:7" x14ac:dyDescent="0.3">
      <c r="A7088">
        <v>24982</v>
      </c>
      <c r="B7088" t="s">
        <v>150</v>
      </c>
      <c r="C7088">
        <v>51033019</v>
      </c>
      <c r="D7088">
        <v>19.910000000000004</v>
      </c>
      <c r="E7088" t="s">
        <v>95</v>
      </c>
      <c r="F7088">
        <v>977</v>
      </c>
      <c r="G7088" s="4">
        <v>46087.604456018518</v>
      </c>
    </row>
    <row r="7089" spans="1:7" x14ac:dyDescent="0.3">
      <c r="A7089">
        <v>24983</v>
      </c>
      <c r="B7089" t="s">
        <v>150</v>
      </c>
      <c r="C7089">
        <v>51033647</v>
      </c>
      <c r="D7089">
        <v>16</v>
      </c>
      <c r="E7089" t="s">
        <v>95</v>
      </c>
      <c r="F7089">
        <v>1066</v>
      </c>
      <c r="G7089" s="4">
        <v>46087.604456018518</v>
      </c>
    </row>
    <row r="7090" spans="1:7" x14ac:dyDescent="0.3">
      <c r="A7090">
        <v>24984</v>
      </c>
      <c r="B7090" t="s">
        <v>150</v>
      </c>
      <c r="C7090">
        <v>51034261</v>
      </c>
      <c r="D7090">
        <v>18.052699999999998</v>
      </c>
      <c r="E7090" t="s">
        <v>95</v>
      </c>
      <c r="F7090">
        <v>1029</v>
      </c>
      <c r="G7090" s="4">
        <v>46087.604456018518</v>
      </c>
    </row>
    <row r="7091" spans="1:7" x14ac:dyDescent="0.3">
      <c r="A7091">
        <v>24985</v>
      </c>
      <c r="B7091" t="s">
        <v>150</v>
      </c>
      <c r="C7091">
        <v>51034392</v>
      </c>
      <c r="D7091">
        <v>10.43</v>
      </c>
      <c r="E7091" t="s">
        <v>95</v>
      </c>
      <c r="F7091">
        <v>1161</v>
      </c>
      <c r="G7091" s="4">
        <v>46087.604456018518</v>
      </c>
    </row>
    <row r="7092" spans="1:7" x14ac:dyDescent="0.3">
      <c r="A7092">
        <v>24986</v>
      </c>
      <c r="B7092" t="s">
        <v>150</v>
      </c>
      <c r="C7092">
        <v>51036093</v>
      </c>
      <c r="D7092">
        <v>11.8</v>
      </c>
      <c r="E7092" t="s">
        <v>95</v>
      </c>
      <c r="F7092">
        <v>1135</v>
      </c>
      <c r="G7092" s="4">
        <v>46087.604456018518</v>
      </c>
    </row>
    <row r="7093" spans="1:7" x14ac:dyDescent="0.3">
      <c r="A7093">
        <v>24987</v>
      </c>
      <c r="B7093" t="s">
        <v>150</v>
      </c>
      <c r="C7093">
        <v>51036620</v>
      </c>
      <c r="D7093">
        <v>16.8</v>
      </c>
      <c r="E7093" t="s">
        <v>95</v>
      </c>
      <c r="F7093">
        <v>1055</v>
      </c>
      <c r="G7093" s="4">
        <v>46087.604456018518</v>
      </c>
    </row>
    <row r="7094" spans="1:7" x14ac:dyDescent="0.3">
      <c r="A7094">
        <v>24988</v>
      </c>
      <c r="B7094" t="s">
        <v>150</v>
      </c>
      <c r="C7094">
        <v>51036786</v>
      </c>
      <c r="D7094">
        <v>21.734999999999996</v>
      </c>
      <c r="E7094" t="s">
        <v>94</v>
      </c>
      <c r="F7094">
        <v>951</v>
      </c>
      <c r="G7094" s="4">
        <v>46087.604456018518</v>
      </c>
    </row>
    <row r="7095" spans="1:7" x14ac:dyDescent="0.3">
      <c r="A7095">
        <v>24989</v>
      </c>
      <c r="B7095" t="s">
        <v>150</v>
      </c>
      <c r="C7095">
        <v>51037014</v>
      </c>
      <c r="D7095">
        <v>17.100000000000001</v>
      </c>
      <c r="E7095" t="s">
        <v>95</v>
      </c>
      <c r="F7095">
        <v>1049</v>
      </c>
      <c r="G7095" s="4">
        <v>46087.604456018518</v>
      </c>
    </row>
    <row r="7096" spans="1:7" x14ac:dyDescent="0.3">
      <c r="A7096">
        <v>24990</v>
      </c>
      <c r="B7096" t="s">
        <v>150</v>
      </c>
      <c r="C7096">
        <v>51038991</v>
      </c>
      <c r="D7096">
        <v>16.198</v>
      </c>
      <c r="E7096" t="s">
        <v>95</v>
      </c>
      <c r="F7096">
        <v>1065</v>
      </c>
      <c r="G7096" s="4">
        <v>46087.604456018518</v>
      </c>
    </row>
    <row r="7097" spans="1:7" x14ac:dyDescent="0.3">
      <c r="A7097">
        <v>24991</v>
      </c>
      <c r="B7097" t="s">
        <v>150</v>
      </c>
      <c r="C7097">
        <v>51039084</v>
      </c>
      <c r="D7097">
        <v>11.819499999999998</v>
      </c>
      <c r="E7097" t="s">
        <v>95</v>
      </c>
      <c r="F7097">
        <v>1134</v>
      </c>
      <c r="G7097" s="4">
        <v>46087.604456018518</v>
      </c>
    </row>
    <row r="7098" spans="1:7" x14ac:dyDescent="0.3">
      <c r="A7098">
        <v>24992</v>
      </c>
      <c r="B7098" t="s">
        <v>150</v>
      </c>
      <c r="C7098">
        <v>51039955</v>
      </c>
      <c r="D7098">
        <v>13.370000000000001</v>
      </c>
      <c r="E7098" t="s">
        <v>95</v>
      </c>
      <c r="F7098">
        <v>1100</v>
      </c>
      <c r="G7098" s="4">
        <v>46087.604456018518</v>
      </c>
    </row>
    <row r="7099" spans="1:7" x14ac:dyDescent="0.3">
      <c r="A7099">
        <v>24993</v>
      </c>
      <c r="B7099" t="s">
        <v>150</v>
      </c>
      <c r="C7099">
        <v>51039980</v>
      </c>
      <c r="D7099">
        <v>19.14</v>
      </c>
      <c r="E7099" t="s">
        <v>95</v>
      </c>
      <c r="F7099">
        <v>998</v>
      </c>
      <c r="G7099" s="4">
        <v>46087.604456018518</v>
      </c>
    </row>
    <row r="7100" spans="1:7" x14ac:dyDescent="0.3">
      <c r="A7100">
        <v>24994</v>
      </c>
      <c r="B7100" t="s">
        <v>150</v>
      </c>
      <c r="C7100">
        <v>51040040</v>
      </c>
      <c r="D7100">
        <v>12.9</v>
      </c>
      <c r="E7100" t="s">
        <v>95</v>
      </c>
      <c r="F7100">
        <v>1114</v>
      </c>
      <c r="G7100" s="4">
        <v>46087.604456018518</v>
      </c>
    </row>
    <row r="7101" spans="1:7" x14ac:dyDescent="0.3">
      <c r="A7101">
        <v>24995</v>
      </c>
      <c r="B7101" t="s">
        <v>150</v>
      </c>
      <c r="C7101">
        <v>51040309</v>
      </c>
      <c r="D7101">
        <v>12.3445</v>
      </c>
      <c r="E7101" t="s">
        <v>95</v>
      </c>
      <c r="F7101">
        <v>1129</v>
      </c>
      <c r="G7101" s="4">
        <v>46087.604456018518</v>
      </c>
    </row>
    <row r="7102" spans="1:7" x14ac:dyDescent="0.3">
      <c r="A7102">
        <v>24996</v>
      </c>
      <c r="B7102" t="s">
        <v>150</v>
      </c>
      <c r="C7102">
        <v>51040856</v>
      </c>
      <c r="D7102">
        <v>12.304999999999998</v>
      </c>
      <c r="E7102" t="s">
        <v>95</v>
      </c>
      <c r="F7102">
        <v>1130</v>
      </c>
      <c r="G7102" s="4">
        <v>46087.604456018518</v>
      </c>
    </row>
    <row r="7103" spans="1:7" x14ac:dyDescent="0.3">
      <c r="A7103">
        <v>24997</v>
      </c>
      <c r="B7103" t="s">
        <v>150</v>
      </c>
      <c r="C7103">
        <v>51040970</v>
      </c>
      <c r="D7103">
        <v>13.090000000000002</v>
      </c>
      <c r="E7103" t="s">
        <v>95</v>
      </c>
      <c r="F7103">
        <v>1111</v>
      </c>
      <c r="G7103" s="4">
        <v>46087.604456018518</v>
      </c>
    </row>
    <row r="7104" spans="1:7" x14ac:dyDescent="0.3">
      <c r="A7104">
        <v>24998</v>
      </c>
      <c r="B7104" t="s">
        <v>150</v>
      </c>
      <c r="C7104">
        <v>51041178</v>
      </c>
      <c r="D7104">
        <v>8.19</v>
      </c>
      <c r="E7104" t="s">
        <v>95</v>
      </c>
      <c r="F7104">
        <v>1185</v>
      </c>
      <c r="G7104" s="4">
        <v>46087.604456018518</v>
      </c>
    </row>
    <row r="7105" spans="1:7" x14ac:dyDescent="0.3">
      <c r="A7105">
        <v>24999</v>
      </c>
      <c r="B7105" t="s">
        <v>150</v>
      </c>
      <c r="C7105">
        <v>51041321</v>
      </c>
      <c r="D7105">
        <v>15.2</v>
      </c>
      <c r="E7105" t="s">
        <v>95</v>
      </c>
      <c r="F7105">
        <v>1077</v>
      </c>
      <c r="G7105" s="4">
        <v>46087.604456018518</v>
      </c>
    </row>
    <row r="7106" spans="1:7" x14ac:dyDescent="0.3">
      <c r="A7106">
        <v>25000</v>
      </c>
      <c r="B7106" t="s">
        <v>150</v>
      </c>
      <c r="C7106">
        <v>51041836</v>
      </c>
      <c r="D7106">
        <v>17.160000000000004</v>
      </c>
      <c r="E7106" t="s">
        <v>95</v>
      </c>
      <c r="F7106">
        <v>1047</v>
      </c>
      <c r="G7106" s="4">
        <v>46087.604456018518</v>
      </c>
    </row>
    <row r="7107" spans="1:7" x14ac:dyDescent="0.3">
      <c r="A7107">
        <v>25001</v>
      </c>
      <c r="B7107" t="s">
        <v>150</v>
      </c>
      <c r="C7107">
        <v>51041925</v>
      </c>
      <c r="D7107">
        <v>18.685000000000002</v>
      </c>
      <c r="E7107" t="s">
        <v>95</v>
      </c>
      <c r="F7107">
        <v>1013</v>
      </c>
      <c r="G7107" s="4">
        <v>46087.604456018518</v>
      </c>
    </row>
    <row r="7108" spans="1:7" x14ac:dyDescent="0.3">
      <c r="A7108">
        <v>25002</v>
      </c>
      <c r="B7108" t="s">
        <v>150</v>
      </c>
      <c r="C7108">
        <v>51042166</v>
      </c>
      <c r="D7108">
        <v>18.899999999999999</v>
      </c>
      <c r="E7108" t="s">
        <v>95</v>
      </c>
      <c r="F7108">
        <v>1003</v>
      </c>
      <c r="G7108" s="4">
        <v>46087.604456018518</v>
      </c>
    </row>
    <row r="7109" spans="1:7" x14ac:dyDescent="0.3">
      <c r="A7109">
        <v>25003</v>
      </c>
      <c r="B7109" t="s">
        <v>150</v>
      </c>
      <c r="C7109">
        <v>51042352</v>
      </c>
      <c r="D7109">
        <v>18.198</v>
      </c>
      <c r="E7109" t="s">
        <v>95</v>
      </c>
      <c r="F7109">
        <v>1024</v>
      </c>
      <c r="G7109" s="4">
        <v>46087.604456018518</v>
      </c>
    </row>
    <row r="7110" spans="1:7" x14ac:dyDescent="0.3">
      <c r="A7110">
        <v>25004</v>
      </c>
      <c r="B7110" t="s">
        <v>150</v>
      </c>
      <c r="C7110">
        <v>51042492</v>
      </c>
      <c r="D7110">
        <v>19.200000000000003</v>
      </c>
      <c r="E7110" t="s">
        <v>95</v>
      </c>
      <c r="F7110">
        <v>996</v>
      </c>
      <c r="G7110" s="4">
        <v>46087.604456018518</v>
      </c>
    </row>
    <row r="7111" spans="1:7" x14ac:dyDescent="0.3">
      <c r="A7111">
        <v>25005</v>
      </c>
      <c r="B7111" t="s">
        <v>150</v>
      </c>
      <c r="C7111">
        <v>51042557</v>
      </c>
      <c r="D7111">
        <v>13.3</v>
      </c>
      <c r="E7111" t="s">
        <v>95</v>
      </c>
      <c r="F7111">
        <v>1103</v>
      </c>
      <c r="G7111" s="4">
        <v>46087.604456018518</v>
      </c>
    </row>
    <row r="7112" spans="1:7" x14ac:dyDescent="0.3">
      <c r="A7112">
        <v>25006</v>
      </c>
      <c r="B7112" t="s">
        <v>150</v>
      </c>
      <c r="C7112">
        <v>51042697</v>
      </c>
      <c r="D7112">
        <v>10.01</v>
      </c>
      <c r="E7112" t="s">
        <v>95</v>
      </c>
      <c r="F7112">
        <v>1169</v>
      </c>
      <c r="G7112" s="4">
        <v>46087.604456018518</v>
      </c>
    </row>
    <row r="7113" spans="1:7" x14ac:dyDescent="0.3">
      <c r="A7113">
        <v>25007</v>
      </c>
      <c r="B7113" t="s">
        <v>150</v>
      </c>
      <c r="C7113">
        <v>51042701</v>
      </c>
      <c r="D7113">
        <v>19.100000000000001</v>
      </c>
      <c r="E7113" t="s">
        <v>95</v>
      </c>
      <c r="F7113">
        <v>1000</v>
      </c>
      <c r="G7113" s="4">
        <v>46087.604456018518</v>
      </c>
    </row>
    <row r="7114" spans="1:7" x14ac:dyDescent="0.3">
      <c r="A7114">
        <v>25008</v>
      </c>
      <c r="B7114" t="s">
        <v>150</v>
      </c>
      <c r="C7114">
        <v>51042794</v>
      </c>
      <c r="D7114">
        <v>10.3</v>
      </c>
      <c r="E7114" t="s">
        <v>95</v>
      </c>
      <c r="F7114">
        <v>1164</v>
      </c>
      <c r="G7114" s="4">
        <v>46087.604456018518</v>
      </c>
    </row>
    <row r="7115" spans="1:7" x14ac:dyDescent="0.3">
      <c r="A7115">
        <v>25009</v>
      </c>
      <c r="B7115" t="s">
        <v>150</v>
      </c>
      <c r="C7115">
        <v>51042867</v>
      </c>
      <c r="D7115">
        <v>18.399999999999999</v>
      </c>
      <c r="E7115" t="s">
        <v>95</v>
      </c>
      <c r="F7115">
        <v>1021</v>
      </c>
      <c r="G7115" s="4">
        <v>46087.604456018518</v>
      </c>
    </row>
    <row r="7116" spans="1:7" x14ac:dyDescent="0.3">
      <c r="A7116">
        <v>25010</v>
      </c>
      <c r="B7116" t="s">
        <v>150</v>
      </c>
      <c r="C7116">
        <v>51042883</v>
      </c>
      <c r="D7116">
        <v>18.859999999999996</v>
      </c>
      <c r="E7116" t="s">
        <v>95</v>
      </c>
      <c r="F7116">
        <v>1007</v>
      </c>
      <c r="G7116" s="4">
        <v>46087.604456018518</v>
      </c>
    </row>
    <row r="7117" spans="1:7" x14ac:dyDescent="0.3">
      <c r="A7117">
        <v>25011</v>
      </c>
      <c r="B7117" t="s">
        <v>150</v>
      </c>
      <c r="C7117">
        <v>51043286</v>
      </c>
      <c r="D7117">
        <v>7.77</v>
      </c>
      <c r="E7117" t="s">
        <v>95</v>
      </c>
      <c r="F7117">
        <v>1190</v>
      </c>
      <c r="G7117" s="4">
        <v>46087.604456018518</v>
      </c>
    </row>
    <row r="7118" spans="1:7" x14ac:dyDescent="0.3">
      <c r="A7118">
        <v>25012</v>
      </c>
      <c r="B7118" t="s">
        <v>150</v>
      </c>
      <c r="C7118">
        <v>51043430</v>
      </c>
      <c r="D7118">
        <v>9.5690000000000008</v>
      </c>
      <c r="E7118" t="s">
        <v>95</v>
      </c>
      <c r="F7118">
        <v>1173</v>
      </c>
      <c r="G7118" s="4">
        <v>46087.604456018518</v>
      </c>
    </row>
    <row r="7119" spans="1:7" x14ac:dyDescent="0.3">
      <c r="A7119">
        <v>25013</v>
      </c>
      <c r="B7119" t="s">
        <v>150</v>
      </c>
      <c r="C7119">
        <v>51043481</v>
      </c>
      <c r="D7119">
        <v>19.498000000000001</v>
      </c>
      <c r="E7119" t="s">
        <v>95</v>
      </c>
      <c r="F7119">
        <v>988</v>
      </c>
      <c r="G7119" s="4">
        <v>46087.604456018518</v>
      </c>
    </row>
    <row r="7120" spans="1:7" x14ac:dyDescent="0.3">
      <c r="A7120">
        <v>25014</v>
      </c>
      <c r="B7120" t="s">
        <v>150</v>
      </c>
      <c r="C7120">
        <v>51043685</v>
      </c>
      <c r="D7120">
        <v>16.600000000000001</v>
      </c>
      <c r="E7120" t="s">
        <v>95</v>
      </c>
      <c r="F7120">
        <v>1059</v>
      </c>
      <c r="G7120" s="4">
        <v>46087.604456018518</v>
      </c>
    </row>
    <row r="7121" spans="1:7" x14ac:dyDescent="0.3">
      <c r="A7121">
        <v>25015</v>
      </c>
      <c r="B7121" t="s">
        <v>150</v>
      </c>
      <c r="C7121">
        <v>51044185</v>
      </c>
      <c r="D7121">
        <v>15.600000000000001</v>
      </c>
      <c r="E7121" t="s">
        <v>95</v>
      </c>
      <c r="F7121">
        <v>1073</v>
      </c>
      <c r="G7121" s="4">
        <v>46087.604456018518</v>
      </c>
    </row>
    <row r="7122" spans="1:7" x14ac:dyDescent="0.3">
      <c r="A7122">
        <v>25016</v>
      </c>
      <c r="B7122" t="s">
        <v>150</v>
      </c>
      <c r="C7122">
        <v>51054474</v>
      </c>
      <c r="D7122">
        <v>16.3</v>
      </c>
      <c r="E7122" t="s">
        <v>95</v>
      </c>
      <c r="F7122">
        <v>1062</v>
      </c>
      <c r="G7122" s="4">
        <v>46087.604456018518</v>
      </c>
    </row>
    <row r="7123" spans="1:7" x14ac:dyDescent="0.3">
      <c r="A7123">
        <v>25017</v>
      </c>
      <c r="B7123" t="s">
        <v>150</v>
      </c>
      <c r="C7123">
        <v>51054890</v>
      </c>
      <c r="D7123">
        <v>11.4</v>
      </c>
      <c r="E7123" t="s">
        <v>95</v>
      </c>
      <c r="F7123">
        <v>1138</v>
      </c>
      <c r="G7123" s="4">
        <v>46087.604456018518</v>
      </c>
    </row>
    <row r="7124" spans="1:7" x14ac:dyDescent="0.3">
      <c r="A7124">
        <v>25018</v>
      </c>
      <c r="B7124" t="s">
        <v>150</v>
      </c>
      <c r="C7124">
        <v>51054971</v>
      </c>
      <c r="D7124">
        <v>13.370000000000001</v>
      </c>
      <c r="E7124" t="s">
        <v>95</v>
      </c>
      <c r="F7124">
        <v>1100</v>
      </c>
      <c r="G7124" s="4">
        <v>46087.604456018518</v>
      </c>
    </row>
    <row r="7125" spans="1:7" x14ac:dyDescent="0.3">
      <c r="A7125">
        <v>25019</v>
      </c>
      <c r="B7125" t="s">
        <v>150</v>
      </c>
      <c r="C7125">
        <v>51055021</v>
      </c>
      <c r="D7125">
        <v>8.33</v>
      </c>
      <c r="E7125" t="s">
        <v>95</v>
      </c>
      <c r="F7125">
        <v>1182</v>
      </c>
      <c r="G7125" s="4">
        <v>46087.604456018518</v>
      </c>
    </row>
    <row r="7126" spans="1:7" x14ac:dyDescent="0.3">
      <c r="A7126">
        <v>25020</v>
      </c>
      <c r="B7126" t="s">
        <v>150</v>
      </c>
      <c r="C7126">
        <v>51055110</v>
      </c>
      <c r="D7126">
        <v>16.610000000000003</v>
      </c>
      <c r="E7126" t="s">
        <v>95</v>
      </c>
      <c r="F7126">
        <v>1057</v>
      </c>
      <c r="G7126" s="4">
        <v>46087.604456018518</v>
      </c>
    </row>
    <row r="7127" spans="1:7" x14ac:dyDescent="0.3">
      <c r="A7127">
        <v>25021</v>
      </c>
      <c r="B7127" t="s">
        <v>150</v>
      </c>
      <c r="C7127">
        <v>51055179</v>
      </c>
      <c r="D7127">
        <v>15.998000000000001</v>
      </c>
      <c r="E7127" t="s">
        <v>95</v>
      </c>
      <c r="F7127">
        <v>1067</v>
      </c>
      <c r="G7127" s="4">
        <v>46087.604456018518</v>
      </c>
    </row>
    <row r="7128" spans="1:7" x14ac:dyDescent="0.3">
      <c r="A7128">
        <v>25022</v>
      </c>
      <c r="B7128" t="s">
        <v>150</v>
      </c>
      <c r="C7128">
        <v>51055187</v>
      </c>
      <c r="D7128">
        <v>11.6</v>
      </c>
      <c r="E7128" t="s">
        <v>95</v>
      </c>
      <c r="F7128">
        <v>1136</v>
      </c>
      <c r="G7128" s="4">
        <v>46087.604456018518</v>
      </c>
    </row>
    <row r="7129" spans="1:7" x14ac:dyDescent="0.3">
      <c r="A7129">
        <v>25023</v>
      </c>
      <c r="B7129" t="s">
        <v>150</v>
      </c>
      <c r="C7129">
        <v>51055195</v>
      </c>
      <c r="D7129">
        <v>13.799999999999999</v>
      </c>
      <c r="E7129" t="s">
        <v>95</v>
      </c>
      <c r="F7129">
        <v>1091</v>
      </c>
      <c r="G7129" s="4">
        <v>46087.604456018518</v>
      </c>
    </row>
    <row r="7130" spans="1:7" x14ac:dyDescent="0.3">
      <c r="A7130">
        <v>25024</v>
      </c>
      <c r="B7130" t="s">
        <v>150</v>
      </c>
      <c r="C7130">
        <v>51055233</v>
      </c>
      <c r="D7130">
        <v>19.200000000000003</v>
      </c>
      <c r="E7130" t="s">
        <v>95</v>
      </c>
      <c r="F7130">
        <v>996</v>
      </c>
      <c r="G7130" s="4">
        <v>46087.604456018518</v>
      </c>
    </row>
    <row r="7131" spans="1:7" x14ac:dyDescent="0.3">
      <c r="A7131">
        <v>25025</v>
      </c>
      <c r="B7131" t="s">
        <v>150</v>
      </c>
      <c r="C7131">
        <v>51055314</v>
      </c>
      <c r="D7131">
        <v>11.9</v>
      </c>
      <c r="E7131" t="s">
        <v>95</v>
      </c>
      <c r="F7131">
        <v>1133</v>
      </c>
      <c r="G7131" s="4">
        <v>46087.604456018518</v>
      </c>
    </row>
    <row r="7132" spans="1:7" x14ac:dyDescent="0.3">
      <c r="A7132">
        <v>25026</v>
      </c>
      <c r="B7132" t="s">
        <v>150</v>
      </c>
      <c r="C7132">
        <v>51055349</v>
      </c>
      <c r="D7132">
        <v>9.7999999999999989</v>
      </c>
      <c r="E7132" t="s">
        <v>95</v>
      </c>
      <c r="F7132">
        <v>1171</v>
      </c>
      <c r="G7132" s="4">
        <v>46087.604456018518</v>
      </c>
    </row>
    <row r="7133" spans="1:7" x14ac:dyDescent="0.3">
      <c r="A7133">
        <v>25027</v>
      </c>
      <c r="B7133" t="s">
        <v>150</v>
      </c>
      <c r="C7133">
        <v>51055381</v>
      </c>
      <c r="D7133">
        <v>12.9</v>
      </c>
      <c r="E7133" t="s">
        <v>95</v>
      </c>
      <c r="F7133">
        <v>1114</v>
      </c>
      <c r="G7133" s="4">
        <v>46087.604456018518</v>
      </c>
    </row>
    <row r="7134" spans="1:7" x14ac:dyDescent="0.3">
      <c r="A7134">
        <v>25028</v>
      </c>
      <c r="B7134" t="s">
        <v>150</v>
      </c>
      <c r="C7134">
        <v>51055403</v>
      </c>
      <c r="D7134">
        <v>14.5</v>
      </c>
      <c r="E7134" t="s">
        <v>95</v>
      </c>
      <c r="F7134">
        <v>1083</v>
      </c>
      <c r="G7134" s="4">
        <v>46087.604456018518</v>
      </c>
    </row>
    <row r="7135" spans="1:7" x14ac:dyDescent="0.3">
      <c r="A7135">
        <v>25029</v>
      </c>
      <c r="B7135" t="s">
        <v>150</v>
      </c>
      <c r="C7135">
        <v>51055420</v>
      </c>
      <c r="D7135">
        <v>18.700000000000003</v>
      </c>
      <c r="E7135" t="s">
        <v>95</v>
      </c>
      <c r="F7135">
        <v>1012</v>
      </c>
      <c r="G7135" s="4">
        <v>46087.604456018518</v>
      </c>
    </row>
    <row r="7136" spans="1:7" x14ac:dyDescent="0.3">
      <c r="A7136">
        <v>25030</v>
      </c>
      <c r="B7136" t="s">
        <v>150</v>
      </c>
      <c r="C7136">
        <v>51055438</v>
      </c>
      <c r="D7136">
        <v>13.3</v>
      </c>
      <c r="E7136" t="s">
        <v>95</v>
      </c>
      <c r="F7136">
        <v>1103</v>
      </c>
      <c r="G7136" s="4">
        <v>46087.604456018518</v>
      </c>
    </row>
    <row r="7137" spans="1:7" x14ac:dyDescent="0.3">
      <c r="A7137">
        <v>25031</v>
      </c>
      <c r="B7137" t="s">
        <v>150</v>
      </c>
      <c r="C7137">
        <v>51055446</v>
      </c>
      <c r="D7137">
        <v>12.81</v>
      </c>
      <c r="E7137" t="s">
        <v>95</v>
      </c>
      <c r="F7137">
        <v>1117</v>
      </c>
      <c r="G7137" s="4">
        <v>46087.604456018518</v>
      </c>
    </row>
    <row r="7138" spans="1:7" x14ac:dyDescent="0.3">
      <c r="A7138">
        <v>25032</v>
      </c>
      <c r="B7138" t="s">
        <v>150</v>
      </c>
      <c r="C7138">
        <v>51055471</v>
      </c>
      <c r="D7138">
        <v>13.2</v>
      </c>
      <c r="E7138" t="s">
        <v>95</v>
      </c>
      <c r="F7138">
        <v>1107</v>
      </c>
      <c r="G7138" s="4">
        <v>46087.604456018518</v>
      </c>
    </row>
    <row r="7139" spans="1:7" x14ac:dyDescent="0.3">
      <c r="A7139">
        <v>25033</v>
      </c>
      <c r="B7139" t="s">
        <v>150</v>
      </c>
      <c r="C7139">
        <v>51055608</v>
      </c>
      <c r="D7139">
        <v>10.89</v>
      </c>
      <c r="E7139" t="s">
        <v>95</v>
      </c>
      <c r="F7139">
        <v>1148</v>
      </c>
      <c r="G7139" s="4">
        <v>46087.604456018518</v>
      </c>
    </row>
    <row r="7140" spans="1:7" x14ac:dyDescent="0.3">
      <c r="A7140">
        <v>25034</v>
      </c>
      <c r="B7140" t="s">
        <v>150</v>
      </c>
      <c r="C7140">
        <v>51055683</v>
      </c>
      <c r="D7140">
        <v>17.3</v>
      </c>
      <c r="E7140" t="s">
        <v>95</v>
      </c>
      <c r="F7140">
        <v>1044</v>
      </c>
      <c r="G7140" s="4">
        <v>46087.604456018518</v>
      </c>
    </row>
    <row r="7141" spans="1:7" x14ac:dyDescent="0.3">
      <c r="A7141">
        <v>25035</v>
      </c>
      <c r="B7141" t="s">
        <v>150</v>
      </c>
      <c r="C7141">
        <v>51055713</v>
      </c>
      <c r="D7141">
        <v>17.3</v>
      </c>
      <c r="E7141" t="s">
        <v>95</v>
      </c>
      <c r="F7141">
        <v>1044</v>
      </c>
      <c r="G7141" s="4">
        <v>46087.604456018518</v>
      </c>
    </row>
    <row r="7142" spans="1:7" x14ac:dyDescent="0.3">
      <c r="A7142">
        <v>25036</v>
      </c>
      <c r="B7142" t="s">
        <v>150</v>
      </c>
      <c r="C7142">
        <v>51055748</v>
      </c>
      <c r="D7142">
        <v>10.7</v>
      </c>
      <c r="E7142" t="s">
        <v>95</v>
      </c>
      <c r="F7142">
        <v>1153</v>
      </c>
      <c r="G7142" s="4">
        <v>46087.604456018518</v>
      </c>
    </row>
    <row r="7143" spans="1:7" x14ac:dyDescent="0.3">
      <c r="A7143">
        <v>25037</v>
      </c>
      <c r="B7143" t="s">
        <v>150</v>
      </c>
      <c r="C7143">
        <v>51055781</v>
      </c>
      <c r="D7143">
        <v>11.339999999999998</v>
      </c>
      <c r="E7143" t="s">
        <v>95</v>
      </c>
      <c r="F7143">
        <v>1140</v>
      </c>
      <c r="G7143" s="4">
        <v>46087.604456018518</v>
      </c>
    </row>
    <row r="7144" spans="1:7" x14ac:dyDescent="0.3">
      <c r="A7144">
        <v>25038</v>
      </c>
      <c r="B7144" t="s">
        <v>150</v>
      </c>
      <c r="C7144">
        <v>51055900</v>
      </c>
      <c r="D7144">
        <v>12.67</v>
      </c>
      <c r="E7144" t="s">
        <v>95</v>
      </c>
      <c r="F7144">
        <v>1122</v>
      </c>
      <c r="G7144" s="4">
        <v>46087.604456018518</v>
      </c>
    </row>
    <row r="7145" spans="1:7" x14ac:dyDescent="0.3">
      <c r="A7145">
        <v>25039</v>
      </c>
      <c r="B7145" t="s">
        <v>150</v>
      </c>
      <c r="C7145">
        <v>51055934</v>
      </c>
      <c r="D7145">
        <v>10.6</v>
      </c>
      <c r="E7145" t="s">
        <v>95</v>
      </c>
      <c r="F7145">
        <v>1156</v>
      </c>
      <c r="G7145" s="4">
        <v>46087.604456018518</v>
      </c>
    </row>
    <row r="7146" spans="1:7" x14ac:dyDescent="0.3">
      <c r="A7146">
        <v>25040</v>
      </c>
      <c r="B7146" t="s">
        <v>150</v>
      </c>
      <c r="C7146">
        <v>51055969</v>
      </c>
      <c r="D7146">
        <v>13.339999999999998</v>
      </c>
      <c r="E7146" t="s">
        <v>95</v>
      </c>
      <c r="F7146">
        <v>1102</v>
      </c>
      <c r="G7146" s="4">
        <v>46087.604456018518</v>
      </c>
    </row>
    <row r="7147" spans="1:7" x14ac:dyDescent="0.3">
      <c r="A7147">
        <v>25041</v>
      </c>
      <c r="B7147" t="s">
        <v>150</v>
      </c>
      <c r="C7147">
        <v>51055977</v>
      </c>
      <c r="D7147">
        <v>8.0499999999999989</v>
      </c>
      <c r="E7147" t="s">
        <v>95</v>
      </c>
      <c r="F7147">
        <v>1186</v>
      </c>
      <c r="G7147" s="4">
        <v>46087.604456018518</v>
      </c>
    </row>
    <row r="7148" spans="1:7" x14ac:dyDescent="0.3">
      <c r="A7148">
        <v>25042</v>
      </c>
      <c r="B7148" t="s">
        <v>150</v>
      </c>
      <c r="C7148">
        <v>51056035</v>
      </c>
      <c r="D7148">
        <v>11</v>
      </c>
      <c r="E7148" t="s">
        <v>95</v>
      </c>
      <c r="F7148">
        <v>1144</v>
      </c>
      <c r="G7148" s="4">
        <v>46087.604456018518</v>
      </c>
    </row>
    <row r="7149" spans="1:7" x14ac:dyDescent="0.3">
      <c r="A7149">
        <v>25043</v>
      </c>
      <c r="B7149" t="s">
        <v>150</v>
      </c>
      <c r="C7149">
        <v>51056043</v>
      </c>
      <c r="D7149">
        <v>12.5076</v>
      </c>
      <c r="E7149" t="s">
        <v>95</v>
      </c>
      <c r="F7149">
        <v>1126</v>
      </c>
      <c r="G7149" s="4">
        <v>46087.604456018518</v>
      </c>
    </row>
    <row r="7150" spans="1:7" x14ac:dyDescent="0.3">
      <c r="A7150">
        <v>25044</v>
      </c>
      <c r="B7150" t="s">
        <v>150</v>
      </c>
      <c r="C7150">
        <v>51056141</v>
      </c>
      <c r="D7150">
        <v>16.86</v>
      </c>
      <c r="E7150" t="s">
        <v>95</v>
      </c>
      <c r="F7150">
        <v>1053</v>
      </c>
      <c r="G7150" s="4">
        <v>46087.604456018518</v>
      </c>
    </row>
    <row r="7151" spans="1:7" x14ac:dyDescent="0.3">
      <c r="A7151">
        <v>25045</v>
      </c>
      <c r="B7151" t="s">
        <v>150</v>
      </c>
      <c r="C7151">
        <v>51056167</v>
      </c>
      <c r="D7151">
        <v>14.3</v>
      </c>
      <c r="E7151" t="s">
        <v>95</v>
      </c>
      <c r="F7151">
        <v>1086</v>
      </c>
      <c r="G7151" s="4">
        <v>46087.604456018518</v>
      </c>
    </row>
    <row r="7152" spans="1:7" x14ac:dyDescent="0.3">
      <c r="A7152">
        <v>25046</v>
      </c>
      <c r="B7152" t="s">
        <v>150</v>
      </c>
      <c r="C7152">
        <v>51056230</v>
      </c>
      <c r="D7152">
        <v>11</v>
      </c>
      <c r="E7152" t="s">
        <v>95</v>
      </c>
      <c r="F7152">
        <v>1144</v>
      </c>
      <c r="G7152" s="4">
        <v>46087.604456018518</v>
      </c>
    </row>
    <row r="7153" spans="1:7" x14ac:dyDescent="0.3">
      <c r="A7153">
        <v>25047</v>
      </c>
      <c r="B7153" t="s">
        <v>150</v>
      </c>
      <c r="C7153">
        <v>51056256</v>
      </c>
      <c r="D7153">
        <v>13.42</v>
      </c>
      <c r="E7153" t="s">
        <v>95</v>
      </c>
      <c r="F7153">
        <v>1099</v>
      </c>
      <c r="G7153" s="4">
        <v>46087.604456018518</v>
      </c>
    </row>
    <row r="7154" spans="1:7" x14ac:dyDescent="0.3">
      <c r="A7154">
        <v>25048</v>
      </c>
      <c r="B7154" t="s">
        <v>150</v>
      </c>
      <c r="C7154">
        <v>51056370</v>
      </c>
      <c r="D7154">
        <v>10.5</v>
      </c>
      <c r="E7154" t="s">
        <v>95</v>
      </c>
      <c r="F7154">
        <v>1160</v>
      </c>
      <c r="G7154" s="4">
        <v>46087.604456018518</v>
      </c>
    </row>
    <row r="7155" spans="1:7" x14ac:dyDescent="0.3">
      <c r="A7155">
        <v>25049</v>
      </c>
      <c r="B7155" t="s">
        <v>150</v>
      </c>
      <c r="C7155">
        <v>51056680</v>
      </c>
      <c r="D7155">
        <v>2.2999999999999998</v>
      </c>
      <c r="E7155" t="s">
        <v>95</v>
      </c>
      <c r="F7155">
        <v>1193</v>
      </c>
      <c r="G7155" s="4">
        <v>46087.604456018518</v>
      </c>
    </row>
    <row r="7156" spans="1:7" x14ac:dyDescent="0.3">
      <c r="A7156">
        <v>25050</v>
      </c>
      <c r="B7156" t="s">
        <v>150</v>
      </c>
      <c r="C7156">
        <v>51056710</v>
      </c>
      <c r="D7156">
        <v>18.480000000000004</v>
      </c>
      <c r="E7156" t="s">
        <v>95</v>
      </c>
      <c r="F7156">
        <v>1020</v>
      </c>
      <c r="G7156" s="4">
        <v>46087.604456018518</v>
      </c>
    </row>
    <row r="7157" spans="1:7" x14ac:dyDescent="0.3">
      <c r="A7157">
        <v>25051</v>
      </c>
      <c r="B7157" t="s">
        <v>150</v>
      </c>
      <c r="C7157">
        <v>51056779</v>
      </c>
      <c r="D7157">
        <v>17.2</v>
      </c>
      <c r="E7157" t="s">
        <v>95</v>
      </c>
      <c r="F7157">
        <v>1046</v>
      </c>
      <c r="G7157" s="4">
        <v>46087.604456018518</v>
      </c>
    </row>
    <row r="7158" spans="1:7" x14ac:dyDescent="0.3">
      <c r="A7158">
        <v>25052</v>
      </c>
      <c r="B7158" t="s">
        <v>150</v>
      </c>
      <c r="C7158">
        <v>51056841</v>
      </c>
      <c r="D7158">
        <v>13.750000000000002</v>
      </c>
      <c r="E7158" t="s">
        <v>95</v>
      </c>
      <c r="F7158">
        <v>1093</v>
      </c>
      <c r="G7158" s="4">
        <v>46087.604456018518</v>
      </c>
    </row>
    <row r="7159" spans="1:7" x14ac:dyDescent="0.3">
      <c r="A7159">
        <v>25053</v>
      </c>
      <c r="B7159" t="s">
        <v>150</v>
      </c>
      <c r="C7159">
        <v>51056892</v>
      </c>
      <c r="D7159">
        <v>18.899999999999999</v>
      </c>
      <c r="E7159" t="s">
        <v>95</v>
      </c>
      <c r="F7159">
        <v>1003</v>
      </c>
      <c r="G7159" s="4">
        <v>46087.604456018518</v>
      </c>
    </row>
    <row r="7160" spans="1:7" x14ac:dyDescent="0.3">
      <c r="G7160" s="4"/>
    </row>
    <row r="7161" spans="1:7" x14ac:dyDescent="0.3">
      <c r="G7161" s="4"/>
    </row>
    <row r="7162" spans="1:7" x14ac:dyDescent="0.3">
      <c r="G7162" s="4"/>
    </row>
    <row r="7163" spans="1:7" x14ac:dyDescent="0.3">
      <c r="G7163" s="4"/>
    </row>
    <row r="7164" spans="1:7" x14ac:dyDescent="0.3">
      <c r="G7164" s="4"/>
    </row>
    <row r="7165" spans="1:7" x14ac:dyDescent="0.3">
      <c r="G7165" s="4"/>
    </row>
    <row r="7166" spans="1:7" x14ac:dyDescent="0.3">
      <c r="G7166" s="4"/>
    </row>
    <row r="7167" spans="1:7" x14ac:dyDescent="0.3">
      <c r="G7167" s="4"/>
    </row>
    <row r="7168" spans="1:7" x14ac:dyDescent="0.3">
      <c r="G7168" s="4"/>
    </row>
    <row r="7169" spans="7:7" x14ac:dyDescent="0.3">
      <c r="G7169" s="4"/>
    </row>
    <row r="7170" spans="7:7" x14ac:dyDescent="0.3">
      <c r="G7170" s="4"/>
    </row>
    <row r="7171" spans="7:7" x14ac:dyDescent="0.3">
      <c r="G7171" s="4"/>
    </row>
    <row r="7172" spans="7:7" x14ac:dyDescent="0.3">
      <c r="G7172" s="4"/>
    </row>
    <row r="7173" spans="7:7" x14ac:dyDescent="0.3">
      <c r="G7173" s="4"/>
    </row>
    <row r="7174" spans="7:7" x14ac:dyDescent="0.3">
      <c r="G7174" s="4"/>
    </row>
    <row r="7175" spans="7:7" x14ac:dyDescent="0.3">
      <c r="G7175" s="4"/>
    </row>
    <row r="7176" spans="7:7" x14ac:dyDescent="0.3">
      <c r="G7176" s="4"/>
    </row>
    <row r="7177" spans="7:7" x14ac:dyDescent="0.3">
      <c r="G7177" s="4"/>
    </row>
    <row r="7178" spans="7:7" x14ac:dyDescent="0.3">
      <c r="G7178" s="4"/>
    </row>
    <row r="7179" spans="7:7" x14ac:dyDescent="0.3">
      <c r="G7179" s="4"/>
    </row>
    <row r="7180" spans="7:7" x14ac:dyDescent="0.3">
      <c r="G7180" s="4"/>
    </row>
    <row r="7181" spans="7:7" x14ac:dyDescent="0.3">
      <c r="G7181" s="4"/>
    </row>
    <row r="7182" spans="7:7" x14ac:dyDescent="0.3">
      <c r="G7182" s="4"/>
    </row>
    <row r="7183" spans="7:7" x14ac:dyDescent="0.3">
      <c r="G7183" s="4"/>
    </row>
    <row r="7184" spans="7:7" x14ac:dyDescent="0.3">
      <c r="G7184" s="4"/>
    </row>
    <row r="7185" spans="7:7" x14ac:dyDescent="0.3">
      <c r="G7185" s="4"/>
    </row>
    <row r="7186" spans="7:7" x14ac:dyDescent="0.3">
      <c r="G7186" s="4"/>
    </row>
    <row r="7187" spans="7:7" x14ac:dyDescent="0.3">
      <c r="G7187" s="4"/>
    </row>
    <row r="7188" spans="7:7" x14ac:dyDescent="0.3">
      <c r="G7188" s="4"/>
    </row>
    <row r="7189" spans="7:7" x14ac:dyDescent="0.3">
      <c r="G7189" s="4"/>
    </row>
    <row r="7190" spans="7:7" x14ac:dyDescent="0.3">
      <c r="G7190" s="4"/>
    </row>
    <row r="7191" spans="7:7" x14ac:dyDescent="0.3">
      <c r="G7191" s="4"/>
    </row>
    <row r="7192" spans="7:7" x14ac:dyDescent="0.3">
      <c r="G7192" s="4"/>
    </row>
    <row r="7193" spans="7:7" x14ac:dyDescent="0.3">
      <c r="G7193" s="4"/>
    </row>
    <row r="7194" spans="7:7" x14ac:dyDescent="0.3">
      <c r="G7194" s="4"/>
    </row>
    <row r="7195" spans="7:7" x14ac:dyDescent="0.3">
      <c r="G7195" s="4"/>
    </row>
    <row r="7196" spans="7:7" x14ac:dyDescent="0.3">
      <c r="G7196" s="4"/>
    </row>
    <row r="7197" spans="7:7" x14ac:dyDescent="0.3">
      <c r="G7197" s="4"/>
    </row>
    <row r="7198" spans="7:7" x14ac:dyDescent="0.3">
      <c r="G7198" s="4"/>
    </row>
    <row r="7199" spans="7:7" x14ac:dyDescent="0.3">
      <c r="G7199" s="4"/>
    </row>
    <row r="7200" spans="7:7" x14ac:dyDescent="0.3">
      <c r="G7200" s="4"/>
    </row>
    <row r="7201" spans="7:7" x14ac:dyDescent="0.3">
      <c r="G7201" s="4"/>
    </row>
    <row r="7202" spans="7:7" x14ac:dyDescent="0.3">
      <c r="G7202" s="4"/>
    </row>
    <row r="7203" spans="7:7" x14ac:dyDescent="0.3">
      <c r="G7203" s="4"/>
    </row>
    <row r="7204" spans="7:7" x14ac:dyDescent="0.3">
      <c r="G7204" s="4"/>
    </row>
    <row r="7205" spans="7:7" x14ac:dyDescent="0.3">
      <c r="G7205" s="4"/>
    </row>
    <row r="7206" spans="7:7" x14ac:dyDescent="0.3">
      <c r="G7206" s="4"/>
    </row>
    <row r="7207" spans="7:7" x14ac:dyDescent="0.3">
      <c r="G7207" s="4"/>
    </row>
    <row r="7208" spans="7:7" x14ac:dyDescent="0.3">
      <c r="G7208" s="4"/>
    </row>
    <row r="7209" spans="7:7" x14ac:dyDescent="0.3">
      <c r="G7209" s="4"/>
    </row>
    <row r="7210" spans="7:7" x14ac:dyDescent="0.3">
      <c r="G7210" s="4"/>
    </row>
    <row r="7211" spans="7:7" x14ac:dyDescent="0.3">
      <c r="G7211" s="4"/>
    </row>
    <row r="7212" spans="7:7" x14ac:dyDescent="0.3">
      <c r="G7212" s="4"/>
    </row>
    <row r="7213" spans="7:7" x14ac:dyDescent="0.3">
      <c r="G7213" s="4"/>
    </row>
    <row r="7214" spans="7:7" x14ac:dyDescent="0.3">
      <c r="G7214" s="4"/>
    </row>
    <row r="7215" spans="7:7" x14ac:dyDescent="0.3">
      <c r="G7215" s="4"/>
    </row>
    <row r="7216" spans="7:7" x14ac:dyDescent="0.3">
      <c r="G7216" s="4"/>
    </row>
    <row r="7217" spans="7:7" x14ac:dyDescent="0.3">
      <c r="G7217" s="4"/>
    </row>
    <row r="7218" spans="7:7" x14ac:dyDescent="0.3">
      <c r="G7218" s="4"/>
    </row>
    <row r="7219" spans="7:7" x14ac:dyDescent="0.3">
      <c r="G7219" s="4"/>
    </row>
    <row r="7220" spans="7:7" x14ac:dyDescent="0.3">
      <c r="G7220" s="4"/>
    </row>
    <row r="7221" spans="7:7" x14ac:dyDescent="0.3">
      <c r="G7221" s="4"/>
    </row>
    <row r="7222" spans="7:7" x14ac:dyDescent="0.3">
      <c r="G7222" s="4"/>
    </row>
    <row r="7223" spans="7:7" x14ac:dyDescent="0.3">
      <c r="G7223" s="4"/>
    </row>
    <row r="7224" spans="7:7" x14ac:dyDescent="0.3">
      <c r="G7224" s="4"/>
    </row>
    <row r="7225" spans="7:7" x14ac:dyDescent="0.3">
      <c r="G7225" s="4"/>
    </row>
    <row r="7226" spans="7:7" x14ac:dyDescent="0.3">
      <c r="G7226" s="4"/>
    </row>
    <row r="7227" spans="7:7" x14ac:dyDescent="0.3">
      <c r="G7227" s="4"/>
    </row>
    <row r="7228" spans="7:7" x14ac:dyDescent="0.3">
      <c r="G7228" s="4"/>
    </row>
    <row r="7229" spans="7:7" x14ac:dyDescent="0.3">
      <c r="G7229" s="4"/>
    </row>
    <row r="7230" spans="7:7" x14ac:dyDescent="0.3">
      <c r="G7230" s="4"/>
    </row>
    <row r="7231" spans="7:7" x14ac:dyDescent="0.3">
      <c r="G7231" s="4"/>
    </row>
    <row r="7232" spans="7:7" x14ac:dyDescent="0.3">
      <c r="G7232" s="4"/>
    </row>
    <row r="7233" spans="7:7" x14ac:dyDescent="0.3">
      <c r="G7233" s="4"/>
    </row>
    <row r="7234" spans="7:7" x14ac:dyDescent="0.3">
      <c r="G7234" s="4"/>
    </row>
    <row r="7235" spans="7:7" x14ac:dyDescent="0.3">
      <c r="G7235" s="4"/>
    </row>
    <row r="7236" spans="7:7" x14ac:dyDescent="0.3">
      <c r="G7236" s="4"/>
    </row>
    <row r="7237" spans="7:7" x14ac:dyDescent="0.3">
      <c r="G7237" s="4"/>
    </row>
    <row r="7238" spans="7:7" x14ac:dyDescent="0.3">
      <c r="G7238" s="4"/>
    </row>
    <row r="7239" spans="7:7" x14ac:dyDescent="0.3">
      <c r="G7239" s="4"/>
    </row>
    <row r="7240" spans="7:7" x14ac:dyDescent="0.3">
      <c r="G7240" s="4"/>
    </row>
    <row r="7241" spans="7:7" x14ac:dyDescent="0.3">
      <c r="G7241" s="4"/>
    </row>
    <row r="7242" spans="7:7" x14ac:dyDescent="0.3">
      <c r="G7242" s="4"/>
    </row>
    <row r="7243" spans="7:7" x14ac:dyDescent="0.3">
      <c r="G7243" s="4"/>
    </row>
    <row r="7244" spans="7:7" x14ac:dyDescent="0.3">
      <c r="G7244" s="4"/>
    </row>
    <row r="7245" spans="7:7" x14ac:dyDescent="0.3">
      <c r="G7245" s="4"/>
    </row>
    <row r="7246" spans="7:7" x14ac:dyDescent="0.3">
      <c r="G7246" s="4"/>
    </row>
    <row r="7247" spans="7:7" x14ac:dyDescent="0.3">
      <c r="G7247" s="4"/>
    </row>
    <row r="7248" spans="7:7" x14ac:dyDescent="0.3">
      <c r="G7248" s="4"/>
    </row>
    <row r="7249" spans="7:7" x14ac:dyDescent="0.3">
      <c r="G7249" s="4"/>
    </row>
    <row r="7250" spans="7:7" x14ac:dyDescent="0.3">
      <c r="G7250" s="4"/>
    </row>
    <row r="7251" spans="7:7" x14ac:dyDescent="0.3">
      <c r="G7251" s="4"/>
    </row>
    <row r="7252" spans="7:7" x14ac:dyDescent="0.3">
      <c r="G7252" s="4"/>
    </row>
    <row r="7253" spans="7:7" x14ac:dyDescent="0.3">
      <c r="G7253" s="4"/>
    </row>
    <row r="7254" spans="7:7" x14ac:dyDescent="0.3">
      <c r="G7254" s="4"/>
    </row>
    <row r="7255" spans="7:7" x14ac:dyDescent="0.3">
      <c r="G7255" s="4"/>
    </row>
    <row r="7256" spans="7:7" x14ac:dyDescent="0.3">
      <c r="G7256" s="4"/>
    </row>
    <row r="7257" spans="7:7" x14ac:dyDescent="0.3">
      <c r="G7257" s="4"/>
    </row>
    <row r="7258" spans="7:7" x14ac:dyDescent="0.3">
      <c r="G7258" s="4"/>
    </row>
    <row r="7259" spans="7:7" x14ac:dyDescent="0.3">
      <c r="G7259" s="4"/>
    </row>
    <row r="7260" spans="7:7" x14ac:dyDescent="0.3">
      <c r="G7260" s="4"/>
    </row>
    <row r="7261" spans="7:7" x14ac:dyDescent="0.3">
      <c r="G7261" s="4"/>
    </row>
    <row r="7262" spans="7:7" x14ac:dyDescent="0.3">
      <c r="G7262" s="4"/>
    </row>
    <row r="7263" spans="7:7" x14ac:dyDescent="0.3">
      <c r="G7263" s="4"/>
    </row>
    <row r="7264" spans="7:7" x14ac:dyDescent="0.3">
      <c r="G7264" s="4"/>
    </row>
    <row r="7265" spans="7:7" x14ac:dyDescent="0.3">
      <c r="G7265" s="4"/>
    </row>
    <row r="7266" spans="7:7" x14ac:dyDescent="0.3">
      <c r="G7266" s="4"/>
    </row>
    <row r="7267" spans="7:7" x14ac:dyDescent="0.3">
      <c r="G7267" s="4"/>
    </row>
    <row r="7268" spans="7:7" x14ac:dyDescent="0.3">
      <c r="G7268" s="4"/>
    </row>
    <row r="7269" spans="7:7" x14ac:dyDescent="0.3">
      <c r="G7269" s="4"/>
    </row>
    <row r="7270" spans="7:7" x14ac:dyDescent="0.3">
      <c r="G7270" s="4"/>
    </row>
    <row r="7271" spans="7:7" x14ac:dyDescent="0.3">
      <c r="G7271" s="4"/>
    </row>
    <row r="7272" spans="7:7" x14ac:dyDescent="0.3">
      <c r="G7272" s="4"/>
    </row>
    <row r="7273" spans="7:7" x14ac:dyDescent="0.3">
      <c r="G7273" s="4"/>
    </row>
    <row r="7274" spans="7:7" x14ac:dyDescent="0.3">
      <c r="G7274" s="4"/>
    </row>
    <row r="7275" spans="7:7" x14ac:dyDescent="0.3">
      <c r="G7275" s="4"/>
    </row>
    <row r="7276" spans="7:7" x14ac:dyDescent="0.3">
      <c r="G7276" s="4"/>
    </row>
    <row r="7277" spans="7:7" x14ac:dyDescent="0.3">
      <c r="G7277" s="4"/>
    </row>
    <row r="7278" spans="7:7" x14ac:dyDescent="0.3">
      <c r="G7278" s="4"/>
    </row>
    <row r="7279" spans="7:7" x14ac:dyDescent="0.3">
      <c r="G7279" s="4"/>
    </row>
    <row r="7280" spans="7:7" x14ac:dyDescent="0.3">
      <c r="G7280" s="4"/>
    </row>
    <row r="7281" spans="7:7" x14ac:dyDescent="0.3">
      <c r="G7281" s="4"/>
    </row>
    <row r="7282" spans="7:7" x14ac:dyDescent="0.3">
      <c r="G7282" s="4"/>
    </row>
    <row r="7283" spans="7:7" x14ac:dyDescent="0.3">
      <c r="G7283" s="4"/>
    </row>
    <row r="7284" spans="7:7" x14ac:dyDescent="0.3">
      <c r="G7284" s="4"/>
    </row>
    <row r="7285" spans="7:7" x14ac:dyDescent="0.3">
      <c r="G7285" s="4"/>
    </row>
    <row r="7286" spans="7:7" x14ac:dyDescent="0.3">
      <c r="G7286" s="4"/>
    </row>
    <row r="7287" spans="7:7" x14ac:dyDescent="0.3">
      <c r="G7287" s="4"/>
    </row>
    <row r="7288" spans="7:7" x14ac:dyDescent="0.3">
      <c r="G7288" s="4"/>
    </row>
    <row r="7289" spans="7:7" x14ac:dyDescent="0.3">
      <c r="G7289" s="4"/>
    </row>
    <row r="7290" spans="7:7" x14ac:dyDescent="0.3">
      <c r="G7290" s="4"/>
    </row>
    <row r="7291" spans="7:7" x14ac:dyDescent="0.3">
      <c r="G7291" s="4"/>
    </row>
    <row r="7292" spans="7:7" x14ac:dyDescent="0.3">
      <c r="G7292" s="4"/>
    </row>
    <row r="7293" spans="7:7" x14ac:dyDescent="0.3">
      <c r="G7293" s="4"/>
    </row>
    <row r="7294" spans="7:7" x14ac:dyDescent="0.3">
      <c r="G7294" s="4"/>
    </row>
    <row r="7295" spans="7:7" x14ac:dyDescent="0.3">
      <c r="G7295" s="4"/>
    </row>
    <row r="7296" spans="7:7" x14ac:dyDescent="0.3">
      <c r="G7296" s="4"/>
    </row>
    <row r="7297" spans="7:7" x14ac:dyDescent="0.3">
      <c r="G7297" s="4"/>
    </row>
    <row r="7298" spans="7:7" x14ac:dyDescent="0.3">
      <c r="G7298" s="4"/>
    </row>
    <row r="7299" spans="7:7" x14ac:dyDescent="0.3">
      <c r="G7299" s="4"/>
    </row>
    <row r="7300" spans="7:7" x14ac:dyDescent="0.3">
      <c r="G7300" s="4"/>
    </row>
    <row r="7301" spans="7:7" x14ac:dyDescent="0.3">
      <c r="G7301" s="4"/>
    </row>
    <row r="7302" spans="7:7" x14ac:dyDescent="0.3">
      <c r="G7302" s="4"/>
    </row>
    <row r="7303" spans="7:7" x14ac:dyDescent="0.3">
      <c r="G7303" s="4"/>
    </row>
    <row r="7304" spans="7:7" x14ac:dyDescent="0.3">
      <c r="G7304" s="4"/>
    </row>
    <row r="7305" spans="7:7" x14ac:dyDescent="0.3">
      <c r="G7305" s="4"/>
    </row>
    <row r="7306" spans="7:7" x14ac:dyDescent="0.3">
      <c r="G7306" s="4"/>
    </row>
    <row r="7307" spans="7:7" x14ac:dyDescent="0.3">
      <c r="G7307" s="4"/>
    </row>
    <row r="7308" spans="7:7" x14ac:dyDescent="0.3">
      <c r="G7308" s="4"/>
    </row>
    <row r="7309" spans="7:7" x14ac:dyDescent="0.3">
      <c r="G7309" s="4"/>
    </row>
    <row r="7310" spans="7:7" x14ac:dyDescent="0.3">
      <c r="G7310" s="4"/>
    </row>
    <row r="7311" spans="7:7" x14ac:dyDescent="0.3">
      <c r="G7311" s="4"/>
    </row>
    <row r="7312" spans="7:7" x14ac:dyDescent="0.3">
      <c r="G7312" s="4"/>
    </row>
    <row r="7313" spans="7:7" x14ac:dyDescent="0.3">
      <c r="G7313" s="4"/>
    </row>
    <row r="7314" spans="7:7" x14ac:dyDescent="0.3">
      <c r="G7314" s="4"/>
    </row>
    <row r="7315" spans="7:7" x14ac:dyDescent="0.3">
      <c r="G7315" s="4"/>
    </row>
    <row r="7316" spans="7:7" x14ac:dyDescent="0.3">
      <c r="G7316" s="4"/>
    </row>
    <row r="7317" spans="7:7" x14ac:dyDescent="0.3">
      <c r="G7317" s="4"/>
    </row>
    <row r="7318" spans="7:7" x14ac:dyDescent="0.3">
      <c r="G7318" s="4"/>
    </row>
    <row r="7319" spans="7:7" x14ac:dyDescent="0.3">
      <c r="G7319" s="4"/>
    </row>
    <row r="7320" spans="7:7" x14ac:dyDescent="0.3">
      <c r="G7320" s="4"/>
    </row>
    <row r="7321" spans="7:7" x14ac:dyDescent="0.3">
      <c r="G7321" s="4"/>
    </row>
    <row r="7322" spans="7:7" x14ac:dyDescent="0.3">
      <c r="G7322" s="4"/>
    </row>
    <row r="7323" spans="7:7" x14ac:dyDescent="0.3">
      <c r="G7323" s="4"/>
    </row>
    <row r="7324" spans="7:7" x14ac:dyDescent="0.3">
      <c r="G7324" s="4"/>
    </row>
    <row r="7325" spans="7:7" x14ac:dyDescent="0.3">
      <c r="G7325" s="4"/>
    </row>
    <row r="7326" spans="7:7" x14ac:dyDescent="0.3">
      <c r="G7326" s="4"/>
    </row>
    <row r="7327" spans="7:7" x14ac:dyDescent="0.3">
      <c r="G7327" s="4"/>
    </row>
    <row r="7328" spans="7:7" x14ac:dyDescent="0.3">
      <c r="G7328" s="4"/>
    </row>
    <row r="7329" spans="7:7" x14ac:dyDescent="0.3">
      <c r="G7329" s="4"/>
    </row>
    <row r="7330" spans="7:7" x14ac:dyDescent="0.3">
      <c r="G7330" s="4"/>
    </row>
    <row r="7331" spans="7:7" x14ac:dyDescent="0.3">
      <c r="G7331" s="4"/>
    </row>
    <row r="7332" spans="7:7" x14ac:dyDescent="0.3">
      <c r="G7332" s="4"/>
    </row>
    <row r="7333" spans="7:7" x14ac:dyDescent="0.3">
      <c r="G7333" s="4"/>
    </row>
    <row r="7334" spans="7:7" x14ac:dyDescent="0.3">
      <c r="G7334" s="4"/>
    </row>
    <row r="7335" spans="7:7" x14ac:dyDescent="0.3">
      <c r="G7335" s="4"/>
    </row>
    <row r="7336" spans="7:7" x14ac:dyDescent="0.3">
      <c r="G7336" s="4"/>
    </row>
    <row r="7337" spans="7:7" x14ac:dyDescent="0.3">
      <c r="G7337" s="4"/>
    </row>
    <row r="7338" spans="7:7" x14ac:dyDescent="0.3">
      <c r="G7338" s="4"/>
    </row>
    <row r="7339" spans="7:7" x14ac:dyDescent="0.3">
      <c r="G7339" s="4"/>
    </row>
    <row r="7340" spans="7:7" x14ac:dyDescent="0.3">
      <c r="G7340" s="4"/>
    </row>
    <row r="7341" spans="7:7" x14ac:dyDescent="0.3">
      <c r="G7341" s="4"/>
    </row>
    <row r="7342" spans="7:7" x14ac:dyDescent="0.3">
      <c r="G7342" s="4"/>
    </row>
    <row r="7343" spans="7:7" x14ac:dyDescent="0.3">
      <c r="G7343" s="4"/>
    </row>
    <row r="7344" spans="7:7" x14ac:dyDescent="0.3">
      <c r="G7344" s="4"/>
    </row>
    <row r="7345" spans="7:7" x14ac:dyDescent="0.3">
      <c r="G7345" s="4"/>
    </row>
    <row r="7346" spans="7:7" x14ac:dyDescent="0.3">
      <c r="G7346" s="4"/>
    </row>
    <row r="7347" spans="7:7" x14ac:dyDescent="0.3">
      <c r="G7347" s="4"/>
    </row>
    <row r="7348" spans="7:7" x14ac:dyDescent="0.3">
      <c r="G7348" s="4"/>
    </row>
    <row r="7349" spans="7:7" x14ac:dyDescent="0.3">
      <c r="G7349" s="4"/>
    </row>
    <row r="7350" spans="7:7" x14ac:dyDescent="0.3">
      <c r="G7350" s="4"/>
    </row>
    <row r="7351" spans="7:7" x14ac:dyDescent="0.3">
      <c r="G7351" s="4"/>
    </row>
    <row r="7352" spans="7:7" x14ac:dyDescent="0.3">
      <c r="G7352" s="4"/>
    </row>
    <row r="7353" spans="7:7" x14ac:dyDescent="0.3">
      <c r="G7353" s="4"/>
    </row>
    <row r="7354" spans="7:7" x14ac:dyDescent="0.3">
      <c r="G7354" s="4"/>
    </row>
    <row r="7355" spans="7:7" x14ac:dyDescent="0.3">
      <c r="G7355" s="4"/>
    </row>
    <row r="7356" spans="7:7" x14ac:dyDescent="0.3">
      <c r="G7356" s="4"/>
    </row>
    <row r="7357" spans="7:7" x14ac:dyDescent="0.3">
      <c r="G7357" s="4"/>
    </row>
    <row r="7358" spans="7:7" x14ac:dyDescent="0.3">
      <c r="G7358" s="4"/>
    </row>
    <row r="7359" spans="7:7" x14ac:dyDescent="0.3">
      <c r="G7359" s="4"/>
    </row>
    <row r="7360" spans="7:7" x14ac:dyDescent="0.3">
      <c r="G7360" s="4"/>
    </row>
    <row r="7361" spans="7:7" x14ac:dyDescent="0.3">
      <c r="G7361" s="4"/>
    </row>
    <row r="7362" spans="7:7" x14ac:dyDescent="0.3">
      <c r="G7362" s="4"/>
    </row>
    <row r="7363" spans="7:7" x14ac:dyDescent="0.3">
      <c r="G7363" s="4"/>
    </row>
    <row r="7364" spans="7:7" x14ac:dyDescent="0.3">
      <c r="G7364" s="4"/>
    </row>
    <row r="7365" spans="7:7" x14ac:dyDescent="0.3">
      <c r="G7365" s="4"/>
    </row>
    <row r="7366" spans="7:7" x14ac:dyDescent="0.3">
      <c r="G7366" s="4"/>
    </row>
    <row r="7367" spans="7:7" x14ac:dyDescent="0.3">
      <c r="G7367" s="4"/>
    </row>
    <row r="7368" spans="7:7" x14ac:dyDescent="0.3">
      <c r="G7368" s="4"/>
    </row>
    <row r="7369" spans="7:7" x14ac:dyDescent="0.3">
      <c r="G7369" s="4"/>
    </row>
    <row r="7370" spans="7:7" x14ac:dyDescent="0.3">
      <c r="G7370" s="4"/>
    </row>
    <row r="7371" spans="7:7" x14ac:dyDescent="0.3">
      <c r="G7371" s="4"/>
    </row>
    <row r="7372" spans="7:7" x14ac:dyDescent="0.3">
      <c r="G7372" s="4"/>
    </row>
    <row r="7373" spans="7:7" x14ac:dyDescent="0.3">
      <c r="G7373" s="4"/>
    </row>
    <row r="7374" spans="7:7" x14ac:dyDescent="0.3">
      <c r="G7374" s="4"/>
    </row>
    <row r="7375" spans="7:7" x14ac:dyDescent="0.3">
      <c r="G7375" s="4"/>
    </row>
    <row r="7376" spans="7:7" x14ac:dyDescent="0.3">
      <c r="G7376" s="4"/>
    </row>
    <row r="7377" spans="7:7" x14ac:dyDescent="0.3">
      <c r="G7377" s="4"/>
    </row>
    <row r="7378" spans="7:7" x14ac:dyDescent="0.3">
      <c r="G7378" s="4"/>
    </row>
    <row r="7379" spans="7:7" x14ac:dyDescent="0.3">
      <c r="G7379" s="4"/>
    </row>
    <row r="7380" spans="7:7" x14ac:dyDescent="0.3">
      <c r="G7380" s="4"/>
    </row>
    <row r="7381" spans="7:7" x14ac:dyDescent="0.3">
      <c r="G7381" s="4"/>
    </row>
    <row r="7382" spans="7:7" x14ac:dyDescent="0.3">
      <c r="G7382" s="4"/>
    </row>
    <row r="7383" spans="7:7" x14ac:dyDescent="0.3">
      <c r="G7383" s="4"/>
    </row>
    <row r="7384" spans="7:7" x14ac:dyDescent="0.3">
      <c r="G7384" s="4"/>
    </row>
    <row r="7385" spans="7:7" x14ac:dyDescent="0.3">
      <c r="G7385" s="4"/>
    </row>
    <row r="7386" spans="7:7" x14ac:dyDescent="0.3">
      <c r="G7386" s="4"/>
    </row>
    <row r="7387" spans="7:7" x14ac:dyDescent="0.3">
      <c r="G7387" s="4"/>
    </row>
    <row r="7388" spans="7:7" x14ac:dyDescent="0.3">
      <c r="G7388" s="4"/>
    </row>
    <row r="7389" spans="7:7" x14ac:dyDescent="0.3">
      <c r="G7389" s="4"/>
    </row>
    <row r="7390" spans="7:7" x14ac:dyDescent="0.3">
      <c r="G7390" s="4"/>
    </row>
    <row r="7391" spans="7:7" x14ac:dyDescent="0.3">
      <c r="G7391" s="4"/>
    </row>
    <row r="7392" spans="7:7" x14ac:dyDescent="0.3">
      <c r="G7392" s="4"/>
    </row>
    <row r="7393" spans="7:7" x14ac:dyDescent="0.3">
      <c r="G7393" s="4"/>
    </row>
    <row r="7394" spans="7:7" x14ac:dyDescent="0.3">
      <c r="G7394" s="4"/>
    </row>
    <row r="7395" spans="7:7" x14ac:dyDescent="0.3">
      <c r="G7395" s="4"/>
    </row>
    <row r="7396" spans="7:7" x14ac:dyDescent="0.3">
      <c r="G7396" s="4"/>
    </row>
    <row r="7397" spans="7:7" x14ac:dyDescent="0.3">
      <c r="G7397" s="4"/>
    </row>
    <row r="7398" spans="7:7" x14ac:dyDescent="0.3">
      <c r="G7398" s="4"/>
    </row>
    <row r="7399" spans="7:7" x14ac:dyDescent="0.3">
      <c r="G7399" s="4"/>
    </row>
    <row r="7400" spans="7:7" x14ac:dyDescent="0.3">
      <c r="G7400" s="4"/>
    </row>
    <row r="7401" spans="7:7" x14ac:dyDescent="0.3">
      <c r="G7401" s="4"/>
    </row>
    <row r="7402" spans="7:7" x14ac:dyDescent="0.3">
      <c r="G7402" s="4"/>
    </row>
    <row r="7403" spans="7:7" x14ac:dyDescent="0.3">
      <c r="G7403" s="4"/>
    </row>
    <row r="7404" spans="7:7" x14ac:dyDescent="0.3">
      <c r="G7404" s="4"/>
    </row>
    <row r="7405" spans="7:7" x14ac:dyDescent="0.3">
      <c r="G7405" s="4"/>
    </row>
    <row r="7406" spans="7:7" x14ac:dyDescent="0.3">
      <c r="G7406" s="4"/>
    </row>
    <row r="7407" spans="7:7" x14ac:dyDescent="0.3">
      <c r="G7407" s="4"/>
    </row>
    <row r="7408" spans="7:7" x14ac:dyDescent="0.3">
      <c r="G7408" s="4"/>
    </row>
    <row r="7409" spans="7:7" x14ac:dyDescent="0.3">
      <c r="G7409" s="4"/>
    </row>
    <row r="7410" spans="7:7" x14ac:dyDescent="0.3">
      <c r="G7410" s="4"/>
    </row>
    <row r="7411" spans="7:7" x14ac:dyDescent="0.3">
      <c r="G7411" s="4"/>
    </row>
    <row r="7412" spans="7:7" x14ac:dyDescent="0.3">
      <c r="G7412" s="4"/>
    </row>
    <row r="7413" spans="7:7" x14ac:dyDescent="0.3">
      <c r="G7413" s="4"/>
    </row>
    <row r="7414" spans="7:7" x14ac:dyDescent="0.3">
      <c r="G7414" s="4"/>
    </row>
    <row r="7415" spans="7:7" x14ac:dyDescent="0.3">
      <c r="G7415" s="4"/>
    </row>
    <row r="7416" spans="7:7" x14ac:dyDescent="0.3">
      <c r="G7416" s="4"/>
    </row>
    <row r="7417" spans="7:7" x14ac:dyDescent="0.3">
      <c r="G7417" s="4"/>
    </row>
    <row r="7418" spans="7:7" x14ac:dyDescent="0.3">
      <c r="G7418" s="4"/>
    </row>
    <row r="7419" spans="7:7" x14ac:dyDescent="0.3">
      <c r="G7419" s="4"/>
    </row>
    <row r="7420" spans="7:7" x14ac:dyDescent="0.3">
      <c r="G7420" s="4"/>
    </row>
    <row r="7421" spans="7:7" x14ac:dyDescent="0.3">
      <c r="G7421" s="4"/>
    </row>
    <row r="7422" spans="7:7" x14ac:dyDescent="0.3">
      <c r="G7422" s="4"/>
    </row>
    <row r="7423" spans="7:7" x14ac:dyDescent="0.3">
      <c r="G7423" s="4"/>
    </row>
    <row r="7424" spans="7:7" x14ac:dyDescent="0.3">
      <c r="G7424" s="4"/>
    </row>
    <row r="7425" spans="7:7" x14ac:dyDescent="0.3">
      <c r="G7425" s="4"/>
    </row>
    <row r="7426" spans="7:7" x14ac:dyDescent="0.3">
      <c r="G7426" s="4"/>
    </row>
    <row r="7427" spans="7:7" x14ac:dyDescent="0.3">
      <c r="G7427" s="4"/>
    </row>
    <row r="7428" spans="7:7" x14ac:dyDescent="0.3">
      <c r="G7428" s="4"/>
    </row>
    <row r="7429" spans="7:7" x14ac:dyDescent="0.3">
      <c r="G7429" s="4"/>
    </row>
    <row r="7430" spans="7:7" x14ac:dyDescent="0.3">
      <c r="G7430" s="4"/>
    </row>
    <row r="7431" spans="7:7" x14ac:dyDescent="0.3">
      <c r="G7431" s="4"/>
    </row>
    <row r="7432" spans="7:7" x14ac:dyDescent="0.3">
      <c r="G7432" s="4"/>
    </row>
    <row r="7433" spans="7:7" x14ac:dyDescent="0.3">
      <c r="G7433" s="4"/>
    </row>
    <row r="7434" spans="7:7" x14ac:dyDescent="0.3">
      <c r="G7434" s="4"/>
    </row>
    <row r="7435" spans="7:7" x14ac:dyDescent="0.3">
      <c r="G7435" s="4"/>
    </row>
    <row r="7436" spans="7:7" x14ac:dyDescent="0.3">
      <c r="G7436" s="4"/>
    </row>
    <row r="7437" spans="7:7" x14ac:dyDescent="0.3">
      <c r="G7437" s="4"/>
    </row>
    <row r="7438" spans="7:7" x14ac:dyDescent="0.3">
      <c r="G7438" s="4"/>
    </row>
    <row r="7439" spans="7:7" x14ac:dyDescent="0.3">
      <c r="G7439" s="4"/>
    </row>
    <row r="7440" spans="7:7" x14ac:dyDescent="0.3">
      <c r="G7440" s="4"/>
    </row>
    <row r="7441" spans="7:7" x14ac:dyDescent="0.3">
      <c r="G7441" s="4"/>
    </row>
    <row r="7442" spans="7:7" x14ac:dyDescent="0.3">
      <c r="G7442" s="4"/>
    </row>
    <row r="7443" spans="7:7" x14ac:dyDescent="0.3">
      <c r="G7443" s="4"/>
    </row>
    <row r="7444" spans="7:7" x14ac:dyDescent="0.3">
      <c r="G7444" s="4"/>
    </row>
    <row r="7445" spans="7:7" x14ac:dyDescent="0.3">
      <c r="G7445" s="4"/>
    </row>
    <row r="7446" spans="7:7" x14ac:dyDescent="0.3">
      <c r="G7446" s="4"/>
    </row>
    <row r="7447" spans="7:7" x14ac:dyDescent="0.3">
      <c r="G7447" s="4"/>
    </row>
    <row r="7448" spans="7:7" x14ac:dyDescent="0.3">
      <c r="G7448" s="4"/>
    </row>
    <row r="7449" spans="7:7" x14ac:dyDescent="0.3">
      <c r="G7449" s="4"/>
    </row>
    <row r="7450" spans="7:7" x14ac:dyDescent="0.3">
      <c r="G7450" s="4"/>
    </row>
    <row r="7451" spans="7:7" x14ac:dyDescent="0.3">
      <c r="G7451" s="4"/>
    </row>
    <row r="7452" spans="7:7" x14ac:dyDescent="0.3">
      <c r="G7452" s="4"/>
    </row>
    <row r="7453" spans="7:7" x14ac:dyDescent="0.3">
      <c r="G7453" s="4"/>
    </row>
    <row r="7454" spans="7:7" x14ac:dyDescent="0.3">
      <c r="G7454" s="4"/>
    </row>
    <row r="7455" spans="7:7" x14ac:dyDescent="0.3">
      <c r="G7455" s="4"/>
    </row>
    <row r="7456" spans="7:7" x14ac:dyDescent="0.3">
      <c r="G7456" s="4"/>
    </row>
    <row r="7457" spans="7:7" x14ac:dyDescent="0.3">
      <c r="G7457" s="4"/>
    </row>
    <row r="7458" spans="7:7" x14ac:dyDescent="0.3">
      <c r="G7458" s="4"/>
    </row>
    <row r="7459" spans="7:7" x14ac:dyDescent="0.3">
      <c r="G7459" s="4"/>
    </row>
    <row r="7460" spans="7:7" x14ac:dyDescent="0.3">
      <c r="G7460" s="4"/>
    </row>
    <row r="7461" spans="7:7" x14ac:dyDescent="0.3">
      <c r="G7461" s="4"/>
    </row>
    <row r="7462" spans="7:7" x14ac:dyDescent="0.3">
      <c r="G7462" s="4"/>
    </row>
    <row r="7463" spans="7:7" x14ac:dyDescent="0.3">
      <c r="G7463" s="4"/>
    </row>
    <row r="7464" spans="7:7" x14ac:dyDescent="0.3">
      <c r="G7464" s="4"/>
    </row>
    <row r="7465" spans="7:7" x14ac:dyDescent="0.3">
      <c r="G7465" s="4"/>
    </row>
    <row r="7466" spans="7:7" x14ac:dyDescent="0.3">
      <c r="G7466" s="4"/>
    </row>
    <row r="7467" spans="7:7" x14ac:dyDescent="0.3">
      <c r="G7467" s="4"/>
    </row>
    <row r="7468" spans="7:7" x14ac:dyDescent="0.3">
      <c r="G7468" s="4"/>
    </row>
    <row r="7469" spans="7:7" x14ac:dyDescent="0.3">
      <c r="G7469" s="4"/>
    </row>
    <row r="7470" spans="7:7" x14ac:dyDescent="0.3">
      <c r="G7470" s="4"/>
    </row>
    <row r="7471" spans="7:7" x14ac:dyDescent="0.3">
      <c r="G7471" s="4"/>
    </row>
    <row r="7472" spans="7:7" x14ac:dyDescent="0.3">
      <c r="G7472" s="4"/>
    </row>
    <row r="7473" spans="7:7" x14ac:dyDescent="0.3">
      <c r="G7473" s="4"/>
    </row>
    <row r="7474" spans="7:7" x14ac:dyDescent="0.3">
      <c r="G7474" s="4"/>
    </row>
    <row r="7475" spans="7:7" x14ac:dyDescent="0.3">
      <c r="G7475" s="4"/>
    </row>
    <row r="7476" spans="7:7" x14ac:dyDescent="0.3">
      <c r="G7476" s="4"/>
    </row>
    <row r="7477" spans="7:7" x14ac:dyDescent="0.3">
      <c r="G7477" s="4"/>
    </row>
    <row r="7478" spans="7:7" x14ac:dyDescent="0.3">
      <c r="G7478" s="4"/>
    </row>
    <row r="7479" spans="7:7" x14ac:dyDescent="0.3">
      <c r="G7479" s="4"/>
    </row>
    <row r="7480" spans="7:7" x14ac:dyDescent="0.3">
      <c r="G7480" s="4"/>
    </row>
    <row r="7481" spans="7:7" x14ac:dyDescent="0.3">
      <c r="G7481" s="4"/>
    </row>
    <row r="7482" spans="7:7" x14ac:dyDescent="0.3">
      <c r="G7482" s="4"/>
    </row>
    <row r="7483" spans="7:7" x14ac:dyDescent="0.3">
      <c r="G7483" s="4"/>
    </row>
    <row r="7484" spans="7:7" x14ac:dyDescent="0.3">
      <c r="G7484" s="4"/>
    </row>
    <row r="7485" spans="7:7" x14ac:dyDescent="0.3">
      <c r="G7485" s="4"/>
    </row>
    <row r="7486" spans="7:7" x14ac:dyDescent="0.3">
      <c r="G7486" s="4"/>
    </row>
    <row r="7487" spans="7:7" x14ac:dyDescent="0.3">
      <c r="G7487" s="4"/>
    </row>
    <row r="7488" spans="7:7" x14ac:dyDescent="0.3">
      <c r="G7488" s="4"/>
    </row>
    <row r="7489" spans="7:7" x14ac:dyDescent="0.3">
      <c r="G7489" s="4"/>
    </row>
    <row r="7490" spans="7:7" x14ac:dyDescent="0.3">
      <c r="G7490" s="4"/>
    </row>
    <row r="7491" spans="7:7" x14ac:dyDescent="0.3">
      <c r="G7491" s="4"/>
    </row>
    <row r="7492" spans="7:7" x14ac:dyDescent="0.3">
      <c r="G7492" s="4"/>
    </row>
    <row r="7493" spans="7:7" x14ac:dyDescent="0.3">
      <c r="G7493" s="4"/>
    </row>
    <row r="7494" spans="7:7" x14ac:dyDescent="0.3">
      <c r="G7494" s="4"/>
    </row>
    <row r="7495" spans="7:7" x14ac:dyDescent="0.3">
      <c r="G7495" s="4"/>
    </row>
    <row r="7496" spans="7:7" x14ac:dyDescent="0.3">
      <c r="G7496" s="4"/>
    </row>
    <row r="7497" spans="7:7" x14ac:dyDescent="0.3">
      <c r="G7497" s="4"/>
    </row>
    <row r="7498" spans="7:7" x14ac:dyDescent="0.3">
      <c r="G7498" s="4"/>
    </row>
    <row r="7499" spans="7:7" x14ac:dyDescent="0.3">
      <c r="G7499" s="4"/>
    </row>
    <row r="7500" spans="7:7" x14ac:dyDescent="0.3">
      <c r="G7500" s="4"/>
    </row>
    <row r="7501" spans="7:7" x14ac:dyDescent="0.3">
      <c r="G7501" s="4"/>
    </row>
    <row r="7502" spans="7:7" x14ac:dyDescent="0.3">
      <c r="G7502" s="4"/>
    </row>
    <row r="7503" spans="7:7" x14ac:dyDescent="0.3">
      <c r="G7503" s="4"/>
    </row>
    <row r="7504" spans="7:7" x14ac:dyDescent="0.3">
      <c r="G7504" s="4"/>
    </row>
    <row r="7505" spans="7:7" x14ac:dyDescent="0.3">
      <c r="G7505" s="4"/>
    </row>
    <row r="7506" spans="7:7" x14ac:dyDescent="0.3">
      <c r="G7506" s="4"/>
    </row>
    <row r="7507" spans="7:7" x14ac:dyDescent="0.3">
      <c r="G7507" s="4"/>
    </row>
    <row r="7508" spans="7:7" x14ac:dyDescent="0.3">
      <c r="G7508" s="4"/>
    </row>
    <row r="7509" spans="7:7" x14ac:dyDescent="0.3">
      <c r="G7509" s="4"/>
    </row>
    <row r="7510" spans="7:7" x14ac:dyDescent="0.3">
      <c r="G7510" s="4"/>
    </row>
    <row r="7511" spans="7:7" x14ac:dyDescent="0.3">
      <c r="G7511" s="4"/>
    </row>
    <row r="7512" spans="7:7" x14ac:dyDescent="0.3">
      <c r="G7512" s="4"/>
    </row>
    <row r="7513" spans="7:7" x14ac:dyDescent="0.3">
      <c r="G7513" s="4"/>
    </row>
    <row r="7514" spans="7:7" x14ac:dyDescent="0.3">
      <c r="G7514" s="4"/>
    </row>
    <row r="7515" spans="7:7" x14ac:dyDescent="0.3">
      <c r="G7515" s="4"/>
    </row>
    <row r="7516" spans="7:7" x14ac:dyDescent="0.3">
      <c r="G7516" s="4"/>
    </row>
    <row r="7517" spans="7:7" x14ac:dyDescent="0.3">
      <c r="G7517" s="4"/>
    </row>
    <row r="7518" spans="7:7" x14ac:dyDescent="0.3">
      <c r="G7518" s="4"/>
    </row>
    <row r="7519" spans="7:7" x14ac:dyDescent="0.3">
      <c r="G7519" s="4"/>
    </row>
    <row r="7520" spans="7:7" x14ac:dyDescent="0.3">
      <c r="G7520" s="4"/>
    </row>
    <row r="7521" spans="7:7" x14ac:dyDescent="0.3">
      <c r="G7521" s="4"/>
    </row>
    <row r="7522" spans="7:7" x14ac:dyDescent="0.3">
      <c r="G7522" s="4"/>
    </row>
    <row r="7523" spans="7:7" x14ac:dyDescent="0.3">
      <c r="G7523" s="4"/>
    </row>
    <row r="7524" spans="7:7" x14ac:dyDescent="0.3">
      <c r="G7524" s="4"/>
    </row>
    <row r="7525" spans="7:7" x14ac:dyDescent="0.3">
      <c r="G7525" s="4"/>
    </row>
    <row r="7526" spans="7:7" x14ac:dyDescent="0.3">
      <c r="G7526" s="4"/>
    </row>
    <row r="7527" spans="7:7" x14ac:dyDescent="0.3">
      <c r="G7527" s="4"/>
    </row>
    <row r="7528" spans="7:7" x14ac:dyDescent="0.3">
      <c r="G7528" s="4"/>
    </row>
    <row r="7529" spans="7:7" x14ac:dyDescent="0.3">
      <c r="G7529" s="4"/>
    </row>
    <row r="7530" spans="7:7" x14ac:dyDescent="0.3">
      <c r="G7530" s="4"/>
    </row>
    <row r="7531" spans="7:7" x14ac:dyDescent="0.3">
      <c r="G7531" s="4"/>
    </row>
    <row r="7532" spans="7:7" x14ac:dyDescent="0.3">
      <c r="G7532" s="4"/>
    </row>
    <row r="7533" spans="7:7" x14ac:dyDescent="0.3">
      <c r="G7533" s="4"/>
    </row>
    <row r="7534" spans="7:7" x14ac:dyDescent="0.3">
      <c r="G7534" s="4"/>
    </row>
    <row r="7535" spans="7:7" x14ac:dyDescent="0.3">
      <c r="G7535" s="4"/>
    </row>
    <row r="7536" spans="7:7" x14ac:dyDescent="0.3">
      <c r="G7536" s="4"/>
    </row>
    <row r="7537" spans="7:7" x14ac:dyDescent="0.3">
      <c r="G7537" s="4"/>
    </row>
    <row r="7538" spans="7:7" x14ac:dyDescent="0.3">
      <c r="G7538" s="4"/>
    </row>
    <row r="7539" spans="7:7" x14ac:dyDescent="0.3">
      <c r="G7539" s="4"/>
    </row>
    <row r="7540" spans="7:7" x14ac:dyDescent="0.3">
      <c r="G7540" s="4"/>
    </row>
    <row r="7541" spans="7:7" x14ac:dyDescent="0.3">
      <c r="G7541" s="4"/>
    </row>
    <row r="7542" spans="7:7" x14ac:dyDescent="0.3">
      <c r="G7542" s="4"/>
    </row>
    <row r="7543" spans="7:7" x14ac:dyDescent="0.3">
      <c r="G7543" s="4"/>
    </row>
    <row r="7544" spans="7:7" x14ac:dyDescent="0.3">
      <c r="G7544" s="4"/>
    </row>
    <row r="7545" spans="7:7" x14ac:dyDescent="0.3">
      <c r="G7545" s="4"/>
    </row>
    <row r="7546" spans="7:7" x14ac:dyDescent="0.3">
      <c r="G7546" s="4"/>
    </row>
    <row r="7547" spans="7:7" x14ac:dyDescent="0.3">
      <c r="G7547" s="4"/>
    </row>
    <row r="7548" spans="7:7" x14ac:dyDescent="0.3">
      <c r="G7548" s="4"/>
    </row>
    <row r="7549" spans="7:7" x14ac:dyDescent="0.3">
      <c r="G7549" s="4"/>
    </row>
    <row r="7550" spans="7:7" x14ac:dyDescent="0.3">
      <c r="G7550" s="4"/>
    </row>
    <row r="7551" spans="7:7" x14ac:dyDescent="0.3">
      <c r="G7551" s="4"/>
    </row>
    <row r="7552" spans="7:7" x14ac:dyDescent="0.3">
      <c r="G7552" s="4"/>
    </row>
    <row r="7553" spans="7:7" x14ac:dyDescent="0.3">
      <c r="G7553" s="4"/>
    </row>
    <row r="7554" spans="7:7" x14ac:dyDescent="0.3">
      <c r="G7554" s="4"/>
    </row>
    <row r="7555" spans="7:7" x14ac:dyDescent="0.3">
      <c r="G7555" s="4"/>
    </row>
    <row r="7556" spans="7:7" x14ac:dyDescent="0.3">
      <c r="G7556" s="4"/>
    </row>
    <row r="7557" spans="7:7" x14ac:dyDescent="0.3">
      <c r="G7557" s="4"/>
    </row>
    <row r="7558" spans="7:7" x14ac:dyDescent="0.3">
      <c r="G7558" s="4"/>
    </row>
    <row r="7559" spans="7:7" x14ac:dyDescent="0.3">
      <c r="G7559" s="4"/>
    </row>
    <row r="7560" spans="7:7" x14ac:dyDescent="0.3">
      <c r="G7560" s="4"/>
    </row>
    <row r="7561" spans="7:7" x14ac:dyDescent="0.3">
      <c r="G7561" s="4"/>
    </row>
    <row r="7562" spans="7:7" x14ac:dyDescent="0.3">
      <c r="G7562" s="4"/>
    </row>
    <row r="7563" spans="7:7" x14ac:dyDescent="0.3">
      <c r="G7563" s="4"/>
    </row>
    <row r="7564" spans="7:7" x14ac:dyDescent="0.3">
      <c r="G7564" s="4"/>
    </row>
    <row r="7565" spans="7:7" x14ac:dyDescent="0.3">
      <c r="G7565" s="4"/>
    </row>
    <row r="7566" spans="7:7" x14ac:dyDescent="0.3">
      <c r="G7566" s="4"/>
    </row>
    <row r="7567" spans="7:7" x14ac:dyDescent="0.3">
      <c r="G7567" s="4"/>
    </row>
    <row r="7568" spans="7:7" x14ac:dyDescent="0.3">
      <c r="G7568" s="4"/>
    </row>
    <row r="7569" spans="7:7" x14ac:dyDescent="0.3">
      <c r="G7569" s="4"/>
    </row>
    <row r="7570" spans="7:7" x14ac:dyDescent="0.3">
      <c r="G7570" s="4"/>
    </row>
    <row r="7571" spans="7:7" x14ac:dyDescent="0.3">
      <c r="G7571" s="4"/>
    </row>
    <row r="7572" spans="7:7" x14ac:dyDescent="0.3">
      <c r="G7572" s="4"/>
    </row>
    <row r="7573" spans="7:7" x14ac:dyDescent="0.3">
      <c r="G7573" s="4"/>
    </row>
    <row r="7574" spans="7:7" x14ac:dyDescent="0.3">
      <c r="G7574" s="4"/>
    </row>
    <row r="7575" spans="7:7" x14ac:dyDescent="0.3">
      <c r="G7575" s="4"/>
    </row>
    <row r="7576" spans="7:7" x14ac:dyDescent="0.3">
      <c r="G7576" s="4"/>
    </row>
    <row r="7577" spans="7:7" x14ac:dyDescent="0.3">
      <c r="G7577" s="4"/>
    </row>
    <row r="7578" spans="7:7" x14ac:dyDescent="0.3">
      <c r="G7578" s="4"/>
    </row>
    <row r="7579" spans="7:7" x14ac:dyDescent="0.3">
      <c r="G7579" s="4"/>
    </row>
    <row r="7580" spans="7:7" x14ac:dyDescent="0.3">
      <c r="G7580" s="4"/>
    </row>
    <row r="7581" spans="7:7" x14ac:dyDescent="0.3">
      <c r="G7581" s="4"/>
    </row>
    <row r="7582" spans="7:7" x14ac:dyDescent="0.3">
      <c r="G7582" s="4"/>
    </row>
    <row r="7583" spans="7:7" x14ac:dyDescent="0.3">
      <c r="G7583" s="4"/>
    </row>
    <row r="7584" spans="7:7" x14ac:dyDescent="0.3">
      <c r="G7584" s="4"/>
    </row>
    <row r="7585" spans="7:7" x14ac:dyDescent="0.3">
      <c r="G7585" s="4"/>
    </row>
    <row r="7586" spans="7:7" x14ac:dyDescent="0.3">
      <c r="G7586" s="4"/>
    </row>
    <row r="7587" spans="7:7" x14ac:dyDescent="0.3">
      <c r="G7587" s="4"/>
    </row>
    <row r="7588" spans="7:7" x14ac:dyDescent="0.3">
      <c r="G7588" s="4"/>
    </row>
    <row r="7589" spans="7:7" x14ac:dyDescent="0.3">
      <c r="G7589" s="4"/>
    </row>
    <row r="7590" spans="7:7" x14ac:dyDescent="0.3">
      <c r="G7590" s="4"/>
    </row>
    <row r="7591" spans="7:7" x14ac:dyDescent="0.3">
      <c r="G7591" s="4"/>
    </row>
    <row r="7592" spans="7:7" x14ac:dyDescent="0.3">
      <c r="G7592" s="4"/>
    </row>
    <row r="7593" spans="7:7" x14ac:dyDescent="0.3">
      <c r="G7593" s="4"/>
    </row>
    <row r="7594" spans="7:7" x14ac:dyDescent="0.3">
      <c r="G7594" s="4"/>
    </row>
    <row r="7595" spans="7:7" x14ac:dyDescent="0.3">
      <c r="G7595" s="4"/>
    </row>
    <row r="7596" spans="7:7" x14ac:dyDescent="0.3">
      <c r="G7596" s="4"/>
    </row>
    <row r="7597" spans="7:7" x14ac:dyDescent="0.3">
      <c r="G7597" s="4"/>
    </row>
    <row r="7598" spans="7:7" x14ac:dyDescent="0.3">
      <c r="G7598" s="4"/>
    </row>
    <row r="7599" spans="7:7" x14ac:dyDescent="0.3">
      <c r="G7599" s="4"/>
    </row>
    <row r="7600" spans="7:7" x14ac:dyDescent="0.3">
      <c r="G7600" s="4"/>
    </row>
    <row r="7601" spans="7:7" x14ac:dyDescent="0.3">
      <c r="G7601" s="4"/>
    </row>
    <row r="7602" spans="7:7" x14ac:dyDescent="0.3">
      <c r="G7602" s="4"/>
    </row>
    <row r="7603" spans="7:7" x14ac:dyDescent="0.3">
      <c r="G7603" s="4"/>
    </row>
    <row r="7604" spans="7:7" x14ac:dyDescent="0.3">
      <c r="G7604" s="4"/>
    </row>
    <row r="7605" spans="7:7" x14ac:dyDescent="0.3">
      <c r="G7605" s="4"/>
    </row>
    <row r="7606" spans="7:7" x14ac:dyDescent="0.3">
      <c r="G7606" s="4"/>
    </row>
    <row r="7607" spans="7:7" x14ac:dyDescent="0.3">
      <c r="G7607" s="4"/>
    </row>
    <row r="7608" spans="7:7" x14ac:dyDescent="0.3">
      <c r="G7608" s="4"/>
    </row>
    <row r="7609" spans="7:7" x14ac:dyDescent="0.3">
      <c r="G7609" s="4"/>
    </row>
    <row r="7610" spans="7:7" x14ac:dyDescent="0.3">
      <c r="G7610" s="4"/>
    </row>
    <row r="7611" spans="7:7" x14ac:dyDescent="0.3">
      <c r="G7611" s="4"/>
    </row>
    <row r="7612" spans="7:7" x14ac:dyDescent="0.3">
      <c r="G7612" s="4"/>
    </row>
    <row r="7613" spans="7:7" x14ac:dyDescent="0.3">
      <c r="G7613" s="4"/>
    </row>
    <row r="7614" spans="7:7" x14ac:dyDescent="0.3">
      <c r="G7614" s="4"/>
    </row>
    <row r="7615" spans="7:7" x14ac:dyDescent="0.3">
      <c r="G7615" s="4"/>
    </row>
    <row r="7616" spans="7:7" x14ac:dyDescent="0.3">
      <c r="G7616" s="4"/>
    </row>
    <row r="7617" spans="7:7" x14ac:dyDescent="0.3">
      <c r="G7617" s="4"/>
    </row>
    <row r="7618" spans="7:7" x14ac:dyDescent="0.3">
      <c r="G7618" s="4"/>
    </row>
    <row r="7619" spans="7:7" x14ac:dyDescent="0.3">
      <c r="G7619" s="4"/>
    </row>
    <row r="7620" spans="7:7" x14ac:dyDescent="0.3">
      <c r="G7620" s="4"/>
    </row>
    <row r="7621" spans="7:7" x14ac:dyDescent="0.3">
      <c r="G7621" s="4"/>
    </row>
    <row r="7622" spans="7:7" x14ac:dyDescent="0.3">
      <c r="G7622" s="4"/>
    </row>
    <row r="7623" spans="7:7" x14ac:dyDescent="0.3">
      <c r="G7623" s="4"/>
    </row>
    <row r="7624" spans="7:7" x14ac:dyDescent="0.3">
      <c r="G7624" s="4"/>
    </row>
    <row r="7625" spans="7:7" x14ac:dyDescent="0.3">
      <c r="G7625" s="4"/>
    </row>
    <row r="7626" spans="7:7" x14ac:dyDescent="0.3">
      <c r="G7626" s="4"/>
    </row>
    <row r="7627" spans="7:7" x14ac:dyDescent="0.3">
      <c r="G7627" s="4"/>
    </row>
    <row r="7628" spans="7:7" x14ac:dyDescent="0.3">
      <c r="G7628" s="4"/>
    </row>
    <row r="7629" spans="7:7" x14ac:dyDescent="0.3">
      <c r="G7629" s="4"/>
    </row>
    <row r="7630" spans="7:7" x14ac:dyDescent="0.3">
      <c r="G7630" s="4"/>
    </row>
    <row r="7631" spans="7:7" x14ac:dyDescent="0.3">
      <c r="G7631" s="4"/>
    </row>
    <row r="7632" spans="7:7" x14ac:dyDescent="0.3">
      <c r="G7632" s="4"/>
    </row>
    <row r="7633" spans="7:7" x14ac:dyDescent="0.3">
      <c r="G7633" s="4"/>
    </row>
    <row r="7634" spans="7:7" x14ac:dyDescent="0.3">
      <c r="G7634" s="4"/>
    </row>
    <row r="7635" spans="7:7" x14ac:dyDescent="0.3">
      <c r="G7635" s="4"/>
    </row>
    <row r="7636" spans="7:7" x14ac:dyDescent="0.3">
      <c r="G7636" s="4"/>
    </row>
    <row r="7637" spans="7:7" x14ac:dyDescent="0.3">
      <c r="G7637" s="4"/>
    </row>
    <row r="7638" spans="7:7" x14ac:dyDescent="0.3">
      <c r="G7638" s="4"/>
    </row>
    <row r="7639" spans="7:7" x14ac:dyDescent="0.3">
      <c r="G7639" s="4"/>
    </row>
    <row r="7640" spans="7:7" x14ac:dyDescent="0.3">
      <c r="G7640" s="4"/>
    </row>
    <row r="7641" spans="7:7" x14ac:dyDescent="0.3">
      <c r="G7641" s="4"/>
    </row>
    <row r="7642" spans="7:7" x14ac:dyDescent="0.3">
      <c r="G7642" s="4"/>
    </row>
    <row r="7643" spans="7:7" x14ac:dyDescent="0.3">
      <c r="G7643" s="4"/>
    </row>
    <row r="7644" spans="7:7" x14ac:dyDescent="0.3">
      <c r="G7644" s="4"/>
    </row>
    <row r="7645" spans="7:7" x14ac:dyDescent="0.3">
      <c r="G7645" s="4"/>
    </row>
    <row r="7646" spans="7:7" x14ac:dyDescent="0.3">
      <c r="G7646" s="4"/>
    </row>
    <row r="7647" spans="7:7" x14ac:dyDescent="0.3">
      <c r="G7647" s="4"/>
    </row>
    <row r="7648" spans="7:7" x14ac:dyDescent="0.3">
      <c r="G7648" s="4"/>
    </row>
    <row r="7649" spans="7:7" x14ac:dyDescent="0.3">
      <c r="G7649" s="4"/>
    </row>
    <row r="7650" spans="7:7" x14ac:dyDescent="0.3">
      <c r="G7650" s="4"/>
    </row>
    <row r="7651" spans="7:7" x14ac:dyDescent="0.3">
      <c r="G7651" s="4"/>
    </row>
    <row r="7652" spans="7:7" x14ac:dyDescent="0.3">
      <c r="G7652" s="4"/>
    </row>
    <row r="7653" spans="7:7" x14ac:dyDescent="0.3">
      <c r="G7653" s="4"/>
    </row>
    <row r="7654" spans="7:7" x14ac:dyDescent="0.3">
      <c r="G7654" s="4"/>
    </row>
    <row r="7655" spans="7:7" x14ac:dyDescent="0.3">
      <c r="G7655" s="4"/>
    </row>
    <row r="7656" spans="7:7" x14ac:dyDescent="0.3">
      <c r="G7656" s="4"/>
    </row>
    <row r="7657" spans="7:7" x14ac:dyDescent="0.3">
      <c r="G7657" s="4"/>
    </row>
    <row r="7658" spans="7:7" x14ac:dyDescent="0.3">
      <c r="G7658" s="4"/>
    </row>
    <row r="7659" spans="7:7" x14ac:dyDescent="0.3">
      <c r="G7659" s="4"/>
    </row>
    <row r="7660" spans="7:7" x14ac:dyDescent="0.3">
      <c r="G7660" s="4"/>
    </row>
    <row r="7661" spans="7:7" x14ac:dyDescent="0.3">
      <c r="G7661" s="4"/>
    </row>
    <row r="7662" spans="7:7" x14ac:dyDescent="0.3">
      <c r="G7662" s="4"/>
    </row>
    <row r="7663" spans="7:7" x14ac:dyDescent="0.3">
      <c r="G7663" s="4"/>
    </row>
    <row r="7664" spans="7:7" x14ac:dyDescent="0.3">
      <c r="G7664" s="4"/>
    </row>
    <row r="7665" spans="7:7" x14ac:dyDescent="0.3">
      <c r="G7665" s="4"/>
    </row>
    <row r="7666" spans="7:7" x14ac:dyDescent="0.3">
      <c r="G7666" s="4"/>
    </row>
    <row r="7667" spans="7:7" x14ac:dyDescent="0.3">
      <c r="G7667" s="4"/>
    </row>
    <row r="7668" spans="7:7" x14ac:dyDescent="0.3">
      <c r="G7668" s="4"/>
    </row>
    <row r="7669" spans="7:7" x14ac:dyDescent="0.3">
      <c r="G7669" s="4"/>
    </row>
    <row r="7670" spans="7:7" x14ac:dyDescent="0.3">
      <c r="G7670" s="4"/>
    </row>
    <row r="7671" spans="7:7" x14ac:dyDescent="0.3">
      <c r="G7671" s="4"/>
    </row>
    <row r="7672" spans="7:7" x14ac:dyDescent="0.3">
      <c r="G7672" s="4"/>
    </row>
    <row r="7673" spans="7:7" x14ac:dyDescent="0.3">
      <c r="G7673" s="4"/>
    </row>
    <row r="7674" spans="7:7" x14ac:dyDescent="0.3">
      <c r="G7674" s="4"/>
    </row>
    <row r="7675" spans="7:7" x14ac:dyDescent="0.3">
      <c r="G7675" s="4"/>
    </row>
    <row r="7676" spans="7:7" x14ac:dyDescent="0.3">
      <c r="G7676" s="4"/>
    </row>
    <row r="7677" spans="7:7" x14ac:dyDescent="0.3">
      <c r="G7677" s="4"/>
    </row>
    <row r="7678" spans="7:7" x14ac:dyDescent="0.3">
      <c r="G7678" s="4"/>
    </row>
    <row r="7679" spans="7:7" x14ac:dyDescent="0.3">
      <c r="G7679" s="4"/>
    </row>
    <row r="7680" spans="7:7" x14ac:dyDescent="0.3">
      <c r="G7680" s="4"/>
    </row>
    <row r="7681" spans="7:7" x14ac:dyDescent="0.3">
      <c r="G7681" s="4"/>
    </row>
    <row r="7682" spans="7:7" x14ac:dyDescent="0.3">
      <c r="G7682" s="4"/>
    </row>
    <row r="7683" spans="7:7" x14ac:dyDescent="0.3">
      <c r="G7683" s="4"/>
    </row>
    <row r="7684" spans="7:7" x14ac:dyDescent="0.3">
      <c r="G7684" s="4"/>
    </row>
    <row r="7685" spans="7:7" x14ac:dyDescent="0.3">
      <c r="G7685" s="4"/>
    </row>
    <row r="7686" spans="7:7" x14ac:dyDescent="0.3">
      <c r="G7686" s="4"/>
    </row>
    <row r="7687" spans="7:7" x14ac:dyDescent="0.3">
      <c r="G7687" s="4"/>
    </row>
    <row r="7688" spans="7:7" x14ac:dyDescent="0.3">
      <c r="G7688" s="4"/>
    </row>
    <row r="7689" spans="7:7" x14ac:dyDescent="0.3">
      <c r="G7689" s="4"/>
    </row>
    <row r="7690" spans="7:7" x14ac:dyDescent="0.3">
      <c r="G7690" s="4"/>
    </row>
    <row r="7691" spans="7:7" x14ac:dyDescent="0.3">
      <c r="G7691" s="4"/>
    </row>
    <row r="7692" spans="7:7" x14ac:dyDescent="0.3">
      <c r="G7692" s="4"/>
    </row>
    <row r="7693" spans="7:7" x14ac:dyDescent="0.3">
      <c r="G7693" s="4"/>
    </row>
    <row r="7694" spans="7:7" x14ac:dyDescent="0.3">
      <c r="G7694" s="4"/>
    </row>
    <row r="7695" spans="7:7" x14ac:dyDescent="0.3">
      <c r="G7695" s="4"/>
    </row>
    <row r="7696" spans="7:7" x14ac:dyDescent="0.3">
      <c r="G7696" s="4"/>
    </row>
    <row r="7697" spans="7:7" x14ac:dyDescent="0.3">
      <c r="G7697" s="4"/>
    </row>
    <row r="7698" spans="7:7" x14ac:dyDescent="0.3">
      <c r="G7698" s="4"/>
    </row>
    <row r="7699" spans="7:7" x14ac:dyDescent="0.3">
      <c r="G7699" s="4"/>
    </row>
    <row r="7700" spans="7:7" x14ac:dyDescent="0.3">
      <c r="G7700" s="4"/>
    </row>
    <row r="7701" spans="7:7" x14ac:dyDescent="0.3">
      <c r="G7701" s="4"/>
    </row>
    <row r="7702" spans="7:7" x14ac:dyDescent="0.3">
      <c r="G7702" s="4"/>
    </row>
    <row r="7703" spans="7:7" x14ac:dyDescent="0.3">
      <c r="G7703" s="4"/>
    </row>
    <row r="7704" spans="7:7" x14ac:dyDescent="0.3">
      <c r="G7704" s="4"/>
    </row>
    <row r="7705" spans="7:7" x14ac:dyDescent="0.3">
      <c r="G7705" s="4"/>
    </row>
    <row r="7706" spans="7:7" x14ac:dyDescent="0.3">
      <c r="G7706" s="4"/>
    </row>
    <row r="7707" spans="7:7" x14ac:dyDescent="0.3">
      <c r="G7707" s="4"/>
    </row>
    <row r="7708" spans="7:7" x14ac:dyDescent="0.3">
      <c r="G7708" s="4"/>
    </row>
    <row r="7709" spans="7:7" x14ac:dyDescent="0.3">
      <c r="G7709" s="4"/>
    </row>
    <row r="7710" spans="7:7" x14ac:dyDescent="0.3">
      <c r="G7710" s="4"/>
    </row>
    <row r="7711" spans="7:7" x14ac:dyDescent="0.3">
      <c r="G7711" s="4"/>
    </row>
    <row r="7712" spans="7:7" x14ac:dyDescent="0.3">
      <c r="G7712" s="4"/>
    </row>
    <row r="7713" spans="7:7" x14ac:dyDescent="0.3">
      <c r="G7713" s="4"/>
    </row>
    <row r="7714" spans="7:7" x14ac:dyDescent="0.3">
      <c r="G7714" s="4"/>
    </row>
    <row r="7715" spans="7:7" x14ac:dyDescent="0.3">
      <c r="G7715" s="4"/>
    </row>
    <row r="7716" spans="7:7" x14ac:dyDescent="0.3">
      <c r="G7716" s="4"/>
    </row>
    <row r="7717" spans="7:7" x14ac:dyDescent="0.3">
      <c r="G7717" s="4"/>
    </row>
    <row r="7718" spans="7:7" x14ac:dyDescent="0.3">
      <c r="G7718" s="4"/>
    </row>
    <row r="7719" spans="7:7" x14ac:dyDescent="0.3">
      <c r="G7719" s="4"/>
    </row>
    <row r="7720" spans="7:7" x14ac:dyDescent="0.3">
      <c r="G7720" s="4"/>
    </row>
    <row r="7721" spans="7:7" x14ac:dyDescent="0.3">
      <c r="G7721" s="4"/>
    </row>
    <row r="7722" spans="7:7" x14ac:dyDescent="0.3">
      <c r="G7722" s="4"/>
    </row>
    <row r="7723" spans="7:7" x14ac:dyDescent="0.3">
      <c r="G7723" s="4"/>
    </row>
    <row r="7724" spans="7:7" x14ac:dyDescent="0.3">
      <c r="G7724" s="4"/>
    </row>
    <row r="7725" spans="7:7" x14ac:dyDescent="0.3">
      <c r="G7725" s="4"/>
    </row>
    <row r="7726" spans="7:7" x14ac:dyDescent="0.3">
      <c r="G7726" s="4"/>
    </row>
    <row r="7727" spans="7:7" x14ac:dyDescent="0.3">
      <c r="G7727" s="4"/>
    </row>
    <row r="7728" spans="7:7" x14ac:dyDescent="0.3">
      <c r="G7728" s="4"/>
    </row>
    <row r="7729" spans="7:7" x14ac:dyDescent="0.3">
      <c r="G7729" s="4"/>
    </row>
    <row r="7730" spans="7:7" x14ac:dyDescent="0.3">
      <c r="G7730" s="4"/>
    </row>
    <row r="7731" spans="7:7" x14ac:dyDescent="0.3">
      <c r="G7731" s="4"/>
    </row>
    <row r="7732" spans="7:7" x14ac:dyDescent="0.3">
      <c r="G7732" s="4"/>
    </row>
    <row r="7733" spans="7:7" x14ac:dyDescent="0.3">
      <c r="G7733" s="4"/>
    </row>
    <row r="7734" spans="7:7" x14ac:dyDescent="0.3">
      <c r="G7734" s="4"/>
    </row>
    <row r="7735" spans="7:7" x14ac:dyDescent="0.3">
      <c r="G7735" s="4"/>
    </row>
    <row r="7736" spans="7:7" x14ac:dyDescent="0.3">
      <c r="G7736" s="4"/>
    </row>
    <row r="7737" spans="7:7" x14ac:dyDescent="0.3">
      <c r="G7737" s="4"/>
    </row>
    <row r="7738" spans="7:7" x14ac:dyDescent="0.3">
      <c r="G7738" s="4"/>
    </row>
    <row r="7739" spans="7:7" x14ac:dyDescent="0.3">
      <c r="G7739" s="4"/>
    </row>
    <row r="7740" spans="7:7" x14ac:dyDescent="0.3">
      <c r="G7740" s="4"/>
    </row>
    <row r="7741" spans="7:7" x14ac:dyDescent="0.3">
      <c r="G7741" s="4"/>
    </row>
    <row r="7742" spans="7:7" x14ac:dyDescent="0.3">
      <c r="G7742" s="4"/>
    </row>
    <row r="7743" spans="7:7" x14ac:dyDescent="0.3">
      <c r="G7743" s="4"/>
    </row>
    <row r="7744" spans="7:7" x14ac:dyDescent="0.3">
      <c r="G7744" s="4"/>
    </row>
    <row r="7745" spans="7:7" x14ac:dyDescent="0.3">
      <c r="G7745" s="4"/>
    </row>
    <row r="7746" spans="7:7" x14ac:dyDescent="0.3">
      <c r="G7746" s="4"/>
    </row>
    <row r="7747" spans="7:7" x14ac:dyDescent="0.3">
      <c r="G7747" s="4"/>
    </row>
    <row r="7748" spans="7:7" x14ac:dyDescent="0.3">
      <c r="G7748" s="4"/>
    </row>
    <row r="7749" spans="7:7" x14ac:dyDescent="0.3">
      <c r="G7749" s="4"/>
    </row>
    <row r="7750" spans="7:7" x14ac:dyDescent="0.3">
      <c r="G7750" s="4"/>
    </row>
    <row r="7751" spans="7:7" x14ac:dyDescent="0.3">
      <c r="G7751" s="4"/>
    </row>
    <row r="7752" spans="7:7" x14ac:dyDescent="0.3">
      <c r="G7752" s="4"/>
    </row>
    <row r="7753" spans="7:7" x14ac:dyDescent="0.3">
      <c r="G7753" s="4"/>
    </row>
    <row r="7754" spans="7:7" x14ac:dyDescent="0.3">
      <c r="G7754" s="4"/>
    </row>
    <row r="7755" spans="7:7" x14ac:dyDescent="0.3">
      <c r="G7755" s="4"/>
    </row>
    <row r="7756" spans="7:7" x14ac:dyDescent="0.3">
      <c r="G7756" s="4"/>
    </row>
    <row r="7757" spans="7:7" x14ac:dyDescent="0.3">
      <c r="G7757" s="4"/>
    </row>
    <row r="7758" spans="7:7" x14ac:dyDescent="0.3">
      <c r="G7758" s="4"/>
    </row>
    <row r="7759" spans="7:7" x14ac:dyDescent="0.3">
      <c r="G7759" s="4"/>
    </row>
    <row r="7760" spans="7:7" x14ac:dyDescent="0.3">
      <c r="G7760" s="4"/>
    </row>
    <row r="7761" spans="7:7" x14ac:dyDescent="0.3">
      <c r="G7761" s="4"/>
    </row>
    <row r="7762" spans="7:7" x14ac:dyDescent="0.3">
      <c r="G7762" s="4"/>
    </row>
    <row r="7763" spans="7:7" x14ac:dyDescent="0.3">
      <c r="G7763" s="4"/>
    </row>
    <row r="7764" spans="7:7" x14ac:dyDescent="0.3">
      <c r="G7764" s="4"/>
    </row>
    <row r="7765" spans="7:7" x14ac:dyDescent="0.3">
      <c r="G7765" s="4"/>
    </row>
    <row r="7766" spans="7:7" x14ac:dyDescent="0.3">
      <c r="G7766" s="4"/>
    </row>
    <row r="7767" spans="7:7" x14ac:dyDescent="0.3">
      <c r="G7767" s="4"/>
    </row>
    <row r="7768" spans="7:7" x14ac:dyDescent="0.3">
      <c r="G7768" s="4"/>
    </row>
    <row r="7769" spans="7:7" x14ac:dyDescent="0.3">
      <c r="G7769" s="4"/>
    </row>
    <row r="7770" spans="7:7" x14ac:dyDescent="0.3">
      <c r="G7770" s="4"/>
    </row>
    <row r="7771" spans="7:7" x14ac:dyDescent="0.3">
      <c r="G7771" s="4"/>
    </row>
    <row r="7772" spans="7:7" x14ac:dyDescent="0.3">
      <c r="G7772" s="4"/>
    </row>
    <row r="7773" spans="7:7" x14ac:dyDescent="0.3">
      <c r="G7773" s="4"/>
    </row>
    <row r="7774" spans="7:7" x14ac:dyDescent="0.3">
      <c r="G7774" s="4"/>
    </row>
    <row r="7775" spans="7:7" x14ac:dyDescent="0.3">
      <c r="G7775" s="4"/>
    </row>
    <row r="7776" spans="7:7" x14ac:dyDescent="0.3">
      <c r="G7776" s="4"/>
    </row>
    <row r="7777" spans="7:7" x14ac:dyDescent="0.3">
      <c r="G7777" s="4"/>
    </row>
    <row r="7778" spans="7:7" x14ac:dyDescent="0.3">
      <c r="G7778" s="4"/>
    </row>
    <row r="7779" spans="7:7" x14ac:dyDescent="0.3">
      <c r="G7779" s="4"/>
    </row>
    <row r="7780" spans="7:7" x14ac:dyDescent="0.3">
      <c r="G7780" s="4"/>
    </row>
    <row r="7781" spans="7:7" x14ac:dyDescent="0.3">
      <c r="G7781" s="4"/>
    </row>
    <row r="7782" spans="7:7" x14ac:dyDescent="0.3">
      <c r="G7782" s="4"/>
    </row>
    <row r="7783" spans="7:7" x14ac:dyDescent="0.3">
      <c r="G7783" s="4"/>
    </row>
    <row r="7784" spans="7:7" x14ac:dyDescent="0.3">
      <c r="G7784" s="4"/>
    </row>
    <row r="7785" spans="7:7" x14ac:dyDescent="0.3">
      <c r="G7785" s="4"/>
    </row>
    <row r="7786" spans="7:7" x14ac:dyDescent="0.3">
      <c r="G7786" s="4"/>
    </row>
    <row r="7787" spans="7:7" x14ac:dyDescent="0.3">
      <c r="G7787" s="4"/>
    </row>
    <row r="7788" spans="7:7" x14ac:dyDescent="0.3">
      <c r="G7788" s="4"/>
    </row>
    <row r="7789" spans="7:7" x14ac:dyDescent="0.3">
      <c r="G7789" s="4"/>
    </row>
    <row r="7790" spans="7:7" x14ac:dyDescent="0.3">
      <c r="G7790" s="4"/>
    </row>
    <row r="7791" spans="7:7" x14ac:dyDescent="0.3">
      <c r="G7791" s="4"/>
    </row>
    <row r="7792" spans="7:7" x14ac:dyDescent="0.3">
      <c r="G7792" s="4"/>
    </row>
    <row r="7793" spans="7:7" x14ac:dyDescent="0.3">
      <c r="G7793" s="4"/>
    </row>
    <row r="7794" spans="7:7" x14ac:dyDescent="0.3">
      <c r="G7794" s="4"/>
    </row>
    <row r="7795" spans="7:7" x14ac:dyDescent="0.3">
      <c r="G7795" s="4"/>
    </row>
    <row r="7796" spans="7:7" x14ac:dyDescent="0.3">
      <c r="G7796" s="4"/>
    </row>
    <row r="7797" spans="7:7" x14ac:dyDescent="0.3">
      <c r="G7797" s="4"/>
    </row>
    <row r="7798" spans="7:7" x14ac:dyDescent="0.3">
      <c r="G7798" s="4"/>
    </row>
    <row r="7799" spans="7:7" x14ac:dyDescent="0.3">
      <c r="G7799" s="4"/>
    </row>
    <row r="7800" spans="7:7" x14ac:dyDescent="0.3">
      <c r="G7800" s="4"/>
    </row>
    <row r="7801" spans="7:7" x14ac:dyDescent="0.3">
      <c r="G7801" s="4"/>
    </row>
    <row r="7802" spans="7:7" x14ac:dyDescent="0.3">
      <c r="G7802" s="4"/>
    </row>
    <row r="7803" spans="7:7" x14ac:dyDescent="0.3">
      <c r="G7803" s="4"/>
    </row>
    <row r="7804" spans="7:7" x14ac:dyDescent="0.3">
      <c r="G7804" s="4"/>
    </row>
    <row r="7805" spans="7:7" x14ac:dyDescent="0.3">
      <c r="G7805" s="4"/>
    </row>
    <row r="7806" spans="7:7" x14ac:dyDescent="0.3">
      <c r="G7806" s="4"/>
    </row>
    <row r="7807" spans="7:7" x14ac:dyDescent="0.3">
      <c r="G7807" s="4"/>
    </row>
    <row r="7808" spans="7:7" x14ac:dyDescent="0.3">
      <c r="G7808" s="4"/>
    </row>
    <row r="7809" spans="7:7" x14ac:dyDescent="0.3">
      <c r="G7809" s="4"/>
    </row>
    <row r="7810" spans="7:7" x14ac:dyDescent="0.3">
      <c r="G7810" s="4"/>
    </row>
    <row r="7811" spans="7:7" x14ac:dyDescent="0.3">
      <c r="G7811" s="4"/>
    </row>
    <row r="7812" spans="7:7" x14ac:dyDescent="0.3">
      <c r="G7812" s="4"/>
    </row>
    <row r="7813" spans="7:7" x14ac:dyDescent="0.3">
      <c r="G7813" s="4"/>
    </row>
    <row r="7814" spans="7:7" x14ac:dyDescent="0.3">
      <c r="G7814" s="4"/>
    </row>
    <row r="7815" spans="7:7" x14ac:dyDescent="0.3">
      <c r="G7815" s="4"/>
    </row>
    <row r="7816" spans="7:7" x14ac:dyDescent="0.3">
      <c r="G7816" s="4"/>
    </row>
    <row r="7817" spans="7:7" x14ac:dyDescent="0.3">
      <c r="G7817" s="4"/>
    </row>
    <row r="7818" spans="7:7" x14ac:dyDescent="0.3">
      <c r="G7818" s="4"/>
    </row>
    <row r="7819" spans="7:7" x14ac:dyDescent="0.3">
      <c r="G7819" s="4"/>
    </row>
    <row r="7820" spans="7:7" x14ac:dyDescent="0.3">
      <c r="G7820" s="4"/>
    </row>
    <row r="7821" spans="7:7" x14ac:dyDescent="0.3">
      <c r="G7821" s="4"/>
    </row>
    <row r="7822" spans="7:7" x14ac:dyDescent="0.3">
      <c r="G7822" s="4"/>
    </row>
    <row r="7823" spans="7:7" x14ac:dyDescent="0.3">
      <c r="G7823" s="4"/>
    </row>
    <row r="7824" spans="7:7" x14ac:dyDescent="0.3">
      <c r="G7824" s="4"/>
    </row>
    <row r="7825" spans="7:7" x14ac:dyDescent="0.3">
      <c r="G7825" s="4"/>
    </row>
    <row r="7826" spans="7:7" x14ac:dyDescent="0.3">
      <c r="G7826" s="4"/>
    </row>
    <row r="7827" spans="7:7" x14ac:dyDescent="0.3">
      <c r="G7827" s="4"/>
    </row>
    <row r="7828" spans="7:7" x14ac:dyDescent="0.3">
      <c r="G7828" s="4"/>
    </row>
    <row r="7829" spans="7:7" x14ac:dyDescent="0.3">
      <c r="G7829" s="4"/>
    </row>
    <row r="7830" spans="7:7" x14ac:dyDescent="0.3">
      <c r="G7830" s="4"/>
    </row>
    <row r="7831" spans="7:7" x14ac:dyDescent="0.3">
      <c r="G7831" s="4"/>
    </row>
    <row r="7832" spans="7:7" x14ac:dyDescent="0.3">
      <c r="G7832" s="4"/>
    </row>
    <row r="7833" spans="7:7" x14ac:dyDescent="0.3">
      <c r="G7833" s="4"/>
    </row>
    <row r="7834" spans="7:7" x14ac:dyDescent="0.3">
      <c r="G7834" s="4"/>
    </row>
    <row r="7835" spans="7:7" x14ac:dyDescent="0.3">
      <c r="G7835" s="4"/>
    </row>
    <row r="7836" spans="7:7" x14ac:dyDescent="0.3">
      <c r="G7836" s="4"/>
    </row>
    <row r="7837" spans="7:7" x14ac:dyDescent="0.3">
      <c r="G7837" s="4"/>
    </row>
    <row r="7838" spans="7:7" x14ac:dyDescent="0.3">
      <c r="G7838" s="4"/>
    </row>
    <row r="7839" spans="7:7" x14ac:dyDescent="0.3">
      <c r="G7839" s="4"/>
    </row>
    <row r="7840" spans="7:7" x14ac:dyDescent="0.3">
      <c r="G7840" s="4"/>
    </row>
    <row r="7841" spans="7:7" x14ac:dyDescent="0.3">
      <c r="G7841" s="4"/>
    </row>
    <row r="7842" spans="7:7" x14ac:dyDescent="0.3">
      <c r="G7842" s="4"/>
    </row>
    <row r="7843" spans="7:7" x14ac:dyDescent="0.3">
      <c r="G7843" s="4"/>
    </row>
    <row r="7844" spans="7:7" x14ac:dyDescent="0.3">
      <c r="G7844" s="4"/>
    </row>
    <row r="7845" spans="7:7" x14ac:dyDescent="0.3">
      <c r="G7845" s="4"/>
    </row>
    <row r="7846" spans="7:7" x14ac:dyDescent="0.3">
      <c r="G7846" s="4"/>
    </row>
    <row r="7847" spans="7:7" x14ac:dyDescent="0.3">
      <c r="G7847" s="4"/>
    </row>
    <row r="7848" spans="7:7" x14ac:dyDescent="0.3">
      <c r="G7848" s="4"/>
    </row>
    <row r="7849" spans="7:7" x14ac:dyDescent="0.3">
      <c r="G7849" s="4"/>
    </row>
    <row r="7850" spans="7:7" x14ac:dyDescent="0.3">
      <c r="G7850" s="4"/>
    </row>
    <row r="7851" spans="7:7" x14ac:dyDescent="0.3">
      <c r="G7851" s="4"/>
    </row>
    <row r="7852" spans="7:7" x14ac:dyDescent="0.3">
      <c r="G7852" s="4"/>
    </row>
    <row r="7853" spans="7:7" x14ac:dyDescent="0.3">
      <c r="G7853" s="4"/>
    </row>
    <row r="7854" spans="7:7" x14ac:dyDescent="0.3">
      <c r="G7854" s="4"/>
    </row>
    <row r="7855" spans="7:7" x14ac:dyDescent="0.3">
      <c r="G7855" s="4"/>
    </row>
    <row r="7856" spans="7:7" x14ac:dyDescent="0.3">
      <c r="G7856" s="4"/>
    </row>
    <row r="7857" spans="7:7" x14ac:dyDescent="0.3">
      <c r="G7857" s="4"/>
    </row>
    <row r="7858" spans="7:7" x14ac:dyDescent="0.3">
      <c r="G7858" s="4"/>
    </row>
    <row r="7859" spans="7:7" x14ac:dyDescent="0.3">
      <c r="G7859" s="4"/>
    </row>
    <row r="7860" spans="7:7" x14ac:dyDescent="0.3">
      <c r="G7860" s="4"/>
    </row>
    <row r="7861" spans="7:7" x14ac:dyDescent="0.3">
      <c r="G7861" s="4"/>
    </row>
    <row r="7862" spans="7:7" x14ac:dyDescent="0.3">
      <c r="G7862" s="4"/>
    </row>
    <row r="7863" spans="7:7" x14ac:dyDescent="0.3">
      <c r="G7863" s="4"/>
    </row>
    <row r="7864" spans="7:7" x14ac:dyDescent="0.3">
      <c r="G7864" s="4"/>
    </row>
    <row r="7865" spans="7:7" x14ac:dyDescent="0.3">
      <c r="G7865" s="4"/>
    </row>
    <row r="7866" spans="7:7" x14ac:dyDescent="0.3">
      <c r="G7866" s="4"/>
    </row>
    <row r="7867" spans="7:7" x14ac:dyDescent="0.3">
      <c r="G7867" s="4"/>
    </row>
    <row r="7868" spans="7:7" x14ac:dyDescent="0.3">
      <c r="G7868" s="4"/>
    </row>
    <row r="7869" spans="7:7" x14ac:dyDescent="0.3">
      <c r="G7869" s="4"/>
    </row>
    <row r="7870" spans="7:7" x14ac:dyDescent="0.3">
      <c r="G7870" s="4"/>
    </row>
    <row r="7871" spans="7:7" x14ac:dyDescent="0.3">
      <c r="G7871" s="4"/>
    </row>
    <row r="7872" spans="7:7" x14ac:dyDescent="0.3">
      <c r="G7872" s="4"/>
    </row>
    <row r="7873" spans="7:7" x14ac:dyDescent="0.3">
      <c r="G7873" s="4"/>
    </row>
    <row r="7874" spans="7:7" x14ac:dyDescent="0.3">
      <c r="G7874" s="4"/>
    </row>
    <row r="7875" spans="7:7" x14ac:dyDescent="0.3">
      <c r="G7875" s="4"/>
    </row>
    <row r="7876" spans="7:7" x14ac:dyDescent="0.3">
      <c r="G7876" s="4"/>
    </row>
    <row r="7877" spans="7:7" x14ac:dyDescent="0.3">
      <c r="G7877" s="4"/>
    </row>
    <row r="7878" spans="7:7" x14ac:dyDescent="0.3">
      <c r="G7878" s="4"/>
    </row>
    <row r="7879" spans="7:7" x14ac:dyDescent="0.3">
      <c r="G7879" s="4"/>
    </row>
    <row r="7880" spans="7:7" x14ac:dyDescent="0.3">
      <c r="G7880" s="4"/>
    </row>
    <row r="7881" spans="7:7" x14ac:dyDescent="0.3">
      <c r="G7881" s="4"/>
    </row>
    <row r="7882" spans="7:7" x14ac:dyDescent="0.3">
      <c r="G7882" s="4"/>
    </row>
    <row r="7883" spans="7:7" x14ac:dyDescent="0.3">
      <c r="G7883" s="4"/>
    </row>
    <row r="7884" spans="7:7" x14ac:dyDescent="0.3">
      <c r="G7884" s="4"/>
    </row>
    <row r="7885" spans="7:7" x14ac:dyDescent="0.3">
      <c r="G7885" s="4"/>
    </row>
    <row r="7886" spans="7:7" x14ac:dyDescent="0.3">
      <c r="G7886" s="4"/>
    </row>
    <row r="7887" spans="7:7" x14ac:dyDescent="0.3">
      <c r="G7887" s="4"/>
    </row>
    <row r="7888" spans="7:7" x14ac:dyDescent="0.3">
      <c r="G7888" s="4"/>
    </row>
    <row r="7889" spans="7:7" x14ac:dyDescent="0.3">
      <c r="G7889" s="4"/>
    </row>
    <row r="7890" spans="7:7" x14ac:dyDescent="0.3">
      <c r="G7890" s="4"/>
    </row>
    <row r="7891" spans="7:7" x14ac:dyDescent="0.3">
      <c r="G7891" s="4"/>
    </row>
    <row r="7892" spans="7:7" x14ac:dyDescent="0.3">
      <c r="G7892" s="4"/>
    </row>
    <row r="7893" spans="7:7" x14ac:dyDescent="0.3">
      <c r="G7893" s="4"/>
    </row>
    <row r="7894" spans="7:7" x14ac:dyDescent="0.3">
      <c r="G7894" s="4"/>
    </row>
    <row r="7895" spans="7:7" x14ac:dyDescent="0.3">
      <c r="G7895" s="4"/>
    </row>
    <row r="7896" spans="7:7" x14ac:dyDescent="0.3">
      <c r="G7896" s="4"/>
    </row>
    <row r="7897" spans="7:7" x14ac:dyDescent="0.3">
      <c r="G7897" s="4"/>
    </row>
    <row r="7898" spans="7:7" x14ac:dyDescent="0.3">
      <c r="G7898" s="4"/>
    </row>
    <row r="7899" spans="7:7" x14ac:dyDescent="0.3">
      <c r="G7899" s="4"/>
    </row>
    <row r="7900" spans="7:7" x14ac:dyDescent="0.3">
      <c r="G7900" s="4"/>
    </row>
    <row r="7901" spans="7:7" x14ac:dyDescent="0.3">
      <c r="G7901" s="4"/>
    </row>
    <row r="7902" spans="7:7" x14ac:dyDescent="0.3">
      <c r="G7902" s="4"/>
    </row>
    <row r="7903" spans="7:7" x14ac:dyDescent="0.3">
      <c r="G7903" s="4"/>
    </row>
    <row r="7904" spans="7:7" x14ac:dyDescent="0.3">
      <c r="G7904" s="4"/>
    </row>
    <row r="7905" spans="7:7" x14ac:dyDescent="0.3">
      <c r="G7905" s="4"/>
    </row>
    <row r="7906" spans="7:7" x14ac:dyDescent="0.3">
      <c r="G7906" s="4"/>
    </row>
    <row r="7907" spans="7:7" x14ac:dyDescent="0.3">
      <c r="G7907" s="4"/>
    </row>
    <row r="7908" spans="7:7" x14ac:dyDescent="0.3">
      <c r="G7908" s="4"/>
    </row>
    <row r="7909" spans="7:7" x14ac:dyDescent="0.3">
      <c r="G7909" s="4"/>
    </row>
    <row r="7910" spans="7:7" x14ac:dyDescent="0.3">
      <c r="G7910" s="4"/>
    </row>
    <row r="7911" spans="7:7" x14ac:dyDescent="0.3">
      <c r="G7911" s="4"/>
    </row>
    <row r="7912" spans="7:7" x14ac:dyDescent="0.3">
      <c r="G7912" s="4"/>
    </row>
    <row r="7913" spans="7:7" x14ac:dyDescent="0.3">
      <c r="G7913" s="4"/>
    </row>
    <row r="7914" spans="7:7" x14ac:dyDescent="0.3">
      <c r="G7914" s="4"/>
    </row>
    <row r="7915" spans="7:7" x14ac:dyDescent="0.3">
      <c r="G7915" s="4"/>
    </row>
    <row r="7916" spans="7:7" x14ac:dyDescent="0.3">
      <c r="G7916" s="4"/>
    </row>
    <row r="7917" spans="7:7" x14ac:dyDescent="0.3">
      <c r="G7917" s="4"/>
    </row>
    <row r="7918" spans="7:7" x14ac:dyDescent="0.3">
      <c r="G7918" s="4"/>
    </row>
    <row r="7919" spans="7:7" x14ac:dyDescent="0.3">
      <c r="G7919" s="4"/>
    </row>
    <row r="7920" spans="7:7" x14ac:dyDescent="0.3">
      <c r="G7920" s="4"/>
    </row>
    <row r="7921" spans="7:7" x14ac:dyDescent="0.3">
      <c r="G7921" s="4"/>
    </row>
    <row r="7922" spans="7:7" x14ac:dyDescent="0.3">
      <c r="G7922" s="4"/>
    </row>
    <row r="7923" spans="7:7" x14ac:dyDescent="0.3">
      <c r="G7923" s="4"/>
    </row>
    <row r="7924" spans="7:7" x14ac:dyDescent="0.3">
      <c r="G7924" s="4"/>
    </row>
    <row r="7925" spans="7:7" x14ac:dyDescent="0.3">
      <c r="G7925" s="4"/>
    </row>
    <row r="7926" spans="7:7" x14ac:dyDescent="0.3">
      <c r="G7926" s="4"/>
    </row>
    <row r="7927" spans="7:7" x14ac:dyDescent="0.3">
      <c r="G7927" s="4"/>
    </row>
    <row r="7928" spans="7:7" x14ac:dyDescent="0.3">
      <c r="G7928" s="4"/>
    </row>
    <row r="7929" spans="7:7" x14ac:dyDescent="0.3">
      <c r="G7929" s="4"/>
    </row>
    <row r="7930" spans="7:7" x14ac:dyDescent="0.3">
      <c r="G7930" s="4"/>
    </row>
    <row r="7931" spans="7:7" x14ac:dyDescent="0.3">
      <c r="G7931" s="4"/>
    </row>
    <row r="7932" spans="7:7" x14ac:dyDescent="0.3">
      <c r="G7932" s="4"/>
    </row>
    <row r="7933" spans="7:7" x14ac:dyDescent="0.3">
      <c r="G7933" s="4"/>
    </row>
    <row r="7934" spans="7:7" x14ac:dyDescent="0.3">
      <c r="G7934" s="4"/>
    </row>
    <row r="7935" spans="7:7" x14ac:dyDescent="0.3">
      <c r="G7935" s="4"/>
    </row>
    <row r="7936" spans="7:7" x14ac:dyDescent="0.3">
      <c r="G7936" s="4"/>
    </row>
    <row r="7937" spans="7:7" x14ac:dyDescent="0.3">
      <c r="G7937" s="4"/>
    </row>
    <row r="7938" spans="7:7" x14ac:dyDescent="0.3">
      <c r="G7938" s="4"/>
    </row>
    <row r="7939" spans="7:7" x14ac:dyDescent="0.3">
      <c r="G7939" s="4"/>
    </row>
    <row r="7940" spans="7:7" x14ac:dyDescent="0.3">
      <c r="G7940" s="4"/>
    </row>
    <row r="7941" spans="7:7" x14ac:dyDescent="0.3">
      <c r="G7941" s="4"/>
    </row>
    <row r="7942" spans="7:7" x14ac:dyDescent="0.3">
      <c r="G7942" s="4"/>
    </row>
    <row r="7943" spans="7:7" x14ac:dyDescent="0.3">
      <c r="G7943" s="4"/>
    </row>
    <row r="7944" spans="7:7" x14ac:dyDescent="0.3">
      <c r="G7944" s="4"/>
    </row>
    <row r="7945" spans="7:7" x14ac:dyDescent="0.3">
      <c r="G7945" s="4"/>
    </row>
    <row r="7946" spans="7:7" x14ac:dyDescent="0.3">
      <c r="G7946" s="4"/>
    </row>
    <row r="7947" spans="7:7" x14ac:dyDescent="0.3">
      <c r="G7947" s="4"/>
    </row>
    <row r="7948" spans="7:7" x14ac:dyDescent="0.3">
      <c r="G7948" s="4"/>
    </row>
    <row r="7949" spans="7:7" x14ac:dyDescent="0.3">
      <c r="G7949" s="4"/>
    </row>
    <row r="7950" spans="7:7" x14ac:dyDescent="0.3">
      <c r="G7950" s="4"/>
    </row>
    <row r="7951" spans="7:7" x14ac:dyDescent="0.3">
      <c r="G7951" s="4"/>
    </row>
    <row r="7952" spans="7:7" x14ac:dyDescent="0.3">
      <c r="G7952" s="4"/>
    </row>
    <row r="7953" spans="7:7" x14ac:dyDescent="0.3">
      <c r="G7953" s="4"/>
    </row>
    <row r="7954" spans="7:7" x14ac:dyDescent="0.3">
      <c r="G7954" s="4"/>
    </row>
    <row r="7955" spans="7:7" x14ac:dyDescent="0.3">
      <c r="G7955" s="4"/>
    </row>
    <row r="7956" spans="7:7" x14ac:dyDescent="0.3">
      <c r="G7956" s="4"/>
    </row>
    <row r="7957" spans="7:7" x14ac:dyDescent="0.3">
      <c r="G7957" s="4"/>
    </row>
    <row r="7958" spans="7:7" x14ac:dyDescent="0.3">
      <c r="G7958" s="4"/>
    </row>
    <row r="7959" spans="7:7" x14ac:dyDescent="0.3">
      <c r="G7959" s="4"/>
    </row>
    <row r="7960" spans="7:7" x14ac:dyDescent="0.3">
      <c r="G7960" s="4"/>
    </row>
    <row r="7961" spans="7:7" x14ac:dyDescent="0.3">
      <c r="G7961" s="4"/>
    </row>
    <row r="7962" spans="7:7" x14ac:dyDescent="0.3">
      <c r="G7962" s="4"/>
    </row>
    <row r="7963" spans="7:7" x14ac:dyDescent="0.3">
      <c r="G7963" s="4"/>
    </row>
    <row r="7964" spans="7:7" x14ac:dyDescent="0.3">
      <c r="G7964" s="4"/>
    </row>
    <row r="7965" spans="7:7" x14ac:dyDescent="0.3">
      <c r="G7965" s="4"/>
    </row>
    <row r="7966" spans="7:7" x14ac:dyDescent="0.3">
      <c r="G7966" s="4"/>
    </row>
    <row r="7967" spans="7:7" x14ac:dyDescent="0.3">
      <c r="G7967" s="4"/>
    </row>
    <row r="7968" spans="7:7" x14ac:dyDescent="0.3">
      <c r="G7968" s="4"/>
    </row>
    <row r="7969" spans="7:7" x14ac:dyDescent="0.3">
      <c r="G7969" s="4"/>
    </row>
    <row r="7970" spans="7:7" x14ac:dyDescent="0.3">
      <c r="G7970" s="4"/>
    </row>
    <row r="7971" spans="7:7" x14ac:dyDescent="0.3">
      <c r="G7971" s="4"/>
    </row>
    <row r="7972" spans="7:7" x14ac:dyDescent="0.3">
      <c r="G7972" s="4"/>
    </row>
    <row r="7973" spans="7:7" x14ac:dyDescent="0.3">
      <c r="G7973" s="4"/>
    </row>
    <row r="7974" spans="7:7" x14ac:dyDescent="0.3">
      <c r="G7974" s="4"/>
    </row>
    <row r="7975" spans="7:7" x14ac:dyDescent="0.3">
      <c r="G7975" s="4"/>
    </row>
    <row r="7976" spans="7:7" x14ac:dyDescent="0.3">
      <c r="G7976" s="4"/>
    </row>
    <row r="7977" spans="7:7" x14ac:dyDescent="0.3">
      <c r="G7977" s="4"/>
    </row>
    <row r="7978" spans="7:7" x14ac:dyDescent="0.3">
      <c r="G7978" s="4"/>
    </row>
    <row r="7979" spans="7:7" x14ac:dyDescent="0.3">
      <c r="G7979" s="4"/>
    </row>
    <row r="7980" spans="7:7" x14ac:dyDescent="0.3">
      <c r="G7980" s="4"/>
    </row>
    <row r="7981" spans="7:7" x14ac:dyDescent="0.3">
      <c r="G7981" s="4"/>
    </row>
    <row r="7982" spans="7:7" x14ac:dyDescent="0.3">
      <c r="G7982" s="4"/>
    </row>
    <row r="7983" spans="7:7" x14ac:dyDescent="0.3">
      <c r="G7983" s="4"/>
    </row>
    <row r="7984" spans="7:7" x14ac:dyDescent="0.3">
      <c r="G7984" s="4"/>
    </row>
    <row r="7985" spans="7:7" x14ac:dyDescent="0.3">
      <c r="G7985" s="4"/>
    </row>
    <row r="7986" spans="7:7" x14ac:dyDescent="0.3">
      <c r="G7986" s="4"/>
    </row>
    <row r="7987" spans="7:7" x14ac:dyDescent="0.3">
      <c r="G7987" s="4"/>
    </row>
    <row r="7988" spans="7:7" x14ac:dyDescent="0.3">
      <c r="G7988" s="4"/>
    </row>
    <row r="7989" spans="7:7" x14ac:dyDescent="0.3">
      <c r="G7989" s="4"/>
    </row>
    <row r="7990" spans="7:7" x14ac:dyDescent="0.3">
      <c r="G7990" s="4"/>
    </row>
    <row r="7991" spans="7:7" x14ac:dyDescent="0.3">
      <c r="G7991" s="4"/>
    </row>
    <row r="7992" spans="7:7" x14ac:dyDescent="0.3">
      <c r="G7992" s="4"/>
    </row>
    <row r="7993" spans="7:7" x14ac:dyDescent="0.3">
      <c r="G7993" s="4"/>
    </row>
    <row r="7994" spans="7:7" x14ac:dyDescent="0.3">
      <c r="G7994" s="4"/>
    </row>
    <row r="7995" spans="7:7" x14ac:dyDescent="0.3">
      <c r="G7995" s="4"/>
    </row>
    <row r="7996" spans="7:7" x14ac:dyDescent="0.3">
      <c r="G7996" s="4"/>
    </row>
    <row r="7997" spans="7:7" x14ac:dyDescent="0.3">
      <c r="G7997" s="4"/>
    </row>
    <row r="7998" spans="7:7" x14ac:dyDescent="0.3">
      <c r="G7998" s="4"/>
    </row>
    <row r="7999" spans="7:7" x14ac:dyDescent="0.3">
      <c r="G7999" s="4"/>
    </row>
    <row r="8000" spans="7:7" x14ac:dyDescent="0.3">
      <c r="G8000" s="4"/>
    </row>
    <row r="8001" spans="7:7" x14ac:dyDescent="0.3">
      <c r="G8001" s="4"/>
    </row>
    <row r="8002" spans="7:7" x14ac:dyDescent="0.3">
      <c r="G8002" s="4"/>
    </row>
    <row r="8003" spans="7:7" x14ac:dyDescent="0.3">
      <c r="G8003" s="4"/>
    </row>
    <row r="8004" spans="7:7" x14ac:dyDescent="0.3">
      <c r="G8004" s="4"/>
    </row>
    <row r="8005" spans="7:7" x14ac:dyDescent="0.3">
      <c r="G8005" s="4"/>
    </row>
    <row r="8006" spans="7:7" x14ac:dyDescent="0.3">
      <c r="G8006" s="4"/>
    </row>
    <row r="8007" spans="7:7" x14ac:dyDescent="0.3">
      <c r="G8007" s="4"/>
    </row>
    <row r="8008" spans="7:7" x14ac:dyDescent="0.3">
      <c r="G8008" s="4"/>
    </row>
    <row r="8009" spans="7:7" x14ac:dyDescent="0.3">
      <c r="G8009" s="4"/>
    </row>
    <row r="8010" spans="7:7" x14ac:dyDescent="0.3">
      <c r="G8010" s="4"/>
    </row>
    <row r="8011" spans="7:7" x14ac:dyDescent="0.3">
      <c r="G8011" s="4"/>
    </row>
    <row r="8012" spans="7:7" x14ac:dyDescent="0.3">
      <c r="G8012" s="4"/>
    </row>
    <row r="8013" spans="7:7" x14ac:dyDescent="0.3">
      <c r="G8013" s="4"/>
    </row>
    <row r="8014" spans="7:7" x14ac:dyDescent="0.3">
      <c r="G8014" s="4"/>
    </row>
    <row r="8015" spans="7:7" x14ac:dyDescent="0.3">
      <c r="G8015" s="4"/>
    </row>
    <row r="8016" spans="7:7" x14ac:dyDescent="0.3">
      <c r="G8016" s="4"/>
    </row>
    <row r="8017" spans="7:7" x14ac:dyDescent="0.3">
      <c r="G8017" s="4"/>
    </row>
    <row r="8018" spans="7:7" x14ac:dyDescent="0.3">
      <c r="G8018" s="4"/>
    </row>
    <row r="8019" spans="7:7" x14ac:dyDescent="0.3">
      <c r="G8019" s="4"/>
    </row>
    <row r="8020" spans="7:7" x14ac:dyDescent="0.3">
      <c r="G8020" s="4"/>
    </row>
    <row r="8021" spans="7:7" x14ac:dyDescent="0.3">
      <c r="G8021" s="4"/>
    </row>
    <row r="8022" spans="7:7" x14ac:dyDescent="0.3">
      <c r="G8022" s="4"/>
    </row>
    <row r="8023" spans="7:7" x14ac:dyDescent="0.3">
      <c r="G8023" s="4"/>
    </row>
    <row r="8024" spans="7:7" x14ac:dyDescent="0.3">
      <c r="G8024" s="4"/>
    </row>
    <row r="8025" spans="7:7" x14ac:dyDescent="0.3">
      <c r="G8025" s="4"/>
    </row>
    <row r="8026" spans="7:7" x14ac:dyDescent="0.3">
      <c r="G8026" s="4"/>
    </row>
    <row r="8027" spans="7:7" x14ac:dyDescent="0.3">
      <c r="G8027" s="4"/>
    </row>
    <row r="8028" spans="7:7" x14ac:dyDescent="0.3">
      <c r="G8028" s="4"/>
    </row>
    <row r="8029" spans="7:7" x14ac:dyDescent="0.3">
      <c r="G8029" s="4"/>
    </row>
    <row r="8030" spans="7:7" x14ac:dyDescent="0.3">
      <c r="G8030" s="4"/>
    </row>
    <row r="8031" spans="7:7" x14ac:dyDescent="0.3">
      <c r="G8031" s="4"/>
    </row>
    <row r="8032" spans="7:7" x14ac:dyDescent="0.3">
      <c r="G8032" s="4"/>
    </row>
    <row r="8033" spans="7:7" x14ac:dyDescent="0.3">
      <c r="G8033" s="4"/>
    </row>
    <row r="8034" spans="7:7" x14ac:dyDescent="0.3">
      <c r="G8034" s="4"/>
    </row>
    <row r="8035" spans="7:7" x14ac:dyDescent="0.3">
      <c r="G8035" s="4"/>
    </row>
    <row r="8036" spans="7:7" x14ac:dyDescent="0.3">
      <c r="G8036" s="4"/>
    </row>
    <row r="8037" spans="7:7" x14ac:dyDescent="0.3">
      <c r="G8037" s="4"/>
    </row>
    <row r="8038" spans="7:7" x14ac:dyDescent="0.3">
      <c r="G8038" s="4"/>
    </row>
    <row r="8039" spans="7:7" x14ac:dyDescent="0.3">
      <c r="G8039" s="4"/>
    </row>
    <row r="8040" spans="7:7" x14ac:dyDescent="0.3">
      <c r="G8040" s="4"/>
    </row>
    <row r="8041" spans="7:7" x14ac:dyDescent="0.3">
      <c r="G8041" s="4"/>
    </row>
    <row r="8042" spans="7:7" x14ac:dyDescent="0.3">
      <c r="G8042" s="4"/>
    </row>
    <row r="8043" spans="7:7" x14ac:dyDescent="0.3">
      <c r="G8043" s="4"/>
    </row>
    <row r="8044" spans="7:7" x14ac:dyDescent="0.3">
      <c r="G8044" s="4"/>
    </row>
    <row r="8045" spans="7:7" x14ac:dyDescent="0.3">
      <c r="G8045" s="4"/>
    </row>
    <row r="8046" spans="7:7" x14ac:dyDescent="0.3">
      <c r="G8046" s="4"/>
    </row>
    <row r="8047" spans="7:7" x14ac:dyDescent="0.3">
      <c r="G8047" s="4"/>
    </row>
    <row r="8048" spans="7:7" x14ac:dyDescent="0.3">
      <c r="G8048" s="4"/>
    </row>
    <row r="8049" spans="7:7" x14ac:dyDescent="0.3">
      <c r="G8049" s="4"/>
    </row>
    <row r="8050" spans="7:7" x14ac:dyDescent="0.3">
      <c r="G8050" s="4"/>
    </row>
    <row r="8051" spans="7:7" x14ac:dyDescent="0.3">
      <c r="G8051" s="4"/>
    </row>
    <row r="8052" spans="7:7" x14ac:dyDescent="0.3">
      <c r="G8052" s="4"/>
    </row>
    <row r="8053" spans="7:7" x14ac:dyDescent="0.3">
      <c r="G8053" s="4"/>
    </row>
    <row r="8054" spans="7:7" x14ac:dyDescent="0.3">
      <c r="G8054" s="4"/>
    </row>
    <row r="8055" spans="7:7" x14ac:dyDescent="0.3">
      <c r="G8055" s="4"/>
    </row>
    <row r="8056" spans="7:7" x14ac:dyDescent="0.3">
      <c r="G8056" s="4"/>
    </row>
    <row r="8057" spans="7:7" x14ac:dyDescent="0.3">
      <c r="G8057" s="4"/>
    </row>
    <row r="8058" spans="7:7" x14ac:dyDescent="0.3">
      <c r="G8058" s="4"/>
    </row>
    <row r="8059" spans="7:7" x14ac:dyDescent="0.3">
      <c r="G8059" s="4"/>
    </row>
    <row r="8060" spans="7:7" x14ac:dyDescent="0.3">
      <c r="G8060" s="4"/>
    </row>
    <row r="8061" spans="7:7" x14ac:dyDescent="0.3">
      <c r="G8061" s="4"/>
    </row>
    <row r="8062" spans="7:7" x14ac:dyDescent="0.3">
      <c r="G8062" s="4"/>
    </row>
    <row r="8063" spans="7:7" x14ac:dyDescent="0.3">
      <c r="G8063" s="4"/>
    </row>
    <row r="8064" spans="7:7" x14ac:dyDescent="0.3">
      <c r="G8064" s="4"/>
    </row>
    <row r="8065" spans="7:7" x14ac:dyDescent="0.3">
      <c r="G8065" s="4"/>
    </row>
    <row r="8066" spans="7:7" x14ac:dyDescent="0.3">
      <c r="G8066" s="4"/>
    </row>
    <row r="8067" spans="7:7" x14ac:dyDescent="0.3">
      <c r="G8067" s="4"/>
    </row>
    <row r="8068" spans="7:7" x14ac:dyDescent="0.3">
      <c r="G8068" s="4"/>
    </row>
    <row r="8069" spans="7:7" x14ac:dyDescent="0.3">
      <c r="G8069" s="4"/>
    </row>
    <row r="8070" spans="7:7" x14ac:dyDescent="0.3">
      <c r="G8070" s="4"/>
    </row>
    <row r="8071" spans="7:7" x14ac:dyDescent="0.3">
      <c r="G8071" s="4"/>
    </row>
    <row r="8072" spans="7:7" x14ac:dyDescent="0.3">
      <c r="G8072" s="4"/>
    </row>
    <row r="8073" spans="7:7" x14ac:dyDescent="0.3">
      <c r="G8073" s="4"/>
    </row>
    <row r="8074" spans="7:7" x14ac:dyDescent="0.3">
      <c r="G8074" s="4"/>
    </row>
    <row r="8075" spans="7:7" x14ac:dyDescent="0.3">
      <c r="G8075" s="4"/>
    </row>
    <row r="8076" spans="7:7" x14ac:dyDescent="0.3">
      <c r="G8076" s="4"/>
    </row>
    <row r="8077" spans="7:7" x14ac:dyDescent="0.3">
      <c r="G8077" s="4"/>
    </row>
    <row r="8078" spans="7:7" x14ac:dyDescent="0.3">
      <c r="G8078" s="4"/>
    </row>
    <row r="8079" spans="7:7" x14ac:dyDescent="0.3">
      <c r="G8079" s="4"/>
    </row>
    <row r="8080" spans="7:7" x14ac:dyDescent="0.3">
      <c r="G8080" s="4"/>
    </row>
    <row r="8081" spans="7:7" x14ac:dyDescent="0.3">
      <c r="G8081" s="4"/>
    </row>
    <row r="8082" spans="7:7" x14ac:dyDescent="0.3">
      <c r="G8082" s="4"/>
    </row>
    <row r="8083" spans="7:7" x14ac:dyDescent="0.3">
      <c r="G8083" s="4"/>
    </row>
    <row r="8084" spans="7:7" x14ac:dyDescent="0.3">
      <c r="G8084" s="4"/>
    </row>
    <row r="8085" spans="7:7" x14ac:dyDescent="0.3">
      <c r="G8085" s="4"/>
    </row>
    <row r="8086" spans="7:7" x14ac:dyDescent="0.3">
      <c r="G8086" s="4"/>
    </row>
    <row r="8087" spans="7:7" x14ac:dyDescent="0.3">
      <c r="G8087" s="4"/>
    </row>
    <row r="8088" spans="7:7" x14ac:dyDescent="0.3">
      <c r="G8088" s="4"/>
    </row>
    <row r="8089" spans="7:7" x14ac:dyDescent="0.3">
      <c r="G8089" s="4"/>
    </row>
    <row r="8090" spans="7:7" x14ac:dyDescent="0.3">
      <c r="G8090" s="4"/>
    </row>
    <row r="8091" spans="7:7" x14ac:dyDescent="0.3">
      <c r="G8091" s="4"/>
    </row>
    <row r="8092" spans="7:7" x14ac:dyDescent="0.3">
      <c r="G8092" s="4"/>
    </row>
    <row r="8093" spans="7:7" x14ac:dyDescent="0.3">
      <c r="G8093" s="4"/>
    </row>
    <row r="8094" spans="7:7" x14ac:dyDescent="0.3">
      <c r="G8094" s="4"/>
    </row>
    <row r="8095" spans="7:7" x14ac:dyDescent="0.3">
      <c r="G8095" s="4"/>
    </row>
    <row r="8096" spans="7:7" x14ac:dyDescent="0.3">
      <c r="G8096" s="4"/>
    </row>
    <row r="8097" spans="7:7" x14ac:dyDescent="0.3">
      <c r="G8097" s="4"/>
    </row>
    <row r="8098" spans="7:7" x14ac:dyDescent="0.3">
      <c r="G8098" s="4"/>
    </row>
    <row r="8099" spans="7:7" x14ac:dyDescent="0.3">
      <c r="G8099" s="4"/>
    </row>
    <row r="8100" spans="7:7" x14ac:dyDescent="0.3">
      <c r="G8100" s="4"/>
    </row>
    <row r="8101" spans="7:7" x14ac:dyDescent="0.3">
      <c r="G8101" s="4"/>
    </row>
    <row r="8102" spans="7:7" x14ac:dyDescent="0.3">
      <c r="G8102" s="4"/>
    </row>
    <row r="8103" spans="7:7" x14ac:dyDescent="0.3">
      <c r="G8103" s="4"/>
    </row>
    <row r="8104" spans="7:7" x14ac:dyDescent="0.3">
      <c r="G8104" s="4"/>
    </row>
    <row r="8105" spans="7:7" x14ac:dyDescent="0.3">
      <c r="G8105" s="4"/>
    </row>
    <row r="8106" spans="7:7" x14ac:dyDescent="0.3">
      <c r="G8106" s="4"/>
    </row>
    <row r="8107" spans="7:7" x14ac:dyDescent="0.3">
      <c r="G8107" s="4"/>
    </row>
    <row r="8108" spans="7:7" x14ac:dyDescent="0.3">
      <c r="G8108" s="4"/>
    </row>
    <row r="8109" spans="7:7" x14ac:dyDescent="0.3">
      <c r="G8109" s="4"/>
    </row>
    <row r="8110" spans="7:7" x14ac:dyDescent="0.3">
      <c r="G8110" s="4"/>
    </row>
    <row r="8111" spans="7:7" x14ac:dyDescent="0.3">
      <c r="G8111" s="4"/>
    </row>
    <row r="8112" spans="7:7" x14ac:dyDescent="0.3">
      <c r="G8112" s="4"/>
    </row>
    <row r="8113" spans="7:7" x14ac:dyDescent="0.3">
      <c r="G8113" s="4"/>
    </row>
    <row r="8114" spans="7:7" x14ac:dyDescent="0.3">
      <c r="G8114" s="4"/>
    </row>
    <row r="8115" spans="7:7" x14ac:dyDescent="0.3">
      <c r="G8115" s="4"/>
    </row>
    <row r="8116" spans="7:7" x14ac:dyDescent="0.3">
      <c r="G8116" s="4"/>
    </row>
    <row r="8117" spans="7:7" x14ac:dyDescent="0.3">
      <c r="G8117" s="4"/>
    </row>
    <row r="8118" spans="7:7" x14ac:dyDescent="0.3">
      <c r="G8118" s="4"/>
    </row>
    <row r="8119" spans="7:7" x14ac:dyDescent="0.3">
      <c r="G8119" s="4"/>
    </row>
    <row r="8120" spans="7:7" x14ac:dyDescent="0.3">
      <c r="G8120" s="4"/>
    </row>
    <row r="8121" spans="7:7" x14ac:dyDescent="0.3">
      <c r="G8121" s="4"/>
    </row>
    <row r="8122" spans="7:7" x14ac:dyDescent="0.3">
      <c r="G8122" s="4"/>
    </row>
    <row r="8123" spans="7:7" x14ac:dyDescent="0.3">
      <c r="G8123" s="4"/>
    </row>
    <row r="8124" spans="7:7" x14ac:dyDescent="0.3">
      <c r="G8124" s="4"/>
    </row>
    <row r="8125" spans="7:7" x14ac:dyDescent="0.3">
      <c r="G8125" s="4"/>
    </row>
    <row r="8126" spans="7:7" x14ac:dyDescent="0.3">
      <c r="G8126" s="4"/>
    </row>
    <row r="8127" spans="7:7" x14ac:dyDescent="0.3">
      <c r="G8127" s="4"/>
    </row>
    <row r="8128" spans="7:7" x14ac:dyDescent="0.3">
      <c r="G8128" s="4"/>
    </row>
    <row r="8129" spans="7:7" x14ac:dyDescent="0.3">
      <c r="G8129" s="4"/>
    </row>
    <row r="8130" spans="7:7" x14ac:dyDescent="0.3">
      <c r="G8130" s="4"/>
    </row>
    <row r="8131" spans="7:7" x14ac:dyDescent="0.3">
      <c r="G8131" s="4"/>
    </row>
    <row r="8132" spans="7:7" x14ac:dyDescent="0.3">
      <c r="G8132" s="4"/>
    </row>
    <row r="8133" spans="7:7" x14ac:dyDescent="0.3">
      <c r="G8133" s="4"/>
    </row>
    <row r="8134" spans="7:7" x14ac:dyDescent="0.3">
      <c r="G8134" s="4"/>
    </row>
    <row r="8135" spans="7:7" x14ac:dyDescent="0.3">
      <c r="G8135" s="4"/>
    </row>
    <row r="8136" spans="7:7" x14ac:dyDescent="0.3">
      <c r="G8136" s="4"/>
    </row>
    <row r="8137" spans="7:7" x14ac:dyDescent="0.3">
      <c r="G8137" s="4"/>
    </row>
    <row r="8138" spans="7:7" x14ac:dyDescent="0.3">
      <c r="G8138" s="4"/>
    </row>
    <row r="8139" spans="7:7" x14ac:dyDescent="0.3">
      <c r="G8139" s="4"/>
    </row>
    <row r="8140" spans="7:7" x14ac:dyDescent="0.3">
      <c r="G8140" s="4"/>
    </row>
    <row r="8141" spans="7:7" x14ac:dyDescent="0.3">
      <c r="G8141" s="4"/>
    </row>
    <row r="8142" spans="7:7" x14ac:dyDescent="0.3">
      <c r="G8142" s="4"/>
    </row>
    <row r="8143" spans="7:7" x14ac:dyDescent="0.3">
      <c r="G8143" s="4"/>
    </row>
    <row r="8144" spans="7:7" x14ac:dyDescent="0.3">
      <c r="G8144" s="4"/>
    </row>
    <row r="8145" spans="7:7" x14ac:dyDescent="0.3">
      <c r="G8145" s="4"/>
    </row>
    <row r="8146" spans="7:7" x14ac:dyDescent="0.3">
      <c r="G8146" s="4"/>
    </row>
    <row r="8147" spans="7:7" x14ac:dyDescent="0.3">
      <c r="G8147" s="4"/>
    </row>
    <row r="8148" spans="7:7" x14ac:dyDescent="0.3">
      <c r="G8148" s="4"/>
    </row>
    <row r="8149" spans="7:7" x14ac:dyDescent="0.3">
      <c r="G8149" s="4"/>
    </row>
    <row r="8150" spans="7:7" x14ac:dyDescent="0.3">
      <c r="G8150" s="4"/>
    </row>
    <row r="8151" spans="7:7" x14ac:dyDescent="0.3">
      <c r="G8151" s="4"/>
    </row>
    <row r="8152" spans="7:7" x14ac:dyDescent="0.3">
      <c r="G8152" s="4"/>
    </row>
    <row r="8153" spans="7:7" x14ac:dyDescent="0.3">
      <c r="G8153" s="4"/>
    </row>
    <row r="8154" spans="7:7" x14ac:dyDescent="0.3">
      <c r="G8154" s="4"/>
    </row>
    <row r="8155" spans="7:7" x14ac:dyDescent="0.3">
      <c r="G8155" s="4"/>
    </row>
    <row r="8156" spans="7:7" x14ac:dyDescent="0.3">
      <c r="G8156" s="4"/>
    </row>
    <row r="8157" spans="7:7" x14ac:dyDescent="0.3">
      <c r="G8157" s="4"/>
    </row>
    <row r="8158" spans="7:7" x14ac:dyDescent="0.3">
      <c r="G8158" s="4"/>
    </row>
    <row r="8159" spans="7:7" x14ac:dyDescent="0.3">
      <c r="G8159" s="4"/>
    </row>
    <row r="8160" spans="7:7" x14ac:dyDescent="0.3">
      <c r="G8160" s="4"/>
    </row>
    <row r="8161" spans="7:7" x14ac:dyDescent="0.3">
      <c r="G8161" s="4"/>
    </row>
    <row r="8162" spans="7:7" x14ac:dyDescent="0.3">
      <c r="G8162" s="4"/>
    </row>
    <row r="8163" spans="7:7" x14ac:dyDescent="0.3">
      <c r="G8163" s="4"/>
    </row>
    <row r="8164" spans="7:7" x14ac:dyDescent="0.3">
      <c r="G8164" s="4"/>
    </row>
    <row r="8165" spans="7:7" x14ac:dyDescent="0.3">
      <c r="G8165" s="4"/>
    </row>
    <row r="8166" spans="7:7" x14ac:dyDescent="0.3">
      <c r="G8166" s="4"/>
    </row>
    <row r="8167" spans="7:7" x14ac:dyDescent="0.3">
      <c r="G8167" s="4"/>
    </row>
    <row r="8168" spans="7:7" x14ac:dyDescent="0.3">
      <c r="G8168" s="4"/>
    </row>
    <row r="8169" spans="7:7" x14ac:dyDescent="0.3">
      <c r="G8169" s="4"/>
    </row>
    <row r="8170" spans="7:7" x14ac:dyDescent="0.3">
      <c r="G8170" s="4"/>
    </row>
    <row r="8171" spans="7:7" x14ac:dyDescent="0.3">
      <c r="G8171" s="4"/>
    </row>
    <row r="8172" spans="7:7" x14ac:dyDescent="0.3">
      <c r="G8172" s="4"/>
    </row>
    <row r="8173" spans="7:7" x14ac:dyDescent="0.3">
      <c r="G8173" s="4"/>
    </row>
    <row r="8174" spans="7:7" x14ac:dyDescent="0.3">
      <c r="G8174" s="4"/>
    </row>
    <row r="8175" spans="7:7" x14ac:dyDescent="0.3">
      <c r="G8175" s="4"/>
    </row>
    <row r="8176" spans="7:7" x14ac:dyDescent="0.3">
      <c r="G8176" s="4"/>
    </row>
    <row r="8177" spans="7:7" x14ac:dyDescent="0.3">
      <c r="G8177" s="4"/>
    </row>
    <row r="8178" spans="7:7" x14ac:dyDescent="0.3">
      <c r="G8178" s="4"/>
    </row>
    <row r="8179" spans="7:7" x14ac:dyDescent="0.3">
      <c r="G8179" s="4"/>
    </row>
    <row r="8180" spans="7:7" x14ac:dyDescent="0.3">
      <c r="G8180" s="4"/>
    </row>
    <row r="8181" spans="7:7" x14ac:dyDescent="0.3">
      <c r="G8181" s="4"/>
    </row>
    <row r="8182" spans="7:7" x14ac:dyDescent="0.3">
      <c r="G8182" s="4"/>
    </row>
    <row r="8183" spans="7:7" x14ac:dyDescent="0.3">
      <c r="G8183" s="4"/>
    </row>
    <row r="8184" spans="7:7" x14ac:dyDescent="0.3">
      <c r="G8184" s="4"/>
    </row>
    <row r="8185" spans="7:7" x14ac:dyDescent="0.3">
      <c r="G8185" s="4"/>
    </row>
    <row r="8186" spans="7:7" x14ac:dyDescent="0.3">
      <c r="G8186" s="4"/>
    </row>
    <row r="8187" spans="7:7" x14ac:dyDescent="0.3">
      <c r="G8187" s="4"/>
    </row>
    <row r="8188" spans="7:7" x14ac:dyDescent="0.3">
      <c r="G8188" s="4"/>
    </row>
    <row r="8189" spans="7:7" x14ac:dyDescent="0.3">
      <c r="G8189" s="4"/>
    </row>
    <row r="8190" spans="7:7" x14ac:dyDescent="0.3">
      <c r="G8190" s="4"/>
    </row>
    <row r="8191" spans="7:7" x14ac:dyDescent="0.3">
      <c r="G8191" s="4"/>
    </row>
    <row r="8192" spans="7:7" x14ac:dyDescent="0.3">
      <c r="G8192" s="4"/>
    </row>
    <row r="8193" spans="7:7" x14ac:dyDescent="0.3">
      <c r="G8193" s="4"/>
    </row>
    <row r="8194" spans="7:7" x14ac:dyDescent="0.3">
      <c r="G8194" s="4"/>
    </row>
    <row r="8195" spans="7:7" x14ac:dyDescent="0.3">
      <c r="G8195" s="4"/>
    </row>
    <row r="8196" spans="7:7" x14ac:dyDescent="0.3">
      <c r="G8196" s="4"/>
    </row>
    <row r="8197" spans="7:7" x14ac:dyDescent="0.3">
      <c r="G8197" s="4"/>
    </row>
    <row r="8198" spans="7:7" x14ac:dyDescent="0.3">
      <c r="G8198" s="4"/>
    </row>
    <row r="8199" spans="7:7" x14ac:dyDescent="0.3">
      <c r="G8199" s="4"/>
    </row>
    <row r="8200" spans="7:7" x14ac:dyDescent="0.3">
      <c r="G8200" s="4"/>
    </row>
    <row r="8201" spans="7:7" x14ac:dyDescent="0.3">
      <c r="G8201" s="4"/>
    </row>
    <row r="8202" spans="7:7" x14ac:dyDescent="0.3">
      <c r="G8202" s="4"/>
    </row>
    <row r="8203" spans="7:7" x14ac:dyDescent="0.3">
      <c r="G8203" s="4"/>
    </row>
    <row r="8204" spans="7:7" x14ac:dyDescent="0.3">
      <c r="G8204" s="4"/>
    </row>
    <row r="8205" spans="7:7" x14ac:dyDescent="0.3">
      <c r="G8205" s="4"/>
    </row>
    <row r="8206" spans="7:7" x14ac:dyDescent="0.3">
      <c r="G8206" s="4"/>
    </row>
    <row r="8207" spans="7:7" x14ac:dyDescent="0.3">
      <c r="G8207" s="4"/>
    </row>
    <row r="8208" spans="7:7" x14ac:dyDescent="0.3">
      <c r="G8208" s="4"/>
    </row>
    <row r="8209" spans="7:7" x14ac:dyDescent="0.3">
      <c r="G8209" s="4"/>
    </row>
    <row r="8210" spans="7:7" x14ac:dyDescent="0.3">
      <c r="G8210" s="4"/>
    </row>
    <row r="8211" spans="7:7" x14ac:dyDescent="0.3">
      <c r="G8211" s="4"/>
    </row>
    <row r="8212" spans="7:7" x14ac:dyDescent="0.3">
      <c r="G8212" s="4"/>
    </row>
    <row r="8213" spans="7:7" x14ac:dyDescent="0.3">
      <c r="G8213" s="4"/>
    </row>
    <row r="8214" spans="7:7" x14ac:dyDescent="0.3">
      <c r="G8214" s="4"/>
    </row>
    <row r="8215" spans="7:7" x14ac:dyDescent="0.3">
      <c r="G8215" s="4"/>
    </row>
    <row r="8216" spans="7:7" x14ac:dyDescent="0.3">
      <c r="G8216" s="4"/>
    </row>
    <row r="8217" spans="7:7" x14ac:dyDescent="0.3">
      <c r="G8217" s="4"/>
    </row>
    <row r="8218" spans="7:7" x14ac:dyDescent="0.3">
      <c r="G8218" s="4"/>
    </row>
    <row r="8219" spans="7:7" x14ac:dyDescent="0.3">
      <c r="G8219" s="4"/>
    </row>
    <row r="8220" spans="7:7" x14ac:dyDescent="0.3">
      <c r="G8220" s="4"/>
    </row>
    <row r="8221" spans="7:7" x14ac:dyDescent="0.3">
      <c r="G8221" s="4"/>
    </row>
    <row r="8222" spans="7:7" x14ac:dyDescent="0.3">
      <c r="G8222" s="4"/>
    </row>
    <row r="8223" spans="7:7" x14ac:dyDescent="0.3">
      <c r="G8223" s="4"/>
    </row>
    <row r="8224" spans="7:7" x14ac:dyDescent="0.3">
      <c r="G8224" s="4"/>
    </row>
    <row r="8225" spans="7:7" x14ac:dyDescent="0.3">
      <c r="G8225" s="4"/>
    </row>
    <row r="8226" spans="7:7" x14ac:dyDescent="0.3">
      <c r="G8226" s="4"/>
    </row>
    <row r="8227" spans="7:7" x14ac:dyDescent="0.3">
      <c r="G8227" s="4"/>
    </row>
    <row r="8228" spans="7:7" x14ac:dyDescent="0.3">
      <c r="G8228" s="4"/>
    </row>
    <row r="8229" spans="7:7" x14ac:dyDescent="0.3">
      <c r="G8229" s="4"/>
    </row>
    <row r="8230" spans="7:7" x14ac:dyDescent="0.3">
      <c r="G8230" s="4"/>
    </row>
    <row r="8231" spans="7:7" x14ac:dyDescent="0.3">
      <c r="G8231" s="4"/>
    </row>
    <row r="8232" spans="7:7" x14ac:dyDescent="0.3">
      <c r="G8232" s="4"/>
    </row>
    <row r="8233" spans="7:7" x14ac:dyDescent="0.3">
      <c r="G8233" s="4"/>
    </row>
    <row r="8234" spans="7:7" x14ac:dyDescent="0.3">
      <c r="G8234" s="4"/>
    </row>
    <row r="8235" spans="7:7" x14ac:dyDescent="0.3">
      <c r="G8235" s="4"/>
    </row>
    <row r="8236" spans="7:7" x14ac:dyDescent="0.3">
      <c r="G8236" s="4"/>
    </row>
    <row r="8237" spans="7:7" x14ac:dyDescent="0.3">
      <c r="G8237" s="4"/>
    </row>
    <row r="8238" spans="7:7" x14ac:dyDescent="0.3">
      <c r="G8238" s="4"/>
    </row>
    <row r="8239" spans="7:7" x14ac:dyDescent="0.3">
      <c r="G8239" s="4"/>
    </row>
    <row r="8240" spans="7:7" x14ac:dyDescent="0.3">
      <c r="G8240" s="4"/>
    </row>
    <row r="8241" spans="7:7" x14ac:dyDescent="0.3">
      <c r="G8241" s="4"/>
    </row>
    <row r="8242" spans="7:7" x14ac:dyDescent="0.3">
      <c r="G8242" s="4"/>
    </row>
    <row r="8243" spans="7:7" x14ac:dyDescent="0.3">
      <c r="G8243" s="4"/>
    </row>
    <row r="8244" spans="7:7" x14ac:dyDescent="0.3">
      <c r="G8244" s="4"/>
    </row>
    <row r="8245" spans="7:7" x14ac:dyDescent="0.3">
      <c r="G8245" s="4"/>
    </row>
    <row r="8246" spans="7:7" x14ac:dyDescent="0.3">
      <c r="G8246" s="4"/>
    </row>
    <row r="8247" spans="7:7" x14ac:dyDescent="0.3">
      <c r="G8247" s="4"/>
    </row>
    <row r="8248" spans="7:7" x14ac:dyDescent="0.3">
      <c r="G8248" s="4"/>
    </row>
    <row r="8249" spans="7:7" x14ac:dyDescent="0.3">
      <c r="G8249" s="4"/>
    </row>
    <row r="8250" spans="7:7" x14ac:dyDescent="0.3">
      <c r="G8250" s="4"/>
    </row>
    <row r="8251" spans="7:7" x14ac:dyDescent="0.3">
      <c r="G8251" s="4"/>
    </row>
    <row r="8252" spans="7:7" x14ac:dyDescent="0.3">
      <c r="G8252" s="4"/>
    </row>
    <row r="8253" spans="7:7" x14ac:dyDescent="0.3">
      <c r="G8253" s="4"/>
    </row>
    <row r="8254" spans="7:7" x14ac:dyDescent="0.3">
      <c r="G8254" s="4"/>
    </row>
    <row r="8255" spans="7:7" x14ac:dyDescent="0.3">
      <c r="G8255" s="4"/>
    </row>
    <row r="8256" spans="7:7" x14ac:dyDescent="0.3">
      <c r="G8256" s="4"/>
    </row>
    <row r="8257" spans="7:7" x14ac:dyDescent="0.3">
      <c r="G8257" s="4"/>
    </row>
    <row r="8258" spans="7:7" x14ac:dyDescent="0.3">
      <c r="G8258" s="4"/>
    </row>
    <row r="8259" spans="7:7" x14ac:dyDescent="0.3">
      <c r="G8259" s="4"/>
    </row>
    <row r="8260" spans="7:7" x14ac:dyDescent="0.3">
      <c r="G8260" s="4"/>
    </row>
    <row r="8261" spans="7:7" x14ac:dyDescent="0.3">
      <c r="G8261" s="4"/>
    </row>
    <row r="8262" spans="7:7" x14ac:dyDescent="0.3">
      <c r="G8262" s="4"/>
    </row>
    <row r="8263" spans="7:7" x14ac:dyDescent="0.3">
      <c r="G8263" s="4"/>
    </row>
    <row r="8264" spans="7:7" x14ac:dyDescent="0.3">
      <c r="G8264" s="4"/>
    </row>
    <row r="8265" spans="7:7" x14ac:dyDescent="0.3">
      <c r="G8265" s="4"/>
    </row>
    <row r="8266" spans="7:7" x14ac:dyDescent="0.3">
      <c r="G8266" s="4"/>
    </row>
    <row r="8267" spans="7:7" x14ac:dyDescent="0.3">
      <c r="G8267" s="4"/>
    </row>
    <row r="8268" spans="7:7" x14ac:dyDescent="0.3">
      <c r="G8268" s="4"/>
    </row>
    <row r="8269" spans="7:7" x14ac:dyDescent="0.3">
      <c r="G8269" s="4"/>
    </row>
    <row r="8270" spans="7:7" x14ac:dyDescent="0.3">
      <c r="G8270" s="4"/>
    </row>
    <row r="8271" spans="7:7" x14ac:dyDescent="0.3">
      <c r="G8271" s="4"/>
    </row>
    <row r="8272" spans="7:7" x14ac:dyDescent="0.3">
      <c r="G8272" s="4"/>
    </row>
    <row r="8273" spans="7:7" x14ac:dyDescent="0.3">
      <c r="G8273" s="4"/>
    </row>
    <row r="8274" spans="7:7" x14ac:dyDescent="0.3">
      <c r="G8274" s="4"/>
    </row>
    <row r="8275" spans="7:7" x14ac:dyDescent="0.3">
      <c r="G8275" s="4"/>
    </row>
    <row r="8276" spans="7:7" x14ac:dyDescent="0.3">
      <c r="G8276" s="4"/>
    </row>
    <row r="8277" spans="7:7" x14ac:dyDescent="0.3">
      <c r="G8277" s="4"/>
    </row>
    <row r="8278" spans="7:7" x14ac:dyDescent="0.3">
      <c r="G8278" s="4"/>
    </row>
    <row r="8279" spans="7:7" x14ac:dyDescent="0.3">
      <c r="G8279" s="4"/>
    </row>
    <row r="8280" spans="7:7" x14ac:dyDescent="0.3">
      <c r="G8280" s="4"/>
    </row>
    <row r="8281" spans="7:7" x14ac:dyDescent="0.3">
      <c r="G8281" s="4"/>
    </row>
    <row r="8282" spans="7:7" x14ac:dyDescent="0.3">
      <c r="G8282" s="4"/>
    </row>
    <row r="8283" spans="7:7" x14ac:dyDescent="0.3">
      <c r="G8283" s="4"/>
    </row>
    <row r="8284" spans="7:7" x14ac:dyDescent="0.3">
      <c r="G8284" s="4"/>
    </row>
    <row r="8285" spans="7:7" x14ac:dyDescent="0.3">
      <c r="G8285" s="4"/>
    </row>
    <row r="8286" spans="7:7" x14ac:dyDescent="0.3">
      <c r="G8286" s="4"/>
    </row>
    <row r="8287" spans="7:7" x14ac:dyDescent="0.3">
      <c r="G8287" s="4"/>
    </row>
    <row r="8288" spans="7:7" x14ac:dyDescent="0.3">
      <c r="G8288" s="4"/>
    </row>
    <row r="8289" spans="7:7" x14ac:dyDescent="0.3">
      <c r="G8289" s="4"/>
    </row>
    <row r="8290" spans="7:7" x14ac:dyDescent="0.3">
      <c r="G8290" s="4"/>
    </row>
    <row r="8291" spans="7:7" x14ac:dyDescent="0.3">
      <c r="G8291" s="4"/>
    </row>
    <row r="8292" spans="7:7" x14ac:dyDescent="0.3">
      <c r="G8292" s="4"/>
    </row>
    <row r="8293" spans="7:7" x14ac:dyDescent="0.3">
      <c r="G8293" s="4"/>
    </row>
    <row r="8294" spans="7:7" x14ac:dyDescent="0.3">
      <c r="G8294" s="4"/>
    </row>
    <row r="8295" spans="7:7" x14ac:dyDescent="0.3">
      <c r="G8295" s="4"/>
    </row>
    <row r="8296" spans="7:7" x14ac:dyDescent="0.3">
      <c r="G8296" s="4"/>
    </row>
    <row r="8297" spans="7:7" x14ac:dyDescent="0.3">
      <c r="G8297" s="4"/>
    </row>
    <row r="8298" spans="7:7" x14ac:dyDescent="0.3">
      <c r="G8298" s="4"/>
    </row>
    <row r="8299" spans="7:7" x14ac:dyDescent="0.3">
      <c r="G8299" s="4"/>
    </row>
    <row r="8300" spans="7:7" x14ac:dyDescent="0.3">
      <c r="G8300" s="4"/>
    </row>
    <row r="8301" spans="7:7" x14ac:dyDescent="0.3">
      <c r="G8301" s="4"/>
    </row>
    <row r="8302" spans="7:7" x14ac:dyDescent="0.3">
      <c r="G8302" s="4"/>
    </row>
    <row r="8303" spans="7:7" x14ac:dyDescent="0.3">
      <c r="G8303" s="4"/>
    </row>
    <row r="8304" spans="7:7" x14ac:dyDescent="0.3">
      <c r="G8304" s="4"/>
    </row>
    <row r="8305" spans="7:7" x14ac:dyDescent="0.3">
      <c r="G8305" s="4"/>
    </row>
    <row r="8306" spans="7:7" x14ac:dyDescent="0.3">
      <c r="G8306" s="4"/>
    </row>
    <row r="8307" spans="7:7" x14ac:dyDescent="0.3">
      <c r="G8307" s="4"/>
    </row>
    <row r="8308" spans="7:7" x14ac:dyDescent="0.3">
      <c r="G8308" s="4"/>
    </row>
    <row r="8309" spans="7:7" x14ac:dyDescent="0.3">
      <c r="G8309" s="4"/>
    </row>
    <row r="8310" spans="7:7" x14ac:dyDescent="0.3">
      <c r="G8310" s="4"/>
    </row>
    <row r="8311" spans="7:7" x14ac:dyDescent="0.3">
      <c r="G8311" s="4"/>
    </row>
    <row r="8312" spans="7:7" x14ac:dyDescent="0.3">
      <c r="G8312" s="4"/>
    </row>
    <row r="8313" spans="7:7" x14ac:dyDescent="0.3">
      <c r="G8313" s="4"/>
    </row>
    <row r="8314" spans="7:7" x14ac:dyDescent="0.3">
      <c r="G8314" s="4"/>
    </row>
    <row r="8315" spans="7:7" x14ac:dyDescent="0.3">
      <c r="G8315" s="4"/>
    </row>
    <row r="8316" spans="7:7" x14ac:dyDescent="0.3">
      <c r="G8316" s="4"/>
    </row>
    <row r="8317" spans="7:7" x14ac:dyDescent="0.3">
      <c r="G8317" s="4"/>
    </row>
    <row r="8318" spans="7:7" x14ac:dyDescent="0.3">
      <c r="G8318" s="4"/>
    </row>
    <row r="8319" spans="7:7" x14ac:dyDescent="0.3">
      <c r="G8319" s="4"/>
    </row>
    <row r="8320" spans="7:7" x14ac:dyDescent="0.3">
      <c r="G8320" s="4"/>
    </row>
    <row r="8321" spans="7:7" x14ac:dyDescent="0.3">
      <c r="G8321" s="4"/>
    </row>
    <row r="8322" spans="7:7" x14ac:dyDescent="0.3">
      <c r="G8322" s="4"/>
    </row>
    <row r="8323" spans="7:7" x14ac:dyDescent="0.3">
      <c r="G8323" s="4"/>
    </row>
    <row r="8324" spans="7:7" x14ac:dyDescent="0.3">
      <c r="G8324" s="4"/>
    </row>
    <row r="8325" spans="7:7" x14ac:dyDescent="0.3">
      <c r="G8325" s="4"/>
    </row>
    <row r="8326" spans="7:7" x14ac:dyDescent="0.3">
      <c r="G8326" s="4"/>
    </row>
    <row r="8327" spans="7:7" x14ac:dyDescent="0.3">
      <c r="G8327" s="4"/>
    </row>
    <row r="8328" spans="7:7" x14ac:dyDescent="0.3">
      <c r="G8328" s="4"/>
    </row>
    <row r="8329" spans="7:7" x14ac:dyDescent="0.3">
      <c r="G8329" s="4"/>
    </row>
    <row r="8330" spans="7:7" x14ac:dyDescent="0.3">
      <c r="G8330" s="4"/>
    </row>
    <row r="8331" spans="7:7" x14ac:dyDescent="0.3">
      <c r="G8331" s="4"/>
    </row>
    <row r="8332" spans="7:7" x14ac:dyDescent="0.3">
      <c r="G8332" s="4"/>
    </row>
    <row r="8333" spans="7:7" x14ac:dyDescent="0.3">
      <c r="G8333" s="4"/>
    </row>
    <row r="8334" spans="7:7" x14ac:dyDescent="0.3">
      <c r="G8334" s="4"/>
    </row>
    <row r="8335" spans="7:7" x14ac:dyDescent="0.3">
      <c r="G8335" s="4"/>
    </row>
    <row r="8336" spans="7:7" x14ac:dyDescent="0.3">
      <c r="G8336" s="4"/>
    </row>
    <row r="8337" spans="7:7" x14ac:dyDescent="0.3">
      <c r="G8337" s="4"/>
    </row>
    <row r="8338" spans="7:7" x14ac:dyDescent="0.3">
      <c r="G8338" s="4"/>
    </row>
    <row r="8339" spans="7:7" x14ac:dyDescent="0.3">
      <c r="G8339" s="4"/>
    </row>
    <row r="8340" spans="7:7" x14ac:dyDescent="0.3">
      <c r="G8340" s="4"/>
    </row>
    <row r="8341" spans="7:7" x14ac:dyDescent="0.3">
      <c r="G8341" s="4"/>
    </row>
    <row r="8342" spans="7:7" x14ac:dyDescent="0.3">
      <c r="G8342" s="4"/>
    </row>
    <row r="8343" spans="7:7" x14ac:dyDescent="0.3">
      <c r="G8343" s="4"/>
    </row>
    <row r="8344" spans="7:7" x14ac:dyDescent="0.3">
      <c r="G8344" s="4"/>
    </row>
    <row r="8345" spans="7:7" x14ac:dyDescent="0.3">
      <c r="G8345" s="4"/>
    </row>
    <row r="8346" spans="7:7" x14ac:dyDescent="0.3">
      <c r="G8346" s="4"/>
    </row>
    <row r="8347" spans="7:7" x14ac:dyDescent="0.3">
      <c r="G8347" s="4"/>
    </row>
    <row r="8348" spans="7:7" x14ac:dyDescent="0.3">
      <c r="G8348" s="4"/>
    </row>
    <row r="8349" spans="7:7" x14ac:dyDescent="0.3">
      <c r="G8349" s="4"/>
    </row>
    <row r="8350" spans="7:7" x14ac:dyDescent="0.3">
      <c r="G8350" s="4"/>
    </row>
    <row r="8351" spans="7:7" x14ac:dyDescent="0.3">
      <c r="G8351" s="4"/>
    </row>
    <row r="8352" spans="7:7" x14ac:dyDescent="0.3">
      <c r="G8352" s="4"/>
    </row>
  </sheetData>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9">
    <tabColor theme="9" tint="-0.249977111117893"/>
  </sheetPr>
  <dimension ref="A1:F1194"/>
  <sheetViews>
    <sheetView workbookViewId="0"/>
  </sheetViews>
  <sheetFormatPr baseColWidth="10" defaultColWidth="8.88671875" defaultRowHeight="14.4" x14ac:dyDescent="0.3"/>
  <cols>
    <col min="1" max="1" width="11" bestFit="1" customWidth="1"/>
    <col min="3" max="3" width="18.21875" customWidth="1"/>
    <col min="4" max="4" width="9.109375" bestFit="1" customWidth="1"/>
    <col min="6" max="6" width="11.5546875" customWidth="1"/>
  </cols>
  <sheetData>
    <row r="1" spans="1:6" ht="28.8" customHeight="1" x14ac:dyDescent="0.3">
      <c r="A1" s="2" t="s">
        <v>142</v>
      </c>
      <c r="B1" s="2" t="s">
        <v>90</v>
      </c>
      <c r="C1" s="2" t="s">
        <v>139</v>
      </c>
      <c r="D1" s="2" t="s">
        <v>52</v>
      </c>
      <c r="E1" s="2" t="s">
        <v>143</v>
      </c>
      <c r="F1" s="2" t="s">
        <v>151</v>
      </c>
    </row>
    <row r="2" spans="1:6" x14ac:dyDescent="0.3">
      <c r="A2" t="str">
        <f>PARAMS_MODELO!$B$3</f>
        <v>2025-Q3</v>
      </c>
      <c r="B2">
        <f>CALCULOS_AGENCIA!$A2</f>
        <v>51015525</v>
      </c>
      <c r="C2">
        <f>CALCULOS_AGENCIA!$U2</f>
        <v>60.346133037725252</v>
      </c>
      <c r="D2" t="str">
        <f>CALCULOS_AGENCIA!$V2</f>
        <v>PLATA</v>
      </c>
      <c r="E2">
        <f>CALCULOS_AGENCIA!$AA2</f>
        <v>611</v>
      </c>
      <c r="F2" s="3">
        <f t="shared" ref="F2:F65" ca="1" si="0">TODAY()</f>
        <v>46087</v>
      </c>
    </row>
    <row r="3" spans="1:6" x14ac:dyDescent="0.3">
      <c r="A3" t="str">
        <f>PARAMS_MODELO!$B$3</f>
        <v>2025-Q3</v>
      </c>
      <c r="B3">
        <f>CALCULOS_AGENCIA!$A3</f>
        <v>51017790</v>
      </c>
      <c r="C3">
        <f>CALCULOS_AGENCIA!$U3</f>
        <v>79.63970142745957</v>
      </c>
      <c r="D3" t="str">
        <f>CALCULOS_AGENCIA!$V3</f>
        <v>ORO</v>
      </c>
      <c r="E3">
        <f>CALCULOS_AGENCIA!$AA3</f>
        <v>445</v>
      </c>
      <c r="F3" s="3">
        <f t="shared" ca="1" si="0"/>
        <v>46087</v>
      </c>
    </row>
    <row r="4" spans="1:6" x14ac:dyDescent="0.3">
      <c r="A4" t="str">
        <f>PARAMS_MODELO!$B$3</f>
        <v>2025-Q3</v>
      </c>
      <c r="B4">
        <f>CALCULOS_AGENCIA!$A4</f>
        <v>51023871</v>
      </c>
      <c r="C4">
        <f>CALCULOS_AGENCIA!$U4</f>
        <v>81.991482854307321</v>
      </c>
      <c r="D4" t="str">
        <f>CALCULOS_AGENCIA!$V4</f>
        <v>ORO</v>
      </c>
      <c r="E4">
        <f>CALCULOS_AGENCIA!$AA4</f>
        <v>387</v>
      </c>
      <c r="F4" s="3">
        <f t="shared" ca="1" si="0"/>
        <v>46087</v>
      </c>
    </row>
    <row r="5" spans="1:6" x14ac:dyDescent="0.3">
      <c r="A5" t="str">
        <f>PARAMS_MODELO!$B$3</f>
        <v>2025-Q3</v>
      </c>
      <c r="B5">
        <f>CALCULOS_AGENCIA!$A5</f>
        <v>51019601</v>
      </c>
      <c r="C5">
        <f>CALCULOS_AGENCIA!$U5</f>
        <v>80.806796201946341</v>
      </c>
      <c r="D5" t="str">
        <f>CALCULOS_AGENCIA!$V5</f>
        <v>ORO</v>
      </c>
      <c r="E5">
        <f>CALCULOS_AGENCIA!$AA5</f>
        <v>419</v>
      </c>
      <c r="F5" s="3">
        <f t="shared" ca="1" si="0"/>
        <v>46087</v>
      </c>
    </row>
    <row r="6" spans="1:6" x14ac:dyDescent="0.3">
      <c r="A6" t="str">
        <f>PARAMS_MODELO!$B$3</f>
        <v>2025-Q3</v>
      </c>
      <c r="B6">
        <f>CALCULOS_AGENCIA!$A6</f>
        <v>51021983</v>
      </c>
      <c r="C6">
        <f>CALCULOS_AGENCIA!$U6</f>
        <v>48.474469516742218</v>
      </c>
      <c r="D6" t="str">
        <f>CALCULOS_AGENCIA!$V6</f>
        <v>PLATA</v>
      </c>
      <c r="E6">
        <f>CALCULOS_AGENCIA!$AA6</f>
        <v>752</v>
      </c>
      <c r="F6" s="3">
        <f t="shared" ca="1" si="0"/>
        <v>46087</v>
      </c>
    </row>
    <row r="7" spans="1:6" x14ac:dyDescent="0.3">
      <c r="A7" t="str">
        <f>PARAMS_MODELO!$B$3</f>
        <v>2025-Q3</v>
      </c>
      <c r="B7">
        <f>CALCULOS_AGENCIA!$A7</f>
        <v>51020201</v>
      </c>
      <c r="C7">
        <f>CALCULOS_AGENCIA!$U7</f>
        <v>85.919336994596975</v>
      </c>
      <c r="D7" t="str">
        <f>CALCULOS_AGENCIA!$V7</f>
        <v>ORO</v>
      </c>
      <c r="E7">
        <f>CALCULOS_AGENCIA!$AA7</f>
        <v>254</v>
      </c>
      <c r="F7" s="3">
        <f t="shared" ca="1" si="0"/>
        <v>46087</v>
      </c>
    </row>
    <row r="8" spans="1:6" x14ac:dyDescent="0.3">
      <c r="A8" t="str">
        <f>PARAMS_MODELO!$B$3</f>
        <v>2025-Q3</v>
      </c>
      <c r="B8">
        <f>CALCULOS_AGENCIA!$A8</f>
        <v>51031296</v>
      </c>
      <c r="C8">
        <f>CALCULOS_AGENCIA!$U8</f>
        <v>86.063360109825283</v>
      </c>
      <c r="D8" t="str">
        <f>CALCULOS_AGENCIA!$V8</f>
        <v>ORO</v>
      </c>
      <c r="E8">
        <f>CALCULOS_AGENCIA!$AA8</f>
        <v>250</v>
      </c>
      <c r="F8" s="3">
        <f t="shared" ca="1" si="0"/>
        <v>46087</v>
      </c>
    </row>
    <row r="9" spans="1:6" x14ac:dyDescent="0.3">
      <c r="A9" t="str">
        <f>PARAMS_MODELO!$B$3</f>
        <v>2025-Q3</v>
      </c>
      <c r="B9">
        <f>CALCULOS_AGENCIA!$A9</f>
        <v>51011864</v>
      </c>
      <c r="C9">
        <f>CALCULOS_AGENCIA!$U9</f>
        <v>88.021795556001635</v>
      </c>
      <c r="D9" t="str">
        <f>CALCULOS_AGENCIA!$V9</f>
        <v>PLATINO</v>
      </c>
      <c r="E9">
        <f>CALCULOS_AGENCIA!$AA9</f>
        <v>198</v>
      </c>
      <c r="F9" s="3">
        <f t="shared" ca="1" si="0"/>
        <v>46087</v>
      </c>
    </row>
    <row r="10" spans="1:6" x14ac:dyDescent="0.3">
      <c r="A10" t="str">
        <f>PARAMS_MODELO!$B$3</f>
        <v>2025-Q3</v>
      </c>
      <c r="B10">
        <f>CALCULOS_AGENCIA!$A10</f>
        <v>51005945</v>
      </c>
      <c r="C10">
        <f>CALCULOS_AGENCIA!$U10</f>
        <v>84.644822970655056</v>
      </c>
      <c r="D10" t="str">
        <f>CALCULOS_AGENCIA!$V10</f>
        <v>ORO</v>
      </c>
      <c r="E10">
        <f>CALCULOS_AGENCIA!$AA10</f>
        <v>296</v>
      </c>
      <c r="F10" s="3">
        <f t="shared" ca="1" si="0"/>
        <v>46087</v>
      </c>
    </row>
    <row r="11" spans="1:6" x14ac:dyDescent="0.3">
      <c r="A11" t="str">
        <f>PARAMS_MODELO!$B$3</f>
        <v>2025-Q3</v>
      </c>
      <c r="B11">
        <f>CALCULOS_AGENCIA!$A11</f>
        <v>51055586</v>
      </c>
      <c r="C11">
        <f>CALCULOS_AGENCIA!$U11</f>
        <v>81.995171387035072</v>
      </c>
      <c r="D11" t="str">
        <f>CALCULOS_AGENCIA!$V11</f>
        <v>ORO</v>
      </c>
      <c r="E11">
        <f>CALCULOS_AGENCIA!$AA11</f>
        <v>386</v>
      </c>
      <c r="F11" s="3">
        <f t="shared" ca="1" si="0"/>
        <v>46087</v>
      </c>
    </row>
    <row r="12" spans="1:6" x14ac:dyDescent="0.3">
      <c r="A12" t="str">
        <f>PARAMS_MODELO!$B$3</f>
        <v>2025-Q3</v>
      </c>
      <c r="B12">
        <f>CALCULOS_AGENCIA!$A12</f>
        <v>51025458</v>
      </c>
      <c r="C12">
        <f>CALCULOS_AGENCIA!$U12</f>
        <v>88.766406330257013</v>
      </c>
      <c r="D12" t="str">
        <f>CALCULOS_AGENCIA!$V12</f>
        <v>PLATINO</v>
      </c>
      <c r="E12">
        <f>CALCULOS_AGENCIA!$AA12</f>
        <v>172</v>
      </c>
      <c r="F12" s="3">
        <f t="shared" ca="1" si="0"/>
        <v>46087</v>
      </c>
    </row>
    <row r="13" spans="1:6" x14ac:dyDescent="0.3">
      <c r="A13" t="str">
        <f>PARAMS_MODELO!$B$3</f>
        <v>2025-Q3</v>
      </c>
      <c r="B13">
        <f>CALCULOS_AGENCIA!$A13</f>
        <v>51025709</v>
      </c>
      <c r="C13">
        <f>CALCULOS_AGENCIA!$U13</f>
        <v>37.808192461828888</v>
      </c>
      <c r="D13" t="str">
        <f>CALCULOS_AGENCIA!$V13</f>
        <v>PLATA</v>
      </c>
      <c r="E13">
        <f>CALCULOS_AGENCIA!$AA13</f>
        <v>796</v>
      </c>
      <c r="F13" s="3">
        <f t="shared" ca="1" si="0"/>
        <v>46087</v>
      </c>
    </row>
    <row r="14" spans="1:6" x14ac:dyDescent="0.3">
      <c r="A14" t="str">
        <f>PARAMS_MODELO!$B$3</f>
        <v>2025-Q3</v>
      </c>
      <c r="B14">
        <f>CALCULOS_AGENCIA!$A14</f>
        <v>51019709</v>
      </c>
      <c r="C14">
        <f>CALCULOS_AGENCIA!$U14</f>
        <v>96.592290004139045</v>
      </c>
      <c r="D14" t="str">
        <f>CALCULOS_AGENCIA!$V14</f>
        <v>DIAMANTE</v>
      </c>
      <c r="E14">
        <f>CALCULOS_AGENCIA!$AA14</f>
        <v>51</v>
      </c>
      <c r="F14" s="3">
        <f t="shared" ca="1" si="0"/>
        <v>46087</v>
      </c>
    </row>
    <row r="15" spans="1:6" x14ac:dyDescent="0.3">
      <c r="A15" t="str">
        <f>PARAMS_MODELO!$B$3</f>
        <v>2025-Q3</v>
      </c>
      <c r="B15">
        <f>CALCULOS_AGENCIA!$A15</f>
        <v>51019377</v>
      </c>
      <c r="C15">
        <f>CALCULOS_AGENCIA!$U15</f>
        <v>85.897303001053203</v>
      </c>
      <c r="D15" t="str">
        <f>CALCULOS_AGENCIA!$V15</f>
        <v>ORO</v>
      </c>
      <c r="E15">
        <f>CALCULOS_AGENCIA!$AA15</f>
        <v>255</v>
      </c>
      <c r="F15" s="3">
        <f t="shared" ca="1" si="0"/>
        <v>46087</v>
      </c>
    </row>
    <row r="16" spans="1:6" x14ac:dyDescent="0.3">
      <c r="A16" t="str">
        <f>PARAMS_MODELO!$B$3</f>
        <v>2025-Q3</v>
      </c>
      <c r="B16">
        <f>CALCULOS_AGENCIA!$A16</f>
        <v>51017447</v>
      </c>
      <c r="C16">
        <f>CALCULOS_AGENCIA!$U16</f>
        <v>81.725421555065594</v>
      </c>
      <c r="D16" t="str">
        <f>CALCULOS_AGENCIA!$V16</f>
        <v>ORO</v>
      </c>
      <c r="E16">
        <f>CALCULOS_AGENCIA!$AA16</f>
        <v>393</v>
      </c>
      <c r="F16" s="3">
        <f t="shared" ca="1" si="0"/>
        <v>46087</v>
      </c>
    </row>
    <row r="17" spans="1:6" x14ac:dyDescent="0.3">
      <c r="A17" t="str">
        <f>PARAMS_MODELO!$B$3</f>
        <v>2025-Q3</v>
      </c>
      <c r="B17">
        <f>CALCULOS_AGENCIA!$A17</f>
        <v>51055721</v>
      </c>
      <c r="C17">
        <f>CALCULOS_AGENCIA!$U17</f>
        <v>58.277620634316875</v>
      </c>
      <c r="D17" t="str">
        <f>CALCULOS_AGENCIA!$V17</f>
        <v>PLATA</v>
      </c>
      <c r="E17">
        <f>CALCULOS_AGENCIA!$AA17</f>
        <v>651</v>
      </c>
      <c r="F17" s="3">
        <f t="shared" ca="1" si="0"/>
        <v>46087</v>
      </c>
    </row>
    <row r="18" spans="1:6" x14ac:dyDescent="0.3">
      <c r="A18" t="str">
        <f>PARAMS_MODELO!$B$3</f>
        <v>2025-Q3</v>
      </c>
      <c r="B18">
        <f>CALCULOS_AGENCIA!$A18</f>
        <v>51023064</v>
      </c>
      <c r="C18">
        <f>CALCULOS_AGENCIA!$U18</f>
        <v>91.065192791669077</v>
      </c>
      <c r="D18" t="str">
        <f>CALCULOS_AGENCIA!$V18</f>
        <v>PLATINO</v>
      </c>
      <c r="E18">
        <f>CALCULOS_AGENCIA!$AA18</f>
        <v>115</v>
      </c>
      <c r="F18" s="3">
        <f t="shared" ca="1" si="0"/>
        <v>46087</v>
      </c>
    </row>
    <row r="19" spans="1:6" x14ac:dyDescent="0.3">
      <c r="A19" t="str">
        <f>PARAMS_MODELO!$B$3</f>
        <v>2025-Q3</v>
      </c>
      <c r="B19">
        <f>CALCULOS_AGENCIA!$A19</f>
        <v>51055063</v>
      </c>
      <c r="C19">
        <f>CALCULOS_AGENCIA!$U19</f>
        <v>55.811616511222375</v>
      </c>
      <c r="D19" t="str">
        <f>CALCULOS_AGENCIA!$V19</f>
        <v>PLATA</v>
      </c>
      <c r="E19">
        <f>CALCULOS_AGENCIA!$AA19</f>
        <v>706</v>
      </c>
      <c r="F19" s="3">
        <f t="shared" ca="1" si="0"/>
        <v>46087</v>
      </c>
    </row>
    <row r="20" spans="1:6" x14ac:dyDescent="0.3">
      <c r="A20" t="str">
        <f>PARAMS_MODELO!$B$3</f>
        <v>2025-Q3</v>
      </c>
      <c r="B20">
        <f>CALCULOS_AGENCIA!$A20</f>
        <v>51024893</v>
      </c>
      <c r="C20">
        <f>CALCULOS_AGENCIA!$U20</f>
        <v>52.215795716325381</v>
      </c>
      <c r="D20" t="str">
        <f>CALCULOS_AGENCIA!$V20</f>
        <v>PLATA</v>
      </c>
      <c r="E20">
        <f>CALCULOS_AGENCIA!$AA20</f>
        <v>728</v>
      </c>
      <c r="F20" s="3">
        <f t="shared" ca="1" si="0"/>
        <v>46087</v>
      </c>
    </row>
    <row r="21" spans="1:6" x14ac:dyDescent="0.3">
      <c r="A21" t="str">
        <f>PARAMS_MODELO!$B$3</f>
        <v>2025-Q3</v>
      </c>
      <c r="B21">
        <f>CALCULOS_AGENCIA!$A21</f>
        <v>51013638</v>
      </c>
      <c r="C21">
        <f>CALCULOS_AGENCIA!$U21</f>
        <v>90.345050569333139</v>
      </c>
      <c r="D21" t="str">
        <f>CALCULOS_AGENCIA!$V21</f>
        <v>PLATINO</v>
      </c>
      <c r="E21">
        <f>CALCULOS_AGENCIA!$AA21</f>
        <v>130</v>
      </c>
      <c r="F21" s="3">
        <f t="shared" ca="1" si="0"/>
        <v>46087</v>
      </c>
    </row>
    <row r="22" spans="1:6" x14ac:dyDescent="0.3">
      <c r="A22" t="str">
        <f>PARAMS_MODELO!$B$3</f>
        <v>2025-Q3</v>
      </c>
      <c r="B22">
        <f>CALCULOS_AGENCIA!$A22</f>
        <v>51011015</v>
      </c>
      <c r="C22">
        <f>CALCULOS_AGENCIA!$U22</f>
        <v>58.705492520178154</v>
      </c>
      <c r="D22" t="str">
        <f>CALCULOS_AGENCIA!$V22</f>
        <v>PLATA</v>
      </c>
      <c r="E22">
        <f>CALCULOS_AGENCIA!$AA22</f>
        <v>640</v>
      </c>
      <c r="F22" s="3">
        <f t="shared" ca="1" si="0"/>
        <v>46087</v>
      </c>
    </row>
    <row r="23" spans="1:6" x14ac:dyDescent="0.3">
      <c r="A23" t="str">
        <f>PARAMS_MODELO!$B$3</f>
        <v>2025-Q3</v>
      </c>
      <c r="B23">
        <f>CALCULOS_AGENCIA!$A23</f>
        <v>51020758</v>
      </c>
      <c r="C23">
        <f>CALCULOS_AGENCIA!$U23</f>
        <v>35.711076237445297</v>
      </c>
      <c r="D23" t="str">
        <f>CALCULOS_AGENCIA!$V23</f>
        <v>PLATA</v>
      </c>
      <c r="E23">
        <f>CALCULOS_AGENCIA!$AA23</f>
        <v>804</v>
      </c>
      <c r="F23" s="3">
        <f t="shared" ca="1" si="0"/>
        <v>46087</v>
      </c>
    </row>
    <row r="24" spans="1:6" x14ac:dyDescent="0.3">
      <c r="A24" t="str">
        <f>PARAMS_MODELO!$B$3</f>
        <v>2025-Q3</v>
      </c>
      <c r="B24">
        <f>CALCULOS_AGENCIA!$A24</f>
        <v>51022734</v>
      </c>
      <c r="C24">
        <f>CALCULOS_AGENCIA!$U24</f>
        <v>57.582959903916326</v>
      </c>
      <c r="D24" t="str">
        <f>CALCULOS_AGENCIA!$V24</f>
        <v>PLATA</v>
      </c>
      <c r="E24">
        <f>CALCULOS_AGENCIA!$AA24</f>
        <v>672</v>
      </c>
      <c r="F24" s="3">
        <f t="shared" ca="1" si="0"/>
        <v>46087</v>
      </c>
    </row>
    <row r="25" spans="1:6" x14ac:dyDescent="0.3">
      <c r="A25" t="str">
        <f>PARAMS_MODELO!$B$3</f>
        <v>2025-Q3</v>
      </c>
      <c r="B25">
        <f>CALCULOS_AGENCIA!$A25</f>
        <v>51036034</v>
      </c>
      <c r="C25">
        <f>CALCULOS_AGENCIA!$U25</f>
        <v>84.523133932739526</v>
      </c>
      <c r="D25" t="str">
        <f>CALCULOS_AGENCIA!$V25</f>
        <v>ORO</v>
      </c>
      <c r="E25">
        <f>CALCULOS_AGENCIA!$AA25</f>
        <v>299</v>
      </c>
      <c r="F25" s="3">
        <f t="shared" ca="1" si="0"/>
        <v>46087</v>
      </c>
    </row>
    <row r="26" spans="1:6" x14ac:dyDescent="0.3">
      <c r="A26" t="str">
        <f>PARAMS_MODELO!$B$3</f>
        <v>2025-Q3</v>
      </c>
      <c r="B26">
        <f>CALCULOS_AGENCIA!$A26</f>
        <v>51019954</v>
      </c>
      <c r="C26">
        <f>CALCULOS_AGENCIA!$U26</f>
        <v>58.0210958618256</v>
      </c>
      <c r="D26" t="str">
        <f>CALCULOS_AGENCIA!$V26</f>
        <v>PLATA</v>
      </c>
      <c r="E26">
        <f>CALCULOS_AGENCIA!$AA26</f>
        <v>662</v>
      </c>
      <c r="F26" s="3">
        <f t="shared" ca="1" si="0"/>
        <v>46087</v>
      </c>
    </row>
    <row r="27" spans="1:6" x14ac:dyDescent="0.3">
      <c r="A27" t="str">
        <f>PARAMS_MODELO!$B$3</f>
        <v>2025-Q3</v>
      </c>
      <c r="B27">
        <f>CALCULOS_AGENCIA!$A27</f>
        <v>51041895</v>
      </c>
      <c r="C27">
        <f>CALCULOS_AGENCIA!$U27</f>
        <v>71.455935054293761</v>
      </c>
      <c r="D27" t="str">
        <f>CALCULOS_AGENCIA!$V27</f>
        <v>ORO</v>
      </c>
      <c r="E27">
        <f>CALCULOS_AGENCIA!$AA27</f>
        <v>502</v>
      </c>
      <c r="F27" s="3">
        <f t="shared" ca="1" si="0"/>
        <v>46087</v>
      </c>
    </row>
    <row r="28" spans="1:6" x14ac:dyDescent="0.3">
      <c r="A28" t="str">
        <f>PARAMS_MODELO!$B$3</f>
        <v>2025-Q3</v>
      </c>
      <c r="B28">
        <f>CALCULOS_AGENCIA!$A28</f>
        <v>51031075</v>
      </c>
      <c r="C28">
        <f>CALCULOS_AGENCIA!$U28</f>
        <v>96.226138204092067</v>
      </c>
      <c r="D28" t="str">
        <f>CALCULOS_AGENCIA!$V28</f>
        <v>DIAMANTE</v>
      </c>
      <c r="E28">
        <f>CALCULOS_AGENCIA!$AA28</f>
        <v>58</v>
      </c>
      <c r="F28" s="3">
        <f t="shared" ca="1" si="0"/>
        <v>46087</v>
      </c>
    </row>
    <row r="29" spans="1:6" x14ac:dyDescent="0.3">
      <c r="A29" t="str">
        <f>PARAMS_MODELO!$B$3</f>
        <v>2025-Q3</v>
      </c>
      <c r="B29">
        <f>CALCULOS_AGENCIA!$A29</f>
        <v>51016815</v>
      </c>
      <c r="C29">
        <f>CALCULOS_AGENCIA!$U29</f>
        <v>83.30251502325973</v>
      </c>
      <c r="D29" t="str">
        <f>CALCULOS_AGENCIA!$V29</f>
        <v>ORO</v>
      </c>
      <c r="E29">
        <f>CALCULOS_AGENCIA!$AA29</f>
        <v>337</v>
      </c>
      <c r="F29" s="3">
        <f t="shared" ca="1" si="0"/>
        <v>46087</v>
      </c>
    </row>
    <row r="30" spans="1:6" x14ac:dyDescent="0.3">
      <c r="A30" t="str">
        <f>PARAMS_MODELO!$B$3</f>
        <v>2025-Q3</v>
      </c>
      <c r="B30">
        <f>CALCULOS_AGENCIA!$A30</f>
        <v>51010761</v>
      </c>
      <c r="C30">
        <f>CALCULOS_AGENCIA!$U30</f>
        <v>96.463623971626333</v>
      </c>
      <c r="D30" t="str">
        <f>CALCULOS_AGENCIA!$V30</f>
        <v>DIAMANTE</v>
      </c>
      <c r="E30">
        <f>CALCULOS_AGENCIA!$AA30</f>
        <v>53</v>
      </c>
      <c r="F30" s="3">
        <f t="shared" ca="1" si="0"/>
        <v>46087</v>
      </c>
    </row>
    <row r="31" spans="1:6" x14ac:dyDescent="0.3">
      <c r="A31" t="str">
        <f>PARAMS_MODELO!$B$3</f>
        <v>2025-Q3</v>
      </c>
      <c r="B31">
        <f>CALCULOS_AGENCIA!$A31</f>
        <v>51013301</v>
      </c>
      <c r="C31">
        <f>CALCULOS_AGENCIA!$U31</f>
        <v>58.317395291888339</v>
      </c>
      <c r="D31" t="str">
        <f>CALCULOS_AGENCIA!$V31</f>
        <v>PLATA</v>
      </c>
      <c r="E31">
        <f>CALCULOS_AGENCIA!$AA31</f>
        <v>649</v>
      </c>
      <c r="F31" s="3">
        <f t="shared" ca="1" si="0"/>
        <v>46087</v>
      </c>
    </row>
    <row r="32" spans="1:6" x14ac:dyDescent="0.3">
      <c r="A32" t="str">
        <f>PARAMS_MODELO!$B$3</f>
        <v>2025-Q3</v>
      </c>
      <c r="B32">
        <f>CALCULOS_AGENCIA!$A32</f>
        <v>51041933</v>
      </c>
      <c r="C32">
        <f>CALCULOS_AGENCIA!$U32</f>
        <v>90.571272002946955</v>
      </c>
      <c r="D32" t="str">
        <f>CALCULOS_AGENCIA!$V32</f>
        <v>PLATINO</v>
      </c>
      <c r="E32">
        <f>CALCULOS_AGENCIA!$AA32</f>
        <v>123</v>
      </c>
      <c r="F32" s="3">
        <f t="shared" ca="1" si="0"/>
        <v>46087</v>
      </c>
    </row>
    <row r="33" spans="1:6" x14ac:dyDescent="0.3">
      <c r="A33" t="str">
        <f>PARAMS_MODELO!$B$3</f>
        <v>2025-Q3</v>
      </c>
      <c r="B33">
        <f>CALCULOS_AGENCIA!$A33</f>
        <v>51014006</v>
      </c>
      <c r="C33">
        <f>CALCULOS_AGENCIA!$U33</f>
        <v>39.161729295881401</v>
      </c>
      <c r="D33" t="str">
        <f>CALCULOS_AGENCIA!$V33</f>
        <v>PLATA</v>
      </c>
      <c r="E33">
        <f>CALCULOS_AGENCIA!$AA33</f>
        <v>792</v>
      </c>
      <c r="F33" s="3">
        <f t="shared" ca="1" si="0"/>
        <v>46087</v>
      </c>
    </row>
    <row r="34" spans="1:6" x14ac:dyDescent="0.3">
      <c r="A34" t="str">
        <f>PARAMS_MODELO!$B$3</f>
        <v>2025-Q3</v>
      </c>
      <c r="B34">
        <f>CALCULOS_AGENCIA!$A34</f>
        <v>51000111</v>
      </c>
      <c r="C34">
        <f>CALCULOS_AGENCIA!$U34</f>
        <v>65.142310189211358</v>
      </c>
      <c r="D34" t="str">
        <f>CALCULOS_AGENCIA!$V34</f>
        <v>ORO</v>
      </c>
      <c r="E34">
        <f>CALCULOS_AGENCIA!$AA34</f>
        <v>543</v>
      </c>
      <c r="F34" s="3">
        <f t="shared" ca="1" si="0"/>
        <v>46087</v>
      </c>
    </row>
    <row r="35" spans="1:6" x14ac:dyDescent="0.3">
      <c r="A35" t="str">
        <f>PARAMS_MODELO!$B$3</f>
        <v>2025-Q3</v>
      </c>
      <c r="B35">
        <f>CALCULOS_AGENCIA!$A35</f>
        <v>51042735</v>
      </c>
      <c r="C35">
        <f>CALCULOS_AGENCIA!$U35</f>
        <v>57.549864197345478</v>
      </c>
      <c r="D35" t="str">
        <f>CALCULOS_AGENCIA!$V35</f>
        <v>PLATA</v>
      </c>
      <c r="E35">
        <f>CALCULOS_AGENCIA!$AA35</f>
        <v>673</v>
      </c>
      <c r="F35" s="3">
        <f t="shared" ca="1" si="0"/>
        <v>46087</v>
      </c>
    </row>
    <row r="36" spans="1:6" x14ac:dyDescent="0.3">
      <c r="A36" t="str">
        <f>PARAMS_MODELO!$B$3</f>
        <v>2025-Q3</v>
      </c>
      <c r="B36">
        <f>CALCULOS_AGENCIA!$A36</f>
        <v>51023218</v>
      </c>
      <c r="C36">
        <f>CALCULOS_AGENCIA!$U36</f>
        <v>22.189999999999998</v>
      </c>
      <c r="D36" t="str">
        <f>CALCULOS_AGENCIA!$V36</f>
        <v>BRONCE</v>
      </c>
      <c r="E36">
        <f>CALCULOS_AGENCIA!$AA36</f>
        <v>946</v>
      </c>
      <c r="F36" s="3">
        <f t="shared" ca="1" si="0"/>
        <v>46087</v>
      </c>
    </row>
    <row r="37" spans="1:6" x14ac:dyDescent="0.3">
      <c r="A37" t="str">
        <f>PARAMS_MODELO!$B$3</f>
        <v>2025-Q3</v>
      </c>
      <c r="B37">
        <f>CALCULOS_AGENCIA!$A37</f>
        <v>51002776</v>
      </c>
      <c r="C37">
        <f>CALCULOS_AGENCIA!$U37</f>
        <v>82.856160968024227</v>
      </c>
      <c r="D37" t="str">
        <f>CALCULOS_AGENCIA!$V37</f>
        <v>ORO</v>
      </c>
      <c r="E37">
        <f>CALCULOS_AGENCIA!$AA37</f>
        <v>359</v>
      </c>
      <c r="F37" s="3">
        <f t="shared" ca="1" si="0"/>
        <v>46087</v>
      </c>
    </row>
    <row r="38" spans="1:6" x14ac:dyDescent="0.3">
      <c r="A38" t="str">
        <f>PARAMS_MODELO!$B$3</f>
        <v>2025-Q3</v>
      </c>
      <c r="B38">
        <f>CALCULOS_AGENCIA!$A38</f>
        <v>51015541</v>
      </c>
      <c r="C38">
        <f>CALCULOS_AGENCIA!$U38</f>
        <v>70.802496259758087</v>
      </c>
      <c r="D38" t="str">
        <f>CALCULOS_AGENCIA!$V38</f>
        <v>ORO</v>
      </c>
      <c r="E38">
        <f>CALCULOS_AGENCIA!$AA38</f>
        <v>508</v>
      </c>
      <c r="F38" s="3">
        <f t="shared" ca="1" si="0"/>
        <v>46087</v>
      </c>
    </row>
    <row r="39" spans="1:6" x14ac:dyDescent="0.3">
      <c r="A39" t="str">
        <f>PARAMS_MODELO!$B$3</f>
        <v>2025-Q3</v>
      </c>
      <c r="B39">
        <f>CALCULOS_AGENCIA!$A39</f>
        <v>51031890</v>
      </c>
      <c r="C39">
        <f>CALCULOS_AGENCIA!$U39</f>
        <v>27.2</v>
      </c>
      <c r="D39" t="str">
        <f>CALCULOS_AGENCIA!$V39</f>
        <v>PLATA</v>
      </c>
      <c r="E39">
        <f>CALCULOS_AGENCIA!$AA39</f>
        <v>898</v>
      </c>
      <c r="F39" s="3">
        <f t="shared" ca="1" si="0"/>
        <v>46087</v>
      </c>
    </row>
    <row r="40" spans="1:6" x14ac:dyDescent="0.3">
      <c r="A40" t="str">
        <f>PARAMS_MODELO!$B$3</f>
        <v>2025-Q3</v>
      </c>
      <c r="B40">
        <f>CALCULOS_AGENCIA!$A40</f>
        <v>51057058</v>
      </c>
      <c r="C40">
        <f>CALCULOS_AGENCIA!$U40</f>
        <v>90.073543805751626</v>
      </c>
      <c r="D40" t="str">
        <f>CALCULOS_AGENCIA!$V40</f>
        <v>PLATINO</v>
      </c>
      <c r="E40">
        <f>CALCULOS_AGENCIA!$AA40</f>
        <v>134</v>
      </c>
      <c r="F40" s="3">
        <f t="shared" ca="1" si="0"/>
        <v>46087</v>
      </c>
    </row>
    <row r="41" spans="1:6" x14ac:dyDescent="0.3">
      <c r="A41" t="str">
        <f>PARAMS_MODELO!$B$3</f>
        <v>2025-Q3</v>
      </c>
      <c r="B41">
        <f>CALCULOS_AGENCIA!$A41</f>
        <v>51022289</v>
      </c>
      <c r="C41">
        <f>CALCULOS_AGENCIA!$U41</f>
        <v>91.816567252692849</v>
      </c>
      <c r="D41" t="str">
        <f>CALCULOS_AGENCIA!$V41</f>
        <v>PLATINO</v>
      </c>
      <c r="E41">
        <f>CALCULOS_AGENCIA!$AA41</f>
        <v>107</v>
      </c>
      <c r="F41" s="3">
        <f t="shared" ca="1" si="0"/>
        <v>46087</v>
      </c>
    </row>
    <row r="42" spans="1:6" x14ac:dyDescent="0.3">
      <c r="A42" t="str">
        <f>PARAMS_MODELO!$B$3</f>
        <v>2025-Q3</v>
      </c>
      <c r="B42">
        <f>CALCULOS_AGENCIA!$A42</f>
        <v>51016688</v>
      </c>
      <c r="C42">
        <f>CALCULOS_AGENCIA!$U42</f>
        <v>86.064718704190597</v>
      </c>
      <c r="D42" t="str">
        <f>CALCULOS_AGENCIA!$V42</f>
        <v>ORO</v>
      </c>
      <c r="E42">
        <f>CALCULOS_AGENCIA!$AA42</f>
        <v>249</v>
      </c>
      <c r="F42" s="3">
        <f t="shared" ca="1" si="0"/>
        <v>46087</v>
      </c>
    </row>
    <row r="43" spans="1:6" x14ac:dyDescent="0.3">
      <c r="A43" t="str">
        <f>PARAMS_MODELO!$B$3</f>
        <v>2025-Q3</v>
      </c>
      <c r="B43">
        <f>CALCULOS_AGENCIA!$A43</f>
        <v>51032527</v>
      </c>
      <c r="C43">
        <f>CALCULOS_AGENCIA!$U43</f>
        <v>95.535715364333299</v>
      </c>
      <c r="D43" t="str">
        <f>CALCULOS_AGENCIA!$V43</f>
        <v>PLATINO</v>
      </c>
      <c r="E43">
        <f>CALCULOS_AGENCIA!$AA43</f>
        <v>66</v>
      </c>
      <c r="F43" s="3">
        <f t="shared" ca="1" si="0"/>
        <v>46087</v>
      </c>
    </row>
    <row r="44" spans="1:6" x14ac:dyDescent="0.3">
      <c r="A44" t="str">
        <f>PARAMS_MODELO!$B$3</f>
        <v>2025-Q3</v>
      </c>
      <c r="B44">
        <f>CALCULOS_AGENCIA!$A44</f>
        <v>51028678</v>
      </c>
      <c r="C44">
        <f>CALCULOS_AGENCIA!$U44</f>
        <v>58.59296961236155</v>
      </c>
      <c r="D44" t="str">
        <f>CALCULOS_AGENCIA!$V44</f>
        <v>PLATA</v>
      </c>
      <c r="E44">
        <f>CALCULOS_AGENCIA!$AA44</f>
        <v>645</v>
      </c>
      <c r="F44" s="3">
        <f t="shared" ca="1" si="0"/>
        <v>46087</v>
      </c>
    </row>
    <row r="45" spans="1:6" x14ac:dyDescent="0.3">
      <c r="A45" t="str">
        <f>PARAMS_MODELO!$B$3</f>
        <v>2025-Q3</v>
      </c>
      <c r="B45">
        <f>CALCULOS_AGENCIA!$A45</f>
        <v>51005287</v>
      </c>
      <c r="C45">
        <f>CALCULOS_AGENCIA!$U45</f>
        <v>84.053715101825404</v>
      </c>
      <c r="D45" t="str">
        <f>CALCULOS_AGENCIA!$V45</f>
        <v>ORO</v>
      </c>
      <c r="E45">
        <f>CALCULOS_AGENCIA!$AA45</f>
        <v>320</v>
      </c>
      <c r="F45" s="3">
        <f t="shared" ca="1" si="0"/>
        <v>46087</v>
      </c>
    </row>
    <row r="46" spans="1:6" x14ac:dyDescent="0.3">
      <c r="A46" t="str">
        <f>PARAMS_MODELO!$B$3</f>
        <v>2025-Q3</v>
      </c>
      <c r="B46">
        <f>CALCULOS_AGENCIA!$A46</f>
        <v>51055624</v>
      </c>
      <c r="C46">
        <f>CALCULOS_AGENCIA!$U46</f>
        <v>97.994419331600412</v>
      </c>
      <c r="D46" t="str">
        <f>CALCULOS_AGENCIA!$V46</f>
        <v>DIAMANTE</v>
      </c>
      <c r="E46">
        <f>CALCULOS_AGENCIA!$AA46</f>
        <v>38</v>
      </c>
      <c r="F46" s="3">
        <f t="shared" ca="1" si="0"/>
        <v>46087</v>
      </c>
    </row>
    <row r="47" spans="1:6" x14ac:dyDescent="0.3">
      <c r="A47" t="str">
        <f>PARAMS_MODELO!$B$3</f>
        <v>2025-Q3</v>
      </c>
      <c r="B47">
        <f>CALCULOS_AGENCIA!$A47</f>
        <v>51010884</v>
      </c>
      <c r="C47">
        <f>CALCULOS_AGENCIA!$U47</f>
        <v>19.599999999999998</v>
      </c>
      <c r="D47" t="str">
        <f>CALCULOS_AGENCIA!$V47</f>
        <v>BRONCE</v>
      </c>
      <c r="E47">
        <f>CALCULOS_AGENCIA!$AA47</f>
        <v>985</v>
      </c>
      <c r="F47" s="3">
        <f t="shared" ca="1" si="0"/>
        <v>46087</v>
      </c>
    </row>
    <row r="48" spans="1:6" x14ac:dyDescent="0.3">
      <c r="A48" t="str">
        <f>PARAMS_MODELO!$B$3</f>
        <v>2025-Q3</v>
      </c>
      <c r="B48">
        <f>CALCULOS_AGENCIA!$A48</f>
        <v>51007051</v>
      </c>
      <c r="C48">
        <f>CALCULOS_AGENCIA!$U48</f>
        <v>82.379823874252466</v>
      </c>
      <c r="D48" t="str">
        <f>CALCULOS_AGENCIA!$V48</f>
        <v>ORO</v>
      </c>
      <c r="E48">
        <f>CALCULOS_AGENCIA!$AA48</f>
        <v>380</v>
      </c>
      <c r="F48" s="3">
        <f t="shared" ca="1" si="0"/>
        <v>46087</v>
      </c>
    </row>
    <row r="49" spans="1:6" x14ac:dyDescent="0.3">
      <c r="A49" t="str">
        <f>PARAMS_MODELO!$B$3</f>
        <v>2025-Q3</v>
      </c>
      <c r="B49">
        <f>CALCULOS_AGENCIA!$A49</f>
        <v>51013808</v>
      </c>
      <c r="C49">
        <f>CALCULOS_AGENCIA!$U49</f>
        <v>60.136341451433367</v>
      </c>
      <c r="D49" t="str">
        <f>CALCULOS_AGENCIA!$V49</f>
        <v>PLATA</v>
      </c>
      <c r="E49">
        <f>CALCULOS_AGENCIA!$AA49</f>
        <v>616</v>
      </c>
      <c r="F49" s="3">
        <f t="shared" ca="1" si="0"/>
        <v>46087</v>
      </c>
    </row>
    <row r="50" spans="1:6" x14ac:dyDescent="0.3">
      <c r="A50" t="str">
        <f>PARAMS_MODELO!$B$3</f>
        <v>2025-Q3</v>
      </c>
      <c r="B50">
        <f>CALCULOS_AGENCIA!$A50</f>
        <v>51035828</v>
      </c>
      <c r="C50">
        <f>CALCULOS_AGENCIA!$U50</f>
        <v>61.655683306971795</v>
      </c>
      <c r="D50" t="str">
        <f>CALCULOS_AGENCIA!$V50</f>
        <v>PLATA</v>
      </c>
      <c r="E50">
        <f>CALCULOS_AGENCIA!$AA50</f>
        <v>588</v>
      </c>
      <c r="F50" s="3">
        <f t="shared" ca="1" si="0"/>
        <v>46087</v>
      </c>
    </row>
    <row r="51" spans="1:6" x14ac:dyDescent="0.3">
      <c r="A51" t="str">
        <f>PARAMS_MODELO!$B$3</f>
        <v>2025-Q3</v>
      </c>
      <c r="B51">
        <f>CALCULOS_AGENCIA!$A51</f>
        <v>51056051</v>
      </c>
      <c r="C51">
        <f>CALCULOS_AGENCIA!$U51</f>
        <v>84.435732154273381</v>
      </c>
      <c r="D51" t="str">
        <f>CALCULOS_AGENCIA!$V51</f>
        <v>ORO</v>
      </c>
      <c r="E51">
        <f>CALCULOS_AGENCIA!$AA51</f>
        <v>301</v>
      </c>
      <c r="F51" s="3">
        <f t="shared" ca="1" si="0"/>
        <v>46087</v>
      </c>
    </row>
    <row r="52" spans="1:6" x14ac:dyDescent="0.3">
      <c r="A52" t="str">
        <f>PARAMS_MODELO!$B$3</f>
        <v>2025-Q3</v>
      </c>
      <c r="B52">
        <f>CALCULOS_AGENCIA!$A52</f>
        <v>51024265</v>
      </c>
      <c r="C52">
        <f>CALCULOS_AGENCIA!$U52</f>
        <v>84.870004645940398</v>
      </c>
      <c r="D52" t="str">
        <f>CALCULOS_AGENCIA!$V52</f>
        <v>ORO</v>
      </c>
      <c r="E52">
        <f>CALCULOS_AGENCIA!$AA52</f>
        <v>288</v>
      </c>
      <c r="F52" s="3">
        <f t="shared" ca="1" si="0"/>
        <v>46087</v>
      </c>
    </row>
    <row r="53" spans="1:6" x14ac:dyDescent="0.3">
      <c r="A53" t="str">
        <f>PARAMS_MODELO!$B$3</f>
        <v>2025-Q3</v>
      </c>
      <c r="B53">
        <f>CALCULOS_AGENCIA!$A53</f>
        <v>51018494</v>
      </c>
      <c r="C53">
        <f>CALCULOS_AGENCIA!$U53</f>
        <v>100</v>
      </c>
      <c r="D53" t="str">
        <f>CALCULOS_AGENCIA!$V53</f>
        <v>DIAMANTE</v>
      </c>
      <c r="E53">
        <f>CALCULOS_AGENCIA!$AA53</f>
        <v>1</v>
      </c>
      <c r="F53" s="3">
        <f t="shared" ca="1" si="0"/>
        <v>46087</v>
      </c>
    </row>
    <row r="54" spans="1:6" x14ac:dyDescent="0.3">
      <c r="A54" t="str">
        <f>PARAMS_MODELO!$B$3</f>
        <v>2025-Q3</v>
      </c>
      <c r="B54">
        <f>CALCULOS_AGENCIA!$A54</f>
        <v>51039882</v>
      </c>
      <c r="C54">
        <f>CALCULOS_AGENCIA!$U54</f>
        <v>27.7</v>
      </c>
      <c r="D54" t="str">
        <f>CALCULOS_AGENCIA!$V54</f>
        <v>PLATA</v>
      </c>
      <c r="E54">
        <f>CALCULOS_AGENCIA!$AA54</f>
        <v>888</v>
      </c>
      <c r="F54" s="3">
        <f t="shared" ca="1" si="0"/>
        <v>46087</v>
      </c>
    </row>
    <row r="55" spans="1:6" x14ac:dyDescent="0.3">
      <c r="A55" t="str">
        <f>PARAMS_MODELO!$B$3</f>
        <v>2025-Q3</v>
      </c>
      <c r="B55">
        <f>CALCULOS_AGENCIA!$A55</f>
        <v>51024192</v>
      </c>
      <c r="C55">
        <f>CALCULOS_AGENCIA!$U55</f>
        <v>74.539543309387582</v>
      </c>
      <c r="D55" t="str">
        <f>CALCULOS_AGENCIA!$V55</f>
        <v>ORO</v>
      </c>
      <c r="E55">
        <f>CALCULOS_AGENCIA!$AA55</f>
        <v>477</v>
      </c>
      <c r="F55" s="3">
        <f t="shared" ca="1" si="0"/>
        <v>46087</v>
      </c>
    </row>
    <row r="56" spans="1:6" x14ac:dyDescent="0.3">
      <c r="A56" t="str">
        <f>PARAMS_MODELO!$B$3</f>
        <v>2025-Q3</v>
      </c>
      <c r="B56">
        <f>CALCULOS_AGENCIA!$A56</f>
        <v>51008332</v>
      </c>
      <c r="C56">
        <f>CALCULOS_AGENCIA!$U56</f>
        <v>88.97511212174328</v>
      </c>
      <c r="D56" t="str">
        <f>CALCULOS_AGENCIA!$V56</f>
        <v>PLATINO</v>
      </c>
      <c r="E56">
        <f>CALCULOS_AGENCIA!$AA56</f>
        <v>169</v>
      </c>
      <c r="F56" s="3">
        <f t="shared" ca="1" si="0"/>
        <v>46087</v>
      </c>
    </row>
    <row r="57" spans="1:6" x14ac:dyDescent="0.3">
      <c r="A57" t="str">
        <f>PARAMS_MODELO!$B$3</f>
        <v>2025-Q3</v>
      </c>
      <c r="B57">
        <f>CALCULOS_AGENCIA!$A57</f>
        <v>51015258</v>
      </c>
      <c r="C57">
        <f>CALCULOS_AGENCIA!$U57</f>
        <v>85.428340451983601</v>
      </c>
      <c r="D57" t="str">
        <f>CALCULOS_AGENCIA!$V57</f>
        <v>ORO</v>
      </c>
      <c r="E57">
        <f>CALCULOS_AGENCIA!$AA57</f>
        <v>271</v>
      </c>
      <c r="F57" s="3">
        <f t="shared" ca="1" si="0"/>
        <v>46087</v>
      </c>
    </row>
    <row r="58" spans="1:6" x14ac:dyDescent="0.3">
      <c r="A58" t="str">
        <f>PARAMS_MODELO!$B$3</f>
        <v>2025-Q3</v>
      </c>
      <c r="B58">
        <f>CALCULOS_AGENCIA!$A58</f>
        <v>51033710</v>
      </c>
      <c r="C58">
        <f>CALCULOS_AGENCIA!$U58</f>
        <v>98.361012671891189</v>
      </c>
      <c r="D58" t="str">
        <f>CALCULOS_AGENCIA!$V58</f>
        <v>DIAMANTE</v>
      </c>
      <c r="E58">
        <f>CALCULOS_AGENCIA!$AA58</f>
        <v>32</v>
      </c>
      <c r="F58" s="3">
        <f t="shared" ca="1" si="0"/>
        <v>46087</v>
      </c>
    </row>
    <row r="59" spans="1:6" x14ac:dyDescent="0.3">
      <c r="A59" t="str">
        <f>PARAMS_MODELO!$B$3</f>
        <v>2025-Q3</v>
      </c>
      <c r="B59">
        <f>CALCULOS_AGENCIA!$A59</f>
        <v>51010329</v>
      </c>
      <c r="C59">
        <f>CALCULOS_AGENCIA!$U59</f>
        <v>33.700000000000003</v>
      </c>
      <c r="D59" t="str">
        <f>CALCULOS_AGENCIA!$V59</f>
        <v>PLATA</v>
      </c>
      <c r="E59">
        <f>CALCULOS_AGENCIA!$AA59</f>
        <v>816</v>
      </c>
      <c r="F59" s="3">
        <f t="shared" ca="1" si="0"/>
        <v>46087</v>
      </c>
    </row>
    <row r="60" spans="1:6" x14ac:dyDescent="0.3">
      <c r="A60" t="str">
        <f>PARAMS_MODELO!$B$3</f>
        <v>2025-Q3</v>
      </c>
      <c r="B60">
        <f>CALCULOS_AGENCIA!$A60</f>
        <v>51011252</v>
      </c>
      <c r="C60">
        <f>CALCULOS_AGENCIA!$U60</f>
        <v>59.791842812422217</v>
      </c>
      <c r="D60" t="str">
        <f>CALCULOS_AGENCIA!$V60</f>
        <v>PLATA</v>
      </c>
      <c r="E60">
        <f>CALCULOS_AGENCIA!$AA60</f>
        <v>624</v>
      </c>
      <c r="F60" s="3">
        <f t="shared" ca="1" si="0"/>
        <v>46087</v>
      </c>
    </row>
    <row r="61" spans="1:6" x14ac:dyDescent="0.3">
      <c r="A61" t="str">
        <f>PARAMS_MODELO!$B$3</f>
        <v>2025-Q3</v>
      </c>
      <c r="B61">
        <f>CALCULOS_AGENCIA!$A61</f>
        <v>51018648</v>
      </c>
      <c r="C61">
        <f>CALCULOS_AGENCIA!$U61</f>
        <v>81.484988936497302</v>
      </c>
      <c r="D61" t="str">
        <f>CALCULOS_AGENCIA!$V61</f>
        <v>ORO</v>
      </c>
      <c r="E61">
        <f>CALCULOS_AGENCIA!$AA61</f>
        <v>402</v>
      </c>
      <c r="F61" s="3">
        <f t="shared" ca="1" si="0"/>
        <v>46087</v>
      </c>
    </row>
    <row r="62" spans="1:6" x14ac:dyDescent="0.3">
      <c r="A62" t="str">
        <f>PARAMS_MODELO!$B$3</f>
        <v>2025-Q3</v>
      </c>
      <c r="B62">
        <f>CALCULOS_AGENCIA!$A62</f>
        <v>51024524</v>
      </c>
      <c r="C62">
        <f>CALCULOS_AGENCIA!$U62</f>
        <v>85.579112371062237</v>
      </c>
      <c r="D62" t="str">
        <f>CALCULOS_AGENCIA!$V62</f>
        <v>ORO</v>
      </c>
      <c r="E62">
        <f>CALCULOS_AGENCIA!$AA62</f>
        <v>266</v>
      </c>
      <c r="F62" s="3">
        <f t="shared" ca="1" si="0"/>
        <v>46087</v>
      </c>
    </row>
    <row r="63" spans="1:6" x14ac:dyDescent="0.3">
      <c r="A63" t="str">
        <f>PARAMS_MODELO!$B$3</f>
        <v>2025-Q3</v>
      </c>
      <c r="B63">
        <f>CALCULOS_AGENCIA!$A63</f>
        <v>51055772</v>
      </c>
      <c r="C63">
        <f>CALCULOS_AGENCIA!$U63</f>
        <v>58.060334383617935</v>
      </c>
      <c r="D63" t="str">
        <f>CALCULOS_AGENCIA!$V63</f>
        <v>PLATA</v>
      </c>
      <c r="E63">
        <f>CALCULOS_AGENCIA!$AA63</f>
        <v>659</v>
      </c>
      <c r="F63" s="3">
        <f t="shared" ca="1" si="0"/>
        <v>46087</v>
      </c>
    </row>
    <row r="64" spans="1:6" x14ac:dyDescent="0.3">
      <c r="A64" t="str">
        <f>PARAMS_MODELO!$B$3</f>
        <v>2025-Q3</v>
      </c>
      <c r="B64">
        <f>CALCULOS_AGENCIA!$A64</f>
        <v>51031083</v>
      </c>
      <c r="C64">
        <f>CALCULOS_AGENCIA!$U64</f>
        <v>58.981210963832872</v>
      </c>
      <c r="D64" t="str">
        <f>CALCULOS_AGENCIA!$V64</f>
        <v>PLATA</v>
      </c>
      <c r="E64">
        <f>CALCULOS_AGENCIA!$AA64</f>
        <v>637</v>
      </c>
      <c r="F64" s="3">
        <f t="shared" ca="1" si="0"/>
        <v>46087</v>
      </c>
    </row>
    <row r="65" spans="1:6" x14ac:dyDescent="0.3">
      <c r="A65" t="str">
        <f>PARAMS_MODELO!$B$3</f>
        <v>2025-Q3</v>
      </c>
      <c r="B65">
        <f>CALCULOS_AGENCIA!$A65</f>
        <v>51056647</v>
      </c>
      <c r="C65">
        <f>CALCULOS_AGENCIA!$U65</f>
        <v>88.377864187999151</v>
      </c>
      <c r="D65" t="str">
        <f>CALCULOS_AGENCIA!$V65</f>
        <v>PLATINO</v>
      </c>
      <c r="E65">
        <f>CALCULOS_AGENCIA!$AA65</f>
        <v>187</v>
      </c>
      <c r="F65" s="3">
        <f t="shared" ca="1" si="0"/>
        <v>46087</v>
      </c>
    </row>
    <row r="66" spans="1:6" x14ac:dyDescent="0.3">
      <c r="A66" t="str">
        <f>PARAMS_MODELO!$B$3</f>
        <v>2025-Q3</v>
      </c>
      <c r="B66">
        <f>CALCULOS_AGENCIA!$A66</f>
        <v>51024214</v>
      </c>
      <c r="C66">
        <f>CALCULOS_AGENCIA!$U66</f>
        <v>80.337304208245882</v>
      </c>
      <c r="D66" t="str">
        <f>CALCULOS_AGENCIA!$V66</f>
        <v>ORO</v>
      </c>
      <c r="E66">
        <f>CALCULOS_AGENCIA!$AA66</f>
        <v>433</v>
      </c>
      <c r="F66" s="3">
        <f t="shared" ref="F66:F129" ca="1" si="1">TODAY()</f>
        <v>46087</v>
      </c>
    </row>
    <row r="67" spans="1:6" x14ac:dyDescent="0.3">
      <c r="A67" t="str">
        <f>PARAMS_MODELO!$B$3</f>
        <v>2025-Q3</v>
      </c>
      <c r="B67">
        <f>CALCULOS_AGENCIA!$A67</f>
        <v>51013425</v>
      </c>
      <c r="C67">
        <f>CALCULOS_AGENCIA!$U67</f>
        <v>92.466668840031801</v>
      </c>
      <c r="D67" t="str">
        <f>CALCULOS_AGENCIA!$V67</f>
        <v>PLATINO</v>
      </c>
      <c r="E67">
        <f>CALCULOS_AGENCIA!$AA67</f>
        <v>96</v>
      </c>
      <c r="F67" s="3">
        <f t="shared" ca="1" si="1"/>
        <v>46087</v>
      </c>
    </row>
    <row r="68" spans="1:6" x14ac:dyDescent="0.3">
      <c r="A68" t="str">
        <f>PARAMS_MODELO!$B$3</f>
        <v>2025-Q3</v>
      </c>
      <c r="B68">
        <f>CALCULOS_AGENCIA!$A68</f>
        <v>51025334</v>
      </c>
      <c r="C68">
        <f>CALCULOS_AGENCIA!$U68</f>
        <v>84.508873459133</v>
      </c>
      <c r="D68" t="str">
        <f>CALCULOS_AGENCIA!$V68</f>
        <v>ORO</v>
      </c>
      <c r="E68">
        <f>CALCULOS_AGENCIA!$AA68</f>
        <v>300</v>
      </c>
      <c r="F68" s="3">
        <f t="shared" ca="1" si="1"/>
        <v>46087</v>
      </c>
    </row>
    <row r="69" spans="1:6" x14ac:dyDescent="0.3">
      <c r="A69" t="str">
        <f>PARAMS_MODELO!$B$3</f>
        <v>2025-Q3</v>
      </c>
      <c r="B69">
        <f>CALCULOS_AGENCIA!$A69</f>
        <v>51056132</v>
      </c>
      <c r="C69">
        <f>CALCULOS_AGENCIA!$U69</f>
        <v>58.1215895172285</v>
      </c>
      <c r="D69" t="str">
        <f>CALCULOS_AGENCIA!$V69</f>
        <v>PLATA</v>
      </c>
      <c r="E69">
        <f>CALCULOS_AGENCIA!$AA69</f>
        <v>657</v>
      </c>
      <c r="F69" s="3">
        <f t="shared" ca="1" si="1"/>
        <v>46087</v>
      </c>
    </row>
    <row r="70" spans="1:6" x14ac:dyDescent="0.3">
      <c r="A70" t="str">
        <f>PARAMS_MODELO!$B$3</f>
        <v>2025-Q3</v>
      </c>
      <c r="B70">
        <f>CALCULOS_AGENCIA!$A70</f>
        <v>51004531</v>
      </c>
      <c r="C70">
        <f>CALCULOS_AGENCIA!$U70</f>
        <v>90.479127036597561</v>
      </c>
      <c r="D70" t="str">
        <f>CALCULOS_AGENCIA!$V70</f>
        <v>PLATINO</v>
      </c>
      <c r="E70">
        <f>CALCULOS_AGENCIA!$AA70</f>
        <v>124</v>
      </c>
      <c r="F70" s="3">
        <f t="shared" ca="1" si="1"/>
        <v>46087</v>
      </c>
    </row>
    <row r="71" spans="1:6" x14ac:dyDescent="0.3">
      <c r="A71" t="str">
        <f>PARAMS_MODELO!$B$3</f>
        <v>2025-Q3</v>
      </c>
      <c r="B71">
        <f>CALCULOS_AGENCIA!$A71</f>
        <v>51039033</v>
      </c>
      <c r="C71">
        <f>CALCULOS_AGENCIA!$U71</f>
        <v>49.940618797880092</v>
      </c>
      <c r="D71" t="str">
        <f>CALCULOS_AGENCIA!$V71</f>
        <v>PLATA</v>
      </c>
      <c r="E71">
        <f>CALCULOS_AGENCIA!$AA71</f>
        <v>743</v>
      </c>
      <c r="F71" s="3">
        <f t="shared" ca="1" si="1"/>
        <v>46087</v>
      </c>
    </row>
    <row r="72" spans="1:6" x14ac:dyDescent="0.3">
      <c r="A72" t="str">
        <f>PARAMS_MODELO!$B$3</f>
        <v>2025-Q3</v>
      </c>
      <c r="B72">
        <f>CALCULOS_AGENCIA!$A72</f>
        <v>51024117</v>
      </c>
      <c r="C72">
        <f>CALCULOS_AGENCIA!$U72</f>
        <v>93.344910419030214</v>
      </c>
      <c r="D72" t="str">
        <f>CALCULOS_AGENCIA!$V72</f>
        <v>PLATINO</v>
      </c>
      <c r="E72">
        <f>CALCULOS_AGENCIA!$AA72</f>
        <v>87</v>
      </c>
      <c r="F72" s="3">
        <f t="shared" ca="1" si="1"/>
        <v>46087</v>
      </c>
    </row>
    <row r="73" spans="1:6" x14ac:dyDescent="0.3">
      <c r="A73" t="str">
        <f>PARAMS_MODELO!$B$3</f>
        <v>2025-Q3</v>
      </c>
      <c r="B73">
        <f>CALCULOS_AGENCIA!$A73</f>
        <v>51031768</v>
      </c>
      <c r="C73">
        <f>CALCULOS_AGENCIA!$U73</f>
        <v>46.192106611967027</v>
      </c>
      <c r="D73" t="str">
        <f>CALCULOS_AGENCIA!$V73</f>
        <v>PLATA</v>
      </c>
      <c r="E73">
        <f>CALCULOS_AGENCIA!$AA73</f>
        <v>765</v>
      </c>
      <c r="F73" s="3">
        <f t="shared" ca="1" si="1"/>
        <v>46087</v>
      </c>
    </row>
    <row r="74" spans="1:6" x14ac:dyDescent="0.3">
      <c r="A74" t="str">
        <f>PARAMS_MODELO!$B$3</f>
        <v>2025-Q3</v>
      </c>
      <c r="B74">
        <f>CALCULOS_AGENCIA!$A74</f>
        <v>51022637</v>
      </c>
      <c r="C74">
        <f>CALCULOS_AGENCIA!$U74</f>
        <v>86.132093050867113</v>
      </c>
      <c r="D74" t="str">
        <f>CALCULOS_AGENCIA!$V74</f>
        <v>ORO</v>
      </c>
      <c r="E74">
        <f>CALCULOS_AGENCIA!$AA74</f>
        <v>246</v>
      </c>
      <c r="F74" s="3">
        <f t="shared" ca="1" si="1"/>
        <v>46087</v>
      </c>
    </row>
    <row r="75" spans="1:6" x14ac:dyDescent="0.3">
      <c r="A75" t="str">
        <f>PARAMS_MODELO!$B$3</f>
        <v>2025-Q3</v>
      </c>
      <c r="B75">
        <f>CALCULOS_AGENCIA!$A75</f>
        <v>51010124</v>
      </c>
      <c r="C75">
        <f>CALCULOS_AGENCIA!$U75</f>
        <v>97.233757022268989</v>
      </c>
      <c r="D75" t="str">
        <f>CALCULOS_AGENCIA!$V75</f>
        <v>DIAMANTE</v>
      </c>
      <c r="E75">
        <f>CALCULOS_AGENCIA!$AA75</f>
        <v>46</v>
      </c>
      <c r="F75" s="3">
        <f t="shared" ca="1" si="1"/>
        <v>46087</v>
      </c>
    </row>
    <row r="76" spans="1:6" x14ac:dyDescent="0.3">
      <c r="A76" t="str">
        <f>PARAMS_MODELO!$B$3</f>
        <v>2025-Q3</v>
      </c>
      <c r="B76">
        <f>CALCULOS_AGENCIA!$A76</f>
        <v>51012020</v>
      </c>
      <c r="C76">
        <f>CALCULOS_AGENCIA!$U76</f>
        <v>82.224026163814926</v>
      </c>
      <c r="D76" t="str">
        <f>CALCULOS_AGENCIA!$V76</f>
        <v>ORO</v>
      </c>
      <c r="E76">
        <f>CALCULOS_AGENCIA!$AA76</f>
        <v>382</v>
      </c>
      <c r="F76" s="3">
        <f t="shared" ca="1" si="1"/>
        <v>46087</v>
      </c>
    </row>
    <row r="77" spans="1:6" x14ac:dyDescent="0.3">
      <c r="A77" t="str">
        <f>PARAMS_MODELO!$B$3</f>
        <v>2025-Q3</v>
      </c>
      <c r="B77">
        <f>CALCULOS_AGENCIA!$A77</f>
        <v>51029968</v>
      </c>
      <c r="C77">
        <f>CALCULOS_AGENCIA!$U77</f>
        <v>85.751675449982059</v>
      </c>
      <c r="D77" t="str">
        <f>CALCULOS_AGENCIA!$V77</f>
        <v>ORO</v>
      </c>
      <c r="E77">
        <f>CALCULOS_AGENCIA!$AA77</f>
        <v>260</v>
      </c>
      <c r="F77" s="3">
        <f t="shared" ca="1" si="1"/>
        <v>46087</v>
      </c>
    </row>
    <row r="78" spans="1:6" x14ac:dyDescent="0.3">
      <c r="A78" t="str">
        <f>PARAMS_MODELO!$B$3</f>
        <v>2025-Q3</v>
      </c>
      <c r="B78">
        <f>CALCULOS_AGENCIA!$A78</f>
        <v>51025202</v>
      </c>
      <c r="C78">
        <f>CALCULOS_AGENCIA!$U78</f>
        <v>100</v>
      </c>
      <c r="D78" t="str">
        <f>CALCULOS_AGENCIA!$V78</f>
        <v>DIAMANTE</v>
      </c>
      <c r="E78">
        <f>CALCULOS_AGENCIA!$AA78</f>
        <v>1</v>
      </c>
      <c r="F78" s="3">
        <f t="shared" ca="1" si="1"/>
        <v>46087</v>
      </c>
    </row>
    <row r="79" spans="1:6" x14ac:dyDescent="0.3">
      <c r="A79" t="str">
        <f>PARAMS_MODELO!$B$3</f>
        <v>2025-Q3</v>
      </c>
      <c r="B79">
        <f>CALCULOS_AGENCIA!$A79</f>
        <v>51003667</v>
      </c>
      <c r="C79">
        <f>CALCULOS_AGENCIA!$U79</f>
        <v>82.94107449737821</v>
      </c>
      <c r="D79" t="str">
        <f>CALCULOS_AGENCIA!$V79</f>
        <v>ORO</v>
      </c>
      <c r="E79">
        <f>CALCULOS_AGENCIA!$AA79</f>
        <v>356</v>
      </c>
      <c r="F79" s="3">
        <f t="shared" ca="1" si="1"/>
        <v>46087</v>
      </c>
    </row>
    <row r="80" spans="1:6" x14ac:dyDescent="0.3">
      <c r="A80" t="str">
        <f>PARAMS_MODELO!$B$3</f>
        <v>2025-Q3</v>
      </c>
      <c r="B80">
        <f>CALCULOS_AGENCIA!$A80</f>
        <v>51026691</v>
      </c>
      <c r="C80">
        <f>CALCULOS_AGENCIA!$U80</f>
        <v>26.585000000000001</v>
      </c>
      <c r="D80" t="str">
        <f>CALCULOS_AGENCIA!$V80</f>
        <v>PLATA</v>
      </c>
      <c r="E80">
        <f>CALCULOS_AGENCIA!$AA80</f>
        <v>903</v>
      </c>
      <c r="F80" s="3">
        <f t="shared" ca="1" si="1"/>
        <v>46087</v>
      </c>
    </row>
    <row r="81" spans="1:6" x14ac:dyDescent="0.3">
      <c r="A81" t="str">
        <f>PARAMS_MODELO!$B$3</f>
        <v>2025-Q3</v>
      </c>
      <c r="B81">
        <f>CALCULOS_AGENCIA!$A81</f>
        <v>51023145</v>
      </c>
      <c r="C81">
        <f>CALCULOS_AGENCIA!$U81</f>
        <v>96.783727526926313</v>
      </c>
      <c r="D81" t="str">
        <f>CALCULOS_AGENCIA!$V81</f>
        <v>DIAMANTE</v>
      </c>
      <c r="E81">
        <f>CALCULOS_AGENCIA!$AA81</f>
        <v>48</v>
      </c>
      <c r="F81" s="3">
        <f t="shared" ca="1" si="1"/>
        <v>46087</v>
      </c>
    </row>
    <row r="82" spans="1:6" x14ac:dyDescent="0.3">
      <c r="A82" t="str">
        <f>PARAMS_MODELO!$B$3</f>
        <v>2025-Q3</v>
      </c>
      <c r="B82">
        <f>CALCULOS_AGENCIA!$A82</f>
        <v>51056001</v>
      </c>
      <c r="C82">
        <f>CALCULOS_AGENCIA!$U82</f>
        <v>96.711008312260901</v>
      </c>
      <c r="D82" t="str">
        <f>CALCULOS_AGENCIA!$V82</f>
        <v>DIAMANTE</v>
      </c>
      <c r="E82">
        <f>CALCULOS_AGENCIA!$AA82</f>
        <v>50</v>
      </c>
      <c r="F82" s="3">
        <f t="shared" ca="1" si="1"/>
        <v>46087</v>
      </c>
    </row>
    <row r="83" spans="1:6" x14ac:dyDescent="0.3">
      <c r="A83" t="str">
        <f>PARAMS_MODELO!$B$3</f>
        <v>2025-Q3</v>
      </c>
      <c r="B83">
        <f>CALCULOS_AGENCIA!$A83</f>
        <v>51019652</v>
      </c>
      <c r="C83">
        <f>CALCULOS_AGENCIA!$U83</f>
        <v>88.998181949294533</v>
      </c>
      <c r="D83" t="str">
        <f>CALCULOS_AGENCIA!$V83</f>
        <v>PLATINO</v>
      </c>
      <c r="E83">
        <f>CALCULOS_AGENCIA!$AA83</f>
        <v>168</v>
      </c>
      <c r="F83" s="3">
        <f t="shared" ca="1" si="1"/>
        <v>46087</v>
      </c>
    </row>
    <row r="84" spans="1:6" x14ac:dyDescent="0.3">
      <c r="A84" t="str">
        <f>PARAMS_MODELO!$B$3</f>
        <v>2025-Q3</v>
      </c>
      <c r="B84">
        <f>CALCULOS_AGENCIA!$A84</f>
        <v>51011368</v>
      </c>
      <c r="C84">
        <f>CALCULOS_AGENCIA!$U84</f>
        <v>99.736737920576417</v>
      </c>
      <c r="D84" t="str">
        <f>CALCULOS_AGENCIA!$V84</f>
        <v>DIAMANTE</v>
      </c>
      <c r="E84">
        <f>CALCULOS_AGENCIA!$AA84</f>
        <v>20</v>
      </c>
      <c r="F84" s="3">
        <f t="shared" ca="1" si="1"/>
        <v>46087</v>
      </c>
    </row>
    <row r="85" spans="1:6" x14ac:dyDescent="0.3">
      <c r="A85" t="str">
        <f>PARAMS_MODELO!$B$3</f>
        <v>2025-Q3</v>
      </c>
      <c r="B85">
        <f>CALCULOS_AGENCIA!$A85</f>
        <v>51055047</v>
      </c>
      <c r="C85">
        <f>CALCULOS_AGENCIA!$U85</f>
        <v>85.787409847735077</v>
      </c>
      <c r="D85" t="str">
        <f>CALCULOS_AGENCIA!$V85</f>
        <v>ORO</v>
      </c>
      <c r="E85">
        <f>CALCULOS_AGENCIA!$AA85</f>
        <v>257</v>
      </c>
      <c r="F85" s="3">
        <f t="shared" ca="1" si="1"/>
        <v>46087</v>
      </c>
    </row>
    <row r="86" spans="1:6" x14ac:dyDescent="0.3">
      <c r="A86" t="str">
        <f>PARAMS_MODELO!$B$3</f>
        <v>2025-Q3</v>
      </c>
      <c r="B86">
        <f>CALCULOS_AGENCIA!$A86</f>
        <v>51018176</v>
      </c>
      <c r="C86">
        <f>CALCULOS_AGENCIA!$U86</f>
        <v>81.039014504001244</v>
      </c>
      <c r="D86" t="str">
        <f>CALCULOS_AGENCIA!$V86</f>
        <v>ORO</v>
      </c>
      <c r="E86">
        <f>CALCULOS_AGENCIA!$AA86</f>
        <v>414</v>
      </c>
      <c r="F86" s="3">
        <f t="shared" ca="1" si="1"/>
        <v>46087</v>
      </c>
    </row>
    <row r="87" spans="1:6" x14ac:dyDescent="0.3">
      <c r="A87" t="str">
        <f>PARAMS_MODELO!$B$3</f>
        <v>2025-Q3</v>
      </c>
      <c r="B87">
        <f>CALCULOS_AGENCIA!$A87</f>
        <v>51015622</v>
      </c>
      <c r="C87">
        <f>CALCULOS_AGENCIA!$U87</f>
        <v>57.494345089215855</v>
      </c>
      <c r="D87" t="str">
        <f>CALCULOS_AGENCIA!$V87</f>
        <v>PLATA</v>
      </c>
      <c r="E87">
        <f>CALCULOS_AGENCIA!$AA87</f>
        <v>675</v>
      </c>
      <c r="F87" s="3">
        <f t="shared" ca="1" si="1"/>
        <v>46087</v>
      </c>
    </row>
    <row r="88" spans="1:6" x14ac:dyDescent="0.3">
      <c r="A88" t="str">
        <f>PARAMS_MODELO!$B$3</f>
        <v>2025-Q3</v>
      </c>
      <c r="B88">
        <f>CALCULOS_AGENCIA!$A88</f>
        <v>51054946</v>
      </c>
      <c r="C88">
        <f>CALCULOS_AGENCIA!$U88</f>
        <v>100</v>
      </c>
      <c r="D88" t="str">
        <f>CALCULOS_AGENCIA!$V88</f>
        <v>DIAMANTE</v>
      </c>
      <c r="E88">
        <f>CALCULOS_AGENCIA!$AA88</f>
        <v>1</v>
      </c>
      <c r="F88" s="3">
        <f t="shared" ca="1" si="1"/>
        <v>46087</v>
      </c>
    </row>
    <row r="89" spans="1:6" x14ac:dyDescent="0.3">
      <c r="A89" t="str">
        <f>PARAMS_MODELO!$B$3</f>
        <v>2025-Q3</v>
      </c>
      <c r="B89">
        <f>CALCULOS_AGENCIA!$A89</f>
        <v>51016220</v>
      </c>
      <c r="C89">
        <f>CALCULOS_AGENCIA!$U89</f>
        <v>100</v>
      </c>
      <c r="D89" t="str">
        <f>CALCULOS_AGENCIA!$V89</f>
        <v>DIAMANTE</v>
      </c>
      <c r="E89">
        <f>CALCULOS_AGENCIA!$AA89</f>
        <v>1</v>
      </c>
      <c r="F89" s="3">
        <f t="shared" ca="1" si="1"/>
        <v>46087</v>
      </c>
    </row>
    <row r="90" spans="1:6" x14ac:dyDescent="0.3">
      <c r="A90" t="str">
        <f>PARAMS_MODELO!$B$3</f>
        <v>2025-Q3</v>
      </c>
      <c r="B90">
        <f>CALCULOS_AGENCIA!$A90</f>
        <v>51025385</v>
      </c>
      <c r="C90">
        <f>CALCULOS_AGENCIA!$U90</f>
        <v>55.32375232299588</v>
      </c>
      <c r="D90" t="str">
        <f>CALCULOS_AGENCIA!$V90</f>
        <v>PLATA</v>
      </c>
      <c r="E90">
        <f>CALCULOS_AGENCIA!$AA90</f>
        <v>712</v>
      </c>
      <c r="F90" s="3">
        <f t="shared" ca="1" si="1"/>
        <v>46087</v>
      </c>
    </row>
    <row r="91" spans="1:6" x14ac:dyDescent="0.3">
      <c r="A91" t="str">
        <f>PARAMS_MODELO!$B$3</f>
        <v>2025-Q3</v>
      </c>
      <c r="B91">
        <f>CALCULOS_AGENCIA!$A91</f>
        <v>51057163</v>
      </c>
      <c r="C91">
        <f>CALCULOS_AGENCIA!$U91</f>
        <v>45.373379348932033</v>
      </c>
      <c r="D91" t="str">
        <f>CALCULOS_AGENCIA!$V91</f>
        <v>PLATA</v>
      </c>
      <c r="E91">
        <f>CALCULOS_AGENCIA!$AA91</f>
        <v>772</v>
      </c>
      <c r="F91" s="3">
        <f t="shared" ca="1" si="1"/>
        <v>46087</v>
      </c>
    </row>
    <row r="92" spans="1:6" x14ac:dyDescent="0.3">
      <c r="A92" t="str">
        <f>PARAMS_MODELO!$B$3</f>
        <v>2025-Q3</v>
      </c>
      <c r="B92">
        <f>CALCULOS_AGENCIA!$A92</f>
        <v>51055985</v>
      </c>
      <c r="C92">
        <f>CALCULOS_AGENCIA!$U92</f>
        <v>21.328999999999997</v>
      </c>
      <c r="D92" t="str">
        <f>CALCULOS_AGENCIA!$V92</f>
        <v>BRONCE</v>
      </c>
      <c r="E92">
        <f>CALCULOS_AGENCIA!$AA92</f>
        <v>959</v>
      </c>
      <c r="F92" s="3">
        <f t="shared" ca="1" si="1"/>
        <v>46087</v>
      </c>
    </row>
    <row r="93" spans="1:6" x14ac:dyDescent="0.3">
      <c r="A93" t="str">
        <f>PARAMS_MODELO!$B$3</f>
        <v>2025-Q3</v>
      </c>
      <c r="B93">
        <f>CALCULOS_AGENCIA!$A93</f>
        <v>51032993</v>
      </c>
      <c r="C93">
        <f>CALCULOS_AGENCIA!$U93</f>
        <v>98.805719411289047</v>
      </c>
      <c r="D93" t="str">
        <f>CALCULOS_AGENCIA!$V93</f>
        <v>DIAMANTE</v>
      </c>
      <c r="E93">
        <f>CALCULOS_AGENCIA!$AA93</f>
        <v>26</v>
      </c>
      <c r="F93" s="3">
        <f t="shared" ca="1" si="1"/>
        <v>46087</v>
      </c>
    </row>
    <row r="94" spans="1:6" x14ac:dyDescent="0.3">
      <c r="A94" t="str">
        <f>PARAMS_MODELO!$B$3</f>
        <v>2025-Q3</v>
      </c>
      <c r="B94">
        <f>CALCULOS_AGENCIA!$A94</f>
        <v>51015088</v>
      </c>
      <c r="C94">
        <f>CALCULOS_AGENCIA!$U94</f>
        <v>81.07100447856206</v>
      </c>
      <c r="D94" t="str">
        <f>CALCULOS_AGENCIA!$V94</f>
        <v>ORO</v>
      </c>
      <c r="E94">
        <f>CALCULOS_AGENCIA!$AA94</f>
        <v>412</v>
      </c>
      <c r="F94" s="3">
        <f t="shared" ca="1" si="1"/>
        <v>46087</v>
      </c>
    </row>
    <row r="95" spans="1:6" x14ac:dyDescent="0.3">
      <c r="A95" t="str">
        <f>PARAMS_MODELO!$B$3</f>
        <v>2025-Q3</v>
      </c>
      <c r="B95">
        <f>CALCULOS_AGENCIA!$A95</f>
        <v>51035658</v>
      </c>
      <c r="C95">
        <f>CALCULOS_AGENCIA!$U95</f>
        <v>84.788362413784753</v>
      </c>
      <c r="D95" t="str">
        <f>CALCULOS_AGENCIA!$V95</f>
        <v>ORO</v>
      </c>
      <c r="E95">
        <f>CALCULOS_AGENCIA!$AA95</f>
        <v>291</v>
      </c>
      <c r="F95" s="3">
        <f t="shared" ca="1" si="1"/>
        <v>46087</v>
      </c>
    </row>
    <row r="96" spans="1:6" x14ac:dyDescent="0.3">
      <c r="A96" t="str">
        <f>PARAMS_MODELO!$B$3</f>
        <v>2025-Q3</v>
      </c>
      <c r="B96">
        <f>CALCULOS_AGENCIA!$A96</f>
        <v>51016726</v>
      </c>
      <c r="C96">
        <f>CALCULOS_AGENCIA!$U96</f>
        <v>87.289390366050966</v>
      </c>
      <c r="D96" t="str">
        <f>CALCULOS_AGENCIA!$V96</f>
        <v>PLATINO</v>
      </c>
      <c r="E96">
        <f>CALCULOS_AGENCIA!$AA96</f>
        <v>218</v>
      </c>
      <c r="F96" s="3">
        <f t="shared" ca="1" si="1"/>
        <v>46087</v>
      </c>
    </row>
    <row r="97" spans="1:6" x14ac:dyDescent="0.3">
      <c r="A97" t="str">
        <f>PARAMS_MODELO!$B$3</f>
        <v>2025-Q3</v>
      </c>
      <c r="B97">
        <f>CALCULOS_AGENCIA!$A97</f>
        <v>51019342</v>
      </c>
      <c r="C97">
        <f>CALCULOS_AGENCIA!$U97</f>
        <v>24.127600000000001</v>
      </c>
      <c r="D97" t="str">
        <f>CALCULOS_AGENCIA!$V97</f>
        <v>BRONCE</v>
      </c>
      <c r="E97">
        <f>CALCULOS_AGENCIA!$AA97</f>
        <v>917</v>
      </c>
      <c r="F97" s="3">
        <f t="shared" ca="1" si="1"/>
        <v>46087</v>
      </c>
    </row>
    <row r="98" spans="1:6" x14ac:dyDescent="0.3">
      <c r="A98" t="str">
        <f>PARAMS_MODELO!$B$3</f>
        <v>2025-Q3</v>
      </c>
      <c r="B98">
        <f>CALCULOS_AGENCIA!$A98</f>
        <v>51014162</v>
      </c>
      <c r="C98">
        <f>CALCULOS_AGENCIA!$U98</f>
        <v>68.255888099811486</v>
      </c>
      <c r="D98" t="str">
        <f>CALCULOS_AGENCIA!$V98</f>
        <v>ORO</v>
      </c>
      <c r="E98">
        <f>CALCULOS_AGENCIA!$AA98</f>
        <v>526</v>
      </c>
      <c r="F98" s="3">
        <f t="shared" ca="1" si="1"/>
        <v>46087</v>
      </c>
    </row>
    <row r="99" spans="1:6" x14ac:dyDescent="0.3">
      <c r="A99" t="str">
        <f>PARAMS_MODELO!$B$3</f>
        <v>2025-Q3</v>
      </c>
      <c r="B99">
        <f>CALCULOS_AGENCIA!$A99</f>
        <v>51022360</v>
      </c>
      <c r="C99">
        <f>CALCULOS_AGENCIA!$U99</f>
        <v>92.306687619195088</v>
      </c>
      <c r="D99" t="str">
        <f>CALCULOS_AGENCIA!$V99</f>
        <v>PLATINO</v>
      </c>
      <c r="E99">
        <f>CALCULOS_AGENCIA!$AA99</f>
        <v>102</v>
      </c>
      <c r="F99" s="3">
        <f t="shared" ca="1" si="1"/>
        <v>46087</v>
      </c>
    </row>
    <row r="100" spans="1:6" x14ac:dyDescent="0.3">
      <c r="A100" t="str">
        <f>PARAMS_MODELO!$B$3</f>
        <v>2025-Q3</v>
      </c>
      <c r="B100">
        <f>CALCULOS_AGENCIA!$A100</f>
        <v>51040848</v>
      </c>
      <c r="C100">
        <f>CALCULOS_AGENCIA!$U100</f>
        <v>80.968127712388878</v>
      </c>
      <c r="D100" t="str">
        <f>CALCULOS_AGENCIA!$V100</f>
        <v>ORO</v>
      </c>
      <c r="E100">
        <f>CALCULOS_AGENCIA!$AA100</f>
        <v>416</v>
      </c>
      <c r="F100" s="3">
        <f t="shared" ca="1" si="1"/>
        <v>46087</v>
      </c>
    </row>
    <row r="101" spans="1:6" x14ac:dyDescent="0.3">
      <c r="A101" t="str">
        <f>PARAMS_MODELO!$B$3</f>
        <v>2025-Q3</v>
      </c>
      <c r="B101">
        <f>CALCULOS_AGENCIA!$A101</f>
        <v>51022696</v>
      </c>
      <c r="C101">
        <f>CALCULOS_AGENCIA!$U101</f>
        <v>95.235817519953329</v>
      </c>
      <c r="D101" t="str">
        <f>CALCULOS_AGENCIA!$V101</f>
        <v>PLATINO</v>
      </c>
      <c r="E101">
        <f>CALCULOS_AGENCIA!$AA101</f>
        <v>68</v>
      </c>
      <c r="F101" s="3">
        <f t="shared" ca="1" si="1"/>
        <v>46087</v>
      </c>
    </row>
    <row r="102" spans="1:6" x14ac:dyDescent="0.3">
      <c r="A102" t="str">
        <f>PARAMS_MODELO!$B$3</f>
        <v>2025-Q3</v>
      </c>
      <c r="B102">
        <f>CALCULOS_AGENCIA!$A102</f>
        <v>51056426</v>
      </c>
      <c r="C102">
        <f>CALCULOS_AGENCIA!$U102</f>
        <v>61.540524214172294</v>
      </c>
      <c r="D102" t="str">
        <f>CALCULOS_AGENCIA!$V102</f>
        <v>PLATA</v>
      </c>
      <c r="E102">
        <f>CALCULOS_AGENCIA!$AA102</f>
        <v>589</v>
      </c>
      <c r="F102" s="3">
        <f t="shared" ca="1" si="1"/>
        <v>46087</v>
      </c>
    </row>
    <row r="103" spans="1:6" x14ac:dyDescent="0.3">
      <c r="A103" t="str">
        <f>PARAMS_MODELO!$B$3</f>
        <v>2025-Q3</v>
      </c>
      <c r="B103">
        <f>CALCULOS_AGENCIA!$A103</f>
        <v>51011350</v>
      </c>
      <c r="C103">
        <f>CALCULOS_AGENCIA!$U103</f>
        <v>58.207800132387852</v>
      </c>
      <c r="D103" t="str">
        <f>CALCULOS_AGENCIA!$V103</f>
        <v>PLATA</v>
      </c>
      <c r="E103">
        <f>CALCULOS_AGENCIA!$AA103</f>
        <v>654</v>
      </c>
      <c r="F103" s="3">
        <f t="shared" ca="1" si="1"/>
        <v>46087</v>
      </c>
    </row>
    <row r="104" spans="1:6" x14ac:dyDescent="0.3">
      <c r="A104" t="str">
        <f>PARAMS_MODELO!$B$3</f>
        <v>2025-Q3</v>
      </c>
      <c r="B104">
        <f>CALCULOS_AGENCIA!$A104</f>
        <v>51024087</v>
      </c>
      <c r="C104">
        <f>CALCULOS_AGENCIA!$U104</f>
        <v>85.249721986392089</v>
      </c>
      <c r="D104" t="str">
        <f>CALCULOS_AGENCIA!$V104</f>
        <v>ORO</v>
      </c>
      <c r="E104">
        <f>CALCULOS_AGENCIA!$AA104</f>
        <v>276</v>
      </c>
      <c r="F104" s="3">
        <f t="shared" ca="1" si="1"/>
        <v>46087</v>
      </c>
    </row>
    <row r="105" spans="1:6" x14ac:dyDescent="0.3">
      <c r="A105" t="str">
        <f>PARAMS_MODELO!$B$3</f>
        <v>2025-Q3</v>
      </c>
      <c r="B105">
        <f>CALCULOS_AGENCIA!$A105</f>
        <v>51005171</v>
      </c>
      <c r="C105">
        <f>CALCULOS_AGENCIA!$U105</f>
        <v>82.931706577947693</v>
      </c>
      <c r="D105" t="str">
        <f>CALCULOS_AGENCIA!$V105</f>
        <v>ORO</v>
      </c>
      <c r="E105">
        <f>CALCULOS_AGENCIA!$AA105</f>
        <v>357</v>
      </c>
      <c r="F105" s="3">
        <f t="shared" ca="1" si="1"/>
        <v>46087</v>
      </c>
    </row>
    <row r="106" spans="1:6" x14ac:dyDescent="0.3">
      <c r="A106" t="str">
        <f>PARAMS_MODELO!$B$3</f>
        <v>2025-Q3</v>
      </c>
      <c r="B106">
        <f>CALCULOS_AGENCIA!$A106</f>
        <v>51005864</v>
      </c>
      <c r="C106">
        <f>CALCULOS_AGENCIA!$U106</f>
        <v>86.11680268072044</v>
      </c>
      <c r="D106" t="str">
        <f>CALCULOS_AGENCIA!$V106</f>
        <v>ORO</v>
      </c>
      <c r="E106">
        <f>CALCULOS_AGENCIA!$AA106</f>
        <v>247</v>
      </c>
      <c r="F106" s="3">
        <f t="shared" ca="1" si="1"/>
        <v>46087</v>
      </c>
    </row>
    <row r="107" spans="1:6" x14ac:dyDescent="0.3">
      <c r="A107" t="str">
        <f>PARAMS_MODELO!$B$3</f>
        <v>2025-Q3</v>
      </c>
      <c r="B107">
        <f>CALCULOS_AGENCIA!$A107</f>
        <v>51040317</v>
      </c>
      <c r="C107">
        <f>CALCULOS_AGENCIA!$U107</f>
        <v>88.582550780897421</v>
      </c>
      <c r="D107" t="str">
        <f>CALCULOS_AGENCIA!$V107</f>
        <v>PLATINO</v>
      </c>
      <c r="E107">
        <f>CALCULOS_AGENCIA!$AA107</f>
        <v>180</v>
      </c>
      <c r="F107" s="3">
        <f t="shared" ca="1" si="1"/>
        <v>46087</v>
      </c>
    </row>
    <row r="108" spans="1:6" x14ac:dyDescent="0.3">
      <c r="A108" t="str">
        <f>PARAMS_MODELO!$B$3</f>
        <v>2025-Q3</v>
      </c>
      <c r="B108">
        <f>CALCULOS_AGENCIA!$A108</f>
        <v>51003926</v>
      </c>
      <c r="C108">
        <f>CALCULOS_AGENCIA!$U108</f>
        <v>63.392086278292922</v>
      </c>
      <c r="D108" t="str">
        <f>CALCULOS_AGENCIA!$V108</f>
        <v>ORO</v>
      </c>
      <c r="E108">
        <f>CALCULOS_AGENCIA!$AA108</f>
        <v>554</v>
      </c>
      <c r="F108" s="3">
        <f t="shared" ca="1" si="1"/>
        <v>46087</v>
      </c>
    </row>
    <row r="109" spans="1:6" x14ac:dyDescent="0.3">
      <c r="A109" t="str">
        <f>PARAMS_MODELO!$B$3</f>
        <v>2025-Q3</v>
      </c>
      <c r="B109">
        <f>CALCULOS_AGENCIA!$A109</f>
        <v>51019911</v>
      </c>
      <c r="C109">
        <f>CALCULOS_AGENCIA!$U109</f>
        <v>23.87</v>
      </c>
      <c r="D109" t="str">
        <f>CALCULOS_AGENCIA!$V109</f>
        <v>BRONCE</v>
      </c>
      <c r="E109">
        <f>CALCULOS_AGENCIA!$AA109</f>
        <v>923</v>
      </c>
      <c r="F109" s="3">
        <f t="shared" ca="1" si="1"/>
        <v>46087</v>
      </c>
    </row>
    <row r="110" spans="1:6" x14ac:dyDescent="0.3">
      <c r="A110" t="str">
        <f>PARAMS_MODELO!$B$3</f>
        <v>2025-Q3</v>
      </c>
      <c r="B110">
        <f>CALCULOS_AGENCIA!$A110</f>
        <v>51022076</v>
      </c>
      <c r="C110">
        <f>CALCULOS_AGENCIA!$U110</f>
        <v>86.705968564452704</v>
      </c>
      <c r="D110" t="str">
        <f>CALCULOS_AGENCIA!$V110</f>
        <v>PLATINO</v>
      </c>
      <c r="E110">
        <f>CALCULOS_AGENCIA!$AA110</f>
        <v>232</v>
      </c>
      <c r="F110" s="3">
        <f t="shared" ca="1" si="1"/>
        <v>46087</v>
      </c>
    </row>
    <row r="111" spans="1:6" x14ac:dyDescent="0.3">
      <c r="A111" t="str">
        <f>PARAMS_MODELO!$B$3</f>
        <v>2025-Q3</v>
      </c>
      <c r="B111">
        <f>CALCULOS_AGENCIA!$A111</f>
        <v>51055217</v>
      </c>
      <c r="C111">
        <f>CALCULOS_AGENCIA!$U111</f>
        <v>69.070052462749118</v>
      </c>
      <c r="D111" t="str">
        <f>CALCULOS_AGENCIA!$V111</f>
        <v>ORO</v>
      </c>
      <c r="E111">
        <f>CALCULOS_AGENCIA!$AA111</f>
        <v>518</v>
      </c>
      <c r="F111" s="3">
        <f t="shared" ca="1" si="1"/>
        <v>46087</v>
      </c>
    </row>
    <row r="112" spans="1:6" x14ac:dyDescent="0.3">
      <c r="A112" t="str">
        <f>PARAMS_MODELO!$B$3</f>
        <v>2025-Q3</v>
      </c>
      <c r="B112">
        <f>CALCULOS_AGENCIA!$A112</f>
        <v>51036824</v>
      </c>
      <c r="C112">
        <f>CALCULOS_AGENCIA!$U112</f>
        <v>89.643700598622303</v>
      </c>
      <c r="D112" t="str">
        <f>CALCULOS_AGENCIA!$V112</f>
        <v>PLATINO</v>
      </c>
      <c r="E112">
        <f>CALCULOS_AGENCIA!$AA112</f>
        <v>144</v>
      </c>
      <c r="F112" s="3">
        <f t="shared" ca="1" si="1"/>
        <v>46087</v>
      </c>
    </row>
    <row r="113" spans="1:6" x14ac:dyDescent="0.3">
      <c r="A113" t="str">
        <f>PARAMS_MODELO!$B$3</f>
        <v>2025-Q3</v>
      </c>
      <c r="B113">
        <f>CALCULOS_AGENCIA!$A113</f>
        <v>51024940</v>
      </c>
      <c r="C113">
        <f>CALCULOS_AGENCIA!$U113</f>
        <v>83.497078165030487</v>
      </c>
      <c r="D113" t="str">
        <f>CALCULOS_AGENCIA!$V113</f>
        <v>ORO</v>
      </c>
      <c r="E113">
        <f>CALCULOS_AGENCIA!$AA113</f>
        <v>332</v>
      </c>
      <c r="F113" s="3">
        <f t="shared" ca="1" si="1"/>
        <v>46087</v>
      </c>
    </row>
    <row r="114" spans="1:6" x14ac:dyDescent="0.3">
      <c r="A114" t="str">
        <f>PARAMS_MODELO!$B$3</f>
        <v>2025-Q3</v>
      </c>
      <c r="B114">
        <f>CALCULOS_AGENCIA!$A114</f>
        <v>51033531</v>
      </c>
      <c r="C114">
        <f>CALCULOS_AGENCIA!$U114</f>
        <v>58.648881211872151</v>
      </c>
      <c r="D114" t="str">
        <f>CALCULOS_AGENCIA!$V114</f>
        <v>PLATA</v>
      </c>
      <c r="E114">
        <f>CALCULOS_AGENCIA!$AA114</f>
        <v>642</v>
      </c>
      <c r="F114" s="3">
        <f t="shared" ca="1" si="1"/>
        <v>46087</v>
      </c>
    </row>
    <row r="115" spans="1:6" x14ac:dyDescent="0.3">
      <c r="A115" t="str">
        <f>PARAMS_MODELO!$B$3</f>
        <v>2025-Q3</v>
      </c>
      <c r="B115">
        <f>CALCULOS_AGENCIA!$A115</f>
        <v>51032454</v>
      </c>
      <c r="C115">
        <f>CALCULOS_AGENCIA!$U115</f>
        <v>21.349999999999998</v>
      </c>
      <c r="D115" t="str">
        <f>CALCULOS_AGENCIA!$V115</f>
        <v>BRONCE</v>
      </c>
      <c r="E115">
        <f>CALCULOS_AGENCIA!$AA115</f>
        <v>958</v>
      </c>
      <c r="F115" s="3">
        <f t="shared" ca="1" si="1"/>
        <v>46087</v>
      </c>
    </row>
    <row r="116" spans="1:6" x14ac:dyDescent="0.3">
      <c r="A116" t="str">
        <f>PARAMS_MODELO!$B$3</f>
        <v>2025-Q3</v>
      </c>
      <c r="B116">
        <f>CALCULOS_AGENCIA!$A116</f>
        <v>51014260</v>
      </c>
      <c r="C116">
        <f>CALCULOS_AGENCIA!$U116</f>
        <v>90.217456069758569</v>
      </c>
      <c r="D116" t="str">
        <f>CALCULOS_AGENCIA!$V116</f>
        <v>PLATINO</v>
      </c>
      <c r="E116">
        <f>CALCULOS_AGENCIA!$AA116</f>
        <v>132</v>
      </c>
      <c r="F116" s="3">
        <f t="shared" ca="1" si="1"/>
        <v>46087</v>
      </c>
    </row>
    <row r="117" spans="1:6" x14ac:dyDescent="0.3">
      <c r="A117" t="str">
        <f>PARAMS_MODELO!$B$3</f>
        <v>2025-Q3</v>
      </c>
      <c r="B117">
        <f>CALCULOS_AGENCIA!$A117</f>
        <v>51011414</v>
      </c>
      <c r="C117">
        <f>CALCULOS_AGENCIA!$U117</f>
        <v>56.330813909276877</v>
      </c>
      <c r="D117" t="str">
        <f>CALCULOS_AGENCIA!$V117</f>
        <v>PLATA</v>
      </c>
      <c r="E117">
        <f>CALCULOS_AGENCIA!$AA117</f>
        <v>695</v>
      </c>
      <c r="F117" s="3">
        <f t="shared" ca="1" si="1"/>
        <v>46087</v>
      </c>
    </row>
    <row r="118" spans="1:6" x14ac:dyDescent="0.3">
      <c r="A118" t="str">
        <f>PARAMS_MODELO!$B$3</f>
        <v>2025-Q3</v>
      </c>
      <c r="B118">
        <f>CALCULOS_AGENCIA!$A118</f>
        <v>51018559</v>
      </c>
      <c r="C118">
        <f>CALCULOS_AGENCIA!$U118</f>
        <v>31.9</v>
      </c>
      <c r="D118" t="str">
        <f>CALCULOS_AGENCIA!$V118</f>
        <v>PLATA</v>
      </c>
      <c r="E118">
        <f>CALCULOS_AGENCIA!$AA118</f>
        <v>838</v>
      </c>
      <c r="F118" s="3">
        <f t="shared" ca="1" si="1"/>
        <v>46087</v>
      </c>
    </row>
    <row r="119" spans="1:6" x14ac:dyDescent="0.3">
      <c r="A119" t="str">
        <f>PARAMS_MODELO!$B$3</f>
        <v>2025-Q3</v>
      </c>
      <c r="B119">
        <f>CALCULOS_AGENCIA!$A119</f>
        <v>51014308</v>
      </c>
      <c r="C119">
        <f>CALCULOS_AGENCIA!$U119</f>
        <v>81.612059762751855</v>
      </c>
      <c r="D119" t="str">
        <f>CALCULOS_AGENCIA!$V119</f>
        <v>ORO</v>
      </c>
      <c r="E119">
        <f>CALCULOS_AGENCIA!$AA119</f>
        <v>397</v>
      </c>
      <c r="F119" s="3">
        <f t="shared" ca="1" si="1"/>
        <v>46087</v>
      </c>
    </row>
    <row r="120" spans="1:6" x14ac:dyDescent="0.3">
      <c r="A120" t="str">
        <f>PARAMS_MODELO!$B$3</f>
        <v>2025-Q3</v>
      </c>
      <c r="B120">
        <f>CALCULOS_AGENCIA!$A120</f>
        <v>51056949</v>
      </c>
      <c r="C120">
        <f>CALCULOS_AGENCIA!$U120</f>
        <v>85.157238506176299</v>
      </c>
      <c r="D120" t="str">
        <f>CALCULOS_AGENCIA!$V120</f>
        <v>ORO</v>
      </c>
      <c r="E120">
        <f>CALCULOS_AGENCIA!$AA120</f>
        <v>280</v>
      </c>
      <c r="F120" s="3">
        <f t="shared" ca="1" si="1"/>
        <v>46087</v>
      </c>
    </row>
    <row r="121" spans="1:6" x14ac:dyDescent="0.3">
      <c r="A121" t="str">
        <f>PARAMS_MODELO!$B$3</f>
        <v>2025-Q3</v>
      </c>
      <c r="B121">
        <f>CALCULOS_AGENCIA!$A121</f>
        <v>51022173</v>
      </c>
      <c r="C121">
        <f>CALCULOS_AGENCIA!$U121</f>
        <v>84.885151023239629</v>
      </c>
      <c r="D121" t="str">
        <f>CALCULOS_AGENCIA!$V121</f>
        <v>ORO</v>
      </c>
      <c r="E121">
        <f>CALCULOS_AGENCIA!$AA121</f>
        <v>287</v>
      </c>
      <c r="F121" s="3">
        <f t="shared" ca="1" si="1"/>
        <v>46087</v>
      </c>
    </row>
    <row r="122" spans="1:6" x14ac:dyDescent="0.3">
      <c r="A122" t="str">
        <f>PARAMS_MODELO!$B$3</f>
        <v>2025-Q3</v>
      </c>
      <c r="B122">
        <f>CALCULOS_AGENCIA!$A122</f>
        <v>51023765</v>
      </c>
      <c r="C122">
        <f>CALCULOS_AGENCIA!$U122</f>
        <v>96.355224701242037</v>
      </c>
      <c r="D122" t="str">
        <f>CALCULOS_AGENCIA!$V122</f>
        <v>DIAMANTE</v>
      </c>
      <c r="E122">
        <f>CALCULOS_AGENCIA!$AA122</f>
        <v>56</v>
      </c>
      <c r="F122" s="3">
        <f t="shared" ca="1" si="1"/>
        <v>46087</v>
      </c>
    </row>
    <row r="123" spans="1:6" x14ac:dyDescent="0.3">
      <c r="A123" t="str">
        <f>PARAMS_MODELO!$B$3</f>
        <v>2025-Q3</v>
      </c>
      <c r="B123">
        <f>CALCULOS_AGENCIA!$A123</f>
        <v>51038908</v>
      </c>
      <c r="C123">
        <f>CALCULOS_AGENCIA!$U123</f>
        <v>86.918295979080739</v>
      </c>
      <c r="D123" t="str">
        <f>CALCULOS_AGENCIA!$V123</f>
        <v>PLATINO</v>
      </c>
      <c r="E123">
        <f>CALCULOS_AGENCIA!$AA123</f>
        <v>226</v>
      </c>
      <c r="F123" s="3">
        <f t="shared" ca="1" si="1"/>
        <v>46087</v>
      </c>
    </row>
    <row r="124" spans="1:6" x14ac:dyDescent="0.3">
      <c r="A124" t="str">
        <f>PARAMS_MODELO!$B$3</f>
        <v>2025-Q3</v>
      </c>
      <c r="B124">
        <f>CALCULOS_AGENCIA!$A124</f>
        <v>51013158</v>
      </c>
      <c r="C124">
        <f>CALCULOS_AGENCIA!$U124</f>
        <v>63.055228391489436</v>
      </c>
      <c r="D124" t="str">
        <f>CALCULOS_AGENCIA!$V124</f>
        <v>PLATA</v>
      </c>
      <c r="E124">
        <f>CALCULOS_AGENCIA!$AA124</f>
        <v>558</v>
      </c>
      <c r="F124" s="3">
        <f t="shared" ca="1" si="1"/>
        <v>46087</v>
      </c>
    </row>
    <row r="125" spans="1:6" x14ac:dyDescent="0.3">
      <c r="A125" t="str">
        <f>PARAMS_MODELO!$B$3</f>
        <v>2025-Q3</v>
      </c>
      <c r="B125">
        <f>CALCULOS_AGENCIA!$A125</f>
        <v>51024176</v>
      </c>
      <c r="C125">
        <f>CALCULOS_AGENCIA!$U125</f>
        <v>52.768657166209167</v>
      </c>
      <c r="D125" t="str">
        <f>CALCULOS_AGENCIA!$V125</f>
        <v>PLATA</v>
      </c>
      <c r="E125">
        <f>CALCULOS_AGENCIA!$AA125</f>
        <v>725</v>
      </c>
      <c r="F125" s="3">
        <f t="shared" ca="1" si="1"/>
        <v>46087</v>
      </c>
    </row>
    <row r="126" spans="1:6" x14ac:dyDescent="0.3">
      <c r="A126" t="str">
        <f>PARAMS_MODELO!$B$3</f>
        <v>2025-Q3</v>
      </c>
      <c r="B126">
        <f>CALCULOS_AGENCIA!$A126</f>
        <v>51000196</v>
      </c>
      <c r="C126">
        <f>CALCULOS_AGENCIA!$U126</f>
        <v>100</v>
      </c>
      <c r="D126" t="str">
        <f>CALCULOS_AGENCIA!$V126</f>
        <v>DIAMANTE</v>
      </c>
      <c r="E126">
        <f>CALCULOS_AGENCIA!$AA126</f>
        <v>1</v>
      </c>
      <c r="F126" s="3">
        <f t="shared" ca="1" si="1"/>
        <v>46087</v>
      </c>
    </row>
    <row r="127" spans="1:6" x14ac:dyDescent="0.3">
      <c r="A127" t="str">
        <f>PARAMS_MODELO!$B$3</f>
        <v>2025-Q3</v>
      </c>
      <c r="B127">
        <f>CALCULOS_AGENCIA!$A127</f>
        <v>51024672</v>
      </c>
      <c r="C127">
        <f>CALCULOS_AGENCIA!$U127</f>
        <v>88.513854371692105</v>
      </c>
      <c r="D127" t="str">
        <f>CALCULOS_AGENCIA!$V127</f>
        <v>PLATINO</v>
      </c>
      <c r="E127">
        <f>CALCULOS_AGENCIA!$AA127</f>
        <v>182</v>
      </c>
      <c r="F127" s="3">
        <f t="shared" ca="1" si="1"/>
        <v>46087</v>
      </c>
    </row>
    <row r="128" spans="1:6" x14ac:dyDescent="0.3">
      <c r="A128" t="str">
        <f>PARAMS_MODELO!$B$3</f>
        <v>2025-Q3</v>
      </c>
      <c r="B128">
        <f>CALCULOS_AGENCIA!$A128</f>
        <v>51021657</v>
      </c>
      <c r="C128">
        <f>CALCULOS_AGENCIA!$U128</f>
        <v>87.020378023194951</v>
      </c>
      <c r="D128" t="str">
        <f>CALCULOS_AGENCIA!$V128</f>
        <v>PLATINO</v>
      </c>
      <c r="E128">
        <f>CALCULOS_AGENCIA!$AA128</f>
        <v>224</v>
      </c>
      <c r="F128" s="3">
        <f t="shared" ca="1" si="1"/>
        <v>46087</v>
      </c>
    </row>
    <row r="129" spans="1:6" x14ac:dyDescent="0.3">
      <c r="A129" t="str">
        <f>PARAMS_MODELO!$B$3</f>
        <v>2025-Q3</v>
      </c>
      <c r="B129">
        <f>CALCULOS_AGENCIA!$A129</f>
        <v>51042263</v>
      </c>
      <c r="C129">
        <f>CALCULOS_AGENCIA!$U129</f>
        <v>64.426733314364526</v>
      </c>
      <c r="D129" t="str">
        <f>CALCULOS_AGENCIA!$V129</f>
        <v>ORO</v>
      </c>
      <c r="E129">
        <f>CALCULOS_AGENCIA!$AA129</f>
        <v>545</v>
      </c>
      <c r="F129" s="3">
        <f t="shared" ca="1" si="1"/>
        <v>46087</v>
      </c>
    </row>
    <row r="130" spans="1:6" x14ac:dyDescent="0.3">
      <c r="A130" t="str">
        <f>PARAMS_MODELO!$B$3</f>
        <v>2025-Q3</v>
      </c>
      <c r="B130">
        <f>CALCULOS_AGENCIA!$A130</f>
        <v>51055365</v>
      </c>
      <c r="C130">
        <f>CALCULOS_AGENCIA!$U130</f>
        <v>85.764544582021216</v>
      </c>
      <c r="D130" t="str">
        <f>CALCULOS_AGENCIA!$V130</f>
        <v>ORO</v>
      </c>
      <c r="E130">
        <f>CALCULOS_AGENCIA!$AA130</f>
        <v>259</v>
      </c>
      <c r="F130" s="3">
        <f t="shared" ref="F130:F193" ca="1" si="2">TODAY()</f>
        <v>46087</v>
      </c>
    </row>
    <row r="131" spans="1:6" x14ac:dyDescent="0.3">
      <c r="A131" t="str">
        <f>PARAMS_MODELO!$B$3</f>
        <v>2025-Q3</v>
      </c>
      <c r="B131">
        <f>CALCULOS_AGENCIA!$A131</f>
        <v>51031385</v>
      </c>
      <c r="C131">
        <f>CALCULOS_AGENCIA!$U131</f>
        <v>82.849228768931098</v>
      </c>
      <c r="D131" t="str">
        <f>CALCULOS_AGENCIA!$V131</f>
        <v>ORO</v>
      </c>
      <c r="E131">
        <f>CALCULOS_AGENCIA!$AA131</f>
        <v>360</v>
      </c>
      <c r="F131" s="3">
        <f t="shared" ca="1" si="2"/>
        <v>46087</v>
      </c>
    </row>
    <row r="132" spans="1:6" x14ac:dyDescent="0.3">
      <c r="A132" t="str">
        <f>PARAMS_MODELO!$B$3</f>
        <v>2025-Q3</v>
      </c>
      <c r="B132">
        <f>CALCULOS_AGENCIA!$A132</f>
        <v>51041577</v>
      </c>
      <c r="C132">
        <f>CALCULOS_AGENCIA!$U132</f>
        <v>96.156396334011944</v>
      </c>
      <c r="D132" t="str">
        <f>CALCULOS_AGENCIA!$V132</f>
        <v>DIAMANTE</v>
      </c>
      <c r="E132">
        <f>CALCULOS_AGENCIA!$AA132</f>
        <v>59</v>
      </c>
      <c r="F132" s="3">
        <f t="shared" ca="1" si="2"/>
        <v>46087</v>
      </c>
    </row>
    <row r="133" spans="1:6" x14ac:dyDescent="0.3">
      <c r="A133" t="str">
        <f>PARAMS_MODELO!$B$3</f>
        <v>2025-Q3</v>
      </c>
      <c r="B133">
        <f>CALCULOS_AGENCIA!$A133</f>
        <v>51018877</v>
      </c>
      <c r="C133">
        <f>CALCULOS_AGENCIA!$U133</f>
        <v>21.738499999999998</v>
      </c>
      <c r="D133" t="str">
        <f>CALCULOS_AGENCIA!$V133</f>
        <v>BRONCE</v>
      </c>
      <c r="E133">
        <f>CALCULOS_AGENCIA!$AA133</f>
        <v>950</v>
      </c>
      <c r="F133" s="3">
        <f t="shared" ca="1" si="2"/>
        <v>46087</v>
      </c>
    </row>
    <row r="134" spans="1:6" x14ac:dyDescent="0.3">
      <c r="A134" t="str">
        <f>PARAMS_MODELO!$B$3</f>
        <v>2025-Q3</v>
      </c>
      <c r="B134">
        <f>CALCULOS_AGENCIA!$A134</f>
        <v>51030303</v>
      </c>
      <c r="C134">
        <f>CALCULOS_AGENCIA!$U134</f>
        <v>45.597153089354798</v>
      </c>
      <c r="D134" t="str">
        <f>CALCULOS_AGENCIA!$V134</f>
        <v>PLATA</v>
      </c>
      <c r="E134">
        <f>CALCULOS_AGENCIA!$AA134</f>
        <v>769</v>
      </c>
      <c r="F134" s="3">
        <f t="shared" ca="1" si="2"/>
        <v>46087</v>
      </c>
    </row>
    <row r="135" spans="1:6" x14ac:dyDescent="0.3">
      <c r="A135" t="str">
        <f>PARAMS_MODELO!$B$3</f>
        <v>2025-Q3</v>
      </c>
      <c r="B135">
        <f>CALCULOS_AGENCIA!$A135</f>
        <v>51030613</v>
      </c>
      <c r="C135">
        <f>CALCULOS_AGENCIA!$U135</f>
        <v>80.634754001186607</v>
      </c>
      <c r="D135" t="str">
        <f>CALCULOS_AGENCIA!$V135</f>
        <v>ORO</v>
      </c>
      <c r="E135">
        <f>CALCULOS_AGENCIA!$AA135</f>
        <v>424</v>
      </c>
      <c r="F135" s="3">
        <f t="shared" ca="1" si="2"/>
        <v>46087</v>
      </c>
    </row>
    <row r="136" spans="1:6" x14ac:dyDescent="0.3">
      <c r="A136" t="str">
        <f>PARAMS_MODELO!$B$3</f>
        <v>2025-Q3</v>
      </c>
      <c r="B136">
        <f>CALCULOS_AGENCIA!$A136</f>
        <v>51033761</v>
      </c>
      <c r="C136">
        <f>CALCULOS_AGENCIA!$U136</f>
        <v>47.690447791746607</v>
      </c>
      <c r="D136" t="str">
        <f>CALCULOS_AGENCIA!$V136</f>
        <v>PLATA</v>
      </c>
      <c r="E136">
        <f>CALCULOS_AGENCIA!$AA136</f>
        <v>756</v>
      </c>
      <c r="F136" s="3">
        <f t="shared" ca="1" si="2"/>
        <v>46087</v>
      </c>
    </row>
    <row r="137" spans="1:6" x14ac:dyDescent="0.3">
      <c r="A137" t="str">
        <f>PARAMS_MODELO!$B$3</f>
        <v>2025-Q3</v>
      </c>
      <c r="B137">
        <f>CALCULOS_AGENCIA!$A137</f>
        <v>51023170</v>
      </c>
      <c r="C137">
        <f>CALCULOS_AGENCIA!$U137</f>
        <v>62.248865950461898</v>
      </c>
      <c r="D137" t="str">
        <f>CALCULOS_AGENCIA!$V137</f>
        <v>PLATA</v>
      </c>
      <c r="E137">
        <f>CALCULOS_AGENCIA!$AA137</f>
        <v>574</v>
      </c>
      <c r="F137" s="3">
        <f t="shared" ca="1" si="2"/>
        <v>46087</v>
      </c>
    </row>
    <row r="138" spans="1:6" x14ac:dyDescent="0.3">
      <c r="A138" t="str">
        <f>PARAMS_MODELO!$B$3</f>
        <v>2025-Q3</v>
      </c>
      <c r="B138">
        <f>CALCULOS_AGENCIA!$A138</f>
        <v>51030079</v>
      </c>
      <c r="C138">
        <f>CALCULOS_AGENCIA!$U138</f>
        <v>85.038700550324592</v>
      </c>
      <c r="D138" t="str">
        <f>CALCULOS_AGENCIA!$V138</f>
        <v>ORO</v>
      </c>
      <c r="E138">
        <f>CALCULOS_AGENCIA!$AA138</f>
        <v>283</v>
      </c>
      <c r="F138" s="3">
        <f t="shared" ca="1" si="2"/>
        <v>46087</v>
      </c>
    </row>
    <row r="139" spans="1:6" x14ac:dyDescent="0.3">
      <c r="A139" t="str">
        <f>PARAMS_MODELO!$B$3</f>
        <v>2025-Q3</v>
      </c>
      <c r="B139">
        <f>CALCULOS_AGENCIA!$A139</f>
        <v>51034317</v>
      </c>
      <c r="C139">
        <f>CALCULOS_AGENCIA!$U139</f>
        <v>59.887255147295747</v>
      </c>
      <c r="D139" t="str">
        <f>CALCULOS_AGENCIA!$V139</f>
        <v>PLATA</v>
      </c>
      <c r="E139">
        <f>CALCULOS_AGENCIA!$AA139</f>
        <v>622</v>
      </c>
      <c r="F139" s="3">
        <f t="shared" ca="1" si="2"/>
        <v>46087</v>
      </c>
    </row>
    <row r="140" spans="1:6" x14ac:dyDescent="0.3">
      <c r="A140" t="str">
        <f>PARAMS_MODELO!$B$3</f>
        <v>2025-Q3</v>
      </c>
      <c r="B140">
        <f>CALCULOS_AGENCIA!$A140</f>
        <v>51012666</v>
      </c>
      <c r="C140">
        <f>CALCULOS_AGENCIA!$U140</f>
        <v>68.594460085834768</v>
      </c>
      <c r="D140" t="str">
        <f>CALCULOS_AGENCIA!$V140</f>
        <v>ORO</v>
      </c>
      <c r="E140">
        <f>CALCULOS_AGENCIA!$AA140</f>
        <v>522</v>
      </c>
      <c r="F140" s="3">
        <f t="shared" ca="1" si="2"/>
        <v>46087</v>
      </c>
    </row>
    <row r="141" spans="1:6" x14ac:dyDescent="0.3">
      <c r="A141" t="str">
        <f>PARAMS_MODELO!$B$3</f>
        <v>2025-Q3</v>
      </c>
      <c r="B141">
        <f>CALCULOS_AGENCIA!$A141</f>
        <v>51036247</v>
      </c>
      <c r="C141">
        <f>CALCULOS_AGENCIA!$U141</f>
        <v>18.829999999999998</v>
      </c>
      <c r="D141" t="str">
        <f>CALCULOS_AGENCIA!$V141</f>
        <v>BRONCE</v>
      </c>
      <c r="E141">
        <f>CALCULOS_AGENCIA!$AA141</f>
        <v>1010</v>
      </c>
      <c r="F141" s="3">
        <f t="shared" ca="1" si="2"/>
        <v>46087</v>
      </c>
    </row>
    <row r="142" spans="1:6" x14ac:dyDescent="0.3">
      <c r="A142" t="str">
        <f>PARAMS_MODELO!$B$3</f>
        <v>2025-Q3</v>
      </c>
      <c r="B142">
        <f>CALCULOS_AGENCIA!$A142</f>
        <v>51011325</v>
      </c>
      <c r="C142">
        <f>CALCULOS_AGENCIA!$U142</f>
        <v>47.507170974705211</v>
      </c>
      <c r="D142" t="str">
        <f>CALCULOS_AGENCIA!$V142</f>
        <v>PLATA</v>
      </c>
      <c r="E142">
        <f>CALCULOS_AGENCIA!$AA142</f>
        <v>757</v>
      </c>
      <c r="F142" s="3">
        <f t="shared" ca="1" si="2"/>
        <v>46087</v>
      </c>
    </row>
    <row r="143" spans="1:6" x14ac:dyDescent="0.3">
      <c r="A143" t="str">
        <f>PARAMS_MODELO!$B$3</f>
        <v>2025-Q3</v>
      </c>
      <c r="B143">
        <f>CALCULOS_AGENCIA!$A143</f>
        <v>51004469</v>
      </c>
      <c r="C143">
        <f>CALCULOS_AGENCIA!$U143</f>
        <v>57.101401987474254</v>
      </c>
      <c r="D143" t="str">
        <f>CALCULOS_AGENCIA!$V143</f>
        <v>PLATA</v>
      </c>
      <c r="E143">
        <f>CALCULOS_AGENCIA!$AA143</f>
        <v>681</v>
      </c>
      <c r="F143" s="3">
        <f t="shared" ca="1" si="2"/>
        <v>46087</v>
      </c>
    </row>
    <row r="144" spans="1:6" x14ac:dyDescent="0.3">
      <c r="A144" t="str">
        <f>PARAMS_MODELO!$B$3</f>
        <v>2025-Q3</v>
      </c>
      <c r="B144">
        <f>CALCULOS_AGENCIA!$A144</f>
        <v>51020251</v>
      </c>
      <c r="C144">
        <f>CALCULOS_AGENCIA!$U144</f>
        <v>37.972160489671403</v>
      </c>
      <c r="D144" t="str">
        <f>CALCULOS_AGENCIA!$V144</f>
        <v>PLATA</v>
      </c>
      <c r="E144">
        <f>CALCULOS_AGENCIA!$AA144</f>
        <v>795</v>
      </c>
      <c r="F144" s="3">
        <f t="shared" ca="1" si="2"/>
        <v>46087</v>
      </c>
    </row>
    <row r="145" spans="1:6" x14ac:dyDescent="0.3">
      <c r="A145" t="str">
        <f>PARAMS_MODELO!$B$3</f>
        <v>2025-Q3</v>
      </c>
      <c r="B145">
        <f>CALCULOS_AGENCIA!$A145</f>
        <v>51016793</v>
      </c>
      <c r="C145">
        <f>CALCULOS_AGENCIA!$U145</f>
        <v>46.992905910032327</v>
      </c>
      <c r="D145" t="str">
        <f>CALCULOS_AGENCIA!$V145</f>
        <v>PLATA</v>
      </c>
      <c r="E145">
        <f>CALCULOS_AGENCIA!$AA145</f>
        <v>760</v>
      </c>
      <c r="F145" s="3">
        <f t="shared" ca="1" si="2"/>
        <v>46087</v>
      </c>
    </row>
    <row r="146" spans="1:6" x14ac:dyDescent="0.3">
      <c r="A146" t="str">
        <f>PARAMS_MODELO!$B$3</f>
        <v>2025-Q3</v>
      </c>
      <c r="B146">
        <f>CALCULOS_AGENCIA!$A146</f>
        <v>51015401</v>
      </c>
      <c r="C146">
        <f>CALCULOS_AGENCIA!$U146</f>
        <v>98.192790569450636</v>
      </c>
      <c r="D146" t="str">
        <f>CALCULOS_AGENCIA!$V146</f>
        <v>DIAMANTE</v>
      </c>
      <c r="E146">
        <f>CALCULOS_AGENCIA!$AA146</f>
        <v>36</v>
      </c>
      <c r="F146" s="3">
        <f t="shared" ca="1" si="2"/>
        <v>46087</v>
      </c>
    </row>
    <row r="147" spans="1:6" x14ac:dyDescent="0.3">
      <c r="A147" t="str">
        <f>PARAMS_MODELO!$B$3</f>
        <v>2025-Q3</v>
      </c>
      <c r="B147">
        <f>CALCULOS_AGENCIA!$A147</f>
        <v>51056281</v>
      </c>
      <c r="C147">
        <f>CALCULOS_AGENCIA!$U147</f>
        <v>84.299881903358312</v>
      </c>
      <c r="D147" t="str">
        <f>CALCULOS_AGENCIA!$V147</f>
        <v>ORO</v>
      </c>
      <c r="E147">
        <f>CALCULOS_AGENCIA!$AA147</f>
        <v>306</v>
      </c>
      <c r="F147" s="3">
        <f t="shared" ca="1" si="2"/>
        <v>46087</v>
      </c>
    </row>
    <row r="148" spans="1:6" x14ac:dyDescent="0.3">
      <c r="A148" t="str">
        <f>PARAMS_MODELO!$B$3</f>
        <v>2025-Q3</v>
      </c>
      <c r="B148">
        <f>CALCULOS_AGENCIA!$A148</f>
        <v>51055012</v>
      </c>
      <c r="C148">
        <f>CALCULOS_AGENCIA!$U148</f>
        <v>59.61358250042101</v>
      </c>
      <c r="D148" t="str">
        <f>CALCULOS_AGENCIA!$V148</f>
        <v>PLATA</v>
      </c>
      <c r="E148">
        <f>CALCULOS_AGENCIA!$AA148</f>
        <v>627</v>
      </c>
      <c r="F148" s="3">
        <f t="shared" ca="1" si="2"/>
        <v>46087</v>
      </c>
    </row>
    <row r="149" spans="1:6" x14ac:dyDescent="0.3">
      <c r="A149" t="str">
        <f>PARAMS_MODELO!$B$3</f>
        <v>2025-Q3</v>
      </c>
      <c r="B149">
        <f>CALCULOS_AGENCIA!$A149</f>
        <v>51006615</v>
      </c>
      <c r="C149">
        <f>CALCULOS_AGENCIA!$U149</f>
        <v>84.937470449615148</v>
      </c>
      <c r="D149" t="str">
        <f>CALCULOS_AGENCIA!$V149</f>
        <v>ORO</v>
      </c>
      <c r="E149">
        <f>CALCULOS_AGENCIA!$AA149</f>
        <v>286</v>
      </c>
      <c r="F149" s="3">
        <f t="shared" ca="1" si="2"/>
        <v>46087</v>
      </c>
    </row>
    <row r="150" spans="1:6" x14ac:dyDescent="0.3">
      <c r="A150" t="str">
        <f>PARAMS_MODELO!$B$3</f>
        <v>2025-Q3</v>
      </c>
      <c r="B150">
        <f>CALCULOS_AGENCIA!$A150</f>
        <v>51011724</v>
      </c>
      <c r="C150">
        <f>CALCULOS_AGENCIA!$U150</f>
        <v>88.719609912336523</v>
      </c>
      <c r="D150" t="str">
        <f>CALCULOS_AGENCIA!$V150</f>
        <v>PLATINO</v>
      </c>
      <c r="E150">
        <f>CALCULOS_AGENCIA!$AA150</f>
        <v>176</v>
      </c>
      <c r="F150" s="3">
        <f t="shared" ca="1" si="2"/>
        <v>46087</v>
      </c>
    </row>
    <row r="151" spans="1:6" x14ac:dyDescent="0.3">
      <c r="A151" t="str">
        <f>PARAMS_MODELO!$B$3</f>
        <v>2025-Q3</v>
      </c>
      <c r="B151">
        <f>CALCULOS_AGENCIA!$A151</f>
        <v>51010469</v>
      </c>
      <c r="C151">
        <f>CALCULOS_AGENCIA!$U151</f>
        <v>60.147605787429853</v>
      </c>
      <c r="D151" t="str">
        <f>CALCULOS_AGENCIA!$V151</f>
        <v>PLATA</v>
      </c>
      <c r="E151">
        <f>CALCULOS_AGENCIA!$AA151</f>
        <v>614</v>
      </c>
      <c r="F151" s="3">
        <f t="shared" ca="1" si="2"/>
        <v>46087</v>
      </c>
    </row>
    <row r="152" spans="1:6" x14ac:dyDescent="0.3">
      <c r="A152" t="str">
        <f>PARAMS_MODELO!$B$3</f>
        <v>2025-Q3</v>
      </c>
      <c r="B152">
        <f>CALCULOS_AGENCIA!$A152</f>
        <v>51056191</v>
      </c>
      <c r="C152">
        <f>CALCULOS_AGENCIA!$U152</f>
        <v>71.565725976978072</v>
      </c>
      <c r="D152" t="str">
        <f>CALCULOS_AGENCIA!$V152</f>
        <v>ORO</v>
      </c>
      <c r="E152">
        <f>CALCULOS_AGENCIA!$AA152</f>
        <v>501</v>
      </c>
      <c r="F152" s="3">
        <f t="shared" ca="1" si="2"/>
        <v>46087</v>
      </c>
    </row>
    <row r="153" spans="1:6" x14ac:dyDescent="0.3">
      <c r="A153" t="str">
        <f>PARAMS_MODELO!$B$3</f>
        <v>2025-Q3</v>
      </c>
      <c r="B153">
        <f>CALCULOS_AGENCIA!$A153</f>
        <v>51023781</v>
      </c>
      <c r="C153">
        <f>CALCULOS_AGENCIA!$U153</f>
        <v>92.918915687393678</v>
      </c>
      <c r="D153" t="str">
        <f>CALCULOS_AGENCIA!$V153</f>
        <v>PLATINO</v>
      </c>
      <c r="E153">
        <f>CALCULOS_AGENCIA!$AA153</f>
        <v>90</v>
      </c>
      <c r="F153" s="3">
        <f t="shared" ca="1" si="2"/>
        <v>46087</v>
      </c>
    </row>
    <row r="154" spans="1:6" x14ac:dyDescent="0.3">
      <c r="A154" t="str">
        <f>PARAMS_MODELO!$B$3</f>
        <v>2025-Q3</v>
      </c>
      <c r="B154">
        <f>CALCULOS_AGENCIA!$A154</f>
        <v>51056221</v>
      </c>
      <c r="C154">
        <f>CALCULOS_AGENCIA!$U154</f>
        <v>25.18</v>
      </c>
      <c r="D154" t="str">
        <f>CALCULOS_AGENCIA!$V154</f>
        <v>PLATA</v>
      </c>
      <c r="E154">
        <f>CALCULOS_AGENCIA!$AA154</f>
        <v>913</v>
      </c>
      <c r="F154" s="3">
        <f t="shared" ca="1" si="2"/>
        <v>46087</v>
      </c>
    </row>
    <row r="155" spans="1:6" x14ac:dyDescent="0.3">
      <c r="A155" t="str">
        <f>PARAMS_MODELO!$B$3</f>
        <v>2025-Q3</v>
      </c>
      <c r="B155">
        <f>CALCULOS_AGENCIA!$A155</f>
        <v>51018443</v>
      </c>
      <c r="C155">
        <f>CALCULOS_AGENCIA!$U155</f>
        <v>83.114747453590937</v>
      </c>
      <c r="D155" t="str">
        <f>CALCULOS_AGENCIA!$V155</f>
        <v>ORO</v>
      </c>
      <c r="E155">
        <f>CALCULOS_AGENCIA!$AA155</f>
        <v>349</v>
      </c>
      <c r="F155" s="3">
        <f t="shared" ca="1" si="2"/>
        <v>46087</v>
      </c>
    </row>
    <row r="156" spans="1:6" x14ac:dyDescent="0.3">
      <c r="A156" t="str">
        <f>PARAMS_MODELO!$B$3</f>
        <v>2025-Q3</v>
      </c>
      <c r="B156">
        <f>CALCULOS_AGENCIA!$A156</f>
        <v>51023757</v>
      </c>
      <c r="C156">
        <f>CALCULOS_AGENCIA!$U156</f>
        <v>100</v>
      </c>
      <c r="D156" t="str">
        <f>CALCULOS_AGENCIA!$V156</f>
        <v>DIAMANTE</v>
      </c>
      <c r="E156">
        <f>CALCULOS_AGENCIA!$AA156</f>
        <v>1</v>
      </c>
      <c r="F156" s="3">
        <f t="shared" ca="1" si="2"/>
        <v>46087</v>
      </c>
    </row>
    <row r="157" spans="1:6" x14ac:dyDescent="0.3">
      <c r="A157" t="str">
        <f>PARAMS_MODELO!$B$3</f>
        <v>2025-Q3</v>
      </c>
      <c r="B157">
        <f>CALCULOS_AGENCIA!$A157</f>
        <v>51055357</v>
      </c>
      <c r="C157">
        <f>CALCULOS_AGENCIA!$U157</f>
        <v>92.11594509057889</v>
      </c>
      <c r="D157" t="str">
        <f>CALCULOS_AGENCIA!$V157</f>
        <v>PLATINO</v>
      </c>
      <c r="E157">
        <f>CALCULOS_AGENCIA!$AA157</f>
        <v>105</v>
      </c>
      <c r="F157" s="3">
        <f t="shared" ca="1" si="2"/>
        <v>46087</v>
      </c>
    </row>
    <row r="158" spans="1:6" x14ac:dyDescent="0.3">
      <c r="A158" t="str">
        <f>PARAMS_MODELO!$B$3</f>
        <v>2025-Q3</v>
      </c>
      <c r="B158">
        <f>CALCULOS_AGENCIA!$A158</f>
        <v>51021576</v>
      </c>
      <c r="C158">
        <f>CALCULOS_AGENCIA!$U158</f>
        <v>90.47018227449675</v>
      </c>
      <c r="D158" t="str">
        <f>CALCULOS_AGENCIA!$V158</f>
        <v>PLATINO</v>
      </c>
      <c r="E158">
        <f>CALCULOS_AGENCIA!$AA158</f>
        <v>125</v>
      </c>
      <c r="F158" s="3">
        <f t="shared" ca="1" si="2"/>
        <v>46087</v>
      </c>
    </row>
    <row r="159" spans="1:6" x14ac:dyDescent="0.3">
      <c r="A159" t="str">
        <f>PARAMS_MODELO!$B$3</f>
        <v>2025-Q3</v>
      </c>
      <c r="B159">
        <f>CALCULOS_AGENCIA!$A159</f>
        <v>51018591</v>
      </c>
      <c r="C159">
        <f>CALCULOS_AGENCIA!$U159</f>
        <v>89.266575657998047</v>
      </c>
      <c r="D159" t="str">
        <f>CALCULOS_AGENCIA!$V159</f>
        <v>PLATINO</v>
      </c>
      <c r="E159">
        <f>CALCULOS_AGENCIA!$AA159</f>
        <v>158</v>
      </c>
      <c r="F159" s="3">
        <f t="shared" ca="1" si="2"/>
        <v>46087</v>
      </c>
    </row>
    <row r="160" spans="1:6" x14ac:dyDescent="0.3">
      <c r="A160" t="str">
        <f>PARAMS_MODELO!$B$3</f>
        <v>2025-Q3</v>
      </c>
      <c r="B160">
        <f>CALCULOS_AGENCIA!$A160</f>
        <v>51023471</v>
      </c>
      <c r="C160">
        <f>CALCULOS_AGENCIA!$U160</f>
        <v>88.299042038386347</v>
      </c>
      <c r="D160" t="str">
        <f>CALCULOS_AGENCIA!$V160</f>
        <v>PLATINO</v>
      </c>
      <c r="E160">
        <f>CALCULOS_AGENCIA!$AA160</f>
        <v>189</v>
      </c>
      <c r="F160" s="3">
        <f t="shared" ca="1" si="2"/>
        <v>46087</v>
      </c>
    </row>
    <row r="161" spans="1:6" x14ac:dyDescent="0.3">
      <c r="A161" t="str">
        <f>PARAMS_MODELO!$B$3</f>
        <v>2025-Q3</v>
      </c>
      <c r="B161">
        <f>CALCULOS_AGENCIA!$A161</f>
        <v>51031393</v>
      </c>
      <c r="C161">
        <f>CALCULOS_AGENCIA!$U161</f>
        <v>93.809236479479452</v>
      </c>
      <c r="D161" t="str">
        <f>CALCULOS_AGENCIA!$V161</f>
        <v>PLATINO</v>
      </c>
      <c r="E161">
        <f>CALCULOS_AGENCIA!$AA161</f>
        <v>79</v>
      </c>
      <c r="F161" s="3">
        <f t="shared" ca="1" si="2"/>
        <v>46087</v>
      </c>
    </row>
    <row r="162" spans="1:6" x14ac:dyDescent="0.3">
      <c r="A162" t="str">
        <f>PARAMS_MODELO!$B$3</f>
        <v>2025-Q3</v>
      </c>
      <c r="B162">
        <f>CALCULOS_AGENCIA!$A162</f>
        <v>51025971</v>
      </c>
      <c r="C162">
        <f>CALCULOS_AGENCIA!$U162</f>
        <v>86.43439363450436</v>
      </c>
      <c r="D162" t="str">
        <f>CALCULOS_AGENCIA!$V162</f>
        <v>ORO</v>
      </c>
      <c r="E162">
        <f>CALCULOS_AGENCIA!$AA162</f>
        <v>241</v>
      </c>
      <c r="F162" s="3">
        <f t="shared" ca="1" si="2"/>
        <v>46087</v>
      </c>
    </row>
    <row r="163" spans="1:6" x14ac:dyDescent="0.3">
      <c r="A163" t="str">
        <f>PARAMS_MODELO!$B$3</f>
        <v>2025-Q3</v>
      </c>
      <c r="B163">
        <f>CALCULOS_AGENCIA!$A163</f>
        <v>51020880</v>
      </c>
      <c r="C163">
        <f>CALCULOS_AGENCIA!$U163</f>
        <v>100</v>
      </c>
      <c r="D163" t="str">
        <f>CALCULOS_AGENCIA!$V163</f>
        <v>DIAMANTE</v>
      </c>
      <c r="E163">
        <f>CALCULOS_AGENCIA!$AA163</f>
        <v>1</v>
      </c>
      <c r="F163" s="3">
        <f t="shared" ca="1" si="2"/>
        <v>46087</v>
      </c>
    </row>
    <row r="164" spans="1:6" x14ac:dyDescent="0.3">
      <c r="A164" t="str">
        <f>PARAMS_MODELO!$B$3</f>
        <v>2025-Q3</v>
      </c>
      <c r="B164">
        <f>CALCULOS_AGENCIA!$A164</f>
        <v>51023056</v>
      </c>
      <c r="C164">
        <f>CALCULOS_AGENCIA!$U164</f>
        <v>83.175060091818381</v>
      </c>
      <c r="D164" t="str">
        <f>CALCULOS_AGENCIA!$V164</f>
        <v>ORO</v>
      </c>
      <c r="E164">
        <f>CALCULOS_AGENCIA!$AA164</f>
        <v>345</v>
      </c>
      <c r="F164" s="3">
        <f t="shared" ca="1" si="2"/>
        <v>46087</v>
      </c>
    </row>
    <row r="165" spans="1:6" x14ac:dyDescent="0.3">
      <c r="A165" t="str">
        <f>PARAMS_MODELO!$B$3</f>
        <v>2025-Q3</v>
      </c>
      <c r="B165">
        <f>CALCULOS_AGENCIA!$A165</f>
        <v>51022688</v>
      </c>
      <c r="C165">
        <f>CALCULOS_AGENCIA!$U165</f>
        <v>89.000642557825174</v>
      </c>
      <c r="D165" t="str">
        <f>CALCULOS_AGENCIA!$V165</f>
        <v>PLATINO</v>
      </c>
      <c r="E165">
        <f>CALCULOS_AGENCIA!$AA165</f>
        <v>167</v>
      </c>
      <c r="F165" s="3">
        <f t="shared" ca="1" si="2"/>
        <v>46087</v>
      </c>
    </row>
    <row r="166" spans="1:6" x14ac:dyDescent="0.3">
      <c r="A166" t="str">
        <f>PARAMS_MODELO!$B$3</f>
        <v>2025-Q3</v>
      </c>
      <c r="B166">
        <f>CALCULOS_AGENCIA!$A166</f>
        <v>51012747</v>
      </c>
      <c r="C166">
        <f>CALCULOS_AGENCIA!$U166</f>
        <v>28.693467834665885</v>
      </c>
      <c r="D166" t="str">
        <f>CALCULOS_AGENCIA!$V166</f>
        <v>PLATA</v>
      </c>
      <c r="E166">
        <f>CALCULOS_AGENCIA!$AA166</f>
        <v>879</v>
      </c>
      <c r="F166" s="3">
        <f t="shared" ca="1" si="2"/>
        <v>46087</v>
      </c>
    </row>
    <row r="167" spans="1:6" x14ac:dyDescent="0.3">
      <c r="A167" t="str">
        <f>PARAMS_MODELO!$B$3</f>
        <v>2025-Q3</v>
      </c>
      <c r="B167">
        <f>CALCULOS_AGENCIA!$A167</f>
        <v>51032900</v>
      </c>
      <c r="C167">
        <f>CALCULOS_AGENCIA!$U167</f>
        <v>92.855521241793838</v>
      </c>
      <c r="D167" t="str">
        <f>CALCULOS_AGENCIA!$V167</f>
        <v>PLATINO</v>
      </c>
      <c r="E167">
        <f>CALCULOS_AGENCIA!$AA167</f>
        <v>92</v>
      </c>
      <c r="F167" s="3">
        <f t="shared" ca="1" si="2"/>
        <v>46087</v>
      </c>
    </row>
    <row r="168" spans="1:6" x14ac:dyDescent="0.3">
      <c r="A168" t="str">
        <f>PARAMS_MODELO!$B$3</f>
        <v>2025-Q3</v>
      </c>
      <c r="B168">
        <f>CALCULOS_AGENCIA!$A168</f>
        <v>51056434</v>
      </c>
      <c r="C168">
        <f>CALCULOS_AGENCIA!$U168</f>
        <v>82.411755435019359</v>
      </c>
      <c r="D168" t="str">
        <f>CALCULOS_AGENCIA!$V168</f>
        <v>ORO</v>
      </c>
      <c r="E168">
        <f>CALCULOS_AGENCIA!$AA168</f>
        <v>377</v>
      </c>
      <c r="F168" s="3">
        <f t="shared" ca="1" si="2"/>
        <v>46087</v>
      </c>
    </row>
    <row r="169" spans="1:6" x14ac:dyDescent="0.3">
      <c r="A169" t="str">
        <f>PARAMS_MODELO!$B$3</f>
        <v>2025-Q3</v>
      </c>
      <c r="B169">
        <f>CALCULOS_AGENCIA!$A169</f>
        <v>51019261</v>
      </c>
      <c r="C169">
        <f>CALCULOS_AGENCIA!$U169</f>
        <v>38.381088765950786</v>
      </c>
      <c r="D169" t="str">
        <f>CALCULOS_AGENCIA!$V169</f>
        <v>PLATA</v>
      </c>
      <c r="E169">
        <f>CALCULOS_AGENCIA!$AA169</f>
        <v>794</v>
      </c>
      <c r="F169" s="3">
        <f t="shared" ca="1" si="2"/>
        <v>46087</v>
      </c>
    </row>
    <row r="170" spans="1:6" x14ac:dyDescent="0.3">
      <c r="A170" t="str">
        <f>PARAMS_MODELO!$B$3</f>
        <v>2025-Q3</v>
      </c>
      <c r="B170">
        <f>CALCULOS_AGENCIA!$A170</f>
        <v>51018486</v>
      </c>
      <c r="C170">
        <f>CALCULOS_AGENCIA!$U170</f>
        <v>60.723106498139302</v>
      </c>
      <c r="D170" t="str">
        <f>CALCULOS_AGENCIA!$V170</f>
        <v>PLATA</v>
      </c>
      <c r="E170">
        <f>CALCULOS_AGENCIA!$AA170</f>
        <v>604</v>
      </c>
      <c r="F170" s="3">
        <f t="shared" ca="1" si="2"/>
        <v>46087</v>
      </c>
    </row>
    <row r="171" spans="1:6" x14ac:dyDescent="0.3">
      <c r="A171" t="str">
        <f>PARAMS_MODELO!$B$3</f>
        <v>2025-Q3</v>
      </c>
      <c r="B171">
        <f>CALCULOS_AGENCIA!$A171</f>
        <v>51005732</v>
      </c>
      <c r="C171">
        <f>CALCULOS_AGENCIA!$U171</f>
        <v>88.862012314052507</v>
      </c>
      <c r="D171" t="str">
        <f>CALCULOS_AGENCIA!$V171</f>
        <v>PLATINO</v>
      </c>
      <c r="E171">
        <f>CALCULOS_AGENCIA!$AA171</f>
        <v>171</v>
      </c>
      <c r="F171" s="3">
        <f t="shared" ca="1" si="2"/>
        <v>46087</v>
      </c>
    </row>
    <row r="172" spans="1:6" x14ac:dyDescent="0.3">
      <c r="A172" t="str">
        <f>PARAMS_MODELO!$B$3</f>
        <v>2025-Q3</v>
      </c>
      <c r="B172">
        <f>CALCULOS_AGENCIA!$A172</f>
        <v>51039785</v>
      </c>
      <c r="C172">
        <f>CALCULOS_AGENCIA!$U172</f>
        <v>59.459445565826762</v>
      </c>
      <c r="D172" t="str">
        <f>CALCULOS_AGENCIA!$V172</f>
        <v>PLATA</v>
      </c>
      <c r="E172">
        <f>CALCULOS_AGENCIA!$AA172</f>
        <v>631</v>
      </c>
      <c r="F172" s="3">
        <f t="shared" ca="1" si="2"/>
        <v>46087</v>
      </c>
    </row>
    <row r="173" spans="1:6" x14ac:dyDescent="0.3">
      <c r="A173" t="str">
        <f>PARAMS_MODELO!$B$3</f>
        <v>2025-Q3</v>
      </c>
      <c r="B173">
        <f>CALCULOS_AGENCIA!$A173</f>
        <v>51025865</v>
      </c>
      <c r="C173">
        <f>CALCULOS_AGENCIA!$U173</f>
        <v>90.777991458378253</v>
      </c>
      <c r="D173" t="str">
        <f>CALCULOS_AGENCIA!$V173</f>
        <v>PLATINO</v>
      </c>
      <c r="E173">
        <f>CALCULOS_AGENCIA!$AA173</f>
        <v>118</v>
      </c>
      <c r="F173" s="3">
        <f t="shared" ca="1" si="2"/>
        <v>46087</v>
      </c>
    </row>
    <row r="174" spans="1:6" x14ac:dyDescent="0.3">
      <c r="A174" t="str">
        <f>PARAMS_MODELO!$B$3</f>
        <v>2025-Q3</v>
      </c>
      <c r="B174">
        <f>CALCULOS_AGENCIA!$A174</f>
        <v>51015657</v>
      </c>
      <c r="C174">
        <f>CALCULOS_AGENCIA!$U174</f>
        <v>95.726246872452251</v>
      </c>
      <c r="D174" t="str">
        <f>CALCULOS_AGENCIA!$V174</f>
        <v>PLATINO</v>
      </c>
      <c r="E174">
        <f>CALCULOS_AGENCIA!$AA174</f>
        <v>63</v>
      </c>
      <c r="F174" s="3">
        <f t="shared" ca="1" si="2"/>
        <v>46087</v>
      </c>
    </row>
    <row r="175" spans="1:6" x14ac:dyDescent="0.3">
      <c r="A175" t="str">
        <f>PARAMS_MODELO!$B$3</f>
        <v>2025-Q3</v>
      </c>
      <c r="B175">
        <f>CALCULOS_AGENCIA!$A175</f>
        <v>51001168</v>
      </c>
      <c r="C175">
        <f>CALCULOS_AGENCIA!$U175</f>
        <v>86.315774592311215</v>
      </c>
      <c r="D175" t="str">
        <f>CALCULOS_AGENCIA!$V175</f>
        <v>ORO</v>
      </c>
      <c r="E175">
        <f>CALCULOS_AGENCIA!$AA175</f>
        <v>243</v>
      </c>
      <c r="F175" s="3">
        <f t="shared" ca="1" si="2"/>
        <v>46087</v>
      </c>
    </row>
    <row r="176" spans="1:6" x14ac:dyDescent="0.3">
      <c r="A176" t="str">
        <f>PARAMS_MODELO!$B$3</f>
        <v>2025-Q3</v>
      </c>
      <c r="B176">
        <f>CALCULOS_AGENCIA!$A176</f>
        <v>51021380</v>
      </c>
      <c r="C176">
        <f>CALCULOS_AGENCIA!$U176</f>
        <v>83.995761270236244</v>
      </c>
      <c r="D176" t="str">
        <f>CALCULOS_AGENCIA!$V176</f>
        <v>ORO</v>
      </c>
      <c r="E176">
        <f>CALCULOS_AGENCIA!$AA176</f>
        <v>322</v>
      </c>
      <c r="F176" s="3">
        <f t="shared" ca="1" si="2"/>
        <v>46087</v>
      </c>
    </row>
    <row r="177" spans="1:6" x14ac:dyDescent="0.3">
      <c r="A177" t="str">
        <f>PARAMS_MODELO!$B$3</f>
        <v>2025-Q3</v>
      </c>
      <c r="B177">
        <f>CALCULOS_AGENCIA!$A177</f>
        <v>51011970</v>
      </c>
      <c r="C177">
        <f>CALCULOS_AGENCIA!$U177</f>
        <v>89.559877011031475</v>
      </c>
      <c r="D177" t="str">
        <f>CALCULOS_AGENCIA!$V177</f>
        <v>PLATINO</v>
      </c>
      <c r="E177">
        <f>CALCULOS_AGENCIA!$AA177</f>
        <v>148</v>
      </c>
      <c r="F177" s="3">
        <f t="shared" ca="1" si="2"/>
        <v>46087</v>
      </c>
    </row>
    <row r="178" spans="1:6" x14ac:dyDescent="0.3">
      <c r="A178" t="str">
        <f>PARAMS_MODELO!$B$3</f>
        <v>2025-Q3</v>
      </c>
      <c r="B178">
        <f>CALCULOS_AGENCIA!$A178</f>
        <v>51036697</v>
      </c>
      <c r="C178">
        <f>CALCULOS_AGENCIA!$U178</f>
        <v>81.77681610268867</v>
      </c>
      <c r="D178" t="str">
        <f>CALCULOS_AGENCIA!$V178</f>
        <v>ORO</v>
      </c>
      <c r="E178">
        <f>CALCULOS_AGENCIA!$AA178</f>
        <v>391</v>
      </c>
      <c r="F178" s="3">
        <f t="shared" ca="1" si="2"/>
        <v>46087</v>
      </c>
    </row>
    <row r="179" spans="1:6" x14ac:dyDescent="0.3">
      <c r="A179" t="str">
        <f>PARAMS_MODELO!$B$3</f>
        <v>2025-Q3</v>
      </c>
      <c r="B179">
        <f>CALCULOS_AGENCIA!$A179</f>
        <v>51009061</v>
      </c>
      <c r="C179">
        <f>CALCULOS_AGENCIA!$U179</f>
        <v>63.010582313801827</v>
      </c>
      <c r="D179" t="str">
        <f>CALCULOS_AGENCIA!$V179</f>
        <v>PLATA</v>
      </c>
      <c r="E179">
        <f>CALCULOS_AGENCIA!$AA179</f>
        <v>559</v>
      </c>
      <c r="F179" s="3">
        <f t="shared" ca="1" si="2"/>
        <v>46087</v>
      </c>
    </row>
    <row r="180" spans="1:6" x14ac:dyDescent="0.3">
      <c r="A180" t="str">
        <f>PARAMS_MODELO!$B$3</f>
        <v>2025-Q3</v>
      </c>
      <c r="B180">
        <f>CALCULOS_AGENCIA!$A180</f>
        <v>51013824</v>
      </c>
      <c r="C180">
        <f>CALCULOS_AGENCIA!$U180</f>
        <v>89.742439312069735</v>
      </c>
      <c r="D180" t="str">
        <f>CALCULOS_AGENCIA!$V180</f>
        <v>PLATINO</v>
      </c>
      <c r="E180">
        <f>CALCULOS_AGENCIA!$AA180</f>
        <v>142</v>
      </c>
      <c r="F180" s="3">
        <f t="shared" ca="1" si="2"/>
        <v>46087</v>
      </c>
    </row>
    <row r="181" spans="1:6" x14ac:dyDescent="0.3">
      <c r="A181" t="str">
        <f>PARAMS_MODELO!$B$3</f>
        <v>2025-Q3</v>
      </c>
      <c r="B181">
        <f>CALCULOS_AGENCIA!$A181</f>
        <v>51009240</v>
      </c>
      <c r="C181">
        <f>CALCULOS_AGENCIA!$U181</f>
        <v>84.166357608413577</v>
      </c>
      <c r="D181" t="str">
        <f>CALCULOS_AGENCIA!$V181</f>
        <v>ORO</v>
      </c>
      <c r="E181">
        <f>CALCULOS_AGENCIA!$AA181</f>
        <v>314</v>
      </c>
      <c r="F181" s="3">
        <f t="shared" ca="1" si="2"/>
        <v>46087</v>
      </c>
    </row>
    <row r="182" spans="1:6" x14ac:dyDescent="0.3">
      <c r="A182" t="str">
        <f>PARAMS_MODELO!$B$3</f>
        <v>2025-Q3</v>
      </c>
      <c r="B182">
        <f>CALCULOS_AGENCIA!$A182</f>
        <v>51001061</v>
      </c>
      <c r="C182">
        <f>CALCULOS_AGENCIA!$U182</f>
        <v>84.257308746317179</v>
      </c>
      <c r="D182" t="str">
        <f>CALCULOS_AGENCIA!$V182</f>
        <v>ORO</v>
      </c>
      <c r="E182">
        <f>CALCULOS_AGENCIA!$AA182</f>
        <v>309</v>
      </c>
      <c r="F182" s="3">
        <f t="shared" ca="1" si="2"/>
        <v>46087</v>
      </c>
    </row>
    <row r="183" spans="1:6" x14ac:dyDescent="0.3">
      <c r="A183" t="str">
        <f>PARAMS_MODELO!$B$3</f>
        <v>2025-Q3</v>
      </c>
      <c r="B183">
        <f>CALCULOS_AGENCIA!$A183</f>
        <v>51018621</v>
      </c>
      <c r="C183">
        <f>CALCULOS_AGENCIA!$U183</f>
        <v>56.977361951392794</v>
      </c>
      <c r="D183" t="str">
        <f>CALCULOS_AGENCIA!$V183</f>
        <v>PLATA</v>
      </c>
      <c r="E183">
        <f>CALCULOS_AGENCIA!$AA183</f>
        <v>682</v>
      </c>
      <c r="F183" s="3">
        <f t="shared" ca="1" si="2"/>
        <v>46087</v>
      </c>
    </row>
    <row r="184" spans="1:6" x14ac:dyDescent="0.3">
      <c r="A184" t="str">
        <f>PARAMS_MODELO!$B$3</f>
        <v>2025-Q3</v>
      </c>
      <c r="B184">
        <f>CALCULOS_AGENCIA!$A184</f>
        <v>51011031</v>
      </c>
      <c r="C184">
        <f>CALCULOS_AGENCIA!$U184</f>
        <v>89.183751343192654</v>
      </c>
      <c r="D184" t="str">
        <f>CALCULOS_AGENCIA!$V184</f>
        <v>PLATINO</v>
      </c>
      <c r="E184">
        <f>CALCULOS_AGENCIA!$AA184</f>
        <v>162</v>
      </c>
      <c r="F184" s="3">
        <f t="shared" ca="1" si="2"/>
        <v>46087</v>
      </c>
    </row>
    <row r="185" spans="1:6" x14ac:dyDescent="0.3">
      <c r="A185" t="str">
        <f>PARAMS_MODELO!$B$3</f>
        <v>2025-Q3</v>
      </c>
      <c r="B185">
        <f>CALCULOS_AGENCIA!$A185</f>
        <v>51013239</v>
      </c>
      <c r="C185">
        <f>CALCULOS_AGENCIA!$U185</f>
        <v>89.228574975896436</v>
      </c>
      <c r="D185" t="str">
        <f>CALCULOS_AGENCIA!$V185</f>
        <v>PLATINO</v>
      </c>
      <c r="E185">
        <f>CALCULOS_AGENCIA!$AA185</f>
        <v>160</v>
      </c>
      <c r="F185" s="3">
        <f t="shared" ca="1" si="2"/>
        <v>46087</v>
      </c>
    </row>
    <row r="186" spans="1:6" x14ac:dyDescent="0.3">
      <c r="A186" t="str">
        <f>PARAMS_MODELO!$B$3</f>
        <v>2025-Q3</v>
      </c>
      <c r="B186">
        <f>CALCULOS_AGENCIA!$A186</f>
        <v>51030281</v>
      </c>
      <c r="C186">
        <f>CALCULOS_AGENCIA!$U186</f>
        <v>61.81026052275579</v>
      </c>
      <c r="D186" t="str">
        <f>CALCULOS_AGENCIA!$V186</f>
        <v>PLATA</v>
      </c>
      <c r="E186">
        <f>CALCULOS_AGENCIA!$AA186</f>
        <v>584</v>
      </c>
      <c r="F186" s="3">
        <f t="shared" ca="1" si="2"/>
        <v>46087</v>
      </c>
    </row>
    <row r="187" spans="1:6" x14ac:dyDescent="0.3">
      <c r="A187" t="str">
        <f>PARAMS_MODELO!$B$3</f>
        <v>2025-Q3</v>
      </c>
      <c r="B187">
        <f>CALCULOS_AGENCIA!$A187</f>
        <v>51055829</v>
      </c>
      <c r="C187">
        <f>CALCULOS_AGENCIA!$U187</f>
        <v>61.455854179985067</v>
      </c>
      <c r="D187" t="str">
        <f>CALCULOS_AGENCIA!$V187</f>
        <v>PLATA</v>
      </c>
      <c r="E187">
        <f>CALCULOS_AGENCIA!$AA187</f>
        <v>590</v>
      </c>
      <c r="F187" s="3">
        <f t="shared" ca="1" si="2"/>
        <v>46087</v>
      </c>
    </row>
    <row r="188" spans="1:6" x14ac:dyDescent="0.3">
      <c r="A188" t="str">
        <f>PARAMS_MODELO!$B$3</f>
        <v>2025-Q3</v>
      </c>
      <c r="B188">
        <f>CALCULOS_AGENCIA!$A188</f>
        <v>51023919</v>
      </c>
      <c r="C188">
        <f>CALCULOS_AGENCIA!$U188</f>
        <v>75.724844198183902</v>
      </c>
      <c r="D188" t="str">
        <f>CALCULOS_AGENCIA!$V188</f>
        <v>ORO</v>
      </c>
      <c r="E188">
        <f>CALCULOS_AGENCIA!$AA188</f>
        <v>469</v>
      </c>
      <c r="F188" s="3">
        <f t="shared" ca="1" si="2"/>
        <v>46087</v>
      </c>
    </row>
    <row r="189" spans="1:6" x14ac:dyDescent="0.3">
      <c r="A189" t="str">
        <f>PARAMS_MODELO!$B$3</f>
        <v>2025-Q3</v>
      </c>
      <c r="B189">
        <f>CALCULOS_AGENCIA!$A189</f>
        <v>51031610</v>
      </c>
      <c r="C189">
        <f>CALCULOS_AGENCIA!$U189</f>
        <v>63.861228271095868</v>
      </c>
      <c r="D189" t="str">
        <f>CALCULOS_AGENCIA!$V189</f>
        <v>ORO</v>
      </c>
      <c r="E189">
        <f>CALCULOS_AGENCIA!$AA189</f>
        <v>550</v>
      </c>
      <c r="F189" s="3">
        <f t="shared" ca="1" si="2"/>
        <v>46087</v>
      </c>
    </row>
    <row r="190" spans="1:6" x14ac:dyDescent="0.3">
      <c r="A190" t="str">
        <f>PARAMS_MODELO!$B$3</f>
        <v>2025-Q3</v>
      </c>
      <c r="B190">
        <f>CALCULOS_AGENCIA!$A190</f>
        <v>51024141</v>
      </c>
      <c r="C190">
        <f>CALCULOS_AGENCIA!$U190</f>
        <v>100</v>
      </c>
      <c r="D190" t="str">
        <f>CALCULOS_AGENCIA!$V190</f>
        <v>DIAMANTE</v>
      </c>
      <c r="E190">
        <f>CALCULOS_AGENCIA!$AA190</f>
        <v>1</v>
      </c>
      <c r="F190" s="3">
        <f t="shared" ca="1" si="2"/>
        <v>46087</v>
      </c>
    </row>
    <row r="191" spans="1:6" x14ac:dyDescent="0.3">
      <c r="A191" t="str">
        <f>PARAMS_MODELO!$B$3</f>
        <v>2025-Q3</v>
      </c>
      <c r="B191">
        <f>CALCULOS_AGENCIA!$A191</f>
        <v>51023137</v>
      </c>
      <c r="C191">
        <f>CALCULOS_AGENCIA!$U191</f>
        <v>100</v>
      </c>
      <c r="D191" t="str">
        <f>CALCULOS_AGENCIA!$V191</f>
        <v>DIAMANTE</v>
      </c>
      <c r="E191">
        <f>CALCULOS_AGENCIA!$AA191</f>
        <v>1</v>
      </c>
      <c r="F191" s="3">
        <f t="shared" ca="1" si="2"/>
        <v>46087</v>
      </c>
    </row>
    <row r="192" spans="1:6" x14ac:dyDescent="0.3">
      <c r="A192" t="str">
        <f>PARAMS_MODELO!$B$3</f>
        <v>2025-Q3</v>
      </c>
      <c r="B192">
        <f>CALCULOS_AGENCIA!$A192</f>
        <v>51026578</v>
      </c>
      <c r="C192">
        <f>CALCULOS_AGENCIA!$U192</f>
        <v>62.992914404725639</v>
      </c>
      <c r="D192" t="str">
        <f>CALCULOS_AGENCIA!$V192</f>
        <v>PLATA</v>
      </c>
      <c r="E192">
        <f>CALCULOS_AGENCIA!$AA192</f>
        <v>560</v>
      </c>
      <c r="F192" s="3">
        <f t="shared" ca="1" si="2"/>
        <v>46087</v>
      </c>
    </row>
    <row r="193" spans="1:6" x14ac:dyDescent="0.3">
      <c r="A193" t="str">
        <f>PARAMS_MODELO!$B$3</f>
        <v>2025-Q3</v>
      </c>
      <c r="B193">
        <f>CALCULOS_AGENCIA!$A193</f>
        <v>51017986</v>
      </c>
      <c r="C193">
        <f>CALCULOS_AGENCIA!$U193</f>
        <v>93.138068784179595</v>
      </c>
      <c r="D193" t="str">
        <f>CALCULOS_AGENCIA!$V193</f>
        <v>PLATINO</v>
      </c>
      <c r="E193">
        <f>CALCULOS_AGENCIA!$AA193</f>
        <v>89</v>
      </c>
      <c r="F193" s="3">
        <f t="shared" ca="1" si="2"/>
        <v>46087</v>
      </c>
    </row>
    <row r="194" spans="1:6" x14ac:dyDescent="0.3">
      <c r="A194" t="str">
        <f>PARAMS_MODELO!$B$3</f>
        <v>2025-Q3</v>
      </c>
      <c r="B194">
        <f>CALCULOS_AGENCIA!$A194</f>
        <v>51055373</v>
      </c>
      <c r="C194">
        <f>CALCULOS_AGENCIA!$U194</f>
        <v>78.921881569050683</v>
      </c>
      <c r="D194" t="str">
        <f>CALCULOS_AGENCIA!$V194</f>
        <v>ORO</v>
      </c>
      <c r="E194">
        <f>CALCULOS_AGENCIA!$AA194</f>
        <v>448</v>
      </c>
      <c r="F194" s="3">
        <f t="shared" ref="F194:F257" ca="1" si="3">TODAY()</f>
        <v>46087</v>
      </c>
    </row>
    <row r="195" spans="1:6" x14ac:dyDescent="0.3">
      <c r="A195" t="str">
        <f>PARAMS_MODELO!$B$3</f>
        <v>2025-Q3</v>
      </c>
      <c r="B195">
        <f>CALCULOS_AGENCIA!$A195</f>
        <v>51013794</v>
      </c>
      <c r="C195">
        <f>CALCULOS_AGENCIA!$U195</f>
        <v>28.98</v>
      </c>
      <c r="D195" t="str">
        <f>CALCULOS_AGENCIA!$V195</f>
        <v>PLATA</v>
      </c>
      <c r="E195">
        <f>CALCULOS_AGENCIA!$AA195</f>
        <v>877</v>
      </c>
      <c r="F195" s="3">
        <f t="shared" ca="1" si="3"/>
        <v>46087</v>
      </c>
    </row>
    <row r="196" spans="1:6" x14ac:dyDescent="0.3">
      <c r="A196" t="str">
        <f>PARAMS_MODELO!$B$3</f>
        <v>2025-Q3</v>
      </c>
      <c r="B196">
        <f>CALCULOS_AGENCIA!$A196</f>
        <v>51033141</v>
      </c>
      <c r="C196">
        <f>CALCULOS_AGENCIA!$U196</f>
        <v>53.036452045862518</v>
      </c>
      <c r="D196" t="str">
        <f>CALCULOS_AGENCIA!$V196</f>
        <v>PLATA</v>
      </c>
      <c r="E196">
        <f>CALCULOS_AGENCIA!$AA196</f>
        <v>724</v>
      </c>
      <c r="F196" s="3">
        <f t="shared" ca="1" si="3"/>
        <v>46087</v>
      </c>
    </row>
    <row r="197" spans="1:6" x14ac:dyDescent="0.3">
      <c r="A197" t="str">
        <f>PARAMS_MODELO!$B$3</f>
        <v>2025-Q3</v>
      </c>
      <c r="B197">
        <f>CALCULOS_AGENCIA!$A197</f>
        <v>51056612</v>
      </c>
      <c r="C197">
        <f>CALCULOS_AGENCIA!$U197</f>
        <v>88.88048675952129</v>
      </c>
      <c r="D197" t="str">
        <f>CALCULOS_AGENCIA!$V197</f>
        <v>PLATINO</v>
      </c>
      <c r="E197">
        <f>CALCULOS_AGENCIA!$AA197</f>
        <v>170</v>
      </c>
      <c r="F197" s="3">
        <f t="shared" ca="1" si="3"/>
        <v>46087</v>
      </c>
    </row>
    <row r="198" spans="1:6" x14ac:dyDescent="0.3">
      <c r="A198" t="str">
        <f>PARAMS_MODELO!$B$3</f>
        <v>2025-Q3</v>
      </c>
      <c r="B198">
        <f>CALCULOS_AGENCIA!$A198</f>
        <v>51032071</v>
      </c>
      <c r="C198">
        <f>CALCULOS_AGENCIA!$U198</f>
        <v>90.409202400451818</v>
      </c>
      <c r="D198" t="str">
        <f>CALCULOS_AGENCIA!$V198</f>
        <v>PLATINO</v>
      </c>
      <c r="E198">
        <f>CALCULOS_AGENCIA!$AA198</f>
        <v>127</v>
      </c>
      <c r="F198" s="3">
        <f t="shared" ca="1" si="3"/>
        <v>46087</v>
      </c>
    </row>
    <row r="199" spans="1:6" x14ac:dyDescent="0.3">
      <c r="A199" t="str">
        <f>PARAMS_MODELO!$B$3</f>
        <v>2025-Q3</v>
      </c>
      <c r="B199">
        <f>CALCULOS_AGENCIA!$A199</f>
        <v>51031121</v>
      </c>
      <c r="C199">
        <f>CALCULOS_AGENCIA!$U199</f>
        <v>93.587179707653732</v>
      </c>
      <c r="D199" t="str">
        <f>CALCULOS_AGENCIA!$V199</f>
        <v>PLATINO</v>
      </c>
      <c r="E199">
        <f>CALCULOS_AGENCIA!$AA199</f>
        <v>82</v>
      </c>
      <c r="F199" s="3">
        <f t="shared" ca="1" si="3"/>
        <v>46087</v>
      </c>
    </row>
    <row r="200" spans="1:6" x14ac:dyDescent="0.3">
      <c r="A200" t="str">
        <f>PARAMS_MODELO!$B$3</f>
        <v>2025-Q3</v>
      </c>
      <c r="B200">
        <f>CALCULOS_AGENCIA!$A200</f>
        <v>51056981</v>
      </c>
      <c r="C200">
        <f>CALCULOS_AGENCIA!$U200</f>
        <v>63.13176910262478</v>
      </c>
      <c r="D200" t="str">
        <f>CALCULOS_AGENCIA!$V200</f>
        <v>PLATA</v>
      </c>
      <c r="E200">
        <f>CALCULOS_AGENCIA!$AA200</f>
        <v>557</v>
      </c>
      <c r="F200" s="3">
        <f t="shared" ca="1" si="3"/>
        <v>46087</v>
      </c>
    </row>
    <row r="201" spans="1:6" x14ac:dyDescent="0.3">
      <c r="A201" t="str">
        <f>PARAMS_MODELO!$B$3</f>
        <v>2025-Q3</v>
      </c>
      <c r="B201">
        <f>CALCULOS_AGENCIA!$A201</f>
        <v>51022424</v>
      </c>
      <c r="C201">
        <f>CALCULOS_AGENCIA!$U201</f>
        <v>67.942398492706914</v>
      </c>
      <c r="D201" t="str">
        <f>CALCULOS_AGENCIA!$V201</f>
        <v>ORO</v>
      </c>
      <c r="E201">
        <f>CALCULOS_AGENCIA!$AA201</f>
        <v>528</v>
      </c>
      <c r="F201" s="3">
        <f t="shared" ca="1" si="3"/>
        <v>46087</v>
      </c>
    </row>
    <row r="202" spans="1:6" x14ac:dyDescent="0.3">
      <c r="A202" t="str">
        <f>PARAMS_MODELO!$B$3</f>
        <v>2025-Q3</v>
      </c>
      <c r="B202">
        <f>CALCULOS_AGENCIA!$A202</f>
        <v>51025920</v>
      </c>
      <c r="C202">
        <f>CALCULOS_AGENCIA!$U202</f>
        <v>41.133298667904342</v>
      </c>
      <c r="D202" t="str">
        <f>CALCULOS_AGENCIA!$V202</f>
        <v>PLATA</v>
      </c>
      <c r="E202">
        <f>CALCULOS_AGENCIA!$AA202</f>
        <v>781</v>
      </c>
      <c r="F202" s="3">
        <f t="shared" ca="1" si="3"/>
        <v>46087</v>
      </c>
    </row>
    <row r="203" spans="1:6" x14ac:dyDescent="0.3">
      <c r="A203" t="str">
        <f>PARAMS_MODELO!$B$3</f>
        <v>2025-Q3</v>
      </c>
      <c r="B203">
        <f>CALCULOS_AGENCIA!$A203</f>
        <v>51056388</v>
      </c>
      <c r="C203">
        <f>CALCULOS_AGENCIA!$U203</f>
        <v>82.835840353398112</v>
      </c>
      <c r="D203" t="str">
        <f>CALCULOS_AGENCIA!$V203</f>
        <v>ORO</v>
      </c>
      <c r="E203">
        <f>CALCULOS_AGENCIA!$AA203</f>
        <v>361</v>
      </c>
      <c r="F203" s="3">
        <f t="shared" ca="1" si="3"/>
        <v>46087</v>
      </c>
    </row>
    <row r="204" spans="1:6" x14ac:dyDescent="0.3">
      <c r="A204" t="str">
        <f>PARAMS_MODELO!$B$3</f>
        <v>2025-Q3</v>
      </c>
      <c r="B204">
        <f>CALCULOS_AGENCIA!$A204</f>
        <v>51033485</v>
      </c>
      <c r="C204">
        <f>CALCULOS_AGENCIA!$U204</f>
        <v>64.221124525391602</v>
      </c>
      <c r="D204" t="str">
        <f>CALCULOS_AGENCIA!$V204</f>
        <v>ORO</v>
      </c>
      <c r="E204">
        <f>CALCULOS_AGENCIA!$AA204</f>
        <v>548</v>
      </c>
      <c r="F204" s="3">
        <f t="shared" ca="1" si="3"/>
        <v>46087</v>
      </c>
    </row>
    <row r="205" spans="1:6" x14ac:dyDescent="0.3">
      <c r="A205" t="str">
        <f>PARAMS_MODELO!$B$3</f>
        <v>2025-Q3</v>
      </c>
      <c r="B205">
        <f>CALCULOS_AGENCIA!$A205</f>
        <v>51041615</v>
      </c>
      <c r="C205">
        <f>CALCULOS_AGENCIA!$U205</f>
        <v>57.247655835129351</v>
      </c>
      <c r="D205" t="str">
        <f>CALCULOS_AGENCIA!$V205</f>
        <v>PLATA</v>
      </c>
      <c r="E205">
        <f>CALCULOS_AGENCIA!$AA205</f>
        <v>679</v>
      </c>
      <c r="F205" s="3">
        <f t="shared" ca="1" si="3"/>
        <v>46087</v>
      </c>
    </row>
    <row r="206" spans="1:6" x14ac:dyDescent="0.3">
      <c r="A206" t="str">
        <f>PARAMS_MODELO!$B$3</f>
        <v>2025-Q3</v>
      </c>
      <c r="B206">
        <f>CALCULOS_AGENCIA!$A206</f>
        <v>51017641</v>
      </c>
      <c r="C206">
        <f>CALCULOS_AGENCIA!$U206</f>
        <v>80.673410609789201</v>
      </c>
      <c r="D206" t="str">
        <f>CALCULOS_AGENCIA!$V206</f>
        <v>ORO</v>
      </c>
      <c r="E206">
        <f>CALCULOS_AGENCIA!$AA206</f>
        <v>423</v>
      </c>
      <c r="F206" s="3">
        <f t="shared" ca="1" si="3"/>
        <v>46087</v>
      </c>
    </row>
    <row r="207" spans="1:6" x14ac:dyDescent="0.3">
      <c r="A207" t="str">
        <f>PARAMS_MODELO!$B$3</f>
        <v>2025-Q3</v>
      </c>
      <c r="B207">
        <f>CALCULOS_AGENCIA!$A207</f>
        <v>51005741</v>
      </c>
      <c r="C207">
        <f>CALCULOS_AGENCIA!$U207</f>
        <v>89.439365612020396</v>
      </c>
      <c r="D207" t="str">
        <f>CALCULOS_AGENCIA!$V207</f>
        <v>PLATINO</v>
      </c>
      <c r="E207">
        <f>CALCULOS_AGENCIA!$AA207</f>
        <v>151</v>
      </c>
      <c r="F207" s="3">
        <f t="shared" ca="1" si="3"/>
        <v>46087</v>
      </c>
    </row>
    <row r="208" spans="1:6" x14ac:dyDescent="0.3">
      <c r="A208" t="str">
        <f>PARAMS_MODELO!$B$3</f>
        <v>2025-Q3</v>
      </c>
      <c r="B208">
        <f>CALCULOS_AGENCIA!$A208</f>
        <v>51011996</v>
      </c>
      <c r="C208">
        <f>CALCULOS_AGENCIA!$U208</f>
        <v>94.036734554302242</v>
      </c>
      <c r="D208" t="str">
        <f>CALCULOS_AGENCIA!$V208</f>
        <v>PLATINO</v>
      </c>
      <c r="E208">
        <f>CALCULOS_AGENCIA!$AA208</f>
        <v>75</v>
      </c>
      <c r="F208" s="3">
        <f t="shared" ca="1" si="3"/>
        <v>46087</v>
      </c>
    </row>
    <row r="209" spans="1:6" x14ac:dyDescent="0.3">
      <c r="A209" t="str">
        <f>PARAMS_MODELO!$B$3</f>
        <v>2025-Q3</v>
      </c>
      <c r="B209">
        <f>CALCULOS_AGENCIA!$A209</f>
        <v>51025440</v>
      </c>
      <c r="C209">
        <f>CALCULOS_AGENCIA!$U209</f>
        <v>90.769602609024133</v>
      </c>
      <c r="D209" t="str">
        <f>CALCULOS_AGENCIA!$V209</f>
        <v>PLATINO</v>
      </c>
      <c r="E209">
        <f>CALCULOS_AGENCIA!$AA209</f>
        <v>119</v>
      </c>
      <c r="F209" s="3">
        <f t="shared" ca="1" si="3"/>
        <v>46087</v>
      </c>
    </row>
    <row r="210" spans="1:6" x14ac:dyDescent="0.3">
      <c r="A210" t="str">
        <f>PARAMS_MODELO!$B$3</f>
        <v>2025-Q3</v>
      </c>
      <c r="B210">
        <f>CALCULOS_AGENCIA!$A210</f>
        <v>51055993</v>
      </c>
      <c r="C210">
        <f>CALCULOS_AGENCIA!$U210</f>
        <v>90.876735551828759</v>
      </c>
      <c r="D210" t="str">
        <f>CALCULOS_AGENCIA!$V210</f>
        <v>PLATINO</v>
      </c>
      <c r="E210">
        <f>CALCULOS_AGENCIA!$AA210</f>
        <v>117</v>
      </c>
      <c r="F210" s="3">
        <f t="shared" ca="1" si="3"/>
        <v>46087</v>
      </c>
    </row>
    <row r="211" spans="1:6" x14ac:dyDescent="0.3">
      <c r="A211" t="str">
        <f>PARAMS_MODELO!$B$3</f>
        <v>2025-Q3</v>
      </c>
      <c r="B211">
        <f>CALCULOS_AGENCIA!$A211</f>
        <v>51021231</v>
      </c>
      <c r="C211">
        <f>CALCULOS_AGENCIA!$U211</f>
        <v>43.763527417699876</v>
      </c>
      <c r="D211" t="str">
        <f>CALCULOS_AGENCIA!$V211</f>
        <v>PLATA</v>
      </c>
      <c r="E211">
        <f>CALCULOS_AGENCIA!$AA211</f>
        <v>777</v>
      </c>
      <c r="F211" s="3">
        <f t="shared" ca="1" si="3"/>
        <v>46087</v>
      </c>
    </row>
    <row r="212" spans="1:6" x14ac:dyDescent="0.3">
      <c r="A212" t="str">
        <f>PARAMS_MODELO!$B$3</f>
        <v>2025-Q3</v>
      </c>
      <c r="B212">
        <f>CALCULOS_AGENCIA!$A212</f>
        <v>51024125</v>
      </c>
      <c r="C212">
        <f>CALCULOS_AGENCIA!$U212</f>
        <v>25.537085345868164</v>
      </c>
      <c r="D212" t="str">
        <f>CALCULOS_AGENCIA!$V212</f>
        <v>PLATA</v>
      </c>
      <c r="E212">
        <f>CALCULOS_AGENCIA!$AA212</f>
        <v>911</v>
      </c>
      <c r="F212" s="3">
        <f t="shared" ca="1" si="3"/>
        <v>46087</v>
      </c>
    </row>
    <row r="213" spans="1:6" x14ac:dyDescent="0.3">
      <c r="A213" t="str">
        <f>PARAMS_MODELO!$B$3</f>
        <v>2025-Q3</v>
      </c>
      <c r="B213">
        <f>CALCULOS_AGENCIA!$A213</f>
        <v>51014359</v>
      </c>
      <c r="C213">
        <f>CALCULOS_AGENCIA!$U213</f>
        <v>81.524737799712</v>
      </c>
      <c r="D213" t="str">
        <f>CALCULOS_AGENCIA!$V213</f>
        <v>ORO</v>
      </c>
      <c r="E213">
        <f>CALCULOS_AGENCIA!$AA213</f>
        <v>400</v>
      </c>
      <c r="F213" s="3">
        <f t="shared" ca="1" si="3"/>
        <v>46087</v>
      </c>
    </row>
    <row r="214" spans="1:6" x14ac:dyDescent="0.3">
      <c r="A214" t="str">
        <f>PARAMS_MODELO!$B$3</f>
        <v>2025-Q3</v>
      </c>
      <c r="B214">
        <f>CALCULOS_AGENCIA!$A214</f>
        <v>51024681</v>
      </c>
      <c r="C214">
        <f>CALCULOS_AGENCIA!$U214</f>
        <v>83.078094342475282</v>
      </c>
      <c r="D214" t="str">
        <f>CALCULOS_AGENCIA!$V214</f>
        <v>ORO</v>
      </c>
      <c r="E214">
        <f>CALCULOS_AGENCIA!$AA214</f>
        <v>351</v>
      </c>
      <c r="F214" s="3">
        <f t="shared" ca="1" si="3"/>
        <v>46087</v>
      </c>
    </row>
    <row r="215" spans="1:6" x14ac:dyDescent="0.3">
      <c r="A215" t="str">
        <f>PARAMS_MODELO!$B$3</f>
        <v>2025-Q3</v>
      </c>
      <c r="B215">
        <f>CALCULOS_AGENCIA!$A215</f>
        <v>51024001</v>
      </c>
      <c r="C215">
        <f>CALCULOS_AGENCIA!$U215</f>
        <v>22.12</v>
      </c>
      <c r="D215" t="str">
        <f>CALCULOS_AGENCIA!$V215</f>
        <v>BRONCE</v>
      </c>
      <c r="E215">
        <f>CALCULOS_AGENCIA!$AA215</f>
        <v>947</v>
      </c>
      <c r="F215" s="3">
        <f t="shared" ca="1" si="3"/>
        <v>46087</v>
      </c>
    </row>
    <row r="216" spans="1:6" x14ac:dyDescent="0.3">
      <c r="A216" t="str">
        <f>PARAMS_MODELO!$B$3</f>
        <v>2025-Q3</v>
      </c>
      <c r="B216">
        <f>CALCULOS_AGENCIA!$A216</f>
        <v>51023480</v>
      </c>
      <c r="C216">
        <f>CALCULOS_AGENCIA!$U216</f>
        <v>63.666291185312922</v>
      </c>
      <c r="D216" t="str">
        <f>CALCULOS_AGENCIA!$V216</f>
        <v>ORO</v>
      </c>
      <c r="E216">
        <f>CALCULOS_AGENCIA!$AA216</f>
        <v>552</v>
      </c>
      <c r="F216" s="3">
        <f t="shared" ca="1" si="3"/>
        <v>46087</v>
      </c>
    </row>
    <row r="217" spans="1:6" x14ac:dyDescent="0.3">
      <c r="A217" t="str">
        <f>PARAMS_MODELO!$B$3</f>
        <v>2025-Q3</v>
      </c>
      <c r="B217">
        <f>CALCULOS_AGENCIA!$A217</f>
        <v>51020405</v>
      </c>
      <c r="C217">
        <f>CALCULOS_AGENCIA!$U217</f>
        <v>72.80385290877058</v>
      </c>
      <c r="D217" t="str">
        <f>CALCULOS_AGENCIA!$V217</f>
        <v>ORO</v>
      </c>
      <c r="E217">
        <f>CALCULOS_AGENCIA!$AA217</f>
        <v>491</v>
      </c>
      <c r="F217" s="3">
        <f t="shared" ca="1" si="3"/>
        <v>46087</v>
      </c>
    </row>
    <row r="218" spans="1:6" x14ac:dyDescent="0.3">
      <c r="A218" t="str">
        <f>PARAMS_MODELO!$B$3</f>
        <v>2025-Q3</v>
      </c>
      <c r="B218">
        <f>CALCULOS_AGENCIA!$A218</f>
        <v>51044070</v>
      </c>
      <c r="C218">
        <f>CALCULOS_AGENCIA!$U218</f>
        <v>78.446194363044071</v>
      </c>
      <c r="D218" t="str">
        <f>CALCULOS_AGENCIA!$V218</f>
        <v>ORO</v>
      </c>
      <c r="E218">
        <f>CALCULOS_AGENCIA!$AA218</f>
        <v>452</v>
      </c>
      <c r="F218" s="3">
        <f t="shared" ca="1" si="3"/>
        <v>46087</v>
      </c>
    </row>
    <row r="219" spans="1:6" x14ac:dyDescent="0.3">
      <c r="A219" t="str">
        <f>PARAMS_MODELO!$B$3</f>
        <v>2025-Q3</v>
      </c>
      <c r="B219">
        <f>CALCULOS_AGENCIA!$A219</f>
        <v>51032110</v>
      </c>
      <c r="C219">
        <f>CALCULOS_AGENCIA!$U219</f>
        <v>56.977302856545435</v>
      </c>
      <c r="D219" t="str">
        <f>CALCULOS_AGENCIA!$V219</f>
        <v>PLATA</v>
      </c>
      <c r="E219">
        <f>CALCULOS_AGENCIA!$AA219</f>
        <v>683</v>
      </c>
      <c r="F219" s="3">
        <f t="shared" ca="1" si="3"/>
        <v>46087</v>
      </c>
    </row>
    <row r="220" spans="1:6" x14ac:dyDescent="0.3">
      <c r="A220" t="str">
        <f>PARAMS_MODELO!$B$3</f>
        <v>2025-Q3</v>
      </c>
      <c r="B220">
        <f>CALCULOS_AGENCIA!$A220</f>
        <v>51036123</v>
      </c>
      <c r="C220">
        <f>CALCULOS_AGENCIA!$U220</f>
        <v>87.579235257857263</v>
      </c>
      <c r="D220" t="str">
        <f>CALCULOS_AGENCIA!$V220</f>
        <v>PLATINO</v>
      </c>
      <c r="E220">
        <f>CALCULOS_AGENCIA!$AA220</f>
        <v>209</v>
      </c>
      <c r="F220" s="3">
        <f t="shared" ca="1" si="3"/>
        <v>46087</v>
      </c>
    </row>
    <row r="221" spans="1:6" x14ac:dyDescent="0.3">
      <c r="A221" t="str">
        <f>PARAMS_MODELO!$B$3</f>
        <v>2025-Q3</v>
      </c>
      <c r="B221">
        <f>CALCULOS_AGENCIA!$A221</f>
        <v>51056078</v>
      </c>
      <c r="C221">
        <f>CALCULOS_AGENCIA!$U221</f>
        <v>85.738001337383437</v>
      </c>
      <c r="D221" t="str">
        <f>CALCULOS_AGENCIA!$V221</f>
        <v>ORO</v>
      </c>
      <c r="E221">
        <f>CALCULOS_AGENCIA!$AA221</f>
        <v>261</v>
      </c>
      <c r="F221" s="3">
        <f t="shared" ca="1" si="3"/>
        <v>46087</v>
      </c>
    </row>
    <row r="222" spans="1:6" x14ac:dyDescent="0.3">
      <c r="A222" t="str">
        <f>PARAMS_MODELO!$B$3</f>
        <v>2025-Q3</v>
      </c>
      <c r="B222">
        <f>CALCULOS_AGENCIA!$A222</f>
        <v>51012445</v>
      </c>
      <c r="C222">
        <f>CALCULOS_AGENCIA!$U222</f>
        <v>81.514819904381753</v>
      </c>
      <c r="D222" t="str">
        <f>CALCULOS_AGENCIA!$V222</f>
        <v>ORO</v>
      </c>
      <c r="E222">
        <f>CALCULOS_AGENCIA!$AA222</f>
        <v>401</v>
      </c>
      <c r="F222" s="3">
        <f t="shared" ca="1" si="3"/>
        <v>46087</v>
      </c>
    </row>
    <row r="223" spans="1:6" x14ac:dyDescent="0.3">
      <c r="A223" t="str">
        <f>PARAMS_MODELO!$B$3</f>
        <v>2025-Q3</v>
      </c>
      <c r="B223">
        <f>CALCULOS_AGENCIA!$A223</f>
        <v>51019661</v>
      </c>
      <c r="C223">
        <f>CALCULOS_AGENCIA!$U223</f>
        <v>81.101957135425508</v>
      </c>
      <c r="D223" t="str">
        <f>CALCULOS_AGENCIA!$V223</f>
        <v>ORO</v>
      </c>
      <c r="E223">
        <f>CALCULOS_AGENCIA!$AA223</f>
        <v>411</v>
      </c>
      <c r="F223" s="3">
        <f t="shared" ca="1" si="3"/>
        <v>46087</v>
      </c>
    </row>
    <row r="224" spans="1:6" x14ac:dyDescent="0.3">
      <c r="A224" t="str">
        <f>PARAMS_MODELO!$B$3</f>
        <v>2025-Q3</v>
      </c>
      <c r="B224">
        <f>CALCULOS_AGENCIA!$A224</f>
        <v>51021894</v>
      </c>
      <c r="C224">
        <f>CALCULOS_AGENCIA!$U224</f>
        <v>29.9</v>
      </c>
      <c r="D224" t="str">
        <f>CALCULOS_AGENCIA!$V224</f>
        <v>PLATA</v>
      </c>
      <c r="E224">
        <f>CALCULOS_AGENCIA!$AA224</f>
        <v>868</v>
      </c>
      <c r="F224" s="3">
        <f t="shared" ca="1" si="3"/>
        <v>46087</v>
      </c>
    </row>
    <row r="225" spans="1:6" x14ac:dyDescent="0.3">
      <c r="A225" t="str">
        <f>PARAMS_MODELO!$B$3</f>
        <v>2025-Q3</v>
      </c>
      <c r="B225">
        <f>CALCULOS_AGENCIA!$A225</f>
        <v>51018575</v>
      </c>
      <c r="C225">
        <f>CALCULOS_AGENCIA!$U225</f>
        <v>86.808833108172593</v>
      </c>
      <c r="D225" t="str">
        <f>CALCULOS_AGENCIA!$V225</f>
        <v>PLATINO</v>
      </c>
      <c r="E225">
        <f>CALCULOS_AGENCIA!$AA225</f>
        <v>229</v>
      </c>
      <c r="F225" s="3">
        <f t="shared" ca="1" si="3"/>
        <v>46087</v>
      </c>
    </row>
    <row r="226" spans="1:6" x14ac:dyDescent="0.3">
      <c r="A226" t="str">
        <f>PARAMS_MODELO!$B$3</f>
        <v>2025-Q3</v>
      </c>
      <c r="B226">
        <f>CALCULOS_AGENCIA!$A226</f>
        <v>51031652</v>
      </c>
      <c r="C226">
        <f>CALCULOS_AGENCIA!$U226</f>
        <v>83.776633528155386</v>
      </c>
      <c r="D226" t="str">
        <f>CALCULOS_AGENCIA!$V226</f>
        <v>ORO</v>
      </c>
      <c r="E226">
        <f>CALCULOS_AGENCIA!$AA226</f>
        <v>327</v>
      </c>
      <c r="F226" s="3">
        <f t="shared" ca="1" si="3"/>
        <v>46087</v>
      </c>
    </row>
    <row r="227" spans="1:6" x14ac:dyDescent="0.3">
      <c r="A227" t="str">
        <f>PARAMS_MODELO!$B$3</f>
        <v>2025-Q3</v>
      </c>
      <c r="B227">
        <f>CALCULOS_AGENCIA!$A227</f>
        <v>51040627</v>
      </c>
      <c r="C227">
        <f>CALCULOS_AGENCIA!$U227</f>
        <v>86.058591192174546</v>
      </c>
      <c r="D227" t="str">
        <f>CALCULOS_AGENCIA!$V227</f>
        <v>ORO</v>
      </c>
      <c r="E227">
        <f>CALCULOS_AGENCIA!$AA227</f>
        <v>251</v>
      </c>
      <c r="F227" s="3">
        <f t="shared" ca="1" si="3"/>
        <v>46087</v>
      </c>
    </row>
    <row r="228" spans="1:6" x14ac:dyDescent="0.3">
      <c r="A228" t="str">
        <f>PARAMS_MODELO!$B$3</f>
        <v>2025-Q3</v>
      </c>
      <c r="B228">
        <f>CALCULOS_AGENCIA!$A228</f>
        <v>51031253</v>
      </c>
      <c r="C228">
        <f>CALCULOS_AGENCIA!$U228</f>
        <v>83.947067609995969</v>
      </c>
      <c r="D228" t="str">
        <f>CALCULOS_AGENCIA!$V228</f>
        <v>ORO</v>
      </c>
      <c r="E228">
        <f>CALCULOS_AGENCIA!$AA228</f>
        <v>325</v>
      </c>
      <c r="F228" s="3">
        <f t="shared" ca="1" si="3"/>
        <v>46087</v>
      </c>
    </row>
    <row r="229" spans="1:6" x14ac:dyDescent="0.3">
      <c r="A229" t="str">
        <f>PARAMS_MODELO!$B$3</f>
        <v>2025-Q3</v>
      </c>
      <c r="B229">
        <f>CALCULOS_AGENCIA!$A229</f>
        <v>51034350</v>
      </c>
      <c r="C229">
        <f>CALCULOS_AGENCIA!$U229</f>
        <v>51.761876080249166</v>
      </c>
      <c r="D229" t="str">
        <f>CALCULOS_AGENCIA!$V229</f>
        <v>PLATA</v>
      </c>
      <c r="E229">
        <f>CALCULOS_AGENCIA!$AA229</f>
        <v>729</v>
      </c>
      <c r="F229" s="3">
        <f t="shared" ca="1" si="3"/>
        <v>46087</v>
      </c>
    </row>
    <row r="230" spans="1:6" x14ac:dyDescent="0.3">
      <c r="A230" t="str">
        <f>PARAMS_MODELO!$B$3</f>
        <v>2025-Q3</v>
      </c>
      <c r="B230">
        <f>CALCULOS_AGENCIA!$A230</f>
        <v>51022220</v>
      </c>
      <c r="C230">
        <f>CALCULOS_AGENCIA!$U230</f>
        <v>22.012807867296146</v>
      </c>
      <c r="D230" t="str">
        <f>CALCULOS_AGENCIA!$V230</f>
        <v>BRONCE</v>
      </c>
      <c r="E230">
        <f>CALCULOS_AGENCIA!$AA230</f>
        <v>948</v>
      </c>
      <c r="F230" s="3">
        <f t="shared" ca="1" si="3"/>
        <v>46087</v>
      </c>
    </row>
    <row r="231" spans="1:6" x14ac:dyDescent="0.3">
      <c r="A231" t="str">
        <f>PARAMS_MODELO!$B$3</f>
        <v>2025-Q3</v>
      </c>
      <c r="B231">
        <f>CALCULOS_AGENCIA!$A231</f>
        <v>51019512</v>
      </c>
      <c r="C231">
        <f>CALCULOS_AGENCIA!$U231</f>
        <v>97.501450283296919</v>
      </c>
      <c r="D231" t="str">
        <f>CALCULOS_AGENCIA!$V231</f>
        <v>DIAMANTE</v>
      </c>
      <c r="E231">
        <f>CALCULOS_AGENCIA!$AA231</f>
        <v>42</v>
      </c>
      <c r="F231" s="3">
        <f t="shared" ca="1" si="3"/>
        <v>46087</v>
      </c>
    </row>
    <row r="232" spans="1:6" x14ac:dyDescent="0.3">
      <c r="A232" t="str">
        <f>PARAMS_MODELO!$B$3</f>
        <v>2025-Q3</v>
      </c>
      <c r="B232">
        <f>CALCULOS_AGENCIA!$A232</f>
        <v>51014391</v>
      </c>
      <c r="C232">
        <f>CALCULOS_AGENCIA!$U232</f>
        <v>85.620506866663092</v>
      </c>
      <c r="D232" t="str">
        <f>CALCULOS_AGENCIA!$V232</f>
        <v>ORO</v>
      </c>
      <c r="E232">
        <f>CALCULOS_AGENCIA!$AA232</f>
        <v>265</v>
      </c>
      <c r="F232" s="3">
        <f t="shared" ca="1" si="3"/>
        <v>46087</v>
      </c>
    </row>
    <row r="233" spans="1:6" x14ac:dyDescent="0.3">
      <c r="A233" t="str">
        <f>PARAMS_MODELO!$B$3</f>
        <v>2025-Q3</v>
      </c>
      <c r="B233">
        <f>CALCULOS_AGENCIA!$A233</f>
        <v>51042689</v>
      </c>
      <c r="C233">
        <f>CALCULOS_AGENCIA!$U233</f>
        <v>82.445126904477689</v>
      </c>
      <c r="D233" t="str">
        <f>CALCULOS_AGENCIA!$V233</f>
        <v>ORO</v>
      </c>
      <c r="E233">
        <f>CALCULOS_AGENCIA!$AA233</f>
        <v>375</v>
      </c>
      <c r="F233" s="3">
        <f t="shared" ca="1" si="3"/>
        <v>46087</v>
      </c>
    </row>
    <row r="234" spans="1:6" x14ac:dyDescent="0.3">
      <c r="A234" t="str">
        <f>PARAMS_MODELO!$B$3</f>
        <v>2025-Q3</v>
      </c>
      <c r="B234">
        <f>CALCULOS_AGENCIA!$A234</f>
        <v>51013867</v>
      </c>
      <c r="C234">
        <f>CALCULOS_AGENCIA!$U234</f>
        <v>89.362345883205691</v>
      </c>
      <c r="D234" t="str">
        <f>CALCULOS_AGENCIA!$V234</f>
        <v>PLATINO</v>
      </c>
      <c r="E234">
        <f>CALCULOS_AGENCIA!$AA234</f>
        <v>154</v>
      </c>
      <c r="F234" s="3">
        <f t="shared" ca="1" si="3"/>
        <v>46087</v>
      </c>
    </row>
    <row r="235" spans="1:6" x14ac:dyDescent="0.3">
      <c r="A235" t="str">
        <f>PARAMS_MODELO!$B$3</f>
        <v>2025-Q3</v>
      </c>
      <c r="B235">
        <f>CALCULOS_AGENCIA!$A235</f>
        <v>51021258</v>
      </c>
      <c r="C235">
        <f>CALCULOS_AGENCIA!$U235</f>
        <v>90.665437383681351</v>
      </c>
      <c r="D235" t="str">
        <f>CALCULOS_AGENCIA!$V235</f>
        <v>PLATINO</v>
      </c>
      <c r="E235">
        <f>CALCULOS_AGENCIA!$AA235</f>
        <v>120</v>
      </c>
      <c r="F235" s="3">
        <f t="shared" ca="1" si="3"/>
        <v>46087</v>
      </c>
    </row>
    <row r="236" spans="1:6" x14ac:dyDescent="0.3">
      <c r="A236" t="str">
        <f>PARAMS_MODELO!$B$3</f>
        <v>2025-Q3</v>
      </c>
      <c r="B236">
        <f>CALCULOS_AGENCIA!$A236</f>
        <v>51024591</v>
      </c>
      <c r="C236">
        <f>CALCULOS_AGENCIA!$U236</f>
        <v>31.120503367448805</v>
      </c>
      <c r="D236" t="str">
        <f>CALCULOS_AGENCIA!$V236</f>
        <v>PLATA</v>
      </c>
      <c r="E236">
        <f>CALCULOS_AGENCIA!$AA236</f>
        <v>844</v>
      </c>
      <c r="F236" s="3">
        <f t="shared" ca="1" si="3"/>
        <v>46087</v>
      </c>
    </row>
    <row r="237" spans="1:6" x14ac:dyDescent="0.3">
      <c r="A237" t="str">
        <f>PARAMS_MODELO!$B$3</f>
        <v>2025-Q3</v>
      </c>
      <c r="B237">
        <f>CALCULOS_AGENCIA!$A237</f>
        <v>51021665</v>
      </c>
      <c r="C237">
        <f>CALCULOS_AGENCIA!$U237</f>
        <v>60.140579170187848</v>
      </c>
      <c r="D237" t="str">
        <f>CALCULOS_AGENCIA!$V237</f>
        <v>PLATA</v>
      </c>
      <c r="E237">
        <f>CALCULOS_AGENCIA!$AA237</f>
        <v>615</v>
      </c>
      <c r="F237" s="3">
        <f t="shared" ca="1" si="3"/>
        <v>46087</v>
      </c>
    </row>
    <row r="238" spans="1:6" x14ac:dyDescent="0.3">
      <c r="A238" t="str">
        <f>PARAMS_MODELO!$B$3</f>
        <v>2025-Q3</v>
      </c>
      <c r="B238">
        <f>CALCULOS_AGENCIA!$A238</f>
        <v>51030273</v>
      </c>
      <c r="C238">
        <f>CALCULOS_AGENCIA!$U238</f>
        <v>38.903122831664604</v>
      </c>
      <c r="D238" t="str">
        <f>CALCULOS_AGENCIA!$V238</f>
        <v>PLATA</v>
      </c>
      <c r="E238">
        <f>CALCULOS_AGENCIA!$AA238</f>
        <v>793</v>
      </c>
      <c r="F238" s="3">
        <f t="shared" ca="1" si="3"/>
        <v>46087</v>
      </c>
    </row>
    <row r="239" spans="1:6" x14ac:dyDescent="0.3">
      <c r="A239" t="str">
        <f>PARAMS_MODELO!$B$3</f>
        <v>2025-Q3</v>
      </c>
      <c r="B239">
        <f>CALCULOS_AGENCIA!$A239</f>
        <v>51024559</v>
      </c>
      <c r="C239">
        <f>CALCULOS_AGENCIA!$U239</f>
        <v>34.298494199455192</v>
      </c>
      <c r="D239" t="str">
        <f>CALCULOS_AGENCIA!$V239</f>
        <v>PLATA</v>
      </c>
      <c r="E239">
        <f>CALCULOS_AGENCIA!$AA239</f>
        <v>812</v>
      </c>
      <c r="F239" s="3">
        <f t="shared" ca="1" si="3"/>
        <v>46087</v>
      </c>
    </row>
    <row r="240" spans="1:6" x14ac:dyDescent="0.3">
      <c r="A240" t="str">
        <f>PARAMS_MODELO!$B$3</f>
        <v>2025-Q3</v>
      </c>
      <c r="B240">
        <f>CALCULOS_AGENCIA!$A240</f>
        <v>51007565</v>
      </c>
      <c r="C240">
        <f>CALCULOS_AGENCIA!$U240</f>
        <v>84.562680179126744</v>
      </c>
      <c r="D240" t="str">
        <f>CALCULOS_AGENCIA!$V240</f>
        <v>ORO</v>
      </c>
      <c r="E240">
        <f>CALCULOS_AGENCIA!$AA240</f>
        <v>297</v>
      </c>
      <c r="F240" s="3">
        <f t="shared" ca="1" si="3"/>
        <v>46087</v>
      </c>
    </row>
    <row r="241" spans="1:6" x14ac:dyDescent="0.3">
      <c r="A241" t="str">
        <f>PARAMS_MODELO!$B$3</f>
        <v>2025-Q3</v>
      </c>
      <c r="B241">
        <f>CALCULOS_AGENCIA!$A241</f>
        <v>51032136</v>
      </c>
      <c r="C241">
        <f>CALCULOS_AGENCIA!$U241</f>
        <v>89.779477754745685</v>
      </c>
      <c r="D241" t="str">
        <f>CALCULOS_AGENCIA!$V241</f>
        <v>PLATINO</v>
      </c>
      <c r="E241">
        <f>CALCULOS_AGENCIA!$AA241</f>
        <v>141</v>
      </c>
      <c r="F241" s="3">
        <f t="shared" ca="1" si="3"/>
        <v>46087</v>
      </c>
    </row>
    <row r="242" spans="1:6" x14ac:dyDescent="0.3">
      <c r="A242" t="str">
        <f>PARAMS_MODELO!$B$3</f>
        <v>2025-Q3</v>
      </c>
      <c r="B242">
        <f>CALCULOS_AGENCIA!$A242</f>
        <v>51057066</v>
      </c>
      <c r="C242">
        <f>CALCULOS_AGENCIA!$U242</f>
        <v>82.559653079664471</v>
      </c>
      <c r="D242" t="str">
        <f>CALCULOS_AGENCIA!$V242</f>
        <v>ORO</v>
      </c>
      <c r="E242">
        <f>CALCULOS_AGENCIA!$AA242</f>
        <v>371</v>
      </c>
      <c r="F242" s="3">
        <f t="shared" ca="1" si="3"/>
        <v>46087</v>
      </c>
    </row>
    <row r="243" spans="1:6" x14ac:dyDescent="0.3">
      <c r="A243" t="str">
        <f>PARAMS_MODELO!$B$3</f>
        <v>2025-Q3</v>
      </c>
      <c r="B243">
        <f>CALCULOS_AGENCIA!$A243</f>
        <v>51021215</v>
      </c>
      <c r="C243">
        <f>CALCULOS_AGENCIA!$U243</f>
        <v>39.291206136383224</v>
      </c>
      <c r="D243" t="str">
        <f>CALCULOS_AGENCIA!$V243</f>
        <v>PLATA</v>
      </c>
      <c r="E243">
        <f>CALCULOS_AGENCIA!$AA243</f>
        <v>790</v>
      </c>
      <c r="F243" s="3">
        <f t="shared" ca="1" si="3"/>
        <v>46087</v>
      </c>
    </row>
    <row r="244" spans="1:6" x14ac:dyDescent="0.3">
      <c r="A244" t="str">
        <f>PARAMS_MODELO!$B$3</f>
        <v>2025-Q3</v>
      </c>
      <c r="B244">
        <f>CALCULOS_AGENCIA!$A244</f>
        <v>51040937</v>
      </c>
      <c r="C244">
        <f>CALCULOS_AGENCIA!$U244</f>
        <v>82.736776219878848</v>
      </c>
      <c r="D244" t="str">
        <f>CALCULOS_AGENCIA!$V244</f>
        <v>ORO</v>
      </c>
      <c r="E244">
        <f>CALCULOS_AGENCIA!$AA244</f>
        <v>366</v>
      </c>
      <c r="F244" s="3">
        <f t="shared" ca="1" si="3"/>
        <v>46087</v>
      </c>
    </row>
    <row r="245" spans="1:6" x14ac:dyDescent="0.3">
      <c r="A245" t="str">
        <f>PARAMS_MODELO!$B$3</f>
        <v>2025-Q3</v>
      </c>
      <c r="B245">
        <f>CALCULOS_AGENCIA!$A245</f>
        <v>51014430</v>
      </c>
      <c r="C245">
        <f>CALCULOS_AGENCIA!$U245</f>
        <v>85.482639622086026</v>
      </c>
      <c r="D245" t="str">
        <f>CALCULOS_AGENCIA!$V245</f>
        <v>ORO</v>
      </c>
      <c r="E245">
        <f>CALCULOS_AGENCIA!$AA245</f>
        <v>269</v>
      </c>
      <c r="F245" s="3">
        <f t="shared" ca="1" si="3"/>
        <v>46087</v>
      </c>
    </row>
    <row r="246" spans="1:6" x14ac:dyDescent="0.3">
      <c r="A246" t="str">
        <f>PARAMS_MODELO!$B$3</f>
        <v>2025-Q3</v>
      </c>
      <c r="B246">
        <f>CALCULOS_AGENCIA!$A246</f>
        <v>51055853</v>
      </c>
      <c r="C246">
        <f>CALCULOS_AGENCIA!$U246</f>
        <v>34.602381803103832</v>
      </c>
      <c r="D246" t="str">
        <f>CALCULOS_AGENCIA!$V246</f>
        <v>PLATA</v>
      </c>
      <c r="E246">
        <f>CALCULOS_AGENCIA!$AA246</f>
        <v>808</v>
      </c>
      <c r="F246" s="3">
        <f t="shared" ca="1" si="3"/>
        <v>46087</v>
      </c>
    </row>
    <row r="247" spans="1:6" x14ac:dyDescent="0.3">
      <c r="A247" t="str">
        <f>PARAMS_MODELO!$B$3</f>
        <v>2025-Q3</v>
      </c>
      <c r="B247">
        <f>CALCULOS_AGENCIA!$A247</f>
        <v>51056515</v>
      </c>
      <c r="C247">
        <f>CALCULOS_AGENCIA!$U247</f>
        <v>89.158789645379926</v>
      </c>
      <c r="D247" t="str">
        <f>CALCULOS_AGENCIA!$V247</f>
        <v>PLATINO</v>
      </c>
      <c r="E247">
        <f>CALCULOS_AGENCIA!$AA247</f>
        <v>163</v>
      </c>
      <c r="F247" s="3">
        <f t="shared" ca="1" si="3"/>
        <v>46087</v>
      </c>
    </row>
    <row r="248" spans="1:6" x14ac:dyDescent="0.3">
      <c r="A248" t="str">
        <f>PARAMS_MODELO!$B$3</f>
        <v>2025-Q3</v>
      </c>
      <c r="B248">
        <f>CALCULOS_AGENCIA!$A248</f>
        <v>51020952</v>
      </c>
      <c r="C248">
        <f>CALCULOS_AGENCIA!$U248</f>
        <v>99.579550855617768</v>
      </c>
      <c r="D248" t="str">
        <f>CALCULOS_AGENCIA!$V248</f>
        <v>DIAMANTE</v>
      </c>
      <c r="E248">
        <f>CALCULOS_AGENCIA!$AA248</f>
        <v>21</v>
      </c>
      <c r="F248" s="3">
        <f t="shared" ca="1" si="3"/>
        <v>46087</v>
      </c>
    </row>
    <row r="249" spans="1:6" x14ac:dyDescent="0.3">
      <c r="A249" t="str">
        <f>PARAMS_MODELO!$B$3</f>
        <v>2025-Q3</v>
      </c>
      <c r="B249">
        <f>CALCULOS_AGENCIA!$A249</f>
        <v>51022611</v>
      </c>
      <c r="C249">
        <f>CALCULOS_AGENCIA!$U249</f>
        <v>49.459717642235496</v>
      </c>
      <c r="D249" t="str">
        <f>CALCULOS_AGENCIA!$V249</f>
        <v>PLATA</v>
      </c>
      <c r="E249">
        <f>CALCULOS_AGENCIA!$AA249</f>
        <v>745</v>
      </c>
      <c r="F249" s="3">
        <f t="shared" ca="1" si="3"/>
        <v>46087</v>
      </c>
    </row>
    <row r="250" spans="1:6" x14ac:dyDescent="0.3">
      <c r="A250" t="str">
        <f>PARAMS_MODELO!$B$3</f>
        <v>2025-Q3</v>
      </c>
      <c r="B250">
        <f>CALCULOS_AGENCIA!$A250</f>
        <v>51056761</v>
      </c>
      <c r="C250">
        <f>CALCULOS_AGENCIA!$U250</f>
        <v>84.212467729936336</v>
      </c>
      <c r="D250" t="str">
        <f>CALCULOS_AGENCIA!$V250</f>
        <v>ORO</v>
      </c>
      <c r="E250">
        <f>CALCULOS_AGENCIA!$AA250</f>
        <v>311</v>
      </c>
      <c r="F250" s="3">
        <f t="shared" ca="1" si="3"/>
        <v>46087</v>
      </c>
    </row>
    <row r="251" spans="1:6" x14ac:dyDescent="0.3">
      <c r="A251" t="str">
        <f>PARAMS_MODELO!$B$3</f>
        <v>2025-Q3</v>
      </c>
      <c r="B251">
        <f>CALCULOS_AGENCIA!$A251</f>
        <v>51031741</v>
      </c>
      <c r="C251">
        <f>CALCULOS_AGENCIA!$U251</f>
        <v>84.673759717438486</v>
      </c>
      <c r="D251" t="str">
        <f>CALCULOS_AGENCIA!$V251</f>
        <v>ORO</v>
      </c>
      <c r="E251">
        <f>CALCULOS_AGENCIA!$AA251</f>
        <v>293</v>
      </c>
      <c r="F251" s="3">
        <f t="shared" ca="1" si="3"/>
        <v>46087</v>
      </c>
    </row>
    <row r="252" spans="1:6" x14ac:dyDescent="0.3">
      <c r="A252" t="str">
        <f>PARAMS_MODELO!$B$3</f>
        <v>2025-Q3</v>
      </c>
      <c r="B252">
        <f>CALCULOS_AGENCIA!$A252</f>
        <v>51056469</v>
      </c>
      <c r="C252">
        <f>CALCULOS_AGENCIA!$U252</f>
        <v>86.272192523520275</v>
      </c>
      <c r="D252" t="str">
        <f>CALCULOS_AGENCIA!$V252</f>
        <v>ORO</v>
      </c>
      <c r="E252">
        <f>CALCULOS_AGENCIA!$AA252</f>
        <v>244</v>
      </c>
      <c r="F252" s="3">
        <f t="shared" ca="1" si="3"/>
        <v>46087</v>
      </c>
    </row>
    <row r="253" spans="1:6" x14ac:dyDescent="0.3">
      <c r="A253" t="str">
        <f>PARAMS_MODELO!$B$3</f>
        <v>2025-Q3</v>
      </c>
      <c r="B253">
        <f>CALCULOS_AGENCIA!$A253</f>
        <v>51031130</v>
      </c>
      <c r="C253">
        <f>CALCULOS_AGENCIA!$U253</f>
        <v>92.36174471101549</v>
      </c>
      <c r="D253" t="str">
        <f>CALCULOS_AGENCIA!$V253</f>
        <v>PLATINO</v>
      </c>
      <c r="E253">
        <f>CALCULOS_AGENCIA!$AA253</f>
        <v>99</v>
      </c>
      <c r="F253" s="3">
        <f t="shared" ca="1" si="3"/>
        <v>46087</v>
      </c>
    </row>
    <row r="254" spans="1:6" x14ac:dyDescent="0.3">
      <c r="A254" t="str">
        <f>PARAMS_MODELO!$B$3</f>
        <v>2025-Q3</v>
      </c>
      <c r="B254">
        <f>CALCULOS_AGENCIA!$A254</f>
        <v>51014855</v>
      </c>
      <c r="C254">
        <f>CALCULOS_AGENCIA!$U254</f>
        <v>80.496797393925334</v>
      </c>
      <c r="D254" t="str">
        <f>CALCULOS_AGENCIA!$V254</f>
        <v>ORO</v>
      </c>
      <c r="E254">
        <f>CALCULOS_AGENCIA!$AA254</f>
        <v>430</v>
      </c>
      <c r="F254" s="3">
        <f t="shared" ca="1" si="3"/>
        <v>46087</v>
      </c>
    </row>
    <row r="255" spans="1:6" x14ac:dyDescent="0.3">
      <c r="A255" t="str">
        <f>PARAMS_MODELO!$B$3</f>
        <v>2025-Q3</v>
      </c>
      <c r="B255">
        <f>CALCULOS_AGENCIA!$A255</f>
        <v>51055055</v>
      </c>
      <c r="C255">
        <f>CALCULOS_AGENCIA!$U255</f>
        <v>87.337700095422477</v>
      </c>
      <c r="D255" t="str">
        <f>CALCULOS_AGENCIA!$V255</f>
        <v>PLATINO</v>
      </c>
      <c r="E255">
        <f>CALCULOS_AGENCIA!$AA255</f>
        <v>217</v>
      </c>
      <c r="F255" s="3">
        <f t="shared" ca="1" si="3"/>
        <v>46087</v>
      </c>
    </row>
    <row r="256" spans="1:6" x14ac:dyDescent="0.3">
      <c r="A256" t="str">
        <f>PARAMS_MODELO!$B$3</f>
        <v>2025-Q3</v>
      </c>
      <c r="B256">
        <f>CALCULOS_AGENCIA!$A256</f>
        <v>51008634</v>
      </c>
      <c r="C256">
        <f>CALCULOS_AGENCIA!$U256</f>
        <v>74.989317540667372</v>
      </c>
      <c r="D256" t="str">
        <f>CALCULOS_AGENCIA!$V256</f>
        <v>ORO</v>
      </c>
      <c r="E256">
        <f>CALCULOS_AGENCIA!$AA256</f>
        <v>476</v>
      </c>
      <c r="F256" s="3">
        <f t="shared" ca="1" si="3"/>
        <v>46087</v>
      </c>
    </row>
    <row r="257" spans="1:6" x14ac:dyDescent="0.3">
      <c r="A257" t="str">
        <f>PARAMS_MODELO!$B$3</f>
        <v>2025-Q3</v>
      </c>
      <c r="B257">
        <f>CALCULOS_AGENCIA!$A257</f>
        <v>51021835</v>
      </c>
      <c r="C257">
        <f>CALCULOS_AGENCIA!$U257</f>
        <v>57.959287246247115</v>
      </c>
      <c r="D257" t="str">
        <f>CALCULOS_AGENCIA!$V257</f>
        <v>PLATA</v>
      </c>
      <c r="E257">
        <f>CALCULOS_AGENCIA!$AA257</f>
        <v>663</v>
      </c>
      <c r="F257" s="3">
        <f t="shared" ca="1" si="3"/>
        <v>46087</v>
      </c>
    </row>
    <row r="258" spans="1:6" x14ac:dyDescent="0.3">
      <c r="A258" t="str">
        <f>PARAMS_MODELO!$B$3</f>
        <v>2025-Q3</v>
      </c>
      <c r="B258">
        <f>CALCULOS_AGENCIA!$A258</f>
        <v>51030320</v>
      </c>
      <c r="C258">
        <f>CALCULOS_AGENCIA!$U258</f>
        <v>62.512955496097959</v>
      </c>
      <c r="D258" t="str">
        <f>CALCULOS_AGENCIA!$V258</f>
        <v>PLATA</v>
      </c>
      <c r="E258">
        <f>CALCULOS_AGENCIA!$AA258</f>
        <v>568</v>
      </c>
      <c r="F258" s="3">
        <f t="shared" ref="F258:F321" ca="1" si="4">TODAY()</f>
        <v>46087</v>
      </c>
    </row>
    <row r="259" spans="1:6" x14ac:dyDescent="0.3">
      <c r="A259" t="str">
        <f>PARAMS_MODELO!$B$3</f>
        <v>2025-Q3</v>
      </c>
      <c r="B259">
        <f>CALCULOS_AGENCIA!$A259</f>
        <v>51033701</v>
      </c>
      <c r="C259">
        <f>CALCULOS_AGENCIA!$U259</f>
        <v>83.401403855757849</v>
      </c>
      <c r="D259" t="str">
        <f>CALCULOS_AGENCIA!$V259</f>
        <v>ORO</v>
      </c>
      <c r="E259">
        <f>CALCULOS_AGENCIA!$AA259</f>
        <v>334</v>
      </c>
      <c r="F259" s="3">
        <f t="shared" ca="1" si="4"/>
        <v>46087</v>
      </c>
    </row>
    <row r="260" spans="1:6" x14ac:dyDescent="0.3">
      <c r="A260" t="str">
        <f>PARAMS_MODELO!$B$3</f>
        <v>2025-Q3</v>
      </c>
      <c r="B260">
        <f>CALCULOS_AGENCIA!$A260</f>
        <v>51013280</v>
      </c>
      <c r="C260">
        <f>CALCULOS_AGENCIA!$U260</f>
        <v>89.68814107652301</v>
      </c>
      <c r="D260" t="str">
        <f>CALCULOS_AGENCIA!$V260</f>
        <v>PLATINO</v>
      </c>
      <c r="E260">
        <f>CALCULOS_AGENCIA!$AA260</f>
        <v>143</v>
      </c>
      <c r="F260" s="3">
        <f t="shared" ca="1" si="4"/>
        <v>46087</v>
      </c>
    </row>
    <row r="261" spans="1:6" x14ac:dyDescent="0.3">
      <c r="A261" t="str">
        <f>PARAMS_MODELO!$B$3</f>
        <v>2025-Q3</v>
      </c>
      <c r="B261">
        <f>CALCULOS_AGENCIA!$A261</f>
        <v>51022785</v>
      </c>
      <c r="C261">
        <f>CALCULOS_AGENCIA!$U261</f>
        <v>31.584751441324364</v>
      </c>
      <c r="D261" t="str">
        <f>CALCULOS_AGENCIA!$V261</f>
        <v>PLATA</v>
      </c>
      <c r="E261">
        <f>CALCULOS_AGENCIA!$AA261</f>
        <v>840</v>
      </c>
      <c r="F261" s="3">
        <f t="shared" ca="1" si="4"/>
        <v>46087</v>
      </c>
    </row>
    <row r="262" spans="1:6" x14ac:dyDescent="0.3">
      <c r="A262" t="str">
        <f>PARAMS_MODELO!$B$3</f>
        <v>2025-Q3</v>
      </c>
      <c r="B262">
        <f>CALCULOS_AGENCIA!$A262</f>
        <v>51036310</v>
      </c>
      <c r="C262">
        <f>CALCULOS_AGENCIA!$U262</f>
        <v>30.463361083935681</v>
      </c>
      <c r="D262" t="str">
        <f>CALCULOS_AGENCIA!$V262</f>
        <v>PLATA</v>
      </c>
      <c r="E262">
        <f>CALCULOS_AGENCIA!$AA262</f>
        <v>855</v>
      </c>
      <c r="F262" s="3">
        <f t="shared" ca="1" si="4"/>
        <v>46087</v>
      </c>
    </row>
    <row r="263" spans="1:6" x14ac:dyDescent="0.3">
      <c r="A263" t="str">
        <f>PARAMS_MODELO!$B$3</f>
        <v>2025-Q3</v>
      </c>
      <c r="B263">
        <f>CALCULOS_AGENCIA!$A263</f>
        <v>51010710</v>
      </c>
      <c r="C263">
        <f>CALCULOS_AGENCIA!$U263</f>
        <v>82.412019581211766</v>
      </c>
      <c r="D263" t="str">
        <f>CALCULOS_AGENCIA!$V263</f>
        <v>ORO</v>
      </c>
      <c r="E263">
        <f>CALCULOS_AGENCIA!$AA263</f>
        <v>376</v>
      </c>
      <c r="F263" s="3">
        <f t="shared" ca="1" si="4"/>
        <v>46087</v>
      </c>
    </row>
    <row r="264" spans="1:6" x14ac:dyDescent="0.3">
      <c r="A264" t="str">
        <f>PARAMS_MODELO!$B$3</f>
        <v>2025-Q3</v>
      </c>
      <c r="B264">
        <f>CALCULOS_AGENCIA!$A264</f>
        <v>51034376</v>
      </c>
      <c r="C264">
        <f>CALCULOS_AGENCIA!$U264</f>
        <v>85.208017080920413</v>
      </c>
      <c r="D264" t="str">
        <f>CALCULOS_AGENCIA!$V264</f>
        <v>ORO</v>
      </c>
      <c r="E264">
        <f>CALCULOS_AGENCIA!$AA264</f>
        <v>277</v>
      </c>
      <c r="F264" s="3">
        <f t="shared" ca="1" si="4"/>
        <v>46087</v>
      </c>
    </row>
    <row r="265" spans="1:6" x14ac:dyDescent="0.3">
      <c r="A265" t="str">
        <f>PARAMS_MODELO!$B$3</f>
        <v>2025-Q3</v>
      </c>
      <c r="B265">
        <f>CALCULOS_AGENCIA!$A265</f>
        <v>51023561</v>
      </c>
      <c r="C265">
        <f>CALCULOS_AGENCIA!$U265</f>
        <v>84.156415111043785</v>
      </c>
      <c r="D265" t="str">
        <f>CALCULOS_AGENCIA!$V265</f>
        <v>ORO</v>
      </c>
      <c r="E265">
        <f>CALCULOS_AGENCIA!$AA265</f>
        <v>316</v>
      </c>
      <c r="F265" s="3">
        <f t="shared" ca="1" si="4"/>
        <v>46087</v>
      </c>
    </row>
    <row r="266" spans="1:6" x14ac:dyDescent="0.3">
      <c r="A266" t="str">
        <f>PARAMS_MODELO!$B$3</f>
        <v>2025-Q3</v>
      </c>
      <c r="B266">
        <f>CALCULOS_AGENCIA!$A266</f>
        <v>51025253</v>
      </c>
      <c r="C266">
        <f>CALCULOS_AGENCIA!$U266</f>
        <v>32.457386520984372</v>
      </c>
      <c r="D266" t="str">
        <f>CALCULOS_AGENCIA!$V266</f>
        <v>PLATA</v>
      </c>
      <c r="E266">
        <f>CALCULOS_AGENCIA!$AA266</f>
        <v>831</v>
      </c>
      <c r="F266" s="3">
        <f t="shared" ca="1" si="4"/>
        <v>46087</v>
      </c>
    </row>
    <row r="267" spans="1:6" x14ac:dyDescent="0.3">
      <c r="A267" t="str">
        <f>PARAMS_MODELO!$B$3</f>
        <v>2025-Q3</v>
      </c>
      <c r="B267">
        <f>CALCULOS_AGENCIA!$A267</f>
        <v>51030176</v>
      </c>
      <c r="C267">
        <f>CALCULOS_AGENCIA!$U267</f>
        <v>59.552894665661007</v>
      </c>
      <c r="D267" t="str">
        <f>CALCULOS_AGENCIA!$V267</f>
        <v>PLATA</v>
      </c>
      <c r="E267">
        <f>CALCULOS_AGENCIA!$AA267</f>
        <v>630</v>
      </c>
      <c r="F267" s="3">
        <f t="shared" ca="1" si="4"/>
        <v>46087</v>
      </c>
    </row>
    <row r="268" spans="1:6" x14ac:dyDescent="0.3">
      <c r="A268" t="str">
        <f>PARAMS_MODELO!$B$3</f>
        <v>2025-Q3</v>
      </c>
      <c r="B268">
        <f>CALCULOS_AGENCIA!$A268</f>
        <v>51024575</v>
      </c>
      <c r="C268">
        <f>CALCULOS_AGENCIA!$U268</f>
        <v>75.004439286218769</v>
      </c>
      <c r="D268" t="str">
        <f>CALCULOS_AGENCIA!$V268</f>
        <v>ORO</v>
      </c>
      <c r="E268">
        <f>CALCULOS_AGENCIA!$AA268</f>
        <v>475</v>
      </c>
      <c r="F268" s="3">
        <f t="shared" ca="1" si="4"/>
        <v>46087</v>
      </c>
    </row>
    <row r="269" spans="1:6" x14ac:dyDescent="0.3">
      <c r="A269" t="str">
        <f>PARAMS_MODELO!$B$3</f>
        <v>2025-Q3</v>
      </c>
      <c r="B269">
        <f>CALCULOS_AGENCIA!$A269</f>
        <v>51005333</v>
      </c>
      <c r="C269">
        <f>CALCULOS_AGENCIA!$U269</f>
        <v>52.746734456703734</v>
      </c>
      <c r="D269" t="str">
        <f>CALCULOS_AGENCIA!$V269</f>
        <v>PLATA</v>
      </c>
      <c r="E269">
        <f>CALCULOS_AGENCIA!$AA269</f>
        <v>726</v>
      </c>
      <c r="F269" s="3">
        <f t="shared" ca="1" si="4"/>
        <v>46087</v>
      </c>
    </row>
    <row r="270" spans="1:6" x14ac:dyDescent="0.3">
      <c r="A270" t="str">
        <f>PARAMS_MODELO!$B$3</f>
        <v>2025-Q3</v>
      </c>
      <c r="B270">
        <f>CALCULOS_AGENCIA!$A270</f>
        <v>51030931</v>
      </c>
      <c r="C270">
        <f>CALCULOS_AGENCIA!$U270</f>
        <v>60.599335450610141</v>
      </c>
      <c r="D270" t="str">
        <f>CALCULOS_AGENCIA!$V270</f>
        <v>PLATA</v>
      </c>
      <c r="E270">
        <f>CALCULOS_AGENCIA!$AA270</f>
        <v>606</v>
      </c>
      <c r="F270" s="3">
        <f t="shared" ca="1" si="4"/>
        <v>46087</v>
      </c>
    </row>
    <row r="271" spans="1:6" x14ac:dyDescent="0.3">
      <c r="A271" t="str">
        <f>PARAMS_MODELO!$B$3</f>
        <v>2025-Q3</v>
      </c>
      <c r="B271">
        <f>CALCULOS_AGENCIA!$A271</f>
        <v>51056027</v>
      </c>
      <c r="C271">
        <f>CALCULOS_AGENCIA!$U271</f>
        <v>92.486264048019308</v>
      </c>
      <c r="D271" t="str">
        <f>CALCULOS_AGENCIA!$V271</f>
        <v>PLATINO</v>
      </c>
      <c r="E271">
        <f>CALCULOS_AGENCIA!$AA271</f>
        <v>95</v>
      </c>
      <c r="F271" s="3">
        <f t="shared" ca="1" si="4"/>
        <v>46087</v>
      </c>
    </row>
    <row r="272" spans="1:6" x14ac:dyDescent="0.3">
      <c r="A272" t="str">
        <f>PARAMS_MODELO!$B$3</f>
        <v>2025-Q3</v>
      </c>
      <c r="B272">
        <f>CALCULOS_AGENCIA!$A272</f>
        <v>51054911</v>
      </c>
      <c r="C272">
        <f>CALCULOS_AGENCIA!$U272</f>
        <v>84.17620530916335</v>
      </c>
      <c r="D272" t="str">
        <f>CALCULOS_AGENCIA!$V272</f>
        <v>ORO</v>
      </c>
      <c r="E272">
        <f>CALCULOS_AGENCIA!$AA272</f>
        <v>313</v>
      </c>
      <c r="F272" s="3">
        <f t="shared" ca="1" si="4"/>
        <v>46087</v>
      </c>
    </row>
    <row r="273" spans="1:6" x14ac:dyDescent="0.3">
      <c r="A273" t="str">
        <f>PARAMS_MODELO!$B$3</f>
        <v>2025-Q3</v>
      </c>
      <c r="B273">
        <f>CALCULOS_AGENCIA!$A273</f>
        <v>51030605</v>
      </c>
      <c r="C273">
        <f>CALCULOS_AGENCIA!$U273</f>
        <v>55.497767245770426</v>
      </c>
      <c r="D273" t="str">
        <f>CALCULOS_AGENCIA!$V273</f>
        <v>PLATA</v>
      </c>
      <c r="E273">
        <f>CALCULOS_AGENCIA!$AA273</f>
        <v>709</v>
      </c>
      <c r="F273" s="3">
        <f t="shared" ca="1" si="4"/>
        <v>46087</v>
      </c>
    </row>
    <row r="274" spans="1:6" x14ac:dyDescent="0.3">
      <c r="A274" t="str">
        <f>PARAMS_MODELO!$B$3</f>
        <v>2025-Q3</v>
      </c>
      <c r="B274">
        <f>CALCULOS_AGENCIA!$A274</f>
        <v>51044487</v>
      </c>
      <c r="C274">
        <f>CALCULOS_AGENCIA!$U274</f>
        <v>90.376115060005759</v>
      </c>
      <c r="D274" t="str">
        <f>CALCULOS_AGENCIA!$V274</f>
        <v>PLATINO</v>
      </c>
      <c r="E274">
        <f>CALCULOS_AGENCIA!$AA274</f>
        <v>129</v>
      </c>
      <c r="F274" s="3">
        <f t="shared" ca="1" si="4"/>
        <v>46087</v>
      </c>
    </row>
    <row r="275" spans="1:6" x14ac:dyDescent="0.3">
      <c r="A275" t="str">
        <f>PARAMS_MODELO!$B$3</f>
        <v>2025-Q3</v>
      </c>
      <c r="B275">
        <f>CALCULOS_AGENCIA!$A275</f>
        <v>51035674</v>
      </c>
      <c r="C275">
        <f>CALCULOS_AGENCIA!$U275</f>
        <v>97.545411540232166</v>
      </c>
      <c r="D275" t="str">
        <f>CALCULOS_AGENCIA!$V275</f>
        <v>DIAMANTE</v>
      </c>
      <c r="E275">
        <f>CALCULOS_AGENCIA!$AA275</f>
        <v>41</v>
      </c>
      <c r="F275" s="3">
        <f t="shared" ca="1" si="4"/>
        <v>46087</v>
      </c>
    </row>
    <row r="276" spans="1:6" x14ac:dyDescent="0.3">
      <c r="A276" t="str">
        <f>PARAMS_MODELO!$B$3</f>
        <v>2025-Q3</v>
      </c>
      <c r="B276">
        <f>CALCULOS_AGENCIA!$A276</f>
        <v>51055128</v>
      </c>
      <c r="C276">
        <f>CALCULOS_AGENCIA!$U276</f>
        <v>94.877553917397591</v>
      </c>
      <c r="D276" t="str">
        <f>CALCULOS_AGENCIA!$V276</f>
        <v>PLATINO</v>
      </c>
      <c r="E276">
        <f>CALCULOS_AGENCIA!$AA276</f>
        <v>71</v>
      </c>
      <c r="F276" s="3">
        <f t="shared" ca="1" si="4"/>
        <v>46087</v>
      </c>
    </row>
    <row r="277" spans="1:6" x14ac:dyDescent="0.3">
      <c r="A277" t="str">
        <f>PARAMS_MODELO!$B$3</f>
        <v>2025-Q3</v>
      </c>
      <c r="B277">
        <f>CALCULOS_AGENCIA!$A277</f>
        <v>51011546</v>
      </c>
      <c r="C277">
        <f>CALCULOS_AGENCIA!$U277</f>
        <v>100</v>
      </c>
      <c r="D277" t="str">
        <f>CALCULOS_AGENCIA!$V277</f>
        <v>DIAMANTE</v>
      </c>
      <c r="E277">
        <f>CALCULOS_AGENCIA!$AA277</f>
        <v>1</v>
      </c>
      <c r="F277" s="3">
        <f t="shared" ca="1" si="4"/>
        <v>46087</v>
      </c>
    </row>
    <row r="278" spans="1:6" x14ac:dyDescent="0.3">
      <c r="A278" t="str">
        <f>PARAMS_MODELO!$B$3</f>
        <v>2025-Q3</v>
      </c>
      <c r="B278">
        <f>CALCULOS_AGENCIA!$A278</f>
        <v>51031482</v>
      </c>
      <c r="C278">
        <f>CALCULOS_AGENCIA!$U278</f>
        <v>93.376848834692524</v>
      </c>
      <c r="D278" t="str">
        <f>CALCULOS_AGENCIA!$V278</f>
        <v>PLATINO</v>
      </c>
      <c r="E278">
        <f>CALCULOS_AGENCIA!$AA278</f>
        <v>86</v>
      </c>
      <c r="F278" s="3">
        <f t="shared" ca="1" si="4"/>
        <v>46087</v>
      </c>
    </row>
    <row r="279" spans="1:6" x14ac:dyDescent="0.3">
      <c r="A279" t="str">
        <f>PARAMS_MODELO!$B$3</f>
        <v>2025-Q3</v>
      </c>
      <c r="B279">
        <f>CALCULOS_AGENCIA!$A279</f>
        <v>51030109</v>
      </c>
      <c r="C279">
        <f>CALCULOS_AGENCIA!$U279</f>
        <v>27.487126860062848</v>
      </c>
      <c r="D279" t="str">
        <f>CALCULOS_AGENCIA!$V279</f>
        <v>PLATA</v>
      </c>
      <c r="E279">
        <f>CALCULOS_AGENCIA!$AA279</f>
        <v>893</v>
      </c>
      <c r="F279" s="3">
        <f t="shared" ca="1" si="4"/>
        <v>46087</v>
      </c>
    </row>
    <row r="280" spans="1:6" x14ac:dyDescent="0.3">
      <c r="A280" t="str">
        <f>PARAMS_MODELO!$B$3</f>
        <v>2025-Q3</v>
      </c>
      <c r="B280">
        <f>CALCULOS_AGENCIA!$A280</f>
        <v>51022009</v>
      </c>
      <c r="C280">
        <f>CALCULOS_AGENCIA!$U280</f>
        <v>87.919679951030687</v>
      </c>
      <c r="D280" t="str">
        <f>CALCULOS_AGENCIA!$V280</f>
        <v>PLATINO</v>
      </c>
      <c r="E280">
        <f>CALCULOS_AGENCIA!$AA280</f>
        <v>201</v>
      </c>
      <c r="F280" s="3">
        <f t="shared" ca="1" si="4"/>
        <v>46087</v>
      </c>
    </row>
    <row r="281" spans="1:6" x14ac:dyDescent="0.3">
      <c r="A281" t="str">
        <f>PARAMS_MODELO!$B$3</f>
        <v>2025-Q3</v>
      </c>
      <c r="B281">
        <f>CALCULOS_AGENCIA!$A281</f>
        <v>51015932</v>
      </c>
      <c r="C281">
        <f>CALCULOS_AGENCIA!$U281</f>
        <v>80.625404772543973</v>
      </c>
      <c r="D281" t="str">
        <f>CALCULOS_AGENCIA!$V281</f>
        <v>ORO</v>
      </c>
      <c r="E281">
        <f>CALCULOS_AGENCIA!$AA281</f>
        <v>426</v>
      </c>
      <c r="F281" s="3">
        <f t="shared" ca="1" si="4"/>
        <v>46087</v>
      </c>
    </row>
    <row r="282" spans="1:6" x14ac:dyDescent="0.3">
      <c r="A282" t="str">
        <f>PARAMS_MODELO!$B$3</f>
        <v>2025-Q3</v>
      </c>
      <c r="B282">
        <f>CALCULOS_AGENCIA!$A282</f>
        <v>51030028</v>
      </c>
      <c r="C282">
        <f>CALCULOS_AGENCIA!$U282</f>
        <v>60.085599532918337</v>
      </c>
      <c r="D282" t="str">
        <f>CALCULOS_AGENCIA!$V282</f>
        <v>PLATA</v>
      </c>
      <c r="E282">
        <f>CALCULOS_AGENCIA!$AA282</f>
        <v>620</v>
      </c>
      <c r="F282" s="3">
        <f t="shared" ca="1" si="4"/>
        <v>46087</v>
      </c>
    </row>
    <row r="283" spans="1:6" x14ac:dyDescent="0.3">
      <c r="A283" t="str">
        <f>PARAMS_MODELO!$B$3</f>
        <v>2025-Q3</v>
      </c>
      <c r="B283">
        <f>CALCULOS_AGENCIA!$A283</f>
        <v>51030257</v>
      </c>
      <c r="C283">
        <f>CALCULOS_AGENCIA!$U283</f>
        <v>27.101406437063901</v>
      </c>
      <c r="D283" t="str">
        <f>CALCULOS_AGENCIA!$V283</f>
        <v>PLATA</v>
      </c>
      <c r="E283">
        <f>CALCULOS_AGENCIA!$AA283</f>
        <v>899</v>
      </c>
      <c r="F283" s="3">
        <f t="shared" ca="1" si="4"/>
        <v>46087</v>
      </c>
    </row>
    <row r="284" spans="1:6" x14ac:dyDescent="0.3">
      <c r="A284" t="str">
        <f>PARAMS_MODELO!$B$3</f>
        <v>2025-Q3</v>
      </c>
      <c r="B284">
        <f>CALCULOS_AGENCIA!$A284</f>
        <v>51055489</v>
      </c>
      <c r="C284">
        <f>CALCULOS_AGENCIA!$U284</f>
        <v>62.469012145297633</v>
      </c>
      <c r="D284" t="str">
        <f>CALCULOS_AGENCIA!$V284</f>
        <v>PLATA</v>
      </c>
      <c r="E284">
        <f>CALCULOS_AGENCIA!$AA284</f>
        <v>569</v>
      </c>
      <c r="F284" s="3">
        <f t="shared" ca="1" si="4"/>
        <v>46087</v>
      </c>
    </row>
    <row r="285" spans="1:6" x14ac:dyDescent="0.3">
      <c r="A285" t="str">
        <f>PARAMS_MODELO!$B$3</f>
        <v>2025-Q3</v>
      </c>
      <c r="B285">
        <f>CALCULOS_AGENCIA!$A285</f>
        <v>51019423</v>
      </c>
      <c r="C285">
        <f>CALCULOS_AGENCIA!$U285</f>
        <v>59.580121864573471</v>
      </c>
      <c r="D285" t="str">
        <f>CALCULOS_AGENCIA!$V285</f>
        <v>PLATA</v>
      </c>
      <c r="E285">
        <f>CALCULOS_AGENCIA!$AA285</f>
        <v>629</v>
      </c>
      <c r="F285" s="3">
        <f t="shared" ca="1" si="4"/>
        <v>46087</v>
      </c>
    </row>
    <row r="286" spans="1:6" x14ac:dyDescent="0.3">
      <c r="A286" t="str">
        <f>PARAMS_MODELO!$B$3</f>
        <v>2025-Q3</v>
      </c>
      <c r="B286">
        <f>CALCULOS_AGENCIA!$A286</f>
        <v>51000811</v>
      </c>
      <c r="C286">
        <f>CALCULOS_AGENCIA!$U286</f>
        <v>80.084110464039668</v>
      </c>
      <c r="D286" t="str">
        <f>CALCULOS_AGENCIA!$V286</f>
        <v>ORO</v>
      </c>
      <c r="E286">
        <f>CALCULOS_AGENCIA!$AA286</f>
        <v>438</v>
      </c>
      <c r="F286" s="3">
        <f t="shared" ca="1" si="4"/>
        <v>46087</v>
      </c>
    </row>
    <row r="287" spans="1:6" x14ac:dyDescent="0.3">
      <c r="A287" t="str">
        <f>PARAMS_MODELO!$B$3</f>
        <v>2025-Q3</v>
      </c>
      <c r="B287">
        <f>CALCULOS_AGENCIA!$A287</f>
        <v>51057040</v>
      </c>
      <c r="C287">
        <f>CALCULOS_AGENCIA!$U287</f>
        <v>82.835577050058802</v>
      </c>
      <c r="D287" t="str">
        <f>CALCULOS_AGENCIA!$V287</f>
        <v>ORO</v>
      </c>
      <c r="E287">
        <f>CALCULOS_AGENCIA!$AA287</f>
        <v>362</v>
      </c>
      <c r="F287" s="3">
        <f t="shared" ca="1" si="4"/>
        <v>46087</v>
      </c>
    </row>
    <row r="288" spans="1:6" x14ac:dyDescent="0.3">
      <c r="A288" t="str">
        <f>PARAMS_MODELO!$B$3</f>
        <v>2025-Q3</v>
      </c>
      <c r="B288">
        <f>CALCULOS_AGENCIA!$A288</f>
        <v>51055101</v>
      </c>
      <c r="C288">
        <f>CALCULOS_AGENCIA!$U288</f>
        <v>77.162187293132817</v>
      </c>
      <c r="D288" t="str">
        <f>CALCULOS_AGENCIA!$V288</f>
        <v>ORO</v>
      </c>
      <c r="E288">
        <f>CALCULOS_AGENCIA!$AA288</f>
        <v>456</v>
      </c>
      <c r="F288" s="3">
        <f t="shared" ca="1" si="4"/>
        <v>46087</v>
      </c>
    </row>
    <row r="289" spans="1:6" x14ac:dyDescent="0.3">
      <c r="A289" t="str">
        <f>PARAMS_MODELO!$B$3</f>
        <v>2025-Q3</v>
      </c>
      <c r="B289">
        <f>CALCULOS_AGENCIA!$A289</f>
        <v>51016386</v>
      </c>
      <c r="C289">
        <f>CALCULOS_AGENCIA!$U289</f>
        <v>69.001738273833524</v>
      </c>
      <c r="D289" t="str">
        <f>CALCULOS_AGENCIA!$V289</f>
        <v>ORO</v>
      </c>
      <c r="E289">
        <f>CALCULOS_AGENCIA!$AA289</f>
        <v>519</v>
      </c>
      <c r="F289" s="3">
        <f t="shared" ca="1" si="4"/>
        <v>46087</v>
      </c>
    </row>
    <row r="290" spans="1:6" x14ac:dyDescent="0.3">
      <c r="A290" t="str">
        <f>PARAMS_MODELO!$B$3</f>
        <v>2025-Q3</v>
      </c>
      <c r="B290">
        <f>CALCULOS_AGENCIA!$A290</f>
        <v>51003594</v>
      </c>
      <c r="C290">
        <f>CALCULOS_AGENCIA!$U290</f>
        <v>91.529993455248629</v>
      </c>
      <c r="D290" t="str">
        <f>CALCULOS_AGENCIA!$V290</f>
        <v>PLATINO</v>
      </c>
      <c r="E290">
        <f>CALCULOS_AGENCIA!$AA290</f>
        <v>110</v>
      </c>
      <c r="F290" s="3">
        <f t="shared" ca="1" si="4"/>
        <v>46087</v>
      </c>
    </row>
    <row r="291" spans="1:6" x14ac:dyDescent="0.3">
      <c r="A291" t="str">
        <f>PARAMS_MODELO!$B$3</f>
        <v>2025-Q3</v>
      </c>
      <c r="B291">
        <f>CALCULOS_AGENCIA!$A291</f>
        <v>51030923</v>
      </c>
      <c r="C291">
        <f>CALCULOS_AGENCIA!$U291</f>
        <v>78.701323443626933</v>
      </c>
      <c r="D291" t="str">
        <f>CALCULOS_AGENCIA!$V291</f>
        <v>ORO</v>
      </c>
      <c r="E291">
        <f>CALCULOS_AGENCIA!$AA291</f>
        <v>451</v>
      </c>
      <c r="F291" s="3">
        <f t="shared" ca="1" si="4"/>
        <v>46087</v>
      </c>
    </row>
    <row r="292" spans="1:6" x14ac:dyDescent="0.3">
      <c r="A292" t="str">
        <f>PARAMS_MODELO!$B$3</f>
        <v>2025-Q3</v>
      </c>
      <c r="B292">
        <f>CALCULOS_AGENCIA!$A292</f>
        <v>51043197</v>
      </c>
      <c r="C292">
        <f>CALCULOS_AGENCIA!$U292</f>
        <v>76.120583663471578</v>
      </c>
      <c r="D292" t="str">
        <f>CALCULOS_AGENCIA!$V292</f>
        <v>ORO</v>
      </c>
      <c r="E292">
        <f>CALCULOS_AGENCIA!$AA292</f>
        <v>463</v>
      </c>
      <c r="F292" s="3">
        <f t="shared" ca="1" si="4"/>
        <v>46087</v>
      </c>
    </row>
    <row r="293" spans="1:6" x14ac:dyDescent="0.3">
      <c r="A293" t="str">
        <f>PARAMS_MODELO!$B$3</f>
        <v>2025-Q3</v>
      </c>
      <c r="B293">
        <f>CALCULOS_AGENCIA!$A293</f>
        <v>51022823</v>
      </c>
      <c r="C293">
        <f>CALCULOS_AGENCIA!$U293</f>
        <v>41.087173808055226</v>
      </c>
      <c r="D293" t="str">
        <f>CALCULOS_AGENCIA!$V293</f>
        <v>PLATA</v>
      </c>
      <c r="E293">
        <f>CALCULOS_AGENCIA!$AA293</f>
        <v>782</v>
      </c>
      <c r="F293" s="3">
        <f t="shared" ca="1" si="4"/>
        <v>46087</v>
      </c>
    </row>
    <row r="294" spans="1:6" x14ac:dyDescent="0.3">
      <c r="A294" t="str">
        <f>PARAMS_MODELO!$B$3</f>
        <v>2025-Q3</v>
      </c>
      <c r="B294">
        <f>CALCULOS_AGENCIA!$A294</f>
        <v>51056060</v>
      </c>
      <c r="C294">
        <f>CALCULOS_AGENCIA!$U294</f>
        <v>88.199011165773285</v>
      </c>
      <c r="D294" t="str">
        <f>CALCULOS_AGENCIA!$V294</f>
        <v>PLATINO</v>
      </c>
      <c r="E294">
        <f>CALCULOS_AGENCIA!$AA294</f>
        <v>192</v>
      </c>
      <c r="F294" s="3">
        <f t="shared" ca="1" si="4"/>
        <v>46087</v>
      </c>
    </row>
    <row r="295" spans="1:6" x14ac:dyDescent="0.3">
      <c r="A295" t="str">
        <f>PARAMS_MODELO!$B$3</f>
        <v>2025-Q3</v>
      </c>
      <c r="B295">
        <f>CALCULOS_AGENCIA!$A295</f>
        <v>51024419</v>
      </c>
      <c r="C295">
        <f>CALCULOS_AGENCIA!$U295</f>
        <v>61.973244925073068</v>
      </c>
      <c r="D295" t="str">
        <f>CALCULOS_AGENCIA!$V295</f>
        <v>PLATA</v>
      </c>
      <c r="E295">
        <f>CALCULOS_AGENCIA!$AA295</f>
        <v>579</v>
      </c>
      <c r="F295" s="3">
        <f t="shared" ca="1" si="4"/>
        <v>46087</v>
      </c>
    </row>
    <row r="296" spans="1:6" x14ac:dyDescent="0.3">
      <c r="A296" t="str">
        <f>PARAMS_MODELO!$B$3</f>
        <v>2025-Q3</v>
      </c>
      <c r="B296">
        <f>CALCULOS_AGENCIA!$A296</f>
        <v>51025326</v>
      </c>
      <c r="C296">
        <f>CALCULOS_AGENCIA!$U296</f>
        <v>93.499480113594444</v>
      </c>
      <c r="D296" t="str">
        <f>CALCULOS_AGENCIA!$V296</f>
        <v>PLATINO</v>
      </c>
      <c r="E296">
        <f>CALCULOS_AGENCIA!$AA296</f>
        <v>85</v>
      </c>
      <c r="F296" s="3">
        <f t="shared" ca="1" si="4"/>
        <v>46087</v>
      </c>
    </row>
    <row r="297" spans="1:6" x14ac:dyDescent="0.3">
      <c r="A297" t="str">
        <f>PARAMS_MODELO!$B$3</f>
        <v>2025-Q3</v>
      </c>
      <c r="B297">
        <f>CALCULOS_AGENCIA!$A297</f>
        <v>51020014</v>
      </c>
      <c r="C297">
        <f>CALCULOS_AGENCIA!$U297</f>
        <v>82.503294338574747</v>
      </c>
      <c r="D297" t="str">
        <f>CALCULOS_AGENCIA!$V297</f>
        <v>ORO</v>
      </c>
      <c r="E297">
        <f>CALCULOS_AGENCIA!$AA297</f>
        <v>373</v>
      </c>
      <c r="F297" s="3">
        <f t="shared" ca="1" si="4"/>
        <v>46087</v>
      </c>
    </row>
    <row r="298" spans="1:6" x14ac:dyDescent="0.3">
      <c r="A298" t="str">
        <f>PARAMS_MODELO!$B$3</f>
        <v>2025-Q3</v>
      </c>
      <c r="B298">
        <f>CALCULOS_AGENCIA!$A298</f>
        <v>51055951</v>
      </c>
      <c r="C298">
        <f>CALCULOS_AGENCIA!$U298</f>
        <v>55.19332681499192</v>
      </c>
      <c r="D298" t="str">
        <f>CALCULOS_AGENCIA!$V298</f>
        <v>PLATA</v>
      </c>
      <c r="E298">
        <f>CALCULOS_AGENCIA!$AA298</f>
        <v>714</v>
      </c>
      <c r="F298" s="3">
        <f t="shared" ca="1" si="4"/>
        <v>46087</v>
      </c>
    </row>
    <row r="299" spans="1:6" x14ac:dyDescent="0.3">
      <c r="A299" t="str">
        <f>PARAMS_MODELO!$B$3</f>
        <v>2025-Q3</v>
      </c>
      <c r="B299">
        <f>CALCULOS_AGENCIA!$A299</f>
        <v>51016882</v>
      </c>
      <c r="C299">
        <f>CALCULOS_AGENCIA!$U299</f>
        <v>66.848198885471461</v>
      </c>
      <c r="D299" t="str">
        <f>CALCULOS_AGENCIA!$V299</f>
        <v>ORO</v>
      </c>
      <c r="E299">
        <f>CALCULOS_AGENCIA!$AA299</f>
        <v>538</v>
      </c>
      <c r="F299" s="3">
        <f t="shared" ca="1" si="4"/>
        <v>46087</v>
      </c>
    </row>
    <row r="300" spans="1:6" x14ac:dyDescent="0.3">
      <c r="A300" t="str">
        <f>PARAMS_MODELO!$B$3</f>
        <v>2025-Q3</v>
      </c>
      <c r="B300">
        <f>CALCULOS_AGENCIA!$A300</f>
        <v>51043405</v>
      </c>
      <c r="C300">
        <f>CALCULOS_AGENCIA!$U300</f>
        <v>88.057598318495039</v>
      </c>
      <c r="D300" t="str">
        <f>CALCULOS_AGENCIA!$V300</f>
        <v>PLATINO</v>
      </c>
      <c r="E300">
        <f>CALCULOS_AGENCIA!$AA300</f>
        <v>196</v>
      </c>
      <c r="F300" s="3">
        <f t="shared" ca="1" si="4"/>
        <v>46087</v>
      </c>
    </row>
    <row r="301" spans="1:6" x14ac:dyDescent="0.3">
      <c r="A301" t="str">
        <f>PARAMS_MODELO!$B$3</f>
        <v>2025-Q3</v>
      </c>
      <c r="B301">
        <f>CALCULOS_AGENCIA!$A301</f>
        <v>51008987</v>
      </c>
      <c r="C301">
        <f>CALCULOS_AGENCIA!$U301</f>
        <v>86.672894030303311</v>
      </c>
      <c r="D301" t="str">
        <f>CALCULOS_AGENCIA!$V301</f>
        <v>PLATINO</v>
      </c>
      <c r="E301">
        <f>CALCULOS_AGENCIA!$AA301</f>
        <v>234</v>
      </c>
      <c r="F301" s="3">
        <f t="shared" ca="1" si="4"/>
        <v>46087</v>
      </c>
    </row>
    <row r="302" spans="1:6" x14ac:dyDescent="0.3">
      <c r="A302" t="str">
        <f>PARAMS_MODELO!$B$3</f>
        <v>2025-Q3</v>
      </c>
      <c r="B302">
        <f>CALCULOS_AGENCIA!$A302</f>
        <v>51021088</v>
      </c>
      <c r="C302">
        <f>CALCULOS_AGENCIA!$U302</f>
        <v>96.274302041754424</v>
      </c>
      <c r="D302" t="str">
        <f>CALCULOS_AGENCIA!$V302</f>
        <v>DIAMANTE</v>
      </c>
      <c r="E302">
        <f>CALCULOS_AGENCIA!$AA302</f>
        <v>57</v>
      </c>
      <c r="F302" s="3">
        <f t="shared" ca="1" si="4"/>
        <v>46087</v>
      </c>
    </row>
    <row r="303" spans="1:6" x14ac:dyDescent="0.3">
      <c r="A303" t="str">
        <f>PARAMS_MODELO!$B$3</f>
        <v>2025-Q3</v>
      </c>
      <c r="B303">
        <f>CALCULOS_AGENCIA!$A303</f>
        <v>51001702</v>
      </c>
      <c r="C303">
        <f>CALCULOS_AGENCIA!$U303</f>
        <v>87.48522995909471</v>
      </c>
      <c r="D303" t="str">
        <f>CALCULOS_AGENCIA!$V303</f>
        <v>PLATINO</v>
      </c>
      <c r="E303">
        <f>CALCULOS_AGENCIA!$AA303</f>
        <v>212</v>
      </c>
      <c r="F303" s="3">
        <f t="shared" ca="1" si="4"/>
        <v>46087</v>
      </c>
    </row>
    <row r="304" spans="1:6" x14ac:dyDescent="0.3">
      <c r="A304" t="str">
        <f>PARAMS_MODELO!$B$3</f>
        <v>2025-Q3</v>
      </c>
      <c r="B304">
        <f>CALCULOS_AGENCIA!$A304</f>
        <v>51003730</v>
      </c>
      <c r="C304">
        <f>CALCULOS_AGENCIA!$U304</f>
        <v>82.610145881729593</v>
      </c>
      <c r="D304" t="str">
        <f>CALCULOS_AGENCIA!$V304</f>
        <v>ORO</v>
      </c>
      <c r="E304">
        <f>CALCULOS_AGENCIA!$AA304</f>
        <v>370</v>
      </c>
      <c r="F304" s="3">
        <f t="shared" ca="1" si="4"/>
        <v>46087</v>
      </c>
    </row>
    <row r="305" spans="1:6" x14ac:dyDescent="0.3">
      <c r="A305" t="str">
        <f>PARAMS_MODELO!$B$3</f>
        <v>2025-Q3</v>
      </c>
      <c r="B305">
        <f>CALCULOS_AGENCIA!$A305</f>
        <v>51012348</v>
      </c>
      <c r="C305">
        <f>CALCULOS_AGENCIA!$U305</f>
        <v>84.658489568126356</v>
      </c>
      <c r="D305" t="str">
        <f>CALCULOS_AGENCIA!$V305</f>
        <v>ORO</v>
      </c>
      <c r="E305">
        <f>CALCULOS_AGENCIA!$AA305</f>
        <v>294</v>
      </c>
      <c r="F305" s="3">
        <f t="shared" ca="1" si="4"/>
        <v>46087</v>
      </c>
    </row>
    <row r="306" spans="1:6" x14ac:dyDescent="0.3">
      <c r="A306" t="str">
        <f>PARAMS_MODELO!$B$3</f>
        <v>2025-Q3</v>
      </c>
      <c r="B306">
        <f>CALCULOS_AGENCIA!$A306</f>
        <v>51031563</v>
      </c>
      <c r="C306">
        <f>CALCULOS_AGENCIA!$U306</f>
        <v>83.15226220515946</v>
      </c>
      <c r="D306" t="str">
        <f>CALCULOS_AGENCIA!$V306</f>
        <v>ORO</v>
      </c>
      <c r="E306">
        <f>CALCULOS_AGENCIA!$AA306</f>
        <v>348</v>
      </c>
      <c r="F306" s="3">
        <f t="shared" ca="1" si="4"/>
        <v>46087</v>
      </c>
    </row>
    <row r="307" spans="1:6" x14ac:dyDescent="0.3">
      <c r="A307" t="str">
        <f>PARAMS_MODELO!$B$3</f>
        <v>2025-Q3</v>
      </c>
      <c r="B307">
        <f>CALCULOS_AGENCIA!$A307</f>
        <v>51055080</v>
      </c>
      <c r="C307">
        <f>CALCULOS_AGENCIA!$U307</f>
        <v>80.1827928506615</v>
      </c>
      <c r="D307" t="str">
        <f>CALCULOS_AGENCIA!$V307</f>
        <v>ORO</v>
      </c>
      <c r="E307">
        <f>CALCULOS_AGENCIA!$AA307</f>
        <v>434</v>
      </c>
      <c r="F307" s="3">
        <f t="shared" ca="1" si="4"/>
        <v>46087</v>
      </c>
    </row>
    <row r="308" spans="1:6" x14ac:dyDescent="0.3">
      <c r="A308" t="str">
        <f>PARAMS_MODELO!$B$3</f>
        <v>2025-Q3</v>
      </c>
      <c r="B308">
        <f>CALCULOS_AGENCIA!$A308</f>
        <v>51018672</v>
      </c>
      <c r="C308">
        <f>CALCULOS_AGENCIA!$U308</f>
        <v>59.281485229808503</v>
      </c>
      <c r="D308" t="str">
        <f>CALCULOS_AGENCIA!$V308</f>
        <v>PLATA</v>
      </c>
      <c r="E308">
        <f>CALCULOS_AGENCIA!$AA308</f>
        <v>633</v>
      </c>
      <c r="F308" s="3">
        <f t="shared" ca="1" si="4"/>
        <v>46087</v>
      </c>
    </row>
    <row r="309" spans="1:6" x14ac:dyDescent="0.3">
      <c r="A309" t="str">
        <f>PARAMS_MODELO!$B$3</f>
        <v>2025-Q3</v>
      </c>
      <c r="B309">
        <f>CALCULOS_AGENCIA!$A309</f>
        <v>51019130</v>
      </c>
      <c r="C309">
        <f>CALCULOS_AGENCIA!$U309</f>
        <v>85.086468282335559</v>
      </c>
      <c r="D309" t="str">
        <f>CALCULOS_AGENCIA!$V309</f>
        <v>ORO</v>
      </c>
      <c r="E309">
        <f>CALCULOS_AGENCIA!$AA309</f>
        <v>281</v>
      </c>
      <c r="F309" s="3">
        <f t="shared" ca="1" si="4"/>
        <v>46087</v>
      </c>
    </row>
    <row r="310" spans="1:6" x14ac:dyDescent="0.3">
      <c r="A310" t="str">
        <f>PARAMS_MODELO!$B$3</f>
        <v>2025-Q3</v>
      </c>
      <c r="B310">
        <f>CALCULOS_AGENCIA!$A310</f>
        <v>51036255</v>
      </c>
      <c r="C310">
        <f>CALCULOS_AGENCIA!$U310</f>
        <v>65.83087451211955</v>
      </c>
      <c r="D310" t="str">
        <f>CALCULOS_AGENCIA!$V310</f>
        <v>ORO</v>
      </c>
      <c r="E310">
        <f>CALCULOS_AGENCIA!$AA310</f>
        <v>542</v>
      </c>
      <c r="F310" s="3">
        <f t="shared" ca="1" si="4"/>
        <v>46087</v>
      </c>
    </row>
    <row r="311" spans="1:6" x14ac:dyDescent="0.3">
      <c r="A311" t="str">
        <f>PARAMS_MODELO!$B$3</f>
        <v>2025-Q3</v>
      </c>
      <c r="B311">
        <f>CALCULOS_AGENCIA!$A311</f>
        <v>51056809</v>
      </c>
      <c r="C311">
        <f>CALCULOS_AGENCIA!$U311</f>
        <v>56.867942065102696</v>
      </c>
      <c r="D311" t="str">
        <f>CALCULOS_AGENCIA!$V311</f>
        <v>PLATA</v>
      </c>
      <c r="E311">
        <f>CALCULOS_AGENCIA!$AA311</f>
        <v>686</v>
      </c>
      <c r="F311" s="3">
        <f t="shared" ca="1" si="4"/>
        <v>46087</v>
      </c>
    </row>
    <row r="312" spans="1:6" x14ac:dyDescent="0.3">
      <c r="A312" t="str">
        <f>PARAMS_MODELO!$B$3</f>
        <v>2025-Q3</v>
      </c>
      <c r="B312">
        <f>CALCULOS_AGENCIA!$A312</f>
        <v>51018699</v>
      </c>
      <c r="C312">
        <f>CALCULOS_AGENCIA!$U312</f>
        <v>84.548883514625516</v>
      </c>
      <c r="D312" t="str">
        <f>CALCULOS_AGENCIA!$V312</f>
        <v>ORO</v>
      </c>
      <c r="E312">
        <f>CALCULOS_AGENCIA!$AA312</f>
        <v>298</v>
      </c>
      <c r="F312" s="3">
        <f t="shared" ca="1" si="4"/>
        <v>46087</v>
      </c>
    </row>
    <row r="313" spans="1:6" x14ac:dyDescent="0.3">
      <c r="A313" t="str">
        <f>PARAMS_MODELO!$B$3</f>
        <v>2025-Q3</v>
      </c>
      <c r="B313">
        <f>CALCULOS_AGENCIA!$A313</f>
        <v>51010019</v>
      </c>
      <c r="C313">
        <f>CALCULOS_AGENCIA!$U313</f>
        <v>79.893985908985428</v>
      </c>
      <c r="D313" t="str">
        <f>CALCULOS_AGENCIA!$V313</f>
        <v>ORO</v>
      </c>
      <c r="E313">
        <f>CALCULOS_AGENCIA!$AA313</f>
        <v>442</v>
      </c>
      <c r="F313" s="3">
        <f t="shared" ca="1" si="4"/>
        <v>46087</v>
      </c>
    </row>
    <row r="314" spans="1:6" x14ac:dyDescent="0.3">
      <c r="A314" t="str">
        <f>PARAMS_MODELO!$B$3</f>
        <v>2025-Q3</v>
      </c>
      <c r="B314">
        <f>CALCULOS_AGENCIA!$A314</f>
        <v>51010647</v>
      </c>
      <c r="C314">
        <f>CALCULOS_AGENCIA!$U314</f>
        <v>80.786106309812808</v>
      </c>
      <c r="D314" t="str">
        <f>CALCULOS_AGENCIA!$V314</f>
        <v>ORO</v>
      </c>
      <c r="E314">
        <f>CALCULOS_AGENCIA!$AA314</f>
        <v>420</v>
      </c>
      <c r="F314" s="3">
        <f t="shared" ca="1" si="4"/>
        <v>46087</v>
      </c>
    </row>
    <row r="315" spans="1:6" x14ac:dyDescent="0.3">
      <c r="A315" t="str">
        <f>PARAMS_MODELO!$B$3</f>
        <v>2025-Q3</v>
      </c>
      <c r="B315">
        <f>CALCULOS_AGENCIA!$A315</f>
        <v>51054881</v>
      </c>
      <c r="C315">
        <f>CALCULOS_AGENCIA!$U315</f>
        <v>56.066424355824374</v>
      </c>
      <c r="D315" t="str">
        <f>CALCULOS_AGENCIA!$V315</f>
        <v>PLATA</v>
      </c>
      <c r="E315">
        <f>CALCULOS_AGENCIA!$AA315</f>
        <v>700</v>
      </c>
      <c r="F315" s="3">
        <f t="shared" ca="1" si="4"/>
        <v>46087</v>
      </c>
    </row>
    <row r="316" spans="1:6" x14ac:dyDescent="0.3">
      <c r="A316" t="str">
        <f>PARAMS_MODELO!$B$3</f>
        <v>2025-Q3</v>
      </c>
      <c r="B316">
        <f>CALCULOS_AGENCIA!$A316</f>
        <v>51019091</v>
      </c>
      <c r="C316">
        <f>CALCULOS_AGENCIA!$U316</f>
        <v>19.332193617659225</v>
      </c>
      <c r="D316" t="str">
        <f>CALCULOS_AGENCIA!$V316</f>
        <v>BRONCE</v>
      </c>
      <c r="E316">
        <f>CALCULOS_AGENCIA!$AA316</f>
        <v>991</v>
      </c>
      <c r="F316" s="3">
        <f t="shared" ca="1" si="4"/>
        <v>46087</v>
      </c>
    </row>
    <row r="317" spans="1:6" x14ac:dyDescent="0.3">
      <c r="A317" t="str">
        <f>PARAMS_MODELO!$B$3</f>
        <v>2025-Q3</v>
      </c>
      <c r="B317">
        <f>CALCULOS_AGENCIA!$A317</f>
        <v>51018931</v>
      </c>
      <c r="C317">
        <f>CALCULOS_AGENCIA!$U317</f>
        <v>83.203468585825476</v>
      </c>
      <c r="D317" t="str">
        <f>CALCULOS_AGENCIA!$V317</f>
        <v>ORO</v>
      </c>
      <c r="E317">
        <f>CALCULOS_AGENCIA!$AA317</f>
        <v>342</v>
      </c>
      <c r="F317" s="3">
        <f t="shared" ca="1" si="4"/>
        <v>46087</v>
      </c>
    </row>
    <row r="318" spans="1:6" x14ac:dyDescent="0.3">
      <c r="A318" t="str">
        <f>PARAMS_MODELO!$B$3</f>
        <v>2025-Q3</v>
      </c>
      <c r="B318">
        <f>CALCULOS_AGENCIA!$A318</f>
        <v>51057015</v>
      </c>
      <c r="C318">
        <f>CALCULOS_AGENCIA!$U318</f>
        <v>93.878395186173947</v>
      </c>
      <c r="D318" t="str">
        <f>CALCULOS_AGENCIA!$V318</f>
        <v>PLATINO</v>
      </c>
      <c r="E318">
        <f>CALCULOS_AGENCIA!$AA318</f>
        <v>78</v>
      </c>
      <c r="F318" s="3">
        <f t="shared" ca="1" si="4"/>
        <v>46087</v>
      </c>
    </row>
    <row r="319" spans="1:6" x14ac:dyDescent="0.3">
      <c r="A319" t="str">
        <f>PARAMS_MODELO!$B$3</f>
        <v>2025-Q3</v>
      </c>
      <c r="B319">
        <f>CALCULOS_AGENCIA!$A319</f>
        <v>51023421</v>
      </c>
      <c r="C319">
        <f>CALCULOS_AGENCIA!$U319</f>
        <v>84.997713680227378</v>
      </c>
      <c r="D319" t="str">
        <f>CALCULOS_AGENCIA!$V319</f>
        <v>ORO</v>
      </c>
      <c r="E319">
        <f>CALCULOS_AGENCIA!$AA319</f>
        <v>285</v>
      </c>
      <c r="F319" s="3">
        <f t="shared" ca="1" si="4"/>
        <v>46087</v>
      </c>
    </row>
    <row r="320" spans="1:6" x14ac:dyDescent="0.3">
      <c r="A320" t="str">
        <f>PARAMS_MODELO!$B$3</f>
        <v>2025-Q3</v>
      </c>
      <c r="B320">
        <f>CALCULOS_AGENCIA!$A320</f>
        <v>51012305</v>
      </c>
      <c r="C320">
        <f>CALCULOS_AGENCIA!$U320</f>
        <v>71.80527014594486</v>
      </c>
      <c r="D320" t="str">
        <f>CALCULOS_AGENCIA!$V320</f>
        <v>ORO</v>
      </c>
      <c r="E320">
        <f>CALCULOS_AGENCIA!$AA320</f>
        <v>500</v>
      </c>
      <c r="F320" s="3">
        <f t="shared" ca="1" si="4"/>
        <v>46087</v>
      </c>
    </row>
    <row r="321" spans="1:6" x14ac:dyDescent="0.3">
      <c r="A321" t="str">
        <f>PARAMS_MODELO!$B$3</f>
        <v>2025-Q3</v>
      </c>
      <c r="B321">
        <f>CALCULOS_AGENCIA!$A321</f>
        <v>51014219</v>
      </c>
      <c r="C321">
        <f>CALCULOS_AGENCIA!$U321</f>
        <v>100</v>
      </c>
      <c r="D321" t="str">
        <f>CALCULOS_AGENCIA!$V321</f>
        <v>DIAMANTE</v>
      </c>
      <c r="E321">
        <f>CALCULOS_AGENCIA!$AA321</f>
        <v>1</v>
      </c>
      <c r="F321" s="3">
        <f t="shared" ca="1" si="4"/>
        <v>46087</v>
      </c>
    </row>
    <row r="322" spans="1:6" x14ac:dyDescent="0.3">
      <c r="A322" t="str">
        <f>PARAMS_MODELO!$B$3</f>
        <v>2025-Q3</v>
      </c>
      <c r="B322">
        <f>CALCULOS_AGENCIA!$A322</f>
        <v>51030753</v>
      </c>
      <c r="C322">
        <f>CALCULOS_AGENCIA!$U322</f>
        <v>96.516015844941791</v>
      </c>
      <c r="D322" t="str">
        <f>CALCULOS_AGENCIA!$V322</f>
        <v>DIAMANTE</v>
      </c>
      <c r="E322">
        <f>CALCULOS_AGENCIA!$AA322</f>
        <v>52</v>
      </c>
      <c r="F322" s="3">
        <f t="shared" ref="F322:F385" ca="1" si="5">TODAY()</f>
        <v>46087</v>
      </c>
    </row>
    <row r="323" spans="1:6" x14ac:dyDescent="0.3">
      <c r="A323" t="str">
        <f>PARAMS_MODELO!$B$3</f>
        <v>2025-Q3</v>
      </c>
      <c r="B323">
        <f>CALCULOS_AGENCIA!$A323</f>
        <v>51042336</v>
      </c>
      <c r="C323">
        <f>CALCULOS_AGENCIA!$U323</f>
        <v>60.906106442535929</v>
      </c>
      <c r="D323" t="str">
        <f>CALCULOS_AGENCIA!$V323</f>
        <v>PLATA</v>
      </c>
      <c r="E323">
        <f>CALCULOS_AGENCIA!$AA323</f>
        <v>599</v>
      </c>
      <c r="F323" s="3">
        <f t="shared" ca="1" si="5"/>
        <v>46087</v>
      </c>
    </row>
    <row r="324" spans="1:6" x14ac:dyDescent="0.3">
      <c r="A324" t="str">
        <f>PARAMS_MODELO!$B$3</f>
        <v>2025-Q3</v>
      </c>
      <c r="B324">
        <f>CALCULOS_AGENCIA!$A324</f>
        <v>51023790</v>
      </c>
      <c r="C324">
        <f>CALCULOS_AGENCIA!$U324</f>
        <v>81.016388522218364</v>
      </c>
      <c r="D324" t="str">
        <f>CALCULOS_AGENCIA!$V324</f>
        <v>ORO</v>
      </c>
      <c r="E324">
        <f>CALCULOS_AGENCIA!$AA324</f>
        <v>415</v>
      </c>
      <c r="F324" s="3">
        <f t="shared" ca="1" si="5"/>
        <v>46087</v>
      </c>
    </row>
    <row r="325" spans="1:6" x14ac:dyDescent="0.3">
      <c r="A325" t="str">
        <f>PARAMS_MODELO!$B$3</f>
        <v>2025-Q3</v>
      </c>
      <c r="B325">
        <f>CALCULOS_AGENCIA!$A325</f>
        <v>51022378</v>
      </c>
      <c r="C325">
        <f>CALCULOS_AGENCIA!$U325</f>
        <v>25.279352093706915</v>
      </c>
      <c r="D325" t="str">
        <f>CALCULOS_AGENCIA!$V325</f>
        <v>PLATA</v>
      </c>
      <c r="E325">
        <f>CALCULOS_AGENCIA!$AA325</f>
        <v>912</v>
      </c>
      <c r="F325" s="3">
        <f t="shared" ca="1" si="5"/>
        <v>46087</v>
      </c>
    </row>
    <row r="326" spans="1:6" x14ac:dyDescent="0.3">
      <c r="A326" t="str">
        <f>PARAMS_MODELO!$B$3</f>
        <v>2025-Q3</v>
      </c>
      <c r="B326">
        <f>CALCULOS_AGENCIA!$A326</f>
        <v>51052072</v>
      </c>
      <c r="C326">
        <f>CALCULOS_AGENCIA!$U326</f>
        <v>23.346660015961099</v>
      </c>
      <c r="D326" t="str">
        <f>CALCULOS_AGENCIA!$V326</f>
        <v>BRONCE</v>
      </c>
      <c r="E326">
        <f>CALCULOS_AGENCIA!$AA326</f>
        <v>929</v>
      </c>
      <c r="F326" s="3">
        <f t="shared" ca="1" si="5"/>
        <v>46087</v>
      </c>
    </row>
    <row r="327" spans="1:6" x14ac:dyDescent="0.3">
      <c r="A327" t="str">
        <f>PARAMS_MODELO!$B$3</f>
        <v>2025-Q3</v>
      </c>
      <c r="B327">
        <f>CALCULOS_AGENCIA!$A327</f>
        <v>51031946</v>
      </c>
      <c r="C327">
        <f>CALCULOS_AGENCIA!$U327</f>
        <v>84.851225194806446</v>
      </c>
      <c r="D327" t="str">
        <f>CALCULOS_AGENCIA!$V327</f>
        <v>ORO</v>
      </c>
      <c r="E327">
        <f>CALCULOS_AGENCIA!$AA327</f>
        <v>289</v>
      </c>
      <c r="F327" s="3">
        <f t="shared" ca="1" si="5"/>
        <v>46087</v>
      </c>
    </row>
    <row r="328" spans="1:6" x14ac:dyDescent="0.3">
      <c r="A328" t="str">
        <f>PARAMS_MODELO!$B$3</f>
        <v>2025-Q3</v>
      </c>
      <c r="B328">
        <f>CALCULOS_AGENCIA!$A328</f>
        <v>51010752</v>
      </c>
      <c r="C328">
        <f>CALCULOS_AGENCIA!$U328</f>
        <v>30.106967971953289</v>
      </c>
      <c r="D328" t="str">
        <f>CALCULOS_AGENCIA!$V328</f>
        <v>PLATA</v>
      </c>
      <c r="E328">
        <f>CALCULOS_AGENCIA!$AA328</f>
        <v>862</v>
      </c>
      <c r="F328" s="3">
        <f t="shared" ca="1" si="5"/>
        <v>46087</v>
      </c>
    </row>
    <row r="329" spans="1:6" x14ac:dyDescent="0.3">
      <c r="A329" t="str">
        <f>PARAMS_MODELO!$B$3</f>
        <v>2025-Q3</v>
      </c>
      <c r="B329">
        <f>CALCULOS_AGENCIA!$A329</f>
        <v>51055594</v>
      </c>
      <c r="C329">
        <f>CALCULOS_AGENCIA!$U329</f>
        <v>82.832307086279371</v>
      </c>
      <c r="D329" t="str">
        <f>CALCULOS_AGENCIA!$V329</f>
        <v>ORO</v>
      </c>
      <c r="E329">
        <f>CALCULOS_AGENCIA!$AA329</f>
        <v>363</v>
      </c>
      <c r="F329" s="3">
        <f t="shared" ca="1" si="5"/>
        <v>46087</v>
      </c>
    </row>
    <row r="330" spans="1:6" x14ac:dyDescent="0.3">
      <c r="A330" t="str">
        <f>PARAMS_MODELO!$B$3</f>
        <v>2025-Q3</v>
      </c>
      <c r="B330">
        <f>CALCULOS_AGENCIA!$A330</f>
        <v>51041585</v>
      </c>
      <c r="C330">
        <f>CALCULOS_AGENCIA!$U330</f>
        <v>94.473394668201252</v>
      </c>
      <c r="D330" t="str">
        <f>CALCULOS_AGENCIA!$V330</f>
        <v>PLATINO</v>
      </c>
      <c r="E330">
        <f>CALCULOS_AGENCIA!$AA330</f>
        <v>73</v>
      </c>
      <c r="F330" s="3">
        <f t="shared" ca="1" si="5"/>
        <v>46087</v>
      </c>
    </row>
    <row r="331" spans="1:6" x14ac:dyDescent="0.3">
      <c r="A331" t="str">
        <f>PARAMS_MODELO!$B$3</f>
        <v>2025-Q3</v>
      </c>
      <c r="B331">
        <f>CALCULOS_AGENCIA!$A331</f>
        <v>51017455</v>
      </c>
      <c r="C331">
        <f>CALCULOS_AGENCIA!$U331</f>
        <v>98.868378078646231</v>
      </c>
      <c r="D331" t="str">
        <f>CALCULOS_AGENCIA!$V331</f>
        <v>DIAMANTE</v>
      </c>
      <c r="E331">
        <f>CALCULOS_AGENCIA!$AA331</f>
        <v>25</v>
      </c>
      <c r="F331" s="3">
        <f t="shared" ca="1" si="5"/>
        <v>46087</v>
      </c>
    </row>
    <row r="332" spans="1:6" x14ac:dyDescent="0.3">
      <c r="A332" t="str">
        <f>PARAMS_MODELO!$B$3</f>
        <v>2025-Q3</v>
      </c>
      <c r="B332">
        <f>CALCULOS_AGENCIA!$A332</f>
        <v>51033345</v>
      </c>
      <c r="C332">
        <f>CALCULOS_AGENCIA!$U332</f>
        <v>50.65069731916077</v>
      </c>
      <c r="D332" t="str">
        <f>CALCULOS_AGENCIA!$V332</f>
        <v>PLATA</v>
      </c>
      <c r="E332">
        <f>CALCULOS_AGENCIA!$AA332</f>
        <v>736</v>
      </c>
      <c r="F332" s="3">
        <f t="shared" ca="1" si="5"/>
        <v>46087</v>
      </c>
    </row>
    <row r="333" spans="1:6" x14ac:dyDescent="0.3">
      <c r="A333" t="str">
        <f>PARAMS_MODELO!$B$3</f>
        <v>2025-Q3</v>
      </c>
      <c r="B333">
        <f>CALCULOS_AGENCIA!$A333</f>
        <v>51012399</v>
      </c>
      <c r="C333">
        <f>CALCULOS_AGENCIA!$U333</f>
        <v>79.648650435739683</v>
      </c>
      <c r="D333" t="str">
        <f>CALCULOS_AGENCIA!$V333</f>
        <v>ORO</v>
      </c>
      <c r="E333">
        <f>CALCULOS_AGENCIA!$AA333</f>
        <v>444</v>
      </c>
      <c r="F333" s="3">
        <f t="shared" ca="1" si="5"/>
        <v>46087</v>
      </c>
    </row>
    <row r="334" spans="1:6" x14ac:dyDescent="0.3">
      <c r="A334" t="str">
        <f>PARAMS_MODELO!$B$3</f>
        <v>2025-Q3</v>
      </c>
      <c r="B334">
        <f>CALCULOS_AGENCIA!$A334</f>
        <v>51034236</v>
      </c>
      <c r="C334">
        <f>CALCULOS_AGENCIA!$U334</f>
        <v>82.791250104955111</v>
      </c>
      <c r="D334" t="str">
        <f>CALCULOS_AGENCIA!$V334</f>
        <v>ORO</v>
      </c>
      <c r="E334">
        <f>CALCULOS_AGENCIA!$AA334</f>
        <v>364</v>
      </c>
      <c r="F334" s="3">
        <f t="shared" ca="1" si="5"/>
        <v>46087</v>
      </c>
    </row>
    <row r="335" spans="1:6" x14ac:dyDescent="0.3">
      <c r="A335" t="str">
        <f>PARAMS_MODELO!$B$3</f>
        <v>2025-Q3</v>
      </c>
      <c r="B335">
        <f>CALCULOS_AGENCIA!$A335</f>
        <v>51012941</v>
      </c>
      <c r="C335">
        <f>CALCULOS_AGENCIA!$U335</f>
        <v>100</v>
      </c>
      <c r="D335" t="str">
        <f>CALCULOS_AGENCIA!$V335</f>
        <v>DIAMANTE</v>
      </c>
      <c r="E335">
        <f>CALCULOS_AGENCIA!$AA335</f>
        <v>1</v>
      </c>
      <c r="F335" s="3">
        <f t="shared" ca="1" si="5"/>
        <v>46087</v>
      </c>
    </row>
    <row r="336" spans="1:6" x14ac:dyDescent="0.3">
      <c r="A336" t="str">
        <f>PARAMS_MODELO!$B$3</f>
        <v>2025-Q3</v>
      </c>
      <c r="B336">
        <f>CALCULOS_AGENCIA!$A336</f>
        <v>51011694</v>
      </c>
      <c r="C336">
        <f>CALCULOS_AGENCIA!$U336</f>
        <v>33.220927361368268</v>
      </c>
      <c r="D336" t="str">
        <f>CALCULOS_AGENCIA!$V336</f>
        <v>PLATA</v>
      </c>
      <c r="E336">
        <f>CALCULOS_AGENCIA!$AA336</f>
        <v>820</v>
      </c>
      <c r="F336" s="3">
        <f t="shared" ca="1" si="5"/>
        <v>46087</v>
      </c>
    </row>
    <row r="337" spans="1:6" x14ac:dyDescent="0.3">
      <c r="A337" t="str">
        <f>PARAMS_MODELO!$B$3</f>
        <v>2025-Q3</v>
      </c>
      <c r="B337">
        <f>CALCULOS_AGENCIA!$A337</f>
        <v>51020197</v>
      </c>
      <c r="C337">
        <f>CALCULOS_AGENCIA!$U337</f>
        <v>87.513383757557122</v>
      </c>
      <c r="D337" t="str">
        <f>CALCULOS_AGENCIA!$V337</f>
        <v>PLATINO</v>
      </c>
      <c r="E337">
        <f>CALCULOS_AGENCIA!$AA337</f>
        <v>211</v>
      </c>
      <c r="F337" s="3">
        <f t="shared" ca="1" si="5"/>
        <v>46087</v>
      </c>
    </row>
    <row r="338" spans="1:6" x14ac:dyDescent="0.3">
      <c r="A338" t="str">
        <f>PARAMS_MODELO!$B$3</f>
        <v>2025-Q3</v>
      </c>
      <c r="B338">
        <f>CALCULOS_AGENCIA!$A338</f>
        <v>51003284</v>
      </c>
      <c r="C338">
        <f>CALCULOS_AGENCIA!$U338</f>
        <v>94.032648437230222</v>
      </c>
      <c r="D338" t="str">
        <f>CALCULOS_AGENCIA!$V338</f>
        <v>PLATINO</v>
      </c>
      <c r="E338">
        <f>CALCULOS_AGENCIA!$AA338</f>
        <v>76</v>
      </c>
      <c r="F338" s="3">
        <f t="shared" ca="1" si="5"/>
        <v>46087</v>
      </c>
    </row>
    <row r="339" spans="1:6" x14ac:dyDescent="0.3">
      <c r="A339" t="str">
        <f>PARAMS_MODELO!$B$3</f>
        <v>2025-Q3</v>
      </c>
      <c r="B339">
        <f>CALCULOS_AGENCIA!$A339</f>
        <v>51025342</v>
      </c>
      <c r="C339">
        <f>CALCULOS_AGENCIA!$U339</f>
        <v>32.126610725672315</v>
      </c>
      <c r="D339" t="str">
        <f>CALCULOS_AGENCIA!$V339</f>
        <v>PLATA</v>
      </c>
      <c r="E339">
        <f>CALCULOS_AGENCIA!$AA339</f>
        <v>836</v>
      </c>
      <c r="F339" s="3">
        <f t="shared" ca="1" si="5"/>
        <v>46087</v>
      </c>
    </row>
    <row r="340" spans="1:6" x14ac:dyDescent="0.3">
      <c r="A340" t="str">
        <f>PARAMS_MODELO!$B$3</f>
        <v>2025-Q3</v>
      </c>
      <c r="B340">
        <f>CALCULOS_AGENCIA!$A340</f>
        <v>51030389</v>
      </c>
      <c r="C340">
        <f>CALCULOS_AGENCIA!$U340</f>
        <v>95.147793835683601</v>
      </c>
      <c r="D340" t="str">
        <f>CALCULOS_AGENCIA!$V340</f>
        <v>PLATINO</v>
      </c>
      <c r="E340">
        <f>CALCULOS_AGENCIA!$AA340</f>
        <v>69</v>
      </c>
      <c r="F340" s="3">
        <f t="shared" ca="1" si="5"/>
        <v>46087</v>
      </c>
    </row>
    <row r="341" spans="1:6" x14ac:dyDescent="0.3">
      <c r="A341" t="str">
        <f>PARAMS_MODELO!$B$3</f>
        <v>2025-Q3</v>
      </c>
      <c r="B341">
        <f>CALCULOS_AGENCIA!$A341</f>
        <v>51013581</v>
      </c>
      <c r="C341">
        <f>CALCULOS_AGENCIA!$U341</f>
        <v>56.657839147085689</v>
      </c>
      <c r="D341" t="str">
        <f>CALCULOS_AGENCIA!$V341</f>
        <v>PLATA</v>
      </c>
      <c r="E341">
        <f>CALCULOS_AGENCIA!$AA341</f>
        <v>689</v>
      </c>
      <c r="F341" s="3">
        <f t="shared" ca="1" si="5"/>
        <v>46087</v>
      </c>
    </row>
    <row r="342" spans="1:6" x14ac:dyDescent="0.3">
      <c r="A342" t="str">
        <f>PARAMS_MODELO!$B$3</f>
        <v>2025-Q3</v>
      </c>
      <c r="B342">
        <f>CALCULOS_AGENCIA!$A342</f>
        <v>51056833</v>
      </c>
      <c r="C342">
        <f>CALCULOS_AGENCIA!$U342</f>
        <v>83.660950310479109</v>
      </c>
      <c r="D342" t="str">
        <f>CALCULOS_AGENCIA!$V342</f>
        <v>ORO</v>
      </c>
      <c r="E342">
        <f>CALCULOS_AGENCIA!$AA342</f>
        <v>330</v>
      </c>
      <c r="F342" s="3">
        <f t="shared" ca="1" si="5"/>
        <v>46087</v>
      </c>
    </row>
    <row r="343" spans="1:6" x14ac:dyDescent="0.3">
      <c r="A343" t="str">
        <f>PARAMS_MODELO!$B$3</f>
        <v>2025-Q3</v>
      </c>
      <c r="B343">
        <f>CALCULOS_AGENCIA!$A343</f>
        <v>51056086</v>
      </c>
      <c r="C343">
        <f>CALCULOS_AGENCIA!$U343</f>
        <v>81.924324683612681</v>
      </c>
      <c r="D343" t="str">
        <f>CALCULOS_AGENCIA!$V343</f>
        <v>ORO</v>
      </c>
      <c r="E343">
        <f>CALCULOS_AGENCIA!$AA343</f>
        <v>388</v>
      </c>
      <c r="F343" s="3">
        <f t="shared" ca="1" si="5"/>
        <v>46087</v>
      </c>
    </row>
    <row r="344" spans="1:6" x14ac:dyDescent="0.3">
      <c r="A344" t="str">
        <f>PARAMS_MODELO!$B$3</f>
        <v>2025-Q3</v>
      </c>
      <c r="B344">
        <f>CALCULOS_AGENCIA!$A344</f>
        <v>51055241</v>
      </c>
      <c r="C344">
        <f>CALCULOS_AGENCIA!$U344</f>
        <v>81.732074310686144</v>
      </c>
      <c r="D344" t="str">
        <f>CALCULOS_AGENCIA!$V344</f>
        <v>ORO</v>
      </c>
      <c r="E344">
        <f>CALCULOS_AGENCIA!$AA344</f>
        <v>392</v>
      </c>
      <c r="F344" s="3">
        <f t="shared" ca="1" si="5"/>
        <v>46087</v>
      </c>
    </row>
    <row r="345" spans="1:6" x14ac:dyDescent="0.3">
      <c r="A345" t="str">
        <f>PARAMS_MODELO!$B$3</f>
        <v>2025-Q3</v>
      </c>
      <c r="B345">
        <f>CALCULOS_AGENCIA!$A345</f>
        <v>51008669</v>
      </c>
      <c r="C345">
        <f>CALCULOS_AGENCIA!$U345</f>
        <v>81.315845699514256</v>
      </c>
      <c r="D345" t="str">
        <f>CALCULOS_AGENCIA!$V345</f>
        <v>ORO</v>
      </c>
      <c r="E345">
        <f>CALCULOS_AGENCIA!$AA345</f>
        <v>405</v>
      </c>
      <c r="F345" s="3">
        <f t="shared" ca="1" si="5"/>
        <v>46087</v>
      </c>
    </row>
    <row r="346" spans="1:6" x14ac:dyDescent="0.3">
      <c r="A346" t="str">
        <f>PARAMS_MODELO!$B$3</f>
        <v>2025-Q3</v>
      </c>
      <c r="B346">
        <f>CALCULOS_AGENCIA!$A346</f>
        <v>51031521</v>
      </c>
      <c r="C346">
        <f>CALCULOS_AGENCIA!$U346</f>
        <v>29.269186615705507</v>
      </c>
      <c r="D346" t="str">
        <f>CALCULOS_AGENCIA!$V346</f>
        <v>PLATA</v>
      </c>
      <c r="E346">
        <f>CALCULOS_AGENCIA!$AA346</f>
        <v>876</v>
      </c>
      <c r="F346" s="3">
        <f t="shared" ca="1" si="5"/>
        <v>46087</v>
      </c>
    </row>
    <row r="347" spans="1:6" x14ac:dyDescent="0.3">
      <c r="A347" t="str">
        <f>PARAMS_MODELO!$B$3</f>
        <v>2025-Q3</v>
      </c>
      <c r="B347">
        <f>CALCULOS_AGENCIA!$A347</f>
        <v>51033477</v>
      </c>
      <c r="C347">
        <f>CALCULOS_AGENCIA!$U347</f>
        <v>21.970544768720426</v>
      </c>
      <c r="D347" t="str">
        <f>CALCULOS_AGENCIA!$V347</f>
        <v>BRONCE</v>
      </c>
      <c r="E347">
        <f>CALCULOS_AGENCIA!$AA347</f>
        <v>949</v>
      </c>
      <c r="F347" s="3">
        <f t="shared" ca="1" si="5"/>
        <v>46087</v>
      </c>
    </row>
    <row r="348" spans="1:6" x14ac:dyDescent="0.3">
      <c r="A348" t="str">
        <f>PARAMS_MODELO!$B$3</f>
        <v>2025-Q3</v>
      </c>
      <c r="B348">
        <f>CALCULOS_AGENCIA!$A348</f>
        <v>51020651</v>
      </c>
      <c r="C348">
        <f>CALCULOS_AGENCIA!$U348</f>
        <v>73.478242417672135</v>
      </c>
      <c r="D348" t="str">
        <f>CALCULOS_AGENCIA!$V348</f>
        <v>ORO</v>
      </c>
      <c r="E348">
        <f>CALCULOS_AGENCIA!$AA348</f>
        <v>486</v>
      </c>
      <c r="F348" s="3">
        <f t="shared" ca="1" si="5"/>
        <v>46087</v>
      </c>
    </row>
    <row r="349" spans="1:6" x14ac:dyDescent="0.3">
      <c r="A349" t="str">
        <f>PARAMS_MODELO!$B$3</f>
        <v>2025-Q3</v>
      </c>
      <c r="B349">
        <f>CALCULOS_AGENCIA!$A349</f>
        <v>51013409</v>
      </c>
      <c r="C349">
        <f>CALCULOS_AGENCIA!$U349</f>
        <v>59.663560082784805</v>
      </c>
      <c r="D349" t="str">
        <f>CALCULOS_AGENCIA!$V349</f>
        <v>PLATA</v>
      </c>
      <c r="E349">
        <f>CALCULOS_AGENCIA!$AA349</f>
        <v>626</v>
      </c>
      <c r="F349" s="3">
        <f t="shared" ca="1" si="5"/>
        <v>46087</v>
      </c>
    </row>
    <row r="350" spans="1:6" x14ac:dyDescent="0.3">
      <c r="A350" t="str">
        <f>PARAMS_MODELO!$B$3</f>
        <v>2025-Q3</v>
      </c>
      <c r="B350">
        <f>CALCULOS_AGENCIA!$A350</f>
        <v>51030397</v>
      </c>
      <c r="C350">
        <f>CALCULOS_AGENCIA!$U350</f>
        <v>83.096618684296757</v>
      </c>
      <c r="D350" t="str">
        <f>CALCULOS_AGENCIA!$V350</f>
        <v>ORO</v>
      </c>
      <c r="E350">
        <f>CALCULOS_AGENCIA!$AA350</f>
        <v>350</v>
      </c>
      <c r="F350" s="3">
        <f t="shared" ca="1" si="5"/>
        <v>46087</v>
      </c>
    </row>
    <row r="351" spans="1:6" x14ac:dyDescent="0.3">
      <c r="A351" t="str">
        <f>PARAMS_MODELO!$B$3</f>
        <v>2025-Q3</v>
      </c>
      <c r="B351">
        <f>CALCULOS_AGENCIA!$A351</f>
        <v>51010353</v>
      </c>
      <c r="C351">
        <f>CALCULOS_AGENCIA!$U351</f>
        <v>60.292140530344653</v>
      </c>
      <c r="D351" t="str">
        <f>CALCULOS_AGENCIA!$V351</f>
        <v>PLATA</v>
      </c>
      <c r="E351">
        <f>CALCULOS_AGENCIA!$AA351</f>
        <v>612</v>
      </c>
      <c r="F351" s="3">
        <f t="shared" ca="1" si="5"/>
        <v>46087</v>
      </c>
    </row>
    <row r="352" spans="1:6" x14ac:dyDescent="0.3">
      <c r="A352" t="str">
        <f>PARAMS_MODELO!$B$3</f>
        <v>2025-Q3</v>
      </c>
      <c r="B352">
        <f>CALCULOS_AGENCIA!$A352</f>
        <v>51054814</v>
      </c>
      <c r="C352">
        <f>CALCULOS_AGENCIA!$U352</f>
        <v>77.580295321540149</v>
      </c>
      <c r="D352" t="str">
        <f>CALCULOS_AGENCIA!$V352</f>
        <v>ORO</v>
      </c>
      <c r="E352">
        <f>CALCULOS_AGENCIA!$AA352</f>
        <v>455</v>
      </c>
      <c r="F352" s="3">
        <f t="shared" ca="1" si="5"/>
        <v>46087</v>
      </c>
    </row>
    <row r="353" spans="1:6" x14ac:dyDescent="0.3">
      <c r="A353" t="str">
        <f>PARAMS_MODELO!$B$3</f>
        <v>2025-Q3</v>
      </c>
      <c r="B353">
        <f>CALCULOS_AGENCIA!$A353</f>
        <v>51012372</v>
      </c>
      <c r="C353">
        <f>CALCULOS_AGENCIA!$U353</f>
        <v>80.695012992614167</v>
      </c>
      <c r="D353" t="str">
        <f>CALCULOS_AGENCIA!$V353</f>
        <v>ORO</v>
      </c>
      <c r="E353">
        <f>CALCULOS_AGENCIA!$AA353</f>
        <v>422</v>
      </c>
      <c r="F353" s="3">
        <f t="shared" ca="1" si="5"/>
        <v>46087</v>
      </c>
    </row>
    <row r="354" spans="1:6" x14ac:dyDescent="0.3">
      <c r="A354" t="str">
        <f>PARAMS_MODELO!$B$3</f>
        <v>2025-Q3</v>
      </c>
      <c r="B354">
        <f>CALCULOS_AGENCIA!$A354</f>
        <v>51036212</v>
      </c>
      <c r="C354">
        <f>CALCULOS_AGENCIA!$U354</f>
        <v>79.97537534652723</v>
      </c>
      <c r="D354" t="str">
        <f>CALCULOS_AGENCIA!$V354</f>
        <v>ORO</v>
      </c>
      <c r="E354">
        <f>CALCULOS_AGENCIA!$AA354</f>
        <v>441</v>
      </c>
      <c r="F354" s="3">
        <f t="shared" ca="1" si="5"/>
        <v>46087</v>
      </c>
    </row>
    <row r="355" spans="1:6" x14ac:dyDescent="0.3">
      <c r="A355" t="str">
        <f>PARAMS_MODELO!$B$3</f>
        <v>2025-Q3</v>
      </c>
      <c r="B355">
        <f>CALCULOS_AGENCIA!$A355</f>
        <v>51029984</v>
      </c>
      <c r="C355">
        <f>CALCULOS_AGENCIA!$U355</f>
        <v>63.723154919653638</v>
      </c>
      <c r="D355" t="str">
        <f>CALCULOS_AGENCIA!$V355</f>
        <v>ORO</v>
      </c>
      <c r="E355">
        <f>CALCULOS_AGENCIA!$AA355</f>
        <v>551</v>
      </c>
      <c r="F355" s="3">
        <f t="shared" ca="1" si="5"/>
        <v>46087</v>
      </c>
    </row>
    <row r="356" spans="1:6" x14ac:dyDescent="0.3">
      <c r="A356" t="str">
        <f>PARAMS_MODELO!$B$3</f>
        <v>2025-Q3</v>
      </c>
      <c r="B356">
        <f>CALCULOS_AGENCIA!$A356</f>
        <v>51039777</v>
      </c>
      <c r="C356">
        <f>CALCULOS_AGENCIA!$U356</f>
        <v>85.424495592228865</v>
      </c>
      <c r="D356" t="str">
        <f>CALCULOS_AGENCIA!$V356</f>
        <v>ORO</v>
      </c>
      <c r="E356">
        <f>CALCULOS_AGENCIA!$AA356</f>
        <v>272</v>
      </c>
      <c r="F356" s="3">
        <f t="shared" ca="1" si="5"/>
        <v>46087</v>
      </c>
    </row>
    <row r="357" spans="1:6" x14ac:dyDescent="0.3">
      <c r="A357" t="str">
        <f>PARAMS_MODELO!$B$3</f>
        <v>2025-Q3</v>
      </c>
      <c r="B357">
        <f>CALCULOS_AGENCIA!$A357</f>
        <v>51056183</v>
      </c>
      <c r="C357">
        <f>CALCULOS_AGENCIA!$U357</f>
        <v>56.044173696473649</v>
      </c>
      <c r="D357" t="str">
        <f>CALCULOS_AGENCIA!$V357</f>
        <v>PLATA</v>
      </c>
      <c r="E357">
        <f>CALCULOS_AGENCIA!$AA357</f>
        <v>701</v>
      </c>
      <c r="F357" s="3">
        <f t="shared" ca="1" si="5"/>
        <v>46087</v>
      </c>
    </row>
    <row r="358" spans="1:6" x14ac:dyDescent="0.3">
      <c r="A358" t="str">
        <f>PARAMS_MODELO!$B$3</f>
        <v>2025-Q3</v>
      </c>
      <c r="B358">
        <f>CALCULOS_AGENCIA!$A358</f>
        <v>51039238</v>
      </c>
      <c r="C358">
        <f>CALCULOS_AGENCIA!$U358</f>
        <v>30.068583584857066</v>
      </c>
      <c r="D358" t="str">
        <f>CALCULOS_AGENCIA!$V358</f>
        <v>PLATA</v>
      </c>
      <c r="E358">
        <f>CALCULOS_AGENCIA!$AA358</f>
        <v>864</v>
      </c>
      <c r="F358" s="3">
        <f t="shared" ca="1" si="5"/>
        <v>46087</v>
      </c>
    </row>
    <row r="359" spans="1:6" x14ac:dyDescent="0.3">
      <c r="A359" t="str">
        <f>PARAMS_MODELO!$B$3</f>
        <v>2025-Q3</v>
      </c>
      <c r="B359">
        <f>CALCULOS_AGENCIA!$A359</f>
        <v>51007701</v>
      </c>
      <c r="C359">
        <f>CALCULOS_AGENCIA!$U359</f>
        <v>100</v>
      </c>
      <c r="D359" t="str">
        <f>CALCULOS_AGENCIA!$V359</f>
        <v>DIAMANTE</v>
      </c>
      <c r="E359">
        <f>CALCULOS_AGENCIA!$AA359</f>
        <v>1</v>
      </c>
      <c r="F359" s="3">
        <f t="shared" ca="1" si="5"/>
        <v>46087</v>
      </c>
    </row>
    <row r="360" spans="1:6" x14ac:dyDescent="0.3">
      <c r="A360" t="str">
        <f>PARAMS_MODELO!$B$3</f>
        <v>2025-Q3</v>
      </c>
      <c r="B360">
        <f>CALCULOS_AGENCIA!$A360</f>
        <v>51034228</v>
      </c>
      <c r="C360">
        <f>CALCULOS_AGENCIA!$U360</f>
        <v>60.407754758121968</v>
      </c>
      <c r="D360" t="str">
        <f>CALCULOS_AGENCIA!$V360</f>
        <v>PLATA</v>
      </c>
      <c r="E360">
        <f>CALCULOS_AGENCIA!$AA360</f>
        <v>609</v>
      </c>
      <c r="F360" s="3">
        <f t="shared" ca="1" si="5"/>
        <v>46087</v>
      </c>
    </row>
    <row r="361" spans="1:6" x14ac:dyDescent="0.3">
      <c r="A361" t="str">
        <f>PARAMS_MODELO!$B$3</f>
        <v>2025-Q3</v>
      </c>
      <c r="B361">
        <f>CALCULOS_AGENCIA!$A361</f>
        <v>51005295</v>
      </c>
      <c r="C361">
        <f>CALCULOS_AGENCIA!$U361</f>
        <v>32.495880621749428</v>
      </c>
      <c r="D361" t="str">
        <f>CALCULOS_AGENCIA!$V361</f>
        <v>PLATA</v>
      </c>
      <c r="E361">
        <f>CALCULOS_AGENCIA!$AA361</f>
        <v>829</v>
      </c>
      <c r="F361" s="3">
        <f t="shared" ca="1" si="5"/>
        <v>46087</v>
      </c>
    </row>
    <row r="362" spans="1:6" x14ac:dyDescent="0.3">
      <c r="A362" t="str">
        <f>PARAMS_MODELO!$B$3</f>
        <v>2025-Q3</v>
      </c>
      <c r="B362">
        <f>CALCULOS_AGENCIA!$A362</f>
        <v>51023668</v>
      </c>
      <c r="C362">
        <f>CALCULOS_AGENCIA!$U362</f>
        <v>62.62257443695551</v>
      </c>
      <c r="D362" t="str">
        <f>CALCULOS_AGENCIA!$V362</f>
        <v>PLATA</v>
      </c>
      <c r="E362">
        <f>CALCULOS_AGENCIA!$AA362</f>
        <v>565</v>
      </c>
      <c r="F362" s="3">
        <f t="shared" ca="1" si="5"/>
        <v>46087</v>
      </c>
    </row>
    <row r="363" spans="1:6" x14ac:dyDescent="0.3">
      <c r="A363" t="str">
        <f>PARAMS_MODELO!$B$3</f>
        <v>2025-Q3</v>
      </c>
      <c r="B363">
        <f>CALCULOS_AGENCIA!$A363</f>
        <v>51018851</v>
      </c>
      <c r="C363">
        <f>CALCULOS_AGENCIA!$U363</f>
        <v>48.573810459358846</v>
      </c>
      <c r="D363" t="str">
        <f>CALCULOS_AGENCIA!$V363</f>
        <v>PLATA</v>
      </c>
      <c r="E363">
        <f>CALCULOS_AGENCIA!$AA363</f>
        <v>749</v>
      </c>
      <c r="F363" s="3">
        <f t="shared" ca="1" si="5"/>
        <v>46087</v>
      </c>
    </row>
    <row r="364" spans="1:6" x14ac:dyDescent="0.3">
      <c r="A364" t="str">
        <f>PARAMS_MODELO!$B$3</f>
        <v>2025-Q3</v>
      </c>
      <c r="B364">
        <f>CALCULOS_AGENCIA!$A364</f>
        <v>51042042</v>
      </c>
      <c r="C364">
        <f>CALCULOS_AGENCIA!$U364</f>
        <v>85.068527549102953</v>
      </c>
      <c r="D364" t="str">
        <f>CALCULOS_AGENCIA!$V364</f>
        <v>ORO</v>
      </c>
      <c r="E364">
        <f>CALCULOS_AGENCIA!$AA364</f>
        <v>282</v>
      </c>
      <c r="F364" s="3">
        <f t="shared" ca="1" si="5"/>
        <v>46087</v>
      </c>
    </row>
    <row r="365" spans="1:6" x14ac:dyDescent="0.3">
      <c r="A365" t="str">
        <f>PARAMS_MODELO!$B$3</f>
        <v>2025-Q3</v>
      </c>
      <c r="B365">
        <f>CALCULOS_AGENCIA!$A365</f>
        <v>51010817</v>
      </c>
      <c r="C365">
        <f>CALCULOS_AGENCIA!$U365</f>
        <v>60.891413184147829</v>
      </c>
      <c r="D365" t="str">
        <f>CALCULOS_AGENCIA!$V365</f>
        <v>PLATA</v>
      </c>
      <c r="E365">
        <f>CALCULOS_AGENCIA!$AA365</f>
        <v>600</v>
      </c>
      <c r="F365" s="3">
        <f t="shared" ca="1" si="5"/>
        <v>46087</v>
      </c>
    </row>
    <row r="366" spans="1:6" x14ac:dyDescent="0.3">
      <c r="A366" t="str">
        <f>PARAMS_MODELO!$B$3</f>
        <v>2025-Q3</v>
      </c>
      <c r="B366">
        <f>CALCULOS_AGENCIA!$A366</f>
        <v>51022408</v>
      </c>
      <c r="C366">
        <f>CALCULOS_AGENCIA!$U366</f>
        <v>92.781107974618735</v>
      </c>
      <c r="D366" t="str">
        <f>CALCULOS_AGENCIA!$V366</f>
        <v>PLATINO</v>
      </c>
      <c r="E366">
        <f>CALCULOS_AGENCIA!$AA366</f>
        <v>94</v>
      </c>
      <c r="F366" s="3">
        <f t="shared" ca="1" si="5"/>
        <v>46087</v>
      </c>
    </row>
    <row r="367" spans="1:6" x14ac:dyDescent="0.3">
      <c r="A367" t="str">
        <f>PARAMS_MODELO!$B$3</f>
        <v>2025-Q3</v>
      </c>
      <c r="B367">
        <f>CALCULOS_AGENCIA!$A367</f>
        <v>51032578</v>
      </c>
      <c r="C367">
        <f>CALCULOS_AGENCIA!$U367</f>
        <v>60.909381402247128</v>
      </c>
      <c r="D367" t="str">
        <f>CALCULOS_AGENCIA!$V367</f>
        <v>PLATA</v>
      </c>
      <c r="E367">
        <f>CALCULOS_AGENCIA!$AA367</f>
        <v>598</v>
      </c>
      <c r="F367" s="3">
        <f t="shared" ca="1" si="5"/>
        <v>46087</v>
      </c>
    </row>
    <row r="368" spans="1:6" x14ac:dyDescent="0.3">
      <c r="A368" t="str">
        <f>PARAMS_MODELO!$B$3</f>
        <v>2025-Q3</v>
      </c>
      <c r="B368">
        <f>CALCULOS_AGENCIA!$A368</f>
        <v>51017978</v>
      </c>
      <c r="C368">
        <f>CALCULOS_AGENCIA!$U368</f>
        <v>85.666280548302268</v>
      </c>
      <c r="D368" t="str">
        <f>CALCULOS_AGENCIA!$V368</f>
        <v>ORO</v>
      </c>
      <c r="E368">
        <f>CALCULOS_AGENCIA!$AA368</f>
        <v>263</v>
      </c>
      <c r="F368" s="3">
        <f t="shared" ca="1" si="5"/>
        <v>46087</v>
      </c>
    </row>
    <row r="369" spans="1:6" x14ac:dyDescent="0.3">
      <c r="A369" t="str">
        <f>PARAMS_MODELO!$B$3</f>
        <v>2025-Q3</v>
      </c>
      <c r="B369">
        <f>CALCULOS_AGENCIA!$A369</f>
        <v>51056868</v>
      </c>
      <c r="C369">
        <f>CALCULOS_AGENCIA!$U369</f>
        <v>91.169157583736933</v>
      </c>
      <c r="D369" t="str">
        <f>CALCULOS_AGENCIA!$V369</f>
        <v>PLATINO</v>
      </c>
      <c r="E369">
        <f>CALCULOS_AGENCIA!$AA369</f>
        <v>114</v>
      </c>
      <c r="F369" s="3">
        <f t="shared" ca="1" si="5"/>
        <v>46087</v>
      </c>
    </row>
    <row r="370" spans="1:6" x14ac:dyDescent="0.3">
      <c r="A370" t="str">
        <f>PARAMS_MODELO!$B$3</f>
        <v>2025-Q3</v>
      </c>
      <c r="B370">
        <f>CALCULOS_AGENCIA!$A370</f>
        <v>51056566</v>
      </c>
      <c r="C370">
        <f>CALCULOS_AGENCIA!$U370</f>
        <v>86.471461007318226</v>
      </c>
      <c r="D370" t="str">
        <f>CALCULOS_AGENCIA!$V370</f>
        <v>PLATINO</v>
      </c>
      <c r="E370">
        <f>CALCULOS_AGENCIA!$AA370</f>
        <v>236</v>
      </c>
      <c r="F370" s="3">
        <f t="shared" ca="1" si="5"/>
        <v>46087</v>
      </c>
    </row>
    <row r="371" spans="1:6" x14ac:dyDescent="0.3">
      <c r="A371" t="str">
        <f>PARAMS_MODELO!$B$3</f>
        <v>2025-Q3</v>
      </c>
      <c r="B371">
        <f>CALCULOS_AGENCIA!$A371</f>
        <v>51005112</v>
      </c>
      <c r="C371">
        <f>CALCULOS_AGENCIA!$U371</f>
        <v>61.876570448077636</v>
      </c>
      <c r="D371" t="str">
        <f>CALCULOS_AGENCIA!$V371</f>
        <v>PLATA</v>
      </c>
      <c r="E371">
        <f>CALCULOS_AGENCIA!$AA371</f>
        <v>582</v>
      </c>
      <c r="F371" s="3">
        <f t="shared" ca="1" si="5"/>
        <v>46087</v>
      </c>
    </row>
    <row r="372" spans="1:6" x14ac:dyDescent="0.3">
      <c r="A372" t="str">
        <f>PARAMS_MODELO!$B$3</f>
        <v>2025-Q3</v>
      </c>
      <c r="B372">
        <f>CALCULOS_AGENCIA!$A372</f>
        <v>51019946</v>
      </c>
      <c r="C372">
        <f>CALCULOS_AGENCIA!$U372</f>
        <v>32.21508932230843</v>
      </c>
      <c r="D372" t="str">
        <f>CALCULOS_AGENCIA!$V372</f>
        <v>PLATA</v>
      </c>
      <c r="E372">
        <f>CALCULOS_AGENCIA!$AA372</f>
        <v>834</v>
      </c>
      <c r="F372" s="3">
        <f t="shared" ca="1" si="5"/>
        <v>46087</v>
      </c>
    </row>
    <row r="373" spans="1:6" x14ac:dyDescent="0.3">
      <c r="A373" t="str">
        <f>PARAMS_MODELO!$B$3</f>
        <v>2025-Q3</v>
      </c>
      <c r="B373">
        <f>CALCULOS_AGENCIA!$A373</f>
        <v>51027116</v>
      </c>
      <c r="C373">
        <f>CALCULOS_AGENCIA!$U373</f>
        <v>89.601391807231408</v>
      </c>
      <c r="D373" t="str">
        <f>CALCULOS_AGENCIA!$V373</f>
        <v>PLATINO</v>
      </c>
      <c r="E373">
        <f>CALCULOS_AGENCIA!$AA373</f>
        <v>146</v>
      </c>
      <c r="F373" s="3">
        <f t="shared" ca="1" si="5"/>
        <v>46087</v>
      </c>
    </row>
    <row r="374" spans="1:6" x14ac:dyDescent="0.3">
      <c r="A374" t="str">
        <f>PARAMS_MODELO!$B$3</f>
        <v>2025-Q3</v>
      </c>
      <c r="B374">
        <f>CALCULOS_AGENCIA!$A374</f>
        <v>51042051</v>
      </c>
      <c r="C374">
        <f>CALCULOS_AGENCIA!$U374</f>
        <v>96.09623314132449</v>
      </c>
      <c r="D374" t="str">
        <f>CALCULOS_AGENCIA!$V374</f>
        <v>DIAMANTE</v>
      </c>
      <c r="E374">
        <f>CALCULOS_AGENCIA!$AA374</f>
        <v>60</v>
      </c>
      <c r="F374" s="3">
        <f t="shared" ca="1" si="5"/>
        <v>46087</v>
      </c>
    </row>
    <row r="375" spans="1:6" x14ac:dyDescent="0.3">
      <c r="A375" t="str">
        <f>PARAMS_MODELO!$B$3</f>
        <v>2025-Q3</v>
      </c>
      <c r="B375">
        <f>CALCULOS_AGENCIA!$A375</f>
        <v>51024702</v>
      </c>
      <c r="C375">
        <f>CALCULOS_AGENCIA!$U375</f>
        <v>72.344121312259176</v>
      </c>
      <c r="D375" t="str">
        <f>CALCULOS_AGENCIA!$V375</f>
        <v>ORO</v>
      </c>
      <c r="E375">
        <f>CALCULOS_AGENCIA!$AA375</f>
        <v>497</v>
      </c>
      <c r="F375" s="3">
        <f t="shared" ca="1" si="5"/>
        <v>46087</v>
      </c>
    </row>
    <row r="376" spans="1:6" x14ac:dyDescent="0.3">
      <c r="A376" t="str">
        <f>PARAMS_MODELO!$B$3</f>
        <v>2025-Q3</v>
      </c>
      <c r="B376">
        <f>CALCULOS_AGENCIA!$A376</f>
        <v>51000251</v>
      </c>
      <c r="C376">
        <f>CALCULOS_AGENCIA!$U376</f>
        <v>21.001822375769649</v>
      </c>
      <c r="D376" t="str">
        <f>CALCULOS_AGENCIA!$V376</f>
        <v>BRONCE</v>
      </c>
      <c r="E376">
        <f>CALCULOS_AGENCIA!$AA376</f>
        <v>963</v>
      </c>
      <c r="F376" s="3">
        <f t="shared" ca="1" si="5"/>
        <v>46087</v>
      </c>
    </row>
    <row r="377" spans="1:6" x14ac:dyDescent="0.3">
      <c r="A377" t="str">
        <f>PARAMS_MODELO!$B$3</f>
        <v>2025-Q3</v>
      </c>
      <c r="B377">
        <f>CALCULOS_AGENCIA!$A377</f>
        <v>51036778</v>
      </c>
      <c r="C377">
        <f>CALCULOS_AGENCIA!$U377</f>
        <v>68.431457807895882</v>
      </c>
      <c r="D377" t="str">
        <f>CALCULOS_AGENCIA!$V377</f>
        <v>ORO</v>
      </c>
      <c r="E377">
        <f>CALCULOS_AGENCIA!$AA377</f>
        <v>523</v>
      </c>
      <c r="F377" s="3">
        <f t="shared" ca="1" si="5"/>
        <v>46087</v>
      </c>
    </row>
    <row r="378" spans="1:6" x14ac:dyDescent="0.3">
      <c r="A378" t="str">
        <f>PARAMS_MODELO!$B$3</f>
        <v>2025-Q3</v>
      </c>
      <c r="B378">
        <f>CALCULOS_AGENCIA!$A378</f>
        <v>51056850</v>
      </c>
      <c r="C378">
        <f>CALCULOS_AGENCIA!$U378</f>
        <v>62.405240901776963</v>
      </c>
      <c r="D378" t="str">
        <f>CALCULOS_AGENCIA!$V378</f>
        <v>PLATA</v>
      </c>
      <c r="E378">
        <f>CALCULOS_AGENCIA!$AA378</f>
        <v>571</v>
      </c>
      <c r="F378" s="3">
        <f t="shared" ca="1" si="5"/>
        <v>46087</v>
      </c>
    </row>
    <row r="379" spans="1:6" x14ac:dyDescent="0.3">
      <c r="A379" t="str">
        <f>PARAMS_MODELO!$B$3</f>
        <v>2025-Q3</v>
      </c>
      <c r="B379">
        <f>CALCULOS_AGENCIA!$A379</f>
        <v>51054989</v>
      </c>
      <c r="C379">
        <f>CALCULOS_AGENCIA!$U379</f>
        <v>91.613054874754837</v>
      </c>
      <c r="D379" t="str">
        <f>CALCULOS_AGENCIA!$V379</f>
        <v>PLATINO</v>
      </c>
      <c r="E379">
        <f>CALCULOS_AGENCIA!$AA379</f>
        <v>109</v>
      </c>
      <c r="F379" s="3">
        <f t="shared" ca="1" si="5"/>
        <v>46087</v>
      </c>
    </row>
    <row r="380" spans="1:6" x14ac:dyDescent="0.3">
      <c r="A380" t="str">
        <f>PARAMS_MODELO!$B$3</f>
        <v>2025-Q3</v>
      </c>
      <c r="B380">
        <f>CALCULOS_AGENCIA!$A380</f>
        <v>51018737</v>
      </c>
      <c r="C380">
        <f>CALCULOS_AGENCIA!$U380</f>
        <v>84.312773126434124</v>
      </c>
      <c r="D380" t="str">
        <f>CALCULOS_AGENCIA!$V380</f>
        <v>ORO</v>
      </c>
      <c r="E380">
        <f>CALCULOS_AGENCIA!$AA380</f>
        <v>304</v>
      </c>
      <c r="F380" s="3">
        <f t="shared" ca="1" si="5"/>
        <v>46087</v>
      </c>
    </row>
    <row r="381" spans="1:6" x14ac:dyDescent="0.3">
      <c r="A381" t="str">
        <f>PARAMS_MODELO!$B$3</f>
        <v>2025-Q3</v>
      </c>
      <c r="B381">
        <f>CALCULOS_AGENCIA!$A381</f>
        <v>51023811</v>
      </c>
      <c r="C381">
        <f>CALCULOS_AGENCIA!$U381</f>
        <v>61.931617866357342</v>
      </c>
      <c r="D381" t="str">
        <f>CALCULOS_AGENCIA!$V381</f>
        <v>PLATA</v>
      </c>
      <c r="E381">
        <f>CALCULOS_AGENCIA!$AA381</f>
        <v>581</v>
      </c>
      <c r="F381" s="3">
        <f t="shared" ca="1" si="5"/>
        <v>46087</v>
      </c>
    </row>
    <row r="382" spans="1:6" x14ac:dyDescent="0.3">
      <c r="A382" t="str">
        <f>PARAMS_MODELO!$B$3</f>
        <v>2025-Q3</v>
      </c>
      <c r="B382">
        <f>CALCULOS_AGENCIA!$A382</f>
        <v>51040899</v>
      </c>
      <c r="C382">
        <f>CALCULOS_AGENCIA!$U382</f>
        <v>88.646380364949323</v>
      </c>
      <c r="D382" t="str">
        <f>CALCULOS_AGENCIA!$V382</f>
        <v>PLATINO</v>
      </c>
      <c r="E382">
        <f>CALCULOS_AGENCIA!$AA382</f>
        <v>179</v>
      </c>
      <c r="F382" s="3">
        <f t="shared" ca="1" si="5"/>
        <v>46087</v>
      </c>
    </row>
    <row r="383" spans="1:6" x14ac:dyDescent="0.3">
      <c r="A383" t="str">
        <f>PARAMS_MODELO!$B$3</f>
        <v>2025-Q3</v>
      </c>
      <c r="B383">
        <f>CALCULOS_AGENCIA!$A383</f>
        <v>51022149</v>
      </c>
      <c r="C383">
        <f>CALCULOS_AGENCIA!$U383</f>
        <v>56.22869666506498</v>
      </c>
      <c r="D383" t="str">
        <f>CALCULOS_AGENCIA!$V383</f>
        <v>PLATA</v>
      </c>
      <c r="E383">
        <f>CALCULOS_AGENCIA!$AA383</f>
        <v>696</v>
      </c>
      <c r="F383" s="3">
        <f t="shared" ca="1" si="5"/>
        <v>46087</v>
      </c>
    </row>
    <row r="384" spans="1:6" x14ac:dyDescent="0.3">
      <c r="A384" t="str">
        <f>PARAMS_MODELO!$B$3</f>
        <v>2025-Q3</v>
      </c>
      <c r="B384">
        <f>CALCULOS_AGENCIA!$A384</f>
        <v>51014189</v>
      </c>
      <c r="C384">
        <f>CALCULOS_AGENCIA!$U384</f>
        <v>83.613057560783574</v>
      </c>
      <c r="D384" t="str">
        <f>CALCULOS_AGENCIA!$V384</f>
        <v>ORO</v>
      </c>
      <c r="E384">
        <f>CALCULOS_AGENCIA!$AA384</f>
        <v>331</v>
      </c>
      <c r="F384" s="3">
        <f t="shared" ca="1" si="5"/>
        <v>46087</v>
      </c>
    </row>
    <row r="385" spans="1:6" x14ac:dyDescent="0.3">
      <c r="A385" t="str">
        <f>PARAMS_MODELO!$B$3</f>
        <v>2025-Q3</v>
      </c>
      <c r="B385">
        <f>CALCULOS_AGENCIA!$A385</f>
        <v>51011538</v>
      </c>
      <c r="C385">
        <f>CALCULOS_AGENCIA!$U385</f>
        <v>30.052058551060082</v>
      </c>
      <c r="D385" t="str">
        <f>CALCULOS_AGENCIA!$V385</f>
        <v>PLATA</v>
      </c>
      <c r="E385">
        <f>CALCULOS_AGENCIA!$AA385</f>
        <v>866</v>
      </c>
      <c r="F385" s="3">
        <f t="shared" ca="1" si="5"/>
        <v>46087</v>
      </c>
    </row>
    <row r="386" spans="1:6" x14ac:dyDescent="0.3">
      <c r="A386" t="str">
        <f>PARAMS_MODELO!$B$3</f>
        <v>2025-Q3</v>
      </c>
      <c r="B386">
        <f>CALCULOS_AGENCIA!$A386</f>
        <v>51011686</v>
      </c>
      <c r="C386">
        <f>CALCULOS_AGENCIA!$U386</f>
        <v>86.080479255254929</v>
      </c>
      <c r="D386" t="str">
        <f>CALCULOS_AGENCIA!$V386</f>
        <v>ORO</v>
      </c>
      <c r="E386">
        <f>CALCULOS_AGENCIA!$AA386</f>
        <v>248</v>
      </c>
      <c r="F386" s="3">
        <f t="shared" ref="F386:F449" ca="1" si="6">TODAY()</f>
        <v>46087</v>
      </c>
    </row>
    <row r="387" spans="1:6" x14ac:dyDescent="0.3">
      <c r="A387" t="str">
        <f>PARAMS_MODELO!$B$3</f>
        <v>2025-Q3</v>
      </c>
      <c r="B387">
        <f>CALCULOS_AGENCIA!$A387</f>
        <v>51055896</v>
      </c>
      <c r="C387">
        <f>CALCULOS_AGENCIA!$U387</f>
        <v>86.442111384532325</v>
      </c>
      <c r="D387" t="str">
        <f>CALCULOS_AGENCIA!$V387</f>
        <v>PLATINO</v>
      </c>
      <c r="E387">
        <f>CALCULOS_AGENCIA!$AA387</f>
        <v>239</v>
      </c>
      <c r="F387" s="3">
        <f t="shared" ca="1" si="6"/>
        <v>46087</v>
      </c>
    </row>
    <row r="388" spans="1:6" x14ac:dyDescent="0.3">
      <c r="A388" t="str">
        <f>PARAMS_MODELO!$B$3</f>
        <v>2025-Q3</v>
      </c>
      <c r="B388">
        <f>CALCULOS_AGENCIA!$A388</f>
        <v>51054962</v>
      </c>
      <c r="C388">
        <f>CALCULOS_AGENCIA!$U388</f>
        <v>31.689443093525863</v>
      </c>
      <c r="D388" t="str">
        <f>CALCULOS_AGENCIA!$V388</f>
        <v>PLATA</v>
      </c>
      <c r="E388">
        <f>CALCULOS_AGENCIA!$AA388</f>
        <v>839</v>
      </c>
      <c r="F388" s="3">
        <f t="shared" ca="1" si="6"/>
        <v>46087</v>
      </c>
    </row>
    <row r="389" spans="1:6" x14ac:dyDescent="0.3">
      <c r="A389" t="str">
        <f>PARAMS_MODELO!$B$3</f>
        <v>2025-Q3</v>
      </c>
      <c r="B389">
        <f>CALCULOS_AGENCIA!$A389</f>
        <v>51021584</v>
      </c>
      <c r="C389">
        <f>CALCULOS_AGENCIA!$U389</f>
        <v>84.418456600547103</v>
      </c>
      <c r="D389" t="str">
        <f>CALCULOS_AGENCIA!$V389</f>
        <v>ORO</v>
      </c>
      <c r="E389">
        <f>CALCULOS_AGENCIA!$AA389</f>
        <v>302</v>
      </c>
      <c r="F389" s="3">
        <f t="shared" ca="1" si="6"/>
        <v>46087</v>
      </c>
    </row>
    <row r="390" spans="1:6" x14ac:dyDescent="0.3">
      <c r="A390" t="str">
        <f>PARAMS_MODELO!$B$3</f>
        <v>2025-Q3</v>
      </c>
      <c r="B390">
        <f>CALCULOS_AGENCIA!$A390</f>
        <v>51014642</v>
      </c>
      <c r="C390">
        <f>CALCULOS_AGENCIA!$U390</f>
        <v>72.575049827126307</v>
      </c>
      <c r="D390" t="str">
        <f>CALCULOS_AGENCIA!$V390</f>
        <v>ORO</v>
      </c>
      <c r="E390">
        <f>CALCULOS_AGENCIA!$AA390</f>
        <v>495</v>
      </c>
      <c r="F390" s="3">
        <f t="shared" ca="1" si="6"/>
        <v>46087</v>
      </c>
    </row>
    <row r="391" spans="1:6" x14ac:dyDescent="0.3">
      <c r="A391" t="str">
        <f>PARAMS_MODELO!$B$3</f>
        <v>2025-Q3</v>
      </c>
      <c r="B391">
        <f>CALCULOS_AGENCIA!$A391</f>
        <v>51038878</v>
      </c>
      <c r="C391">
        <f>CALCULOS_AGENCIA!$U391</f>
        <v>30.0530684828523</v>
      </c>
      <c r="D391" t="str">
        <f>CALCULOS_AGENCIA!$V391</f>
        <v>PLATA</v>
      </c>
      <c r="E391">
        <f>CALCULOS_AGENCIA!$AA391</f>
        <v>865</v>
      </c>
      <c r="F391" s="3">
        <f t="shared" ca="1" si="6"/>
        <v>46087</v>
      </c>
    </row>
    <row r="392" spans="1:6" x14ac:dyDescent="0.3">
      <c r="A392" t="str">
        <f>PARAMS_MODELO!$B$3</f>
        <v>2025-Q3</v>
      </c>
      <c r="B392">
        <f>CALCULOS_AGENCIA!$A392</f>
        <v>51055292</v>
      </c>
      <c r="C392">
        <f>CALCULOS_AGENCIA!$U392</f>
        <v>33.530707418082457</v>
      </c>
      <c r="D392" t="str">
        <f>CALCULOS_AGENCIA!$V392</f>
        <v>PLATA</v>
      </c>
      <c r="E392">
        <f>CALCULOS_AGENCIA!$AA392</f>
        <v>817</v>
      </c>
      <c r="F392" s="3">
        <f t="shared" ca="1" si="6"/>
        <v>46087</v>
      </c>
    </row>
    <row r="393" spans="1:6" x14ac:dyDescent="0.3">
      <c r="A393" t="str">
        <f>PARAMS_MODELO!$B$3</f>
        <v>2025-Q3</v>
      </c>
      <c r="B393">
        <f>CALCULOS_AGENCIA!$A393</f>
        <v>51011601</v>
      </c>
      <c r="C393">
        <f>CALCULOS_AGENCIA!$U393</f>
        <v>75.844789590784501</v>
      </c>
      <c r="D393" t="str">
        <f>CALCULOS_AGENCIA!$V393</f>
        <v>ORO</v>
      </c>
      <c r="E393">
        <f>CALCULOS_AGENCIA!$AA393</f>
        <v>467</v>
      </c>
      <c r="F393" s="3">
        <f t="shared" ca="1" si="6"/>
        <v>46087</v>
      </c>
    </row>
    <row r="394" spans="1:6" x14ac:dyDescent="0.3">
      <c r="A394" t="str">
        <f>PARAMS_MODELO!$B$3</f>
        <v>2025-Q3</v>
      </c>
      <c r="B394">
        <f>CALCULOS_AGENCIA!$A394</f>
        <v>51022866</v>
      </c>
      <c r="C394">
        <f>CALCULOS_AGENCIA!$U394</f>
        <v>51.376443193567233</v>
      </c>
      <c r="D394" t="str">
        <f>CALCULOS_AGENCIA!$V394</f>
        <v>PLATA</v>
      </c>
      <c r="E394">
        <f>CALCULOS_AGENCIA!$AA394</f>
        <v>733</v>
      </c>
      <c r="F394" s="3">
        <f t="shared" ca="1" si="6"/>
        <v>46087</v>
      </c>
    </row>
    <row r="395" spans="1:6" x14ac:dyDescent="0.3">
      <c r="A395" t="str">
        <f>PARAMS_MODELO!$B$3</f>
        <v>2025-Q3</v>
      </c>
      <c r="B395">
        <f>CALCULOS_AGENCIA!$A395</f>
        <v>51017820</v>
      </c>
      <c r="C395">
        <f>CALCULOS_AGENCIA!$U395</f>
        <v>59.196937207318236</v>
      </c>
      <c r="D395" t="str">
        <f>CALCULOS_AGENCIA!$V395</f>
        <v>PLATA</v>
      </c>
      <c r="E395">
        <f>CALCULOS_AGENCIA!$AA395</f>
        <v>634</v>
      </c>
      <c r="F395" s="3">
        <f t="shared" ca="1" si="6"/>
        <v>46087</v>
      </c>
    </row>
    <row r="396" spans="1:6" x14ac:dyDescent="0.3">
      <c r="A396" t="str">
        <f>PARAMS_MODELO!$B$3</f>
        <v>2025-Q3</v>
      </c>
      <c r="B396">
        <f>CALCULOS_AGENCIA!$A396</f>
        <v>51030761</v>
      </c>
      <c r="C396">
        <f>CALCULOS_AGENCIA!$U396</f>
        <v>61.393670629495816</v>
      </c>
      <c r="D396" t="str">
        <f>CALCULOS_AGENCIA!$V396</f>
        <v>PLATA</v>
      </c>
      <c r="E396">
        <f>CALCULOS_AGENCIA!$AA396</f>
        <v>592</v>
      </c>
      <c r="F396" s="3">
        <f t="shared" ca="1" si="6"/>
        <v>46087</v>
      </c>
    </row>
    <row r="397" spans="1:6" x14ac:dyDescent="0.3">
      <c r="A397" t="str">
        <f>PARAMS_MODELO!$B$3</f>
        <v>2025-Q3</v>
      </c>
      <c r="B397">
        <f>CALCULOS_AGENCIA!$A397</f>
        <v>51008294</v>
      </c>
      <c r="C397">
        <f>CALCULOS_AGENCIA!$U397</f>
        <v>58.644662561652424</v>
      </c>
      <c r="D397" t="str">
        <f>CALCULOS_AGENCIA!$V397</f>
        <v>PLATA</v>
      </c>
      <c r="E397">
        <f>CALCULOS_AGENCIA!$AA397</f>
        <v>643</v>
      </c>
      <c r="F397" s="3">
        <f t="shared" ca="1" si="6"/>
        <v>46087</v>
      </c>
    </row>
    <row r="398" spans="1:6" x14ac:dyDescent="0.3">
      <c r="A398" t="str">
        <f>PARAMS_MODELO!$B$3</f>
        <v>2025-Q3</v>
      </c>
      <c r="B398">
        <f>CALCULOS_AGENCIA!$A398</f>
        <v>51055501</v>
      </c>
      <c r="C398">
        <f>CALCULOS_AGENCIA!$U398</f>
        <v>59.609278487426806</v>
      </c>
      <c r="D398" t="str">
        <f>CALCULOS_AGENCIA!$V398</f>
        <v>PLATA</v>
      </c>
      <c r="E398">
        <f>CALCULOS_AGENCIA!$AA398</f>
        <v>628</v>
      </c>
      <c r="F398" s="3">
        <f t="shared" ca="1" si="6"/>
        <v>46087</v>
      </c>
    </row>
    <row r="399" spans="1:6" x14ac:dyDescent="0.3">
      <c r="A399" t="str">
        <f>PARAMS_MODELO!$B$3</f>
        <v>2025-Q3</v>
      </c>
      <c r="B399">
        <f>CALCULOS_AGENCIA!$A399</f>
        <v>51038886</v>
      </c>
      <c r="C399">
        <f>CALCULOS_AGENCIA!$U399</f>
        <v>100</v>
      </c>
      <c r="D399" t="str">
        <f>CALCULOS_AGENCIA!$V399</f>
        <v>DIAMANTE</v>
      </c>
      <c r="E399">
        <f>CALCULOS_AGENCIA!$AA399</f>
        <v>1</v>
      </c>
      <c r="F399" s="3">
        <f t="shared" ca="1" si="6"/>
        <v>46087</v>
      </c>
    </row>
    <row r="400" spans="1:6" x14ac:dyDescent="0.3">
      <c r="A400" t="str">
        <f>PARAMS_MODELO!$B$3</f>
        <v>2025-Q3</v>
      </c>
      <c r="B400">
        <f>CALCULOS_AGENCIA!$A400</f>
        <v>51020316</v>
      </c>
      <c r="C400">
        <f>CALCULOS_AGENCIA!$U400</f>
        <v>98.36540012904193</v>
      </c>
      <c r="D400" t="str">
        <f>CALCULOS_AGENCIA!$V400</f>
        <v>DIAMANTE</v>
      </c>
      <c r="E400">
        <f>CALCULOS_AGENCIA!$AA400</f>
        <v>31</v>
      </c>
      <c r="F400" s="3">
        <f t="shared" ca="1" si="6"/>
        <v>46087</v>
      </c>
    </row>
    <row r="401" spans="1:6" x14ac:dyDescent="0.3">
      <c r="A401" t="str">
        <f>PARAMS_MODELO!$B$3</f>
        <v>2025-Q3</v>
      </c>
      <c r="B401">
        <f>CALCULOS_AGENCIA!$A401</f>
        <v>51055675</v>
      </c>
      <c r="C401">
        <f>CALCULOS_AGENCIA!$U401</f>
        <v>88.221679905689001</v>
      </c>
      <c r="D401" t="str">
        <f>CALCULOS_AGENCIA!$V401</f>
        <v>PLATINO</v>
      </c>
      <c r="E401">
        <f>CALCULOS_AGENCIA!$AA401</f>
        <v>191</v>
      </c>
      <c r="F401" s="3">
        <f t="shared" ca="1" si="6"/>
        <v>46087</v>
      </c>
    </row>
    <row r="402" spans="1:6" x14ac:dyDescent="0.3">
      <c r="A402" t="str">
        <f>PARAMS_MODELO!$B$3</f>
        <v>2025-Q3</v>
      </c>
      <c r="B402">
        <f>CALCULOS_AGENCIA!$A402</f>
        <v>51012577</v>
      </c>
      <c r="C402">
        <f>CALCULOS_AGENCIA!$U402</f>
        <v>98.34685560352591</v>
      </c>
      <c r="D402" t="str">
        <f>CALCULOS_AGENCIA!$V402</f>
        <v>DIAMANTE</v>
      </c>
      <c r="E402">
        <f>CALCULOS_AGENCIA!$AA402</f>
        <v>33</v>
      </c>
      <c r="F402" s="3">
        <f t="shared" ca="1" si="6"/>
        <v>46087</v>
      </c>
    </row>
    <row r="403" spans="1:6" x14ac:dyDescent="0.3">
      <c r="A403" t="str">
        <f>PARAMS_MODELO!$B$3</f>
        <v>2025-Q3</v>
      </c>
      <c r="B403">
        <f>CALCULOS_AGENCIA!$A403</f>
        <v>51017706</v>
      </c>
      <c r="C403">
        <f>CALCULOS_AGENCIA!$U403</f>
        <v>97.251970468244394</v>
      </c>
      <c r="D403" t="str">
        <f>CALCULOS_AGENCIA!$V403</f>
        <v>DIAMANTE</v>
      </c>
      <c r="E403">
        <f>CALCULOS_AGENCIA!$AA403</f>
        <v>45</v>
      </c>
      <c r="F403" s="3">
        <f t="shared" ca="1" si="6"/>
        <v>46087</v>
      </c>
    </row>
    <row r="404" spans="1:6" x14ac:dyDescent="0.3">
      <c r="A404" t="str">
        <f>PARAMS_MODELO!$B$3</f>
        <v>2025-Q3</v>
      </c>
      <c r="B404">
        <f>CALCULOS_AGENCIA!$A404</f>
        <v>51011236</v>
      </c>
      <c r="C404">
        <f>CALCULOS_AGENCIA!$U404</f>
        <v>74.21103911791046</v>
      </c>
      <c r="D404" t="str">
        <f>CALCULOS_AGENCIA!$V404</f>
        <v>ORO</v>
      </c>
      <c r="E404">
        <f>CALCULOS_AGENCIA!$AA404</f>
        <v>479</v>
      </c>
      <c r="F404" s="3">
        <f t="shared" ca="1" si="6"/>
        <v>46087</v>
      </c>
    </row>
    <row r="405" spans="1:6" x14ac:dyDescent="0.3">
      <c r="A405" t="str">
        <f>PARAMS_MODELO!$B$3</f>
        <v>2025-Q3</v>
      </c>
      <c r="B405">
        <f>CALCULOS_AGENCIA!$A405</f>
        <v>51030524</v>
      </c>
      <c r="C405">
        <f>CALCULOS_AGENCIA!$U405</f>
        <v>26.788030373755145</v>
      </c>
      <c r="D405" t="str">
        <f>CALCULOS_AGENCIA!$V405</f>
        <v>PLATA</v>
      </c>
      <c r="E405">
        <f>CALCULOS_AGENCIA!$AA405</f>
        <v>900</v>
      </c>
      <c r="F405" s="3">
        <f t="shared" ca="1" si="6"/>
        <v>46087</v>
      </c>
    </row>
    <row r="406" spans="1:6" x14ac:dyDescent="0.3">
      <c r="A406" t="str">
        <f>PARAMS_MODELO!$B$3</f>
        <v>2025-Q3</v>
      </c>
      <c r="B406">
        <f>CALCULOS_AGENCIA!$A406</f>
        <v>51003365</v>
      </c>
      <c r="C406">
        <f>CALCULOS_AGENCIA!$U406</f>
        <v>86.813282527430587</v>
      </c>
      <c r="D406" t="str">
        <f>CALCULOS_AGENCIA!$V406</f>
        <v>PLATINO</v>
      </c>
      <c r="E406">
        <f>CALCULOS_AGENCIA!$AA406</f>
        <v>228</v>
      </c>
      <c r="F406" s="3">
        <f t="shared" ca="1" si="6"/>
        <v>46087</v>
      </c>
    </row>
    <row r="407" spans="1:6" x14ac:dyDescent="0.3">
      <c r="A407" t="str">
        <f>PARAMS_MODELO!$B$3</f>
        <v>2025-Q3</v>
      </c>
      <c r="B407">
        <f>CALCULOS_AGENCIA!$A407</f>
        <v>51031989</v>
      </c>
      <c r="C407">
        <f>CALCULOS_AGENCIA!$U407</f>
        <v>61.96356676990235</v>
      </c>
      <c r="D407" t="str">
        <f>CALCULOS_AGENCIA!$V407</f>
        <v>PLATA</v>
      </c>
      <c r="E407">
        <f>CALCULOS_AGENCIA!$AA407</f>
        <v>580</v>
      </c>
      <c r="F407" s="3">
        <f t="shared" ca="1" si="6"/>
        <v>46087</v>
      </c>
    </row>
    <row r="408" spans="1:6" x14ac:dyDescent="0.3">
      <c r="A408" t="str">
        <f>PARAMS_MODELO!$B$3</f>
        <v>2025-Q3</v>
      </c>
      <c r="B408">
        <f>CALCULOS_AGENCIA!$A408</f>
        <v>51010922</v>
      </c>
      <c r="C408">
        <f>CALCULOS_AGENCIA!$U408</f>
        <v>56.617138173057022</v>
      </c>
      <c r="D408" t="str">
        <f>CALCULOS_AGENCIA!$V408</f>
        <v>PLATA</v>
      </c>
      <c r="E408">
        <f>CALCULOS_AGENCIA!$AA408</f>
        <v>690</v>
      </c>
      <c r="F408" s="3">
        <f t="shared" ca="1" si="6"/>
        <v>46087</v>
      </c>
    </row>
    <row r="409" spans="1:6" x14ac:dyDescent="0.3">
      <c r="A409" t="str">
        <f>PARAMS_MODELO!$B$3</f>
        <v>2025-Q3</v>
      </c>
      <c r="B409">
        <f>CALCULOS_AGENCIA!$A409</f>
        <v>51040031</v>
      </c>
      <c r="C409">
        <f>CALCULOS_AGENCIA!$U409</f>
        <v>90.27202464507873</v>
      </c>
      <c r="D409" t="str">
        <f>CALCULOS_AGENCIA!$V409</f>
        <v>PLATINO</v>
      </c>
      <c r="E409">
        <f>CALCULOS_AGENCIA!$AA409</f>
        <v>131</v>
      </c>
      <c r="F409" s="3">
        <f t="shared" ca="1" si="6"/>
        <v>46087</v>
      </c>
    </row>
    <row r="410" spans="1:6" x14ac:dyDescent="0.3">
      <c r="A410" t="str">
        <f>PARAMS_MODELO!$B$3</f>
        <v>2025-Q3</v>
      </c>
      <c r="B410">
        <f>CALCULOS_AGENCIA!$A410</f>
        <v>51027108</v>
      </c>
      <c r="C410">
        <f>CALCULOS_AGENCIA!$U410</f>
        <v>88.467417656599849</v>
      </c>
      <c r="D410" t="str">
        <f>CALCULOS_AGENCIA!$V410</f>
        <v>PLATINO</v>
      </c>
      <c r="E410">
        <f>CALCULOS_AGENCIA!$AA410</f>
        <v>185</v>
      </c>
      <c r="F410" s="3">
        <f t="shared" ca="1" si="6"/>
        <v>46087</v>
      </c>
    </row>
    <row r="411" spans="1:6" x14ac:dyDescent="0.3">
      <c r="A411" t="str">
        <f>PARAMS_MODELO!$B$3</f>
        <v>2025-Q3</v>
      </c>
      <c r="B411">
        <f>CALCULOS_AGENCIA!$A411</f>
        <v>51022971</v>
      </c>
      <c r="C411">
        <f>CALCULOS_AGENCIA!$U411</f>
        <v>82.993434160660698</v>
      </c>
      <c r="D411" t="str">
        <f>CALCULOS_AGENCIA!$V411</f>
        <v>ORO</v>
      </c>
      <c r="E411">
        <f>CALCULOS_AGENCIA!$AA411</f>
        <v>354</v>
      </c>
      <c r="F411" s="3">
        <f t="shared" ca="1" si="6"/>
        <v>46087</v>
      </c>
    </row>
    <row r="412" spans="1:6" x14ac:dyDescent="0.3">
      <c r="A412" t="str">
        <f>PARAMS_MODELO!$B$3</f>
        <v>2025-Q3</v>
      </c>
      <c r="B412">
        <f>CALCULOS_AGENCIA!$A412</f>
        <v>51023005</v>
      </c>
      <c r="C412">
        <f>CALCULOS_AGENCIA!$U412</f>
        <v>92.319157613792001</v>
      </c>
      <c r="D412" t="str">
        <f>CALCULOS_AGENCIA!$V412</f>
        <v>PLATINO</v>
      </c>
      <c r="E412">
        <f>CALCULOS_AGENCIA!$AA412</f>
        <v>101</v>
      </c>
      <c r="F412" s="3">
        <f t="shared" ca="1" si="6"/>
        <v>46087</v>
      </c>
    </row>
    <row r="413" spans="1:6" x14ac:dyDescent="0.3">
      <c r="A413" t="str">
        <f>PARAMS_MODELO!$B$3</f>
        <v>2025-Q3</v>
      </c>
      <c r="B413">
        <f>CALCULOS_AGENCIA!$A413</f>
        <v>51002610</v>
      </c>
      <c r="C413">
        <f>CALCULOS_AGENCIA!$U413</f>
        <v>84.411702275828034</v>
      </c>
      <c r="D413" t="str">
        <f>CALCULOS_AGENCIA!$V413</f>
        <v>ORO</v>
      </c>
      <c r="E413">
        <f>CALCULOS_AGENCIA!$AA413</f>
        <v>303</v>
      </c>
      <c r="F413" s="3">
        <f t="shared" ca="1" si="6"/>
        <v>46087</v>
      </c>
    </row>
    <row r="414" spans="1:6" x14ac:dyDescent="0.3">
      <c r="A414" t="str">
        <f>PARAMS_MODELO!$B$3</f>
        <v>2025-Q3</v>
      </c>
      <c r="B414">
        <f>CALCULOS_AGENCIA!$A414</f>
        <v>51056116</v>
      </c>
      <c r="C414">
        <f>CALCULOS_AGENCIA!$U414</f>
        <v>98.64075506704414</v>
      </c>
      <c r="D414" t="str">
        <f>CALCULOS_AGENCIA!$V414</f>
        <v>DIAMANTE</v>
      </c>
      <c r="E414">
        <f>CALCULOS_AGENCIA!$AA414</f>
        <v>28</v>
      </c>
      <c r="F414" s="3">
        <f t="shared" ca="1" si="6"/>
        <v>46087</v>
      </c>
    </row>
    <row r="415" spans="1:6" x14ac:dyDescent="0.3">
      <c r="A415" t="str">
        <f>PARAMS_MODELO!$B$3</f>
        <v>2025-Q3</v>
      </c>
      <c r="B415">
        <f>CALCULOS_AGENCIA!$A415</f>
        <v>51020979</v>
      </c>
      <c r="C415">
        <f>CALCULOS_AGENCIA!$U415</f>
        <v>62.131481293109324</v>
      </c>
      <c r="D415" t="str">
        <f>CALCULOS_AGENCIA!$V415</f>
        <v>PLATA</v>
      </c>
      <c r="E415">
        <f>CALCULOS_AGENCIA!$AA415</f>
        <v>577</v>
      </c>
      <c r="F415" s="3">
        <f t="shared" ca="1" si="6"/>
        <v>46087</v>
      </c>
    </row>
    <row r="416" spans="1:6" x14ac:dyDescent="0.3">
      <c r="A416" t="str">
        <f>PARAMS_MODELO!$B$3</f>
        <v>2025-Q3</v>
      </c>
      <c r="B416">
        <f>CALCULOS_AGENCIA!$A416</f>
        <v>51015207</v>
      </c>
      <c r="C416">
        <f>CALCULOS_AGENCIA!$U416</f>
        <v>71.171938776931427</v>
      </c>
      <c r="D416" t="str">
        <f>CALCULOS_AGENCIA!$V416</f>
        <v>ORO</v>
      </c>
      <c r="E416">
        <f>CALCULOS_AGENCIA!$AA416</f>
        <v>506</v>
      </c>
      <c r="F416" s="3">
        <f t="shared" ca="1" si="6"/>
        <v>46087</v>
      </c>
    </row>
    <row r="417" spans="1:6" x14ac:dyDescent="0.3">
      <c r="A417" t="str">
        <f>PARAMS_MODELO!$B$3</f>
        <v>2025-Q3</v>
      </c>
      <c r="B417">
        <f>CALCULOS_AGENCIA!$A417</f>
        <v>51007549</v>
      </c>
      <c r="C417">
        <f>CALCULOS_AGENCIA!$U417</f>
        <v>57.425202640866601</v>
      </c>
      <c r="D417" t="str">
        <f>CALCULOS_AGENCIA!$V417</f>
        <v>PLATA</v>
      </c>
      <c r="E417">
        <f>CALCULOS_AGENCIA!$AA417</f>
        <v>677</v>
      </c>
      <c r="F417" s="3">
        <f t="shared" ca="1" si="6"/>
        <v>46087</v>
      </c>
    </row>
    <row r="418" spans="1:6" x14ac:dyDescent="0.3">
      <c r="A418" t="str">
        <f>PARAMS_MODELO!$B$3</f>
        <v>2025-Q3</v>
      </c>
      <c r="B418">
        <f>CALCULOS_AGENCIA!$A418</f>
        <v>51032624</v>
      </c>
      <c r="C418">
        <f>CALCULOS_AGENCIA!$U418</f>
        <v>58.676062671375803</v>
      </c>
      <c r="D418" t="str">
        <f>CALCULOS_AGENCIA!$V418</f>
        <v>PLATA</v>
      </c>
      <c r="E418">
        <f>CALCULOS_AGENCIA!$AA418</f>
        <v>641</v>
      </c>
      <c r="F418" s="3">
        <f t="shared" ca="1" si="6"/>
        <v>46087</v>
      </c>
    </row>
    <row r="419" spans="1:6" x14ac:dyDescent="0.3">
      <c r="A419" t="str">
        <f>PARAMS_MODELO!$B$3</f>
        <v>2025-Q3</v>
      </c>
      <c r="B419">
        <f>CALCULOS_AGENCIA!$A419</f>
        <v>51002555</v>
      </c>
      <c r="C419">
        <f>CALCULOS_AGENCIA!$U419</f>
        <v>95.613126419688683</v>
      </c>
      <c r="D419" t="str">
        <f>CALCULOS_AGENCIA!$V419</f>
        <v>PLATINO</v>
      </c>
      <c r="E419">
        <f>CALCULOS_AGENCIA!$AA419</f>
        <v>64</v>
      </c>
      <c r="F419" s="3">
        <f t="shared" ca="1" si="6"/>
        <v>46087</v>
      </c>
    </row>
    <row r="420" spans="1:6" x14ac:dyDescent="0.3">
      <c r="A420" t="str">
        <f>PARAMS_MODELO!$B$3</f>
        <v>2025-Q3</v>
      </c>
      <c r="B420">
        <f>CALCULOS_AGENCIA!$A420</f>
        <v>51029879</v>
      </c>
      <c r="C420">
        <f>CALCULOS_AGENCIA!$U420</f>
        <v>74.307055981680676</v>
      </c>
      <c r="D420" t="str">
        <f>CALCULOS_AGENCIA!$V420</f>
        <v>ORO</v>
      </c>
      <c r="E420">
        <f>CALCULOS_AGENCIA!$AA420</f>
        <v>478</v>
      </c>
      <c r="F420" s="3">
        <f t="shared" ca="1" si="6"/>
        <v>46087</v>
      </c>
    </row>
    <row r="421" spans="1:6" x14ac:dyDescent="0.3">
      <c r="A421" t="str">
        <f>PARAMS_MODELO!$B$3</f>
        <v>2025-Q3</v>
      </c>
      <c r="B421">
        <f>CALCULOS_AGENCIA!$A421</f>
        <v>51011147</v>
      </c>
      <c r="C421">
        <f>CALCULOS_AGENCIA!$U421</f>
        <v>35.236164466984121</v>
      </c>
      <c r="D421" t="str">
        <f>CALCULOS_AGENCIA!$V421</f>
        <v>PLATA</v>
      </c>
      <c r="E421">
        <f>CALCULOS_AGENCIA!$AA421</f>
        <v>805</v>
      </c>
      <c r="F421" s="3">
        <f t="shared" ca="1" si="6"/>
        <v>46087</v>
      </c>
    </row>
    <row r="422" spans="1:6" x14ac:dyDescent="0.3">
      <c r="A422" t="str">
        <f>PARAMS_MODELO!$B$3</f>
        <v>2025-Q3</v>
      </c>
      <c r="B422">
        <f>CALCULOS_AGENCIA!$A422</f>
        <v>51030427</v>
      </c>
      <c r="C422">
        <f>CALCULOS_AGENCIA!$U422</f>
        <v>100</v>
      </c>
      <c r="D422" t="str">
        <f>CALCULOS_AGENCIA!$V422</f>
        <v>DIAMANTE</v>
      </c>
      <c r="E422">
        <f>CALCULOS_AGENCIA!$AA422</f>
        <v>1</v>
      </c>
      <c r="F422" s="3">
        <f t="shared" ca="1" si="6"/>
        <v>46087</v>
      </c>
    </row>
    <row r="423" spans="1:6" x14ac:dyDescent="0.3">
      <c r="A423" t="str">
        <f>PARAMS_MODELO!$B$3</f>
        <v>2025-Q3</v>
      </c>
      <c r="B423">
        <f>CALCULOS_AGENCIA!$A423</f>
        <v>51032675</v>
      </c>
      <c r="C423">
        <f>CALCULOS_AGENCIA!$U423</f>
        <v>81.842719560585451</v>
      </c>
      <c r="D423" t="str">
        <f>CALCULOS_AGENCIA!$V423</f>
        <v>ORO</v>
      </c>
      <c r="E423">
        <f>CALCULOS_AGENCIA!$AA423</f>
        <v>389</v>
      </c>
      <c r="F423" s="3">
        <f t="shared" ca="1" si="6"/>
        <v>46087</v>
      </c>
    </row>
    <row r="424" spans="1:6" x14ac:dyDescent="0.3">
      <c r="A424" t="str">
        <f>PARAMS_MODELO!$B$3</f>
        <v>2025-Q3</v>
      </c>
      <c r="B424">
        <f>CALCULOS_AGENCIA!$A424</f>
        <v>51042921</v>
      </c>
      <c r="C424">
        <f>CALCULOS_AGENCIA!$U424</f>
        <v>79.420548777673119</v>
      </c>
      <c r="D424" t="str">
        <f>CALCULOS_AGENCIA!$V424</f>
        <v>ORO</v>
      </c>
      <c r="E424">
        <f>CALCULOS_AGENCIA!$AA424</f>
        <v>447</v>
      </c>
      <c r="F424" s="3">
        <f t="shared" ca="1" si="6"/>
        <v>46087</v>
      </c>
    </row>
    <row r="425" spans="1:6" x14ac:dyDescent="0.3">
      <c r="A425" t="str">
        <f>PARAMS_MODELO!$B$3</f>
        <v>2025-Q3</v>
      </c>
      <c r="B425">
        <f>CALCULOS_AGENCIA!$A425</f>
        <v>51056272</v>
      </c>
      <c r="C425">
        <f>CALCULOS_AGENCIA!$U425</f>
        <v>63.617779466897694</v>
      </c>
      <c r="D425" t="str">
        <f>CALCULOS_AGENCIA!$V425</f>
        <v>ORO</v>
      </c>
      <c r="E425">
        <f>CALCULOS_AGENCIA!$AA425</f>
        <v>553</v>
      </c>
      <c r="F425" s="3">
        <f t="shared" ca="1" si="6"/>
        <v>46087</v>
      </c>
    </row>
    <row r="426" spans="1:6" x14ac:dyDescent="0.3">
      <c r="A426" t="str">
        <f>PARAMS_MODELO!$B$3</f>
        <v>2025-Q3</v>
      </c>
      <c r="B426">
        <f>CALCULOS_AGENCIA!$A426</f>
        <v>51007883</v>
      </c>
      <c r="C426">
        <f>CALCULOS_AGENCIA!$U426</f>
        <v>70.235819594041843</v>
      </c>
      <c r="D426" t="str">
        <f>CALCULOS_AGENCIA!$V426</f>
        <v>ORO</v>
      </c>
      <c r="E426">
        <f>CALCULOS_AGENCIA!$AA426</f>
        <v>511</v>
      </c>
      <c r="F426" s="3">
        <f t="shared" ca="1" si="6"/>
        <v>46087</v>
      </c>
    </row>
    <row r="427" spans="1:6" x14ac:dyDescent="0.3">
      <c r="A427" t="str">
        <f>PARAMS_MODELO!$B$3</f>
        <v>2025-Q3</v>
      </c>
      <c r="B427">
        <f>CALCULOS_AGENCIA!$A427</f>
        <v>51030010</v>
      </c>
      <c r="C427">
        <f>CALCULOS_AGENCIA!$U427</f>
        <v>96.027377396561491</v>
      </c>
      <c r="D427" t="str">
        <f>CALCULOS_AGENCIA!$V427</f>
        <v>PLATINO</v>
      </c>
      <c r="E427">
        <f>CALCULOS_AGENCIA!$AA427</f>
        <v>61</v>
      </c>
      <c r="F427" s="3">
        <f t="shared" ca="1" si="6"/>
        <v>46087</v>
      </c>
    </row>
    <row r="428" spans="1:6" x14ac:dyDescent="0.3">
      <c r="A428" t="str">
        <f>PARAMS_MODELO!$B$3</f>
        <v>2025-Q3</v>
      </c>
      <c r="B428">
        <f>CALCULOS_AGENCIA!$A428</f>
        <v>51056124</v>
      </c>
      <c r="C428">
        <f>CALCULOS_AGENCIA!$U428</f>
        <v>85.306720981054951</v>
      </c>
      <c r="D428" t="str">
        <f>CALCULOS_AGENCIA!$V428</f>
        <v>ORO</v>
      </c>
      <c r="E428">
        <f>CALCULOS_AGENCIA!$AA428</f>
        <v>275</v>
      </c>
      <c r="F428" s="3">
        <f t="shared" ca="1" si="6"/>
        <v>46087</v>
      </c>
    </row>
    <row r="429" spans="1:6" x14ac:dyDescent="0.3">
      <c r="A429" t="str">
        <f>PARAMS_MODELO!$B$3</f>
        <v>2025-Q3</v>
      </c>
      <c r="B429">
        <f>CALCULOS_AGENCIA!$A429</f>
        <v>51043758</v>
      </c>
      <c r="C429">
        <f>CALCULOS_AGENCIA!$U429</f>
        <v>84.058209616385568</v>
      </c>
      <c r="D429" t="str">
        <f>CALCULOS_AGENCIA!$V429</f>
        <v>ORO</v>
      </c>
      <c r="E429">
        <f>CALCULOS_AGENCIA!$AA429</f>
        <v>319</v>
      </c>
      <c r="F429" s="3">
        <f t="shared" ca="1" si="6"/>
        <v>46087</v>
      </c>
    </row>
    <row r="430" spans="1:6" x14ac:dyDescent="0.3">
      <c r="A430" t="str">
        <f>PARAMS_MODELO!$B$3</f>
        <v>2025-Q3</v>
      </c>
      <c r="B430">
        <f>CALCULOS_AGENCIA!$A430</f>
        <v>51055039</v>
      </c>
      <c r="C430">
        <f>CALCULOS_AGENCIA!$U430</f>
        <v>37.111693171184406</v>
      </c>
      <c r="D430" t="str">
        <f>CALCULOS_AGENCIA!$V430</f>
        <v>PLATA</v>
      </c>
      <c r="E430">
        <f>CALCULOS_AGENCIA!$AA430</f>
        <v>799</v>
      </c>
      <c r="F430" s="3">
        <f t="shared" ca="1" si="6"/>
        <v>46087</v>
      </c>
    </row>
    <row r="431" spans="1:6" x14ac:dyDescent="0.3">
      <c r="A431" t="str">
        <f>PARAMS_MODELO!$B$3</f>
        <v>2025-Q3</v>
      </c>
      <c r="B431">
        <f>CALCULOS_AGENCIA!$A431</f>
        <v>51056582</v>
      </c>
      <c r="C431">
        <f>CALCULOS_AGENCIA!$U431</f>
        <v>82.490547873271836</v>
      </c>
      <c r="D431" t="str">
        <f>CALCULOS_AGENCIA!$V431</f>
        <v>ORO</v>
      </c>
      <c r="E431">
        <f>CALCULOS_AGENCIA!$AA431</f>
        <v>374</v>
      </c>
      <c r="F431" s="3">
        <f t="shared" ca="1" si="6"/>
        <v>46087</v>
      </c>
    </row>
    <row r="432" spans="1:6" x14ac:dyDescent="0.3">
      <c r="A432" t="str">
        <f>PARAMS_MODELO!$B$3</f>
        <v>2025-Q3</v>
      </c>
      <c r="B432">
        <f>CALCULOS_AGENCIA!$A432</f>
        <v>51021321</v>
      </c>
      <c r="C432">
        <f>CALCULOS_AGENCIA!$U432</f>
        <v>89.489757755141667</v>
      </c>
      <c r="D432" t="str">
        <f>CALCULOS_AGENCIA!$V432</f>
        <v>PLATINO</v>
      </c>
      <c r="E432">
        <f>CALCULOS_AGENCIA!$AA432</f>
        <v>150</v>
      </c>
      <c r="F432" s="3">
        <f t="shared" ca="1" si="6"/>
        <v>46087</v>
      </c>
    </row>
    <row r="433" spans="1:6" x14ac:dyDescent="0.3">
      <c r="A433" t="str">
        <f>PARAMS_MODELO!$B$3</f>
        <v>2025-Q3</v>
      </c>
      <c r="B433">
        <f>CALCULOS_AGENCIA!$A433</f>
        <v>51055322</v>
      </c>
      <c r="C433">
        <f>CALCULOS_AGENCIA!$U433</f>
        <v>81.638229926089437</v>
      </c>
      <c r="D433" t="str">
        <f>CALCULOS_AGENCIA!$V433</f>
        <v>ORO</v>
      </c>
      <c r="E433">
        <f>CALCULOS_AGENCIA!$AA433</f>
        <v>394</v>
      </c>
      <c r="F433" s="3">
        <f t="shared" ca="1" si="6"/>
        <v>46087</v>
      </c>
    </row>
    <row r="434" spans="1:6" x14ac:dyDescent="0.3">
      <c r="A434" t="str">
        <f>PARAMS_MODELO!$B$3</f>
        <v>2025-Q3</v>
      </c>
      <c r="B434">
        <f>CALCULOS_AGENCIA!$A434</f>
        <v>51010027</v>
      </c>
      <c r="C434">
        <f>CALCULOS_AGENCIA!$U434</f>
        <v>28.283670966151004</v>
      </c>
      <c r="D434" t="str">
        <f>CALCULOS_AGENCIA!$V434</f>
        <v>PLATA</v>
      </c>
      <c r="E434">
        <f>CALCULOS_AGENCIA!$AA434</f>
        <v>884</v>
      </c>
      <c r="F434" s="3">
        <f t="shared" ca="1" si="6"/>
        <v>46087</v>
      </c>
    </row>
    <row r="435" spans="1:6" x14ac:dyDescent="0.3">
      <c r="A435" t="str">
        <f>PARAMS_MODELO!$B$3</f>
        <v>2025-Q3</v>
      </c>
      <c r="B435">
        <f>CALCULOS_AGENCIA!$A435</f>
        <v>51011295</v>
      </c>
      <c r="C435">
        <f>CALCULOS_AGENCIA!$U435</f>
        <v>89.785551424585577</v>
      </c>
      <c r="D435" t="str">
        <f>CALCULOS_AGENCIA!$V435</f>
        <v>PLATINO</v>
      </c>
      <c r="E435">
        <f>CALCULOS_AGENCIA!$AA435</f>
        <v>140</v>
      </c>
      <c r="F435" s="3">
        <f t="shared" ca="1" si="6"/>
        <v>46087</v>
      </c>
    </row>
    <row r="436" spans="1:6" x14ac:dyDescent="0.3">
      <c r="A436" t="str">
        <f>PARAMS_MODELO!$B$3</f>
        <v>2025-Q3</v>
      </c>
      <c r="B436">
        <f>CALCULOS_AGENCIA!$A436</f>
        <v>51017145</v>
      </c>
      <c r="C436">
        <f>CALCULOS_AGENCIA!$U436</f>
        <v>61.691802079793824</v>
      </c>
      <c r="D436" t="str">
        <f>CALCULOS_AGENCIA!$V436</f>
        <v>PLATA</v>
      </c>
      <c r="E436">
        <f>CALCULOS_AGENCIA!$AA436</f>
        <v>587</v>
      </c>
      <c r="F436" s="3">
        <f t="shared" ca="1" si="6"/>
        <v>46087</v>
      </c>
    </row>
    <row r="437" spans="1:6" x14ac:dyDescent="0.3">
      <c r="A437" t="str">
        <f>PARAMS_MODELO!$B$3</f>
        <v>2025-Q3</v>
      </c>
      <c r="B437">
        <f>CALCULOS_AGENCIA!$A437</f>
        <v>51055888</v>
      </c>
      <c r="C437">
        <f>CALCULOS_AGENCIA!$U437</f>
        <v>34.435713788871759</v>
      </c>
      <c r="D437" t="str">
        <f>CALCULOS_AGENCIA!$V437</f>
        <v>PLATA</v>
      </c>
      <c r="E437">
        <f>CALCULOS_AGENCIA!$AA437</f>
        <v>810</v>
      </c>
      <c r="F437" s="3">
        <f t="shared" ca="1" si="6"/>
        <v>46087</v>
      </c>
    </row>
    <row r="438" spans="1:6" x14ac:dyDescent="0.3">
      <c r="A438" t="str">
        <f>PARAMS_MODELO!$B$3</f>
        <v>2025-Q3</v>
      </c>
      <c r="B438">
        <f>CALCULOS_AGENCIA!$A438</f>
        <v>51031881</v>
      </c>
      <c r="C438">
        <f>CALCULOS_AGENCIA!$U438</f>
        <v>88.657141178231683</v>
      </c>
      <c r="D438" t="str">
        <f>CALCULOS_AGENCIA!$V438</f>
        <v>PLATINO</v>
      </c>
      <c r="E438">
        <f>CALCULOS_AGENCIA!$AA438</f>
        <v>178</v>
      </c>
      <c r="F438" s="3">
        <f t="shared" ca="1" si="6"/>
        <v>46087</v>
      </c>
    </row>
    <row r="439" spans="1:6" x14ac:dyDescent="0.3">
      <c r="A439" t="str">
        <f>PARAMS_MODELO!$B$3</f>
        <v>2025-Q3</v>
      </c>
      <c r="B439">
        <f>CALCULOS_AGENCIA!$A439</f>
        <v>51010060</v>
      </c>
      <c r="C439">
        <f>CALCULOS_AGENCIA!$U439</f>
        <v>91.800167317083819</v>
      </c>
      <c r="D439" t="str">
        <f>CALCULOS_AGENCIA!$V439</f>
        <v>PLATINO</v>
      </c>
      <c r="E439">
        <f>CALCULOS_AGENCIA!$AA439</f>
        <v>108</v>
      </c>
      <c r="F439" s="3">
        <f t="shared" ca="1" si="6"/>
        <v>46087</v>
      </c>
    </row>
    <row r="440" spans="1:6" x14ac:dyDescent="0.3">
      <c r="A440" t="str">
        <f>PARAMS_MODELO!$B$3</f>
        <v>2025-Q3</v>
      </c>
      <c r="B440">
        <f>CALCULOS_AGENCIA!$A440</f>
        <v>51056400</v>
      </c>
      <c r="C440">
        <f>CALCULOS_AGENCIA!$U440</f>
        <v>95.601730661687327</v>
      </c>
      <c r="D440" t="str">
        <f>CALCULOS_AGENCIA!$V440</f>
        <v>PLATINO</v>
      </c>
      <c r="E440">
        <f>CALCULOS_AGENCIA!$AA440</f>
        <v>65</v>
      </c>
      <c r="F440" s="3">
        <f t="shared" ca="1" si="6"/>
        <v>46087</v>
      </c>
    </row>
    <row r="441" spans="1:6" x14ac:dyDescent="0.3">
      <c r="A441" t="str">
        <f>PARAMS_MODELO!$B$3</f>
        <v>2025-Q3</v>
      </c>
      <c r="B441">
        <f>CALCULOS_AGENCIA!$A441</f>
        <v>51056531</v>
      </c>
      <c r="C441">
        <f>CALCULOS_AGENCIA!$U441</f>
        <v>98.316775013793517</v>
      </c>
      <c r="D441" t="str">
        <f>CALCULOS_AGENCIA!$V441</f>
        <v>DIAMANTE</v>
      </c>
      <c r="E441">
        <f>CALCULOS_AGENCIA!$AA441</f>
        <v>34</v>
      </c>
      <c r="F441" s="3">
        <f t="shared" ca="1" si="6"/>
        <v>46087</v>
      </c>
    </row>
    <row r="442" spans="1:6" x14ac:dyDescent="0.3">
      <c r="A442" t="str">
        <f>PARAMS_MODELO!$B$3</f>
        <v>2025-Q3</v>
      </c>
      <c r="B442">
        <f>CALCULOS_AGENCIA!$A442</f>
        <v>51011643</v>
      </c>
      <c r="C442">
        <f>CALCULOS_AGENCIA!$U442</f>
        <v>73.157480597431828</v>
      </c>
      <c r="D442" t="str">
        <f>CALCULOS_AGENCIA!$V442</f>
        <v>ORO</v>
      </c>
      <c r="E442">
        <f>CALCULOS_AGENCIA!$AA442</f>
        <v>489</v>
      </c>
      <c r="F442" s="3">
        <f t="shared" ca="1" si="6"/>
        <v>46087</v>
      </c>
    </row>
    <row r="443" spans="1:6" x14ac:dyDescent="0.3">
      <c r="A443" t="str">
        <f>PARAMS_MODELO!$B$3</f>
        <v>2025-Q3</v>
      </c>
      <c r="B443">
        <f>CALCULOS_AGENCIA!$A443</f>
        <v>51016742</v>
      </c>
      <c r="C443">
        <f>CALCULOS_AGENCIA!$U443</f>
        <v>57.370775012691745</v>
      </c>
      <c r="D443" t="str">
        <f>CALCULOS_AGENCIA!$V443</f>
        <v>PLATA</v>
      </c>
      <c r="E443">
        <f>CALCULOS_AGENCIA!$AA443</f>
        <v>678</v>
      </c>
      <c r="F443" s="3">
        <f t="shared" ca="1" si="6"/>
        <v>46087</v>
      </c>
    </row>
    <row r="444" spans="1:6" x14ac:dyDescent="0.3">
      <c r="A444" t="str">
        <f>PARAMS_MODELO!$B$3</f>
        <v>2025-Q3</v>
      </c>
      <c r="B444">
        <f>CALCULOS_AGENCIA!$A444</f>
        <v>51010990</v>
      </c>
      <c r="C444">
        <f>CALCULOS_AGENCIA!$U444</f>
        <v>83.749080887092759</v>
      </c>
      <c r="D444" t="str">
        <f>CALCULOS_AGENCIA!$V444</f>
        <v>ORO</v>
      </c>
      <c r="E444">
        <f>CALCULOS_AGENCIA!$AA444</f>
        <v>328</v>
      </c>
      <c r="F444" s="3">
        <f t="shared" ca="1" si="6"/>
        <v>46087</v>
      </c>
    </row>
    <row r="445" spans="1:6" x14ac:dyDescent="0.3">
      <c r="A445" t="str">
        <f>PARAMS_MODELO!$B$3</f>
        <v>2025-Q3</v>
      </c>
      <c r="B445">
        <f>CALCULOS_AGENCIA!$A445</f>
        <v>51039998</v>
      </c>
      <c r="C445">
        <f>CALCULOS_AGENCIA!$U445</f>
        <v>26.128170192647875</v>
      </c>
      <c r="D445" t="str">
        <f>CALCULOS_AGENCIA!$V445</f>
        <v>PLATA</v>
      </c>
      <c r="E445">
        <f>CALCULOS_AGENCIA!$AA445</f>
        <v>907</v>
      </c>
      <c r="F445" s="3">
        <f t="shared" ca="1" si="6"/>
        <v>46087</v>
      </c>
    </row>
    <row r="446" spans="1:6" x14ac:dyDescent="0.3">
      <c r="A446" t="str">
        <f>PARAMS_MODELO!$B$3</f>
        <v>2025-Q3</v>
      </c>
      <c r="B446">
        <f>CALCULOS_AGENCIA!$A446</f>
        <v>51056736</v>
      </c>
      <c r="C446">
        <f>CALCULOS_AGENCIA!$U446</f>
        <v>57.68828530796803</v>
      </c>
      <c r="D446" t="str">
        <f>CALCULOS_AGENCIA!$V446</f>
        <v>PLATA</v>
      </c>
      <c r="E446">
        <f>CALCULOS_AGENCIA!$AA446</f>
        <v>671</v>
      </c>
      <c r="F446" s="3">
        <f t="shared" ca="1" si="6"/>
        <v>46087</v>
      </c>
    </row>
    <row r="447" spans="1:6" x14ac:dyDescent="0.3">
      <c r="A447" t="str">
        <f>PARAMS_MODELO!$B$3</f>
        <v>2025-Q3</v>
      </c>
      <c r="B447">
        <f>CALCULOS_AGENCIA!$A447</f>
        <v>51044436</v>
      </c>
      <c r="C447">
        <f>CALCULOS_AGENCIA!$U447</f>
        <v>58.13442128890194</v>
      </c>
      <c r="D447" t="str">
        <f>CALCULOS_AGENCIA!$V447</f>
        <v>PLATA</v>
      </c>
      <c r="E447">
        <f>CALCULOS_AGENCIA!$AA447</f>
        <v>656</v>
      </c>
      <c r="F447" s="3">
        <f t="shared" ca="1" si="6"/>
        <v>46087</v>
      </c>
    </row>
    <row r="448" spans="1:6" x14ac:dyDescent="0.3">
      <c r="A448" t="str">
        <f>PARAMS_MODELO!$B$3</f>
        <v>2025-Q3</v>
      </c>
      <c r="B448">
        <f>CALCULOS_AGENCIA!$A448</f>
        <v>51017552</v>
      </c>
      <c r="C448">
        <f>CALCULOS_AGENCIA!$U448</f>
        <v>81.603593203562625</v>
      </c>
      <c r="D448" t="str">
        <f>CALCULOS_AGENCIA!$V448</f>
        <v>ORO</v>
      </c>
      <c r="E448">
        <f>CALCULOS_AGENCIA!$AA448</f>
        <v>398</v>
      </c>
      <c r="F448" s="3">
        <f t="shared" ca="1" si="6"/>
        <v>46087</v>
      </c>
    </row>
    <row r="449" spans="1:6" x14ac:dyDescent="0.3">
      <c r="A449" t="str">
        <f>PARAMS_MODELO!$B$3</f>
        <v>2025-Q3</v>
      </c>
      <c r="B449">
        <f>CALCULOS_AGENCIA!$A449</f>
        <v>51055276</v>
      </c>
      <c r="C449">
        <f>CALCULOS_AGENCIA!$U449</f>
        <v>69.671141882137505</v>
      </c>
      <c r="D449" t="str">
        <f>CALCULOS_AGENCIA!$V449</f>
        <v>ORO</v>
      </c>
      <c r="E449">
        <f>CALCULOS_AGENCIA!$AA449</f>
        <v>513</v>
      </c>
      <c r="F449" s="3">
        <f t="shared" ca="1" si="6"/>
        <v>46087</v>
      </c>
    </row>
    <row r="450" spans="1:6" x14ac:dyDescent="0.3">
      <c r="A450" t="str">
        <f>PARAMS_MODELO!$B$3</f>
        <v>2025-Q3</v>
      </c>
      <c r="B450">
        <f>CALCULOS_AGENCIA!$A450</f>
        <v>51020189</v>
      </c>
      <c r="C450">
        <f>CALCULOS_AGENCIA!$U450</f>
        <v>85.704247861668151</v>
      </c>
      <c r="D450" t="str">
        <f>CALCULOS_AGENCIA!$V450</f>
        <v>ORO</v>
      </c>
      <c r="E450">
        <f>CALCULOS_AGENCIA!$AA450</f>
        <v>262</v>
      </c>
      <c r="F450" s="3">
        <f t="shared" ref="F450:F513" ca="1" si="7">TODAY()</f>
        <v>46087</v>
      </c>
    </row>
    <row r="451" spans="1:6" x14ac:dyDescent="0.3">
      <c r="A451" t="str">
        <f>PARAMS_MODELO!$B$3</f>
        <v>2025-Q3</v>
      </c>
      <c r="B451">
        <f>CALCULOS_AGENCIA!$A451</f>
        <v>51041259</v>
      </c>
      <c r="C451">
        <f>CALCULOS_AGENCIA!$U451</f>
        <v>75.848994978239332</v>
      </c>
      <c r="D451" t="str">
        <f>CALCULOS_AGENCIA!$V451</f>
        <v>ORO</v>
      </c>
      <c r="E451">
        <f>CALCULOS_AGENCIA!$AA451</f>
        <v>466</v>
      </c>
      <c r="F451" s="3">
        <f t="shared" ca="1" si="7"/>
        <v>46087</v>
      </c>
    </row>
    <row r="452" spans="1:6" x14ac:dyDescent="0.3">
      <c r="A452" t="str">
        <f>PARAMS_MODELO!$B$3</f>
        <v>2025-Q3</v>
      </c>
      <c r="B452">
        <f>CALCULOS_AGENCIA!$A452</f>
        <v>51022751</v>
      </c>
      <c r="C452">
        <f>CALCULOS_AGENCIA!$U452</f>
        <v>64.255523907710554</v>
      </c>
      <c r="D452" t="str">
        <f>CALCULOS_AGENCIA!$V452</f>
        <v>ORO</v>
      </c>
      <c r="E452">
        <f>CALCULOS_AGENCIA!$AA452</f>
        <v>547</v>
      </c>
      <c r="F452" s="3">
        <f t="shared" ca="1" si="7"/>
        <v>46087</v>
      </c>
    </row>
    <row r="453" spans="1:6" x14ac:dyDescent="0.3">
      <c r="A453" t="str">
        <f>PARAMS_MODELO!$B$3</f>
        <v>2025-Q3</v>
      </c>
      <c r="B453">
        <f>CALCULOS_AGENCIA!$A453</f>
        <v>51016645</v>
      </c>
      <c r="C453">
        <f>CALCULOS_AGENCIA!$U453</f>
        <v>54.745291554521017</v>
      </c>
      <c r="D453" t="str">
        <f>CALCULOS_AGENCIA!$V453</f>
        <v>PLATA</v>
      </c>
      <c r="E453">
        <f>CALCULOS_AGENCIA!$AA453</f>
        <v>720</v>
      </c>
      <c r="F453" s="3">
        <f t="shared" ca="1" si="7"/>
        <v>46087</v>
      </c>
    </row>
    <row r="454" spans="1:6" x14ac:dyDescent="0.3">
      <c r="A454" t="str">
        <f>PARAMS_MODELO!$B$3</f>
        <v>2025-Q3</v>
      </c>
      <c r="B454">
        <f>CALCULOS_AGENCIA!$A454</f>
        <v>51011155</v>
      </c>
      <c r="C454">
        <f>CALCULOS_AGENCIA!$U454</f>
        <v>91.368664314020535</v>
      </c>
      <c r="D454" t="str">
        <f>CALCULOS_AGENCIA!$V454</f>
        <v>PLATINO</v>
      </c>
      <c r="E454">
        <f>CALCULOS_AGENCIA!$AA454</f>
        <v>112</v>
      </c>
      <c r="F454" s="3">
        <f t="shared" ca="1" si="7"/>
        <v>46087</v>
      </c>
    </row>
    <row r="455" spans="1:6" x14ac:dyDescent="0.3">
      <c r="A455" t="str">
        <f>PARAMS_MODELO!$B$3</f>
        <v>2025-Q3</v>
      </c>
      <c r="B455">
        <f>CALCULOS_AGENCIA!$A455</f>
        <v>51014022</v>
      </c>
      <c r="C455">
        <f>CALCULOS_AGENCIA!$U455</f>
        <v>69.524587337074337</v>
      </c>
      <c r="D455" t="str">
        <f>CALCULOS_AGENCIA!$V455</f>
        <v>ORO</v>
      </c>
      <c r="E455">
        <f>CALCULOS_AGENCIA!$AA455</f>
        <v>516</v>
      </c>
      <c r="F455" s="3">
        <f t="shared" ca="1" si="7"/>
        <v>46087</v>
      </c>
    </row>
    <row r="456" spans="1:6" x14ac:dyDescent="0.3">
      <c r="A456" t="str">
        <f>PARAMS_MODELO!$B$3</f>
        <v>2025-Q3</v>
      </c>
      <c r="B456">
        <f>CALCULOS_AGENCIA!$A456</f>
        <v>51018991</v>
      </c>
      <c r="C456">
        <f>CALCULOS_AGENCIA!$U456</f>
        <v>54.701688970322799</v>
      </c>
      <c r="D456" t="str">
        <f>CALCULOS_AGENCIA!$V456</f>
        <v>PLATA</v>
      </c>
      <c r="E456">
        <f>CALCULOS_AGENCIA!$AA456</f>
        <v>721</v>
      </c>
      <c r="F456" s="3">
        <f t="shared" ca="1" si="7"/>
        <v>46087</v>
      </c>
    </row>
    <row r="457" spans="1:6" x14ac:dyDescent="0.3">
      <c r="A457" t="str">
        <f>PARAMS_MODELO!$B$3</f>
        <v>2025-Q3</v>
      </c>
      <c r="B457">
        <f>CALCULOS_AGENCIA!$A457</f>
        <v>51030478</v>
      </c>
      <c r="C457">
        <f>CALCULOS_AGENCIA!$U457</f>
        <v>75.837526712670581</v>
      </c>
      <c r="D457" t="str">
        <f>CALCULOS_AGENCIA!$V457</f>
        <v>ORO</v>
      </c>
      <c r="E457">
        <f>CALCULOS_AGENCIA!$AA457</f>
        <v>468</v>
      </c>
      <c r="F457" s="3">
        <f t="shared" ca="1" si="7"/>
        <v>46087</v>
      </c>
    </row>
    <row r="458" spans="1:6" x14ac:dyDescent="0.3">
      <c r="A458" t="str">
        <f>PARAMS_MODELO!$B$3</f>
        <v>2025-Q3</v>
      </c>
      <c r="B458">
        <f>CALCULOS_AGENCIA!$A458</f>
        <v>51028040</v>
      </c>
      <c r="C458">
        <f>CALCULOS_AGENCIA!$U458</f>
        <v>87.847209943577795</v>
      </c>
      <c r="D458" t="str">
        <f>CALCULOS_AGENCIA!$V458</f>
        <v>PLATINO</v>
      </c>
      <c r="E458">
        <f>CALCULOS_AGENCIA!$AA458</f>
        <v>205</v>
      </c>
      <c r="F458" s="3">
        <f t="shared" ca="1" si="7"/>
        <v>46087</v>
      </c>
    </row>
    <row r="459" spans="1:6" x14ac:dyDescent="0.3">
      <c r="A459" t="str">
        <f>PARAMS_MODELO!$B$3</f>
        <v>2025-Q3</v>
      </c>
      <c r="B459">
        <f>CALCULOS_AGENCIA!$A459</f>
        <v>51055616</v>
      </c>
      <c r="C459">
        <f>CALCULOS_AGENCIA!$U459</f>
        <v>88.492928727973151</v>
      </c>
      <c r="D459" t="str">
        <f>CALCULOS_AGENCIA!$V459</f>
        <v>PLATINO</v>
      </c>
      <c r="E459">
        <f>CALCULOS_AGENCIA!$AA459</f>
        <v>184</v>
      </c>
      <c r="F459" s="3">
        <f t="shared" ca="1" si="7"/>
        <v>46087</v>
      </c>
    </row>
    <row r="460" spans="1:6" x14ac:dyDescent="0.3">
      <c r="A460" t="str">
        <f>PARAMS_MODELO!$B$3</f>
        <v>2025-Q3</v>
      </c>
      <c r="B460">
        <f>CALCULOS_AGENCIA!$A460</f>
        <v>51036239</v>
      </c>
      <c r="C460">
        <f>CALCULOS_AGENCIA!$U460</f>
        <v>22.242608063025877</v>
      </c>
      <c r="D460" t="str">
        <f>CALCULOS_AGENCIA!$V460</f>
        <v>BRONCE</v>
      </c>
      <c r="E460">
        <f>CALCULOS_AGENCIA!$AA460</f>
        <v>945</v>
      </c>
      <c r="F460" s="3">
        <f t="shared" ca="1" si="7"/>
        <v>46087</v>
      </c>
    </row>
    <row r="461" spans="1:6" x14ac:dyDescent="0.3">
      <c r="A461" t="str">
        <f>PARAMS_MODELO!$B$3</f>
        <v>2025-Q3</v>
      </c>
      <c r="B461">
        <f>CALCULOS_AGENCIA!$A461</f>
        <v>51025873</v>
      </c>
      <c r="C461">
        <f>CALCULOS_AGENCIA!$U461</f>
        <v>32.164249067503668</v>
      </c>
      <c r="D461" t="str">
        <f>CALCULOS_AGENCIA!$V461</f>
        <v>PLATA</v>
      </c>
      <c r="E461">
        <f>CALCULOS_AGENCIA!$AA461</f>
        <v>835</v>
      </c>
      <c r="F461" s="3">
        <f t="shared" ca="1" si="7"/>
        <v>46087</v>
      </c>
    </row>
    <row r="462" spans="1:6" x14ac:dyDescent="0.3">
      <c r="A462" t="str">
        <f>PARAMS_MODELO!$B$3</f>
        <v>2025-Q3</v>
      </c>
      <c r="B462">
        <f>CALCULOS_AGENCIA!$A462</f>
        <v>51034155</v>
      </c>
      <c r="C462">
        <f>CALCULOS_AGENCIA!$U462</f>
        <v>36.274875554567288</v>
      </c>
      <c r="D462" t="str">
        <f>CALCULOS_AGENCIA!$V462</f>
        <v>PLATA</v>
      </c>
      <c r="E462">
        <f>CALCULOS_AGENCIA!$AA462</f>
        <v>803</v>
      </c>
      <c r="F462" s="3">
        <f t="shared" ca="1" si="7"/>
        <v>46087</v>
      </c>
    </row>
    <row r="463" spans="1:6" x14ac:dyDescent="0.3">
      <c r="A463" t="str">
        <f>PARAMS_MODELO!$B$3</f>
        <v>2025-Q3</v>
      </c>
      <c r="B463">
        <f>CALCULOS_AGENCIA!$A463</f>
        <v>51021207</v>
      </c>
      <c r="C463">
        <f>CALCULOS_AGENCIA!$U463</f>
        <v>18.022787538405115</v>
      </c>
      <c r="D463" t="str">
        <f>CALCULOS_AGENCIA!$V463</f>
        <v>BRONCE</v>
      </c>
      <c r="E463">
        <f>CALCULOS_AGENCIA!$AA463</f>
        <v>1030</v>
      </c>
      <c r="F463" s="3">
        <f t="shared" ca="1" si="7"/>
        <v>46087</v>
      </c>
    </row>
    <row r="464" spans="1:6" x14ac:dyDescent="0.3">
      <c r="A464" t="str">
        <f>PARAMS_MODELO!$B$3</f>
        <v>2025-Q3</v>
      </c>
      <c r="B464">
        <f>CALCULOS_AGENCIA!$A464</f>
        <v>51054831</v>
      </c>
      <c r="C464">
        <f>CALCULOS_AGENCIA!$U464</f>
        <v>27.43995182313639</v>
      </c>
      <c r="D464" t="str">
        <f>CALCULOS_AGENCIA!$V464</f>
        <v>PLATA</v>
      </c>
      <c r="E464">
        <f>CALCULOS_AGENCIA!$AA464</f>
        <v>895</v>
      </c>
      <c r="F464" s="3">
        <f t="shared" ca="1" si="7"/>
        <v>46087</v>
      </c>
    </row>
    <row r="465" spans="1:6" x14ac:dyDescent="0.3">
      <c r="A465" t="str">
        <f>PARAMS_MODELO!$B$3</f>
        <v>2025-Q3</v>
      </c>
      <c r="B465">
        <f>CALCULOS_AGENCIA!$A465</f>
        <v>51010051</v>
      </c>
      <c r="C465">
        <f>CALCULOS_AGENCIA!$U465</f>
        <v>89.239264254664874</v>
      </c>
      <c r="D465" t="str">
        <f>CALCULOS_AGENCIA!$V465</f>
        <v>PLATINO</v>
      </c>
      <c r="E465">
        <f>CALCULOS_AGENCIA!$AA465</f>
        <v>159</v>
      </c>
      <c r="F465" s="3">
        <f t="shared" ca="1" si="7"/>
        <v>46087</v>
      </c>
    </row>
    <row r="466" spans="1:6" x14ac:dyDescent="0.3">
      <c r="A466" t="str">
        <f>PARAMS_MODELO!$B$3</f>
        <v>2025-Q3</v>
      </c>
      <c r="B466">
        <f>CALCULOS_AGENCIA!$A466</f>
        <v>51015754</v>
      </c>
      <c r="C466">
        <f>CALCULOS_AGENCIA!$U466</f>
        <v>22.67591045096291</v>
      </c>
      <c r="D466" t="str">
        <f>CALCULOS_AGENCIA!$V466</f>
        <v>BRONCE</v>
      </c>
      <c r="E466">
        <f>CALCULOS_AGENCIA!$AA466</f>
        <v>938</v>
      </c>
      <c r="F466" s="3">
        <f t="shared" ca="1" si="7"/>
        <v>46087</v>
      </c>
    </row>
    <row r="467" spans="1:6" x14ac:dyDescent="0.3">
      <c r="A467" t="str">
        <f>PARAMS_MODELO!$B$3</f>
        <v>2025-Q3</v>
      </c>
      <c r="B467">
        <f>CALCULOS_AGENCIA!$A467</f>
        <v>51023528</v>
      </c>
      <c r="C467">
        <f>CALCULOS_AGENCIA!$U467</f>
        <v>58.884621032705212</v>
      </c>
      <c r="D467" t="str">
        <f>CALCULOS_AGENCIA!$V467</f>
        <v>PLATA</v>
      </c>
      <c r="E467">
        <f>CALCULOS_AGENCIA!$AA467</f>
        <v>638</v>
      </c>
      <c r="F467" s="3">
        <f t="shared" ca="1" si="7"/>
        <v>46087</v>
      </c>
    </row>
    <row r="468" spans="1:6" x14ac:dyDescent="0.3">
      <c r="A468" t="str">
        <f>PARAMS_MODELO!$B$3</f>
        <v>2025-Q3</v>
      </c>
      <c r="B468">
        <f>CALCULOS_AGENCIA!$A468</f>
        <v>51013735</v>
      </c>
      <c r="C468">
        <f>CALCULOS_AGENCIA!$U468</f>
        <v>83.949162630640615</v>
      </c>
      <c r="D468" t="str">
        <f>CALCULOS_AGENCIA!$V468</f>
        <v>ORO</v>
      </c>
      <c r="E468">
        <f>CALCULOS_AGENCIA!$AA468</f>
        <v>324</v>
      </c>
      <c r="F468" s="3">
        <f t="shared" ca="1" si="7"/>
        <v>46087</v>
      </c>
    </row>
    <row r="469" spans="1:6" x14ac:dyDescent="0.3">
      <c r="A469" t="str">
        <f>PARAMS_MODELO!$B$3</f>
        <v>2025-Q3</v>
      </c>
      <c r="B469">
        <f>CALCULOS_AGENCIA!$A469</f>
        <v>51036611</v>
      </c>
      <c r="C469">
        <f>CALCULOS_AGENCIA!$U469</f>
        <v>89.308131081037317</v>
      </c>
      <c r="D469" t="str">
        <f>CALCULOS_AGENCIA!$V469</f>
        <v>PLATINO</v>
      </c>
      <c r="E469">
        <f>CALCULOS_AGENCIA!$AA469</f>
        <v>157</v>
      </c>
      <c r="F469" s="3">
        <f t="shared" ca="1" si="7"/>
        <v>46087</v>
      </c>
    </row>
    <row r="470" spans="1:6" x14ac:dyDescent="0.3">
      <c r="A470" t="str">
        <f>PARAMS_MODELO!$B$3</f>
        <v>2025-Q3</v>
      </c>
      <c r="B470">
        <f>CALCULOS_AGENCIA!$A470</f>
        <v>51010035</v>
      </c>
      <c r="C470">
        <f>CALCULOS_AGENCIA!$U470</f>
        <v>91.222522650358698</v>
      </c>
      <c r="D470" t="str">
        <f>CALCULOS_AGENCIA!$V470</f>
        <v>PLATINO</v>
      </c>
      <c r="E470">
        <f>CALCULOS_AGENCIA!$AA470</f>
        <v>113</v>
      </c>
      <c r="F470" s="3">
        <f t="shared" ca="1" si="7"/>
        <v>46087</v>
      </c>
    </row>
    <row r="471" spans="1:6" x14ac:dyDescent="0.3">
      <c r="A471" t="str">
        <f>PARAMS_MODELO!$B$3</f>
        <v>2025-Q3</v>
      </c>
      <c r="B471">
        <f>CALCULOS_AGENCIA!$A471</f>
        <v>51035682</v>
      </c>
      <c r="C471">
        <f>CALCULOS_AGENCIA!$U471</f>
        <v>67.092391052908695</v>
      </c>
      <c r="D471" t="str">
        <f>CALCULOS_AGENCIA!$V471</f>
        <v>ORO</v>
      </c>
      <c r="E471">
        <f>CALCULOS_AGENCIA!$AA471</f>
        <v>537</v>
      </c>
      <c r="F471" s="3">
        <f t="shared" ca="1" si="7"/>
        <v>46087</v>
      </c>
    </row>
    <row r="472" spans="1:6" x14ac:dyDescent="0.3">
      <c r="A472" t="str">
        <f>PARAMS_MODELO!$B$3</f>
        <v>2025-Q3</v>
      </c>
      <c r="B472">
        <f>CALCULOS_AGENCIA!$A472</f>
        <v>51016416</v>
      </c>
      <c r="C472">
        <f>CALCULOS_AGENCIA!$U472</f>
        <v>48.547553631926363</v>
      </c>
      <c r="D472" t="str">
        <f>CALCULOS_AGENCIA!$V472</f>
        <v>PLATA</v>
      </c>
      <c r="E472">
        <f>CALCULOS_AGENCIA!$AA472</f>
        <v>751</v>
      </c>
      <c r="F472" s="3">
        <f t="shared" ca="1" si="7"/>
        <v>46087</v>
      </c>
    </row>
    <row r="473" spans="1:6" x14ac:dyDescent="0.3">
      <c r="A473" t="str">
        <f>PARAMS_MODELO!$B$3</f>
        <v>2025-Q3</v>
      </c>
      <c r="B473">
        <f>CALCULOS_AGENCIA!$A473</f>
        <v>51038762</v>
      </c>
      <c r="C473">
        <f>CALCULOS_AGENCIA!$U473</f>
        <v>86.653576386260866</v>
      </c>
      <c r="D473" t="str">
        <f>CALCULOS_AGENCIA!$V473</f>
        <v>PLATINO</v>
      </c>
      <c r="E473">
        <f>CALCULOS_AGENCIA!$AA473</f>
        <v>235</v>
      </c>
      <c r="F473" s="3">
        <f t="shared" ca="1" si="7"/>
        <v>46087</v>
      </c>
    </row>
    <row r="474" spans="1:6" x14ac:dyDescent="0.3">
      <c r="A474" t="str">
        <f>PARAMS_MODELO!$B$3</f>
        <v>2025-Q3</v>
      </c>
      <c r="B474">
        <f>CALCULOS_AGENCIA!$A474</f>
        <v>51023307</v>
      </c>
      <c r="C474">
        <f>CALCULOS_AGENCIA!$U474</f>
        <v>88.030869686128142</v>
      </c>
      <c r="D474" t="str">
        <f>CALCULOS_AGENCIA!$V474</f>
        <v>PLATINO</v>
      </c>
      <c r="E474">
        <f>CALCULOS_AGENCIA!$AA474</f>
        <v>197</v>
      </c>
      <c r="F474" s="3">
        <f t="shared" ca="1" si="7"/>
        <v>46087</v>
      </c>
    </row>
    <row r="475" spans="1:6" x14ac:dyDescent="0.3">
      <c r="A475" t="str">
        <f>PARAMS_MODELO!$B$3</f>
        <v>2025-Q3</v>
      </c>
      <c r="B475">
        <f>CALCULOS_AGENCIA!$A475</f>
        <v>51012062</v>
      </c>
      <c r="C475">
        <f>CALCULOS_AGENCIA!$U475</f>
        <v>67.732717271050348</v>
      </c>
      <c r="D475" t="str">
        <f>CALCULOS_AGENCIA!$V475</f>
        <v>ORO</v>
      </c>
      <c r="E475">
        <f>CALCULOS_AGENCIA!$AA475</f>
        <v>532</v>
      </c>
      <c r="F475" s="3">
        <f t="shared" ca="1" si="7"/>
        <v>46087</v>
      </c>
    </row>
    <row r="476" spans="1:6" x14ac:dyDescent="0.3">
      <c r="A476" t="str">
        <f>PARAMS_MODELO!$B$3</f>
        <v>2025-Q3</v>
      </c>
      <c r="B476">
        <f>CALCULOS_AGENCIA!$A476</f>
        <v>51021631</v>
      </c>
      <c r="C476">
        <f>CALCULOS_AGENCIA!$U476</f>
        <v>92.360925202202026</v>
      </c>
      <c r="D476" t="str">
        <f>CALCULOS_AGENCIA!$V476</f>
        <v>PLATINO</v>
      </c>
      <c r="E476">
        <f>CALCULOS_AGENCIA!$AA476</f>
        <v>100</v>
      </c>
      <c r="F476" s="3">
        <f t="shared" ca="1" si="7"/>
        <v>46087</v>
      </c>
    </row>
    <row r="477" spans="1:6" x14ac:dyDescent="0.3">
      <c r="A477" t="str">
        <f>PARAMS_MODELO!$B$3</f>
        <v>2025-Q3</v>
      </c>
      <c r="B477">
        <f>CALCULOS_AGENCIA!$A477</f>
        <v>51008618</v>
      </c>
      <c r="C477">
        <f>CALCULOS_AGENCIA!$U477</f>
        <v>20.958022911614822</v>
      </c>
      <c r="D477" t="str">
        <f>CALCULOS_AGENCIA!$V477</f>
        <v>BRONCE</v>
      </c>
      <c r="E477">
        <f>CALCULOS_AGENCIA!$AA477</f>
        <v>964</v>
      </c>
      <c r="F477" s="3">
        <f t="shared" ca="1" si="7"/>
        <v>46087</v>
      </c>
    </row>
    <row r="478" spans="1:6" x14ac:dyDescent="0.3">
      <c r="A478" t="str">
        <f>PARAMS_MODELO!$B$3</f>
        <v>2025-Q3</v>
      </c>
      <c r="B478">
        <f>CALCULOS_AGENCIA!$A478</f>
        <v>51010574</v>
      </c>
      <c r="C478">
        <f>CALCULOS_AGENCIA!$U478</f>
        <v>81.834698440150291</v>
      </c>
      <c r="D478" t="str">
        <f>CALCULOS_AGENCIA!$V478</f>
        <v>ORO</v>
      </c>
      <c r="E478">
        <f>CALCULOS_AGENCIA!$AA478</f>
        <v>390</v>
      </c>
      <c r="F478" s="3">
        <f t="shared" ca="1" si="7"/>
        <v>46087</v>
      </c>
    </row>
    <row r="479" spans="1:6" x14ac:dyDescent="0.3">
      <c r="A479" t="str">
        <f>PARAMS_MODELO!$B$3</f>
        <v>2025-Q3</v>
      </c>
      <c r="B479">
        <f>CALCULOS_AGENCIA!$A479</f>
        <v>51056493</v>
      </c>
      <c r="C479">
        <f>CALCULOS_AGENCIA!$U479</f>
        <v>94.360057156038792</v>
      </c>
      <c r="D479" t="str">
        <f>CALCULOS_AGENCIA!$V479</f>
        <v>PLATINO</v>
      </c>
      <c r="E479">
        <f>CALCULOS_AGENCIA!$AA479</f>
        <v>74</v>
      </c>
      <c r="F479" s="3">
        <f t="shared" ca="1" si="7"/>
        <v>46087</v>
      </c>
    </row>
    <row r="480" spans="1:6" x14ac:dyDescent="0.3">
      <c r="A480" t="str">
        <f>PARAMS_MODELO!$B$3</f>
        <v>2025-Q3</v>
      </c>
      <c r="B480">
        <f>CALCULOS_AGENCIA!$A480</f>
        <v>51024206</v>
      </c>
      <c r="C480">
        <f>CALCULOS_AGENCIA!$U480</f>
        <v>77.856367142956373</v>
      </c>
      <c r="D480" t="str">
        <f>CALCULOS_AGENCIA!$V480</f>
        <v>ORO</v>
      </c>
      <c r="E480">
        <f>CALCULOS_AGENCIA!$AA480</f>
        <v>453</v>
      </c>
      <c r="F480" s="3">
        <f t="shared" ca="1" si="7"/>
        <v>46087</v>
      </c>
    </row>
    <row r="481" spans="1:6" x14ac:dyDescent="0.3">
      <c r="A481" t="str">
        <f>PARAMS_MODELO!$B$3</f>
        <v>2025-Q3</v>
      </c>
      <c r="B481">
        <f>CALCULOS_AGENCIA!$A481</f>
        <v>51056442</v>
      </c>
      <c r="C481">
        <f>CALCULOS_AGENCIA!$U481</f>
        <v>56.350872925379797</v>
      </c>
      <c r="D481" t="str">
        <f>CALCULOS_AGENCIA!$V481</f>
        <v>PLATA</v>
      </c>
      <c r="E481">
        <f>CALCULOS_AGENCIA!$AA481</f>
        <v>694</v>
      </c>
      <c r="F481" s="3">
        <f t="shared" ca="1" si="7"/>
        <v>46087</v>
      </c>
    </row>
    <row r="482" spans="1:6" x14ac:dyDescent="0.3">
      <c r="A482" t="str">
        <f>PARAMS_MODELO!$B$3</f>
        <v>2025-Q3</v>
      </c>
      <c r="B482">
        <f>CALCULOS_AGENCIA!$A482</f>
        <v>51033621</v>
      </c>
      <c r="C482">
        <f>CALCULOS_AGENCIA!$U482</f>
        <v>59.152003046719422</v>
      </c>
      <c r="D482" t="str">
        <f>CALCULOS_AGENCIA!$V482</f>
        <v>PLATA</v>
      </c>
      <c r="E482">
        <f>CALCULOS_AGENCIA!$AA482</f>
        <v>635</v>
      </c>
      <c r="F482" s="3">
        <f t="shared" ca="1" si="7"/>
        <v>46087</v>
      </c>
    </row>
    <row r="483" spans="1:6" x14ac:dyDescent="0.3">
      <c r="A483" t="str">
        <f>PARAMS_MODELO!$B$3</f>
        <v>2025-Q3</v>
      </c>
      <c r="B483">
        <f>CALCULOS_AGENCIA!$A483</f>
        <v>51016394</v>
      </c>
      <c r="C483">
        <f>CALCULOS_AGENCIA!$U483</f>
        <v>86.1789347614517</v>
      </c>
      <c r="D483" t="str">
        <f>CALCULOS_AGENCIA!$V483</f>
        <v>ORO</v>
      </c>
      <c r="E483">
        <f>CALCULOS_AGENCIA!$AA483</f>
        <v>245</v>
      </c>
      <c r="F483" s="3">
        <f t="shared" ca="1" si="7"/>
        <v>46087</v>
      </c>
    </row>
    <row r="484" spans="1:6" x14ac:dyDescent="0.3">
      <c r="A484" t="str">
        <f>PARAMS_MODELO!$B$3</f>
        <v>2025-Q3</v>
      </c>
      <c r="B484">
        <f>CALCULOS_AGENCIA!$A484</f>
        <v>51001389</v>
      </c>
      <c r="C484">
        <f>CALCULOS_AGENCIA!$U484</f>
        <v>95.83472894906194</v>
      </c>
      <c r="D484" t="str">
        <f>CALCULOS_AGENCIA!$V484</f>
        <v>PLATINO</v>
      </c>
      <c r="E484">
        <f>CALCULOS_AGENCIA!$AA484</f>
        <v>62</v>
      </c>
      <c r="F484" s="3">
        <f t="shared" ca="1" si="7"/>
        <v>46087</v>
      </c>
    </row>
    <row r="485" spans="1:6" x14ac:dyDescent="0.3">
      <c r="A485" t="str">
        <f>PARAMS_MODELO!$B$3</f>
        <v>2025-Q3</v>
      </c>
      <c r="B485">
        <f>CALCULOS_AGENCIA!$A485</f>
        <v>51042891</v>
      </c>
      <c r="C485">
        <f>CALCULOS_AGENCIA!$U485</f>
        <v>92.432737073375932</v>
      </c>
      <c r="D485" t="str">
        <f>CALCULOS_AGENCIA!$V485</f>
        <v>PLATINO</v>
      </c>
      <c r="E485">
        <f>CALCULOS_AGENCIA!$AA485</f>
        <v>97</v>
      </c>
      <c r="F485" s="3">
        <f t="shared" ca="1" si="7"/>
        <v>46087</v>
      </c>
    </row>
    <row r="486" spans="1:6" x14ac:dyDescent="0.3">
      <c r="A486" t="str">
        <f>PARAMS_MODELO!$B$3</f>
        <v>2025-Q3</v>
      </c>
      <c r="B486">
        <f>CALCULOS_AGENCIA!$A486</f>
        <v>51055411</v>
      </c>
      <c r="C486">
        <f>CALCULOS_AGENCIA!$U486</f>
        <v>87.457763730309367</v>
      </c>
      <c r="D486" t="str">
        <f>CALCULOS_AGENCIA!$V486</f>
        <v>PLATINO</v>
      </c>
      <c r="E486">
        <f>CALCULOS_AGENCIA!$AA486</f>
        <v>213</v>
      </c>
      <c r="F486" s="3">
        <f t="shared" ca="1" si="7"/>
        <v>46087</v>
      </c>
    </row>
    <row r="487" spans="1:6" x14ac:dyDescent="0.3">
      <c r="A487" t="str">
        <f>PARAMS_MODELO!$B$3</f>
        <v>2025-Q3</v>
      </c>
      <c r="B487">
        <f>CALCULOS_AGENCIA!$A487</f>
        <v>51038657</v>
      </c>
      <c r="C487">
        <f>CALCULOS_AGENCIA!$U487</f>
        <v>76.090395822333193</v>
      </c>
      <c r="D487" t="str">
        <f>CALCULOS_AGENCIA!$V487</f>
        <v>ORO</v>
      </c>
      <c r="E487">
        <f>CALCULOS_AGENCIA!$AA487</f>
        <v>465</v>
      </c>
      <c r="F487" s="3">
        <f t="shared" ca="1" si="7"/>
        <v>46087</v>
      </c>
    </row>
    <row r="488" spans="1:6" x14ac:dyDescent="0.3">
      <c r="A488" t="str">
        <f>PARAMS_MODELO!$B$3</f>
        <v>2025-Q3</v>
      </c>
      <c r="B488">
        <f>CALCULOS_AGENCIA!$A488</f>
        <v>51055632</v>
      </c>
      <c r="C488">
        <f>CALCULOS_AGENCIA!$U488</f>
        <v>33.940053888752296</v>
      </c>
      <c r="D488" t="str">
        <f>CALCULOS_AGENCIA!$V488</f>
        <v>PLATA</v>
      </c>
      <c r="E488">
        <f>CALCULOS_AGENCIA!$AA488</f>
        <v>814</v>
      </c>
      <c r="F488" s="3">
        <f t="shared" ca="1" si="7"/>
        <v>46087</v>
      </c>
    </row>
    <row r="489" spans="1:6" x14ac:dyDescent="0.3">
      <c r="A489" t="str">
        <f>PARAMS_MODELO!$B$3</f>
        <v>2025-Q3</v>
      </c>
      <c r="B489">
        <f>CALCULOS_AGENCIA!$A489</f>
        <v>51026799</v>
      </c>
      <c r="C489">
        <f>CALCULOS_AGENCIA!$U489</f>
        <v>86.709012152956618</v>
      </c>
      <c r="D489" t="str">
        <f>CALCULOS_AGENCIA!$V489</f>
        <v>PLATINO</v>
      </c>
      <c r="E489">
        <f>CALCULOS_AGENCIA!$AA489</f>
        <v>231</v>
      </c>
      <c r="F489" s="3">
        <f t="shared" ca="1" si="7"/>
        <v>46087</v>
      </c>
    </row>
    <row r="490" spans="1:6" x14ac:dyDescent="0.3">
      <c r="A490" t="str">
        <f>PARAMS_MODELO!$B$3</f>
        <v>2025-Q3</v>
      </c>
      <c r="B490">
        <f>CALCULOS_AGENCIA!$A490</f>
        <v>51018869</v>
      </c>
      <c r="C490">
        <f>CALCULOS_AGENCIA!$U490</f>
        <v>64.27624554154427</v>
      </c>
      <c r="D490" t="str">
        <f>CALCULOS_AGENCIA!$V490</f>
        <v>ORO</v>
      </c>
      <c r="E490">
        <f>CALCULOS_AGENCIA!$AA490</f>
        <v>546</v>
      </c>
      <c r="F490" s="3">
        <f t="shared" ca="1" si="7"/>
        <v>46087</v>
      </c>
    </row>
    <row r="491" spans="1:6" x14ac:dyDescent="0.3">
      <c r="A491" t="str">
        <f>PARAMS_MODELO!$B$3</f>
        <v>2025-Q3</v>
      </c>
      <c r="B491">
        <f>CALCULOS_AGENCIA!$A491</f>
        <v>51055144</v>
      </c>
      <c r="C491">
        <f>CALCULOS_AGENCIA!$U491</f>
        <v>82.383942531769762</v>
      </c>
      <c r="D491" t="str">
        <f>CALCULOS_AGENCIA!$V491</f>
        <v>ORO</v>
      </c>
      <c r="E491">
        <f>CALCULOS_AGENCIA!$AA491</f>
        <v>379</v>
      </c>
      <c r="F491" s="3">
        <f t="shared" ca="1" si="7"/>
        <v>46087</v>
      </c>
    </row>
    <row r="492" spans="1:6" x14ac:dyDescent="0.3">
      <c r="A492" t="str">
        <f>PARAMS_MODELO!$B$3</f>
        <v>2025-Q3</v>
      </c>
      <c r="B492">
        <f>CALCULOS_AGENCIA!$A492</f>
        <v>51056884</v>
      </c>
      <c r="C492">
        <f>CALCULOS_AGENCIA!$U492</f>
        <v>63.200245637750591</v>
      </c>
      <c r="D492" t="str">
        <f>CALCULOS_AGENCIA!$V492</f>
        <v>ORO</v>
      </c>
      <c r="E492">
        <f>CALCULOS_AGENCIA!$AA492</f>
        <v>555</v>
      </c>
      <c r="F492" s="3">
        <f t="shared" ca="1" si="7"/>
        <v>46087</v>
      </c>
    </row>
    <row r="493" spans="1:6" x14ac:dyDescent="0.3">
      <c r="A493" t="str">
        <f>PARAMS_MODELO!$B$3</f>
        <v>2025-Q3</v>
      </c>
      <c r="B493">
        <f>CALCULOS_AGENCIA!$A493</f>
        <v>51030443</v>
      </c>
      <c r="C493">
        <f>CALCULOS_AGENCIA!$U493</f>
        <v>83.390116537518935</v>
      </c>
      <c r="D493" t="str">
        <f>CALCULOS_AGENCIA!$V493</f>
        <v>ORO</v>
      </c>
      <c r="E493">
        <f>CALCULOS_AGENCIA!$AA493</f>
        <v>335</v>
      </c>
      <c r="F493" s="3">
        <f t="shared" ca="1" si="7"/>
        <v>46087</v>
      </c>
    </row>
    <row r="494" spans="1:6" x14ac:dyDescent="0.3">
      <c r="A494" t="str">
        <f>PARAMS_MODELO!$B$3</f>
        <v>2025-Q3</v>
      </c>
      <c r="B494">
        <f>CALCULOS_AGENCIA!$A494</f>
        <v>51016475</v>
      </c>
      <c r="C494">
        <f>CALCULOS_AGENCIA!$U494</f>
        <v>99.092731862239617</v>
      </c>
      <c r="D494" t="str">
        <f>CALCULOS_AGENCIA!$V494</f>
        <v>DIAMANTE</v>
      </c>
      <c r="E494">
        <f>CALCULOS_AGENCIA!$AA494</f>
        <v>23</v>
      </c>
      <c r="F494" s="3">
        <f t="shared" ca="1" si="7"/>
        <v>46087</v>
      </c>
    </row>
    <row r="495" spans="1:6" x14ac:dyDescent="0.3">
      <c r="A495" t="str">
        <f>PARAMS_MODELO!$B$3</f>
        <v>2025-Q3</v>
      </c>
      <c r="B495">
        <f>CALCULOS_AGENCIA!$A495</f>
        <v>51018893</v>
      </c>
      <c r="C495">
        <f>CALCULOS_AGENCIA!$U495</f>
        <v>90.00992633147581</v>
      </c>
      <c r="D495" t="str">
        <f>CALCULOS_AGENCIA!$V495</f>
        <v>PLATINO</v>
      </c>
      <c r="E495">
        <f>CALCULOS_AGENCIA!$AA495</f>
        <v>135</v>
      </c>
      <c r="F495" s="3">
        <f t="shared" ca="1" si="7"/>
        <v>46087</v>
      </c>
    </row>
    <row r="496" spans="1:6" x14ac:dyDescent="0.3">
      <c r="A496" t="str">
        <f>PARAMS_MODELO!$B$3</f>
        <v>2025-Q3</v>
      </c>
      <c r="B496">
        <f>CALCULOS_AGENCIA!$A496</f>
        <v>51039157</v>
      </c>
      <c r="C496">
        <f>CALCULOS_AGENCIA!$U496</f>
        <v>19.263519456243426</v>
      </c>
      <c r="D496" t="str">
        <f>CALCULOS_AGENCIA!$V496</f>
        <v>BRONCE</v>
      </c>
      <c r="E496">
        <f>CALCULOS_AGENCIA!$AA496</f>
        <v>994</v>
      </c>
      <c r="F496" s="3">
        <f t="shared" ca="1" si="7"/>
        <v>46087</v>
      </c>
    </row>
    <row r="497" spans="1:6" x14ac:dyDescent="0.3">
      <c r="A497" t="str">
        <f>PARAMS_MODELO!$B$3</f>
        <v>2025-Q3</v>
      </c>
      <c r="B497">
        <f>CALCULOS_AGENCIA!$A497</f>
        <v>51054822</v>
      </c>
      <c r="C497">
        <f>CALCULOS_AGENCIA!$U497</f>
        <v>93.756840476360651</v>
      </c>
      <c r="D497" t="str">
        <f>CALCULOS_AGENCIA!$V497</f>
        <v>PLATINO</v>
      </c>
      <c r="E497">
        <f>CALCULOS_AGENCIA!$AA497</f>
        <v>80</v>
      </c>
      <c r="F497" s="3">
        <f t="shared" ca="1" si="7"/>
        <v>46087</v>
      </c>
    </row>
    <row r="498" spans="1:6" x14ac:dyDescent="0.3">
      <c r="A498" t="str">
        <f>PARAMS_MODELO!$B$3</f>
        <v>2025-Q3</v>
      </c>
      <c r="B498">
        <f>CALCULOS_AGENCIA!$A498</f>
        <v>51003390</v>
      </c>
      <c r="C498">
        <f>CALCULOS_AGENCIA!$U498</f>
        <v>89.823955087827287</v>
      </c>
      <c r="D498" t="str">
        <f>CALCULOS_AGENCIA!$V498</f>
        <v>PLATINO</v>
      </c>
      <c r="E498">
        <f>CALCULOS_AGENCIA!$AA498</f>
        <v>139</v>
      </c>
      <c r="F498" s="3">
        <f t="shared" ca="1" si="7"/>
        <v>46087</v>
      </c>
    </row>
    <row r="499" spans="1:6" x14ac:dyDescent="0.3">
      <c r="A499" t="str">
        <f>PARAMS_MODELO!$B$3</f>
        <v>2025-Q3</v>
      </c>
      <c r="B499">
        <f>CALCULOS_AGENCIA!$A499</f>
        <v>51056477</v>
      </c>
      <c r="C499">
        <f>CALCULOS_AGENCIA!$U499</f>
        <v>88.765453329812004</v>
      </c>
      <c r="D499" t="str">
        <f>CALCULOS_AGENCIA!$V499</f>
        <v>PLATINO</v>
      </c>
      <c r="E499">
        <f>CALCULOS_AGENCIA!$AA499</f>
        <v>173</v>
      </c>
      <c r="F499" s="3">
        <f t="shared" ca="1" si="7"/>
        <v>46087</v>
      </c>
    </row>
    <row r="500" spans="1:6" x14ac:dyDescent="0.3">
      <c r="A500" t="str">
        <f>PARAMS_MODELO!$B$3</f>
        <v>2025-Q3</v>
      </c>
      <c r="B500">
        <f>CALCULOS_AGENCIA!$A500</f>
        <v>51026527</v>
      </c>
      <c r="C500">
        <f>CALCULOS_AGENCIA!$U500</f>
        <v>44.473106659949948</v>
      </c>
      <c r="D500" t="str">
        <f>CALCULOS_AGENCIA!$V500</f>
        <v>PLATA</v>
      </c>
      <c r="E500">
        <f>CALCULOS_AGENCIA!$AA500</f>
        <v>774</v>
      </c>
      <c r="F500" s="3">
        <f t="shared" ca="1" si="7"/>
        <v>46087</v>
      </c>
    </row>
    <row r="501" spans="1:6" x14ac:dyDescent="0.3">
      <c r="A501" t="str">
        <f>PARAMS_MODELO!$B$3</f>
        <v>2025-Q3</v>
      </c>
      <c r="B501">
        <f>CALCULOS_AGENCIA!$A501</f>
        <v>51030982</v>
      </c>
      <c r="C501">
        <f>CALCULOS_AGENCIA!$U501</f>
        <v>89.054429068298049</v>
      </c>
      <c r="D501" t="str">
        <f>CALCULOS_AGENCIA!$V501</f>
        <v>PLATINO</v>
      </c>
      <c r="E501">
        <f>CALCULOS_AGENCIA!$AA501</f>
        <v>165</v>
      </c>
      <c r="F501" s="3">
        <f t="shared" ca="1" si="7"/>
        <v>46087</v>
      </c>
    </row>
    <row r="502" spans="1:6" x14ac:dyDescent="0.3">
      <c r="A502" t="str">
        <f>PARAMS_MODELO!$B$3</f>
        <v>2025-Q3</v>
      </c>
      <c r="B502">
        <f>CALCULOS_AGENCIA!$A502</f>
        <v>51023196</v>
      </c>
      <c r="C502">
        <f>CALCULOS_AGENCIA!$U502</f>
        <v>64.493427377404913</v>
      </c>
      <c r="D502" t="str">
        <f>CALCULOS_AGENCIA!$V502</f>
        <v>ORO</v>
      </c>
      <c r="E502">
        <f>CALCULOS_AGENCIA!$AA502</f>
        <v>544</v>
      </c>
      <c r="F502" s="3">
        <f t="shared" ca="1" si="7"/>
        <v>46087</v>
      </c>
    </row>
    <row r="503" spans="1:6" x14ac:dyDescent="0.3">
      <c r="A503" t="str">
        <f>PARAMS_MODELO!$B$3</f>
        <v>2025-Q3</v>
      </c>
      <c r="B503">
        <f>CALCULOS_AGENCIA!$A503</f>
        <v>51014596</v>
      </c>
      <c r="C503">
        <f>CALCULOS_AGENCIA!$U503</f>
        <v>68.626994382687798</v>
      </c>
      <c r="D503" t="str">
        <f>CALCULOS_AGENCIA!$V503</f>
        <v>ORO</v>
      </c>
      <c r="E503">
        <f>CALCULOS_AGENCIA!$AA503</f>
        <v>521</v>
      </c>
      <c r="F503" s="3">
        <f t="shared" ca="1" si="7"/>
        <v>46087</v>
      </c>
    </row>
    <row r="504" spans="1:6" x14ac:dyDescent="0.3">
      <c r="A504" t="str">
        <f>PARAMS_MODELO!$B$3</f>
        <v>2025-Q3</v>
      </c>
      <c r="B504">
        <f>CALCULOS_AGENCIA!$A504</f>
        <v>51030125</v>
      </c>
      <c r="C504">
        <f>CALCULOS_AGENCIA!$U504</f>
        <v>61.808658143732956</v>
      </c>
      <c r="D504" t="str">
        <f>CALCULOS_AGENCIA!$V504</f>
        <v>PLATA</v>
      </c>
      <c r="E504">
        <f>CALCULOS_AGENCIA!$AA504</f>
        <v>585</v>
      </c>
      <c r="F504" s="3">
        <f t="shared" ca="1" si="7"/>
        <v>46087</v>
      </c>
    </row>
    <row r="505" spans="1:6" x14ac:dyDescent="0.3">
      <c r="A505" t="str">
        <f>PARAMS_MODELO!$B$3</f>
        <v>2025-Q3</v>
      </c>
      <c r="B505">
        <f>CALCULOS_AGENCIA!$A505</f>
        <v>51021550</v>
      </c>
      <c r="C505">
        <f>CALCULOS_AGENCIA!$U505</f>
        <v>76.872229036917972</v>
      </c>
      <c r="D505" t="str">
        <f>CALCULOS_AGENCIA!$V505</f>
        <v>ORO</v>
      </c>
      <c r="E505">
        <f>CALCULOS_AGENCIA!$AA505</f>
        <v>458</v>
      </c>
      <c r="F505" s="3">
        <f t="shared" ca="1" si="7"/>
        <v>46087</v>
      </c>
    </row>
    <row r="506" spans="1:6" x14ac:dyDescent="0.3">
      <c r="A506" t="str">
        <f>PARAMS_MODELO!$B$3</f>
        <v>2025-Q3</v>
      </c>
      <c r="B506">
        <f>CALCULOS_AGENCIA!$A506</f>
        <v>51031407</v>
      </c>
      <c r="C506">
        <f>CALCULOS_AGENCIA!$U506</f>
        <v>71.958778799199521</v>
      </c>
      <c r="D506" t="str">
        <f>CALCULOS_AGENCIA!$V506</f>
        <v>ORO</v>
      </c>
      <c r="E506">
        <f>CALCULOS_AGENCIA!$AA506</f>
        <v>499</v>
      </c>
      <c r="F506" s="3">
        <f t="shared" ca="1" si="7"/>
        <v>46087</v>
      </c>
    </row>
    <row r="507" spans="1:6" x14ac:dyDescent="0.3">
      <c r="A507" t="str">
        <f>PARAMS_MODELO!$B$3</f>
        <v>2025-Q3</v>
      </c>
      <c r="B507">
        <f>CALCULOS_AGENCIA!$A507</f>
        <v>51038754</v>
      </c>
      <c r="C507">
        <f>CALCULOS_AGENCIA!$U507</f>
        <v>81.187052410182872</v>
      </c>
      <c r="D507" t="str">
        <f>CALCULOS_AGENCIA!$V507</f>
        <v>ORO</v>
      </c>
      <c r="E507">
        <f>CALCULOS_AGENCIA!$AA507</f>
        <v>408</v>
      </c>
      <c r="F507" s="3">
        <f t="shared" ca="1" si="7"/>
        <v>46087</v>
      </c>
    </row>
    <row r="508" spans="1:6" x14ac:dyDescent="0.3">
      <c r="A508" t="str">
        <f>PARAMS_MODELO!$B$3</f>
        <v>2025-Q3</v>
      </c>
      <c r="B508">
        <f>CALCULOS_AGENCIA!$A508</f>
        <v>51004761</v>
      </c>
      <c r="C508">
        <f>CALCULOS_AGENCIA!$U508</f>
        <v>44.231047619933584</v>
      </c>
      <c r="D508" t="str">
        <f>CALCULOS_AGENCIA!$V508</f>
        <v>PLATA</v>
      </c>
      <c r="E508">
        <f>CALCULOS_AGENCIA!$AA508</f>
        <v>775</v>
      </c>
      <c r="F508" s="3">
        <f t="shared" ca="1" si="7"/>
        <v>46087</v>
      </c>
    </row>
    <row r="509" spans="1:6" x14ac:dyDescent="0.3">
      <c r="A509" t="str">
        <f>PARAMS_MODELO!$B$3</f>
        <v>2025-Q3</v>
      </c>
      <c r="B509">
        <f>CALCULOS_AGENCIA!$A509</f>
        <v>51023358</v>
      </c>
      <c r="C509">
        <f>CALCULOS_AGENCIA!$U509</f>
        <v>30.350754197491568</v>
      </c>
      <c r="D509" t="str">
        <f>CALCULOS_AGENCIA!$V509</f>
        <v>PLATA</v>
      </c>
      <c r="E509">
        <f>CALCULOS_AGENCIA!$AA509</f>
        <v>860</v>
      </c>
      <c r="F509" s="3">
        <f t="shared" ca="1" si="7"/>
        <v>46087</v>
      </c>
    </row>
    <row r="510" spans="1:6" x14ac:dyDescent="0.3">
      <c r="A510" t="str">
        <f>PARAMS_MODELO!$B$3</f>
        <v>2025-Q3</v>
      </c>
      <c r="B510">
        <f>CALCULOS_AGENCIA!$A510</f>
        <v>51022670</v>
      </c>
      <c r="C510">
        <f>CALCULOS_AGENCIA!$U510</f>
        <v>97.87844058513916</v>
      </c>
      <c r="D510" t="str">
        <f>CALCULOS_AGENCIA!$V510</f>
        <v>DIAMANTE</v>
      </c>
      <c r="E510">
        <f>CALCULOS_AGENCIA!$AA510</f>
        <v>39</v>
      </c>
      <c r="F510" s="3">
        <f t="shared" ca="1" si="7"/>
        <v>46087</v>
      </c>
    </row>
    <row r="511" spans="1:6" x14ac:dyDescent="0.3">
      <c r="A511" t="str">
        <f>PARAMS_MODELO!$B$3</f>
        <v>2025-Q3</v>
      </c>
      <c r="B511">
        <f>CALCULOS_AGENCIA!$A511</f>
        <v>51029976</v>
      </c>
      <c r="C511">
        <f>CALCULOS_AGENCIA!$U511</f>
        <v>80.857459364027804</v>
      </c>
      <c r="D511" t="str">
        <f>CALCULOS_AGENCIA!$V511</f>
        <v>ORO</v>
      </c>
      <c r="E511">
        <f>CALCULOS_AGENCIA!$AA511</f>
        <v>417</v>
      </c>
      <c r="F511" s="3">
        <f t="shared" ca="1" si="7"/>
        <v>46087</v>
      </c>
    </row>
    <row r="512" spans="1:6" x14ac:dyDescent="0.3">
      <c r="A512" t="str">
        <f>PARAMS_MODELO!$B$3</f>
        <v>2025-Q3</v>
      </c>
      <c r="B512">
        <f>CALCULOS_AGENCIA!$A512</f>
        <v>51032195</v>
      </c>
      <c r="C512">
        <f>CALCULOS_AGENCIA!$U512</f>
        <v>32.528171337386468</v>
      </c>
      <c r="D512" t="str">
        <f>CALCULOS_AGENCIA!$V512</f>
        <v>PLATA</v>
      </c>
      <c r="E512">
        <f>CALCULOS_AGENCIA!$AA512</f>
        <v>828</v>
      </c>
      <c r="F512" s="3">
        <f t="shared" ca="1" si="7"/>
        <v>46087</v>
      </c>
    </row>
    <row r="513" spans="1:6" x14ac:dyDescent="0.3">
      <c r="A513" t="str">
        <f>PARAMS_MODELO!$B$3</f>
        <v>2025-Q3</v>
      </c>
      <c r="B513">
        <f>CALCULOS_AGENCIA!$A513</f>
        <v>51042875</v>
      </c>
      <c r="C513">
        <f>CALCULOS_AGENCIA!$U513</f>
        <v>45.967232517085989</v>
      </c>
      <c r="D513" t="str">
        <f>CALCULOS_AGENCIA!$V513</f>
        <v>PLATA</v>
      </c>
      <c r="E513">
        <f>CALCULOS_AGENCIA!$AA513</f>
        <v>767</v>
      </c>
      <c r="F513" s="3">
        <f t="shared" ca="1" si="7"/>
        <v>46087</v>
      </c>
    </row>
    <row r="514" spans="1:6" x14ac:dyDescent="0.3">
      <c r="A514" t="str">
        <f>PARAMS_MODELO!$B$3</f>
        <v>2025-Q3</v>
      </c>
      <c r="B514">
        <f>CALCULOS_AGENCIA!$A514</f>
        <v>51010728</v>
      </c>
      <c r="C514">
        <f>CALCULOS_AGENCIA!$U514</f>
        <v>62.79378384152686</v>
      </c>
      <c r="D514" t="str">
        <f>CALCULOS_AGENCIA!$V514</f>
        <v>PLATA</v>
      </c>
      <c r="E514">
        <f>CALCULOS_AGENCIA!$AA514</f>
        <v>563</v>
      </c>
      <c r="F514" s="3">
        <f t="shared" ref="F514:F577" ca="1" si="8">TODAY()</f>
        <v>46087</v>
      </c>
    </row>
    <row r="515" spans="1:6" x14ac:dyDescent="0.3">
      <c r="A515" t="str">
        <f>PARAMS_MODELO!$B$3</f>
        <v>2025-Q3</v>
      </c>
      <c r="B515">
        <f>CALCULOS_AGENCIA!$A515</f>
        <v>51056655</v>
      </c>
      <c r="C515">
        <f>CALCULOS_AGENCIA!$U515</f>
        <v>34.991129892912156</v>
      </c>
      <c r="D515" t="str">
        <f>CALCULOS_AGENCIA!$V515</f>
        <v>PLATA</v>
      </c>
      <c r="E515">
        <f>CALCULOS_AGENCIA!$AA515</f>
        <v>806</v>
      </c>
      <c r="F515" s="3">
        <f t="shared" ca="1" si="8"/>
        <v>46087</v>
      </c>
    </row>
    <row r="516" spans="1:6" x14ac:dyDescent="0.3">
      <c r="A516" t="str">
        <f>PARAMS_MODELO!$B$3</f>
        <v>2025-Q3</v>
      </c>
      <c r="B516">
        <f>CALCULOS_AGENCIA!$A516</f>
        <v>51056817</v>
      </c>
      <c r="C516">
        <f>CALCULOS_AGENCIA!$U516</f>
        <v>44.147656372812975</v>
      </c>
      <c r="D516" t="str">
        <f>CALCULOS_AGENCIA!$V516</f>
        <v>PLATA</v>
      </c>
      <c r="E516">
        <f>CALCULOS_AGENCIA!$AA516</f>
        <v>776</v>
      </c>
      <c r="F516" s="3">
        <f t="shared" ca="1" si="8"/>
        <v>46087</v>
      </c>
    </row>
    <row r="517" spans="1:6" x14ac:dyDescent="0.3">
      <c r="A517" t="str">
        <f>PARAMS_MODELO!$B$3</f>
        <v>2025-Q3</v>
      </c>
      <c r="B517">
        <f>CALCULOS_AGENCIA!$A517</f>
        <v>51018826</v>
      </c>
      <c r="C517">
        <f>CALCULOS_AGENCIA!$U517</f>
        <v>88.268164667328264</v>
      </c>
      <c r="D517" t="str">
        <f>CALCULOS_AGENCIA!$V517</f>
        <v>PLATINO</v>
      </c>
      <c r="E517">
        <f>CALCULOS_AGENCIA!$AA517</f>
        <v>190</v>
      </c>
      <c r="F517" s="3">
        <f t="shared" ca="1" si="8"/>
        <v>46087</v>
      </c>
    </row>
    <row r="518" spans="1:6" x14ac:dyDescent="0.3">
      <c r="A518" t="str">
        <f>PARAMS_MODELO!$B$3</f>
        <v>2025-Q3</v>
      </c>
      <c r="B518">
        <f>CALCULOS_AGENCIA!$A518</f>
        <v>51019814</v>
      </c>
      <c r="C518">
        <f>CALCULOS_AGENCIA!$U518</f>
        <v>23.336240301750948</v>
      </c>
      <c r="D518" t="str">
        <f>CALCULOS_AGENCIA!$V518</f>
        <v>BRONCE</v>
      </c>
      <c r="E518">
        <f>CALCULOS_AGENCIA!$AA518</f>
        <v>930</v>
      </c>
      <c r="F518" s="3">
        <f t="shared" ca="1" si="8"/>
        <v>46087</v>
      </c>
    </row>
    <row r="519" spans="1:6" x14ac:dyDescent="0.3">
      <c r="A519" t="str">
        <f>PARAMS_MODELO!$B$3</f>
        <v>2025-Q3</v>
      </c>
      <c r="B519">
        <f>CALCULOS_AGENCIA!$A519</f>
        <v>51033281</v>
      </c>
      <c r="C519">
        <f>CALCULOS_AGENCIA!$U519</f>
        <v>60.981824026233561</v>
      </c>
      <c r="D519" t="str">
        <f>CALCULOS_AGENCIA!$V519</f>
        <v>PLATA</v>
      </c>
      <c r="E519">
        <f>CALCULOS_AGENCIA!$AA519</f>
        <v>597</v>
      </c>
      <c r="F519" s="3">
        <f t="shared" ca="1" si="8"/>
        <v>46087</v>
      </c>
    </row>
    <row r="520" spans="1:6" x14ac:dyDescent="0.3">
      <c r="A520" t="str">
        <f>PARAMS_MODELO!$B$3</f>
        <v>2025-Q3</v>
      </c>
      <c r="B520">
        <f>CALCULOS_AGENCIA!$A520</f>
        <v>51056523</v>
      </c>
      <c r="C520">
        <f>CALCULOS_AGENCIA!$U520</f>
        <v>21.146109187947228</v>
      </c>
      <c r="D520" t="str">
        <f>CALCULOS_AGENCIA!$V520</f>
        <v>BRONCE</v>
      </c>
      <c r="E520">
        <f>CALCULOS_AGENCIA!$AA520</f>
        <v>960</v>
      </c>
      <c r="F520" s="3">
        <f t="shared" ca="1" si="8"/>
        <v>46087</v>
      </c>
    </row>
    <row r="521" spans="1:6" x14ac:dyDescent="0.3">
      <c r="A521" t="str">
        <f>PARAMS_MODELO!$B$3</f>
        <v>2025-Q3</v>
      </c>
      <c r="B521">
        <f>CALCULOS_AGENCIA!$A521</f>
        <v>51025792</v>
      </c>
      <c r="C521">
        <f>CALCULOS_AGENCIA!$U521</f>
        <v>30.104444091070235</v>
      </c>
      <c r="D521" t="str">
        <f>CALCULOS_AGENCIA!$V521</f>
        <v>PLATA</v>
      </c>
      <c r="E521">
        <f>CALCULOS_AGENCIA!$AA521</f>
        <v>863</v>
      </c>
      <c r="F521" s="3">
        <f t="shared" ca="1" si="8"/>
        <v>46087</v>
      </c>
    </row>
    <row r="522" spans="1:6" x14ac:dyDescent="0.3">
      <c r="A522" t="str">
        <f>PARAMS_MODELO!$B$3</f>
        <v>2025-Q3</v>
      </c>
      <c r="B522">
        <f>CALCULOS_AGENCIA!$A522</f>
        <v>51056728</v>
      </c>
      <c r="C522">
        <f>CALCULOS_AGENCIA!$U522</f>
        <v>26.175713325400054</v>
      </c>
      <c r="D522" t="str">
        <f>CALCULOS_AGENCIA!$V522</f>
        <v>PLATA</v>
      </c>
      <c r="E522">
        <f>CALCULOS_AGENCIA!$AA522</f>
        <v>906</v>
      </c>
      <c r="F522" s="3">
        <f t="shared" ca="1" si="8"/>
        <v>46087</v>
      </c>
    </row>
    <row r="523" spans="1:6" x14ac:dyDescent="0.3">
      <c r="A523" t="str">
        <f>PARAMS_MODELO!$B$3</f>
        <v>2025-Q3</v>
      </c>
      <c r="B523">
        <f>CALCULOS_AGENCIA!$A523</f>
        <v>51011708</v>
      </c>
      <c r="C523">
        <f>CALCULOS_AGENCIA!$U523</f>
        <v>18.770209007650852</v>
      </c>
      <c r="D523" t="str">
        <f>CALCULOS_AGENCIA!$V523</f>
        <v>BRONCE</v>
      </c>
      <c r="E523">
        <f>CALCULOS_AGENCIA!$AA523</f>
        <v>1011</v>
      </c>
      <c r="F523" s="3">
        <f t="shared" ca="1" si="8"/>
        <v>46087</v>
      </c>
    </row>
    <row r="524" spans="1:6" x14ac:dyDescent="0.3">
      <c r="A524" t="str">
        <f>PARAMS_MODELO!$B$3</f>
        <v>2025-Q3</v>
      </c>
      <c r="B524">
        <f>CALCULOS_AGENCIA!$A524</f>
        <v>51056558</v>
      </c>
      <c r="C524">
        <f>CALCULOS_AGENCIA!$U524</f>
        <v>93.289630253130312</v>
      </c>
      <c r="D524" t="str">
        <f>CALCULOS_AGENCIA!$V524</f>
        <v>PLATINO</v>
      </c>
      <c r="E524">
        <f>CALCULOS_AGENCIA!$AA524</f>
        <v>88</v>
      </c>
      <c r="F524" s="3">
        <f t="shared" ca="1" si="8"/>
        <v>46087</v>
      </c>
    </row>
    <row r="525" spans="1:6" x14ac:dyDescent="0.3">
      <c r="A525" t="str">
        <f>PARAMS_MODELO!$B$3</f>
        <v>2025-Q3</v>
      </c>
      <c r="B525">
        <f>CALCULOS_AGENCIA!$A525</f>
        <v>51041801</v>
      </c>
      <c r="C525">
        <f>CALCULOS_AGENCIA!$U525</f>
        <v>87.529961624604482</v>
      </c>
      <c r="D525" t="str">
        <f>CALCULOS_AGENCIA!$V525</f>
        <v>PLATINO</v>
      </c>
      <c r="E525">
        <f>CALCULOS_AGENCIA!$AA525</f>
        <v>210</v>
      </c>
      <c r="F525" s="3">
        <f t="shared" ca="1" si="8"/>
        <v>46087</v>
      </c>
    </row>
    <row r="526" spans="1:6" x14ac:dyDescent="0.3">
      <c r="A526" t="str">
        <f>PARAMS_MODELO!$B$3</f>
        <v>2025-Q3</v>
      </c>
      <c r="B526">
        <f>CALCULOS_AGENCIA!$A526</f>
        <v>51055390</v>
      </c>
      <c r="C526">
        <f>CALCULOS_AGENCIA!$U526</f>
        <v>88.307422871310436</v>
      </c>
      <c r="D526" t="str">
        <f>CALCULOS_AGENCIA!$V526</f>
        <v>PLATINO</v>
      </c>
      <c r="E526">
        <f>CALCULOS_AGENCIA!$AA526</f>
        <v>188</v>
      </c>
      <c r="F526" s="3">
        <f t="shared" ca="1" si="8"/>
        <v>46087</v>
      </c>
    </row>
    <row r="527" spans="1:6" x14ac:dyDescent="0.3">
      <c r="A527" t="str">
        <f>PARAMS_MODELO!$B$3</f>
        <v>2025-Q3</v>
      </c>
      <c r="B527">
        <f>CALCULOS_AGENCIA!$A527</f>
        <v>51017081</v>
      </c>
      <c r="C527">
        <f>CALCULOS_AGENCIA!$U527</f>
        <v>62.397316268447398</v>
      </c>
      <c r="D527" t="str">
        <f>CALCULOS_AGENCIA!$V527</f>
        <v>PLATA</v>
      </c>
      <c r="E527">
        <f>CALCULOS_AGENCIA!$AA527</f>
        <v>572</v>
      </c>
      <c r="F527" s="3">
        <f t="shared" ca="1" si="8"/>
        <v>46087</v>
      </c>
    </row>
    <row r="528" spans="1:6" x14ac:dyDescent="0.3">
      <c r="A528" t="str">
        <f>PARAMS_MODELO!$B$3</f>
        <v>2025-Q3</v>
      </c>
      <c r="B528">
        <f>CALCULOS_AGENCIA!$A528</f>
        <v>51056345</v>
      </c>
      <c r="C528">
        <f>CALCULOS_AGENCIA!$U528</f>
        <v>61.744346850590659</v>
      </c>
      <c r="D528" t="str">
        <f>CALCULOS_AGENCIA!$V528</f>
        <v>PLATA</v>
      </c>
      <c r="E528">
        <f>CALCULOS_AGENCIA!$AA528</f>
        <v>586</v>
      </c>
      <c r="F528" s="3">
        <f t="shared" ca="1" si="8"/>
        <v>46087</v>
      </c>
    </row>
    <row r="529" spans="1:6" x14ac:dyDescent="0.3">
      <c r="A529" t="str">
        <f>PARAMS_MODELO!$B$3</f>
        <v>2025-Q3</v>
      </c>
      <c r="B529">
        <f>CALCULOS_AGENCIA!$A529</f>
        <v>51055942</v>
      </c>
      <c r="C529">
        <f>CALCULOS_AGENCIA!$U529</f>
        <v>88.509246632275762</v>
      </c>
      <c r="D529" t="str">
        <f>CALCULOS_AGENCIA!$V529</f>
        <v>PLATINO</v>
      </c>
      <c r="E529">
        <f>CALCULOS_AGENCIA!$AA529</f>
        <v>183</v>
      </c>
      <c r="F529" s="3">
        <f t="shared" ca="1" si="8"/>
        <v>46087</v>
      </c>
    </row>
    <row r="530" spans="1:6" x14ac:dyDescent="0.3">
      <c r="A530" t="str">
        <f>PARAMS_MODELO!$B$3</f>
        <v>2025-Q3</v>
      </c>
      <c r="B530">
        <f>CALCULOS_AGENCIA!$A530</f>
        <v>51036735</v>
      </c>
      <c r="C530">
        <f>CALCULOS_AGENCIA!$U530</f>
        <v>88.086283196486164</v>
      </c>
      <c r="D530" t="str">
        <f>CALCULOS_AGENCIA!$V530</f>
        <v>PLATINO</v>
      </c>
      <c r="E530">
        <f>CALCULOS_AGENCIA!$AA530</f>
        <v>195</v>
      </c>
      <c r="F530" s="3">
        <f t="shared" ca="1" si="8"/>
        <v>46087</v>
      </c>
    </row>
    <row r="531" spans="1:6" x14ac:dyDescent="0.3">
      <c r="A531" t="str">
        <f>PARAMS_MODELO!$B$3</f>
        <v>2025-Q3</v>
      </c>
      <c r="B531">
        <f>CALCULOS_AGENCIA!$A531</f>
        <v>51001427</v>
      </c>
      <c r="C531">
        <f>CALCULOS_AGENCIA!$U531</f>
        <v>82.66826151922443</v>
      </c>
      <c r="D531" t="str">
        <f>CALCULOS_AGENCIA!$V531</f>
        <v>ORO</v>
      </c>
      <c r="E531">
        <f>CALCULOS_AGENCIA!$AA531</f>
        <v>369</v>
      </c>
      <c r="F531" s="3">
        <f t="shared" ca="1" si="8"/>
        <v>46087</v>
      </c>
    </row>
    <row r="532" spans="1:6" x14ac:dyDescent="0.3">
      <c r="A532" t="str">
        <f>PARAMS_MODELO!$B$3</f>
        <v>2025-Q3</v>
      </c>
      <c r="B532">
        <f>CALCULOS_AGENCIA!$A532</f>
        <v>51010272</v>
      </c>
      <c r="C532">
        <f>CALCULOS_AGENCIA!$U532</f>
        <v>98.511910854003943</v>
      </c>
      <c r="D532" t="str">
        <f>CALCULOS_AGENCIA!$V532</f>
        <v>DIAMANTE</v>
      </c>
      <c r="E532">
        <f>CALCULOS_AGENCIA!$AA532</f>
        <v>30</v>
      </c>
      <c r="F532" s="3">
        <f t="shared" ca="1" si="8"/>
        <v>46087</v>
      </c>
    </row>
    <row r="533" spans="1:6" x14ac:dyDescent="0.3">
      <c r="A533" t="str">
        <f>PARAMS_MODELO!$B$3</f>
        <v>2025-Q3</v>
      </c>
      <c r="B533">
        <f>CALCULOS_AGENCIA!$A533</f>
        <v>51056451</v>
      </c>
      <c r="C533">
        <f>CALCULOS_AGENCIA!$U533</f>
        <v>58.252976783764353</v>
      </c>
      <c r="D533" t="str">
        <f>CALCULOS_AGENCIA!$V533</f>
        <v>PLATA</v>
      </c>
      <c r="E533">
        <f>CALCULOS_AGENCIA!$AA533</f>
        <v>652</v>
      </c>
      <c r="F533" s="3">
        <f t="shared" ca="1" si="8"/>
        <v>46087</v>
      </c>
    </row>
    <row r="534" spans="1:6" x14ac:dyDescent="0.3">
      <c r="A534" t="str">
        <f>PARAMS_MODELO!$B$3</f>
        <v>2025-Q3</v>
      </c>
      <c r="B534">
        <f>CALCULOS_AGENCIA!$A534</f>
        <v>51018907</v>
      </c>
      <c r="C534">
        <f>CALCULOS_AGENCIA!$U534</f>
        <v>73.641609466775094</v>
      </c>
      <c r="D534" t="str">
        <f>CALCULOS_AGENCIA!$V534</f>
        <v>ORO</v>
      </c>
      <c r="E534">
        <f>CALCULOS_AGENCIA!$AA534</f>
        <v>483</v>
      </c>
      <c r="F534" s="3">
        <f t="shared" ca="1" si="8"/>
        <v>46087</v>
      </c>
    </row>
    <row r="535" spans="1:6" x14ac:dyDescent="0.3">
      <c r="A535" t="str">
        <f>PARAMS_MODELO!$B$3</f>
        <v>2025-Q3</v>
      </c>
      <c r="B535">
        <f>CALCULOS_AGENCIA!$A535</f>
        <v>51004108</v>
      </c>
      <c r="C535">
        <f>CALCULOS_AGENCIA!$U535</f>
        <v>85.965988728613439</v>
      </c>
      <c r="D535" t="str">
        <f>CALCULOS_AGENCIA!$V535</f>
        <v>ORO</v>
      </c>
      <c r="E535">
        <f>CALCULOS_AGENCIA!$AA535</f>
        <v>253</v>
      </c>
      <c r="F535" s="3">
        <f t="shared" ca="1" si="8"/>
        <v>46087</v>
      </c>
    </row>
    <row r="536" spans="1:6" x14ac:dyDescent="0.3">
      <c r="A536" t="str">
        <f>PARAMS_MODELO!$B$3</f>
        <v>2025-Q3</v>
      </c>
      <c r="B536">
        <f>CALCULOS_AGENCIA!$A536</f>
        <v>51030869</v>
      </c>
      <c r="C536">
        <f>CALCULOS_AGENCIA!$U536</f>
        <v>54.797776733105025</v>
      </c>
      <c r="D536" t="str">
        <f>CALCULOS_AGENCIA!$V536</f>
        <v>PLATA</v>
      </c>
      <c r="E536">
        <f>CALCULOS_AGENCIA!$AA536</f>
        <v>719</v>
      </c>
      <c r="F536" s="3">
        <f t="shared" ca="1" si="8"/>
        <v>46087</v>
      </c>
    </row>
    <row r="537" spans="1:6" x14ac:dyDescent="0.3">
      <c r="A537" t="str">
        <f>PARAMS_MODELO!$B$3</f>
        <v>2025-Q3</v>
      </c>
      <c r="B537">
        <f>CALCULOS_AGENCIA!$A537</f>
        <v>51031113</v>
      </c>
      <c r="C537">
        <f>CALCULOS_AGENCIA!$U537</f>
        <v>98.306443714971039</v>
      </c>
      <c r="D537" t="str">
        <f>CALCULOS_AGENCIA!$V537</f>
        <v>DIAMANTE</v>
      </c>
      <c r="E537">
        <f>CALCULOS_AGENCIA!$AA537</f>
        <v>35</v>
      </c>
      <c r="F537" s="3">
        <f t="shared" ca="1" si="8"/>
        <v>46087</v>
      </c>
    </row>
    <row r="538" spans="1:6" x14ac:dyDescent="0.3">
      <c r="A538" t="str">
        <f>PARAMS_MODELO!$B$3</f>
        <v>2025-Q3</v>
      </c>
      <c r="B538">
        <f>CALCULOS_AGENCIA!$A538</f>
        <v>51033329</v>
      </c>
      <c r="C538">
        <f>CALCULOS_AGENCIA!$U538</f>
        <v>83.224192489898982</v>
      </c>
      <c r="D538" t="str">
        <f>CALCULOS_AGENCIA!$V538</f>
        <v>ORO</v>
      </c>
      <c r="E538">
        <f>CALCULOS_AGENCIA!$AA538</f>
        <v>340</v>
      </c>
      <c r="F538" s="3">
        <f t="shared" ca="1" si="8"/>
        <v>46087</v>
      </c>
    </row>
    <row r="539" spans="1:6" x14ac:dyDescent="0.3">
      <c r="A539" t="str">
        <f>PARAMS_MODELO!$B$3</f>
        <v>2025-Q3</v>
      </c>
      <c r="B539">
        <f>CALCULOS_AGENCIA!$A539</f>
        <v>51042905</v>
      </c>
      <c r="C539">
        <f>CALCULOS_AGENCIA!$U539</f>
        <v>56.665806057078356</v>
      </c>
      <c r="D539" t="str">
        <f>CALCULOS_AGENCIA!$V539</f>
        <v>PLATA</v>
      </c>
      <c r="E539">
        <f>CALCULOS_AGENCIA!$AA539</f>
        <v>688</v>
      </c>
      <c r="F539" s="3">
        <f t="shared" ca="1" si="8"/>
        <v>46087</v>
      </c>
    </row>
    <row r="540" spans="1:6" x14ac:dyDescent="0.3">
      <c r="A540" t="str">
        <f>PARAMS_MODELO!$B$3</f>
        <v>2025-Q3</v>
      </c>
      <c r="B540">
        <f>CALCULOS_AGENCIA!$A540</f>
        <v>51010833</v>
      </c>
      <c r="C540">
        <f>CALCULOS_AGENCIA!$U540</f>
        <v>59.796464704261126</v>
      </c>
      <c r="D540" t="str">
        <f>CALCULOS_AGENCIA!$V540</f>
        <v>PLATA</v>
      </c>
      <c r="E540">
        <f>CALCULOS_AGENCIA!$AA540</f>
        <v>623</v>
      </c>
      <c r="F540" s="3">
        <f t="shared" ca="1" si="8"/>
        <v>46087</v>
      </c>
    </row>
    <row r="541" spans="1:6" x14ac:dyDescent="0.3">
      <c r="A541" t="str">
        <f>PARAMS_MODELO!$B$3</f>
        <v>2025-Q3</v>
      </c>
      <c r="B541">
        <f>CALCULOS_AGENCIA!$A541</f>
        <v>51042956</v>
      </c>
      <c r="C541">
        <f>CALCULOS_AGENCIA!$U541</f>
        <v>88.425165017659879</v>
      </c>
      <c r="D541" t="str">
        <f>CALCULOS_AGENCIA!$V541</f>
        <v>PLATINO</v>
      </c>
      <c r="E541">
        <f>CALCULOS_AGENCIA!$AA541</f>
        <v>186</v>
      </c>
      <c r="F541" s="3">
        <f t="shared" ca="1" si="8"/>
        <v>46087</v>
      </c>
    </row>
    <row r="542" spans="1:6" x14ac:dyDescent="0.3">
      <c r="A542" t="str">
        <f>PARAMS_MODELO!$B$3</f>
        <v>2025-Q3</v>
      </c>
      <c r="B542">
        <f>CALCULOS_AGENCIA!$A542</f>
        <v>51039645</v>
      </c>
      <c r="C542">
        <f>CALCULOS_AGENCIA!$U542</f>
        <v>82.700979388881592</v>
      </c>
      <c r="D542" t="str">
        <f>CALCULOS_AGENCIA!$V542</f>
        <v>ORO</v>
      </c>
      <c r="E542">
        <f>CALCULOS_AGENCIA!$AA542</f>
        <v>368</v>
      </c>
      <c r="F542" s="3">
        <f t="shared" ca="1" si="8"/>
        <v>46087</v>
      </c>
    </row>
    <row r="543" spans="1:6" x14ac:dyDescent="0.3">
      <c r="A543" t="str">
        <f>PARAMS_MODELO!$B$3</f>
        <v>2025-Q3</v>
      </c>
      <c r="B543">
        <f>CALCULOS_AGENCIA!$A543</f>
        <v>51021622</v>
      </c>
      <c r="C543">
        <f>CALCULOS_AGENCIA!$U543</f>
        <v>50.05568469760204</v>
      </c>
      <c r="D543" t="str">
        <f>CALCULOS_AGENCIA!$V543</f>
        <v>PLATA</v>
      </c>
      <c r="E543">
        <f>CALCULOS_AGENCIA!$AA543</f>
        <v>742</v>
      </c>
      <c r="F543" s="3">
        <f t="shared" ca="1" si="8"/>
        <v>46087</v>
      </c>
    </row>
    <row r="544" spans="1:6" x14ac:dyDescent="0.3">
      <c r="A544" t="str">
        <f>PARAMS_MODELO!$B$3</f>
        <v>2025-Q3</v>
      </c>
      <c r="B544">
        <f>CALCULOS_AGENCIA!$A544</f>
        <v>51031491</v>
      </c>
      <c r="C544">
        <f>CALCULOS_AGENCIA!$U544</f>
        <v>87.760994694782042</v>
      </c>
      <c r="D544" t="str">
        <f>CALCULOS_AGENCIA!$V544</f>
        <v>PLATINO</v>
      </c>
      <c r="E544">
        <f>CALCULOS_AGENCIA!$AA544</f>
        <v>207</v>
      </c>
      <c r="F544" s="3">
        <f t="shared" ca="1" si="8"/>
        <v>46087</v>
      </c>
    </row>
    <row r="545" spans="1:6" x14ac:dyDescent="0.3">
      <c r="A545" t="str">
        <f>PARAMS_MODELO!$B$3</f>
        <v>2025-Q3</v>
      </c>
      <c r="B545">
        <f>CALCULOS_AGENCIA!$A545</f>
        <v>51020162</v>
      </c>
      <c r="C545">
        <f>CALCULOS_AGENCIA!$U545</f>
        <v>25.783650716958952</v>
      </c>
      <c r="D545" t="str">
        <f>CALCULOS_AGENCIA!$V545</f>
        <v>PLATA</v>
      </c>
      <c r="E545">
        <f>CALCULOS_AGENCIA!$AA545</f>
        <v>909</v>
      </c>
      <c r="F545" s="3">
        <f t="shared" ca="1" si="8"/>
        <v>46087</v>
      </c>
    </row>
    <row r="546" spans="1:6" x14ac:dyDescent="0.3">
      <c r="A546" t="str">
        <f>PARAMS_MODELO!$B$3</f>
        <v>2025-Q3</v>
      </c>
      <c r="B546">
        <f>CALCULOS_AGENCIA!$A546</f>
        <v>51017056</v>
      </c>
      <c r="C546">
        <f>CALCULOS_AGENCIA!$U546</f>
        <v>30.350985858679447</v>
      </c>
      <c r="D546" t="str">
        <f>CALCULOS_AGENCIA!$V546</f>
        <v>PLATA</v>
      </c>
      <c r="E546">
        <f>CALCULOS_AGENCIA!$AA546</f>
        <v>859</v>
      </c>
      <c r="F546" s="3">
        <f t="shared" ca="1" si="8"/>
        <v>46087</v>
      </c>
    </row>
    <row r="547" spans="1:6" x14ac:dyDescent="0.3">
      <c r="A547" t="str">
        <f>PARAMS_MODELO!$B$3</f>
        <v>2025-Q3</v>
      </c>
      <c r="B547">
        <f>CALCULOS_AGENCIA!$A547</f>
        <v>51056019</v>
      </c>
      <c r="C547">
        <f>CALCULOS_AGENCIA!$U547</f>
        <v>56.48906663244432</v>
      </c>
      <c r="D547" t="str">
        <f>CALCULOS_AGENCIA!$V547</f>
        <v>PLATA</v>
      </c>
      <c r="E547">
        <f>CALCULOS_AGENCIA!$AA547</f>
        <v>691</v>
      </c>
      <c r="F547" s="3">
        <f t="shared" ca="1" si="8"/>
        <v>46087</v>
      </c>
    </row>
    <row r="548" spans="1:6" x14ac:dyDescent="0.3">
      <c r="A548" t="str">
        <f>PARAMS_MODELO!$B$3</f>
        <v>2025-Q3</v>
      </c>
      <c r="B548">
        <f>CALCULOS_AGENCIA!$A548</f>
        <v>51017579</v>
      </c>
      <c r="C548">
        <f>CALCULOS_AGENCIA!$U548</f>
        <v>92.288923513824116</v>
      </c>
      <c r="D548" t="str">
        <f>CALCULOS_AGENCIA!$V548</f>
        <v>PLATINO</v>
      </c>
      <c r="E548">
        <f>CALCULOS_AGENCIA!$AA548</f>
        <v>103</v>
      </c>
      <c r="F548" s="3">
        <f t="shared" ca="1" si="8"/>
        <v>46087</v>
      </c>
    </row>
    <row r="549" spans="1:6" x14ac:dyDescent="0.3">
      <c r="A549" t="str">
        <f>PARAMS_MODELO!$B$3</f>
        <v>2025-Q3</v>
      </c>
      <c r="B549">
        <f>CALCULOS_AGENCIA!$A549</f>
        <v>51015487</v>
      </c>
      <c r="C549">
        <f>CALCULOS_AGENCIA!$U549</f>
        <v>67.168402511401524</v>
      </c>
      <c r="D549" t="str">
        <f>CALCULOS_AGENCIA!$V549</f>
        <v>ORO</v>
      </c>
      <c r="E549">
        <f>CALCULOS_AGENCIA!$AA549</f>
        <v>536</v>
      </c>
      <c r="F549" s="3">
        <f t="shared" ca="1" si="8"/>
        <v>46087</v>
      </c>
    </row>
    <row r="550" spans="1:6" x14ac:dyDescent="0.3">
      <c r="A550" t="str">
        <f>PARAMS_MODELO!$B$3</f>
        <v>2025-Q3</v>
      </c>
      <c r="B550">
        <f>CALCULOS_AGENCIA!$A550</f>
        <v>51040333</v>
      </c>
      <c r="C550">
        <f>CALCULOS_AGENCIA!$U550</f>
        <v>87.162486745472734</v>
      </c>
      <c r="D550" t="str">
        <f>CALCULOS_AGENCIA!$V550</f>
        <v>PLATINO</v>
      </c>
      <c r="E550">
        <f>CALCULOS_AGENCIA!$AA550</f>
        <v>222</v>
      </c>
      <c r="F550" s="3">
        <f t="shared" ca="1" si="8"/>
        <v>46087</v>
      </c>
    </row>
    <row r="551" spans="1:6" x14ac:dyDescent="0.3">
      <c r="A551" t="str">
        <f>PARAMS_MODELO!$B$3</f>
        <v>2025-Q3</v>
      </c>
      <c r="B551">
        <f>CALCULOS_AGENCIA!$A551</f>
        <v>51017153</v>
      </c>
      <c r="C551">
        <f>CALCULOS_AGENCIA!$U551</f>
        <v>75.386810455008671</v>
      </c>
      <c r="D551" t="str">
        <f>CALCULOS_AGENCIA!$V551</f>
        <v>ORO</v>
      </c>
      <c r="E551">
        <f>CALCULOS_AGENCIA!$AA551</f>
        <v>473</v>
      </c>
      <c r="F551" s="3">
        <f t="shared" ca="1" si="8"/>
        <v>46087</v>
      </c>
    </row>
    <row r="552" spans="1:6" x14ac:dyDescent="0.3">
      <c r="A552" t="str">
        <f>PARAMS_MODELO!$B$3</f>
        <v>2025-Q3</v>
      </c>
      <c r="B552">
        <f>CALCULOS_AGENCIA!$A552</f>
        <v>51021886</v>
      </c>
      <c r="C552">
        <f>CALCULOS_AGENCIA!$U552</f>
        <v>56.101977000092177</v>
      </c>
      <c r="D552" t="str">
        <f>CALCULOS_AGENCIA!$V552</f>
        <v>PLATA</v>
      </c>
      <c r="E552">
        <f>CALCULOS_AGENCIA!$AA552</f>
        <v>699</v>
      </c>
      <c r="F552" s="3">
        <f t="shared" ca="1" si="8"/>
        <v>46087</v>
      </c>
    </row>
    <row r="553" spans="1:6" x14ac:dyDescent="0.3">
      <c r="A553" t="str">
        <f>PARAMS_MODELO!$B$3</f>
        <v>2025-Q3</v>
      </c>
      <c r="B553">
        <f>CALCULOS_AGENCIA!$A553</f>
        <v>51023188</v>
      </c>
      <c r="C553">
        <f>CALCULOS_AGENCIA!$U553</f>
        <v>96.375290640013162</v>
      </c>
      <c r="D553" t="str">
        <f>CALCULOS_AGENCIA!$V553</f>
        <v>DIAMANTE</v>
      </c>
      <c r="E553">
        <f>CALCULOS_AGENCIA!$AA553</f>
        <v>55</v>
      </c>
      <c r="F553" s="3">
        <f t="shared" ca="1" si="8"/>
        <v>46087</v>
      </c>
    </row>
    <row r="554" spans="1:6" x14ac:dyDescent="0.3">
      <c r="A554" t="str">
        <f>PARAMS_MODELO!$B$3</f>
        <v>2025-Q3</v>
      </c>
      <c r="B554">
        <f>CALCULOS_AGENCIA!$A554</f>
        <v>51055667</v>
      </c>
      <c r="C554">
        <f>CALCULOS_AGENCIA!$U554</f>
        <v>30.16993441108869</v>
      </c>
      <c r="D554" t="str">
        <f>CALCULOS_AGENCIA!$V554</f>
        <v>PLATA</v>
      </c>
      <c r="E554">
        <f>CALCULOS_AGENCIA!$AA554</f>
        <v>861</v>
      </c>
      <c r="F554" s="3">
        <f t="shared" ca="1" si="8"/>
        <v>46087</v>
      </c>
    </row>
    <row r="555" spans="1:6" x14ac:dyDescent="0.3">
      <c r="A555" t="str">
        <f>PARAMS_MODELO!$B$3</f>
        <v>2025-Q3</v>
      </c>
      <c r="B555">
        <f>CALCULOS_AGENCIA!$A555</f>
        <v>51020081</v>
      </c>
      <c r="C555">
        <f>CALCULOS_AGENCIA!$U555</f>
        <v>83.069371491439782</v>
      </c>
      <c r="D555" t="str">
        <f>CALCULOS_AGENCIA!$V555</f>
        <v>ORO</v>
      </c>
      <c r="E555">
        <f>CALCULOS_AGENCIA!$AA555</f>
        <v>352</v>
      </c>
      <c r="F555" s="3">
        <f t="shared" ca="1" si="8"/>
        <v>46087</v>
      </c>
    </row>
    <row r="556" spans="1:6" x14ac:dyDescent="0.3">
      <c r="A556" t="str">
        <f>PARAMS_MODELO!$B$3</f>
        <v>2025-Q3</v>
      </c>
      <c r="B556">
        <f>CALCULOS_AGENCIA!$A556</f>
        <v>51018729</v>
      </c>
      <c r="C556">
        <f>CALCULOS_AGENCIA!$U556</f>
        <v>67.921761216910937</v>
      </c>
      <c r="D556" t="str">
        <f>CALCULOS_AGENCIA!$V556</f>
        <v>ORO</v>
      </c>
      <c r="E556">
        <f>CALCULOS_AGENCIA!$AA556</f>
        <v>529</v>
      </c>
      <c r="F556" s="3">
        <f t="shared" ca="1" si="8"/>
        <v>46087</v>
      </c>
    </row>
    <row r="557" spans="1:6" x14ac:dyDescent="0.3">
      <c r="A557" t="str">
        <f>PARAMS_MODELO!$B$3</f>
        <v>2025-Q3</v>
      </c>
      <c r="B557">
        <f>CALCULOS_AGENCIA!$A557</f>
        <v>51030222</v>
      </c>
      <c r="C557">
        <f>CALCULOS_AGENCIA!$U557</f>
        <v>45.291061266204515</v>
      </c>
      <c r="D557" t="str">
        <f>CALCULOS_AGENCIA!$V557</f>
        <v>PLATA</v>
      </c>
      <c r="E557">
        <f>CALCULOS_AGENCIA!$AA557</f>
        <v>773</v>
      </c>
      <c r="F557" s="3">
        <f t="shared" ca="1" si="8"/>
        <v>46087</v>
      </c>
    </row>
    <row r="558" spans="1:6" x14ac:dyDescent="0.3">
      <c r="A558" t="str">
        <f>PARAMS_MODELO!$B$3</f>
        <v>2025-Q3</v>
      </c>
      <c r="B558">
        <f>CALCULOS_AGENCIA!$A558</f>
        <v>51002717</v>
      </c>
      <c r="C558">
        <f>CALCULOS_AGENCIA!$U558</f>
        <v>40.145500877899835</v>
      </c>
      <c r="D558" t="str">
        <f>CALCULOS_AGENCIA!$V558</f>
        <v>PLATA</v>
      </c>
      <c r="E558">
        <f>CALCULOS_AGENCIA!$AA558</f>
        <v>784</v>
      </c>
      <c r="F558" s="3">
        <f t="shared" ca="1" si="8"/>
        <v>46087</v>
      </c>
    </row>
    <row r="559" spans="1:6" x14ac:dyDescent="0.3">
      <c r="A559" t="str">
        <f>PARAMS_MODELO!$B$3</f>
        <v>2025-Q3</v>
      </c>
      <c r="B559">
        <f>CALCULOS_AGENCIA!$A559</f>
        <v>51055454</v>
      </c>
      <c r="C559">
        <f>CALCULOS_AGENCIA!$U559</f>
        <v>30.394223033121566</v>
      </c>
      <c r="D559" t="str">
        <f>CALCULOS_AGENCIA!$V559</f>
        <v>PLATA</v>
      </c>
      <c r="E559">
        <f>CALCULOS_AGENCIA!$AA559</f>
        <v>856</v>
      </c>
      <c r="F559" s="3">
        <f t="shared" ca="1" si="8"/>
        <v>46087</v>
      </c>
    </row>
    <row r="560" spans="1:6" x14ac:dyDescent="0.3">
      <c r="A560" t="str">
        <f>PARAMS_MODELO!$B$3</f>
        <v>2025-Q3</v>
      </c>
      <c r="B560">
        <f>CALCULOS_AGENCIA!$A560</f>
        <v>51055756</v>
      </c>
      <c r="C560">
        <f>CALCULOS_AGENCIA!$U560</f>
        <v>97.597189698238182</v>
      </c>
      <c r="D560" t="str">
        <f>CALCULOS_AGENCIA!$V560</f>
        <v>DIAMANTE</v>
      </c>
      <c r="E560">
        <f>CALCULOS_AGENCIA!$AA560</f>
        <v>40</v>
      </c>
      <c r="F560" s="3">
        <f t="shared" ca="1" si="8"/>
        <v>46087</v>
      </c>
    </row>
    <row r="561" spans="1:6" x14ac:dyDescent="0.3">
      <c r="A561" t="str">
        <f>PARAMS_MODELO!$B$3</f>
        <v>2025-Q3</v>
      </c>
      <c r="B561">
        <f>CALCULOS_AGENCIA!$A561</f>
        <v>51011490</v>
      </c>
      <c r="C561">
        <f>CALCULOS_AGENCIA!$U561</f>
        <v>54.505753761124289</v>
      </c>
      <c r="D561" t="str">
        <f>CALCULOS_AGENCIA!$V561</f>
        <v>PLATA</v>
      </c>
      <c r="E561">
        <f>CALCULOS_AGENCIA!$AA561</f>
        <v>722</v>
      </c>
      <c r="F561" s="3">
        <f t="shared" ca="1" si="8"/>
        <v>46087</v>
      </c>
    </row>
    <row r="562" spans="1:6" x14ac:dyDescent="0.3">
      <c r="A562" t="str">
        <f>PARAMS_MODELO!$B$3</f>
        <v>2025-Q3</v>
      </c>
      <c r="B562">
        <f>CALCULOS_AGENCIA!$A562</f>
        <v>51010736</v>
      </c>
      <c r="C562">
        <f>CALCULOS_AGENCIA!$U562</f>
        <v>87.369278755034159</v>
      </c>
      <c r="D562" t="str">
        <f>CALCULOS_AGENCIA!$V562</f>
        <v>PLATINO</v>
      </c>
      <c r="E562">
        <f>CALCULOS_AGENCIA!$AA562</f>
        <v>216</v>
      </c>
      <c r="F562" s="3">
        <f t="shared" ca="1" si="8"/>
        <v>46087</v>
      </c>
    </row>
    <row r="563" spans="1:6" x14ac:dyDescent="0.3">
      <c r="A563" t="str">
        <f>PARAMS_MODELO!$B$3</f>
        <v>2025-Q3</v>
      </c>
      <c r="B563">
        <f>CALCULOS_AGENCIA!$A563</f>
        <v>51016149</v>
      </c>
      <c r="C563">
        <f>CALCULOS_AGENCIA!$U563</f>
        <v>81.310366433394606</v>
      </c>
      <c r="D563" t="str">
        <f>CALCULOS_AGENCIA!$V563</f>
        <v>ORO</v>
      </c>
      <c r="E563">
        <f>CALCULOS_AGENCIA!$AA563</f>
        <v>406</v>
      </c>
      <c r="F563" s="3">
        <f t="shared" ca="1" si="8"/>
        <v>46087</v>
      </c>
    </row>
    <row r="564" spans="1:6" x14ac:dyDescent="0.3">
      <c r="A564" t="str">
        <f>PARAMS_MODELO!$B$3</f>
        <v>2025-Q3</v>
      </c>
      <c r="B564">
        <f>CALCULOS_AGENCIA!$A564</f>
        <v>51013930</v>
      </c>
      <c r="C564">
        <f>CALCULOS_AGENCIA!$U564</f>
        <v>46.372005950709813</v>
      </c>
      <c r="D564" t="str">
        <f>CALCULOS_AGENCIA!$V564</f>
        <v>PLATA</v>
      </c>
      <c r="E564">
        <f>CALCULOS_AGENCIA!$AA564</f>
        <v>763</v>
      </c>
      <c r="F564" s="3">
        <f t="shared" ca="1" si="8"/>
        <v>46087</v>
      </c>
    </row>
    <row r="565" spans="1:6" x14ac:dyDescent="0.3">
      <c r="A565" t="str">
        <f>PARAMS_MODELO!$B$3</f>
        <v>2025-Q3</v>
      </c>
      <c r="B565">
        <f>CALCULOS_AGENCIA!$A565</f>
        <v>51055641</v>
      </c>
      <c r="C565">
        <f>CALCULOS_AGENCIA!$U565</f>
        <v>23.981392911793936</v>
      </c>
      <c r="D565" t="str">
        <f>CALCULOS_AGENCIA!$V565</f>
        <v>BRONCE</v>
      </c>
      <c r="E565">
        <f>CALCULOS_AGENCIA!$AA565</f>
        <v>921</v>
      </c>
      <c r="F565" s="3">
        <f t="shared" ca="1" si="8"/>
        <v>46087</v>
      </c>
    </row>
    <row r="566" spans="1:6" x14ac:dyDescent="0.3">
      <c r="A566" t="str">
        <f>PARAMS_MODELO!$B$3</f>
        <v>2025-Q3</v>
      </c>
      <c r="B566">
        <f>CALCULOS_AGENCIA!$A566</f>
        <v>51021461</v>
      </c>
      <c r="C566">
        <f>CALCULOS_AGENCIA!$U566</f>
        <v>100</v>
      </c>
      <c r="D566" t="str">
        <f>CALCULOS_AGENCIA!$V566</f>
        <v>DIAMANTE</v>
      </c>
      <c r="E566">
        <f>CALCULOS_AGENCIA!$AA566</f>
        <v>1</v>
      </c>
      <c r="F566" s="3">
        <f t="shared" ca="1" si="8"/>
        <v>46087</v>
      </c>
    </row>
    <row r="567" spans="1:6" x14ac:dyDescent="0.3">
      <c r="A567" t="str">
        <f>PARAMS_MODELO!$B$3</f>
        <v>2025-Q3</v>
      </c>
      <c r="B567">
        <f>CALCULOS_AGENCIA!$A567</f>
        <v>51039637</v>
      </c>
      <c r="C567">
        <f>CALCULOS_AGENCIA!$U567</f>
        <v>96.432113897448232</v>
      </c>
      <c r="D567" t="str">
        <f>CALCULOS_AGENCIA!$V567</f>
        <v>DIAMANTE</v>
      </c>
      <c r="E567">
        <f>CALCULOS_AGENCIA!$AA567</f>
        <v>54</v>
      </c>
      <c r="F567" s="3">
        <f t="shared" ca="1" si="8"/>
        <v>46087</v>
      </c>
    </row>
    <row r="568" spans="1:6" x14ac:dyDescent="0.3">
      <c r="A568" t="str">
        <f>PARAMS_MODELO!$B$3</f>
        <v>2025-Q3</v>
      </c>
      <c r="B568">
        <f>CALCULOS_AGENCIA!$A568</f>
        <v>51020308</v>
      </c>
      <c r="C568">
        <f>CALCULOS_AGENCIA!$U568</f>
        <v>85.357708379941741</v>
      </c>
      <c r="D568" t="str">
        <f>CALCULOS_AGENCIA!$V568</f>
        <v>ORO</v>
      </c>
      <c r="E568">
        <f>CALCULOS_AGENCIA!$AA568</f>
        <v>274</v>
      </c>
      <c r="F568" s="3">
        <f t="shared" ca="1" si="8"/>
        <v>46087</v>
      </c>
    </row>
    <row r="569" spans="1:6" x14ac:dyDescent="0.3">
      <c r="A569" t="str">
        <f>PARAMS_MODELO!$B$3</f>
        <v>2025-Q3</v>
      </c>
      <c r="B569">
        <f>CALCULOS_AGENCIA!$A569</f>
        <v>51040597</v>
      </c>
      <c r="C569">
        <f>CALCULOS_AGENCIA!$U569</f>
        <v>58.800078158328567</v>
      </c>
      <c r="D569" t="str">
        <f>CALCULOS_AGENCIA!$V569</f>
        <v>PLATA</v>
      </c>
      <c r="E569">
        <f>CALCULOS_AGENCIA!$AA569</f>
        <v>639</v>
      </c>
      <c r="F569" s="3">
        <f t="shared" ca="1" si="8"/>
        <v>46087</v>
      </c>
    </row>
    <row r="570" spans="1:6" x14ac:dyDescent="0.3">
      <c r="A570" t="str">
        <f>PARAMS_MODELO!$B$3</f>
        <v>2025-Q3</v>
      </c>
      <c r="B570">
        <f>CALCULOS_AGENCIA!$A570</f>
        <v>51014197</v>
      </c>
      <c r="C570">
        <f>CALCULOS_AGENCIA!$U570</f>
        <v>57.779045680687169</v>
      </c>
      <c r="D570" t="str">
        <f>CALCULOS_AGENCIA!$V570</f>
        <v>PLATA</v>
      </c>
      <c r="E570">
        <f>CALCULOS_AGENCIA!$AA570</f>
        <v>669</v>
      </c>
      <c r="F570" s="3">
        <f t="shared" ca="1" si="8"/>
        <v>46087</v>
      </c>
    </row>
    <row r="571" spans="1:6" x14ac:dyDescent="0.3">
      <c r="A571" t="str">
        <f>PARAMS_MODELO!$B$3</f>
        <v>2025-Q3</v>
      </c>
      <c r="B571">
        <f>CALCULOS_AGENCIA!$A571</f>
        <v>51056621</v>
      </c>
      <c r="C571">
        <f>CALCULOS_AGENCIA!$U571</f>
        <v>65.933019988272846</v>
      </c>
      <c r="D571" t="str">
        <f>CALCULOS_AGENCIA!$V571</f>
        <v>ORO</v>
      </c>
      <c r="E571">
        <f>CALCULOS_AGENCIA!$AA571</f>
        <v>541</v>
      </c>
      <c r="F571" s="3">
        <f t="shared" ca="1" si="8"/>
        <v>46087</v>
      </c>
    </row>
    <row r="572" spans="1:6" x14ac:dyDescent="0.3">
      <c r="A572" t="str">
        <f>PARAMS_MODELO!$B$3</f>
        <v>2025-Q3</v>
      </c>
      <c r="B572">
        <f>CALCULOS_AGENCIA!$A572</f>
        <v>51018524</v>
      </c>
      <c r="C572">
        <f>CALCULOS_AGENCIA!$U572</f>
        <v>86.890241850650924</v>
      </c>
      <c r="D572" t="str">
        <f>CALCULOS_AGENCIA!$V572</f>
        <v>PLATINO</v>
      </c>
      <c r="E572">
        <f>CALCULOS_AGENCIA!$AA572</f>
        <v>227</v>
      </c>
      <c r="F572" s="3">
        <f t="shared" ca="1" si="8"/>
        <v>46087</v>
      </c>
    </row>
    <row r="573" spans="1:6" x14ac:dyDescent="0.3">
      <c r="A573" t="str">
        <f>PARAMS_MODELO!$B$3</f>
        <v>2025-Q3</v>
      </c>
      <c r="B573">
        <f>CALCULOS_AGENCIA!$A573</f>
        <v>51056701</v>
      </c>
      <c r="C573">
        <f>CALCULOS_AGENCIA!$U573</f>
        <v>58.308923191076062</v>
      </c>
      <c r="D573" t="str">
        <f>CALCULOS_AGENCIA!$V573</f>
        <v>PLATA</v>
      </c>
      <c r="E573">
        <f>CALCULOS_AGENCIA!$AA573</f>
        <v>650</v>
      </c>
      <c r="F573" s="3">
        <f t="shared" ca="1" si="8"/>
        <v>46087</v>
      </c>
    </row>
    <row r="574" spans="1:6" x14ac:dyDescent="0.3">
      <c r="A574" t="str">
        <f>PARAMS_MODELO!$B$3</f>
        <v>2025-Q3</v>
      </c>
      <c r="B574">
        <f>CALCULOS_AGENCIA!$A574</f>
        <v>51057007</v>
      </c>
      <c r="C574">
        <f>CALCULOS_AGENCIA!$U574</f>
        <v>22.471670645500868</v>
      </c>
      <c r="D574" t="str">
        <f>CALCULOS_AGENCIA!$V574</f>
        <v>BRONCE</v>
      </c>
      <c r="E574">
        <f>CALCULOS_AGENCIA!$AA574</f>
        <v>944</v>
      </c>
      <c r="F574" s="3">
        <f t="shared" ca="1" si="8"/>
        <v>46087</v>
      </c>
    </row>
    <row r="575" spans="1:6" x14ac:dyDescent="0.3">
      <c r="A575" t="str">
        <f>PARAMS_MODELO!$B$3</f>
        <v>2025-Q3</v>
      </c>
      <c r="B575">
        <f>CALCULOS_AGENCIA!$A575</f>
        <v>51011091</v>
      </c>
      <c r="C575">
        <f>CALCULOS_AGENCIA!$U575</f>
        <v>61.154657429614396</v>
      </c>
      <c r="D575" t="str">
        <f>CALCULOS_AGENCIA!$V575</f>
        <v>PLATA</v>
      </c>
      <c r="E575">
        <f>CALCULOS_AGENCIA!$AA575</f>
        <v>594</v>
      </c>
      <c r="F575" s="3">
        <f t="shared" ca="1" si="8"/>
        <v>46087</v>
      </c>
    </row>
    <row r="576" spans="1:6" x14ac:dyDescent="0.3">
      <c r="A576" t="str">
        <f>PARAMS_MODELO!$B$3</f>
        <v>2025-Q3</v>
      </c>
      <c r="B576">
        <f>CALCULOS_AGENCIA!$A576</f>
        <v>51011953</v>
      </c>
      <c r="C576">
        <f>CALCULOS_AGENCIA!$U576</f>
        <v>22.902874226645636</v>
      </c>
      <c r="D576" t="str">
        <f>CALCULOS_AGENCIA!$V576</f>
        <v>BRONCE</v>
      </c>
      <c r="E576">
        <f>CALCULOS_AGENCIA!$AA576</f>
        <v>932</v>
      </c>
      <c r="F576" s="3">
        <f t="shared" ca="1" si="8"/>
        <v>46087</v>
      </c>
    </row>
    <row r="577" spans="1:6" x14ac:dyDescent="0.3">
      <c r="A577" t="str">
        <f>PARAMS_MODELO!$B$3</f>
        <v>2025-Q3</v>
      </c>
      <c r="B577">
        <f>CALCULOS_AGENCIA!$A577</f>
        <v>51022955</v>
      </c>
      <c r="C577">
        <f>CALCULOS_AGENCIA!$U577</f>
        <v>68.279261332204356</v>
      </c>
      <c r="D577" t="str">
        <f>CALCULOS_AGENCIA!$V577</f>
        <v>ORO</v>
      </c>
      <c r="E577">
        <f>CALCULOS_AGENCIA!$AA577</f>
        <v>524</v>
      </c>
      <c r="F577" s="3">
        <f t="shared" ca="1" si="8"/>
        <v>46087</v>
      </c>
    </row>
    <row r="578" spans="1:6" x14ac:dyDescent="0.3">
      <c r="A578" t="str">
        <f>PARAMS_MODELO!$B$3</f>
        <v>2025-Q3</v>
      </c>
      <c r="B578">
        <f>CALCULOS_AGENCIA!$A578</f>
        <v>51021673</v>
      </c>
      <c r="C578">
        <f>CALCULOS_AGENCIA!$U578</f>
        <v>55.109197397589639</v>
      </c>
      <c r="D578" t="str">
        <f>CALCULOS_AGENCIA!$V578</f>
        <v>PLATA</v>
      </c>
      <c r="E578">
        <f>CALCULOS_AGENCIA!$AA578</f>
        <v>715</v>
      </c>
      <c r="F578" s="3">
        <f t="shared" ref="F578:F641" ca="1" si="9">TODAY()</f>
        <v>46087</v>
      </c>
    </row>
    <row r="579" spans="1:6" x14ac:dyDescent="0.3">
      <c r="A579" t="str">
        <f>PARAMS_MODELO!$B$3</f>
        <v>2025-Q3</v>
      </c>
      <c r="B579">
        <f>CALCULOS_AGENCIA!$A579</f>
        <v>51013476</v>
      </c>
      <c r="C579">
        <f>CALCULOS_AGENCIA!$U579</f>
        <v>81.048844938523715</v>
      </c>
      <c r="D579" t="str">
        <f>CALCULOS_AGENCIA!$V579</f>
        <v>ORO</v>
      </c>
      <c r="E579">
        <f>CALCULOS_AGENCIA!$AA579</f>
        <v>413</v>
      </c>
      <c r="F579" s="3">
        <f t="shared" ca="1" si="9"/>
        <v>46087</v>
      </c>
    </row>
    <row r="580" spans="1:6" x14ac:dyDescent="0.3">
      <c r="A580" t="str">
        <f>PARAMS_MODELO!$B$3</f>
        <v>2025-Q3</v>
      </c>
      <c r="B580">
        <f>CALCULOS_AGENCIA!$A580</f>
        <v>51022998</v>
      </c>
      <c r="C580">
        <f>CALCULOS_AGENCIA!$U580</f>
        <v>98.0770561748527</v>
      </c>
      <c r="D580" t="str">
        <f>CALCULOS_AGENCIA!$V580</f>
        <v>DIAMANTE</v>
      </c>
      <c r="E580">
        <f>CALCULOS_AGENCIA!$AA580</f>
        <v>37</v>
      </c>
      <c r="F580" s="3">
        <f t="shared" ca="1" si="9"/>
        <v>46087</v>
      </c>
    </row>
    <row r="581" spans="1:6" x14ac:dyDescent="0.3">
      <c r="A581" t="str">
        <f>PARAMS_MODELO!$B$3</f>
        <v>2025-Q3</v>
      </c>
      <c r="B581">
        <f>CALCULOS_AGENCIA!$A581</f>
        <v>51056485</v>
      </c>
      <c r="C581">
        <f>CALCULOS_AGENCIA!$U581</f>
        <v>56.483134938630279</v>
      </c>
      <c r="D581" t="str">
        <f>CALCULOS_AGENCIA!$V581</f>
        <v>PLATA</v>
      </c>
      <c r="E581">
        <f>CALCULOS_AGENCIA!$AA581</f>
        <v>692</v>
      </c>
      <c r="F581" s="3">
        <f t="shared" ca="1" si="9"/>
        <v>46087</v>
      </c>
    </row>
    <row r="582" spans="1:6" x14ac:dyDescent="0.3">
      <c r="A582" t="str">
        <f>PARAMS_MODELO!$B$3</f>
        <v>2025-Q3</v>
      </c>
      <c r="B582">
        <f>CALCULOS_AGENCIA!$A582</f>
        <v>51055705</v>
      </c>
      <c r="C582">
        <f>CALCULOS_AGENCIA!$U582</f>
        <v>83.214089306732973</v>
      </c>
      <c r="D582" t="str">
        <f>CALCULOS_AGENCIA!$V582</f>
        <v>ORO</v>
      </c>
      <c r="E582">
        <f>CALCULOS_AGENCIA!$AA582</f>
        <v>341</v>
      </c>
      <c r="F582" s="3">
        <f t="shared" ca="1" si="9"/>
        <v>46087</v>
      </c>
    </row>
    <row r="583" spans="1:6" x14ac:dyDescent="0.3">
      <c r="A583" t="str">
        <f>PARAMS_MODELO!$B$3</f>
        <v>2025-Q3</v>
      </c>
      <c r="B583">
        <f>CALCULOS_AGENCIA!$A583</f>
        <v>51041798</v>
      </c>
      <c r="C583">
        <f>CALCULOS_AGENCIA!$U583</f>
        <v>83.170215366582795</v>
      </c>
      <c r="D583" t="str">
        <f>CALCULOS_AGENCIA!$V583</f>
        <v>ORO</v>
      </c>
      <c r="E583">
        <f>CALCULOS_AGENCIA!$AA583</f>
        <v>346</v>
      </c>
      <c r="F583" s="3">
        <f t="shared" ca="1" si="9"/>
        <v>46087</v>
      </c>
    </row>
    <row r="584" spans="1:6" x14ac:dyDescent="0.3">
      <c r="A584" t="str">
        <f>PARAMS_MODELO!$B$3</f>
        <v>2025-Q3</v>
      </c>
      <c r="B584">
        <f>CALCULOS_AGENCIA!$A584</f>
        <v>51020600</v>
      </c>
      <c r="C584">
        <f>CALCULOS_AGENCIA!$U584</f>
        <v>58.562789323032433</v>
      </c>
      <c r="D584" t="str">
        <f>CALCULOS_AGENCIA!$V584</f>
        <v>PLATA</v>
      </c>
      <c r="E584">
        <f>CALCULOS_AGENCIA!$AA584</f>
        <v>646</v>
      </c>
      <c r="F584" s="3">
        <f t="shared" ca="1" si="9"/>
        <v>46087</v>
      </c>
    </row>
    <row r="585" spans="1:6" x14ac:dyDescent="0.3">
      <c r="A585" t="str">
        <f>PARAMS_MODELO!$B$3</f>
        <v>2025-Q3</v>
      </c>
      <c r="B585">
        <f>CALCULOS_AGENCIA!$A585</f>
        <v>51033795</v>
      </c>
      <c r="C585">
        <f>CALCULOS_AGENCIA!$U585</f>
        <v>75.251950401149173</v>
      </c>
      <c r="D585" t="str">
        <f>CALCULOS_AGENCIA!$V585</f>
        <v>ORO</v>
      </c>
      <c r="E585">
        <f>CALCULOS_AGENCIA!$AA585</f>
        <v>474</v>
      </c>
      <c r="F585" s="3">
        <f t="shared" ca="1" si="9"/>
        <v>46087</v>
      </c>
    </row>
    <row r="586" spans="1:6" x14ac:dyDescent="0.3">
      <c r="A586" t="str">
        <f>PARAMS_MODELO!$B$3</f>
        <v>2025-Q3</v>
      </c>
      <c r="B586">
        <f>CALCULOS_AGENCIA!$A586</f>
        <v>51030419</v>
      </c>
      <c r="C586">
        <f>CALCULOS_AGENCIA!$U586</f>
        <v>50.18143111043608</v>
      </c>
      <c r="D586" t="str">
        <f>CALCULOS_AGENCIA!$V586</f>
        <v>PLATA</v>
      </c>
      <c r="E586">
        <f>CALCULOS_AGENCIA!$AA586</f>
        <v>741</v>
      </c>
      <c r="F586" s="3">
        <f t="shared" ca="1" si="9"/>
        <v>46087</v>
      </c>
    </row>
    <row r="587" spans="1:6" x14ac:dyDescent="0.3">
      <c r="A587" t="str">
        <f>PARAMS_MODELO!$B$3</f>
        <v>2025-Q3</v>
      </c>
      <c r="B587">
        <f>CALCULOS_AGENCIA!$A587</f>
        <v>51038819</v>
      </c>
      <c r="C587">
        <f>CALCULOS_AGENCIA!$U587</f>
        <v>82.314928051347394</v>
      </c>
      <c r="D587" t="str">
        <f>CALCULOS_AGENCIA!$V587</f>
        <v>ORO</v>
      </c>
      <c r="E587">
        <f>CALCULOS_AGENCIA!$AA587</f>
        <v>381</v>
      </c>
      <c r="F587" s="3">
        <f t="shared" ca="1" si="9"/>
        <v>46087</v>
      </c>
    </row>
    <row r="588" spans="1:6" x14ac:dyDescent="0.3">
      <c r="A588" t="str">
        <f>PARAMS_MODELO!$B$3</f>
        <v>2025-Q3</v>
      </c>
      <c r="B588">
        <f>CALCULOS_AGENCIA!$A588</f>
        <v>51021851</v>
      </c>
      <c r="C588">
        <f>CALCULOS_AGENCIA!$U588</f>
        <v>90.615622492729258</v>
      </c>
      <c r="D588" t="str">
        <f>CALCULOS_AGENCIA!$V588</f>
        <v>PLATINO</v>
      </c>
      <c r="E588">
        <f>CALCULOS_AGENCIA!$AA588</f>
        <v>121</v>
      </c>
      <c r="F588" s="3">
        <f t="shared" ca="1" si="9"/>
        <v>46087</v>
      </c>
    </row>
    <row r="589" spans="1:6" x14ac:dyDescent="0.3">
      <c r="A589" t="str">
        <f>PARAMS_MODELO!$B$3</f>
        <v>2025-Q3</v>
      </c>
      <c r="B589">
        <f>CALCULOS_AGENCIA!$A589</f>
        <v>51004086</v>
      </c>
      <c r="C589">
        <f>CALCULOS_AGENCIA!$U589</f>
        <v>34.583858866530214</v>
      </c>
      <c r="D589" t="str">
        <f>CALCULOS_AGENCIA!$V589</f>
        <v>PLATA</v>
      </c>
      <c r="E589">
        <f>CALCULOS_AGENCIA!$AA589</f>
        <v>809</v>
      </c>
      <c r="F589" s="3">
        <f t="shared" ca="1" si="9"/>
        <v>46087</v>
      </c>
    </row>
    <row r="590" spans="1:6" x14ac:dyDescent="0.3">
      <c r="A590" t="str">
        <f>PARAMS_MODELO!$B$3</f>
        <v>2025-Q3</v>
      </c>
      <c r="B590">
        <f>CALCULOS_AGENCIA!$A590</f>
        <v>51017111</v>
      </c>
      <c r="C590">
        <f>CALCULOS_AGENCIA!$U590</f>
        <v>67.620326660173646</v>
      </c>
      <c r="D590" t="str">
        <f>CALCULOS_AGENCIA!$V590</f>
        <v>ORO</v>
      </c>
      <c r="E590">
        <f>CALCULOS_AGENCIA!$AA590</f>
        <v>534</v>
      </c>
      <c r="F590" s="3">
        <f t="shared" ca="1" si="9"/>
        <v>46087</v>
      </c>
    </row>
    <row r="591" spans="1:6" x14ac:dyDescent="0.3">
      <c r="A591" t="str">
        <f>PARAMS_MODELO!$B$3</f>
        <v>2025-Q3</v>
      </c>
      <c r="B591">
        <f>CALCULOS_AGENCIA!$A591</f>
        <v>51022106</v>
      </c>
      <c r="C591">
        <f>CALCULOS_AGENCIA!$U591</f>
        <v>17.553914493467694</v>
      </c>
      <c r="D591" t="str">
        <f>CALCULOS_AGENCIA!$V591</f>
        <v>BRONCE</v>
      </c>
      <c r="E591">
        <f>CALCULOS_AGENCIA!$AA591</f>
        <v>1039</v>
      </c>
      <c r="F591" s="3">
        <f t="shared" ca="1" si="9"/>
        <v>46087</v>
      </c>
    </row>
    <row r="592" spans="1:6" x14ac:dyDescent="0.3">
      <c r="A592" t="str">
        <f>PARAMS_MODELO!$B$3</f>
        <v>2025-Q3</v>
      </c>
      <c r="B592">
        <f>CALCULOS_AGENCIA!$A592</f>
        <v>51056205</v>
      </c>
      <c r="C592">
        <f>CALCULOS_AGENCIA!$U592</f>
        <v>80.597286288529233</v>
      </c>
      <c r="D592" t="str">
        <f>CALCULOS_AGENCIA!$V592</f>
        <v>ORO</v>
      </c>
      <c r="E592">
        <f>CALCULOS_AGENCIA!$AA592</f>
        <v>427</v>
      </c>
      <c r="F592" s="3">
        <f t="shared" ca="1" si="9"/>
        <v>46087</v>
      </c>
    </row>
    <row r="593" spans="1:6" x14ac:dyDescent="0.3">
      <c r="A593" t="str">
        <f>PARAMS_MODELO!$B$3</f>
        <v>2025-Q3</v>
      </c>
      <c r="B593">
        <f>CALCULOS_AGENCIA!$A593</f>
        <v>51055870</v>
      </c>
      <c r="C593">
        <f>CALCULOS_AGENCIA!$U593</f>
        <v>88.016770439240631</v>
      </c>
      <c r="D593" t="str">
        <f>CALCULOS_AGENCIA!$V593</f>
        <v>PLATINO</v>
      </c>
      <c r="E593">
        <f>CALCULOS_AGENCIA!$AA593</f>
        <v>199</v>
      </c>
      <c r="F593" s="3">
        <f t="shared" ca="1" si="9"/>
        <v>46087</v>
      </c>
    </row>
    <row r="594" spans="1:6" x14ac:dyDescent="0.3">
      <c r="A594" t="str">
        <f>PARAMS_MODELO!$B$3</f>
        <v>2025-Q3</v>
      </c>
      <c r="B594">
        <f>CALCULOS_AGENCIA!$A594</f>
        <v>51017226</v>
      </c>
      <c r="C594">
        <f>CALCULOS_AGENCIA!$U594</f>
        <v>80.458209037304599</v>
      </c>
      <c r="D594" t="str">
        <f>CALCULOS_AGENCIA!$V594</f>
        <v>ORO</v>
      </c>
      <c r="E594">
        <f>CALCULOS_AGENCIA!$AA594</f>
        <v>431</v>
      </c>
      <c r="F594" s="3">
        <f t="shared" ca="1" si="9"/>
        <v>46087</v>
      </c>
    </row>
    <row r="595" spans="1:6" x14ac:dyDescent="0.3">
      <c r="A595" t="str">
        <f>PARAMS_MODELO!$B$3</f>
        <v>2025-Q3</v>
      </c>
      <c r="B595">
        <f>CALCULOS_AGENCIA!$A595</f>
        <v>51056965</v>
      </c>
      <c r="C595">
        <f>CALCULOS_AGENCIA!$U595</f>
        <v>27.40694632945053</v>
      </c>
      <c r="D595" t="str">
        <f>CALCULOS_AGENCIA!$V595</f>
        <v>PLATA</v>
      </c>
      <c r="E595">
        <f>CALCULOS_AGENCIA!$AA595</f>
        <v>896</v>
      </c>
      <c r="F595" s="3">
        <f t="shared" ca="1" si="9"/>
        <v>46087</v>
      </c>
    </row>
    <row r="596" spans="1:6" x14ac:dyDescent="0.3">
      <c r="A596" t="str">
        <f>PARAMS_MODELO!$B$3</f>
        <v>2025-Q3</v>
      </c>
      <c r="B596">
        <f>CALCULOS_AGENCIA!$A596</f>
        <v>51033671</v>
      </c>
      <c r="C596">
        <f>CALCULOS_AGENCIA!$U596</f>
        <v>57.798758558866062</v>
      </c>
      <c r="D596" t="str">
        <f>CALCULOS_AGENCIA!$V596</f>
        <v>PLATA</v>
      </c>
      <c r="E596">
        <f>CALCULOS_AGENCIA!$AA596</f>
        <v>667</v>
      </c>
      <c r="F596" s="3">
        <f t="shared" ca="1" si="9"/>
        <v>46087</v>
      </c>
    </row>
    <row r="597" spans="1:6" x14ac:dyDescent="0.3">
      <c r="A597" t="str">
        <f>PARAMS_MODELO!$B$3</f>
        <v>2025-Q3</v>
      </c>
      <c r="B597">
        <f>CALCULOS_AGENCIA!$A597</f>
        <v>51038797</v>
      </c>
      <c r="C597">
        <f>CALCULOS_AGENCIA!$U597</f>
        <v>92.172196044503494</v>
      </c>
      <c r="D597" t="str">
        <f>CALCULOS_AGENCIA!$V597</f>
        <v>PLATINO</v>
      </c>
      <c r="E597">
        <f>CALCULOS_AGENCIA!$AA597</f>
        <v>104</v>
      </c>
      <c r="F597" s="3">
        <f t="shared" ca="1" si="9"/>
        <v>46087</v>
      </c>
    </row>
    <row r="598" spans="1:6" x14ac:dyDescent="0.3">
      <c r="A598" t="str">
        <f>PARAMS_MODELO!$B$3</f>
        <v>2025-Q3</v>
      </c>
      <c r="B598">
        <f>CALCULOS_AGENCIA!$A598</f>
        <v>51013492</v>
      </c>
      <c r="C598">
        <f>CALCULOS_AGENCIA!$U598</f>
        <v>62.630825987088365</v>
      </c>
      <c r="D598" t="str">
        <f>CALCULOS_AGENCIA!$V598</f>
        <v>PLATA</v>
      </c>
      <c r="E598">
        <f>CALCULOS_AGENCIA!$AA598</f>
        <v>564</v>
      </c>
      <c r="F598" s="3">
        <f t="shared" ca="1" si="9"/>
        <v>46087</v>
      </c>
    </row>
    <row r="599" spans="1:6" x14ac:dyDescent="0.3">
      <c r="A599" t="str">
        <f>PARAMS_MODELO!$B$3</f>
        <v>2025-Q3</v>
      </c>
      <c r="B599">
        <f>CALCULOS_AGENCIA!$A599</f>
        <v>51019415</v>
      </c>
      <c r="C599">
        <f>CALCULOS_AGENCIA!$U599</f>
        <v>57.245726078780855</v>
      </c>
      <c r="D599" t="str">
        <f>CALCULOS_AGENCIA!$V599</f>
        <v>PLATA</v>
      </c>
      <c r="E599">
        <f>CALCULOS_AGENCIA!$AA599</f>
        <v>680</v>
      </c>
      <c r="F599" s="3">
        <f t="shared" ca="1" si="9"/>
        <v>46087</v>
      </c>
    </row>
    <row r="600" spans="1:6" x14ac:dyDescent="0.3">
      <c r="A600" t="str">
        <f>PARAMS_MODELO!$B$3</f>
        <v>2025-Q3</v>
      </c>
      <c r="B600">
        <f>CALCULOS_AGENCIA!$A600</f>
        <v>51036107</v>
      </c>
      <c r="C600">
        <f>CALCULOS_AGENCIA!$U600</f>
        <v>51.574439744459092</v>
      </c>
      <c r="D600" t="str">
        <f>CALCULOS_AGENCIA!$V600</f>
        <v>PLATA</v>
      </c>
      <c r="E600">
        <f>CALCULOS_AGENCIA!$AA600</f>
        <v>732</v>
      </c>
      <c r="F600" s="3">
        <f t="shared" ca="1" si="9"/>
        <v>46087</v>
      </c>
    </row>
    <row r="601" spans="1:6" x14ac:dyDescent="0.3">
      <c r="A601" t="str">
        <f>PARAMS_MODELO!$B$3</f>
        <v>2025-Q3</v>
      </c>
      <c r="B601">
        <f>CALCULOS_AGENCIA!$A601</f>
        <v>51056990</v>
      </c>
      <c r="C601">
        <f>CALCULOS_AGENCIA!$U601</f>
        <v>67.735971571044502</v>
      </c>
      <c r="D601" t="str">
        <f>CALCULOS_AGENCIA!$V601</f>
        <v>ORO</v>
      </c>
      <c r="E601">
        <f>CALCULOS_AGENCIA!$AA601</f>
        <v>531</v>
      </c>
      <c r="F601" s="3">
        <f t="shared" ca="1" si="9"/>
        <v>46087</v>
      </c>
    </row>
    <row r="602" spans="1:6" x14ac:dyDescent="0.3">
      <c r="A602" t="str">
        <f>PARAMS_MODELO!$B$3</f>
        <v>2025-Q3</v>
      </c>
      <c r="B602">
        <f>CALCULOS_AGENCIA!$A602</f>
        <v>51025296</v>
      </c>
      <c r="C602">
        <f>CALCULOS_AGENCIA!$U602</f>
        <v>47.242887124568739</v>
      </c>
      <c r="D602" t="str">
        <f>CALCULOS_AGENCIA!$V602</f>
        <v>PLATA</v>
      </c>
      <c r="E602">
        <f>CALCULOS_AGENCIA!$AA602</f>
        <v>759</v>
      </c>
      <c r="F602" s="3">
        <f t="shared" ca="1" si="9"/>
        <v>46087</v>
      </c>
    </row>
    <row r="603" spans="1:6" x14ac:dyDescent="0.3">
      <c r="A603" t="str">
        <f>PARAMS_MODELO!$B$3</f>
        <v>2025-Q3</v>
      </c>
      <c r="B603">
        <f>CALCULOS_AGENCIA!$A603</f>
        <v>51056639</v>
      </c>
      <c r="C603">
        <f>CALCULOS_AGENCIA!$U603</f>
        <v>56.780015428981727</v>
      </c>
      <c r="D603" t="str">
        <f>CALCULOS_AGENCIA!$V603</f>
        <v>PLATA</v>
      </c>
      <c r="E603">
        <f>CALCULOS_AGENCIA!$AA603</f>
        <v>687</v>
      </c>
      <c r="F603" s="3">
        <f t="shared" ca="1" si="9"/>
        <v>46087</v>
      </c>
    </row>
    <row r="604" spans="1:6" x14ac:dyDescent="0.3">
      <c r="A604" t="str">
        <f>PARAMS_MODELO!$B$3</f>
        <v>2025-Q3</v>
      </c>
      <c r="B604">
        <f>CALCULOS_AGENCIA!$A604</f>
        <v>51015029</v>
      </c>
      <c r="C604">
        <f>CALCULOS_AGENCIA!$U604</f>
        <v>86.043459646371886</v>
      </c>
      <c r="D604" t="str">
        <f>CALCULOS_AGENCIA!$V604</f>
        <v>ORO</v>
      </c>
      <c r="E604">
        <f>CALCULOS_AGENCIA!$AA604</f>
        <v>252</v>
      </c>
      <c r="F604" s="3">
        <f t="shared" ca="1" si="9"/>
        <v>46087</v>
      </c>
    </row>
    <row r="605" spans="1:6" x14ac:dyDescent="0.3">
      <c r="A605" t="str">
        <f>PARAMS_MODELO!$B$3</f>
        <v>2025-Q3</v>
      </c>
      <c r="B605">
        <f>CALCULOS_AGENCIA!$A605</f>
        <v>51055730</v>
      </c>
      <c r="C605">
        <f>CALCULOS_AGENCIA!$U605</f>
        <v>47.815324703831344</v>
      </c>
      <c r="D605" t="str">
        <f>CALCULOS_AGENCIA!$V605</f>
        <v>PLATA</v>
      </c>
      <c r="E605">
        <f>CALCULOS_AGENCIA!$AA605</f>
        <v>755</v>
      </c>
      <c r="F605" s="3">
        <f t="shared" ca="1" si="9"/>
        <v>46087</v>
      </c>
    </row>
    <row r="606" spans="1:6" x14ac:dyDescent="0.3">
      <c r="A606" t="str">
        <f>PARAMS_MODELO!$B$3</f>
        <v>2025-Q3</v>
      </c>
      <c r="B606">
        <f>CALCULOS_AGENCIA!$A606</f>
        <v>51018257</v>
      </c>
      <c r="C606">
        <f>CALCULOS_AGENCIA!$U606</f>
        <v>84.740127271160972</v>
      </c>
      <c r="D606" t="str">
        <f>CALCULOS_AGENCIA!$V606</f>
        <v>ORO</v>
      </c>
      <c r="E606">
        <f>CALCULOS_AGENCIA!$AA606</f>
        <v>292</v>
      </c>
      <c r="F606" s="3">
        <f t="shared" ca="1" si="9"/>
        <v>46087</v>
      </c>
    </row>
    <row r="607" spans="1:6" x14ac:dyDescent="0.3">
      <c r="A607" t="str">
        <f>PARAMS_MODELO!$B$3</f>
        <v>2025-Q3</v>
      </c>
      <c r="B607">
        <f>CALCULOS_AGENCIA!$A607</f>
        <v>51055845</v>
      </c>
      <c r="C607">
        <f>CALCULOS_AGENCIA!$U607</f>
        <v>89.632695541986266</v>
      </c>
      <c r="D607" t="str">
        <f>CALCULOS_AGENCIA!$V607</f>
        <v>PLATINO</v>
      </c>
      <c r="E607">
        <f>CALCULOS_AGENCIA!$AA607</f>
        <v>145</v>
      </c>
      <c r="F607" s="3">
        <f t="shared" ca="1" si="9"/>
        <v>46087</v>
      </c>
    </row>
    <row r="608" spans="1:6" x14ac:dyDescent="0.3">
      <c r="A608" t="str">
        <f>PARAMS_MODELO!$B$3</f>
        <v>2025-Q3</v>
      </c>
      <c r="B608">
        <f>CALCULOS_AGENCIA!$A608</f>
        <v>51028015</v>
      </c>
      <c r="C608">
        <f>CALCULOS_AGENCIA!$U608</f>
        <v>84.809503889639572</v>
      </c>
      <c r="D608" t="str">
        <f>CALCULOS_AGENCIA!$V608</f>
        <v>ORO</v>
      </c>
      <c r="E608">
        <f>CALCULOS_AGENCIA!$AA608</f>
        <v>290</v>
      </c>
      <c r="F608" s="3">
        <f t="shared" ca="1" si="9"/>
        <v>46087</v>
      </c>
    </row>
    <row r="609" spans="1:6" x14ac:dyDescent="0.3">
      <c r="A609" t="str">
        <f>PARAMS_MODELO!$B$3</f>
        <v>2025-Q3</v>
      </c>
      <c r="B609">
        <f>CALCULOS_AGENCIA!$A609</f>
        <v>51012887</v>
      </c>
      <c r="C609">
        <f>CALCULOS_AGENCIA!$U609</f>
        <v>93.570512826703876</v>
      </c>
      <c r="D609" t="str">
        <f>CALCULOS_AGENCIA!$V609</f>
        <v>PLATINO</v>
      </c>
      <c r="E609">
        <f>CALCULOS_AGENCIA!$AA609</f>
        <v>83</v>
      </c>
      <c r="F609" s="3">
        <f t="shared" ca="1" si="9"/>
        <v>46087</v>
      </c>
    </row>
    <row r="610" spans="1:6" x14ac:dyDescent="0.3">
      <c r="A610" t="str">
        <f>PARAMS_MODELO!$B$3</f>
        <v>2025-Q3</v>
      </c>
      <c r="B610">
        <f>CALCULOS_AGENCIA!$A610</f>
        <v>51010311</v>
      </c>
      <c r="C610">
        <f>CALCULOS_AGENCIA!$U610</f>
        <v>77.700416306413757</v>
      </c>
      <c r="D610" t="str">
        <f>CALCULOS_AGENCIA!$V610</f>
        <v>ORO</v>
      </c>
      <c r="E610">
        <f>CALCULOS_AGENCIA!$AA610</f>
        <v>454</v>
      </c>
      <c r="F610" s="3">
        <f t="shared" ca="1" si="9"/>
        <v>46087</v>
      </c>
    </row>
    <row r="611" spans="1:6" x14ac:dyDescent="0.3">
      <c r="A611" t="str">
        <f>PARAMS_MODELO!$B$3</f>
        <v>2025-Q3</v>
      </c>
      <c r="B611">
        <f>CALCULOS_AGENCIA!$A611</f>
        <v>51036638</v>
      </c>
      <c r="C611">
        <f>CALCULOS_AGENCIA!$U611</f>
        <v>30.383808451772769</v>
      </c>
      <c r="D611" t="str">
        <f>CALCULOS_AGENCIA!$V611</f>
        <v>PLATA</v>
      </c>
      <c r="E611">
        <f>CALCULOS_AGENCIA!$AA611</f>
        <v>858</v>
      </c>
      <c r="F611" s="3">
        <f t="shared" ca="1" si="9"/>
        <v>46087</v>
      </c>
    </row>
    <row r="612" spans="1:6" x14ac:dyDescent="0.3">
      <c r="A612" t="str">
        <f>PARAMS_MODELO!$B$3</f>
        <v>2025-Q3</v>
      </c>
      <c r="B612">
        <f>CALCULOS_AGENCIA!$A612</f>
        <v>51033442</v>
      </c>
      <c r="C612">
        <f>CALCULOS_AGENCIA!$U612</f>
        <v>83.969653718376762</v>
      </c>
      <c r="D612" t="str">
        <f>CALCULOS_AGENCIA!$V612</f>
        <v>ORO</v>
      </c>
      <c r="E612">
        <f>CALCULOS_AGENCIA!$AA612</f>
        <v>323</v>
      </c>
      <c r="F612" s="3">
        <f t="shared" ca="1" si="9"/>
        <v>46087</v>
      </c>
    </row>
    <row r="613" spans="1:6" x14ac:dyDescent="0.3">
      <c r="A613" t="str">
        <f>PARAMS_MODELO!$B$3</f>
        <v>2025-Q3</v>
      </c>
      <c r="B613">
        <f>CALCULOS_AGENCIA!$A613</f>
        <v>51014774</v>
      </c>
      <c r="C613">
        <f>CALCULOS_AGENCIA!$U613</f>
        <v>80.540938661725164</v>
      </c>
      <c r="D613" t="str">
        <f>CALCULOS_AGENCIA!$V613</f>
        <v>ORO</v>
      </c>
      <c r="E613">
        <f>CALCULOS_AGENCIA!$AA613</f>
        <v>429</v>
      </c>
      <c r="F613" s="3">
        <f t="shared" ca="1" si="9"/>
        <v>46087</v>
      </c>
    </row>
    <row r="614" spans="1:6" x14ac:dyDescent="0.3">
      <c r="A614" t="str">
        <f>PARAMS_MODELO!$B$3</f>
        <v>2025-Q3</v>
      </c>
      <c r="B614">
        <f>CALCULOS_AGENCIA!$A614</f>
        <v>51043847</v>
      </c>
      <c r="C614">
        <f>CALCULOS_AGENCIA!$U614</f>
        <v>73.68957698828531</v>
      </c>
      <c r="D614" t="str">
        <f>CALCULOS_AGENCIA!$V614</f>
        <v>ORO</v>
      </c>
      <c r="E614">
        <f>CALCULOS_AGENCIA!$AA614</f>
        <v>482</v>
      </c>
      <c r="F614" s="3">
        <f t="shared" ca="1" si="9"/>
        <v>46087</v>
      </c>
    </row>
    <row r="615" spans="1:6" x14ac:dyDescent="0.3">
      <c r="A615" t="str">
        <f>PARAMS_MODELO!$B$3</f>
        <v>2025-Q3</v>
      </c>
      <c r="B615">
        <f>CALCULOS_AGENCIA!$A615</f>
        <v>51032381</v>
      </c>
      <c r="C615">
        <f>CALCULOS_AGENCIA!$U615</f>
        <v>27.578746930523085</v>
      </c>
      <c r="D615" t="str">
        <f>CALCULOS_AGENCIA!$V615</f>
        <v>PLATA</v>
      </c>
      <c r="E615">
        <f>CALCULOS_AGENCIA!$AA615</f>
        <v>891</v>
      </c>
      <c r="F615" s="3">
        <f t="shared" ca="1" si="9"/>
        <v>46087</v>
      </c>
    </row>
    <row r="616" spans="1:6" x14ac:dyDescent="0.3">
      <c r="A616" t="str">
        <f>PARAMS_MODELO!$B$3</f>
        <v>2025-Q3</v>
      </c>
      <c r="B616">
        <f>CALCULOS_AGENCIA!$A616</f>
        <v>51018508</v>
      </c>
      <c r="C616">
        <f>CALCULOS_AGENCIA!$U616</f>
        <v>84.232159614258251</v>
      </c>
      <c r="D616" t="str">
        <f>CALCULOS_AGENCIA!$V616</f>
        <v>ORO</v>
      </c>
      <c r="E616">
        <f>CALCULOS_AGENCIA!$AA616</f>
        <v>310</v>
      </c>
      <c r="F616" s="3">
        <f t="shared" ca="1" si="9"/>
        <v>46087</v>
      </c>
    </row>
    <row r="617" spans="1:6" x14ac:dyDescent="0.3">
      <c r="A617" t="str">
        <f>PARAMS_MODELO!$B$3</f>
        <v>2025-Q3</v>
      </c>
      <c r="B617">
        <f>CALCULOS_AGENCIA!$A617</f>
        <v>51003616</v>
      </c>
      <c r="C617">
        <f>CALCULOS_AGENCIA!$U617</f>
        <v>85.766715429652237</v>
      </c>
      <c r="D617" t="str">
        <f>CALCULOS_AGENCIA!$V617</f>
        <v>ORO</v>
      </c>
      <c r="E617">
        <f>CALCULOS_AGENCIA!$AA617</f>
        <v>258</v>
      </c>
      <c r="F617" s="3">
        <f t="shared" ca="1" si="9"/>
        <v>46087</v>
      </c>
    </row>
    <row r="618" spans="1:6" x14ac:dyDescent="0.3">
      <c r="A618" t="str">
        <f>PARAMS_MODELO!$B$3</f>
        <v>2025-Q3</v>
      </c>
      <c r="B618">
        <f>CALCULOS_AGENCIA!$A618</f>
        <v>51038932</v>
      </c>
      <c r="C618">
        <f>CALCULOS_AGENCIA!$U618</f>
        <v>78.814558029693472</v>
      </c>
      <c r="D618" t="str">
        <f>CALCULOS_AGENCIA!$V618</f>
        <v>ORO</v>
      </c>
      <c r="E618">
        <f>CALCULOS_AGENCIA!$AA618</f>
        <v>449</v>
      </c>
      <c r="F618" s="3">
        <f t="shared" ca="1" si="9"/>
        <v>46087</v>
      </c>
    </row>
    <row r="619" spans="1:6" x14ac:dyDescent="0.3">
      <c r="A619" t="str">
        <f>PARAMS_MODELO!$B$3</f>
        <v>2025-Q3</v>
      </c>
      <c r="B619">
        <f>CALCULOS_AGENCIA!$A619</f>
        <v>51039211</v>
      </c>
      <c r="C619">
        <f>CALCULOS_AGENCIA!$U619</f>
        <v>24.0796239658583</v>
      </c>
      <c r="D619" t="str">
        <f>CALCULOS_AGENCIA!$V619</f>
        <v>BRONCE</v>
      </c>
      <c r="E619">
        <f>CALCULOS_AGENCIA!$AA619</f>
        <v>920</v>
      </c>
      <c r="F619" s="3">
        <f t="shared" ca="1" si="9"/>
        <v>46087</v>
      </c>
    </row>
    <row r="620" spans="1:6" x14ac:dyDescent="0.3">
      <c r="A620" t="str">
        <f>PARAMS_MODELO!$B$3</f>
        <v>2025-Q3</v>
      </c>
      <c r="B620">
        <f>CALCULOS_AGENCIA!$A620</f>
        <v>51018664</v>
      </c>
      <c r="C620">
        <f>CALCULOS_AGENCIA!$U620</f>
        <v>29.515264107079265</v>
      </c>
      <c r="D620" t="str">
        <f>CALCULOS_AGENCIA!$V620</f>
        <v>PLATA</v>
      </c>
      <c r="E620">
        <f>CALCULOS_AGENCIA!$AA620</f>
        <v>872</v>
      </c>
      <c r="F620" s="3">
        <f t="shared" ca="1" si="9"/>
        <v>46087</v>
      </c>
    </row>
    <row r="621" spans="1:6" x14ac:dyDescent="0.3">
      <c r="A621" t="str">
        <f>PARAMS_MODELO!$B$3</f>
        <v>2025-Q3</v>
      </c>
      <c r="B621">
        <f>CALCULOS_AGENCIA!$A621</f>
        <v>51056671</v>
      </c>
      <c r="C621">
        <f>CALCULOS_AGENCIA!$U621</f>
        <v>99.865673054965612</v>
      </c>
      <c r="D621" t="str">
        <f>CALCULOS_AGENCIA!$V621</f>
        <v>DIAMANTE</v>
      </c>
      <c r="E621">
        <f>CALCULOS_AGENCIA!$AA621</f>
        <v>19</v>
      </c>
      <c r="F621" s="3">
        <f t="shared" ca="1" si="9"/>
        <v>46087</v>
      </c>
    </row>
    <row r="622" spans="1:6" x14ac:dyDescent="0.3">
      <c r="A622" t="str">
        <f>PARAMS_MODELO!$B$3</f>
        <v>2025-Q3</v>
      </c>
      <c r="B622">
        <f>CALCULOS_AGENCIA!$A622</f>
        <v>51055462</v>
      </c>
      <c r="C622">
        <f>CALCULOS_AGENCIA!$U622</f>
        <v>88.51839494495637</v>
      </c>
      <c r="D622" t="str">
        <f>CALCULOS_AGENCIA!$V622</f>
        <v>PLATINO</v>
      </c>
      <c r="E622">
        <f>CALCULOS_AGENCIA!$AA622</f>
        <v>181</v>
      </c>
      <c r="F622" s="3">
        <f t="shared" ca="1" si="9"/>
        <v>46087</v>
      </c>
    </row>
    <row r="623" spans="1:6" x14ac:dyDescent="0.3">
      <c r="A623" t="str">
        <f>PARAMS_MODELO!$B$3</f>
        <v>2025-Q3</v>
      </c>
      <c r="B623">
        <f>CALCULOS_AGENCIA!$A623</f>
        <v>51014081</v>
      </c>
      <c r="C623">
        <f>CALCULOS_AGENCIA!$U623</f>
        <v>85.000588887921253</v>
      </c>
      <c r="D623" t="str">
        <f>CALCULOS_AGENCIA!$V623</f>
        <v>ORO</v>
      </c>
      <c r="E623">
        <f>CALCULOS_AGENCIA!$AA623</f>
        <v>284</v>
      </c>
      <c r="F623" s="3">
        <f t="shared" ca="1" si="9"/>
        <v>46087</v>
      </c>
    </row>
    <row r="624" spans="1:6" x14ac:dyDescent="0.3">
      <c r="A624" t="str">
        <f>PARAMS_MODELO!$B$3</f>
        <v>2025-Q3</v>
      </c>
      <c r="B624">
        <f>CALCULOS_AGENCIA!$A624</f>
        <v>51055918</v>
      </c>
      <c r="C624">
        <f>CALCULOS_AGENCIA!$U624</f>
        <v>83.069187289038808</v>
      </c>
      <c r="D624" t="str">
        <f>CALCULOS_AGENCIA!$V624</f>
        <v>ORO</v>
      </c>
      <c r="E624">
        <f>CALCULOS_AGENCIA!$AA624</f>
        <v>353</v>
      </c>
      <c r="F624" s="3">
        <f t="shared" ca="1" si="9"/>
        <v>46087</v>
      </c>
    </row>
    <row r="625" spans="1:6" x14ac:dyDescent="0.3">
      <c r="A625" t="str">
        <f>PARAMS_MODELO!$B$3</f>
        <v>2025-Q3</v>
      </c>
      <c r="B625">
        <f>CALCULOS_AGENCIA!$A625</f>
        <v>51016785</v>
      </c>
      <c r="C625">
        <f>CALCULOS_AGENCIA!$U625</f>
        <v>87.813463087867973</v>
      </c>
      <c r="D625" t="str">
        <f>CALCULOS_AGENCIA!$V625</f>
        <v>PLATINO</v>
      </c>
      <c r="E625">
        <f>CALCULOS_AGENCIA!$AA625</f>
        <v>206</v>
      </c>
      <c r="F625" s="3">
        <f t="shared" ca="1" si="9"/>
        <v>46087</v>
      </c>
    </row>
    <row r="626" spans="1:6" x14ac:dyDescent="0.3">
      <c r="A626" t="str">
        <f>PARAMS_MODELO!$B$3</f>
        <v>2025-Q3</v>
      </c>
      <c r="B626">
        <f>CALCULOS_AGENCIA!$A626</f>
        <v>51055268</v>
      </c>
      <c r="C626">
        <f>CALCULOS_AGENCIA!$U626</f>
        <v>21.620159031153662</v>
      </c>
      <c r="D626" t="str">
        <f>CALCULOS_AGENCIA!$V626</f>
        <v>BRONCE</v>
      </c>
      <c r="E626">
        <f>CALCULOS_AGENCIA!$AA626</f>
        <v>953</v>
      </c>
      <c r="F626" s="3">
        <f t="shared" ca="1" si="9"/>
        <v>46087</v>
      </c>
    </row>
    <row r="627" spans="1:6" x14ac:dyDescent="0.3">
      <c r="A627" t="str">
        <f>PARAMS_MODELO!$B$3</f>
        <v>2025-Q3</v>
      </c>
      <c r="B627">
        <f>CALCULOS_AGENCIA!$A627</f>
        <v>51015533</v>
      </c>
      <c r="C627">
        <f>CALCULOS_AGENCIA!$U627</f>
        <v>73.597217992095494</v>
      </c>
      <c r="D627" t="str">
        <f>CALCULOS_AGENCIA!$V627</f>
        <v>ORO</v>
      </c>
      <c r="E627">
        <f>CALCULOS_AGENCIA!$AA627</f>
        <v>484</v>
      </c>
      <c r="F627" s="3">
        <f t="shared" ca="1" si="9"/>
        <v>46087</v>
      </c>
    </row>
    <row r="628" spans="1:6" x14ac:dyDescent="0.3">
      <c r="A628" t="str">
        <f>PARAMS_MODELO!$B$3</f>
        <v>2025-Q3</v>
      </c>
      <c r="B628">
        <f>CALCULOS_AGENCIA!$A628</f>
        <v>51018371</v>
      </c>
      <c r="C628">
        <f>CALCULOS_AGENCIA!$U628</f>
        <v>30.769883129922473</v>
      </c>
      <c r="D628" t="str">
        <f>CALCULOS_AGENCIA!$V628</f>
        <v>PLATA</v>
      </c>
      <c r="E628">
        <f>CALCULOS_AGENCIA!$AA628</f>
        <v>850</v>
      </c>
      <c r="F628" s="3">
        <f t="shared" ca="1" si="9"/>
        <v>46087</v>
      </c>
    </row>
    <row r="629" spans="1:6" x14ac:dyDescent="0.3">
      <c r="A629" t="str">
        <f>PARAMS_MODELO!$B$3</f>
        <v>2025-Q3</v>
      </c>
      <c r="B629">
        <f>CALCULOS_AGENCIA!$A629</f>
        <v>51004027</v>
      </c>
      <c r="C629">
        <f>CALCULOS_AGENCIA!$U629</f>
        <v>81.393689843859207</v>
      </c>
      <c r="D629" t="str">
        <f>CALCULOS_AGENCIA!$V629</f>
        <v>ORO</v>
      </c>
      <c r="E629">
        <f>CALCULOS_AGENCIA!$AA629</f>
        <v>403</v>
      </c>
      <c r="F629" s="3">
        <f t="shared" ca="1" si="9"/>
        <v>46087</v>
      </c>
    </row>
    <row r="630" spans="1:6" x14ac:dyDescent="0.3">
      <c r="A630" t="str">
        <f>PARAMS_MODELO!$B$3</f>
        <v>2025-Q3</v>
      </c>
      <c r="B630">
        <f>CALCULOS_AGENCIA!$A630</f>
        <v>51011660</v>
      </c>
      <c r="C630">
        <f>CALCULOS_AGENCIA!$U630</f>
        <v>47.963884471092264</v>
      </c>
      <c r="D630" t="str">
        <f>CALCULOS_AGENCIA!$V630</f>
        <v>PLATA</v>
      </c>
      <c r="E630">
        <f>CALCULOS_AGENCIA!$AA630</f>
        <v>754</v>
      </c>
      <c r="F630" s="3">
        <f t="shared" ca="1" si="9"/>
        <v>46087</v>
      </c>
    </row>
    <row r="631" spans="1:6" x14ac:dyDescent="0.3">
      <c r="A631" t="str">
        <f>PARAMS_MODELO!$B$3</f>
        <v>2025-Q3</v>
      </c>
      <c r="B631">
        <f>CALCULOS_AGENCIA!$A631</f>
        <v>51022556</v>
      </c>
      <c r="C631">
        <f>CALCULOS_AGENCIA!$U631</f>
        <v>90.397671290216664</v>
      </c>
      <c r="D631" t="str">
        <f>CALCULOS_AGENCIA!$V631</f>
        <v>PLATINO</v>
      </c>
      <c r="E631">
        <f>CALCULOS_AGENCIA!$AA631</f>
        <v>128</v>
      </c>
      <c r="F631" s="3">
        <f t="shared" ca="1" si="9"/>
        <v>46087</v>
      </c>
    </row>
    <row r="632" spans="1:6" x14ac:dyDescent="0.3">
      <c r="A632" t="str">
        <f>PARAMS_MODELO!$B$3</f>
        <v>2025-Q3</v>
      </c>
      <c r="B632">
        <f>CALCULOS_AGENCIA!$A632</f>
        <v>51018427</v>
      </c>
      <c r="C632">
        <f>CALCULOS_AGENCIA!$U632</f>
        <v>88.167906060138478</v>
      </c>
      <c r="D632" t="str">
        <f>CALCULOS_AGENCIA!$V632</f>
        <v>PLATINO</v>
      </c>
      <c r="E632">
        <f>CALCULOS_AGENCIA!$AA632</f>
        <v>193</v>
      </c>
      <c r="F632" s="3">
        <f t="shared" ca="1" si="9"/>
        <v>46087</v>
      </c>
    </row>
    <row r="633" spans="1:6" x14ac:dyDescent="0.3">
      <c r="A633" t="str">
        <f>PARAMS_MODELO!$B$3</f>
        <v>2025-Q3</v>
      </c>
      <c r="B633">
        <f>CALCULOS_AGENCIA!$A633</f>
        <v>51024516</v>
      </c>
      <c r="C633">
        <f>CALCULOS_AGENCIA!$U633</f>
        <v>80.339051963467369</v>
      </c>
      <c r="D633" t="str">
        <f>CALCULOS_AGENCIA!$V633</f>
        <v>ORO</v>
      </c>
      <c r="E633">
        <f>CALCULOS_AGENCIA!$AA633</f>
        <v>432</v>
      </c>
      <c r="F633" s="3">
        <f t="shared" ca="1" si="9"/>
        <v>46087</v>
      </c>
    </row>
    <row r="634" spans="1:6" x14ac:dyDescent="0.3">
      <c r="A634" t="str">
        <f>PARAMS_MODELO!$B$3</f>
        <v>2025-Q3</v>
      </c>
      <c r="B634">
        <f>CALCULOS_AGENCIA!$A634</f>
        <v>51011856</v>
      </c>
      <c r="C634">
        <f>CALCULOS_AGENCIA!$U634</f>
        <v>56.914110387521532</v>
      </c>
      <c r="D634" t="str">
        <f>CALCULOS_AGENCIA!$V634</f>
        <v>PLATA</v>
      </c>
      <c r="E634">
        <f>CALCULOS_AGENCIA!$AA634</f>
        <v>685</v>
      </c>
      <c r="F634" s="3">
        <f t="shared" ca="1" si="9"/>
        <v>46087</v>
      </c>
    </row>
    <row r="635" spans="1:6" x14ac:dyDescent="0.3">
      <c r="A635" t="str">
        <f>PARAMS_MODELO!$B$3</f>
        <v>2025-Q3</v>
      </c>
      <c r="B635">
        <f>CALCULOS_AGENCIA!$A635</f>
        <v>51032322</v>
      </c>
      <c r="C635">
        <f>CALCULOS_AGENCIA!$U635</f>
        <v>62.801862783657363</v>
      </c>
      <c r="D635" t="str">
        <f>CALCULOS_AGENCIA!$V635</f>
        <v>PLATA</v>
      </c>
      <c r="E635">
        <f>CALCULOS_AGENCIA!$AA635</f>
        <v>562</v>
      </c>
      <c r="F635" s="3">
        <f t="shared" ca="1" si="9"/>
        <v>46087</v>
      </c>
    </row>
    <row r="636" spans="1:6" x14ac:dyDescent="0.3">
      <c r="A636" t="str">
        <f>PARAMS_MODELO!$B$3</f>
        <v>2025-Q3</v>
      </c>
      <c r="B636">
        <f>CALCULOS_AGENCIA!$A636</f>
        <v>51013859</v>
      </c>
      <c r="C636">
        <f>CALCULOS_AGENCIA!$U636</f>
        <v>57.954645897075942</v>
      </c>
      <c r="D636" t="str">
        <f>CALCULOS_AGENCIA!$V636</f>
        <v>PLATA</v>
      </c>
      <c r="E636">
        <f>CALCULOS_AGENCIA!$AA636</f>
        <v>664</v>
      </c>
      <c r="F636" s="3">
        <f t="shared" ca="1" si="9"/>
        <v>46087</v>
      </c>
    </row>
    <row r="637" spans="1:6" x14ac:dyDescent="0.3">
      <c r="A637" t="str">
        <f>PARAMS_MODELO!$B$3</f>
        <v>2025-Q3</v>
      </c>
      <c r="B637">
        <f>CALCULOS_AGENCIA!$A637</f>
        <v>51008430</v>
      </c>
      <c r="C637">
        <f>CALCULOS_AGENCIA!$U637</f>
        <v>81.193654709062599</v>
      </c>
      <c r="D637" t="str">
        <f>CALCULOS_AGENCIA!$V637</f>
        <v>ORO</v>
      </c>
      <c r="E637">
        <f>CALCULOS_AGENCIA!$AA637</f>
        <v>407</v>
      </c>
      <c r="F637" s="3">
        <f t="shared" ca="1" si="9"/>
        <v>46087</v>
      </c>
    </row>
    <row r="638" spans="1:6" x14ac:dyDescent="0.3">
      <c r="A638" t="str">
        <f>PARAMS_MODELO!$B$3</f>
        <v>2025-Q3</v>
      </c>
      <c r="B638">
        <f>CALCULOS_AGENCIA!$A638</f>
        <v>51042158</v>
      </c>
      <c r="C638">
        <f>CALCULOS_AGENCIA!$U638</f>
        <v>98.743841315272562</v>
      </c>
      <c r="D638" t="str">
        <f>CALCULOS_AGENCIA!$V638</f>
        <v>DIAMANTE</v>
      </c>
      <c r="E638">
        <f>CALCULOS_AGENCIA!$AA638</f>
        <v>27</v>
      </c>
      <c r="F638" s="3">
        <f t="shared" ca="1" si="9"/>
        <v>46087</v>
      </c>
    </row>
    <row r="639" spans="1:6" x14ac:dyDescent="0.3">
      <c r="A639" t="str">
        <f>PARAMS_MODELO!$B$3</f>
        <v>2025-Q3</v>
      </c>
      <c r="B639">
        <f>CALCULOS_AGENCIA!$A639</f>
        <v>51011627</v>
      </c>
      <c r="C639">
        <f>CALCULOS_AGENCIA!$U639</f>
        <v>27.650579795181528</v>
      </c>
      <c r="D639" t="str">
        <f>CALCULOS_AGENCIA!$V639</f>
        <v>PLATA</v>
      </c>
      <c r="E639">
        <f>CALCULOS_AGENCIA!$AA639</f>
        <v>889</v>
      </c>
      <c r="F639" s="3">
        <f t="shared" ca="1" si="9"/>
        <v>46087</v>
      </c>
    </row>
    <row r="640" spans="1:6" x14ac:dyDescent="0.3">
      <c r="A640" t="str">
        <f>PARAMS_MODELO!$B$3</f>
        <v>2025-Q3</v>
      </c>
      <c r="B640">
        <f>CALCULOS_AGENCIA!$A640</f>
        <v>51010426</v>
      </c>
      <c r="C640">
        <f>CALCULOS_AGENCIA!$U640</f>
        <v>85.168909393705761</v>
      </c>
      <c r="D640" t="str">
        <f>CALCULOS_AGENCIA!$V640</f>
        <v>ORO</v>
      </c>
      <c r="E640">
        <f>CALCULOS_AGENCIA!$AA640</f>
        <v>279</v>
      </c>
      <c r="F640" s="3">
        <f t="shared" ca="1" si="9"/>
        <v>46087</v>
      </c>
    </row>
    <row r="641" spans="1:6" x14ac:dyDescent="0.3">
      <c r="A641" t="str">
        <f>PARAMS_MODELO!$B$3</f>
        <v>2025-Q3</v>
      </c>
      <c r="B641">
        <f>CALCULOS_AGENCIA!$A641</f>
        <v>51033205</v>
      </c>
      <c r="C641">
        <f>CALCULOS_AGENCIA!$U641</f>
        <v>61.848237609731065</v>
      </c>
      <c r="D641" t="str">
        <f>CALCULOS_AGENCIA!$V641</f>
        <v>PLATA</v>
      </c>
      <c r="E641">
        <f>CALCULOS_AGENCIA!$AA641</f>
        <v>583</v>
      </c>
      <c r="F641" s="3">
        <f t="shared" ca="1" si="9"/>
        <v>46087</v>
      </c>
    </row>
    <row r="642" spans="1:6" x14ac:dyDescent="0.3">
      <c r="A642" t="str">
        <f>PARAMS_MODELO!$B$3</f>
        <v>2025-Q3</v>
      </c>
      <c r="B642">
        <f>CALCULOS_AGENCIA!$A642</f>
        <v>51035976</v>
      </c>
      <c r="C642">
        <f>CALCULOS_AGENCIA!$U642</f>
        <v>89.319851547748527</v>
      </c>
      <c r="D642" t="str">
        <f>CALCULOS_AGENCIA!$V642</f>
        <v>PLATINO</v>
      </c>
      <c r="E642">
        <f>CALCULOS_AGENCIA!$AA642</f>
        <v>155</v>
      </c>
      <c r="F642" s="3">
        <f t="shared" ref="F642:F705" ca="1" si="10">TODAY()</f>
        <v>46087</v>
      </c>
    </row>
    <row r="643" spans="1:6" x14ac:dyDescent="0.3">
      <c r="A643" t="str">
        <f>PARAMS_MODELO!$B$3</f>
        <v>2025-Q3</v>
      </c>
      <c r="B643">
        <f>CALCULOS_AGENCIA!$A643</f>
        <v>51010914</v>
      </c>
      <c r="C643">
        <f>CALCULOS_AGENCIA!$U643</f>
        <v>48.559110618169974</v>
      </c>
      <c r="D643" t="str">
        <f>CALCULOS_AGENCIA!$V643</f>
        <v>PLATA</v>
      </c>
      <c r="E643">
        <f>CALCULOS_AGENCIA!$AA643</f>
        <v>750</v>
      </c>
      <c r="F643" s="3">
        <f t="shared" ca="1" si="10"/>
        <v>46087</v>
      </c>
    </row>
    <row r="644" spans="1:6" x14ac:dyDescent="0.3">
      <c r="A644" t="str">
        <f>PARAMS_MODELO!$B$3</f>
        <v>2025-Q3</v>
      </c>
      <c r="B644">
        <f>CALCULOS_AGENCIA!$A644</f>
        <v>51023129</v>
      </c>
      <c r="C644">
        <f>CALCULOS_AGENCIA!$U644</f>
        <v>89.102683470813517</v>
      </c>
      <c r="D644" t="str">
        <f>CALCULOS_AGENCIA!$V644</f>
        <v>PLATINO</v>
      </c>
      <c r="E644">
        <f>CALCULOS_AGENCIA!$AA644</f>
        <v>164</v>
      </c>
      <c r="F644" s="3">
        <f t="shared" ca="1" si="10"/>
        <v>46087</v>
      </c>
    </row>
    <row r="645" spans="1:6" x14ac:dyDescent="0.3">
      <c r="A645" t="str">
        <f>PARAMS_MODELO!$B$3</f>
        <v>2025-Q3</v>
      </c>
      <c r="B645">
        <f>CALCULOS_AGENCIA!$A645</f>
        <v>51054857</v>
      </c>
      <c r="C645">
        <f>CALCULOS_AGENCIA!$U645</f>
        <v>45.989298951563867</v>
      </c>
      <c r="D645" t="str">
        <f>CALCULOS_AGENCIA!$V645</f>
        <v>PLATA</v>
      </c>
      <c r="E645">
        <f>CALCULOS_AGENCIA!$AA645</f>
        <v>766</v>
      </c>
      <c r="F645" s="3">
        <f t="shared" ca="1" si="10"/>
        <v>46087</v>
      </c>
    </row>
    <row r="646" spans="1:6" x14ac:dyDescent="0.3">
      <c r="A646" t="str">
        <f>PARAMS_MODELO!$B$3</f>
        <v>2025-Q3</v>
      </c>
      <c r="B646">
        <f>CALCULOS_AGENCIA!$A646</f>
        <v>51055926</v>
      </c>
      <c r="C646">
        <f>CALCULOS_AGENCIA!$U646</f>
        <v>86.434642607609646</v>
      </c>
      <c r="D646" t="str">
        <f>CALCULOS_AGENCIA!$V646</f>
        <v>ORO</v>
      </c>
      <c r="E646">
        <f>CALCULOS_AGENCIA!$AA646</f>
        <v>240</v>
      </c>
      <c r="F646" s="3">
        <f t="shared" ca="1" si="10"/>
        <v>46087</v>
      </c>
    </row>
    <row r="647" spans="1:6" x14ac:dyDescent="0.3">
      <c r="A647" t="str">
        <f>PARAMS_MODELO!$B$3</f>
        <v>2025-Q3</v>
      </c>
      <c r="B647">
        <f>CALCULOS_AGENCIA!$A647</f>
        <v>51021282</v>
      </c>
      <c r="C647">
        <f>CALCULOS_AGENCIA!$U647</f>
        <v>33.286055463502926</v>
      </c>
      <c r="D647" t="str">
        <f>CALCULOS_AGENCIA!$V647</f>
        <v>PLATA</v>
      </c>
      <c r="E647">
        <f>CALCULOS_AGENCIA!$AA647</f>
        <v>819</v>
      </c>
      <c r="F647" s="3">
        <f t="shared" ca="1" si="10"/>
        <v>46087</v>
      </c>
    </row>
    <row r="648" spans="1:6" x14ac:dyDescent="0.3">
      <c r="A648" t="str">
        <f>PARAMS_MODELO!$B$3</f>
        <v>2025-Q3</v>
      </c>
      <c r="B648">
        <f>CALCULOS_AGENCIA!$A648</f>
        <v>51031369</v>
      </c>
      <c r="C648">
        <f>CALCULOS_AGENCIA!$U648</f>
        <v>84.285368481494487</v>
      </c>
      <c r="D648" t="str">
        <f>CALCULOS_AGENCIA!$V648</f>
        <v>ORO</v>
      </c>
      <c r="E648">
        <f>CALCULOS_AGENCIA!$AA648</f>
        <v>307</v>
      </c>
      <c r="F648" s="3">
        <f t="shared" ca="1" si="10"/>
        <v>46087</v>
      </c>
    </row>
    <row r="649" spans="1:6" x14ac:dyDescent="0.3">
      <c r="A649" t="str">
        <f>PARAMS_MODELO!$B$3</f>
        <v>2025-Q3</v>
      </c>
      <c r="B649">
        <f>CALCULOS_AGENCIA!$A649</f>
        <v>51024621</v>
      </c>
      <c r="C649">
        <f>CALCULOS_AGENCIA!$U649</f>
        <v>29.685253651527834</v>
      </c>
      <c r="D649" t="str">
        <f>CALCULOS_AGENCIA!$V649</f>
        <v>PLATA</v>
      </c>
      <c r="E649">
        <f>CALCULOS_AGENCIA!$AA649</f>
        <v>871</v>
      </c>
      <c r="F649" s="3">
        <f t="shared" ca="1" si="10"/>
        <v>46087</v>
      </c>
    </row>
    <row r="650" spans="1:6" x14ac:dyDescent="0.3">
      <c r="A650" t="str">
        <f>PARAMS_MODELO!$B$3</f>
        <v>2025-Q3</v>
      </c>
      <c r="B650">
        <f>CALCULOS_AGENCIA!$A650</f>
        <v>51032284</v>
      </c>
      <c r="C650">
        <f>CALCULOS_AGENCIA!$U650</f>
        <v>72.56567840878111</v>
      </c>
      <c r="D650" t="str">
        <f>CALCULOS_AGENCIA!$V650</f>
        <v>ORO</v>
      </c>
      <c r="E650">
        <f>CALCULOS_AGENCIA!$AA650</f>
        <v>496</v>
      </c>
      <c r="F650" s="3">
        <f t="shared" ca="1" si="10"/>
        <v>46087</v>
      </c>
    </row>
    <row r="651" spans="1:6" x14ac:dyDescent="0.3">
      <c r="A651" t="str">
        <f>PARAMS_MODELO!$B$3</f>
        <v>2025-Q3</v>
      </c>
      <c r="B651">
        <f>CALCULOS_AGENCIA!$A651</f>
        <v>51018966</v>
      </c>
      <c r="C651">
        <f>CALCULOS_AGENCIA!$U651</f>
        <v>87.398152243715003</v>
      </c>
      <c r="D651" t="str">
        <f>CALCULOS_AGENCIA!$V651</f>
        <v>PLATINO</v>
      </c>
      <c r="E651">
        <f>CALCULOS_AGENCIA!$AA651</f>
        <v>215</v>
      </c>
      <c r="F651" s="3">
        <f t="shared" ca="1" si="10"/>
        <v>46087</v>
      </c>
    </row>
    <row r="652" spans="1:6" x14ac:dyDescent="0.3">
      <c r="A652" t="str">
        <f>PARAMS_MODELO!$B$3</f>
        <v>2025-Q3</v>
      </c>
      <c r="B652">
        <f>CALCULOS_AGENCIA!$A652</f>
        <v>51012623</v>
      </c>
      <c r="C652">
        <f>CALCULOS_AGENCIA!$U652</f>
        <v>27.494872343811288</v>
      </c>
      <c r="D652" t="str">
        <f>CALCULOS_AGENCIA!$V652</f>
        <v>PLATA</v>
      </c>
      <c r="E652">
        <f>CALCULOS_AGENCIA!$AA652</f>
        <v>892</v>
      </c>
      <c r="F652" s="3">
        <f t="shared" ca="1" si="10"/>
        <v>46087</v>
      </c>
    </row>
    <row r="653" spans="1:6" x14ac:dyDescent="0.3">
      <c r="A653" t="str">
        <f>PARAMS_MODELO!$B$3</f>
        <v>2025-Q3</v>
      </c>
      <c r="B653">
        <f>CALCULOS_AGENCIA!$A653</f>
        <v>51019121</v>
      </c>
      <c r="C653">
        <f>CALCULOS_AGENCIA!$U653</f>
        <v>89.844130199616345</v>
      </c>
      <c r="D653" t="str">
        <f>CALCULOS_AGENCIA!$V653</f>
        <v>PLATINO</v>
      </c>
      <c r="E653">
        <f>CALCULOS_AGENCIA!$AA653</f>
        <v>138</v>
      </c>
      <c r="F653" s="3">
        <f t="shared" ca="1" si="10"/>
        <v>46087</v>
      </c>
    </row>
    <row r="654" spans="1:6" x14ac:dyDescent="0.3">
      <c r="A654" t="str">
        <f>PARAMS_MODELO!$B$3</f>
        <v>2025-Q3</v>
      </c>
      <c r="B654">
        <f>CALCULOS_AGENCIA!$A654</f>
        <v>51036085</v>
      </c>
      <c r="C654">
        <f>CALCULOS_AGENCIA!$U654</f>
        <v>87.192038047441315</v>
      </c>
      <c r="D654" t="str">
        <f>CALCULOS_AGENCIA!$V654</f>
        <v>PLATINO</v>
      </c>
      <c r="E654">
        <f>CALCULOS_AGENCIA!$AA654</f>
        <v>221</v>
      </c>
      <c r="F654" s="3">
        <f t="shared" ca="1" si="10"/>
        <v>46087</v>
      </c>
    </row>
    <row r="655" spans="1:6" x14ac:dyDescent="0.3">
      <c r="A655" t="str">
        <f>PARAMS_MODELO!$B$3</f>
        <v>2025-Q3</v>
      </c>
      <c r="B655">
        <f>CALCULOS_AGENCIA!$A655</f>
        <v>51002164</v>
      </c>
      <c r="C655">
        <f>CALCULOS_AGENCIA!$U655</f>
        <v>30.678081198553002</v>
      </c>
      <c r="D655" t="str">
        <f>CALCULOS_AGENCIA!$V655</f>
        <v>PLATA</v>
      </c>
      <c r="E655">
        <f>CALCULOS_AGENCIA!$AA655</f>
        <v>852</v>
      </c>
      <c r="F655" s="3">
        <f t="shared" ca="1" si="10"/>
        <v>46087</v>
      </c>
    </row>
    <row r="656" spans="1:6" x14ac:dyDescent="0.3">
      <c r="A656" t="str">
        <f>PARAMS_MODELO!$B$3</f>
        <v>2025-Q3</v>
      </c>
      <c r="B656">
        <f>CALCULOS_AGENCIA!$A656</f>
        <v>51013182</v>
      </c>
      <c r="C656">
        <f>CALCULOS_AGENCIA!$U656</f>
        <v>63.890539806161996</v>
      </c>
      <c r="D656" t="str">
        <f>CALCULOS_AGENCIA!$V656</f>
        <v>ORO</v>
      </c>
      <c r="E656">
        <f>CALCULOS_AGENCIA!$AA656</f>
        <v>549</v>
      </c>
      <c r="F656" s="3">
        <f t="shared" ca="1" si="10"/>
        <v>46087</v>
      </c>
    </row>
    <row r="657" spans="1:6" x14ac:dyDescent="0.3">
      <c r="A657" t="str">
        <f>PARAMS_MODELO!$B$3</f>
        <v>2025-Q3</v>
      </c>
      <c r="B657">
        <f>CALCULOS_AGENCIA!$A657</f>
        <v>51033086</v>
      </c>
      <c r="C657">
        <f>CALCULOS_AGENCIA!$U657</f>
        <v>23.861920423892943</v>
      </c>
      <c r="D657" t="str">
        <f>CALCULOS_AGENCIA!$V657</f>
        <v>BRONCE</v>
      </c>
      <c r="E657">
        <f>CALCULOS_AGENCIA!$AA657</f>
        <v>924</v>
      </c>
      <c r="F657" s="3">
        <f t="shared" ca="1" si="10"/>
        <v>46087</v>
      </c>
    </row>
    <row r="658" spans="1:6" x14ac:dyDescent="0.3">
      <c r="A658" t="str">
        <f>PARAMS_MODELO!$B$3</f>
        <v>2025-Q3</v>
      </c>
      <c r="B658">
        <f>CALCULOS_AGENCIA!$A658</f>
        <v>51029038</v>
      </c>
      <c r="C658">
        <f>CALCULOS_AGENCIA!$U658</f>
        <v>61.411088370601952</v>
      </c>
      <c r="D658" t="str">
        <f>CALCULOS_AGENCIA!$V658</f>
        <v>PLATA</v>
      </c>
      <c r="E658">
        <f>CALCULOS_AGENCIA!$AA658</f>
        <v>591</v>
      </c>
      <c r="F658" s="3">
        <f t="shared" ca="1" si="10"/>
        <v>46087</v>
      </c>
    </row>
    <row r="659" spans="1:6" x14ac:dyDescent="0.3">
      <c r="A659" t="str">
        <f>PARAMS_MODELO!$B$3</f>
        <v>2025-Q3</v>
      </c>
      <c r="B659">
        <f>CALCULOS_AGENCIA!$A659</f>
        <v>51024168</v>
      </c>
      <c r="C659">
        <f>CALCULOS_AGENCIA!$U659</f>
        <v>72.587157907676556</v>
      </c>
      <c r="D659" t="str">
        <f>CALCULOS_AGENCIA!$V659</f>
        <v>ORO</v>
      </c>
      <c r="E659">
        <f>CALCULOS_AGENCIA!$AA659</f>
        <v>493</v>
      </c>
      <c r="F659" s="3">
        <f t="shared" ca="1" si="10"/>
        <v>46087</v>
      </c>
    </row>
    <row r="660" spans="1:6" x14ac:dyDescent="0.3">
      <c r="A660" t="str">
        <f>PARAMS_MODELO!$B$3</f>
        <v>2025-Q3</v>
      </c>
      <c r="B660">
        <f>CALCULOS_AGENCIA!$A660</f>
        <v>51023455</v>
      </c>
      <c r="C660">
        <f>CALCULOS_AGENCIA!$U660</f>
        <v>48.350635963826555</v>
      </c>
      <c r="D660" t="str">
        <f>CALCULOS_AGENCIA!$V660</f>
        <v>PLATA</v>
      </c>
      <c r="E660">
        <f>CALCULOS_AGENCIA!$AA660</f>
        <v>753</v>
      </c>
      <c r="F660" s="3">
        <f t="shared" ca="1" si="10"/>
        <v>46087</v>
      </c>
    </row>
    <row r="661" spans="1:6" x14ac:dyDescent="0.3">
      <c r="A661" t="str">
        <f>PARAMS_MODELO!$B$3</f>
        <v>2025-Q3</v>
      </c>
      <c r="B661">
        <f>CALCULOS_AGENCIA!$A661</f>
        <v>51016131</v>
      </c>
      <c r="C661">
        <f>CALCULOS_AGENCIA!$U661</f>
        <v>80.068011175744971</v>
      </c>
      <c r="D661" t="str">
        <f>CALCULOS_AGENCIA!$V661</f>
        <v>ORO</v>
      </c>
      <c r="E661">
        <f>CALCULOS_AGENCIA!$AA661</f>
        <v>439</v>
      </c>
      <c r="F661" s="3">
        <f t="shared" ca="1" si="10"/>
        <v>46087</v>
      </c>
    </row>
    <row r="662" spans="1:6" x14ac:dyDescent="0.3">
      <c r="A662" t="str">
        <f>PARAMS_MODELO!$B$3</f>
        <v>2025-Q3</v>
      </c>
      <c r="B662">
        <f>CALCULOS_AGENCIA!$A662</f>
        <v>51016408</v>
      </c>
      <c r="C662">
        <f>CALCULOS_AGENCIA!$U662</f>
        <v>86.680718666249703</v>
      </c>
      <c r="D662" t="str">
        <f>CALCULOS_AGENCIA!$V662</f>
        <v>PLATINO</v>
      </c>
      <c r="E662">
        <f>CALCULOS_AGENCIA!$AA662</f>
        <v>233</v>
      </c>
      <c r="F662" s="3">
        <f t="shared" ca="1" si="10"/>
        <v>46087</v>
      </c>
    </row>
    <row r="663" spans="1:6" x14ac:dyDescent="0.3">
      <c r="A663" t="str">
        <f>PARAMS_MODELO!$B$3</f>
        <v>2025-Q3</v>
      </c>
      <c r="B663">
        <f>CALCULOS_AGENCIA!$A663</f>
        <v>51056914</v>
      </c>
      <c r="C663">
        <f>CALCULOS_AGENCIA!$U663</f>
        <v>88.759097199132015</v>
      </c>
      <c r="D663" t="str">
        <f>CALCULOS_AGENCIA!$V663</f>
        <v>PLATINO</v>
      </c>
      <c r="E663">
        <f>CALCULOS_AGENCIA!$AA663</f>
        <v>174</v>
      </c>
      <c r="F663" s="3">
        <f t="shared" ca="1" si="10"/>
        <v>46087</v>
      </c>
    </row>
    <row r="664" spans="1:6" x14ac:dyDescent="0.3">
      <c r="A664" t="str">
        <f>PARAMS_MODELO!$B$3</f>
        <v>2025-Q3</v>
      </c>
      <c r="B664">
        <f>CALCULOS_AGENCIA!$A664</f>
        <v>51016858</v>
      </c>
      <c r="C664">
        <f>CALCULOS_AGENCIA!$U664</f>
        <v>98.881089933196563</v>
      </c>
      <c r="D664" t="str">
        <f>CALCULOS_AGENCIA!$V664</f>
        <v>DIAMANTE</v>
      </c>
      <c r="E664">
        <f>CALCULOS_AGENCIA!$AA664</f>
        <v>24</v>
      </c>
      <c r="F664" s="3">
        <f t="shared" ca="1" si="10"/>
        <v>46087</v>
      </c>
    </row>
    <row r="665" spans="1:6" x14ac:dyDescent="0.3">
      <c r="A665" t="str">
        <f>PARAMS_MODELO!$B$3</f>
        <v>2025-Q3</v>
      </c>
      <c r="B665">
        <f>CALCULOS_AGENCIA!$A665</f>
        <v>51035666</v>
      </c>
      <c r="C665">
        <f>CALCULOS_AGENCIA!$U665</f>
        <v>86.462478492831849</v>
      </c>
      <c r="D665" t="str">
        <f>CALCULOS_AGENCIA!$V665</f>
        <v>PLATINO</v>
      </c>
      <c r="E665">
        <f>CALCULOS_AGENCIA!$AA665</f>
        <v>238</v>
      </c>
      <c r="F665" s="3">
        <f t="shared" ca="1" si="10"/>
        <v>46087</v>
      </c>
    </row>
    <row r="666" spans="1:6" x14ac:dyDescent="0.3">
      <c r="A666" t="str">
        <f>PARAMS_MODELO!$B$3</f>
        <v>2025-Q3</v>
      </c>
      <c r="B666">
        <f>CALCULOS_AGENCIA!$A666</f>
        <v>51022068</v>
      </c>
      <c r="C666">
        <f>CALCULOS_AGENCIA!$U666</f>
        <v>94.53028934370073</v>
      </c>
      <c r="D666" t="str">
        <f>CALCULOS_AGENCIA!$V666</f>
        <v>PLATINO</v>
      </c>
      <c r="E666">
        <f>CALCULOS_AGENCIA!$AA666</f>
        <v>72</v>
      </c>
      <c r="F666" s="3">
        <f t="shared" ca="1" si="10"/>
        <v>46087</v>
      </c>
    </row>
    <row r="667" spans="1:6" x14ac:dyDescent="0.3">
      <c r="A667" t="str">
        <f>PARAMS_MODELO!$B$3</f>
        <v>2025-Q3</v>
      </c>
      <c r="B667">
        <f>CALCULOS_AGENCIA!$A667</f>
        <v>51013611</v>
      </c>
      <c r="C667">
        <f>CALCULOS_AGENCIA!$U667</f>
        <v>80.56743108086043</v>
      </c>
      <c r="D667" t="str">
        <f>CALCULOS_AGENCIA!$V667</f>
        <v>ORO</v>
      </c>
      <c r="E667">
        <f>CALCULOS_AGENCIA!$AA667</f>
        <v>428</v>
      </c>
      <c r="F667" s="3">
        <f t="shared" ca="1" si="10"/>
        <v>46087</v>
      </c>
    </row>
    <row r="668" spans="1:6" x14ac:dyDescent="0.3">
      <c r="A668" t="str">
        <f>PARAMS_MODELO!$B$3</f>
        <v>2025-Q3</v>
      </c>
      <c r="B668">
        <f>CALCULOS_AGENCIA!$A668</f>
        <v>51013115</v>
      </c>
      <c r="C668">
        <f>CALCULOS_AGENCIA!$U668</f>
        <v>30.699872394615248</v>
      </c>
      <c r="D668" t="str">
        <f>CALCULOS_AGENCIA!$V668</f>
        <v>PLATA</v>
      </c>
      <c r="E668">
        <f>CALCULOS_AGENCIA!$AA668</f>
        <v>851</v>
      </c>
      <c r="F668" s="3">
        <f t="shared" ca="1" si="10"/>
        <v>46087</v>
      </c>
    </row>
    <row r="669" spans="1:6" x14ac:dyDescent="0.3">
      <c r="A669" t="str">
        <f>PARAMS_MODELO!$B$3</f>
        <v>2025-Q3</v>
      </c>
      <c r="B669">
        <f>CALCULOS_AGENCIA!$A669</f>
        <v>51056744</v>
      </c>
      <c r="C669">
        <f>CALCULOS_AGENCIA!$U669</f>
        <v>83.177326667086277</v>
      </c>
      <c r="D669" t="str">
        <f>CALCULOS_AGENCIA!$V669</f>
        <v>ORO</v>
      </c>
      <c r="E669">
        <f>CALCULOS_AGENCIA!$AA669</f>
        <v>344</v>
      </c>
      <c r="F669" s="3">
        <f t="shared" ca="1" si="10"/>
        <v>46087</v>
      </c>
    </row>
    <row r="670" spans="1:6" x14ac:dyDescent="0.3">
      <c r="A670" t="str">
        <f>PARAMS_MODELO!$B$3</f>
        <v>2025-Q3</v>
      </c>
      <c r="B670">
        <f>CALCULOS_AGENCIA!$A670</f>
        <v>51031822</v>
      </c>
      <c r="C670">
        <f>CALCULOS_AGENCIA!$U670</f>
        <v>89.867720179830656</v>
      </c>
      <c r="D670" t="str">
        <f>CALCULOS_AGENCIA!$V670</f>
        <v>PLATINO</v>
      </c>
      <c r="E670">
        <f>CALCULOS_AGENCIA!$AA670</f>
        <v>137</v>
      </c>
      <c r="F670" s="3">
        <f t="shared" ca="1" si="10"/>
        <v>46087</v>
      </c>
    </row>
    <row r="671" spans="1:6" x14ac:dyDescent="0.3">
      <c r="A671" t="str">
        <f>PARAMS_MODELO!$B$3</f>
        <v>2025-Q3</v>
      </c>
      <c r="B671">
        <f>CALCULOS_AGENCIA!$A671</f>
        <v>51025938</v>
      </c>
      <c r="C671">
        <f>CALCULOS_AGENCIA!$U671</f>
        <v>24.126798450004504</v>
      </c>
      <c r="D671" t="str">
        <f>CALCULOS_AGENCIA!$V671</f>
        <v>BRONCE</v>
      </c>
      <c r="E671">
        <f>CALCULOS_AGENCIA!$AA671</f>
        <v>918</v>
      </c>
      <c r="F671" s="3">
        <f t="shared" ca="1" si="10"/>
        <v>46087</v>
      </c>
    </row>
    <row r="672" spans="1:6" x14ac:dyDescent="0.3">
      <c r="A672" t="str">
        <f>PARAMS_MODELO!$B$3</f>
        <v>2025-Q3</v>
      </c>
      <c r="B672">
        <f>CALCULOS_AGENCIA!$A672</f>
        <v>51030141</v>
      </c>
      <c r="C672">
        <f>CALCULOS_AGENCIA!$U672</f>
        <v>84.116256572955052</v>
      </c>
      <c r="D672" t="str">
        <f>CALCULOS_AGENCIA!$V672</f>
        <v>ORO</v>
      </c>
      <c r="E672">
        <f>CALCULOS_AGENCIA!$AA672</f>
        <v>317</v>
      </c>
      <c r="F672" s="3">
        <f t="shared" ca="1" si="10"/>
        <v>46087</v>
      </c>
    </row>
    <row r="673" spans="1:6" x14ac:dyDescent="0.3">
      <c r="A673" t="str">
        <f>PARAMS_MODELO!$B$3</f>
        <v>2025-Q3</v>
      </c>
      <c r="B673">
        <f>CALCULOS_AGENCIA!$A673</f>
        <v>51004698</v>
      </c>
      <c r="C673">
        <f>CALCULOS_AGENCIA!$U673</f>
        <v>37.158868219985067</v>
      </c>
      <c r="D673" t="str">
        <f>CALCULOS_AGENCIA!$V673</f>
        <v>PLATA</v>
      </c>
      <c r="E673">
        <f>CALCULOS_AGENCIA!$AA673</f>
        <v>798</v>
      </c>
      <c r="F673" s="3">
        <f t="shared" ca="1" si="10"/>
        <v>46087</v>
      </c>
    </row>
    <row r="674" spans="1:6" x14ac:dyDescent="0.3">
      <c r="A674" t="str">
        <f>PARAMS_MODELO!$B$3</f>
        <v>2025-Q3</v>
      </c>
      <c r="B674">
        <f>CALCULOS_AGENCIA!$A674</f>
        <v>51029585</v>
      </c>
      <c r="C674">
        <f>CALCULOS_AGENCIA!$U674</f>
        <v>85.633874864394386</v>
      </c>
      <c r="D674" t="str">
        <f>CALCULOS_AGENCIA!$V674</f>
        <v>ORO</v>
      </c>
      <c r="E674">
        <f>CALCULOS_AGENCIA!$AA674</f>
        <v>264</v>
      </c>
      <c r="F674" s="3">
        <f t="shared" ca="1" si="10"/>
        <v>46087</v>
      </c>
    </row>
    <row r="675" spans="1:6" x14ac:dyDescent="0.3">
      <c r="A675" t="str">
        <f>PARAMS_MODELO!$B$3</f>
        <v>2025-Q3</v>
      </c>
      <c r="B675">
        <f>CALCULOS_AGENCIA!$A675</f>
        <v>51018389</v>
      </c>
      <c r="C675">
        <f>CALCULOS_AGENCIA!$U675</f>
        <v>69.579208583910116</v>
      </c>
      <c r="D675" t="str">
        <f>CALCULOS_AGENCIA!$V675</f>
        <v>ORO</v>
      </c>
      <c r="E675">
        <f>CALCULOS_AGENCIA!$AA675</f>
        <v>515</v>
      </c>
      <c r="F675" s="3">
        <f t="shared" ca="1" si="10"/>
        <v>46087</v>
      </c>
    </row>
    <row r="676" spans="1:6" x14ac:dyDescent="0.3">
      <c r="A676" t="str">
        <f>PARAMS_MODELO!$B$3</f>
        <v>2025-Q3</v>
      </c>
      <c r="B676">
        <f>CALCULOS_AGENCIA!$A676</f>
        <v>51017137</v>
      </c>
      <c r="C676">
        <f>CALCULOS_AGENCIA!$U676</f>
        <v>76.579175570476934</v>
      </c>
      <c r="D676" t="str">
        <f>CALCULOS_AGENCIA!$V676</f>
        <v>ORO</v>
      </c>
      <c r="E676">
        <f>CALCULOS_AGENCIA!$AA676</f>
        <v>459</v>
      </c>
      <c r="F676" s="3">
        <f t="shared" ca="1" si="10"/>
        <v>46087</v>
      </c>
    </row>
    <row r="677" spans="1:6" x14ac:dyDescent="0.3">
      <c r="A677" t="str">
        <f>PARAMS_MODELO!$B$3</f>
        <v>2025-Q3</v>
      </c>
      <c r="B677">
        <f>CALCULOS_AGENCIA!$A677</f>
        <v>51041232</v>
      </c>
      <c r="C677">
        <f>CALCULOS_AGENCIA!$U677</f>
        <v>89.396756082580936</v>
      </c>
      <c r="D677" t="str">
        <f>CALCULOS_AGENCIA!$V677</f>
        <v>PLATINO</v>
      </c>
      <c r="E677">
        <f>CALCULOS_AGENCIA!$AA677</f>
        <v>152</v>
      </c>
      <c r="F677" s="3">
        <f t="shared" ca="1" si="10"/>
        <v>46087</v>
      </c>
    </row>
    <row r="678" spans="1:6" x14ac:dyDescent="0.3">
      <c r="A678" t="str">
        <f>PARAMS_MODELO!$B$3</f>
        <v>2025-Q3</v>
      </c>
      <c r="B678">
        <f>CALCULOS_AGENCIA!$A678</f>
        <v>51022769</v>
      </c>
      <c r="C678">
        <f>CALCULOS_AGENCIA!$U678</f>
        <v>87.229266361811142</v>
      </c>
      <c r="D678" t="str">
        <f>CALCULOS_AGENCIA!$V678</f>
        <v>PLATINO</v>
      </c>
      <c r="E678">
        <f>CALCULOS_AGENCIA!$AA678</f>
        <v>219</v>
      </c>
      <c r="F678" s="3">
        <f t="shared" ca="1" si="10"/>
        <v>46087</v>
      </c>
    </row>
    <row r="679" spans="1:6" x14ac:dyDescent="0.3">
      <c r="A679" t="str">
        <f>PARAMS_MODELO!$B$3</f>
        <v>2025-Q3</v>
      </c>
      <c r="B679">
        <f>CALCULOS_AGENCIA!$A679</f>
        <v>51031164</v>
      </c>
      <c r="C679">
        <f>CALCULOS_AGENCIA!$U679</f>
        <v>28.563413806709736</v>
      </c>
      <c r="D679" t="str">
        <f>CALCULOS_AGENCIA!$V679</f>
        <v>PLATA</v>
      </c>
      <c r="E679">
        <f>CALCULOS_AGENCIA!$AA679</f>
        <v>881</v>
      </c>
      <c r="F679" s="3">
        <f t="shared" ca="1" si="10"/>
        <v>46087</v>
      </c>
    </row>
    <row r="680" spans="1:6" x14ac:dyDescent="0.3">
      <c r="A680" t="str">
        <f>PARAMS_MODELO!$B$3</f>
        <v>2025-Q3</v>
      </c>
      <c r="B680">
        <f>CALCULOS_AGENCIA!$A680</f>
        <v>51030371</v>
      </c>
      <c r="C680">
        <f>CALCULOS_AGENCIA!$U680</f>
        <v>58.603281537729885</v>
      </c>
      <c r="D680" t="str">
        <f>CALCULOS_AGENCIA!$V680</f>
        <v>PLATA</v>
      </c>
      <c r="E680">
        <f>CALCULOS_AGENCIA!$AA680</f>
        <v>644</v>
      </c>
      <c r="F680" s="3">
        <f t="shared" ca="1" si="10"/>
        <v>46087</v>
      </c>
    </row>
    <row r="681" spans="1:6" x14ac:dyDescent="0.3">
      <c r="A681" t="str">
        <f>PARAMS_MODELO!$B$3</f>
        <v>2025-Q3</v>
      </c>
      <c r="B681">
        <f>CALCULOS_AGENCIA!$A681</f>
        <v>51040392</v>
      </c>
      <c r="C681">
        <f>CALCULOS_AGENCIA!$U681</f>
        <v>33.479124839239063</v>
      </c>
      <c r="D681" t="str">
        <f>CALCULOS_AGENCIA!$V681</f>
        <v>PLATA</v>
      </c>
      <c r="E681">
        <f>CALCULOS_AGENCIA!$AA681</f>
        <v>818</v>
      </c>
      <c r="F681" s="3">
        <f t="shared" ca="1" si="10"/>
        <v>46087</v>
      </c>
    </row>
    <row r="682" spans="1:6" x14ac:dyDescent="0.3">
      <c r="A682" t="str">
        <f>PARAMS_MODELO!$B$3</f>
        <v>2025-Q3</v>
      </c>
      <c r="B682">
        <f>CALCULOS_AGENCIA!$A682</f>
        <v>51014693</v>
      </c>
      <c r="C682">
        <f>CALCULOS_AGENCIA!$U682</f>
        <v>57.780970630610554</v>
      </c>
      <c r="D682" t="str">
        <f>CALCULOS_AGENCIA!$V682</f>
        <v>PLATA</v>
      </c>
      <c r="E682">
        <f>CALCULOS_AGENCIA!$AA682</f>
        <v>668</v>
      </c>
      <c r="F682" s="3">
        <f t="shared" ca="1" si="10"/>
        <v>46087</v>
      </c>
    </row>
    <row r="683" spans="1:6" x14ac:dyDescent="0.3">
      <c r="A683" t="str">
        <f>PARAMS_MODELO!$B$3</f>
        <v>2025-Q3</v>
      </c>
      <c r="B683">
        <f>CALCULOS_AGENCIA!$A683</f>
        <v>51055551</v>
      </c>
      <c r="C683">
        <f>CALCULOS_AGENCIA!$U683</f>
        <v>27.236067377582039</v>
      </c>
      <c r="D683" t="str">
        <f>CALCULOS_AGENCIA!$V683</f>
        <v>PLATA</v>
      </c>
      <c r="E683">
        <f>CALCULOS_AGENCIA!$AA683</f>
        <v>897</v>
      </c>
      <c r="F683" s="3">
        <f t="shared" ca="1" si="10"/>
        <v>46087</v>
      </c>
    </row>
    <row r="684" spans="1:6" x14ac:dyDescent="0.3">
      <c r="A684" t="str">
        <f>PARAMS_MODELO!$B$3</f>
        <v>2025-Q3</v>
      </c>
      <c r="B684">
        <f>CALCULOS_AGENCIA!$A684</f>
        <v>51012593</v>
      </c>
      <c r="C684">
        <f>CALCULOS_AGENCIA!$U684</f>
        <v>62.095815653504957</v>
      </c>
      <c r="D684" t="str">
        <f>CALCULOS_AGENCIA!$V684</f>
        <v>PLATA</v>
      </c>
      <c r="E684">
        <f>CALCULOS_AGENCIA!$AA684</f>
        <v>578</v>
      </c>
      <c r="F684" s="3">
        <f t="shared" ca="1" si="10"/>
        <v>46087</v>
      </c>
    </row>
    <row r="685" spans="1:6" x14ac:dyDescent="0.3">
      <c r="A685" t="str">
        <f>PARAMS_MODELO!$B$3</f>
        <v>2025-Q3</v>
      </c>
      <c r="B685">
        <f>CALCULOS_AGENCIA!$A685</f>
        <v>51015908</v>
      </c>
      <c r="C685">
        <f>CALCULOS_AGENCIA!$U685</f>
        <v>88.684576807340733</v>
      </c>
      <c r="D685" t="str">
        <f>CALCULOS_AGENCIA!$V685</f>
        <v>PLATINO</v>
      </c>
      <c r="E685">
        <f>CALCULOS_AGENCIA!$AA685</f>
        <v>177</v>
      </c>
      <c r="F685" s="3">
        <f t="shared" ca="1" si="10"/>
        <v>46087</v>
      </c>
    </row>
    <row r="686" spans="1:6" x14ac:dyDescent="0.3">
      <c r="A686" t="str">
        <f>PARAMS_MODELO!$B$3</f>
        <v>2025-Q3</v>
      </c>
      <c r="B686">
        <f>CALCULOS_AGENCIA!$A686</f>
        <v>51015924</v>
      </c>
      <c r="C686">
        <f>CALCULOS_AGENCIA!$U686</f>
        <v>86.317205834421472</v>
      </c>
      <c r="D686" t="str">
        <f>CALCULOS_AGENCIA!$V686</f>
        <v>ORO</v>
      </c>
      <c r="E686">
        <f>CALCULOS_AGENCIA!$AA686</f>
        <v>242</v>
      </c>
      <c r="F686" s="3">
        <f t="shared" ca="1" si="10"/>
        <v>46087</v>
      </c>
    </row>
    <row r="687" spans="1:6" x14ac:dyDescent="0.3">
      <c r="A687" t="str">
        <f>PARAMS_MODELO!$B$3</f>
        <v>2025-Q3</v>
      </c>
      <c r="B687">
        <f>CALCULOS_AGENCIA!$A687</f>
        <v>51034252</v>
      </c>
      <c r="C687">
        <f>CALCULOS_AGENCIA!$U687</f>
        <v>90.455171971779379</v>
      </c>
      <c r="D687" t="str">
        <f>CALCULOS_AGENCIA!$V687</f>
        <v>PLATINO</v>
      </c>
      <c r="E687">
        <f>CALCULOS_AGENCIA!$AA687</f>
        <v>126</v>
      </c>
      <c r="F687" s="3">
        <f t="shared" ca="1" si="10"/>
        <v>46087</v>
      </c>
    </row>
    <row r="688" spans="1:6" x14ac:dyDescent="0.3">
      <c r="A688" t="str">
        <f>PARAMS_MODELO!$B$3</f>
        <v>2025-Q3</v>
      </c>
      <c r="B688">
        <f>CALCULOS_AGENCIA!$A688</f>
        <v>51017676</v>
      </c>
      <c r="C688">
        <f>CALCULOS_AGENCIA!$U688</f>
        <v>85.490253969113724</v>
      </c>
      <c r="D688" t="str">
        <f>CALCULOS_AGENCIA!$V688</f>
        <v>ORO</v>
      </c>
      <c r="E688">
        <f>CALCULOS_AGENCIA!$AA688</f>
        <v>267</v>
      </c>
      <c r="F688" s="3">
        <f t="shared" ca="1" si="10"/>
        <v>46087</v>
      </c>
    </row>
    <row r="689" spans="1:6" x14ac:dyDescent="0.3">
      <c r="A689" t="str">
        <f>PARAMS_MODELO!$B$3</f>
        <v>2025-Q3</v>
      </c>
      <c r="B689">
        <f>CALCULOS_AGENCIA!$A689</f>
        <v>51033655</v>
      </c>
      <c r="C689">
        <f>CALCULOS_AGENCIA!$U689</f>
        <v>100</v>
      </c>
      <c r="D689" t="str">
        <f>CALCULOS_AGENCIA!$V689</f>
        <v>DIAMANTE</v>
      </c>
      <c r="E689">
        <f>CALCULOS_AGENCIA!$AA689</f>
        <v>1</v>
      </c>
      <c r="F689" s="3">
        <f t="shared" ca="1" si="10"/>
        <v>46087</v>
      </c>
    </row>
    <row r="690" spans="1:6" x14ac:dyDescent="0.3">
      <c r="A690" t="str">
        <f>PARAMS_MODELO!$B$3</f>
        <v>2025-Q3</v>
      </c>
      <c r="B690">
        <f>CALCULOS_AGENCIA!$A690</f>
        <v>51014740</v>
      </c>
      <c r="C690">
        <f>CALCULOS_AGENCIA!$U690</f>
        <v>82.738843360883436</v>
      </c>
      <c r="D690" t="str">
        <f>CALCULOS_AGENCIA!$V690</f>
        <v>ORO</v>
      </c>
      <c r="E690">
        <f>CALCULOS_AGENCIA!$AA690</f>
        <v>365</v>
      </c>
      <c r="F690" s="3">
        <f t="shared" ca="1" si="10"/>
        <v>46087</v>
      </c>
    </row>
    <row r="691" spans="1:6" x14ac:dyDescent="0.3">
      <c r="A691" t="str">
        <f>PARAMS_MODELO!$B$3</f>
        <v>2025-Q3</v>
      </c>
      <c r="B691">
        <f>CALCULOS_AGENCIA!$A691</f>
        <v>51011287</v>
      </c>
      <c r="C691">
        <f>CALCULOS_AGENCIA!$U691</f>
        <v>84.64527226473534</v>
      </c>
      <c r="D691" t="str">
        <f>CALCULOS_AGENCIA!$V691</f>
        <v>ORO</v>
      </c>
      <c r="E691">
        <f>CALCULOS_AGENCIA!$AA691</f>
        <v>295</v>
      </c>
      <c r="F691" s="3">
        <f t="shared" ca="1" si="10"/>
        <v>46087</v>
      </c>
    </row>
    <row r="692" spans="1:6" x14ac:dyDescent="0.3">
      <c r="A692" t="str">
        <f>PARAMS_MODELO!$B$3</f>
        <v>2025-Q3</v>
      </c>
      <c r="B692">
        <f>CALCULOS_AGENCIA!$A692</f>
        <v>51026306</v>
      </c>
      <c r="C692">
        <f>CALCULOS_AGENCIA!$U692</f>
        <v>58.345518157222585</v>
      </c>
      <c r="D692" t="str">
        <f>CALCULOS_AGENCIA!$V692</f>
        <v>PLATA</v>
      </c>
      <c r="E692">
        <f>CALCULOS_AGENCIA!$AA692</f>
        <v>648</v>
      </c>
      <c r="F692" s="3">
        <f t="shared" ca="1" si="10"/>
        <v>46087</v>
      </c>
    </row>
    <row r="693" spans="1:6" x14ac:dyDescent="0.3">
      <c r="A693" t="str">
        <f>PARAMS_MODELO!$B$3</f>
        <v>2025-Q3</v>
      </c>
      <c r="B693">
        <f>CALCULOS_AGENCIA!$A693</f>
        <v>51040325</v>
      </c>
      <c r="C693">
        <f>CALCULOS_AGENCIA!$U693</f>
        <v>40.070117357085287</v>
      </c>
      <c r="D693" t="str">
        <f>CALCULOS_AGENCIA!$V693</f>
        <v>PLATA</v>
      </c>
      <c r="E693">
        <f>CALCULOS_AGENCIA!$AA693</f>
        <v>786</v>
      </c>
      <c r="F693" s="3">
        <f t="shared" ca="1" si="10"/>
        <v>46087</v>
      </c>
    </row>
    <row r="694" spans="1:6" x14ac:dyDescent="0.3">
      <c r="A694" t="str">
        <f>PARAMS_MODELO!$B$3</f>
        <v>2025-Q3</v>
      </c>
      <c r="B694">
        <f>CALCULOS_AGENCIA!$A694</f>
        <v>51055543</v>
      </c>
      <c r="C694">
        <f>CALCULOS_AGENCIA!$U694</f>
        <v>81.580522377201348</v>
      </c>
      <c r="D694" t="str">
        <f>CALCULOS_AGENCIA!$V694</f>
        <v>ORO</v>
      </c>
      <c r="E694">
        <f>CALCULOS_AGENCIA!$AA694</f>
        <v>399</v>
      </c>
      <c r="F694" s="3">
        <f t="shared" ca="1" si="10"/>
        <v>46087</v>
      </c>
    </row>
    <row r="695" spans="1:6" x14ac:dyDescent="0.3">
      <c r="A695" t="str">
        <f>PARAMS_MODELO!$B$3</f>
        <v>2025-Q3</v>
      </c>
      <c r="B695">
        <f>CALCULOS_AGENCIA!$A695</f>
        <v>51037031</v>
      </c>
      <c r="C695">
        <f>CALCULOS_AGENCIA!$U695</f>
        <v>55.995303437186358</v>
      </c>
      <c r="D695" t="str">
        <f>CALCULOS_AGENCIA!$V695</f>
        <v>PLATA</v>
      </c>
      <c r="E695">
        <f>CALCULOS_AGENCIA!$AA695</f>
        <v>703</v>
      </c>
      <c r="F695" s="3">
        <f t="shared" ca="1" si="10"/>
        <v>46087</v>
      </c>
    </row>
    <row r="696" spans="1:6" x14ac:dyDescent="0.3">
      <c r="A696" t="str">
        <f>PARAMS_MODELO!$B$3</f>
        <v>2025-Q3</v>
      </c>
      <c r="B696">
        <f>CALCULOS_AGENCIA!$A696</f>
        <v>51057244</v>
      </c>
      <c r="C696">
        <f>CALCULOS_AGENCIA!$U696</f>
        <v>29.404073107294444</v>
      </c>
      <c r="D696" t="str">
        <f>CALCULOS_AGENCIA!$V696</f>
        <v>PLATA</v>
      </c>
      <c r="E696">
        <f>CALCULOS_AGENCIA!$AA696</f>
        <v>873</v>
      </c>
      <c r="F696" s="3">
        <f t="shared" ca="1" si="10"/>
        <v>46087</v>
      </c>
    </row>
    <row r="697" spans="1:6" x14ac:dyDescent="0.3">
      <c r="A697" t="str">
        <f>PARAMS_MODELO!$B$3</f>
        <v>2025-Q3</v>
      </c>
      <c r="B697">
        <f>CALCULOS_AGENCIA!$A697</f>
        <v>51032004</v>
      </c>
      <c r="C697">
        <f>CALCULOS_AGENCIA!$U697</f>
        <v>16.840976018451617</v>
      </c>
      <c r="D697" t="str">
        <f>CALCULOS_AGENCIA!$V697</f>
        <v>BRONCE</v>
      </c>
      <c r="E697">
        <f>CALCULOS_AGENCIA!$AA697</f>
        <v>1054</v>
      </c>
      <c r="F697" s="3">
        <f t="shared" ca="1" si="10"/>
        <v>46087</v>
      </c>
    </row>
    <row r="698" spans="1:6" x14ac:dyDescent="0.3">
      <c r="A698" t="str">
        <f>PARAMS_MODELO!$B$3</f>
        <v>2025-Q3</v>
      </c>
      <c r="B698">
        <f>CALCULOS_AGENCIA!$A698</f>
        <v>51019253</v>
      </c>
      <c r="C698">
        <f>CALCULOS_AGENCIA!$U698</f>
        <v>62.970810776408797</v>
      </c>
      <c r="D698" t="str">
        <f>CALCULOS_AGENCIA!$V698</f>
        <v>PLATA</v>
      </c>
      <c r="E698">
        <f>CALCULOS_AGENCIA!$AA698</f>
        <v>561</v>
      </c>
      <c r="F698" s="3">
        <f t="shared" ca="1" si="10"/>
        <v>46087</v>
      </c>
    </row>
    <row r="699" spans="1:6" x14ac:dyDescent="0.3">
      <c r="A699" t="str">
        <f>PARAMS_MODELO!$B$3</f>
        <v>2025-Q3</v>
      </c>
      <c r="B699">
        <f>CALCULOS_AGENCIA!$A699</f>
        <v>51008413</v>
      </c>
      <c r="C699">
        <f>CALCULOS_AGENCIA!$U699</f>
        <v>60.126791847839641</v>
      </c>
      <c r="D699" t="str">
        <f>CALCULOS_AGENCIA!$V699</f>
        <v>PLATA</v>
      </c>
      <c r="E699">
        <f>CALCULOS_AGENCIA!$AA699</f>
        <v>617</v>
      </c>
      <c r="F699" s="3">
        <f t="shared" ca="1" si="10"/>
        <v>46087</v>
      </c>
    </row>
    <row r="700" spans="1:6" x14ac:dyDescent="0.3">
      <c r="A700" t="str">
        <f>PARAMS_MODELO!$B$3</f>
        <v>2025-Q3</v>
      </c>
      <c r="B700">
        <f>CALCULOS_AGENCIA!$A700</f>
        <v>51018265</v>
      </c>
      <c r="C700">
        <f>CALCULOS_AGENCIA!$U700</f>
        <v>75.605683959860343</v>
      </c>
      <c r="D700" t="str">
        <f>CALCULOS_AGENCIA!$V700</f>
        <v>ORO</v>
      </c>
      <c r="E700">
        <f>CALCULOS_AGENCIA!$AA700</f>
        <v>471</v>
      </c>
      <c r="F700" s="3">
        <f t="shared" ca="1" si="10"/>
        <v>46087</v>
      </c>
    </row>
    <row r="701" spans="1:6" x14ac:dyDescent="0.3">
      <c r="A701" t="str">
        <f>PARAMS_MODELO!$B$3</f>
        <v>2025-Q3</v>
      </c>
      <c r="B701">
        <f>CALCULOS_AGENCIA!$A701</f>
        <v>51022050</v>
      </c>
      <c r="C701">
        <f>CALCULOS_AGENCIA!$U701</f>
        <v>20.50459611433552</v>
      </c>
      <c r="D701" t="str">
        <f>CALCULOS_AGENCIA!$V701</f>
        <v>BRONCE</v>
      </c>
      <c r="E701">
        <f>CALCULOS_AGENCIA!$AA701</f>
        <v>970</v>
      </c>
      <c r="F701" s="3">
        <f t="shared" ca="1" si="10"/>
        <v>46087</v>
      </c>
    </row>
    <row r="702" spans="1:6" x14ac:dyDescent="0.3">
      <c r="A702" t="str">
        <f>PARAMS_MODELO!$B$3</f>
        <v>2025-Q3</v>
      </c>
      <c r="B702">
        <f>CALCULOS_AGENCIA!$A702</f>
        <v>51016076</v>
      </c>
      <c r="C702">
        <f>CALCULOS_AGENCIA!$U702</f>
        <v>59.398545426000027</v>
      </c>
      <c r="D702" t="str">
        <f>CALCULOS_AGENCIA!$V702</f>
        <v>PLATA</v>
      </c>
      <c r="E702">
        <f>CALCULOS_AGENCIA!$AA702</f>
        <v>632</v>
      </c>
      <c r="F702" s="3">
        <f t="shared" ca="1" si="10"/>
        <v>46087</v>
      </c>
    </row>
    <row r="703" spans="1:6" x14ac:dyDescent="0.3">
      <c r="A703" t="str">
        <f>PARAMS_MODELO!$B$3</f>
        <v>2025-Q3</v>
      </c>
      <c r="B703">
        <f>CALCULOS_AGENCIA!$A703</f>
        <v>51014634</v>
      </c>
      <c r="C703">
        <f>CALCULOS_AGENCIA!$U703</f>
        <v>82.717303566964802</v>
      </c>
      <c r="D703" t="str">
        <f>CALCULOS_AGENCIA!$V703</f>
        <v>ORO</v>
      </c>
      <c r="E703">
        <f>CALCULOS_AGENCIA!$AA703</f>
        <v>367</v>
      </c>
      <c r="F703" s="3">
        <f t="shared" ca="1" si="10"/>
        <v>46087</v>
      </c>
    </row>
    <row r="704" spans="1:6" x14ac:dyDescent="0.3">
      <c r="A704" t="str">
        <f>PARAMS_MODELO!$B$3</f>
        <v>2025-Q3</v>
      </c>
      <c r="B704">
        <f>CALCULOS_AGENCIA!$A704</f>
        <v>51004655</v>
      </c>
      <c r="C704">
        <f>CALCULOS_AGENCIA!$U704</f>
        <v>81.376317218041095</v>
      </c>
      <c r="D704" t="str">
        <f>CALCULOS_AGENCIA!$V704</f>
        <v>ORO</v>
      </c>
      <c r="E704">
        <f>CALCULOS_AGENCIA!$AA704</f>
        <v>404</v>
      </c>
      <c r="F704" s="3">
        <f t="shared" ca="1" si="10"/>
        <v>46087</v>
      </c>
    </row>
    <row r="705" spans="1:6" x14ac:dyDescent="0.3">
      <c r="A705" t="str">
        <f>PARAMS_MODELO!$B$3</f>
        <v>2025-Q3</v>
      </c>
      <c r="B705">
        <f>CALCULOS_AGENCIA!$A705</f>
        <v>51030974</v>
      </c>
      <c r="C705">
        <f>CALCULOS_AGENCIA!$U705</f>
        <v>92.390706325232358</v>
      </c>
      <c r="D705" t="str">
        <f>CALCULOS_AGENCIA!$V705</f>
        <v>PLATINO</v>
      </c>
      <c r="E705">
        <f>CALCULOS_AGENCIA!$AA705</f>
        <v>98</v>
      </c>
      <c r="F705" s="3">
        <f t="shared" ca="1" si="10"/>
        <v>46087</v>
      </c>
    </row>
    <row r="706" spans="1:6" x14ac:dyDescent="0.3">
      <c r="A706" t="str">
        <f>PARAMS_MODELO!$B$3</f>
        <v>2025-Q3</v>
      </c>
      <c r="B706">
        <f>CALCULOS_AGENCIA!$A706</f>
        <v>51056787</v>
      </c>
      <c r="C706">
        <f>CALCULOS_AGENCIA!$U706</f>
        <v>73.927709305587953</v>
      </c>
      <c r="D706" t="str">
        <f>CALCULOS_AGENCIA!$V706</f>
        <v>ORO</v>
      </c>
      <c r="E706">
        <f>CALCULOS_AGENCIA!$AA706</f>
        <v>481</v>
      </c>
      <c r="F706" s="3">
        <f t="shared" ref="F706:F769" ca="1" si="11">TODAY()</f>
        <v>46087</v>
      </c>
    </row>
    <row r="707" spans="1:6" x14ac:dyDescent="0.3">
      <c r="A707" t="str">
        <f>PARAMS_MODELO!$B$3</f>
        <v>2025-Q3</v>
      </c>
      <c r="B707">
        <f>CALCULOS_AGENCIA!$A707</f>
        <v>51032802</v>
      </c>
      <c r="C707">
        <f>CALCULOS_AGENCIA!$U707</f>
        <v>100</v>
      </c>
      <c r="D707" t="str">
        <f>CALCULOS_AGENCIA!$V707</f>
        <v>DIAMANTE</v>
      </c>
      <c r="E707">
        <f>CALCULOS_AGENCIA!$AA707</f>
        <v>1</v>
      </c>
      <c r="F707" s="3">
        <f t="shared" ca="1" si="11"/>
        <v>46087</v>
      </c>
    </row>
    <row r="708" spans="1:6" x14ac:dyDescent="0.3">
      <c r="A708" t="str">
        <f>PARAMS_MODELO!$B$3</f>
        <v>2025-Q3</v>
      </c>
      <c r="B708">
        <f>CALCULOS_AGENCIA!$A708</f>
        <v>51043677</v>
      </c>
      <c r="C708">
        <f>CALCULOS_AGENCIA!$U708</f>
        <v>80.050528070482301</v>
      </c>
      <c r="D708" t="str">
        <f>CALCULOS_AGENCIA!$V708</f>
        <v>ORO</v>
      </c>
      <c r="E708">
        <f>CALCULOS_AGENCIA!$AA708</f>
        <v>440</v>
      </c>
      <c r="F708" s="3">
        <f t="shared" ca="1" si="11"/>
        <v>46087</v>
      </c>
    </row>
    <row r="709" spans="1:6" x14ac:dyDescent="0.3">
      <c r="A709" t="str">
        <f>PARAMS_MODELO!$B$3</f>
        <v>2025-Q3</v>
      </c>
      <c r="B709">
        <f>CALCULOS_AGENCIA!$A709</f>
        <v>51022467</v>
      </c>
      <c r="C709">
        <f>CALCULOS_AGENCIA!$U709</f>
        <v>55.054860806117674</v>
      </c>
      <c r="D709" t="str">
        <f>CALCULOS_AGENCIA!$V709</f>
        <v>PLATA</v>
      </c>
      <c r="E709">
        <f>CALCULOS_AGENCIA!$AA709</f>
        <v>716</v>
      </c>
      <c r="F709" s="3">
        <f t="shared" ca="1" si="11"/>
        <v>46087</v>
      </c>
    </row>
    <row r="710" spans="1:6" x14ac:dyDescent="0.3">
      <c r="A710" t="str">
        <f>PARAMS_MODELO!$B$3</f>
        <v>2025-Q3</v>
      </c>
      <c r="B710">
        <f>CALCULOS_AGENCIA!$A710</f>
        <v>51055225</v>
      </c>
      <c r="C710">
        <f>CALCULOS_AGENCIA!$U710</f>
        <v>85.805416261469119</v>
      </c>
      <c r="D710" t="str">
        <f>CALCULOS_AGENCIA!$V710</f>
        <v>ORO</v>
      </c>
      <c r="E710">
        <f>CALCULOS_AGENCIA!$AA710</f>
        <v>256</v>
      </c>
      <c r="F710" s="3">
        <f t="shared" ca="1" si="11"/>
        <v>46087</v>
      </c>
    </row>
    <row r="711" spans="1:6" x14ac:dyDescent="0.3">
      <c r="A711" t="str">
        <f>PARAMS_MODELO!$B$3</f>
        <v>2025-Q3</v>
      </c>
      <c r="B711">
        <f>CALCULOS_AGENCIA!$A711</f>
        <v>51041666</v>
      </c>
      <c r="C711">
        <f>CALCULOS_AGENCIA!$U711</f>
        <v>58.150057679637335</v>
      </c>
      <c r="D711" t="str">
        <f>CALCULOS_AGENCIA!$V711</f>
        <v>PLATA</v>
      </c>
      <c r="E711">
        <f>CALCULOS_AGENCIA!$AA711</f>
        <v>655</v>
      </c>
      <c r="F711" s="3">
        <f t="shared" ca="1" si="11"/>
        <v>46087</v>
      </c>
    </row>
    <row r="712" spans="1:6" x14ac:dyDescent="0.3">
      <c r="A712" t="str">
        <f>PARAMS_MODELO!$B$3</f>
        <v>2025-Q3</v>
      </c>
      <c r="B712">
        <f>CALCULOS_AGENCIA!$A712</f>
        <v>51024753</v>
      </c>
      <c r="C712">
        <f>CALCULOS_AGENCIA!$U712</f>
        <v>60.83380008601884</v>
      </c>
      <c r="D712" t="str">
        <f>CALCULOS_AGENCIA!$V712</f>
        <v>PLATA</v>
      </c>
      <c r="E712">
        <f>CALCULOS_AGENCIA!$AA712</f>
        <v>602</v>
      </c>
      <c r="F712" s="3">
        <f t="shared" ca="1" si="11"/>
        <v>46087</v>
      </c>
    </row>
    <row r="713" spans="1:6" x14ac:dyDescent="0.3">
      <c r="A713" t="str">
        <f>PARAMS_MODELO!$B$3</f>
        <v>2025-Q3</v>
      </c>
      <c r="B713">
        <f>CALCULOS_AGENCIA!$A713</f>
        <v>51023901</v>
      </c>
      <c r="C713">
        <f>CALCULOS_AGENCIA!$U713</f>
        <v>88.088748679318897</v>
      </c>
      <c r="D713" t="str">
        <f>CALCULOS_AGENCIA!$V713</f>
        <v>PLATINO</v>
      </c>
      <c r="E713">
        <f>CALCULOS_AGENCIA!$AA713</f>
        <v>194</v>
      </c>
      <c r="F713" s="3">
        <f t="shared" ca="1" si="11"/>
        <v>46087</v>
      </c>
    </row>
    <row r="714" spans="1:6" x14ac:dyDescent="0.3">
      <c r="A714" t="str">
        <f>PARAMS_MODELO!$B$3</f>
        <v>2025-Q3</v>
      </c>
      <c r="B714">
        <f>CALCULOS_AGENCIA!$A714</f>
        <v>51038401</v>
      </c>
      <c r="C714">
        <f>CALCULOS_AGENCIA!$U714</f>
        <v>45.422829095358161</v>
      </c>
      <c r="D714" t="str">
        <f>CALCULOS_AGENCIA!$V714</f>
        <v>PLATA</v>
      </c>
      <c r="E714">
        <f>CALCULOS_AGENCIA!$AA714</f>
        <v>770</v>
      </c>
      <c r="F714" s="3">
        <f t="shared" ca="1" si="11"/>
        <v>46087</v>
      </c>
    </row>
    <row r="715" spans="1:6" x14ac:dyDescent="0.3">
      <c r="A715" t="str">
        <f>PARAMS_MODELO!$B$3</f>
        <v>2025-Q3</v>
      </c>
      <c r="B715">
        <f>CALCULOS_AGENCIA!$A715</f>
        <v>51023226</v>
      </c>
      <c r="C715">
        <f>CALCULOS_AGENCIA!$U715</f>
        <v>80.85437520241905</v>
      </c>
      <c r="D715" t="str">
        <f>CALCULOS_AGENCIA!$V715</f>
        <v>ORO</v>
      </c>
      <c r="E715">
        <f>CALCULOS_AGENCIA!$AA715</f>
        <v>418</v>
      </c>
      <c r="F715" s="3">
        <f t="shared" ca="1" si="11"/>
        <v>46087</v>
      </c>
    </row>
    <row r="716" spans="1:6" x14ac:dyDescent="0.3">
      <c r="A716" t="str">
        <f>PARAMS_MODELO!$B$3</f>
        <v>2025-Q3</v>
      </c>
      <c r="B716">
        <f>CALCULOS_AGENCIA!$A716</f>
        <v>51019717</v>
      </c>
      <c r="C716">
        <f>CALCULOS_AGENCIA!$U716</f>
        <v>49.719406368766997</v>
      </c>
      <c r="D716" t="str">
        <f>CALCULOS_AGENCIA!$V716</f>
        <v>PLATA</v>
      </c>
      <c r="E716">
        <f>CALCULOS_AGENCIA!$AA716</f>
        <v>744</v>
      </c>
      <c r="F716" s="3">
        <f t="shared" ca="1" si="11"/>
        <v>46087</v>
      </c>
    </row>
    <row r="717" spans="1:6" x14ac:dyDescent="0.3">
      <c r="A717" t="str">
        <f>PARAMS_MODELO!$B$3</f>
        <v>2025-Q3</v>
      </c>
      <c r="B717">
        <f>CALCULOS_AGENCIA!$A717</f>
        <v>51007115</v>
      </c>
      <c r="C717">
        <f>CALCULOS_AGENCIA!$U717</f>
        <v>82.526574191826285</v>
      </c>
      <c r="D717" t="str">
        <f>CALCULOS_AGENCIA!$V717</f>
        <v>ORO</v>
      </c>
      <c r="E717">
        <f>CALCULOS_AGENCIA!$AA717</f>
        <v>372</v>
      </c>
      <c r="F717" s="3">
        <f t="shared" ca="1" si="11"/>
        <v>46087</v>
      </c>
    </row>
    <row r="718" spans="1:6" x14ac:dyDescent="0.3">
      <c r="A718" t="str">
        <f>PARAMS_MODELO!$B$3</f>
        <v>2025-Q3</v>
      </c>
      <c r="B718">
        <f>CALCULOS_AGENCIA!$A718</f>
        <v>51016637</v>
      </c>
      <c r="C718">
        <f>CALCULOS_AGENCIA!$U718</f>
        <v>85.174296783969595</v>
      </c>
      <c r="D718" t="str">
        <f>CALCULOS_AGENCIA!$V718</f>
        <v>ORO</v>
      </c>
      <c r="E718">
        <f>CALCULOS_AGENCIA!$AA718</f>
        <v>278</v>
      </c>
      <c r="F718" s="3">
        <f t="shared" ca="1" si="11"/>
        <v>46087</v>
      </c>
    </row>
    <row r="719" spans="1:6" x14ac:dyDescent="0.3">
      <c r="A719" t="str">
        <f>PARAMS_MODELO!$B$3</f>
        <v>2025-Q3</v>
      </c>
      <c r="B719">
        <f>CALCULOS_AGENCIA!$A719</f>
        <v>51023439</v>
      </c>
      <c r="C719">
        <f>CALCULOS_AGENCIA!$U719</f>
        <v>31.548621634709207</v>
      </c>
      <c r="D719" t="str">
        <f>CALCULOS_AGENCIA!$V719</f>
        <v>PLATA</v>
      </c>
      <c r="E719">
        <f>CALCULOS_AGENCIA!$AA719</f>
        <v>841</v>
      </c>
      <c r="F719" s="3">
        <f t="shared" ca="1" si="11"/>
        <v>46087</v>
      </c>
    </row>
    <row r="720" spans="1:6" x14ac:dyDescent="0.3">
      <c r="A720" t="str">
        <f>PARAMS_MODELO!$B$3</f>
        <v>2025-Q3</v>
      </c>
      <c r="B720">
        <f>CALCULOS_AGENCIA!$A720</f>
        <v>51031334</v>
      </c>
      <c r="C720">
        <f>CALCULOS_AGENCIA!$U720</f>
        <v>31.238981431591451</v>
      </c>
      <c r="D720" t="str">
        <f>CALCULOS_AGENCIA!$V720</f>
        <v>PLATA</v>
      </c>
      <c r="E720">
        <f>CALCULOS_AGENCIA!$AA720</f>
        <v>842</v>
      </c>
      <c r="F720" s="3">
        <f t="shared" ca="1" si="11"/>
        <v>46087</v>
      </c>
    </row>
    <row r="721" spans="1:6" x14ac:dyDescent="0.3">
      <c r="A721" t="str">
        <f>PARAMS_MODELO!$B$3</f>
        <v>2025-Q3</v>
      </c>
      <c r="B721">
        <f>CALCULOS_AGENCIA!$A721</f>
        <v>51005368</v>
      </c>
      <c r="C721">
        <f>CALCULOS_AGENCIA!$U721</f>
        <v>67.989029642937936</v>
      </c>
      <c r="D721" t="str">
        <f>CALCULOS_AGENCIA!$V721</f>
        <v>ORO</v>
      </c>
      <c r="E721">
        <f>CALCULOS_AGENCIA!$AA721</f>
        <v>527</v>
      </c>
      <c r="F721" s="3">
        <f t="shared" ca="1" si="11"/>
        <v>46087</v>
      </c>
    </row>
    <row r="722" spans="1:6" x14ac:dyDescent="0.3">
      <c r="A722" t="str">
        <f>PARAMS_MODELO!$B$3</f>
        <v>2025-Q3</v>
      </c>
      <c r="B722">
        <f>CALCULOS_AGENCIA!$A722</f>
        <v>51023803</v>
      </c>
      <c r="C722">
        <f>CALCULOS_AGENCIA!$U722</f>
        <v>95.409686363282219</v>
      </c>
      <c r="D722" t="str">
        <f>CALCULOS_AGENCIA!$V722</f>
        <v>PLATINO</v>
      </c>
      <c r="E722">
        <f>CALCULOS_AGENCIA!$AA722</f>
        <v>67</v>
      </c>
      <c r="F722" s="3">
        <f t="shared" ca="1" si="11"/>
        <v>46087</v>
      </c>
    </row>
    <row r="723" spans="1:6" x14ac:dyDescent="0.3">
      <c r="A723" t="str">
        <f>PARAMS_MODELO!$B$3</f>
        <v>2025-Q3</v>
      </c>
      <c r="B723">
        <f>CALCULOS_AGENCIA!$A723</f>
        <v>51016777</v>
      </c>
      <c r="C723">
        <f>CALCULOS_AGENCIA!$U723</f>
        <v>76.188047188262473</v>
      </c>
      <c r="D723" t="str">
        <f>CALCULOS_AGENCIA!$V723</f>
        <v>ORO</v>
      </c>
      <c r="E723">
        <f>CALCULOS_AGENCIA!$AA723</f>
        <v>461</v>
      </c>
      <c r="F723" s="3">
        <f t="shared" ca="1" si="11"/>
        <v>46087</v>
      </c>
    </row>
    <row r="724" spans="1:6" x14ac:dyDescent="0.3">
      <c r="A724" t="str">
        <f>PARAMS_MODELO!$B$3</f>
        <v>2025-Q3</v>
      </c>
      <c r="B724">
        <f>CALCULOS_AGENCIA!$A724</f>
        <v>51056094</v>
      </c>
      <c r="C724">
        <f>CALCULOS_AGENCIA!$U724</f>
        <v>55.785961515160643</v>
      </c>
      <c r="D724" t="str">
        <f>CALCULOS_AGENCIA!$V724</f>
        <v>PLATA</v>
      </c>
      <c r="E724">
        <f>CALCULOS_AGENCIA!$AA724</f>
        <v>707</v>
      </c>
      <c r="F724" s="3">
        <f t="shared" ca="1" si="11"/>
        <v>46087</v>
      </c>
    </row>
    <row r="725" spans="1:6" x14ac:dyDescent="0.3">
      <c r="A725" t="str">
        <f>PARAMS_MODELO!$B$3</f>
        <v>2025-Q3</v>
      </c>
      <c r="B725">
        <f>CALCULOS_AGENCIA!$A725</f>
        <v>51018044</v>
      </c>
      <c r="C725">
        <f>CALCULOS_AGENCIA!$U725</f>
        <v>21.007163001951081</v>
      </c>
      <c r="D725" t="str">
        <f>CALCULOS_AGENCIA!$V725</f>
        <v>BRONCE</v>
      </c>
      <c r="E725">
        <f>CALCULOS_AGENCIA!$AA725</f>
        <v>962</v>
      </c>
      <c r="F725" s="3">
        <f t="shared" ca="1" si="11"/>
        <v>46087</v>
      </c>
    </row>
    <row r="726" spans="1:6" x14ac:dyDescent="0.3">
      <c r="A726" t="str">
        <f>PARAMS_MODELO!$B$3</f>
        <v>2025-Q3</v>
      </c>
      <c r="B726">
        <f>CALCULOS_AGENCIA!$A726</f>
        <v>51031318</v>
      </c>
      <c r="C726">
        <f>CALCULOS_AGENCIA!$U726</f>
        <v>51.588421873635404</v>
      </c>
      <c r="D726" t="str">
        <f>CALCULOS_AGENCIA!$V726</f>
        <v>PLATA</v>
      </c>
      <c r="E726">
        <f>CALCULOS_AGENCIA!$AA726</f>
        <v>731</v>
      </c>
      <c r="F726" s="3">
        <f t="shared" ca="1" si="11"/>
        <v>46087</v>
      </c>
    </row>
    <row r="727" spans="1:6" x14ac:dyDescent="0.3">
      <c r="A727" t="str">
        <f>PARAMS_MODELO!$B$3</f>
        <v>2025-Q3</v>
      </c>
      <c r="B727">
        <f>CALCULOS_AGENCIA!$A727</f>
        <v>51031750</v>
      </c>
      <c r="C727">
        <f>CALCULOS_AGENCIA!$U727</f>
        <v>91.424089270515708</v>
      </c>
      <c r="D727" t="str">
        <f>CALCULOS_AGENCIA!$V727</f>
        <v>PLATINO</v>
      </c>
      <c r="E727">
        <f>CALCULOS_AGENCIA!$AA727</f>
        <v>111</v>
      </c>
      <c r="F727" s="3">
        <f t="shared" ca="1" si="11"/>
        <v>46087</v>
      </c>
    </row>
    <row r="728" spans="1:6" x14ac:dyDescent="0.3">
      <c r="A728" t="str">
        <f>PARAMS_MODELO!$B$3</f>
        <v>2025-Q3</v>
      </c>
      <c r="B728">
        <f>CALCULOS_AGENCIA!$A728</f>
        <v>51032063</v>
      </c>
      <c r="C728">
        <f>CALCULOS_AGENCIA!$U728</f>
        <v>81.619140066978545</v>
      </c>
      <c r="D728" t="str">
        <f>CALCULOS_AGENCIA!$V728</f>
        <v>ORO</v>
      </c>
      <c r="E728">
        <f>CALCULOS_AGENCIA!$AA728</f>
        <v>396</v>
      </c>
      <c r="F728" s="3">
        <f t="shared" ca="1" si="11"/>
        <v>46087</v>
      </c>
    </row>
    <row r="729" spans="1:6" x14ac:dyDescent="0.3">
      <c r="A729" t="str">
        <f>PARAMS_MODELO!$B$3</f>
        <v>2025-Q3</v>
      </c>
      <c r="B729">
        <f>CALCULOS_AGENCIA!$A729</f>
        <v>51029232</v>
      </c>
      <c r="C729">
        <f>CALCULOS_AGENCIA!$U729</f>
        <v>66.412882056693164</v>
      </c>
      <c r="D729" t="str">
        <f>CALCULOS_AGENCIA!$V729</f>
        <v>ORO</v>
      </c>
      <c r="E729">
        <f>CALCULOS_AGENCIA!$AA729</f>
        <v>539</v>
      </c>
      <c r="F729" s="3">
        <f t="shared" ca="1" si="11"/>
        <v>46087</v>
      </c>
    </row>
    <row r="730" spans="1:6" x14ac:dyDescent="0.3">
      <c r="A730" t="str">
        <f>PARAMS_MODELO!$B$3</f>
        <v>2025-Q3</v>
      </c>
      <c r="B730">
        <f>CALCULOS_AGENCIA!$A730</f>
        <v>51035879</v>
      </c>
      <c r="C730">
        <f>CALCULOS_AGENCIA!$U730</f>
        <v>40.108543770676889</v>
      </c>
      <c r="D730" t="str">
        <f>CALCULOS_AGENCIA!$V730</f>
        <v>PLATA</v>
      </c>
      <c r="E730">
        <f>CALCULOS_AGENCIA!$AA730</f>
        <v>785</v>
      </c>
      <c r="F730" s="3">
        <f t="shared" ca="1" si="11"/>
        <v>46087</v>
      </c>
    </row>
    <row r="731" spans="1:6" x14ac:dyDescent="0.3">
      <c r="A731" t="str">
        <f>PARAMS_MODELO!$B$3</f>
        <v>2025-Q3</v>
      </c>
      <c r="B731">
        <f>CALCULOS_AGENCIA!$A731</f>
        <v>51001044</v>
      </c>
      <c r="C731">
        <f>CALCULOS_AGENCIA!$U731</f>
        <v>84.017006470262302</v>
      </c>
      <c r="D731" t="str">
        <f>CALCULOS_AGENCIA!$V731</f>
        <v>ORO</v>
      </c>
      <c r="E731">
        <f>CALCULOS_AGENCIA!$AA731</f>
        <v>321</v>
      </c>
      <c r="F731" s="3">
        <f t="shared" ca="1" si="11"/>
        <v>46087</v>
      </c>
    </row>
    <row r="732" spans="1:6" x14ac:dyDescent="0.3">
      <c r="A732" t="str">
        <f>PARAMS_MODELO!$B$3</f>
        <v>2025-Q3</v>
      </c>
      <c r="B732">
        <f>CALCULOS_AGENCIA!$A732</f>
        <v>51028929</v>
      </c>
      <c r="C732">
        <f>CALCULOS_AGENCIA!$U732</f>
        <v>89.541549885911891</v>
      </c>
      <c r="D732" t="str">
        <f>CALCULOS_AGENCIA!$V732</f>
        <v>PLATINO</v>
      </c>
      <c r="E732">
        <f>CALCULOS_AGENCIA!$AA732</f>
        <v>149</v>
      </c>
      <c r="F732" s="3">
        <f t="shared" ca="1" si="11"/>
        <v>46087</v>
      </c>
    </row>
    <row r="733" spans="1:6" x14ac:dyDescent="0.3">
      <c r="A733" t="str">
        <f>PARAMS_MODELO!$B$3</f>
        <v>2025-Q3</v>
      </c>
      <c r="B733">
        <f>CALCULOS_AGENCIA!$A733</f>
        <v>51054873</v>
      </c>
      <c r="C733">
        <f>CALCULOS_AGENCIA!$U733</f>
        <v>97.362626661568186</v>
      </c>
      <c r="D733" t="str">
        <f>CALCULOS_AGENCIA!$V733</f>
        <v>DIAMANTE</v>
      </c>
      <c r="E733">
        <f>CALCULOS_AGENCIA!$AA733</f>
        <v>44</v>
      </c>
      <c r="F733" s="3">
        <f t="shared" ca="1" si="11"/>
        <v>46087</v>
      </c>
    </row>
    <row r="734" spans="1:6" x14ac:dyDescent="0.3">
      <c r="A734" t="str">
        <f>PARAMS_MODELO!$B$3</f>
        <v>2025-Q3</v>
      </c>
      <c r="B734">
        <f>CALCULOS_AGENCIA!$A734</f>
        <v>51013913</v>
      </c>
      <c r="C734">
        <f>CALCULOS_AGENCIA!$U734</f>
        <v>84.306431860513356</v>
      </c>
      <c r="D734" t="str">
        <f>CALCULOS_AGENCIA!$V734</f>
        <v>ORO</v>
      </c>
      <c r="E734">
        <f>CALCULOS_AGENCIA!$AA734</f>
        <v>305</v>
      </c>
      <c r="F734" s="3">
        <f t="shared" ca="1" si="11"/>
        <v>46087</v>
      </c>
    </row>
    <row r="735" spans="1:6" x14ac:dyDescent="0.3">
      <c r="A735" t="str">
        <f>PARAMS_MODELO!$B$3</f>
        <v>2025-Q3</v>
      </c>
      <c r="B735">
        <f>CALCULOS_AGENCIA!$A735</f>
        <v>51033302</v>
      </c>
      <c r="C735">
        <f>CALCULOS_AGENCIA!$U735</f>
        <v>46.856722460175575</v>
      </c>
      <c r="D735" t="str">
        <f>CALCULOS_AGENCIA!$V735</f>
        <v>PLATA</v>
      </c>
      <c r="E735">
        <f>CALCULOS_AGENCIA!$AA735</f>
        <v>761</v>
      </c>
      <c r="F735" s="3">
        <f t="shared" ca="1" si="11"/>
        <v>46087</v>
      </c>
    </row>
    <row r="736" spans="1:6" x14ac:dyDescent="0.3">
      <c r="A736" t="str">
        <f>PARAMS_MODELO!$B$3</f>
        <v>2025-Q3</v>
      </c>
      <c r="B736">
        <f>CALCULOS_AGENCIA!$A736</f>
        <v>51054806</v>
      </c>
      <c r="C736">
        <f>CALCULOS_AGENCIA!$U736</f>
        <v>32.410963277490879</v>
      </c>
      <c r="D736" t="str">
        <f>CALCULOS_AGENCIA!$V736</f>
        <v>PLATA</v>
      </c>
      <c r="E736">
        <f>CALCULOS_AGENCIA!$AA736</f>
        <v>832</v>
      </c>
      <c r="F736" s="3">
        <f t="shared" ca="1" si="11"/>
        <v>46087</v>
      </c>
    </row>
    <row r="737" spans="1:6" x14ac:dyDescent="0.3">
      <c r="A737" t="str">
        <f>PARAMS_MODELO!$B$3</f>
        <v>2025-Q3</v>
      </c>
      <c r="B737">
        <f>CALCULOS_AGENCIA!$A737</f>
        <v>51030567</v>
      </c>
      <c r="C737">
        <f>CALCULOS_AGENCIA!$U737</f>
        <v>54.855678416248686</v>
      </c>
      <c r="D737" t="str">
        <f>CALCULOS_AGENCIA!$V737</f>
        <v>PLATA</v>
      </c>
      <c r="E737">
        <f>CALCULOS_AGENCIA!$AA737</f>
        <v>717</v>
      </c>
      <c r="F737" s="3">
        <f t="shared" ca="1" si="11"/>
        <v>46087</v>
      </c>
    </row>
    <row r="738" spans="1:6" x14ac:dyDescent="0.3">
      <c r="A738" t="str">
        <f>PARAMS_MODELO!$B$3</f>
        <v>2025-Q3</v>
      </c>
      <c r="B738">
        <f>CALCULOS_AGENCIA!$A738</f>
        <v>51014375</v>
      </c>
      <c r="C738">
        <f>CALCULOS_AGENCIA!$U738</f>
        <v>37.106996687025045</v>
      </c>
      <c r="D738" t="str">
        <f>CALCULOS_AGENCIA!$V738</f>
        <v>PLATA</v>
      </c>
      <c r="E738">
        <f>CALCULOS_AGENCIA!$AA738</f>
        <v>800</v>
      </c>
      <c r="F738" s="3">
        <f t="shared" ca="1" si="11"/>
        <v>46087</v>
      </c>
    </row>
    <row r="739" spans="1:6" x14ac:dyDescent="0.3">
      <c r="A739" t="str">
        <f>PARAMS_MODELO!$B$3</f>
        <v>2025-Q3</v>
      </c>
      <c r="B739">
        <f>CALCULOS_AGENCIA!$A739</f>
        <v>51056337</v>
      </c>
      <c r="C739">
        <f>CALCULOS_AGENCIA!$U739</f>
        <v>84.071367516423848</v>
      </c>
      <c r="D739" t="str">
        <f>CALCULOS_AGENCIA!$V739</f>
        <v>ORO</v>
      </c>
      <c r="E739">
        <f>CALCULOS_AGENCIA!$AA739</f>
        <v>318</v>
      </c>
      <c r="F739" s="3">
        <f t="shared" ca="1" si="11"/>
        <v>46087</v>
      </c>
    </row>
    <row r="740" spans="1:6" x14ac:dyDescent="0.3">
      <c r="A740" t="str">
        <f>PARAMS_MODELO!$B$3</f>
        <v>2025-Q3</v>
      </c>
      <c r="B740">
        <f>CALCULOS_AGENCIA!$A740</f>
        <v>51054938</v>
      </c>
      <c r="C740">
        <f>CALCULOS_AGENCIA!$U740</f>
        <v>93.914041812366449</v>
      </c>
      <c r="D740" t="str">
        <f>CALCULOS_AGENCIA!$V740</f>
        <v>PLATINO</v>
      </c>
      <c r="E740">
        <f>CALCULOS_AGENCIA!$AA740</f>
        <v>77</v>
      </c>
      <c r="F740" s="3">
        <f t="shared" ca="1" si="11"/>
        <v>46087</v>
      </c>
    </row>
    <row r="741" spans="1:6" x14ac:dyDescent="0.3">
      <c r="A741" t="str">
        <f>PARAMS_MODELO!$B$3</f>
        <v>2025-Q3</v>
      </c>
      <c r="B741">
        <f>CALCULOS_AGENCIA!$A741</f>
        <v>51024834</v>
      </c>
      <c r="C741">
        <f>CALCULOS_AGENCIA!$U741</f>
        <v>51.665672912093257</v>
      </c>
      <c r="D741" t="str">
        <f>CALCULOS_AGENCIA!$V741</f>
        <v>PLATA</v>
      </c>
      <c r="E741">
        <f>CALCULOS_AGENCIA!$AA741</f>
        <v>730</v>
      </c>
      <c r="F741" s="3">
        <f t="shared" ca="1" si="11"/>
        <v>46087</v>
      </c>
    </row>
    <row r="742" spans="1:6" x14ac:dyDescent="0.3">
      <c r="A742" t="str">
        <f>PARAMS_MODELO!$B$3</f>
        <v>2025-Q3</v>
      </c>
      <c r="B742">
        <f>CALCULOS_AGENCIA!$A742</f>
        <v>51016831</v>
      </c>
      <c r="C742">
        <f>CALCULOS_AGENCIA!$U742</f>
        <v>39.468946189818197</v>
      </c>
      <c r="D742" t="str">
        <f>CALCULOS_AGENCIA!$V742</f>
        <v>PLATA</v>
      </c>
      <c r="E742">
        <f>CALCULOS_AGENCIA!$AA742</f>
        <v>788</v>
      </c>
      <c r="F742" s="3">
        <f t="shared" ca="1" si="11"/>
        <v>46087</v>
      </c>
    </row>
    <row r="743" spans="1:6" x14ac:dyDescent="0.3">
      <c r="A743" t="str">
        <f>PARAMS_MODELO!$B$3</f>
        <v>2025-Q3</v>
      </c>
      <c r="B743">
        <f>CALCULOS_AGENCIA!$A743</f>
        <v>51023927</v>
      </c>
      <c r="C743">
        <f>CALCULOS_AGENCIA!$U743</f>
        <v>30.527067632203156</v>
      </c>
      <c r="D743" t="str">
        <f>CALCULOS_AGENCIA!$V743</f>
        <v>PLATA</v>
      </c>
      <c r="E743">
        <f>CALCULOS_AGENCIA!$AA743</f>
        <v>854</v>
      </c>
      <c r="F743" s="3">
        <f t="shared" ca="1" si="11"/>
        <v>46087</v>
      </c>
    </row>
    <row r="744" spans="1:6" x14ac:dyDescent="0.3">
      <c r="A744" t="str">
        <f>PARAMS_MODELO!$B$3</f>
        <v>2025-Q3</v>
      </c>
      <c r="B744">
        <f>CALCULOS_AGENCIA!$A744</f>
        <v>51020111</v>
      </c>
      <c r="C744">
        <f>CALCULOS_AGENCIA!$U744</f>
        <v>57.514428765876559</v>
      </c>
      <c r="D744" t="str">
        <f>CALCULOS_AGENCIA!$V744</f>
        <v>PLATA</v>
      </c>
      <c r="E744">
        <f>CALCULOS_AGENCIA!$AA744</f>
        <v>674</v>
      </c>
      <c r="F744" s="3">
        <f t="shared" ca="1" si="11"/>
        <v>46087</v>
      </c>
    </row>
    <row r="745" spans="1:6" x14ac:dyDescent="0.3">
      <c r="A745" t="str">
        <f>PARAMS_MODELO!$B$3</f>
        <v>2025-Q3</v>
      </c>
      <c r="B745">
        <f>CALCULOS_AGENCIA!$A745</f>
        <v>51055250</v>
      </c>
      <c r="C745">
        <f>CALCULOS_AGENCIA!$U745</f>
        <v>56.964896699674831</v>
      </c>
      <c r="D745" t="str">
        <f>CALCULOS_AGENCIA!$V745</f>
        <v>PLATA</v>
      </c>
      <c r="E745">
        <f>CALCULOS_AGENCIA!$AA745</f>
        <v>684</v>
      </c>
      <c r="F745" s="3">
        <f t="shared" ca="1" si="11"/>
        <v>46087</v>
      </c>
    </row>
    <row r="746" spans="1:6" x14ac:dyDescent="0.3">
      <c r="A746" t="str">
        <f>PARAMS_MODELO!$B$3</f>
        <v>2025-Q3</v>
      </c>
      <c r="B746">
        <f>CALCULOS_AGENCIA!$A746</f>
        <v>51018036</v>
      </c>
      <c r="C746">
        <f>CALCULOS_AGENCIA!$U746</f>
        <v>80.744760568846928</v>
      </c>
      <c r="D746" t="str">
        <f>CALCULOS_AGENCIA!$V746</f>
        <v>ORO</v>
      </c>
      <c r="E746">
        <f>CALCULOS_AGENCIA!$AA746</f>
        <v>421</v>
      </c>
      <c r="F746" s="3">
        <f t="shared" ca="1" si="11"/>
        <v>46087</v>
      </c>
    </row>
    <row r="747" spans="1:6" x14ac:dyDescent="0.3">
      <c r="A747" t="str">
        <f>PARAMS_MODELO!$B$3</f>
        <v>2025-Q3</v>
      </c>
      <c r="B747">
        <f>CALCULOS_AGENCIA!$A747</f>
        <v>51009797</v>
      </c>
      <c r="C747">
        <f>CALCULOS_AGENCIA!$U747</f>
        <v>26.524862630576127</v>
      </c>
      <c r="D747" t="str">
        <f>CALCULOS_AGENCIA!$V747</f>
        <v>PLATA</v>
      </c>
      <c r="E747">
        <f>CALCULOS_AGENCIA!$AA747</f>
        <v>904</v>
      </c>
      <c r="F747" s="3">
        <f t="shared" ca="1" si="11"/>
        <v>46087</v>
      </c>
    </row>
    <row r="748" spans="1:6" x14ac:dyDescent="0.3">
      <c r="A748" t="str">
        <f>PARAMS_MODELO!$B$3</f>
        <v>2025-Q3</v>
      </c>
      <c r="B748">
        <f>CALCULOS_AGENCIA!$A748</f>
        <v>51041917</v>
      </c>
      <c r="C748">
        <f>CALCULOS_AGENCIA!$U748</f>
        <v>45.748171347913313</v>
      </c>
      <c r="D748" t="str">
        <f>CALCULOS_AGENCIA!$V748</f>
        <v>PLATA</v>
      </c>
      <c r="E748">
        <f>CALCULOS_AGENCIA!$AA748</f>
        <v>768</v>
      </c>
      <c r="F748" s="3">
        <f t="shared" ca="1" si="11"/>
        <v>46087</v>
      </c>
    </row>
    <row r="749" spans="1:6" x14ac:dyDescent="0.3">
      <c r="A749" t="str">
        <f>PARAMS_MODELO!$B$3</f>
        <v>2025-Q3</v>
      </c>
      <c r="B749">
        <f>CALCULOS_AGENCIA!$A749</f>
        <v>51017846</v>
      </c>
      <c r="C749">
        <f>CALCULOS_AGENCIA!$U749</f>
        <v>58.237512672353752</v>
      </c>
      <c r="D749" t="str">
        <f>CALCULOS_AGENCIA!$V749</f>
        <v>PLATA</v>
      </c>
      <c r="E749">
        <f>CALCULOS_AGENCIA!$AA749</f>
        <v>653</v>
      </c>
      <c r="F749" s="3">
        <f t="shared" ca="1" si="11"/>
        <v>46087</v>
      </c>
    </row>
    <row r="750" spans="1:6" x14ac:dyDescent="0.3">
      <c r="A750" t="str">
        <f>PARAMS_MODELO!$B$3</f>
        <v>2025-Q3</v>
      </c>
      <c r="B750">
        <f>CALCULOS_AGENCIA!$A750</f>
        <v>51015851</v>
      </c>
      <c r="C750">
        <f>CALCULOS_AGENCIA!$U750</f>
        <v>87.863124435439786</v>
      </c>
      <c r="D750" t="str">
        <f>CALCULOS_AGENCIA!$V750</f>
        <v>PLATINO</v>
      </c>
      <c r="E750">
        <f>CALCULOS_AGENCIA!$AA750</f>
        <v>204</v>
      </c>
      <c r="F750" s="3">
        <f t="shared" ca="1" si="11"/>
        <v>46087</v>
      </c>
    </row>
    <row r="751" spans="1:6" x14ac:dyDescent="0.3">
      <c r="A751" t="str">
        <f>PARAMS_MODELO!$B$3</f>
        <v>2025-Q3</v>
      </c>
      <c r="B751">
        <f>CALCULOS_AGENCIA!$A751</f>
        <v>51036603</v>
      </c>
      <c r="C751">
        <f>CALCULOS_AGENCIA!$U751</f>
        <v>17.786360834588816</v>
      </c>
      <c r="D751" t="str">
        <f>CALCULOS_AGENCIA!$V751</f>
        <v>BRONCE</v>
      </c>
      <c r="E751">
        <f>CALCULOS_AGENCIA!$AA751</f>
        <v>1034</v>
      </c>
      <c r="F751" s="3">
        <f t="shared" ca="1" si="11"/>
        <v>46087</v>
      </c>
    </row>
    <row r="752" spans="1:6" x14ac:dyDescent="0.3">
      <c r="A752" t="str">
        <f>PARAMS_MODELO!$B$3</f>
        <v>2025-Q3</v>
      </c>
      <c r="B752">
        <f>CALCULOS_AGENCIA!$A752</f>
        <v>51020910</v>
      </c>
      <c r="C752">
        <f>CALCULOS_AGENCIA!$U752</f>
        <v>72.578770448370705</v>
      </c>
      <c r="D752" t="str">
        <f>CALCULOS_AGENCIA!$V752</f>
        <v>ORO</v>
      </c>
      <c r="E752">
        <f>CALCULOS_AGENCIA!$AA752</f>
        <v>494</v>
      </c>
      <c r="F752" s="3">
        <f t="shared" ca="1" si="11"/>
        <v>46087</v>
      </c>
    </row>
    <row r="753" spans="1:6" x14ac:dyDescent="0.3">
      <c r="A753" t="str">
        <f>PARAMS_MODELO!$B$3</f>
        <v>2025-Q3</v>
      </c>
      <c r="B753">
        <f>CALCULOS_AGENCIA!$A753</f>
        <v>51031326</v>
      </c>
      <c r="C753">
        <f>CALCULOS_AGENCIA!$U753</f>
        <v>22.962051531882594</v>
      </c>
      <c r="D753" t="str">
        <f>CALCULOS_AGENCIA!$V753</f>
        <v>BRONCE</v>
      </c>
      <c r="E753">
        <f>CALCULOS_AGENCIA!$AA753</f>
        <v>931</v>
      </c>
      <c r="F753" s="3">
        <f t="shared" ca="1" si="11"/>
        <v>46087</v>
      </c>
    </row>
    <row r="754" spans="1:6" x14ac:dyDescent="0.3">
      <c r="A754" t="str">
        <f>PARAMS_MODELO!$B$3</f>
        <v>2025-Q3</v>
      </c>
      <c r="B754">
        <f>CALCULOS_AGENCIA!$A754</f>
        <v>51033604</v>
      </c>
      <c r="C754">
        <f>CALCULOS_AGENCIA!$U754</f>
        <v>32.273279023382813</v>
      </c>
      <c r="D754" t="str">
        <f>CALCULOS_AGENCIA!$V754</f>
        <v>PLATA</v>
      </c>
      <c r="E754">
        <f>CALCULOS_AGENCIA!$AA754</f>
        <v>833</v>
      </c>
      <c r="F754" s="3">
        <f t="shared" ca="1" si="11"/>
        <v>46087</v>
      </c>
    </row>
    <row r="755" spans="1:6" x14ac:dyDescent="0.3">
      <c r="A755" t="str">
        <f>PARAMS_MODELO!$B$3</f>
        <v>2025-Q3</v>
      </c>
      <c r="B755">
        <f>CALCULOS_AGENCIA!$A755</f>
        <v>51026217</v>
      </c>
      <c r="C755">
        <f>CALCULOS_AGENCIA!$U755</f>
        <v>89.313903896903014</v>
      </c>
      <c r="D755" t="str">
        <f>CALCULOS_AGENCIA!$V755</f>
        <v>PLATINO</v>
      </c>
      <c r="E755">
        <f>CALCULOS_AGENCIA!$AA755</f>
        <v>156</v>
      </c>
      <c r="F755" s="3">
        <f t="shared" ca="1" si="11"/>
        <v>46087</v>
      </c>
    </row>
    <row r="756" spans="1:6" x14ac:dyDescent="0.3">
      <c r="A756" t="str">
        <f>PARAMS_MODELO!$B$3</f>
        <v>2025-Q3</v>
      </c>
      <c r="B756">
        <f>CALCULOS_AGENCIA!$A756</f>
        <v>51039165</v>
      </c>
      <c r="C756">
        <f>CALCULOS_AGENCIA!$U756</f>
        <v>60.885924903108389</v>
      </c>
      <c r="D756" t="str">
        <f>CALCULOS_AGENCIA!$V756</f>
        <v>PLATA</v>
      </c>
      <c r="E756">
        <f>CALCULOS_AGENCIA!$AA756</f>
        <v>601</v>
      </c>
      <c r="F756" s="3">
        <f t="shared" ca="1" si="11"/>
        <v>46087</v>
      </c>
    </row>
    <row r="757" spans="1:6" x14ac:dyDescent="0.3">
      <c r="A757" t="str">
        <f>PARAMS_MODELO!$B$3</f>
        <v>2025-Q3</v>
      </c>
      <c r="B757">
        <f>CALCULOS_AGENCIA!$A757</f>
        <v>51006844</v>
      </c>
      <c r="C757">
        <f>CALCULOS_AGENCIA!$U757</f>
        <v>23.617653119515271</v>
      </c>
      <c r="D757" t="str">
        <f>CALCULOS_AGENCIA!$V757</f>
        <v>BRONCE</v>
      </c>
      <c r="E757">
        <f>CALCULOS_AGENCIA!$AA757</f>
        <v>926</v>
      </c>
      <c r="F757" s="3">
        <f t="shared" ca="1" si="11"/>
        <v>46087</v>
      </c>
    </row>
    <row r="758" spans="1:6" x14ac:dyDescent="0.3">
      <c r="A758" t="str">
        <f>PARAMS_MODELO!$B$3</f>
        <v>2025-Q3</v>
      </c>
      <c r="B758">
        <f>CALCULOS_AGENCIA!$A758</f>
        <v>51020995</v>
      </c>
      <c r="C758">
        <f>CALCULOS_AGENCIA!$U758</f>
        <v>27.625525965648244</v>
      </c>
      <c r="D758" t="str">
        <f>CALCULOS_AGENCIA!$V758</f>
        <v>PLATA</v>
      </c>
      <c r="E758">
        <f>CALCULOS_AGENCIA!$AA758</f>
        <v>890</v>
      </c>
      <c r="F758" s="3">
        <f t="shared" ca="1" si="11"/>
        <v>46087</v>
      </c>
    </row>
    <row r="759" spans="1:6" x14ac:dyDescent="0.3">
      <c r="A759" t="str">
        <f>PARAMS_MODELO!$B$3</f>
        <v>2025-Q3</v>
      </c>
      <c r="B759">
        <f>CALCULOS_AGENCIA!$A759</f>
        <v>51023251</v>
      </c>
      <c r="C759">
        <f>CALCULOS_AGENCIA!$U759</f>
        <v>75.705276133555856</v>
      </c>
      <c r="D759" t="str">
        <f>CALCULOS_AGENCIA!$V759</f>
        <v>ORO</v>
      </c>
      <c r="E759">
        <f>CALCULOS_AGENCIA!$AA759</f>
        <v>470</v>
      </c>
      <c r="F759" s="3">
        <f t="shared" ca="1" si="11"/>
        <v>46087</v>
      </c>
    </row>
    <row r="760" spans="1:6" x14ac:dyDescent="0.3">
      <c r="A760" t="str">
        <f>PARAMS_MODELO!$B$3</f>
        <v>2025-Q3</v>
      </c>
      <c r="B760">
        <f>CALCULOS_AGENCIA!$A760</f>
        <v>51010205</v>
      </c>
      <c r="C760">
        <f>CALCULOS_AGENCIA!$U760</f>
        <v>50.717867936428128</v>
      </c>
      <c r="D760" t="str">
        <f>CALCULOS_AGENCIA!$V760</f>
        <v>PLATA</v>
      </c>
      <c r="E760">
        <f>CALCULOS_AGENCIA!$AA760</f>
        <v>735</v>
      </c>
      <c r="F760" s="3">
        <f t="shared" ca="1" si="11"/>
        <v>46087</v>
      </c>
    </row>
    <row r="761" spans="1:6" x14ac:dyDescent="0.3">
      <c r="A761" t="str">
        <f>PARAMS_MODELO!$B$3</f>
        <v>2025-Q3</v>
      </c>
      <c r="B761">
        <f>CALCULOS_AGENCIA!$A761</f>
        <v>51056922</v>
      </c>
      <c r="C761">
        <f>CALCULOS_AGENCIA!$U761</f>
        <v>78.806032201404705</v>
      </c>
      <c r="D761" t="str">
        <f>CALCULOS_AGENCIA!$V761</f>
        <v>ORO</v>
      </c>
      <c r="E761">
        <f>CALCULOS_AGENCIA!$AA761</f>
        <v>450</v>
      </c>
      <c r="F761" s="3">
        <f t="shared" ca="1" si="11"/>
        <v>46087</v>
      </c>
    </row>
    <row r="762" spans="1:6" x14ac:dyDescent="0.3">
      <c r="A762" t="str">
        <f>PARAMS_MODELO!$B$3</f>
        <v>2025-Q3</v>
      </c>
      <c r="B762">
        <f>CALCULOS_AGENCIA!$A762</f>
        <v>51056299</v>
      </c>
      <c r="C762">
        <f>CALCULOS_AGENCIA!$U762</f>
        <v>88.726631639241759</v>
      </c>
      <c r="D762" t="str">
        <f>CALCULOS_AGENCIA!$V762</f>
        <v>PLATINO</v>
      </c>
      <c r="E762">
        <f>CALCULOS_AGENCIA!$AA762</f>
        <v>175</v>
      </c>
      <c r="F762" s="3">
        <f t="shared" ca="1" si="11"/>
        <v>46087</v>
      </c>
    </row>
    <row r="763" spans="1:6" x14ac:dyDescent="0.3">
      <c r="A763" t="str">
        <f>PARAMS_MODELO!$B$3</f>
        <v>2025-Q3</v>
      </c>
      <c r="B763">
        <f>CALCULOS_AGENCIA!$A763</f>
        <v>51010175</v>
      </c>
      <c r="C763">
        <f>CALCULOS_AGENCIA!$U763</f>
        <v>39.298629463715848</v>
      </c>
      <c r="D763" t="str">
        <f>CALCULOS_AGENCIA!$V763</f>
        <v>PLATA</v>
      </c>
      <c r="E763">
        <f>CALCULOS_AGENCIA!$AA763</f>
        <v>789</v>
      </c>
      <c r="F763" s="3">
        <f t="shared" ca="1" si="11"/>
        <v>46087</v>
      </c>
    </row>
    <row r="764" spans="1:6" x14ac:dyDescent="0.3">
      <c r="A764" t="str">
        <f>PARAMS_MODELO!$B$3</f>
        <v>2025-Q3</v>
      </c>
      <c r="B764">
        <f>CALCULOS_AGENCIA!$A764</f>
        <v>51015355</v>
      </c>
      <c r="C764">
        <f>CALCULOS_AGENCIA!$U764</f>
        <v>61.148104824366719</v>
      </c>
      <c r="D764" t="str">
        <f>CALCULOS_AGENCIA!$V764</f>
        <v>PLATA</v>
      </c>
      <c r="E764">
        <f>CALCULOS_AGENCIA!$AA764</f>
        <v>595</v>
      </c>
      <c r="F764" s="3">
        <f t="shared" ca="1" si="11"/>
        <v>46087</v>
      </c>
    </row>
    <row r="765" spans="1:6" x14ac:dyDescent="0.3">
      <c r="A765" t="str">
        <f>PARAMS_MODELO!$B$3</f>
        <v>2025-Q3</v>
      </c>
      <c r="B765">
        <f>CALCULOS_AGENCIA!$A765</f>
        <v>51010191</v>
      </c>
      <c r="C765">
        <f>CALCULOS_AGENCIA!$U765</f>
        <v>97.370130881704654</v>
      </c>
      <c r="D765" t="str">
        <f>CALCULOS_AGENCIA!$V765</f>
        <v>DIAMANTE</v>
      </c>
      <c r="E765">
        <f>CALCULOS_AGENCIA!$AA765</f>
        <v>43</v>
      </c>
      <c r="F765" s="3">
        <f t="shared" ca="1" si="11"/>
        <v>46087</v>
      </c>
    </row>
    <row r="766" spans="1:6" x14ac:dyDescent="0.3">
      <c r="A766" t="str">
        <f>PARAMS_MODELO!$B$3</f>
        <v>2025-Q3</v>
      </c>
      <c r="B766">
        <f>CALCULOS_AGENCIA!$A766</f>
        <v>51013051</v>
      </c>
      <c r="C766">
        <f>CALCULOS_AGENCIA!$U766</f>
        <v>22.565866658594327</v>
      </c>
      <c r="D766" t="str">
        <f>CALCULOS_AGENCIA!$V766</f>
        <v>BRONCE</v>
      </c>
      <c r="E766">
        <f>CALCULOS_AGENCIA!$AA766</f>
        <v>941</v>
      </c>
      <c r="F766" s="3">
        <f t="shared" ca="1" si="11"/>
        <v>46087</v>
      </c>
    </row>
    <row r="767" spans="1:6" x14ac:dyDescent="0.3">
      <c r="A767" t="str">
        <f>PARAMS_MODELO!$B$3</f>
        <v>2025-Q3</v>
      </c>
      <c r="B767">
        <f>CALCULOS_AGENCIA!$A767</f>
        <v>51032632</v>
      </c>
      <c r="C767">
        <f>CALCULOS_AGENCIA!$U767</f>
        <v>62.579238151882251</v>
      </c>
      <c r="D767" t="str">
        <f>CALCULOS_AGENCIA!$V767</f>
        <v>PLATA</v>
      </c>
      <c r="E767">
        <f>CALCULOS_AGENCIA!$AA767</f>
        <v>567</v>
      </c>
      <c r="F767" s="3">
        <f t="shared" ca="1" si="11"/>
        <v>46087</v>
      </c>
    </row>
    <row r="768" spans="1:6" x14ac:dyDescent="0.3">
      <c r="A768" t="str">
        <f>PARAMS_MODELO!$B$3</f>
        <v>2025-Q3</v>
      </c>
      <c r="B768">
        <f>CALCULOS_AGENCIA!$A768</f>
        <v>51026322</v>
      </c>
      <c r="C768">
        <f>CALCULOS_AGENCIA!$U768</f>
        <v>70.760615428149151</v>
      </c>
      <c r="D768" t="str">
        <f>CALCULOS_AGENCIA!$V768</f>
        <v>ORO</v>
      </c>
      <c r="E768">
        <f>CALCULOS_AGENCIA!$AA768</f>
        <v>509</v>
      </c>
      <c r="F768" s="3">
        <f t="shared" ca="1" si="11"/>
        <v>46087</v>
      </c>
    </row>
    <row r="769" spans="1:6" x14ac:dyDescent="0.3">
      <c r="A769" t="str">
        <f>PARAMS_MODELO!$B$3</f>
        <v>2025-Q3</v>
      </c>
      <c r="B769">
        <f>CALCULOS_AGENCIA!$A769</f>
        <v>51019555</v>
      </c>
      <c r="C769">
        <f>CALCULOS_AGENCIA!$U769</f>
        <v>42.91607040358079</v>
      </c>
      <c r="D769" t="str">
        <f>CALCULOS_AGENCIA!$V769</f>
        <v>PLATA</v>
      </c>
      <c r="E769">
        <f>CALCULOS_AGENCIA!$AA769</f>
        <v>778</v>
      </c>
      <c r="F769" s="3">
        <f t="shared" ca="1" si="11"/>
        <v>46087</v>
      </c>
    </row>
    <row r="770" spans="1:6" x14ac:dyDescent="0.3">
      <c r="A770" t="str">
        <f>PARAMS_MODELO!$B$3</f>
        <v>2025-Q3</v>
      </c>
      <c r="B770">
        <f>CALCULOS_AGENCIA!$A770</f>
        <v>51009991</v>
      </c>
      <c r="C770">
        <f>CALCULOS_AGENCIA!$U770</f>
        <v>73.939655404458122</v>
      </c>
      <c r="D770" t="str">
        <f>CALCULOS_AGENCIA!$V770</f>
        <v>ORO</v>
      </c>
      <c r="E770">
        <f>CALCULOS_AGENCIA!$AA770</f>
        <v>480</v>
      </c>
      <c r="F770" s="3">
        <f t="shared" ref="F770:F833" ca="1" si="12">TODAY()</f>
        <v>46087</v>
      </c>
    </row>
    <row r="771" spans="1:6" x14ac:dyDescent="0.3">
      <c r="A771" t="str">
        <f>PARAMS_MODELO!$B$3</f>
        <v>2025-Q3</v>
      </c>
      <c r="B771">
        <f>CALCULOS_AGENCIA!$A771</f>
        <v>51025822</v>
      </c>
      <c r="C771">
        <f>CALCULOS_AGENCIA!$U771</f>
        <v>82.173131741201132</v>
      </c>
      <c r="D771" t="str">
        <f>CALCULOS_AGENCIA!$V771</f>
        <v>ORO</v>
      </c>
      <c r="E771">
        <f>CALCULOS_AGENCIA!$AA771</f>
        <v>384</v>
      </c>
      <c r="F771" s="3">
        <f t="shared" ca="1" si="12"/>
        <v>46087</v>
      </c>
    </row>
    <row r="772" spans="1:6" x14ac:dyDescent="0.3">
      <c r="A772" t="str">
        <f>PARAMS_MODELO!$B$3</f>
        <v>2025-Q3</v>
      </c>
      <c r="B772">
        <f>CALCULOS_AGENCIA!$A772</f>
        <v>51012500</v>
      </c>
      <c r="C772">
        <f>CALCULOS_AGENCIA!$U772</f>
        <v>61.30852284820341</v>
      </c>
      <c r="D772" t="str">
        <f>CALCULOS_AGENCIA!$V772</f>
        <v>PLATA</v>
      </c>
      <c r="E772">
        <f>CALCULOS_AGENCIA!$AA772</f>
        <v>593</v>
      </c>
      <c r="F772" s="3">
        <f t="shared" ca="1" si="12"/>
        <v>46087</v>
      </c>
    </row>
    <row r="773" spans="1:6" x14ac:dyDescent="0.3">
      <c r="A773" t="str">
        <f>PARAMS_MODELO!$B$3</f>
        <v>2025-Q3</v>
      </c>
      <c r="B773">
        <f>CALCULOS_AGENCIA!$A773</f>
        <v>51015797</v>
      </c>
      <c r="C773">
        <f>CALCULOS_AGENCIA!$U773</f>
        <v>87.135268791688162</v>
      </c>
      <c r="D773" t="str">
        <f>CALCULOS_AGENCIA!$V773</f>
        <v>PLATINO</v>
      </c>
      <c r="E773">
        <f>CALCULOS_AGENCIA!$AA773</f>
        <v>223</v>
      </c>
      <c r="F773" s="3">
        <f t="shared" ca="1" si="12"/>
        <v>46087</v>
      </c>
    </row>
    <row r="774" spans="1:6" x14ac:dyDescent="0.3">
      <c r="A774" t="str">
        <f>PARAMS_MODELO!$B$3</f>
        <v>2025-Q3</v>
      </c>
      <c r="B774">
        <f>CALCULOS_AGENCIA!$A774</f>
        <v>51014782</v>
      </c>
      <c r="C774">
        <f>CALCULOS_AGENCIA!$U774</f>
        <v>79.62048401262561</v>
      </c>
      <c r="D774" t="str">
        <f>CALCULOS_AGENCIA!$V774</f>
        <v>ORO</v>
      </c>
      <c r="E774">
        <f>CALCULOS_AGENCIA!$AA774</f>
        <v>446</v>
      </c>
      <c r="F774" s="3">
        <f t="shared" ca="1" si="12"/>
        <v>46087</v>
      </c>
    </row>
    <row r="775" spans="1:6" x14ac:dyDescent="0.3">
      <c r="A775" t="str">
        <f>PARAMS_MODELO!$B$3</f>
        <v>2025-Q3</v>
      </c>
      <c r="B775">
        <f>CALCULOS_AGENCIA!$A775</f>
        <v>51013077</v>
      </c>
      <c r="C775">
        <f>CALCULOS_AGENCIA!$U775</f>
        <v>90.11081926586742</v>
      </c>
      <c r="D775" t="str">
        <f>CALCULOS_AGENCIA!$V775</f>
        <v>PLATINO</v>
      </c>
      <c r="E775">
        <f>CALCULOS_AGENCIA!$AA775</f>
        <v>133</v>
      </c>
      <c r="F775" s="3">
        <f t="shared" ca="1" si="12"/>
        <v>46087</v>
      </c>
    </row>
    <row r="776" spans="1:6" x14ac:dyDescent="0.3">
      <c r="A776" t="str">
        <f>PARAMS_MODELO!$B$3</f>
        <v>2025-Q3</v>
      </c>
      <c r="B776">
        <f>CALCULOS_AGENCIA!$A776</f>
        <v>51002539</v>
      </c>
      <c r="C776">
        <f>CALCULOS_AGENCIA!$U776</f>
        <v>39.165184479902052</v>
      </c>
      <c r="D776" t="str">
        <f>CALCULOS_AGENCIA!$V776</f>
        <v>PLATA</v>
      </c>
      <c r="E776">
        <f>CALCULOS_AGENCIA!$AA776</f>
        <v>791</v>
      </c>
      <c r="F776" s="3">
        <f t="shared" ca="1" si="12"/>
        <v>46087</v>
      </c>
    </row>
    <row r="777" spans="1:6" x14ac:dyDescent="0.3">
      <c r="A777" t="str">
        <f>PARAMS_MODELO!$B$3</f>
        <v>2025-Q3</v>
      </c>
      <c r="B777">
        <f>CALCULOS_AGENCIA!$A777</f>
        <v>51031806</v>
      </c>
      <c r="C777">
        <f>CALCULOS_AGENCIA!$U777</f>
        <v>36.561401391766424</v>
      </c>
      <c r="D777" t="str">
        <f>CALCULOS_AGENCIA!$V777</f>
        <v>PLATA</v>
      </c>
      <c r="E777">
        <f>CALCULOS_AGENCIA!$AA777</f>
        <v>801</v>
      </c>
      <c r="F777" s="3">
        <f t="shared" ca="1" si="12"/>
        <v>46087</v>
      </c>
    </row>
    <row r="778" spans="1:6" x14ac:dyDescent="0.3">
      <c r="A778" t="str">
        <f>PARAMS_MODELO!$B$3</f>
        <v>2025-Q3</v>
      </c>
      <c r="B778">
        <f>CALCULOS_AGENCIA!$A778</f>
        <v>51044410</v>
      </c>
      <c r="C778">
        <f>CALCULOS_AGENCIA!$U778</f>
        <v>52.434946690491607</v>
      </c>
      <c r="D778" t="str">
        <f>CALCULOS_AGENCIA!$V778</f>
        <v>PLATA</v>
      </c>
      <c r="E778">
        <f>CALCULOS_AGENCIA!$AA778</f>
        <v>727</v>
      </c>
      <c r="F778" s="3">
        <f t="shared" ca="1" si="12"/>
        <v>46087</v>
      </c>
    </row>
    <row r="779" spans="1:6" x14ac:dyDescent="0.3">
      <c r="A779" t="str">
        <f>PARAMS_MODELO!$B$3</f>
        <v>2025-Q3</v>
      </c>
      <c r="B779">
        <f>CALCULOS_AGENCIA!$A779</f>
        <v>51033248</v>
      </c>
      <c r="C779">
        <f>CALCULOS_AGENCIA!$U779</f>
        <v>27.977624584608694</v>
      </c>
      <c r="D779" t="str">
        <f>CALCULOS_AGENCIA!$V779</f>
        <v>PLATA</v>
      </c>
      <c r="E779">
        <f>CALCULOS_AGENCIA!$AA779</f>
        <v>886</v>
      </c>
      <c r="F779" s="3">
        <f t="shared" ca="1" si="12"/>
        <v>46087</v>
      </c>
    </row>
    <row r="780" spans="1:6" x14ac:dyDescent="0.3">
      <c r="A780" t="str">
        <f>PARAMS_MODELO!$B$3</f>
        <v>2025-Q3</v>
      </c>
      <c r="B780">
        <f>CALCULOS_AGENCIA!$A780</f>
        <v>51025318</v>
      </c>
      <c r="C780">
        <f>CALCULOS_AGENCIA!$U780</f>
        <v>82.042381910655507</v>
      </c>
      <c r="D780" t="str">
        <f>CALCULOS_AGENCIA!$V780</f>
        <v>ORO</v>
      </c>
      <c r="E780">
        <f>CALCULOS_AGENCIA!$AA780</f>
        <v>385</v>
      </c>
      <c r="F780" s="3">
        <f t="shared" ca="1" si="12"/>
        <v>46087</v>
      </c>
    </row>
    <row r="781" spans="1:6" x14ac:dyDescent="0.3">
      <c r="A781" t="str">
        <f>PARAMS_MODELO!$B$3</f>
        <v>2025-Q3</v>
      </c>
      <c r="B781">
        <f>CALCULOS_AGENCIA!$A781</f>
        <v>51031687</v>
      </c>
      <c r="C781">
        <f>CALCULOS_AGENCIA!$U781</f>
        <v>81.110346770370896</v>
      </c>
      <c r="D781" t="str">
        <f>CALCULOS_AGENCIA!$V781</f>
        <v>ORO</v>
      </c>
      <c r="E781">
        <f>CALCULOS_AGENCIA!$AA781</f>
        <v>410</v>
      </c>
      <c r="F781" s="3">
        <f t="shared" ca="1" si="12"/>
        <v>46087</v>
      </c>
    </row>
    <row r="782" spans="1:6" x14ac:dyDescent="0.3">
      <c r="A782" t="str">
        <f>PARAMS_MODELO!$B$3</f>
        <v>2025-Q3</v>
      </c>
      <c r="B782">
        <f>CALCULOS_AGENCIA!$A782</f>
        <v>51055861</v>
      </c>
      <c r="C782">
        <f>CALCULOS_AGENCIA!$U782</f>
        <v>55.350875450668553</v>
      </c>
      <c r="D782" t="str">
        <f>CALCULOS_AGENCIA!$V782</f>
        <v>PLATA</v>
      </c>
      <c r="E782">
        <f>CALCULOS_AGENCIA!$AA782</f>
        <v>711</v>
      </c>
      <c r="F782" s="3">
        <f t="shared" ca="1" si="12"/>
        <v>46087</v>
      </c>
    </row>
    <row r="783" spans="1:6" x14ac:dyDescent="0.3">
      <c r="A783" t="str">
        <f>PARAMS_MODELO!$B$3</f>
        <v>2025-Q3</v>
      </c>
      <c r="B783">
        <f>CALCULOS_AGENCIA!$A783</f>
        <v>51019407</v>
      </c>
      <c r="C783">
        <f>CALCULOS_AGENCIA!$U783</f>
        <v>62.438091778559233</v>
      </c>
      <c r="D783" t="str">
        <f>CALCULOS_AGENCIA!$V783</f>
        <v>PLATA</v>
      </c>
      <c r="E783">
        <f>CALCULOS_AGENCIA!$AA783</f>
        <v>570</v>
      </c>
      <c r="F783" s="3">
        <f t="shared" ca="1" si="12"/>
        <v>46087</v>
      </c>
    </row>
    <row r="784" spans="1:6" x14ac:dyDescent="0.3">
      <c r="A784" t="str">
        <f>PARAMS_MODELO!$B$3</f>
        <v>2025-Q3</v>
      </c>
      <c r="B784">
        <f>CALCULOS_AGENCIA!$A784</f>
        <v>51012411</v>
      </c>
      <c r="C784">
        <f>CALCULOS_AGENCIA!$U784</f>
        <v>71.352468377478871</v>
      </c>
      <c r="D784" t="str">
        <f>CALCULOS_AGENCIA!$V784</f>
        <v>ORO</v>
      </c>
      <c r="E784">
        <f>CALCULOS_AGENCIA!$AA784</f>
        <v>503</v>
      </c>
      <c r="F784" s="3">
        <f t="shared" ca="1" si="12"/>
        <v>46087</v>
      </c>
    </row>
    <row r="785" spans="1:6" x14ac:dyDescent="0.3">
      <c r="A785" t="str">
        <f>PARAMS_MODELO!$B$3</f>
        <v>2025-Q3</v>
      </c>
      <c r="B785">
        <f>CALCULOS_AGENCIA!$A785</f>
        <v>51020171</v>
      </c>
      <c r="C785">
        <f>CALCULOS_AGENCIA!$U785</f>
        <v>28.703063669215865</v>
      </c>
      <c r="D785" t="str">
        <f>CALCULOS_AGENCIA!$V785</f>
        <v>PLATA</v>
      </c>
      <c r="E785">
        <f>CALCULOS_AGENCIA!$AA785</f>
        <v>878</v>
      </c>
      <c r="F785" s="3">
        <f t="shared" ca="1" si="12"/>
        <v>46087</v>
      </c>
    </row>
    <row r="786" spans="1:6" x14ac:dyDescent="0.3">
      <c r="A786" t="str">
        <f>PARAMS_MODELO!$B$3</f>
        <v>2025-Q3</v>
      </c>
      <c r="B786">
        <f>CALCULOS_AGENCIA!$A786</f>
        <v>51029488</v>
      </c>
      <c r="C786">
        <f>CALCULOS_AGENCIA!$U786</f>
        <v>51.07542255407224</v>
      </c>
      <c r="D786" t="str">
        <f>CALCULOS_AGENCIA!$V786</f>
        <v>PLATA</v>
      </c>
      <c r="E786">
        <f>CALCULOS_AGENCIA!$AA786</f>
        <v>734</v>
      </c>
      <c r="F786" s="3">
        <f t="shared" ca="1" si="12"/>
        <v>46087</v>
      </c>
    </row>
    <row r="787" spans="1:6" x14ac:dyDescent="0.3">
      <c r="A787" t="str">
        <f>PARAMS_MODELO!$B$3</f>
        <v>2025-Q3</v>
      </c>
      <c r="B787">
        <f>CALCULOS_AGENCIA!$A787</f>
        <v>51017633</v>
      </c>
      <c r="C787">
        <f>CALCULOS_AGENCIA!$U787</f>
        <v>85.456863995021337</v>
      </c>
      <c r="D787" t="str">
        <f>CALCULOS_AGENCIA!$V787</f>
        <v>ORO</v>
      </c>
      <c r="E787">
        <f>CALCULOS_AGENCIA!$AA787</f>
        <v>270</v>
      </c>
      <c r="F787" s="3">
        <f t="shared" ca="1" si="12"/>
        <v>46087</v>
      </c>
    </row>
    <row r="788" spans="1:6" x14ac:dyDescent="0.3">
      <c r="A788" t="str">
        <f>PARAMS_MODELO!$B$3</f>
        <v>2025-Q3</v>
      </c>
      <c r="B788">
        <f>CALCULOS_AGENCIA!$A788</f>
        <v>51056663</v>
      </c>
      <c r="C788">
        <f>CALCULOS_AGENCIA!$U788</f>
        <v>85.411850721505743</v>
      </c>
      <c r="D788" t="str">
        <f>CALCULOS_AGENCIA!$V788</f>
        <v>ORO</v>
      </c>
      <c r="E788">
        <f>CALCULOS_AGENCIA!$AA788</f>
        <v>273</v>
      </c>
      <c r="F788" s="3">
        <f t="shared" ca="1" si="12"/>
        <v>46087</v>
      </c>
    </row>
    <row r="789" spans="1:6" x14ac:dyDescent="0.3">
      <c r="A789" t="str">
        <f>PARAMS_MODELO!$B$3</f>
        <v>2025-Q3</v>
      </c>
      <c r="B789">
        <f>CALCULOS_AGENCIA!$A789</f>
        <v>51026063</v>
      </c>
      <c r="C789">
        <f>CALCULOS_AGENCIA!$U789</f>
        <v>87.910195832450412</v>
      </c>
      <c r="D789" t="str">
        <f>CALCULOS_AGENCIA!$V789</f>
        <v>PLATINO</v>
      </c>
      <c r="E789">
        <f>CALCULOS_AGENCIA!$AA789</f>
        <v>202</v>
      </c>
      <c r="F789" s="3">
        <f t="shared" ca="1" si="12"/>
        <v>46087</v>
      </c>
    </row>
    <row r="790" spans="1:6" x14ac:dyDescent="0.3">
      <c r="A790" t="str">
        <f>PARAMS_MODELO!$B$3</f>
        <v>2025-Q3</v>
      </c>
      <c r="B790">
        <f>CALCULOS_AGENCIA!$A790</f>
        <v>51043995</v>
      </c>
      <c r="C790">
        <f>CALCULOS_AGENCIA!$U790</f>
        <v>92.072804539448683</v>
      </c>
      <c r="D790" t="str">
        <f>CALCULOS_AGENCIA!$V790</f>
        <v>PLATINO</v>
      </c>
      <c r="E790">
        <f>CALCULOS_AGENCIA!$AA790</f>
        <v>106</v>
      </c>
      <c r="F790" s="3">
        <f t="shared" ca="1" si="12"/>
        <v>46087</v>
      </c>
    </row>
    <row r="791" spans="1:6" x14ac:dyDescent="0.3">
      <c r="A791" t="str">
        <f>PARAMS_MODELO!$B$3</f>
        <v>2025-Q3</v>
      </c>
      <c r="B791">
        <f>CALCULOS_AGENCIA!$A791</f>
        <v>51011074</v>
      </c>
      <c r="C791">
        <f>CALCULOS_AGENCIA!$U791</f>
        <v>55.554369360001914</v>
      </c>
      <c r="D791" t="str">
        <f>CALCULOS_AGENCIA!$V791</f>
        <v>PLATA</v>
      </c>
      <c r="E791">
        <f>CALCULOS_AGENCIA!$AA791</f>
        <v>708</v>
      </c>
      <c r="F791" s="3">
        <f t="shared" ca="1" si="12"/>
        <v>46087</v>
      </c>
    </row>
    <row r="792" spans="1:6" x14ac:dyDescent="0.3">
      <c r="A792" t="str">
        <f>PARAMS_MODELO!$B$3</f>
        <v>2025-Q3</v>
      </c>
      <c r="B792">
        <f>CALCULOS_AGENCIA!$A792</f>
        <v>51003225</v>
      </c>
      <c r="C792">
        <f>CALCULOS_AGENCIA!$U792</f>
        <v>62.582398039770979</v>
      </c>
      <c r="D792" t="str">
        <f>CALCULOS_AGENCIA!$V792</f>
        <v>PLATA</v>
      </c>
      <c r="E792">
        <f>CALCULOS_AGENCIA!$AA792</f>
        <v>566</v>
      </c>
      <c r="F792" s="3">
        <f t="shared" ca="1" si="12"/>
        <v>46087</v>
      </c>
    </row>
    <row r="793" spans="1:6" x14ac:dyDescent="0.3">
      <c r="A793" t="str">
        <f>PARAMS_MODELO!$B$3</f>
        <v>2025-Q3</v>
      </c>
      <c r="B793">
        <f>CALCULOS_AGENCIA!$A793</f>
        <v>51024966</v>
      </c>
      <c r="C793">
        <f>CALCULOS_AGENCIA!$U793</f>
        <v>80.167111648492039</v>
      </c>
      <c r="D793" t="str">
        <f>CALCULOS_AGENCIA!$V793</f>
        <v>ORO</v>
      </c>
      <c r="E793">
        <f>CALCULOS_AGENCIA!$AA793</f>
        <v>435</v>
      </c>
      <c r="F793" s="3">
        <f t="shared" ca="1" si="12"/>
        <v>46087</v>
      </c>
    </row>
    <row r="794" spans="1:6" x14ac:dyDescent="0.3">
      <c r="A794" t="str">
        <f>PARAMS_MODELO!$B$3</f>
        <v>2025-Q3</v>
      </c>
      <c r="B794">
        <f>CALCULOS_AGENCIA!$A794</f>
        <v>51038673</v>
      </c>
      <c r="C794">
        <f>CALCULOS_AGENCIA!$U794</f>
        <v>20.190787433396789</v>
      </c>
      <c r="D794" t="str">
        <f>CALCULOS_AGENCIA!$V794</f>
        <v>BRONCE</v>
      </c>
      <c r="E794">
        <f>CALCULOS_AGENCIA!$AA794</f>
        <v>976</v>
      </c>
      <c r="F794" s="3">
        <f t="shared" ca="1" si="12"/>
        <v>46087</v>
      </c>
    </row>
    <row r="795" spans="1:6" x14ac:dyDescent="0.3">
      <c r="A795" t="str">
        <f>PARAMS_MODELO!$B$3</f>
        <v>2025-Q3</v>
      </c>
      <c r="B795">
        <f>CALCULOS_AGENCIA!$A795</f>
        <v>51013271</v>
      </c>
      <c r="C795">
        <f>CALCULOS_AGENCIA!$U795</f>
        <v>77.026886093518399</v>
      </c>
      <c r="D795" t="str">
        <f>CALCULOS_AGENCIA!$V795</f>
        <v>ORO</v>
      </c>
      <c r="E795">
        <f>CALCULOS_AGENCIA!$AA795</f>
        <v>457</v>
      </c>
      <c r="F795" s="3">
        <f t="shared" ca="1" si="12"/>
        <v>46087</v>
      </c>
    </row>
    <row r="796" spans="1:6" x14ac:dyDescent="0.3">
      <c r="A796" t="str">
        <f>PARAMS_MODELO!$B$3</f>
        <v>2025-Q3</v>
      </c>
      <c r="B796">
        <f>CALCULOS_AGENCIA!$A796</f>
        <v>51038894</v>
      </c>
      <c r="C796">
        <f>CALCULOS_AGENCIA!$U796</f>
        <v>71.165213579096232</v>
      </c>
      <c r="D796" t="str">
        <f>CALCULOS_AGENCIA!$V796</f>
        <v>ORO</v>
      </c>
      <c r="E796">
        <f>CALCULOS_AGENCIA!$AA796</f>
        <v>507</v>
      </c>
      <c r="F796" s="3">
        <f t="shared" ca="1" si="12"/>
        <v>46087</v>
      </c>
    </row>
    <row r="797" spans="1:6" x14ac:dyDescent="0.3">
      <c r="A797" t="str">
        <f>PARAMS_MODELO!$B$3</f>
        <v>2025-Q3</v>
      </c>
      <c r="B797">
        <f>CALCULOS_AGENCIA!$A797</f>
        <v>51021843</v>
      </c>
      <c r="C797">
        <f>CALCULOS_AGENCIA!$U797</f>
        <v>70.425567694389414</v>
      </c>
      <c r="D797" t="str">
        <f>CALCULOS_AGENCIA!$V797</f>
        <v>ORO</v>
      </c>
      <c r="E797">
        <f>CALCULOS_AGENCIA!$AA797</f>
        <v>510</v>
      </c>
      <c r="F797" s="3">
        <f t="shared" ca="1" si="12"/>
        <v>46087</v>
      </c>
    </row>
    <row r="798" spans="1:6" x14ac:dyDescent="0.3">
      <c r="A798" t="str">
        <f>PARAMS_MODELO!$B$3</f>
        <v>2025-Q3</v>
      </c>
      <c r="B798">
        <f>CALCULOS_AGENCIA!$A798</f>
        <v>51024109</v>
      </c>
      <c r="C798">
        <f>CALCULOS_AGENCIA!$U798</f>
        <v>73.235877286999937</v>
      </c>
      <c r="D798" t="str">
        <f>CALCULOS_AGENCIA!$V798</f>
        <v>ORO</v>
      </c>
      <c r="E798">
        <f>CALCULOS_AGENCIA!$AA798</f>
        <v>487</v>
      </c>
      <c r="F798" s="3">
        <f t="shared" ca="1" si="12"/>
        <v>46087</v>
      </c>
    </row>
    <row r="799" spans="1:6" x14ac:dyDescent="0.3">
      <c r="A799" t="str">
        <f>PARAMS_MODELO!$B$3</f>
        <v>2025-Q3</v>
      </c>
      <c r="B799">
        <f>CALCULOS_AGENCIA!$A799</f>
        <v>51056159</v>
      </c>
      <c r="C799">
        <f>CALCULOS_AGENCIA!$U799</f>
        <v>96.780822148083658</v>
      </c>
      <c r="D799" t="str">
        <f>CALCULOS_AGENCIA!$V799</f>
        <v>DIAMANTE</v>
      </c>
      <c r="E799">
        <f>CALCULOS_AGENCIA!$AA799</f>
        <v>49</v>
      </c>
      <c r="F799" s="3">
        <f t="shared" ca="1" si="12"/>
        <v>46087</v>
      </c>
    </row>
    <row r="800" spans="1:6" x14ac:dyDescent="0.3">
      <c r="A800" t="str">
        <f>PARAMS_MODELO!$B$3</f>
        <v>2025-Q3</v>
      </c>
      <c r="B800">
        <f>CALCULOS_AGENCIA!$A800</f>
        <v>51036981</v>
      </c>
      <c r="C800">
        <f>CALCULOS_AGENCIA!$U800</f>
        <v>57.760926648589873</v>
      </c>
      <c r="D800" t="str">
        <f>CALCULOS_AGENCIA!$V800</f>
        <v>PLATA</v>
      </c>
      <c r="E800">
        <f>CALCULOS_AGENCIA!$AA800</f>
        <v>670</v>
      </c>
      <c r="F800" s="3">
        <f t="shared" ca="1" si="12"/>
        <v>46087</v>
      </c>
    </row>
    <row r="801" spans="1:6" x14ac:dyDescent="0.3">
      <c r="A801" t="str">
        <f>PARAMS_MODELO!$B$3</f>
        <v>2025-Q3</v>
      </c>
      <c r="B801">
        <f>CALCULOS_AGENCIA!$A801</f>
        <v>51032519</v>
      </c>
      <c r="C801">
        <f>CALCULOS_AGENCIA!$U801</f>
        <v>60.120707844615694</v>
      </c>
      <c r="D801" t="str">
        <f>CALCULOS_AGENCIA!$V801</f>
        <v>PLATA</v>
      </c>
      <c r="E801">
        <f>CALCULOS_AGENCIA!$AA801</f>
        <v>618</v>
      </c>
      <c r="F801" s="3">
        <f t="shared" ca="1" si="12"/>
        <v>46087</v>
      </c>
    </row>
    <row r="802" spans="1:6" x14ac:dyDescent="0.3">
      <c r="A802" t="str">
        <f>PARAMS_MODELO!$B$3</f>
        <v>2025-Q3</v>
      </c>
      <c r="B802">
        <f>CALCULOS_AGENCIA!$A802</f>
        <v>51055519</v>
      </c>
      <c r="C802">
        <f>CALCULOS_AGENCIA!$U802</f>
        <v>22.878822920523785</v>
      </c>
      <c r="D802" t="str">
        <f>CALCULOS_AGENCIA!$V802</f>
        <v>BRONCE</v>
      </c>
      <c r="E802">
        <f>CALCULOS_AGENCIA!$AA802</f>
        <v>935</v>
      </c>
      <c r="F802" s="3">
        <f t="shared" ca="1" si="12"/>
        <v>46087</v>
      </c>
    </row>
    <row r="803" spans="1:6" x14ac:dyDescent="0.3">
      <c r="A803" t="str">
        <f>PARAMS_MODELO!$B$3</f>
        <v>2025-Q3</v>
      </c>
      <c r="B803">
        <f>CALCULOS_AGENCIA!$A803</f>
        <v>51032969</v>
      </c>
      <c r="C803">
        <f>CALCULOS_AGENCIA!$U803</f>
        <v>56.039676696154793</v>
      </c>
      <c r="D803" t="str">
        <f>CALCULOS_AGENCIA!$V803</f>
        <v>PLATA</v>
      </c>
      <c r="E803">
        <f>CALCULOS_AGENCIA!$AA803</f>
        <v>702</v>
      </c>
      <c r="F803" s="3">
        <f t="shared" ca="1" si="12"/>
        <v>46087</v>
      </c>
    </row>
    <row r="804" spans="1:6" x14ac:dyDescent="0.3">
      <c r="A804" t="str">
        <f>PARAMS_MODELO!$B$3</f>
        <v>2025-Q3</v>
      </c>
      <c r="B804">
        <f>CALCULOS_AGENCIA!$A804</f>
        <v>51017587</v>
      </c>
      <c r="C804">
        <f>CALCULOS_AGENCIA!$U804</f>
        <v>82.907366267822283</v>
      </c>
      <c r="D804" t="str">
        <f>CALCULOS_AGENCIA!$V804</f>
        <v>ORO</v>
      </c>
      <c r="E804">
        <f>CALCULOS_AGENCIA!$AA804</f>
        <v>358</v>
      </c>
      <c r="F804" s="3">
        <f t="shared" ca="1" si="12"/>
        <v>46087</v>
      </c>
    </row>
    <row r="805" spans="1:6" x14ac:dyDescent="0.3">
      <c r="A805" t="str">
        <f>PARAMS_MODELO!$B$3</f>
        <v>2025-Q3</v>
      </c>
      <c r="B805">
        <f>CALCULOS_AGENCIA!$A805</f>
        <v>51018214</v>
      </c>
      <c r="C805">
        <f>CALCULOS_AGENCIA!$U805</f>
        <v>67.905412347352254</v>
      </c>
      <c r="D805" t="str">
        <f>CALCULOS_AGENCIA!$V805</f>
        <v>ORO</v>
      </c>
      <c r="E805">
        <f>CALCULOS_AGENCIA!$AA805</f>
        <v>530</v>
      </c>
      <c r="F805" s="3">
        <f t="shared" ca="1" si="12"/>
        <v>46087</v>
      </c>
    </row>
    <row r="806" spans="1:6" x14ac:dyDescent="0.3">
      <c r="A806" t="str">
        <f>PARAMS_MODELO!$B$3</f>
        <v>2025-Q3</v>
      </c>
      <c r="B806">
        <f>CALCULOS_AGENCIA!$A806</f>
        <v>51016661</v>
      </c>
      <c r="C806">
        <f>CALCULOS_AGENCIA!$U806</f>
        <v>87.65797197169681</v>
      </c>
      <c r="D806" t="str">
        <f>CALCULOS_AGENCIA!$V806</f>
        <v>PLATINO</v>
      </c>
      <c r="E806">
        <f>CALCULOS_AGENCIA!$AA806</f>
        <v>208</v>
      </c>
      <c r="F806" s="3">
        <f t="shared" ca="1" si="12"/>
        <v>46087</v>
      </c>
    </row>
    <row r="807" spans="1:6" x14ac:dyDescent="0.3">
      <c r="A807" t="str">
        <f>PARAMS_MODELO!$B$3</f>
        <v>2025-Q3</v>
      </c>
      <c r="B807">
        <f>CALCULOS_AGENCIA!$A807</f>
        <v>51002296</v>
      </c>
      <c r="C807">
        <f>CALCULOS_AGENCIA!$U807</f>
        <v>83.164249848277777</v>
      </c>
      <c r="D807" t="str">
        <f>CALCULOS_AGENCIA!$V807</f>
        <v>ORO</v>
      </c>
      <c r="E807">
        <f>CALCULOS_AGENCIA!$AA807</f>
        <v>347</v>
      </c>
      <c r="F807" s="3">
        <f t="shared" ca="1" si="12"/>
        <v>46087</v>
      </c>
    </row>
    <row r="808" spans="1:6" x14ac:dyDescent="0.3">
      <c r="A808" t="str">
        <f>PARAMS_MODELO!$B$3</f>
        <v>2025-Q3</v>
      </c>
      <c r="B808">
        <f>CALCULOS_AGENCIA!$A808</f>
        <v>51016998</v>
      </c>
      <c r="C808">
        <f>CALCULOS_AGENCIA!$U808</f>
        <v>20.406004553499191</v>
      </c>
      <c r="D808" t="str">
        <f>CALCULOS_AGENCIA!$V808</f>
        <v>BRONCE</v>
      </c>
      <c r="E808">
        <f>CALCULOS_AGENCIA!$AA808</f>
        <v>972</v>
      </c>
      <c r="F808" s="3">
        <f t="shared" ca="1" si="12"/>
        <v>46087</v>
      </c>
    </row>
    <row r="809" spans="1:6" x14ac:dyDescent="0.3">
      <c r="A809" t="str">
        <f>PARAMS_MODELO!$B$3</f>
        <v>2025-Q3</v>
      </c>
      <c r="B809">
        <f>CALCULOS_AGENCIA!$A809</f>
        <v>51005325</v>
      </c>
      <c r="C809">
        <f>CALCULOS_AGENCIA!$U809</f>
        <v>58.55266801085255</v>
      </c>
      <c r="D809" t="str">
        <f>CALCULOS_AGENCIA!$V809</f>
        <v>PLATA</v>
      </c>
      <c r="E809">
        <f>CALCULOS_AGENCIA!$AA809</f>
        <v>647</v>
      </c>
      <c r="F809" s="3">
        <f t="shared" ca="1" si="12"/>
        <v>46087</v>
      </c>
    </row>
    <row r="810" spans="1:6" x14ac:dyDescent="0.3">
      <c r="A810" t="str">
        <f>PARAMS_MODELO!$B$3</f>
        <v>2025-Q3</v>
      </c>
      <c r="B810">
        <f>CALCULOS_AGENCIA!$A810</f>
        <v>51011937</v>
      </c>
      <c r="C810">
        <f>CALCULOS_AGENCIA!$U810</f>
        <v>81.620566549313551</v>
      </c>
      <c r="D810" t="str">
        <f>CALCULOS_AGENCIA!$V810</f>
        <v>ORO</v>
      </c>
      <c r="E810">
        <f>CALCULOS_AGENCIA!$AA810</f>
        <v>395</v>
      </c>
      <c r="F810" s="3">
        <f t="shared" ca="1" si="12"/>
        <v>46087</v>
      </c>
    </row>
    <row r="811" spans="1:6" x14ac:dyDescent="0.3">
      <c r="A811" t="str">
        <f>PARAMS_MODELO!$B$3</f>
        <v>2025-Q3</v>
      </c>
      <c r="B811">
        <f>CALCULOS_AGENCIA!$A811</f>
        <v>51033191</v>
      </c>
      <c r="C811">
        <f>CALCULOS_AGENCIA!$U811</f>
        <v>50.338062970148052</v>
      </c>
      <c r="D811" t="str">
        <f>CALCULOS_AGENCIA!$V811</f>
        <v>PLATA</v>
      </c>
      <c r="E811">
        <f>CALCULOS_AGENCIA!$AA811</f>
        <v>738</v>
      </c>
      <c r="F811" s="3">
        <f t="shared" ca="1" si="12"/>
        <v>46087</v>
      </c>
    </row>
    <row r="812" spans="1:6" x14ac:dyDescent="0.3">
      <c r="A812" t="str">
        <f>PARAMS_MODELO!$B$3</f>
        <v>2025-Q3</v>
      </c>
      <c r="B812">
        <f>CALCULOS_AGENCIA!$A812</f>
        <v>51032560</v>
      </c>
      <c r="C812">
        <f>CALCULOS_AGENCIA!$U812</f>
        <v>93.595920878187215</v>
      </c>
      <c r="D812" t="str">
        <f>CALCULOS_AGENCIA!$V812</f>
        <v>PLATINO</v>
      </c>
      <c r="E812">
        <f>CALCULOS_AGENCIA!$AA812</f>
        <v>81</v>
      </c>
      <c r="F812" s="3">
        <f t="shared" ca="1" si="12"/>
        <v>46087</v>
      </c>
    </row>
    <row r="813" spans="1:6" x14ac:dyDescent="0.3">
      <c r="A813" t="str">
        <f>PARAMS_MODELO!$B$3</f>
        <v>2025-Q3</v>
      </c>
      <c r="B813">
        <f>CALCULOS_AGENCIA!$A813</f>
        <v>51056302</v>
      </c>
      <c r="C813">
        <f>CALCULOS_AGENCIA!$U813</f>
        <v>67.732655747346911</v>
      </c>
      <c r="D813" t="str">
        <f>CALCULOS_AGENCIA!$V813</f>
        <v>ORO</v>
      </c>
      <c r="E813">
        <f>CALCULOS_AGENCIA!$AA813</f>
        <v>533</v>
      </c>
      <c r="F813" s="3">
        <f t="shared" ca="1" si="12"/>
        <v>46087</v>
      </c>
    </row>
    <row r="814" spans="1:6" x14ac:dyDescent="0.3">
      <c r="A814" t="str">
        <f>PARAMS_MODELO!$B$3</f>
        <v>2025-Q3</v>
      </c>
      <c r="B814">
        <f>CALCULOS_AGENCIA!$A814</f>
        <v>51032659</v>
      </c>
      <c r="C814">
        <f>CALCULOS_AGENCIA!$U814</f>
        <v>86.96022464793937</v>
      </c>
      <c r="D814" t="str">
        <f>CALCULOS_AGENCIA!$V814</f>
        <v>PLATINO</v>
      </c>
      <c r="E814">
        <f>CALCULOS_AGENCIA!$AA814</f>
        <v>225</v>
      </c>
      <c r="F814" s="3">
        <f t="shared" ca="1" si="12"/>
        <v>46087</v>
      </c>
    </row>
    <row r="815" spans="1:6" x14ac:dyDescent="0.3">
      <c r="A815" t="str">
        <f>PARAMS_MODELO!$B$3</f>
        <v>2025-Q3</v>
      </c>
      <c r="B815">
        <f>CALCULOS_AGENCIA!$A815</f>
        <v>51017129</v>
      </c>
      <c r="C815">
        <f>CALCULOS_AGENCIA!$U815</f>
        <v>83.189969919176406</v>
      </c>
      <c r="D815" t="str">
        <f>CALCULOS_AGENCIA!$V815</f>
        <v>ORO</v>
      </c>
      <c r="E815">
        <f>CALCULOS_AGENCIA!$AA815</f>
        <v>343</v>
      </c>
      <c r="F815" s="3">
        <f t="shared" ca="1" si="12"/>
        <v>46087</v>
      </c>
    </row>
    <row r="816" spans="1:6" x14ac:dyDescent="0.3">
      <c r="A816" t="str">
        <f>PARAMS_MODELO!$B$3</f>
        <v>2025-Q3</v>
      </c>
      <c r="B816">
        <f>CALCULOS_AGENCIA!$A816</f>
        <v>51036191</v>
      </c>
      <c r="C816">
        <f>CALCULOS_AGENCIA!$U816</f>
        <v>57.904272499356686</v>
      </c>
      <c r="D816" t="str">
        <f>CALCULOS_AGENCIA!$V816</f>
        <v>PLATA</v>
      </c>
      <c r="E816">
        <f>CALCULOS_AGENCIA!$AA816</f>
        <v>665</v>
      </c>
      <c r="F816" s="3">
        <f t="shared" ca="1" si="12"/>
        <v>46087</v>
      </c>
    </row>
    <row r="817" spans="1:6" x14ac:dyDescent="0.3">
      <c r="A817" t="str">
        <f>PARAMS_MODELO!$B$3</f>
        <v>2025-Q3</v>
      </c>
      <c r="B817">
        <f>CALCULOS_AGENCIA!$A817</f>
        <v>51011562</v>
      </c>
      <c r="C817">
        <f>CALCULOS_AGENCIA!$U817</f>
        <v>61.04555963314214</v>
      </c>
      <c r="D817" t="str">
        <f>CALCULOS_AGENCIA!$V817</f>
        <v>PLATA</v>
      </c>
      <c r="E817">
        <f>CALCULOS_AGENCIA!$AA817</f>
        <v>596</v>
      </c>
      <c r="F817" s="3">
        <f t="shared" ca="1" si="12"/>
        <v>46087</v>
      </c>
    </row>
    <row r="818" spans="1:6" x14ac:dyDescent="0.3">
      <c r="A818" t="str">
        <f>PARAMS_MODELO!$B$3</f>
        <v>2025-Q3</v>
      </c>
      <c r="B818">
        <f>CALCULOS_AGENCIA!$A818</f>
        <v>51018346</v>
      </c>
      <c r="C818">
        <f>CALCULOS_AGENCIA!$U818</f>
        <v>98.614959653968398</v>
      </c>
      <c r="D818" t="str">
        <f>CALCULOS_AGENCIA!$V818</f>
        <v>DIAMANTE</v>
      </c>
      <c r="E818">
        <f>CALCULOS_AGENCIA!$AA818</f>
        <v>29</v>
      </c>
      <c r="F818" s="3">
        <f t="shared" ca="1" si="12"/>
        <v>46087</v>
      </c>
    </row>
    <row r="819" spans="1:6" x14ac:dyDescent="0.3">
      <c r="A819" t="str">
        <f>PARAMS_MODELO!$B$3</f>
        <v>2025-Q3</v>
      </c>
      <c r="B819">
        <f>CALCULOS_AGENCIA!$A819</f>
        <v>51042514</v>
      </c>
      <c r="C819">
        <f>CALCULOS_AGENCIA!$U819</f>
        <v>57.900254020767861</v>
      </c>
      <c r="D819" t="str">
        <f>CALCULOS_AGENCIA!$V819</f>
        <v>PLATA</v>
      </c>
      <c r="E819">
        <f>CALCULOS_AGENCIA!$AA819</f>
        <v>666</v>
      </c>
      <c r="F819" s="3">
        <f t="shared" ca="1" si="12"/>
        <v>46087</v>
      </c>
    </row>
    <row r="820" spans="1:6" x14ac:dyDescent="0.3">
      <c r="A820" t="str">
        <f>PARAMS_MODELO!$B$3</f>
        <v>2025-Q3</v>
      </c>
      <c r="B820">
        <f>CALCULOS_AGENCIA!$A820</f>
        <v>51056906</v>
      </c>
      <c r="C820">
        <f>CALCULOS_AGENCIA!$U820</f>
        <v>76.450398752375335</v>
      </c>
      <c r="D820" t="str">
        <f>CALCULOS_AGENCIA!$V820</f>
        <v>ORO</v>
      </c>
      <c r="E820">
        <f>CALCULOS_AGENCIA!$AA820</f>
        <v>460</v>
      </c>
      <c r="F820" s="3">
        <f t="shared" ca="1" si="12"/>
        <v>46087</v>
      </c>
    </row>
    <row r="821" spans="1:6" x14ac:dyDescent="0.3">
      <c r="A821" t="str">
        <f>PARAMS_MODELO!$B$3</f>
        <v>2025-Q3</v>
      </c>
      <c r="B821">
        <f>CALCULOS_AGENCIA!$A821</f>
        <v>51043375</v>
      </c>
      <c r="C821">
        <f>CALCULOS_AGENCIA!$U821</f>
        <v>90.962638596343766</v>
      </c>
      <c r="D821" t="str">
        <f>CALCULOS_AGENCIA!$V821</f>
        <v>PLATINO</v>
      </c>
      <c r="E821">
        <f>CALCULOS_AGENCIA!$AA821</f>
        <v>116</v>
      </c>
      <c r="F821" s="3">
        <f t="shared" ca="1" si="12"/>
        <v>46087</v>
      </c>
    </row>
    <row r="822" spans="1:6" x14ac:dyDescent="0.3">
      <c r="A822" t="str">
        <f>PARAMS_MODELO!$B$3</f>
        <v>2025-Q3</v>
      </c>
      <c r="B822">
        <f>CALCULOS_AGENCIA!$A822</f>
        <v>51055691</v>
      </c>
      <c r="C822">
        <f>CALCULOS_AGENCIA!$U822</f>
        <v>50.222750355871504</v>
      </c>
      <c r="D822" t="str">
        <f>CALCULOS_AGENCIA!$V822</f>
        <v>PLATA</v>
      </c>
      <c r="E822">
        <f>CALCULOS_AGENCIA!$AA822</f>
        <v>740</v>
      </c>
      <c r="F822" s="3">
        <f t="shared" ca="1" si="12"/>
        <v>46087</v>
      </c>
    </row>
    <row r="823" spans="1:6" x14ac:dyDescent="0.3">
      <c r="A823" t="str">
        <f>PARAMS_MODELO!$B$3</f>
        <v>2025-Q3</v>
      </c>
      <c r="B823">
        <f>CALCULOS_AGENCIA!$A823</f>
        <v>51018958</v>
      </c>
      <c r="C823">
        <f>CALCULOS_AGENCIA!$U823</f>
        <v>96.955509644826165</v>
      </c>
      <c r="D823" t="str">
        <f>CALCULOS_AGENCIA!$V823</f>
        <v>DIAMANTE</v>
      </c>
      <c r="E823">
        <f>CALCULOS_AGENCIA!$AA823</f>
        <v>47</v>
      </c>
      <c r="F823" s="3">
        <f t="shared" ca="1" si="12"/>
        <v>46087</v>
      </c>
    </row>
    <row r="824" spans="1:6" x14ac:dyDescent="0.3">
      <c r="A824" t="str">
        <f>PARAMS_MODELO!$B$3</f>
        <v>2025-Q3</v>
      </c>
      <c r="B824">
        <f>CALCULOS_AGENCIA!$A824</f>
        <v>51054903</v>
      </c>
      <c r="C824">
        <f>CALCULOS_AGENCIA!$U824</f>
        <v>83.487901956149557</v>
      </c>
      <c r="D824" t="str">
        <f>CALCULOS_AGENCIA!$V824</f>
        <v>ORO</v>
      </c>
      <c r="E824">
        <f>CALCULOS_AGENCIA!$AA824</f>
        <v>333</v>
      </c>
      <c r="F824" s="3">
        <f t="shared" ca="1" si="12"/>
        <v>46087</v>
      </c>
    </row>
    <row r="825" spans="1:6" x14ac:dyDescent="0.3">
      <c r="A825" t="str">
        <f>PARAMS_MODELO!$B$3</f>
        <v>2025-Q3</v>
      </c>
      <c r="B825">
        <f>CALCULOS_AGENCIA!$A825</f>
        <v>51022084</v>
      </c>
      <c r="C825">
        <f>CALCULOS_AGENCIA!$U825</f>
        <v>58.034836893969178</v>
      </c>
      <c r="D825" t="str">
        <f>CALCULOS_AGENCIA!$V825</f>
        <v>PLATA</v>
      </c>
      <c r="E825">
        <f>CALCULOS_AGENCIA!$AA825</f>
        <v>661</v>
      </c>
      <c r="F825" s="3">
        <f t="shared" ca="1" si="12"/>
        <v>46087</v>
      </c>
    </row>
    <row r="826" spans="1:6" x14ac:dyDescent="0.3">
      <c r="A826" t="str">
        <f>PARAMS_MODELO!$B$3</f>
        <v>2025-Q3</v>
      </c>
      <c r="B826">
        <f>CALCULOS_AGENCIA!$A826</f>
        <v>51019202</v>
      </c>
      <c r="C826">
        <f>CALCULOS_AGENCIA!$U826</f>
        <v>68.987681545528815</v>
      </c>
      <c r="D826" t="str">
        <f>CALCULOS_AGENCIA!$V826</f>
        <v>ORO</v>
      </c>
      <c r="E826">
        <f>CALCULOS_AGENCIA!$AA826</f>
        <v>520</v>
      </c>
      <c r="F826" s="3">
        <f t="shared" ca="1" si="12"/>
        <v>46087</v>
      </c>
    </row>
    <row r="827" spans="1:6" x14ac:dyDescent="0.3">
      <c r="A827" t="str">
        <f>PARAMS_MODELO!$B$3</f>
        <v>2025-Q3</v>
      </c>
      <c r="B827">
        <f>CALCULOS_AGENCIA!$A827</f>
        <v>51054920</v>
      </c>
      <c r="C827">
        <f>CALCULOS_AGENCIA!$U827</f>
        <v>24.082245147149809</v>
      </c>
      <c r="D827" t="str">
        <f>CALCULOS_AGENCIA!$V827</f>
        <v>BRONCE</v>
      </c>
      <c r="E827">
        <f>CALCULOS_AGENCIA!$AA827</f>
        <v>919</v>
      </c>
      <c r="F827" s="3">
        <f t="shared" ca="1" si="12"/>
        <v>46087</v>
      </c>
    </row>
    <row r="828" spans="1:6" x14ac:dyDescent="0.3">
      <c r="A828" t="str">
        <f>PARAMS_MODELO!$B$3</f>
        <v>2025-Q3</v>
      </c>
      <c r="B828">
        <f>CALCULOS_AGENCIA!$A828</f>
        <v>51010663</v>
      </c>
      <c r="C828">
        <f>CALCULOS_AGENCIA!$U828</f>
        <v>84.159873964833949</v>
      </c>
      <c r="D828" t="str">
        <f>CALCULOS_AGENCIA!$V828</f>
        <v>ORO</v>
      </c>
      <c r="E828">
        <f>CALCULOS_AGENCIA!$AA828</f>
        <v>315</v>
      </c>
      <c r="F828" s="3">
        <f t="shared" ca="1" si="12"/>
        <v>46087</v>
      </c>
    </row>
    <row r="829" spans="1:6" x14ac:dyDescent="0.3">
      <c r="A829" t="str">
        <f>PARAMS_MODELO!$B$3</f>
        <v>2025-Q3</v>
      </c>
      <c r="B829">
        <f>CALCULOS_AGENCIA!$A829</f>
        <v>51016866</v>
      </c>
      <c r="C829">
        <f>CALCULOS_AGENCIA!$U829</f>
        <v>18.488303653017397</v>
      </c>
      <c r="D829" t="str">
        <f>CALCULOS_AGENCIA!$V829</f>
        <v>BRONCE</v>
      </c>
      <c r="E829">
        <f>CALCULOS_AGENCIA!$AA829</f>
        <v>1019</v>
      </c>
      <c r="F829" s="3">
        <f t="shared" ca="1" si="12"/>
        <v>46087</v>
      </c>
    </row>
    <row r="830" spans="1:6" x14ac:dyDescent="0.3">
      <c r="A830" t="str">
        <f>PARAMS_MODELO!$B$3</f>
        <v>2025-Q3</v>
      </c>
      <c r="B830">
        <f>CALCULOS_AGENCIA!$A830</f>
        <v>51030184</v>
      </c>
      <c r="C830">
        <f>CALCULOS_AGENCIA!$U830</f>
        <v>49.221687443330033</v>
      </c>
      <c r="D830" t="str">
        <f>CALCULOS_AGENCIA!$V830</f>
        <v>PLATA</v>
      </c>
      <c r="E830">
        <f>CALCULOS_AGENCIA!$AA830</f>
        <v>748</v>
      </c>
      <c r="F830" s="3">
        <f t="shared" ca="1" si="12"/>
        <v>46087</v>
      </c>
    </row>
    <row r="831" spans="1:6" x14ac:dyDescent="0.3">
      <c r="A831" t="str">
        <f>PARAMS_MODELO!$B$3</f>
        <v>2025-Q3</v>
      </c>
      <c r="B831">
        <f>CALCULOS_AGENCIA!$A831</f>
        <v>51015428</v>
      </c>
      <c r="C831">
        <f>CALCULOS_AGENCIA!$U831</f>
        <v>60.057828319448539</v>
      </c>
      <c r="D831" t="str">
        <f>CALCULOS_AGENCIA!$V831</f>
        <v>PLATA</v>
      </c>
      <c r="E831">
        <f>CALCULOS_AGENCIA!$AA831</f>
        <v>621</v>
      </c>
      <c r="F831" s="3">
        <f t="shared" ca="1" si="12"/>
        <v>46087</v>
      </c>
    </row>
    <row r="832" spans="1:6" x14ac:dyDescent="0.3">
      <c r="A832" t="str">
        <f>PARAMS_MODELO!$B$3</f>
        <v>2025-Q3</v>
      </c>
      <c r="B832">
        <f>CALCULOS_AGENCIA!$A832</f>
        <v>51036557</v>
      </c>
      <c r="C832">
        <f>CALCULOS_AGENCIA!$U832</f>
        <v>21.565022870617728</v>
      </c>
      <c r="D832" t="str">
        <f>CALCULOS_AGENCIA!$V832</f>
        <v>BRONCE</v>
      </c>
      <c r="E832">
        <f>CALCULOS_AGENCIA!$AA832</f>
        <v>955</v>
      </c>
      <c r="F832" s="3">
        <f t="shared" ca="1" si="12"/>
        <v>46087</v>
      </c>
    </row>
    <row r="833" spans="1:6" x14ac:dyDescent="0.3">
      <c r="A833" t="str">
        <f>PARAMS_MODELO!$B$3</f>
        <v>2025-Q3</v>
      </c>
      <c r="B833">
        <f>CALCULOS_AGENCIA!$A833</f>
        <v>51056175</v>
      </c>
      <c r="C833">
        <f>CALCULOS_AGENCIA!$U833</f>
        <v>30.823790725020817</v>
      </c>
      <c r="D833" t="str">
        <f>CALCULOS_AGENCIA!$V833</f>
        <v>PLATA</v>
      </c>
      <c r="E833">
        <f>CALCULOS_AGENCIA!$AA833</f>
        <v>849</v>
      </c>
      <c r="F833" s="3">
        <f t="shared" ca="1" si="12"/>
        <v>46087</v>
      </c>
    </row>
    <row r="834" spans="1:6" x14ac:dyDescent="0.3">
      <c r="A834" t="str">
        <f>PARAMS_MODELO!$B$3</f>
        <v>2025-Q3</v>
      </c>
      <c r="B834">
        <f>CALCULOS_AGENCIA!$A834</f>
        <v>51039190</v>
      </c>
      <c r="C834">
        <f>CALCULOS_AGENCIA!$U834</f>
        <v>76.099219357229998</v>
      </c>
      <c r="D834" t="str">
        <f>CALCULOS_AGENCIA!$V834</f>
        <v>ORO</v>
      </c>
      <c r="E834">
        <f>CALCULOS_AGENCIA!$AA834</f>
        <v>464</v>
      </c>
      <c r="F834" s="3">
        <f t="shared" ref="F834:F897" ca="1" si="13">TODAY()</f>
        <v>46087</v>
      </c>
    </row>
    <row r="835" spans="1:6" x14ac:dyDescent="0.3">
      <c r="A835" t="str">
        <f>PARAMS_MODELO!$B$3</f>
        <v>2025-Q3</v>
      </c>
      <c r="B835">
        <f>CALCULOS_AGENCIA!$A835</f>
        <v>51056604</v>
      </c>
      <c r="C835">
        <f>CALCULOS_AGENCIA!$U835</f>
        <v>55.874253327417513</v>
      </c>
      <c r="D835" t="str">
        <f>CALCULOS_AGENCIA!$V835</f>
        <v>PLATA</v>
      </c>
      <c r="E835">
        <f>CALCULOS_AGENCIA!$AA835</f>
        <v>704</v>
      </c>
      <c r="F835" s="3">
        <f t="shared" ca="1" si="13"/>
        <v>46087</v>
      </c>
    </row>
    <row r="836" spans="1:6" x14ac:dyDescent="0.3">
      <c r="A836" t="str">
        <f>PARAMS_MODELO!$B$3</f>
        <v>2025-Q3</v>
      </c>
      <c r="B836">
        <f>CALCULOS_AGENCIA!$A836</f>
        <v>51021789</v>
      </c>
      <c r="C836">
        <f>CALCULOS_AGENCIA!$U836</f>
        <v>72.779973174340512</v>
      </c>
      <c r="D836" t="str">
        <f>CALCULOS_AGENCIA!$V836</f>
        <v>ORO</v>
      </c>
      <c r="E836">
        <f>CALCULOS_AGENCIA!$AA836</f>
        <v>492</v>
      </c>
      <c r="F836" s="3">
        <f t="shared" ca="1" si="13"/>
        <v>46087</v>
      </c>
    </row>
    <row r="837" spans="1:6" x14ac:dyDescent="0.3">
      <c r="A837" t="str">
        <f>PARAMS_MODELO!$B$3</f>
        <v>2025-Q3</v>
      </c>
      <c r="B837">
        <f>CALCULOS_AGENCIA!$A837</f>
        <v>51056795</v>
      </c>
      <c r="C837">
        <f>CALCULOS_AGENCIA!$U837</f>
        <v>55.399445272079767</v>
      </c>
      <c r="D837" t="str">
        <f>CALCULOS_AGENCIA!$V837</f>
        <v>PLATA</v>
      </c>
      <c r="E837">
        <f>CALCULOS_AGENCIA!$AA837</f>
        <v>710</v>
      </c>
      <c r="F837" s="3">
        <f t="shared" ca="1" si="13"/>
        <v>46087</v>
      </c>
    </row>
    <row r="838" spans="1:6" x14ac:dyDescent="0.3">
      <c r="A838" t="str">
        <f>PARAMS_MODELO!$B$3</f>
        <v>2025-Q3</v>
      </c>
      <c r="B838">
        <f>CALCULOS_AGENCIA!$A838</f>
        <v>51056931</v>
      </c>
      <c r="C838">
        <f>CALCULOS_AGENCIA!$U838</f>
        <v>22.528651021833227</v>
      </c>
      <c r="D838" t="str">
        <f>CALCULOS_AGENCIA!$V838</f>
        <v>BRONCE</v>
      </c>
      <c r="E838">
        <f>CALCULOS_AGENCIA!$AA838</f>
        <v>943</v>
      </c>
      <c r="F838" s="3">
        <f t="shared" ca="1" si="13"/>
        <v>46087</v>
      </c>
    </row>
    <row r="839" spans="1:6" x14ac:dyDescent="0.3">
      <c r="A839" t="str">
        <f>PARAMS_MODELO!$B$3</f>
        <v>2025-Q3</v>
      </c>
      <c r="B839">
        <f>CALCULOS_AGENCIA!$A839</f>
        <v>51014120</v>
      </c>
      <c r="C839">
        <f>CALCULOS_AGENCIA!$U839</f>
        <v>66.39189343516027</v>
      </c>
      <c r="D839" t="str">
        <f>CALCULOS_AGENCIA!$V839</f>
        <v>ORO</v>
      </c>
      <c r="E839">
        <f>CALCULOS_AGENCIA!$AA839</f>
        <v>540</v>
      </c>
      <c r="F839" s="3">
        <f t="shared" ca="1" si="13"/>
        <v>46087</v>
      </c>
    </row>
    <row r="840" spans="1:6" x14ac:dyDescent="0.3">
      <c r="A840" t="str">
        <f>PARAMS_MODELO!$B$3</f>
        <v>2025-Q3</v>
      </c>
      <c r="B840">
        <f>CALCULOS_AGENCIA!$A840</f>
        <v>51036182</v>
      </c>
      <c r="C840">
        <f>CALCULOS_AGENCIA!$U840</f>
        <v>55.199131164776809</v>
      </c>
      <c r="D840" t="str">
        <f>CALCULOS_AGENCIA!$V840</f>
        <v>PLATA</v>
      </c>
      <c r="E840">
        <f>CALCULOS_AGENCIA!$AA840</f>
        <v>713</v>
      </c>
      <c r="F840" s="3">
        <f t="shared" ca="1" si="13"/>
        <v>46087</v>
      </c>
    </row>
    <row r="841" spans="1:6" x14ac:dyDescent="0.3">
      <c r="A841" t="str">
        <f>PARAMS_MODELO!$B$3</f>
        <v>2025-Q3</v>
      </c>
      <c r="B841">
        <f>CALCULOS_AGENCIA!$A841</f>
        <v>51011465</v>
      </c>
      <c r="C841">
        <f>CALCULOS_AGENCIA!$U841</f>
        <v>27.449916541224475</v>
      </c>
      <c r="D841" t="str">
        <f>CALCULOS_AGENCIA!$V841</f>
        <v>PLATA</v>
      </c>
      <c r="E841">
        <f>CALCULOS_AGENCIA!$AA841</f>
        <v>894</v>
      </c>
      <c r="F841" s="3">
        <f t="shared" ca="1" si="13"/>
        <v>46087</v>
      </c>
    </row>
    <row r="842" spans="1:6" x14ac:dyDescent="0.3">
      <c r="A842" t="str">
        <f>PARAMS_MODELO!$B$3</f>
        <v>2025-Q3</v>
      </c>
      <c r="B842">
        <f>CALCULOS_AGENCIA!$A842</f>
        <v>51006151</v>
      </c>
      <c r="C842">
        <f>CALCULOS_AGENCIA!$U842</f>
        <v>71.972990195617086</v>
      </c>
      <c r="D842" t="str">
        <f>CALCULOS_AGENCIA!$V842</f>
        <v>ORO</v>
      </c>
      <c r="E842">
        <f>CALCULOS_AGENCIA!$AA842</f>
        <v>498</v>
      </c>
      <c r="F842" s="3">
        <f t="shared" ca="1" si="13"/>
        <v>46087</v>
      </c>
    </row>
    <row r="843" spans="1:6" x14ac:dyDescent="0.3">
      <c r="A843" t="str">
        <f>PARAMS_MODELO!$B$3</f>
        <v>2025-Q3</v>
      </c>
      <c r="B843">
        <f>CALCULOS_AGENCIA!$A843</f>
        <v>51033418</v>
      </c>
      <c r="C843">
        <f>CALCULOS_AGENCIA!$U843</f>
        <v>25.156082913006134</v>
      </c>
      <c r="D843" t="str">
        <f>CALCULOS_AGENCIA!$V843</f>
        <v>PLATA</v>
      </c>
      <c r="E843">
        <f>CALCULOS_AGENCIA!$AA843</f>
        <v>914</v>
      </c>
      <c r="F843" s="3">
        <f t="shared" ca="1" si="13"/>
        <v>46087</v>
      </c>
    </row>
    <row r="844" spans="1:6" x14ac:dyDescent="0.3">
      <c r="A844" t="str">
        <f>PARAMS_MODELO!$B$3</f>
        <v>2025-Q3</v>
      </c>
      <c r="B844">
        <f>CALCULOS_AGENCIA!$A844</f>
        <v>51007841</v>
      </c>
      <c r="C844">
        <f>CALCULOS_AGENCIA!$U844</f>
        <v>31.998175670519093</v>
      </c>
      <c r="D844" t="str">
        <f>CALCULOS_AGENCIA!$V844</f>
        <v>PLATA</v>
      </c>
      <c r="E844">
        <f>CALCULOS_AGENCIA!$AA844</f>
        <v>837</v>
      </c>
      <c r="F844" s="3">
        <f t="shared" ca="1" si="13"/>
        <v>46087</v>
      </c>
    </row>
    <row r="845" spans="1:6" x14ac:dyDescent="0.3">
      <c r="A845" t="str">
        <f>PARAMS_MODELO!$B$3</f>
        <v>2025-Q3</v>
      </c>
      <c r="B845">
        <f>CALCULOS_AGENCIA!$A845</f>
        <v>51016602</v>
      </c>
      <c r="C845">
        <f>CALCULOS_AGENCIA!$U845</f>
        <v>30.393336348488774</v>
      </c>
      <c r="D845" t="str">
        <f>CALCULOS_AGENCIA!$V845</f>
        <v>PLATA</v>
      </c>
      <c r="E845">
        <f>CALCULOS_AGENCIA!$AA845</f>
        <v>857</v>
      </c>
      <c r="F845" s="3">
        <f t="shared" ca="1" si="13"/>
        <v>46087</v>
      </c>
    </row>
    <row r="846" spans="1:6" x14ac:dyDescent="0.3">
      <c r="A846" t="str">
        <f>PARAMS_MODELO!$B$3</f>
        <v>2025-Q3</v>
      </c>
      <c r="B846">
        <f>CALCULOS_AGENCIA!$A846</f>
        <v>51036077</v>
      </c>
      <c r="C846">
        <f>CALCULOS_AGENCIA!$U846</f>
        <v>17.903569300695782</v>
      </c>
      <c r="D846" t="str">
        <f>CALCULOS_AGENCIA!$V846</f>
        <v>BRONCE</v>
      </c>
      <c r="E846">
        <f>CALCULOS_AGENCIA!$AA846</f>
        <v>1032</v>
      </c>
      <c r="F846" s="3">
        <f t="shared" ca="1" si="13"/>
        <v>46087</v>
      </c>
    </row>
    <row r="847" spans="1:6" x14ac:dyDescent="0.3">
      <c r="A847" t="str">
        <f>PARAMS_MODELO!$B$3</f>
        <v>2025-Q3</v>
      </c>
      <c r="B847">
        <f>CALCULOS_AGENCIA!$A847</f>
        <v>51013662</v>
      </c>
      <c r="C847">
        <f>CALCULOS_AGENCIA!$U847</f>
        <v>60.346231081699152</v>
      </c>
      <c r="D847" t="str">
        <f>CALCULOS_AGENCIA!$V847</f>
        <v>PLATA</v>
      </c>
      <c r="E847">
        <f>CALCULOS_AGENCIA!$AA847</f>
        <v>610</v>
      </c>
      <c r="F847" s="3">
        <f t="shared" ca="1" si="13"/>
        <v>46087</v>
      </c>
    </row>
    <row r="848" spans="1:6" x14ac:dyDescent="0.3">
      <c r="A848" t="str">
        <f>PARAMS_MODELO!$B$3</f>
        <v>2025-Q3</v>
      </c>
      <c r="B848">
        <f>CALCULOS_AGENCIA!$A848</f>
        <v>51010248</v>
      </c>
      <c r="C848">
        <f>CALCULOS_AGENCIA!$U848</f>
        <v>87.228836148861646</v>
      </c>
      <c r="D848" t="str">
        <f>CALCULOS_AGENCIA!$V848</f>
        <v>PLATINO</v>
      </c>
      <c r="E848">
        <f>CALCULOS_AGENCIA!$AA848</f>
        <v>220</v>
      </c>
      <c r="F848" s="3">
        <f t="shared" ca="1" si="13"/>
        <v>46087</v>
      </c>
    </row>
    <row r="849" spans="1:6" x14ac:dyDescent="0.3">
      <c r="A849" t="str">
        <f>PARAMS_MODELO!$B$3</f>
        <v>2025-Q3</v>
      </c>
      <c r="B849">
        <f>CALCULOS_AGENCIA!$A849</f>
        <v>51055764</v>
      </c>
      <c r="C849">
        <f>CALCULOS_AGENCIA!$U849</f>
        <v>82.961113154279985</v>
      </c>
      <c r="D849" t="str">
        <f>CALCULOS_AGENCIA!$V849</f>
        <v>ORO</v>
      </c>
      <c r="E849">
        <f>CALCULOS_AGENCIA!$AA849</f>
        <v>355</v>
      </c>
      <c r="F849" s="3">
        <f t="shared" ca="1" si="13"/>
        <v>46087</v>
      </c>
    </row>
    <row r="850" spans="1:6" x14ac:dyDescent="0.3">
      <c r="A850" t="str">
        <f>PARAMS_MODELO!$B$3</f>
        <v>2025-Q3</v>
      </c>
      <c r="B850">
        <f>CALCULOS_AGENCIA!$A850</f>
        <v>51012496</v>
      </c>
      <c r="C850">
        <f>CALCULOS_AGENCIA!$U850</f>
        <v>89.02849482309631</v>
      </c>
      <c r="D850" t="str">
        <f>CALCULOS_AGENCIA!$V850</f>
        <v>PLATINO</v>
      </c>
      <c r="E850">
        <f>CALCULOS_AGENCIA!$AA850</f>
        <v>166</v>
      </c>
      <c r="F850" s="3">
        <f t="shared" ca="1" si="13"/>
        <v>46087</v>
      </c>
    </row>
    <row r="851" spans="1:6" x14ac:dyDescent="0.3">
      <c r="A851" t="str">
        <f>PARAMS_MODELO!$B$3</f>
        <v>2025-Q3</v>
      </c>
      <c r="B851">
        <f>CALCULOS_AGENCIA!$A851</f>
        <v>51016874</v>
      </c>
      <c r="C851">
        <f>CALCULOS_AGENCIA!$U851</f>
        <v>90.600971943216194</v>
      </c>
      <c r="D851" t="str">
        <f>CALCULOS_AGENCIA!$V851</f>
        <v>PLATINO</v>
      </c>
      <c r="E851">
        <f>CALCULOS_AGENCIA!$AA851</f>
        <v>122</v>
      </c>
      <c r="F851" s="3">
        <f t="shared" ca="1" si="13"/>
        <v>46087</v>
      </c>
    </row>
    <row r="852" spans="1:6" x14ac:dyDescent="0.3">
      <c r="A852" t="str">
        <f>PARAMS_MODELO!$B$3</f>
        <v>2025-Q3</v>
      </c>
      <c r="B852">
        <f>CALCULOS_AGENCIA!$A852</f>
        <v>51011481</v>
      </c>
      <c r="C852">
        <f>CALCULOS_AGENCIA!$U852</f>
        <v>49.422343194696204</v>
      </c>
      <c r="D852" t="str">
        <f>CALCULOS_AGENCIA!$V852</f>
        <v>PLATA</v>
      </c>
      <c r="E852">
        <f>CALCULOS_AGENCIA!$AA852</f>
        <v>747</v>
      </c>
      <c r="F852" s="3">
        <f t="shared" ca="1" si="13"/>
        <v>46087</v>
      </c>
    </row>
    <row r="853" spans="1:6" x14ac:dyDescent="0.3">
      <c r="A853" t="str">
        <f>PARAMS_MODELO!$B$3</f>
        <v>2025-Q3</v>
      </c>
      <c r="B853">
        <f>CALCULOS_AGENCIA!$A853</f>
        <v>51042654</v>
      </c>
      <c r="C853">
        <f>CALCULOS_AGENCIA!$U853</f>
        <v>49.438541735991279</v>
      </c>
      <c r="D853" t="str">
        <f>CALCULOS_AGENCIA!$V853</f>
        <v>PLATA</v>
      </c>
      <c r="E853">
        <f>CALCULOS_AGENCIA!$AA853</f>
        <v>746</v>
      </c>
      <c r="F853" s="3">
        <f t="shared" ca="1" si="13"/>
        <v>46087</v>
      </c>
    </row>
    <row r="854" spans="1:6" x14ac:dyDescent="0.3">
      <c r="A854" t="str">
        <f>PARAMS_MODELO!$B$3</f>
        <v>2025-Q3</v>
      </c>
      <c r="B854">
        <f>CALCULOS_AGENCIA!$A854</f>
        <v>51057074</v>
      </c>
      <c r="C854">
        <f>CALCULOS_AGENCIA!$U854</f>
        <v>54.197797016941919</v>
      </c>
      <c r="D854" t="str">
        <f>CALCULOS_AGENCIA!$V854</f>
        <v>PLATA</v>
      </c>
      <c r="E854">
        <f>CALCULOS_AGENCIA!$AA854</f>
        <v>723</v>
      </c>
      <c r="F854" s="3">
        <f t="shared" ca="1" si="13"/>
        <v>46087</v>
      </c>
    </row>
    <row r="855" spans="1:6" x14ac:dyDescent="0.3">
      <c r="A855" t="str">
        <f>PARAMS_MODELO!$B$3</f>
        <v>2025-Q3</v>
      </c>
      <c r="B855">
        <f>CALCULOS_AGENCIA!$A855</f>
        <v>51042913</v>
      </c>
      <c r="C855">
        <f>CALCULOS_AGENCIA!$U855</f>
        <v>62.161635027959115</v>
      </c>
      <c r="D855" t="str">
        <f>CALCULOS_AGENCIA!$V855</f>
        <v>PLATA</v>
      </c>
      <c r="E855">
        <f>CALCULOS_AGENCIA!$AA855</f>
        <v>576</v>
      </c>
      <c r="F855" s="3">
        <f t="shared" ca="1" si="13"/>
        <v>46087</v>
      </c>
    </row>
    <row r="856" spans="1:6" x14ac:dyDescent="0.3">
      <c r="A856" t="str">
        <f>PARAMS_MODELO!$B$3</f>
        <v>2025-Q3</v>
      </c>
      <c r="B856">
        <f>CALCULOS_AGENCIA!$A856</f>
        <v>51025857</v>
      </c>
      <c r="C856">
        <f>CALCULOS_AGENCIA!$U856</f>
        <v>46.226573963783018</v>
      </c>
      <c r="D856" t="str">
        <f>CALCULOS_AGENCIA!$V856</f>
        <v>PLATA</v>
      </c>
      <c r="E856">
        <f>CALCULOS_AGENCIA!$AA856</f>
        <v>764</v>
      </c>
      <c r="F856" s="3">
        <f t="shared" ca="1" si="13"/>
        <v>46087</v>
      </c>
    </row>
    <row r="857" spans="1:6" x14ac:dyDescent="0.3">
      <c r="A857" t="str">
        <f>PARAMS_MODELO!$B$3</f>
        <v>2025-Q3</v>
      </c>
      <c r="B857">
        <f>CALCULOS_AGENCIA!$A857</f>
        <v>51026071</v>
      </c>
      <c r="C857">
        <f>CALCULOS_AGENCIA!$U857</f>
        <v>73.528489008236136</v>
      </c>
      <c r="D857" t="str">
        <f>CALCULOS_AGENCIA!$V857</f>
        <v>ORO</v>
      </c>
      <c r="E857">
        <f>CALCULOS_AGENCIA!$AA857</f>
        <v>485</v>
      </c>
      <c r="F857" s="3">
        <f t="shared" ca="1" si="13"/>
        <v>46087</v>
      </c>
    </row>
    <row r="858" spans="1:6" x14ac:dyDescent="0.3">
      <c r="A858" t="str">
        <f>PARAMS_MODELO!$B$3</f>
        <v>2025-Q3</v>
      </c>
      <c r="B858">
        <f>CALCULOS_AGENCIA!$A858</f>
        <v>51017595</v>
      </c>
      <c r="C858">
        <f>CALCULOS_AGENCIA!$U858</f>
        <v>50.423756269914328</v>
      </c>
      <c r="D858" t="str">
        <f>CALCULOS_AGENCIA!$V858</f>
        <v>PLATA</v>
      </c>
      <c r="E858">
        <f>CALCULOS_AGENCIA!$AA858</f>
        <v>737</v>
      </c>
      <c r="F858" s="3">
        <f t="shared" ca="1" si="13"/>
        <v>46087</v>
      </c>
    </row>
    <row r="859" spans="1:6" x14ac:dyDescent="0.3">
      <c r="A859" t="str">
        <f>PARAMS_MODELO!$B$3</f>
        <v>2025-Q3</v>
      </c>
      <c r="B859">
        <f>CALCULOS_AGENCIA!$A859</f>
        <v>51014707</v>
      </c>
      <c r="C859">
        <f>CALCULOS_AGENCIA!$U859</f>
        <v>34.332371497182628</v>
      </c>
      <c r="D859" t="str">
        <f>CALCULOS_AGENCIA!$V859</f>
        <v>PLATA</v>
      </c>
      <c r="E859">
        <f>CALCULOS_AGENCIA!$AA859</f>
        <v>811</v>
      </c>
      <c r="F859" s="3">
        <f t="shared" ca="1" si="13"/>
        <v>46087</v>
      </c>
    </row>
    <row r="860" spans="1:6" x14ac:dyDescent="0.3">
      <c r="A860" t="str">
        <f>PARAMS_MODELO!$B$3</f>
        <v>2025-Q3</v>
      </c>
      <c r="B860">
        <f>CALCULOS_AGENCIA!$A860</f>
        <v>51032390</v>
      </c>
      <c r="C860">
        <f>CALCULOS_AGENCIA!$U860</f>
        <v>26.747823129687383</v>
      </c>
      <c r="D860" t="str">
        <f>CALCULOS_AGENCIA!$V860</f>
        <v>PLATA</v>
      </c>
      <c r="E860">
        <f>CALCULOS_AGENCIA!$AA860</f>
        <v>901</v>
      </c>
      <c r="F860" s="3">
        <f t="shared" ca="1" si="13"/>
        <v>46087</v>
      </c>
    </row>
    <row r="861" spans="1:6" x14ac:dyDescent="0.3">
      <c r="A861" t="str">
        <f>PARAMS_MODELO!$B$3</f>
        <v>2025-Q3</v>
      </c>
      <c r="B861">
        <f>CALCULOS_AGENCIA!$A861</f>
        <v>51030249</v>
      </c>
      <c r="C861">
        <f>CALCULOS_AGENCIA!$U861</f>
        <v>58.072038125868524</v>
      </c>
      <c r="D861" t="str">
        <f>CALCULOS_AGENCIA!$V861</f>
        <v>PLATA</v>
      </c>
      <c r="E861">
        <f>CALCULOS_AGENCIA!$AA861</f>
        <v>658</v>
      </c>
      <c r="F861" s="3">
        <f t="shared" ca="1" si="13"/>
        <v>46087</v>
      </c>
    </row>
    <row r="862" spans="1:6" x14ac:dyDescent="0.3">
      <c r="A862" t="str">
        <f>PARAMS_MODELO!$B$3</f>
        <v>2025-Q3</v>
      </c>
      <c r="B862">
        <f>CALCULOS_AGENCIA!$A862</f>
        <v>51029518</v>
      </c>
      <c r="C862">
        <f>CALCULOS_AGENCIA!$U862</f>
        <v>59.699310224915401</v>
      </c>
      <c r="D862" t="str">
        <f>CALCULOS_AGENCIA!$V862</f>
        <v>PLATA</v>
      </c>
      <c r="E862">
        <f>CALCULOS_AGENCIA!$AA862</f>
        <v>625</v>
      </c>
      <c r="F862" s="3">
        <f t="shared" ca="1" si="13"/>
        <v>46087</v>
      </c>
    </row>
    <row r="863" spans="1:6" x14ac:dyDescent="0.3">
      <c r="A863" t="str">
        <f>PARAMS_MODELO!$B$3</f>
        <v>2025-Q3</v>
      </c>
      <c r="B863">
        <f>CALCULOS_AGENCIA!$A863</f>
        <v>51044011</v>
      </c>
      <c r="C863">
        <f>CALCULOS_AGENCIA!$U863</f>
        <v>19.718700239105377</v>
      </c>
      <c r="D863" t="str">
        <f>CALCULOS_AGENCIA!$V863</f>
        <v>BRONCE</v>
      </c>
      <c r="E863">
        <f>CALCULOS_AGENCIA!$AA863</f>
        <v>982</v>
      </c>
      <c r="F863" s="3">
        <f t="shared" ca="1" si="13"/>
        <v>46087</v>
      </c>
    </row>
    <row r="864" spans="1:6" x14ac:dyDescent="0.3">
      <c r="A864" t="str">
        <f>PARAMS_MODELO!$B$3</f>
        <v>2025-Q3</v>
      </c>
      <c r="B864">
        <f>CALCULOS_AGENCIA!$A864</f>
        <v>51013956</v>
      </c>
      <c r="C864">
        <f>CALCULOS_AGENCIA!$U864</f>
        <v>28.116330825491907</v>
      </c>
      <c r="D864" t="str">
        <f>CALCULOS_AGENCIA!$V864</f>
        <v>PLATA</v>
      </c>
      <c r="E864">
        <f>CALCULOS_AGENCIA!$AA864</f>
        <v>885</v>
      </c>
      <c r="F864" s="3">
        <f t="shared" ca="1" si="13"/>
        <v>46087</v>
      </c>
    </row>
    <row r="865" spans="1:6" x14ac:dyDescent="0.3">
      <c r="A865" t="str">
        <f>PARAMS_MODELO!$B$3</f>
        <v>2025-Q3</v>
      </c>
      <c r="B865">
        <f>CALCULOS_AGENCIA!$A865</f>
        <v>51023846</v>
      </c>
      <c r="C865">
        <f>CALCULOS_AGENCIA!$U865</f>
        <v>56.363818135736068</v>
      </c>
      <c r="D865" t="str">
        <f>CALCULOS_AGENCIA!$V865</f>
        <v>PLATA</v>
      </c>
      <c r="E865">
        <f>CALCULOS_AGENCIA!$AA865</f>
        <v>693</v>
      </c>
      <c r="F865" s="3">
        <f t="shared" ca="1" si="13"/>
        <v>46087</v>
      </c>
    </row>
    <row r="866" spans="1:6" x14ac:dyDescent="0.3">
      <c r="A866" t="str">
        <f>PARAMS_MODELO!$B$3</f>
        <v>2025-Q3</v>
      </c>
      <c r="B866">
        <f>CALCULOS_AGENCIA!$A866</f>
        <v>51019563</v>
      </c>
      <c r="C866">
        <f>CALCULOS_AGENCIA!$U866</f>
        <v>60.450248259955799</v>
      </c>
      <c r="D866" t="str">
        <f>CALCULOS_AGENCIA!$V866</f>
        <v>PLATA</v>
      </c>
      <c r="E866">
        <f>CALCULOS_AGENCIA!$AA866</f>
        <v>608</v>
      </c>
      <c r="F866" s="3">
        <f t="shared" ca="1" si="13"/>
        <v>46087</v>
      </c>
    </row>
    <row r="867" spans="1:6" x14ac:dyDescent="0.3">
      <c r="A867" t="str">
        <f>PARAMS_MODELO!$B$3</f>
        <v>2025-Q3</v>
      </c>
      <c r="B867">
        <f>CALCULOS_AGENCIA!$A867</f>
        <v>51030711</v>
      </c>
      <c r="C867">
        <f>CALCULOS_AGENCIA!$U867</f>
        <v>83.294431150418291</v>
      </c>
      <c r="D867" t="str">
        <f>CALCULOS_AGENCIA!$V867</f>
        <v>ORO</v>
      </c>
      <c r="E867">
        <f>CALCULOS_AGENCIA!$AA867</f>
        <v>338</v>
      </c>
      <c r="F867" s="3">
        <f t="shared" ca="1" si="13"/>
        <v>46087</v>
      </c>
    </row>
    <row r="868" spans="1:6" x14ac:dyDescent="0.3">
      <c r="A868" t="str">
        <f>PARAMS_MODELO!$B$3</f>
        <v>2025-Q3</v>
      </c>
      <c r="B868">
        <f>CALCULOS_AGENCIA!$A868</f>
        <v>51056574</v>
      </c>
      <c r="C868">
        <f>CALCULOS_AGENCIA!$U868</f>
        <v>83.715694415296298</v>
      </c>
      <c r="D868" t="str">
        <f>CALCULOS_AGENCIA!$V868</f>
        <v>ORO</v>
      </c>
      <c r="E868">
        <f>CALCULOS_AGENCIA!$AA868</f>
        <v>329</v>
      </c>
      <c r="F868" s="3">
        <f t="shared" ca="1" si="13"/>
        <v>46087</v>
      </c>
    </row>
    <row r="869" spans="1:6" x14ac:dyDescent="0.3">
      <c r="A869" t="str">
        <f>PARAMS_MODELO!$B$3</f>
        <v>2025-Q3</v>
      </c>
      <c r="B869">
        <f>CALCULOS_AGENCIA!$A869</f>
        <v>51056957</v>
      </c>
      <c r="C869">
        <f>CALCULOS_AGENCIA!$U869</f>
        <v>58.992652006787381</v>
      </c>
      <c r="D869" t="str">
        <f>CALCULOS_AGENCIA!$V869</f>
        <v>PLATA</v>
      </c>
      <c r="E869">
        <f>CALCULOS_AGENCIA!$AA869</f>
        <v>636</v>
      </c>
      <c r="F869" s="3">
        <f t="shared" ca="1" si="13"/>
        <v>46087</v>
      </c>
    </row>
    <row r="870" spans="1:6" x14ac:dyDescent="0.3">
      <c r="A870" t="str">
        <f>PARAMS_MODELO!$B$3</f>
        <v>2025-Q3</v>
      </c>
      <c r="B870">
        <f>CALCULOS_AGENCIA!$A870</f>
        <v>51055331</v>
      </c>
      <c r="C870">
        <f>CALCULOS_AGENCIA!$U870</f>
        <v>17.480101600231372</v>
      </c>
      <c r="D870" t="str">
        <f>CALCULOS_AGENCIA!$V870</f>
        <v>BRONCE</v>
      </c>
      <c r="E870">
        <f>CALCULOS_AGENCIA!$AA870</f>
        <v>1040</v>
      </c>
      <c r="F870" s="3">
        <f t="shared" ca="1" si="13"/>
        <v>46087</v>
      </c>
    </row>
    <row r="871" spans="1:6" x14ac:dyDescent="0.3">
      <c r="A871" t="str">
        <f>PARAMS_MODELO!$B$3</f>
        <v>2025-Q3</v>
      </c>
      <c r="B871">
        <f>CALCULOS_AGENCIA!$A871</f>
        <v>51018397</v>
      </c>
      <c r="C871">
        <f>CALCULOS_AGENCIA!$U871</f>
        <v>17.83044288596809</v>
      </c>
      <c r="D871" t="str">
        <f>CALCULOS_AGENCIA!$V871</f>
        <v>BRONCE</v>
      </c>
      <c r="E871">
        <f>CALCULOS_AGENCIA!$AA871</f>
        <v>1033</v>
      </c>
      <c r="F871" s="3">
        <f t="shared" ca="1" si="13"/>
        <v>46087</v>
      </c>
    </row>
    <row r="872" spans="1:6" x14ac:dyDescent="0.3">
      <c r="A872" t="str">
        <f>PARAMS_MODELO!$B$3</f>
        <v>2025-Q3</v>
      </c>
      <c r="B872">
        <f>CALCULOS_AGENCIA!$A872</f>
        <v>51025148</v>
      </c>
      <c r="C872">
        <f>CALCULOS_AGENCIA!$U872</f>
        <v>29.280294954685946</v>
      </c>
      <c r="D872" t="str">
        <f>CALCULOS_AGENCIA!$V872</f>
        <v>PLATA</v>
      </c>
      <c r="E872">
        <f>CALCULOS_AGENCIA!$AA872</f>
        <v>874</v>
      </c>
      <c r="F872" s="3">
        <f t="shared" ca="1" si="13"/>
        <v>46087</v>
      </c>
    </row>
    <row r="873" spans="1:6" x14ac:dyDescent="0.3">
      <c r="A873" t="str">
        <f>PARAMS_MODELO!$B$3</f>
        <v>2025-Q3</v>
      </c>
      <c r="B873">
        <f>CALCULOS_AGENCIA!$A873</f>
        <v>51005392</v>
      </c>
      <c r="C873">
        <f>CALCULOS_AGENCIA!$U873</f>
        <v>33.905158279879998</v>
      </c>
      <c r="D873" t="str">
        <f>CALCULOS_AGENCIA!$V873</f>
        <v>PLATA</v>
      </c>
      <c r="E873">
        <f>CALCULOS_AGENCIA!$AA873</f>
        <v>815</v>
      </c>
      <c r="F873" s="3">
        <f t="shared" ca="1" si="13"/>
        <v>46087</v>
      </c>
    </row>
    <row r="874" spans="1:6" x14ac:dyDescent="0.3">
      <c r="A874" t="str">
        <f>PARAMS_MODELO!$B$3</f>
        <v>2025-Q3</v>
      </c>
      <c r="B874">
        <f>CALCULOS_AGENCIA!$A874</f>
        <v>51023153</v>
      </c>
      <c r="C874">
        <f>CALCULOS_AGENCIA!$U874</f>
        <v>45.409649204227385</v>
      </c>
      <c r="D874" t="str">
        <f>CALCULOS_AGENCIA!$V874</f>
        <v>PLATA</v>
      </c>
      <c r="E874">
        <f>CALCULOS_AGENCIA!$AA874</f>
        <v>771</v>
      </c>
      <c r="F874" s="3">
        <f t="shared" ca="1" si="13"/>
        <v>46087</v>
      </c>
    </row>
    <row r="875" spans="1:6" x14ac:dyDescent="0.3">
      <c r="A875" t="str">
        <f>PARAMS_MODELO!$B$3</f>
        <v>2025-Q3</v>
      </c>
      <c r="B875">
        <f>CALCULOS_AGENCIA!$A875</f>
        <v>51024095</v>
      </c>
      <c r="C875">
        <f>CALCULOS_AGENCIA!$U875</f>
        <v>89.222529926651703</v>
      </c>
      <c r="D875" t="str">
        <f>CALCULOS_AGENCIA!$V875</f>
        <v>PLATINO</v>
      </c>
      <c r="E875">
        <f>CALCULOS_AGENCIA!$AA875</f>
        <v>161</v>
      </c>
      <c r="F875" s="3">
        <f t="shared" ca="1" si="13"/>
        <v>46087</v>
      </c>
    </row>
    <row r="876" spans="1:6" x14ac:dyDescent="0.3">
      <c r="A876" t="str">
        <f>PARAMS_MODELO!$B$3</f>
        <v>2025-Q3</v>
      </c>
      <c r="B876">
        <f>CALCULOS_AGENCIA!$A876</f>
        <v>51002024</v>
      </c>
      <c r="C876">
        <f>CALCULOS_AGENCIA!$U876</f>
        <v>60.459695206500079</v>
      </c>
      <c r="D876" t="str">
        <f>CALCULOS_AGENCIA!$V876</f>
        <v>PLATA</v>
      </c>
      <c r="E876">
        <f>CALCULOS_AGENCIA!$AA876</f>
        <v>607</v>
      </c>
      <c r="F876" s="3">
        <f t="shared" ca="1" si="13"/>
        <v>46087</v>
      </c>
    </row>
    <row r="877" spans="1:6" x14ac:dyDescent="0.3">
      <c r="A877" t="str">
        <f>PARAMS_MODELO!$B$3</f>
        <v>2025-Q3</v>
      </c>
      <c r="B877">
        <f>CALCULOS_AGENCIA!$A877</f>
        <v>51056311</v>
      </c>
      <c r="C877">
        <f>CALCULOS_AGENCIA!$U877</f>
        <v>83.250450895119869</v>
      </c>
      <c r="D877" t="str">
        <f>CALCULOS_AGENCIA!$V877</f>
        <v>ORO</v>
      </c>
      <c r="E877">
        <f>CALCULOS_AGENCIA!$AA877</f>
        <v>339</v>
      </c>
      <c r="F877" s="3">
        <f t="shared" ca="1" si="13"/>
        <v>46087</v>
      </c>
    </row>
    <row r="878" spans="1:6" x14ac:dyDescent="0.3">
      <c r="A878" t="str">
        <f>PARAMS_MODELO!$B$3</f>
        <v>2025-Q3</v>
      </c>
      <c r="B878">
        <f>CALCULOS_AGENCIA!$A878</f>
        <v>51016467</v>
      </c>
      <c r="C878">
        <f>CALCULOS_AGENCIA!$U878</f>
        <v>92.833588926934823</v>
      </c>
      <c r="D878" t="str">
        <f>CALCULOS_AGENCIA!$V878</f>
        <v>PLATINO</v>
      </c>
      <c r="E878">
        <f>CALCULOS_AGENCIA!$AA878</f>
        <v>93</v>
      </c>
      <c r="F878" s="3">
        <f t="shared" ca="1" si="13"/>
        <v>46087</v>
      </c>
    </row>
    <row r="879" spans="1:6" x14ac:dyDescent="0.3">
      <c r="A879" t="str">
        <f>PARAMS_MODELO!$B$3</f>
        <v>2025-Q3</v>
      </c>
      <c r="B879">
        <f>CALCULOS_AGENCIA!$A879</f>
        <v>51021614</v>
      </c>
      <c r="C879">
        <f>CALCULOS_AGENCIA!$U879</f>
        <v>33.132337813582602</v>
      </c>
      <c r="D879" t="str">
        <f>CALCULOS_AGENCIA!$V879</f>
        <v>PLATA</v>
      </c>
      <c r="E879">
        <f>CALCULOS_AGENCIA!$AA879</f>
        <v>822</v>
      </c>
      <c r="F879" s="3">
        <f t="shared" ca="1" si="13"/>
        <v>46087</v>
      </c>
    </row>
    <row r="880" spans="1:6" x14ac:dyDescent="0.3">
      <c r="A880" t="str">
        <f>PARAMS_MODELO!$B$3</f>
        <v>2025-Q3</v>
      </c>
      <c r="B880">
        <f>CALCULOS_AGENCIA!$A880</f>
        <v>51042506</v>
      </c>
      <c r="C880">
        <f>CALCULOS_AGENCIA!$U880</f>
        <v>84.274107246974253</v>
      </c>
      <c r="D880" t="str">
        <f>CALCULOS_AGENCIA!$V880</f>
        <v>ORO</v>
      </c>
      <c r="E880">
        <f>CALCULOS_AGENCIA!$AA880</f>
        <v>308</v>
      </c>
      <c r="F880" s="3">
        <f t="shared" ca="1" si="13"/>
        <v>46087</v>
      </c>
    </row>
    <row r="881" spans="1:6" x14ac:dyDescent="0.3">
      <c r="A881" t="str">
        <f>PARAMS_MODELO!$B$3</f>
        <v>2025-Q3</v>
      </c>
      <c r="B881">
        <f>CALCULOS_AGENCIA!$A881</f>
        <v>51023412</v>
      </c>
      <c r="C881">
        <f>CALCULOS_AGENCIA!$U881</f>
        <v>86.467340406732319</v>
      </c>
      <c r="D881" t="str">
        <f>CALCULOS_AGENCIA!$V881</f>
        <v>PLATINO</v>
      </c>
      <c r="E881">
        <f>CALCULOS_AGENCIA!$AA881</f>
        <v>237</v>
      </c>
      <c r="F881" s="3">
        <f t="shared" ca="1" si="13"/>
        <v>46087</v>
      </c>
    </row>
    <row r="882" spans="1:6" x14ac:dyDescent="0.3">
      <c r="A882" t="str">
        <f>PARAMS_MODELO!$B$3</f>
        <v>2025-Q3</v>
      </c>
      <c r="B882">
        <f>CALCULOS_AGENCIA!$A882</f>
        <v>51033116</v>
      </c>
      <c r="C882">
        <f>CALCULOS_AGENCIA!$U882</f>
        <v>83.925302069203894</v>
      </c>
      <c r="D882" t="str">
        <f>CALCULOS_AGENCIA!$V882</f>
        <v>ORO</v>
      </c>
      <c r="E882">
        <f>CALCULOS_AGENCIA!$AA882</f>
        <v>326</v>
      </c>
      <c r="F882" s="3">
        <f t="shared" ca="1" si="13"/>
        <v>46087</v>
      </c>
    </row>
    <row r="883" spans="1:6" x14ac:dyDescent="0.3">
      <c r="A883" t="str">
        <f>PARAMS_MODELO!$B$3</f>
        <v>2025-Q3</v>
      </c>
      <c r="B883">
        <f>CALCULOS_AGENCIA!$A883</f>
        <v>51003292</v>
      </c>
      <c r="C883">
        <f>CALCULOS_AGENCIA!$U883</f>
        <v>54.805747438467101</v>
      </c>
      <c r="D883" t="str">
        <f>CALCULOS_AGENCIA!$V883</f>
        <v>PLATA</v>
      </c>
      <c r="E883">
        <f>CALCULOS_AGENCIA!$AA883</f>
        <v>718</v>
      </c>
      <c r="F883" s="3">
        <f t="shared" ca="1" si="13"/>
        <v>46087</v>
      </c>
    </row>
    <row r="884" spans="1:6" x14ac:dyDescent="0.3">
      <c r="A884" t="str">
        <f>PARAMS_MODELO!$B$3</f>
        <v>2025-Q3</v>
      </c>
      <c r="B884">
        <f>CALCULOS_AGENCIA!$A884</f>
        <v>51014251</v>
      </c>
      <c r="C884">
        <f>CALCULOS_AGENCIA!$U884</f>
        <v>32.687512304912659</v>
      </c>
      <c r="D884" t="str">
        <f>CALCULOS_AGENCIA!$V884</f>
        <v>PLATA</v>
      </c>
      <c r="E884">
        <f>CALCULOS_AGENCIA!$AA884</f>
        <v>826</v>
      </c>
      <c r="F884" s="3">
        <f t="shared" ca="1" si="13"/>
        <v>46087</v>
      </c>
    </row>
    <row r="885" spans="1:6" x14ac:dyDescent="0.3">
      <c r="A885" t="str">
        <f>PARAMS_MODELO!$B$3</f>
        <v>2025-Q3</v>
      </c>
      <c r="B885">
        <f>CALCULOS_AGENCIA!$A885</f>
        <v>51042999</v>
      </c>
      <c r="C885">
        <f>CALCULOS_AGENCIA!$U885</f>
        <v>33.041377981196533</v>
      </c>
      <c r="D885" t="str">
        <f>CALCULOS_AGENCIA!$V885</f>
        <v>PLATA</v>
      </c>
      <c r="E885">
        <f>CALCULOS_AGENCIA!$AA885</f>
        <v>824</v>
      </c>
      <c r="F885" s="3">
        <f t="shared" ca="1" si="13"/>
        <v>46087</v>
      </c>
    </row>
    <row r="886" spans="1:6" x14ac:dyDescent="0.3">
      <c r="A886" t="str">
        <f>PARAMS_MODELO!$B$3</f>
        <v>2025-Q3</v>
      </c>
      <c r="B886">
        <f>CALCULOS_AGENCIA!$A886</f>
        <v>51041712</v>
      </c>
      <c r="C886">
        <f>CALCULOS_AGENCIA!$U886</f>
        <v>69.869555151040245</v>
      </c>
      <c r="D886" t="str">
        <f>CALCULOS_AGENCIA!$V886</f>
        <v>ORO</v>
      </c>
      <c r="E886">
        <f>CALCULOS_AGENCIA!$AA886</f>
        <v>512</v>
      </c>
      <c r="F886" s="3">
        <f t="shared" ca="1" si="13"/>
        <v>46087</v>
      </c>
    </row>
    <row r="887" spans="1:6" x14ac:dyDescent="0.3">
      <c r="A887" t="str">
        <f>PARAMS_MODELO!$B$3</f>
        <v>2025-Q3</v>
      </c>
      <c r="B887">
        <f>CALCULOS_AGENCIA!$A887</f>
        <v>51023293</v>
      </c>
      <c r="C887">
        <f>CALCULOS_AGENCIA!$U887</f>
        <v>25.567462289703322</v>
      </c>
      <c r="D887" t="str">
        <f>CALCULOS_AGENCIA!$V887</f>
        <v>PLATA</v>
      </c>
      <c r="E887">
        <f>CALCULOS_AGENCIA!$AA887</f>
        <v>910</v>
      </c>
      <c r="F887" s="3">
        <f t="shared" ca="1" si="13"/>
        <v>46087</v>
      </c>
    </row>
    <row r="888" spans="1:6" x14ac:dyDescent="0.3">
      <c r="A888" t="str">
        <f>PARAMS_MODELO!$B$3</f>
        <v>2025-Q3</v>
      </c>
      <c r="B888">
        <f>CALCULOS_AGENCIA!$A888</f>
        <v>51033507</v>
      </c>
      <c r="C888">
        <f>CALCULOS_AGENCIA!$U888</f>
        <v>18.607071496546485</v>
      </c>
      <c r="D888" t="str">
        <f>CALCULOS_AGENCIA!$V888</f>
        <v>BRONCE</v>
      </c>
      <c r="E888">
        <f>CALCULOS_AGENCIA!$AA888</f>
        <v>1015</v>
      </c>
      <c r="F888" s="3">
        <f t="shared" ca="1" si="13"/>
        <v>46087</v>
      </c>
    </row>
    <row r="889" spans="1:6" x14ac:dyDescent="0.3">
      <c r="A889" t="str">
        <f>PARAMS_MODELO!$B$3</f>
        <v>2025-Q3</v>
      </c>
      <c r="B889">
        <f>CALCULOS_AGENCIA!$A889</f>
        <v>51013875</v>
      </c>
      <c r="C889">
        <f>CALCULOS_AGENCIA!$U889</f>
        <v>84.192090723525411</v>
      </c>
      <c r="D889" t="str">
        <f>CALCULOS_AGENCIA!$V889</f>
        <v>ORO</v>
      </c>
      <c r="E889">
        <f>CALCULOS_AGENCIA!$AA889</f>
        <v>312</v>
      </c>
      <c r="F889" s="3">
        <f t="shared" ca="1" si="13"/>
        <v>46087</v>
      </c>
    </row>
    <row r="890" spans="1:6" x14ac:dyDescent="0.3">
      <c r="A890" t="str">
        <f>PARAMS_MODELO!$B$3</f>
        <v>2025-Q3</v>
      </c>
      <c r="B890">
        <f>CALCULOS_AGENCIA!$A890</f>
        <v>51013395</v>
      </c>
      <c r="C890">
        <f>CALCULOS_AGENCIA!$U890</f>
        <v>23.370504635466709</v>
      </c>
      <c r="D890" t="str">
        <f>CALCULOS_AGENCIA!$V890</f>
        <v>BRONCE</v>
      </c>
      <c r="E890">
        <f>CALCULOS_AGENCIA!$AA890</f>
        <v>928</v>
      </c>
      <c r="F890" s="3">
        <f t="shared" ca="1" si="13"/>
        <v>46087</v>
      </c>
    </row>
    <row r="891" spans="1:6" x14ac:dyDescent="0.3">
      <c r="A891" t="str">
        <f>PARAMS_MODELO!$B$3</f>
        <v>2025-Q3</v>
      </c>
      <c r="B891">
        <f>CALCULOS_AGENCIA!$A891</f>
        <v>51056108</v>
      </c>
      <c r="C891">
        <f>CALCULOS_AGENCIA!$U891</f>
        <v>75.409214665753908</v>
      </c>
      <c r="D891" t="str">
        <f>CALCULOS_AGENCIA!$V891</f>
        <v>ORO</v>
      </c>
      <c r="E891">
        <f>CALCULOS_AGENCIA!$AA891</f>
        <v>472</v>
      </c>
      <c r="F891" s="3">
        <f t="shared" ca="1" si="13"/>
        <v>46087</v>
      </c>
    </row>
    <row r="892" spans="1:6" x14ac:dyDescent="0.3">
      <c r="A892" t="str">
        <f>PARAMS_MODELO!$B$3</f>
        <v>2025-Q3</v>
      </c>
      <c r="B892">
        <f>CALCULOS_AGENCIA!$A892</f>
        <v>51055837</v>
      </c>
      <c r="C892">
        <f>CALCULOS_AGENCIA!$U892</f>
        <v>20.815945332492145</v>
      </c>
      <c r="D892" t="str">
        <f>CALCULOS_AGENCIA!$V892</f>
        <v>BRONCE</v>
      </c>
      <c r="E892">
        <f>CALCULOS_AGENCIA!$AA892</f>
        <v>966</v>
      </c>
      <c r="F892" s="3">
        <f t="shared" ca="1" si="13"/>
        <v>46087</v>
      </c>
    </row>
    <row r="893" spans="1:6" x14ac:dyDescent="0.3">
      <c r="A893" t="str">
        <f>PARAMS_MODELO!$B$3</f>
        <v>2025-Q3</v>
      </c>
      <c r="B893">
        <f>CALCULOS_AGENCIA!$A893</f>
        <v>51056248</v>
      </c>
      <c r="C893">
        <f>CALCULOS_AGENCIA!$U893</f>
        <v>32.473556479389039</v>
      </c>
      <c r="D893" t="str">
        <f>CALCULOS_AGENCIA!$V893</f>
        <v>PLATA</v>
      </c>
      <c r="E893">
        <f>CALCULOS_AGENCIA!$AA893</f>
        <v>830</v>
      </c>
      <c r="F893" s="3">
        <f t="shared" ca="1" si="13"/>
        <v>46087</v>
      </c>
    </row>
    <row r="894" spans="1:6" x14ac:dyDescent="0.3">
      <c r="A894" t="str">
        <f>PARAMS_MODELO!$B$3</f>
        <v>2025-Q3</v>
      </c>
      <c r="B894">
        <f>CALCULOS_AGENCIA!$A894</f>
        <v>51025245</v>
      </c>
      <c r="C894">
        <f>CALCULOS_AGENCIA!$U894</f>
        <v>82.187267507888521</v>
      </c>
      <c r="D894" t="str">
        <f>CALCULOS_AGENCIA!$V894</f>
        <v>ORO</v>
      </c>
      <c r="E894">
        <f>CALCULOS_AGENCIA!$AA894</f>
        <v>383</v>
      </c>
      <c r="F894" s="3">
        <f t="shared" ca="1" si="13"/>
        <v>46087</v>
      </c>
    </row>
    <row r="895" spans="1:6" x14ac:dyDescent="0.3">
      <c r="A895" t="str">
        <f>PARAMS_MODELO!$B$3</f>
        <v>2025-Q3</v>
      </c>
      <c r="B895">
        <f>CALCULOS_AGENCIA!$A895</f>
        <v>51016360</v>
      </c>
      <c r="C895">
        <f>CALCULOS_AGENCIA!$U895</f>
        <v>92.909522549818504</v>
      </c>
      <c r="D895" t="str">
        <f>CALCULOS_AGENCIA!$V895</f>
        <v>PLATINO</v>
      </c>
      <c r="E895">
        <f>CALCULOS_AGENCIA!$AA895</f>
        <v>91</v>
      </c>
      <c r="F895" s="3">
        <f t="shared" ca="1" si="13"/>
        <v>46087</v>
      </c>
    </row>
    <row r="896" spans="1:6" x14ac:dyDescent="0.3">
      <c r="A896" t="str">
        <f>PARAMS_MODELO!$B$3</f>
        <v>2025-Q3</v>
      </c>
      <c r="B896">
        <f>CALCULOS_AGENCIA!$A896</f>
        <v>51040881</v>
      </c>
      <c r="C896">
        <f>CALCULOS_AGENCIA!$U896</f>
        <v>31.196207088473571</v>
      </c>
      <c r="D896" t="str">
        <f>CALCULOS_AGENCIA!$V896</f>
        <v>PLATA</v>
      </c>
      <c r="E896">
        <f>CALCULOS_AGENCIA!$AA896</f>
        <v>843</v>
      </c>
      <c r="F896" s="3">
        <f t="shared" ca="1" si="13"/>
        <v>46087</v>
      </c>
    </row>
    <row r="897" spans="1:6" x14ac:dyDescent="0.3">
      <c r="A897" t="str">
        <f>PARAMS_MODELO!$B$3</f>
        <v>2025-Q3</v>
      </c>
      <c r="B897">
        <f>CALCULOS_AGENCIA!$A897</f>
        <v>51031776</v>
      </c>
      <c r="C897">
        <f>CALCULOS_AGENCIA!$U897</f>
        <v>63.145462301270967</v>
      </c>
      <c r="D897" t="str">
        <f>CALCULOS_AGENCIA!$V897</f>
        <v>PLATA</v>
      </c>
      <c r="E897">
        <f>CALCULOS_AGENCIA!$AA897</f>
        <v>556</v>
      </c>
      <c r="F897" s="3">
        <f t="shared" ca="1" si="13"/>
        <v>46087</v>
      </c>
    </row>
    <row r="898" spans="1:6" x14ac:dyDescent="0.3">
      <c r="A898" t="str">
        <f>PARAMS_MODELO!$B$3</f>
        <v>2025-Q3</v>
      </c>
      <c r="B898">
        <f>CALCULOS_AGENCIA!$A898</f>
        <v>51013166</v>
      </c>
      <c r="C898">
        <f>CALCULOS_AGENCIA!$U898</f>
        <v>69.439563725266083</v>
      </c>
      <c r="D898" t="str">
        <f>CALCULOS_AGENCIA!$V898</f>
        <v>ORO</v>
      </c>
      <c r="E898">
        <f>CALCULOS_AGENCIA!$AA898</f>
        <v>517</v>
      </c>
      <c r="F898" s="3">
        <f t="shared" ref="F898:F961" ca="1" si="14">TODAY()</f>
        <v>46087</v>
      </c>
    </row>
    <row r="899" spans="1:6" x14ac:dyDescent="0.3">
      <c r="A899" t="str">
        <f>PARAMS_MODELO!$B$3</f>
        <v>2025-Q3</v>
      </c>
      <c r="B899">
        <f>CALCULOS_AGENCIA!$A899</f>
        <v>51032918</v>
      </c>
      <c r="C899">
        <f>CALCULOS_AGENCIA!$U899</f>
        <v>18.587078397547895</v>
      </c>
      <c r="D899" t="str">
        <f>CALCULOS_AGENCIA!$V899</f>
        <v>BRONCE</v>
      </c>
      <c r="E899">
        <f>CALCULOS_AGENCIA!$AA899</f>
        <v>1017</v>
      </c>
      <c r="F899" s="3">
        <f t="shared" ca="1" si="14"/>
        <v>46087</v>
      </c>
    </row>
    <row r="900" spans="1:6" x14ac:dyDescent="0.3">
      <c r="A900" t="str">
        <f>PARAMS_MODELO!$B$3</f>
        <v>2025-Q3</v>
      </c>
      <c r="B900">
        <f>CALCULOS_AGENCIA!$A900</f>
        <v>51025717</v>
      </c>
      <c r="C900">
        <f>CALCULOS_AGENCIA!$U900</f>
        <v>32.572351663370853</v>
      </c>
      <c r="D900" t="str">
        <f>CALCULOS_AGENCIA!$V900</f>
        <v>PLATA</v>
      </c>
      <c r="E900">
        <f>CALCULOS_AGENCIA!$AA900</f>
        <v>827</v>
      </c>
      <c r="F900" s="3">
        <f t="shared" ca="1" si="14"/>
        <v>46087</v>
      </c>
    </row>
    <row r="901" spans="1:6" x14ac:dyDescent="0.3">
      <c r="A901" t="str">
        <f>PARAMS_MODELO!$B$3</f>
        <v>2025-Q3</v>
      </c>
      <c r="B901">
        <f>CALCULOS_AGENCIA!$A901</f>
        <v>51033001</v>
      </c>
      <c r="C901">
        <f>CALCULOS_AGENCIA!$U901</f>
        <v>80.086096937197169</v>
      </c>
      <c r="D901" t="str">
        <f>CALCULOS_AGENCIA!$V901</f>
        <v>ORO</v>
      </c>
      <c r="E901">
        <f>CALCULOS_AGENCIA!$AA901</f>
        <v>437</v>
      </c>
      <c r="F901" s="3">
        <f t="shared" ca="1" si="14"/>
        <v>46087</v>
      </c>
    </row>
    <row r="902" spans="1:6" x14ac:dyDescent="0.3">
      <c r="A902" t="str">
        <f>PARAMS_MODELO!$B$3</f>
        <v>2025-Q3</v>
      </c>
      <c r="B902">
        <f>CALCULOS_AGENCIA!$A902</f>
        <v>51012674</v>
      </c>
      <c r="C902">
        <f>CALCULOS_AGENCIA!$U902</f>
        <v>82.408796466516364</v>
      </c>
      <c r="D902" t="str">
        <f>CALCULOS_AGENCIA!$V902</f>
        <v>ORO</v>
      </c>
      <c r="E902">
        <f>CALCULOS_AGENCIA!$AA902</f>
        <v>378</v>
      </c>
      <c r="F902" s="3">
        <f t="shared" ca="1" si="14"/>
        <v>46087</v>
      </c>
    </row>
    <row r="903" spans="1:6" x14ac:dyDescent="0.3">
      <c r="A903" t="str">
        <f>PARAMS_MODELO!$B$3</f>
        <v>2025-Q3</v>
      </c>
      <c r="B903">
        <f>CALCULOS_AGENCIA!$A903</f>
        <v>51007743</v>
      </c>
      <c r="C903">
        <f>CALCULOS_AGENCIA!$U903</f>
        <v>89.39295040932258</v>
      </c>
      <c r="D903" t="str">
        <f>CALCULOS_AGENCIA!$V903</f>
        <v>PLATINO</v>
      </c>
      <c r="E903">
        <f>CALCULOS_AGENCIA!$AA903</f>
        <v>153</v>
      </c>
      <c r="F903" s="3">
        <f t="shared" ca="1" si="14"/>
        <v>46087</v>
      </c>
    </row>
    <row r="904" spans="1:6" x14ac:dyDescent="0.3">
      <c r="A904" t="str">
        <f>PARAMS_MODELO!$B$3</f>
        <v>2025-Q3</v>
      </c>
      <c r="B904">
        <f>CALCULOS_AGENCIA!$A904</f>
        <v>51032705</v>
      </c>
      <c r="C904">
        <f>CALCULOS_AGENCIA!$U904</f>
        <v>17.04086019373646</v>
      </c>
      <c r="D904" t="str">
        <f>CALCULOS_AGENCIA!$V904</f>
        <v>BRONCE</v>
      </c>
      <c r="E904">
        <f>CALCULOS_AGENCIA!$AA904</f>
        <v>1051</v>
      </c>
      <c r="F904" s="3">
        <f t="shared" ca="1" si="14"/>
        <v>46087</v>
      </c>
    </row>
    <row r="905" spans="1:6" x14ac:dyDescent="0.3">
      <c r="A905" t="str">
        <f>PARAMS_MODELO!$B$3</f>
        <v>2025-Q3</v>
      </c>
      <c r="B905">
        <f>CALCULOS_AGENCIA!$A905</f>
        <v>51041887</v>
      </c>
      <c r="C905">
        <f>CALCULOS_AGENCIA!$U905</f>
        <v>71.295350876062301</v>
      </c>
      <c r="D905" t="str">
        <f>CALCULOS_AGENCIA!$V905</f>
        <v>ORO</v>
      </c>
      <c r="E905">
        <f>CALCULOS_AGENCIA!$AA905</f>
        <v>505</v>
      </c>
      <c r="F905" s="3">
        <f t="shared" ca="1" si="14"/>
        <v>46087</v>
      </c>
    </row>
    <row r="906" spans="1:6" x14ac:dyDescent="0.3">
      <c r="A906" t="str">
        <f>PARAMS_MODELO!$B$3</f>
        <v>2025-Q3</v>
      </c>
      <c r="B906">
        <f>CALCULOS_AGENCIA!$A906</f>
        <v>51030826</v>
      </c>
      <c r="C906">
        <f>CALCULOS_AGENCIA!$U906</f>
        <v>80.633796880080141</v>
      </c>
      <c r="D906" t="str">
        <f>CALCULOS_AGENCIA!$V906</f>
        <v>ORO</v>
      </c>
      <c r="E906">
        <f>CALCULOS_AGENCIA!$AA906</f>
        <v>425</v>
      </c>
      <c r="F906" s="3">
        <f t="shared" ca="1" si="14"/>
        <v>46087</v>
      </c>
    </row>
    <row r="907" spans="1:6" x14ac:dyDescent="0.3">
      <c r="A907" t="str">
        <f>PARAMS_MODELO!$B$3</f>
        <v>2025-Q3</v>
      </c>
      <c r="B907">
        <f>CALCULOS_AGENCIA!$A907</f>
        <v>51011007</v>
      </c>
      <c r="C907">
        <f>CALCULOS_AGENCIA!$U907</f>
        <v>67.597258702876132</v>
      </c>
      <c r="D907" t="str">
        <f>CALCULOS_AGENCIA!$V907</f>
        <v>ORO</v>
      </c>
      <c r="E907">
        <f>CALCULOS_AGENCIA!$AA907</f>
        <v>535</v>
      </c>
      <c r="F907" s="3">
        <f t="shared" ca="1" si="14"/>
        <v>46087</v>
      </c>
    </row>
    <row r="908" spans="1:6" x14ac:dyDescent="0.3">
      <c r="A908" t="str">
        <f>PARAMS_MODELO!$B$3</f>
        <v>2025-Q3</v>
      </c>
      <c r="B908">
        <f>CALCULOS_AGENCIA!$A908</f>
        <v>51007514</v>
      </c>
      <c r="C908">
        <f>CALCULOS_AGENCIA!$U908</f>
        <v>26.362130253425615</v>
      </c>
      <c r="D908" t="str">
        <f>CALCULOS_AGENCIA!$V908</f>
        <v>PLATA</v>
      </c>
      <c r="E908">
        <f>CALCULOS_AGENCIA!$AA908</f>
        <v>905</v>
      </c>
      <c r="F908" s="3">
        <f t="shared" ca="1" si="14"/>
        <v>46087</v>
      </c>
    </row>
    <row r="909" spans="1:6" x14ac:dyDescent="0.3">
      <c r="A909" t="str">
        <f>PARAMS_MODELO!$B$3</f>
        <v>2025-Q3</v>
      </c>
      <c r="B909">
        <f>CALCULOS_AGENCIA!$A909</f>
        <v>51024281</v>
      </c>
      <c r="C909">
        <f>CALCULOS_AGENCIA!$U909</f>
        <v>17.41333942201193</v>
      </c>
      <c r="D909" t="str">
        <f>CALCULOS_AGENCIA!$V909</f>
        <v>BRONCE</v>
      </c>
      <c r="E909">
        <f>CALCULOS_AGENCIA!$AA909</f>
        <v>1041</v>
      </c>
      <c r="F909" s="3">
        <f t="shared" ca="1" si="14"/>
        <v>46087</v>
      </c>
    </row>
    <row r="910" spans="1:6" x14ac:dyDescent="0.3">
      <c r="A910" t="str">
        <f>PARAMS_MODELO!$B$3</f>
        <v>2025-Q3</v>
      </c>
      <c r="B910">
        <f>CALCULOS_AGENCIA!$A910</f>
        <v>51020961</v>
      </c>
      <c r="C910">
        <f>CALCULOS_AGENCIA!$U910</f>
        <v>71.325061651872957</v>
      </c>
      <c r="D910" t="str">
        <f>CALCULOS_AGENCIA!$V910</f>
        <v>ORO</v>
      </c>
      <c r="E910">
        <f>CALCULOS_AGENCIA!$AA910</f>
        <v>504</v>
      </c>
      <c r="F910" s="3">
        <f t="shared" ca="1" si="14"/>
        <v>46087</v>
      </c>
    </row>
    <row r="911" spans="1:6" x14ac:dyDescent="0.3">
      <c r="A911" t="str">
        <f>PARAMS_MODELO!$B$3</f>
        <v>2025-Q3</v>
      </c>
      <c r="B911">
        <f>CALCULOS_AGENCIA!$A911</f>
        <v>51022718</v>
      </c>
      <c r="C911">
        <f>CALCULOS_AGENCIA!$U911</f>
        <v>85.48441572152862</v>
      </c>
      <c r="D911" t="str">
        <f>CALCULOS_AGENCIA!$V911</f>
        <v>ORO</v>
      </c>
      <c r="E911">
        <f>CALCULOS_AGENCIA!$AA911</f>
        <v>268</v>
      </c>
      <c r="F911" s="3">
        <f t="shared" ca="1" si="14"/>
        <v>46087</v>
      </c>
    </row>
    <row r="912" spans="1:6" x14ac:dyDescent="0.3">
      <c r="A912" t="str">
        <f>PARAMS_MODELO!$B$3</f>
        <v>2025-Q3</v>
      </c>
      <c r="B912">
        <f>CALCULOS_AGENCIA!$A912</f>
        <v>51039815</v>
      </c>
      <c r="C912">
        <f>CALCULOS_AGENCIA!$U912</f>
        <v>30.852880085646621</v>
      </c>
      <c r="D912" t="str">
        <f>CALCULOS_AGENCIA!$V912</f>
        <v>PLATA</v>
      </c>
      <c r="E912">
        <f>CALCULOS_AGENCIA!$AA912</f>
        <v>847</v>
      </c>
      <c r="F912" s="3">
        <f t="shared" ca="1" si="14"/>
        <v>46087</v>
      </c>
    </row>
    <row r="913" spans="1:6" x14ac:dyDescent="0.3">
      <c r="A913" t="str">
        <f>PARAMS_MODELO!$B$3</f>
        <v>2025-Q3</v>
      </c>
      <c r="B913">
        <f>CALCULOS_AGENCIA!$A913</f>
        <v>51023277</v>
      </c>
      <c r="C913">
        <f>CALCULOS_AGENCIA!$U913</f>
        <v>29.279118838158386</v>
      </c>
      <c r="D913" t="str">
        <f>CALCULOS_AGENCIA!$V913</f>
        <v>PLATA</v>
      </c>
      <c r="E913">
        <f>CALCULOS_AGENCIA!$AA913</f>
        <v>875</v>
      </c>
      <c r="F913" s="3">
        <f t="shared" ca="1" si="14"/>
        <v>46087</v>
      </c>
    </row>
    <row r="914" spans="1:6" x14ac:dyDescent="0.3">
      <c r="A914" t="str">
        <f>PARAMS_MODELO!$B$3</f>
        <v>2025-Q3</v>
      </c>
      <c r="B914">
        <f>CALCULOS_AGENCIA!$A914</f>
        <v>51056353</v>
      </c>
      <c r="C914">
        <f>CALCULOS_AGENCIA!$U914</f>
        <v>86.801717125688356</v>
      </c>
      <c r="D914" t="str">
        <f>CALCULOS_AGENCIA!$V914</f>
        <v>PLATINO</v>
      </c>
      <c r="E914">
        <f>CALCULOS_AGENCIA!$AA914</f>
        <v>230</v>
      </c>
      <c r="F914" s="3">
        <f t="shared" ca="1" si="14"/>
        <v>46087</v>
      </c>
    </row>
    <row r="915" spans="1:6" x14ac:dyDescent="0.3">
      <c r="A915" t="str">
        <f>PARAMS_MODELO!$B$3</f>
        <v>2025-Q3</v>
      </c>
      <c r="B915">
        <f>CALCULOS_AGENCIA!$A915</f>
        <v>51001419</v>
      </c>
      <c r="C915">
        <f>CALCULOS_AGENCIA!$U915</f>
        <v>55.872864808740417</v>
      </c>
      <c r="D915" t="str">
        <f>CALCULOS_AGENCIA!$V915</f>
        <v>PLATA</v>
      </c>
      <c r="E915">
        <f>CALCULOS_AGENCIA!$AA915</f>
        <v>705</v>
      </c>
      <c r="F915" s="3">
        <f t="shared" ca="1" si="14"/>
        <v>46087</v>
      </c>
    </row>
    <row r="916" spans="1:6" x14ac:dyDescent="0.3">
      <c r="A916" t="str">
        <f>PARAMS_MODELO!$B$3</f>
        <v>2025-Q3</v>
      </c>
      <c r="B916">
        <f>CALCULOS_AGENCIA!$A916</f>
        <v>51018001</v>
      </c>
      <c r="C916">
        <f>CALCULOS_AGENCIA!$U916</f>
        <v>21.491227864661965</v>
      </c>
      <c r="D916" t="str">
        <f>CALCULOS_AGENCIA!$V916</f>
        <v>BRONCE</v>
      </c>
      <c r="E916">
        <f>CALCULOS_AGENCIA!$AA916</f>
        <v>956</v>
      </c>
      <c r="F916" s="3">
        <f t="shared" ca="1" si="14"/>
        <v>46087</v>
      </c>
    </row>
    <row r="917" spans="1:6" x14ac:dyDescent="0.3">
      <c r="A917" t="str">
        <f>PARAMS_MODELO!$B$3</f>
        <v>2025-Q3</v>
      </c>
      <c r="B917">
        <f>CALCULOS_AGENCIA!$A917</f>
        <v>51020707</v>
      </c>
      <c r="C917">
        <f>CALCULOS_AGENCIA!$U917</f>
        <v>87.88782868259139</v>
      </c>
      <c r="D917" t="str">
        <f>CALCULOS_AGENCIA!$V917</f>
        <v>PLATINO</v>
      </c>
      <c r="E917">
        <f>CALCULOS_AGENCIA!$AA917</f>
        <v>203</v>
      </c>
      <c r="F917" s="3">
        <f t="shared" ca="1" si="14"/>
        <v>46087</v>
      </c>
    </row>
    <row r="918" spans="1:6" x14ac:dyDescent="0.3">
      <c r="A918" t="str">
        <f>PARAMS_MODELO!$B$3</f>
        <v>2025-Q3</v>
      </c>
      <c r="B918">
        <f>CALCULOS_AGENCIA!$A918</f>
        <v>51018923</v>
      </c>
      <c r="C918">
        <f>CALCULOS_AGENCIA!$U918</f>
        <v>81.119980462944724</v>
      </c>
      <c r="D918" t="str">
        <f>CALCULOS_AGENCIA!$V918</f>
        <v>ORO</v>
      </c>
      <c r="E918">
        <f>CALCULOS_AGENCIA!$AA918</f>
        <v>409</v>
      </c>
      <c r="F918" s="3">
        <f t="shared" ca="1" si="14"/>
        <v>46087</v>
      </c>
    </row>
    <row r="919" spans="1:6" x14ac:dyDescent="0.3">
      <c r="A919" t="str">
        <f>PARAMS_MODELO!$B$3</f>
        <v>2025-Q3</v>
      </c>
      <c r="B919">
        <f>CALCULOS_AGENCIA!$A919</f>
        <v>51012721</v>
      </c>
      <c r="C919">
        <f>CALCULOS_AGENCIA!$U919</f>
        <v>22.867029316364142</v>
      </c>
      <c r="D919" t="str">
        <f>CALCULOS_AGENCIA!$V919</f>
        <v>BRONCE</v>
      </c>
      <c r="E919">
        <f>CALCULOS_AGENCIA!$AA919</f>
        <v>936</v>
      </c>
      <c r="F919" s="3">
        <f t="shared" ca="1" si="14"/>
        <v>46087</v>
      </c>
    </row>
    <row r="920" spans="1:6" x14ac:dyDescent="0.3">
      <c r="A920" t="str">
        <f>PARAMS_MODELO!$B$3</f>
        <v>2025-Q3</v>
      </c>
      <c r="B920">
        <f>CALCULOS_AGENCIA!$A920</f>
        <v>51020634</v>
      </c>
      <c r="C920">
        <f>CALCULOS_AGENCIA!$U920</f>
        <v>32.882371170536757</v>
      </c>
      <c r="D920" t="str">
        <f>CALCULOS_AGENCIA!$V920</f>
        <v>PLATA</v>
      </c>
      <c r="E920">
        <f>CALCULOS_AGENCIA!$AA920</f>
        <v>825</v>
      </c>
      <c r="F920" s="3">
        <f t="shared" ca="1" si="14"/>
        <v>46087</v>
      </c>
    </row>
    <row r="921" spans="1:6" x14ac:dyDescent="0.3">
      <c r="A921" t="str">
        <f>PARAMS_MODELO!$B$3</f>
        <v>2025-Q3</v>
      </c>
      <c r="B921">
        <f>CALCULOS_AGENCIA!$A921</f>
        <v>51056507</v>
      </c>
      <c r="C921">
        <f>CALCULOS_AGENCIA!$U921</f>
        <v>60.628089252305138</v>
      </c>
      <c r="D921" t="str">
        <f>CALCULOS_AGENCIA!$V921</f>
        <v>PLATA</v>
      </c>
      <c r="E921">
        <f>CALCULOS_AGENCIA!$AA921</f>
        <v>605</v>
      </c>
      <c r="F921" s="3">
        <f t="shared" ca="1" si="14"/>
        <v>46087</v>
      </c>
    </row>
    <row r="922" spans="1:6" x14ac:dyDescent="0.3">
      <c r="A922" t="str">
        <f>PARAMS_MODELO!$B$3</f>
        <v>2025-Q3</v>
      </c>
      <c r="B922">
        <f>CALCULOS_AGENCIA!$A922</f>
        <v>51002105</v>
      </c>
      <c r="C922">
        <f>CALCULOS_AGENCIA!$U922</f>
        <v>46.653847678930191</v>
      </c>
      <c r="D922" t="str">
        <f>CALCULOS_AGENCIA!$V922</f>
        <v>PLATA</v>
      </c>
      <c r="E922">
        <f>CALCULOS_AGENCIA!$AA922</f>
        <v>762</v>
      </c>
      <c r="F922" s="3">
        <f t="shared" ca="1" si="14"/>
        <v>46087</v>
      </c>
    </row>
    <row r="923" spans="1:6" x14ac:dyDescent="0.3">
      <c r="A923" t="str">
        <f>PARAMS_MODELO!$B$3</f>
        <v>2025-Q3</v>
      </c>
      <c r="B923">
        <f>CALCULOS_AGENCIA!$A923</f>
        <v>51055136</v>
      </c>
      <c r="C923">
        <f>CALCULOS_AGENCIA!$U923</f>
        <v>93.502076056011973</v>
      </c>
      <c r="D923" t="str">
        <f>CALCULOS_AGENCIA!$V923</f>
        <v>PLATINO</v>
      </c>
      <c r="E923">
        <f>CALCULOS_AGENCIA!$AA923</f>
        <v>84</v>
      </c>
      <c r="F923" s="3">
        <f t="shared" ca="1" si="14"/>
        <v>46087</v>
      </c>
    </row>
    <row r="924" spans="1:6" x14ac:dyDescent="0.3">
      <c r="A924" t="str">
        <f>PARAMS_MODELO!$B$3</f>
        <v>2025-Q3</v>
      </c>
      <c r="B924">
        <f>CALCULOS_AGENCIA!$A924</f>
        <v>51008685</v>
      </c>
      <c r="C924">
        <f>CALCULOS_AGENCIA!$U924</f>
        <v>80.122216531175908</v>
      </c>
      <c r="D924" t="str">
        <f>CALCULOS_AGENCIA!$V924</f>
        <v>ORO</v>
      </c>
      <c r="E924">
        <f>CALCULOS_AGENCIA!$AA924</f>
        <v>436</v>
      </c>
      <c r="F924" s="3">
        <f t="shared" ca="1" si="14"/>
        <v>46087</v>
      </c>
    </row>
    <row r="925" spans="1:6" x14ac:dyDescent="0.3">
      <c r="A925" t="str">
        <f>PARAMS_MODELO!$B$3</f>
        <v>2025-Q3</v>
      </c>
      <c r="B925">
        <f>CALCULOS_AGENCIA!$A925</f>
        <v>51055306</v>
      </c>
      <c r="C925">
        <f>CALCULOS_AGENCIA!$U925</f>
        <v>33.158817861780292</v>
      </c>
      <c r="D925" t="str">
        <f>CALCULOS_AGENCIA!$V925</f>
        <v>PLATA</v>
      </c>
      <c r="E925">
        <f>CALCULOS_AGENCIA!$AA925</f>
        <v>821</v>
      </c>
      <c r="F925" s="3">
        <f t="shared" ca="1" si="14"/>
        <v>46087</v>
      </c>
    </row>
    <row r="926" spans="1:6" x14ac:dyDescent="0.3">
      <c r="A926" t="str">
        <f>PARAMS_MODELO!$B$3</f>
        <v>2025-Q3</v>
      </c>
      <c r="B926">
        <f>CALCULOS_AGENCIA!$A926</f>
        <v>51024036</v>
      </c>
      <c r="C926">
        <f>CALCULOS_AGENCIA!$U926</f>
        <v>83.367416331353596</v>
      </c>
      <c r="D926" t="str">
        <f>CALCULOS_AGENCIA!$V926</f>
        <v>ORO</v>
      </c>
      <c r="E926">
        <f>CALCULOS_AGENCIA!$AA926</f>
        <v>336</v>
      </c>
      <c r="F926" s="3">
        <f t="shared" ca="1" si="14"/>
        <v>46087</v>
      </c>
    </row>
    <row r="927" spans="1:6" x14ac:dyDescent="0.3">
      <c r="A927" t="str">
        <f>PARAMS_MODELO!$B$3</f>
        <v>2025-Q3</v>
      </c>
      <c r="B927">
        <f>CALCULOS_AGENCIA!$A927</f>
        <v>51011597</v>
      </c>
      <c r="C927">
        <f>CALCULOS_AGENCIA!$U927</f>
        <v>60.767619703276758</v>
      </c>
      <c r="D927" t="str">
        <f>CALCULOS_AGENCIA!$V927</f>
        <v>PLATA</v>
      </c>
      <c r="E927">
        <f>CALCULOS_AGENCIA!$AA927</f>
        <v>603</v>
      </c>
      <c r="F927" s="3">
        <f t="shared" ca="1" si="14"/>
        <v>46087</v>
      </c>
    </row>
    <row r="928" spans="1:6" x14ac:dyDescent="0.3">
      <c r="A928" t="str">
        <f>PARAMS_MODELO!$B$3</f>
        <v>2025-Q3</v>
      </c>
      <c r="B928">
        <f>CALCULOS_AGENCIA!$A928</f>
        <v>51043260</v>
      </c>
      <c r="C928">
        <f>CALCULOS_AGENCIA!$U928</f>
        <v>79.732357748089157</v>
      </c>
      <c r="D928" t="str">
        <f>CALCULOS_AGENCIA!$V928</f>
        <v>ORO</v>
      </c>
      <c r="E928">
        <f>CALCULOS_AGENCIA!$AA928</f>
        <v>443</v>
      </c>
      <c r="F928" s="3">
        <f t="shared" ca="1" si="14"/>
        <v>46087</v>
      </c>
    </row>
    <row r="929" spans="1:6" x14ac:dyDescent="0.3">
      <c r="A929" t="str">
        <f>PARAMS_MODELO!$B$3</f>
        <v>2025-Q3</v>
      </c>
      <c r="B929">
        <f>CALCULOS_AGENCIA!$A929</f>
        <v>51004035</v>
      </c>
      <c r="C929">
        <f>CALCULOS_AGENCIA!$U929</f>
        <v>47.351963956317704</v>
      </c>
      <c r="D929" t="str">
        <f>CALCULOS_AGENCIA!$V929</f>
        <v>PLATA</v>
      </c>
      <c r="E929">
        <f>CALCULOS_AGENCIA!$AA929</f>
        <v>758</v>
      </c>
      <c r="F929" s="3">
        <f t="shared" ca="1" si="14"/>
        <v>46087</v>
      </c>
    </row>
    <row r="930" spans="1:6" x14ac:dyDescent="0.3">
      <c r="A930" t="str">
        <f>PARAMS_MODELO!$B$3</f>
        <v>2025-Q3</v>
      </c>
      <c r="B930">
        <f>CALCULOS_AGENCIA!$A930</f>
        <v>51043537</v>
      </c>
      <c r="C930">
        <f>CALCULOS_AGENCIA!$U930</f>
        <v>22.564885054572287</v>
      </c>
      <c r="D930" t="str">
        <f>CALCULOS_AGENCIA!$V930</f>
        <v>BRONCE</v>
      </c>
      <c r="E930">
        <f>CALCULOS_AGENCIA!$AA930</f>
        <v>942</v>
      </c>
      <c r="F930" s="3">
        <f t="shared" ca="1" si="14"/>
        <v>46087</v>
      </c>
    </row>
    <row r="931" spans="1:6" x14ac:dyDescent="0.3">
      <c r="A931" t="str">
        <f>PARAMS_MODELO!$B$3</f>
        <v>2025-Q3</v>
      </c>
      <c r="B931">
        <f>CALCULOS_AGENCIA!$A931</f>
        <v>51056752</v>
      </c>
      <c r="C931">
        <f>CALCULOS_AGENCIA!$U931</f>
        <v>58.035612373401143</v>
      </c>
      <c r="D931" t="str">
        <f>CALCULOS_AGENCIA!$V931</f>
        <v>PLATA</v>
      </c>
      <c r="E931">
        <f>CALCULOS_AGENCIA!$AA931</f>
        <v>660</v>
      </c>
      <c r="F931" s="3">
        <f t="shared" ca="1" si="14"/>
        <v>46087</v>
      </c>
    </row>
    <row r="932" spans="1:6" x14ac:dyDescent="0.3">
      <c r="A932" t="str">
        <f>PARAMS_MODELO!$B$3</f>
        <v>2025-Q3</v>
      </c>
      <c r="B932">
        <f>CALCULOS_AGENCIA!$A932</f>
        <v>51031857</v>
      </c>
      <c r="C932">
        <f>CALCULOS_AGENCIA!$U932</f>
        <v>25.070936812731262</v>
      </c>
      <c r="D932" t="str">
        <f>CALCULOS_AGENCIA!$V932</f>
        <v>PLATA</v>
      </c>
      <c r="E932">
        <f>CALCULOS_AGENCIA!$AA932</f>
        <v>915</v>
      </c>
      <c r="F932" s="3">
        <f t="shared" ca="1" si="14"/>
        <v>46087</v>
      </c>
    </row>
    <row r="933" spans="1:6" x14ac:dyDescent="0.3">
      <c r="A933" t="str">
        <f>PARAMS_MODELO!$B$3</f>
        <v>2025-Q3</v>
      </c>
      <c r="B933">
        <f>CALCULOS_AGENCIA!$A933</f>
        <v>51014138</v>
      </c>
      <c r="C933">
        <f>CALCULOS_AGENCIA!$U933</f>
        <v>36.391169771067688</v>
      </c>
      <c r="D933" t="str">
        <f>CALCULOS_AGENCIA!$V933</f>
        <v>PLATA</v>
      </c>
      <c r="E933">
        <f>CALCULOS_AGENCIA!$AA933</f>
        <v>802</v>
      </c>
      <c r="F933" s="3">
        <f t="shared" ca="1" si="14"/>
        <v>46087</v>
      </c>
    </row>
    <row r="934" spans="1:6" x14ac:dyDescent="0.3">
      <c r="A934" t="str">
        <f>PARAMS_MODELO!$B$3</f>
        <v>2025-Q3</v>
      </c>
      <c r="B934">
        <f>CALCULOS_AGENCIA!$A934</f>
        <v>51055578</v>
      </c>
      <c r="C934">
        <f>CALCULOS_AGENCIA!$U934</f>
        <v>42.449142161289878</v>
      </c>
      <c r="D934" t="str">
        <f>CALCULOS_AGENCIA!$V934</f>
        <v>PLATA</v>
      </c>
      <c r="E934">
        <f>CALCULOS_AGENCIA!$AA934</f>
        <v>780</v>
      </c>
      <c r="F934" s="3">
        <f t="shared" ca="1" si="14"/>
        <v>46087</v>
      </c>
    </row>
    <row r="935" spans="1:6" x14ac:dyDescent="0.3">
      <c r="A935" t="str">
        <f>PARAMS_MODELO!$B$3</f>
        <v>2025-Q3</v>
      </c>
      <c r="B935">
        <f>CALCULOS_AGENCIA!$A935</f>
        <v>51024028</v>
      </c>
      <c r="C935">
        <f>CALCULOS_AGENCIA!$U935</f>
        <v>28.540557468568686</v>
      </c>
      <c r="D935" t="str">
        <f>CALCULOS_AGENCIA!$V935</f>
        <v>PLATA</v>
      </c>
      <c r="E935">
        <f>CALCULOS_AGENCIA!$AA935</f>
        <v>882</v>
      </c>
      <c r="F935" s="3">
        <f t="shared" ca="1" si="14"/>
        <v>46087</v>
      </c>
    </row>
    <row r="936" spans="1:6" x14ac:dyDescent="0.3">
      <c r="A936" t="str">
        <f>PARAMS_MODELO!$B$3</f>
        <v>2025-Q3</v>
      </c>
      <c r="B936">
        <f>CALCULOS_AGENCIA!$A936</f>
        <v>51057031</v>
      </c>
      <c r="C936">
        <f>CALCULOS_AGENCIA!$U936</f>
        <v>62.180997802613795</v>
      </c>
      <c r="D936" t="str">
        <f>CALCULOS_AGENCIA!$V936</f>
        <v>PLATA</v>
      </c>
      <c r="E936">
        <f>CALCULOS_AGENCIA!$AA936</f>
        <v>575</v>
      </c>
      <c r="F936" s="3">
        <f t="shared" ca="1" si="14"/>
        <v>46087</v>
      </c>
    </row>
    <row r="937" spans="1:6" x14ac:dyDescent="0.3">
      <c r="A937" t="str">
        <f>PARAMS_MODELO!$B$3</f>
        <v>2025-Q3</v>
      </c>
      <c r="B937">
        <f>CALCULOS_AGENCIA!$A937</f>
        <v>51011929</v>
      </c>
      <c r="C937">
        <f>CALCULOS_AGENCIA!$U937</f>
        <v>26.598000000000003</v>
      </c>
      <c r="D937" t="str">
        <f>CALCULOS_AGENCIA!$V937</f>
        <v>PLATA</v>
      </c>
      <c r="E937">
        <f>CALCULOS_AGENCIA!$AA937</f>
        <v>902</v>
      </c>
      <c r="F937" s="3">
        <f t="shared" ca="1" si="14"/>
        <v>46087</v>
      </c>
    </row>
    <row r="938" spans="1:6" x14ac:dyDescent="0.3">
      <c r="A938" t="str">
        <f>PARAMS_MODELO!$B$3</f>
        <v>2025-Q3</v>
      </c>
      <c r="B938">
        <f>CALCULOS_AGENCIA!$A938</f>
        <v>51017773</v>
      </c>
      <c r="C938">
        <f>CALCULOS_AGENCIA!$U938</f>
        <v>73.108503213171886</v>
      </c>
      <c r="D938" t="str">
        <f>CALCULOS_AGENCIA!$V938</f>
        <v>ORO</v>
      </c>
      <c r="E938">
        <f>CALCULOS_AGENCIA!$AA938</f>
        <v>490</v>
      </c>
      <c r="F938" s="3">
        <f t="shared" ca="1" si="14"/>
        <v>46087</v>
      </c>
    </row>
    <row r="939" spans="1:6" x14ac:dyDescent="0.3">
      <c r="A939" t="str">
        <f>PARAMS_MODELO!$B$3</f>
        <v>2025-Q3</v>
      </c>
      <c r="B939">
        <f>CALCULOS_AGENCIA!$A939</f>
        <v>51003063</v>
      </c>
      <c r="C939">
        <f>CALCULOS_AGENCIA!$U939</f>
        <v>50.238109890397325</v>
      </c>
      <c r="D939" t="str">
        <f>CALCULOS_AGENCIA!$V939</f>
        <v>PLATA</v>
      </c>
      <c r="E939">
        <f>CALCULOS_AGENCIA!$AA939</f>
        <v>739</v>
      </c>
      <c r="F939" s="3">
        <f t="shared" ca="1" si="14"/>
        <v>46087</v>
      </c>
    </row>
    <row r="940" spans="1:6" x14ac:dyDescent="0.3">
      <c r="A940" t="str">
        <f>PARAMS_MODELO!$B$3</f>
        <v>2025-Q3</v>
      </c>
      <c r="B940">
        <f>CALCULOS_AGENCIA!$A940</f>
        <v>51022572</v>
      </c>
      <c r="C940">
        <f>CALCULOS_AGENCIA!$U940</f>
        <v>31</v>
      </c>
      <c r="D940" t="str">
        <f>CALCULOS_AGENCIA!$V940</f>
        <v>PLATA</v>
      </c>
      <c r="E940">
        <f>CALCULOS_AGENCIA!$AA940</f>
        <v>846</v>
      </c>
      <c r="F940" s="3">
        <f t="shared" ca="1" si="14"/>
        <v>46087</v>
      </c>
    </row>
    <row r="941" spans="1:6" x14ac:dyDescent="0.3">
      <c r="A941" t="str">
        <f>PARAMS_MODELO!$B$3</f>
        <v>2025-Q3</v>
      </c>
      <c r="B941">
        <f>CALCULOS_AGENCIA!$A941</f>
        <v>51022343</v>
      </c>
      <c r="C941">
        <f>CALCULOS_AGENCIA!$U941</f>
        <v>22.89</v>
      </c>
      <c r="D941" t="str">
        <f>CALCULOS_AGENCIA!$V941</f>
        <v>BRONCE</v>
      </c>
      <c r="E941">
        <f>CALCULOS_AGENCIA!$AA941</f>
        <v>933</v>
      </c>
      <c r="F941" s="3">
        <f t="shared" ca="1" si="14"/>
        <v>46087</v>
      </c>
    </row>
    <row r="942" spans="1:6" x14ac:dyDescent="0.3">
      <c r="A942" t="str">
        <f>PARAMS_MODELO!$B$3</f>
        <v>2025-Q3</v>
      </c>
      <c r="B942">
        <f>CALCULOS_AGENCIA!$A942</f>
        <v>51015835</v>
      </c>
      <c r="C942">
        <f>CALCULOS_AGENCIA!$U942</f>
        <v>62.371193002848443</v>
      </c>
      <c r="D942" t="str">
        <f>CALCULOS_AGENCIA!$V942</f>
        <v>PLATA</v>
      </c>
      <c r="E942">
        <f>CALCULOS_AGENCIA!$AA942</f>
        <v>573</v>
      </c>
      <c r="F942" s="3">
        <f t="shared" ca="1" si="14"/>
        <v>46087</v>
      </c>
    </row>
    <row r="943" spans="1:6" x14ac:dyDescent="0.3">
      <c r="A943" t="str">
        <f>PARAMS_MODELO!$B$3</f>
        <v>2025-Q3</v>
      </c>
      <c r="B943">
        <f>CALCULOS_AGENCIA!$A943</f>
        <v>51056329</v>
      </c>
      <c r="C943">
        <f>CALCULOS_AGENCIA!$U943</f>
        <v>33.056000000000004</v>
      </c>
      <c r="D943" t="str">
        <f>CALCULOS_AGENCIA!$V943</f>
        <v>PLATA</v>
      </c>
      <c r="E943">
        <f>CALCULOS_AGENCIA!$AA943</f>
        <v>823</v>
      </c>
      <c r="F943" s="3">
        <f t="shared" ca="1" si="14"/>
        <v>46087</v>
      </c>
    </row>
    <row r="944" spans="1:6" x14ac:dyDescent="0.3">
      <c r="A944" t="str">
        <f>PARAMS_MODELO!$B$3</f>
        <v>2025-Q3</v>
      </c>
      <c r="B944">
        <f>CALCULOS_AGENCIA!$A944</f>
        <v>51030915</v>
      </c>
      <c r="C944">
        <f>CALCULOS_AGENCIA!$U944</f>
        <v>30.825000000000003</v>
      </c>
      <c r="D944" t="str">
        <f>CALCULOS_AGENCIA!$V944</f>
        <v>PLATA</v>
      </c>
      <c r="E944">
        <f>CALCULOS_AGENCIA!$AA944</f>
        <v>848</v>
      </c>
      <c r="F944" s="3">
        <f t="shared" ca="1" si="14"/>
        <v>46087</v>
      </c>
    </row>
    <row r="945" spans="1:6" x14ac:dyDescent="0.3">
      <c r="A945" t="str">
        <f>PARAMS_MODELO!$B$3</f>
        <v>2025-Q3</v>
      </c>
      <c r="B945">
        <f>CALCULOS_AGENCIA!$A945</f>
        <v>51017871</v>
      </c>
      <c r="C945">
        <f>CALCULOS_AGENCIA!$U945</f>
        <v>29.935000000000002</v>
      </c>
      <c r="D945" t="str">
        <f>CALCULOS_AGENCIA!$V945</f>
        <v>PLATA</v>
      </c>
      <c r="E945">
        <f>CALCULOS_AGENCIA!$AA945</f>
        <v>867</v>
      </c>
      <c r="F945" s="3">
        <f t="shared" ca="1" si="14"/>
        <v>46087</v>
      </c>
    </row>
    <row r="946" spans="1:6" x14ac:dyDescent="0.3">
      <c r="A946" t="str">
        <f>PARAMS_MODELO!$B$3</f>
        <v>2025-Q3</v>
      </c>
      <c r="B946">
        <f>CALCULOS_AGENCIA!$A946</f>
        <v>51017218</v>
      </c>
      <c r="C946">
        <f>CALCULOS_AGENCIA!$U946</f>
        <v>99.527209383436087</v>
      </c>
      <c r="D946" t="str">
        <f>CALCULOS_AGENCIA!$V946</f>
        <v>DIAMANTE</v>
      </c>
      <c r="E946">
        <f>CALCULOS_AGENCIA!$AA946</f>
        <v>22</v>
      </c>
      <c r="F946" s="3">
        <f t="shared" ca="1" si="14"/>
        <v>46087</v>
      </c>
    </row>
    <row r="947" spans="1:6" x14ac:dyDescent="0.3">
      <c r="A947" t="str">
        <f>PARAMS_MODELO!$B$3</f>
        <v>2025-Q3</v>
      </c>
      <c r="B947">
        <f>CALCULOS_AGENCIA!$A947</f>
        <v>51039025</v>
      </c>
      <c r="C947">
        <f>CALCULOS_AGENCIA!$U947</f>
        <v>23.59</v>
      </c>
      <c r="D947" t="str">
        <f>CALCULOS_AGENCIA!$V947</f>
        <v>BRONCE</v>
      </c>
      <c r="E947">
        <f>CALCULOS_AGENCIA!$AA947</f>
        <v>927</v>
      </c>
      <c r="F947" s="3">
        <f t="shared" ca="1" si="14"/>
        <v>46087</v>
      </c>
    </row>
    <row r="948" spans="1:6" x14ac:dyDescent="0.3">
      <c r="A948" t="str">
        <f>PARAMS_MODELO!$B$3</f>
        <v>2025-Q3</v>
      </c>
      <c r="B948">
        <f>CALCULOS_AGENCIA!$A948</f>
        <v>51026497</v>
      </c>
      <c r="C948">
        <f>CALCULOS_AGENCIA!$U948</f>
        <v>42.860413350485224</v>
      </c>
      <c r="D948" t="str">
        <f>CALCULOS_AGENCIA!$V948</f>
        <v>PLATA</v>
      </c>
      <c r="E948">
        <f>CALCULOS_AGENCIA!$AA948</f>
        <v>779</v>
      </c>
      <c r="F948" s="3">
        <f t="shared" ca="1" si="14"/>
        <v>46087</v>
      </c>
    </row>
    <row r="949" spans="1:6" x14ac:dyDescent="0.3">
      <c r="A949" t="str">
        <f>PARAMS_MODELO!$B$3</f>
        <v>2025-Q3</v>
      </c>
      <c r="B949">
        <f>CALCULOS_AGENCIA!$A949</f>
        <v>51043693</v>
      </c>
      <c r="C949">
        <f>CALCULOS_AGENCIA!$U949</f>
        <v>73.216177783504875</v>
      </c>
      <c r="D949" t="str">
        <f>CALCULOS_AGENCIA!$V949</f>
        <v>ORO</v>
      </c>
      <c r="E949">
        <f>CALCULOS_AGENCIA!$AA949</f>
        <v>488</v>
      </c>
      <c r="F949" s="3">
        <f t="shared" ca="1" si="14"/>
        <v>46087</v>
      </c>
    </row>
    <row r="950" spans="1:6" x14ac:dyDescent="0.3">
      <c r="A950" t="str">
        <f>PARAMS_MODELO!$B$3</f>
        <v>2025-Q3</v>
      </c>
      <c r="B950">
        <f>CALCULOS_AGENCIA!$A950</f>
        <v>51001532</v>
      </c>
      <c r="C950">
        <f>CALCULOS_AGENCIA!$U950</f>
        <v>20.65</v>
      </c>
      <c r="D950" t="str">
        <f>CALCULOS_AGENCIA!$V950</f>
        <v>BRONCE</v>
      </c>
      <c r="E950">
        <f>CALCULOS_AGENCIA!$AA950</f>
        <v>968</v>
      </c>
      <c r="F950" s="3">
        <f t="shared" ca="1" si="14"/>
        <v>46087</v>
      </c>
    </row>
    <row r="951" spans="1:6" x14ac:dyDescent="0.3">
      <c r="A951" t="str">
        <f>PARAMS_MODELO!$B$3</f>
        <v>2025-Q3</v>
      </c>
      <c r="B951">
        <f>CALCULOS_AGENCIA!$A951</f>
        <v>51002709</v>
      </c>
      <c r="C951">
        <f>CALCULOS_AGENCIA!$U951</f>
        <v>56.144041972251905</v>
      </c>
      <c r="D951" t="str">
        <f>CALCULOS_AGENCIA!$V951</f>
        <v>PLATA</v>
      </c>
      <c r="E951">
        <f>CALCULOS_AGENCIA!$AA951</f>
        <v>698</v>
      </c>
      <c r="F951" s="3">
        <f t="shared" ca="1" si="14"/>
        <v>46087</v>
      </c>
    </row>
    <row r="952" spans="1:6" x14ac:dyDescent="0.3">
      <c r="A952" t="str">
        <f>PARAMS_MODELO!$B$3</f>
        <v>2025-Q3</v>
      </c>
      <c r="B952">
        <f>CALCULOS_AGENCIA!$A952</f>
        <v>51015151</v>
      </c>
      <c r="C952">
        <f>CALCULOS_AGENCIA!$U952</f>
        <v>23.877000614722455</v>
      </c>
      <c r="D952" t="str">
        <f>CALCULOS_AGENCIA!$V952</f>
        <v>BRONCE</v>
      </c>
      <c r="E952">
        <f>CALCULOS_AGENCIA!$AA952</f>
        <v>922</v>
      </c>
      <c r="F952" s="3">
        <f t="shared" ca="1" si="14"/>
        <v>46087</v>
      </c>
    </row>
    <row r="953" spans="1:6" x14ac:dyDescent="0.3">
      <c r="A953" t="str">
        <f>PARAMS_MODELO!$B$3</f>
        <v>2025-Q3</v>
      </c>
      <c r="B953">
        <f>CALCULOS_AGENCIA!$A953</f>
        <v>51009941</v>
      </c>
      <c r="C953">
        <f>CALCULOS_AGENCIA!$U953</f>
        <v>76.135052809354491</v>
      </c>
      <c r="D953" t="str">
        <f>CALCULOS_AGENCIA!$V953</f>
        <v>ORO</v>
      </c>
      <c r="E953">
        <f>CALCULOS_AGENCIA!$AA953</f>
        <v>462</v>
      </c>
      <c r="F953" s="3">
        <f t="shared" ca="1" si="14"/>
        <v>46087</v>
      </c>
    </row>
    <row r="954" spans="1:6" x14ac:dyDescent="0.3">
      <c r="A954" t="str">
        <f>PARAMS_MODELO!$B$3</f>
        <v>2025-Q3</v>
      </c>
      <c r="B954">
        <f>CALCULOS_AGENCIA!$A954</f>
        <v>51024818</v>
      </c>
      <c r="C954">
        <f>CALCULOS_AGENCIA!$U954</f>
        <v>17.778599999999997</v>
      </c>
      <c r="D954" t="str">
        <f>CALCULOS_AGENCIA!$V954</f>
        <v>BRONCE</v>
      </c>
      <c r="E954">
        <f>CALCULOS_AGENCIA!$AA954</f>
        <v>1035</v>
      </c>
      <c r="F954" s="3">
        <f t="shared" ca="1" si="14"/>
        <v>46087</v>
      </c>
    </row>
    <row r="955" spans="1:6" x14ac:dyDescent="0.3">
      <c r="A955" t="str">
        <f>PARAMS_MODELO!$B$3</f>
        <v>2025-Q3</v>
      </c>
      <c r="B955">
        <f>CALCULOS_AGENCIA!$A955</f>
        <v>51010523</v>
      </c>
      <c r="C955">
        <f>CALCULOS_AGENCIA!$U955</f>
        <v>34.097999999999999</v>
      </c>
      <c r="D955" t="str">
        <f>CALCULOS_AGENCIA!$V955</f>
        <v>PLATA</v>
      </c>
      <c r="E955">
        <f>CALCULOS_AGENCIA!$AA955</f>
        <v>813</v>
      </c>
      <c r="F955" s="3">
        <f t="shared" ca="1" si="14"/>
        <v>46087</v>
      </c>
    </row>
    <row r="956" spans="1:6" x14ac:dyDescent="0.3">
      <c r="A956" t="str">
        <f>PARAMS_MODELO!$B$3</f>
        <v>2025-Q3</v>
      </c>
      <c r="B956">
        <f>CALCULOS_AGENCIA!$A956</f>
        <v>51000552</v>
      </c>
      <c r="C956">
        <f>CALCULOS_AGENCIA!$U956</f>
        <v>31.03</v>
      </c>
      <c r="D956" t="str">
        <f>CALCULOS_AGENCIA!$V956</f>
        <v>PLATA</v>
      </c>
      <c r="E956">
        <f>CALCULOS_AGENCIA!$AA956</f>
        <v>845</v>
      </c>
      <c r="F956" s="3">
        <f t="shared" ca="1" si="14"/>
        <v>46087</v>
      </c>
    </row>
    <row r="957" spans="1:6" x14ac:dyDescent="0.3">
      <c r="A957" t="str">
        <f>PARAMS_MODELO!$B$3</f>
        <v>2025-Q3</v>
      </c>
      <c r="B957">
        <f>CALCULOS_AGENCIA!$A957</f>
        <v>51052331</v>
      </c>
      <c r="C957">
        <f>CALCULOS_AGENCIA!$U957</f>
        <v>88.002663533158497</v>
      </c>
      <c r="D957" t="str">
        <f>CALCULOS_AGENCIA!$V957</f>
        <v>PLATINO</v>
      </c>
      <c r="E957">
        <f>CALCULOS_AGENCIA!$AA957</f>
        <v>200</v>
      </c>
      <c r="F957" s="3">
        <f t="shared" ca="1" si="14"/>
        <v>46087</v>
      </c>
    </row>
    <row r="958" spans="1:6" x14ac:dyDescent="0.3">
      <c r="A958" t="str">
        <f>PARAMS_MODELO!$B$3</f>
        <v>2025-Q3</v>
      </c>
      <c r="B958">
        <f>CALCULOS_AGENCIA!$A958</f>
        <v>51024460</v>
      </c>
      <c r="C958">
        <f>CALCULOS_AGENCIA!$U958</f>
        <v>19.821413279159358</v>
      </c>
      <c r="D958" t="str">
        <f>CALCULOS_AGENCIA!$V958</f>
        <v>BRONCE</v>
      </c>
      <c r="E958">
        <f>CALCULOS_AGENCIA!$AA958</f>
        <v>979</v>
      </c>
      <c r="F958" s="3">
        <f t="shared" ca="1" si="14"/>
        <v>46087</v>
      </c>
    </row>
    <row r="959" spans="1:6" x14ac:dyDescent="0.3">
      <c r="A959" t="str">
        <f>PARAMS_MODELO!$B$3</f>
        <v>2025-Q3</v>
      </c>
      <c r="B959">
        <f>CALCULOS_AGENCIA!$A959</f>
        <v>51024885</v>
      </c>
      <c r="C959">
        <f>CALCULOS_AGENCIA!$U959</f>
        <v>22.89</v>
      </c>
      <c r="D959" t="str">
        <f>CALCULOS_AGENCIA!$V959</f>
        <v>BRONCE</v>
      </c>
      <c r="E959">
        <f>CALCULOS_AGENCIA!$AA959</f>
        <v>933</v>
      </c>
      <c r="F959" s="3">
        <f t="shared" ca="1" si="14"/>
        <v>46087</v>
      </c>
    </row>
    <row r="960" spans="1:6" x14ac:dyDescent="0.3">
      <c r="A960" t="str">
        <f>PARAMS_MODELO!$B$3</f>
        <v>2025-Q3</v>
      </c>
      <c r="B960">
        <f>CALCULOS_AGENCIA!$A960</f>
        <v>51005554</v>
      </c>
      <c r="C960">
        <f>CALCULOS_AGENCIA!$U960</f>
        <v>57.489168620002317</v>
      </c>
      <c r="D960" t="str">
        <f>CALCULOS_AGENCIA!$V960</f>
        <v>PLATA</v>
      </c>
      <c r="E960">
        <f>CALCULOS_AGENCIA!$AA960</f>
        <v>676</v>
      </c>
      <c r="F960" s="3">
        <f t="shared" ca="1" si="14"/>
        <v>46087</v>
      </c>
    </row>
    <row r="961" spans="1:6" x14ac:dyDescent="0.3">
      <c r="A961" t="str">
        <f>PARAMS_MODELO!$B$3</f>
        <v>2025-Q3</v>
      </c>
      <c r="B961">
        <f>CALCULOS_AGENCIA!$A961</f>
        <v>51024478</v>
      </c>
      <c r="C961">
        <f>CALCULOS_AGENCIA!$U961</f>
        <v>22.728999999999999</v>
      </c>
      <c r="D961" t="str">
        <f>CALCULOS_AGENCIA!$V961</f>
        <v>BRONCE</v>
      </c>
      <c r="E961">
        <f>CALCULOS_AGENCIA!$AA961</f>
        <v>937</v>
      </c>
      <c r="F961" s="3">
        <f t="shared" ca="1" si="14"/>
        <v>46087</v>
      </c>
    </row>
    <row r="962" spans="1:6" x14ac:dyDescent="0.3">
      <c r="A962" t="str">
        <f>PARAMS_MODELO!$B$3</f>
        <v>2025-Q3</v>
      </c>
      <c r="B962">
        <f>CALCULOS_AGENCIA!$A962</f>
        <v>51012691</v>
      </c>
      <c r="C962">
        <f>CALCULOS_AGENCIA!$U962</f>
        <v>39.674999999999997</v>
      </c>
      <c r="D962" t="str">
        <f>CALCULOS_AGENCIA!$V962</f>
        <v>PLATA</v>
      </c>
      <c r="E962">
        <f>CALCULOS_AGENCIA!$AA962</f>
        <v>787</v>
      </c>
      <c r="F962" s="3">
        <f t="shared" ref="F962:F1025" ca="1" si="15">TODAY()</f>
        <v>46087</v>
      </c>
    </row>
    <row r="963" spans="1:6" x14ac:dyDescent="0.3">
      <c r="A963" t="str">
        <f>PARAMS_MODELO!$B$3</f>
        <v>2025-Q3</v>
      </c>
      <c r="B963">
        <f>CALCULOS_AGENCIA!$A963</f>
        <v>51015681</v>
      </c>
      <c r="C963">
        <f>CALCULOS_AGENCIA!$U963</f>
        <v>21.572599999999998</v>
      </c>
      <c r="D963" t="str">
        <f>CALCULOS_AGENCIA!$V963</f>
        <v>BRONCE</v>
      </c>
      <c r="E963">
        <f>CALCULOS_AGENCIA!$AA963</f>
        <v>954</v>
      </c>
      <c r="F963" s="3">
        <f t="shared" ca="1" si="15"/>
        <v>46087</v>
      </c>
    </row>
    <row r="964" spans="1:6" x14ac:dyDescent="0.3">
      <c r="A964" t="str">
        <f>PARAMS_MODELO!$B$3</f>
        <v>2025-Q3</v>
      </c>
      <c r="B964">
        <f>CALCULOS_AGENCIA!$A964</f>
        <v>51019008</v>
      </c>
      <c r="C964">
        <f>CALCULOS_AGENCIA!$U964</f>
        <v>89.568901185956307</v>
      </c>
      <c r="D964" t="str">
        <f>CALCULOS_AGENCIA!$V964</f>
        <v>PLATINO</v>
      </c>
      <c r="E964">
        <f>CALCULOS_AGENCIA!$AA964</f>
        <v>147</v>
      </c>
      <c r="F964" s="3">
        <f t="shared" ca="1" si="15"/>
        <v>46087</v>
      </c>
    </row>
    <row r="965" spans="1:6" x14ac:dyDescent="0.3">
      <c r="A965" t="str">
        <f>PARAMS_MODELO!$B$3</f>
        <v>2025-Q3</v>
      </c>
      <c r="B965">
        <f>CALCULOS_AGENCIA!$A965</f>
        <v>51015762</v>
      </c>
      <c r="C965">
        <f>CALCULOS_AGENCIA!$U965</f>
        <v>40.199999999999996</v>
      </c>
      <c r="D965" t="str">
        <f>CALCULOS_AGENCIA!$V965</f>
        <v>PLATA</v>
      </c>
      <c r="E965">
        <f>CALCULOS_AGENCIA!$AA965</f>
        <v>783</v>
      </c>
      <c r="F965" s="3">
        <f t="shared" ca="1" si="15"/>
        <v>46087</v>
      </c>
    </row>
    <row r="966" spans="1:6" x14ac:dyDescent="0.3">
      <c r="A966" t="str">
        <f>PARAMS_MODELO!$B$3</f>
        <v>2025-Q3</v>
      </c>
      <c r="B966">
        <f>CALCULOS_AGENCIA!$A966</f>
        <v>51017714</v>
      </c>
      <c r="C966">
        <f>CALCULOS_AGENCIA!$U966</f>
        <v>37.706361391094546</v>
      </c>
      <c r="D966" t="str">
        <f>CALCULOS_AGENCIA!$V966</f>
        <v>PLATA</v>
      </c>
      <c r="E966">
        <f>CALCULOS_AGENCIA!$AA966</f>
        <v>797</v>
      </c>
      <c r="F966" s="3">
        <f t="shared" ca="1" si="15"/>
        <v>46087</v>
      </c>
    </row>
    <row r="967" spans="1:6" x14ac:dyDescent="0.3">
      <c r="A967" t="str">
        <f>PARAMS_MODELO!$B$3</f>
        <v>2025-Q3</v>
      </c>
      <c r="B967">
        <f>CALCULOS_AGENCIA!$A967</f>
        <v>51031997</v>
      </c>
      <c r="C967">
        <f>CALCULOS_AGENCIA!$U967</f>
        <v>27.796000000000003</v>
      </c>
      <c r="D967" t="str">
        <f>CALCULOS_AGENCIA!$V967</f>
        <v>PLATA</v>
      </c>
      <c r="E967">
        <f>CALCULOS_AGENCIA!$AA967</f>
        <v>887</v>
      </c>
      <c r="F967" s="3">
        <f t="shared" ca="1" si="15"/>
        <v>46087</v>
      </c>
    </row>
    <row r="968" spans="1:6" x14ac:dyDescent="0.3">
      <c r="A968" t="str">
        <f>PARAMS_MODELO!$B$3</f>
        <v>2025-Q3</v>
      </c>
      <c r="B968">
        <f>CALCULOS_AGENCIA!$A968</f>
        <v>51039181</v>
      </c>
      <c r="C968">
        <f>CALCULOS_AGENCIA!$U968</f>
        <v>60.10409507625279</v>
      </c>
      <c r="D968" t="str">
        <f>CALCULOS_AGENCIA!$V968</f>
        <v>PLATA</v>
      </c>
      <c r="E968">
        <f>CALCULOS_AGENCIA!$AA968</f>
        <v>619</v>
      </c>
      <c r="F968" s="3">
        <f t="shared" ca="1" si="15"/>
        <v>46087</v>
      </c>
    </row>
    <row r="969" spans="1:6" x14ac:dyDescent="0.3">
      <c r="A969" t="str">
        <f>PARAMS_MODELO!$B$3</f>
        <v>2025-Q3</v>
      </c>
      <c r="B969">
        <f>CALCULOS_AGENCIA!$A969</f>
        <v>51057121</v>
      </c>
      <c r="C969">
        <f>CALCULOS_AGENCIA!$U969</f>
        <v>94.992217546929098</v>
      </c>
      <c r="D969" t="str">
        <f>CALCULOS_AGENCIA!$V969</f>
        <v>PLATINO</v>
      </c>
      <c r="E969">
        <f>CALCULOS_AGENCIA!$AA969</f>
        <v>70</v>
      </c>
      <c r="F969" s="3">
        <f t="shared" ca="1" si="15"/>
        <v>46087</v>
      </c>
    </row>
    <row r="970" spans="1:6" x14ac:dyDescent="0.3">
      <c r="A970" t="str">
        <f>PARAMS_MODELO!$B$3</f>
        <v>2025-Q3</v>
      </c>
      <c r="B970">
        <f>CALCULOS_AGENCIA!$A970</f>
        <v>51018290</v>
      </c>
      <c r="C970">
        <f>CALCULOS_AGENCIA!$U970</f>
        <v>60.27659823854146</v>
      </c>
      <c r="D970" t="str">
        <f>CALCULOS_AGENCIA!$V970</f>
        <v>PLATA</v>
      </c>
      <c r="E970">
        <f>CALCULOS_AGENCIA!$AA970</f>
        <v>613</v>
      </c>
      <c r="F970" s="3">
        <f t="shared" ca="1" si="15"/>
        <v>46087</v>
      </c>
    </row>
    <row r="971" spans="1:6" x14ac:dyDescent="0.3">
      <c r="A971" t="str">
        <f>PARAMS_MODELO!$B$3</f>
        <v>2025-Q3</v>
      </c>
      <c r="B971">
        <f>CALCULOS_AGENCIA!$A971</f>
        <v>51043561</v>
      </c>
      <c r="C971">
        <f>CALCULOS_AGENCIA!$U971</f>
        <v>22.608599999999999</v>
      </c>
      <c r="D971" t="str">
        <f>CALCULOS_AGENCIA!$V971</f>
        <v>BRONCE</v>
      </c>
      <c r="E971">
        <f>CALCULOS_AGENCIA!$AA971</f>
        <v>940</v>
      </c>
      <c r="F971" s="3">
        <f t="shared" ca="1" si="15"/>
        <v>46087</v>
      </c>
    </row>
    <row r="972" spans="1:6" x14ac:dyDescent="0.3">
      <c r="A972" t="str">
        <f>PARAMS_MODELO!$B$3</f>
        <v>2025-Q3</v>
      </c>
      <c r="B972">
        <f>CALCULOS_AGENCIA!$A972</f>
        <v>51036964</v>
      </c>
      <c r="C972">
        <f>CALCULOS_AGENCIA!$U972</f>
        <v>56.157074818212699</v>
      </c>
      <c r="D972" t="str">
        <f>CALCULOS_AGENCIA!$V972</f>
        <v>PLATA</v>
      </c>
      <c r="E972">
        <f>CALCULOS_AGENCIA!$AA972</f>
        <v>697</v>
      </c>
      <c r="F972" s="3">
        <f t="shared" ca="1" si="15"/>
        <v>46087</v>
      </c>
    </row>
    <row r="973" spans="1:6" x14ac:dyDescent="0.3">
      <c r="A973" t="str">
        <f>PARAMS_MODELO!$B$3</f>
        <v>2025-Q3</v>
      </c>
      <c r="B973">
        <f>CALCULOS_AGENCIA!$A973</f>
        <v>51030290</v>
      </c>
      <c r="C973">
        <f>CALCULOS_AGENCIA!$U973</f>
        <v>89.980245010924705</v>
      </c>
      <c r="D973" t="str">
        <f>CALCULOS_AGENCIA!$V973</f>
        <v>PLATINO</v>
      </c>
      <c r="E973">
        <f>CALCULOS_AGENCIA!$AA973</f>
        <v>136</v>
      </c>
      <c r="F973" s="3">
        <f t="shared" ca="1" si="15"/>
        <v>46087</v>
      </c>
    </row>
    <row r="974" spans="1:6" x14ac:dyDescent="0.3">
      <c r="A974" t="str">
        <f>PARAMS_MODELO!$B$3</f>
        <v>2025-Q3</v>
      </c>
      <c r="B974">
        <f>CALCULOS_AGENCIA!$A974</f>
        <v>51023331</v>
      </c>
      <c r="C974">
        <f>CALCULOS_AGENCIA!$U974</f>
        <v>24.498600000000003</v>
      </c>
      <c r="D974" t="str">
        <f>CALCULOS_AGENCIA!$V974</f>
        <v>BRONCE</v>
      </c>
      <c r="E974">
        <f>CALCULOS_AGENCIA!$AA974</f>
        <v>916</v>
      </c>
      <c r="F974" s="3">
        <f t="shared" ca="1" si="15"/>
        <v>46087</v>
      </c>
    </row>
    <row r="975" spans="1:6" x14ac:dyDescent="0.3">
      <c r="A975" t="str">
        <f>PARAMS_MODELO!$B$3</f>
        <v>2025-Q3</v>
      </c>
      <c r="B975">
        <f>CALCULOS_AGENCIA!$A975</f>
        <v>51024010</v>
      </c>
      <c r="C975">
        <f>CALCULOS_AGENCIA!$U975</f>
        <v>25.9</v>
      </c>
      <c r="D975" t="str">
        <f>CALCULOS_AGENCIA!$V975</f>
        <v>PLATA</v>
      </c>
      <c r="E975">
        <f>CALCULOS_AGENCIA!$AA975</f>
        <v>908</v>
      </c>
      <c r="F975" s="3">
        <f t="shared" ca="1" si="15"/>
        <v>46087</v>
      </c>
    </row>
    <row r="976" spans="1:6" x14ac:dyDescent="0.3">
      <c r="A976" t="str">
        <f>PARAMS_MODELO!$B$3</f>
        <v>2025-Q3</v>
      </c>
      <c r="B976">
        <f>CALCULOS_AGENCIA!$A976</f>
        <v>51024664</v>
      </c>
      <c r="C976">
        <f>CALCULOS_AGENCIA!$U976</f>
        <v>87.399127954690101</v>
      </c>
      <c r="D976" t="str">
        <f>CALCULOS_AGENCIA!$V976</f>
        <v>PLATINO</v>
      </c>
      <c r="E976">
        <f>CALCULOS_AGENCIA!$AA976</f>
        <v>214</v>
      </c>
      <c r="F976" s="3">
        <f t="shared" ca="1" si="15"/>
        <v>46087</v>
      </c>
    </row>
    <row r="977" spans="1:6" x14ac:dyDescent="0.3">
      <c r="A977" t="str">
        <f>PARAMS_MODELO!$B$3</f>
        <v>2025-Q3</v>
      </c>
      <c r="B977">
        <f>CALCULOS_AGENCIA!$A977</f>
        <v>51009185</v>
      </c>
      <c r="C977">
        <f>CALCULOS_AGENCIA!$U977</f>
        <v>30.599999999999998</v>
      </c>
      <c r="D977" t="str">
        <f>CALCULOS_AGENCIA!$V977</f>
        <v>PLATA</v>
      </c>
      <c r="E977">
        <f>CALCULOS_AGENCIA!$AA977</f>
        <v>853</v>
      </c>
      <c r="F977" s="3">
        <f t="shared" ca="1" si="15"/>
        <v>46087</v>
      </c>
    </row>
    <row r="978" spans="1:6" x14ac:dyDescent="0.3">
      <c r="A978" t="str">
        <f>PARAMS_MODELO!$B$3</f>
        <v>2025-Q3</v>
      </c>
      <c r="B978">
        <f>CALCULOS_AGENCIA!$A978</f>
        <v>51039424</v>
      </c>
      <c r="C978">
        <f>CALCULOS_AGENCIA!$U978</f>
        <v>19.508999999999997</v>
      </c>
      <c r="D978" t="str">
        <f>CALCULOS_AGENCIA!$V978</f>
        <v>BRONCE</v>
      </c>
      <c r="E978">
        <f>CALCULOS_AGENCIA!$AA978</f>
        <v>986</v>
      </c>
      <c r="F978" s="3">
        <f t="shared" ca="1" si="15"/>
        <v>46087</v>
      </c>
    </row>
    <row r="979" spans="1:6" x14ac:dyDescent="0.3">
      <c r="A979" t="str">
        <f>PARAMS_MODELO!$B$3</f>
        <v>2025-Q3</v>
      </c>
      <c r="B979">
        <f>CALCULOS_AGENCIA!$A979</f>
        <v>51038941</v>
      </c>
      <c r="C979">
        <f>CALCULOS_AGENCIA!$U979</f>
        <v>28.288</v>
      </c>
      <c r="D979" t="str">
        <f>CALCULOS_AGENCIA!$V979</f>
        <v>PLATA</v>
      </c>
      <c r="E979">
        <f>CALCULOS_AGENCIA!$AA979</f>
        <v>883</v>
      </c>
      <c r="F979" s="3">
        <f t="shared" ca="1" si="15"/>
        <v>46087</v>
      </c>
    </row>
    <row r="980" spans="1:6" x14ac:dyDescent="0.3">
      <c r="A980" t="str">
        <f>PARAMS_MODELO!$B$3</f>
        <v>2025-Q3</v>
      </c>
      <c r="B980">
        <f>CALCULOS_AGENCIA!$A980</f>
        <v>51015126</v>
      </c>
      <c r="C980">
        <f>CALCULOS_AGENCIA!$U980</f>
        <v>18.898599999999998</v>
      </c>
      <c r="D980" t="str">
        <f>CALCULOS_AGENCIA!$V980</f>
        <v>BRONCE</v>
      </c>
      <c r="E980">
        <f>CALCULOS_AGENCIA!$AA980</f>
        <v>1006</v>
      </c>
      <c r="F980" s="3">
        <f t="shared" ca="1" si="15"/>
        <v>46087</v>
      </c>
    </row>
    <row r="981" spans="1:6" x14ac:dyDescent="0.3">
      <c r="A981" t="str">
        <f>PARAMS_MODELO!$B$3</f>
        <v>2025-Q3</v>
      </c>
      <c r="B981">
        <f>CALCULOS_AGENCIA!$A981</f>
        <v>51017234</v>
      </c>
      <c r="C981">
        <f>CALCULOS_AGENCIA!$U981</f>
        <v>20.58</v>
      </c>
      <c r="D981" t="str">
        <f>CALCULOS_AGENCIA!$V981</f>
        <v>BRONCE</v>
      </c>
      <c r="E981">
        <f>CALCULOS_AGENCIA!$AA981</f>
        <v>969</v>
      </c>
      <c r="F981" s="3">
        <f t="shared" ca="1" si="15"/>
        <v>46087</v>
      </c>
    </row>
    <row r="982" spans="1:6" x14ac:dyDescent="0.3">
      <c r="A982" t="str">
        <f>PARAMS_MODELO!$B$3</f>
        <v>2025-Q3</v>
      </c>
      <c r="B982">
        <f>CALCULOS_AGENCIA!$A982</f>
        <v>51012852</v>
      </c>
      <c r="C982">
        <f>CALCULOS_AGENCIA!$U982</f>
        <v>18.549999999999997</v>
      </c>
      <c r="D982" t="str">
        <f>CALCULOS_AGENCIA!$V982</f>
        <v>BRONCE</v>
      </c>
      <c r="E982">
        <f>CALCULOS_AGENCIA!$AA982</f>
        <v>1018</v>
      </c>
      <c r="F982" s="3">
        <f t="shared" ca="1" si="15"/>
        <v>46087</v>
      </c>
    </row>
    <row r="983" spans="1:6" x14ac:dyDescent="0.3">
      <c r="A983" t="str">
        <f>PARAMS_MODELO!$B$3</f>
        <v>2025-Q3</v>
      </c>
      <c r="B983">
        <f>CALCULOS_AGENCIA!$A983</f>
        <v>51010396</v>
      </c>
      <c r="C983">
        <f>CALCULOS_AGENCIA!$U983</f>
        <v>20.86</v>
      </c>
      <c r="D983" t="str">
        <f>CALCULOS_AGENCIA!$V983</f>
        <v>BRONCE</v>
      </c>
      <c r="E983">
        <f>CALCULOS_AGENCIA!$AA983</f>
        <v>965</v>
      </c>
      <c r="F983" s="3">
        <f t="shared" ca="1" si="15"/>
        <v>46087</v>
      </c>
    </row>
    <row r="984" spans="1:6" x14ac:dyDescent="0.3">
      <c r="A984" t="str">
        <f>PARAMS_MODELO!$B$3</f>
        <v>2025-Q3</v>
      </c>
      <c r="B984">
        <f>CALCULOS_AGENCIA!$A984</f>
        <v>51022629</v>
      </c>
      <c r="C984">
        <f>CALCULOS_AGENCIA!$U984</f>
        <v>68.257380928025086</v>
      </c>
      <c r="D984" t="str">
        <f>CALCULOS_AGENCIA!$V984</f>
        <v>ORO</v>
      </c>
      <c r="E984">
        <f>CALCULOS_AGENCIA!$AA984</f>
        <v>525</v>
      </c>
      <c r="F984" s="3">
        <f t="shared" ca="1" si="15"/>
        <v>46087</v>
      </c>
    </row>
    <row r="985" spans="1:6" x14ac:dyDescent="0.3">
      <c r="A985" t="str">
        <f>PARAMS_MODELO!$B$3</f>
        <v>2025-Q3</v>
      </c>
      <c r="B985">
        <f>CALCULOS_AGENCIA!$A985</f>
        <v>51021274</v>
      </c>
      <c r="C985">
        <f>CALCULOS_AGENCIA!$U985</f>
        <v>34.722600000000007</v>
      </c>
      <c r="D985" t="str">
        <f>CALCULOS_AGENCIA!$V985</f>
        <v>PLATA</v>
      </c>
      <c r="E985">
        <f>CALCULOS_AGENCIA!$AA985</f>
        <v>807</v>
      </c>
      <c r="F985" s="3">
        <f t="shared" ca="1" si="15"/>
        <v>46087</v>
      </c>
    </row>
    <row r="986" spans="1:6" x14ac:dyDescent="0.3">
      <c r="A986" t="str">
        <f>PARAMS_MODELO!$B$3</f>
        <v>2025-Q3</v>
      </c>
      <c r="B986">
        <f>CALCULOS_AGENCIA!$A986</f>
        <v>51021819</v>
      </c>
      <c r="C986">
        <f>CALCULOS_AGENCIA!$U986</f>
        <v>23.659999999999997</v>
      </c>
      <c r="D986" t="str">
        <f>CALCULOS_AGENCIA!$V986</f>
        <v>BRONCE</v>
      </c>
      <c r="E986">
        <f>CALCULOS_AGENCIA!$AA986</f>
        <v>925</v>
      </c>
      <c r="F986" s="3">
        <f t="shared" ca="1" si="15"/>
        <v>46087</v>
      </c>
    </row>
    <row r="987" spans="1:6" x14ac:dyDescent="0.3">
      <c r="A987" t="str">
        <f>PARAMS_MODELO!$B$3</f>
        <v>2025-Q3</v>
      </c>
      <c r="B987">
        <f>CALCULOS_AGENCIA!$A987</f>
        <v>51011171</v>
      </c>
      <c r="C987">
        <f>CALCULOS_AGENCIA!$U987</f>
        <v>20.368600000000001</v>
      </c>
      <c r="D987" t="str">
        <f>CALCULOS_AGENCIA!$V987</f>
        <v>BRONCE</v>
      </c>
      <c r="E987">
        <f>CALCULOS_AGENCIA!$AA987</f>
        <v>973</v>
      </c>
      <c r="F987" s="3">
        <f t="shared" ca="1" si="15"/>
        <v>46087</v>
      </c>
    </row>
    <row r="988" spans="1:6" x14ac:dyDescent="0.3">
      <c r="A988" t="str">
        <f>PARAMS_MODELO!$B$3</f>
        <v>2025-Q3</v>
      </c>
      <c r="B988">
        <f>CALCULOS_AGENCIA!$A988</f>
        <v>51012470</v>
      </c>
      <c r="C988">
        <f>CALCULOS_AGENCIA!$U988</f>
        <v>69.625705066018668</v>
      </c>
      <c r="D988" t="str">
        <f>CALCULOS_AGENCIA!$V988</f>
        <v>ORO</v>
      </c>
      <c r="E988">
        <f>CALCULOS_AGENCIA!$AA988</f>
        <v>514</v>
      </c>
      <c r="F988" s="3">
        <f t="shared" ca="1" si="15"/>
        <v>46087</v>
      </c>
    </row>
    <row r="989" spans="1:6" x14ac:dyDescent="0.3">
      <c r="A989" t="str">
        <f>PARAMS_MODELO!$B$3</f>
        <v>2025-Q3</v>
      </c>
      <c r="B989">
        <f>CALCULOS_AGENCIA!$A989</f>
        <v>51032713</v>
      </c>
      <c r="C989">
        <f>CALCULOS_AGENCIA!$U989</f>
        <v>29.697800000000004</v>
      </c>
      <c r="D989" t="str">
        <f>CALCULOS_AGENCIA!$V989</f>
        <v>PLATA</v>
      </c>
      <c r="E989">
        <f>CALCULOS_AGENCIA!$AA989</f>
        <v>870</v>
      </c>
      <c r="F989" s="3">
        <f t="shared" ca="1" si="15"/>
        <v>46087</v>
      </c>
    </row>
    <row r="990" spans="1:6" x14ac:dyDescent="0.3">
      <c r="A990" t="str">
        <f>PARAMS_MODELO!$B$3</f>
        <v>2025-Q3</v>
      </c>
      <c r="B990">
        <f>CALCULOS_AGENCIA!$A990</f>
        <v>51010744</v>
      </c>
      <c r="C990">
        <f>CALCULOS_AGENCIA!$U990</f>
        <v>29.763044387839692</v>
      </c>
      <c r="D990" t="str">
        <f>CALCULOS_AGENCIA!$V990</f>
        <v>PLATA</v>
      </c>
      <c r="E990">
        <f>CALCULOS_AGENCIA!$AA990</f>
        <v>869</v>
      </c>
      <c r="F990" s="3">
        <f t="shared" ca="1" si="15"/>
        <v>46087</v>
      </c>
    </row>
    <row r="991" spans="1:6" x14ac:dyDescent="0.3">
      <c r="A991" t="str">
        <f>PARAMS_MODELO!$B$3</f>
        <v>2025-Q3</v>
      </c>
      <c r="B991">
        <f>CALCULOS_AGENCIA!$A991</f>
        <v>51057546</v>
      </c>
      <c r="C991">
        <f>CALCULOS_AGENCIA!$U991</f>
        <v>28.618224728585883</v>
      </c>
      <c r="D991" t="str">
        <f>CALCULOS_AGENCIA!$V991</f>
        <v>PLATA</v>
      </c>
      <c r="E991">
        <f>CALCULOS_AGENCIA!$AA991</f>
        <v>880</v>
      </c>
      <c r="F991" s="3">
        <f t="shared" ca="1" si="15"/>
        <v>46087</v>
      </c>
    </row>
    <row r="992" spans="1:6" x14ac:dyDescent="0.3">
      <c r="A992" t="str">
        <f>PARAMS_MODELO!$B$3</f>
        <v>2025-Q3</v>
      </c>
      <c r="B992">
        <f>CALCULOS_AGENCIA!$A992</f>
        <v>51023889</v>
      </c>
      <c r="C992">
        <f>CALCULOS_AGENCIA!$U992</f>
        <v>8.6030000000000015</v>
      </c>
      <c r="D992" t="str">
        <f>CALCULOS_AGENCIA!$V992</f>
        <v>BRONCE</v>
      </c>
      <c r="E992">
        <f>CALCULOS_AGENCIA!$AA992</f>
        <v>1179</v>
      </c>
      <c r="F992" s="3">
        <f t="shared" ca="1" si="15"/>
        <v>46087</v>
      </c>
    </row>
    <row r="993" spans="1:6" x14ac:dyDescent="0.3">
      <c r="A993" t="str">
        <f>PARAMS_MODELO!$B$3</f>
        <v>2025-Q3</v>
      </c>
      <c r="B993">
        <f>CALCULOS_AGENCIA!$A993</f>
        <v>51031041</v>
      </c>
      <c r="C993">
        <f>CALCULOS_AGENCIA!$U993</f>
        <v>10.73</v>
      </c>
      <c r="D993" t="str">
        <f>CALCULOS_AGENCIA!$V993</f>
        <v>BRONCE</v>
      </c>
      <c r="E993">
        <f>CALCULOS_AGENCIA!$AA993</f>
        <v>1151</v>
      </c>
      <c r="F993" s="3">
        <f t="shared" ca="1" si="15"/>
        <v>46087</v>
      </c>
    </row>
    <row r="994" spans="1:6" x14ac:dyDescent="0.3">
      <c r="A994" t="str">
        <f>PARAMS_MODELO!$B$3</f>
        <v>2025-Q3</v>
      </c>
      <c r="B994">
        <f>CALCULOS_AGENCIA!$A994</f>
        <v>51022262</v>
      </c>
      <c r="C994">
        <f>CALCULOS_AGENCIA!$U994</f>
        <v>8.9558</v>
      </c>
      <c r="D994" t="str">
        <f>CALCULOS_AGENCIA!$V994</f>
        <v>BRONCE</v>
      </c>
      <c r="E994">
        <f>CALCULOS_AGENCIA!$AA994</f>
        <v>1176</v>
      </c>
      <c r="F994" s="3">
        <f t="shared" ca="1" si="15"/>
        <v>46087</v>
      </c>
    </row>
    <row r="995" spans="1:6" x14ac:dyDescent="0.3">
      <c r="A995" t="str">
        <f>PARAMS_MODELO!$B$3</f>
        <v>2025-Q3</v>
      </c>
      <c r="B995">
        <f>CALCULOS_AGENCIA!$A995</f>
        <v>51017731</v>
      </c>
      <c r="C995">
        <f>CALCULOS_AGENCIA!$U995</f>
        <v>7.9667000000000012</v>
      </c>
      <c r="D995" t="str">
        <f>CALCULOS_AGENCIA!$V995</f>
        <v>BRONCE</v>
      </c>
      <c r="E995">
        <f>CALCULOS_AGENCIA!$AA995</f>
        <v>1187</v>
      </c>
      <c r="F995" s="3">
        <f t="shared" ca="1" si="15"/>
        <v>46087</v>
      </c>
    </row>
    <row r="996" spans="1:6" x14ac:dyDescent="0.3">
      <c r="A996" t="str">
        <f>PARAMS_MODELO!$B$3</f>
        <v>2025-Q3</v>
      </c>
      <c r="B996">
        <f>CALCULOS_AGENCIA!$A996</f>
        <v>51000269</v>
      </c>
      <c r="C996">
        <f>CALCULOS_AGENCIA!$U996</f>
        <v>7.91</v>
      </c>
      <c r="D996" t="str">
        <f>CALCULOS_AGENCIA!$V996</f>
        <v>BRONCE</v>
      </c>
      <c r="E996">
        <f>CALCULOS_AGENCIA!$AA996</f>
        <v>1188</v>
      </c>
      <c r="F996" s="3">
        <f t="shared" ca="1" si="15"/>
        <v>46087</v>
      </c>
    </row>
    <row r="997" spans="1:6" x14ac:dyDescent="0.3">
      <c r="A997" t="str">
        <f>PARAMS_MODELO!$B$3</f>
        <v>2025-Q3</v>
      </c>
      <c r="B997">
        <f>CALCULOS_AGENCIA!$A997</f>
        <v>51000862</v>
      </c>
      <c r="C997">
        <f>CALCULOS_AGENCIA!$U997</f>
        <v>19.8</v>
      </c>
      <c r="D997" t="str">
        <f>CALCULOS_AGENCIA!$V997</f>
        <v>BRONCE</v>
      </c>
      <c r="E997">
        <f>CALCULOS_AGENCIA!$AA997</f>
        <v>980</v>
      </c>
      <c r="F997" s="3">
        <f t="shared" ca="1" si="15"/>
        <v>46087</v>
      </c>
    </row>
    <row r="998" spans="1:6" x14ac:dyDescent="0.3">
      <c r="A998" t="str">
        <f>PARAMS_MODELO!$B$3</f>
        <v>2025-Q3</v>
      </c>
      <c r="B998">
        <f>CALCULOS_AGENCIA!$A998</f>
        <v>51001494</v>
      </c>
      <c r="C998">
        <f>CALCULOS_AGENCIA!$U998</f>
        <v>10.709999999999999</v>
      </c>
      <c r="D998" t="str">
        <f>CALCULOS_AGENCIA!$V998</f>
        <v>BRONCE</v>
      </c>
      <c r="E998">
        <f>CALCULOS_AGENCIA!$AA998</f>
        <v>1152</v>
      </c>
      <c r="F998" s="3">
        <f t="shared" ca="1" si="15"/>
        <v>46087</v>
      </c>
    </row>
    <row r="999" spans="1:6" x14ac:dyDescent="0.3">
      <c r="A999" t="str">
        <f>PARAMS_MODELO!$B$3</f>
        <v>2025-Q3</v>
      </c>
      <c r="B999">
        <f>CALCULOS_AGENCIA!$A999</f>
        <v>51001745</v>
      </c>
      <c r="C999">
        <f>CALCULOS_AGENCIA!$U999</f>
        <v>21.01</v>
      </c>
      <c r="D999" t="str">
        <f>CALCULOS_AGENCIA!$V999</f>
        <v>BRONCE</v>
      </c>
      <c r="E999">
        <f>CALCULOS_AGENCIA!$AA999</f>
        <v>961</v>
      </c>
      <c r="F999" s="3">
        <f t="shared" ca="1" si="15"/>
        <v>46087</v>
      </c>
    </row>
    <row r="1000" spans="1:6" x14ac:dyDescent="0.3">
      <c r="A1000" t="str">
        <f>PARAMS_MODELO!$B$3</f>
        <v>2025-Q3</v>
      </c>
      <c r="B1000">
        <f>CALCULOS_AGENCIA!$A1000</f>
        <v>51001923</v>
      </c>
      <c r="C1000">
        <f>CALCULOS_AGENCIA!$U1000</f>
        <v>15.840000000000002</v>
      </c>
      <c r="D1000" t="str">
        <f>CALCULOS_AGENCIA!$V1000</f>
        <v>BRONCE</v>
      </c>
      <c r="E1000">
        <f>CALCULOS_AGENCIA!$AA1000</f>
        <v>1069</v>
      </c>
      <c r="F1000" s="3">
        <f t="shared" ca="1" si="15"/>
        <v>46087</v>
      </c>
    </row>
    <row r="1001" spans="1:6" x14ac:dyDescent="0.3">
      <c r="A1001" t="str">
        <f>PARAMS_MODELO!$B$3</f>
        <v>2025-Q3</v>
      </c>
      <c r="B1001">
        <f>CALCULOS_AGENCIA!$A1001</f>
        <v>51003721</v>
      </c>
      <c r="C1001">
        <f>CALCULOS_AGENCIA!$U1001</f>
        <v>14.5</v>
      </c>
      <c r="D1001" t="str">
        <f>CALCULOS_AGENCIA!$V1001</f>
        <v>BRONCE</v>
      </c>
      <c r="E1001">
        <f>CALCULOS_AGENCIA!$AA1001</f>
        <v>1083</v>
      </c>
      <c r="F1001" s="3">
        <f t="shared" ca="1" si="15"/>
        <v>46087</v>
      </c>
    </row>
    <row r="1002" spans="1:6" x14ac:dyDescent="0.3">
      <c r="A1002" t="str">
        <f>PARAMS_MODELO!$B$3</f>
        <v>2025-Q3</v>
      </c>
      <c r="B1002">
        <f>CALCULOS_AGENCIA!$A1002</f>
        <v>51004167</v>
      </c>
      <c r="C1002">
        <f>CALCULOS_AGENCIA!$U1002</f>
        <v>13.7</v>
      </c>
      <c r="D1002" t="str">
        <f>CALCULOS_AGENCIA!$V1002</f>
        <v>BRONCE</v>
      </c>
      <c r="E1002">
        <f>CALCULOS_AGENCIA!$AA1002</f>
        <v>1095</v>
      </c>
      <c r="F1002" s="3">
        <f t="shared" ca="1" si="15"/>
        <v>46087</v>
      </c>
    </row>
    <row r="1003" spans="1:6" x14ac:dyDescent="0.3">
      <c r="A1003" t="str">
        <f>PARAMS_MODELO!$B$3</f>
        <v>2025-Q3</v>
      </c>
      <c r="B1003">
        <f>CALCULOS_AGENCIA!$A1003</f>
        <v>51004671</v>
      </c>
      <c r="C1003">
        <f>CALCULOS_AGENCIA!$U1003</f>
        <v>12.459999999999999</v>
      </c>
      <c r="D1003" t="str">
        <f>CALCULOS_AGENCIA!$V1003</f>
        <v>BRONCE</v>
      </c>
      <c r="E1003">
        <f>CALCULOS_AGENCIA!$AA1003</f>
        <v>1127</v>
      </c>
      <c r="F1003" s="3">
        <f t="shared" ca="1" si="15"/>
        <v>46087</v>
      </c>
    </row>
    <row r="1004" spans="1:6" x14ac:dyDescent="0.3">
      <c r="A1004" t="str">
        <f>PARAMS_MODELO!$B$3</f>
        <v>2025-Q3</v>
      </c>
      <c r="B1004">
        <f>CALCULOS_AGENCIA!$A1004</f>
        <v>51005058</v>
      </c>
      <c r="C1004">
        <f>CALCULOS_AGENCIA!$U1004</f>
        <v>19.3</v>
      </c>
      <c r="D1004" t="str">
        <f>CALCULOS_AGENCIA!$V1004</f>
        <v>BRONCE</v>
      </c>
      <c r="E1004">
        <f>CALCULOS_AGENCIA!$AA1004</f>
        <v>992</v>
      </c>
      <c r="F1004" s="3">
        <f t="shared" ca="1" si="15"/>
        <v>46087</v>
      </c>
    </row>
    <row r="1005" spans="1:6" x14ac:dyDescent="0.3">
      <c r="A1005" t="str">
        <f>PARAMS_MODELO!$B$3</f>
        <v>2025-Q3</v>
      </c>
      <c r="B1005">
        <f>CALCULOS_AGENCIA!$A1005</f>
        <v>51005201</v>
      </c>
      <c r="C1005">
        <f>CALCULOS_AGENCIA!$U1005</f>
        <v>17.600000000000001</v>
      </c>
      <c r="D1005" t="str">
        <f>CALCULOS_AGENCIA!$V1005</f>
        <v>BRONCE</v>
      </c>
      <c r="E1005">
        <f>CALCULOS_AGENCIA!$AA1005</f>
        <v>1037</v>
      </c>
      <c r="F1005" s="3">
        <f t="shared" ca="1" si="15"/>
        <v>46087</v>
      </c>
    </row>
    <row r="1006" spans="1:6" x14ac:dyDescent="0.3">
      <c r="A1006" t="str">
        <f>PARAMS_MODELO!$B$3</f>
        <v>2025-Q3</v>
      </c>
      <c r="B1006">
        <f>CALCULOS_AGENCIA!$A1006</f>
        <v>51005384</v>
      </c>
      <c r="C1006">
        <f>CALCULOS_AGENCIA!$U1006</f>
        <v>10.57</v>
      </c>
      <c r="D1006" t="str">
        <f>CALCULOS_AGENCIA!$V1006</f>
        <v>BRONCE</v>
      </c>
      <c r="E1006">
        <f>CALCULOS_AGENCIA!$AA1006</f>
        <v>1158</v>
      </c>
      <c r="F1006" s="3">
        <f t="shared" ca="1" si="15"/>
        <v>46087</v>
      </c>
    </row>
    <row r="1007" spans="1:6" x14ac:dyDescent="0.3">
      <c r="A1007" t="str">
        <f>PARAMS_MODELO!$B$3</f>
        <v>2025-Q3</v>
      </c>
      <c r="B1007">
        <f>CALCULOS_AGENCIA!$A1007</f>
        <v>51005902</v>
      </c>
      <c r="C1007">
        <f>CALCULOS_AGENCIA!$U1007</f>
        <v>15.840000000000002</v>
      </c>
      <c r="D1007" t="str">
        <f>CALCULOS_AGENCIA!$V1007</f>
        <v>BRONCE</v>
      </c>
      <c r="E1007">
        <f>CALCULOS_AGENCIA!$AA1007</f>
        <v>1069</v>
      </c>
      <c r="F1007" s="3">
        <f t="shared" ca="1" si="15"/>
        <v>46087</v>
      </c>
    </row>
    <row r="1008" spans="1:6" x14ac:dyDescent="0.3">
      <c r="A1008" t="str">
        <f>PARAMS_MODELO!$B$3</f>
        <v>2025-Q3</v>
      </c>
      <c r="B1008">
        <f>CALCULOS_AGENCIA!$A1008</f>
        <v>51006445</v>
      </c>
      <c r="C1008">
        <f>CALCULOS_AGENCIA!$U1008</f>
        <v>19.36</v>
      </c>
      <c r="D1008" t="str">
        <f>CALCULOS_AGENCIA!$V1008</f>
        <v>BRONCE</v>
      </c>
      <c r="E1008">
        <f>CALCULOS_AGENCIA!$AA1008</f>
        <v>990</v>
      </c>
      <c r="F1008" s="3">
        <f t="shared" ca="1" si="15"/>
        <v>46087</v>
      </c>
    </row>
    <row r="1009" spans="1:6" x14ac:dyDescent="0.3">
      <c r="A1009" t="str">
        <f>PARAMS_MODELO!$B$3</f>
        <v>2025-Q3</v>
      </c>
      <c r="B1009">
        <f>CALCULOS_AGENCIA!$A1009</f>
        <v>51006453</v>
      </c>
      <c r="C1009">
        <f>CALCULOS_AGENCIA!$U1009</f>
        <v>15.639999999999999</v>
      </c>
      <c r="D1009" t="str">
        <f>CALCULOS_AGENCIA!$V1009</f>
        <v>BRONCE</v>
      </c>
      <c r="E1009">
        <f>CALCULOS_AGENCIA!$AA1009</f>
        <v>1072</v>
      </c>
      <c r="F1009" s="3">
        <f t="shared" ca="1" si="15"/>
        <v>46087</v>
      </c>
    </row>
    <row r="1010" spans="1:6" x14ac:dyDescent="0.3">
      <c r="A1010" t="str">
        <f>PARAMS_MODELO!$B$3</f>
        <v>2025-Q3</v>
      </c>
      <c r="B1010">
        <f>CALCULOS_AGENCIA!$A1010</f>
        <v>51006518</v>
      </c>
      <c r="C1010">
        <f>CALCULOS_AGENCIA!$U1010</f>
        <v>12.81</v>
      </c>
      <c r="D1010" t="str">
        <f>CALCULOS_AGENCIA!$V1010</f>
        <v>BRONCE</v>
      </c>
      <c r="E1010">
        <f>CALCULOS_AGENCIA!$AA1010</f>
        <v>1117</v>
      </c>
      <c r="F1010" s="3">
        <f t="shared" ca="1" si="15"/>
        <v>46087</v>
      </c>
    </row>
    <row r="1011" spans="1:6" x14ac:dyDescent="0.3">
      <c r="A1011" t="str">
        <f>PARAMS_MODELO!$B$3</f>
        <v>2025-Q3</v>
      </c>
      <c r="B1011">
        <f>CALCULOS_AGENCIA!$A1011</f>
        <v>51006674</v>
      </c>
      <c r="C1011">
        <f>CALCULOS_AGENCIA!$U1011</f>
        <v>16.5</v>
      </c>
      <c r="D1011" t="str">
        <f>CALCULOS_AGENCIA!$V1011</f>
        <v>BRONCE</v>
      </c>
      <c r="E1011">
        <f>CALCULOS_AGENCIA!$AA1011</f>
        <v>1060</v>
      </c>
      <c r="F1011" s="3">
        <f t="shared" ca="1" si="15"/>
        <v>46087</v>
      </c>
    </row>
    <row r="1012" spans="1:6" x14ac:dyDescent="0.3">
      <c r="A1012" t="str">
        <f>PARAMS_MODELO!$B$3</f>
        <v>2025-Q3</v>
      </c>
      <c r="B1012">
        <f>CALCULOS_AGENCIA!$A1012</f>
        <v>51010094</v>
      </c>
      <c r="C1012">
        <f>CALCULOS_AGENCIA!$U1012</f>
        <v>15.3</v>
      </c>
      <c r="D1012" t="str">
        <f>CALCULOS_AGENCIA!$V1012</f>
        <v>BRONCE</v>
      </c>
      <c r="E1012">
        <f>CALCULOS_AGENCIA!$AA1012</f>
        <v>1075</v>
      </c>
      <c r="F1012" s="3">
        <f t="shared" ca="1" si="15"/>
        <v>46087</v>
      </c>
    </row>
    <row r="1013" spans="1:6" x14ac:dyDescent="0.3">
      <c r="A1013" t="str">
        <f>PARAMS_MODELO!$B$3</f>
        <v>2025-Q3</v>
      </c>
      <c r="B1013">
        <f>CALCULOS_AGENCIA!$A1013</f>
        <v>51010108</v>
      </c>
      <c r="C1013">
        <f>CALCULOS_AGENCIA!$U1013</f>
        <v>10.36</v>
      </c>
      <c r="D1013" t="str">
        <f>CALCULOS_AGENCIA!$V1013</f>
        <v>BRONCE</v>
      </c>
      <c r="E1013">
        <f>CALCULOS_AGENCIA!$AA1013</f>
        <v>1163</v>
      </c>
      <c r="F1013" s="3">
        <f t="shared" ca="1" si="15"/>
        <v>46087</v>
      </c>
    </row>
    <row r="1014" spans="1:6" x14ac:dyDescent="0.3">
      <c r="A1014" t="str">
        <f>PARAMS_MODELO!$B$3</f>
        <v>2025-Q3</v>
      </c>
      <c r="B1014">
        <f>CALCULOS_AGENCIA!$A1014</f>
        <v>51010167</v>
      </c>
      <c r="C1014">
        <f>CALCULOS_AGENCIA!$U1014</f>
        <v>22.655000000000001</v>
      </c>
      <c r="D1014" t="str">
        <f>CALCULOS_AGENCIA!$V1014</f>
        <v>BRONCE</v>
      </c>
      <c r="E1014">
        <f>CALCULOS_AGENCIA!$AA1014</f>
        <v>939</v>
      </c>
      <c r="F1014" s="3">
        <f t="shared" ca="1" si="15"/>
        <v>46087</v>
      </c>
    </row>
    <row r="1015" spans="1:6" x14ac:dyDescent="0.3">
      <c r="A1015" t="str">
        <f>PARAMS_MODELO!$B$3</f>
        <v>2025-Q3</v>
      </c>
      <c r="B1015">
        <f>CALCULOS_AGENCIA!$A1015</f>
        <v>51010388</v>
      </c>
      <c r="C1015">
        <f>CALCULOS_AGENCIA!$U1015</f>
        <v>7.91</v>
      </c>
      <c r="D1015" t="str">
        <f>CALCULOS_AGENCIA!$V1015</f>
        <v>BRONCE</v>
      </c>
      <c r="E1015">
        <f>CALCULOS_AGENCIA!$AA1015</f>
        <v>1188</v>
      </c>
      <c r="F1015" s="3">
        <f t="shared" ca="1" si="15"/>
        <v>46087</v>
      </c>
    </row>
    <row r="1016" spans="1:6" x14ac:dyDescent="0.3">
      <c r="A1016" t="str">
        <f>PARAMS_MODELO!$B$3</f>
        <v>2025-Q3</v>
      </c>
      <c r="B1016">
        <f>CALCULOS_AGENCIA!$A1016</f>
        <v>51010477</v>
      </c>
      <c r="C1016">
        <f>CALCULOS_AGENCIA!$U1016</f>
        <v>16.899999999999999</v>
      </c>
      <c r="D1016" t="str">
        <f>CALCULOS_AGENCIA!$V1016</f>
        <v>BRONCE</v>
      </c>
      <c r="E1016">
        <f>CALCULOS_AGENCIA!$AA1016</f>
        <v>1052</v>
      </c>
      <c r="F1016" s="3">
        <f t="shared" ca="1" si="15"/>
        <v>46087</v>
      </c>
    </row>
    <row r="1017" spans="1:6" x14ac:dyDescent="0.3">
      <c r="A1017" t="str">
        <f>PARAMS_MODELO!$B$3</f>
        <v>2025-Q3</v>
      </c>
      <c r="B1017">
        <f>CALCULOS_AGENCIA!$A1017</f>
        <v>51010485</v>
      </c>
      <c r="C1017">
        <f>CALCULOS_AGENCIA!$U1017</f>
        <v>9.870000000000001</v>
      </c>
      <c r="D1017" t="str">
        <f>CALCULOS_AGENCIA!$V1017</f>
        <v>BRONCE</v>
      </c>
      <c r="E1017">
        <f>CALCULOS_AGENCIA!$AA1017</f>
        <v>1170</v>
      </c>
      <c r="F1017" s="3">
        <f t="shared" ca="1" si="15"/>
        <v>46087</v>
      </c>
    </row>
    <row r="1018" spans="1:6" x14ac:dyDescent="0.3">
      <c r="A1018" t="str">
        <f>PARAMS_MODELO!$B$3</f>
        <v>2025-Q3</v>
      </c>
      <c r="B1018">
        <f>CALCULOS_AGENCIA!$A1018</f>
        <v>51010612</v>
      </c>
      <c r="C1018">
        <f>CALCULOS_AGENCIA!$U1018</f>
        <v>9.5899999999999981</v>
      </c>
      <c r="D1018" t="str">
        <f>CALCULOS_AGENCIA!$V1018</f>
        <v>BRONCE</v>
      </c>
      <c r="E1018">
        <f>CALCULOS_AGENCIA!$AA1018</f>
        <v>1172</v>
      </c>
      <c r="F1018" s="3">
        <f t="shared" ca="1" si="15"/>
        <v>46087</v>
      </c>
    </row>
    <row r="1019" spans="1:6" x14ac:dyDescent="0.3">
      <c r="A1019" t="str">
        <f>PARAMS_MODELO!$B$3</f>
        <v>2025-Q3</v>
      </c>
      <c r="B1019">
        <f>CALCULOS_AGENCIA!$A1019</f>
        <v>51010639</v>
      </c>
      <c r="C1019">
        <f>CALCULOS_AGENCIA!$U1019</f>
        <v>18.100000000000001</v>
      </c>
      <c r="D1019" t="str">
        <f>CALCULOS_AGENCIA!$V1019</f>
        <v>BRONCE</v>
      </c>
      <c r="E1019">
        <f>CALCULOS_AGENCIA!$AA1019</f>
        <v>1026</v>
      </c>
      <c r="F1019" s="3">
        <f t="shared" ca="1" si="15"/>
        <v>46087</v>
      </c>
    </row>
    <row r="1020" spans="1:6" x14ac:dyDescent="0.3">
      <c r="A1020" t="str">
        <f>PARAMS_MODELO!$B$3</f>
        <v>2025-Q3</v>
      </c>
      <c r="B1020">
        <f>CALCULOS_AGENCIA!$A1020</f>
        <v>51010965</v>
      </c>
      <c r="C1020">
        <f>CALCULOS_AGENCIA!$U1020</f>
        <v>8.33</v>
      </c>
      <c r="D1020" t="str">
        <f>CALCULOS_AGENCIA!$V1020</f>
        <v>BRONCE</v>
      </c>
      <c r="E1020">
        <f>CALCULOS_AGENCIA!$AA1020</f>
        <v>1182</v>
      </c>
      <c r="F1020" s="3">
        <f t="shared" ca="1" si="15"/>
        <v>46087</v>
      </c>
    </row>
    <row r="1021" spans="1:6" x14ac:dyDescent="0.3">
      <c r="A1021" t="str">
        <f>PARAMS_MODELO!$B$3</f>
        <v>2025-Q3</v>
      </c>
      <c r="B1021">
        <f>CALCULOS_AGENCIA!$A1021</f>
        <v>51011082</v>
      </c>
      <c r="C1021">
        <f>CALCULOS_AGENCIA!$U1021</f>
        <v>17.123000000000001</v>
      </c>
      <c r="D1021" t="str">
        <f>CALCULOS_AGENCIA!$V1021</f>
        <v>BRONCE</v>
      </c>
      <c r="E1021">
        <f>CALCULOS_AGENCIA!$AA1021</f>
        <v>1048</v>
      </c>
      <c r="F1021" s="3">
        <f t="shared" ca="1" si="15"/>
        <v>46087</v>
      </c>
    </row>
    <row r="1022" spans="1:6" x14ac:dyDescent="0.3">
      <c r="A1022" t="str">
        <f>PARAMS_MODELO!$B$3</f>
        <v>2025-Q3</v>
      </c>
      <c r="B1022">
        <f>CALCULOS_AGENCIA!$A1022</f>
        <v>51011104</v>
      </c>
      <c r="C1022">
        <f>CALCULOS_AGENCIA!$U1022</f>
        <v>18.859999999999996</v>
      </c>
      <c r="D1022" t="str">
        <f>CALCULOS_AGENCIA!$V1022</f>
        <v>BRONCE</v>
      </c>
      <c r="E1022">
        <f>CALCULOS_AGENCIA!$AA1022</f>
        <v>1007</v>
      </c>
      <c r="F1022" s="3">
        <f t="shared" ca="1" si="15"/>
        <v>46087</v>
      </c>
    </row>
    <row r="1023" spans="1:6" x14ac:dyDescent="0.3">
      <c r="A1023" t="str">
        <f>PARAMS_MODELO!$B$3</f>
        <v>2025-Q3</v>
      </c>
      <c r="B1023">
        <f>CALCULOS_AGENCIA!$A1023</f>
        <v>51011163</v>
      </c>
      <c r="C1023">
        <f>CALCULOS_AGENCIA!$U1023</f>
        <v>19.8</v>
      </c>
      <c r="D1023" t="str">
        <f>CALCULOS_AGENCIA!$V1023</f>
        <v>BRONCE</v>
      </c>
      <c r="E1023">
        <f>CALCULOS_AGENCIA!$AA1023</f>
        <v>980</v>
      </c>
      <c r="F1023" s="3">
        <f t="shared" ca="1" si="15"/>
        <v>46087</v>
      </c>
    </row>
    <row r="1024" spans="1:6" x14ac:dyDescent="0.3">
      <c r="A1024" t="str">
        <f>PARAMS_MODELO!$B$3</f>
        <v>2025-Q3</v>
      </c>
      <c r="B1024">
        <f>CALCULOS_AGENCIA!$A1024</f>
        <v>51011406</v>
      </c>
      <c r="C1024">
        <f>CALCULOS_AGENCIA!$U1024</f>
        <v>8.33</v>
      </c>
      <c r="D1024" t="str">
        <f>CALCULOS_AGENCIA!$V1024</f>
        <v>BRONCE</v>
      </c>
      <c r="E1024">
        <f>CALCULOS_AGENCIA!$AA1024</f>
        <v>1182</v>
      </c>
      <c r="F1024" s="3">
        <f t="shared" ca="1" si="15"/>
        <v>46087</v>
      </c>
    </row>
    <row r="1025" spans="1:6" x14ac:dyDescent="0.3">
      <c r="A1025" t="str">
        <f>PARAMS_MODELO!$B$3</f>
        <v>2025-Q3</v>
      </c>
      <c r="B1025">
        <f>CALCULOS_AGENCIA!$A1025</f>
        <v>51011503</v>
      </c>
      <c r="C1025">
        <f>CALCULOS_AGENCIA!$U1025</f>
        <v>16.384999999999998</v>
      </c>
      <c r="D1025" t="str">
        <f>CALCULOS_AGENCIA!$V1025</f>
        <v>BRONCE</v>
      </c>
      <c r="E1025">
        <f>CALCULOS_AGENCIA!$AA1025</f>
        <v>1061</v>
      </c>
      <c r="F1025" s="3">
        <f t="shared" ca="1" si="15"/>
        <v>46087</v>
      </c>
    </row>
    <row r="1026" spans="1:6" x14ac:dyDescent="0.3">
      <c r="A1026" t="str">
        <f>PARAMS_MODELO!$B$3</f>
        <v>2025-Q3</v>
      </c>
      <c r="B1026">
        <f>CALCULOS_AGENCIA!$A1026</f>
        <v>51011511</v>
      </c>
      <c r="C1026">
        <f>CALCULOS_AGENCIA!$U1026</f>
        <v>8.68</v>
      </c>
      <c r="D1026" t="str">
        <f>CALCULOS_AGENCIA!$V1026</f>
        <v>BRONCE</v>
      </c>
      <c r="E1026">
        <f>CALCULOS_AGENCIA!$AA1026</f>
        <v>1178</v>
      </c>
      <c r="F1026" s="3">
        <f t="shared" ref="F1026:F1089" ca="1" si="16">TODAY()</f>
        <v>46087</v>
      </c>
    </row>
    <row r="1027" spans="1:6" x14ac:dyDescent="0.3">
      <c r="A1027" t="str">
        <f>PARAMS_MODELO!$B$3</f>
        <v>2025-Q3</v>
      </c>
      <c r="B1027">
        <f>CALCULOS_AGENCIA!$A1027</f>
        <v>51011881</v>
      </c>
      <c r="C1027">
        <f>CALCULOS_AGENCIA!$U1027</f>
        <v>17.7</v>
      </c>
      <c r="D1027" t="str">
        <f>CALCULOS_AGENCIA!$V1027</f>
        <v>BRONCE</v>
      </c>
      <c r="E1027">
        <f>CALCULOS_AGENCIA!$AA1027</f>
        <v>1036</v>
      </c>
      <c r="F1027" s="3">
        <f t="shared" ca="1" si="16"/>
        <v>46087</v>
      </c>
    </row>
    <row r="1028" spans="1:6" x14ac:dyDescent="0.3">
      <c r="A1028" t="str">
        <f>PARAMS_MODELO!$B$3</f>
        <v>2025-Q3</v>
      </c>
      <c r="B1028">
        <f>CALCULOS_AGENCIA!$A1028</f>
        <v>51011911</v>
      </c>
      <c r="C1028">
        <f>CALCULOS_AGENCIA!$U1028</f>
        <v>14.254999999999999</v>
      </c>
      <c r="D1028" t="str">
        <f>CALCULOS_AGENCIA!$V1028</f>
        <v>BRONCE</v>
      </c>
      <c r="E1028">
        <f>CALCULOS_AGENCIA!$AA1028</f>
        <v>1087</v>
      </c>
      <c r="F1028" s="3">
        <f t="shared" ca="1" si="16"/>
        <v>46087</v>
      </c>
    </row>
    <row r="1029" spans="1:6" x14ac:dyDescent="0.3">
      <c r="A1029" t="str">
        <f>PARAMS_MODELO!$B$3</f>
        <v>2025-Q3</v>
      </c>
      <c r="B1029">
        <f>CALCULOS_AGENCIA!$A1029</f>
        <v>51011945</v>
      </c>
      <c r="C1029">
        <f>CALCULOS_AGENCIA!$U1029</f>
        <v>18.100000000000001</v>
      </c>
      <c r="D1029" t="str">
        <f>CALCULOS_AGENCIA!$V1029</f>
        <v>BRONCE</v>
      </c>
      <c r="E1029">
        <f>CALCULOS_AGENCIA!$AA1029</f>
        <v>1026</v>
      </c>
      <c r="F1029" s="3">
        <f t="shared" ca="1" si="16"/>
        <v>46087</v>
      </c>
    </row>
    <row r="1030" spans="1:6" x14ac:dyDescent="0.3">
      <c r="A1030" t="str">
        <f>PARAMS_MODELO!$B$3</f>
        <v>2025-Q3</v>
      </c>
      <c r="B1030">
        <f>CALCULOS_AGENCIA!$A1030</f>
        <v>51012089</v>
      </c>
      <c r="C1030">
        <f>CALCULOS_AGENCIA!$U1030</f>
        <v>13.5</v>
      </c>
      <c r="D1030" t="str">
        <f>CALCULOS_AGENCIA!$V1030</f>
        <v>BRONCE</v>
      </c>
      <c r="E1030">
        <f>CALCULOS_AGENCIA!$AA1030</f>
        <v>1097</v>
      </c>
      <c r="F1030" s="3">
        <f t="shared" ca="1" si="16"/>
        <v>46087</v>
      </c>
    </row>
    <row r="1031" spans="1:6" x14ac:dyDescent="0.3">
      <c r="A1031" t="str">
        <f>PARAMS_MODELO!$B$3</f>
        <v>2025-Q3</v>
      </c>
      <c r="B1031">
        <f>CALCULOS_AGENCIA!$A1031</f>
        <v>51012283</v>
      </c>
      <c r="C1031">
        <f>CALCULOS_AGENCIA!$U1031</f>
        <v>15.328000000000001</v>
      </c>
      <c r="D1031" t="str">
        <f>CALCULOS_AGENCIA!$V1031</f>
        <v>BRONCE</v>
      </c>
      <c r="E1031">
        <f>CALCULOS_AGENCIA!$AA1031</f>
        <v>1074</v>
      </c>
      <c r="F1031" s="3">
        <f t="shared" ca="1" si="16"/>
        <v>46087</v>
      </c>
    </row>
    <row r="1032" spans="1:6" x14ac:dyDescent="0.3">
      <c r="A1032" t="str">
        <f>PARAMS_MODELO!$B$3</f>
        <v>2025-Q3</v>
      </c>
      <c r="B1032">
        <f>CALCULOS_AGENCIA!$A1032</f>
        <v>51012429</v>
      </c>
      <c r="C1032">
        <f>CALCULOS_AGENCIA!$U1032</f>
        <v>18.899999999999999</v>
      </c>
      <c r="D1032" t="str">
        <f>CALCULOS_AGENCIA!$V1032</f>
        <v>BRONCE</v>
      </c>
      <c r="E1032">
        <f>CALCULOS_AGENCIA!$AA1032</f>
        <v>1003</v>
      </c>
      <c r="F1032" s="3">
        <f t="shared" ca="1" si="16"/>
        <v>46087</v>
      </c>
    </row>
    <row r="1033" spans="1:6" x14ac:dyDescent="0.3">
      <c r="A1033" t="str">
        <f>PARAMS_MODELO!$B$3</f>
        <v>2025-Q3</v>
      </c>
      <c r="B1033">
        <f>CALCULOS_AGENCIA!$A1033</f>
        <v>51012569</v>
      </c>
      <c r="C1033">
        <f>CALCULOS_AGENCIA!$U1033</f>
        <v>15.96</v>
      </c>
      <c r="D1033" t="str">
        <f>CALCULOS_AGENCIA!$V1033</f>
        <v>BRONCE</v>
      </c>
      <c r="E1033">
        <f>CALCULOS_AGENCIA!$AA1033</f>
        <v>1068</v>
      </c>
      <c r="F1033" s="3">
        <f t="shared" ca="1" si="16"/>
        <v>46087</v>
      </c>
    </row>
    <row r="1034" spans="1:6" x14ac:dyDescent="0.3">
      <c r="A1034" t="str">
        <f>PARAMS_MODELO!$B$3</f>
        <v>2025-Q3</v>
      </c>
      <c r="B1034">
        <f>CALCULOS_AGENCIA!$A1034</f>
        <v>51012631</v>
      </c>
      <c r="C1034">
        <f>CALCULOS_AGENCIA!$U1034</f>
        <v>12.980000000000002</v>
      </c>
      <c r="D1034" t="str">
        <f>CALCULOS_AGENCIA!$V1034</f>
        <v>BRONCE</v>
      </c>
      <c r="E1034">
        <f>CALCULOS_AGENCIA!$AA1034</f>
        <v>1113</v>
      </c>
      <c r="F1034" s="3">
        <f t="shared" ca="1" si="16"/>
        <v>46087</v>
      </c>
    </row>
    <row r="1035" spans="1:6" x14ac:dyDescent="0.3">
      <c r="A1035" t="str">
        <f>PARAMS_MODELO!$B$3</f>
        <v>2025-Q3</v>
      </c>
      <c r="B1035">
        <f>CALCULOS_AGENCIA!$A1035</f>
        <v>51012844</v>
      </c>
      <c r="C1035">
        <f>CALCULOS_AGENCIA!$U1035</f>
        <v>8.8199999999999985</v>
      </c>
      <c r="D1035" t="str">
        <f>CALCULOS_AGENCIA!$V1035</f>
        <v>BRONCE</v>
      </c>
      <c r="E1035">
        <f>CALCULOS_AGENCIA!$AA1035</f>
        <v>1177</v>
      </c>
      <c r="F1035" s="3">
        <f t="shared" ca="1" si="16"/>
        <v>46087</v>
      </c>
    </row>
    <row r="1036" spans="1:6" x14ac:dyDescent="0.3">
      <c r="A1036" t="str">
        <f>PARAMS_MODELO!$B$3</f>
        <v>2025-Q3</v>
      </c>
      <c r="B1036">
        <f>CALCULOS_AGENCIA!$A1036</f>
        <v>51012925</v>
      </c>
      <c r="C1036">
        <f>CALCULOS_AGENCIA!$U1036</f>
        <v>7.56</v>
      </c>
      <c r="D1036" t="str">
        <f>CALCULOS_AGENCIA!$V1036</f>
        <v>BRONCE</v>
      </c>
      <c r="E1036">
        <f>CALCULOS_AGENCIA!$AA1036</f>
        <v>1191</v>
      </c>
      <c r="F1036" s="3">
        <f t="shared" ca="1" si="16"/>
        <v>46087</v>
      </c>
    </row>
    <row r="1037" spans="1:6" x14ac:dyDescent="0.3">
      <c r="A1037" t="str">
        <f>PARAMS_MODELO!$B$3</f>
        <v>2025-Q3</v>
      </c>
      <c r="B1037">
        <f>CALCULOS_AGENCIA!$A1037</f>
        <v>51012968</v>
      </c>
      <c r="C1037">
        <f>CALCULOS_AGENCIA!$U1037</f>
        <v>18.63</v>
      </c>
      <c r="D1037" t="str">
        <f>CALCULOS_AGENCIA!$V1037</f>
        <v>BRONCE</v>
      </c>
      <c r="E1037">
        <f>CALCULOS_AGENCIA!$AA1037</f>
        <v>1014</v>
      </c>
      <c r="F1037" s="3">
        <f t="shared" ca="1" si="16"/>
        <v>46087</v>
      </c>
    </row>
    <row r="1038" spans="1:6" x14ac:dyDescent="0.3">
      <c r="A1038" t="str">
        <f>PARAMS_MODELO!$B$3</f>
        <v>2025-Q3</v>
      </c>
      <c r="B1038">
        <f>CALCULOS_AGENCIA!$A1038</f>
        <v>51013042</v>
      </c>
      <c r="C1038">
        <f>CALCULOS_AGENCIA!$U1038</f>
        <v>15.683</v>
      </c>
      <c r="D1038" t="str">
        <f>CALCULOS_AGENCIA!$V1038</f>
        <v>BRONCE</v>
      </c>
      <c r="E1038">
        <f>CALCULOS_AGENCIA!$AA1038</f>
        <v>1071</v>
      </c>
      <c r="F1038" s="3">
        <f t="shared" ca="1" si="16"/>
        <v>46087</v>
      </c>
    </row>
    <row r="1039" spans="1:6" x14ac:dyDescent="0.3">
      <c r="A1039" t="str">
        <f>PARAMS_MODELO!$B$3</f>
        <v>2025-Q3</v>
      </c>
      <c r="B1039">
        <f>CALCULOS_AGENCIA!$A1039</f>
        <v>51013123</v>
      </c>
      <c r="C1039">
        <f>CALCULOS_AGENCIA!$U1039</f>
        <v>11</v>
      </c>
      <c r="D1039" t="str">
        <f>CALCULOS_AGENCIA!$V1039</f>
        <v>BRONCE</v>
      </c>
      <c r="E1039">
        <f>CALCULOS_AGENCIA!$AA1039</f>
        <v>1144</v>
      </c>
      <c r="F1039" s="3">
        <f t="shared" ca="1" si="16"/>
        <v>46087</v>
      </c>
    </row>
    <row r="1040" spans="1:6" x14ac:dyDescent="0.3">
      <c r="A1040" t="str">
        <f>PARAMS_MODELO!$B$3</f>
        <v>2025-Q3</v>
      </c>
      <c r="B1040">
        <f>CALCULOS_AGENCIA!$A1040</f>
        <v>51013174</v>
      </c>
      <c r="C1040">
        <f>CALCULOS_AGENCIA!$U1040</f>
        <v>14.489999999999998</v>
      </c>
      <c r="D1040" t="str">
        <f>CALCULOS_AGENCIA!$V1040</f>
        <v>BRONCE</v>
      </c>
      <c r="E1040">
        <f>CALCULOS_AGENCIA!$AA1040</f>
        <v>1085</v>
      </c>
      <c r="F1040" s="3">
        <f t="shared" ca="1" si="16"/>
        <v>46087</v>
      </c>
    </row>
    <row r="1041" spans="1:6" x14ac:dyDescent="0.3">
      <c r="A1041" t="str">
        <f>PARAMS_MODELO!$B$3</f>
        <v>2025-Q3</v>
      </c>
      <c r="B1041">
        <f>CALCULOS_AGENCIA!$A1041</f>
        <v>51013263</v>
      </c>
      <c r="C1041">
        <f>CALCULOS_AGENCIA!$U1041</f>
        <v>18.399999999999999</v>
      </c>
      <c r="D1041" t="str">
        <f>CALCULOS_AGENCIA!$V1041</f>
        <v>BRONCE</v>
      </c>
      <c r="E1041">
        <f>CALCULOS_AGENCIA!$AA1041</f>
        <v>1021</v>
      </c>
      <c r="F1041" s="3">
        <f t="shared" ca="1" si="16"/>
        <v>46087</v>
      </c>
    </row>
    <row r="1042" spans="1:6" x14ac:dyDescent="0.3">
      <c r="A1042" t="str">
        <f>PARAMS_MODELO!$B$3</f>
        <v>2025-Q3</v>
      </c>
      <c r="B1042">
        <f>CALCULOS_AGENCIA!$A1042</f>
        <v>51013751</v>
      </c>
      <c r="C1042">
        <f>CALCULOS_AGENCIA!$U1042</f>
        <v>20.443500000000004</v>
      </c>
      <c r="D1042" t="str">
        <f>CALCULOS_AGENCIA!$V1042</f>
        <v>BRONCE</v>
      </c>
      <c r="E1042">
        <f>CALCULOS_AGENCIA!$AA1042</f>
        <v>971</v>
      </c>
      <c r="F1042" s="3">
        <f t="shared" ca="1" si="16"/>
        <v>46087</v>
      </c>
    </row>
    <row r="1043" spans="1:6" x14ac:dyDescent="0.3">
      <c r="A1043" t="str">
        <f>PARAMS_MODELO!$B$3</f>
        <v>2025-Q3</v>
      </c>
      <c r="B1043">
        <f>CALCULOS_AGENCIA!$A1043</f>
        <v>51013905</v>
      </c>
      <c r="C1043">
        <f>CALCULOS_AGENCIA!$U1043</f>
        <v>10.8</v>
      </c>
      <c r="D1043" t="str">
        <f>CALCULOS_AGENCIA!$V1043</f>
        <v>BRONCE</v>
      </c>
      <c r="E1043">
        <f>CALCULOS_AGENCIA!$AA1043</f>
        <v>1149</v>
      </c>
      <c r="F1043" s="3">
        <f t="shared" ca="1" si="16"/>
        <v>46087</v>
      </c>
    </row>
    <row r="1044" spans="1:6" x14ac:dyDescent="0.3">
      <c r="A1044" t="str">
        <f>PARAMS_MODELO!$B$3</f>
        <v>2025-Q3</v>
      </c>
      <c r="B1044">
        <f>CALCULOS_AGENCIA!$A1044</f>
        <v>51014073</v>
      </c>
      <c r="C1044">
        <f>CALCULOS_AGENCIA!$U1044</f>
        <v>18.200000000000003</v>
      </c>
      <c r="D1044" t="str">
        <f>CALCULOS_AGENCIA!$V1044</f>
        <v>BRONCE</v>
      </c>
      <c r="E1044">
        <f>CALCULOS_AGENCIA!$AA1044</f>
        <v>1023</v>
      </c>
      <c r="F1044" s="3">
        <f t="shared" ca="1" si="16"/>
        <v>46087</v>
      </c>
    </row>
    <row r="1045" spans="1:6" x14ac:dyDescent="0.3">
      <c r="A1045" t="str">
        <f>PARAMS_MODELO!$B$3</f>
        <v>2025-Q3</v>
      </c>
      <c r="B1045">
        <f>CALCULOS_AGENCIA!$A1045</f>
        <v>51014154</v>
      </c>
      <c r="C1045">
        <f>CALCULOS_AGENCIA!$U1045</f>
        <v>13.02</v>
      </c>
      <c r="D1045" t="str">
        <f>CALCULOS_AGENCIA!$V1045</f>
        <v>BRONCE</v>
      </c>
      <c r="E1045">
        <f>CALCULOS_AGENCIA!$AA1045</f>
        <v>1112</v>
      </c>
      <c r="F1045" s="3">
        <f t="shared" ca="1" si="16"/>
        <v>46087</v>
      </c>
    </row>
    <row r="1046" spans="1:6" x14ac:dyDescent="0.3">
      <c r="A1046" t="str">
        <f>PARAMS_MODELO!$B$3</f>
        <v>2025-Q3</v>
      </c>
      <c r="B1046">
        <f>CALCULOS_AGENCIA!$A1046</f>
        <v>51014227</v>
      </c>
      <c r="C1046">
        <f>CALCULOS_AGENCIA!$U1046</f>
        <v>13.1</v>
      </c>
      <c r="D1046" t="str">
        <f>CALCULOS_AGENCIA!$V1046</f>
        <v>BRONCE</v>
      </c>
      <c r="E1046">
        <f>CALCULOS_AGENCIA!$AA1046</f>
        <v>1109</v>
      </c>
      <c r="F1046" s="3">
        <f t="shared" ca="1" si="16"/>
        <v>46087</v>
      </c>
    </row>
    <row r="1047" spans="1:6" x14ac:dyDescent="0.3">
      <c r="A1047" t="str">
        <f>PARAMS_MODELO!$B$3</f>
        <v>2025-Q3</v>
      </c>
      <c r="B1047">
        <f>CALCULOS_AGENCIA!$A1047</f>
        <v>51014651</v>
      </c>
      <c r="C1047">
        <f>CALCULOS_AGENCIA!$U1047</f>
        <v>13.8</v>
      </c>
      <c r="D1047" t="str">
        <f>CALCULOS_AGENCIA!$V1047</f>
        <v>BRONCE</v>
      </c>
      <c r="E1047">
        <f>CALCULOS_AGENCIA!$AA1047</f>
        <v>1090</v>
      </c>
      <c r="F1047" s="3">
        <f t="shared" ca="1" si="16"/>
        <v>46087</v>
      </c>
    </row>
    <row r="1048" spans="1:6" x14ac:dyDescent="0.3">
      <c r="A1048" t="str">
        <f>PARAMS_MODELO!$B$3</f>
        <v>2025-Q3</v>
      </c>
      <c r="B1048">
        <f>CALCULOS_AGENCIA!$A1048</f>
        <v>51014723</v>
      </c>
      <c r="C1048">
        <f>CALCULOS_AGENCIA!$U1048</f>
        <v>11.339999999999998</v>
      </c>
      <c r="D1048" t="str">
        <f>CALCULOS_AGENCIA!$V1048</f>
        <v>BRONCE</v>
      </c>
      <c r="E1048">
        <f>CALCULOS_AGENCIA!$AA1048</f>
        <v>1140</v>
      </c>
      <c r="F1048" s="3">
        <f t="shared" ca="1" si="16"/>
        <v>46087</v>
      </c>
    </row>
    <row r="1049" spans="1:6" x14ac:dyDescent="0.3">
      <c r="A1049" t="str">
        <f>PARAMS_MODELO!$B$3</f>
        <v>2025-Q3</v>
      </c>
      <c r="B1049">
        <f>CALCULOS_AGENCIA!$A1049</f>
        <v>51015282</v>
      </c>
      <c r="C1049">
        <f>CALCULOS_AGENCIA!$U1049</f>
        <v>12.540000000000001</v>
      </c>
      <c r="D1049" t="str">
        <f>CALCULOS_AGENCIA!$V1049</f>
        <v>BRONCE</v>
      </c>
      <c r="E1049">
        <f>CALCULOS_AGENCIA!$AA1049</f>
        <v>1124</v>
      </c>
      <c r="F1049" s="3">
        <f t="shared" ca="1" si="16"/>
        <v>46087</v>
      </c>
    </row>
    <row r="1050" spans="1:6" x14ac:dyDescent="0.3">
      <c r="A1050" t="str">
        <f>PARAMS_MODELO!$B$3</f>
        <v>2025-Q3</v>
      </c>
      <c r="B1050">
        <f>CALCULOS_AGENCIA!$A1050</f>
        <v>51015576</v>
      </c>
      <c r="C1050">
        <f>CALCULOS_AGENCIA!$U1050</f>
        <v>10.9</v>
      </c>
      <c r="D1050" t="str">
        <f>CALCULOS_AGENCIA!$V1050</f>
        <v>BRONCE</v>
      </c>
      <c r="E1050">
        <f>CALCULOS_AGENCIA!$AA1050</f>
        <v>1147</v>
      </c>
      <c r="F1050" s="3">
        <f t="shared" ca="1" si="16"/>
        <v>46087</v>
      </c>
    </row>
    <row r="1051" spans="1:6" x14ac:dyDescent="0.3">
      <c r="A1051" t="str">
        <f>PARAMS_MODELO!$B$3</f>
        <v>2025-Q3</v>
      </c>
      <c r="B1051">
        <f>CALCULOS_AGENCIA!$A1051</f>
        <v>51015690</v>
      </c>
      <c r="C1051">
        <f>CALCULOS_AGENCIA!$U1051</f>
        <v>10.8</v>
      </c>
      <c r="D1051" t="str">
        <f>CALCULOS_AGENCIA!$V1051</f>
        <v>BRONCE</v>
      </c>
      <c r="E1051">
        <f>CALCULOS_AGENCIA!$AA1051</f>
        <v>1149</v>
      </c>
      <c r="F1051" s="3">
        <f t="shared" ca="1" si="16"/>
        <v>46087</v>
      </c>
    </row>
    <row r="1052" spans="1:6" x14ac:dyDescent="0.3">
      <c r="A1052" t="str">
        <f>PARAMS_MODELO!$B$3</f>
        <v>2025-Q3</v>
      </c>
      <c r="B1052">
        <f>CALCULOS_AGENCIA!$A1052</f>
        <v>51015738</v>
      </c>
      <c r="C1052">
        <f>CALCULOS_AGENCIA!$U1052</f>
        <v>10.6</v>
      </c>
      <c r="D1052" t="str">
        <f>CALCULOS_AGENCIA!$V1052</f>
        <v>BRONCE</v>
      </c>
      <c r="E1052">
        <f>CALCULOS_AGENCIA!$AA1052</f>
        <v>1156</v>
      </c>
      <c r="F1052" s="3">
        <f t="shared" ca="1" si="16"/>
        <v>46087</v>
      </c>
    </row>
    <row r="1053" spans="1:6" x14ac:dyDescent="0.3">
      <c r="A1053" t="str">
        <f>PARAMS_MODELO!$B$3</f>
        <v>2025-Q3</v>
      </c>
      <c r="B1053">
        <f>CALCULOS_AGENCIA!$A1053</f>
        <v>51015959</v>
      </c>
      <c r="C1053">
        <f>CALCULOS_AGENCIA!$U1053</f>
        <v>12.529999999999998</v>
      </c>
      <c r="D1053" t="str">
        <f>CALCULOS_AGENCIA!$V1053</f>
        <v>BRONCE</v>
      </c>
      <c r="E1053">
        <f>CALCULOS_AGENCIA!$AA1053</f>
        <v>1125</v>
      </c>
      <c r="F1053" s="3">
        <f t="shared" ca="1" si="16"/>
        <v>46087</v>
      </c>
    </row>
    <row r="1054" spans="1:6" x14ac:dyDescent="0.3">
      <c r="A1054" t="str">
        <f>PARAMS_MODELO!$B$3</f>
        <v>2025-Q3</v>
      </c>
      <c r="B1054">
        <f>CALCULOS_AGENCIA!$A1054</f>
        <v>51015991</v>
      </c>
      <c r="C1054">
        <f>CALCULOS_AGENCIA!$U1054</f>
        <v>11.41</v>
      </c>
      <c r="D1054" t="str">
        <f>CALCULOS_AGENCIA!$V1054</f>
        <v>BRONCE</v>
      </c>
      <c r="E1054">
        <f>CALCULOS_AGENCIA!$AA1054</f>
        <v>1137</v>
      </c>
      <c r="F1054" s="3">
        <f t="shared" ca="1" si="16"/>
        <v>46087</v>
      </c>
    </row>
    <row r="1055" spans="1:6" x14ac:dyDescent="0.3">
      <c r="A1055" t="str">
        <f>PARAMS_MODELO!$B$3</f>
        <v>2025-Q3</v>
      </c>
      <c r="B1055">
        <f>CALCULOS_AGENCIA!$A1055</f>
        <v>51016122</v>
      </c>
      <c r="C1055">
        <f>CALCULOS_AGENCIA!$U1055</f>
        <v>12.7</v>
      </c>
      <c r="D1055" t="str">
        <f>CALCULOS_AGENCIA!$V1055</f>
        <v>BRONCE</v>
      </c>
      <c r="E1055">
        <f>CALCULOS_AGENCIA!$AA1055</f>
        <v>1120</v>
      </c>
      <c r="F1055" s="3">
        <f t="shared" ca="1" si="16"/>
        <v>46087</v>
      </c>
    </row>
    <row r="1056" spans="1:6" x14ac:dyDescent="0.3">
      <c r="A1056" t="str">
        <f>PARAMS_MODELO!$B$3</f>
        <v>2025-Q3</v>
      </c>
      <c r="B1056">
        <f>CALCULOS_AGENCIA!$A1056</f>
        <v>51016190</v>
      </c>
      <c r="C1056">
        <f>CALCULOS_AGENCIA!$U1056</f>
        <v>13.5</v>
      </c>
      <c r="D1056" t="str">
        <f>CALCULOS_AGENCIA!$V1056</f>
        <v>BRONCE</v>
      </c>
      <c r="E1056">
        <f>CALCULOS_AGENCIA!$AA1056</f>
        <v>1097</v>
      </c>
      <c r="F1056" s="3">
        <f t="shared" ca="1" si="16"/>
        <v>46087</v>
      </c>
    </row>
    <row r="1057" spans="1:6" x14ac:dyDescent="0.3">
      <c r="A1057" t="str">
        <f>PARAMS_MODELO!$B$3</f>
        <v>2025-Q3</v>
      </c>
      <c r="B1057">
        <f>CALCULOS_AGENCIA!$A1057</f>
        <v>51016505</v>
      </c>
      <c r="C1057">
        <f>CALCULOS_AGENCIA!$U1057</f>
        <v>11.398000000000001</v>
      </c>
      <c r="D1057" t="str">
        <f>CALCULOS_AGENCIA!$V1057</f>
        <v>BRONCE</v>
      </c>
      <c r="E1057">
        <f>CALCULOS_AGENCIA!$AA1057</f>
        <v>1139</v>
      </c>
      <c r="F1057" s="3">
        <f t="shared" ca="1" si="16"/>
        <v>46087</v>
      </c>
    </row>
    <row r="1058" spans="1:6" x14ac:dyDescent="0.3">
      <c r="A1058" t="str">
        <f>PARAMS_MODELO!$B$3</f>
        <v>2025-Q3</v>
      </c>
      <c r="B1058">
        <f>CALCULOS_AGENCIA!$A1058</f>
        <v>51016670</v>
      </c>
      <c r="C1058">
        <f>CALCULOS_AGENCIA!$U1058</f>
        <v>13.785</v>
      </c>
      <c r="D1058" t="str">
        <f>CALCULOS_AGENCIA!$V1058</f>
        <v>BRONCE</v>
      </c>
      <c r="E1058">
        <f>CALCULOS_AGENCIA!$AA1058</f>
        <v>1092</v>
      </c>
      <c r="F1058" s="3">
        <f t="shared" ca="1" si="16"/>
        <v>46087</v>
      </c>
    </row>
    <row r="1059" spans="1:6" x14ac:dyDescent="0.3">
      <c r="A1059" t="str">
        <f>PARAMS_MODELO!$B$3</f>
        <v>2025-Q3</v>
      </c>
      <c r="B1059">
        <f>CALCULOS_AGENCIA!$A1059</f>
        <v>51016751</v>
      </c>
      <c r="C1059">
        <f>CALCULOS_AGENCIA!$U1059</f>
        <v>13.86</v>
      </c>
      <c r="D1059" t="str">
        <f>CALCULOS_AGENCIA!$V1059</f>
        <v>BRONCE</v>
      </c>
      <c r="E1059">
        <f>CALCULOS_AGENCIA!$AA1059</f>
        <v>1089</v>
      </c>
      <c r="F1059" s="3">
        <f t="shared" ca="1" si="16"/>
        <v>46087</v>
      </c>
    </row>
    <row r="1060" spans="1:6" x14ac:dyDescent="0.3">
      <c r="A1060" t="str">
        <f>PARAMS_MODELO!$B$3</f>
        <v>2025-Q3</v>
      </c>
      <c r="B1060">
        <f>CALCULOS_AGENCIA!$A1060</f>
        <v>51016769</v>
      </c>
      <c r="C1060">
        <f>CALCULOS_AGENCIA!$U1060</f>
        <v>19.600000000000001</v>
      </c>
      <c r="D1060" t="str">
        <f>CALCULOS_AGENCIA!$V1060</f>
        <v>BRONCE</v>
      </c>
      <c r="E1060">
        <f>CALCULOS_AGENCIA!$AA1060</f>
        <v>984</v>
      </c>
      <c r="F1060" s="3">
        <f t="shared" ca="1" si="16"/>
        <v>46087</v>
      </c>
    </row>
    <row r="1061" spans="1:6" x14ac:dyDescent="0.3">
      <c r="A1061" t="str">
        <f>PARAMS_MODELO!$B$3</f>
        <v>2025-Q3</v>
      </c>
      <c r="B1061">
        <f>CALCULOS_AGENCIA!$A1061</f>
        <v>51016807</v>
      </c>
      <c r="C1061">
        <f>CALCULOS_AGENCIA!$U1061</f>
        <v>18.198</v>
      </c>
      <c r="D1061" t="str">
        <f>CALCULOS_AGENCIA!$V1061</f>
        <v>BRONCE</v>
      </c>
      <c r="E1061">
        <f>CALCULOS_AGENCIA!$AA1061</f>
        <v>1024</v>
      </c>
      <c r="F1061" s="3">
        <f t="shared" ca="1" si="16"/>
        <v>46087</v>
      </c>
    </row>
    <row r="1062" spans="1:6" x14ac:dyDescent="0.3">
      <c r="A1062" t="str">
        <f>PARAMS_MODELO!$B$3</f>
        <v>2025-Q3</v>
      </c>
      <c r="B1062">
        <f>CALCULOS_AGENCIA!$A1062</f>
        <v>51016912</v>
      </c>
      <c r="C1062">
        <f>CALCULOS_AGENCIA!$U1062</f>
        <v>12.67</v>
      </c>
      <c r="D1062" t="str">
        <f>CALCULOS_AGENCIA!$V1062</f>
        <v>BRONCE</v>
      </c>
      <c r="E1062">
        <f>CALCULOS_AGENCIA!$AA1062</f>
        <v>1122</v>
      </c>
      <c r="F1062" s="3">
        <f t="shared" ca="1" si="16"/>
        <v>46087</v>
      </c>
    </row>
    <row r="1063" spans="1:6" x14ac:dyDescent="0.3">
      <c r="A1063" t="str">
        <f>PARAMS_MODELO!$B$3</f>
        <v>2025-Q3</v>
      </c>
      <c r="B1063">
        <f>CALCULOS_AGENCIA!$A1063</f>
        <v>51017005</v>
      </c>
      <c r="C1063">
        <f>CALCULOS_AGENCIA!$U1063</f>
        <v>19.204999999999998</v>
      </c>
      <c r="D1063" t="str">
        <f>CALCULOS_AGENCIA!$V1063</f>
        <v>BRONCE</v>
      </c>
      <c r="E1063">
        <f>CALCULOS_AGENCIA!$AA1063</f>
        <v>995</v>
      </c>
      <c r="F1063" s="3">
        <f t="shared" ca="1" si="16"/>
        <v>46087</v>
      </c>
    </row>
    <row r="1064" spans="1:6" x14ac:dyDescent="0.3">
      <c r="A1064" t="str">
        <f>PARAMS_MODELO!$B$3</f>
        <v>2025-Q3</v>
      </c>
      <c r="B1064">
        <f>CALCULOS_AGENCIA!$A1064</f>
        <v>51017200</v>
      </c>
      <c r="C1064">
        <f>CALCULOS_AGENCIA!$U1064</f>
        <v>17.600000000000001</v>
      </c>
      <c r="D1064" t="str">
        <f>CALCULOS_AGENCIA!$V1064</f>
        <v>BRONCE</v>
      </c>
      <c r="E1064">
        <f>CALCULOS_AGENCIA!$AA1064</f>
        <v>1037</v>
      </c>
      <c r="F1064" s="3">
        <f t="shared" ca="1" si="16"/>
        <v>46087</v>
      </c>
    </row>
    <row r="1065" spans="1:6" x14ac:dyDescent="0.3">
      <c r="A1065" t="str">
        <f>PARAMS_MODELO!$B$3</f>
        <v>2025-Q3</v>
      </c>
      <c r="B1065">
        <f>CALCULOS_AGENCIA!$A1065</f>
        <v>51017692</v>
      </c>
      <c r="C1065">
        <f>CALCULOS_AGENCIA!$U1065</f>
        <v>10.3</v>
      </c>
      <c r="D1065" t="str">
        <f>CALCULOS_AGENCIA!$V1065</f>
        <v>BRONCE</v>
      </c>
      <c r="E1065">
        <f>CALCULOS_AGENCIA!$AA1065</f>
        <v>1164</v>
      </c>
      <c r="F1065" s="3">
        <f t="shared" ca="1" si="16"/>
        <v>46087</v>
      </c>
    </row>
    <row r="1066" spans="1:6" x14ac:dyDescent="0.3">
      <c r="A1066" t="str">
        <f>PARAMS_MODELO!$B$3</f>
        <v>2025-Q3</v>
      </c>
      <c r="B1066">
        <f>CALCULOS_AGENCIA!$A1066</f>
        <v>51017781</v>
      </c>
      <c r="C1066">
        <f>CALCULOS_AGENCIA!$U1066</f>
        <v>21.450000000000003</v>
      </c>
      <c r="D1066" t="str">
        <f>CALCULOS_AGENCIA!$V1066</f>
        <v>BRONCE</v>
      </c>
      <c r="E1066">
        <f>CALCULOS_AGENCIA!$AA1066</f>
        <v>957</v>
      </c>
      <c r="F1066" s="3">
        <f t="shared" ca="1" si="16"/>
        <v>46087</v>
      </c>
    </row>
    <row r="1067" spans="1:6" x14ac:dyDescent="0.3">
      <c r="A1067" t="str">
        <f>PARAMS_MODELO!$B$3</f>
        <v>2025-Q3</v>
      </c>
      <c r="B1067">
        <f>CALCULOS_AGENCIA!$A1067</f>
        <v>51018010</v>
      </c>
      <c r="C1067">
        <f>CALCULOS_AGENCIA!$U1067</f>
        <v>13.229999999999999</v>
      </c>
      <c r="D1067" t="str">
        <f>CALCULOS_AGENCIA!$V1067</f>
        <v>BRONCE</v>
      </c>
      <c r="E1067">
        <f>CALCULOS_AGENCIA!$AA1067</f>
        <v>1106</v>
      </c>
      <c r="F1067" s="3">
        <f t="shared" ca="1" si="16"/>
        <v>46087</v>
      </c>
    </row>
    <row r="1068" spans="1:6" x14ac:dyDescent="0.3">
      <c r="A1068" t="str">
        <f>PARAMS_MODELO!$B$3</f>
        <v>2025-Q3</v>
      </c>
      <c r="B1068">
        <f>CALCULOS_AGENCIA!$A1068</f>
        <v>51018168</v>
      </c>
      <c r="C1068">
        <f>CALCULOS_AGENCIA!$U1068</f>
        <v>10.57</v>
      </c>
      <c r="D1068" t="str">
        <f>CALCULOS_AGENCIA!$V1068</f>
        <v>BRONCE</v>
      </c>
      <c r="E1068">
        <f>CALCULOS_AGENCIA!$AA1068</f>
        <v>1158</v>
      </c>
      <c r="F1068" s="3">
        <f t="shared" ca="1" si="16"/>
        <v>46087</v>
      </c>
    </row>
    <row r="1069" spans="1:6" x14ac:dyDescent="0.3">
      <c r="A1069" t="str">
        <f>PARAMS_MODELO!$B$3</f>
        <v>2025-Q3</v>
      </c>
      <c r="B1069">
        <f>CALCULOS_AGENCIA!$A1069</f>
        <v>51018192</v>
      </c>
      <c r="C1069">
        <f>CALCULOS_AGENCIA!$U1069</f>
        <v>17.940000000000001</v>
      </c>
      <c r="D1069" t="str">
        <f>CALCULOS_AGENCIA!$V1069</f>
        <v>BRONCE</v>
      </c>
      <c r="E1069">
        <f>CALCULOS_AGENCIA!$AA1069</f>
        <v>1031</v>
      </c>
      <c r="F1069" s="3">
        <f t="shared" ca="1" si="16"/>
        <v>46087</v>
      </c>
    </row>
    <row r="1070" spans="1:6" x14ac:dyDescent="0.3">
      <c r="A1070" t="str">
        <f>PARAMS_MODELO!$B$3</f>
        <v>2025-Q3</v>
      </c>
      <c r="B1070">
        <f>CALCULOS_AGENCIA!$A1070</f>
        <v>51018281</v>
      </c>
      <c r="C1070">
        <f>CALCULOS_AGENCIA!$U1070</f>
        <v>20.239999999999998</v>
      </c>
      <c r="D1070" t="str">
        <f>CALCULOS_AGENCIA!$V1070</f>
        <v>BRONCE</v>
      </c>
      <c r="E1070">
        <f>CALCULOS_AGENCIA!$AA1070</f>
        <v>974</v>
      </c>
      <c r="F1070" s="3">
        <f t="shared" ca="1" si="16"/>
        <v>46087</v>
      </c>
    </row>
    <row r="1071" spans="1:6" x14ac:dyDescent="0.3">
      <c r="A1071" t="str">
        <f>PARAMS_MODELO!$B$3</f>
        <v>2025-Q3</v>
      </c>
      <c r="B1071">
        <f>CALCULOS_AGENCIA!$A1071</f>
        <v>51018915</v>
      </c>
      <c r="C1071">
        <f>CALCULOS_AGENCIA!$U1071</f>
        <v>19.3</v>
      </c>
      <c r="D1071" t="str">
        <f>CALCULOS_AGENCIA!$V1071</f>
        <v>BRONCE</v>
      </c>
      <c r="E1071">
        <f>CALCULOS_AGENCIA!$AA1071</f>
        <v>992</v>
      </c>
      <c r="F1071" s="3">
        <f t="shared" ca="1" si="16"/>
        <v>46087</v>
      </c>
    </row>
    <row r="1072" spans="1:6" x14ac:dyDescent="0.3">
      <c r="A1072" t="str">
        <f>PARAMS_MODELO!$B$3</f>
        <v>2025-Q3</v>
      </c>
      <c r="B1072">
        <f>CALCULOS_AGENCIA!$A1072</f>
        <v>51019075</v>
      </c>
      <c r="C1072">
        <f>CALCULOS_AGENCIA!$U1072</f>
        <v>16.2</v>
      </c>
      <c r="D1072" t="str">
        <f>CALCULOS_AGENCIA!$V1072</f>
        <v>BRONCE</v>
      </c>
      <c r="E1072">
        <f>CALCULOS_AGENCIA!$AA1072</f>
        <v>1063</v>
      </c>
      <c r="F1072" s="3">
        <f t="shared" ca="1" si="16"/>
        <v>46087</v>
      </c>
    </row>
    <row r="1073" spans="1:6" x14ac:dyDescent="0.3">
      <c r="A1073" t="str">
        <f>PARAMS_MODELO!$B$3</f>
        <v>2025-Q3</v>
      </c>
      <c r="B1073">
        <f>CALCULOS_AGENCIA!$A1073</f>
        <v>51019156</v>
      </c>
      <c r="C1073">
        <f>CALCULOS_AGENCIA!$U1073</f>
        <v>8.3999999999999986</v>
      </c>
      <c r="D1073" t="str">
        <f>CALCULOS_AGENCIA!$V1073</f>
        <v>BRONCE</v>
      </c>
      <c r="E1073">
        <f>CALCULOS_AGENCIA!$AA1073</f>
        <v>1180</v>
      </c>
      <c r="F1073" s="3">
        <f t="shared" ca="1" si="16"/>
        <v>46087</v>
      </c>
    </row>
    <row r="1074" spans="1:6" x14ac:dyDescent="0.3">
      <c r="A1074" t="str">
        <f>PARAMS_MODELO!$B$3</f>
        <v>2025-Q3</v>
      </c>
      <c r="B1074">
        <f>CALCULOS_AGENCIA!$A1074</f>
        <v>51019181</v>
      </c>
      <c r="C1074">
        <f>CALCULOS_AGENCIA!$U1074</f>
        <v>19.100000000000001</v>
      </c>
      <c r="D1074" t="str">
        <f>CALCULOS_AGENCIA!$V1074</f>
        <v>BRONCE</v>
      </c>
      <c r="E1074">
        <f>CALCULOS_AGENCIA!$AA1074</f>
        <v>1000</v>
      </c>
      <c r="F1074" s="3">
        <f t="shared" ca="1" si="16"/>
        <v>46087</v>
      </c>
    </row>
    <row r="1075" spans="1:6" x14ac:dyDescent="0.3">
      <c r="A1075" t="str">
        <f>PARAMS_MODELO!$B$3</f>
        <v>2025-Q3</v>
      </c>
      <c r="B1075">
        <f>CALCULOS_AGENCIA!$A1075</f>
        <v>51019237</v>
      </c>
      <c r="C1075">
        <f>CALCULOS_AGENCIA!$U1075</f>
        <v>19.14</v>
      </c>
      <c r="D1075" t="str">
        <f>CALCULOS_AGENCIA!$V1075</f>
        <v>BRONCE</v>
      </c>
      <c r="E1075">
        <f>CALCULOS_AGENCIA!$AA1075</f>
        <v>998</v>
      </c>
      <c r="F1075" s="3">
        <f t="shared" ca="1" si="16"/>
        <v>46087</v>
      </c>
    </row>
    <row r="1076" spans="1:6" x14ac:dyDescent="0.3">
      <c r="A1076" t="str">
        <f>PARAMS_MODELO!$B$3</f>
        <v>2025-Q3</v>
      </c>
      <c r="B1076">
        <f>CALCULOS_AGENCIA!$A1076</f>
        <v>51019351</v>
      </c>
      <c r="C1076">
        <f>CALCULOS_AGENCIA!$U1076</f>
        <v>14.8</v>
      </c>
      <c r="D1076" t="str">
        <f>CALCULOS_AGENCIA!$V1076</f>
        <v>BRONCE</v>
      </c>
      <c r="E1076">
        <f>CALCULOS_AGENCIA!$AA1076</f>
        <v>1081</v>
      </c>
      <c r="F1076" s="3">
        <f t="shared" ca="1" si="16"/>
        <v>46087</v>
      </c>
    </row>
    <row r="1077" spans="1:6" x14ac:dyDescent="0.3">
      <c r="A1077" t="str">
        <f>PARAMS_MODELO!$B$3</f>
        <v>2025-Q3</v>
      </c>
      <c r="B1077">
        <f>CALCULOS_AGENCIA!$A1077</f>
        <v>51019725</v>
      </c>
      <c r="C1077">
        <f>CALCULOS_AGENCIA!$U1077</f>
        <v>20.239999999999998</v>
      </c>
      <c r="D1077" t="str">
        <f>CALCULOS_AGENCIA!$V1077</f>
        <v>BRONCE</v>
      </c>
      <c r="E1077">
        <f>CALCULOS_AGENCIA!$AA1077</f>
        <v>974</v>
      </c>
      <c r="F1077" s="3">
        <f t="shared" ca="1" si="16"/>
        <v>46087</v>
      </c>
    </row>
    <row r="1078" spans="1:6" x14ac:dyDescent="0.3">
      <c r="A1078" t="str">
        <f>PARAMS_MODELO!$B$3</f>
        <v>2025-Q3</v>
      </c>
      <c r="B1078">
        <f>CALCULOS_AGENCIA!$A1078</f>
        <v>51019768</v>
      </c>
      <c r="C1078">
        <f>CALCULOS_AGENCIA!$U1078</f>
        <v>12.4</v>
      </c>
      <c r="D1078" t="str">
        <f>CALCULOS_AGENCIA!$V1078</f>
        <v>BRONCE</v>
      </c>
      <c r="E1078">
        <f>CALCULOS_AGENCIA!$AA1078</f>
        <v>1128</v>
      </c>
      <c r="F1078" s="3">
        <f t="shared" ca="1" si="16"/>
        <v>46087</v>
      </c>
    </row>
    <row r="1079" spans="1:6" x14ac:dyDescent="0.3">
      <c r="A1079" t="str">
        <f>PARAMS_MODELO!$B$3</f>
        <v>2025-Q3</v>
      </c>
      <c r="B1079">
        <f>CALCULOS_AGENCIA!$A1079</f>
        <v>51020120</v>
      </c>
      <c r="C1079">
        <f>CALCULOS_AGENCIA!$U1079</f>
        <v>19.910000000000004</v>
      </c>
      <c r="D1079" t="str">
        <f>CALCULOS_AGENCIA!$V1079</f>
        <v>BRONCE</v>
      </c>
      <c r="E1079">
        <f>CALCULOS_AGENCIA!$AA1079</f>
        <v>977</v>
      </c>
      <c r="F1079" s="3">
        <f t="shared" ca="1" si="16"/>
        <v>46087</v>
      </c>
    </row>
    <row r="1080" spans="1:6" x14ac:dyDescent="0.3">
      <c r="A1080" t="str">
        <f>PARAMS_MODELO!$B$3</f>
        <v>2025-Q3</v>
      </c>
      <c r="B1080">
        <f>CALCULOS_AGENCIA!$A1080</f>
        <v>51020154</v>
      </c>
      <c r="C1080">
        <f>CALCULOS_AGENCIA!$U1080</f>
        <v>14.080000000000002</v>
      </c>
      <c r="D1080" t="str">
        <f>CALCULOS_AGENCIA!$V1080</f>
        <v>BRONCE</v>
      </c>
      <c r="E1080">
        <f>CALCULOS_AGENCIA!$AA1080</f>
        <v>1088</v>
      </c>
      <c r="F1080" s="3">
        <f t="shared" ca="1" si="16"/>
        <v>46087</v>
      </c>
    </row>
    <row r="1081" spans="1:6" x14ac:dyDescent="0.3">
      <c r="A1081" t="str">
        <f>PARAMS_MODELO!$B$3</f>
        <v>2025-Q3</v>
      </c>
      <c r="B1081">
        <f>CALCULOS_AGENCIA!$A1081</f>
        <v>51020740</v>
      </c>
      <c r="C1081">
        <f>CALCULOS_AGENCIA!$U1081</f>
        <v>19.48</v>
      </c>
      <c r="D1081" t="str">
        <f>CALCULOS_AGENCIA!$V1081</f>
        <v>BRONCE</v>
      </c>
      <c r="E1081">
        <f>CALCULOS_AGENCIA!$AA1081</f>
        <v>989</v>
      </c>
      <c r="F1081" s="3">
        <f t="shared" ca="1" si="16"/>
        <v>46087</v>
      </c>
    </row>
    <row r="1082" spans="1:6" x14ac:dyDescent="0.3">
      <c r="A1082" t="str">
        <f>PARAMS_MODELO!$B$3</f>
        <v>2025-Q3</v>
      </c>
      <c r="B1082">
        <f>CALCULOS_AGENCIA!$A1082</f>
        <v>51021151</v>
      </c>
      <c r="C1082">
        <f>CALCULOS_AGENCIA!$U1082</f>
        <v>18.600000000000001</v>
      </c>
      <c r="D1082" t="str">
        <f>CALCULOS_AGENCIA!$V1082</f>
        <v>BRONCE</v>
      </c>
      <c r="E1082">
        <f>CALCULOS_AGENCIA!$AA1082</f>
        <v>1016</v>
      </c>
      <c r="F1082" s="3">
        <f t="shared" ca="1" si="16"/>
        <v>46087</v>
      </c>
    </row>
    <row r="1083" spans="1:6" x14ac:dyDescent="0.3">
      <c r="A1083" t="str">
        <f>PARAMS_MODELO!$B$3</f>
        <v>2025-Q3</v>
      </c>
      <c r="B1083">
        <f>CALCULOS_AGENCIA!$A1083</f>
        <v>51021525</v>
      </c>
      <c r="C1083">
        <f>CALCULOS_AGENCIA!$U1083</f>
        <v>15.100000000000001</v>
      </c>
      <c r="D1083" t="str">
        <f>CALCULOS_AGENCIA!$V1083</f>
        <v>BRONCE</v>
      </c>
      <c r="E1083">
        <f>CALCULOS_AGENCIA!$AA1083</f>
        <v>1078</v>
      </c>
      <c r="F1083" s="3">
        <f t="shared" ca="1" si="16"/>
        <v>46087</v>
      </c>
    </row>
    <row r="1084" spans="1:6" x14ac:dyDescent="0.3">
      <c r="A1084" t="str">
        <f>PARAMS_MODELO!$B$3</f>
        <v>2025-Q3</v>
      </c>
      <c r="B1084">
        <f>CALCULOS_AGENCIA!$A1084</f>
        <v>51021649</v>
      </c>
      <c r="C1084">
        <f>CALCULOS_AGENCIA!$U1084</f>
        <v>15</v>
      </c>
      <c r="D1084" t="str">
        <f>CALCULOS_AGENCIA!$V1084</f>
        <v>BRONCE</v>
      </c>
      <c r="E1084">
        <f>CALCULOS_AGENCIA!$AA1084</f>
        <v>1079</v>
      </c>
      <c r="F1084" s="3">
        <f t="shared" ca="1" si="16"/>
        <v>46087</v>
      </c>
    </row>
    <row r="1085" spans="1:6" x14ac:dyDescent="0.3">
      <c r="A1085" t="str">
        <f>PARAMS_MODELO!$B$3</f>
        <v>2025-Q3</v>
      </c>
      <c r="B1085">
        <f>CALCULOS_AGENCIA!$A1085</f>
        <v>51021908</v>
      </c>
      <c r="C1085">
        <f>CALCULOS_AGENCIA!$U1085</f>
        <v>10.199999999999999</v>
      </c>
      <c r="D1085" t="str">
        <f>CALCULOS_AGENCIA!$V1085</f>
        <v>BRONCE</v>
      </c>
      <c r="E1085">
        <f>CALCULOS_AGENCIA!$AA1085</f>
        <v>1167</v>
      </c>
      <c r="F1085" s="3">
        <f t="shared" ca="1" si="16"/>
        <v>46087</v>
      </c>
    </row>
    <row r="1086" spans="1:6" x14ac:dyDescent="0.3">
      <c r="A1086" t="str">
        <f>PARAMS_MODELO!$B$3</f>
        <v>2025-Q3</v>
      </c>
      <c r="B1086">
        <f>CALCULOS_AGENCIA!$A1086</f>
        <v>51021924</v>
      </c>
      <c r="C1086">
        <f>CALCULOS_AGENCIA!$U1086</f>
        <v>17.399999999999999</v>
      </c>
      <c r="D1086" t="str">
        <f>CALCULOS_AGENCIA!$V1086</f>
        <v>BRONCE</v>
      </c>
      <c r="E1086">
        <f>CALCULOS_AGENCIA!$AA1086</f>
        <v>1042</v>
      </c>
      <c r="F1086" s="3">
        <f t="shared" ca="1" si="16"/>
        <v>46087</v>
      </c>
    </row>
    <row r="1087" spans="1:6" x14ac:dyDescent="0.3">
      <c r="A1087" t="str">
        <f>PARAMS_MODELO!$B$3</f>
        <v>2025-Q3</v>
      </c>
      <c r="B1087">
        <f>CALCULOS_AGENCIA!$A1087</f>
        <v>51022203</v>
      </c>
      <c r="C1087">
        <f>CALCULOS_AGENCIA!$U1087</f>
        <v>10.29</v>
      </c>
      <c r="D1087" t="str">
        <f>CALCULOS_AGENCIA!$V1087</f>
        <v>BRONCE</v>
      </c>
      <c r="E1087">
        <f>CALCULOS_AGENCIA!$AA1087</f>
        <v>1166</v>
      </c>
      <c r="F1087" s="3">
        <f t="shared" ca="1" si="16"/>
        <v>46087</v>
      </c>
    </row>
    <row r="1088" spans="1:6" x14ac:dyDescent="0.3">
      <c r="A1088" t="str">
        <f>PARAMS_MODELO!$B$3</f>
        <v>2025-Q3</v>
      </c>
      <c r="B1088">
        <f>CALCULOS_AGENCIA!$A1088</f>
        <v>51022271</v>
      </c>
      <c r="C1088">
        <f>CALCULOS_AGENCIA!$U1088</f>
        <v>12.179999999999998</v>
      </c>
      <c r="D1088" t="str">
        <f>CALCULOS_AGENCIA!$V1088</f>
        <v>BRONCE</v>
      </c>
      <c r="E1088">
        <f>CALCULOS_AGENCIA!$AA1088</f>
        <v>1131</v>
      </c>
      <c r="F1088" s="3">
        <f t="shared" ca="1" si="16"/>
        <v>46087</v>
      </c>
    </row>
    <row r="1089" spans="1:6" x14ac:dyDescent="0.3">
      <c r="A1089" t="str">
        <f>PARAMS_MODELO!$B$3</f>
        <v>2025-Q3</v>
      </c>
      <c r="B1089">
        <f>CALCULOS_AGENCIA!$A1089</f>
        <v>51022297</v>
      </c>
      <c r="C1089">
        <f>CALCULOS_AGENCIA!$U1089</f>
        <v>18.974999999999998</v>
      </c>
      <c r="D1089" t="str">
        <f>CALCULOS_AGENCIA!$V1089</f>
        <v>BRONCE</v>
      </c>
      <c r="E1089">
        <f>CALCULOS_AGENCIA!$AA1089</f>
        <v>1002</v>
      </c>
      <c r="F1089" s="3">
        <f t="shared" ca="1" si="16"/>
        <v>46087</v>
      </c>
    </row>
    <row r="1090" spans="1:6" x14ac:dyDescent="0.3">
      <c r="A1090" t="str">
        <f>PARAMS_MODELO!$B$3</f>
        <v>2025-Q3</v>
      </c>
      <c r="B1090">
        <f>CALCULOS_AGENCIA!$A1090</f>
        <v>51022807</v>
      </c>
      <c r="C1090">
        <f>CALCULOS_AGENCIA!$U1090</f>
        <v>18.84</v>
      </c>
      <c r="D1090" t="str">
        <f>CALCULOS_AGENCIA!$V1090</f>
        <v>BRONCE</v>
      </c>
      <c r="E1090">
        <f>CALCULOS_AGENCIA!$AA1090</f>
        <v>1009</v>
      </c>
      <c r="F1090" s="3">
        <f t="shared" ref="F1090:F1153" ca="1" si="17">TODAY()</f>
        <v>46087</v>
      </c>
    </row>
    <row r="1091" spans="1:6" x14ac:dyDescent="0.3">
      <c r="A1091" t="str">
        <f>PARAMS_MODELO!$B$3</f>
        <v>2025-Q3</v>
      </c>
      <c r="B1091">
        <f>CALCULOS_AGENCIA!$A1091</f>
        <v>51022891</v>
      </c>
      <c r="C1091">
        <f>CALCULOS_AGENCIA!$U1091</f>
        <v>9.31</v>
      </c>
      <c r="D1091" t="str">
        <f>CALCULOS_AGENCIA!$V1091</f>
        <v>BRONCE</v>
      </c>
      <c r="E1091">
        <f>CALCULOS_AGENCIA!$AA1091</f>
        <v>1174</v>
      </c>
      <c r="F1091" s="3">
        <f t="shared" ca="1" si="17"/>
        <v>46087</v>
      </c>
    </row>
    <row r="1092" spans="1:6" x14ac:dyDescent="0.3">
      <c r="A1092" t="str">
        <f>PARAMS_MODELO!$B$3</f>
        <v>2025-Q3</v>
      </c>
      <c r="B1092">
        <f>CALCULOS_AGENCIA!$A1092</f>
        <v>51022939</v>
      </c>
      <c r="C1092">
        <f>CALCULOS_AGENCIA!$U1092</f>
        <v>10.639999999999999</v>
      </c>
      <c r="D1092" t="str">
        <f>CALCULOS_AGENCIA!$V1092</f>
        <v>BRONCE</v>
      </c>
      <c r="E1092">
        <f>CALCULOS_AGENCIA!$AA1092</f>
        <v>1154</v>
      </c>
      <c r="F1092" s="3">
        <f t="shared" ca="1" si="17"/>
        <v>46087</v>
      </c>
    </row>
    <row r="1093" spans="1:6" x14ac:dyDescent="0.3">
      <c r="A1093" t="str">
        <f>PARAMS_MODELO!$B$3</f>
        <v>2025-Q3</v>
      </c>
      <c r="B1093">
        <f>CALCULOS_AGENCIA!$A1093</f>
        <v>51023323</v>
      </c>
      <c r="C1093">
        <f>CALCULOS_AGENCIA!$U1093</f>
        <v>10.149999999999999</v>
      </c>
      <c r="D1093" t="str">
        <f>CALCULOS_AGENCIA!$V1093</f>
        <v>BRONCE</v>
      </c>
      <c r="E1093">
        <f>CALCULOS_AGENCIA!$AA1093</f>
        <v>1168</v>
      </c>
      <c r="F1093" s="3">
        <f t="shared" ca="1" si="17"/>
        <v>46087</v>
      </c>
    </row>
    <row r="1094" spans="1:6" x14ac:dyDescent="0.3">
      <c r="A1094" t="str">
        <f>PARAMS_MODELO!$B$3</f>
        <v>2025-Q3</v>
      </c>
      <c r="B1094">
        <f>CALCULOS_AGENCIA!$A1094</f>
        <v>51023447</v>
      </c>
      <c r="C1094">
        <f>CALCULOS_AGENCIA!$U1094</f>
        <v>11.129999999999999</v>
      </c>
      <c r="D1094" t="str">
        <f>CALCULOS_AGENCIA!$V1094</f>
        <v>BRONCE</v>
      </c>
      <c r="E1094">
        <f>CALCULOS_AGENCIA!$AA1094</f>
        <v>1143</v>
      </c>
      <c r="F1094" s="3">
        <f t="shared" ca="1" si="17"/>
        <v>46087</v>
      </c>
    </row>
    <row r="1095" spans="1:6" x14ac:dyDescent="0.3">
      <c r="A1095" t="str">
        <f>PARAMS_MODELO!$B$3</f>
        <v>2025-Q3</v>
      </c>
      <c r="B1095">
        <f>CALCULOS_AGENCIA!$A1095</f>
        <v>51023463</v>
      </c>
      <c r="C1095">
        <f>CALCULOS_AGENCIA!$U1095</f>
        <v>15.290000000000001</v>
      </c>
      <c r="D1095" t="str">
        <f>CALCULOS_AGENCIA!$V1095</f>
        <v>BRONCE</v>
      </c>
      <c r="E1095">
        <f>CALCULOS_AGENCIA!$AA1095</f>
        <v>1076</v>
      </c>
      <c r="F1095" s="3">
        <f t="shared" ca="1" si="17"/>
        <v>46087</v>
      </c>
    </row>
    <row r="1096" spans="1:6" x14ac:dyDescent="0.3">
      <c r="A1096" t="str">
        <f>PARAMS_MODELO!$B$3</f>
        <v>2025-Q3</v>
      </c>
      <c r="B1096">
        <f>CALCULOS_AGENCIA!$A1096</f>
        <v>51023510</v>
      </c>
      <c r="C1096">
        <f>CALCULOS_AGENCIA!$U1096</f>
        <v>21.734999999999996</v>
      </c>
      <c r="D1096" t="str">
        <f>CALCULOS_AGENCIA!$V1096</f>
        <v>BRONCE</v>
      </c>
      <c r="E1096">
        <f>CALCULOS_AGENCIA!$AA1096</f>
        <v>951</v>
      </c>
      <c r="F1096" s="3">
        <f t="shared" ca="1" si="17"/>
        <v>46087</v>
      </c>
    </row>
    <row r="1097" spans="1:6" x14ac:dyDescent="0.3">
      <c r="A1097" t="str">
        <f>PARAMS_MODELO!$B$3</f>
        <v>2025-Q3</v>
      </c>
      <c r="B1097">
        <f>CALCULOS_AGENCIA!$A1097</f>
        <v>51024338</v>
      </c>
      <c r="C1097">
        <f>CALCULOS_AGENCIA!$U1097</f>
        <v>10.4</v>
      </c>
      <c r="D1097" t="str">
        <f>CALCULOS_AGENCIA!$V1097</f>
        <v>BRONCE</v>
      </c>
      <c r="E1097">
        <f>CALCULOS_AGENCIA!$AA1097</f>
        <v>1162</v>
      </c>
      <c r="F1097" s="3">
        <f t="shared" ca="1" si="17"/>
        <v>46087</v>
      </c>
    </row>
    <row r="1098" spans="1:6" x14ac:dyDescent="0.3">
      <c r="A1098" t="str">
        <f>PARAMS_MODELO!$B$3</f>
        <v>2025-Q3</v>
      </c>
      <c r="B1098">
        <f>CALCULOS_AGENCIA!$A1098</f>
        <v>51024346</v>
      </c>
      <c r="C1098">
        <f>CALCULOS_AGENCIA!$U1098</f>
        <v>20.680000000000003</v>
      </c>
      <c r="D1098" t="str">
        <f>CALCULOS_AGENCIA!$V1098</f>
        <v>BRONCE</v>
      </c>
      <c r="E1098">
        <f>CALCULOS_AGENCIA!$AA1098</f>
        <v>967</v>
      </c>
      <c r="F1098" s="3">
        <f t="shared" ca="1" si="17"/>
        <v>46087</v>
      </c>
    </row>
    <row r="1099" spans="1:6" x14ac:dyDescent="0.3">
      <c r="A1099" t="str">
        <f>PARAMS_MODELO!$B$3</f>
        <v>2025-Q3</v>
      </c>
      <c r="B1099">
        <f>CALCULOS_AGENCIA!$A1099</f>
        <v>51024354</v>
      </c>
      <c r="C1099">
        <f>CALCULOS_AGENCIA!$U1099</f>
        <v>12.7</v>
      </c>
      <c r="D1099" t="str">
        <f>CALCULOS_AGENCIA!$V1099</f>
        <v>BRONCE</v>
      </c>
      <c r="E1099">
        <f>CALCULOS_AGENCIA!$AA1099</f>
        <v>1120</v>
      </c>
      <c r="F1099" s="3">
        <f t="shared" ca="1" si="17"/>
        <v>46087</v>
      </c>
    </row>
    <row r="1100" spans="1:6" x14ac:dyDescent="0.3">
      <c r="A1100" t="str">
        <f>PARAMS_MODELO!$B$3</f>
        <v>2025-Q3</v>
      </c>
      <c r="B1100">
        <f>CALCULOS_AGENCIA!$A1100</f>
        <v>51024788</v>
      </c>
      <c r="C1100">
        <f>CALCULOS_AGENCIA!$U1100</f>
        <v>13.6</v>
      </c>
      <c r="D1100" t="str">
        <f>CALCULOS_AGENCIA!$V1100</f>
        <v>BRONCE</v>
      </c>
      <c r="E1100">
        <f>CALCULOS_AGENCIA!$AA1100</f>
        <v>1096</v>
      </c>
      <c r="F1100" s="3">
        <f t="shared" ca="1" si="17"/>
        <v>46087</v>
      </c>
    </row>
    <row r="1101" spans="1:6" x14ac:dyDescent="0.3">
      <c r="A1101" t="str">
        <f>PARAMS_MODELO!$B$3</f>
        <v>2025-Q3</v>
      </c>
      <c r="B1101">
        <f>CALCULOS_AGENCIA!$A1101</f>
        <v>51024907</v>
      </c>
      <c r="C1101">
        <f>CALCULOS_AGENCIA!$U1101</f>
        <v>12.879999999999999</v>
      </c>
      <c r="D1101" t="str">
        <f>CALCULOS_AGENCIA!$V1101</f>
        <v>BRONCE</v>
      </c>
      <c r="E1101">
        <f>CALCULOS_AGENCIA!$AA1101</f>
        <v>1116</v>
      </c>
      <c r="F1101" s="3">
        <f t="shared" ca="1" si="17"/>
        <v>46087</v>
      </c>
    </row>
    <row r="1102" spans="1:6" x14ac:dyDescent="0.3">
      <c r="A1102" t="str">
        <f>PARAMS_MODELO!$B$3</f>
        <v>2025-Q3</v>
      </c>
      <c r="B1102">
        <f>CALCULOS_AGENCIA!$A1102</f>
        <v>51025598</v>
      </c>
      <c r="C1102">
        <f>CALCULOS_AGENCIA!$U1102</f>
        <v>12.764999999999999</v>
      </c>
      <c r="D1102" t="str">
        <f>CALCULOS_AGENCIA!$V1102</f>
        <v>BRONCE</v>
      </c>
      <c r="E1102">
        <f>CALCULOS_AGENCIA!$AA1102</f>
        <v>1119</v>
      </c>
      <c r="F1102" s="3">
        <f t="shared" ca="1" si="17"/>
        <v>46087</v>
      </c>
    </row>
    <row r="1103" spans="1:6" x14ac:dyDescent="0.3">
      <c r="A1103" t="str">
        <f>PARAMS_MODELO!$B$3</f>
        <v>2025-Q3</v>
      </c>
      <c r="B1103">
        <f>CALCULOS_AGENCIA!$A1103</f>
        <v>51025601</v>
      </c>
      <c r="C1103">
        <f>CALCULOS_AGENCIA!$U1103</f>
        <v>7.3044999999999982</v>
      </c>
      <c r="D1103" t="str">
        <f>CALCULOS_AGENCIA!$V1103</f>
        <v>BRONCE</v>
      </c>
      <c r="E1103">
        <f>CALCULOS_AGENCIA!$AA1103</f>
        <v>1192</v>
      </c>
      <c r="F1103" s="3">
        <f t="shared" ca="1" si="17"/>
        <v>46087</v>
      </c>
    </row>
    <row r="1104" spans="1:6" x14ac:dyDescent="0.3">
      <c r="A1104" t="str">
        <f>PARAMS_MODELO!$B$3</f>
        <v>2025-Q3</v>
      </c>
      <c r="B1104">
        <f>CALCULOS_AGENCIA!$A1104</f>
        <v>51025881</v>
      </c>
      <c r="C1104">
        <f>CALCULOS_AGENCIA!$U1104</f>
        <v>11.2</v>
      </c>
      <c r="D1104" t="str">
        <f>CALCULOS_AGENCIA!$V1104</f>
        <v>BRONCE</v>
      </c>
      <c r="E1104">
        <f>CALCULOS_AGENCIA!$AA1104</f>
        <v>1142</v>
      </c>
      <c r="F1104" s="3">
        <f t="shared" ca="1" si="17"/>
        <v>46087</v>
      </c>
    </row>
    <row r="1105" spans="1:6" x14ac:dyDescent="0.3">
      <c r="A1105" t="str">
        <f>PARAMS_MODELO!$B$3</f>
        <v>2025-Q3</v>
      </c>
      <c r="B1105">
        <f>CALCULOS_AGENCIA!$A1105</f>
        <v>51028856</v>
      </c>
      <c r="C1105">
        <f>CALCULOS_AGENCIA!$U1105</f>
        <v>19.700000000000003</v>
      </c>
      <c r="D1105" t="str">
        <f>CALCULOS_AGENCIA!$V1105</f>
        <v>BRONCE</v>
      </c>
      <c r="E1105">
        <f>CALCULOS_AGENCIA!$AA1105</f>
        <v>983</v>
      </c>
      <c r="F1105" s="3">
        <f t="shared" ca="1" si="17"/>
        <v>46087</v>
      </c>
    </row>
    <row r="1106" spans="1:6" x14ac:dyDescent="0.3">
      <c r="A1106" t="str">
        <f>PARAMS_MODELO!$B$3</f>
        <v>2025-Q3</v>
      </c>
      <c r="B1106">
        <f>CALCULOS_AGENCIA!$A1106</f>
        <v>51030087</v>
      </c>
      <c r="C1106">
        <f>CALCULOS_AGENCIA!$U1106</f>
        <v>16.7</v>
      </c>
      <c r="D1106" t="str">
        <f>CALCULOS_AGENCIA!$V1106</f>
        <v>BRONCE</v>
      </c>
      <c r="E1106">
        <f>CALCULOS_AGENCIA!$AA1106</f>
        <v>1056</v>
      </c>
      <c r="F1106" s="3">
        <f t="shared" ca="1" si="17"/>
        <v>46087</v>
      </c>
    </row>
    <row r="1107" spans="1:6" x14ac:dyDescent="0.3">
      <c r="A1107" t="str">
        <f>PARAMS_MODELO!$B$3</f>
        <v>2025-Q3</v>
      </c>
      <c r="B1107">
        <f>CALCULOS_AGENCIA!$A1107</f>
        <v>51030206</v>
      </c>
      <c r="C1107">
        <f>CALCULOS_AGENCIA!$U1107</f>
        <v>14.503499999999999</v>
      </c>
      <c r="D1107" t="str">
        <f>CALCULOS_AGENCIA!$V1107</f>
        <v>BRONCE</v>
      </c>
      <c r="E1107">
        <f>CALCULOS_AGENCIA!$AA1107</f>
        <v>1082</v>
      </c>
      <c r="F1107" s="3">
        <f t="shared" ca="1" si="17"/>
        <v>46087</v>
      </c>
    </row>
    <row r="1108" spans="1:6" x14ac:dyDescent="0.3">
      <c r="A1108" t="str">
        <f>PARAMS_MODELO!$B$3</f>
        <v>2025-Q3</v>
      </c>
      <c r="B1108">
        <f>CALCULOS_AGENCIA!$A1108</f>
        <v>51030630</v>
      </c>
      <c r="C1108">
        <f>CALCULOS_AGENCIA!$U1108</f>
        <v>13.16</v>
      </c>
      <c r="D1108" t="str">
        <f>CALCULOS_AGENCIA!$V1108</f>
        <v>BRONCE</v>
      </c>
      <c r="E1108">
        <f>CALCULOS_AGENCIA!$AA1108</f>
        <v>1108</v>
      </c>
      <c r="F1108" s="3">
        <f t="shared" ca="1" si="17"/>
        <v>46087</v>
      </c>
    </row>
    <row r="1109" spans="1:6" x14ac:dyDescent="0.3">
      <c r="A1109" t="str">
        <f>PARAMS_MODELO!$B$3</f>
        <v>2025-Q3</v>
      </c>
      <c r="B1109">
        <f>CALCULOS_AGENCIA!$A1109</f>
        <v>51030745</v>
      </c>
      <c r="C1109">
        <f>CALCULOS_AGENCIA!$U1109</f>
        <v>19.5</v>
      </c>
      <c r="D1109" t="str">
        <f>CALCULOS_AGENCIA!$V1109</f>
        <v>BRONCE</v>
      </c>
      <c r="E1109">
        <f>CALCULOS_AGENCIA!$AA1109</f>
        <v>987</v>
      </c>
      <c r="F1109" s="3">
        <f t="shared" ca="1" si="17"/>
        <v>46087</v>
      </c>
    </row>
    <row r="1110" spans="1:6" x14ac:dyDescent="0.3">
      <c r="A1110" t="str">
        <f>PARAMS_MODELO!$B$3</f>
        <v>2025-Q3</v>
      </c>
      <c r="B1110">
        <f>CALCULOS_AGENCIA!$A1110</f>
        <v>51030796</v>
      </c>
      <c r="C1110">
        <f>CALCULOS_AGENCIA!$U1110</f>
        <v>13.1</v>
      </c>
      <c r="D1110" t="str">
        <f>CALCULOS_AGENCIA!$V1110</f>
        <v>BRONCE</v>
      </c>
      <c r="E1110">
        <f>CALCULOS_AGENCIA!$AA1110</f>
        <v>1109</v>
      </c>
      <c r="F1110" s="3">
        <f t="shared" ca="1" si="17"/>
        <v>46087</v>
      </c>
    </row>
    <row r="1111" spans="1:6" x14ac:dyDescent="0.3">
      <c r="A1111" t="str">
        <f>PARAMS_MODELO!$B$3</f>
        <v>2025-Q3</v>
      </c>
      <c r="B1111">
        <f>CALCULOS_AGENCIA!$A1111</f>
        <v>51030966</v>
      </c>
      <c r="C1111">
        <f>CALCULOS_AGENCIA!$U1111</f>
        <v>16.610000000000003</v>
      </c>
      <c r="D1111" t="str">
        <f>CALCULOS_AGENCIA!$V1111</f>
        <v>BRONCE</v>
      </c>
      <c r="E1111">
        <f>CALCULOS_AGENCIA!$AA1111</f>
        <v>1057</v>
      </c>
      <c r="F1111" s="3">
        <f t="shared" ca="1" si="17"/>
        <v>46087</v>
      </c>
    </row>
    <row r="1112" spans="1:6" x14ac:dyDescent="0.3">
      <c r="A1112" t="str">
        <f>PARAMS_MODELO!$B$3</f>
        <v>2025-Q3</v>
      </c>
      <c r="B1112">
        <f>CALCULOS_AGENCIA!$A1112</f>
        <v>51031067</v>
      </c>
      <c r="C1112">
        <f>CALCULOS_AGENCIA!$U1112</f>
        <v>10.639999999999999</v>
      </c>
      <c r="D1112" t="str">
        <f>CALCULOS_AGENCIA!$V1112</f>
        <v>BRONCE</v>
      </c>
      <c r="E1112">
        <f>CALCULOS_AGENCIA!$AA1112</f>
        <v>1154</v>
      </c>
      <c r="F1112" s="3">
        <f t="shared" ca="1" si="17"/>
        <v>46087</v>
      </c>
    </row>
    <row r="1113" spans="1:6" x14ac:dyDescent="0.3">
      <c r="A1113" t="str">
        <f>PARAMS_MODELO!$B$3</f>
        <v>2025-Q3</v>
      </c>
      <c r="B1113">
        <f>CALCULOS_AGENCIA!$A1113</f>
        <v>51031091</v>
      </c>
      <c r="C1113">
        <f>CALCULOS_AGENCIA!$U1113</f>
        <v>16.2</v>
      </c>
      <c r="D1113" t="str">
        <f>CALCULOS_AGENCIA!$V1113</f>
        <v>BRONCE</v>
      </c>
      <c r="E1113">
        <f>CALCULOS_AGENCIA!$AA1113</f>
        <v>1063</v>
      </c>
      <c r="F1113" s="3">
        <f t="shared" ca="1" si="17"/>
        <v>46087</v>
      </c>
    </row>
    <row r="1114" spans="1:6" x14ac:dyDescent="0.3">
      <c r="A1114" t="str">
        <f>PARAMS_MODELO!$B$3</f>
        <v>2025-Q3</v>
      </c>
      <c r="B1114">
        <f>CALCULOS_AGENCIA!$A1114</f>
        <v>51031156</v>
      </c>
      <c r="C1114">
        <f>CALCULOS_AGENCIA!$U1114</f>
        <v>12.1</v>
      </c>
      <c r="D1114" t="str">
        <f>CALCULOS_AGENCIA!$V1114</f>
        <v>BRONCE</v>
      </c>
      <c r="E1114">
        <f>CALCULOS_AGENCIA!$AA1114</f>
        <v>1132</v>
      </c>
      <c r="F1114" s="3">
        <f t="shared" ca="1" si="17"/>
        <v>46087</v>
      </c>
    </row>
    <row r="1115" spans="1:6" x14ac:dyDescent="0.3">
      <c r="A1115" t="str">
        <f>PARAMS_MODELO!$B$3</f>
        <v>2025-Q3</v>
      </c>
      <c r="B1115">
        <f>CALCULOS_AGENCIA!$A1115</f>
        <v>51031423</v>
      </c>
      <c r="C1115">
        <f>CALCULOS_AGENCIA!$U1115</f>
        <v>8.3999999999999986</v>
      </c>
      <c r="D1115" t="str">
        <f>CALCULOS_AGENCIA!$V1115</f>
        <v>BRONCE</v>
      </c>
      <c r="E1115">
        <f>CALCULOS_AGENCIA!$AA1115</f>
        <v>1180</v>
      </c>
      <c r="F1115" s="3">
        <f t="shared" ca="1" si="17"/>
        <v>46087</v>
      </c>
    </row>
    <row r="1116" spans="1:6" x14ac:dyDescent="0.3">
      <c r="A1116" t="str">
        <f>PARAMS_MODELO!$B$3</f>
        <v>2025-Q3</v>
      </c>
      <c r="B1116">
        <f>CALCULOS_AGENCIA!$A1116</f>
        <v>51031555</v>
      </c>
      <c r="C1116">
        <f>CALCULOS_AGENCIA!$U1116</f>
        <v>13.3</v>
      </c>
      <c r="D1116" t="str">
        <f>CALCULOS_AGENCIA!$V1116</f>
        <v>BRONCE</v>
      </c>
      <c r="E1116">
        <f>CALCULOS_AGENCIA!$AA1116</f>
        <v>1103</v>
      </c>
      <c r="F1116" s="3">
        <f t="shared" ca="1" si="17"/>
        <v>46087</v>
      </c>
    </row>
    <row r="1117" spans="1:6" x14ac:dyDescent="0.3">
      <c r="A1117" t="str">
        <f>PARAMS_MODELO!$B$3</f>
        <v>2025-Q3</v>
      </c>
      <c r="B1117">
        <f>CALCULOS_AGENCIA!$A1117</f>
        <v>51032021</v>
      </c>
      <c r="C1117">
        <f>CALCULOS_AGENCIA!$U1117</f>
        <v>9.17</v>
      </c>
      <c r="D1117" t="str">
        <f>CALCULOS_AGENCIA!$V1117</f>
        <v>BRONCE</v>
      </c>
      <c r="E1117">
        <f>CALCULOS_AGENCIA!$AA1117</f>
        <v>1175</v>
      </c>
      <c r="F1117" s="3">
        <f t="shared" ca="1" si="17"/>
        <v>46087</v>
      </c>
    </row>
    <row r="1118" spans="1:6" x14ac:dyDescent="0.3">
      <c r="A1118" t="str">
        <f>PARAMS_MODELO!$B$3</f>
        <v>2025-Q3</v>
      </c>
      <c r="B1118">
        <f>CALCULOS_AGENCIA!$A1118</f>
        <v>51032055</v>
      </c>
      <c r="C1118">
        <f>CALCULOS_AGENCIA!$U1118</f>
        <v>17.05</v>
      </c>
      <c r="D1118" t="str">
        <f>CALCULOS_AGENCIA!$V1118</f>
        <v>BRONCE</v>
      </c>
      <c r="E1118">
        <f>CALCULOS_AGENCIA!$AA1118</f>
        <v>1050</v>
      </c>
      <c r="F1118" s="3">
        <f t="shared" ca="1" si="17"/>
        <v>46087</v>
      </c>
    </row>
    <row r="1119" spans="1:6" x14ac:dyDescent="0.3">
      <c r="A1119" t="str">
        <f>PARAMS_MODELO!$B$3</f>
        <v>2025-Q3</v>
      </c>
      <c r="B1119">
        <f>CALCULOS_AGENCIA!$A1119</f>
        <v>51032144</v>
      </c>
      <c r="C1119">
        <f>CALCULOS_AGENCIA!$U1119</f>
        <v>17.384999999999998</v>
      </c>
      <c r="D1119" t="str">
        <f>CALCULOS_AGENCIA!$V1119</f>
        <v>BRONCE</v>
      </c>
      <c r="E1119">
        <f>CALCULOS_AGENCIA!$AA1119</f>
        <v>1043</v>
      </c>
      <c r="F1119" s="3">
        <f t="shared" ca="1" si="17"/>
        <v>46087</v>
      </c>
    </row>
    <row r="1120" spans="1:6" x14ac:dyDescent="0.3">
      <c r="A1120" t="str">
        <f>PARAMS_MODELO!$B$3</f>
        <v>2025-Q3</v>
      </c>
      <c r="B1120">
        <f>CALCULOS_AGENCIA!$A1120</f>
        <v>51032209</v>
      </c>
      <c r="C1120">
        <f>CALCULOS_AGENCIA!$U1120</f>
        <v>18.100000000000001</v>
      </c>
      <c r="D1120" t="str">
        <f>CALCULOS_AGENCIA!$V1120</f>
        <v>BRONCE</v>
      </c>
      <c r="E1120">
        <f>CALCULOS_AGENCIA!$AA1120</f>
        <v>1026</v>
      </c>
      <c r="F1120" s="3">
        <f t="shared" ca="1" si="17"/>
        <v>46087</v>
      </c>
    </row>
    <row r="1121" spans="1:6" x14ac:dyDescent="0.3">
      <c r="A1121" t="str">
        <f>PARAMS_MODELO!$B$3</f>
        <v>2025-Q3</v>
      </c>
      <c r="B1121">
        <f>CALCULOS_AGENCIA!$A1121</f>
        <v>51032217</v>
      </c>
      <c r="C1121">
        <f>CALCULOS_AGENCIA!$U1121</f>
        <v>13.750000000000002</v>
      </c>
      <c r="D1121" t="str">
        <f>CALCULOS_AGENCIA!$V1121</f>
        <v>BRONCE</v>
      </c>
      <c r="E1121">
        <f>CALCULOS_AGENCIA!$AA1121</f>
        <v>1093</v>
      </c>
      <c r="F1121" s="3">
        <f t="shared" ca="1" si="17"/>
        <v>46087</v>
      </c>
    </row>
    <row r="1122" spans="1:6" x14ac:dyDescent="0.3">
      <c r="A1122" t="str">
        <f>PARAMS_MODELO!$B$3</f>
        <v>2025-Q3</v>
      </c>
      <c r="B1122">
        <f>CALCULOS_AGENCIA!$A1122</f>
        <v>51032497</v>
      </c>
      <c r="C1122">
        <f>CALCULOS_AGENCIA!$U1122</f>
        <v>14.984999999999999</v>
      </c>
      <c r="D1122" t="str">
        <f>CALCULOS_AGENCIA!$V1122</f>
        <v>BRONCE</v>
      </c>
      <c r="E1122">
        <f>CALCULOS_AGENCIA!$AA1122</f>
        <v>1080</v>
      </c>
      <c r="F1122" s="3">
        <f t="shared" ca="1" si="17"/>
        <v>46087</v>
      </c>
    </row>
    <row r="1123" spans="1:6" x14ac:dyDescent="0.3">
      <c r="A1123" t="str">
        <f>PARAMS_MODELO!$B$3</f>
        <v>2025-Q3</v>
      </c>
      <c r="B1123">
        <f>CALCULOS_AGENCIA!$A1123</f>
        <v>51033019</v>
      </c>
      <c r="C1123">
        <f>CALCULOS_AGENCIA!$U1123</f>
        <v>19.910000000000004</v>
      </c>
      <c r="D1123" t="str">
        <f>CALCULOS_AGENCIA!$V1123</f>
        <v>BRONCE</v>
      </c>
      <c r="E1123">
        <f>CALCULOS_AGENCIA!$AA1123</f>
        <v>977</v>
      </c>
      <c r="F1123" s="3">
        <f t="shared" ca="1" si="17"/>
        <v>46087</v>
      </c>
    </row>
    <row r="1124" spans="1:6" x14ac:dyDescent="0.3">
      <c r="A1124" t="str">
        <f>PARAMS_MODELO!$B$3</f>
        <v>2025-Q3</v>
      </c>
      <c r="B1124">
        <f>CALCULOS_AGENCIA!$A1124</f>
        <v>51033647</v>
      </c>
      <c r="C1124">
        <f>CALCULOS_AGENCIA!$U1124</f>
        <v>16</v>
      </c>
      <c r="D1124" t="str">
        <f>CALCULOS_AGENCIA!$V1124</f>
        <v>BRONCE</v>
      </c>
      <c r="E1124">
        <f>CALCULOS_AGENCIA!$AA1124</f>
        <v>1066</v>
      </c>
      <c r="F1124" s="3">
        <f t="shared" ca="1" si="17"/>
        <v>46087</v>
      </c>
    </row>
    <row r="1125" spans="1:6" x14ac:dyDescent="0.3">
      <c r="A1125" t="str">
        <f>PARAMS_MODELO!$B$3</f>
        <v>2025-Q3</v>
      </c>
      <c r="B1125">
        <f>CALCULOS_AGENCIA!$A1125</f>
        <v>51034261</v>
      </c>
      <c r="C1125">
        <f>CALCULOS_AGENCIA!$U1125</f>
        <v>18.052699999999998</v>
      </c>
      <c r="D1125" t="str">
        <f>CALCULOS_AGENCIA!$V1125</f>
        <v>BRONCE</v>
      </c>
      <c r="E1125">
        <f>CALCULOS_AGENCIA!$AA1125</f>
        <v>1029</v>
      </c>
      <c r="F1125" s="3">
        <f t="shared" ca="1" si="17"/>
        <v>46087</v>
      </c>
    </row>
    <row r="1126" spans="1:6" x14ac:dyDescent="0.3">
      <c r="A1126" t="str">
        <f>PARAMS_MODELO!$B$3</f>
        <v>2025-Q3</v>
      </c>
      <c r="B1126">
        <f>CALCULOS_AGENCIA!$A1126</f>
        <v>51034392</v>
      </c>
      <c r="C1126">
        <f>CALCULOS_AGENCIA!$U1126</f>
        <v>10.43</v>
      </c>
      <c r="D1126" t="str">
        <f>CALCULOS_AGENCIA!$V1126</f>
        <v>BRONCE</v>
      </c>
      <c r="E1126">
        <f>CALCULOS_AGENCIA!$AA1126</f>
        <v>1161</v>
      </c>
      <c r="F1126" s="3">
        <f t="shared" ca="1" si="17"/>
        <v>46087</v>
      </c>
    </row>
    <row r="1127" spans="1:6" x14ac:dyDescent="0.3">
      <c r="A1127" t="str">
        <f>PARAMS_MODELO!$B$3</f>
        <v>2025-Q3</v>
      </c>
      <c r="B1127">
        <f>CALCULOS_AGENCIA!$A1127</f>
        <v>51036093</v>
      </c>
      <c r="C1127">
        <f>CALCULOS_AGENCIA!$U1127</f>
        <v>11.8</v>
      </c>
      <c r="D1127" t="str">
        <f>CALCULOS_AGENCIA!$V1127</f>
        <v>BRONCE</v>
      </c>
      <c r="E1127">
        <f>CALCULOS_AGENCIA!$AA1127</f>
        <v>1135</v>
      </c>
      <c r="F1127" s="3">
        <f t="shared" ca="1" si="17"/>
        <v>46087</v>
      </c>
    </row>
    <row r="1128" spans="1:6" x14ac:dyDescent="0.3">
      <c r="A1128" t="str">
        <f>PARAMS_MODELO!$B$3</f>
        <v>2025-Q3</v>
      </c>
      <c r="B1128">
        <f>CALCULOS_AGENCIA!$A1128</f>
        <v>51036620</v>
      </c>
      <c r="C1128">
        <f>CALCULOS_AGENCIA!$U1128</f>
        <v>16.8</v>
      </c>
      <c r="D1128" t="str">
        <f>CALCULOS_AGENCIA!$V1128</f>
        <v>BRONCE</v>
      </c>
      <c r="E1128">
        <f>CALCULOS_AGENCIA!$AA1128</f>
        <v>1055</v>
      </c>
      <c r="F1128" s="3">
        <f t="shared" ca="1" si="17"/>
        <v>46087</v>
      </c>
    </row>
    <row r="1129" spans="1:6" x14ac:dyDescent="0.3">
      <c r="A1129" t="str">
        <f>PARAMS_MODELO!$B$3</f>
        <v>2025-Q3</v>
      </c>
      <c r="B1129">
        <f>CALCULOS_AGENCIA!$A1129</f>
        <v>51036786</v>
      </c>
      <c r="C1129">
        <f>CALCULOS_AGENCIA!$U1129</f>
        <v>21.734999999999996</v>
      </c>
      <c r="D1129" t="str">
        <f>CALCULOS_AGENCIA!$V1129</f>
        <v>BRONCE</v>
      </c>
      <c r="E1129">
        <f>CALCULOS_AGENCIA!$AA1129</f>
        <v>951</v>
      </c>
      <c r="F1129" s="3">
        <f t="shared" ca="1" si="17"/>
        <v>46087</v>
      </c>
    </row>
    <row r="1130" spans="1:6" x14ac:dyDescent="0.3">
      <c r="A1130" t="str">
        <f>PARAMS_MODELO!$B$3</f>
        <v>2025-Q3</v>
      </c>
      <c r="B1130">
        <f>CALCULOS_AGENCIA!$A1130</f>
        <v>51037014</v>
      </c>
      <c r="C1130">
        <f>CALCULOS_AGENCIA!$U1130</f>
        <v>17.100000000000001</v>
      </c>
      <c r="D1130" t="str">
        <f>CALCULOS_AGENCIA!$V1130</f>
        <v>BRONCE</v>
      </c>
      <c r="E1130">
        <f>CALCULOS_AGENCIA!$AA1130</f>
        <v>1049</v>
      </c>
      <c r="F1130" s="3">
        <f t="shared" ca="1" si="17"/>
        <v>46087</v>
      </c>
    </row>
    <row r="1131" spans="1:6" x14ac:dyDescent="0.3">
      <c r="A1131" t="str">
        <f>PARAMS_MODELO!$B$3</f>
        <v>2025-Q3</v>
      </c>
      <c r="B1131">
        <f>CALCULOS_AGENCIA!$A1131</f>
        <v>51038991</v>
      </c>
      <c r="C1131">
        <f>CALCULOS_AGENCIA!$U1131</f>
        <v>16.198</v>
      </c>
      <c r="D1131" t="str">
        <f>CALCULOS_AGENCIA!$V1131</f>
        <v>BRONCE</v>
      </c>
      <c r="E1131">
        <f>CALCULOS_AGENCIA!$AA1131</f>
        <v>1065</v>
      </c>
      <c r="F1131" s="3">
        <f t="shared" ca="1" si="17"/>
        <v>46087</v>
      </c>
    </row>
    <row r="1132" spans="1:6" x14ac:dyDescent="0.3">
      <c r="A1132" t="str">
        <f>PARAMS_MODELO!$B$3</f>
        <v>2025-Q3</v>
      </c>
      <c r="B1132">
        <f>CALCULOS_AGENCIA!$A1132</f>
        <v>51039084</v>
      </c>
      <c r="C1132">
        <f>CALCULOS_AGENCIA!$U1132</f>
        <v>11.819499999999998</v>
      </c>
      <c r="D1132" t="str">
        <f>CALCULOS_AGENCIA!$V1132</f>
        <v>BRONCE</v>
      </c>
      <c r="E1132">
        <f>CALCULOS_AGENCIA!$AA1132</f>
        <v>1134</v>
      </c>
      <c r="F1132" s="3">
        <f t="shared" ca="1" si="17"/>
        <v>46087</v>
      </c>
    </row>
    <row r="1133" spans="1:6" x14ac:dyDescent="0.3">
      <c r="A1133" t="str">
        <f>PARAMS_MODELO!$B$3</f>
        <v>2025-Q3</v>
      </c>
      <c r="B1133">
        <f>CALCULOS_AGENCIA!$A1133</f>
        <v>51039955</v>
      </c>
      <c r="C1133">
        <f>CALCULOS_AGENCIA!$U1133</f>
        <v>13.370000000000001</v>
      </c>
      <c r="D1133" t="str">
        <f>CALCULOS_AGENCIA!$V1133</f>
        <v>BRONCE</v>
      </c>
      <c r="E1133">
        <f>CALCULOS_AGENCIA!$AA1133</f>
        <v>1100</v>
      </c>
      <c r="F1133" s="3">
        <f t="shared" ca="1" si="17"/>
        <v>46087</v>
      </c>
    </row>
    <row r="1134" spans="1:6" x14ac:dyDescent="0.3">
      <c r="A1134" t="str">
        <f>PARAMS_MODELO!$B$3</f>
        <v>2025-Q3</v>
      </c>
      <c r="B1134">
        <f>CALCULOS_AGENCIA!$A1134</f>
        <v>51039980</v>
      </c>
      <c r="C1134">
        <f>CALCULOS_AGENCIA!$U1134</f>
        <v>19.14</v>
      </c>
      <c r="D1134" t="str">
        <f>CALCULOS_AGENCIA!$V1134</f>
        <v>BRONCE</v>
      </c>
      <c r="E1134">
        <f>CALCULOS_AGENCIA!$AA1134</f>
        <v>998</v>
      </c>
      <c r="F1134" s="3">
        <f t="shared" ca="1" si="17"/>
        <v>46087</v>
      </c>
    </row>
    <row r="1135" spans="1:6" x14ac:dyDescent="0.3">
      <c r="A1135" t="str">
        <f>PARAMS_MODELO!$B$3</f>
        <v>2025-Q3</v>
      </c>
      <c r="B1135">
        <f>CALCULOS_AGENCIA!$A1135</f>
        <v>51040040</v>
      </c>
      <c r="C1135">
        <f>CALCULOS_AGENCIA!$U1135</f>
        <v>12.9</v>
      </c>
      <c r="D1135" t="str">
        <f>CALCULOS_AGENCIA!$V1135</f>
        <v>BRONCE</v>
      </c>
      <c r="E1135">
        <f>CALCULOS_AGENCIA!$AA1135</f>
        <v>1114</v>
      </c>
      <c r="F1135" s="3">
        <f t="shared" ca="1" si="17"/>
        <v>46087</v>
      </c>
    </row>
    <row r="1136" spans="1:6" x14ac:dyDescent="0.3">
      <c r="A1136" t="str">
        <f>PARAMS_MODELO!$B$3</f>
        <v>2025-Q3</v>
      </c>
      <c r="B1136">
        <f>CALCULOS_AGENCIA!$A1136</f>
        <v>51040309</v>
      </c>
      <c r="C1136">
        <f>CALCULOS_AGENCIA!$U1136</f>
        <v>12.3445</v>
      </c>
      <c r="D1136" t="str">
        <f>CALCULOS_AGENCIA!$V1136</f>
        <v>BRONCE</v>
      </c>
      <c r="E1136">
        <f>CALCULOS_AGENCIA!$AA1136</f>
        <v>1129</v>
      </c>
      <c r="F1136" s="3">
        <f t="shared" ca="1" si="17"/>
        <v>46087</v>
      </c>
    </row>
    <row r="1137" spans="1:6" x14ac:dyDescent="0.3">
      <c r="A1137" t="str">
        <f>PARAMS_MODELO!$B$3</f>
        <v>2025-Q3</v>
      </c>
      <c r="B1137">
        <f>CALCULOS_AGENCIA!$A1137</f>
        <v>51040856</v>
      </c>
      <c r="C1137">
        <f>CALCULOS_AGENCIA!$U1137</f>
        <v>12.304999999999998</v>
      </c>
      <c r="D1137" t="str">
        <f>CALCULOS_AGENCIA!$V1137</f>
        <v>BRONCE</v>
      </c>
      <c r="E1137">
        <f>CALCULOS_AGENCIA!$AA1137</f>
        <v>1130</v>
      </c>
      <c r="F1137" s="3">
        <f t="shared" ca="1" si="17"/>
        <v>46087</v>
      </c>
    </row>
    <row r="1138" spans="1:6" x14ac:dyDescent="0.3">
      <c r="A1138" t="str">
        <f>PARAMS_MODELO!$B$3</f>
        <v>2025-Q3</v>
      </c>
      <c r="B1138">
        <f>CALCULOS_AGENCIA!$A1138</f>
        <v>51040970</v>
      </c>
      <c r="C1138">
        <f>CALCULOS_AGENCIA!$U1138</f>
        <v>13.090000000000002</v>
      </c>
      <c r="D1138" t="str">
        <f>CALCULOS_AGENCIA!$V1138</f>
        <v>BRONCE</v>
      </c>
      <c r="E1138">
        <f>CALCULOS_AGENCIA!$AA1138</f>
        <v>1111</v>
      </c>
      <c r="F1138" s="3">
        <f t="shared" ca="1" si="17"/>
        <v>46087</v>
      </c>
    </row>
    <row r="1139" spans="1:6" x14ac:dyDescent="0.3">
      <c r="A1139" t="str">
        <f>PARAMS_MODELO!$B$3</f>
        <v>2025-Q3</v>
      </c>
      <c r="B1139">
        <f>CALCULOS_AGENCIA!$A1139</f>
        <v>51041178</v>
      </c>
      <c r="C1139">
        <f>CALCULOS_AGENCIA!$U1139</f>
        <v>8.19</v>
      </c>
      <c r="D1139" t="str">
        <f>CALCULOS_AGENCIA!$V1139</f>
        <v>BRONCE</v>
      </c>
      <c r="E1139">
        <f>CALCULOS_AGENCIA!$AA1139</f>
        <v>1185</v>
      </c>
      <c r="F1139" s="3">
        <f t="shared" ca="1" si="17"/>
        <v>46087</v>
      </c>
    </row>
    <row r="1140" spans="1:6" x14ac:dyDescent="0.3">
      <c r="A1140" t="str">
        <f>PARAMS_MODELO!$B$3</f>
        <v>2025-Q3</v>
      </c>
      <c r="B1140">
        <f>CALCULOS_AGENCIA!$A1140</f>
        <v>51041321</v>
      </c>
      <c r="C1140">
        <f>CALCULOS_AGENCIA!$U1140</f>
        <v>15.2</v>
      </c>
      <c r="D1140" t="str">
        <f>CALCULOS_AGENCIA!$V1140</f>
        <v>BRONCE</v>
      </c>
      <c r="E1140">
        <f>CALCULOS_AGENCIA!$AA1140</f>
        <v>1077</v>
      </c>
      <c r="F1140" s="3">
        <f t="shared" ca="1" si="17"/>
        <v>46087</v>
      </c>
    </row>
    <row r="1141" spans="1:6" x14ac:dyDescent="0.3">
      <c r="A1141" t="str">
        <f>PARAMS_MODELO!$B$3</f>
        <v>2025-Q3</v>
      </c>
      <c r="B1141">
        <f>CALCULOS_AGENCIA!$A1141</f>
        <v>51041836</v>
      </c>
      <c r="C1141">
        <f>CALCULOS_AGENCIA!$U1141</f>
        <v>17.160000000000004</v>
      </c>
      <c r="D1141" t="str">
        <f>CALCULOS_AGENCIA!$V1141</f>
        <v>BRONCE</v>
      </c>
      <c r="E1141">
        <f>CALCULOS_AGENCIA!$AA1141</f>
        <v>1047</v>
      </c>
      <c r="F1141" s="3">
        <f t="shared" ca="1" si="17"/>
        <v>46087</v>
      </c>
    </row>
    <row r="1142" spans="1:6" x14ac:dyDescent="0.3">
      <c r="A1142" t="str">
        <f>PARAMS_MODELO!$B$3</f>
        <v>2025-Q3</v>
      </c>
      <c r="B1142">
        <f>CALCULOS_AGENCIA!$A1142</f>
        <v>51041925</v>
      </c>
      <c r="C1142">
        <f>CALCULOS_AGENCIA!$U1142</f>
        <v>18.685000000000002</v>
      </c>
      <c r="D1142" t="str">
        <f>CALCULOS_AGENCIA!$V1142</f>
        <v>BRONCE</v>
      </c>
      <c r="E1142">
        <f>CALCULOS_AGENCIA!$AA1142</f>
        <v>1013</v>
      </c>
      <c r="F1142" s="3">
        <f t="shared" ca="1" si="17"/>
        <v>46087</v>
      </c>
    </row>
    <row r="1143" spans="1:6" x14ac:dyDescent="0.3">
      <c r="A1143" t="str">
        <f>PARAMS_MODELO!$B$3</f>
        <v>2025-Q3</v>
      </c>
      <c r="B1143">
        <f>CALCULOS_AGENCIA!$A1143</f>
        <v>51042166</v>
      </c>
      <c r="C1143">
        <f>CALCULOS_AGENCIA!$U1143</f>
        <v>18.899999999999999</v>
      </c>
      <c r="D1143" t="str">
        <f>CALCULOS_AGENCIA!$V1143</f>
        <v>BRONCE</v>
      </c>
      <c r="E1143">
        <f>CALCULOS_AGENCIA!$AA1143</f>
        <v>1003</v>
      </c>
      <c r="F1143" s="3">
        <f t="shared" ca="1" si="17"/>
        <v>46087</v>
      </c>
    </row>
    <row r="1144" spans="1:6" x14ac:dyDescent="0.3">
      <c r="A1144" t="str">
        <f>PARAMS_MODELO!$B$3</f>
        <v>2025-Q3</v>
      </c>
      <c r="B1144">
        <f>CALCULOS_AGENCIA!$A1144</f>
        <v>51042352</v>
      </c>
      <c r="C1144">
        <f>CALCULOS_AGENCIA!$U1144</f>
        <v>18.198</v>
      </c>
      <c r="D1144" t="str">
        <f>CALCULOS_AGENCIA!$V1144</f>
        <v>BRONCE</v>
      </c>
      <c r="E1144">
        <f>CALCULOS_AGENCIA!$AA1144</f>
        <v>1024</v>
      </c>
      <c r="F1144" s="3">
        <f t="shared" ca="1" si="17"/>
        <v>46087</v>
      </c>
    </row>
    <row r="1145" spans="1:6" x14ac:dyDescent="0.3">
      <c r="A1145" t="str">
        <f>PARAMS_MODELO!$B$3</f>
        <v>2025-Q3</v>
      </c>
      <c r="B1145">
        <f>CALCULOS_AGENCIA!$A1145</f>
        <v>51042492</v>
      </c>
      <c r="C1145">
        <f>CALCULOS_AGENCIA!$U1145</f>
        <v>19.200000000000003</v>
      </c>
      <c r="D1145" t="str">
        <f>CALCULOS_AGENCIA!$V1145</f>
        <v>BRONCE</v>
      </c>
      <c r="E1145">
        <f>CALCULOS_AGENCIA!$AA1145</f>
        <v>996</v>
      </c>
      <c r="F1145" s="3">
        <f t="shared" ca="1" si="17"/>
        <v>46087</v>
      </c>
    </row>
    <row r="1146" spans="1:6" x14ac:dyDescent="0.3">
      <c r="A1146" t="str">
        <f>PARAMS_MODELO!$B$3</f>
        <v>2025-Q3</v>
      </c>
      <c r="B1146">
        <f>CALCULOS_AGENCIA!$A1146</f>
        <v>51042557</v>
      </c>
      <c r="C1146">
        <f>CALCULOS_AGENCIA!$U1146</f>
        <v>13.3</v>
      </c>
      <c r="D1146" t="str">
        <f>CALCULOS_AGENCIA!$V1146</f>
        <v>BRONCE</v>
      </c>
      <c r="E1146">
        <f>CALCULOS_AGENCIA!$AA1146</f>
        <v>1103</v>
      </c>
      <c r="F1146" s="3">
        <f t="shared" ca="1" si="17"/>
        <v>46087</v>
      </c>
    </row>
    <row r="1147" spans="1:6" x14ac:dyDescent="0.3">
      <c r="A1147" t="str">
        <f>PARAMS_MODELO!$B$3</f>
        <v>2025-Q3</v>
      </c>
      <c r="B1147">
        <f>CALCULOS_AGENCIA!$A1147</f>
        <v>51042697</v>
      </c>
      <c r="C1147">
        <f>CALCULOS_AGENCIA!$U1147</f>
        <v>10.01</v>
      </c>
      <c r="D1147" t="str">
        <f>CALCULOS_AGENCIA!$V1147</f>
        <v>BRONCE</v>
      </c>
      <c r="E1147">
        <f>CALCULOS_AGENCIA!$AA1147</f>
        <v>1169</v>
      </c>
      <c r="F1147" s="3">
        <f t="shared" ca="1" si="17"/>
        <v>46087</v>
      </c>
    </row>
    <row r="1148" spans="1:6" x14ac:dyDescent="0.3">
      <c r="A1148" t="str">
        <f>PARAMS_MODELO!$B$3</f>
        <v>2025-Q3</v>
      </c>
      <c r="B1148">
        <f>CALCULOS_AGENCIA!$A1148</f>
        <v>51042701</v>
      </c>
      <c r="C1148">
        <f>CALCULOS_AGENCIA!$U1148</f>
        <v>19.100000000000001</v>
      </c>
      <c r="D1148" t="str">
        <f>CALCULOS_AGENCIA!$V1148</f>
        <v>BRONCE</v>
      </c>
      <c r="E1148">
        <f>CALCULOS_AGENCIA!$AA1148</f>
        <v>1000</v>
      </c>
      <c r="F1148" s="3">
        <f t="shared" ca="1" si="17"/>
        <v>46087</v>
      </c>
    </row>
    <row r="1149" spans="1:6" x14ac:dyDescent="0.3">
      <c r="A1149" t="str">
        <f>PARAMS_MODELO!$B$3</f>
        <v>2025-Q3</v>
      </c>
      <c r="B1149">
        <f>CALCULOS_AGENCIA!$A1149</f>
        <v>51042794</v>
      </c>
      <c r="C1149">
        <f>CALCULOS_AGENCIA!$U1149</f>
        <v>10.3</v>
      </c>
      <c r="D1149" t="str">
        <f>CALCULOS_AGENCIA!$V1149</f>
        <v>BRONCE</v>
      </c>
      <c r="E1149">
        <f>CALCULOS_AGENCIA!$AA1149</f>
        <v>1164</v>
      </c>
      <c r="F1149" s="3">
        <f t="shared" ca="1" si="17"/>
        <v>46087</v>
      </c>
    </row>
    <row r="1150" spans="1:6" x14ac:dyDescent="0.3">
      <c r="A1150" t="str">
        <f>PARAMS_MODELO!$B$3</f>
        <v>2025-Q3</v>
      </c>
      <c r="B1150">
        <f>CALCULOS_AGENCIA!$A1150</f>
        <v>51042867</v>
      </c>
      <c r="C1150">
        <f>CALCULOS_AGENCIA!$U1150</f>
        <v>18.399999999999999</v>
      </c>
      <c r="D1150" t="str">
        <f>CALCULOS_AGENCIA!$V1150</f>
        <v>BRONCE</v>
      </c>
      <c r="E1150">
        <f>CALCULOS_AGENCIA!$AA1150</f>
        <v>1021</v>
      </c>
      <c r="F1150" s="3">
        <f t="shared" ca="1" si="17"/>
        <v>46087</v>
      </c>
    </row>
    <row r="1151" spans="1:6" x14ac:dyDescent="0.3">
      <c r="A1151" t="str">
        <f>PARAMS_MODELO!$B$3</f>
        <v>2025-Q3</v>
      </c>
      <c r="B1151">
        <f>CALCULOS_AGENCIA!$A1151</f>
        <v>51042883</v>
      </c>
      <c r="C1151">
        <f>CALCULOS_AGENCIA!$U1151</f>
        <v>18.859999999999996</v>
      </c>
      <c r="D1151" t="str">
        <f>CALCULOS_AGENCIA!$V1151</f>
        <v>BRONCE</v>
      </c>
      <c r="E1151">
        <f>CALCULOS_AGENCIA!$AA1151</f>
        <v>1007</v>
      </c>
      <c r="F1151" s="3">
        <f t="shared" ca="1" si="17"/>
        <v>46087</v>
      </c>
    </row>
    <row r="1152" spans="1:6" x14ac:dyDescent="0.3">
      <c r="A1152" t="str">
        <f>PARAMS_MODELO!$B$3</f>
        <v>2025-Q3</v>
      </c>
      <c r="B1152">
        <f>CALCULOS_AGENCIA!$A1152</f>
        <v>51043286</v>
      </c>
      <c r="C1152">
        <f>CALCULOS_AGENCIA!$U1152</f>
        <v>7.77</v>
      </c>
      <c r="D1152" t="str">
        <f>CALCULOS_AGENCIA!$V1152</f>
        <v>BRONCE</v>
      </c>
      <c r="E1152">
        <f>CALCULOS_AGENCIA!$AA1152</f>
        <v>1190</v>
      </c>
      <c r="F1152" s="3">
        <f t="shared" ca="1" si="17"/>
        <v>46087</v>
      </c>
    </row>
    <row r="1153" spans="1:6" x14ac:dyDescent="0.3">
      <c r="A1153" t="str">
        <f>PARAMS_MODELO!$B$3</f>
        <v>2025-Q3</v>
      </c>
      <c r="B1153">
        <f>CALCULOS_AGENCIA!$A1153</f>
        <v>51043430</v>
      </c>
      <c r="C1153">
        <f>CALCULOS_AGENCIA!$U1153</f>
        <v>9.5690000000000008</v>
      </c>
      <c r="D1153" t="str">
        <f>CALCULOS_AGENCIA!$V1153</f>
        <v>BRONCE</v>
      </c>
      <c r="E1153">
        <f>CALCULOS_AGENCIA!$AA1153</f>
        <v>1173</v>
      </c>
      <c r="F1153" s="3">
        <f t="shared" ca="1" si="17"/>
        <v>46087</v>
      </c>
    </row>
    <row r="1154" spans="1:6" x14ac:dyDescent="0.3">
      <c r="A1154" t="str">
        <f>PARAMS_MODELO!$B$3</f>
        <v>2025-Q3</v>
      </c>
      <c r="B1154">
        <f>CALCULOS_AGENCIA!$A1154</f>
        <v>51043481</v>
      </c>
      <c r="C1154">
        <f>CALCULOS_AGENCIA!$U1154</f>
        <v>19.498000000000001</v>
      </c>
      <c r="D1154" t="str">
        <f>CALCULOS_AGENCIA!$V1154</f>
        <v>BRONCE</v>
      </c>
      <c r="E1154">
        <f>CALCULOS_AGENCIA!$AA1154</f>
        <v>988</v>
      </c>
      <c r="F1154" s="3">
        <f t="shared" ref="F1154:F1194" ca="1" si="18">TODAY()</f>
        <v>46087</v>
      </c>
    </row>
    <row r="1155" spans="1:6" x14ac:dyDescent="0.3">
      <c r="A1155" t="str">
        <f>PARAMS_MODELO!$B$3</f>
        <v>2025-Q3</v>
      </c>
      <c r="B1155">
        <f>CALCULOS_AGENCIA!$A1155</f>
        <v>51043685</v>
      </c>
      <c r="C1155">
        <f>CALCULOS_AGENCIA!$U1155</f>
        <v>16.600000000000001</v>
      </c>
      <c r="D1155" t="str">
        <f>CALCULOS_AGENCIA!$V1155</f>
        <v>BRONCE</v>
      </c>
      <c r="E1155">
        <f>CALCULOS_AGENCIA!$AA1155</f>
        <v>1059</v>
      </c>
      <c r="F1155" s="3">
        <f t="shared" ca="1" si="18"/>
        <v>46087</v>
      </c>
    </row>
    <row r="1156" spans="1:6" x14ac:dyDescent="0.3">
      <c r="A1156" t="str">
        <f>PARAMS_MODELO!$B$3</f>
        <v>2025-Q3</v>
      </c>
      <c r="B1156">
        <f>CALCULOS_AGENCIA!$A1156</f>
        <v>51044185</v>
      </c>
      <c r="C1156">
        <f>CALCULOS_AGENCIA!$U1156</f>
        <v>15.600000000000001</v>
      </c>
      <c r="D1156" t="str">
        <f>CALCULOS_AGENCIA!$V1156</f>
        <v>BRONCE</v>
      </c>
      <c r="E1156">
        <f>CALCULOS_AGENCIA!$AA1156</f>
        <v>1073</v>
      </c>
      <c r="F1156" s="3">
        <f t="shared" ca="1" si="18"/>
        <v>46087</v>
      </c>
    </row>
    <row r="1157" spans="1:6" x14ac:dyDescent="0.3">
      <c r="A1157" t="str">
        <f>PARAMS_MODELO!$B$3</f>
        <v>2025-Q3</v>
      </c>
      <c r="B1157">
        <f>CALCULOS_AGENCIA!$A1157</f>
        <v>51054474</v>
      </c>
      <c r="C1157">
        <f>CALCULOS_AGENCIA!$U1157</f>
        <v>16.3</v>
      </c>
      <c r="D1157" t="str">
        <f>CALCULOS_AGENCIA!$V1157</f>
        <v>BRONCE</v>
      </c>
      <c r="E1157">
        <f>CALCULOS_AGENCIA!$AA1157</f>
        <v>1062</v>
      </c>
      <c r="F1157" s="3">
        <f t="shared" ca="1" si="18"/>
        <v>46087</v>
      </c>
    </row>
    <row r="1158" spans="1:6" x14ac:dyDescent="0.3">
      <c r="A1158" t="str">
        <f>PARAMS_MODELO!$B$3</f>
        <v>2025-Q3</v>
      </c>
      <c r="B1158">
        <f>CALCULOS_AGENCIA!$A1158</f>
        <v>51054890</v>
      </c>
      <c r="C1158">
        <f>CALCULOS_AGENCIA!$U1158</f>
        <v>11.4</v>
      </c>
      <c r="D1158" t="str">
        <f>CALCULOS_AGENCIA!$V1158</f>
        <v>BRONCE</v>
      </c>
      <c r="E1158">
        <f>CALCULOS_AGENCIA!$AA1158</f>
        <v>1138</v>
      </c>
      <c r="F1158" s="3">
        <f t="shared" ca="1" si="18"/>
        <v>46087</v>
      </c>
    </row>
    <row r="1159" spans="1:6" x14ac:dyDescent="0.3">
      <c r="A1159" t="str">
        <f>PARAMS_MODELO!$B$3</f>
        <v>2025-Q3</v>
      </c>
      <c r="B1159">
        <f>CALCULOS_AGENCIA!$A1159</f>
        <v>51054971</v>
      </c>
      <c r="C1159">
        <f>CALCULOS_AGENCIA!$U1159</f>
        <v>13.370000000000001</v>
      </c>
      <c r="D1159" t="str">
        <f>CALCULOS_AGENCIA!$V1159</f>
        <v>BRONCE</v>
      </c>
      <c r="E1159">
        <f>CALCULOS_AGENCIA!$AA1159</f>
        <v>1100</v>
      </c>
      <c r="F1159" s="3">
        <f t="shared" ca="1" si="18"/>
        <v>46087</v>
      </c>
    </row>
    <row r="1160" spans="1:6" x14ac:dyDescent="0.3">
      <c r="A1160" t="str">
        <f>PARAMS_MODELO!$B$3</f>
        <v>2025-Q3</v>
      </c>
      <c r="B1160">
        <f>CALCULOS_AGENCIA!$A1160</f>
        <v>51055021</v>
      </c>
      <c r="C1160">
        <f>CALCULOS_AGENCIA!$U1160</f>
        <v>8.33</v>
      </c>
      <c r="D1160" t="str">
        <f>CALCULOS_AGENCIA!$V1160</f>
        <v>BRONCE</v>
      </c>
      <c r="E1160">
        <f>CALCULOS_AGENCIA!$AA1160</f>
        <v>1182</v>
      </c>
      <c r="F1160" s="3">
        <f t="shared" ca="1" si="18"/>
        <v>46087</v>
      </c>
    </row>
    <row r="1161" spans="1:6" x14ac:dyDescent="0.3">
      <c r="A1161" t="str">
        <f>PARAMS_MODELO!$B$3</f>
        <v>2025-Q3</v>
      </c>
      <c r="B1161">
        <f>CALCULOS_AGENCIA!$A1161</f>
        <v>51055110</v>
      </c>
      <c r="C1161">
        <f>CALCULOS_AGENCIA!$U1161</f>
        <v>16.610000000000003</v>
      </c>
      <c r="D1161" t="str">
        <f>CALCULOS_AGENCIA!$V1161</f>
        <v>BRONCE</v>
      </c>
      <c r="E1161">
        <f>CALCULOS_AGENCIA!$AA1161</f>
        <v>1057</v>
      </c>
      <c r="F1161" s="3">
        <f t="shared" ca="1" si="18"/>
        <v>46087</v>
      </c>
    </row>
    <row r="1162" spans="1:6" x14ac:dyDescent="0.3">
      <c r="A1162" t="str">
        <f>PARAMS_MODELO!$B$3</f>
        <v>2025-Q3</v>
      </c>
      <c r="B1162">
        <f>CALCULOS_AGENCIA!$A1162</f>
        <v>51055179</v>
      </c>
      <c r="C1162">
        <f>CALCULOS_AGENCIA!$U1162</f>
        <v>15.998000000000001</v>
      </c>
      <c r="D1162" t="str">
        <f>CALCULOS_AGENCIA!$V1162</f>
        <v>BRONCE</v>
      </c>
      <c r="E1162">
        <f>CALCULOS_AGENCIA!$AA1162</f>
        <v>1067</v>
      </c>
      <c r="F1162" s="3">
        <f t="shared" ca="1" si="18"/>
        <v>46087</v>
      </c>
    </row>
    <row r="1163" spans="1:6" x14ac:dyDescent="0.3">
      <c r="A1163" t="str">
        <f>PARAMS_MODELO!$B$3</f>
        <v>2025-Q3</v>
      </c>
      <c r="B1163">
        <f>CALCULOS_AGENCIA!$A1163</f>
        <v>51055187</v>
      </c>
      <c r="C1163">
        <f>CALCULOS_AGENCIA!$U1163</f>
        <v>11.6</v>
      </c>
      <c r="D1163" t="str">
        <f>CALCULOS_AGENCIA!$V1163</f>
        <v>BRONCE</v>
      </c>
      <c r="E1163">
        <f>CALCULOS_AGENCIA!$AA1163</f>
        <v>1136</v>
      </c>
      <c r="F1163" s="3">
        <f t="shared" ca="1" si="18"/>
        <v>46087</v>
      </c>
    </row>
    <row r="1164" spans="1:6" x14ac:dyDescent="0.3">
      <c r="A1164" t="str">
        <f>PARAMS_MODELO!$B$3</f>
        <v>2025-Q3</v>
      </c>
      <c r="B1164">
        <f>CALCULOS_AGENCIA!$A1164</f>
        <v>51055195</v>
      </c>
      <c r="C1164">
        <f>CALCULOS_AGENCIA!$U1164</f>
        <v>13.799999999999999</v>
      </c>
      <c r="D1164" t="str">
        <f>CALCULOS_AGENCIA!$V1164</f>
        <v>BRONCE</v>
      </c>
      <c r="E1164">
        <f>CALCULOS_AGENCIA!$AA1164</f>
        <v>1091</v>
      </c>
      <c r="F1164" s="3">
        <f t="shared" ca="1" si="18"/>
        <v>46087</v>
      </c>
    </row>
    <row r="1165" spans="1:6" x14ac:dyDescent="0.3">
      <c r="A1165" t="str">
        <f>PARAMS_MODELO!$B$3</f>
        <v>2025-Q3</v>
      </c>
      <c r="B1165">
        <f>CALCULOS_AGENCIA!$A1165</f>
        <v>51055233</v>
      </c>
      <c r="C1165">
        <f>CALCULOS_AGENCIA!$U1165</f>
        <v>19.200000000000003</v>
      </c>
      <c r="D1165" t="str">
        <f>CALCULOS_AGENCIA!$V1165</f>
        <v>BRONCE</v>
      </c>
      <c r="E1165">
        <f>CALCULOS_AGENCIA!$AA1165</f>
        <v>996</v>
      </c>
      <c r="F1165" s="3">
        <f t="shared" ca="1" si="18"/>
        <v>46087</v>
      </c>
    </row>
    <row r="1166" spans="1:6" x14ac:dyDescent="0.3">
      <c r="A1166" t="str">
        <f>PARAMS_MODELO!$B$3</f>
        <v>2025-Q3</v>
      </c>
      <c r="B1166">
        <f>CALCULOS_AGENCIA!$A1166</f>
        <v>51055314</v>
      </c>
      <c r="C1166">
        <f>CALCULOS_AGENCIA!$U1166</f>
        <v>11.9</v>
      </c>
      <c r="D1166" t="str">
        <f>CALCULOS_AGENCIA!$V1166</f>
        <v>BRONCE</v>
      </c>
      <c r="E1166">
        <f>CALCULOS_AGENCIA!$AA1166</f>
        <v>1133</v>
      </c>
      <c r="F1166" s="3">
        <f t="shared" ca="1" si="18"/>
        <v>46087</v>
      </c>
    </row>
    <row r="1167" spans="1:6" x14ac:dyDescent="0.3">
      <c r="A1167" t="str">
        <f>PARAMS_MODELO!$B$3</f>
        <v>2025-Q3</v>
      </c>
      <c r="B1167">
        <f>CALCULOS_AGENCIA!$A1167</f>
        <v>51055349</v>
      </c>
      <c r="C1167">
        <f>CALCULOS_AGENCIA!$U1167</f>
        <v>9.7999999999999989</v>
      </c>
      <c r="D1167" t="str">
        <f>CALCULOS_AGENCIA!$V1167</f>
        <v>BRONCE</v>
      </c>
      <c r="E1167">
        <f>CALCULOS_AGENCIA!$AA1167</f>
        <v>1171</v>
      </c>
      <c r="F1167" s="3">
        <f t="shared" ca="1" si="18"/>
        <v>46087</v>
      </c>
    </row>
    <row r="1168" spans="1:6" x14ac:dyDescent="0.3">
      <c r="A1168" t="str">
        <f>PARAMS_MODELO!$B$3</f>
        <v>2025-Q3</v>
      </c>
      <c r="B1168">
        <f>CALCULOS_AGENCIA!$A1168</f>
        <v>51055381</v>
      </c>
      <c r="C1168">
        <f>CALCULOS_AGENCIA!$U1168</f>
        <v>12.9</v>
      </c>
      <c r="D1168" t="str">
        <f>CALCULOS_AGENCIA!$V1168</f>
        <v>BRONCE</v>
      </c>
      <c r="E1168">
        <f>CALCULOS_AGENCIA!$AA1168</f>
        <v>1114</v>
      </c>
      <c r="F1168" s="3">
        <f t="shared" ca="1" si="18"/>
        <v>46087</v>
      </c>
    </row>
    <row r="1169" spans="1:6" x14ac:dyDescent="0.3">
      <c r="A1169" t="str">
        <f>PARAMS_MODELO!$B$3</f>
        <v>2025-Q3</v>
      </c>
      <c r="B1169">
        <f>CALCULOS_AGENCIA!$A1169</f>
        <v>51055403</v>
      </c>
      <c r="C1169">
        <f>CALCULOS_AGENCIA!$U1169</f>
        <v>14.5</v>
      </c>
      <c r="D1169" t="str">
        <f>CALCULOS_AGENCIA!$V1169</f>
        <v>BRONCE</v>
      </c>
      <c r="E1169">
        <f>CALCULOS_AGENCIA!$AA1169</f>
        <v>1083</v>
      </c>
      <c r="F1169" s="3">
        <f t="shared" ca="1" si="18"/>
        <v>46087</v>
      </c>
    </row>
    <row r="1170" spans="1:6" x14ac:dyDescent="0.3">
      <c r="A1170" t="str">
        <f>PARAMS_MODELO!$B$3</f>
        <v>2025-Q3</v>
      </c>
      <c r="B1170">
        <f>CALCULOS_AGENCIA!$A1170</f>
        <v>51055420</v>
      </c>
      <c r="C1170">
        <f>CALCULOS_AGENCIA!$U1170</f>
        <v>18.700000000000003</v>
      </c>
      <c r="D1170" t="str">
        <f>CALCULOS_AGENCIA!$V1170</f>
        <v>BRONCE</v>
      </c>
      <c r="E1170">
        <f>CALCULOS_AGENCIA!$AA1170</f>
        <v>1012</v>
      </c>
      <c r="F1170" s="3">
        <f t="shared" ca="1" si="18"/>
        <v>46087</v>
      </c>
    </row>
    <row r="1171" spans="1:6" x14ac:dyDescent="0.3">
      <c r="A1171" t="str">
        <f>PARAMS_MODELO!$B$3</f>
        <v>2025-Q3</v>
      </c>
      <c r="B1171">
        <f>CALCULOS_AGENCIA!$A1171</f>
        <v>51055438</v>
      </c>
      <c r="C1171">
        <f>CALCULOS_AGENCIA!$U1171</f>
        <v>13.3</v>
      </c>
      <c r="D1171" t="str">
        <f>CALCULOS_AGENCIA!$V1171</f>
        <v>BRONCE</v>
      </c>
      <c r="E1171">
        <f>CALCULOS_AGENCIA!$AA1171</f>
        <v>1103</v>
      </c>
      <c r="F1171" s="3">
        <f t="shared" ca="1" si="18"/>
        <v>46087</v>
      </c>
    </row>
    <row r="1172" spans="1:6" x14ac:dyDescent="0.3">
      <c r="A1172" t="str">
        <f>PARAMS_MODELO!$B$3</f>
        <v>2025-Q3</v>
      </c>
      <c r="B1172">
        <f>CALCULOS_AGENCIA!$A1172</f>
        <v>51055446</v>
      </c>
      <c r="C1172">
        <f>CALCULOS_AGENCIA!$U1172</f>
        <v>12.81</v>
      </c>
      <c r="D1172" t="str">
        <f>CALCULOS_AGENCIA!$V1172</f>
        <v>BRONCE</v>
      </c>
      <c r="E1172">
        <f>CALCULOS_AGENCIA!$AA1172</f>
        <v>1117</v>
      </c>
      <c r="F1172" s="3">
        <f t="shared" ca="1" si="18"/>
        <v>46087</v>
      </c>
    </row>
    <row r="1173" spans="1:6" x14ac:dyDescent="0.3">
      <c r="A1173" t="str">
        <f>PARAMS_MODELO!$B$3</f>
        <v>2025-Q3</v>
      </c>
      <c r="B1173">
        <f>CALCULOS_AGENCIA!$A1173</f>
        <v>51055471</v>
      </c>
      <c r="C1173">
        <f>CALCULOS_AGENCIA!$U1173</f>
        <v>13.2</v>
      </c>
      <c r="D1173" t="str">
        <f>CALCULOS_AGENCIA!$V1173</f>
        <v>BRONCE</v>
      </c>
      <c r="E1173">
        <f>CALCULOS_AGENCIA!$AA1173</f>
        <v>1107</v>
      </c>
      <c r="F1173" s="3">
        <f t="shared" ca="1" si="18"/>
        <v>46087</v>
      </c>
    </row>
    <row r="1174" spans="1:6" x14ac:dyDescent="0.3">
      <c r="A1174" t="str">
        <f>PARAMS_MODELO!$B$3</f>
        <v>2025-Q3</v>
      </c>
      <c r="B1174">
        <f>CALCULOS_AGENCIA!$A1174</f>
        <v>51055608</v>
      </c>
      <c r="C1174">
        <f>CALCULOS_AGENCIA!$U1174</f>
        <v>10.89</v>
      </c>
      <c r="D1174" t="str">
        <f>CALCULOS_AGENCIA!$V1174</f>
        <v>BRONCE</v>
      </c>
      <c r="E1174">
        <f>CALCULOS_AGENCIA!$AA1174</f>
        <v>1148</v>
      </c>
      <c r="F1174" s="3">
        <f t="shared" ca="1" si="18"/>
        <v>46087</v>
      </c>
    </row>
    <row r="1175" spans="1:6" x14ac:dyDescent="0.3">
      <c r="A1175" t="str">
        <f>PARAMS_MODELO!$B$3</f>
        <v>2025-Q3</v>
      </c>
      <c r="B1175">
        <f>CALCULOS_AGENCIA!$A1175</f>
        <v>51055683</v>
      </c>
      <c r="C1175">
        <f>CALCULOS_AGENCIA!$U1175</f>
        <v>17.3</v>
      </c>
      <c r="D1175" t="str">
        <f>CALCULOS_AGENCIA!$V1175</f>
        <v>BRONCE</v>
      </c>
      <c r="E1175">
        <f>CALCULOS_AGENCIA!$AA1175</f>
        <v>1044</v>
      </c>
      <c r="F1175" s="3">
        <f t="shared" ca="1" si="18"/>
        <v>46087</v>
      </c>
    </row>
    <row r="1176" spans="1:6" x14ac:dyDescent="0.3">
      <c r="A1176" t="str">
        <f>PARAMS_MODELO!$B$3</f>
        <v>2025-Q3</v>
      </c>
      <c r="B1176">
        <f>CALCULOS_AGENCIA!$A1176</f>
        <v>51055713</v>
      </c>
      <c r="C1176">
        <f>CALCULOS_AGENCIA!$U1176</f>
        <v>17.3</v>
      </c>
      <c r="D1176" t="str">
        <f>CALCULOS_AGENCIA!$V1176</f>
        <v>BRONCE</v>
      </c>
      <c r="E1176">
        <f>CALCULOS_AGENCIA!$AA1176</f>
        <v>1044</v>
      </c>
      <c r="F1176" s="3">
        <f t="shared" ca="1" si="18"/>
        <v>46087</v>
      </c>
    </row>
    <row r="1177" spans="1:6" x14ac:dyDescent="0.3">
      <c r="A1177" t="str">
        <f>PARAMS_MODELO!$B$3</f>
        <v>2025-Q3</v>
      </c>
      <c r="B1177">
        <f>CALCULOS_AGENCIA!$A1177</f>
        <v>51055748</v>
      </c>
      <c r="C1177">
        <f>CALCULOS_AGENCIA!$U1177</f>
        <v>10.7</v>
      </c>
      <c r="D1177" t="str">
        <f>CALCULOS_AGENCIA!$V1177</f>
        <v>BRONCE</v>
      </c>
      <c r="E1177">
        <f>CALCULOS_AGENCIA!$AA1177</f>
        <v>1153</v>
      </c>
      <c r="F1177" s="3">
        <f t="shared" ca="1" si="18"/>
        <v>46087</v>
      </c>
    </row>
    <row r="1178" spans="1:6" x14ac:dyDescent="0.3">
      <c r="A1178" t="str">
        <f>PARAMS_MODELO!$B$3</f>
        <v>2025-Q3</v>
      </c>
      <c r="B1178">
        <f>CALCULOS_AGENCIA!$A1178</f>
        <v>51055781</v>
      </c>
      <c r="C1178">
        <f>CALCULOS_AGENCIA!$U1178</f>
        <v>11.339999999999998</v>
      </c>
      <c r="D1178" t="str">
        <f>CALCULOS_AGENCIA!$V1178</f>
        <v>BRONCE</v>
      </c>
      <c r="E1178">
        <f>CALCULOS_AGENCIA!$AA1178</f>
        <v>1140</v>
      </c>
      <c r="F1178" s="3">
        <f t="shared" ca="1" si="18"/>
        <v>46087</v>
      </c>
    </row>
    <row r="1179" spans="1:6" x14ac:dyDescent="0.3">
      <c r="A1179" t="str">
        <f>PARAMS_MODELO!$B$3</f>
        <v>2025-Q3</v>
      </c>
      <c r="B1179">
        <f>CALCULOS_AGENCIA!$A1179</f>
        <v>51055900</v>
      </c>
      <c r="C1179">
        <f>CALCULOS_AGENCIA!$U1179</f>
        <v>12.67</v>
      </c>
      <c r="D1179" t="str">
        <f>CALCULOS_AGENCIA!$V1179</f>
        <v>BRONCE</v>
      </c>
      <c r="E1179">
        <f>CALCULOS_AGENCIA!$AA1179</f>
        <v>1122</v>
      </c>
      <c r="F1179" s="3">
        <f t="shared" ca="1" si="18"/>
        <v>46087</v>
      </c>
    </row>
    <row r="1180" spans="1:6" x14ac:dyDescent="0.3">
      <c r="A1180" t="str">
        <f>PARAMS_MODELO!$B$3</f>
        <v>2025-Q3</v>
      </c>
      <c r="B1180">
        <f>CALCULOS_AGENCIA!$A1180</f>
        <v>51055934</v>
      </c>
      <c r="C1180">
        <f>CALCULOS_AGENCIA!$U1180</f>
        <v>10.6</v>
      </c>
      <c r="D1180" t="str">
        <f>CALCULOS_AGENCIA!$V1180</f>
        <v>BRONCE</v>
      </c>
      <c r="E1180">
        <f>CALCULOS_AGENCIA!$AA1180</f>
        <v>1156</v>
      </c>
      <c r="F1180" s="3">
        <f t="shared" ca="1" si="18"/>
        <v>46087</v>
      </c>
    </row>
    <row r="1181" spans="1:6" x14ac:dyDescent="0.3">
      <c r="A1181" t="str">
        <f>PARAMS_MODELO!$B$3</f>
        <v>2025-Q3</v>
      </c>
      <c r="B1181">
        <f>CALCULOS_AGENCIA!$A1181</f>
        <v>51055969</v>
      </c>
      <c r="C1181">
        <f>CALCULOS_AGENCIA!$U1181</f>
        <v>13.339999999999998</v>
      </c>
      <c r="D1181" t="str">
        <f>CALCULOS_AGENCIA!$V1181</f>
        <v>BRONCE</v>
      </c>
      <c r="E1181">
        <f>CALCULOS_AGENCIA!$AA1181</f>
        <v>1102</v>
      </c>
      <c r="F1181" s="3">
        <f t="shared" ca="1" si="18"/>
        <v>46087</v>
      </c>
    </row>
    <row r="1182" spans="1:6" x14ac:dyDescent="0.3">
      <c r="A1182" t="str">
        <f>PARAMS_MODELO!$B$3</f>
        <v>2025-Q3</v>
      </c>
      <c r="B1182">
        <f>CALCULOS_AGENCIA!$A1182</f>
        <v>51055977</v>
      </c>
      <c r="C1182">
        <f>CALCULOS_AGENCIA!$U1182</f>
        <v>8.0499999999999989</v>
      </c>
      <c r="D1182" t="str">
        <f>CALCULOS_AGENCIA!$V1182</f>
        <v>BRONCE</v>
      </c>
      <c r="E1182">
        <f>CALCULOS_AGENCIA!$AA1182</f>
        <v>1186</v>
      </c>
      <c r="F1182" s="3">
        <f t="shared" ca="1" si="18"/>
        <v>46087</v>
      </c>
    </row>
    <row r="1183" spans="1:6" x14ac:dyDescent="0.3">
      <c r="A1183" t="str">
        <f>PARAMS_MODELO!$B$3</f>
        <v>2025-Q3</v>
      </c>
      <c r="B1183">
        <f>CALCULOS_AGENCIA!$A1183</f>
        <v>51056035</v>
      </c>
      <c r="C1183">
        <f>CALCULOS_AGENCIA!$U1183</f>
        <v>11</v>
      </c>
      <c r="D1183" t="str">
        <f>CALCULOS_AGENCIA!$V1183</f>
        <v>BRONCE</v>
      </c>
      <c r="E1183">
        <f>CALCULOS_AGENCIA!$AA1183</f>
        <v>1144</v>
      </c>
      <c r="F1183" s="3">
        <f t="shared" ca="1" si="18"/>
        <v>46087</v>
      </c>
    </row>
    <row r="1184" spans="1:6" x14ac:dyDescent="0.3">
      <c r="A1184" t="str">
        <f>PARAMS_MODELO!$B$3</f>
        <v>2025-Q3</v>
      </c>
      <c r="B1184">
        <f>CALCULOS_AGENCIA!$A1184</f>
        <v>51056043</v>
      </c>
      <c r="C1184">
        <f>CALCULOS_AGENCIA!$U1184</f>
        <v>12.5076</v>
      </c>
      <c r="D1184" t="str">
        <f>CALCULOS_AGENCIA!$V1184</f>
        <v>BRONCE</v>
      </c>
      <c r="E1184">
        <f>CALCULOS_AGENCIA!$AA1184</f>
        <v>1126</v>
      </c>
      <c r="F1184" s="3">
        <f t="shared" ca="1" si="18"/>
        <v>46087</v>
      </c>
    </row>
    <row r="1185" spans="1:6" x14ac:dyDescent="0.3">
      <c r="A1185" t="str">
        <f>PARAMS_MODELO!$B$3</f>
        <v>2025-Q3</v>
      </c>
      <c r="B1185">
        <f>CALCULOS_AGENCIA!$A1185</f>
        <v>51056141</v>
      </c>
      <c r="C1185">
        <f>CALCULOS_AGENCIA!$U1185</f>
        <v>16.86</v>
      </c>
      <c r="D1185" t="str">
        <f>CALCULOS_AGENCIA!$V1185</f>
        <v>BRONCE</v>
      </c>
      <c r="E1185">
        <f>CALCULOS_AGENCIA!$AA1185</f>
        <v>1053</v>
      </c>
      <c r="F1185" s="3">
        <f t="shared" ca="1" si="18"/>
        <v>46087</v>
      </c>
    </row>
    <row r="1186" spans="1:6" x14ac:dyDescent="0.3">
      <c r="A1186" t="str">
        <f>PARAMS_MODELO!$B$3</f>
        <v>2025-Q3</v>
      </c>
      <c r="B1186">
        <f>CALCULOS_AGENCIA!$A1186</f>
        <v>51056167</v>
      </c>
      <c r="C1186">
        <f>CALCULOS_AGENCIA!$U1186</f>
        <v>14.3</v>
      </c>
      <c r="D1186" t="str">
        <f>CALCULOS_AGENCIA!$V1186</f>
        <v>BRONCE</v>
      </c>
      <c r="E1186">
        <f>CALCULOS_AGENCIA!$AA1186</f>
        <v>1086</v>
      </c>
      <c r="F1186" s="3">
        <f t="shared" ca="1" si="18"/>
        <v>46087</v>
      </c>
    </row>
    <row r="1187" spans="1:6" x14ac:dyDescent="0.3">
      <c r="A1187" t="str">
        <f>PARAMS_MODELO!$B$3</f>
        <v>2025-Q3</v>
      </c>
      <c r="B1187">
        <f>CALCULOS_AGENCIA!$A1187</f>
        <v>51056230</v>
      </c>
      <c r="C1187">
        <f>CALCULOS_AGENCIA!$U1187</f>
        <v>11</v>
      </c>
      <c r="D1187" t="str">
        <f>CALCULOS_AGENCIA!$V1187</f>
        <v>BRONCE</v>
      </c>
      <c r="E1187">
        <f>CALCULOS_AGENCIA!$AA1187</f>
        <v>1144</v>
      </c>
      <c r="F1187" s="3">
        <f t="shared" ca="1" si="18"/>
        <v>46087</v>
      </c>
    </row>
    <row r="1188" spans="1:6" x14ac:dyDescent="0.3">
      <c r="A1188" t="str">
        <f>PARAMS_MODELO!$B$3</f>
        <v>2025-Q3</v>
      </c>
      <c r="B1188">
        <f>CALCULOS_AGENCIA!$A1188</f>
        <v>51056256</v>
      </c>
      <c r="C1188">
        <f>CALCULOS_AGENCIA!$U1188</f>
        <v>13.42</v>
      </c>
      <c r="D1188" t="str">
        <f>CALCULOS_AGENCIA!$V1188</f>
        <v>BRONCE</v>
      </c>
      <c r="E1188">
        <f>CALCULOS_AGENCIA!$AA1188</f>
        <v>1099</v>
      </c>
      <c r="F1188" s="3">
        <f t="shared" ca="1" si="18"/>
        <v>46087</v>
      </c>
    </row>
    <row r="1189" spans="1:6" x14ac:dyDescent="0.3">
      <c r="A1189" t="str">
        <f>PARAMS_MODELO!$B$3</f>
        <v>2025-Q3</v>
      </c>
      <c r="B1189">
        <f>CALCULOS_AGENCIA!$A1189</f>
        <v>51056370</v>
      </c>
      <c r="C1189">
        <f>CALCULOS_AGENCIA!$U1189</f>
        <v>10.5</v>
      </c>
      <c r="D1189" t="str">
        <f>CALCULOS_AGENCIA!$V1189</f>
        <v>BRONCE</v>
      </c>
      <c r="E1189">
        <f>CALCULOS_AGENCIA!$AA1189</f>
        <v>1160</v>
      </c>
      <c r="F1189" s="3">
        <f t="shared" ca="1" si="18"/>
        <v>46087</v>
      </c>
    </row>
    <row r="1190" spans="1:6" x14ac:dyDescent="0.3">
      <c r="A1190" t="str">
        <f>PARAMS_MODELO!$B$3</f>
        <v>2025-Q3</v>
      </c>
      <c r="B1190">
        <f>CALCULOS_AGENCIA!$A1190</f>
        <v>51056680</v>
      </c>
      <c r="C1190">
        <f>CALCULOS_AGENCIA!$U1190</f>
        <v>2.2999999999999998</v>
      </c>
      <c r="D1190" t="str">
        <f>CALCULOS_AGENCIA!$V1190</f>
        <v>BRONCE</v>
      </c>
      <c r="E1190">
        <f>CALCULOS_AGENCIA!$AA1190</f>
        <v>1193</v>
      </c>
      <c r="F1190" s="3">
        <f t="shared" ca="1" si="18"/>
        <v>46087</v>
      </c>
    </row>
    <row r="1191" spans="1:6" x14ac:dyDescent="0.3">
      <c r="A1191" t="str">
        <f>PARAMS_MODELO!$B$3</f>
        <v>2025-Q3</v>
      </c>
      <c r="B1191">
        <f>CALCULOS_AGENCIA!$A1191</f>
        <v>51056710</v>
      </c>
      <c r="C1191">
        <f>CALCULOS_AGENCIA!$U1191</f>
        <v>18.480000000000004</v>
      </c>
      <c r="D1191" t="str">
        <f>CALCULOS_AGENCIA!$V1191</f>
        <v>BRONCE</v>
      </c>
      <c r="E1191">
        <f>CALCULOS_AGENCIA!$AA1191</f>
        <v>1020</v>
      </c>
      <c r="F1191" s="3">
        <f t="shared" ca="1" si="18"/>
        <v>46087</v>
      </c>
    </row>
    <row r="1192" spans="1:6" x14ac:dyDescent="0.3">
      <c r="A1192" t="str">
        <f>PARAMS_MODELO!$B$3</f>
        <v>2025-Q3</v>
      </c>
      <c r="B1192">
        <f>CALCULOS_AGENCIA!$A1192</f>
        <v>51056779</v>
      </c>
      <c r="C1192">
        <f>CALCULOS_AGENCIA!$U1192</f>
        <v>17.2</v>
      </c>
      <c r="D1192" t="str">
        <f>CALCULOS_AGENCIA!$V1192</f>
        <v>BRONCE</v>
      </c>
      <c r="E1192">
        <f>CALCULOS_AGENCIA!$AA1192</f>
        <v>1046</v>
      </c>
      <c r="F1192" s="3">
        <f t="shared" ca="1" si="18"/>
        <v>46087</v>
      </c>
    </row>
    <row r="1193" spans="1:6" x14ac:dyDescent="0.3">
      <c r="A1193" t="str">
        <f>PARAMS_MODELO!$B$3</f>
        <v>2025-Q3</v>
      </c>
      <c r="B1193">
        <f>CALCULOS_AGENCIA!$A1193</f>
        <v>51056841</v>
      </c>
      <c r="C1193">
        <f>CALCULOS_AGENCIA!$U1193</f>
        <v>13.750000000000002</v>
      </c>
      <c r="D1193" t="str">
        <f>CALCULOS_AGENCIA!$V1193</f>
        <v>BRONCE</v>
      </c>
      <c r="E1193">
        <f>CALCULOS_AGENCIA!$AA1193</f>
        <v>1093</v>
      </c>
      <c r="F1193" s="3">
        <f t="shared" ca="1" si="18"/>
        <v>46087</v>
      </c>
    </row>
    <row r="1194" spans="1:6" x14ac:dyDescent="0.3">
      <c r="A1194" t="str">
        <f>PARAMS_MODELO!$B$3</f>
        <v>2025-Q3</v>
      </c>
      <c r="B1194">
        <f>CALCULOS_AGENCIA!$A1194</f>
        <v>51056892</v>
      </c>
      <c r="C1194">
        <f>CALCULOS_AGENCIA!$U1194</f>
        <v>18.899999999999999</v>
      </c>
      <c r="D1194" t="str">
        <f>CALCULOS_AGENCIA!$V1194</f>
        <v>BRONCE</v>
      </c>
      <c r="E1194">
        <f>CALCULOS_AGENCIA!$AA1194</f>
        <v>1003</v>
      </c>
      <c r="F1194" s="3">
        <f t="shared" ca="1" si="18"/>
        <v>46087</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7">
    <tabColor rgb="FF0070C0"/>
  </sheetPr>
  <dimension ref="A1:AV1194"/>
  <sheetViews>
    <sheetView tabSelected="1" workbookViewId="0">
      <pane ySplit="1" topLeftCell="A2" activePane="bottomLeft" state="frozen"/>
      <selection pane="bottomLeft"/>
    </sheetView>
  </sheetViews>
  <sheetFormatPr baseColWidth="10" defaultColWidth="8.88671875" defaultRowHeight="14.4" x14ac:dyDescent="0.3"/>
  <cols>
    <col min="1" max="1" width="9.88671875" bestFit="1" customWidth="1"/>
    <col min="2" max="2" width="15.77734375" bestFit="1" customWidth="1"/>
    <col min="3" max="3" width="13.21875" bestFit="1" customWidth="1"/>
    <col min="4" max="4" width="11.21875" bestFit="1" customWidth="1"/>
    <col min="5" max="5" width="12.88671875" bestFit="1" customWidth="1"/>
    <col min="6" max="6" width="12.5546875" bestFit="1" customWidth="1"/>
    <col min="7" max="7" width="13.21875" bestFit="1" customWidth="1"/>
    <col min="8" max="8" width="16.21875" bestFit="1" customWidth="1"/>
    <col min="9" max="9" width="14" bestFit="1" customWidth="1"/>
    <col min="10" max="10" width="13.77734375" bestFit="1" customWidth="1"/>
    <col min="11" max="11" width="9.88671875" bestFit="1" customWidth="1"/>
    <col min="12" max="12" width="11" bestFit="1" customWidth="1"/>
    <col min="13" max="13" width="13.21875" bestFit="1" customWidth="1"/>
    <col min="14" max="14" width="19.6640625" bestFit="1" customWidth="1"/>
    <col min="15" max="15" width="12.21875" bestFit="1" customWidth="1"/>
    <col min="16" max="16" width="14.33203125" bestFit="1" customWidth="1"/>
    <col min="17" max="17" width="7.88671875" bestFit="1" customWidth="1"/>
    <col min="18" max="18" width="18" bestFit="1" customWidth="1"/>
    <col min="19" max="19" width="11.109375" bestFit="1" customWidth="1"/>
    <col min="20" max="20" width="10" bestFit="1" customWidth="1"/>
    <col min="21" max="21" width="13.21875" bestFit="1" customWidth="1"/>
    <col min="22" max="24" width="12.77734375" customWidth="1"/>
    <col min="25" max="25" width="22.77734375" bestFit="1" customWidth="1"/>
    <col min="26" max="26" width="12.77734375" customWidth="1"/>
    <col min="27" max="28" width="18.44140625" bestFit="1" customWidth="1"/>
    <col min="29" max="29" width="21.77734375" bestFit="1" customWidth="1"/>
    <col min="30" max="30" width="40.109375" bestFit="1" customWidth="1"/>
    <col min="31" max="31" width="16.109375" bestFit="1" customWidth="1"/>
    <col min="32" max="32" width="12.77734375" bestFit="1" customWidth="1"/>
    <col min="33" max="33" width="15.6640625" bestFit="1" customWidth="1"/>
    <col min="34" max="34" width="19.5546875" bestFit="1" customWidth="1"/>
    <col min="35" max="35" width="139.6640625" bestFit="1" customWidth="1"/>
    <col min="36" max="36" width="13.33203125" bestFit="1" customWidth="1"/>
    <col min="37" max="37" width="51" bestFit="1" customWidth="1"/>
    <col min="38" max="38" width="30.21875" customWidth="1"/>
    <col min="39" max="39" width="12.6640625" bestFit="1" customWidth="1"/>
    <col min="40" max="40" width="46.44140625" bestFit="1" customWidth="1"/>
    <col min="41" max="41" width="28.44140625" customWidth="1"/>
    <col min="42" max="42" width="24.6640625" bestFit="1" customWidth="1"/>
    <col min="43" max="43" width="32.77734375" bestFit="1" customWidth="1"/>
    <col min="44" max="44" width="27.21875" bestFit="1" customWidth="1"/>
    <col min="45" max="45" width="27.77734375" bestFit="1" customWidth="1"/>
    <col min="46" max="46" width="24.77734375" bestFit="1" customWidth="1"/>
    <col min="47" max="47" width="25" bestFit="1" customWidth="1"/>
    <col min="48" max="48" width="60.44140625" bestFit="1" customWidth="1"/>
  </cols>
  <sheetData>
    <row r="1" spans="1:48" ht="55.2" x14ac:dyDescent="0.3">
      <c r="A1" s="10" t="s">
        <v>90</v>
      </c>
      <c r="B1" s="10" t="s">
        <v>1</v>
      </c>
      <c r="C1" s="10" t="s">
        <v>124</v>
      </c>
      <c r="D1" s="10" t="s">
        <v>125</v>
      </c>
      <c r="E1" s="10" t="s">
        <v>126</v>
      </c>
      <c r="F1" s="10" t="s">
        <v>127</v>
      </c>
      <c r="G1" s="10" t="s">
        <v>128</v>
      </c>
      <c r="H1" s="10" t="s">
        <v>129</v>
      </c>
      <c r="I1" s="10" t="s">
        <v>130</v>
      </c>
      <c r="J1" s="10" t="s">
        <v>131</v>
      </c>
      <c r="K1" s="10" t="s">
        <v>132</v>
      </c>
      <c r="L1" s="10" t="s">
        <v>133</v>
      </c>
      <c r="M1" s="10" t="s">
        <v>134</v>
      </c>
      <c r="N1" s="10" t="s">
        <v>135</v>
      </c>
      <c r="O1" s="10" t="s">
        <v>136</v>
      </c>
      <c r="P1" s="10" t="s">
        <v>137</v>
      </c>
      <c r="Q1" s="10" t="s">
        <v>138</v>
      </c>
      <c r="R1" s="10" t="s">
        <v>170</v>
      </c>
      <c r="S1" s="10" t="s">
        <v>172</v>
      </c>
      <c r="T1" s="10" t="s">
        <v>171</v>
      </c>
      <c r="U1" s="10" t="s">
        <v>173</v>
      </c>
      <c r="V1" s="10" t="str">
        <f>"Categoría"&amp;" "&amp;PARAMS_MODELO!$B$3</f>
        <v>Categoría 2025-Q3</v>
      </c>
      <c r="W1" s="11" t="str">
        <f>"Categoría"&amp;" "&amp;PARAMS_MODELO!$B$4</f>
        <v>Categoría 2025-Q2</v>
      </c>
      <c r="X1" s="11" t="s">
        <v>177</v>
      </c>
      <c r="Y1" s="11" t="str">
        <f>"Movilidad"&amp;" "&amp;" "&amp;"vs"&amp;" "&amp;PARAMS_MODELO!$B$4&amp;" "&amp;"(Δ puntaje)"</f>
        <v>Movilidad  vs 2025-Q2 (Δ puntaje)</v>
      </c>
      <c r="Z1" s="11" t="s">
        <v>174</v>
      </c>
      <c r="AA1" s="11" t="str">
        <f>"Ranking (puntaje)"&amp;" "&amp;PARAMS_MODELO!$B$3</f>
        <v>Ranking (puntaje) 2025-Q3</v>
      </c>
      <c r="AB1" s="11" t="str">
        <f>"Ranking (puntaje)"&amp;" "&amp;PARAMS_MODELO!$B$4</f>
        <v>Ranking (puntaje) 2025-Q2</v>
      </c>
      <c r="AC1" s="11" t="s">
        <v>140</v>
      </c>
      <c r="AD1" s="11" t="s">
        <v>233</v>
      </c>
      <c r="AE1" s="27" t="s">
        <v>204</v>
      </c>
      <c r="AF1" s="27" t="s">
        <v>205</v>
      </c>
      <c r="AG1" s="27" t="s">
        <v>206</v>
      </c>
      <c r="AH1" s="27" t="s">
        <v>207</v>
      </c>
      <c r="AI1" s="11" t="s">
        <v>200</v>
      </c>
      <c r="AJ1" s="11" t="s">
        <v>201</v>
      </c>
      <c r="AK1" s="27" t="s">
        <v>208</v>
      </c>
      <c r="AL1" s="27" t="s">
        <v>209</v>
      </c>
      <c r="AM1" s="27" t="s">
        <v>210</v>
      </c>
      <c r="AN1" s="11" t="s">
        <v>202</v>
      </c>
      <c r="AO1" s="27" t="s">
        <v>211</v>
      </c>
      <c r="AP1" s="27" t="s">
        <v>212</v>
      </c>
      <c r="AQ1" s="27" t="s">
        <v>213</v>
      </c>
      <c r="AR1" s="27" t="s">
        <v>214</v>
      </c>
      <c r="AS1" s="27" t="s">
        <v>215</v>
      </c>
      <c r="AT1" s="11" t="s">
        <v>203</v>
      </c>
      <c r="AU1" s="27" t="s">
        <v>216</v>
      </c>
      <c r="AV1" s="11" t="s">
        <v>217</v>
      </c>
    </row>
    <row r="2" spans="1:48" x14ac:dyDescent="0.3">
      <c r="A2" s="5">
        <v>51015525</v>
      </c>
      <c r="B2" s="5" t="str">
        <f>IFERROR(VLOOKUP(A2,VENTAS!$A$2:$B$1194,2,0),"")</f>
        <v>NELLI</v>
      </c>
      <c r="C2" s="5">
        <f>IFERROR(INDEX(VENTAS!$C$2:$E$1194,MATCH(A2,VENTAS!$A$2:$A$1194,0),MATCH(PARAMS_MODELO!$B$2,{"Q1","Q2","Q3"},0)),0)</f>
        <v>386117634.13999999</v>
      </c>
      <c r="D2" s="5">
        <f>IFERROR(INDEX(VENTAS!$F$2:$H$1194,MATCH(A2,VENTAS!$A$2:$A$1194,0),MATCH(PARAMS_MODELO!$B$2,{"Q1","Q2","Q3"},0)),0)</f>
        <v>562041621</v>
      </c>
      <c r="E2" s="8">
        <f t="shared" ref="E2:E65" si="0">IFERROR(D2/C2-1,0)</f>
        <v>0.45562277219437441</v>
      </c>
      <c r="F2" s="12">
        <f>IF(E2&lt;=PARAMS_MODELO!$B$15,0,IF(E2&gt;=PARAMS_MODELO!$B$17,100,100*MIN(1,(E2-PARAMS_MODELO!$B$15)/(PARAMS_MODELO!$B$16-PARAMS_MODELO!$B$15))))*PARAMS_MODELO!$B$7</f>
        <v>35</v>
      </c>
      <c r="G2" s="5">
        <f t="shared" ref="G2:G65" si="1">MAX(0,D2-C2)</f>
        <v>175923986.86000001</v>
      </c>
      <c r="H2" s="5">
        <f>(PARAMS_MODELO!$B$20*(MAX(0,MIN(3,E2))/3)+PARAMS_MODELO!$B$21*(IFERROR(LN(1+MAX(0,G2))/LN(1+MAX(0,MAX($G$2:$G$1194))),0)))*100*PARAMS_MODELO!$B$8</f>
        <v>6.0451606213106333</v>
      </c>
      <c r="I2" s="8">
        <f>E2-PARAMS_MODELO!$B$5</f>
        <v>0.27805993681884789</v>
      </c>
      <c r="J2" s="5">
        <f>IF(I2&lt;=PARAMS_MODELO!$B$18,0,IF(I2&gt;=PARAMS_MODELO!$B$19,100,100*(I2-PARAMS_MODELO!$B$18)/(PARAMS_MODELO!$B$19-PARAMS_MODELO!$B$18)))*PARAMS_MODELO!$B$9</f>
        <v>15</v>
      </c>
      <c r="K2" s="5">
        <f>IFERROR(CHOOSE(MATCH(PARAMS_MODELO!$B$2,{"Q1","Q2","Q3"},0),LOTO!$D2,LOTO!$F2,LOTO!$H2),0)</f>
        <v>20540000</v>
      </c>
      <c r="L2" s="8">
        <f t="shared" ref="L2:L65" si="2">IFERROR(K2/D2,0)</f>
        <v>3.6545336203846729E-2</v>
      </c>
      <c r="M2" s="5">
        <f>MIN(100,IF(PARAMS_MODELO!$B$23=0,0,100*L2/PARAMS_MODELO!$B$23))*PARAMS_MODELO!$B$10</f>
        <v>10.963600861154017</v>
      </c>
      <c r="N2" s="5">
        <f>IFERROR(VLOOKUP(A2,COMPLIANCE!$A$2:$F$1996,6,0),100)</f>
        <v>100</v>
      </c>
      <c r="O2" s="5">
        <f>N2*PARAMS_MODELO!$B$11</f>
        <v>10</v>
      </c>
      <c r="P2" s="5">
        <f>IFERROR(VLOOKUP(A2,DIGITAL!$A$2:$J$2000,7,0),100)</f>
        <v>92</v>
      </c>
      <c r="Q2" s="5">
        <f>IFERROR(P2,0)*PARAMS_MODELO!$B$12</f>
        <v>9.2000000000000011</v>
      </c>
      <c r="R2">
        <f t="shared" ref="R2:R65" si="3">MIN(100,MAX(0,F2+H2+J2+M2+O2+Q2))</f>
        <v>86.208761482464652</v>
      </c>
      <c r="S2" s="5" t="str">
        <f>IFERROR(VLOOKUP(A2,CLIENTE!$A$2:$N$2000,13,0),1)</f>
        <v>Malo</v>
      </c>
      <c r="T2" s="5">
        <f>IFERROR(VLOOKUP(A2,CLIENTE!$A$2:$N$2000,14,0),1)</f>
        <v>0.7</v>
      </c>
      <c r="U2" s="5">
        <f t="shared" ref="U2:U65" si="4">MIN(100,MAX(0,R2*T2))</f>
        <v>60.346133037725252</v>
      </c>
      <c r="V2" s="5" t="str">
        <f>IF(U2&gt;=MAX(_xlfn.PERCENTILE.INC($U$2:$U$1194,PARAMS_MODELO!$B$50),PARAMS_MODELO!$B$45),"DIAMANTE",IF(U2&gt;=MAX(_xlfn.PERCENTILE.INC($U$2:$U$1194,PARAMS_MODELO!$B$51),PARAMS_MODELO!$B$46),"PLATINO",IF(U2&gt;=MAX(_xlfn.PERCENTILE.INC($U$2:$U$1194,PARAMS_MODELO!$B$52),PARAMS_MODELO!$B$47),"ORO",IF(U2&gt;=MAX(_xlfn.PERCENTILE.INC($U$2:$U$1194,PARAMS_MODELO!$B$53),PARAMS_MODELO!$B$48),"PLATA",IF(U2&gt;=1,"BRONCE","CERRADO")))))</f>
        <v>PLATA</v>
      </c>
      <c r="W2" s="5" t="str" cm="1">
        <f t="array" ref="W2">_xlfn.XLOOKUP(1, (HIST_SCORE!$B:$B=PARAMS_MODELO!$B$4) * (HIST_SCORE!$C:$C=A2), HIST_SCORE!$E:$E, "No encontrado")</f>
        <v>PLATA</v>
      </c>
      <c r="X2" s="5" t="str">
        <f>_xlfn.LET(_xlpm.act,MATCH(V2,{"DIAMANTE";"PLATINO";"ORO";"PLATA";"BRONCE";"CERRADO"},0),_xlpm.ant,MATCH(W2,{"DIAMANTE";"PLATINO";"ORO";"PLATA";"BRONCE";"CERRADO"},0),IF(_xlpm.act&lt;_xlpm.ant,"Mejora ↑",IF(_xlpm.act&gt;_xlpm.ant,"Baja ↓","Estable →")))</f>
        <v>Estable →</v>
      </c>
      <c r="Y2" s="5">
        <f>IFERROR(U2-SUMIFS(HIST_SCORE!$D:$D,HIST_SCORE!$B:$B,PARAMS_MODELO!$B$4,HIST_SCORE!$C:$C,$A2),"")</f>
        <v>0.542260068195624</v>
      </c>
      <c r="Z2" s="5" t="str">
        <f t="shared" ref="Z2:Z65" si="5">IF(Y2="","",IF(Y2&gt;=5,"↑ Mejora",IF(Y2&lt;=-5,"↓ Baja","→ Estable")))</f>
        <v>→ Estable</v>
      </c>
      <c r="AA2" s="5">
        <f t="shared" ref="AA2:AA65" si="6">IFERROR(_xlfn.RANK.EQ(U2,$U$2:$U$1194,0),"")</f>
        <v>611</v>
      </c>
      <c r="AB2" s="5">
        <f>IFERROR(SUMIFS(HIST_SCORE!$F:$F,HIST_SCORE!$B:$B,PARAMS_MODELO!$B$4,HIST_SCORE!$C:$C,$A2),"")</f>
        <v>653</v>
      </c>
      <c r="AC2" s="5">
        <f t="shared" ref="AC2:AC65" si="7">IF(OR(AA2="",AB2=""),"",AB2-AA2)</f>
        <v>42</v>
      </c>
      <c r="AD2" t="str">
        <f>IF(V2="CERRADO","Agencia sin actividad o cerrada",IF(AND(V2="BRONCE",Y2=""),"Primer corte: cargá histórico para medir movilidad",IF(AND(V2="BRONCE",Y2&lt;0),"Plan de recuperación: foco crecimiento + mix",IF(AND(V2="ORO",Y2&lt;0),"Sostener base y reforzar mix",""))))</f>
        <v/>
      </c>
      <c r="AE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CERRADO",1,IF(V2="BRONCE",_xlpm.cPl,IF(V2="PLATA",_xlpm.cO,IF(V2="ORO",_xlpm.cP,IF(V2="PLATINO",_xlpm.cD,999))))))</f>
        <v>63.199193273331495</v>
      </c>
      <c r="AF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CERRADO",0,IF(V2="BRONCE",1,IF(V2="PLATA",_xlpm.cPl,IF(V2="ORO",_xlpm.cO,IF(V2="PLATINO",_xlpm.cP,_xlpm.cD))))))</f>
        <v>24.506573482968111</v>
      </c>
      <c r="AG2">
        <f>_xlfn.LET(_xlpm.corteU,AE2,_xlpm.coef,MAX(0.01,T2),_xlpm.reqR,_xlpm.corteU/_xlpm.coef,MAX(0,_xlpm.reqR-R2))</f>
        <v>4.0758003365803432</v>
      </c>
      <c r="AH2" t="str">
        <f>_xlfn.LET(_xlpm.deltaR,AG2,_xlpm.ventas,F2+H2+J2,_xlpm.hv,(MAX($F$2:$F$1194)+MAX($H$2:$H$1194)+MAX($J$2:$J$1194))-_xlpm.ventas,_xlpm.hl,MAX($M$2:$M$1194)-M2,_xlpm.hc,MAX($O$2:$O$1194)-O2,_xlpm.hd,MAX($Q$2:$Q$1194)-Q2,_xlpm.impV,MIN(_xlpm.deltaR,MAX(0,_xlpm.hv)),_xlpm.impL,MIN(_xlpm.deltaR,MAX(0,_xlpm.hl)),_xlpm.impC,MIN(_xlpm.deltaR,MAX(0,_xlpm.hc)),_xlpm.impD,MIN(_xlpm.deltaR,MAX(0,_xlpm.hd)),_xlpm.t,T2,_xlpm.tObj,1,_xlpm.impCli,IF(_xlpm.t&lt;0.95,MIN(_xlpm.deltaR,R2*(_xlpm.tObj/_xlpm.t-1)),0),_xlpm.mx,MAX(_xlpm.impV,_xlpm.impL,_xlpm.impC,_xlpm.impD,_xlpm.impCli),IF(V2="DIAMANTE","SOSTENER",IF(V2="CERRADO","CERRADO",IF(_xlpm.mx=_xlpm.impCli,"CLIENTE",IF(_xlpm.mx=_xlpm.impV,"VENTAS",IF(_xlpm.mx=_xlpm.impL,"LOTO",IF(_xlpm.mx=_xlpm.impC,"COMPLIANCE","DIGITAL")))))))</f>
        <v>CLIENTE</v>
      </c>
      <c r="AI2" t="str">
        <f t="shared" ref="AI2:AI65" si="8">_xlfn.LET(_xlpm.pal,AH2,_xlpm.deltaR,AG2,_xlpm.minVent,MIN(F2,H2,J2),_xlpm.subV,IF(_xlpm.minVent=F2,"CRECIMIENTO PERSONAL (F)",IF(_xlpm.minVent=H2,"IMPACTO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la eje con mayor impacto probable es CLIENTE (coef T). Acción: reducir quejas, mejorar incógnito y empujar reseñas. ΔR aprox: 4,1</v>
      </c>
      <c r="AJ2" s="26">
        <f>_xlfn.LET(_xlpm.piso,AF2,_xlpm.corte,AE2,_xlpm.prog,IF(_xlpm.corte&lt;=_xlpm.piso,0,MAX(0,MIN(1,(U2-_xlpm.piso)/(_xlpm.corte-_xlpm.piso)))),_xlpm.orden,{"DIAMANTE";"PLATINO";"ORO";"PLATA";"BRONCE";"CERRADO"},_xlpm.act,IFERROR(MATCH(V2,_xlpm.orden,0),6),_xlpm.ant,IFERROR(MATCH(W2,_xlpm.orden,0),6),_xlpm.ajmov,IF(_xlpm.act&lt;_xlpm.ant,0.08,IF(_xlpm.act&gt;_xlpm.ant,-0.08,0)),_xlpm.ajcli,IF(T2&lt;0.95,-0.06,0),_xlpm.prob,MAX(0,MIN(1,_xlpm.prog+_xlpm.ajmov+_xlpm.ajcli)),IF(OR(V2="DIAMANTE",V2="CERRADO"),0,ROUND(_xlpm.prob,2)))</f>
        <v>0.87</v>
      </c>
      <c r="AK2" t="str">
        <f>IF(OR(V2="DIAMANTE",V2="CERRADO"),"No aplica","Faltan " &amp; TEXT(AG2,"0,0") &amp; " puntos base para subir a la siguiente categoría")</f>
        <v>Faltan 4,1 puntos base para subir a la siguiente categoría</v>
      </c>
      <c r="AL2" t="str">
        <f>_xlfn.LET(_xlpm.piso,AF2,_xlpm.dist,U2-_xlpm.piso,IF(OR(V2="BRONCE",V2="CERRADO"),"No aplica",IF(_xlpm.dist&lt;=0,"⚠ Riesgo de descenso","Margen de seguridad: " &amp; TEXT(_xlpm.dist,"0,0") &amp; " puntos")))</f>
        <v>Margen de seguridad: 35,8 puntos</v>
      </c>
      <c r="AM2">
        <f>_xlfn.LET(_xlpm.prob,AJ2,_xlpm.dist,AG2,_xlpm.coef,T2,_xlpm.prior,(1-_xlpm.prob)*0.4+MIN(1,_xlpm.dist/10)*0.4+IF(_xlpm.coef&lt;0.95,0.2,0),ROUND(_xlpm.prior,2))</f>
        <v>0.42</v>
      </c>
      <c r="AN2" t="str">
        <f>IF(AM2&gt;=0.7,"PRIORIDAD ALTA – requiere intervención inmediata",IF(AM2&gt;=0.4,"PRIORIDAD MEDIA – seguimiento del asesor","PRIORIDAD BAJA – control normal"))</f>
        <v>PRIORIDAD MEDIA – seguimiento del asesor</v>
      </c>
      <c r="AO2">
        <f>MAX(0,((MAX($F$2:$F$1194)+MAX($H$2:$H$1194)+MAX($J$2:$J$1194))-(F2+H2+J2))*T2)</f>
        <v>6.1721860577894638</v>
      </c>
      <c r="AP2">
        <f>MAX(0,(MAX($M$2:$M$1194)-M2)*T2)</f>
        <v>2.8254793971921881</v>
      </c>
      <c r="AQ2">
        <f>MAX(0,(MAX($O$2:$O$1194)-O2)*T2)</f>
        <v>0</v>
      </c>
      <c r="AR2">
        <f>MAX(0,(MAX($Q$2:$Q$1194)-Q2)*T2)</f>
        <v>0.55999999999999917</v>
      </c>
      <c r="AS2">
        <f>MAX(0,R2*(1-T2))</f>
        <v>25.8626284447394</v>
      </c>
      <c r="AT2" t="str">
        <f>_xlfn.LET(_xlpm.v,AO2,_xlpm.l,AP2,_xlpm.c,AQ2,_xlpm.d,AR2,_xlpm.cli,AS2,_xlpm.mx,MAX(_xlpm.v,_xlpm.l,_xlpm.c,_xlpm.d,_xlpm.cli),IF(_xlpm.mx=_xlpm.cli,"CLIENTE",IF(_xlpm.mx=_xlpm.v,"VENTAS",IF(_xlpm.mx=_xlpm.l,"LOTO",IF(_xlpm.mx=_xlpm.c,"COMPLIANCE","DIGITAL")))))</f>
        <v>CLIENTE</v>
      </c>
      <c r="AU2">
        <f>MAX(AO2,AP2,AQ2,AR2,AS2)</f>
        <v>25.8626284447394</v>
      </c>
      <c r="AV2" t="str">
        <f>IF(V2="CERRADO","⛔ Sin impacto comercial estimable por estado CERRADO.","Mayor retorno probable: " &amp; AT2 &amp; " (+" &amp; TEXT(AU2,"0,0") &amp; " puntos finales potenciales).")</f>
        <v>Mayor retorno probable: CLIENTE (+25,9 puntos finales potenciales).</v>
      </c>
    </row>
    <row r="3" spans="1:48" x14ac:dyDescent="0.3">
      <c r="A3" s="5">
        <v>51017790</v>
      </c>
      <c r="B3" s="5" t="str">
        <f>IFERROR(VLOOKUP(A3,VENTAS!$A$2:$B$1194,2,0),"")</f>
        <v>NELLI</v>
      </c>
      <c r="C3" s="5">
        <f>IFERROR(INDEX(VENTAS!$C$2:$E$1194,MATCH(A3,VENTAS!$A$2:$A$1194,0),MATCH(PARAMS_MODELO!$B$2,{"Q1","Q2","Q3"},0)),0)</f>
        <v>381686446.99000001</v>
      </c>
      <c r="D3" s="5">
        <f>IFERROR(INDEX(VENTAS!$F$2:$H$1194,MATCH(A3,VENTAS!$A$2:$A$1194,0),MATCH(PARAMS_MODELO!$B$2,{"Q1","Q2","Q3"},0)),0)</f>
        <v>558324155</v>
      </c>
      <c r="E3" s="8">
        <f t="shared" si="0"/>
        <v>0.46278223762717929</v>
      </c>
      <c r="F3" s="12">
        <f>IF(E3&lt;=PARAMS_MODELO!$B$15,0,IF(E3&gt;=PARAMS_MODELO!$B$17,100,100*MIN(1,(E3-PARAMS_MODELO!$B$15)/(PARAMS_MODELO!$B$16-PARAMS_MODELO!$B$15))))*PARAMS_MODELO!$B$7</f>
        <v>35</v>
      </c>
      <c r="G3" s="5">
        <f t="shared" si="1"/>
        <v>176637708.00999999</v>
      </c>
      <c r="H3" s="5">
        <f>(PARAMS_MODELO!$B$20*(MAX(0,MIN(3,E3))/3)+PARAMS_MODELO!$B$21*(IFERROR(LN(1+MAX(0,G3))/LN(1+MAX(0,MAX($G$2:$G$1194))),0)))*100*PARAMS_MODELO!$B$8</f>
        <v>6.0711678405507152</v>
      </c>
      <c r="I3" s="8">
        <f>E3-PARAMS_MODELO!$B$5</f>
        <v>0.28521940225165276</v>
      </c>
      <c r="J3" s="5">
        <f>IF(I3&lt;=PARAMS_MODELO!$B$18,0,IF(I3&gt;=PARAMS_MODELO!$B$19,100,100*(I3-PARAMS_MODELO!$B$18)/(PARAMS_MODELO!$B$19-PARAMS_MODELO!$B$18)))*PARAMS_MODELO!$B$9</f>
        <v>15</v>
      </c>
      <c r="K3" s="5">
        <f>IFERROR(CHOOSE(MATCH(PARAMS_MODELO!$B$2,{"Q1","Q2","Q3"},0),LOTO!$D3,LOTO!$F3,LOTO!$H3),0)</f>
        <v>19855000</v>
      </c>
      <c r="L3" s="8">
        <f t="shared" si="2"/>
        <v>3.5561778623029484E-2</v>
      </c>
      <c r="M3" s="5">
        <f>MIN(100,IF(PARAMS_MODELO!$B$23=0,0,100*L3/PARAMS_MODELO!$B$23))*PARAMS_MODELO!$B$10</f>
        <v>10.668533586908845</v>
      </c>
      <c r="N3" s="5">
        <f>IFERROR(VLOOKUP(A3,COMPLIANCE!$A$2:$F$1996,6,0),100)</f>
        <v>100</v>
      </c>
      <c r="O3" s="5">
        <f>N3*PARAMS_MODELO!$B$11</f>
        <v>10</v>
      </c>
      <c r="P3" s="5">
        <f>IFERROR(VLOOKUP(A3,DIGITAL!$A$2:$J$2000,7,0),100)</f>
        <v>29</v>
      </c>
      <c r="Q3" s="5">
        <f>IFERROR(P3,0)*PARAMS_MODELO!$B$12</f>
        <v>2.9000000000000004</v>
      </c>
      <c r="R3">
        <f t="shared" si="3"/>
        <v>79.63970142745957</v>
      </c>
      <c r="S3" s="5" t="str">
        <f>IFERROR(VLOOKUP(A3,CLIENTE!$A$2:$N$2000,13,0),1)</f>
        <v>Regular</v>
      </c>
      <c r="T3" s="5">
        <f>IFERROR(VLOOKUP(A3,CLIENTE!$A$2:$N$2000,14,0),1)</f>
        <v>1</v>
      </c>
      <c r="U3" s="5">
        <f t="shared" si="4"/>
        <v>79.63970142745957</v>
      </c>
      <c r="V3" s="5" t="str">
        <f>IF(U3&gt;=MAX(_xlfn.PERCENTILE.INC($U$2:$U$1194,PARAMS_MODELO!$B$50),PARAMS_MODELO!$B$45),"DIAMANTE",IF(U3&gt;=MAX(_xlfn.PERCENTILE.INC($U$2:$U$1194,PARAMS_MODELO!$B$51),PARAMS_MODELO!$B$46),"PLATINO",IF(U3&gt;=MAX(_xlfn.PERCENTILE.INC($U$2:$U$1194,PARAMS_MODELO!$B$52),PARAMS_MODELO!$B$47),"ORO",IF(U3&gt;=MAX(_xlfn.PERCENTILE.INC($U$2:$U$1194,PARAMS_MODELO!$B$53),PARAMS_MODELO!$B$48),"PLATA",IF(U3&gt;=1,"BRONCE","CERRADO")))))</f>
        <v>ORO</v>
      </c>
      <c r="W3" s="5" t="str" cm="1">
        <f t="array" ref="W3">_xlfn.XLOOKUP(1, (HIST_SCORE!$B:$B=PARAMS_MODELO!$B$4) * (HIST_SCORE!$C:$C=A3), HIST_SCORE!$E:$E, "No encontrado")</f>
        <v>PLATA</v>
      </c>
      <c r="X3" s="5" t="str">
        <f>_xlfn.LET(_xlpm.act,MATCH(V3,{"DIAMANTE";"PLATINO";"ORO";"PLATA";"BRONCE";"CERRADO"},0),_xlpm.ant,MATCH(W3,{"DIAMANTE";"PLATINO";"ORO";"PLATA";"BRONCE";"CERRADO"},0),IF(_xlpm.act&lt;_xlpm.ant,"Mejora ↑",IF(_xlpm.act&gt;_xlpm.ant,"Baja ↓","Estable →")))</f>
        <v>Mejora ↑</v>
      </c>
      <c r="Y3" s="5">
        <f>IFERROR(U3-SUMIFS(HIST_SCORE!$D:$D,HIST_SCORE!$B:$B,PARAMS_MODELO!$B$4,HIST_SCORE!$C:$C,$A3),"")</f>
        <v>41.73980917484382</v>
      </c>
      <c r="Z3" s="5" t="str">
        <f t="shared" si="5"/>
        <v>↑ Mejora</v>
      </c>
      <c r="AA3" s="5">
        <f t="shared" si="6"/>
        <v>445</v>
      </c>
      <c r="AB3" s="5">
        <f>IFERROR(SUMIFS(HIST_SCORE!$F:$F,HIST_SCORE!$B:$B,PARAMS_MODELO!$B$4,HIST_SCORE!$C:$C,$A3),"")</f>
        <v>852</v>
      </c>
      <c r="AC3" s="5">
        <f t="shared" si="7"/>
        <v>407</v>
      </c>
      <c r="AD3" t="str">
        <f t="shared" ref="AD3:AD66" si="9">IF(V3="CERRADO","Agencia sin actividad o cerrada",IF(AND(V3="BRONCE",Y3=""),"Primer corte: cargá histórico para medir movilidad",IF(AND(V3="BRONCE",Y3&lt;0),"Plan de recuperación: foco crecimiento + mix",IF(AND(V3="ORO",Y3&lt;0),"Sostener base y reforzar mix",""))))</f>
        <v/>
      </c>
      <c r="AE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CERRADO",1,IF(V3="BRONCE",_xlpm.cPl,IF(V3="PLATA",_xlpm.cO,IF(V3="ORO",_xlpm.cP,IF(V3="PLATINO",_xlpm.cD,999))))))</f>
        <v>86.439123873763251</v>
      </c>
      <c r="AF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CERRADO",0,IF(V3="BRONCE",1,IF(V3="PLATA",_xlpm.cPl,IF(V3="ORO",_xlpm.cO,IF(V3="PLATINO",_xlpm.cP,_xlpm.cD))))))</f>
        <v>63.199193273331495</v>
      </c>
      <c r="AG3">
        <f t="shared" ref="AG3:AG66" si="10">_xlfn.LET(_xlpm.corteU,AE3,_xlpm.coef,MAX(0.01,T3),_xlpm.reqR,_xlpm.corteU/_xlpm.coef,MAX(0,_xlpm.reqR-R3))</f>
        <v>6.7994224463036801</v>
      </c>
      <c r="AH3" t="str">
        <f t="shared" ref="AH3:AH66" si="11">_xlfn.LET(_xlpm.deltaR,AG3,_xlpm.ventas,F3+H3+J3,_xlpm.hv,(MAX($F$2:$F$1194)+MAX($H$2:$H$1194)+MAX($J$2:$J$1194))-_xlpm.ventas,_xlpm.hl,MAX($M$2:$M$1194)-M3,_xlpm.hc,MAX($O$2:$O$1194)-O3,_xlpm.hd,MAX($Q$2:$Q$1194)-Q3,_xlpm.impV,MIN(_xlpm.deltaR,MAX(0,_xlpm.hv)),_xlpm.impL,MIN(_xlpm.deltaR,MAX(0,_xlpm.hl)),_xlpm.impC,MIN(_xlpm.deltaR,MAX(0,_xlpm.hc)),_xlpm.impD,MIN(_xlpm.deltaR,MAX(0,_xlpm.hd)),_xlpm.t,T3,_xlpm.tObj,1,_xlpm.impCli,IF(_xlpm.t&lt;0.95,MIN(_xlpm.deltaR,R3*(_xlpm.tObj/_xlpm.t-1)),0),_xlpm.mx,MAX(_xlpm.impV,_xlpm.impL,_xlpm.impC,_xlpm.impD,_xlpm.impCli),IF(V3="DIAMANTE","SOSTENER",IF(V3="CERRADO","CERRADO",IF(_xlpm.mx=_xlpm.impCli,"CLIENTE",IF(_xlpm.mx=_xlpm.impV,"VENTAS",IF(_xlpm.mx=_xlpm.impL,"LOTO",IF(_xlpm.mx=_xlpm.impC,"COMPLIANCE","DIGITAL")))))))</f>
        <v>VENTAS</v>
      </c>
      <c r="AI3" t="str">
        <f t="shared" si="8"/>
        <v>🎯 Para subir de categoría, eje VENTAS / IMPACTO ABSOLUTO (H). Acción: metas semanales + activación comercial + seguimiento del asesor. ΔR aprox: 6,8</v>
      </c>
      <c r="AJ3" s="26">
        <f>_xlfn.LET(_xlpm.piso,AF3,_xlpm.corte,AE3,_xlpm.prog,IF(_xlpm.corte&lt;=_xlpm.piso,0,MAX(0,MIN(1,(U3-_xlpm.piso)/(_xlpm.corte-_xlpm.piso)))),_xlpm.orden,{"DIAMANTE";"PLATINO";"ORO";"PLATA";"BRONCE";"CERRADO"},_xlpm.act,IFERROR(MATCH(V3,_xlpm.orden,0),6),_xlpm.ant,IFERROR(MATCH(W3,_xlpm.orden,0),6),_xlpm.ajmov,IF(_xlpm.act&lt;_xlpm.ant,0.08,IF(_xlpm.act&gt;_xlpm.ant,-0.08,0)),_xlpm.ajcli,IF(T3&lt;0.95,-0.06,0),_xlpm.prob,MAX(0,MIN(1,_xlpm.prog+_xlpm.ajmov+_xlpm.ajcli)),IF(OR(V3="DIAMANTE",V3="CERRADO"),0,ROUND(_xlpm.prob,2)))</f>
        <v>0.79</v>
      </c>
      <c r="AK3" t="str">
        <f t="shared" ref="AK3:AK66" si="12">IF(OR(V3="DIAMANTE",V3="CERRADO"),"No aplica","Faltan " &amp; TEXT(AG3,"0,0") &amp; " puntos base para subir a la siguiente categoría")</f>
        <v>Faltan 6,8 puntos base para subir a la siguiente categoría</v>
      </c>
      <c r="AL3" t="str">
        <f t="shared" ref="AL3:AL66" si="13">_xlfn.LET(_xlpm.piso,AF3,_xlpm.dist,U3-_xlpm.piso,IF(OR(V3="BRONCE",V3="CERRADO"),"No aplica",IF(_xlpm.dist&lt;=0,"⚠ Riesgo de descenso","Margen de seguridad: " &amp; TEXT(_xlpm.dist,"0,0") &amp; " puntos")))</f>
        <v>Margen de seguridad: 16,4 puntos</v>
      </c>
      <c r="AM3">
        <f t="shared" ref="AM3:AM66" si="14">_xlfn.LET(_xlpm.prob,AJ3,_xlpm.dist,AG3,_xlpm.coef,T3,_xlpm.prior,(1-_xlpm.prob)*0.4+MIN(1,_xlpm.dist/10)*0.4+IF(_xlpm.coef&lt;0.95,0.2,0),ROUND(_xlpm.prior,2))</f>
        <v>0.36</v>
      </c>
      <c r="AN3" t="str">
        <f t="shared" ref="AN3:AN66" si="15">IF(AM3&gt;=0.7,"PRIORIDAD ALTA – requiere intervención inmediata",IF(AM3&gt;=0.4,"PRIORIDAD MEDIA – seguimiento del asesor","PRIORIDAD BAJA – control normal"))</f>
        <v>PRIORIDAD BAJA – control normal</v>
      </c>
      <c r="AO3">
        <f t="shared" ref="AO3:AO66" si="16">MAX(0,((MAX($F$2:$F$1194)+MAX($H$2:$H$1194)+MAX($J$2:$J$1194))-(F3+H3+J3))*T3)</f>
        <v>8.7914014347448699</v>
      </c>
      <c r="AP3">
        <f t="shared" ref="AP3:AP66" si="17">MAX(0,(MAX($M$2:$M$1194)-M3)*T3)</f>
        <v>4.3314664130911549</v>
      </c>
      <c r="AQ3">
        <f t="shared" ref="AQ3:AQ66" si="18">MAX(0,(MAX($O$2:$O$1194)-O3)*T3)</f>
        <v>0</v>
      </c>
      <c r="AR3">
        <f t="shared" ref="AR3:AR66" si="19">MAX(0,(MAX($Q$2:$Q$1194)-Q3)*T3)</f>
        <v>7.1</v>
      </c>
      <c r="AS3">
        <f t="shared" ref="AS3:AS66" si="20">MAX(0,R3*(1-T3))</f>
        <v>0</v>
      </c>
      <c r="AT3" t="str">
        <f t="shared" ref="AT3:AT66" si="21">_xlfn.LET(_xlpm.v,AO3,_xlpm.l,AP3,_xlpm.c,AQ3,_xlpm.d,AR3,_xlpm.cli,AS3,_xlpm.mx,MAX(_xlpm.v,_xlpm.l,_xlpm.c,_xlpm.d,_xlpm.cli),IF(_xlpm.mx=_xlpm.cli,"CLIENTE",IF(_xlpm.mx=_xlpm.v,"VENTAS",IF(_xlpm.mx=_xlpm.l,"LOTO",IF(_xlpm.mx=_xlpm.c,"COMPLIANCE","DIGITAL")))))</f>
        <v>VENTAS</v>
      </c>
      <c r="AU3">
        <f t="shared" ref="AU3:AU66" si="22">MAX(AO3,AP3,AQ3,AR3,AS3)</f>
        <v>8.7914014347448699</v>
      </c>
      <c r="AV3" t="str">
        <f t="shared" ref="AV3:AV66" si="23">IF(V3="CERRADO","⛔ Sin impacto comercial estimable por estado CERRADO.","Mayor retorno probable: " &amp; AT3 &amp; " (+" &amp; TEXT(AU3,"0,0") &amp; " puntos finales potenciales).")</f>
        <v>Mayor retorno probable: VENTAS (+8,8 puntos finales potenciales).</v>
      </c>
    </row>
    <row r="4" spans="1:48" x14ac:dyDescent="0.3">
      <c r="A4" s="5">
        <v>51023871</v>
      </c>
      <c r="B4" s="5" t="str">
        <f>IFERROR(VLOOKUP(A4,VENTAS!$A$2:$B$1194,2,0),"")</f>
        <v>MONTENEGRO</v>
      </c>
      <c r="C4" s="5">
        <f>IFERROR(INDEX(VENTAS!$C$2:$E$1194,MATCH(A4,VENTAS!$A$2:$A$1194,0),MATCH(PARAMS_MODELO!$B$2,{"Q1","Q2","Q3"},0)),0)</f>
        <v>322937528.11000001</v>
      </c>
      <c r="D4" s="5">
        <f>IFERROR(INDEX(VENTAS!$F$2:$H$1194,MATCH(A4,VENTAS!$A$2:$A$1194,0),MATCH(PARAMS_MODELO!$B$2,{"Q1","Q2","Q3"},0)),0)</f>
        <v>484572790</v>
      </c>
      <c r="E4" s="8">
        <f t="shared" si="0"/>
        <v>0.50051557289106174</v>
      </c>
      <c r="F4" s="12">
        <f>IF(E4&lt;=PARAMS_MODELO!$B$15,0,IF(E4&gt;=PARAMS_MODELO!$B$17,100,100*MIN(1,(E4-PARAMS_MODELO!$B$15)/(PARAMS_MODELO!$B$16-PARAMS_MODELO!$B$15))))*PARAMS_MODELO!$B$7</f>
        <v>35</v>
      </c>
      <c r="G4" s="5">
        <f t="shared" si="1"/>
        <v>161635261.88999999</v>
      </c>
      <c r="H4" s="5">
        <f>(PARAMS_MODELO!$B$20*(MAX(0,MIN(3,E4))/3)+PARAMS_MODELO!$B$21*(IFERROR(LN(1+MAX(0,G4))/LN(1+MAX(0,MAX($G$2:$G$1194))),0)))*100*PARAMS_MODELO!$B$8</f>
        <v>6.1824282918338582</v>
      </c>
      <c r="I4" s="8">
        <f>E4-PARAMS_MODELO!$B$5</f>
        <v>0.32295273751553522</v>
      </c>
      <c r="J4" s="5">
        <f>IF(I4&lt;=PARAMS_MODELO!$B$18,0,IF(I4&gt;=PARAMS_MODELO!$B$19,100,100*(I4-PARAMS_MODELO!$B$18)/(PARAMS_MODELO!$B$19-PARAMS_MODELO!$B$18)))*PARAMS_MODELO!$B$9</f>
        <v>15</v>
      </c>
      <c r="K4" s="5">
        <f>IFERROR(CHOOSE(MATCH(PARAMS_MODELO!$B$2,{"Q1","Q2","Q3"},0),LOTO!$D4,LOTO!$F4,LOTO!$H4),0)</f>
        <v>19817500</v>
      </c>
      <c r="L4" s="8">
        <f t="shared" si="2"/>
        <v>4.089684854157824E-2</v>
      </c>
      <c r="M4" s="5">
        <f>MIN(100,IF(PARAMS_MODELO!$B$23=0,0,100*L4/PARAMS_MODELO!$B$23))*PARAMS_MODELO!$B$10</f>
        <v>12.269054562473471</v>
      </c>
      <c r="N4" s="5">
        <f>IFERROR(VLOOKUP(A4,COMPLIANCE!$A$2:$F$1996,6,0),100)</f>
        <v>99.4</v>
      </c>
      <c r="O4" s="5">
        <f>N4*PARAMS_MODELO!$B$11</f>
        <v>9.9400000000000013</v>
      </c>
      <c r="P4" s="5">
        <f>IFERROR(VLOOKUP(A4,DIGITAL!$A$2:$J$2000,7,0),100)</f>
        <v>36</v>
      </c>
      <c r="Q4" s="5">
        <f>IFERROR(P4,0)*PARAMS_MODELO!$B$12</f>
        <v>3.6</v>
      </c>
      <c r="R4">
        <f t="shared" si="3"/>
        <v>81.991482854307321</v>
      </c>
      <c r="S4" s="5" t="str">
        <f>IFERROR(VLOOKUP(A4,CLIENTE!$A$2:$N$2000,13,0),1)</f>
        <v>Regular</v>
      </c>
      <c r="T4" s="5">
        <f>IFERROR(VLOOKUP(A4,CLIENTE!$A$2:$N$2000,14,0),1)</f>
        <v>1</v>
      </c>
      <c r="U4" s="5">
        <f t="shared" si="4"/>
        <v>81.991482854307321</v>
      </c>
      <c r="V4" s="5" t="str">
        <f>IF(U4&gt;=MAX(_xlfn.PERCENTILE.INC($U$2:$U$1194,PARAMS_MODELO!$B$50),PARAMS_MODELO!$B$45),"DIAMANTE",IF(U4&gt;=MAX(_xlfn.PERCENTILE.INC($U$2:$U$1194,PARAMS_MODELO!$B$51),PARAMS_MODELO!$B$46),"PLATINO",IF(U4&gt;=MAX(_xlfn.PERCENTILE.INC($U$2:$U$1194,PARAMS_MODELO!$B$52),PARAMS_MODELO!$B$47),"ORO",IF(U4&gt;=MAX(_xlfn.PERCENTILE.INC($U$2:$U$1194,PARAMS_MODELO!$B$53),PARAMS_MODELO!$B$48),"PLATA",IF(U4&gt;=1,"BRONCE","CERRADO")))))</f>
        <v>ORO</v>
      </c>
      <c r="W4" s="5" t="str" cm="1">
        <f t="array" ref="W4">_xlfn.XLOOKUP(1, (HIST_SCORE!$B:$B=PARAMS_MODELO!$B$4) * (HIST_SCORE!$C:$C=A4), HIST_SCORE!$E:$E, "No encontrado")</f>
        <v>ORO</v>
      </c>
      <c r="X4" s="5" t="str">
        <f>_xlfn.LET(_xlpm.act,MATCH(V4,{"DIAMANTE";"PLATINO";"ORO";"PLATA";"BRONCE";"CERRADO"},0),_xlpm.ant,MATCH(W4,{"DIAMANTE";"PLATINO";"ORO";"PLATA";"BRONCE";"CERRADO"},0),IF(_xlpm.act&lt;_xlpm.ant,"Mejora ↑",IF(_xlpm.act&gt;_xlpm.ant,"Baja ↓","Estable →")))</f>
        <v>Estable →</v>
      </c>
      <c r="Y4" s="5">
        <f>IFERROR(U4-SUMIFS(HIST_SCORE!$D:$D,HIST_SCORE!$B:$B,PARAMS_MODELO!$B$4,HIST_SCORE!$C:$C,$A4),"")</f>
        <v>2.0488801868414015</v>
      </c>
      <c r="Z4" s="5" t="str">
        <f t="shared" si="5"/>
        <v>→ Estable</v>
      </c>
      <c r="AA4" s="5">
        <f t="shared" si="6"/>
        <v>387</v>
      </c>
      <c r="AB4" s="5">
        <f>IFERROR(SUMIFS(HIST_SCORE!$F:$F,HIST_SCORE!$B:$B,PARAMS_MODELO!$B$4,HIST_SCORE!$C:$C,$A4),"")</f>
        <v>421</v>
      </c>
      <c r="AC4" s="5">
        <f t="shared" si="7"/>
        <v>34</v>
      </c>
      <c r="AD4" t="str">
        <f t="shared" si="9"/>
        <v/>
      </c>
      <c r="AE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CERRADO",1,IF(V4="BRONCE",_xlpm.cPl,IF(V4="PLATA",_xlpm.cO,IF(V4="ORO",_xlpm.cP,IF(V4="PLATINO",_xlpm.cD,999))))))</f>
        <v>86.439123873763251</v>
      </c>
      <c r="AF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CERRADO",0,IF(V4="BRONCE",1,IF(V4="PLATA",_xlpm.cPl,IF(V4="ORO",_xlpm.cO,IF(V4="PLATINO",_xlpm.cP,_xlpm.cD))))))</f>
        <v>63.199193273331495</v>
      </c>
      <c r="AG4">
        <f t="shared" si="10"/>
        <v>4.4476410194559293</v>
      </c>
      <c r="AH4" t="str">
        <f t="shared" si="11"/>
        <v>VENTAS</v>
      </c>
      <c r="AI4" t="str">
        <f t="shared" si="8"/>
        <v>🎯 Para subir de categoría, eje VENTAS / IMPACTO ABSOLUTO (H). Acción: metas semanales + activación comercial + seguimiento del asesor. ΔR aprox: 4,4</v>
      </c>
      <c r="AJ4" s="26">
        <f>_xlfn.LET(_xlpm.piso,AF4,_xlpm.corte,AE4,_xlpm.prog,IF(_xlpm.corte&lt;=_xlpm.piso,0,MAX(0,MIN(1,(U4-_xlpm.piso)/(_xlpm.corte-_xlpm.piso)))),_xlpm.orden,{"DIAMANTE";"PLATINO";"ORO";"PLATA";"BRONCE";"CERRADO"},_xlpm.act,IFERROR(MATCH(V4,_xlpm.orden,0),6),_xlpm.ant,IFERROR(MATCH(W4,_xlpm.orden,0),6),_xlpm.ajmov,IF(_xlpm.act&lt;_xlpm.ant,0.08,IF(_xlpm.act&gt;_xlpm.ant,-0.08,0)),_xlpm.ajcli,IF(T4&lt;0.95,-0.06,0),_xlpm.prob,MAX(0,MIN(1,_xlpm.prog+_xlpm.ajmov+_xlpm.ajcli)),IF(OR(V4="DIAMANTE",V4="CERRADO"),0,ROUND(_xlpm.prob,2)))</f>
        <v>0.81</v>
      </c>
      <c r="AK4" t="str">
        <f t="shared" si="12"/>
        <v>Faltan 4,4 puntos base para subir a la siguiente categoría</v>
      </c>
      <c r="AL4" t="str">
        <f t="shared" si="13"/>
        <v>Margen de seguridad: 18,8 puntos</v>
      </c>
      <c r="AM4">
        <f t="shared" si="14"/>
        <v>0.25</v>
      </c>
      <c r="AN4" t="str">
        <f t="shared" si="15"/>
        <v>PRIORIDAD BAJA – control normal</v>
      </c>
      <c r="AO4">
        <f t="shared" si="16"/>
        <v>8.680140983461726</v>
      </c>
      <c r="AP4">
        <f t="shared" si="17"/>
        <v>2.730945437526529</v>
      </c>
      <c r="AQ4">
        <f t="shared" si="18"/>
        <v>5.9999999999998721E-2</v>
      </c>
      <c r="AR4">
        <f t="shared" si="19"/>
        <v>6.4</v>
      </c>
      <c r="AS4">
        <f t="shared" si="20"/>
        <v>0</v>
      </c>
      <c r="AT4" t="str">
        <f t="shared" si="21"/>
        <v>VENTAS</v>
      </c>
      <c r="AU4">
        <f t="shared" si="22"/>
        <v>8.680140983461726</v>
      </c>
      <c r="AV4" t="str">
        <f t="shared" si="23"/>
        <v>Mayor retorno probable: VENTAS (+8,7 puntos finales potenciales).</v>
      </c>
    </row>
    <row r="5" spans="1:48" x14ac:dyDescent="0.3">
      <c r="A5" s="5">
        <v>51019601</v>
      </c>
      <c r="B5" s="5" t="str">
        <f>IFERROR(VLOOKUP(A5,VENTAS!$A$2:$B$1194,2,0),"")</f>
        <v>CICHETTO</v>
      </c>
      <c r="C5" s="5">
        <f>IFERROR(INDEX(VENTAS!$C$2:$E$1194,MATCH(A5,VENTAS!$A$2:$A$1194,0),MATCH(PARAMS_MODELO!$B$2,{"Q1","Q2","Q3"},0)),0)</f>
        <v>313475120.16000003</v>
      </c>
      <c r="D5" s="5">
        <f>IFERROR(INDEX(VENTAS!$F$2:$H$1194,MATCH(A5,VENTAS!$A$2:$A$1194,0),MATCH(PARAMS_MODELO!$B$2,{"Q1","Q2","Q3"},0)),0)</f>
        <v>475583984</v>
      </c>
      <c r="E5" s="8">
        <f t="shared" si="0"/>
        <v>0.51713470516339033</v>
      </c>
      <c r="F5" s="12">
        <f>IF(E5&lt;=PARAMS_MODELO!$B$15,0,IF(E5&gt;=PARAMS_MODELO!$B$17,100,100*MIN(1,(E5-PARAMS_MODELO!$B$15)/(PARAMS_MODELO!$B$16-PARAMS_MODELO!$B$15))))*PARAMS_MODELO!$B$7</f>
        <v>35</v>
      </c>
      <c r="G5" s="5">
        <f t="shared" si="1"/>
        <v>162108863.83999997</v>
      </c>
      <c r="H5" s="5">
        <f>(PARAMS_MODELO!$B$20*(MAX(0,MIN(3,E5))/3)+PARAMS_MODELO!$B$21*(IFERROR(LN(1+MAX(0,G5))/LN(1+MAX(0,MAX($G$2:$G$1194))),0)))*100*PARAMS_MODELO!$B$8</f>
        <v>6.2412810988136807</v>
      </c>
      <c r="I5" s="8">
        <f>E5-PARAMS_MODELO!$B$5</f>
        <v>0.3395718697878638</v>
      </c>
      <c r="J5" s="5">
        <f>IF(I5&lt;=PARAMS_MODELO!$B$18,0,IF(I5&gt;=PARAMS_MODELO!$B$19,100,100*(I5-PARAMS_MODELO!$B$18)/(PARAMS_MODELO!$B$19-PARAMS_MODELO!$B$18)))*PARAMS_MODELO!$B$9</f>
        <v>15</v>
      </c>
      <c r="K5" s="5">
        <f>IFERROR(CHOOSE(MATCH(PARAMS_MODELO!$B$2,{"Q1","Q2","Q3"},0),LOTO!$D5,LOTO!$F5,LOTO!$H5),0)</f>
        <v>17320000</v>
      </c>
      <c r="L5" s="8">
        <f t="shared" si="2"/>
        <v>3.6418383677108861E-2</v>
      </c>
      <c r="M5" s="5">
        <f>MIN(100,IF(PARAMS_MODELO!$B$23=0,0,100*L5/PARAMS_MODELO!$B$23))*PARAMS_MODELO!$B$10</f>
        <v>10.925515103132657</v>
      </c>
      <c r="N5" s="5">
        <f>IFERROR(VLOOKUP(A5,COMPLIANCE!$A$2:$F$1996,6,0),100)</f>
        <v>99.4</v>
      </c>
      <c r="O5" s="5">
        <f>N5*PARAMS_MODELO!$B$11</f>
        <v>9.9400000000000013</v>
      </c>
      <c r="P5" s="5">
        <f>IFERROR(VLOOKUP(A5,DIGITAL!$A$2:$J$2000,7,0),100)</f>
        <v>37</v>
      </c>
      <c r="Q5" s="5">
        <f>IFERROR(P5,0)*PARAMS_MODELO!$B$12</f>
        <v>3.7</v>
      </c>
      <c r="R5">
        <f t="shared" si="3"/>
        <v>80.806796201946341</v>
      </c>
      <c r="S5" s="5" t="str">
        <f>IFERROR(VLOOKUP(A5,CLIENTE!$A$2:$N$2000,13,0),1)</f>
        <v>Regular</v>
      </c>
      <c r="T5" s="5">
        <f>IFERROR(VLOOKUP(A5,CLIENTE!$A$2:$N$2000,14,0),1)</f>
        <v>1</v>
      </c>
      <c r="U5" s="5">
        <f t="shared" si="4"/>
        <v>80.806796201946341</v>
      </c>
      <c r="V5" s="5" t="str">
        <f>IF(U5&gt;=MAX(_xlfn.PERCENTILE.INC($U$2:$U$1194,PARAMS_MODELO!$B$50),PARAMS_MODELO!$B$45),"DIAMANTE",IF(U5&gt;=MAX(_xlfn.PERCENTILE.INC($U$2:$U$1194,PARAMS_MODELO!$B$51),PARAMS_MODELO!$B$46),"PLATINO",IF(U5&gt;=MAX(_xlfn.PERCENTILE.INC($U$2:$U$1194,PARAMS_MODELO!$B$52),PARAMS_MODELO!$B$47),"ORO",IF(U5&gt;=MAX(_xlfn.PERCENTILE.INC($U$2:$U$1194,PARAMS_MODELO!$B$53),PARAMS_MODELO!$B$48),"PLATA",IF(U5&gt;=1,"BRONCE","CERRADO")))))</f>
        <v>ORO</v>
      </c>
      <c r="W5" s="5" t="str" cm="1">
        <f t="array" ref="W5">_xlfn.XLOOKUP(1, (HIST_SCORE!$B:$B=PARAMS_MODELO!$B$4) * (HIST_SCORE!$C:$C=A5), HIST_SCORE!$E:$E, "No encontrado")</f>
        <v>ORO</v>
      </c>
      <c r="X5" s="5" t="str">
        <f>_xlfn.LET(_xlpm.act,MATCH(V5,{"DIAMANTE";"PLATINO";"ORO";"PLATA";"BRONCE";"CERRADO"},0),_xlpm.ant,MATCH(W5,{"DIAMANTE";"PLATINO";"ORO";"PLATA";"BRONCE";"CERRADO"},0),IF(_xlpm.act&lt;_xlpm.ant,"Mejora ↑",IF(_xlpm.act&gt;_xlpm.ant,"Baja ↓","Estable →")))</f>
        <v>Estable →</v>
      </c>
      <c r="Y5" s="5">
        <f>IFERROR(U5-SUMIFS(HIST_SCORE!$D:$D,HIST_SCORE!$B:$B,PARAMS_MODELO!$B$4,HIST_SCORE!$C:$C,$A5),"")</f>
        <v>2.5647561848828104E-2</v>
      </c>
      <c r="Z5" s="5" t="str">
        <f t="shared" si="5"/>
        <v>→ Estable</v>
      </c>
      <c r="AA5" s="5">
        <f t="shared" si="6"/>
        <v>419</v>
      </c>
      <c r="AB5" s="5">
        <f>IFERROR(SUMIFS(HIST_SCORE!$F:$F,HIST_SCORE!$B:$B,PARAMS_MODELO!$B$4,HIST_SCORE!$C:$C,$A5),"")</f>
        <v>398</v>
      </c>
      <c r="AC5" s="5">
        <f t="shared" si="7"/>
        <v>-21</v>
      </c>
      <c r="AD5" t="str">
        <f t="shared" si="9"/>
        <v/>
      </c>
      <c r="AE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CERRADO",1,IF(V5="BRONCE",_xlpm.cPl,IF(V5="PLATA",_xlpm.cO,IF(V5="ORO",_xlpm.cP,IF(V5="PLATINO",_xlpm.cD,999))))))</f>
        <v>86.439123873763251</v>
      </c>
      <c r="AF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CERRADO",0,IF(V5="BRONCE",1,IF(V5="PLATA",_xlpm.cPl,IF(V5="ORO",_xlpm.cO,IF(V5="PLATINO",_xlpm.cP,_xlpm.cD))))))</f>
        <v>63.199193273331495</v>
      </c>
      <c r="AG5">
        <f t="shared" si="10"/>
        <v>5.6323276718169097</v>
      </c>
      <c r="AH5" t="str">
        <f t="shared" si="11"/>
        <v>VENTAS</v>
      </c>
      <c r="AI5" t="str">
        <f t="shared" si="8"/>
        <v>🎯 Para subir de categoría, eje VENTAS / IMPACTO ABSOLUTO (H). Acción: metas semanales + activación comercial + seguimiento del asesor. ΔR aprox: 5,6</v>
      </c>
      <c r="AJ5" s="26">
        <f>_xlfn.LET(_xlpm.piso,AF5,_xlpm.corte,AE5,_xlpm.prog,IF(_xlpm.corte&lt;=_xlpm.piso,0,MAX(0,MIN(1,(U5-_xlpm.piso)/(_xlpm.corte-_xlpm.piso)))),_xlpm.orden,{"DIAMANTE";"PLATINO";"ORO";"PLATA";"BRONCE";"CERRADO"},_xlpm.act,IFERROR(MATCH(V5,_xlpm.orden,0),6),_xlpm.ant,IFERROR(MATCH(W5,_xlpm.orden,0),6),_xlpm.ajmov,IF(_xlpm.act&lt;_xlpm.ant,0.08,IF(_xlpm.act&gt;_xlpm.ant,-0.08,0)),_xlpm.ajcli,IF(T5&lt;0.95,-0.06,0),_xlpm.prob,MAX(0,MIN(1,_xlpm.prog+_xlpm.ajmov+_xlpm.ajcli)),IF(OR(V5="DIAMANTE",V5="CERRADO"),0,ROUND(_xlpm.prob,2)))</f>
        <v>0.76</v>
      </c>
      <c r="AK5" t="str">
        <f t="shared" si="12"/>
        <v>Faltan 5,6 puntos base para subir a la siguiente categoría</v>
      </c>
      <c r="AL5" t="str">
        <f t="shared" si="13"/>
        <v>Margen de seguridad: 17,6 puntos</v>
      </c>
      <c r="AM5">
        <f t="shared" si="14"/>
        <v>0.32</v>
      </c>
      <c r="AN5" t="str">
        <f t="shared" si="15"/>
        <v>PRIORIDAD BAJA – control normal</v>
      </c>
      <c r="AO5">
        <f t="shared" si="16"/>
        <v>8.6212881764819045</v>
      </c>
      <c r="AP5">
        <f t="shared" si="17"/>
        <v>4.0744848968673431</v>
      </c>
      <c r="AQ5">
        <f t="shared" si="18"/>
        <v>5.9999999999998721E-2</v>
      </c>
      <c r="AR5">
        <f t="shared" si="19"/>
        <v>6.3</v>
      </c>
      <c r="AS5">
        <f t="shared" si="20"/>
        <v>0</v>
      </c>
      <c r="AT5" t="str">
        <f t="shared" si="21"/>
        <v>VENTAS</v>
      </c>
      <c r="AU5">
        <f t="shared" si="22"/>
        <v>8.6212881764819045</v>
      </c>
      <c r="AV5" t="str">
        <f t="shared" si="23"/>
        <v>Mayor retorno probable: VENTAS (+8,6 puntos finales potenciales).</v>
      </c>
    </row>
    <row r="6" spans="1:48" x14ac:dyDescent="0.3">
      <c r="A6" s="5">
        <v>51021983</v>
      </c>
      <c r="B6" s="5" t="str">
        <f>IFERROR(VLOOKUP(A6,VENTAS!$A$2:$B$1194,2,0),"")</f>
        <v>NELLI</v>
      </c>
      <c r="C6" s="5">
        <f>IFERROR(INDEX(VENTAS!$C$2:$E$1194,MATCH(A6,VENTAS!$A$2:$A$1194,0),MATCH(PARAMS_MODELO!$B$2,{"Q1","Q2","Q3"},0)),0)</f>
        <v>364817109.42000002</v>
      </c>
      <c r="D6" s="5">
        <f>IFERROR(INDEX(VENTAS!$F$2:$H$1194,MATCH(A6,VENTAS!$A$2:$A$1194,0),MATCH(PARAMS_MODELO!$B$2,{"Q1","Q2","Q3"},0)),0)</f>
        <v>376309990</v>
      </c>
      <c r="E6" s="8">
        <f t="shared" si="0"/>
        <v>3.1503129330397339E-2</v>
      </c>
      <c r="F6" s="12">
        <f>IF(E6&lt;=PARAMS_MODELO!$B$15,0,IF(E6&gt;=PARAMS_MODELO!$B$17,100,100*MIN(1,(E6-PARAMS_MODELO!$B$15)/(PARAMS_MODELO!$B$16-PARAMS_MODELO!$B$15))))*PARAMS_MODELO!$B$7</f>
        <v>11.026095265639068</v>
      </c>
      <c r="G6" s="5">
        <f t="shared" si="1"/>
        <v>11492880.579999983</v>
      </c>
      <c r="H6" s="5">
        <f>(PARAMS_MODELO!$B$20*(MAX(0,MIN(3,E6))/3)+PARAMS_MODELO!$B$21*(IFERROR(LN(1+MAX(0,G6))/LN(1+MAX(0,MAX($G$2:$G$1194))),0)))*100*PARAMS_MODELO!$B$8</f>
        <v>3.9211845979662425</v>
      </c>
      <c r="I6" s="8">
        <f>E6-PARAMS_MODELO!$B$5</f>
        <v>-0.14605970604512919</v>
      </c>
      <c r="J6" s="5">
        <f>IF(I6&lt;=PARAMS_MODELO!$B$18,0,IF(I6&gt;=PARAMS_MODELO!$B$19,100,100*(I6-PARAMS_MODELO!$B$18)/(PARAMS_MODELO!$B$19-PARAMS_MODELO!$B$18)))*PARAMS_MODELO!$B$9</f>
        <v>0</v>
      </c>
      <c r="K6" s="5">
        <f>IFERROR(CHOOSE(MATCH(PARAMS_MODELO!$B$2,{"Q1","Q2","Q3"},0),LOTO!$D6,LOTO!$F6,LOTO!$H6),0)</f>
        <v>17085000</v>
      </c>
      <c r="L6" s="8">
        <f t="shared" si="2"/>
        <v>4.5401398990231434E-2</v>
      </c>
      <c r="M6" s="5">
        <f>MIN(100,IF(PARAMS_MODELO!$B$23=0,0,100*L6/PARAMS_MODELO!$B$23))*PARAMS_MODELO!$B$10</f>
        <v>13.62041969706943</v>
      </c>
      <c r="N6" s="5">
        <f>IFERROR(VLOOKUP(A6,COMPLIANCE!$A$2:$F$1996,6,0),100)</f>
        <v>100</v>
      </c>
      <c r="O6" s="5">
        <f>N6*PARAMS_MODELO!$B$11</f>
        <v>10</v>
      </c>
      <c r="P6" s="5">
        <f>IFERROR(VLOOKUP(A6,DIGITAL!$A$2:$J$2000,7,0),100)</f>
        <v>55</v>
      </c>
      <c r="Q6" s="5">
        <f>IFERROR(P6,0)*PARAMS_MODELO!$B$12</f>
        <v>5.5</v>
      </c>
      <c r="R6">
        <f t="shared" si="3"/>
        <v>44.06769956067474</v>
      </c>
      <c r="S6" s="5" t="str">
        <f>IFERROR(VLOOKUP(A6,CLIENTE!$A$2:$N$2000,13,0),1)</f>
        <v>Bueno</v>
      </c>
      <c r="T6" s="5">
        <f>IFERROR(VLOOKUP(A6,CLIENTE!$A$2:$N$2000,14,0),1)</f>
        <v>1.1000000000000001</v>
      </c>
      <c r="U6" s="5">
        <f t="shared" si="4"/>
        <v>48.474469516742218</v>
      </c>
      <c r="V6" s="5" t="str">
        <f>IF(U6&gt;=MAX(_xlfn.PERCENTILE.INC($U$2:$U$1194,PARAMS_MODELO!$B$50),PARAMS_MODELO!$B$45),"DIAMANTE",IF(U6&gt;=MAX(_xlfn.PERCENTILE.INC($U$2:$U$1194,PARAMS_MODELO!$B$51),PARAMS_MODELO!$B$46),"PLATINO",IF(U6&gt;=MAX(_xlfn.PERCENTILE.INC($U$2:$U$1194,PARAMS_MODELO!$B$52),PARAMS_MODELO!$B$47),"ORO",IF(U6&gt;=MAX(_xlfn.PERCENTILE.INC($U$2:$U$1194,PARAMS_MODELO!$B$53),PARAMS_MODELO!$B$48),"PLATA",IF(U6&gt;=1,"BRONCE","CERRADO")))))</f>
        <v>PLATA</v>
      </c>
      <c r="W6" s="5" t="str" cm="1">
        <f t="array" ref="W6">_xlfn.XLOOKUP(1, (HIST_SCORE!$B:$B=PARAMS_MODELO!$B$4) * (HIST_SCORE!$C:$C=A6), HIST_SCORE!$E:$E, "No encontrado")</f>
        <v>ORO</v>
      </c>
      <c r="X6" s="5" t="str">
        <f>_xlfn.LET(_xlpm.act,MATCH(V6,{"DIAMANTE";"PLATINO";"ORO";"PLATA";"BRONCE";"CERRADO"},0),_xlpm.ant,MATCH(W6,{"DIAMANTE";"PLATINO";"ORO";"PLATA";"BRONCE";"CERRADO"},0),IF(_xlpm.act&lt;_xlpm.ant,"Mejora ↑",IF(_xlpm.act&gt;_xlpm.ant,"Baja ↓","Estable →")))</f>
        <v>Baja ↓</v>
      </c>
      <c r="Y6" s="5">
        <f>IFERROR(U6-SUMIFS(HIST_SCORE!$D:$D,HIST_SCORE!$B:$B,PARAMS_MODELO!$B$4,HIST_SCORE!$C:$C,$A6),"")</f>
        <v>-35.872148102450836</v>
      </c>
      <c r="Z6" s="5" t="str">
        <f t="shared" si="5"/>
        <v>↓ Baja</v>
      </c>
      <c r="AA6" s="5">
        <f t="shared" si="6"/>
        <v>752</v>
      </c>
      <c r="AB6" s="5">
        <f>IFERROR(SUMIFS(HIST_SCORE!$F:$F,HIST_SCORE!$B:$B,PARAMS_MODELO!$B$4,HIST_SCORE!$C:$C,$A6),"")</f>
        <v>278</v>
      </c>
      <c r="AC6" s="5">
        <f t="shared" si="7"/>
        <v>-474</v>
      </c>
      <c r="AD6" t="str">
        <f t="shared" si="9"/>
        <v/>
      </c>
      <c r="AE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CERRADO",1,IF(V6="BRONCE",_xlpm.cPl,IF(V6="PLATA",_xlpm.cO,IF(V6="ORO",_xlpm.cP,IF(V6="PLATINO",_xlpm.cD,999))))))</f>
        <v>63.199193273331495</v>
      </c>
      <c r="AF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CERRADO",0,IF(V6="BRONCE",1,IF(V6="PLATA",_xlpm.cPl,IF(V6="ORO",_xlpm.cO,IF(V6="PLATINO",_xlpm.cP,_xlpm.cD))))))</f>
        <v>24.506573482968111</v>
      </c>
      <c r="AG6">
        <f t="shared" si="10"/>
        <v>13.386112505990255</v>
      </c>
      <c r="AH6" t="str">
        <f t="shared" si="11"/>
        <v>VENTAS</v>
      </c>
      <c r="AI6" t="str">
        <f t="shared" si="8"/>
        <v>🎯 Para subir de categoría, eje VENTAS / DIFERENCIAL vs LOTBA (J). Acción: metas semanales + activación comercial + seguimiento del asesor. ΔR aprox: 13,4</v>
      </c>
      <c r="AJ6" s="26">
        <f>_xlfn.LET(_xlpm.piso,AF6,_xlpm.corte,AE6,_xlpm.prog,IF(_xlpm.corte&lt;=_xlpm.piso,0,MAX(0,MIN(1,(U6-_xlpm.piso)/(_xlpm.corte-_xlpm.piso)))),_xlpm.orden,{"DIAMANTE";"PLATINO";"ORO";"PLATA";"BRONCE";"CERRADO"},_xlpm.act,IFERROR(MATCH(V6,_xlpm.orden,0),6),_xlpm.ant,IFERROR(MATCH(W6,_xlpm.orden,0),6),_xlpm.ajmov,IF(_xlpm.act&lt;_xlpm.ant,0.08,IF(_xlpm.act&gt;_xlpm.ant,-0.08,0)),_xlpm.ajcli,IF(T6&lt;0.95,-0.06,0),_xlpm.prob,MAX(0,MIN(1,_xlpm.prog+_xlpm.ajmov+_xlpm.ajcli)),IF(OR(V6="DIAMANTE",V6="CERRADO"),0,ROUND(_xlpm.prob,2)))</f>
        <v>0.54</v>
      </c>
      <c r="AK6" t="str">
        <f t="shared" si="12"/>
        <v>Faltan 13,4 puntos base para subir a la siguiente categoría</v>
      </c>
      <c r="AL6" t="str">
        <f t="shared" si="13"/>
        <v>Margen de seguridad: 24,0 puntos</v>
      </c>
      <c r="AM6">
        <f t="shared" si="14"/>
        <v>0.57999999999999996</v>
      </c>
      <c r="AN6" t="str">
        <f t="shared" si="15"/>
        <v>PRIORIDAD MEDIA – seguimiento del asesor</v>
      </c>
      <c r="AO6">
        <f t="shared" si="16"/>
        <v>54.906818352859304</v>
      </c>
      <c r="AP6">
        <f t="shared" si="17"/>
        <v>1.5175383332236274</v>
      </c>
      <c r="AQ6">
        <f t="shared" si="18"/>
        <v>0</v>
      </c>
      <c r="AR6">
        <f t="shared" si="19"/>
        <v>4.95</v>
      </c>
      <c r="AS6">
        <f t="shared" si="20"/>
        <v>0</v>
      </c>
      <c r="AT6" t="str">
        <f t="shared" si="21"/>
        <v>VENTAS</v>
      </c>
      <c r="AU6">
        <f t="shared" si="22"/>
        <v>54.906818352859304</v>
      </c>
      <c r="AV6" t="str">
        <f t="shared" si="23"/>
        <v>Mayor retorno probable: VENTAS (+54,9 puntos finales potenciales).</v>
      </c>
    </row>
    <row r="7" spans="1:48" x14ac:dyDescent="0.3">
      <c r="A7" s="5">
        <v>51020201</v>
      </c>
      <c r="B7" s="5" t="str">
        <f>IFERROR(VLOOKUP(A7,VENTAS!$A$2:$B$1194,2,0),"")</f>
        <v>NELLI</v>
      </c>
      <c r="C7" s="5">
        <f>IFERROR(INDEX(VENTAS!$C$2:$E$1194,MATCH(A7,VENTAS!$A$2:$A$1194,0),MATCH(PARAMS_MODELO!$B$2,{"Q1","Q2","Q3"},0)),0)</f>
        <v>256035537.81</v>
      </c>
      <c r="D7" s="5">
        <f>IFERROR(INDEX(VENTAS!$F$2:$H$1194,MATCH(A7,VENTAS!$A$2:$A$1194,0),MATCH(PARAMS_MODELO!$B$2,{"Q1","Q2","Q3"},0)),0)</f>
        <v>348624153</v>
      </c>
      <c r="E7" s="8">
        <f t="shared" si="0"/>
        <v>0.36162407758687221</v>
      </c>
      <c r="F7" s="12">
        <f>IF(E7&lt;=PARAMS_MODELO!$B$15,0,IF(E7&gt;=PARAMS_MODELO!$B$17,100,100*MIN(1,(E7-PARAMS_MODELO!$B$15)/(PARAMS_MODELO!$B$16-PARAMS_MODELO!$B$15))))*PARAMS_MODELO!$B$7</f>
        <v>35</v>
      </c>
      <c r="G7" s="5">
        <f t="shared" si="1"/>
        <v>92588615.189999998</v>
      </c>
      <c r="H7" s="5">
        <f>(PARAMS_MODELO!$B$20*(MAX(0,MIN(3,E7))/3)+PARAMS_MODELO!$B$21*(IFERROR(LN(1+MAX(0,G7))/LN(1+MAX(0,MAX($G$2:$G$1194))),0)))*100*PARAMS_MODELO!$B$8</f>
        <v>5.5656981937879131</v>
      </c>
      <c r="I7" s="8">
        <f>E7-PARAMS_MODELO!$B$5</f>
        <v>0.18406124221134568</v>
      </c>
      <c r="J7" s="5">
        <f>IF(I7&lt;=PARAMS_MODELO!$B$18,0,IF(I7&gt;=PARAMS_MODELO!$B$19,100,100*(I7-PARAMS_MODELO!$B$18)/(PARAMS_MODELO!$B$19-PARAMS_MODELO!$B$18)))*PARAMS_MODELO!$B$9</f>
        <v>15</v>
      </c>
      <c r="K7" s="5">
        <f>IFERROR(CHOOSE(MATCH(PARAMS_MODELO!$B$2,{"Q1","Q2","Q3"},0),LOTO!$D7,LOTO!$F7,LOTO!$H7),0)</f>
        <v>16912500</v>
      </c>
      <c r="L7" s="8">
        <f t="shared" si="2"/>
        <v>4.8512129336030253E-2</v>
      </c>
      <c r="M7" s="5">
        <f>MIN(100,IF(PARAMS_MODELO!$B$23=0,0,100*L7/PARAMS_MODELO!$B$23))*PARAMS_MODELO!$B$10</f>
        <v>14.553638800809074</v>
      </c>
      <c r="N7" s="5">
        <f>IFERROR(VLOOKUP(A7,COMPLIANCE!$A$2:$F$1996,6,0),100)</f>
        <v>100</v>
      </c>
      <c r="O7" s="5">
        <f>N7*PARAMS_MODELO!$B$11</f>
        <v>10</v>
      </c>
      <c r="P7" s="5">
        <f>IFERROR(VLOOKUP(A7,DIGITAL!$A$2:$J$2000,7,0),100)</f>
        <v>58</v>
      </c>
      <c r="Q7" s="5">
        <f>IFERROR(P7,0)*PARAMS_MODELO!$B$12</f>
        <v>5.8000000000000007</v>
      </c>
      <c r="R7">
        <f t="shared" si="3"/>
        <v>85.919336994596975</v>
      </c>
      <c r="S7" s="5" t="str">
        <f>IFERROR(VLOOKUP(A7,CLIENTE!$A$2:$N$2000,13,0),1)</f>
        <v>Regular</v>
      </c>
      <c r="T7" s="5">
        <f>IFERROR(VLOOKUP(A7,CLIENTE!$A$2:$N$2000,14,0),1)</f>
        <v>1</v>
      </c>
      <c r="U7" s="5">
        <f t="shared" si="4"/>
        <v>85.919336994596975</v>
      </c>
      <c r="V7" s="5" t="str">
        <f>IF(U7&gt;=MAX(_xlfn.PERCENTILE.INC($U$2:$U$1194,PARAMS_MODELO!$B$50),PARAMS_MODELO!$B$45),"DIAMANTE",IF(U7&gt;=MAX(_xlfn.PERCENTILE.INC($U$2:$U$1194,PARAMS_MODELO!$B$51),PARAMS_MODELO!$B$46),"PLATINO",IF(U7&gt;=MAX(_xlfn.PERCENTILE.INC($U$2:$U$1194,PARAMS_MODELO!$B$52),PARAMS_MODELO!$B$47),"ORO",IF(U7&gt;=MAX(_xlfn.PERCENTILE.INC($U$2:$U$1194,PARAMS_MODELO!$B$53),PARAMS_MODELO!$B$48),"PLATA",IF(U7&gt;=1,"BRONCE","CERRADO")))))</f>
        <v>ORO</v>
      </c>
      <c r="W7" s="5" t="str" cm="1">
        <f t="array" ref="W7">_xlfn.XLOOKUP(1, (HIST_SCORE!$B:$B=PARAMS_MODELO!$B$4) * (HIST_SCORE!$C:$C=A7), HIST_SCORE!$E:$E, "No encontrado")</f>
        <v>ORO</v>
      </c>
      <c r="X7" s="5" t="str">
        <f>_xlfn.LET(_xlpm.act,MATCH(V7,{"DIAMANTE";"PLATINO";"ORO";"PLATA";"BRONCE";"CERRADO"},0),_xlpm.ant,MATCH(W7,{"DIAMANTE";"PLATINO";"ORO";"PLATA";"BRONCE";"CERRADO"},0),IF(_xlpm.act&lt;_xlpm.ant,"Mejora ↑",IF(_xlpm.act&gt;_xlpm.ant,"Baja ↓","Estable →")))</f>
        <v>Estable →</v>
      </c>
      <c r="Y7" s="5">
        <f>IFERROR(U7-SUMIFS(HIST_SCORE!$D:$D,HIST_SCORE!$B:$B,PARAMS_MODELO!$B$4,HIST_SCORE!$C:$C,$A7),"")</f>
        <v>1.9837217815166923</v>
      </c>
      <c r="Z7" s="5" t="str">
        <f t="shared" si="5"/>
        <v>→ Estable</v>
      </c>
      <c r="AA7" s="5">
        <f t="shared" si="6"/>
        <v>254</v>
      </c>
      <c r="AB7" s="5">
        <f>IFERROR(SUMIFS(HIST_SCORE!$F:$F,HIST_SCORE!$B:$B,PARAMS_MODELO!$B$4,HIST_SCORE!$C:$C,$A7),"")</f>
        <v>292</v>
      </c>
      <c r="AC7" s="5">
        <f t="shared" si="7"/>
        <v>38</v>
      </c>
      <c r="AD7" t="str">
        <f t="shared" si="9"/>
        <v/>
      </c>
      <c r="AE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CERRADO",1,IF(V7="BRONCE",_xlpm.cPl,IF(V7="PLATA",_xlpm.cO,IF(V7="ORO",_xlpm.cP,IF(V7="PLATINO",_xlpm.cD,999))))))</f>
        <v>86.439123873763251</v>
      </c>
      <c r="AF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CERRADO",0,IF(V7="BRONCE",1,IF(V7="PLATA",_xlpm.cPl,IF(V7="ORO",_xlpm.cO,IF(V7="PLATINO",_xlpm.cP,_xlpm.cD))))))</f>
        <v>63.199193273331495</v>
      </c>
      <c r="AG7">
        <f t="shared" si="10"/>
        <v>0.51978687916627564</v>
      </c>
      <c r="AH7" t="str">
        <f t="shared" si="11"/>
        <v>VENTAS</v>
      </c>
      <c r="AI7" t="str">
        <f t="shared" si="8"/>
        <v>🎯 Para subir de categoría, eje VENTAS / IMPACTO ABSOLUTO (H). Acción: metas semanales + activación comercial + seguimiento del asesor. ΔR aprox: 0,5</v>
      </c>
      <c r="AJ7" s="26">
        <f>_xlfn.LET(_xlpm.piso,AF7,_xlpm.corte,AE7,_xlpm.prog,IF(_xlpm.corte&lt;=_xlpm.piso,0,MAX(0,MIN(1,(U7-_xlpm.piso)/(_xlpm.corte-_xlpm.piso)))),_xlpm.orden,{"DIAMANTE";"PLATINO";"ORO";"PLATA";"BRONCE";"CERRADO"},_xlpm.act,IFERROR(MATCH(V7,_xlpm.orden,0),6),_xlpm.ant,IFERROR(MATCH(W7,_xlpm.orden,0),6),_xlpm.ajmov,IF(_xlpm.act&lt;_xlpm.ant,0.08,IF(_xlpm.act&gt;_xlpm.ant,-0.08,0)),_xlpm.ajcli,IF(T7&lt;0.95,-0.06,0),_xlpm.prob,MAX(0,MIN(1,_xlpm.prog+_xlpm.ajmov+_xlpm.ajcli)),IF(OR(V7="DIAMANTE",V7="CERRADO"),0,ROUND(_xlpm.prob,2)))</f>
        <v>0.98</v>
      </c>
      <c r="AK7" t="str">
        <f t="shared" si="12"/>
        <v>Faltan 0,5 puntos base para subir a la siguiente categoría</v>
      </c>
      <c r="AL7" t="str">
        <f t="shared" si="13"/>
        <v>Margen de seguridad: 22,7 puntos</v>
      </c>
      <c r="AM7">
        <f t="shared" si="14"/>
        <v>0.03</v>
      </c>
      <c r="AN7" t="str">
        <f t="shared" si="15"/>
        <v>PRIORIDAD BAJA – control normal</v>
      </c>
      <c r="AO7">
        <f t="shared" si="16"/>
        <v>9.2968710815076747</v>
      </c>
      <c r="AP7">
        <f t="shared" si="17"/>
        <v>0.44636119919092643</v>
      </c>
      <c r="AQ7">
        <f t="shared" si="18"/>
        <v>0</v>
      </c>
      <c r="AR7">
        <f t="shared" si="19"/>
        <v>4.1999999999999993</v>
      </c>
      <c r="AS7">
        <f t="shared" si="20"/>
        <v>0</v>
      </c>
      <c r="AT7" t="str">
        <f t="shared" si="21"/>
        <v>VENTAS</v>
      </c>
      <c r="AU7">
        <f t="shared" si="22"/>
        <v>9.2968710815076747</v>
      </c>
      <c r="AV7" t="str">
        <f t="shared" si="23"/>
        <v>Mayor retorno probable: VENTAS (+9,3 puntos finales potenciales).</v>
      </c>
    </row>
    <row r="8" spans="1:48" x14ac:dyDescent="0.3">
      <c r="A8" s="5">
        <v>51031296</v>
      </c>
      <c r="B8" s="5" t="str">
        <f>IFERROR(VLOOKUP(A8,VENTAS!$A$2:$B$1194,2,0),"")</f>
        <v>LÓPEZ</v>
      </c>
      <c r="C8" s="5">
        <f>IFERROR(INDEX(VENTAS!$C$2:$E$1194,MATCH(A8,VENTAS!$A$2:$A$1194,0),MATCH(PARAMS_MODELO!$B$2,{"Q1","Q2","Q3"},0)),0)</f>
        <v>219721411.66999999</v>
      </c>
      <c r="D8" s="5">
        <f>IFERROR(INDEX(VENTAS!$F$2:$H$1194,MATCH(A8,VENTAS!$A$2:$A$1194,0),MATCH(PARAMS_MODELO!$B$2,{"Q1","Q2","Q3"},0)),0)</f>
        <v>338281124</v>
      </c>
      <c r="E8" s="8">
        <f t="shared" si="0"/>
        <v>0.53959107320894639</v>
      </c>
      <c r="F8" s="12">
        <f>IF(E8&lt;=PARAMS_MODELO!$B$15,0,IF(E8&gt;=PARAMS_MODELO!$B$17,100,100*MIN(1,(E8-PARAMS_MODELO!$B$15)/(PARAMS_MODELO!$B$16-PARAMS_MODELO!$B$15))))*PARAMS_MODELO!$B$7</f>
        <v>35</v>
      </c>
      <c r="G8" s="5">
        <f t="shared" si="1"/>
        <v>118559712.33000001</v>
      </c>
      <c r="H8" s="5">
        <f>(PARAMS_MODELO!$B$20*(MAX(0,MIN(3,E8))/3)+PARAMS_MODELO!$B$21*(IFERROR(LN(1+MAX(0,G8))/LN(1+MAX(0,MAX($G$2:$G$1194))),0)))*100*PARAMS_MODELO!$B$8</f>
        <v>6.2465416579627346</v>
      </c>
      <c r="I8" s="8">
        <f>E8-PARAMS_MODELO!$B$5</f>
        <v>0.36202823783341986</v>
      </c>
      <c r="J8" s="5">
        <f>IF(I8&lt;=PARAMS_MODELO!$B$18,0,IF(I8&gt;=PARAMS_MODELO!$B$19,100,100*(I8-PARAMS_MODELO!$B$18)/(PARAMS_MODELO!$B$19-PARAMS_MODELO!$B$18)))*PARAMS_MODELO!$B$9</f>
        <v>15</v>
      </c>
      <c r="K8" s="5">
        <f>IFERROR(CHOOSE(MATCH(PARAMS_MODELO!$B$2,{"Q1","Q2","Q3"},0),LOTO!$D8,LOTO!$F8,LOTO!$H8),0)</f>
        <v>16707500</v>
      </c>
      <c r="L8" s="8">
        <f t="shared" si="2"/>
        <v>4.93893948395418E-2</v>
      </c>
      <c r="M8" s="5">
        <f>MIN(100,IF(PARAMS_MODELO!$B$23=0,0,100*L8/PARAMS_MODELO!$B$23))*PARAMS_MODELO!$B$10</f>
        <v>14.81681845186254</v>
      </c>
      <c r="N8" s="5">
        <f>IFERROR(VLOOKUP(A8,COMPLIANCE!$A$2:$F$1996,6,0),100)</f>
        <v>100</v>
      </c>
      <c r="O8" s="5">
        <f>N8*PARAMS_MODELO!$B$11</f>
        <v>10</v>
      </c>
      <c r="P8" s="5">
        <f>IFERROR(VLOOKUP(A8,DIGITAL!$A$2:$J$2000,7,0),100)</f>
        <v>50</v>
      </c>
      <c r="Q8" s="5">
        <f>IFERROR(P8,0)*PARAMS_MODELO!$B$12</f>
        <v>5</v>
      </c>
      <c r="R8">
        <f t="shared" si="3"/>
        <v>86.063360109825283</v>
      </c>
      <c r="S8" s="5" t="str">
        <f>IFERROR(VLOOKUP(A8,CLIENTE!$A$2:$N$2000,13,0),1)</f>
        <v>Regular</v>
      </c>
      <c r="T8" s="5">
        <f>IFERROR(VLOOKUP(A8,CLIENTE!$A$2:$N$2000,14,0),1)</f>
        <v>1</v>
      </c>
      <c r="U8" s="5">
        <f t="shared" si="4"/>
        <v>86.063360109825283</v>
      </c>
      <c r="V8" s="5" t="str">
        <f>IF(U8&gt;=MAX(_xlfn.PERCENTILE.INC($U$2:$U$1194,PARAMS_MODELO!$B$50),PARAMS_MODELO!$B$45),"DIAMANTE",IF(U8&gt;=MAX(_xlfn.PERCENTILE.INC($U$2:$U$1194,PARAMS_MODELO!$B$51),PARAMS_MODELO!$B$46),"PLATINO",IF(U8&gt;=MAX(_xlfn.PERCENTILE.INC($U$2:$U$1194,PARAMS_MODELO!$B$52),PARAMS_MODELO!$B$47),"ORO",IF(U8&gt;=MAX(_xlfn.PERCENTILE.INC($U$2:$U$1194,PARAMS_MODELO!$B$53),PARAMS_MODELO!$B$48),"PLATA",IF(U8&gt;=1,"BRONCE","CERRADO")))))</f>
        <v>ORO</v>
      </c>
      <c r="W8" s="5" t="str" cm="1">
        <f t="array" ref="W8">_xlfn.XLOOKUP(1, (HIST_SCORE!$B:$B=PARAMS_MODELO!$B$4) * (HIST_SCORE!$C:$C=A8), HIST_SCORE!$E:$E, "No encontrado")</f>
        <v>PLATINO</v>
      </c>
      <c r="X8" s="5" t="str">
        <f>_xlfn.LET(_xlpm.act,MATCH(V8,{"DIAMANTE";"PLATINO";"ORO";"PLATA";"BRONCE";"CERRADO"},0),_xlpm.ant,MATCH(W8,{"DIAMANTE";"PLATINO";"ORO";"PLATA";"BRONCE";"CERRADO"},0),IF(_xlpm.act&lt;_xlpm.ant,"Mejora ↑",IF(_xlpm.act&gt;_xlpm.ant,"Baja ↓","Estable →")))</f>
        <v>Baja ↓</v>
      </c>
      <c r="Y8" s="5">
        <f>IFERROR(U8-SUMIFS(HIST_SCORE!$D:$D,HIST_SCORE!$B:$B,PARAMS_MODELO!$B$4,HIST_SCORE!$C:$C,$A8),"")</f>
        <v>-0.4326068264282128</v>
      </c>
      <c r="Z8" s="5" t="str">
        <f t="shared" si="5"/>
        <v>→ Estable</v>
      </c>
      <c r="AA8" s="5">
        <f t="shared" si="6"/>
        <v>250</v>
      </c>
      <c r="AB8" s="5">
        <f>IFERROR(SUMIFS(HIST_SCORE!$F:$F,HIST_SCORE!$B:$B,PARAMS_MODELO!$B$4,HIST_SCORE!$C:$C,$A8),"")</f>
        <v>216</v>
      </c>
      <c r="AC8" s="5">
        <f t="shared" si="7"/>
        <v>-34</v>
      </c>
      <c r="AD8" t="str">
        <f t="shared" si="9"/>
        <v>Sostener base y reforzar mix</v>
      </c>
      <c r="AE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CERRADO",1,IF(V8="BRONCE",_xlpm.cPl,IF(V8="PLATA",_xlpm.cO,IF(V8="ORO",_xlpm.cP,IF(V8="PLATINO",_xlpm.cD,999))))))</f>
        <v>86.439123873763251</v>
      </c>
      <c r="AF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CERRADO",0,IF(V8="BRONCE",1,IF(V8="PLATA",_xlpm.cPl,IF(V8="ORO",_xlpm.cO,IF(V8="PLATINO",_xlpm.cP,_xlpm.cD))))))</f>
        <v>63.199193273331495</v>
      </c>
      <c r="AG8">
        <f t="shared" si="10"/>
        <v>0.37576376393796806</v>
      </c>
      <c r="AH8" t="str">
        <f t="shared" si="11"/>
        <v>VENTAS</v>
      </c>
      <c r="AI8" t="str">
        <f t="shared" si="8"/>
        <v>🎯 Para subir de categoría, eje VENTAS / IMPACTO ABSOLUTO (H). Acción: metas semanales + activación comercial + seguimiento del asesor. ΔR aprox: 0,4</v>
      </c>
      <c r="AJ8" s="26">
        <f>_xlfn.LET(_xlpm.piso,AF8,_xlpm.corte,AE8,_xlpm.prog,IF(_xlpm.corte&lt;=_xlpm.piso,0,MAX(0,MIN(1,(U8-_xlpm.piso)/(_xlpm.corte-_xlpm.piso)))),_xlpm.orden,{"DIAMANTE";"PLATINO";"ORO";"PLATA";"BRONCE";"CERRADO"},_xlpm.act,IFERROR(MATCH(V8,_xlpm.orden,0),6),_xlpm.ant,IFERROR(MATCH(W8,_xlpm.orden,0),6),_xlpm.ajmov,IF(_xlpm.act&lt;_xlpm.ant,0.08,IF(_xlpm.act&gt;_xlpm.ant,-0.08,0)),_xlpm.ajcli,IF(T8&lt;0.95,-0.06,0),_xlpm.prob,MAX(0,MIN(1,_xlpm.prog+_xlpm.ajmov+_xlpm.ajcli)),IF(OR(V8="DIAMANTE",V8="CERRADO"),0,ROUND(_xlpm.prob,2)))</f>
        <v>0.9</v>
      </c>
      <c r="AK8" t="str">
        <f t="shared" si="12"/>
        <v>Faltan 0,4 puntos base para subir a la siguiente categoría</v>
      </c>
      <c r="AL8" t="str">
        <f t="shared" si="13"/>
        <v>Margen de seguridad: 22,9 puntos</v>
      </c>
      <c r="AM8">
        <f t="shared" si="14"/>
        <v>0.06</v>
      </c>
      <c r="AN8" t="str">
        <f t="shared" si="15"/>
        <v>PRIORIDAD BAJA – control normal</v>
      </c>
      <c r="AO8">
        <f t="shared" si="16"/>
        <v>8.6160276173328469</v>
      </c>
      <c r="AP8">
        <f t="shared" si="17"/>
        <v>0.18318154813746013</v>
      </c>
      <c r="AQ8">
        <f t="shared" si="18"/>
        <v>0</v>
      </c>
      <c r="AR8">
        <f t="shared" si="19"/>
        <v>5</v>
      </c>
      <c r="AS8">
        <f t="shared" si="20"/>
        <v>0</v>
      </c>
      <c r="AT8" t="str">
        <f t="shared" si="21"/>
        <v>VENTAS</v>
      </c>
      <c r="AU8">
        <f t="shared" si="22"/>
        <v>8.6160276173328469</v>
      </c>
      <c r="AV8" t="str">
        <f t="shared" si="23"/>
        <v>Mayor retorno probable: VENTAS (+8,6 puntos finales potenciales).</v>
      </c>
    </row>
    <row r="9" spans="1:48" x14ac:dyDescent="0.3">
      <c r="A9" s="5">
        <v>51011864</v>
      </c>
      <c r="B9" s="5" t="str">
        <f>IFERROR(VLOOKUP(A9,VENTAS!$A$2:$B$1194,2,0),"")</f>
        <v>CICHETTO</v>
      </c>
      <c r="C9" s="5">
        <f>IFERROR(INDEX(VENTAS!$C$2:$E$1194,MATCH(A9,VENTAS!$A$2:$A$1194,0),MATCH(PARAMS_MODELO!$B$2,{"Q1","Q2","Q3"},0)),0)</f>
        <v>174151795.97</v>
      </c>
      <c r="D9" s="5">
        <f>IFERROR(INDEX(VENTAS!$F$2:$H$1194,MATCH(A9,VENTAS!$A$2:$A$1194,0),MATCH(PARAMS_MODELO!$B$2,{"Q1","Q2","Q3"},0)),0)</f>
        <v>327369126</v>
      </c>
      <c r="E9" s="8">
        <f t="shared" si="0"/>
        <v>0.8797918458239371</v>
      </c>
      <c r="F9" s="12">
        <f>IF(E9&lt;=PARAMS_MODELO!$B$15,0,IF(E9&gt;=PARAMS_MODELO!$B$17,100,100*MIN(1,(E9-PARAMS_MODELO!$B$15)/(PARAMS_MODELO!$B$16-PARAMS_MODELO!$B$15))))*PARAMS_MODELO!$B$7</f>
        <v>35</v>
      </c>
      <c r="G9" s="5">
        <f t="shared" si="1"/>
        <v>153217330.03</v>
      </c>
      <c r="H9" s="5">
        <f>(PARAMS_MODELO!$B$20*(MAX(0,MIN(3,E9))/3)+PARAMS_MODELO!$B$21*(IFERROR(LN(1+MAX(0,G9))/LN(1+MAX(0,MAX($G$2:$G$1194))),0)))*100*PARAMS_MODELO!$B$8</f>
        <v>7.4973576268427333</v>
      </c>
      <c r="I9" s="8">
        <f>E9-PARAMS_MODELO!$B$5</f>
        <v>0.70222901044841057</v>
      </c>
      <c r="J9" s="5">
        <f>IF(I9&lt;=PARAMS_MODELO!$B$18,0,IF(I9&gt;=PARAMS_MODELO!$B$19,100,100*(I9-PARAMS_MODELO!$B$18)/(PARAMS_MODELO!$B$19-PARAMS_MODELO!$B$18)))*PARAMS_MODELO!$B$9</f>
        <v>15</v>
      </c>
      <c r="K9" s="5">
        <f>IFERROR(CHOOSE(MATCH(PARAMS_MODELO!$B$2,{"Q1","Q2","Q3"},0),LOTO!$D9,LOTO!$F9,LOTO!$H9),0)</f>
        <v>15975000</v>
      </c>
      <c r="L9" s="8">
        <f t="shared" si="2"/>
        <v>4.8798126430529679E-2</v>
      </c>
      <c r="M9" s="5">
        <f>MIN(100,IF(PARAMS_MODELO!$B$23=0,0,100*L9/PARAMS_MODELO!$B$23))*PARAMS_MODELO!$B$10</f>
        <v>14.6394379291589</v>
      </c>
      <c r="N9" s="5">
        <f>IFERROR(VLOOKUP(A9,COMPLIANCE!$A$2:$F$1996,6,0),100)</f>
        <v>99.85</v>
      </c>
      <c r="O9" s="5">
        <f>N9*PARAMS_MODELO!$B$11</f>
        <v>9.9849999999999994</v>
      </c>
      <c r="P9" s="5">
        <f>IFERROR(VLOOKUP(A9,DIGITAL!$A$2:$J$2000,7,0),100)</f>
        <v>59</v>
      </c>
      <c r="Q9" s="5">
        <f>IFERROR(P9,0)*PARAMS_MODELO!$B$12</f>
        <v>5.9</v>
      </c>
      <c r="R9">
        <f t="shared" si="3"/>
        <v>88.021795556001635</v>
      </c>
      <c r="S9" s="5" t="str">
        <f>IFERROR(VLOOKUP(A9,CLIENTE!$A$2:$N$2000,13,0),1)</f>
        <v>Regular</v>
      </c>
      <c r="T9" s="5">
        <f>IFERROR(VLOOKUP(A9,CLIENTE!$A$2:$N$2000,14,0),1)</f>
        <v>1</v>
      </c>
      <c r="U9" s="5">
        <f t="shared" si="4"/>
        <v>88.021795556001635</v>
      </c>
      <c r="V9" s="5" t="str">
        <f>IF(U9&gt;=MAX(_xlfn.PERCENTILE.INC($U$2:$U$1194,PARAMS_MODELO!$B$50),PARAMS_MODELO!$B$45),"DIAMANTE",IF(U9&gt;=MAX(_xlfn.PERCENTILE.INC($U$2:$U$1194,PARAMS_MODELO!$B$51),PARAMS_MODELO!$B$46),"PLATINO",IF(U9&gt;=MAX(_xlfn.PERCENTILE.INC($U$2:$U$1194,PARAMS_MODELO!$B$52),PARAMS_MODELO!$B$47),"ORO",IF(U9&gt;=MAX(_xlfn.PERCENTILE.INC($U$2:$U$1194,PARAMS_MODELO!$B$53),PARAMS_MODELO!$B$48),"PLATA",IF(U9&gt;=1,"BRONCE","CERRADO")))))</f>
        <v>PLATINO</v>
      </c>
      <c r="W9" s="5" t="str" cm="1">
        <f t="array" ref="W9">_xlfn.XLOOKUP(1, (HIST_SCORE!$B:$B=PARAMS_MODELO!$B$4) * (HIST_SCORE!$C:$C=A9), HIST_SCORE!$E:$E, "No encontrado")</f>
        <v>PLATINO</v>
      </c>
      <c r="X9" s="5" t="str">
        <f>_xlfn.LET(_xlpm.act,MATCH(V9,{"DIAMANTE";"PLATINO";"ORO";"PLATA";"BRONCE";"CERRADO"},0),_xlpm.ant,MATCH(W9,{"DIAMANTE";"PLATINO";"ORO";"PLATA";"BRONCE";"CERRADO"},0),IF(_xlpm.act&lt;_xlpm.ant,"Mejora ↑",IF(_xlpm.act&gt;_xlpm.ant,"Baja ↓","Estable →")))</f>
        <v>Estable →</v>
      </c>
      <c r="Y9" s="5">
        <f>IFERROR(U9-SUMIFS(HIST_SCORE!$D:$D,HIST_SCORE!$B:$B,PARAMS_MODELO!$B$4,HIST_SCORE!$C:$C,$A9),"")</f>
        <v>2.0122712948128907</v>
      </c>
      <c r="Z9" s="5" t="str">
        <f t="shared" si="5"/>
        <v>→ Estable</v>
      </c>
      <c r="AA9" s="5">
        <f t="shared" si="6"/>
        <v>198</v>
      </c>
      <c r="AB9" s="5">
        <f>IFERROR(SUMIFS(HIST_SCORE!$F:$F,HIST_SCORE!$B:$B,PARAMS_MODELO!$B$4,HIST_SCORE!$C:$C,$A9),"")</f>
        <v>238</v>
      </c>
      <c r="AC9" s="5">
        <f t="shared" si="7"/>
        <v>40</v>
      </c>
      <c r="AD9" t="str">
        <f t="shared" si="9"/>
        <v/>
      </c>
      <c r="AE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CERRADO",1,IF(V9="BRONCE",_xlpm.cPl,IF(V9="PLATA",_xlpm.cO,IF(V9="ORO",_xlpm.cP,IF(V9="PLATINO",_xlpm.cD,999))))))</f>
        <v>96.054919694466676</v>
      </c>
      <c r="AF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CERRADO",0,IF(V9="BRONCE",1,IF(V9="PLATA",_xlpm.cPl,IF(V9="ORO",_xlpm.cO,IF(V9="PLATINO",_xlpm.cP,_xlpm.cD))))))</f>
        <v>86.439123873763251</v>
      </c>
      <c r="AG9">
        <f t="shared" si="10"/>
        <v>8.0331241384650411</v>
      </c>
      <c r="AH9" t="str">
        <f t="shared" si="11"/>
        <v>VENTAS</v>
      </c>
      <c r="AI9" t="str">
        <f t="shared" si="8"/>
        <v>🎯 Para subir de categoría, eje VENTAS / IMPACTO ABSOLUTO (H). Acción: metas semanales + activación comercial + seguimiento del asesor. ΔR aprox: 8,0</v>
      </c>
      <c r="AJ9" s="26">
        <f>_xlfn.LET(_xlpm.piso,AF9,_xlpm.corte,AE9,_xlpm.prog,IF(_xlpm.corte&lt;=_xlpm.piso,0,MAX(0,MIN(1,(U9-_xlpm.piso)/(_xlpm.corte-_xlpm.piso)))),_xlpm.orden,{"DIAMANTE";"PLATINO";"ORO";"PLATA";"BRONCE";"CERRADO"},_xlpm.act,IFERROR(MATCH(V9,_xlpm.orden,0),6),_xlpm.ant,IFERROR(MATCH(W9,_xlpm.orden,0),6),_xlpm.ajmov,IF(_xlpm.act&lt;_xlpm.ant,0.08,IF(_xlpm.act&gt;_xlpm.ant,-0.08,0)),_xlpm.ajcli,IF(T9&lt;0.95,-0.06,0),_xlpm.prob,MAX(0,MIN(1,_xlpm.prog+_xlpm.ajmov+_xlpm.ajcli)),IF(OR(V9="DIAMANTE",V9="CERRADO"),0,ROUND(_xlpm.prob,2)))</f>
        <v>0.16</v>
      </c>
      <c r="AK9" t="str">
        <f t="shared" si="12"/>
        <v>Faltan 8,0 puntos base para subir a la siguiente categoría</v>
      </c>
      <c r="AL9" t="str">
        <f t="shared" si="13"/>
        <v>Margen de seguridad: 1,6 puntos</v>
      </c>
      <c r="AM9">
        <f t="shared" si="14"/>
        <v>0.66</v>
      </c>
      <c r="AN9" t="str">
        <f t="shared" si="15"/>
        <v>PRIORIDAD MEDIA – seguimiento del asesor</v>
      </c>
      <c r="AO9">
        <f t="shared" si="16"/>
        <v>7.3652116484528491</v>
      </c>
      <c r="AP9">
        <f t="shared" si="17"/>
        <v>0.36056207084109992</v>
      </c>
      <c r="AQ9">
        <f t="shared" si="18"/>
        <v>1.5000000000000568E-2</v>
      </c>
      <c r="AR9">
        <f t="shared" si="19"/>
        <v>4.0999999999999996</v>
      </c>
      <c r="AS9">
        <f t="shared" si="20"/>
        <v>0</v>
      </c>
      <c r="AT9" t="str">
        <f t="shared" si="21"/>
        <v>VENTAS</v>
      </c>
      <c r="AU9">
        <f t="shared" si="22"/>
        <v>7.3652116484528491</v>
      </c>
      <c r="AV9" t="str">
        <f t="shared" si="23"/>
        <v>Mayor retorno probable: VENTAS (+7,4 puntos finales potenciales).</v>
      </c>
    </row>
    <row r="10" spans="1:48" x14ac:dyDescent="0.3">
      <c r="A10" s="5">
        <v>51005945</v>
      </c>
      <c r="B10" s="5" t="str">
        <f>IFERROR(VLOOKUP(A10,VENTAS!$A$2:$B$1194,2,0),"")</f>
        <v>CICHETTO</v>
      </c>
      <c r="C10" s="5">
        <f>IFERROR(INDEX(VENTAS!$C$2:$E$1194,MATCH(A10,VENTAS!$A$2:$A$1194,0),MATCH(PARAMS_MODELO!$B$2,{"Q1","Q2","Q3"},0)),0)</f>
        <v>223688596.30000001</v>
      </c>
      <c r="D10" s="5">
        <f>IFERROR(INDEX(VENTAS!$F$2:$H$1194,MATCH(A10,VENTAS!$A$2:$A$1194,0),MATCH(PARAMS_MODELO!$B$2,{"Q1","Q2","Q3"},0)),0)</f>
        <v>319769046</v>
      </c>
      <c r="E10" s="8">
        <f t="shared" si="0"/>
        <v>0.42952770632590354</v>
      </c>
      <c r="F10" s="12">
        <f>IF(E10&lt;=PARAMS_MODELO!$B$15,0,IF(E10&gt;=PARAMS_MODELO!$B$17,100,100*MIN(1,(E10-PARAMS_MODELO!$B$15)/(PARAMS_MODELO!$B$16-PARAMS_MODELO!$B$15))))*PARAMS_MODELO!$B$7</f>
        <v>35</v>
      </c>
      <c r="G10" s="5">
        <f t="shared" si="1"/>
        <v>96080449.699999988</v>
      </c>
      <c r="H10" s="5">
        <f>(PARAMS_MODELO!$B$20*(MAX(0,MIN(3,E10))/3)+PARAMS_MODELO!$B$21*(IFERROR(LN(1+MAX(0,G10))/LN(1+MAX(0,MAX($G$2:$G$1194))),0)))*100*PARAMS_MODELO!$B$8</f>
        <v>5.8120388218103383</v>
      </c>
      <c r="I10" s="8">
        <f>E10-PARAMS_MODELO!$B$5</f>
        <v>0.25196487095037701</v>
      </c>
      <c r="J10" s="5">
        <f>IF(I10&lt;=PARAMS_MODELO!$B$18,0,IF(I10&gt;=PARAMS_MODELO!$B$19,100,100*(I10-PARAMS_MODELO!$B$18)/(PARAMS_MODELO!$B$19-PARAMS_MODELO!$B$18)))*PARAMS_MODELO!$B$9</f>
        <v>15</v>
      </c>
      <c r="K10" s="5">
        <f>IFERROR(CHOOSE(MATCH(PARAMS_MODELO!$B$2,{"Q1","Q2","Q3"},0),LOTO!$D10,LOTO!$F10,LOTO!$H10),0)</f>
        <v>14957500</v>
      </c>
      <c r="L10" s="8">
        <f t="shared" si="2"/>
        <v>4.6775947162815752E-2</v>
      </c>
      <c r="M10" s="5">
        <f>MIN(100,IF(PARAMS_MODELO!$B$23=0,0,100*L10/PARAMS_MODELO!$B$23))*PARAMS_MODELO!$B$10</f>
        <v>14.032784148844726</v>
      </c>
      <c r="N10" s="5">
        <f>IFERROR(VLOOKUP(A10,COMPLIANCE!$A$2:$F$1996,6,0),100)</f>
        <v>100</v>
      </c>
      <c r="O10" s="5">
        <f>N10*PARAMS_MODELO!$B$11</f>
        <v>10</v>
      </c>
      <c r="P10" s="5">
        <f>IFERROR(VLOOKUP(A10,DIGITAL!$A$2:$J$2000,7,0),100)</f>
        <v>48</v>
      </c>
      <c r="Q10" s="5">
        <f>IFERROR(P10,0)*PARAMS_MODELO!$B$12</f>
        <v>4.8000000000000007</v>
      </c>
      <c r="R10">
        <f t="shared" si="3"/>
        <v>84.644822970655056</v>
      </c>
      <c r="S10" s="5" t="str">
        <f>IFERROR(VLOOKUP(A10,CLIENTE!$A$2:$N$2000,13,0),1)</f>
        <v>Regular</v>
      </c>
      <c r="T10" s="5">
        <f>IFERROR(VLOOKUP(A10,CLIENTE!$A$2:$N$2000,14,0),1)</f>
        <v>1</v>
      </c>
      <c r="U10" s="5">
        <f t="shared" si="4"/>
        <v>84.644822970655056</v>
      </c>
      <c r="V10" s="5" t="str">
        <f>IF(U10&gt;=MAX(_xlfn.PERCENTILE.INC($U$2:$U$1194,PARAMS_MODELO!$B$50),PARAMS_MODELO!$B$45),"DIAMANTE",IF(U10&gt;=MAX(_xlfn.PERCENTILE.INC($U$2:$U$1194,PARAMS_MODELO!$B$51),PARAMS_MODELO!$B$46),"PLATINO",IF(U10&gt;=MAX(_xlfn.PERCENTILE.INC($U$2:$U$1194,PARAMS_MODELO!$B$52),PARAMS_MODELO!$B$47),"ORO",IF(U10&gt;=MAX(_xlfn.PERCENTILE.INC($U$2:$U$1194,PARAMS_MODELO!$B$53),PARAMS_MODELO!$B$48),"PLATA",IF(U10&gt;=1,"BRONCE","CERRADO")))))</f>
        <v>ORO</v>
      </c>
      <c r="W10" s="5" t="str" cm="1">
        <f t="array" ref="W10">_xlfn.XLOOKUP(1, (HIST_SCORE!$B:$B=PARAMS_MODELO!$B$4) * (HIST_SCORE!$C:$C=A10), HIST_SCORE!$E:$E, "No encontrado")</f>
        <v>ORO</v>
      </c>
      <c r="X10" s="5" t="str">
        <f>_xlfn.LET(_xlpm.act,MATCH(V10,{"DIAMANTE";"PLATINO";"ORO";"PLATA";"BRONCE";"CERRADO"},0),_xlpm.ant,MATCH(W10,{"DIAMANTE";"PLATINO";"ORO";"PLATA";"BRONCE";"CERRADO"},0),IF(_xlpm.act&lt;_xlpm.ant,"Mejora ↑",IF(_xlpm.act&gt;_xlpm.ant,"Baja ↓","Estable →")))</f>
        <v>Estable →</v>
      </c>
      <c r="Y10" s="5">
        <f>IFERROR(U10-SUMIFS(HIST_SCORE!$D:$D,HIST_SCORE!$B:$B,PARAMS_MODELO!$B$4,HIST_SCORE!$C:$C,$A10),"")</f>
        <v>1.1413387893147586</v>
      </c>
      <c r="Z10" s="5" t="str">
        <f t="shared" si="5"/>
        <v>→ Estable</v>
      </c>
      <c r="AA10" s="5">
        <f t="shared" si="6"/>
        <v>296</v>
      </c>
      <c r="AB10" s="5">
        <f>IFERROR(SUMIFS(HIST_SCORE!$F:$F,HIST_SCORE!$B:$B,PARAMS_MODELO!$B$4,HIST_SCORE!$C:$C,$A10),"")</f>
        <v>304</v>
      </c>
      <c r="AC10" s="5">
        <f t="shared" si="7"/>
        <v>8</v>
      </c>
      <c r="AD10" t="str">
        <f t="shared" si="9"/>
        <v/>
      </c>
      <c r="AE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CERRADO",1,IF(V10="BRONCE",_xlpm.cPl,IF(V10="PLATA",_xlpm.cO,IF(V10="ORO",_xlpm.cP,IF(V10="PLATINO",_xlpm.cD,999))))))</f>
        <v>86.439123873763251</v>
      </c>
      <c r="AF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CERRADO",0,IF(V10="BRONCE",1,IF(V10="PLATA",_xlpm.cPl,IF(V10="ORO",_xlpm.cO,IF(V10="PLATINO",_xlpm.cP,_xlpm.cD))))))</f>
        <v>63.199193273331495</v>
      </c>
      <c r="AG10">
        <f t="shared" si="10"/>
        <v>1.7943009031081942</v>
      </c>
      <c r="AH10" t="str">
        <f t="shared" si="11"/>
        <v>VENTAS</v>
      </c>
      <c r="AI10" t="str">
        <f t="shared" si="8"/>
        <v>🎯 Para subir de categoría, eje VENTAS / IMPACTO ABSOLUTO (H). Acción: metas semanales + activación comercial + seguimiento del asesor. ΔR aprox: 1,8</v>
      </c>
      <c r="AJ10" s="26">
        <f>_xlfn.LET(_xlpm.piso,AF10,_xlpm.corte,AE10,_xlpm.prog,IF(_xlpm.corte&lt;=_xlpm.piso,0,MAX(0,MIN(1,(U10-_xlpm.piso)/(_xlpm.corte-_xlpm.piso)))),_xlpm.orden,{"DIAMANTE";"PLATINO";"ORO";"PLATA";"BRONCE";"CERRADO"},_xlpm.act,IFERROR(MATCH(V10,_xlpm.orden,0),6),_xlpm.ant,IFERROR(MATCH(W10,_xlpm.orden,0),6),_xlpm.ajmov,IF(_xlpm.act&lt;_xlpm.ant,0.08,IF(_xlpm.act&gt;_xlpm.ant,-0.08,0)),_xlpm.ajcli,IF(T10&lt;0.95,-0.06,0),_xlpm.prob,MAX(0,MIN(1,_xlpm.prog+_xlpm.ajmov+_xlpm.ajcli)),IF(OR(V10="DIAMANTE",V10="CERRADO"),0,ROUND(_xlpm.prob,2)))</f>
        <v>0.92</v>
      </c>
      <c r="AK10" t="str">
        <f t="shared" si="12"/>
        <v>Faltan 1,8 puntos base para subir a la siguiente categoría</v>
      </c>
      <c r="AL10" t="str">
        <f t="shared" si="13"/>
        <v>Margen de seguridad: 21,4 puntos</v>
      </c>
      <c r="AM10">
        <f t="shared" si="14"/>
        <v>0.1</v>
      </c>
      <c r="AN10" t="str">
        <f t="shared" si="15"/>
        <v>PRIORIDAD BAJA – control normal</v>
      </c>
      <c r="AO10">
        <f t="shared" si="16"/>
        <v>9.0505304534852442</v>
      </c>
      <c r="AP10">
        <f t="shared" si="17"/>
        <v>0.96721585115527375</v>
      </c>
      <c r="AQ10">
        <f t="shared" si="18"/>
        <v>0</v>
      </c>
      <c r="AR10">
        <f t="shared" si="19"/>
        <v>5.1999999999999993</v>
      </c>
      <c r="AS10">
        <f t="shared" si="20"/>
        <v>0</v>
      </c>
      <c r="AT10" t="str">
        <f t="shared" si="21"/>
        <v>VENTAS</v>
      </c>
      <c r="AU10">
        <f t="shared" si="22"/>
        <v>9.0505304534852442</v>
      </c>
      <c r="AV10" t="str">
        <f t="shared" si="23"/>
        <v>Mayor retorno probable: VENTAS (+9,1 puntos finales potenciales).</v>
      </c>
    </row>
    <row r="11" spans="1:48" x14ac:dyDescent="0.3">
      <c r="A11" s="5">
        <v>51055586</v>
      </c>
      <c r="B11" s="5" t="str">
        <f>IFERROR(VLOOKUP(A11,VENTAS!$A$2:$B$1194,2,0),"")</f>
        <v>PUGH</v>
      </c>
      <c r="C11" s="5">
        <f>IFERROR(INDEX(VENTAS!$C$2:$E$1194,MATCH(A11,VENTAS!$A$2:$A$1194,0),MATCH(PARAMS_MODELO!$B$2,{"Q1","Q2","Q3"},0)),0)</f>
        <v>234157068.72999999</v>
      </c>
      <c r="D11" s="5">
        <f>IFERROR(INDEX(VENTAS!$F$2:$H$1194,MATCH(A11,VENTAS!$A$2:$A$1194,0),MATCH(PARAMS_MODELO!$B$2,{"Q1","Q2","Q3"},0)),0)</f>
        <v>316001534</v>
      </c>
      <c r="E11" s="8">
        <f t="shared" si="0"/>
        <v>0.34952805701702983</v>
      </c>
      <c r="F11" s="12">
        <f>IF(E11&lt;=PARAMS_MODELO!$B$15,0,IF(E11&gt;=PARAMS_MODELO!$B$17,100,100*MIN(1,(E11-PARAMS_MODELO!$B$15)/(PARAMS_MODELO!$B$16-PARAMS_MODELO!$B$15))))*PARAMS_MODELO!$B$7</f>
        <v>35</v>
      </c>
      <c r="G11" s="5">
        <f t="shared" si="1"/>
        <v>81844465.270000011</v>
      </c>
      <c r="H11" s="5">
        <f>(PARAMS_MODELO!$B$20*(MAX(0,MIN(3,E11))/3)+PARAMS_MODELO!$B$21*(IFERROR(LN(1+MAX(0,G11))/LN(1+MAX(0,MAX($G$2:$G$1194))),0)))*100*PARAMS_MODELO!$B$8</f>
        <v>5.4944482133304717</v>
      </c>
      <c r="I11" s="8">
        <f>E11-PARAMS_MODELO!$B$5</f>
        <v>0.1719652216415033</v>
      </c>
      <c r="J11" s="5">
        <f>IF(I11&lt;=PARAMS_MODELO!$B$18,0,IF(I11&gt;=PARAMS_MODELO!$B$19,100,100*(I11-PARAMS_MODELO!$B$18)/(PARAMS_MODELO!$B$19-PARAMS_MODELO!$B$18)))*PARAMS_MODELO!$B$9</f>
        <v>15</v>
      </c>
      <c r="K11" s="5">
        <f>IFERROR(CHOOSE(MATCH(PARAMS_MODELO!$B$2,{"Q1","Q2","Q3"},0),LOTO!$D11,LOTO!$F11,LOTO!$H11),0)</f>
        <v>14747500</v>
      </c>
      <c r="L11" s="8">
        <f t="shared" si="2"/>
        <v>4.6669077245681978E-2</v>
      </c>
      <c r="M11" s="5">
        <f>MIN(100,IF(PARAMS_MODELO!$B$23=0,0,100*L11/PARAMS_MODELO!$B$23))*PARAMS_MODELO!$B$10</f>
        <v>14.000723173704593</v>
      </c>
      <c r="N11" s="5">
        <f>IFERROR(VLOOKUP(A11,COMPLIANCE!$A$2:$F$1996,6,0),100)</f>
        <v>100</v>
      </c>
      <c r="O11" s="5">
        <f>N11*PARAMS_MODELO!$B$11</f>
        <v>10</v>
      </c>
      <c r="P11" s="5">
        <f>IFERROR(VLOOKUP(A11,DIGITAL!$A$2:$J$2000,7,0),100)</f>
        <v>25</v>
      </c>
      <c r="Q11" s="5">
        <f>IFERROR(P11,0)*PARAMS_MODELO!$B$12</f>
        <v>2.5</v>
      </c>
      <c r="R11">
        <f t="shared" si="3"/>
        <v>81.995171387035072</v>
      </c>
      <c r="S11" s="5" t="str">
        <f>IFERROR(VLOOKUP(A11,CLIENTE!$A$2:$N$2000,13,0),1)</f>
        <v>Regular</v>
      </c>
      <c r="T11" s="5">
        <f>IFERROR(VLOOKUP(A11,CLIENTE!$A$2:$N$2000,14,0),1)</f>
        <v>1</v>
      </c>
      <c r="U11" s="5">
        <f t="shared" si="4"/>
        <v>81.995171387035072</v>
      </c>
      <c r="V11" s="5" t="str">
        <f>IF(U11&gt;=MAX(_xlfn.PERCENTILE.INC($U$2:$U$1194,PARAMS_MODELO!$B$50),PARAMS_MODELO!$B$45),"DIAMANTE",IF(U11&gt;=MAX(_xlfn.PERCENTILE.INC($U$2:$U$1194,PARAMS_MODELO!$B$51),PARAMS_MODELO!$B$46),"PLATINO",IF(U11&gt;=MAX(_xlfn.PERCENTILE.INC($U$2:$U$1194,PARAMS_MODELO!$B$52),PARAMS_MODELO!$B$47),"ORO",IF(U11&gt;=MAX(_xlfn.PERCENTILE.INC($U$2:$U$1194,PARAMS_MODELO!$B$53),PARAMS_MODELO!$B$48),"PLATA",IF(U11&gt;=1,"BRONCE","CERRADO")))))</f>
        <v>ORO</v>
      </c>
      <c r="W11" s="5" t="str" cm="1">
        <f t="array" ref="W11">_xlfn.XLOOKUP(1, (HIST_SCORE!$B:$B=PARAMS_MODELO!$B$4) * (HIST_SCORE!$C:$C=A11), HIST_SCORE!$E:$E, "No encontrado")</f>
        <v>ORO</v>
      </c>
      <c r="X11" s="5" t="str">
        <f>_xlfn.LET(_xlpm.act,MATCH(V11,{"DIAMANTE";"PLATINO";"ORO";"PLATA";"BRONCE";"CERRADO"},0),_xlpm.ant,MATCH(W11,{"DIAMANTE";"PLATINO";"ORO";"PLATA";"BRONCE";"CERRADO"},0),IF(_xlpm.act&lt;_xlpm.ant,"Mejora ↑",IF(_xlpm.act&gt;_xlpm.ant,"Baja ↓","Estable →")))</f>
        <v>Estable →</v>
      </c>
      <c r="Y11" s="5">
        <f>IFERROR(U11-SUMIFS(HIST_SCORE!$D:$D,HIST_SCORE!$B:$B,PARAMS_MODELO!$B$4,HIST_SCORE!$C:$C,$A11),"")</f>
        <v>7.1548309238126819</v>
      </c>
      <c r="Z11" s="5" t="str">
        <f t="shared" si="5"/>
        <v>↑ Mejora</v>
      </c>
      <c r="AA11" s="5">
        <f t="shared" si="6"/>
        <v>386</v>
      </c>
      <c r="AB11" s="5">
        <f>IFERROR(SUMIFS(HIST_SCORE!$F:$F,HIST_SCORE!$B:$B,PARAMS_MODELO!$B$4,HIST_SCORE!$C:$C,$A11),"")</f>
        <v>493</v>
      </c>
      <c r="AC11" s="5">
        <f t="shared" si="7"/>
        <v>107</v>
      </c>
      <c r="AD11" t="str">
        <f t="shared" si="9"/>
        <v/>
      </c>
      <c r="AE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CERRADO",1,IF(V11="BRONCE",_xlpm.cPl,IF(V11="PLATA",_xlpm.cO,IF(V11="ORO",_xlpm.cP,IF(V11="PLATINO",_xlpm.cD,999))))))</f>
        <v>86.439123873763251</v>
      </c>
      <c r="AF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CERRADO",0,IF(V11="BRONCE",1,IF(V11="PLATA",_xlpm.cPl,IF(V11="ORO",_xlpm.cO,IF(V11="PLATINO",_xlpm.cP,_xlpm.cD))))))</f>
        <v>63.199193273331495</v>
      </c>
      <c r="AG11">
        <f t="shared" si="10"/>
        <v>4.443952486728179</v>
      </c>
      <c r="AH11" t="str">
        <f t="shared" si="11"/>
        <v>VENTAS</v>
      </c>
      <c r="AI11" t="str">
        <f t="shared" si="8"/>
        <v>🎯 Para subir de categoría, eje VENTAS / IMPACTO ABSOLUTO (H). Acción: metas semanales + activación comercial + seguimiento del asesor. ΔR aprox: 4,4</v>
      </c>
      <c r="AJ11" s="26">
        <f>_xlfn.LET(_xlpm.piso,AF11,_xlpm.corte,AE11,_xlpm.prog,IF(_xlpm.corte&lt;=_xlpm.piso,0,MAX(0,MIN(1,(U11-_xlpm.piso)/(_xlpm.corte-_xlpm.piso)))),_xlpm.orden,{"DIAMANTE";"PLATINO";"ORO";"PLATA";"BRONCE";"CERRADO"},_xlpm.act,IFERROR(MATCH(V11,_xlpm.orden,0),6),_xlpm.ant,IFERROR(MATCH(W11,_xlpm.orden,0),6),_xlpm.ajmov,IF(_xlpm.act&lt;_xlpm.ant,0.08,IF(_xlpm.act&gt;_xlpm.ant,-0.08,0)),_xlpm.ajcli,IF(T11&lt;0.95,-0.06,0),_xlpm.prob,MAX(0,MIN(1,_xlpm.prog+_xlpm.ajmov+_xlpm.ajcli)),IF(OR(V11="DIAMANTE",V11="CERRADO"),0,ROUND(_xlpm.prob,2)))</f>
        <v>0.81</v>
      </c>
      <c r="AK11" t="str">
        <f t="shared" si="12"/>
        <v>Faltan 4,4 puntos base para subir a la siguiente categoría</v>
      </c>
      <c r="AL11" t="str">
        <f t="shared" si="13"/>
        <v>Margen de seguridad: 18,8 puntos</v>
      </c>
      <c r="AM11">
        <f t="shared" si="14"/>
        <v>0.25</v>
      </c>
      <c r="AN11" t="str">
        <f t="shared" si="15"/>
        <v>PRIORIDAD BAJA – control normal</v>
      </c>
      <c r="AO11">
        <f t="shared" si="16"/>
        <v>9.3681210619651125</v>
      </c>
      <c r="AP11">
        <f t="shared" si="17"/>
        <v>0.99927682629540726</v>
      </c>
      <c r="AQ11">
        <f t="shared" si="18"/>
        <v>0</v>
      </c>
      <c r="AR11">
        <f t="shared" si="19"/>
        <v>7.5</v>
      </c>
      <c r="AS11">
        <f t="shared" si="20"/>
        <v>0</v>
      </c>
      <c r="AT11" t="str">
        <f t="shared" si="21"/>
        <v>VENTAS</v>
      </c>
      <c r="AU11">
        <f t="shared" si="22"/>
        <v>9.3681210619651125</v>
      </c>
      <c r="AV11" t="str">
        <f t="shared" si="23"/>
        <v>Mayor retorno probable: VENTAS (+9,4 puntos finales potenciales).</v>
      </c>
    </row>
    <row r="12" spans="1:48" x14ac:dyDescent="0.3">
      <c r="A12" s="5">
        <v>51025458</v>
      </c>
      <c r="B12" s="5" t="str">
        <f>IFERROR(VLOOKUP(A12,VENTAS!$A$2:$B$1194,2,0),"")</f>
        <v>METTLER</v>
      </c>
      <c r="C12" s="5">
        <f>IFERROR(INDEX(VENTAS!$C$2:$E$1194,MATCH(A12,VENTAS!$A$2:$A$1194,0),MATCH(PARAMS_MODELO!$B$2,{"Q1","Q2","Q3"},0)),0)</f>
        <v>92866935.859999999</v>
      </c>
      <c r="D12" s="5">
        <f>IFERROR(INDEX(VENTAS!$F$2:$H$1194,MATCH(A12,VENTAS!$A$2:$A$1194,0),MATCH(PARAMS_MODELO!$B$2,{"Q1","Q2","Q3"},0)),0)</f>
        <v>310171156</v>
      </c>
      <c r="E12" s="8">
        <f t="shared" si="0"/>
        <v>2.3399525151512846</v>
      </c>
      <c r="F12" s="12">
        <f>IF(E12&lt;=PARAMS_MODELO!$B$15,0,IF(E12&gt;=PARAMS_MODELO!$B$17,100,100*MIN(1,(E12-PARAMS_MODELO!$B$15)/(PARAMS_MODELO!$B$16-PARAMS_MODELO!$B$15))))*PARAMS_MODELO!$B$7</f>
        <v>35</v>
      </c>
      <c r="G12" s="5">
        <f t="shared" si="1"/>
        <v>217304220.13999999</v>
      </c>
      <c r="H12" s="5">
        <f>(PARAMS_MODELO!$B$20*(MAX(0,MIN(3,E12))/3)+PARAMS_MODELO!$B$21*(IFERROR(LN(1+MAX(0,G12))/LN(1+MAX(0,MAX($G$2:$G$1194))),0)))*100*PARAMS_MODELO!$B$8</f>
        <v>12.689833803029495</v>
      </c>
      <c r="I12" s="8">
        <f>E12-PARAMS_MODELO!$B$5</f>
        <v>2.162389679775758</v>
      </c>
      <c r="J12" s="5">
        <f>IF(I12&lt;=PARAMS_MODELO!$B$18,0,IF(I12&gt;=PARAMS_MODELO!$B$19,100,100*(I12-PARAMS_MODELO!$B$18)/(PARAMS_MODELO!$B$19-PARAMS_MODELO!$B$18)))*PARAMS_MODELO!$B$9</f>
        <v>15</v>
      </c>
      <c r="K12" s="5">
        <f>IFERROR(CHOOSE(MATCH(PARAMS_MODELO!$B$2,{"Q1","Q2","Q3"},0),LOTO!$D12,LOTO!$F12,LOTO!$H12),0)</f>
        <v>14452500</v>
      </c>
      <c r="L12" s="8">
        <f t="shared" si="2"/>
        <v>4.6595241757425049E-2</v>
      </c>
      <c r="M12" s="5">
        <f>MIN(100,IF(PARAMS_MODELO!$B$23=0,0,100*L12/PARAMS_MODELO!$B$23))*PARAMS_MODELO!$B$10</f>
        <v>13.978572527227515</v>
      </c>
      <c r="N12" s="5">
        <f>IFERROR(VLOOKUP(A12,COMPLIANCE!$A$2:$F$1996,6,0),100)</f>
        <v>99.98</v>
      </c>
      <c r="O12" s="5">
        <f>N12*PARAMS_MODELO!$B$11</f>
        <v>9.9980000000000011</v>
      </c>
      <c r="P12" s="5">
        <f>IFERROR(VLOOKUP(A12,DIGITAL!$A$2:$J$2000,7,0),100)</f>
        <v>21</v>
      </c>
      <c r="Q12" s="5">
        <f>IFERROR(P12,0)*PARAMS_MODELO!$B$12</f>
        <v>2.1</v>
      </c>
      <c r="R12">
        <f t="shared" si="3"/>
        <v>88.766406330257013</v>
      </c>
      <c r="S12" s="5" t="str">
        <f>IFERROR(VLOOKUP(A12,CLIENTE!$A$2:$N$2000,13,0),1)</f>
        <v>Regular</v>
      </c>
      <c r="T12" s="5">
        <f>IFERROR(VLOOKUP(A12,CLIENTE!$A$2:$N$2000,14,0),1)</f>
        <v>1</v>
      </c>
      <c r="U12" s="5">
        <f t="shared" si="4"/>
        <v>88.766406330257013</v>
      </c>
      <c r="V12" s="5" t="str">
        <f>IF(U12&gt;=MAX(_xlfn.PERCENTILE.INC($U$2:$U$1194,PARAMS_MODELO!$B$50),PARAMS_MODELO!$B$45),"DIAMANTE",IF(U12&gt;=MAX(_xlfn.PERCENTILE.INC($U$2:$U$1194,PARAMS_MODELO!$B$51),PARAMS_MODELO!$B$46),"PLATINO",IF(U12&gt;=MAX(_xlfn.PERCENTILE.INC($U$2:$U$1194,PARAMS_MODELO!$B$52),PARAMS_MODELO!$B$47),"ORO",IF(U12&gt;=MAX(_xlfn.PERCENTILE.INC($U$2:$U$1194,PARAMS_MODELO!$B$53),PARAMS_MODELO!$B$48),"PLATA",IF(U12&gt;=1,"BRONCE","CERRADO")))))</f>
        <v>PLATINO</v>
      </c>
      <c r="W12" s="5" t="str" cm="1">
        <f t="array" ref="W12">_xlfn.XLOOKUP(1, (HIST_SCORE!$B:$B=PARAMS_MODELO!$B$4) * (HIST_SCORE!$C:$C=A12), HIST_SCORE!$E:$E, "No encontrado")</f>
        <v>PLATINO</v>
      </c>
      <c r="X12" s="5" t="str">
        <f>_xlfn.LET(_xlpm.act,MATCH(V12,{"DIAMANTE";"PLATINO";"ORO";"PLATA";"BRONCE";"CERRADO"},0),_xlpm.ant,MATCH(W12,{"DIAMANTE";"PLATINO";"ORO";"PLATA";"BRONCE";"CERRADO"},0),IF(_xlpm.act&lt;_xlpm.ant,"Mejora ↑",IF(_xlpm.act&gt;_xlpm.ant,"Baja ↓","Estable →")))</f>
        <v>Estable →</v>
      </c>
      <c r="Y12" s="5">
        <f>IFERROR(U12-SUMIFS(HIST_SCORE!$D:$D,HIST_SCORE!$B:$B,PARAMS_MODELO!$B$4,HIST_SCORE!$C:$C,$A12),"")</f>
        <v>2.5705907094687319</v>
      </c>
      <c r="Z12" s="5" t="str">
        <f t="shared" si="5"/>
        <v>→ Estable</v>
      </c>
      <c r="AA12" s="5">
        <f t="shared" si="6"/>
        <v>172</v>
      </c>
      <c r="AB12" s="5">
        <f>IFERROR(SUMIFS(HIST_SCORE!$F:$F,HIST_SCORE!$B:$B,PARAMS_MODELO!$B$4,HIST_SCORE!$C:$C,$A12),"")</f>
        <v>233</v>
      </c>
      <c r="AC12" s="5">
        <f t="shared" si="7"/>
        <v>61</v>
      </c>
      <c r="AD12" t="str">
        <f t="shared" si="9"/>
        <v/>
      </c>
      <c r="AE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CERRADO",1,IF(V12="BRONCE",_xlpm.cPl,IF(V12="PLATA",_xlpm.cO,IF(V12="ORO",_xlpm.cP,IF(V12="PLATINO",_xlpm.cD,999))))))</f>
        <v>96.054919694466676</v>
      </c>
      <c r="AF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CERRADO",0,IF(V12="BRONCE",1,IF(V12="PLATA",_xlpm.cPl,IF(V12="ORO",_xlpm.cO,IF(V12="PLATINO",_xlpm.cP,_xlpm.cD))))))</f>
        <v>86.439123873763251</v>
      </c>
      <c r="AG12">
        <f t="shared" si="10"/>
        <v>7.2885133642096633</v>
      </c>
      <c r="AH12" t="str">
        <f t="shared" si="11"/>
        <v>DIGITAL</v>
      </c>
      <c r="AI12" t="str">
        <f t="shared" si="8"/>
        <v>🎯 Para subir de categoría, eje DIGITAL (Q). Acción: aumentar adopción digital en mostrador + seguimiento semanal. ΔR aprox: 7,3</v>
      </c>
      <c r="AJ12" s="26">
        <f>_xlfn.LET(_xlpm.piso,AF12,_xlpm.corte,AE12,_xlpm.prog,IF(_xlpm.corte&lt;=_xlpm.piso,0,MAX(0,MIN(1,(U12-_xlpm.piso)/(_xlpm.corte-_xlpm.piso)))),_xlpm.orden,{"DIAMANTE";"PLATINO";"ORO";"PLATA";"BRONCE";"CERRADO"},_xlpm.act,IFERROR(MATCH(V12,_xlpm.orden,0),6),_xlpm.ant,IFERROR(MATCH(W12,_xlpm.orden,0),6),_xlpm.ajmov,IF(_xlpm.act&lt;_xlpm.ant,0.08,IF(_xlpm.act&gt;_xlpm.ant,-0.08,0)),_xlpm.ajcli,IF(T12&lt;0.95,-0.06,0),_xlpm.prob,MAX(0,MIN(1,_xlpm.prog+_xlpm.ajmov+_xlpm.ajcli)),IF(OR(V12="DIAMANTE",V12="CERRADO"),0,ROUND(_xlpm.prob,2)))</f>
        <v>0.24</v>
      </c>
      <c r="AK12" t="str">
        <f t="shared" si="12"/>
        <v>Faltan 7,3 puntos base para subir a la siguiente categoría</v>
      </c>
      <c r="AL12" t="str">
        <f t="shared" si="13"/>
        <v>Margen de seguridad: 2,3 puntos</v>
      </c>
      <c r="AM12">
        <f t="shared" si="14"/>
        <v>0.6</v>
      </c>
      <c r="AN12" t="str">
        <f t="shared" si="15"/>
        <v>PRIORIDAD MEDIA – seguimiento del asesor</v>
      </c>
      <c r="AO12">
        <f t="shared" si="16"/>
        <v>2.1727354722660905</v>
      </c>
      <c r="AP12">
        <f t="shared" si="17"/>
        <v>1.0214274727724852</v>
      </c>
      <c r="AQ12">
        <f t="shared" si="18"/>
        <v>1.9999999999988916E-3</v>
      </c>
      <c r="AR12">
        <f t="shared" si="19"/>
        <v>7.9</v>
      </c>
      <c r="AS12">
        <f t="shared" si="20"/>
        <v>0</v>
      </c>
      <c r="AT12" t="str">
        <f t="shared" si="21"/>
        <v>DIGITAL</v>
      </c>
      <c r="AU12">
        <f t="shared" si="22"/>
        <v>7.9</v>
      </c>
      <c r="AV12" t="str">
        <f t="shared" si="23"/>
        <v>Mayor retorno probable: DIGITAL (+7,9 puntos finales potenciales).</v>
      </c>
    </row>
    <row r="13" spans="1:48" x14ac:dyDescent="0.3">
      <c r="A13" s="5">
        <v>51025709</v>
      </c>
      <c r="B13" s="5" t="str">
        <f>IFERROR(VLOOKUP(A13,VENTAS!$A$2:$B$1194,2,0),"")</f>
        <v>PRADES</v>
      </c>
      <c r="C13" s="5">
        <f>IFERROR(INDEX(VENTAS!$C$2:$E$1194,MATCH(A13,VENTAS!$A$2:$A$1194,0),MATCH(PARAMS_MODELO!$B$2,{"Q1","Q2","Q3"},0)),0)</f>
        <v>304453186.45999998</v>
      </c>
      <c r="D13" s="5">
        <f>IFERROR(INDEX(VENTAS!$F$2:$H$1194,MATCH(A13,VENTAS!$A$2:$A$1194,0),MATCH(PARAMS_MODELO!$B$2,{"Q1","Q2","Q3"},0)),0)</f>
        <v>309340264</v>
      </c>
      <c r="E13" s="8">
        <f t="shared" si="0"/>
        <v>1.6051983547369142E-2</v>
      </c>
      <c r="F13" s="12">
        <f>IF(E13&lt;=PARAMS_MODELO!$B$15,0,IF(E13&gt;=PARAMS_MODELO!$B$17,100,100*MIN(1,(E13-PARAMS_MODELO!$B$15)/(PARAMS_MODELO!$B$16-PARAMS_MODELO!$B$15))))*PARAMS_MODELO!$B$7</f>
        <v>5.6181942415791983</v>
      </c>
      <c r="G13" s="5">
        <f t="shared" si="1"/>
        <v>4887077.5400000215</v>
      </c>
      <c r="H13" s="5">
        <f>(PARAMS_MODELO!$B$20*(MAX(0,MIN(3,E13))/3)+PARAMS_MODELO!$B$21*(IFERROR(LN(1+MAX(0,G13))/LN(1+MAX(0,MAX($G$2:$G$1194))),0)))*100*PARAMS_MODELO!$B$8</f>
        <v>3.6666504364642618</v>
      </c>
      <c r="I13" s="8">
        <f>E13-PARAMS_MODELO!$B$5</f>
        <v>-0.16151085182815739</v>
      </c>
      <c r="J13" s="5">
        <f>IF(I13&lt;=PARAMS_MODELO!$B$18,0,IF(I13&gt;=PARAMS_MODELO!$B$19,100,100*(I13-PARAMS_MODELO!$B$18)/(PARAMS_MODELO!$B$19-PARAMS_MODELO!$B$18)))*PARAMS_MODELO!$B$9</f>
        <v>0</v>
      </c>
      <c r="K13" s="5">
        <f>IFERROR(CHOOSE(MATCH(PARAMS_MODELO!$B$2,{"Q1","Q2","Q3"},0),LOTO!$D13,LOTO!$F13,LOTO!$H13),0)</f>
        <v>14047500</v>
      </c>
      <c r="L13" s="8">
        <f t="shared" si="2"/>
        <v>4.5411159279284768E-2</v>
      </c>
      <c r="M13" s="5">
        <f>MIN(100,IF(PARAMS_MODELO!$B$23=0,0,100*L13/PARAMS_MODELO!$B$23))*PARAMS_MODELO!$B$10</f>
        <v>13.62334778378543</v>
      </c>
      <c r="N13" s="5">
        <f>IFERROR(VLOOKUP(A13,COMPLIANCE!$A$2:$F$1996,6,0),100)</f>
        <v>100</v>
      </c>
      <c r="O13" s="5">
        <f>N13*PARAMS_MODELO!$B$11</f>
        <v>10</v>
      </c>
      <c r="P13" s="5">
        <f>IFERROR(VLOOKUP(A13,DIGITAL!$A$2:$J$2000,7,0),100)</f>
        <v>49</v>
      </c>
      <c r="Q13" s="5">
        <f>IFERROR(P13,0)*PARAMS_MODELO!$B$12</f>
        <v>4.9000000000000004</v>
      </c>
      <c r="R13">
        <f t="shared" si="3"/>
        <v>37.808192461828888</v>
      </c>
      <c r="S13" s="5" t="str">
        <f>IFERROR(VLOOKUP(A13,CLIENTE!$A$2:$N$2000,13,0),1)</f>
        <v>Regular</v>
      </c>
      <c r="T13" s="5">
        <f>IFERROR(VLOOKUP(A13,CLIENTE!$A$2:$N$2000,14,0),1)</f>
        <v>1</v>
      </c>
      <c r="U13" s="5">
        <f t="shared" si="4"/>
        <v>37.808192461828888</v>
      </c>
      <c r="V13" s="5" t="str">
        <f>IF(U13&gt;=MAX(_xlfn.PERCENTILE.INC($U$2:$U$1194,PARAMS_MODELO!$B$50),PARAMS_MODELO!$B$45),"DIAMANTE",IF(U13&gt;=MAX(_xlfn.PERCENTILE.INC($U$2:$U$1194,PARAMS_MODELO!$B$51),PARAMS_MODELO!$B$46),"PLATINO",IF(U13&gt;=MAX(_xlfn.PERCENTILE.INC($U$2:$U$1194,PARAMS_MODELO!$B$52),PARAMS_MODELO!$B$47),"ORO",IF(U13&gt;=MAX(_xlfn.PERCENTILE.INC($U$2:$U$1194,PARAMS_MODELO!$B$53),PARAMS_MODELO!$B$48),"PLATA",IF(U13&gt;=1,"BRONCE","CERRADO")))))</f>
        <v>PLATA</v>
      </c>
      <c r="W13" s="5" t="str" cm="1">
        <f t="array" ref="W13">_xlfn.XLOOKUP(1, (HIST_SCORE!$B:$B=PARAMS_MODELO!$B$4) * (HIST_SCORE!$C:$C=A13), HIST_SCORE!$E:$E, "No encontrado")</f>
        <v>ORO</v>
      </c>
      <c r="X13" s="5" t="str">
        <f>_xlfn.LET(_xlpm.act,MATCH(V13,{"DIAMANTE";"PLATINO";"ORO";"PLATA";"BRONCE";"CERRADO"},0),_xlpm.ant,MATCH(W13,{"DIAMANTE";"PLATINO";"ORO";"PLATA";"BRONCE";"CERRADO"},0),IF(_xlpm.act&lt;_xlpm.ant,"Mejora ↑",IF(_xlpm.act&gt;_xlpm.ant,"Baja ↓","Estable →")))</f>
        <v>Baja ↓</v>
      </c>
      <c r="Y13" s="5">
        <f>IFERROR(U13-SUMIFS(HIST_SCORE!$D:$D,HIST_SCORE!$B:$B,PARAMS_MODELO!$B$4,HIST_SCORE!$C:$C,$A13),"")</f>
        <v>-29.788114425537536</v>
      </c>
      <c r="Z13" s="5" t="str">
        <f t="shared" si="5"/>
        <v>↓ Baja</v>
      </c>
      <c r="AA13" s="5">
        <f t="shared" si="6"/>
        <v>796</v>
      </c>
      <c r="AB13" s="5">
        <f>IFERROR(SUMIFS(HIST_SCORE!$F:$F,HIST_SCORE!$B:$B,PARAMS_MODELO!$B$4,HIST_SCORE!$C:$C,$A13),"")</f>
        <v>559</v>
      </c>
      <c r="AC13" s="5">
        <f t="shared" si="7"/>
        <v>-237</v>
      </c>
      <c r="AD13" t="str">
        <f t="shared" si="9"/>
        <v/>
      </c>
      <c r="AE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CERRADO",1,IF(V13="BRONCE",_xlpm.cPl,IF(V13="PLATA",_xlpm.cO,IF(V13="ORO",_xlpm.cP,IF(V13="PLATINO",_xlpm.cD,999))))))</f>
        <v>63.199193273331495</v>
      </c>
      <c r="AF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CERRADO",0,IF(V13="BRONCE",1,IF(V13="PLATA",_xlpm.cPl,IF(V13="ORO",_xlpm.cO,IF(V13="PLATINO",_xlpm.cP,_xlpm.cD))))))</f>
        <v>24.506573482968111</v>
      </c>
      <c r="AG13">
        <f t="shared" si="10"/>
        <v>25.391000811502607</v>
      </c>
      <c r="AH13" t="str">
        <f t="shared" si="11"/>
        <v>VENTAS</v>
      </c>
      <c r="AI13" t="str">
        <f t="shared" si="8"/>
        <v>🎯 Para subir de categoría, eje VENTAS / DIFERENCIAL vs LOTBA (J). Acción: metas semanales + activación comercial + seguimiento del asesor. ΔR aprox: 25,4</v>
      </c>
      <c r="AJ13" s="26">
        <f>_xlfn.LET(_xlpm.piso,AF13,_xlpm.corte,AE13,_xlpm.prog,IF(_xlpm.corte&lt;=_xlpm.piso,0,MAX(0,MIN(1,(U13-_xlpm.piso)/(_xlpm.corte-_xlpm.piso)))),_xlpm.orden,{"DIAMANTE";"PLATINO";"ORO";"PLATA";"BRONCE";"CERRADO"},_xlpm.act,IFERROR(MATCH(V13,_xlpm.orden,0),6),_xlpm.ant,IFERROR(MATCH(W13,_xlpm.orden,0),6),_xlpm.ajmov,IF(_xlpm.act&lt;_xlpm.ant,0.08,IF(_xlpm.act&gt;_xlpm.ant,-0.08,0)),_xlpm.ajcli,IF(T13&lt;0.95,-0.06,0),_xlpm.prob,MAX(0,MIN(1,_xlpm.prog+_xlpm.ajmov+_xlpm.ajcli)),IF(OR(V13="DIAMANTE",V13="CERRADO"),0,ROUND(_xlpm.prob,2)))</f>
        <v>0.26</v>
      </c>
      <c r="AK13" t="str">
        <f t="shared" si="12"/>
        <v>Faltan 25,4 puntos base para subir a la siguiente categoría</v>
      </c>
      <c r="AL13" t="str">
        <f t="shared" si="13"/>
        <v>Margen de seguridad: 13,3 puntos</v>
      </c>
      <c r="AM13">
        <f t="shared" si="14"/>
        <v>0.7</v>
      </c>
      <c r="AN13" t="str">
        <f t="shared" si="15"/>
        <v>PRIORIDAD ALTA – requiere intervención inmediata</v>
      </c>
      <c r="AO13">
        <f t="shared" si="16"/>
        <v>55.577724597252129</v>
      </c>
      <c r="AP13">
        <f t="shared" si="17"/>
        <v>1.3766522162145698</v>
      </c>
      <c r="AQ13">
        <f t="shared" si="18"/>
        <v>0</v>
      </c>
      <c r="AR13">
        <f t="shared" si="19"/>
        <v>5.0999999999999996</v>
      </c>
      <c r="AS13">
        <f t="shared" si="20"/>
        <v>0</v>
      </c>
      <c r="AT13" t="str">
        <f t="shared" si="21"/>
        <v>VENTAS</v>
      </c>
      <c r="AU13">
        <f t="shared" si="22"/>
        <v>55.577724597252129</v>
      </c>
      <c r="AV13" t="str">
        <f t="shared" si="23"/>
        <v>Mayor retorno probable: VENTAS (+55,6 puntos finales potenciales).</v>
      </c>
    </row>
    <row r="14" spans="1:48" x14ac:dyDescent="0.3">
      <c r="A14" s="5">
        <v>51019709</v>
      </c>
      <c r="B14" s="5" t="str">
        <f>IFERROR(VLOOKUP(A14,VENTAS!$A$2:$B$1194,2,0),"")</f>
        <v>PRADES</v>
      </c>
      <c r="C14" s="5">
        <f>IFERROR(INDEX(VENTAS!$C$2:$E$1194,MATCH(A14,VENTAS!$A$2:$A$1194,0),MATCH(PARAMS_MODELO!$B$2,{"Q1","Q2","Q3"},0)),0)</f>
        <v>222969609.25999999</v>
      </c>
      <c r="D14" s="5">
        <f>IFERROR(INDEX(VENTAS!$F$2:$H$1194,MATCH(A14,VENTAS!$A$2:$A$1194,0),MATCH(PARAMS_MODELO!$B$2,{"Q1","Q2","Q3"},0)),0)</f>
        <v>305980573</v>
      </c>
      <c r="E14" s="8">
        <f t="shared" si="0"/>
        <v>0.37229721133521276</v>
      </c>
      <c r="F14" s="12">
        <f>IF(E14&lt;=PARAMS_MODELO!$B$15,0,IF(E14&gt;=PARAMS_MODELO!$B$17,100,100*MIN(1,(E14-PARAMS_MODELO!$B$15)/(PARAMS_MODELO!$B$16-PARAMS_MODELO!$B$15))))*PARAMS_MODELO!$B$7</f>
        <v>35</v>
      </c>
      <c r="G14" s="5">
        <f t="shared" si="1"/>
        <v>83010963.74000001</v>
      </c>
      <c r="H14" s="5">
        <f>(PARAMS_MODELO!$B$20*(MAX(0,MIN(3,E14))/3)+PARAMS_MODELO!$B$21*(IFERROR(LN(1+MAX(0,G14))/LN(1+MAX(0,MAX($G$2:$G$1194))),0)))*100*PARAMS_MODELO!$B$8</f>
        <v>5.5774576824006772</v>
      </c>
      <c r="I14" s="8">
        <f>E14-PARAMS_MODELO!$B$5</f>
        <v>0.19473437595968623</v>
      </c>
      <c r="J14" s="5">
        <f>IF(I14&lt;=PARAMS_MODELO!$B$18,0,IF(I14&gt;=PARAMS_MODELO!$B$19,100,100*(I14-PARAMS_MODELO!$B$18)/(PARAMS_MODELO!$B$19-PARAMS_MODELO!$B$18)))*PARAMS_MODELO!$B$9</f>
        <v>15</v>
      </c>
      <c r="K14" s="5">
        <f>IFERROR(CHOOSE(MATCH(PARAMS_MODELO!$B$2,{"Q1","Q2","Q3"},0),LOTO!$D14,LOTO!$F14,LOTO!$H14),0)</f>
        <v>14007500</v>
      </c>
      <c r="L14" s="8">
        <f t="shared" si="2"/>
        <v>4.577905016211601E-2</v>
      </c>
      <c r="M14" s="5">
        <f>MIN(100,IF(PARAMS_MODELO!$B$23=0,0,100*L14/PARAMS_MODELO!$B$23))*PARAMS_MODELO!$B$10</f>
        <v>13.733715048634801</v>
      </c>
      <c r="N14" s="5">
        <f>IFERROR(VLOOKUP(A14,COMPLIANCE!$A$2:$F$1996,6,0),100)</f>
        <v>100</v>
      </c>
      <c r="O14" s="5">
        <f>N14*PARAMS_MODELO!$B$11</f>
        <v>10</v>
      </c>
      <c r="P14" s="5">
        <f>IFERROR(VLOOKUP(A14,DIGITAL!$A$2:$J$2000,7,0),100)</f>
        <v>85</v>
      </c>
      <c r="Q14" s="5">
        <f>IFERROR(P14,0)*PARAMS_MODELO!$B$12</f>
        <v>8.5</v>
      </c>
      <c r="R14">
        <f t="shared" si="3"/>
        <v>87.811172731035484</v>
      </c>
      <c r="S14" s="5" t="str">
        <f>IFERROR(VLOOKUP(A14,CLIENTE!$A$2:$N$2000,13,0),1)</f>
        <v>Bueno</v>
      </c>
      <c r="T14" s="5">
        <f>IFERROR(VLOOKUP(A14,CLIENTE!$A$2:$N$2000,14,0),1)</f>
        <v>1.1000000000000001</v>
      </c>
      <c r="U14" s="5">
        <f t="shared" si="4"/>
        <v>96.592290004139045</v>
      </c>
      <c r="V14" s="5" t="str">
        <f>IF(U14&gt;=MAX(_xlfn.PERCENTILE.INC($U$2:$U$1194,PARAMS_MODELO!$B$50),PARAMS_MODELO!$B$45),"DIAMANTE",IF(U14&gt;=MAX(_xlfn.PERCENTILE.INC($U$2:$U$1194,PARAMS_MODELO!$B$51),PARAMS_MODELO!$B$46),"PLATINO",IF(U14&gt;=MAX(_xlfn.PERCENTILE.INC($U$2:$U$1194,PARAMS_MODELO!$B$52),PARAMS_MODELO!$B$47),"ORO",IF(U14&gt;=MAX(_xlfn.PERCENTILE.INC($U$2:$U$1194,PARAMS_MODELO!$B$53),PARAMS_MODELO!$B$48),"PLATA",IF(U14&gt;=1,"BRONCE","CERRADO")))))</f>
        <v>DIAMANTE</v>
      </c>
      <c r="W14" s="5" t="str" cm="1">
        <f t="array" ref="W14">_xlfn.XLOOKUP(1, (HIST_SCORE!$B:$B=PARAMS_MODELO!$B$4) * (HIST_SCORE!$C:$C=A14), HIST_SCORE!$E:$E, "No encontrado")</f>
        <v>ORO</v>
      </c>
      <c r="X14" s="5" t="str">
        <f>_xlfn.LET(_xlpm.act,MATCH(V14,{"DIAMANTE";"PLATINO";"ORO";"PLATA";"BRONCE";"CERRADO"},0),_xlpm.ant,MATCH(W14,{"DIAMANTE";"PLATINO";"ORO";"PLATA";"BRONCE";"CERRADO"},0),IF(_xlpm.act&lt;_xlpm.ant,"Mejora ↑",IF(_xlpm.act&gt;_xlpm.ant,"Baja ↓","Estable →")))</f>
        <v>Mejora ↑</v>
      </c>
      <c r="Y14" s="5">
        <f>IFERROR(U14-SUMIFS(HIST_SCORE!$D:$D,HIST_SCORE!$B:$B,PARAMS_MODELO!$B$4,HIST_SCORE!$C:$C,$A14),"")</f>
        <v>16.544943237823588</v>
      </c>
      <c r="Z14" s="5" t="str">
        <f t="shared" si="5"/>
        <v>↑ Mejora</v>
      </c>
      <c r="AA14" s="5">
        <f t="shared" si="6"/>
        <v>51</v>
      </c>
      <c r="AB14" s="5">
        <f>IFERROR(SUMIFS(HIST_SCORE!$F:$F,HIST_SCORE!$B:$B,PARAMS_MODELO!$B$4,HIST_SCORE!$C:$C,$A14),"")</f>
        <v>419</v>
      </c>
      <c r="AC14" s="5">
        <f t="shared" si="7"/>
        <v>368</v>
      </c>
      <c r="AD14" t="str">
        <f t="shared" si="9"/>
        <v/>
      </c>
      <c r="AE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CERRADO",1,IF(V14="BRONCE",_xlpm.cPl,IF(V14="PLATA",_xlpm.cO,IF(V14="ORO",_xlpm.cP,IF(V14="PLATINO",_xlpm.cD,999))))))</f>
        <v>999</v>
      </c>
      <c r="AF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CERRADO",0,IF(V14="BRONCE",1,IF(V14="PLATA",_xlpm.cPl,IF(V14="ORO",_xlpm.cO,IF(V14="PLATINO",_xlpm.cP,_xlpm.cD))))))</f>
        <v>96.054919694466676</v>
      </c>
      <c r="AG14">
        <f t="shared" si="10"/>
        <v>820.3706454507826</v>
      </c>
      <c r="AH14" t="str">
        <f t="shared" si="11"/>
        <v>SOSTENER</v>
      </c>
      <c r="AI14" t="str">
        <f t="shared" si="8"/>
        <v>✅ Mantener desempeño y monitorear variaciones para sostener categoría.</v>
      </c>
      <c r="AJ14" s="26">
        <f>_xlfn.LET(_xlpm.piso,AF14,_xlpm.corte,AE14,_xlpm.prog,IF(_xlpm.corte&lt;=_xlpm.piso,0,MAX(0,MIN(1,(U14-_xlpm.piso)/(_xlpm.corte-_xlpm.piso)))),_xlpm.orden,{"DIAMANTE";"PLATINO";"ORO";"PLATA";"BRONCE";"CERRADO"},_xlpm.act,IFERROR(MATCH(V14,_xlpm.orden,0),6),_xlpm.ant,IFERROR(MATCH(W14,_xlpm.orden,0),6),_xlpm.ajmov,IF(_xlpm.act&lt;_xlpm.ant,0.08,IF(_xlpm.act&gt;_xlpm.ant,-0.08,0)),_xlpm.ajcli,IF(T14&lt;0.95,-0.06,0),_xlpm.prob,MAX(0,MIN(1,_xlpm.prog+_xlpm.ajmov+_xlpm.ajcli)),IF(OR(V14="DIAMANTE",V14="CERRADO"),0,ROUND(_xlpm.prob,2)))</f>
        <v>0</v>
      </c>
      <c r="AK14" t="str">
        <f t="shared" si="12"/>
        <v>No aplica</v>
      </c>
      <c r="AL14" t="str">
        <f t="shared" si="13"/>
        <v>Margen de seguridad: 0,5 puntos</v>
      </c>
      <c r="AM14">
        <f t="shared" si="14"/>
        <v>0.8</v>
      </c>
      <c r="AN14" t="str">
        <f t="shared" si="15"/>
        <v>PRIORIDAD ALTA – requiere intervención inmediata</v>
      </c>
      <c r="AO14">
        <f t="shared" si="16"/>
        <v>10.213622752184399</v>
      </c>
      <c r="AP14">
        <f t="shared" si="17"/>
        <v>1.3929134465017188</v>
      </c>
      <c r="AQ14">
        <f t="shared" si="18"/>
        <v>0</v>
      </c>
      <c r="AR14">
        <f t="shared" si="19"/>
        <v>1.6500000000000001</v>
      </c>
      <c r="AS14">
        <f t="shared" si="20"/>
        <v>0</v>
      </c>
      <c r="AT14" t="str">
        <f t="shared" si="21"/>
        <v>VENTAS</v>
      </c>
      <c r="AU14">
        <f t="shared" si="22"/>
        <v>10.213622752184399</v>
      </c>
      <c r="AV14" t="str">
        <f t="shared" si="23"/>
        <v>Mayor retorno probable: VENTAS (+10,2 puntos finales potenciales).</v>
      </c>
    </row>
    <row r="15" spans="1:48" x14ac:dyDescent="0.3">
      <c r="A15" s="5">
        <v>51019377</v>
      </c>
      <c r="B15" s="5" t="str">
        <f>IFERROR(VLOOKUP(A15,VENTAS!$A$2:$B$1194,2,0),"")</f>
        <v>PRADES</v>
      </c>
      <c r="C15" s="5">
        <f>IFERROR(INDEX(VENTAS!$C$2:$E$1194,MATCH(A15,VENTAS!$A$2:$A$1194,0),MATCH(PARAMS_MODELO!$B$2,{"Q1","Q2","Q3"},0)),0)</f>
        <v>226548709.94999999</v>
      </c>
      <c r="D15" s="5">
        <f>IFERROR(INDEX(VENTAS!$F$2:$H$1194,MATCH(A15,VENTAS!$A$2:$A$1194,0),MATCH(PARAMS_MODELO!$B$2,{"Q1","Q2","Q3"},0)),0)</f>
        <v>301487799</v>
      </c>
      <c r="E15" s="8">
        <f t="shared" si="0"/>
        <v>0.33078576817559147</v>
      </c>
      <c r="F15" s="12">
        <f>IF(E15&lt;=PARAMS_MODELO!$B$15,0,IF(E15&gt;=PARAMS_MODELO!$B$17,100,100*MIN(1,(E15-PARAMS_MODELO!$B$15)/(PARAMS_MODELO!$B$16-PARAMS_MODELO!$B$15))))*PARAMS_MODELO!$B$7</f>
        <v>35</v>
      </c>
      <c r="G15" s="5">
        <f t="shared" si="1"/>
        <v>74939089.050000012</v>
      </c>
      <c r="H15" s="5">
        <f>(PARAMS_MODELO!$B$20*(MAX(0,MIN(3,E15))/3)+PARAMS_MODELO!$B$21*(IFERROR(LN(1+MAX(0,G15))/LN(1+MAX(0,MAX($G$2:$G$1194))),0)))*100*PARAMS_MODELO!$B$8</f>
        <v>5.4081877738728164</v>
      </c>
      <c r="I15" s="8">
        <f>E15-PARAMS_MODELO!$B$5</f>
        <v>0.15322293280006494</v>
      </c>
      <c r="J15" s="5">
        <f>IF(I15&lt;=PARAMS_MODELO!$B$18,0,IF(I15&gt;=PARAMS_MODELO!$B$19,100,100*(I15-PARAMS_MODELO!$B$18)/(PARAMS_MODELO!$B$19-PARAMS_MODELO!$B$18)))*PARAMS_MODELO!$B$9</f>
        <v>15</v>
      </c>
      <c r="K15" s="5">
        <f>IFERROR(CHOOSE(MATCH(PARAMS_MODELO!$B$2,{"Q1","Q2","Q3"},0),LOTO!$D15,LOTO!$F15,LOTO!$H15),0)</f>
        <v>13857500</v>
      </c>
      <c r="L15" s="8">
        <f t="shared" si="2"/>
        <v>4.5963717423934625E-2</v>
      </c>
      <c r="M15" s="5">
        <f>MIN(100,IF(PARAMS_MODELO!$B$23=0,0,100*L15/PARAMS_MODELO!$B$23))*PARAMS_MODELO!$B$10</f>
        <v>13.789115227180387</v>
      </c>
      <c r="N15" s="5">
        <f>IFERROR(VLOOKUP(A15,COMPLIANCE!$A$2:$F$1996,6,0),100)</f>
        <v>100</v>
      </c>
      <c r="O15" s="5">
        <f>N15*PARAMS_MODELO!$B$11</f>
        <v>10</v>
      </c>
      <c r="P15" s="5">
        <f>IFERROR(VLOOKUP(A15,DIGITAL!$A$2:$J$2000,7,0),100)</f>
        <v>67</v>
      </c>
      <c r="Q15" s="5">
        <f>IFERROR(P15,0)*PARAMS_MODELO!$B$12</f>
        <v>6.7</v>
      </c>
      <c r="R15">
        <f t="shared" si="3"/>
        <v>85.897303001053203</v>
      </c>
      <c r="S15" s="5" t="str">
        <f>IFERROR(VLOOKUP(A15,CLIENTE!$A$2:$N$2000,13,0),1)</f>
        <v>Regular</v>
      </c>
      <c r="T15" s="5">
        <f>IFERROR(VLOOKUP(A15,CLIENTE!$A$2:$N$2000,14,0),1)</f>
        <v>1</v>
      </c>
      <c r="U15" s="5">
        <f t="shared" si="4"/>
        <v>85.897303001053203</v>
      </c>
      <c r="V15" s="5" t="str">
        <f>IF(U15&gt;=MAX(_xlfn.PERCENTILE.INC($U$2:$U$1194,PARAMS_MODELO!$B$50),PARAMS_MODELO!$B$45),"DIAMANTE",IF(U15&gt;=MAX(_xlfn.PERCENTILE.INC($U$2:$U$1194,PARAMS_MODELO!$B$51),PARAMS_MODELO!$B$46),"PLATINO",IF(U15&gt;=MAX(_xlfn.PERCENTILE.INC($U$2:$U$1194,PARAMS_MODELO!$B$52),PARAMS_MODELO!$B$47),"ORO",IF(U15&gt;=MAX(_xlfn.PERCENTILE.INC($U$2:$U$1194,PARAMS_MODELO!$B$53),PARAMS_MODELO!$B$48),"PLATA",IF(U15&gt;=1,"BRONCE","CERRADO")))))</f>
        <v>ORO</v>
      </c>
      <c r="W15" s="5" t="str" cm="1">
        <f t="array" ref="W15">_xlfn.XLOOKUP(1, (HIST_SCORE!$B:$B=PARAMS_MODELO!$B$4) * (HIST_SCORE!$C:$C=A15), HIST_SCORE!$E:$E, "No encontrado")</f>
        <v>PLATINO</v>
      </c>
      <c r="X15" s="5" t="str">
        <f>_xlfn.LET(_xlpm.act,MATCH(V15,{"DIAMANTE";"PLATINO";"ORO";"PLATA";"BRONCE";"CERRADO"},0),_xlpm.ant,MATCH(W15,{"DIAMANTE";"PLATINO";"ORO";"PLATA";"BRONCE";"CERRADO"},0),IF(_xlpm.act&lt;_xlpm.ant,"Mejora ↑",IF(_xlpm.act&gt;_xlpm.ant,"Baja ↓","Estable →")))</f>
        <v>Baja ↓</v>
      </c>
      <c r="Y15" s="5">
        <f>IFERROR(U15-SUMIFS(HIST_SCORE!$D:$D,HIST_SCORE!$B:$B,PARAMS_MODELO!$B$4,HIST_SCORE!$C:$C,$A15),"")</f>
        <v>-1.8430829549310062</v>
      </c>
      <c r="Z15" s="5" t="str">
        <f t="shared" si="5"/>
        <v>→ Estable</v>
      </c>
      <c r="AA15" s="5">
        <f t="shared" si="6"/>
        <v>255</v>
      </c>
      <c r="AB15" s="5">
        <f>IFERROR(SUMIFS(HIST_SCORE!$F:$F,HIST_SCORE!$B:$B,PARAMS_MODELO!$B$4,HIST_SCORE!$C:$C,$A15),"")</f>
        <v>188</v>
      </c>
      <c r="AC15" s="5">
        <f t="shared" si="7"/>
        <v>-67</v>
      </c>
      <c r="AD15" t="str">
        <f t="shared" si="9"/>
        <v>Sostener base y reforzar mix</v>
      </c>
      <c r="AE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CERRADO",1,IF(V15="BRONCE",_xlpm.cPl,IF(V15="PLATA",_xlpm.cO,IF(V15="ORO",_xlpm.cP,IF(V15="PLATINO",_xlpm.cD,999))))))</f>
        <v>86.439123873763251</v>
      </c>
      <c r="AF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CERRADO",0,IF(V15="BRONCE",1,IF(V15="PLATA",_xlpm.cPl,IF(V15="ORO",_xlpm.cO,IF(V15="PLATINO",_xlpm.cP,_xlpm.cD))))))</f>
        <v>63.199193273331495</v>
      </c>
      <c r="AG15">
        <f t="shared" si="10"/>
        <v>0.54182087271004775</v>
      </c>
      <c r="AH15" t="str">
        <f t="shared" si="11"/>
        <v>VENTAS</v>
      </c>
      <c r="AI15" t="str">
        <f t="shared" si="8"/>
        <v>🎯 Para subir de categoría, eje VENTAS / IMPACTO ABSOLUTO (H). Acción: metas semanales + activación comercial + seguimiento del asesor. ΔR aprox: 0,5</v>
      </c>
      <c r="AJ15" s="26">
        <f>_xlfn.LET(_xlpm.piso,AF15,_xlpm.corte,AE15,_xlpm.prog,IF(_xlpm.corte&lt;=_xlpm.piso,0,MAX(0,MIN(1,(U15-_xlpm.piso)/(_xlpm.corte-_xlpm.piso)))),_xlpm.orden,{"DIAMANTE";"PLATINO";"ORO";"PLATA";"BRONCE";"CERRADO"},_xlpm.act,IFERROR(MATCH(V15,_xlpm.orden,0),6),_xlpm.ant,IFERROR(MATCH(W15,_xlpm.orden,0),6),_xlpm.ajmov,IF(_xlpm.act&lt;_xlpm.ant,0.08,IF(_xlpm.act&gt;_xlpm.ant,-0.08,0)),_xlpm.ajcli,IF(T15&lt;0.95,-0.06,0),_xlpm.prob,MAX(0,MIN(1,_xlpm.prog+_xlpm.ajmov+_xlpm.ajcli)),IF(OR(V15="DIAMANTE",V15="CERRADO"),0,ROUND(_xlpm.prob,2)))</f>
        <v>0.9</v>
      </c>
      <c r="AK15" t="str">
        <f t="shared" si="12"/>
        <v>Faltan 0,5 puntos base para subir a la siguiente categoría</v>
      </c>
      <c r="AL15" t="str">
        <f t="shared" si="13"/>
        <v>Margen de seguridad: 22,7 puntos</v>
      </c>
      <c r="AM15">
        <f t="shared" si="14"/>
        <v>0.06</v>
      </c>
      <c r="AN15" t="str">
        <f t="shared" si="15"/>
        <v>PRIORIDAD BAJA – control normal</v>
      </c>
      <c r="AO15">
        <f t="shared" si="16"/>
        <v>9.4543815014227661</v>
      </c>
      <c r="AP15">
        <f t="shared" si="17"/>
        <v>1.2108847728196128</v>
      </c>
      <c r="AQ15">
        <f t="shared" si="18"/>
        <v>0</v>
      </c>
      <c r="AR15">
        <f t="shared" si="19"/>
        <v>3.3</v>
      </c>
      <c r="AS15">
        <f t="shared" si="20"/>
        <v>0</v>
      </c>
      <c r="AT15" t="str">
        <f t="shared" si="21"/>
        <v>VENTAS</v>
      </c>
      <c r="AU15">
        <f t="shared" si="22"/>
        <v>9.4543815014227661</v>
      </c>
      <c r="AV15" t="str">
        <f t="shared" si="23"/>
        <v>Mayor retorno probable: VENTAS (+9,5 puntos finales potenciales).</v>
      </c>
    </row>
    <row r="16" spans="1:48" x14ac:dyDescent="0.3">
      <c r="A16" s="5">
        <v>51017447</v>
      </c>
      <c r="B16" s="5" t="str">
        <f>IFERROR(VLOOKUP(A16,VENTAS!$A$2:$B$1194,2,0),"")</f>
        <v>ROBERTS</v>
      </c>
      <c r="C16" s="5">
        <f>IFERROR(INDEX(VENTAS!$C$2:$E$1194,MATCH(A16,VENTAS!$A$2:$A$1194,0),MATCH(PARAMS_MODELO!$B$2,{"Q1","Q2","Q3"},0)),0)</f>
        <v>203069440.61000001</v>
      </c>
      <c r="D16" s="5">
        <f>IFERROR(INDEX(VENTAS!$F$2:$H$1194,MATCH(A16,VENTAS!$A$2:$A$1194,0),MATCH(PARAMS_MODELO!$B$2,{"Q1","Q2","Q3"},0)),0)</f>
        <v>298156496</v>
      </c>
      <c r="E16" s="8">
        <f t="shared" si="0"/>
        <v>0.46824896500609903</v>
      </c>
      <c r="F16" s="12">
        <f>IF(E16&lt;=PARAMS_MODELO!$B$15,0,IF(E16&gt;=PARAMS_MODELO!$B$17,100,100*MIN(1,(E16-PARAMS_MODELO!$B$15)/(PARAMS_MODELO!$B$16-PARAMS_MODELO!$B$15))))*PARAMS_MODELO!$B$7</f>
        <v>35</v>
      </c>
      <c r="G16" s="5">
        <f t="shared" si="1"/>
        <v>95087055.389999986</v>
      </c>
      <c r="H16" s="5">
        <f>(PARAMS_MODELO!$B$20*(MAX(0,MIN(3,E16))/3)+PARAMS_MODELO!$B$21*(IFERROR(LN(1+MAX(0,G16))/LN(1+MAX(0,MAX($G$2:$G$1194))),0)))*100*PARAMS_MODELO!$B$8</f>
        <v>5.9451269597065108</v>
      </c>
      <c r="I16" s="8">
        <f>E16-PARAMS_MODELO!$B$5</f>
        <v>0.2906861296305725</v>
      </c>
      <c r="J16" s="5">
        <f>IF(I16&lt;=PARAMS_MODELO!$B$18,0,IF(I16&gt;=PARAMS_MODELO!$B$19,100,100*(I16-PARAMS_MODELO!$B$18)/(PARAMS_MODELO!$B$19-PARAMS_MODELO!$B$18)))*PARAMS_MODELO!$B$9</f>
        <v>15</v>
      </c>
      <c r="K16" s="5">
        <f>IFERROR(CHOOSE(MATCH(PARAMS_MODELO!$B$2,{"Q1","Q2","Q3"},0),LOTO!$D16,LOTO!$F16,LOTO!$H16),0)</f>
        <v>13795000</v>
      </c>
      <c r="L16" s="8">
        <f t="shared" si="2"/>
        <v>4.6267648651196917E-2</v>
      </c>
      <c r="M16" s="5">
        <f>MIN(100,IF(PARAMS_MODELO!$B$23=0,0,100*L16/PARAMS_MODELO!$B$23))*PARAMS_MODELO!$B$10</f>
        <v>13.880294595359073</v>
      </c>
      <c r="N16" s="5">
        <f>IFERROR(VLOOKUP(A16,COMPLIANCE!$A$2:$F$1996,6,0),100)</f>
        <v>100</v>
      </c>
      <c r="O16" s="5">
        <f>N16*PARAMS_MODELO!$B$11</f>
        <v>10</v>
      </c>
      <c r="P16" s="5">
        <f>IFERROR(VLOOKUP(A16,DIGITAL!$A$2:$J$2000,7,0),100)</f>
        <v>19</v>
      </c>
      <c r="Q16" s="5">
        <f>IFERROR(P16,0)*PARAMS_MODELO!$B$12</f>
        <v>1.9000000000000001</v>
      </c>
      <c r="R16">
        <f t="shared" si="3"/>
        <v>81.725421555065594</v>
      </c>
      <c r="S16" s="5" t="str">
        <f>IFERROR(VLOOKUP(A16,CLIENTE!$A$2:$N$2000,13,0),1)</f>
        <v>Regular</v>
      </c>
      <c r="T16" s="5">
        <f>IFERROR(VLOOKUP(A16,CLIENTE!$A$2:$N$2000,14,0),1)</f>
        <v>1</v>
      </c>
      <c r="U16" s="5">
        <f t="shared" si="4"/>
        <v>81.725421555065594</v>
      </c>
      <c r="V16" s="5" t="str">
        <f>IF(U16&gt;=MAX(_xlfn.PERCENTILE.INC($U$2:$U$1194,PARAMS_MODELO!$B$50),PARAMS_MODELO!$B$45),"DIAMANTE",IF(U16&gt;=MAX(_xlfn.PERCENTILE.INC($U$2:$U$1194,PARAMS_MODELO!$B$51),PARAMS_MODELO!$B$46),"PLATINO",IF(U16&gt;=MAX(_xlfn.PERCENTILE.INC($U$2:$U$1194,PARAMS_MODELO!$B$52),PARAMS_MODELO!$B$47),"ORO",IF(U16&gt;=MAX(_xlfn.PERCENTILE.INC($U$2:$U$1194,PARAMS_MODELO!$B$53),PARAMS_MODELO!$B$48),"PLATA",IF(U16&gt;=1,"BRONCE","CERRADO")))))</f>
        <v>ORO</v>
      </c>
      <c r="W16" s="5" t="str" cm="1">
        <f t="array" ref="W16">_xlfn.XLOOKUP(1, (HIST_SCORE!$B:$B=PARAMS_MODELO!$B$4) * (HIST_SCORE!$C:$C=A16), HIST_SCORE!$E:$E, "No encontrado")</f>
        <v>ORO</v>
      </c>
      <c r="X16" s="5" t="str">
        <f>_xlfn.LET(_xlpm.act,MATCH(V16,{"DIAMANTE";"PLATINO";"ORO";"PLATA";"BRONCE";"CERRADO"},0),_xlpm.ant,MATCH(W16,{"DIAMANTE";"PLATINO";"ORO";"PLATA";"BRONCE";"CERRADO"},0),IF(_xlpm.act&lt;_xlpm.ant,"Mejora ↑",IF(_xlpm.act&gt;_xlpm.ant,"Baja ↓","Estable →")))</f>
        <v>Estable →</v>
      </c>
      <c r="Y16" s="5">
        <f>IFERROR(U16-SUMIFS(HIST_SCORE!$D:$D,HIST_SCORE!$B:$B,PARAMS_MODELO!$B$4,HIST_SCORE!$C:$C,$A16),"")</f>
        <v>-0.46523609461402771</v>
      </c>
      <c r="Z16" s="5" t="str">
        <f t="shared" si="5"/>
        <v>→ Estable</v>
      </c>
      <c r="AA16" s="5">
        <f t="shared" si="6"/>
        <v>393</v>
      </c>
      <c r="AB16" s="5">
        <f>IFERROR(SUMIFS(HIST_SCORE!$F:$F,HIST_SCORE!$B:$B,PARAMS_MODELO!$B$4,HIST_SCORE!$C:$C,$A16),"")</f>
        <v>362</v>
      </c>
      <c r="AC16" s="5">
        <f t="shared" si="7"/>
        <v>-31</v>
      </c>
      <c r="AD16" t="str">
        <f t="shared" si="9"/>
        <v>Sostener base y reforzar mix</v>
      </c>
      <c r="AE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CERRADO",1,IF(V16="BRONCE",_xlpm.cPl,IF(V16="PLATA",_xlpm.cO,IF(V16="ORO",_xlpm.cP,IF(V16="PLATINO",_xlpm.cD,999))))))</f>
        <v>86.439123873763251</v>
      </c>
      <c r="AF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CERRADO",0,IF(V16="BRONCE",1,IF(V16="PLATA",_xlpm.cPl,IF(V16="ORO",_xlpm.cO,IF(V16="PLATINO",_xlpm.cP,_xlpm.cD))))))</f>
        <v>63.199193273331495</v>
      </c>
      <c r="AG16">
        <f t="shared" si="10"/>
        <v>4.7137023186976563</v>
      </c>
      <c r="AH16" t="str">
        <f t="shared" si="11"/>
        <v>VENTAS</v>
      </c>
      <c r="AI16" t="str">
        <f t="shared" si="8"/>
        <v>🎯 Para subir de categoría, eje VENTAS / IMPACTO ABSOLUTO (H). Acción: metas semanales + activación comercial + seguimiento del asesor. ΔR aprox: 4,7</v>
      </c>
      <c r="AJ16" s="26">
        <f>_xlfn.LET(_xlpm.piso,AF16,_xlpm.corte,AE16,_xlpm.prog,IF(_xlpm.corte&lt;=_xlpm.piso,0,MAX(0,MIN(1,(U16-_xlpm.piso)/(_xlpm.corte-_xlpm.piso)))),_xlpm.orden,{"DIAMANTE";"PLATINO";"ORO";"PLATA";"BRONCE";"CERRADO"},_xlpm.act,IFERROR(MATCH(V16,_xlpm.orden,0),6),_xlpm.ant,IFERROR(MATCH(W16,_xlpm.orden,0),6),_xlpm.ajmov,IF(_xlpm.act&lt;_xlpm.ant,0.08,IF(_xlpm.act&gt;_xlpm.ant,-0.08,0)),_xlpm.ajcli,IF(T16&lt;0.95,-0.06,0),_xlpm.prob,MAX(0,MIN(1,_xlpm.prog+_xlpm.ajmov+_xlpm.ajcli)),IF(OR(V16="DIAMANTE",V16="CERRADO"),0,ROUND(_xlpm.prob,2)))</f>
        <v>0.8</v>
      </c>
      <c r="AK16" t="str">
        <f t="shared" si="12"/>
        <v>Faltan 4,7 puntos base para subir a la siguiente categoría</v>
      </c>
      <c r="AL16" t="str">
        <f t="shared" si="13"/>
        <v>Margen de seguridad: 18,5 puntos</v>
      </c>
      <c r="AM16">
        <f t="shared" si="14"/>
        <v>0.27</v>
      </c>
      <c r="AN16" t="str">
        <f t="shared" si="15"/>
        <v>PRIORIDAD BAJA – control normal</v>
      </c>
      <c r="AO16">
        <f t="shared" si="16"/>
        <v>8.9174423155890707</v>
      </c>
      <c r="AP16">
        <f t="shared" si="17"/>
        <v>1.1197054046409267</v>
      </c>
      <c r="AQ16">
        <f t="shared" si="18"/>
        <v>0</v>
      </c>
      <c r="AR16">
        <f t="shared" si="19"/>
        <v>8.1</v>
      </c>
      <c r="AS16">
        <f t="shared" si="20"/>
        <v>0</v>
      </c>
      <c r="AT16" t="str">
        <f t="shared" si="21"/>
        <v>VENTAS</v>
      </c>
      <c r="AU16">
        <f t="shared" si="22"/>
        <v>8.9174423155890707</v>
      </c>
      <c r="AV16" t="str">
        <f t="shared" si="23"/>
        <v>Mayor retorno probable: VENTAS (+8,9 puntos finales potenciales).</v>
      </c>
    </row>
    <row r="17" spans="1:48" x14ac:dyDescent="0.3">
      <c r="A17" s="5">
        <v>51055721</v>
      </c>
      <c r="B17" s="5" t="str">
        <f>IFERROR(VLOOKUP(A17,VENTAS!$A$2:$B$1194,2,0),"")</f>
        <v>NELLI</v>
      </c>
      <c r="C17" s="5">
        <f>IFERROR(INDEX(VENTAS!$C$2:$E$1194,MATCH(A17,VENTAS!$A$2:$A$1194,0),MATCH(PARAMS_MODELO!$B$2,{"Q1","Q2","Q3"},0)),0)</f>
        <v>228427582.16</v>
      </c>
      <c r="D17" s="5">
        <f>IFERROR(INDEX(VENTAS!$F$2:$H$1194,MATCH(A17,VENTAS!$A$2:$A$1194,0),MATCH(PARAMS_MODELO!$B$2,{"Q1","Q2","Q3"},0)),0)</f>
        <v>289678308</v>
      </c>
      <c r="E17" s="8">
        <f t="shared" si="0"/>
        <v>0.26814067399749253</v>
      </c>
      <c r="F17" s="12">
        <f>IF(E17&lt;=PARAMS_MODELO!$B$15,0,IF(E17&gt;=PARAMS_MODELO!$B$17,100,100*MIN(1,(E17-PARAMS_MODELO!$B$15)/(PARAMS_MODELO!$B$16-PARAMS_MODELO!$B$15))))*PARAMS_MODELO!$B$7</f>
        <v>35</v>
      </c>
      <c r="G17" s="5">
        <f t="shared" si="1"/>
        <v>61250725.840000004</v>
      </c>
      <c r="H17" s="5">
        <f>(PARAMS_MODELO!$B$20*(MAX(0,MIN(3,E17))/3)+PARAMS_MODELO!$B$21*(IFERROR(LN(1+MAX(0,G17))/LN(1+MAX(0,MAX($G$2:$G$1194))),0)))*100*PARAMS_MODELO!$B$8</f>
        <v>5.1416486636657206</v>
      </c>
      <c r="I17" s="8">
        <f>E17-PARAMS_MODELO!$B$5</f>
        <v>9.0577838621966E-2</v>
      </c>
      <c r="J17" s="5">
        <f>IF(I17&lt;=PARAMS_MODELO!$B$18,0,IF(I17&gt;=PARAMS_MODELO!$B$19,100,100*(I17-PARAMS_MODELO!$B$18)/(PARAMS_MODELO!$B$19-PARAMS_MODELO!$B$18)))*PARAMS_MODELO!$B$9</f>
        <v>15</v>
      </c>
      <c r="K17" s="5">
        <f>IFERROR(CHOOSE(MATCH(PARAMS_MODELO!$B$2,{"Q1","Q2","Q3"},0),LOTO!$D17,LOTO!$F17,LOTO!$H17),0)</f>
        <v>13530000</v>
      </c>
      <c r="L17" s="8">
        <f t="shared" si="2"/>
        <v>4.67069836654804E-2</v>
      </c>
      <c r="M17" s="5">
        <f>MIN(100,IF(PARAMS_MODELO!$B$23=0,0,100*L17/PARAMS_MODELO!$B$23))*PARAMS_MODELO!$B$10</f>
        <v>14.012095099644117</v>
      </c>
      <c r="N17" s="5">
        <f>IFERROR(VLOOKUP(A17,COMPLIANCE!$A$2:$F$1996,6,0),100)</f>
        <v>100</v>
      </c>
      <c r="O17" s="5">
        <f>N17*PARAMS_MODELO!$B$11</f>
        <v>10</v>
      </c>
      <c r="P17" s="5">
        <f>IFERROR(VLOOKUP(A17,DIGITAL!$A$2:$J$2000,7,0),100)</f>
        <v>41</v>
      </c>
      <c r="Q17" s="5">
        <f>IFERROR(P17,0)*PARAMS_MODELO!$B$12</f>
        <v>4.1000000000000005</v>
      </c>
      <c r="R17">
        <f t="shared" si="3"/>
        <v>83.253743763309828</v>
      </c>
      <c r="S17" s="5" t="str">
        <f>IFERROR(VLOOKUP(A17,CLIENTE!$A$2:$N$2000,13,0),1)</f>
        <v>Malo</v>
      </c>
      <c r="T17" s="5">
        <f>IFERROR(VLOOKUP(A17,CLIENTE!$A$2:$N$2000,14,0),1)</f>
        <v>0.7</v>
      </c>
      <c r="U17" s="5">
        <f t="shared" si="4"/>
        <v>58.277620634316875</v>
      </c>
      <c r="V17" s="5" t="str">
        <f>IF(U17&gt;=MAX(_xlfn.PERCENTILE.INC($U$2:$U$1194,PARAMS_MODELO!$B$50),PARAMS_MODELO!$B$45),"DIAMANTE",IF(U17&gt;=MAX(_xlfn.PERCENTILE.INC($U$2:$U$1194,PARAMS_MODELO!$B$51),PARAMS_MODELO!$B$46),"PLATINO",IF(U17&gt;=MAX(_xlfn.PERCENTILE.INC($U$2:$U$1194,PARAMS_MODELO!$B$52),PARAMS_MODELO!$B$47),"ORO",IF(U17&gt;=MAX(_xlfn.PERCENTILE.INC($U$2:$U$1194,PARAMS_MODELO!$B$53),PARAMS_MODELO!$B$48),"PLATA",IF(U17&gt;=1,"BRONCE","CERRADO")))))</f>
        <v>PLATA</v>
      </c>
      <c r="W17" s="5" t="str" cm="1">
        <f t="array" ref="W17">_xlfn.XLOOKUP(1, (HIST_SCORE!$B:$B=PARAMS_MODELO!$B$4) * (HIST_SCORE!$C:$C=A17), HIST_SCORE!$E:$E, "No encontrado")</f>
        <v>PLATA</v>
      </c>
      <c r="X17" s="5" t="str">
        <f>_xlfn.LET(_xlpm.act,MATCH(V17,{"DIAMANTE";"PLATINO";"ORO";"PLATA";"BRONCE";"CERRADO"},0),_xlpm.ant,MATCH(W17,{"DIAMANTE";"PLATINO";"ORO";"PLATA";"BRONCE";"CERRADO"},0),IF(_xlpm.act&lt;_xlpm.ant,"Mejora ↑",IF(_xlpm.act&gt;_xlpm.ant,"Baja ↓","Estable →")))</f>
        <v>Estable →</v>
      </c>
      <c r="Y17" s="5">
        <f>IFERROR(U17-SUMIFS(HIST_SCORE!$D:$D,HIST_SCORE!$B:$B,PARAMS_MODELO!$B$4,HIST_SCORE!$C:$C,$A17),"")</f>
        <v>1.4211496400809267</v>
      </c>
      <c r="Z17" s="5" t="str">
        <f t="shared" si="5"/>
        <v>→ Estable</v>
      </c>
      <c r="AA17" s="5">
        <f t="shared" si="6"/>
        <v>651</v>
      </c>
      <c r="AB17" s="5">
        <f>IFERROR(SUMIFS(HIST_SCORE!$F:$F,HIST_SCORE!$B:$B,PARAMS_MODELO!$B$4,HIST_SCORE!$C:$C,$A17),"")</f>
        <v>715</v>
      </c>
      <c r="AC17" s="5">
        <f t="shared" si="7"/>
        <v>64</v>
      </c>
      <c r="AD17" t="str">
        <f t="shared" si="9"/>
        <v/>
      </c>
      <c r="AE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CERRADO",1,IF(V17="BRONCE",_xlpm.cPl,IF(V17="PLATA",_xlpm.cO,IF(V17="ORO",_xlpm.cP,IF(V17="PLATINO",_xlpm.cD,999))))))</f>
        <v>63.199193273331495</v>
      </c>
      <c r="AF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CERRADO",0,IF(V17="BRONCE",1,IF(V17="PLATA",_xlpm.cPl,IF(V17="ORO",_xlpm.cO,IF(V17="PLATINO",_xlpm.cP,_xlpm.cD))))))</f>
        <v>24.506573482968111</v>
      </c>
      <c r="AG17">
        <f t="shared" si="10"/>
        <v>7.0308180557351676</v>
      </c>
      <c r="AH17" t="str">
        <f t="shared" si="11"/>
        <v>CLIENTE</v>
      </c>
      <c r="AI17" t="str">
        <f t="shared" si="8"/>
        <v>🎯 Para subir de categoría, la eje con mayor impacto probable es CLIENTE (coef T). Acción: reducir quejas, mejorar incógnito y empujar reseñas. ΔR aprox: 7,0</v>
      </c>
      <c r="AJ17" s="26">
        <f>_xlfn.LET(_xlpm.piso,AF17,_xlpm.corte,AE17,_xlpm.prog,IF(_xlpm.corte&lt;=_xlpm.piso,0,MAX(0,MIN(1,(U17-_xlpm.piso)/(_xlpm.corte-_xlpm.piso)))),_xlpm.orden,{"DIAMANTE";"PLATINO";"ORO";"PLATA";"BRONCE";"CERRADO"},_xlpm.act,IFERROR(MATCH(V17,_xlpm.orden,0),6),_xlpm.ant,IFERROR(MATCH(W17,_xlpm.orden,0),6),_xlpm.ajmov,IF(_xlpm.act&lt;_xlpm.ant,0.08,IF(_xlpm.act&gt;_xlpm.ant,-0.08,0)),_xlpm.ajcli,IF(T17&lt;0.95,-0.06,0),_xlpm.prob,MAX(0,MIN(1,_xlpm.prog+_xlpm.ajmov+_xlpm.ajcli)),IF(OR(V17="DIAMANTE",V17="CERRADO"),0,ROUND(_xlpm.prob,2)))</f>
        <v>0.81</v>
      </c>
      <c r="AK17" t="str">
        <f t="shared" si="12"/>
        <v>Faltan 7,0 puntos base para subir a la siguiente categoría</v>
      </c>
      <c r="AL17" t="str">
        <f t="shared" si="13"/>
        <v>Margen de seguridad: 33,8 puntos</v>
      </c>
      <c r="AM17">
        <f t="shared" si="14"/>
        <v>0.56000000000000005</v>
      </c>
      <c r="AN17" t="str">
        <f t="shared" si="15"/>
        <v>PRIORIDAD MEDIA – seguimiento del asesor</v>
      </c>
      <c r="AO17">
        <f t="shared" si="16"/>
        <v>6.8046444281409046</v>
      </c>
      <c r="AP17">
        <f t="shared" si="17"/>
        <v>0.69153343024911784</v>
      </c>
      <c r="AQ17">
        <f t="shared" si="18"/>
        <v>0</v>
      </c>
      <c r="AR17">
        <f t="shared" si="19"/>
        <v>4.129999999999999</v>
      </c>
      <c r="AS17">
        <f t="shared" si="20"/>
        <v>24.976123128992953</v>
      </c>
      <c r="AT17" t="str">
        <f t="shared" si="21"/>
        <v>CLIENTE</v>
      </c>
      <c r="AU17">
        <f t="shared" si="22"/>
        <v>24.976123128992953</v>
      </c>
      <c r="AV17" t="str">
        <f t="shared" si="23"/>
        <v>Mayor retorno probable: CLIENTE (+25,0 puntos finales potenciales).</v>
      </c>
    </row>
    <row r="18" spans="1:48" x14ac:dyDescent="0.3">
      <c r="A18" s="5">
        <v>51023064</v>
      </c>
      <c r="B18" s="5" t="str">
        <f>IFERROR(VLOOKUP(A18,VENTAS!$A$2:$B$1194,2,0),"")</f>
        <v>CICHETTO</v>
      </c>
      <c r="C18" s="5">
        <f>IFERROR(INDEX(VENTAS!$C$2:$E$1194,MATCH(A18,VENTAS!$A$2:$A$1194,0),MATCH(PARAMS_MODELO!$B$2,{"Q1","Q2","Q3"},0)),0)</f>
        <v>223382327.91999999</v>
      </c>
      <c r="D18" s="5">
        <f>IFERROR(INDEX(VENTAS!$F$2:$H$1194,MATCH(A18,VENTAS!$A$2:$A$1194,0),MATCH(PARAMS_MODELO!$B$2,{"Q1","Q2","Q3"},0)),0)</f>
        <v>285672003</v>
      </c>
      <c r="E18" s="8">
        <f t="shared" si="0"/>
        <v>0.27884781961045668</v>
      </c>
      <c r="F18" s="12">
        <f>IF(E18&lt;=PARAMS_MODELO!$B$15,0,IF(E18&gt;=PARAMS_MODELO!$B$17,100,100*MIN(1,(E18-PARAMS_MODELO!$B$15)/(PARAMS_MODELO!$B$16-PARAMS_MODELO!$B$15))))*PARAMS_MODELO!$B$7</f>
        <v>35</v>
      </c>
      <c r="G18" s="5">
        <f t="shared" si="1"/>
        <v>62289675.080000013</v>
      </c>
      <c r="H18" s="5">
        <f>(PARAMS_MODELO!$B$20*(MAX(0,MIN(3,E18))/3)+PARAMS_MODELO!$B$21*(IFERROR(LN(1+MAX(0,G18))/LN(1+MAX(0,MAX($G$2:$G$1194))),0)))*100*PARAMS_MODELO!$B$8</f>
        <v>5.1830665121285042</v>
      </c>
      <c r="I18" s="8">
        <f>E18-PARAMS_MODELO!$B$5</f>
        <v>0.10128498423493015</v>
      </c>
      <c r="J18" s="5">
        <f>IF(I18&lt;=PARAMS_MODELO!$B$18,0,IF(I18&gt;=PARAMS_MODELO!$B$19,100,100*(I18-PARAMS_MODELO!$B$18)/(PARAMS_MODELO!$B$19-PARAMS_MODELO!$B$18)))*PARAMS_MODELO!$B$9</f>
        <v>15</v>
      </c>
      <c r="K18" s="5">
        <f>IFERROR(CHOOSE(MATCH(PARAMS_MODELO!$B$2,{"Q1","Q2","Q3"},0),LOTO!$D18,LOTO!$F18,LOTO!$H18),0)</f>
        <v>13240000</v>
      </c>
      <c r="L18" s="8">
        <f t="shared" si="2"/>
        <v>4.6346858848467558E-2</v>
      </c>
      <c r="M18" s="5">
        <f>MIN(100,IF(PARAMS_MODELO!$B$23=0,0,100*L18/PARAMS_MODELO!$B$23))*PARAMS_MODELO!$B$10</f>
        <v>13.904057654540265</v>
      </c>
      <c r="N18" s="5">
        <f>IFERROR(VLOOKUP(A18,COMPLIANCE!$A$2:$F$1996,6,0),100)</f>
        <v>100</v>
      </c>
      <c r="O18" s="5">
        <f>N18*PARAMS_MODELO!$B$11</f>
        <v>10</v>
      </c>
      <c r="P18" s="5">
        <f>IFERROR(VLOOKUP(A18,DIGITAL!$A$2:$J$2000,7,0),100)</f>
        <v>1</v>
      </c>
      <c r="Q18" s="5">
        <f>IFERROR(P18,0)*PARAMS_MODELO!$B$12</f>
        <v>0.1</v>
      </c>
      <c r="R18">
        <f t="shared" si="3"/>
        <v>79.187124166668767</v>
      </c>
      <c r="S18" s="5" t="str">
        <f>IFERROR(VLOOKUP(A18,CLIENTE!$A$2:$N$2000,13,0),1)</f>
        <v>Muy Bueno</v>
      </c>
      <c r="T18" s="5">
        <f>IFERROR(VLOOKUP(A18,CLIENTE!$A$2:$N$2000,14,0),1)</f>
        <v>1.1499999999999999</v>
      </c>
      <c r="U18" s="5">
        <f t="shared" si="4"/>
        <v>91.065192791669077</v>
      </c>
      <c r="V18" s="5" t="str">
        <f>IF(U18&gt;=MAX(_xlfn.PERCENTILE.INC($U$2:$U$1194,PARAMS_MODELO!$B$50),PARAMS_MODELO!$B$45),"DIAMANTE",IF(U18&gt;=MAX(_xlfn.PERCENTILE.INC($U$2:$U$1194,PARAMS_MODELO!$B$51),PARAMS_MODELO!$B$46),"PLATINO",IF(U18&gt;=MAX(_xlfn.PERCENTILE.INC($U$2:$U$1194,PARAMS_MODELO!$B$52),PARAMS_MODELO!$B$47),"ORO",IF(U18&gt;=MAX(_xlfn.PERCENTILE.INC($U$2:$U$1194,PARAMS_MODELO!$B$53),PARAMS_MODELO!$B$48),"PLATA",IF(U18&gt;=1,"BRONCE","CERRADO")))))</f>
        <v>PLATINO</v>
      </c>
      <c r="W18" s="5" t="str" cm="1">
        <f t="array" ref="W18">_xlfn.XLOOKUP(1, (HIST_SCORE!$B:$B=PARAMS_MODELO!$B$4) * (HIST_SCORE!$C:$C=A18), HIST_SCORE!$E:$E, "No encontrado")</f>
        <v>PLATINO</v>
      </c>
      <c r="X18" s="5" t="str">
        <f>_xlfn.LET(_xlpm.act,MATCH(V18,{"DIAMANTE";"PLATINO";"ORO";"PLATA";"BRONCE";"CERRADO"},0),_xlpm.ant,MATCH(W18,{"DIAMANTE";"PLATINO";"ORO";"PLATA";"BRONCE";"CERRADO"},0),IF(_xlpm.act&lt;_xlpm.ant,"Mejora ↑",IF(_xlpm.act&gt;_xlpm.ant,"Baja ↓","Estable →")))</f>
        <v>Estable →</v>
      </c>
      <c r="Y18" s="5">
        <f>IFERROR(U18-SUMIFS(HIST_SCORE!$D:$D,HIST_SCORE!$B:$B,PARAMS_MODELO!$B$4,HIST_SCORE!$C:$C,$A18),"")</f>
        <v>-1.5212838249839251</v>
      </c>
      <c r="Z18" s="5" t="str">
        <f t="shared" si="5"/>
        <v>→ Estable</v>
      </c>
      <c r="AA18" s="5">
        <f t="shared" si="6"/>
        <v>115</v>
      </c>
      <c r="AB18" s="5">
        <f>IFERROR(SUMIFS(HIST_SCORE!$F:$F,HIST_SCORE!$B:$B,PARAMS_MODELO!$B$4,HIST_SCORE!$C:$C,$A18),"")</f>
        <v>93</v>
      </c>
      <c r="AC18" s="5">
        <f t="shared" si="7"/>
        <v>-22</v>
      </c>
      <c r="AD18" t="str">
        <f t="shared" si="9"/>
        <v/>
      </c>
      <c r="AE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CERRADO",1,IF(V18="BRONCE",_xlpm.cPl,IF(V18="PLATA",_xlpm.cO,IF(V18="ORO",_xlpm.cP,IF(V18="PLATINO",_xlpm.cD,999))))))</f>
        <v>96.054919694466676</v>
      </c>
      <c r="AF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CERRADO",0,IF(V18="BRONCE",1,IF(V18="PLATA",_xlpm.cPl,IF(V18="ORO",_xlpm.cO,IF(V18="PLATINO",_xlpm.cP,_xlpm.cD))))))</f>
        <v>86.439123873763251</v>
      </c>
      <c r="AG18">
        <f t="shared" si="10"/>
        <v>4.3388929589544318</v>
      </c>
      <c r="AH18" t="str">
        <f t="shared" si="11"/>
        <v>VENTAS</v>
      </c>
      <c r="AI18" t="str">
        <f t="shared" si="8"/>
        <v>🎯 Para subir de categoría, eje VENTAS / IMPACTO ABSOLUTO (H). Acción: metas semanales + activación comercial + seguimiento del asesor. ΔR aprox: 4,3</v>
      </c>
      <c r="AJ18" s="26">
        <f>_xlfn.LET(_xlpm.piso,AF18,_xlpm.corte,AE18,_xlpm.prog,IF(_xlpm.corte&lt;=_xlpm.piso,0,MAX(0,MIN(1,(U18-_xlpm.piso)/(_xlpm.corte-_xlpm.piso)))),_xlpm.orden,{"DIAMANTE";"PLATINO";"ORO";"PLATA";"BRONCE";"CERRADO"},_xlpm.act,IFERROR(MATCH(V18,_xlpm.orden,0),6),_xlpm.ant,IFERROR(MATCH(W18,_xlpm.orden,0),6),_xlpm.ajmov,IF(_xlpm.act&lt;_xlpm.ant,0.08,IF(_xlpm.act&gt;_xlpm.ant,-0.08,0)),_xlpm.ajcli,IF(T18&lt;0.95,-0.06,0),_xlpm.prob,MAX(0,MIN(1,_xlpm.prog+_xlpm.ajmov+_xlpm.ajcli)),IF(OR(V18="DIAMANTE",V18="CERRADO"),0,ROUND(_xlpm.prob,2)))</f>
        <v>0.48</v>
      </c>
      <c r="AK18" t="str">
        <f t="shared" si="12"/>
        <v>Faltan 4,3 puntos base para subir a la siguiente categoría</v>
      </c>
      <c r="AL18" t="str">
        <f t="shared" si="13"/>
        <v>Margen de seguridad: 4,6 puntos</v>
      </c>
      <c r="AM18">
        <f t="shared" si="14"/>
        <v>0.38</v>
      </c>
      <c r="AN18" t="str">
        <f t="shared" si="15"/>
        <v>PRIORIDAD BAJA – control normal</v>
      </c>
      <c r="AO18">
        <f t="shared" si="16"/>
        <v>11.131428177642141</v>
      </c>
      <c r="AP18">
        <f t="shared" si="17"/>
        <v>1.2603336972786947</v>
      </c>
      <c r="AQ18">
        <f t="shared" si="18"/>
        <v>0</v>
      </c>
      <c r="AR18">
        <f t="shared" si="19"/>
        <v>11.385</v>
      </c>
      <c r="AS18">
        <f t="shared" si="20"/>
        <v>0</v>
      </c>
      <c r="AT18" t="str">
        <f t="shared" si="21"/>
        <v>DIGITAL</v>
      </c>
      <c r="AU18">
        <f t="shared" si="22"/>
        <v>11.385</v>
      </c>
      <c r="AV18" t="str">
        <f t="shared" si="23"/>
        <v>Mayor retorno probable: DIGITAL (+11,4 puntos finales potenciales).</v>
      </c>
    </row>
    <row r="19" spans="1:48" x14ac:dyDescent="0.3">
      <c r="A19" s="5">
        <v>51055063</v>
      </c>
      <c r="B19" s="5" t="str">
        <f>IFERROR(VLOOKUP(A19,VENTAS!$A$2:$B$1194,2,0),"")</f>
        <v>CICHETTO</v>
      </c>
      <c r="C19" s="5">
        <f>IFERROR(INDEX(VENTAS!$C$2:$E$1194,MATCH(A19,VENTAS!$A$2:$A$1194,0),MATCH(PARAMS_MODELO!$B$2,{"Q1","Q2","Q3"},0)),0)</f>
        <v>228619055.24000001</v>
      </c>
      <c r="D19" s="5">
        <f>IFERROR(INDEX(VENTAS!$F$2:$H$1194,MATCH(A19,VENTAS!$A$2:$A$1194,0),MATCH(PARAMS_MODELO!$B$2,{"Q1","Q2","Q3"},0)),0)</f>
        <v>272545093</v>
      </c>
      <c r="E19" s="8">
        <f t="shared" si="0"/>
        <v>0.19213638038127345</v>
      </c>
      <c r="F19" s="12">
        <f>IF(E19&lt;=PARAMS_MODELO!$B$15,0,IF(E19&gt;=PARAMS_MODELO!$B$17,100,100*MIN(1,(E19-PARAMS_MODELO!$B$15)/(PARAMS_MODELO!$B$16-PARAMS_MODELO!$B$15))))*PARAMS_MODELO!$B$7</f>
        <v>35</v>
      </c>
      <c r="G19" s="5">
        <f t="shared" si="1"/>
        <v>43926037.75999999</v>
      </c>
      <c r="H19" s="5">
        <f>(PARAMS_MODELO!$B$20*(MAX(0,MIN(3,E19))/3)+PARAMS_MODELO!$B$21*(IFERROR(LN(1+MAX(0,G19))/LN(1+MAX(0,MAX($G$2:$G$1194))),0)))*100*PARAMS_MODELO!$B$8</f>
        <v>4.7976983936257973</v>
      </c>
      <c r="I19" s="8">
        <f>E19-PARAMS_MODELO!$B$5</f>
        <v>1.4573545005746924E-2</v>
      </c>
      <c r="J19" s="5">
        <f>IF(I19&lt;=PARAMS_MODELO!$B$18,0,IF(I19&gt;=PARAMS_MODELO!$B$19,100,100*(I19-PARAMS_MODELO!$B$18)/(PARAMS_MODELO!$B$19-PARAMS_MODELO!$B$18)))*PARAMS_MODELO!$B$9</f>
        <v>9.6860317508620373</v>
      </c>
      <c r="K19" s="5">
        <f>IFERROR(CHOOSE(MATCH(PARAMS_MODELO!$B$2,{"Q1","Q2","Q3"},0),LOTO!$D19,LOTO!$F19,LOTO!$H19),0)</f>
        <v>13125000</v>
      </c>
      <c r="L19" s="8">
        <f t="shared" si="2"/>
        <v>4.8157168619432825E-2</v>
      </c>
      <c r="M19" s="5">
        <f>MIN(100,IF(PARAMS_MODELO!$B$23=0,0,100*L19/PARAMS_MODELO!$B$23))*PARAMS_MODELO!$B$10</f>
        <v>14.447150585829844</v>
      </c>
      <c r="N19" s="5">
        <f>IFERROR(VLOOKUP(A19,COMPLIANCE!$A$2:$F$1996,6,0),100)</f>
        <v>100</v>
      </c>
      <c r="O19" s="5">
        <f>N19*PARAMS_MODELO!$B$11</f>
        <v>10</v>
      </c>
      <c r="P19" s="5">
        <f>IFERROR(VLOOKUP(A19,DIGITAL!$A$2:$J$2000,7,0),100)</f>
        <v>58</v>
      </c>
      <c r="Q19" s="5">
        <f>IFERROR(P19,0)*PARAMS_MODELO!$B$12</f>
        <v>5.8000000000000007</v>
      </c>
      <c r="R19">
        <f t="shared" si="3"/>
        <v>79.730880730317679</v>
      </c>
      <c r="S19" s="5" t="str">
        <f>IFERROR(VLOOKUP(A19,CLIENTE!$A$2:$N$2000,13,0),1)</f>
        <v>Malo</v>
      </c>
      <c r="T19" s="5">
        <f>IFERROR(VLOOKUP(A19,CLIENTE!$A$2:$N$2000,14,0),1)</f>
        <v>0.7</v>
      </c>
      <c r="U19" s="5">
        <f t="shared" si="4"/>
        <v>55.811616511222375</v>
      </c>
      <c r="V19" s="5" t="str">
        <f>IF(U19&gt;=MAX(_xlfn.PERCENTILE.INC($U$2:$U$1194,PARAMS_MODELO!$B$50),PARAMS_MODELO!$B$45),"DIAMANTE",IF(U19&gt;=MAX(_xlfn.PERCENTILE.INC($U$2:$U$1194,PARAMS_MODELO!$B$51),PARAMS_MODELO!$B$46),"PLATINO",IF(U19&gt;=MAX(_xlfn.PERCENTILE.INC($U$2:$U$1194,PARAMS_MODELO!$B$52),PARAMS_MODELO!$B$47),"ORO",IF(U19&gt;=MAX(_xlfn.PERCENTILE.INC($U$2:$U$1194,PARAMS_MODELO!$B$53),PARAMS_MODELO!$B$48),"PLATA",IF(U19&gt;=1,"BRONCE","CERRADO")))))</f>
        <v>PLATA</v>
      </c>
      <c r="W19" s="5" t="str" cm="1">
        <f t="array" ref="W19">_xlfn.XLOOKUP(1, (HIST_SCORE!$B:$B=PARAMS_MODELO!$B$4) * (HIST_SCORE!$C:$C=A19), HIST_SCORE!$E:$E, "No encontrado")</f>
        <v>PLATA</v>
      </c>
      <c r="X19" s="5" t="str">
        <f>_xlfn.LET(_xlpm.act,MATCH(V19,{"DIAMANTE";"PLATINO";"ORO";"PLATA";"BRONCE";"CERRADO"},0),_xlpm.ant,MATCH(W19,{"DIAMANTE";"PLATINO";"ORO";"PLATA";"BRONCE";"CERRADO"},0),IF(_xlpm.act&lt;_xlpm.ant,"Mejora ↑",IF(_xlpm.act&gt;_xlpm.ant,"Baja ↓","Estable →")))</f>
        <v>Estable →</v>
      </c>
      <c r="Y19" s="5">
        <f>IFERROR(U19-SUMIFS(HIST_SCORE!$D:$D,HIST_SCORE!$B:$B,PARAMS_MODELO!$B$4,HIST_SCORE!$C:$C,$A19),"")</f>
        <v>-3.4713517625634154</v>
      </c>
      <c r="Z19" s="5" t="str">
        <f t="shared" si="5"/>
        <v>→ Estable</v>
      </c>
      <c r="AA19" s="5">
        <f t="shared" si="6"/>
        <v>706</v>
      </c>
      <c r="AB19" s="5">
        <f>IFERROR(SUMIFS(HIST_SCORE!$F:$F,HIST_SCORE!$B:$B,PARAMS_MODELO!$B$4,HIST_SCORE!$C:$C,$A19),"")</f>
        <v>661</v>
      </c>
      <c r="AC19" s="5">
        <f t="shared" si="7"/>
        <v>-45</v>
      </c>
      <c r="AD19" t="str">
        <f t="shared" si="9"/>
        <v/>
      </c>
      <c r="AE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CERRADO",1,IF(V19="BRONCE",_xlpm.cPl,IF(V19="PLATA",_xlpm.cO,IF(V19="ORO",_xlpm.cP,IF(V19="PLATINO",_xlpm.cD,999))))))</f>
        <v>63.199193273331495</v>
      </c>
      <c r="AF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CERRADO",0,IF(V19="BRONCE",1,IF(V19="PLATA",_xlpm.cPl,IF(V19="ORO",_xlpm.cO,IF(V19="PLATINO",_xlpm.cP,_xlpm.cD))))))</f>
        <v>24.506573482968111</v>
      </c>
      <c r="AG19">
        <f t="shared" si="10"/>
        <v>10.553681088727316</v>
      </c>
      <c r="AH19" t="str">
        <f t="shared" si="11"/>
        <v>CLIENTE</v>
      </c>
      <c r="AI19" t="str">
        <f t="shared" si="8"/>
        <v>🎯 Para subir de categoría, la eje con mayor impacto probable es CLIENTE (coef T). Acción: reducir quejas, mejorar incógnito y empujar reseñas. ΔR aprox: 10,6</v>
      </c>
      <c r="AJ19" s="26">
        <f>_xlfn.LET(_xlpm.piso,AF19,_xlpm.corte,AE19,_xlpm.prog,IF(_xlpm.corte&lt;=_xlpm.piso,0,MAX(0,MIN(1,(U19-_xlpm.piso)/(_xlpm.corte-_xlpm.piso)))),_xlpm.orden,{"DIAMANTE";"PLATINO";"ORO";"PLATA";"BRONCE";"CERRADO"},_xlpm.act,IFERROR(MATCH(V19,_xlpm.orden,0),6),_xlpm.ant,IFERROR(MATCH(W19,_xlpm.orden,0),6),_xlpm.ajmov,IF(_xlpm.act&lt;_xlpm.ant,0.08,IF(_xlpm.act&gt;_xlpm.ant,-0.08,0)),_xlpm.ajcli,IF(T19&lt;0.95,-0.06,0),_xlpm.prob,MAX(0,MIN(1,_xlpm.prog+_xlpm.ajmov+_xlpm.ajcli)),IF(OR(V19="DIAMANTE",V19="CERRADO"),0,ROUND(_xlpm.prob,2)))</f>
        <v>0.75</v>
      </c>
      <c r="AK19" t="str">
        <f t="shared" si="12"/>
        <v>Faltan 10,6 puntos base para subir a la siguiente categoría</v>
      </c>
      <c r="AL19" t="str">
        <f t="shared" si="13"/>
        <v>Margen de seguridad: 31,3 puntos</v>
      </c>
      <c r="AM19">
        <f t="shared" si="14"/>
        <v>0.7</v>
      </c>
      <c r="AN19" t="str">
        <f t="shared" si="15"/>
        <v>PRIORIDAD ALTA – requiere intervención inmediata</v>
      </c>
      <c r="AO19">
        <f t="shared" si="16"/>
        <v>10.765187391565428</v>
      </c>
      <c r="AP19">
        <f t="shared" si="17"/>
        <v>0.38699458991910923</v>
      </c>
      <c r="AQ19">
        <f t="shared" si="18"/>
        <v>0</v>
      </c>
      <c r="AR19">
        <f t="shared" si="19"/>
        <v>2.9399999999999995</v>
      </c>
      <c r="AS19">
        <f t="shared" si="20"/>
        <v>23.919264219095307</v>
      </c>
      <c r="AT19" t="str">
        <f t="shared" si="21"/>
        <v>CLIENTE</v>
      </c>
      <c r="AU19">
        <f t="shared" si="22"/>
        <v>23.919264219095307</v>
      </c>
      <c r="AV19" t="str">
        <f t="shared" si="23"/>
        <v>Mayor retorno probable: CLIENTE (+23,9 puntos finales potenciales).</v>
      </c>
    </row>
    <row r="20" spans="1:48" x14ac:dyDescent="0.3">
      <c r="A20" s="5">
        <v>51024893</v>
      </c>
      <c r="B20" s="5" t="str">
        <f>IFERROR(VLOOKUP(A20,VENTAS!$A$2:$B$1194,2,0),"")</f>
        <v>PRADES</v>
      </c>
      <c r="C20" s="5">
        <f>IFERROR(INDEX(VENTAS!$C$2:$E$1194,MATCH(A20,VENTAS!$A$2:$A$1194,0),MATCH(PARAMS_MODELO!$B$2,{"Q1","Q2","Q3"},0)),0)</f>
        <v>260116550.99000001</v>
      </c>
      <c r="D20" s="5">
        <f>IFERROR(INDEX(VENTAS!$F$2:$H$1194,MATCH(A20,VENTAS!$A$2:$A$1194,0),MATCH(PARAMS_MODELO!$B$2,{"Q1","Q2","Q3"},0)),0)</f>
        <v>271998768</v>
      </c>
      <c r="E20" s="8">
        <f t="shared" si="0"/>
        <v>4.5680357381244763E-2</v>
      </c>
      <c r="F20" s="12">
        <f>IF(E20&lt;=PARAMS_MODELO!$B$15,0,IF(E20&gt;=PARAMS_MODELO!$B$17,100,100*MIN(1,(E20-PARAMS_MODELO!$B$15)/(PARAMS_MODELO!$B$16-PARAMS_MODELO!$B$15))))*PARAMS_MODELO!$B$7</f>
        <v>15.988125083435666</v>
      </c>
      <c r="G20" s="5">
        <f t="shared" si="1"/>
        <v>11882217.00999999</v>
      </c>
      <c r="H20" s="5">
        <f>(PARAMS_MODELO!$B$20*(MAX(0,MIN(3,E20))/3)+PARAMS_MODELO!$B$21*(IFERROR(LN(1+MAX(0,G20))/LN(1+MAX(0,MAX($G$2:$G$1194))),0)))*100*PARAMS_MODELO!$B$8</f>
        <v>3.9786144317073253</v>
      </c>
      <c r="I20" s="8">
        <f>E20-PARAMS_MODELO!$B$5</f>
        <v>-0.13188247799428177</v>
      </c>
      <c r="J20" s="5">
        <f>IF(I20&lt;=PARAMS_MODELO!$B$18,0,IF(I20&gt;=PARAMS_MODELO!$B$19,100,100*(I20-PARAMS_MODELO!$B$18)/(PARAMS_MODELO!$B$19-PARAMS_MODELO!$B$18)))*PARAMS_MODELO!$B$9</f>
        <v>0</v>
      </c>
      <c r="K20" s="5">
        <f>IFERROR(CHOOSE(MATCH(PARAMS_MODELO!$B$2,{"Q1","Q2","Q3"},0),LOTO!$D20,LOTO!$F20,LOTO!$H20),0)</f>
        <v>13000000</v>
      </c>
      <c r="L20" s="8">
        <f t="shared" si="2"/>
        <v>4.7794334127278106E-2</v>
      </c>
      <c r="M20" s="5">
        <f>MIN(100,IF(PARAMS_MODELO!$B$23=0,0,100*L20/PARAMS_MODELO!$B$23))*PARAMS_MODELO!$B$10</f>
        <v>14.338300238183429</v>
      </c>
      <c r="N20" s="5">
        <f>IFERROR(VLOOKUP(A20,COMPLIANCE!$A$2:$F$1996,6,0),100)</f>
        <v>100</v>
      </c>
      <c r="O20" s="5">
        <f>N20*PARAMS_MODELO!$B$11</f>
        <v>10</v>
      </c>
      <c r="P20" s="5">
        <f>IFERROR(VLOOKUP(A20,DIGITAL!$A$2:$J$2000,7,0),100)</f>
        <v>11</v>
      </c>
      <c r="Q20" s="5">
        <f>IFERROR(P20,0)*PARAMS_MODELO!$B$12</f>
        <v>1.1000000000000001</v>
      </c>
      <c r="R20">
        <f t="shared" si="3"/>
        <v>45.40503975332642</v>
      </c>
      <c r="S20" s="5" t="str">
        <f>IFERROR(VLOOKUP(A20,CLIENTE!$A$2:$N$2000,13,0),1)</f>
        <v>Muy Bueno</v>
      </c>
      <c r="T20" s="5">
        <f>IFERROR(VLOOKUP(A20,CLIENTE!$A$2:$N$2000,14,0),1)</f>
        <v>1.1499999999999999</v>
      </c>
      <c r="U20" s="5">
        <f t="shared" si="4"/>
        <v>52.215795716325381</v>
      </c>
      <c r="V20" s="5" t="str">
        <f>IF(U20&gt;=MAX(_xlfn.PERCENTILE.INC($U$2:$U$1194,PARAMS_MODELO!$B$50),PARAMS_MODELO!$B$45),"DIAMANTE",IF(U20&gt;=MAX(_xlfn.PERCENTILE.INC($U$2:$U$1194,PARAMS_MODELO!$B$51),PARAMS_MODELO!$B$46),"PLATINO",IF(U20&gt;=MAX(_xlfn.PERCENTILE.INC($U$2:$U$1194,PARAMS_MODELO!$B$52),PARAMS_MODELO!$B$47),"ORO",IF(U20&gt;=MAX(_xlfn.PERCENTILE.INC($U$2:$U$1194,PARAMS_MODELO!$B$53),PARAMS_MODELO!$B$48),"PLATA",IF(U20&gt;=1,"BRONCE","CERRADO")))))</f>
        <v>PLATA</v>
      </c>
      <c r="W20" s="5" t="str" cm="1">
        <f t="array" ref="W20">_xlfn.XLOOKUP(1, (HIST_SCORE!$B:$B=PARAMS_MODELO!$B$4) * (HIST_SCORE!$C:$C=A20), HIST_SCORE!$E:$E, "No encontrado")</f>
        <v>ORO</v>
      </c>
      <c r="X20" s="5" t="str">
        <f>_xlfn.LET(_xlpm.act,MATCH(V20,{"DIAMANTE";"PLATINO";"ORO";"PLATA";"BRONCE";"CERRADO"},0),_xlpm.ant,MATCH(W20,{"DIAMANTE";"PLATINO";"ORO";"PLATA";"BRONCE";"CERRADO"},0),IF(_xlpm.act&lt;_xlpm.ant,"Mejora ↑",IF(_xlpm.act&gt;_xlpm.ant,"Baja ↓","Estable →")))</f>
        <v>Baja ↓</v>
      </c>
      <c r="Y20" s="5">
        <f>IFERROR(U20-SUMIFS(HIST_SCORE!$D:$D,HIST_SCORE!$B:$B,PARAMS_MODELO!$B$4,HIST_SCORE!$C:$C,$A20),"")</f>
        <v>-20.065198368760541</v>
      </c>
      <c r="Z20" s="5" t="str">
        <f t="shared" si="5"/>
        <v>↓ Baja</v>
      </c>
      <c r="AA20" s="5">
        <f t="shared" si="6"/>
        <v>728</v>
      </c>
      <c r="AB20" s="5">
        <f>IFERROR(SUMIFS(HIST_SCORE!$F:$F,HIST_SCORE!$B:$B,PARAMS_MODELO!$B$4,HIST_SCORE!$C:$C,$A20),"")</f>
        <v>519</v>
      </c>
      <c r="AC20" s="5">
        <f t="shared" si="7"/>
        <v>-209</v>
      </c>
      <c r="AD20" t="str">
        <f t="shared" si="9"/>
        <v/>
      </c>
      <c r="AE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CERRADO",1,IF(V20="BRONCE",_xlpm.cPl,IF(V20="PLATA",_xlpm.cO,IF(V20="ORO",_xlpm.cP,IF(V20="PLATINO",_xlpm.cD,999))))))</f>
        <v>63.199193273331495</v>
      </c>
      <c r="AF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CERRADO",0,IF(V20="BRONCE",1,IF(V20="PLATA",_xlpm.cPl,IF(V20="ORO",_xlpm.cO,IF(V20="PLATINO",_xlpm.cP,_xlpm.cD))))))</f>
        <v>24.506573482968111</v>
      </c>
      <c r="AG20">
        <f t="shared" si="10"/>
        <v>9.5507804843531474</v>
      </c>
      <c r="AH20" t="str">
        <f t="shared" si="11"/>
        <v>VENTAS</v>
      </c>
      <c r="AI20" t="str">
        <f t="shared" si="8"/>
        <v>🎯 Para subir de categoría, eje VENTAS / DIFERENCIAL vs LOTBA (J). Acción: metas semanales + activación comercial + seguimiento del asesor. ΔR aprox: 9,6</v>
      </c>
      <c r="AJ20" s="26">
        <f>_xlfn.LET(_xlpm.piso,AF20,_xlpm.corte,AE20,_xlpm.prog,IF(_xlpm.corte&lt;=_xlpm.piso,0,MAX(0,MIN(1,(U20-_xlpm.piso)/(_xlpm.corte-_xlpm.piso)))),_xlpm.orden,{"DIAMANTE";"PLATINO";"ORO";"PLATA";"BRONCE";"CERRADO"},_xlpm.act,IFERROR(MATCH(V20,_xlpm.orden,0),6),_xlpm.ant,IFERROR(MATCH(W20,_xlpm.orden,0),6),_xlpm.ajmov,IF(_xlpm.act&lt;_xlpm.ant,0.08,IF(_xlpm.act&gt;_xlpm.ant,-0.08,0)),_xlpm.ajcli,IF(T20&lt;0.95,-0.06,0),_xlpm.prob,MAX(0,MIN(1,_xlpm.prog+_xlpm.ajmov+_xlpm.ajcli)),IF(OR(V20="DIAMANTE",V20="CERRADO"),0,ROUND(_xlpm.prob,2)))</f>
        <v>0.64</v>
      </c>
      <c r="AK20" t="str">
        <f t="shared" si="12"/>
        <v>Faltan 9,6 puntos base para subir a la siguiente categoría</v>
      </c>
      <c r="AL20" t="str">
        <f t="shared" si="13"/>
        <v>Margen de seguridad: 27,7 puntos</v>
      </c>
      <c r="AM20">
        <f t="shared" si="14"/>
        <v>0.53</v>
      </c>
      <c r="AN20" t="str">
        <f t="shared" si="15"/>
        <v>PRIORIDAD MEDIA – seguimiento del asesor</v>
      </c>
      <c r="AO20">
        <f t="shared" si="16"/>
        <v>51.630204224175479</v>
      </c>
      <c r="AP20">
        <f t="shared" si="17"/>
        <v>0.76095472608905679</v>
      </c>
      <c r="AQ20">
        <f t="shared" si="18"/>
        <v>0</v>
      </c>
      <c r="AR20">
        <f t="shared" si="19"/>
        <v>10.234999999999999</v>
      </c>
      <c r="AS20">
        <f t="shared" si="20"/>
        <v>0</v>
      </c>
      <c r="AT20" t="str">
        <f t="shared" si="21"/>
        <v>VENTAS</v>
      </c>
      <c r="AU20">
        <f t="shared" si="22"/>
        <v>51.630204224175479</v>
      </c>
      <c r="AV20" t="str">
        <f t="shared" si="23"/>
        <v>Mayor retorno probable: VENTAS (+51,6 puntos finales potenciales).</v>
      </c>
    </row>
    <row r="21" spans="1:48" x14ac:dyDescent="0.3">
      <c r="A21" s="5">
        <v>51013638</v>
      </c>
      <c r="B21" s="5" t="str">
        <f>IFERROR(VLOOKUP(A21,VENTAS!$A$2:$B$1194,2,0),"")</f>
        <v>LÓPEZ</v>
      </c>
      <c r="C21" s="5">
        <f>IFERROR(INDEX(VENTAS!$C$2:$E$1194,MATCH(A21,VENTAS!$A$2:$A$1194,0),MATCH(PARAMS_MODELO!$B$2,{"Q1","Q2","Q3"},0)),0)</f>
        <v>102659011.87</v>
      </c>
      <c r="D21" s="5">
        <f>IFERROR(INDEX(VENTAS!$F$2:$H$1194,MATCH(A21,VENTAS!$A$2:$A$1194,0),MATCH(PARAMS_MODELO!$B$2,{"Q1","Q2","Q3"},0)),0)</f>
        <v>270880029</v>
      </c>
      <c r="E21" s="8">
        <f t="shared" si="0"/>
        <v>1.6386385770303633</v>
      </c>
      <c r="F21" s="12">
        <f>IF(E21&lt;=PARAMS_MODELO!$B$15,0,IF(E21&gt;=PARAMS_MODELO!$B$17,100,100*MIN(1,(E21-PARAMS_MODELO!$B$15)/(PARAMS_MODELO!$B$16-PARAMS_MODELO!$B$15))))*PARAMS_MODELO!$B$7</f>
        <v>35</v>
      </c>
      <c r="G21" s="5">
        <f t="shared" si="1"/>
        <v>168221017.13</v>
      </c>
      <c r="H21" s="5">
        <f>(PARAMS_MODELO!$B$20*(MAX(0,MIN(3,E21))/3)+PARAMS_MODELO!$B$21*(IFERROR(LN(1+MAX(0,G21))/LN(1+MAX(0,MAX($G$2:$G$1194))),0)))*100*PARAMS_MODELO!$B$8</f>
        <v>10.175220447969716</v>
      </c>
      <c r="I21" s="8">
        <f>E21-PARAMS_MODELO!$B$5</f>
        <v>1.4610757416548368</v>
      </c>
      <c r="J21" s="5">
        <f>IF(I21&lt;=PARAMS_MODELO!$B$18,0,IF(I21&gt;=PARAMS_MODELO!$B$19,100,100*(I21-PARAMS_MODELO!$B$18)/(PARAMS_MODELO!$B$19-PARAMS_MODELO!$B$18)))*PARAMS_MODELO!$B$9</f>
        <v>15</v>
      </c>
      <c r="K21" s="5">
        <f>IFERROR(CHOOSE(MATCH(PARAMS_MODELO!$B$2,{"Q1","Q2","Q3"},0),LOTO!$D21,LOTO!$F21,LOTO!$H21),0)</f>
        <v>12975000</v>
      </c>
      <c r="L21" s="8">
        <f t="shared" si="2"/>
        <v>4.7899433737878104E-2</v>
      </c>
      <c r="M21" s="5">
        <f>MIN(100,IF(PARAMS_MODELO!$B$23=0,0,100*L21/PARAMS_MODELO!$B$23))*PARAMS_MODELO!$B$10</f>
        <v>14.369830121363432</v>
      </c>
      <c r="N21" s="5">
        <f>IFERROR(VLOOKUP(A21,COMPLIANCE!$A$2:$F$1996,6,0),100)</f>
        <v>100</v>
      </c>
      <c r="O21" s="5">
        <f>N21*PARAMS_MODELO!$B$11</f>
        <v>10</v>
      </c>
      <c r="P21" s="5">
        <f>IFERROR(VLOOKUP(A21,DIGITAL!$A$2:$J$2000,7,0),100)</f>
        <v>58</v>
      </c>
      <c r="Q21" s="5">
        <f>IFERROR(P21,0)*PARAMS_MODELO!$B$12</f>
        <v>5.8000000000000007</v>
      </c>
      <c r="R21">
        <f t="shared" si="3"/>
        <v>90.345050569333139</v>
      </c>
      <c r="S21" s="5" t="str">
        <f>IFERROR(VLOOKUP(A21,CLIENTE!$A$2:$N$2000,13,0),1)</f>
        <v>Regular</v>
      </c>
      <c r="T21" s="5">
        <f>IFERROR(VLOOKUP(A21,CLIENTE!$A$2:$N$2000,14,0),1)</f>
        <v>1</v>
      </c>
      <c r="U21" s="5">
        <f t="shared" si="4"/>
        <v>90.345050569333139</v>
      </c>
      <c r="V21" s="5" t="str">
        <f>IF(U21&gt;=MAX(_xlfn.PERCENTILE.INC($U$2:$U$1194,PARAMS_MODELO!$B$50),PARAMS_MODELO!$B$45),"DIAMANTE",IF(U21&gt;=MAX(_xlfn.PERCENTILE.INC($U$2:$U$1194,PARAMS_MODELO!$B$51),PARAMS_MODELO!$B$46),"PLATINO",IF(U21&gt;=MAX(_xlfn.PERCENTILE.INC($U$2:$U$1194,PARAMS_MODELO!$B$52),PARAMS_MODELO!$B$47),"ORO",IF(U21&gt;=MAX(_xlfn.PERCENTILE.INC($U$2:$U$1194,PARAMS_MODELO!$B$53),PARAMS_MODELO!$B$48),"PLATA",IF(U21&gt;=1,"BRONCE","CERRADO")))))</f>
        <v>PLATINO</v>
      </c>
      <c r="W21" s="5" t="str" cm="1">
        <f t="array" ref="W21">_xlfn.XLOOKUP(1, (HIST_SCORE!$B:$B=PARAMS_MODELO!$B$4) * (HIST_SCORE!$C:$C=A21), HIST_SCORE!$E:$E, "No encontrado")</f>
        <v>PLATINO</v>
      </c>
      <c r="X21" s="5" t="str">
        <f>_xlfn.LET(_xlpm.act,MATCH(V21,{"DIAMANTE";"PLATINO";"ORO";"PLATA";"BRONCE";"CERRADO"},0),_xlpm.ant,MATCH(W21,{"DIAMANTE";"PLATINO";"ORO";"PLATA";"BRONCE";"CERRADO"},0),IF(_xlpm.act&lt;_xlpm.ant,"Mejora ↑",IF(_xlpm.act&gt;_xlpm.ant,"Baja ↓","Estable →")))</f>
        <v>Estable →</v>
      </c>
      <c r="Y21" s="5">
        <f>IFERROR(U21-SUMIFS(HIST_SCORE!$D:$D,HIST_SCORE!$B:$B,PARAMS_MODELO!$B$4,HIST_SCORE!$C:$C,$A21),"")</f>
        <v>3.5627558428131465</v>
      </c>
      <c r="Z21" s="5" t="str">
        <f t="shared" si="5"/>
        <v>→ Estable</v>
      </c>
      <c r="AA21" s="5">
        <f t="shared" si="6"/>
        <v>130</v>
      </c>
      <c r="AB21" s="5">
        <f>IFERROR(SUMIFS(HIST_SCORE!$F:$F,HIST_SCORE!$B:$B,PARAMS_MODELO!$B$4,HIST_SCORE!$C:$C,$A21),"")</f>
        <v>204</v>
      </c>
      <c r="AC21" s="5">
        <f t="shared" si="7"/>
        <v>74</v>
      </c>
      <c r="AD21" t="str">
        <f t="shared" si="9"/>
        <v/>
      </c>
      <c r="AE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CERRADO",1,IF(V21="BRONCE",_xlpm.cPl,IF(V21="PLATA",_xlpm.cO,IF(V21="ORO",_xlpm.cP,IF(V21="PLATINO",_xlpm.cD,999))))))</f>
        <v>96.054919694466676</v>
      </c>
      <c r="AF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CERRADO",0,IF(V21="BRONCE",1,IF(V21="PLATA",_xlpm.cPl,IF(V21="ORO",_xlpm.cO,IF(V21="PLATINO",_xlpm.cP,_xlpm.cD))))))</f>
        <v>86.439123873763251</v>
      </c>
      <c r="AG21">
        <f t="shared" si="10"/>
        <v>5.7098691251335367</v>
      </c>
      <c r="AH21" t="str">
        <f t="shared" si="11"/>
        <v>VENTAS</v>
      </c>
      <c r="AI21" t="str">
        <f t="shared" si="8"/>
        <v>🎯 Para subir de categoría, eje VENTAS / IMPACTO ABSOLUTO (H). Acción: metas semanales + activación comercial + seguimiento del asesor. ΔR aprox: 5,7</v>
      </c>
      <c r="AJ21" s="26">
        <f>_xlfn.LET(_xlpm.piso,AF21,_xlpm.corte,AE21,_xlpm.prog,IF(_xlpm.corte&lt;=_xlpm.piso,0,MAX(0,MIN(1,(U21-_xlpm.piso)/(_xlpm.corte-_xlpm.piso)))),_xlpm.orden,{"DIAMANTE";"PLATINO";"ORO";"PLATA";"BRONCE";"CERRADO"},_xlpm.act,IFERROR(MATCH(V21,_xlpm.orden,0),6),_xlpm.ant,IFERROR(MATCH(W21,_xlpm.orden,0),6),_xlpm.ajmov,IF(_xlpm.act&lt;_xlpm.ant,0.08,IF(_xlpm.act&gt;_xlpm.ant,-0.08,0)),_xlpm.ajcli,IF(T21&lt;0.95,-0.06,0),_xlpm.prob,MAX(0,MIN(1,_xlpm.prog+_xlpm.ajmov+_xlpm.ajcli)),IF(OR(V21="DIAMANTE",V21="CERRADO"),0,ROUND(_xlpm.prob,2)))</f>
        <v>0.41</v>
      </c>
      <c r="AK21" t="str">
        <f t="shared" si="12"/>
        <v>Faltan 5,7 puntos base para subir a la siguiente categoría</v>
      </c>
      <c r="AL21" t="str">
        <f t="shared" si="13"/>
        <v>Margen de seguridad: 3,9 puntos</v>
      </c>
      <c r="AM21">
        <f t="shared" si="14"/>
        <v>0.46</v>
      </c>
      <c r="AN21" t="str">
        <f t="shared" si="15"/>
        <v>PRIORIDAD MEDIA – seguimiento del asesor</v>
      </c>
      <c r="AO21">
        <f t="shared" si="16"/>
        <v>4.6873488273258701</v>
      </c>
      <c r="AP21">
        <f t="shared" si="17"/>
        <v>0.63016987863656837</v>
      </c>
      <c r="AQ21">
        <f t="shared" si="18"/>
        <v>0</v>
      </c>
      <c r="AR21">
        <f t="shared" si="19"/>
        <v>4.1999999999999993</v>
      </c>
      <c r="AS21">
        <f t="shared" si="20"/>
        <v>0</v>
      </c>
      <c r="AT21" t="str">
        <f t="shared" si="21"/>
        <v>VENTAS</v>
      </c>
      <c r="AU21">
        <f t="shared" si="22"/>
        <v>4.6873488273258701</v>
      </c>
      <c r="AV21" t="str">
        <f t="shared" si="23"/>
        <v>Mayor retorno probable: VENTAS (+4,7 puntos finales potenciales).</v>
      </c>
    </row>
    <row r="22" spans="1:48" x14ac:dyDescent="0.3">
      <c r="A22" s="5">
        <v>51011015</v>
      </c>
      <c r="B22" s="5" t="str">
        <f>IFERROR(VLOOKUP(A22,VENTAS!$A$2:$B$1194,2,0),"")</f>
        <v>CICHETTO</v>
      </c>
      <c r="C22" s="5">
        <f>IFERROR(INDEX(VENTAS!$C$2:$E$1194,MATCH(A22,VENTAS!$A$2:$A$1194,0),MATCH(PARAMS_MODELO!$B$2,{"Q1","Q2","Q3"},0)),0)</f>
        <v>214209474.03999999</v>
      </c>
      <c r="D22" s="5">
        <f>IFERROR(INDEX(VENTAS!$F$2:$H$1194,MATCH(A22,VENTAS!$A$2:$A$1194,0),MATCH(PARAMS_MODELO!$B$2,{"Q1","Q2","Q3"},0)),0)</f>
        <v>264468419</v>
      </c>
      <c r="E22" s="8">
        <f t="shared" si="0"/>
        <v>0.23462521994062224</v>
      </c>
      <c r="F22" s="12">
        <f>IF(E22&lt;=PARAMS_MODELO!$B$15,0,IF(E22&gt;=PARAMS_MODELO!$B$17,100,100*MIN(1,(E22-PARAMS_MODELO!$B$15)/(PARAMS_MODELO!$B$16-PARAMS_MODELO!$B$15))))*PARAMS_MODELO!$B$7</f>
        <v>35</v>
      </c>
      <c r="G22" s="5">
        <f t="shared" si="1"/>
        <v>50258944.960000008</v>
      </c>
      <c r="H22" s="5">
        <f>(PARAMS_MODELO!$B$20*(MAX(0,MIN(3,E22))/3)+PARAMS_MODELO!$B$21*(IFERROR(LN(1+MAX(0,G22))/LN(1+MAX(0,MAX($G$2:$G$1194))),0)))*100*PARAMS_MODELO!$B$8</f>
        <v>4.9779805038587499</v>
      </c>
      <c r="I22" s="8">
        <f>E22-PARAMS_MODELO!$B$5</f>
        <v>5.7062384565095714E-2</v>
      </c>
      <c r="J22" s="5">
        <f>IF(I22&lt;=PARAMS_MODELO!$B$18,0,IF(I22&gt;=PARAMS_MODELO!$B$19,100,100*(I22-PARAMS_MODELO!$B$18)/(PARAMS_MODELO!$B$19-PARAMS_MODELO!$B$18)))*PARAMS_MODELO!$B$9</f>
        <v>15</v>
      </c>
      <c r="K22" s="5">
        <f>IFERROR(CHOOSE(MATCH(PARAMS_MODELO!$B$2,{"Q1","Q2","Q3"},0),LOTO!$D22,LOTO!$F22,LOTO!$H22),0)</f>
        <v>12947500</v>
      </c>
      <c r="L22" s="8">
        <f t="shared" si="2"/>
        <v>4.8956696035604916E-2</v>
      </c>
      <c r="M22" s="5">
        <f>MIN(100,IF(PARAMS_MODELO!$B$23=0,0,100*L22/PARAMS_MODELO!$B$23))*PARAMS_MODELO!$B$10</f>
        <v>14.687008810681471</v>
      </c>
      <c r="N22" s="5">
        <f>IFERROR(VLOOKUP(A22,COMPLIANCE!$A$2:$F$1996,6,0),100)</f>
        <v>100</v>
      </c>
      <c r="O22" s="5">
        <f>N22*PARAMS_MODELO!$B$11</f>
        <v>10</v>
      </c>
      <c r="P22" s="5">
        <f>IFERROR(VLOOKUP(A22,DIGITAL!$A$2:$J$2000,7,0),100)</f>
        <v>42</v>
      </c>
      <c r="Q22" s="5">
        <f>IFERROR(P22,0)*PARAMS_MODELO!$B$12</f>
        <v>4.2</v>
      </c>
      <c r="R22">
        <f t="shared" si="3"/>
        <v>83.864989314540225</v>
      </c>
      <c r="S22" s="5" t="str">
        <f>IFERROR(VLOOKUP(A22,CLIENTE!$A$2:$N$2000,13,0),1)</f>
        <v>Malo</v>
      </c>
      <c r="T22" s="5">
        <f>IFERROR(VLOOKUP(A22,CLIENTE!$A$2:$N$2000,14,0),1)</f>
        <v>0.7</v>
      </c>
      <c r="U22" s="5">
        <f t="shared" si="4"/>
        <v>58.705492520178154</v>
      </c>
      <c r="V22" s="5" t="str">
        <f>IF(U22&gt;=MAX(_xlfn.PERCENTILE.INC($U$2:$U$1194,PARAMS_MODELO!$B$50),PARAMS_MODELO!$B$45),"DIAMANTE",IF(U22&gt;=MAX(_xlfn.PERCENTILE.INC($U$2:$U$1194,PARAMS_MODELO!$B$51),PARAMS_MODELO!$B$46),"PLATINO",IF(U22&gt;=MAX(_xlfn.PERCENTILE.INC($U$2:$U$1194,PARAMS_MODELO!$B$52),PARAMS_MODELO!$B$47),"ORO",IF(U22&gt;=MAX(_xlfn.PERCENTILE.INC($U$2:$U$1194,PARAMS_MODELO!$B$53),PARAMS_MODELO!$B$48),"PLATA",IF(U22&gt;=1,"BRONCE","CERRADO")))))</f>
        <v>PLATA</v>
      </c>
      <c r="W22" s="5" t="str" cm="1">
        <f t="array" ref="W22">_xlfn.XLOOKUP(1, (HIST_SCORE!$B:$B=PARAMS_MODELO!$B$4) * (HIST_SCORE!$C:$C=A22), HIST_SCORE!$E:$E, "No encontrado")</f>
        <v>PLATA</v>
      </c>
      <c r="X22" s="5" t="str">
        <f>_xlfn.LET(_xlpm.act,MATCH(V22,{"DIAMANTE";"PLATINO";"ORO";"PLATA";"BRONCE";"CERRADO"},0),_xlpm.ant,MATCH(W22,{"DIAMANTE";"PLATINO";"ORO";"PLATA";"BRONCE";"CERRADO"},0),IF(_xlpm.act&lt;_xlpm.ant,"Mejora ↑",IF(_xlpm.act&gt;_xlpm.ant,"Baja ↓","Estable →")))</f>
        <v>Estable →</v>
      </c>
      <c r="Y22" s="5">
        <f>IFERROR(U22-SUMIFS(HIST_SCORE!$D:$D,HIST_SCORE!$B:$B,PARAMS_MODELO!$B$4,HIST_SCORE!$C:$C,$A22),"")</f>
        <v>9.2658120479168176</v>
      </c>
      <c r="Z22" s="5" t="str">
        <f t="shared" si="5"/>
        <v>↑ Mejora</v>
      </c>
      <c r="AA22" s="5">
        <f t="shared" si="6"/>
        <v>640</v>
      </c>
      <c r="AB22" s="5">
        <f>IFERROR(SUMIFS(HIST_SCORE!$F:$F,HIST_SCORE!$B:$B,PARAMS_MODELO!$B$4,HIST_SCORE!$C:$C,$A22),"")</f>
        <v>777</v>
      </c>
      <c r="AC22" s="5">
        <f t="shared" si="7"/>
        <v>137</v>
      </c>
      <c r="AD22" t="str">
        <f t="shared" si="9"/>
        <v/>
      </c>
      <c r="AE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CERRADO",1,IF(V22="BRONCE",_xlpm.cPl,IF(V22="PLATA",_xlpm.cO,IF(V22="ORO",_xlpm.cP,IF(V22="PLATINO",_xlpm.cD,999))))))</f>
        <v>63.199193273331495</v>
      </c>
      <c r="AF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CERRADO",0,IF(V22="BRONCE",1,IF(V22="PLATA",_xlpm.cPl,IF(V22="ORO",_xlpm.cO,IF(V22="PLATINO",_xlpm.cP,_xlpm.cD))))))</f>
        <v>24.506573482968111</v>
      </c>
      <c r="AG22">
        <f t="shared" si="10"/>
        <v>6.4195725045047709</v>
      </c>
      <c r="AH22" t="str">
        <f t="shared" si="11"/>
        <v>CLIENTE</v>
      </c>
      <c r="AI22" t="str">
        <f t="shared" si="8"/>
        <v>🎯 Para subir de categoría, la eje con mayor impacto probable es CLIENTE (coef T). Acción: reducir quejas, mejorar incógnito y empujar reseñas. ΔR aprox: 6,4</v>
      </c>
      <c r="AJ22" s="26">
        <f>_xlfn.LET(_xlpm.piso,AF22,_xlpm.corte,AE22,_xlpm.prog,IF(_xlpm.corte&lt;=_xlpm.piso,0,MAX(0,MIN(1,(U22-_xlpm.piso)/(_xlpm.corte-_xlpm.piso)))),_xlpm.orden,{"DIAMANTE";"PLATINO";"ORO";"PLATA";"BRONCE";"CERRADO"},_xlpm.act,IFERROR(MATCH(V22,_xlpm.orden,0),6),_xlpm.ant,IFERROR(MATCH(W22,_xlpm.orden,0),6),_xlpm.ajmov,IF(_xlpm.act&lt;_xlpm.ant,0.08,IF(_xlpm.act&gt;_xlpm.ant,-0.08,0)),_xlpm.ajcli,IF(T22&lt;0.95,-0.06,0),_xlpm.prob,MAX(0,MIN(1,_xlpm.prog+_xlpm.ajmov+_xlpm.ajcli)),IF(OR(V22="DIAMANTE",V22="CERRADO"),0,ROUND(_xlpm.prob,2)))</f>
        <v>0.82</v>
      </c>
      <c r="AK22" t="str">
        <f t="shared" si="12"/>
        <v>Faltan 6,4 puntos base para subir a la siguiente categoría</v>
      </c>
      <c r="AL22" t="str">
        <f t="shared" si="13"/>
        <v>Margen de seguridad: 34,2 puntos</v>
      </c>
      <c r="AM22">
        <f t="shared" si="14"/>
        <v>0.53</v>
      </c>
      <c r="AN22" t="str">
        <f t="shared" si="15"/>
        <v>PRIORIDAD MEDIA – seguimiento del asesor</v>
      </c>
      <c r="AO22">
        <f t="shared" si="16"/>
        <v>6.919212140005782</v>
      </c>
      <c r="AP22">
        <f t="shared" si="17"/>
        <v>0.21909383252297035</v>
      </c>
      <c r="AQ22">
        <f t="shared" si="18"/>
        <v>0</v>
      </c>
      <c r="AR22">
        <f t="shared" si="19"/>
        <v>4.0599999999999996</v>
      </c>
      <c r="AS22">
        <f t="shared" si="20"/>
        <v>25.15949679436207</v>
      </c>
      <c r="AT22" t="str">
        <f t="shared" si="21"/>
        <v>CLIENTE</v>
      </c>
      <c r="AU22">
        <f t="shared" si="22"/>
        <v>25.15949679436207</v>
      </c>
      <c r="AV22" t="str">
        <f t="shared" si="23"/>
        <v>Mayor retorno probable: CLIENTE (+25,2 puntos finales potenciales).</v>
      </c>
    </row>
    <row r="23" spans="1:48" x14ac:dyDescent="0.3">
      <c r="A23" s="5">
        <v>51020758</v>
      </c>
      <c r="B23" s="5" t="str">
        <f>IFERROR(VLOOKUP(A23,VENTAS!$A$2:$B$1194,2,0),"")</f>
        <v>PRADES</v>
      </c>
      <c r="C23" s="5">
        <f>IFERROR(INDEX(VENTAS!$C$2:$E$1194,MATCH(A23,VENTAS!$A$2:$A$1194,0),MATCH(PARAMS_MODELO!$B$2,{"Q1","Q2","Q3"},0)),0)</f>
        <v>254483046.43000001</v>
      </c>
      <c r="D23" s="5">
        <f>IFERROR(INDEX(VENTAS!$F$2:$H$1194,MATCH(A23,VENTAS!$A$2:$A$1194,0),MATCH(PARAMS_MODELO!$B$2,{"Q1","Q2","Q3"},0)),0)</f>
        <v>257842489</v>
      </c>
      <c r="E23" s="8">
        <f t="shared" si="0"/>
        <v>1.3201046659601534E-2</v>
      </c>
      <c r="F23" s="12">
        <f>IF(E23&lt;=PARAMS_MODELO!$B$15,0,IF(E23&gt;=PARAMS_MODELO!$B$17,100,100*MIN(1,(E23-PARAMS_MODELO!$B$15)/(PARAMS_MODELO!$B$16-PARAMS_MODELO!$B$15))))*PARAMS_MODELO!$B$7</f>
        <v>4.6203663308605369</v>
      </c>
      <c r="G23" s="5">
        <f t="shared" si="1"/>
        <v>3359442.5699999928</v>
      </c>
      <c r="H23" s="5">
        <f>(PARAMS_MODELO!$B$20*(MAX(0,MIN(3,E23))/3)+PARAMS_MODELO!$B$21*(IFERROR(LN(1+MAX(0,G23))/LN(1+MAX(0,MAX($G$2:$G$1194))),0)))*100*PARAMS_MODELO!$B$8</f>
        <v>3.5688092728998257</v>
      </c>
      <c r="I23" s="8">
        <f>E23-PARAMS_MODELO!$B$5</f>
        <v>-0.16436178871592499</v>
      </c>
      <c r="J23" s="5">
        <f>IF(I23&lt;=PARAMS_MODELO!$B$18,0,IF(I23&gt;=PARAMS_MODELO!$B$19,100,100*(I23-PARAMS_MODELO!$B$18)/(PARAMS_MODELO!$B$19-PARAMS_MODELO!$B$18)))*PARAMS_MODELO!$B$9</f>
        <v>0</v>
      </c>
      <c r="K23" s="5">
        <f>IFERROR(CHOOSE(MATCH(PARAMS_MODELO!$B$2,{"Q1","Q2","Q3"},0),LOTO!$D23,LOTO!$F23,LOTO!$H23),0)</f>
        <v>12825000</v>
      </c>
      <c r="L23" s="8">
        <f t="shared" si="2"/>
        <v>4.9739668778949774E-2</v>
      </c>
      <c r="M23" s="5">
        <f>MIN(100,IF(PARAMS_MODELO!$B$23=0,0,100*L23/PARAMS_MODELO!$B$23))*PARAMS_MODELO!$B$10</f>
        <v>14.921900633684931</v>
      </c>
      <c r="N23" s="5">
        <f>IFERROR(VLOOKUP(A23,COMPLIANCE!$A$2:$F$1996,6,0),100)</f>
        <v>100</v>
      </c>
      <c r="O23" s="5">
        <f>N23*PARAMS_MODELO!$B$11</f>
        <v>10</v>
      </c>
      <c r="P23" s="5">
        <f>IFERROR(VLOOKUP(A23,DIGITAL!$A$2:$J$2000,7,0),100)</f>
        <v>26</v>
      </c>
      <c r="Q23" s="5">
        <f>IFERROR(P23,0)*PARAMS_MODELO!$B$12</f>
        <v>2.6</v>
      </c>
      <c r="R23">
        <f t="shared" si="3"/>
        <v>35.711076237445297</v>
      </c>
      <c r="S23" s="5" t="str">
        <f>IFERROR(VLOOKUP(A23,CLIENTE!$A$2:$N$2000,13,0),1)</f>
        <v>Regular</v>
      </c>
      <c r="T23" s="5">
        <f>IFERROR(VLOOKUP(A23,CLIENTE!$A$2:$N$2000,14,0),1)</f>
        <v>1</v>
      </c>
      <c r="U23" s="5">
        <f t="shared" si="4"/>
        <v>35.711076237445297</v>
      </c>
      <c r="V23" s="5" t="str">
        <f>IF(U23&gt;=MAX(_xlfn.PERCENTILE.INC($U$2:$U$1194,PARAMS_MODELO!$B$50),PARAMS_MODELO!$B$45),"DIAMANTE",IF(U23&gt;=MAX(_xlfn.PERCENTILE.INC($U$2:$U$1194,PARAMS_MODELO!$B$51),PARAMS_MODELO!$B$46),"PLATINO",IF(U23&gt;=MAX(_xlfn.PERCENTILE.INC($U$2:$U$1194,PARAMS_MODELO!$B$52),PARAMS_MODELO!$B$47),"ORO",IF(U23&gt;=MAX(_xlfn.PERCENTILE.INC($U$2:$U$1194,PARAMS_MODELO!$B$53),PARAMS_MODELO!$B$48),"PLATA",IF(U23&gt;=1,"BRONCE","CERRADO")))))</f>
        <v>PLATA</v>
      </c>
      <c r="W23" s="5" t="str" cm="1">
        <f t="array" ref="W23">_xlfn.XLOOKUP(1, (HIST_SCORE!$B:$B=PARAMS_MODELO!$B$4) * (HIST_SCORE!$C:$C=A23), HIST_SCORE!$E:$E, "No encontrado")</f>
        <v>ORO</v>
      </c>
      <c r="X23" s="5" t="str">
        <f>_xlfn.LET(_xlpm.act,MATCH(V23,{"DIAMANTE";"PLATINO";"ORO";"PLATA";"BRONCE";"CERRADO"},0),_xlpm.ant,MATCH(W23,{"DIAMANTE";"PLATINO";"ORO";"PLATA";"BRONCE";"CERRADO"},0),IF(_xlpm.act&lt;_xlpm.ant,"Mejora ↑",IF(_xlpm.act&gt;_xlpm.ant,"Baja ↓","Estable →")))</f>
        <v>Baja ↓</v>
      </c>
      <c r="Y23" s="5">
        <f>IFERROR(U23-SUMIFS(HIST_SCORE!$D:$D,HIST_SCORE!$B:$B,PARAMS_MODELO!$B$4,HIST_SCORE!$C:$C,$A23),"")</f>
        <v>-35.595030703714755</v>
      </c>
      <c r="Z23" s="5" t="str">
        <f t="shared" si="5"/>
        <v>↓ Baja</v>
      </c>
      <c r="AA23" s="5">
        <f t="shared" si="6"/>
        <v>804</v>
      </c>
      <c r="AB23" s="5">
        <f>IFERROR(SUMIFS(HIST_SCORE!$F:$F,HIST_SCORE!$B:$B,PARAMS_MODELO!$B$4,HIST_SCORE!$C:$C,$A23),"")</f>
        <v>529</v>
      </c>
      <c r="AC23" s="5">
        <f t="shared" si="7"/>
        <v>-275</v>
      </c>
      <c r="AD23" t="str">
        <f t="shared" si="9"/>
        <v/>
      </c>
      <c r="AE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CERRADO",1,IF(V23="BRONCE",_xlpm.cPl,IF(V23="PLATA",_xlpm.cO,IF(V23="ORO",_xlpm.cP,IF(V23="PLATINO",_xlpm.cD,999))))))</f>
        <v>63.199193273331495</v>
      </c>
      <c r="AF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CERRADO",0,IF(V23="BRONCE",1,IF(V23="PLATA",_xlpm.cPl,IF(V23="ORO",_xlpm.cO,IF(V23="PLATINO",_xlpm.cP,_xlpm.cD))))))</f>
        <v>24.506573482968111</v>
      </c>
      <c r="AG23">
        <f t="shared" si="10"/>
        <v>27.488117035886198</v>
      </c>
      <c r="AH23" t="str">
        <f t="shared" si="11"/>
        <v>VENTAS</v>
      </c>
      <c r="AI23" t="str">
        <f t="shared" si="8"/>
        <v>🎯 Para subir de categoría, eje VENTAS / DIFERENCIAL vs LOTBA (J). Acción: metas semanales + activación comercial + seguimiento del asesor. ΔR aprox: 27,5</v>
      </c>
      <c r="AJ23" s="26">
        <f>_xlfn.LET(_xlpm.piso,AF23,_xlpm.corte,AE23,_xlpm.prog,IF(_xlpm.corte&lt;=_xlpm.piso,0,MAX(0,MIN(1,(U23-_xlpm.piso)/(_xlpm.corte-_xlpm.piso)))),_xlpm.orden,{"DIAMANTE";"PLATINO";"ORO";"PLATA";"BRONCE";"CERRADO"},_xlpm.act,IFERROR(MATCH(V23,_xlpm.orden,0),6),_xlpm.ant,IFERROR(MATCH(W23,_xlpm.orden,0),6),_xlpm.ajmov,IF(_xlpm.act&lt;_xlpm.ant,0.08,IF(_xlpm.act&gt;_xlpm.ant,-0.08,0)),_xlpm.ajcli,IF(T23&lt;0.95,-0.06,0),_xlpm.prob,MAX(0,MIN(1,_xlpm.prog+_xlpm.ajmov+_xlpm.ajcli)),IF(OR(V23="DIAMANTE",V23="CERRADO"),0,ROUND(_xlpm.prob,2)))</f>
        <v>0.21</v>
      </c>
      <c r="AK23" t="str">
        <f t="shared" si="12"/>
        <v>Faltan 27,5 puntos base para subir a la siguiente categoría</v>
      </c>
      <c r="AL23" t="str">
        <f t="shared" si="13"/>
        <v>Margen de seguridad: 11,2 puntos</v>
      </c>
      <c r="AM23">
        <f t="shared" si="14"/>
        <v>0.72</v>
      </c>
      <c r="AN23" t="str">
        <f t="shared" si="15"/>
        <v>PRIORIDAD ALTA – requiere intervención inmediata</v>
      </c>
      <c r="AO23">
        <f t="shared" si="16"/>
        <v>56.673393671535223</v>
      </c>
      <c r="AP23">
        <f t="shared" si="17"/>
        <v>7.8099366315068863E-2</v>
      </c>
      <c r="AQ23">
        <f t="shared" si="18"/>
        <v>0</v>
      </c>
      <c r="AR23">
        <f t="shared" si="19"/>
        <v>7.4</v>
      </c>
      <c r="AS23">
        <f t="shared" si="20"/>
        <v>0</v>
      </c>
      <c r="AT23" t="str">
        <f t="shared" si="21"/>
        <v>VENTAS</v>
      </c>
      <c r="AU23">
        <f t="shared" si="22"/>
        <v>56.673393671535223</v>
      </c>
      <c r="AV23" t="str">
        <f t="shared" si="23"/>
        <v>Mayor retorno probable: VENTAS (+56,7 puntos finales potenciales).</v>
      </c>
    </row>
    <row r="24" spans="1:48" x14ac:dyDescent="0.3">
      <c r="A24" s="5">
        <v>51022734</v>
      </c>
      <c r="B24" s="5" t="str">
        <f>IFERROR(VLOOKUP(A24,VENTAS!$A$2:$B$1194,2,0),"")</f>
        <v>ARGUELLO</v>
      </c>
      <c r="C24" s="5">
        <f>IFERROR(INDEX(VENTAS!$C$2:$E$1194,MATCH(A24,VENTAS!$A$2:$A$1194,0),MATCH(PARAMS_MODELO!$B$2,{"Q1","Q2","Q3"},0)),0)</f>
        <v>192709799.94999999</v>
      </c>
      <c r="D24" s="5">
        <f>IFERROR(INDEX(VENTAS!$F$2:$H$1194,MATCH(A24,VENTAS!$A$2:$A$1194,0),MATCH(PARAMS_MODELO!$B$2,{"Q1","Q2","Q3"},0)),0)</f>
        <v>247021037</v>
      </c>
      <c r="E24" s="8">
        <f t="shared" si="0"/>
        <v>0.28182913927621467</v>
      </c>
      <c r="F24" s="12">
        <f>IF(E24&lt;=PARAMS_MODELO!$B$15,0,IF(E24&gt;=PARAMS_MODELO!$B$17,100,100*MIN(1,(E24-PARAMS_MODELO!$B$15)/(PARAMS_MODELO!$B$16-PARAMS_MODELO!$B$15))))*PARAMS_MODELO!$B$7</f>
        <v>35</v>
      </c>
      <c r="G24" s="5">
        <f t="shared" si="1"/>
        <v>54311237.050000012</v>
      </c>
      <c r="H24" s="5">
        <f>(PARAMS_MODELO!$B$20*(MAX(0,MIN(3,E24))/3)+PARAMS_MODELO!$B$21*(IFERROR(LN(1+MAX(0,G24))/LN(1+MAX(0,MAX($G$2:$G$1194))),0)))*100*PARAMS_MODELO!$B$8</f>
        <v>5.1613712913090577</v>
      </c>
      <c r="I24" s="8">
        <f>E24-PARAMS_MODELO!$B$5</f>
        <v>0.10426630390068814</v>
      </c>
      <c r="J24" s="5">
        <f>IF(I24&lt;=PARAMS_MODELO!$B$18,0,IF(I24&gt;=PARAMS_MODELO!$B$19,100,100*(I24-PARAMS_MODELO!$B$18)/(PARAMS_MODELO!$B$19-PARAMS_MODELO!$B$18)))*PARAMS_MODELO!$B$9</f>
        <v>15</v>
      </c>
      <c r="K24" s="5">
        <f>IFERROR(CHOOSE(MATCH(PARAMS_MODELO!$B$2,{"Q1","Q2","Q3"},0),LOTO!$D24,LOTO!$F24,LOTO!$H24),0)</f>
        <v>12605000</v>
      </c>
      <c r="L24" s="8">
        <f t="shared" si="2"/>
        <v>5.1028042603513159E-2</v>
      </c>
      <c r="M24" s="5">
        <f>MIN(100,IF(PARAMS_MODELO!$B$23=0,0,100*L24/PARAMS_MODELO!$B$23))*PARAMS_MODELO!$B$10</f>
        <v>15</v>
      </c>
      <c r="N24" s="5">
        <f>IFERROR(VLOOKUP(A24,COMPLIANCE!$A$2:$F$1996,6,0),100)</f>
        <v>100</v>
      </c>
      <c r="O24" s="5">
        <f>N24*PARAMS_MODELO!$B$11</f>
        <v>10</v>
      </c>
      <c r="P24" s="5">
        <f>IFERROR(VLOOKUP(A24,DIGITAL!$A$2:$J$2000,7,0),100)</f>
        <v>21</v>
      </c>
      <c r="Q24" s="5">
        <f>IFERROR(P24,0)*PARAMS_MODELO!$B$12</f>
        <v>2.1</v>
      </c>
      <c r="R24">
        <f t="shared" si="3"/>
        <v>82.261371291309047</v>
      </c>
      <c r="S24" s="5" t="str">
        <f>IFERROR(VLOOKUP(A24,CLIENTE!$A$2:$N$2000,13,0),1)</f>
        <v>Malo</v>
      </c>
      <c r="T24" s="5">
        <f>IFERROR(VLOOKUP(A24,CLIENTE!$A$2:$N$2000,14,0),1)</f>
        <v>0.7</v>
      </c>
      <c r="U24" s="5">
        <f t="shared" si="4"/>
        <v>57.582959903916326</v>
      </c>
      <c r="V24" s="5" t="str">
        <f>IF(U24&gt;=MAX(_xlfn.PERCENTILE.INC($U$2:$U$1194,PARAMS_MODELO!$B$50),PARAMS_MODELO!$B$45),"DIAMANTE",IF(U24&gt;=MAX(_xlfn.PERCENTILE.INC($U$2:$U$1194,PARAMS_MODELO!$B$51),PARAMS_MODELO!$B$46),"PLATINO",IF(U24&gt;=MAX(_xlfn.PERCENTILE.INC($U$2:$U$1194,PARAMS_MODELO!$B$52),PARAMS_MODELO!$B$47),"ORO",IF(U24&gt;=MAX(_xlfn.PERCENTILE.INC($U$2:$U$1194,PARAMS_MODELO!$B$53),PARAMS_MODELO!$B$48),"PLATA",IF(U24&gt;=1,"BRONCE","CERRADO")))))</f>
        <v>PLATA</v>
      </c>
      <c r="W24" s="5" t="str" cm="1">
        <f t="array" ref="W24">_xlfn.XLOOKUP(1, (HIST_SCORE!$B:$B=PARAMS_MODELO!$B$4) * (HIST_SCORE!$C:$C=A24), HIST_SCORE!$E:$E, "No encontrado")</f>
        <v>PLATA</v>
      </c>
      <c r="X24" s="5" t="str">
        <f>_xlfn.LET(_xlpm.act,MATCH(V24,{"DIAMANTE";"PLATINO";"ORO";"PLATA";"BRONCE";"CERRADO"},0),_xlpm.ant,MATCH(W24,{"DIAMANTE";"PLATINO";"ORO";"PLATA";"BRONCE";"CERRADO"},0),IF(_xlpm.act&lt;_xlpm.ant,"Mejora ↑",IF(_xlpm.act&gt;_xlpm.ant,"Baja ↓","Estable →")))</f>
        <v>Estable →</v>
      </c>
      <c r="Y24" s="5">
        <f>IFERROR(U24-SUMIFS(HIST_SCORE!$D:$D,HIST_SCORE!$B:$B,PARAMS_MODELO!$B$4,HIST_SCORE!$C:$C,$A24),"")</f>
        <v>1.2965794343636787</v>
      </c>
      <c r="Z24" s="5" t="str">
        <f t="shared" si="5"/>
        <v>→ Estable</v>
      </c>
      <c r="AA24" s="5">
        <f t="shared" si="6"/>
        <v>672</v>
      </c>
      <c r="AB24" s="5">
        <f>IFERROR(SUMIFS(HIST_SCORE!$F:$F,HIST_SCORE!$B:$B,PARAMS_MODELO!$B$4,HIST_SCORE!$C:$C,$A24),"")</f>
        <v>723</v>
      </c>
      <c r="AC24" s="5">
        <f t="shared" si="7"/>
        <v>51</v>
      </c>
      <c r="AD24" t="str">
        <f t="shared" si="9"/>
        <v/>
      </c>
      <c r="AE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CERRADO",1,IF(V24="BRONCE",_xlpm.cPl,IF(V24="PLATA",_xlpm.cO,IF(V24="ORO",_xlpm.cP,IF(V24="PLATINO",_xlpm.cD,999))))))</f>
        <v>63.199193273331495</v>
      </c>
      <c r="AF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CERRADO",0,IF(V24="BRONCE",1,IF(V24="PLATA",_xlpm.cPl,IF(V24="ORO",_xlpm.cO,IF(V24="PLATINO",_xlpm.cP,_xlpm.cD))))))</f>
        <v>24.506573482968111</v>
      </c>
      <c r="AG24">
        <f t="shared" si="10"/>
        <v>8.0231905277359488</v>
      </c>
      <c r="AH24" t="str">
        <f t="shared" si="11"/>
        <v>CLIENTE</v>
      </c>
      <c r="AI24" t="str">
        <f t="shared" si="8"/>
        <v>🎯 Para subir de categoría, la eje con mayor impacto probable es CLIENTE (coef T). Acción: reducir quejas, mejorar incógnito y empujar reseñas. ΔR aprox: 8,0</v>
      </c>
      <c r="AJ24" s="26">
        <f>_xlfn.LET(_xlpm.piso,AF24,_xlpm.corte,AE24,_xlpm.prog,IF(_xlpm.corte&lt;=_xlpm.piso,0,MAX(0,MIN(1,(U24-_xlpm.piso)/(_xlpm.corte-_xlpm.piso)))),_xlpm.orden,{"DIAMANTE";"PLATINO";"ORO";"PLATA";"BRONCE";"CERRADO"},_xlpm.act,IFERROR(MATCH(V24,_xlpm.orden,0),6),_xlpm.ant,IFERROR(MATCH(W24,_xlpm.orden,0),6),_xlpm.ajmov,IF(_xlpm.act&lt;_xlpm.ant,0.08,IF(_xlpm.act&gt;_xlpm.ant,-0.08,0)),_xlpm.ajcli,IF(T24&lt;0.95,-0.06,0),_xlpm.prob,MAX(0,MIN(1,_xlpm.prog+_xlpm.ajmov+_xlpm.ajcli)),IF(OR(V24="DIAMANTE",V24="CERRADO"),0,ROUND(_xlpm.prob,2)))</f>
        <v>0.79</v>
      </c>
      <c r="AK24" t="str">
        <f t="shared" si="12"/>
        <v>Faltan 8,0 puntos base para subir a la siguiente categoría</v>
      </c>
      <c r="AL24" t="str">
        <f t="shared" si="13"/>
        <v>Margen de seguridad: 33,1 puntos</v>
      </c>
      <c r="AM24">
        <f t="shared" si="14"/>
        <v>0.6</v>
      </c>
      <c r="AN24" t="str">
        <f t="shared" si="15"/>
        <v>PRIORIDAD MEDIA – seguimiento del asesor</v>
      </c>
      <c r="AO24">
        <f t="shared" si="16"/>
        <v>6.7908385887905673</v>
      </c>
      <c r="AP24">
        <f t="shared" si="17"/>
        <v>0</v>
      </c>
      <c r="AQ24">
        <f t="shared" si="18"/>
        <v>0</v>
      </c>
      <c r="AR24">
        <f t="shared" si="19"/>
        <v>5.53</v>
      </c>
      <c r="AS24">
        <f t="shared" si="20"/>
        <v>24.678411387392718</v>
      </c>
      <c r="AT24" t="str">
        <f t="shared" si="21"/>
        <v>CLIENTE</v>
      </c>
      <c r="AU24">
        <f t="shared" si="22"/>
        <v>24.678411387392718</v>
      </c>
      <c r="AV24" t="str">
        <f t="shared" si="23"/>
        <v>Mayor retorno probable: CLIENTE (+24,7 puntos finales potenciales).</v>
      </c>
    </row>
    <row r="25" spans="1:48" x14ac:dyDescent="0.3">
      <c r="A25" s="5">
        <v>51036034</v>
      </c>
      <c r="B25" s="5" t="str">
        <f>IFERROR(VLOOKUP(A25,VENTAS!$A$2:$B$1194,2,0),"")</f>
        <v>NELLI</v>
      </c>
      <c r="C25" s="5">
        <f>IFERROR(INDEX(VENTAS!$C$2:$E$1194,MATCH(A25,VENTAS!$A$2:$A$1194,0),MATCH(PARAMS_MODELO!$B$2,{"Q1","Q2","Q3"},0)),0)</f>
        <v>116221399.38</v>
      </c>
      <c r="D25" s="5">
        <f>IFERROR(INDEX(VENTAS!$F$2:$H$1194,MATCH(A25,VENTAS!$A$2:$A$1194,0),MATCH(PARAMS_MODELO!$B$2,{"Q1","Q2","Q3"},0)),0)</f>
        <v>244455866</v>
      </c>
      <c r="E25" s="8">
        <f t="shared" si="0"/>
        <v>1.1033636430475409</v>
      </c>
      <c r="F25" s="12">
        <f>IF(E25&lt;=PARAMS_MODELO!$B$15,0,IF(E25&gt;=PARAMS_MODELO!$B$17,100,100*MIN(1,(E25-PARAMS_MODELO!$B$15)/(PARAMS_MODELO!$B$16-PARAMS_MODELO!$B$15))))*PARAMS_MODELO!$B$7</f>
        <v>35</v>
      </c>
      <c r="G25" s="5">
        <f t="shared" si="1"/>
        <v>128234466.62</v>
      </c>
      <c r="H25" s="5">
        <f>(PARAMS_MODELO!$B$20*(MAX(0,MIN(3,E25))/3)+PARAMS_MODELO!$B$21*(IFERROR(LN(1+MAX(0,G25))/LN(1+MAX(0,MAX($G$2:$G$1194))),0)))*100*PARAMS_MODELO!$B$8</f>
        <v>8.2381339327395295</v>
      </c>
      <c r="I25" s="8">
        <f>E25-PARAMS_MODELO!$B$5</f>
        <v>0.92580080767201434</v>
      </c>
      <c r="J25" s="5">
        <f>IF(I25&lt;=PARAMS_MODELO!$B$18,0,IF(I25&gt;=PARAMS_MODELO!$B$19,100,100*(I25-PARAMS_MODELO!$B$18)/(PARAMS_MODELO!$B$19-PARAMS_MODELO!$B$18)))*PARAMS_MODELO!$B$9</f>
        <v>15</v>
      </c>
      <c r="K25" s="5">
        <f>IFERROR(CHOOSE(MATCH(PARAMS_MODELO!$B$2,{"Q1","Q2","Q3"},0),LOTO!$D25,LOTO!$F25,LOTO!$H25),0)</f>
        <v>12257500</v>
      </c>
      <c r="L25" s="8">
        <f t="shared" si="2"/>
        <v>5.0141975320813124E-2</v>
      </c>
      <c r="M25" s="5">
        <f>MIN(100,IF(PARAMS_MODELO!$B$23=0,0,100*L25/PARAMS_MODELO!$B$23))*PARAMS_MODELO!$B$10</f>
        <v>15</v>
      </c>
      <c r="N25" s="5">
        <f>IFERROR(VLOOKUP(A25,COMPLIANCE!$A$2:$F$1996,6,0),100)</f>
        <v>99.85</v>
      </c>
      <c r="O25" s="5">
        <f>N25*PARAMS_MODELO!$B$11</f>
        <v>9.9849999999999994</v>
      </c>
      <c r="P25" s="5">
        <f>IFERROR(VLOOKUP(A25,DIGITAL!$A$2:$J$2000,7,0),100)</f>
        <v>13</v>
      </c>
      <c r="Q25" s="5">
        <f>IFERROR(P25,0)*PARAMS_MODELO!$B$12</f>
        <v>1.3</v>
      </c>
      <c r="R25">
        <f t="shared" si="3"/>
        <v>84.523133932739526</v>
      </c>
      <c r="S25" s="5" t="str">
        <f>IFERROR(VLOOKUP(A25,CLIENTE!$A$2:$N$2000,13,0),1)</f>
        <v>Regular</v>
      </c>
      <c r="T25" s="5">
        <f>IFERROR(VLOOKUP(A25,CLIENTE!$A$2:$N$2000,14,0),1)</f>
        <v>1</v>
      </c>
      <c r="U25" s="5">
        <f t="shared" si="4"/>
        <v>84.523133932739526</v>
      </c>
      <c r="V25" s="5" t="str">
        <f>IF(U25&gt;=MAX(_xlfn.PERCENTILE.INC($U$2:$U$1194,PARAMS_MODELO!$B$50),PARAMS_MODELO!$B$45),"DIAMANTE",IF(U25&gt;=MAX(_xlfn.PERCENTILE.INC($U$2:$U$1194,PARAMS_MODELO!$B$51),PARAMS_MODELO!$B$46),"PLATINO",IF(U25&gt;=MAX(_xlfn.PERCENTILE.INC($U$2:$U$1194,PARAMS_MODELO!$B$52),PARAMS_MODELO!$B$47),"ORO",IF(U25&gt;=MAX(_xlfn.PERCENTILE.INC($U$2:$U$1194,PARAMS_MODELO!$B$53),PARAMS_MODELO!$B$48),"PLATA",IF(U25&gt;=1,"BRONCE","CERRADO")))))</f>
        <v>ORO</v>
      </c>
      <c r="W25" s="5" t="str" cm="1">
        <f t="array" ref="W25">_xlfn.XLOOKUP(1, (HIST_SCORE!$B:$B=PARAMS_MODELO!$B$4) * (HIST_SCORE!$C:$C=A25), HIST_SCORE!$E:$E, "No encontrado")</f>
        <v>ORO</v>
      </c>
      <c r="X25" s="5" t="str">
        <f>_xlfn.LET(_xlpm.act,MATCH(V25,{"DIAMANTE";"PLATINO";"ORO";"PLATA";"BRONCE";"CERRADO"},0),_xlpm.ant,MATCH(W25,{"DIAMANTE";"PLATINO";"ORO";"PLATA";"BRONCE";"CERRADO"},0),IF(_xlpm.act&lt;_xlpm.ant,"Mejora ↑",IF(_xlpm.act&gt;_xlpm.ant,"Baja ↓","Estable →")))</f>
        <v>Estable →</v>
      </c>
      <c r="Y25" s="5">
        <f>IFERROR(U25-SUMIFS(HIST_SCORE!$D:$D,HIST_SCORE!$B:$B,PARAMS_MODELO!$B$4,HIST_SCORE!$C:$C,$A25),"")</f>
        <v>-1.2499117871468997</v>
      </c>
      <c r="Z25" s="5" t="str">
        <f t="shared" si="5"/>
        <v>→ Estable</v>
      </c>
      <c r="AA25" s="5">
        <f t="shared" si="6"/>
        <v>299</v>
      </c>
      <c r="AB25" s="5">
        <f>IFERROR(SUMIFS(HIST_SCORE!$F:$F,HIST_SCORE!$B:$B,PARAMS_MODELO!$B$4,HIST_SCORE!$C:$C,$A25),"")</f>
        <v>242</v>
      </c>
      <c r="AC25" s="5">
        <f t="shared" si="7"/>
        <v>-57</v>
      </c>
      <c r="AD25" t="str">
        <f t="shared" si="9"/>
        <v>Sostener base y reforzar mix</v>
      </c>
      <c r="AE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CERRADO",1,IF(V25="BRONCE",_xlpm.cPl,IF(V25="PLATA",_xlpm.cO,IF(V25="ORO",_xlpm.cP,IF(V25="PLATINO",_xlpm.cD,999))))))</f>
        <v>86.439123873763251</v>
      </c>
      <c r="AF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CERRADO",0,IF(V25="BRONCE",1,IF(V25="PLATA",_xlpm.cPl,IF(V25="ORO",_xlpm.cO,IF(V25="PLATINO",_xlpm.cP,_xlpm.cD))))))</f>
        <v>63.199193273331495</v>
      </c>
      <c r="AG25">
        <f t="shared" si="10"/>
        <v>1.9159899410237244</v>
      </c>
      <c r="AH25" t="str">
        <f t="shared" si="11"/>
        <v>VENTAS</v>
      </c>
      <c r="AI25" t="str">
        <f t="shared" si="8"/>
        <v>🎯 Para subir de categoría, eje VENTAS / IMPACTO ABSOLUTO (H). Acción: metas semanales + activación comercial + seguimiento del asesor. ΔR aprox: 1,9</v>
      </c>
      <c r="AJ25" s="26">
        <f>_xlfn.LET(_xlpm.piso,AF25,_xlpm.corte,AE25,_xlpm.prog,IF(_xlpm.corte&lt;=_xlpm.piso,0,MAX(0,MIN(1,(U25-_xlpm.piso)/(_xlpm.corte-_xlpm.piso)))),_xlpm.orden,{"DIAMANTE";"PLATINO";"ORO";"PLATA";"BRONCE";"CERRADO"},_xlpm.act,IFERROR(MATCH(V25,_xlpm.orden,0),6),_xlpm.ant,IFERROR(MATCH(W25,_xlpm.orden,0),6),_xlpm.ajmov,IF(_xlpm.act&lt;_xlpm.ant,0.08,IF(_xlpm.act&gt;_xlpm.ant,-0.08,0)),_xlpm.ajcli,IF(T25&lt;0.95,-0.06,0),_xlpm.prob,MAX(0,MIN(1,_xlpm.prog+_xlpm.ajmov+_xlpm.ajcli)),IF(OR(V25="DIAMANTE",V25="CERRADO"),0,ROUND(_xlpm.prob,2)))</f>
        <v>0.92</v>
      </c>
      <c r="AK25" t="str">
        <f t="shared" si="12"/>
        <v>Faltan 1,9 puntos base para subir a la siguiente categoría</v>
      </c>
      <c r="AL25" t="str">
        <f t="shared" si="13"/>
        <v>Margen de seguridad: 21,3 puntos</v>
      </c>
      <c r="AM25">
        <f t="shared" si="14"/>
        <v>0.11</v>
      </c>
      <c r="AN25" t="str">
        <f t="shared" si="15"/>
        <v>PRIORIDAD BAJA – control normal</v>
      </c>
      <c r="AO25">
        <f t="shared" si="16"/>
        <v>6.6244353425560547</v>
      </c>
      <c r="AP25">
        <f t="shared" si="17"/>
        <v>0</v>
      </c>
      <c r="AQ25">
        <f t="shared" si="18"/>
        <v>1.5000000000000568E-2</v>
      </c>
      <c r="AR25">
        <f t="shared" si="19"/>
        <v>8.6999999999999993</v>
      </c>
      <c r="AS25">
        <f t="shared" si="20"/>
        <v>0</v>
      </c>
      <c r="AT25" t="str">
        <f t="shared" si="21"/>
        <v>DIGITAL</v>
      </c>
      <c r="AU25">
        <f t="shared" si="22"/>
        <v>8.6999999999999993</v>
      </c>
      <c r="AV25" t="str">
        <f t="shared" si="23"/>
        <v>Mayor retorno probable: DIGITAL (+8,7 puntos finales potenciales).</v>
      </c>
    </row>
    <row r="26" spans="1:48" x14ac:dyDescent="0.3">
      <c r="A26" s="5">
        <v>51019954</v>
      </c>
      <c r="B26" s="5" t="str">
        <f>IFERROR(VLOOKUP(A26,VENTAS!$A$2:$B$1194,2,0),"")</f>
        <v>ARGUELLO</v>
      </c>
      <c r="C26" s="5">
        <f>IFERROR(INDEX(VENTAS!$C$2:$E$1194,MATCH(A26,VENTAS!$A$2:$A$1194,0),MATCH(PARAMS_MODELO!$B$2,{"Q1","Q2","Q3"},0)),0)</f>
        <v>180243626.44999999</v>
      </c>
      <c r="D26" s="5">
        <f>IFERROR(INDEX(VENTAS!$F$2:$H$1194,MATCH(A26,VENTAS!$A$2:$A$1194,0),MATCH(PARAMS_MODELO!$B$2,{"Q1","Q2","Q3"},0)),0)</f>
        <v>241268438</v>
      </c>
      <c r="E26" s="8">
        <f t="shared" si="0"/>
        <v>0.33856848506611925</v>
      </c>
      <c r="F26" s="12">
        <f>IF(E26&lt;=PARAMS_MODELO!$B$15,0,IF(E26&gt;=PARAMS_MODELO!$B$17,100,100*MIN(1,(E26-PARAMS_MODELO!$B$15)/(PARAMS_MODELO!$B$16-PARAMS_MODELO!$B$15))))*PARAMS_MODELO!$B$7</f>
        <v>35</v>
      </c>
      <c r="G26" s="5">
        <f t="shared" si="1"/>
        <v>61024811.550000012</v>
      </c>
      <c r="H26" s="5">
        <f>(PARAMS_MODELO!$B$20*(MAX(0,MIN(3,E26))/3)+PARAMS_MODELO!$B$21*(IFERROR(LN(1+MAX(0,G26))/LN(1+MAX(0,MAX($G$2:$G$1194))),0)))*100*PARAMS_MODELO!$B$8</f>
        <v>5.387279802608008</v>
      </c>
      <c r="I26" s="8">
        <f>E26-PARAMS_MODELO!$B$5</f>
        <v>0.16100564969059272</v>
      </c>
      <c r="J26" s="5">
        <f>IF(I26&lt;=PARAMS_MODELO!$B$18,0,IF(I26&gt;=PARAMS_MODELO!$B$19,100,100*(I26-PARAMS_MODELO!$B$18)/(PARAMS_MODELO!$B$19-PARAMS_MODELO!$B$18)))*PARAMS_MODELO!$B$9</f>
        <v>15</v>
      </c>
      <c r="K26" s="5">
        <f>IFERROR(CHOOSE(MATCH(PARAMS_MODELO!$B$2,{"Q1","Q2","Q3"},0),LOTO!$D26,LOTO!$F26,LOTO!$H26),0)</f>
        <v>12210000</v>
      </c>
      <c r="L26" s="8">
        <f t="shared" si="2"/>
        <v>5.0607531184829073E-2</v>
      </c>
      <c r="M26" s="5">
        <f>MIN(100,IF(PARAMS_MODELO!$B$23=0,0,100*L26/PARAMS_MODELO!$B$23))*PARAMS_MODELO!$B$10</f>
        <v>15</v>
      </c>
      <c r="N26" s="5">
        <f>IFERROR(VLOOKUP(A26,COMPLIANCE!$A$2:$F$1996,6,0),100)</f>
        <v>100</v>
      </c>
      <c r="O26" s="5">
        <f>N26*PARAMS_MODELO!$B$11</f>
        <v>10</v>
      </c>
      <c r="P26" s="5">
        <f>IFERROR(VLOOKUP(A26,DIGITAL!$A$2:$J$2000,7,0),100)</f>
        <v>25</v>
      </c>
      <c r="Q26" s="5">
        <f>IFERROR(P26,0)*PARAMS_MODELO!$B$12</f>
        <v>2.5</v>
      </c>
      <c r="R26">
        <f t="shared" si="3"/>
        <v>82.887279802608006</v>
      </c>
      <c r="S26" s="5" t="str">
        <f>IFERROR(VLOOKUP(A26,CLIENTE!$A$2:$N$2000,13,0),1)</f>
        <v>Malo</v>
      </c>
      <c r="T26" s="5">
        <f>IFERROR(VLOOKUP(A26,CLIENTE!$A$2:$N$2000,14,0),1)</f>
        <v>0.7</v>
      </c>
      <c r="U26" s="5">
        <f t="shared" si="4"/>
        <v>58.0210958618256</v>
      </c>
      <c r="V26" s="5" t="str">
        <f>IF(U26&gt;=MAX(_xlfn.PERCENTILE.INC($U$2:$U$1194,PARAMS_MODELO!$B$50),PARAMS_MODELO!$B$45),"DIAMANTE",IF(U26&gt;=MAX(_xlfn.PERCENTILE.INC($U$2:$U$1194,PARAMS_MODELO!$B$51),PARAMS_MODELO!$B$46),"PLATINO",IF(U26&gt;=MAX(_xlfn.PERCENTILE.INC($U$2:$U$1194,PARAMS_MODELO!$B$52),PARAMS_MODELO!$B$47),"ORO",IF(U26&gt;=MAX(_xlfn.PERCENTILE.INC($U$2:$U$1194,PARAMS_MODELO!$B$53),PARAMS_MODELO!$B$48),"PLATA",IF(U26&gt;=1,"BRONCE","CERRADO")))))</f>
        <v>PLATA</v>
      </c>
      <c r="W26" s="5" t="str" cm="1">
        <f t="array" ref="W26">_xlfn.XLOOKUP(1, (HIST_SCORE!$B:$B=PARAMS_MODELO!$B$4) * (HIST_SCORE!$C:$C=A26), HIST_SCORE!$E:$E, "No encontrado")</f>
        <v>PLATA</v>
      </c>
      <c r="X26" s="5" t="str">
        <f>_xlfn.LET(_xlpm.act,MATCH(V26,{"DIAMANTE";"PLATINO";"ORO";"PLATA";"BRONCE";"CERRADO"},0),_xlpm.ant,MATCH(W26,{"DIAMANTE";"PLATINO";"ORO";"PLATA";"BRONCE";"CERRADO"},0),IF(_xlpm.act&lt;_xlpm.ant,"Mejora ↑",IF(_xlpm.act&gt;_xlpm.ant,"Baja ↓","Estable →")))</f>
        <v>Estable →</v>
      </c>
      <c r="Y26" s="5">
        <f>IFERROR(U26-SUMIFS(HIST_SCORE!$D:$D,HIST_SCORE!$B:$B,PARAMS_MODELO!$B$4,HIST_SCORE!$C:$C,$A26),"")</f>
        <v>0.49799167902689589</v>
      </c>
      <c r="Z26" s="5" t="str">
        <f t="shared" si="5"/>
        <v>→ Estable</v>
      </c>
      <c r="AA26" s="5">
        <f t="shared" si="6"/>
        <v>662</v>
      </c>
      <c r="AB26" s="5">
        <f>IFERROR(SUMIFS(HIST_SCORE!$F:$F,HIST_SCORE!$B:$B,PARAMS_MODELO!$B$4,HIST_SCORE!$C:$C,$A26),"")</f>
        <v>700</v>
      </c>
      <c r="AC26" s="5">
        <f t="shared" si="7"/>
        <v>38</v>
      </c>
      <c r="AD26" t="str">
        <f t="shared" si="9"/>
        <v/>
      </c>
      <c r="AE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CERRADO",1,IF(V26="BRONCE",_xlpm.cPl,IF(V26="PLATA",_xlpm.cO,IF(V26="ORO",_xlpm.cP,IF(V26="PLATINO",_xlpm.cD,999))))))</f>
        <v>63.199193273331495</v>
      </c>
      <c r="AF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CERRADO",0,IF(V26="BRONCE",1,IF(V26="PLATA",_xlpm.cPl,IF(V26="ORO",_xlpm.cO,IF(V26="PLATINO",_xlpm.cP,_xlpm.cD))))))</f>
        <v>24.506573482968111</v>
      </c>
      <c r="AG26">
        <f t="shared" si="10"/>
        <v>7.3972820164369892</v>
      </c>
      <c r="AH26" t="str">
        <f t="shared" si="11"/>
        <v>CLIENTE</v>
      </c>
      <c r="AI26" t="str">
        <f t="shared" si="8"/>
        <v>🎯 Para subir de categoría, la eje con mayor impacto probable es CLIENTE (coef T). Acción: reducir quejas, mejorar incógnito y empujar reseñas. ΔR aprox: 7,4</v>
      </c>
      <c r="AJ26" s="26">
        <f>_xlfn.LET(_xlpm.piso,AF26,_xlpm.corte,AE26,_xlpm.prog,IF(_xlpm.corte&lt;=_xlpm.piso,0,MAX(0,MIN(1,(U26-_xlpm.piso)/(_xlpm.corte-_xlpm.piso)))),_xlpm.orden,{"DIAMANTE";"PLATINO";"ORO";"PLATA";"BRONCE";"CERRADO"},_xlpm.act,IFERROR(MATCH(V26,_xlpm.orden,0),6),_xlpm.ant,IFERROR(MATCH(W26,_xlpm.orden,0),6),_xlpm.ajmov,IF(_xlpm.act&lt;_xlpm.ant,0.08,IF(_xlpm.act&gt;_xlpm.ant,-0.08,0)),_xlpm.ajcli,IF(T26&lt;0.95,-0.06,0),_xlpm.prob,MAX(0,MIN(1,_xlpm.prog+_xlpm.ajmov+_xlpm.ajcli)),IF(OR(V26="DIAMANTE",V26="CERRADO"),0,ROUND(_xlpm.prob,2)))</f>
        <v>0.81</v>
      </c>
      <c r="AK26" t="str">
        <f t="shared" si="12"/>
        <v>Faltan 7,4 puntos base para subir a la siguiente categoría</v>
      </c>
      <c r="AL26" t="str">
        <f t="shared" si="13"/>
        <v>Margen de seguridad: 33,5 puntos</v>
      </c>
      <c r="AM26">
        <f t="shared" si="14"/>
        <v>0.56999999999999995</v>
      </c>
      <c r="AN26" t="str">
        <f t="shared" si="15"/>
        <v>PRIORIDAD MEDIA – seguimiento del asesor</v>
      </c>
      <c r="AO26">
        <f t="shared" si="16"/>
        <v>6.6327026308813046</v>
      </c>
      <c r="AP26">
        <f t="shared" si="17"/>
        <v>0</v>
      </c>
      <c r="AQ26">
        <f t="shared" si="18"/>
        <v>0</v>
      </c>
      <c r="AR26">
        <f t="shared" si="19"/>
        <v>5.25</v>
      </c>
      <c r="AS26">
        <f t="shared" si="20"/>
        <v>24.866183940782406</v>
      </c>
      <c r="AT26" t="str">
        <f t="shared" si="21"/>
        <v>CLIENTE</v>
      </c>
      <c r="AU26">
        <f t="shared" si="22"/>
        <v>24.866183940782406</v>
      </c>
      <c r="AV26" t="str">
        <f t="shared" si="23"/>
        <v>Mayor retorno probable: CLIENTE (+24,9 puntos finales potenciales).</v>
      </c>
    </row>
    <row r="27" spans="1:48" x14ac:dyDescent="0.3">
      <c r="A27" s="5">
        <v>51041895</v>
      </c>
      <c r="B27" s="5" t="str">
        <f>IFERROR(VLOOKUP(A27,VENTAS!$A$2:$B$1194,2,0),"")</f>
        <v>CICHETTO</v>
      </c>
      <c r="C27" s="5">
        <f>IFERROR(INDEX(VENTAS!$C$2:$E$1194,MATCH(A27,VENTAS!$A$2:$A$1194,0),MATCH(PARAMS_MODELO!$B$2,{"Q1","Q2","Q3"},0)),0)</f>
        <v>213637288.99000001</v>
      </c>
      <c r="D27" s="5">
        <f>IFERROR(INDEX(VENTAS!$F$2:$H$1194,MATCH(A27,VENTAS!$A$2:$A$1194,0),MATCH(PARAMS_MODELO!$B$2,{"Q1","Q2","Q3"},0)),0)</f>
        <v>241159246</v>
      </c>
      <c r="E27" s="8">
        <f t="shared" si="0"/>
        <v>0.12882562374814754</v>
      </c>
      <c r="F27" s="12">
        <f>IF(E27&lt;=PARAMS_MODELO!$B$15,0,IF(E27&gt;=PARAMS_MODELO!$B$17,100,100*MIN(1,(E27-PARAMS_MODELO!$B$15)/(PARAMS_MODELO!$B$16-PARAMS_MODELO!$B$15))))*PARAMS_MODELO!$B$7</f>
        <v>35</v>
      </c>
      <c r="G27" s="5">
        <f t="shared" si="1"/>
        <v>27521957.00999999</v>
      </c>
      <c r="H27" s="5">
        <f>(PARAMS_MODELO!$B$20*(MAX(0,MIN(3,E27))/3)+PARAMS_MODELO!$B$21*(IFERROR(LN(1+MAX(0,G27))/LN(1+MAX(0,MAX($G$2:$G$1194))),0)))*100*PARAMS_MODELO!$B$8</f>
        <v>4.466516798400618</v>
      </c>
      <c r="I27" s="8">
        <f>E27-PARAMS_MODELO!$B$5</f>
        <v>-4.8737211627378985E-2</v>
      </c>
      <c r="J27" s="5">
        <f>IF(I27&lt;=PARAMS_MODELO!$B$18,0,IF(I27&gt;=PARAMS_MODELO!$B$19,100,100*(I27-PARAMS_MODELO!$B$18)/(PARAMS_MODELO!$B$19-PARAMS_MODELO!$B$18)))*PARAMS_MODELO!$B$9</f>
        <v>0.1894182558931527</v>
      </c>
      <c r="K27" s="5">
        <f>IFERROR(CHOOSE(MATCH(PARAMS_MODELO!$B$2,{"Q1","Q2","Q3"},0),LOTO!$D27,LOTO!$F27,LOTO!$H27),0)</f>
        <v>12192500</v>
      </c>
      <c r="L27" s="8">
        <f t="shared" si="2"/>
        <v>5.0557879087082563E-2</v>
      </c>
      <c r="M27" s="5">
        <f>MIN(100,IF(PARAMS_MODELO!$B$23=0,0,100*L27/PARAMS_MODELO!$B$23))*PARAMS_MODELO!$B$10</f>
        <v>15</v>
      </c>
      <c r="N27" s="5">
        <f>IFERROR(VLOOKUP(A27,COMPLIANCE!$A$2:$F$1996,6,0),100)</f>
        <v>100</v>
      </c>
      <c r="O27" s="5">
        <f>N27*PARAMS_MODELO!$B$11</f>
        <v>10</v>
      </c>
      <c r="P27" s="5">
        <f>IFERROR(VLOOKUP(A27,DIGITAL!$A$2:$J$2000,7,0),100)</f>
        <v>68</v>
      </c>
      <c r="Q27" s="5">
        <f>IFERROR(P27,0)*PARAMS_MODELO!$B$12</f>
        <v>6.8000000000000007</v>
      </c>
      <c r="R27">
        <f t="shared" si="3"/>
        <v>71.455935054293761</v>
      </c>
      <c r="S27" s="5" t="str">
        <f>IFERROR(VLOOKUP(A27,CLIENTE!$A$2:$N$2000,13,0),1)</f>
        <v>Regular</v>
      </c>
      <c r="T27" s="5">
        <f>IFERROR(VLOOKUP(A27,CLIENTE!$A$2:$N$2000,14,0),1)</f>
        <v>1</v>
      </c>
      <c r="U27" s="5">
        <f t="shared" si="4"/>
        <v>71.455935054293761</v>
      </c>
      <c r="V27" s="5" t="str">
        <f>IF(U27&gt;=MAX(_xlfn.PERCENTILE.INC($U$2:$U$1194,PARAMS_MODELO!$B$50),PARAMS_MODELO!$B$45),"DIAMANTE",IF(U27&gt;=MAX(_xlfn.PERCENTILE.INC($U$2:$U$1194,PARAMS_MODELO!$B$51),PARAMS_MODELO!$B$46),"PLATINO",IF(U27&gt;=MAX(_xlfn.PERCENTILE.INC($U$2:$U$1194,PARAMS_MODELO!$B$52),PARAMS_MODELO!$B$47),"ORO",IF(U27&gt;=MAX(_xlfn.PERCENTILE.INC($U$2:$U$1194,PARAMS_MODELO!$B$53),PARAMS_MODELO!$B$48),"PLATA",IF(U27&gt;=1,"BRONCE","CERRADO")))))</f>
        <v>ORO</v>
      </c>
      <c r="W27" s="5" t="str" cm="1">
        <f t="array" ref="W27">_xlfn.XLOOKUP(1, (HIST_SCORE!$B:$B=PARAMS_MODELO!$B$4) * (HIST_SCORE!$C:$C=A27), HIST_SCORE!$E:$E, "No encontrado")</f>
        <v>ORO</v>
      </c>
      <c r="X27" s="5" t="str">
        <f>_xlfn.LET(_xlpm.act,MATCH(V27,{"DIAMANTE";"PLATINO";"ORO";"PLATA";"BRONCE";"CERRADO"},0),_xlpm.ant,MATCH(W27,{"DIAMANTE";"PLATINO";"ORO";"PLATA";"BRONCE";"CERRADO"},0),IF(_xlpm.act&lt;_xlpm.ant,"Mejora ↑",IF(_xlpm.act&gt;_xlpm.ant,"Baja ↓","Estable →")))</f>
        <v>Estable →</v>
      </c>
      <c r="Y27" s="5">
        <f>IFERROR(U27-SUMIFS(HIST_SCORE!$D:$D,HIST_SCORE!$B:$B,PARAMS_MODELO!$B$4,HIST_SCORE!$C:$C,$A27),"")</f>
        <v>-5.6039564505335306</v>
      </c>
      <c r="Z27" s="5" t="str">
        <f t="shared" si="5"/>
        <v>↓ Baja</v>
      </c>
      <c r="AA27" s="5">
        <f t="shared" si="6"/>
        <v>502</v>
      </c>
      <c r="AB27" s="5">
        <f>IFERROR(SUMIFS(HIST_SCORE!$F:$F,HIST_SCORE!$B:$B,PARAMS_MODELO!$B$4,HIST_SCORE!$C:$C,$A27),"")</f>
        <v>468</v>
      </c>
      <c r="AC27" s="5">
        <f t="shared" si="7"/>
        <v>-34</v>
      </c>
      <c r="AD27" t="str">
        <f t="shared" si="9"/>
        <v>Sostener base y reforzar mix</v>
      </c>
      <c r="AE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CERRADO",1,IF(V27="BRONCE",_xlpm.cPl,IF(V27="PLATA",_xlpm.cO,IF(V27="ORO",_xlpm.cP,IF(V27="PLATINO",_xlpm.cD,999))))))</f>
        <v>86.439123873763251</v>
      </c>
      <c r="AF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CERRADO",0,IF(V27="BRONCE",1,IF(V27="PLATA",_xlpm.cPl,IF(V27="ORO",_xlpm.cO,IF(V27="PLATINO",_xlpm.cP,_xlpm.cD))))))</f>
        <v>63.199193273331495</v>
      </c>
      <c r="AG27">
        <f t="shared" si="10"/>
        <v>14.98318881946949</v>
      </c>
      <c r="AH27" t="str">
        <f t="shared" si="11"/>
        <v>VENTAS</v>
      </c>
      <c r="AI27" t="str">
        <f t="shared" si="8"/>
        <v>🎯 Para subir de categoría, eje VENTAS / DIFERENCIAL vs LOTBA (J). Acción: metas semanales + activación comercial + seguimiento del asesor. ΔR aprox: 15,0</v>
      </c>
      <c r="AJ27" s="26">
        <f>_xlfn.LET(_xlpm.piso,AF27,_xlpm.corte,AE27,_xlpm.prog,IF(_xlpm.corte&lt;=_xlpm.piso,0,MAX(0,MIN(1,(U27-_xlpm.piso)/(_xlpm.corte-_xlpm.piso)))),_xlpm.orden,{"DIAMANTE";"PLATINO";"ORO";"PLATA";"BRONCE";"CERRADO"},_xlpm.act,IFERROR(MATCH(V27,_xlpm.orden,0),6),_xlpm.ant,IFERROR(MATCH(W27,_xlpm.orden,0),6),_xlpm.ajmov,IF(_xlpm.act&lt;_xlpm.ant,0.08,IF(_xlpm.act&gt;_xlpm.ant,-0.08,0)),_xlpm.ajcli,IF(T27&lt;0.95,-0.06,0),_xlpm.prob,MAX(0,MIN(1,_xlpm.prog+_xlpm.ajmov+_xlpm.ajcli)),IF(OR(V27="DIAMANTE",V27="CERRADO"),0,ROUND(_xlpm.prob,2)))</f>
        <v>0.36</v>
      </c>
      <c r="AK27" t="str">
        <f t="shared" si="12"/>
        <v>Faltan 15,0 puntos base para subir a la siguiente categoría</v>
      </c>
      <c r="AL27" t="str">
        <f t="shared" si="13"/>
        <v>Margen de seguridad: 8,3 puntos</v>
      </c>
      <c r="AM27">
        <f t="shared" si="14"/>
        <v>0.66</v>
      </c>
      <c r="AN27" t="str">
        <f t="shared" si="15"/>
        <v>PRIORIDAD MEDIA – seguimiento del asesor</v>
      </c>
      <c r="AO27">
        <f t="shared" si="16"/>
        <v>25.206634221001814</v>
      </c>
      <c r="AP27">
        <f t="shared" si="17"/>
        <v>0</v>
      </c>
      <c r="AQ27">
        <f t="shared" si="18"/>
        <v>0</v>
      </c>
      <c r="AR27">
        <f t="shared" si="19"/>
        <v>3.1999999999999993</v>
      </c>
      <c r="AS27">
        <f t="shared" si="20"/>
        <v>0</v>
      </c>
      <c r="AT27" t="str">
        <f t="shared" si="21"/>
        <v>VENTAS</v>
      </c>
      <c r="AU27">
        <f t="shared" si="22"/>
        <v>25.206634221001814</v>
      </c>
      <c r="AV27" t="str">
        <f t="shared" si="23"/>
        <v>Mayor retorno probable: VENTAS (+25,2 puntos finales potenciales).</v>
      </c>
    </row>
    <row r="28" spans="1:48" x14ac:dyDescent="0.3">
      <c r="A28" s="5">
        <v>51031075</v>
      </c>
      <c r="B28" s="5" t="str">
        <f>IFERROR(VLOOKUP(A28,VENTAS!$A$2:$B$1194,2,0),"")</f>
        <v>PUGH</v>
      </c>
      <c r="C28" s="5">
        <f>IFERROR(INDEX(VENTAS!$C$2:$E$1194,MATCH(A28,VENTAS!$A$2:$A$1194,0),MATCH(PARAMS_MODELO!$B$2,{"Q1","Q2","Q3"},0)),0)</f>
        <v>152362745.09999999</v>
      </c>
      <c r="D28" s="5">
        <f>IFERROR(INDEX(VENTAS!$F$2:$H$1194,MATCH(A28,VENTAS!$A$2:$A$1194,0),MATCH(PARAMS_MODELO!$B$2,{"Q1","Q2","Q3"},0)),0)</f>
        <v>239010718</v>
      </c>
      <c r="E28" s="8">
        <f t="shared" si="0"/>
        <v>0.56869527287087451</v>
      </c>
      <c r="F28" s="12">
        <f>IF(E28&lt;=PARAMS_MODELO!$B$15,0,IF(E28&gt;=PARAMS_MODELO!$B$17,100,100*MIN(1,(E28-PARAMS_MODELO!$B$15)/(PARAMS_MODELO!$B$16-PARAMS_MODELO!$B$15))))*PARAMS_MODELO!$B$7</f>
        <v>35</v>
      </c>
      <c r="G28" s="5">
        <f t="shared" si="1"/>
        <v>86647972.900000006</v>
      </c>
      <c r="H28" s="5">
        <f>(PARAMS_MODELO!$B$20*(MAX(0,MIN(3,E28))/3)+PARAMS_MODELO!$B$21*(IFERROR(LN(1+MAX(0,G28))/LN(1+MAX(0,MAX($G$2:$G$1194))),0)))*100*PARAMS_MODELO!$B$8</f>
        <v>6.2749027861670115</v>
      </c>
      <c r="I28" s="8">
        <f>E28-PARAMS_MODELO!$B$5</f>
        <v>0.39113243749534798</v>
      </c>
      <c r="J28" s="5">
        <f>IF(I28&lt;=PARAMS_MODELO!$B$18,0,IF(I28&gt;=PARAMS_MODELO!$B$19,100,100*(I28-PARAMS_MODELO!$B$18)/(PARAMS_MODELO!$B$19-PARAMS_MODELO!$B$18)))*PARAMS_MODELO!$B$9</f>
        <v>15</v>
      </c>
      <c r="K28" s="5">
        <f>IFERROR(CHOOSE(MATCH(PARAMS_MODELO!$B$2,{"Q1","Q2","Q3"},0),LOTO!$D28,LOTO!$F28,LOTO!$H28),0)</f>
        <v>12157500</v>
      </c>
      <c r="L28" s="8">
        <f t="shared" si="2"/>
        <v>5.0865919745071854E-2</v>
      </c>
      <c r="M28" s="5">
        <f>MIN(100,IF(PARAMS_MODELO!$B$23=0,0,100*L28/PARAMS_MODELO!$B$23))*PARAMS_MODELO!$B$10</f>
        <v>15</v>
      </c>
      <c r="N28" s="5">
        <f>IFERROR(VLOOKUP(A28,COMPLIANCE!$A$2:$F$1996,6,0),100)</f>
        <v>100</v>
      </c>
      <c r="O28" s="5">
        <f>N28*PARAMS_MODELO!$B$11</f>
        <v>10</v>
      </c>
      <c r="P28" s="5">
        <f>IFERROR(VLOOKUP(A28,DIGITAL!$A$2:$J$2000,7,0),100)</f>
        <v>24</v>
      </c>
      <c r="Q28" s="5">
        <f>IFERROR(P28,0)*PARAMS_MODELO!$B$12</f>
        <v>2.4000000000000004</v>
      </c>
      <c r="R28">
        <f t="shared" si="3"/>
        <v>83.674902786167024</v>
      </c>
      <c r="S28" s="5" t="str">
        <f>IFERROR(VLOOKUP(A28,CLIENTE!$A$2:$N$2000,13,0),1)</f>
        <v>Muy Bueno</v>
      </c>
      <c r="T28" s="5">
        <f>IFERROR(VLOOKUP(A28,CLIENTE!$A$2:$N$2000,14,0),1)</f>
        <v>1.1499999999999999</v>
      </c>
      <c r="U28" s="5">
        <f t="shared" si="4"/>
        <v>96.226138204092067</v>
      </c>
      <c r="V28" s="5" t="str">
        <f>IF(U28&gt;=MAX(_xlfn.PERCENTILE.INC($U$2:$U$1194,PARAMS_MODELO!$B$50),PARAMS_MODELO!$B$45),"DIAMANTE",IF(U28&gt;=MAX(_xlfn.PERCENTILE.INC($U$2:$U$1194,PARAMS_MODELO!$B$51),PARAMS_MODELO!$B$46),"PLATINO",IF(U28&gt;=MAX(_xlfn.PERCENTILE.INC($U$2:$U$1194,PARAMS_MODELO!$B$52),PARAMS_MODELO!$B$47),"ORO",IF(U28&gt;=MAX(_xlfn.PERCENTILE.INC($U$2:$U$1194,PARAMS_MODELO!$B$53),PARAMS_MODELO!$B$48),"PLATA",IF(U28&gt;=1,"BRONCE","CERRADO")))))</f>
        <v>DIAMANTE</v>
      </c>
      <c r="W28" s="5" t="str" cm="1">
        <f t="array" ref="W28">_xlfn.XLOOKUP(1, (HIST_SCORE!$B:$B=PARAMS_MODELO!$B$4) * (HIST_SCORE!$C:$C=A28), HIST_SCORE!$E:$E, "No encontrado")</f>
        <v>DIAMANTE</v>
      </c>
      <c r="X28" s="5" t="str">
        <f>_xlfn.LET(_xlpm.act,MATCH(V28,{"DIAMANTE";"PLATINO";"ORO";"PLATA";"BRONCE";"CERRADO"},0),_xlpm.ant,MATCH(W28,{"DIAMANTE";"PLATINO";"ORO";"PLATA";"BRONCE";"CERRADO"},0),IF(_xlpm.act&lt;_xlpm.ant,"Mejora ↑",IF(_xlpm.act&gt;_xlpm.ant,"Baja ↓","Estable →")))</f>
        <v>Estable →</v>
      </c>
      <c r="Y28" s="5">
        <f>IFERROR(U28-SUMIFS(HIST_SCORE!$D:$D,HIST_SCORE!$B:$B,PARAMS_MODELO!$B$4,HIST_SCORE!$C:$C,$A28),"")</f>
        <v>0.939065709987986</v>
      </c>
      <c r="Z28" s="5" t="str">
        <f t="shared" si="5"/>
        <v>→ Estable</v>
      </c>
      <c r="AA28" s="5">
        <f t="shared" si="6"/>
        <v>58</v>
      </c>
      <c r="AB28" s="5">
        <f>IFERROR(SUMIFS(HIST_SCORE!$F:$F,HIST_SCORE!$B:$B,PARAMS_MODELO!$B$4,HIST_SCORE!$C:$C,$A28),"")</f>
        <v>58</v>
      </c>
      <c r="AC28" s="5">
        <f t="shared" si="7"/>
        <v>0</v>
      </c>
      <c r="AD28" t="str">
        <f t="shared" si="9"/>
        <v/>
      </c>
      <c r="AE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CERRADO",1,IF(V28="BRONCE",_xlpm.cPl,IF(V28="PLATA",_xlpm.cO,IF(V28="ORO",_xlpm.cP,IF(V28="PLATINO",_xlpm.cD,999))))))</f>
        <v>999</v>
      </c>
      <c r="AF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CERRADO",0,IF(V28="BRONCE",1,IF(V28="PLATA",_xlpm.cPl,IF(V28="ORO",_xlpm.cO,IF(V28="PLATINO",_xlpm.cP,_xlpm.cD))))))</f>
        <v>96.054919694466676</v>
      </c>
      <c r="AG28">
        <f t="shared" si="10"/>
        <v>785.02074938774604</v>
      </c>
      <c r="AH28" t="str">
        <f t="shared" si="11"/>
        <v>SOSTENER</v>
      </c>
      <c r="AI28" t="str">
        <f t="shared" si="8"/>
        <v>✅ Mantener desempeño y monitorear variaciones para sostener categoría.</v>
      </c>
      <c r="AJ28" s="26">
        <f>_xlfn.LET(_xlpm.piso,AF28,_xlpm.corte,AE28,_xlpm.prog,IF(_xlpm.corte&lt;=_xlpm.piso,0,MAX(0,MIN(1,(U28-_xlpm.piso)/(_xlpm.corte-_xlpm.piso)))),_xlpm.orden,{"DIAMANTE";"PLATINO";"ORO";"PLATA";"BRONCE";"CERRADO"},_xlpm.act,IFERROR(MATCH(V28,_xlpm.orden,0),6),_xlpm.ant,IFERROR(MATCH(W28,_xlpm.orden,0),6),_xlpm.ajmov,IF(_xlpm.act&lt;_xlpm.ant,0.08,IF(_xlpm.act&gt;_xlpm.ant,-0.08,0)),_xlpm.ajcli,IF(T28&lt;0.95,-0.06,0),_xlpm.prob,MAX(0,MIN(1,_xlpm.prog+_xlpm.ajmov+_xlpm.ajcli)),IF(OR(V28="DIAMANTE",V28="CERRADO"),0,ROUND(_xlpm.prob,2)))</f>
        <v>0</v>
      </c>
      <c r="AK28" t="str">
        <f t="shared" si="12"/>
        <v>No aplica</v>
      </c>
      <c r="AL28" t="str">
        <f t="shared" si="13"/>
        <v>Margen de seguridad: 0,2 puntos</v>
      </c>
      <c r="AM28">
        <f t="shared" si="14"/>
        <v>0.8</v>
      </c>
      <c r="AN28" t="str">
        <f t="shared" si="15"/>
        <v>PRIORIDAD ALTA – requiere intervención inmediata</v>
      </c>
      <c r="AO28">
        <f t="shared" si="16"/>
        <v>9.8758164624978573</v>
      </c>
      <c r="AP28">
        <f t="shared" si="17"/>
        <v>0</v>
      </c>
      <c r="AQ28">
        <f t="shared" si="18"/>
        <v>0</v>
      </c>
      <c r="AR28">
        <f t="shared" si="19"/>
        <v>8.7399999999999984</v>
      </c>
      <c r="AS28">
        <f t="shared" si="20"/>
        <v>0</v>
      </c>
      <c r="AT28" t="str">
        <f t="shared" si="21"/>
        <v>VENTAS</v>
      </c>
      <c r="AU28">
        <f t="shared" si="22"/>
        <v>9.8758164624978573</v>
      </c>
      <c r="AV28" t="str">
        <f t="shared" si="23"/>
        <v>Mayor retorno probable: VENTAS (+9,9 puntos finales potenciales).</v>
      </c>
    </row>
    <row r="29" spans="1:48" x14ac:dyDescent="0.3">
      <c r="A29" s="5">
        <v>51016815</v>
      </c>
      <c r="B29" s="5" t="str">
        <f>IFERROR(VLOOKUP(A29,VENTAS!$A$2:$B$1194,2,0),"")</f>
        <v>ROBERTS</v>
      </c>
      <c r="C29" s="5">
        <f>IFERROR(INDEX(VENTAS!$C$2:$E$1194,MATCH(A29,VENTAS!$A$2:$A$1194,0),MATCH(PARAMS_MODELO!$B$2,{"Q1","Q2","Q3"},0)),0)</f>
        <v>139380056.87</v>
      </c>
      <c r="D29" s="5">
        <f>IFERROR(INDEX(VENTAS!$F$2:$H$1194,MATCH(A29,VENTAS!$A$2:$A$1194,0),MATCH(PARAMS_MODELO!$B$2,{"Q1","Q2","Q3"},0)),0)</f>
        <v>237746176</v>
      </c>
      <c r="E29" s="8">
        <f t="shared" si="0"/>
        <v>0.70574027116193694</v>
      </c>
      <c r="F29" s="12">
        <f>IF(E29&lt;=PARAMS_MODELO!$B$15,0,IF(E29&gt;=PARAMS_MODELO!$B$17,100,100*MIN(1,(E29-PARAMS_MODELO!$B$15)/(PARAMS_MODELO!$B$16-PARAMS_MODELO!$B$15))))*PARAMS_MODELO!$B$7</f>
        <v>35</v>
      </c>
      <c r="G29" s="5">
        <f t="shared" si="1"/>
        <v>98366119.129999995</v>
      </c>
      <c r="H29" s="5">
        <f>(PARAMS_MODELO!$B$20*(MAX(0,MIN(3,E29))/3)+PARAMS_MODELO!$B$21*(IFERROR(LN(1+MAX(0,G29))/LN(1+MAX(0,MAX($G$2:$G$1194))),0)))*100*PARAMS_MODELO!$B$8</f>
        <v>6.7842940042179798</v>
      </c>
      <c r="I29" s="8">
        <f>E29-PARAMS_MODELO!$B$5</f>
        <v>0.52817743578641041</v>
      </c>
      <c r="J29" s="5">
        <f>IF(I29&lt;=PARAMS_MODELO!$B$18,0,IF(I29&gt;=PARAMS_MODELO!$B$19,100,100*(I29-PARAMS_MODELO!$B$18)/(PARAMS_MODELO!$B$19-PARAMS_MODELO!$B$18)))*PARAMS_MODELO!$B$9</f>
        <v>15</v>
      </c>
      <c r="K29" s="5">
        <f>IFERROR(CHOOSE(MATCH(PARAMS_MODELO!$B$2,{"Q1","Q2","Q3"},0),LOTO!$D29,LOTO!$F29,LOTO!$H29),0)</f>
        <v>11822500</v>
      </c>
      <c r="L29" s="8">
        <f t="shared" si="2"/>
        <v>4.9727403396805842E-2</v>
      </c>
      <c r="M29" s="5">
        <f>MIN(100,IF(PARAMS_MODELO!$B$23=0,0,100*L29/PARAMS_MODELO!$B$23))*PARAMS_MODELO!$B$10</f>
        <v>14.918221019041752</v>
      </c>
      <c r="N29" s="5">
        <f>IFERROR(VLOOKUP(A29,COMPLIANCE!$A$2:$F$1996,6,0),100)</f>
        <v>100</v>
      </c>
      <c r="O29" s="5">
        <f>N29*PARAMS_MODELO!$B$11</f>
        <v>10</v>
      </c>
      <c r="P29" s="5">
        <f>IFERROR(VLOOKUP(A29,DIGITAL!$A$2:$J$2000,7,0),100)</f>
        <v>16</v>
      </c>
      <c r="Q29" s="5">
        <f>IFERROR(P29,0)*PARAMS_MODELO!$B$12</f>
        <v>1.6</v>
      </c>
      <c r="R29">
        <f t="shared" si="3"/>
        <v>83.30251502325973</v>
      </c>
      <c r="S29" s="5" t="str">
        <f>IFERROR(VLOOKUP(A29,CLIENTE!$A$2:$N$2000,13,0),1)</f>
        <v>Regular</v>
      </c>
      <c r="T29" s="5">
        <f>IFERROR(VLOOKUP(A29,CLIENTE!$A$2:$N$2000,14,0),1)</f>
        <v>1</v>
      </c>
      <c r="U29" s="5">
        <f t="shared" si="4"/>
        <v>83.30251502325973</v>
      </c>
      <c r="V29" s="5" t="str">
        <f>IF(U29&gt;=MAX(_xlfn.PERCENTILE.INC($U$2:$U$1194,PARAMS_MODELO!$B$50),PARAMS_MODELO!$B$45),"DIAMANTE",IF(U29&gt;=MAX(_xlfn.PERCENTILE.INC($U$2:$U$1194,PARAMS_MODELO!$B$51),PARAMS_MODELO!$B$46),"PLATINO",IF(U29&gt;=MAX(_xlfn.PERCENTILE.INC($U$2:$U$1194,PARAMS_MODELO!$B$52),PARAMS_MODELO!$B$47),"ORO",IF(U29&gt;=MAX(_xlfn.PERCENTILE.INC($U$2:$U$1194,PARAMS_MODELO!$B$53),PARAMS_MODELO!$B$48),"PLATA",IF(U29&gt;=1,"BRONCE","CERRADO")))))</f>
        <v>ORO</v>
      </c>
      <c r="W29" s="5" t="str" cm="1">
        <f t="array" ref="W29">_xlfn.XLOOKUP(1, (HIST_SCORE!$B:$B=PARAMS_MODELO!$B$4) * (HIST_SCORE!$C:$C=A29), HIST_SCORE!$E:$E, "No encontrado")</f>
        <v>ORO</v>
      </c>
      <c r="X29" s="5" t="str">
        <f>_xlfn.LET(_xlpm.act,MATCH(V29,{"DIAMANTE";"PLATINO";"ORO";"PLATA";"BRONCE";"CERRADO"},0),_xlpm.ant,MATCH(W29,{"DIAMANTE";"PLATINO";"ORO";"PLATA";"BRONCE";"CERRADO"},0),IF(_xlpm.act&lt;_xlpm.ant,"Mejora ↑",IF(_xlpm.act&gt;_xlpm.ant,"Baja ↓","Estable →")))</f>
        <v>Estable →</v>
      </c>
      <c r="Y29" s="5">
        <f>IFERROR(U29-SUMIFS(HIST_SCORE!$D:$D,HIST_SCORE!$B:$B,PARAMS_MODELO!$B$4,HIST_SCORE!$C:$C,$A29),"")</f>
        <v>0.53105670203431998</v>
      </c>
      <c r="Z29" s="5" t="str">
        <f t="shared" si="5"/>
        <v>→ Estable</v>
      </c>
      <c r="AA29" s="5">
        <f t="shared" si="6"/>
        <v>337</v>
      </c>
      <c r="AB29" s="5">
        <f>IFERROR(SUMIFS(HIST_SCORE!$F:$F,HIST_SCORE!$B:$B,PARAMS_MODELO!$B$4,HIST_SCORE!$C:$C,$A29),"")</f>
        <v>340</v>
      </c>
      <c r="AC29" s="5">
        <f t="shared" si="7"/>
        <v>3</v>
      </c>
      <c r="AD29" t="str">
        <f t="shared" si="9"/>
        <v/>
      </c>
      <c r="AE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CERRADO",1,IF(V29="BRONCE",_xlpm.cPl,IF(V29="PLATA",_xlpm.cO,IF(V29="ORO",_xlpm.cP,IF(V29="PLATINO",_xlpm.cD,999))))))</f>
        <v>86.439123873763251</v>
      </c>
      <c r="AF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CERRADO",0,IF(V29="BRONCE",1,IF(V29="PLATA",_xlpm.cPl,IF(V29="ORO",_xlpm.cO,IF(V29="PLATINO",_xlpm.cP,_xlpm.cD))))))</f>
        <v>63.199193273331495</v>
      </c>
      <c r="AG29">
        <f t="shared" si="10"/>
        <v>3.1366088505035208</v>
      </c>
      <c r="AH29" t="str">
        <f t="shared" si="11"/>
        <v>VENTAS</v>
      </c>
      <c r="AI29" t="str">
        <f t="shared" si="8"/>
        <v>🎯 Para subir de categoría, eje VENTAS / IMPACTO ABSOLUTO (H). Acción: metas semanales + activación comercial + seguimiento del asesor. ΔR aprox: 3,1</v>
      </c>
      <c r="AJ29" s="26">
        <f>_xlfn.LET(_xlpm.piso,AF29,_xlpm.corte,AE29,_xlpm.prog,IF(_xlpm.corte&lt;=_xlpm.piso,0,MAX(0,MIN(1,(U29-_xlpm.piso)/(_xlpm.corte-_xlpm.piso)))),_xlpm.orden,{"DIAMANTE";"PLATINO";"ORO";"PLATA";"BRONCE";"CERRADO"},_xlpm.act,IFERROR(MATCH(V29,_xlpm.orden,0),6),_xlpm.ant,IFERROR(MATCH(W29,_xlpm.orden,0),6),_xlpm.ajmov,IF(_xlpm.act&lt;_xlpm.ant,0.08,IF(_xlpm.act&gt;_xlpm.ant,-0.08,0)),_xlpm.ajcli,IF(T29&lt;0.95,-0.06,0),_xlpm.prob,MAX(0,MIN(1,_xlpm.prog+_xlpm.ajmov+_xlpm.ajcli)),IF(OR(V29="DIAMANTE",V29="CERRADO"),0,ROUND(_xlpm.prob,2)))</f>
        <v>0.87</v>
      </c>
      <c r="AK29" t="str">
        <f t="shared" si="12"/>
        <v>Faltan 3,1 puntos base para subir a la siguiente categoría</v>
      </c>
      <c r="AL29" t="str">
        <f t="shared" si="13"/>
        <v>Margen de seguridad: 20,1 puntos</v>
      </c>
      <c r="AM29">
        <f t="shared" si="14"/>
        <v>0.18</v>
      </c>
      <c r="AN29" t="str">
        <f t="shared" si="15"/>
        <v>PRIORIDAD BAJA – control normal</v>
      </c>
      <c r="AO29">
        <f t="shared" si="16"/>
        <v>8.0782752710776009</v>
      </c>
      <c r="AP29">
        <f t="shared" si="17"/>
        <v>8.1778980958247871E-2</v>
      </c>
      <c r="AQ29">
        <f t="shared" si="18"/>
        <v>0</v>
      </c>
      <c r="AR29">
        <f t="shared" si="19"/>
        <v>8.4</v>
      </c>
      <c r="AS29">
        <f t="shared" si="20"/>
        <v>0</v>
      </c>
      <c r="AT29" t="str">
        <f t="shared" si="21"/>
        <v>DIGITAL</v>
      </c>
      <c r="AU29">
        <f t="shared" si="22"/>
        <v>8.4</v>
      </c>
      <c r="AV29" t="str">
        <f t="shared" si="23"/>
        <v>Mayor retorno probable: DIGITAL (+8,4 puntos finales potenciales).</v>
      </c>
    </row>
    <row r="30" spans="1:48" x14ac:dyDescent="0.3">
      <c r="A30" s="5">
        <v>51010761</v>
      </c>
      <c r="B30" s="5" t="str">
        <f>IFERROR(VLOOKUP(A30,VENTAS!$A$2:$B$1194,2,0),"")</f>
        <v>CICHETTO</v>
      </c>
      <c r="C30" s="5">
        <f>IFERROR(INDEX(VENTAS!$C$2:$E$1194,MATCH(A30,VENTAS!$A$2:$A$1194,0),MATCH(PARAMS_MODELO!$B$2,{"Q1","Q2","Q3"},0)),0)</f>
        <v>122215718.8</v>
      </c>
      <c r="D30" s="5">
        <f>IFERROR(INDEX(VENTAS!$F$2:$H$1194,MATCH(A30,VENTAS!$A$2:$A$1194,0),MATCH(PARAMS_MODELO!$B$2,{"Q1","Q2","Q3"},0)),0)</f>
        <v>236678595</v>
      </c>
      <c r="E30" s="8">
        <f t="shared" si="0"/>
        <v>0.93656427605120784</v>
      </c>
      <c r="F30" s="12">
        <f>IF(E30&lt;=PARAMS_MODELO!$B$15,0,IF(E30&gt;=PARAMS_MODELO!$B$17,100,100*MIN(1,(E30-PARAMS_MODELO!$B$15)/(PARAMS_MODELO!$B$16-PARAMS_MODELO!$B$15))))*PARAMS_MODELO!$B$7</f>
        <v>35</v>
      </c>
      <c r="G30" s="5">
        <f t="shared" si="1"/>
        <v>114462876.2</v>
      </c>
      <c r="H30" s="5">
        <f>(PARAMS_MODELO!$B$20*(MAX(0,MIN(3,E30))/3)+PARAMS_MODELO!$B$21*(IFERROR(LN(1+MAX(0,G30))/LN(1+MAX(0,MAX($G$2:$G$1194))),0)))*100*PARAMS_MODELO!$B$8</f>
        <v>7.6277044220813046</v>
      </c>
      <c r="I30" s="8">
        <f>E30-PARAMS_MODELO!$B$5</f>
        <v>0.75900144067568132</v>
      </c>
      <c r="J30" s="5">
        <f>IF(I30&lt;=PARAMS_MODELO!$B$18,0,IF(I30&gt;=PARAMS_MODELO!$B$19,100,100*(I30-PARAMS_MODELO!$B$18)/(PARAMS_MODELO!$B$19-PARAMS_MODELO!$B$18)))*PARAMS_MODELO!$B$9</f>
        <v>15</v>
      </c>
      <c r="K30" s="5">
        <f>IFERROR(CHOOSE(MATCH(PARAMS_MODELO!$B$2,{"Q1","Q2","Q3"},0),LOTO!$D30,LOTO!$F30,LOTO!$H30),0)</f>
        <v>11807500</v>
      </c>
      <c r="L30" s="8">
        <f t="shared" si="2"/>
        <v>4.9888330628293613E-2</v>
      </c>
      <c r="M30" s="5">
        <f>MIN(100,IF(PARAMS_MODELO!$B$23=0,0,100*L30/PARAMS_MODELO!$B$23))*PARAMS_MODELO!$B$10</f>
        <v>14.966499188488083</v>
      </c>
      <c r="N30" s="5">
        <f>IFERROR(VLOOKUP(A30,COMPLIANCE!$A$2:$F$1996,6,0),100)</f>
        <v>100</v>
      </c>
      <c r="O30" s="5">
        <f>N30*PARAMS_MODELO!$B$11</f>
        <v>10</v>
      </c>
      <c r="P30" s="5">
        <f>IFERROR(VLOOKUP(A30,DIGITAL!$A$2:$J$2000,7,0),100)</f>
        <v>51</v>
      </c>
      <c r="Q30" s="5">
        <f>IFERROR(P30,0)*PARAMS_MODELO!$B$12</f>
        <v>5.1000000000000005</v>
      </c>
      <c r="R30">
        <f t="shared" si="3"/>
        <v>87.694203610569389</v>
      </c>
      <c r="S30" s="5" t="str">
        <f>IFERROR(VLOOKUP(A30,CLIENTE!$A$2:$N$2000,13,0),1)</f>
        <v>Bueno</v>
      </c>
      <c r="T30" s="5">
        <f>IFERROR(VLOOKUP(A30,CLIENTE!$A$2:$N$2000,14,0),1)</f>
        <v>1.1000000000000001</v>
      </c>
      <c r="U30" s="5">
        <f t="shared" si="4"/>
        <v>96.463623971626333</v>
      </c>
      <c r="V30" s="5" t="str">
        <f>IF(U30&gt;=MAX(_xlfn.PERCENTILE.INC($U$2:$U$1194,PARAMS_MODELO!$B$50),PARAMS_MODELO!$B$45),"DIAMANTE",IF(U30&gt;=MAX(_xlfn.PERCENTILE.INC($U$2:$U$1194,PARAMS_MODELO!$B$51),PARAMS_MODELO!$B$46),"PLATINO",IF(U30&gt;=MAX(_xlfn.PERCENTILE.INC($U$2:$U$1194,PARAMS_MODELO!$B$52),PARAMS_MODELO!$B$47),"ORO",IF(U30&gt;=MAX(_xlfn.PERCENTILE.INC($U$2:$U$1194,PARAMS_MODELO!$B$53),PARAMS_MODELO!$B$48),"PLATA",IF(U30&gt;=1,"BRONCE","CERRADO")))))</f>
        <v>DIAMANTE</v>
      </c>
      <c r="W30" s="5" t="str" cm="1">
        <f t="array" ref="W30">_xlfn.XLOOKUP(1, (HIST_SCORE!$B:$B=PARAMS_MODELO!$B$4) * (HIST_SCORE!$C:$C=A30), HIST_SCORE!$E:$E, "No encontrado")</f>
        <v>PLATINO</v>
      </c>
      <c r="X30" s="5" t="str">
        <f>_xlfn.LET(_xlpm.act,MATCH(V30,{"DIAMANTE";"PLATINO";"ORO";"PLATA";"BRONCE";"CERRADO"},0),_xlpm.ant,MATCH(W30,{"DIAMANTE";"PLATINO";"ORO";"PLATA";"BRONCE";"CERRADO"},0),IF(_xlpm.act&lt;_xlpm.ant,"Mejora ↑",IF(_xlpm.act&gt;_xlpm.ant,"Baja ↓","Estable →")))</f>
        <v>Mejora ↑</v>
      </c>
      <c r="Y30" s="5">
        <f>IFERROR(U30-SUMIFS(HIST_SCORE!$D:$D,HIST_SCORE!$B:$B,PARAMS_MODELO!$B$4,HIST_SCORE!$C:$C,$A30),"")</f>
        <v>1.2237262066317527</v>
      </c>
      <c r="Z30" s="5" t="str">
        <f t="shared" si="5"/>
        <v>→ Estable</v>
      </c>
      <c r="AA30" s="5">
        <f t="shared" si="6"/>
        <v>53</v>
      </c>
      <c r="AB30" s="5">
        <f>IFERROR(SUMIFS(HIST_SCORE!$F:$F,HIST_SCORE!$B:$B,PARAMS_MODELO!$B$4,HIST_SCORE!$C:$C,$A30),"")</f>
        <v>61</v>
      </c>
      <c r="AC30" s="5">
        <f t="shared" si="7"/>
        <v>8</v>
      </c>
      <c r="AD30" t="str">
        <f t="shared" si="9"/>
        <v/>
      </c>
      <c r="AE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CERRADO",1,IF(V30="BRONCE",_xlpm.cPl,IF(V30="PLATA",_xlpm.cO,IF(V30="ORO",_xlpm.cP,IF(V30="PLATINO",_xlpm.cD,999))))))</f>
        <v>999</v>
      </c>
      <c r="AF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CERRADO",0,IF(V30="BRONCE",1,IF(V30="PLATA",_xlpm.cPl,IF(V30="ORO",_xlpm.cO,IF(V30="PLATINO",_xlpm.cP,_xlpm.cD))))))</f>
        <v>96.054919694466676</v>
      </c>
      <c r="AG30">
        <f t="shared" si="10"/>
        <v>820.48761457124874</v>
      </c>
      <c r="AH30" t="str">
        <f t="shared" si="11"/>
        <v>SOSTENER</v>
      </c>
      <c r="AI30" t="str">
        <f t="shared" si="8"/>
        <v>✅ Mantener desempeño y monitorear variaciones para sostener categoría.</v>
      </c>
      <c r="AJ30" s="26">
        <f>_xlfn.LET(_xlpm.piso,AF30,_xlpm.corte,AE30,_xlpm.prog,IF(_xlpm.corte&lt;=_xlpm.piso,0,MAX(0,MIN(1,(U30-_xlpm.piso)/(_xlpm.corte-_xlpm.piso)))),_xlpm.orden,{"DIAMANTE";"PLATINO";"ORO";"PLATA";"BRONCE";"CERRADO"},_xlpm.act,IFERROR(MATCH(V30,_xlpm.orden,0),6),_xlpm.ant,IFERROR(MATCH(W30,_xlpm.orden,0),6),_xlpm.ajmov,IF(_xlpm.act&lt;_xlpm.ant,0.08,IF(_xlpm.act&gt;_xlpm.ant,-0.08,0)),_xlpm.ajcli,IF(T30&lt;0.95,-0.06,0),_xlpm.prob,MAX(0,MIN(1,_xlpm.prog+_xlpm.ajmov+_xlpm.ajcli)),IF(OR(V30="DIAMANTE",V30="CERRADO"),0,ROUND(_xlpm.prob,2)))</f>
        <v>0</v>
      </c>
      <c r="AK30" t="str">
        <f t="shared" si="12"/>
        <v>No aplica</v>
      </c>
      <c r="AL30" t="str">
        <f t="shared" si="13"/>
        <v>Margen de seguridad: 0,4 puntos</v>
      </c>
      <c r="AM30">
        <f t="shared" si="14"/>
        <v>0.8</v>
      </c>
      <c r="AN30" t="str">
        <f t="shared" si="15"/>
        <v>PRIORIDAD ALTA – requiere intervención inmediata</v>
      </c>
      <c r="AO30">
        <f t="shared" si="16"/>
        <v>7.9583513385357048</v>
      </c>
      <c r="AP30">
        <f t="shared" si="17"/>
        <v>3.6850892663109036E-2</v>
      </c>
      <c r="AQ30">
        <f t="shared" si="18"/>
        <v>0</v>
      </c>
      <c r="AR30">
        <f t="shared" si="19"/>
        <v>5.39</v>
      </c>
      <c r="AS30">
        <f t="shared" si="20"/>
        <v>0</v>
      </c>
      <c r="AT30" t="str">
        <f t="shared" si="21"/>
        <v>VENTAS</v>
      </c>
      <c r="AU30">
        <f t="shared" si="22"/>
        <v>7.9583513385357048</v>
      </c>
      <c r="AV30" t="str">
        <f t="shared" si="23"/>
        <v>Mayor retorno probable: VENTAS (+8,0 puntos finales potenciales).</v>
      </c>
    </row>
    <row r="31" spans="1:48" x14ac:dyDescent="0.3">
      <c r="A31" s="5">
        <v>51013301</v>
      </c>
      <c r="B31" s="5" t="str">
        <f>IFERROR(VLOOKUP(A31,VENTAS!$A$2:$B$1194,2,0),"")</f>
        <v>AYALA</v>
      </c>
      <c r="C31" s="5">
        <f>IFERROR(INDEX(VENTAS!$C$2:$E$1194,MATCH(A31,VENTAS!$A$2:$A$1194,0),MATCH(PARAMS_MODELO!$B$2,{"Q1","Q2","Q3"},0)),0)</f>
        <v>113989702.39</v>
      </c>
      <c r="D31" s="5">
        <f>IFERROR(INDEX(VENTAS!$F$2:$H$1194,MATCH(A31,VENTAS!$A$2:$A$1194,0),MATCH(PARAMS_MODELO!$B$2,{"Q1","Q2","Q3"},0)),0)</f>
        <v>235541840</v>
      </c>
      <c r="E31" s="8">
        <f t="shared" si="0"/>
        <v>1.0663431438229933</v>
      </c>
      <c r="F31" s="12">
        <f>IF(E31&lt;=PARAMS_MODELO!$B$15,0,IF(E31&gt;=PARAMS_MODELO!$B$17,100,100*MIN(1,(E31-PARAMS_MODELO!$B$15)/(PARAMS_MODELO!$B$16-PARAMS_MODELO!$B$15))))*PARAMS_MODELO!$B$7</f>
        <v>35</v>
      </c>
      <c r="G31" s="5">
        <f t="shared" si="1"/>
        <v>121552137.61</v>
      </c>
      <c r="H31" s="5">
        <f>(PARAMS_MODELO!$B$20*(MAX(0,MIN(3,E31))/3)+PARAMS_MODELO!$B$21*(IFERROR(LN(1+MAX(0,G31))/LN(1+MAX(0,MAX($G$2:$G$1194))),0)))*100*PARAMS_MODELO!$B$8</f>
        <v>8.0960170367712792</v>
      </c>
      <c r="I31" s="8">
        <f>E31-PARAMS_MODELO!$B$5</f>
        <v>0.8887803084474668</v>
      </c>
      <c r="J31" s="5">
        <f>IF(I31&lt;=PARAMS_MODELO!$B$18,0,IF(I31&gt;=PARAMS_MODELO!$B$19,100,100*(I31-PARAMS_MODELO!$B$18)/(PARAMS_MODELO!$B$19-PARAMS_MODELO!$B$18)))*PARAMS_MODELO!$B$9</f>
        <v>15</v>
      </c>
      <c r="K31" s="5">
        <f>IFERROR(CHOOSE(MATCH(PARAMS_MODELO!$B$2,{"Q1","Q2","Q3"},0),LOTO!$D31,LOTO!$F31,LOTO!$H31),0)</f>
        <v>11710000</v>
      </c>
      <c r="L31" s="8">
        <f t="shared" si="2"/>
        <v>4.9715158886421196E-2</v>
      </c>
      <c r="M31" s="5">
        <f>MIN(100,IF(PARAMS_MODELO!$B$23=0,0,100*L31/PARAMS_MODELO!$B$23))*PARAMS_MODELO!$B$10</f>
        <v>14.91454766592636</v>
      </c>
      <c r="N31" s="5">
        <f>IFERROR(VLOOKUP(A31,COMPLIANCE!$A$2:$F$1996,6,0),100)</f>
        <v>100</v>
      </c>
      <c r="O31" s="5">
        <f>N31*PARAMS_MODELO!$B$11</f>
        <v>10</v>
      </c>
      <c r="P31" s="5">
        <f>IFERROR(VLOOKUP(A31,DIGITAL!$A$2:$J$2000,7,0),100)</f>
        <v>3</v>
      </c>
      <c r="Q31" s="5">
        <f>IFERROR(P31,0)*PARAMS_MODELO!$B$12</f>
        <v>0.30000000000000004</v>
      </c>
      <c r="R31">
        <f t="shared" si="3"/>
        <v>83.310564702697633</v>
      </c>
      <c r="S31" s="5" t="str">
        <f>IFERROR(VLOOKUP(A31,CLIENTE!$A$2:$N$2000,13,0),1)</f>
        <v>Malo</v>
      </c>
      <c r="T31" s="5">
        <f>IFERROR(VLOOKUP(A31,CLIENTE!$A$2:$N$2000,14,0),1)</f>
        <v>0.7</v>
      </c>
      <c r="U31" s="5">
        <f t="shared" si="4"/>
        <v>58.317395291888339</v>
      </c>
      <c r="V31" s="5" t="str">
        <f>IF(U31&gt;=MAX(_xlfn.PERCENTILE.INC($U$2:$U$1194,PARAMS_MODELO!$B$50),PARAMS_MODELO!$B$45),"DIAMANTE",IF(U31&gt;=MAX(_xlfn.PERCENTILE.INC($U$2:$U$1194,PARAMS_MODELO!$B$51),PARAMS_MODELO!$B$46),"PLATINO",IF(U31&gt;=MAX(_xlfn.PERCENTILE.INC($U$2:$U$1194,PARAMS_MODELO!$B$52),PARAMS_MODELO!$B$47),"ORO",IF(U31&gt;=MAX(_xlfn.PERCENTILE.INC($U$2:$U$1194,PARAMS_MODELO!$B$53),PARAMS_MODELO!$B$48),"PLATA",IF(U31&gt;=1,"BRONCE","CERRADO")))))</f>
        <v>PLATA</v>
      </c>
      <c r="W31" s="5" t="str" cm="1">
        <f t="array" ref="W31">_xlfn.XLOOKUP(1, (HIST_SCORE!$B:$B=PARAMS_MODELO!$B$4) * (HIST_SCORE!$C:$C=A31), HIST_SCORE!$E:$E, "No encontrado")</f>
        <v>PLATA</v>
      </c>
      <c r="X31" s="5" t="str">
        <f>_xlfn.LET(_xlpm.act,MATCH(V31,{"DIAMANTE";"PLATINO";"ORO";"PLATA";"BRONCE";"CERRADO"},0),_xlpm.ant,MATCH(W31,{"DIAMANTE";"PLATINO";"ORO";"PLATA";"BRONCE";"CERRADO"},0),IF(_xlpm.act&lt;_xlpm.ant,"Mejora ↑",IF(_xlpm.act&gt;_xlpm.ant,"Baja ↓","Estable →")))</f>
        <v>Estable →</v>
      </c>
      <c r="Y31" s="5">
        <f>IFERROR(U31-SUMIFS(HIST_SCORE!$D:$D,HIST_SCORE!$B:$B,PARAMS_MODELO!$B$4,HIST_SCORE!$C:$C,$A31),"")</f>
        <v>0.59627505127782143</v>
      </c>
      <c r="Z31" s="5" t="str">
        <f t="shared" si="5"/>
        <v>→ Estable</v>
      </c>
      <c r="AA31" s="5">
        <f t="shared" si="6"/>
        <v>649</v>
      </c>
      <c r="AB31" s="5">
        <f>IFERROR(SUMIFS(HIST_SCORE!$F:$F,HIST_SCORE!$B:$B,PARAMS_MODELO!$B$4,HIST_SCORE!$C:$C,$A31),"")</f>
        <v>692</v>
      </c>
      <c r="AC31" s="5">
        <f t="shared" si="7"/>
        <v>43</v>
      </c>
      <c r="AD31" t="str">
        <f t="shared" si="9"/>
        <v/>
      </c>
      <c r="AE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CERRADO",1,IF(V31="BRONCE",_xlpm.cPl,IF(V31="PLATA",_xlpm.cO,IF(V31="ORO",_xlpm.cP,IF(V31="PLATINO",_xlpm.cD,999))))))</f>
        <v>63.199193273331495</v>
      </c>
      <c r="AF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CERRADO",0,IF(V31="BRONCE",1,IF(V31="PLATA",_xlpm.cPl,IF(V31="ORO",_xlpm.cO,IF(V31="PLATINO",_xlpm.cP,_xlpm.cD))))))</f>
        <v>24.506573482968111</v>
      </c>
      <c r="AG31">
        <f t="shared" si="10"/>
        <v>6.9739971163473626</v>
      </c>
      <c r="AH31" t="str">
        <f t="shared" si="11"/>
        <v>CLIENTE</v>
      </c>
      <c r="AI31" t="str">
        <f t="shared" si="8"/>
        <v>🎯 Para subir de categoría, la eje con mayor impacto probable es CLIENTE (coef T). Acción: reducir quejas, mejorar incógnito y empujar reseñas. ΔR aprox: 7,0</v>
      </c>
      <c r="AJ31" s="26">
        <f>_xlfn.LET(_xlpm.piso,AF31,_xlpm.corte,AE31,_xlpm.prog,IF(_xlpm.corte&lt;=_xlpm.piso,0,MAX(0,MIN(1,(U31-_xlpm.piso)/(_xlpm.corte-_xlpm.piso)))),_xlpm.orden,{"DIAMANTE";"PLATINO";"ORO";"PLATA";"BRONCE";"CERRADO"},_xlpm.act,IFERROR(MATCH(V31,_xlpm.orden,0),6),_xlpm.ant,IFERROR(MATCH(W31,_xlpm.orden,0),6),_xlpm.ajmov,IF(_xlpm.act&lt;_xlpm.ant,0.08,IF(_xlpm.act&gt;_xlpm.ant,-0.08,0)),_xlpm.ajcli,IF(T31&lt;0.95,-0.06,0),_xlpm.prob,MAX(0,MIN(1,_xlpm.prog+_xlpm.ajmov+_xlpm.ajcli)),IF(OR(V31="DIAMANTE",V31="CERRADO"),0,ROUND(_xlpm.prob,2)))</f>
        <v>0.81</v>
      </c>
      <c r="AK31" t="str">
        <f t="shared" si="12"/>
        <v>Faltan 7,0 puntos base para subir a la siguiente categoría</v>
      </c>
      <c r="AL31" t="str">
        <f t="shared" si="13"/>
        <v>Margen de seguridad: 33,8 puntos</v>
      </c>
      <c r="AM31">
        <f t="shared" si="14"/>
        <v>0.55000000000000004</v>
      </c>
      <c r="AN31" t="str">
        <f t="shared" si="15"/>
        <v>PRIORIDAD MEDIA – seguimiento del asesor</v>
      </c>
      <c r="AO31">
        <f t="shared" si="16"/>
        <v>4.7365865669670129</v>
      </c>
      <c r="AP31">
        <f t="shared" si="17"/>
        <v>5.9816633851547958E-2</v>
      </c>
      <c r="AQ31">
        <f t="shared" si="18"/>
        <v>0</v>
      </c>
      <c r="AR31">
        <f t="shared" si="19"/>
        <v>6.7899999999999991</v>
      </c>
      <c r="AS31">
        <f t="shared" si="20"/>
        <v>24.993169410809294</v>
      </c>
      <c r="AT31" t="str">
        <f t="shared" si="21"/>
        <v>CLIENTE</v>
      </c>
      <c r="AU31">
        <f t="shared" si="22"/>
        <v>24.993169410809294</v>
      </c>
      <c r="AV31" t="str">
        <f t="shared" si="23"/>
        <v>Mayor retorno probable: CLIENTE (+25,0 puntos finales potenciales).</v>
      </c>
    </row>
    <row r="32" spans="1:48" x14ac:dyDescent="0.3">
      <c r="A32" s="5">
        <v>51041933</v>
      </c>
      <c r="B32" s="5" t="str">
        <f>IFERROR(VLOOKUP(A32,VENTAS!$A$2:$B$1194,2,0),"")</f>
        <v>PUGH</v>
      </c>
      <c r="C32" s="5">
        <f>IFERROR(INDEX(VENTAS!$C$2:$E$1194,MATCH(A32,VENTAS!$A$2:$A$1194,0),MATCH(PARAMS_MODELO!$B$2,{"Q1","Q2","Q3"},0)),0)</f>
        <v>154285988.47999999</v>
      </c>
      <c r="D32" s="5">
        <f>IFERROR(INDEX(VENTAS!$F$2:$H$1194,MATCH(A32,VENTAS!$A$2:$A$1194,0),MATCH(PARAMS_MODELO!$B$2,{"Q1","Q2","Q3"},0)),0)</f>
        <v>228724697</v>
      </c>
      <c r="E32" s="8">
        <f t="shared" si="0"/>
        <v>0.48247225333523702</v>
      </c>
      <c r="F32" s="12">
        <f>IF(E32&lt;=PARAMS_MODELO!$B$15,0,IF(E32&gt;=PARAMS_MODELO!$B$17,100,100*MIN(1,(E32-PARAMS_MODELO!$B$15)/(PARAMS_MODELO!$B$16-PARAMS_MODELO!$B$15))))*PARAMS_MODELO!$B$7</f>
        <v>35</v>
      </c>
      <c r="G32" s="5">
        <f t="shared" si="1"/>
        <v>74438708.520000011</v>
      </c>
      <c r="H32" s="5">
        <f>(PARAMS_MODELO!$B$20*(MAX(0,MIN(3,E32))/3)+PARAMS_MODELO!$B$21*(IFERROR(LN(1+MAX(0,G32))/LN(1+MAX(0,MAX($G$2:$G$1194))),0)))*100*PARAMS_MODELO!$B$8</f>
        <v>5.9375200026790376</v>
      </c>
      <c r="I32" s="8">
        <f>E32-PARAMS_MODELO!$B$5</f>
        <v>0.30490941795971049</v>
      </c>
      <c r="J32" s="5">
        <f>IF(I32&lt;=PARAMS_MODELO!$B$18,0,IF(I32&gt;=PARAMS_MODELO!$B$19,100,100*(I32-PARAMS_MODELO!$B$18)/(PARAMS_MODELO!$B$19-PARAMS_MODELO!$B$18)))*PARAMS_MODELO!$B$9</f>
        <v>15</v>
      </c>
      <c r="K32" s="5">
        <f>IFERROR(CHOOSE(MATCH(PARAMS_MODELO!$B$2,{"Q1","Q2","Q3"},0),LOTO!$D32,LOTO!$F32,LOTO!$H32),0)</f>
        <v>11582500</v>
      </c>
      <c r="L32" s="8">
        <f t="shared" si="2"/>
        <v>5.0639481227512564E-2</v>
      </c>
      <c r="M32" s="5">
        <f>MIN(100,IF(PARAMS_MODELO!$B$23=0,0,100*L32/PARAMS_MODELO!$B$23))*PARAMS_MODELO!$B$10</f>
        <v>15</v>
      </c>
      <c r="N32" s="5">
        <f>IFERROR(VLOOKUP(A32,COMPLIANCE!$A$2:$F$1996,6,0),100)</f>
        <v>100</v>
      </c>
      <c r="O32" s="5">
        <f>N32*PARAMS_MODELO!$B$11</f>
        <v>10</v>
      </c>
      <c r="P32" s="5">
        <f>IFERROR(VLOOKUP(A32,DIGITAL!$A$2:$J$2000,7,0),100)</f>
        <v>14</v>
      </c>
      <c r="Q32" s="5">
        <f>IFERROR(P32,0)*PARAMS_MODELO!$B$12</f>
        <v>1.4000000000000001</v>
      </c>
      <c r="R32">
        <f t="shared" si="3"/>
        <v>82.337520002679042</v>
      </c>
      <c r="S32" s="5" t="str">
        <f>IFERROR(VLOOKUP(A32,CLIENTE!$A$2:$N$2000,13,0),1)</f>
        <v>Bueno</v>
      </c>
      <c r="T32" s="5">
        <f>IFERROR(VLOOKUP(A32,CLIENTE!$A$2:$N$2000,14,0),1)</f>
        <v>1.1000000000000001</v>
      </c>
      <c r="U32" s="5">
        <f t="shared" si="4"/>
        <v>90.571272002946955</v>
      </c>
      <c r="V32" s="5" t="str">
        <f>IF(U32&gt;=MAX(_xlfn.PERCENTILE.INC($U$2:$U$1194,PARAMS_MODELO!$B$50),PARAMS_MODELO!$B$45),"DIAMANTE",IF(U32&gt;=MAX(_xlfn.PERCENTILE.INC($U$2:$U$1194,PARAMS_MODELO!$B$51),PARAMS_MODELO!$B$46),"PLATINO",IF(U32&gt;=MAX(_xlfn.PERCENTILE.INC($U$2:$U$1194,PARAMS_MODELO!$B$52),PARAMS_MODELO!$B$47),"ORO",IF(U32&gt;=MAX(_xlfn.PERCENTILE.INC($U$2:$U$1194,PARAMS_MODELO!$B$53),PARAMS_MODELO!$B$48),"PLATA",IF(U32&gt;=1,"BRONCE","CERRADO")))))</f>
        <v>PLATINO</v>
      </c>
      <c r="W32" s="5" t="str" cm="1">
        <f t="array" ref="W32">_xlfn.XLOOKUP(1, (HIST_SCORE!$B:$B=PARAMS_MODELO!$B$4) * (HIST_SCORE!$C:$C=A32), HIST_SCORE!$E:$E, "No encontrado")</f>
        <v>PLATINO</v>
      </c>
      <c r="X32" s="5" t="str">
        <f>_xlfn.LET(_xlpm.act,MATCH(V32,{"DIAMANTE";"PLATINO";"ORO";"PLATA";"BRONCE";"CERRADO"},0),_xlpm.ant,MATCH(W32,{"DIAMANTE";"PLATINO";"ORO";"PLATA";"BRONCE";"CERRADO"},0),IF(_xlpm.act&lt;_xlpm.ant,"Mejora ↑",IF(_xlpm.act&gt;_xlpm.ant,"Baja ↓","Estable →")))</f>
        <v>Estable →</v>
      </c>
      <c r="Y32" s="5">
        <f>IFERROR(U32-SUMIFS(HIST_SCORE!$D:$D,HIST_SCORE!$B:$B,PARAMS_MODELO!$B$4,HIST_SCORE!$C:$C,$A32),"")</f>
        <v>-0.25569455593341672</v>
      </c>
      <c r="Z32" s="5" t="str">
        <f t="shared" si="5"/>
        <v>→ Estable</v>
      </c>
      <c r="AA32" s="5">
        <f t="shared" si="6"/>
        <v>123</v>
      </c>
      <c r="AB32" s="5">
        <f>IFERROR(SUMIFS(HIST_SCORE!$F:$F,HIST_SCORE!$B:$B,PARAMS_MODELO!$B$4,HIST_SCORE!$C:$C,$A32),"")</f>
        <v>120</v>
      </c>
      <c r="AC32" s="5">
        <f t="shared" si="7"/>
        <v>-3</v>
      </c>
      <c r="AD32" t="str">
        <f t="shared" si="9"/>
        <v/>
      </c>
      <c r="AE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CERRADO",1,IF(V32="BRONCE",_xlpm.cPl,IF(V32="PLATA",_xlpm.cO,IF(V32="ORO",_xlpm.cP,IF(V32="PLATINO",_xlpm.cD,999))))))</f>
        <v>96.054919694466676</v>
      </c>
      <c r="AF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CERRADO",0,IF(V32="BRONCE",1,IF(V32="PLATA",_xlpm.cPl,IF(V32="ORO",_xlpm.cO,IF(V32="PLATINO",_xlpm.cP,_xlpm.cD))))))</f>
        <v>86.439123873763251</v>
      </c>
      <c r="AG32">
        <f t="shared" si="10"/>
        <v>4.9851342650179333</v>
      </c>
      <c r="AH32" t="str">
        <f t="shared" si="11"/>
        <v>VENTAS</v>
      </c>
      <c r="AI32" t="str">
        <f t="shared" si="8"/>
        <v>🎯 Para subir de categoría, eje VENTAS / IMPACTO ABSOLUTO (H). Acción: metas semanales + activación comercial + seguimiento del asesor. ΔR aprox: 5,0</v>
      </c>
      <c r="AJ32" s="26">
        <f>_xlfn.LET(_xlpm.piso,AF32,_xlpm.corte,AE32,_xlpm.prog,IF(_xlpm.corte&lt;=_xlpm.piso,0,MAX(0,MIN(1,(U32-_xlpm.piso)/(_xlpm.corte-_xlpm.piso)))),_xlpm.orden,{"DIAMANTE";"PLATINO";"ORO";"PLATA";"BRONCE";"CERRADO"},_xlpm.act,IFERROR(MATCH(V32,_xlpm.orden,0),6),_xlpm.ant,IFERROR(MATCH(W32,_xlpm.orden,0),6),_xlpm.ajmov,IF(_xlpm.act&lt;_xlpm.ant,0.08,IF(_xlpm.act&gt;_xlpm.ant,-0.08,0)),_xlpm.ajcli,IF(T32&lt;0.95,-0.06,0),_xlpm.prob,MAX(0,MIN(1,_xlpm.prog+_xlpm.ajmov+_xlpm.ajcli)),IF(OR(V32="DIAMANTE",V32="CERRADO"),0,ROUND(_xlpm.prob,2)))</f>
        <v>0.43</v>
      </c>
      <c r="AK32" t="str">
        <f t="shared" si="12"/>
        <v>Faltan 5,0 puntos base para subir a la siguiente categoría</v>
      </c>
      <c r="AL32" t="str">
        <f t="shared" si="13"/>
        <v>Margen de seguridad: 4,1 puntos</v>
      </c>
      <c r="AM32">
        <f t="shared" si="14"/>
        <v>0.43</v>
      </c>
      <c r="AN32" t="str">
        <f t="shared" si="15"/>
        <v>PRIORIDAD MEDIA – seguimiento del asesor</v>
      </c>
      <c r="AO32">
        <f t="shared" si="16"/>
        <v>9.8175541998782023</v>
      </c>
      <c r="AP32">
        <f t="shared" si="17"/>
        <v>0</v>
      </c>
      <c r="AQ32">
        <f t="shared" si="18"/>
        <v>0</v>
      </c>
      <c r="AR32">
        <f t="shared" si="19"/>
        <v>9.4600000000000009</v>
      </c>
      <c r="AS32">
        <f t="shared" si="20"/>
        <v>0</v>
      </c>
      <c r="AT32" t="str">
        <f t="shared" si="21"/>
        <v>VENTAS</v>
      </c>
      <c r="AU32">
        <f t="shared" si="22"/>
        <v>9.8175541998782023</v>
      </c>
      <c r="AV32" t="str">
        <f t="shared" si="23"/>
        <v>Mayor retorno probable: VENTAS (+9,8 puntos finales potenciales).</v>
      </c>
    </row>
    <row r="33" spans="1:48" x14ac:dyDescent="0.3">
      <c r="A33" s="5">
        <v>51014006</v>
      </c>
      <c r="B33" s="5" t="str">
        <f>IFERROR(VLOOKUP(A33,VENTAS!$A$2:$B$1194,2,0),"")</f>
        <v>ARGUELLO</v>
      </c>
      <c r="C33" s="5">
        <f>IFERROR(INDEX(VENTAS!$C$2:$E$1194,MATCH(A33,VENTAS!$A$2:$A$1194,0),MATCH(PARAMS_MODELO!$B$2,{"Q1","Q2","Q3"},0)),0)</f>
        <v>205511843.06</v>
      </c>
      <c r="D33" s="5">
        <f>IFERROR(INDEX(VENTAS!$F$2:$H$1194,MATCH(A33,VENTAS!$A$2:$A$1194,0),MATCH(PARAMS_MODELO!$B$2,{"Q1","Q2","Q3"},0)),0)</f>
        <v>219460492</v>
      </c>
      <c r="E33" s="8">
        <f t="shared" si="0"/>
        <v>6.7872725641060283E-2</v>
      </c>
      <c r="F33" s="12">
        <f>IF(E33&lt;=PARAMS_MODELO!$B$15,0,IF(E33&gt;=PARAMS_MODELO!$B$17,100,100*MIN(1,(E33-PARAMS_MODELO!$B$15)/(PARAMS_MODELO!$B$16-PARAMS_MODELO!$B$15))))*PARAMS_MODELO!$B$7</f>
        <v>23.755453974371097</v>
      </c>
      <c r="G33" s="5">
        <f t="shared" si="1"/>
        <v>13948648.939999998</v>
      </c>
      <c r="H33" s="5">
        <f>(PARAMS_MODELO!$B$20*(MAX(0,MIN(3,E33))/3)+PARAMS_MODELO!$B$21*(IFERROR(LN(1+MAX(0,G33))/LN(1+MAX(0,MAX($G$2:$G$1194))),0)))*100*PARAMS_MODELO!$B$8</f>
        <v>4.0938735911737556</v>
      </c>
      <c r="I33" s="8">
        <f>E33-PARAMS_MODELO!$B$5</f>
        <v>-0.10969010973446625</v>
      </c>
      <c r="J33" s="5">
        <f>IF(I33&lt;=PARAMS_MODELO!$B$18,0,IF(I33&gt;=PARAMS_MODELO!$B$19,100,100*(I33-PARAMS_MODELO!$B$18)/(PARAMS_MODELO!$B$19-PARAMS_MODELO!$B$18)))*PARAMS_MODELO!$B$9</f>
        <v>0</v>
      </c>
      <c r="K33" s="5">
        <f>IFERROR(CHOOSE(MATCH(PARAMS_MODELO!$B$2,{"Q1","Q2","Q3"},0),LOTO!$D33,LOTO!$F33,LOTO!$H33),0)</f>
        <v>11560000</v>
      </c>
      <c r="L33" s="8">
        <f t="shared" si="2"/>
        <v>5.2674629017053332E-2</v>
      </c>
      <c r="M33" s="5">
        <f>MIN(100,IF(PARAMS_MODELO!$B$23=0,0,100*L33/PARAMS_MODELO!$B$23))*PARAMS_MODELO!$B$10</f>
        <v>15</v>
      </c>
      <c r="N33" s="5">
        <f>IFERROR(VLOOKUP(A33,COMPLIANCE!$A$2:$F$1996,6,0),100)</f>
        <v>99.96</v>
      </c>
      <c r="O33" s="5">
        <f>N33*PARAMS_MODELO!$B$11</f>
        <v>9.9960000000000004</v>
      </c>
      <c r="P33" s="5">
        <f>IFERROR(VLOOKUP(A33,DIGITAL!$A$2:$J$2000,7,0),100)</f>
        <v>31</v>
      </c>
      <c r="Q33" s="5">
        <f>IFERROR(P33,0)*PARAMS_MODELO!$B$12</f>
        <v>3.1</v>
      </c>
      <c r="R33">
        <f t="shared" si="3"/>
        <v>55.945327565544858</v>
      </c>
      <c r="S33" s="5" t="str">
        <f>IFERROR(VLOOKUP(A33,CLIENTE!$A$2:$N$2000,13,0),1)</f>
        <v>Malo</v>
      </c>
      <c r="T33" s="5">
        <f>IFERROR(VLOOKUP(A33,CLIENTE!$A$2:$N$2000,14,0),1)</f>
        <v>0.7</v>
      </c>
      <c r="U33" s="5">
        <f t="shared" si="4"/>
        <v>39.161729295881401</v>
      </c>
      <c r="V33" s="5" t="str">
        <f>IF(U33&gt;=MAX(_xlfn.PERCENTILE.INC($U$2:$U$1194,PARAMS_MODELO!$B$50),PARAMS_MODELO!$B$45),"DIAMANTE",IF(U33&gt;=MAX(_xlfn.PERCENTILE.INC($U$2:$U$1194,PARAMS_MODELO!$B$51),PARAMS_MODELO!$B$46),"PLATINO",IF(U33&gt;=MAX(_xlfn.PERCENTILE.INC($U$2:$U$1194,PARAMS_MODELO!$B$52),PARAMS_MODELO!$B$47),"ORO",IF(U33&gt;=MAX(_xlfn.PERCENTILE.INC($U$2:$U$1194,PARAMS_MODELO!$B$53),PARAMS_MODELO!$B$48),"PLATA",IF(U33&gt;=1,"BRONCE","CERRADO")))))</f>
        <v>PLATA</v>
      </c>
      <c r="W33" s="5" t="str" cm="1">
        <f t="array" ref="W33">_xlfn.XLOOKUP(1, (HIST_SCORE!$B:$B=PARAMS_MODELO!$B$4) * (HIST_SCORE!$C:$C=A33), HIST_SCORE!$E:$E, "No encontrado")</f>
        <v>PLATA</v>
      </c>
      <c r="X33" s="5" t="str">
        <f>_xlfn.LET(_xlpm.act,MATCH(V33,{"DIAMANTE";"PLATINO";"ORO";"PLATA";"BRONCE";"CERRADO"},0),_xlpm.ant,MATCH(W33,{"DIAMANTE";"PLATINO";"ORO";"PLATA";"BRONCE";"CERRADO"},0),IF(_xlpm.act&lt;_xlpm.ant,"Mejora ↑",IF(_xlpm.act&gt;_xlpm.ant,"Baja ↓","Estable →")))</f>
        <v>Estable →</v>
      </c>
      <c r="Y33" s="5">
        <f>IFERROR(U33-SUMIFS(HIST_SCORE!$D:$D,HIST_SCORE!$B:$B,PARAMS_MODELO!$B$4,HIST_SCORE!$C:$C,$A33),"")</f>
        <v>-8.3859808955321284</v>
      </c>
      <c r="Z33" s="5" t="str">
        <f t="shared" si="5"/>
        <v>↓ Baja</v>
      </c>
      <c r="AA33" s="5">
        <f t="shared" si="6"/>
        <v>792</v>
      </c>
      <c r="AB33" s="5">
        <f>IFERROR(SUMIFS(HIST_SCORE!$F:$F,HIST_SCORE!$B:$B,PARAMS_MODELO!$B$4,HIST_SCORE!$C:$C,$A33),"")</f>
        <v>798</v>
      </c>
      <c r="AC33" s="5">
        <f t="shared" si="7"/>
        <v>6</v>
      </c>
      <c r="AD33" t="str">
        <f t="shared" si="9"/>
        <v/>
      </c>
      <c r="AE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CERRADO",1,IF(V33="BRONCE",_xlpm.cPl,IF(V33="PLATA",_xlpm.cO,IF(V33="ORO",_xlpm.cP,IF(V33="PLATINO",_xlpm.cD,999))))))</f>
        <v>63.199193273331495</v>
      </c>
      <c r="AF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CERRADO",0,IF(V33="BRONCE",1,IF(V33="PLATA",_xlpm.cPl,IF(V33="ORO",_xlpm.cO,IF(V33="PLATINO",_xlpm.cP,_xlpm.cD))))))</f>
        <v>24.506573482968111</v>
      </c>
      <c r="AG33">
        <f t="shared" si="10"/>
        <v>34.339234253500138</v>
      </c>
      <c r="AH33" t="str">
        <f t="shared" si="11"/>
        <v>VENTAS</v>
      </c>
      <c r="AI33" t="str">
        <f t="shared" si="8"/>
        <v>🎯 Para subir de categoría, eje VENTAS / DIFERENCIAL vs LOTBA (J). Acción: metas semanales + activación comercial + seguimiento del asesor. ΔR aprox: 34,3</v>
      </c>
      <c r="AJ33" s="26">
        <f>_xlfn.LET(_xlpm.piso,AF33,_xlpm.corte,AE33,_xlpm.prog,IF(_xlpm.corte&lt;=_xlpm.piso,0,MAX(0,MIN(1,(U33-_xlpm.piso)/(_xlpm.corte-_xlpm.piso)))),_xlpm.orden,{"DIAMANTE";"PLATINO";"ORO";"PLATA";"BRONCE";"CERRADO"},_xlpm.act,IFERROR(MATCH(V33,_xlpm.orden,0),6),_xlpm.ant,IFERROR(MATCH(W33,_xlpm.orden,0),6),_xlpm.ajmov,IF(_xlpm.act&lt;_xlpm.ant,0.08,IF(_xlpm.act&gt;_xlpm.ant,-0.08,0)),_xlpm.ajcli,IF(T33&lt;0.95,-0.06,0),_xlpm.prob,MAX(0,MIN(1,_xlpm.prog+_xlpm.ajmov+_xlpm.ajcli)),IF(OR(V33="DIAMANTE",V33="CERRADO"),0,ROUND(_xlpm.prob,2)))</f>
        <v>0.32</v>
      </c>
      <c r="AK33" t="str">
        <f t="shared" si="12"/>
        <v>Faltan 34,3 puntos base para subir a la siguiente categoría</v>
      </c>
      <c r="AL33" t="str">
        <f t="shared" si="13"/>
        <v>Margen de seguridad: 14,7 puntos</v>
      </c>
      <c r="AM33">
        <f t="shared" si="14"/>
        <v>0.87</v>
      </c>
      <c r="AN33" t="str">
        <f t="shared" si="15"/>
        <v>PRIORIDAD ALTA – requiere intervención inmediata</v>
      </c>
      <c r="AO33">
        <f t="shared" si="16"/>
        <v>25.909269196825509</v>
      </c>
      <c r="AP33">
        <f t="shared" si="17"/>
        <v>0</v>
      </c>
      <c r="AQ33">
        <f t="shared" si="18"/>
        <v>2.7999999999996916E-3</v>
      </c>
      <c r="AR33">
        <f t="shared" si="19"/>
        <v>4.83</v>
      </c>
      <c r="AS33">
        <f t="shared" si="20"/>
        <v>16.783598269663461</v>
      </c>
      <c r="AT33" t="str">
        <f t="shared" si="21"/>
        <v>VENTAS</v>
      </c>
      <c r="AU33">
        <f t="shared" si="22"/>
        <v>25.909269196825509</v>
      </c>
      <c r="AV33" t="str">
        <f t="shared" si="23"/>
        <v>Mayor retorno probable: VENTAS (+25,9 puntos finales potenciales).</v>
      </c>
    </row>
    <row r="34" spans="1:48" x14ac:dyDescent="0.3">
      <c r="A34" s="5">
        <v>51000111</v>
      </c>
      <c r="B34" s="5" t="str">
        <f>IFERROR(VLOOKUP(A34,VENTAS!$A$2:$B$1194,2,0),"")</f>
        <v>AYALA</v>
      </c>
      <c r="C34" s="5">
        <f>IFERROR(INDEX(VENTAS!$C$2:$E$1194,MATCH(A34,VENTAS!$A$2:$A$1194,0),MATCH(PARAMS_MODELO!$B$2,{"Q1","Q2","Q3"},0)),0)</f>
        <v>203510235.28999999</v>
      </c>
      <c r="D34" s="5">
        <f>IFERROR(INDEX(VENTAS!$F$2:$H$1194,MATCH(A34,VENTAS!$A$2:$A$1194,0),MATCH(PARAMS_MODELO!$B$2,{"Q1","Q2","Q3"},0)),0)</f>
        <v>215612874</v>
      </c>
      <c r="E34" s="8">
        <f t="shared" si="0"/>
        <v>5.9469435002882598E-2</v>
      </c>
      <c r="F34" s="12">
        <f>IF(E34&lt;=PARAMS_MODELO!$B$15,0,IF(E34&gt;=PARAMS_MODELO!$B$17,100,100*MIN(1,(E34-PARAMS_MODELO!$B$15)/(PARAMS_MODELO!$B$16-PARAMS_MODELO!$B$15))))*PARAMS_MODELO!$B$7</f>
        <v>20.814302251008908</v>
      </c>
      <c r="G34" s="5">
        <f t="shared" si="1"/>
        <v>12102638.710000008</v>
      </c>
      <c r="H34" s="5">
        <f>(PARAMS_MODELO!$B$20*(MAX(0,MIN(3,E34))/3)+PARAMS_MODELO!$B$21*(IFERROR(LN(1+MAX(0,G34))/LN(1+MAX(0,MAX($G$2:$G$1194))),0)))*100*PARAMS_MODELO!$B$8</f>
        <v>4.0311848700444584</v>
      </c>
      <c r="I34" s="8">
        <f>E34-PARAMS_MODELO!$B$5</f>
        <v>-0.11809340037264393</v>
      </c>
      <c r="J34" s="5">
        <f>IF(I34&lt;=PARAMS_MODELO!$B$18,0,IF(I34&gt;=PARAMS_MODELO!$B$19,100,100*(I34-PARAMS_MODELO!$B$18)/(PARAMS_MODELO!$B$19-PARAMS_MODELO!$B$18)))*PARAMS_MODELO!$B$9</f>
        <v>0</v>
      </c>
      <c r="K34" s="5">
        <f>IFERROR(CHOOSE(MATCH(PARAMS_MODELO!$B$2,{"Q1","Q2","Q3"},0),LOTO!$D34,LOTO!$F34,LOTO!$H34),0)</f>
        <v>11365000</v>
      </c>
      <c r="L34" s="8">
        <f t="shared" si="2"/>
        <v>5.2710210615716756E-2</v>
      </c>
      <c r="M34" s="5">
        <f>MIN(100,IF(PARAMS_MODELO!$B$23=0,0,100*L34/PARAMS_MODELO!$B$23))*PARAMS_MODELO!$B$10</f>
        <v>15</v>
      </c>
      <c r="N34" s="5">
        <f>IFERROR(VLOOKUP(A34,COMPLIANCE!$A$2:$F$1996,6,0),100)</f>
        <v>100</v>
      </c>
      <c r="O34" s="5">
        <f>N34*PARAMS_MODELO!$B$11</f>
        <v>10</v>
      </c>
      <c r="P34" s="5">
        <f>IFERROR(VLOOKUP(A34,DIGITAL!$A$2:$J$2000,7,0),100)</f>
        <v>68</v>
      </c>
      <c r="Q34" s="5">
        <f>IFERROR(P34,0)*PARAMS_MODELO!$B$12</f>
        <v>6.8000000000000007</v>
      </c>
      <c r="R34">
        <f t="shared" si="3"/>
        <v>56.645487121053364</v>
      </c>
      <c r="S34" s="5" t="str">
        <f>IFERROR(VLOOKUP(A34,CLIENTE!$A$2:$N$2000,13,0),1)</f>
        <v>Muy Bueno</v>
      </c>
      <c r="T34" s="5">
        <f>IFERROR(VLOOKUP(A34,CLIENTE!$A$2:$N$2000,14,0),1)</f>
        <v>1.1499999999999999</v>
      </c>
      <c r="U34" s="5">
        <f t="shared" si="4"/>
        <v>65.142310189211358</v>
      </c>
      <c r="V34" s="5" t="str">
        <f>IF(U34&gt;=MAX(_xlfn.PERCENTILE.INC($U$2:$U$1194,PARAMS_MODELO!$B$50),PARAMS_MODELO!$B$45),"DIAMANTE",IF(U34&gt;=MAX(_xlfn.PERCENTILE.INC($U$2:$U$1194,PARAMS_MODELO!$B$51),PARAMS_MODELO!$B$46),"PLATINO",IF(U34&gt;=MAX(_xlfn.PERCENTILE.INC($U$2:$U$1194,PARAMS_MODELO!$B$52),PARAMS_MODELO!$B$47),"ORO",IF(U34&gt;=MAX(_xlfn.PERCENTILE.INC($U$2:$U$1194,PARAMS_MODELO!$B$53),PARAMS_MODELO!$B$48),"PLATA",IF(U34&gt;=1,"BRONCE","CERRADO")))))</f>
        <v>ORO</v>
      </c>
      <c r="W34" s="5" t="str" cm="1">
        <f t="array" ref="W34">_xlfn.XLOOKUP(1, (HIST_SCORE!$B:$B=PARAMS_MODELO!$B$4) * (HIST_SCORE!$C:$C=A34), HIST_SCORE!$E:$E, "No encontrado")</f>
        <v>ORO</v>
      </c>
      <c r="X34" s="5" t="str">
        <f>_xlfn.LET(_xlpm.act,MATCH(V34,{"DIAMANTE";"PLATINO";"ORO";"PLATA";"BRONCE";"CERRADO"},0),_xlpm.ant,MATCH(W34,{"DIAMANTE";"PLATINO";"ORO";"PLATA";"BRONCE";"CERRADO"},0),IF(_xlpm.act&lt;_xlpm.ant,"Mejora ↑",IF(_xlpm.act&gt;_xlpm.ant,"Baja ↓","Estable →")))</f>
        <v>Estable →</v>
      </c>
      <c r="Y34" s="5">
        <f>IFERROR(U34-SUMIFS(HIST_SCORE!$D:$D,HIST_SCORE!$B:$B,PARAMS_MODELO!$B$4,HIST_SCORE!$C:$C,$A34),"")</f>
        <v>-15.749863130048226</v>
      </c>
      <c r="Z34" s="5" t="str">
        <f t="shared" si="5"/>
        <v>↓ Baja</v>
      </c>
      <c r="AA34" s="5">
        <f t="shared" si="6"/>
        <v>543</v>
      </c>
      <c r="AB34" s="5">
        <f>IFERROR(SUMIFS(HIST_SCORE!$F:$F,HIST_SCORE!$B:$B,PARAMS_MODELO!$B$4,HIST_SCORE!$C:$C,$A34),"")</f>
        <v>395</v>
      </c>
      <c r="AC34" s="5">
        <f t="shared" si="7"/>
        <v>-148</v>
      </c>
      <c r="AD34" t="str">
        <f t="shared" si="9"/>
        <v>Sostener base y reforzar mix</v>
      </c>
      <c r="AE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CERRADO",1,IF(V34="BRONCE",_xlpm.cPl,IF(V34="PLATA",_xlpm.cO,IF(V34="ORO",_xlpm.cP,IF(V34="PLATINO",_xlpm.cD,999))))))</f>
        <v>86.439123873763251</v>
      </c>
      <c r="AF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CERRADO",0,IF(V34="BRONCE",1,IF(V34="PLATA",_xlpm.cPl,IF(V34="ORO",_xlpm.cO,IF(V34="PLATINO",_xlpm.cP,_xlpm.cD))))))</f>
        <v>63.199193273331495</v>
      </c>
      <c r="AG34">
        <f t="shared" si="10"/>
        <v>18.51896842134947</v>
      </c>
      <c r="AH34" t="str">
        <f t="shared" si="11"/>
        <v>VENTAS</v>
      </c>
      <c r="AI34" t="str">
        <f t="shared" si="8"/>
        <v>🎯 Para subir de categoría, eje VENTAS / DIFERENCIAL vs LOTBA (J). Acción: metas semanales + activación comercial + seguimiento del asesor. ΔR aprox: 18,5</v>
      </c>
      <c r="AJ34" s="26">
        <f>_xlfn.LET(_xlpm.piso,AF34,_xlpm.corte,AE34,_xlpm.prog,IF(_xlpm.corte&lt;=_xlpm.piso,0,MAX(0,MIN(1,(U34-_xlpm.piso)/(_xlpm.corte-_xlpm.piso)))),_xlpm.orden,{"DIAMANTE";"PLATINO";"ORO";"PLATA";"BRONCE";"CERRADO"},_xlpm.act,IFERROR(MATCH(V34,_xlpm.orden,0),6),_xlpm.ant,IFERROR(MATCH(W34,_xlpm.orden,0),6),_xlpm.ajmov,IF(_xlpm.act&lt;_xlpm.ant,0.08,IF(_xlpm.act&gt;_xlpm.ant,-0.08,0)),_xlpm.ajcli,IF(T34&lt;0.95,-0.06,0),_xlpm.prob,MAX(0,MIN(1,_xlpm.prog+_xlpm.ajmov+_xlpm.ajcli)),IF(OR(V34="DIAMANTE",V34="CERRADO"),0,ROUND(_xlpm.prob,2)))</f>
        <v>0.08</v>
      </c>
      <c r="AK34" t="str">
        <f t="shared" si="12"/>
        <v>Faltan 18,5 puntos base para subir a la siguiente categoría</v>
      </c>
      <c r="AL34" t="str">
        <f t="shared" si="13"/>
        <v>Margen de seguridad: 1,9 puntos</v>
      </c>
      <c r="AM34">
        <f t="shared" si="14"/>
        <v>0.77</v>
      </c>
      <c r="AN34" t="str">
        <f t="shared" si="15"/>
        <v>PRIORIDAD ALTA – requiere intervención inmediata</v>
      </c>
      <c r="AO34">
        <f t="shared" si="16"/>
        <v>46.019644477378549</v>
      </c>
      <c r="AP34">
        <f t="shared" si="17"/>
        <v>0</v>
      </c>
      <c r="AQ34">
        <f t="shared" si="18"/>
        <v>0</v>
      </c>
      <c r="AR34">
        <f t="shared" si="19"/>
        <v>3.6799999999999988</v>
      </c>
      <c r="AS34">
        <f t="shared" si="20"/>
        <v>0</v>
      </c>
      <c r="AT34" t="str">
        <f t="shared" si="21"/>
        <v>VENTAS</v>
      </c>
      <c r="AU34">
        <f t="shared" si="22"/>
        <v>46.019644477378549</v>
      </c>
      <c r="AV34" t="str">
        <f t="shared" si="23"/>
        <v>Mayor retorno probable: VENTAS (+46,0 puntos finales potenciales).</v>
      </c>
    </row>
    <row r="35" spans="1:48" x14ac:dyDescent="0.3">
      <c r="A35" s="5">
        <v>51042735</v>
      </c>
      <c r="B35" s="5" t="str">
        <f>IFERROR(VLOOKUP(A35,VENTAS!$A$2:$B$1194,2,0),"")</f>
        <v>ARGUELLO</v>
      </c>
      <c r="C35" s="5">
        <f>IFERROR(INDEX(VENTAS!$C$2:$E$1194,MATCH(A35,VENTAS!$A$2:$A$1194,0),MATCH(PARAMS_MODELO!$B$2,{"Q1","Q2","Q3"},0)),0)</f>
        <v>170340972</v>
      </c>
      <c r="D35" s="5">
        <f>IFERROR(INDEX(VENTAS!$F$2:$H$1194,MATCH(A35,VENTAS!$A$2:$A$1194,0),MATCH(PARAMS_MODELO!$B$2,{"Q1","Q2","Q3"},0)),0)</f>
        <v>213739199</v>
      </c>
      <c r="E35" s="8">
        <f t="shared" si="0"/>
        <v>0.25477268616266913</v>
      </c>
      <c r="F35" s="12">
        <f>IF(E35&lt;=PARAMS_MODELO!$B$15,0,IF(E35&gt;=PARAMS_MODELO!$B$17,100,100*MIN(1,(E35-PARAMS_MODELO!$B$15)/(PARAMS_MODELO!$B$16-PARAMS_MODELO!$B$15))))*PARAMS_MODELO!$B$7</f>
        <v>35</v>
      </c>
      <c r="G35" s="5">
        <f t="shared" si="1"/>
        <v>43398227</v>
      </c>
      <c r="H35" s="5">
        <f>(PARAMS_MODELO!$B$20*(MAX(0,MIN(3,E35))/3)+PARAMS_MODELO!$B$21*(IFERROR(LN(1+MAX(0,G35))/LN(1+MAX(0,MAX($G$2:$G$1194))),0)))*100*PARAMS_MODELO!$B$8</f>
        <v>5.0140917104935374</v>
      </c>
      <c r="I35" s="8">
        <f>E35-PARAMS_MODELO!$B$5</f>
        <v>7.7209850787142598E-2</v>
      </c>
      <c r="J35" s="5">
        <f>IF(I35&lt;=PARAMS_MODELO!$B$18,0,IF(I35&gt;=PARAMS_MODELO!$B$19,100,100*(I35-PARAMS_MODELO!$B$18)/(PARAMS_MODELO!$B$19-PARAMS_MODELO!$B$18)))*PARAMS_MODELO!$B$9</f>
        <v>15</v>
      </c>
      <c r="K35" s="5">
        <f>IFERROR(CHOOSE(MATCH(PARAMS_MODELO!$B$2,{"Q1","Q2","Q3"},0),LOTO!$D35,LOTO!$F35,LOTO!$H35),0)</f>
        <v>11330000</v>
      </c>
      <c r="L35" s="8">
        <f t="shared" si="2"/>
        <v>5.3008526526760309E-2</v>
      </c>
      <c r="M35" s="5">
        <f>MIN(100,IF(PARAMS_MODELO!$B$23=0,0,100*L35/PARAMS_MODELO!$B$23))*PARAMS_MODELO!$B$10</f>
        <v>15</v>
      </c>
      <c r="N35" s="5">
        <f>IFERROR(VLOOKUP(A35,COMPLIANCE!$A$2:$F$1996,6,0),100)</f>
        <v>100</v>
      </c>
      <c r="O35" s="5">
        <f>N35*PARAMS_MODELO!$B$11</f>
        <v>10</v>
      </c>
      <c r="P35" s="5">
        <f>IFERROR(VLOOKUP(A35,DIGITAL!$A$2:$J$2000,7,0),100)</f>
        <v>22</v>
      </c>
      <c r="Q35" s="5">
        <f>IFERROR(P35,0)*PARAMS_MODELO!$B$12</f>
        <v>2.2000000000000002</v>
      </c>
      <c r="R35">
        <f t="shared" si="3"/>
        <v>82.214091710493548</v>
      </c>
      <c r="S35" s="5" t="str">
        <f>IFERROR(VLOOKUP(A35,CLIENTE!$A$2:$N$2000,13,0),1)</f>
        <v>Malo</v>
      </c>
      <c r="T35" s="5">
        <f>IFERROR(VLOOKUP(A35,CLIENTE!$A$2:$N$2000,14,0),1)</f>
        <v>0.7</v>
      </c>
      <c r="U35" s="5">
        <f t="shared" si="4"/>
        <v>57.549864197345478</v>
      </c>
      <c r="V35" s="5" t="str">
        <f>IF(U35&gt;=MAX(_xlfn.PERCENTILE.INC($U$2:$U$1194,PARAMS_MODELO!$B$50),PARAMS_MODELO!$B$45),"DIAMANTE",IF(U35&gt;=MAX(_xlfn.PERCENTILE.INC($U$2:$U$1194,PARAMS_MODELO!$B$51),PARAMS_MODELO!$B$46),"PLATINO",IF(U35&gt;=MAX(_xlfn.PERCENTILE.INC($U$2:$U$1194,PARAMS_MODELO!$B$52),PARAMS_MODELO!$B$47),"ORO",IF(U35&gt;=MAX(_xlfn.PERCENTILE.INC($U$2:$U$1194,PARAMS_MODELO!$B$53),PARAMS_MODELO!$B$48),"PLATA",IF(U35&gt;=1,"BRONCE","CERRADO")))))</f>
        <v>PLATA</v>
      </c>
      <c r="W35" s="5" t="str" cm="1">
        <f t="array" ref="W35">_xlfn.XLOOKUP(1, (HIST_SCORE!$B:$B=PARAMS_MODELO!$B$4) * (HIST_SCORE!$C:$C=A35), HIST_SCORE!$E:$E, "No encontrado")</f>
        <v>PLATA</v>
      </c>
      <c r="X35" s="5" t="str">
        <f>_xlfn.LET(_xlpm.act,MATCH(V35,{"DIAMANTE";"PLATINO";"ORO";"PLATA";"BRONCE";"CERRADO"},0),_xlpm.ant,MATCH(W35,{"DIAMANTE";"PLATINO";"ORO";"PLATA";"BRONCE";"CERRADO"},0),IF(_xlpm.act&lt;_xlpm.ant,"Mejora ↑",IF(_xlpm.act&gt;_xlpm.ant,"Baja ↓","Estable →")))</f>
        <v>Estable →</v>
      </c>
      <c r="Y35" s="5">
        <f>IFERROR(U35-SUMIFS(HIST_SCORE!$D:$D,HIST_SCORE!$B:$B,PARAMS_MODELO!$B$4,HIST_SCORE!$C:$C,$A35),"")</f>
        <v>-7.5910887155579587E-2</v>
      </c>
      <c r="Z35" s="5" t="str">
        <f t="shared" si="5"/>
        <v>→ Estable</v>
      </c>
      <c r="AA35" s="5">
        <f t="shared" si="6"/>
        <v>673</v>
      </c>
      <c r="AB35" s="5">
        <f>IFERROR(SUMIFS(HIST_SCORE!$F:$F,HIST_SCORE!$B:$B,PARAMS_MODELO!$B$4,HIST_SCORE!$C:$C,$A35),"")</f>
        <v>694</v>
      </c>
      <c r="AC35" s="5">
        <f t="shared" si="7"/>
        <v>21</v>
      </c>
      <c r="AD35" t="str">
        <f t="shared" si="9"/>
        <v/>
      </c>
      <c r="AE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CERRADO",1,IF(V35="BRONCE",_xlpm.cPl,IF(V35="PLATA",_xlpm.cO,IF(V35="ORO",_xlpm.cP,IF(V35="PLATINO",_xlpm.cD,999))))))</f>
        <v>63.199193273331495</v>
      </c>
      <c r="AF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CERRADO",0,IF(V35="BRONCE",1,IF(V35="PLATA",_xlpm.cPl,IF(V35="ORO",_xlpm.cO,IF(V35="PLATINO",_xlpm.cP,_xlpm.cD))))))</f>
        <v>24.506573482968111</v>
      </c>
      <c r="AG35">
        <f t="shared" si="10"/>
        <v>8.0704701085514472</v>
      </c>
      <c r="AH35" t="str">
        <f t="shared" si="11"/>
        <v>CLIENTE</v>
      </c>
      <c r="AI35" t="str">
        <f t="shared" si="8"/>
        <v>🎯 Para subir de categoría, la eje con mayor impacto probable es CLIENTE (coef T). Acción: reducir quejas, mejorar incógnito y empujar reseñas. ΔR aprox: 8,1</v>
      </c>
      <c r="AJ35" s="26">
        <f>_xlfn.LET(_xlpm.piso,AF35,_xlpm.corte,AE35,_xlpm.prog,IF(_xlpm.corte&lt;=_xlpm.piso,0,MAX(0,MIN(1,(U35-_xlpm.piso)/(_xlpm.corte-_xlpm.piso)))),_xlpm.orden,{"DIAMANTE";"PLATINO";"ORO";"PLATA";"BRONCE";"CERRADO"},_xlpm.act,IFERROR(MATCH(V35,_xlpm.orden,0),6),_xlpm.ant,IFERROR(MATCH(W35,_xlpm.orden,0),6),_xlpm.ajmov,IF(_xlpm.act&lt;_xlpm.ant,0.08,IF(_xlpm.act&gt;_xlpm.ant,-0.08,0)),_xlpm.ajcli,IF(T35&lt;0.95,-0.06,0),_xlpm.prob,MAX(0,MIN(1,_xlpm.prog+_xlpm.ajmov+_xlpm.ajcli)),IF(OR(V35="DIAMANTE",V35="CERRADO"),0,ROUND(_xlpm.prob,2)))</f>
        <v>0.79</v>
      </c>
      <c r="AK35" t="str">
        <f t="shared" si="12"/>
        <v>Faltan 8,1 puntos base para subir a la siguiente categoría</v>
      </c>
      <c r="AL35" t="str">
        <f t="shared" si="13"/>
        <v>Margen de seguridad: 33,0 puntos</v>
      </c>
      <c r="AM35">
        <f t="shared" si="14"/>
        <v>0.61</v>
      </c>
      <c r="AN35" t="str">
        <f t="shared" si="15"/>
        <v>PRIORIDAD MEDIA – seguimiento del asesor</v>
      </c>
      <c r="AO35">
        <f t="shared" si="16"/>
        <v>6.893934295361432</v>
      </c>
      <c r="AP35">
        <f t="shared" si="17"/>
        <v>0</v>
      </c>
      <c r="AQ35">
        <f t="shared" si="18"/>
        <v>0</v>
      </c>
      <c r="AR35">
        <f t="shared" si="19"/>
        <v>5.46</v>
      </c>
      <c r="AS35">
        <f t="shared" si="20"/>
        <v>24.664227513148067</v>
      </c>
      <c r="AT35" t="str">
        <f t="shared" si="21"/>
        <v>CLIENTE</v>
      </c>
      <c r="AU35">
        <f t="shared" si="22"/>
        <v>24.664227513148067</v>
      </c>
      <c r="AV35" t="str">
        <f t="shared" si="23"/>
        <v>Mayor retorno probable: CLIENTE (+24,7 puntos finales potenciales).</v>
      </c>
    </row>
    <row r="36" spans="1:48" x14ac:dyDescent="0.3">
      <c r="A36" s="5">
        <v>51023218</v>
      </c>
      <c r="B36" s="5" t="str">
        <f>IFERROR(VLOOKUP(A36,VENTAS!$A$2:$B$1194,2,0),"")</f>
        <v>PRADES</v>
      </c>
      <c r="C36" s="5">
        <f>IFERROR(INDEX(VENTAS!$C$2:$E$1194,MATCH(A36,VENTAS!$A$2:$A$1194,0),MATCH(PARAMS_MODELO!$B$2,{"Q1","Q2","Q3"},0)),0)</f>
        <v>259002796.90000001</v>
      </c>
      <c r="D36" s="5">
        <f>IFERROR(INDEX(VENTAS!$F$2:$H$1194,MATCH(A36,VENTAS!$A$2:$A$1194,0),MATCH(PARAMS_MODELO!$B$2,{"Q1","Q2","Q3"},0)),0)</f>
        <v>212577022</v>
      </c>
      <c r="E36" s="8">
        <f t="shared" si="0"/>
        <v>-0.17924816046648651</v>
      </c>
      <c r="F36" s="12">
        <f>IF(E36&lt;=PARAMS_MODELO!$B$15,0,IF(E36&gt;=PARAMS_MODELO!$B$17,100,100*MIN(1,(E36-PARAMS_MODELO!$B$15)/(PARAMS_MODELO!$B$16-PARAMS_MODELO!$B$15))))*PARAMS_MODELO!$B$7</f>
        <v>0</v>
      </c>
      <c r="G36" s="5">
        <f t="shared" si="1"/>
        <v>0</v>
      </c>
      <c r="H36" s="5">
        <f>(PARAMS_MODELO!$B$20*(MAX(0,MIN(3,E36))/3)+PARAMS_MODELO!$B$21*(IFERROR(LN(1+MAX(0,G36))/LN(1+MAX(0,MAX($G$2:$G$1194))),0)))*100*PARAMS_MODELO!$B$8</f>
        <v>0</v>
      </c>
      <c r="I36" s="8">
        <f>E36-PARAMS_MODELO!$B$5</f>
        <v>-0.35681099584201303</v>
      </c>
      <c r="J36" s="5">
        <f>IF(I36&lt;=PARAMS_MODELO!$B$18,0,IF(I36&gt;=PARAMS_MODELO!$B$19,100,100*(I36-PARAMS_MODELO!$B$18)/(PARAMS_MODELO!$B$19-PARAMS_MODELO!$B$18)))*PARAMS_MODELO!$B$9</f>
        <v>0</v>
      </c>
      <c r="K36" s="5">
        <f>IFERROR(CHOOSE(MATCH(PARAMS_MODELO!$B$2,{"Q1","Q2","Q3"},0),LOTO!$D36,LOTO!$F36,LOTO!$H36),0)</f>
        <v>10877500</v>
      </c>
      <c r="L36" s="8">
        <f t="shared" si="2"/>
        <v>5.1169688509419421E-2</v>
      </c>
      <c r="M36" s="5">
        <f>MIN(100,IF(PARAMS_MODELO!$B$23=0,0,100*L36/PARAMS_MODELO!$B$23))*PARAMS_MODELO!$B$10</f>
        <v>15</v>
      </c>
      <c r="N36" s="5">
        <f>IFERROR(VLOOKUP(A36,COMPLIANCE!$A$2:$F$1996,6,0),100)</f>
        <v>100</v>
      </c>
      <c r="O36" s="5">
        <f>N36*PARAMS_MODELO!$B$11</f>
        <v>10</v>
      </c>
      <c r="P36" s="5">
        <f>IFERROR(VLOOKUP(A36,DIGITAL!$A$2:$J$2000,7,0),100)</f>
        <v>67</v>
      </c>
      <c r="Q36" s="5">
        <f>IFERROR(P36,0)*PARAMS_MODELO!$B$12</f>
        <v>6.7</v>
      </c>
      <c r="R36">
        <f t="shared" si="3"/>
        <v>31.7</v>
      </c>
      <c r="S36" s="5" t="str">
        <f>IFERROR(VLOOKUP(A36,CLIENTE!$A$2:$N$2000,13,0),1)</f>
        <v>Malo</v>
      </c>
      <c r="T36" s="5">
        <f>IFERROR(VLOOKUP(A36,CLIENTE!$A$2:$N$2000,14,0),1)</f>
        <v>0.7</v>
      </c>
      <c r="U36" s="5">
        <f t="shared" si="4"/>
        <v>22.189999999999998</v>
      </c>
      <c r="V36" s="5" t="str">
        <f>IF(U36&gt;=MAX(_xlfn.PERCENTILE.INC($U$2:$U$1194,PARAMS_MODELO!$B$50),PARAMS_MODELO!$B$45),"DIAMANTE",IF(U36&gt;=MAX(_xlfn.PERCENTILE.INC($U$2:$U$1194,PARAMS_MODELO!$B$51),PARAMS_MODELO!$B$46),"PLATINO",IF(U36&gt;=MAX(_xlfn.PERCENTILE.INC($U$2:$U$1194,PARAMS_MODELO!$B$52),PARAMS_MODELO!$B$47),"ORO",IF(U36&gt;=MAX(_xlfn.PERCENTILE.INC($U$2:$U$1194,PARAMS_MODELO!$B$53),PARAMS_MODELO!$B$48),"PLATA",IF(U36&gt;=1,"BRONCE","CERRADO")))))</f>
        <v>BRONCE</v>
      </c>
      <c r="W36" s="5" t="str" cm="1">
        <f t="array" ref="W36">_xlfn.XLOOKUP(1, (HIST_SCORE!$B:$B=PARAMS_MODELO!$B$4) * (HIST_SCORE!$C:$C=A36), HIST_SCORE!$E:$E, "No encontrado")</f>
        <v>PLATA</v>
      </c>
      <c r="X36" s="5" t="str">
        <f>_xlfn.LET(_xlpm.act,MATCH(V36,{"DIAMANTE";"PLATINO";"ORO";"PLATA";"BRONCE";"CERRADO"},0),_xlpm.ant,MATCH(W36,{"DIAMANTE";"PLATINO";"ORO";"PLATA";"BRONCE";"CERRADO"},0),IF(_xlpm.act&lt;_xlpm.ant,"Mejora ↑",IF(_xlpm.act&gt;_xlpm.ant,"Baja ↓","Estable →")))</f>
        <v>Baja ↓</v>
      </c>
      <c r="Y36" s="5">
        <f>IFERROR(U36-SUMIFS(HIST_SCORE!$D:$D,HIST_SCORE!$B:$B,PARAMS_MODELO!$B$4,HIST_SCORE!$C:$C,$A36),"")</f>
        <v>-35.029717367869324</v>
      </c>
      <c r="Z36" s="5" t="str">
        <f t="shared" si="5"/>
        <v>↓ Baja</v>
      </c>
      <c r="AA36" s="5">
        <f t="shared" si="6"/>
        <v>946</v>
      </c>
      <c r="AB36" s="5">
        <f>IFERROR(SUMIFS(HIST_SCORE!$F:$F,HIST_SCORE!$B:$B,PARAMS_MODELO!$B$4,HIST_SCORE!$C:$C,$A36),"")</f>
        <v>711</v>
      </c>
      <c r="AC36" s="5">
        <f t="shared" si="7"/>
        <v>-235</v>
      </c>
      <c r="AD36" t="str">
        <f t="shared" si="9"/>
        <v>Plan de recuperación: foco crecimiento + mix</v>
      </c>
      <c r="AE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CERRADO",1,IF(V36="BRONCE",_xlpm.cPl,IF(V36="PLATA",_xlpm.cO,IF(V36="ORO",_xlpm.cP,IF(V36="PLATINO",_xlpm.cD,999))))))</f>
        <v>24.506573482968111</v>
      </c>
      <c r="AF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CERRADO",0,IF(V36="BRONCE",1,IF(V36="PLATA",_xlpm.cPl,IF(V36="ORO",_xlpm.cO,IF(V36="PLATINO",_xlpm.cP,_xlpm.cD))))))</f>
        <v>1</v>
      </c>
      <c r="AG36">
        <f t="shared" si="10"/>
        <v>3.3093906899544443</v>
      </c>
      <c r="AH36" t="str">
        <f t="shared" si="11"/>
        <v>CLIENTE</v>
      </c>
      <c r="AI36" t="str">
        <f t="shared" si="8"/>
        <v>🎯 Para subir de categoría, la eje con mayor impacto probable es CLIENTE (coef T). Acción: reducir quejas, mejorar incógnito y empujar reseñas. ΔR aprox: 3,3</v>
      </c>
      <c r="AJ36" s="26">
        <f>_xlfn.LET(_xlpm.piso,AF36,_xlpm.corte,AE36,_xlpm.prog,IF(_xlpm.corte&lt;=_xlpm.piso,0,MAX(0,MIN(1,(U36-_xlpm.piso)/(_xlpm.corte-_xlpm.piso)))),_xlpm.orden,{"DIAMANTE";"PLATINO";"ORO";"PLATA";"BRONCE";"CERRADO"},_xlpm.act,IFERROR(MATCH(V36,_xlpm.orden,0),6),_xlpm.ant,IFERROR(MATCH(W36,_xlpm.orden,0),6),_xlpm.ajmov,IF(_xlpm.act&lt;_xlpm.ant,0.08,IF(_xlpm.act&gt;_xlpm.ant,-0.08,0)),_xlpm.ajcli,IF(T36&lt;0.95,-0.06,0),_xlpm.prob,MAX(0,MIN(1,_xlpm.prog+_xlpm.ajmov+_xlpm.ajcli)),IF(OR(V36="DIAMANTE",V36="CERRADO"),0,ROUND(_xlpm.prob,2)))</f>
        <v>0.76</v>
      </c>
      <c r="AK36" t="str">
        <f t="shared" si="12"/>
        <v>Faltan 3,3 puntos base para subir a la siguiente categoría</v>
      </c>
      <c r="AL36" t="str">
        <f t="shared" si="13"/>
        <v>No aplica</v>
      </c>
      <c r="AM36">
        <f t="shared" si="14"/>
        <v>0.43</v>
      </c>
      <c r="AN36" t="str">
        <f t="shared" si="15"/>
        <v>PRIORIDAD MEDIA – seguimiento del asesor</v>
      </c>
      <c r="AO36">
        <f t="shared" si="16"/>
        <v>45.403798492706905</v>
      </c>
      <c r="AP36">
        <f t="shared" si="17"/>
        <v>0</v>
      </c>
      <c r="AQ36">
        <f t="shared" si="18"/>
        <v>0</v>
      </c>
      <c r="AR36">
        <f t="shared" si="19"/>
        <v>2.3099999999999996</v>
      </c>
      <c r="AS36">
        <f t="shared" si="20"/>
        <v>9.5100000000000016</v>
      </c>
      <c r="AT36" t="str">
        <f t="shared" si="21"/>
        <v>VENTAS</v>
      </c>
      <c r="AU36">
        <f t="shared" si="22"/>
        <v>45.403798492706905</v>
      </c>
      <c r="AV36" t="str">
        <f t="shared" si="23"/>
        <v>Mayor retorno probable: VENTAS (+45,4 puntos finales potenciales).</v>
      </c>
    </row>
    <row r="37" spans="1:48" x14ac:dyDescent="0.3">
      <c r="A37" s="5">
        <v>51002776</v>
      </c>
      <c r="B37" s="5" t="str">
        <f>IFERROR(VLOOKUP(A37,VENTAS!$A$2:$B$1194,2,0),"")</f>
        <v>NELLI</v>
      </c>
      <c r="C37" s="5">
        <f>IFERROR(INDEX(VENTAS!$C$2:$E$1194,MATCH(A37,VENTAS!$A$2:$A$1194,0),MATCH(PARAMS_MODELO!$B$2,{"Q1","Q2","Q3"},0)),0)</f>
        <v>170633051.47</v>
      </c>
      <c r="D37" s="5">
        <f>IFERROR(INDEX(VENTAS!$F$2:$H$1194,MATCH(A37,VENTAS!$A$2:$A$1194,0),MATCH(PARAMS_MODELO!$B$2,{"Q1","Q2","Q3"},0)),0)</f>
        <v>211866268</v>
      </c>
      <c r="E37" s="8">
        <f t="shared" si="0"/>
        <v>0.24164847416591773</v>
      </c>
      <c r="F37" s="12">
        <f>IF(E37&lt;=PARAMS_MODELO!$B$15,0,IF(E37&gt;=PARAMS_MODELO!$B$17,100,100*MIN(1,(E37-PARAMS_MODELO!$B$15)/(PARAMS_MODELO!$B$16-PARAMS_MODELO!$B$15))))*PARAMS_MODELO!$B$7</f>
        <v>35</v>
      </c>
      <c r="G37" s="5">
        <f t="shared" si="1"/>
        <v>41233216.530000001</v>
      </c>
      <c r="H37" s="5">
        <f>(PARAMS_MODELO!$B$20*(MAX(0,MIN(3,E37))/3)+PARAMS_MODELO!$B$21*(IFERROR(LN(1+MAX(0,G37))/LN(1+MAX(0,MAX($G$2:$G$1194))),0)))*100*PARAMS_MODELO!$B$8</f>
        <v>4.9561609680242311</v>
      </c>
      <c r="I37" s="8">
        <f>E37-PARAMS_MODELO!$B$5</f>
        <v>6.4085638790391197E-2</v>
      </c>
      <c r="J37" s="5">
        <f>IF(I37&lt;=PARAMS_MODELO!$B$18,0,IF(I37&gt;=PARAMS_MODELO!$B$19,100,100*(I37-PARAMS_MODELO!$B$18)/(PARAMS_MODELO!$B$19-PARAMS_MODELO!$B$18)))*PARAMS_MODELO!$B$9</f>
        <v>15</v>
      </c>
      <c r="K37" s="5">
        <f>IFERROR(CHOOSE(MATCH(PARAMS_MODELO!$B$2,{"Q1","Q2","Q3"},0),LOTO!$D37,LOTO!$F37,LOTO!$H37),0)</f>
        <v>10630000</v>
      </c>
      <c r="L37" s="8">
        <f t="shared" si="2"/>
        <v>5.0173159230803087E-2</v>
      </c>
      <c r="M37" s="5">
        <f>MIN(100,IF(PARAMS_MODELO!$B$23=0,0,100*L37/PARAMS_MODELO!$B$23))*PARAMS_MODELO!$B$10</f>
        <v>15</v>
      </c>
      <c r="N37" s="5">
        <f>IFERROR(VLOOKUP(A37,COMPLIANCE!$A$2:$F$1996,6,0),100)</f>
        <v>100</v>
      </c>
      <c r="O37" s="5">
        <f>N37*PARAMS_MODELO!$B$11</f>
        <v>10</v>
      </c>
      <c r="P37" s="5">
        <f>IFERROR(VLOOKUP(A37,DIGITAL!$A$2:$J$2000,7,0),100)</f>
        <v>29</v>
      </c>
      <c r="Q37" s="5">
        <f>IFERROR(P37,0)*PARAMS_MODELO!$B$12</f>
        <v>2.9000000000000004</v>
      </c>
      <c r="R37">
        <f t="shared" si="3"/>
        <v>82.856160968024227</v>
      </c>
      <c r="S37" s="5" t="str">
        <f>IFERROR(VLOOKUP(A37,CLIENTE!$A$2:$N$2000,13,0),1)</f>
        <v>Regular</v>
      </c>
      <c r="T37" s="5">
        <f>IFERROR(VLOOKUP(A37,CLIENTE!$A$2:$N$2000,14,0),1)</f>
        <v>1</v>
      </c>
      <c r="U37" s="5">
        <f t="shared" si="4"/>
        <v>82.856160968024227</v>
      </c>
      <c r="V37" s="5" t="str">
        <f>IF(U37&gt;=MAX(_xlfn.PERCENTILE.INC($U$2:$U$1194,PARAMS_MODELO!$B$50),PARAMS_MODELO!$B$45),"DIAMANTE",IF(U37&gt;=MAX(_xlfn.PERCENTILE.INC($U$2:$U$1194,PARAMS_MODELO!$B$51),PARAMS_MODELO!$B$46),"PLATINO",IF(U37&gt;=MAX(_xlfn.PERCENTILE.INC($U$2:$U$1194,PARAMS_MODELO!$B$52),PARAMS_MODELO!$B$47),"ORO",IF(U37&gt;=MAX(_xlfn.PERCENTILE.INC($U$2:$U$1194,PARAMS_MODELO!$B$53),PARAMS_MODELO!$B$48),"PLATA",IF(U37&gt;=1,"BRONCE","CERRADO")))))</f>
        <v>ORO</v>
      </c>
      <c r="W37" s="5" t="str" cm="1">
        <f t="array" ref="W37">_xlfn.XLOOKUP(1, (HIST_SCORE!$B:$B=PARAMS_MODELO!$B$4) * (HIST_SCORE!$C:$C=A37), HIST_SCORE!$E:$E, "No encontrado")</f>
        <v>ORO</v>
      </c>
      <c r="X37" s="5" t="str">
        <f>_xlfn.LET(_xlpm.act,MATCH(V37,{"DIAMANTE";"PLATINO";"ORO";"PLATA";"BRONCE";"CERRADO"},0),_xlpm.ant,MATCH(W37,{"DIAMANTE";"PLATINO";"ORO";"PLATA";"BRONCE";"CERRADO"},0),IF(_xlpm.act&lt;_xlpm.ant,"Mejora ↑",IF(_xlpm.act&gt;_xlpm.ant,"Baja ↓","Estable →")))</f>
        <v>Estable →</v>
      </c>
      <c r="Y37" s="5">
        <f>IFERROR(U37-SUMIFS(HIST_SCORE!$D:$D,HIST_SCORE!$B:$B,PARAMS_MODELO!$B$4,HIST_SCORE!$C:$C,$A37),"")</f>
        <v>0.98439392099521683</v>
      </c>
      <c r="Z37" s="5" t="str">
        <f t="shared" si="5"/>
        <v>→ Estable</v>
      </c>
      <c r="AA37" s="5">
        <f t="shared" si="6"/>
        <v>359</v>
      </c>
      <c r="AB37" s="5">
        <f>IFERROR(SUMIFS(HIST_SCORE!$F:$F,HIST_SCORE!$B:$B,PARAMS_MODELO!$B$4,HIST_SCORE!$C:$C,$A37),"")</f>
        <v>372</v>
      </c>
      <c r="AC37" s="5">
        <f t="shared" si="7"/>
        <v>13</v>
      </c>
      <c r="AD37" t="str">
        <f t="shared" si="9"/>
        <v/>
      </c>
      <c r="AE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CERRADO",1,IF(V37="BRONCE",_xlpm.cPl,IF(V37="PLATA",_xlpm.cO,IF(V37="ORO",_xlpm.cP,IF(V37="PLATINO",_xlpm.cD,999))))))</f>
        <v>86.439123873763251</v>
      </c>
      <c r="AF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CERRADO",0,IF(V37="BRONCE",1,IF(V37="PLATA",_xlpm.cPl,IF(V37="ORO",_xlpm.cO,IF(V37="PLATINO",_xlpm.cP,_xlpm.cD))))))</f>
        <v>63.199193273331495</v>
      </c>
      <c r="AG37">
        <f t="shared" si="10"/>
        <v>3.5829629057390235</v>
      </c>
      <c r="AH37" t="str">
        <f t="shared" si="11"/>
        <v>VENTAS</v>
      </c>
      <c r="AI37" t="str">
        <f t="shared" si="8"/>
        <v>🎯 Para subir de categoría, eje VENTAS / IMPACTO ABSOLUTO (H). Acción: metas semanales + activación comercial + seguimiento del asesor. ΔR aprox: 3,6</v>
      </c>
      <c r="AJ37" s="26">
        <f>_xlfn.LET(_xlpm.piso,AF37,_xlpm.corte,AE37,_xlpm.prog,IF(_xlpm.corte&lt;=_xlpm.piso,0,MAX(0,MIN(1,(U37-_xlpm.piso)/(_xlpm.corte-_xlpm.piso)))),_xlpm.orden,{"DIAMANTE";"PLATINO";"ORO";"PLATA";"BRONCE";"CERRADO"},_xlpm.act,IFERROR(MATCH(V37,_xlpm.orden,0),6),_xlpm.ant,IFERROR(MATCH(W37,_xlpm.orden,0),6),_xlpm.ajmov,IF(_xlpm.act&lt;_xlpm.ant,0.08,IF(_xlpm.act&gt;_xlpm.ant,-0.08,0)),_xlpm.ajcli,IF(T37&lt;0.95,-0.06,0),_xlpm.prob,MAX(0,MIN(1,_xlpm.prog+_xlpm.ajmov+_xlpm.ajcli)),IF(OR(V37="DIAMANTE",V37="CERRADO"),0,ROUND(_xlpm.prob,2)))</f>
        <v>0.85</v>
      </c>
      <c r="AK37" t="str">
        <f t="shared" si="12"/>
        <v>Faltan 3,6 puntos base para subir a la siguiente categoría</v>
      </c>
      <c r="AL37" t="str">
        <f t="shared" si="13"/>
        <v>Margen de seguridad: 19,7 puntos</v>
      </c>
      <c r="AM37">
        <f t="shared" si="14"/>
        <v>0.2</v>
      </c>
      <c r="AN37" t="str">
        <f t="shared" si="15"/>
        <v>PRIORIDAD BAJA – control normal</v>
      </c>
      <c r="AO37">
        <f t="shared" si="16"/>
        <v>9.9064083072713558</v>
      </c>
      <c r="AP37">
        <f t="shared" si="17"/>
        <v>0</v>
      </c>
      <c r="AQ37">
        <f t="shared" si="18"/>
        <v>0</v>
      </c>
      <c r="AR37">
        <f t="shared" si="19"/>
        <v>7.1</v>
      </c>
      <c r="AS37">
        <f t="shared" si="20"/>
        <v>0</v>
      </c>
      <c r="AT37" t="str">
        <f t="shared" si="21"/>
        <v>VENTAS</v>
      </c>
      <c r="AU37">
        <f t="shared" si="22"/>
        <v>9.9064083072713558</v>
      </c>
      <c r="AV37" t="str">
        <f t="shared" si="23"/>
        <v>Mayor retorno probable: VENTAS (+9,9 puntos finales potenciales).</v>
      </c>
    </row>
    <row r="38" spans="1:48" x14ac:dyDescent="0.3">
      <c r="A38" s="5">
        <v>51015541</v>
      </c>
      <c r="B38" s="5" t="str">
        <f>IFERROR(VLOOKUP(A38,VENTAS!$A$2:$B$1194,2,0),"")</f>
        <v>METTLER</v>
      </c>
      <c r="C38" s="5">
        <f>IFERROR(INDEX(VENTAS!$C$2:$E$1194,MATCH(A38,VENTAS!$A$2:$A$1194,0),MATCH(PARAMS_MODELO!$B$2,{"Q1","Q2","Q3"},0)),0)</f>
        <v>185433099</v>
      </c>
      <c r="D38" s="5">
        <f>IFERROR(INDEX(VENTAS!$F$2:$H$1194,MATCH(A38,VENTAS!$A$2:$A$1194,0),MATCH(PARAMS_MODELO!$B$2,{"Q1","Q2","Q3"},0)),0)</f>
        <v>211470412</v>
      </c>
      <c r="E38" s="8">
        <f t="shared" si="0"/>
        <v>0.14041351377080735</v>
      </c>
      <c r="F38" s="12">
        <f>IF(E38&lt;=PARAMS_MODELO!$B$15,0,IF(E38&gt;=PARAMS_MODELO!$B$17,100,100*MIN(1,(E38-PARAMS_MODELO!$B$15)/(PARAMS_MODELO!$B$16-PARAMS_MODELO!$B$15))))*PARAMS_MODELO!$B$7</f>
        <v>35</v>
      </c>
      <c r="G38" s="5">
        <f t="shared" si="1"/>
        <v>26037313</v>
      </c>
      <c r="H38" s="5">
        <f>(PARAMS_MODELO!$B$20*(MAX(0,MIN(3,E38))/3)+PARAMS_MODELO!$B$21*(IFERROR(LN(1+MAX(0,G38))/LN(1+MAX(0,MAX($G$2:$G$1194))),0)))*100*PARAMS_MODELO!$B$8</f>
        <v>4.4940753398166606</v>
      </c>
      <c r="I38" s="8">
        <f>E38-PARAMS_MODELO!$B$5</f>
        <v>-3.7149321604719177E-2</v>
      </c>
      <c r="J38" s="5">
        <f>IF(I38&lt;=PARAMS_MODELO!$B$18,0,IF(I38&gt;=PARAMS_MODELO!$B$19,100,100*(I38-PARAMS_MODELO!$B$18)/(PARAMS_MODELO!$B$19-PARAMS_MODELO!$B$18)))*PARAMS_MODELO!$B$9</f>
        <v>1.9276017592921237</v>
      </c>
      <c r="K38" s="5">
        <f>IFERROR(CHOOSE(MATCH(PARAMS_MODELO!$B$2,{"Q1","Q2","Q3"},0),LOTO!$D38,LOTO!$F38,LOTO!$H38),0)</f>
        <v>10560000</v>
      </c>
      <c r="L38" s="8">
        <f t="shared" si="2"/>
        <v>4.9936063868830975E-2</v>
      </c>
      <c r="M38" s="5">
        <f>MIN(100,IF(PARAMS_MODELO!$B$23=0,0,100*L38/PARAMS_MODELO!$B$23))*PARAMS_MODELO!$B$10</f>
        <v>14.980819160649293</v>
      </c>
      <c r="N38" s="5">
        <f>IFERROR(VLOOKUP(A38,COMPLIANCE!$A$2:$F$1996,6,0),100)</f>
        <v>100</v>
      </c>
      <c r="O38" s="5">
        <f>N38*PARAMS_MODELO!$B$11</f>
        <v>10</v>
      </c>
      <c r="P38" s="5">
        <f>IFERROR(VLOOKUP(A38,DIGITAL!$A$2:$J$2000,7,0),100)</f>
        <v>44</v>
      </c>
      <c r="Q38" s="5">
        <f>IFERROR(P38,0)*PARAMS_MODELO!$B$12</f>
        <v>4.4000000000000004</v>
      </c>
      <c r="R38">
        <f t="shared" si="3"/>
        <v>70.802496259758087</v>
      </c>
      <c r="S38" s="5" t="str">
        <f>IFERROR(VLOOKUP(A38,CLIENTE!$A$2:$N$2000,13,0),1)</f>
        <v>Regular</v>
      </c>
      <c r="T38" s="5">
        <f>IFERROR(VLOOKUP(A38,CLIENTE!$A$2:$N$2000,14,0),1)</f>
        <v>1</v>
      </c>
      <c r="U38" s="5">
        <f t="shared" si="4"/>
        <v>70.802496259758087</v>
      </c>
      <c r="V38" s="5" t="str">
        <f>IF(U38&gt;=MAX(_xlfn.PERCENTILE.INC($U$2:$U$1194,PARAMS_MODELO!$B$50),PARAMS_MODELO!$B$45),"DIAMANTE",IF(U38&gt;=MAX(_xlfn.PERCENTILE.INC($U$2:$U$1194,PARAMS_MODELO!$B$51),PARAMS_MODELO!$B$46),"PLATINO",IF(U38&gt;=MAX(_xlfn.PERCENTILE.INC($U$2:$U$1194,PARAMS_MODELO!$B$52),PARAMS_MODELO!$B$47),"ORO",IF(U38&gt;=MAX(_xlfn.PERCENTILE.INC($U$2:$U$1194,PARAMS_MODELO!$B$53),PARAMS_MODELO!$B$48),"PLATA",IF(U38&gt;=1,"BRONCE","CERRADO")))))</f>
        <v>ORO</v>
      </c>
      <c r="W38" s="5" t="str" cm="1">
        <f t="array" ref="W38">_xlfn.XLOOKUP(1, (HIST_SCORE!$B:$B=PARAMS_MODELO!$B$4) * (HIST_SCORE!$C:$C=A38), HIST_SCORE!$E:$E, "No encontrado")</f>
        <v>ORO</v>
      </c>
      <c r="X38" s="5" t="str">
        <f>_xlfn.LET(_xlpm.act,MATCH(V38,{"DIAMANTE";"PLATINO";"ORO";"PLATA";"BRONCE";"CERRADO"},0),_xlpm.ant,MATCH(W38,{"DIAMANTE";"PLATINO";"ORO";"PLATA";"BRONCE";"CERRADO"},0),IF(_xlpm.act&lt;_xlpm.ant,"Mejora ↑",IF(_xlpm.act&gt;_xlpm.ant,"Baja ↓","Estable →")))</f>
        <v>Estable →</v>
      </c>
      <c r="Y38" s="5">
        <f>IFERROR(U38-SUMIFS(HIST_SCORE!$D:$D,HIST_SCORE!$B:$B,PARAMS_MODELO!$B$4,HIST_SCORE!$C:$C,$A38),"")</f>
        <v>-12.598512448008208</v>
      </c>
      <c r="Z38" s="5" t="str">
        <f t="shared" si="5"/>
        <v>↓ Baja</v>
      </c>
      <c r="AA38" s="5">
        <f t="shared" si="6"/>
        <v>508</v>
      </c>
      <c r="AB38" s="5">
        <f>IFERROR(SUMIFS(HIST_SCORE!$F:$F,HIST_SCORE!$B:$B,PARAMS_MODELO!$B$4,HIST_SCORE!$C:$C,$A38),"")</f>
        <v>310</v>
      </c>
      <c r="AC38" s="5">
        <f t="shared" si="7"/>
        <v>-198</v>
      </c>
      <c r="AD38" t="str">
        <f t="shared" si="9"/>
        <v>Sostener base y reforzar mix</v>
      </c>
      <c r="AE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CERRADO",1,IF(V38="BRONCE",_xlpm.cPl,IF(V38="PLATA",_xlpm.cO,IF(V38="ORO",_xlpm.cP,IF(V38="PLATINO",_xlpm.cD,999))))))</f>
        <v>86.439123873763251</v>
      </c>
      <c r="AF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CERRADO",0,IF(V38="BRONCE",1,IF(V38="PLATA",_xlpm.cPl,IF(V38="ORO",_xlpm.cO,IF(V38="PLATINO",_xlpm.cP,_xlpm.cD))))))</f>
        <v>63.199193273331495</v>
      </c>
      <c r="AG38">
        <f t="shared" si="10"/>
        <v>15.636627614005164</v>
      </c>
      <c r="AH38" t="str">
        <f t="shared" si="11"/>
        <v>VENTAS</v>
      </c>
      <c r="AI38" t="str">
        <f t="shared" si="8"/>
        <v>🎯 Para subir de categoría, eje VENTAS / DIFERENCIAL vs LOTBA (J). Acción: metas semanales + activación comercial + seguimiento del asesor. ΔR aprox: 15,6</v>
      </c>
      <c r="AJ38" s="26">
        <f>_xlfn.LET(_xlpm.piso,AF38,_xlpm.corte,AE38,_xlpm.prog,IF(_xlpm.corte&lt;=_xlpm.piso,0,MAX(0,MIN(1,(U38-_xlpm.piso)/(_xlpm.corte-_xlpm.piso)))),_xlpm.orden,{"DIAMANTE";"PLATINO";"ORO";"PLATA";"BRONCE";"CERRADO"},_xlpm.act,IFERROR(MATCH(V38,_xlpm.orden,0),6),_xlpm.ant,IFERROR(MATCH(W38,_xlpm.orden,0),6),_xlpm.ajmov,IF(_xlpm.act&lt;_xlpm.ant,0.08,IF(_xlpm.act&gt;_xlpm.ant,-0.08,0)),_xlpm.ajcli,IF(T38&lt;0.95,-0.06,0),_xlpm.prob,MAX(0,MIN(1,_xlpm.prog+_xlpm.ajmov+_xlpm.ajcli)),IF(OR(V38="DIAMANTE",V38="CERRADO"),0,ROUND(_xlpm.prob,2)))</f>
        <v>0.33</v>
      </c>
      <c r="AK38" t="str">
        <f t="shared" si="12"/>
        <v>Faltan 15,6 puntos base para subir a la siguiente categoría</v>
      </c>
      <c r="AL38" t="str">
        <f t="shared" si="13"/>
        <v>Margen de seguridad: 7,6 puntos</v>
      </c>
      <c r="AM38">
        <f t="shared" si="14"/>
        <v>0.67</v>
      </c>
      <c r="AN38" t="str">
        <f t="shared" si="15"/>
        <v>PRIORIDAD MEDIA – seguimiento del asesor</v>
      </c>
      <c r="AO38">
        <f t="shared" si="16"/>
        <v>23.4408921761868</v>
      </c>
      <c r="AP38">
        <f t="shared" si="17"/>
        <v>1.9180839350706691E-2</v>
      </c>
      <c r="AQ38">
        <f t="shared" si="18"/>
        <v>0</v>
      </c>
      <c r="AR38">
        <f t="shared" si="19"/>
        <v>5.6</v>
      </c>
      <c r="AS38">
        <f t="shared" si="20"/>
        <v>0</v>
      </c>
      <c r="AT38" t="str">
        <f t="shared" si="21"/>
        <v>VENTAS</v>
      </c>
      <c r="AU38">
        <f t="shared" si="22"/>
        <v>23.4408921761868</v>
      </c>
      <c r="AV38" t="str">
        <f t="shared" si="23"/>
        <v>Mayor retorno probable: VENTAS (+23,4 puntos finales potenciales).</v>
      </c>
    </row>
    <row r="39" spans="1:48" x14ac:dyDescent="0.3">
      <c r="A39" s="5">
        <v>51031890</v>
      </c>
      <c r="B39" s="5" t="str">
        <f>IFERROR(VLOOKUP(A39,VENTAS!$A$2:$B$1194,2,0),"")</f>
        <v>NELLI</v>
      </c>
      <c r="C39" s="5">
        <f>IFERROR(INDEX(VENTAS!$C$2:$E$1194,MATCH(A39,VENTAS!$A$2:$A$1194,0),MATCH(PARAMS_MODELO!$B$2,{"Q1","Q2","Q3"},0)),0)</f>
        <v>231056763.18000001</v>
      </c>
      <c r="D39" s="5">
        <f>IFERROR(INDEX(VENTAS!$F$2:$H$1194,MATCH(A39,VENTAS!$A$2:$A$1194,0),MATCH(PARAMS_MODELO!$B$2,{"Q1","Q2","Q3"},0)),0)</f>
        <v>209388427</v>
      </c>
      <c r="E39" s="8">
        <f t="shared" si="0"/>
        <v>-9.3779276926508892E-2</v>
      </c>
      <c r="F39" s="12">
        <f>IF(E39&lt;=PARAMS_MODELO!$B$15,0,IF(E39&gt;=PARAMS_MODELO!$B$17,100,100*MIN(1,(E39-PARAMS_MODELO!$B$15)/(PARAMS_MODELO!$B$16-PARAMS_MODELO!$B$15))))*PARAMS_MODELO!$B$7</f>
        <v>0</v>
      </c>
      <c r="G39" s="5">
        <f t="shared" si="1"/>
        <v>0</v>
      </c>
      <c r="H39" s="5">
        <f>(PARAMS_MODELO!$B$20*(MAX(0,MIN(3,E39))/3)+PARAMS_MODELO!$B$21*(IFERROR(LN(1+MAX(0,G39))/LN(1+MAX(0,MAX($G$2:$G$1194))),0)))*100*PARAMS_MODELO!$B$8</f>
        <v>0</v>
      </c>
      <c r="I39" s="8">
        <f>E39-PARAMS_MODELO!$B$5</f>
        <v>-0.27134211230203542</v>
      </c>
      <c r="J39" s="5">
        <f>IF(I39&lt;=PARAMS_MODELO!$B$18,0,IF(I39&gt;=PARAMS_MODELO!$B$19,100,100*(I39-PARAMS_MODELO!$B$18)/(PARAMS_MODELO!$B$19-PARAMS_MODELO!$B$18)))*PARAMS_MODELO!$B$9</f>
        <v>0</v>
      </c>
      <c r="K39" s="5">
        <f>IFERROR(CHOOSE(MATCH(PARAMS_MODELO!$B$2,{"Q1","Q2","Q3"},0),LOTO!$D39,LOTO!$F39,LOTO!$H39),0)</f>
        <v>10532500</v>
      </c>
      <c r="L39" s="8">
        <f t="shared" si="2"/>
        <v>5.0301251845213009E-2</v>
      </c>
      <c r="M39" s="5">
        <f>MIN(100,IF(PARAMS_MODELO!$B$23=0,0,100*L39/PARAMS_MODELO!$B$23))*PARAMS_MODELO!$B$10</f>
        <v>15</v>
      </c>
      <c r="N39" s="5">
        <f>IFERROR(VLOOKUP(A39,COMPLIANCE!$A$2:$F$1996,6,0),100)</f>
        <v>100</v>
      </c>
      <c r="O39" s="5">
        <f>N39*PARAMS_MODELO!$B$11</f>
        <v>10</v>
      </c>
      <c r="P39" s="5">
        <f>IFERROR(VLOOKUP(A39,DIGITAL!$A$2:$J$2000,7,0),100)</f>
        <v>22</v>
      </c>
      <c r="Q39" s="5">
        <f>IFERROR(P39,0)*PARAMS_MODELO!$B$12</f>
        <v>2.2000000000000002</v>
      </c>
      <c r="R39">
        <f t="shared" si="3"/>
        <v>27.2</v>
      </c>
      <c r="S39" s="5" t="str">
        <f>IFERROR(VLOOKUP(A39,CLIENTE!$A$2:$N$2000,13,0),1)</f>
        <v>Regular</v>
      </c>
      <c r="T39" s="5">
        <f>IFERROR(VLOOKUP(A39,CLIENTE!$A$2:$N$2000,14,0),1)</f>
        <v>1</v>
      </c>
      <c r="U39" s="5">
        <f t="shared" si="4"/>
        <v>27.2</v>
      </c>
      <c r="V39" s="5" t="str">
        <f>IF(U39&gt;=MAX(_xlfn.PERCENTILE.INC($U$2:$U$1194,PARAMS_MODELO!$B$50),PARAMS_MODELO!$B$45),"DIAMANTE",IF(U39&gt;=MAX(_xlfn.PERCENTILE.INC($U$2:$U$1194,PARAMS_MODELO!$B$51),PARAMS_MODELO!$B$46),"PLATINO",IF(U39&gt;=MAX(_xlfn.PERCENTILE.INC($U$2:$U$1194,PARAMS_MODELO!$B$52),PARAMS_MODELO!$B$47),"ORO",IF(U39&gt;=MAX(_xlfn.PERCENTILE.INC($U$2:$U$1194,PARAMS_MODELO!$B$53),PARAMS_MODELO!$B$48),"PLATA",IF(U39&gt;=1,"BRONCE","CERRADO")))))</f>
        <v>PLATA</v>
      </c>
      <c r="W39" s="5" t="str" cm="1">
        <f t="array" ref="W39">_xlfn.XLOOKUP(1, (HIST_SCORE!$B:$B=PARAMS_MODELO!$B$4) * (HIST_SCORE!$C:$C=A39), HIST_SCORE!$E:$E, "No encontrado")</f>
        <v>ORO</v>
      </c>
      <c r="X39" s="5" t="str">
        <f>_xlfn.LET(_xlpm.act,MATCH(V39,{"DIAMANTE";"PLATINO";"ORO";"PLATA";"BRONCE";"CERRADO"},0),_xlpm.ant,MATCH(W39,{"DIAMANTE";"PLATINO";"ORO";"PLATA";"BRONCE";"CERRADO"},0),IF(_xlpm.act&lt;_xlpm.ant,"Mejora ↑",IF(_xlpm.act&gt;_xlpm.ant,"Baja ↓","Estable →")))</f>
        <v>Baja ↓</v>
      </c>
      <c r="Y39" s="5">
        <f>IFERROR(U39-SUMIFS(HIST_SCORE!$D:$D,HIST_SCORE!$B:$B,PARAMS_MODELO!$B$4,HIST_SCORE!$C:$C,$A39),"")</f>
        <v>-54.14957911012911</v>
      </c>
      <c r="Z39" s="5" t="str">
        <f t="shared" si="5"/>
        <v>↓ Baja</v>
      </c>
      <c r="AA39" s="5">
        <f t="shared" si="6"/>
        <v>898</v>
      </c>
      <c r="AB39" s="5">
        <f>IFERROR(SUMIFS(HIST_SCORE!$F:$F,HIST_SCORE!$B:$B,PARAMS_MODELO!$B$4,HIST_SCORE!$C:$C,$A39),"")</f>
        <v>387</v>
      </c>
      <c r="AC39" s="5">
        <f t="shared" si="7"/>
        <v>-511</v>
      </c>
      <c r="AD39" t="str">
        <f t="shared" si="9"/>
        <v/>
      </c>
      <c r="AE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CERRADO",1,IF(V39="BRONCE",_xlpm.cPl,IF(V39="PLATA",_xlpm.cO,IF(V39="ORO",_xlpm.cP,IF(V39="PLATINO",_xlpm.cD,999))))))</f>
        <v>63.199193273331495</v>
      </c>
      <c r="AF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CERRADO",0,IF(V39="BRONCE",1,IF(V39="PLATA",_xlpm.cPl,IF(V39="ORO",_xlpm.cO,IF(V39="PLATINO",_xlpm.cP,_xlpm.cD))))))</f>
        <v>24.506573482968111</v>
      </c>
      <c r="AG39">
        <f t="shared" si="10"/>
        <v>35.9991932733315</v>
      </c>
      <c r="AH39" t="str">
        <f t="shared" si="11"/>
        <v>VENTAS</v>
      </c>
      <c r="AI39" t="str">
        <f t="shared" si="8"/>
        <v>🎯 Para subir de categoría, eje VENTAS / CRECIMIENTO PERSONAL (F). Acción: metas semanales + activación comercial + seguimiento del asesor. ΔR aprox: 36,0</v>
      </c>
      <c r="AJ39" s="26">
        <f>_xlfn.LET(_xlpm.piso,AF39,_xlpm.corte,AE39,_xlpm.prog,IF(_xlpm.corte&lt;=_xlpm.piso,0,MAX(0,MIN(1,(U39-_xlpm.piso)/(_xlpm.corte-_xlpm.piso)))),_xlpm.orden,{"DIAMANTE";"PLATINO";"ORO";"PLATA";"BRONCE";"CERRADO"},_xlpm.act,IFERROR(MATCH(V39,_xlpm.orden,0),6),_xlpm.ant,IFERROR(MATCH(W39,_xlpm.orden,0),6),_xlpm.ajmov,IF(_xlpm.act&lt;_xlpm.ant,0.08,IF(_xlpm.act&gt;_xlpm.ant,-0.08,0)),_xlpm.ajcli,IF(T39&lt;0.95,-0.06,0),_xlpm.prob,MAX(0,MIN(1,_xlpm.prog+_xlpm.ajmov+_xlpm.ajcli)),IF(OR(V39="DIAMANTE",V39="CERRADO"),0,ROUND(_xlpm.prob,2)))</f>
        <v>0</v>
      </c>
      <c r="AK39" t="str">
        <f t="shared" si="12"/>
        <v>Faltan 36,0 puntos base para subir a la siguiente categoría</v>
      </c>
      <c r="AL39" t="str">
        <f t="shared" si="13"/>
        <v>Margen de seguridad: 2,7 puntos</v>
      </c>
      <c r="AM39">
        <f t="shared" si="14"/>
        <v>0.8</v>
      </c>
      <c r="AN39" t="str">
        <f t="shared" si="15"/>
        <v>PRIORIDAD ALTA – requiere intervención inmediata</v>
      </c>
      <c r="AO39">
        <f t="shared" si="16"/>
        <v>64.862569275295584</v>
      </c>
      <c r="AP39">
        <f t="shared" si="17"/>
        <v>0</v>
      </c>
      <c r="AQ39">
        <f t="shared" si="18"/>
        <v>0</v>
      </c>
      <c r="AR39">
        <f t="shared" si="19"/>
        <v>7.8</v>
      </c>
      <c r="AS39">
        <f t="shared" si="20"/>
        <v>0</v>
      </c>
      <c r="AT39" t="str">
        <f t="shared" si="21"/>
        <v>VENTAS</v>
      </c>
      <c r="AU39">
        <f t="shared" si="22"/>
        <v>64.862569275295584</v>
      </c>
      <c r="AV39" t="str">
        <f t="shared" si="23"/>
        <v>Mayor retorno probable: VENTAS (+64,9 puntos finales potenciales).</v>
      </c>
    </row>
    <row r="40" spans="1:48" x14ac:dyDescent="0.3">
      <c r="A40" s="5">
        <v>51057058</v>
      </c>
      <c r="B40" s="5" t="str">
        <f>IFERROR(VLOOKUP(A40,VENTAS!$A$2:$B$1194,2,0),"")</f>
        <v>MONTENEGRO</v>
      </c>
      <c r="C40" s="5">
        <f>IFERROR(INDEX(VENTAS!$C$2:$E$1194,MATCH(A40,VENTAS!$A$2:$A$1194,0),MATCH(PARAMS_MODELO!$B$2,{"Q1","Q2","Q3"},0)),0)</f>
        <v>147085813.40000001</v>
      </c>
      <c r="D40" s="5">
        <f>IFERROR(INDEX(VENTAS!$F$2:$H$1194,MATCH(A40,VENTAS!$A$2:$A$1194,0),MATCH(PARAMS_MODELO!$B$2,{"Q1","Q2","Q3"},0)),0)</f>
        <v>209220155</v>
      </c>
      <c r="E40" s="8">
        <f t="shared" si="0"/>
        <v>0.42243599272912613</v>
      </c>
      <c r="F40" s="12">
        <f>IF(E40&lt;=PARAMS_MODELO!$B$15,0,IF(E40&gt;=PARAMS_MODELO!$B$17,100,100*MIN(1,(E40-PARAMS_MODELO!$B$15)/(PARAMS_MODELO!$B$16-PARAMS_MODELO!$B$15))))*PARAMS_MODELO!$B$7</f>
        <v>35</v>
      </c>
      <c r="G40" s="5">
        <f t="shared" si="1"/>
        <v>62134341.599999994</v>
      </c>
      <c r="H40" s="5">
        <f>(PARAMS_MODELO!$B$20*(MAX(0,MIN(3,E40))/3)+PARAMS_MODELO!$B$21*(IFERROR(LN(1+MAX(0,G40))/LN(1+MAX(0,MAX($G$2:$G$1194))),0)))*100*PARAMS_MODELO!$B$8</f>
        <v>5.6850398234105723</v>
      </c>
      <c r="I40" s="8">
        <f>E40-PARAMS_MODELO!$B$5</f>
        <v>0.2448731573535996</v>
      </c>
      <c r="J40" s="5">
        <f>IF(I40&lt;=PARAMS_MODELO!$B$18,0,IF(I40&gt;=PARAMS_MODELO!$B$19,100,100*(I40-PARAMS_MODELO!$B$18)/(PARAMS_MODELO!$B$19-PARAMS_MODELO!$B$18)))*PARAMS_MODELO!$B$9</f>
        <v>15</v>
      </c>
      <c r="K40" s="5">
        <f>IFERROR(CHOOSE(MATCH(PARAMS_MODELO!$B$2,{"Q1","Q2","Q3"},0),LOTO!$D40,LOTO!$F40,LOTO!$H40),0)</f>
        <v>10532500</v>
      </c>
      <c r="L40" s="8">
        <f t="shared" si="2"/>
        <v>5.0341708235518708E-2</v>
      </c>
      <c r="M40" s="5">
        <f>MIN(100,IF(PARAMS_MODELO!$B$23=0,0,100*L40/PARAMS_MODELO!$B$23))*PARAMS_MODELO!$B$10</f>
        <v>15</v>
      </c>
      <c r="N40" s="5">
        <f>IFERROR(VLOOKUP(A40,COMPLIANCE!$A$2:$F$1996,6,0),100)</f>
        <v>100</v>
      </c>
      <c r="O40" s="5">
        <f>N40*PARAMS_MODELO!$B$11</f>
        <v>10</v>
      </c>
      <c r="P40" s="5">
        <f>IFERROR(VLOOKUP(A40,DIGITAL!$A$2:$J$2000,7,0),100)</f>
        <v>12</v>
      </c>
      <c r="Q40" s="5">
        <f>IFERROR(P40,0)*PARAMS_MODELO!$B$12</f>
        <v>1.2000000000000002</v>
      </c>
      <c r="R40">
        <f t="shared" si="3"/>
        <v>81.885039823410565</v>
      </c>
      <c r="S40" s="5" t="str">
        <f>IFERROR(VLOOKUP(A40,CLIENTE!$A$2:$N$2000,13,0),1)</f>
        <v>Bueno</v>
      </c>
      <c r="T40" s="5">
        <f>IFERROR(VLOOKUP(A40,CLIENTE!$A$2:$N$2000,14,0),1)</f>
        <v>1.1000000000000001</v>
      </c>
      <c r="U40" s="5">
        <f t="shared" si="4"/>
        <v>90.073543805751626</v>
      </c>
      <c r="V40" s="5" t="str">
        <f>IF(U40&gt;=MAX(_xlfn.PERCENTILE.INC($U$2:$U$1194,PARAMS_MODELO!$B$50),PARAMS_MODELO!$B$45),"DIAMANTE",IF(U40&gt;=MAX(_xlfn.PERCENTILE.INC($U$2:$U$1194,PARAMS_MODELO!$B$51),PARAMS_MODELO!$B$46),"PLATINO",IF(U40&gt;=MAX(_xlfn.PERCENTILE.INC($U$2:$U$1194,PARAMS_MODELO!$B$52),PARAMS_MODELO!$B$47),"ORO",IF(U40&gt;=MAX(_xlfn.PERCENTILE.INC($U$2:$U$1194,PARAMS_MODELO!$B$53),PARAMS_MODELO!$B$48),"PLATA",IF(U40&gt;=1,"BRONCE","CERRADO")))))</f>
        <v>PLATINO</v>
      </c>
      <c r="W40" s="5" t="str" cm="1">
        <f t="array" ref="W40">_xlfn.XLOOKUP(1, (HIST_SCORE!$B:$B=PARAMS_MODELO!$B$4) * (HIST_SCORE!$C:$C=A40), HIST_SCORE!$E:$E, "No encontrado")</f>
        <v>PLATA</v>
      </c>
      <c r="X40" s="5" t="str">
        <f>_xlfn.LET(_xlpm.act,MATCH(V40,{"DIAMANTE";"PLATINO";"ORO";"PLATA";"BRONCE";"CERRADO"},0),_xlpm.ant,MATCH(W40,{"DIAMANTE";"PLATINO";"ORO";"PLATA";"BRONCE";"CERRADO"},0),IF(_xlpm.act&lt;_xlpm.ant,"Mejora ↑",IF(_xlpm.act&gt;_xlpm.ant,"Baja ↓","Estable →")))</f>
        <v>Mejora ↑</v>
      </c>
      <c r="Y40" s="5">
        <f>IFERROR(U40-SUMIFS(HIST_SCORE!$D:$D,HIST_SCORE!$B:$B,PARAMS_MODELO!$B$4,HIST_SCORE!$C:$C,$A40),"")</f>
        <v>61.253543805751626</v>
      </c>
      <c r="Z40" s="5" t="str">
        <f t="shared" si="5"/>
        <v>↑ Mejora</v>
      </c>
      <c r="AA40" s="5">
        <f t="shared" si="6"/>
        <v>134</v>
      </c>
      <c r="AB40" s="5">
        <f>IFERROR(SUMIFS(HIST_SCORE!$F:$F,HIST_SCORE!$B:$B,PARAMS_MODELO!$B$4,HIST_SCORE!$C:$C,$A40),"")</f>
        <v>919</v>
      </c>
      <c r="AC40" s="5">
        <f t="shared" si="7"/>
        <v>785</v>
      </c>
      <c r="AD40" t="str">
        <f t="shared" si="9"/>
        <v/>
      </c>
      <c r="AE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CERRADO",1,IF(V40="BRONCE",_xlpm.cPl,IF(V40="PLATA",_xlpm.cO,IF(V40="ORO",_xlpm.cP,IF(V40="PLATINO",_xlpm.cD,999))))))</f>
        <v>96.054919694466676</v>
      </c>
      <c r="AF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CERRADO",0,IF(V40="BRONCE",1,IF(V40="PLATA",_xlpm.cPl,IF(V40="ORO",_xlpm.cO,IF(V40="PLATINO",_xlpm.cP,_xlpm.cD))))))</f>
        <v>86.439123873763251</v>
      </c>
      <c r="AG40">
        <f t="shared" si="10"/>
        <v>5.4376144442864103</v>
      </c>
      <c r="AH40" t="str">
        <f t="shared" si="11"/>
        <v>VENTAS</v>
      </c>
      <c r="AI40" t="str">
        <f t="shared" si="8"/>
        <v>🎯 Para subir de categoría, eje VENTAS / IMPACTO ABSOLUTO (H). Acción: metas semanales + activación comercial + seguimiento del asesor. ΔR aprox: 5,4</v>
      </c>
      <c r="AJ40" s="26">
        <f>_xlfn.LET(_xlpm.piso,AF40,_xlpm.corte,AE40,_xlpm.prog,IF(_xlpm.corte&lt;=_xlpm.piso,0,MAX(0,MIN(1,(U40-_xlpm.piso)/(_xlpm.corte-_xlpm.piso)))),_xlpm.orden,{"DIAMANTE";"PLATINO";"ORO";"PLATA";"BRONCE";"CERRADO"},_xlpm.act,IFERROR(MATCH(V40,_xlpm.orden,0),6),_xlpm.ant,IFERROR(MATCH(W40,_xlpm.orden,0),6),_xlpm.ajmov,IF(_xlpm.act&lt;_xlpm.ant,0.08,IF(_xlpm.act&gt;_xlpm.ant,-0.08,0)),_xlpm.ajcli,IF(T40&lt;0.95,-0.06,0),_xlpm.prob,MAX(0,MIN(1,_xlpm.prog+_xlpm.ajmov+_xlpm.ajcli)),IF(OR(V40="DIAMANTE",V40="CERRADO"),0,ROUND(_xlpm.prob,2)))</f>
        <v>0.46</v>
      </c>
      <c r="AK40" t="str">
        <f t="shared" si="12"/>
        <v>Faltan 5,4 puntos base para subir a la siguiente categoría</v>
      </c>
      <c r="AL40" t="str">
        <f t="shared" si="13"/>
        <v>Margen de seguridad: 3,6 puntos</v>
      </c>
      <c r="AM40">
        <f t="shared" si="14"/>
        <v>0.43</v>
      </c>
      <c r="AN40" t="str">
        <f t="shared" si="15"/>
        <v>PRIORIDAD MEDIA – seguimiento del asesor</v>
      </c>
      <c r="AO40">
        <f t="shared" si="16"/>
        <v>10.095282397073516</v>
      </c>
      <c r="AP40">
        <f t="shared" si="17"/>
        <v>0</v>
      </c>
      <c r="AQ40">
        <f t="shared" si="18"/>
        <v>0</v>
      </c>
      <c r="AR40">
        <f t="shared" si="19"/>
        <v>9.6800000000000015</v>
      </c>
      <c r="AS40">
        <f t="shared" si="20"/>
        <v>0</v>
      </c>
      <c r="AT40" t="str">
        <f t="shared" si="21"/>
        <v>VENTAS</v>
      </c>
      <c r="AU40">
        <f t="shared" si="22"/>
        <v>10.095282397073516</v>
      </c>
      <c r="AV40" t="str">
        <f t="shared" si="23"/>
        <v>Mayor retorno probable: VENTAS (+10,1 puntos finales potenciales).</v>
      </c>
    </row>
    <row r="41" spans="1:48" x14ac:dyDescent="0.3">
      <c r="A41" s="5">
        <v>51022289</v>
      </c>
      <c r="B41" s="5" t="str">
        <f>IFERROR(VLOOKUP(A41,VENTAS!$A$2:$B$1194,2,0),"")</f>
        <v>BELUZZO</v>
      </c>
      <c r="C41" s="5">
        <f>IFERROR(INDEX(VENTAS!$C$2:$E$1194,MATCH(A41,VENTAS!$A$2:$A$1194,0),MATCH(PARAMS_MODELO!$B$2,{"Q1","Q2","Q3"},0)),0)</f>
        <v>162246740.53999999</v>
      </c>
      <c r="D41" s="5">
        <f>IFERROR(INDEX(VENTAS!$F$2:$H$1194,MATCH(A41,VENTAS!$A$2:$A$1194,0),MATCH(PARAMS_MODELO!$B$2,{"Q1","Q2","Q3"},0)),0)</f>
        <v>206054240</v>
      </c>
      <c r="E41" s="8">
        <f t="shared" si="0"/>
        <v>0.27000542084356871</v>
      </c>
      <c r="F41" s="12">
        <f>IF(E41&lt;=PARAMS_MODELO!$B$15,0,IF(E41&gt;=PARAMS_MODELO!$B$17,100,100*MIN(1,(E41-PARAMS_MODELO!$B$15)/(PARAMS_MODELO!$B$16-PARAMS_MODELO!$B$15))))*PARAMS_MODELO!$B$7</f>
        <v>35</v>
      </c>
      <c r="G41" s="5">
        <f t="shared" si="1"/>
        <v>43807499.460000008</v>
      </c>
      <c r="H41" s="5">
        <f>(PARAMS_MODELO!$B$20*(MAX(0,MIN(3,E41))/3)+PARAMS_MODELO!$B$21*(IFERROR(LN(1+MAX(0,G41))/LN(1+MAX(0,MAX($G$2:$G$1194))),0)))*100*PARAMS_MODELO!$B$8</f>
        <v>5.0696065933571228</v>
      </c>
      <c r="I41" s="8">
        <f>E41-PARAMS_MODELO!$B$5</f>
        <v>9.2442585468042182E-2</v>
      </c>
      <c r="J41" s="5">
        <f>IF(I41&lt;=PARAMS_MODELO!$B$18,0,IF(I41&gt;=PARAMS_MODELO!$B$19,100,100*(I41-PARAMS_MODELO!$B$18)/(PARAMS_MODELO!$B$19-PARAMS_MODELO!$B$18)))*PARAMS_MODELO!$B$9</f>
        <v>15</v>
      </c>
      <c r="K41" s="5">
        <f>IFERROR(CHOOSE(MATCH(PARAMS_MODELO!$B$2,{"Q1","Q2","Q3"},0),LOTO!$D41,LOTO!$F41,LOTO!$H41),0)</f>
        <v>10472500</v>
      </c>
      <c r="L41" s="8">
        <f t="shared" si="2"/>
        <v>5.0823996633119511E-2</v>
      </c>
      <c r="M41" s="5">
        <f>MIN(100,IF(PARAMS_MODELO!$B$23=0,0,100*L41/PARAMS_MODELO!$B$23))*PARAMS_MODELO!$B$10</f>
        <v>15</v>
      </c>
      <c r="N41" s="5">
        <f>IFERROR(VLOOKUP(A41,COMPLIANCE!$A$2:$F$1996,6,0),100)</f>
        <v>100</v>
      </c>
      <c r="O41" s="5">
        <f>N41*PARAMS_MODELO!$B$11</f>
        <v>10</v>
      </c>
      <c r="P41" s="5">
        <f>IFERROR(VLOOKUP(A41,DIGITAL!$A$2:$J$2000,7,0),100)</f>
        <v>34</v>
      </c>
      <c r="Q41" s="5">
        <f>IFERROR(P41,0)*PARAMS_MODELO!$B$12</f>
        <v>3.4000000000000004</v>
      </c>
      <c r="R41">
        <f t="shared" si="3"/>
        <v>83.469606593357128</v>
      </c>
      <c r="S41" s="5" t="str">
        <f>IFERROR(VLOOKUP(A41,CLIENTE!$A$2:$N$2000,13,0),1)</f>
        <v>Bueno</v>
      </c>
      <c r="T41" s="5">
        <f>IFERROR(VLOOKUP(A41,CLIENTE!$A$2:$N$2000,14,0),1)</f>
        <v>1.1000000000000001</v>
      </c>
      <c r="U41" s="5">
        <f t="shared" si="4"/>
        <v>91.816567252692849</v>
      </c>
      <c r="V41" s="5" t="str">
        <f>IF(U41&gt;=MAX(_xlfn.PERCENTILE.INC($U$2:$U$1194,PARAMS_MODELO!$B$50),PARAMS_MODELO!$B$45),"DIAMANTE",IF(U41&gt;=MAX(_xlfn.PERCENTILE.INC($U$2:$U$1194,PARAMS_MODELO!$B$51),PARAMS_MODELO!$B$46),"PLATINO",IF(U41&gt;=MAX(_xlfn.PERCENTILE.INC($U$2:$U$1194,PARAMS_MODELO!$B$52),PARAMS_MODELO!$B$47),"ORO",IF(U41&gt;=MAX(_xlfn.PERCENTILE.INC($U$2:$U$1194,PARAMS_MODELO!$B$53),PARAMS_MODELO!$B$48),"PLATA",IF(U41&gt;=1,"BRONCE","CERRADO")))))</f>
        <v>PLATINO</v>
      </c>
      <c r="W41" s="5" t="str" cm="1">
        <f t="array" ref="W41">_xlfn.XLOOKUP(1, (HIST_SCORE!$B:$B=PARAMS_MODELO!$B$4) * (HIST_SCORE!$C:$C=A41), HIST_SCORE!$E:$E, "No encontrado")</f>
        <v>PLATINO</v>
      </c>
      <c r="X41" s="5" t="str">
        <f>_xlfn.LET(_xlpm.act,MATCH(V41,{"DIAMANTE";"PLATINO";"ORO";"PLATA";"BRONCE";"CERRADO"},0),_xlpm.ant,MATCH(W41,{"DIAMANTE";"PLATINO";"ORO";"PLATA";"BRONCE";"CERRADO"},0),IF(_xlpm.act&lt;_xlpm.ant,"Mejora ↑",IF(_xlpm.act&gt;_xlpm.ant,"Baja ↓","Estable →")))</f>
        <v>Estable →</v>
      </c>
      <c r="Y41" s="5">
        <f>IFERROR(U41-SUMIFS(HIST_SCORE!$D:$D,HIST_SCORE!$B:$B,PARAMS_MODELO!$B$4,HIST_SCORE!$C:$C,$A41),"")</f>
        <v>1.3416758520273504</v>
      </c>
      <c r="Z41" s="5" t="str">
        <f t="shared" si="5"/>
        <v>→ Estable</v>
      </c>
      <c r="AA41" s="5">
        <f t="shared" si="6"/>
        <v>107</v>
      </c>
      <c r="AB41" s="5">
        <f>IFERROR(SUMIFS(HIST_SCORE!$F:$F,HIST_SCORE!$B:$B,PARAMS_MODELO!$B$4,HIST_SCORE!$C:$C,$A41),"")</f>
        <v>123</v>
      </c>
      <c r="AC41" s="5">
        <f t="shared" si="7"/>
        <v>16</v>
      </c>
      <c r="AD41" t="str">
        <f t="shared" si="9"/>
        <v/>
      </c>
      <c r="AE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CERRADO",1,IF(V41="BRONCE",_xlpm.cPl,IF(V41="PLATA",_xlpm.cO,IF(V41="ORO",_xlpm.cP,IF(V41="PLATINO",_xlpm.cD,999))))))</f>
        <v>96.054919694466676</v>
      </c>
      <c r="AF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CERRADO",0,IF(V41="BRONCE",1,IF(V41="PLATA",_xlpm.cPl,IF(V41="ORO",_xlpm.cO,IF(V41="PLATINO",_xlpm.cP,_xlpm.cD))))))</f>
        <v>86.439123873763251</v>
      </c>
      <c r="AG41">
        <f t="shared" si="10"/>
        <v>3.8530476743398481</v>
      </c>
      <c r="AH41" t="str">
        <f t="shared" si="11"/>
        <v>VENTAS</v>
      </c>
      <c r="AI41" t="str">
        <f t="shared" si="8"/>
        <v>🎯 Para subir de categoría, eje VENTAS / IMPACTO ABSOLUTO (H). Acción: metas semanales + activación comercial + seguimiento del asesor. ΔR aprox: 3,9</v>
      </c>
      <c r="AJ41" s="26">
        <f>_xlfn.LET(_xlpm.piso,AF41,_xlpm.corte,AE41,_xlpm.prog,IF(_xlpm.corte&lt;=_xlpm.piso,0,MAX(0,MIN(1,(U41-_xlpm.piso)/(_xlpm.corte-_xlpm.piso)))),_xlpm.orden,{"DIAMANTE";"PLATINO";"ORO";"PLATA";"BRONCE";"CERRADO"},_xlpm.act,IFERROR(MATCH(V41,_xlpm.orden,0),6),_xlpm.ant,IFERROR(MATCH(W41,_xlpm.orden,0),6),_xlpm.ajmov,IF(_xlpm.act&lt;_xlpm.ant,0.08,IF(_xlpm.act&gt;_xlpm.ant,-0.08,0)),_xlpm.ajcli,IF(T41&lt;0.95,-0.06,0),_xlpm.prob,MAX(0,MIN(1,_xlpm.prog+_xlpm.ajmov+_xlpm.ajcli)),IF(OR(V41="DIAMANTE",V41="CERRADO"),0,ROUND(_xlpm.prob,2)))</f>
        <v>0.56000000000000005</v>
      </c>
      <c r="AK41" t="str">
        <f t="shared" si="12"/>
        <v>Faltan 3,9 puntos base para subir a la siguiente categoría</v>
      </c>
      <c r="AL41" t="str">
        <f t="shared" si="13"/>
        <v>Margen de seguridad: 5,4 puntos</v>
      </c>
      <c r="AM41">
        <f t="shared" si="14"/>
        <v>0.33</v>
      </c>
      <c r="AN41" t="str">
        <f t="shared" si="15"/>
        <v>PRIORIDAD BAJA – control normal</v>
      </c>
      <c r="AO41">
        <f t="shared" si="16"/>
        <v>10.77225895013231</v>
      </c>
      <c r="AP41">
        <f t="shared" si="17"/>
        <v>0</v>
      </c>
      <c r="AQ41">
        <f t="shared" si="18"/>
        <v>0</v>
      </c>
      <c r="AR41">
        <f t="shared" si="19"/>
        <v>7.26</v>
      </c>
      <c r="AS41">
        <f t="shared" si="20"/>
        <v>0</v>
      </c>
      <c r="AT41" t="str">
        <f t="shared" si="21"/>
        <v>VENTAS</v>
      </c>
      <c r="AU41">
        <f t="shared" si="22"/>
        <v>10.77225895013231</v>
      </c>
      <c r="AV41" t="str">
        <f t="shared" si="23"/>
        <v>Mayor retorno probable: VENTAS (+10,8 puntos finales potenciales).</v>
      </c>
    </row>
    <row r="42" spans="1:48" x14ac:dyDescent="0.3">
      <c r="A42" s="5">
        <v>51016688</v>
      </c>
      <c r="B42" s="5" t="str">
        <f>IFERROR(VLOOKUP(A42,VENTAS!$A$2:$B$1194,2,0),"")</f>
        <v>BELUZZO</v>
      </c>
      <c r="C42" s="5">
        <f>IFERROR(INDEX(VENTAS!$C$2:$E$1194,MATCH(A42,VENTAS!$A$2:$A$1194,0),MATCH(PARAMS_MODELO!$B$2,{"Q1","Q2","Q3"},0)),0)</f>
        <v>137539468.03999999</v>
      </c>
      <c r="D42" s="5">
        <f>IFERROR(INDEX(VENTAS!$F$2:$H$1194,MATCH(A42,VENTAS!$A$2:$A$1194,0),MATCH(PARAMS_MODELO!$B$2,{"Q1","Q2","Q3"},0)),0)</f>
        <v>205769532</v>
      </c>
      <c r="E42" s="8">
        <f t="shared" si="0"/>
        <v>0.49607625310981263</v>
      </c>
      <c r="F42" s="12">
        <f>IF(E42&lt;=PARAMS_MODELO!$B$15,0,IF(E42&gt;=PARAMS_MODELO!$B$17,100,100*MIN(1,(E42-PARAMS_MODELO!$B$15)/(PARAMS_MODELO!$B$16-PARAMS_MODELO!$B$15))))*PARAMS_MODELO!$B$7</f>
        <v>35</v>
      </c>
      <c r="G42" s="5">
        <f t="shared" si="1"/>
        <v>68230063.960000008</v>
      </c>
      <c r="H42" s="5">
        <f>(PARAMS_MODELO!$B$20*(MAX(0,MIN(3,E42))/3)+PARAMS_MODELO!$B$21*(IFERROR(LN(1+MAX(0,G42))/LN(1+MAX(0,MAX($G$2:$G$1194))),0)))*100*PARAMS_MODELO!$B$8</f>
        <v>5.9647187041906076</v>
      </c>
      <c r="I42" s="8">
        <f>E42-PARAMS_MODELO!$B$5</f>
        <v>0.3185134177342861</v>
      </c>
      <c r="J42" s="5">
        <f>IF(I42&lt;=PARAMS_MODELO!$B$18,0,IF(I42&gt;=PARAMS_MODELO!$B$19,100,100*(I42-PARAMS_MODELO!$B$18)/(PARAMS_MODELO!$B$19-PARAMS_MODELO!$B$18)))*PARAMS_MODELO!$B$9</f>
        <v>15</v>
      </c>
      <c r="K42" s="5">
        <f>IFERROR(CHOOSE(MATCH(PARAMS_MODELO!$B$2,{"Q1","Q2","Q3"},0),LOTO!$D42,LOTO!$F42,LOTO!$H42),0)</f>
        <v>10440000</v>
      </c>
      <c r="L42" s="8">
        <f t="shared" si="2"/>
        <v>5.0736374323872208E-2</v>
      </c>
      <c r="M42" s="5">
        <f>MIN(100,IF(PARAMS_MODELO!$B$23=0,0,100*L42/PARAMS_MODELO!$B$23))*PARAMS_MODELO!$B$10</f>
        <v>15</v>
      </c>
      <c r="N42" s="5">
        <f>IFERROR(VLOOKUP(A42,COMPLIANCE!$A$2:$F$1996,6,0),100)</f>
        <v>100</v>
      </c>
      <c r="O42" s="5">
        <f>N42*PARAMS_MODELO!$B$11</f>
        <v>10</v>
      </c>
      <c r="P42" s="5">
        <f>IFERROR(VLOOKUP(A42,DIGITAL!$A$2:$J$2000,7,0),100)</f>
        <v>51</v>
      </c>
      <c r="Q42" s="5">
        <f>IFERROR(P42,0)*PARAMS_MODELO!$B$12</f>
        <v>5.1000000000000005</v>
      </c>
      <c r="R42">
        <f t="shared" si="3"/>
        <v>86.064718704190597</v>
      </c>
      <c r="S42" s="5" t="str">
        <f>IFERROR(VLOOKUP(A42,CLIENTE!$A$2:$N$2000,13,0),1)</f>
        <v>Regular</v>
      </c>
      <c r="T42" s="5">
        <f>IFERROR(VLOOKUP(A42,CLIENTE!$A$2:$N$2000,14,0),1)</f>
        <v>1</v>
      </c>
      <c r="U42" s="5">
        <f t="shared" si="4"/>
        <v>86.064718704190597</v>
      </c>
      <c r="V42" s="5" t="str">
        <f>IF(U42&gt;=MAX(_xlfn.PERCENTILE.INC($U$2:$U$1194,PARAMS_MODELO!$B$50),PARAMS_MODELO!$B$45),"DIAMANTE",IF(U42&gt;=MAX(_xlfn.PERCENTILE.INC($U$2:$U$1194,PARAMS_MODELO!$B$51),PARAMS_MODELO!$B$46),"PLATINO",IF(U42&gt;=MAX(_xlfn.PERCENTILE.INC($U$2:$U$1194,PARAMS_MODELO!$B$52),PARAMS_MODELO!$B$47),"ORO",IF(U42&gt;=MAX(_xlfn.PERCENTILE.INC($U$2:$U$1194,PARAMS_MODELO!$B$53),PARAMS_MODELO!$B$48),"PLATA",IF(U42&gt;=1,"BRONCE","CERRADO")))))</f>
        <v>ORO</v>
      </c>
      <c r="W42" s="5" t="str" cm="1">
        <f t="array" ref="W42">_xlfn.XLOOKUP(1, (HIST_SCORE!$B:$B=PARAMS_MODELO!$B$4) * (HIST_SCORE!$C:$C=A42), HIST_SCORE!$E:$E, "No encontrado")</f>
        <v>PLATINO</v>
      </c>
      <c r="X42" s="5" t="str">
        <f>_xlfn.LET(_xlpm.act,MATCH(V42,{"DIAMANTE";"PLATINO";"ORO";"PLATA";"BRONCE";"CERRADO"},0),_xlpm.ant,MATCH(W42,{"DIAMANTE";"PLATINO";"ORO";"PLATA";"BRONCE";"CERRADO"},0),IF(_xlpm.act&lt;_xlpm.ant,"Mejora ↑",IF(_xlpm.act&gt;_xlpm.ant,"Baja ↓","Estable →")))</f>
        <v>Baja ↓</v>
      </c>
      <c r="Y42" s="5">
        <f>IFERROR(U42-SUMIFS(HIST_SCORE!$D:$D,HIST_SCORE!$B:$B,PARAMS_MODELO!$B$4,HIST_SCORE!$C:$C,$A42),"")</f>
        <v>-0.25010909644707624</v>
      </c>
      <c r="Z42" s="5" t="str">
        <f t="shared" si="5"/>
        <v>→ Estable</v>
      </c>
      <c r="AA42" s="5">
        <f t="shared" si="6"/>
        <v>249</v>
      </c>
      <c r="AB42" s="5">
        <f>IFERROR(SUMIFS(HIST_SCORE!$F:$F,HIST_SCORE!$B:$B,PARAMS_MODELO!$B$4,HIST_SCORE!$C:$C,$A42),"")</f>
        <v>222</v>
      </c>
      <c r="AC42" s="5">
        <f t="shared" si="7"/>
        <v>-27</v>
      </c>
      <c r="AD42" t="str">
        <f t="shared" si="9"/>
        <v>Sostener base y reforzar mix</v>
      </c>
      <c r="AE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CERRADO",1,IF(V42="BRONCE",_xlpm.cPl,IF(V42="PLATA",_xlpm.cO,IF(V42="ORO",_xlpm.cP,IF(V42="PLATINO",_xlpm.cD,999))))))</f>
        <v>86.439123873763251</v>
      </c>
      <c r="AF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CERRADO",0,IF(V42="BRONCE",1,IF(V42="PLATA",_xlpm.cPl,IF(V42="ORO",_xlpm.cO,IF(V42="PLATINO",_xlpm.cP,_xlpm.cD))))))</f>
        <v>63.199193273331495</v>
      </c>
      <c r="AG42">
        <f t="shared" si="10"/>
        <v>0.37440516957265402</v>
      </c>
      <c r="AH42" t="str">
        <f t="shared" si="11"/>
        <v>VENTAS</v>
      </c>
      <c r="AI42" t="str">
        <f t="shared" si="8"/>
        <v>🎯 Para subir de categoría, eje VENTAS / IMPACTO ABSOLUTO (H). Acción: metas semanales + activación comercial + seguimiento del asesor. ΔR aprox: 0,4</v>
      </c>
      <c r="AJ42" s="26">
        <f>_xlfn.LET(_xlpm.piso,AF42,_xlpm.corte,AE42,_xlpm.prog,IF(_xlpm.corte&lt;=_xlpm.piso,0,MAX(0,MIN(1,(U42-_xlpm.piso)/(_xlpm.corte-_xlpm.piso)))),_xlpm.orden,{"DIAMANTE";"PLATINO";"ORO";"PLATA";"BRONCE";"CERRADO"},_xlpm.act,IFERROR(MATCH(V42,_xlpm.orden,0),6),_xlpm.ant,IFERROR(MATCH(W42,_xlpm.orden,0),6),_xlpm.ajmov,IF(_xlpm.act&lt;_xlpm.ant,0.08,IF(_xlpm.act&gt;_xlpm.ant,-0.08,0)),_xlpm.ajcli,IF(T42&lt;0.95,-0.06,0),_xlpm.prob,MAX(0,MIN(1,_xlpm.prog+_xlpm.ajmov+_xlpm.ajcli)),IF(OR(V42="DIAMANTE",V42="CERRADO"),0,ROUND(_xlpm.prob,2)))</f>
        <v>0.9</v>
      </c>
      <c r="AK42" t="str">
        <f t="shared" si="12"/>
        <v>Faltan 0,4 puntos base para subir a la siguiente categoría</v>
      </c>
      <c r="AL42" t="str">
        <f t="shared" si="13"/>
        <v>Margen de seguridad: 22,9 puntos</v>
      </c>
      <c r="AM42">
        <f t="shared" si="14"/>
        <v>0.05</v>
      </c>
      <c r="AN42" t="str">
        <f t="shared" si="15"/>
        <v>PRIORIDAD BAJA – control normal</v>
      </c>
      <c r="AO42">
        <f t="shared" si="16"/>
        <v>8.8978505711049749</v>
      </c>
      <c r="AP42">
        <f t="shared" si="17"/>
        <v>0</v>
      </c>
      <c r="AQ42">
        <f t="shared" si="18"/>
        <v>0</v>
      </c>
      <c r="AR42">
        <f t="shared" si="19"/>
        <v>4.8999999999999995</v>
      </c>
      <c r="AS42">
        <f t="shared" si="20"/>
        <v>0</v>
      </c>
      <c r="AT42" t="str">
        <f t="shared" si="21"/>
        <v>VENTAS</v>
      </c>
      <c r="AU42">
        <f t="shared" si="22"/>
        <v>8.8978505711049749</v>
      </c>
      <c r="AV42" t="str">
        <f t="shared" si="23"/>
        <v>Mayor retorno probable: VENTAS (+8,9 puntos finales potenciales).</v>
      </c>
    </row>
    <row r="43" spans="1:48" x14ac:dyDescent="0.3">
      <c r="A43" s="5">
        <v>51032527</v>
      </c>
      <c r="B43" s="5" t="str">
        <f>IFERROR(VLOOKUP(A43,VENTAS!$A$2:$B$1194,2,0),"")</f>
        <v>ROBERTS</v>
      </c>
      <c r="C43" s="5">
        <f>IFERROR(INDEX(VENTAS!$C$2:$E$1194,MATCH(A43,VENTAS!$A$2:$A$1194,0),MATCH(PARAMS_MODELO!$B$2,{"Q1","Q2","Q3"},0)),0)</f>
        <v>119767871.55</v>
      </c>
      <c r="D43" s="5">
        <f>IFERROR(INDEX(VENTAS!$F$2:$H$1194,MATCH(A43,VENTAS!$A$2:$A$1194,0),MATCH(PARAMS_MODELO!$B$2,{"Q1","Q2","Q3"},0)),0)</f>
        <v>204352420</v>
      </c>
      <c r="E43" s="8">
        <f t="shared" si="0"/>
        <v>0.70623738532990576</v>
      </c>
      <c r="F43" s="12">
        <f>IF(E43&lt;=PARAMS_MODELO!$B$15,0,IF(E43&gt;=PARAMS_MODELO!$B$17,100,100*MIN(1,(E43-PARAMS_MODELO!$B$15)/(PARAMS_MODELO!$B$16-PARAMS_MODELO!$B$15))))*PARAMS_MODELO!$B$7</f>
        <v>35</v>
      </c>
      <c r="G43" s="5">
        <f t="shared" si="1"/>
        <v>84584548.450000003</v>
      </c>
      <c r="H43" s="5">
        <f>(PARAMS_MODELO!$B$20*(MAX(0,MIN(3,E43))/3)+PARAMS_MODELO!$B$21*(IFERROR(LN(1+MAX(0,G43))/LN(1+MAX(0,MAX($G$2:$G$1194))),0)))*100*PARAMS_MODELO!$B$8</f>
        <v>6.7506503312120891</v>
      </c>
      <c r="I43" s="8">
        <f>E43-PARAMS_MODELO!$B$5</f>
        <v>0.52867454995437924</v>
      </c>
      <c r="J43" s="5">
        <f>IF(I43&lt;=PARAMS_MODELO!$B$18,0,IF(I43&gt;=PARAMS_MODELO!$B$19,100,100*(I43-PARAMS_MODELO!$B$18)/(PARAMS_MODELO!$B$19-PARAMS_MODELO!$B$18)))*PARAMS_MODELO!$B$9</f>
        <v>15</v>
      </c>
      <c r="K43" s="5">
        <f>IFERROR(CHOOSE(MATCH(PARAMS_MODELO!$B$2,{"Q1","Q2","Q3"},0),LOTO!$D43,LOTO!$F43,LOTO!$H43),0)</f>
        <v>10425000</v>
      </c>
      <c r="L43" s="8">
        <f t="shared" si="2"/>
        <v>5.1014810590449579E-2</v>
      </c>
      <c r="M43" s="5">
        <f>MIN(100,IF(PARAMS_MODELO!$B$23=0,0,100*L43/PARAMS_MODELO!$B$23))*PARAMS_MODELO!$B$10</f>
        <v>15</v>
      </c>
      <c r="N43" s="5">
        <f>IFERROR(VLOOKUP(A43,COMPLIANCE!$A$2:$F$1996,6,0),100)</f>
        <v>100</v>
      </c>
      <c r="O43" s="5">
        <f>N43*PARAMS_MODELO!$B$11</f>
        <v>10</v>
      </c>
      <c r="P43" s="5">
        <f>IFERROR(VLOOKUP(A43,DIGITAL!$A$2:$J$2000,7,0),100)</f>
        <v>51</v>
      </c>
      <c r="Q43" s="5">
        <f>IFERROR(P43,0)*PARAMS_MODELO!$B$12</f>
        <v>5.1000000000000005</v>
      </c>
      <c r="R43">
        <f t="shared" si="3"/>
        <v>86.85065033121208</v>
      </c>
      <c r="S43" s="5" t="str">
        <f>IFERROR(VLOOKUP(A43,CLIENTE!$A$2:$N$2000,13,0),1)</f>
        <v>Bueno</v>
      </c>
      <c r="T43" s="5">
        <f>IFERROR(VLOOKUP(A43,CLIENTE!$A$2:$N$2000,14,0),1)</f>
        <v>1.1000000000000001</v>
      </c>
      <c r="U43" s="5">
        <f t="shared" si="4"/>
        <v>95.535715364333299</v>
      </c>
      <c r="V43" s="5" t="str">
        <f>IF(U43&gt;=MAX(_xlfn.PERCENTILE.INC($U$2:$U$1194,PARAMS_MODELO!$B$50),PARAMS_MODELO!$B$45),"DIAMANTE",IF(U43&gt;=MAX(_xlfn.PERCENTILE.INC($U$2:$U$1194,PARAMS_MODELO!$B$51),PARAMS_MODELO!$B$46),"PLATINO",IF(U43&gt;=MAX(_xlfn.PERCENTILE.INC($U$2:$U$1194,PARAMS_MODELO!$B$52),PARAMS_MODELO!$B$47),"ORO",IF(U43&gt;=MAX(_xlfn.PERCENTILE.INC($U$2:$U$1194,PARAMS_MODELO!$B$53),PARAMS_MODELO!$B$48),"PLATA",IF(U43&gt;=1,"BRONCE","CERRADO")))))</f>
        <v>PLATINO</v>
      </c>
      <c r="W43" s="5" t="str" cm="1">
        <f t="array" ref="W43">_xlfn.XLOOKUP(1, (HIST_SCORE!$B:$B=PARAMS_MODELO!$B$4) * (HIST_SCORE!$C:$C=A43), HIST_SCORE!$E:$E, "No encontrado")</f>
        <v>DIAMANTE</v>
      </c>
      <c r="X43" s="5" t="str">
        <f>_xlfn.LET(_xlpm.act,MATCH(V43,{"DIAMANTE";"PLATINO";"ORO";"PLATA";"BRONCE";"CERRADO"},0),_xlpm.ant,MATCH(W43,{"DIAMANTE";"PLATINO";"ORO";"PLATA";"BRONCE";"CERRADO"},0),IF(_xlpm.act&lt;_xlpm.ant,"Mejora ↑",IF(_xlpm.act&gt;_xlpm.ant,"Baja ↓","Estable →")))</f>
        <v>Baja ↓</v>
      </c>
      <c r="Y43" s="5">
        <f>IFERROR(U43-SUMIFS(HIST_SCORE!$D:$D,HIST_SCORE!$B:$B,PARAMS_MODELO!$B$4,HIST_SCORE!$C:$C,$A43),"")</f>
        <v>0.29021752566288228</v>
      </c>
      <c r="Z43" s="5" t="str">
        <f t="shared" si="5"/>
        <v>→ Estable</v>
      </c>
      <c r="AA43" s="5">
        <f t="shared" si="6"/>
        <v>66</v>
      </c>
      <c r="AB43" s="5">
        <f>IFERROR(SUMIFS(HIST_SCORE!$F:$F,HIST_SCORE!$B:$B,PARAMS_MODELO!$B$4,HIST_SCORE!$C:$C,$A43),"")</f>
        <v>60</v>
      </c>
      <c r="AC43" s="5">
        <f t="shared" si="7"/>
        <v>-6</v>
      </c>
      <c r="AD43" t="str">
        <f t="shared" si="9"/>
        <v/>
      </c>
      <c r="AE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CERRADO",1,IF(V43="BRONCE",_xlpm.cPl,IF(V43="PLATA",_xlpm.cO,IF(V43="ORO",_xlpm.cP,IF(V43="PLATINO",_xlpm.cD,999))))))</f>
        <v>96.054919694466676</v>
      </c>
      <c r="AF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CERRADO",0,IF(V43="BRONCE",1,IF(V43="PLATA",_xlpm.cPl,IF(V43="ORO",_xlpm.cO,IF(V43="PLATINO",_xlpm.cP,_xlpm.cD))))))</f>
        <v>86.439123873763251</v>
      </c>
      <c r="AG43">
        <f t="shared" si="10"/>
        <v>0.4720039364848958</v>
      </c>
      <c r="AH43" t="str">
        <f t="shared" si="11"/>
        <v>VENTAS</v>
      </c>
      <c r="AI43" t="str">
        <f t="shared" si="8"/>
        <v>🎯 Para subir de categoría, eje VENTAS / IMPACTO ABSOLUTO (H). Acción: metas semanales + activación comercial + seguimiento del asesor. ΔR aprox: 0,5</v>
      </c>
      <c r="AJ43" s="26">
        <f>_xlfn.LET(_xlpm.piso,AF43,_xlpm.corte,AE43,_xlpm.prog,IF(_xlpm.corte&lt;=_xlpm.piso,0,MAX(0,MIN(1,(U43-_xlpm.piso)/(_xlpm.corte-_xlpm.piso)))),_xlpm.orden,{"DIAMANTE";"PLATINO";"ORO";"PLATA";"BRONCE";"CERRADO"},_xlpm.act,IFERROR(MATCH(V43,_xlpm.orden,0),6),_xlpm.ant,IFERROR(MATCH(W43,_xlpm.orden,0),6),_xlpm.ajmov,IF(_xlpm.act&lt;_xlpm.ant,0.08,IF(_xlpm.act&gt;_xlpm.ant,-0.08,0)),_xlpm.ajcli,IF(T43&lt;0.95,-0.06,0),_xlpm.prob,MAX(0,MIN(1,_xlpm.prog+_xlpm.ajmov+_xlpm.ajcli)),IF(OR(V43="DIAMANTE",V43="CERRADO"),0,ROUND(_xlpm.prob,2)))</f>
        <v>0.87</v>
      </c>
      <c r="AK43" t="str">
        <f t="shared" si="12"/>
        <v>Faltan 0,5 puntos base para subir a la siguiente categoría</v>
      </c>
      <c r="AL43" t="str">
        <f t="shared" si="13"/>
        <v>Margen de seguridad: 9,1 puntos</v>
      </c>
      <c r="AM43">
        <f t="shared" si="14"/>
        <v>7.0000000000000007E-2</v>
      </c>
      <c r="AN43" t="str">
        <f t="shared" si="15"/>
        <v>PRIORIDAD BAJA – control normal</v>
      </c>
      <c r="AO43">
        <f t="shared" si="16"/>
        <v>8.9231108384918496</v>
      </c>
      <c r="AP43">
        <f t="shared" si="17"/>
        <v>0</v>
      </c>
      <c r="AQ43">
        <f t="shared" si="18"/>
        <v>0</v>
      </c>
      <c r="AR43">
        <f t="shared" si="19"/>
        <v>5.39</v>
      </c>
      <c r="AS43">
        <f t="shared" si="20"/>
        <v>0</v>
      </c>
      <c r="AT43" t="str">
        <f t="shared" si="21"/>
        <v>VENTAS</v>
      </c>
      <c r="AU43">
        <f t="shared" si="22"/>
        <v>8.9231108384918496</v>
      </c>
      <c r="AV43" t="str">
        <f t="shared" si="23"/>
        <v>Mayor retorno probable: VENTAS (+8,9 puntos finales potenciales).</v>
      </c>
    </row>
    <row r="44" spans="1:48" x14ac:dyDescent="0.3">
      <c r="A44" s="5">
        <v>51028678</v>
      </c>
      <c r="B44" s="5" t="str">
        <f>IFERROR(VLOOKUP(A44,VENTAS!$A$2:$B$1194,2,0),"")</f>
        <v>NELLI</v>
      </c>
      <c r="C44" s="5">
        <f>IFERROR(INDEX(VENTAS!$C$2:$E$1194,MATCH(A44,VENTAS!$A$2:$A$1194,0),MATCH(PARAMS_MODELO!$B$2,{"Q1","Q2","Q3"},0)),0)</f>
        <v>166184350.78999999</v>
      </c>
      <c r="D44" s="5">
        <f>IFERROR(INDEX(VENTAS!$F$2:$H$1194,MATCH(A44,VENTAS!$A$2:$A$1194,0),MATCH(PARAMS_MODELO!$B$2,{"Q1","Q2","Q3"},0)),0)</f>
        <v>197894528</v>
      </c>
      <c r="E44" s="8">
        <f t="shared" si="0"/>
        <v>0.19081325683951311</v>
      </c>
      <c r="F44" s="12">
        <f>IF(E44&lt;=PARAMS_MODELO!$B$15,0,IF(E44&gt;=PARAMS_MODELO!$B$17,100,100*MIN(1,(E44-PARAMS_MODELO!$B$15)/(PARAMS_MODELO!$B$16-PARAMS_MODELO!$B$15))))*PARAMS_MODELO!$B$7</f>
        <v>35</v>
      </c>
      <c r="G44" s="5">
        <f t="shared" si="1"/>
        <v>31710177.210000008</v>
      </c>
      <c r="H44" s="5">
        <f>(PARAMS_MODELO!$B$20*(MAX(0,MIN(3,E44))/3)+PARAMS_MODELO!$B$21*(IFERROR(LN(1+MAX(0,G44))/LN(1+MAX(0,MAX($G$2:$G$1194))),0)))*100*PARAMS_MODELO!$B$8</f>
        <v>4.7166790837756576</v>
      </c>
      <c r="I44" s="8">
        <f>E44-PARAMS_MODELO!$B$5</f>
        <v>1.3250421463986584E-2</v>
      </c>
      <c r="J44" s="5">
        <f>IF(I44&lt;=PARAMS_MODELO!$B$18,0,IF(I44&gt;=PARAMS_MODELO!$B$19,100,100*(I44-PARAMS_MODELO!$B$18)/(PARAMS_MODELO!$B$19-PARAMS_MODELO!$B$18)))*PARAMS_MODELO!$B$9</f>
        <v>9.4875632195979875</v>
      </c>
      <c r="K44" s="5">
        <f>IFERROR(CHOOSE(MATCH(PARAMS_MODELO!$B$2,{"Q1","Q2","Q3"},0),LOTO!$D44,LOTO!$F44,LOTO!$H44),0)</f>
        <v>10390000</v>
      </c>
      <c r="L44" s="8">
        <f t="shared" si="2"/>
        <v>5.2502714981588573E-2</v>
      </c>
      <c r="M44" s="5">
        <f>MIN(100,IF(PARAMS_MODELO!$B$23=0,0,100*L44/PARAMS_MODELO!$B$23))*PARAMS_MODELO!$B$10</f>
        <v>15</v>
      </c>
      <c r="N44" s="5">
        <f>IFERROR(VLOOKUP(A44,COMPLIANCE!$A$2:$F$1996,6,0),100)</f>
        <v>100</v>
      </c>
      <c r="O44" s="5">
        <f>N44*PARAMS_MODELO!$B$11</f>
        <v>10</v>
      </c>
      <c r="P44" s="5">
        <f>IFERROR(VLOOKUP(A44,DIGITAL!$A$2:$J$2000,7,0),100)</f>
        <v>95</v>
      </c>
      <c r="Q44" s="5">
        <f>IFERROR(P44,0)*PARAMS_MODELO!$B$12</f>
        <v>9.5</v>
      </c>
      <c r="R44">
        <f t="shared" si="3"/>
        <v>83.704242303373647</v>
      </c>
      <c r="S44" s="5" t="str">
        <f>IFERROR(VLOOKUP(A44,CLIENTE!$A$2:$N$2000,13,0),1)</f>
        <v>Malo</v>
      </c>
      <c r="T44" s="5">
        <f>IFERROR(VLOOKUP(A44,CLIENTE!$A$2:$N$2000,14,0),1)</f>
        <v>0.7</v>
      </c>
      <c r="U44" s="5">
        <f t="shared" si="4"/>
        <v>58.59296961236155</v>
      </c>
      <c r="V44" s="5" t="str">
        <f>IF(U44&gt;=MAX(_xlfn.PERCENTILE.INC($U$2:$U$1194,PARAMS_MODELO!$B$50),PARAMS_MODELO!$B$45),"DIAMANTE",IF(U44&gt;=MAX(_xlfn.PERCENTILE.INC($U$2:$U$1194,PARAMS_MODELO!$B$51),PARAMS_MODELO!$B$46),"PLATINO",IF(U44&gt;=MAX(_xlfn.PERCENTILE.INC($U$2:$U$1194,PARAMS_MODELO!$B$52),PARAMS_MODELO!$B$47),"ORO",IF(U44&gt;=MAX(_xlfn.PERCENTILE.INC($U$2:$U$1194,PARAMS_MODELO!$B$53),PARAMS_MODELO!$B$48),"PLATA",IF(U44&gt;=1,"BRONCE","CERRADO")))))</f>
        <v>PLATA</v>
      </c>
      <c r="W44" s="5" t="str" cm="1">
        <f t="array" ref="W44">_xlfn.XLOOKUP(1, (HIST_SCORE!$B:$B=PARAMS_MODELO!$B$4) * (HIST_SCORE!$C:$C=A44), HIST_SCORE!$E:$E, "No encontrado")</f>
        <v>PLATA</v>
      </c>
      <c r="X44" s="5" t="str">
        <f>_xlfn.LET(_xlpm.act,MATCH(V44,{"DIAMANTE";"PLATINO";"ORO";"PLATA";"BRONCE";"CERRADO"},0),_xlpm.ant,MATCH(W44,{"DIAMANTE";"PLATINO";"ORO";"PLATA";"BRONCE";"CERRADO"},0),IF(_xlpm.act&lt;_xlpm.ant,"Mejora ↑",IF(_xlpm.act&gt;_xlpm.ant,"Baja ↓","Estable →")))</f>
        <v>Estable →</v>
      </c>
      <c r="Y44" s="5">
        <f>IFERROR(U44-SUMIFS(HIST_SCORE!$D:$D,HIST_SCORE!$B:$B,PARAMS_MODELO!$B$4,HIST_SCORE!$C:$C,$A44),"")</f>
        <v>-1.9497441167928429</v>
      </c>
      <c r="Z44" s="5" t="str">
        <f t="shared" si="5"/>
        <v>→ Estable</v>
      </c>
      <c r="AA44" s="5">
        <f t="shared" si="6"/>
        <v>645</v>
      </c>
      <c r="AB44" s="5">
        <f>IFERROR(SUMIFS(HIST_SCORE!$F:$F,HIST_SCORE!$B:$B,PARAMS_MODELO!$B$4,HIST_SCORE!$C:$C,$A44),"")</f>
        <v>639</v>
      </c>
      <c r="AC44" s="5">
        <f t="shared" si="7"/>
        <v>-6</v>
      </c>
      <c r="AD44" t="str">
        <f t="shared" si="9"/>
        <v/>
      </c>
      <c r="AE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CERRADO",1,IF(V44="BRONCE",_xlpm.cPl,IF(V44="PLATA",_xlpm.cO,IF(V44="ORO",_xlpm.cP,IF(V44="PLATINO",_xlpm.cD,999))))))</f>
        <v>63.199193273331495</v>
      </c>
      <c r="AF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CERRADO",0,IF(V44="BRONCE",1,IF(V44="PLATA",_xlpm.cPl,IF(V44="ORO",_xlpm.cO,IF(V44="PLATINO",_xlpm.cP,_xlpm.cD))))))</f>
        <v>24.506573482968111</v>
      </c>
      <c r="AG44">
        <f t="shared" si="10"/>
        <v>6.5803195156713485</v>
      </c>
      <c r="AH44" t="str">
        <f t="shared" si="11"/>
        <v>CLIENTE</v>
      </c>
      <c r="AI44" t="str">
        <f t="shared" si="8"/>
        <v>🎯 Para subir de categoría, la eje con mayor impacto probable es CLIENTE (coef T). Acción: reducir quejas, mejorar incógnito y empujar reseñas. ΔR aprox: 6,6</v>
      </c>
      <c r="AJ44" s="26">
        <f>_xlfn.LET(_xlpm.piso,AF44,_xlpm.corte,AE44,_xlpm.prog,IF(_xlpm.corte&lt;=_xlpm.piso,0,MAX(0,MIN(1,(U44-_xlpm.piso)/(_xlpm.corte-_xlpm.piso)))),_xlpm.orden,{"DIAMANTE";"PLATINO";"ORO";"PLATA";"BRONCE";"CERRADO"},_xlpm.act,IFERROR(MATCH(V44,_xlpm.orden,0),6),_xlpm.ant,IFERROR(MATCH(W44,_xlpm.orden,0),6),_xlpm.ajmov,IF(_xlpm.act&lt;_xlpm.ant,0.08,IF(_xlpm.act&gt;_xlpm.ant,-0.08,0)),_xlpm.ajcli,IF(T44&lt;0.95,-0.06,0),_xlpm.prob,MAX(0,MIN(1,_xlpm.prog+_xlpm.ajmov+_xlpm.ajcli)),IF(OR(V44="DIAMANTE",V44="CERRADO"),0,ROUND(_xlpm.prob,2)))</f>
        <v>0.82</v>
      </c>
      <c r="AK44" t="str">
        <f t="shared" si="12"/>
        <v>Faltan 6,6 puntos base para subir a la siguiente categoría</v>
      </c>
      <c r="AL44" t="str">
        <f t="shared" si="13"/>
        <v>Margen de seguridad: 34,1 puntos</v>
      </c>
      <c r="AM44">
        <f t="shared" si="14"/>
        <v>0.54</v>
      </c>
      <c r="AN44" t="str">
        <f t="shared" si="15"/>
        <v>PRIORIDAD MEDIA – seguimiento del asesor</v>
      </c>
      <c r="AO44">
        <f t="shared" si="16"/>
        <v>10.960828880345355</v>
      </c>
      <c r="AP44">
        <f t="shared" si="17"/>
        <v>0</v>
      </c>
      <c r="AQ44">
        <f t="shared" si="18"/>
        <v>0</v>
      </c>
      <c r="AR44">
        <f t="shared" si="19"/>
        <v>0.35</v>
      </c>
      <c r="AS44">
        <f t="shared" si="20"/>
        <v>25.111272691012097</v>
      </c>
      <c r="AT44" t="str">
        <f t="shared" si="21"/>
        <v>CLIENTE</v>
      </c>
      <c r="AU44">
        <f t="shared" si="22"/>
        <v>25.111272691012097</v>
      </c>
      <c r="AV44" t="str">
        <f t="shared" si="23"/>
        <v>Mayor retorno probable: CLIENTE (+25,1 puntos finales potenciales).</v>
      </c>
    </row>
    <row r="45" spans="1:48" x14ac:dyDescent="0.3">
      <c r="A45" s="5">
        <v>51005287</v>
      </c>
      <c r="B45" s="5" t="str">
        <f>IFERROR(VLOOKUP(A45,VENTAS!$A$2:$B$1194,2,0),"")</f>
        <v>NELLI</v>
      </c>
      <c r="C45" s="5">
        <f>IFERROR(INDEX(VENTAS!$C$2:$E$1194,MATCH(A45,VENTAS!$A$2:$A$1194,0),MATCH(PARAMS_MODELO!$B$2,{"Q1","Q2","Q3"},0)),0)</f>
        <v>150243914.03</v>
      </c>
      <c r="D45" s="5">
        <f>IFERROR(INDEX(VENTAS!$F$2:$H$1194,MATCH(A45,VENTAS!$A$2:$A$1194,0),MATCH(PARAMS_MODELO!$B$2,{"Q1","Q2","Q3"},0)),0)</f>
        <v>197872302</v>
      </c>
      <c r="E45" s="8">
        <f t="shared" si="0"/>
        <v>0.3170071032660251</v>
      </c>
      <c r="F45" s="12">
        <f>IF(E45&lt;=PARAMS_MODELO!$B$15,0,IF(E45&gt;=PARAMS_MODELO!$B$17,100,100*MIN(1,(E45-PARAMS_MODELO!$B$15)/(PARAMS_MODELO!$B$16-PARAMS_MODELO!$B$15))))*PARAMS_MODELO!$B$7</f>
        <v>35</v>
      </c>
      <c r="G45" s="5">
        <f t="shared" si="1"/>
        <v>47628387.969999999</v>
      </c>
      <c r="H45" s="5">
        <f>(PARAMS_MODELO!$B$20*(MAX(0,MIN(3,E45))/3)+PARAMS_MODELO!$B$21*(IFERROR(LN(1+MAX(0,G45))/LN(1+MAX(0,MAX($G$2:$G$1194))),0)))*100*PARAMS_MODELO!$B$8</f>
        <v>5.2537151018254038</v>
      </c>
      <c r="I45" s="8">
        <f>E45-PARAMS_MODELO!$B$5</f>
        <v>0.13944426789049857</v>
      </c>
      <c r="J45" s="5">
        <f>IF(I45&lt;=PARAMS_MODELO!$B$18,0,IF(I45&gt;=PARAMS_MODELO!$B$19,100,100*(I45-PARAMS_MODELO!$B$18)/(PARAMS_MODELO!$B$19-PARAMS_MODELO!$B$18)))*PARAMS_MODELO!$B$9</f>
        <v>15</v>
      </c>
      <c r="K45" s="5">
        <f>IFERROR(CHOOSE(MATCH(PARAMS_MODELO!$B$2,{"Q1","Q2","Q3"},0),LOTO!$D45,LOTO!$F45,LOTO!$H45),0)</f>
        <v>10342500</v>
      </c>
      <c r="L45" s="8">
        <f t="shared" si="2"/>
        <v>5.2268558537313624E-2</v>
      </c>
      <c r="M45" s="5">
        <f>MIN(100,IF(PARAMS_MODELO!$B$23=0,0,100*L45/PARAMS_MODELO!$B$23))*PARAMS_MODELO!$B$10</f>
        <v>15</v>
      </c>
      <c r="N45" s="5">
        <f>IFERROR(VLOOKUP(A45,COMPLIANCE!$A$2:$F$1996,6,0),100)</f>
        <v>100</v>
      </c>
      <c r="O45" s="5">
        <f>N45*PARAMS_MODELO!$B$11</f>
        <v>10</v>
      </c>
      <c r="P45" s="5">
        <f>IFERROR(VLOOKUP(A45,DIGITAL!$A$2:$J$2000,7,0),100)</f>
        <v>38</v>
      </c>
      <c r="Q45" s="5">
        <f>IFERROR(P45,0)*PARAMS_MODELO!$B$12</f>
        <v>3.8000000000000003</v>
      </c>
      <c r="R45">
        <f t="shared" si="3"/>
        <v>84.053715101825404</v>
      </c>
      <c r="S45" s="5" t="str">
        <f>IFERROR(VLOOKUP(A45,CLIENTE!$A$2:$N$2000,13,0),1)</f>
        <v>Regular</v>
      </c>
      <c r="T45" s="5">
        <f>IFERROR(VLOOKUP(A45,CLIENTE!$A$2:$N$2000,14,0),1)</f>
        <v>1</v>
      </c>
      <c r="U45" s="5">
        <f t="shared" si="4"/>
        <v>84.053715101825404</v>
      </c>
      <c r="V45" s="5" t="str">
        <f>IF(U45&gt;=MAX(_xlfn.PERCENTILE.INC($U$2:$U$1194,PARAMS_MODELO!$B$50),PARAMS_MODELO!$B$45),"DIAMANTE",IF(U45&gt;=MAX(_xlfn.PERCENTILE.INC($U$2:$U$1194,PARAMS_MODELO!$B$51),PARAMS_MODELO!$B$46),"PLATINO",IF(U45&gt;=MAX(_xlfn.PERCENTILE.INC($U$2:$U$1194,PARAMS_MODELO!$B$52),PARAMS_MODELO!$B$47),"ORO",IF(U45&gt;=MAX(_xlfn.PERCENTILE.INC($U$2:$U$1194,PARAMS_MODELO!$B$53),PARAMS_MODELO!$B$48),"PLATA",IF(U45&gt;=1,"BRONCE","CERRADO")))))</f>
        <v>ORO</v>
      </c>
      <c r="W45" s="5" t="str" cm="1">
        <f t="array" ref="W45">_xlfn.XLOOKUP(1, (HIST_SCORE!$B:$B=PARAMS_MODELO!$B$4) * (HIST_SCORE!$C:$C=A45), HIST_SCORE!$E:$E, "No encontrado")</f>
        <v>ORO</v>
      </c>
      <c r="X45" s="5" t="str">
        <f>_xlfn.LET(_xlpm.act,MATCH(V45,{"DIAMANTE";"PLATINO";"ORO";"PLATA";"BRONCE";"CERRADO"},0),_xlpm.ant,MATCH(W45,{"DIAMANTE";"PLATINO";"ORO";"PLATA";"BRONCE";"CERRADO"},0),IF(_xlpm.act&lt;_xlpm.ant,"Mejora ↑",IF(_xlpm.act&gt;_xlpm.ant,"Baja ↓","Estable →")))</f>
        <v>Estable →</v>
      </c>
      <c r="Y45" s="5">
        <f>IFERROR(U45-SUMIFS(HIST_SCORE!$D:$D,HIST_SCORE!$B:$B,PARAMS_MODELO!$B$4,HIST_SCORE!$C:$C,$A45),"")</f>
        <v>1.3176748867788035</v>
      </c>
      <c r="Z45" s="5" t="str">
        <f t="shared" si="5"/>
        <v>→ Estable</v>
      </c>
      <c r="AA45" s="5">
        <f t="shared" si="6"/>
        <v>320</v>
      </c>
      <c r="AB45" s="5">
        <f>IFERROR(SUMIFS(HIST_SCORE!$F:$F,HIST_SCORE!$B:$B,PARAMS_MODELO!$B$4,HIST_SCORE!$C:$C,$A45),"")</f>
        <v>341</v>
      </c>
      <c r="AC45" s="5">
        <f t="shared" si="7"/>
        <v>21</v>
      </c>
      <c r="AD45" t="str">
        <f t="shared" si="9"/>
        <v/>
      </c>
      <c r="AE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CERRADO",1,IF(V45="BRONCE",_xlpm.cPl,IF(V45="PLATA",_xlpm.cO,IF(V45="ORO",_xlpm.cP,IF(V45="PLATINO",_xlpm.cD,999))))))</f>
        <v>86.439123873763251</v>
      </c>
      <c r="AF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CERRADO",0,IF(V45="BRONCE",1,IF(V45="PLATA",_xlpm.cPl,IF(V45="ORO",_xlpm.cO,IF(V45="PLATINO",_xlpm.cP,_xlpm.cD))))))</f>
        <v>63.199193273331495</v>
      </c>
      <c r="AG45">
        <f t="shared" si="10"/>
        <v>2.385408771937847</v>
      </c>
      <c r="AH45" t="str">
        <f t="shared" si="11"/>
        <v>VENTAS</v>
      </c>
      <c r="AI45" t="str">
        <f t="shared" si="8"/>
        <v>🎯 Para subir de categoría, eje VENTAS / IMPACTO ABSOLUTO (H). Acción: metas semanales + activación comercial + seguimiento del asesor. ΔR aprox: 2,4</v>
      </c>
      <c r="AJ45" s="26">
        <f>_xlfn.LET(_xlpm.piso,AF45,_xlpm.corte,AE45,_xlpm.prog,IF(_xlpm.corte&lt;=_xlpm.piso,0,MAX(0,MIN(1,(U45-_xlpm.piso)/(_xlpm.corte-_xlpm.piso)))),_xlpm.orden,{"DIAMANTE";"PLATINO";"ORO";"PLATA";"BRONCE";"CERRADO"},_xlpm.act,IFERROR(MATCH(V45,_xlpm.orden,0),6),_xlpm.ant,IFERROR(MATCH(W45,_xlpm.orden,0),6),_xlpm.ajmov,IF(_xlpm.act&lt;_xlpm.ant,0.08,IF(_xlpm.act&gt;_xlpm.ant,-0.08,0)),_xlpm.ajcli,IF(T45&lt;0.95,-0.06,0),_xlpm.prob,MAX(0,MIN(1,_xlpm.prog+_xlpm.ajmov+_xlpm.ajcli)),IF(OR(V45="DIAMANTE",V45="CERRADO"),0,ROUND(_xlpm.prob,2)))</f>
        <v>0.9</v>
      </c>
      <c r="AK45" t="str">
        <f t="shared" si="12"/>
        <v>Faltan 2,4 puntos base para subir a la siguiente categoría</v>
      </c>
      <c r="AL45" t="str">
        <f t="shared" si="13"/>
        <v>Margen de seguridad: 20,9 puntos</v>
      </c>
      <c r="AM45">
        <f t="shared" si="14"/>
        <v>0.14000000000000001</v>
      </c>
      <c r="AN45" t="str">
        <f t="shared" si="15"/>
        <v>PRIORIDAD BAJA – control normal</v>
      </c>
      <c r="AO45">
        <f t="shared" si="16"/>
        <v>9.6088541734701778</v>
      </c>
      <c r="AP45">
        <f t="shared" si="17"/>
        <v>0</v>
      </c>
      <c r="AQ45">
        <f t="shared" si="18"/>
        <v>0</v>
      </c>
      <c r="AR45">
        <f t="shared" si="19"/>
        <v>6.1999999999999993</v>
      </c>
      <c r="AS45">
        <f t="shared" si="20"/>
        <v>0</v>
      </c>
      <c r="AT45" t="str">
        <f t="shared" si="21"/>
        <v>VENTAS</v>
      </c>
      <c r="AU45">
        <f t="shared" si="22"/>
        <v>9.6088541734701778</v>
      </c>
      <c r="AV45" t="str">
        <f t="shared" si="23"/>
        <v>Mayor retorno probable: VENTAS (+9,6 puntos finales potenciales).</v>
      </c>
    </row>
    <row r="46" spans="1:48" x14ac:dyDescent="0.3">
      <c r="A46" s="5">
        <v>51055624</v>
      </c>
      <c r="B46" s="5" t="str">
        <f>IFERROR(VLOOKUP(A46,VENTAS!$A$2:$B$1194,2,0),"")</f>
        <v>BELUZZO</v>
      </c>
      <c r="C46" s="5">
        <f>IFERROR(INDEX(VENTAS!$C$2:$E$1194,MATCH(A46,VENTAS!$A$2:$A$1194,0),MATCH(PARAMS_MODELO!$B$2,{"Q1","Q2","Q3"},0)),0)</f>
        <v>88451211.689999998</v>
      </c>
      <c r="D46" s="5">
        <f>IFERROR(INDEX(VENTAS!$F$2:$H$1194,MATCH(A46,VENTAS!$A$2:$A$1194,0),MATCH(PARAMS_MODELO!$B$2,{"Q1","Q2","Q3"},0)),0)</f>
        <v>195880809</v>
      </c>
      <c r="E46" s="8">
        <f t="shared" si="0"/>
        <v>1.2145633197939065</v>
      </c>
      <c r="F46" s="12">
        <f>IF(E46&lt;=PARAMS_MODELO!$B$15,0,IF(E46&gt;=PARAMS_MODELO!$B$17,100,100*MIN(1,(E46-PARAMS_MODELO!$B$15)/(PARAMS_MODELO!$B$16-PARAMS_MODELO!$B$15))))*PARAMS_MODELO!$B$7</f>
        <v>35</v>
      </c>
      <c r="G46" s="5">
        <f t="shared" si="1"/>
        <v>107429597.31</v>
      </c>
      <c r="H46" s="5">
        <f>(PARAMS_MODELO!$B$20*(MAX(0,MIN(3,E46))/3)+PARAMS_MODELO!$B$21*(IFERROR(LN(1+MAX(0,G46))/LN(1+MAX(0,MAX($G$2:$G$1194))),0)))*100*PARAMS_MODELO!$B$8</f>
        <v>8.5858357560003711</v>
      </c>
      <c r="I46" s="8">
        <f>E46-PARAMS_MODELO!$B$5</f>
        <v>1.03700048441838</v>
      </c>
      <c r="J46" s="5">
        <f>IF(I46&lt;=PARAMS_MODELO!$B$18,0,IF(I46&gt;=PARAMS_MODELO!$B$19,100,100*(I46-PARAMS_MODELO!$B$18)/(PARAMS_MODELO!$B$19-PARAMS_MODELO!$B$18)))*PARAMS_MODELO!$B$9</f>
        <v>15</v>
      </c>
      <c r="K46" s="5">
        <f>IFERROR(CHOOSE(MATCH(PARAMS_MODELO!$B$2,{"Q1","Q2","Q3"},0),LOTO!$D46,LOTO!$F46,LOTO!$H46),0)</f>
        <v>10162500</v>
      </c>
      <c r="L46" s="8">
        <f t="shared" si="2"/>
        <v>5.188103955604962E-2</v>
      </c>
      <c r="M46" s="5">
        <f>MIN(100,IF(PARAMS_MODELO!$B$23=0,0,100*L46/PARAMS_MODELO!$B$23))*PARAMS_MODELO!$B$10</f>
        <v>15</v>
      </c>
      <c r="N46" s="5">
        <f>IFERROR(VLOOKUP(A46,COMPLIANCE!$A$2:$F$1996,6,0),100)</f>
        <v>100</v>
      </c>
      <c r="O46" s="5">
        <f>N46*PARAMS_MODELO!$B$11</f>
        <v>10</v>
      </c>
      <c r="P46" s="5">
        <f>IFERROR(VLOOKUP(A46,DIGITAL!$A$2:$J$2000,7,0),100)</f>
        <v>55</v>
      </c>
      <c r="Q46" s="5">
        <f>IFERROR(P46,0)*PARAMS_MODELO!$B$12</f>
        <v>5.5</v>
      </c>
      <c r="R46">
        <f t="shared" si="3"/>
        <v>89.085835756000364</v>
      </c>
      <c r="S46" s="5" t="str">
        <f>IFERROR(VLOOKUP(A46,CLIENTE!$A$2:$N$2000,13,0),1)</f>
        <v>Bueno</v>
      </c>
      <c r="T46" s="5">
        <f>IFERROR(VLOOKUP(A46,CLIENTE!$A$2:$N$2000,14,0),1)</f>
        <v>1.1000000000000001</v>
      </c>
      <c r="U46" s="5">
        <f t="shared" si="4"/>
        <v>97.994419331600412</v>
      </c>
      <c r="V46" s="5" t="str">
        <f>IF(U46&gt;=MAX(_xlfn.PERCENTILE.INC($U$2:$U$1194,PARAMS_MODELO!$B$50),PARAMS_MODELO!$B$45),"DIAMANTE",IF(U46&gt;=MAX(_xlfn.PERCENTILE.INC($U$2:$U$1194,PARAMS_MODELO!$B$51),PARAMS_MODELO!$B$46),"PLATINO",IF(U46&gt;=MAX(_xlfn.PERCENTILE.INC($U$2:$U$1194,PARAMS_MODELO!$B$52),PARAMS_MODELO!$B$47),"ORO",IF(U46&gt;=MAX(_xlfn.PERCENTILE.INC($U$2:$U$1194,PARAMS_MODELO!$B$53),PARAMS_MODELO!$B$48),"PLATA",IF(U46&gt;=1,"BRONCE","CERRADO")))))</f>
        <v>DIAMANTE</v>
      </c>
      <c r="W46" s="5" t="str" cm="1">
        <f t="array" ref="W46">_xlfn.XLOOKUP(1, (HIST_SCORE!$B:$B=PARAMS_MODELO!$B$4) * (HIST_SCORE!$C:$C=A46), HIST_SCORE!$E:$E, "No encontrado")</f>
        <v>DIAMANTE</v>
      </c>
      <c r="X46" s="5" t="str">
        <f>_xlfn.LET(_xlpm.act,MATCH(V46,{"DIAMANTE";"PLATINO";"ORO";"PLATA";"BRONCE";"CERRADO"},0),_xlpm.ant,MATCH(W46,{"DIAMANTE";"PLATINO";"ORO";"PLATA";"BRONCE";"CERRADO"},0),IF(_xlpm.act&lt;_xlpm.ant,"Mejora ↑",IF(_xlpm.act&gt;_xlpm.ant,"Baja ↓","Estable →")))</f>
        <v>Estable →</v>
      </c>
      <c r="Y46" s="5">
        <f>IFERROR(U46-SUMIFS(HIST_SCORE!$D:$D,HIST_SCORE!$B:$B,PARAMS_MODELO!$B$4,HIST_SCORE!$C:$C,$A46),"")</f>
        <v>2.4022483275320639</v>
      </c>
      <c r="Z46" s="5" t="str">
        <f t="shared" si="5"/>
        <v>→ Estable</v>
      </c>
      <c r="AA46" s="5">
        <f t="shared" si="6"/>
        <v>38</v>
      </c>
      <c r="AB46" s="5">
        <f>IFERROR(SUMIFS(HIST_SCORE!$F:$F,HIST_SCORE!$B:$B,PARAMS_MODELO!$B$4,HIST_SCORE!$C:$C,$A46),"")</f>
        <v>56</v>
      </c>
      <c r="AC46" s="5">
        <f t="shared" si="7"/>
        <v>18</v>
      </c>
      <c r="AD46" t="str">
        <f t="shared" si="9"/>
        <v/>
      </c>
      <c r="AE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CERRADO",1,IF(V46="BRONCE",_xlpm.cPl,IF(V46="PLATA",_xlpm.cO,IF(V46="ORO",_xlpm.cP,IF(V46="PLATINO",_xlpm.cD,999))))))</f>
        <v>999</v>
      </c>
      <c r="AF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CERRADO",0,IF(V46="BRONCE",1,IF(V46="PLATA",_xlpm.cPl,IF(V46="ORO",_xlpm.cO,IF(V46="PLATINO",_xlpm.cP,_xlpm.cD))))))</f>
        <v>96.054919694466676</v>
      </c>
      <c r="AG46">
        <f t="shared" si="10"/>
        <v>819.09598242581774</v>
      </c>
      <c r="AH46" t="str">
        <f t="shared" si="11"/>
        <v>SOSTENER</v>
      </c>
      <c r="AI46" t="str">
        <f t="shared" si="8"/>
        <v>✅ Mantener desempeño y monitorear variaciones para sostener categoría.</v>
      </c>
      <c r="AJ46" s="26">
        <f>_xlfn.LET(_xlpm.piso,AF46,_xlpm.corte,AE46,_xlpm.prog,IF(_xlpm.corte&lt;=_xlpm.piso,0,MAX(0,MIN(1,(U46-_xlpm.piso)/(_xlpm.corte-_xlpm.piso)))),_xlpm.orden,{"DIAMANTE";"PLATINO";"ORO";"PLATA";"BRONCE";"CERRADO"},_xlpm.act,IFERROR(MATCH(V46,_xlpm.orden,0),6),_xlpm.ant,IFERROR(MATCH(W46,_xlpm.orden,0),6),_xlpm.ajmov,IF(_xlpm.act&lt;_xlpm.ant,0.08,IF(_xlpm.act&gt;_xlpm.ant,-0.08,0)),_xlpm.ajcli,IF(T46&lt;0.95,-0.06,0),_xlpm.prob,MAX(0,MIN(1,_xlpm.prog+_xlpm.ajmov+_xlpm.ajcli)),IF(OR(V46="DIAMANTE",V46="CERRADO"),0,ROUND(_xlpm.prob,2)))</f>
        <v>0</v>
      </c>
      <c r="AK46" t="str">
        <f t="shared" si="12"/>
        <v>No aplica</v>
      </c>
      <c r="AL46" t="str">
        <f t="shared" si="13"/>
        <v>Margen de seguridad: 1,9 puntos</v>
      </c>
      <c r="AM46">
        <f t="shared" si="14"/>
        <v>0.8</v>
      </c>
      <c r="AN46" t="str">
        <f t="shared" si="15"/>
        <v>PRIORIDAD ALTA – requiere intervención inmediata</v>
      </c>
      <c r="AO46">
        <f t="shared" si="16"/>
        <v>6.9044068712247348</v>
      </c>
      <c r="AP46">
        <f t="shared" si="17"/>
        <v>0</v>
      </c>
      <c r="AQ46">
        <f t="shared" si="18"/>
        <v>0</v>
      </c>
      <c r="AR46">
        <f t="shared" si="19"/>
        <v>4.95</v>
      </c>
      <c r="AS46">
        <f t="shared" si="20"/>
        <v>0</v>
      </c>
      <c r="AT46" t="str">
        <f t="shared" si="21"/>
        <v>VENTAS</v>
      </c>
      <c r="AU46">
        <f t="shared" si="22"/>
        <v>6.9044068712247348</v>
      </c>
      <c r="AV46" t="str">
        <f t="shared" si="23"/>
        <v>Mayor retorno probable: VENTAS (+6,9 puntos finales potenciales).</v>
      </c>
    </row>
    <row r="47" spans="1:48" x14ac:dyDescent="0.3">
      <c r="A47" s="5">
        <v>51010884</v>
      </c>
      <c r="B47" s="5" t="str">
        <f>IFERROR(VLOOKUP(A47,VENTAS!$A$2:$B$1194,2,0),"")</f>
        <v>MONTENEGRO</v>
      </c>
      <c r="C47" s="5">
        <f>IFERROR(INDEX(VENTAS!$C$2:$E$1194,MATCH(A47,VENTAS!$A$2:$A$1194,0),MATCH(PARAMS_MODELO!$B$2,{"Q1","Q2","Q3"},0)),0)</f>
        <v>221646540.59</v>
      </c>
      <c r="D47" s="5">
        <f>IFERROR(INDEX(VENTAS!$F$2:$H$1194,MATCH(A47,VENTAS!$A$2:$A$1194,0),MATCH(PARAMS_MODELO!$B$2,{"Q1","Q2","Q3"},0)),0)</f>
        <v>195068976</v>
      </c>
      <c r="E47" s="8">
        <f t="shared" si="0"/>
        <v>-0.11990967474273817</v>
      </c>
      <c r="F47" s="12">
        <f>IF(E47&lt;=PARAMS_MODELO!$B$15,0,IF(E47&gt;=PARAMS_MODELO!$B$17,100,100*MIN(1,(E47-PARAMS_MODELO!$B$15)/(PARAMS_MODELO!$B$16-PARAMS_MODELO!$B$15))))*PARAMS_MODELO!$B$7</f>
        <v>0</v>
      </c>
      <c r="G47" s="5">
        <f t="shared" si="1"/>
        <v>0</v>
      </c>
      <c r="H47" s="5">
        <f>(PARAMS_MODELO!$B$20*(MAX(0,MIN(3,E47))/3)+PARAMS_MODELO!$B$21*(IFERROR(LN(1+MAX(0,G47))/LN(1+MAX(0,MAX($G$2:$G$1194))),0)))*100*PARAMS_MODELO!$B$8</f>
        <v>0</v>
      </c>
      <c r="I47" s="8">
        <f>E47-PARAMS_MODELO!$B$5</f>
        <v>-0.2974725101182647</v>
      </c>
      <c r="J47" s="5">
        <f>IF(I47&lt;=PARAMS_MODELO!$B$18,0,IF(I47&gt;=PARAMS_MODELO!$B$19,100,100*(I47-PARAMS_MODELO!$B$18)/(PARAMS_MODELO!$B$19-PARAMS_MODELO!$B$18)))*PARAMS_MODELO!$B$9</f>
        <v>0</v>
      </c>
      <c r="K47" s="5">
        <f>IFERROR(CHOOSE(MATCH(PARAMS_MODELO!$B$2,{"Q1","Q2","Q3"},0),LOTO!$D47,LOTO!$F47,LOTO!$H47),0)</f>
        <v>10157500</v>
      </c>
      <c r="L47" s="8">
        <f t="shared" si="2"/>
        <v>5.2071324760529836E-2</v>
      </c>
      <c r="M47" s="5">
        <f>MIN(100,IF(PARAMS_MODELO!$B$23=0,0,100*L47/PARAMS_MODELO!$B$23))*PARAMS_MODELO!$B$10</f>
        <v>15</v>
      </c>
      <c r="N47" s="5">
        <f>IFERROR(VLOOKUP(A47,COMPLIANCE!$A$2:$F$1996,6,0),100)</f>
        <v>100</v>
      </c>
      <c r="O47" s="5">
        <f>N47*PARAMS_MODELO!$B$11</f>
        <v>10</v>
      </c>
      <c r="P47" s="5">
        <f>IFERROR(VLOOKUP(A47,DIGITAL!$A$2:$J$2000,7,0),100)</f>
        <v>30</v>
      </c>
      <c r="Q47" s="5">
        <f>IFERROR(P47,0)*PARAMS_MODELO!$B$12</f>
        <v>3</v>
      </c>
      <c r="R47">
        <f t="shared" si="3"/>
        <v>28</v>
      </c>
      <c r="S47" s="5" t="str">
        <f>IFERROR(VLOOKUP(A47,CLIENTE!$A$2:$N$2000,13,0),1)</f>
        <v>Malo</v>
      </c>
      <c r="T47" s="5">
        <f>IFERROR(VLOOKUP(A47,CLIENTE!$A$2:$N$2000,14,0),1)</f>
        <v>0.7</v>
      </c>
      <c r="U47" s="5">
        <f t="shared" si="4"/>
        <v>19.599999999999998</v>
      </c>
      <c r="V47" s="5" t="str">
        <f>IF(U47&gt;=MAX(_xlfn.PERCENTILE.INC($U$2:$U$1194,PARAMS_MODELO!$B$50),PARAMS_MODELO!$B$45),"DIAMANTE",IF(U47&gt;=MAX(_xlfn.PERCENTILE.INC($U$2:$U$1194,PARAMS_MODELO!$B$51),PARAMS_MODELO!$B$46),"PLATINO",IF(U47&gt;=MAX(_xlfn.PERCENTILE.INC($U$2:$U$1194,PARAMS_MODELO!$B$52),PARAMS_MODELO!$B$47),"ORO",IF(U47&gt;=MAX(_xlfn.PERCENTILE.INC($U$2:$U$1194,PARAMS_MODELO!$B$53),PARAMS_MODELO!$B$48),"PLATA",IF(U47&gt;=1,"BRONCE","CERRADO")))))</f>
        <v>BRONCE</v>
      </c>
      <c r="W47" s="5" t="str" cm="1">
        <f t="array" ref="W47">_xlfn.XLOOKUP(1, (HIST_SCORE!$B:$B=PARAMS_MODELO!$B$4) * (HIST_SCORE!$C:$C=A47), HIST_SCORE!$E:$E, "No encontrado")</f>
        <v>PLATA</v>
      </c>
      <c r="X47" s="5" t="str">
        <f>_xlfn.LET(_xlpm.act,MATCH(V47,{"DIAMANTE";"PLATINO";"ORO";"PLATA";"BRONCE";"CERRADO"},0),_xlpm.ant,MATCH(W47,{"DIAMANTE";"PLATINO";"ORO";"PLATA";"BRONCE";"CERRADO"},0),IF(_xlpm.act&lt;_xlpm.ant,"Mejora ↑",IF(_xlpm.act&gt;_xlpm.ant,"Baja ↓","Estable →")))</f>
        <v>Baja ↓</v>
      </c>
      <c r="Y47" s="5">
        <f>IFERROR(U47-SUMIFS(HIST_SCORE!$D:$D,HIST_SCORE!$B:$B,PARAMS_MODELO!$B$4,HIST_SCORE!$C:$C,$A47),"")</f>
        <v>-26.019827202688912</v>
      </c>
      <c r="Z47" s="5" t="str">
        <f t="shared" si="5"/>
        <v>↓ Baja</v>
      </c>
      <c r="AA47" s="5">
        <f t="shared" si="6"/>
        <v>985</v>
      </c>
      <c r="AB47" s="5">
        <f>IFERROR(SUMIFS(HIST_SCORE!$F:$F,HIST_SCORE!$B:$B,PARAMS_MODELO!$B$4,HIST_SCORE!$C:$C,$A47),"")</f>
        <v>819</v>
      </c>
      <c r="AC47" s="5">
        <f t="shared" si="7"/>
        <v>-166</v>
      </c>
      <c r="AD47" t="str">
        <f t="shared" si="9"/>
        <v>Plan de recuperación: foco crecimiento + mix</v>
      </c>
      <c r="AE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CERRADO",1,IF(V47="BRONCE",_xlpm.cPl,IF(V47="PLATA",_xlpm.cO,IF(V47="ORO",_xlpm.cP,IF(V47="PLATINO",_xlpm.cD,999))))))</f>
        <v>24.506573482968111</v>
      </c>
      <c r="AF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CERRADO",0,IF(V47="BRONCE",1,IF(V47="PLATA",_xlpm.cPl,IF(V47="ORO",_xlpm.cO,IF(V47="PLATINO",_xlpm.cP,_xlpm.cD))))))</f>
        <v>1</v>
      </c>
      <c r="AG47">
        <f t="shared" si="10"/>
        <v>7.0093906899544436</v>
      </c>
      <c r="AH47" t="str">
        <f t="shared" si="11"/>
        <v>CLIENTE</v>
      </c>
      <c r="AI47" t="str">
        <f t="shared" si="8"/>
        <v>🎯 Para subir de categoría, la eje con mayor impacto probable es CLIENTE (coef T). Acción: reducir quejas, mejorar incógnito y empujar reseñas. ΔR aprox: 7,0</v>
      </c>
      <c r="AJ47" s="26">
        <f>_xlfn.LET(_xlpm.piso,AF47,_xlpm.corte,AE47,_xlpm.prog,IF(_xlpm.corte&lt;=_xlpm.piso,0,MAX(0,MIN(1,(U47-_xlpm.piso)/(_xlpm.corte-_xlpm.piso)))),_xlpm.orden,{"DIAMANTE";"PLATINO";"ORO";"PLATA";"BRONCE";"CERRADO"},_xlpm.act,IFERROR(MATCH(V47,_xlpm.orden,0),6),_xlpm.ant,IFERROR(MATCH(W47,_xlpm.orden,0),6),_xlpm.ajmov,IF(_xlpm.act&lt;_xlpm.ant,0.08,IF(_xlpm.act&gt;_xlpm.ant,-0.08,0)),_xlpm.ajcli,IF(T47&lt;0.95,-0.06,0),_xlpm.prob,MAX(0,MIN(1,_xlpm.prog+_xlpm.ajmov+_xlpm.ajcli)),IF(OR(V47="DIAMANTE",V47="CERRADO"),0,ROUND(_xlpm.prob,2)))</f>
        <v>0.65</v>
      </c>
      <c r="AK47" t="str">
        <f t="shared" si="12"/>
        <v>Faltan 7,0 puntos base para subir a la siguiente categoría</v>
      </c>
      <c r="AL47" t="str">
        <f t="shared" si="13"/>
        <v>No aplica</v>
      </c>
      <c r="AM47">
        <f t="shared" si="14"/>
        <v>0.62</v>
      </c>
      <c r="AN47" t="str">
        <f t="shared" si="15"/>
        <v>PRIORIDAD MEDIA – seguimiento del asesor</v>
      </c>
      <c r="AO47">
        <f t="shared" si="16"/>
        <v>45.403798492706905</v>
      </c>
      <c r="AP47">
        <f t="shared" si="17"/>
        <v>0</v>
      </c>
      <c r="AQ47">
        <f t="shared" si="18"/>
        <v>0</v>
      </c>
      <c r="AR47">
        <f t="shared" si="19"/>
        <v>4.8999999999999995</v>
      </c>
      <c r="AS47">
        <f t="shared" si="20"/>
        <v>8.4000000000000021</v>
      </c>
      <c r="AT47" t="str">
        <f t="shared" si="21"/>
        <v>VENTAS</v>
      </c>
      <c r="AU47">
        <f t="shared" si="22"/>
        <v>45.403798492706905</v>
      </c>
      <c r="AV47" t="str">
        <f t="shared" si="23"/>
        <v>Mayor retorno probable: VENTAS (+45,4 puntos finales potenciales).</v>
      </c>
    </row>
    <row r="48" spans="1:48" x14ac:dyDescent="0.3">
      <c r="A48" s="5">
        <v>51007051</v>
      </c>
      <c r="B48" s="5" t="str">
        <f>IFERROR(VLOOKUP(A48,VENTAS!$A$2:$B$1194,2,0),"")</f>
        <v>PUGH</v>
      </c>
      <c r="C48" s="5">
        <f>IFERROR(INDEX(VENTAS!$C$2:$E$1194,MATCH(A48,VENTAS!$A$2:$A$1194,0),MATCH(PARAMS_MODELO!$B$2,{"Q1","Q2","Q3"},0)),0)</f>
        <v>127406397.14</v>
      </c>
      <c r="D48" s="5">
        <f>IFERROR(INDEX(VENTAS!$F$2:$H$1194,MATCH(A48,VENTAS!$A$2:$A$1194,0),MATCH(PARAMS_MODELO!$B$2,{"Q1","Q2","Q3"},0)),0)</f>
        <v>194893190</v>
      </c>
      <c r="E48" s="8">
        <f t="shared" si="0"/>
        <v>0.52969705112877818</v>
      </c>
      <c r="F48" s="12">
        <f>IF(E48&lt;=PARAMS_MODELO!$B$15,0,IF(E48&gt;=PARAMS_MODELO!$B$17,100,100*MIN(1,(E48-PARAMS_MODELO!$B$15)/(PARAMS_MODELO!$B$16-PARAMS_MODELO!$B$15))))*PARAMS_MODELO!$B$7</f>
        <v>35</v>
      </c>
      <c r="G48" s="5">
        <f t="shared" si="1"/>
        <v>67486792.859999999</v>
      </c>
      <c r="H48" s="5">
        <f>(PARAMS_MODELO!$B$20*(MAX(0,MIN(3,E48))/3)+PARAMS_MODELO!$B$21*(IFERROR(LN(1+MAX(0,G48))/LN(1+MAX(0,MAX($G$2:$G$1194))),0)))*100*PARAMS_MODELO!$B$8</f>
        <v>6.0798238742524591</v>
      </c>
      <c r="I48" s="8">
        <f>E48-PARAMS_MODELO!$B$5</f>
        <v>0.35213421575325166</v>
      </c>
      <c r="J48" s="5">
        <f>IF(I48&lt;=PARAMS_MODELO!$B$18,0,IF(I48&gt;=PARAMS_MODELO!$B$19,100,100*(I48-PARAMS_MODELO!$B$18)/(PARAMS_MODELO!$B$19-PARAMS_MODELO!$B$18)))*PARAMS_MODELO!$B$9</f>
        <v>15</v>
      </c>
      <c r="K48" s="5">
        <f>IFERROR(CHOOSE(MATCH(PARAMS_MODELO!$B$2,{"Q1","Q2","Q3"},0),LOTO!$D48,LOTO!$F48,LOTO!$H48),0)</f>
        <v>10127500</v>
      </c>
      <c r="L48" s="8">
        <f t="shared" si="2"/>
        <v>5.1964360581300967E-2</v>
      </c>
      <c r="M48" s="5">
        <f>MIN(100,IF(PARAMS_MODELO!$B$23=0,0,100*L48/PARAMS_MODELO!$B$23))*PARAMS_MODELO!$B$10</f>
        <v>15</v>
      </c>
      <c r="N48" s="5">
        <f>IFERROR(VLOOKUP(A48,COMPLIANCE!$A$2:$F$1996,6,0),100)</f>
        <v>100</v>
      </c>
      <c r="O48" s="5">
        <f>N48*PARAMS_MODELO!$B$11</f>
        <v>10</v>
      </c>
      <c r="P48" s="5">
        <f>IFERROR(VLOOKUP(A48,DIGITAL!$A$2:$J$2000,7,0),100)</f>
        <v>13</v>
      </c>
      <c r="Q48" s="5">
        <f>IFERROR(P48,0)*PARAMS_MODELO!$B$12</f>
        <v>1.3</v>
      </c>
      <c r="R48">
        <f t="shared" si="3"/>
        <v>82.379823874252466</v>
      </c>
      <c r="S48" s="5" t="str">
        <f>IFERROR(VLOOKUP(A48,CLIENTE!$A$2:$N$2000,13,0),1)</f>
        <v>Regular</v>
      </c>
      <c r="T48" s="5">
        <f>IFERROR(VLOOKUP(A48,CLIENTE!$A$2:$N$2000,14,0),1)</f>
        <v>1</v>
      </c>
      <c r="U48" s="5">
        <f t="shared" si="4"/>
        <v>82.379823874252466</v>
      </c>
      <c r="V48" s="5" t="str">
        <f>IF(U48&gt;=MAX(_xlfn.PERCENTILE.INC($U$2:$U$1194,PARAMS_MODELO!$B$50),PARAMS_MODELO!$B$45),"DIAMANTE",IF(U48&gt;=MAX(_xlfn.PERCENTILE.INC($U$2:$U$1194,PARAMS_MODELO!$B$51),PARAMS_MODELO!$B$46),"PLATINO",IF(U48&gt;=MAX(_xlfn.PERCENTILE.INC($U$2:$U$1194,PARAMS_MODELO!$B$52),PARAMS_MODELO!$B$47),"ORO",IF(U48&gt;=MAX(_xlfn.PERCENTILE.INC($U$2:$U$1194,PARAMS_MODELO!$B$53),PARAMS_MODELO!$B$48),"PLATA",IF(U48&gt;=1,"BRONCE","CERRADO")))))</f>
        <v>ORO</v>
      </c>
      <c r="W48" s="5" t="str" cm="1">
        <f t="array" ref="W48">_xlfn.XLOOKUP(1, (HIST_SCORE!$B:$B=PARAMS_MODELO!$B$4) * (HIST_SCORE!$C:$C=A48), HIST_SCORE!$E:$E, "No encontrado")</f>
        <v>PLATA</v>
      </c>
      <c r="X48" s="5" t="str">
        <f>_xlfn.LET(_xlpm.act,MATCH(V48,{"DIAMANTE";"PLATINO";"ORO";"PLATA";"BRONCE";"CERRADO"},0),_xlpm.ant,MATCH(W48,{"DIAMANTE";"PLATINO";"ORO";"PLATA";"BRONCE";"CERRADO"},0),IF(_xlpm.act&lt;_xlpm.ant,"Mejora ↑",IF(_xlpm.act&gt;_xlpm.ant,"Baja ↓","Estable →")))</f>
        <v>Mejora ↑</v>
      </c>
      <c r="Y48" s="5">
        <f>IFERROR(U48-SUMIFS(HIST_SCORE!$D:$D,HIST_SCORE!$B:$B,PARAMS_MODELO!$B$4,HIST_SCORE!$C:$C,$A48),"")</f>
        <v>49.548102435358352</v>
      </c>
      <c r="Z48" s="5" t="str">
        <f t="shared" si="5"/>
        <v>↑ Mejora</v>
      </c>
      <c r="AA48" s="5">
        <f t="shared" si="6"/>
        <v>380</v>
      </c>
      <c r="AB48" s="5">
        <f>IFERROR(SUMIFS(HIST_SCORE!$F:$F,HIST_SCORE!$B:$B,PARAMS_MODELO!$B$4,HIST_SCORE!$C:$C,$A48),"")</f>
        <v>879</v>
      </c>
      <c r="AC48" s="5">
        <f t="shared" si="7"/>
        <v>499</v>
      </c>
      <c r="AD48" t="str">
        <f t="shared" si="9"/>
        <v/>
      </c>
      <c r="AE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CERRADO",1,IF(V48="BRONCE",_xlpm.cPl,IF(V48="PLATA",_xlpm.cO,IF(V48="ORO",_xlpm.cP,IF(V48="PLATINO",_xlpm.cD,999))))))</f>
        <v>86.439123873763251</v>
      </c>
      <c r="AF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CERRADO",0,IF(V48="BRONCE",1,IF(V48="PLATA",_xlpm.cPl,IF(V48="ORO",_xlpm.cO,IF(V48="PLATINO",_xlpm.cP,_xlpm.cD))))))</f>
        <v>63.199193273331495</v>
      </c>
      <c r="AG48">
        <f t="shared" si="10"/>
        <v>4.0592999995107846</v>
      </c>
      <c r="AH48" t="str">
        <f t="shared" si="11"/>
        <v>VENTAS</v>
      </c>
      <c r="AI48" t="str">
        <f t="shared" si="8"/>
        <v>🎯 Para subir de categoría, eje VENTAS / IMPACTO ABSOLUTO (H). Acción: metas semanales + activación comercial + seguimiento del asesor. ΔR aprox: 4,1</v>
      </c>
      <c r="AJ48" s="26">
        <f>_xlfn.LET(_xlpm.piso,AF48,_xlpm.corte,AE48,_xlpm.prog,IF(_xlpm.corte&lt;=_xlpm.piso,0,MAX(0,MIN(1,(U48-_xlpm.piso)/(_xlpm.corte-_xlpm.piso)))),_xlpm.orden,{"DIAMANTE";"PLATINO";"ORO";"PLATA";"BRONCE";"CERRADO"},_xlpm.act,IFERROR(MATCH(V48,_xlpm.orden,0),6),_xlpm.ant,IFERROR(MATCH(W48,_xlpm.orden,0),6),_xlpm.ajmov,IF(_xlpm.act&lt;_xlpm.ant,0.08,IF(_xlpm.act&gt;_xlpm.ant,-0.08,0)),_xlpm.ajcli,IF(T48&lt;0.95,-0.06,0),_xlpm.prob,MAX(0,MIN(1,_xlpm.prog+_xlpm.ajmov+_xlpm.ajcli)),IF(OR(V48="DIAMANTE",V48="CERRADO"),0,ROUND(_xlpm.prob,2)))</f>
        <v>0.91</v>
      </c>
      <c r="AK48" t="str">
        <f t="shared" si="12"/>
        <v>Faltan 4,1 puntos base para subir a la siguiente categoría</v>
      </c>
      <c r="AL48" t="str">
        <f t="shared" si="13"/>
        <v>Margen de seguridad: 19,2 puntos</v>
      </c>
      <c r="AM48">
        <f t="shared" si="14"/>
        <v>0.2</v>
      </c>
      <c r="AN48" t="str">
        <f t="shared" si="15"/>
        <v>PRIORIDAD BAJA – control normal</v>
      </c>
      <c r="AO48">
        <f t="shared" si="16"/>
        <v>8.7827454010431225</v>
      </c>
      <c r="AP48">
        <f t="shared" si="17"/>
        <v>0</v>
      </c>
      <c r="AQ48">
        <f t="shared" si="18"/>
        <v>0</v>
      </c>
      <c r="AR48">
        <f t="shared" si="19"/>
        <v>8.6999999999999993</v>
      </c>
      <c r="AS48">
        <f t="shared" si="20"/>
        <v>0</v>
      </c>
      <c r="AT48" t="str">
        <f t="shared" si="21"/>
        <v>VENTAS</v>
      </c>
      <c r="AU48">
        <f t="shared" si="22"/>
        <v>8.7827454010431225</v>
      </c>
      <c r="AV48" t="str">
        <f t="shared" si="23"/>
        <v>Mayor retorno probable: VENTAS (+8,8 puntos finales potenciales).</v>
      </c>
    </row>
    <row r="49" spans="1:48" x14ac:dyDescent="0.3">
      <c r="A49" s="5">
        <v>51013808</v>
      </c>
      <c r="B49" s="5" t="str">
        <f>IFERROR(VLOOKUP(A49,VENTAS!$A$2:$B$1194,2,0),"")</f>
        <v>PUGH</v>
      </c>
      <c r="C49" s="5">
        <f>IFERROR(INDEX(VENTAS!$C$2:$E$1194,MATCH(A49,VENTAS!$A$2:$A$1194,0),MATCH(PARAMS_MODELO!$B$2,{"Q1","Q2","Q3"},0)),0)</f>
        <v>111009078.14</v>
      </c>
      <c r="D49" s="5">
        <f>IFERROR(INDEX(VENTAS!$F$2:$H$1194,MATCH(A49,VENTAS!$A$2:$A$1194,0),MATCH(PARAMS_MODELO!$B$2,{"Q1","Q2","Q3"},0)),0)</f>
        <v>194526473</v>
      </c>
      <c r="E49" s="8">
        <f t="shared" si="0"/>
        <v>0.75234743193409237</v>
      </c>
      <c r="F49" s="12">
        <f>IF(E49&lt;=PARAMS_MODELO!$B$15,0,IF(E49&gt;=PARAMS_MODELO!$B$17,100,100*MIN(1,(E49-PARAMS_MODELO!$B$15)/(PARAMS_MODELO!$B$16-PARAMS_MODELO!$B$15))))*PARAMS_MODELO!$B$7</f>
        <v>35</v>
      </c>
      <c r="G49" s="5">
        <f t="shared" si="1"/>
        <v>83517394.859999999</v>
      </c>
      <c r="H49" s="5">
        <f>(PARAMS_MODELO!$B$20*(MAX(0,MIN(3,E49))/3)+PARAMS_MODELO!$B$21*(IFERROR(LN(1+MAX(0,G49))/LN(1+MAX(0,MAX($G$2:$G$1194))),0)))*100*PARAMS_MODELO!$B$8</f>
        <v>6.9090592163333966</v>
      </c>
      <c r="I49" s="8">
        <f>E49-PARAMS_MODELO!$B$5</f>
        <v>0.57478459655856584</v>
      </c>
      <c r="J49" s="5">
        <f>IF(I49&lt;=PARAMS_MODELO!$B$18,0,IF(I49&gt;=PARAMS_MODELO!$B$19,100,100*(I49-PARAMS_MODELO!$B$18)/(PARAMS_MODELO!$B$19-PARAMS_MODELO!$B$18)))*PARAMS_MODELO!$B$9</f>
        <v>15</v>
      </c>
      <c r="K49" s="5">
        <f>IFERROR(CHOOSE(MATCH(PARAMS_MODELO!$B$2,{"Q1","Q2","Q3"},0),LOTO!$D49,LOTO!$F49,LOTO!$H49),0)</f>
        <v>10000000</v>
      </c>
      <c r="L49" s="8">
        <f t="shared" si="2"/>
        <v>5.1406884861373084E-2</v>
      </c>
      <c r="M49" s="5">
        <f>MIN(100,IF(PARAMS_MODELO!$B$23=0,0,100*L49/PARAMS_MODELO!$B$23))*PARAMS_MODELO!$B$10</f>
        <v>15</v>
      </c>
      <c r="N49" s="5">
        <f>IFERROR(VLOOKUP(A49,COMPLIANCE!$A$2:$F$1996,6,0),100)</f>
        <v>100</v>
      </c>
      <c r="O49" s="5">
        <f>N49*PARAMS_MODELO!$B$11</f>
        <v>10</v>
      </c>
      <c r="P49" s="5">
        <f>IFERROR(VLOOKUP(A49,DIGITAL!$A$2:$J$2000,7,0),100)</f>
        <v>40</v>
      </c>
      <c r="Q49" s="5">
        <f>IFERROR(P49,0)*PARAMS_MODELO!$B$12</f>
        <v>4</v>
      </c>
      <c r="R49">
        <f t="shared" si="3"/>
        <v>85.909059216333389</v>
      </c>
      <c r="S49" s="5" t="str">
        <f>IFERROR(VLOOKUP(A49,CLIENTE!$A$2:$N$2000,13,0),1)</f>
        <v>Malo</v>
      </c>
      <c r="T49" s="5">
        <f>IFERROR(VLOOKUP(A49,CLIENTE!$A$2:$N$2000,14,0),1)</f>
        <v>0.7</v>
      </c>
      <c r="U49" s="5">
        <f t="shared" si="4"/>
        <v>60.136341451433367</v>
      </c>
      <c r="V49" s="5" t="str">
        <f>IF(U49&gt;=MAX(_xlfn.PERCENTILE.INC($U$2:$U$1194,PARAMS_MODELO!$B$50),PARAMS_MODELO!$B$45),"DIAMANTE",IF(U49&gt;=MAX(_xlfn.PERCENTILE.INC($U$2:$U$1194,PARAMS_MODELO!$B$51),PARAMS_MODELO!$B$46),"PLATINO",IF(U49&gt;=MAX(_xlfn.PERCENTILE.INC($U$2:$U$1194,PARAMS_MODELO!$B$52),PARAMS_MODELO!$B$47),"ORO",IF(U49&gt;=MAX(_xlfn.PERCENTILE.INC($U$2:$U$1194,PARAMS_MODELO!$B$53),PARAMS_MODELO!$B$48),"PLATA",IF(U49&gt;=1,"BRONCE","CERRADO")))))</f>
        <v>PLATA</v>
      </c>
      <c r="W49" s="5" t="str" cm="1">
        <f t="array" ref="W49">_xlfn.XLOOKUP(1, (HIST_SCORE!$B:$B=PARAMS_MODELO!$B$4) * (HIST_SCORE!$C:$C=A49), HIST_SCORE!$E:$E, "No encontrado")</f>
        <v>PLATA</v>
      </c>
      <c r="X49" s="5" t="str">
        <f>_xlfn.LET(_xlpm.act,MATCH(V49,{"DIAMANTE";"PLATINO";"ORO";"PLATA";"BRONCE";"CERRADO"},0),_xlpm.ant,MATCH(W49,{"DIAMANTE";"PLATINO";"ORO";"PLATA";"BRONCE";"CERRADO"},0),IF(_xlpm.act&lt;_xlpm.ant,"Mejora ↑",IF(_xlpm.act&gt;_xlpm.ant,"Baja ↓","Estable →")))</f>
        <v>Estable →</v>
      </c>
      <c r="Y49" s="5">
        <f>IFERROR(U49-SUMIFS(HIST_SCORE!$D:$D,HIST_SCORE!$B:$B,PARAMS_MODELO!$B$4,HIST_SCORE!$C:$C,$A49),"")</f>
        <v>0.62187002326434282</v>
      </c>
      <c r="Z49" s="5" t="str">
        <f t="shared" si="5"/>
        <v>→ Estable</v>
      </c>
      <c r="AA49" s="5">
        <f t="shared" si="6"/>
        <v>616</v>
      </c>
      <c r="AB49" s="5">
        <f>IFERROR(SUMIFS(HIST_SCORE!$F:$F,HIST_SCORE!$B:$B,PARAMS_MODELO!$B$4,HIST_SCORE!$C:$C,$A49),"")</f>
        <v>657</v>
      </c>
      <c r="AC49" s="5">
        <f t="shared" si="7"/>
        <v>41</v>
      </c>
      <c r="AD49" t="str">
        <f t="shared" si="9"/>
        <v/>
      </c>
      <c r="AE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CERRADO",1,IF(V49="BRONCE",_xlpm.cPl,IF(V49="PLATA",_xlpm.cO,IF(V49="ORO",_xlpm.cP,IF(V49="PLATINO",_xlpm.cD,999))))))</f>
        <v>63.199193273331495</v>
      </c>
      <c r="AF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CERRADO",0,IF(V49="BRONCE",1,IF(V49="PLATA",_xlpm.cPl,IF(V49="ORO",_xlpm.cO,IF(V49="PLATINO",_xlpm.cP,_xlpm.cD))))))</f>
        <v>24.506573482968111</v>
      </c>
      <c r="AG49">
        <f t="shared" si="10"/>
        <v>4.375502602711606</v>
      </c>
      <c r="AH49" t="str">
        <f t="shared" si="11"/>
        <v>CLIENTE</v>
      </c>
      <c r="AI49" t="str">
        <f t="shared" si="8"/>
        <v>🎯 Para subir de categoría, la eje con mayor impacto probable es CLIENTE (coef T). Acción: reducir quejas, mejorar incógnito y empujar reseñas. ΔR aprox: 4,4</v>
      </c>
      <c r="AJ49" s="26">
        <f>_xlfn.LET(_xlpm.piso,AF49,_xlpm.corte,AE49,_xlpm.prog,IF(_xlpm.corte&lt;=_xlpm.piso,0,MAX(0,MIN(1,(U49-_xlpm.piso)/(_xlpm.corte-_xlpm.piso)))),_xlpm.orden,{"DIAMANTE";"PLATINO";"ORO";"PLATA";"BRONCE";"CERRADO"},_xlpm.act,IFERROR(MATCH(V49,_xlpm.orden,0),6),_xlpm.ant,IFERROR(MATCH(W49,_xlpm.orden,0),6),_xlpm.ajmov,IF(_xlpm.act&lt;_xlpm.ant,0.08,IF(_xlpm.act&gt;_xlpm.ant,-0.08,0)),_xlpm.ajcli,IF(T49&lt;0.95,-0.06,0),_xlpm.prob,MAX(0,MIN(1,_xlpm.prog+_xlpm.ajmov+_xlpm.ajcli)),IF(OR(V49="DIAMANTE",V49="CERRADO"),0,ROUND(_xlpm.prob,2)))</f>
        <v>0.86</v>
      </c>
      <c r="AK49" t="str">
        <f t="shared" si="12"/>
        <v>Faltan 4,4 puntos base para subir a la siguiente categoría</v>
      </c>
      <c r="AL49" t="str">
        <f t="shared" si="13"/>
        <v>Margen de seguridad: 35,6 puntos</v>
      </c>
      <c r="AM49">
        <f t="shared" si="14"/>
        <v>0.43</v>
      </c>
      <c r="AN49" t="str">
        <f t="shared" si="15"/>
        <v>PRIORIDAD MEDIA – seguimiento del asesor</v>
      </c>
      <c r="AO49">
        <f t="shared" si="16"/>
        <v>5.5674570412735314</v>
      </c>
      <c r="AP49">
        <f t="shared" si="17"/>
        <v>0</v>
      </c>
      <c r="AQ49">
        <f t="shared" si="18"/>
        <v>0</v>
      </c>
      <c r="AR49">
        <f t="shared" si="19"/>
        <v>4.1999999999999993</v>
      </c>
      <c r="AS49">
        <f t="shared" si="20"/>
        <v>25.772717764900019</v>
      </c>
      <c r="AT49" t="str">
        <f t="shared" si="21"/>
        <v>CLIENTE</v>
      </c>
      <c r="AU49">
        <f t="shared" si="22"/>
        <v>25.772717764900019</v>
      </c>
      <c r="AV49" t="str">
        <f t="shared" si="23"/>
        <v>Mayor retorno probable: CLIENTE (+25,8 puntos finales potenciales).</v>
      </c>
    </row>
    <row r="50" spans="1:48" x14ac:dyDescent="0.3">
      <c r="A50" s="5">
        <v>51035828</v>
      </c>
      <c r="B50" s="5" t="str">
        <f>IFERROR(VLOOKUP(A50,VENTAS!$A$2:$B$1194,2,0),"")</f>
        <v>METTLER</v>
      </c>
      <c r="C50" s="5">
        <f>IFERROR(INDEX(VENTAS!$C$2:$E$1194,MATCH(A50,VENTAS!$A$2:$A$1194,0),MATCH(PARAMS_MODELO!$B$2,{"Q1","Q2","Q3"},0)),0)</f>
        <v>151202183.03999999</v>
      </c>
      <c r="D50" s="5">
        <f>IFERROR(INDEX(VENTAS!$F$2:$H$1194,MATCH(A50,VENTAS!$A$2:$A$1194,0),MATCH(PARAMS_MODELO!$B$2,{"Q1","Q2","Q3"},0)),0)</f>
        <v>193293709</v>
      </c>
      <c r="E50" s="8">
        <f t="shared" si="0"/>
        <v>0.27837908893725993</v>
      </c>
      <c r="F50" s="12">
        <f>IF(E50&lt;=PARAMS_MODELO!$B$15,0,IF(E50&gt;=PARAMS_MODELO!$B$17,100,100*MIN(1,(E50-PARAMS_MODELO!$B$15)/(PARAMS_MODELO!$B$16-PARAMS_MODELO!$B$15))))*PARAMS_MODELO!$B$7</f>
        <v>35</v>
      </c>
      <c r="G50" s="5">
        <f t="shared" si="1"/>
        <v>42091525.960000008</v>
      </c>
      <c r="H50" s="5">
        <f>(PARAMS_MODELO!$B$20*(MAX(0,MIN(3,E50))/3)+PARAMS_MODELO!$B$21*(IFERROR(LN(1+MAX(0,G50))/LN(1+MAX(0,MAX($G$2:$G$1194))),0)))*100*PARAMS_MODELO!$B$8</f>
        <v>5.0895475813882811</v>
      </c>
      <c r="I50" s="8">
        <f>E50-PARAMS_MODELO!$B$5</f>
        <v>0.1008162535617334</v>
      </c>
      <c r="J50" s="5">
        <f>IF(I50&lt;=PARAMS_MODELO!$B$18,0,IF(I50&gt;=PARAMS_MODELO!$B$19,100,100*(I50-PARAMS_MODELO!$B$18)/(PARAMS_MODELO!$B$19-PARAMS_MODELO!$B$18)))*PARAMS_MODELO!$B$9</f>
        <v>15</v>
      </c>
      <c r="K50" s="5">
        <f>IFERROR(CHOOSE(MATCH(PARAMS_MODELO!$B$2,{"Q1","Q2","Q3"},0),LOTO!$D50,LOTO!$F50,LOTO!$H50),0)</f>
        <v>9990000</v>
      </c>
      <c r="L50" s="8">
        <f t="shared" si="2"/>
        <v>5.1683006403483105E-2</v>
      </c>
      <c r="M50" s="5">
        <f>MIN(100,IF(PARAMS_MODELO!$B$23=0,0,100*L50/PARAMS_MODELO!$B$23))*PARAMS_MODELO!$B$10</f>
        <v>15</v>
      </c>
      <c r="N50" s="5">
        <f>IFERROR(VLOOKUP(A50,COMPLIANCE!$A$2:$F$1996,6,0),100)</f>
        <v>99.9</v>
      </c>
      <c r="O50" s="5">
        <f>N50*PARAMS_MODELO!$B$11</f>
        <v>9.990000000000002</v>
      </c>
      <c r="P50" s="5">
        <f>IFERROR(VLOOKUP(A50,DIGITAL!$A$2:$J$2000,7,0),100)</f>
        <v>80</v>
      </c>
      <c r="Q50" s="5">
        <f>IFERROR(P50,0)*PARAMS_MODELO!$B$12</f>
        <v>8</v>
      </c>
      <c r="R50">
        <f t="shared" si="3"/>
        <v>88.079547581388283</v>
      </c>
      <c r="S50" s="5" t="str">
        <f>IFERROR(VLOOKUP(A50,CLIENTE!$A$2:$N$2000,13,0),1)</f>
        <v>Malo</v>
      </c>
      <c r="T50" s="5">
        <f>IFERROR(VLOOKUP(A50,CLIENTE!$A$2:$N$2000,14,0),1)</f>
        <v>0.7</v>
      </c>
      <c r="U50" s="5">
        <f t="shared" si="4"/>
        <v>61.655683306971795</v>
      </c>
      <c r="V50" s="5" t="str">
        <f>IF(U50&gt;=MAX(_xlfn.PERCENTILE.INC($U$2:$U$1194,PARAMS_MODELO!$B$50),PARAMS_MODELO!$B$45),"DIAMANTE",IF(U50&gt;=MAX(_xlfn.PERCENTILE.INC($U$2:$U$1194,PARAMS_MODELO!$B$51),PARAMS_MODELO!$B$46),"PLATINO",IF(U50&gt;=MAX(_xlfn.PERCENTILE.INC($U$2:$U$1194,PARAMS_MODELO!$B$52),PARAMS_MODELO!$B$47),"ORO",IF(U50&gt;=MAX(_xlfn.PERCENTILE.INC($U$2:$U$1194,PARAMS_MODELO!$B$53),PARAMS_MODELO!$B$48),"PLATA",IF(U50&gt;=1,"BRONCE","CERRADO")))))</f>
        <v>PLATA</v>
      </c>
      <c r="W50" s="5" t="str" cm="1">
        <f t="array" ref="W50">_xlfn.XLOOKUP(1, (HIST_SCORE!$B:$B=PARAMS_MODELO!$B$4) * (HIST_SCORE!$C:$C=A50), HIST_SCORE!$E:$E, "No encontrado")</f>
        <v>PLATA</v>
      </c>
      <c r="X50" s="5" t="str">
        <f>_xlfn.LET(_xlpm.act,MATCH(V50,{"DIAMANTE";"PLATINO";"ORO";"PLATA";"BRONCE";"CERRADO"},0),_xlpm.ant,MATCH(W50,{"DIAMANTE";"PLATINO";"ORO";"PLATA";"BRONCE";"CERRADO"},0),IF(_xlpm.act&lt;_xlpm.ant,"Mejora ↑",IF(_xlpm.act&gt;_xlpm.ant,"Baja ↓","Estable →")))</f>
        <v>Estable →</v>
      </c>
      <c r="Y50" s="5">
        <f>IFERROR(U50-SUMIFS(HIST_SCORE!$D:$D,HIST_SCORE!$B:$B,PARAMS_MODELO!$B$4,HIST_SCORE!$C:$C,$A50),"")</f>
        <v>1.9455579661924887</v>
      </c>
      <c r="Z50" s="5" t="str">
        <f t="shared" si="5"/>
        <v>→ Estable</v>
      </c>
      <c r="AA50" s="5">
        <f t="shared" si="6"/>
        <v>588</v>
      </c>
      <c r="AB50" s="5">
        <f>IFERROR(SUMIFS(HIST_SCORE!$F:$F,HIST_SCORE!$B:$B,PARAMS_MODELO!$B$4,HIST_SCORE!$C:$C,$A50),"")</f>
        <v>655</v>
      </c>
      <c r="AC50" s="5">
        <f t="shared" si="7"/>
        <v>67</v>
      </c>
      <c r="AD50" t="str">
        <f t="shared" si="9"/>
        <v/>
      </c>
      <c r="AE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CERRADO",1,IF(V50="BRONCE",_xlpm.cPl,IF(V50="PLATA",_xlpm.cO,IF(V50="ORO",_xlpm.cP,IF(V50="PLATINO",_xlpm.cD,999))))))</f>
        <v>63.199193273331495</v>
      </c>
      <c r="AF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CERRADO",0,IF(V50="BRONCE",1,IF(V50="PLATA",_xlpm.cPl,IF(V50="ORO",_xlpm.cO,IF(V50="PLATINO",_xlpm.cP,_xlpm.cD))))))</f>
        <v>24.506573482968111</v>
      </c>
      <c r="AG50">
        <f t="shared" si="10"/>
        <v>2.2050142376567123</v>
      </c>
      <c r="AH50" t="str">
        <f t="shared" si="11"/>
        <v>CLIENTE</v>
      </c>
      <c r="AI50" t="str">
        <f t="shared" si="8"/>
        <v>🎯 Para subir de categoría, la eje con mayor impacto probable es CLIENTE (coef T). Acción: reducir quejas, mejorar incógnito y empujar reseñas. ΔR aprox: 2,2</v>
      </c>
      <c r="AJ50" s="26">
        <f>_xlfn.LET(_xlpm.piso,AF50,_xlpm.corte,AE50,_xlpm.prog,IF(_xlpm.corte&lt;=_xlpm.piso,0,MAX(0,MIN(1,(U50-_xlpm.piso)/(_xlpm.corte-_xlpm.piso)))),_xlpm.orden,{"DIAMANTE";"PLATINO";"ORO";"PLATA";"BRONCE";"CERRADO"},_xlpm.act,IFERROR(MATCH(V50,_xlpm.orden,0),6),_xlpm.ant,IFERROR(MATCH(W50,_xlpm.orden,0),6),_xlpm.ajmov,IF(_xlpm.act&lt;_xlpm.ant,0.08,IF(_xlpm.act&gt;_xlpm.ant,-0.08,0)),_xlpm.ajcli,IF(T50&lt;0.95,-0.06,0),_xlpm.prob,MAX(0,MIN(1,_xlpm.prog+_xlpm.ajmov+_xlpm.ajcli)),IF(OR(V50="DIAMANTE",V50="CERRADO"),0,ROUND(_xlpm.prob,2)))</f>
        <v>0.9</v>
      </c>
      <c r="AK50" t="str">
        <f t="shared" si="12"/>
        <v>Faltan 2,2 puntos base para subir a la siguiente categoría</v>
      </c>
      <c r="AL50" t="str">
        <f t="shared" si="13"/>
        <v>Margen de seguridad: 37,1 puntos</v>
      </c>
      <c r="AM50">
        <f t="shared" si="14"/>
        <v>0.33</v>
      </c>
      <c r="AN50" t="str">
        <f t="shared" si="15"/>
        <v>PRIORIDAD BAJA – control normal</v>
      </c>
      <c r="AO50">
        <f t="shared" si="16"/>
        <v>6.841115185735112</v>
      </c>
      <c r="AP50">
        <f t="shared" si="17"/>
        <v>0</v>
      </c>
      <c r="AQ50">
        <f t="shared" si="18"/>
        <v>6.9999999999986072E-3</v>
      </c>
      <c r="AR50">
        <f t="shared" si="19"/>
        <v>1.4</v>
      </c>
      <c r="AS50">
        <f t="shared" si="20"/>
        <v>26.423864274416488</v>
      </c>
      <c r="AT50" t="str">
        <f t="shared" si="21"/>
        <v>CLIENTE</v>
      </c>
      <c r="AU50">
        <f t="shared" si="22"/>
        <v>26.423864274416488</v>
      </c>
      <c r="AV50" t="str">
        <f t="shared" si="23"/>
        <v>Mayor retorno probable: CLIENTE (+26,4 puntos finales potenciales).</v>
      </c>
    </row>
    <row r="51" spans="1:48" x14ac:dyDescent="0.3">
      <c r="A51" s="5">
        <v>51056051</v>
      </c>
      <c r="B51" s="5" t="str">
        <f>IFERROR(VLOOKUP(A51,VENTAS!$A$2:$B$1194,2,0),"")</f>
        <v>METTLER</v>
      </c>
      <c r="C51" s="5">
        <f>IFERROR(INDEX(VENTAS!$C$2:$E$1194,MATCH(A51,VENTAS!$A$2:$A$1194,0),MATCH(PARAMS_MODELO!$B$2,{"Q1","Q2","Q3"},0)),0)</f>
        <v>143600940.63999999</v>
      </c>
      <c r="D51" s="5">
        <f>IFERROR(INDEX(VENTAS!$F$2:$H$1194,MATCH(A51,VENTAS!$A$2:$A$1194,0),MATCH(PARAMS_MODELO!$B$2,{"Q1","Q2","Q3"},0)),0)</f>
        <v>192278885</v>
      </c>
      <c r="E51" s="8">
        <f t="shared" si="0"/>
        <v>0.33898067897781448</v>
      </c>
      <c r="F51" s="12">
        <f>IF(E51&lt;=PARAMS_MODELO!$B$15,0,IF(E51&gt;=PARAMS_MODELO!$B$17,100,100*MIN(1,(E51-PARAMS_MODELO!$B$15)/(PARAMS_MODELO!$B$16-PARAMS_MODELO!$B$15))))*PARAMS_MODELO!$B$7</f>
        <v>35</v>
      </c>
      <c r="G51" s="5">
        <f t="shared" si="1"/>
        <v>48677944.360000014</v>
      </c>
      <c r="H51" s="5">
        <f>(PARAMS_MODELO!$B$20*(MAX(0,MIN(3,E51))/3)+PARAMS_MODELO!$B$21*(IFERROR(LN(1+MAX(0,G51))/LN(1+MAX(0,MAX($G$2:$G$1194))),0)))*100*PARAMS_MODELO!$B$8</f>
        <v>5.3357321542733933</v>
      </c>
      <c r="I51" s="8">
        <f>E51-PARAMS_MODELO!$B$5</f>
        <v>0.16141784360228795</v>
      </c>
      <c r="J51" s="5">
        <f>IF(I51&lt;=PARAMS_MODELO!$B$18,0,IF(I51&gt;=PARAMS_MODELO!$B$19,100,100*(I51-PARAMS_MODELO!$B$18)/(PARAMS_MODELO!$B$19-PARAMS_MODELO!$B$18)))*PARAMS_MODELO!$B$9</f>
        <v>15</v>
      </c>
      <c r="K51" s="5">
        <f>IFERROR(CHOOSE(MATCH(PARAMS_MODELO!$B$2,{"Q1","Q2","Q3"},0),LOTO!$D51,LOTO!$F51,LOTO!$H51),0)</f>
        <v>9950000</v>
      </c>
      <c r="L51" s="8">
        <f t="shared" si="2"/>
        <v>5.1747751709710611E-2</v>
      </c>
      <c r="M51" s="5">
        <f>MIN(100,IF(PARAMS_MODELO!$B$23=0,0,100*L51/PARAMS_MODELO!$B$23))*PARAMS_MODELO!$B$10</f>
        <v>15</v>
      </c>
      <c r="N51" s="5">
        <f>IFERROR(VLOOKUP(A51,COMPLIANCE!$A$2:$F$1996,6,0),100)</f>
        <v>100</v>
      </c>
      <c r="O51" s="5">
        <f>N51*PARAMS_MODELO!$B$11</f>
        <v>10</v>
      </c>
      <c r="P51" s="5">
        <f>IFERROR(VLOOKUP(A51,DIGITAL!$A$2:$J$2000,7,0),100)</f>
        <v>41</v>
      </c>
      <c r="Q51" s="5">
        <f>IFERROR(P51,0)*PARAMS_MODELO!$B$12</f>
        <v>4.1000000000000005</v>
      </c>
      <c r="R51">
        <f t="shared" si="3"/>
        <v>84.435732154273381</v>
      </c>
      <c r="S51" s="5" t="str">
        <f>IFERROR(VLOOKUP(A51,CLIENTE!$A$2:$N$2000,13,0),1)</f>
        <v>Regular</v>
      </c>
      <c r="T51" s="5">
        <f>IFERROR(VLOOKUP(A51,CLIENTE!$A$2:$N$2000,14,0),1)</f>
        <v>1</v>
      </c>
      <c r="U51" s="5">
        <f t="shared" si="4"/>
        <v>84.435732154273381</v>
      </c>
      <c r="V51" s="5" t="str">
        <f>IF(U51&gt;=MAX(_xlfn.PERCENTILE.INC($U$2:$U$1194,PARAMS_MODELO!$B$50),PARAMS_MODELO!$B$45),"DIAMANTE",IF(U51&gt;=MAX(_xlfn.PERCENTILE.INC($U$2:$U$1194,PARAMS_MODELO!$B$51),PARAMS_MODELO!$B$46),"PLATINO",IF(U51&gt;=MAX(_xlfn.PERCENTILE.INC($U$2:$U$1194,PARAMS_MODELO!$B$52),PARAMS_MODELO!$B$47),"ORO",IF(U51&gt;=MAX(_xlfn.PERCENTILE.INC($U$2:$U$1194,PARAMS_MODELO!$B$53),PARAMS_MODELO!$B$48),"PLATA",IF(U51&gt;=1,"BRONCE","CERRADO")))))</f>
        <v>ORO</v>
      </c>
      <c r="W51" s="5" t="str" cm="1">
        <f t="array" ref="W51">_xlfn.XLOOKUP(1, (HIST_SCORE!$B:$B=PARAMS_MODELO!$B$4) * (HIST_SCORE!$C:$C=A51), HIST_SCORE!$E:$E, "No encontrado")</f>
        <v>ORO</v>
      </c>
      <c r="X51" s="5" t="str">
        <f>_xlfn.LET(_xlpm.act,MATCH(V51,{"DIAMANTE";"PLATINO";"ORO";"PLATA";"BRONCE";"CERRADO"},0),_xlpm.ant,MATCH(W51,{"DIAMANTE";"PLATINO";"ORO";"PLATA";"BRONCE";"CERRADO"},0),IF(_xlpm.act&lt;_xlpm.ant,"Mejora ↑",IF(_xlpm.act&gt;_xlpm.ant,"Baja ↓","Estable →")))</f>
        <v>Estable →</v>
      </c>
      <c r="Y51" s="5">
        <f>IFERROR(U51-SUMIFS(HIST_SCORE!$D:$D,HIST_SCORE!$B:$B,PARAMS_MODELO!$B$4,HIST_SCORE!$C:$C,$A51),"")</f>
        <v>0.70601251118684161</v>
      </c>
      <c r="Z51" s="5" t="str">
        <f t="shared" si="5"/>
        <v>→ Estable</v>
      </c>
      <c r="AA51" s="5">
        <f t="shared" si="6"/>
        <v>301</v>
      </c>
      <c r="AB51" s="5">
        <f>IFERROR(SUMIFS(HIST_SCORE!$F:$F,HIST_SCORE!$B:$B,PARAMS_MODELO!$B$4,HIST_SCORE!$C:$C,$A51),"")</f>
        <v>298</v>
      </c>
      <c r="AC51" s="5">
        <f t="shared" si="7"/>
        <v>-3</v>
      </c>
      <c r="AD51" t="str">
        <f t="shared" si="9"/>
        <v/>
      </c>
      <c r="AE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CERRADO",1,IF(V51="BRONCE",_xlpm.cPl,IF(V51="PLATA",_xlpm.cO,IF(V51="ORO",_xlpm.cP,IF(V51="PLATINO",_xlpm.cD,999))))))</f>
        <v>86.439123873763251</v>
      </c>
      <c r="AF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CERRADO",0,IF(V51="BRONCE",1,IF(V51="PLATA",_xlpm.cPl,IF(V51="ORO",_xlpm.cO,IF(V51="PLATINO",_xlpm.cP,_xlpm.cD))))))</f>
        <v>63.199193273331495</v>
      </c>
      <c r="AG51">
        <f t="shared" si="10"/>
        <v>2.0033917194898692</v>
      </c>
      <c r="AH51" t="str">
        <f t="shared" si="11"/>
        <v>VENTAS</v>
      </c>
      <c r="AI51" t="str">
        <f t="shared" si="8"/>
        <v>🎯 Para subir de categoría, eje VENTAS / IMPACTO ABSOLUTO (H). Acción: metas semanales + activación comercial + seguimiento del asesor. ΔR aprox: 2,0</v>
      </c>
      <c r="AJ51" s="26">
        <f>_xlfn.LET(_xlpm.piso,AF51,_xlpm.corte,AE51,_xlpm.prog,IF(_xlpm.corte&lt;=_xlpm.piso,0,MAX(0,MIN(1,(U51-_xlpm.piso)/(_xlpm.corte-_xlpm.piso)))),_xlpm.orden,{"DIAMANTE";"PLATINO";"ORO";"PLATA";"BRONCE";"CERRADO"},_xlpm.act,IFERROR(MATCH(V51,_xlpm.orden,0),6),_xlpm.ant,IFERROR(MATCH(W51,_xlpm.orden,0),6),_xlpm.ajmov,IF(_xlpm.act&lt;_xlpm.ant,0.08,IF(_xlpm.act&gt;_xlpm.ant,-0.08,0)),_xlpm.ajcli,IF(T51&lt;0.95,-0.06,0),_xlpm.prob,MAX(0,MIN(1,_xlpm.prog+_xlpm.ajmov+_xlpm.ajcli)),IF(OR(V51="DIAMANTE",V51="CERRADO"),0,ROUND(_xlpm.prob,2)))</f>
        <v>0.91</v>
      </c>
      <c r="AK51" t="str">
        <f t="shared" si="12"/>
        <v>Faltan 2,0 puntos base para subir a la siguiente categoría</v>
      </c>
      <c r="AL51" t="str">
        <f t="shared" si="13"/>
        <v>Margen de seguridad: 21,2 puntos</v>
      </c>
      <c r="AM51">
        <f t="shared" si="14"/>
        <v>0.12</v>
      </c>
      <c r="AN51" t="str">
        <f t="shared" si="15"/>
        <v>PRIORIDAD BAJA – control normal</v>
      </c>
      <c r="AO51">
        <f t="shared" si="16"/>
        <v>9.52683712102219</v>
      </c>
      <c r="AP51">
        <f t="shared" si="17"/>
        <v>0</v>
      </c>
      <c r="AQ51">
        <f t="shared" si="18"/>
        <v>0</v>
      </c>
      <c r="AR51">
        <f t="shared" si="19"/>
        <v>5.8999999999999995</v>
      </c>
      <c r="AS51">
        <f t="shared" si="20"/>
        <v>0</v>
      </c>
      <c r="AT51" t="str">
        <f t="shared" si="21"/>
        <v>VENTAS</v>
      </c>
      <c r="AU51">
        <f t="shared" si="22"/>
        <v>9.52683712102219</v>
      </c>
      <c r="AV51" t="str">
        <f t="shared" si="23"/>
        <v>Mayor retorno probable: VENTAS (+9,5 puntos finales potenciales).</v>
      </c>
    </row>
    <row r="52" spans="1:48" x14ac:dyDescent="0.3">
      <c r="A52" s="5">
        <v>51024265</v>
      </c>
      <c r="B52" s="5" t="str">
        <f>IFERROR(VLOOKUP(A52,VENTAS!$A$2:$B$1194,2,0),"")</f>
        <v>ARGUELLO</v>
      </c>
      <c r="C52" s="5">
        <f>IFERROR(INDEX(VENTAS!$C$2:$E$1194,MATCH(A52,VENTAS!$A$2:$A$1194,0),MATCH(PARAMS_MODELO!$B$2,{"Q1","Q2","Q3"},0)),0)</f>
        <v>119451574.12</v>
      </c>
      <c r="D52" s="5">
        <f>IFERROR(INDEX(VENTAS!$F$2:$H$1194,MATCH(A52,VENTAS!$A$2:$A$1194,0),MATCH(PARAMS_MODELO!$B$2,{"Q1","Q2","Q3"},0)),0)</f>
        <v>192044769</v>
      </c>
      <c r="E52" s="8">
        <f t="shared" si="0"/>
        <v>0.60772070535523892</v>
      </c>
      <c r="F52" s="12">
        <f>IF(E52&lt;=PARAMS_MODELO!$B$15,0,IF(E52&gt;=PARAMS_MODELO!$B$17,100,100*MIN(1,(E52-PARAMS_MODELO!$B$15)/(PARAMS_MODELO!$B$16-PARAMS_MODELO!$B$15))))*PARAMS_MODELO!$B$7</f>
        <v>35</v>
      </c>
      <c r="G52" s="5">
        <f t="shared" si="1"/>
        <v>72593194.879999995</v>
      </c>
      <c r="H52" s="5">
        <f>(PARAMS_MODELO!$B$20*(MAX(0,MIN(3,E52))/3)+PARAMS_MODELO!$B$21*(IFERROR(LN(1+MAX(0,G52))/LN(1+MAX(0,MAX($G$2:$G$1194))),0)))*100*PARAMS_MODELO!$B$8</f>
        <v>6.3700046459403961</v>
      </c>
      <c r="I52" s="8">
        <f>E52-PARAMS_MODELO!$B$5</f>
        <v>0.43015786997971239</v>
      </c>
      <c r="J52" s="5">
        <f>IF(I52&lt;=PARAMS_MODELO!$B$18,0,IF(I52&gt;=PARAMS_MODELO!$B$19,100,100*(I52-PARAMS_MODELO!$B$18)/(PARAMS_MODELO!$B$19-PARAMS_MODELO!$B$18)))*PARAMS_MODELO!$B$9</f>
        <v>15</v>
      </c>
      <c r="K52" s="5">
        <f>IFERROR(CHOOSE(MATCH(PARAMS_MODELO!$B$2,{"Q1","Q2","Q3"},0),LOTO!$D52,LOTO!$F52,LOTO!$H52),0)</f>
        <v>9947500</v>
      </c>
      <c r="L52" s="8">
        <f t="shared" si="2"/>
        <v>5.1797818038980273E-2</v>
      </c>
      <c r="M52" s="5">
        <f>MIN(100,IF(PARAMS_MODELO!$B$23=0,0,100*L52/PARAMS_MODELO!$B$23))*PARAMS_MODELO!$B$10</f>
        <v>15</v>
      </c>
      <c r="N52" s="5">
        <f>IFERROR(VLOOKUP(A52,COMPLIANCE!$A$2:$F$1996,6,0),100)</f>
        <v>100</v>
      </c>
      <c r="O52" s="5">
        <f>N52*PARAMS_MODELO!$B$11</f>
        <v>10</v>
      </c>
      <c r="P52" s="5">
        <f>IFERROR(VLOOKUP(A52,DIGITAL!$A$2:$J$2000,7,0),100)</f>
        <v>35</v>
      </c>
      <c r="Q52" s="5">
        <f>IFERROR(P52,0)*PARAMS_MODELO!$B$12</f>
        <v>3.5</v>
      </c>
      <c r="R52">
        <f t="shared" si="3"/>
        <v>84.870004645940398</v>
      </c>
      <c r="S52" s="5" t="str">
        <f>IFERROR(VLOOKUP(A52,CLIENTE!$A$2:$N$2000,13,0),1)</f>
        <v>Regular</v>
      </c>
      <c r="T52" s="5">
        <f>IFERROR(VLOOKUP(A52,CLIENTE!$A$2:$N$2000,14,0),1)</f>
        <v>1</v>
      </c>
      <c r="U52" s="5">
        <f t="shared" si="4"/>
        <v>84.870004645940398</v>
      </c>
      <c r="V52" s="5" t="str">
        <f>IF(U52&gt;=MAX(_xlfn.PERCENTILE.INC($U$2:$U$1194,PARAMS_MODELO!$B$50),PARAMS_MODELO!$B$45),"DIAMANTE",IF(U52&gt;=MAX(_xlfn.PERCENTILE.INC($U$2:$U$1194,PARAMS_MODELO!$B$51),PARAMS_MODELO!$B$46),"PLATINO",IF(U52&gt;=MAX(_xlfn.PERCENTILE.INC($U$2:$U$1194,PARAMS_MODELO!$B$52),PARAMS_MODELO!$B$47),"ORO",IF(U52&gt;=MAX(_xlfn.PERCENTILE.INC($U$2:$U$1194,PARAMS_MODELO!$B$53),PARAMS_MODELO!$B$48),"PLATA",IF(U52&gt;=1,"BRONCE","CERRADO")))))</f>
        <v>ORO</v>
      </c>
      <c r="W52" s="5" t="str" cm="1">
        <f t="array" ref="W52">_xlfn.XLOOKUP(1, (HIST_SCORE!$B:$B=PARAMS_MODELO!$B$4) * (HIST_SCORE!$C:$C=A52), HIST_SCORE!$E:$E, "No encontrado")</f>
        <v>ORO</v>
      </c>
      <c r="X52" s="5" t="str">
        <f>_xlfn.LET(_xlpm.act,MATCH(V52,{"DIAMANTE";"PLATINO";"ORO";"PLATA";"BRONCE";"CERRADO"},0),_xlpm.ant,MATCH(W52,{"DIAMANTE";"PLATINO";"ORO";"PLATA";"BRONCE";"CERRADO"},0),IF(_xlpm.act&lt;_xlpm.ant,"Mejora ↑",IF(_xlpm.act&gt;_xlpm.ant,"Baja ↓","Estable →")))</f>
        <v>Estable →</v>
      </c>
      <c r="Y52" s="5">
        <f>IFERROR(U52-SUMIFS(HIST_SCORE!$D:$D,HIST_SCORE!$B:$B,PARAMS_MODELO!$B$4,HIST_SCORE!$C:$C,$A52),"")</f>
        <v>5.6866958865737445</v>
      </c>
      <c r="Z52" s="5" t="str">
        <f t="shared" si="5"/>
        <v>↑ Mejora</v>
      </c>
      <c r="AA52" s="5">
        <f t="shared" si="6"/>
        <v>288</v>
      </c>
      <c r="AB52" s="5">
        <f>IFERROR(SUMIFS(HIST_SCORE!$F:$F,HIST_SCORE!$B:$B,PARAMS_MODELO!$B$4,HIST_SCORE!$C:$C,$A52),"")</f>
        <v>435</v>
      </c>
      <c r="AC52" s="5">
        <f t="shared" si="7"/>
        <v>147</v>
      </c>
      <c r="AD52" t="str">
        <f t="shared" si="9"/>
        <v/>
      </c>
      <c r="AE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CERRADO",1,IF(V52="BRONCE",_xlpm.cPl,IF(V52="PLATA",_xlpm.cO,IF(V52="ORO",_xlpm.cP,IF(V52="PLATINO",_xlpm.cD,999))))))</f>
        <v>86.439123873763251</v>
      </c>
      <c r="AF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CERRADO",0,IF(V52="BRONCE",1,IF(V52="PLATA",_xlpm.cPl,IF(V52="ORO",_xlpm.cO,IF(V52="PLATINO",_xlpm.cP,_xlpm.cD))))))</f>
        <v>63.199193273331495</v>
      </c>
      <c r="AG52">
        <f t="shared" si="10"/>
        <v>1.5691192278228527</v>
      </c>
      <c r="AH52" t="str">
        <f t="shared" si="11"/>
        <v>VENTAS</v>
      </c>
      <c r="AI52" t="str">
        <f t="shared" si="8"/>
        <v>🎯 Para subir de categoría, eje VENTAS / IMPACTO ABSOLUTO (H). Acción: metas semanales + activación comercial + seguimiento del asesor. ΔR aprox: 1,6</v>
      </c>
      <c r="AJ52" s="26">
        <f>_xlfn.LET(_xlpm.piso,AF52,_xlpm.corte,AE52,_xlpm.prog,IF(_xlpm.corte&lt;=_xlpm.piso,0,MAX(0,MIN(1,(U52-_xlpm.piso)/(_xlpm.corte-_xlpm.piso)))),_xlpm.orden,{"DIAMANTE";"PLATINO";"ORO";"PLATA";"BRONCE";"CERRADO"},_xlpm.act,IFERROR(MATCH(V52,_xlpm.orden,0),6),_xlpm.ant,IFERROR(MATCH(W52,_xlpm.orden,0),6),_xlpm.ajmov,IF(_xlpm.act&lt;_xlpm.ant,0.08,IF(_xlpm.act&gt;_xlpm.ant,-0.08,0)),_xlpm.ajcli,IF(T52&lt;0.95,-0.06,0),_xlpm.prob,MAX(0,MIN(1,_xlpm.prog+_xlpm.ajmov+_xlpm.ajcli)),IF(OR(V52="DIAMANTE",V52="CERRADO"),0,ROUND(_xlpm.prob,2)))</f>
        <v>0.93</v>
      </c>
      <c r="AK52" t="str">
        <f t="shared" si="12"/>
        <v>Faltan 1,6 puntos base para subir a la siguiente categoría</v>
      </c>
      <c r="AL52" t="str">
        <f t="shared" si="13"/>
        <v>Margen de seguridad: 21,7 puntos</v>
      </c>
      <c r="AM52">
        <f t="shared" si="14"/>
        <v>0.09</v>
      </c>
      <c r="AN52" t="str">
        <f t="shared" si="15"/>
        <v>PRIORIDAD BAJA – control normal</v>
      </c>
      <c r="AO52">
        <f t="shared" si="16"/>
        <v>8.4925646293551864</v>
      </c>
      <c r="AP52">
        <f t="shared" si="17"/>
        <v>0</v>
      </c>
      <c r="AQ52">
        <f t="shared" si="18"/>
        <v>0</v>
      </c>
      <c r="AR52">
        <f t="shared" si="19"/>
        <v>6.5</v>
      </c>
      <c r="AS52">
        <f t="shared" si="20"/>
        <v>0</v>
      </c>
      <c r="AT52" t="str">
        <f t="shared" si="21"/>
        <v>VENTAS</v>
      </c>
      <c r="AU52">
        <f t="shared" si="22"/>
        <v>8.4925646293551864</v>
      </c>
      <c r="AV52" t="str">
        <f t="shared" si="23"/>
        <v>Mayor retorno probable: VENTAS (+8,5 puntos finales potenciales).</v>
      </c>
    </row>
    <row r="53" spans="1:48" x14ac:dyDescent="0.3">
      <c r="A53" s="5">
        <v>51018494</v>
      </c>
      <c r="B53" s="5" t="str">
        <f>IFERROR(VLOOKUP(A53,VENTAS!$A$2:$B$1194,2,0),"")</f>
        <v>ARGUELLO</v>
      </c>
      <c r="C53" s="5">
        <f>IFERROR(INDEX(VENTAS!$C$2:$E$1194,MATCH(A53,VENTAS!$A$2:$A$1194,0),MATCH(PARAMS_MODELO!$B$2,{"Q1","Q2","Q3"},0)),0)</f>
        <v>125410435.44</v>
      </c>
      <c r="D53" s="5">
        <f>IFERROR(INDEX(VENTAS!$F$2:$H$1194,MATCH(A53,VENTAS!$A$2:$A$1194,0),MATCH(PARAMS_MODELO!$B$2,{"Q1","Q2","Q3"},0)),0)</f>
        <v>191078043</v>
      </c>
      <c r="E53" s="8">
        <f t="shared" si="0"/>
        <v>0.52362155772449492</v>
      </c>
      <c r="F53" s="12">
        <f>IF(E53&lt;=PARAMS_MODELO!$B$15,0,IF(E53&gt;=PARAMS_MODELO!$B$17,100,100*MIN(1,(E53-PARAMS_MODELO!$B$15)/(PARAMS_MODELO!$B$16-PARAMS_MODELO!$B$15))))*PARAMS_MODELO!$B$7</f>
        <v>35</v>
      </c>
      <c r="G53" s="5">
        <f t="shared" si="1"/>
        <v>65667607.560000002</v>
      </c>
      <c r="H53" s="5">
        <f>(PARAMS_MODELO!$B$20*(MAX(0,MIN(3,E53))/3)+PARAMS_MODELO!$B$21*(IFERROR(LN(1+MAX(0,G53))/LN(1+MAX(0,MAX($G$2:$G$1194))),0)))*100*PARAMS_MODELO!$B$8</f>
        <v>6.0521540165905758</v>
      </c>
      <c r="I53" s="8">
        <f>E53-PARAMS_MODELO!$B$5</f>
        <v>0.3460587223489684</v>
      </c>
      <c r="J53" s="5">
        <f>IF(I53&lt;=PARAMS_MODELO!$B$18,0,IF(I53&gt;=PARAMS_MODELO!$B$19,100,100*(I53-PARAMS_MODELO!$B$18)/(PARAMS_MODELO!$B$19-PARAMS_MODELO!$B$18)))*PARAMS_MODELO!$B$9</f>
        <v>15</v>
      </c>
      <c r="K53" s="5">
        <f>IFERROR(CHOOSE(MATCH(PARAMS_MODELO!$B$2,{"Q1","Q2","Q3"},0),LOTO!$D53,LOTO!$F53,LOTO!$H53),0)</f>
        <v>9932500</v>
      </c>
      <c r="L53" s="8">
        <f t="shared" si="2"/>
        <v>5.1981378101093489E-2</v>
      </c>
      <c r="M53" s="5">
        <f>MIN(100,IF(PARAMS_MODELO!$B$23=0,0,100*L53/PARAMS_MODELO!$B$23))*PARAMS_MODELO!$B$10</f>
        <v>15</v>
      </c>
      <c r="N53" s="5">
        <f>IFERROR(VLOOKUP(A53,COMPLIANCE!$A$2:$F$1996,6,0),100)</f>
        <v>100</v>
      </c>
      <c r="O53" s="5">
        <f>N53*PARAMS_MODELO!$B$11</f>
        <v>10</v>
      </c>
      <c r="P53" s="5">
        <f>IFERROR(VLOOKUP(A53,DIGITAL!$A$2:$J$2000,7,0),100)</f>
        <v>92</v>
      </c>
      <c r="Q53" s="5">
        <f>IFERROR(P53,0)*PARAMS_MODELO!$B$12</f>
        <v>9.2000000000000011</v>
      </c>
      <c r="R53">
        <f t="shared" si="3"/>
        <v>90.25215401659058</v>
      </c>
      <c r="S53" s="5" t="str">
        <f>IFERROR(VLOOKUP(A53,CLIENTE!$A$2:$N$2000,13,0),1)</f>
        <v>Muy Bueno</v>
      </c>
      <c r="T53" s="5">
        <f>IFERROR(VLOOKUP(A53,CLIENTE!$A$2:$N$2000,14,0),1)</f>
        <v>1.1499999999999999</v>
      </c>
      <c r="U53" s="5">
        <f t="shared" si="4"/>
        <v>100</v>
      </c>
      <c r="V53" s="5" t="str">
        <f>IF(U53&gt;=MAX(_xlfn.PERCENTILE.INC($U$2:$U$1194,PARAMS_MODELO!$B$50),PARAMS_MODELO!$B$45),"DIAMANTE",IF(U53&gt;=MAX(_xlfn.PERCENTILE.INC($U$2:$U$1194,PARAMS_MODELO!$B$51),PARAMS_MODELO!$B$46),"PLATINO",IF(U53&gt;=MAX(_xlfn.PERCENTILE.INC($U$2:$U$1194,PARAMS_MODELO!$B$52),PARAMS_MODELO!$B$47),"ORO",IF(U53&gt;=MAX(_xlfn.PERCENTILE.INC($U$2:$U$1194,PARAMS_MODELO!$B$53),PARAMS_MODELO!$B$48),"PLATA",IF(U53&gt;=1,"BRONCE","CERRADO")))))</f>
        <v>DIAMANTE</v>
      </c>
      <c r="W53" s="5" t="str" cm="1">
        <f t="array" ref="W53">_xlfn.XLOOKUP(1, (HIST_SCORE!$B:$B=PARAMS_MODELO!$B$4) * (HIST_SCORE!$C:$C=A53), HIST_SCORE!$E:$E, "No encontrado")</f>
        <v>DIAMANTE</v>
      </c>
      <c r="X53" s="5" t="str">
        <f>_xlfn.LET(_xlpm.act,MATCH(V53,{"DIAMANTE";"PLATINO";"ORO";"PLATA";"BRONCE";"CERRADO"},0),_xlpm.ant,MATCH(W53,{"DIAMANTE";"PLATINO";"ORO";"PLATA";"BRONCE";"CERRADO"},0),IF(_xlpm.act&lt;_xlpm.ant,"Mejora ↑",IF(_xlpm.act&gt;_xlpm.ant,"Baja ↓","Estable →")))</f>
        <v>Estable →</v>
      </c>
      <c r="Y53" s="5">
        <f>IFERROR(U53-SUMIFS(HIST_SCORE!$D:$D,HIST_SCORE!$B:$B,PARAMS_MODELO!$B$4,HIST_SCORE!$C:$C,$A53),"")</f>
        <v>0</v>
      </c>
      <c r="Z53" s="5" t="str">
        <f t="shared" si="5"/>
        <v>→ Estable</v>
      </c>
      <c r="AA53" s="5">
        <f t="shared" si="6"/>
        <v>1</v>
      </c>
      <c r="AB53" s="5">
        <f>IFERROR(SUMIFS(HIST_SCORE!$F:$F,HIST_SCORE!$B:$B,PARAMS_MODELO!$B$4,HIST_SCORE!$C:$C,$A53),"")</f>
        <v>1</v>
      </c>
      <c r="AC53" s="5">
        <f t="shared" si="7"/>
        <v>0</v>
      </c>
      <c r="AD53" t="str">
        <f t="shared" si="9"/>
        <v/>
      </c>
      <c r="AE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CERRADO",1,IF(V53="BRONCE",_xlpm.cPl,IF(V53="PLATA",_xlpm.cO,IF(V53="ORO",_xlpm.cP,IF(V53="PLATINO",_xlpm.cD,999))))))</f>
        <v>999</v>
      </c>
      <c r="AF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CERRADO",0,IF(V53="BRONCE",1,IF(V53="PLATA",_xlpm.cPl,IF(V53="ORO",_xlpm.cO,IF(V53="PLATINO",_xlpm.cP,_xlpm.cD))))))</f>
        <v>96.054919694466676</v>
      </c>
      <c r="AG53">
        <f t="shared" si="10"/>
        <v>778.44349815732255</v>
      </c>
      <c r="AH53" t="str">
        <f t="shared" si="11"/>
        <v>SOSTENER</v>
      </c>
      <c r="AI53" t="str">
        <f t="shared" si="8"/>
        <v>✅ Mantener desempeño y monitorear variaciones para sostener categoría.</v>
      </c>
      <c r="AJ53" s="26">
        <f>_xlfn.LET(_xlpm.piso,AF53,_xlpm.corte,AE53,_xlpm.prog,IF(_xlpm.corte&lt;=_xlpm.piso,0,MAX(0,MIN(1,(U53-_xlpm.piso)/(_xlpm.corte-_xlpm.piso)))),_xlpm.orden,{"DIAMANTE";"PLATINO";"ORO";"PLATA";"BRONCE";"CERRADO"},_xlpm.act,IFERROR(MATCH(V53,_xlpm.orden,0),6),_xlpm.ant,IFERROR(MATCH(W53,_xlpm.orden,0),6),_xlpm.ajmov,IF(_xlpm.act&lt;_xlpm.ant,0.08,IF(_xlpm.act&gt;_xlpm.ant,-0.08,0)),_xlpm.ajcli,IF(T53&lt;0.95,-0.06,0),_xlpm.prob,MAX(0,MIN(1,_xlpm.prog+_xlpm.ajmov+_xlpm.ajcli)),IF(OR(V53="DIAMANTE",V53="CERRADO"),0,ROUND(_xlpm.prob,2)))</f>
        <v>0</v>
      </c>
      <c r="AK53" t="str">
        <f t="shared" si="12"/>
        <v>No aplica</v>
      </c>
      <c r="AL53" t="str">
        <f t="shared" si="13"/>
        <v>Margen de seguridad: 3,9 puntos</v>
      </c>
      <c r="AM53">
        <f t="shared" si="14"/>
        <v>0.8</v>
      </c>
      <c r="AN53" t="str">
        <f t="shared" si="15"/>
        <v>PRIORIDAD ALTA – requiere intervención inmediata</v>
      </c>
      <c r="AO53">
        <f t="shared" si="16"/>
        <v>10.131977547510758</v>
      </c>
      <c r="AP53">
        <f t="shared" si="17"/>
        <v>0</v>
      </c>
      <c r="AQ53">
        <f t="shared" si="18"/>
        <v>0</v>
      </c>
      <c r="AR53">
        <f t="shared" si="19"/>
        <v>0.91999999999999871</v>
      </c>
      <c r="AS53">
        <f t="shared" si="20"/>
        <v>0</v>
      </c>
      <c r="AT53" t="str">
        <f t="shared" si="21"/>
        <v>VENTAS</v>
      </c>
      <c r="AU53">
        <f t="shared" si="22"/>
        <v>10.131977547510758</v>
      </c>
      <c r="AV53" t="str">
        <f t="shared" si="23"/>
        <v>Mayor retorno probable: VENTAS (+10,1 puntos finales potenciales).</v>
      </c>
    </row>
    <row r="54" spans="1:48" x14ac:dyDescent="0.3">
      <c r="A54" s="5">
        <v>51039882</v>
      </c>
      <c r="B54" s="5" t="str">
        <f>IFERROR(VLOOKUP(A54,VENTAS!$A$2:$B$1194,2,0),"")</f>
        <v>ARGUELLO</v>
      </c>
      <c r="C54" s="5">
        <f>IFERROR(INDEX(VENTAS!$C$2:$E$1194,MATCH(A54,VENTAS!$A$2:$A$1194,0),MATCH(PARAMS_MODELO!$B$2,{"Q1","Q2","Q3"},0)),0)</f>
        <v>256153268.78999999</v>
      </c>
      <c r="D54" s="5">
        <f>IFERROR(INDEX(VENTAS!$F$2:$H$1194,MATCH(A54,VENTAS!$A$2:$A$1194,0),MATCH(PARAMS_MODELO!$B$2,{"Q1","Q2","Q3"},0)),0)</f>
        <v>189711448</v>
      </c>
      <c r="E54" s="8">
        <f t="shared" si="0"/>
        <v>-0.25938306820698998</v>
      </c>
      <c r="F54" s="12">
        <f>IF(E54&lt;=PARAMS_MODELO!$B$15,0,IF(E54&gt;=PARAMS_MODELO!$B$17,100,100*MIN(1,(E54-PARAMS_MODELO!$B$15)/(PARAMS_MODELO!$B$16-PARAMS_MODELO!$B$15))))*PARAMS_MODELO!$B$7</f>
        <v>0</v>
      </c>
      <c r="G54" s="5">
        <f t="shared" si="1"/>
        <v>0</v>
      </c>
      <c r="H54" s="5">
        <f>(PARAMS_MODELO!$B$20*(MAX(0,MIN(3,E54))/3)+PARAMS_MODELO!$B$21*(IFERROR(LN(1+MAX(0,G54))/LN(1+MAX(0,MAX($G$2:$G$1194))),0)))*100*PARAMS_MODELO!$B$8</f>
        <v>0</v>
      </c>
      <c r="I54" s="8">
        <f>E54-PARAMS_MODELO!$B$5</f>
        <v>-0.4369459035825165</v>
      </c>
      <c r="J54" s="5">
        <f>IF(I54&lt;=PARAMS_MODELO!$B$18,0,IF(I54&gt;=PARAMS_MODELO!$B$19,100,100*(I54-PARAMS_MODELO!$B$18)/(PARAMS_MODELO!$B$19-PARAMS_MODELO!$B$18)))*PARAMS_MODELO!$B$9</f>
        <v>0</v>
      </c>
      <c r="K54" s="5">
        <f>IFERROR(CHOOSE(MATCH(PARAMS_MODELO!$B$2,{"Q1","Q2","Q3"},0),LOTO!$D54,LOTO!$F54,LOTO!$H54),0)</f>
        <v>9897499.9999999981</v>
      </c>
      <c r="L54" s="8">
        <f t="shared" si="2"/>
        <v>5.2171337598983472E-2</v>
      </c>
      <c r="M54" s="5">
        <f>MIN(100,IF(PARAMS_MODELO!$B$23=0,0,100*L54/PARAMS_MODELO!$B$23))*PARAMS_MODELO!$B$10</f>
        <v>15</v>
      </c>
      <c r="N54" s="5">
        <f>IFERROR(VLOOKUP(A54,COMPLIANCE!$A$2:$F$1996,6,0),100)</f>
        <v>100</v>
      </c>
      <c r="O54" s="5">
        <f>N54*PARAMS_MODELO!$B$11</f>
        <v>10</v>
      </c>
      <c r="P54" s="5">
        <f>IFERROR(VLOOKUP(A54,DIGITAL!$A$2:$J$2000,7,0),100)</f>
        <v>27</v>
      </c>
      <c r="Q54" s="5">
        <f>IFERROR(P54,0)*PARAMS_MODELO!$B$12</f>
        <v>2.7</v>
      </c>
      <c r="R54">
        <f t="shared" si="3"/>
        <v>27.7</v>
      </c>
      <c r="S54" s="5" t="str">
        <f>IFERROR(VLOOKUP(A54,CLIENTE!$A$2:$N$2000,13,0),1)</f>
        <v>Regular</v>
      </c>
      <c r="T54" s="5">
        <f>IFERROR(VLOOKUP(A54,CLIENTE!$A$2:$N$2000,14,0),1)</f>
        <v>1</v>
      </c>
      <c r="U54" s="5">
        <f t="shared" si="4"/>
        <v>27.7</v>
      </c>
      <c r="V54" s="5" t="str">
        <f>IF(U54&gt;=MAX(_xlfn.PERCENTILE.INC($U$2:$U$1194,PARAMS_MODELO!$B$50),PARAMS_MODELO!$B$45),"DIAMANTE",IF(U54&gt;=MAX(_xlfn.PERCENTILE.INC($U$2:$U$1194,PARAMS_MODELO!$B$51),PARAMS_MODELO!$B$46),"PLATINO",IF(U54&gt;=MAX(_xlfn.PERCENTILE.INC($U$2:$U$1194,PARAMS_MODELO!$B$52),PARAMS_MODELO!$B$47),"ORO",IF(U54&gt;=MAX(_xlfn.PERCENTILE.INC($U$2:$U$1194,PARAMS_MODELO!$B$53),PARAMS_MODELO!$B$48),"PLATA",IF(U54&gt;=1,"BRONCE","CERRADO")))))</f>
        <v>PLATA</v>
      </c>
      <c r="W54" s="5" t="str" cm="1">
        <f t="array" ref="W54">_xlfn.XLOOKUP(1, (HIST_SCORE!$B:$B=PARAMS_MODELO!$B$4) * (HIST_SCORE!$C:$C=A54), HIST_SCORE!$E:$E, "No encontrado")</f>
        <v>PLATA</v>
      </c>
      <c r="X54" s="5" t="str">
        <f>_xlfn.LET(_xlpm.act,MATCH(V54,{"DIAMANTE";"PLATINO";"ORO";"PLATA";"BRONCE";"CERRADO"},0),_xlpm.ant,MATCH(W54,{"DIAMANTE";"PLATINO";"ORO";"PLATA";"BRONCE";"CERRADO"},0),IF(_xlpm.act&lt;_xlpm.ant,"Mejora ↑",IF(_xlpm.act&gt;_xlpm.ant,"Baja ↓","Estable →")))</f>
        <v>Estable →</v>
      </c>
      <c r="Y54" s="5">
        <f>IFERROR(U54-SUMIFS(HIST_SCORE!$D:$D,HIST_SCORE!$B:$B,PARAMS_MODELO!$B$4,HIST_SCORE!$C:$C,$A54),"")</f>
        <v>0</v>
      </c>
      <c r="Z54" s="5" t="str">
        <f t="shared" si="5"/>
        <v>→ Estable</v>
      </c>
      <c r="AA54" s="5">
        <f t="shared" si="6"/>
        <v>888</v>
      </c>
      <c r="AB54" s="5">
        <f>IFERROR(SUMIFS(HIST_SCORE!$F:$F,HIST_SCORE!$B:$B,PARAMS_MODELO!$B$4,HIST_SCORE!$C:$C,$A54),"")</f>
        <v>933</v>
      </c>
      <c r="AC54" s="5">
        <f t="shared" si="7"/>
        <v>45</v>
      </c>
      <c r="AD54" t="str">
        <f t="shared" si="9"/>
        <v/>
      </c>
      <c r="AE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CERRADO",1,IF(V54="BRONCE",_xlpm.cPl,IF(V54="PLATA",_xlpm.cO,IF(V54="ORO",_xlpm.cP,IF(V54="PLATINO",_xlpm.cD,999))))))</f>
        <v>63.199193273331495</v>
      </c>
      <c r="AF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CERRADO",0,IF(V54="BRONCE",1,IF(V54="PLATA",_xlpm.cPl,IF(V54="ORO",_xlpm.cO,IF(V54="PLATINO",_xlpm.cP,_xlpm.cD))))))</f>
        <v>24.506573482968111</v>
      </c>
      <c r="AG54">
        <f t="shared" si="10"/>
        <v>35.4991932733315</v>
      </c>
      <c r="AH54" t="str">
        <f t="shared" si="11"/>
        <v>VENTAS</v>
      </c>
      <c r="AI54" t="str">
        <f t="shared" si="8"/>
        <v>🎯 Para subir de categoría, eje VENTAS / CRECIMIENTO PERSONAL (F). Acción: metas semanales + activación comercial + seguimiento del asesor. ΔR aprox: 35,5</v>
      </c>
      <c r="AJ54" s="26">
        <f>_xlfn.LET(_xlpm.piso,AF54,_xlpm.corte,AE54,_xlpm.prog,IF(_xlpm.corte&lt;=_xlpm.piso,0,MAX(0,MIN(1,(U54-_xlpm.piso)/(_xlpm.corte-_xlpm.piso)))),_xlpm.orden,{"DIAMANTE";"PLATINO";"ORO";"PLATA";"BRONCE";"CERRADO"},_xlpm.act,IFERROR(MATCH(V54,_xlpm.orden,0),6),_xlpm.ant,IFERROR(MATCH(W54,_xlpm.orden,0),6),_xlpm.ajmov,IF(_xlpm.act&lt;_xlpm.ant,0.08,IF(_xlpm.act&gt;_xlpm.ant,-0.08,0)),_xlpm.ajcli,IF(T54&lt;0.95,-0.06,0),_xlpm.prob,MAX(0,MIN(1,_xlpm.prog+_xlpm.ajmov+_xlpm.ajcli)),IF(OR(V54="DIAMANTE",V54="CERRADO"),0,ROUND(_xlpm.prob,2)))</f>
        <v>0.08</v>
      </c>
      <c r="AK54" t="str">
        <f t="shared" si="12"/>
        <v>Faltan 35,5 puntos base para subir a la siguiente categoría</v>
      </c>
      <c r="AL54" t="str">
        <f t="shared" si="13"/>
        <v>Margen de seguridad: 3,2 puntos</v>
      </c>
      <c r="AM54">
        <f t="shared" si="14"/>
        <v>0.77</v>
      </c>
      <c r="AN54" t="str">
        <f t="shared" si="15"/>
        <v>PRIORIDAD ALTA – requiere intervención inmediata</v>
      </c>
      <c r="AO54">
        <f t="shared" si="16"/>
        <v>64.862569275295584</v>
      </c>
      <c r="AP54">
        <f t="shared" si="17"/>
        <v>0</v>
      </c>
      <c r="AQ54">
        <f t="shared" si="18"/>
        <v>0</v>
      </c>
      <c r="AR54">
        <f t="shared" si="19"/>
        <v>7.3</v>
      </c>
      <c r="AS54">
        <f t="shared" si="20"/>
        <v>0</v>
      </c>
      <c r="AT54" t="str">
        <f t="shared" si="21"/>
        <v>VENTAS</v>
      </c>
      <c r="AU54">
        <f t="shared" si="22"/>
        <v>64.862569275295584</v>
      </c>
      <c r="AV54" t="str">
        <f t="shared" si="23"/>
        <v>Mayor retorno probable: VENTAS (+64,9 puntos finales potenciales).</v>
      </c>
    </row>
    <row r="55" spans="1:48" x14ac:dyDescent="0.3">
      <c r="A55" s="5">
        <v>51024192</v>
      </c>
      <c r="B55" s="5" t="str">
        <f>IFERROR(VLOOKUP(A55,VENTAS!$A$2:$B$1194,2,0),"")</f>
        <v>ROBERTS</v>
      </c>
      <c r="C55" s="5">
        <f>IFERROR(INDEX(VENTAS!$C$2:$E$1194,MATCH(A55,VENTAS!$A$2:$A$1194,0),MATCH(PARAMS_MODELO!$B$2,{"Q1","Q2","Q3"},0)),0)</f>
        <v>166512931.78999999</v>
      </c>
      <c r="D55" s="5">
        <f>IFERROR(INDEX(VENTAS!$F$2:$H$1194,MATCH(A55,VENTAS!$A$2:$A$1194,0),MATCH(PARAMS_MODELO!$B$2,{"Q1","Q2","Q3"},0)),0)</f>
        <v>188652485</v>
      </c>
      <c r="E55" s="8">
        <f t="shared" si="0"/>
        <v>0.13295996276085997</v>
      </c>
      <c r="F55" s="12">
        <f>IF(E55&lt;=PARAMS_MODELO!$B$15,0,IF(E55&gt;=PARAMS_MODELO!$B$17,100,100*MIN(1,(E55-PARAMS_MODELO!$B$15)/(PARAMS_MODELO!$B$16-PARAMS_MODELO!$B$15))))*PARAMS_MODELO!$B$7</f>
        <v>35</v>
      </c>
      <c r="G55" s="5">
        <f t="shared" si="1"/>
        <v>22139553.210000008</v>
      </c>
      <c r="H55" s="5">
        <f>(PARAMS_MODELO!$B$20*(MAX(0,MIN(3,E55))/3)+PARAMS_MODELO!$B$21*(IFERROR(LN(1+MAX(0,G55))/LN(1+MAX(0,MAX($G$2:$G$1194))),0)))*100*PARAMS_MODELO!$B$8</f>
        <v>4.4299742015875747</v>
      </c>
      <c r="I55" s="8">
        <f>E55-PARAMS_MODELO!$B$5</f>
        <v>-4.4602872614666556E-2</v>
      </c>
      <c r="J55" s="5">
        <f>IF(I55&lt;=PARAMS_MODELO!$B$18,0,IF(I55&gt;=PARAMS_MODELO!$B$19,100,100*(I55-PARAMS_MODELO!$B$18)/(PARAMS_MODELO!$B$19-PARAMS_MODELO!$B$18)))*PARAMS_MODELO!$B$9</f>
        <v>0.8095691078000169</v>
      </c>
      <c r="K55" s="5">
        <f>IFERROR(CHOOSE(MATCH(PARAMS_MODELO!$B$2,{"Q1","Q2","Q3"},0),LOTO!$D55,LOTO!$F55,LOTO!$H55),0)</f>
        <v>9825000</v>
      </c>
      <c r="L55" s="8">
        <f t="shared" si="2"/>
        <v>5.2079886464257284E-2</v>
      </c>
      <c r="M55" s="5">
        <f>MIN(100,IF(PARAMS_MODELO!$B$23=0,0,100*L55/PARAMS_MODELO!$B$23))*PARAMS_MODELO!$B$10</f>
        <v>15</v>
      </c>
      <c r="N55" s="5">
        <f>IFERROR(VLOOKUP(A55,COMPLIANCE!$A$2:$F$1996,6,0),100)</f>
        <v>100</v>
      </c>
      <c r="O55" s="5">
        <f>N55*PARAMS_MODELO!$B$11</f>
        <v>10</v>
      </c>
      <c r="P55" s="5">
        <f>IFERROR(VLOOKUP(A55,DIGITAL!$A$2:$J$2000,7,0),100)</f>
        <v>93</v>
      </c>
      <c r="Q55" s="5">
        <f>IFERROR(P55,0)*PARAMS_MODELO!$B$12</f>
        <v>9.3000000000000007</v>
      </c>
      <c r="R55">
        <f t="shared" si="3"/>
        <v>74.539543309387582</v>
      </c>
      <c r="S55" s="5" t="str">
        <f>IFERROR(VLOOKUP(A55,CLIENTE!$A$2:$N$2000,13,0),1)</f>
        <v>Regular</v>
      </c>
      <c r="T55" s="5">
        <f>IFERROR(VLOOKUP(A55,CLIENTE!$A$2:$N$2000,14,0),1)</f>
        <v>1</v>
      </c>
      <c r="U55" s="5">
        <f t="shared" si="4"/>
        <v>74.539543309387582</v>
      </c>
      <c r="V55" s="5" t="str">
        <f>IF(U55&gt;=MAX(_xlfn.PERCENTILE.INC($U$2:$U$1194,PARAMS_MODELO!$B$50),PARAMS_MODELO!$B$45),"DIAMANTE",IF(U55&gt;=MAX(_xlfn.PERCENTILE.INC($U$2:$U$1194,PARAMS_MODELO!$B$51),PARAMS_MODELO!$B$46),"PLATINO",IF(U55&gt;=MAX(_xlfn.PERCENTILE.INC($U$2:$U$1194,PARAMS_MODELO!$B$52),PARAMS_MODELO!$B$47),"ORO",IF(U55&gt;=MAX(_xlfn.PERCENTILE.INC($U$2:$U$1194,PARAMS_MODELO!$B$53),PARAMS_MODELO!$B$48),"PLATA",IF(U55&gt;=1,"BRONCE","CERRADO")))))</f>
        <v>ORO</v>
      </c>
      <c r="W55" s="5" t="str" cm="1">
        <f t="array" ref="W55">_xlfn.XLOOKUP(1, (HIST_SCORE!$B:$B=PARAMS_MODELO!$B$4) * (HIST_SCORE!$C:$C=A55), HIST_SCORE!$E:$E, "No encontrado")</f>
        <v>PLATINO</v>
      </c>
      <c r="X55" s="5" t="str">
        <f>_xlfn.LET(_xlpm.act,MATCH(V55,{"DIAMANTE";"PLATINO";"ORO";"PLATA";"BRONCE";"CERRADO"},0),_xlpm.ant,MATCH(W55,{"DIAMANTE";"PLATINO";"ORO";"PLATA";"BRONCE";"CERRADO"},0),IF(_xlpm.act&lt;_xlpm.ant,"Mejora ↑",IF(_xlpm.act&gt;_xlpm.ant,"Baja ↓","Estable →")))</f>
        <v>Baja ↓</v>
      </c>
      <c r="Y55" s="5">
        <f>IFERROR(U55-SUMIFS(HIST_SCORE!$D:$D,HIST_SCORE!$B:$B,PARAMS_MODELO!$B$4,HIST_SCORE!$C:$C,$A55),"")</f>
        <v>-12.178444930976696</v>
      </c>
      <c r="Z55" s="5" t="str">
        <f t="shared" si="5"/>
        <v>↓ Baja</v>
      </c>
      <c r="AA55" s="5">
        <f t="shared" si="6"/>
        <v>477</v>
      </c>
      <c r="AB55" s="5">
        <f>IFERROR(SUMIFS(HIST_SCORE!$F:$F,HIST_SCORE!$B:$B,PARAMS_MODELO!$B$4,HIST_SCORE!$C:$C,$A55),"")</f>
        <v>208</v>
      </c>
      <c r="AC55" s="5">
        <f t="shared" si="7"/>
        <v>-269</v>
      </c>
      <c r="AD55" t="str">
        <f t="shared" si="9"/>
        <v>Sostener base y reforzar mix</v>
      </c>
      <c r="AE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CERRADO",1,IF(V55="BRONCE",_xlpm.cPl,IF(V55="PLATA",_xlpm.cO,IF(V55="ORO",_xlpm.cP,IF(V55="PLATINO",_xlpm.cD,999))))))</f>
        <v>86.439123873763251</v>
      </c>
      <c r="AF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CERRADO",0,IF(V55="BRONCE",1,IF(V55="PLATA",_xlpm.cPl,IF(V55="ORO",_xlpm.cO,IF(V55="PLATINO",_xlpm.cP,_xlpm.cD))))))</f>
        <v>63.199193273331495</v>
      </c>
      <c r="AG55">
        <f t="shared" si="10"/>
        <v>11.899580564375668</v>
      </c>
      <c r="AH55" t="str">
        <f t="shared" si="11"/>
        <v>VENTAS</v>
      </c>
      <c r="AI55" t="str">
        <f t="shared" si="8"/>
        <v>🎯 Para subir de categoría, eje VENTAS / DIFERENCIAL vs LOTBA (J). Acción: metas semanales + activación comercial + seguimiento del asesor. ΔR aprox: 11,9</v>
      </c>
      <c r="AJ55" s="26">
        <f>_xlfn.LET(_xlpm.piso,AF55,_xlpm.corte,AE55,_xlpm.prog,IF(_xlpm.corte&lt;=_xlpm.piso,0,MAX(0,MIN(1,(U55-_xlpm.piso)/(_xlpm.corte-_xlpm.piso)))),_xlpm.orden,{"DIAMANTE";"PLATINO";"ORO";"PLATA";"BRONCE";"CERRADO"},_xlpm.act,IFERROR(MATCH(V55,_xlpm.orden,0),6),_xlpm.ant,IFERROR(MATCH(W55,_xlpm.orden,0),6),_xlpm.ajmov,IF(_xlpm.act&lt;_xlpm.ant,0.08,IF(_xlpm.act&gt;_xlpm.ant,-0.08,0)),_xlpm.ajcli,IF(T55&lt;0.95,-0.06,0),_xlpm.prob,MAX(0,MIN(1,_xlpm.prog+_xlpm.ajmov+_xlpm.ajcli)),IF(OR(V55="DIAMANTE",V55="CERRADO"),0,ROUND(_xlpm.prob,2)))</f>
        <v>0.41</v>
      </c>
      <c r="AK55" t="str">
        <f t="shared" si="12"/>
        <v>Faltan 11,9 puntos base para subir a la siguiente categoría</v>
      </c>
      <c r="AL55" t="str">
        <f t="shared" si="13"/>
        <v>Margen de seguridad: 11,3 puntos</v>
      </c>
      <c r="AM55">
        <f t="shared" si="14"/>
        <v>0.64</v>
      </c>
      <c r="AN55" t="str">
        <f t="shared" si="15"/>
        <v>PRIORIDAD MEDIA – seguimiento del asesor</v>
      </c>
      <c r="AO55">
        <f t="shared" si="16"/>
        <v>24.623025965907992</v>
      </c>
      <c r="AP55">
        <f t="shared" si="17"/>
        <v>0</v>
      </c>
      <c r="AQ55">
        <f t="shared" si="18"/>
        <v>0</v>
      </c>
      <c r="AR55">
        <f t="shared" si="19"/>
        <v>0.69999999999999929</v>
      </c>
      <c r="AS55">
        <f t="shared" si="20"/>
        <v>0</v>
      </c>
      <c r="AT55" t="str">
        <f t="shared" si="21"/>
        <v>VENTAS</v>
      </c>
      <c r="AU55">
        <f t="shared" si="22"/>
        <v>24.623025965907992</v>
      </c>
      <c r="AV55" t="str">
        <f t="shared" si="23"/>
        <v>Mayor retorno probable: VENTAS (+24,6 puntos finales potenciales).</v>
      </c>
    </row>
    <row r="56" spans="1:48" x14ac:dyDescent="0.3">
      <c r="A56" s="5">
        <v>51008332</v>
      </c>
      <c r="B56" s="5" t="str">
        <f>IFERROR(VLOOKUP(A56,VENTAS!$A$2:$B$1194,2,0),"")</f>
        <v>BELUZZO</v>
      </c>
      <c r="C56" s="5">
        <f>IFERROR(INDEX(VENTAS!$C$2:$E$1194,MATCH(A56,VENTAS!$A$2:$A$1194,0),MATCH(PARAMS_MODELO!$B$2,{"Q1","Q2","Q3"},0)),0)</f>
        <v>56382949.57</v>
      </c>
      <c r="D56" s="5">
        <f>IFERROR(INDEX(VENTAS!$F$2:$H$1194,MATCH(A56,VENTAS!$A$2:$A$1194,0),MATCH(PARAMS_MODELO!$B$2,{"Q1","Q2","Q3"},0)),0)</f>
        <v>188351629</v>
      </c>
      <c r="E56" s="8">
        <f t="shared" si="0"/>
        <v>2.340577788789846</v>
      </c>
      <c r="F56" s="12">
        <f>IF(E56&lt;=PARAMS_MODELO!$B$15,0,IF(E56&gt;=PARAMS_MODELO!$B$17,100,100*MIN(1,(E56-PARAMS_MODELO!$B$15)/(PARAMS_MODELO!$B$16-PARAMS_MODELO!$B$15))))*PARAMS_MODELO!$B$7</f>
        <v>35</v>
      </c>
      <c r="G56" s="5">
        <f t="shared" si="1"/>
        <v>131968679.43000001</v>
      </c>
      <c r="H56" s="5">
        <f>(PARAMS_MODELO!$B$20*(MAX(0,MIN(3,E56))/3)+PARAMS_MODELO!$B$21*(IFERROR(LN(1+MAX(0,G56))/LN(1+MAX(0,MAX($G$2:$G$1194))),0)))*100*PARAMS_MODELO!$B$8</f>
        <v>12.575112121743265</v>
      </c>
      <c r="I56" s="8">
        <f>E56-PARAMS_MODELO!$B$5</f>
        <v>2.1630149534143195</v>
      </c>
      <c r="J56" s="5">
        <f>IF(I56&lt;=PARAMS_MODELO!$B$18,0,IF(I56&gt;=PARAMS_MODELO!$B$19,100,100*(I56-PARAMS_MODELO!$B$18)/(PARAMS_MODELO!$B$19-PARAMS_MODELO!$B$18)))*PARAMS_MODELO!$B$9</f>
        <v>15</v>
      </c>
      <c r="K56" s="5">
        <f>IFERROR(CHOOSE(MATCH(PARAMS_MODELO!$B$2,{"Q1","Q2","Q3"},0),LOTO!$D56,LOTO!$F56,LOTO!$H56),0)</f>
        <v>9805000</v>
      </c>
      <c r="L56" s="8">
        <f t="shared" si="2"/>
        <v>5.2056889829182204E-2</v>
      </c>
      <c r="M56" s="5">
        <f>MIN(100,IF(PARAMS_MODELO!$B$23=0,0,100*L56/PARAMS_MODELO!$B$23))*PARAMS_MODELO!$B$10</f>
        <v>15</v>
      </c>
      <c r="N56" s="5">
        <f>IFERROR(VLOOKUP(A56,COMPLIANCE!$A$2:$F$1996,6,0),100)</f>
        <v>100</v>
      </c>
      <c r="O56" s="5">
        <f>N56*PARAMS_MODELO!$B$11</f>
        <v>10</v>
      </c>
      <c r="P56" s="5">
        <f>IFERROR(VLOOKUP(A56,DIGITAL!$A$2:$J$2000,7,0),100)</f>
        <v>14</v>
      </c>
      <c r="Q56" s="5">
        <f>IFERROR(P56,0)*PARAMS_MODELO!$B$12</f>
        <v>1.4000000000000001</v>
      </c>
      <c r="R56">
        <f t="shared" si="3"/>
        <v>88.97511212174328</v>
      </c>
      <c r="S56" s="5" t="str">
        <f>IFERROR(VLOOKUP(A56,CLIENTE!$A$2:$N$2000,13,0),1)</f>
        <v>Regular</v>
      </c>
      <c r="T56" s="5">
        <f>IFERROR(VLOOKUP(A56,CLIENTE!$A$2:$N$2000,14,0),1)</f>
        <v>1</v>
      </c>
      <c r="U56" s="5">
        <f t="shared" si="4"/>
        <v>88.97511212174328</v>
      </c>
      <c r="V56" s="5" t="str">
        <f>IF(U56&gt;=MAX(_xlfn.PERCENTILE.INC($U$2:$U$1194,PARAMS_MODELO!$B$50),PARAMS_MODELO!$B$45),"DIAMANTE",IF(U56&gt;=MAX(_xlfn.PERCENTILE.INC($U$2:$U$1194,PARAMS_MODELO!$B$51),PARAMS_MODELO!$B$46),"PLATINO",IF(U56&gt;=MAX(_xlfn.PERCENTILE.INC($U$2:$U$1194,PARAMS_MODELO!$B$52),PARAMS_MODELO!$B$47),"ORO",IF(U56&gt;=MAX(_xlfn.PERCENTILE.INC($U$2:$U$1194,PARAMS_MODELO!$B$53),PARAMS_MODELO!$B$48),"PLATA",IF(U56&gt;=1,"BRONCE","CERRADO")))))</f>
        <v>PLATINO</v>
      </c>
      <c r="W56" s="5" t="str" cm="1">
        <f t="array" ref="W56">_xlfn.XLOOKUP(1, (HIST_SCORE!$B:$B=PARAMS_MODELO!$B$4) * (HIST_SCORE!$C:$C=A56), HIST_SCORE!$E:$E, "No encontrado")</f>
        <v>ORO</v>
      </c>
      <c r="X56" s="5" t="str">
        <f>_xlfn.LET(_xlpm.act,MATCH(V56,{"DIAMANTE";"PLATINO";"ORO";"PLATA";"BRONCE";"CERRADO"},0),_xlpm.ant,MATCH(W56,{"DIAMANTE";"PLATINO";"ORO";"PLATA";"BRONCE";"CERRADO"},0),IF(_xlpm.act&lt;_xlpm.ant,"Mejora ↑",IF(_xlpm.act&gt;_xlpm.ant,"Baja ↓","Estable →")))</f>
        <v>Mejora ↑</v>
      </c>
      <c r="Y56" s="5">
        <f>IFERROR(U56-SUMIFS(HIST_SCORE!$D:$D,HIST_SCORE!$B:$B,PARAMS_MODELO!$B$4,HIST_SCORE!$C:$C,$A56),"")</f>
        <v>5.0777963672635593</v>
      </c>
      <c r="Z56" s="5" t="str">
        <f t="shared" si="5"/>
        <v>↑ Mejora</v>
      </c>
      <c r="AA56" s="5">
        <f t="shared" si="6"/>
        <v>169</v>
      </c>
      <c r="AB56" s="5">
        <f>IFERROR(SUMIFS(HIST_SCORE!$F:$F,HIST_SCORE!$B:$B,PARAMS_MODELO!$B$4,HIST_SCORE!$C:$C,$A56),"")</f>
        <v>294</v>
      </c>
      <c r="AC56" s="5">
        <f t="shared" si="7"/>
        <v>125</v>
      </c>
      <c r="AD56" t="str">
        <f t="shared" si="9"/>
        <v/>
      </c>
      <c r="AE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CERRADO",1,IF(V56="BRONCE",_xlpm.cPl,IF(V56="PLATA",_xlpm.cO,IF(V56="ORO",_xlpm.cP,IF(V56="PLATINO",_xlpm.cD,999))))))</f>
        <v>96.054919694466676</v>
      </c>
      <c r="AF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CERRADO",0,IF(V56="BRONCE",1,IF(V56="PLATA",_xlpm.cPl,IF(V56="ORO",_xlpm.cO,IF(V56="PLATINO",_xlpm.cP,_xlpm.cD))))))</f>
        <v>86.439123873763251</v>
      </c>
      <c r="AG56">
        <f t="shared" si="10"/>
        <v>7.0798075727233964</v>
      </c>
      <c r="AH56" t="str">
        <f t="shared" si="11"/>
        <v>DIGITAL</v>
      </c>
      <c r="AI56" t="str">
        <f t="shared" si="8"/>
        <v>🎯 Para subir de categoría, eje DIGITAL (Q). Acción: aumentar adopción digital en mostrador + seguimiento semanal. ΔR aprox: 7,1</v>
      </c>
      <c r="AJ56" s="26">
        <f>_xlfn.LET(_xlpm.piso,AF56,_xlpm.corte,AE56,_xlpm.prog,IF(_xlpm.corte&lt;=_xlpm.piso,0,MAX(0,MIN(1,(U56-_xlpm.piso)/(_xlpm.corte-_xlpm.piso)))),_xlpm.orden,{"DIAMANTE";"PLATINO";"ORO";"PLATA";"BRONCE";"CERRADO"},_xlpm.act,IFERROR(MATCH(V56,_xlpm.orden,0),6),_xlpm.ant,IFERROR(MATCH(W56,_xlpm.orden,0),6),_xlpm.ajmov,IF(_xlpm.act&lt;_xlpm.ant,0.08,IF(_xlpm.act&gt;_xlpm.ant,-0.08,0)),_xlpm.ajcli,IF(T56&lt;0.95,-0.06,0),_xlpm.prob,MAX(0,MIN(1,_xlpm.prog+_xlpm.ajmov+_xlpm.ajcli)),IF(OR(V56="DIAMANTE",V56="CERRADO"),0,ROUND(_xlpm.prob,2)))</f>
        <v>0.34</v>
      </c>
      <c r="AK56" t="str">
        <f t="shared" si="12"/>
        <v>Faltan 7,1 puntos base para subir a la siguiente categoría</v>
      </c>
      <c r="AL56" t="str">
        <f t="shared" si="13"/>
        <v>Margen de seguridad: 2,5 puntos</v>
      </c>
      <c r="AM56">
        <f t="shared" si="14"/>
        <v>0.55000000000000004</v>
      </c>
      <c r="AN56" t="str">
        <f t="shared" si="15"/>
        <v>PRIORIDAD MEDIA – seguimiento del asesor</v>
      </c>
      <c r="AO56">
        <f t="shared" si="16"/>
        <v>2.2874571535523174</v>
      </c>
      <c r="AP56">
        <f t="shared" si="17"/>
        <v>0</v>
      </c>
      <c r="AQ56">
        <f t="shared" si="18"/>
        <v>0</v>
      </c>
      <c r="AR56">
        <f t="shared" si="19"/>
        <v>8.6</v>
      </c>
      <c r="AS56">
        <f t="shared" si="20"/>
        <v>0</v>
      </c>
      <c r="AT56" t="str">
        <f t="shared" si="21"/>
        <v>DIGITAL</v>
      </c>
      <c r="AU56">
        <f t="shared" si="22"/>
        <v>8.6</v>
      </c>
      <c r="AV56" t="str">
        <f t="shared" si="23"/>
        <v>Mayor retorno probable: DIGITAL (+8,6 puntos finales potenciales).</v>
      </c>
    </row>
    <row r="57" spans="1:48" x14ac:dyDescent="0.3">
      <c r="A57" s="5">
        <v>51015258</v>
      </c>
      <c r="B57" s="5" t="str">
        <f>IFERROR(VLOOKUP(A57,VENTAS!$A$2:$B$1194,2,0),"")</f>
        <v>MONTENEGRO</v>
      </c>
      <c r="C57" s="5">
        <f>IFERROR(INDEX(VENTAS!$C$2:$E$1194,MATCH(A57,VENTAS!$A$2:$A$1194,0),MATCH(PARAMS_MODELO!$B$2,{"Q1","Q2","Q3"},0)),0)</f>
        <v>158858403.69999999</v>
      </c>
      <c r="D57" s="5">
        <f>IFERROR(INDEX(VENTAS!$F$2:$H$1194,MATCH(A57,VENTAS!$A$2:$A$1194,0),MATCH(PARAMS_MODELO!$B$2,{"Q1","Q2","Q3"},0)),0)</f>
        <v>185775866</v>
      </c>
      <c r="E57" s="8">
        <f t="shared" si="0"/>
        <v>0.16944311206118456</v>
      </c>
      <c r="F57" s="12">
        <f>IF(E57&lt;=PARAMS_MODELO!$B$15,0,IF(E57&gt;=PARAMS_MODELO!$B$17,100,100*MIN(1,(E57-PARAMS_MODELO!$B$15)/(PARAMS_MODELO!$B$16-PARAMS_MODELO!$B$15))))*PARAMS_MODELO!$B$7</f>
        <v>35</v>
      </c>
      <c r="G57" s="5">
        <f t="shared" si="1"/>
        <v>26917462.300000012</v>
      </c>
      <c r="H57" s="5">
        <f>(PARAMS_MODELO!$B$20*(MAX(0,MIN(3,E57))/3)+PARAMS_MODELO!$B$21*(IFERROR(LN(1+MAX(0,G57))/LN(1+MAX(0,MAX($G$2:$G$1194))),0)))*100*PARAMS_MODELO!$B$8</f>
        <v>4.6034719336587742</v>
      </c>
      <c r="I57" s="8">
        <f>E57-PARAMS_MODELO!$B$5</f>
        <v>-8.1197233143419645E-3</v>
      </c>
      <c r="J57" s="5">
        <f>IF(I57&lt;=PARAMS_MODELO!$B$18,0,IF(I57&gt;=PARAMS_MODELO!$B$19,100,100*(I57-PARAMS_MODELO!$B$18)/(PARAMS_MODELO!$B$19-PARAMS_MODELO!$B$18)))*PARAMS_MODELO!$B$9</f>
        <v>6.2820415028487044</v>
      </c>
      <c r="K57" s="5">
        <f>IFERROR(CHOOSE(MATCH(PARAMS_MODELO!$B$2,{"Q1","Q2","Q3"},0),LOTO!$D57,LOTO!$F57,LOTO!$H57),0)</f>
        <v>9785000</v>
      </c>
      <c r="L57" s="8">
        <f t="shared" si="2"/>
        <v>5.2670996565291207E-2</v>
      </c>
      <c r="M57" s="5">
        <f>MIN(100,IF(PARAMS_MODELO!$B$23=0,0,100*L57/PARAMS_MODELO!$B$23))*PARAMS_MODELO!$B$10</f>
        <v>15</v>
      </c>
      <c r="N57" s="5">
        <f>IFERROR(VLOOKUP(A57,COMPLIANCE!$A$2:$F$1996,6,0),100)</f>
        <v>100</v>
      </c>
      <c r="O57" s="5">
        <f>N57*PARAMS_MODELO!$B$11</f>
        <v>10</v>
      </c>
      <c r="P57" s="5">
        <f>IFERROR(VLOOKUP(A57,DIGITAL!$A$2:$J$2000,7,0),100)</f>
        <v>34</v>
      </c>
      <c r="Q57" s="5">
        <f>IFERROR(P57,0)*PARAMS_MODELO!$B$12</f>
        <v>3.4000000000000004</v>
      </c>
      <c r="R57">
        <f t="shared" si="3"/>
        <v>74.285513436507486</v>
      </c>
      <c r="S57" s="5" t="str">
        <f>IFERROR(VLOOKUP(A57,CLIENTE!$A$2:$N$2000,13,0),1)</f>
        <v>Muy Bueno</v>
      </c>
      <c r="T57" s="5">
        <f>IFERROR(VLOOKUP(A57,CLIENTE!$A$2:$N$2000,14,0),1)</f>
        <v>1.1499999999999999</v>
      </c>
      <c r="U57" s="5">
        <f t="shared" si="4"/>
        <v>85.428340451983601</v>
      </c>
      <c r="V57" s="5" t="str">
        <f>IF(U57&gt;=MAX(_xlfn.PERCENTILE.INC($U$2:$U$1194,PARAMS_MODELO!$B$50),PARAMS_MODELO!$B$45),"DIAMANTE",IF(U57&gt;=MAX(_xlfn.PERCENTILE.INC($U$2:$U$1194,PARAMS_MODELO!$B$51),PARAMS_MODELO!$B$46),"PLATINO",IF(U57&gt;=MAX(_xlfn.PERCENTILE.INC($U$2:$U$1194,PARAMS_MODELO!$B$52),PARAMS_MODELO!$B$47),"ORO",IF(U57&gt;=MAX(_xlfn.PERCENTILE.INC($U$2:$U$1194,PARAMS_MODELO!$B$53),PARAMS_MODELO!$B$48),"PLATA",IF(U57&gt;=1,"BRONCE","CERRADO")))))</f>
        <v>ORO</v>
      </c>
      <c r="W57" s="5" t="str" cm="1">
        <f t="array" ref="W57">_xlfn.XLOOKUP(1, (HIST_SCORE!$B:$B=PARAMS_MODELO!$B$4) * (HIST_SCORE!$C:$C=A57), HIST_SCORE!$E:$E, "No encontrado")</f>
        <v>DIAMANTE</v>
      </c>
      <c r="X57" s="5" t="str">
        <f>_xlfn.LET(_xlpm.act,MATCH(V57,{"DIAMANTE";"PLATINO";"ORO";"PLATA";"BRONCE";"CERRADO"},0),_xlpm.ant,MATCH(W57,{"DIAMANTE";"PLATINO";"ORO";"PLATA";"BRONCE";"CERRADO"},0),IF(_xlpm.act&lt;_xlpm.ant,"Mejora ↑",IF(_xlpm.act&gt;_xlpm.ant,"Baja ↓","Estable →")))</f>
        <v>Baja ↓</v>
      </c>
      <c r="Y57" s="5">
        <f>IFERROR(U57-SUMIFS(HIST_SCORE!$D:$D,HIST_SCORE!$B:$B,PARAMS_MODELO!$B$4,HIST_SCORE!$C:$C,$A57),"")</f>
        <v>-11.20750872912609</v>
      </c>
      <c r="Z57" s="5" t="str">
        <f t="shared" si="5"/>
        <v>↓ Baja</v>
      </c>
      <c r="AA57" s="5">
        <f t="shared" si="6"/>
        <v>271</v>
      </c>
      <c r="AB57" s="5">
        <f>IFERROR(SUMIFS(HIST_SCORE!$F:$F,HIST_SCORE!$B:$B,PARAMS_MODELO!$B$4,HIST_SCORE!$C:$C,$A57),"")</f>
        <v>46</v>
      </c>
      <c r="AC57" s="5">
        <f t="shared" si="7"/>
        <v>-225</v>
      </c>
      <c r="AD57" t="str">
        <f t="shared" si="9"/>
        <v>Sostener base y reforzar mix</v>
      </c>
      <c r="AE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CERRADO",1,IF(V57="BRONCE",_xlpm.cPl,IF(V57="PLATA",_xlpm.cO,IF(V57="ORO",_xlpm.cP,IF(V57="PLATINO",_xlpm.cD,999))))))</f>
        <v>86.439123873763251</v>
      </c>
      <c r="AF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CERRADO",0,IF(V57="BRONCE",1,IF(V57="PLATA",_xlpm.cPl,IF(V57="ORO",_xlpm.cO,IF(V57="PLATINO",_xlpm.cP,_xlpm.cD))))))</f>
        <v>63.199193273331495</v>
      </c>
      <c r="AG57">
        <f t="shared" si="10"/>
        <v>0.87894210589534794</v>
      </c>
      <c r="AH57" t="str">
        <f t="shared" si="11"/>
        <v>VENTAS</v>
      </c>
      <c r="AI57" t="str">
        <f t="shared" si="8"/>
        <v>🎯 Para subir de categoría, eje VENTAS / IMPACTO ABSOLUTO (H). Acción: metas semanales + activación comercial + seguimiento del asesor. ΔR aprox: 0,9</v>
      </c>
      <c r="AJ57" s="26">
        <f>_xlfn.LET(_xlpm.piso,AF57,_xlpm.corte,AE57,_xlpm.prog,IF(_xlpm.corte&lt;=_xlpm.piso,0,MAX(0,MIN(1,(U57-_xlpm.piso)/(_xlpm.corte-_xlpm.piso)))),_xlpm.orden,{"DIAMANTE";"PLATINO";"ORO";"PLATA";"BRONCE";"CERRADO"},_xlpm.act,IFERROR(MATCH(V57,_xlpm.orden,0),6),_xlpm.ant,IFERROR(MATCH(W57,_xlpm.orden,0),6),_xlpm.ajmov,IF(_xlpm.act&lt;_xlpm.ant,0.08,IF(_xlpm.act&gt;_xlpm.ant,-0.08,0)),_xlpm.ajcli,IF(T57&lt;0.95,-0.06,0),_xlpm.prob,MAX(0,MIN(1,_xlpm.prog+_xlpm.ajmov+_xlpm.ajcli)),IF(OR(V57="DIAMANTE",V57="CERRADO"),0,ROUND(_xlpm.prob,2)))</f>
        <v>0.88</v>
      </c>
      <c r="AK57" t="str">
        <f t="shared" si="12"/>
        <v>Faltan 0,9 puntos base para subir a la siguiente categoría</v>
      </c>
      <c r="AL57" t="str">
        <f t="shared" si="13"/>
        <v>Margen de seguridad: 22,2 puntos</v>
      </c>
      <c r="AM57">
        <f t="shared" si="14"/>
        <v>0.08</v>
      </c>
      <c r="AN57" t="str">
        <f t="shared" si="15"/>
        <v>PRIORIDAD BAJA – control normal</v>
      </c>
      <c r="AO57">
        <f t="shared" si="16"/>
        <v>21.823614214606319</v>
      </c>
      <c r="AP57">
        <f t="shared" si="17"/>
        <v>0</v>
      </c>
      <c r="AQ57">
        <f t="shared" si="18"/>
        <v>0</v>
      </c>
      <c r="AR57">
        <f t="shared" si="19"/>
        <v>7.589999999999999</v>
      </c>
      <c r="AS57">
        <f t="shared" si="20"/>
        <v>0</v>
      </c>
      <c r="AT57" t="str">
        <f t="shared" si="21"/>
        <v>VENTAS</v>
      </c>
      <c r="AU57">
        <f t="shared" si="22"/>
        <v>21.823614214606319</v>
      </c>
      <c r="AV57" t="str">
        <f t="shared" si="23"/>
        <v>Mayor retorno probable: VENTAS (+21,8 puntos finales potenciales).</v>
      </c>
    </row>
    <row r="58" spans="1:48" x14ac:dyDescent="0.3">
      <c r="A58" s="5">
        <v>51033710</v>
      </c>
      <c r="B58" s="5" t="str">
        <f>IFERROR(VLOOKUP(A58,VENTAS!$A$2:$B$1194,2,0),"")</f>
        <v>METTLER</v>
      </c>
      <c r="C58" s="5">
        <f>IFERROR(INDEX(VENTAS!$C$2:$E$1194,MATCH(A58,VENTAS!$A$2:$A$1194,0),MATCH(PARAMS_MODELO!$B$2,{"Q1","Q2","Q3"},0)),0)</f>
        <v>145565005</v>
      </c>
      <c r="D58" s="5">
        <f>IFERROR(INDEX(VENTAS!$F$2:$H$1194,MATCH(A58,VENTAS!$A$2:$A$1194,0),MATCH(PARAMS_MODELO!$B$2,{"Q1","Q2","Q3"},0)),0)</f>
        <v>184366752</v>
      </c>
      <c r="E58" s="8">
        <f t="shared" si="0"/>
        <v>0.26655958277884162</v>
      </c>
      <c r="F58" s="12">
        <f>IF(E58&lt;=PARAMS_MODELO!$B$15,0,IF(E58&gt;=PARAMS_MODELO!$B$17,100,100*MIN(1,(E58-PARAMS_MODELO!$B$15)/(PARAMS_MODELO!$B$16-PARAMS_MODELO!$B$15))))*PARAMS_MODELO!$B$7</f>
        <v>35</v>
      </c>
      <c r="G58" s="5">
        <f t="shared" si="1"/>
        <v>38801747</v>
      </c>
      <c r="H58" s="5">
        <f>(PARAMS_MODELO!$B$20*(MAX(0,MIN(3,E58))/3)+PARAMS_MODELO!$B$21*(IFERROR(LN(1+MAX(0,G58))/LN(1+MAX(0,MAX($G$2:$G$1194))),0)))*100*PARAMS_MODELO!$B$8</f>
        <v>5.0291024289919521</v>
      </c>
      <c r="I58" s="8">
        <f>E58-PARAMS_MODELO!$B$5</f>
        <v>8.8996747403315091E-2</v>
      </c>
      <c r="J58" s="5">
        <f>IF(I58&lt;=PARAMS_MODELO!$B$18,0,IF(I58&gt;=PARAMS_MODELO!$B$19,100,100*(I58-PARAMS_MODELO!$B$18)/(PARAMS_MODELO!$B$19-PARAMS_MODELO!$B$18)))*PARAMS_MODELO!$B$9</f>
        <v>15</v>
      </c>
      <c r="K58" s="5">
        <f>IFERROR(CHOOSE(MATCH(PARAMS_MODELO!$B$2,{"Q1","Q2","Q3"},0),LOTO!$D58,LOTO!$F58,LOTO!$H58),0)</f>
        <v>9780000</v>
      </c>
      <c r="L58" s="8">
        <f t="shared" si="2"/>
        <v>5.3046440824644998E-2</v>
      </c>
      <c r="M58" s="5">
        <f>MIN(100,IF(PARAMS_MODELO!$B$23=0,0,100*L58/PARAMS_MODELO!$B$23))*PARAMS_MODELO!$B$10</f>
        <v>15</v>
      </c>
      <c r="N58" s="5">
        <f>IFERROR(VLOOKUP(A58,COMPLIANCE!$A$2:$F$1996,6,0),100)</f>
        <v>99.9</v>
      </c>
      <c r="O58" s="5">
        <f>N58*PARAMS_MODELO!$B$11</f>
        <v>9.990000000000002</v>
      </c>
      <c r="P58" s="5">
        <f>IFERROR(VLOOKUP(A58,DIGITAL!$A$2:$J$2000,7,0),100)</f>
        <v>94</v>
      </c>
      <c r="Q58" s="5">
        <f>IFERROR(P58,0)*PARAMS_MODELO!$B$12</f>
        <v>9.4</v>
      </c>
      <c r="R58">
        <f t="shared" si="3"/>
        <v>89.419102428991977</v>
      </c>
      <c r="S58" s="5" t="str">
        <f>IFERROR(VLOOKUP(A58,CLIENTE!$A$2:$N$2000,13,0),1)</f>
        <v>Bueno</v>
      </c>
      <c r="T58" s="5">
        <f>IFERROR(VLOOKUP(A58,CLIENTE!$A$2:$N$2000,14,0),1)</f>
        <v>1.1000000000000001</v>
      </c>
      <c r="U58" s="5">
        <f t="shared" si="4"/>
        <v>98.361012671891189</v>
      </c>
      <c r="V58" s="5" t="str">
        <f>IF(U58&gt;=MAX(_xlfn.PERCENTILE.INC($U$2:$U$1194,PARAMS_MODELO!$B$50),PARAMS_MODELO!$B$45),"DIAMANTE",IF(U58&gt;=MAX(_xlfn.PERCENTILE.INC($U$2:$U$1194,PARAMS_MODELO!$B$51),PARAMS_MODELO!$B$46),"PLATINO",IF(U58&gt;=MAX(_xlfn.PERCENTILE.INC($U$2:$U$1194,PARAMS_MODELO!$B$52),PARAMS_MODELO!$B$47),"ORO",IF(U58&gt;=MAX(_xlfn.PERCENTILE.INC($U$2:$U$1194,PARAMS_MODELO!$B$53),PARAMS_MODELO!$B$48),"PLATA",IF(U58&gt;=1,"BRONCE","CERRADO")))))</f>
        <v>DIAMANTE</v>
      </c>
      <c r="W58" s="5" t="str" cm="1">
        <f t="array" ref="W58">_xlfn.XLOOKUP(1, (HIST_SCORE!$B:$B=PARAMS_MODELO!$B$4) * (HIST_SCORE!$C:$C=A58), HIST_SCORE!$E:$E, "No encontrado")</f>
        <v>ORO</v>
      </c>
      <c r="X58" s="5" t="str">
        <f>_xlfn.LET(_xlpm.act,MATCH(V58,{"DIAMANTE";"PLATINO";"ORO";"PLATA";"BRONCE";"CERRADO"},0),_xlpm.ant,MATCH(W58,{"DIAMANTE";"PLATINO";"ORO";"PLATA";"BRONCE";"CERRADO"},0),IF(_xlpm.act&lt;_xlpm.ant,"Mejora ↑",IF(_xlpm.act&gt;_xlpm.ant,"Baja ↓","Estable →")))</f>
        <v>Mejora ↑</v>
      </c>
      <c r="Y58" s="5">
        <f>IFERROR(U58-SUMIFS(HIST_SCORE!$D:$D,HIST_SCORE!$B:$B,PARAMS_MODELO!$B$4,HIST_SCORE!$C:$C,$A58),"")</f>
        <v>16.93200033171064</v>
      </c>
      <c r="Z58" s="5" t="str">
        <f t="shared" si="5"/>
        <v>↑ Mejora</v>
      </c>
      <c r="AA58" s="5">
        <f t="shared" si="6"/>
        <v>32</v>
      </c>
      <c r="AB58" s="5">
        <f>IFERROR(SUMIFS(HIST_SCORE!$F:$F,HIST_SCORE!$B:$B,PARAMS_MODELO!$B$4,HIST_SCORE!$C:$C,$A58),"")</f>
        <v>383</v>
      </c>
      <c r="AC58" s="5">
        <f t="shared" si="7"/>
        <v>351</v>
      </c>
      <c r="AD58" t="str">
        <f t="shared" si="9"/>
        <v/>
      </c>
      <c r="AE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CERRADO",1,IF(V58="BRONCE",_xlpm.cPl,IF(V58="PLATA",_xlpm.cO,IF(V58="ORO",_xlpm.cP,IF(V58="PLATINO",_xlpm.cD,999))))))</f>
        <v>999</v>
      </c>
      <c r="AF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CERRADO",0,IF(V58="BRONCE",1,IF(V58="PLATA",_xlpm.cPl,IF(V58="ORO",_xlpm.cO,IF(V58="PLATINO",_xlpm.cP,_xlpm.cD))))))</f>
        <v>96.054919694466676</v>
      </c>
      <c r="AG58">
        <f t="shared" si="10"/>
        <v>818.76271575282613</v>
      </c>
      <c r="AH58" t="str">
        <f t="shared" si="11"/>
        <v>SOSTENER</v>
      </c>
      <c r="AI58" t="str">
        <f t="shared" si="8"/>
        <v>✅ Mantener desempeño y monitorear variaciones para sostener categoría.</v>
      </c>
      <c r="AJ58" s="26">
        <f>_xlfn.LET(_xlpm.piso,AF58,_xlpm.corte,AE58,_xlpm.prog,IF(_xlpm.corte&lt;=_xlpm.piso,0,MAX(0,MIN(1,(U58-_xlpm.piso)/(_xlpm.corte-_xlpm.piso)))),_xlpm.orden,{"DIAMANTE";"PLATINO";"ORO";"PLATA";"BRONCE";"CERRADO"},_xlpm.act,IFERROR(MATCH(V58,_xlpm.orden,0),6),_xlpm.ant,IFERROR(MATCH(W58,_xlpm.orden,0),6),_xlpm.ajmov,IF(_xlpm.act&lt;_xlpm.ant,0.08,IF(_xlpm.act&gt;_xlpm.ant,-0.08,0)),_xlpm.ajcli,IF(T58&lt;0.95,-0.06,0),_xlpm.prob,MAX(0,MIN(1,_xlpm.prog+_xlpm.ajmov+_xlpm.ajcli)),IF(OR(V58="DIAMANTE",V58="CERRADO"),0,ROUND(_xlpm.prob,2)))</f>
        <v>0</v>
      </c>
      <c r="AK58" t="str">
        <f t="shared" si="12"/>
        <v>No aplica</v>
      </c>
      <c r="AL58" t="str">
        <f t="shared" si="13"/>
        <v>Margen de seguridad: 2,3 puntos</v>
      </c>
      <c r="AM58">
        <f t="shared" si="14"/>
        <v>0.8</v>
      </c>
      <c r="AN58" t="str">
        <f t="shared" si="15"/>
        <v>PRIORIDAD ALTA – requiere intervención inmediata</v>
      </c>
      <c r="AO58">
        <f t="shared" si="16"/>
        <v>10.816813530933993</v>
      </c>
      <c r="AP58">
        <f t="shared" si="17"/>
        <v>0</v>
      </c>
      <c r="AQ58">
        <f t="shared" si="18"/>
        <v>1.0999999999997812E-2</v>
      </c>
      <c r="AR58">
        <f t="shared" si="19"/>
        <v>0.6599999999999997</v>
      </c>
      <c r="AS58">
        <f t="shared" si="20"/>
        <v>0</v>
      </c>
      <c r="AT58" t="str">
        <f t="shared" si="21"/>
        <v>VENTAS</v>
      </c>
      <c r="AU58">
        <f t="shared" si="22"/>
        <v>10.816813530933993</v>
      </c>
      <c r="AV58" t="str">
        <f t="shared" si="23"/>
        <v>Mayor retorno probable: VENTAS (+10,8 puntos finales potenciales).</v>
      </c>
    </row>
    <row r="59" spans="1:48" x14ac:dyDescent="0.3">
      <c r="A59" s="5">
        <v>51010329</v>
      </c>
      <c r="B59" s="5" t="str">
        <f>IFERROR(VLOOKUP(A59,VENTAS!$A$2:$B$1194,2,0),"")</f>
        <v>NELLI</v>
      </c>
      <c r="C59" s="5">
        <f>IFERROR(INDEX(VENTAS!$C$2:$E$1194,MATCH(A59,VENTAS!$A$2:$A$1194,0),MATCH(PARAMS_MODELO!$B$2,{"Q1","Q2","Q3"},0)),0)</f>
        <v>270433319.77999997</v>
      </c>
      <c r="D59" s="5">
        <f>IFERROR(INDEX(VENTAS!$F$2:$H$1194,MATCH(A59,VENTAS!$A$2:$A$1194,0),MATCH(PARAMS_MODELO!$B$2,{"Q1","Q2","Q3"},0)),0)</f>
        <v>184353766</v>
      </c>
      <c r="E59" s="8">
        <f t="shared" si="0"/>
        <v>-0.31830232254674273</v>
      </c>
      <c r="F59" s="12">
        <f>IF(E59&lt;=PARAMS_MODELO!$B$15,0,IF(E59&gt;=PARAMS_MODELO!$B$17,100,100*MIN(1,(E59-PARAMS_MODELO!$B$15)/(PARAMS_MODELO!$B$16-PARAMS_MODELO!$B$15))))*PARAMS_MODELO!$B$7</f>
        <v>0</v>
      </c>
      <c r="G59" s="5">
        <f t="shared" si="1"/>
        <v>0</v>
      </c>
      <c r="H59" s="5">
        <f>(PARAMS_MODELO!$B$20*(MAX(0,MIN(3,E59))/3)+PARAMS_MODELO!$B$21*(IFERROR(LN(1+MAX(0,G59))/LN(1+MAX(0,MAX($G$2:$G$1194))),0)))*100*PARAMS_MODELO!$B$8</f>
        <v>0</v>
      </c>
      <c r="I59" s="8">
        <f>E59-PARAMS_MODELO!$B$5</f>
        <v>-0.49586515792226926</v>
      </c>
      <c r="J59" s="5">
        <f>IF(I59&lt;=PARAMS_MODELO!$B$18,0,IF(I59&gt;=PARAMS_MODELO!$B$19,100,100*(I59-PARAMS_MODELO!$B$18)/(PARAMS_MODELO!$B$19-PARAMS_MODELO!$B$18)))*PARAMS_MODELO!$B$9</f>
        <v>0</v>
      </c>
      <c r="K59" s="5">
        <f>IFERROR(CHOOSE(MATCH(PARAMS_MODELO!$B$2,{"Q1","Q2","Q3"},0),LOTO!$D59,LOTO!$F59,LOTO!$H59),0)</f>
        <v>9777499.9999999981</v>
      </c>
      <c r="L59" s="8">
        <f t="shared" si="2"/>
        <v>5.3036616566867409E-2</v>
      </c>
      <c r="M59" s="5">
        <f>MIN(100,IF(PARAMS_MODELO!$B$23=0,0,100*L59/PARAMS_MODELO!$B$23))*PARAMS_MODELO!$B$10</f>
        <v>15</v>
      </c>
      <c r="N59" s="5">
        <f>IFERROR(VLOOKUP(A59,COMPLIANCE!$A$2:$F$1996,6,0),100)</f>
        <v>100</v>
      </c>
      <c r="O59" s="5">
        <f>N59*PARAMS_MODELO!$B$11</f>
        <v>10</v>
      </c>
      <c r="P59" s="5">
        <f>IFERROR(VLOOKUP(A59,DIGITAL!$A$2:$J$2000,7,0),100)</f>
        <v>87</v>
      </c>
      <c r="Q59" s="5">
        <f>IFERROR(P59,0)*PARAMS_MODELO!$B$12</f>
        <v>8.7000000000000011</v>
      </c>
      <c r="R59">
        <f t="shared" si="3"/>
        <v>33.700000000000003</v>
      </c>
      <c r="S59" s="5" t="str">
        <f>IFERROR(VLOOKUP(A59,CLIENTE!$A$2:$N$2000,13,0),1)</f>
        <v>Regular</v>
      </c>
      <c r="T59" s="5">
        <f>IFERROR(VLOOKUP(A59,CLIENTE!$A$2:$N$2000,14,0),1)</f>
        <v>1</v>
      </c>
      <c r="U59" s="5">
        <f t="shared" si="4"/>
        <v>33.700000000000003</v>
      </c>
      <c r="V59" s="5" t="str">
        <f>IF(U59&gt;=MAX(_xlfn.PERCENTILE.INC($U$2:$U$1194,PARAMS_MODELO!$B$50),PARAMS_MODELO!$B$45),"DIAMANTE",IF(U59&gt;=MAX(_xlfn.PERCENTILE.INC($U$2:$U$1194,PARAMS_MODELO!$B$51),PARAMS_MODELO!$B$46),"PLATINO",IF(U59&gt;=MAX(_xlfn.PERCENTILE.INC($U$2:$U$1194,PARAMS_MODELO!$B$52),PARAMS_MODELO!$B$47),"ORO",IF(U59&gt;=MAX(_xlfn.PERCENTILE.INC($U$2:$U$1194,PARAMS_MODELO!$B$53),PARAMS_MODELO!$B$48),"PLATA",IF(U59&gt;=1,"BRONCE","CERRADO")))))</f>
        <v>PLATA</v>
      </c>
      <c r="W59" s="5" t="str" cm="1">
        <f t="array" ref="W59">_xlfn.XLOOKUP(1, (HIST_SCORE!$B:$B=PARAMS_MODELO!$B$4) * (HIST_SCORE!$C:$C=A59), HIST_SCORE!$E:$E, "No encontrado")</f>
        <v>PLATA</v>
      </c>
      <c r="X59" s="5" t="str">
        <f>_xlfn.LET(_xlpm.act,MATCH(V59,{"DIAMANTE";"PLATINO";"ORO";"PLATA";"BRONCE";"CERRADO"},0),_xlpm.ant,MATCH(W59,{"DIAMANTE";"PLATINO";"ORO";"PLATA";"BRONCE";"CERRADO"},0),IF(_xlpm.act&lt;_xlpm.ant,"Mejora ↑",IF(_xlpm.act&gt;_xlpm.ant,"Baja ↓","Estable →")))</f>
        <v>Estable →</v>
      </c>
      <c r="Y59" s="5">
        <f>IFERROR(U59-SUMIFS(HIST_SCORE!$D:$D,HIST_SCORE!$B:$B,PARAMS_MODELO!$B$4,HIST_SCORE!$C:$C,$A59),"")</f>
        <v>2.1472451281838119</v>
      </c>
      <c r="Z59" s="5" t="str">
        <f t="shared" si="5"/>
        <v>→ Estable</v>
      </c>
      <c r="AA59" s="5">
        <f t="shared" si="6"/>
        <v>816</v>
      </c>
      <c r="AB59" s="5">
        <f>IFERROR(SUMIFS(HIST_SCORE!$F:$F,HIST_SCORE!$B:$B,PARAMS_MODELO!$B$4,HIST_SCORE!$C:$C,$A59),"")</f>
        <v>895</v>
      </c>
      <c r="AC59" s="5">
        <f t="shared" si="7"/>
        <v>79</v>
      </c>
      <c r="AD59" t="str">
        <f t="shared" si="9"/>
        <v/>
      </c>
      <c r="AE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CERRADO",1,IF(V59="BRONCE",_xlpm.cPl,IF(V59="PLATA",_xlpm.cO,IF(V59="ORO",_xlpm.cP,IF(V59="PLATINO",_xlpm.cD,999))))))</f>
        <v>63.199193273331495</v>
      </c>
      <c r="AF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CERRADO",0,IF(V59="BRONCE",1,IF(V59="PLATA",_xlpm.cPl,IF(V59="ORO",_xlpm.cO,IF(V59="PLATINO",_xlpm.cP,_xlpm.cD))))))</f>
        <v>24.506573482968111</v>
      </c>
      <c r="AG59">
        <f t="shared" si="10"/>
        <v>29.499193273331493</v>
      </c>
      <c r="AH59" t="str">
        <f t="shared" si="11"/>
        <v>VENTAS</v>
      </c>
      <c r="AI59" t="str">
        <f t="shared" si="8"/>
        <v>🎯 Para subir de categoría, eje VENTAS / CRECIMIENTO PERSONAL (F). Acción: metas semanales + activación comercial + seguimiento del asesor. ΔR aprox: 29,5</v>
      </c>
      <c r="AJ59" s="26">
        <f>_xlfn.LET(_xlpm.piso,AF59,_xlpm.corte,AE59,_xlpm.prog,IF(_xlpm.corte&lt;=_xlpm.piso,0,MAX(0,MIN(1,(U59-_xlpm.piso)/(_xlpm.corte-_xlpm.piso)))),_xlpm.orden,{"DIAMANTE";"PLATINO";"ORO";"PLATA";"BRONCE";"CERRADO"},_xlpm.act,IFERROR(MATCH(V59,_xlpm.orden,0),6),_xlpm.ant,IFERROR(MATCH(W59,_xlpm.orden,0),6),_xlpm.ajmov,IF(_xlpm.act&lt;_xlpm.ant,0.08,IF(_xlpm.act&gt;_xlpm.ant,-0.08,0)),_xlpm.ajcli,IF(T59&lt;0.95,-0.06,0),_xlpm.prob,MAX(0,MIN(1,_xlpm.prog+_xlpm.ajmov+_xlpm.ajcli)),IF(OR(V59="DIAMANTE",V59="CERRADO"),0,ROUND(_xlpm.prob,2)))</f>
        <v>0.24</v>
      </c>
      <c r="AK59" t="str">
        <f t="shared" si="12"/>
        <v>Faltan 29,5 puntos base para subir a la siguiente categoría</v>
      </c>
      <c r="AL59" t="str">
        <f t="shared" si="13"/>
        <v>Margen de seguridad: 9,2 puntos</v>
      </c>
      <c r="AM59">
        <f t="shared" si="14"/>
        <v>0.7</v>
      </c>
      <c r="AN59" t="str">
        <f t="shared" si="15"/>
        <v>PRIORIDAD ALTA – requiere intervención inmediata</v>
      </c>
      <c r="AO59">
        <f t="shared" si="16"/>
        <v>64.862569275295584</v>
      </c>
      <c r="AP59">
        <f t="shared" si="17"/>
        <v>0</v>
      </c>
      <c r="AQ59">
        <f t="shared" si="18"/>
        <v>0</v>
      </c>
      <c r="AR59">
        <f t="shared" si="19"/>
        <v>1.2999999999999989</v>
      </c>
      <c r="AS59">
        <f t="shared" si="20"/>
        <v>0</v>
      </c>
      <c r="AT59" t="str">
        <f t="shared" si="21"/>
        <v>VENTAS</v>
      </c>
      <c r="AU59">
        <f t="shared" si="22"/>
        <v>64.862569275295584</v>
      </c>
      <c r="AV59" t="str">
        <f t="shared" si="23"/>
        <v>Mayor retorno probable: VENTAS (+64,9 puntos finales potenciales).</v>
      </c>
    </row>
    <row r="60" spans="1:48" x14ac:dyDescent="0.3">
      <c r="A60" s="5">
        <v>51011252</v>
      </c>
      <c r="B60" s="5" t="str">
        <f>IFERROR(VLOOKUP(A60,VENTAS!$A$2:$B$1194,2,0),"")</f>
        <v>MONTENEGRO</v>
      </c>
      <c r="C60" s="5">
        <f>IFERROR(INDEX(VENTAS!$C$2:$E$1194,MATCH(A60,VENTAS!$A$2:$A$1194,0),MATCH(PARAMS_MODELO!$B$2,{"Q1","Q2","Q3"},0)),0)</f>
        <v>142693823.75</v>
      </c>
      <c r="D60" s="5">
        <f>IFERROR(INDEX(VENTAS!$F$2:$H$1194,MATCH(A60,VENTAS!$A$2:$A$1194,0),MATCH(PARAMS_MODELO!$B$2,{"Q1","Q2","Q3"},0)),0)</f>
        <v>183766803</v>
      </c>
      <c r="E60" s="8">
        <f t="shared" si="0"/>
        <v>0.2878399230646449</v>
      </c>
      <c r="F60" s="12">
        <f>IF(E60&lt;=PARAMS_MODELO!$B$15,0,IF(E60&gt;=PARAMS_MODELO!$B$17,100,100*MIN(1,(E60-PARAMS_MODELO!$B$15)/(PARAMS_MODELO!$B$16-PARAMS_MODELO!$B$15))))*PARAMS_MODELO!$B$7</f>
        <v>35</v>
      </c>
      <c r="G60" s="5">
        <f t="shared" si="1"/>
        <v>41072979.25</v>
      </c>
      <c r="H60" s="5">
        <f>(PARAMS_MODELO!$B$20*(MAX(0,MIN(3,E60))/3)+PARAMS_MODELO!$B$21*(IFERROR(LN(1+MAX(0,G60))/LN(1+MAX(0,MAX($G$2:$G$1194))),0)))*100*PARAMS_MODELO!$B$8</f>
        <v>5.1169183034603298</v>
      </c>
      <c r="I60" s="8">
        <f>E60-PARAMS_MODELO!$B$5</f>
        <v>0.11027708768911837</v>
      </c>
      <c r="J60" s="5">
        <f>IF(I60&lt;=PARAMS_MODELO!$B$18,0,IF(I60&gt;=PARAMS_MODELO!$B$19,100,100*(I60-PARAMS_MODELO!$B$18)/(PARAMS_MODELO!$B$19-PARAMS_MODELO!$B$18)))*PARAMS_MODELO!$B$9</f>
        <v>15</v>
      </c>
      <c r="K60" s="5">
        <f>IFERROR(CHOOSE(MATCH(PARAMS_MODELO!$B$2,{"Q1","Q2","Q3"},0),LOTO!$D60,LOTO!$F60,LOTO!$H60),0)</f>
        <v>9695000</v>
      </c>
      <c r="L60" s="8">
        <f t="shared" si="2"/>
        <v>5.2757080396071319E-2</v>
      </c>
      <c r="M60" s="5">
        <f>MIN(100,IF(PARAMS_MODELO!$B$23=0,0,100*L60/PARAMS_MODELO!$B$23))*PARAMS_MODELO!$B$10</f>
        <v>15</v>
      </c>
      <c r="N60" s="5">
        <f>IFERROR(VLOOKUP(A60,COMPLIANCE!$A$2:$F$1996,6,0),100)</f>
        <v>100</v>
      </c>
      <c r="O60" s="5">
        <f>N60*PARAMS_MODELO!$B$11</f>
        <v>10</v>
      </c>
      <c r="P60" s="5">
        <f>IFERROR(VLOOKUP(A60,DIGITAL!$A$2:$J$2000,7,0),100)</f>
        <v>53</v>
      </c>
      <c r="Q60" s="5">
        <f>IFERROR(P60,0)*PARAMS_MODELO!$B$12</f>
        <v>5.3000000000000007</v>
      </c>
      <c r="R60">
        <f t="shared" si="3"/>
        <v>85.416918303460321</v>
      </c>
      <c r="S60" s="5" t="str">
        <f>IFERROR(VLOOKUP(A60,CLIENTE!$A$2:$N$2000,13,0),1)</f>
        <v>Malo</v>
      </c>
      <c r="T60" s="5">
        <f>IFERROR(VLOOKUP(A60,CLIENTE!$A$2:$N$2000,14,0),1)</f>
        <v>0.7</v>
      </c>
      <c r="U60" s="5">
        <f t="shared" si="4"/>
        <v>59.791842812422217</v>
      </c>
      <c r="V60" s="5" t="str">
        <f>IF(U60&gt;=MAX(_xlfn.PERCENTILE.INC($U$2:$U$1194,PARAMS_MODELO!$B$50),PARAMS_MODELO!$B$45),"DIAMANTE",IF(U60&gt;=MAX(_xlfn.PERCENTILE.INC($U$2:$U$1194,PARAMS_MODELO!$B$51),PARAMS_MODELO!$B$46),"PLATINO",IF(U60&gt;=MAX(_xlfn.PERCENTILE.INC($U$2:$U$1194,PARAMS_MODELO!$B$52),PARAMS_MODELO!$B$47),"ORO",IF(U60&gt;=MAX(_xlfn.PERCENTILE.INC($U$2:$U$1194,PARAMS_MODELO!$B$53),PARAMS_MODELO!$B$48),"PLATA",IF(U60&gt;=1,"BRONCE","CERRADO")))))</f>
        <v>PLATA</v>
      </c>
      <c r="W60" s="5" t="str" cm="1">
        <f t="array" ref="W60">_xlfn.XLOOKUP(1, (HIST_SCORE!$B:$B=PARAMS_MODELO!$B$4) * (HIST_SCORE!$C:$C=A60), HIST_SCORE!$E:$E, "No encontrado")</f>
        <v>PLATA</v>
      </c>
      <c r="X60" s="5" t="str">
        <f>_xlfn.LET(_xlpm.act,MATCH(V60,{"DIAMANTE";"PLATINO";"ORO";"PLATA";"BRONCE";"CERRADO"},0),_xlpm.ant,MATCH(W60,{"DIAMANTE";"PLATINO";"ORO";"PLATA";"BRONCE";"CERRADO"},0),IF(_xlpm.act&lt;_xlpm.ant,"Mejora ↑",IF(_xlpm.act&gt;_xlpm.ant,"Baja ↓","Estable →")))</f>
        <v>Estable →</v>
      </c>
      <c r="Y60" s="5">
        <f>IFERROR(U60-SUMIFS(HIST_SCORE!$D:$D,HIST_SCORE!$B:$B,PARAMS_MODELO!$B$4,HIST_SCORE!$C:$C,$A60),"")</f>
        <v>3.9153823776601513</v>
      </c>
      <c r="Z60" s="5" t="str">
        <f t="shared" si="5"/>
        <v>→ Estable</v>
      </c>
      <c r="AA60" s="5">
        <f t="shared" si="6"/>
        <v>624</v>
      </c>
      <c r="AB60" s="5">
        <f>IFERROR(SUMIFS(HIST_SCORE!$F:$F,HIST_SCORE!$B:$B,PARAMS_MODELO!$B$4,HIST_SCORE!$C:$C,$A60),"")</f>
        <v>726</v>
      </c>
      <c r="AC60" s="5">
        <f t="shared" si="7"/>
        <v>102</v>
      </c>
      <c r="AD60" t="str">
        <f t="shared" si="9"/>
        <v/>
      </c>
      <c r="AE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CERRADO",1,IF(V60="BRONCE",_xlpm.cPl,IF(V60="PLATA",_xlpm.cO,IF(V60="ORO",_xlpm.cP,IF(V60="PLATINO",_xlpm.cD,999))))))</f>
        <v>63.199193273331495</v>
      </c>
      <c r="AF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CERRADO",0,IF(V60="BRONCE",1,IF(V60="PLATA",_xlpm.cPl,IF(V60="ORO",_xlpm.cO,IF(V60="PLATINO",_xlpm.cP,_xlpm.cD))))))</f>
        <v>24.506573482968111</v>
      </c>
      <c r="AG60">
        <f t="shared" si="10"/>
        <v>4.8676435155846747</v>
      </c>
      <c r="AH60" t="str">
        <f t="shared" si="11"/>
        <v>CLIENTE</v>
      </c>
      <c r="AI60" t="str">
        <f t="shared" si="8"/>
        <v>🎯 Para subir de categoría, la eje con mayor impacto probable es CLIENTE (coef T). Acción: reducir quejas, mejorar incógnito y empujar reseñas. ΔR aprox: 4,9</v>
      </c>
      <c r="AJ60" s="26">
        <f>_xlfn.LET(_xlpm.piso,AF60,_xlpm.corte,AE60,_xlpm.prog,IF(_xlpm.corte&lt;=_xlpm.piso,0,MAX(0,MIN(1,(U60-_xlpm.piso)/(_xlpm.corte-_xlpm.piso)))),_xlpm.orden,{"DIAMANTE";"PLATINO";"ORO";"PLATA";"BRONCE";"CERRADO"},_xlpm.act,IFERROR(MATCH(V60,_xlpm.orden,0),6),_xlpm.ant,IFERROR(MATCH(W60,_xlpm.orden,0),6),_xlpm.ajmov,IF(_xlpm.act&lt;_xlpm.ant,0.08,IF(_xlpm.act&gt;_xlpm.ant,-0.08,0)),_xlpm.ajcli,IF(T60&lt;0.95,-0.06,0),_xlpm.prob,MAX(0,MIN(1,_xlpm.prog+_xlpm.ajmov+_xlpm.ajcli)),IF(OR(V60="DIAMANTE",V60="CERRADO"),0,ROUND(_xlpm.prob,2)))</f>
        <v>0.85</v>
      </c>
      <c r="AK60" t="str">
        <f t="shared" si="12"/>
        <v>Faltan 4,9 puntos base para subir a la siguiente categoría</v>
      </c>
      <c r="AL60" t="str">
        <f t="shared" si="13"/>
        <v>Margen de seguridad: 35,3 puntos</v>
      </c>
      <c r="AM60">
        <f t="shared" si="14"/>
        <v>0.45</v>
      </c>
      <c r="AN60" t="str">
        <f t="shared" si="15"/>
        <v>PRIORIDAD MEDIA – seguimiento del asesor</v>
      </c>
      <c r="AO60">
        <f t="shared" si="16"/>
        <v>6.8219556802846775</v>
      </c>
      <c r="AP60">
        <f t="shared" si="17"/>
        <v>0</v>
      </c>
      <c r="AQ60">
        <f t="shared" si="18"/>
        <v>0</v>
      </c>
      <c r="AR60">
        <f t="shared" si="19"/>
        <v>3.2899999999999991</v>
      </c>
      <c r="AS60">
        <f t="shared" si="20"/>
        <v>25.6250754910381</v>
      </c>
      <c r="AT60" t="str">
        <f t="shared" si="21"/>
        <v>CLIENTE</v>
      </c>
      <c r="AU60">
        <f t="shared" si="22"/>
        <v>25.6250754910381</v>
      </c>
      <c r="AV60" t="str">
        <f t="shared" si="23"/>
        <v>Mayor retorno probable: CLIENTE (+25,6 puntos finales potenciales).</v>
      </c>
    </row>
    <row r="61" spans="1:48" x14ac:dyDescent="0.3">
      <c r="A61" s="5">
        <v>51018648</v>
      </c>
      <c r="B61" s="5" t="str">
        <f>IFERROR(VLOOKUP(A61,VENTAS!$A$2:$B$1194,2,0),"")</f>
        <v>PUGH</v>
      </c>
      <c r="C61" s="5">
        <f>IFERROR(INDEX(VENTAS!$C$2:$E$1194,MATCH(A61,VENTAS!$A$2:$A$1194,0),MATCH(PARAMS_MODELO!$B$2,{"Q1","Q2","Q3"},0)),0)</f>
        <v>135567715.41</v>
      </c>
      <c r="D61" s="5">
        <f>IFERROR(INDEX(VENTAS!$F$2:$H$1194,MATCH(A61,VENTAS!$A$2:$A$1194,0),MATCH(PARAMS_MODELO!$B$2,{"Q1","Q2","Q3"},0)),0)</f>
        <v>183559368</v>
      </c>
      <c r="E61" s="8">
        <f t="shared" si="0"/>
        <v>0.35400502578993787</v>
      </c>
      <c r="F61" s="12">
        <f>IF(E61&lt;=PARAMS_MODELO!$B$15,0,IF(E61&gt;=PARAMS_MODELO!$B$17,100,100*MIN(1,(E61-PARAMS_MODELO!$B$15)/(PARAMS_MODELO!$B$16-PARAMS_MODELO!$B$15))))*PARAMS_MODELO!$B$7</f>
        <v>35</v>
      </c>
      <c r="G61" s="5">
        <f t="shared" si="1"/>
        <v>47991652.590000004</v>
      </c>
      <c r="H61" s="5">
        <f>(PARAMS_MODELO!$B$20*(MAX(0,MIN(3,E61))/3)+PARAMS_MODELO!$B$21*(IFERROR(LN(1+MAX(0,G61))/LN(1+MAX(0,MAX($G$2:$G$1194))),0)))*100*PARAMS_MODELO!$B$8</f>
        <v>5.384988936497316</v>
      </c>
      <c r="I61" s="8">
        <f>E61-PARAMS_MODELO!$B$5</f>
        <v>0.17644219041441134</v>
      </c>
      <c r="J61" s="5">
        <f>IF(I61&lt;=PARAMS_MODELO!$B$18,0,IF(I61&gt;=PARAMS_MODELO!$B$19,100,100*(I61-PARAMS_MODELO!$B$18)/(PARAMS_MODELO!$B$19-PARAMS_MODELO!$B$18)))*PARAMS_MODELO!$B$9</f>
        <v>15</v>
      </c>
      <c r="K61" s="5">
        <f>IFERROR(CHOOSE(MATCH(PARAMS_MODELO!$B$2,{"Q1","Q2","Q3"},0),LOTO!$D61,LOTO!$F61,LOTO!$H61),0)</f>
        <v>9645000</v>
      </c>
      <c r="L61" s="8">
        <f t="shared" si="2"/>
        <v>5.2544308171730031E-2</v>
      </c>
      <c r="M61" s="5">
        <f>MIN(100,IF(PARAMS_MODELO!$B$23=0,0,100*L61/PARAMS_MODELO!$B$23))*PARAMS_MODELO!$B$10</f>
        <v>15</v>
      </c>
      <c r="N61" s="5">
        <f>IFERROR(VLOOKUP(A61,COMPLIANCE!$A$2:$F$1996,6,0),100)</f>
        <v>100</v>
      </c>
      <c r="O61" s="5">
        <f>N61*PARAMS_MODELO!$B$11</f>
        <v>10</v>
      </c>
      <c r="P61" s="5">
        <f>IFERROR(VLOOKUP(A61,DIGITAL!$A$2:$J$2000,7,0),100)</f>
        <v>11</v>
      </c>
      <c r="Q61" s="5">
        <f>IFERROR(P61,0)*PARAMS_MODELO!$B$12</f>
        <v>1.1000000000000001</v>
      </c>
      <c r="R61">
        <f t="shared" si="3"/>
        <v>81.484988936497302</v>
      </c>
      <c r="S61" s="5" t="str">
        <f>IFERROR(VLOOKUP(A61,CLIENTE!$A$2:$N$2000,13,0),1)</f>
        <v>Regular</v>
      </c>
      <c r="T61" s="5">
        <f>IFERROR(VLOOKUP(A61,CLIENTE!$A$2:$N$2000,14,0),1)</f>
        <v>1</v>
      </c>
      <c r="U61" s="5">
        <f t="shared" si="4"/>
        <v>81.484988936497302</v>
      </c>
      <c r="V61" s="5" t="str">
        <f>IF(U61&gt;=MAX(_xlfn.PERCENTILE.INC($U$2:$U$1194,PARAMS_MODELO!$B$50),PARAMS_MODELO!$B$45),"DIAMANTE",IF(U61&gt;=MAX(_xlfn.PERCENTILE.INC($U$2:$U$1194,PARAMS_MODELO!$B$51),PARAMS_MODELO!$B$46),"PLATINO",IF(U61&gt;=MAX(_xlfn.PERCENTILE.INC($U$2:$U$1194,PARAMS_MODELO!$B$52),PARAMS_MODELO!$B$47),"ORO",IF(U61&gt;=MAX(_xlfn.PERCENTILE.INC($U$2:$U$1194,PARAMS_MODELO!$B$53),PARAMS_MODELO!$B$48),"PLATA",IF(U61&gt;=1,"BRONCE","CERRADO")))))</f>
        <v>ORO</v>
      </c>
      <c r="W61" s="5" t="str" cm="1">
        <f t="array" ref="W61">_xlfn.XLOOKUP(1, (HIST_SCORE!$B:$B=PARAMS_MODELO!$B$4) * (HIST_SCORE!$C:$C=A61), HIST_SCORE!$E:$E, "No encontrado")</f>
        <v>ORO</v>
      </c>
      <c r="X61" s="5" t="str">
        <f>_xlfn.LET(_xlpm.act,MATCH(V61,{"DIAMANTE";"PLATINO";"ORO";"PLATA";"BRONCE";"CERRADO"},0),_xlpm.ant,MATCH(W61,{"DIAMANTE";"PLATINO";"ORO";"PLATA";"BRONCE";"CERRADO"},0),IF(_xlpm.act&lt;_xlpm.ant,"Mejora ↑",IF(_xlpm.act&gt;_xlpm.ant,"Baja ↓","Estable →")))</f>
        <v>Estable →</v>
      </c>
      <c r="Y61" s="5">
        <f>IFERROR(U61-SUMIFS(HIST_SCORE!$D:$D,HIST_SCORE!$B:$B,PARAMS_MODELO!$B$4,HIST_SCORE!$C:$C,$A61),"")</f>
        <v>7.6768791142839632E-2</v>
      </c>
      <c r="Z61" s="5" t="str">
        <f t="shared" si="5"/>
        <v>→ Estable</v>
      </c>
      <c r="AA61" s="5">
        <f t="shared" si="6"/>
        <v>402</v>
      </c>
      <c r="AB61" s="5">
        <f>IFERROR(SUMIFS(HIST_SCORE!$F:$F,HIST_SCORE!$B:$B,PARAMS_MODELO!$B$4,HIST_SCORE!$C:$C,$A61),"")</f>
        <v>385</v>
      </c>
      <c r="AC61" s="5">
        <f t="shared" si="7"/>
        <v>-17</v>
      </c>
      <c r="AD61" t="str">
        <f t="shared" si="9"/>
        <v/>
      </c>
      <c r="AE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CERRADO",1,IF(V61="BRONCE",_xlpm.cPl,IF(V61="PLATA",_xlpm.cO,IF(V61="ORO",_xlpm.cP,IF(V61="PLATINO",_xlpm.cD,999))))))</f>
        <v>86.439123873763251</v>
      </c>
      <c r="AF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CERRADO",0,IF(V61="BRONCE",1,IF(V61="PLATA",_xlpm.cPl,IF(V61="ORO",_xlpm.cO,IF(V61="PLATINO",_xlpm.cP,_xlpm.cD))))))</f>
        <v>63.199193273331495</v>
      </c>
      <c r="AG61">
        <f t="shared" si="10"/>
        <v>4.9541349372659482</v>
      </c>
      <c r="AH61" t="str">
        <f t="shared" si="11"/>
        <v>VENTAS</v>
      </c>
      <c r="AI61" t="str">
        <f t="shared" si="8"/>
        <v>🎯 Para subir de categoría, eje VENTAS / IMPACTO ABSOLUTO (H). Acción: metas semanales + activación comercial + seguimiento del asesor. ΔR aprox: 5,0</v>
      </c>
      <c r="AJ61" s="26">
        <f>_xlfn.LET(_xlpm.piso,AF61,_xlpm.corte,AE61,_xlpm.prog,IF(_xlpm.corte&lt;=_xlpm.piso,0,MAX(0,MIN(1,(U61-_xlpm.piso)/(_xlpm.corte-_xlpm.piso)))),_xlpm.orden,{"DIAMANTE";"PLATINO";"ORO";"PLATA";"BRONCE";"CERRADO"},_xlpm.act,IFERROR(MATCH(V61,_xlpm.orden,0),6),_xlpm.ant,IFERROR(MATCH(W61,_xlpm.orden,0),6),_xlpm.ajmov,IF(_xlpm.act&lt;_xlpm.ant,0.08,IF(_xlpm.act&gt;_xlpm.ant,-0.08,0)),_xlpm.ajcli,IF(T61&lt;0.95,-0.06,0),_xlpm.prob,MAX(0,MIN(1,_xlpm.prog+_xlpm.ajmov+_xlpm.ajcli)),IF(OR(V61="DIAMANTE",V61="CERRADO"),0,ROUND(_xlpm.prob,2)))</f>
        <v>0.79</v>
      </c>
      <c r="AK61" t="str">
        <f t="shared" si="12"/>
        <v>Faltan 5,0 puntos base para subir a la siguiente categoría</v>
      </c>
      <c r="AL61" t="str">
        <f t="shared" si="13"/>
        <v>Margen de seguridad: 18,3 puntos</v>
      </c>
      <c r="AM61">
        <f t="shared" si="14"/>
        <v>0.28000000000000003</v>
      </c>
      <c r="AN61" t="str">
        <f t="shared" si="15"/>
        <v>PRIORIDAD BAJA – control normal</v>
      </c>
      <c r="AO61">
        <f t="shared" si="16"/>
        <v>9.4775803387982691</v>
      </c>
      <c r="AP61">
        <f t="shared" si="17"/>
        <v>0</v>
      </c>
      <c r="AQ61">
        <f t="shared" si="18"/>
        <v>0</v>
      </c>
      <c r="AR61">
        <f t="shared" si="19"/>
        <v>8.9</v>
      </c>
      <c r="AS61">
        <f t="shared" si="20"/>
        <v>0</v>
      </c>
      <c r="AT61" t="str">
        <f t="shared" si="21"/>
        <v>VENTAS</v>
      </c>
      <c r="AU61">
        <f t="shared" si="22"/>
        <v>9.4775803387982691</v>
      </c>
      <c r="AV61" t="str">
        <f t="shared" si="23"/>
        <v>Mayor retorno probable: VENTAS (+9,5 puntos finales potenciales).</v>
      </c>
    </row>
    <row r="62" spans="1:48" x14ac:dyDescent="0.3">
      <c r="A62" s="5">
        <v>51024524</v>
      </c>
      <c r="B62" s="5" t="str">
        <f>IFERROR(VLOOKUP(A62,VENTAS!$A$2:$B$1194,2,0),"")</f>
        <v>LÓPEZ</v>
      </c>
      <c r="C62" s="5">
        <f>IFERROR(INDEX(VENTAS!$C$2:$E$1194,MATCH(A62,VENTAS!$A$2:$A$1194,0),MATCH(PARAMS_MODELO!$B$2,{"Q1","Q2","Q3"},0)),0)</f>
        <v>145048616.46000001</v>
      </c>
      <c r="D62" s="5">
        <f>IFERROR(INDEX(VENTAS!$F$2:$H$1194,MATCH(A62,VENTAS!$A$2:$A$1194,0),MATCH(PARAMS_MODELO!$B$2,{"Q1","Q2","Q3"},0)),0)</f>
        <v>182091626</v>
      </c>
      <c r="E62" s="8">
        <f t="shared" si="0"/>
        <v>0.25538340484767974</v>
      </c>
      <c r="F62" s="12">
        <f>IF(E62&lt;=PARAMS_MODELO!$B$15,0,IF(E62&gt;=PARAMS_MODELO!$B$17,100,100*MIN(1,(E62-PARAMS_MODELO!$B$15)/(PARAMS_MODELO!$B$16-PARAMS_MODELO!$B$15))))*PARAMS_MODELO!$B$7</f>
        <v>35</v>
      </c>
      <c r="G62" s="5">
        <f t="shared" si="1"/>
        <v>37043009.539999992</v>
      </c>
      <c r="H62" s="5">
        <f>(PARAMS_MODELO!$B$20*(MAX(0,MIN(3,E62))/3)+PARAMS_MODELO!$B$21*(IFERROR(LN(1+MAX(0,G62))/LN(1+MAX(0,MAX($G$2:$G$1194))),0)))*100*PARAMS_MODELO!$B$8</f>
        <v>4.9791123710622456</v>
      </c>
      <c r="I62" s="8">
        <f>E62-PARAMS_MODELO!$B$5</f>
        <v>7.7820569472153212E-2</v>
      </c>
      <c r="J62" s="5">
        <f>IF(I62&lt;=PARAMS_MODELO!$B$18,0,IF(I62&gt;=PARAMS_MODELO!$B$19,100,100*(I62-PARAMS_MODELO!$B$18)/(PARAMS_MODELO!$B$19-PARAMS_MODELO!$B$18)))*PARAMS_MODELO!$B$9</f>
        <v>15</v>
      </c>
      <c r="K62" s="5">
        <f>IFERROR(CHOOSE(MATCH(PARAMS_MODELO!$B$2,{"Q1","Q2","Q3"},0),LOTO!$D62,LOTO!$F62,LOTO!$H62),0)</f>
        <v>9540000</v>
      </c>
      <c r="L62" s="8">
        <f t="shared" si="2"/>
        <v>5.2391206611554997E-2</v>
      </c>
      <c r="M62" s="5">
        <f>MIN(100,IF(PARAMS_MODELO!$B$23=0,0,100*L62/PARAMS_MODELO!$B$23))*PARAMS_MODELO!$B$10</f>
        <v>15</v>
      </c>
      <c r="N62" s="5">
        <f>IFERROR(VLOOKUP(A62,COMPLIANCE!$A$2:$F$1996,6,0),100)</f>
        <v>100</v>
      </c>
      <c r="O62" s="5">
        <f>N62*PARAMS_MODELO!$B$11</f>
        <v>10</v>
      </c>
      <c r="P62" s="5">
        <f>IFERROR(VLOOKUP(A62,DIGITAL!$A$2:$J$2000,7,0),100)</f>
        <v>56</v>
      </c>
      <c r="Q62" s="5">
        <f>IFERROR(P62,0)*PARAMS_MODELO!$B$12</f>
        <v>5.6000000000000005</v>
      </c>
      <c r="R62">
        <f t="shared" si="3"/>
        <v>85.579112371062237</v>
      </c>
      <c r="S62" s="5" t="str">
        <f>IFERROR(VLOOKUP(A62,CLIENTE!$A$2:$N$2000,13,0),1)</f>
        <v>Regular</v>
      </c>
      <c r="T62" s="5">
        <f>IFERROR(VLOOKUP(A62,CLIENTE!$A$2:$N$2000,14,0),1)</f>
        <v>1</v>
      </c>
      <c r="U62" s="5">
        <f t="shared" si="4"/>
        <v>85.579112371062237</v>
      </c>
      <c r="V62" s="5" t="str">
        <f>IF(U62&gt;=MAX(_xlfn.PERCENTILE.INC($U$2:$U$1194,PARAMS_MODELO!$B$50),PARAMS_MODELO!$B$45),"DIAMANTE",IF(U62&gt;=MAX(_xlfn.PERCENTILE.INC($U$2:$U$1194,PARAMS_MODELO!$B$51),PARAMS_MODELO!$B$46),"PLATINO",IF(U62&gt;=MAX(_xlfn.PERCENTILE.INC($U$2:$U$1194,PARAMS_MODELO!$B$52),PARAMS_MODELO!$B$47),"ORO",IF(U62&gt;=MAX(_xlfn.PERCENTILE.INC($U$2:$U$1194,PARAMS_MODELO!$B$53),PARAMS_MODELO!$B$48),"PLATA",IF(U62&gt;=1,"BRONCE","CERRADO")))))</f>
        <v>ORO</v>
      </c>
      <c r="W62" s="5" t="str" cm="1">
        <f t="array" ref="W62">_xlfn.XLOOKUP(1, (HIST_SCORE!$B:$B=PARAMS_MODELO!$B$4) * (HIST_SCORE!$C:$C=A62), HIST_SCORE!$E:$E, "No encontrado")</f>
        <v>ORO</v>
      </c>
      <c r="X62" s="5" t="str">
        <f>_xlfn.LET(_xlpm.act,MATCH(V62,{"DIAMANTE";"PLATINO";"ORO";"PLATA";"BRONCE";"CERRADO"},0),_xlpm.ant,MATCH(W62,{"DIAMANTE";"PLATINO";"ORO";"PLATA";"BRONCE";"CERRADO"},0),IF(_xlpm.act&lt;_xlpm.ant,"Mejora ↑",IF(_xlpm.act&gt;_xlpm.ant,"Baja ↓","Estable →")))</f>
        <v>Estable →</v>
      </c>
      <c r="Y62" s="5">
        <f>IFERROR(U62-SUMIFS(HIST_SCORE!$D:$D,HIST_SCORE!$B:$B,PARAMS_MODELO!$B$4,HIST_SCORE!$C:$C,$A62),"")</f>
        <v>0.87504630497784319</v>
      </c>
      <c r="Z62" s="5" t="str">
        <f t="shared" si="5"/>
        <v>→ Estable</v>
      </c>
      <c r="AA62" s="5">
        <f t="shared" si="6"/>
        <v>266</v>
      </c>
      <c r="AB62" s="5">
        <f>IFERROR(SUMIFS(HIST_SCORE!$F:$F,HIST_SCORE!$B:$B,PARAMS_MODELO!$B$4,HIST_SCORE!$C:$C,$A62),"")</f>
        <v>272</v>
      </c>
      <c r="AC62" s="5">
        <f t="shared" si="7"/>
        <v>6</v>
      </c>
      <c r="AD62" t="str">
        <f t="shared" si="9"/>
        <v/>
      </c>
      <c r="AE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CERRADO",1,IF(V62="BRONCE",_xlpm.cPl,IF(V62="PLATA",_xlpm.cO,IF(V62="ORO",_xlpm.cP,IF(V62="PLATINO",_xlpm.cD,999))))))</f>
        <v>86.439123873763251</v>
      </c>
      <c r="AF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CERRADO",0,IF(V62="BRONCE",1,IF(V62="PLATA",_xlpm.cPl,IF(V62="ORO",_xlpm.cO,IF(V62="PLATINO",_xlpm.cP,_xlpm.cD))))))</f>
        <v>63.199193273331495</v>
      </c>
      <c r="AG62">
        <f t="shared" si="10"/>
        <v>0.86001150270101334</v>
      </c>
      <c r="AH62" t="str">
        <f t="shared" si="11"/>
        <v>VENTAS</v>
      </c>
      <c r="AI62" t="str">
        <f t="shared" si="8"/>
        <v>🎯 Para subir de categoría, eje VENTAS / IMPACTO ABSOLUTO (H). Acción: metas semanales + activación comercial + seguimiento del asesor. ΔR aprox: 0,9</v>
      </c>
      <c r="AJ62" s="26">
        <f>_xlfn.LET(_xlpm.piso,AF62,_xlpm.corte,AE62,_xlpm.prog,IF(_xlpm.corte&lt;=_xlpm.piso,0,MAX(0,MIN(1,(U62-_xlpm.piso)/(_xlpm.corte-_xlpm.piso)))),_xlpm.orden,{"DIAMANTE";"PLATINO";"ORO";"PLATA";"BRONCE";"CERRADO"},_xlpm.act,IFERROR(MATCH(V62,_xlpm.orden,0),6),_xlpm.ant,IFERROR(MATCH(W62,_xlpm.orden,0),6),_xlpm.ajmov,IF(_xlpm.act&lt;_xlpm.ant,0.08,IF(_xlpm.act&gt;_xlpm.ant,-0.08,0)),_xlpm.ajcli,IF(T62&lt;0.95,-0.06,0),_xlpm.prob,MAX(0,MIN(1,_xlpm.prog+_xlpm.ajmov+_xlpm.ajcli)),IF(OR(V62="DIAMANTE",V62="CERRADO"),0,ROUND(_xlpm.prob,2)))</f>
        <v>0.96</v>
      </c>
      <c r="AK62" t="str">
        <f t="shared" si="12"/>
        <v>Faltan 0,9 puntos base para subir a la siguiente categoría</v>
      </c>
      <c r="AL62" t="str">
        <f t="shared" si="13"/>
        <v>Margen de seguridad: 22,4 puntos</v>
      </c>
      <c r="AM62">
        <f t="shared" si="14"/>
        <v>0.05</v>
      </c>
      <c r="AN62" t="str">
        <f t="shared" si="15"/>
        <v>PRIORIDAD BAJA – control normal</v>
      </c>
      <c r="AO62">
        <f t="shared" si="16"/>
        <v>9.8834569042333413</v>
      </c>
      <c r="AP62">
        <f t="shared" si="17"/>
        <v>0</v>
      </c>
      <c r="AQ62">
        <f t="shared" si="18"/>
        <v>0</v>
      </c>
      <c r="AR62">
        <f t="shared" si="19"/>
        <v>4.3999999999999995</v>
      </c>
      <c r="AS62">
        <f t="shared" si="20"/>
        <v>0</v>
      </c>
      <c r="AT62" t="str">
        <f t="shared" si="21"/>
        <v>VENTAS</v>
      </c>
      <c r="AU62">
        <f t="shared" si="22"/>
        <v>9.8834569042333413</v>
      </c>
      <c r="AV62" t="str">
        <f t="shared" si="23"/>
        <v>Mayor retorno probable: VENTAS (+9,9 puntos finales potenciales).</v>
      </c>
    </row>
    <row r="63" spans="1:48" x14ac:dyDescent="0.3">
      <c r="A63" s="5">
        <v>51055772</v>
      </c>
      <c r="B63" s="5" t="str">
        <f>IFERROR(VLOOKUP(A63,VENTAS!$A$2:$B$1194,2,0),"")</f>
        <v>NELLI</v>
      </c>
      <c r="C63" s="5">
        <f>IFERROR(INDEX(VENTAS!$C$2:$E$1194,MATCH(A63,VENTAS!$A$2:$A$1194,0),MATCH(PARAMS_MODELO!$B$2,{"Q1","Q2","Q3"},0)),0)</f>
        <v>152669509.5</v>
      </c>
      <c r="D63" s="5">
        <f>IFERROR(INDEX(VENTAS!$F$2:$H$1194,MATCH(A63,VENTAS!$A$2:$A$1194,0),MATCH(PARAMS_MODELO!$B$2,{"Q1","Q2","Q3"},0)),0)</f>
        <v>181760398</v>
      </c>
      <c r="E63" s="8">
        <f t="shared" si="0"/>
        <v>0.19054812316666281</v>
      </c>
      <c r="F63" s="12">
        <f>IF(E63&lt;=PARAMS_MODELO!$B$15,0,IF(E63&gt;=PARAMS_MODELO!$B$17,100,100*MIN(1,(E63-PARAMS_MODELO!$B$15)/(PARAMS_MODELO!$B$16-PARAMS_MODELO!$B$15))))*PARAMS_MODELO!$B$7</f>
        <v>35</v>
      </c>
      <c r="G63" s="5">
        <f t="shared" si="1"/>
        <v>29090888.5</v>
      </c>
      <c r="H63" s="5">
        <f>(PARAMS_MODELO!$B$20*(MAX(0,MIN(3,E63))/3)+PARAMS_MODELO!$B$21*(IFERROR(LN(1+MAX(0,G63))/LN(1+MAX(0,MAX($G$2:$G$1194))),0)))*100*PARAMS_MODELO!$B$8</f>
        <v>4.6955416650694755</v>
      </c>
      <c r="I63" s="8">
        <f>E63-PARAMS_MODELO!$B$5</f>
        <v>1.298528779113628E-2</v>
      </c>
      <c r="J63" s="5">
        <f>IF(I63&lt;=PARAMS_MODELO!$B$18,0,IF(I63&gt;=PARAMS_MODELO!$B$19,100,100*(I63-PARAMS_MODELO!$B$18)/(PARAMS_MODELO!$B$19-PARAMS_MODELO!$B$18)))*PARAMS_MODELO!$B$9</f>
        <v>9.4477931686704419</v>
      </c>
      <c r="K63" s="5">
        <f>IFERROR(CHOOSE(MATCH(PARAMS_MODELO!$B$2,{"Q1","Q2","Q3"},0),LOTO!$D63,LOTO!$F63,LOTO!$H63),0)</f>
        <v>9515000</v>
      </c>
      <c r="L63" s="8">
        <f t="shared" si="2"/>
        <v>5.234913713162094E-2</v>
      </c>
      <c r="M63" s="5">
        <f>MIN(100,IF(PARAMS_MODELO!$B$23=0,0,100*L63/PARAMS_MODELO!$B$23))*PARAMS_MODELO!$B$10</f>
        <v>15</v>
      </c>
      <c r="N63" s="5">
        <f>IFERROR(VLOOKUP(A63,COMPLIANCE!$A$2:$F$1996,6,0),100)</f>
        <v>100</v>
      </c>
      <c r="O63" s="5">
        <f>N63*PARAMS_MODELO!$B$11</f>
        <v>10</v>
      </c>
      <c r="P63" s="5">
        <f>IFERROR(VLOOKUP(A63,DIGITAL!$A$2:$J$2000,7,0),100)</f>
        <v>88</v>
      </c>
      <c r="Q63" s="5">
        <f>IFERROR(P63,0)*PARAMS_MODELO!$B$12</f>
        <v>8.8000000000000007</v>
      </c>
      <c r="R63">
        <f t="shared" si="3"/>
        <v>82.943334833739911</v>
      </c>
      <c r="S63" s="5" t="str">
        <f>IFERROR(VLOOKUP(A63,CLIENTE!$A$2:$N$2000,13,0),1)</f>
        <v>Malo</v>
      </c>
      <c r="T63" s="5">
        <f>IFERROR(VLOOKUP(A63,CLIENTE!$A$2:$N$2000,14,0),1)</f>
        <v>0.7</v>
      </c>
      <c r="U63" s="5">
        <f t="shared" si="4"/>
        <v>58.060334383617935</v>
      </c>
      <c r="V63" s="5" t="str">
        <f>IF(U63&gt;=MAX(_xlfn.PERCENTILE.INC($U$2:$U$1194,PARAMS_MODELO!$B$50),PARAMS_MODELO!$B$45),"DIAMANTE",IF(U63&gt;=MAX(_xlfn.PERCENTILE.INC($U$2:$U$1194,PARAMS_MODELO!$B$51),PARAMS_MODELO!$B$46),"PLATINO",IF(U63&gt;=MAX(_xlfn.PERCENTILE.INC($U$2:$U$1194,PARAMS_MODELO!$B$52),PARAMS_MODELO!$B$47),"ORO",IF(U63&gt;=MAX(_xlfn.PERCENTILE.INC($U$2:$U$1194,PARAMS_MODELO!$B$53),PARAMS_MODELO!$B$48),"PLATA",IF(U63&gt;=1,"BRONCE","CERRADO")))))</f>
        <v>PLATA</v>
      </c>
      <c r="W63" s="5" t="str" cm="1">
        <f t="array" ref="W63">_xlfn.XLOOKUP(1, (HIST_SCORE!$B:$B=PARAMS_MODELO!$B$4) * (HIST_SCORE!$C:$C=A63), HIST_SCORE!$E:$E, "No encontrado")</f>
        <v>PLATA</v>
      </c>
      <c r="X63" s="5" t="str">
        <f>_xlfn.LET(_xlpm.act,MATCH(V63,{"DIAMANTE";"PLATINO";"ORO";"PLATA";"BRONCE";"CERRADO"},0),_xlpm.ant,MATCH(W63,{"DIAMANTE";"PLATINO";"ORO";"PLATA";"BRONCE";"CERRADO"},0),IF(_xlpm.act&lt;_xlpm.ant,"Mejora ↑",IF(_xlpm.act&gt;_xlpm.ant,"Baja ↓","Estable →")))</f>
        <v>Estable →</v>
      </c>
      <c r="Y63" s="5">
        <f>IFERROR(U63-SUMIFS(HIST_SCORE!$D:$D,HIST_SCORE!$B:$B,PARAMS_MODELO!$B$4,HIST_SCORE!$C:$C,$A63),"")</f>
        <v>16.82889806580468</v>
      </c>
      <c r="Z63" s="5" t="str">
        <f t="shared" si="5"/>
        <v>↑ Mejora</v>
      </c>
      <c r="AA63" s="5">
        <f t="shared" si="6"/>
        <v>659</v>
      </c>
      <c r="AB63" s="5">
        <f>IFERROR(SUMIFS(HIST_SCORE!$F:$F,HIST_SCORE!$B:$B,PARAMS_MODELO!$B$4,HIST_SCORE!$C:$C,$A63),"")</f>
        <v>843</v>
      </c>
      <c r="AC63" s="5">
        <f t="shared" si="7"/>
        <v>184</v>
      </c>
      <c r="AD63" t="str">
        <f t="shared" si="9"/>
        <v/>
      </c>
      <c r="AE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CERRADO",1,IF(V63="BRONCE",_xlpm.cPl,IF(V63="PLATA",_xlpm.cO,IF(V63="ORO",_xlpm.cP,IF(V63="PLATINO",_xlpm.cD,999))))))</f>
        <v>63.199193273331495</v>
      </c>
      <c r="AF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CERRADO",0,IF(V63="BRONCE",1,IF(V63="PLATA",_xlpm.cPl,IF(V63="ORO",_xlpm.cO,IF(V63="PLATINO",_xlpm.cP,_xlpm.cD))))))</f>
        <v>24.506573482968111</v>
      </c>
      <c r="AG63">
        <f t="shared" si="10"/>
        <v>7.3412269853050844</v>
      </c>
      <c r="AH63" t="str">
        <f t="shared" si="11"/>
        <v>CLIENTE</v>
      </c>
      <c r="AI63" t="str">
        <f t="shared" si="8"/>
        <v>🎯 Para subir de categoría, la eje con mayor impacto probable es CLIENTE (coef T). Acción: reducir quejas, mejorar incógnito y empujar reseñas. ΔR aprox: 7,3</v>
      </c>
      <c r="AJ63" s="26">
        <f>_xlfn.LET(_xlpm.piso,AF63,_xlpm.corte,AE63,_xlpm.prog,IF(_xlpm.corte&lt;=_xlpm.piso,0,MAX(0,MIN(1,(U63-_xlpm.piso)/(_xlpm.corte-_xlpm.piso)))),_xlpm.orden,{"DIAMANTE";"PLATINO";"ORO";"PLATA";"BRONCE";"CERRADO"},_xlpm.act,IFERROR(MATCH(V63,_xlpm.orden,0),6),_xlpm.ant,IFERROR(MATCH(W63,_xlpm.orden,0),6),_xlpm.ajmov,IF(_xlpm.act&lt;_xlpm.ant,0.08,IF(_xlpm.act&gt;_xlpm.ant,-0.08,0)),_xlpm.ajcli,IF(T63&lt;0.95,-0.06,0),_xlpm.prob,MAX(0,MIN(1,_xlpm.prog+_xlpm.ajmov+_xlpm.ajcli)),IF(OR(V63="DIAMANTE",V63="CERRADO"),0,ROUND(_xlpm.prob,2)))</f>
        <v>0.81</v>
      </c>
      <c r="AK63" t="str">
        <f t="shared" si="12"/>
        <v>Faltan 7,3 puntos base para subir a la siguiente categoría</v>
      </c>
      <c r="AL63" t="str">
        <f t="shared" si="13"/>
        <v>Margen de seguridad: 33,6 puntos</v>
      </c>
      <c r="AM63">
        <f t="shared" si="14"/>
        <v>0.56999999999999995</v>
      </c>
      <c r="AN63" t="str">
        <f t="shared" si="15"/>
        <v>PRIORIDAD MEDIA – seguimiento del asesor</v>
      </c>
      <c r="AO63">
        <f t="shared" si="16"/>
        <v>11.003464109088963</v>
      </c>
      <c r="AP63">
        <f t="shared" si="17"/>
        <v>0</v>
      </c>
      <c r="AQ63">
        <f t="shared" si="18"/>
        <v>0</v>
      </c>
      <c r="AR63">
        <f t="shared" si="19"/>
        <v>0.83999999999999941</v>
      </c>
      <c r="AS63">
        <f t="shared" si="20"/>
        <v>24.883000450121976</v>
      </c>
      <c r="AT63" t="str">
        <f t="shared" si="21"/>
        <v>CLIENTE</v>
      </c>
      <c r="AU63">
        <f t="shared" si="22"/>
        <v>24.883000450121976</v>
      </c>
      <c r="AV63" t="str">
        <f t="shared" si="23"/>
        <v>Mayor retorno probable: CLIENTE (+24,9 puntos finales potenciales).</v>
      </c>
    </row>
    <row r="64" spans="1:48" x14ac:dyDescent="0.3">
      <c r="A64" s="5">
        <v>51031083</v>
      </c>
      <c r="B64" s="5" t="str">
        <f>IFERROR(VLOOKUP(A64,VENTAS!$A$2:$B$1194,2,0),"")</f>
        <v>NELLI</v>
      </c>
      <c r="C64" s="5">
        <f>IFERROR(INDEX(VENTAS!$C$2:$E$1194,MATCH(A64,VENTAS!$A$2:$A$1194,0),MATCH(PARAMS_MODELO!$B$2,{"Q1","Q2","Q3"},0)),0)</f>
        <v>168772611</v>
      </c>
      <c r="D64" s="5">
        <f>IFERROR(INDEX(VENTAS!$F$2:$H$1194,MATCH(A64,VENTAS!$A$2:$A$1194,0),MATCH(PARAMS_MODELO!$B$2,{"Q1","Q2","Q3"},0)),0)</f>
        <v>181447193</v>
      </c>
      <c r="E64" s="8">
        <f t="shared" si="0"/>
        <v>7.5098571533031455E-2</v>
      </c>
      <c r="F64" s="12">
        <f>IF(E64&lt;=PARAMS_MODELO!$B$15,0,IF(E64&gt;=PARAMS_MODELO!$B$17,100,100*MIN(1,(E64-PARAMS_MODELO!$B$15)/(PARAMS_MODELO!$B$16-PARAMS_MODELO!$B$15))))*PARAMS_MODELO!$B$7</f>
        <v>26.28450003656101</v>
      </c>
      <c r="G64" s="5">
        <f t="shared" si="1"/>
        <v>12674582</v>
      </c>
      <c r="H64" s="5">
        <f>(PARAMS_MODELO!$B$20*(MAX(0,MIN(3,E64))/3)+PARAMS_MODELO!$B$21*(IFERROR(LN(1+MAX(0,G64))/LN(1+MAX(0,MAX($G$2:$G$1194))),0)))*100*PARAMS_MODELO!$B$8</f>
        <v>4.0967109272718645</v>
      </c>
      <c r="I64" s="8">
        <f>E64-PARAMS_MODELO!$B$5</f>
        <v>-0.10246426384249507</v>
      </c>
      <c r="J64" s="5">
        <f>IF(I64&lt;=PARAMS_MODELO!$B$18,0,IF(I64&gt;=PARAMS_MODELO!$B$19,100,100*(I64-PARAMS_MODELO!$B$18)/(PARAMS_MODELO!$B$19-PARAMS_MODELO!$B$18)))*PARAMS_MODELO!$B$9</f>
        <v>0</v>
      </c>
      <c r="K64" s="5">
        <f>IFERROR(CHOOSE(MATCH(PARAMS_MODELO!$B$2,{"Q1","Q2","Q3"},0),LOTO!$D64,LOTO!$F64,LOTO!$H64),0)</f>
        <v>9400000</v>
      </c>
      <c r="L64" s="8">
        <f t="shared" si="2"/>
        <v>5.180570635777209E-2</v>
      </c>
      <c r="M64" s="5">
        <f>MIN(100,IF(PARAMS_MODELO!$B$23=0,0,100*L64/PARAMS_MODELO!$B$23))*PARAMS_MODELO!$B$10</f>
        <v>15</v>
      </c>
      <c r="N64" s="5">
        <f>IFERROR(VLOOKUP(A64,COMPLIANCE!$A$2:$F$1996,6,0),100)</f>
        <v>100</v>
      </c>
      <c r="O64" s="5">
        <f>N64*PARAMS_MODELO!$B$11</f>
        <v>10</v>
      </c>
      <c r="P64" s="5">
        <f>IFERROR(VLOOKUP(A64,DIGITAL!$A$2:$J$2000,7,0),100)</f>
        <v>36</v>
      </c>
      <c r="Q64" s="5">
        <f>IFERROR(P64,0)*PARAMS_MODELO!$B$12</f>
        <v>3.6</v>
      </c>
      <c r="R64">
        <f t="shared" si="3"/>
        <v>58.981210963832872</v>
      </c>
      <c r="S64" s="5" t="str">
        <f>IFERROR(VLOOKUP(A64,CLIENTE!$A$2:$N$2000,13,0),1)</f>
        <v>Regular</v>
      </c>
      <c r="T64" s="5">
        <f>IFERROR(VLOOKUP(A64,CLIENTE!$A$2:$N$2000,14,0),1)</f>
        <v>1</v>
      </c>
      <c r="U64" s="5">
        <f t="shared" si="4"/>
        <v>58.981210963832872</v>
      </c>
      <c r="V64" s="5" t="str">
        <f>IF(U64&gt;=MAX(_xlfn.PERCENTILE.INC($U$2:$U$1194,PARAMS_MODELO!$B$50),PARAMS_MODELO!$B$45),"DIAMANTE",IF(U64&gt;=MAX(_xlfn.PERCENTILE.INC($U$2:$U$1194,PARAMS_MODELO!$B$51),PARAMS_MODELO!$B$46),"PLATINO",IF(U64&gt;=MAX(_xlfn.PERCENTILE.INC($U$2:$U$1194,PARAMS_MODELO!$B$52),PARAMS_MODELO!$B$47),"ORO",IF(U64&gt;=MAX(_xlfn.PERCENTILE.INC($U$2:$U$1194,PARAMS_MODELO!$B$53),PARAMS_MODELO!$B$48),"PLATA",IF(U64&gt;=1,"BRONCE","CERRADO")))))</f>
        <v>PLATA</v>
      </c>
      <c r="W64" s="5" t="str" cm="1">
        <f t="array" ref="W64">_xlfn.XLOOKUP(1, (HIST_SCORE!$B:$B=PARAMS_MODELO!$B$4) * (HIST_SCORE!$C:$C=A64), HIST_SCORE!$E:$E, "No encontrado")</f>
        <v>PLATA</v>
      </c>
      <c r="X64" s="5" t="str">
        <f>_xlfn.LET(_xlpm.act,MATCH(V64,{"DIAMANTE";"PLATINO";"ORO";"PLATA";"BRONCE";"CERRADO"},0),_xlpm.ant,MATCH(W64,{"DIAMANTE";"PLATINO";"ORO";"PLATA";"BRONCE";"CERRADO"},0),IF(_xlpm.act&lt;_xlpm.ant,"Mejora ↑",IF(_xlpm.act&gt;_xlpm.ant,"Baja ↓","Estable →")))</f>
        <v>Estable →</v>
      </c>
      <c r="Y64" s="5">
        <f>IFERROR(U64-SUMIFS(HIST_SCORE!$D:$D,HIST_SCORE!$B:$B,PARAMS_MODELO!$B$4,HIST_SCORE!$C:$C,$A64),"")</f>
        <v>30.381210963832871</v>
      </c>
      <c r="Z64" s="5" t="str">
        <f t="shared" si="5"/>
        <v>↑ Mejora</v>
      </c>
      <c r="AA64" s="5">
        <f t="shared" si="6"/>
        <v>637</v>
      </c>
      <c r="AB64" s="5">
        <f>IFERROR(SUMIFS(HIST_SCORE!$F:$F,HIST_SCORE!$B:$B,PARAMS_MODELO!$B$4,HIST_SCORE!$C:$C,$A64),"")</f>
        <v>922</v>
      </c>
      <c r="AC64" s="5">
        <f t="shared" si="7"/>
        <v>285</v>
      </c>
      <c r="AD64" t="str">
        <f t="shared" si="9"/>
        <v/>
      </c>
      <c r="AE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CERRADO",1,IF(V64="BRONCE",_xlpm.cPl,IF(V64="PLATA",_xlpm.cO,IF(V64="ORO",_xlpm.cP,IF(V64="PLATINO",_xlpm.cD,999))))))</f>
        <v>63.199193273331495</v>
      </c>
      <c r="AF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CERRADO",0,IF(V64="BRONCE",1,IF(V64="PLATA",_xlpm.cPl,IF(V64="ORO",_xlpm.cO,IF(V64="PLATINO",_xlpm.cP,_xlpm.cD))))))</f>
        <v>24.506573482968111</v>
      </c>
      <c r="AG64">
        <f t="shared" si="10"/>
        <v>4.2179823094986233</v>
      </c>
      <c r="AH64" t="str">
        <f t="shared" si="11"/>
        <v>VENTAS</v>
      </c>
      <c r="AI64" t="str">
        <f t="shared" si="8"/>
        <v>🎯 Para subir de categoría, eje VENTAS / DIFERENCIAL vs LOTBA (J). Acción: metas semanales + activación comercial + seguimiento del asesor. ΔR aprox: 4,2</v>
      </c>
      <c r="AJ64" s="26">
        <f>_xlfn.LET(_xlpm.piso,AF64,_xlpm.corte,AE64,_xlpm.prog,IF(_xlpm.corte&lt;=_xlpm.piso,0,MAX(0,MIN(1,(U64-_xlpm.piso)/(_xlpm.corte-_xlpm.piso)))),_xlpm.orden,{"DIAMANTE";"PLATINO";"ORO";"PLATA";"BRONCE";"CERRADO"},_xlpm.act,IFERROR(MATCH(V64,_xlpm.orden,0),6),_xlpm.ant,IFERROR(MATCH(W64,_xlpm.orden,0),6),_xlpm.ajmov,IF(_xlpm.act&lt;_xlpm.ant,0.08,IF(_xlpm.act&gt;_xlpm.ant,-0.08,0)),_xlpm.ajcli,IF(T64&lt;0.95,-0.06,0),_xlpm.prob,MAX(0,MIN(1,_xlpm.prog+_xlpm.ajmov+_xlpm.ajcli)),IF(OR(V64="DIAMANTE",V64="CERRADO"),0,ROUND(_xlpm.prob,2)))</f>
        <v>0.89</v>
      </c>
      <c r="AK64" t="str">
        <f t="shared" si="12"/>
        <v>Faltan 4,2 puntos base para subir a la siguiente categoría</v>
      </c>
      <c r="AL64" t="str">
        <f t="shared" si="13"/>
        <v>Margen de seguridad: 34,5 puntos</v>
      </c>
      <c r="AM64">
        <f t="shared" si="14"/>
        <v>0.21</v>
      </c>
      <c r="AN64" t="str">
        <f t="shared" si="15"/>
        <v>PRIORIDAD BAJA – control normal</v>
      </c>
      <c r="AO64">
        <f t="shared" si="16"/>
        <v>34.481358311462714</v>
      </c>
      <c r="AP64">
        <f t="shared" si="17"/>
        <v>0</v>
      </c>
      <c r="AQ64">
        <f t="shared" si="18"/>
        <v>0</v>
      </c>
      <c r="AR64">
        <f t="shared" si="19"/>
        <v>6.4</v>
      </c>
      <c r="AS64">
        <f t="shared" si="20"/>
        <v>0</v>
      </c>
      <c r="AT64" t="str">
        <f t="shared" si="21"/>
        <v>VENTAS</v>
      </c>
      <c r="AU64">
        <f t="shared" si="22"/>
        <v>34.481358311462714</v>
      </c>
      <c r="AV64" t="str">
        <f t="shared" si="23"/>
        <v>Mayor retorno probable: VENTAS (+34,5 puntos finales potenciales).</v>
      </c>
    </row>
    <row r="65" spans="1:48" x14ac:dyDescent="0.3">
      <c r="A65" s="5">
        <v>51056647</v>
      </c>
      <c r="B65" s="5" t="str">
        <f>IFERROR(VLOOKUP(A65,VENTAS!$A$2:$B$1194,2,0),"")</f>
        <v>AYALA</v>
      </c>
      <c r="C65" s="5">
        <f>IFERROR(INDEX(VENTAS!$C$2:$E$1194,MATCH(A65,VENTAS!$A$2:$A$1194,0),MATCH(PARAMS_MODELO!$B$2,{"Q1","Q2","Q3"},0)),0)</f>
        <v>100126671.42</v>
      </c>
      <c r="D65" s="5">
        <f>IFERROR(INDEX(VENTAS!$F$2:$H$1194,MATCH(A65,VENTAS!$A$2:$A$1194,0),MATCH(PARAMS_MODELO!$B$2,{"Q1","Q2","Q3"},0)),0)</f>
        <v>180539829</v>
      </c>
      <c r="E65" s="8">
        <f t="shared" si="0"/>
        <v>0.80311425956318883</v>
      </c>
      <c r="F65" s="12">
        <f>IF(E65&lt;=PARAMS_MODELO!$B$15,0,IF(E65&gt;=PARAMS_MODELO!$B$17,100,100*MIN(1,(E65-PARAMS_MODELO!$B$15)/(PARAMS_MODELO!$B$16-PARAMS_MODELO!$B$15))))*PARAMS_MODELO!$B$7</f>
        <v>35</v>
      </c>
      <c r="G65" s="5">
        <f t="shared" si="1"/>
        <v>80413157.579999998</v>
      </c>
      <c r="H65" s="5">
        <f>(PARAMS_MODELO!$B$20*(MAX(0,MIN(3,E65))/3)+PARAMS_MODELO!$B$21*(IFERROR(LN(1+MAX(0,G65))/LN(1+MAX(0,MAX($G$2:$G$1194))),0)))*100*PARAMS_MODELO!$B$8</f>
        <v>7.0778641879991477</v>
      </c>
      <c r="I65" s="8">
        <f>E65-PARAMS_MODELO!$B$5</f>
        <v>0.6255514241876623</v>
      </c>
      <c r="J65" s="5">
        <f>IF(I65&lt;=PARAMS_MODELO!$B$18,0,IF(I65&gt;=PARAMS_MODELO!$B$19,100,100*(I65-PARAMS_MODELO!$B$18)/(PARAMS_MODELO!$B$19-PARAMS_MODELO!$B$18)))*PARAMS_MODELO!$B$9</f>
        <v>15</v>
      </c>
      <c r="K65" s="5">
        <f>IFERROR(CHOOSE(MATCH(PARAMS_MODELO!$B$2,{"Q1","Q2","Q3"},0),LOTO!$D65,LOTO!$F65,LOTO!$H65),0)</f>
        <v>9255000</v>
      </c>
      <c r="L65" s="8">
        <f t="shared" si="2"/>
        <v>5.1262926586686866E-2</v>
      </c>
      <c r="M65" s="5">
        <f>MIN(100,IF(PARAMS_MODELO!$B$23=0,0,100*L65/PARAMS_MODELO!$B$23))*PARAMS_MODELO!$B$10</f>
        <v>15</v>
      </c>
      <c r="N65" s="5">
        <f>IFERROR(VLOOKUP(A65,COMPLIANCE!$A$2:$F$1996,6,0),100)</f>
        <v>100</v>
      </c>
      <c r="O65" s="5">
        <f>N65*PARAMS_MODELO!$B$11</f>
        <v>10</v>
      </c>
      <c r="P65" s="5">
        <f>IFERROR(VLOOKUP(A65,DIGITAL!$A$2:$J$2000,7,0),100)</f>
        <v>63</v>
      </c>
      <c r="Q65" s="5">
        <f>IFERROR(P65,0)*PARAMS_MODELO!$B$12</f>
        <v>6.3000000000000007</v>
      </c>
      <c r="R65">
        <f t="shared" si="3"/>
        <v>88.377864187999151</v>
      </c>
      <c r="S65" s="5" t="str">
        <f>IFERROR(VLOOKUP(A65,CLIENTE!$A$2:$N$2000,13,0),1)</f>
        <v>Regular</v>
      </c>
      <c r="T65" s="5">
        <f>IFERROR(VLOOKUP(A65,CLIENTE!$A$2:$N$2000,14,0),1)</f>
        <v>1</v>
      </c>
      <c r="U65" s="5">
        <f t="shared" si="4"/>
        <v>88.377864187999151</v>
      </c>
      <c r="V65" s="5" t="str">
        <f>IF(U65&gt;=MAX(_xlfn.PERCENTILE.INC($U$2:$U$1194,PARAMS_MODELO!$B$50),PARAMS_MODELO!$B$45),"DIAMANTE",IF(U65&gt;=MAX(_xlfn.PERCENTILE.INC($U$2:$U$1194,PARAMS_MODELO!$B$51),PARAMS_MODELO!$B$46),"PLATINO",IF(U65&gt;=MAX(_xlfn.PERCENTILE.INC($U$2:$U$1194,PARAMS_MODELO!$B$52),PARAMS_MODELO!$B$47),"ORO",IF(U65&gt;=MAX(_xlfn.PERCENTILE.INC($U$2:$U$1194,PARAMS_MODELO!$B$53),PARAMS_MODELO!$B$48),"PLATA",IF(U65&gt;=1,"BRONCE","CERRADO")))))</f>
        <v>PLATINO</v>
      </c>
      <c r="W65" s="5" t="str" cm="1">
        <f t="array" ref="W65">_xlfn.XLOOKUP(1, (HIST_SCORE!$B:$B=PARAMS_MODELO!$B$4) * (HIST_SCORE!$C:$C=A65), HIST_SCORE!$E:$E, "No encontrado")</f>
        <v>ORO</v>
      </c>
      <c r="X65" s="5" t="str">
        <f>_xlfn.LET(_xlpm.act,MATCH(V65,{"DIAMANTE";"PLATINO";"ORO";"PLATA";"BRONCE";"CERRADO"},0),_xlpm.ant,MATCH(W65,{"DIAMANTE";"PLATINO";"ORO";"PLATA";"BRONCE";"CERRADO"},0),IF(_xlpm.act&lt;_xlpm.ant,"Mejora ↑",IF(_xlpm.act&gt;_xlpm.ant,"Baja ↓","Estable →")))</f>
        <v>Mejora ↑</v>
      </c>
      <c r="Y65" s="5">
        <f>IFERROR(U65-SUMIFS(HIST_SCORE!$D:$D,HIST_SCORE!$B:$B,PARAMS_MODELO!$B$4,HIST_SCORE!$C:$C,$A65),"")</f>
        <v>17.933526151356915</v>
      </c>
      <c r="Z65" s="5" t="str">
        <f t="shared" si="5"/>
        <v>↑ Mejora</v>
      </c>
      <c r="AA65" s="5">
        <f t="shared" si="6"/>
        <v>187</v>
      </c>
      <c r="AB65" s="5">
        <f>IFERROR(SUMIFS(HIST_SCORE!$F:$F,HIST_SCORE!$B:$B,PARAMS_MODELO!$B$4,HIST_SCORE!$C:$C,$A65),"")</f>
        <v>536</v>
      </c>
      <c r="AC65" s="5">
        <f t="shared" si="7"/>
        <v>349</v>
      </c>
      <c r="AD65" t="str">
        <f t="shared" si="9"/>
        <v/>
      </c>
      <c r="AE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CERRADO",1,IF(V65="BRONCE",_xlpm.cPl,IF(V65="PLATA",_xlpm.cO,IF(V65="ORO",_xlpm.cP,IF(V65="PLATINO",_xlpm.cD,999))))))</f>
        <v>96.054919694466676</v>
      </c>
      <c r="AF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CERRADO",0,IF(V65="BRONCE",1,IF(V65="PLATA",_xlpm.cPl,IF(V65="ORO",_xlpm.cO,IF(V65="PLATINO",_xlpm.cP,_xlpm.cD))))))</f>
        <v>86.439123873763251</v>
      </c>
      <c r="AG65">
        <f t="shared" si="10"/>
        <v>7.677055506467525</v>
      </c>
      <c r="AH65" t="str">
        <f t="shared" si="11"/>
        <v>VENTAS</v>
      </c>
      <c r="AI65" t="str">
        <f t="shared" si="8"/>
        <v>🎯 Para subir de categoría, eje VENTAS / IMPACTO ABSOLUTO (H). Acción: metas semanales + activación comercial + seguimiento del asesor. ΔR aprox: 7,7</v>
      </c>
      <c r="AJ65" s="26">
        <f>_xlfn.LET(_xlpm.piso,AF65,_xlpm.corte,AE65,_xlpm.prog,IF(_xlpm.corte&lt;=_xlpm.piso,0,MAX(0,MIN(1,(U65-_xlpm.piso)/(_xlpm.corte-_xlpm.piso)))),_xlpm.orden,{"DIAMANTE";"PLATINO";"ORO";"PLATA";"BRONCE";"CERRADO"},_xlpm.act,IFERROR(MATCH(V65,_xlpm.orden,0),6),_xlpm.ant,IFERROR(MATCH(W65,_xlpm.orden,0),6),_xlpm.ajmov,IF(_xlpm.act&lt;_xlpm.ant,0.08,IF(_xlpm.act&gt;_xlpm.ant,-0.08,0)),_xlpm.ajcli,IF(T65&lt;0.95,-0.06,0),_xlpm.prob,MAX(0,MIN(1,_xlpm.prog+_xlpm.ajmov+_xlpm.ajcli)),IF(OR(V65="DIAMANTE",V65="CERRADO"),0,ROUND(_xlpm.prob,2)))</f>
        <v>0.28000000000000003</v>
      </c>
      <c r="AK65" t="str">
        <f t="shared" si="12"/>
        <v>Faltan 7,7 puntos base para subir a la siguiente categoría</v>
      </c>
      <c r="AL65" t="str">
        <f t="shared" si="13"/>
        <v>Margen de seguridad: 1,9 puntos</v>
      </c>
      <c r="AM65">
        <f t="shared" si="14"/>
        <v>0.6</v>
      </c>
      <c r="AN65" t="str">
        <f t="shared" si="15"/>
        <v>PRIORIDAD MEDIA – seguimiento del asesor</v>
      </c>
      <c r="AO65">
        <f t="shared" si="16"/>
        <v>7.7847050872964374</v>
      </c>
      <c r="AP65">
        <f t="shared" si="17"/>
        <v>0</v>
      </c>
      <c r="AQ65">
        <f t="shared" si="18"/>
        <v>0</v>
      </c>
      <c r="AR65">
        <f t="shared" si="19"/>
        <v>3.6999999999999993</v>
      </c>
      <c r="AS65">
        <f t="shared" si="20"/>
        <v>0</v>
      </c>
      <c r="AT65" t="str">
        <f t="shared" si="21"/>
        <v>VENTAS</v>
      </c>
      <c r="AU65">
        <f t="shared" si="22"/>
        <v>7.7847050872964374</v>
      </c>
      <c r="AV65" t="str">
        <f t="shared" si="23"/>
        <v>Mayor retorno probable: VENTAS (+7,8 puntos finales potenciales).</v>
      </c>
    </row>
    <row r="66" spans="1:48" x14ac:dyDescent="0.3">
      <c r="A66" s="5">
        <v>51024214</v>
      </c>
      <c r="B66" s="5" t="str">
        <f>IFERROR(VLOOKUP(A66,VENTAS!$A$2:$B$1194,2,0),"")</f>
        <v>AYALA</v>
      </c>
      <c r="C66" s="5">
        <f>IFERROR(INDEX(VENTAS!$C$2:$E$1194,MATCH(A66,VENTAS!$A$2:$A$1194,0),MATCH(PARAMS_MODELO!$B$2,{"Q1","Q2","Q3"},0)),0)</f>
        <v>146345656.41999999</v>
      </c>
      <c r="D66" s="5">
        <f>IFERROR(INDEX(VENTAS!$F$2:$H$1194,MATCH(A66,VENTAS!$A$2:$A$1194,0),MATCH(PARAMS_MODELO!$B$2,{"Q1","Q2","Q3"},0)),0)</f>
        <v>180312689</v>
      </c>
      <c r="E66" s="8">
        <f t="shared" ref="E66:E129" si="24">IFERROR(D66/C66-1,0)</f>
        <v>0.23210140574666194</v>
      </c>
      <c r="F66" s="12">
        <f>IF(E66&lt;=PARAMS_MODELO!$B$15,0,IF(E66&gt;=PARAMS_MODELO!$B$17,100,100*MIN(1,(E66-PARAMS_MODELO!$B$15)/(PARAMS_MODELO!$B$16-PARAMS_MODELO!$B$15))))*PARAMS_MODELO!$B$7</f>
        <v>35</v>
      </c>
      <c r="G66" s="5">
        <f t="shared" ref="G66:G129" si="25">MAX(0,D66-C66)</f>
        <v>33967032.580000013</v>
      </c>
      <c r="H66" s="5">
        <f>(PARAMS_MODELO!$B$20*(MAX(0,MIN(3,E66))/3)+PARAMS_MODELO!$B$21*(IFERROR(LN(1+MAX(0,G66))/LN(1+MAX(0,MAX($G$2:$G$1194))),0)))*100*PARAMS_MODELO!$B$8</f>
        <v>4.8773042082458824</v>
      </c>
      <c r="I66" s="8">
        <f>E66-PARAMS_MODELO!$B$5</f>
        <v>5.4538570371135409E-2</v>
      </c>
      <c r="J66" s="5">
        <f>IF(I66&lt;=PARAMS_MODELO!$B$18,0,IF(I66&gt;=PARAMS_MODELO!$B$19,100,100*(I66-PARAMS_MODELO!$B$18)/(PARAMS_MODELO!$B$19-PARAMS_MODELO!$B$18)))*PARAMS_MODELO!$B$9</f>
        <v>15</v>
      </c>
      <c r="K66" s="5">
        <f>IFERROR(CHOOSE(MATCH(PARAMS_MODELO!$B$2,{"Q1","Q2","Q3"},0),LOTO!$D66,LOTO!$F66,LOTO!$H66),0)</f>
        <v>9197500</v>
      </c>
      <c r="L66" s="8">
        <f t="shared" ref="L66:L129" si="26">IFERROR(K66/D66,0)</f>
        <v>5.1008612045045816E-2</v>
      </c>
      <c r="M66" s="5">
        <f>MIN(100,IF(PARAMS_MODELO!$B$23=0,0,100*L66/PARAMS_MODELO!$B$23))*PARAMS_MODELO!$B$10</f>
        <v>15</v>
      </c>
      <c r="N66" s="5">
        <f>IFERROR(VLOOKUP(A66,COMPLIANCE!$A$2:$F$1996,6,0),100)</f>
        <v>99.6</v>
      </c>
      <c r="O66" s="5">
        <f>N66*PARAMS_MODELO!$B$11</f>
        <v>9.9600000000000009</v>
      </c>
      <c r="P66" s="5">
        <f>IFERROR(VLOOKUP(A66,DIGITAL!$A$2:$J$2000,7,0),100)</f>
        <v>5</v>
      </c>
      <c r="Q66" s="5">
        <f>IFERROR(P66,0)*PARAMS_MODELO!$B$12</f>
        <v>0.5</v>
      </c>
      <c r="R66">
        <f t="shared" ref="R66:R129" si="27">MIN(100,MAX(0,F66+H66+J66+M66+O66+Q66))</f>
        <v>80.337304208245882</v>
      </c>
      <c r="S66" s="5" t="str">
        <f>IFERROR(VLOOKUP(A66,CLIENTE!$A$2:$N$2000,13,0),1)</f>
        <v>Regular</v>
      </c>
      <c r="T66" s="5">
        <f>IFERROR(VLOOKUP(A66,CLIENTE!$A$2:$N$2000,14,0),1)</f>
        <v>1</v>
      </c>
      <c r="U66" s="5">
        <f t="shared" ref="U66:U129" si="28">MIN(100,MAX(0,R66*T66))</f>
        <v>80.337304208245882</v>
      </c>
      <c r="V66" s="5" t="str">
        <f>IF(U66&gt;=MAX(_xlfn.PERCENTILE.INC($U$2:$U$1194,PARAMS_MODELO!$B$50),PARAMS_MODELO!$B$45),"DIAMANTE",IF(U66&gt;=MAX(_xlfn.PERCENTILE.INC($U$2:$U$1194,PARAMS_MODELO!$B$51),PARAMS_MODELO!$B$46),"PLATINO",IF(U66&gt;=MAX(_xlfn.PERCENTILE.INC($U$2:$U$1194,PARAMS_MODELO!$B$52),PARAMS_MODELO!$B$47),"ORO",IF(U66&gt;=MAX(_xlfn.PERCENTILE.INC($U$2:$U$1194,PARAMS_MODELO!$B$53),PARAMS_MODELO!$B$48),"PLATA",IF(U66&gt;=1,"BRONCE","CERRADO")))))</f>
        <v>ORO</v>
      </c>
      <c r="W66" s="5" t="str" cm="1">
        <f t="array" ref="W66">_xlfn.XLOOKUP(1, (HIST_SCORE!$B:$B=PARAMS_MODELO!$B$4) * (HIST_SCORE!$C:$C=A66), HIST_SCORE!$E:$E, "No encontrado")</f>
        <v>PLATA</v>
      </c>
      <c r="X66" s="5" t="str">
        <f>_xlfn.LET(_xlpm.act,MATCH(V66,{"DIAMANTE";"PLATINO";"ORO";"PLATA";"BRONCE";"CERRADO"},0),_xlpm.ant,MATCH(W66,{"DIAMANTE";"PLATINO";"ORO";"PLATA";"BRONCE";"CERRADO"},0),IF(_xlpm.act&lt;_xlpm.ant,"Mejora ↑",IF(_xlpm.act&gt;_xlpm.ant,"Baja ↓","Estable →")))</f>
        <v>Mejora ↑</v>
      </c>
      <c r="Y66" s="5">
        <f>IFERROR(U66-SUMIFS(HIST_SCORE!$D:$D,HIST_SCORE!$B:$B,PARAMS_MODELO!$B$4,HIST_SCORE!$C:$C,$A66),"")</f>
        <v>49.057503687308305</v>
      </c>
      <c r="Z66" s="5" t="str">
        <f t="shared" ref="Z66:Z129" si="29">IF(Y66="","",IF(Y66&gt;=5,"↑ Mejora",IF(Y66&lt;=-5,"↓ Baja","→ Estable")))</f>
        <v>↑ Mejora</v>
      </c>
      <c r="AA66" s="5">
        <f t="shared" ref="AA66:AA129" si="30">IFERROR(_xlfn.RANK.EQ(U66,$U$2:$U$1194,0),"")</f>
        <v>433</v>
      </c>
      <c r="AB66" s="5">
        <f>IFERROR(SUMIFS(HIST_SCORE!$F:$F,HIST_SCORE!$B:$B,PARAMS_MODELO!$B$4,HIST_SCORE!$C:$C,$A66),"")</f>
        <v>896</v>
      </c>
      <c r="AC66" s="5">
        <f t="shared" ref="AC66:AC129" si="31">IF(OR(AA66="",AB66=""),"",AB66-AA66)</f>
        <v>463</v>
      </c>
      <c r="AD66" t="str">
        <f t="shared" si="9"/>
        <v/>
      </c>
      <c r="AE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CERRADO",1,IF(V66="BRONCE",_xlpm.cPl,IF(V66="PLATA",_xlpm.cO,IF(V66="ORO",_xlpm.cP,IF(V66="PLATINO",_xlpm.cD,999))))))</f>
        <v>86.439123873763251</v>
      </c>
      <c r="AF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CERRADO",0,IF(V66="BRONCE",1,IF(V66="PLATA",_xlpm.cPl,IF(V66="ORO",_xlpm.cO,IF(V66="PLATINO",_xlpm.cP,_xlpm.cD))))))</f>
        <v>63.199193273331495</v>
      </c>
      <c r="AG66">
        <f t="shared" si="10"/>
        <v>6.1018196655173682</v>
      </c>
      <c r="AH66" t="str">
        <f t="shared" si="11"/>
        <v>VENTAS</v>
      </c>
      <c r="AI66" t="str">
        <f t="shared" ref="AI66:AI129" si="32">_xlfn.LET(_xlpm.pal,AH66,_xlpm.deltaR,AG66,_xlpm.minVent,MIN(F66,H66,J66),_xlpm.subV,IF(_xlpm.minVent=F66,"CRECIMIENTO PERSONAL (F)",IF(_xlpm.minVent=H66,"IMPACTO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IMPACTO ABSOLUTO (H). Acción: metas semanales + activación comercial + seguimiento del asesor. ΔR aprox: 6,1</v>
      </c>
      <c r="AJ66" s="26">
        <f>_xlfn.LET(_xlpm.piso,AF66,_xlpm.corte,AE66,_xlpm.prog,IF(_xlpm.corte&lt;=_xlpm.piso,0,MAX(0,MIN(1,(U66-_xlpm.piso)/(_xlpm.corte-_xlpm.piso)))),_xlpm.orden,{"DIAMANTE";"PLATINO";"ORO";"PLATA";"BRONCE";"CERRADO"},_xlpm.act,IFERROR(MATCH(V66,_xlpm.orden,0),6),_xlpm.ant,IFERROR(MATCH(W66,_xlpm.orden,0),6),_xlpm.ajmov,IF(_xlpm.act&lt;_xlpm.ant,0.08,IF(_xlpm.act&gt;_xlpm.ant,-0.08,0)),_xlpm.ajcli,IF(T66&lt;0.95,-0.06,0),_xlpm.prob,MAX(0,MIN(1,_xlpm.prog+_xlpm.ajmov+_xlpm.ajcli)),IF(OR(V66="DIAMANTE",V66="CERRADO"),0,ROUND(_xlpm.prob,2)))</f>
        <v>0.82</v>
      </c>
      <c r="AK66" t="str">
        <f t="shared" si="12"/>
        <v>Faltan 6,1 puntos base para subir a la siguiente categoría</v>
      </c>
      <c r="AL66" t="str">
        <f t="shared" si="13"/>
        <v>Margen de seguridad: 17,1 puntos</v>
      </c>
      <c r="AM66">
        <f t="shared" si="14"/>
        <v>0.32</v>
      </c>
      <c r="AN66" t="str">
        <f t="shared" si="15"/>
        <v>PRIORIDAD BAJA – control normal</v>
      </c>
      <c r="AO66">
        <f t="shared" si="16"/>
        <v>9.9852650670497027</v>
      </c>
      <c r="AP66">
        <f t="shared" si="17"/>
        <v>0</v>
      </c>
      <c r="AQ66">
        <f t="shared" si="18"/>
        <v>3.9999999999999147E-2</v>
      </c>
      <c r="AR66">
        <f t="shared" si="19"/>
        <v>9.5</v>
      </c>
      <c r="AS66">
        <f t="shared" si="20"/>
        <v>0</v>
      </c>
      <c r="AT66" t="str">
        <f t="shared" si="21"/>
        <v>VENTAS</v>
      </c>
      <c r="AU66">
        <f t="shared" si="22"/>
        <v>9.9852650670497027</v>
      </c>
      <c r="AV66" t="str">
        <f t="shared" si="23"/>
        <v>Mayor retorno probable: VENTAS (+10,0 puntos finales potenciales).</v>
      </c>
    </row>
    <row r="67" spans="1:48" x14ac:dyDescent="0.3">
      <c r="A67" s="5">
        <v>51013425</v>
      </c>
      <c r="B67" s="5" t="str">
        <f>IFERROR(VLOOKUP(A67,VENTAS!$A$2:$B$1194,2,0),"")</f>
        <v>BELUZZO</v>
      </c>
      <c r="C67" s="5">
        <f>IFERROR(INDEX(VENTAS!$C$2:$E$1194,MATCH(A67,VENTAS!$A$2:$A$1194,0),MATCH(PARAMS_MODELO!$B$2,{"Q1","Q2","Q3"},0)),0)</f>
        <v>113706470.27</v>
      </c>
      <c r="D67" s="5">
        <f>IFERROR(INDEX(VENTAS!$F$2:$H$1194,MATCH(A67,VENTAS!$A$2:$A$1194,0),MATCH(PARAMS_MODELO!$B$2,{"Q1","Q2","Q3"},0)),0)</f>
        <v>179951160</v>
      </c>
      <c r="E67" s="8">
        <f t="shared" si="24"/>
        <v>0.58259384512332213</v>
      </c>
      <c r="F67" s="12">
        <f>IF(E67&lt;=PARAMS_MODELO!$B$15,0,IF(E67&gt;=PARAMS_MODELO!$B$17,100,100*MIN(1,(E67-PARAMS_MODELO!$B$15)/(PARAMS_MODELO!$B$16-PARAMS_MODELO!$B$15))))*PARAMS_MODELO!$B$7</f>
        <v>35</v>
      </c>
      <c r="G67" s="5">
        <f t="shared" si="25"/>
        <v>66244689.730000004</v>
      </c>
      <c r="H67" s="5">
        <f>(PARAMS_MODELO!$B$20*(MAX(0,MIN(3,E67))/3)+PARAMS_MODELO!$B$21*(IFERROR(LN(1+MAX(0,G67))/LN(1+MAX(0,MAX($G$2:$G$1194))),0)))*100*PARAMS_MODELO!$B$8</f>
        <v>6.2606080363925454</v>
      </c>
      <c r="I67" s="8">
        <f>E67-PARAMS_MODELO!$B$5</f>
        <v>0.4050310097477956</v>
      </c>
      <c r="J67" s="5">
        <f>IF(I67&lt;=PARAMS_MODELO!$B$18,0,IF(I67&gt;=PARAMS_MODELO!$B$19,100,100*(I67-PARAMS_MODELO!$B$18)/(PARAMS_MODELO!$B$19-PARAMS_MODELO!$B$18)))*PARAMS_MODELO!$B$9</f>
        <v>15</v>
      </c>
      <c r="K67" s="5">
        <f>IFERROR(CHOOSE(MATCH(PARAMS_MODELO!$B$2,{"Q1","Q2","Q3"},0),LOTO!$D67,LOTO!$F67,LOTO!$H67),0)</f>
        <v>9155000</v>
      </c>
      <c r="L67" s="8">
        <f t="shared" si="26"/>
        <v>5.0874915171427622E-2</v>
      </c>
      <c r="M67" s="5">
        <f>MIN(100,IF(PARAMS_MODELO!$B$23=0,0,100*L67/PARAMS_MODELO!$B$23))*PARAMS_MODELO!$B$10</f>
        <v>15</v>
      </c>
      <c r="N67" s="5">
        <f>IFERROR(VLOOKUP(A67,COMPLIANCE!$A$2:$F$1996,6,0),100)</f>
        <v>100</v>
      </c>
      <c r="O67" s="5">
        <f>N67*PARAMS_MODELO!$B$11</f>
        <v>10</v>
      </c>
      <c r="P67" s="5">
        <f>IFERROR(VLOOKUP(A67,DIGITAL!$A$2:$J$2000,7,0),100)</f>
        <v>28</v>
      </c>
      <c r="Q67" s="5">
        <f>IFERROR(P67,0)*PARAMS_MODELO!$B$12</f>
        <v>2.8000000000000003</v>
      </c>
      <c r="R67">
        <f t="shared" si="27"/>
        <v>84.060608036392537</v>
      </c>
      <c r="S67" s="5" t="str">
        <f>IFERROR(VLOOKUP(A67,CLIENTE!$A$2:$N$2000,13,0),1)</f>
        <v>Bueno</v>
      </c>
      <c r="T67" s="5">
        <f>IFERROR(VLOOKUP(A67,CLIENTE!$A$2:$N$2000,14,0),1)</f>
        <v>1.1000000000000001</v>
      </c>
      <c r="U67" s="5">
        <f t="shared" si="28"/>
        <v>92.466668840031801</v>
      </c>
      <c r="V67" s="5" t="str">
        <f>IF(U67&gt;=MAX(_xlfn.PERCENTILE.INC($U$2:$U$1194,PARAMS_MODELO!$B$50),PARAMS_MODELO!$B$45),"DIAMANTE",IF(U67&gt;=MAX(_xlfn.PERCENTILE.INC($U$2:$U$1194,PARAMS_MODELO!$B$51),PARAMS_MODELO!$B$46),"PLATINO",IF(U67&gt;=MAX(_xlfn.PERCENTILE.INC($U$2:$U$1194,PARAMS_MODELO!$B$52),PARAMS_MODELO!$B$47),"ORO",IF(U67&gt;=MAX(_xlfn.PERCENTILE.INC($U$2:$U$1194,PARAMS_MODELO!$B$53),PARAMS_MODELO!$B$48),"PLATA",IF(U67&gt;=1,"BRONCE","CERRADO")))))</f>
        <v>PLATINO</v>
      </c>
      <c r="W67" s="5" t="str" cm="1">
        <f t="array" ref="W67">_xlfn.XLOOKUP(1, (HIST_SCORE!$B:$B=PARAMS_MODELO!$B$4) * (HIST_SCORE!$C:$C=A67), HIST_SCORE!$E:$E, "No encontrado")</f>
        <v>PLATINO</v>
      </c>
      <c r="X67" s="5" t="str">
        <f>_xlfn.LET(_xlpm.act,MATCH(V67,{"DIAMANTE";"PLATINO";"ORO";"PLATA";"BRONCE";"CERRADO"},0),_xlpm.ant,MATCH(W67,{"DIAMANTE";"PLATINO";"ORO";"PLATA";"BRONCE";"CERRADO"},0),IF(_xlpm.act&lt;_xlpm.ant,"Mejora ↑",IF(_xlpm.act&gt;_xlpm.ant,"Baja ↓","Estable →")))</f>
        <v>Estable →</v>
      </c>
      <c r="Y67" s="5">
        <f>IFERROR(U67-SUMIFS(HIST_SCORE!$D:$D,HIST_SCORE!$B:$B,PARAMS_MODELO!$B$4,HIST_SCORE!$C:$C,$A67),"")</f>
        <v>-0.33563417250557848</v>
      </c>
      <c r="Z67" s="5" t="str">
        <f t="shared" si="29"/>
        <v>→ Estable</v>
      </c>
      <c r="AA67" s="5">
        <f t="shared" si="30"/>
        <v>96</v>
      </c>
      <c r="AB67" s="5">
        <f>IFERROR(SUMIFS(HIST_SCORE!$F:$F,HIST_SCORE!$B:$B,PARAMS_MODELO!$B$4,HIST_SCORE!$C:$C,$A67),"")</f>
        <v>90</v>
      </c>
      <c r="AC67" s="5">
        <f t="shared" si="31"/>
        <v>-6</v>
      </c>
      <c r="AD67" t="str">
        <f t="shared" ref="AD67:AD130" si="33">IF(V67="CERRADO","Agencia sin actividad o cerrada",IF(AND(V67="BRONCE",Y67=""),"Primer corte: cargá histórico para medir movilidad",IF(AND(V67="BRONCE",Y67&lt;0),"Plan de recuperación: foco crecimiento + mix",IF(AND(V67="ORO",Y67&lt;0),"Sostener base y reforzar mix",""))))</f>
        <v/>
      </c>
      <c r="AE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CERRADO",1,IF(V67="BRONCE",_xlpm.cPl,IF(V67="PLATA",_xlpm.cO,IF(V67="ORO",_xlpm.cP,IF(V67="PLATINO",_xlpm.cD,999))))))</f>
        <v>96.054919694466676</v>
      </c>
      <c r="AF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CERRADO",0,IF(V67="BRONCE",1,IF(V67="PLATA",_xlpm.cPl,IF(V67="ORO",_xlpm.cO,IF(V67="PLATINO",_xlpm.cP,_xlpm.cD))))))</f>
        <v>86.439123873763251</v>
      </c>
      <c r="AG67">
        <f t="shared" ref="AG67:AG130" si="34">_xlfn.LET(_xlpm.corteU,AE67,_xlpm.coef,MAX(0.01,T67),_xlpm.reqR,_xlpm.corteU/_xlpm.coef,MAX(0,_xlpm.reqR-R67))</f>
        <v>3.2620462313044385</v>
      </c>
      <c r="AH67" t="str">
        <f t="shared" ref="AH67:AH130" si="35">_xlfn.LET(_xlpm.deltaR,AG67,_xlpm.ventas,F67+H67+J67,_xlpm.hv,(MAX($F$2:$F$1194)+MAX($H$2:$H$1194)+MAX($J$2:$J$1194))-_xlpm.ventas,_xlpm.hl,MAX($M$2:$M$1194)-M67,_xlpm.hc,MAX($O$2:$O$1194)-O67,_xlpm.hd,MAX($Q$2:$Q$1194)-Q67,_xlpm.impV,MIN(_xlpm.deltaR,MAX(0,_xlpm.hv)),_xlpm.impL,MIN(_xlpm.deltaR,MAX(0,_xlpm.hl)),_xlpm.impC,MIN(_xlpm.deltaR,MAX(0,_xlpm.hc)),_xlpm.impD,MIN(_xlpm.deltaR,MAX(0,_xlpm.hd)),_xlpm.t,T67,_xlpm.tObj,1,_xlpm.impCli,IF(_xlpm.t&lt;0.95,MIN(_xlpm.deltaR,R67*(_xlpm.tObj/_xlpm.t-1)),0),_xlpm.mx,MAX(_xlpm.impV,_xlpm.impL,_xlpm.impC,_xlpm.impD,_xlpm.impCli),IF(V67="DIAMANTE","SOSTENER",IF(V67="CERRADO","CERRADO",IF(_xlpm.mx=_xlpm.impCli,"CLIENTE",IF(_xlpm.mx=_xlpm.impV,"VENTAS",IF(_xlpm.mx=_xlpm.impL,"LOTO",IF(_xlpm.mx=_xlpm.impC,"COMPLIANCE","DIGITAL")))))))</f>
        <v>VENTAS</v>
      </c>
      <c r="AI67" t="str">
        <f t="shared" si="32"/>
        <v>🎯 Para subir de categoría, eje VENTAS / IMPACTO ABSOLUTO (H). Acción: metas semanales + activación comercial + seguimiento del asesor. ΔR aprox: 3,3</v>
      </c>
      <c r="AJ67" s="26">
        <f>_xlfn.LET(_xlpm.piso,AF67,_xlpm.corte,AE67,_xlpm.prog,IF(_xlpm.corte&lt;=_xlpm.piso,0,MAX(0,MIN(1,(U67-_xlpm.piso)/(_xlpm.corte-_xlpm.piso)))),_xlpm.orden,{"DIAMANTE";"PLATINO";"ORO";"PLATA";"BRONCE";"CERRADO"},_xlpm.act,IFERROR(MATCH(V67,_xlpm.orden,0),6),_xlpm.ant,IFERROR(MATCH(W67,_xlpm.orden,0),6),_xlpm.ajmov,IF(_xlpm.act&lt;_xlpm.ant,0.08,IF(_xlpm.act&gt;_xlpm.ant,-0.08,0)),_xlpm.ajcli,IF(T67&lt;0.95,-0.06,0),_xlpm.prob,MAX(0,MIN(1,_xlpm.prog+_xlpm.ajmov+_xlpm.ajcli)),IF(OR(V67="DIAMANTE",V67="CERRADO"),0,ROUND(_xlpm.prob,2)))</f>
        <v>0.63</v>
      </c>
      <c r="AK67" t="str">
        <f t="shared" ref="AK67:AK130" si="36">IF(OR(V67="DIAMANTE",V67="CERRADO"),"No aplica","Faltan " &amp; TEXT(AG67,"0,0") &amp; " puntos base para subir a la siguiente categoría")</f>
        <v>Faltan 3,3 puntos base para subir a la siguiente categoría</v>
      </c>
      <c r="AL67" t="str">
        <f t="shared" ref="AL67:AL130" si="37">_xlfn.LET(_xlpm.piso,AF67,_xlpm.dist,U67-_xlpm.piso,IF(OR(V67="BRONCE",V67="CERRADO"),"No aplica",IF(_xlpm.dist&lt;=0,"⚠ Riesgo de descenso","Margen de seguridad: " &amp; TEXT(_xlpm.dist,"0,0") &amp; " puntos")))</f>
        <v>Margen de seguridad: 6,0 puntos</v>
      </c>
      <c r="AM67">
        <f t="shared" ref="AM67:AM130" si="38">_xlfn.LET(_xlpm.prob,AJ67,_xlpm.dist,AG67,_xlpm.coef,T67,_xlpm.prior,(1-_xlpm.prob)*0.4+MIN(1,_xlpm.dist/10)*0.4+IF(_xlpm.coef&lt;0.95,0.2,0),ROUND(_xlpm.prior,2))</f>
        <v>0.28000000000000003</v>
      </c>
      <c r="AN67" t="str">
        <f t="shared" ref="AN67:AN130" si="39">IF(AM67&gt;=0.7,"PRIORIDAD ALTA – requiere intervención inmediata",IF(AM67&gt;=0.4,"PRIORIDAD MEDIA – seguimiento del asesor","PRIORIDAD BAJA – control normal"))</f>
        <v>PRIORIDAD BAJA – control normal</v>
      </c>
      <c r="AO67">
        <f t="shared" ref="AO67:AO130" si="40">MAX(0,((MAX($F$2:$F$1194)+MAX($H$2:$H$1194)+MAX($J$2:$J$1194))-(F67+H67+J67))*T67)</f>
        <v>9.4621573627933415</v>
      </c>
      <c r="AP67">
        <f t="shared" ref="AP67:AP130" si="41">MAX(0,(MAX($M$2:$M$1194)-M67)*T67)</f>
        <v>0</v>
      </c>
      <c r="AQ67">
        <f t="shared" ref="AQ67:AQ130" si="42">MAX(0,(MAX($O$2:$O$1194)-O67)*T67)</f>
        <v>0</v>
      </c>
      <c r="AR67">
        <f t="shared" ref="AR67:AR130" si="43">MAX(0,(MAX($Q$2:$Q$1194)-Q67)*T67)</f>
        <v>7.92</v>
      </c>
      <c r="AS67">
        <f t="shared" ref="AS67:AS130" si="44">MAX(0,R67*(1-T67))</f>
        <v>0</v>
      </c>
      <c r="AT67" t="str">
        <f t="shared" ref="AT67:AT130" si="45">_xlfn.LET(_xlpm.v,AO67,_xlpm.l,AP67,_xlpm.c,AQ67,_xlpm.d,AR67,_xlpm.cli,AS67,_xlpm.mx,MAX(_xlpm.v,_xlpm.l,_xlpm.c,_xlpm.d,_xlpm.cli),IF(_xlpm.mx=_xlpm.cli,"CLIENTE",IF(_xlpm.mx=_xlpm.v,"VENTAS",IF(_xlpm.mx=_xlpm.l,"LOTO",IF(_xlpm.mx=_xlpm.c,"COMPLIANCE","DIGITAL")))))</f>
        <v>VENTAS</v>
      </c>
      <c r="AU67">
        <f t="shared" ref="AU67:AU130" si="46">MAX(AO67,AP67,AQ67,AR67,AS67)</f>
        <v>9.4621573627933415</v>
      </c>
      <c r="AV67" t="str">
        <f t="shared" ref="AV67:AV130" si="47">IF(V67="CERRADO","⛔ Sin impacto comercial estimable por estado CERRADO.","Mayor retorno probable: " &amp; AT67 &amp; " (+" &amp; TEXT(AU67,"0,0") &amp; " puntos finales potenciales).")</f>
        <v>Mayor retorno probable: VENTAS (+9,5 puntos finales potenciales).</v>
      </c>
    </row>
    <row r="68" spans="1:48" x14ac:dyDescent="0.3">
      <c r="A68" s="5">
        <v>51025334</v>
      </c>
      <c r="B68" s="5" t="str">
        <f>IFERROR(VLOOKUP(A68,VENTAS!$A$2:$B$1194,2,0),"")</f>
        <v>CICHETTO</v>
      </c>
      <c r="C68" s="5">
        <f>IFERROR(INDEX(VENTAS!$C$2:$E$1194,MATCH(A68,VENTAS!$A$2:$A$1194,0),MATCH(PARAMS_MODELO!$B$2,{"Q1","Q2","Q3"},0)),0)</f>
        <v>150551402.03</v>
      </c>
      <c r="D68" s="5">
        <f>IFERROR(INDEX(VENTAS!$F$2:$H$1194,MATCH(A68,VENTAS!$A$2:$A$1194,0),MATCH(PARAMS_MODELO!$B$2,{"Q1","Q2","Q3"},0)),0)</f>
        <v>179694870</v>
      </c>
      <c r="E68" s="8">
        <f t="shared" si="24"/>
        <v>0.19357819041892843</v>
      </c>
      <c r="F68" s="12">
        <f>IF(E68&lt;=PARAMS_MODELO!$B$15,0,IF(E68&gt;=PARAMS_MODELO!$B$17,100,100*MIN(1,(E68-PARAMS_MODELO!$B$15)/(PARAMS_MODELO!$B$16-PARAMS_MODELO!$B$15))))*PARAMS_MODELO!$B$7</f>
        <v>35</v>
      </c>
      <c r="G68" s="5">
        <f t="shared" si="25"/>
        <v>29143467.969999999</v>
      </c>
      <c r="H68" s="5">
        <f>(PARAMS_MODELO!$B$20*(MAX(0,MIN(3,E68))/3)+PARAMS_MODELO!$B$21*(IFERROR(LN(1+MAX(0,G68))/LN(1+MAX(0,MAX($G$2:$G$1194))),0)))*100*PARAMS_MODELO!$B$8</f>
        <v>4.7065702026227054</v>
      </c>
      <c r="I68" s="8">
        <f>E68-PARAMS_MODELO!$B$5</f>
        <v>1.6015355043401902E-2</v>
      </c>
      <c r="J68" s="5">
        <f>IF(I68&lt;=PARAMS_MODELO!$B$18,0,IF(I68&gt;=PARAMS_MODELO!$B$19,100,100*(I68-PARAMS_MODELO!$B$18)/(PARAMS_MODELO!$B$19-PARAMS_MODELO!$B$18)))*PARAMS_MODELO!$B$9</f>
        <v>9.9023032565102849</v>
      </c>
      <c r="K68" s="5">
        <f>IFERROR(CHOOSE(MATCH(PARAMS_MODELO!$B$2,{"Q1","Q2","Q3"},0),LOTO!$D68,LOTO!$F68,LOTO!$H68),0)</f>
        <v>9150000</v>
      </c>
      <c r="L68" s="8">
        <f t="shared" si="26"/>
        <v>5.0919650627755816E-2</v>
      </c>
      <c r="M68" s="5">
        <f>MIN(100,IF(PARAMS_MODELO!$B$23=0,0,100*L68/PARAMS_MODELO!$B$23))*PARAMS_MODELO!$B$10</f>
        <v>15</v>
      </c>
      <c r="N68" s="5">
        <f>IFERROR(VLOOKUP(A68,COMPLIANCE!$A$2:$F$1996,6,0),100)</f>
        <v>100</v>
      </c>
      <c r="O68" s="5">
        <f>N68*PARAMS_MODELO!$B$11</f>
        <v>10</v>
      </c>
      <c r="P68" s="5">
        <f>IFERROR(VLOOKUP(A68,DIGITAL!$A$2:$J$2000,7,0),100)</f>
        <v>99</v>
      </c>
      <c r="Q68" s="5">
        <f>IFERROR(P68,0)*PARAMS_MODELO!$B$12</f>
        <v>9.9</v>
      </c>
      <c r="R68">
        <f t="shared" si="27"/>
        <v>84.508873459133</v>
      </c>
      <c r="S68" s="5" t="str">
        <f>IFERROR(VLOOKUP(A68,CLIENTE!$A$2:$N$2000,13,0),1)</f>
        <v>Regular</v>
      </c>
      <c r="T68" s="5">
        <f>IFERROR(VLOOKUP(A68,CLIENTE!$A$2:$N$2000,14,0),1)</f>
        <v>1</v>
      </c>
      <c r="U68" s="5">
        <f t="shared" si="28"/>
        <v>84.508873459133</v>
      </c>
      <c r="V68" s="5" t="str">
        <f>IF(U68&gt;=MAX(_xlfn.PERCENTILE.INC($U$2:$U$1194,PARAMS_MODELO!$B$50),PARAMS_MODELO!$B$45),"DIAMANTE",IF(U68&gt;=MAX(_xlfn.PERCENTILE.INC($U$2:$U$1194,PARAMS_MODELO!$B$51),PARAMS_MODELO!$B$46),"PLATINO",IF(U68&gt;=MAX(_xlfn.PERCENTILE.INC($U$2:$U$1194,PARAMS_MODELO!$B$52),PARAMS_MODELO!$B$47),"ORO",IF(U68&gt;=MAX(_xlfn.PERCENTILE.INC($U$2:$U$1194,PARAMS_MODELO!$B$53),PARAMS_MODELO!$B$48),"PLATA",IF(U68&gt;=1,"BRONCE","CERRADO")))))</f>
        <v>ORO</v>
      </c>
      <c r="W68" s="5" t="str" cm="1">
        <f t="array" ref="W68">_xlfn.XLOOKUP(1, (HIST_SCORE!$B:$B=PARAMS_MODELO!$B$4) * (HIST_SCORE!$C:$C=A68), HIST_SCORE!$E:$E, "No encontrado")</f>
        <v>ORO</v>
      </c>
      <c r="X68" s="5" t="str">
        <f>_xlfn.LET(_xlpm.act,MATCH(V68,{"DIAMANTE";"PLATINO";"ORO";"PLATA";"BRONCE";"CERRADO"},0),_xlpm.ant,MATCH(W68,{"DIAMANTE";"PLATINO";"ORO";"PLATA";"BRONCE";"CERRADO"},0),IF(_xlpm.act&lt;_xlpm.ant,"Mejora ↑",IF(_xlpm.act&gt;_xlpm.ant,"Baja ↓","Estable →")))</f>
        <v>Estable →</v>
      </c>
      <c r="Y68" s="5">
        <f>IFERROR(U68-SUMIFS(HIST_SCORE!$D:$D,HIST_SCORE!$B:$B,PARAMS_MODELO!$B$4,HIST_SCORE!$C:$C,$A68),"")</f>
        <v>7.030893664996853</v>
      </c>
      <c r="Z68" s="5" t="str">
        <f t="shared" si="29"/>
        <v>↑ Mejora</v>
      </c>
      <c r="AA68" s="5">
        <f t="shared" si="30"/>
        <v>300</v>
      </c>
      <c r="AB68" s="5">
        <f>IFERROR(SUMIFS(HIST_SCORE!$F:$F,HIST_SCORE!$B:$B,PARAMS_MODELO!$B$4,HIST_SCORE!$C:$C,$A68),"")</f>
        <v>457</v>
      </c>
      <c r="AC68" s="5">
        <f t="shared" si="31"/>
        <v>157</v>
      </c>
      <c r="AD68" t="str">
        <f t="shared" si="33"/>
        <v/>
      </c>
      <c r="AE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CERRADO",1,IF(V68="BRONCE",_xlpm.cPl,IF(V68="PLATA",_xlpm.cO,IF(V68="ORO",_xlpm.cP,IF(V68="PLATINO",_xlpm.cD,999))))))</f>
        <v>86.439123873763251</v>
      </c>
      <c r="AF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CERRADO",0,IF(V68="BRONCE",1,IF(V68="PLATA",_xlpm.cPl,IF(V68="ORO",_xlpm.cO,IF(V68="PLATINO",_xlpm.cP,_xlpm.cD))))))</f>
        <v>63.199193273331495</v>
      </c>
      <c r="AG68">
        <f t="shared" si="34"/>
        <v>1.930250414630251</v>
      </c>
      <c r="AH68" t="str">
        <f t="shared" si="35"/>
        <v>VENTAS</v>
      </c>
      <c r="AI68" t="str">
        <f t="shared" si="32"/>
        <v>🎯 Para subir de categoría, eje VENTAS / IMPACTO ABSOLUTO (H). Acción: metas semanales + activación comercial + seguimiento del asesor. ΔR aprox: 1,9</v>
      </c>
      <c r="AJ68" s="26">
        <f>_xlfn.LET(_xlpm.piso,AF68,_xlpm.corte,AE68,_xlpm.prog,IF(_xlpm.corte&lt;=_xlpm.piso,0,MAX(0,MIN(1,(U68-_xlpm.piso)/(_xlpm.corte-_xlpm.piso)))),_xlpm.orden,{"DIAMANTE";"PLATINO";"ORO";"PLATA";"BRONCE";"CERRADO"},_xlpm.act,IFERROR(MATCH(V68,_xlpm.orden,0),6),_xlpm.ant,IFERROR(MATCH(W68,_xlpm.orden,0),6),_xlpm.ajmov,IF(_xlpm.act&lt;_xlpm.ant,0.08,IF(_xlpm.act&gt;_xlpm.ant,-0.08,0)),_xlpm.ajcli,IF(T68&lt;0.95,-0.06,0),_xlpm.prob,MAX(0,MIN(1,_xlpm.prog+_xlpm.ajmov+_xlpm.ajcli)),IF(OR(V68="DIAMANTE",V68="CERRADO"),0,ROUND(_xlpm.prob,2)))</f>
        <v>0.92</v>
      </c>
      <c r="AK68" t="str">
        <f t="shared" si="36"/>
        <v>Faltan 1,9 puntos base para subir a la siguiente categoría</v>
      </c>
      <c r="AL68" t="str">
        <f t="shared" si="37"/>
        <v>Margen de seguridad: 21,3 puntos</v>
      </c>
      <c r="AM68">
        <f t="shared" si="38"/>
        <v>0.11</v>
      </c>
      <c r="AN68" t="str">
        <f t="shared" si="39"/>
        <v>PRIORIDAD BAJA – control normal</v>
      </c>
      <c r="AO68">
        <f t="shared" si="40"/>
        <v>15.25369581616259</v>
      </c>
      <c r="AP68">
        <f t="shared" si="41"/>
        <v>0</v>
      </c>
      <c r="AQ68">
        <f t="shared" si="42"/>
        <v>0</v>
      </c>
      <c r="AR68">
        <f t="shared" si="43"/>
        <v>9.9999999999999645E-2</v>
      </c>
      <c r="AS68">
        <f t="shared" si="44"/>
        <v>0</v>
      </c>
      <c r="AT68" t="str">
        <f t="shared" si="45"/>
        <v>VENTAS</v>
      </c>
      <c r="AU68">
        <f t="shared" si="46"/>
        <v>15.25369581616259</v>
      </c>
      <c r="AV68" t="str">
        <f t="shared" si="47"/>
        <v>Mayor retorno probable: VENTAS (+15,3 puntos finales potenciales).</v>
      </c>
    </row>
    <row r="69" spans="1:48" x14ac:dyDescent="0.3">
      <c r="A69" s="5">
        <v>51056132</v>
      </c>
      <c r="B69" s="5" t="str">
        <f>IFERROR(VLOOKUP(A69,VENTAS!$A$2:$B$1194,2,0),"")</f>
        <v>ROBERTS</v>
      </c>
      <c r="C69" s="5">
        <f>IFERROR(INDEX(VENTAS!$C$2:$E$1194,MATCH(A69,VENTAS!$A$2:$A$1194,0),MATCH(PARAMS_MODELO!$B$2,{"Q1","Q2","Q3"},0)),0)</f>
        <v>131141685.25</v>
      </c>
      <c r="D69" s="5">
        <f>IFERROR(INDEX(VENTAS!$F$2:$H$1194,MATCH(A69,VENTAS!$A$2:$A$1194,0),MATCH(PARAMS_MODELO!$B$2,{"Q1","Q2","Q3"},0)),0)</f>
        <v>179261207</v>
      </c>
      <c r="E69" s="8">
        <f t="shared" si="24"/>
        <v>0.36692773665572509</v>
      </c>
      <c r="F69" s="12">
        <f>IF(E69&lt;=PARAMS_MODELO!$B$15,0,IF(E69&gt;=PARAMS_MODELO!$B$17,100,100*MIN(1,(E69-PARAMS_MODELO!$B$15)/(PARAMS_MODELO!$B$16-PARAMS_MODELO!$B$15))))*PARAMS_MODELO!$B$7</f>
        <v>35</v>
      </c>
      <c r="G69" s="5">
        <f t="shared" si="25"/>
        <v>48119521.75</v>
      </c>
      <c r="H69" s="5">
        <f>(PARAMS_MODELO!$B$20*(MAX(0,MIN(3,E69))/3)+PARAMS_MODELO!$B$21*(IFERROR(LN(1+MAX(0,G69))/LN(1+MAX(0,MAX($G$2:$G$1194))),0)))*100*PARAMS_MODELO!$B$8</f>
        <v>5.4308421674692964</v>
      </c>
      <c r="I69" s="8">
        <f>E69-PARAMS_MODELO!$B$5</f>
        <v>0.18936490128019856</v>
      </c>
      <c r="J69" s="5">
        <f>IF(I69&lt;=PARAMS_MODELO!$B$18,0,IF(I69&gt;=PARAMS_MODELO!$B$19,100,100*(I69-PARAMS_MODELO!$B$18)/(PARAMS_MODELO!$B$19-PARAMS_MODELO!$B$18)))*PARAMS_MODELO!$B$9</f>
        <v>15</v>
      </c>
      <c r="K69" s="5">
        <f>IFERROR(CHOOSE(MATCH(PARAMS_MODELO!$B$2,{"Q1","Q2","Q3"},0),LOTO!$D69,LOTO!$F69,LOTO!$H69),0)</f>
        <v>9075000</v>
      </c>
      <c r="L69" s="8">
        <f t="shared" si="26"/>
        <v>5.0624449940248367E-2</v>
      </c>
      <c r="M69" s="5">
        <f>MIN(100,IF(PARAMS_MODELO!$B$23=0,0,100*L69/PARAMS_MODELO!$B$23))*PARAMS_MODELO!$B$10</f>
        <v>15</v>
      </c>
      <c r="N69" s="5">
        <f>IFERROR(VLOOKUP(A69,COMPLIANCE!$A$2:$F$1996,6,0),100)</f>
        <v>100</v>
      </c>
      <c r="O69" s="5">
        <f>N69*PARAMS_MODELO!$B$11</f>
        <v>10</v>
      </c>
      <c r="P69" s="5">
        <f>IFERROR(VLOOKUP(A69,DIGITAL!$A$2:$J$2000,7,0),100)</f>
        <v>26</v>
      </c>
      <c r="Q69" s="5">
        <f>IFERROR(P69,0)*PARAMS_MODELO!$B$12</f>
        <v>2.6</v>
      </c>
      <c r="R69">
        <f t="shared" si="27"/>
        <v>83.030842167469288</v>
      </c>
      <c r="S69" s="5" t="str">
        <f>IFERROR(VLOOKUP(A69,CLIENTE!$A$2:$N$2000,13,0),1)</f>
        <v>Malo</v>
      </c>
      <c r="T69" s="5">
        <f>IFERROR(VLOOKUP(A69,CLIENTE!$A$2:$N$2000,14,0),1)</f>
        <v>0.7</v>
      </c>
      <c r="U69" s="5">
        <f t="shared" si="28"/>
        <v>58.1215895172285</v>
      </c>
      <c r="V69" s="5" t="str">
        <f>IF(U69&gt;=MAX(_xlfn.PERCENTILE.INC($U$2:$U$1194,PARAMS_MODELO!$B$50),PARAMS_MODELO!$B$45),"DIAMANTE",IF(U69&gt;=MAX(_xlfn.PERCENTILE.INC($U$2:$U$1194,PARAMS_MODELO!$B$51),PARAMS_MODELO!$B$46),"PLATINO",IF(U69&gt;=MAX(_xlfn.PERCENTILE.INC($U$2:$U$1194,PARAMS_MODELO!$B$52),PARAMS_MODELO!$B$47),"ORO",IF(U69&gt;=MAX(_xlfn.PERCENTILE.INC($U$2:$U$1194,PARAMS_MODELO!$B$53),PARAMS_MODELO!$B$48),"PLATA",IF(U69&gt;=1,"BRONCE","CERRADO")))))</f>
        <v>PLATA</v>
      </c>
      <c r="W69" s="5" t="str" cm="1">
        <f t="array" ref="W69">_xlfn.XLOOKUP(1, (HIST_SCORE!$B:$B=PARAMS_MODELO!$B$4) * (HIST_SCORE!$C:$C=A69), HIST_SCORE!$E:$E, "No encontrado")</f>
        <v>PLATA</v>
      </c>
      <c r="X69" s="5" t="str">
        <f>_xlfn.LET(_xlpm.act,MATCH(V69,{"DIAMANTE";"PLATINO";"ORO";"PLATA";"BRONCE";"CERRADO"},0),_xlpm.ant,MATCH(W69,{"DIAMANTE";"PLATINO";"ORO";"PLATA";"BRONCE";"CERRADO"},0),IF(_xlpm.act&lt;_xlpm.ant,"Mejora ↑",IF(_xlpm.act&gt;_xlpm.ant,"Baja ↓","Estable →")))</f>
        <v>Estable →</v>
      </c>
      <c r="Y69" s="5">
        <f>IFERROR(U69-SUMIFS(HIST_SCORE!$D:$D,HIST_SCORE!$B:$B,PARAMS_MODELO!$B$4,HIST_SCORE!$C:$C,$A69),"")</f>
        <v>9.2722546493237417</v>
      </c>
      <c r="Z69" s="5" t="str">
        <f t="shared" si="29"/>
        <v>↑ Mejora</v>
      </c>
      <c r="AA69" s="5">
        <f t="shared" si="30"/>
        <v>657</v>
      </c>
      <c r="AB69" s="5">
        <f>IFERROR(SUMIFS(HIST_SCORE!$F:$F,HIST_SCORE!$B:$B,PARAMS_MODELO!$B$4,HIST_SCORE!$C:$C,$A69),"")</f>
        <v>781</v>
      </c>
      <c r="AC69" s="5">
        <f t="shared" si="31"/>
        <v>124</v>
      </c>
      <c r="AD69" t="str">
        <f t="shared" si="33"/>
        <v/>
      </c>
      <c r="AE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CERRADO",1,IF(V69="BRONCE",_xlpm.cPl,IF(V69="PLATA",_xlpm.cO,IF(V69="ORO",_xlpm.cP,IF(V69="PLATINO",_xlpm.cD,999))))))</f>
        <v>63.199193273331495</v>
      </c>
      <c r="AF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CERRADO",0,IF(V69="BRONCE",1,IF(V69="PLATA",_xlpm.cPl,IF(V69="ORO",_xlpm.cO,IF(V69="PLATINO",_xlpm.cP,_xlpm.cD))))))</f>
        <v>24.506573482968111</v>
      </c>
      <c r="AG69">
        <f t="shared" si="34"/>
        <v>7.2537196515757074</v>
      </c>
      <c r="AH69" t="str">
        <f t="shared" si="35"/>
        <v>CLIENTE</v>
      </c>
      <c r="AI69" t="str">
        <f t="shared" si="32"/>
        <v>🎯 Para subir de categoría, la eje con mayor impacto probable es CLIENTE (coef T). Acción: reducir quejas, mejorar incógnito y empujar reseñas. ΔR aprox: 7,3</v>
      </c>
      <c r="AJ69" s="26">
        <f>_xlfn.LET(_xlpm.piso,AF69,_xlpm.corte,AE69,_xlpm.prog,IF(_xlpm.corte&lt;=_xlpm.piso,0,MAX(0,MIN(1,(U69-_xlpm.piso)/(_xlpm.corte-_xlpm.piso)))),_xlpm.orden,{"DIAMANTE";"PLATINO";"ORO";"PLATA";"BRONCE";"CERRADO"},_xlpm.act,IFERROR(MATCH(V69,_xlpm.orden,0),6),_xlpm.ant,IFERROR(MATCH(W69,_xlpm.orden,0),6),_xlpm.ajmov,IF(_xlpm.act&lt;_xlpm.ant,0.08,IF(_xlpm.act&gt;_xlpm.ant,-0.08,0)),_xlpm.ajcli,IF(T69&lt;0.95,-0.06,0),_xlpm.prob,MAX(0,MIN(1,_xlpm.prog+_xlpm.ajmov+_xlpm.ajcli)),IF(OR(V69="DIAMANTE",V69="CERRADO"),0,ROUND(_xlpm.prob,2)))</f>
        <v>0.81</v>
      </c>
      <c r="AK69" t="str">
        <f t="shared" si="36"/>
        <v>Faltan 7,3 puntos base para subir a la siguiente categoría</v>
      </c>
      <c r="AL69" t="str">
        <f t="shared" si="37"/>
        <v>Margen de seguridad: 33,6 puntos</v>
      </c>
      <c r="AM69">
        <f t="shared" si="38"/>
        <v>0.56999999999999995</v>
      </c>
      <c r="AN69" t="str">
        <f t="shared" si="39"/>
        <v>PRIORIDAD MEDIA – seguimiento del asesor</v>
      </c>
      <c r="AO69">
        <f t="shared" si="40"/>
        <v>6.602208975478403</v>
      </c>
      <c r="AP69">
        <f t="shared" si="41"/>
        <v>0</v>
      </c>
      <c r="AQ69">
        <f t="shared" si="42"/>
        <v>0</v>
      </c>
      <c r="AR69">
        <f t="shared" si="43"/>
        <v>5.18</v>
      </c>
      <c r="AS69">
        <f t="shared" si="44"/>
        <v>24.909252650240791</v>
      </c>
      <c r="AT69" t="str">
        <f t="shared" si="45"/>
        <v>CLIENTE</v>
      </c>
      <c r="AU69">
        <f t="shared" si="46"/>
        <v>24.909252650240791</v>
      </c>
      <c r="AV69" t="str">
        <f t="shared" si="47"/>
        <v>Mayor retorno probable: CLIENTE (+24,9 puntos finales potenciales).</v>
      </c>
    </row>
    <row r="70" spans="1:48" x14ac:dyDescent="0.3">
      <c r="A70" s="5">
        <v>51004531</v>
      </c>
      <c r="B70" s="5" t="str">
        <f>IFERROR(VLOOKUP(A70,VENTAS!$A$2:$B$1194,2,0),"")</f>
        <v>PRADES</v>
      </c>
      <c r="C70" s="5">
        <f>IFERROR(INDEX(VENTAS!$C$2:$E$1194,MATCH(A70,VENTAS!$A$2:$A$1194,0),MATCH(PARAMS_MODELO!$B$2,{"Q1","Q2","Q3"},0)),0)</f>
        <v>149049288.88</v>
      </c>
      <c r="D70" s="5">
        <f>IFERROR(INDEX(VENTAS!$F$2:$H$1194,MATCH(A70,VENTAS!$A$2:$A$1194,0),MATCH(PARAMS_MODELO!$B$2,{"Q1","Q2","Q3"},0)),0)</f>
        <v>178911021</v>
      </c>
      <c r="E70" s="8">
        <f t="shared" si="24"/>
        <v>0.20034803483055708</v>
      </c>
      <c r="F70" s="12">
        <f>IF(E70&lt;=PARAMS_MODELO!$B$15,0,IF(E70&gt;=PARAMS_MODELO!$B$17,100,100*MIN(1,(E70-PARAMS_MODELO!$B$15)/(PARAMS_MODELO!$B$16-PARAMS_MODELO!$B$15))))*PARAMS_MODELO!$B$7</f>
        <v>35</v>
      </c>
      <c r="G70" s="5">
        <f t="shared" si="25"/>
        <v>29861732.120000005</v>
      </c>
      <c r="H70" s="5">
        <f>(PARAMS_MODELO!$B$20*(MAX(0,MIN(3,E70))/3)+PARAMS_MODELO!$B$21*(IFERROR(LN(1+MAX(0,G70))/LN(1+MAX(0,MAX($G$2:$G$1194))),0)))*100*PARAMS_MODELO!$B$8</f>
        <v>4.7359719331977486</v>
      </c>
      <c r="I70" s="8">
        <f>E70-PARAMS_MODELO!$B$5</f>
        <v>2.2785199455030547E-2</v>
      </c>
      <c r="J70" s="5">
        <f>IF(I70&lt;=PARAMS_MODELO!$B$18,0,IF(I70&gt;=PARAMS_MODELO!$B$19,100,100*(I70-PARAMS_MODELO!$B$18)/(PARAMS_MODELO!$B$19-PARAMS_MODELO!$B$18)))*PARAMS_MODELO!$B$9</f>
        <v>10.917779918254579</v>
      </c>
      <c r="K70" s="5">
        <f>IFERROR(CHOOSE(MATCH(PARAMS_MODELO!$B$2,{"Q1","Q2","Q3"},0),LOTO!$D70,LOTO!$F70,LOTO!$H70),0)</f>
        <v>9040000</v>
      </c>
      <c r="L70" s="8">
        <f t="shared" si="26"/>
        <v>5.0527910183912034E-2</v>
      </c>
      <c r="M70" s="5">
        <f>MIN(100,IF(PARAMS_MODELO!$B$23=0,0,100*L70/PARAMS_MODELO!$B$23))*PARAMS_MODELO!$B$10</f>
        <v>15</v>
      </c>
      <c r="N70" s="5">
        <f>IFERROR(VLOOKUP(A70,COMPLIANCE!$A$2:$F$1996,6,0),100)</f>
        <v>100</v>
      </c>
      <c r="O70" s="5">
        <f>N70*PARAMS_MODELO!$B$11</f>
        <v>10</v>
      </c>
      <c r="P70" s="5">
        <f>IFERROR(VLOOKUP(A70,DIGITAL!$A$2:$J$2000,7,0),100)</f>
        <v>66</v>
      </c>
      <c r="Q70" s="5">
        <f>IFERROR(P70,0)*PARAMS_MODELO!$B$12</f>
        <v>6.6000000000000005</v>
      </c>
      <c r="R70">
        <f t="shared" si="27"/>
        <v>82.253751851452321</v>
      </c>
      <c r="S70" s="5" t="str">
        <f>IFERROR(VLOOKUP(A70,CLIENTE!$A$2:$N$2000,13,0),1)</f>
        <v>Bueno</v>
      </c>
      <c r="T70" s="5">
        <f>IFERROR(VLOOKUP(A70,CLIENTE!$A$2:$N$2000,14,0),1)</f>
        <v>1.1000000000000001</v>
      </c>
      <c r="U70" s="5">
        <f t="shared" si="28"/>
        <v>90.479127036597561</v>
      </c>
      <c r="V70" s="5" t="str">
        <f>IF(U70&gt;=MAX(_xlfn.PERCENTILE.INC($U$2:$U$1194,PARAMS_MODELO!$B$50),PARAMS_MODELO!$B$45),"DIAMANTE",IF(U70&gt;=MAX(_xlfn.PERCENTILE.INC($U$2:$U$1194,PARAMS_MODELO!$B$51),PARAMS_MODELO!$B$46),"PLATINO",IF(U70&gt;=MAX(_xlfn.PERCENTILE.INC($U$2:$U$1194,PARAMS_MODELO!$B$52),PARAMS_MODELO!$B$47),"ORO",IF(U70&gt;=MAX(_xlfn.PERCENTILE.INC($U$2:$U$1194,PARAMS_MODELO!$B$53),PARAMS_MODELO!$B$48),"PLATA",IF(U70&gt;=1,"BRONCE","CERRADO")))))</f>
        <v>PLATINO</v>
      </c>
      <c r="W70" s="5" t="str" cm="1">
        <f t="array" ref="W70">_xlfn.XLOOKUP(1, (HIST_SCORE!$B:$B=PARAMS_MODELO!$B$4) * (HIST_SCORE!$C:$C=A70), HIST_SCORE!$E:$E, "No encontrado")</f>
        <v>PLATINO</v>
      </c>
      <c r="X70" s="5" t="str">
        <f>_xlfn.LET(_xlpm.act,MATCH(V70,{"DIAMANTE";"PLATINO";"ORO";"PLATA";"BRONCE";"CERRADO"},0),_xlpm.ant,MATCH(W70,{"DIAMANTE";"PLATINO";"ORO";"PLATA";"BRONCE";"CERRADO"},0),IF(_xlpm.act&lt;_xlpm.ant,"Mejora ↑",IF(_xlpm.act&gt;_xlpm.ant,"Baja ↓","Estable →")))</f>
        <v>Estable →</v>
      </c>
      <c r="Y70" s="5">
        <f>IFERROR(U70-SUMIFS(HIST_SCORE!$D:$D,HIST_SCORE!$B:$B,PARAMS_MODELO!$B$4,HIST_SCORE!$C:$C,$A70),"")</f>
        <v>-3.0322244606656596</v>
      </c>
      <c r="Z70" s="5" t="str">
        <f t="shared" si="29"/>
        <v>→ Estable</v>
      </c>
      <c r="AA70" s="5">
        <f t="shared" si="30"/>
        <v>124</v>
      </c>
      <c r="AB70" s="5">
        <f>IFERROR(SUMIFS(HIST_SCORE!$F:$F,HIST_SCORE!$B:$B,PARAMS_MODELO!$B$4,HIST_SCORE!$C:$C,$A70),"")</f>
        <v>78</v>
      </c>
      <c r="AC70" s="5">
        <f t="shared" si="31"/>
        <v>-46</v>
      </c>
      <c r="AD70" t="str">
        <f t="shared" si="33"/>
        <v/>
      </c>
      <c r="AE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CERRADO",1,IF(V70="BRONCE",_xlpm.cPl,IF(V70="PLATA",_xlpm.cO,IF(V70="ORO",_xlpm.cP,IF(V70="PLATINO",_xlpm.cD,999))))))</f>
        <v>96.054919694466676</v>
      </c>
      <c r="AF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CERRADO",0,IF(V70="BRONCE",1,IF(V70="PLATA",_xlpm.cPl,IF(V70="ORO",_xlpm.cO,IF(V70="PLATINO",_xlpm.cP,_xlpm.cD))))))</f>
        <v>86.439123873763251</v>
      </c>
      <c r="AG70">
        <f t="shared" si="34"/>
        <v>5.0689024162446543</v>
      </c>
      <c r="AH70" t="str">
        <f t="shared" si="35"/>
        <v>VENTAS</v>
      </c>
      <c r="AI70" t="str">
        <f t="shared" si="32"/>
        <v>🎯 Para subir de categoría, eje VENTAS / IMPACTO ABSOLUTO (H). Acción: metas semanales + activación comercial + seguimiento del asesor. ΔR aprox: 5,1</v>
      </c>
      <c r="AJ70" s="26">
        <f>_xlfn.LET(_xlpm.piso,AF70,_xlpm.corte,AE70,_xlpm.prog,IF(_xlpm.corte&lt;=_xlpm.piso,0,MAX(0,MIN(1,(U70-_xlpm.piso)/(_xlpm.corte-_xlpm.piso)))),_xlpm.orden,{"DIAMANTE";"PLATINO";"ORO";"PLATA";"BRONCE";"CERRADO"},_xlpm.act,IFERROR(MATCH(V70,_xlpm.orden,0),6),_xlpm.ant,IFERROR(MATCH(W70,_xlpm.orden,0),6),_xlpm.ajmov,IF(_xlpm.act&lt;_xlpm.ant,0.08,IF(_xlpm.act&gt;_xlpm.ant,-0.08,0)),_xlpm.ajcli,IF(T70&lt;0.95,-0.06,0),_xlpm.prob,MAX(0,MIN(1,_xlpm.prog+_xlpm.ajmov+_xlpm.ajcli)),IF(OR(V70="DIAMANTE",V70="CERRADO"),0,ROUND(_xlpm.prob,2)))</f>
        <v>0.42</v>
      </c>
      <c r="AK70" t="str">
        <f t="shared" si="36"/>
        <v>Faltan 5,1 puntos base para subir a la siguiente categoría</v>
      </c>
      <c r="AL70" t="str">
        <f t="shared" si="37"/>
        <v>Margen de seguridad: 4,0 puntos</v>
      </c>
      <c r="AM70">
        <f t="shared" si="38"/>
        <v>0.43</v>
      </c>
      <c r="AN70" t="str">
        <f t="shared" si="39"/>
        <v>PRIORIDAD MEDIA – seguimiento del asesor</v>
      </c>
      <c r="AO70">
        <f t="shared" si="40"/>
        <v>15.629699166227585</v>
      </c>
      <c r="AP70">
        <f t="shared" si="41"/>
        <v>0</v>
      </c>
      <c r="AQ70">
        <f t="shared" si="42"/>
        <v>0</v>
      </c>
      <c r="AR70">
        <f t="shared" si="43"/>
        <v>3.7399999999999998</v>
      </c>
      <c r="AS70">
        <f t="shared" si="44"/>
        <v>0</v>
      </c>
      <c r="AT70" t="str">
        <f t="shared" si="45"/>
        <v>VENTAS</v>
      </c>
      <c r="AU70">
        <f t="shared" si="46"/>
        <v>15.629699166227585</v>
      </c>
      <c r="AV70" t="str">
        <f t="shared" si="47"/>
        <v>Mayor retorno probable: VENTAS (+15,6 puntos finales potenciales).</v>
      </c>
    </row>
    <row r="71" spans="1:48" x14ac:dyDescent="0.3">
      <c r="A71" s="5">
        <v>51039033</v>
      </c>
      <c r="B71" s="5" t="str">
        <f>IFERROR(VLOOKUP(A71,VENTAS!$A$2:$B$1194,2,0),"")</f>
        <v>AYALA</v>
      </c>
      <c r="C71" s="5">
        <f>IFERROR(INDEX(VENTAS!$C$2:$E$1194,MATCH(A71,VENTAS!$A$2:$A$1194,0),MATCH(PARAMS_MODELO!$B$2,{"Q1","Q2","Q3"},0)),0)</f>
        <v>168761879.97</v>
      </c>
      <c r="D71" s="5">
        <f>IFERROR(INDEX(VENTAS!$F$2:$H$1194,MATCH(A71,VENTAS!$A$2:$A$1194,0),MATCH(PARAMS_MODELO!$B$2,{"Q1","Q2","Q3"},0)),0)</f>
        <v>178533233</v>
      </c>
      <c r="E71" s="8">
        <f t="shared" si="24"/>
        <v>5.7900238085383915E-2</v>
      </c>
      <c r="F71" s="12">
        <f>IF(E71&lt;=PARAMS_MODELO!$B$15,0,IF(E71&gt;=PARAMS_MODELO!$B$17,100,100*MIN(1,(E71-PARAMS_MODELO!$B$15)/(PARAMS_MODELO!$B$16-PARAMS_MODELO!$B$15))))*PARAMS_MODELO!$B$7</f>
        <v>20.265083329884369</v>
      </c>
      <c r="G71" s="5">
        <f t="shared" si="25"/>
        <v>9771353.0300000012</v>
      </c>
      <c r="H71" s="5">
        <f>(PARAMS_MODELO!$B$20*(MAX(0,MIN(3,E71))/3)+PARAMS_MODELO!$B$21*(IFERROR(LN(1+MAX(0,G71))/LN(1+MAX(0,MAX($G$2:$G$1194))),0)))*100*PARAMS_MODELO!$B$8</f>
        <v>3.9755354679957167</v>
      </c>
      <c r="I71" s="8">
        <f>E71-PARAMS_MODELO!$B$5</f>
        <v>-0.11966259729014261</v>
      </c>
      <c r="J71" s="5">
        <f>IF(I71&lt;=PARAMS_MODELO!$B$18,0,IF(I71&gt;=PARAMS_MODELO!$B$19,100,100*(I71-PARAMS_MODELO!$B$18)/(PARAMS_MODELO!$B$19-PARAMS_MODELO!$B$18)))*PARAMS_MODELO!$B$9</f>
        <v>0</v>
      </c>
      <c r="K71" s="5">
        <f>IFERROR(CHOOSE(MATCH(PARAMS_MODELO!$B$2,{"Q1","Q2","Q3"},0),LOTO!$D71,LOTO!$F71,LOTO!$H71),0)</f>
        <v>9000000</v>
      </c>
      <c r="L71" s="8">
        <f t="shared" si="26"/>
        <v>5.0410782624431612E-2</v>
      </c>
      <c r="M71" s="5">
        <f>MIN(100,IF(PARAMS_MODELO!$B$23=0,0,100*L71/PARAMS_MODELO!$B$23))*PARAMS_MODELO!$B$10</f>
        <v>15</v>
      </c>
      <c r="N71" s="5">
        <f>IFERROR(VLOOKUP(A71,COMPLIANCE!$A$2:$F$1996,6,0),100)</f>
        <v>100</v>
      </c>
      <c r="O71" s="5">
        <f>N71*PARAMS_MODELO!$B$11</f>
        <v>10</v>
      </c>
      <c r="P71" s="5">
        <f>IFERROR(VLOOKUP(A71,DIGITAL!$A$2:$J$2000,7,0),100)</f>
        <v>7</v>
      </c>
      <c r="Q71" s="5">
        <f>IFERROR(P71,0)*PARAMS_MODELO!$B$12</f>
        <v>0.70000000000000007</v>
      </c>
      <c r="R71">
        <f t="shared" si="27"/>
        <v>49.940618797880092</v>
      </c>
      <c r="S71" s="5" t="str">
        <f>IFERROR(VLOOKUP(A71,CLIENTE!$A$2:$N$2000,13,0),1)</f>
        <v>Regular</v>
      </c>
      <c r="T71" s="5">
        <f>IFERROR(VLOOKUP(A71,CLIENTE!$A$2:$N$2000,14,0),1)</f>
        <v>1</v>
      </c>
      <c r="U71" s="5">
        <f t="shared" si="28"/>
        <v>49.940618797880092</v>
      </c>
      <c r="V71" s="5" t="str">
        <f>IF(U71&gt;=MAX(_xlfn.PERCENTILE.INC($U$2:$U$1194,PARAMS_MODELO!$B$50),PARAMS_MODELO!$B$45),"DIAMANTE",IF(U71&gt;=MAX(_xlfn.PERCENTILE.INC($U$2:$U$1194,PARAMS_MODELO!$B$51),PARAMS_MODELO!$B$46),"PLATINO",IF(U71&gt;=MAX(_xlfn.PERCENTILE.INC($U$2:$U$1194,PARAMS_MODELO!$B$52),PARAMS_MODELO!$B$47),"ORO",IF(U71&gt;=MAX(_xlfn.PERCENTILE.INC($U$2:$U$1194,PARAMS_MODELO!$B$53),PARAMS_MODELO!$B$48),"PLATA",IF(U71&gt;=1,"BRONCE","CERRADO")))))</f>
        <v>PLATA</v>
      </c>
      <c r="W71" s="5" t="str" cm="1">
        <f t="array" ref="W71">_xlfn.XLOOKUP(1, (HIST_SCORE!$B:$B=PARAMS_MODELO!$B$4) * (HIST_SCORE!$C:$C=A71), HIST_SCORE!$E:$E, "No encontrado")</f>
        <v>PLATA</v>
      </c>
      <c r="X71" s="5" t="str">
        <f>_xlfn.LET(_xlpm.act,MATCH(V71,{"DIAMANTE";"PLATINO";"ORO";"PLATA";"BRONCE";"CERRADO"},0),_xlpm.ant,MATCH(W71,{"DIAMANTE";"PLATINO";"ORO";"PLATA";"BRONCE";"CERRADO"},0),IF(_xlpm.act&lt;_xlpm.ant,"Mejora ↑",IF(_xlpm.act&gt;_xlpm.ant,"Baja ↓","Estable →")))</f>
        <v>Estable →</v>
      </c>
      <c r="Y71" s="5">
        <f>IFERROR(U71-SUMIFS(HIST_SCORE!$D:$D,HIST_SCORE!$B:$B,PARAMS_MODELO!$B$4,HIST_SCORE!$C:$C,$A71),"")</f>
        <v>-1.5890754138325747E-3</v>
      </c>
      <c r="Z71" s="5" t="str">
        <f t="shared" si="29"/>
        <v>→ Estable</v>
      </c>
      <c r="AA71" s="5">
        <f t="shared" si="30"/>
        <v>743</v>
      </c>
      <c r="AB71" s="5">
        <f>IFERROR(SUMIFS(HIST_SCORE!$F:$F,HIST_SCORE!$B:$B,PARAMS_MODELO!$B$4,HIST_SCORE!$C:$C,$A71),"")</f>
        <v>772</v>
      </c>
      <c r="AC71" s="5">
        <f t="shared" si="31"/>
        <v>29</v>
      </c>
      <c r="AD71" t="str">
        <f t="shared" si="33"/>
        <v/>
      </c>
      <c r="AE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CERRADO",1,IF(V71="BRONCE",_xlpm.cPl,IF(V71="PLATA",_xlpm.cO,IF(V71="ORO",_xlpm.cP,IF(V71="PLATINO",_xlpm.cD,999))))))</f>
        <v>63.199193273331495</v>
      </c>
      <c r="AF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CERRADO",0,IF(V71="BRONCE",1,IF(V71="PLATA",_xlpm.cPl,IF(V71="ORO",_xlpm.cO,IF(V71="PLATINO",_xlpm.cP,_xlpm.cD))))))</f>
        <v>24.506573482968111</v>
      </c>
      <c r="AG71">
        <f t="shared" si="34"/>
        <v>13.258574475451404</v>
      </c>
      <c r="AH71" t="str">
        <f t="shared" si="35"/>
        <v>VENTAS</v>
      </c>
      <c r="AI71" t="str">
        <f t="shared" si="32"/>
        <v>🎯 Para subir de categoría, eje VENTAS / DIFERENCIAL vs LOTBA (J). Acción: metas semanales + activación comercial + seguimiento del asesor. ΔR aprox: 13,3</v>
      </c>
      <c r="AJ71" s="26">
        <f>_xlfn.LET(_xlpm.piso,AF71,_xlpm.corte,AE71,_xlpm.prog,IF(_xlpm.corte&lt;=_xlpm.piso,0,MAX(0,MIN(1,(U71-_xlpm.piso)/(_xlpm.corte-_xlpm.piso)))),_xlpm.orden,{"DIAMANTE";"PLATINO";"ORO";"PLATA";"BRONCE";"CERRADO"},_xlpm.act,IFERROR(MATCH(V71,_xlpm.orden,0),6),_xlpm.ant,IFERROR(MATCH(W71,_xlpm.orden,0),6),_xlpm.ajmov,IF(_xlpm.act&lt;_xlpm.ant,0.08,IF(_xlpm.act&gt;_xlpm.ant,-0.08,0)),_xlpm.ajcli,IF(T71&lt;0.95,-0.06,0),_xlpm.prob,MAX(0,MIN(1,_xlpm.prog+_xlpm.ajmov+_xlpm.ajcli)),IF(OR(V71="DIAMANTE",V71="CERRADO"),0,ROUND(_xlpm.prob,2)))</f>
        <v>0.66</v>
      </c>
      <c r="AK71" t="str">
        <f t="shared" si="36"/>
        <v>Faltan 13,3 puntos base para subir a la siguiente categoría</v>
      </c>
      <c r="AL71" t="str">
        <f t="shared" si="37"/>
        <v>Margen de seguridad: 25,4 puntos</v>
      </c>
      <c r="AM71">
        <f t="shared" si="38"/>
        <v>0.54</v>
      </c>
      <c r="AN71" t="str">
        <f t="shared" si="39"/>
        <v>PRIORIDAD MEDIA – seguimiento del asesor</v>
      </c>
      <c r="AO71">
        <f t="shared" si="40"/>
        <v>40.621950477415496</v>
      </c>
      <c r="AP71">
        <f t="shared" si="41"/>
        <v>0</v>
      </c>
      <c r="AQ71">
        <f t="shared" si="42"/>
        <v>0</v>
      </c>
      <c r="AR71">
        <f t="shared" si="43"/>
        <v>9.3000000000000007</v>
      </c>
      <c r="AS71">
        <f t="shared" si="44"/>
        <v>0</v>
      </c>
      <c r="AT71" t="str">
        <f t="shared" si="45"/>
        <v>VENTAS</v>
      </c>
      <c r="AU71">
        <f t="shared" si="46"/>
        <v>40.621950477415496</v>
      </c>
      <c r="AV71" t="str">
        <f t="shared" si="47"/>
        <v>Mayor retorno probable: VENTAS (+40,6 puntos finales potenciales).</v>
      </c>
    </row>
    <row r="72" spans="1:48" x14ac:dyDescent="0.3">
      <c r="A72" s="5">
        <v>51024117</v>
      </c>
      <c r="B72" s="5" t="str">
        <f>IFERROR(VLOOKUP(A72,VENTAS!$A$2:$B$1194,2,0),"")</f>
        <v>LÓPEZ</v>
      </c>
      <c r="C72" s="5">
        <f>IFERROR(INDEX(VENTAS!$C$2:$E$1194,MATCH(A72,VENTAS!$A$2:$A$1194,0),MATCH(PARAMS_MODELO!$B$2,{"Q1","Q2","Q3"},0)),0)</f>
        <v>132174437.26000001</v>
      </c>
      <c r="D72" s="5">
        <f>IFERROR(INDEX(VENTAS!$F$2:$H$1194,MATCH(A72,VENTAS!$A$2:$A$1194,0),MATCH(PARAMS_MODELO!$B$2,{"Q1","Q2","Q3"},0)),0)</f>
        <v>178329237</v>
      </c>
      <c r="E72" s="8">
        <f t="shared" si="24"/>
        <v>0.34919611308205534</v>
      </c>
      <c r="F72" s="12">
        <f>IF(E72&lt;=PARAMS_MODELO!$B$15,0,IF(E72&gt;=PARAMS_MODELO!$B$17,100,100*MIN(1,(E72-PARAMS_MODELO!$B$15)/(PARAMS_MODELO!$B$16-PARAMS_MODELO!$B$15))))*PARAMS_MODELO!$B$7</f>
        <v>35</v>
      </c>
      <c r="G72" s="5">
        <f t="shared" si="25"/>
        <v>46154799.739999995</v>
      </c>
      <c r="H72" s="5">
        <f>(PARAMS_MODELO!$B$20*(MAX(0,MIN(3,E72))/3)+PARAMS_MODELO!$B$21*(IFERROR(LN(1+MAX(0,G72))/LN(1+MAX(0,MAX($G$2:$G$1194))),0)))*100*PARAMS_MODELO!$B$8</f>
        <v>5.3590094718456456</v>
      </c>
      <c r="I72" s="8">
        <f>E72-PARAMS_MODELO!$B$5</f>
        <v>0.17163327770652881</v>
      </c>
      <c r="J72" s="5">
        <f>IF(I72&lt;=PARAMS_MODELO!$B$18,0,IF(I72&gt;=PARAMS_MODELO!$B$19,100,100*(I72-PARAMS_MODELO!$B$18)/(PARAMS_MODELO!$B$19-PARAMS_MODELO!$B$18)))*PARAMS_MODELO!$B$9</f>
        <v>15</v>
      </c>
      <c r="K72" s="5">
        <f>IFERROR(CHOOSE(MATCH(PARAMS_MODELO!$B$2,{"Q1","Q2","Q3"},0),LOTO!$D72,LOTO!$F72,LOTO!$H72),0)</f>
        <v>8977500</v>
      </c>
      <c r="L72" s="8">
        <f t="shared" si="26"/>
        <v>5.0342277862154484E-2</v>
      </c>
      <c r="M72" s="5">
        <f>MIN(100,IF(PARAMS_MODELO!$B$23=0,0,100*L72/PARAMS_MODELO!$B$23))*PARAMS_MODELO!$B$10</f>
        <v>15</v>
      </c>
      <c r="N72" s="5">
        <f>IFERROR(VLOOKUP(A72,COMPLIANCE!$A$2:$F$1996,6,0),100)</f>
        <v>100</v>
      </c>
      <c r="O72" s="5">
        <f>N72*PARAMS_MODELO!$B$11</f>
        <v>10</v>
      </c>
      <c r="P72" s="5">
        <f>IFERROR(VLOOKUP(A72,DIGITAL!$A$2:$J$2000,7,0),100)</f>
        <v>45</v>
      </c>
      <c r="Q72" s="5">
        <f>IFERROR(P72,0)*PARAMS_MODELO!$B$12</f>
        <v>4.5</v>
      </c>
      <c r="R72">
        <f t="shared" si="27"/>
        <v>84.859009471845638</v>
      </c>
      <c r="S72" s="5" t="str">
        <f>IFERROR(VLOOKUP(A72,CLIENTE!$A$2:$N$2000,13,0),1)</f>
        <v>Bueno</v>
      </c>
      <c r="T72" s="5">
        <f>IFERROR(VLOOKUP(A72,CLIENTE!$A$2:$N$2000,14,0),1)</f>
        <v>1.1000000000000001</v>
      </c>
      <c r="U72" s="5">
        <f t="shared" si="28"/>
        <v>93.344910419030214</v>
      </c>
      <c r="V72" s="5" t="str">
        <f>IF(U72&gt;=MAX(_xlfn.PERCENTILE.INC($U$2:$U$1194,PARAMS_MODELO!$B$50),PARAMS_MODELO!$B$45),"DIAMANTE",IF(U72&gt;=MAX(_xlfn.PERCENTILE.INC($U$2:$U$1194,PARAMS_MODELO!$B$51),PARAMS_MODELO!$B$46),"PLATINO",IF(U72&gt;=MAX(_xlfn.PERCENTILE.INC($U$2:$U$1194,PARAMS_MODELO!$B$52),PARAMS_MODELO!$B$47),"ORO",IF(U72&gt;=MAX(_xlfn.PERCENTILE.INC($U$2:$U$1194,PARAMS_MODELO!$B$53),PARAMS_MODELO!$B$48),"PLATA",IF(U72&gt;=1,"BRONCE","CERRADO")))))</f>
        <v>PLATINO</v>
      </c>
      <c r="W72" s="5" t="str" cm="1">
        <f t="array" ref="W72">_xlfn.XLOOKUP(1, (HIST_SCORE!$B:$B=PARAMS_MODELO!$B$4) * (HIST_SCORE!$C:$C=A72), HIST_SCORE!$E:$E, "No encontrado")</f>
        <v>PLATINO</v>
      </c>
      <c r="X72" s="5" t="str">
        <f>_xlfn.LET(_xlpm.act,MATCH(V72,{"DIAMANTE";"PLATINO";"ORO";"PLATA";"BRONCE";"CERRADO"},0),_xlpm.ant,MATCH(W72,{"DIAMANTE";"PLATINO";"ORO";"PLATA";"BRONCE";"CERRADO"},0),IF(_xlpm.act&lt;_xlpm.ant,"Mejora ↑",IF(_xlpm.act&gt;_xlpm.ant,"Baja ↓","Estable →")))</f>
        <v>Estable →</v>
      </c>
      <c r="Y72" s="5">
        <f>IFERROR(U72-SUMIFS(HIST_SCORE!$D:$D,HIST_SCORE!$B:$B,PARAMS_MODELO!$B$4,HIST_SCORE!$C:$C,$A72),"")</f>
        <v>1.8807188551687233</v>
      </c>
      <c r="Z72" s="5" t="str">
        <f t="shared" si="29"/>
        <v>→ Estable</v>
      </c>
      <c r="AA72" s="5">
        <f t="shared" si="30"/>
        <v>87</v>
      </c>
      <c r="AB72" s="5">
        <f>IFERROR(SUMIFS(HIST_SCORE!$F:$F,HIST_SCORE!$B:$B,PARAMS_MODELO!$B$4,HIST_SCORE!$C:$C,$A72),"")</f>
        <v>112</v>
      </c>
      <c r="AC72" s="5">
        <f t="shared" si="31"/>
        <v>25</v>
      </c>
      <c r="AD72" t="str">
        <f t="shared" si="33"/>
        <v/>
      </c>
      <c r="AE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CERRADO",1,IF(V72="BRONCE",_xlpm.cPl,IF(V72="PLATA",_xlpm.cO,IF(V72="ORO",_xlpm.cP,IF(V72="PLATINO",_xlpm.cD,999))))))</f>
        <v>96.054919694466676</v>
      </c>
      <c r="AF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CERRADO",0,IF(V72="BRONCE",1,IF(V72="PLATA",_xlpm.cPl,IF(V72="ORO",_xlpm.cO,IF(V72="PLATINO",_xlpm.cP,_xlpm.cD))))))</f>
        <v>86.439123873763251</v>
      </c>
      <c r="AG72">
        <f t="shared" si="34"/>
        <v>2.4636447958513372</v>
      </c>
      <c r="AH72" t="str">
        <f t="shared" si="35"/>
        <v>VENTAS</v>
      </c>
      <c r="AI72" t="str">
        <f t="shared" si="32"/>
        <v>🎯 Para subir de categoría, eje VENTAS / IMPACTO ABSOLUTO (H). Acción: metas semanales + activación comercial + seguimiento del asesor. ΔR aprox: 2,5</v>
      </c>
      <c r="AJ72" s="26">
        <f>_xlfn.LET(_xlpm.piso,AF72,_xlpm.corte,AE72,_xlpm.prog,IF(_xlpm.corte&lt;=_xlpm.piso,0,MAX(0,MIN(1,(U72-_xlpm.piso)/(_xlpm.corte-_xlpm.piso)))),_xlpm.orden,{"DIAMANTE";"PLATINO";"ORO";"PLATA";"BRONCE";"CERRADO"},_xlpm.act,IFERROR(MATCH(V72,_xlpm.orden,0),6),_xlpm.ant,IFERROR(MATCH(W72,_xlpm.orden,0),6),_xlpm.ajmov,IF(_xlpm.act&lt;_xlpm.ant,0.08,IF(_xlpm.act&gt;_xlpm.ant,-0.08,0)),_xlpm.ajcli,IF(T72&lt;0.95,-0.06,0),_xlpm.prob,MAX(0,MIN(1,_xlpm.prog+_xlpm.ajmov+_xlpm.ajcli)),IF(OR(V72="DIAMANTE",V72="CERRADO"),0,ROUND(_xlpm.prob,2)))</f>
        <v>0.72</v>
      </c>
      <c r="AK72" t="str">
        <f t="shared" si="36"/>
        <v>Faltan 2,5 puntos base para subir a la siguiente categoría</v>
      </c>
      <c r="AL72" t="str">
        <f t="shared" si="37"/>
        <v>Margen de seguridad: 6,9 puntos</v>
      </c>
      <c r="AM72">
        <f t="shared" si="38"/>
        <v>0.21</v>
      </c>
      <c r="AN72" t="str">
        <f t="shared" si="39"/>
        <v>PRIORIDAD BAJA – control normal</v>
      </c>
      <c r="AO72">
        <f t="shared" si="40"/>
        <v>10.453915783794933</v>
      </c>
      <c r="AP72">
        <f t="shared" si="41"/>
        <v>0</v>
      </c>
      <c r="AQ72">
        <f t="shared" si="42"/>
        <v>0</v>
      </c>
      <c r="AR72">
        <f t="shared" si="43"/>
        <v>6.0500000000000007</v>
      </c>
      <c r="AS72">
        <f t="shared" si="44"/>
        <v>0</v>
      </c>
      <c r="AT72" t="str">
        <f t="shared" si="45"/>
        <v>VENTAS</v>
      </c>
      <c r="AU72">
        <f t="shared" si="46"/>
        <v>10.453915783794933</v>
      </c>
      <c r="AV72" t="str">
        <f t="shared" si="47"/>
        <v>Mayor retorno probable: VENTAS (+10,5 puntos finales potenciales).</v>
      </c>
    </row>
    <row r="73" spans="1:48" x14ac:dyDescent="0.3">
      <c r="A73" s="5">
        <v>51031768</v>
      </c>
      <c r="B73" s="5" t="str">
        <f>IFERROR(VLOOKUP(A73,VENTAS!$A$2:$B$1194,2,0),"")</f>
        <v>LÓPEZ</v>
      </c>
      <c r="C73" s="5">
        <f>IFERROR(INDEX(VENTAS!$C$2:$E$1194,MATCH(A73,VENTAS!$A$2:$A$1194,0),MATCH(PARAMS_MODELO!$B$2,{"Q1","Q2","Q3"},0)),0)</f>
        <v>162497887.94</v>
      </c>
      <c r="D73" s="5">
        <f>IFERROR(INDEX(VENTAS!$F$2:$H$1194,MATCH(A73,VENTAS!$A$2:$A$1194,0),MATCH(PARAMS_MODELO!$B$2,{"Q1","Q2","Q3"},0)),0)</f>
        <v>177353750</v>
      </c>
      <c r="E73" s="8">
        <f t="shared" si="24"/>
        <v>9.1421877836869614E-2</v>
      </c>
      <c r="F73" s="12">
        <f>IF(E73&lt;=PARAMS_MODELO!$B$15,0,IF(E73&gt;=PARAMS_MODELO!$B$17,100,100*MIN(1,(E73-PARAMS_MODELO!$B$15)/(PARAMS_MODELO!$B$16-PARAMS_MODELO!$B$15))))*PARAMS_MODELO!$B$7</f>
        <v>31.997657242904364</v>
      </c>
      <c r="G73" s="5">
        <f t="shared" si="25"/>
        <v>14855862.060000002</v>
      </c>
      <c r="H73" s="5">
        <f>(PARAMS_MODELO!$B$20*(MAX(0,MIN(3,E73))/3)+PARAMS_MODELO!$B$21*(IFERROR(LN(1+MAX(0,G73))/LN(1+MAX(0,MAX($G$2:$G$1194))),0)))*100*PARAMS_MODELO!$B$8</f>
        <v>4.1910664884771087</v>
      </c>
      <c r="I73" s="8">
        <f>E73-PARAMS_MODELO!$B$5</f>
        <v>-8.6140957538656915E-2</v>
      </c>
      <c r="J73" s="5">
        <f>IF(I73&lt;=PARAMS_MODELO!$B$18,0,IF(I73&gt;=PARAMS_MODELO!$B$19,100,100*(I73-PARAMS_MODELO!$B$18)/(PARAMS_MODELO!$B$19-PARAMS_MODELO!$B$18)))*PARAMS_MODELO!$B$9</f>
        <v>0</v>
      </c>
      <c r="K73" s="5">
        <f>IFERROR(CHOOSE(MATCH(PARAMS_MODELO!$B$2,{"Q1","Q2","Q3"},0),LOTO!$D73,LOTO!$F73,LOTO!$H73),0)</f>
        <v>8967500</v>
      </c>
      <c r="L73" s="8">
        <f t="shared" si="26"/>
        <v>5.0562787648978383E-2</v>
      </c>
      <c r="M73" s="5">
        <f>MIN(100,IF(PARAMS_MODELO!$B$23=0,0,100*L73/PARAMS_MODELO!$B$23))*PARAMS_MODELO!$B$10</f>
        <v>15</v>
      </c>
      <c r="N73" s="5">
        <f>IFERROR(VLOOKUP(A73,COMPLIANCE!$A$2:$F$1996,6,0),100)</f>
        <v>100</v>
      </c>
      <c r="O73" s="5">
        <f>N73*PARAMS_MODELO!$B$11</f>
        <v>10</v>
      </c>
      <c r="P73" s="5">
        <f>IFERROR(VLOOKUP(A73,DIGITAL!$A$2:$J$2000,7,0),100)</f>
        <v>48</v>
      </c>
      <c r="Q73" s="5">
        <f>IFERROR(P73,0)*PARAMS_MODELO!$B$12</f>
        <v>4.8000000000000007</v>
      </c>
      <c r="R73">
        <f t="shared" si="27"/>
        <v>65.988723731381469</v>
      </c>
      <c r="S73" s="5" t="str">
        <f>IFERROR(VLOOKUP(A73,CLIENTE!$A$2:$N$2000,13,0),1)</f>
        <v>Malo</v>
      </c>
      <c r="T73" s="5">
        <f>IFERROR(VLOOKUP(A73,CLIENTE!$A$2:$N$2000,14,0),1)</f>
        <v>0.7</v>
      </c>
      <c r="U73" s="5">
        <f t="shared" si="28"/>
        <v>46.192106611967027</v>
      </c>
      <c r="V73" s="5" t="str">
        <f>IF(U73&gt;=MAX(_xlfn.PERCENTILE.INC($U$2:$U$1194,PARAMS_MODELO!$B$50),PARAMS_MODELO!$B$45),"DIAMANTE",IF(U73&gt;=MAX(_xlfn.PERCENTILE.INC($U$2:$U$1194,PARAMS_MODELO!$B$51),PARAMS_MODELO!$B$46),"PLATINO",IF(U73&gt;=MAX(_xlfn.PERCENTILE.INC($U$2:$U$1194,PARAMS_MODELO!$B$52),PARAMS_MODELO!$B$47),"ORO",IF(U73&gt;=MAX(_xlfn.PERCENTILE.INC($U$2:$U$1194,PARAMS_MODELO!$B$53),PARAMS_MODELO!$B$48),"PLATA",IF(U73&gt;=1,"BRONCE","CERRADO")))))</f>
        <v>PLATA</v>
      </c>
      <c r="W73" s="5" t="str" cm="1">
        <f t="array" ref="W73">_xlfn.XLOOKUP(1, (HIST_SCORE!$B:$B=PARAMS_MODELO!$B$4) * (HIST_SCORE!$C:$C=A73), HIST_SCORE!$E:$E, "No encontrado")</f>
        <v>PLATA</v>
      </c>
      <c r="X73" s="5" t="str">
        <f>_xlfn.LET(_xlpm.act,MATCH(V73,{"DIAMANTE";"PLATINO";"ORO";"PLATA";"BRONCE";"CERRADO"},0),_xlpm.ant,MATCH(W73,{"DIAMANTE";"PLATINO";"ORO";"PLATA";"BRONCE";"CERRADO"},0),IF(_xlpm.act&lt;_xlpm.ant,"Mejora ↑",IF(_xlpm.act&gt;_xlpm.ant,"Baja ↓","Estable →")))</f>
        <v>Estable →</v>
      </c>
      <c r="Y73" s="5">
        <f>IFERROR(U73-SUMIFS(HIST_SCORE!$D:$D,HIST_SCORE!$B:$B,PARAMS_MODELO!$B$4,HIST_SCORE!$C:$C,$A73),"")</f>
        <v>-12.473181594069978</v>
      </c>
      <c r="Z73" s="5" t="str">
        <f t="shared" si="29"/>
        <v>↓ Baja</v>
      </c>
      <c r="AA73" s="5">
        <f t="shared" si="30"/>
        <v>765</v>
      </c>
      <c r="AB73" s="5">
        <f>IFERROR(SUMIFS(HIST_SCORE!$F:$F,HIST_SCORE!$B:$B,PARAMS_MODELO!$B$4,HIST_SCORE!$C:$C,$A73),"")</f>
        <v>668</v>
      </c>
      <c r="AC73" s="5">
        <f t="shared" si="31"/>
        <v>-97</v>
      </c>
      <c r="AD73" t="str">
        <f t="shared" si="33"/>
        <v/>
      </c>
      <c r="AE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CERRADO",1,IF(V73="BRONCE",_xlpm.cPl,IF(V73="PLATA",_xlpm.cO,IF(V73="ORO",_xlpm.cP,IF(V73="PLATINO",_xlpm.cD,999))))))</f>
        <v>63.199193273331495</v>
      </c>
      <c r="AF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CERRADO",0,IF(V73="BRONCE",1,IF(V73="PLATA",_xlpm.cPl,IF(V73="ORO",_xlpm.cO,IF(V73="PLATINO",_xlpm.cP,_xlpm.cD))))))</f>
        <v>24.506573482968111</v>
      </c>
      <c r="AG73">
        <f t="shared" si="34"/>
        <v>24.295838087663526</v>
      </c>
      <c r="AH73" t="str">
        <f t="shared" si="35"/>
        <v>CLIENTE</v>
      </c>
      <c r="AI73" t="str">
        <f t="shared" si="32"/>
        <v>🎯 Para subir de categoría, la eje con mayor impacto probable es CLIENTE (coef T). Acción: reducir quejas, mejorar incógnito y empujar reseñas. ΔR aprox: 24,3</v>
      </c>
      <c r="AJ73" s="26">
        <f>_xlfn.LET(_xlpm.piso,AF73,_xlpm.corte,AE73,_xlpm.prog,IF(_xlpm.corte&lt;=_xlpm.piso,0,MAX(0,MIN(1,(U73-_xlpm.piso)/(_xlpm.corte-_xlpm.piso)))),_xlpm.orden,{"DIAMANTE";"PLATINO";"ORO";"PLATA";"BRONCE";"CERRADO"},_xlpm.act,IFERROR(MATCH(V73,_xlpm.orden,0),6),_xlpm.ant,IFERROR(MATCH(W73,_xlpm.orden,0),6),_xlpm.ajmov,IF(_xlpm.act&lt;_xlpm.ant,0.08,IF(_xlpm.act&gt;_xlpm.ant,-0.08,0)),_xlpm.ajcli,IF(T73&lt;0.95,-0.06,0),_xlpm.prob,MAX(0,MIN(1,_xlpm.prog+_xlpm.ajmov+_xlpm.ajcli)),IF(OR(V73="DIAMANTE",V73="CERRADO"),0,ROUND(_xlpm.prob,2)))</f>
        <v>0.5</v>
      </c>
      <c r="AK73" t="str">
        <f t="shared" si="36"/>
        <v>Faltan 24,3 puntos base para subir a la siguiente categoría</v>
      </c>
      <c r="AL73" t="str">
        <f t="shared" si="37"/>
        <v>Margen de seguridad: 21,7 puntos</v>
      </c>
      <c r="AM73">
        <f t="shared" si="38"/>
        <v>0.8</v>
      </c>
      <c r="AN73" t="str">
        <f t="shared" si="39"/>
        <v>PRIORIDAD ALTA – requiere intervención inmediata</v>
      </c>
      <c r="AO73">
        <f t="shared" si="40"/>
        <v>20.071691880739877</v>
      </c>
      <c r="AP73">
        <f t="shared" si="41"/>
        <v>0</v>
      </c>
      <c r="AQ73">
        <f t="shared" si="42"/>
        <v>0</v>
      </c>
      <c r="AR73">
        <f t="shared" si="43"/>
        <v>3.6399999999999992</v>
      </c>
      <c r="AS73">
        <f t="shared" si="44"/>
        <v>19.796617119414442</v>
      </c>
      <c r="AT73" t="str">
        <f t="shared" si="45"/>
        <v>VENTAS</v>
      </c>
      <c r="AU73">
        <f t="shared" si="46"/>
        <v>20.071691880739877</v>
      </c>
      <c r="AV73" t="str">
        <f t="shared" si="47"/>
        <v>Mayor retorno probable: VENTAS (+20,1 puntos finales potenciales).</v>
      </c>
    </row>
    <row r="74" spans="1:48" x14ac:dyDescent="0.3">
      <c r="A74" s="5">
        <v>51022637</v>
      </c>
      <c r="B74" s="5" t="str">
        <f>IFERROR(VLOOKUP(A74,VENTAS!$A$2:$B$1194,2,0),"")</f>
        <v>METTLER</v>
      </c>
      <c r="C74" s="5">
        <f>IFERROR(INDEX(VENTAS!$C$2:$E$1194,MATCH(A74,VENTAS!$A$2:$A$1194,0),MATCH(PARAMS_MODELO!$B$2,{"Q1","Q2","Q3"},0)),0)</f>
        <v>108120113.53</v>
      </c>
      <c r="D74" s="5">
        <f>IFERROR(INDEX(VENTAS!$F$2:$H$1194,MATCH(A74,VENTAS!$A$2:$A$1194,0),MATCH(PARAMS_MODELO!$B$2,{"Q1","Q2","Q3"},0)),0)</f>
        <v>176208828</v>
      </c>
      <c r="E74" s="8">
        <f t="shared" si="24"/>
        <v>0.62975067493901093</v>
      </c>
      <c r="F74" s="12">
        <f>IF(E74&lt;=PARAMS_MODELO!$B$15,0,IF(E74&gt;=PARAMS_MODELO!$B$17,100,100*MIN(1,(E74-PARAMS_MODELO!$B$15)/(PARAMS_MODELO!$B$16-PARAMS_MODELO!$B$15))))*PARAMS_MODELO!$B$7</f>
        <v>35</v>
      </c>
      <c r="G74" s="5">
        <f t="shared" si="25"/>
        <v>68088714.469999999</v>
      </c>
      <c r="H74" s="5">
        <f>(PARAMS_MODELO!$B$20*(MAX(0,MIN(3,E74))/3)+PARAMS_MODELO!$B$21*(IFERROR(LN(1+MAX(0,G74))/LN(1+MAX(0,MAX($G$2:$G$1194))),0)))*100*PARAMS_MODELO!$B$8</f>
        <v>6.4320930508671177</v>
      </c>
      <c r="I74" s="8">
        <f>E74-PARAMS_MODELO!$B$5</f>
        <v>0.45218783956348441</v>
      </c>
      <c r="J74" s="5">
        <f>IF(I74&lt;=PARAMS_MODELO!$B$18,0,IF(I74&gt;=PARAMS_MODELO!$B$19,100,100*(I74-PARAMS_MODELO!$B$18)/(PARAMS_MODELO!$B$19-PARAMS_MODELO!$B$18)))*PARAMS_MODELO!$B$9</f>
        <v>15</v>
      </c>
      <c r="K74" s="5">
        <f>IFERROR(CHOOSE(MATCH(PARAMS_MODELO!$B$2,{"Q1","Q2","Q3"},0),LOTO!$D74,LOTO!$F74,LOTO!$H74),0)</f>
        <v>8967500</v>
      </c>
      <c r="L74" s="8">
        <f t="shared" si="26"/>
        <v>5.0891320836660918E-2</v>
      </c>
      <c r="M74" s="5">
        <f>MIN(100,IF(PARAMS_MODELO!$B$23=0,0,100*L74/PARAMS_MODELO!$B$23))*PARAMS_MODELO!$B$10</f>
        <v>15</v>
      </c>
      <c r="N74" s="5">
        <f>IFERROR(VLOOKUP(A74,COMPLIANCE!$A$2:$F$1996,6,0),100)</f>
        <v>100</v>
      </c>
      <c r="O74" s="5">
        <f>N74*PARAMS_MODELO!$B$11</f>
        <v>10</v>
      </c>
      <c r="P74" s="5">
        <f>IFERROR(VLOOKUP(A74,DIGITAL!$A$2:$J$2000,7,0),100)</f>
        <v>47</v>
      </c>
      <c r="Q74" s="5">
        <f>IFERROR(P74,0)*PARAMS_MODELO!$B$12</f>
        <v>4.7</v>
      </c>
      <c r="R74">
        <f t="shared" si="27"/>
        <v>86.132093050867113</v>
      </c>
      <c r="S74" s="5" t="str">
        <f>IFERROR(VLOOKUP(A74,CLIENTE!$A$2:$N$2000,13,0),1)</f>
        <v>Regular</v>
      </c>
      <c r="T74" s="5">
        <f>IFERROR(VLOOKUP(A74,CLIENTE!$A$2:$N$2000,14,0),1)</f>
        <v>1</v>
      </c>
      <c r="U74" s="5">
        <f t="shared" si="28"/>
        <v>86.132093050867113</v>
      </c>
      <c r="V74" s="5" t="str">
        <f>IF(U74&gt;=MAX(_xlfn.PERCENTILE.INC($U$2:$U$1194,PARAMS_MODELO!$B$50),PARAMS_MODELO!$B$45),"DIAMANTE",IF(U74&gt;=MAX(_xlfn.PERCENTILE.INC($U$2:$U$1194,PARAMS_MODELO!$B$51),PARAMS_MODELO!$B$46),"PLATINO",IF(U74&gt;=MAX(_xlfn.PERCENTILE.INC($U$2:$U$1194,PARAMS_MODELO!$B$52),PARAMS_MODELO!$B$47),"ORO",IF(U74&gt;=MAX(_xlfn.PERCENTILE.INC($U$2:$U$1194,PARAMS_MODELO!$B$53),PARAMS_MODELO!$B$48),"PLATA",IF(U74&gt;=1,"BRONCE","CERRADO")))))</f>
        <v>ORO</v>
      </c>
      <c r="W74" s="5" t="str" cm="1">
        <f t="array" ref="W74">_xlfn.XLOOKUP(1, (HIST_SCORE!$B:$B=PARAMS_MODELO!$B$4) * (HIST_SCORE!$C:$C=A74), HIST_SCORE!$E:$E, "No encontrado")</f>
        <v>ORO</v>
      </c>
      <c r="X74" s="5" t="str">
        <f>_xlfn.LET(_xlpm.act,MATCH(V74,{"DIAMANTE";"PLATINO";"ORO";"PLATA";"BRONCE";"CERRADO"},0),_xlpm.ant,MATCH(W74,{"DIAMANTE";"PLATINO";"ORO";"PLATA";"BRONCE";"CERRADO"},0),IF(_xlpm.act&lt;_xlpm.ant,"Mejora ↑",IF(_xlpm.act&gt;_xlpm.ant,"Baja ↓","Estable →")))</f>
        <v>Estable →</v>
      </c>
      <c r="Y74" s="5">
        <f>IFERROR(U74-SUMIFS(HIST_SCORE!$D:$D,HIST_SCORE!$B:$B,PARAMS_MODELO!$B$4,HIST_SCORE!$C:$C,$A74),"")</f>
        <v>0.82008461471983196</v>
      </c>
      <c r="Z74" s="5" t="str">
        <f t="shared" si="29"/>
        <v>→ Estable</v>
      </c>
      <c r="AA74" s="5">
        <f t="shared" si="30"/>
        <v>246</v>
      </c>
      <c r="AB74" s="5">
        <f>IFERROR(SUMIFS(HIST_SCORE!$F:$F,HIST_SCORE!$B:$B,PARAMS_MODELO!$B$4,HIST_SCORE!$C:$C,$A74),"")</f>
        <v>260</v>
      </c>
      <c r="AC74" s="5">
        <f t="shared" si="31"/>
        <v>14</v>
      </c>
      <c r="AD74" t="str">
        <f t="shared" si="33"/>
        <v/>
      </c>
      <c r="AE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CERRADO",1,IF(V74="BRONCE",_xlpm.cPl,IF(V74="PLATA",_xlpm.cO,IF(V74="ORO",_xlpm.cP,IF(V74="PLATINO",_xlpm.cD,999))))))</f>
        <v>86.439123873763251</v>
      </c>
      <c r="AF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CERRADO",0,IF(V74="BRONCE",1,IF(V74="PLATA",_xlpm.cPl,IF(V74="ORO",_xlpm.cO,IF(V74="PLATINO",_xlpm.cP,_xlpm.cD))))))</f>
        <v>63.199193273331495</v>
      </c>
      <c r="AG74">
        <f t="shared" si="34"/>
        <v>0.30703082289613803</v>
      </c>
      <c r="AH74" t="str">
        <f t="shared" si="35"/>
        <v>VENTAS</v>
      </c>
      <c r="AI74" t="str">
        <f t="shared" si="32"/>
        <v>🎯 Para subir de categoría, eje VENTAS / IMPACTO ABSOLUTO (H). Acción: metas semanales + activación comercial + seguimiento del asesor. ΔR aprox: 0,3</v>
      </c>
      <c r="AJ74" s="26">
        <f>_xlfn.LET(_xlpm.piso,AF74,_xlpm.corte,AE74,_xlpm.prog,IF(_xlpm.corte&lt;=_xlpm.piso,0,MAX(0,MIN(1,(U74-_xlpm.piso)/(_xlpm.corte-_xlpm.piso)))),_xlpm.orden,{"DIAMANTE";"PLATINO";"ORO";"PLATA";"BRONCE";"CERRADO"},_xlpm.act,IFERROR(MATCH(V74,_xlpm.orden,0),6),_xlpm.ant,IFERROR(MATCH(W74,_xlpm.orden,0),6),_xlpm.ajmov,IF(_xlpm.act&lt;_xlpm.ant,0.08,IF(_xlpm.act&gt;_xlpm.ant,-0.08,0)),_xlpm.ajcli,IF(T74&lt;0.95,-0.06,0),_xlpm.prob,MAX(0,MIN(1,_xlpm.prog+_xlpm.ajmov+_xlpm.ajcli)),IF(OR(V74="DIAMANTE",V74="CERRADO"),0,ROUND(_xlpm.prob,2)))</f>
        <v>0.99</v>
      </c>
      <c r="AK74" t="str">
        <f t="shared" si="36"/>
        <v>Faltan 0,3 puntos base para subir a la siguiente categoría</v>
      </c>
      <c r="AL74" t="str">
        <f t="shared" si="37"/>
        <v>Margen de seguridad: 22,9 puntos</v>
      </c>
      <c r="AM74">
        <f t="shared" si="38"/>
        <v>0.02</v>
      </c>
      <c r="AN74" t="str">
        <f t="shared" si="39"/>
        <v>PRIORIDAD BAJA – control normal</v>
      </c>
      <c r="AO74">
        <f t="shared" si="40"/>
        <v>8.4304762244284674</v>
      </c>
      <c r="AP74">
        <f t="shared" si="41"/>
        <v>0</v>
      </c>
      <c r="AQ74">
        <f t="shared" si="42"/>
        <v>0</v>
      </c>
      <c r="AR74">
        <f t="shared" si="43"/>
        <v>5.3</v>
      </c>
      <c r="AS74">
        <f t="shared" si="44"/>
        <v>0</v>
      </c>
      <c r="AT74" t="str">
        <f t="shared" si="45"/>
        <v>VENTAS</v>
      </c>
      <c r="AU74">
        <f t="shared" si="46"/>
        <v>8.4304762244284674</v>
      </c>
      <c r="AV74" t="str">
        <f t="shared" si="47"/>
        <v>Mayor retorno probable: VENTAS (+8,4 puntos finales potenciales).</v>
      </c>
    </row>
    <row r="75" spans="1:48" x14ac:dyDescent="0.3">
      <c r="A75" s="5">
        <v>51010124</v>
      </c>
      <c r="B75" s="5" t="str">
        <f>IFERROR(VLOOKUP(A75,VENTAS!$A$2:$B$1194,2,0),"")</f>
        <v>LÓPEZ</v>
      </c>
      <c r="C75" s="5">
        <f>IFERROR(INDEX(VENTAS!$C$2:$E$1194,MATCH(A75,VENTAS!$A$2:$A$1194,0),MATCH(PARAMS_MODELO!$B$2,{"Q1","Q2","Q3"},0)),0)</f>
        <v>119321440.05</v>
      </c>
      <c r="D75" s="5">
        <f>IFERROR(INDEX(VENTAS!$F$2:$H$1194,MATCH(A75,VENTAS!$A$2:$A$1194,0),MATCH(PARAMS_MODELO!$B$2,{"Q1","Q2","Q3"},0)),0)</f>
        <v>176107482</v>
      </c>
      <c r="E75" s="8">
        <f t="shared" si="24"/>
        <v>0.47590811782194886</v>
      </c>
      <c r="F75" s="12">
        <f>IF(E75&lt;=PARAMS_MODELO!$B$15,0,IF(E75&gt;=PARAMS_MODELO!$B$17,100,100*MIN(1,(E75-PARAMS_MODELO!$B$15)/(PARAMS_MODELO!$B$16-PARAMS_MODELO!$B$15))))*PARAMS_MODELO!$B$7</f>
        <v>35</v>
      </c>
      <c r="G75" s="5">
        <f t="shared" si="25"/>
        <v>56786041.950000003</v>
      </c>
      <c r="H75" s="5">
        <f>(PARAMS_MODELO!$B$20*(MAX(0,MIN(3,E75))/3)+PARAMS_MODELO!$B$21*(IFERROR(LN(1+MAX(0,G75))/LN(1+MAX(0,MAX($G$2:$G$1194))),0)))*100*PARAMS_MODELO!$B$8</f>
        <v>5.8510930628426152</v>
      </c>
      <c r="I75" s="8">
        <f>E75-PARAMS_MODELO!$B$5</f>
        <v>0.29834528244642233</v>
      </c>
      <c r="J75" s="5">
        <f>IF(I75&lt;=PARAMS_MODELO!$B$18,0,IF(I75&gt;=PARAMS_MODELO!$B$19,100,100*(I75-PARAMS_MODELO!$B$18)/(PARAMS_MODELO!$B$19-PARAMS_MODELO!$B$18)))*PARAMS_MODELO!$B$9</f>
        <v>15</v>
      </c>
      <c r="K75" s="5">
        <f>IFERROR(CHOOSE(MATCH(PARAMS_MODELO!$B$2,{"Q1","Q2","Q3"},0),LOTO!$D75,LOTO!$F75,LOTO!$H75),0)</f>
        <v>8957500</v>
      </c>
      <c r="L75" s="8">
        <f t="shared" si="26"/>
        <v>5.0863824173012703E-2</v>
      </c>
      <c r="M75" s="5">
        <f>MIN(100,IF(PARAMS_MODELO!$B$23=0,0,100*L75/PARAMS_MODELO!$B$23))*PARAMS_MODELO!$B$10</f>
        <v>15</v>
      </c>
      <c r="N75" s="5">
        <f>IFERROR(VLOOKUP(A75,COMPLIANCE!$A$2:$F$1996,6,0),100)</f>
        <v>100</v>
      </c>
      <c r="O75" s="5">
        <f>N75*PARAMS_MODELO!$B$11</f>
        <v>10</v>
      </c>
      <c r="P75" s="5">
        <f>IFERROR(VLOOKUP(A75,DIGITAL!$A$2:$J$2000,7,0),100)</f>
        <v>37</v>
      </c>
      <c r="Q75" s="5">
        <f>IFERROR(P75,0)*PARAMS_MODELO!$B$12</f>
        <v>3.7</v>
      </c>
      <c r="R75">
        <f t="shared" si="27"/>
        <v>84.551093062842611</v>
      </c>
      <c r="S75" s="5" t="str">
        <f>IFERROR(VLOOKUP(A75,CLIENTE!$A$2:$N$2000,13,0),1)</f>
        <v>Muy Bueno</v>
      </c>
      <c r="T75" s="5">
        <f>IFERROR(VLOOKUP(A75,CLIENTE!$A$2:$N$2000,14,0),1)</f>
        <v>1.1499999999999999</v>
      </c>
      <c r="U75" s="5">
        <f t="shared" si="28"/>
        <v>97.233757022268989</v>
      </c>
      <c r="V75" s="5" t="str">
        <f>IF(U75&gt;=MAX(_xlfn.PERCENTILE.INC($U$2:$U$1194,PARAMS_MODELO!$B$50),PARAMS_MODELO!$B$45),"DIAMANTE",IF(U75&gt;=MAX(_xlfn.PERCENTILE.INC($U$2:$U$1194,PARAMS_MODELO!$B$51),PARAMS_MODELO!$B$46),"PLATINO",IF(U75&gt;=MAX(_xlfn.PERCENTILE.INC($U$2:$U$1194,PARAMS_MODELO!$B$52),PARAMS_MODELO!$B$47),"ORO",IF(U75&gt;=MAX(_xlfn.PERCENTILE.INC($U$2:$U$1194,PARAMS_MODELO!$B$53),PARAMS_MODELO!$B$48),"PLATA",IF(U75&gt;=1,"BRONCE","CERRADO")))))</f>
        <v>DIAMANTE</v>
      </c>
      <c r="W75" s="5" t="str" cm="1">
        <f t="array" ref="W75">_xlfn.XLOOKUP(1, (HIST_SCORE!$B:$B=PARAMS_MODELO!$B$4) * (HIST_SCORE!$C:$C=A75), HIST_SCORE!$E:$E, "No encontrado")</f>
        <v>DIAMANTE</v>
      </c>
      <c r="X75" s="5" t="str">
        <f>_xlfn.LET(_xlpm.act,MATCH(V75,{"DIAMANTE";"PLATINO";"ORO";"PLATA";"BRONCE";"CERRADO"},0),_xlpm.ant,MATCH(W75,{"DIAMANTE";"PLATINO";"ORO";"PLATA";"BRONCE";"CERRADO"},0),IF(_xlpm.act&lt;_xlpm.ant,"Mejora ↑",IF(_xlpm.act&gt;_xlpm.ant,"Baja ↓","Estable →")))</f>
        <v>Estable →</v>
      </c>
      <c r="Y75" s="5">
        <f>IFERROR(U75-SUMIFS(HIST_SCORE!$D:$D,HIST_SCORE!$B:$B,PARAMS_MODELO!$B$4,HIST_SCORE!$C:$C,$A75),"")</f>
        <v>1.39916815729093</v>
      </c>
      <c r="Z75" s="5" t="str">
        <f t="shared" si="29"/>
        <v>→ Estable</v>
      </c>
      <c r="AA75" s="5">
        <f t="shared" si="30"/>
        <v>46</v>
      </c>
      <c r="AB75" s="5">
        <f>IFERROR(SUMIFS(HIST_SCORE!$F:$F,HIST_SCORE!$B:$B,PARAMS_MODELO!$B$4,HIST_SCORE!$C:$C,$A75),"")</f>
        <v>55</v>
      </c>
      <c r="AC75" s="5">
        <f t="shared" si="31"/>
        <v>9</v>
      </c>
      <c r="AD75" t="str">
        <f t="shared" si="33"/>
        <v/>
      </c>
      <c r="AE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CERRADO",1,IF(V75="BRONCE",_xlpm.cPl,IF(V75="PLATA",_xlpm.cO,IF(V75="ORO",_xlpm.cP,IF(V75="PLATINO",_xlpm.cD,999))))))</f>
        <v>999</v>
      </c>
      <c r="AF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CERRADO",0,IF(V75="BRONCE",1,IF(V75="PLATA",_xlpm.cPl,IF(V75="ORO",_xlpm.cO,IF(V75="PLATINO",_xlpm.cP,_xlpm.cD))))))</f>
        <v>96.054919694466676</v>
      </c>
      <c r="AG75">
        <f t="shared" si="34"/>
        <v>784.14455911107052</v>
      </c>
      <c r="AH75" t="str">
        <f t="shared" si="35"/>
        <v>SOSTENER</v>
      </c>
      <c r="AI75" t="str">
        <f t="shared" si="32"/>
        <v>✅ Mantener desempeño y monitorear variaciones para sostener categoría.</v>
      </c>
      <c r="AJ75" s="26">
        <f>_xlfn.LET(_xlpm.piso,AF75,_xlpm.corte,AE75,_xlpm.prog,IF(_xlpm.corte&lt;=_xlpm.piso,0,MAX(0,MIN(1,(U75-_xlpm.piso)/(_xlpm.corte-_xlpm.piso)))),_xlpm.orden,{"DIAMANTE";"PLATINO";"ORO";"PLATA";"BRONCE";"CERRADO"},_xlpm.act,IFERROR(MATCH(V75,_xlpm.orden,0),6),_xlpm.ant,IFERROR(MATCH(W75,_xlpm.orden,0),6),_xlpm.ajmov,IF(_xlpm.act&lt;_xlpm.ant,0.08,IF(_xlpm.act&gt;_xlpm.ant,-0.08,0)),_xlpm.ajcli,IF(T75&lt;0.95,-0.06,0),_xlpm.prob,MAX(0,MIN(1,_xlpm.prog+_xlpm.ajmov+_xlpm.ajcli)),IF(OR(V75="DIAMANTE",V75="CERRADO"),0,ROUND(_xlpm.prob,2)))</f>
        <v>0</v>
      </c>
      <c r="AK75" t="str">
        <f t="shared" si="36"/>
        <v>No aplica</v>
      </c>
      <c r="AL75" t="str">
        <f t="shared" si="37"/>
        <v>Margen de seguridad: 1,2 puntos</v>
      </c>
      <c r="AM75">
        <f t="shared" si="38"/>
        <v>0.8</v>
      </c>
      <c r="AN75" t="str">
        <f t="shared" si="39"/>
        <v>PRIORIDAD ALTA – requiere intervención inmediata</v>
      </c>
      <c r="AO75">
        <f t="shared" si="40"/>
        <v>10.363197644320914</v>
      </c>
      <c r="AP75">
        <f t="shared" si="41"/>
        <v>0</v>
      </c>
      <c r="AQ75">
        <f t="shared" si="42"/>
        <v>0</v>
      </c>
      <c r="AR75">
        <f t="shared" si="43"/>
        <v>7.2449999999999992</v>
      </c>
      <c r="AS75">
        <f t="shared" si="44"/>
        <v>0</v>
      </c>
      <c r="AT75" t="str">
        <f t="shared" si="45"/>
        <v>VENTAS</v>
      </c>
      <c r="AU75">
        <f t="shared" si="46"/>
        <v>10.363197644320914</v>
      </c>
      <c r="AV75" t="str">
        <f t="shared" si="47"/>
        <v>Mayor retorno probable: VENTAS (+10,4 puntos finales potenciales).</v>
      </c>
    </row>
    <row r="76" spans="1:48" x14ac:dyDescent="0.3">
      <c r="A76" s="5">
        <v>51012020</v>
      </c>
      <c r="B76" s="5" t="str">
        <f>IFERROR(VLOOKUP(A76,VENTAS!$A$2:$B$1194,2,0),"")</f>
        <v>PRADES</v>
      </c>
      <c r="C76" s="5">
        <f>IFERROR(INDEX(VENTAS!$C$2:$E$1194,MATCH(A76,VENTAS!$A$2:$A$1194,0),MATCH(PARAMS_MODELO!$B$2,{"Q1","Q2","Q3"},0)),0)</f>
        <v>119214415.53</v>
      </c>
      <c r="D76" s="5">
        <f>IFERROR(INDEX(VENTAS!$F$2:$H$1194,MATCH(A76,VENTAS!$A$2:$A$1194,0),MATCH(PARAMS_MODELO!$B$2,{"Q1","Q2","Q3"},0)),0)</f>
        <v>175148315</v>
      </c>
      <c r="E76" s="8">
        <f t="shared" si="24"/>
        <v>0.46918738158745898</v>
      </c>
      <c r="F76" s="12">
        <f>IF(E76&lt;=PARAMS_MODELO!$B$15,0,IF(E76&gt;=PARAMS_MODELO!$B$17,100,100*MIN(1,(E76-PARAMS_MODELO!$B$15)/(PARAMS_MODELO!$B$16-PARAMS_MODELO!$B$15))))*PARAMS_MODELO!$B$7</f>
        <v>35</v>
      </c>
      <c r="G76" s="5">
        <f t="shared" si="25"/>
        <v>55933899.469999999</v>
      </c>
      <c r="H76" s="5">
        <f>(PARAMS_MODELO!$B$20*(MAX(0,MIN(3,E76))/3)+PARAMS_MODELO!$B$21*(IFERROR(LN(1+MAX(0,G76))/LN(1+MAX(0,MAX($G$2:$G$1194))),0)))*100*PARAMS_MODELO!$B$8</f>
        <v>5.8240261638149198</v>
      </c>
      <c r="I76" s="8">
        <f>E76-PARAMS_MODELO!$B$5</f>
        <v>0.29162454621193246</v>
      </c>
      <c r="J76" s="5">
        <f>IF(I76&lt;=PARAMS_MODELO!$B$18,0,IF(I76&gt;=PARAMS_MODELO!$B$19,100,100*(I76-PARAMS_MODELO!$B$18)/(PARAMS_MODELO!$B$19-PARAMS_MODELO!$B$18)))*PARAMS_MODELO!$B$9</f>
        <v>15</v>
      </c>
      <c r="K76" s="5">
        <f>IFERROR(CHOOSE(MATCH(PARAMS_MODELO!$B$2,{"Q1","Q2","Q3"},0),LOTO!$D76,LOTO!$F76,LOTO!$H76),0)</f>
        <v>8927500</v>
      </c>
      <c r="L76" s="8">
        <f t="shared" si="26"/>
        <v>5.0971086989903387E-2</v>
      </c>
      <c r="M76" s="5">
        <f>MIN(100,IF(PARAMS_MODELO!$B$23=0,0,100*L76/PARAMS_MODELO!$B$23))*PARAMS_MODELO!$B$10</f>
        <v>15</v>
      </c>
      <c r="N76" s="5">
        <f>IFERROR(VLOOKUP(A76,COMPLIANCE!$A$2:$F$1996,6,0),100)</f>
        <v>100</v>
      </c>
      <c r="O76" s="5">
        <f>N76*PARAMS_MODELO!$B$11</f>
        <v>10</v>
      </c>
      <c r="P76" s="5">
        <f>IFERROR(VLOOKUP(A76,DIGITAL!$A$2:$J$2000,7,0),100)</f>
        <v>14</v>
      </c>
      <c r="Q76" s="5">
        <f>IFERROR(P76,0)*PARAMS_MODELO!$B$12</f>
        <v>1.4000000000000001</v>
      </c>
      <c r="R76">
        <f t="shared" si="27"/>
        <v>82.224026163814926</v>
      </c>
      <c r="S76" s="5" t="str">
        <f>IFERROR(VLOOKUP(A76,CLIENTE!$A$2:$N$2000,13,0),1)</f>
        <v>Regular</v>
      </c>
      <c r="T76" s="5">
        <f>IFERROR(VLOOKUP(A76,CLIENTE!$A$2:$N$2000,14,0),1)</f>
        <v>1</v>
      </c>
      <c r="U76" s="5">
        <f t="shared" si="28"/>
        <v>82.224026163814926</v>
      </c>
      <c r="V76" s="5" t="str">
        <f>IF(U76&gt;=MAX(_xlfn.PERCENTILE.INC($U$2:$U$1194,PARAMS_MODELO!$B$50),PARAMS_MODELO!$B$45),"DIAMANTE",IF(U76&gt;=MAX(_xlfn.PERCENTILE.INC($U$2:$U$1194,PARAMS_MODELO!$B$51),PARAMS_MODELO!$B$46),"PLATINO",IF(U76&gt;=MAX(_xlfn.PERCENTILE.INC($U$2:$U$1194,PARAMS_MODELO!$B$52),PARAMS_MODELO!$B$47),"ORO",IF(U76&gt;=MAX(_xlfn.PERCENTILE.INC($U$2:$U$1194,PARAMS_MODELO!$B$53),PARAMS_MODELO!$B$48),"PLATA",IF(U76&gt;=1,"BRONCE","CERRADO")))))</f>
        <v>ORO</v>
      </c>
      <c r="W76" s="5" t="str" cm="1">
        <f t="array" ref="W76">_xlfn.XLOOKUP(1, (HIST_SCORE!$B:$B=PARAMS_MODELO!$B$4) * (HIST_SCORE!$C:$C=A76), HIST_SCORE!$E:$E, "No encontrado")</f>
        <v>ORO</v>
      </c>
      <c r="X76" s="5" t="str">
        <f>_xlfn.LET(_xlpm.act,MATCH(V76,{"DIAMANTE";"PLATINO";"ORO";"PLATA";"BRONCE";"CERRADO"},0),_xlpm.ant,MATCH(W76,{"DIAMANTE";"PLATINO";"ORO";"PLATA";"BRONCE";"CERRADO"},0),IF(_xlpm.act&lt;_xlpm.ant,"Mejora ↑",IF(_xlpm.act&gt;_xlpm.ant,"Baja ↓","Estable →")))</f>
        <v>Estable →</v>
      </c>
      <c r="Y76" s="5">
        <f>IFERROR(U76-SUMIFS(HIST_SCORE!$D:$D,HIST_SCORE!$B:$B,PARAMS_MODELO!$B$4,HIST_SCORE!$C:$C,$A76),"")</f>
        <v>-0.12742266466997876</v>
      </c>
      <c r="Z76" s="5" t="str">
        <f t="shared" si="29"/>
        <v>→ Estable</v>
      </c>
      <c r="AA76" s="5">
        <f t="shared" si="30"/>
        <v>382</v>
      </c>
      <c r="AB76" s="5">
        <f>IFERROR(SUMIFS(HIST_SCORE!$F:$F,HIST_SCORE!$B:$B,PARAMS_MODELO!$B$4,HIST_SCORE!$C:$C,$A76),"")</f>
        <v>354</v>
      </c>
      <c r="AC76" s="5">
        <f t="shared" si="31"/>
        <v>-28</v>
      </c>
      <c r="AD76" t="str">
        <f t="shared" si="33"/>
        <v>Sostener base y reforzar mix</v>
      </c>
      <c r="AE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CERRADO",1,IF(V76="BRONCE",_xlpm.cPl,IF(V76="PLATA",_xlpm.cO,IF(V76="ORO",_xlpm.cP,IF(V76="PLATINO",_xlpm.cD,999))))))</f>
        <v>86.439123873763251</v>
      </c>
      <c r="AF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CERRADO",0,IF(V76="BRONCE",1,IF(V76="PLATA",_xlpm.cPl,IF(V76="ORO",_xlpm.cO,IF(V76="PLATINO",_xlpm.cP,_xlpm.cD))))))</f>
        <v>63.199193273331495</v>
      </c>
      <c r="AG76">
        <f t="shared" si="34"/>
        <v>4.2150977099483242</v>
      </c>
      <c r="AH76" t="str">
        <f t="shared" si="35"/>
        <v>VENTAS</v>
      </c>
      <c r="AI76" t="str">
        <f t="shared" si="32"/>
        <v>🎯 Para subir de categoría, eje VENTAS / IMPACTO ABSOLUTO (H). Acción: metas semanales + activación comercial + seguimiento del asesor. ΔR aprox: 4,2</v>
      </c>
      <c r="AJ76" s="26">
        <f>_xlfn.LET(_xlpm.piso,AF76,_xlpm.corte,AE76,_xlpm.prog,IF(_xlpm.corte&lt;=_xlpm.piso,0,MAX(0,MIN(1,(U76-_xlpm.piso)/(_xlpm.corte-_xlpm.piso)))),_xlpm.orden,{"DIAMANTE";"PLATINO";"ORO";"PLATA";"BRONCE";"CERRADO"},_xlpm.act,IFERROR(MATCH(V76,_xlpm.orden,0),6),_xlpm.ant,IFERROR(MATCH(W76,_xlpm.orden,0),6),_xlpm.ajmov,IF(_xlpm.act&lt;_xlpm.ant,0.08,IF(_xlpm.act&gt;_xlpm.ant,-0.08,0)),_xlpm.ajcli,IF(T76&lt;0.95,-0.06,0),_xlpm.prob,MAX(0,MIN(1,_xlpm.prog+_xlpm.ajmov+_xlpm.ajcli)),IF(OR(V76="DIAMANTE",V76="CERRADO"),0,ROUND(_xlpm.prob,2)))</f>
        <v>0.82</v>
      </c>
      <c r="AK76" t="str">
        <f t="shared" si="36"/>
        <v>Faltan 4,2 puntos base para subir a la siguiente categoría</v>
      </c>
      <c r="AL76" t="str">
        <f t="shared" si="37"/>
        <v>Margen de seguridad: 19,0 puntos</v>
      </c>
      <c r="AM76">
        <f t="shared" si="38"/>
        <v>0.24</v>
      </c>
      <c r="AN76" t="str">
        <f t="shared" si="39"/>
        <v>PRIORIDAD BAJA – control normal</v>
      </c>
      <c r="AO76">
        <f t="shared" si="40"/>
        <v>9.0385431114806636</v>
      </c>
      <c r="AP76">
        <f t="shared" si="41"/>
        <v>0</v>
      </c>
      <c r="AQ76">
        <f t="shared" si="42"/>
        <v>0</v>
      </c>
      <c r="AR76">
        <f t="shared" si="43"/>
        <v>8.6</v>
      </c>
      <c r="AS76">
        <f t="shared" si="44"/>
        <v>0</v>
      </c>
      <c r="AT76" t="str">
        <f t="shared" si="45"/>
        <v>VENTAS</v>
      </c>
      <c r="AU76">
        <f t="shared" si="46"/>
        <v>9.0385431114806636</v>
      </c>
      <c r="AV76" t="str">
        <f t="shared" si="47"/>
        <v>Mayor retorno probable: VENTAS (+9,0 puntos finales potenciales).</v>
      </c>
    </row>
    <row r="77" spans="1:48" x14ac:dyDescent="0.3">
      <c r="A77" s="5">
        <v>51029968</v>
      </c>
      <c r="B77" s="5" t="str">
        <f>IFERROR(VLOOKUP(A77,VENTAS!$A$2:$B$1194,2,0),"")</f>
        <v>PUGH</v>
      </c>
      <c r="C77" s="5">
        <f>IFERROR(INDEX(VENTAS!$C$2:$E$1194,MATCH(A77,VENTAS!$A$2:$A$1194,0),MATCH(PARAMS_MODELO!$B$2,{"Q1","Q2","Q3"},0)),0)</f>
        <v>115633327.98999999</v>
      </c>
      <c r="D77" s="5">
        <f>IFERROR(INDEX(VENTAS!$F$2:$H$1194,MATCH(A77,VENTAS!$A$2:$A$1194,0),MATCH(PARAMS_MODELO!$B$2,{"Q1","Q2","Q3"},0)),0)</f>
        <v>173801039</v>
      </c>
      <c r="E77" s="8">
        <f t="shared" si="24"/>
        <v>0.50303586363120467</v>
      </c>
      <c r="F77" s="12">
        <f>IF(E77&lt;=PARAMS_MODELO!$B$15,0,IF(E77&gt;=PARAMS_MODELO!$B$17,100,100*MIN(1,(E77-PARAMS_MODELO!$B$15)/(PARAMS_MODELO!$B$16-PARAMS_MODELO!$B$15))))*PARAMS_MODELO!$B$7</f>
        <v>35</v>
      </c>
      <c r="G77" s="5">
        <f t="shared" si="25"/>
        <v>58167711.010000005</v>
      </c>
      <c r="H77" s="5">
        <f>(PARAMS_MODELO!$B$20*(MAX(0,MIN(3,E77))/3)+PARAMS_MODELO!$B$21*(IFERROR(LN(1+MAX(0,G77))/LN(1+MAX(0,MAX($G$2:$G$1194))),0)))*100*PARAMS_MODELO!$B$8</f>
        <v>5.9516754499820621</v>
      </c>
      <c r="I77" s="8">
        <f>E77-PARAMS_MODELO!$B$5</f>
        <v>0.32547302825567814</v>
      </c>
      <c r="J77" s="5">
        <f>IF(I77&lt;=PARAMS_MODELO!$B$18,0,IF(I77&gt;=PARAMS_MODELO!$B$19,100,100*(I77-PARAMS_MODELO!$B$18)/(PARAMS_MODELO!$B$19-PARAMS_MODELO!$B$18)))*PARAMS_MODELO!$B$9</f>
        <v>15</v>
      </c>
      <c r="K77" s="5">
        <f>IFERROR(CHOOSE(MATCH(PARAMS_MODELO!$B$2,{"Q1","Q2","Q3"},0),LOTO!$D77,LOTO!$F77,LOTO!$H77),0)</f>
        <v>8872500</v>
      </c>
      <c r="L77" s="8">
        <f t="shared" si="26"/>
        <v>5.1049752355047773E-2</v>
      </c>
      <c r="M77" s="5">
        <f>MIN(100,IF(PARAMS_MODELO!$B$23=0,0,100*L77/PARAMS_MODELO!$B$23))*PARAMS_MODELO!$B$10</f>
        <v>15</v>
      </c>
      <c r="N77" s="5">
        <f>IFERROR(VLOOKUP(A77,COMPLIANCE!$A$2:$F$1996,6,0),100)</f>
        <v>100</v>
      </c>
      <c r="O77" s="5">
        <f>N77*PARAMS_MODELO!$B$11</f>
        <v>10</v>
      </c>
      <c r="P77" s="5">
        <f>IFERROR(VLOOKUP(A77,DIGITAL!$A$2:$J$2000,7,0),100)</f>
        <v>48</v>
      </c>
      <c r="Q77" s="5">
        <f>IFERROR(P77,0)*PARAMS_MODELO!$B$12</f>
        <v>4.8000000000000007</v>
      </c>
      <c r="R77">
        <f t="shared" si="27"/>
        <v>85.751675449982059</v>
      </c>
      <c r="S77" s="5" t="str">
        <f>IFERROR(VLOOKUP(A77,CLIENTE!$A$2:$N$2000,13,0),1)</f>
        <v>Regular</v>
      </c>
      <c r="T77" s="5">
        <f>IFERROR(VLOOKUP(A77,CLIENTE!$A$2:$N$2000,14,0),1)</f>
        <v>1</v>
      </c>
      <c r="U77" s="5">
        <f t="shared" si="28"/>
        <v>85.751675449982059</v>
      </c>
      <c r="V77" s="5" t="str">
        <f>IF(U77&gt;=MAX(_xlfn.PERCENTILE.INC($U$2:$U$1194,PARAMS_MODELO!$B$50),PARAMS_MODELO!$B$45),"DIAMANTE",IF(U77&gt;=MAX(_xlfn.PERCENTILE.INC($U$2:$U$1194,PARAMS_MODELO!$B$51),PARAMS_MODELO!$B$46),"PLATINO",IF(U77&gt;=MAX(_xlfn.PERCENTILE.INC($U$2:$U$1194,PARAMS_MODELO!$B$52),PARAMS_MODELO!$B$47),"ORO",IF(U77&gt;=MAX(_xlfn.PERCENTILE.INC($U$2:$U$1194,PARAMS_MODELO!$B$53),PARAMS_MODELO!$B$48),"PLATA",IF(U77&gt;=1,"BRONCE","CERRADO")))))</f>
        <v>ORO</v>
      </c>
      <c r="W77" s="5" t="str" cm="1">
        <f t="array" ref="W77">_xlfn.XLOOKUP(1, (HIST_SCORE!$B:$B=PARAMS_MODELO!$B$4) * (HIST_SCORE!$C:$C=A77), HIST_SCORE!$E:$E, "No encontrado")</f>
        <v>PLATINO</v>
      </c>
      <c r="X77" s="5" t="str">
        <f>_xlfn.LET(_xlpm.act,MATCH(V77,{"DIAMANTE";"PLATINO";"ORO";"PLATA";"BRONCE";"CERRADO"},0),_xlpm.ant,MATCH(W77,{"DIAMANTE";"PLATINO";"ORO";"PLATA";"BRONCE";"CERRADO"},0),IF(_xlpm.act&lt;_xlpm.ant,"Mejora ↑",IF(_xlpm.act&gt;_xlpm.ant,"Baja ↓","Estable →")))</f>
        <v>Baja ↓</v>
      </c>
      <c r="Y77" s="5">
        <f>IFERROR(U77-SUMIFS(HIST_SCORE!$D:$D,HIST_SCORE!$B:$B,PARAMS_MODELO!$B$4,HIST_SCORE!$C:$C,$A77),"")</f>
        <v>-0.23941998452482949</v>
      </c>
      <c r="Z77" s="5" t="str">
        <f t="shared" si="29"/>
        <v>→ Estable</v>
      </c>
      <c r="AA77" s="5">
        <f t="shared" si="30"/>
        <v>260</v>
      </c>
      <c r="AB77" s="5">
        <f>IFERROR(SUMIFS(HIST_SCORE!$F:$F,HIST_SCORE!$B:$B,PARAMS_MODELO!$B$4,HIST_SCORE!$C:$C,$A77),"")</f>
        <v>239</v>
      </c>
      <c r="AC77" s="5">
        <f t="shared" si="31"/>
        <v>-21</v>
      </c>
      <c r="AD77" t="str">
        <f t="shared" si="33"/>
        <v>Sostener base y reforzar mix</v>
      </c>
      <c r="AE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CERRADO",1,IF(V77="BRONCE",_xlpm.cPl,IF(V77="PLATA",_xlpm.cO,IF(V77="ORO",_xlpm.cP,IF(V77="PLATINO",_xlpm.cD,999))))))</f>
        <v>86.439123873763251</v>
      </c>
      <c r="AF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CERRADO",0,IF(V77="BRONCE",1,IF(V77="PLATA",_xlpm.cPl,IF(V77="ORO",_xlpm.cO,IF(V77="PLATINO",_xlpm.cP,_xlpm.cD))))))</f>
        <v>63.199193273331495</v>
      </c>
      <c r="AG77">
        <f t="shared" si="34"/>
        <v>0.68744842378119131</v>
      </c>
      <c r="AH77" t="str">
        <f t="shared" si="35"/>
        <v>VENTAS</v>
      </c>
      <c r="AI77" t="str">
        <f t="shared" si="32"/>
        <v>🎯 Para subir de categoría, eje VENTAS / IMPACTO ABSOLUTO (H). Acción: metas semanales + activación comercial + seguimiento del asesor. ΔR aprox: 0,7</v>
      </c>
      <c r="AJ77" s="26">
        <f>_xlfn.LET(_xlpm.piso,AF77,_xlpm.corte,AE77,_xlpm.prog,IF(_xlpm.corte&lt;=_xlpm.piso,0,MAX(0,MIN(1,(U77-_xlpm.piso)/(_xlpm.corte-_xlpm.piso)))),_xlpm.orden,{"DIAMANTE";"PLATINO";"ORO";"PLATA";"BRONCE";"CERRADO"},_xlpm.act,IFERROR(MATCH(V77,_xlpm.orden,0),6),_xlpm.ant,IFERROR(MATCH(W77,_xlpm.orden,0),6),_xlpm.ajmov,IF(_xlpm.act&lt;_xlpm.ant,0.08,IF(_xlpm.act&gt;_xlpm.ant,-0.08,0)),_xlpm.ajcli,IF(T77&lt;0.95,-0.06,0),_xlpm.prob,MAX(0,MIN(1,_xlpm.prog+_xlpm.ajmov+_xlpm.ajcli)),IF(OR(V77="DIAMANTE",V77="CERRADO"),0,ROUND(_xlpm.prob,2)))</f>
        <v>0.89</v>
      </c>
      <c r="AK77" t="str">
        <f t="shared" si="36"/>
        <v>Faltan 0,7 puntos base para subir a la siguiente categoría</v>
      </c>
      <c r="AL77" t="str">
        <f t="shared" si="37"/>
        <v>Margen de seguridad: 22,6 puntos</v>
      </c>
      <c r="AM77">
        <f t="shared" si="38"/>
        <v>7.0000000000000007E-2</v>
      </c>
      <c r="AN77" t="str">
        <f t="shared" si="39"/>
        <v>PRIORIDAD BAJA – control normal</v>
      </c>
      <c r="AO77">
        <f t="shared" si="40"/>
        <v>8.9108938253135221</v>
      </c>
      <c r="AP77">
        <f t="shared" si="41"/>
        <v>0</v>
      </c>
      <c r="AQ77">
        <f t="shared" si="42"/>
        <v>0</v>
      </c>
      <c r="AR77">
        <f t="shared" si="43"/>
        <v>5.1999999999999993</v>
      </c>
      <c r="AS77">
        <f t="shared" si="44"/>
        <v>0</v>
      </c>
      <c r="AT77" t="str">
        <f t="shared" si="45"/>
        <v>VENTAS</v>
      </c>
      <c r="AU77">
        <f t="shared" si="46"/>
        <v>8.9108938253135221</v>
      </c>
      <c r="AV77" t="str">
        <f t="shared" si="47"/>
        <v>Mayor retorno probable: VENTAS (+8,9 puntos finales potenciales).</v>
      </c>
    </row>
    <row r="78" spans="1:48" x14ac:dyDescent="0.3">
      <c r="A78" s="5">
        <v>51025202</v>
      </c>
      <c r="B78" s="5" t="str">
        <f>IFERROR(VLOOKUP(A78,VENTAS!$A$2:$B$1194,2,0),"")</f>
        <v>MONTENEGRO</v>
      </c>
      <c r="C78" s="5">
        <f>IFERROR(INDEX(VENTAS!$C$2:$E$1194,MATCH(A78,VENTAS!$A$2:$A$1194,0),MATCH(PARAMS_MODELO!$B$2,{"Q1","Q2","Q3"},0)),0)</f>
        <v>122284874.2</v>
      </c>
      <c r="D78" s="5">
        <f>IFERROR(INDEX(VENTAS!$F$2:$H$1194,MATCH(A78,VENTAS!$A$2:$A$1194,0),MATCH(PARAMS_MODELO!$B$2,{"Q1","Q2","Q3"},0)),0)</f>
        <v>173432056</v>
      </c>
      <c r="E78" s="8">
        <f t="shared" si="24"/>
        <v>0.41826253765733523</v>
      </c>
      <c r="F78" s="12">
        <f>IF(E78&lt;=PARAMS_MODELO!$B$15,0,IF(E78&gt;=PARAMS_MODELO!$B$17,100,100*MIN(1,(E78-PARAMS_MODELO!$B$15)/(PARAMS_MODELO!$B$16-PARAMS_MODELO!$B$15))))*PARAMS_MODELO!$B$7</f>
        <v>35</v>
      </c>
      <c r="G78" s="5">
        <f t="shared" si="25"/>
        <v>51147181.799999997</v>
      </c>
      <c r="H78" s="5">
        <f>(PARAMS_MODELO!$B$20*(MAX(0,MIN(3,E78))/3)+PARAMS_MODELO!$B$21*(IFERROR(LN(1+MAX(0,G78))/LN(1+MAX(0,MAX($G$2:$G$1194))),0)))*100*PARAMS_MODELO!$B$8</f>
        <v>5.6248177797049541</v>
      </c>
      <c r="I78" s="8">
        <f>E78-PARAMS_MODELO!$B$5</f>
        <v>0.2406997022818087</v>
      </c>
      <c r="J78" s="5">
        <f>IF(I78&lt;=PARAMS_MODELO!$B$18,0,IF(I78&gt;=PARAMS_MODELO!$B$19,100,100*(I78-PARAMS_MODELO!$B$18)/(PARAMS_MODELO!$B$19-PARAMS_MODELO!$B$18)))*PARAMS_MODELO!$B$9</f>
        <v>15</v>
      </c>
      <c r="K78" s="5">
        <f>IFERROR(CHOOSE(MATCH(PARAMS_MODELO!$B$2,{"Q1","Q2","Q3"},0),LOTO!$D78,LOTO!$F78,LOTO!$H78),0)</f>
        <v>8785000</v>
      </c>
      <c r="L78" s="8">
        <f t="shared" si="26"/>
        <v>5.0653842217035124E-2</v>
      </c>
      <c r="M78" s="5">
        <f>MIN(100,IF(PARAMS_MODELO!$B$23=0,0,100*L78/PARAMS_MODELO!$B$23))*PARAMS_MODELO!$B$10</f>
        <v>15</v>
      </c>
      <c r="N78" s="5">
        <f>IFERROR(VLOOKUP(A78,COMPLIANCE!$A$2:$F$1996,6,0),100)</f>
        <v>100</v>
      </c>
      <c r="O78" s="5">
        <f>N78*PARAMS_MODELO!$B$11</f>
        <v>10</v>
      </c>
      <c r="P78" s="5">
        <f>IFERROR(VLOOKUP(A78,DIGITAL!$A$2:$J$2000,7,0),100)</f>
        <v>95</v>
      </c>
      <c r="Q78" s="5">
        <f>IFERROR(P78,0)*PARAMS_MODELO!$B$12</f>
        <v>9.5</v>
      </c>
      <c r="R78">
        <f t="shared" si="27"/>
        <v>90.124817779704955</v>
      </c>
      <c r="S78" s="5" t="str">
        <f>IFERROR(VLOOKUP(A78,CLIENTE!$A$2:$N$2000,13,0),1)</f>
        <v>Muy Bueno</v>
      </c>
      <c r="T78" s="5">
        <f>IFERROR(VLOOKUP(A78,CLIENTE!$A$2:$N$2000,14,0),1)</f>
        <v>1.1499999999999999</v>
      </c>
      <c r="U78" s="5">
        <f t="shared" si="28"/>
        <v>100</v>
      </c>
      <c r="V78" s="5" t="str">
        <f>IF(U78&gt;=MAX(_xlfn.PERCENTILE.INC($U$2:$U$1194,PARAMS_MODELO!$B$50),PARAMS_MODELO!$B$45),"DIAMANTE",IF(U78&gt;=MAX(_xlfn.PERCENTILE.INC($U$2:$U$1194,PARAMS_MODELO!$B$51),PARAMS_MODELO!$B$46),"PLATINO",IF(U78&gt;=MAX(_xlfn.PERCENTILE.INC($U$2:$U$1194,PARAMS_MODELO!$B$52),PARAMS_MODELO!$B$47),"ORO",IF(U78&gt;=MAX(_xlfn.PERCENTILE.INC($U$2:$U$1194,PARAMS_MODELO!$B$53),PARAMS_MODELO!$B$48),"PLATA",IF(U78&gt;=1,"BRONCE","CERRADO")))))</f>
        <v>DIAMANTE</v>
      </c>
      <c r="W78" s="5" t="str" cm="1">
        <f t="array" ref="W78">_xlfn.XLOOKUP(1, (HIST_SCORE!$B:$B=PARAMS_MODELO!$B$4) * (HIST_SCORE!$C:$C=A78), HIST_SCORE!$E:$E, "No encontrado")</f>
        <v>DIAMANTE</v>
      </c>
      <c r="X78" s="5" t="str">
        <f>_xlfn.LET(_xlpm.act,MATCH(V78,{"DIAMANTE";"PLATINO";"ORO";"PLATA";"BRONCE";"CERRADO"},0),_xlpm.ant,MATCH(W78,{"DIAMANTE";"PLATINO";"ORO";"PLATA";"BRONCE";"CERRADO"},0),IF(_xlpm.act&lt;_xlpm.ant,"Mejora ↑",IF(_xlpm.act&gt;_xlpm.ant,"Baja ↓","Estable →")))</f>
        <v>Estable →</v>
      </c>
      <c r="Y78" s="5">
        <f>IFERROR(U78-SUMIFS(HIST_SCORE!$D:$D,HIST_SCORE!$B:$B,PARAMS_MODELO!$B$4,HIST_SCORE!$C:$C,$A78),"")</f>
        <v>0</v>
      </c>
      <c r="Z78" s="5" t="str">
        <f t="shared" si="29"/>
        <v>→ Estable</v>
      </c>
      <c r="AA78" s="5">
        <f t="shared" si="30"/>
        <v>1</v>
      </c>
      <c r="AB78" s="5">
        <f>IFERROR(SUMIFS(HIST_SCORE!$F:$F,HIST_SCORE!$B:$B,PARAMS_MODELO!$B$4,HIST_SCORE!$C:$C,$A78),"")</f>
        <v>1</v>
      </c>
      <c r="AC78" s="5">
        <f t="shared" si="31"/>
        <v>0</v>
      </c>
      <c r="AD78" t="str">
        <f t="shared" si="33"/>
        <v/>
      </c>
      <c r="AE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CERRADO",1,IF(V78="BRONCE",_xlpm.cPl,IF(V78="PLATA",_xlpm.cO,IF(V78="ORO",_xlpm.cP,IF(V78="PLATINO",_xlpm.cD,999))))))</f>
        <v>999</v>
      </c>
      <c r="AF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CERRADO",0,IF(V78="BRONCE",1,IF(V78="PLATA",_xlpm.cPl,IF(V78="ORO",_xlpm.cO,IF(V78="PLATINO",_xlpm.cP,_xlpm.cD))))))</f>
        <v>96.054919694466676</v>
      </c>
      <c r="AG78">
        <f t="shared" si="34"/>
        <v>778.57083439420819</v>
      </c>
      <c r="AH78" t="str">
        <f t="shared" si="35"/>
        <v>SOSTENER</v>
      </c>
      <c r="AI78" t="str">
        <f t="shared" si="32"/>
        <v>✅ Mantener desempeño y monitorear variaciones para sostener categoría.</v>
      </c>
      <c r="AJ78" s="26">
        <f>_xlfn.LET(_xlpm.piso,AF78,_xlpm.corte,AE78,_xlpm.prog,IF(_xlpm.corte&lt;=_xlpm.piso,0,MAX(0,MIN(1,(U78-_xlpm.piso)/(_xlpm.corte-_xlpm.piso)))),_xlpm.orden,{"DIAMANTE";"PLATINO";"ORO";"PLATA";"BRONCE";"CERRADO"},_xlpm.act,IFERROR(MATCH(V78,_xlpm.orden,0),6),_xlpm.ant,IFERROR(MATCH(W78,_xlpm.orden,0),6),_xlpm.ajmov,IF(_xlpm.act&lt;_xlpm.ant,0.08,IF(_xlpm.act&gt;_xlpm.ant,-0.08,0)),_xlpm.ajcli,IF(T78&lt;0.95,-0.06,0),_xlpm.prob,MAX(0,MIN(1,_xlpm.prog+_xlpm.ajmov+_xlpm.ajcli)),IF(OR(V78="DIAMANTE",V78="CERRADO"),0,ROUND(_xlpm.prob,2)))</f>
        <v>0</v>
      </c>
      <c r="AK78" t="str">
        <f t="shared" si="36"/>
        <v>No aplica</v>
      </c>
      <c r="AL78" t="str">
        <f t="shared" si="37"/>
        <v>Margen de seguridad: 3,9 puntos</v>
      </c>
      <c r="AM78">
        <f t="shared" si="38"/>
        <v>0.8</v>
      </c>
      <c r="AN78" t="str">
        <f t="shared" si="39"/>
        <v>PRIORIDAD ALTA – requiere intervención inmediata</v>
      </c>
      <c r="AO78">
        <f t="shared" si="40"/>
        <v>10.623414219929224</v>
      </c>
      <c r="AP78">
        <f t="shared" si="41"/>
        <v>0</v>
      </c>
      <c r="AQ78">
        <f t="shared" si="42"/>
        <v>0</v>
      </c>
      <c r="AR78">
        <f t="shared" si="43"/>
        <v>0.57499999999999996</v>
      </c>
      <c r="AS78">
        <f t="shared" si="44"/>
        <v>0</v>
      </c>
      <c r="AT78" t="str">
        <f t="shared" si="45"/>
        <v>VENTAS</v>
      </c>
      <c r="AU78">
        <f t="shared" si="46"/>
        <v>10.623414219929224</v>
      </c>
      <c r="AV78" t="str">
        <f t="shared" si="47"/>
        <v>Mayor retorno probable: VENTAS (+10,6 puntos finales potenciales).</v>
      </c>
    </row>
    <row r="79" spans="1:48" x14ac:dyDescent="0.3">
      <c r="A79" s="5">
        <v>51003667</v>
      </c>
      <c r="B79" s="5" t="str">
        <f>IFERROR(VLOOKUP(A79,VENTAS!$A$2:$B$1194,2,0),"")</f>
        <v>CICHETTO</v>
      </c>
      <c r="C79" s="5">
        <f>IFERROR(INDEX(VENTAS!$C$2:$E$1194,MATCH(A79,VENTAS!$A$2:$A$1194,0),MATCH(PARAMS_MODELO!$B$2,{"Q1","Q2","Q3"},0)),0)</f>
        <v>129236280.77</v>
      </c>
      <c r="D79" s="5">
        <f>IFERROR(INDEX(VENTAS!$F$2:$H$1194,MATCH(A79,VENTAS!$A$2:$A$1194,0),MATCH(PARAMS_MODELO!$B$2,{"Q1","Q2","Q3"},0)),0)</f>
        <v>170897070</v>
      </c>
      <c r="E79" s="8">
        <f t="shared" si="24"/>
        <v>0.32236140642381317</v>
      </c>
      <c r="F79" s="12">
        <f>IF(E79&lt;=PARAMS_MODELO!$B$15,0,IF(E79&gt;=PARAMS_MODELO!$B$17,100,100*MIN(1,(E79-PARAMS_MODELO!$B$15)/(PARAMS_MODELO!$B$16-PARAMS_MODELO!$B$15))))*PARAMS_MODELO!$B$7</f>
        <v>35</v>
      </c>
      <c r="G79" s="5">
        <f t="shared" si="25"/>
        <v>41660789.230000004</v>
      </c>
      <c r="H79" s="5">
        <f>(PARAMS_MODELO!$B$20*(MAX(0,MIN(3,E79))/3)+PARAMS_MODELO!$B$21*(IFERROR(LN(1+MAX(0,G79))/LN(1+MAX(0,MAX($G$2:$G$1194))),0)))*100*PARAMS_MODELO!$B$8</f>
        <v>5.2410744973781984</v>
      </c>
      <c r="I79" s="8">
        <f>E79-PARAMS_MODELO!$B$5</f>
        <v>0.14479857104828664</v>
      </c>
      <c r="J79" s="5">
        <f>IF(I79&lt;=PARAMS_MODELO!$B$18,0,IF(I79&gt;=PARAMS_MODELO!$B$19,100,100*(I79-PARAMS_MODELO!$B$18)/(PARAMS_MODELO!$B$19-PARAMS_MODELO!$B$18)))*PARAMS_MODELO!$B$9</f>
        <v>15</v>
      </c>
      <c r="K79" s="5">
        <f>IFERROR(CHOOSE(MATCH(PARAMS_MODELO!$B$2,{"Q1","Q2","Q3"},0),LOTO!$D79,LOTO!$F79,LOTO!$H79),0)</f>
        <v>8770000</v>
      </c>
      <c r="L79" s="8">
        <f t="shared" si="26"/>
        <v>5.1317439204779811E-2</v>
      </c>
      <c r="M79" s="5">
        <f>MIN(100,IF(PARAMS_MODELO!$B$23=0,0,100*L79/PARAMS_MODELO!$B$23))*PARAMS_MODELO!$B$10</f>
        <v>15</v>
      </c>
      <c r="N79" s="5">
        <f>IFERROR(VLOOKUP(A79,COMPLIANCE!$A$2:$F$1996,6,0),100)</f>
        <v>100</v>
      </c>
      <c r="O79" s="5">
        <f>N79*PARAMS_MODELO!$B$11</f>
        <v>10</v>
      </c>
      <c r="P79" s="5">
        <f>IFERROR(VLOOKUP(A79,DIGITAL!$A$2:$J$2000,7,0),100)</f>
        <v>27</v>
      </c>
      <c r="Q79" s="5">
        <f>IFERROR(P79,0)*PARAMS_MODELO!$B$12</f>
        <v>2.7</v>
      </c>
      <c r="R79">
        <f t="shared" si="27"/>
        <v>82.94107449737821</v>
      </c>
      <c r="S79" s="5" t="str">
        <f>IFERROR(VLOOKUP(A79,CLIENTE!$A$2:$N$2000,13,0),1)</f>
        <v>Regular</v>
      </c>
      <c r="T79" s="5">
        <f>IFERROR(VLOOKUP(A79,CLIENTE!$A$2:$N$2000,14,0),1)</f>
        <v>1</v>
      </c>
      <c r="U79" s="5">
        <f t="shared" si="28"/>
        <v>82.94107449737821</v>
      </c>
      <c r="V79" s="5" t="str">
        <f>IF(U79&gt;=MAX(_xlfn.PERCENTILE.INC($U$2:$U$1194,PARAMS_MODELO!$B$50),PARAMS_MODELO!$B$45),"DIAMANTE",IF(U79&gt;=MAX(_xlfn.PERCENTILE.INC($U$2:$U$1194,PARAMS_MODELO!$B$51),PARAMS_MODELO!$B$46),"PLATINO",IF(U79&gt;=MAX(_xlfn.PERCENTILE.INC($U$2:$U$1194,PARAMS_MODELO!$B$52),PARAMS_MODELO!$B$47),"ORO",IF(U79&gt;=MAX(_xlfn.PERCENTILE.INC($U$2:$U$1194,PARAMS_MODELO!$B$53),PARAMS_MODELO!$B$48),"PLATA",IF(U79&gt;=1,"BRONCE","CERRADO")))))</f>
        <v>ORO</v>
      </c>
      <c r="W79" s="5" t="str" cm="1">
        <f t="array" ref="W79">_xlfn.XLOOKUP(1, (HIST_SCORE!$B:$B=PARAMS_MODELO!$B$4) * (HIST_SCORE!$C:$C=A79), HIST_SCORE!$E:$E, "No encontrado")</f>
        <v>ORO</v>
      </c>
      <c r="X79" s="5" t="str">
        <f>_xlfn.LET(_xlpm.act,MATCH(V79,{"DIAMANTE";"PLATINO";"ORO";"PLATA";"BRONCE";"CERRADO"},0),_xlpm.ant,MATCH(W79,{"DIAMANTE";"PLATINO";"ORO";"PLATA";"BRONCE";"CERRADO"},0),IF(_xlpm.act&lt;_xlpm.ant,"Mejora ↑",IF(_xlpm.act&gt;_xlpm.ant,"Baja ↓","Estable →")))</f>
        <v>Estable →</v>
      </c>
      <c r="Y79" s="5">
        <f>IFERROR(U79-SUMIFS(HIST_SCORE!$D:$D,HIST_SCORE!$B:$B,PARAMS_MODELO!$B$4,HIST_SCORE!$C:$C,$A79),"")</f>
        <v>17.043034679960158</v>
      </c>
      <c r="Z79" s="5" t="str">
        <f t="shared" si="29"/>
        <v>↑ Mejora</v>
      </c>
      <c r="AA79" s="5">
        <f t="shared" si="30"/>
        <v>356</v>
      </c>
      <c r="AB79" s="5">
        <f>IFERROR(SUMIFS(HIST_SCORE!$F:$F,HIST_SCORE!$B:$B,PARAMS_MODELO!$B$4,HIST_SCORE!$C:$C,$A79),"")</f>
        <v>569</v>
      </c>
      <c r="AC79" s="5">
        <f t="shared" si="31"/>
        <v>213</v>
      </c>
      <c r="AD79" t="str">
        <f t="shared" si="33"/>
        <v/>
      </c>
      <c r="AE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CERRADO",1,IF(V79="BRONCE",_xlpm.cPl,IF(V79="PLATA",_xlpm.cO,IF(V79="ORO",_xlpm.cP,IF(V79="PLATINO",_xlpm.cD,999))))))</f>
        <v>86.439123873763251</v>
      </c>
      <c r="AF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CERRADO",0,IF(V79="BRONCE",1,IF(V79="PLATA",_xlpm.cPl,IF(V79="ORO",_xlpm.cO,IF(V79="PLATINO",_xlpm.cP,_xlpm.cD))))))</f>
        <v>63.199193273331495</v>
      </c>
      <c r="AG79">
        <f t="shared" si="34"/>
        <v>3.4980493763850404</v>
      </c>
      <c r="AH79" t="str">
        <f t="shared" si="35"/>
        <v>VENTAS</v>
      </c>
      <c r="AI79" t="str">
        <f t="shared" si="32"/>
        <v>🎯 Para subir de categoría, eje VENTAS / IMPACTO ABSOLUTO (H). Acción: metas semanales + activación comercial + seguimiento del asesor. ΔR aprox: 3,5</v>
      </c>
      <c r="AJ79" s="26">
        <f>_xlfn.LET(_xlpm.piso,AF79,_xlpm.corte,AE79,_xlpm.prog,IF(_xlpm.corte&lt;=_xlpm.piso,0,MAX(0,MIN(1,(U79-_xlpm.piso)/(_xlpm.corte-_xlpm.piso)))),_xlpm.orden,{"DIAMANTE";"PLATINO";"ORO";"PLATA";"BRONCE";"CERRADO"},_xlpm.act,IFERROR(MATCH(V79,_xlpm.orden,0),6),_xlpm.ant,IFERROR(MATCH(W79,_xlpm.orden,0),6),_xlpm.ajmov,IF(_xlpm.act&lt;_xlpm.ant,0.08,IF(_xlpm.act&gt;_xlpm.ant,-0.08,0)),_xlpm.ajcli,IF(T79&lt;0.95,-0.06,0),_xlpm.prob,MAX(0,MIN(1,_xlpm.prog+_xlpm.ajmov+_xlpm.ajcli)),IF(OR(V79="DIAMANTE",V79="CERRADO"),0,ROUND(_xlpm.prob,2)))</f>
        <v>0.85</v>
      </c>
      <c r="AK79" t="str">
        <f t="shared" si="36"/>
        <v>Faltan 3,5 puntos base para subir a la siguiente categoría</v>
      </c>
      <c r="AL79" t="str">
        <f t="shared" si="37"/>
        <v>Margen de seguridad: 19,7 puntos</v>
      </c>
      <c r="AM79">
        <f t="shared" si="38"/>
        <v>0.2</v>
      </c>
      <c r="AN79" t="str">
        <f t="shared" si="39"/>
        <v>PRIORIDAD BAJA – control normal</v>
      </c>
      <c r="AO79">
        <f t="shared" si="40"/>
        <v>9.6214947779173841</v>
      </c>
      <c r="AP79">
        <f t="shared" si="41"/>
        <v>0</v>
      </c>
      <c r="AQ79">
        <f t="shared" si="42"/>
        <v>0</v>
      </c>
      <c r="AR79">
        <f t="shared" si="43"/>
        <v>7.3</v>
      </c>
      <c r="AS79">
        <f t="shared" si="44"/>
        <v>0</v>
      </c>
      <c r="AT79" t="str">
        <f t="shared" si="45"/>
        <v>VENTAS</v>
      </c>
      <c r="AU79">
        <f t="shared" si="46"/>
        <v>9.6214947779173841</v>
      </c>
      <c r="AV79" t="str">
        <f t="shared" si="47"/>
        <v>Mayor retorno probable: VENTAS (+9,6 puntos finales potenciales).</v>
      </c>
    </row>
    <row r="80" spans="1:48" x14ac:dyDescent="0.3">
      <c r="A80" s="5">
        <v>51026691</v>
      </c>
      <c r="B80" s="5" t="str">
        <f>IFERROR(VLOOKUP(A80,VENTAS!$A$2:$B$1194,2,0),"")</f>
        <v>METTLER</v>
      </c>
      <c r="C80" s="5">
        <f>IFERROR(INDEX(VENTAS!$C$2:$E$1194,MATCH(A80,VENTAS!$A$2:$A$1194,0),MATCH(PARAMS_MODELO!$B$2,{"Q1","Q2","Q3"},0)),0)</f>
        <v>233972888.93000001</v>
      </c>
      <c r="D80" s="5">
        <f>IFERROR(INDEX(VENTAS!$F$2:$H$1194,MATCH(A80,VENTAS!$A$2:$A$1194,0),MATCH(PARAMS_MODELO!$B$2,{"Q1","Q2","Q3"},0)),0)</f>
        <v>170098405</v>
      </c>
      <c r="E80" s="8">
        <f t="shared" si="24"/>
        <v>-0.27299950956758057</v>
      </c>
      <c r="F80" s="12">
        <f>IF(E80&lt;=PARAMS_MODELO!$B$15,0,IF(E80&gt;=PARAMS_MODELO!$B$17,100,100*MIN(1,(E80-PARAMS_MODELO!$B$15)/(PARAMS_MODELO!$B$16-PARAMS_MODELO!$B$15))))*PARAMS_MODELO!$B$7</f>
        <v>0</v>
      </c>
      <c r="G80" s="5">
        <f t="shared" si="25"/>
        <v>0</v>
      </c>
      <c r="H80" s="5">
        <f>(PARAMS_MODELO!$B$20*(MAX(0,MIN(3,E80))/3)+PARAMS_MODELO!$B$21*(IFERROR(LN(1+MAX(0,G80))/LN(1+MAX(0,MAX($G$2:$G$1194))),0)))*100*PARAMS_MODELO!$B$8</f>
        <v>0</v>
      </c>
      <c r="I80" s="8">
        <f>E80-PARAMS_MODELO!$B$5</f>
        <v>-0.4505623449431071</v>
      </c>
      <c r="J80" s="5">
        <f>IF(I80&lt;=PARAMS_MODELO!$B$18,0,IF(I80&gt;=PARAMS_MODELO!$B$19,100,100*(I80-PARAMS_MODELO!$B$18)/(PARAMS_MODELO!$B$19-PARAMS_MODELO!$B$18)))*PARAMS_MODELO!$B$9</f>
        <v>0</v>
      </c>
      <c r="K80" s="5">
        <f>IFERROR(CHOOSE(MATCH(PARAMS_MODELO!$B$2,{"Q1","Q2","Q3"},0),LOTO!$D80,LOTO!$F80,LOTO!$H80),0)</f>
        <v>8725000</v>
      </c>
      <c r="L80" s="8">
        <f t="shared" si="26"/>
        <v>5.1293837822876706E-2</v>
      </c>
      <c r="M80" s="5">
        <f>MIN(100,IF(PARAMS_MODELO!$B$23=0,0,100*L80/PARAMS_MODELO!$B$23))*PARAMS_MODELO!$B$10</f>
        <v>15</v>
      </c>
      <c r="N80" s="5">
        <f>IFERROR(VLOOKUP(A80,COMPLIANCE!$A$2:$F$1996,6,0),100)</f>
        <v>99.85</v>
      </c>
      <c r="O80" s="5">
        <f>N80*PARAMS_MODELO!$B$11</f>
        <v>9.9849999999999994</v>
      </c>
      <c r="P80" s="5">
        <f>IFERROR(VLOOKUP(A80,DIGITAL!$A$2:$J$2000,7,0),100)</f>
        <v>16</v>
      </c>
      <c r="Q80" s="5">
        <f>IFERROR(P80,0)*PARAMS_MODELO!$B$12</f>
        <v>1.6</v>
      </c>
      <c r="R80">
        <f t="shared" si="27"/>
        <v>26.585000000000001</v>
      </c>
      <c r="S80" s="5" t="str">
        <f>IFERROR(VLOOKUP(A80,CLIENTE!$A$2:$N$2000,13,0),1)</f>
        <v>Regular</v>
      </c>
      <c r="T80" s="5">
        <f>IFERROR(VLOOKUP(A80,CLIENTE!$A$2:$N$2000,14,0),1)</f>
        <v>1</v>
      </c>
      <c r="U80" s="5">
        <f t="shared" si="28"/>
        <v>26.585000000000001</v>
      </c>
      <c r="V80" s="5" t="str">
        <f>IF(U80&gt;=MAX(_xlfn.PERCENTILE.INC($U$2:$U$1194,PARAMS_MODELO!$B$50),PARAMS_MODELO!$B$45),"DIAMANTE",IF(U80&gt;=MAX(_xlfn.PERCENTILE.INC($U$2:$U$1194,PARAMS_MODELO!$B$51),PARAMS_MODELO!$B$46),"PLATINO",IF(U80&gt;=MAX(_xlfn.PERCENTILE.INC($U$2:$U$1194,PARAMS_MODELO!$B$52),PARAMS_MODELO!$B$47),"ORO",IF(U80&gt;=MAX(_xlfn.PERCENTILE.INC($U$2:$U$1194,PARAMS_MODELO!$B$53),PARAMS_MODELO!$B$48),"PLATA",IF(U80&gt;=1,"BRONCE","CERRADO")))))</f>
        <v>PLATA</v>
      </c>
      <c r="W80" s="5" t="str" cm="1">
        <f t="array" ref="W80">_xlfn.XLOOKUP(1, (HIST_SCORE!$B:$B=PARAMS_MODELO!$B$4) * (HIST_SCORE!$C:$C=A80), HIST_SCORE!$E:$E, "No encontrado")</f>
        <v>PLATA</v>
      </c>
      <c r="X80" s="5" t="str">
        <f>_xlfn.LET(_xlpm.act,MATCH(V80,{"DIAMANTE";"PLATINO";"ORO";"PLATA";"BRONCE";"CERRADO"},0),_xlpm.ant,MATCH(W80,{"DIAMANTE";"PLATINO";"ORO";"PLATA";"BRONCE";"CERRADO"},0),IF(_xlpm.act&lt;_xlpm.ant,"Mejora ↑",IF(_xlpm.act&gt;_xlpm.ant,"Baja ↓","Estable →")))</f>
        <v>Estable →</v>
      </c>
      <c r="Y80" s="5">
        <f>IFERROR(U80-SUMIFS(HIST_SCORE!$D:$D,HIST_SCORE!$B:$B,PARAMS_MODELO!$B$4,HIST_SCORE!$C:$C,$A80),"")</f>
        <v>-21.124438063875594</v>
      </c>
      <c r="Z80" s="5" t="str">
        <f t="shared" si="29"/>
        <v>↓ Baja</v>
      </c>
      <c r="AA80" s="5">
        <f t="shared" si="30"/>
        <v>903</v>
      </c>
      <c r="AB80" s="5">
        <f>IFERROR(SUMIFS(HIST_SCORE!$F:$F,HIST_SCORE!$B:$B,PARAMS_MODELO!$B$4,HIST_SCORE!$C:$C,$A80),"")</f>
        <v>793</v>
      </c>
      <c r="AC80" s="5">
        <f t="shared" si="31"/>
        <v>-110</v>
      </c>
      <c r="AD80" t="str">
        <f t="shared" si="33"/>
        <v/>
      </c>
      <c r="AE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CERRADO",1,IF(V80="BRONCE",_xlpm.cPl,IF(V80="PLATA",_xlpm.cO,IF(V80="ORO",_xlpm.cP,IF(V80="PLATINO",_xlpm.cD,999))))))</f>
        <v>63.199193273331495</v>
      </c>
      <c r="AF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CERRADO",0,IF(V80="BRONCE",1,IF(V80="PLATA",_xlpm.cPl,IF(V80="ORO",_xlpm.cO,IF(V80="PLATINO",_xlpm.cP,_xlpm.cD))))))</f>
        <v>24.506573482968111</v>
      </c>
      <c r="AG80">
        <f t="shared" si="34"/>
        <v>36.614193273331495</v>
      </c>
      <c r="AH80" t="str">
        <f t="shared" si="35"/>
        <v>VENTAS</v>
      </c>
      <c r="AI80" t="str">
        <f t="shared" si="32"/>
        <v>🎯 Para subir de categoría, eje VENTAS / CRECIMIENTO PERSONAL (F). Acción: metas semanales + activación comercial + seguimiento del asesor. ΔR aprox: 36,6</v>
      </c>
      <c r="AJ80" s="26">
        <f>_xlfn.LET(_xlpm.piso,AF80,_xlpm.corte,AE80,_xlpm.prog,IF(_xlpm.corte&lt;=_xlpm.piso,0,MAX(0,MIN(1,(U80-_xlpm.piso)/(_xlpm.corte-_xlpm.piso)))),_xlpm.orden,{"DIAMANTE";"PLATINO";"ORO";"PLATA";"BRONCE";"CERRADO"},_xlpm.act,IFERROR(MATCH(V80,_xlpm.orden,0),6),_xlpm.ant,IFERROR(MATCH(W80,_xlpm.orden,0),6),_xlpm.ajmov,IF(_xlpm.act&lt;_xlpm.ant,0.08,IF(_xlpm.act&gt;_xlpm.ant,-0.08,0)),_xlpm.ajcli,IF(T80&lt;0.95,-0.06,0),_xlpm.prob,MAX(0,MIN(1,_xlpm.prog+_xlpm.ajmov+_xlpm.ajcli)),IF(OR(V80="DIAMANTE",V80="CERRADO"),0,ROUND(_xlpm.prob,2)))</f>
        <v>0.05</v>
      </c>
      <c r="AK80" t="str">
        <f t="shared" si="36"/>
        <v>Faltan 36,6 puntos base para subir a la siguiente categoría</v>
      </c>
      <c r="AL80" t="str">
        <f t="shared" si="37"/>
        <v>Margen de seguridad: 2,1 puntos</v>
      </c>
      <c r="AM80">
        <f t="shared" si="38"/>
        <v>0.78</v>
      </c>
      <c r="AN80" t="str">
        <f t="shared" si="39"/>
        <v>PRIORIDAD ALTA – requiere intervención inmediata</v>
      </c>
      <c r="AO80">
        <f t="shared" si="40"/>
        <v>64.862569275295584</v>
      </c>
      <c r="AP80">
        <f t="shared" si="41"/>
        <v>0</v>
      </c>
      <c r="AQ80">
        <f t="shared" si="42"/>
        <v>1.5000000000000568E-2</v>
      </c>
      <c r="AR80">
        <f t="shared" si="43"/>
        <v>8.4</v>
      </c>
      <c r="AS80">
        <f t="shared" si="44"/>
        <v>0</v>
      </c>
      <c r="AT80" t="str">
        <f t="shared" si="45"/>
        <v>VENTAS</v>
      </c>
      <c r="AU80">
        <f t="shared" si="46"/>
        <v>64.862569275295584</v>
      </c>
      <c r="AV80" t="str">
        <f t="shared" si="47"/>
        <v>Mayor retorno probable: VENTAS (+64,9 puntos finales potenciales).</v>
      </c>
    </row>
    <row r="81" spans="1:48" x14ac:dyDescent="0.3">
      <c r="A81" s="5">
        <v>51023145</v>
      </c>
      <c r="B81" s="5" t="str">
        <f>IFERROR(VLOOKUP(A81,VENTAS!$A$2:$B$1194,2,0),"")</f>
        <v>NELLI</v>
      </c>
      <c r="C81" s="5">
        <f>IFERROR(INDEX(VENTAS!$C$2:$E$1194,MATCH(A81,VENTAS!$A$2:$A$1194,0),MATCH(PARAMS_MODELO!$B$2,{"Q1","Q2","Q3"},0)),0)</f>
        <v>127636102.90000001</v>
      </c>
      <c r="D81" s="5">
        <f>IFERROR(INDEX(VENTAS!$F$2:$H$1194,MATCH(A81,VENTAS!$A$2:$A$1194,0),MATCH(PARAMS_MODELO!$B$2,{"Q1","Q2","Q3"},0)),0)</f>
        <v>169434410</v>
      </c>
      <c r="E81" s="8">
        <f t="shared" si="24"/>
        <v>0.32748028301011378</v>
      </c>
      <c r="F81" s="12">
        <f>IF(E81&lt;=PARAMS_MODELO!$B$15,0,IF(E81&gt;=PARAMS_MODELO!$B$17,100,100*MIN(1,(E81-PARAMS_MODELO!$B$15)/(PARAMS_MODELO!$B$16-PARAMS_MODELO!$B$15))))*PARAMS_MODELO!$B$7</f>
        <v>35</v>
      </c>
      <c r="G81" s="5">
        <f t="shared" si="25"/>
        <v>41798307.099999994</v>
      </c>
      <c r="H81" s="5">
        <f>(PARAMS_MODELO!$B$20*(MAX(0,MIN(3,E81))/3)+PARAMS_MODELO!$B$21*(IFERROR(LN(1+MAX(0,G81))/LN(1+MAX(0,MAX($G$2:$G$1194))),0)))*100*PARAMS_MODELO!$B$8</f>
        <v>5.259763066892444</v>
      </c>
      <c r="I81" s="8">
        <f>E81-PARAMS_MODELO!$B$5</f>
        <v>0.14991744763458725</v>
      </c>
      <c r="J81" s="5">
        <f>IF(I81&lt;=PARAMS_MODELO!$B$18,0,IF(I81&gt;=PARAMS_MODELO!$B$19,100,100*(I81-PARAMS_MODELO!$B$18)/(PARAMS_MODELO!$B$19-PARAMS_MODELO!$B$18)))*PARAMS_MODELO!$B$9</f>
        <v>15</v>
      </c>
      <c r="K81" s="5">
        <f>IFERROR(CHOOSE(MATCH(PARAMS_MODELO!$B$2,{"Q1","Q2","Q3"},0),LOTO!$D81,LOTO!$F81,LOTO!$H81),0)</f>
        <v>8710000</v>
      </c>
      <c r="L81" s="8">
        <f t="shared" si="26"/>
        <v>5.1406322954115402E-2</v>
      </c>
      <c r="M81" s="5">
        <f>MIN(100,IF(PARAMS_MODELO!$B$23=0,0,100*L81/PARAMS_MODELO!$B$23))*PARAMS_MODELO!$B$10</f>
        <v>15</v>
      </c>
      <c r="N81" s="5">
        <f>IFERROR(VLOOKUP(A81,COMPLIANCE!$A$2:$F$1996,6,0),100)</f>
        <v>100</v>
      </c>
      <c r="O81" s="5">
        <f>N81*PARAMS_MODELO!$B$11</f>
        <v>10</v>
      </c>
      <c r="P81" s="5">
        <f>IFERROR(VLOOKUP(A81,DIGITAL!$A$2:$J$2000,7,0),100)</f>
        <v>39</v>
      </c>
      <c r="Q81" s="5">
        <f>IFERROR(P81,0)*PARAMS_MODELO!$B$12</f>
        <v>3.9000000000000004</v>
      </c>
      <c r="R81">
        <f t="shared" si="27"/>
        <v>84.159763066892452</v>
      </c>
      <c r="S81" s="5" t="str">
        <f>IFERROR(VLOOKUP(A81,CLIENTE!$A$2:$N$2000,13,0),1)</f>
        <v>Muy Bueno</v>
      </c>
      <c r="T81" s="5">
        <f>IFERROR(VLOOKUP(A81,CLIENTE!$A$2:$N$2000,14,0),1)</f>
        <v>1.1499999999999999</v>
      </c>
      <c r="U81" s="5">
        <f t="shared" si="28"/>
        <v>96.783727526926313</v>
      </c>
      <c r="V81" s="5" t="str">
        <f>IF(U81&gt;=MAX(_xlfn.PERCENTILE.INC($U$2:$U$1194,PARAMS_MODELO!$B$50),PARAMS_MODELO!$B$45),"DIAMANTE",IF(U81&gt;=MAX(_xlfn.PERCENTILE.INC($U$2:$U$1194,PARAMS_MODELO!$B$51),PARAMS_MODELO!$B$46),"PLATINO",IF(U81&gt;=MAX(_xlfn.PERCENTILE.INC($U$2:$U$1194,PARAMS_MODELO!$B$52),PARAMS_MODELO!$B$47),"ORO",IF(U81&gt;=MAX(_xlfn.PERCENTILE.INC($U$2:$U$1194,PARAMS_MODELO!$B$53),PARAMS_MODELO!$B$48),"PLATA",IF(U81&gt;=1,"BRONCE","CERRADO")))))</f>
        <v>DIAMANTE</v>
      </c>
      <c r="W81" s="5" t="str" cm="1">
        <f t="array" ref="W81">_xlfn.XLOOKUP(1, (HIST_SCORE!$B:$B=PARAMS_MODELO!$B$4) * (HIST_SCORE!$C:$C=A81), HIST_SCORE!$E:$E, "No encontrado")</f>
        <v>DIAMANTE</v>
      </c>
      <c r="X81" s="5" t="str">
        <f>_xlfn.LET(_xlpm.act,MATCH(V81,{"DIAMANTE";"PLATINO";"ORO";"PLATA";"BRONCE";"CERRADO"},0),_xlpm.ant,MATCH(W81,{"DIAMANTE";"PLATINO";"ORO";"PLATA";"BRONCE";"CERRADO"},0),IF(_xlpm.act&lt;_xlpm.ant,"Mejora ↑",IF(_xlpm.act&gt;_xlpm.ant,"Baja ↓","Estable →")))</f>
        <v>Estable →</v>
      </c>
      <c r="Y81" s="5">
        <f>IFERROR(U81-SUMIFS(HIST_SCORE!$D:$D,HIST_SCORE!$B:$B,PARAMS_MODELO!$B$4,HIST_SCORE!$C:$C,$A81),"")</f>
        <v>-0.79594199781261921</v>
      </c>
      <c r="Z81" s="5" t="str">
        <f t="shared" si="29"/>
        <v>→ Estable</v>
      </c>
      <c r="AA81" s="5">
        <f t="shared" si="30"/>
        <v>48</v>
      </c>
      <c r="AB81" s="5">
        <f>IFERROR(SUMIFS(HIST_SCORE!$F:$F,HIST_SCORE!$B:$B,PARAMS_MODELO!$B$4,HIST_SCORE!$C:$C,$A81),"")</f>
        <v>33</v>
      </c>
      <c r="AC81" s="5">
        <f t="shared" si="31"/>
        <v>-15</v>
      </c>
      <c r="AD81" t="str">
        <f t="shared" si="33"/>
        <v/>
      </c>
      <c r="AE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CERRADO",1,IF(V81="BRONCE",_xlpm.cPl,IF(V81="PLATA",_xlpm.cO,IF(V81="ORO",_xlpm.cP,IF(V81="PLATINO",_xlpm.cD,999))))))</f>
        <v>999</v>
      </c>
      <c r="AF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CERRADO",0,IF(V81="BRONCE",1,IF(V81="PLATA",_xlpm.cPl,IF(V81="ORO",_xlpm.cO,IF(V81="PLATINO",_xlpm.cP,_xlpm.cD))))))</f>
        <v>96.054919694466676</v>
      </c>
      <c r="AG81">
        <f t="shared" si="34"/>
        <v>784.53588910702069</v>
      </c>
      <c r="AH81" t="str">
        <f t="shared" si="35"/>
        <v>SOSTENER</v>
      </c>
      <c r="AI81" t="str">
        <f t="shared" si="32"/>
        <v>✅ Mantener desempeño y monitorear variaciones para sostener categoría.</v>
      </c>
      <c r="AJ81" s="26">
        <f>_xlfn.LET(_xlpm.piso,AF81,_xlpm.corte,AE81,_xlpm.prog,IF(_xlpm.corte&lt;=_xlpm.piso,0,MAX(0,MIN(1,(U81-_xlpm.piso)/(_xlpm.corte-_xlpm.piso)))),_xlpm.orden,{"DIAMANTE";"PLATINO";"ORO";"PLATA";"BRONCE";"CERRADO"},_xlpm.act,IFERROR(MATCH(V81,_xlpm.orden,0),6),_xlpm.ant,IFERROR(MATCH(W81,_xlpm.orden,0),6),_xlpm.ajmov,IF(_xlpm.act&lt;_xlpm.ant,0.08,IF(_xlpm.act&gt;_xlpm.ant,-0.08,0)),_xlpm.ajcli,IF(T81&lt;0.95,-0.06,0),_xlpm.prob,MAX(0,MIN(1,_xlpm.prog+_xlpm.ajmov+_xlpm.ajcli)),IF(OR(V81="DIAMANTE",V81="CERRADO"),0,ROUND(_xlpm.prob,2)))</f>
        <v>0</v>
      </c>
      <c r="AK81" t="str">
        <f t="shared" si="36"/>
        <v>No aplica</v>
      </c>
      <c r="AL81" t="str">
        <f t="shared" si="37"/>
        <v>Margen de seguridad: 0,7 puntos</v>
      </c>
      <c r="AM81">
        <f t="shared" si="38"/>
        <v>0.8</v>
      </c>
      <c r="AN81" t="str">
        <f t="shared" si="39"/>
        <v>PRIORIDAD ALTA – requiere intervención inmediata</v>
      </c>
      <c r="AO81">
        <f t="shared" si="40"/>
        <v>11.043227139663607</v>
      </c>
      <c r="AP81">
        <f t="shared" si="41"/>
        <v>0</v>
      </c>
      <c r="AQ81">
        <f t="shared" si="42"/>
        <v>0</v>
      </c>
      <c r="AR81">
        <f t="shared" si="43"/>
        <v>7.0149999999999988</v>
      </c>
      <c r="AS81">
        <f t="shared" si="44"/>
        <v>0</v>
      </c>
      <c r="AT81" t="str">
        <f t="shared" si="45"/>
        <v>VENTAS</v>
      </c>
      <c r="AU81">
        <f t="shared" si="46"/>
        <v>11.043227139663607</v>
      </c>
      <c r="AV81" t="str">
        <f t="shared" si="47"/>
        <v>Mayor retorno probable: VENTAS (+11,0 puntos finales potenciales).</v>
      </c>
    </row>
    <row r="82" spans="1:48" x14ac:dyDescent="0.3">
      <c r="A82" s="5">
        <v>51056001</v>
      </c>
      <c r="B82" s="5" t="str">
        <f>IFERROR(VLOOKUP(A82,VENTAS!$A$2:$B$1194,2,0),"")</f>
        <v>BELUZZO</v>
      </c>
      <c r="C82" s="5">
        <f>IFERROR(INDEX(VENTAS!$C$2:$E$1194,MATCH(A82,VENTAS!$A$2:$A$1194,0),MATCH(PARAMS_MODELO!$B$2,{"Q1","Q2","Q3"},0)),0)</f>
        <v>114808676.42</v>
      </c>
      <c r="D82" s="5">
        <f>IFERROR(INDEX(VENTAS!$F$2:$H$1194,MATCH(A82,VENTAS!$A$2:$A$1194,0),MATCH(PARAMS_MODELO!$B$2,{"Q1","Q2","Q3"},0)),0)</f>
        <v>169362035</v>
      </c>
      <c r="E82" s="8">
        <f t="shared" si="24"/>
        <v>0.47516755946588596</v>
      </c>
      <c r="F82" s="12">
        <f>IF(E82&lt;=PARAMS_MODELO!$B$15,0,IF(E82&gt;=PARAMS_MODELO!$B$17,100,100*MIN(1,(E82-PARAMS_MODELO!$B$15)/(PARAMS_MODELO!$B$16-PARAMS_MODELO!$B$15))))*PARAMS_MODELO!$B$7</f>
        <v>35</v>
      </c>
      <c r="G82" s="5">
        <f t="shared" si="25"/>
        <v>54553358.579999998</v>
      </c>
      <c r="H82" s="5">
        <f>(PARAMS_MODELO!$B$20*(MAX(0,MIN(3,E82))/3)+PARAMS_MODELO!$B$21*(IFERROR(LN(1+MAX(0,G82))/LN(1+MAX(0,MAX($G$2:$G$1194))),0)))*100*PARAMS_MODELO!$B$8</f>
        <v>5.8390984656917233</v>
      </c>
      <c r="I82" s="8">
        <f>E82-PARAMS_MODELO!$B$5</f>
        <v>0.29760472409035943</v>
      </c>
      <c r="J82" s="5">
        <f>IF(I82&lt;=PARAMS_MODELO!$B$18,0,IF(I82&gt;=PARAMS_MODELO!$B$19,100,100*(I82-PARAMS_MODELO!$B$18)/(PARAMS_MODELO!$B$19-PARAMS_MODELO!$B$18)))*PARAMS_MODELO!$B$9</f>
        <v>15</v>
      </c>
      <c r="K82" s="5">
        <f>IFERROR(CHOOSE(MATCH(PARAMS_MODELO!$B$2,{"Q1","Q2","Q3"},0),LOTO!$D82,LOTO!$F82,LOTO!$H82),0)</f>
        <v>8602500</v>
      </c>
      <c r="L82" s="8">
        <f t="shared" si="26"/>
        <v>5.0793555946585078E-2</v>
      </c>
      <c r="M82" s="5">
        <f>MIN(100,IF(PARAMS_MODELO!$B$23=0,0,100*L82/PARAMS_MODELO!$B$23))*PARAMS_MODELO!$B$10</f>
        <v>15</v>
      </c>
      <c r="N82" s="5">
        <f>IFERROR(VLOOKUP(A82,COMPLIANCE!$A$2:$F$1996,6,0),100)</f>
        <v>99.8</v>
      </c>
      <c r="O82" s="5">
        <f>N82*PARAMS_MODELO!$B$11</f>
        <v>9.98</v>
      </c>
      <c r="P82" s="5">
        <f>IFERROR(VLOOKUP(A82,DIGITAL!$A$2:$J$2000,7,0),100)</f>
        <v>71</v>
      </c>
      <c r="Q82" s="5">
        <f>IFERROR(P82,0)*PARAMS_MODELO!$B$12</f>
        <v>7.1000000000000005</v>
      </c>
      <c r="R82">
        <f t="shared" si="27"/>
        <v>87.919098465691718</v>
      </c>
      <c r="S82" s="5" t="str">
        <f>IFERROR(VLOOKUP(A82,CLIENTE!$A$2:$N$2000,13,0),1)</f>
        <v>Bueno</v>
      </c>
      <c r="T82" s="5">
        <f>IFERROR(VLOOKUP(A82,CLIENTE!$A$2:$N$2000,14,0),1)</f>
        <v>1.1000000000000001</v>
      </c>
      <c r="U82" s="5">
        <f t="shared" si="28"/>
        <v>96.711008312260901</v>
      </c>
      <c r="V82" s="5" t="str">
        <f>IF(U82&gt;=MAX(_xlfn.PERCENTILE.INC($U$2:$U$1194,PARAMS_MODELO!$B$50),PARAMS_MODELO!$B$45),"DIAMANTE",IF(U82&gt;=MAX(_xlfn.PERCENTILE.INC($U$2:$U$1194,PARAMS_MODELO!$B$51),PARAMS_MODELO!$B$46),"PLATINO",IF(U82&gt;=MAX(_xlfn.PERCENTILE.INC($U$2:$U$1194,PARAMS_MODELO!$B$52),PARAMS_MODELO!$B$47),"ORO",IF(U82&gt;=MAX(_xlfn.PERCENTILE.INC($U$2:$U$1194,PARAMS_MODELO!$B$53),PARAMS_MODELO!$B$48),"PLATA",IF(U82&gt;=1,"BRONCE","CERRADO")))))</f>
        <v>DIAMANTE</v>
      </c>
      <c r="W82" s="5" t="str" cm="1">
        <f t="array" ref="W82">_xlfn.XLOOKUP(1, (HIST_SCORE!$B:$B=PARAMS_MODELO!$B$4) * (HIST_SCORE!$C:$C=A82), HIST_SCORE!$E:$E, "No encontrado")</f>
        <v>PLATINO</v>
      </c>
      <c r="X82" s="5" t="str">
        <f>_xlfn.LET(_xlpm.act,MATCH(V82,{"DIAMANTE";"PLATINO";"ORO";"PLATA";"BRONCE";"CERRADO"},0),_xlpm.ant,MATCH(W82,{"DIAMANTE";"PLATINO";"ORO";"PLATA";"BRONCE";"CERRADO"},0),IF(_xlpm.act&lt;_xlpm.ant,"Mejora ↑",IF(_xlpm.act&gt;_xlpm.ant,"Baja ↓","Estable →")))</f>
        <v>Mejora ↑</v>
      </c>
      <c r="Y82" s="5">
        <f>IFERROR(U82-SUMIFS(HIST_SCORE!$D:$D,HIST_SCORE!$B:$B,PARAMS_MODELO!$B$4,HIST_SCORE!$C:$C,$A82),"")</f>
        <v>3.3645477755795525</v>
      </c>
      <c r="Z82" s="5" t="str">
        <f t="shared" si="29"/>
        <v>→ Estable</v>
      </c>
      <c r="AA82" s="5">
        <f t="shared" si="30"/>
        <v>50</v>
      </c>
      <c r="AB82" s="5">
        <f>IFERROR(SUMIFS(HIST_SCORE!$F:$F,HIST_SCORE!$B:$B,PARAMS_MODELO!$B$4,HIST_SCORE!$C:$C,$A82),"")</f>
        <v>83</v>
      </c>
      <c r="AC82" s="5">
        <f t="shared" si="31"/>
        <v>33</v>
      </c>
      <c r="AD82" t="str">
        <f t="shared" si="33"/>
        <v/>
      </c>
      <c r="AE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CERRADO",1,IF(V82="BRONCE",_xlpm.cPl,IF(V82="PLATA",_xlpm.cO,IF(V82="ORO",_xlpm.cP,IF(V82="PLATINO",_xlpm.cD,999))))))</f>
        <v>999</v>
      </c>
      <c r="AF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CERRADO",0,IF(V82="BRONCE",1,IF(V82="PLATA",_xlpm.cPl,IF(V82="ORO",_xlpm.cO,IF(V82="PLATINO",_xlpm.cP,_xlpm.cD))))))</f>
        <v>96.054919694466676</v>
      </c>
      <c r="AG82">
        <f t="shared" si="34"/>
        <v>820.26271971612641</v>
      </c>
      <c r="AH82" t="str">
        <f t="shared" si="35"/>
        <v>SOSTENER</v>
      </c>
      <c r="AI82" t="str">
        <f t="shared" si="32"/>
        <v>✅ Mantener desempeño y monitorear variaciones para sostener categoría.</v>
      </c>
      <c r="AJ82" s="26">
        <f>_xlfn.LET(_xlpm.piso,AF82,_xlpm.corte,AE82,_xlpm.prog,IF(_xlpm.corte&lt;=_xlpm.piso,0,MAX(0,MIN(1,(U82-_xlpm.piso)/(_xlpm.corte-_xlpm.piso)))),_xlpm.orden,{"DIAMANTE";"PLATINO";"ORO";"PLATA";"BRONCE";"CERRADO"},_xlpm.act,IFERROR(MATCH(V82,_xlpm.orden,0),6),_xlpm.ant,IFERROR(MATCH(W82,_xlpm.orden,0),6),_xlpm.ajmov,IF(_xlpm.act&lt;_xlpm.ant,0.08,IF(_xlpm.act&gt;_xlpm.ant,-0.08,0)),_xlpm.ajcli,IF(T82&lt;0.95,-0.06,0),_xlpm.prob,MAX(0,MIN(1,_xlpm.prog+_xlpm.ajmov+_xlpm.ajcli)),IF(OR(V82="DIAMANTE",V82="CERRADO"),0,ROUND(_xlpm.prob,2)))</f>
        <v>0</v>
      </c>
      <c r="AK82" t="str">
        <f t="shared" si="36"/>
        <v>No aplica</v>
      </c>
      <c r="AL82" t="str">
        <f t="shared" si="37"/>
        <v>Margen de seguridad: 0,7 puntos</v>
      </c>
      <c r="AM82">
        <f t="shared" si="38"/>
        <v>0.8</v>
      </c>
      <c r="AN82" t="str">
        <f t="shared" si="39"/>
        <v>PRIORIDAD ALTA – requiere intervención inmediata</v>
      </c>
      <c r="AO82">
        <f t="shared" si="40"/>
        <v>9.925817890564252</v>
      </c>
      <c r="AP82">
        <f t="shared" si="41"/>
        <v>0</v>
      </c>
      <c r="AQ82">
        <f t="shared" si="42"/>
        <v>2.1999999999999534E-2</v>
      </c>
      <c r="AR82">
        <f t="shared" si="43"/>
        <v>3.1899999999999995</v>
      </c>
      <c r="AS82">
        <f t="shared" si="44"/>
        <v>0</v>
      </c>
      <c r="AT82" t="str">
        <f t="shared" si="45"/>
        <v>VENTAS</v>
      </c>
      <c r="AU82">
        <f t="shared" si="46"/>
        <v>9.925817890564252</v>
      </c>
      <c r="AV82" t="str">
        <f t="shared" si="47"/>
        <v>Mayor retorno probable: VENTAS (+9,9 puntos finales potenciales).</v>
      </c>
    </row>
    <row r="83" spans="1:48" x14ac:dyDescent="0.3">
      <c r="A83" s="5">
        <v>51019652</v>
      </c>
      <c r="B83" s="5" t="str">
        <f>IFERROR(VLOOKUP(A83,VENTAS!$A$2:$B$1194,2,0),"")</f>
        <v>ROBERTS</v>
      </c>
      <c r="C83" s="5">
        <f>IFERROR(INDEX(VENTAS!$C$2:$E$1194,MATCH(A83,VENTAS!$A$2:$A$1194,0),MATCH(PARAMS_MODELO!$B$2,{"Q1","Q2","Q3"},0)),0)</f>
        <v>102608390.08</v>
      </c>
      <c r="D83" s="5">
        <f>IFERROR(INDEX(VENTAS!$F$2:$H$1194,MATCH(A83,VENTAS!$A$2:$A$1194,0),MATCH(PARAMS_MODELO!$B$2,{"Q1","Q2","Q3"},0)),0)</f>
        <v>169305510</v>
      </c>
      <c r="E83" s="8">
        <f t="shared" si="24"/>
        <v>0.65001624007548209</v>
      </c>
      <c r="F83" s="12">
        <f>IF(E83&lt;=PARAMS_MODELO!$B$15,0,IF(E83&gt;=PARAMS_MODELO!$B$17,100,100*MIN(1,(E83-PARAMS_MODELO!$B$15)/(PARAMS_MODELO!$B$16-PARAMS_MODELO!$B$15))))*PARAMS_MODELO!$B$7</f>
        <v>35</v>
      </c>
      <c r="G83" s="5">
        <f t="shared" si="25"/>
        <v>66697119.920000002</v>
      </c>
      <c r="H83" s="5">
        <f>(PARAMS_MODELO!$B$20*(MAX(0,MIN(3,E83))/3)+PARAMS_MODELO!$B$21*(IFERROR(LN(1+MAX(0,G83))/LN(1+MAX(0,MAX($G$2:$G$1194))),0)))*100*PARAMS_MODELO!$B$8</f>
        <v>6.4981819492945343</v>
      </c>
      <c r="I83" s="8">
        <f>E83-PARAMS_MODELO!$B$5</f>
        <v>0.47245340469995556</v>
      </c>
      <c r="J83" s="5">
        <f>IF(I83&lt;=PARAMS_MODELO!$B$18,0,IF(I83&gt;=PARAMS_MODELO!$B$19,100,100*(I83-PARAMS_MODELO!$B$18)/(PARAMS_MODELO!$B$19-PARAMS_MODELO!$B$18)))*PARAMS_MODELO!$B$9</f>
        <v>15</v>
      </c>
      <c r="K83" s="5">
        <f>IFERROR(CHOOSE(MATCH(PARAMS_MODELO!$B$2,{"Q1","Q2","Q3"},0),LOTO!$D83,LOTO!$F83,LOTO!$H83),0)</f>
        <v>8597500</v>
      </c>
      <c r="L83" s="8">
        <f t="shared" si="26"/>
        <v>5.0780981670354379E-2</v>
      </c>
      <c r="M83" s="5">
        <f>MIN(100,IF(PARAMS_MODELO!$B$23=0,0,100*L83/PARAMS_MODELO!$B$23))*PARAMS_MODELO!$B$10</f>
        <v>15</v>
      </c>
      <c r="N83" s="5">
        <f>IFERROR(VLOOKUP(A83,COMPLIANCE!$A$2:$F$1996,6,0),100)</f>
        <v>100</v>
      </c>
      <c r="O83" s="5">
        <f>N83*PARAMS_MODELO!$B$11</f>
        <v>10</v>
      </c>
      <c r="P83" s="5">
        <f>IFERROR(VLOOKUP(A83,DIGITAL!$A$2:$J$2000,7,0),100)</f>
        <v>75</v>
      </c>
      <c r="Q83" s="5">
        <f>IFERROR(P83,0)*PARAMS_MODELO!$B$12</f>
        <v>7.5</v>
      </c>
      <c r="R83">
        <f t="shared" si="27"/>
        <v>88.998181949294533</v>
      </c>
      <c r="S83" s="5" t="str">
        <f>IFERROR(VLOOKUP(A83,CLIENTE!$A$2:$N$2000,13,0),1)</f>
        <v>Regular</v>
      </c>
      <c r="T83" s="5">
        <f>IFERROR(VLOOKUP(A83,CLIENTE!$A$2:$N$2000,14,0),1)</f>
        <v>1</v>
      </c>
      <c r="U83" s="5">
        <f t="shared" si="28"/>
        <v>88.998181949294533</v>
      </c>
      <c r="V83" s="5" t="str">
        <f>IF(U83&gt;=MAX(_xlfn.PERCENTILE.INC($U$2:$U$1194,PARAMS_MODELO!$B$50),PARAMS_MODELO!$B$45),"DIAMANTE",IF(U83&gt;=MAX(_xlfn.PERCENTILE.INC($U$2:$U$1194,PARAMS_MODELO!$B$51),PARAMS_MODELO!$B$46),"PLATINO",IF(U83&gt;=MAX(_xlfn.PERCENTILE.INC($U$2:$U$1194,PARAMS_MODELO!$B$52),PARAMS_MODELO!$B$47),"ORO",IF(U83&gt;=MAX(_xlfn.PERCENTILE.INC($U$2:$U$1194,PARAMS_MODELO!$B$53),PARAMS_MODELO!$B$48),"PLATA",IF(U83&gt;=1,"BRONCE","CERRADO")))))</f>
        <v>PLATINO</v>
      </c>
      <c r="W83" s="5" t="str" cm="1">
        <f t="array" ref="W83">_xlfn.XLOOKUP(1, (HIST_SCORE!$B:$B=PARAMS_MODELO!$B$4) * (HIST_SCORE!$C:$C=A83), HIST_SCORE!$E:$E, "No encontrado")</f>
        <v>PLATINO</v>
      </c>
      <c r="X83" s="5" t="str">
        <f>_xlfn.LET(_xlpm.act,MATCH(V83,{"DIAMANTE";"PLATINO";"ORO";"PLATA";"BRONCE";"CERRADO"},0),_xlpm.ant,MATCH(W83,{"DIAMANTE";"PLATINO";"ORO";"PLATA";"BRONCE";"CERRADO"},0),IF(_xlpm.act&lt;_xlpm.ant,"Mejora ↑",IF(_xlpm.act&gt;_xlpm.ant,"Baja ↓","Estable →")))</f>
        <v>Estable →</v>
      </c>
      <c r="Y83" s="5">
        <f>IFERROR(U83-SUMIFS(HIST_SCORE!$D:$D,HIST_SCORE!$B:$B,PARAMS_MODELO!$B$4,HIST_SCORE!$C:$C,$A83),"")</f>
        <v>-0.72521298404372203</v>
      </c>
      <c r="Z83" s="5" t="str">
        <f t="shared" si="29"/>
        <v>→ Estable</v>
      </c>
      <c r="AA83" s="5">
        <f t="shared" si="30"/>
        <v>168</v>
      </c>
      <c r="AB83" s="5">
        <f>IFERROR(SUMIFS(HIST_SCORE!$F:$F,HIST_SCORE!$B:$B,PARAMS_MODELO!$B$4,HIST_SCORE!$C:$C,$A83),"")</f>
        <v>136</v>
      </c>
      <c r="AC83" s="5">
        <f t="shared" si="31"/>
        <v>-32</v>
      </c>
      <c r="AD83" t="str">
        <f t="shared" si="33"/>
        <v/>
      </c>
      <c r="AE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CERRADO",1,IF(V83="BRONCE",_xlpm.cPl,IF(V83="PLATA",_xlpm.cO,IF(V83="ORO",_xlpm.cP,IF(V83="PLATINO",_xlpm.cD,999))))))</f>
        <v>96.054919694466676</v>
      </c>
      <c r="AF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CERRADO",0,IF(V83="BRONCE",1,IF(V83="PLATA",_xlpm.cPl,IF(V83="ORO",_xlpm.cO,IF(V83="PLATINO",_xlpm.cP,_xlpm.cD))))))</f>
        <v>86.439123873763251</v>
      </c>
      <c r="AG83">
        <f t="shared" si="34"/>
        <v>7.0567377451721427</v>
      </c>
      <c r="AH83" t="str">
        <f t="shared" si="35"/>
        <v>VENTAS</v>
      </c>
      <c r="AI83" t="str">
        <f t="shared" si="32"/>
        <v>🎯 Para subir de categoría, eje VENTAS / IMPACTO ABSOLUTO (H). Acción: metas semanales + activación comercial + seguimiento del asesor. ΔR aprox: 7,1</v>
      </c>
      <c r="AJ83" s="26">
        <f>_xlfn.LET(_xlpm.piso,AF83,_xlpm.corte,AE83,_xlpm.prog,IF(_xlpm.corte&lt;=_xlpm.piso,0,MAX(0,MIN(1,(U83-_xlpm.piso)/(_xlpm.corte-_xlpm.piso)))),_xlpm.orden,{"DIAMANTE";"PLATINO";"ORO";"PLATA";"BRONCE";"CERRADO"},_xlpm.act,IFERROR(MATCH(V83,_xlpm.orden,0),6),_xlpm.ant,IFERROR(MATCH(W83,_xlpm.orden,0),6),_xlpm.ajmov,IF(_xlpm.act&lt;_xlpm.ant,0.08,IF(_xlpm.act&gt;_xlpm.ant,-0.08,0)),_xlpm.ajcli,IF(T83&lt;0.95,-0.06,0),_xlpm.prob,MAX(0,MIN(1,_xlpm.prog+_xlpm.ajmov+_xlpm.ajcli)),IF(OR(V83="DIAMANTE",V83="CERRADO"),0,ROUND(_xlpm.prob,2)))</f>
        <v>0.27</v>
      </c>
      <c r="AK83" t="str">
        <f t="shared" si="36"/>
        <v>Faltan 7,1 puntos base para subir a la siguiente categoría</v>
      </c>
      <c r="AL83" t="str">
        <f t="shared" si="37"/>
        <v>Margen de seguridad: 2,6 puntos</v>
      </c>
      <c r="AM83">
        <f t="shared" si="38"/>
        <v>0.56999999999999995</v>
      </c>
      <c r="AN83" t="str">
        <f t="shared" si="39"/>
        <v>PRIORIDAD MEDIA – seguimiento del asesor</v>
      </c>
      <c r="AO83">
        <f t="shared" si="40"/>
        <v>8.3643873260010508</v>
      </c>
      <c r="AP83">
        <f t="shared" si="41"/>
        <v>0</v>
      </c>
      <c r="AQ83">
        <f t="shared" si="42"/>
        <v>0</v>
      </c>
      <c r="AR83">
        <f t="shared" si="43"/>
        <v>2.5</v>
      </c>
      <c r="AS83">
        <f t="shared" si="44"/>
        <v>0</v>
      </c>
      <c r="AT83" t="str">
        <f t="shared" si="45"/>
        <v>VENTAS</v>
      </c>
      <c r="AU83">
        <f t="shared" si="46"/>
        <v>8.3643873260010508</v>
      </c>
      <c r="AV83" t="str">
        <f t="shared" si="47"/>
        <v>Mayor retorno probable: VENTAS (+8,4 puntos finales potenciales).</v>
      </c>
    </row>
    <row r="84" spans="1:48" x14ac:dyDescent="0.3">
      <c r="A84" s="5">
        <v>51011368</v>
      </c>
      <c r="B84" s="5" t="str">
        <f>IFERROR(VLOOKUP(A84,VENTAS!$A$2:$B$1194,2,0),"")</f>
        <v>PUGH</v>
      </c>
      <c r="C84" s="5">
        <f>IFERROR(INDEX(VENTAS!$C$2:$E$1194,MATCH(A84,VENTAS!$A$2:$A$1194,0),MATCH(PARAMS_MODELO!$B$2,{"Q1","Q2","Q3"},0)),0)</f>
        <v>89378480.430000007</v>
      </c>
      <c r="D84" s="5">
        <f>IFERROR(INDEX(VENTAS!$F$2:$H$1194,MATCH(A84,VENTAS!$A$2:$A$1194,0),MATCH(PARAMS_MODELO!$B$2,{"Q1","Q2","Q3"},0)),0)</f>
        <v>168743340</v>
      </c>
      <c r="E84" s="8">
        <f t="shared" si="24"/>
        <v>0.88796384977877829</v>
      </c>
      <c r="F84" s="12">
        <f>IF(E84&lt;=PARAMS_MODELO!$B$15,0,IF(E84&gt;=PARAMS_MODELO!$B$17,100,100*MIN(1,(E84-PARAMS_MODELO!$B$15)/(PARAMS_MODELO!$B$16-PARAMS_MODELO!$B$15))))*PARAMS_MODELO!$B$7</f>
        <v>35</v>
      </c>
      <c r="G84" s="5">
        <f t="shared" si="25"/>
        <v>79364859.569999993</v>
      </c>
      <c r="H84" s="5">
        <f>(PARAMS_MODELO!$B$20*(MAX(0,MIN(3,E84))/3)+PARAMS_MODELO!$B$21*(IFERROR(LN(1+MAX(0,G84))/LN(1+MAX(0,MAX($G$2:$G$1194))),0)))*100*PARAMS_MODELO!$B$8</f>
        <v>7.3717617459785378</v>
      </c>
      <c r="I84" s="8">
        <f>E84-PARAMS_MODELO!$B$5</f>
        <v>0.71040101440325176</v>
      </c>
      <c r="J84" s="5">
        <f>IF(I84&lt;=PARAMS_MODELO!$B$18,0,IF(I84&gt;=PARAMS_MODELO!$B$19,100,100*(I84-PARAMS_MODELO!$B$18)/(PARAMS_MODELO!$B$19-PARAMS_MODELO!$B$18)))*PARAMS_MODELO!$B$9</f>
        <v>15</v>
      </c>
      <c r="K84" s="5">
        <f>IFERROR(CHOOSE(MATCH(PARAMS_MODELO!$B$2,{"Q1","Q2","Q3"},0),LOTO!$D84,LOTO!$F84,LOTO!$H84),0)</f>
        <v>8490000</v>
      </c>
      <c r="L84" s="8">
        <f t="shared" si="26"/>
        <v>5.0313096801331537E-2</v>
      </c>
      <c r="M84" s="5">
        <f>MIN(100,IF(PARAMS_MODELO!$B$23=0,0,100*L84/PARAMS_MODELO!$B$23))*PARAMS_MODELO!$B$10</f>
        <v>15</v>
      </c>
      <c r="N84" s="5">
        <f>IFERROR(VLOOKUP(A84,COMPLIANCE!$A$2:$F$1996,6,0),100)</f>
        <v>99.98</v>
      </c>
      <c r="O84" s="5">
        <f>N84*PARAMS_MODELO!$B$11</f>
        <v>9.9980000000000011</v>
      </c>
      <c r="P84" s="5">
        <f>IFERROR(VLOOKUP(A84,DIGITAL!$A$2:$J$2000,7,0),100)</f>
        <v>83</v>
      </c>
      <c r="Q84" s="5">
        <f>IFERROR(P84,0)*PARAMS_MODELO!$B$12</f>
        <v>8.3000000000000007</v>
      </c>
      <c r="R84">
        <f t="shared" si="27"/>
        <v>90.669761745978548</v>
      </c>
      <c r="S84" s="5" t="str">
        <f>IFERROR(VLOOKUP(A84,CLIENTE!$A$2:$N$2000,13,0),1)</f>
        <v>Bueno</v>
      </c>
      <c r="T84" s="5">
        <f>IFERROR(VLOOKUP(A84,CLIENTE!$A$2:$N$2000,14,0),1)</f>
        <v>1.1000000000000001</v>
      </c>
      <c r="U84" s="5">
        <f t="shared" si="28"/>
        <v>99.736737920576417</v>
      </c>
      <c r="V84" s="5" t="str">
        <f>IF(U84&gt;=MAX(_xlfn.PERCENTILE.INC($U$2:$U$1194,PARAMS_MODELO!$B$50),PARAMS_MODELO!$B$45),"DIAMANTE",IF(U84&gt;=MAX(_xlfn.PERCENTILE.INC($U$2:$U$1194,PARAMS_MODELO!$B$51),PARAMS_MODELO!$B$46),"PLATINO",IF(U84&gt;=MAX(_xlfn.PERCENTILE.INC($U$2:$U$1194,PARAMS_MODELO!$B$52),PARAMS_MODELO!$B$47),"ORO",IF(U84&gt;=MAX(_xlfn.PERCENTILE.INC($U$2:$U$1194,PARAMS_MODELO!$B$53),PARAMS_MODELO!$B$48),"PLATA",IF(U84&gt;=1,"BRONCE","CERRADO")))))</f>
        <v>DIAMANTE</v>
      </c>
      <c r="W84" s="5" t="str" cm="1">
        <f t="array" ref="W84">_xlfn.XLOOKUP(1, (HIST_SCORE!$B:$B=PARAMS_MODELO!$B$4) * (HIST_SCORE!$C:$C=A84), HIST_SCORE!$E:$E, "No encontrado")</f>
        <v>DIAMANTE</v>
      </c>
      <c r="X84" s="5" t="str">
        <f>_xlfn.LET(_xlpm.act,MATCH(V84,{"DIAMANTE";"PLATINO";"ORO";"PLATA";"BRONCE";"CERRADO"},0),_xlpm.ant,MATCH(W84,{"DIAMANTE";"PLATINO";"ORO";"PLATA";"BRONCE";"CERRADO"},0),IF(_xlpm.act&lt;_xlpm.ant,"Mejora ↑",IF(_xlpm.act&gt;_xlpm.ant,"Baja ↓","Estable →")))</f>
        <v>Estable →</v>
      </c>
      <c r="Y84" s="5">
        <f>IFERROR(U84-SUMIFS(HIST_SCORE!$D:$D,HIST_SCORE!$B:$B,PARAMS_MODELO!$B$4,HIST_SCORE!$C:$C,$A84),"")</f>
        <v>1.4088978988417153</v>
      </c>
      <c r="Z84" s="5" t="str">
        <f t="shared" si="29"/>
        <v>→ Estable</v>
      </c>
      <c r="AA84" s="5">
        <f t="shared" si="30"/>
        <v>20</v>
      </c>
      <c r="AB84" s="5">
        <f>IFERROR(SUMIFS(HIST_SCORE!$F:$F,HIST_SCORE!$B:$B,PARAMS_MODELO!$B$4,HIST_SCORE!$C:$C,$A84),"")</f>
        <v>27</v>
      </c>
      <c r="AC84" s="5">
        <f t="shared" si="31"/>
        <v>7</v>
      </c>
      <c r="AD84" t="str">
        <f t="shared" si="33"/>
        <v/>
      </c>
      <c r="AE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CERRADO",1,IF(V84="BRONCE",_xlpm.cPl,IF(V84="PLATA",_xlpm.cO,IF(V84="ORO",_xlpm.cP,IF(V84="PLATINO",_xlpm.cD,999))))))</f>
        <v>999</v>
      </c>
      <c r="AF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CERRADO",0,IF(V84="BRONCE",1,IF(V84="PLATA",_xlpm.cPl,IF(V84="ORO",_xlpm.cO,IF(V84="PLATINO",_xlpm.cP,_xlpm.cD))))))</f>
        <v>96.054919694466676</v>
      </c>
      <c r="AG84">
        <f t="shared" si="34"/>
        <v>817.51205643583955</v>
      </c>
      <c r="AH84" t="str">
        <f t="shared" si="35"/>
        <v>SOSTENER</v>
      </c>
      <c r="AI84" t="str">
        <f t="shared" si="32"/>
        <v>✅ Mantener desempeño y monitorear variaciones para sostener categoría.</v>
      </c>
      <c r="AJ84" s="26">
        <f>_xlfn.LET(_xlpm.piso,AF84,_xlpm.corte,AE84,_xlpm.prog,IF(_xlpm.corte&lt;=_xlpm.piso,0,MAX(0,MIN(1,(U84-_xlpm.piso)/(_xlpm.corte-_xlpm.piso)))),_xlpm.orden,{"DIAMANTE";"PLATINO";"ORO";"PLATA";"BRONCE";"CERRADO"},_xlpm.act,IFERROR(MATCH(V84,_xlpm.orden,0),6),_xlpm.ant,IFERROR(MATCH(W84,_xlpm.orden,0),6),_xlpm.ajmov,IF(_xlpm.act&lt;_xlpm.ant,0.08,IF(_xlpm.act&gt;_xlpm.ant,-0.08,0)),_xlpm.ajcli,IF(T84&lt;0.95,-0.06,0),_xlpm.prob,MAX(0,MIN(1,_xlpm.prog+_xlpm.ajmov+_xlpm.ajcli)),IF(OR(V84="DIAMANTE",V84="CERRADO"),0,ROUND(_xlpm.prob,2)))</f>
        <v>0</v>
      </c>
      <c r="AK84" t="str">
        <f t="shared" si="36"/>
        <v>No aplica</v>
      </c>
      <c r="AL84" t="str">
        <f t="shared" si="37"/>
        <v>Margen de seguridad: 3,7 puntos</v>
      </c>
      <c r="AM84">
        <f t="shared" si="38"/>
        <v>0.8</v>
      </c>
      <c r="AN84" t="str">
        <f t="shared" si="39"/>
        <v>PRIORIDAD ALTA – requiere intervención inmediata</v>
      </c>
      <c r="AO84">
        <f t="shared" si="40"/>
        <v>8.2398882822487511</v>
      </c>
      <c r="AP84">
        <f t="shared" si="41"/>
        <v>0</v>
      </c>
      <c r="AQ84">
        <f t="shared" si="42"/>
        <v>2.1999999999987811E-3</v>
      </c>
      <c r="AR84">
        <f t="shared" si="43"/>
        <v>1.8699999999999994</v>
      </c>
      <c r="AS84">
        <f t="shared" si="44"/>
        <v>0</v>
      </c>
      <c r="AT84" t="str">
        <f t="shared" si="45"/>
        <v>VENTAS</v>
      </c>
      <c r="AU84">
        <f t="shared" si="46"/>
        <v>8.2398882822487511</v>
      </c>
      <c r="AV84" t="str">
        <f t="shared" si="47"/>
        <v>Mayor retorno probable: VENTAS (+8,2 puntos finales potenciales).</v>
      </c>
    </row>
    <row r="85" spans="1:48" x14ac:dyDescent="0.3">
      <c r="A85" s="5">
        <v>51055047</v>
      </c>
      <c r="B85" s="5" t="str">
        <f>IFERROR(VLOOKUP(A85,VENTAS!$A$2:$B$1194,2,0),"")</f>
        <v>PUGH</v>
      </c>
      <c r="C85" s="5">
        <f>IFERROR(INDEX(VENTAS!$C$2:$E$1194,MATCH(A85,VENTAS!$A$2:$A$1194,0),MATCH(PARAMS_MODELO!$B$2,{"Q1","Q2","Q3"},0)),0)</f>
        <v>109518411.68000001</v>
      </c>
      <c r="D85" s="5">
        <f>IFERROR(INDEX(VENTAS!$F$2:$H$1194,MATCH(A85,VENTAS!$A$2:$A$1194,0),MATCH(PARAMS_MODELO!$B$2,{"Q1","Q2","Q3"},0)),0)</f>
        <v>168727237</v>
      </c>
      <c r="E85" s="8">
        <f t="shared" si="24"/>
        <v>0.54062896285422091</v>
      </c>
      <c r="F85" s="12">
        <f>IF(E85&lt;=PARAMS_MODELO!$B$15,0,IF(E85&gt;=PARAMS_MODELO!$B$17,100,100*MIN(1,(E85-PARAMS_MODELO!$B$15)/(PARAMS_MODELO!$B$16-PARAMS_MODELO!$B$15))))*PARAMS_MODELO!$B$7</f>
        <v>35</v>
      </c>
      <c r="G85" s="5">
        <f t="shared" si="25"/>
        <v>59208825.319999993</v>
      </c>
      <c r="H85" s="5">
        <f>(PARAMS_MODELO!$B$20*(MAX(0,MIN(3,E85))/3)+PARAMS_MODELO!$B$21*(IFERROR(LN(1+MAX(0,G85))/LN(1+MAX(0,MAX($G$2:$G$1194))),0)))*100*PARAMS_MODELO!$B$8</f>
        <v>6.0874098477350742</v>
      </c>
      <c r="I85" s="8">
        <f>E85-PARAMS_MODELO!$B$5</f>
        <v>0.36306612747869438</v>
      </c>
      <c r="J85" s="5">
        <f>IF(I85&lt;=PARAMS_MODELO!$B$18,0,IF(I85&gt;=PARAMS_MODELO!$B$19,100,100*(I85-PARAMS_MODELO!$B$18)/(PARAMS_MODELO!$B$19-PARAMS_MODELO!$B$18)))*PARAMS_MODELO!$B$9</f>
        <v>15</v>
      </c>
      <c r="K85" s="5">
        <f>IFERROR(CHOOSE(MATCH(PARAMS_MODELO!$B$2,{"Q1","Q2","Q3"},0),LOTO!$D85,LOTO!$F85,LOTO!$H85),0)</f>
        <v>8477500</v>
      </c>
      <c r="L85" s="8">
        <f t="shared" si="26"/>
        <v>5.0243814518221498E-2</v>
      </c>
      <c r="M85" s="5">
        <f>MIN(100,IF(PARAMS_MODELO!$B$23=0,0,100*L85/PARAMS_MODELO!$B$23))*PARAMS_MODELO!$B$10</f>
        <v>15</v>
      </c>
      <c r="N85" s="5">
        <f>IFERROR(VLOOKUP(A85,COMPLIANCE!$A$2:$F$1996,6,0),100)</f>
        <v>100</v>
      </c>
      <c r="O85" s="5">
        <f>N85*PARAMS_MODELO!$B$11</f>
        <v>10</v>
      </c>
      <c r="P85" s="5">
        <f>IFERROR(VLOOKUP(A85,DIGITAL!$A$2:$J$2000,7,0),100)</f>
        <v>47</v>
      </c>
      <c r="Q85" s="5">
        <f>IFERROR(P85,0)*PARAMS_MODELO!$B$12</f>
        <v>4.7</v>
      </c>
      <c r="R85">
        <f t="shared" si="27"/>
        <v>85.787409847735077</v>
      </c>
      <c r="S85" s="5" t="str">
        <f>IFERROR(VLOOKUP(A85,CLIENTE!$A$2:$N$2000,13,0),1)</f>
        <v>Regular</v>
      </c>
      <c r="T85" s="5">
        <f>IFERROR(VLOOKUP(A85,CLIENTE!$A$2:$N$2000,14,0),1)</f>
        <v>1</v>
      </c>
      <c r="U85" s="5">
        <f t="shared" si="28"/>
        <v>85.787409847735077</v>
      </c>
      <c r="V85" s="5" t="str">
        <f>IF(U85&gt;=MAX(_xlfn.PERCENTILE.INC($U$2:$U$1194,PARAMS_MODELO!$B$50),PARAMS_MODELO!$B$45),"DIAMANTE",IF(U85&gt;=MAX(_xlfn.PERCENTILE.INC($U$2:$U$1194,PARAMS_MODELO!$B$51),PARAMS_MODELO!$B$46),"PLATINO",IF(U85&gt;=MAX(_xlfn.PERCENTILE.INC($U$2:$U$1194,PARAMS_MODELO!$B$52),PARAMS_MODELO!$B$47),"ORO",IF(U85&gt;=MAX(_xlfn.PERCENTILE.INC($U$2:$U$1194,PARAMS_MODELO!$B$53),PARAMS_MODELO!$B$48),"PLATA",IF(U85&gt;=1,"BRONCE","CERRADO")))))</f>
        <v>ORO</v>
      </c>
      <c r="W85" s="5" t="str" cm="1">
        <f t="array" ref="W85">_xlfn.XLOOKUP(1, (HIST_SCORE!$B:$B=PARAMS_MODELO!$B$4) * (HIST_SCORE!$C:$C=A85), HIST_SCORE!$E:$E, "No encontrado")</f>
        <v>ORO</v>
      </c>
      <c r="X85" s="5" t="str">
        <f>_xlfn.LET(_xlpm.act,MATCH(V85,{"DIAMANTE";"PLATINO";"ORO";"PLATA";"BRONCE";"CERRADO"},0),_xlpm.ant,MATCH(W85,{"DIAMANTE";"PLATINO";"ORO";"PLATA";"BRONCE";"CERRADO"},0),IF(_xlpm.act&lt;_xlpm.ant,"Mejora ↑",IF(_xlpm.act&gt;_xlpm.ant,"Baja ↓","Estable →")))</f>
        <v>Estable →</v>
      </c>
      <c r="Y85" s="5">
        <f>IFERROR(U85-SUMIFS(HIST_SCORE!$D:$D,HIST_SCORE!$B:$B,PARAMS_MODELO!$B$4,HIST_SCORE!$C:$C,$A85),"")</f>
        <v>13.397043906579654</v>
      </c>
      <c r="Z85" s="5" t="str">
        <f t="shared" si="29"/>
        <v>↑ Mejora</v>
      </c>
      <c r="AA85" s="5">
        <f t="shared" si="30"/>
        <v>257</v>
      </c>
      <c r="AB85" s="5">
        <f>IFERROR(SUMIFS(HIST_SCORE!$F:$F,HIST_SCORE!$B:$B,PARAMS_MODELO!$B$4,HIST_SCORE!$C:$C,$A85),"")</f>
        <v>517</v>
      </c>
      <c r="AC85" s="5">
        <f t="shared" si="31"/>
        <v>260</v>
      </c>
      <c r="AD85" t="str">
        <f t="shared" si="33"/>
        <v/>
      </c>
      <c r="AE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CERRADO",1,IF(V85="BRONCE",_xlpm.cPl,IF(V85="PLATA",_xlpm.cO,IF(V85="ORO",_xlpm.cP,IF(V85="PLATINO",_xlpm.cD,999))))))</f>
        <v>86.439123873763251</v>
      </c>
      <c r="AF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CERRADO",0,IF(V85="BRONCE",1,IF(V85="PLATA",_xlpm.cPl,IF(V85="ORO",_xlpm.cO,IF(V85="PLATINO",_xlpm.cP,_xlpm.cD))))))</f>
        <v>63.199193273331495</v>
      </c>
      <c r="AG85">
        <f t="shared" si="34"/>
        <v>0.65171402602817352</v>
      </c>
      <c r="AH85" t="str">
        <f t="shared" si="35"/>
        <v>VENTAS</v>
      </c>
      <c r="AI85" t="str">
        <f t="shared" si="32"/>
        <v>🎯 Para subir de categoría, eje VENTAS / IMPACTO ABSOLUTO (H). Acción: metas semanales + activación comercial + seguimiento del asesor. ΔR aprox: 0,7</v>
      </c>
      <c r="AJ85" s="26">
        <f>_xlfn.LET(_xlpm.piso,AF85,_xlpm.corte,AE85,_xlpm.prog,IF(_xlpm.corte&lt;=_xlpm.piso,0,MAX(0,MIN(1,(U85-_xlpm.piso)/(_xlpm.corte-_xlpm.piso)))),_xlpm.orden,{"DIAMANTE";"PLATINO";"ORO";"PLATA";"BRONCE";"CERRADO"},_xlpm.act,IFERROR(MATCH(V85,_xlpm.orden,0),6),_xlpm.ant,IFERROR(MATCH(W85,_xlpm.orden,0),6),_xlpm.ajmov,IF(_xlpm.act&lt;_xlpm.ant,0.08,IF(_xlpm.act&gt;_xlpm.ant,-0.08,0)),_xlpm.ajcli,IF(T85&lt;0.95,-0.06,0),_xlpm.prob,MAX(0,MIN(1,_xlpm.prog+_xlpm.ajmov+_xlpm.ajcli)),IF(OR(V85="DIAMANTE",V85="CERRADO"),0,ROUND(_xlpm.prob,2)))</f>
        <v>0.97</v>
      </c>
      <c r="AK85" t="str">
        <f t="shared" si="36"/>
        <v>Faltan 0,7 puntos base para subir a la siguiente categoría</v>
      </c>
      <c r="AL85" t="str">
        <f t="shared" si="37"/>
        <v>Margen de seguridad: 22,6 puntos</v>
      </c>
      <c r="AM85">
        <f t="shared" si="38"/>
        <v>0.04</v>
      </c>
      <c r="AN85" t="str">
        <f t="shared" si="39"/>
        <v>PRIORIDAD BAJA – control normal</v>
      </c>
      <c r="AO85">
        <f t="shared" si="40"/>
        <v>8.77515942756051</v>
      </c>
      <c r="AP85">
        <f t="shared" si="41"/>
        <v>0</v>
      </c>
      <c r="AQ85">
        <f t="shared" si="42"/>
        <v>0</v>
      </c>
      <c r="AR85">
        <f t="shared" si="43"/>
        <v>5.3</v>
      </c>
      <c r="AS85">
        <f t="shared" si="44"/>
        <v>0</v>
      </c>
      <c r="AT85" t="str">
        <f t="shared" si="45"/>
        <v>VENTAS</v>
      </c>
      <c r="AU85">
        <f t="shared" si="46"/>
        <v>8.77515942756051</v>
      </c>
      <c r="AV85" t="str">
        <f t="shared" si="47"/>
        <v>Mayor retorno probable: VENTAS (+8,8 puntos finales potenciales).</v>
      </c>
    </row>
    <row r="86" spans="1:48" x14ac:dyDescent="0.3">
      <c r="A86" s="5">
        <v>51018176</v>
      </c>
      <c r="B86" s="5" t="str">
        <f>IFERROR(VLOOKUP(A86,VENTAS!$A$2:$B$1194,2,0),"")</f>
        <v>ARGUELLO</v>
      </c>
      <c r="C86" s="5">
        <f>IFERROR(INDEX(VENTAS!$C$2:$E$1194,MATCH(A86,VENTAS!$A$2:$A$1194,0),MATCH(PARAMS_MODELO!$B$2,{"Q1","Q2","Q3"},0)),0)</f>
        <v>115268228.45</v>
      </c>
      <c r="D86" s="5">
        <f>IFERROR(INDEX(VENTAS!$F$2:$H$1194,MATCH(A86,VENTAS!$A$2:$A$1194,0),MATCH(PARAMS_MODELO!$B$2,{"Q1","Q2","Q3"},0)),0)</f>
        <v>167133853</v>
      </c>
      <c r="E86" s="8">
        <f t="shared" si="24"/>
        <v>0.44995594403966921</v>
      </c>
      <c r="F86" s="12">
        <f>IF(E86&lt;=PARAMS_MODELO!$B$15,0,IF(E86&gt;=PARAMS_MODELO!$B$17,100,100*MIN(1,(E86-PARAMS_MODELO!$B$15)/(PARAMS_MODELO!$B$16-PARAMS_MODELO!$B$15))))*PARAMS_MODELO!$B$7</f>
        <v>35</v>
      </c>
      <c r="G86" s="5">
        <f t="shared" si="25"/>
        <v>51865624.549999997</v>
      </c>
      <c r="H86" s="5">
        <f>(PARAMS_MODELO!$B$20*(MAX(0,MIN(3,E86))/3)+PARAMS_MODELO!$B$21*(IFERROR(LN(1+MAX(0,G86))/LN(1+MAX(0,MAX($G$2:$G$1194))),0)))*100*PARAMS_MODELO!$B$8</f>
        <v>5.7390145040012479</v>
      </c>
      <c r="I86" s="8">
        <f>E86-PARAMS_MODELO!$B$5</f>
        <v>0.27239310866414268</v>
      </c>
      <c r="J86" s="5">
        <f>IF(I86&lt;=PARAMS_MODELO!$B$18,0,IF(I86&gt;=PARAMS_MODELO!$B$19,100,100*(I86-PARAMS_MODELO!$B$18)/(PARAMS_MODELO!$B$19-PARAMS_MODELO!$B$18)))*PARAMS_MODELO!$B$9</f>
        <v>15</v>
      </c>
      <c r="K86" s="5">
        <f>IFERROR(CHOOSE(MATCH(PARAMS_MODELO!$B$2,{"Q1","Q2","Q3"},0),LOTO!$D86,LOTO!$F86,LOTO!$H86),0)</f>
        <v>8420000</v>
      </c>
      <c r="L86" s="8">
        <f t="shared" si="26"/>
        <v>5.0378782328437073E-2</v>
      </c>
      <c r="M86" s="5">
        <f>MIN(100,IF(PARAMS_MODELO!$B$23=0,0,100*L86/PARAMS_MODELO!$B$23))*PARAMS_MODELO!$B$10</f>
        <v>15</v>
      </c>
      <c r="N86" s="5">
        <f>IFERROR(VLOOKUP(A86,COMPLIANCE!$A$2:$F$1996,6,0),100)</f>
        <v>100</v>
      </c>
      <c r="O86" s="5">
        <f>N86*PARAMS_MODELO!$B$11</f>
        <v>10</v>
      </c>
      <c r="P86" s="5">
        <f>IFERROR(VLOOKUP(A86,DIGITAL!$A$2:$J$2000,7,0),100)</f>
        <v>3</v>
      </c>
      <c r="Q86" s="5">
        <f>IFERROR(P86,0)*PARAMS_MODELO!$B$12</f>
        <v>0.30000000000000004</v>
      </c>
      <c r="R86">
        <f t="shared" si="27"/>
        <v>81.039014504001244</v>
      </c>
      <c r="S86" s="5" t="str">
        <f>IFERROR(VLOOKUP(A86,CLIENTE!$A$2:$N$2000,13,0),1)</f>
        <v>Regular</v>
      </c>
      <c r="T86" s="5">
        <f>IFERROR(VLOOKUP(A86,CLIENTE!$A$2:$N$2000,14,0),1)</f>
        <v>1</v>
      </c>
      <c r="U86" s="5">
        <f t="shared" si="28"/>
        <v>81.039014504001244</v>
      </c>
      <c r="V86" s="5" t="str">
        <f>IF(U86&gt;=MAX(_xlfn.PERCENTILE.INC($U$2:$U$1194,PARAMS_MODELO!$B$50),PARAMS_MODELO!$B$45),"DIAMANTE",IF(U86&gt;=MAX(_xlfn.PERCENTILE.INC($U$2:$U$1194,PARAMS_MODELO!$B$51),PARAMS_MODELO!$B$46),"PLATINO",IF(U86&gt;=MAX(_xlfn.PERCENTILE.INC($U$2:$U$1194,PARAMS_MODELO!$B$52),PARAMS_MODELO!$B$47),"ORO",IF(U86&gt;=MAX(_xlfn.PERCENTILE.INC($U$2:$U$1194,PARAMS_MODELO!$B$53),PARAMS_MODELO!$B$48),"PLATA",IF(U86&gt;=1,"BRONCE","CERRADO")))))</f>
        <v>ORO</v>
      </c>
      <c r="W86" s="5" t="str" cm="1">
        <f t="array" ref="W86">_xlfn.XLOOKUP(1, (HIST_SCORE!$B:$B=PARAMS_MODELO!$B$4) * (HIST_SCORE!$C:$C=A86), HIST_SCORE!$E:$E, "No encontrado")</f>
        <v>ORO</v>
      </c>
      <c r="X86" s="5" t="str">
        <f>_xlfn.LET(_xlpm.act,MATCH(V86,{"DIAMANTE";"PLATINO";"ORO";"PLATA";"BRONCE";"CERRADO"},0),_xlpm.ant,MATCH(W86,{"DIAMANTE";"PLATINO";"ORO";"PLATA";"BRONCE";"CERRADO"},0),IF(_xlpm.act&lt;_xlpm.ant,"Mejora ↑",IF(_xlpm.act&gt;_xlpm.ant,"Baja ↓","Estable →")))</f>
        <v>Estable →</v>
      </c>
      <c r="Y86" s="5">
        <f>IFERROR(U86-SUMIFS(HIST_SCORE!$D:$D,HIST_SCORE!$B:$B,PARAMS_MODELO!$B$4,HIST_SCORE!$C:$C,$A86),"")</f>
        <v>8.4869829474169762</v>
      </c>
      <c r="Z86" s="5" t="str">
        <f t="shared" si="29"/>
        <v>↑ Mejora</v>
      </c>
      <c r="AA86" s="5">
        <f t="shared" si="30"/>
        <v>414</v>
      </c>
      <c r="AB86" s="5">
        <f>IFERROR(SUMIFS(HIST_SCORE!$F:$F,HIST_SCORE!$B:$B,PARAMS_MODELO!$B$4,HIST_SCORE!$C:$C,$A86),"")</f>
        <v>515</v>
      </c>
      <c r="AC86" s="5">
        <f t="shared" si="31"/>
        <v>101</v>
      </c>
      <c r="AD86" t="str">
        <f t="shared" si="33"/>
        <v/>
      </c>
      <c r="AE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CERRADO",1,IF(V86="BRONCE",_xlpm.cPl,IF(V86="PLATA",_xlpm.cO,IF(V86="ORO",_xlpm.cP,IF(V86="PLATINO",_xlpm.cD,999))))))</f>
        <v>86.439123873763251</v>
      </c>
      <c r="AF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CERRADO",0,IF(V86="BRONCE",1,IF(V86="PLATA",_xlpm.cPl,IF(V86="ORO",_xlpm.cO,IF(V86="PLATINO",_xlpm.cP,_xlpm.cD))))))</f>
        <v>63.199193273331495</v>
      </c>
      <c r="AG86">
        <f t="shared" si="34"/>
        <v>5.4001093697620064</v>
      </c>
      <c r="AH86" t="str">
        <f t="shared" si="35"/>
        <v>VENTAS</v>
      </c>
      <c r="AI86" t="str">
        <f t="shared" si="32"/>
        <v>🎯 Para subir de categoría, eje VENTAS / IMPACTO ABSOLUTO (H). Acción: metas semanales + activación comercial + seguimiento del asesor. ΔR aprox: 5,4</v>
      </c>
      <c r="AJ86" s="26">
        <f>_xlfn.LET(_xlpm.piso,AF86,_xlpm.corte,AE86,_xlpm.prog,IF(_xlpm.corte&lt;=_xlpm.piso,0,MAX(0,MIN(1,(U86-_xlpm.piso)/(_xlpm.corte-_xlpm.piso)))),_xlpm.orden,{"DIAMANTE";"PLATINO";"ORO";"PLATA";"BRONCE";"CERRADO"},_xlpm.act,IFERROR(MATCH(V86,_xlpm.orden,0),6),_xlpm.ant,IFERROR(MATCH(W86,_xlpm.orden,0),6),_xlpm.ajmov,IF(_xlpm.act&lt;_xlpm.ant,0.08,IF(_xlpm.act&gt;_xlpm.ant,-0.08,0)),_xlpm.ajcli,IF(T86&lt;0.95,-0.06,0),_xlpm.prob,MAX(0,MIN(1,_xlpm.prog+_xlpm.ajmov+_xlpm.ajcli)),IF(OR(V86="DIAMANTE",V86="CERRADO"),0,ROUND(_xlpm.prob,2)))</f>
        <v>0.77</v>
      </c>
      <c r="AK86" t="str">
        <f t="shared" si="36"/>
        <v>Faltan 5,4 puntos base para subir a la siguiente categoría</v>
      </c>
      <c r="AL86" t="str">
        <f t="shared" si="37"/>
        <v>Margen de seguridad: 17,8 puntos</v>
      </c>
      <c r="AM86">
        <f t="shared" si="38"/>
        <v>0.31</v>
      </c>
      <c r="AN86" t="str">
        <f t="shared" si="39"/>
        <v>PRIORIDAD BAJA – control normal</v>
      </c>
      <c r="AO86">
        <f t="shared" si="40"/>
        <v>9.1235547712943372</v>
      </c>
      <c r="AP86">
        <f t="shared" si="41"/>
        <v>0</v>
      </c>
      <c r="AQ86">
        <f t="shared" si="42"/>
        <v>0</v>
      </c>
      <c r="AR86">
        <f t="shared" si="43"/>
        <v>9.6999999999999993</v>
      </c>
      <c r="AS86">
        <f t="shared" si="44"/>
        <v>0</v>
      </c>
      <c r="AT86" t="str">
        <f t="shared" si="45"/>
        <v>DIGITAL</v>
      </c>
      <c r="AU86">
        <f t="shared" si="46"/>
        <v>9.6999999999999993</v>
      </c>
      <c r="AV86" t="str">
        <f t="shared" si="47"/>
        <v>Mayor retorno probable: DIGITAL (+9,7 puntos finales potenciales).</v>
      </c>
    </row>
    <row r="87" spans="1:48" x14ac:dyDescent="0.3">
      <c r="A87" s="5">
        <v>51015622</v>
      </c>
      <c r="B87" s="5" t="str">
        <f>IFERROR(VLOOKUP(A87,VENTAS!$A$2:$B$1194,2,0),"")</f>
        <v>PUGH</v>
      </c>
      <c r="C87" s="5">
        <f>IFERROR(INDEX(VENTAS!$C$2:$E$1194,MATCH(A87,VENTAS!$A$2:$A$1194,0),MATCH(PARAMS_MODELO!$B$2,{"Q1","Q2","Q3"},0)),0)</f>
        <v>110684165.59</v>
      </c>
      <c r="D87" s="5">
        <f>IFERROR(INDEX(VENTAS!$F$2:$H$1194,MATCH(A87,VENTAS!$A$2:$A$1194,0),MATCH(PARAMS_MODELO!$B$2,{"Q1","Q2","Q3"},0)),0)</f>
        <v>166176921</v>
      </c>
      <c r="E87" s="8">
        <f t="shared" si="24"/>
        <v>0.50136128428304838</v>
      </c>
      <c r="F87" s="12">
        <f>IF(E87&lt;=PARAMS_MODELO!$B$15,0,IF(E87&gt;=PARAMS_MODELO!$B$17,100,100*MIN(1,(E87-PARAMS_MODELO!$B$15)/(PARAMS_MODELO!$B$16-PARAMS_MODELO!$B$15))))*PARAMS_MODELO!$B$7</f>
        <v>35</v>
      </c>
      <c r="G87" s="5">
        <f t="shared" si="25"/>
        <v>55492755.409999996</v>
      </c>
      <c r="H87" s="5">
        <f>(PARAMS_MODELO!$B$20*(MAX(0,MIN(3,E87))/3)+PARAMS_MODELO!$B$21*(IFERROR(LN(1+MAX(0,G87))/LN(1+MAX(0,MAX($G$2:$G$1194))),0)))*100*PARAMS_MODELO!$B$8</f>
        <v>5.9347786988797893</v>
      </c>
      <c r="I87" s="8">
        <f>E87-PARAMS_MODELO!$B$5</f>
        <v>0.32379844890752185</v>
      </c>
      <c r="J87" s="5">
        <f>IF(I87&lt;=PARAMS_MODELO!$B$18,0,IF(I87&gt;=PARAMS_MODELO!$B$19,100,100*(I87-PARAMS_MODELO!$B$18)/(PARAMS_MODELO!$B$19-PARAMS_MODELO!$B$18)))*PARAMS_MODELO!$B$9</f>
        <v>15</v>
      </c>
      <c r="K87" s="5">
        <f>IFERROR(CHOOSE(MATCH(PARAMS_MODELO!$B$2,{"Q1","Q2","Q3"},0),LOTO!$D87,LOTO!$F87,LOTO!$H87),0)</f>
        <v>8362500</v>
      </c>
      <c r="L87" s="8">
        <f t="shared" si="26"/>
        <v>5.0322872452306419E-2</v>
      </c>
      <c r="M87" s="5">
        <f>MIN(100,IF(PARAMS_MODELO!$B$23=0,0,100*L87/PARAMS_MODELO!$B$23))*PARAMS_MODELO!$B$10</f>
        <v>15</v>
      </c>
      <c r="N87" s="5">
        <f>IFERROR(VLOOKUP(A87,COMPLIANCE!$A$2:$F$1996,6,0),100)</f>
        <v>100</v>
      </c>
      <c r="O87" s="5">
        <f>N87*PARAMS_MODELO!$B$11</f>
        <v>10</v>
      </c>
      <c r="P87" s="5">
        <f>IFERROR(VLOOKUP(A87,DIGITAL!$A$2:$J$2000,7,0),100)</f>
        <v>12</v>
      </c>
      <c r="Q87" s="5">
        <f>IFERROR(P87,0)*PARAMS_MODELO!$B$12</f>
        <v>1.2000000000000002</v>
      </c>
      <c r="R87">
        <f t="shared" si="27"/>
        <v>82.134778698879799</v>
      </c>
      <c r="S87" s="5" t="str">
        <f>IFERROR(VLOOKUP(A87,CLIENTE!$A$2:$N$2000,13,0),1)</f>
        <v>Malo</v>
      </c>
      <c r="T87" s="5">
        <f>IFERROR(VLOOKUP(A87,CLIENTE!$A$2:$N$2000,14,0),1)</f>
        <v>0.7</v>
      </c>
      <c r="U87" s="5">
        <f t="shared" si="28"/>
        <v>57.494345089215855</v>
      </c>
      <c r="V87" s="5" t="str">
        <f>IF(U87&gt;=MAX(_xlfn.PERCENTILE.INC($U$2:$U$1194,PARAMS_MODELO!$B$50),PARAMS_MODELO!$B$45),"DIAMANTE",IF(U87&gt;=MAX(_xlfn.PERCENTILE.INC($U$2:$U$1194,PARAMS_MODELO!$B$51),PARAMS_MODELO!$B$46),"PLATINO",IF(U87&gt;=MAX(_xlfn.PERCENTILE.INC($U$2:$U$1194,PARAMS_MODELO!$B$52),PARAMS_MODELO!$B$47),"ORO",IF(U87&gt;=MAX(_xlfn.PERCENTILE.INC($U$2:$U$1194,PARAMS_MODELO!$B$53),PARAMS_MODELO!$B$48),"PLATA",IF(U87&gt;=1,"BRONCE","CERRADO")))))</f>
        <v>PLATA</v>
      </c>
      <c r="W87" s="5" t="str" cm="1">
        <f t="array" ref="W87">_xlfn.XLOOKUP(1, (HIST_SCORE!$B:$B=PARAMS_MODELO!$B$4) * (HIST_SCORE!$C:$C=A87), HIST_SCORE!$E:$E, "No encontrado")</f>
        <v>PLATA</v>
      </c>
      <c r="X87" s="5" t="str">
        <f>_xlfn.LET(_xlpm.act,MATCH(V87,{"DIAMANTE";"PLATINO";"ORO";"PLATA";"BRONCE";"CERRADO"},0),_xlpm.ant,MATCH(W87,{"DIAMANTE";"PLATINO";"ORO";"PLATA";"BRONCE";"CERRADO"},0),IF(_xlpm.act&lt;_xlpm.ant,"Mejora ↑",IF(_xlpm.act&gt;_xlpm.ant,"Baja ↓","Estable →")))</f>
        <v>Estable →</v>
      </c>
      <c r="Y87" s="5">
        <f>IFERROR(U87-SUMIFS(HIST_SCORE!$D:$D,HIST_SCORE!$B:$B,PARAMS_MODELO!$B$4,HIST_SCORE!$C:$C,$A87),"")</f>
        <v>5.2677631472882069E-2</v>
      </c>
      <c r="Z87" s="5" t="str">
        <f t="shared" si="29"/>
        <v>→ Estable</v>
      </c>
      <c r="AA87" s="5">
        <f t="shared" si="30"/>
        <v>675</v>
      </c>
      <c r="AB87" s="5">
        <f>IFERROR(SUMIFS(HIST_SCORE!$F:$F,HIST_SCORE!$B:$B,PARAMS_MODELO!$B$4,HIST_SCORE!$C:$C,$A87),"")</f>
        <v>702</v>
      </c>
      <c r="AC87" s="5">
        <f t="shared" si="31"/>
        <v>27</v>
      </c>
      <c r="AD87" t="str">
        <f t="shared" si="33"/>
        <v/>
      </c>
      <c r="AE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CERRADO",1,IF(V87="BRONCE",_xlpm.cPl,IF(V87="PLATA",_xlpm.cO,IF(V87="ORO",_xlpm.cP,IF(V87="PLATINO",_xlpm.cD,999))))))</f>
        <v>63.199193273331495</v>
      </c>
      <c r="AF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CERRADO",0,IF(V87="BRONCE",1,IF(V87="PLATA",_xlpm.cPl,IF(V87="ORO",_xlpm.cO,IF(V87="PLATINO",_xlpm.cP,_xlpm.cD))))))</f>
        <v>24.506573482968111</v>
      </c>
      <c r="AG87">
        <f t="shared" si="34"/>
        <v>8.1497831201651962</v>
      </c>
      <c r="AH87" t="str">
        <f t="shared" si="35"/>
        <v>CLIENTE</v>
      </c>
      <c r="AI87" t="str">
        <f t="shared" si="32"/>
        <v>🎯 Para subir de categoría, la eje con mayor impacto probable es CLIENTE (coef T). Acción: reducir quejas, mejorar incógnito y empujar reseñas. ΔR aprox: 8,1</v>
      </c>
      <c r="AJ87" s="26">
        <f>_xlfn.LET(_xlpm.piso,AF87,_xlpm.corte,AE87,_xlpm.prog,IF(_xlpm.corte&lt;=_xlpm.piso,0,MAX(0,MIN(1,(U87-_xlpm.piso)/(_xlpm.corte-_xlpm.piso)))),_xlpm.orden,{"DIAMANTE";"PLATINO";"ORO";"PLATA";"BRONCE";"CERRADO"},_xlpm.act,IFERROR(MATCH(V87,_xlpm.orden,0),6),_xlpm.ant,IFERROR(MATCH(W87,_xlpm.orden,0),6),_xlpm.ajmov,IF(_xlpm.act&lt;_xlpm.ant,0.08,IF(_xlpm.act&gt;_xlpm.ant,-0.08,0)),_xlpm.ajcli,IF(T87&lt;0.95,-0.06,0),_xlpm.prob,MAX(0,MIN(1,_xlpm.prog+_xlpm.ajmov+_xlpm.ajcli)),IF(OR(V87="DIAMANTE",V87="CERRADO"),0,ROUND(_xlpm.prob,2)))</f>
        <v>0.79</v>
      </c>
      <c r="AK87" t="str">
        <f t="shared" si="36"/>
        <v>Faltan 8,1 puntos base para subir a la siguiente categoría</v>
      </c>
      <c r="AL87" t="str">
        <f t="shared" si="37"/>
        <v>Margen de seguridad: 33,0 puntos</v>
      </c>
      <c r="AM87">
        <f t="shared" si="38"/>
        <v>0.61</v>
      </c>
      <c r="AN87" t="str">
        <f t="shared" si="39"/>
        <v>PRIORIDAD MEDIA – seguimiento del asesor</v>
      </c>
      <c r="AO87">
        <f t="shared" si="40"/>
        <v>6.2494534034910565</v>
      </c>
      <c r="AP87">
        <f t="shared" si="41"/>
        <v>0</v>
      </c>
      <c r="AQ87">
        <f t="shared" si="42"/>
        <v>0</v>
      </c>
      <c r="AR87">
        <f t="shared" si="43"/>
        <v>6.16</v>
      </c>
      <c r="AS87">
        <f t="shared" si="44"/>
        <v>24.640433609663944</v>
      </c>
      <c r="AT87" t="str">
        <f t="shared" si="45"/>
        <v>CLIENTE</v>
      </c>
      <c r="AU87">
        <f t="shared" si="46"/>
        <v>24.640433609663944</v>
      </c>
      <c r="AV87" t="str">
        <f t="shared" si="47"/>
        <v>Mayor retorno probable: CLIENTE (+24,6 puntos finales potenciales).</v>
      </c>
    </row>
    <row r="88" spans="1:48" x14ac:dyDescent="0.3">
      <c r="A88" s="5">
        <v>51054946</v>
      </c>
      <c r="B88" s="5" t="str">
        <f>IFERROR(VLOOKUP(A88,VENTAS!$A$2:$B$1194,2,0),"")</f>
        <v>LÓPEZ</v>
      </c>
      <c r="C88" s="5">
        <f>IFERROR(INDEX(VENTAS!$C$2:$E$1194,MATCH(A88,VENTAS!$A$2:$A$1194,0),MATCH(PARAMS_MODELO!$B$2,{"Q1","Q2","Q3"},0)),0)</f>
        <v>125637738.66</v>
      </c>
      <c r="D88" s="5">
        <f>IFERROR(INDEX(VENTAS!$F$2:$H$1194,MATCH(A88,VENTAS!$A$2:$A$1194,0),MATCH(PARAMS_MODELO!$B$2,{"Q1","Q2","Q3"},0)),0)</f>
        <v>166114899</v>
      </c>
      <c r="E88" s="8">
        <f t="shared" si="24"/>
        <v>0.32217358233053695</v>
      </c>
      <c r="F88" s="12">
        <f>IF(E88&lt;=PARAMS_MODELO!$B$15,0,IF(E88&gt;=PARAMS_MODELO!$B$17,100,100*MIN(1,(E88-PARAMS_MODELO!$B$15)/(PARAMS_MODELO!$B$16-PARAMS_MODELO!$B$15))))*PARAMS_MODELO!$B$7</f>
        <v>35</v>
      </c>
      <c r="G88" s="5">
        <f t="shared" si="25"/>
        <v>40477160.340000004</v>
      </c>
      <c r="H88" s="5">
        <f>(PARAMS_MODELO!$B$20*(MAX(0,MIN(3,E88))/3)+PARAMS_MODELO!$B$21*(IFERROR(LN(1+MAX(0,G88))/LN(1+MAX(0,MAX($G$2:$G$1194))),0)))*100*PARAMS_MODELO!$B$8</f>
        <v>5.2336607151019798</v>
      </c>
      <c r="I88" s="8">
        <f>E88-PARAMS_MODELO!$B$5</f>
        <v>0.14461074695501042</v>
      </c>
      <c r="J88" s="5">
        <f>IF(I88&lt;=PARAMS_MODELO!$B$18,0,IF(I88&gt;=PARAMS_MODELO!$B$19,100,100*(I88-PARAMS_MODELO!$B$18)/(PARAMS_MODELO!$B$19-PARAMS_MODELO!$B$18)))*PARAMS_MODELO!$B$9</f>
        <v>15</v>
      </c>
      <c r="K88" s="5">
        <f>IFERROR(CHOOSE(MATCH(PARAMS_MODELO!$B$2,{"Q1","Q2","Q3"},0),LOTO!$D88,LOTO!$F88,LOTO!$H88),0)</f>
        <v>8312500</v>
      </c>
      <c r="L88" s="8">
        <f t="shared" si="26"/>
        <v>5.0040664925546506E-2</v>
      </c>
      <c r="M88" s="5">
        <f>MIN(100,IF(PARAMS_MODELO!$B$23=0,0,100*L88/PARAMS_MODELO!$B$23))*PARAMS_MODELO!$B$10</f>
        <v>15</v>
      </c>
      <c r="N88" s="5">
        <f>IFERROR(VLOOKUP(A88,COMPLIANCE!$A$2:$F$1996,6,0),100)</f>
        <v>100</v>
      </c>
      <c r="O88" s="5">
        <f>N88*PARAMS_MODELO!$B$11</f>
        <v>10</v>
      </c>
      <c r="P88" s="5">
        <f>IFERROR(VLOOKUP(A88,DIGITAL!$A$2:$J$2000,7,0),100)</f>
        <v>92</v>
      </c>
      <c r="Q88" s="5">
        <f>IFERROR(P88,0)*PARAMS_MODELO!$B$12</f>
        <v>9.2000000000000011</v>
      </c>
      <c r="R88">
        <f t="shared" si="27"/>
        <v>89.433660715101979</v>
      </c>
      <c r="S88" s="5" t="str">
        <f>IFERROR(VLOOKUP(A88,CLIENTE!$A$2:$N$2000,13,0),1)</f>
        <v>Muy Bueno</v>
      </c>
      <c r="T88" s="5">
        <f>IFERROR(VLOOKUP(A88,CLIENTE!$A$2:$N$2000,14,0),1)</f>
        <v>1.1499999999999999</v>
      </c>
      <c r="U88" s="5">
        <f t="shared" si="28"/>
        <v>100</v>
      </c>
      <c r="V88" s="5" t="str">
        <f>IF(U88&gt;=MAX(_xlfn.PERCENTILE.INC($U$2:$U$1194,PARAMS_MODELO!$B$50),PARAMS_MODELO!$B$45),"DIAMANTE",IF(U88&gt;=MAX(_xlfn.PERCENTILE.INC($U$2:$U$1194,PARAMS_MODELO!$B$51),PARAMS_MODELO!$B$46),"PLATINO",IF(U88&gt;=MAX(_xlfn.PERCENTILE.INC($U$2:$U$1194,PARAMS_MODELO!$B$52),PARAMS_MODELO!$B$47),"ORO",IF(U88&gt;=MAX(_xlfn.PERCENTILE.INC($U$2:$U$1194,PARAMS_MODELO!$B$53),PARAMS_MODELO!$B$48),"PLATA",IF(U88&gt;=1,"BRONCE","CERRADO")))))</f>
        <v>DIAMANTE</v>
      </c>
      <c r="W88" s="5" t="str" cm="1">
        <f t="array" ref="W88">_xlfn.XLOOKUP(1, (HIST_SCORE!$B:$B=PARAMS_MODELO!$B$4) * (HIST_SCORE!$C:$C=A88), HIST_SCORE!$E:$E, "No encontrado")</f>
        <v>DIAMANTE</v>
      </c>
      <c r="X88" s="5" t="str">
        <f>_xlfn.LET(_xlpm.act,MATCH(V88,{"DIAMANTE";"PLATINO";"ORO";"PLATA";"BRONCE";"CERRADO"},0),_xlpm.ant,MATCH(W88,{"DIAMANTE";"PLATINO";"ORO";"PLATA";"BRONCE";"CERRADO"},0),IF(_xlpm.act&lt;_xlpm.ant,"Mejora ↑",IF(_xlpm.act&gt;_xlpm.ant,"Baja ↓","Estable →")))</f>
        <v>Estable →</v>
      </c>
      <c r="Y88" s="5">
        <f>IFERROR(U88-SUMIFS(HIST_SCORE!$D:$D,HIST_SCORE!$B:$B,PARAMS_MODELO!$B$4,HIST_SCORE!$C:$C,$A88),"")</f>
        <v>0</v>
      </c>
      <c r="Z88" s="5" t="str">
        <f t="shared" si="29"/>
        <v>→ Estable</v>
      </c>
      <c r="AA88" s="5">
        <f t="shared" si="30"/>
        <v>1</v>
      </c>
      <c r="AB88" s="5">
        <f>IFERROR(SUMIFS(HIST_SCORE!$F:$F,HIST_SCORE!$B:$B,PARAMS_MODELO!$B$4,HIST_SCORE!$C:$C,$A88),"")</f>
        <v>1</v>
      </c>
      <c r="AC88" s="5">
        <f t="shared" si="31"/>
        <v>0</v>
      </c>
      <c r="AD88" t="str">
        <f t="shared" si="33"/>
        <v/>
      </c>
      <c r="AE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CERRADO",1,IF(V88="BRONCE",_xlpm.cPl,IF(V88="PLATA",_xlpm.cO,IF(V88="ORO",_xlpm.cP,IF(V88="PLATINO",_xlpm.cD,999))))))</f>
        <v>999</v>
      </c>
      <c r="AF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CERRADO",0,IF(V88="BRONCE",1,IF(V88="PLATA",_xlpm.cPl,IF(V88="ORO",_xlpm.cO,IF(V88="PLATINO",_xlpm.cP,_xlpm.cD))))))</f>
        <v>96.054919694466676</v>
      </c>
      <c r="AG88">
        <f t="shared" si="34"/>
        <v>779.26199145881117</v>
      </c>
      <c r="AH88" t="str">
        <f t="shared" si="35"/>
        <v>SOSTENER</v>
      </c>
      <c r="AI88" t="str">
        <f t="shared" si="32"/>
        <v>✅ Mantener desempeño y monitorear variaciones para sostener categoría.</v>
      </c>
      <c r="AJ88" s="26">
        <f>_xlfn.LET(_xlpm.piso,AF88,_xlpm.corte,AE88,_xlpm.prog,IF(_xlpm.corte&lt;=_xlpm.piso,0,MAX(0,MIN(1,(U88-_xlpm.piso)/(_xlpm.corte-_xlpm.piso)))),_xlpm.orden,{"DIAMANTE";"PLATINO";"ORO";"PLATA";"BRONCE";"CERRADO"},_xlpm.act,IFERROR(MATCH(V88,_xlpm.orden,0),6),_xlpm.ant,IFERROR(MATCH(W88,_xlpm.orden,0),6),_xlpm.ajmov,IF(_xlpm.act&lt;_xlpm.ant,0.08,IF(_xlpm.act&gt;_xlpm.ant,-0.08,0)),_xlpm.ajcli,IF(T88&lt;0.95,-0.06,0),_xlpm.prob,MAX(0,MIN(1,_xlpm.prog+_xlpm.ajmov+_xlpm.ajcli)),IF(OR(V88="DIAMANTE",V88="CERRADO"),0,ROUND(_xlpm.prob,2)))</f>
        <v>0</v>
      </c>
      <c r="AK88" t="str">
        <f t="shared" si="36"/>
        <v>No aplica</v>
      </c>
      <c r="AL88" t="str">
        <f t="shared" si="37"/>
        <v>Margen de seguridad: 3,9 puntos</v>
      </c>
      <c r="AM88">
        <f t="shared" si="38"/>
        <v>0.8</v>
      </c>
      <c r="AN88" t="str">
        <f t="shared" si="39"/>
        <v>PRIORIDAD ALTA – requiere intervención inmediata</v>
      </c>
      <c r="AO88">
        <f t="shared" si="40"/>
        <v>11.073244844222648</v>
      </c>
      <c r="AP88">
        <f t="shared" si="41"/>
        <v>0</v>
      </c>
      <c r="AQ88">
        <f t="shared" si="42"/>
        <v>0</v>
      </c>
      <c r="AR88">
        <f t="shared" si="43"/>
        <v>0.91999999999999871</v>
      </c>
      <c r="AS88">
        <f t="shared" si="44"/>
        <v>0</v>
      </c>
      <c r="AT88" t="str">
        <f t="shared" si="45"/>
        <v>VENTAS</v>
      </c>
      <c r="AU88">
        <f t="shared" si="46"/>
        <v>11.073244844222648</v>
      </c>
      <c r="AV88" t="str">
        <f t="shared" si="47"/>
        <v>Mayor retorno probable: VENTAS (+11,1 puntos finales potenciales).</v>
      </c>
    </row>
    <row r="89" spans="1:48" x14ac:dyDescent="0.3">
      <c r="A89" s="5">
        <v>51016220</v>
      </c>
      <c r="B89" s="5" t="str">
        <f>IFERROR(VLOOKUP(A89,VENTAS!$A$2:$B$1194,2,0),"")</f>
        <v>NELLI</v>
      </c>
      <c r="C89" s="5">
        <f>IFERROR(INDEX(VENTAS!$C$2:$E$1194,MATCH(A89,VENTAS!$A$2:$A$1194,0),MATCH(PARAMS_MODELO!$B$2,{"Q1","Q2","Q3"},0)),0)</f>
        <v>131506581.47</v>
      </c>
      <c r="D89" s="5">
        <f>IFERROR(INDEX(VENTAS!$F$2:$H$1194,MATCH(A89,VENTAS!$A$2:$A$1194,0),MATCH(PARAMS_MODELO!$B$2,{"Q1","Q2","Q3"},0)),0)</f>
        <v>165812394</v>
      </c>
      <c r="E89" s="8">
        <f t="shared" si="24"/>
        <v>0.26086764743273338</v>
      </c>
      <c r="F89" s="12">
        <f>IF(E89&lt;=PARAMS_MODELO!$B$15,0,IF(E89&gt;=PARAMS_MODELO!$B$17,100,100*MIN(1,(E89-PARAMS_MODELO!$B$15)/(PARAMS_MODELO!$B$16-PARAMS_MODELO!$B$15))))*PARAMS_MODELO!$B$7</f>
        <v>35</v>
      </c>
      <c r="G89" s="5">
        <f t="shared" si="25"/>
        <v>34305812.530000001</v>
      </c>
      <c r="H89" s="5">
        <f>(PARAMS_MODELO!$B$20*(MAX(0,MIN(3,E89))/3)+PARAMS_MODELO!$B$21*(IFERROR(LN(1+MAX(0,G89))/LN(1+MAX(0,MAX($G$2:$G$1194))),0)))*100*PARAMS_MODELO!$B$8</f>
        <v>4.980312466624766</v>
      </c>
      <c r="I89" s="8">
        <f>E89-PARAMS_MODELO!$B$5</f>
        <v>8.3304812057206856E-2</v>
      </c>
      <c r="J89" s="5">
        <f>IF(I89&lt;=PARAMS_MODELO!$B$18,0,IF(I89&gt;=PARAMS_MODELO!$B$19,100,100*(I89-PARAMS_MODELO!$B$18)/(PARAMS_MODELO!$B$19-PARAMS_MODELO!$B$18)))*PARAMS_MODELO!$B$9</f>
        <v>15</v>
      </c>
      <c r="K89" s="5">
        <f>IFERROR(CHOOSE(MATCH(PARAMS_MODELO!$B$2,{"Q1","Q2","Q3"},0),LOTO!$D89,LOTO!$F89,LOTO!$H89),0)</f>
        <v>8297500.0000000009</v>
      </c>
      <c r="L89" s="8">
        <f t="shared" si="26"/>
        <v>5.0041494485629348E-2</v>
      </c>
      <c r="M89" s="5">
        <f>MIN(100,IF(PARAMS_MODELO!$B$23=0,0,100*L89/PARAMS_MODELO!$B$23))*PARAMS_MODELO!$B$10</f>
        <v>15</v>
      </c>
      <c r="N89" s="5">
        <f>IFERROR(VLOOKUP(A89,COMPLIANCE!$A$2:$F$1996,6,0),100)</f>
        <v>100</v>
      </c>
      <c r="O89" s="5">
        <f>N89*PARAMS_MODELO!$B$11</f>
        <v>10</v>
      </c>
      <c r="P89" s="5">
        <f>IFERROR(VLOOKUP(A89,DIGITAL!$A$2:$J$2000,7,0),100)</f>
        <v>82</v>
      </c>
      <c r="Q89" s="5">
        <f>IFERROR(P89,0)*PARAMS_MODELO!$B$12</f>
        <v>8.2000000000000011</v>
      </c>
      <c r="R89">
        <f t="shared" si="27"/>
        <v>88.18031246662477</v>
      </c>
      <c r="S89" s="5" t="str">
        <f>IFERROR(VLOOKUP(A89,CLIENTE!$A$2:$N$2000,13,0),1)</f>
        <v>Muy Bueno</v>
      </c>
      <c r="T89" s="5">
        <f>IFERROR(VLOOKUP(A89,CLIENTE!$A$2:$N$2000,14,0),1)</f>
        <v>1.1499999999999999</v>
      </c>
      <c r="U89" s="5">
        <f t="shared" si="28"/>
        <v>100</v>
      </c>
      <c r="V89" s="5" t="str">
        <f>IF(U89&gt;=MAX(_xlfn.PERCENTILE.INC($U$2:$U$1194,PARAMS_MODELO!$B$50),PARAMS_MODELO!$B$45),"DIAMANTE",IF(U89&gt;=MAX(_xlfn.PERCENTILE.INC($U$2:$U$1194,PARAMS_MODELO!$B$51),PARAMS_MODELO!$B$46),"PLATINO",IF(U89&gt;=MAX(_xlfn.PERCENTILE.INC($U$2:$U$1194,PARAMS_MODELO!$B$52),PARAMS_MODELO!$B$47),"ORO",IF(U89&gt;=MAX(_xlfn.PERCENTILE.INC($U$2:$U$1194,PARAMS_MODELO!$B$53),PARAMS_MODELO!$B$48),"PLATA",IF(U89&gt;=1,"BRONCE","CERRADO")))))</f>
        <v>DIAMANTE</v>
      </c>
      <c r="W89" s="5" t="str" cm="1">
        <f t="array" ref="W89">_xlfn.XLOOKUP(1, (HIST_SCORE!$B:$B=PARAMS_MODELO!$B$4) * (HIST_SCORE!$C:$C=A89), HIST_SCORE!$E:$E, "No encontrado")</f>
        <v>DIAMANTE</v>
      </c>
      <c r="X89" s="5" t="str">
        <f>_xlfn.LET(_xlpm.act,MATCH(V89,{"DIAMANTE";"PLATINO";"ORO";"PLATA";"BRONCE";"CERRADO"},0),_xlpm.ant,MATCH(W89,{"DIAMANTE";"PLATINO";"ORO";"PLATA";"BRONCE";"CERRADO"},0),IF(_xlpm.act&lt;_xlpm.ant,"Mejora ↑",IF(_xlpm.act&gt;_xlpm.ant,"Baja ↓","Estable →")))</f>
        <v>Estable →</v>
      </c>
      <c r="Y89" s="5">
        <f>IFERROR(U89-SUMIFS(HIST_SCORE!$D:$D,HIST_SCORE!$B:$B,PARAMS_MODELO!$B$4,HIST_SCORE!$C:$C,$A89),"")</f>
        <v>0</v>
      </c>
      <c r="Z89" s="5" t="str">
        <f t="shared" si="29"/>
        <v>→ Estable</v>
      </c>
      <c r="AA89" s="5">
        <f t="shared" si="30"/>
        <v>1</v>
      </c>
      <c r="AB89" s="5">
        <f>IFERROR(SUMIFS(HIST_SCORE!$F:$F,HIST_SCORE!$B:$B,PARAMS_MODELO!$B$4,HIST_SCORE!$C:$C,$A89),"")</f>
        <v>1</v>
      </c>
      <c r="AC89" s="5">
        <f t="shared" si="31"/>
        <v>0</v>
      </c>
      <c r="AD89" t="str">
        <f t="shared" si="33"/>
        <v/>
      </c>
      <c r="AE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CERRADO",1,IF(V89="BRONCE",_xlpm.cPl,IF(V89="PLATA",_xlpm.cO,IF(V89="ORO",_xlpm.cP,IF(V89="PLATINO",_xlpm.cD,999))))))</f>
        <v>999</v>
      </c>
      <c r="AF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CERRADO",0,IF(V89="BRONCE",1,IF(V89="PLATA",_xlpm.cPl,IF(V89="ORO",_xlpm.cO,IF(V89="PLATINO",_xlpm.cP,_xlpm.cD))))))</f>
        <v>96.054919694466676</v>
      </c>
      <c r="AG89">
        <f t="shared" si="34"/>
        <v>780.51533970728838</v>
      </c>
      <c r="AH89" t="str">
        <f t="shared" si="35"/>
        <v>SOSTENER</v>
      </c>
      <c r="AI89" t="str">
        <f t="shared" si="32"/>
        <v>✅ Mantener desempeño y monitorear variaciones para sostener categoría.</v>
      </c>
      <c r="AJ89" s="26">
        <f>_xlfn.LET(_xlpm.piso,AF89,_xlpm.corte,AE89,_xlpm.prog,IF(_xlpm.corte&lt;=_xlpm.piso,0,MAX(0,MIN(1,(U89-_xlpm.piso)/(_xlpm.corte-_xlpm.piso)))),_xlpm.orden,{"DIAMANTE";"PLATINO";"ORO";"PLATA";"BRONCE";"CERRADO"},_xlpm.act,IFERROR(MATCH(V89,_xlpm.orden,0),6),_xlpm.ant,IFERROR(MATCH(W89,_xlpm.orden,0),6),_xlpm.ajmov,IF(_xlpm.act&lt;_xlpm.ant,0.08,IF(_xlpm.act&gt;_xlpm.ant,-0.08,0)),_xlpm.ajcli,IF(T89&lt;0.95,-0.06,0),_xlpm.prob,MAX(0,MIN(1,_xlpm.prog+_xlpm.ajmov+_xlpm.ajcli)),IF(OR(V89="DIAMANTE",V89="CERRADO"),0,ROUND(_xlpm.prob,2)))</f>
        <v>0</v>
      </c>
      <c r="AK89" t="str">
        <f t="shared" si="36"/>
        <v>No aplica</v>
      </c>
      <c r="AL89" t="str">
        <f t="shared" si="37"/>
        <v>Margen de seguridad: 3,9 puntos</v>
      </c>
      <c r="AM89">
        <f t="shared" si="38"/>
        <v>0.8</v>
      </c>
      <c r="AN89" t="str">
        <f t="shared" si="39"/>
        <v>PRIORIDAD ALTA – requiere intervención inmediata</v>
      </c>
      <c r="AO89">
        <f t="shared" si="40"/>
        <v>11.36459532997144</v>
      </c>
      <c r="AP89">
        <f t="shared" si="41"/>
        <v>0</v>
      </c>
      <c r="AQ89">
        <f t="shared" si="42"/>
        <v>0</v>
      </c>
      <c r="AR89">
        <f t="shared" si="43"/>
        <v>2.0699999999999985</v>
      </c>
      <c r="AS89">
        <f t="shared" si="44"/>
        <v>0</v>
      </c>
      <c r="AT89" t="str">
        <f t="shared" si="45"/>
        <v>VENTAS</v>
      </c>
      <c r="AU89">
        <f t="shared" si="46"/>
        <v>11.36459532997144</v>
      </c>
      <c r="AV89" t="str">
        <f t="shared" si="47"/>
        <v>Mayor retorno probable: VENTAS (+11,4 puntos finales potenciales).</v>
      </c>
    </row>
    <row r="90" spans="1:48" x14ac:dyDescent="0.3">
      <c r="A90" s="5">
        <v>51025385</v>
      </c>
      <c r="B90" s="5" t="str">
        <f>IFERROR(VLOOKUP(A90,VENTAS!$A$2:$B$1194,2,0),"")</f>
        <v>NELLI</v>
      </c>
      <c r="C90" s="5">
        <f>IFERROR(INDEX(VENTAS!$C$2:$E$1194,MATCH(A90,VENTAS!$A$2:$A$1194,0),MATCH(PARAMS_MODELO!$B$2,{"Q1","Q2","Q3"},0)),0)</f>
        <v>135714964.47999999</v>
      </c>
      <c r="D90" s="5">
        <f>IFERROR(INDEX(VENTAS!$F$2:$H$1194,MATCH(A90,VENTAS!$A$2:$A$1194,0),MATCH(PARAMS_MODELO!$B$2,{"Q1","Q2","Q3"},0)),0)</f>
        <v>165475702</v>
      </c>
      <c r="E90" s="8">
        <f t="shared" si="24"/>
        <v>0.21928854812754106</v>
      </c>
      <c r="F90" s="12">
        <f>IF(E90&lt;=PARAMS_MODELO!$B$15,0,IF(E90&gt;=PARAMS_MODELO!$B$17,100,100*MIN(1,(E90-PARAMS_MODELO!$B$15)/(PARAMS_MODELO!$B$16-PARAMS_MODELO!$B$15))))*PARAMS_MODELO!$B$7</f>
        <v>35</v>
      </c>
      <c r="G90" s="5">
        <f t="shared" si="25"/>
        <v>29760737.520000011</v>
      </c>
      <c r="H90" s="5">
        <f>(PARAMS_MODELO!$B$20*(MAX(0,MIN(3,E90))/3)+PARAMS_MODELO!$B$21*(IFERROR(LN(1+MAX(0,G90))/LN(1+MAX(0,MAX($G$2:$G$1194))),0)))*100*PARAMS_MODELO!$B$8</f>
        <v>4.80146958061232</v>
      </c>
      <c r="I90" s="8">
        <f>E90-PARAMS_MODELO!$B$5</f>
        <v>4.1725712752014532E-2</v>
      </c>
      <c r="J90" s="5">
        <f>IF(I90&lt;=PARAMS_MODELO!$B$18,0,IF(I90&gt;=PARAMS_MODELO!$B$19,100,100*(I90-PARAMS_MODELO!$B$18)/(PARAMS_MODELO!$B$19-PARAMS_MODELO!$B$18)))*PARAMS_MODELO!$B$9</f>
        <v>13.758856912802178</v>
      </c>
      <c r="K90" s="5">
        <f>IFERROR(CHOOSE(MATCH(PARAMS_MODELO!$B$2,{"Q1","Q2","Q3"},0),LOTO!$D90,LOTO!$F90,LOTO!$H90),0)</f>
        <v>8267500.0000000009</v>
      </c>
      <c r="L90" s="8">
        <f t="shared" si="26"/>
        <v>4.9962017988598721E-2</v>
      </c>
      <c r="M90" s="5">
        <f>MIN(100,IF(PARAMS_MODELO!$B$23=0,0,100*L90/PARAMS_MODELO!$B$23))*PARAMS_MODELO!$B$10</f>
        <v>14.988605396579615</v>
      </c>
      <c r="N90" s="5">
        <f>IFERROR(VLOOKUP(A90,COMPLIANCE!$A$2:$F$1996,6,0),100)</f>
        <v>99.85</v>
      </c>
      <c r="O90" s="5">
        <f>N90*PARAMS_MODELO!$B$11</f>
        <v>9.9849999999999994</v>
      </c>
      <c r="P90" s="5">
        <f>IFERROR(VLOOKUP(A90,DIGITAL!$A$2:$J$2000,7,0),100)</f>
        <v>5</v>
      </c>
      <c r="Q90" s="5">
        <f>IFERROR(P90,0)*PARAMS_MODELO!$B$12</f>
        <v>0.5</v>
      </c>
      <c r="R90">
        <f t="shared" si="27"/>
        <v>79.033931889994122</v>
      </c>
      <c r="S90" s="5" t="str">
        <f>IFERROR(VLOOKUP(A90,CLIENTE!$A$2:$N$2000,13,0),1)</f>
        <v>Malo</v>
      </c>
      <c r="T90" s="5">
        <f>IFERROR(VLOOKUP(A90,CLIENTE!$A$2:$N$2000,14,0),1)</f>
        <v>0.7</v>
      </c>
      <c r="U90" s="5">
        <f t="shared" si="28"/>
        <v>55.32375232299588</v>
      </c>
      <c r="V90" s="5" t="str">
        <f>IF(U90&gt;=MAX(_xlfn.PERCENTILE.INC($U$2:$U$1194,PARAMS_MODELO!$B$50),PARAMS_MODELO!$B$45),"DIAMANTE",IF(U90&gt;=MAX(_xlfn.PERCENTILE.INC($U$2:$U$1194,PARAMS_MODELO!$B$51),PARAMS_MODELO!$B$46),"PLATINO",IF(U90&gt;=MAX(_xlfn.PERCENTILE.INC($U$2:$U$1194,PARAMS_MODELO!$B$52),PARAMS_MODELO!$B$47),"ORO",IF(U90&gt;=MAX(_xlfn.PERCENTILE.INC($U$2:$U$1194,PARAMS_MODELO!$B$53),PARAMS_MODELO!$B$48),"PLATA",IF(U90&gt;=1,"BRONCE","CERRADO")))))</f>
        <v>PLATA</v>
      </c>
      <c r="W90" s="5" t="str" cm="1">
        <f t="array" ref="W90">_xlfn.XLOOKUP(1, (HIST_SCORE!$B:$B=PARAMS_MODELO!$B$4) * (HIST_SCORE!$C:$C=A90), HIST_SCORE!$E:$E, "No encontrado")</f>
        <v>PLATA</v>
      </c>
      <c r="X90" s="5" t="str">
        <f>_xlfn.LET(_xlpm.act,MATCH(V90,{"DIAMANTE";"PLATINO";"ORO";"PLATA";"BRONCE";"CERRADO"},0),_xlpm.ant,MATCH(W90,{"DIAMANTE";"PLATINO";"ORO";"PLATA";"BRONCE";"CERRADO"},0),IF(_xlpm.act&lt;_xlpm.ant,"Mejora ↑",IF(_xlpm.act&gt;_xlpm.ant,"Baja ↓","Estable →")))</f>
        <v>Estable →</v>
      </c>
      <c r="Y90" s="5">
        <f>IFERROR(U90-SUMIFS(HIST_SCORE!$D:$D,HIST_SCORE!$B:$B,PARAMS_MODELO!$B$4,HIST_SCORE!$C:$C,$A90),"")</f>
        <v>22.539601642135722</v>
      </c>
      <c r="Z90" s="5" t="str">
        <f t="shared" si="29"/>
        <v>↑ Mejora</v>
      </c>
      <c r="AA90" s="5">
        <f t="shared" si="30"/>
        <v>712</v>
      </c>
      <c r="AB90" s="5">
        <f>IFERROR(SUMIFS(HIST_SCORE!$F:$F,HIST_SCORE!$B:$B,PARAMS_MODELO!$B$4,HIST_SCORE!$C:$C,$A90),"")</f>
        <v>881</v>
      </c>
      <c r="AC90" s="5">
        <f t="shared" si="31"/>
        <v>169</v>
      </c>
      <c r="AD90" t="str">
        <f t="shared" si="33"/>
        <v/>
      </c>
      <c r="AE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CERRADO",1,IF(V90="BRONCE",_xlpm.cPl,IF(V90="PLATA",_xlpm.cO,IF(V90="ORO",_xlpm.cP,IF(V90="PLATINO",_xlpm.cD,999))))))</f>
        <v>63.199193273331495</v>
      </c>
      <c r="AF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CERRADO",0,IF(V90="BRONCE",1,IF(V90="PLATA",_xlpm.cPl,IF(V90="ORO",_xlpm.cO,IF(V90="PLATINO",_xlpm.cP,_xlpm.cD))))))</f>
        <v>24.506573482968111</v>
      </c>
      <c r="AG90">
        <f t="shared" si="34"/>
        <v>11.250629929050874</v>
      </c>
      <c r="AH90" t="str">
        <f t="shared" si="35"/>
        <v>CLIENTE</v>
      </c>
      <c r="AI90" t="str">
        <f t="shared" si="32"/>
        <v>🎯 Para subir de categoría, la eje con mayor impacto probable es CLIENTE (coef T). Acción: reducir quejas, mejorar incógnito y empujar reseñas. ΔR aprox: 11,3</v>
      </c>
      <c r="AJ90" s="26">
        <f>_xlfn.LET(_xlpm.piso,AF90,_xlpm.corte,AE90,_xlpm.prog,IF(_xlpm.corte&lt;=_xlpm.piso,0,MAX(0,MIN(1,(U90-_xlpm.piso)/(_xlpm.corte-_xlpm.piso)))),_xlpm.orden,{"DIAMANTE";"PLATINO";"ORO";"PLATA";"BRONCE";"CERRADO"},_xlpm.act,IFERROR(MATCH(V90,_xlpm.orden,0),6),_xlpm.ant,IFERROR(MATCH(W90,_xlpm.orden,0),6),_xlpm.ajmov,IF(_xlpm.act&lt;_xlpm.ant,0.08,IF(_xlpm.act&gt;_xlpm.ant,-0.08,0)),_xlpm.ajcli,IF(T90&lt;0.95,-0.06,0),_xlpm.prob,MAX(0,MIN(1,_xlpm.prog+_xlpm.ajmov+_xlpm.ajcli)),IF(OR(V90="DIAMANTE",V90="CERRADO"),0,ROUND(_xlpm.prob,2)))</f>
        <v>0.74</v>
      </c>
      <c r="AK90" t="str">
        <f t="shared" si="36"/>
        <v>Faltan 11,3 puntos base para subir a la siguiente categoría</v>
      </c>
      <c r="AL90" t="str">
        <f t="shared" si="37"/>
        <v>Margen de seguridad: 30,8 puntos</v>
      </c>
      <c r="AM90">
        <f t="shared" si="38"/>
        <v>0.7</v>
      </c>
      <c r="AN90" t="str">
        <f t="shared" si="39"/>
        <v>PRIORIDAD ALTA – requiere intervención inmediata</v>
      </c>
      <c r="AO90">
        <f t="shared" si="40"/>
        <v>7.9115699473167584</v>
      </c>
      <c r="AP90">
        <f t="shared" si="41"/>
        <v>7.9762223942694277E-3</v>
      </c>
      <c r="AQ90">
        <f t="shared" si="42"/>
        <v>1.0500000000000398E-2</v>
      </c>
      <c r="AR90">
        <f t="shared" si="43"/>
        <v>6.6499999999999995</v>
      </c>
      <c r="AS90">
        <f t="shared" si="44"/>
        <v>23.710179566998239</v>
      </c>
      <c r="AT90" t="str">
        <f t="shared" si="45"/>
        <v>CLIENTE</v>
      </c>
      <c r="AU90">
        <f t="shared" si="46"/>
        <v>23.710179566998239</v>
      </c>
      <c r="AV90" t="str">
        <f t="shared" si="47"/>
        <v>Mayor retorno probable: CLIENTE (+23,7 puntos finales potenciales).</v>
      </c>
    </row>
    <row r="91" spans="1:48" x14ac:dyDescent="0.3">
      <c r="A91" s="5">
        <v>51057163</v>
      </c>
      <c r="B91" s="5" t="str">
        <f>IFERROR(VLOOKUP(A91,VENTAS!$A$2:$B$1194,2,0),"")</f>
        <v>CICHETTO</v>
      </c>
      <c r="C91" s="5">
        <f>IFERROR(INDEX(VENTAS!$C$2:$E$1194,MATCH(A91,VENTAS!$A$2:$A$1194,0),MATCH(PARAMS_MODELO!$B$2,{"Q1","Q2","Q3"},0)),0)</f>
        <v>144958421.94999999</v>
      </c>
      <c r="D91" s="5">
        <f>IFERROR(INDEX(VENTAS!$F$2:$H$1194,MATCH(A91,VENTAS!$A$2:$A$1194,0),MATCH(PARAMS_MODELO!$B$2,{"Q1","Q2","Q3"},0)),0)</f>
        <v>163496612</v>
      </c>
      <c r="E91" s="8">
        <f t="shared" si="24"/>
        <v>0.12788625731862835</v>
      </c>
      <c r="F91" s="12">
        <f>IF(E91&lt;=PARAMS_MODELO!$B$15,0,IF(E91&gt;=PARAMS_MODELO!$B$17,100,100*MIN(1,(E91-PARAMS_MODELO!$B$15)/(PARAMS_MODELO!$B$16-PARAMS_MODELO!$B$15))))*PARAMS_MODELO!$B$7</f>
        <v>35</v>
      </c>
      <c r="G91" s="5">
        <f t="shared" si="25"/>
        <v>18538190.050000012</v>
      </c>
      <c r="H91" s="5">
        <f>(PARAMS_MODELO!$B$20*(MAX(0,MIN(3,E91))/3)+PARAMS_MODELO!$B$21*(IFERROR(LN(1+MAX(0,G91))/LN(1+MAX(0,MAX($G$2:$G$1194))),0)))*100*PARAMS_MODELO!$B$8</f>
        <v>4.3706000641518985</v>
      </c>
      <c r="I91" s="8">
        <f>E91-PARAMS_MODELO!$B$5</f>
        <v>-4.967657805689818E-2</v>
      </c>
      <c r="J91" s="5">
        <f>IF(I91&lt;=PARAMS_MODELO!$B$18,0,IF(I91&gt;=PARAMS_MODELO!$B$19,100,100*(I91-PARAMS_MODELO!$B$18)/(PARAMS_MODELO!$B$19-PARAMS_MODELO!$B$18)))*PARAMS_MODELO!$B$9</f>
        <v>4.8513291465273473E-2</v>
      </c>
      <c r="K91" s="5">
        <f>IFERROR(CHOOSE(MATCH(PARAMS_MODELO!$B$2,{"Q1","Q2","Q3"},0),LOTO!$D91,LOTO!$F91,LOTO!$H91),0)</f>
        <v>8250000</v>
      </c>
      <c r="L91" s="8">
        <f t="shared" si="26"/>
        <v>5.0459761208996798E-2</v>
      </c>
      <c r="M91" s="5">
        <f>MIN(100,IF(PARAMS_MODELO!$B$23=0,0,100*L91/PARAMS_MODELO!$B$23))*PARAMS_MODELO!$B$10</f>
        <v>15</v>
      </c>
      <c r="N91" s="5">
        <f>IFERROR(VLOOKUP(A91,COMPLIANCE!$A$2:$F$1996,6,0),100)</f>
        <v>100</v>
      </c>
      <c r="O91" s="5">
        <f>N91*PARAMS_MODELO!$B$11</f>
        <v>10</v>
      </c>
      <c r="P91" s="5">
        <f>IFERROR(VLOOKUP(A91,DIGITAL!$A$2:$J$2000,7,0),100)</f>
        <v>4</v>
      </c>
      <c r="Q91" s="5">
        <f>IFERROR(P91,0)*PARAMS_MODELO!$B$12</f>
        <v>0.4</v>
      </c>
      <c r="R91">
        <f t="shared" si="27"/>
        <v>64.819113355617191</v>
      </c>
      <c r="S91" s="5" t="str">
        <f>IFERROR(VLOOKUP(A91,CLIENTE!$A$2:$N$2000,13,0),1)</f>
        <v>Malo</v>
      </c>
      <c r="T91" s="5">
        <f>IFERROR(VLOOKUP(A91,CLIENTE!$A$2:$N$2000,14,0),1)</f>
        <v>0.7</v>
      </c>
      <c r="U91" s="5">
        <f t="shared" si="28"/>
        <v>45.373379348932033</v>
      </c>
      <c r="V91" s="5" t="str">
        <f>IF(U91&gt;=MAX(_xlfn.PERCENTILE.INC($U$2:$U$1194,PARAMS_MODELO!$B$50),PARAMS_MODELO!$B$45),"DIAMANTE",IF(U91&gt;=MAX(_xlfn.PERCENTILE.INC($U$2:$U$1194,PARAMS_MODELO!$B$51),PARAMS_MODELO!$B$46),"PLATINO",IF(U91&gt;=MAX(_xlfn.PERCENTILE.INC($U$2:$U$1194,PARAMS_MODELO!$B$52),PARAMS_MODELO!$B$47),"ORO",IF(U91&gt;=MAX(_xlfn.PERCENTILE.INC($U$2:$U$1194,PARAMS_MODELO!$B$53),PARAMS_MODELO!$B$48),"PLATA",IF(U91&gt;=1,"BRONCE","CERRADO")))))</f>
        <v>PLATA</v>
      </c>
      <c r="W91" s="5" t="str" cm="1">
        <f t="array" ref="W91">_xlfn.XLOOKUP(1, (HIST_SCORE!$B:$B=PARAMS_MODELO!$B$4) * (HIST_SCORE!$C:$C=A91), HIST_SCORE!$E:$E, "No encontrado")</f>
        <v>PLATA</v>
      </c>
      <c r="X91" s="5" t="str">
        <f>_xlfn.LET(_xlpm.act,MATCH(V91,{"DIAMANTE";"PLATINO";"ORO";"PLATA";"BRONCE";"CERRADO"},0),_xlpm.ant,MATCH(W91,{"DIAMANTE";"PLATINO";"ORO";"PLATA";"BRONCE";"CERRADO"},0),IF(_xlpm.act&lt;_xlpm.ant,"Mejora ↑",IF(_xlpm.act&gt;_xlpm.ant,"Baja ↓","Estable →")))</f>
        <v>Estable →</v>
      </c>
      <c r="Y91" s="5">
        <f>IFERROR(U91-SUMIFS(HIST_SCORE!$D:$D,HIST_SCORE!$B:$B,PARAMS_MODELO!$B$4,HIST_SCORE!$C:$C,$A91),"")</f>
        <v>-9.7480192741567038</v>
      </c>
      <c r="Z91" s="5" t="str">
        <f t="shared" si="29"/>
        <v>↓ Baja</v>
      </c>
      <c r="AA91" s="5">
        <f t="shared" si="30"/>
        <v>772</v>
      </c>
      <c r="AB91" s="5">
        <f>IFERROR(SUMIFS(HIST_SCORE!$F:$F,HIST_SCORE!$B:$B,PARAMS_MODELO!$B$4,HIST_SCORE!$C:$C,$A91),"")</f>
        <v>733</v>
      </c>
      <c r="AC91" s="5">
        <f t="shared" si="31"/>
        <v>-39</v>
      </c>
      <c r="AD91" t="str">
        <f t="shared" si="33"/>
        <v/>
      </c>
      <c r="AE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CERRADO",1,IF(V91="BRONCE",_xlpm.cPl,IF(V91="PLATA",_xlpm.cO,IF(V91="ORO",_xlpm.cP,IF(V91="PLATINO",_xlpm.cD,999))))))</f>
        <v>63.199193273331495</v>
      </c>
      <c r="AF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CERRADO",0,IF(V91="BRONCE",1,IF(V91="PLATA",_xlpm.cPl,IF(V91="ORO",_xlpm.cO,IF(V91="PLATINO",_xlpm.cP,_xlpm.cD))))))</f>
        <v>24.506573482968111</v>
      </c>
      <c r="AG91">
        <f t="shared" si="34"/>
        <v>25.465448463427805</v>
      </c>
      <c r="AH91" t="str">
        <f t="shared" si="35"/>
        <v>CLIENTE</v>
      </c>
      <c r="AI91" t="str">
        <f t="shared" si="32"/>
        <v>🎯 Para subir de categoría, la eje con mayor impacto probable es CLIENTE (coef T). Acción: reducir quejas, mejorar incógnito y empujar reseñas. ΔR aprox: 25,5</v>
      </c>
      <c r="AJ91" s="26">
        <f>_xlfn.LET(_xlpm.piso,AF91,_xlpm.corte,AE91,_xlpm.prog,IF(_xlpm.corte&lt;=_xlpm.piso,0,MAX(0,MIN(1,(U91-_xlpm.piso)/(_xlpm.corte-_xlpm.piso)))),_xlpm.orden,{"DIAMANTE";"PLATINO";"ORO";"PLATA";"BRONCE";"CERRADO"},_xlpm.act,IFERROR(MATCH(V91,_xlpm.orden,0),6),_xlpm.ant,IFERROR(MATCH(W91,_xlpm.orden,0),6),_xlpm.ajmov,IF(_xlpm.act&lt;_xlpm.ant,0.08,IF(_xlpm.act&gt;_xlpm.ant,-0.08,0)),_xlpm.ajcli,IF(T91&lt;0.95,-0.06,0),_xlpm.prob,MAX(0,MIN(1,_xlpm.prog+_xlpm.ajmov+_xlpm.ajcli)),IF(OR(V91="DIAMANTE",V91="CERRADO"),0,ROUND(_xlpm.prob,2)))</f>
        <v>0.48</v>
      </c>
      <c r="AK91" t="str">
        <f t="shared" si="36"/>
        <v>Faltan 25,5 puntos base para subir a la siguiente categoría</v>
      </c>
      <c r="AL91" t="str">
        <f t="shared" si="37"/>
        <v>Margen de seguridad: 20,9 puntos</v>
      </c>
      <c r="AM91">
        <f t="shared" si="38"/>
        <v>0.81</v>
      </c>
      <c r="AN91" t="str">
        <f t="shared" si="39"/>
        <v>PRIORIDAD ALTA – requiere intervención inmediata</v>
      </c>
      <c r="AO91">
        <f t="shared" si="40"/>
        <v>17.810419143774883</v>
      </c>
      <c r="AP91">
        <f t="shared" si="41"/>
        <v>0</v>
      </c>
      <c r="AQ91">
        <f t="shared" si="42"/>
        <v>0</v>
      </c>
      <c r="AR91">
        <f t="shared" si="43"/>
        <v>6.72</v>
      </c>
      <c r="AS91">
        <f t="shared" si="44"/>
        <v>19.445734006685161</v>
      </c>
      <c r="AT91" t="str">
        <f t="shared" si="45"/>
        <v>CLIENTE</v>
      </c>
      <c r="AU91">
        <f t="shared" si="46"/>
        <v>19.445734006685161</v>
      </c>
      <c r="AV91" t="str">
        <f t="shared" si="47"/>
        <v>Mayor retorno probable: CLIENTE (+19,4 puntos finales potenciales).</v>
      </c>
    </row>
    <row r="92" spans="1:48" x14ac:dyDescent="0.3">
      <c r="A92" s="5">
        <v>51055985</v>
      </c>
      <c r="B92" s="5" t="str">
        <f>IFERROR(VLOOKUP(A92,VENTAS!$A$2:$B$1194,2,0),"")</f>
        <v>NELLI</v>
      </c>
      <c r="C92" s="5">
        <f>IFERROR(INDEX(VENTAS!$C$2:$E$1194,MATCH(A92,VENTAS!$A$2:$A$1194,0),MATCH(PARAMS_MODELO!$B$2,{"Q1","Q2","Q3"},0)),0)</f>
        <v>208760231.5</v>
      </c>
      <c r="D92" s="5">
        <f>IFERROR(INDEX(VENTAS!$F$2:$H$1194,MATCH(A92,VENTAS!$A$2:$A$1194,0),MATCH(PARAMS_MODELO!$B$2,{"Q1","Q2","Q3"},0)),0)</f>
        <v>162997532</v>
      </c>
      <c r="E92" s="8">
        <f t="shared" si="24"/>
        <v>-0.21921176831038336</v>
      </c>
      <c r="F92" s="12">
        <f>IF(E92&lt;=PARAMS_MODELO!$B$15,0,IF(E92&gt;=PARAMS_MODELO!$B$17,100,100*MIN(1,(E92-PARAMS_MODELO!$B$15)/(PARAMS_MODELO!$B$16-PARAMS_MODELO!$B$15))))*PARAMS_MODELO!$B$7</f>
        <v>0</v>
      </c>
      <c r="G92" s="5">
        <f t="shared" si="25"/>
        <v>0</v>
      </c>
      <c r="H92" s="5">
        <f>(PARAMS_MODELO!$B$20*(MAX(0,MIN(3,E92))/3)+PARAMS_MODELO!$B$21*(IFERROR(LN(1+MAX(0,G92))/LN(1+MAX(0,MAX($G$2:$G$1194))),0)))*100*PARAMS_MODELO!$B$8</f>
        <v>0</v>
      </c>
      <c r="I92" s="8">
        <f>E92-PARAMS_MODELO!$B$5</f>
        <v>-0.39677460368590989</v>
      </c>
      <c r="J92" s="5">
        <f>IF(I92&lt;=PARAMS_MODELO!$B$18,0,IF(I92&gt;=PARAMS_MODELO!$B$19,100,100*(I92-PARAMS_MODELO!$B$18)/(PARAMS_MODELO!$B$19-PARAMS_MODELO!$B$18)))*PARAMS_MODELO!$B$9</f>
        <v>0</v>
      </c>
      <c r="K92" s="5">
        <f>IFERROR(CHOOSE(MATCH(PARAMS_MODELO!$B$2,{"Q1","Q2","Q3"},0),LOTO!$D92,LOTO!$F92,LOTO!$H92),0)</f>
        <v>8250000</v>
      </c>
      <c r="L92" s="8">
        <f t="shared" si="26"/>
        <v>5.0614263288354576E-2</v>
      </c>
      <c r="M92" s="5">
        <f>MIN(100,IF(PARAMS_MODELO!$B$23=0,0,100*L92/PARAMS_MODELO!$B$23))*PARAMS_MODELO!$B$10</f>
        <v>15</v>
      </c>
      <c r="N92" s="5">
        <f>IFERROR(VLOOKUP(A92,COMPLIANCE!$A$2:$F$1996,6,0),100)</f>
        <v>99.7</v>
      </c>
      <c r="O92" s="5">
        <f>N92*PARAMS_MODELO!$B$11</f>
        <v>9.9700000000000006</v>
      </c>
      <c r="P92" s="5">
        <f>IFERROR(VLOOKUP(A92,DIGITAL!$A$2:$J$2000,7,0),100)</f>
        <v>55</v>
      </c>
      <c r="Q92" s="5">
        <f>IFERROR(P92,0)*PARAMS_MODELO!$B$12</f>
        <v>5.5</v>
      </c>
      <c r="R92">
        <f t="shared" si="27"/>
        <v>30.47</v>
      </c>
      <c r="S92" s="5" t="str">
        <f>IFERROR(VLOOKUP(A92,CLIENTE!$A$2:$N$2000,13,0),1)</f>
        <v>Malo</v>
      </c>
      <c r="T92" s="5">
        <f>IFERROR(VLOOKUP(A92,CLIENTE!$A$2:$N$2000,14,0),1)</f>
        <v>0.7</v>
      </c>
      <c r="U92" s="5">
        <f t="shared" si="28"/>
        <v>21.328999999999997</v>
      </c>
      <c r="V92" s="5" t="str">
        <f>IF(U92&gt;=MAX(_xlfn.PERCENTILE.INC($U$2:$U$1194,PARAMS_MODELO!$B$50),PARAMS_MODELO!$B$45),"DIAMANTE",IF(U92&gt;=MAX(_xlfn.PERCENTILE.INC($U$2:$U$1194,PARAMS_MODELO!$B$51),PARAMS_MODELO!$B$46),"PLATINO",IF(U92&gt;=MAX(_xlfn.PERCENTILE.INC($U$2:$U$1194,PARAMS_MODELO!$B$52),PARAMS_MODELO!$B$47),"ORO",IF(U92&gt;=MAX(_xlfn.PERCENTILE.INC($U$2:$U$1194,PARAMS_MODELO!$B$53),PARAMS_MODELO!$B$48),"PLATA",IF(U92&gt;=1,"BRONCE","CERRADO")))))</f>
        <v>BRONCE</v>
      </c>
      <c r="W92" s="5" t="str" cm="1">
        <f t="array" ref="W92">_xlfn.XLOOKUP(1, (HIST_SCORE!$B:$B=PARAMS_MODELO!$B$4) * (HIST_SCORE!$C:$C=A92), HIST_SCORE!$E:$E, "No encontrado")</f>
        <v>PLATA</v>
      </c>
      <c r="X92" s="5" t="str">
        <f>_xlfn.LET(_xlpm.act,MATCH(V92,{"DIAMANTE";"PLATINO";"ORO";"PLATA";"BRONCE";"CERRADO"},0),_xlpm.ant,MATCH(W92,{"DIAMANTE";"PLATINO";"ORO";"PLATA";"BRONCE";"CERRADO"},0),IF(_xlpm.act&lt;_xlpm.ant,"Mejora ↑",IF(_xlpm.act&gt;_xlpm.ant,"Baja ↓","Estable →")))</f>
        <v>Baja ↓</v>
      </c>
      <c r="Y92" s="5">
        <f>IFERROR(U92-SUMIFS(HIST_SCORE!$D:$D,HIST_SCORE!$B:$B,PARAMS_MODELO!$B$4,HIST_SCORE!$C:$C,$A92),"")</f>
        <v>-4.4073648232636735</v>
      </c>
      <c r="Z92" s="5" t="str">
        <f t="shared" si="29"/>
        <v>→ Estable</v>
      </c>
      <c r="AA92" s="5">
        <f t="shared" si="30"/>
        <v>959</v>
      </c>
      <c r="AB92" s="5">
        <f>IFERROR(SUMIFS(HIST_SCORE!$F:$F,HIST_SCORE!$B:$B,PARAMS_MODELO!$B$4,HIST_SCORE!$C:$C,$A92),"")</f>
        <v>943</v>
      </c>
      <c r="AC92" s="5">
        <f t="shared" si="31"/>
        <v>-16</v>
      </c>
      <c r="AD92" t="str">
        <f t="shared" si="33"/>
        <v>Plan de recuperación: foco crecimiento + mix</v>
      </c>
      <c r="AE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CERRADO",1,IF(V92="BRONCE",_xlpm.cPl,IF(V92="PLATA",_xlpm.cO,IF(V92="ORO",_xlpm.cP,IF(V92="PLATINO",_xlpm.cD,999))))))</f>
        <v>24.506573482968111</v>
      </c>
      <c r="AF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CERRADO",0,IF(V92="BRONCE",1,IF(V92="PLATA",_xlpm.cPl,IF(V92="ORO",_xlpm.cO,IF(V92="PLATINO",_xlpm.cP,_xlpm.cD))))))</f>
        <v>1</v>
      </c>
      <c r="AG92">
        <f t="shared" si="34"/>
        <v>4.5393906899544447</v>
      </c>
      <c r="AH92" t="str">
        <f t="shared" si="35"/>
        <v>CLIENTE</v>
      </c>
      <c r="AI92" t="str">
        <f t="shared" si="32"/>
        <v>🎯 Para subir de categoría, la eje con mayor impacto probable es CLIENTE (coef T). Acción: reducir quejas, mejorar incógnito y empujar reseñas. ΔR aprox: 4,5</v>
      </c>
      <c r="AJ92" s="26">
        <f>_xlfn.LET(_xlpm.piso,AF92,_xlpm.corte,AE92,_xlpm.prog,IF(_xlpm.corte&lt;=_xlpm.piso,0,MAX(0,MIN(1,(U92-_xlpm.piso)/(_xlpm.corte-_xlpm.piso)))),_xlpm.orden,{"DIAMANTE";"PLATINO";"ORO";"PLATA";"BRONCE";"CERRADO"},_xlpm.act,IFERROR(MATCH(V92,_xlpm.orden,0),6),_xlpm.ant,IFERROR(MATCH(W92,_xlpm.orden,0),6),_xlpm.ajmov,IF(_xlpm.act&lt;_xlpm.ant,0.08,IF(_xlpm.act&gt;_xlpm.ant,-0.08,0)),_xlpm.ajcli,IF(T92&lt;0.95,-0.06,0),_xlpm.prob,MAX(0,MIN(1,_xlpm.prog+_xlpm.ajmov+_xlpm.ajcli)),IF(OR(V92="DIAMANTE",V92="CERRADO"),0,ROUND(_xlpm.prob,2)))</f>
        <v>0.72</v>
      </c>
      <c r="AK92" t="str">
        <f t="shared" si="36"/>
        <v>Faltan 4,5 puntos base para subir a la siguiente categoría</v>
      </c>
      <c r="AL92" t="str">
        <f t="shared" si="37"/>
        <v>No aplica</v>
      </c>
      <c r="AM92">
        <f t="shared" si="38"/>
        <v>0.49</v>
      </c>
      <c r="AN92" t="str">
        <f t="shared" si="39"/>
        <v>PRIORIDAD MEDIA – seguimiento del asesor</v>
      </c>
      <c r="AO92">
        <f t="shared" si="40"/>
        <v>45.403798492706905</v>
      </c>
      <c r="AP92">
        <f t="shared" si="41"/>
        <v>0</v>
      </c>
      <c r="AQ92">
        <f t="shared" si="42"/>
        <v>2.099999999999955E-2</v>
      </c>
      <c r="AR92">
        <f t="shared" si="43"/>
        <v>3.15</v>
      </c>
      <c r="AS92">
        <f t="shared" si="44"/>
        <v>9.1410000000000018</v>
      </c>
      <c r="AT92" t="str">
        <f t="shared" si="45"/>
        <v>VENTAS</v>
      </c>
      <c r="AU92">
        <f t="shared" si="46"/>
        <v>45.403798492706905</v>
      </c>
      <c r="AV92" t="str">
        <f t="shared" si="47"/>
        <v>Mayor retorno probable: VENTAS (+45,4 puntos finales potenciales).</v>
      </c>
    </row>
    <row r="93" spans="1:48" x14ac:dyDescent="0.3">
      <c r="A93" s="5">
        <v>51032993</v>
      </c>
      <c r="B93" s="5" t="str">
        <f>IFERROR(VLOOKUP(A93,VENTAS!$A$2:$B$1194,2,0),"")</f>
        <v>ARGUELLO</v>
      </c>
      <c r="C93" s="5">
        <f>IFERROR(INDEX(VENTAS!$C$2:$E$1194,MATCH(A93,VENTAS!$A$2:$A$1194,0),MATCH(PARAMS_MODELO!$B$2,{"Q1","Q2","Q3"},0)),0)</f>
        <v>120110935</v>
      </c>
      <c r="D93" s="5">
        <f>IFERROR(INDEX(VENTAS!$F$2:$H$1194,MATCH(A93,VENTAS!$A$2:$A$1194,0),MATCH(PARAMS_MODELO!$B$2,{"Q1","Q2","Q3"},0)),0)</f>
        <v>162529471</v>
      </c>
      <c r="E93" s="8">
        <f t="shared" si="24"/>
        <v>0.35316131707741683</v>
      </c>
      <c r="F93" s="12">
        <f>IF(E93&lt;=PARAMS_MODELO!$B$15,0,IF(E93&gt;=PARAMS_MODELO!$B$17,100,100*MIN(1,(E93-PARAMS_MODELO!$B$15)/(PARAMS_MODELO!$B$16-PARAMS_MODELO!$B$15))))*PARAMS_MODELO!$B$7</f>
        <v>35</v>
      </c>
      <c r="G93" s="5">
        <f t="shared" si="25"/>
        <v>42418536</v>
      </c>
      <c r="H93" s="5">
        <f>(PARAMS_MODELO!$B$20*(MAX(0,MIN(3,E93))/3)+PARAMS_MODELO!$B$21*(IFERROR(LN(1+MAX(0,G93))/LN(1+MAX(0,MAX($G$2:$G$1194))),0)))*100*PARAMS_MODELO!$B$8</f>
        <v>5.353099509407552</v>
      </c>
      <c r="I93" s="8">
        <f>E93-PARAMS_MODELO!$B$5</f>
        <v>0.1755984817018903</v>
      </c>
      <c r="J93" s="5">
        <f>IF(I93&lt;=PARAMS_MODELO!$B$18,0,IF(I93&gt;=PARAMS_MODELO!$B$19,100,100*(I93-PARAMS_MODELO!$B$18)/(PARAMS_MODELO!$B$19-PARAMS_MODELO!$B$18)))*PARAMS_MODELO!$B$9</f>
        <v>15</v>
      </c>
      <c r="K93" s="5">
        <f>IFERROR(CHOOSE(MATCH(PARAMS_MODELO!$B$2,{"Q1","Q2","Q3"},0),LOTO!$D93,LOTO!$F93,LOTO!$H93),0)</f>
        <v>8242500</v>
      </c>
      <c r="L93" s="8">
        <f t="shared" si="26"/>
        <v>5.0713879453899165E-2</v>
      </c>
      <c r="M93" s="5">
        <f>MIN(100,IF(PARAMS_MODELO!$B$23=0,0,100*L93/PARAMS_MODELO!$B$23))*PARAMS_MODELO!$B$10</f>
        <v>15</v>
      </c>
      <c r="N93" s="5">
        <f>IFERROR(VLOOKUP(A93,COMPLIANCE!$A$2:$F$1996,6,0),100)</f>
        <v>99.85</v>
      </c>
      <c r="O93" s="5">
        <f>N93*PARAMS_MODELO!$B$11</f>
        <v>9.9849999999999994</v>
      </c>
      <c r="P93" s="5">
        <f>IFERROR(VLOOKUP(A93,DIGITAL!$A$2:$J$2000,7,0),100)</f>
        <v>20</v>
      </c>
      <c r="Q93" s="5">
        <f>IFERROR(P93,0)*PARAMS_MODELO!$B$12</f>
        <v>2</v>
      </c>
      <c r="R93">
        <f t="shared" si="27"/>
        <v>82.338099509407542</v>
      </c>
      <c r="S93" s="5" t="str">
        <f>IFERROR(VLOOKUP(A93,CLIENTE!$A$2:$N$2000,13,0),1)</f>
        <v>Excelente</v>
      </c>
      <c r="T93" s="5">
        <f>IFERROR(VLOOKUP(A93,CLIENTE!$A$2:$N$2000,14,0),1)</f>
        <v>1.2</v>
      </c>
      <c r="U93" s="5">
        <f t="shared" si="28"/>
        <v>98.805719411289047</v>
      </c>
      <c r="V93" s="5" t="str">
        <f>IF(U93&gt;=MAX(_xlfn.PERCENTILE.INC($U$2:$U$1194,PARAMS_MODELO!$B$50),PARAMS_MODELO!$B$45),"DIAMANTE",IF(U93&gt;=MAX(_xlfn.PERCENTILE.INC($U$2:$U$1194,PARAMS_MODELO!$B$51),PARAMS_MODELO!$B$46),"PLATINO",IF(U93&gt;=MAX(_xlfn.PERCENTILE.INC($U$2:$U$1194,PARAMS_MODELO!$B$52),PARAMS_MODELO!$B$47),"ORO",IF(U93&gt;=MAX(_xlfn.PERCENTILE.INC($U$2:$U$1194,PARAMS_MODELO!$B$53),PARAMS_MODELO!$B$48),"PLATA",IF(U93&gt;=1,"BRONCE","CERRADO")))))</f>
        <v>DIAMANTE</v>
      </c>
      <c r="W93" s="5" t="str" cm="1">
        <f t="array" ref="W93">_xlfn.XLOOKUP(1, (HIST_SCORE!$B:$B=PARAMS_MODELO!$B$4) * (HIST_SCORE!$C:$C=A93), HIST_SCORE!$E:$E, "No encontrado")</f>
        <v>DIAMANTE</v>
      </c>
      <c r="X93" s="5" t="str">
        <f>_xlfn.LET(_xlpm.act,MATCH(V93,{"DIAMANTE";"PLATINO";"ORO";"PLATA";"BRONCE";"CERRADO"},0),_xlpm.ant,MATCH(W93,{"DIAMANTE";"PLATINO";"ORO";"PLATA";"BRONCE";"CERRADO"},0),IF(_xlpm.act&lt;_xlpm.ant,"Mejora ↑",IF(_xlpm.act&gt;_xlpm.ant,"Baja ↓","Estable →")))</f>
        <v>Estable →</v>
      </c>
      <c r="Y93" s="5">
        <f>IFERROR(U93-SUMIFS(HIST_SCORE!$D:$D,HIST_SCORE!$B:$B,PARAMS_MODELO!$B$4,HIST_SCORE!$C:$C,$A93),"")</f>
        <v>1.3035632070874215</v>
      </c>
      <c r="Z93" s="5" t="str">
        <f t="shared" si="29"/>
        <v>→ Estable</v>
      </c>
      <c r="AA93" s="5">
        <f t="shared" si="30"/>
        <v>26</v>
      </c>
      <c r="AB93" s="5">
        <f>IFERROR(SUMIFS(HIST_SCORE!$F:$F,HIST_SCORE!$B:$B,PARAMS_MODELO!$B$4,HIST_SCORE!$C:$C,$A93),"")</f>
        <v>34</v>
      </c>
      <c r="AC93" s="5">
        <f t="shared" si="31"/>
        <v>8</v>
      </c>
      <c r="AD93" t="str">
        <f t="shared" si="33"/>
        <v/>
      </c>
      <c r="AE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CERRADO",1,IF(V93="BRONCE",_xlpm.cPl,IF(V93="PLATA",_xlpm.cO,IF(V93="ORO",_xlpm.cP,IF(V93="PLATINO",_xlpm.cD,999))))))</f>
        <v>999</v>
      </c>
      <c r="AF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CERRADO",0,IF(V93="BRONCE",1,IF(V93="PLATA",_xlpm.cPl,IF(V93="ORO",_xlpm.cO,IF(V93="PLATINO",_xlpm.cP,_xlpm.cD))))))</f>
        <v>96.054919694466676</v>
      </c>
      <c r="AG93">
        <f t="shared" si="34"/>
        <v>750.16190049059242</v>
      </c>
      <c r="AH93" t="str">
        <f t="shared" si="35"/>
        <v>SOSTENER</v>
      </c>
      <c r="AI93" t="str">
        <f t="shared" si="32"/>
        <v>✅ Mantener desempeño y monitorear variaciones para sostener categoría.</v>
      </c>
      <c r="AJ93" s="26">
        <f>_xlfn.LET(_xlpm.piso,AF93,_xlpm.corte,AE93,_xlpm.prog,IF(_xlpm.corte&lt;=_xlpm.piso,0,MAX(0,MIN(1,(U93-_xlpm.piso)/(_xlpm.corte-_xlpm.piso)))),_xlpm.orden,{"DIAMANTE";"PLATINO";"ORO";"PLATA";"BRONCE";"CERRADO"},_xlpm.act,IFERROR(MATCH(V93,_xlpm.orden,0),6),_xlpm.ant,IFERROR(MATCH(W93,_xlpm.orden,0),6),_xlpm.ajmov,IF(_xlpm.act&lt;_xlpm.ant,0.08,IF(_xlpm.act&gt;_xlpm.ant,-0.08,0)),_xlpm.ajcli,IF(T93&lt;0.95,-0.06,0),_xlpm.prob,MAX(0,MIN(1,_xlpm.prog+_xlpm.ajmov+_xlpm.ajcli)),IF(OR(V93="DIAMANTE",V93="CERRADO"),0,ROUND(_xlpm.prob,2)))</f>
        <v>0</v>
      </c>
      <c r="AK93" t="str">
        <f t="shared" si="36"/>
        <v>No aplica</v>
      </c>
      <c r="AL93" t="str">
        <f t="shared" si="37"/>
        <v>Margen de seguridad: 2,8 puntos</v>
      </c>
      <c r="AM93">
        <f t="shared" si="38"/>
        <v>0.8</v>
      </c>
      <c r="AN93" t="str">
        <f t="shared" si="39"/>
        <v>PRIORIDAD ALTA – requiere intervención inmediata</v>
      </c>
      <c r="AO93">
        <f t="shared" si="40"/>
        <v>11.411363719065642</v>
      </c>
      <c r="AP93">
        <f t="shared" si="41"/>
        <v>0</v>
      </c>
      <c r="AQ93">
        <f t="shared" si="42"/>
        <v>1.8000000000000682E-2</v>
      </c>
      <c r="AR93">
        <f t="shared" si="43"/>
        <v>9.6</v>
      </c>
      <c r="AS93">
        <f t="shared" si="44"/>
        <v>0</v>
      </c>
      <c r="AT93" t="str">
        <f t="shared" si="45"/>
        <v>VENTAS</v>
      </c>
      <c r="AU93">
        <f t="shared" si="46"/>
        <v>11.411363719065642</v>
      </c>
      <c r="AV93" t="str">
        <f t="shared" si="47"/>
        <v>Mayor retorno probable: VENTAS (+11,4 puntos finales potenciales).</v>
      </c>
    </row>
    <row r="94" spans="1:48" x14ac:dyDescent="0.3">
      <c r="A94" s="5">
        <v>51015088</v>
      </c>
      <c r="B94" s="5" t="str">
        <f>IFERROR(VLOOKUP(A94,VENTAS!$A$2:$B$1194,2,0),"")</f>
        <v>BELUZZO</v>
      </c>
      <c r="C94" s="5">
        <f>IFERROR(INDEX(VENTAS!$C$2:$E$1194,MATCH(A94,VENTAS!$A$2:$A$1194,0),MATCH(PARAMS_MODELO!$B$2,{"Q1","Q2","Q3"},0)),0)</f>
        <v>115374875.86</v>
      </c>
      <c r="D94" s="5">
        <f>IFERROR(INDEX(VENTAS!$F$2:$H$1194,MATCH(A94,VENTAS!$A$2:$A$1194,0),MATCH(PARAMS_MODELO!$B$2,{"Q1","Q2","Q3"},0)),0)</f>
        <v>162492115</v>
      </c>
      <c r="E94" s="8">
        <f t="shared" si="24"/>
        <v>0.40838387724181602</v>
      </c>
      <c r="F94" s="12">
        <f>IF(E94&lt;=PARAMS_MODELO!$B$15,0,IF(E94&gt;=PARAMS_MODELO!$B$17,100,100*MIN(1,(E94-PARAMS_MODELO!$B$15)/(PARAMS_MODELO!$B$16-PARAMS_MODELO!$B$15))))*PARAMS_MODELO!$B$7</f>
        <v>35</v>
      </c>
      <c r="G94" s="5">
        <f t="shared" si="25"/>
        <v>47117239.140000001</v>
      </c>
      <c r="H94" s="5">
        <f>(PARAMS_MODELO!$B$20*(MAX(0,MIN(3,E94))/3)+PARAMS_MODELO!$B$21*(IFERROR(LN(1+MAX(0,G94))/LN(1+MAX(0,MAX($G$2:$G$1194))),0)))*100*PARAMS_MODELO!$B$8</f>
        <v>5.5710044785620516</v>
      </c>
      <c r="I94" s="8">
        <f>E94-PARAMS_MODELO!$B$5</f>
        <v>0.23082104186628949</v>
      </c>
      <c r="J94" s="5">
        <f>IF(I94&lt;=PARAMS_MODELO!$B$18,0,IF(I94&gt;=PARAMS_MODELO!$B$19,100,100*(I94-PARAMS_MODELO!$B$18)/(PARAMS_MODELO!$B$19-PARAMS_MODELO!$B$18)))*PARAMS_MODELO!$B$9</f>
        <v>15</v>
      </c>
      <c r="K94" s="5">
        <f>IFERROR(CHOOSE(MATCH(PARAMS_MODELO!$B$2,{"Q1","Q2","Q3"},0),LOTO!$D94,LOTO!$F94,LOTO!$H94),0)</f>
        <v>8237500</v>
      </c>
      <c r="L94" s="8">
        <f t="shared" si="26"/>
        <v>5.0694767558413525E-2</v>
      </c>
      <c r="M94" s="5">
        <f>MIN(100,IF(PARAMS_MODELO!$B$23=0,0,100*L94/PARAMS_MODELO!$B$23))*PARAMS_MODELO!$B$10</f>
        <v>15</v>
      </c>
      <c r="N94" s="5">
        <f>IFERROR(VLOOKUP(A94,COMPLIANCE!$A$2:$F$1996,6,0),100)</f>
        <v>100</v>
      </c>
      <c r="O94" s="5">
        <f>N94*PARAMS_MODELO!$B$11</f>
        <v>10</v>
      </c>
      <c r="P94" s="5">
        <f>IFERROR(VLOOKUP(A94,DIGITAL!$A$2:$J$2000,7,0),100)</f>
        <v>5</v>
      </c>
      <c r="Q94" s="5">
        <f>IFERROR(P94,0)*PARAMS_MODELO!$B$12</f>
        <v>0.5</v>
      </c>
      <c r="R94">
        <f t="shared" si="27"/>
        <v>81.07100447856206</v>
      </c>
      <c r="S94" s="5" t="str">
        <f>IFERROR(VLOOKUP(A94,CLIENTE!$A$2:$N$2000,13,0),1)</f>
        <v>Regular</v>
      </c>
      <c r="T94" s="5">
        <f>IFERROR(VLOOKUP(A94,CLIENTE!$A$2:$N$2000,14,0),1)</f>
        <v>1</v>
      </c>
      <c r="U94" s="5">
        <f t="shared" si="28"/>
        <v>81.07100447856206</v>
      </c>
      <c r="V94" s="5" t="str">
        <f>IF(U94&gt;=MAX(_xlfn.PERCENTILE.INC($U$2:$U$1194,PARAMS_MODELO!$B$50),PARAMS_MODELO!$B$45),"DIAMANTE",IF(U94&gt;=MAX(_xlfn.PERCENTILE.INC($U$2:$U$1194,PARAMS_MODELO!$B$51),PARAMS_MODELO!$B$46),"PLATINO",IF(U94&gt;=MAX(_xlfn.PERCENTILE.INC($U$2:$U$1194,PARAMS_MODELO!$B$52),PARAMS_MODELO!$B$47),"ORO",IF(U94&gt;=MAX(_xlfn.PERCENTILE.INC($U$2:$U$1194,PARAMS_MODELO!$B$53),PARAMS_MODELO!$B$48),"PLATA",IF(U94&gt;=1,"BRONCE","CERRADO")))))</f>
        <v>ORO</v>
      </c>
      <c r="W94" s="5" t="str" cm="1">
        <f t="array" ref="W94">_xlfn.XLOOKUP(1, (HIST_SCORE!$B:$B=PARAMS_MODELO!$B$4) * (HIST_SCORE!$C:$C=A94), HIST_SCORE!$E:$E, "No encontrado")</f>
        <v>ORO</v>
      </c>
      <c r="X94" s="5" t="str">
        <f>_xlfn.LET(_xlpm.act,MATCH(V94,{"DIAMANTE";"PLATINO";"ORO";"PLATA";"BRONCE";"CERRADO"},0),_xlpm.ant,MATCH(W94,{"DIAMANTE";"PLATINO";"ORO";"PLATA";"BRONCE";"CERRADO"},0),IF(_xlpm.act&lt;_xlpm.ant,"Mejora ↑",IF(_xlpm.act&gt;_xlpm.ant,"Baja ↓","Estable →")))</f>
        <v>Estable →</v>
      </c>
      <c r="Y94" s="5">
        <f>IFERROR(U94-SUMIFS(HIST_SCORE!$D:$D,HIST_SCORE!$B:$B,PARAMS_MODELO!$B$4,HIST_SCORE!$C:$C,$A94),"")</f>
        <v>1.3984477727810116</v>
      </c>
      <c r="Z94" s="5" t="str">
        <f t="shared" si="29"/>
        <v>→ Estable</v>
      </c>
      <c r="AA94" s="5">
        <f t="shared" si="30"/>
        <v>412</v>
      </c>
      <c r="AB94" s="5">
        <f>IFERROR(SUMIFS(HIST_SCORE!$F:$F,HIST_SCORE!$B:$B,PARAMS_MODELO!$B$4,HIST_SCORE!$C:$C,$A94),"")</f>
        <v>426</v>
      </c>
      <c r="AC94" s="5">
        <f t="shared" si="31"/>
        <v>14</v>
      </c>
      <c r="AD94" t="str">
        <f t="shared" si="33"/>
        <v/>
      </c>
      <c r="AE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CERRADO",1,IF(V94="BRONCE",_xlpm.cPl,IF(V94="PLATA",_xlpm.cO,IF(V94="ORO",_xlpm.cP,IF(V94="PLATINO",_xlpm.cD,999))))))</f>
        <v>86.439123873763251</v>
      </c>
      <c r="AF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CERRADO",0,IF(V94="BRONCE",1,IF(V94="PLATA",_xlpm.cPl,IF(V94="ORO",_xlpm.cO,IF(V94="PLATINO",_xlpm.cP,_xlpm.cD))))))</f>
        <v>63.199193273331495</v>
      </c>
      <c r="AG94">
        <f t="shared" si="34"/>
        <v>5.368119395201191</v>
      </c>
      <c r="AH94" t="str">
        <f t="shared" si="35"/>
        <v>VENTAS</v>
      </c>
      <c r="AI94" t="str">
        <f t="shared" si="32"/>
        <v>🎯 Para subir de categoría, eje VENTAS / IMPACTO ABSOLUTO (H). Acción: metas semanales + activación comercial + seguimiento del asesor. ΔR aprox: 5,4</v>
      </c>
      <c r="AJ94" s="26">
        <f>_xlfn.LET(_xlpm.piso,AF94,_xlpm.corte,AE94,_xlpm.prog,IF(_xlpm.corte&lt;=_xlpm.piso,0,MAX(0,MIN(1,(U94-_xlpm.piso)/(_xlpm.corte-_xlpm.piso)))),_xlpm.orden,{"DIAMANTE";"PLATINO";"ORO";"PLATA";"BRONCE";"CERRADO"},_xlpm.act,IFERROR(MATCH(V94,_xlpm.orden,0),6),_xlpm.ant,IFERROR(MATCH(W94,_xlpm.orden,0),6),_xlpm.ajmov,IF(_xlpm.act&lt;_xlpm.ant,0.08,IF(_xlpm.act&gt;_xlpm.ant,-0.08,0)),_xlpm.ajcli,IF(T94&lt;0.95,-0.06,0),_xlpm.prob,MAX(0,MIN(1,_xlpm.prog+_xlpm.ajmov+_xlpm.ajcli)),IF(OR(V94="DIAMANTE",V94="CERRADO"),0,ROUND(_xlpm.prob,2)))</f>
        <v>0.77</v>
      </c>
      <c r="AK94" t="str">
        <f t="shared" si="36"/>
        <v>Faltan 5,4 puntos base para subir a la siguiente categoría</v>
      </c>
      <c r="AL94" t="str">
        <f t="shared" si="37"/>
        <v>Margen de seguridad: 17,9 puntos</v>
      </c>
      <c r="AM94">
        <f t="shared" si="38"/>
        <v>0.31</v>
      </c>
      <c r="AN94" t="str">
        <f t="shared" si="39"/>
        <v>PRIORIDAD BAJA – control normal</v>
      </c>
      <c r="AO94">
        <f t="shared" si="40"/>
        <v>9.2915647967335318</v>
      </c>
      <c r="AP94">
        <f t="shared" si="41"/>
        <v>0</v>
      </c>
      <c r="AQ94">
        <f t="shared" si="42"/>
        <v>0</v>
      </c>
      <c r="AR94">
        <f t="shared" si="43"/>
        <v>9.5</v>
      </c>
      <c r="AS94">
        <f t="shared" si="44"/>
        <v>0</v>
      </c>
      <c r="AT94" t="str">
        <f t="shared" si="45"/>
        <v>DIGITAL</v>
      </c>
      <c r="AU94">
        <f t="shared" si="46"/>
        <v>9.5</v>
      </c>
      <c r="AV94" t="str">
        <f t="shared" si="47"/>
        <v>Mayor retorno probable: DIGITAL (+9,5 puntos finales potenciales).</v>
      </c>
    </row>
    <row r="95" spans="1:48" x14ac:dyDescent="0.3">
      <c r="A95" s="5">
        <v>51035658</v>
      </c>
      <c r="B95" s="5" t="str">
        <f>IFERROR(VLOOKUP(A95,VENTAS!$A$2:$B$1194,2,0),"")</f>
        <v>PUGH</v>
      </c>
      <c r="C95" s="5">
        <f>IFERROR(INDEX(VENTAS!$C$2:$E$1194,MATCH(A95,VENTAS!$A$2:$A$1194,0),MATCH(PARAMS_MODELO!$B$2,{"Q1","Q2","Q3"},0)),0)</f>
        <v>98297773.530000001</v>
      </c>
      <c r="D95" s="5">
        <f>IFERROR(INDEX(VENTAS!$F$2:$H$1194,MATCH(A95,VENTAS!$A$2:$A$1194,0),MATCH(PARAMS_MODELO!$B$2,{"Q1","Q2","Q3"},0)),0)</f>
        <v>162199062</v>
      </c>
      <c r="E95" s="8">
        <f t="shared" si="24"/>
        <v>0.65007869634501581</v>
      </c>
      <c r="F95" s="12">
        <f>IF(E95&lt;=PARAMS_MODELO!$B$15,0,IF(E95&gt;=PARAMS_MODELO!$B$17,100,100*MIN(1,(E95-PARAMS_MODELO!$B$15)/(PARAMS_MODELO!$B$16-PARAMS_MODELO!$B$15))))*PARAMS_MODELO!$B$7</f>
        <v>35</v>
      </c>
      <c r="G95" s="5">
        <f t="shared" si="25"/>
        <v>63901288.469999999</v>
      </c>
      <c r="H95" s="5">
        <f>(PARAMS_MODELO!$B$20*(MAX(0,MIN(3,E95))/3)+PARAMS_MODELO!$B$21*(IFERROR(LN(1+MAX(0,G95))/LN(1+MAX(0,MAX($G$2:$G$1194))),0)))*100*PARAMS_MODELO!$B$8</f>
        <v>6.4883624137847553</v>
      </c>
      <c r="I95" s="8">
        <f>E95-PARAMS_MODELO!$B$5</f>
        <v>0.47251586096948928</v>
      </c>
      <c r="J95" s="5">
        <f>IF(I95&lt;=PARAMS_MODELO!$B$18,0,IF(I95&gt;=PARAMS_MODELO!$B$19,100,100*(I95-PARAMS_MODELO!$B$18)/(PARAMS_MODELO!$B$19-PARAMS_MODELO!$B$18)))*PARAMS_MODELO!$B$9</f>
        <v>15</v>
      </c>
      <c r="K95" s="5">
        <f>IFERROR(CHOOSE(MATCH(PARAMS_MODELO!$B$2,{"Q1","Q2","Q3"},0),LOTO!$D95,LOTO!$F95,LOTO!$H95),0)</f>
        <v>8215000</v>
      </c>
      <c r="L95" s="8">
        <f t="shared" si="26"/>
        <v>5.0647641846412156E-2</v>
      </c>
      <c r="M95" s="5">
        <f>MIN(100,IF(PARAMS_MODELO!$B$23=0,0,100*L95/PARAMS_MODELO!$B$23))*PARAMS_MODELO!$B$10</f>
        <v>15</v>
      </c>
      <c r="N95" s="5">
        <f>IFERROR(VLOOKUP(A95,COMPLIANCE!$A$2:$F$1996,6,0),100)</f>
        <v>100</v>
      </c>
      <c r="O95" s="5">
        <f>N95*PARAMS_MODELO!$B$11</f>
        <v>10</v>
      </c>
      <c r="P95" s="5">
        <f>IFERROR(VLOOKUP(A95,DIGITAL!$A$2:$J$2000,7,0),100)</f>
        <v>33</v>
      </c>
      <c r="Q95" s="5">
        <f>IFERROR(P95,0)*PARAMS_MODELO!$B$12</f>
        <v>3.3000000000000003</v>
      </c>
      <c r="R95">
        <f t="shared" si="27"/>
        <v>84.788362413784753</v>
      </c>
      <c r="S95" s="5" t="str">
        <f>IFERROR(VLOOKUP(A95,CLIENTE!$A$2:$N$2000,13,0),1)</f>
        <v>Regular</v>
      </c>
      <c r="T95" s="5">
        <f>IFERROR(VLOOKUP(A95,CLIENTE!$A$2:$N$2000,14,0),1)</f>
        <v>1</v>
      </c>
      <c r="U95" s="5">
        <f t="shared" si="28"/>
        <v>84.788362413784753</v>
      </c>
      <c r="V95" s="5" t="str">
        <f>IF(U95&gt;=MAX(_xlfn.PERCENTILE.INC($U$2:$U$1194,PARAMS_MODELO!$B$50),PARAMS_MODELO!$B$45),"DIAMANTE",IF(U95&gt;=MAX(_xlfn.PERCENTILE.INC($U$2:$U$1194,PARAMS_MODELO!$B$51),PARAMS_MODELO!$B$46),"PLATINO",IF(U95&gt;=MAX(_xlfn.PERCENTILE.INC($U$2:$U$1194,PARAMS_MODELO!$B$52),PARAMS_MODELO!$B$47),"ORO",IF(U95&gt;=MAX(_xlfn.PERCENTILE.INC($U$2:$U$1194,PARAMS_MODELO!$B$53),PARAMS_MODELO!$B$48),"PLATA",IF(U95&gt;=1,"BRONCE","CERRADO")))))</f>
        <v>ORO</v>
      </c>
      <c r="W95" s="5" t="str" cm="1">
        <f t="array" ref="W95">_xlfn.XLOOKUP(1, (HIST_SCORE!$B:$B=PARAMS_MODELO!$B$4) * (HIST_SCORE!$C:$C=A95), HIST_SCORE!$E:$E, "No encontrado")</f>
        <v>ORO</v>
      </c>
      <c r="X95" s="5" t="str">
        <f>_xlfn.LET(_xlpm.act,MATCH(V95,{"DIAMANTE";"PLATINO";"ORO";"PLATA";"BRONCE";"CERRADO"},0),_xlpm.ant,MATCH(W95,{"DIAMANTE";"PLATINO";"ORO";"PLATA";"BRONCE";"CERRADO"},0),IF(_xlpm.act&lt;_xlpm.ant,"Mejora ↑",IF(_xlpm.act&gt;_xlpm.ant,"Baja ↓","Estable →")))</f>
        <v>Estable →</v>
      </c>
      <c r="Y95" s="5">
        <f>IFERROR(U95-SUMIFS(HIST_SCORE!$D:$D,HIST_SCORE!$B:$B,PARAMS_MODELO!$B$4,HIST_SCORE!$C:$C,$A95),"")</f>
        <v>4.2940198479961538</v>
      </c>
      <c r="Z95" s="5" t="str">
        <f t="shared" si="29"/>
        <v>→ Estable</v>
      </c>
      <c r="AA95" s="5">
        <f t="shared" si="30"/>
        <v>291</v>
      </c>
      <c r="AB95" s="5">
        <f>IFERROR(SUMIFS(HIST_SCORE!$F:$F,HIST_SCORE!$B:$B,PARAMS_MODELO!$B$4,HIST_SCORE!$C:$C,$A95),"")</f>
        <v>406</v>
      </c>
      <c r="AC95" s="5">
        <f t="shared" si="31"/>
        <v>115</v>
      </c>
      <c r="AD95" t="str">
        <f t="shared" si="33"/>
        <v/>
      </c>
      <c r="AE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CERRADO",1,IF(V95="BRONCE",_xlpm.cPl,IF(V95="PLATA",_xlpm.cO,IF(V95="ORO",_xlpm.cP,IF(V95="PLATINO",_xlpm.cD,999))))))</f>
        <v>86.439123873763251</v>
      </c>
      <c r="AF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CERRADO",0,IF(V95="BRONCE",1,IF(V95="PLATA",_xlpm.cPl,IF(V95="ORO",_xlpm.cO,IF(V95="PLATINO",_xlpm.cP,_xlpm.cD))))))</f>
        <v>63.199193273331495</v>
      </c>
      <c r="AG95">
        <f t="shared" si="34"/>
        <v>1.6507614599784972</v>
      </c>
      <c r="AH95" t="str">
        <f t="shared" si="35"/>
        <v>VENTAS</v>
      </c>
      <c r="AI95" t="str">
        <f t="shared" si="32"/>
        <v>🎯 Para subir de categoría, eje VENTAS / IMPACTO ABSOLUTO (H). Acción: metas semanales + activación comercial + seguimiento del asesor. ΔR aprox: 1,7</v>
      </c>
      <c r="AJ95" s="26">
        <f>_xlfn.LET(_xlpm.piso,AF95,_xlpm.corte,AE95,_xlpm.prog,IF(_xlpm.corte&lt;=_xlpm.piso,0,MAX(0,MIN(1,(U95-_xlpm.piso)/(_xlpm.corte-_xlpm.piso)))),_xlpm.orden,{"DIAMANTE";"PLATINO";"ORO";"PLATA";"BRONCE";"CERRADO"},_xlpm.act,IFERROR(MATCH(V95,_xlpm.orden,0),6),_xlpm.ant,IFERROR(MATCH(W95,_xlpm.orden,0),6),_xlpm.ajmov,IF(_xlpm.act&lt;_xlpm.ant,0.08,IF(_xlpm.act&gt;_xlpm.ant,-0.08,0)),_xlpm.ajcli,IF(T95&lt;0.95,-0.06,0),_xlpm.prob,MAX(0,MIN(1,_xlpm.prog+_xlpm.ajmov+_xlpm.ajcli)),IF(OR(V95="DIAMANTE",V95="CERRADO"),0,ROUND(_xlpm.prob,2)))</f>
        <v>0.93</v>
      </c>
      <c r="AK95" t="str">
        <f t="shared" si="36"/>
        <v>Faltan 1,7 puntos base para subir a la siguiente categoría</v>
      </c>
      <c r="AL95" t="str">
        <f t="shared" si="37"/>
        <v>Margen de seguridad: 21,6 puntos</v>
      </c>
      <c r="AM95">
        <f t="shared" si="38"/>
        <v>0.09</v>
      </c>
      <c r="AN95" t="str">
        <f t="shared" si="39"/>
        <v>PRIORIDAD BAJA – control normal</v>
      </c>
      <c r="AO95">
        <f t="shared" si="40"/>
        <v>8.374206861510828</v>
      </c>
      <c r="AP95">
        <f t="shared" si="41"/>
        <v>0</v>
      </c>
      <c r="AQ95">
        <f t="shared" si="42"/>
        <v>0</v>
      </c>
      <c r="AR95">
        <f t="shared" si="43"/>
        <v>6.6999999999999993</v>
      </c>
      <c r="AS95">
        <f t="shared" si="44"/>
        <v>0</v>
      </c>
      <c r="AT95" t="str">
        <f t="shared" si="45"/>
        <v>VENTAS</v>
      </c>
      <c r="AU95">
        <f t="shared" si="46"/>
        <v>8.374206861510828</v>
      </c>
      <c r="AV95" t="str">
        <f t="shared" si="47"/>
        <v>Mayor retorno probable: VENTAS (+8,4 puntos finales potenciales).</v>
      </c>
    </row>
    <row r="96" spans="1:48" x14ac:dyDescent="0.3">
      <c r="A96" s="5">
        <v>51016726</v>
      </c>
      <c r="B96" s="5" t="str">
        <f>IFERROR(VLOOKUP(A96,VENTAS!$A$2:$B$1194,2,0),"")</f>
        <v>LÓPEZ</v>
      </c>
      <c r="C96" s="5">
        <f>IFERROR(INDEX(VENTAS!$C$2:$E$1194,MATCH(A96,VENTAS!$A$2:$A$1194,0),MATCH(PARAMS_MODELO!$B$2,{"Q1","Q2","Q3"},0)),0)</f>
        <v>94884853.920000002</v>
      </c>
      <c r="D96" s="5">
        <f>IFERROR(INDEX(VENTAS!$F$2:$H$1194,MATCH(A96,VENTAS!$A$2:$A$1194,0),MATCH(PARAMS_MODELO!$B$2,{"Q1","Q2","Q3"},0)),0)</f>
        <v>161731017</v>
      </c>
      <c r="E96" s="8">
        <f t="shared" si="24"/>
        <v>0.70449771821706997</v>
      </c>
      <c r="F96" s="12">
        <f>IF(E96&lt;=PARAMS_MODELO!$B$15,0,IF(E96&gt;=PARAMS_MODELO!$B$17,100,100*MIN(1,(E96-PARAMS_MODELO!$B$15)/(PARAMS_MODELO!$B$16-PARAMS_MODELO!$B$15))))*PARAMS_MODELO!$B$7</f>
        <v>35</v>
      </c>
      <c r="G96" s="5">
        <f t="shared" si="25"/>
        <v>66846163.079999998</v>
      </c>
      <c r="H96" s="5">
        <f>(PARAMS_MODELO!$B$20*(MAX(0,MIN(3,E96))/3)+PARAMS_MODELO!$B$21*(IFERROR(LN(1+MAX(0,G96))/LN(1+MAX(0,MAX($G$2:$G$1194))),0)))*100*PARAMS_MODELO!$B$8</f>
        <v>6.6893903660509739</v>
      </c>
      <c r="I96" s="8">
        <f>E96-PARAMS_MODELO!$B$5</f>
        <v>0.52693488284154344</v>
      </c>
      <c r="J96" s="5">
        <f>IF(I96&lt;=PARAMS_MODELO!$B$18,0,IF(I96&gt;=PARAMS_MODELO!$B$19,100,100*(I96-PARAMS_MODELO!$B$18)/(PARAMS_MODELO!$B$19-PARAMS_MODELO!$B$18)))*PARAMS_MODELO!$B$9</f>
        <v>15</v>
      </c>
      <c r="K96" s="5">
        <f>IFERROR(CHOOSE(MATCH(PARAMS_MODELO!$B$2,{"Q1","Q2","Q3"},0),LOTO!$D96,LOTO!$F96,LOTO!$H96),0)</f>
        <v>8152500</v>
      </c>
      <c r="L96" s="8">
        <f t="shared" si="26"/>
        <v>5.0407770576252543E-2</v>
      </c>
      <c r="M96" s="5">
        <f>MIN(100,IF(PARAMS_MODELO!$B$23=0,0,100*L96/PARAMS_MODELO!$B$23))*PARAMS_MODELO!$B$10</f>
        <v>15</v>
      </c>
      <c r="N96" s="5">
        <f>IFERROR(VLOOKUP(A96,COMPLIANCE!$A$2:$F$1996,6,0),100)</f>
        <v>100</v>
      </c>
      <c r="O96" s="5">
        <f>N96*PARAMS_MODELO!$B$11</f>
        <v>10</v>
      </c>
      <c r="P96" s="5">
        <f>IFERROR(VLOOKUP(A96,DIGITAL!$A$2:$J$2000,7,0),100)</f>
        <v>56</v>
      </c>
      <c r="Q96" s="5">
        <f>IFERROR(P96,0)*PARAMS_MODELO!$B$12</f>
        <v>5.6000000000000005</v>
      </c>
      <c r="R96">
        <f t="shared" si="27"/>
        <v>87.289390366050966</v>
      </c>
      <c r="S96" s="5" t="str">
        <f>IFERROR(VLOOKUP(A96,CLIENTE!$A$2:$N$2000,13,0),1)</f>
        <v>Regular</v>
      </c>
      <c r="T96" s="5">
        <f>IFERROR(VLOOKUP(A96,CLIENTE!$A$2:$N$2000,14,0),1)</f>
        <v>1</v>
      </c>
      <c r="U96" s="5">
        <f t="shared" si="28"/>
        <v>87.289390366050966</v>
      </c>
      <c r="V96" s="5" t="str">
        <f>IF(U96&gt;=MAX(_xlfn.PERCENTILE.INC($U$2:$U$1194,PARAMS_MODELO!$B$50),PARAMS_MODELO!$B$45),"DIAMANTE",IF(U96&gt;=MAX(_xlfn.PERCENTILE.INC($U$2:$U$1194,PARAMS_MODELO!$B$51),PARAMS_MODELO!$B$46),"PLATINO",IF(U96&gt;=MAX(_xlfn.PERCENTILE.INC($U$2:$U$1194,PARAMS_MODELO!$B$52),PARAMS_MODELO!$B$47),"ORO",IF(U96&gt;=MAX(_xlfn.PERCENTILE.INC($U$2:$U$1194,PARAMS_MODELO!$B$53),PARAMS_MODELO!$B$48),"PLATA",IF(U96&gt;=1,"BRONCE","CERRADO")))))</f>
        <v>PLATINO</v>
      </c>
      <c r="W96" s="5" t="str" cm="1">
        <f t="array" ref="W96">_xlfn.XLOOKUP(1, (HIST_SCORE!$B:$B=PARAMS_MODELO!$B$4) * (HIST_SCORE!$C:$C=A96), HIST_SCORE!$E:$E, "No encontrado")</f>
        <v>PLATINO</v>
      </c>
      <c r="X96" s="5" t="str">
        <f>_xlfn.LET(_xlpm.act,MATCH(V96,{"DIAMANTE";"PLATINO";"ORO";"PLATA";"BRONCE";"CERRADO"},0),_xlpm.ant,MATCH(W96,{"DIAMANTE";"PLATINO";"ORO";"PLATA";"BRONCE";"CERRADO"},0),IF(_xlpm.act&lt;_xlpm.ant,"Mejora ↑",IF(_xlpm.act&gt;_xlpm.ant,"Baja ↓","Estable →")))</f>
        <v>Estable →</v>
      </c>
      <c r="Y96" s="5">
        <f>IFERROR(U96-SUMIFS(HIST_SCORE!$D:$D,HIST_SCORE!$B:$B,PARAMS_MODELO!$B$4,HIST_SCORE!$C:$C,$A96),"")</f>
        <v>1.2398854277829514</v>
      </c>
      <c r="Z96" s="5" t="str">
        <f t="shared" si="29"/>
        <v>→ Estable</v>
      </c>
      <c r="AA96" s="5">
        <f t="shared" si="30"/>
        <v>218</v>
      </c>
      <c r="AB96" s="5">
        <f>IFERROR(SUMIFS(HIST_SCORE!$F:$F,HIST_SCORE!$B:$B,PARAMS_MODELO!$B$4,HIST_SCORE!$C:$C,$A96),"")</f>
        <v>237</v>
      </c>
      <c r="AC96" s="5">
        <f t="shared" si="31"/>
        <v>19</v>
      </c>
      <c r="AD96" t="str">
        <f t="shared" si="33"/>
        <v/>
      </c>
      <c r="AE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CERRADO",1,IF(V96="BRONCE",_xlpm.cPl,IF(V96="PLATA",_xlpm.cO,IF(V96="ORO",_xlpm.cP,IF(V96="PLATINO",_xlpm.cD,999))))))</f>
        <v>96.054919694466676</v>
      </c>
      <c r="AF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CERRADO",0,IF(V96="BRONCE",1,IF(V96="PLATA",_xlpm.cPl,IF(V96="ORO",_xlpm.cO,IF(V96="PLATINO",_xlpm.cP,_xlpm.cD))))))</f>
        <v>86.439123873763251</v>
      </c>
      <c r="AG96">
        <f t="shared" si="34"/>
        <v>8.7655293284157096</v>
      </c>
      <c r="AH96" t="str">
        <f t="shared" si="35"/>
        <v>VENTAS</v>
      </c>
      <c r="AI96" t="str">
        <f t="shared" si="32"/>
        <v>🎯 Para subir de categoría, eje VENTAS / IMPACTO ABSOLUTO (H). Acción: metas semanales + activación comercial + seguimiento del asesor. ΔR aprox: 8,8</v>
      </c>
      <c r="AJ96" s="26">
        <f>_xlfn.LET(_xlpm.piso,AF96,_xlpm.corte,AE96,_xlpm.prog,IF(_xlpm.corte&lt;=_xlpm.piso,0,MAX(0,MIN(1,(U96-_xlpm.piso)/(_xlpm.corte-_xlpm.piso)))),_xlpm.orden,{"DIAMANTE";"PLATINO";"ORO";"PLATA";"BRONCE";"CERRADO"},_xlpm.act,IFERROR(MATCH(V96,_xlpm.orden,0),6),_xlpm.ant,IFERROR(MATCH(W96,_xlpm.orden,0),6),_xlpm.ajmov,IF(_xlpm.act&lt;_xlpm.ant,0.08,IF(_xlpm.act&gt;_xlpm.ant,-0.08,0)),_xlpm.ajcli,IF(T96&lt;0.95,-0.06,0),_xlpm.prob,MAX(0,MIN(1,_xlpm.prog+_xlpm.ajmov+_xlpm.ajcli)),IF(OR(V96="DIAMANTE",V96="CERRADO"),0,ROUND(_xlpm.prob,2)))</f>
        <v>0.09</v>
      </c>
      <c r="AK96" t="str">
        <f t="shared" si="36"/>
        <v>Faltan 8,8 puntos base para subir a la siguiente categoría</v>
      </c>
      <c r="AL96" t="str">
        <f t="shared" si="37"/>
        <v>Margen de seguridad: 0,9 puntos</v>
      </c>
      <c r="AM96">
        <f t="shared" si="38"/>
        <v>0.71</v>
      </c>
      <c r="AN96" t="str">
        <f t="shared" si="39"/>
        <v>PRIORIDAD ALTA – requiere intervención inmediata</v>
      </c>
      <c r="AO96">
        <f t="shared" si="40"/>
        <v>8.1731789092446121</v>
      </c>
      <c r="AP96">
        <f t="shared" si="41"/>
        <v>0</v>
      </c>
      <c r="AQ96">
        <f t="shared" si="42"/>
        <v>0</v>
      </c>
      <c r="AR96">
        <f t="shared" si="43"/>
        <v>4.3999999999999995</v>
      </c>
      <c r="AS96">
        <f t="shared" si="44"/>
        <v>0</v>
      </c>
      <c r="AT96" t="str">
        <f t="shared" si="45"/>
        <v>VENTAS</v>
      </c>
      <c r="AU96">
        <f t="shared" si="46"/>
        <v>8.1731789092446121</v>
      </c>
      <c r="AV96" t="str">
        <f t="shared" si="47"/>
        <v>Mayor retorno probable: VENTAS (+8,2 puntos finales potenciales).</v>
      </c>
    </row>
    <row r="97" spans="1:48" x14ac:dyDescent="0.3">
      <c r="A97" s="5">
        <v>51019342</v>
      </c>
      <c r="B97" s="5" t="str">
        <f>IFERROR(VLOOKUP(A97,VENTAS!$A$2:$B$1194,2,0),"")</f>
        <v>CICHETTO</v>
      </c>
      <c r="C97" s="5">
        <f>IFERROR(INDEX(VENTAS!$C$2:$E$1194,MATCH(A97,VENTAS!$A$2:$A$1194,0),MATCH(PARAMS_MODELO!$B$2,{"Q1","Q2","Q3"},0)),0)</f>
        <v>234309636.83000001</v>
      </c>
      <c r="D97" s="5">
        <f>IFERROR(INDEX(VENTAS!$F$2:$H$1194,MATCH(A97,VENTAS!$A$2:$A$1194,0),MATCH(PARAMS_MODELO!$B$2,{"Q1","Q2","Q3"},0)),0)</f>
        <v>161369067</v>
      </c>
      <c r="E97" s="8">
        <f t="shared" si="24"/>
        <v>-0.31129991415129454</v>
      </c>
      <c r="F97" s="12">
        <f>IF(E97&lt;=PARAMS_MODELO!$B$15,0,IF(E97&gt;=PARAMS_MODELO!$B$17,100,100*MIN(1,(E97-PARAMS_MODELO!$B$15)/(PARAMS_MODELO!$B$16-PARAMS_MODELO!$B$15))))*PARAMS_MODELO!$B$7</f>
        <v>0</v>
      </c>
      <c r="G97" s="5">
        <f t="shared" si="25"/>
        <v>0</v>
      </c>
      <c r="H97" s="5">
        <f>(PARAMS_MODELO!$B$20*(MAX(0,MIN(3,E97))/3)+PARAMS_MODELO!$B$21*(IFERROR(LN(1+MAX(0,G97))/LN(1+MAX(0,MAX($G$2:$G$1194))),0)))*100*PARAMS_MODELO!$B$8</f>
        <v>0</v>
      </c>
      <c r="I97" s="8">
        <f>E97-PARAMS_MODELO!$B$5</f>
        <v>-0.48886274952682107</v>
      </c>
      <c r="J97" s="5">
        <f>IF(I97&lt;=PARAMS_MODELO!$B$18,0,IF(I97&gt;=PARAMS_MODELO!$B$19,100,100*(I97-PARAMS_MODELO!$B$18)/(PARAMS_MODELO!$B$19-PARAMS_MODELO!$B$18)))*PARAMS_MODELO!$B$9</f>
        <v>0</v>
      </c>
      <c r="K97" s="5">
        <f>IFERROR(CHOOSE(MATCH(PARAMS_MODELO!$B$2,{"Q1","Q2","Q3"},0),LOTO!$D97,LOTO!$F97,LOTO!$H97),0)</f>
        <v>8100000</v>
      </c>
      <c r="L97" s="8">
        <f t="shared" si="26"/>
        <v>5.0195493786922618E-2</v>
      </c>
      <c r="M97" s="5">
        <f>MIN(100,IF(PARAMS_MODELO!$B$23=0,0,100*L97/PARAMS_MODELO!$B$23))*PARAMS_MODELO!$B$10</f>
        <v>15</v>
      </c>
      <c r="N97" s="5">
        <f>IFERROR(VLOOKUP(A97,COMPLIANCE!$A$2:$F$1996,6,0),100)</f>
        <v>99.68</v>
      </c>
      <c r="O97" s="5">
        <f>N97*PARAMS_MODELO!$B$11</f>
        <v>9.9680000000000017</v>
      </c>
      <c r="P97" s="5">
        <f>IFERROR(VLOOKUP(A97,DIGITAL!$A$2:$J$2000,7,0),100)</f>
        <v>95</v>
      </c>
      <c r="Q97" s="5">
        <f>IFERROR(P97,0)*PARAMS_MODELO!$B$12</f>
        <v>9.5</v>
      </c>
      <c r="R97">
        <f t="shared" si="27"/>
        <v>34.468000000000004</v>
      </c>
      <c r="S97" s="5" t="str">
        <f>IFERROR(VLOOKUP(A97,CLIENTE!$A$2:$N$2000,13,0),1)</f>
        <v>Malo</v>
      </c>
      <c r="T97" s="5">
        <f>IFERROR(VLOOKUP(A97,CLIENTE!$A$2:$N$2000,14,0),1)</f>
        <v>0.7</v>
      </c>
      <c r="U97" s="5">
        <f t="shared" si="28"/>
        <v>24.127600000000001</v>
      </c>
      <c r="V97" s="5" t="str">
        <f>IF(U97&gt;=MAX(_xlfn.PERCENTILE.INC($U$2:$U$1194,PARAMS_MODELO!$B$50),PARAMS_MODELO!$B$45),"DIAMANTE",IF(U97&gt;=MAX(_xlfn.PERCENTILE.INC($U$2:$U$1194,PARAMS_MODELO!$B$51),PARAMS_MODELO!$B$46),"PLATINO",IF(U97&gt;=MAX(_xlfn.PERCENTILE.INC($U$2:$U$1194,PARAMS_MODELO!$B$52),PARAMS_MODELO!$B$47),"ORO",IF(U97&gt;=MAX(_xlfn.PERCENTILE.INC($U$2:$U$1194,PARAMS_MODELO!$B$53),PARAMS_MODELO!$B$48),"PLATA",IF(U97&gt;=1,"BRONCE","CERRADO")))))</f>
        <v>BRONCE</v>
      </c>
      <c r="W97" s="5" t="str" cm="1">
        <f t="array" ref="W97">_xlfn.XLOOKUP(1, (HIST_SCORE!$B:$B=PARAMS_MODELO!$B$4) * (HIST_SCORE!$C:$C=A97), HIST_SCORE!$E:$E, "No encontrado")</f>
        <v>BRONCE</v>
      </c>
      <c r="X97" s="5" t="str">
        <f>_xlfn.LET(_xlpm.act,MATCH(V97,{"DIAMANTE";"PLATINO";"ORO";"PLATA";"BRONCE";"CERRADO"},0),_xlpm.ant,MATCH(W97,{"DIAMANTE";"PLATINO";"ORO";"PLATA";"BRONCE";"CERRADO"},0),IF(_xlpm.act&lt;_xlpm.ant,"Mejora ↑",IF(_xlpm.act&gt;_xlpm.ant,"Baja ↓","Estable →")))</f>
        <v>Estable →</v>
      </c>
      <c r="Y97" s="5">
        <f>IFERROR(U97-SUMIFS(HIST_SCORE!$D:$D,HIST_SCORE!$B:$B,PARAMS_MODELO!$B$4,HIST_SCORE!$C:$C,$A97),"")</f>
        <v>2.3736615038345406</v>
      </c>
      <c r="Z97" s="5" t="str">
        <f t="shared" si="29"/>
        <v>→ Estable</v>
      </c>
      <c r="AA97" s="5">
        <f t="shared" si="30"/>
        <v>917</v>
      </c>
      <c r="AB97" s="5">
        <f>IFERROR(SUMIFS(HIST_SCORE!$F:$F,HIST_SCORE!$B:$B,PARAMS_MODELO!$B$4,HIST_SCORE!$C:$C,$A97),"")</f>
        <v>969</v>
      </c>
      <c r="AC97" s="5">
        <f t="shared" si="31"/>
        <v>52</v>
      </c>
      <c r="AD97" t="str">
        <f t="shared" si="33"/>
        <v/>
      </c>
      <c r="AE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CERRADO",1,IF(V97="BRONCE",_xlpm.cPl,IF(V97="PLATA",_xlpm.cO,IF(V97="ORO",_xlpm.cP,IF(V97="PLATINO",_xlpm.cD,999))))))</f>
        <v>24.506573482968111</v>
      </c>
      <c r="AF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CERRADO",0,IF(V97="BRONCE",1,IF(V97="PLATA",_xlpm.cPl,IF(V97="ORO",_xlpm.cO,IF(V97="PLATINO",_xlpm.cP,_xlpm.cD))))))</f>
        <v>1</v>
      </c>
      <c r="AG97">
        <f t="shared" si="34"/>
        <v>0.54139068995444006</v>
      </c>
      <c r="AH97" t="str">
        <f t="shared" si="35"/>
        <v>CLIENTE</v>
      </c>
      <c r="AI97" t="str">
        <f t="shared" si="32"/>
        <v>🎯 Para subir de categoría, la eje con mayor impacto probable es CLIENTE (coef T). Acción: reducir quejas, mejorar incógnito y empujar reseñas. ΔR aprox: 0,5</v>
      </c>
      <c r="AJ97" s="26">
        <f>_xlfn.LET(_xlpm.piso,AF97,_xlpm.corte,AE97,_xlpm.prog,IF(_xlpm.corte&lt;=_xlpm.piso,0,MAX(0,MIN(1,(U97-_xlpm.piso)/(_xlpm.corte-_xlpm.piso)))),_xlpm.orden,{"DIAMANTE";"PLATINO";"ORO";"PLATA";"BRONCE";"CERRADO"},_xlpm.act,IFERROR(MATCH(V97,_xlpm.orden,0),6),_xlpm.ant,IFERROR(MATCH(W97,_xlpm.orden,0),6),_xlpm.ajmov,IF(_xlpm.act&lt;_xlpm.ant,0.08,IF(_xlpm.act&gt;_xlpm.ant,-0.08,0)),_xlpm.ajcli,IF(T97&lt;0.95,-0.06,0),_xlpm.prob,MAX(0,MIN(1,_xlpm.prog+_xlpm.ajmov+_xlpm.ajcli)),IF(OR(V97="DIAMANTE",V97="CERRADO"),0,ROUND(_xlpm.prob,2)))</f>
        <v>0.92</v>
      </c>
      <c r="AK97" t="str">
        <f t="shared" si="36"/>
        <v>Faltan 0,5 puntos base para subir a la siguiente categoría</v>
      </c>
      <c r="AL97" t="str">
        <f t="shared" si="37"/>
        <v>No aplica</v>
      </c>
      <c r="AM97">
        <f t="shared" si="38"/>
        <v>0.25</v>
      </c>
      <c r="AN97" t="str">
        <f t="shared" si="39"/>
        <v>PRIORIDAD BAJA – control normal</v>
      </c>
      <c r="AO97">
        <f t="shared" si="40"/>
        <v>45.403798492706905</v>
      </c>
      <c r="AP97">
        <f t="shared" si="41"/>
        <v>0</v>
      </c>
      <c r="AQ97">
        <f t="shared" si="42"/>
        <v>2.2399999999998775E-2</v>
      </c>
      <c r="AR97">
        <f t="shared" si="43"/>
        <v>0.35</v>
      </c>
      <c r="AS97">
        <f t="shared" si="44"/>
        <v>10.340400000000002</v>
      </c>
      <c r="AT97" t="str">
        <f t="shared" si="45"/>
        <v>VENTAS</v>
      </c>
      <c r="AU97">
        <f t="shared" si="46"/>
        <v>45.403798492706905</v>
      </c>
      <c r="AV97" t="str">
        <f t="shared" si="47"/>
        <v>Mayor retorno probable: VENTAS (+45,4 puntos finales potenciales).</v>
      </c>
    </row>
    <row r="98" spans="1:48" x14ac:dyDescent="0.3">
      <c r="A98" s="5">
        <v>51014162</v>
      </c>
      <c r="B98" s="5" t="str">
        <f>IFERROR(VLOOKUP(A98,VENTAS!$A$2:$B$1194,2,0),"")</f>
        <v>PUGH</v>
      </c>
      <c r="C98" s="5">
        <f>IFERROR(INDEX(VENTAS!$C$2:$E$1194,MATCH(A98,VENTAS!$A$2:$A$1194,0),MATCH(PARAMS_MODELO!$B$2,{"Q1","Q2","Q3"},0)),0)</f>
        <v>140837489.53</v>
      </c>
      <c r="D98" s="5">
        <f>IFERROR(INDEX(VENTAS!$F$2:$H$1194,MATCH(A98,VENTAS!$A$2:$A$1194,0),MATCH(PARAMS_MODELO!$B$2,{"Q1","Q2","Q3"},0)),0)</f>
        <v>160702558</v>
      </c>
      <c r="E98" s="8">
        <f t="shared" si="24"/>
        <v>0.14104957803702201</v>
      </c>
      <c r="F98" s="12">
        <f>IF(E98&lt;=PARAMS_MODELO!$B$15,0,IF(E98&gt;=PARAMS_MODELO!$B$17,100,100*MIN(1,(E98-PARAMS_MODELO!$B$15)/(PARAMS_MODELO!$B$16-PARAMS_MODELO!$B$15))))*PARAMS_MODELO!$B$7</f>
        <v>35</v>
      </c>
      <c r="G98" s="5">
        <f t="shared" si="25"/>
        <v>19865068.469999999</v>
      </c>
      <c r="H98" s="5">
        <f>(PARAMS_MODELO!$B$20*(MAX(0,MIN(3,E98))/3)+PARAMS_MODELO!$B$21*(IFERROR(LN(1+MAX(0,G98))/LN(1+MAX(0,MAX($G$2:$G$1194))),0)))*100*PARAMS_MODELO!$B$8</f>
        <v>4.4328767005871637</v>
      </c>
      <c r="I98" s="8">
        <f>E98-PARAMS_MODELO!$B$5</f>
        <v>-3.6513257338504523E-2</v>
      </c>
      <c r="J98" s="5">
        <f>IF(I98&lt;=PARAMS_MODELO!$B$18,0,IF(I98&gt;=PARAMS_MODELO!$B$19,100,100*(I98-PARAMS_MODELO!$B$18)/(PARAMS_MODELO!$B$19-PARAMS_MODELO!$B$18)))*PARAMS_MODELO!$B$9</f>
        <v>2.0230113992243215</v>
      </c>
      <c r="K98" s="5">
        <f>IFERROR(CHOOSE(MATCH(PARAMS_MODELO!$B$2,{"Q1","Q2","Q3"},0),LOTO!$D98,LOTO!$F98,LOTO!$H98),0)</f>
        <v>8092500</v>
      </c>
      <c r="L98" s="8">
        <f t="shared" si="26"/>
        <v>5.0357008007302535E-2</v>
      </c>
      <c r="M98" s="5">
        <f>MIN(100,IF(PARAMS_MODELO!$B$23=0,0,100*L98/PARAMS_MODELO!$B$23))*PARAMS_MODELO!$B$10</f>
        <v>15</v>
      </c>
      <c r="N98" s="5">
        <f>IFERROR(VLOOKUP(A98,COMPLIANCE!$A$2:$F$1996,6,0),100)</f>
        <v>100</v>
      </c>
      <c r="O98" s="5">
        <f>N98*PARAMS_MODELO!$B$11</f>
        <v>10</v>
      </c>
      <c r="P98" s="5">
        <f>IFERROR(VLOOKUP(A98,DIGITAL!$A$2:$J$2000,7,0),100)</f>
        <v>18</v>
      </c>
      <c r="Q98" s="5">
        <f>IFERROR(P98,0)*PARAMS_MODELO!$B$12</f>
        <v>1.8</v>
      </c>
      <c r="R98">
        <f t="shared" si="27"/>
        <v>68.255888099811486</v>
      </c>
      <c r="S98" s="5" t="str">
        <f>IFERROR(VLOOKUP(A98,CLIENTE!$A$2:$N$2000,13,0),1)</f>
        <v>Regular</v>
      </c>
      <c r="T98" s="5">
        <f>IFERROR(VLOOKUP(A98,CLIENTE!$A$2:$N$2000,14,0),1)</f>
        <v>1</v>
      </c>
      <c r="U98" s="5">
        <f t="shared" si="28"/>
        <v>68.255888099811486</v>
      </c>
      <c r="V98" s="5" t="str">
        <f>IF(U98&gt;=MAX(_xlfn.PERCENTILE.INC($U$2:$U$1194,PARAMS_MODELO!$B$50),PARAMS_MODELO!$B$45),"DIAMANTE",IF(U98&gt;=MAX(_xlfn.PERCENTILE.INC($U$2:$U$1194,PARAMS_MODELO!$B$51),PARAMS_MODELO!$B$46),"PLATINO",IF(U98&gt;=MAX(_xlfn.PERCENTILE.INC($U$2:$U$1194,PARAMS_MODELO!$B$52),PARAMS_MODELO!$B$47),"ORO",IF(U98&gt;=MAX(_xlfn.PERCENTILE.INC($U$2:$U$1194,PARAMS_MODELO!$B$53),PARAMS_MODELO!$B$48),"PLATA",IF(U98&gt;=1,"BRONCE","CERRADO")))))</f>
        <v>ORO</v>
      </c>
      <c r="W98" s="5" t="str" cm="1">
        <f t="array" ref="W98">_xlfn.XLOOKUP(1, (HIST_SCORE!$B:$B=PARAMS_MODELO!$B$4) * (HIST_SCORE!$C:$C=A98), HIST_SCORE!$E:$E, "No encontrado")</f>
        <v>ORO</v>
      </c>
      <c r="X98" s="5" t="str">
        <f>_xlfn.LET(_xlpm.act,MATCH(V98,{"DIAMANTE";"PLATINO";"ORO";"PLATA";"BRONCE";"CERRADO"},0),_xlpm.ant,MATCH(W98,{"DIAMANTE";"PLATINO";"ORO";"PLATA";"BRONCE";"CERRADO"},0),IF(_xlpm.act&lt;_xlpm.ant,"Mejora ↑",IF(_xlpm.act&gt;_xlpm.ant,"Baja ↓","Estable →")))</f>
        <v>Estable →</v>
      </c>
      <c r="Y98" s="5">
        <f>IFERROR(U98-SUMIFS(HIST_SCORE!$D:$D,HIST_SCORE!$B:$B,PARAMS_MODELO!$B$4,HIST_SCORE!$C:$C,$A98),"")</f>
        <v>1.9355957099738106</v>
      </c>
      <c r="Z98" s="5" t="str">
        <f t="shared" si="29"/>
        <v>→ Estable</v>
      </c>
      <c r="AA98" s="5">
        <f t="shared" si="30"/>
        <v>526</v>
      </c>
      <c r="AB98" s="5">
        <f>IFERROR(SUMIFS(HIST_SCORE!$F:$F,HIST_SCORE!$B:$B,PARAMS_MODELO!$B$4,HIST_SCORE!$C:$C,$A98),"")</f>
        <v>566</v>
      </c>
      <c r="AC98" s="5">
        <f t="shared" si="31"/>
        <v>40</v>
      </c>
      <c r="AD98" t="str">
        <f t="shared" si="33"/>
        <v/>
      </c>
      <c r="AE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CERRADO",1,IF(V98="BRONCE",_xlpm.cPl,IF(V98="PLATA",_xlpm.cO,IF(V98="ORO",_xlpm.cP,IF(V98="PLATINO",_xlpm.cD,999))))))</f>
        <v>86.439123873763251</v>
      </c>
      <c r="AF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CERRADO",0,IF(V98="BRONCE",1,IF(V98="PLATA",_xlpm.cPl,IF(V98="ORO",_xlpm.cO,IF(V98="PLATINO",_xlpm.cP,_xlpm.cD))))))</f>
        <v>63.199193273331495</v>
      </c>
      <c r="AG98">
        <f t="shared" si="34"/>
        <v>18.183235773951765</v>
      </c>
      <c r="AH98" t="str">
        <f t="shared" si="35"/>
        <v>VENTAS</v>
      </c>
      <c r="AI98" t="str">
        <f t="shared" si="32"/>
        <v>🎯 Para subir de categoría, eje VENTAS / DIFERENCIAL vs LOTBA (J). Acción: metas semanales + activación comercial + seguimiento del asesor. ΔR aprox: 18,2</v>
      </c>
      <c r="AJ98" s="26">
        <f>_xlfn.LET(_xlpm.piso,AF98,_xlpm.corte,AE98,_xlpm.prog,IF(_xlpm.corte&lt;=_xlpm.piso,0,MAX(0,MIN(1,(U98-_xlpm.piso)/(_xlpm.corte-_xlpm.piso)))),_xlpm.orden,{"DIAMANTE";"PLATINO";"ORO";"PLATA";"BRONCE";"CERRADO"},_xlpm.act,IFERROR(MATCH(V98,_xlpm.orden,0),6),_xlpm.ant,IFERROR(MATCH(W98,_xlpm.orden,0),6),_xlpm.ajmov,IF(_xlpm.act&lt;_xlpm.ant,0.08,IF(_xlpm.act&gt;_xlpm.ant,-0.08,0)),_xlpm.ajcli,IF(T98&lt;0.95,-0.06,0),_xlpm.prob,MAX(0,MIN(1,_xlpm.prog+_xlpm.ajmov+_xlpm.ajcli)),IF(OR(V98="DIAMANTE",V98="CERRADO"),0,ROUND(_xlpm.prob,2)))</f>
        <v>0.22</v>
      </c>
      <c r="AK98" t="str">
        <f t="shared" si="36"/>
        <v>Faltan 18,2 puntos base para subir a la siguiente categoría</v>
      </c>
      <c r="AL98" t="str">
        <f t="shared" si="37"/>
        <v>Margen de seguridad: 5,1 puntos</v>
      </c>
      <c r="AM98">
        <f t="shared" si="38"/>
        <v>0.71</v>
      </c>
      <c r="AN98" t="str">
        <f t="shared" si="39"/>
        <v>PRIORIDAD ALTA – requiere intervención inmediata</v>
      </c>
      <c r="AO98">
        <f t="shared" si="40"/>
        <v>23.406681175484096</v>
      </c>
      <c r="AP98">
        <f t="shared" si="41"/>
        <v>0</v>
      </c>
      <c r="AQ98">
        <f t="shared" si="42"/>
        <v>0</v>
      </c>
      <c r="AR98">
        <f t="shared" si="43"/>
        <v>8.1999999999999993</v>
      </c>
      <c r="AS98">
        <f t="shared" si="44"/>
        <v>0</v>
      </c>
      <c r="AT98" t="str">
        <f t="shared" si="45"/>
        <v>VENTAS</v>
      </c>
      <c r="AU98">
        <f t="shared" si="46"/>
        <v>23.406681175484096</v>
      </c>
      <c r="AV98" t="str">
        <f t="shared" si="47"/>
        <v>Mayor retorno probable: VENTAS (+23,4 puntos finales potenciales).</v>
      </c>
    </row>
    <row r="99" spans="1:48" x14ac:dyDescent="0.3">
      <c r="A99" s="5">
        <v>51022360</v>
      </c>
      <c r="B99" s="5" t="str">
        <f>IFERROR(VLOOKUP(A99,VENTAS!$A$2:$B$1194,2,0),"")</f>
        <v>CICHETTO</v>
      </c>
      <c r="C99" s="5">
        <f>IFERROR(INDEX(VENTAS!$C$2:$E$1194,MATCH(A99,VENTAS!$A$2:$A$1194,0),MATCH(PARAMS_MODELO!$B$2,{"Q1","Q2","Q3"},0)),0)</f>
        <v>65538987.739999987</v>
      </c>
      <c r="D99" s="5">
        <f>IFERROR(INDEX(VENTAS!$F$2:$H$1194,MATCH(A99,VENTAS!$A$2:$A$1194,0),MATCH(PARAMS_MODELO!$B$2,{"Q1","Q2","Q3"},0)),0)</f>
        <v>159238718</v>
      </c>
      <c r="E99" s="8">
        <f t="shared" si="24"/>
        <v>1.4296792411826167</v>
      </c>
      <c r="F99" s="12">
        <f>IF(E99&lt;=PARAMS_MODELO!$B$15,0,IF(E99&gt;=PARAMS_MODELO!$B$17,100,100*MIN(1,(E99-PARAMS_MODELO!$B$15)/(PARAMS_MODELO!$B$16-PARAMS_MODELO!$B$15))))*PARAMS_MODELO!$B$7</f>
        <v>35</v>
      </c>
      <c r="G99" s="5">
        <f t="shared" si="25"/>
        <v>93699730.26000002</v>
      </c>
      <c r="H99" s="5">
        <f>(PARAMS_MODELO!$B$20*(MAX(0,MIN(3,E99))/3)+PARAMS_MODELO!$B$21*(IFERROR(LN(1+MAX(0,G99))/LN(1+MAX(0,MAX($G$2:$G$1194))),0)))*100*PARAMS_MODELO!$B$8</f>
        <v>9.3066876191950936</v>
      </c>
      <c r="I99" s="8">
        <f>E99-PARAMS_MODELO!$B$5</f>
        <v>1.2521164058070902</v>
      </c>
      <c r="J99" s="5">
        <f>IF(I99&lt;=PARAMS_MODELO!$B$18,0,IF(I99&gt;=PARAMS_MODELO!$B$19,100,100*(I99-PARAMS_MODELO!$B$18)/(PARAMS_MODELO!$B$19-PARAMS_MODELO!$B$18)))*PARAMS_MODELO!$B$9</f>
        <v>15</v>
      </c>
      <c r="K99" s="5">
        <f>IFERROR(CHOOSE(MATCH(PARAMS_MODELO!$B$2,{"Q1","Q2","Q3"},0),LOTO!$D99,LOTO!$F99,LOTO!$H99),0)</f>
        <v>8067500</v>
      </c>
      <c r="L99" s="8">
        <f t="shared" si="26"/>
        <v>5.0662929853529715E-2</v>
      </c>
      <c r="M99" s="5">
        <f>MIN(100,IF(PARAMS_MODELO!$B$23=0,0,100*L99/PARAMS_MODELO!$B$23))*PARAMS_MODELO!$B$10</f>
        <v>15</v>
      </c>
      <c r="N99" s="5">
        <f>IFERROR(VLOOKUP(A99,COMPLIANCE!$A$2:$F$1996,6,0),100)</f>
        <v>100</v>
      </c>
      <c r="O99" s="5">
        <f>N99*PARAMS_MODELO!$B$11</f>
        <v>10</v>
      </c>
      <c r="P99" s="5">
        <f>IFERROR(VLOOKUP(A99,DIGITAL!$A$2:$J$2000,7,0),100)</f>
        <v>80</v>
      </c>
      <c r="Q99" s="5">
        <f>IFERROR(P99,0)*PARAMS_MODELO!$B$12</f>
        <v>8</v>
      </c>
      <c r="R99">
        <f t="shared" si="27"/>
        <v>92.306687619195088</v>
      </c>
      <c r="S99" s="5" t="str">
        <f>IFERROR(VLOOKUP(A99,CLIENTE!$A$2:$N$2000,13,0),1)</f>
        <v>Regular</v>
      </c>
      <c r="T99" s="5">
        <f>IFERROR(VLOOKUP(A99,CLIENTE!$A$2:$N$2000,14,0),1)</f>
        <v>1</v>
      </c>
      <c r="U99" s="5">
        <f t="shared" si="28"/>
        <v>92.306687619195088</v>
      </c>
      <c r="V99" s="5" t="str">
        <f>IF(U99&gt;=MAX(_xlfn.PERCENTILE.INC($U$2:$U$1194,PARAMS_MODELO!$B$50),PARAMS_MODELO!$B$45),"DIAMANTE",IF(U99&gt;=MAX(_xlfn.PERCENTILE.INC($U$2:$U$1194,PARAMS_MODELO!$B$51),PARAMS_MODELO!$B$46),"PLATINO",IF(U99&gt;=MAX(_xlfn.PERCENTILE.INC($U$2:$U$1194,PARAMS_MODELO!$B$52),PARAMS_MODELO!$B$47),"ORO",IF(U99&gt;=MAX(_xlfn.PERCENTILE.INC($U$2:$U$1194,PARAMS_MODELO!$B$53),PARAMS_MODELO!$B$48),"PLATA",IF(U99&gt;=1,"BRONCE","CERRADO")))))</f>
        <v>PLATINO</v>
      </c>
      <c r="W99" s="5" t="str" cm="1">
        <f t="array" ref="W99">_xlfn.XLOOKUP(1, (HIST_SCORE!$B:$B=PARAMS_MODELO!$B$4) * (HIST_SCORE!$C:$C=A99), HIST_SCORE!$E:$E, "No encontrado")</f>
        <v>PLATINO</v>
      </c>
      <c r="X99" s="5" t="str">
        <f>_xlfn.LET(_xlpm.act,MATCH(V99,{"DIAMANTE";"PLATINO";"ORO";"PLATA";"BRONCE";"CERRADO"},0),_xlpm.ant,MATCH(W99,{"DIAMANTE";"PLATINO";"ORO";"PLATA";"BRONCE";"CERRADO"},0),IF(_xlpm.act&lt;_xlpm.ant,"Mejora ↑",IF(_xlpm.act&gt;_xlpm.ant,"Baja ↓","Estable →")))</f>
        <v>Estable →</v>
      </c>
      <c r="Y99" s="5">
        <f>IFERROR(U99-SUMIFS(HIST_SCORE!$D:$D,HIST_SCORE!$B:$B,PARAMS_MODELO!$B$4,HIST_SCORE!$C:$C,$A99),"")</f>
        <v>2.4912052440712671</v>
      </c>
      <c r="Z99" s="5" t="str">
        <f t="shared" si="29"/>
        <v>→ Estable</v>
      </c>
      <c r="AA99" s="5">
        <f t="shared" si="30"/>
        <v>102</v>
      </c>
      <c r="AB99" s="5">
        <f>IFERROR(SUMIFS(HIST_SCORE!$F:$F,HIST_SCORE!$B:$B,PARAMS_MODELO!$B$4,HIST_SCORE!$C:$C,$A99),"")</f>
        <v>132</v>
      </c>
      <c r="AC99" s="5">
        <f t="shared" si="31"/>
        <v>30</v>
      </c>
      <c r="AD99" t="str">
        <f t="shared" si="33"/>
        <v/>
      </c>
      <c r="AE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CERRADO",1,IF(V99="BRONCE",_xlpm.cPl,IF(V99="PLATA",_xlpm.cO,IF(V99="ORO",_xlpm.cP,IF(V99="PLATINO",_xlpm.cD,999))))))</f>
        <v>96.054919694466676</v>
      </c>
      <c r="AF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CERRADO",0,IF(V99="BRONCE",1,IF(V99="PLATA",_xlpm.cPl,IF(V99="ORO",_xlpm.cO,IF(V99="PLATINO",_xlpm.cP,_xlpm.cD))))))</f>
        <v>86.439123873763251</v>
      </c>
      <c r="AG99">
        <f t="shared" si="34"/>
        <v>3.7482320752715879</v>
      </c>
      <c r="AH99" t="str">
        <f t="shared" si="35"/>
        <v>VENTAS</v>
      </c>
      <c r="AI99" t="str">
        <f t="shared" si="32"/>
        <v>🎯 Para subir de categoría, eje VENTAS / IMPACTO ABSOLUTO (H). Acción: metas semanales + activación comercial + seguimiento del asesor. ΔR aprox: 3,7</v>
      </c>
      <c r="AJ99" s="26">
        <f>_xlfn.LET(_xlpm.piso,AF99,_xlpm.corte,AE99,_xlpm.prog,IF(_xlpm.corte&lt;=_xlpm.piso,0,MAX(0,MIN(1,(U99-_xlpm.piso)/(_xlpm.corte-_xlpm.piso)))),_xlpm.orden,{"DIAMANTE";"PLATINO";"ORO";"PLATA";"BRONCE";"CERRADO"},_xlpm.act,IFERROR(MATCH(V99,_xlpm.orden,0),6),_xlpm.ant,IFERROR(MATCH(W99,_xlpm.orden,0),6),_xlpm.ajmov,IF(_xlpm.act&lt;_xlpm.ant,0.08,IF(_xlpm.act&gt;_xlpm.ant,-0.08,0)),_xlpm.ajcli,IF(T99&lt;0.95,-0.06,0),_xlpm.prob,MAX(0,MIN(1,_xlpm.prog+_xlpm.ajmov+_xlpm.ajcli)),IF(OR(V99="DIAMANTE",V99="CERRADO"),0,ROUND(_xlpm.prob,2)))</f>
        <v>0.61</v>
      </c>
      <c r="AK99" t="str">
        <f t="shared" si="36"/>
        <v>Faltan 3,7 puntos base para subir a la siguiente categoría</v>
      </c>
      <c r="AL99" t="str">
        <f t="shared" si="37"/>
        <v>Margen de seguridad: 5,9 puntos</v>
      </c>
      <c r="AM99">
        <f t="shared" si="38"/>
        <v>0.31</v>
      </c>
      <c r="AN99" t="str">
        <f t="shared" si="39"/>
        <v>PRIORIDAD BAJA – control normal</v>
      </c>
      <c r="AO99">
        <f t="shared" si="40"/>
        <v>5.5558816561004889</v>
      </c>
      <c r="AP99">
        <f t="shared" si="41"/>
        <v>0</v>
      </c>
      <c r="AQ99">
        <f t="shared" si="42"/>
        <v>0</v>
      </c>
      <c r="AR99">
        <f t="shared" si="43"/>
        <v>2</v>
      </c>
      <c r="AS99">
        <f t="shared" si="44"/>
        <v>0</v>
      </c>
      <c r="AT99" t="str">
        <f t="shared" si="45"/>
        <v>VENTAS</v>
      </c>
      <c r="AU99">
        <f t="shared" si="46"/>
        <v>5.5558816561004889</v>
      </c>
      <c r="AV99" t="str">
        <f t="shared" si="47"/>
        <v>Mayor retorno probable: VENTAS (+5,6 puntos finales potenciales).</v>
      </c>
    </row>
    <row r="100" spans="1:48" x14ac:dyDescent="0.3">
      <c r="A100" s="5">
        <v>51040848</v>
      </c>
      <c r="B100" s="5" t="str">
        <f>IFERROR(VLOOKUP(A100,VENTAS!$A$2:$B$1194,2,0),"")</f>
        <v>ROBERTS</v>
      </c>
      <c r="C100" s="5">
        <f>IFERROR(INDEX(VENTAS!$C$2:$E$1194,MATCH(A100,VENTAS!$A$2:$A$1194,0),MATCH(PARAMS_MODELO!$B$2,{"Q1","Q2","Q3"},0)),0)</f>
        <v>125789860.18000001</v>
      </c>
      <c r="D100" s="5">
        <f>IFERROR(INDEX(VENTAS!$F$2:$H$1194,MATCH(A100,VENTAS!$A$2:$A$1194,0),MATCH(PARAMS_MODELO!$B$2,{"Q1","Q2","Q3"},0)),0)</f>
        <v>158611045</v>
      </c>
      <c r="E100" s="8">
        <f t="shared" si="24"/>
        <v>0.26092075126750491</v>
      </c>
      <c r="F100" s="12">
        <f>IF(E100&lt;=PARAMS_MODELO!$B$15,0,IF(E100&gt;=PARAMS_MODELO!$B$17,100,100*MIN(1,(E100-PARAMS_MODELO!$B$15)/(PARAMS_MODELO!$B$16-PARAMS_MODELO!$B$15))))*PARAMS_MODELO!$B$7</f>
        <v>35</v>
      </c>
      <c r="G100" s="5">
        <f t="shared" si="25"/>
        <v>32821184.819999993</v>
      </c>
      <c r="H100" s="5">
        <f>(PARAMS_MODELO!$B$20*(MAX(0,MIN(3,E100))/3)+PARAMS_MODELO!$B$21*(IFERROR(LN(1+MAX(0,G100))/LN(1+MAX(0,MAX($G$2:$G$1194))),0)))*100*PARAMS_MODELO!$B$8</f>
        <v>4.9701277123888712</v>
      </c>
      <c r="I100" s="8">
        <f>E100-PARAMS_MODELO!$B$5</f>
        <v>8.3357915891978385E-2</v>
      </c>
      <c r="J100" s="5">
        <f>IF(I100&lt;=PARAMS_MODELO!$B$18,0,IF(I100&gt;=PARAMS_MODELO!$B$19,100,100*(I100-PARAMS_MODELO!$B$18)/(PARAMS_MODELO!$B$19-PARAMS_MODELO!$B$18)))*PARAMS_MODELO!$B$9</f>
        <v>15</v>
      </c>
      <c r="K100" s="5">
        <f>IFERROR(CHOOSE(MATCH(PARAMS_MODELO!$B$2,{"Q1","Q2","Q3"},0),LOTO!$D100,LOTO!$F100,LOTO!$H100),0)</f>
        <v>8047500</v>
      </c>
      <c r="L100" s="8">
        <f t="shared" si="26"/>
        <v>5.0737324125189387E-2</v>
      </c>
      <c r="M100" s="5">
        <f>MIN(100,IF(PARAMS_MODELO!$B$23=0,0,100*L100/PARAMS_MODELO!$B$23))*PARAMS_MODELO!$B$10</f>
        <v>15</v>
      </c>
      <c r="N100" s="5">
        <f>IFERROR(VLOOKUP(A100,COMPLIANCE!$A$2:$F$1996,6,0),100)</f>
        <v>99.98</v>
      </c>
      <c r="O100" s="5">
        <f>N100*PARAMS_MODELO!$B$11</f>
        <v>9.9980000000000011</v>
      </c>
      <c r="P100" s="5">
        <f>IFERROR(VLOOKUP(A100,DIGITAL!$A$2:$J$2000,7,0),100)</f>
        <v>10</v>
      </c>
      <c r="Q100" s="5">
        <f>IFERROR(P100,0)*PARAMS_MODELO!$B$12</f>
        <v>1</v>
      </c>
      <c r="R100">
        <f t="shared" si="27"/>
        <v>80.968127712388878</v>
      </c>
      <c r="S100" s="5" t="str">
        <f>IFERROR(VLOOKUP(A100,CLIENTE!$A$2:$N$2000,13,0),1)</f>
        <v>Regular</v>
      </c>
      <c r="T100" s="5">
        <f>IFERROR(VLOOKUP(A100,CLIENTE!$A$2:$N$2000,14,0),1)</f>
        <v>1</v>
      </c>
      <c r="U100" s="5">
        <f t="shared" si="28"/>
        <v>80.968127712388878</v>
      </c>
      <c r="V100" s="5" t="str">
        <f>IF(U100&gt;=MAX(_xlfn.PERCENTILE.INC($U$2:$U$1194,PARAMS_MODELO!$B$50),PARAMS_MODELO!$B$45),"DIAMANTE",IF(U100&gt;=MAX(_xlfn.PERCENTILE.INC($U$2:$U$1194,PARAMS_MODELO!$B$51),PARAMS_MODELO!$B$46),"PLATINO",IF(U100&gt;=MAX(_xlfn.PERCENTILE.INC($U$2:$U$1194,PARAMS_MODELO!$B$52),PARAMS_MODELO!$B$47),"ORO",IF(U100&gt;=MAX(_xlfn.PERCENTILE.INC($U$2:$U$1194,PARAMS_MODELO!$B$53),PARAMS_MODELO!$B$48),"PLATA",IF(U100&gt;=1,"BRONCE","CERRADO")))))</f>
        <v>ORO</v>
      </c>
      <c r="W100" s="5" t="str" cm="1">
        <f t="array" ref="W100">_xlfn.XLOOKUP(1, (HIST_SCORE!$B:$B=PARAMS_MODELO!$B$4) * (HIST_SCORE!$C:$C=A100), HIST_SCORE!$E:$E, "No encontrado")</f>
        <v>ORO</v>
      </c>
      <c r="X100" s="5" t="str">
        <f>_xlfn.LET(_xlpm.act,MATCH(V100,{"DIAMANTE";"PLATINO";"ORO";"PLATA";"BRONCE";"CERRADO"},0),_xlpm.ant,MATCH(W100,{"DIAMANTE";"PLATINO";"ORO";"PLATA";"BRONCE";"CERRADO"},0),IF(_xlpm.act&lt;_xlpm.ant,"Mejora ↑",IF(_xlpm.act&gt;_xlpm.ant,"Baja ↓","Estable →")))</f>
        <v>Estable →</v>
      </c>
      <c r="Y100" s="5">
        <f>IFERROR(U100-SUMIFS(HIST_SCORE!$D:$D,HIST_SCORE!$B:$B,PARAMS_MODELO!$B$4,HIST_SCORE!$C:$C,$A100),"")</f>
        <v>2.7184611581475053</v>
      </c>
      <c r="Z100" s="5" t="str">
        <f t="shared" si="29"/>
        <v>→ Estable</v>
      </c>
      <c r="AA100" s="5">
        <f t="shared" si="30"/>
        <v>416</v>
      </c>
      <c r="AB100" s="5">
        <f>IFERROR(SUMIFS(HIST_SCORE!$F:$F,HIST_SCORE!$B:$B,PARAMS_MODELO!$B$4,HIST_SCORE!$C:$C,$A100),"")</f>
        <v>449</v>
      </c>
      <c r="AC100" s="5">
        <f t="shared" si="31"/>
        <v>33</v>
      </c>
      <c r="AD100" t="str">
        <f t="shared" si="33"/>
        <v/>
      </c>
      <c r="AE1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CERRADO",1,IF(V100="BRONCE",_xlpm.cPl,IF(V100="PLATA",_xlpm.cO,IF(V100="ORO",_xlpm.cP,IF(V100="PLATINO",_xlpm.cD,999))))))</f>
        <v>86.439123873763251</v>
      </c>
      <c r="AF1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CERRADO",0,IF(V100="BRONCE",1,IF(V100="PLATA",_xlpm.cPl,IF(V100="ORO",_xlpm.cO,IF(V100="PLATINO",_xlpm.cP,_xlpm.cD))))))</f>
        <v>63.199193273331495</v>
      </c>
      <c r="AG100">
        <f t="shared" si="34"/>
        <v>5.4709961613743729</v>
      </c>
      <c r="AH100" t="str">
        <f t="shared" si="35"/>
        <v>VENTAS</v>
      </c>
      <c r="AI100" t="str">
        <f t="shared" si="32"/>
        <v>🎯 Para subir de categoría, eje VENTAS / IMPACTO ABSOLUTO (H). Acción: metas semanales + activación comercial + seguimiento del asesor. ΔR aprox: 5,5</v>
      </c>
      <c r="AJ100" s="26">
        <f>_xlfn.LET(_xlpm.piso,AF100,_xlpm.corte,AE100,_xlpm.prog,IF(_xlpm.corte&lt;=_xlpm.piso,0,MAX(0,MIN(1,(U100-_xlpm.piso)/(_xlpm.corte-_xlpm.piso)))),_xlpm.orden,{"DIAMANTE";"PLATINO";"ORO";"PLATA";"BRONCE";"CERRADO"},_xlpm.act,IFERROR(MATCH(V100,_xlpm.orden,0),6),_xlpm.ant,IFERROR(MATCH(W100,_xlpm.orden,0),6),_xlpm.ajmov,IF(_xlpm.act&lt;_xlpm.ant,0.08,IF(_xlpm.act&gt;_xlpm.ant,-0.08,0)),_xlpm.ajcli,IF(T100&lt;0.95,-0.06,0),_xlpm.prob,MAX(0,MIN(1,_xlpm.prog+_xlpm.ajmov+_xlpm.ajcli)),IF(OR(V100="DIAMANTE",V100="CERRADO"),0,ROUND(_xlpm.prob,2)))</f>
        <v>0.76</v>
      </c>
      <c r="AK100" t="str">
        <f t="shared" si="36"/>
        <v>Faltan 5,5 puntos base para subir a la siguiente categoría</v>
      </c>
      <c r="AL100" t="str">
        <f t="shared" si="37"/>
        <v>Margen de seguridad: 17,8 puntos</v>
      </c>
      <c r="AM100">
        <f t="shared" si="38"/>
        <v>0.31</v>
      </c>
      <c r="AN100" t="str">
        <f t="shared" si="39"/>
        <v>PRIORIDAD BAJA – control normal</v>
      </c>
      <c r="AO100">
        <f t="shared" si="40"/>
        <v>9.8924415629067113</v>
      </c>
      <c r="AP100">
        <f t="shared" si="41"/>
        <v>0</v>
      </c>
      <c r="AQ100">
        <f t="shared" si="42"/>
        <v>1.9999999999988916E-3</v>
      </c>
      <c r="AR100">
        <f t="shared" si="43"/>
        <v>9</v>
      </c>
      <c r="AS100">
        <f t="shared" si="44"/>
        <v>0</v>
      </c>
      <c r="AT100" t="str">
        <f t="shared" si="45"/>
        <v>VENTAS</v>
      </c>
      <c r="AU100">
        <f t="shared" si="46"/>
        <v>9.8924415629067113</v>
      </c>
      <c r="AV100" t="str">
        <f t="shared" si="47"/>
        <v>Mayor retorno probable: VENTAS (+9,9 puntos finales potenciales).</v>
      </c>
    </row>
    <row r="101" spans="1:48" x14ac:dyDescent="0.3">
      <c r="A101" s="5">
        <v>51022696</v>
      </c>
      <c r="B101" s="5" t="str">
        <f>IFERROR(VLOOKUP(A101,VENTAS!$A$2:$B$1194,2,0),"")</f>
        <v>MONTENEGRO</v>
      </c>
      <c r="C101" s="5">
        <f>IFERROR(INDEX(VENTAS!$C$2:$E$1194,MATCH(A101,VENTAS!$A$2:$A$1194,0),MATCH(PARAMS_MODELO!$B$2,{"Q1","Q2","Q3"},0)),0)</f>
        <v>111293265.5</v>
      </c>
      <c r="D101" s="5">
        <f>IFERROR(INDEX(VENTAS!$F$2:$H$1194,MATCH(A101,VENTAS!$A$2:$A$1194,0),MATCH(PARAMS_MODELO!$B$2,{"Q1","Q2","Q3"},0)),0)</f>
        <v>158145109</v>
      </c>
      <c r="E101" s="8">
        <f t="shared" si="24"/>
        <v>0.42097644713282323</v>
      </c>
      <c r="F101" s="12">
        <f>IF(E101&lt;=PARAMS_MODELO!$B$15,0,IF(E101&gt;=PARAMS_MODELO!$B$17,100,100*MIN(1,(E101-PARAMS_MODELO!$B$15)/(PARAMS_MODELO!$B$16-PARAMS_MODELO!$B$15))))*PARAMS_MODELO!$B$7</f>
        <v>35</v>
      </c>
      <c r="G101" s="5">
        <f t="shared" si="25"/>
        <v>46851843.5</v>
      </c>
      <c r="H101" s="5">
        <f>(PARAMS_MODELO!$B$20*(MAX(0,MIN(3,E101))/3)+PARAMS_MODELO!$B$21*(IFERROR(LN(1+MAX(0,G101))/LN(1+MAX(0,MAX($G$2:$G$1194))),0)))*100*PARAMS_MODELO!$B$8</f>
        <v>5.613754365176824</v>
      </c>
      <c r="I101" s="8">
        <f>E101-PARAMS_MODELO!$B$5</f>
        <v>0.2434136117572967</v>
      </c>
      <c r="J101" s="5">
        <f>IF(I101&lt;=PARAMS_MODELO!$B$18,0,IF(I101&gt;=PARAMS_MODELO!$B$19,100,100*(I101-PARAMS_MODELO!$B$18)/(PARAMS_MODELO!$B$19-PARAMS_MODELO!$B$18)))*PARAMS_MODELO!$B$9</f>
        <v>15</v>
      </c>
      <c r="K101" s="5">
        <f>IFERROR(CHOOSE(MATCH(PARAMS_MODELO!$B$2,{"Q1","Q2","Q3"},0),LOTO!$D101,LOTO!$F101,LOTO!$H101),0)</f>
        <v>8022500</v>
      </c>
      <c r="L101" s="8">
        <f t="shared" si="26"/>
        <v>5.0728726615250554E-2</v>
      </c>
      <c r="M101" s="5">
        <f>MIN(100,IF(PARAMS_MODELO!$B$23=0,0,100*L101/PARAMS_MODELO!$B$23))*PARAMS_MODELO!$B$10</f>
        <v>15</v>
      </c>
      <c r="N101" s="5">
        <f>IFERROR(VLOOKUP(A101,COMPLIANCE!$A$2:$F$1996,6,0),100)</f>
        <v>100</v>
      </c>
      <c r="O101" s="5">
        <f>N101*PARAMS_MODELO!$B$11</f>
        <v>10</v>
      </c>
      <c r="P101" s="5">
        <f>IFERROR(VLOOKUP(A101,DIGITAL!$A$2:$J$2000,7,0),100)</f>
        <v>22</v>
      </c>
      <c r="Q101" s="5">
        <f>IFERROR(P101,0)*PARAMS_MODELO!$B$12</f>
        <v>2.2000000000000002</v>
      </c>
      <c r="R101">
        <f t="shared" si="27"/>
        <v>82.81375436517682</v>
      </c>
      <c r="S101" s="5" t="str">
        <f>IFERROR(VLOOKUP(A101,CLIENTE!$A$2:$N$2000,13,0),1)</f>
        <v>Muy Bueno</v>
      </c>
      <c r="T101" s="5">
        <f>IFERROR(VLOOKUP(A101,CLIENTE!$A$2:$N$2000,14,0),1)</f>
        <v>1.1499999999999999</v>
      </c>
      <c r="U101" s="5">
        <f t="shared" si="28"/>
        <v>95.235817519953329</v>
      </c>
      <c r="V101" s="5" t="str">
        <f>IF(U101&gt;=MAX(_xlfn.PERCENTILE.INC($U$2:$U$1194,PARAMS_MODELO!$B$50),PARAMS_MODELO!$B$45),"DIAMANTE",IF(U101&gt;=MAX(_xlfn.PERCENTILE.INC($U$2:$U$1194,PARAMS_MODELO!$B$51),PARAMS_MODELO!$B$46),"PLATINO",IF(U101&gt;=MAX(_xlfn.PERCENTILE.INC($U$2:$U$1194,PARAMS_MODELO!$B$52),PARAMS_MODELO!$B$47),"ORO",IF(U101&gt;=MAX(_xlfn.PERCENTILE.INC($U$2:$U$1194,PARAMS_MODELO!$B$53),PARAMS_MODELO!$B$48),"PLATA",IF(U101&gt;=1,"BRONCE","CERRADO")))))</f>
        <v>PLATINO</v>
      </c>
      <c r="W101" s="5" t="str" cm="1">
        <f t="array" ref="W101">_xlfn.XLOOKUP(1, (HIST_SCORE!$B:$B=PARAMS_MODELO!$B$4) * (HIST_SCORE!$C:$C=A101), HIST_SCORE!$E:$E, "No encontrado")</f>
        <v>PLATINO</v>
      </c>
      <c r="X101" s="5" t="str">
        <f>_xlfn.LET(_xlpm.act,MATCH(V101,{"DIAMANTE";"PLATINO";"ORO";"PLATA";"BRONCE";"CERRADO"},0),_xlpm.ant,MATCH(W101,{"DIAMANTE";"PLATINO";"ORO";"PLATA";"BRONCE";"CERRADO"},0),IF(_xlpm.act&lt;_xlpm.ant,"Mejora ↑",IF(_xlpm.act&gt;_xlpm.ant,"Baja ↓","Estable →")))</f>
        <v>Estable →</v>
      </c>
      <c r="Y101" s="5">
        <f>IFERROR(U101-SUMIFS(HIST_SCORE!$D:$D,HIST_SCORE!$B:$B,PARAMS_MODELO!$B$4,HIST_SCORE!$C:$C,$A101),"")</f>
        <v>1.1543434641643557</v>
      </c>
      <c r="Z101" s="5" t="str">
        <f t="shared" si="29"/>
        <v>→ Estable</v>
      </c>
      <c r="AA101" s="5">
        <f t="shared" si="30"/>
        <v>68</v>
      </c>
      <c r="AB101" s="5">
        <f>IFERROR(SUMIFS(HIST_SCORE!$F:$F,HIST_SCORE!$B:$B,PARAMS_MODELO!$B$4,HIST_SCORE!$C:$C,$A101),"")</f>
        <v>72</v>
      </c>
      <c r="AC101" s="5">
        <f t="shared" si="31"/>
        <v>4</v>
      </c>
      <c r="AD101" t="str">
        <f t="shared" si="33"/>
        <v/>
      </c>
      <c r="AE1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CERRADO",1,IF(V101="BRONCE",_xlpm.cPl,IF(V101="PLATA",_xlpm.cO,IF(V101="ORO",_xlpm.cP,IF(V101="PLATINO",_xlpm.cD,999))))))</f>
        <v>96.054919694466676</v>
      </c>
      <c r="AF1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CERRADO",0,IF(V101="BRONCE",1,IF(V101="PLATA",_xlpm.cPl,IF(V101="ORO",_xlpm.cO,IF(V101="PLATINO",_xlpm.cP,_xlpm.cD))))))</f>
        <v>86.439123873763251</v>
      </c>
      <c r="AG101">
        <f t="shared" si="34"/>
        <v>0.71226276044637871</v>
      </c>
      <c r="AH101" t="str">
        <f t="shared" si="35"/>
        <v>VENTAS</v>
      </c>
      <c r="AI101" t="str">
        <f t="shared" si="32"/>
        <v>🎯 Para subir de categoría, eje VENTAS / IMPACTO ABSOLUTO (H). Acción: metas semanales + activación comercial + seguimiento del asesor. ΔR aprox: 0,7</v>
      </c>
      <c r="AJ101" s="26">
        <f>_xlfn.LET(_xlpm.piso,AF101,_xlpm.corte,AE101,_xlpm.prog,IF(_xlpm.corte&lt;=_xlpm.piso,0,MAX(0,MIN(1,(U101-_xlpm.piso)/(_xlpm.corte-_xlpm.piso)))),_xlpm.orden,{"DIAMANTE";"PLATINO";"ORO";"PLATA";"BRONCE";"CERRADO"},_xlpm.act,IFERROR(MATCH(V101,_xlpm.orden,0),6),_xlpm.ant,IFERROR(MATCH(W101,_xlpm.orden,0),6),_xlpm.ajmov,IF(_xlpm.act&lt;_xlpm.ant,0.08,IF(_xlpm.act&gt;_xlpm.ant,-0.08,0)),_xlpm.ajcli,IF(T101&lt;0.95,-0.06,0),_xlpm.prob,MAX(0,MIN(1,_xlpm.prog+_xlpm.ajmov+_xlpm.ajcli)),IF(OR(V101="DIAMANTE",V101="CERRADO"),0,ROUND(_xlpm.prob,2)))</f>
        <v>0.91</v>
      </c>
      <c r="AK101" t="str">
        <f t="shared" si="36"/>
        <v>Faltan 0,7 puntos base para subir a la siguiente categoría</v>
      </c>
      <c r="AL101" t="str">
        <f t="shared" si="37"/>
        <v>Margen de seguridad: 8,8 puntos</v>
      </c>
      <c r="AM101">
        <f t="shared" si="38"/>
        <v>0.06</v>
      </c>
      <c r="AN101" t="str">
        <f t="shared" si="39"/>
        <v>PRIORIDAD BAJA – control normal</v>
      </c>
      <c r="AO101">
        <f t="shared" si="40"/>
        <v>10.636137146636573</v>
      </c>
      <c r="AP101">
        <f t="shared" si="41"/>
        <v>0</v>
      </c>
      <c r="AQ101">
        <f t="shared" si="42"/>
        <v>0</v>
      </c>
      <c r="AR101">
        <f t="shared" si="43"/>
        <v>8.9699999999999989</v>
      </c>
      <c r="AS101">
        <f t="shared" si="44"/>
        <v>0</v>
      </c>
      <c r="AT101" t="str">
        <f t="shared" si="45"/>
        <v>VENTAS</v>
      </c>
      <c r="AU101">
        <f t="shared" si="46"/>
        <v>10.636137146636573</v>
      </c>
      <c r="AV101" t="str">
        <f t="shared" si="47"/>
        <v>Mayor retorno probable: VENTAS (+10,6 puntos finales potenciales).</v>
      </c>
    </row>
    <row r="102" spans="1:48" x14ac:dyDescent="0.3">
      <c r="A102" s="5">
        <v>51056426</v>
      </c>
      <c r="B102" s="5" t="str">
        <f>IFERROR(VLOOKUP(A102,VENTAS!$A$2:$B$1194,2,0),"")</f>
        <v>PUGH</v>
      </c>
      <c r="C102" s="5">
        <f>IFERROR(INDEX(VENTAS!$C$2:$E$1194,MATCH(A102,VENTAS!$A$2:$A$1194,0),MATCH(PARAMS_MODELO!$B$2,{"Q1","Q2","Q3"},0)),0)</f>
        <v>110962407.54000001</v>
      </c>
      <c r="D102" s="5">
        <f>IFERROR(INDEX(VENTAS!$F$2:$H$1194,MATCH(A102,VENTAS!$A$2:$A$1194,0),MATCH(PARAMS_MODELO!$B$2,{"Q1","Q2","Q3"},0)),0)</f>
        <v>157729078</v>
      </c>
      <c r="E102" s="8">
        <f t="shared" si="24"/>
        <v>0.42146409308162691</v>
      </c>
      <c r="F102" s="12">
        <f>IF(E102&lt;=PARAMS_MODELO!$B$15,0,IF(E102&gt;=PARAMS_MODELO!$B$17,100,100*MIN(1,(E102-PARAMS_MODELO!$B$15)/(PARAMS_MODELO!$B$16-PARAMS_MODELO!$B$15))))*PARAMS_MODELO!$B$7</f>
        <v>35</v>
      </c>
      <c r="G102" s="5">
        <f t="shared" si="25"/>
        <v>46766670.459999993</v>
      </c>
      <c r="H102" s="5">
        <f>(PARAMS_MODELO!$B$20*(MAX(0,MIN(3,E102))/3)+PARAMS_MODELO!$B$21*(IFERROR(LN(1+MAX(0,G102))/LN(1+MAX(0,MAX($G$2:$G$1194))),0)))*100*PARAMS_MODELO!$B$8</f>
        <v>5.6150345916747062</v>
      </c>
      <c r="I102" s="8">
        <f>E102-PARAMS_MODELO!$B$5</f>
        <v>0.24390125770610038</v>
      </c>
      <c r="J102" s="5">
        <f>IF(I102&lt;=PARAMS_MODELO!$B$18,0,IF(I102&gt;=PARAMS_MODELO!$B$19,100,100*(I102-PARAMS_MODELO!$B$18)/(PARAMS_MODELO!$B$19-PARAMS_MODELO!$B$18)))*PARAMS_MODELO!$B$9</f>
        <v>15</v>
      </c>
      <c r="K102" s="5">
        <f>IFERROR(CHOOSE(MATCH(PARAMS_MODELO!$B$2,{"Q1","Q2","Q3"},0),LOTO!$D102,LOTO!$F102,LOTO!$H102),0)</f>
        <v>7970000</v>
      </c>
      <c r="L102" s="8">
        <f t="shared" si="26"/>
        <v>5.0529681026855428E-2</v>
      </c>
      <c r="M102" s="5">
        <f>MIN(100,IF(PARAMS_MODELO!$B$23=0,0,100*L102/PARAMS_MODELO!$B$23))*PARAMS_MODELO!$B$10</f>
        <v>15</v>
      </c>
      <c r="N102" s="5">
        <f>IFERROR(VLOOKUP(A102,COMPLIANCE!$A$2:$F$1996,6,0),100)</f>
        <v>100</v>
      </c>
      <c r="O102" s="5">
        <f>N102*PARAMS_MODELO!$B$11</f>
        <v>10</v>
      </c>
      <c r="P102" s="5">
        <f>IFERROR(VLOOKUP(A102,DIGITAL!$A$2:$J$2000,7,0),100)</f>
        <v>73</v>
      </c>
      <c r="Q102" s="5">
        <f>IFERROR(P102,0)*PARAMS_MODELO!$B$12</f>
        <v>7.3000000000000007</v>
      </c>
      <c r="R102">
        <f t="shared" si="27"/>
        <v>87.915034591674711</v>
      </c>
      <c r="S102" s="5" t="str">
        <f>IFERROR(VLOOKUP(A102,CLIENTE!$A$2:$N$2000,13,0),1)</f>
        <v>Malo</v>
      </c>
      <c r="T102" s="5">
        <f>IFERROR(VLOOKUP(A102,CLIENTE!$A$2:$N$2000,14,0),1)</f>
        <v>0.7</v>
      </c>
      <c r="U102" s="5">
        <f t="shared" si="28"/>
        <v>61.540524214172294</v>
      </c>
      <c r="V102" s="5" t="str">
        <f>IF(U102&gt;=MAX(_xlfn.PERCENTILE.INC($U$2:$U$1194,PARAMS_MODELO!$B$50),PARAMS_MODELO!$B$45),"DIAMANTE",IF(U102&gt;=MAX(_xlfn.PERCENTILE.INC($U$2:$U$1194,PARAMS_MODELO!$B$51),PARAMS_MODELO!$B$46),"PLATINO",IF(U102&gt;=MAX(_xlfn.PERCENTILE.INC($U$2:$U$1194,PARAMS_MODELO!$B$52),PARAMS_MODELO!$B$47),"ORO",IF(U102&gt;=MAX(_xlfn.PERCENTILE.INC($U$2:$U$1194,PARAMS_MODELO!$B$53),PARAMS_MODELO!$B$48),"PLATA",IF(U102&gt;=1,"BRONCE","CERRADO")))))</f>
        <v>PLATA</v>
      </c>
      <c r="W102" s="5" t="str" cm="1">
        <f t="array" ref="W102">_xlfn.XLOOKUP(1, (HIST_SCORE!$B:$B=PARAMS_MODELO!$B$4) * (HIST_SCORE!$C:$C=A102), HIST_SCORE!$E:$E, "No encontrado")</f>
        <v>PLATA</v>
      </c>
      <c r="X102" s="5" t="str">
        <f>_xlfn.LET(_xlpm.act,MATCH(V102,{"DIAMANTE";"PLATINO";"ORO";"PLATA";"BRONCE";"CERRADO"},0),_xlpm.ant,MATCH(W102,{"DIAMANTE";"PLATINO";"ORO";"PLATA";"BRONCE";"CERRADO"},0),IF(_xlpm.act&lt;_xlpm.ant,"Mejora ↑",IF(_xlpm.act&gt;_xlpm.ant,"Baja ↓","Estable →")))</f>
        <v>Estable →</v>
      </c>
      <c r="Y102" s="5">
        <f>IFERROR(U102-SUMIFS(HIST_SCORE!$D:$D,HIST_SCORE!$B:$B,PARAMS_MODELO!$B$4,HIST_SCORE!$C:$C,$A102),"")</f>
        <v>0.16220941791073074</v>
      </c>
      <c r="Z102" s="5" t="str">
        <f t="shared" si="29"/>
        <v>→ Estable</v>
      </c>
      <c r="AA102" s="5">
        <f t="shared" si="30"/>
        <v>589</v>
      </c>
      <c r="AB102" s="5">
        <f>IFERROR(SUMIFS(HIST_SCORE!$F:$F,HIST_SCORE!$B:$B,PARAMS_MODELO!$B$4,HIST_SCORE!$C:$C,$A102),"")</f>
        <v>623</v>
      </c>
      <c r="AC102" s="5">
        <f t="shared" si="31"/>
        <v>34</v>
      </c>
      <c r="AD102" t="str">
        <f t="shared" si="33"/>
        <v/>
      </c>
      <c r="AE1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CERRADO",1,IF(V102="BRONCE",_xlpm.cPl,IF(V102="PLATA",_xlpm.cO,IF(V102="ORO",_xlpm.cP,IF(V102="PLATINO",_xlpm.cD,999))))))</f>
        <v>63.199193273331495</v>
      </c>
      <c r="AF1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CERRADO",0,IF(V102="BRONCE",1,IF(V102="PLATA",_xlpm.cPl,IF(V102="ORO",_xlpm.cO,IF(V102="PLATINO",_xlpm.cP,_xlpm.cD))))))</f>
        <v>24.506573482968111</v>
      </c>
      <c r="AG102">
        <f t="shared" si="34"/>
        <v>2.3695272273702841</v>
      </c>
      <c r="AH102" t="str">
        <f t="shared" si="35"/>
        <v>CLIENTE</v>
      </c>
      <c r="AI102" t="str">
        <f t="shared" si="32"/>
        <v>🎯 Para subir de categoría, la eje con mayor impacto probable es CLIENTE (coef T). Acción: reducir quejas, mejorar incógnito y empujar reseñas. ΔR aprox: 2,4</v>
      </c>
      <c r="AJ102" s="26">
        <f>_xlfn.LET(_xlpm.piso,AF102,_xlpm.corte,AE102,_xlpm.prog,IF(_xlpm.corte&lt;=_xlpm.piso,0,MAX(0,MIN(1,(U102-_xlpm.piso)/(_xlpm.corte-_xlpm.piso)))),_xlpm.orden,{"DIAMANTE";"PLATINO";"ORO";"PLATA";"BRONCE";"CERRADO"},_xlpm.act,IFERROR(MATCH(V102,_xlpm.orden,0),6),_xlpm.ant,IFERROR(MATCH(W102,_xlpm.orden,0),6),_xlpm.ajmov,IF(_xlpm.act&lt;_xlpm.ant,0.08,IF(_xlpm.act&gt;_xlpm.ant,-0.08,0)),_xlpm.ajcli,IF(T102&lt;0.95,-0.06,0),_xlpm.prob,MAX(0,MIN(1,_xlpm.prog+_xlpm.ajmov+_xlpm.ajcli)),IF(OR(V102="DIAMANTE",V102="CERRADO"),0,ROUND(_xlpm.prob,2)))</f>
        <v>0.9</v>
      </c>
      <c r="AK102" t="str">
        <f t="shared" si="36"/>
        <v>Faltan 2,4 puntos base para subir a la siguiente categoría</v>
      </c>
      <c r="AL102" t="str">
        <f t="shared" si="37"/>
        <v>Margen de seguridad: 37,0 puntos</v>
      </c>
      <c r="AM102">
        <f t="shared" si="38"/>
        <v>0.33</v>
      </c>
      <c r="AN102" t="str">
        <f t="shared" si="39"/>
        <v>PRIORIDAD BAJA – control normal</v>
      </c>
      <c r="AO102">
        <f t="shared" si="40"/>
        <v>6.473274278534614</v>
      </c>
      <c r="AP102">
        <f t="shared" si="41"/>
        <v>0</v>
      </c>
      <c r="AQ102">
        <f t="shared" si="42"/>
        <v>0</v>
      </c>
      <c r="AR102">
        <f t="shared" si="43"/>
        <v>1.8899999999999995</v>
      </c>
      <c r="AS102">
        <f t="shared" si="44"/>
        <v>26.374510377502418</v>
      </c>
      <c r="AT102" t="str">
        <f t="shared" si="45"/>
        <v>CLIENTE</v>
      </c>
      <c r="AU102">
        <f t="shared" si="46"/>
        <v>26.374510377502418</v>
      </c>
      <c r="AV102" t="str">
        <f t="shared" si="47"/>
        <v>Mayor retorno probable: CLIENTE (+26,4 puntos finales potenciales).</v>
      </c>
    </row>
    <row r="103" spans="1:48" x14ac:dyDescent="0.3">
      <c r="A103" s="5">
        <v>51011350</v>
      </c>
      <c r="B103" s="5" t="str">
        <f>IFERROR(VLOOKUP(A103,VENTAS!$A$2:$B$1194,2,0),"")</f>
        <v>MONTENEGRO</v>
      </c>
      <c r="C103" s="5">
        <f>IFERROR(INDEX(VENTAS!$C$2:$E$1194,MATCH(A103,VENTAS!$A$2:$A$1194,0),MATCH(PARAMS_MODELO!$B$2,{"Q1","Q2","Q3"},0)),0)</f>
        <v>124268065.89</v>
      </c>
      <c r="D103" s="5">
        <f>IFERROR(INDEX(VENTAS!$F$2:$H$1194,MATCH(A103,VENTAS!$A$2:$A$1194,0),MATCH(PARAMS_MODELO!$B$2,{"Q1","Q2","Q3"},0)),0)</f>
        <v>156317590</v>
      </c>
      <c r="E103" s="8">
        <f t="shared" si="24"/>
        <v>0.25790635655639549</v>
      </c>
      <c r="F103" s="12">
        <f>IF(E103&lt;=PARAMS_MODELO!$B$15,0,IF(E103&gt;=PARAMS_MODELO!$B$17,100,100*MIN(1,(E103-PARAMS_MODELO!$B$15)/(PARAMS_MODELO!$B$16-PARAMS_MODELO!$B$15))))*PARAMS_MODELO!$B$7</f>
        <v>35</v>
      </c>
      <c r="G103" s="5">
        <f t="shared" si="25"/>
        <v>32049524.109999999</v>
      </c>
      <c r="H103" s="5">
        <f>(PARAMS_MODELO!$B$20*(MAX(0,MIN(3,E103))/3)+PARAMS_MODELO!$B$21*(IFERROR(LN(1+MAX(0,G103))/LN(1+MAX(0,MAX($G$2:$G$1194))),0)))*100*PARAMS_MODELO!$B$8</f>
        <v>4.9540001891255043</v>
      </c>
      <c r="I103" s="8">
        <f>E103-PARAMS_MODELO!$B$5</f>
        <v>8.034352118086896E-2</v>
      </c>
      <c r="J103" s="5">
        <f>IF(I103&lt;=PARAMS_MODELO!$B$18,0,IF(I103&gt;=PARAMS_MODELO!$B$19,100,100*(I103-PARAMS_MODELO!$B$18)/(PARAMS_MODELO!$B$19-PARAMS_MODELO!$B$18)))*PARAMS_MODELO!$B$9</f>
        <v>15</v>
      </c>
      <c r="K103" s="5">
        <f>IFERROR(CHOOSE(MATCH(PARAMS_MODELO!$B$2,{"Q1","Q2","Q3"},0),LOTO!$D103,LOTO!$F103,LOTO!$H103),0)</f>
        <v>7970000</v>
      </c>
      <c r="L103" s="8">
        <f t="shared" si="26"/>
        <v>5.0985944703983731E-2</v>
      </c>
      <c r="M103" s="5">
        <f>MIN(100,IF(PARAMS_MODELO!$B$23=0,0,100*L103/PARAMS_MODELO!$B$23))*PARAMS_MODELO!$B$10</f>
        <v>15</v>
      </c>
      <c r="N103" s="5">
        <f>IFERROR(VLOOKUP(A103,COMPLIANCE!$A$2:$F$1996,6,0),100)</f>
        <v>100</v>
      </c>
      <c r="O103" s="5">
        <f>N103*PARAMS_MODELO!$B$11</f>
        <v>10</v>
      </c>
      <c r="P103" s="5">
        <f>IFERROR(VLOOKUP(A103,DIGITAL!$A$2:$J$2000,7,0),100)</f>
        <v>32</v>
      </c>
      <c r="Q103" s="5">
        <f>IFERROR(P103,0)*PARAMS_MODELO!$B$12</f>
        <v>3.2</v>
      </c>
      <c r="R103">
        <f t="shared" si="27"/>
        <v>83.154000189125512</v>
      </c>
      <c r="S103" s="5" t="str">
        <f>IFERROR(VLOOKUP(A103,CLIENTE!$A$2:$N$2000,13,0),1)</f>
        <v>Malo</v>
      </c>
      <c r="T103" s="5">
        <f>IFERROR(VLOOKUP(A103,CLIENTE!$A$2:$N$2000,14,0),1)</f>
        <v>0.7</v>
      </c>
      <c r="U103" s="5">
        <f t="shared" si="28"/>
        <v>58.207800132387852</v>
      </c>
      <c r="V103" s="5" t="str">
        <f>IF(U103&gt;=MAX(_xlfn.PERCENTILE.INC($U$2:$U$1194,PARAMS_MODELO!$B$50),PARAMS_MODELO!$B$45),"DIAMANTE",IF(U103&gt;=MAX(_xlfn.PERCENTILE.INC($U$2:$U$1194,PARAMS_MODELO!$B$51),PARAMS_MODELO!$B$46),"PLATINO",IF(U103&gt;=MAX(_xlfn.PERCENTILE.INC($U$2:$U$1194,PARAMS_MODELO!$B$52),PARAMS_MODELO!$B$47),"ORO",IF(U103&gt;=MAX(_xlfn.PERCENTILE.INC($U$2:$U$1194,PARAMS_MODELO!$B$53),PARAMS_MODELO!$B$48),"PLATA",IF(U103&gt;=1,"BRONCE","CERRADO")))))</f>
        <v>PLATA</v>
      </c>
      <c r="W103" s="5" t="str" cm="1">
        <f t="array" ref="W103">_xlfn.XLOOKUP(1, (HIST_SCORE!$B:$B=PARAMS_MODELO!$B$4) * (HIST_SCORE!$C:$C=A103), HIST_SCORE!$E:$E, "No encontrado")</f>
        <v>PLATA</v>
      </c>
      <c r="X103" s="5" t="str">
        <f>_xlfn.LET(_xlpm.act,MATCH(V103,{"DIAMANTE";"PLATINO";"ORO";"PLATA";"BRONCE";"CERRADO"},0),_xlpm.ant,MATCH(W103,{"DIAMANTE";"PLATINO";"ORO";"PLATA";"BRONCE";"CERRADO"},0),IF(_xlpm.act&lt;_xlpm.ant,"Mejora ↑",IF(_xlpm.act&gt;_xlpm.ant,"Baja ↓","Estable →")))</f>
        <v>Estable →</v>
      </c>
      <c r="Y103" s="5">
        <f>IFERROR(U103-SUMIFS(HIST_SCORE!$D:$D,HIST_SCORE!$B:$B,PARAMS_MODELO!$B$4,HIST_SCORE!$C:$C,$A103),"")</f>
        <v>1.4908405654471011</v>
      </c>
      <c r="Z103" s="5" t="str">
        <f t="shared" si="29"/>
        <v>→ Estable</v>
      </c>
      <c r="AA103" s="5">
        <f t="shared" si="30"/>
        <v>654</v>
      </c>
      <c r="AB103" s="5">
        <f>IFERROR(SUMIFS(HIST_SCORE!$F:$F,HIST_SCORE!$B:$B,PARAMS_MODELO!$B$4,HIST_SCORE!$C:$C,$A103),"")</f>
        <v>717</v>
      </c>
      <c r="AC103" s="5">
        <f t="shared" si="31"/>
        <v>63</v>
      </c>
      <c r="AD103" t="str">
        <f t="shared" si="33"/>
        <v/>
      </c>
      <c r="AE1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CERRADO",1,IF(V103="BRONCE",_xlpm.cPl,IF(V103="PLATA",_xlpm.cO,IF(V103="ORO",_xlpm.cP,IF(V103="PLATINO",_xlpm.cD,999))))))</f>
        <v>63.199193273331495</v>
      </c>
      <c r="AF1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CERRADO",0,IF(V103="BRONCE",1,IF(V103="PLATA",_xlpm.cPl,IF(V103="ORO",_xlpm.cO,IF(V103="PLATINO",_xlpm.cP,_xlpm.cD))))))</f>
        <v>24.506573482968111</v>
      </c>
      <c r="AG103">
        <f t="shared" si="34"/>
        <v>7.1305616299194838</v>
      </c>
      <c r="AH103" t="str">
        <f t="shared" si="35"/>
        <v>CLIENTE</v>
      </c>
      <c r="AI103" t="str">
        <f t="shared" si="32"/>
        <v>🎯 Para subir de categoría, la eje con mayor impacto probable es CLIENTE (coef T). Acción: reducir quejas, mejorar incógnito y empujar reseñas. ΔR aprox: 7,1</v>
      </c>
      <c r="AJ103" s="26">
        <f>_xlfn.LET(_xlpm.piso,AF103,_xlpm.corte,AE103,_xlpm.prog,IF(_xlpm.corte&lt;=_xlpm.piso,0,MAX(0,MIN(1,(U103-_xlpm.piso)/(_xlpm.corte-_xlpm.piso)))),_xlpm.orden,{"DIAMANTE";"PLATINO";"ORO";"PLATA";"BRONCE";"CERRADO"},_xlpm.act,IFERROR(MATCH(V103,_xlpm.orden,0),6),_xlpm.ant,IFERROR(MATCH(W103,_xlpm.orden,0),6),_xlpm.ajmov,IF(_xlpm.act&lt;_xlpm.ant,0.08,IF(_xlpm.act&gt;_xlpm.ant,-0.08,0)),_xlpm.ajcli,IF(T103&lt;0.95,-0.06,0),_xlpm.prob,MAX(0,MIN(1,_xlpm.prog+_xlpm.ajmov+_xlpm.ajcli)),IF(OR(V103="DIAMANTE",V103="CERRADO"),0,ROUND(_xlpm.prob,2)))</f>
        <v>0.81</v>
      </c>
      <c r="AK103" t="str">
        <f t="shared" si="36"/>
        <v>Faltan 7,1 puntos base para subir a la siguiente categoría</v>
      </c>
      <c r="AL103" t="str">
        <f t="shared" si="37"/>
        <v>Margen de seguridad: 33,7 puntos</v>
      </c>
      <c r="AM103">
        <f t="shared" si="38"/>
        <v>0.56000000000000005</v>
      </c>
      <c r="AN103" t="str">
        <f t="shared" si="39"/>
        <v>PRIORIDAD MEDIA – seguimiento del asesor</v>
      </c>
      <c r="AO103">
        <f t="shared" si="40"/>
        <v>6.9359983603190578</v>
      </c>
      <c r="AP103">
        <f t="shared" si="41"/>
        <v>0</v>
      </c>
      <c r="AQ103">
        <f t="shared" si="42"/>
        <v>0</v>
      </c>
      <c r="AR103">
        <f t="shared" si="43"/>
        <v>4.76</v>
      </c>
      <c r="AS103">
        <f t="shared" si="44"/>
        <v>24.946200056737656</v>
      </c>
      <c r="AT103" t="str">
        <f t="shared" si="45"/>
        <v>CLIENTE</v>
      </c>
      <c r="AU103">
        <f t="shared" si="46"/>
        <v>24.946200056737656</v>
      </c>
      <c r="AV103" t="str">
        <f t="shared" si="47"/>
        <v>Mayor retorno probable: CLIENTE (+24,9 puntos finales potenciales).</v>
      </c>
    </row>
    <row r="104" spans="1:48" x14ac:dyDescent="0.3">
      <c r="A104" s="5">
        <v>51024087</v>
      </c>
      <c r="B104" s="5" t="str">
        <f>IFERROR(VLOOKUP(A104,VENTAS!$A$2:$B$1194,2,0),"")</f>
        <v>PUGH</v>
      </c>
      <c r="C104" s="5">
        <f>IFERROR(INDEX(VENTAS!$C$2:$E$1194,MATCH(A104,VENTAS!$A$2:$A$1194,0),MATCH(PARAMS_MODELO!$B$2,{"Q1","Q2","Q3"},0)),0)</f>
        <v>106827520.23</v>
      </c>
      <c r="D104" s="5">
        <f>IFERROR(INDEX(VENTAS!$F$2:$H$1194,MATCH(A104,VENTAS!$A$2:$A$1194,0),MATCH(PARAMS_MODELO!$B$2,{"Q1","Q2","Q3"},0)),0)</f>
        <v>155654040</v>
      </c>
      <c r="E104" s="8">
        <f t="shared" si="24"/>
        <v>0.45705937631872695</v>
      </c>
      <c r="F104" s="12">
        <f>IF(E104&lt;=PARAMS_MODELO!$B$15,0,IF(E104&gt;=PARAMS_MODELO!$B$17,100,100*MIN(1,(E104-PARAMS_MODELO!$B$15)/(PARAMS_MODELO!$B$16-PARAMS_MODELO!$B$15))))*PARAMS_MODELO!$B$7</f>
        <v>35</v>
      </c>
      <c r="G104" s="5">
        <f t="shared" si="25"/>
        <v>48826519.769999996</v>
      </c>
      <c r="H104" s="5">
        <f>(PARAMS_MODELO!$B$20*(MAX(0,MIN(3,E104))/3)+PARAMS_MODELO!$B$21*(IFERROR(LN(1+MAX(0,G104))/LN(1+MAX(0,MAX($G$2:$G$1194))),0)))*100*PARAMS_MODELO!$B$8</f>
        <v>5.7497219863920899</v>
      </c>
      <c r="I104" s="8">
        <f>E104-PARAMS_MODELO!$B$5</f>
        <v>0.27949654094320042</v>
      </c>
      <c r="J104" s="5">
        <f>IF(I104&lt;=PARAMS_MODELO!$B$18,0,IF(I104&gt;=PARAMS_MODELO!$B$19,100,100*(I104-PARAMS_MODELO!$B$18)/(PARAMS_MODELO!$B$19-PARAMS_MODELO!$B$18)))*PARAMS_MODELO!$B$9</f>
        <v>15</v>
      </c>
      <c r="K104" s="5">
        <f>IFERROR(CHOOSE(MATCH(PARAMS_MODELO!$B$2,{"Q1","Q2","Q3"},0),LOTO!$D104,LOTO!$F104,LOTO!$H104),0)</f>
        <v>7942500</v>
      </c>
      <c r="L104" s="8">
        <f t="shared" si="26"/>
        <v>5.1026622887526719E-2</v>
      </c>
      <c r="M104" s="5">
        <f>MIN(100,IF(PARAMS_MODELO!$B$23=0,0,100*L104/PARAMS_MODELO!$B$23))*PARAMS_MODELO!$B$10</f>
        <v>15</v>
      </c>
      <c r="N104" s="5">
        <f>IFERROR(VLOOKUP(A104,COMPLIANCE!$A$2:$F$1996,6,0),100)</f>
        <v>100</v>
      </c>
      <c r="O104" s="5">
        <f>N104*PARAMS_MODELO!$B$11</f>
        <v>10</v>
      </c>
      <c r="P104" s="5">
        <f>IFERROR(VLOOKUP(A104,DIGITAL!$A$2:$J$2000,7,0),100)</f>
        <v>45</v>
      </c>
      <c r="Q104" s="5">
        <f>IFERROR(P104,0)*PARAMS_MODELO!$B$12</f>
        <v>4.5</v>
      </c>
      <c r="R104">
        <f t="shared" si="27"/>
        <v>85.249721986392089</v>
      </c>
      <c r="S104" s="5" t="str">
        <f>IFERROR(VLOOKUP(A104,CLIENTE!$A$2:$N$2000,13,0),1)</f>
        <v>Regular</v>
      </c>
      <c r="T104" s="5">
        <f>IFERROR(VLOOKUP(A104,CLIENTE!$A$2:$N$2000,14,0),1)</f>
        <v>1</v>
      </c>
      <c r="U104" s="5">
        <f t="shared" si="28"/>
        <v>85.249721986392089</v>
      </c>
      <c r="V104" s="5" t="str">
        <f>IF(U104&gt;=MAX(_xlfn.PERCENTILE.INC($U$2:$U$1194,PARAMS_MODELO!$B$50),PARAMS_MODELO!$B$45),"DIAMANTE",IF(U104&gt;=MAX(_xlfn.PERCENTILE.INC($U$2:$U$1194,PARAMS_MODELO!$B$51),PARAMS_MODELO!$B$46),"PLATINO",IF(U104&gt;=MAX(_xlfn.PERCENTILE.INC($U$2:$U$1194,PARAMS_MODELO!$B$52),PARAMS_MODELO!$B$47),"ORO",IF(U104&gt;=MAX(_xlfn.PERCENTILE.INC($U$2:$U$1194,PARAMS_MODELO!$B$53),PARAMS_MODELO!$B$48),"PLATA",IF(U104&gt;=1,"BRONCE","CERRADO")))))</f>
        <v>ORO</v>
      </c>
      <c r="W104" s="5" t="str" cm="1">
        <f t="array" ref="W104">_xlfn.XLOOKUP(1, (HIST_SCORE!$B:$B=PARAMS_MODELO!$B$4) * (HIST_SCORE!$C:$C=A104), HIST_SCORE!$E:$E, "No encontrado")</f>
        <v>ORO</v>
      </c>
      <c r="X104" s="5" t="str">
        <f>_xlfn.LET(_xlpm.act,MATCH(V104,{"DIAMANTE";"PLATINO";"ORO";"PLATA";"BRONCE";"CERRADO"},0),_xlpm.ant,MATCH(W104,{"DIAMANTE";"PLATINO";"ORO";"PLATA";"BRONCE";"CERRADO"},0),IF(_xlpm.act&lt;_xlpm.ant,"Mejora ↑",IF(_xlpm.act&gt;_xlpm.ant,"Baja ↓","Estable →")))</f>
        <v>Estable →</v>
      </c>
      <c r="Y104" s="5">
        <f>IFERROR(U104-SUMIFS(HIST_SCORE!$D:$D,HIST_SCORE!$B:$B,PARAMS_MODELO!$B$4,HIST_SCORE!$C:$C,$A104),"")</f>
        <v>-2.1482098049915521E-2</v>
      </c>
      <c r="Z104" s="5" t="str">
        <f t="shared" si="29"/>
        <v>→ Estable</v>
      </c>
      <c r="AA104" s="5">
        <f t="shared" si="30"/>
        <v>276</v>
      </c>
      <c r="AB104" s="5">
        <f>IFERROR(SUMIFS(HIST_SCORE!$F:$F,HIST_SCORE!$B:$B,PARAMS_MODELO!$B$4,HIST_SCORE!$C:$C,$A104),"")</f>
        <v>262</v>
      </c>
      <c r="AC104" s="5">
        <f t="shared" si="31"/>
        <v>-14</v>
      </c>
      <c r="AD104" t="str">
        <f t="shared" si="33"/>
        <v>Sostener base y reforzar mix</v>
      </c>
      <c r="AE1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CERRADO",1,IF(V104="BRONCE",_xlpm.cPl,IF(V104="PLATA",_xlpm.cO,IF(V104="ORO",_xlpm.cP,IF(V104="PLATINO",_xlpm.cD,999))))))</f>
        <v>86.439123873763251</v>
      </c>
      <c r="AF1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CERRADO",0,IF(V104="BRONCE",1,IF(V104="PLATA",_xlpm.cPl,IF(V104="ORO",_xlpm.cO,IF(V104="PLATINO",_xlpm.cP,_xlpm.cD))))))</f>
        <v>63.199193273331495</v>
      </c>
      <c r="AG104">
        <f t="shared" si="34"/>
        <v>1.1894018873711616</v>
      </c>
      <c r="AH104" t="str">
        <f t="shared" si="35"/>
        <v>VENTAS</v>
      </c>
      <c r="AI104" t="str">
        <f t="shared" si="32"/>
        <v>🎯 Para subir de categoría, eje VENTAS / IMPACTO ABSOLUTO (H). Acción: metas semanales + activación comercial + seguimiento del asesor. ΔR aprox: 1,2</v>
      </c>
      <c r="AJ104" s="26">
        <f>_xlfn.LET(_xlpm.piso,AF104,_xlpm.corte,AE104,_xlpm.prog,IF(_xlpm.corte&lt;=_xlpm.piso,0,MAX(0,MIN(1,(U104-_xlpm.piso)/(_xlpm.corte-_xlpm.piso)))),_xlpm.orden,{"DIAMANTE";"PLATINO";"ORO";"PLATA";"BRONCE";"CERRADO"},_xlpm.act,IFERROR(MATCH(V104,_xlpm.orden,0),6),_xlpm.ant,IFERROR(MATCH(W104,_xlpm.orden,0),6),_xlpm.ajmov,IF(_xlpm.act&lt;_xlpm.ant,0.08,IF(_xlpm.act&gt;_xlpm.ant,-0.08,0)),_xlpm.ajcli,IF(T104&lt;0.95,-0.06,0),_xlpm.prob,MAX(0,MIN(1,_xlpm.prog+_xlpm.ajmov+_xlpm.ajcli)),IF(OR(V104="DIAMANTE",V104="CERRADO"),0,ROUND(_xlpm.prob,2)))</f>
        <v>0.95</v>
      </c>
      <c r="AK104" t="str">
        <f t="shared" si="36"/>
        <v>Faltan 1,2 puntos base para subir a la siguiente categoría</v>
      </c>
      <c r="AL104" t="str">
        <f t="shared" si="37"/>
        <v>Margen de seguridad: 22,1 puntos</v>
      </c>
      <c r="AM104">
        <f t="shared" si="38"/>
        <v>7.0000000000000007E-2</v>
      </c>
      <c r="AN104" t="str">
        <f t="shared" si="39"/>
        <v>PRIORIDAD BAJA – control normal</v>
      </c>
      <c r="AO104">
        <f t="shared" si="40"/>
        <v>9.1128472889034953</v>
      </c>
      <c r="AP104">
        <f t="shared" si="41"/>
        <v>0</v>
      </c>
      <c r="AQ104">
        <f t="shared" si="42"/>
        <v>0</v>
      </c>
      <c r="AR104">
        <f t="shared" si="43"/>
        <v>5.5</v>
      </c>
      <c r="AS104">
        <f t="shared" si="44"/>
        <v>0</v>
      </c>
      <c r="AT104" t="str">
        <f t="shared" si="45"/>
        <v>VENTAS</v>
      </c>
      <c r="AU104">
        <f t="shared" si="46"/>
        <v>9.1128472889034953</v>
      </c>
      <c r="AV104" t="str">
        <f t="shared" si="47"/>
        <v>Mayor retorno probable: VENTAS (+9,1 puntos finales potenciales).</v>
      </c>
    </row>
    <row r="105" spans="1:48" x14ac:dyDescent="0.3">
      <c r="A105" s="5">
        <v>51005171</v>
      </c>
      <c r="B105" s="5" t="str">
        <f>IFERROR(VLOOKUP(A105,VENTAS!$A$2:$B$1194,2,0),"")</f>
        <v>LÓPEZ</v>
      </c>
      <c r="C105" s="5">
        <f>IFERROR(INDEX(VENTAS!$C$2:$E$1194,MATCH(A105,VENTAS!$A$2:$A$1194,0),MATCH(PARAMS_MODELO!$B$2,{"Q1","Q2","Q3"},0)),0)</f>
        <v>110651033.23</v>
      </c>
      <c r="D105" s="5">
        <f>IFERROR(INDEX(VENTAS!$F$2:$H$1194,MATCH(A105,VENTAS!$A$2:$A$1194,0),MATCH(PARAMS_MODELO!$B$2,{"Q1","Q2","Q3"},0)),0)</f>
        <v>155038963</v>
      </c>
      <c r="E105" s="8">
        <f t="shared" si="24"/>
        <v>0.40115242012910035</v>
      </c>
      <c r="F105" s="12">
        <f>IF(E105&lt;=PARAMS_MODELO!$B$15,0,IF(E105&gt;=PARAMS_MODELO!$B$17,100,100*MIN(1,(E105-PARAMS_MODELO!$B$15)/(PARAMS_MODELO!$B$16-PARAMS_MODELO!$B$15))))*PARAMS_MODELO!$B$7</f>
        <v>35</v>
      </c>
      <c r="G105" s="5">
        <f t="shared" si="25"/>
        <v>44387929.769999996</v>
      </c>
      <c r="H105" s="5">
        <f>(PARAMS_MODELO!$B$20*(MAX(0,MIN(3,E105))/3)+PARAMS_MODELO!$B$21*(IFERROR(LN(1+MAX(0,G105))/LN(1+MAX(0,MAX($G$2:$G$1194))),0)))*100*PARAMS_MODELO!$B$8</f>
        <v>5.5317065779476788</v>
      </c>
      <c r="I105" s="8">
        <f>E105-PARAMS_MODELO!$B$5</f>
        <v>0.22358958475357382</v>
      </c>
      <c r="J105" s="5">
        <f>IF(I105&lt;=PARAMS_MODELO!$B$18,0,IF(I105&gt;=PARAMS_MODELO!$B$19,100,100*(I105-PARAMS_MODELO!$B$18)/(PARAMS_MODELO!$B$19-PARAMS_MODELO!$B$18)))*PARAMS_MODELO!$B$9</f>
        <v>15</v>
      </c>
      <c r="K105" s="5">
        <f>IFERROR(CHOOSE(MATCH(PARAMS_MODELO!$B$2,{"Q1","Q2","Q3"},0),LOTO!$D105,LOTO!$F105,LOTO!$H105),0)</f>
        <v>7937500</v>
      </c>
      <c r="L105" s="8">
        <f t="shared" si="26"/>
        <v>5.1196807863066011E-2</v>
      </c>
      <c r="M105" s="5">
        <f>MIN(100,IF(PARAMS_MODELO!$B$23=0,0,100*L105/PARAMS_MODELO!$B$23))*PARAMS_MODELO!$B$10</f>
        <v>15</v>
      </c>
      <c r="N105" s="5">
        <f>IFERROR(VLOOKUP(A105,COMPLIANCE!$A$2:$F$1996,6,0),100)</f>
        <v>100</v>
      </c>
      <c r="O105" s="5">
        <f>N105*PARAMS_MODELO!$B$11</f>
        <v>10</v>
      </c>
      <c r="P105" s="5">
        <f>IFERROR(VLOOKUP(A105,DIGITAL!$A$2:$J$2000,7,0),100)</f>
        <v>24</v>
      </c>
      <c r="Q105" s="5">
        <f>IFERROR(P105,0)*PARAMS_MODELO!$B$12</f>
        <v>2.4000000000000004</v>
      </c>
      <c r="R105">
        <f t="shared" si="27"/>
        <v>82.931706577947693</v>
      </c>
      <c r="S105" s="5" t="str">
        <f>IFERROR(VLOOKUP(A105,CLIENTE!$A$2:$N$2000,13,0),1)</f>
        <v>Regular</v>
      </c>
      <c r="T105" s="5">
        <f>IFERROR(VLOOKUP(A105,CLIENTE!$A$2:$N$2000,14,0),1)</f>
        <v>1</v>
      </c>
      <c r="U105" s="5">
        <f t="shared" si="28"/>
        <v>82.931706577947693</v>
      </c>
      <c r="V105" s="5" t="str">
        <f>IF(U105&gt;=MAX(_xlfn.PERCENTILE.INC($U$2:$U$1194,PARAMS_MODELO!$B$50),PARAMS_MODELO!$B$45),"DIAMANTE",IF(U105&gt;=MAX(_xlfn.PERCENTILE.INC($U$2:$U$1194,PARAMS_MODELO!$B$51),PARAMS_MODELO!$B$46),"PLATINO",IF(U105&gt;=MAX(_xlfn.PERCENTILE.INC($U$2:$U$1194,PARAMS_MODELO!$B$52),PARAMS_MODELO!$B$47),"ORO",IF(U105&gt;=MAX(_xlfn.PERCENTILE.INC($U$2:$U$1194,PARAMS_MODELO!$B$53),PARAMS_MODELO!$B$48),"PLATA",IF(U105&gt;=1,"BRONCE","CERRADO")))))</f>
        <v>ORO</v>
      </c>
      <c r="W105" s="5" t="str" cm="1">
        <f t="array" ref="W105">_xlfn.XLOOKUP(1, (HIST_SCORE!$B:$B=PARAMS_MODELO!$B$4) * (HIST_SCORE!$C:$C=A105), HIST_SCORE!$E:$E, "No encontrado")</f>
        <v>ORO</v>
      </c>
      <c r="X105" s="5" t="str">
        <f>_xlfn.LET(_xlpm.act,MATCH(V105,{"DIAMANTE";"PLATINO";"ORO";"PLATA";"BRONCE";"CERRADO"},0),_xlpm.ant,MATCH(W105,{"DIAMANTE";"PLATINO";"ORO";"PLATA";"BRONCE";"CERRADO"},0),IF(_xlpm.act&lt;_xlpm.ant,"Mejora ↑",IF(_xlpm.act&gt;_xlpm.ant,"Baja ↓","Estable →")))</f>
        <v>Estable →</v>
      </c>
      <c r="Y105" s="5">
        <f>IFERROR(U105-SUMIFS(HIST_SCORE!$D:$D,HIST_SCORE!$B:$B,PARAMS_MODELO!$B$4,HIST_SCORE!$C:$C,$A105),"")</f>
        <v>0.65380400767794811</v>
      </c>
      <c r="Z105" s="5" t="str">
        <f t="shared" si="29"/>
        <v>→ Estable</v>
      </c>
      <c r="AA105" s="5">
        <f t="shared" si="30"/>
        <v>357</v>
      </c>
      <c r="AB105" s="5">
        <f>IFERROR(SUMIFS(HIST_SCORE!$F:$F,HIST_SCORE!$B:$B,PARAMS_MODELO!$B$4,HIST_SCORE!$C:$C,$A105),"")</f>
        <v>357</v>
      </c>
      <c r="AC105" s="5">
        <f t="shared" si="31"/>
        <v>0</v>
      </c>
      <c r="AD105" t="str">
        <f t="shared" si="33"/>
        <v/>
      </c>
      <c r="AE1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CERRADO",1,IF(V105="BRONCE",_xlpm.cPl,IF(V105="PLATA",_xlpm.cO,IF(V105="ORO",_xlpm.cP,IF(V105="PLATINO",_xlpm.cD,999))))))</f>
        <v>86.439123873763251</v>
      </c>
      <c r="AF1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CERRADO",0,IF(V105="BRONCE",1,IF(V105="PLATA",_xlpm.cPl,IF(V105="ORO",_xlpm.cO,IF(V105="PLATINO",_xlpm.cP,_xlpm.cD))))))</f>
        <v>63.199193273331495</v>
      </c>
      <c r="AG105">
        <f t="shared" si="34"/>
        <v>3.5074172958155572</v>
      </c>
      <c r="AH105" t="str">
        <f t="shared" si="35"/>
        <v>VENTAS</v>
      </c>
      <c r="AI105" t="str">
        <f t="shared" si="32"/>
        <v>🎯 Para subir de categoría, eje VENTAS / IMPACTO ABSOLUTO (H). Acción: metas semanales + activación comercial + seguimiento del asesor. ΔR aprox: 3,5</v>
      </c>
      <c r="AJ105" s="26">
        <f>_xlfn.LET(_xlpm.piso,AF105,_xlpm.corte,AE105,_xlpm.prog,IF(_xlpm.corte&lt;=_xlpm.piso,0,MAX(0,MIN(1,(U105-_xlpm.piso)/(_xlpm.corte-_xlpm.piso)))),_xlpm.orden,{"DIAMANTE";"PLATINO";"ORO";"PLATA";"BRONCE";"CERRADO"},_xlpm.act,IFERROR(MATCH(V105,_xlpm.orden,0),6),_xlpm.ant,IFERROR(MATCH(W105,_xlpm.orden,0),6),_xlpm.ajmov,IF(_xlpm.act&lt;_xlpm.ant,0.08,IF(_xlpm.act&gt;_xlpm.ant,-0.08,0)),_xlpm.ajcli,IF(T105&lt;0.95,-0.06,0),_xlpm.prob,MAX(0,MIN(1,_xlpm.prog+_xlpm.ajmov+_xlpm.ajcli)),IF(OR(V105="DIAMANTE",V105="CERRADO"),0,ROUND(_xlpm.prob,2)))</f>
        <v>0.85</v>
      </c>
      <c r="AK105" t="str">
        <f t="shared" si="36"/>
        <v>Faltan 3,5 puntos base para subir a la siguiente categoría</v>
      </c>
      <c r="AL105" t="str">
        <f t="shared" si="37"/>
        <v>Margen de seguridad: 19,7 puntos</v>
      </c>
      <c r="AM105">
        <f t="shared" si="38"/>
        <v>0.2</v>
      </c>
      <c r="AN105" t="str">
        <f t="shared" si="39"/>
        <v>PRIORIDAD BAJA – control normal</v>
      </c>
      <c r="AO105">
        <f t="shared" si="40"/>
        <v>9.3308626973479036</v>
      </c>
      <c r="AP105">
        <f t="shared" si="41"/>
        <v>0</v>
      </c>
      <c r="AQ105">
        <f t="shared" si="42"/>
        <v>0</v>
      </c>
      <c r="AR105">
        <f t="shared" si="43"/>
        <v>7.6</v>
      </c>
      <c r="AS105">
        <f t="shared" si="44"/>
        <v>0</v>
      </c>
      <c r="AT105" t="str">
        <f t="shared" si="45"/>
        <v>VENTAS</v>
      </c>
      <c r="AU105">
        <f t="shared" si="46"/>
        <v>9.3308626973479036</v>
      </c>
      <c r="AV105" t="str">
        <f t="shared" si="47"/>
        <v>Mayor retorno probable: VENTAS (+9,3 puntos finales potenciales).</v>
      </c>
    </row>
    <row r="106" spans="1:48" x14ac:dyDescent="0.3">
      <c r="A106" s="5">
        <v>51005864</v>
      </c>
      <c r="B106" s="5" t="str">
        <f>IFERROR(VLOOKUP(A106,VENTAS!$A$2:$B$1194,2,0),"")</f>
        <v>ARGUELLO</v>
      </c>
      <c r="C106" s="5">
        <f>IFERROR(INDEX(VENTAS!$C$2:$E$1194,MATCH(A106,VENTAS!$A$2:$A$1194,0),MATCH(PARAMS_MODELO!$B$2,{"Q1","Q2","Q3"},0)),0)</f>
        <v>97289506.199999988</v>
      </c>
      <c r="D106" s="5">
        <f>IFERROR(INDEX(VENTAS!$F$2:$H$1194,MATCH(A106,VENTAS!$A$2:$A$1194,0),MATCH(PARAMS_MODELO!$B$2,{"Q1","Q2","Q3"},0)),0)</f>
        <v>153788970</v>
      </c>
      <c r="E106" s="8">
        <f t="shared" si="24"/>
        <v>0.58073543598682598</v>
      </c>
      <c r="F106" s="12">
        <f>IF(E106&lt;=PARAMS_MODELO!$B$15,0,IF(E106&gt;=PARAMS_MODELO!$B$17,100,100*MIN(1,(E106-PARAMS_MODELO!$B$15)/(PARAMS_MODELO!$B$16-PARAMS_MODELO!$B$15))))*PARAMS_MODELO!$B$7</f>
        <v>35</v>
      </c>
      <c r="G106" s="5">
        <f t="shared" si="25"/>
        <v>56499463.800000012</v>
      </c>
      <c r="H106" s="5">
        <f>(PARAMS_MODELO!$B$20*(MAX(0,MIN(3,E106))/3)+PARAMS_MODELO!$B$21*(IFERROR(LN(1+MAX(0,G106))/LN(1+MAX(0,MAX($G$2:$G$1194))),0)))*100*PARAMS_MODELO!$B$8</f>
        <v>6.2168026807204386</v>
      </c>
      <c r="I106" s="8">
        <f>E106-PARAMS_MODELO!$B$5</f>
        <v>0.40317260061129945</v>
      </c>
      <c r="J106" s="5">
        <f>IF(I106&lt;=PARAMS_MODELO!$B$18,0,IF(I106&gt;=PARAMS_MODELO!$B$19,100,100*(I106-PARAMS_MODELO!$B$18)/(PARAMS_MODELO!$B$19-PARAMS_MODELO!$B$18)))*PARAMS_MODELO!$B$9</f>
        <v>15</v>
      </c>
      <c r="K106" s="5">
        <f>IFERROR(CHOOSE(MATCH(PARAMS_MODELO!$B$2,{"Q1","Q2","Q3"},0),LOTO!$D106,LOTO!$F106,LOTO!$H106),0)</f>
        <v>7917500</v>
      </c>
      <c r="L106" s="8">
        <f t="shared" si="26"/>
        <v>5.1482885931286228E-2</v>
      </c>
      <c r="M106" s="5">
        <f>MIN(100,IF(PARAMS_MODELO!$B$23=0,0,100*L106/PARAMS_MODELO!$B$23))*PARAMS_MODELO!$B$10</f>
        <v>15</v>
      </c>
      <c r="N106" s="5">
        <f>IFERROR(VLOOKUP(A106,COMPLIANCE!$A$2:$F$1996,6,0),100)</f>
        <v>100</v>
      </c>
      <c r="O106" s="5">
        <f>N106*PARAMS_MODELO!$B$11</f>
        <v>10</v>
      </c>
      <c r="P106" s="5">
        <f>IFERROR(VLOOKUP(A106,DIGITAL!$A$2:$J$2000,7,0),100)</f>
        <v>49</v>
      </c>
      <c r="Q106" s="5">
        <f>IFERROR(P106,0)*PARAMS_MODELO!$B$12</f>
        <v>4.9000000000000004</v>
      </c>
      <c r="R106">
        <f t="shared" si="27"/>
        <v>86.11680268072044</v>
      </c>
      <c r="S106" s="5" t="str">
        <f>IFERROR(VLOOKUP(A106,CLIENTE!$A$2:$N$2000,13,0),1)</f>
        <v>Regular</v>
      </c>
      <c r="T106" s="5">
        <f>IFERROR(VLOOKUP(A106,CLIENTE!$A$2:$N$2000,14,0),1)</f>
        <v>1</v>
      </c>
      <c r="U106" s="5">
        <f t="shared" si="28"/>
        <v>86.11680268072044</v>
      </c>
      <c r="V106" s="5" t="str">
        <f>IF(U106&gt;=MAX(_xlfn.PERCENTILE.INC($U$2:$U$1194,PARAMS_MODELO!$B$50),PARAMS_MODELO!$B$45),"DIAMANTE",IF(U106&gt;=MAX(_xlfn.PERCENTILE.INC($U$2:$U$1194,PARAMS_MODELO!$B$51),PARAMS_MODELO!$B$46),"PLATINO",IF(U106&gt;=MAX(_xlfn.PERCENTILE.INC($U$2:$U$1194,PARAMS_MODELO!$B$52),PARAMS_MODELO!$B$47),"ORO",IF(U106&gt;=MAX(_xlfn.PERCENTILE.INC($U$2:$U$1194,PARAMS_MODELO!$B$53),PARAMS_MODELO!$B$48),"PLATA",IF(U106&gt;=1,"BRONCE","CERRADO")))))</f>
        <v>ORO</v>
      </c>
      <c r="W106" s="5" t="str" cm="1">
        <f t="array" ref="W106">_xlfn.XLOOKUP(1, (HIST_SCORE!$B:$B=PARAMS_MODELO!$B$4) * (HIST_SCORE!$C:$C=A106), HIST_SCORE!$E:$E, "No encontrado")</f>
        <v>ORO</v>
      </c>
      <c r="X106" s="5" t="str">
        <f>_xlfn.LET(_xlpm.act,MATCH(V106,{"DIAMANTE";"PLATINO";"ORO";"PLATA";"BRONCE";"CERRADO"},0),_xlpm.ant,MATCH(W106,{"DIAMANTE";"PLATINO";"ORO";"PLATA";"BRONCE";"CERRADO"},0),IF(_xlpm.act&lt;_xlpm.ant,"Mejora ↑",IF(_xlpm.act&gt;_xlpm.ant,"Baja ↓","Estable →")))</f>
        <v>Estable →</v>
      </c>
      <c r="Y106" s="5">
        <f>IFERROR(U106-SUMIFS(HIST_SCORE!$D:$D,HIST_SCORE!$B:$B,PARAMS_MODELO!$B$4,HIST_SCORE!$C:$C,$A106),"")</f>
        <v>1.0095412300426574</v>
      </c>
      <c r="Z106" s="5" t="str">
        <f t="shared" si="29"/>
        <v>→ Estable</v>
      </c>
      <c r="AA106" s="5">
        <f t="shared" si="30"/>
        <v>247</v>
      </c>
      <c r="AB106" s="5">
        <f>IFERROR(SUMIFS(HIST_SCORE!$F:$F,HIST_SCORE!$B:$B,PARAMS_MODELO!$B$4,HIST_SCORE!$C:$C,$A106),"")</f>
        <v>263</v>
      </c>
      <c r="AC106" s="5">
        <f t="shared" si="31"/>
        <v>16</v>
      </c>
      <c r="AD106" t="str">
        <f t="shared" si="33"/>
        <v/>
      </c>
      <c r="AE1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CERRADO",1,IF(V106="BRONCE",_xlpm.cPl,IF(V106="PLATA",_xlpm.cO,IF(V106="ORO",_xlpm.cP,IF(V106="PLATINO",_xlpm.cD,999))))))</f>
        <v>86.439123873763251</v>
      </c>
      <c r="AF1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CERRADO",0,IF(V106="BRONCE",1,IF(V106="PLATA",_xlpm.cPl,IF(V106="ORO",_xlpm.cO,IF(V106="PLATINO",_xlpm.cP,_xlpm.cD))))))</f>
        <v>63.199193273331495</v>
      </c>
      <c r="AG106">
        <f t="shared" si="34"/>
        <v>0.32232119304281071</v>
      </c>
      <c r="AH106" t="str">
        <f t="shared" si="35"/>
        <v>VENTAS</v>
      </c>
      <c r="AI106" t="str">
        <f t="shared" si="32"/>
        <v>🎯 Para subir de categoría, eje VENTAS / IMPACTO ABSOLUTO (H). Acción: metas semanales + activación comercial + seguimiento del asesor. ΔR aprox: 0,3</v>
      </c>
      <c r="AJ106" s="26">
        <f>_xlfn.LET(_xlpm.piso,AF106,_xlpm.corte,AE106,_xlpm.prog,IF(_xlpm.corte&lt;=_xlpm.piso,0,MAX(0,MIN(1,(U106-_xlpm.piso)/(_xlpm.corte-_xlpm.piso)))),_xlpm.orden,{"DIAMANTE";"PLATINO";"ORO";"PLATA";"BRONCE";"CERRADO"},_xlpm.act,IFERROR(MATCH(V106,_xlpm.orden,0),6),_xlpm.ant,IFERROR(MATCH(W106,_xlpm.orden,0),6),_xlpm.ajmov,IF(_xlpm.act&lt;_xlpm.ant,0.08,IF(_xlpm.act&gt;_xlpm.ant,-0.08,0)),_xlpm.ajcli,IF(T106&lt;0.95,-0.06,0),_xlpm.prob,MAX(0,MIN(1,_xlpm.prog+_xlpm.ajmov+_xlpm.ajcli)),IF(OR(V106="DIAMANTE",V106="CERRADO"),0,ROUND(_xlpm.prob,2)))</f>
        <v>0.99</v>
      </c>
      <c r="AK106" t="str">
        <f t="shared" si="36"/>
        <v>Faltan 0,3 puntos base para subir a la siguiente categoría</v>
      </c>
      <c r="AL106" t="str">
        <f t="shared" si="37"/>
        <v>Margen de seguridad: 22,9 puntos</v>
      </c>
      <c r="AM106">
        <f t="shared" si="38"/>
        <v>0.02</v>
      </c>
      <c r="AN106" t="str">
        <f t="shared" si="39"/>
        <v>PRIORIDAD BAJA – control normal</v>
      </c>
      <c r="AO106">
        <f t="shared" si="40"/>
        <v>8.645766594575143</v>
      </c>
      <c r="AP106">
        <f t="shared" si="41"/>
        <v>0</v>
      </c>
      <c r="AQ106">
        <f t="shared" si="42"/>
        <v>0</v>
      </c>
      <c r="AR106">
        <f t="shared" si="43"/>
        <v>5.0999999999999996</v>
      </c>
      <c r="AS106">
        <f t="shared" si="44"/>
        <v>0</v>
      </c>
      <c r="AT106" t="str">
        <f t="shared" si="45"/>
        <v>VENTAS</v>
      </c>
      <c r="AU106">
        <f t="shared" si="46"/>
        <v>8.645766594575143</v>
      </c>
      <c r="AV106" t="str">
        <f t="shared" si="47"/>
        <v>Mayor retorno probable: VENTAS (+8,6 puntos finales potenciales).</v>
      </c>
    </row>
    <row r="107" spans="1:48" x14ac:dyDescent="0.3">
      <c r="A107" s="5">
        <v>51040317</v>
      </c>
      <c r="B107" s="5" t="str">
        <f>IFERROR(VLOOKUP(A107,VENTAS!$A$2:$B$1194,2,0),"")</f>
        <v>NELLI</v>
      </c>
      <c r="C107" s="5">
        <f>IFERROR(INDEX(VENTAS!$C$2:$E$1194,MATCH(A107,VENTAS!$A$2:$A$1194,0),MATCH(PARAMS_MODELO!$B$2,{"Q1","Q2","Q3"},0)),0)</f>
        <v>115729310.56</v>
      </c>
      <c r="D107" s="5">
        <f>IFERROR(INDEX(VENTAS!$F$2:$H$1194,MATCH(A107,VENTAS!$A$2:$A$1194,0),MATCH(PARAMS_MODELO!$B$2,{"Q1","Q2","Q3"},0)),0)</f>
        <v>153430393</v>
      </c>
      <c r="E107" s="8">
        <f t="shared" si="24"/>
        <v>0.3257695242248404</v>
      </c>
      <c r="F107" s="12">
        <f>IF(E107&lt;=PARAMS_MODELO!$B$15,0,IF(E107&gt;=PARAMS_MODELO!$B$17,100,100*MIN(1,(E107-PARAMS_MODELO!$B$15)/(PARAMS_MODELO!$B$16-PARAMS_MODELO!$B$15))))*PARAMS_MODELO!$B$7</f>
        <v>35</v>
      </c>
      <c r="G107" s="5">
        <f t="shared" si="25"/>
        <v>37701082.439999998</v>
      </c>
      <c r="H107" s="5">
        <f>(PARAMS_MODELO!$B$20*(MAX(0,MIN(3,E107))/3)+PARAMS_MODELO!$B$21*(IFERROR(LN(1+MAX(0,G107))/LN(1+MAX(0,MAX($G$2:$G$1194))),0)))*100*PARAMS_MODELO!$B$8</f>
        <v>5.2295916189976426</v>
      </c>
      <c r="I107" s="8">
        <f>E107-PARAMS_MODELO!$B$5</f>
        <v>0.14820668884931387</v>
      </c>
      <c r="J107" s="5">
        <f>IF(I107&lt;=PARAMS_MODELO!$B$18,0,IF(I107&gt;=PARAMS_MODELO!$B$19,100,100*(I107-PARAMS_MODELO!$B$18)/(PARAMS_MODELO!$B$19-PARAMS_MODELO!$B$18)))*PARAMS_MODELO!$B$9</f>
        <v>15</v>
      </c>
      <c r="K107" s="5">
        <f>IFERROR(CHOOSE(MATCH(PARAMS_MODELO!$B$2,{"Q1","Q2","Q3"},0),LOTO!$D107,LOTO!$F107,LOTO!$H107),0)</f>
        <v>7910000</v>
      </c>
      <c r="L107" s="8">
        <f t="shared" si="26"/>
        <v>5.1554322747514571E-2</v>
      </c>
      <c r="M107" s="5">
        <f>MIN(100,IF(PARAMS_MODELO!$B$23=0,0,100*L107/PARAMS_MODELO!$B$23))*PARAMS_MODELO!$B$10</f>
        <v>15</v>
      </c>
      <c r="N107" s="5">
        <f>IFERROR(VLOOKUP(A107,COMPLIANCE!$A$2:$F$1996,6,0),100)</f>
        <v>100</v>
      </c>
      <c r="O107" s="5">
        <f>N107*PARAMS_MODELO!$B$11</f>
        <v>10</v>
      </c>
      <c r="P107" s="5">
        <f>IFERROR(VLOOKUP(A107,DIGITAL!$A$2:$J$2000,7,0),100)</f>
        <v>3</v>
      </c>
      <c r="Q107" s="5">
        <f>IFERROR(P107,0)*PARAMS_MODELO!$B$12</f>
        <v>0.30000000000000004</v>
      </c>
      <c r="R107">
        <f t="shared" si="27"/>
        <v>80.529591618997642</v>
      </c>
      <c r="S107" s="5" t="str">
        <f>IFERROR(VLOOKUP(A107,CLIENTE!$A$2:$N$2000,13,0),1)</f>
        <v>Bueno</v>
      </c>
      <c r="T107" s="5">
        <f>IFERROR(VLOOKUP(A107,CLIENTE!$A$2:$N$2000,14,0),1)</f>
        <v>1.1000000000000001</v>
      </c>
      <c r="U107" s="5">
        <f t="shared" si="28"/>
        <v>88.582550780897421</v>
      </c>
      <c r="V107" s="5" t="str">
        <f>IF(U107&gt;=MAX(_xlfn.PERCENTILE.INC($U$2:$U$1194,PARAMS_MODELO!$B$50),PARAMS_MODELO!$B$45),"DIAMANTE",IF(U107&gt;=MAX(_xlfn.PERCENTILE.INC($U$2:$U$1194,PARAMS_MODELO!$B$51),PARAMS_MODELO!$B$46),"PLATINO",IF(U107&gt;=MAX(_xlfn.PERCENTILE.INC($U$2:$U$1194,PARAMS_MODELO!$B$52),PARAMS_MODELO!$B$47),"ORO",IF(U107&gt;=MAX(_xlfn.PERCENTILE.INC($U$2:$U$1194,PARAMS_MODELO!$B$53),PARAMS_MODELO!$B$48),"PLATA",IF(U107&gt;=1,"BRONCE","CERRADO")))))</f>
        <v>PLATINO</v>
      </c>
      <c r="W107" s="5" t="str" cm="1">
        <f t="array" ref="W107">_xlfn.XLOOKUP(1, (HIST_SCORE!$B:$B=PARAMS_MODELO!$B$4) * (HIST_SCORE!$C:$C=A107), HIST_SCORE!$E:$E, "No encontrado")</f>
        <v>PLATINO</v>
      </c>
      <c r="X107" s="5" t="str">
        <f>_xlfn.LET(_xlpm.act,MATCH(V107,{"DIAMANTE";"PLATINO";"ORO";"PLATA";"BRONCE";"CERRADO"},0),_xlpm.ant,MATCH(W107,{"DIAMANTE";"PLATINO";"ORO";"PLATA";"BRONCE";"CERRADO"},0),IF(_xlpm.act&lt;_xlpm.ant,"Mejora ↑",IF(_xlpm.act&gt;_xlpm.ant,"Baja ↓","Estable →")))</f>
        <v>Estable →</v>
      </c>
      <c r="Y107" s="5">
        <f>IFERROR(U107-SUMIFS(HIST_SCORE!$D:$D,HIST_SCORE!$B:$B,PARAMS_MODELO!$B$4,HIST_SCORE!$C:$C,$A107),"")</f>
        <v>0.82951193213510521</v>
      </c>
      <c r="Z107" s="5" t="str">
        <f t="shared" si="29"/>
        <v>→ Estable</v>
      </c>
      <c r="AA107" s="5">
        <f t="shared" si="30"/>
        <v>180</v>
      </c>
      <c r="AB107" s="5">
        <f>IFERROR(SUMIFS(HIST_SCORE!$F:$F,HIST_SCORE!$B:$B,PARAMS_MODELO!$B$4,HIST_SCORE!$C:$C,$A107),"")</f>
        <v>187</v>
      </c>
      <c r="AC107" s="5">
        <f t="shared" si="31"/>
        <v>7</v>
      </c>
      <c r="AD107" t="str">
        <f t="shared" si="33"/>
        <v/>
      </c>
      <c r="AE1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CERRADO",1,IF(V107="BRONCE",_xlpm.cPl,IF(V107="PLATA",_xlpm.cO,IF(V107="ORO",_xlpm.cP,IF(V107="PLATINO",_xlpm.cD,999))))))</f>
        <v>96.054919694466676</v>
      </c>
      <c r="AF1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CERRADO",0,IF(V107="BRONCE",1,IF(V107="PLATA",_xlpm.cPl,IF(V107="ORO",_xlpm.cO,IF(V107="PLATINO",_xlpm.cP,_xlpm.cD))))))</f>
        <v>86.439123873763251</v>
      </c>
      <c r="AG107">
        <f t="shared" si="34"/>
        <v>6.7930626486993333</v>
      </c>
      <c r="AH107" t="str">
        <f t="shared" si="35"/>
        <v>VENTAS</v>
      </c>
      <c r="AI107" t="str">
        <f t="shared" si="32"/>
        <v>🎯 Para subir de categoría, eje VENTAS / IMPACTO ABSOLUTO (H). Acción: metas semanales + activación comercial + seguimiento del asesor. ΔR aprox: 6,8</v>
      </c>
      <c r="AJ107" s="26">
        <f>_xlfn.LET(_xlpm.piso,AF107,_xlpm.corte,AE107,_xlpm.prog,IF(_xlpm.corte&lt;=_xlpm.piso,0,MAX(0,MIN(1,(U107-_xlpm.piso)/(_xlpm.corte-_xlpm.piso)))),_xlpm.orden,{"DIAMANTE";"PLATINO";"ORO";"PLATA";"BRONCE";"CERRADO"},_xlpm.act,IFERROR(MATCH(V107,_xlpm.orden,0),6),_xlpm.ant,IFERROR(MATCH(W107,_xlpm.orden,0),6),_xlpm.ajmov,IF(_xlpm.act&lt;_xlpm.ant,0.08,IF(_xlpm.act&gt;_xlpm.ant,-0.08,0)),_xlpm.ajcli,IF(T107&lt;0.95,-0.06,0),_xlpm.prob,MAX(0,MIN(1,_xlpm.prog+_xlpm.ajmov+_xlpm.ajcli)),IF(OR(V107="DIAMANTE",V107="CERRADO"),0,ROUND(_xlpm.prob,2)))</f>
        <v>0.22</v>
      </c>
      <c r="AK107" t="str">
        <f t="shared" si="36"/>
        <v>Faltan 6,8 puntos base para subir a la siguiente categoría</v>
      </c>
      <c r="AL107" t="str">
        <f t="shared" si="37"/>
        <v>Margen de seguridad: 2,1 puntos</v>
      </c>
      <c r="AM107">
        <f t="shared" si="38"/>
        <v>0.57999999999999996</v>
      </c>
      <c r="AN107" t="str">
        <f t="shared" si="39"/>
        <v>PRIORIDAD MEDIA – seguimiento del asesor</v>
      </c>
      <c r="AO107">
        <f t="shared" si="40"/>
        <v>10.596275421927734</v>
      </c>
      <c r="AP107">
        <f t="shared" si="41"/>
        <v>0</v>
      </c>
      <c r="AQ107">
        <f t="shared" si="42"/>
        <v>0</v>
      </c>
      <c r="AR107">
        <f t="shared" si="43"/>
        <v>10.67</v>
      </c>
      <c r="AS107">
        <f t="shared" si="44"/>
        <v>0</v>
      </c>
      <c r="AT107" t="str">
        <f t="shared" si="45"/>
        <v>DIGITAL</v>
      </c>
      <c r="AU107">
        <f t="shared" si="46"/>
        <v>10.67</v>
      </c>
      <c r="AV107" t="str">
        <f t="shared" si="47"/>
        <v>Mayor retorno probable: DIGITAL (+10,7 puntos finales potenciales).</v>
      </c>
    </row>
    <row r="108" spans="1:48" x14ac:dyDescent="0.3">
      <c r="A108" s="5">
        <v>51003926</v>
      </c>
      <c r="B108" s="5" t="str">
        <f>IFERROR(VLOOKUP(A108,VENTAS!$A$2:$B$1194,2,0),"")</f>
        <v>ARGUELLO</v>
      </c>
      <c r="C108" s="5">
        <f>IFERROR(INDEX(VENTAS!$C$2:$E$1194,MATCH(A108,VENTAS!$A$2:$A$1194,0),MATCH(PARAMS_MODELO!$B$2,{"Q1","Q2","Q3"},0)),0)</f>
        <v>103086151.73</v>
      </c>
      <c r="D108" s="5">
        <f>IFERROR(INDEX(VENTAS!$F$2:$H$1194,MATCH(A108,VENTAS!$A$2:$A$1194,0),MATCH(PARAMS_MODELO!$B$2,{"Q1","Q2","Q3"},0)),0)</f>
        <v>153265606</v>
      </c>
      <c r="E108" s="8">
        <f t="shared" si="24"/>
        <v>0.48677201959607963</v>
      </c>
      <c r="F108" s="12">
        <f>IF(E108&lt;=PARAMS_MODELO!$B$15,0,IF(E108&gt;=PARAMS_MODELO!$B$17,100,100*MIN(1,(E108-PARAMS_MODELO!$B$15)/(PARAMS_MODELO!$B$16-PARAMS_MODELO!$B$15))))*PARAMS_MODELO!$B$7</f>
        <v>35</v>
      </c>
      <c r="G108" s="5">
        <f t="shared" si="25"/>
        <v>50179454.269999996</v>
      </c>
      <c r="H108" s="5">
        <f>(PARAMS_MODELO!$B$20*(MAX(0,MIN(3,E108))/3)+PARAMS_MODELO!$B$21*(IFERROR(LN(1+MAX(0,G108))/LN(1+MAX(0,MAX($G$2:$G$1194))),0)))*100*PARAMS_MODELO!$B$8</f>
        <v>5.8601232547041873</v>
      </c>
      <c r="I108" s="8">
        <f>E108-PARAMS_MODELO!$B$5</f>
        <v>0.3092091842205531</v>
      </c>
      <c r="J108" s="5">
        <f>IF(I108&lt;=PARAMS_MODELO!$B$18,0,IF(I108&gt;=PARAMS_MODELO!$B$19,100,100*(I108-PARAMS_MODELO!$B$18)/(PARAMS_MODELO!$B$19-PARAMS_MODELO!$B$18)))*PARAMS_MODELO!$B$9</f>
        <v>15</v>
      </c>
      <c r="K108" s="5">
        <f>IFERROR(CHOOSE(MATCH(PARAMS_MODELO!$B$2,{"Q1","Q2","Q3"},0),LOTO!$D108,LOTO!$F108,LOTO!$H108),0)</f>
        <v>7892500</v>
      </c>
      <c r="L108" s="8">
        <f t="shared" si="26"/>
        <v>5.1495571680968008E-2</v>
      </c>
      <c r="M108" s="5">
        <f>MIN(100,IF(PARAMS_MODELO!$B$23=0,0,100*L108/PARAMS_MODELO!$B$23))*PARAMS_MODELO!$B$10</f>
        <v>15</v>
      </c>
      <c r="N108" s="5">
        <f>IFERROR(VLOOKUP(A108,COMPLIANCE!$A$2:$F$1996,6,0),100)</f>
        <v>100</v>
      </c>
      <c r="O108" s="5">
        <f>N108*PARAMS_MODELO!$B$11</f>
        <v>10</v>
      </c>
      <c r="P108" s="5">
        <f>IFERROR(VLOOKUP(A108,DIGITAL!$A$2:$J$2000,7,0),100)</f>
        <v>97</v>
      </c>
      <c r="Q108" s="5">
        <f>IFERROR(P108,0)*PARAMS_MODELO!$B$12</f>
        <v>9.7000000000000011</v>
      </c>
      <c r="R108">
        <f t="shared" si="27"/>
        <v>90.56012325470418</v>
      </c>
      <c r="S108" s="5" t="str">
        <f>IFERROR(VLOOKUP(A108,CLIENTE!$A$2:$N$2000,13,0),1)</f>
        <v>Malo</v>
      </c>
      <c r="T108" s="5">
        <f>IFERROR(VLOOKUP(A108,CLIENTE!$A$2:$N$2000,14,0),1)</f>
        <v>0.7</v>
      </c>
      <c r="U108" s="5">
        <f t="shared" si="28"/>
        <v>63.392086278292922</v>
      </c>
      <c r="V108" s="5" t="str">
        <f>IF(U108&gt;=MAX(_xlfn.PERCENTILE.INC($U$2:$U$1194,PARAMS_MODELO!$B$50),PARAMS_MODELO!$B$45),"DIAMANTE",IF(U108&gt;=MAX(_xlfn.PERCENTILE.INC($U$2:$U$1194,PARAMS_MODELO!$B$51),PARAMS_MODELO!$B$46),"PLATINO",IF(U108&gt;=MAX(_xlfn.PERCENTILE.INC($U$2:$U$1194,PARAMS_MODELO!$B$52),PARAMS_MODELO!$B$47),"ORO",IF(U108&gt;=MAX(_xlfn.PERCENTILE.INC($U$2:$U$1194,PARAMS_MODELO!$B$53),PARAMS_MODELO!$B$48),"PLATA",IF(U108&gt;=1,"BRONCE","CERRADO")))))</f>
        <v>ORO</v>
      </c>
      <c r="W108" s="5" t="str" cm="1">
        <f t="array" ref="W108">_xlfn.XLOOKUP(1, (HIST_SCORE!$B:$B=PARAMS_MODELO!$B$4) * (HIST_SCORE!$C:$C=A108), HIST_SCORE!$E:$E, "No encontrado")</f>
        <v>PLATA</v>
      </c>
      <c r="X108" s="5" t="str">
        <f>_xlfn.LET(_xlpm.act,MATCH(V108,{"DIAMANTE";"PLATINO";"ORO";"PLATA";"BRONCE";"CERRADO"},0),_xlpm.ant,MATCH(W108,{"DIAMANTE";"PLATINO";"ORO";"PLATA";"BRONCE";"CERRADO"},0),IF(_xlpm.act&lt;_xlpm.ant,"Mejora ↑",IF(_xlpm.act&gt;_xlpm.ant,"Baja ↓","Estable →")))</f>
        <v>Mejora ↑</v>
      </c>
      <c r="Y108" s="5">
        <f>IFERROR(U108-SUMIFS(HIST_SCORE!$D:$D,HIST_SCORE!$B:$B,PARAMS_MODELO!$B$4,HIST_SCORE!$C:$C,$A108),"")</f>
        <v>10.721189229654527</v>
      </c>
      <c r="Z108" s="5" t="str">
        <f t="shared" si="29"/>
        <v>↑ Mejora</v>
      </c>
      <c r="AA108" s="5">
        <f t="shared" si="30"/>
        <v>554</v>
      </c>
      <c r="AB108" s="5">
        <f>IFERROR(SUMIFS(HIST_SCORE!$F:$F,HIST_SCORE!$B:$B,PARAMS_MODELO!$B$4,HIST_SCORE!$C:$C,$A108),"")</f>
        <v>753</v>
      </c>
      <c r="AC108" s="5">
        <f t="shared" si="31"/>
        <v>199</v>
      </c>
      <c r="AD108" t="str">
        <f t="shared" si="33"/>
        <v/>
      </c>
      <c r="AE1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CERRADO",1,IF(V108="BRONCE",_xlpm.cPl,IF(V108="PLATA",_xlpm.cO,IF(V108="ORO",_xlpm.cP,IF(V108="PLATINO",_xlpm.cD,999))))))</f>
        <v>86.439123873763251</v>
      </c>
      <c r="AF1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CERRADO",0,IF(V108="BRONCE",1,IF(V108="PLATA",_xlpm.cPl,IF(V108="ORO",_xlpm.cO,IF(V108="PLATINO",_xlpm.cP,_xlpm.cD))))))</f>
        <v>63.199193273331495</v>
      </c>
      <c r="AG108">
        <f t="shared" si="34"/>
        <v>32.924339422100473</v>
      </c>
      <c r="AH108" t="str">
        <f t="shared" si="35"/>
        <v>CLIENTE</v>
      </c>
      <c r="AI108" t="str">
        <f t="shared" si="32"/>
        <v>🎯 Para subir de categoría, la eje con mayor impacto probable es CLIENTE (coef T). Acción: reducir quejas, mejorar incógnito y empujar reseñas. ΔR aprox: 32,9</v>
      </c>
      <c r="AJ108" s="26">
        <f>_xlfn.LET(_xlpm.piso,AF108,_xlpm.corte,AE108,_xlpm.prog,IF(_xlpm.corte&lt;=_xlpm.piso,0,MAX(0,MIN(1,(U108-_xlpm.piso)/(_xlpm.corte-_xlpm.piso)))),_xlpm.orden,{"DIAMANTE";"PLATINO";"ORO";"PLATA";"BRONCE";"CERRADO"},_xlpm.act,IFERROR(MATCH(V108,_xlpm.orden,0),6),_xlpm.ant,IFERROR(MATCH(W108,_xlpm.orden,0),6),_xlpm.ajmov,IF(_xlpm.act&lt;_xlpm.ant,0.08,IF(_xlpm.act&gt;_xlpm.ant,-0.08,0)),_xlpm.ajcli,IF(T108&lt;0.95,-0.06,0),_xlpm.prob,MAX(0,MIN(1,_xlpm.prog+_xlpm.ajmov+_xlpm.ajcli)),IF(OR(V108="DIAMANTE",V108="CERRADO"),0,ROUND(_xlpm.prob,2)))</f>
        <v>0.03</v>
      </c>
      <c r="AK108" t="str">
        <f t="shared" si="36"/>
        <v>Faltan 32,9 puntos base para subir a la siguiente categoría</v>
      </c>
      <c r="AL108" t="str">
        <f t="shared" si="37"/>
        <v>Margen de seguridad: 0,2 puntos</v>
      </c>
      <c r="AM108">
        <f t="shared" si="38"/>
        <v>0.99</v>
      </c>
      <c r="AN108" t="str">
        <f t="shared" si="39"/>
        <v>PRIORIDAD ALTA – requiere intervención inmediata</v>
      </c>
      <c r="AO108">
        <f t="shared" si="40"/>
        <v>6.3017122144139792</v>
      </c>
      <c r="AP108">
        <f t="shared" si="41"/>
        <v>0</v>
      </c>
      <c r="AQ108">
        <f t="shared" si="42"/>
        <v>0</v>
      </c>
      <c r="AR108">
        <f t="shared" si="43"/>
        <v>0.20999999999999924</v>
      </c>
      <c r="AS108">
        <f t="shared" si="44"/>
        <v>27.168036976411258</v>
      </c>
      <c r="AT108" t="str">
        <f t="shared" si="45"/>
        <v>CLIENTE</v>
      </c>
      <c r="AU108">
        <f t="shared" si="46"/>
        <v>27.168036976411258</v>
      </c>
      <c r="AV108" t="str">
        <f t="shared" si="47"/>
        <v>Mayor retorno probable: CLIENTE (+27,2 puntos finales potenciales).</v>
      </c>
    </row>
    <row r="109" spans="1:48" x14ac:dyDescent="0.3">
      <c r="A109" s="5">
        <v>51019911</v>
      </c>
      <c r="B109" s="5" t="str">
        <f>IFERROR(VLOOKUP(A109,VENTAS!$A$2:$B$1194,2,0),"")</f>
        <v>PRADES</v>
      </c>
      <c r="C109" s="5">
        <f>IFERROR(INDEX(VENTAS!$C$2:$E$1194,MATCH(A109,VENTAS!$A$2:$A$1194,0),MATCH(PARAMS_MODELO!$B$2,{"Q1","Q2","Q3"},0)),0)</f>
        <v>159796933.44999999</v>
      </c>
      <c r="D109" s="5">
        <f>IFERROR(INDEX(VENTAS!$F$2:$H$1194,MATCH(A109,VENTAS!$A$2:$A$1194,0),MATCH(PARAMS_MODELO!$B$2,{"Q1","Q2","Q3"},0)),0)</f>
        <v>152928700</v>
      </c>
      <c r="E109" s="8">
        <f t="shared" si="24"/>
        <v>-4.2981009095202971E-2</v>
      </c>
      <c r="F109" s="12">
        <f>IF(E109&lt;=PARAMS_MODELO!$B$15,0,IF(E109&gt;=PARAMS_MODELO!$B$17,100,100*MIN(1,(E109-PARAMS_MODELO!$B$15)/(PARAMS_MODELO!$B$16-PARAMS_MODELO!$B$15))))*PARAMS_MODELO!$B$7</f>
        <v>0</v>
      </c>
      <c r="G109" s="5">
        <f t="shared" si="25"/>
        <v>0</v>
      </c>
      <c r="H109" s="5">
        <f>(PARAMS_MODELO!$B$20*(MAX(0,MIN(3,E109))/3)+PARAMS_MODELO!$B$21*(IFERROR(LN(1+MAX(0,G109))/LN(1+MAX(0,MAX($G$2:$G$1194))),0)))*100*PARAMS_MODELO!$B$8</f>
        <v>0</v>
      </c>
      <c r="I109" s="8">
        <f>E109-PARAMS_MODELO!$B$5</f>
        <v>-0.2205438444707295</v>
      </c>
      <c r="J109" s="5">
        <f>IF(I109&lt;=PARAMS_MODELO!$B$18,0,IF(I109&gt;=PARAMS_MODELO!$B$19,100,100*(I109-PARAMS_MODELO!$B$18)/(PARAMS_MODELO!$B$19-PARAMS_MODELO!$B$18)))*PARAMS_MODELO!$B$9</f>
        <v>0</v>
      </c>
      <c r="K109" s="5">
        <f>IFERROR(CHOOSE(MATCH(PARAMS_MODELO!$B$2,{"Q1","Q2","Q3"},0),LOTO!$D109,LOTO!$F109,LOTO!$H109),0)</f>
        <v>7832500</v>
      </c>
      <c r="L109" s="8">
        <f t="shared" si="26"/>
        <v>5.1216678099009538E-2</v>
      </c>
      <c r="M109" s="5">
        <f>MIN(100,IF(PARAMS_MODELO!$B$23=0,0,100*L109/PARAMS_MODELO!$B$23))*PARAMS_MODELO!$B$10</f>
        <v>15</v>
      </c>
      <c r="N109" s="5">
        <f>IFERROR(VLOOKUP(A109,COMPLIANCE!$A$2:$F$1996,6,0),100)</f>
        <v>100</v>
      </c>
      <c r="O109" s="5">
        <f>N109*PARAMS_MODELO!$B$11</f>
        <v>10</v>
      </c>
      <c r="P109" s="5">
        <f>IFERROR(VLOOKUP(A109,DIGITAL!$A$2:$J$2000,7,0),100)</f>
        <v>91</v>
      </c>
      <c r="Q109" s="5">
        <f>IFERROR(P109,0)*PARAMS_MODELO!$B$12</f>
        <v>9.1</v>
      </c>
      <c r="R109">
        <f t="shared" si="27"/>
        <v>34.1</v>
      </c>
      <c r="S109" s="5" t="str">
        <f>IFERROR(VLOOKUP(A109,CLIENTE!$A$2:$N$2000,13,0),1)</f>
        <v>Malo</v>
      </c>
      <c r="T109" s="5">
        <f>IFERROR(VLOOKUP(A109,CLIENTE!$A$2:$N$2000,14,0),1)</f>
        <v>0.7</v>
      </c>
      <c r="U109" s="5">
        <f t="shared" si="28"/>
        <v>23.87</v>
      </c>
      <c r="V109" s="5" t="str">
        <f>IF(U109&gt;=MAX(_xlfn.PERCENTILE.INC($U$2:$U$1194,PARAMS_MODELO!$B$50),PARAMS_MODELO!$B$45),"DIAMANTE",IF(U109&gt;=MAX(_xlfn.PERCENTILE.INC($U$2:$U$1194,PARAMS_MODELO!$B$51),PARAMS_MODELO!$B$46),"PLATINO",IF(U109&gt;=MAX(_xlfn.PERCENTILE.INC($U$2:$U$1194,PARAMS_MODELO!$B$52),PARAMS_MODELO!$B$47),"ORO",IF(U109&gt;=MAX(_xlfn.PERCENTILE.INC($U$2:$U$1194,PARAMS_MODELO!$B$53),PARAMS_MODELO!$B$48),"PLATA",IF(U109&gt;=1,"BRONCE","CERRADO")))))</f>
        <v>BRONCE</v>
      </c>
      <c r="W109" s="5" t="str" cm="1">
        <f t="array" ref="W109">_xlfn.XLOOKUP(1, (HIST_SCORE!$B:$B=PARAMS_MODELO!$B$4) * (HIST_SCORE!$C:$C=A109), HIST_SCORE!$E:$E, "No encontrado")</f>
        <v>PLATA</v>
      </c>
      <c r="X109" s="5" t="str">
        <f>_xlfn.LET(_xlpm.act,MATCH(V109,{"DIAMANTE";"PLATINO";"ORO";"PLATA";"BRONCE";"CERRADO"},0),_xlpm.ant,MATCH(W109,{"DIAMANTE";"PLATINO";"ORO";"PLATA";"BRONCE";"CERRADO"},0),IF(_xlpm.act&lt;_xlpm.ant,"Mejora ↑",IF(_xlpm.act&gt;_xlpm.ant,"Baja ↓","Estable →")))</f>
        <v>Baja ↓</v>
      </c>
      <c r="Y109" s="5">
        <f>IFERROR(U109-SUMIFS(HIST_SCORE!$D:$D,HIST_SCORE!$B:$B,PARAMS_MODELO!$B$4,HIST_SCORE!$C:$C,$A109),"")</f>
        <v>-30.56454934895741</v>
      </c>
      <c r="Z109" s="5" t="str">
        <f t="shared" si="29"/>
        <v>↓ Baja</v>
      </c>
      <c r="AA109" s="5">
        <f t="shared" si="30"/>
        <v>923</v>
      </c>
      <c r="AB109" s="5">
        <f>IFERROR(SUMIFS(HIST_SCORE!$F:$F,HIST_SCORE!$B:$B,PARAMS_MODELO!$B$4,HIST_SCORE!$C:$C,$A109),"")</f>
        <v>742</v>
      </c>
      <c r="AC109" s="5">
        <f t="shared" si="31"/>
        <v>-181</v>
      </c>
      <c r="AD109" t="str">
        <f t="shared" si="33"/>
        <v>Plan de recuperación: foco crecimiento + mix</v>
      </c>
      <c r="AE1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CERRADO",1,IF(V109="BRONCE",_xlpm.cPl,IF(V109="PLATA",_xlpm.cO,IF(V109="ORO",_xlpm.cP,IF(V109="PLATINO",_xlpm.cD,999))))))</f>
        <v>24.506573482968111</v>
      </c>
      <c r="AF1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CERRADO",0,IF(V109="BRONCE",1,IF(V109="PLATA",_xlpm.cPl,IF(V109="ORO",_xlpm.cO,IF(V109="PLATINO",_xlpm.cP,_xlpm.cD))))))</f>
        <v>1</v>
      </c>
      <c r="AG109">
        <f t="shared" si="34"/>
        <v>0.90939068995444217</v>
      </c>
      <c r="AH109" t="str">
        <f t="shared" si="35"/>
        <v>CLIENTE</v>
      </c>
      <c r="AI109" t="str">
        <f t="shared" si="32"/>
        <v>🎯 Para subir de categoría, la eje con mayor impacto probable es CLIENTE (coef T). Acción: reducir quejas, mejorar incógnito y empujar reseñas. ΔR aprox: 0,9</v>
      </c>
      <c r="AJ109" s="26">
        <f>_xlfn.LET(_xlpm.piso,AF109,_xlpm.corte,AE109,_xlpm.prog,IF(_xlpm.corte&lt;=_xlpm.piso,0,MAX(0,MIN(1,(U109-_xlpm.piso)/(_xlpm.corte-_xlpm.piso)))),_xlpm.orden,{"DIAMANTE";"PLATINO";"ORO";"PLATA";"BRONCE";"CERRADO"},_xlpm.act,IFERROR(MATCH(V109,_xlpm.orden,0),6),_xlpm.ant,IFERROR(MATCH(W109,_xlpm.orden,0),6),_xlpm.ajmov,IF(_xlpm.act&lt;_xlpm.ant,0.08,IF(_xlpm.act&gt;_xlpm.ant,-0.08,0)),_xlpm.ajcli,IF(T109&lt;0.95,-0.06,0),_xlpm.prob,MAX(0,MIN(1,_xlpm.prog+_xlpm.ajmov+_xlpm.ajcli)),IF(OR(V109="DIAMANTE",V109="CERRADO"),0,ROUND(_xlpm.prob,2)))</f>
        <v>0.83</v>
      </c>
      <c r="AK109" t="str">
        <f t="shared" si="36"/>
        <v>Faltan 0,9 puntos base para subir a la siguiente categoría</v>
      </c>
      <c r="AL109" t="str">
        <f t="shared" si="37"/>
        <v>No aplica</v>
      </c>
      <c r="AM109">
        <f t="shared" si="38"/>
        <v>0.3</v>
      </c>
      <c r="AN109" t="str">
        <f t="shared" si="39"/>
        <v>PRIORIDAD BAJA – control normal</v>
      </c>
      <c r="AO109">
        <f t="shared" si="40"/>
        <v>45.403798492706905</v>
      </c>
      <c r="AP109">
        <f t="shared" si="41"/>
        <v>0</v>
      </c>
      <c r="AQ109">
        <f t="shared" si="42"/>
        <v>0</v>
      </c>
      <c r="AR109">
        <f t="shared" si="43"/>
        <v>0.63000000000000023</v>
      </c>
      <c r="AS109">
        <f t="shared" si="44"/>
        <v>10.230000000000002</v>
      </c>
      <c r="AT109" t="str">
        <f t="shared" si="45"/>
        <v>VENTAS</v>
      </c>
      <c r="AU109">
        <f t="shared" si="46"/>
        <v>45.403798492706905</v>
      </c>
      <c r="AV109" t="str">
        <f t="shared" si="47"/>
        <v>Mayor retorno probable: VENTAS (+45,4 puntos finales potenciales).</v>
      </c>
    </row>
    <row r="110" spans="1:48" x14ac:dyDescent="0.3">
      <c r="A110" s="5">
        <v>51022076</v>
      </c>
      <c r="B110" s="5" t="str">
        <f>IFERROR(VLOOKUP(A110,VENTAS!$A$2:$B$1194,2,0),"")</f>
        <v>PUGH</v>
      </c>
      <c r="C110" s="5">
        <f>IFERROR(INDEX(VENTAS!$C$2:$E$1194,MATCH(A110,VENTAS!$A$2:$A$1194,0),MATCH(PARAMS_MODELO!$B$2,{"Q1","Q2","Q3"},0)),0)</f>
        <v>92021615.950000003</v>
      </c>
      <c r="D110" s="5">
        <f>IFERROR(INDEX(VENTAS!$F$2:$H$1194,MATCH(A110,VENTAS!$A$2:$A$1194,0),MATCH(PARAMS_MODELO!$B$2,{"Q1","Q2","Q3"},0)),0)</f>
        <v>152631705</v>
      </c>
      <c r="E110" s="8">
        <f t="shared" si="24"/>
        <v>0.65865056187377236</v>
      </c>
      <c r="F110" s="12">
        <f>IF(E110&lt;=PARAMS_MODELO!$B$15,0,IF(E110&gt;=PARAMS_MODELO!$B$17,100,100*MIN(1,(E110-PARAMS_MODELO!$B$15)/(PARAMS_MODELO!$B$16-PARAMS_MODELO!$B$15))))*PARAMS_MODELO!$B$7</f>
        <v>35</v>
      </c>
      <c r="G110" s="5">
        <f t="shared" si="25"/>
        <v>60610089.049999997</v>
      </c>
      <c r="H110" s="5">
        <f>(PARAMS_MODELO!$B$20*(MAX(0,MIN(3,E110))/3)+PARAMS_MODELO!$B$21*(IFERROR(LN(1+MAX(0,G110))/LN(1+MAX(0,MAX($G$2:$G$1194))),0)))*100*PARAMS_MODELO!$B$8</f>
        <v>6.5059685644526981</v>
      </c>
      <c r="I110" s="8">
        <f>E110-PARAMS_MODELO!$B$5</f>
        <v>0.48108772649824583</v>
      </c>
      <c r="J110" s="5">
        <f>IF(I110&lt;=PARAMS_MODELO!$B$18,0,IF(I110&gt;=PARAMS_MODELO!$B$19,100,100*(I110-PARAMS_MODELO!$B$18)/(PARAMS_MODELO!$B$19-PARAMS_MODELO!$B$18)))*PARAMS_MODELO!$B$9</f>
        <v>15</v>
      </c>
      <c r="K110" s="5">
        <f>IFERROR(CHOOSE(MATCH(PARAMS_MODELO!$B$2,{"Q1","Q2","Q3"},0),LOTO!$D110,LOTO!$F110,LOTO!$H110),0)</f>
        <v>7792500</v>
      </c>
      <c r="L110" s="8">
        <f t="shared" si="26"/>
        <v>5.1054268181044034E-2</v>
      </c>
      <c r="M110" s="5">
        <f>MIN(100,IF(PARAMS_MODELO!$B$23=0,0,100*L110/PARAMS_MODELO!$B$23))*PARAMS_MODELO!$B$10</f>
        <v>15</v>
      </c>
      <c r="N110" s="5">
        <f>IFERROR(VLOOKUP(A110,COMPLIANCE!$A$2:$F$1996,6,0),100)</f>
        <v>100</v>
      </c>
      <c r="O110" s="5">
        <f>N110*PARAMS_MODELO!$B$11</f>
        <v>10</v>
      </c>
      <c r="P110" s="5">
        <f>IFERROR(VLOOKUP(A110,DIGITAL!$A$2:$J$2000,7,0),100)</f>
        <v>52</v>
      </c>
      <c r="Q110" s="5">
        <f>IFERROR(P110,0)*PARAMS_MODELO!$B$12</f>
        <v>5.2</v>
      </c>
      <c r="R110">
        <f t="shared" si="27"/>
        <v>86.705968564452704</v>
      </c>
      <c r="S110" s="5" t="str">
        <f>IFERROR(VLOOKUP(A110,CLIENTE!$A$2:$N$2000,13,0),1)</f>
        <v>Regular</v>
      </c>
      <c r="T110" s="5">
        <f>IFERROR(VLOOKUP(A110,CLIENTE!$A$2:$N$2000,14,0),1)</f>
        <v>1</v>
      </c>
      <c r="U110" s="5">
        <f t="shared" si="28"/>
        <v>86.705968564452704</v>
      </c>
      <c r="V110" s="5" t="str">
        <f>IF(U110&gt;=MAX(_xlfn.PERCENTILE.INC($U$2:$U$1194,PARAMS_MODELO!$B$50),PARAMS_MODELO!$B$45),"DIAMANTE",IF(U110&gt;=MAX(_xlfn.PERCENTILE.INC($U$2:$U$1194,PARAMS_MODELO!$B$51),PARAMS_MODELO!$B$46),"PLATINO",IF(U110&gt;=MAX(_xlfn.PERCENTILE.INC($U$2:$U$1194,PARAMS_MODELO!$B$52),PARAMS_MODELO!$B$47),"ORO",IF(U110&gt;=MAX(_xlfn.PERCENTILE.INC($U$2:$U$1194,PARAMS_MODELO!$B$53),PARAMS_MODELO!$B$48),"PLATA",IF(U110&gt;=1,"BRONCE","CERRADO")))))</f>
        <v>PLATINO</v>
      </c>
      <c r="W110" s="5" t="str" cm="1">
        <f t="array" ref="W110">_xlfn.XLOOKUP(1, (HIST_SCORE!$B:$B=PARAMS_MODELO!$B$4) * (HIST_SCORE!$C:$C=A110), HIST_SCORE!$E:$E, "No encontrado")</f>
        <v>ORO</v>
      </c>
      <c r="X110" s="5" t="str">
        <f>_xlfn.LET(_xlpm.act,MATCH(V110,{"DIAMANTE";"PLATINO";"ORO";"PLATA";"BRONCE";"CERRADO"},0),_xlpm.ant,MATCH(W110,{"DIAMANTE";"PLATINO";"ORO";"PLATA";"BRONCE";"CERRADO"},0),IF(_xlpm.act&lt;_xlpm.ant,"Mejora ↑",IF(_xlpm.act&gt;_xlpm.ant,"Baja ↓","Estable →")))</f>
        <v>Mejora ↑</v>
      </c>
      <c r="Y110" s="5">
        <f>IFERROR(U110-SUMIFS(HIST_SCORE!$D:$D,HIST_SCORE!$B:$B,PARAMS_MODELO!$B$4,HIST_SCORE!$C:$C,$A110),"")</f>
        <v>5.7322584146859867</v>
      </c>
      <c r="Z110" s="5" t="str">
        <f t="shared" si="29"/>
        <v>↑ Mejora</v>
      </c>
      <c r="AA110" s="5">
        <f t="shared" si="30"/>
        <v>232</v>
      </c>
      <c r="AB110" s="5">
        <f>IFERROR(SUMIFS(HIST_SCORE!$F:$F,HIST_SCORE!$B:$B,PARAMS_MODELO!$B$4,HIST_SCORE!$C:$C,$A110),"")</f>
        <v>394</v>
      </c>
      <c r="AC110" s="5">
        <f t="shared" si="31"/>
        <v>162</v>
      </c>
      <c r="AD110" t="str">
        <f t="shared" si="33"/>
        <v/>
      </c>
      <c r="AE1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CERRADO",1,IF(V110="BRONCE",_xlpm.cPl,IF(V110="PLATA",_xlpm.cO,IF(V110="ORO",_xlpm.cP,IF(V110="PLATINO",_xlpm.cD,999))))))</f>
        <v>96.054919694466676</v>
      </c>
      <c r="AF1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CERRADO",0,IF(V110="BRONCE",1,IF(V110="PLATA",_xlpm.cPl,IF(V110="ORO",_xlpm.cO,IF(V110="PLATINO",_xlpm.cP,_xlpm.cD))))))</f>
        <v>86.439123873763251</v>
      </c>
      <c r="AG110">
        <f t="shared" si="34"/>
        <v>9.3489511300139725</v>
      </c>
      <c r="AH110" t="str">
        <f t="shared" si="35"/>
        <v>VENTAS</v>
      </c>
      <c r="AI110" t="str">
        <f t="shared" si="32"/>
        <v>🎯 Para subir de categoría, eje VENTAS / IMPACTO ABSOLUTO (H). Acción: metas semanales + activación comercial + seguimiento del asesor. ΔR aprox: 9,3</v>
      </c>
      <c r="AJ110" s="26">
        <f>_xlfn.LET(_xlpm.piso,AF110,_xlpm.corte,AE110,_xlpm.prog,IF(_xlpm.corte&lt;=_xlpm.piso,0,MAX(0,MIN(1,(U110-_xlpm.piso)/(_xlpm.corte-_xlpm.piso)))),_xlpm.orden,{"DIAMANTE";"PLATINO";"ORO";"PLATA";"BRONCE";"CERRADO"},_xlpm.act,IFERROR(MATCH(V110,_xlpm.orden,0),6),_xlpm.ant,IFERROR(MATCH(W110,_xlpm.orden,0),6),_xlpm.ajmov,IF(_xlpm.act&lt;_xlpm.ant,0.08,IF(_xlpm.act&gt;_xlpm.ant,-0.08,0)),_xlpm.ajcli,IF(T110&lt;0.95,-0.06,0),_xlpm.prob,MAX(0,MIN(1,_xlpm.prog+_xlpm.ajmov+_xlpm.ajcli)),IF(OR(V110="DIAMANTE",V110="CERRADO"),0,ROUND(_xlpm.prob,2)))</f>
        <v>0.11</v>
      </c>
      <c r="AK110" t="str">
        <f t="shared" si="36"/>
        <v>Faltan 9,3 puntos base para subir a la siguiente categoría</v>
      </c>
      <c r="AL110" t="str">
        <f t="shared" si="37"/>
        <v>Margen de seguridad: 0,3 puntos</v>
      </c>
      <c r="AM110">
        <f t="shared" si="38"/>
        <v>0.73</v>
      </c>
      <c r="AN110" t="str">
        <f t="shared" si="39"/>
        <v>PRIORIDAD ALTA – requiere intervención inmediata</v>
      </c>
      <c r="AO110">
        <f t="shared" si="40"/>
        <v>8.3566007108428835</v>
      </c>
      <c r="AP110">
        <f t="shared" si="41"/>
        <v>0</v>
      </c>
      <c r="AQ110">
        <f t="shared" si="42"/>
        <v>0</v>
      </c>
      <c r="AR110">
        <f t="shared" si="43"/>
        <v>4.8</v>
      </c>
      <c r="AS110">
        <f t="shared" si="44"/>
        <v>0</v>
      </c>
      <c r="AT110" t="str">
        <f t="shared" si="45"/>
        <v>VENTAS</v>
      </c>
      <c r="AU110">
        <f t="shared" si="46"/>
        <v>8.3566007108428835</v>
      </c>
      <c r="AV110" t="str">
        <f t="shared" si="47"/>
        <v>Mayor retorno probable: VENTAS (+8,4 puntos finales potenciales).</v>
      </c>
    </row>
    <row r="111" spans="1:48" x14ac:dyDescent="0.3">
      <c r="A111" s="5">
        <v>51055217</v>
      </c>
      <c r="B111" s="5" t="str">
        <f>IFERROR(VLOOKUP(A111,VENTAS!$A$2:$B$1194,2,0),"")</f>
        <v>ARGUELLO</v>
      </c>
      <c r="C111" s="5">
        <f>IFERROR(INDEX(VENTAS!$C$2:$E$1194,MATCH(A111,VENTAS!$A$2:$A$1194,0),MATCH(PARAMS_MODELO!$B$2,{"Q1","Q2","Q3"},0)),0)</f>
        <v>131579114.95</v>
      </c>
      <c r="D111" s="5">
        <f>IFERROR(INDEX(VENTAS!$F$2:$H$1194,MATCH(A111,VENTAS!$A$2:$A$1194,0),MATCH(PARAMS_MODELO!$B$2,{"Q1","Q2","Q3"},0)),0)</f>
        <v>152200193</v>
      </c>
      <c r="E111" s="8">
        <f t="shared" si="24"/>
        <v>0.1567199935782817</v>
      </c>
      <c r="F111" s="12">
        <f>IF(E111&lt;=PARAMS_MODELO!$B$15,0,IF(E111&gt;=PARAMS_MODELO!$B$17,100,100*MIN(1,(E111-PARAMS_MODELO!$B$15)/(PARAMS_MODELO!$B$16-PARAMS_MODELO!$B$15))))*PARAMS_MODELO!$B$7</f>
        <v>35</v>
      </c>
      <c r="G111" s="5">
        <f t="shared" si="25"/>
        <v>20621078.049999997</v>
      </c>
      <c r="H111" s="5">
        <f>(PARAMS_MODELO!$B$20*(MAX(0,MIN(3,E111))/3)+PARAMS_MODELO!$B$21*(IFERROR(LN(1+MAX(0,G111))/LN(1+MAX(0,MAX($G$2:$G$1194))),0)))*100*PARAMS_MODELO!$B$8</f>
        <v>4.4964787323358397</v>
      </c>
      <c r="I111" s="8">
        <f>E111-PARAMS_MODELO!$B$5</f>
        <v>-2.0842841797244827E-2</v>
      </c>
      <c r="J111" s="5">
        <f>IF(I111&lt;=PARAMS_MODELO!$B$18,0,IF(I111&gt;=PARAMS_MODELO!$B$19,100,100*(I111-PARAMS_MODELO!$B$18)/(PARAMS_MODELO!$B$19-PARAMS_MODELO!$B$18)))*PARAMS_MODELO!$B$9</f>
        <v>4.373573730413276</v>
      </c>
      <c r="K111" s="5">
        <f>IFERROR(CHOOSE(MATCH(PARAMS_MODELO!$B$2,{"Q1","Q2","Q3"},0),LOTO!$D111,LOTO!$F111,LOTO!$H111),0)</f>
        <v>7790000</v>
      </c>
      <c r="L111" s="8">
        <f t="shared" si="26"/>
        <v>5.1182589499081645E-2</v>
      </c>
      <c r="M111" s="5">
        <f>MIN(100,IF(PARAMS_MODELO!$B$23=0,0,100*L111/PARAMS_MODELO!$B$23))*PARAMS_MODELO!$B$10</f>
        <v>15</v>
      </c>
      <c r="N111" s="5">
        <f>IFERROR(VLOOKUP(A111,COMPLIANCE!$A$2:$F$1996,6,0),100)</f>
        <v>100</v>
      </c>
      <c r="O111" s="5">
        <f>N111*PARAMS_MODELO!$B$11</f>
        <v>10</v>
      </c>
      <c r="P111" s="5">
        <f>IFERROR(VLOOKUP(A111,DIGITAL!$A$2:$J$2000,7,0),100)</f>
        <v>2</v>
      </c>
      <c r="Q111" s="5">
        <f>IFERROR(P111,0)*PARAMS_MODELO!$B$12</f>
        <v>0.2</v>
      </c>
      <c r="R111">
        <f t="shared" si="27"/>
        <v>69.070052462749118</v>
      </c>
      <c r="S111" s="5" t="str">
        <f>IFERROR(VLOOKUP(A111,CLIENTE!$A$2:$N$2000,13,0),1)</f>
        <v>Regular</v>
      </c>
      <c r="T111" s="5">
        <f>IFERROR(VLOOKUP(A111,CLIENTE!$A$2:$N$2000,14,0),1)</f>
        <v>1</v>
      </c>
      <c r="U111" s="5">
        <f t="shared" si="28"/>
        <v>69.070052462749118</v>
      </c>
      <c r="V111" s="5" t="str">
        <f>IF(U111&gt;=MAX(_xlfn.PERCENTILE.INC($U$2:$U$1194,PARAMS_MODELO!$B$50),PARAMS_MODELO!$B$45),"DIAMANTE",IF(U111&gt;=MAX(_xlfn.PERCENTILE.INC($U$2:$U$1194,PARAMS_MODELO!$B$51),PARAMS_MODELO!$B$46),"PLATINO",IF(U111&gt;=MAX(_xlfn.PERCENTILE.INC($U$2:$U$1194,PARAMS_MODELO!$B$52),PARAMS_MODELO!$B$47),"ORO",IF(U111&gt;=MAX(_xlfn.PERCENTILE.INC($U$2:$U$1194,PARAMS_MODELO!$B$53),PARAMS_MODELO!$B$48),"PLATA",IF(U111&gt;=1,"BRONCE","CERRADO")))))</f>
        <v>ORO</v>
      </c>
      <c r="W111" s="5" t="str" cm="1">
        <f t="array" ref="W111">_xlfn.XLOOKUP(1, (HIST_SCORE!$B:$B=PARAMS_MODELO!$B$4) * (HIST_SCORE!$C:$C=A111), HIST_SCORE!$E:$E, "No encontrado")</f>
        <v>PLATA</v>
      </c>
      <c r="X111" s="5" t="str">
        <f>_xlfn.LET(_xlpm.act,MATCH(V111,{"DIAMANTE";"PLATINO";"ORO";"PLATA";"BRONCE";"CERRADO"},0),_xlpm.ant,MATCH(W111,{"DIAMANTE";"PLATINO";"ORO";"PLATA";"BRONCE";"CERRADO"},0),IF(_xlpm.act&lt;_xlpm.ant,"Mejora ↑",IF(_xlpm.act&gt;_xlpm.ant,"Baja ↓","Estable →")))</f>
        <v>Mejora ↑</v>
      </c>
      <c r="Y111" s="5">
        <f>IFERROR(U111-SUMIFS(HIST_SCORE!$D:$D,HIST_SCORE!$B:$B,PARAMS_MODELO!$B$4,HIST_SCORE!$C:$C,$A111),"")</f>
        <v>21.541238977381454</v>
      </c>
      <c r="Z111" s="5" t="str">
        <f t="shared" si="29"/>
        <v>↑ Mejora</v>
      </c>
      <c r="AA111" s="5">
        <f t="shared" si="30"/>
        <v>518</v>
      </c>
      <c r="AB111" s="5">
        <f>IFERROR(SUMIFS(HIST_SCORE!$F:$F,HIST_SCORE!$B:$B,PARAMS_MODELO!$B$4,HIST_SCORE!$C:$C,$A111),"")</f>
        <v>800</v>
      </c>
      <c r="AC111" s="5">
        <f t="shared" si="31"/>
        <v>282</v>
      </c>
      <c r="AD111" t="str">
        <f t="shared" si="33"/>
        <v/>
      </c>
      <c r="AE1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CERRADO",1,IF(V111="BRONCE",_xlpm.cPl,IF(V111="PLATA",_xlpm.cO,IF(V111="ORO",_xlpm.cP,IF(V111="PLATINO",_xlpm.cD,999))))))</f>
        <v>86.439123873763251</v>
      </c>
      <c r="AF1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CERRADO",0,IF(V111="BRONCE",1,IF(V111="PLATA",_xlpm.cPl,IF(V111="ORO",_xlpm.cO,IF(V111="PLATINO",_xlpm.cP,_xlpm.cD))))))</f>
        <v>63.199193273331495</v>
      </c>
      <c r="AG111">
        <f t="shared" si="34"/>
        <v>17.369071411014133</v>
      </c>
      <c r="AH111" t="str">
        <f t="shared" si="35"/>
        <v>VENTAS</v>
      </c>
      <c r="AI111" t="str">
        <f t="shared" si="32"/>
        <v>🎯 Para subir de categoría, eje VENTAS / DIFERENCIAL vs LOTBA (J). Acción: metas semanales + activación comercial + seguimiento del asesor. ΔR aprox: 17,4</v>
      </c>
      <c r="AJ111" s="26">
        <f>_xlfn.LET(_xlpm.piso,AF111,_xlpm.corte,AE111,_xlpm.prog,IF(_xlpm.corte&lt;=_xlpm.piso,0,MAX(0,MIN(1,(U111-_xlpm.piso)/(_xlpm.corte-_xlpm.piso)))),_xlpm.orden,{"DIAMANTE";"PLATINO";"ORO";"PLATA";"BRONCE";"CERRADO"},_xlpm.act,IFERROR(MATCH(V111,_xlpm.orden,0),6),_xlpm.ant,IFERROR(MATCH(W111,_xlpm.orden,0),6),_xlpm.ajmov,IF(_xlpm.act&lt;_xlpm.ant,0.08,IF(_xlpm.act&gt;_xlpm.ant,-0.08,0)),_xlpm.ajcli,IF(T111&lt;0.95,-0.06,0),_xlpm.prob,MAX(0,MIN(1,_xlpm.prog+_xlpm.ajmov+_xlpm.ajcli)),IF(OR(V111="DIAMANTE",V111="CERRADO"),0,ROUND(_xlpm.prob,2)))</f>
        <v>0.33</v>
      </c>
      <c r="AK111" t="str">
        <f t="shared" si="36"/>
        <v>Faltan 17,4 puntos base para subir a la siguiente categoría</v>
      </c>
      <c r="AL111" t="str">
        <f t="shared" si="37"/>
        <v>Margen de seguridad: 5,9 puntos</v>
      </c>
      <c r="AM111">
        <f t="shared" si="38"/>
        <v>0.67</v>
      </c>
      <c r="AN111" t="str">
        <f t="shared" si="39"/>
        <v>PRIORIDAD MEDIA – seguimiento del asesor</v>
      </c>
      <c r="AO111">
        <f t="shared" si="40"/>
        <v>20.992516812546469</v>
      </c>
      <c r="AP111">
        <f t="shared" si="41"/>
        <v>0</v>
      </c>
      <c r="AQ111">
        <f t="shared" si="42"/>
        <v>0</v>
      </c>
      <c r="AR111">
        <f t="shared" si="43"/>
        <v>9.8000000000000007</v>
      </c>
      <c r="AS111">
        <f t="shared" si="44"/>
        <v>0</v>
      </c>
      <c r="AT111" t="str">
        <f t="shared" si="45"/>
        <v>VENTAS</v>
      </c>
      <c r="AU111">
        <f t="shared" si="46"/>
        <v>20.992516812546469</v>
      </c>
      <c r="AV111" t="str">
        <f t="shared" si="47"/>
        <v>Mayor retorno probable: VENTAS (+21,0 puntos finales potenciales).</v>
      </c>
    </row>
    <row r="112" spans="1:48" x14ac:dyDescent="0.3">
      <c r="A112" s="5">
        <v>51036824</v>
      </c>
      <c r="B112" s="5" t="str">
        <f>IFERROR(VLOOKUP(A112,VENTAS!$A$2:$B$1194,2,0),"")</f>
        <v>MONTENEGRO</v>
      </c>
      <c r="C112" s="5">
        <f>IFERROR(INDEX(VENTAS!$C$2:$E$1194,MATCH(A112,VENTAS!$A$2:$A$1194,0),MATCH(PARAMS_MODELO!$B$2,{"Q1","Q2","Q3"},0)),0)</f>
        <v>107667492.54000001</v>
      </c>
      <c r="D112" s="5">
        <f>IFERROR(INDEX(VENTAS!$F$2:$H$1194,MATCH(A112,VENTAS!$A$2:$A$1194,0),MATCH(PARAMS_MODELO!$B$2,{"Q1","Q2","Q3"},0)),0)</f>
        <v>151608177</v>
      </c>
      <c r="E112" s="8">
        <f t="shared" si="24"/>
        <v>0.40811468181703403</v>
      </c>
      <c r="F112" s="12">
        <f>IF(E112&lt;=PARAMS_MODELO!$B$15,0,IF(E112&gt;=PARAMS_MODELO!$B$17,100,100*MIN(1,(E112-PARAMS_MODELO!$B$15)/(PARAMS_MODELO!$B$16-PARAMS_MODELO!$B$15))))*PARAMS_MODELO!$B$7</f>
        <v>35</v>
      </c>
      <c r="G112" s="5">
        <f t="shared" si="25"/>
        <v>43940684.459999993</v>
      </c>
      <c r="H112" s="5">
        <f>(PARAMS_MODELO!$B$20*(MAX(0,MIN(3,E112))/3)+PARAMS_MODELO!$B$21*(IFERROR(LN(1+MAX(0,G112))/LN(1+MAX(0,MAX($G$2:$G$1194))),0)))*100*PARAMS_MODELO!$B$8</f>
        <v>5.5537005986223029</v>
      </c>
      <c r="I112" s="8">
        <f>E112-PARAMS_MODELO!$B$5</f>
        <v>0.2305518464415075</v>
      </c>
      <c r="J112" s="5">
        <f>IF(I112&lt;=PARAMS_MODELO!$B$18,0,IF(I112&gt;=PARAMS_MODELO!$B$19,100,100*(I112-PARAMS_MODELO!$B$18)/(PARAMS_MODELO!$B$19-PARAMS_MODELO!$B$18)))*PARAMS_MODELO!$B$9</f>
        <v>15</v>
      </c>
      <c r="K112" s="5">
        <f>IFERROR(CHOOSE(MATCH(PARAMS_MODELO!$B$2,{"Q1","Q2","Q3"},0),LOTO!$D112,LOTO!$F112,LOTO!$H112),0)</f>
        <v>7787500</v>
      </c>
      <c r="L112" s="8">
        <f t="shared" si="26"/>
        <v>5.1365962932197251E-2</v>
      </c>
      <c r="M112" s="5">
        <f>MIN(100,IF(PARAMS_MODELO!$B$23=0,0,100*L112/PARAMS_MODELO!$B$23))*PARAMS_MODELO!$B$10</f>
        <v>15</v>
      </c>
      <c r="N112" s="5">
        <f>IFERROR(VLOOKUP(A112,COMPLIANCE!$A$2:$F$1996,6,0),100)</f>
        <v>99.9</v>
      </c>
      <c r="O112" s="5">
        <f>N112*PARAMS_MODELO!$B$11</f>
        <v>9.990000000000002</v>
      </c>
      <c r="P112" s="5">
        <f>IFERROR(VLOOKUP(A112,DIGITAL!$A$2:$J$2000,7,0),100)</f>
        <v>91</v>
      </c>
      <c r="Q112" s="5">
        <f>IFERROR(P112,0)*PARAMS_MODELO!$B$12</f>
        <v>9.1</v>
      </c>
      <c r="R112">
        <f t="shared" si="27"/>
        <v>89.643700598622303</v>
      </c>
      <c r="S112" s="5" t="str">
        <f>IFERROR(VLOOKUP(A112,CLIENTE!$A$2:$N$2000,13,0),1)</f>
        <v>Regular</v>
      </c>
      <c r="T112" s="5">
        <f>IFERROR(VLOOKUP(A112,CLIENTE!$A$2:$N$2000,14,0),1)</f>
        <v>1</v>
      </c>
      <c r="U112" s="5">
        <f t="shared" si="28"/>
        <v>89.643700598622303</v>
      </c>
      <c r="V112" s="5" t="str">
        <f>IF(U112&gt;=MAX(_xlfn.PERCENTILE.INC($U$2:$U$1194,PARAMS_MODELO!$B$50),PARAMS_MODELO!$B$45),"DIAMANTE",IF(U112&gt;=MAX(_xlfn.PERCENTILE.INC($U$2:$U$1194,PARAMS_MODELO!$B$51),PARAMS_MODELO!$B$46),"PLATINO",IF(U112&gt;=MAX(_xlfn.PERCENTILE.INC($U$2:$U$1194,PARAMS_MODELO!$B$52),PARAMS_MODELO!$B$47),"ORO",IF(U112&gt;=MAX(_xlfn.PERCENTILE.INC($U$2:$U$1194,PARAMS_MODELO!$B$53),PARAMS_MODELO!$B$48),"PLATA",IF(U112&gt;=1,"BRONCE","CERRADO")))))</f>
        <v>PLATINO</v>
      </c>
      <c r="W112" s="5" t="str" cm="1">
        <f t="array" ref="W112">_xlfn.XLOOKUP(1, (HIST_SCORE!$B:$B=PARAMS_MODELO!$B$4) * (HIST_SCORE!$C:$C=A112), HIST_SCORE!$E:$E, "No encontrado")</f>
        <v>PLATINO</v>
      </c>
      <c r="X112" s="5" t="str">
        <f>_xlfn.LET(_xlpm.act,MATCH(V112,{"DIAMANTE";"PLATINO";"ORO";"PLATA";"BRONCE";"CERRADO"},0),_xlpm.ant,MATCH(W112,{"DIAMANTE";"PLATINO";"ORO";"PLATA";"BRONCE";"CERRADO"},0),IF(_xlpm.act&lt;_xlpm.ant,"Mejora ↑",IF(_xlpm.act&gt;_xlpm.ant,"Baja ↓","Estable →")))</f>
        <v>Estable →</v>
      </c>
      <c r="Y112" s="5">
        <f>IFERROR(U112-SUMIFS(HIST_SCORE!$D:$D,HIST_SCORE!$B:$B,PARAMS_MODELO!$B$4,HIST_SCORE!$C:$C,$A112),"")</f>
        <v>1.8113211818207731</v>
      </c>
      <c r="Z112" s="5" t="str">
        <f t="shared" si="29"/>
        <v>→ Estable</v>
      </c>
      <c r="AA112" s="5">
        <f t="shared" si="30"/>
        <v>144</v>
      </c>
      <c r="AB112" s="5">
        <f>IFERROR(SUMIFS(HIST_SCORE!$F:$F,HIST_SCORE!$B:$B,PARAMS_MODELO!$B$4,HIST_SCORE!$C:$C,$A112),"")</f>
        <v>184</v>
      </c>
      <c r="AC112" s="5">
        <f t="shared" si="31"/>
        <v>40</v>
      </c>
      <c r="AD112" t="str">
        <f t="shared" si="33"/>
        <v/>
      </c>
      <c r="AE1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CERRADO",1,IF(V112="BRONCE",_xlpm.cPl,IF(V112="PLATA",_xlpm.cO,IF(V112="ORO",_xlpm.cP,IF(V112="PLATINO",_xlpm.cD,999))))))</f>
        <v>96.054919694466676</v>
      </c>
      <c r="AF1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CERRADO",0,IF(V112="BRONCE",1,IF(V112="PLATA",_xlpm.cPl,IF(V112="ORO",_xlpm.cO,IF(V112="PLATINO",_xlpm.cP,_xlpm.cD))))))</f>
        <v>86.439123873763251</v>
      </c>
      <c r="AG112">
        <f t="shared" si="34"/>
        <v>6.4112190958443733</v>
      </c>
      <c r="AH112" t="str">
        <f t="shared" si="35"/>
        <v>VENTAS</v>
      </c>
      <c r="AI112" t="str">
        <f t="shared" si="32"/>
        <v>🎯 Para subir de categoría, eje VENTAS / IMPACTO ABSOLUTO (H). Acción: metas semanales + activación comercial + seguimiento del asesor. ΔR aprox: 6,4</v>
      </c>
      <c r="AJ112" s="26">
        <f>_xlfn.LET(_xlpm.piso,AF112,_xlpm.corte,AE112,_xlpm.prog,IF(_xlpm.corte&lt;=_xlpm.piso,0,MAX(0,MIN(1,(U112-_xlpm.piso)/(_xlpm.corte-_xlpm.piso)))),_xlpm.orden,{"DIAMANTE";"PLATINO";"ORO";"PLATA";"BRONCE";"CERRADO"},_xlpm.act,IFERROR(MATCH(V112,_xlpm.orden,0),6),_xlpm.ant,IFERROR(MATCH(W112,_xlpm.orden,0),6),_xlpm.ajmov,IF(_xlpm.act&lt;_xlpm.ant,0.08,IF(_xlpm.act&gt;_xlpm.ant,-0.08,0)),_xlpm.ajcli,IF(T112&lt;0.95,-0.06,0),_xlpm.prob,MAX(0,MIN(1,_xlpm.prog+_xlpm.ajmov+_xlpm.ajcli)),IF(OR(V112="DIAMANTE",V112="CERRADO"),0,ROUND(_xlpm.prob,2)))</f>
        <v>0.33</v>
      </c>
      <c r="AK112" t="str">
        <f t="shared" si="36"/>
        <v>Faltan 6,4 puntos base para subir a la siguiente categoría</v>
      </c>
      <c r="AL112" t="str">
        <f t="shared" si="37"/>
        <v>Margen de seguridad: 3,2 puntos</v>
      </c>
      <c r="AM112">
        <f t="shared" si="38"/>
        <v>0.52</v>
      </c>
      <c r="AN112" t="str">
        <f t="shared" si="39"/>
        <v>PRIORIDAD MEDIA – seguimiento del asesor</v>
      </c>
      <c r="AO112">
        <f t="shared" si="40"/>
        <v>9.3088686766732849</v>
      </c>
      <c r="AP112">
        <f t="shared" si="41"/>
        <v>0</v>
      </c>
      <c r="AQ112">
        <f t="shared" si="42"/>
        <v>9.9999999999980105E-3</v>
      </c>
      <c r="AR112">
        <f t="shared" si="43"/>
        <v>0.90000000000000036</v>
      </c>
      <c r="AS112">
        <f t="shared" si="44"/>
        <v>0</v>
      </c>
      <c r="AT112" t="str">
        <f t="shared" si="45"/>
        <v>VENTAS</v>
      </c>
      <c r="AU112">
        <f t="shared" si="46"/>
        <v>9.3088686766732849</v>
      </c>
      <c r="AV112" t="str">
        <f t="shared" si="47"/>
        <v>Mayor retorno probable: VENTAS (+9,3 puntos finales potenciales).</v>
      </c>
    </row>
    <row r="113" spans="1:48" x14ac:dyDescent="0.3">
      <c r="A113" s="5">
        <v>51024940</v>
      </c>
      <c r="B113" s="5" t="str">
        <f>IFERROR(VLOOKUP(A113,VENTAS!$A$2:$B$1194,2,0),"")</f>
        <v>CICHETTO</v>
      </c>
      <c r="C113" s="5">
        <f>IFERROR(INDEX(VENTAS!$C$2:$E$1194,MATCH(A113,VENTAS!$A$2:$A$1194,0),MATCH(PARAMS_MODELO!$B$2,{"Q1","Q2","Q3"},0)),0)</f>
        <v>99422405.00999999</v>
      </c>
      <c r="D113" s="5">
        <f>IFERROR(INDEX(VENTAS!$F$2:$H$1194,MATCH(A113,VENTAS!$A$2:$A$1194,0),MATCH(PARAMS_MODELO!$B$2,{"Q1","Q2","Q3"},0)),0)</f>
        <v>151465962</v>
      </c>
      <c r="E113" s="8">
        <f t="shared" si="24"/>
        <v>0.5234590431076922</v>
      </c>
      <c r="F113" s="12">
        <f>IF(E113&lt;=PARAMS_MODELO!$B$15,0,IF(E113&gt;=PARAMS_MODELO!$B$17,100,100*MIN(1,(E113-PARAMS_MODELO!$B$15)/(PARAMS_MODELO!$B$16-PARAMS_MODELO!$B$15))))*PARAMS_MODELO!$B$7</f>
        <v>35</v>
      </c>
      <c r="G113" s="5">
        <f t="shared" si="25"/>
        <v>52043556.99000001</v>
      </c>
      <c r="H113" s="5">
        <f>(PARAMS_MODELO!$B$20*(MAX(0,MIN(3,E113))/3)+PARAMS_MODELO!$B$21*(IFERROR(LN(1+MAX(0,G113))/LN(1+MAX(0,MAX($G$2:$G$1194))),0)))*100*PARAMS_MODELO!$B$8</f>
        <v>5.997078165030489</v>
      </c>
      <c r="I113" s="8">
        <f>E113-PARAMS_MODELO!$B$5</f>
        <v>0.34589620773216567</v>
      </c>
      <c r="J113" s="5">
        <f>IF(I113&lt;=PARAMS_MODELO!$B$18,0,IF(I113&gt;=PARAMS_MODELO!$B$19,100,100*(I113-PARAMS_MODELO!$B$18)/(PARAMS_MODELO!$B$19-PARAMS_MODELO!$B$18)))*PARAMS_MODELO!$B$9</f>
        <v>15</v>
      </c>
      <c r="K113" s="5">
        <f>IFERROR(CHOOSE(MATCH(PARAMS_MODELO!$B$2,{"Q1","Q2","Q3"},0),LOTO!$D113,LOTO!$F113,LOTO!$H113),0)</f>
        <v>7764999.9999999991</v>
      </c>
      <c r="L113" s="8">
        <f t="shared" si="26"/>
        <v>5.1265643432152758E-2</v>
      </c>
      <c r="M113" s="5">
        <f>MIN(100,IF(PARAMS_MODELO!$B$23=0,0,100*L113/PARAMS_MODELO!$B$23))*PARAMS_MODELO!$B$10</f>
        <v>15</v>
      </c>
      <c r="N113" s="5">
        <f>IFERROR(VLOOKUP(A113,COMPLIANCE!$A$2:$F$1996,6,0),100)</f>
        <v>100</v>
      </c>
      <c r="O113" s="5">
        <f>N113*PARAMS_MODELO!$B$11</f>
        <v>10</v>
      </c>
      <c r="P113" s="5">
        <f>IFERROR(VLOOKUP(A113,DIGITAL!$A$2:$J$2000,7,0),100)</f>
        <v>25</v>
      </c>
      <c r="Q113" s="5">
        <f>IFERROR(P113,0)*PARAMS_MODELO!$B$12</f>
        <v>2.5</v>
      </c>
      <c r="R113">
        <f t="shared" si="27"/>
        <v>83.497078165030487</v>
      </c>
      <c r="S113" s="5" t="str">
        <f>IFERROR(VLOOKUP(A113,CLIENTE!$A$2:$N$2000,13,0),1)</f>
        <v>Regular</v>
      </c>
      <c r="T113" s="5">
        <f>IFERROR(VLOOKUP(A113,CLIENTE!$A$2:$N$2000,14,0),1)</f>
        <v>1</v>
      </c>
      <c r="U113" s="5">
        <f t="shared" si="28"/>
        <v>83.497078165030487</v>
      </c>
      <c r="V113" s="5" t="str">
        <f>IF(U113&gt;=MAX(_xlfn.PERCENTILE.INC($U$2:$U$1194,PARAMS_MODELO!$B$50),PARAMS_MODELO!$B$45),"DIAMANTE",IF(U113&gt;=MAX(_xlfn.PERCENTILE.INC($U$2:$U$1194,PARAMS_MODELO!$B$51),PARAMS_MODELO!$B$46),"PLATINO",IF(U113&gt;=MAX(_xlfn.PERCENTILE.INC($U$2:$U$1194,PARAMS_MODELO!$B$52),PARAMS_MODELO!$B$47),"ORO",IF(U113&gt;=MAX(_xlfn.PERCENTILE.INC($U$2:$U$1194,PARAMS_MODELO!$B$53),PARAMS_MODELO!$B$48),"PLATA",IF(U113&gt;=1,"BRONCE","CERRADO")))))</f>
        <v>ORO</v>
      </c>
      <c r="W113" s="5" t="str" cm="1">
        <f t="array" ref="W113">_xlfn.XLOOKUP(1, (HIST_SCORE!$B:$B=PARAMS_MODELO!$B$4) * (HIST_SCORE!$C:$C=A113), HIST_SCORE!$E:$E, "No encontrado")</f>
        <v>ORO</v>
      </c>
      <c r="X113" s="5" t="str">
        <f>_xlfn.LET(_xlpm.act,MATCH(V113,{"DIAMANTE";"PLATINO";"ORO";"PLATA";"BRONCE";"CERRADO"},0),_xlpm.ant,MATCH(W113,{"DIAMANTE";"PLATINO";"ORO";"PLATA";"BRONCE";"CERRADO"},0),IF(_xlpm.act&lt;_xlpm.ant,"Mejora ↑",IF(_xlpm.act&gt;_xlpm.ant,"Baja ↓","Estable →")))</f>
        <v>Estable →</v>
      </c>
      <c r="Y113" s="5">
        <f>IFERROR(U113-SUMIFS(HIST_SCORE!$D:$D,HIST_SCORE!$B:$B,PARAMS_MODELO!$B$4,HIST_SCORE!$C:$C,$A113),"")</f>
        <v>0.46591839275133395</v>
      </c>
      <c r="Z113" s="5" t="str">
        <f t="shared" si="29"/>
        <v>→ Estable</v>
      </c>
      <c r="AA113" s="5">
        <f t="shared" si="30"/>
        <v>332</v>
      </c>
      <c r="AB113" s="5">
        <f>IFERROR(SUMIFS(HIST_SCORE!$F:$F,HIST_SCORE!$B:$B,PARAMS_MODELO!$B$4,HIST_SCORE!$C:$C,$A113),"")</f>
        <v>328</v>
      </c>
      <c r="AC113" s="5">
        <f t="shared" si="31"/>
        <v>-4</v>
      </c>
      <c r="AD113" t="str">
        <f t="shared" si="33"/>
        <v/>
      </c>
      <c r="AE1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CERRADO",1,IF(V113="BRONCE",_xlpm.cPl,IF(V113="PLATA",_xlpm.cO,IF(V113="ORO",_xlpm.cP,IF(V113="PLATINO",_xlpm.cD,999))))))</f>
        <v>86.439123873763251</v>
      </c>
      <c r="AF1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CERRADO",0,IF(V113="BRONCE",1,IF(V113="PLATA",_xlpm.cPl,IF(V113="ORO",_xlpm.cO,IF(V113="PLATINO",_xlpm.cP,_xlpm.cD))))))</f>
        <v>63.199193273331495</v>
      </c>
      <c r="AG113">
        <f t="shared" si="34"/>
        <v>2.9420457087327634</v>
      </c>
      <c r="AH113" t="str">
        <f t="shared" si="35"/>
        <v>VENTAS</v>
      </c>
      <c r="AI113" t="str">
        <f t="shared" si="32"/>
        <v>🎯 Para subir de categoría, eje VENTAS / IMPACTO ABSOLUTO (H). Acción: metas semanales + activación comercial + seguimiento del asesor. ΔR aprox: 2,9</v>
      </c>
      <c r="AJ113" s="26">
        <f>_xlfn.LET(_xlpm.piso,AF113,_xlpm.corte,AE113,_xlpm.prog,IF(_xlpm.corte&lt;=_xlpm.piso,0,MAX(0,MIN(1,(U113-_xlpm.piso)/(_xlpm.corte-_xlpm.piso)))),_xlpm.orden,{"DIAMANTE";"PLATINO";"ORO";"PLATA";"BRONCE";"CERRADO"},_xlpm.act,IFERROR(MATCH(V113,_xlpm.orden,0),6),_xlpm.ant,IFERROR(MATCH(W113,_xlpm.orden,0),6),_xlpm.ajmov,IF(_xlpm.act&lt;_xlpm.ant,0.08,IF(_xlpm.act&gt;_xlpm.ant,-0.08,0)),_xlpm.ajcli,IF(T113&lt;0.95,-0.06,0),_xlpm.prob,MAX(0,MIN(1,_xlpm.prog+_xlpm.ajmov+_xlpm.ajcli)),IF(OR(V113="DIAMANTE",V113="CERRADO"),0,ROUND(_xlpm.prob,2)))</f>
        <v>0.87</v>
      </c>
      <c r="AK113" t="str">
        <f t="shared" si="36"/>
        <v>Faltan 2,9 puntos base para subir a la siguiente categoría</v>
      </c>
      <c r="AL113" t="str">
        <f t="shared" si="37"/>
        <v>Margen de seguridad: 20,3 puntos</v>
      </c>
      <c r="AM113">
        <f t="shared" si="38"/>
        <v>0.17</v>
      </c>
      <c r="AN113" t="str">
        <f t="shared" si="39"/>
        <v>PRIORIDAD BAJA – control normal</v>
      </c>
      <c r="AO113">
        <f t="shared" si="40"/>
        <v>8.8654911102650971</v>
      </c>
      <c r="AP113">
        <f t="shared" si="41"/>
        <v>0</v>
      </c>
      <c r="AQ113">
        <f t="shared" si="42"/>
        <v>0</v>
      </c>
      <c r="AR113">
        <f t="shared" si="43"/>
        <v>7.5</v>
      </c>
      <c r="AS113">
        <f t="shared" si="44"/>
        <v>0</v>
      </c>
      <c r="AT113" t="str">
        <f t="shared" si="45"/>
        <v>VENTAS</v>
      </c>
      <c r="AU113">
        <f t="shared" si="46"/>
        <v>8.8654911102650971</v>
      </c>
      <c r="AV113" t="str">
        <f t="shared" si="47"/>
        <v>Mayor retorno probable: VENTAS (+8,9 puntos finales potenciales).</v>
      </c>
    </row>
    <row r="114" spans="1:48" x14ac:dyDescent="0.3">
      <c r="A114" s="5">
        <v>51033531</v>
      </c>
      <c r="B114" s="5" t="str">
        <f>IFERROR(VLOOKUP(A114,VENTAS!$A$2:$B$1194,2,0),"")</f>
        <v>NELLI</v>
      </c>
      <c r="C114" s="5">
        <f>IFERROR(INDEX(VENTAS!$C$2:$E$1194,MATCH(A114,VENTAS!$A$2:$A$1194,0),MATCH(PARAMS_MODELO!$B$2,{"Q1","Q2","Q3"},0)),0)</f>
        <v>116854512.56999999</v>
      </c>
      <c r="D114" s="5">
        <f>IFERROR(INDEX(VENTAS!$F$2:$H$1194,MATCH(A114,VENTAS!$A$2:$A$1194,0),MATCH(PARAMS_MODELO!$B$2,{"Q1","Q2","Q3"},0)),0)</f>
        <v>150870227</v>
      </c>
      <c r="E114" s="8">
        <f t="shared" si="24"/>
        <v>0.29109457291709973</v>
      </c>
      <c r="F114" s="12">
        <f>IF(E114&lt;=PARAMS_MODELO!$B$15,0,IF(E114&gt;=PARAMS_MODELO!$B$17,100,100*MIN(1,(E114-PARAMS_MODELO!$B$15)/(PARAMS_MODELO!$B$16-PARAMS_MODELO!$B$15))))*PARAMS_MODELO!$B$7</f>
        <v>35</v>
      </c>
      <c r="G114" s="5">
        <f t="shared" si="25"/>
        <v>34015714.430000007</v>
      </c>
      <c r="H114" s="5">
        <f>(PARAMS_MODELO!$B$20*(MAX(0,MIN(3,E114))/3)+PARAMS_MODELO!$B$21*(IFERROR(LN(1+MAX(0,G114))/LN(1+MAX(0,MAX($G$2:$G$1194))),0)))*100*PARAMS_MODELO!$B$8</f>
        <v>5.0841160169602189</v>
      </c>
      <c r="I114" s="8">
        <f>E114-PARAMS_MODELO!$B$5</f>
        <v>0.1135317375415732</v>
      </c>
      <c r="J114" s="5">
        <f>IF(I114&lt;=PARAMS_MODELO!$B$18,0,IF(I114&gt;=PARAMS_MODELO!$B$19,100,100*(I114-PARAMS_MODELO!$B$18)/(PARAMS_MODELO!$B$19-PARAMS_MODELO!$B$18)))*PARAMS_MODELO!$B$9</f>
        <v>15</v>
      </c>
      <c r="K114" s="5">
        <f>IFERROR(CHOOSE(MATCH(PARAMS_MODELO!$B$2,{"Q1","Q2","Q3"},0),LOTO!$D114,LOTO!$F114,LOTO!$H114),0)</f>
        <v>7712500</v>
      </c>
      <c r="L114" s="8">
        <f t="shared" si="26"/>
        <v>5.1120092766878386E-2</v>
      </c>
      <c r="M114" s="5">
        <f>MIN(100,IF(PARAMS_MODELO!$B$23=0,0,100*L114/PARAMS_MODELO!$B$23))*PARAMS_MODELO!$B$10</f>
        <v>15</v>
      </c>
      <c r="N114" s="5">
        <f>IFERROR(VLOOKUP(A114,COMPLIANCE!$A$2:$F$1996,6,0),100)</f>
        <v>100</v>
      </c>
      <c r="O114" s="5">
        <f>N114*PARAMS_MODELO!$B$11</f>
        <v>10</v>
      </c>
      <c r="P114" s="5">
        <f>IFERROR(VLOOKUP(A114,DIGITAL!$A$2:$J$2000,7,0),100)</f>
        <v>37</v>
      </c>
      <c r="Q114" s="5">
        <f>IFERROR(P114,0)*PARAMS_MODELO!$B$12</f>
        <v>3.7</v>
      </c>
      <c r="R114">
        <f t="shared" si="27"/>
        <v>83.784116016960226</v>
      </c>
      <c r="S114" s="5" t="str">
        <f>IFERROR(VLOOKUP(A114,CLIENTE!$A$2:$N$2000,13,0),1)</f>
        <v>Malo</v>
      </c>
      <c r="T114" s="5">
        <f>IFERROR(VLOOKUP(A114,CLIENTE!$A$2:$N$2000,14,0),1)</f>
        <v>0.7</v>
      </c>
      <c r="U114" s="5">
        <f t="shared" si="28"/>
        <v>58.648881211872151</v>
      </c>
      <c r="V114" s="5" t="str">
        <f>IF(U114&gt;=MAX(_xlfn.PERCENTILE.INC($U$2:$U$1194,PARAMS_MODELO!$B$50),PARAMS_MODELO!$B$45),"DIAMANTE",IF(U114&gt;=MAX(_xlfn.PERCENTILE.INC($U$2:$U$1194,PARAMS_MODELO!$B$51),PARAMS_MODELO!$B$46),"PLATINO",IF(U114&gt;=MAX(_xlfn.PERCENTILE.INC($U$2:$U$1194,PARAMS_MODELO!$B$52),PARAMS_MODELO!$B$47),"ORO",IF(U114&gt;=MAX(_xlfn.PERCENTILE.INC($U$2:$U$1194,PARAMS_MODELO!$B$53),PARAMS_MODELO!$B$48),"PLATA",IF(U114&gt;=1,"BRONCE","CERRADO")))))</f>
        <v>PLATA</v>
      </c>
      <c r="W114" s="5" t="str" cm="1">
        <f t="array" ref="W114">_xlfn.XLOOKUP(1, (HIST_SCORE!$B:$B=PARAMS_MODELO!$B$4) * (HIST_SCORE!$C:$C=A114), HIST_SCORE!$E:$E, "No encontrado")</f>
        <v>PLATA</v>
      </c>
      <c r="X114" s="5" t="str">
        <f>_xlfn.LET(_xlpm.act,MATCH(V114,{"DIAMANTE";"PLATINO";"ORO";"PLATA";"BRONCE";"CERRADO"},0),_xlpm.ant,MATCH(W114,{"DIAMANTE";"PLATINO";"ORO";"PLATA";"BRONCE";"CERRADO"},0),IF(_xlpm.act&lt;_xlpm.ant,"Mejora ↑",IF(_xlpm.act&gt;_xlpm.ant,"Baja ↓","Estable →")))</f>
        <v>Estable →</v>
      </c>
      <c r="Y114" s="5">
        <f>IFERROR(U114-SUMIFS(HIST_SCORE!$D:$D,HIST_SCORE!$B:$B,PARAMS_MODELO!$B$4,HIST_SCORE!$C:$C,$A114),"")</f>
        <v>0.41277181228962689</v>
      </c>
      <c r="Z114" s="5" t="str">
        <f t="shared" si="29"/>
        <v>→ Estable</v>
      </c>
      <c r="AA114" s="5">
        <f t="shared" si="30"/>
        <v>642</v>
      </c>
      <c r="AB114" s="5">
        <f>IFERROR(SUMIFS(HIST_SCORE!$F:$F,HIST_SCORE!$B:$B,PARAMS_MODELO!$B$4,HIST_SCORE!$C:$C,$A114),"")</f>
        <v>681</v>
      </c>
      <c r="AC114" s="5">
        <f t="shared" si="31"/>
        <v>39</v>
      </c>
      <c r="AD114" t="str">
        <f t="shared" si="33"/>
        <v/>
      </c>
      <c r="AE1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CERRADO",1,IF(V114="BRONCE",_xlpm.cPl,IF(V114="PLATA",_xlpm.cO,IF(V114="ORO",_xlpm.cP,IF(V114="PLATINO",_xlpm.cD,999))))))</f>
        <v>63.199193273331495</v>
      </c>
      <c r="AF1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CERRADO",0,IF(V114="BRONCE",1,IF(V114="PLATA",_xlpm.cPl,IF(V114="ORO",_xlpm.cO,IF(V114="PLATINO",_xlpm.cP,_xlpm.cD))))))</f>
        <v>24.506573482968111</v>
      </c>
      <c r="AG114">
        <f t="shared" si="34"/>
        <v>6.5004458020847693</v>
      </c>
      <c r="AH114" t="str">
        <f t="shared" si="35"/>
        <v>CLIENTE</v>
      </c>
      <c r="AI114" t="str">
        <f t="shared" si="32"/>
        <v>🎯 Para subir de categoría, la eje con mayor impacto probable es CLIENTE (coef T). Acción: reducir quejas, mejorar incógnito y empujar reseñas. ΔR aprox: 6,5</v>
      </c>
      <c r="AJ114" s="26">
        <f>_xlfn.LET(_xlpm.piso,AF114,_xlpm.corte,AE114,_xlpm.prog,IF(_xlpm.corte&lt;=_xlpm.piso,0,MAX(0,MIN(1,(U114-_xlpm.piso)/(_xlpm.corte-_xlpm.piso)))),_xlpm.orden,{"DIAMANTE";"PLATINO";"ORO";"PLATA";"BRONCE";"CERRADO"},_xlpm.act,IFERROR(MATCH(V114,_xlpm.orden,0),6),_xlpm.ant,IFERROR(MATCH(W114,_xlpm.orden,0),6),_xlpm.ajmov,IF(_xlpm.act&lt;_xlpm.ant,0.08,IF(_xlpm.act&gt;_xlpm.ant,-0.08,0)),_xlpm.ajcli,IF(T114&lt;0.95,-0.06,0),_xlpm.prob,MAX(0,MIN(1,_xlpm.prog+_xlpm.ajmov+_xlpm.ajcli)),IF(OR(V114="DIAMANTE",V114="CERRADO"),0,ROUND(_xlpm.prob,2)))</f>
        <v>0.82</v>
      </c>
      <c r="AK114" t="str">
        <f t="shared" si="36"/>
        <v>Faltan 6,5 puntos base para subir a la siguiente categoría</v>
      </c>
      <c r="AL114" t="str">
        <f t="shared" si="37"/>
        <v>Margen de seguridad: 34,1 puntos</v>
      </c>
      <c r="AM114">
        <f t="shared" si="38"/>
        <v>0.53</v>
      </c>
      <c r="AN114" t="str">
        <f t="shared" si="39"/>
        <v>PRIORIDAD MEDIA – seguimiento del asesor</v>
      </c>
      <c r="AO114">
        <f t="shared" si="40"/>
        <v>6.8449172808347569</v>
      </c>
      <c r="AP114">
        <f t="shared" si="41"/>
        <v>0</v>
      </c>
      <c r="AQ114">
        <f t="shared" si="42"/>
        <v>0</v>
      </c>
      <c r="AR114">
        <f t="shared" si="43"/>
        <v>4.4099999999999993</v>
      </c>
      <c r="AS114">
        <f t="shared" si="44"/>
        <v>25.135234805088071</v>
      </c>
      <c r="AT114" t="str">
        <f t="shared" si="45"/>
        <v>CLIENTE</v>
      </c>
      <c r="AU114">
        <f t="shared" si="46"/>
        <v>25.135234805088071</v>
      </c>
      <c r="AV114" t="str">
        <f t="shared" si="47"/>
        <v>Mayor retorno probable: CLIENTE (+25,1 puntos finales potenciales).</v>
      </c>
    </row>
    <row r="115" spans="1:48" x14ac:dyDescent="0.3">
      <c r="A115" s="5">
        <v>51032454</v>
      </c>
      <c r="B115" s="5" t="str">
        <f>IFERROR(VLOOKUP(A115,VENTAS!$A$2:$B$1194,2,0),"")</f>
        <v>MONTENEGRO</v>
      </c>
      <c r="C115" s="5">
        <f>IFERROR(INDEX(VENTAS!$C$2:$E$1194,MATCH(A115,VENTAS!$A$2:$A$1194,0),MATCH(PARAMS_MODELO!$B$2,{"Q1","Q2","Q3"},0)),0)</f>
        <v>154398974.09999999</v>
      </c>
      <c r="D115" s="5">
        <f>IFERROR(INDEX(VENTAS!$F$2:$H$1194,MATCH(A115,VENTAS!$A$2:$A$1194,0),MATCH(PARAMS_MODELO!$B$2,{"Q1","Q2","Q3"},0)),0)</f>
        <v>150496263</v>
      </c>
      <c r="E115" s="8">
        <f t="shared" si="24"/>
        <v>-2.5276794245227996E-2</v>
      </c>
      <c r="F115" s="12">
        <f>IF(E115&lt;=PARAMS_MODELO!$B$15,0,IF(E115&gt;=PARAMS_MODELO!$B$17,100,100*MIN(1,(E115-PARAMS_MODELO!$B$15)/(PARAMS_MODELO!$B$16-PARAMS_MODELO!$B$15))))*PARAMS_MODELO!$B$7</f>
        <v>0</v>
      </c>
      <c r="G115" s="5">
        <f t="shared" si="25"/>
        <v>0</v>
      </c>
      <c r="H115" s="5">
        <f>(PARAMS_MODELO!$B$20*(MAX(0,MIN(3,E115))/3)+PARAMS_MODELO!$B$21*(IFERROR(LN(1+MAX(0,G115))/LN(1+MAX(0,MAX($G$2:$G$1194))),0)))*100*PARAMS_MODELO!$B$8</f>
        <v>0</v>
      </c>
      <c r="I115" s="8">
        <f>E115-PARAMS_MODELO!$B$5</f>
        <v>-0.20283962962075452</v>
      </c>
      <c r="J115" s="5">
        <f>IF(I115&lt;=PARAMS_MODELO!$B$18,0,IF(I115&gt;=PARAMS_MODELO!$B$19,100,100*(I115-PARAMS_MODELO!$B$18)/(PARAMS_MODELO!$B$19-PARAMS_MODELO!$B$18)))*PARAMS_MODELO!$B$9</f>
        <v>0</v>
      </c>
      <c r="K115" s="5">
        <f>IFERROR(CHOOSE(MATCH(PARAMS_MODELO!$B$2,{"Q1","Q2","Q3"},0),LOTO!$D115,LOTO!$F115,LOTO!$H115),0)</f>
        <v>7705000.0000000009</v>
      </c>
      <c r="L115" s="8">
        <f t="shared" si="26"/>
        <v>5.119728454652725E-2</v>
      </c>
      <c r="M115" s="5">
        <f>MIN(100,IF(PARAMS_MODELO!$B$23=0,0,100*L115/PARAMS_MODELO!$B$23))*PARAMS_MODELO!$B$10</f>
        <v>15</v>
      </c>
      <c r="N115" s="5">
        <f>IFERROR(VLOOKUP(A115,COMPLIANCE!$A$2:$F$1996,6,0),100)</f>
        <v>100</v>
      </c>
      <c r="O115" s="5">
        <f>N115*PARAMS_MODELO!$B$11</f>
        <v>10</v>
      </c>
      <c r="P115" s="5">
        <f>IFERROR(VLOOKUP(A115,DIGITAL!$A$2:$J$2000,7,0),100)</f>
        <v>55</v>
      </c>
      <c r="Q115" s="5">
        <f>IFERROR(P115,0)*PARAMS_MODELO!$B$12</f>
        <v>5.5</v>
      </c>
      <c r="R115">
        <f t="shared" si="27"/>
        <v>30.5</v>
      </c>
      <c r="S115" s="5" t="str">
        <f>IFERROR(VLOOKUP(A115,CLIENTE!$A$2:$N$2000,13,0),1)</f>
        <v>Malo</v>
      </c>
      <c r="T115" s="5">
        <f>IFERROR(VLOOKUP(A115,CLIENTE!$A$2:$N$2000,14,0),1)</f>
        <v>0.7</v>
      </c>
      <c r="U115" s="5">
        <f t="shared" si="28"/>
        <v>21.349999999999998</v>
      </c>
      <c r="V115" s="5" t="str">
        <f>IF(U115&gt;=MAX(_xlfn.PERCENTILE.INC($U$2:$U$1194,PARAMS_MODELO!$B$50),PARAMS_MODELO!$B$45),"DIAMANTE",IF(U115&gt;=MAX(_xlfn.PERCENTILE.INC($U$2:$U$1194,PARAMS_MODELO!$B$51),PARAMS_MODELO!$B$46),"PLATINO",IF(U115&gt;=MAX(_xlfn.PERCENTILE.INC($U$2:$U$1194,PARAMS_MODELO!$B$52),PARAMS_MODELO!$B$47),"ORO",IF(U115&gt;=MAX(_xlfn.PERCENTILE.INC($U$2:$U$1194,PARAMS_MODELO!$B$53),PARAMS_MODELO!$B$48),"PLATA",IF(U115&gt;=1,"BRONCE","CERRADO")))))</f>
        <v>BRONCE</v>
      </c>
      <c r="W115" s="5" t="str" cm="1">
        <f t="array" ref="W115">_xlfn.XLOOKUP(1, (HIST_SCORE!$B:$B=PARAMS_MODELO!$B$4) * (HIST_SCORE!$C:$C=A115), HIST_SCORE!$E:$E, "No encontrado")</f>
        <v>PLATA</v>
      </c>
      <c r="X115" s="5" t="str">
        <f>_xlfn.LET(_xlpm.act,MATCH(V115,{"DIAMANTE";"PLATINO";"ORO";"PLATA";"BRONCE";"CERRADO"},0),_xlpm.ant,MATCH(W115,{"DIAMANTE";"PLATINO";"ORO";"PLATA";"BRONCE";"CERRADO"},0),IF(_xlpm.act&lt;_xlpm.ant,"Mejora ↑",IF(_xlpm.act&gt;_xlpm.ant,"Baja ↓","Estable →")))</f>
        <v>Baja ↓</v>
      </c>
      <c r="Y115" s="5">
        <f>IFERROR(U115-SUMIFS(HIST_SCORE!$D:$D,HIST_SCORE!$B:$B,PARAMS_MODELO!$B$4,HIST_SCORE!$C:$C,$A115),"")</f>
        <v>-24.931918053017657</v>
      </c>
      <c r="Z115" s="5" t="str">
        <f t="shared" si="29"/>
        <v>↓ Baja</v>
      </c>
      <c r="AA115" s="5">
        <f t="shared" si="30"/>
        <v>958</v>
      </c>
      <c r="AB115" s="5">
        <f>IFERROR(SUMIFS(HIST_SCORE!$F:$F,HIST_SCORE!$B:$B,PARAMS_MODELO!$B$4,HIST_SCORE!$C:$C,$A115),"")</f>
        <v>813</v>
      </c>
      <c r="AC115" s="5">
        <f t="shared" si="31"/>
        <v>-145</v>
      </c>
      <c r="AD115" t="str">
        <f t="shared" si="33"/>
        <v>Plan de recuperación: foco crecimiento + mix</v>
      </c>
      <c r="AE1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CERRADO",1,IF(V115="BRONCE",_xlpm.cPl,IF(V115="PLATA",_xlpm.cO,IF(V115="ORO",_xlpm.cP,IF(V115="PLATINO",_xlpm.cD,999))))))</f>
        <v>24.506573482968111</v>
      </c>
      <c r="AF1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CERRADO",0,IF(V115="BRONCE",1,IF(V115="PLATA",_xlpm.cPl,IF(V115="ORO",_xlpm.cO,IF(V115="PLATINO",_xlpm.cP,_xlpm.cD))))))</f>
        <v>1</v>
      </c>
      <c r="AG115">
        <f t="shared" si="34"/>
        <v>4.5093906899544436</v>
      </c>
      <c r="AH115" t="str">
        <f t="shared" si="35"/>
        <v>CLIENTE</v>
      </c>
      <c r="AI115" t="str">
        <f t="shared" si="32"/>
        <v>🎯 Para subir de categoría, la eje con mayor impacto probable es CLIENTE (coef T). Acción: reducir quejas, mejorar incógnito y empujar reseñas. ΔR aprox: 4,5</v>
      </c>
      <c r="AJ115" s="26">
        <f>_xlfn.LET(_xlpm.piso,AF115,_xlpm.corte,AE115,_xlpm.prog,IF(_xlpm.corte&lt;=_xlpm.piso,0,MAX(0,MIN(1,(U115-_xlpm.piso)/(_xlpm.corte-_xlpm.piso)))),_xlpm.orden,{"DIAMANTE";"PLATINO";"ORO";"PLATA";"BRONCE";"CERRADO"},_xlpm.act,IFERROR(MATCH(V115,_xlpm.orden,0),6),_xlpm.ant,IFERROR(MATCH(W115,_xlpm.orden,0),6),_xlpm.ajmov,IF(_xlpm.act&lt;_xlpm.ant,0.08,IF(_xlpm.act&gt;_xlpm.ant,-0.08,0)),_xlpm.ajcli,IF(T115&lt;0.95,-0.06,0),_xlpm.prob,MAX(0,MIN(1,_xlpm.prog+_xlpm.ajmov+_xlpm.ajcli)),IF(OR(V115="DIAMANTE",V115="CERRADO"),0,ROUND(_xlpm.prob,2)))</f>
        <v>0.73</v>
      </c>
      <c r="AK115" t="str">
        <f t="shared" si="36"/>
        <v>Faltan 4,5 puntos base para subir a la siguiente categoría</v>
      </c>
      <c r="AL115" t="str">
        <f t="shared" si="37"/>
        <v>No aplica</v>
      </c>
      <c r="AM115">
        <f t="shared" si="38"/>
        <v>0.49</v>
      </c>
      <c r="AN115" t="str">
        <f t="shared" si="39"/>
        <v>PRIORIDAD MEDIA – seguimiento del asesor</v>
      </c>
      <c r="AO115">
        <f t="shared" si="40"/>
        <v>45.403798492706905</v>
      </c>
      <c r="AP115">
        <f t="shared" si="41"/>
        <v>0</v>
      </c>
      <c r="AQ115">
        <f t="shared" si="42"/>
        <v>0</v>
      </c>
      <c r="AR115">
        <f t="shared" si="43"/>
        <v>3.15</v>
      </c>
      <c r="AS115">
        <f t="shared" si="44"/>
        <v>9.1500000000000021</v>
      </c>
      <c r="AT115" t="str">
        <f t="shared" si="45"/>
        <v>VENTAS</v>
      </c>
      <c r="AU115">
        <f t="shared" si="46"/>
        <v>45.403798492706905</v>
      </c>
      <c r="AV115" t="str">
        <f t="shared" si="47"/>
        <v>Mayor retorno probable: VENTAS (+45,4 puntos finales potenciales).</v>
      </c>
    </row>
    <row r="116" spans="1:48" x14ac:dyDescent="0.3">
      <c r="A116" s="5">
        <v>51014260</v>
      </c>
      <c r="B116" s="5" t="str">
        <f>IFERROR(VLOOKUP(A116,VENTAS!$A$2:$B$1194,2,0),"")</f>
        <v>AYALA</v>
      </c>
      <c r="C116" s="5">
        <f>IFERROR(INDEX(VENTAS!$C$2:$E$1194,MATCH(A116,VENTAS!$A$2:$A$1194,0),MATCH(PARAMS_MODELO!$B$2,{"Q1","Q2","Q3"},0)),0)</f>
        <v>117963554.70999999</v>
      </c>
      <c r="D116" s="5">
        <f>IFERROR(INDEX(VENTAS!$F$2:$H$1194,MATCH(A116,VENTAS!$A$2:$A$1194,0),MATCH(PARAMS_MODELO!$B$2,{"Q1","Q2","Q3"},0)),0)</f>
        <v>150381923</v>
      </c>
      <c r="E116" s="8">
        <f t="shared" si="24"/>
        <v>0.27481681413973047</v>
      </c>
      <c r="F116" s="12">
        <f>IF(E116&lt;=PARAMS_MODELO!$B$15,0,IF(E116&gt;=PARAMS_MODELO!$B$17,100,100*MIN(1,(E116-PARAMS_MODELO!$B$15)/(PARAMS_MODELO!$B$16-PARAMS_MODELO!$B$15))))*PARAMS_MODELO!$B$7</f>
        <v>35</v>
      </c>
      <c r="G116" s="5">
        <f t="shared" si="25"/>
        <v>32418368.290000007</v>
      </c>
      <c r="H116" s="5">
        <f>(PARAMS_MODELO!$B$20*(MAX(0,MIN(3,E116))/3)+PARAMS_MODELO!$B$21*(IFERROR(LN(1+MAX(0,G116))/LN(1+MAX(0,MAX($G$2:$G$1194))),0)))*100*PARAMS_MODELO!$B$8</f>
        <v>5.0158691543259746</v>
      </c>
      <c r="I116" s="8">
        <f>E116-PARAMS_MODELO!$B$5</f>
        <v>9.7253978764203941E-2</v>
      </c>
      <c r="J116" s="5">
        <f>IF(I116&lt;=PARAMS_MODELO!$B$18,0,IF(I116&gt;=PARAMS_MODELO!$B$19,100,100*(I116-PARAMS_MODELO!$B$18)/(PARAMS_MODELO!$B$19-PARAMS_MODELO!$B$18)))*PARAMS_MODELO!$B$9</f>
        <v>15</v>
      </c>
      <c r="K116" s="5">
        <f>IFERROR(CHOOSE(MATCH(PARAMS_MODELO!$B$2,{"Q1","Q2","Q3"},0),LOTO!$D116,LOTO!$F116,LOTO!$H116),0)</f>
        <v>7605000.0000000009</v>
      </c>
      <c r="L116" s="8">
        <f t="shared" si="26"/>
        <v>5.0571237874116035E-2</v>
      </c>
      <c r="M116" s="5">
        <f>MIN(100,IF(PARAMS_MODELO!$B$23=0,0,100*L116/PARAMS_MODELO!$B$23))*PARAMS_MODELO!$B$10</f>
        <v>15</v>
      </c>
      <c r="N116" s="5">
        <f>IFERROR(VLOOKUP(A116,COMPLIANCE!$A$2:$F$1996,6,0),100)</f>
        <v>100</v>
      </c>
      <c r="O116" s="5">
        <f>N116*PARAMS_MODELO!$B$11</f>
        <v>10</v>
      </c>
      <c r="P116" s="5">
        <f>IFERROR(VLOOKUP(A116,DIGITAL!$A$2:$J$2000,7,0),100)</f>
        <v>20</v>
      </c>
      <c r="Q116" s="5">
        <f>IFERROR(P116,0)*PARAMS_MODELO!$B$12</f>
        <v>2</v>
      </c>
      <c r="R116">
        <f t="shared" si="27"/>
        <v>82.015869154325969</v>
      </c>
      <c r="S116" s="5" t="str">
        <f>IFERROR(VLOOKUP(A116,CLIENTE!$A$2:$N$2000,13,0),1)</f>
        <v>Bueno</v>
      </c>
      <c r="T116" s="5">
        <f>IFERROR(VLOOKUP(A116,CLIENTE!$A$2:$N$2000,14,0),1)</f>
        <v>1.1000000000000001</v>
      </c>
      <c r="U116" s="5">
        <f t="shared" si="28"/>
        <v>90.217456069758569</v>
      </c>
      <c r="V116" s="5" t="str">
        <f>IF(U116&gt;=MAX(_xlfn.PERCENTILE.INC($U$2:$U$1194,PARAMS_MODELO!$B$50),PARAMS_MODELO!$B$45),"DIAMANTE",IF(U116&gt;=MAX(_xlfn.PERCENTILE.INC($U$2:$U$1194,PARAMS_MODELO!$B$51),PARAMS_MODELO!$B$46),"PLATINO",IF(U116&gt;=MAX(_xlfn.PERCENTILE.INC($U$2:$U$1194,PARAMS_MODELO!$B$52),PARAMS_MODELO!$B$47),"ORO",IF(U116&gt;=MAX(_xlfn.PERCENTILE.INC($U$2:$U$1194,PARAMS_MODELO!$B$53),PARAMS_MODELO!$B$48),"PLATA",IF(U116&gt;=1,"BRONCE","CERRADO")))))</f>
        <v>PLATINO</v>
      </c>
      <c r="W116" s="5" t="str" cm="1">
        <f t="array" ref="W116">_xlfn.XLOOKUP(1, (HIST_SCORE!$B:$B=PARAMS_MODELO!$B$4) * (HIST_SCORE!$C:$C=A116), HIST_SCORE!$E:$E, "No encontrado")</f>
        <v>ORO</v>
      </c>
      <c r="X116" s="5" t="str">
        <f>_xlfn.LET(_xlpm.act,MATCH(V116,{"DIAMANTE";"PLATINO";"ORO";"PLATA";"BRONCE";"CERRADO"},0),_xlpm.ant,MATCH(W116,{"DIAMANTE";"PLATINO";"ORO";"PLATA";"BRONCE";"CERRADO"},0),IF(_xlpm.act&lt;_xlpm.ant,"Mejora ↑",IF(_xlpm.act&gt;_xlpm.ant,"Baja ↓","Estable →")))</f>
        <v>Mejora ↑</v>
      </c>
      <c r="Y116" s="5">
        <f>IFERROR(U116-SUMIFS(HIST_SCORE!$D:$D,HIST_SCORE!$B:$B,PARAMS_MODELO!$B$4,HIST_SCORE!$C:$C,$A116),"")</f>
        <v>8.1228196893220996</v>
      </c>
      <c r="Z116" s="5" t="str">
        <f t="shared" si="29"/>
        <v>↑ Mejora</v>
      </c>
      <c r="AA116" s="5">
        <f t="shared" si="30"/>
        <v>132</v>
      </c>
      <c r="AB116" s="5">
        <f>IFERROR(SUMIFS(HIST_SCORE!$F:$F,HIST_SCORE!$B:$B,PARAMS_MODELO!$B$4,HIST_SCORE!$C:$C,$A116),"")</f>
        <v>363</v>
      </c>
      <c r="AC116" s="5">
        <f t="shared" si="31"/>
        <v>231</v>
      </c>
      <c r="AD116" t="str">
        <f t="shared" si="33"/>
        <v/>
      </c>
      <c r="AE1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CERRADO",1,IF(V116="BRONCE",_xlpm.cPl,IF(V116="PLATA",_xlpm.cO,IF(V116="ORO",_xlpm.cP,IF(V116="PLATINO",_xlpm.cD,999))))))</f>
        <v>96.054919694466676</v>
      </c>
      <c r="AF1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CERRADO",0,IF(V116="BRONCE",1,IF(V116="PLATA",_xlpm.cPl,IF(V116="ORO",_xlpm.cO,IF(V116="PLATINO",_xlpm.cP,_xlpm.cD))))))</f>
        <v>86.439123873763251</v>
      </c>
      <c r="AG116">
        <f t="shared" si="34"/>
        <v>5.3067851133710064</v>
      </c>
      <c r="AH116" t="str">
        <f t="shared" si="35"/>
        <v>VENTAS</v>
      </c>
      <c r="AI116" t="str">
        <f t="shared" si="32"/>
        <v>🎯 Para subir de categoría, eje VENTAS / IMPACTO ABSOLUTO (H). Acción: metas semanales + activación comercial + seguimiento del asesor. ΔR aprox: 5,3</v>
      </c>
      <c r="AJ116" s="26">
        <f>_xlfn.LET(_xlpm.piso,AF116,_xlpm.corte,AE116,_xlpm.prog,IF(_xlpm.corte&lt;=_xlpm.piso,0,MAX(0,MIN(1,(U116-_xlpm.piso)/(_xlpm.corte-_xlpm.piso)))),_xlpm.orden,{"DIAMANTE";"PLATINO";"ORO";"PLATA";"BRONCE";"CERRADO"},_xlpm.act,IFERROR(MATCH(V116,_xlpm.orden,0),6),_xlpm.ant,IFERROR(MATCH(W116,_xlpm.orden,0),6),_xlpm.ajmov,IF(_xlpm.act&lt;_xlpm.ant,0.08,IF(_xlpm.act&gt;_xlpm.ant,-0.08,0)),_xlpm.ajcli,IF(T116&lt;0.95,-0.06,0),_xlpm.prob,MAX(0,MIN(1,_xlpm.prog+_xlpm.ajmov+_xlpm.ajcli)),IF(OR(V116="DIAMANTE",V116="CERRADO"),0,ROUND(_xlpm.prob,2)))</f>
        <v>0.47</v>
      </c>
      <c r="AK116" t="str">
        <f t="shared" si="36"/>
        <v>Faltan 5,3 puntos base para subir a la siguiente categoría</v>
      </c>
      <c r="AL116" t="str">
        <f t="shared" si="37"/>
        <v>Margen de seguridad: 3,8 puntos</v>
      </c>
      <c r="AM116">
        <f t="shared" si="38"/>
        <v>0.42</v>
      </c>
      <c r="AN116" t="str">
        <f t="shared" si="39"/>
        <v>PRIORIDAD MEDIA – seguimiento del asesor</v>
      </c>
      <c r="AO116">
        <f t="shared" si="40"/>
        <v>10.831370133066569</v>
      </c>
      <c r="AP116">
        <f t="shared" si="41"/>
        <v>0</v>
      </c>
      <c r="AQ116">
        <f t="shared" si="42"/>
        <v>0</v>
      </c>
      <c r="AR116">
        <f t="shared" si="43"/>
        <v>8.8000000000000007</v>
      </c>
      <c r="AS116">
        <f t="shared" si="44"/>
        <v>0</v>
      </c>
      <c r="AT116" t="str">
        <f t="shared" si="45"/>
        <v>VENTAS</v>
      </c>
      <c r="AU116">
        <f t="shared" si="46"/>
        <v>10.831370133066569</v>
      </c>
      <c r="AV116" t="str">
        <f t="shared" si="47"/>
        <v>Mayor retorno probable: VENTAS (+10,8 puntos finales potenciales).</v>
      </c>
    </row>
    <row r="117" spans="1:48" x14ac:dyDescent="0.3">
      <c r="A117" s="5">
        <v>51011414</v>
      </c>
      <c r="B117" s="5" t="str">
        <f>IFERROR(VLOOKUP(A117,VENTAS!$A$2:$B$1194,2,0),"")</f>
        <v>LÓPEZ</v>
      </c>
      <c r="C117" s="5">
        <f>IFERROR(INDEX(VENTAS!$C$2:$E$1194,MATCH(A117,VENTAS!$A$2:$A$1194,0),MATCH(PARAMS_MODELO!$B$2,{"Q1","Q2","Q3"},0)),0)</f>
        <v>114344392.12</v>
      </c>
      <c r="D117" s="5">
        <f>IFERROR(INDEX(VENTAS!$F$2:$H$1194,MATCH(A117,VENTAS!$A$2:$A$1194,0),MATCH(PARAMS_MODELO!$B$2,{"Q1","Q2","Q3"},0)),0)</f>
        <v>150131190</v>
      </c>
      <c r="E117" s="8">
        <f t="shared" si="24"/>
        <v>0.31297379098787048</v>
      </c>
      <c r="F117" s="12">
        <f>IF(E117&lt;=PARAMS_MODELO!$B$15,0,IF(E117&gt;=PARAMS_MODELO!$B$17,100,100*MIN(1,(E117-PARAMS_MODELO!$B$15)/(PARAMS_MODELO!$B$16-PARAMS_MODELO!$B$15))))*PARAMS_MODELO!$B$7</f>
        <v>35</v>
      </c>
      <c r="G117" s="5">
        <f t="shared" si="25"/>
        <v>35786797.879999995</v>
      </c>
      <c r="H117" s="5">
        <f>(PARAMS_MODELO!$B$20*(MAX(0,MIN(3,E117))/3)+PARAMS_MODELO!$B$21*(IFERROR(LN(1+MAX(0,G117))/LN(1+MAX(0,MAX($G$2:$G$1194))),0)))*100*PARAMS_MODELO!$B$8</f>
        <v>5.1725912989669736</v>
      </c>
      <c r="I117" s="8">
        <f>E117-PARAMS_MODELO!$B$5</f>
        <v>0.13541095561234395</v>
      </c>
      <c r="J117" s="5">
        <f>IF(I117&lt;=PARAMS_MODELO!$B$18,0,IF(I117&gt;=PARAMS_MODELO!$B$19,100,100*(I117-PARAMS_MODELO!$B$18)/(PARAMS_MODELO!$B$19-PARAMS_MODELO!$B$18)))*PARAMS_MODELO!$B$9</f>
        <v>15</v>
      </c>
      <c r="K117" s="5">
        <f>IFERROR(CHOOSE(MATCH(PARAMS_MODELO!$B$2,{"Q1","Q2","Q3"},0),LOTO!$D117,LOTO!$F117,LOTO!$H117),0)</f>
        <v>7575000</v>
      </c>
      <c r="L117" s="8">
        <f t="shared" si="26"/>
        <v>5.0455871294965426E-2</v>
      </c>
      <c r="M117" s="5">
        <f>MIN(100,IF(PARAMS_MODELO!$B$23=0,0,100*L117/PARAMS_MODELO!$B$23))*PARAMS_MODELO!$B$10</f>
        <v>15</v>
      </c>
      <c r="N117" s="5">
        <f>IFERROR(VLOOKUP(A117,COMPLIANCE!$A$2:$F$1996,6,0),100)</f>
        <v>100</v>
      </c>
      <c r="O117" s="5">
        <f>N117*PARAMS_MODELO!$B$11</f>
        <v>10</v>
      </c>
      <c r="P117" s="5">
        <f>IFERROR(VLOOKUP(A117,DIGITAL!$A$2:$J$2000,7,0),100)</f>
        <v>3</v>
      </c>
      <c r="Q117" s="5">
        <f>IFERROR(P117,0)*PARAMS_MODELO!$B$12</f>
        <v>0.30000000000000004</v>
      </c>
      <c r="R117">
        <f t="shared" si="27"/>
        <v>80.472591298966975</v>
      </c>
      <c r="S117" s="5" t="str">
        <f>IFERROR(VLOOKUP(A117,CLIENTE!$A$2:$N$2000,13,0),1)</f>
        <v>Malo</v>
      </c>
      <c r="T117" s="5">
        <f>IFERROR(VLOOKUP(A117,CLIENTE!$A$2:$N$2000,14,0),1)</f>
        <v>0.7</v>
      </c>
      <c r="U117" s="5">
        <f t="shared" si="28"/>
        <v>56.330813909276877</v>
      </c>
      <c r="V117" s="5" t="str">
        <f>IF(U117&gt;=MAX(_xlfn.PERCENTILE.INC($U$2:$U$1194,PARAMS_MODELO!$B$50),PARAMS_MODELO!$B$45),"DIAMANTE",IF(U117&gt;=MAX(_xlfn.PERCENTILE.INC($U$2:$U$1194,PARAMS_MODELO!$B$51),PARAMS_MODELO!$B$46),"PLATINO",IF(U117&gt;=MAX(_xlfn.PERCENTILE.INC($U$2:$U$1194,PARAMS_MODELO!$B$52),PARAMS_MODELO!$B$47),"ORO",IF(U117&gt;=MAX(_xlfn.PERCENTILE.INC($U$2:$U$1194,PARAMS_MODELO!$B$53),PARAMS_MODELO!$B$48),"PLATA",IF(U117&gt;=1,"BRONCE","CERRADO")))))</f>
        <v>PLATA</v>
      </c>
      <c r="W117" s="5" t="str" cm="1">
        <f t="array" ref="W117">_xlfn.XLOOKUP(1, (HIST_SCORE!$B:$B=PARAMS_MODELO!$B$4) * (HIST_SCORE!$C:$C=A117), HIST_SCORE!$E:$E, "No encontrado")</f>
        <v>PLATA</v>
      </c>
      <c r="X117" s="5" t="str">
        <f>_xlfn.LET(_xlpm.act,MATCH(V117,{"DIAMANTE";"PLATINO";"ORO";"PLATA";"BRONCE";"CERRADO"},0),_xlpm.ant,MATCH(W117,{"DIAMANTE";"PLATINO";"ORO";"PLATA";"BRONCE";"CERRADO"},0),IF(_xlpm.act&lt;_xlpm.ant,"Mejora ↑",IF(_xlpm.act&gt;_xlpm.ant,"Baja ↓","Estable →")))</f>
        <v>Estable →</v>
      </c>
      <c r="Y117" s="5">
        <f>IFERROR(U117-SUMIFS(HIST_SCORE!$D:$D,HIST_SCORE!$B:$B,PARAMS_MODELO!$B$4,HIST_SCORE!$C:$C,$A117),"")</f>
        <v>0.5747195725458667</v>
      </c>
      <c r="Z117" s="5" t="str">
        <f t="shared" si="29"/>
        <v>→ Estable</v>
      </c>
      <c r="AA117" s="5">
        <f t="shared" si="30"/>
        <v>695</v>
      </c>
      <c r="AB117" s="5">
        <f>IFERROR(SUMIFS(HIST_SCORE!$F:$F,HIST_SCORE!$B:$B,PARAMS_MODELO!$B$4,HIST_SCORE!$C:$C,$A117),"")</f>
        <v>728</v>
      </c>
      <c r="AC117" s="5">
        <f t="shared" si="31"/>
        <v>33</v>
      </c>
      <c r="AD117" t="str">
        <f t="shared" si="33"/>
        <v/>
      </c>
      <c r="AE1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CERRADO",1,IF(V117="BRONCE",_xlpm.cPl,IF(V117="PLATA",_xlpm.cO,IF(V117="ORO",_xlpm.cP,IF(V117="PLATINO",_xlpm.cD,999))))))</f>
        <v>63.199193273331495</v>
      </c>
      <c r="AF1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CERRADO",0,IF(V117="BRONCE",1,IF(V117="PLATA",_xlpm.cPl,IF(V117="ORO",_xlpm.cO,IF(V117="PLATINO",_xlpm.cP,_xlpm.cD))))))</f>
        <v>24.506573482968111</v>
      </c>
      <c r="AG117">
        <f t="shared" si="34"/>
        <v>9.8119705200780203</v>
      </c>
      <c r="AH117" t="str">
        <f t="shared" si="35"/>
        <v>CLIENTE</v>
      </c>
      <c r="AI117" t="str">
        <f t="shared" si="32"/>
        <v>🎯 Para subir de categoría, la eje con mayor impacto probable es CLIENTE (coef T). Acción: reducir quejas, mejorar incógnito y empujar reseñas. ΔR aprox: 9,8</v>
      </c>
      <c r="AJ117" s="26">
        <f>_xlfn.LET(_xlpm.piso,AF117,_xlpm.corte,AE117,_xlpm.prog,IF(_xlpm.corte&lt;=_xlpm.piso,0,MAX(0,MIN(1,(U117-_xlpm.piso)/(_xlpm.corte-_xlpm.piso)))),_xlpm.orden,{"DIAMANTE";"PLATINO";"ORO";"PLATA";"BRONCE";"CERRADO"},_xlpm.act,IFERROR(MATCH(V117,_xlpm.orden,0),6),_xlpm.ant,IFERROR(MATCH(W117,_xlpm.orden,0),6),_xlpm.ajmov,IF(_xlpm.act&lt;_xlpm.ant,0.08,IF(_xlpm.act&gt;_xlpm.ant,-0.08,0)),_xlpm.ajcli,IF(T117&lt;0.95,-0.06,0),_xlpm.prob,MAX(0,MIN(1,_xlpm.prog+_xlpm.ajmov+_xlpm.ajcli)),IF(OR(V117="DIAMANTE",V117="CERRADO"),0,ROUND(_xlpm.prob,2)))</f>
        <v>0.76</v>
      </c>
      <c r="AK117" t="str">
        <f t="shared" si="36"/>
        <v>Faltan 9,8 puntos base para subir a la siguiente categoría</v>
      </c>
      <c r="AL117" t="str">
        <f t="shared" si="37"/>
        <v>Margen de seguridad: 31,8 puntos</v>
      </c>
      <c r="AM117">
        <f t="shared" si="38"/>
        <v>0.69</v>
      </c>
      <c r="AN117" t="str">
        <f t="shared" si="39"/>
        <v>PRIORIDAD MEDIA – seguimiento del asesor</v>
      </c>
      <c r="AO117">
        <f t="shared" si="40"/>
        <v>6.7829845834300286</v>
      </c>
      <c r="AP117">
        <f t="shared" si="41"/>
        <v>0</v>
      </c>
      <c r="AQ117">
        <f t="shared" si="42"/>
        <v>0</v>
      </c>
      <c r="AR117">
        <f t="shared" si="43"/>
        <v>6.7899999999999991</v>
      </c>
      <c r="AS117">
        <f t="shared" si="44"/>
        <v>24.141777389690095</v>
      </c>
      <c r="AT117" t="str">
        <f t="shared" si="45"/>
        <v>CLIENTE</v>
      </c>
      <c r="AU117">
        <f t="shared" si="46"/>
        <v>24.141777389690095</v>
      </c>
      <c r="AV117" t="str">
        <f t="shared" si="47"/>
        <v>Mayor retorno probable: CLIENTE (+24,1 puntos finales potenciales).</v>
      </c>
    </row>
    <row r="118" spans="1:48" x14ac:dyDescent="0.3">
      <c r="A118" s="5">
        <v>51018559</v>
      </c>
      <c r="B118" s="5" t="str">
        <f>IFERROR(VLOOKUP(A118,VENTAS!$A$2:$B$1194,2,0),"")</f>
        <v>AYALA</v>
      </c>
      <c r="C118" s="5">
        <f>IFERROR(INDEX(VENTAS!$C$2:$E$1194,MATCH(A118,VENTAS!$A$2:$A$1194,0),MATCH(PARAMS_MODELO!$B$2,{"Q1","Q2","Q3"},0)),0)</f>
        <v>192087452.71000001</v>
      </c>
      <c r="D118" s="5">
        <f>IFERROR(INDEX(VENTAS!$F$2:$H$1194,MATCH(A118,VENTAS!$A$2:$A$1194,0),MATCH(PARAMS_MODELO!$B$2,{"Q1","Q2","Q3"},0)),0)</f>
        <v>149618016</v>
      </c>
      <c r="E118" s="8">
        <f t="shared" si="24"/>
        <v>-0.22109427820940153</v>
      </c>
      <c r="F118" s="12">
        <f>IF(E118&lt;=PARAMS_MODELO!$B$15,0,IF(E118&gt;=PARAMS_MODELO!$B$17,100,100*MIN(1,(E118-PARAMS_MODELO!$B$15)/(PARAMS_MODELO!$B$16-PARAMS_MODELO!$B$15))))*PARAMS_MODELO!$B$7</f>
        <v>0</v>
      </c>
      <c r="G118" s="5">
        <f t="shared" si="25"/>
        <v>0</v>
      </c>
      <c r="H118" s="5">
        <f>(PARAMS_MODELO!$B$20*(MAX(0,MIN(3,E118))/3)+PARAMS_MODELO!$B$21*(IFERROR(LN(1+MAX(0,G118))/LN(1+MAX(0,MAX($G$2:$G$1194))),0)))*100*PARAMS_MODELO!$B$8</f>
        <v>0</v>
      </c>
      <c r="I118" s="8">
        <f>E118-PARAMS_MODELO!$B$5</f>
        <v>-0.39865711358492806</v>
      </c>
      <c r="J118" s="5">
        <f>IF(I118&lt;=PARAMS_MODELO!$B$18,0,IF(I118&gt;=PARAMS_MODELO!$B$19,100,100*(I118-PARAMS_MODELO!$B$18)/(PARAMS_MODELO!$B$19-PARAMS_MODELO!$B$18)))*PARAMS_MODELO!$B$9</f>
        <v>0</v>
      </c>
      <c r="K118" s="5">
        <f>IFERROR(CHOOSE(MATCH(PARAMS_MODELO!$B$2,{"Q1","Q2","Q3"},0),LOTO!$D118,LOTO!$F118,LOTO!$H118),0)</f>
        <v>7565000</v>
      </c>
      <c r="L118" s="8">
        <f t="shared" si="26"/>
        <v>5.0562092736211657E-2</v>
      </c>
      <c r="M118" s="5">
        <f>MIN(100,IF(PARAMS_MODELO!$B$23=0,0,100*L118/PARAMS_MODELO!$B$23))*PARAMS_MODELO!$B$10</f>
        <v>15</v>
      </c>
      <c r="N118" s="5">
        <f>IFERROR(VLOOKUP(A118,COMPLIANCE!$A$2:$F$1996,6,0),100)</f>
        <v>100</v>
      </c>
      <c r="O118" s="5">
        <f>N118*PARAMS_MODELO!$B$11</f>
        <v>10</v>
      </c>
      <c r="P118" s="5">
        <f>IFERROR(VLOOKUP(A118,DIGITAL!$A$2:$J$2000,7,0),100)</f>
        <v>69</v>
      </c>
      <c r="Q118" s="5">
        <f>IFERROR(P118,0)*PARAMS_MODELO!$B$12</f>
        <v>6.9</v>
      </c>
      <c r="R118">
        <f t="shared" si="27"/>
        <v>31.9</v>
      </c>
      <c r="S118" s="5" t="str">
        <f>IFERROR(VLOOKUP(A118,CLIENTE!$A$2:$N$2000,13,0),1)</f>
        <v>Regular</v>
      </c>
      <c r="T118" s="5">
        <f>IFERROR(VLOOKUP(A118,CLIENTE!$A$2:$N$2000,14,0),1)</f>
        <v>1</v>
      </c>
      <c r="U118" s="5">
        <f t="shared" si="28"/>
        <v>31.9</v>
      </c>
      <c r="V118" s="5" t="str">
        <f>IF(U118&gt;=MAX(_xlfn.PERCENTILE.INC($U$2:$U$1194,PARAMS_MODELO!$B$50),PARAMS_MODELO!$B$45),"DIAMANTE",IF(U118&gt;=MAX(_xlfn.PERCENTILE.INC($U$2:$U$1194,PARAMS_MODELO!$B$51),PARAMS_MODELO!$B$46),"PLATINO",IF(U118&gt;=MAX(_xlfn.PERCENTILE.INC($U$2:$U$1194,PARAMS_MODELO!$B$52),PARAMS_MODELO!$B$47),"ORO",IF(U118&gt;=MAX(_xlfn.PERCENTILE.INC($U$2:$U$1194,PARAMS_MODELO!$B$53),PARAMS_MODELO!$B$48),"PLATA",IF(U118&gt;=1,"BRONCE","CERRADO")))))</f>
        <v>PLATA</v>
      </c>
      <c r="W118" s="5" t="str" cm="1">
        <f t="array" ref="W118">_xlfn.XLOOKUP(1, (HIST_SCORE!$B:$B=PARAMS_MODELO!$B$4) * (HIST_SCORE!$C:$C=A118), HIST_SCORE!$E:$E, "No encontrado")</f>
        <v>PLATA</v>
      </c>
      <c r="X118" s="5" t="str">
        <f>_xlfn.LET(_xlpm.act,MATCH(V118,{"DIAMANTE";"PLATINO";"ORO";"PLATA";"BRONCE";"CERRADO"},0),_xlpm.ant,MATCH(W118,{"DIAMANTE";"PLATINO";"ORO";"PLATA";"BRONCE";"CERRADO"},0),IF(_xlpm.act&lt;_xlpm.ant,"Mejora ↑",IF(_xlpm.act&gt;_xlpm.ant,"Baja ↓","Estable →")))</f>
        <v>Estable →</v>
      </c>
      <c r="Y118" s="5">
        <f>IFERROR(U118-SUMIFS(HIST_SCORE!$D:$D,HIST_SCORE!$B:$B,PARAMS_MODELO!$B$4,HIST_SCORE!$C:$C,$A118),"")</f>
        <v>0</v>
      </c>
      <c r="Z118" s="5" t="str">
        <f t="shared" si="29"/>
        <v>→ Estable</v>
      </c>
      <c r="AA118" s="5">
        <f t="shared" si="30"/>
        <v>838</v>
      </c>
      <c r="AB118" s="5">
        <f>IFERROR(SUMIFS(HIST_SCORE!$F:$F,HIST_SCORE!$B:$B,PARAMS_MODELO!$B$4,HIST_SCORE!$C:$C,$A118),"")</f>
        <v>890</v>
      </c>
      <c r="AC118" s="5">
        <f t="shared" si="31"/>
        <v>52</v>
      </c>
      <c r="AD118" t="str">
        <f t="shared" si="33"/>
        <v/>
      </c>
      <c r="AE1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CERRADO",1,IF(V118="BRONCE",_xlpm.cPl,IF(V118="PLATA",_xlpm.cO,IF(V118="ORO",_xlpm.cP,IF(V118="PLATINO",_xlpm.cD,999))))))</f>
        <v>63.199193273331495</v>
      </c>
      <c r="AF1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CERRADO",0,IF(V118="BRONCE",1,IF(V118="PLATA",_xlpm.cPl,IF(V118="ORO",_xlpm.cO,IF(V118="PLATINO",_xlpm.cP,_xlpm.cD))))))</f>
        <v>24.506573482968111</v>
      </c>
      <c r="AG118">
        <f t="shared" si="34"/>
        <v>31.299193273331497</v>
      </c>
      <c r="AH118" t="str">
        <f t="shared" si="35"/>
        <v>VENTAS</v>
      </c>
      <c r="AI118" t="str">
        <f t="shared" si="32"/>
        <v>🎯 Para subir de categoría, eje VENTAS / CRECIMIENTO PERSONAL (F). Acción: metas semanales + activación comercial + seguimiento del asesor. ΔR aprox: 31,3</v>
      </c>
      <c r="AJ118" s="26">
        <f>_xlfn.LET(_xlpm.piso,AF118,_xlpm.corte,AE118,_xlpm.prog,IF(_xlpm.corte&lt;=_xlpm.piso,0,MAX(0,MIN(1,(U118-_xlpm.piso)/(_xlpm.corte-_xlpm.piso)))),_xlpm.orden,{"DIAMANTE";"PLATINO";"ORO";"PLATA";"BRONCE";"CERRADO"},_xlpm.act,IFERROR(MATCH(V118,_xlpm.orden,0),6),_xlpm.ant,IFERROR(MATCH(W118,_xlpm.orden,0),6),_xlpm.ajmov,IF(_xlpm.act&lt;_xlpm.ant,0.08,IF(_xlpm.act&gt;_xlpm.ant,-0.08,0)),_xlpm.ajcli,IF(T118&lt;0.95,-0.06,0),_xlpm.prob,MAX(0,MIN(1,_xlpm.prog+_xlpm.ajmov+_xlpm.ajcli)),IF(OR(V118="DIAMANTE",V118="CERRADO"),0,ROUND(_xlpm.prob,2)))</f>
        <v>0.19</v>
      </c>
      <c r="AK118" t="str">
        <f t="shared" si="36"/>
        <v>Faltan 31,3 puntos base para subir a la siguiente categoría</v>
      </c>
      <c r="AL118" t="str">
        <f t="shared" si="37"/>
        <v>Margen de seguridad: 7,4 puntos</v>
      </c>
      <c r="AM118">
        <f t="shared" si="38"/>
        <v>0.72</v>
      </c>
      <c r="AN118" t="str">
        <f t="shared" si="39"/>
        <v>PRIORIDAD ALTA – requiere intervención inmediata</v>
      </c>
      <c r="AO118">
        <f t="shared" si="40"/>
        <v>64.862569275295584</v>
      </c>
      <c r="AP118">
        <f t="shared" si="41"/>
        <v>0</v>
      </c>
      <c r="AQ118">
        <f t="shared" si="42"/>
        <v>0</v>
      </c>
      <c r="AR118">
        <f t="shared" si="43"/>
        <v>3.0999999999999996</v>
      </c>
      <c r="AS118">
        <f t="shared" si="44"/>
        <v>0</v>
      </c>
      <c r="AT118" t="str">
        <f t="shared" si="45"/>
        <v>VENTAS</v>
      </c>
      <c r="AU118">
        <f t="shared" si="46"/>
        <v>64.862569275295584</v>
      </c>
      <c r="AV118" t="str">
        <f t="shared" si="47"/>
        <v>Mayor retorno probable: VENTAS (+64,9 puntos finales potenciales).</v>
      </c>
    </row>
    <row r="119" spans="1:48" x14ac:dyDescent="0.3">
      <c r="A119" s="5">
        <v>51014308</v>
      </c>
      <c r="B119" s="5" t="str">
        <f>IFERROR(VLOOKUP(A119,VENTAS!$A$2:$B$1194,2,0),"")</f>
        <v>CICHETTO</v>
      </c>
      <c r="C119" s="5">
        <f>IFERROR(INDEX(VENTAS!$C$2:$E$1194,MATCH(A119,VENTAS!$A$2:$A$1194,0),MATCH(PARAMS_MODELO!$B$2,{"Q1","Q2","Q3"},0)),0)</f>
        <v>122337508.08</v>
      </c>
      <c r="D119" s="5">
        <f>IFERROR(INDEX(VENTAS!$F$2:$H$1194,MATCH(A119,VENTAS!$A$2:$A$1194,0),MATCH(PARAMS_MODELO!$B$2,{"Q1","Q2","Q3"},0)),0)</f>
        <v>149224922</v>
      </c>
      <c r="E119" s="8">
        <f t="shared" si="24"/>
        <v>0.21978062445425617</v>
      </c>
      <c r="F119" s="12">
        <f>IF(E119&lt;=PARAMS_MODELO!$B$15,0,IF(E119&gt;=PARAMS_MODELO!$B$17,100,100*MIN(1,(E119-PARAMS_MODELO!$B$15)/(PARAMS_MODELO!$B$16-PARAMS_MODELO!$B$15))))*PARAMS_MODELO!$B$7</f>
        <v>35</v>
      </c>
      <c r="G119" s="5">
        <f t="shared" si="25"/>
        <v>26887413.920000002</v>
      </c>
      <c r="H119" s="5">
        <f>(PARAMS_MODELO!$B$20*(MAX(0,MIN(3,E119))/3)+PARAMS_MODELO!$B$21*(IFERROR(LN(1+MAX(0,G119))/LN(1+MAX(0,MAX($G$2:$G$1194))),0)))*100*PARAMS_MODELO!$B$8</f>
        <v>4.7793914009424103</v>
      </c>
      <c r="I119" s="8">
        <f>E119-PARAMS_MODELO!$B$5</f>
        <v>4.2217789078729639E-2</v>
      </c>
      <c r="J119" s="5">
        <f>IF(I119&lt;=PARAMS_MODELO!$B$18,0,IF(I119&gt;=PARAMS_MODELO!$B$19,100,100*(I119-PARAMS_MODELO!$B$18)/(PARAMS_MODELO!$B$19-PARAMS_MODELO!$B$18)))*PARAMS_MODELO!$B$9</f>
        <v>13.832668361809445</v>
      </c>
      <c r="K119" s="5">
        <f>IFERROR(CHOOSE(MATCH(PARAMS_MODELO!$B$2,{"Q1","Q2","Q3"},0),LOTO!$D119,LOTO!$F119,LOTO!$H119),0)</f>
        <v>7507500</v>
      </c>
      <c r="L119" s="8">
        <f t="shared" si="26"/>
        <v>5.0309960959470296E-2</v>
      </c>
      <c r="M119" s="5">
        <f>MIN(100,IF(PARAMS_MODELO!$B$23=0,0,100*L119/PARAMS_MODELO!$B$23))*PARAMS_MODELO!$B$10</f>
        <v>15</v>
      </c>
      <c r="N119" s="5">
        <f>IFERROR(VLOOKUP(A119,COMPLIANCE!$A$2:$F$1996,6,0),100)</f>
        <v>100</v>
      </c>
      <c r="O119" s="5">
        <f>N119*PARAMS_MODELO!$B$11</f>
        <v>10</v>
      </c>
      <c r="P119" s="5">
        <f>IFERROR(VLOOKUP(A119,DIGITAL!$A$2:$J$2000,7,0),100)</f>
        <v>30</v>
      </c>
      <c r="Q119" s="5">
        <f>IFERROR(P119,0)*PARAMS_MODELO!$B$12</f>
        <v>3</v>
      </c>
      <c r="R119">
        <f t="shared" si="27"/>
        <v>81.612059762751855</v>
      </c>
      <c r="S119" s="5" t="str">
        <f>IFERROR(VLOOKUP(A119,CLIENTE!$A$2:$N$2000,13,0),1)</f>
        <v>Regular</v>
      </c>
      <c r="T119" s="5">
        <f>IFERROR(VLOOKUP(A119,CLIENTE!$A$2:$N$2000,14,0),1)</f>
        <v>1</v>
      </c>
      <c r="U119" s="5">
        <f t="shared" si="28"/>
        <v>81.612059762751855</v>
      </c>
      <c r="V119" s="5" t="str">
        <f>IF(U119&gt;=MAX(_xlfn.PERCENTILE.INC($U$2:$U$1194,PARAMS_MODELO!$B$50),PARAMS_MODELO!$B$45),"DIAMANTE",IF(U119&gt;=MAX(_xlfn.PERCENTILE.INC($U$2:$U$1194,PARAMS_MODELO!$B$51),PARAMS_MODELO!$B$46),"PLATINO",IF(U119&gt;=MAX(_xlfn.PERCENTILE.INC($U$2:$U$1194,PARAMS_MODELO!$B$52),PARAMS_MODELO!$B$47),"ORO",IF(U119&gt;=MAX(_xlfn.PERCENTILE.INC($U$2:$U$1194,PARAMS_MODELO!$B$53),PARAMS_MODELO!$B$48),"PLATA",IF(U119&gt;=1,"BRONCE","CERRADO")))))</f>
        <v>ORO</v>
      </c>
      <c r="W119" s="5" t="str" cm="1">
        <f t="array" ref="W119">_xlfn.XLOOKUP(1, (HIST_SCORE!$B:$B=PARAMS_MODELO!$B$4) * (HIST_SCORE!$C:$C=A119), HIST_SCORE!$E:$E, "No encontrado")</f>
        <v>PLATA</v>
      </c>
      <c r="X119" s="5" t="str">
        <f>_xlfn.LET(_xlpm.act,MATCH(V119,{"DIAMANTE";"PLATINO";"ORO";"PLATA";"BRONCE";"CERRADO"},0),_xlpm.ant,MATCH(W119,{"DIAMANTE";"PLATINO";"ORO";"PLATA";"BRONCE";"CERRADO"},0),IF(_xlpm.act&lt;_xlpm.ant,"Mejora ↑",IF(_xlpm.act&gt;_xlpm.ant,"Baja ↓","Estable →")))</f>
        <v>Mejora ↑</v>
      </c>
      <c r="Y119" s="5">
        <f>IFERROR(U119-SUMIFS(HIST_SCORE!$D:$D,HIST_SCORE!$B:$B,PARAMS_MODELO!$B$4,HIST_SCORE!$C:$C,$A119),"")</f>
        <v>32.544324583316559</v>
      </c>
      <c r="Z119" s="5" t="str">
        <f t="shared" si="29"/>
        <v>↑ Mejora</v>
      </c>
      <c r="AA119" s="5">
        <f t="shared" si="30"/>
        <v>397</v>
      </c>
      <c r="AB119" s="5">
        <f>IFERROR(SUMIFS(HIST_SCORE!$F:$F,HIST_SCORE!$B:$B,PARAMS_MODELO!$B$4,HIST_SCORE!$C:$C,$A119),"")</f>
        <v>779</v>
      </c>
      <c r="AC119" s="5">
        <f t="shared" si="31"/>
        <v>382</v>
      </c>
      <c r="AD119" t="str">
        <f t="shared" si="33"/>
        <v/>
      </c>
      <c r="AE1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119="CERRADO",1,IF(V119="BRONCE",_xlpm.cPl,IF(V119="PLATA",_xlpm.cO,IF(V119="ORO",_xlpm.cP,IF(V119="PLATINO",_xlpm.cD,999))))))</f>
        <v>86.439123873763251</v>
      </c>
      <c r="AF1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119="CERRADO",0,IF(V119="BRONCE",1,IF(V119="PLATA",_xlpm.cPl,IF(V119="ORO",_xlpm.cO,IF(V119="PLATINO",_xlpm.cP,_xlpm.cD))))))</f>
        <v>63.199193273331495</v>
      </c>
      <c r="AG119">
        <f t="shared" si="34"/>
        <v>4.8270641110113957</v>
      </c>
      <c r="AH119" t="str">
        <f t="shared" si="35"/>
        <v>VENTAS</v>
      </c>
      <c r="AI119" t="str">
        <f t="shared" si="32"/>
        <v>🎯 Para subir de categoría, eje VENTAS / IMPACTO ABSOLUTO (H). Acción: metas semanales + activación comercial + seguimiento del asesor. ΔR aprox: 4,8</v>
      </c>
      <c r="AJ119" s="26">
        <f>_xlfn.LET(_xlpm.piso,AF119,_xlpm.corte,AE119,_xlpm.prog,IF(_xlpm.corte&lt;=_xlpm.piso,0,MAX(0,MIN(1,(U119-_xlpm.piso)/(_xlpm.corte-_xlpm.piso)))),_xlpm.orden,{"DIAMANTE";"PLATINO";"ORO";"PLATA";"BRONCE";"CERRADO"},_xlpm.act,IFERROR(MATCH(V119,_xlpm.orden,0),6),_xlpm.ant,IFERROR(MATCH(W119,_xlpm.orden,0),6),_xlpm.ajmov,IF(_xlpm.act&lt;_xlpm.ant,0.08,IF(_xlpm.act&gt;_xlpm.ant,-0.08,0)),_xlpm.ajcli,IF(T119&lt;0.95,-0.06,0),_xlpm.prob,MAX(0,MIN(1,_xlpm.prog+_xlpm.ajmov+_xlpm.ajcli)),IF(OR(V119="DIAMANTE",V119="CERRADO"),0,ROUND(_xlpm.prob,2)))</f>
        <v>0.87</v>
      </c>
      <c r="AK119" t="str">
        <f t="shared" si="36"/>
        <v>Faltan 4,8 puntos base para subir a la siguiente categoría</v>
      </c>
      <c r="AL119" t="str">
        <f t="shared" si="37"/>
        <v>Margen de seguridad: 18,4 puntos</v>
      </c>
      <c r="AM119">
        <f t="shared" si="38"/>
        <v>0.25</v>
      </c>
      <c r="AN119" t="str">
        <f t="shared" si="39"/>
        <v>PRIORIDAD BAJA – control normal</v>
      </c>
      <c r="AO119">
        <f t="shared" si="40"/>
        <v>11.250509512543729</v>
      </c>
      <c r="AP119">
        <f t="shared" si="41"/>
        <v>0</v>
      </c>
      <c r="AQ119">
        <f t="shared" si="42"/>
        <v>0</v>
      </c>
      <c r="AR119">
        <f t="shared" si="43"/>
        <v>7</v>
      </c>
      <c r="AS119">
        <f t="shared" si="44"/>
        <v>0</v>
      </c>
      <c r="AT119" t="str">
        <f t="shared" si="45"/>
        <v>VENTAS</v>
      </c>
      <c r="AU119">
        <f t="shared" si="46"/>
        <v>11.250509512543729</v>
      </c>
      <c r="AV119" t="str">
        <f t="shared" si="47"/>
        <v>Mayor retorno probable: VENTAS (+11,3 puntos finales potenciales).</v>
      </c>
    </row>
    <row r="120" spans="1:48" x14ac:dyDescent="0.3">
      <c r="A120" s="5">
        <v>51056949</v>
      </c>
      <c r="B120" s="5" t="str">
        <f>IFERROR(VLOOKUP(A120,VENTAS!$A$2:$B$1194,2,0),"")</f>
        <v>METTLER</v>
      </c>
      <c r="C120" s="5">
        <f>IFERROR(INDEX(VENTAS!$C$2:$E$1194,MATCH(A120,VENTAS!$A$2:$A$1194,0),MATCH(PARAMS_MODELO!$B$2,{"Q1","Q2","Q3"},0)),0)</f>
        <v>83709403.930000007</v>
      </c>
      <c r="D120" s="5">
        <f>IFERROR(INDEX(VENTAS!$F$2:$H$1194,MATCH(A120,VENTAS!$A$2:$A$1194,0),MATCH(PARAMS_MODELO!$B$2,{"Q1","Q2","Q3"},0)),0)</f>
        <v>149203193</v>
      </c>
      <c r="E120" s="8">
        <f t="shared" si="24"/>
        <v>0.78239464140453818</v>
      </c>
      <c r="F120" s="12">
        <f>IF(E120&lt;=PARAMS_MODELO!$B$15,0,IF(E120&gt;=PARAMS_MODELO!$B$17,100,100*MIN(1,(E120-PARAMS_MODELO!$B$15)/(PARAMS_MODELO!$B$16-PARAMS_MODELO!$B$15))))*PARAMS_MODELO!$B$7</f>
        <v>35</v>
      </c>
      <c r="G120" s="5">
        <f t="shared" si="25"/>
        <v>65493789.069999993</v>
      </c>
      <c r="H120" s="5">
        <f>(PARAMS_MODELO!$B$20*(MAX(0,MIN(3,E120))/3)+PARAMS_MODELO!$B$21*(IFERROR(LN(1+MAX(0,G120))/LN(1+MAX(0,MAX($G$2:$G$1194))),0)))*100*PARAMS_MODELO!$B$8</f>
        <v>6.9572385061762967</v>
      </c>
      <c r="I120" s="8">
        <f>E120-PARAMS_MODELO!$B$5</f>
        <v>0.60483180602901165</v>
      </c>
      <c r="J120" s="5">
        <f>IF(I120&lt;=PARAMS_MODELO!$B$18,0,IF(I120&gt;=PARAMS_MODELO!$B$19,100,100*(I120-PARAMS_MODELO!$B$18)/(PARAMS_MODELO!$B$19-PARAMS_MODELO!$B$18)))*PARAMS_MODELO!$B$9</f>
        <v>15</v>
      </c>
      <c r="K120" s="5">
        <f>IFERROR(CHOOSE(MATCH(PARAMS_MODELO!$B$2,{"Q1","Q2","Q3"},0),LOTO!$D120,LOTO!$F120,LOTO!$H120),0)</f>
        <v>7502500</v>
      </c>
      <c r="L120" s="8">
        <f t="shared" si="26"/>
        <v>5.0283776433658493E-2</v>
      </c>
      <c r="M120" s="5">
        <f>MIN(100,IF(PARAMS_MODELO!$B$23=0,0,100*L120/PARAMS_MODELO!$B$23))*PARAMS_MODELO!$B$10</f>
        <v>15</v>
      </c>
      <c r="N120" s="5">
        <f>IFERROR(VLOOKUP(A120,COMPLIANCE!$A$2:$F$1996,6,0),100)</f>
        <v>100</v>
      </c>
      <c r="O120" s="5">
        <f>N120*PARAMS_MODELO!$B$11</f>
        <v>10</v>
      </c>
      <c r="P120" s="5">
        <f>IFERROR(VLOOKUP(A120,DIGITAL!$A$2:$J$2000,7,0),100)</f>
        <v>32</v>
      </c>
      <c r="Q120" s="5">
        <f>IFERROR(P120,0)*PARAMS_MODELO!$B$12</f>
        <v>3.2</v>
      </c>
      <c r="R120">
        <f t="shared" si="27"/>
        <v>85.157238506176299</v>
      </c>
      <c r="S120" s="5" t="str">
        <f>IFERROR(VLOOKUP(A120,CLIENTE!$A$2:$N$2000,13,0),1)</f>
        <v>Regular</v>
      </c>
      <c r="T120" s="5">
        <f>IFERROR(VLOOKUP(A120,CLIENTE!$A$2:$N$2000,14,0),1)</f>
        <v>1</v>
      </c>
      <c r="U120" s="5">
        <f t="shared" si="28"/>
        <v>85.157238506176299</v>
      </c>
      <c r="V120" s="5" t="str">
        <f>IF(U120&gt;=MAX(_xlfn.PERCENTILE.INC($U$2:$U$1194,PARAMS_MODELO!$B$50),PARAMS_MODELO!$B$45),"DIAMANTE",IF(U120&gt;=MAX(_xlfn.PERCENTILE.INC($U$2:$U$1194,PARAMS_MODELO!$B$51),PARAMS_MODELO!$B$46),"PLATINO",IF(U120&gt;=MAX(_xlfn.PERCENTILE.INC($U$2:$U$1194,PARAMS_MODELO!$B$52),PARAMS_MODELO!$B$47),"ORO",IF(U120&gt;=MAX(_xlfn.PERCENTILE.INC($U$2:$U$1194,PARAMS_MODELO!$B$53),PARAMS_MODELO!$B$48),"PLATA",IF(U120&gt;=1,"BRONCE","CERRADO")))))</f>
        <v>ORO</v>
      </c>
      <c r="W120" s="5" t="str" cm="1">
        <f t="array" ref="W120">_xlfn.XLOOKUP(1, (HIST_SCORE!$B:$B=PARAMS_MODELO!$B$4) * (HIST_SCORE!$C:$C=A120), HIST_SCORE!$E:$E, "No encontrado")</f>
        <v>ORO</v>
      </c>
      <c r="X120" s="5" t="str">
        <f>_xlfn.LET(_xlpm.act,MATCH(V120,{"DIAMANTE";"PLATINO";"ORO";"PLATA";"BRONCE";"CERRADO"},0),_xlpm.ant,MATCH(W120,{"DIAMANTE";"PLATINO";"ORO";"PLATA";"BRONCE";"CERRADO"},0),IF(_xlpm.act&lt;_xlpm.ant,"Mejora ↑",IF(_xlpm.act&gt;_xlpm.ant,"Baja ↓","Estable →")))</f>
        <v>Estable →</v>
      </c>
      <c r="Y120" s="5">
        <f>IFERROR(U120-SUMIFS(HIST_SCORE!$D:$D,HIST_SCORE!$B:$B,PARAMS_MODELO!$B$4,HIST_SCORE!$C:$C,$A120),"")</f>
        <v>11.474102290252532</v>
      </c>
      <c r="Z120" s="5" t="str">
        <f t="shared" si="29"/>
        <v>↑ Mejora</v>
      </c>
      <c r="AA120" s="5">
        <f t="shared" si="30"/>
        <v>280</v>
      </c>
      <c r="AB120" s="5">
        <f>IFERROR(SUMIFS(HIST_SCORE!$F:$F,HIST_SCORE!$B:$B,PARAMS_MODELO!$B$4,HIST_SCORE!$C:$C,$A120),"")</f>
        <v>504</v>
      </c>
      <c r="AC120" s="5">
        <f t="shared" si="31"/>
        <v>224</v>
      </c>
      <c r="AD120" t="str">
        <f t="shared" si="33"/>
        <v/>
      </c>
      <c r="AE1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120="CERRADO",1,IF(V120="BRONCE",_xlpm.cPl,IF(V120="PLATA",_xlpm.cO,IF(V120="ORO",_xlpm.cP,IF(V120="PLATINO",_xlpm.cD,999))))))</f>
        <v>86.439123873763251</v>
      </c>
      <c r="AF1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120="CERRADO",0,IF(V120="BRONCE",1,IF(V120="PLATA",_xlpm.cPl,IF(V120="ORO",_xlpm.cO,IF(V120="PLATINO",_xlpm.cP,_xlpm.cD))))))</f>
        <v>63.199193273331495</v>
      </c>
      <c r="AG120">
        <f t="shared" si="34"/>
        <v>1.2818853675869519</v>
      </c>
      <c r="AH120" t="str">
        <f t="shared" si="35"/>
        <v>VENTAS</v>
      </c>
      <c r="AI120" t="str">
        <f t="shared" si="32"/>
        <v>🎯 Para subir de categoría, eje VENTAS / IMPACTO ABSOLUTO (H). Acción: metas semanales + activación comercial + seguimiento del asesor. ΔR aprox: 1,3</v>
      </c>
      <c r="AJ120" s="26">
        <f>_xlfn.LET(_xlpm.piso,AF120,_xlpm.corte,AE120,_xlpm.prog,IF(_xlpm.corte&lt;=_xlpm.piso,0,MAX(0,MIN(1,(U120-_xlpm.piso)/(_xlpm.corte-_xlpm.piso)))),_xlpm.orden,{"DIAMANTE";"PLATINO";"ORO";"PLATA";"BRONCE";"CERRADO"},_xlpm.act,IFERROR(MATCH(V120,_xlpm.orden,0),6),_xlpm.ant,IFERROR(MATCH(W120,_xlpm.orden,0),6),_xlpm.ajmov,IF(_xlpm.act&lt;_xlpm.ant,0.08,IF(_xlpm.act&gt;_xlpm.ant,-0.08,0)),_xlpm.ajcli,IF(T120&lt;0.95,-0.06,0),_xlpm.prob,MAX(0,MIN(1,_xlpm.prog+_xlpm.ajmov+_xlpm.ajcli)),IF(OR(V120="DIAMANTE",V120="CERRADO"),0,ROUND(_xlpm.prob,2)))</f>
        <v>0.94</v>
      </c>
      <c r="AK120" t="str">
        <f t="shared" si="36"/>
        <v>Faltan 1,3 puntos base para subir a la siguiente categoría</v>
      </c>
      <c r="AL120" t="str">
        <f t="shared" si="37"/>
        <v>Margen de seguridad: 22,0 puntos</v>
      </c>
      <c r="AM120">
        <f t="shared" si="38"/>
        <v>0.08</v>
      </c>
      <c r="AN120" t="str">
        <f t="shared" si="39"/>
        <v>PRIORIDAD BAJA – control normal</v>
      </c>
      <c r="AO120">
        <f t="shared" si="40"/>
        <v>7.9053307691192884</v>
      </c>
      <c r="AP120">
        <f t="shared" si="41"/>
        <v>0</v>
      </c>
      <c r="AQ120">
        <f t="shared" si="42"/>
        <v>0</v>
      </c>
      <c r="AR120">
        <f t="shared" si="43"/>
        <v>6.8</v>
      </c>
      <c r="AS120">
        <f t="shared" si="44"/>
        <v>0</v>
      </c>
      <c r="AT120" t="str">
        <f t="shared" si="45"/>
        <v>VENTAS</v>
      </c>
      <c r="AU120">
        <f t="shared" si="46"/>
        <v>7.9053307691192884</v>
      </c>
      <c r="AV120" t="str">
        <f t="shared" si="47"/>
        <v>Mayor retorno probable: VENTAS (+7,9 puntos finales potenciales).</v>
      </c>
    </row>
    <row r="121" spans="1:48" x14ac:dyDescent="0.3">
      <c r="A121" s="5">
        <v>51022173</v>
      </c>
      <c r="B121" s="5" t="str">
        <f>IFERROR(VLOOKUP(A121,VENTAS!$A$2:$B$1194,2,0),"")</f>
        <v>BELUZZO</v>
      </c>
      <c r="C121" s="5">
        <f>IFERROR(INDEX(VENTAS!$C$2:$E$1194,MATCH(A121,VENTAS!$A$2:$A$1194,0),MATCH(PARAMS_MODELO!$B$2,{"Q1","Q2","Q3"},0)),0)</f>
        <v>82917584.719999999</v>
      </c>
      <c r="D121" s="5">
        <f>IFERROR(INDEX(VENTAS!$F$2:$H$1194,MATCH(A121,VENTAS!$A$2:$A$1194,0),MATCH(PARAMS_MODELO!$B$2,{"Q1","Q2","Q3"},0)),0)</f>
        <v>148777527</v>
      </c>
      <c r="E121" s="8">
        <f t="shared" si="24"/>
        <v>0.79428196687589203</v>
      </c>
      <c r="F121" s="12">
        <f>IF(E121&lt;=PARAMS_MODELO!$B$15,0,IF(E121&gt;=PARAMS_MODELO!$B$17,100,100*MIN(1,(E121-PARAMS_MODELO!$B$15)/(PARAMS_MODELO!$B$16-PARAMS_MODELO!$B$15))))*PARAMS_MODELO!$B$7</f>
        <v>35</v>
      </c>
      <c r="G121" s="5">
        <f t="shared" si="25"/>
        <v>65859942.280000001</v>
      </c>
      <c r="H121" s="5">
        <f>(PARAMS_MODELO!$B$20*(MAX(0,MIN(3,E121))/3)+PARAMS_MODELO!$B$21*(IFERROR(LN(1+MAX(0,G121))/LN(1+MAX(0,MAX($G$2:$G$1194))),0)))*100*PARAMS_MODELO!$B$8</f>
        <v>7.0001510232396269</v>
      </c>
      <c r="I121" s="8">
        <f>E121-PARAMS_MODELO!$B$5</f>
        <v>0.6167191315003655</v>
      </c>
      <c r="J121" s="5">
        <f>IF(I121&lt;=PARAMS_MODELO!$B$18,0,IF(I121&gt;=PARAMS_MODELO!$B$19,100,100*(I121-PARAMS_MODELO!$B$18)/(PARAMS_MODELO!$B$19-PARAMS_MODELO!$B$18)))*PARAMS_MODELO!$B$9</f>
        <v>15</v>
      </c>
      <c r="K121" s="5">
        <f>IFERROR(CHOOSE(MATCH(PARAMS_MODELO!$B$2,{"Q1","Q2","Q3"},0),LOTO!$D121,LOTO!$F121,LOTO!$H121),0)</f>
        <v>7500000</v>
      </c>
      <c r="L121" s="8">
        <f t="shared" si="26"/>
        <v>5.0410839266067382E-2</v>
      </c>
      <c r="M121" s="5">
        <f>MIN(100,IF(PARAMS_MODELO!$B$23=0,0,100*L121/PARAMS_MODELO!$B$23))*PARAMS_MODELO!$B$10</f>
        <v>15</v>
      </c>
      <c r="N121" s="5">
        <f>IFERROR(VLOOKUP(A121,COMPLIANCE!$A$2:$F$1996,6,0),100)</f>
        <v>99.85</v>
      </c>
      <c r="O121" s="5">
        <f>N121*PARAMS_MODELO!$B$11</f>
        <v>9.9849999999999994</v>
      </c>
      <c r="P121" s="5">
        <f>IFERROR(VLOOKUP(A121,DIGITAL!$A$2:$J$2000,7,0),100)</f>
        <v>29</v>
      </c>
      <c r="Q121" s="5">
        <f>IFERROR(P121,0)*PARAMS_MODELO!$B$12</f>
        <v>2.9000000000000004</v>
      </c>
      <c r="R121">
        <f t="shared" si="27"/>
        <v>84.885151023239629</v>
      </c>
      <c r="S121" s="5" t="str">
        <f>IFERROR(VLOOKUP(A121,CLIENTE!$A$2:$N$2000,13,0),1)</f>
        <v>Regular</v>
      </c>
      <c r="T121" s="5">
        <f>IFERROR(VLOOKUP(A121,CLIENTE!$A$2:$N$2000,14,0),1)</f>
        <v>1</v>
      </c>
      <c r="U121" s="5">
        <f t="shared" si="28"/>
        <v>84.885151023239629</v>
      </c>
      <c r="V121" s="5" t="str">
        <f>IF(U121&gt;=MAX(_xlfn.PERCENTILE.INC($U$2:$U$1194,PARAMS_MODELO!$B$50),PARAMS_MODELO!$B$45),"DIAMANTE",IF(U121&gt;=MAX(_xlfn.PERCENTILE.INC($U$2:$U$1194,PARAMS_MODELO!$B$51),PARAMS_MODELO!$B$46),"PLATINO",IF(U121&gt;=MAX(_xlfn.PERCENTILE.INC($U$2:$U$1194,PARAMS_MODELO!$B$52),PARAMS_MODELO!$B$47),"ORO",IF(U121&gt;=MAX(_xlfn.PERCENTILE.INC($U$2:$U$1194,PARAMS_MODELO!$B$53),PARAMS_MODELO!$B$48),"PLATA",IF(U121&gt;=1,"BRONCE","CERRADO")))))</f>
        <v>ORO</v>
      </c>
      <c r="W121" s="5" t="str" cm="1">
        <f t="array" ref="W121">_xlfn.XLOOKUP(1, (HIST_SCORE!$B:$B=PARAMS_MODELO!$B$4) * (HIST_SCORE!$C:$C=A121), HIST_SCORE!$E:$E, "No encontrado")</f>
        <v>ORO</v>
      </c>
      <c r="X121" s="5" t="str">
        <f>_xlfn.LET(_xlpm.act,MATCH(V121,{"DIAMANTE";"PLATINO";"ORO";"PLATA";"BRONCE";"CERRADO"},0),_xlpm.ant,MATCH(W121,{"DIAMANTE";"PLATINO";"ORO";"PLATA";"BRONCE";"CERRADO"},0),IF(_xlpm.act&lt;_xlpm.ant,"Mejora ↑",IF(_xlpm.act&gt;_xlpm.ant,"Baja ↓","Estable →")))</f>
        <v>Estable →</v>
      </c>
      <c r="Y121" s="5">
        <f>IFERROR(U121-SUMIFS(HIST_SCORE!$D:$D,HIST_SCORE!$B:$B,PARAMS_MODELO!$B$4,HIST_SCORE!$C:$C,$A121),"")</f>
        <v>-9.4650819747130299E-2</v>
      </c>
      <c r="Z121" s="5" t="str">
        <f t="shared" si="29"/>
        <v>→ Estable</v>
      </c>
      <c r="AA121" s="5">
        <f t="shared" si="30"/>
        <v>287</v>
      </c>
      <c r="AB121" s="5">
        <f>IFERROR(SUMIFS(HIST_SCORE!$F:$F,HIST_SCORE!$B:$B,PARAMS_MODELO!$B$4,HIST_SCORE!$C:$C,$A121),"")</f>
        <v>266</v>
      </c>
      <c r="AC121" s="5">
        <f t="shared" si="31"/>
        <v>-21</v>
      </c>
      <c r="AD121" t="str">
        <f t="shared" si="33"/>
        <v>Sostener base y reforzar mix</v>
      </c>
      <c r="AE1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121="CERRADO",1,IF(V121="BRONCE",_xlpm.cPl,IF(V121="PLATA",_xlpm.cO,IF(V121="ORO",_xlpm.cP,IF(V121="PLATINO",_xlpm.cD,999))))))</f>
        <v>86.439123873763251</v>
      </c>
      <c r="AF1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121="CERRADO",0,IF(V121="BRONCE",1,IF(V121="PLATA",_xlpm.cPl,IF(V121="ORO",_xlpm.cO,IF(V121="PLATINO",_xlpm.cP,_xlpm.cD))))))</f>
        <v>63.199193273331495</v>
      </c>
      <c r="AG121">
        <f t="shared" si="34"/>
        <v>1.5539728505236212</v>
      </c>
      <c r="AH121" t="str">
        <f t="shared" si="35"/>
        <v>VENTAS</v>
      </c>
      <c r="AI121" t="str">
        <f t="shared" si="32"/>
        <v>🎯 Para subir de categoría, eje VENTAS / IMPACTO ABSOLUTO (H). Acción: metas semanales + activación comercial + seguimiento del asesor. ΔR aprox: 1,6</v>
      </c>
      <c r="AJ121" s="26">
        <f>_xlfn.LET(_xlpm.piso,AF121,_xlpm.corte,AE121,_xlpm.prog,IF(_xlpm.corte&lt;=_xlpm.piso,0,MAX(0,MIN(1,(U121-_xlpm.piso)/(_xlpm.corte-_xlpm.piso)))),_xlpm.orden,{"DIAMANTE";"PLATINO";"ORO";"PLATA";"BRONCE";"CERRADO"},_xlpm.act,IFERROR(MATCH(V121,_xlpm.orden,0),6),_xlpm.ant,IFERROR(MATCH(W121,_xlpm.orden,0),6),_xlpm.ajmov,IF(_xlpm.act&lt;_xlpm.ant,0.08,IF(_xlpm.act&gt;_xlpm.ant,-0.08,0)),_xlpm.ajcli,IF(T121&lt;0.95,-0.06,0),_xlpm.prob,MAX(0,MIN(1,_xlpm.prog+_xlpm.ajmov+_xlpm.ajcli)),IF(OR(V121="DIAMANTE",V121="CERRADO"),0,ROUND(_xlpm.prob,2)))</f>
        <v>0.93</v>
      </c>
      <c r="AK121" t="str">
        <f t="shared" si="36"/>
        <v>Faltan 1,6 puntos base para subir a la siguiente categoría</v>
      </c>
      <c r="AL121" t="str">
        <f t="shared" si="37"/>
        <v>Margen de seguridad: 21,7 puntos</v>
      </c>
      <c r="AM121">
        <f t="shared" si="38"/>
        <v>0.09</v>
      </c>
      <c r="AN121" t="str">
        <f t="shared" si="39"/>
        <v>PRIORIDAD BAJA – control normal</v>
      </c>
      <c r="AO121">
        <f t="shared" si="40"/>
        <v>7.86241825205596</v>
      </c>
      <c r="AP121">
        <f t="shared" si="41"/>
        <v>0</v>
      </c>
      <c r="AQ121">
        <f t="shared" si="42"/>
        <v>1.5000000000000568E-2</v>
      </c>
      <c r="AR121">
        <f t="shared" si="43"/>
        <v>7.1</v>
      </c>
      <c r="AS121">
        <f t="shared" si="44"/>
        <v>0</v>
      </c>
      <c r="AT121" t="str">
        <f t="shared" si="45"/>
        <v>VENTAS</v>
      </c>
      <c r="AU121">
        <f t="shared" si="46"/>
        <v>7.86241825205596</v>
      </c>
      <c r="AV121" t="str">
        <f t="shared" si="47"/>
        <v>Mayor retorno probable: VENTAS (+7,9 puntos finales potenciales).</v>
      </c>
    </row>
    <row r="122" spans="1:48" x14ac:dyDescent="0.3">
      <c r="A122" s="5">
        <v>51023765</v>
      </c>
      <c r="B122" s="5" t="str">
        <f>IFERROR(VLOOKUP(A122,VENTAS!$A$2:$B$1194,2,0),"")</f>
        <v>ROBERTS</v>
      </c>
      <c r="C122" s="5">
        <f>IFERROR(INDEX(VENTAS!$C$2:$E$1194,MATCH(A122,VENTAS!$A$2:$A$1194,0),MATCH(PARAMS_MODELO!$B$2,{"Q1","Q2","Q3"},0)),0)</f>
        <v>101143477.03</v>
      </c>
      <c r="D122" s="5">
        <f>IFERROR(INDEX(VENTAS!$F$2:$H$1194,MATCH(A122,VENTAS!$A$2:$A$1194,0),MATCH(PARAMS_MODELO!$B$2,{"Q1","Q2","Q3"},0)),0)</f>
        <v>148640690</v>
      </c>
      <c r="E122" s="8">
        <f t="shared" si="24"/>
        <v>0.46960233486843572</v>
      </c>
      <c r="F122" s="12">
        <f>IF(E122&lt;=PARAMS_MODELO!$B$15,0,IF(E122&gt;=PARAMS_MODELO!$B$17,100,100*MIN(1,(E122-PARAMS_MODELO!$B$15)/(PARAMS_MODELO!$B$16-PARAMS_MODELO!$B$15))))*PARAMS_MODELO!$B$7</f>
        <v>35</v>
      </c>
      <c r="G122" s="5">
        <f t="shared" si="25"/>
        <v>47497212.969999999</v>
      </c>
      <c r="H122" s="5">
        <f>(PARAMS_MODELO!$B$20*(MAX(0,MIN(3,E122))/3)+PARAMS_MODELO!$B$21*(IFERROR(LN(1+MAX(0,G122))/LN(1+MAX(0,MAX($G$2:$G$1194))),0)))*100*PARAMS_MODELO!$B$8</f>
        <v>5.7871519141235215</v>
      </c>
      <c r="I122" s="8">
        <f>E122-PARAMS_MODELO!$B$5</f>
        <v>0.29203949949290919</v>
      </c>
      <c r="J122" s="5">
        <f>IF(I122&lt;=PARAMS_MODELO!$B$18,0,IF(I122&gt;=PARAMS_MODELO!$B$19,100,100*(I122-PARAMS_MODELO!$B$18)/(PARAMS_MODELO!$B$19-PARAMS_MODELO!$B$18)))*PARAMS_MODELO!$B$9</f>
        <v>15</v>
      </c>
      <c r="K122" s="5">
        <f>IFERROR(CHOOSE(MATCH(PARAMS_MODELO!$B$2,{"Q1","Q2","Q3"},0),LOTO!$D122,LOTO!$F122,LOTO!$H122),0)</f>
        <v>7497500</v>
      </c>
      <c r="L122" s="8">
        <f t="shared" si="26"/>
        <v>5.0440427853234535E-2</v>
      </c>
      <c r="M122" s="5">
        <f>MIN(100,IF(PARAMS_MODELO!$B$23=0,0,100*L122/PARAMS_MODELO!$B$23))*PARAMS_MODELO!$B$10</f>
        <v>15</v>
      </c>
      <c r="N122" s="5">
        <f>IFERROR(VLOOKUP(A122,COMPLIANCE!$A$2:$F$1996,6,0),100)</f>
        <v>100</v>
      </c>
      <c r="O122" s="5">
        <f>N122*PARAMS_MODELO!$B$11</f>
        <v>10</v>
      </c>
      <c r="P122" s="5">
        <f>IFERROR(VLOOKUP(A122,DIGITAL!$A$2:$J$2000,7,0),100)</f>
        <v>30</v>
      </c>
      <c r="Q122" s="5">
        <f>IFERROR(P122,0)*PARAMS_MODELO!$B$12</f>
        <v>3</v>
      </c>
      <c r="R122">
        <f t="shared" si="27"/>
        <v>83.787151914123513</v>
      </c>
      <c r="S122" s="5" t="str">
        <f>IFERROR(VLOOKUP(A122,CLIENTE!$A$2:$N$2000,13,0),1)</f>
        <v>Muy Bueno</v>
      </c>
      <c r="T122" s="5">
        <f>IFERROR(VLOOKUP(A122,CLIENTE!$A$2:$N$2000,14,0),1)</f>
        <v>1.1499999999999999</v>
      </c>
      <c r="U122" s="5">
        <f t="shared" si="28"/>
        <v>96.355224701242037</v>
      </c>
      <c r="V122" s="5" t="str">
        <f>IF(U122&gt;=MAX(_xlfn.PERCENTILE.INC($U$2:$U$1194,PARAMS_MODELO!$B$50),PARAMS_MODELO!$B$45),"DIAMANTE",IF(U122&gt;=MAX(_xlfn.PERCENTILE.INC($U$2:$U$1194,PARAMS_MODELO!$B$51),PARAMS_MODELO!$B$46),"PLATINO",IF(U122&gt;=MAX(_xlfn.PERCENTILE.INC($U$2:$U$1194,PARAMS_MODELO!$B$52),PARAMS_MODELO!$B$47),"ORO",IF(U122&gt;=MAX(_xlfn.PERCENTILE.INC($U$2:$U$1194,PARAMS_MODELO!$B$53),PARAMS_MODELO!$B$48),"PLATA",IF(U122&gt;=1,"BRONCE","CERRADO")))))</f>
        <v>DIAMANTE</v>
      </c>
      <c r="W122" s="5" t="str" cm="1">
        <f t="array" ref="W122">_xlfn.XLOOKUP(1, (HIST_SCORE!$B:$B=PARAMS_MODELO!$B$4) * (HIST_SCORE!$C:$C=A122), HIST_SCORE!$E:$E, "No encontrado")</f>
        <v>DIAMANTE</v>
      </c>
      <c r="X122" s="5" t="str">
        <f>_xlfn.LET(_xlpm.act,MATCH(V122,{"DIAMANTE";"PLATINO";"ORO";"PLATA";"BRONCE";"CERRADO"},0),_xlpm.ant,MATCH(W122,{"DIAMANTE";"PLATINO";"ORO";"PLATA";"BRONCE";"CERRADO"},0),IF(_xlpm.act&lt;_xlpm.ant,"Mejora ↑",IF(_xlpm.act&gt;_xlpm.ant,"Baja ↓","Estable →")))</f>
        <v>Estable →</v>
      </c>
      <c r="Y122" s="5">
        <f>IFERROR(U122-SUMIFS(HIST_SCORE!$D:$D,HIST_SCORE!$B:$B,PARAMS_MODELO!$B$4,HIST_SCORE!$C:$C,$A122),"")</f>
        <v>-0.55531247722267096</v>
      </c>
      <c r="Z122" s="5" t="str">
        <f t="shared" si="29"/>
        <v>→ Estable</v>
      </c>
      <c r="AA122" s="5">
        <f t="shared" si="30"/>
        <v>56</v>
      </c>
      <c r="AB122" s="5">
        <f>IFERROR(SUMIFS(HIST_SCORE!$F:$F,HIST_SCORE!$B:$B,PARAMS_MODELO!$B$4,HIST_SCORE!$C:$C,$A122),"")</f>
        <v>42</v>
      </c>
      <c r="AC122" s="5">
        <f t="shared" si="31"/>
        <v>-14</v>
      </c>
      <c r="AD122" t="str">
        <f t="shared" si="33"/>
        <v/>
      </c>
      <c r="AE1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122="CERRADO",1,IF(V122="BRONCE",_xlpm.cPl,IF(V122="PLATA",_xlpm.cO,IF(V122="ORO",_xlpm.cP,IF(V122="PLATINO",_xlpm.cD,999))))))</f>
        <v>999</v>
      </c>
      <c r="AF1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122="CERRADO",0,IF(V122="BRONCE",1,IF(V122="PLATA",_xlpm.cPl,IF(V122="ORO",_xlpm.cO,IF(V122="PLATINO",_xlpm.cP,_xlpm.cD))))))</f>
        <v>96.054919694466676</v>
      </c>
      <c r="AG122">
        <f t="shared" si="34"/>
        <v>784.90850025978966</v>
      </c>
      <c r="AH122" t="str">
        <f t="shared" si="35"/>
        <v>SOSTENER</v>
      </c>
      <c r="AI122" t="str">
        <f t="shared" si="32"/>
        <v>✅ Mantener desempeño y monitorear variaciones para sostener categoría.</v>
      </c>
      <c r="AJ122" s="26">
        <f>_xlfn.LET(_xlpm.piso,AF122,_xlpm.corte,AE122,_xlpm.prog,IF(_xlpm.corte&lt;=_xlpm.piso,0,MAX(0,MIN(1,(U122-_xlpm.piso)/(_xlpm.corte-_xlpm.piso)))),_xlpm.orden,{"DIAMANTE";"PLATINO";"ORO";"PLATA";"BRONCE";"CERRADO"},_xlpm.act,IFERROR(MATCH(V122,_xlpm.orden,0),6),_xlpm.ant,IFERROR(MATCH(W122,_xlpm.orden,0),6),_xlpm.ajmov,IF(_xlpm.act&lt;_xlpm.ant,0.08,IF(_xlpm.act&gt;_xlpm.ant,-0.08,0)),_xlpm.ajcli,IF(T122&lt;0.95,-0.06,0),_xlpm.prob,MAX(0,MIN(1,_xlpm.prog+_xlpm.ajmov+_xlpm.ajcli)),IF(OR(V122="DIAMANTE",V122="CERRADO"),0,ROUND(_xlpm.prob,2)))</f>
        <v>0</v>
      </c>
      <c r="AK122" t="str">
        <f t="shared" si="36"/>
        <v>No aplica</v>
      </c>
      <c r="AL122" t="str">
        <f t="shared" si="37"/>
        <v>Margen de seguridad: 0,3 puntos</v>
      </c>
      <c r="AM122">
        <f t="shared" si="38"/>
        <v>0.8</v>
      </c>
      <c r="AN122" t="str">
        <f t="shared" si="39"/>
        <v>PRIORIDAD ALTA – requiere intervención inmediata</v>
      </c>
      <c r="AO122">
        <f t="shared" si="40"/>
        <v>10.436729965347874</v>
      </c>
      <c r="AP122">
        <f t="shared" si="41"/>
        <v>0</v>
      </c>
      <c r="AQ122">
        <f t="shared" si="42"/>
        <v>0</v>
      </c>
      <c r="AR122">
        <f t="shared" si="43"/>
        <v>8.0499999999999989</v>
      </c>
      <c r="AS122">
        <f t="shared" si="44"/>
        <v>0</v>
      </c>
      <c r="AT122" t="str">
        <f t="shared" si="45"/>
        <v>VENTAS</v>
      </c>
      <c r="AU122">
        <f t="shared" si="46"/>
        <v>10.436729965347874</v>
      </c>
      <c r="AV122" t="str">
        <f t="shared" si="47"/>
        <v>Mayor retorno probable: VENTAS (+10,4 puntos finales potenciales).</v>
      </c>
    </row>
    <row r="123" spans="1:48" x14ac:dyDescent="0.3">
      <c r="A123" s="5">
        <v>51038908</v>
      </c>
      <c r="B123" s="5" t="str">
        <f>IFERROR(VLOOKUP(A123,VENTAS!$A$2:$B$1194,2,0),"")</f>
        <v>METTLER</v>
      </c>
      <c r="C123" s="5">
        <f>IFERROR(INDEX(VENTAS!$C$2:$E$1194,MATCH(A123,VENTAS!$A$2:$A$1194,0),MATCH(PARAMS_MODELO!$B$2,{"Q1","Q2","Q3"},0)),0)</f>
        <v>122347078.06</v>
      </c>
      <c r="D123" s="5">
        <f>IFERROR(INDEX(VENTAS!$F$2:$H$1194,MATCH(A123,VENTAS!$A$2:$A$1194,0),MATCH(PARAMS_MODELO!$B$2,{"Q1","Q2","Q3"},0)),0)</f>
        <v>148608329</v>
      </c>
      <c r="E123" s="8">
        <f t="shared" si="24"/>
        <v>0.21464550977769381</v>
      </c>
      <c r="F123" s="12">
        <f>IF(E123&lt;=PARAMS_MODELO!$B$15,0,IF(E123&gt;=PARAMS_MODELO!$B$17,100,100*MIN(1,(E123-PARAMS_MODELO!$B$15)/(PARAMS_MODELO!$B$16-PARAMS_MODELO!$B$15))))*PARAMS_MODELO!$B$7</f>
        <v>35</v>
      </c>
      <c r="G123" s="5">
        <f t="shared" si="25"/>
        <v>26261250.939999998</v>
      </c>
      <c r="H123" s="5">
        <f>(PARAMS_MODELO!$B$20*(MAX(0,MIN(3,E123))/3)+PARAMS_MODELO!$B$21*(IFERROR(LN(1+MAX(0,G123))/LN(1+MAX(0,MAX($G$2:$G$1194))),0)))*100*PARAMS_MODELO!$B$8</f>
        <v>4.7558948187556513</v>
      </c>
      <c r="I123" s="8">
        <f>E123-PARAMS_MODELO!$B$5</f>
        <v>3.7082674402167282E-2</v>
      </c>
      <c r="J123" s="5">
        <f>IF(I123&lt;=PARAMS_MODELO!$B$18,0,IF(I123&gt;=PARAMS_MODELO!$B$19,100,100*(I123-PARAMS_MODELO!$B$18)/(PARAMS_MODELO!$B$19-PARAMS_MODELO!$B$18)))*PARAMS_MODELO!$B$9</f>
        <v>13.06240116032509</v>
      </c>
      <c r="K123" s="5">
        <f>IFERROR(CHOOSE(MATCH(PARAMS_MODELO!$B$2,{"Q1","Q2","Q3"},0),LOTO!$D123,LOTO!$F123,LOTO!$H123),0)</f>
        <v>7490000</v>
      </c>
      <c r="L123" s="8">
        <f t="shared" si="26"/>
        <v>5.040094354334608E-2</v>
      </c>
      <c r="M123" s="5">
        <f>MIN(100,IF(PARAMS_MODELO!$B$23=0,0,100*L123/PARAMS_MODELO!$B$23))*PARAMS_MODELO!$B$10</f>
        <v>15</v>
      </c>
      <c r="N123" s="5">
        <f>IFERROR(VLOOKUP(A123,COMPLIANCE!$A$2:$F$1996,6,0),100)</f>
        <v>100</v>
      </c>
      <c r="O123" s="5">
        <f>N123*PARAMS_MODELO!$B$11</f>
        <v>10</v>
      </c>
      <c r="P123" s="5">
        <f>IFERROR(VLOOKUP(A123,DIGITAL!$A$2:$J$2000,7,0),100)</f>
        <v>91</v>
      </c>
      <c r="Q123" s="5">
        <f>IFERROR(P123,0)*PARAMS_MODELO!$B$12</f>
        <v>9.1</v>
      </c>
      <c r="R123">
        <f t="shared" si="27"/>
        <v>86.918295979080739</v>
      </c>
      <c r="S123" s="5" t="str">
        <f>IFERROR(VLOOKUP(A123,CLIENTE!$A$2:$N$2000,13,0),1)</f>
        <v>Regular</v>
      </c>
      <c r="T123" s="5">
        <f>IFERROR(VLOOKUP(A123,CLIENTE!$A$2:$N$2000,14,0),1)</f>
        <v>1</v>
      </c>
      <c r="U123" s="5">
        <f t="shared" si="28"/>
        <v>86.918295979080739</v>
      </c>
      <c r="V123" s="5" t="str">
        <f>IF(U123&gt;=MAX(_xlfn.PERCENTILE.INC($U$2:$U$1194,PARAMS_MODELO!$B$50),PARAMS_MODELO!$B$45),"DIAMANTE",IF(U123&gt;=MAX(_xlfn.PERCENTILE.INC($U$2:$U$1194,PARAMS_MODELO!$B$51),PARAMS_MODELO!$B$46),"PLATINO",IF(U123&gt;=MAX(_xlfn.PERCENTILE.INC($U$2:$U$1194,PARAMS_MODELO!$B$52),PARAMS_MODELO!$B$47),"ORO",IF(U123&gt;=MAX(_xlfn.PERCENTILE.INC($U$2:$U$1194,PARAMS_MODELO!$B$53),PARAMS_MODELO!$B$48),"PLATA",IF(U123&gt;=1,"BRONCE","CERRADO")))))</f>
        <v>PLATINO</v>
      </c>
      <c r="W123" s="5" t="str" cm="1">
        <f t="array" ref="W123">_xlfn.XLOOKUP(1, (HIST_SCORE!$B:$B=PARAMS_MODELO!$B$4) * (HIST_SCORE!$C:$C=A123), HIST_SCORE!$E:$E, "No encontrado")</f>
        <v>ORO</v>
      </c>
      <c r="X123" s="5" t="str">
        <f>_xlfn.LET(_xlpm.act,MATCH(V123,{"DIAMANTE";"PLATINO";"ORO";"PLATA";"BRONCE";"CERRADO"},0),_xlpm.ant,MATCH(W123,{"DIAMANTE";"PLATINO";"ORO";"PLATA";"BRONCE";"CERRADO"},0),IF(_xlpm.act&lt;_xlpm.ant,"Mejora ↑",IF(_xlpm.act&gt;_xlpm.ant,"Baja ↓","Estable →")))</f>
        <v>Mejora ↑</v>
      </c>
      <c r="Y123" s="5">
        <f>IFERROR(U123-SUMIFS(HIST_SCORE!$D:$D,HIST_SCORE!$B:$B,PARAMS_MODELO!$B$4,HIST_SCORE!$C:$C,$A123),"")</f>
        <v>19.796767810854703</v>
      </c>
      <c r="Z123" s="5" t="str">
        <f t="shared" si="29"/>
        <v>↑ Mejora</v>
      </c>
      <c r="AA123" s="5">
        <f t="shared" si="30"/>
        <v>226</v>
      </c>
      <c r="AB123" s="5">
        <f>IFERROR(SUMIFS(HIST_SCORE!$F:$F,HIST_SCORE!$B:$B,PARAMS_MODELO!$B$4,HIST_SCORE!$C:$C,$A123),"")</f>
        <v>562</v>
      </c>
      <c r="AC123" s="5">
        <f t="shared" si="31"/>
        <v>336</v>
      </c>
      <c r="AD123" t="str">
        <f t="shared" si="33"/>
        <v/>
      </c>
      <c r="AE1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123="CERRADO",1,IF(V123="BRONCE",_xlpm.cPl,IF(V123="PLATA",_xlpm.cO,IF(V123="ORO",_xlpm.cP,IF(V123="PLATINO",_xlpm.cD,999))))))</f>
        <v>96.054919694466676</v>
      </c>
      <c r="AF1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123="CERRADO",0,IF(V123="BRONCE",1,IF(V123="PLATA",_xlpm.cPl,IF(V123="ORO",_xlpm.cO,IF(V123="PLATINO",_xlpm.cP,_xlpm.cD))))))</f>
        <v>86.439123873763251</v>
      </c>
      <c r="AG123">
        <f t="shared" si="34"/>
        <v>9.1366237153859373</v>
      </c>
      <c r="AH123" t="str">
        <f t="shared" si="35"/>
        <v>VENTAS</v>
      </c>
      <c r="AI123" t="str">
        <f t="shared" si="32"/>
        <v>🎯 Para subir de categoría, eje VENTAS / IMPACTO ABSOLUTO (H). Acción: metas semanales + activación comercial + seguimiento del asesor. ΔR aprox: 9,1</v>
      </c>
      <c r="AJ123" s="26">
        <f>_xlfn.LET(_xlpm.piso,AF123,_xlpm.corte,AE123,_xlpm.prog,IF(_xlpm.corte&lt;=_xlpm.piso,0,MAX(0,MIN(1,(U123-_xlpm.piso)/(_xlpm.corte-_xlpm.piso)))),_xlpm.orden,{"DIAMANTE";"PLATINO";"ORO";"PLATA";"BRONCE";"CERRADO"},_xlpm.act,IFERROR(MATCH(V123,_xlpm.orden,0),6),_xlpm.ant,IFERROR(MATCH(W123,_xlpm.orden,0),6),_xlpm.ajmov,IF(_xlpm.act&lt;_xlpm.ant,0.08,IF(_xlpm.act&gt;_xlpm.ant,-0.08,0)),_xlpm.ajcli,IF(T123&lt;0.95,-0.06,0),_xlpm.prob,MAX(0,MIN(1,_xlpm.prog+_xlpm.ajmov+_xlpm.ajcli)),IF(OR(V123="DIAMANTE",V123="CERRADO"),0,ROUND(_xlpm.prob,2)))</f>
        <v>0.13</v>
      </c>
      <c r="AK123" t="str">
        <f t="shared" si="36"/>
        <v>Faltan 9,1 puntos base para subir a la siguiente categoría</v>
      </c>
      <c r="AL123" t="str">
        <f t="shared" si="37"/>
        <v>Margen de seguridad: 0,5 puntos</v>
      </c>
      <c r="AM123">
        <f t="shared" si="38"/>
        <v>0.71</v>
      </c>
      <c r="AN123" t="str">
        <f t="shared" si="39"/>
        <v>PRIORIDAD ALTA – requiere intervención inmediata</v>
      </c>
      <c r="AO123">
        <f t="shared" si="40"/>
        <v>12.044273296214847</v>
      </c>
      <c r="AP123">
        <f t="shared" si="41"/>
        <v>0</v>
      </c>
      <c r="AQ123">
        <f t="shared" si="42"/>
        <v>0</v>
      </c>
      <c r="AR123">
        <f t="shared" si="43"/>
        <v>0.90000000000000036</v>
      </c>
      <c r="AS123">
        <f t="shared" si="44"/>
        <v>0</v>
      </c>
      <c r="AT123" t="str">
        <f t="shared" si="45"/>
        <v>VENTAS</v>
      </c>
      <c r="AU123">
        <f t="shared" si="46"/>
        <v>12.044273296214847</v>
      </c>
      <c r="AV123" t="str">
        <f t="shared" si="47"/>
        <v>Mayor retorno probable: VENTAS (+12,0 puntos finales potenciales).</v>
      </c>
    </row>
    <row r="124" spans="1:48" x14ac:dyDescent="0.3">
      <c r="A124" s="5">
        <v>51013158</v>
      </c>
      <c r="B124" s="5" t="str">
        <f>IFERROR(VLOOKUP(A124,VENTAS!$A$2:$B$1194,2,0),"")</f>
        <v>ARGUELLO</v>
      </c>
      <c r="C124" s="5">
        <f>IFERROR(INDEX(VENTAS!$C$2:$E$1194,MATCH(A124,VENTAS!$A$2:$A$1194,0),MATCH(PARAMS_MODELO!$B$2,{"Q1","Q2","Q3"},0)),0)</f>
        <v>104827668</v>
      </c>
      <c r="D124" s="5">
        <f>IFERROR(INDEX(VENTAS!$F$2:$H$1194,MATCH(A124,VENTAS!$A$2:$A$1194,0),MATCH(PARAMS_MODELO!$B$2,{"Q1","Q2","Q3"},0)),0)</f>
        <v>148419942</v>
      </c>
      <c r="E124" s="8">
        <f t="shared" si="24"/>
        <v>0.41584702618778091</v>
      </c>
      <c r="F124" s="12">
        <f>IF(E124&lt;=PARAMS_MODELO!$B$15,0,IF(E124&gt;=PARAMS_MODELO!$B$17,100,100*MIN(1,(E124-PARAMS_MODELO!$B$15)/(PARAMS_MODELO!$B$16-PARAMS_MODELO!$B$15))))*PARAMS_MODELO!$B$7</f>
        <v>35</v>
      </c>
      <c r="G124" s="5">
        <f t="shared" si="25"/>
        <v>43592274</v>
      </c>
      <c r="H124" s="5">
        <f>(PARAMS_MODELO!$B$20*(MAX(0,MIN(3,E124))/3)+PARAMS_MODELO!$B$21*(IFERROR(LN(1+MAX(0,G124))/LN(1+MAX(0,MAX($G$2:$G$1194))),0)))*100*PARAMS_MODELO!$B$8</f>
        <v>5.5788977021277777</v>
      </c>
      <c r="I124" s="8">
        <f>E124-PARAMS_MODELO!$B$5</f>
        <v>0.23828419081225438</v>
      </c>
      <c r="J124" s="5">
        <f>IF(I124&lt;=PARAMS_MODELO!$B$18,0,IF(I124&gt;=PARAMS_MODELO!$B$19,100,100*(I124-PARAMS_MODELO!$B$18)/(PARAMS_MODELO!$B$19-PARAMS_MODELO!$B$18)))*PARAMS_MODELO!$B$9</f>
        <v>15</v>
      </c>
      <c r="K124" s="5">
        <f>IFERROR(CHOOSE(MATCH(PARAMS_MODELO!$B$2,{"Q1","Q2","Q3"},0),LOTO!$D124,LOTO!$F124,LOTO!$H124),0)</f>
        <v>7470000</v>
      </c>
      <c r="L124" s="8">
        <f t="shared" si="26"/>
        <v>5.0330163853587816E-2</v>
      </c>
      <c r="M124" s="5">
        <f>MIN(100,IF(PARAMS_MODELO!$B$23=0,0,100*L124/PARAMS_MODELO!$B$23))*PARAMS_MODELO!$B$10</f>
        <v>15</v>
      </c>
      <c r="N124" s="5">
        <f>IFERROR(VLOOKUP(A124,COMPLIANCE!$A$2:$F$1996,6,0),100)</f>
        <v>100</v>
      </c>
      <c r="O124" s="5">
        <f>N124*PARAMS_MODELO!$B$11</f>
        <v>10</v>
      </c>
      <c r="P124" s="5">
        <f>IFERROR(VLOOKUP(A124,DIGITAL!$A$2:$J$2000,7,0),100)</f>
        <v>95</v>
      </c>
      <c r="Q124" s="5">
        <f>IFERROR(P124,0)*PARAMS_MODELO!$B$12</f>
        <v>9.5</v>
      </c>
      <c r="R124">
        <f t="shared" si="27"/>
        <v>90.078897702127776</v>
      </c>
      <c r="S124" s="5" t="str">
        <f>IFERROR(VLOOKUP(A124,CLIENTE!$A$2:$N$2000,13,0),1)</f>
        <v>Malo</v>
      </c>
      <c r="T124" s="5">
        <f>IFERROR(VLOOKUP(A124,CLIENTE!$A$2:$N$2000,14,0),1)</f>
        <v>0.7</v>
      </c>
      <c r="U124" s="5">
        <f t="shared" si="28"/>
        <v>63.055228391489436</v>
      </c>
      <c r="V124" s="5" t="str">
        <f>IF(U124&gt;=MAX(_xlfn.PERCENTILE.INC($U$2:$U$1194,PARAMS_MODELO!$B$50),PARAMS_MODELO!$B$45),"DIAMANTE",IF(U124&gt;=MAX(_xlfn.PERCENTILE.INC($U$2:$U$1194,PARAMS_MODELO!$B$51),PARAMS_MODELO!$B$46),"PLATINO",IF(U124&gt;=MAX(_xlfn.PERCENTILE.INC($U$2:$U$1194,PARAMS_MODELO!$B$52),PARAMS_MODELO!$B$47),"ORO",IF(U124&gt;=MAX(_xlfn.PERCENTILE.INC($U$2:$U$1194,PARAMS_MODELO!$B$53),PARAMS_MODELO!$B$48),"PLATA",IF(U124&gt;=1,"BRONCE","CERRADO")))))</f>
        <v>PLATA</v>
      </c>
      <c r="W124" s="5" t="str" cm="1">
        <f t="array" ref="W124">_xlfn.XLOOKUP(1, (HIST_SCORE!$B:$B=PARAMS_MODELO!$B$4) * (HIST_SCORE!$C:$C=A124), HIST_SCORE!$E:$E, "No encontrado")</f>
        <v>ORO</v>
      </c>
      <c r="X124" s="5" t="str">
        <f>_xlfn.LET(_xlpm.act,MATCH(V124,{"DIAMANTE";"PLATINO";"ORO";"PLATA";"BRONCE";"CERRADO"},0),_xlpm.ant,MATCH(W124,{"DIAMANTE";"PLATINO";"ORO";"PLATA";"BRONCE";"CERRADO"},0),IF(_xlpm.act&lt;_xlpm.ant,"Mejora ↑",IF(_xlpm.act&gt;_xlpm.ant,"Baja ↓","Estable →")))</f>
        <v>Baja ↓</v>
      </c>
      <c r="Y124" s="5">
        <f>IFERROR(U124-SUMIFS(HIST_SCORE!$D:$D,HIST_SCORE!$B:$B,PARAMS_MODELO!$B$4,HIST_SCORE!$C:$C,$A124),"")</f>
        <v>0.2383601947568792</v>
      </c>
      <c r="Z124" s="5" t="str">
        <f t="shared" si="29"/>
        <v>→ Estable</v>
      </c>
      <c r="AA124" s="5">
        <f t="shared" si="30"/>
        <v>558</v>
      </c>
      <c r="AB124" s="5">
        <f>IFERROR(SUMIFS(HIST_SCORE!$F:$F,HIST_SCORE!$B:$B,PARAMS_MODELO!$B$4,HIST_SCORE!$C:$C,$A124),"")</f>
        <v>592</v>
      </c>
      <c r="AC124" s="5">
        <f t="shared" si="31"/>
        <v>34</v>
      </c>
      <c r="AD124" t="str">
        <f t="shared" si="33"/>
        <v/>
      </c>
      <c r="AE1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124="CERRADO",1,IF(V124="BRONCE",_xlpm.cPl,IF(V124="PLATA",_xlpm.cO,IF(V124="ORO",_xlpm.cP,IF(V124="PLATINO",_xlpm.cD,999))))))</f>
        <v>63.199193273331495</v>
      </c>
      <c r="AF1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124="CERRADO",0,IF(V124="BRONCE",1,IF(V124="PLATA",_xlpm.cPl,IF(V124="ORO",_xlpm.cO,IF(V124="PLATINO",_xlpm.cP,_xlpm.cD))))))</f>
        <v>24.506573482968111</v>
      </c>
      <c r="AG124">
        <f t="shared" si="34"/>
        <v>0.20566411691721953</v>
      </c>
      <c r="AH124" t="str">
        <f t="shared" si="35"/>
        <v>CLIENTE</v>
      </c>
      <c r="AI124" t="str">
        <f t="shared" si="32"/>
        <v>🎯 Para subir de categoría, la eje con mayor impacto probable es CLIENTE (coef T). Acción: reducir quejas, mejorar incógnito y empujar reseñas. ΔR aprox: 0,2</v>
      </c>
      <c r="AJ124" s="26">
        <f>_xlfn.LET(_xlpm.piso,AF124,_xlpm.corte,AE124,_xlpm.prog,IF(_xlpm.corte&lt;=_xlpm.piso,0,MAX(0,MIN(1,(U124-_xlpm.piso)/(_xlpm.corte-_xlpm.piso)))),_xlpm.orden,{"DIAMANTE";"PLATINO";"ORO";"PLATA";"BRONCE";"CERRADO"},_xlpm.act,IFERROR(MATCH(V124,_xlpm.orden,0),6),_xlpm.ant,IFERROR(MATCH(W124,_xlpm.orden,0),6),_xlpm.ajmov,IF(_xlpm.act&lt;_xlpm.ant,0.08,IF(_xlpm.act&gt;_xlpm.ant,-0.08,0)),_xlpm.ajcli,IF(T124&lt;0.95,-0.06,0),_xlpm.prob,MAX(0,MIN(1,_xlpm.prog+_xlpm.ajmov+_xlpm.ajcli)),IF(OR(V124="DIAMANTE",V124="CERRADO"),0,ROUND(_xlpm.prob,2)))</f>
        <v>0.86</v>
      </c>
      <c r="AK124" t="str">
        <f t="shared" si="36"/>
        <v>Faltan 0,2 puntos base para subir a la siguiente categoría</v>
      </c>
      <c r="AL124" t="str">
        <f t="shared" si="37"/>
        <v>Margen de seguridad: 38,5 puntos</v>
      </c>
      <c r="AM124">
        <f t="shared" si="38"/>
        <v>0.26</v>
      </c>
      <c r="AN124" t="str">
        <f t="shared" si="39"/>
        <v>PRIORIDAD BAJA – control normal</v>
      </c>
      <c r="AO124">
        <f t="shared" si="40"/>
        <v>6.4985701012174655</v>
      </c>
      <c r="AP124">
        <f t="shared" si="41"/>
        <v>0</v>
      </c>
      <c r="AQ124">
        <f t="shared" si="42"/>
        <v>0</v>
      </c>
      <c r="AR124">
        <f t="shared" si="43"/>
        <v>0.35</v>
      </c>
      <c r="AS124">
        <f t="shared" si="44"/>
        <v>27.023669310638336</v>
      </c>
      <c r="AT124" t="str">
        <f t="shared" si="45"/>
        <v>CLIENTE</v>
      </c>
      <c r="AU124">
        <f t="shared" si="46"/>
        <v>27.023669310638336</v>
      </c>
      <c r="AV124" t="str">
        <f t="shared" si="47"/>
        <v>Mayor retorno probable: CLIENTE (+27,0 puntos finales potenciales).</v>
      </c>
    </row>
    <row r="125" spans="1:48" x14ac:dyDescent="0.3">
      <c r="A125" s="5">
        <v>51024176</v>
      </c>
      <c r="B125" s="5" t="str">
        <f>IFERROR(VLOOKUP(A125,VENTAS!$A$2:$B$1194,2,0),"")</f>
        <v>AYALA</v>
      </c>
      <c r="C125" s="5">
        <f>IFERROR(INDEX(VENTAS!$C$2:$E$1194,MATCH(A125,VENTAS!$A$2:$A$1194,0),MATCH(PARAMS_MODELO!$B$2,{"Q1","Q2","Q3"},0)),0)</f>
        <v>140466638.18000001</v>
      </c>
      <c r="D125" s="5">
        <f>IFERROR(INDEX(VENTAS!$F$2:$H$1194,MATCH(A125,VENTAS!$A$2:$A$1194,0),MATCH(PARAMS_MODELO!$B$2,{"Q1","Q2","Q3"},0)),0)</f>
        <v>147882671</v>
      </c>
      <c r="E125" s="8">
        <f t="shared" si="24"/>
        <v>5.2795688115613304E-2</v>
      </c>
      <c r="F125" s="12">
        <f>IF(E125&lt;=PARAMS_MODELO!$B$15,0,IF(E125&gt;=PARAMS_MODELO!$B$17,100,100*MIN(1,(E125-PARAMS_MODELO!$B$15)/(PARAMS_MODELO!$B$16-PARAMS_MODELO!$B$15))))*PARAMS_MODELO!$B$7</f>
        <v>18.478490840464655</v>
      </c>
      <c r="G125" s="5">
        <f t="shared" si="25"/>
        <v>7416032.8199999928</v>
      </c>
      <c r="H125" s="5">
        <f>(PARAMS_MODELO!$B$20*(MAX(0,MIN(3,E125))/3)+PARAMS_MODELO!$B$21*(IFERROR(LN(1+MAX(0,G125))/LN(1+MAX(0,MAX($G$2:$G$1194))),0)))*100*PARAMS_MODELO!$B$8</f>
        <v>3.8930156742709432</v>
      </c>
      <c r="I125" s="8">
        <f>E125-PARAMS_MODELO!$B$5</f>
        <v>-0.12476714725991322</v>
      </c>
      <c r="J125" s="5">
        <f>IF(I125&lt;=PARAMS_MODELO!$B$18,0,IF(I125&gt;=PARAMS_MODELO!$B$19,100,100*(I125-PARAMS_MODELO!$B$18)/(PARAMS_MODELO!$B$19-PARAMS_MODELO!$B$18)))*PARAMS_MODELO!$B$9</f>
        <v>0</v>
      </c>
      <c r="K125" s="5">
        <f>IFERROR(CHOOSE(MATCH(PARAMS_MODELO!$B$2,{"Q1","Q2","Q3"},0),LOTO!$D125,LOTO!$F125,LOTO!$H125),0)</f>
        <v>7447500</v>
      </c>
      <c r="L125" s="8">
        <f t="shared" si="26"/>
        <v>5.0360870206354331E-2</v>
      </c>
      <c r="M125" s="5">
        <f>MIN(100,IF(PARAMS_MODELO!$B$23=0,0,100*L125/PARAMS_MODELO!$B$23))*PARAMS_MODELO!$B$10</f>
        <v>15</v>
      </c>
      <c r="N125" s="5">
        <f>IFERROR(VLOOKUP(A125,COMPLIANCE!$A$2:$F$1996,6,0),100)</f>
        <v>100</v>
      </c>
      <c r="O125" s="5">
        <f>N125*PARAMS_MODELO!$B$11</f>
        <v>10</v>
      </c>
      <c r="P125" s="5">
        <f>IFERROR(VLOOKUP(A125,DIGITAL!$A$2:$J$2000,7,0),100)</f>
        <v>6</v>
      </c>
      <c r="Q125" s="5">
        <f>IFERROR(P125,0)*PARAMS_MODELO!$B$12</f>
        <v>0.60000000000000009</v>
      </c>
      <c r="R125">
        <f t="shared" si="27"/>
        <v>47.971506514735601</v>
      </c>
      <c r="S125" s="5" t="str">
        <f>IFERROR(VLOOKUP(A125,CLIENTE!$A$2:$N$2000,13,0),1)</f>
        <v>Bueno</v>
      </c>
      <c r="T125" s="5">
        <f>IFERROR(VLOOKUP(A125,CLIENTE!$A$2:$N$2000,14,0),1)</f>
        <v>1.1000000000000001</v>
      </c>
      <c r="U125" s="5">
        <f t="shared" si="28"/>
        <v>52.768657166209167</v>
      </c>
      <c r="V125" s="5" t="str">
        <f>IF(U125&gt;=MAX(_xlfn.PERCENTILE.INC($U$2:$U$1194,PARAMS_MODELO!$B$50),PARAMS_MODELO!$B$45),"DIAMANTE",IF(U125&gt;=MAX(_xlfn.PERCENTILE.INC($U$2:$U$1194,PARAMS_MODELO!$B$51),PARAMS_MODELO!$B$46),"PLATINO",IF(U125&gt;=MAX(_xlfn.PERCENTILE.INC($U$2:$U$1194,PARAMS_MODELO!$B$52),PARAMS_MODELO!$B$47),"ORO",IF(U125&gt;=MAX(_xlfn.PERCENTILE.INC($U$2:$U$1194,PARAMS_MODELO!$B$53),PARAMS_MODELO!$B$48),"PLATA",IF(U125&gt;=1,"BRONCE","CERRADO")))))</f>
        <v>PLATA</v>
      </c>
      <c r="W125" s="5" t="str" cm="1">
        <f t="array" ref="W125">_xlfn.XLOOKUP(1, (HIST_SCORE!$B:$B=PARAMS_MODELO!$B$4) * (HIST_SCORE!$C:$C=A125), HIST_SCORE!$E:$E, "No encontrado")</f>
        <v>ORO</v>
      </c>
      <c r="X125" s="5" t="str">
        <f>_xlfn.LET(_xlpm.act,MATCH(V125,{"DIAMANTE";"PLATINO";"ORO";"PLATA";"BRONCE";"CERRADO"},0),_xlpm.ant,MATCH(W125,{"DIAMANTE";"PLATINO";"ORO";"PLATA";"BRONCE";"CERRADO"},0),IF(_xlpm.act&lt;_xlpm.ant,"Mejora ↑",IF(_xlpm.act&gt;_xlpm.ant,"Baja ↓","Estable →")))</f>
        <v>Baja ↓</v>
      </c>
      <c r="Y125" s="5">
        <f>IFERROR(U125-SUMIFS(HIST_SCORE!$D:$D,HIST_SCORE!$B:$B,PARAMS_MODELO!$B$4,HIST_SCORE!$C:$C,$A125),"")</f>
        <v>-12.830405686879871</v>
      </c>
      <c r="Z125" s="5" t="str">
        <f t="shared" si="29"/>
        <v>↓ Baja</v>
      </c>
      <c r="AA125" s="5">
        <f t="shared" si="30"/>
        <v>725</v>
      </c>
      <c r="AB125" s="5">
        <f>IFERROR(SUMIFS(HIST_SCORE!$F:$F,HIST_SCORE!$B:$B,PARAMS_MODELO!$B$4,HIST_SCORE!$C:$C,$A125),"")</f>
        <v>570</v>
      </c>
      <c r="AC125" s="5">
        <f t="shared" si="31"/>
        <v>-155</v>
      </c>
      <c r="AD125" t="str">
        <f t="shared" si="33"/>
        <v/>
      </c>
      <c r="AE1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125="CERRADO",1,IF(V125="BRONCE",_xlpm.cPl,IF(V125="PLATA",_xlpm.cO,IF(V125="ORO",_xlpm.cP,IF(V125="PLATINO",_xlpm.cD,999))))))</f>
        <v>63.199193273331495</v>
      </c>
      <c r="AF1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125="CERRADO",0,IF(V125="BRONCE",1,IF(V125="PLATA",_xlpm.cPl,IF(V125="ORO",_xlpm.cO,IF(V125="PLATINO",_xlpm.cP,_xlpm.cD))))))</f>
        <v>24.506573482968111</v>
      </c>
      <c r="AG125">
        <f t="shared" si="34"/>
        <v>9.4823055519293931</v>
      </c>
      <c r="AH125" t="str">
        <f t="shared" si="35"/>
        <v>VENTAS</v>
      </c>
      <c r="AI125" t="str">
        <f t="shared" si="32"/>
        <v>🎯 Para subir de categoría, eje VENTAS / DIFERENCIAL vs LOTBA (J). Acción: metas semanales + activación comercial + seguimiento del asesor. ΔR aprox: 9,5</v>
      </c>
      <c r="AJ125" s="26">
        <f>_xlfn.LET(_xlpm.piso,AF125,_xlpm.corte,AE125,_xlpm.prog,IF(_xlpm.corte&lt;=_xlpm.piso,0,MAX(0,MIN(1,(U125-_xlpm.piso)/(_xlpm.corte-_xlpm.piso)))),_xlpm.orden,{"DIAMANTE";"PLATINO";"ORO";"PLATA";"BRONCE";"CERRADO"},_xlpm.act,IFERROR(MATCH(V125,_xlpm.orden,0),6),_xlpm.ant,IFERROR(MATCH(W125,_xlpm.orden,0),6),_xlpm.ajmov,IF(_xlpm.act&lt;_xlpm.ant,0.08,IF(_xlpm.act&gt;_xlpm.ant,-0.08,0)),_xlpm.ajcli,IF(T125&lt;0.95,-0.06,0),_xlpm.prob,MAX(0,MIN(1,_xlpm.prog+_xlpm.ajmov+_xlpm.ajcli)),IF(OR(V125="DIAMANTE",V125="CERRADO"),0,ROUND(_xlpm.prob,2)))</f>
        <v>0.65</v>
      </c>
      <c r="AK125" t="str">
        <f t="shared" si="36"/>
        <v>Faltan 9,5 puntos base para subir a la siguiente categoría</v>
      </c>
      <c r="AL125" t="str">
        <f t="shared" si="37"/>
        <v>Margen de seguridad: 28,3 puntos</v>
      </c>
      <c r="AM125">
        <f t="shared" si="38"/>
        <v>0.52</v>
      </c>
      <c r="AN125" t="str">
        <f t="shared" si="39"/>
        <v>PRIORIDAD MEDIA – seguimiento del asesor</v>
      </c>
      <c r="AO125">
        <f t="shared" si="40"/>
        <v>46.740169036615988</v>
      </c>
      <c r="AP125">
        <f t="shared" si="41"/>
        <v>0</v>
      </c>
      <c r="AQ125">
        <f t="shared" si="42"/>
        <v>0</v>
      </c>
      <c r="AR125">
        <f t="shared" si="43"/>
        <v>10.340000000000002</v>
      </c>
      <c r="AS125">
        <f t="shared" si="44"/>
        <v>0</v>
      </c>
      <c r="AT125" t="str">
        <f t="shared" si="45"/>
        <v>VENTAS</v>
      </c>
      <c r="AU125">
        <f t="shared" si="46"/>
        <v>46.740169036615988</v>
      </c>
      <c r="AV125" t="str">
        <f t="shared" si="47"/>
        <v>Mayor retorno probable: VENTAS (+46,7 puntos finales potenciales).</v>
      </c>
    </row>
    <row r="126" spans="1:48" x14ac:dyDescent="0.3">
      <c r="A126" s="5">
        <v>51000196</v>
      </c>
      <c r="B126" s="5" t="str">
        <f>IFERROR(VLOOKUP(A126,VENTAS!$A$2:$B$1194,2,0),"")</f>
        <v>AYALA</v>
      </c>
      <c r="C126" s="5">
        <f>IFERROR(INDEX(VENTAS!$C$2:$E$1194,MATCH(A126,VENTAS!$A$2:$A$1194,0),MATCH(PARAMS_MODELO!$B$2,{"Q1","Q2","Q3"},0)),0)</f>
        <v>81507829.489999995</v>
      </c>
      <c r="D126" s="5">
        <f>IFERROR(INDEX(VENTAS!$F$2:$H$1194,MATCH(A126,VENTAS!$A$2:$A$1194,0),MATCH(PARAMS_MODELO!$B$2,{"Q1","Q2","Q3"},0)),0)</f>
        <v>147803864</v>
      </c>
      <c r="E126" s="8">
        <f t="shared" si="24"/>
        <v>0.81337013787287415</v>
      </c>
      <c r="F126" s="12">
        <f>IF(E126&lt;=PARAMS_MODELO!$B$15,0,IF(E126&gt;=PARAMS_MODELO!$B$17,100,100*MIN(1,(E126-PARAMS_MODELO!$B$15)/(PARAMS_MODELO!$B$16-PARAMS_MODELO!$B$15))))*PARAMS_MODELO!$B$7</f>
        <v>35</v>
      </c>
      <c r="G126" s="5">
        <f t="shared" si="25"/>
        <v>66296034.510000005</v>
      </c>
      <c r="H126" s="5">
        <f>(PARAMS_MODELO!$B$20*(MAX(0,MIN(3,E126))/3)+PARAMS_MODELO!$B$21*(IFERROR(LN(1+MAX(0,G126))/LN(1+MAX(0,MAX($G$2:$G$1194))),0)))*100*PARAMS_MODELO!$B$8</f>
        <v>7.0685066796653429</v>
      </c>
      <c r="I126" s="8">
        <f>E126-PARAMS_MODELO!$B$5</f>
        <v>0.63580730249734763</v>
      </c>
      <c r="J126" s="5">
        <f>IF(I126&lt;=PARAMS_MODELO!$B$18,0,IF(I126&gt;=PARAMS_MODELO!$B$19,100,100*(I126-PARAMS_MODELO!$B$18)/(PARAMS_MODELO!$B$19-PARAMS_MODELO!$B$18)))*PARAMS_MODELO!$B$9</f>
        <v>15</v>
      </c>
      <c r="K126" s="5">
        <f>IFERROR(CHOOSE(MATCH(PARAMS_MODELO!$B$2,{"Q1","Q2","Q3"},0),LOTO!$D126,LOTO!$F126,LOTO!$H126),0)</f>
        <v>7425000</v>
      </c>
      <c r="L126" s="8">
        <f t="shared" si="26"/>
        <v>5.0235493166809225E-2</v>
      </c>
      <c r="M126" s="5">
        <f>MIN(100,IF(PARAMS_MODELO!$B$23=0,0,100*L126/PARAMS_MODELO!$B$23))*PARAMS_MODELO!$B$10</f>
        <v>15</v>
      </c>
      <c r="N126" s="5">
        <f>IFERROR(VLOOKUP(A126,COMPLIANCE!$A$2:$F$1996,6,0),100)</f>
        <v>100</v>
      </c>
      <c r="O126" s="5">
        <f>N126*PARAMS_MODELO!$B$11</f>
        <v>10</v>
      </c>
      <c r="P126" s="5">
        <f>IFERROR(VLOOKUP(A126,DIGITAL!$A$2:$J$2000,7,0),100)</f>
        <v>95</v>
      </c>
      <c r="Q126" s="5">
        <f>IFERROR(P126,0)*PARAMS_MODELO!$B$12</f>
        <v>9.5</v>
      </c>
      <c r="R126">
        <f t="shared" si="27"/>
        <v>91.568506679665347</v>
      </c>
      <c r="S126" s="5" t="str">
        <f>IFERROR(VLOOKUP(A126,CLIENTE!$A$2:$N$2000,13,0),1)</f>
        <v>Excelente</v>
      </c>
      <c r="T126" s="5">
        <f>IFERROR(VLOOKUP(A126,CLIENTE!$A$2:$N$2000,14,0),1)</f>
        <v>1.2</v>
      </c>
      <c r="U126" s="5">
        <f t="shared" si="28"/>
        <v>100</v>
      </c>
      <c r="V126" s="5" t="str">
        <f>IF(U126&gt;=MAX(_xlfn.PERCENTILE.INC($U$2:$U$1194,PARAMS_MODELO!$B$50),PARAMS_MODELO!$B$45),"DIAMANTE",IF(U126&gt;=MAX(_xlfn.PERCENTILE.INC($U$2:$U$1194,PARAMS_MODELO!$B$51),PARAMS_MODELO!$B$46),"PLATINO",IF(U126&gt;=MAX(_xlfn.PERCENTILE.INC($U$2:$U$1194,PARAMS_MODELO!$B$52),PARAMS_MODELO!$B$47),"ORO",IF(U126&gt;=MAX(_xlfn.PERCENTILE.INC($U$2:$U$1194,PARAMS_MODELO!$B$53),PARAMS_MODELO!$B$48),"PLATA",IF(U126&gt;=1,"BRONCE","CERRADO")))))</f>
        <v>DIAMANTE</v>
      </c>
      <c r="W126" s="5" t="str" cm="1">
        <f t="array" ref="W126">_xlfn.XLOOKUP(1, (HIST_SCORE!$B:$B=PARAMS_MODELO!$B$4) * (HIST_SCORE!$C:$C=A126), HIST_SCORE!$E:$E, "No encontrado")</f>
        <v>DIAMANTE</v>
      </c>
      <c r="X126" s="5" t="str">
        <f>_xlfn.LET(_xlpm.act,MATCH(V126,{"DIAMANTE";"PLATINO";"ORO";"PLATA";"BRONCE";"CERRADO"},0),_xlpm.ant,MATCH(W126,{"DIAMANTE";"PLATINO";"ORO";"PLATA";"BRONCE";"CERRADO"},0),IF(_xlpm.act&lt;_xlpm.ant,"Mejora ↑",IF(_xlpm.act&gt;_xlpm.ant,"Baja ↓","Estable →")))</f>
        <v>Estable →</v>
      </c>
      <c r="Y126" s="5">
        <f>IFERROR(U126-SUMIFS(HIST_SCORE!$D:$D,HIST_SCORE!$B:$B,PARAMS_MODELO!$B$4,HIST_SCORE!$C:$C,$A126),"")</f>
        <v>0</v>
      </c>
      <c r="Z126" s="5" t="str">
        <f t="shared" si="29"/>
        <v>→ Estable</v>
      </c>
      <c r="AA126" s="5">
        <f t="shared" si="30"/>
        <v>1</v>
      </c>
      <c r="AB126" s="5">
        <f>IFERROR(SUMIFS(HIST_SCORE!$F:$F,HIST_SCORE!$B:$B,PARAMS_MODELO!$B$4,HIST_SCORE!$C:$C,$A126),"")</f>
        <v>1</v>
      </c>
      <c r="AC126" s="5">
        <f t="shared" si="31"/>
        <v>0</v>
      </c>
      <c r="AD126" t="str">
        <f t="shared" si="33"/>
        <v/>
      </c>
      <c r="AE1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126="CERRADO",1,IF(V126="BRONCE",_xlpm.cPl,IF(V126="PLATA",_xlpm.cO,IF(V126="ORO",_xlpm.cP,IF(V126="PLATINO",_xlpm.cD,999))))))</f>
        <v>999</v>
      </c>
      <c r="AF1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126="CERRADO",0,IF(V126="BRONCE",1,IF(V126="PLATA",_xlpm.cPl,IF(V126="ORO",_xlpm.cO,IF(V126="PLATINO",_xlpm.cP,_xlpm.cD))))))</f>
        <v>96.054919694466676</v>
      </c>
      <c r="AG126">
        <f t="shared" si="34"/>
        <v>740.93149332033465</v>
      </c>
      <c r="AH126" t="str">
        <f t="shared" si="35"/>
        <v>SOSTENER</v>
      </c>
      <c r="AI126" t="str">
        <f t="shared" si="32"/>
        <v>✅ Mantener desempeño y monitorear variaciones para sostener categoría.</v>
      </c>
      <c r="AJ126" s="26">
        <f>_xlfn.LET(_xlpm.piso,AF126,_xlpm.corte,AE126,_xlpm.prog,IF(_xlpm.corte&lt;=_xlpm.piso,0,MAX(0,MIN(1,(U126-_xlpm.piso)/(_xlpm.corte-_xlpm.piso)))),_xlpm.orden,{"DIAMANTE";"PLATINO";"ORO";"PLATA";"BRONCE";"CERRADO"},_xlpm.act,IFERROR(MATCH(V126,_xlpm.orden,0),6),_xlpm.ant,IFERROR(MATCH(W126,_xlpm.orden,0),6),_xlpm.ajmov,IF(_xlpm.act&lt;_xlpm.ant,0.08,IF(_xlpm.act&gt;_xlpm.ant,-0.08,0)),_xlpm.ajcli,IF(T126&lt;0.95,-0.06,0),_xlpm.prob,MAX(0,MIN(1,_xlpm.prog+_xlpm.ajmov+_xlpm.ajcli)),IF(OR(V126="DIAMANTE",V126="CERRADO"),0,ROUND(_xlpm.prob,2)))</f>
        <v>0</v>
      </c>
      <c r="AK126" t="str">
        <f t="shared" si="36"/>
        <v>No aplica</v>
      </c>
      <c r="AL126" t="str">
        <f t="shared" si="37"/>
        <v>Margen de seguridad: 3,9 puntos</v>
      </c>
      <c r="AM126">
        <f t="shared" si="38"/>
        <v>0.8</v>
      </c>
      <c r="AN126" t="str">
        <f t="shared" si="39"/>
        <v>PRIORIDAD ALTA – requiere intervención inmediata</v>
      </c>
      <c r="AO126">
        <f t="shared" si="40"/>
        <v>9.3528751147562925</v>
      </c>
      <c r="AP126">
        <f t="shared" si="41"/>
        <v>0</v>
      </c>
      <c r="AQ126">
        <f t="shared" si="42"/>
        <v>0</v>
      </c>
      <c r="AR126">
        <f t="shared" si="43"/>
        <v>0.6</v>
      </c>
      <c r="AS126">
        <f t="shared" si="44"/>
        <v>0</v>
      </c>
      <c r="AT126" t="str">
        <f t="shared" si="45"/>
        <v>VENTAS</v>
      </c>
      <c r="AU126">
        <f t="shared" si="46"/>
        <v>9.3528751147562925</v>
      </c>
      <c r="AV126" t="str">
        <f t="shared" si="47"/>
        <v>Mayor retorno probable: VENTAS (+9,4 puntos finales potenciales).</v>
      </c>
    </row>
    <row r="127" spans="1:48" x14ac:dyDescent="0.3">
      <c r="A127" s="5">
        <v>51024672</v>
      </c>
      <c r="B127" s="5" t="str">
        <f>IFERROR(VLOOKUP(A127,VENTAS!$A$2:$B$1194,2,0),"")</f>
        <v>PRADES</v>
      </c>
      <c r="C127" s="5">
        <f>IFERROR(INDEX(VENTAS!$C$2:$E$1194,MATCH(A127,VENTAS!$A$2:$A$1194,0),MATCH(PARAMS_MODELO!$B$2,{"Q1","Q2","Q3"},0)),0)</f>
        <v>118003525.45</v>
      </c>
      <c r="D127" s="5">
        <f>IFERROR(INDEX(VENTAS!$F$2:$H$1194,MATCH(A127,VENTAS!$A$2:$A$1194,0),MATCH(PARAMS_MODELO!$B$2,{"Q1","Q2","Q3"},0)),0)</f>
        <v>147689352</v>
      </c>
      <c r="E127" s="8">
        <f t="shared" si="24"/>
        <v>0.25156728527215377</v>
      </c>
      <c r="F127" s="12">
        <f>IF(E127&lt;=PARAMS_MODELO!$B$15,0,IF(E127&gt;=PARAMS_MODELO!$B$17,100,100*MIN(1,(E127-PARAMS_MODELO!$B$15)/(PARAMS_MODELO!$B$16-PARAMS_MODELO!$B$15))))*PARAMS_MODELO!$B$7</f>
        <v>35</v>
      </c>
      <c r="G127" s="5">
        <f t="shared" si="25"/>
        <v>29685826.549999997</v>
      </c>
      <c r="H127" s="5">
        <f>(PARAMS_MODELO!$B$20*(MAX(0,MIN(3,E127))/3)+PARAMS_MODELO!$B$21*(IFERROR(LN(1+MAX(0,G127))/LN(1+MAX(0,MAX($G$2:$G$1194))),0)))*100*PARAMS_MODELO!$B$8</f>
        <v>4.913854371692107</v>
      </c>
      <c r="I127" s="8">
        <f>E127-PARAMS_MODELO!$B$5</f>
        <v>7.4004449896627245E-2</v>
      </c>
      <c r="J127" s="5">
        <f>IF(I127&lt;=PARAMS_MODELO!$B$18,0,IF(I127&gt;=PARAMS_MODELO!$B$19,100,100*(I127-PARAMS_MODELO!$B$18)/(PARAMS_MODELO!$B$19-PARAMS_MODELO!$B$18)))*PARAMS_MODELO!$B$9</f>
        <v>15</v>
      </c>
      <c r="K127" s="5">
        <f>IFERROR(CHOOSE(MATCH(PARAMS_MODELO!$B$2,{"Q1","Q2","Q3"},0),LOTO!$D127,LOTO!$F127,LOTO!$H127),0)</f>
        <v>7402500</v>
      </c>
      <c r="L127" s="8">
        <f t="shared" si="26"/>
        <v>5.012209681846258E-2</v>
      </c>
      <c r="M127" s="5">
        <f>MIN(100,IF(PARAMS_MODELO!$B$23=0,0,100*L127/PARAMS_MODELO!$B$23))*PARAMS_MODELO!$B$10</f>
        <v>15</v>
      </c>
      <c r="N127" s="5">
        <f>IFERROR(VLOOKUP(A127,COMPLIANCE!$A$2:$F$1996,6,0),100)</f>
        <v>100</v>
      </c>
      <c r="O127" s="5">
        <f>N127*PARAMS_MODELO!$B$11</f>
        <v>10</v>
      </c>
      <c r="P127" s="5">
        <f>IFERROR(VLOOKUP(A127,DIGITAL!$A$2:$J$2000,7,0),100)</f>
        <v>86</v>
      </c>
      <c r="Q127" s="5">
        <f>IFERROR(P127,0)*PARAMS_MODELO!$B$12</f>
        <v>8.6</v>
      </c>
      <c r="R127">
        <f t="shared" si="27"/>
        <v>88.513854371692105</v>
      </c>
      <c r="S127" s="5" t="str">
        <f>IFERROR(VLOOKUP(A127,CLIENTE!$A$2:$N$2000,13,0),1)</f>
        <v>Regular</v>
      </c>
      <c r="T127" s="5">
        <f>IFERROR(VLOOKUP(A127,CLIENTE!$A$2:$N$2000,14,0),1)</f>
        <v>1</v>
      </c>
      <c r="U127" s="5">
        <f t="shared" si="28"/>
        <v>88.513854371692105</v>
      </c>
      <c r="V127" s="5" t="str">
        <f>IF(U127&gt;=MAX(_xlfn.PERCENTILE.INC($U$2:$U$1194,PARAMS_MODELO!$B$50),PARAMS_MODELO!$B$45),"DIAMANTE",IF(U127&gt;=MAX(_xlfn.PERCENTILE.INC($U$2:$U$1194,PARAMS_MODELO!$B$51),PARAMS_MODELO!$B$46),"PLATINO",IF(U127&gt;=MAX(_xlfn.PERCENTILE.INC($U$2:$U$1194,PARAMS_MODELO!$B$52),PARAMS_MODELO!$B$47),"ORO",IF(U127&gt;=MAX(_xlfn.PERCENTILE.INC($U$2:$U$1194,PARAMS_MODELO!$B$53),PARAMS_MODELO!$B$48),"PLATA",IF(U127&gt;=1,"BRONCE","CERRADO")))))</f>
        <v>PLATINO</v>
      </c>
      <c r="W127" s="5" t="str" cm="1">
        <f t="array" ref="W127">_xlfn.XLOOKUP(1, (HIST_SCORE!$B:$B=PARAMS_MODELO!$B$4) * (HIST_SCORE!$C:$C=A127), HIST_SCORE!$E:$E, "No encontrado")</f>
        <v>PLATINO</v>
      </c>
      <c r="X127" s="5" t="str">
        <f>_xlfn.LET(_xlpm.act,MATCH(V127,{"DIAMANTE";"PLATINO";"ORO";"PLATA";"BRONCE";"CERRADO"},0),_xlpm.ant,MATCH(W127,{"DIAMANTE";"PLATINO";"ORO";"PLATA";"BRONCE";"CERRADO"},0),IF(_xlpm.act&lt;_xlpm.ant,"Mejora ↑",IF(_xlpm.act&gt;_xlpm.ant,"Baja ↓","Estable →")))</f>
        <v>Estable →</v>
      </c>
      <c r="Y127" s="5">
        <f>IFERROR(U127-SUMIFS(HIST_SCORE!$D:$D,HIST_SCORE!$B:$B,PARAMS_MODELO!$B$4,HIST_SCORE!$C:$C,$A127),"")</f>
        <v>-0.47212654279181265</v>
      </c>
      <c r="Z127" s="5" t="str">
        <f t="shared" si="29"/>
        <v>→ Estable</v>
      </c>
      <c r="AA127" s="5">
        <f t="shared" si="30"/>
        <v>182</v>
      </c>
      <c r="AB127" s="5">
        <f>IFERROR(SUMIFS(HIST_SCORE!$F:$F,HIST_SCORE!$B:$B,PARAMS_MODELO!$B$4,HIST_SCORE!$C:$C,$A127),"")</f>
        <v>153</v>
      </c>
      <c r="AC127" s="5">
        <f t="shared" si="31"/>
        <v>-29</v>
      </c>
      <c r="AD127" t="str">
        <f t="shared" si="33"/>
        <v/>
      </c>
      <c r="AE1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127="CERRADO",1,IF(V127="BRONCE",_xlpm.cPl,IF(V127="PLATA",_xlpm.cO,IF(V127="ORO",_xlpm.cP,IF(V127="PLATINO",_xlpm.cD,999))))))</f>
        <v>96.054919694466676</v>
      </c>
      <c r="AF1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127="CERRADO",0,IF(V127="BRONCE",1,IF(V127="PLATA",_xlpm.cPl,IF(V127="ORO",_xlpm.cO,IF(V127="PLATINO",_xlpm.cP,_xlpm.cD))))))</f>
        <v>86.439123873763251</v>
      </c>
      <c r="AG127">
        <f t="shared" si="34"/>
        <v>7.5410653227745712</v>
      </c>
      <c r="AH127" t="str">
        <f t="shared" si="35"/>
        <v>VENTAS</v>
      </c>
      <c r="AI127" t="str">
        <f t="shared" si="32"/>
        <v>🎯 Para subir de categoría, eje VENTAS / IMPACTO ABSOLUTO (H). Acción: metas semanales + activación comercial + seguimiento del asesor. ΔR aprox: 7,5</v>
      </c>
      <c r="AJ127" s="26">
        <f>_xlfn.LET(_xlpm.piso,AF127,_xlpm.corte,AE127,_xlpm.prog,IF(_xlpm.corte&lt;=_xlpm.piso,0,MAX(0,MIN(1,(U127-_xlpm.piso)/(_xlpm.corte-_xlpm.piso)))),_xlpm.orden,{"DIAMANTE";"PLATINO";"ORO";"PLATA";"BRONCE";"CERRADO"},_xlpm.act,IFERROR(MATCH(V127,_xlpm.orden,0),6),_xlpm.ant,IFERROR(MATCH(W127,_xlpm.orden,0),6),_xlpm.ajmov,IF(_xlpm.act&lt;_xlpm.ant,0.08,IF(_xlpm.act&gt;_xlpm.ant,-0.08,0)),_xlpm.ajcli,IF(T127&lt;0.95,-0.06,0),_xlpm.prob,MAX(0,MIN(1,_xlpm.prog+_xlpm.ajmov+_xlpm.ajcli)),IF(OR(V127="DIAMANTE",V127="CERRADO"),0,ROUND(_xlpm.prob,2)))</f>
        <v>0.22</v>
      </c>
      <c r="AK127" t="str">
        <f t="shared" si="36"/>
        <v>Faltan 7,5 puntos base para subir a la siguiente categoría</v>
      </c>
      <c r="AL127" t="str">
        <f t="shared" si="37"/>
        <v>Margen de seguridad: 2,1 puntos</v>
      </c>
      <c r="AM127">
        <f t="shared" si="38"/>
        <v>0.61</v>
      </c>
      <c r="AN127" t="str">
        <f t="shared" si="39"/>
        <v>PRIORIDAD MEDIA – seguimiento del asesor</v>
      </c>
      <c r="AO127">
        <f t="shared" si="40"/>
        <v>9.9487149036034737</v>
      </c>
      <c r="AP127">
        <f t="shared" si="41"/>
        <v>0</v>
      </c>
      <c r="AQ127">
        <f t="shared" si="42"/>
        <v>0</v>
      </c>
      <c r="AR127">
        <f t="shared" si="43"/>
        <v>1.4000000000000004</v>
      </c>
      <c r="AS127">
        <f t="shared" si="44"/>
        <v>0</v>
      </c>
      <c r="AT127" t="str">
        <f t="shared" si="45"/>
        <v>VENTAS</v>
      </c>
      <c r="AU127">
        <f t="shared" si="46"/>
        <v>9.9487149036034737</v>
      </c>
      <c r="AV127" t="str">
        <f t="shared" si="47"/>
        <v>Mayor retorno probable: VENTAS (+9,9 puntos finales potenciales).</v>
      </c>
    </row>
    <row r="128" spans="1:48" x14ac:dyDescent="0.3">
      <c r="A128" s="5">
        <v>51021657</v>
      </c>
      <c r="B128" s="5" t="str">
        <f>IFERROR(VLOOKUP(A128,VENTAS!$A$2:$B$1194,2,0),"")</f>
        <v>ARGUELLO</v>
      </c>
      <c r="C128" s="5">
        <f>IFERROR(INDEX(VENTAS!$C$2:$E$1194,MATCH(A128,VENTAS!$A$2:$A$1194,0),MATCH(PARAMS_MODELO!$B$2,{"Q1","Q2","Q3"},0)),0)</f>
        <v>102490340.84</v>
      </c>
      <c r="D128" s="5">
        <f>IFERROR(INDEX(VENTAS!$F$2:$H$1194,MATCH(A128,VENTAS!$A$2:$A$1194,0),MATCH(PARAMS_MODELO!$B$2,{"Q1","Q2","Q3"},0)),0)</f>
        <v>147306555</v>
      </c>
      <c r="E128" s="8">
        <f t="shared" si="24"/>
        <v>0.43727256434792827</v>
      </c>
      <c r="F128" s="12">
        <f>IF(E128&lt;=PARAMS_MODELO!$B$15,0,IF(E128&gt;=PARAMS_MODELO!$B$17,100,100*MIN(1,(E128-PARAMS_MODELO!$B$15)/(PARAMS_MODELO!$B$16-PARAMS_MODELO!$B$15))))*PARAMS_MODELO!$B$7</f>
        <v>35</v>
      </c>
      <c r="G128" s="5">
        <f t="shared" si="25"/>
        <v>44816214.159999996</v>
      </c>
      <c r="H128" s="5">
        <f>(PARAMS_MODELO!$B$20*(MAX(0,MIN(3,E128))/3)+PARAMS_MODELO!$B$21*(IFERROR(LN(1+MAX(0,G128))/LN(1+MAX(0,MAX($G$2:$G$1194))),0)))*100*PARAMS_MODELO!$B$8</f>
        <v>5.660378023194955</v>
      </c>
      <c r="I128" s="8">
        <f>E128-PARAMS_MODELO!$B$5</f>
        <v>0.25970972897240174</v>
      </c>
      <c r="J128" s="5">
        <f>IF(I128&lt;=PARAMS_MODELO!$B$18,0,IF(I128&gt;=PARAMS_MODELO!$B$19,100,100*(I128-PARAMS_MODELO!$B$18)/(PARAMS_MODELO!$B$19-PARAMS_MODELO!$B$18)))*PARAMS_MODELO!$B$9</f>
        <v>15</v>
      </c>
      <c r="K128" s="5">
        <f>IFERROR(CHOOSE(MATCH(PARAMS_MODELO!$B$2,{"Q1","Q2","Q3"},0),LOTO!$D128,LOTO!$F128,LOTO!$H128),0)</f>
        <v>7392500</v>
      </c>
      <c r="L128" s="8">
        <f t="shared" si="26"/>
        <v>5.0184460562532333E-2</v>
      </c>
      <c r="M128" s="5">
        <f>MIN(100,IF(PARAMS_MODELO!$B$23=0,0,100*L128/PARAMS_MODELO!$B$23))*PARAMS_MODELO!$B$10</f>
        <v>15</v>
      </c>
      <c r="N128" s="5">
        <f>IFERROR(VLOOKUP(A128,COMPLIANCE!$A$2:$F$1996,6,0),100)</f>
        <v>99.6</v>
      </c>
      <c r="O128" s="5">
        <f>N128*PARAMS_MODELO!$B$11</f>
        <v>9.9600000000000009</v>
      </c>
      <c r="P128" s="5">
        <f>IFERROR(VLOOKUP(A128,DIGITAL!$A$2:$J$2000,7,0),100)</f>
        <v>64</v>
      </c>
      <c r="Q128" s="5">
        <f>IFERROR(P128,0)*PARAMS_MODELO!$B$12</f>
        <v>6.4</v>
      </c>
      <c r="R128">
        <f t="shared" si="27"/>
        <v>87.020378023194951</v>
      </c>
      <c r="S128" s="5" t="str">
        <f>IFERROR(VLOOKUP(A128,CLIENTE!$A$2:$N$2000,13,0),1)</f>
        <v>Regular</v>
      </c>
      <c r="T128" s="5">
        <f>IFERROR(VLOOKUP(A128,CLIENTE!$A$2:$N$2000,14,0),1)</f>
        <v>1</v>
      </c>
      <c r="U128" s="5">
        <f t="shared" si="28"/>
        <v>87.020378023194951</v>
      </c>
      <c r="V128" s="5" t="str">
        <f>IF(U128&gt;=MAX(_xlfn.PERCENTILE.INC($U$2:$U$1194,PARAMS_MODELO!$B$50),PARAMS_MODELO!$B$45),"DIAMANTE",IF(U128&gt;=MAX(_xlfn.PERCENTILE.INC($U$2:$U$1194,PARAMS_MODELO!$B$51),PARAMS_MODELO!$B$46),"PLATINO",IF(U128&gt;=MAX(_xlfn.PERCENTILE.INC($U$2:$U$1194,PARAMS_MODELO!$B$52),PARAMS_MODELO!$B$47),"ORO",IF(U128&gt;=MAX(_xlfn.PERCENTILE.INC($U$2:$U$1194,PARAMS_MODELO!$B$53),PARAMS_MODELO!$B$48),"PLATA",IF(U128&gt;=1,"BRONCE","CERRADO")))))</f>
        <v>PLATINO</v>
      </c>
      <c r="W128" s="5" t="str" cm="1">
        <f t="array" ref="W128">_xlfn.XLOOKUP(1, (HIST_SCORE!$B:$B=PARAMS_MODELO!$B$4) * (HIST_SCORE!$C:$C=A128), HIST_SCORE!$E:$E, "No encontrado")</f>
        <v>PLATINO</v>
      </c>
      <c r="X128" s="5" t="str">
        <f>_xlfn.LET(_xlpm.act,MATCH(V128,{"DIAMANTE";"PLATINO";"ORO";"PLATA";"BRONCE";"CERRADO"},0),_xlpm.ant,MATCH(W128,{"DIAMANTE";"PLATINO";"ORO";"PLATA";"BRONCE";"CERRADO"},0),IF(_xlpm.act&lt;_xlpm.ant,"Mejora ↑",IF(_xlpm.act&gt;_xlpm.ant,"Baja ↓","Estable →")))</f>
        <v>Estable →</v>
      </c>
      <c r="Y128" s="5">
        <f>IFERROR(U128-SUMIFS(HIST_SCORE!$D:$D,HIST_SCORE!$B:$B,PARAMS_MODELO!$B$4,HIST_SCORE!$C:$C,$A128),"")</f>
        <v>0.7811738995998212</v>
      </c>
      <c r="Z128" s="5" t="str">
        <f t="shared" si="29"/>
        <v>→ Estable</v>
      </c>
      <c r="AA128" s="5">
        <f t="shared" si="30"/>
        <v>224</v>
      </c>
      <c r="AB128" s="5">
        <f>IFERROR(SUMIFS(HIST_SCORE!$F:$F,HIST_SCORE!$B:$B,PARAMS_MODELO!$B$4,HIST_SCORE!$C:$C,$A128),"")</f>
        <v>230</v>
      </c>
      <c r="AC128" s="5">
        <f t="shared" si="31"/>
        <v>6</v>
      </c>
      <c r="AD128" t="str">
        <f t="shared" si="33"/>
        <v/>
      </c>
      <c r="AE1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128="CERRADO",1,IF(V128="BRONCE",_xlpm.cPl,IF(V128="PLATA",_xlpm.cO,IF(V128="ORO",_xlpm.cP,IF(V128="PLATINO",_xlpm.cD,999))))))</f>
        <v>96.054919694466676</v>
      </c>
      <c r="AF1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128="CERRADO",0,IF(V128="BRONCE",1,IF(V128="PLATA",_xlpm.cPl,IF(V128="ORO",_xlpm.cO,IF(V128="PLATINO",_xlpm.cP,_xlpm.cD))))))</f>
        <v>86.439123873763251</v>
      </c>
      <c r="AG128">
        <f t="shared" si="34"/>
        <v>9.0345416712717252</v>
      </c>
      <c r="AH128" t="str">
        <f t="shared" si="35"/>
        <v>VENTAS</v>
      </c>
      <c r="AI128" t="str">
        <f t="shared" si="32"/>
        <v>🎯 Para subir de categoría, eje VENTAS / IMPACTO ABSOLUTO (H). Acción: metas semanales + activación comercial + seguimiento del asesor. ΔR aprox: 9,0</v>
      </c>
      <c r="AJ128" s="26">
        <f>_xlfn.LET(_xlpm.piso,AF128,_xlpm.corte,AE128,_xlpm.prog,IF(_xlpm.corte&lt;=_xlpm.piso,0,MAX(0,MIN(1,(U128-_xlpm.piso)/(_xlpm.corte-_xlpm.piso)))),_xlpm.orden,{"DIAMANTE";"PLATINO";"ORO";"PLATA";"BRONCE";"CERRADO"},_xlpm.act,IFERROR(MATCH(V128,_xlpm.orden,0),6),_xlpm.ant,IFERROR(MATCH(W128,_xlpm.orden,0),6),_xlpm.ajmov,IF(_xlpm.act&lt;_xlpm.ant,0.08,IF(_xlpm.act&gt;_xlpm.ant,-0.08,0)),_xlpm.ajcli,IF(T128&lt;0.95,-0.06,0),_xlpm.prob,MAX(0,MIN(1,_xlpm.prog+_xlpm.ajmov+_xlpm.ajcli)),IF(OR(V128="DIAMANTE",V128="CERRADO"),0,ROUND(_xlpm.prob,2)))</f>
        <v>0.06</v>
      </c>
      <c r="AK128" t="str">
        <f t="shared" si="36"/>
        <v>Faltan 9,0 puntos base para subir a la siguiente categoría</v>
      </c>
      <c r="AL128" t="str">
        <f t="shared" si="37"/>
        <v>Margen de seguridad: 0,6 puntos</v>
      </c>
      <c r="AM128">
        <f t="shared" si="38"/>
        <v>0.74</v>
      </c>
      <c r="AN128" t="str">
        <f t="shared" si="39"/>
        <v>PRIORIDAD ALTA – requiere intervención inmediata</v>
      </c>
      <c r="AO128">
        <f t="shared" si="40"/>
        <v>9.2021912521006328</v>
      </c>
      <c r="AP128">
        <f t="shared" si="41"/>
        <v>0</v>
      </c>
      <c r="AQ128">
        <f t="shared" si="42"/>
        <v>3.9999999999999147E-2</v>
      </c>
      <c r="AR128">
        <f t="shared" si="43"/>
        <v>3.5999999999999996</v>
      </c>
      <c r="AS128">
        <f t="shared" si="44"/>
        <v>0</v>
      </c>
      <c r="AT128" t="str">
        <f t="shared" si="45"/>
        <v>VENTAS</v>
      </c>
      <c r="AU128">
        <f t="shared" si="46"/>
        <v>9.2021912521006328</v>
      </c>
      <c r="AV128" t="str">
        <f t="shared" si="47"/>
        <v>Mayor retorno probable: VENTAS (+9,2 puntos finales potenciales).</v>
      </c>
    </row>
    <row r="129" spans="1:48" x14ac:dyDescent="0.3">
      <c r="A129" s="5">
        <v>51042263</v>
      </c>
      <c r="B129" s="5" t="str">
        <f>IFERROR(VLOOKUP(A129,VENTAS!$A$2:$B$1194,2,0),"")</f>
        <v>CICHETTO</v>
      </c>
      <c r="C129" s="5">
        <f>IFERROR(INDEX(VENTAS!$C$2:$E$1194,MATCH(A129,VENTAS!$A$2:$A$1194,0),MATCH(PARAMS_MODELO!$B$2,{"Q1","Q2","Q3"},0)),0)</f>
        <v>134163869.91</v>
      </c>
      <c r="D129" s="5">
        <f>IFERROR(INDEX(VENTAS!$F$2:$H$1194,MATCH(A129,VENTAS!$A$2:$A$1194,0),MATCH(PARAMS_MODELO!$B$2,{"Q1","Q2","Q3"},0)),0)</f>
        <v>147025925</v>
      </c>
      <c r="E129" s="8">
        <f t="shared" si="24"/>
        <v>9.5868247529145911E-2</v>
      </c>
      <c r="F129" s="12">
        <f>IF(E129&lt;=PARAMS_MODELO!$B$15,0,IF(E129&gt;=PARAMS_MODELO!$B$17,100,100*MIN(1,(E129-PARAMS_MODELO!$B$15)/(PARAMS_MODELO!$B$16-PARAMS_MODELO!$B$15))))*PARAMS_MODELO!$B$7</f>
        <v>33.553886635201067</v>
      </c>
      <c r="G129" s="5">
        <f t="shared" si="25"/>
        <v>12862055.090000004</v>
      </c>
      <c r="H129" s="5">
        <f>(PARAMS_MODELO!$B$20*(MAX(0,MIN(3,E129))/3)+PARAMS_MODELO!$B$21*(IFERROR(LN(1+MAX(0,G129))/LN(1+MAX(0,MAX($G$2:$G$1194))),0)))*100*PARAMS_MODELO!$B$8</f>
        <v>4.1728466791634524</v>
      </c>
      <c r="I129" s="8">
        <f>E129-PARAMS_MODELO!$B$5</f>
        <v>-8.1694587846380617E-2</v>
      </c>
      <c r="J129" s="5">
        <f>IF(I129&lt;=PARAMS_MODELO!$B$18,0,IF(I129&gt;=PARAMS_MODELO!$B$19,100,100*(I129-PARAMS_MODELO!$B$18)/(PARAMS_MODELO!$B$19-PARAMS_MODELO!$B$18)))*PARAMS_MODELO!$B$9</f>
        <v>0</v>
      </c>
      <c r="K129" s="5">
        <f>IFERROR(CHOOSE(MATCH(PARAMS_MODELO!$B$2,{"Q1","Q2","Q3"},0),LOTO!$D129,LOTO!$F129,LOTO!$H129),0)</f>
        <v>7370000</v>
      </c>
      <c r="L129" s="8">
        <f t="shared" si="26"/>
        <v>5.0127213959034779E-2</v>
      </c>
      <c r="M129" s="5">
        <f>MIN(100,IF(PARAMS_MODELO!$B$23=0,0,100*L129/PARAMS_MODELO!$B$23))*PARAMS_MODELO!$B$10</f>
        <v>15</v>
      </c>
      <c r="N129" s="5">
        <f>IFERROR(VLOOKUP(A129,COMPLIANCE!$A$2:$F$1996,6,0),100)</f>
        <v>100</v>
      </c>
      <c r="O129" s="5">
        <f>N129*PARAMS_MODELO!$B$11</f>
        <v>10</v>
      </c>
      <c r="P129" s="5">
        <f>IFERROR(VLOOKUP(A129,DIGITAL!$A$2:$J$2000,7,0),100)</f>
        <v>17</v>
      </c>
      <c r="Q129" s="5">
        <f>IFERROR(P129,0)*PARAMS_MODELO!$B$12</f>
        <v>1.7000000000000002</v>
      </c>
      <c r="R129">
        <f t="shared" si="27"/>
        <v>64.426733314364526</v>
      </c>
      <c r="S129" s="5" t="str">
        <f>IFERROR(VLOOKUP(A129,CLIENTE!$A$2:$N$2000,13,0),1)</f>
        <v>Regular</v>
      </c>
      <c r="T129" s="5">
        <f>IFERROR(VLOOKUP(A129,CLIENTE!$A$2:$N$2000,14,0),1)</f>
        <v>1</v>
      </c>
      <c r="U129" s="5">
        <f t="shared" si="28"/>
        <v>64.426733314364526</v>
      </c>
      <c r="V129" s="5" t="str">
        <f>IF(U129&gt;=MAX(_xlfn.PERCENTILE.INC($U$2:$U$1194,PARAMS_MODELO!$B$50),PARAMS_MODELO!$B$45),"DIAMANTE",IF(U129&gt;=MAX(_xlfn.PERCENTILE.INC($U$2:$U$1194,PARAMS_MODELO!$B$51),PARAMS_MODELO!$B$46),"PLATINO",IF(U129&gt;=MAX(_xlfn.PERCENTILE.INC($U$2:$U$1194,PARAMS_MODELO!$B$52),PARAMS_MODELO!$B$47),"ORO",IF(U129&gt;=MAX(_xlfn.PERCENTILE.INC($U$2:$U$1194,PARAMS_MODELO!$B$53),PARAMS_MODELO!$B$48),"PLATA",IF(U129&gt;=1,"BRONCE","CERRADO")))))</f>
        <v>ORO</v>
      </c>
      <c r="W129" s="5" t="str" cm="1">
        <f t="array" ref="W129">_xlfn.XLOOKUP(1, (HIST_SCORE!$B:$B=PARAMS_MODELO!$B$4) * (HIST_SCORE!$C:$C=A129), HIST_SCORE!$E:$E, "No encontrado")</f>
        <v>ORO</v>
      </c>
      <c r="X129" s="5" t="str">
        <f>_xlfn.LET(_xlpm.act,MATCH(V129,{"DIAMANTE";"PLATINO";"ORO";"PLATA";"BRONCE";"CERRADO"},0),_xlpm.ant,MATCH(W129,{"DIAMANTE";"PLATINO";"ORO";"PLATA";"BRONCE";"CERRADO"},0),IF(_xlpm.act&lt;_xlpm.ant,"Mejora ↑",IF(_xlpm.act&gt;_xlpm.ant,"Baja ↓","Estable →")))</f>
        <v>Estable →</v>
      </c>
      <c r="Y129" s="5">
        <f>IFERROR(U129-SUMIFS(HIST_SCORE!$D:$D,HIST_SCORE!$B:$B,PARAMS_MODELO!$B$4,HIST_SCORE!$C:$C,$A129),"")</f>
        <v>-9.8299088303479749</v>
      </c>
      <c r="Z129" s="5" t="str">
        <f t="shared" si="29"/>
        <v>↓ Baja</v>
      </c>
      <c r="AA129" s="5">
        <f t="shared" si="30"/>
        <v>545</v>
      </c>
      <c r="AB129" s="5">
        <f>IFERROR(SUMIFS(HIST_SCORE!$F:$F,HIST_SCORE!$B:$B,PARAMS_MODELO!$B$4,HIST_SCORE!$C:$C,$A129),"")</f>
        <v>498</v>
      </c>
      <c r="AC129" s="5">
        <f t="shared" si="31"/>
        <v>-47</v>
      </c>
      <c r="AD129" t="str">
        <f t="shared" si="33"/>
        <v>Sostener base y reforzar mix</v>
      </c>
      <c r="AE1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129="CERRADO",1,IF(V129="BRONCE",_xlpm.cPl,IF(V129="PLATA",_xlpm.cO,IF(V129="ORO",_xlpm.cP,IF(V129="PLATINO",_xlpm.cD,999))))))</f>
        <v>86.439123873763251</v>
      </c>
      <c r="AF1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129="CERRADO",0,IF(V129="BRONCE",1,IF(V129="PLATA",_xlpm.cPl,IF(V129="ORO",_xlpm.cO,IF(V129="PLATINO",_xlpm.cP,_xlpm.cD))))))</f>
        <v>63.199193273331495</v>
      </c>
      <c r="AG129">
        <f t="shared" si="34"/>
        <v>22.012390559398725</v>
      </c>
      <c r="AH129" t="str">
        <f t="shared" si="35"/>
        <v>VENTAS</v>
      </c>
      <c r="AI129" t="str">
        <f t="shared" si="32"/>
        <v>🎯 Para subir de categoría, eje VENTAS / DIFERENCIAL vs LOTBA (J). Acción: metas semanales + activación comercial + seguimiento del asesor. ΔR aprox: 22,0</v>
      </c>
      <c r="AJ129" s="26">
        <f>_xlfn.LET(_xlpm.piso,AF129,_xlpm.corte,AE129,_xlpm.prog,IF(_xlpm.corte&lt;=_xlpm.piso,0,MAX(0,MIN(1,(U129-_xlpm.piso)/(_xlpm.corte-_xlpm.piso)))),_xlpm.orden,{"DIAMANTE";"PLATINO";"ORO";"PLATA";"BRONCE";"CERRADO"},_xlpm.act,IFERROR(MATCH(V129,_xlpm.orden,0),6),_xlpm.ant,IFERROR(MATCH(W129,_xlpm.orden,0),6),_xlpm.ajmov,IF(_xlpm.act&lt;_xlpm.ant,0.08,IF(_xlpm.act&gt;_xlpm.ant,-0.08,0)),_xlpm.ajcli,IF(T129&lt;0.95,-0.06,0),_xlpm.prob,MAX(0,MIN(1,_xlpm.prog+_xlpm.ajmov+_xlpm.ajcli)),IF(OR(V129="DIAMANTE",V129="CERRADO"),0,ROUND(_xlpm.prob,2)))</f>
        <v>0.05</v>
      </c>
      <c r="AK129" t="str">
        <f t="shared" si="36"/>
        <v>Faltan 22,0 puntos base para subir a la siguiente categoría</v>
      </c>
      <c r="AL129" t="str">
        <f t="shared" si="37"/>
        <v>Margen de seguridad: 1,2 puntos</v>
      </c>
      <c r="AM129">
        <f t="shared" si="38"/>
        <v>0.78</v>
      </c>
      <c r="AN129" t="str">
        <f t="shared" si="39"/>
        <v>PRIORIDAD ALTA – requiere intervención inmediata</v>
      </c>
      <c r="AO129">
        <f t="shared" si="40"/>
        <v>27.135835960931061</v>
      </c>
      <c r="AP129">
        <f t="shared" si="41"/>
        <v>0</v>
      </c>
      <c r="AQ129">
        <f t="shared" si="42"/>
        <v>0</v>
      </c>
      <c r="AR129">
        <f t="shared" si="43"/>
        <v>8.3000000000000007</v>
      </c>
      <c r="AS129">
        <f t="shared" si="44"/>
        <v>0</v>
      </c>
      <c r="AT129" t="str">
        <f t="shared" si="45"/>
        <v>VENTAS</v>
      </c>
      <c r="AU129">
        <f t="shared" si="46"/>
        <v>27.135835960931061</v>
      </c>
      <c r="AV129" t="str">
        <f t="shared" si="47"/>
        <v>Mayor retorno probable: VENTAS (+27,1 puntos finales potenciales).</v>
      </c>
    </row>
    <row r="130" spans="1:48" x14ac:dyDescent="0.3">
      <c r="A130" s="5">
        <v>51055365</v>
      </c>
      <c r="B130" s="5" t="str">
        <f>IFERROR(VLOOKUP(A130,VENTAS!$A$2:$B$1194,2,0),"")</f>
        <v>BELUZZO</v>
      </c>
      <c r="C130" s="5">
        <f>IFERROR(INDEX(VENTAS!$C$2:$E$1194,MATCH(A130,VENTAS!$A$2:$A$1194,0),MATCH(PARAMS_MODELO!$B$2,{"Q1","Q2","Q3"},0)),0)</f>
        <v>109151469.47</v>
      </c>
      <c r="D130" s="5">
        <f>IFERROR(INDEX(VENTAS!$F$2:$H$1194,MATCH(A130,VENTAS!$A$2:$A$1194,0),MATCH(PARAMS_MODELO!$B$2,{"Q1","Q2","Q3"},0)),0)</f>
        <v>145972425</v>
      </c>
      <c r="E130" s="8">
        <f t="shared" ref="E130:E193" si="48">IFERROR(D130/C130-1,0)</f>
        <v>0.3373381568639362</v>
      </c>
      <c r="F130" s="12">
        <f>IF(E130&lt;=PARAMS_MODELO!$B$15,0,IF(E130&gt;=PARAMS_MODELO!$B$17,100,100*MIN(1,(E130-PARAMS_MODELO!$B$15)/(PARAMS_MODELO!$B$16-PARAMS_MODELO!$B$15))))*PARAMS_MODELO!$B$7</f>
        <v>35</v>
      </c>
      <c r="G130" s="5">
        <f t="shared" ref="G130:G193" si="49">MAX(0,D130-C130)</f>
        <v>36820955.530000001</v>
      </c>
      <c r="H130" s="5">
        <f>(PARAMS_MODELO!$B$20*(MAX(0,MIN(3,E130))/3)+PARAMS_MODELO!$B$21*(IFERROR(LN(1+MAX(0,G130))/LN(1+MAX(0,MAX($G$2:$G$1194))),0)))*100*PARAMS_MODELO!$B$8</f>
        <v>5.2645445820212151</v>
      </c>
      <c r="I130" s="8">
        <f>E130-PARAMS_MODELO!$B$5</f>
        <v>0.15977532148840967</v>
      </c>
      <c r="J130" s="5">
        <f>IF(I130&lt;=PARAMS_MODELO!$B$18,0,IF(I130&gt;=PARAMS_MODELO!$B$19,100,100*(I130-PARAMS_MODELO!$B$18)/(PARAMS_MODELO!$B$19-PARAMS_MODELO!$B$18)))*PARAMS_MODELO!$B$9</f>
        <v>15</v>
      </c>
      <c r="K130" s="5">
        <f>IFERROR(CHOOSE(MATCH(PARAMS_MODELO!$B$2,{"Q1","Q2","Q3"},0),LOTO!$D130,LOTO!$F130,LOTO!$H130),0)</f>
        <v>7305000</v>
      </c>
      <c r="L130" s="8">
        <f t="shared" ref="L130:L193" si="50">IFERROR(K130/D130,0)</f>
        <v>5.0043698321789204E-2</v>
      </c>
      <c r="M130" s="5">
        <f>MIN(100,IF(PARAMS_MODELO!$B$23=0,0,100*L130/PARAMS_MODELO!$B$23))*PARAMS_MODELO!$B$10</f>
        <v>15</v>
      </c>
      <c r="N130" s="5">
        <f>IFERROR(VLOOKUP(A130,COMPLIANCE!$A$2:$F$1996,6,0),100)</f>
        <v>100</v>
      </c>
      <c r="O130" s="5">
        <f>N130*PARAMS_MODELO!$B$11</f>
        <v>10</v>
      </c>
      <c r="P130" s="5">
        <f>IFERROR(VLOOKUP(A130,DIGITAL!$A$2:$J$2000,7,0),100)</f>
        <v>55</v>
      </c>
      <c r="Q130" s="5">
        <f>IFERROR(P130,0)*PARAMS_MODELO!$B$12</f>
        <v>5.5</v>
      </c>
      <c r="R130">
        <f t="shared" ref="R130:R193" si="51">MIN(100,MAX(0,F130+H130+J130+M130+O130+Q130))</f>
        <v>85.764544582021216</v>
      </c>
      <c r="S130" s="5" t="str">
        <f>IFERROR(VLOOKUP(A130,CLIENTE!$A$2:$N$2000,13,0),1)</f>
        <v>Regular</v>
      </c>
      <c r="T130" s="5">
        <f>IFERROR(VLOOKUP(A130,CLIENTE!$A$2:$N$2000,14,0),1)</f>
        <v>1</v>
      </c>
      <c r="U130" s="5">
        <f t="shared" ref="U130:U193" si="52">MIN(100,MAX(0,R130*T130))</f>
        <v>85.764544582021216</v>
      </c>
      <c r="V130" s="5" t="str">
        <f>IF(U130&gt;=MAX(_xlfn.PERCENTILE.INC($U$2:$U$1194,PARAMS_MODELO!$B$50),PARAMS_MODELO!$B$45),"DIAMANTE",IF(U130&gt;=MAX(_xlfn.PERCENTILE.INC($U$2:$U$1194,PARAMS_MODELO!$B$51),PARAMS_MODELO!$B$46),"PLATINO",IF(U130&gt;=MAX(_xlfn.PERCENTILE.INC($U$2:$U$1194,PARAMS_MODELO!$B$52),PARAMS_MODELO!$B$47),"ORO",IF(U130&gt;=MAX(_xlfn.PERCENTILE.INC($U$2:$U$1194,PARAMS_MODELO!$B$53),PARAMS_MODELO!$B$48),"PLATA",IF(U130&gt;=1,"BRONCE","CERRADO")))))</f>
        <v>ORO</v>
      </c>
      <c r="W130" s="5" t="str" cm="1">
        <f t="array" ref="W130">_xlfn.XLOOKUP(1, (HIST_SCORE!$B:$B=PARAMS_MODELO!$B$4) * (HIST_SCORE!$C:$C=A130), HIST_SCORE!$E:$E, "No encontrado")</f>
        <v>ORO</v>
      </c>
      <c r="X130" s="5" t="str">
        <f>_xlfn.LET(_xlpm.act,MATCH(V130,{"DIAMANTE";"PLATINO";"ORO";"PLATA";"BRONCE";"CERRADO"},0),_xlpm.ant,MATCH(W130,{"DIAMANTE";"PLATINO";"ORO";"PLATA";"BRONCE";"CERRADO"},0),IF(_xlpm.act&lt;_xlpm.ant,"Mejora ↑",IF(_xlpm.act&gt;_xlpm.ant,"Baja ↓","Estable →")))</f>
        <v>Estable →</v>
      </c>
      <c r="Y130" s="5">
        <f>IFERROR(U130-SUMIFS(HIST_SCORE!$D:$D,HIST_SCORE!$B:$B,PARAMS_MODELO!$B$4,HIST_SCORE!$C:$C,$A130),"")</f>
        <v>0.39789381828538239</v>
      </c>
      <c r="Z130" s="5" t="str">
        <f t="shared" ref="Z130:Z193" si="53">IF(Y130="","",IF(Y130&gt;=5,"↑ Mejora",IF(Y130&lt;=-5,"↓ Baja","→ Estable")))</f>
        <v>→ Estable</v>
      </c>
      <c r="AA130" s="5">
        <f t="shared" ref="AA130:AA193" si="54">IFERROR(_xlfn.RANK.EQ(U130,$U$2:$U$1194,0),"")</f>
        <v>259</v>
      </c>
      <c r="AB130" s="5">
        <f>IFERROR(SUMIFS(HIST_SCORE!$F:$F,HIST_SCORE!$B:$B,PARAMS_MODELO!$B$4,HIST_SCORE!$C:$C,$A130),"")</f>
        <v>259</v>
      </c>
      <c r="AC130" s="5">
        <f t="shared" ref="AC130:AC193" si="55">IF(OR(AA130="",AB130=""),"",AB130-AA130)</f>
        <v>0</v>
      </c>
      <c r="AD130" t="str">
        <f t="shared" si="33"/>
        <v/>
      </c>
      <c r="AE1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130="CERRADO",1,IF(V130="BRONCE",_xlpm.cPl,IF(V130="PLATA",_xlpm.cO,IF(V130="ORO",_xlpm.cP,IF(V130="PLATINO",_xlpm.cD,999))))))</f>
        <v>86.439123873763251</v>
      </c>
      <c r="AF1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130="CERRADO",0,IF(V130="BRONCE",1,IF(V130="PLATA",_xlpm.cPl,IF(V130="ORO",_xlpm.cO,IF(V130="PLATINO",_xlpm.cP,_xlpm.cD))))))</f>
        <v>63.199193273331495</v>
      </c>
      <c r="AG130">
        <f t="shared" si="34"/>
        <v>0.67457929174203457</v>
      </c>
      <c r="AH130" t="str">
        <f t="shared" si="35"/>
        <v>VENTAS</v>
      </c>
      <c r="AI130" t="str">
        <f t="shared" ref="AI130:AI193" si="56">_xlfn.LET(_xlpm.pal,AH130,_xlpm.deltaR,AG130,_xlpm.minVent,MIN(F130,H130,J130),_xlpm.subV,IF(_xlpm.minVent=F130,"CRECIMIENTO PERSONAL (F)",IF(_xlpm.minVent=H130,"IMPACTO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IMPACTO ABSOLUTO (H). Acción: metas semanales + activación comercial + seguimiento del asesor. ΔR aprox: 0,7</v>
      </c>
      <c r="AJ130" s="26">
        <f>_xlfn.LET(_xlpm.piso,AF130,_xlpm.corte,AE130,_xlpm.prog,IF(_xlpm.corte&lt;=_xlpm.piso,0,MAX(0,MIN(1,(U130-_xlpm.piso)/(_xlpm.corte-_xlpm.piso)))),_xlpm.orden,{"DIAMANTE";"PLATINO";"ORO";"PLATA";"BRONCE";"CERRADO"},_xlpm.act,IFERROR(MATCH(V130,_xlpm.orden,0),6),_xlpm.ant,IFERROR(MATCH(W130,_xlpm.orden,0),6),_xlpm.ajmov,IF(_xlpm.act&lt;_xlpm.ant,0.08,IF(_xlpm.act&gt;_xlpm.ant,-0.08,0)),_xlpm.ajcli,IF(T130&lt;0.95,-0.06,0),_xlpm.prob,MAX(0,MIN(1,_xlpm.prog+_xlpm.ajmov+_xlpm.ajcli)),IF(OR(V130="DIAMANTE",V130="CERRADO"),0,ROUND(_xlpm.prob,2)))</f>
        <v>0.97</v>
      </c>
      <c r="AK130" t="str">
        <f t="shared" si="36"/>
        <v>Faltan 0,7 puntos base para subir a la siguiente categoría</v>
      </c>
      <c r="AL130" t="str">
        <f t="shared" si="37"/>
        <v>Margen de seguridad: 22,6 puntos</v>
      </c>
      <c r="AM130">
        <f t="shared" si="38"/>
        <v>0.04</v>
      </c>
      <c r="AN130" t="str">
        <f t="shared" si="39"/>
        <v>PRIORIDAD BAJA – control normal</v>
      </c>
      <c r="AO130">
        <f t="shared" si="40"/>
        <v>9.5980246932743682</v>
      </c>
      <c r="AP130">
        <f t="shared" si="41"/>
        <v>0</v>
      </c>
      <c r="AQ130">
        <f t="shared" si="42"/>
        <v>0</v>
      </c>
      <c r="AR130">
        <f t="shared" si="43"/>
        <v>4.5</v>
      </c>
      <c r="AS130">
        <f t="shared" si="44"/>
        <v>0</v>
      </c>
      <c r="AT130" t="str">
        <f t="shared" si="45"/>
        <v>VENTAS</v>
      </c>
      <c r="AU130">
        <f t="shared" si="46"/>
        <v>9.5980246932743682</v>
      </c>
      <c r="AV130" t="str">
        <f t="shared" si="47"/>
        <v>Mayor retorno probable: VENTAS (+9,6 puntos finales potenciales).</v>
      </c>
    </row>
    <row r="131" spans="1:48" x14ac:dyDescent="0.3">
      <c r="A131" s="5">
        <v>51031385</v>
      </c>
      <c r="B131" s="5" t="str">
        <f>IFERROR(VLOOKUP(A131,VENTAS!$A$2:$B$1194,2,0),"")</f>
        <v>ROBERTS</v>
      </c>
      <c r="C131" s="5">
        <f>IFERROR(INDEX(VENTAS!$C$2:$E$1194,MATCH(A131,VENTAS!$A$2:$A$1194,0),MATCH(PARAMS_MODELO!$B$2,{"Q1","Q2","Q3"},0)),0)</f>
        <v>102480785.67</v>
      </c>
      <c r="D131" s="5">
        <f>IFERROR(INDEX(VENTAS!$F$2:$H$1194,MATCH(A131,VENTAS!$A$2:$A$1194,0),MATCH(PARAMS_MODELO!$B$2,{"Q1","Q2","Q3"},0)),0)</f>
        <v>144483379</v>
      </c>
      <c r="E131" s="8">
        <f t="shared" si="48"/>
        <v>0.40985822908553038</v>
      </c>
      <c r="F131" s="12">
        <f>IF(E131&lt;=PARAMS_MODELO!$B$15,0,IF(E131&gt;=PARAMS_MODELO!$B$17,100,100*MIN(1,(E131-PARAMS_MODELO!$B$15)/(PARAMS_MODELO!$B$16-PARAMS_MODELO!$B$15))))*PARAMS_MODELO!$B$7</f>
        <v>35</v>
      </c>
      <c r="G131" s="5">
        <f t="shared" si="49"/>
        <v>42002593.329999998</v>
      </c>
      <c r="H131" s="5">
        <f>(PARAMS_MODELO!$B$20*(MAX(0,MIN(3,E131))/3)+PARAMS_MODELO!$B$21*(IFERROR(LN(1+MAX(0,G131))/LN(1+MAX(0,MAX($G$2:$G$1194))),0)))*100*PARAMS_MODELO!$B$8</f>
        <v>5.5492287689311075</v>
      </c>
      <c r="I131" s="8">
        <f>E131-PARAMS_MODELO!$B$5</f>
        <v>0.23229539371000385</v>
      </c>
      <c r="J131" s="5">
        <f>IF(I131&lt;=PARAMS_MODELO!$B$18,0,IF(I131&gt;=PARAMS_MODELO!$B$19,100,100*(I131-PARAMS_MODELO!$B$18)/(PARAMS_MODELO!$B$19-PARAMS_MODELO!$B$18)))*PARAMS_MODELO!$B$9</f>
        <v>15</v>
      </c>
      <c r="K131" s="5">
        <f>IFERROR(CHOOSE(MATCH(PARAMS_MODELO!$B$2,{"Q1","Q2","Q3"},0),LOTO!$D131,LOTO!$F131,LOTO!$H131),0)</f>
        <v>7302500</v>
      </c>
      <c r="L131" s="8">
        <f t="shared" si="50"/>
        <v>5.054214575089637E-2</v>
      </c>
      <c r="M131" s="5">
        <f>MIN(100,IF(PARAMS_MODELO!$B$23=0,0,100*L131/PARAMS_MODELO!$B$23))*PARAMS_MODELO!$B$10</f>
        <v>15</v>
      </c>
      <c r="N131" s="5">
        <f>IFERROR(VLOOKUP(A131,COMPLIANCE!$A$2:$F$1996,6,0),100)</f>
        <v>100</v>
      </c>
      <c r="O131" s="5">
        <f>N131*PARAMS_MODELO!$B$11</f>
        <v>10</v>
      </c>
      <c r="P131" s="5">
        <f>IFERROR(VLOOKUP(A131,DIGITAL!$A$2:$J$2000,7,0),100)</f>
        <v>23</v>
      </c>
      <c r="Q131" s="5">
        <f>IFERROR(P131,0)*PARAMS_MODELO!$B$12</f>
        <v>2.3000000000000003</v>
      </c>
      <c r="R131">
        <f t="shared" si="51"/>
        <v>82.849228768931098</v>
      </c>
      <c r="S131" s="5" t="str">
        <f>IFERROR(VLOOKUP(A131,CLIENTE!$A$2:$N$2000,13,0),1)</f>
        <v>Regular</v>
      </c>
      <c r="T131" s="5">
        <f>IFERROR(VLOOKUP(A131,CLIENTE!$A$2:$N$2000,14,0),1)</f>
        <v>1</v>
      </c>
      <c r="U131" s="5">
        <f t="shared" si="52"/>
        <v>82.849228768931098</v>
      </c>
      <c r="V131" s="5" t="str">
        <f>IF(U131&gt;=MAX(_xlfn.PERCENTILE.INC($U$2:$U$1194,PARAMS_MODELO!$B$50),PARAMS_MODELO!$B$45),"DIAMANTE",IF(U131&gt;=MAX(_xlfn.PERCENTILE.INC($U$2:$U$1194,PARAMS_MODELO!$B$51),PARAMS_MODELO!$B$46),"PLATINO",IF(U131&gt;=MAX(_xlfn.PERCENTILE.INC($U$2:$U$1194,PARAMS_MODELO!$B$52),PARAMS_MODELO!$B$47),"ORO",IF(U131&gt;=MAX(_xlfn.PERCENTILE.INC($U$2:$U$1194,PARAMS_MODELO!$B$53),PARAMS_MODELO!$B$48),"PLATA",IF(U131&gt;=1,"BRONCE","CERRADO")))))</f>
        <v>ORO</v>
      </c>
      <c r="W131" s="5" t="str" cm="1">
        <f t="array" ref="W131">_xlfn.XLOOKUP(1, (HIST_SCORE!$B:$B=PARAMS_MODELO!$B$4) * (HIST_SCORE!$C:$C=A131), HIST_SCORE!$E:$E, "No encontrado")</f>
        <v>ORO</v>
      </c>
      <c r="X131" s="5" t="str">
        <f>_xlfn.LET(_xlpm.act,MATCH(V131,{"DIAMANTE";"PLATINO";"ORO";"PLATA";"BRONCE";"CERRADO"},0),_xlpm.ant,MATCH(W131,{"DIAMANTE";"PLATINO";"ORO";"PLATA";"BRONCE";"CERRADO"},0),IF(_xlpm.act&lt;_xlpm.ant,"Mejora ↑",IF(_xlpm.act&gt;_xlpm.ant,"Baja ↓","Estable →")))</f>
        <v>Estable →</v>
      </c>
      <c r="Y131" s="5">
        <f>IFERROR(U131-SUMIFS(HIST_SCORE!$D:$D,HIST_SCORE!$B:$B,PARAMS_MODELO!$B$4,HIST_SCORE!$C:$C,$A131),"")</f>
        <v>0.43194036644136702</v>
      </c>
      <c r="Z131" s="5" t="str">
        <f t="shared" si="53"/>
        <v>→ Estable</v>
      </c>
      <c r="AA131" s="5">
        <f t="shared" si="54"/>
        <v>360</v>
      </c>
      <c r="AB131" s="5">
        <f>IFERROR(SUMIFS(HIST_SCORE!$F:$F,HIST_SCORE!$B:$B,PARAMS_MODELO!$B$4,HIST_SCORE!$C:$C,$A131),"")</f>
        <v>350</v>
      </c>
      <c r="AC131" s="5">
        <f t="shared" si="55"/>
        <v>-10</v>
      </c>
      <c r="AD131" t="str">
        <f t="shared" ref="AD131:AD194" si="57">IF(V131="CERRADO","Agencia sin actividad o cerrada",IF(AND(V131="BRONCE",Y131=""),"Primer corte: cargá histórico para medir movilidad",IF(AND(V131="BRONCE",Y131&lt;0),"Plan de recuperación: foco crecimiento + mix",IF(AND(V131="ORO",Y131&lt;0),"Sostener base y reforzar mix",""))))</f>
        <v/>
      </c>
      <c r="AE1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131="CERRADO",1,IF(V131="BRONCE",_xlpm.cPl,IF(V131="PLATA",_xlpm.cO,IF(V131="ORO",_xlpm.cP,IF(V131="PLATINO",_xlpm.cD,999))))))</f>
        <v>86.439123873763251</v>
      </c>
      <c r="AF1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131="CERRADO",0,IF(V131="BRONCE",1,IF(V131="PLATA",_xlpm.cPl,IF(V131="ORO",_xlpm.cO,IF(V131="PLATINO",_xlpm.cP,_xlpm.cD))))))</f>
        <v>63.199193273331495</v>
      </c>
      <c r="AG131">
        <f t="shared" ref="AG131:AG194" si="58">_xlfn.LET(_xlpm.corteU,AE131,_xlpm.coef,MAX(0.01,T131),_xlpm.reqR,_xlpm.corteU/_xlpm.coef,MAX(0,_xlpm.reqR-R131))</f>
        <v>3.5898951048321521</v>
      </c>
      <c r="AH131" t="str">
        <f t="shared" ref="AH131:AH194" si="59">_xlfn.LET(_xlpm.deltaR,AG131,_xlpm.ventas,F131+H131+J131,_xlpm.hv,(MAX($F$2:$F$1194)+MAX($H$2:$H$1194)+MAX($J$2:$J$1194))-_xlpm.ventas,_xlpm.hl,MAX($M$2:$M$1194)-M131,_xlpm.hc,MAX($O$2:$O$1194)-O131,_xlpm.hd,MAX($Q$2:$Q$1194)-Q131,_xlpm.impV,MIN(_xlpm.deltaR,MAX(0,_xlpm.hv)),_xlpm.impL,MIN(_xlpm.deltaR,MAX(0,_xlpm.hl)),_xlpm.impC,MIN(_xlpm.deltaR,MAX(0,_xlpm.hc)),_xlpm.impD,MIN(_xlpm.deltaR,MAX(0,_xlpm.hd)),_xlpm.t,T131,_xlpm.tObj,1,_xlpm.impCli,IF(_xlpm.t&lt;0.95,MIN(_xlpm.deltaR,R131*(_xlpm.tObj/_xlpm.t-1)),0),_xlpm.mx,MAX(_xlpm.impV,_xlpm.impL,_xlpm.impC,_xlpm.impD,_xlpm.impCli),IF(V131="DIAMANTE","SOSTENER",IF(V131="CERRADO","CERRADO",IF(_xlpm.mx=_xlpm.impCli,"CLIENTE",IF(_xlpm.mx=_xlpm.impV,"VENTAS",IF(_xlpm.mx=_xlpm.impL,"LOTO",IF(_xlpm.mx=_xlpm.impC,"COMPLIANCE","DIGITAL")))))))</f>
        <v>VENTAS</v>
      </c>
      <c r="AI131" t="str">
        <f t="shared" si="56"/>
        <v>🎯 Para subir de categoría, eje VENTAS / IMPACTO ABSOLUTO (H). Acción: metas semanales + activación comercial + seguimiento del asesor. ΔR aprox: 3,6</v>
      </c>
      <c r="AJ131" s="26">
        <f>_xlfn.LET(_xlpm.piso,AF131,_xlpm.corte,AE131,_xlpm.prog,IF(_xlpm.corte&lt;=_xlpm.piso,0,MAX(0,MIN(1,(U131-_xlpm.piso)/(_xlpm.corte-_xlpm.piso)))),_xlpm.orden,{"DIAMANTE";"PLATINO";"ORO";"PLATA";"BRONCE";"CERRADO"},_xlpm.act,IFERROR(MATCH(V131,_xlpm.orden,0),6),_xlpm.ant,IFERROR(MATCH(W131,_xlpm.orden,0),6),_xlpm.ajmov,IF(_xlpm.act&lt;_xlpm.ant,0.08,IF(_xlpm.act&gt;_xlpm.ant,-0.08,0)),_xlpm.ajcli,IF(T131&lt;0.95,-0.06,0),_xlpm.prob,MAX(0,MIN(1,_xlpm.prog+_xlpm.ajmov+_xlpm.ajcli)),IF(OR(V131="DIAMANTE",V131="CERRADO"),0,ROUND(_xlpm.prob,2)))</f>
        <v>0.85</v>
      </c>
      <c r="AK131" t="str">
        <f t="shared" ref="AK131:AK194" si="60">IF(OR(V131="DIAMANTE",V131="CERRADO"),"No aplica","Faltan " &amp; TEXT(AG131,"0,0") &amp; " puntos base para subir a la siguiente categoría")</f>
        <v>Faltan 3,6 puntos base para subir a la siguiente categoría</v>
      </c>
      <c r="AL131" t="str">
        <f t="shared" ref="AL131:AL194" si="61">_xlfn.LET(_xlpm.piso,AF131,_xlpm.dist,U131-_xlpm.piso,IF(OR(V131="BRONCE",V131="CERRADO"),"No aplica",IF(_xlpm.dist&lt;=0,"⚠ Riesgo de descenso","Margen de seguridad: " &amp; TEXT(_xlpm.dist,"0,0") &amp; " puntos")))</f>
        <v>Margen de seguridad: 19,7 puntos</v>
      </c>
      <c r="AM131">
        <f t="shared" ref="AM131:AM194" si="62">_xlfn.LET(_xlpm.prob,AJ131,_xlpm.dist,AG131,_xlpm.coef,T131,_xlpm.prior,(1-_xlpm.prob)*0.4+MIN(1,_xlpm.dist/10)*0.4+IF(_xlpm.coef&lt;0.95,0.2,0),ROUND(_xlpm.prior,2))</f>
        <v>0.2</v>
      </c>
      <c r="AN131" t="str">
        <f t="shared" ref="AN131:AN194" si="63">IF(AM131&gt;=0.7,"PRIORIDAD ALTA – requiere intervención inmediata",IF(AM131&gt;=0.4,"PRIORIDAD MEDIA – seguimiento del asesor","PRIORIDAD BAJA – control normal"))</f>
        <v>PRIORIDAD BAJA – control normal</v>
      </c>
      <c r="AO131">
        <f t="shared" ref="AO131:AO194" si="64">MAX(0,((MAX($F$2:$F$1194)+MAX($H$2:$H$1194)+MAX($J$2:$J$1194))-(F131+H131+J131))*T131)</f>
        <v>9.3133405063644759</v>
      </c>
      <c r="AP131">
        <f t="shared" ref="AP131:AP194" si="65">MAX(0,(MAX($M$2:$M$1194)-M131)*T131)</f>
        <v>0</v>
      </c>
      <c r="AQ131">
        <f t="shared" ref="AQ131:AQ194" si="66">MAX(0,(MAX($O$2:$O$1194)-O131)*T131)</f>
        <v>0</v>
      </c>
      <c r="AR131">
        <f t="shared" ref="AR131:AR194" si="67">MAX(0,(MAX($Q$2:$Q$1194)-Q131)*T131)</f>
        <v>7.6999999999999993</v>
      </c>
      <c r="AS131">
        <f t="shared" ref="AS131:AS194" si="68">MAX(0,R131*(1-T131))</f>
        <v>0</v>
      </c>
      <c r="AT131" t="str">
        <f t="shared" ref="AT131:AT194" si="69">_xlfn.LET(_xlpm.v,AO131,_xlpm.l,AP131,_xlpm.c,AQ131,_xlpm.d,AR131,_xlpm.cli,AS131,_xlpm.mx,MAX(_xlpm.v,_xlpm.l,_xlpm.c,_xlpm.d,_xlpm.cli),IF(_xlpm.mx=_xlpm.cli,"CLIENTE",IF(_xlpm.mx=_xlpm.v,"VENTAS",IF(_xlpm.mx=_xlpm.l,"LOTO",IF(_xlpm.mx=_xlpm.c,"COMPLIANCE","DIGITAL")))))</f>
        <v>VENTAS</v>
      </c>
      <c r="AU131">
        <f t="shared" ref="AU131:AU194" si="70">MAX(AO131,AP131,AQ131,AR131,AS131)</f>
        <v>9.3133405063644759</v>
      </c>
      <c r="AV131" t="str">
        <f t="shared" ref="AV131:AV194" si="71">IF(V131="CERRADO","⛔ Sin impacto comercial estimable por estado CERRADO.","Mayor retorno probable: " &amp; AT131 &amp; " (+" &amp; TEXT(AU131,"0,0") &amp; " puntos finales potenciales).")</f>
        <v>Mayor retorno probable: VENTAS (+9,3 puntos finales potenciales).</v>
      </c>
    </row>
    <row r="132" spans="1:48" x14ac:dyDescent="0.3">
      <c r="A132" s="5">
        <v>51041577</v>
      </c>
      <c r="B132" s="5" t="str">
        <f>IFERROR(VLOOKUP(A132,VENTAS!$A$2:$B$1194,2,0),"")</f>
        <v>LÓPEZ</v>
      </c>
      <c r="C132" s="5">
        <f>IFERROR(INDEX(VENTAS!$C$2:$E$1194,MATCH(A132,VENTAS!$A$2:$A$1194,0),MATCH(PARAMS_MODELO!$B$2,{"Q1","Q2","Q3"},0)),0)</f>
        <v>106878241.25</v>
      </c>
      <c r="D132" s="5">
        <f>IFERROR(INDEX(VENTAS!$F$2:$H$1194,MATCH(A132,VENTAS!$A$2:$A$1194,0),MATCH(PARAMS_MODELO!$B$2,{"Q1","Q2","Q3"},0)),0)</f>
        <v>144345631</v>
      </c>
      <c r="E132" s="8">
        <f t="shared" si="48"/>
        <v>0.35056143618942648</v>
      </c>
      <c r="F132" s="12">
        <f>IF(E132&lt;=PARAMS_MODELO!$B$15,0,IF(E132&gt;=PARAMS_MODELO!$B$17,100,100*MIN(1,(E132-PARAMS_MODELO!$B$15)/(PARAMS_MODELO!$B$16-PARAMS_MODELO!$B$15))))*PARAMS_MODELO!$B$7</f>
        <v>35</v>
      </c>
      <c r="G132" s="5">
        <f t="shared" si="49"/>
        <v>37467389.75</v>
      </c>
      <c r="H132" s="5">
        <f>(PARAMS_MODELO!$B$20*(MAX(0,MIN(3,E132))/3)+PARAMS_MODELO!$B$21*(IFERROR(LN(1+MAX(0,G132))/LN(1+MAX(0,MAX($G$2:$G$1194))),0)))*100*PARAMS_MODELO!$B$8</f>
        <v>5.3149057581926815</v>
      </c>
      <c r="I132" s="8">
        <f>E132-PARAMS_MODELO!$B$5</f>
        <v>0.17299860081389995</v>
      </c>
      <c r="J132" s="5">
        <f>IF(I132&lt;=PARAMS_MODELO!$B$18,0,IF(I132&gt;=PARAMS_MODELO!$B$19,100,100*(I132-PARAMS_MODELO!$B$18)/(PARAMS_MODELO!$B$19-PARAMS_MODELO!$B$18)))*PARAMS_MODELO!$B$9</f>
        <v>15</v>
      </c>
      <c r="K132" s="5">
        <f>IFERROR(CHOOSE(MATCH(PARAMS_MODELO!$B$2,{"Q1","Q2","Q3"},0),LOTO!$D132,LOTO!$F132,LOTO!$H132),0)</f>
        <v>7285000</v>
      </c>
      <c r="L132" s="8">
        <f t="shared" si="50"/>
        <v>5.0469140974554329E-2</v>
      </c>
      <c r="M132" s="5">
        <f>MIN(100,IF(PARAMS_MODELO!$B$23=0,0,100*L132/PARAMS_MODELO!$B$23))*PARAMS_MODELO!$B$10</f>
        <v>15</v>
      </c>
      <c r="N132" s="5">
        <f>IFERROR(VLOOKUP(A132,COMPLIANCE!$A$2:$F$1996,6,0),100)</f>
        <v>100</v>
      </c>
      <c r="O132" s="5">
        <f>N132*PARAMS_MODELO!$B$11</f>
        <v>10</v>
      </c>
      <c r="P132" s="5">
        <f>IFERROR(VLOOKUP(A132,DIGITAL!$A$2:$J$2000,7,0),100)</f>
        <v>71</v>
      </c>
      <c r="Q132" s="5">
        <f>IFERROR(P132,0)*PARAMS_MODELO!$B$12</f>
        <v>7.1000000000000005</v>
      </c>
      <c r="R132">
        <f t="shared" si="51"/>
        <v>87.414905758192674</v>
      </c>
      <c r="S132" s="5" t="str">
        <f>IFERROR(VLOOKUP(A132,CLIENTE!$A$2:$N$2000,13,0),1)</f>
        <v>Bueno</v>
      </c>
      <c r="T132" s="5">
        <f>IFERROR(VLOOKUP(A132,CLIENTE!$A$2:$N$2000,14,0),1)</f>
        <v>1.1000000000000001</v>
      </c>
      <c r="U132" s="5">
        <f t="shared" si="52"/>
        <v>96.156396334011944</v>
      </c>
      <c r="V132" s="5" t="str">
        <f>IF(U132&gt;=MAX(_xlfn.PERCENTILE.INC($U$2:$U$1194,PARAMS_MODELO!$B$50),PARAMS_MODELO!$B$45),"DIAMANTE",IF(U132&gt;=MAX(_xlfn.PERCENTILE.INC($U$2:$U$1194,PARAMS_MODELO!$B$51),PARAMS_MODELO!$B$46),"PLATINO",IF(U132&gt;=MAX(_xlfn.PERCENTILE.INC($U$2:$U$1194,PARAMS_MODELO!$B$52),PARAMS_MODELO!$B$47),"ORO",IF(U132&gt;=MAX(_xlfn.PERCENTILE.INC($U$2:$U$1194,PARAMS_MODELO!$B$53),PARAMS_MODELO!$B$48),"PLATA",IF(U132&gt;=1,"BRONCE","CERRADO")))))</f>
        <v>DIAMANTE</v>
      </c>
      <c r="W132" s="5" t="str" cm="1">
        <f t="array" ref="W132">_xlfn.XLOOKUP(1, (HIST_SCORE!$B:$B=PARAMS_MODELO!$B$4) * (HIST_SCORE!$C:$C=A132), HIST_SCORE!$E:$E, "No encontrado")</f>
        <v>DIAMANTE</v>
      </c>
      <c r="X132" s="5" t="str">
        <f>_xlfn.LET(_xlpm.act,MATCH(V132,{"DIAMANTE";"PLATINO";"ORO";"PLATA";"BRONCE";"CERRADO"},0),_xlpm.ant,MATCH(W132,{"DIAMANTE";"PLATINO";"ORO";"PLATA";"BRONCE";"CERRADO"},0),IF(_xlpm.act&lt;_xlpm.ant,"Mejora ↑",IF(_xlpm.act&gt;_xlpm.ant,"Baja ↓","Estable →")))</f>
        <v>Estable →</v>
      </c>
      <c r="Y132" s="5">
        <f>IFERROR(U132-SUMIFS(HIST_SCORE!$D:$D,HIST_SCORE!$B:$B,PARAMS_MODELO!$B$4,HIST_SCORE!$C:$C,$A132),"")</f>
        <v>-7.7527060781577006E-2</v>
      </c>
      <c r="Z132" s="5" t="str">
        <f t="shared" si="53"/>
        <v>→ Estable</v>
      </c>
      <c r="AA132" s="5">
        <f t="shared" si="54"/>
        <v>59</v>
      </c>
      <c r="AB132" s="5">
        <f>IFERROR(SUMIFS(HIST_SCORE!$F:$F,HIST_SCORE!$B:$B,PARAMS_MODELO!$B$4,HIST_SCORE!$C:$C,$A132),"")</f>
        <v>51</v>
      </c>
      <c r="AC132" s="5">
        <f t="shared" si="55"/>
        <v>-8</v>
      </c>
      <c r="AD132" t="str">
        <f t="shared" si="57"/>
        <v/>
      </c>
      <c r="AE1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132="CERRADO",1,IF(V132="BRONCE",_xlpm.cPl,IF(V132="PLATA",_xlpm.cO,IF(V132="ORO",_xlpm.cP,IF(V132="PLATINO",_xlpm.cD,999))))))</f>
        <v>999</v>
      </c>
      <c r="AF1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132="CERRADO",0,IF(V132="BRONCE",1,IF(V132="PLATA",_xlpm.cPl,IF(V132="ORO",_xlpm.cO,IF(V132="PLATINO",_xlpm.cP,_xlpm.cD))))))</f>
        <v>96.054919694466676</v>
      </c>
      <c r="AG132">
        <f t="shared" si="58"/>
        <v>820.7669124236254</v>
      </c>
      <c r="AH132" t="str">
        <f t="shared" si="59"/>
        <v>SOSTENER</v>
      </c>
      <c r="AI132" t="str">
        <f t="shared" si="56"/>
        <v>✅ Mantener desempeño y monitorear variaciones para sostener categoría.</v>
      </c>
      <c r="AJ132" s="26">
        <f>_xlfn.LET(_xlpm.piso,AF132,_xlpm.corte,AE132,_xlpm.prog,IF(_xlpm.corte&lt;=_xlpm.piso,0,MAX(0,MIN(1,(U132-_xlpm.piso)/(_xlpm.corte-_xlpm.piso)))),_xlpm.orden,{"DIAMANTE";"PLATINO";"ORO";"PLATA";"BRONCE";"CERRADO"},_xlpm.act,IFERROR(MATCH(V132,_xlpm.orden,0),6),_xlpm.ant,IFERROR(MATCH(W132,_xlpm.orden,0),6),_xlpm.ajmov,IF(_xlpm.act&lt;_xlpm.ant,0.08,IF(_xlpm.act&gt;_xlpm.ant,-0.08,0)),_xlpm.ajcli,IF(T132&lt;0.95,-0.06,0),_xlpm.prob,MAX(0,MIN(1,_xlpm.prog+_xlpm.ajmov+_xlpm.ajcli)),IF(OR(V132="DIAMANTE",V132="CERRADO"),0,ROUND(_xlpm.prob,2)))</f>
        <v>0</v>
      </c>
      <c r="AK132" t="str">
        <f t="shared" si="60"/>
        <v>No aplica</v>
      </c>
      <c r="AL132" t="str">
        <f t="shared" si="61"/>
        <v>Margen de seguridad: 0,1 puntos</v>
      </c>
      <c r="AM132">
        <f t="shared" si="62"/>
        <v>0.8</v>
      </c>
      <c r="AN132" t="str">
        <f t="shared" si="63"/>
        <v>PRIORIDAD ALTA – requiere intervención inmediata</v>
      </c>
      <c r="AO132">
        <f t="shared" si="64"/>
        <v>10.502429868813195</v>
      </c>
      <c r="AP132">
        <f t="shared" si="65"/>
        <v>0</v>
      </c>
      <c r="AQ132">
        <f t="shared" si="66"/>
        <v>0</v>
      </c>
      <c r="AR132">
        <f t="shared" si="67"/>
        <v>3.1899999999999995</v>
      </c>
      <c r="AS132">
        <f t="shared" si="68"/>
        <v>0</v>
      </c>
      <c r="AT132" t="str">
        <f t="shared" si="69"/>
        <v>VENTAS</v>
      </c>
      <c r="AU132">
        <f t="shared" si="70"/>
        <v>10.502429868813195</v>
      </c>
      <c r="AV132" t="str">
        <f t="shared" si="71"/>
        <v>Mayor retorno probable: VENTAS (+10,5 puntos finales potenciales).</v>
      </c>
    </row>
    <row r="133" spans="1:48" x14ac:dyDescent="0.3">
      <c r="A133" s="5">
        <v>51018877</v>
      </c>
      <c r="B133" s="5" t="str">
        <f>IFERROR(VLOOKUP(A133,VENTAS!$A$2:$B$1194,2,0),"")</f>
        <v>BELUZZO</v>
      </c>
      <c r="C133" s="5">
        <f>IFERROR(INDEX(VENTAS!$C$2:$E$1194,MATCH(A133,VENTAS!$A$2:$A$1194,0),MATCH(PARAMS_MODELO!$B$2,{"Q1","Q2","Q3"},0)),0)</f>
        <v>165007278.38999999</v>
      </c>
      <c r="D133" s="5">
        <f>IFERROR(INDEX(VENTAS!$F$2:$H$1194,MATCH(A133,VENTAS!$A$2:$A$1194,0),MATCH(PARAMS_MODELO!$B$2,{"Q1","Q2","Q3"},0)),0)</f>
        <v>144218089</v>
      </c>
      <c r="E133" s="8">
        <f t="shared" si="48"/>
        <v>-0.12598952963071164</v>
      </c>
      <c r="F133" s="12">
        <f>IF(E133&lt;=PARAMS_MODELO!$B$15,0,IF(E133&gt;=PARAMS_MODELO!$B$17,100,100*MIN(1,(E133-PARAMS_MODELO!$B$15)/(PARAMS_MODELO!$B$16-PARAMS_MODELO!$B$15))))*PARAMS_MODELO!$B$7</f>
        <v>0</v>
      </c>
      <c r="G133" s="5">
        <f t="shared" si="49"/>
        <v>0</v>
      </c>
      <c r="H133" s="5">
        <f>(PARAMS_MODELO!$B$20*(MAX(0,MIN(3,E133))/3)+PARAMS_MODELO!$B$21*(IFERROR(LN(1+MAX(0,G133))/LN(1+MAX(0,MAX($G$2:$G$1194))),0)))*100*PARAMS_MODELO!$B$8</f>
        <v>0</v>
      </c>
      <c r="I133" s="8">
        <f>E133-PARAMS_MODELO!$B$5</f>
        <v>-0.30355236500623817</v>
      </c>
      <c r="J133" s="5">
        <f>IF(I133&lt;=PARAMS_MODELO!$B$18,0,IF(I133&gt;=PARAMS_MODELO!$B$19,100,100*(I133-PARAMS_MODELO!$B$18)/(PARAMS_MODELO!$B$19-PARAMS_MODELO!$B$18)))*PARAMS_MODELO!$B$9</f>
        <v>0</v>
      </c>
      <c r="K133" s="5">
        <f>IFERROR(CHOOSE(MATCH(PARAMS_MODELO!$B$2,{"Q1","Q2","Q3"},0),LOTO!$D133,LOTO!$F133,LOTO!$H133),0)</f>
        <v>7282500</v>
      </c>
      <c r="L133" s="8">
        <f t="shared" si="50"/>
        <v>5.0496439458437146E-2</v>
      </c>
      <c r="M133" s="5">
        <f>MIN(100,IF(PARAMS_MODELO!$B$23=0,0,100*L133/PARAMS_MODELO!$B$23))*PARAMS_MODELO!$B$10</f>
        <v>15</v>
      </c>
      <c r="N133" s="5">
        <f>IFERROR(VLOOKUP(A133,COMPLIANCE!$A$2:$F$1996,6,0),100)</f>
        <v>99.55</v>
      </c>
      <c r="O133" s="5">
        <f>N133*PARAMS_MODELO!$B$11</f>
        <v>9.9550000000000001</v>
      </c>
      <c r="P133" s="5">
        <f>IFERROR(VLOOKUP(A133,DIGITAL!$A$2:$J$2000,7,0),100)</f>
        <v>61</v>
      </c>
      <c r="Q133" s="5">
        <f>IFERROR(P133,0)*PARAMS_MODELO!$B$12</f>
        <v>6.1000000000000005</v>
      </c>
      <c r="R133">
        <f t="shared" si="51"/>
        <v>31.055</v>
      </c>
      <c r="S133" s="5" t="str">
        <f>IFERROR(VLOOKUP(A133,CLIENTE!$A$2:$N$2000,13,0),1)</f>
        <v>Malo</v>
      </c>
      <c r="T133" s="5">
        <f>IFERROR(VLOOKUP(A133,CLIENTE!$A$2:$N$2000,14,0),1)</f>
        <v>0.7</v>
      </c>
      <c r="U133" s="5">
        <f t="shared" si="52"/>
        <v>21.738499999999998</v>
      </c>
      <c r="V133" s="5" t="str">
        <f>IF(U133&gt;=MAX(_xlfn.PERCENTILE.INC($U$2:$U$1194,PARAMS_MODELO!$B$50),PARAMS_MODELO!$B$45),"DIAMANTE",IF(U133&gt;=MAX(_xlfn.PERCENTILE.INC($U$2:$U$1194,PARAMS_MODELO!$B$51),PARAMS_MODELO!$B$46),"PLATINO",IF(U133&gt;=MAX(_xlfn.PERCENTILE.INC($U$2:$U$1194,PARAMS_MODELO!$B$52),PARAMS_MODELO!$B$47),"ORO",IF(U133&gt;=MAX(_xlfn.PERCENTILE.INC($U$2:$U$1194,PARAMS_MODELO!$B$53),PARAMS_MODELO!$B$48),"PLATA",IF(U133&gt;=1,"BRONCE","CERRADO")))))</f>
        <v>BRONCE</v>
      </c>
      <c r="W133" s="5" t="str" cm="1">
        <f t="array" ref="W133">_xlfn.XLOOKUP(1, (HIST_SCORE!$B:$B=PARAMS_MODELO!$B$4) * (HIST_SCORE!$C:$C=A133), HIST_SCORE!$E:$E, "No encontrado")</f>
        <v>BRONCE</v>
      </c>
      <c r="X133" s="5" t="str">
        <f>_xlfn.LET(_xlpm.act,MATCH(V133,{"DIAMANTE";"PLATINO";"ORO";"PLATA";"BRONCE";"CERRADO"},0),_xlpm.ant,MATCH(W133,{"DIAMANTE";"PLATINO";"ORO";"PLATA";"BRONCE";"CERRADO"},0),IF(_xlpm.act&lt;_xlpm.ant,"Mejora ↑",IF(_xlpm.act&gt;_xlpm.ant,"Baja ↓","Estable →")))</f>
        <v>Estable →</v>
      </c>
      <c r="Y133" s="5">
        <f>IFERROR(U133-SUMIFS(HIST_SCORE!$D:$D,HIST_SCORE!$B:$B,PARAMS_MODELO!$B$4,HIST_SCORE!$C:$C,$A133),"")</f>
        <v>4.4298769938804341</v>
      </c>
      <c r="Z133" s="5" t="str">
        <f t="shared" si="53"/>
        <v>→ Estable</v>
      </c>
      <c r="AA133" s="5">
        <f t="shared" si="54"/>
        <v>950</v>
      </c>
      <c r="AB133" s="5">
        <f>IFERROR(SUMIFS(HIST_SCORE!$F:$F,HIST_SCORE!$B:$B,PARAMS_MODELO!$B$4,HIST_SCORE!$C:$C,$A133),"")</f>
        <v>1038</v>
      </c>
      <c r="AC133" s="5">
        <f t="shared" si="55"/>
        <v>88</v>
      </c>
      <c r="AD133" t="str">
        <f t="shared" si="57"/>
        <v/>
      </c>
      <c r="AE1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133="CERRADO",1,IF(V133="BRONCE",_xlpm.cPl,IF(V133="PLATA",_xlpm.cO,IF(V133="ORO",_xlpm.cP,IF(V133="PLATINO",_xlpm.cD,999))))))</f>
        <v>24.506573482968111</v>
      </c>
      <c r="AF1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133="CERRADO",0,IF(V133="BRONCE",1,IF(V133="PLATA",_xlpm.cPl,IF(V133="ORO",_xlpm.cO,IF(V133="PLATINO",_xlpm.cP,_xlpm.cD))))))</f>
        <v>1</v>
      </c>
      <c r="AG133">
        <f t="shared" si="58"/>
        <v>3.9543906899544439</v>
      </c>
      <c r="AH133" t="str">
        <f t="shared" si="59"/>
        <v>CLIENTE</v>
      </c>
      <c r="AI133" t="str">
        <f t="shared" si="56"/>
        <v>🎯 Para subir de categoría, la eje con mayor impacto probable es CLIENTE (coef T). Acción: reducir quejas, mejorar incógnito y empujar reseñas. ΔR aprox: 4,0</v>
      </c>
      <c r="AJ133" s="26">
        <f>_xlfn.LET(_xlpm.piso,AF133,_xlpm.corte,AE133,_xlpm.prog,IF(_xlpm.corte&lt;=_xlpm.piso,0,MAX(0,MIN(1,(U133-_xlpm.piso)/(_xlpm.corte-_xlpm.piso)))),_xlpm.orden,{"DIAMANTE";"PLATINO";"ORO";"PLATA";"BRONCE";"CERRADO"},_xlpm.act,IFERROR(MATCH(V133,_xlpm.orden,0),6),_xlpm.ant,IFERROR(MATCH(W133,_xlpm.orden,0),6),_xlpm.ajmov,IF(_xlpm.act&lt;_xlpm.ant,0.08,IF(_xlpm.act&gt;_xlpm.ant,-0.08,0)),_xlpm.ajcli,IF(T133&lt;0.95,-0.06,0),_xlpm.prob,MAX(0,MIN(1,_xlpm.prog+_xlpm.ajmov+_xlpm.ajcli)),IF(OR(V133="DIAMANTE",V133="CERRADO"),0,ROUND(_xlpm.prob,2)))</f>
        <v>0.82</v>
      </c>
      <c r="AK133" t="str">
        <f t="shared" si="60"/>
        <v>Faltan 4,0 puntos base para subir a la siguiente categoría</v>
      </c>
      <c r="AL133" t="str">
        <f t="shared" si="61"/>
        <v>No aplica</v>
      </c>
      <c r="AM133">
        <f t="shared" si="62"/>
        <v>0.43</v>
      </c>
      <c r="AN133" t="str">
        <f t="shared" si="63"/>
        <v>PRIORIDAD MEDIA – seguimiento del asesor</v>
      </c>
      <c r="AO133">
        <f t="shared" si="64"/>
        <v>45.403798492706905</v>
      </c>
      <c r="AP133">
        <f t="shared" si="65"/>
        <v>0</v>
      </c>
      <c r="AQ133">
        <f t="shared" si="66"/>
        <v>3.1499999999999952E-2</v>
      </c>
      <c r="AR133">
        <f t="shared" si="67"/>
        <v>2.7299999999999995</v>
      </c>
      <c r="AS133">
        <f t="shared" si="68"/>
        <v>9.3165000000000013</v>
      </c>
      <c r="AT133" t="str">
        <f t="shared" si="69"/>
        <v>VENTAS</v>
      </c>
      <c r="AU133">
        <f t="shared" si="70"/>
        <v>45.403798492706905</v>
      </c>
      <c r="AV133" t="str">
        <f t="shared" si="71"/>
        <v>Mayor retorno probable: VENTAS (+45,4 puntos finales potenciales).</v>
      </c>
    </row>
    <row r="134" spans="1:48" x14ac:dyDescent="0.3">
      <c r="A134" s="5">
        <v>51030303</v>
      </c>
      <c r="B134" s="5" t="str">
        <f>IFERROR(VLOOKUP(A134,VENTAS!$A$2:$B$1194,2,0),"")</f>
        <v>CICHETTO</v>
      </c>
      <c r="C134" s="5">
        <f>IFERROR(INDEX(VENTAS!$C$2:$E$1194,MATCH(A134,VENTAS!$A$2:$A$1194,0),MATCH(PARAMS_MODELO!$B$2,{"Q1","Q2","Q3"},0)),0)</f>
        <v>133411887.87</v>
      </c>
      <c r="D134" s="5">
        <f>IFERROR(INDEX(VENTAS!$F$2:$H$1194,MATCH(A134,VENTAS!$A$2:$A$1194,0),MATCH(PARAMS_MODELO!$B$2,{"Q1","Q2","Q3"},0)),0)</f>
        <v>144146681</v>
      </c>
      <c r="E134" s="8">
        <f t="shared" si="48"/>
        <v>8.0463542652662756E-2</v>
      </c>
      <c r="F134" s="12">
        <f>IF(E134&lt;=PARAMS_MODELO!$B$15,0,IF(E134&gt;=PARAMS_MODELO!$B$17,100,100*MIN(1,(E134-PARAMS_MODELO!$B$15)/(PARAMS_MODELO!$B$16-PARAMS_MODELO!$B$15))))*PARAMS_MODELO!$B$7</f>
        <v>28.162239928431962</v>
      </c>
      <c r="G134" s="5">
        <f t="shared" si="49"/>
        <v>10734793.129999995</v>
      </c>
      <c r="H134" s="5">
        <f>(PARAMS_MODELO!$B$20*(MAX(0,MIN(3,E134))/3)+PARAMS_MODELO!$B$21*(IFERROR(LN(1+MAX(0,G134))/LN(1+MAX(0,MAX($G$2:$G$1194))),0)))*100*PARAMS_MODELO!$B$8</f>
        <v>4.0765501992177509</v>
      </c>
      <c r="I134" s="8">
        <f>E134-PARAMS_MODELO!$B$5</f>
        <v>-9.7099292722863773E-2</v>
      </c>
      <c r="J134" s="5">
        <f>IF(I134&lt;=PARAMS_MODELO!$B$18,0,IF(I134&gt;=PARAMS_MODELO!$B$19,100,100*(I134-PARAMS_MODELO!$B$18)/(PARAMS_MODELO!$B$19-PARAMS_MODELO!$B$18)))*PARAMS_MODELO!$B$9</f>
        <v>0</v>
      </c>
      <c r="K134" s="5">
        <f>IFERROR(CHOOSE(MATCH(PARAMS_MODELO!$B$2,{"Q1","Q2","Q3"},0),LOTO!$D134,LOTO!$F134,LOTO!$H134),0)</f>
        <v>7260000</v>
      </c>
      <c r="L134" s="8">
        <f t="shared" si="50"/>
        <v>5.0365363597931194E-2</v>
      </c>
      <c r="M134" s="5">
        <f>MIN(100,IF(PARAMS_MODELO!$B$23=0,0,100*L134/PARAMS_MODELO!$B$23))*PARAMS_MODELO!$B$10</f>
        <v>15</v>
      </c>
      <c r="N134" s="5">
        <f>IFERROR(VLOOKUP(A134,COMPLIANCE!$A$2:$F$1996,6,0),100)</f>
        <v>100</v>
      </c>
      <c r="O134" s="5">
        <f>N134*PARAMS_MODELO!$B$11</f>
        <v>10</v>
      </c>
      <c r="P134" s="5">
        <f>IFERROR(VLOOKUP(A134,DIGITAL!$A$2:$J$2000,7,0),100)</f>
        <v>79</v>
      </c>
      <c r="Q134" s="5">
        <f>IFERROR(P134,0)*PARAMS_MODELO!$B$12</f>
        <v>7.9</v>
      </c>
      <c r="R134">
        <f t="shared" si="51"/>
        <v>65.138790127649713</v>
      </c>
      <c r="S134" s="5" t="str">
        <f>IFERROR(VLOOKUP(A134,CLIENTE!$A$2:$N$2000,13,0),1)</f>
        <v>Malo</v>
      </c>
      <c r="T134" s="5">
        <f>IFERROR(VLOOKUP(A134,CLIENTE!$A$2:$N$2000,14,0),1)</f>
        <v>0.7</v>
      </c>
      <c r="U134" s="5">
        <f t="shared" si="52"/>
        <v>45.597153089354798</v>
      </c>
      <c r="V134" s="5" t="str">
        <f>IF(U134&gt;=MAX(_xlfn.PERCENTILE.INC($U$2:$U$1194,PARAMS_MODELO!$B$50),PARAMS_MODELO!$B$45),"DIAMANTE",IF(U134&gt;=MAX(_xlfn.PERCENTILE.INC($U$2:$U$1194,PARAMS_MODELO!$B$51),PARAMS_MODELO!$B$46),"PLATINO",IF(U134&gt;=MAX(_xlfn.PERCENTILE.INC($U$2:$U$1194,PARAMS_MODELO!$B$52),PARAMS_MODELO!$B$47),"ORO",IF(U134&gt;=MAX(_xlfn.PERCENTILE.INC($U$2:$U$1194,PARAMS_MODELO!$B$53),PARAMS_MODELO!$B$48),"PLATA",IF(U134&gt;=1,"BRONCE","CERRADO")))))</f>
        <v>PLATA</v>
      </c>
      <c r="W134" s="5" t="str" cm="1">
        <f t="array" ref="W134">_xlfn.XLOOKUP(1, (HIST_SCORE!$B:$B=PARAMS_MODELO!$B$4) * (HIST_SCORE!$C:$C=A134), HIST_SCORE!$E:$E, "No encontrado")</f>
        <v>PLATA</v>
      </c>
      <c r="X134" s="5" t="str">
        <f>_xlfn.LET(_xlpm.act,MATCH(V134,{"DIAMANTE";"PLATINO";"ORO";"PLATA";"BRONCE";"CERRADO"},0),_xlpm.ant,MATCH(W134,{"DIAMANTE";"PLATINO";"ORO";"PLATA";"BRONCE";"CERRADO"},0),IF(_xlpm.act&lt;_xlpm.ant,"Mejora ↑",IF(_xlpm.act&gt;_xlpm.ant,"Baja ↓","Estable →")))</f>
        <v>Estable →</v>
      </c>
      <c r="Y134" s="5">
        <f>IFERROR(U134-SUMIFS(HIST_SCORE!$D:$D,HIST_SCORE!$B:$B,PARAMS_MODELO!$B$4,HIST_SCORE!$C:$C,$A134),"")</f>
        <v>12.41362849984116</v>
      </c>
      <c r="Z134" s="5" t="str">
        <f t="shared" si="53"/>
        <v>↑ Mejora</v>
      </c>
      <c r="AA134" s="5">
        <f t="shared" si="54"/>
        <v>769</v>
      </c>
      <c r="AB134" s="5">
        <f>IFERROR(SUMIFS(HIST_SCORE!$F:$F,HIST_SCORE!$B:$B,PARAMS_MODELO!$B$4,HIST_SCORE!$C:$C,$A134),"")</f>
        <v>875</v>
      </c>
      <c r="AC134" s="5">
        <f t="shared" si="55"/>
        <v>106</v>
      </c>
      <c r="AD134" t="str">
        <f t="shared" si="57"/>
        <v/>
      </c>
      <c r="AE1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134="CERRADO",1,IF(V134="BRONCE",_xlpm.cPl,IF(V134="PLATA",_xlpm.cO,IF(V134="ORO",_xlpm.cP,IF(V134="PLATINO",_xlpm.cD,999))))))</f>
        <v>63.199193273331495</v>
      </c>
      <c r="AF1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134="CERRADO",0,IF(V134="BRONCE",1,IF(V134="PLATA",_xlpm.cPl,IF(V134="ORO",_xlpm.cO,IF(V134="PLATINO",_xlpm.cP,_xlpm.cD))))))</f>
        <v>24.506573482968111</v>
      </c>
      <c r="AG134">
        <f t="shared" si="58"/>
        <v>25.145771691395282</v>
      </c>
      <c r="AH134" t="str">
        <f t="shared" si="59"/>
        <v>CLIENTE</v>
      </c>
      <c r="AI134" t="str">
        <f t="shared" si="56"/>
        <v>🎯 Para subir de categoría, la eje con mayor impacto probable es CLIENTE (coef T). Acción: reducir quejas, mejorar incógnito y empujar reseñas. ΔR aprox: 25,1</v>
      </c>
      <c r="AJ134" s="26">
        <f>_xlfn.LET(_xlpm.piso,AF134,_xlpm.corte,AE134,_xlpm.prog,IF(_xlpm.corte&lt;=_xlpm.piso,0,MAX(0,MIN(1,(U134-_xlpm.piso)/(_xlpm.corte-_xlpm.piso)))),_xlpm.orden,{"DIAMANTE";"PLATINO";"ORO";"PLATA";"BRONCE";"CERRADO"},_xlpm.act,IFERROR(MATCH(V134,_xlpm.orden,0),6),_xlpm.ant,IFERROR(MATCH(W134,_xlpm.orden,0),6),_xlpm.ajmov,IF(_xlpm.act&lt;_xlpm.ant,0.08,IF(_xlpm.act&gt;_xlpm.ant,-0.08,0)),_xlpm.ajcli,IF(T134&lt;0.95,-0.06,0),_xlpm.prob,MAX(0,MIN(1,_xlpm.prog+_xlpm.ajmov+_xlpm.ajcli)),IF(OR(V134="DIAMANTE",V134="CERRADO"),0,ROUND(_xlpm.prob,2)))</f>
        <v>0.49</v>
      </c>
      <c r="AK134" t="str">
        <f t="shared" si="60"/>
        <v>Faltan 25,1 puntos base para subir a la siguiente categoría</v>
      </c>
      <c r="AL134" t="str">
        <f t="shared" si="61"/>
        <v>Margen de seguridad: 21,1 puntos</v>
      </c>
      <c r="AM134">
        <f t="shared" si="62"/>
        <v>0.8</v>
      </c>
      <c r="AN134" t="str">
        <f t="shared" si="63"/>
        <v>PRIORIDAD ALTA – requiere intervención inmediata</v>
      </c>
      <c r="AO134">
        <f t="shared" si="64"/>
        <v>22.836645403352108</v>
      </c>
      <c r="AP134">
        <f t="shared" si="65"/>
        <v>0</v>
      </c>
      <c r="AQ134">
        <f t="shared" si="66"/>
        <v>0</v>
      </c>
      <c r="AR134">
        <f t="shared" si="67"/>
        <v>1.4699999999999998</v>
      </c>
      <c r="AS134">
        <f t="shared" si="68"/>
        <v>19.541637038294915</v>
      </c>
      <c r="AT134" t="str">
        <f t="shared" si="69"/>
        <v>VENTAS</v>
      </c>
      <c r="AU134">
        <f t="shared" si="70"/>
        <v>22.836645403352108</v>
      </c>
      <c r="AV134" t="str">
        <f t="shared" si="71"/>
        <v>Mayor retorno probable: VENTAS (+22,8 puntos finales potenciales).</v>
      </c>
    </row>
    <row r="135" spans="1:48" x14ac:dyDescent="0.3">
      <c r="A135" s="5">
        <v>51030613</v>
      </c>
      <c r="B135" s="5" t="str">
        <f>IFERROR(VLOOKUP(A135,VENTAS!$A$2:$B$1194,2,0),"")</f>
        <v>ROBERTS</v>
      </c>
      <c r="C135" s="5">
        <f>IFERROR(INDEX(VENTAS!$C$2:$E$1194,MATCH(A135,VENTAS!$A$2:$A$1194,0),MATCH(PARAMS_MODELO!$B$2,{"Q1","Q2","Q3"},0)),0)</f>
        <v>118107559.51000001</v>
      </c>
      <c r="D135" s="5">
        <f>IFERROR(INDEX(VENTAS!$F$2:$H$1194,MATCH(A135,VENTAS!$A$2:$A$1194,0),MATCH(PARAMS_MODELO!$B$2,{"Q1","Q2","Q3"},0)),0)</f>
        <v>144012545</v>
      </c>
      <c r="E135" s="8">
        <f t="shared" si="48"/>
        <v>0.21933384787115728</v>
      </c>
      <c r="F135" s="12">
        <f>IF(E135&lt;=PARAMS_MODELO!$B$15,0,IF(E135&gt;=PARAMS_MODELO!$B$17,100,100*MIN(1,(E135-PARAMS_MODELO!$B$15)/(PARAMS_MODELO!$B$16-PARAMS_MODELO!$B$15))))*PARAMS_MODELO!$B$7</f>
        <v>35</v>
      </c>
      <c r="G135" s="5">
        <f t="shared" si="49"/>
        <v>25904985.489999995</v>
      </c>
      <c r="H135" s="5">
        <f>(PARAMS_MODELO!$B$20*(MAX(0,MIN(3,E135))/3)+PARAMS_MODELO!$B$21*(IFERROR(LN(1+MAX(0,G135))/LN(1+MAX(0,MAX($G$2:$G$1194))),0)))*100*PARAMS_MODELO!$B$8</f>
        <v>4.769102126842002</v>
      </c>
      <c r="I135" s="8">
        <f>E135-PARAMS_MODELO!$B$5</f>
        <v>4.1771012495630755E-2</v>
      </c>
      <c r="J135" s="5">
        <f>IF(I135&lt;=PARAMS_MODELO!$B$18,0,IF(I135&gt;=PARAMS_MODELO!$B$19,100,100*(I135-PARAMS_MODELO!$B$18)/(PARAMS_MODELO!$B$19-PARAMS_MODELO!$B$18)))*PARAMS_MODELO!$B$9</f>
        <v>13.765651874344613</v>
      </c>
      <c r="K135" s="5">
        <f>IFERROR(CHOOSE(MATCH(PARAMS_MODELO!$B$2,{"Q1","Q2","Q3"},0),LOTO!$D135,LOTO!$F135,LOTO!$H135),0)</f>
        <v>7257500</v>
      </c>
      <c r="L135" s="8">
        <f t="shared" si="50"/>
        <v>5.0394915248529217E-2</v>
      </c>
      <c r="M135" s="5">
        <f>MIN(100,IF(PARAMS_MODELO!$B$23=0,0,100*L135/PARAMS_MODELO!$B$23))*PARAMS_MODELO!$B$10</f>
        <v>15</v>
      </c>
      <c r="N135" s="5">
        <f>IFERROR(VLOOKUP(A135,COMPLIANCE!$A$2:$F$1996,6,0),100)</f>
        <v>100</v>
      </c>
      <c r="O135" s="5">
        <f>N135*PARAMS_MODELO!$B$11</f>
        <v>10</v>
      </c>
      <c r="P135" s="5">
        <f>IFERROR(VLOOKUP(A135,DIGITAL!$A$2:$J$2000,7,0),100)</f>
        <v>21</v>
      </c>
      <c r="Q135" s="5">
        <f>IFERROR(P135,0)*PARAMS_MODELO!$B$12</f>
        <v>2.1</v>
      </c>
      <c r="R135">
        <f t="shared" si="51"/>
        <v>80.634754001186607</v>
      </c>
      <c r="S135" s="5" t="str">
        <f>IFERROR(VLOOKUP(A135,CLIENTE!$A$2:$N$2000,13,0),1)</f>
        <v>Regular</v>
      </c>
      <c r="T135" s="5">
        <f>IFERROR(VLOOKUP(A135,CLIENTE!$A$2:$N$2000,14,0),1)</f>
        <v>1</v>
      </c>
      <c r="U135" s="5">
        <f t="shared" si="52"/>
        <v>80.634754001186607</v>
      </c>
      <c r="V135" s="5" t="str">
        <f>IF(U135&gt;=MAX(_xlfn.PERCENTILE.INC($U$2:$U$1194,PARAMS_MODELO!$B$50),PARAMS_MODELO!$B$45),"DIAMANTE",IF(U135&gt;=MAX(_xlfn.PERCENTILE.INC($U$2:$U$1194,PARAMS_MODELO!$B$51),PARAMS_MODELO!$B$46),"PLATINO",IF(U135&gt;=MAX(_xlfn.PERCENTILE.INC($U$2:$U$1194,PARAMS_MODELO!$B$52),PARAMS_MODELO!$B$47),"ORO",IF(U135&gt;=MAX(_xlfn.PERCENTILE.INC($U$2:$U$1194,PARAMS_MODELO!$B$53),PARAMS_MODELO!$B$48),"PLATA",IF(U135&gt;=1,"BRONCE","CERRADO")))))</f>
        <v>ORO</v>
      </c>
      <c r="W135" s="5" t="str" cm="1">
        <f t="array" ref="W135">_xlfn.XLOOKUP(1, (HIST_SCORE!$B:$B=PARAMS_MODELO!$B$4) * (HIST_SCORE!$C:$C=A135), HIST_SCORE!$E:$E, "No encontrado")</f>
        <v>PLATA</v>
      </c>
      <c r="X135" s="5" t="str">
        <f>_xlfn.LET(_xlpm.act,MATCH(V135,{"DIAMANTE";"PLATINO";"ORO";"PLATA";"BRONCE";"CERRADO"},0),_xlpm.ant,MATCH(W135,{"DIAMANTE";"PLATINO";"ORO";"PLATA";"BRONCE";"CERRADO"},0),IF(_xlpm.act&lt;_xlpm.ant,"Mejora ↑",IF(_xlpm.act&gt;_xlpm.ant,"Baja ↓","Estable →")))</f>
        <v>Mejora ↑</v>
      </c>
      <c r="Y135" s="5">
        <f>IFERROR(U135-SUMIFS(HIST_SCORE!$D:$D,HIST_SCORE!$B:$B,PARAMS_MODELO!$B$4,HIST_SCORE!$C:$C,$A135),"")</f>
        <v>19.149637757099335</v>
      </c>
      <c r="Z135" s="5" t="str">
        <f t="shared" si="53"/>
        <v>↑ Mejora</v>
      </c>
      <c r="AA135" s="5">
        <f t="shared" si="54"/>
        <v>424</v>
      </c>
      <c r="AB135" s="5">
        <f>IFERROR(SUMIFS(HIST_SCORE!$F:$F,HIST_SCORE!$B:$B,PARAMS_MODELO!$B$4,HIST_SCORE!$C:$C,$A135),"")</f>
        <v>621</v>
      </c>
      <c r="AC135" s="5">
        <f t="shared" si="55"/>
        <v>197</v>
      </c>
      <c r="AD135" t="str">
        <f t="shared" si="57"/>
        <v/>
      </c>
      <c r="AE1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135="CERRADO",1,IF(V135="BRONCE",_xlpm.cPl,IF(V135="PLATA",_xlpm.cO,IF(V135="ORO",_xlpm.cP,IF(V135="PLATINO",_xlpm.cD,999))))))</f>
        <v>86.439123873763251</v>
      </c>
      <c r="AF1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135="CERRADO",0,IF(V135="BRONCE",1,IF(V135="PLATA",_xlpm.cPl,IF(V135="ORO",_xlpm.cO,IF(V135="PLATINO",_xlpm.cP,_xlpm.cD))))))</f>
        <v>63.199193273331495</v>
      </c>
      <c r="AG135">
        <f t="shared" si="58"/>
        <v>5.8043698725766433</v>
      </c>
      <c r="AH135" t="str">
        <f t="shared" si="59"/>
        <v>VENTAS</v>
      </c>
      <c r="AI135" t="str">
        <f t="shared" si="56"/>
        <v>🎯 Para subir de categoría, eje VENTAS / IMPACTO ABSOLUTO (H). Acción: metas semanales + activación comercial + seguimiento del asesor. ΔR aprox: 5,8</v>
      </c>
      <c r="AJ135" s="26">
        <f>_xlfn.LET(_xlpm.piso,AF135,_xlpm.corte,AE135,_xlpm.prog,IF(_xlpm.corte&lt;=_xlpm.piso,0,MAX(0,MIN(1,(U135-_xlpm.piso)/(_xlpm.corte-_xlpm.piso)))),_xlpm.orden,{"DIAMANTE";"PLATINO";"ORO";"PLATA";"BRONCE";"CERRADO"},_xlpm.act,IFERROR(MATCH(V135,_xlpm.orden,0),6),_xlpm.ant,IFERROR(MATCH(W135,_xlpm.orden,0),6),_xlpm.ajmov,IF(_xlpm.act&lt;_xlpm.ant,0.08,IF(_xlpm.act&gt;_xlpm.ant,-0.08,0)),_xlpm.ajcli,IF(T135&lt;0.95,-0.06,0),_xlpm.prob,MAX(0,MIN(1,_xlpm.prog+_xlpm.ajmov+_xlpm.ajcli)),IF(OR(V135="DIAMANTE",V135="CERRADO"),0,ROUND(_xlpm.prob,2)))</f>
        <v>0.83</v>
      </c>
      <c r="AK135" t="str">
        <f t="shared" si="60"/>
        <v>Faltan 5,8 puntos base para subir a la siguiente categoría</v>
      </c>
      <c r="AL135" t="str">
        <f t="shared" si="61"/>
        <v>Margen de seguridad: 17,4 puntos</v>
      </c>
      <c r="AM135">
        <f t="shared" si="62"/>
        <v>0.3</v>
      </c>
      <c r="AN135" t="str">
        <f t="shared" si="63"/>
        <v>PRIORIDAD BAJA – control normal</v>
      </c>
      <c r="AO135">
        <f t="shared" si="64"/>
        <v>11.327815274108971</v>
      </c>
      <c r="AP135">
        <f t="shared" si="65"/>
        <v>0</v>
      </c>
      <c r="AQ135">
        <f t="shared" si="66"/>
        <v>0</v>
      </c>
      <c r="AR135">
        <f t="shared" si="67"/>
        <v>7.9</v>
      </c>
      <c r="AS135">
        <f t="shared" si="68"/>
        <v>0</v>
      </c>
      <c r="AT135" t="str">
        <f t="shared" si="69"/>
        <v>VENTAS</v>
      </c>
      <c r="AU135">
        <f t="shared" si="70"/>
        <v>11.327815274108971</v>
      </c>
      <c r="AV135" t="str">
        <f t="shared" si="71"/>
        <v>Mayor retorno probable: VENTAS (+11,3 puntos finales potenciales).</v>
      </c>
    </row>
    <row r="136" spans="1:48" x14ac:dyDescent="0.3">
      <c r="A136" s="5">
        <v>51033761</v>
      </c>
      <c r="B136" s="5" t="str">
        <f>IFERROR(VLOOKUP(A136,VENTAS!$A$2:$B$1194,2,0),"")</f>
        <v>CICHETTO</v>
      </c>
      <c r="C136" s="5">
        <f>IFERROR(INDEX(VENTAS!$C$2:$E$1194,MATCH(A136,VENTAS!$A$2:$A$1194,0),MATCH(PARAMS_MODELO!$B$2,{"Q1","Q2","Q3"},0)),0)</f>
        <v>124874052.28</v>
      </c>
      <c r="D136" s="5">
        <f>IFERROR(INDEX(VENTAS!$F$2:$H$1194,MATCH(A136,VENTAS!$A$2:$A$1194,0),MATCH(PARAMS_MODELO!$B$2,{"Q1","Q2","Q3"},0)),0)</f>
        <v>143696333</v>
      </c>
      <c r="E136" s="8">
        <f t="shared" si="48"/>
        <v>0.1507301186782628</v>
      </c>
      <c r="F136" s="12">
        <f>IF(E136&lt;=PARAMS_MODELO!$B$15,0,IF(E136&gt;=PARAMS_MODELO!$B$17,100,100*MIN(1,(E136-PARAMS_MODELO!$B$15)/(PARAMS_MODELO!$B$16-PARAMS_MODELO!$B$15))))*PARAMS_MODELO!$B$7</f>
        <v>35</v>
      </c>
      <c r="G136" s="5">
        <f t="shared" si="49"/>
        <v>18822280.719999999</v>
      </c>
      <c r="H136" s="5">
        <f>(PARAMS_MODELO!$B$20*(MAX(0,MIN(3,E136))/3)+PARAMS_MODELO!$B$21*(IFERROR(LN(1+MAX(0,G136))/LN(1+MAX(0,MAX($G$2:$G$1194))),0)))*100*PARAMS_MODELO!$B$8</f>
        <v>4.4541186356561466</v>
      </c>
      <c r="I136" s="8">
        <f>E136-PARAMS_MODELO!$B$5</f>
        <v>-2.6832716697263725E-2</v>
      </c>
      <c r="J136" s="5">
        <f>IF(I136&lt;=PARAMS_MODELO!$B$18,0,IF(I136&gt;=PARAMS_MODELO!$B$19,100,100*(I136-PARAMS_MODELO!$B$18)/(PARAMS_MODELO!$B$19-PARAMS_MODELO!$B$18)))*PARAMS_MODELO!$B$9</f>
        <v>3.4750924954104412</v>
      </c>
      <c r="K136" s="5">
        <f>IFERROR(CHOOSE(MATCH(PARAMS_MODELO!$B$2,{"Q1","Q2","Q3"},0),LOTO!$D136,LOTO!$F136,LOTO!$H136),0)</f>
        <v>7247500</v>
      </c>
      <c r="L136" s="8">
        <f t="shared" si="50"/>
        <v>5.0436220943787059E-2</v>
      </c>
      <c r="M136" s="5">
        <f>MIN(100,IF(PARAMS_MODELO!$B$23=0,0,100*L136/PARAMS_MODELO!$B$23))*PARAMS_MODELO!$B$10</f>
        <v>15</v>
      </c>
      <c r="N136" s="5">
        <f>IFERROR(VLOOKUP(A136,COMPLIANCE!$A$2:$F$1996,6,0),100)</f>
        <v>100</v>
      </c>
      <c r="O136" s="5">
        <f>N136*PARAMS_MODELO!$B$11</f>
        <v>10</v>
      </c>
      <c r="P136" s="5">
        <f>IFERROR(VLOOKUP(A136,DIGITAL!$A$2:$J$2000,7,0),100)</f>
        <v>2</v>
      </c>
      <c r="Q136" s="5">
        <f>IFERROR(P136,0)*PARAMS_MODELO!$B$12</f>
        <v>0.2</v>
      </c>
      <c r="R136">
        <f t="shared" si="51"/>
        <v>68.129211131066583</v>
      </c>
      <c r="S136" s="5" t="str">
        <f>IFERROR(VLOOKUP(A136,CLIENTE!$A$2:$N$2000,13,0),1)</f>
        <v>Malo</v>
      </c>
      <c r="T136" s="5">
        <f>IFERROR(VLOOKUP(A136,CLIENTE!$A$2:$N$2000,14,0),1)</f>
        <v>0.7</v>
      </c>
      <c r="U136" s="5">
        <f t="shared" si="52"/>
        <v>47.690447791746607</v>
      </c>
      <c r="V136" s="5" t="str">
        <f>IF(U136&gt;=MAX(_xlfn.PERCENTILE.INC($U$2:$U$1194,PARAMS_MODELO!$B$50),PARAMS_MODELO!$B$45),"DIAMANTE",IF(U136&gt;=MAX(_xlfn.PERCENTILE.INC($U$2:$U$1194,PARAMS_MODELO!$B$51),PARAMS_MODELO!$B$46),"PLATINO",IF(U136&gt;=MAX(_xlfn.PERCENTILE.INC($U$2:$U$1194,PARAMS_MODELO!$B$52),PARAMS_MODELO!$B$47),"ORO",IF(U136&gt;=MAX(_xlfn.PERCENTILE.INC($U$2:$U$1194,PARAMS_MODELO!$B$53),PARAMS_MODELO!$B$48),"PLATA",IF(U136&gt;=1,"BRONCE","CERRADO")))))</f>
        <v>PLATA</v>
      </c>
      <c r="W136" s="5" t="str" cm="1">
        <f t="array" ref="W136">_xlfn.XLOOKUP(1, (HIST_SCORE!$B:$B=PARAMS_MODELO!$B$4) * (HIST_SCORE!$C:$C=A136), HIST_SCORE!$E:$E, "No encontrado")</f>
        <v>PLATA</v>
      </c>
      <c r="X136" s="5" t="str">
        <f>_xlfn.LET(_xlpm.act,MATCH(V136,{"DIAMANTE";"PLATINO";"ORO";"PLATA";"BRONCE";"CERRADO"},0),_xlpm.ant,MATCH(W136,{"DIAMANTE";"PLATINO";"ORO";"PLATA";"BRONCE";"CERRADO"},0),IF(_xlpm.act&lt;_xlpm.ant,"Mejora ↑",IF(_xlpm.act&gt;_xlpm.ant,"Baja ↓","Estable →")))</f>
        <v>Estable →</v>
      </c>
      <c r="Y136" s="5">
        <f>IFERROR(U136-SUMIFS(HIST_SCORE!$D:$D,HIST_SCORE!$B:$B,PARAMS_MODELO!$B$4,HIST_SCORE!$C:$C,$A136),"")</f>
        <v>-6.3097054639528309</v>
      </c>
      <c r="Z136" s="5" t="str">
        <f t="shared" si="53"/>
        <v>↓ Baja</v>
      </c>
      <c r="AA136" s="5">
        <f t="shared" si="54"/>
        <v>756</v>
      </c>
      <c r="AB136" s="5">
        <f>IFERROR(SUMIFS(HIST_SCORE!$F:$F,HIST_SCORE!$B:$B,PARAMS_MODELO!$B$4,HIST_SCORE!$C:$C,$A136),"")</f>
        <v>745</v>
      </c>
      <c r="AC136" s="5">
        <f t="shared" si="55"/>
        <v>-11</v>
      </c>
      <c r="AD136" t="str">
        <f t="shared" si="57"/>
        <v/>
      </c>
      <c r="AE1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136="CERRADO",1,IF(V136="BRONCE",_xlpm.cPl,IF(V136="PLATA",_xlpm.cO,IF(V136="ORO",_xlpm.cP,IF(V136="PLATINO",_xlpm.cD,999))))))</f>
        <v>63.199193273331495</v>
      </c>
      <c r="AF1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136="CERRADO",0,IF(V136="BRONCE",1,IF(V136="PLATA",_xlpm.cPl,IF(V136="ORO",_xlpm.cO,IF(V136="PLATINO",_xlpm.cP,_xlpm.cD))))))</f>
        <v>24.506573482968111</v>
      </c>
      <c r="AG136">
        <f t="shared" si="58"/>
        <v>22.155350687978412</v>
      </c>
      <c r="AH136" t="str">
        <f t="shared" si="59"/>
        <v>CLIENTE</v>
      </c>
      <c r="AI136" t="str">
        <f t="shared" si="56"/>
        <v>🎯 Para subir de categoría, la eje con mayor impacto probable es CLIENTE (coef T). Acción: reducir quejas, mejorar incógnito y empujar reseñas. ΔR aprox: 22,2</v>
      </c>
      <c r="AJ136" s="26">
        <f>_xlfn.LET(_xlpm.piso,AF136,_xlpm.corte,AE136,_xlpm.prog,IF(_xlpm.corte&lt;=_xlpm.piso,0,MAX(0,MIN(1,(U136-_xlpm.piso)/(_xlpm.corte-_xlpm.piso)))),_xlpm.orden,{"DIAMANTE";"PLATINO";"ORO";"PLATA";"BRONCE";"CERRADO"},_xlpm.act,IFERROR(MATCH(V136,_xlpm.orden,0),6),_xlpm.ant,IFERROR(MATCH(W136,_xlpm.orden,0),6),_xlpm.ajmov,IF(_xlpm.act&lt;_xlpm.ant,0.08,IF(_xlpm.act&gt;_xlpm.ant,-0.08,0)),_xlpm.ajcli,IF(T136&lt;0.95,-0.06,0),_xlpm.prob,MAX(0,MIN(1,_xlpm.prog+_xlpm.ajmov+_xlpm.ajcli)),IF(OR(V136="DIAMANTE",V136="CERRADO"),0,ROUND(_xlpm.prob,2)))</f>
        <v>0.54</v>
      </c>
      <c r="AK136" t="str">
        <f t="shared" si="60"/>
        <v>Faltan 22,2 puntos base para subir a la siguiente categoría</v>
      </c>
      <c r="AL136" t="str">
        <f t="shared" si="61"/>
        <v>Margen de seguridad: 23,2 puntos</v>
      </c>
      <c r="AM136">
        <f t="shared" si="62"/>
        <v>0.78</v>
      </c>
      <c r="AN136" t="str">
        <f t="shared" si="63"/>
        <v>PRIORIDAD ALTA – requiere intervención inmediata</v>
      </c>
      <c r="AO136">
        <f t="shared" si="64"/>
        <v>15.353350700960297</v>
      </c>
      <c r="AP136">
        <f t="shared" si="65"/>
        <v>0</v>
      </c>
      <c r="AQ136">
        <f t="shared" si="66"/>
        <v>0</v>
      </c>
      <c r="AR136">
        <f t="shared" si="67"/>
        <v>6.86</v>
      </c>
      <c r="AS136">
        <f t="shared" si="68"/>
        <v>20.438763339319976</v>
      </c>
      <c r="AT136" t="str">
        <f t="shared" si="69"/>
        <v>CLIENTE</v>
      </c>
      <c r="AU136">
        <f t="shared" si="70"/>
        <v>20.438763339319976</v>
      </c>
      <c r="AV136" t="str">
        <f t="shared" si="71"/>
        <v>Mayor retorno probable: CLIENTE (+20,4 puntos finales potenciales).</v>
      </c>
    </row>
    <row r="137" spans="1:48" x14ac:dyDescent="0.3">
      <c r="A137" s="5">
        <v>51023170</v>
      </c>
      <c r="B137" s="5" t="str">
        <f>IFERROR(VLOOKUP(A137,VENTAS!$A$2:$B$1194,2,0),"")</f>
        <v>ARGUELLO</v>
      </c>
      <c r="C137" s="5">
        <f>IFERROR(INDEX(VENTAS!$C$2:$E$1194,MATCH(A137,VENTAS!$A$2:$A$1194,0),MATCH(PARAMS_MODELO!$B$2,{"Q1","Q2","Q3"},0)),0)</f>
        <v>133200070.79000001</v>
      </c>
      <c r="D137" s="5">
        <f>IFERROR(INDEX(VENTAS!$F$2:$H$1194,MATCH(A137,VENTAS!$A$2:$A$1194,0),MATCH(PARAMS_MODELO!$B$2,{"Q1","Q2","Q3"},0)),0)</f>
        <v>143510694</v>
      </c>
      <c r="E137" s="8">
        <f t="shared" si="48"/>
        <v>7.7407040017684947E-2</v>
      </c>
      <c r="F137" s="12">
        <f>IF(E137&lt;=PARAMS_MODELO!$B$15,0,IF(E137&gt;=PARAMS_MODELO!$B$17,100,100*MIN(1,(E137-PARAMS_MODELO!$B$15)/(PARAMS_MODELO!$B$16-PARAMS_MODELO!$B$15))))*PARAMS_MODELO!$B$7</f>
        <v>27.092464006189729</v>
      </c>
      <c r="G137" s="5">
        <f t="shared" si="49"/>
        <v>10310623.209999993</v>
      </c>
      <c r="H137" s="5">
        <f>(PARAMS_MODELO!$B$20*(MAX(0,MIN(3,E137))/3)+PARAMS_MODELO!$B$21*(IFERROR(LN(1+MAX(0,G137))/LN(1+MAX(0,MAX($G$2:$G$1194))),0)))*100*PARAMS_MODELO!$B$8</f>
        <v>4.0564019442721664</v>
      </c>
      <c r="I137" s="8">
        <f>E137-PARAMS_MODELO!$B$5</f>
        <v>-0.10015579535784158</v>
      </c>
      <c r="J137" s="5">
        <f>IF(I137&lt;=PARAMS_MODELO!$B$18,0,IF(I137&gt;=PARAMS_MODELO!$B$19,100,100*(I137-PARAMS_MODELO!$B$18)/(PARAMS_MODELO!$B$19-PARAMS_MODELO!$B$18)))*PARAMS_MODELO!$B$9</f>
        <v>0</v>
      </c>
      <c r="K137" s="5">
        <f>IFERROR(CHOOSE(MATCH(PARAMS_MODELO!$B$2,{"Q1","Q2","Q3"},0),LOTO!$D137,LOTO!$F137,LOTO!$H137),0)</f>
        <v>7247500</v>
      </c>
      <c r="L137" s="8">
        <f t="shared" si="50"/>
        <v>5.0501462978083014E-2</v>
      </c>
      <c r="M137" s="5">
        <f>MIN(100,IF(PARAMS_MODELO!$B$23=0,0,100*L137/PARAMS_MODELO!$B$23))*PARAMS_MODELO!$B$10</f>
        <v>15</v>
      </c>
      <c r="N137" s="5">
        <f>IFERROR(VLOOKUP(A137,COMPLIANCE!$A$2:$F$1996,6,0),100)</f>
        <v>100</v>
      </c>
      <c r="O137" s="5">
        <f>N137*PARAMS_MODELO!$B$11</f>
        <v>10</v>
      </c>
      <c r="P137" s="5">
        <f>IFERROR(VLOOKUP(A137,DIGITAL!$A$2:$J$2000,7,0),100)</f>
        <v>61</v>
      </c>
      <c r="Q137" s="5">
        <f>IFERROR(P137,0)*PARAMS_MODELO!$B$12</f>
        <v>6.1000000000000005</v>
      </c>
      <c r="R137">
        <f t="shared" si="51"/>
        <v>62.248865950461898</v>
      </c>
      <c r="S137" s="5" t="str">
        <f>IFERROR(VLOOKUP(A137,CLIENTE!$A$2:$N$2000,13,0),1)</f>
        <v>Regular</v>
      </c>
      <c r="T137" s="5">
        <f>IFERROR(VLOOKUP(A137,CLIENTE!$A$2:$N$2000,14,0),1)</f>
        <v>1</v>
      </c>
      <c r="U137" s="5">
        <f t="shared" si="52"/>
        <v>62.248865950461898</v>
      </c>
      <c r="V137" s="5" t="str">
        <f>IF(U137&gt;=MAX(_xlfn.PERCENTILE.INC($U$2:$U$1194,PARAMS_MODELO!$B$50),PARAMS_MODELO!$B$45),"DIAMANTE",IF(U137&gt;=MAX(_xlfn.PERCENTILE.INC($U$2:$U$1194,PARAMS_MODELO!$B$51),PARAMS_MODELO!$B$46),"PLATINO",IF(U137&gt;=MAX(_xlfn.PERCENTILE.INC($U$2:$U$1194,PARAMS_MODELO!$B$52),PARAMS_MODELO!$B$47),"ORO",IF(U137&gt;=MAX(_xlfn.PERCENTILE.INC($U$2:$U$1194,PARAMS_MODELO!$B$53),PARAMS_MODELO!$B$48),"PLATA",IF(U137&gt;=1,"BRONCE","CERRADO")))))</f>
        <v>PLATA</v>
      </c>
      <c r="W137" s="5" t="str" cm="1">
        <f t="array" ref="W137">_xlfn.XLOOKUP(1, (HIST_SCORE!$B:$B=PARAMS_MODELO!$B$4) * (HIST_SCORE!$C:$C=A137), HIST_SCORE!$E:$E, "No encontrado")</f>
        <v>PLATINO</v>
      </c>
      <c r="X137" s="5" t="str">
        <f>_xlfn.LET(_xlpm.act,MATCH(V137,{"DIAMANTE";"PLATINO";"ORO";"PLATA";"BRONCE";"CERRADO"},0),_xlpm.ant,MATCH(W137,{"DIAMANTE";"PLATINO";"ORO";"PLATA";"BRONCE";"CERRADO"},0),IF(_xlpm.act&lt;_xlpm.ant,"Mejora ↑",IF(_xlpm.act&gt;_xlpm.ant,"Baja ↓","Estable →")))</f>
        <v>Baja ↓</v>
      </c>
      <c r="Y137" s="5">
        <f>IFERROR(U137-SUMIFS(HIST_SCORE!$D:$D,HIST_SCORE!$B:$B,PARAMS_MODELO!$B$4,HIST_SCORE!$C:$C,$A137),"")</f>
        <v>-24.827138486030528</v>
      </c>
      <c r="Z137" s="5" t="str">
        <f t="shared" si="53"/>
        <v>↓ Baja</v>
      </c>
      <c r="AA137" s="5">
        <f t="shared" si="54"/>
        <v>574</v>
      </c>
      <c r="AB137" s="5">
        <f>IFERROR(SUMIFS(HIST_SCORE!$F:$F,HIST_SCORE!$B:$B,PARAMS_MODELO!$B$4,HIST_SCORE!$C:$C,$A137),"")</f>
        <v>198</v>
      </c>
      <c r="AC137" s="5">
        <f t="shared" si="55"/>
        <v>-376</v>
      </c>
      <c r="AD137" t="str">
        <f t="shared" si="57"/>
        <v/>
      </c>
      <c r="AE1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137="CERRADO",1,IF(V137="BRONCE",_xlpm.cPl,IF(V137="PLATA",_xlpm.cO,IF(V137="ORO",_xlpm.cP,IF(V137="PLATINO",_xlpm.cD,999))))))</f>
        <v>63.199193273331495</v>
      </c>
      <c r="AF1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137="CERRADO",0,IF(V137="BRONCE",1,IF(V137="PLATA",_xlpm.cPl,IF(V137="ORO",_xlpm.cO,IF(V137="PLATINO",_xlpm.cP,_xlpm.cD))))))</f>
        <v>24.506573482968111</v>
      </c>
      <c r="AG137">
        <f t="shared" si="58"/>
        <v>0.95032732286959742</v>
      </c>
      <c r="AH137" t="str">
        <f t="shared" si="59"/>
        <v>VENTAS</v>
      </c>
      <c r="AI137" t="str">
        <f t="shared" si="56"/>
        <v>🎯 Para subir de categoría, eje VENTAS / DIFERENCIAL vs LOTBA (J). Acción: metas semanales + activación comercial + seguimiento del asesor. ΔR aprox: 1,0</v>
      </c>
      <c r="AJ137" s="26">
        <f>_xlfn.LET(_xlpm.piso,AF137,_xlpm.corte,AE137,_xlpm.prog,IF(_xlpm.corte&lt;=_xlpm.piso,0,MAX(0,MIN(1,(U137-_xlpm.piso)/(_xlpm.corte-_xlpm.piso)))),_xlpm.orden,{"DIAMANTE";"PLATINO";"ORO";"PLATA";"BRONCE";"CERRADO"},_xlpm.act,IFERROR(MATCH(V137,_xlpm.orden,0),6),_xlpm.ant,IFERROR(MATCH(W137,_xlpm.orden,0),6),_xlpm.ajmov,IF(_xlpm.act&lt;_xlpm.ant,0.08,IF(_xlpm.act&gt;_xlpm.ant,-0.08,0)),_xlpm.ajcli,IF(T137&lt;0.95,-0.06,0),_xlpm.prob,MAX(0,MIN(1,_xlpm.prog+_xlpm.ajmov+_xlpm.ajcli)),IF(OR(V137="DIAMANTE",V137="CERRADO"),0,ROUND(_xlpm.prob,2)))</f>
        <v>0.9</v>
      </c>
      <c r="AK137" t="str">
        <f t="shared" si="60"/>
        <v>Faltan 1,0 puntos base para subir a la siguiente categoría</v>
      </c>
      <c r="AL137" t="str">
        <f t="shared" si="61"/>
        <v>Margen de seguridad: 37,7 puntos</v>
      </c>
      <c r="AM137">
        <f t="shared" si="62"/>
        <v>0.08</v>
      </c>
      <c r="AN137" t="str">
        <f t="shared" si="63"/>
        <v>PRIORIDAD BAJA – control normal</v>
      </c>
      <c r="AO137">
        <f t="shared" si="64"/>
        <v>33.713703324833688</v>
      </c>
      <c r="AP137">
        <f t="shared" si="65"/>
        <v>0</v>
      </c>
      <c r="AQ137">
        <f t="shared" si="66"/>
        <v>0</v>
      </c>
      <c r="AR137">
        <f t="shared" si="67"/>
        <v>3.8999999999999995</v>
      </c>
      <c r="AS137">
        <f t="shared" si="68"/>
        <v>0</v>
      </c>
      <c r="AT137" t="str">
        <f t="shared" si="69"/>
        <v>VENTAS</v>
      </c>
      <c r="AU137">
        <f t="shared" si="70"/>
        <v>33.713703324833688</v>
      </c>
      <c r="AV137" t="str">
        <f t="shared" si="71"/>
        <v>Mayor retorno probable: VENTAS (+33,7 puntos finales potenciales).</v>
      </c>
    </row>
    <row r="138" spans="1:48" x14ac:dyDescent="0.3">
      <c r="A138" s="5">
        <v>51030079</v>
      </c>
      <c r="B138" s="5" t="str">
        <f>IFERROR(VLOOKUP(A138,VENTAS!$A$2:$B$1194,2,0),"")</f>
        <v>PUGH</v>
      </c>
      <c r="C138" s="5">
        <f>IFERROR(INDEX(VENTAS!$C$2:$E$1194,MATCH(A138,VENTAS!$A$2:$A$1194,0),MATCH(PARAMS_MODELO!$B$2,{"Q1","Q2","Q3"},0)),0)</f>
        <v>117723834.23</v>
      </c>
      <c r="D138" s="5">
        <f>IFERROR(INDEX(VENTAS!$F$2:$H$1194,MATCH(A138,VENTAS!$A$2:$A$1194,0),MATCH(PARAMS_MODELO!$B$2,{"Q1","Q2","Q3"},0)),0)</f>
        <v>143167448</v>
      </c>
      <c r="E138" s="8">
        <f t="shared" si="48"/>
        <v>0.2161296727754396</v>
      </c>
      <c r="F138" s="12">
        <f>IF(E138&lt;=PARAMS_MODELO!$B$15,0,IF(E138&gt;=PARAMS_MODELO!$B$17,100,100*MIN(1,(E138-PARAMS_MODELO!$B$15)/(PARAMS_MODELO!$B$16-PARAMS_MODELO!$B$15))))*PARAMS_MODELO!$B$7</f>
        <v>35</v>
      </c>
      <c r="G138" s="5">
        <f t="shared" si="49"/>
        <v>25443613.769999996</v>
      </c>
      <c r="H138" s="5">
        <f>(PARAMS_MODELO!$B$20*(MAX(0,MIN(3,E138))/3)+PARAMS_MODELO!$B$21*(IFERROR(LN(1+MAX(0,G138))/LN(1+MAX(0,MAX($G$2:$G$1194))),0)))*100*PARAMS_MODELO!$B$8</f>
        <v>4.7536749403376302</v>
      </c>
      <c r="I138" s="8">
        <f>E138-PARAMS_MODELO!$B$5</f>
        <v>3.8566837399913068E-2</v>
      </c>
      <c r="J138" s="5">
        <f>IF(I138&lt;=PARAMS_MODELO!$B$18,0,IF(I138&gt;=PARAMS_MODELO!$B$19,100,100*(I138-PARAMS_MODELO!$B$18)/(PARAMS_MODELO!$B$19-PARAMS_MODELO!$B$18)))*PARAMS_MODELO!$B$9</f>
        <v>13.28502560998696</v>
      </c>
      <c r="K138" s="5">
        <f>IFERROR(CHOOSE(MATCH(PARAMS_MODELO!$B$2,{"Q1","Q2","Q3"},0),LOTO!$D138,LOTO!$F138,LOTO!$H138),0)</f>
        <v>7195000</v>
      </c>
      <c r="L138" s="8">
        <f t="shared" si="50"/>
        <v>5.0255837486186103E-2</v>
      </c>
      <c r="M138" s="5">
        <f>MIN(100,IF(PARAMS_MODELO!$B$23=0,0,100*L138/PARAMS_MODELO!$B$23))*PARAMS_MODELO!$B$10</f>
        <v>15</v>
      </c>
      <c r="N138" s="5">
        <f>IFERROR(VLOOKUP(A138,COMPLIANCE!$A$2:$F$1996,6,0),100)</f>
        <v>100</v>
      </c>
      <c r="O138" s="5">
        <f>N138*PARAMS_MODELO!$B$11</f>
        <v>10</v>
      </c>
      <c r="P138" s="5">
        <f>IFERROR(VLOOKUP(A138,DIGITAL!$A$2:$J$2000,7,0),100)</f>
        <v>70</v>
      </c>
      <c r="Q138" s="5">
        <f>IFERROR(P138,0)*PARAMS_MODELO!$B$12</f>
        <v>7</v>
      </c>
      <c r="R138">
        <f t="shared" si="51"/>
        <v>85.038700550324592</v>
      </c>
      <c r="S138" s="5" t="str">
        <f>IFERROR(VLOOKUP(A138,CLIENTE!$A$2:$N$2000,13,0),1)</f>
        <v>Regular</v>
      </c>
      <c r="T138" s="5">
        <f>IFERROR(VLOOKUP(A138,CLIENTE!$A$2:$N$2000,14,0),1)</f>
        <v>1</v>
      </c>
      <c r="U138" s="5">
        <f t="shared" si="52"/>
        <v>85.038700550324592</v>
      </c>
      <c r="V138" s="5" t="str">
        <f>IF(U138&gt;=MAX(_xlfn.PERCENTILE.INC($U$2:$U$1194,PARAMS_MODELO!$B$50),PARAMS_MODELO!$B$45),"DIAMANTE",IF(U138&gt;=MAX(_xlfn.PERCENTILE.INC($U$2:$U$1194,PARAMS_MODELO!$B$51),PARAMS_MODELO!$B$46),"PLATINO",IF(U138&gt;=MAX(_xlfn.PERCENTILE.INC($U$2:$U$1194,PARAMS_MODELO!$B$52),PARAMS_MODELO!$B$47),"ORO",IF(U138&gt;=MAX(_xlfn.PERCENTILE.INC($U$2:$U$1194,PARAMS_MODELO!$B$53),PARAMS_MODELO!$B$48),"PLATA",IF(U138&gt;=1,"BRONCE","CERRADO")))))</f>
        <v>ORO</v>
      </c>
      <c r="W138" s="5" t="str" cm="1">
        <f t="array" ref="W138">_xlfn.XLOOKUP(1, (HIST_SCORE!$B:$B=PARAMS_MODELO!$B$4) * (HIST_SCORE!$C:$C=A138), HIST_SCORE!$E:$E, "No encontrado")</f>
        <v>ORO</v>
      </c>
      <c r="X138" s="5" t="str">
        <f>_xlfn.LET(_xlpm.act,MATCH(V138,{"DIAMANTE";"PLATINO";"ORO";"PLATA";"BRONCE";"CERRADO"},0),_xlpm.ant,MATCH(W138,{"DIAMANTE";"PLATINO";"ORO";"PLATA";"BRONCE";"CERRADO"},0),IF(_xlpm.act&lt;_xlpm.ant,"Mejora ↑",IF(_xlpm.act&gt;_xlpm.ant,"Baja ↓","Estable →")))</f>
        <v>Estable →</v>
      </c>
      <c r="Y138" s="5">
        <f>IFERROR(U138-SUMIFS(HIST_SCORE!$D:$D,HIST_SCORE!$B:$B,PARAMS_MODELO!$B$4,HIST_SCORE!$C:$C,$A138),"")</f>
        <v>9.954435103809999</v>
      </c>
      <c r="Z138" s="5" t="str">
        <f t="shared" si="53"/>
        <v>↑ Mejora</v>
      </c>
      <c r="AA138" s="5">
        <f t="shared" si="54"/>
        <v>283</v>
      </c>
      <c r="AB138" s="5">
        <f>IFERROR(SUMIFS(HIST_SCORE!$F:$F,HIST_SCORE!$B:$B,PARAMS_MODELO!$B$4,HIST_SCORE!$C:$C,$A138),"")</f>
        <v>491</v>
      </c>
      <c r="AC138" s="5">
        <f t="shared" si="55"/>
        <v>208</v>
      </c>
      <c r="AD138" t="str">
        <f t="shared" si="57"/>
        <v/>
      </c>
      <c r="AE1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138="CERRADO",1,IF(V138="BRONCE",_xlpm.cPl,IF(V138="PLATA",_xlpm.cO,IF(V138="ORO",_xlpm.cP,IF(V138="PLATINO",_xlpm.cD,999))))))</f>
        <v>86.439123873763251</v>
      </c>
      <c r="AF1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138="CERRADO",0,IF(V138="BRONCE",1,IF(V138="PLATA",_xlpm.cPl,IF(V138="ORO",_xlpm.cO,IF(V138="PLATINO",_xlpm.cP,_xlpm.cD))))))</f>
        <v>63.199193273331495</v>
      </c>
      <c r="AG138">
        <f t="shared" si="58"/>
        <v>1.4004233234386589</v>
      </c>
      <c r="AH138" t="str">
        <f t="shared" si="59"/>
        <v>VENTAS</v>
      </c>
      <c r="AI138" t="str">
        <f t="shared" si="56"/>
        <v>🎯 Para subir de categoría, eje VENTAS / IMPACTO ABSOLUTO (H). Acción: metas semanales + activación comercial + seguimiento del asesor. ΔR aprox: 1,4</v>
      </c>
      <c r="AJ138" s="26">
        <f>_xlfn.LET(_xlpm.piso,AF138,_xlpm.corte,AE138,_xlpm.prog,IF(_xlpm.corte&lt;=_xlpm.piso,0,MAX(0,MIN(1,(U138-_xlpm.piso)/(_xlpm.corte-_xlpm.piso)))),_xlpm.orden,{"DIAMANTE";"PLATINO";"ORO";"PLATA";"BRONCE";"CERRADO"},_xlpm.act,IFERROR(MATCH(V138,_xlpm.orden,0),6),_xlpm.ant,IFERROR(MATCH(W138,_xlpm.orden,0),6),_xlpm.ajmov,IF(_xlpm.act&lt;_xlpm.ant,0.08,IF(_xlpm.act&gt;_xlpm.ant,-0.08,0)),_xlpm.ajcli,IF(T138&lt;0.95,-0.06,0),_xlpm.prob,MAX(0,MIN(1,_xlpm.prog+_xlpm.ajmov+_xlpm.ajcli)),IF(OR(V138="DIAMANTE",V138="CERRADO"),0,ROUND(_xlpm.prob,2)))</f>
        <v>0.94</v>
      </c>
      <c r="AK138" t="str">
        <f t="shared" si="60"/>
        <v>Faltan 1,4 puntos base para subir a la siguiente categoría</v>
      </c>
      <c r="AL138" t="str">
        <f t="shared" si="61"/>
        <v>Margen de seguridad: 21,8 puntos</v>
      </c>
      <c r="AM138">
        <f t="shared" si="62"/>
        <v>0.08</v>
      </c>
      <c r="AN138" t="str">
        <f t="shared" si="63"/>
        <v>PRIORIDAD BAJA – control normal</v>
      </c>
      <c r="AO138">
        <f t="shared" si="64"/>
        <v>11.823868724970993</v>
      </c>
      <c r="AP138">
        <f t="shared" si="65"/>
        <v>0</v>
      </c>
      <c r="AQ138">
        <f t="shared" si="66"/>
        <v>0</v>
      </c>
      <c r="AR138">
        <f t="shared" si="67"/>
        <v>3</v>
      </c>
      <c r="AS138">
        <f t="shared" si="68"/>
        <v>0</v>
      </c>
      <c r="AT138" t="str">
        <f t="shared" si="69"/>
        <v>VENTAS</v>
      </c>
      <c r="AU138">
        <f t="shared" si="70"/>
        <v>11.823868724970993</v>
      </c>
      <c r="AV138" t="str">
        <f t="shared" si="71"/>
        <v>Mayor retorno probable: VENTAS (+11,8 puntos finales potenciales).</v>
      </c>
    </row>
    <row r="139" spans="1:48" x14ac:dyDescent="0.3">
      <c r="A139" s="5">
        <v>51034317</v>
      </c>
      <c r="B139" s="5" t="str">
        <f>IFERROR(VLOOKUP(A139,VENTAS!$A$2:$B$1194,2,0),"")</f>
        <v>ARGUELLO</v>
      </c>
      <c r="C139" s="5">
        <f>IFERROR(INDEX(VENTAS!$C$2:$E$1194,MATCH(A139,VENTAS!$A$2:$A$1194,0),MATCH(PARAMS_MODELO!$B$2,{"Q1","Q2","Q3"},0)),0)</f>
        <v>113334175.38</v>
      </c>
      <c r="D139" s="5">
        <f>IFERROR(INDEX(VENTAS!$F$2:$H$1194,MATCH(A139,VENTAS!$A$2:$A$1194,0),MATCH(PARAMS_MODELO!$B$2,{"Q1","Q2","Q3"},0)),0)</f>
        <v>143099743</v>
      </c>
      <c r="E139" s="8">
        <f t="shared" si="48"/>
        <v>0.26263541001819224</v>
      </c>
      <c r="F139" s="12">
        <f>IF(E139&lt;=PARAMS_MODELO!$B$15,0,IF(E139&gt;=PARAMS_MODELO!$B$17,100,100*MIN(1,(E139-PARAMS_MODELO!$B$15)/(PARAMS_MODELO!$B$16-PARAMS_MODELO!$B$15))))*PARAMS_MODELO!$B$7</f>
        <v>35</v>
      </c>
      <c r="G139" s="5">
        <f t="shared" si="49"/>
        <v>29765567.620000005</v>
      </c>
      <c r="H139" s="5">
        <f>(PARAMS_MODELO!$B$20*(MAX(0,MIN(3,E139))/3)+PARAMS_MODELO!$B$21*(IFERROR(LN(1+MAX(0,G139))/LN(1+MAX(0,MAX($G$2:$G$1194))),0)))*100*PARAMS_MODELO!$B$8</f>
        <v>4.9532216389939352</v>
      </c>
      <c r="I139" s="8">
        <f>E139-PARAMS_MODELO!$B$5</f>
        <v>8.507257464266571E-2</v>
      </c>
      <c r="J139" s="5">
        <f>IF(I139&lt;=PARAMS_MODELO!$B$18,0,IF(I139&gt;=PARAMS_MODELO!$B$19,100,100*(I139-PARAMS_MODELO!$B$18)/(PARAMS_MODELO!$B$19-PARAMS_MODELO!$B$18)))*PARAMS_MODELO!$B$9</f>
        <v>15</v>
      </c>
      <c r="K139" s="5">
        <f>IFERROR(CHOOSE(MATCH(PARAMS_MODELO!$B$2,{"Q1","Q2","Q3"},0),LOTO!$D139,LOTO!$F139,LOTO!$H139),0)</f>
        <v>7190000</v>
      </c>
      <c r="L139" s="8">
        <f t="shared" si="50"/>
        <v>5.0244674443615175E-2</v>
      </c>
      <c r="M139" s="5">
        <f>MIN(100,IF(PARAMS_MODELO!$B$23=0,0,100*L139/PARAMS_MODELO!$B$23))*PARAMS_MODELO!$B$10</f>
        <v>15</v>
      </c>
      <c r="N139" s="5">
        <f>IFERROR(VLOOKUP(A139,COMPLIANCE!$A$2:$F$1996,6,0),100)</f>
        <v>100</v>
      </c>
      <c r="O139" s="5">
        <f>N139*PARAMS_MODELO!$B$11</f>
        <v>10</v>
      </c>
      <c r="P139" s="5">
        <f>IFERROR(VLOOKUP(A139,DIGITAL!$A$2:$J$2000,7,0),100)</f>
        <v>56</v>
      </c>
      <c r="Q139" s="5">
        <f>IFERROR(P139,0)*PARAMS_MODELO!$B$12</f>
        <v>5.6000000000000005</v>
      </c>
      <c r="R139">
        <f t="shared" si="51"/>
        <v>85.553221638993932</v>
      </c>
      <c r="S139" s="5" t="str">
        <f>IFERROR(VLOOKUP(A139,CLIENTE!$A$2:$N$2000,13,0),1)</f>
        <v>Malo</v>
      </c>
      <c r="T139" s="5">
        <f>IFERROR(VLOOKUP(A139,CLIENTE!$A$2:$N$2000,14,0),1)</f>
        <v>0.7</v>
      </c>
      <c r="U139" s="5">
        <f t="shared" si="52"/>
        <v>59.887255147295747</v>
      </c>
      <c r="V139" s="5" t="str">
        <f>IF(U139&gt;=MAX(_xlfn.PERCENTILE.INC($U$2:$U$1194,PARAMS_MODELO!$B$50),PARAMS_MODELO!$B$45),"DIAMANTE",IF(U139&gt;=MAX(_xlfn.PERCENTILE.INC($U$2:$U$1194,PARAMS_MODELO!$B$51),PARAMS_MODELO!$B$46),"PLATINO",IF(U139&gt;=MAX(_xlfn.PERCENTILE.INC($U$2:$U$1194,PARAMS_MODELO!$B$52),PARAMS_MODELO!$B$47),"ORO",IF(U139&gt;=MAX(_xlfn.PERCENTILE.INC($U$2:$U$1194,PARAMS_MODELO!$B$53),PARAMS_MODELO!$B$48),"PLATA",IF(U139&gt;=1,"BRONCE","CERRADO")))))</f>
        <v>PLATA</v>
      </c>
      <c r="W139" s="5" t="str" cm="1">
        <f t="array" ref="W139">_xlfn.XLOOKUP(1, (HIST_SCORE!$B:$B=PARAMS_MODELO!$B$4) * (HIST_SCORE!$C:$C=A139), HIST_SCORE!$E:$E, "No encontrado")</f>
        <v>PLATA</v>
      </c>
      <c r="X139" s="5" t="str">
        <f>_xlfn.LET(_xlpm.act,MATCH(V139,{"DIAMANTE";"PLATINO";"ORO";"PLATA";"BRONCE";"CERRADO"},0),_xlpm.ant,MATCH(W139,{"DIAMANTE";"PLATINO";"ORO";"PLATA";"BRONCE";"CERRADO"},0),IF(_xlpm.act&lt;_xlpm.ant,"Mejora ↑",IF(_xlpm.act&gt;_xlpm.ant,"Baja ↓","Estable →")))</f>
        <v>Estable →</v>
      </c>
      <c r="Y139" s="5">
        <f>IFERROR(U139-SUMIFS(HIST_SCORE!$D:$D,HIST_SCORE!$B:$B,PARAMS_MODELO!$B$4,HIST_SCORE!$C:$C,$A139),"")</f>
        <v>5.8034791371092354E-2</v>
      </c>
      <c r="Z139" s="5" t="str">
        <f t="shared" si="53"/>
        <v>→ Estable</v>
      </c>
      <c r="AA139" s="5">
        <f t="shared" si="54"/>
        <v>622</v>
      </c>
      <c r="AB139" s="5">
        <f>IFERROR(SUMIFS(HIST_SCORE!$F:$F,HIST_SCORE!$B:$B,PARAMS_MODELO!$B$4,HIST_SCORE!$C:$C,$A139),"")</f>
        <v>652</v>
      </c>
      <c r="AC139" s="5">
        <f t="shared" si="55"/>
        <v>30</v>
      </c>
      <c r="AD139" t="str">
        <f t="shared" si="57"/>
        <v/>
      </c>
      <c r="AE1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139="CERRADO",1,IF(V139="BRONCE",_xlpm.cPl,IF(V139="PLATA",_xlpm.cO,IF(V139="ORO",_xlpm.cP,IF(V139="PLATINO",_xlpm.cD,999))))))</f>
        <v>63.199193273331495</v>
      </c>
      <c r="AF1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139="CERRADO",0,IF(V139="BRONCE",1,IF(V139="PLATA",_xlpm.cPl,IF(V139="ORO",_xlpm.cO,IF(V139="PLATINO",_xlpm.cP,_xlpm.cD))))))</f>
        <v>24.506573482968111</v>
      </c>
      <c r="AG139">
        <f t="shared" si="58"/>
        <v>4.7313401800510633</v>
      </c>
      <c r="AH139" t="str">
        <f t="shared" si="59"/>
        <v>CLIENTE</v>
      </c>
      <c r="AI139" t="str">
        <f t="shared" si="56"/>
        <v>🎯 Para subir de categoría, la eje con mayor impacto probable es CLIENTE (coef T). Acción: reducir quejas, mejorar incógnito y empujar reseñas. ΔR aprox: 4,7</v>
      </c>
      <c r="AJ139" s="26">
        <f>_xlfn.LET(_xlpm.piso,AF139,_xlpm.corte,AE139,_xlpm.prog,IF(_xlpm.corte&lt;=_xlpm.piso,0,MAX(0,MIN(1,(U139-_xlpm.piso)/(_xlpm.corte-_xlpm.piso)))),_xlpm.orden,{"DIAMANTE";"PLATINO";"ORO";"PLATA";"BRONCE";"CERRADO"},_xlpm.act,IFERROR(MATCH(V139,_xlpm.orden,0),6),_xlpm.ant,IFERROR(MATCH(W139,_xlpm.orden,0),6),_xlpm.ajmov,IF(_xlpm.act&lt;_xlpm.ant,0.08,IF(_xlpm.act&gt;_xlpm.ant,-0.08,0)),_xlpm.ajcli,IF(T139&lt;0.95,-0.06,0),_xlpm.prob,MAX(0,MIN(1,_xlpm.prog+_xlpm.ajmov+_xlpm.ajcli)),IF(OR(V139="DIAMANTE",V139="CERRADO"),0,ROUND(_xlpm.prob,2)))</f>
        <v>0.85</v>
      </c>
      <c r="AK139" t="str">
        <f t="shared" si="60"/>
        <v>Faltan 4,7 puntos base para subir a la siguiente categoría</v>
      </c>
      <c r="AL139" t="str">
        <f t="shared" si="61"/>
        <v>Margen de seguridad: 35,4 puntos</v>
      </c>
      <c r="AM139">
        <f t="shared" si="62"/>
        <v>0.45</v>
      </c>
      <c r="AN139" t="str">
        <f t="shared" si="63"/>
        <v>PRIORIDAD MEDIA – seguimiento del asesor</v>
      </c>
      <c r="AO139">
        <f t="shared" si="64"/>
        <v>6.9365433454111525</v>
      </c>
      <c r="AP139">
        <f t="shared" si="65"/>
        <v>0</v>
      </c>
      <c r="AQ139">
        <f t="shared" si="66"/>
        <v>0</v>
      </c>
      <c r="AR139">
        <f t="shared" si="67"/>
        <v>3.0799999999999996</v>
      </c>
      <c r="AS139">
        <f t="shared" si="68"/>
        <v>25.665966491698182</v>
      </c>
      <c r="AT139" t="str">
        <f t="shared" si="69"/>
        <v>CLIENTE</v>
      </c>
      <c r="AU139">
        <f t="shared" si="70"/>
        <v>25.665966491698182</v>
      </c>
      <c r="AV139" t="str">
        <f t="shared" si="71"/>
        <v>Mayor retorno probable: CLIENTE (+25,7 puntos finales potenciales).</v>
      </c>
    </row>
    <row r="140" spans="1:48" x14ac:dyDescent="0.3">
      <c r="A140" s="5">
        <v>51012666</v>
      </c>
      <c r="B140" s="5" t="str">
        <f>IFERROR(VLOOKUP(A140,VENTAS!$A$2:$B$1194,2,0),"")</f>
        <v>PUGH</v>
      </c>
      <c r="C140" s="5">
        <f>IFERROR(INDEX(VENTAS!$C$2:$E$1194,MATCH(A140,VENTAS!$A$2:$A$1194,0),MATCH(PARAMS_MODELO!$B$2,{"Q1","Q2","Q3"},0)),0)</f>
        <v>127278912.84999999</v>
      </c>
      <c r="D140" s="5">
        <f>IFERROR(INDEX(VENTAS!$F$2:$H$1194,MATCH(A140,VENTAS!$A$2:$A$1194,0),MATCH(PARAMS_MODELO!$B$2,{"Q1","Q2","Q3"},0)),0)</f>
        <v>142479430</v>
      </c>
      <c r="E140" s="8">
        <f t="shared" si="48"/>
        <v>0.11942683049087655</v>
      </c>
      <c r="F140" s="12">
        <f>IF(E140&lt;=PARAMS_MODELO!$B$15,0,IF(E140&gt;=PARAMS_MODELO!$B$17,100,100*MIN(1,(E140-PARAMS_MODELO!$B$15)/(PARAMS_MODELO!$B$16-PARAMS_MODELO!$B$15))))*PARAMS_MODELO!$B$7</f>
        <v>35</v>
      </c>
      <c r="G140" s="5">
        <f t="shared" si="49"/>
        <v>15200517.150000006</v>
      </c>
      <c r="H140" s="5">
        <f>(PARAMS_MODELO!$B$20*(MAX(0,MIN(3,E140))/3)+PARAMS_MODELO!$B$21*(IFERROR(LN(1+MAX(0,G140))/LN(1+MAX(0,MAX($G$2:$G$1194))),0)))*100*PARAMS_MODELO!$B$8</f>
        <v>4.2944600858347748</v>
      </c>
      <c r="I140" s="8">
        <f>E140-PARAMS_MODELO!$B$5</f>
        <v>-5.8136004884649983E-2</v>
      </c>
      <c r="J140" s="5">
        <f>IF(I140&lt;=PARAMS_MODELO!$B$18,0,IF(I140&gt;=PARAMS_MODELO!$B$19,100,100*(I140-PARAMS_MODELO!$B$18)/(PARAMS_MODELO!$B$19-PARAMS_MODELO!$B$18)))*PARAMS_MODELO!$B$9</f>
        <v>0</v>
      </c>
      <c r="K140" s="5">
        <f>IFERROR(CHOOSE(MATCH(PARAMS_MODELO!$B$2,{"Q1","Q2","Q3"},0),LOTO!$D140,LOTO!$F140,LOTO!$H140),0)</f>
        <v>7142499.9999999991</v>
      </c>
      <c r="L140" s="8">
        <f t="shared" si="50"/>
        <v>5.0130043333272735E-2</v>
      </c>
      <c r="M140" s="5">
        <f>MIN(100,IF(PARAMS_MODELO!$B$23=0,0,100*L140/PARAMS_MODELO!$B$23))*PARAMS_MODELO!$B$10</f>
        <v>15</v>
      </c>
      <c r="N140" s="5">
        <f>IFERROR(VLOOKUP(A140,COMPLIANCE!$A$2:$F$1996,6,0),100)</f>
        <v>100</v>
      </c>
      <c r="O140" s="5">
        <f>N140*PARAMS_MODELO!$B$11</f>
        <v>10</v>
      </c>
      <c r="P140" s="5">
        <f>IFERROR(VLOOKUP(A140,DIGITAL!$A$2:$J$2000,7,0),100)</f>
        <v>43</v>
      </c>
      <c r="Q140" s="5">
        <f>IFERROR(P140,0)*PARAMS_MODELO!$B$12</f>
        <v>4.3</v>
      </c>
      <c r="R140">
        <f t="shared" si="51"/>
        <v>68.594460085834768</v>
      </c>
      <c r="S140" s="5" t="str">
        <f>IFERROR(VLOOKUP(A140,CLIENTE!$A$2:$N$2000,13,0),1)</f>
        <v>Regular</v>
      </c>
      <c r="T140" s="5">
        <f>IFERROR(VLOOKUP(A140,CLIENTE!$A$2:$N$2000,14,0),1)</f>
        <v>1</v>
      </c>
      <c r="U140" s="5">
        <f t="shared" si="52"/>
        <v>68.594460085834768</v>
      </c>
      <c r="V140" s="5" t="str">
        <f>IF(U140&gt;=MAX(_xlfn.PERCENTILE.INC($U$2:$U$1194,PARAMS_MODELO!$B$50),PARAMS_MODELO!$B$45),"DIAMANTE",IF(U140&gt;=MAX(_xlfn.PERCENTILE.INC($U$2:$U$1194,PARAMS_MODELO!$B$51),PARAMS_MODELO!$B$46),"PLATINO",IF(U140&gt;=MAX(_xlfn.PERCENTILE.INC($U$2:$U$1194,PARAMS_MODELO!$B$52),PARAMS_MODELO!$B$47),"ORO",IF(U140&gt;=MAX(_xlfn.PERCENTILE.INC($U$2:$U$1194,PARAMS_MODELO!$B$53),PARAMS_MODELO!$B$48),"PLATA",IF(U140&gt;=1,"BRONCE","CERRADO")))))</f>
        <v>ORO</v>
      </c>
      <c r="W140" s="5" t="str" cm="1">
        <f t="array" ref="W140">_xlfn.XLOOKUP(1, (HIST_SCORE!$B:$B=PARAMS_MODELO!$B$4) * (HIST_SCORE!$C:$C=A140), HIST_SCORE!$E:$E, "No encontrado")</f>
        <v>ORO</v>
      </c>
      <c r="X140" s="5" t="str">
        <f>_xlfn.LET(_xlpm.act,MATCH(V140,{"DIAMANTE";"PLATINO";"ORO";"PLATA";"BRONCE";"CERRADO"},0),_xlpm.ant,MATCH(W140,{"DIAMANTE";"PLATINO";"ORO";"PLATA";"BRONCE";"CERRADO"},0),IF(_xlpm.act&lt;_xlpm.ant,"Mejora ↑",IF(_xlpm.act&gt;_xlpm.ant,"Baja ↓","Estable →")))</f>
        <v>Estable →</v>
      </c>
      <c r="Y140" s="5">
        <f>IFERROR(U140-SUMIFS(HIST_SCORE!$D:$D,HIST_SCORE!$B:$B,PARAMS_MODELO!$B$4,HIST_SCORE!$C:$C,$A140),"")</f>
        <v>-11.643685283371752</v>
      </c>
      <c r="Z140" s="5" t="str">
        <f t="shared" si="53"/>
        <v>↓ Baja</v>
      </c>
      <c r="AA140" s="5">
        <f t="shared" si="54"/>
        <v>522</v>
      </c>
      <c r="AB140" s="5">
        <f>IFERROR(SUMIFS(HIST_SCORE!$F:$F,HIST_SCORE!$B:$B,PARAMS_MODELO!$B$4,HIST_SCORE!$C:$C,$A140),"")</f>
        <v>414</v>
      </c>
      <c r="AC140" s="5">
        <f t="shared" si="55"/>
        <v>-108</v>
      </c>
      <c r="AD140" t="str">
        <f t="shared" si="57"/>
        <v>Sostener base y reforzar mix</v>
      </c>
      <c r="AE1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140="CERRADO",1,IF(V140="BRONCE",_xlpm.cPl,IF(V140="PLATA",_xlpm.cO,IF(V140="ORO",_xlpm.cP,IF(V140="PLATINO",_xlpm.cD,999))))))</f>
        <v>86.439123873763251</v>
      </c>
      <c r="AF1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140="CERRADO",0,IF(V140="BRONCE",1,IF(V140="PLATA",_xlpm.cPl,IF(V140="ORO",_xlpm.cO,IF(V140="PLATINO",_xlpm.cP,_xlpm.cD))))))</f>
        <v>63.199193273331495</v>
      </c>
      <c r="AG140">
        <f t="shared" si="58"/>
        <v>17.844663787928482</v>
      </c>
      <c r="AH140" t="str">
        <f t="shared" si="59"/>
        <v>VENTAS</v>
      </c>
      <c r="AI140" t="str">
        <f t="shared" si="56"/>
        <v>🎯 Para subir de categoría, eje VENTAS / DIFERENCIAL vs LOTBA (J). Acción: metas semanales + activación comercial + seguimiento del asesor. ΔR aprox: 17,8</v>
      </c>
      <c r="AJ140" s="26">
        <f>_xlfn.LET(_xlpm.piso,AF140,_xlpm.corte,AE140,_xlpm.prog,IF(_xlpm.corte&lt;=_xlpm.piso,0,MAX(0,MIN(1,(U140-_xlpm.piso)/(_xlpm.corte-_xlpm.piso)))),_xlpm.orden,{"DIAMANTE";"PLATINO";"ORO";"PLATA";"BRONCE";"CERRADO"},_xlpm.act,IFERROR(MATCH(V140,_xlpm.orden,0),6),_xlpm.ant,IFERROR(MATCH(W140,_xlpm.orden,0),6),_xlpm.ajmov,IF(_xlpm.act&lt;_xlpm.ant,0.08,IF(_xlpm.act&gt;_xlpm.ant,-0.08,0)),_xlpm.ajcli,IF(T140&lt;0.95,-0.06,0),_xlpm.prob,MAX(0,MIN(1,_xlpm.prog+_xlpm.ajmov+_xlpm.ajcli)),IF(OR(V140="DIAMANTE",V140="CERRADO"),0,ROUND(_xlpm.prob,2)))</f>
        <v>0.23</v>
      </c>
      <c r="AK140" t="str">
        <f t="shared" si="60"/>
        <v>Faltan 17,8 puntos base para subir a la siguiente categoría</v>
      </c>
      <c r="AL140" t="str">
        <f t="shared" si="61"/>
        <v>Margen de seguridad: 5,4 puntos</v>
      </c>
      <c r="AM140">
        <f t="shared" si="62"/>
        <v>0.71</v>
      </c>
      <c r="AN140" t="str">
        <f t="shared" si="63"/>
        <v>PRIORIDAD ALTA – requiere intervención inmediata</v>
      </c>
      <c r="AO140">
        <f t="shared" si="64"/>
        <v>25.568109189460813</v>
      </c>
      <c r="AP140">
        <f t="shared" si="65"/>
        <v>0</v>
      </c>
      <c r="AQ140">
        <f t="shared" si="66"/>
        <v>0</v>
      </c>
      <c r="AR140">
        <f t="shared" si="67"/>
        <v>5.7</v>
      </c>
      <c r="AS140">
        <f t="shared" si="68"/>
        <v>0</v>
      </c>
      <c r="AT140" t="str">
        <f t="shared" si="69"/>
        <v>VENTAS</v>
      </c>
      <c r="AU140">
        <f t="shared" si="70"/>
        <v>25.568109189460813</v>
      </c>
      <c r="AV140" t="str">
        <f t="shared" si="71"/>
        <v>Mayor retorno probable: VENTAS (+25,6 puntos finales potenciales).</v>
      </c>
    </row>
    <row r="141" spans="1:48" x14ac:dyDescent="0.3">
      <c r="A141" s="5">
        <v>51036247</v>
      </c>
      <c r="B141" s="5" t="str">
        <f>IFERROR(VLOOKUP(A141,VENTAS!$A$2:$B$1194,2,0),"")</f>
        <v>LÓPEZ</v>
      </c>
      <c r="C141" s="5">
        <f>IFERROR(INDEX(VENTAS!$C$2:$E$1194,MATCH(A141,VENTAS!$A$2:$A$1194,0),MATCH(PARAMS_MODELO!$B$2,{"Q1","Q2","Q3"},0)),0)</f>
        <v>162322581.03</v>
      </c>
      <c r="D141" s="5">
        <f>IFERROR(INDEX(VENTAS!$F$2:$H$1194,MATCH(A141,VENTAS!$A$2:$A$1194,0),MATCH(PARAMS_MODELO!$B$2,{"Q1","Q2","Q3"},0)),0)</f>
        <v>142442521</v>
      </c>
      <c r="E141" s="8">
        <f t="shared" si="48"/>
        <v>-0.12247254758920956</v>
      </c>
      <c r="F141" s="12">
        <f>IF(E141&lt;=PARAMS_MODELO!$B$15,0,IF(E141&gt;=PARAMS_MODELO!$B$17,100,100*MIN(1,(E141-PARAMS_MODELO!$B$15)/(PARAMS_MODELO!$B$16-PARAMS_MODELO!$B$15))))*PARAMS_MODELO!$B$7</f>
        <v>0</v>
      </c>
      <c r="G141" s="5">
        <f t="shared" si="49"/>
        <v>0</v>
      </c>
      <c r="H141" s="5">
        <f>(PARAMS_MODELO!$B$20*(MAX(0,MIN(3,E141))/3)+PARAMS_MODELO!$B$21*(IFERROR(LN(1+MAX(0,G141))/LN(1+MAX(0,MAX($G$2:$G$1194))),0)))*100*PARAMS_MODELO!$B$8</f>
        <v>0</v>
      </c>
      <c r="I141" s="8">
        <f>E141-PARAMS_MODELO!$B$5</f>
        <v>-0.30003538296473609</v>
      </c>
      <c r="J141" s="5">
        <f>IF(I141&lt;=PARAMS_MODELO!$B$18,0,IF(I141&gt;=PARAMS_MODELO!$B$19,100,100*(I141-PARAMS_MODELO!$B$18)/(PARAMS_MODELO!$B$19-PARAMS_MODELO!$B$18)))*PARAMS_MODELO!$B$9</f>
        <v>0</v>
      </c>
      <c r="K141" s="5">
        <f>IFERROR(CHOOSE(MATCH(PARAMS_MODELO!$B$2,{"Q1","Q2","Q3"},0),LOTO!$D141,LOTO!$F141,LOTO!$H141),0)</f>
        <v>7127500</v>
      </c>
      <c r="L141" s="8">
        <f t="shared" si="50"/>
        <v>5.0037727147499725E-2</v>
      </c>
      <c r="M141" s="5">
        <f>MIN(100,IF(PARAMS_MODELO!$B$23=0,0,100*L141/PARAMS_MODELO!$B$23))*PARAMS_MODELO!$B$10</f>
        <v>15</v>
      </c>
      <c r="N141" s="5">
        <f>IFERROR(VLOOKUP(A141,COMPLIANCE!$A$2:$F$1996,6,0),100)</f>
        <v>100</v>
      </c>
      <c r="O141" s="5">
        <f>N141*PARAMS_MODELO!$B$11</f>
        <v>10</v>
      </c>
      <c r="P141" s="5">
        <f>IFERROR(VLOOKUP(A141,DIGITAL!$A$2:$J$2000,7,0),100)</f>
        <v>19</v>
      </c>
      <c r="Q141" s="5">
        <f>IFERROR(P141,0)*PARAMS_MODELO!$B$12</f>
        <v>1.9000000000000001</v>
      </c>
      <c r="R141">
        <f t="shared" si="51"/>
        <v>26.9</v>
      </c>
      <c r="S141" s="5" t="str">
        <f>IFERROR(VLOOKUP(A141,CLIENTE!$A$2:$N$2000,13,0),1)</f>
        <v>Malo</v>
      </c>
      <c r="T141" s="5">
        <f>IFERROR(VLOOKUP(A141,CLIENTE!$A$2:$N$2000,14,0),1)</f>
        <v>0.7</v>
      </c>
      <c r="U141" s="5">
        <f t="shared" si="52"/>
        <v>18.829999999999998</v>
      </c>
      <c r="V141" s="5" t="str">
        <f>IF(U141&gt;=MAX(_xlfn.PERCENTILE.INC($U$2:$U$1194,PARAMS_MODELO!$B$50),PARAMS_MODELO!$B$45),"DIAMANTE",IF(U141&gt;=MAX(_xlfn.PERCENTILE.INC($U$2:$U$1194,PARAMS_MODELO!$B$51),PARAMS_MODELO!$B$46),"PLATINO",IF(U141&gt;=MAX(_xlfn.PERCENTILE.INC($U$2:$U$1194,PARAMS_MODELO!$B$52),PARAMS_MODELO!$B$47),"ORO",IF(U141&gt;=MAX(_xlfn.PERCENTILE.INC($U$2:$U$1194,PARAMS_MODELO!$B$53),PARAMS_MODELO!$B$48),"PLATA",IF(U141&gt;=1,"BRONCE","CERRADO")))))</f>
        <v>BRONCE</v>
      </c>
      <c r="W141" s="5" t="str" cm="1">
        <f t="array" ref="W141">_xlfn.XLOOKUP(1, (HIST_SCORE!$B:$B=PARAMS_MODELO!$B$4) * (HIST_SCORE!$C:$C=A141), HIST_SCORE!$E:$E, "No encontrado")</f>
        <v>PLATA</v>
      </c>
      <c r="X141" s="5" t="str">
        <f>_xlfn.LET(_xlpm.act,MATCH(V141,{"DIAMANTE";"PLATINO";"ORO";"PLATA";"BRONCE";"CERRADO"},0),_xlpm.ant,MATCH(W141,{"DIAMANTE";"PLATINO";"ORO";"PLATA";"BRONCE";"CERRADO"},0),IF(_xlpm.act&lt;_xlpm.ant,"Mejora ↑",IF(_xlpm.act&gt;_xlpm.ant,"Baja ↓","Estable →")))</f>
        <v>Baja ↓</v>
      </c>
      <c r="Y141" s="5">
        <f>IFERROR(U141-SUMIFS(HIST_SCORE!$D:$D,HIST_SCORE!$B:$B,PARAMS_MODELO!$B$4,HIST_SCORE!$C:$C,$A141),"")</f>
        <v>-35.951562205754023</v>
      </c>
      <c r="Z141" s="5" t="str">
        <f t="shared" si="53"/>
        <v>↓ Baja</v>
      </c>
      <c r="AA141" s="5">
        <f t="shared" si="54"/>
        <v>1010</v>
      </c>
      <c r="AB141" s="5">
        <f>IFERROR(SUMIFS(HIST_SCORE!$F:$F,HIST_SCORE!$B:$B,PARAMS_MODELO!$B$4,HIST_SCORE!$C:$C,$A141),"")</f>
        <v>739</v>
      </c>
      <c r="AC141" s="5">
        <f t="shared" si="55"/>
        <v>-271</v>
      </c>
      <c r="AD141" t="str">
        <f t="shared" si="57"/>
        <v>Plan de recuperación: foco crecimiento + mix</v>
      </c>
      <c r="AE1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141="CERRADO",1,IF(V141="BRONCE",_xlpm.cPl,IF(V141="PLATA",_xlpm.cO,IF(V141="ORO",_xlpm.cP,IF(V141="PLATINO",_xlpm.cD,999))))))</f>
        <v>24.506573482968111</v>
      </c>
      <c r="AF1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141="CERRADO",0,IF(V141="BRONCE",1,IF(V141="PLATA",_xlpm.cPl,IF(V141="ORO",_xlpm.cO,IF(V141="PLATINO",_xlpm.cP,_xlpm.cD))))))</f>
        <v>1</v>
      </c>
      <c r="AG141">
        <f t="shared" si="58"/>
        <v>8.109390689954445</v>
      </c>
      <c r="AH141" t="str">
        <f t="shared" si="59"/>
        <v>CLIENTE</v>
      </c>
      <c r="AI141" t="str">
        <f t="shared" si="56"/>
        <v>🎯 Para subir de categoría, la eje con mayor impacto probable es CLIENTE (coef T). Acción: reducir quejas, mejorar incógnito y empujar reseñas. ΔR aprox: 8,1</v>
      </c>
      <c r="AJ141" s="26">
        <f>_xlfn.LET(_xlpm.piso,AF141,_xlpm.corte,AE141,_xlpm.prog,IF(_xlpm.corte&lt;=_xlpm.piso,0,MAX(0,MIN(1,(U141-_xlpm.piso)/(_xlpm.corte-_xlpm.piso)))),_xlpm.orden,{"DIAMANTE";"PLATINO";"ORO";"PLATA";"BRONCE";"CERRADO"},_xlpm.act,IFERROR(MATCH(V141,_xlpm.orden,0),6),_xlpm.ant,IFERROR(MATCH(W141,_xlpm.orden,0),6),_xlpm.ajmov,IF(_xlpm.act&lt;_xlpm.ant,0.08,IF(_xlpm.act&gt;_xlpm.ant,-0.08,0)),_xlpm.ajcli,IF(T141&lt;0.95,-0.06,0),_xlpm.prob,MAX(0,MIN(1,_xlpm.prog+_xlpm.ajmov+_xlpm.ajcli)),IF(OR(V141="DIAMANTE",V141="CERRADO"),0,ROUND(_xlpm.prob,2)))</f>
        <v>0.62</v>
      </c>
      <c r="AK141" t="str">
        <f t="shared" si="60"/>
        <v>Faltan 8,1 puntos base para subir a la siguiente categoría</v>
      </c>
      <c r="AL141" t="str">
        <f t="shared" si="61"/>
        <v>No aplica</v>
      </c>
      <c r="AM141">
        <f t="shared" si="62"/>
        <v>0.68</v>
      </c>
      <c r="AN141" t="str">
        <f t="shared" si="63"/>
        <v>PRIORIDAD MEDIA – seguimiento del asesor</v>
      </c>
      <c r="AO141">
        <f t="shared" si="64"/>
        <v>45.403798492706905</v>
      </c>
      <c r="AP141">
        <f t="shared" si="65"/>
        <v>0</v>
      </c>
      <c r="AQ141">
        <f t="shared" si="66"/>
        <v>0</v>
      </c>
      <c r="AR141">
        <f t="shared" si="67"/>
        <v>5.669999999999999</v>
      </c>
      <c r="AS141">
        <f t="shared" si="68"/>
        <v>8.07</v>
      </c>
      <c r="AT141" t="str">
        <f t="shared" si="69"/>
        <v>VENTAS</v>
      </c>
      <c r="AU141">
        <f t="shared" si="70"/>
        <v>45.403798492706905</v>
      </c>
      <c r="AV141" t="str">
        <f t="shared" si="71"/>
        <v>Mayor retorno probable: VENTAS (+45,4 puntos finales potenciales).</v>
      </c>
    </row>
    <row r="142" spans="1:48" x14ac:dyDescent="0.3">
      <c r="A142" s="5">
        <v>51011325</v>
      </c>
      <c r="B142" s="5" t="str">
        <f>IFERROR(VLOOKUP(A142,VENTAS!$A$2:$B$1194,2,0),"")</f>
        <v>AYALA</v>
      </c>
      <c r="C142" s="5">
        <f>IFERROR(INDEX(VENTAS!$C$2:$E$1194,MATCH(A142,VENTAS!$A$2:$A$1194,0),MATCH(PARAMS_MODELO!$B$2,{"Q1","Q2","Q3"},0)),0)</f>
        <v>129724775.70999999</v>
      </c>
      <c r="D142" s="5">
        <f>IFERROR(INDEX(VENTAS!$F$2:$H$1194,MATCH(A142,VENTAS!$A$2:$A$1194,0),MATCH(PARAMS_MODELO!$B$2,{"Q1","Q2","Q3"},0)),0)</f>
        <v>141854618</v>
      </c>
      <c r="E142" s="8">
        <f t="shared" si="48"/>
        <v>9.3504438328082307E-2</v>
      </c>
      <c r="F142" s="12">
        <f>IF(E142&lt;=PARAMS_MODELO!$B$15,0,IF(E142&gt;=PARAMS_MODELO!$B$17,100,100*MIN(1,(E142-PARAMS_MODELO!$B$15)/(PARAMS_MODELO!$B$16-PARAMS_MODELO!$B$15))))*PARAMS_MODELO!$B$7</f>
        <v>32.726553414828807</v>
      </c>
      <c r="G142" s="5">
        <f t="shared" si="49"/>
        <v>12129842.290000007</v>
      </c>
      <c r="H142" s="5">
        <f>(PARAMS_MODELO!$B$20*(MAX(0,MIN(3,E142))/3)+PARAMS_MODELO!$B$21*(IFERROR(LN(1+MAX(0,G142))/LN(1+MAX(0,MAX($G$2:$G$1194))),0)))*100*PARAMS_MODELO!$B$8</f>
        <v>4.1508336918929372</v>
      </c>
      <c r="I142" s="8">
        <f>E142-PARAMS_MODELO!$B$5</f>
        <v>-8.4058397047444222E-2</v>
      </c>
      <c r="J142" s="5">
        <f>IF(I142&lt;=PARAMS_MODELO!$B$18,0,IF(I142&gt;=PARAMS_MODELO!$B$19,100,100*(I142-PARAMS_MODELO!$B$18)/(PARAMS_MODELO!$B$19-PARAMS_MODELO!$B$18)))*PARAMS_MODELO!$B$9</f>
        <v>0</v>
      </c>
      <c r="K142" s="5">
        <f>IFERROR(CHOOSE(MATCH(PARAMS_MODELO!$B$2,{"Q1","Q2","Q3"},0),LOTO!$D142,LOTO!$F142,LOTO!$H142),0)</f>
        <v>7125000</v>
      </c>
      <c r="L142" s="8">
        <f t="shared" si="50"/>
        <v>5.0227480081050303E-2</v>
      </c>
      <c r="M142" s="5">
        <f>MIN(100,IF(PARAMS_MODELO!$B$23=0,0,100*L142/PARAMS_MODELO!$B$23))*PARAMS_MODELO!$B$10</f>
        <v>15</v>
      </c>
      <c r="N142" s="5">
        <f>IFERROR(VLOOKUP(A142,COMPLIANCE!$A$2:$F$1996,6,0),100)</f>
        <v>99.9</v>
      </c>
      <c r="O142" s="5">
        <f>N142*PARAMS_MODELO!$B$11</f>
        <v>9.990000000000002</v>
      </c>
      <c r="P142" s="5">
        <f>IFERROR(VLOOKUP(A142,DIGITAL!$A$2:$J$2000,7,0),100)</f>
        <v>60</v>
      </c>
      <c r="Q142" s="5">
        <f>IFERROR(P142,0)*PARAMS_MODELO!$B$12</f>
        <v>6</v>
      </c>
      <c r="R142">
        <f t="shared" si="51"/>
        <v>67.867387106721736</v>
      </c>
      <c r="S142" s="5" t="str">
        <f>IFERROR(VLOOKUP(A142,CLIENTE!$A$2:$N$2000,13,0),1)</f>
        <v>Malo</v>
      </c>
      <c r="T142" s="5">
        <f>IFERROR(VLOOKUP(A142,CLIENTE!$A$2:$N$2000,14,0),1)</f>
        <v>0.7</v>
      </c>
      <c r="U142" s="5">
        <f t="shared" si="52"/>
        <v>47.507170974705211</v>
      </c>
      <c r="V142" s="5" t="str">
        <f>IF(U142&gt;=MAX(_xlfn.PERCENTILE.INC($U$2:$U$1194,PARAMS_MODELO!$B$50),PARAMS_MODELO!$B$45),"DIAMANTE",IF(U142&gt;=MAX(_xlfn.PERCENTILE.INC($U$2:$U$1194,PARAMS_MODELO!$B$51),PARAMS_MODELO!$B$46),"PLATINO",IF(U142&gt;=MAX(_xlfn.PERCENTILE.INC($U$2:$U$1194,PARAMS_MODELO!$B$52),PARAMS_MODELO!$B$47),"ORO",IF(U142&gt;=MAX(_xlfn.PERCENTILE.INC($U$2:$U$1194,PARAMS_MODELO!$B$53),PARAMS_MODELO!$B$48),"PLATA",IF(U142&gt;=1,"BRONCE","CERRADO")))))</f>
        <v>PLATA</v>
      </c>
      <c r="W142" s="5" t="str" cm="1">
        <f t="array" ref="W142">_xlfn.XLOOKUP(1, (HIST_SCORE!$B:$B=PARAMS_MODELO!$B$4) * (HIST_SCORE!$C:$C=A142), HIST_SCORE!$E:$E, "No encontrado")</f>
        <v>PLATA</v>
      </c>
      <c r="X142" s="5" t="str">
        <f>_xlfn.LET(_xlpm.act,MATCH(V142,{"DIAMANTE";"PLATINO";"ORO";"PLATA";"BRONCE";"CERRADO"},0),_xlpm.ant,MATCH(W142,{"DIAMANTE";"PLATINO";"ORO";"PLATA";"BRONCE";"CERRADO"},0),IF(_xlpm.act&lt;_xlpm.ant,"Mejora ↑",IF(_xlpm.act&gt;_xlpm.ant,"Baja ↓","Estable →")))</f>
        <v>Estable →</v>
      </c>
      <c r="Y142" s="5">
        <f>IFERROR(U142-SUMIFS(HIST_SCORE!$D:$D,HIST_SCORE!$B:$B,PARAMS_MODELO!$B$4,HIST_SCORE!$C:$C,$A142),"")</f>
        <v>21.357622126570281</v>
      </c>
      <c r="Z142" s="5" t="str">
        <f t="shared" si="53"/>
        <v>↑ Mejora</v>
      </c>
      <c r="AA142" s="5">
        <f t="shared" si="54"/>
        <v>757</v>
      </c>
      <c r="AB142" s="5">
        <f>IFERROR(SUMIFS(HIST_SCORE!$F:$F,HIST_SCORE!$B:$B,PARAMS_MODELO!$B$4,HIST_SCORE!$C:$C,$A142),"")</f>
        <v>940</v>
      </c>
      <c r="AC142" s="5">
        <f t="shared" si="55"/>
        <v>183</v>
      </c>
      <c r="AD142" t="str">
        <f t="shared" si="57"/>
        <v/>
      </c>
      <c r="AE1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142="CERRADO",1,IF(V142="BRONCE",_xlpm.cPl,IF(V142="PLATA",_xlpm.cO,IF(V142="ORO",_xlpm.cP,IF(V142="PLATINO",_xlpm.cD,999))))))</f>
        <v>63.199193273331495</v>
      </c>
      <c r="AF1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142="CERRADO",0,IF(V142="BRONCE",1,IF(V142="PLATA",_xlpm.cPl,IF(V142="ORO",_xlpm.cO,IF(V142="PLATINO",_xlpm.cP,_xlpm.cD))))))</f>
        <v>24.506573482968111</v>
      </c>
      <c r="AG142">
        <f t="shared" si="58"/>
        <v>22.417174712323259</v>
      </c>
      <c r="AH142" t="str">
        <f t="shared" si="59"/>
        <v>CLIENTE</v>
      </c>
      <c r="AI142" t="str">
        <f t="shared" si="56"/>
        <v>🎯 Para subir de categoría, la eje con mayor impacto probable es CLIENTE (coef T). Acción: reducir quejas, mejorar incógnito y empujar reseñas. ΔR aprox: 22,4</v>
      </c>
      <c r="AJ142" s="26">
        <f>_xlfn.LET(_xlpm.piso,AF142,_xlpm.corte,AE142,_xlpm.prog,IF(_xlpm.corte&lt;=_xlpm.piso,0,MAX(0,MIN(1,(U142-_xlpm.piso)/(_xlpm.corte-_xlpm.piso)))),_xlpm.orden,{"DIAMANTE";"PLATINO";"ORO";"PLATA";"BRONCE";"CERRADO"},_xlpm.act,IFERROR(MATCH(V142,_xlpm.orden,0),6),_xlpm.ant,IFERROR(MATCH(W142,_xlpm.orden,0),6),_xlpm.ajmov,IF(_xlpm.act&lt;_xlpm.ant,0.08,IF(_xlpm.act&gt;_xlpm.ant,-0.08,0)),_xlpm.ajcli,IF(T142&lt;0.95,-0.06,0),_xlpm.prob,MAX(0,MIN(1,_xlpm.prog+_xlpm.ajmov+_xlpm.ajcli)),IF(OR(V142="DIAMANTE",V142="CERRADO"),0,ROUND(_xlpm.prob,2)))</f>
        <v>0.53</v>
      </c>
      <c r="AK142" t="str">
        <f t="shared" si="60"/>
        <v>Faltan 22,4 puntos base para subir a la siguiente categoría</v>
      </c>
      <c r="AL142" t="str">
        <f t="shared" si="61"/>
        <v>Margen de seguridad: 23,0 puntos</v>
      </c>
      <c r="AM142">
        <f t="shared" si="62"/>
        <v>0.79</v>
      </c>
      <c r="AN142" t="str">
        <f t="shared" si="63"/>
        <v>PRIORIDAD ALTA – requiere intervención inmediata</v>
      </c>
      <c r="AO142">
        <f t="shared" si="64"/>
        <v>19.589627518001688</v>
      </c>
      <c r="AP142">
        <f t="shared" si="65"/>
        <v>0</v>
      </c>
      <c r="AQ142">
        <f t="shared" si="66"/>
        <v>6.9999999999986072E-3</v>
      </c>
      <c r="AR142">
        <f t="shared" si="67"/>
        <v>2.8</v>
      </c>
      <c r="AS142">
        <f t="shared" si="68"/>
        <v>20.360216132016525</v>
      </c>
      <c r="AT142" t="str">
        <f t="shared" si="69"/>
        <v>CLIENTE</v>
      </c>
      <c r="AU142">
        <f t="shared" si="70"/>
        <v>20.360216132016525</v>
      </c>
      <c r="AV142" t="str">
        <f t="shared" si="71"/>
        <v>Mayor retorno probable: CLIENTE (+20,4 puntos finales potenciales).</v>
      </c>
    </row>
    <row r="143" spans="1:48" x14ac:dyDescent="0.3">
      <c r="A143" s="5">
        <v>51004469</v>
      </c>
      <c r="B143" s="5" t="str">
        <f>IFERROR(VLOOKUP(A143,VENTAS!$A$2:$B$1194,2,0),"")</f>
        <v>ARGUELLO</v>
      </c>
      <c r="C143" s="5">
        <f>IFERROR(INDEX(VENTAS!$C$2:$E$1194,MATCH(A143,VENTAS!$A$2:$A$1194,0),MATCH(PARAMS_MODELO!$B$2,{"Q1","Q2","Q3"},0)),0)</f>
        <v>105487643.79000001</v>
      </c>
      <c r="D143" s="5">
        <f>IFERROR(INDEX(VENTAS!$F$2:$H$1194,MATCH(A143,VENTAS!$A$2:$A$1194,0),MATCH(PARAMS_MODELO!$B$2,{"Q1","Q2","Q3"},0)),0)</f>
        <v>141497805</v>
      </c>
      <c r="E143" s="8">
        <f t="shared" si="48"/>
        <v>0.34136852351814184</v>
      </c>
      <c r="F143" s="12">
        <f>IF(E143&lt;=PARAMS_MODELO!$B$15,0,IF(E143&gt;=PARAMS_MODELO!$B$17,100,100*MIN(1,(E143-PARAMS_MODELO!$B$15)/(PARAMS_MODELO!$B$16-PARAMS_MODELO!$B$15))))*PARAMS_MODELO!$B$7</f>
        <v>35</v>
      </c>
      <c r="G143" s="5">
        <f t="shared" si="49"/>
        <v>36010161.209999993</v>
      </c>
      <c r="H143" s="5">
        <f>(PARAMS_MODELO!$B$20*(MAX(0,MIN(3,E143))/3)+PARAMS_MODELO!$B$21*(IFERROR(LN(1+MAX(0,G143))/LN(1+MAX(0,MAX($G$2:$G$1194))),0)))*100*PARAMS_MODELO!$B$8</f>
        <v>5.2734314106775093</v>
      </c>
      <c r="I143" s="8">
        <f>E143-PARAMS_MODELO!$B$5</f>
        <v>0.16380568814261531</v>
      </c>
      <c r="J143" s="5">
        <f>IF(I143&lt;=PARAMS_MODELO!$B$18,0,IF(I143&gt;=PARAMS_MODELO!$B$19,100,100*(I143-PARAMS_MODELO!$B$18)/(PARAMS_MODELO!$B$19-PARAMS_MODELO!$B$18)))*PARAMS_MODELO!$B$9</f>
        <v>15</v>
      </c>
      <c r="K143" s="5">
        <f>IFERROR(CHOOSE(MATCH(PARAMS_MODELO!$B$2,{"Q1","Q2","Q3"},0),LOTO!$D143,LOTO!$F143,LOTO!$H143),0)</f>
        <v>7122499.9999999991</v>
      </c>
      <c r="L143" s="8">
        <f t="shared" si="50"/>
        <v>5.0336469883755432E-2</v>
      </c>
      <c r="M143" s="5">
        <f>MIN(100,IF(PARAMS_MODELO!$B$23=0,0,100*L143/PARAMS_MODELO!$B$23))*PARAMS_MODELO!$B$10</f>
        <v>15</v>
      </c>
      <c r="N143" s="5">
        <f>IFERROR(VLOOKUP(A143,COMPLIANCE!$A$2:$F$1996,6,0),100)</f>
        <v>100</v>
      </c>
      <c r="O143" s="5">
        <f>N143*PARAMS_MODELO!$B$11</f>
        <v>10</v>
      </c>
      <c r="P143" s="5">
        <f>IFERROR(VLOOKUP(A143,DIGITAL!$A$2:$J$2000,7,0),100)</f>
        <v>13</v>
      </c>
      <c r="Q143" s="5">
        <f>IFERROR(P143,0)*PARAMS_MODELO!$B$12</f>
        <v>1.3</v>
      </c>
      <c r="R143">
        <f t="shared" si="51"/>
        <v>81.573431410677514</v>
      </c>
      <c r="S143" s="5" t="str">
        <f>IFERROR(VLOOKUP(A143,CLIENTE!$A$2:$N$2000,13,0),1)</f>
        <v>Malo</v>
      </c>
      <c r="T143" s="5">
        <f>IFERROR(VLOOKUP(A143,CLIENTE!$A$2:$N$2000,14,0),1)</f>
        <v>0.7</v>
      </c>
      <c r="U143" s="5">
        <f t="shared" si="52"/>
        <v>57.101401987474254</v>
      </c>
      <c r="V143" s="5" t="str">
        <f>IF(U143&gt;=MAX(_xlfn.PERCENTILE.INC($U$2:$U$1194,PARAMS_MODELO!$B$50),PARAMS_MODELO!$B$45),"DIAMANTE",IF(U143&gt;=MAX(_xlfn.PERCENTILE.INC($U$2:$U$1194,PARAMS_MODELO!$B$51),PARAMS_MODELO!$B$46),"PLATINO",IF(U143&gt;=MAX(_xlfn.PERCENTILE.INC($U$2:$U$1194,PARAMS_MODELO!$B$52),PARAMS_MODELO!$B$47),"ORO",IF(U143&gt;=MAX(_xlfn.PERCENTILE.INC($U$2:$U$1194,PARAMS_MODELO!$B$53),PARAMS_MODELO!$B$48),"PLATA",IF(U143&gt;=1,"BRONCE","CERRADO")))))</f>
        <v>PLATA</v>
      </c>
      <c r="W143" s="5" t="str" cm="1">
        <f t="array" ref="W143">_xlfn.XLOOKUP(1, (HIST_SCORE!$B:$B=PARAMS_MODELO!$B$4) * (HIST_SCORE!$C:$C=A143), HIST_SCORE!$E:$E, "No encontrado")</f>
        <v>PLATA</v>
      </c>
      <c r="X143" s="5" t="str">
        <f>_xlfn.LET(_xlpm.act,MATCH(V143,{"DIAMANTE";"PLATINO";"ORO";"PLATA";"BRONCE";"CERRADO"},0),_xlpm.ant,MATCH(W143,{"DIAMANTE";"PLATINO";"ORO";"PLATA";"BRONCE";"CERRADO"},0),IF(_xlpm.act&lt;_xlpm.ant,"Mejora ↑",IF(_xlpm.act&gt;_xlpm.ant,"Baja ↓","Estable →")))</f>
        <v>Estable →</v>
      </c>
      <c r="Y143" s="5">
        <f>IFERROR(U143-SUMIFS(HIST_SCORE!$D:$D,HIST_SCORE!$B:$B,PARAMS_MODELO!$B$4,HIST_SCORE!$C:$C,$A143),"")</f>
        <v>2.6473203228325559</v>
      </c>
      <c r="Z143" s="5" t="str">
        <f t="shared" si="53"/>
        <v>→ Estable</v>
      </c>
      <c r="AA143" s="5">
        <f t="shared" si="54"/>
        <v>681</v>
      </c>
      <c r="AB143" s="5">
        <f>IFERROR(SUMIFS(HIST_SCORE!$F:$F,HIST_SCORE!$B:$B,PARAMS_MODELO!$B$4,HIST_SCORE!$C:$C,$A143),"")</f>
        <v>741</v>
      </c>
      <c r="AC143" s="5">
        <f t="shared" si="55"/>
        <v>60</v>
      </c>
      <c r="AD143" t="str">
        <f t="shared" si="57"/>
        <v/>
      </c>
      <c r="AE1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143="CERRADO",1,IF(V143="BRONCE",_xlpm.cPl,IF(V143="PLATA",_xlpm.cO,IF(V143="ORO",_xlpm.cP,IF(V143="PLATINO",_xlpm.cD,999))))))</f>
        <v>63.199193273331495</v>
      </c>
      <c r="AF1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143="CERRADO",0,IF(V143="BRONCE",1,IF(V143="PLATA",_xlpm.cPl,IF(V143="ORO",_xlpm.cO,IF(V143="PLATINO",_xlpm.cP,_xlpm.cD))))))</f>
        <v>24.506573482968111</v>
      </c>
      <c r="AG143">
        <f t="shared" si="58"/>
        <v>8.711130408367481</v>
      </c>
      <c r="AH143" t="str">
        <f t="shared" si="59"/>
        <v>CLIENTE</v>
      </c>
      <c r="AI143" t="str">
        <f t="shared" si="56"/>
        <v>🎯 Para subir de categoría, la eje con mayor impacto probable es CLIENTE (coef T). Acción: reducir quejas, mejorar incógnito y empujar reseñas. ΔR aprox: 8,7</v>
      </c>
      <c r="AJ143" s="26">
        <f>_xlfn.LET(_xlpm.piso,AF143,_xlpm.corte,AE143,_xlpm.prog,IF(_xlpm.corte&lt;=_xlpm.piso,0,MAX(0,MIN(1,(U143-_xlpm.piso)/(_xlpm.corte-_xlpm.piso)))),_xlpm.orden,{"DIAMANTE";"PLATINO";"ORO";"PLATA";"BRONCE";"CERRADO"},_xlpm.act,IFERROR(MATCH(V143,_xlpm.orden,0),6),_xlpm.ant,IFERROR(MATCH(W143,_xlpm.orden,0),6),_xlpm.ajmov,IF(_xlpm.act&lt;_xlpm.ant,0.08,IF(_xlpm.act&gt;_xlpm.ant,-0.08,0)),_xlpm.ajcli,IF(T143&lt;0.95,-0.06,0),_xlpm.prob,MAX(0,MIN(1,_xlpm.prog+_xlpm.ajmov+_xlpm.ajcli)),IF(OR(V143="DIAMANTE",V143="CERRADO"),0,ROUND(_xlpm.prob,2)))</f>
        <v>0.78</v>
      </c>
      <c r="AK143" t="str">
        <f t="shared" si="60"/>
        <v>Faltan 8,7 puntos base para subir a la siguiente categoría</v>
      </c>
      <c r="AL143" t="str">
        <f t="shared" si="61"/>
        <v>Margen de seguridad: 32,6 puntos</v>
      </c>
      <c r="AM143">
        <f t="shared" si="62"/>
        <v>0.64</v>
      </c>
      <c r="AN143" t="str">
        <f t="shared" si="63"/>
        <v>PRIORIDAD MEDIA – seguimiento del asesor</v>
      </c>
      <c r="AO143">
        <f t="shared" si="64"/>
        <v>6.7123965052326513</v>
      </c>
      <c r="AP143">
        <f t="shared" si="65"/>
        <v>0</v>
      </c>
      <c r="AQ143">
        <f t="shared" si="66"/>
        <v>0</v>
      </c>
      <c r="AR143">
        <f t="shared" si="67"/>
        <v>6.089999999999999</v>
      </c>
      <c r="AS143">
        <f t="shared" si="68"/>
        <v>24.472029423203256</v>
      </c>
      <c r="AT143" t="str">
        <f t="shared" si="69"/>
        <v>CLIENTE</v>
      </c>
      <c r="AU143">
        <f t="shared" si="70"/>
        <v>24.472029423203256</v>
      </c>
      <c r="AV143" t="str">
        <f t="shared" si="71"/>
        <v>Mayor retorno probable: CLIENTE (+24,5 puntos finales potenciales).</v>
      </c>
    </row>
    <row r="144" spans="1:48" x14ac:dyDescent="0.3">
      <c r="A144" s="5">
        <v>51020251</v>
      </c>
      <c r="B144" s="5" t="str">
        <f>IFERROR(VLOOKUP(A144,VENTAS!$A$2:$B$1194,2,0),"")</f>
        <v>BELUZZO</v>
      </c>
      <c r="C144" s="5">
        <f>IFERROR(INDEX(VENTAS!$C$2:$E$1194,MATCH(A144,VENTAS!$A$2:$A$1194,0),MATCH(PARAMS_MODELO!$B$2,{"Q1","Q2","Q3"},0)),0)</f>
        <v>139764280.81</v>
      </c>
      <c r="D144" s="5">
        <f>IFERROR(INDEX(VENTAS!$F$2:$H$1194,MATCH(A144,VENTAS!$A$2:$A$1194,0),MATCH(PARAMS_MODELO!$B$2,{"Q1","Q2","Q3"},0)),0)</f>
        <v>140911428</v>
      </c>
      <c r="E144" s="8">
        <f t="shared" si="48"/>
        <v>8.2077279212666721E-3</v>
      </c>
      <c r="F144" s="12">
        <f>IF(E144&lt;=PARAMS_MODELO!$B$15,0,IF(E144&gt;=PARAMS_MODELO!$B$17,100,100*MIN(1,(E144-PARAMS_MODELO!$B$15)/(PARAMS_MODELO!$B$16-PARAMS_MODELO!$B$15))))*PARAMS_MODELO!$B$7</f>
        <v>2.8727047724433352</v>
      </c>
      <c r="G144" s="5">
        <f t="shared" si="49"/>
        <v>1147147.1899999976</v>
      </c>
      <c r="H144" s="5">
        <f>(PARAMS_MODELO!$B$20*(MAX(0,MIN(3,E144))/3)+PARAMS_MODELO!$B$21*(IFERROR(LN(1+MAX(0,G144))/LN(1+MAX(0,MAX($G$2:$G$1194))),0)))*100*PARAMS_MODELO!$B$8</f>
        <v>3.2994557172280667</v>
      </c>
      <c r="I144" s="8">
        <f>E144-PARAMS_MODELO!$B$5</f>
        <v>-0.16935510745425986</v>
      </c>
      <c r="J144" s="5">
        <f>IF(I144&lt;=PARAMS_MODELO!$B$18,0,IF(I144&gt;=PARAMS_MODELO!$B$19,100,100*(I144-PARAMS_MODELO!$B$18)/(PARAMS_MODELO!$B$19-PARAMS_MODELO!$B$18)))*PARAMS_MODELO!$B$9</f>
        <v>0</v>
      </c>
      <c r="K144" s="5">
        <f>IFERROR(CHOOSE(MATCH(PARAMS_MODELO!$B$2,{"Q1","Q2","Q3"},0),LOTO!$D144,LOTO!$F144,LOTO!$H144),0)</f>
        <v>7047500</v>
      </c>
      <c r="L144" s="8">
        <f t="shared" si="50"/>
        <v>5.0013686611706187E-2</v>
      </c>
      <c r="M144" s="5">
        <f>MIN(100,IF(PARAMS_MODELO!$B$23=0,0,100*L144/PARAMS_MODELO!$B$23))*PARAMS_MODELO!$B$10</f>
        <v>15</v>
      </c>
      <c r="N144" s="5">
        <f>IFERROR(VLOOKUP(A144,COMPLIANCE!$A$2:$F$1996,6,0),100)</f>
        <v>100</v>
      </c>
      <c r="O144" s="5">
        <f>N144*PARAMS_MODELO!$B$11</f>
        <v>10</v>
      </c>
      <c r="P144" s="5">
        <f>IFERROR(VLOOKUP(A144,DIGITAL!$A$2:$J$2000,7,0),100)</f>
        <v>68</v>
      </c>
      <c r="Q144" s="5">
        <f>IFERROR(P144,0)*PARAMS_MODELO!$B$12</f>
        <v>6.8000000000000007</v>
      </c>
      <c r="R144">
        <f t="shared" si="51"/>
        <v>37.972160489671403</v>
      </c>
      <c r="S144" s="5" t="str">
        <f>IFERROR(VLOOKUP(A144,CLIENTE!$A$2:$N$2000,13,0),1)</f>
        <v>Regular</v>
      </c>
      <c r="T144" s="5">
        <f>IFERROR(VLOOKUP(A144,CLIENTE!$A$2:$N$2000,14,0),1)</f>
        <v>1</v>
      </c>
      <c r="U144" s="5">
        <f t="shared" si="52"/>
        <v>37.972160489671403</v>
      </c>
      <c r="V144" s="5" t="str">
        <f>IF(U144&gt;=MAX(_xlfn.PERCENTILE.INC($U$2:$U$1194,PARAMS_MODELO!$B$50),PARAMS_MODELO!$B$45),"DIAMANTE",IF(U144&gt;=MAX(_xlfn.PERCENTILE.INC($U$2:$U$1194,PARAMS_MODELO!$B$51),PARAMS_MODELO!$B$46),"PLATINO",IF(U144&gt;=MAX(_xlfn.PERCENTILE.INC($U$2:$U$1194,PARAMS_MODELO!$B$52),PARAMS_MODELO!$B$47),"ORO",IF(U144&gt;=MAX(_xlfn.PERCENTILE.INC($U$2:$U$1194,PARAMS_MODELO!$B$53),PARAMS_MODELO!$B$48),"PLATA",IF(U144&gt;=1,"BRONCE","CERRADO")))))</f>
        <v>PLATA</v>
      </c>
      <c r="W144" s="5" t="str" cm="1">
        <f t="array" ref="W144">_xlfn.XLOOKUP(1, (HIST_SCORE!$B:$B=PARAMS_MODELO!$B$4) * (HIST_SCORE!$C:$C=A144), HIST_SCORE!$E:$E, "No encontrado")</f>
        <v>PLATINO</v>
      </c>
      <c r="X144" s="5" t="str">
        <f>_xlfn.LET(_xlpm.act,MATCH(V144,{"DIAMANTE";"PLATINO";"ORO";"PLATA";"BRONCE";"CERRADO"},0),_xlpm.ant,MATCH(W144,{"DIAMANTE";"PLATINO";"ORO";"PLATA";"BRONCE";"CERRADO"},0),IF(_xlpm.act&lt;_xlpm.ant,"Mejora ↑",IF(_xlpm.act&gt;_xlpm.ant,"Baja ↓","Estable →")))</f>
        <v>Baja ↓</v>
      </c>
      <c r="Y144" s="5">
        <f>IFERROR(U144-SUMIFS(HIST_SCORE!$D:$D,HIST_SCORE!$B:$B,PARAMS_MODELO!$B$4,HIST_SCORE!$C:$C,$A144),"")</f>
        <v>-48.883434736284066</v>
      </c>
      <c r="Z144" s="5" t="str">
        <f t="shared" si="53"/>
        <v>↓ Baja</v>
      </c>
      <c r="AA144" s="5">
        <f t="shared" si="54"/>
        <v>795</v>
      </c>
      <c r="AB144" s="5">
        <f>IFERROR(SUMIFS(HIST_SCORE!$F:$F,HIST_SCORE!$B:$B,PARAMS_MODELO!$B$4,HIST_SCORE!$C:$C,$A144),"")</f>
        <v>203</v>
      </c>
      <c r="AC144" s="5">
        <f t="shared" si="55"/>
        <v>-592</v>
      </c>
      <c r="AD144" t="str">
        <f t="shared" si="57"/>
        <v/>
      </c>
      <c r="AE1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144="CERRADO",1,IF(V144="BRONCE",_xlpm.cPl,IF(V144="PLATA",_xlpm.cO,IF(V144="ORO",_xlpm.cP,IF(V144="PLATINO",_xlpm.cD,999))))))</f>
        <v>63.199193273331495</v>
      </c>
      <c r="AF1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144="CERRADO",0,IF(V144="BRONCE",1,IF(V144="PLATA",_xlpm.cPl,IF(V144="ORO",_xlpm.cO,IF(V144="PLATINO",_xlpm.cP,_xlpm.cD))))))</f>
        <v>24.506573482968111</v>
      </c>
      <c r="AG144">
        <f t="shared" si="58"/>
        <v>25.227032783660093</v>
      </c>
      <c r="AH144" t="str">
        <f t="shared" si="59"/>
        <v>VENTAS</v>
      </c>
      <c r="AI144" t="str">
        <f t="shared" si="56"/>
        <v>🎯 Para subir de categoría, eje VENTAS / DIFERENCIAL vs LOTBA (J). Acción: metas semanales + activación comercial + seguimiento del asesor. ΔR aprox: 25,2</v>
      </c>
      <c r="AJ144" s="26">
        <f>_xlfn.LET(_xlpm.piso,AF144,_xlpm.corte,AE144,_xlpm.prog,IF(_xlpm.corte&lt;=_xlpm.piso,0,MAX(0,MIN(1,(U144-_xlpm.piso)/(_xlpm.corte-_xlpm.piso)))),_xlpm.orden,{"DIAMANTE";"PLATINO";"ORO";"PLATA";"BRONCE";"CERRADO"},_xlpm.act,IFERROR(MATCH(V144,_xlpm.orden,0),6),_xlpm.ant,IFERROR(MATCH(W144,_xlpm.orden,0),6),_xlpm.ajmov,IF(_xlpm.act&lt;_xlpm.ant,0.08,IF(_xlpm.act&gt;_xlpm.ant,-0.08,0)),_xlpm.ajcli,IF(T144&lt;0.95,-0.06,0),_xlpm.prob,MAX(0,MIN(1,_xlpm.prog+_xlpm.ajmov+_xlpm.ajcli)),IF(OR(V144="DIAMANTE",V144="CERRADO"),0,ROUND(_xlpm.prob,2)))</f>
        <v>0.27</v>
      </c>
      <c r="AK144" t="str">
        <f t="shared" si="60"/>
        <v>Faltan 25,2 puntos base para subir a la siguiente categoría</v>
      </c>
      <c r="AL144" t="str">
        <f t="shared" si="61"/>
        <v>Margen de seguridad: 13,5 puntos</v>
      </c>
      <c r="AM144">
        <f t="shared" si="62"/>
        <v>0.69</v>
      </c>
      <c r="AN144" t="str">
        <f t="shared" si="63"/>
        <v>PRIORIDAD MEDIA – seguimiento del asesor</v>
      </c>
      <c r="AO144">
        <f t="shared" si="64"/>
        <v>58.690408785624186</v>
      </c>
      <c r="AP144">
        <f t="shared" si="65"/>
        <v>0</v>
      </c>
      <c r="AQ144">
        <f t="shared" si="66"/>
        <v>0</v>
      </c>
      <c r="AR144">
        <f t="shared" si="67"/>
        <v>3.1999999999999993</v>
      </c>
      <c r="AS144">
        <f t="shared" si="68"/>
        <v>0</v>
      </c>
      <c r="AT144" t="str">
        <f t="shared" si="69"/>
        <v>VENTAS</v>
      </c>
      <c r="AU144">
        <f t="shared" si="70"/>
        <v>58.690408785624186</v>
      </c>
      <c r="AV144" t="str">
        <f t="shared" si="71"/>
        <v>Mayor retorno probable: VENTAS (+58,7 puntos finales potenciales).</v>
      </c>
    </row>
    <row r="145" spans="1:48" x14ac:dyDescent="0.3">
      <c r="A145" s="5">
        <v>51016793</v>
      </c>
      <c r="B145" s="5" t="str">
        <f>IFERROR(VLOOKUP(A145,VENTAS!$A$2:$B$1194,2,0),"")</f>
        <v>PUGH</v>
      </c>
      <c r="C145" s="5">
        <f>IFERROR(INDEX(VENTAS!$C$2:$E$1194,MATCH(A145,VENTAS!$A$2:$A$1194,0),MATCH(PARAMS_MODELO!$B$2,{"Q1","Q2","Q3"},0)),0)</f>
        <v>138233691.50999999</v>
      </c>
      <c r="D145" s="5">
        <f>IFERROR(INDEX(VENTAS!$F$2:$H$1194,MATCH(A145,VENTAS!$A$2:$A$1194,0),MATCH(PARAMS_MODELO!$B$2,{"Q1","Q2","Q3"},0)),0)</f>
        <v>140809934</v>
      </c>
      <c r="E145" s="8">
        <f t="shared" si="48"/>
        <v>1.8636863863348729E-2</v>
      </c>
      <c r="F145" s="12">
        <f>IF(E145&lt;=PARAMS_MODELO!$B$15,0,IF(E145&gt;=PARAMS_MODELO!$B$17,100,100*MIN(1,(E145-PARAMS_MODELO!$B$15)/(PARAMS_MODELO!$B$16-PARAMS_MODELO!$B$15))))*PARAMS_MODELO!$B$7</f>
        <v>6.5229023521720553</v>
      </c>
      <c r="G145" s="5">
        <f t="shared" si="49"/>
        <v>2576242.4900000095</v>
      </c>
      <c r="H145" s="5">
        <f>(PARAMS_MODELO!$B$20*(MAX(0,MIN(3,E145))/3)+PARAMS_MODELO!$B$21*(IFERROR(LN(1+MAX(0,G145))/LN(1+MAX(0,MAX($G$2:$G$1194))),0)))*100*PARAMS_MODELO!$B$8</f>
        <v>3.5256110811580732</v>
      </c>
      <c r="I145" s="8">
        <f>E145-PARAMS_MODELO!$B$5</f>
        <v>-0.1589259715121778</v>
      </c>
      <c r="J145" s="5">
        <f>IF(I145&lt;=PARAMS_MODELO!$B$18,0,IF(I145&gt;=PARAMS_MODELO!$B$19,100,100*(I145-PARAMS_MODELO!$B$18)/(PARAMS_MODELO!$B$19-PARAMS_MODELO!$B$18)))*PARAMS_MODELO!$B$9</f>
        <v>0</v>
      </c>
      <c r="K145" s="5">
        <f>IFERROR(CHOOSE(MATCH(PARAMS_MODELO!$B$2,{"Q1","Q2","Q3"},0),LOTO!$D145,LOTO!$F145,LOTO!$H145),0)</f>
        <v>7027500</v>
      </c>
      <c r="L145" s="8">
        <f t="shared" si="50"/>
        <v>4.990770040414904E-2</v>
      </c>
      <c r="M145" s="5">
        <f>MIN(100,IF(PARAMS_MODELO!$B$23=0,0,100*L145/PARAMS_MODELO!$B$23))*PARAMS_MODELO!$B$10</f>
        <v>14.972310121244709</v>
      </c>
      <c r="N145" s="5">
        <f>IFERROR(VLOOKUP(A145,COMPLIANCE!$A$2:$F$1996,6,0),100)</f>
        <v>100</v>
      </c>
      <c r="O145" s="5">
        <f>N145*PARAMS_MODELO!$B$11</f>
        <v>10</v>
      </c>
      <c r="P145" s="5">
        <f>IFERROR(VLOOKUP(A145,DIGITAL!$A$2:$J$2000,7,0),100)</f>
        <v>77</v>
      </c>
      <c r="Q145" s="5">
        <f>IFERROR(P145,0)*PARAMS_MODELO!$B$12</f>
        <v>7.7</v>
      </c>
      <c r="R145">
        <f t="shared" si="51"/>
        <v>42.720823554574842</v>
      </c>
      <c r="S145" s="5" t="str">
        <f>IFERROR(VLOOKUP(A145,CLIENTE!$A$2:$N$2000,13,0),1)</f>
        <v>Bueno</v>
      </c>
      <c r="T145" s="5">
        <f>IFERROR(VLOOKUP(A145,CLIENTE!$A$2:$N$2000,14,0),1)</f>
        <v>1.1000000000000001</v>
      </c>
      <c r="U145" s="5">
        <f t="shared" si="52"/>
        <v>46.992905910032327</v>
      </c>
      <c r="V145" s="5" t="str">
        <f>IF(U145&gt;=MAX(_xlfn.PERCENTILE.INC($U$2:$U$1194,PARAMS_MODELO!$B$50),PARAMS_MODELO!$B$45),"DIAMANTE",IF(U145&gt;=MAX(_xlfn.PERCENTILE.INC($U$2:$U$1194,PARAMS_MODELO!$B$51),PARAMS_MODELO!$B$46),"PLATINO",IF(U145&gt;=MAX(_xlfn.PERCENTILE.INC($U$2:$U$1194,PARAMS_MODELO!$B$52),PARAMS_MODELO!$B$47),"ORO",IF(U145&gt;=MAX(_xlfn.PERCENTILE.INC($U$2:$U$1194,PARAMS_MODELO!$B$53),PARAMS_MODELO!$B$48),"PLATA",IF(U145&gt;=1,"BRONCE","CERRADO")))))</f>
        <v>PLATA</v>
      </c>
      <c r="W145" s="5" t="str" cm="1">
        <f t="array" ref="W145">_xlfn.XLOOKUP(1, (HIST_SCORE!$B:$B=PARAMS_MODELO!$B$4) * (HIST_SCORE!$C:$C=A145), HIST_SCORE!$E:$E, "No encontrado")</f>
        <v>PLATA</v>
      </c>
      <c r="X145" s="5" t="str">
        <f>_xlfn.LET(_xlpm.act,MATCH(V145,{"DIAMANTE";"PLATINO";"ORO";"PLATA";"BRONCE";"CERRADO"},0),_xlpm.ant,MATCH(W145,{"DIAMANTE";"PLATINO";"ORO";"PLATA";"BRONCE";"CERRADO"},0),IF(_xlpm.act&lt;_xlpm.ant,"Mejora ↑",IF(_xlpm.act&gt;_xlpm.ant,"Baja ↓","Estable →")))</f>
        <v>Estable →</v>
      </c>
      <c r="Y145" s="5">
        <f>IFERROR(U145-SUMIFS(HIST_SCORE!$D:$D,HIST_SCORE!$B:$B,PARAMS_MODELO!$B$4,HIST_SCORE!$C:$C,$A145),"")</f>
        <v>11.022905910032321</v>
      </c>
      <c r="Z145" s="5" t="str">
        <f t="shared" si="53"/>
        <v>↑ Mejora</v>
      </c>
      <c r="AA145" s="5">
        <f t="shared" si="54"/>
        <v>760</v>
      </c>
      <c r="AB145" s="5">
        <f>IFERROR(SUMIFS(HIST_SCORE!$F:$F,HIST_SCORE!$B:$B,PARAMS_MODELO!$B$4,HIST_SCORE!$C:$C,$A145),"")</f>
        <v>863</v>
      </c>
      <c r="AC145" s="5">
        <f t="shared" si="55"/>
        <v>103</v>
      </c>
      <c r="AD145" t="str">
        <f t="shared" si="57"/>
        <v/>
      </c>
      <c r="AE1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145="CERRADO",1,IF(V145="BRONCE",_xlpm.cPl,IF(V145="PLATA",_xlpm.cO,IF(V145="ORO",_xlpm.cP,IF(V145="PLATINO",_xlpm.cD,999))))))</f>
        <v>63.199193273331495</v>
      </c>
      <c r="AF1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145="CERRADO",0,IF(V145="BRONCE",1,IF(V145="PLATA",_xlpm.cPl,IF(V145="ORO",_xlpm.cO,IF(V145="PLATINO",_xlpm.cP,_xlpm.cD))))))</f>
        <v>24.506573482968111</v>
      </c>
      <c r="AG145">
        <f t="shared" si="58"/>
        <v>14.732988512090152</v>
      </c>
      <c r="AH145" t="str">
        <f t="shared" si="59"/>
        <v>VENTAS</v>
      </c>
      <c r="AI145" t="str">
        <f t="shared" si="56"/>
        <v>🎯 Para subir de categoría, eje VENTAS / DIFERENCIAL vs LOTBA (J). Acción: metas semanales + activación comercial + seguimiento del asesor. ΔR aprox: 14,7</v>
      </c>
      <c r="AJ145" s="26">
        <f>_xlfn.LET(_xlpm.piso,AF145,_xlpm.corte,AE145,_xlpm.prog,IF(_xlpm.corte&lt;=_xlpm.piso,0,MAX(0,MIN(1,(U145-_xlpm.piso)/(_xlpm.corte-_xlpm.piso)))),_xlpm.orden,{"DIAMANTE";"PLATINO";"ORO";"PLATA";"BRONCE";"CERRADO"},_xlpm.act,IFERROR(MATCH(V145,_xlpm.orden,0),6),_xlpm.ant,IFERROR(MATCH(W145,_xlpm.orden,0),6),_xlpm.ajmov,IF(_xlpm.act&lt;_xlpm.ant,0.08,IF(_xlpm.act&gt;_xlpm.ant,-0.08,0)),_xlpm.ajcli,IF(T145&lt;0.95,-0.06,0),_xlpm.prob,MAX(0,MIN(1,_xlpm.prog+_xlpm.ajmov+_xlpm.ajcli)),IF(OR(V145="DIAMANTE",V145="CERRADO"),0,ROUND(_xlpm.prob,2)))</f>
        <v>0.57999999999999996</v>
      </c>
      <c r="AK145" t="str">
        <f t="shared" si="60"/>
        <v>Faltan 14,7 puntos base para subir a la siguiente categoría</v>
      </c>
      <c r="AL145" t="str">
        <f t="shared" si="61"/>
        <v>Margen de seguridad: 22,5 puntos</v>
      </c>
      <c r="AM145">
        <f t="shared" si="62"/>
        <v>0.56999999999999995</v>
      </c>
      <c r="AN145" t="str">
        <f t="shared" si="63"/>
        <v>PRIORIDAD MEDIA – seguimiento del asesor</v>
      </c>
      <c r="AO145">
        <f t="shared" si="64"/>
        <v>60.295461426162007</v>
      </c>
      <c r="AP145">
        <f t="shared" si="65"/>
        <v>3.0458866630820404E-2</v>
      </c>
      <c r="AQ145">
        <f t="shared" si="66"/>
        <v>0</v>
      </c>
      <c r="AR145">
        <f t="shared" si="67"/>
        <v>2.5299999999999998</v>
      </c>
      <c r="AS145">
        <f t="shared" si="68"/>
        <v>0</v>
      </c>
      <c r="AT145" t="str">
        <f t="shared" si="69"/>
        <v>VENTAS</v>
      </c>
      <c r="AU145">
        <f t="shared" si="70"/>
        <v>60.295461426162007</v>
      </c>
      <c r="AV145" t="str">
        <f t="shared" si="71"/>
        <v>Mayor retorno probable: VENTAS (+60,3 puntos finales potenciales).</v>
      </c>
    </row>
    <row r="146" spans="1:48" x14ac:dyDescent="0.3">
      <c r="A146" s="5">
        <v>51015401</v>
      </c>
      <c r="B146" s="5" t="str">
        <f>IFERROR(VLOOKUP(A146,VENTAS!$A$2:$B$1194,2,0),"")</f>
        <v>PRADES</v>
      </c>
      <c r="C146" s="5">
        <f>IFERROR(INDEX(VENTAS!$C$2:$E$1194,MATCH(A146,VENTAS!$A$2:$A$1194,0),MATCH(PARAMS_MODELO!$B$2,{"Q1","Q2","Q3"},0)),0)</f>
        <v>92463211.560000002</v>
      </c>
      <c r="D146" s="5">
        <f>IFERROR(INDEX(VENTAS!$F$2:$H$1194,MATCH(A146,VENTAS!$A$2:$A$1194,0),MATCH(PARAMS_MODELO!$B$2,{"Q1","Q2","Q3"},0)),0)</f>
        <v>139576962</v>
      </c>
      <c r="E146" s="8">
        <f t="shared" si="48"/>
        <v>0.50954049340399088</v>
      </c>
      <c r="F146" s="12">
        <f>IF(E146&lt;=PARAMS_MODELO!$B$15,0,IF(E146&gt;=PARAMS_MODELO!$B$17,100,100*MIN(1,(E146-PARAMS_MODELO!$B$15)/(PARAMS_MODELO!$B$16-PARAMS_MODELO!$B$15))))*PARAMS_MODELO!$B$7</f>
        <v>35</v>
      </c>
      <c r="G146" s="5">
        <f t="shared" si="49"/>
        <v>47113750.439999998</v>
      </c>
      <c r="H146" s="5">
        <f>(PARAMS_MODELO!$B$20*(MAX(0,MIN(3,E146))/3)+PARAMS_MODELO!$B$21*(IFERROR(LN(1+MAX(0,G146))/LN(1+MAX(0,MAX($G$2:$G$1194))),0)))*100*PARAMS_MODELO!$B$8</f>
        <v>5.9250352777831816</v>
      </c>
      <c r="I146" s="8">
        <f>E146-PARAMS_MODELO!$B$5</f>
        <v>0.33197765802846435</v>
      </c>
      <c r="J146" s="5">
        <f>IF(I146&lt;=PARAMS_MODELO!$B$18,0,IF(I146&gt;=PARAMS_MODELO!$B$19,100,100*(I146-PARAMS_MODELO!$B$18)/(PARAMS_MODELO!$B$19-PARAMS_MODELO!$B$18)))*PARAMS_MODELO!$B$9</f>
        <v>15</v>
      </c>
      <c r="K146" s="5">
        <f>IFERROR(CHOOSE(MATCH(PARAMS_MODELO!$B$2,{"Q1","Q2","Q3"},0),LOTO!$D146,LOTO!$F146,LOTO!$H146),0)</f>
        <v>7010000</v>
      </c>
      <c r="L146" s="8">
        <f t="shared" si="50"/>
        <v>5.0223187978543339E-2</v>
      </c>
      <c r="M146" s="5">
        <f>MIN(100,IF(PARAMS_MODELO!$B$23=0,0,100*L146/PARAMS_MODELO!$B$23))*PARAMS_MODELO!$B$10</f>
        <v>15</v>
      </c>
      <c r="N146" s="5">
        <f>IFERROR(VLOOKUP(A146,COMPLIANCE!$A$2:$F$1996,6,0),100)</f>
        <v>99.6</v>
      </c>
      <c r="O146" s="5">
        <f>N146*PARAMS_MODELO!$B$11</f>
        <v>9.9600000000000009</v>
      </c>
      <c r="P146" s="5">
        <f>IFERROR(VLOOKUP(A146,DIGITAL!$A$2:$J$2000,7,0),100)</f>
        <v>45</v>
      </c>
      <c r="Q146" s="5">
        <f>IFERROR(P146,0)*PARAMS_MODELO!$B$12</f>
        <v>4.5</v>
      </c>
      <c r="R146">
        <f t="shared" si="51"/>
        <v>85.385035277783174</v>
      </c>
      <c r="S146" s="5" t="str">
        <f>IFERROR(VLOOKUP(A146,CLIENTE!$A$2:$N$2000,13,0),1)</f>
        <v>Muy Bueno</v>
      </c>
      <c r="T146" s="5">
        <f>IFERROR(VLOOKUP(A146,CLIENTE!$A$2:$N$2000,14,0),1)</f>
        <v>1.1499999999999999</v>
      </c>
      <c r="U146" s="5">
        <f t="shared" si="52"/>
        <v>98.192790569450636</v>
      </c>
      <c r="V146" s="5" t="str">
        <f>IF(U146&gt;=MAX(_xlfn.PERCENTILE.INC($U$2:$U$1194,PARAMS_MODELO!$B$50),PARAMS_MODELO!$B$45),"DIAMANTE",IF(U146&gt;=MAX(_xlfn.PERCENTILE.INC($U$2:$U$1194,PARAMS_MODELO!$B$51),PARAMS_MODELO!$B$46),"PLATINO",IF(U146&gt;=MAX(_xlfn.PERCENTILE.INC($U$2:$U$1194,PARAMS_MODELO!$B$52),PARAMS_MODELO!$B$47),"ORO",IF(U146&gt;=MAX(_xlfn.PERCENTILE.INC($U$2:$U$1194,PARAMS_MODELO!$B$53),PARAMS_MODELO!$B$48),"PLATA",IF(U146&gt;=1,"BRONCE","CERRADO")))))</f>
        <v>DIAMANTE</v>
      </c>
      <c r="W146" s="5" t="str" cm="1">
        <f t="array" ref="W146">_xlfn.XLOOKUP(1, (HIST_SCORE!$B:$B=PARAMS_MODELO!$B$4) * (HIST_SCORE!$C:$C=A146), HIST_SCORE!$E:$E, "No encontrado")</f>
        <v>DIAMANTE</v>
      </c>
      <c r="X146" s="5" t="str">
        <f>_xlfn.LET(_xlpm.act,MATCH(V146,{"DIAMANTE";"PLATINO";"ORO";"PLATA";"BRONCE";"CERRADO"},0),_xlpm.ant,MATCH(W146,{"DIAMANTE";"PLATINO";"ORO";"PLATA";"BRONCE";"CERRADO"},0),IF(_xlpm.act&lt;_xlpm.ant,"Mejora ↑",IF(_xlpm.act&gt;_xlpm.ant,"Baja ↓","Estable →")))</f>
        <v>Estable →</v>
      </c>
      <c r="Y146" s="5">
        <f>IFERROR(U146-SUMIFS(HIST_SCORE!$D:$D,HIST_SCORE!$B:$B,PARAMS_MODELO!$B$4,HIST_SCORE!$C:$C,$A146),"")</f>
        <v>0.70247054390253538</v>
      </c>
      <c r="Z146" s="5" t="str">
        <f t="shared" si="53"/>
        <v>→ Estable</v>
      </c>
      <c r="AA146" s="5">
        <f t="shared" si="54"/>
        <v>36</v>
      </c>
      <c r="AB146" s="5">
        <f>IFERROR(SUMIFS(HIST_SCORE!$F:$F,HIST_SCORE!$B:$B,PARAMS_MODELO!$B$4,HIST_SCORE!$C:$C,$A146),"")</f>
        <v>36</v>
      </c>
      <c r="AC146" s="5">
        <f t="shared" si="55"/>
        <v>0</v>
      </c>
      <c r="AD146" t="str">
        <f t="shared" si="57"/>
        <v/>
      </c>
      <c r="AE1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146="CERRADO",1,IF(V146="BRONCE",_xlpm.cPl,IF(V146="PLATA",_xlpm.cO,IF(V146="ORO",_xlpm.cP,IF(V146="PLATINO",_xlpm.cD,999))))))</f>
        <v>999</v>
      </c>
      <c r="AF1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146="CERRADO",0,IF(V146="BRONCE",1,IF(V146="PLATA",_xlpm.cPl,IF(V146="ORO",_xlpm.cO,IF(V146="PLATINO",_xlpm.cP,_xlpm.cD))))))</f>
        <v>96.054919694466676</v>
      </c>
      <c r="AG146">
        <f t="shared" si="58"/>
        <v>783.31061689612989</v>
      </c>
      <c r="AH146" t="str">
        <f t="shared" si="59"/>
        <v>SOSTENER</v>
      </c>
      <c r="AI146" t="str">
        <f t="shared" si="56"/>
        <v>✅ Mantener desempeño y monitorear variaciones para sostener categoría.</v>
      </c>
      <c r="AJ146" s="26">
        <f>_xlfn.LET(_xlpm.piso,AF146,_xlpm.corte,AE146,_xlpm.prog,IF(_xlpm.corte&lt;=_xlpm.piso,0,MAX(0,MIN(1,(U146-_xlpm.piso)/(_xlpm.corte-_xlpm.piso)))),_xlpm.orden,{"DIAMANTE";"PLATINO";"ORO";"PLATA";"BRONCE";"CERRADO"},_xlpm.act,IFERROR(MATCH(V146,_xlpm.orden,0),6),_xlpm.ant,IFERROR(MATCH(W146,_xlpm.orden,0),6),_xlpm.ajmov,IF(_xlpm.act&lt;_xlpm.ant,0.08,IF(_xlpm.act&gt;_xlpm.ant,-0.08,0)),_xlpm.ajcli,IF(T146&lt;0.95,-0.06,0),_xlpm.prob,MAX(0,MIN(1,_xlpm.prog+_xlpm.ajmov+_xlpm.ajcli)),IF(OR(V146="DIAMANTE",V146="CERRADO"),0,ROUND(_xlpm.prob,2)))</f>
        <v>0</v>
      </c>
      <c r="AK146" t="str">
        <f t="shared" si="60"/>
        <v>No aplica</v>
      </c>
      <c r="AL146" t="str">
        <f t="shared" si="61"/>
        <v>Margen de seguridad: 2,1 puntos</v>
      </c>
      <c r="AM146">
        <f t="shared" si="62"/>
        <v>0.8</v>
      </c>
      <c r="AN146" t="str">
        <f t="shared" si="63"/>
        <v>PRIORIDAD ALTA – requiere intervención inmediata</v>
      </c>
      <c r="AO146">
        <f t="shared" si="64"/>
        <v>10.278164097139264</v>
      </c>
      <c r="AP146">
        <f t="shared" si="65"/>
        <v>0</v>
      </c>
      <c r="AQ146">
        <f t="shared" si="66"/>
        <v>4.5999999999999014E-2</v>
      </c>
      <c r="AR146">
        <f t="shared" si="67"/>
        <v>6.3249999999999993</v>
      </c>
      <c r="AS146">
        <f t="shared" si="68"/>
        <v>0</v>
      </c>
      <c r="AT146" t="str">
        <f t="shared" si="69"/>
        <v>VENTAS</v>
      </c>
      <c r="AU146">
        <f t="shared" si="70"/>
        <v>10.278164097139264</v>
      </c>
      <c r="AV146" t="str">
        <f t="shared" si="71"/>
        <v>Mayor retorno probable: VENTAS (+10,3 puntos finales potenciales).</v>
      </c>
    </row>
    <row r="147" spans="1:48" x14ac:dyDescent="0.3">
      <c r="A147" s="5">
        <v>51056281</v>
      </c>
      <c r="B147" s="5" t="str">
        <f>IFERROR(VLOOKUP(A147,VENTAS!$A$2:$B$1194,2,0),"")</f>
        <v>LÓPEZ</v>
      </c>
      <c r="C147" s="5">
        <f>IFERROR(INDEX(VENTAS!$C$2:$E$1194,MATCH(A147,VENTAS!$A$2:$A$1194,0),MATCH(PARAMS_MODELO!$B$2,{"Q1","Q2","Q3"},0)),0)</f>
        <v>105193424.7</v>
      </c>
      <c r="D147" s="5">
        <f>IFERROR(INDEX(VENTAS!$F$2:$H$1194,MATCH(A147,VENTAS!$A$2:$A$1194,0),MATCH(PARAMS_MODELO!$B$2,{"Q1","Q2","Q3"},0)),0)</f>
        <v>139279480</v>
      </c>
      <c r="E147" s="8">
        <f t="shared" si="48"/>
        <v>0.32403218544514223</v>
      </c>
      <c r="F147" s="12">
        <f>IF(E147&lt;=PARAMS_MODELO!$B$15,0,IF(E147&gt;=PARAMS_MODELO!$B$17,100,100*MIN(1,(E147-PARAMS_MODELO!$B$15)/(PARAMS_MODELO!$B$16-PARAMS_MODELO!$B$15))))*PARAMS_MODELO!$B$7</f>
        <v>35</v>
      </c>
      <c r="G147" s="5">
        <f t="shared" si="49"/>
        <v>34086055.299999997</v>
      </c>
      <c r="H147" s="5">
        <f>(PARAMS_MODELO!$B$20*(MAX(0,MIN(3,E147))/3)+PARAMS_MODELO!$B$21*(IFERROR(LN(1+MAX(0,G147))/LN(1+MAX(0,MAX($G$2:$G$1194))),0)))*100*PARAMS_MODELO!$B$8</f>
        <v>5.1998819033583077</v>
      </c>
      <c r="I147" s="8">
        <f>E147-PARAMS_MODELO!$B$5</f>
        <v>0.1464693500696157</v>
      </c>
      <c r="J147" s="5">
        <f>IF(I147&lt;=PARAMS_MODELO!$B$18,0,IF(I147&gt;=PARAMS_MODELO!$B$19,100,100*(I147-PARAMS_MODELO!$B$18)/(PARAMS_MODELO!$B$19-PARAMS_MODELO!$B$18)))*PARAMS_MODELO!$B$9</f>
        <v>15</v>
      </c>
      <c r="K147" s="5">
        <f>IFERROR(CHOOSE(MATCH(PARAMS_MODELO!$B$2,{"Q1","Q2","Q3"},0),LOTO!$D147,LOTO!$F147,LOTO!$H147),0)</f>
        <v>6987500</v>
      </c>
      <c r="L147" s="8">
        <f t="shared" si="50"/>
        <v>5.0168912175720358E-2</v>
      </c>
      <c r="M147" s="5">
        <f>MIN(100,IF(PARAMS_MODELO!$B$23=0,0,100*L147/PARAMS_MODELO!$B$23))*PARAMS_MODELO!$B$10</f>
        <v>15</v>
      </c>
      <c r="N147" s="5">
        <f>IFERROR(VLOOKUP(A147,COMPLIANCE!$A$2:$F$1996,6,0),100)</f>
        <v>100</v>
      </c>
      <c r="O147" s="5">
        <f>N147*PARAMS_MODELO!$B$11</f>
        <v>10</v>
      </c>
      <c r="P147" s="5">
        <f>IFERROR(VLOOKUP(A147,DIGITAL!$A$2:$J$2000,7,0),100)</f>
        <v>41</v>
      </c>
      <c r="Q147" s="5">
        <f>IFERROR(P147,0)*PARAMS_MODELO!$B$12</f>
        <v>4.1000000000000005</v>
      </c>
      <c r="R147">
        <f t="shared" si="51"/>
        <v>84.299881903358312</v>
      </c>
      <c r="S147" s="5" t="str">
        <f>IFERROR(VLOOKUP(A147,CLIENTE!$A$2:$N$2000,13,0),1)</f>
        <v>Regular</v>
      </c>
      <c r="T147" s="5">
        <f>IFERROR(VLOOKUP(A147,CLIENTE!$A$2:$N$2000,14,0),1)</f>
        <v>1</v>
      </c>
      <c r="U147" s="5">
        <f t="shared" si="52"/>
        <v>84.299881903358312</v>
      </c>
      <c r="V147" s="5" t="str">
        <f>IF(U147&gt;=MAX(_xlfn.PERCENTILE.INC($U$2:$U$1194,PARAMS_MODELO!$B$50),PARAMS_MODELO!$B$45),"DIAMANTE",IF(U147&gt;=MAX(_xlfn.PERCENTILE.INC($U$2:$U$1194,PARAMS_MODELO!$B$51),PARAMS_MODELO!$B$46),"PLATINO",IF(U147&gt;=MAX(_xlfn.PERCENTILE.INC($U$2:$U$1194,PARAMS_MODELO!$B$52),PARAMS_MODELO!$B$47),"ORO",IF(U147&gt;=MAX(_xlfn.PERCENTILE.INC($U$2:$U$1194,PARAMS_MODELO!$B$53),PARAMS_MODELO!$B$48),"PLATA",IF(U147&gt;=1,"BRONCE","CERRADO")))))</f>
        <v>ORO</v>
      </c>
      <c r="W147" s="5" t="str" cm="1">
        <f t="array" ref="W147">_xlfn.XLOOKUP(1, (HIST_SCORE!$B:$B=PARAMS_MODELO!$B$4) * (HIST_SCORE!$C:$C=A147), HIST_SCORE!$E:$E, "No encontrado")</f>
        <v>ORO</v>
      </c>
      <c r="X147" s="5" t="str">
        <f>_xlfn.LET(_xlpm.act,MATCH(V147,{"DIAMANTE";"PLATINO";"ORO";"PLATA";"BRONCE";"CERRADO"},0),_xlpm.ant,MATCH(W147,{"DIAMANTE";"PLATINO";"ORO";"PLATA";"BRONCE";"CERRADO"},0),IF(_xlpm.act&lt;_xlpm.ant,"Mejora ↑",IF(_xlpm.act&gt;_xlpm.ant,"Baja ↓","Estable →")))</f>
        <v>Estable →</v>
      </c>
      <c r="Y147" s="5">
        <f>IFERROR(U147-SUMIFS(HIST_SCORE!$D:$D,HIST_SCORE!$B:$B,PARAMS_MODELO!$B$4,HIST_SCORE!$C:$C,$A147),"")</f>
        <v>1.3956348707594941</v>
      </c>
      <c r="Z147" s="5" t="str">
        <f t="shared" si="53"/>
        <v>→ Estable</v>
      </c>
      <c r="AA147" s="5">
        <f t="shared" si="54"/>
        <v>306</v>
      </c>
      <c r="AB147" s="5">
        <f>IFERROR(SUMIFS(HIST_SCORE!$F:$F,HIST_SCORE!$B:$B,PARAMS_MODELO!$B$4,HIST_SCORE!$C:$C,$A147),"")</f>
        <v>334</v>
      </c>
      <c r="AC147" s="5">
        <f t="shared" si="55"/>
        <v>28</v>
      </c>
      <c r="AD147" t="str">
        <f t="shared" si="57"/>
        <v/>
      </c>
      <c r="AE1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147="CERRADO",1,IF(V147="BRONCE",_xlpm.cPl,IF(V147="PLATA",_xlpm.cO,IF(V147="ORO",_xlpm.cP,IF(V147="PLATINO",_xlpm.cD,999))))))</f>
        <v>86.439123873763251</v>
      </c>
      <c r="AF1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147="CERRADO",0,IF(V147="BRONCE",1,IF(V147="PLATA",_xlpm.cPl,IF(V147="ORO",_xlpm.cO,IF(V147="PLATINO",_xlpm.cP,_xlpm.cD))))))</f>
        <v>63.199193273331495</v>
      </c>
      <c r="AG147">
        <f t="shared" si="58"/>
        <v>2.1392419704049388</v>
      </c>
      <c r="AH147" t="str">
        <f t="shared" si="59"/>
        <v>VENTAS</v>
      </c>
      <c r="AI147" t="str">
        <f t="shared" si="56"/>
        <v>🎯 Para subir de categoría, eje VENTAS / IMPACTO ABSOLUTO (H). Acción: metas semanales + activación comercial + seguimiento del asesor. ΔR aprox: 2,1</v>
      </c>
      <c r="AJ147" s="26">
        <f>_xlfn.LET(_xlpm.piso,AF147,_xlpm.corte,AE147,_xlpm.prog,IF(_xlpm.corte&lt;=_xlpm.piso,0,MAX(0,MIN(1,(U147-_xlpm.piso)/(_xlpm.corte-_xlpm.piso)))),_xlpm.orden,{"DIAMANTE";"PLATINO";"ORO";"PLATA";"BRONCE";"CERRADO"},_xlpm.act,IFERROR(MATCH(V147,_xlpm.orden,0),6),_xlpm.ant,IFERROR(MATCH(W147,_xlpm.orden,0),6),_xlpm.ajmov,IF(_xlpm.act&lt;_xlpm.ant,0.08,IF(_xlpm.act&gt;_xlpm.ant,-0.08,0)),_xlpm.ajcli,IF(T147&lt;0.95,-0.06,0),_xlpm.prob,MAX(0,MIN(1,_xlpm.prog+_xlpm.ajmov+_xlpm.ajcli)),IF(OR(V147="DIAMANTE",V147="CERRADO"),0,ROUND(_xlpm.prob,2)))</f>
        <v>0.91</v>
      </c>
      <c r="AK147" t="str">
        <f t="shared" si="60"/>
        <v>Faltan 2,1 puntos base para subir a la siguiente categoría</v>
      </c>
      <c r="AL147" t="str">
        <f t="shared" si="61"/>
        <v>Margen de seguridad: 21,1 puntos</v>
      </c>
      <c r="AM147">
        <f t="shared" si="62"/>
        <v>0.12</v>
      </c>
      <c r="AN147" t="str">
        <f t="shared" si="63"/>
        <v>PRIORIDAD BAJA – control normal</v>
      </c>
      <c r="AO147">
        <f t="shared" si="64"/>
        <v>9.6626873719372739</v>
      </c>
      <c r="AP147">
        <f t="shared" si="65"/>
        <v>0</v>
      </c>
      <c r="AQ147">
        <f t="shared" si="66"/>
        <v>0</v>
      </c>
      <c r="AR147">
        <f t="shared" si="67"/>
        <v>5.8999999999999995</v>
      </c>
      <c r="AS147">
        <f t="shared" si="68"/>
        <v>0</v>
      </c>
      <c r="AT147" t="str">
        <f t="shared" si="69"/>
        <v>VENTAS</v>
      </c>
      <c r="AU147">
        <f t="shared" si="70"/>
        <v>9.6626873719372739</v>
      </c>
      <c r="AV147" t="str">
        <f t="shared" si="71"/>
        <v>Mayor retorno probable: VENTAS (+9,7 puntos finales potenciales).</v>
      </c>
    </row>
    <row r="148" spans="1:48" x14ac:dyDescent="0.3">
      <c r="A148" s="5">
        <v>51055012</v>
      </c>
      <c r="B148" s="5" t="str">
        <f>IFERROR(VLOOKUP(A148,VENTAS!$A$2:$B$1194,2,0),"")</f>
        <v>LÓPEZ</v>
      </c>
      <c r="C148" s="5">
        <f>IFERROR(INDEX(VENTAS!$C$2:$E$1194,MATCH(A148,VENTAS!$A$2:$A$1194,0),MATCH(PARAMS_MODELO!$B$2,{"Q1","Q2","Q3"},0)),0)</f>
        <v>84044756.769999996</v>
      </c>
      <c r="D148" s="5">
        <f>IFERROR(INDEX(VENTAS!$F$2:$H$1194,MATCH(A148,VENTAS!$A$2:$A$1194,0),MATCH(PARAMS_MODELO!$B$2,{"Q1","Q2","Q3"},0)),0)</f>
        <v>138911698</v>
      </c>
      <c r="E148" s="8">
        <f t="shared" si="48"/>
        <v>0.65283003174309751</v>
      </c>
      <c r="F148" s="12">
        <f>IF(E148&lt;=PARAMS_MODELO!$B$15,0,IF(E148&gt;=PARAMS_MODELO!$B$17,100,100*MIN(1,(E148-PARAMS_MODELO!$B$15)/(PARAMS_MODELO!$B$16-PARAMS_MODELO!$B$15))))*PARAMS_MODELO!$B$7</f>
        <v>35</v>
      </c>
      <c r="G148" s="5">
        <f t="shared" si="49"/>
        <v>54866941.230000004</v>
      </c>
      <c r="H148" s="5">
        <f>(PARAMS_MODELO!$B$20*(MAX(0,MIN(3,E148))/3)+PARAMS_MODELO!$B$21*(IFERROR(LN(1+MAX(0,G148))/LN(1+MAX(0,MAX($G$2:$G$1194))),0)))*100*PARAMS_MODELO!$B$8</f>
        <v>6.4622607148871634</v>
      </c>
      <c r="I148" s="8">
        <f>E148-PARAMS_MODELO!$B$5</f>
        <v>0.47526719636757098</v>
      </c>
      <c r="J148" s="5">
        <f>IF(I148&lt;=PARAMS_MODELO!$B$18,0,IF(I148&gt;=PARAMS_MODELO!$B$19,100,100*(I148-PARAMS_MODELO!$B$18)/(PARAMS_MODELO!$B$19-PARAMS_MODELO!$B$18)))*PARAMS_MODELO!$B$9</f>
        <v>15</v>
      </c>
      <c r="K148" s="5">
        <f>IFERROR(CHOOSE(MATCH(PARAMS_MODELO!$B$2,{"Q1","Q2","Q3"},0),LOTO!$D148,LOTO!$F148,LOTO!$H148),0)</f>
        <v>6985000</v>
      </c>
      <c r="L148" s="8">
        <f t="shared" si="50"/>
        <v>5.028374212227972E-2</v>
      </c>
      <c r="M148" s="5">
        <f>MIN(100,IF(PARAMS_MODELO!$B$23=0,0,100*L148/PARAMS_MODELO!$B$23))*PARAMS_MODELO!$B$10</f>
        <v>15</v>
      </c>
      <c r="N148" s="5">
        <f>IFERROR(VLOOKUP(A148,COMPLIANCE!$A$2:$F$1996,6,0),100)</f>
        <v>100</v>
      </c>
      <c r="O148" s="5">
        <f>N148*PARAMS_MODELO!$B$11</f>
        <v>10</v>
      </c>
      <c r="P148" s="5">
        <f>IFERROR(VLOOKUP(A148,DIGITAL!$A$2:$J$2000,7,0),100)</f>
        <v>37</v>
      </c>
      <c r="Q148" s="5">
        <f>IFERROR(P148,0)*PARAMS_MODELO!$B$12</f>
        <v>3.7</v>
      </c>
      <c r="R148">
        <f t="shared" si="51"/>
        <v>85.162260714887168</v>
      </c>
      <c r="S148" s="5" t="str">
        <f>IFERROR(VLOOKUP(A148,CLIENTE!$A$2:$N$2000,13,0),1)</f>
        <v>Malo</v>
      </c>
      <c r="T148" s="5">
        <f>IFERROR(VLOOKUP(A148,CLIENTE!$A$2:$N$2000,14,0),1)</f>
        <v>0.7</v>
      </c>
      <c r="U148" s="5">
        <f t="shared" si="52"/>
        <v>59.61358250042101</v>
      </c>
      <c r="V148" s="5" t="str">
        <f>IF(U148&gt;=MAX(_xlfn.PERCENTILE.INC($U$2:$U$1194,PARAMS_MODELO!$B$50),PARAMS_MODELO!$B$45),"DIAMANTE",IF(U148&gt;=MAX(_xlfn.PERCENTILE.INC($U$2:$U$1194,PARAMS_MODELO!$B$51),PARAMS_MODELO!$B$46),"PLATINO",IF(U148&gt;=MAX(_xlfn.PERCENTILE.INC($U$2:$U$1194,PARAMS_MODELO!$B$52),PARAMS_MODELO!$B$47),"ORO",IF(U148&gt;=MAX(_xlfn.PERCENTILE.INC($U$2:$U$1194,PARAMS_MODELO!$B$53),PARAMS_MODELO!$B$48),"PLATA",IF(U148&gt;=1,"BRONCE","CERRADO")))))</f>
        <v>PLATA</v>
      </c>
      <c r="W148" s="5" t="str" cm="1">
        <f t="array" ref="W148">_xlfn.XLOOKUP(1, (HIST_SCORE!$B:$B=PARAMS_MODELO!$B$4) * (HIST_SCORE!$C:$C=A148), HIST_SCORE!$E:$E, "No encontrado")</f>
        <v>PLATA</v>
      </c>
      <c r="X148" s="5" t="str">
        <f>_xlfn.LET(_xlpm.act,MATCH(V148,{"DIAMANTE";"PLATINO";"ORO";"PLATA";"BRONCE";"CERRADO"},0),_xlpm.ant,MATCH(W148,{"DIAMANTE";"PLATINO";"ORO";"PLATA";"BRONCE";"CERRADO"},0),IF(_xlpm.act&lt;_xlpm.ant,"Mejora ↑",IF(_xlpm.act&gt;_xlpm.ant,"Baja ↓","Estable →")))</f>
        <v>Estable →</v>
      </c>
      <c r="Y148" s="5">
        <f>IFERROR(U148-SUMIFS(HIST_SCORE!$D:$D,HIST_SCORE!$B:$B,PARAMS_MODELO!$B$4,HIST_SCORE!$C:$C,$A148),"")</f>
        <v>1.2330032706060479</v>
      </c>
      <c r="Z148" s="5" t="str">
        <f t="shared" si="53"/>
        <v>→ Estable</v>
      </c>
      <c r="AA148" s="5">
        <f t="shared" si="54"/>
        <v>627</v>
      </c>
      <c r="AB148" s="5">
        <f>IFERROR(SUMIFS(HIST_SCORE!$F:$F,HIST_SCORE!$B:$B,PARAMS_MODELO!$B$4,HIST_SCORE!$C:$C,$A148),"")</f>
        <v>675</v>
      </c>
      <c r="AC148" s="5">
        <f t="shared" si="55"/>
        <v>48</v>
      </c>
      <c r="AD148" t="str">
        <f t="shared" si="57"/>
        <v/>
      </c>
      <c r="AE1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148="CERRADO",1,IF(V148="BRONCE",_xlpm.cPl,IF(V148="PLATA",_xlpm.cO,IF(V148="ORO",_xlpm.cP,IF(V148="PLATINO",_xlpm.cD,999))))))</f>
        <v>63.199193273331495</v>
      </c>
      <c r="AF1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148="CERRADO",0,IF(V148="BRONCE",1,IF(V148="PLATA",_xlpm.cPl,IF(V148="ORO",_xlpm.cO,IF(V148="PLATINO",_xlpm.cP,_xlpm.cD))))))</f>
        <v>24.506573482968111</v>
      </c>
      <c r="AG148">
        <f t="shared" si="58"/>
        <v>5.1223011041578275</v>
      </c>
      <c r="AH148" t="str">
        <f t="shared" si="59"/>
        <v>CLIENTE</v>
      </c>
      <c r="AI148" t="str">
        <f t="shared" si="56"/>
        <v>🎯 Para subir de categoría, la eje con mayor impacto probable es CLIENTE (coef T). Acción: reducir quejas, mejorar incógnito y empujar reseñas. ΔR aprox: 5,1</v>
      </c>
      <c r="AJ148" s="26">
        <f>_xlfn.LET(_xlpm.piso,AF148,_xlpm.corte,AE148,_xlpm.prog,IF(_xlpm.corte&lt;=_xlpm.piso,0,MAX(0,MIN(1,(U148-_xlpm.piso)/(_xlpm.corte-_xlpm.piso)))),_xlpm.orden,{"DIAMANTE";"PLATINO";"ORO";"PLATA";"BRONCE";"CERRADO"},_xlpm.act,IFERROR(MATCH(V148,_xlpm.orden,0),6),_xlpm.ant,IFERROR(MATCH(W148,_xlpm.orden,0),6),_xlpm.ajmov,IF(_xlpm.act&lt;_xlpm.ant,0.08,IF(_xlpm.act&gt;_xlpm.ant,-0.08,0)),_xlpm.ajcli,IF(T148&lt;0.95,-0.06,0),_xlpm.prob,MAX(0,MIN(1,_xlpm.prog+_xlpm.ajmov+_xlpm.ajcli)),IF(OR(V148="DIAMANTE",V148="CERRADO"),0,ROUND(_xlpm.prob,2)))</f>
        <v>0.85</v>
      </c>
      <c r="AK148" t="str">
        <f t="shared" si="60"/>
        <v>Faltan 5,1 puntos base para subir a la siguiente categoría</v>
      </c>
      <c r="AL148" t="str">
        <f t="shared" si="61"/>
        <v>Margen de seguridad: 35,1 puntos</v>
      </c>
      <c r="AM148">
        <f t="shared" si="62"/>
        <v>0.46</v>
      </c>
      <c r="AN148" t="str">
        <f t="shared" si="63"/>
        <v>PRIORIDAD MEDIA – seguimiento del asesor</v>
      </c>
      <c r="AO148">
        <f t="shared" si="64"/>
        <v>5.8802159922858932</v>
      </c>
      <c r="AP148">
        <f t="shared" si="65"/>
        <v>0</v>
      </c>
      <c r="AQ148">
        <f t="shared" si="66"/>
        <v>0</v>
      </c>
      <c r="AR148">
        <f t="shared" si="67"/>
        <v>4.4099999999999993</v>
      </c>
      <c r="AS148">
        <f t="shared" si="68"/>
        <v>25.548678214466154</v>
      </c>
      <c r="AT148" t="str">
        <f t="shared" si="69"/>
        <v>CLIENTE</v>
      </c>
      <c r="AU148">
        <f t="shared" si="70"/>
        <v>25.548678214466154</v>
      </c>
      <c r="AV148" t="str">
        <f t="shared" si="71"/>
        <v>Mayor retorno probable: CLIENTE (+25,5 puntos finales potenciales).</v>
      </c>
    </row>
    <row r="149" spans="1:48" x14ac:dyDescent="0.3">
      <c r="A149" s="5">
        <v>51006615</v>
      </c>
      <c r="B149" s="5" t="str">
        <f>IFERROR(VLOOKUP(A149,VENTAS!$A$2:$B$1194,2,0),"")</f>
        <v>MONTENEGRO</v>
      </c>
      <c r="C149" s="5">
        <f>IFERROR(INDEX(VENTAS!$C$2:$E$1194,MATCH(A149,VENTAS!$A$2:$A$1194,0),MATCH(PARAMS_MODELO!$B$2,{"Q1","Q2","Q3"},0)),0)</f>
        <v>67583410.210000008</v>
      </c>
      <c r="D149" s="5">
        <f>IFERROR(INDEX(VENTAS!$F$2:$H$1194,MATCH(A149,VENTAS!$A$2:$A$1194,0),MATCH(PARAMS_MODELO!$B$2,{"Q1","Q2","Q3"},0)),0)</f>
        <v>137726070</v>
      </c>
      <c r="E149" s="8">
        <f t="shared" si="48"/>
        <v>1.037868014828605</v>
      </c>
      <c r="F149" s="12">
        <f>IF(E149&lt;=PARAMS_MODELO!$B$15,0,IF(E149&gt;=PARAMS_MODELO!$B$17,100,100*MIN(1,(E149-PARAMS_MODELO!$B$15)/(PARAMS_MODELO!$B$16-PARAMS_MODELO!$B$15))))*PARAMS_MODELO!$B$7</f>
        <v>35</v>
      </c>
      <c r="G149" s="5">
        <f t="shared" si="49"/>
        <v>70142659.789999992</v>
      </c>
      <c r="H149" s="5">
        <f>(PARAMS_MODELO!$B$20*(MAX(0,MIN(3,E149))/3)+PARAMS_MODELO!$B$21*(IFERROR(LN(1+MAX(0,G149))/LN(1+MAX(0,MAX($G$2:$G$1194))),0)))*100*PARAMS_MODELO!$B$8</f>
        <v>7.8674704496151495</v>
      </c>
      <c r="I149" s="8">
        <f>E149-PARAMS_MODELO!$B$5</f>
        <v>0.86030517945307849</v>
      </c>
      <c r="J149" s="5">
        <f>IF(I149&lt;=PARAMS_MODELO!$B$18,0,IF(I149&gt;=PARAMS_MODELO!$B$19,100,100*(I149-PARAMS_MODELO!$B$18)/(PARAMS_MODELO!$B$19-PARAMS_MODELO!$B$18)))*PARAMS_MODELO!$B$9</f>
        <v>15</v>
      </c>
      <c r="K149" s="5">
        <f>IFERROR(CHOOSE(MATCH(PARAMS_MODELO!$B$2,{"Q1","Q2","Q3"},0),LOTO!$D149,LOTO!$F149,LOTO!$H149),0)</f>
        <v>6982500.0000000009</v>
      </c>
      <c r="L149" s="8">
        <f t="shared" si="50"/>
        <v>5.0698462535088681E-2</v>
      </c>
      <c r="M149" s="5">
        <f>MIN(100,IF(PARAMS_MODELO!$B$23=0,0,100*L149/PARAMS_MODELO!$B$23))*PARAMS_MODELO!$B$10</f>
        <v>15</v>
      </c>
      <c r="N149" s="5">
        <f>IFERROR(VLOOKUP(A149,COMPLIANCE!$A$2:$F$1996,6,0),100)</f>
        <v>99.7</v>
      </c>
      <c r="O149" s="5">
        <f>N149*PARAMS_MODELO!$B$11</f>
        <v>9.9700000000000006</v>
      </c>
      <c r="P149" s="5">
        <f>IFERROR(VLOOKUP(A149,DIGITAL!$A$2:$J$2000,7,0),100)</f>
        <v>21</v>
      </c>
      <c r="Q149" s="5">
        <f>IFERROR(P149,0)*PARAMS_MODELO!$B$12</f>
        <v>2.1</v>
      </c>
      <c r="R149">
        <f t="shared" si="51"/>
        <v>84.937470449615148</v>
      </c>
      <c r="S149" s="5" t="str">
        <f>IFERROR(VLOOKUP(A149,CLIENTE!$A$2:$N$2000,13,0),1)</f>
        <v>Regular</v>
      </c>
      <c r="T149" s="5">
        <f>IFERROR(VLOOKUP(A149,CLIENTE!$A$2:$N$2000,14,0),1)</f>
        <v>1</v>
      </c>
      <c r="U149" s="5">
        <f t="shared" si="52"/>
        <v>84.937470449615148</v>
      </c>
      <c r="V149" s="5" t="str">
        <f>IF(U149&gt;=MAX(_xlfn.PERCENTILE.INC($U$2:$U$1194,PARAMS_MODELO!$B$50),PARAMS_MODELO!$B$45),"DIAMANTE",IF(U149&gt;=MAX(_xlfn.PERCENTILE.INC($U$2:$U$1194,PARAMS_MODELO!$B$51),PARAMS_MODELO!$B$46),"PLATINO",IF(U149&gt;=MAX(_xlfn.PERCENTILE.INC($U$2:$U$1194,PARAMS_MODELO!$B$52),PARAMS_MODELO!$B$47),"ORO",IF(U149&gt;=MAX(_xlfn.PERCENTILE.INC($U$2:$U$1194,PARAMS_MODELO!$B$53),PARAMS_MODELO!$B$48),"PLATA",IF(U149&gt;=1,"BRONCE","CERRADO")))))</f>
        <v>ORO</v>
      </c>
      <c r="W149" s="5" t="str" cm="1">
        <f t="array" ref="W149">_xlfn.XLOOKUP(1, (HIST_SCORE!$B:$B=PARAMS_MODELO!$B$4) * (HIST_SCORE!$C:$C=A149), HIST_SCORE!$E:$E, "No encontrado")</f>
        <v>ORO</v>
      </c>
      <c r="X149" s="5" t="str">
        <f>_xlfn.LET(_xlpm.act,MATCH(V149,{"DIAMANTE";"PLATINO";"ORO";"PLATA";"BRONCE";"CERRADO"},0),_xlpm.ant,MATCH(W149,{"DIAMANTE";"PLATINO";"ORO";"PLATA";"BRONCE";"CERRADO"},0),IF(_xlpm.act&lt;_xlpm.ant,"Mejora ↑",IF(_xlpm.act&gt;_xlpm.ant,"Baja ↓","Estable →")))</f>
        <v>Estable →</v>
      </c>
      <c r="Y149" s="5">
        <f>IFERROR(U149-SUMIFS(HIST_SCORE!$D:$D,HIST_SCORE!$B:$B,PARAMS_MODELO!$B$4,HIST_SCORE!$C:$C,$A149),"")</f>
        <v>2.6799192759168307</v>
      </c>
      <c r="Z149" s="5" t="str">
        <f t="shared" si="53"/>
        <v>→ Estable</v>
      </c>
      <c r="AA149" s="5">
        <f t="shared" si="54"/>
        <v>286</v>
      </c>
      <c r="AB149" s="5">
        <f>IFERROR(SUMIFS(HIST_SCORE!$F:$F,HIST_SCORE!$B:$B,PARAMS_MODELO!$B$4,HIST_SCORE!$C:$C,$A149),"")</f>
        <v>359</v>
      </c>
      <c r="AC149" s="5">
        <f t="shared" si="55"/>
        <v>73</v>
      </c>
      <c r="AD149" t="str">
        <f t="shared" si="57"/>
        <v/>
      </c>
      <c r="AE1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149="CERRADO",1,IF(V149="BRONCE",_xlpm.cPl,IF(V149="PLATA",_xlpm.cO,IF(V149="ORO",_xlpm.cP,IF(V149="PLATINO",_xlpm.cD,999))))))</f>
        <v>86.439123873763251</v>
      </c>
      <c r="AF1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149="CERRADO",0,IF(V149="BRONCE",1,IF(V149="PLATA",_xlpm.cPl,IF(V149="ORO",_xlpm.cO,IF(V149="PLATINO",_xlpm.cP,_xlpm.cD))))))</f>
        <v>63.199193273331495</v>
      </c>
      <c r="AG149">
        <f t="shared" si="58"/>
        <v>1.5016534241481025</v>
      </c>
      <c r="AH149" t="str">
        <f t="shared" si="59"/>
        <v>VENTAS</v>
      </c>
      <c r="AI149" t="str">
        <f t="shared" si="56"/>
        <v>🎯 Para subir de categoría, eje VENTAS / IMPACTO ABSOLUTO (H). Acción: metas semanales + activación comercial + seguimiento del asesor. ΔR aprox: 1,5</v>
      </c>
      <c r="AJ149" s="26">
        <f>_xlfn.LET(_xlpm.piso,AF149,_xlpm.corte,AE149,_xlpm.prog,IF(_xlpm.corte&lt;=_xlpm.piso,0,MAX(0,MIN(1,(U149-_xlpm.piso)/(_xlpm.corte-_xlpm.piso)))),_xlpm.orden,{"DIAMANTE";"PLATINO";"ORO";"PLATA";"BRONCE";"CERRADO"},_xlpm.act,IFERROR(MATCH(V149,_xlpm.orden,0),6),_xlpm.ant,IFERROR(MATCH(W149,_xlpm.orden,0),6),_xlpm.ajmov,IF(_xlpm.act&lt;_xlpm.ant,0.08,IF(_xlpm.act&gt;_xlpm.ant,-0.08,0)),_xlpm.ajcli,IF(T149&lt;0.95,-0.06,0),_xlpm.prob,MAX(0,MIN(1,_xlpm.prog+_xlpm.ajmov+_xlpm.ajcli)),IF(OR(V149="DIAMANTE",V149="CERRADO"),0,ROUND(_xlpm.prob,2)))</f>
        <v>0.94</v>
      </c>
      <c r="AK149" t="str">
        <f t="shared" si="60"/>
        <v>Faltan 1,5 puntos base para subir a la siguiente categoría</v>
      </c>
      <c r="AL149" t="str">
        <f t="shared" si="61"/>
        <v>Margen de seguridad: 21,7 puntos</v>
      </c>
      <c r="AM149">
        <f t="shared" si="62"/>
        <v>0.08</v>
      </c>
      <c r="AN149" t="str">
        <f t="shared" si="63"/>
        <v>PRIORIDAD BAJA – control normal</v>
      </c>
      <c r="AO149">
        <f t="shared" si="64"/>
        <v>6.9950988256804365</v>
      </c>
      <c r="AP149">
        <f t="shared" si="65"/>
        <v>0</v>
      </c>
      <c r="AQ149">
        <f t="shared" si="66"/>
        <v>2.9999999999999361E-2</v>
      </c>
      <c r="AR149">
        <f t="shared" si="67"/>
        <v>7.9</v>
      </c>
      <c r="AS149">
        <f t="shared" si="68"/>
        <v>0</v>
      </c>
      <c r="AT149" t="str">
        <f t="shared" si="69"/>
        <v>DIGITAL</v>
      </c>
      <c r="AU149">
        <f t="shared" si="70"/>
        <v>7.9</v>
      </c>
      <c r="AV149" t="str">
        <f t="shared" si="71"/>
        <v>Mayor retorno probable: DIGITAL (+7,9 puntos finales potenciales).</v>
      </c>
    </row>
    <row r="150" spans="1:48" x14ac:dyDescent="0.3">
      <c r="A150" s="5">
        <v>51011724</v>
      </c>
      <c r="B150" s="5" t="str">
        <f>IFERROR(VLOOKUP(A150,VENTAS!$A$2:$B$1194,2,0),"")</f>
        <v>NELLI</v>
      </c>
      <c r="C150" s="5">
        <f>IFERROR(INDEX(VENTAS!$C$2:$E$1194,MATCH(A150,VENTAS!$A$2:$A$1194,0),MATCH(PARAMS_MODELO!$B$2,{"Q1","Q2","Q3"},0)),0)</f>
        <v>94467063.840000004</v>
      </c>
      <c r="D150" s="5">
        <f>IFERROR(INDEX(VENTAS!$F$2:$H$1194,MATCH(A150,VENTAS!$A$2:$A$1194,0),MATCH(PARAMS_MODELO!$B$2,{"Q1","Q2","Q3"},0)),0)</f>
        <v>137613813</v>
      </c>
      <c r="E150" s="8">
        <f t="shared" si="48"/>
        <v>0.45673854363758104</v>
      </c>
      <c r="F150" s="12">
        <f>IF(E150&lt;=PARAMS_MODELO!$B$15,0,IF(E150&gt;=PARAMS_MODELO!$B$17,100,100*MIN(1,(E150-PARAMS_MODELO!$B$15)/(PARAMS_MODELO!$B$16-PARAMS_MODELO!$B$15))))*PARAMS_MODELO!$B$7</f>
        <v>35</v>
      </c>
      <c r="G150" s="5">
        <f t="shared" si="49"/>
        <v>43146749.159999996</v>
      </c>
      <c r="H150" s="5">
        <f>(PARAMS_MODELO!$B$20*(MAX(0,MIN(3,E150))/3)+PARAMS_MODELO!$B$21*(IFERROR(LN(1+MAX(0,G150))/LN(1+MAX(0,MAX($G$2:$G$1194))),0)))*100*PARAMS_MODELO!$B$8</f>
        <v>5.7196099123365274</v>
      </c>
      <c r="I150" s="8">
        <f>E150-PARAMS_MODELO!$B$5</f>
        <v>0.27917570826205451</v>
      </c>
      <c r="J150" s="5">
        <f>IF(I150&lt;=PARAMS_MODELO!$B$18,0,IF(I150&gt;=PARAMS_MODELO!$B$19,100,100*(I150-PARAMS_MODELO!$B$18)/(PARAMS_MODELO!$B$19-PARAMS_MODELO!$B$18)))*PARAMS_MODELO!$B$9</f>
        <v>15</v>
      </c>
      <c r="K150" s="5">
        <f>IFERROR(CHOOSE(MATCH(PARAMS_MODELO!$B$2,{"Q1","Q2","Q3"},0),LOTO!$D150,LOTO!$F150,LOTO!$H150),0)</f>
        <v>6962500.0000000009</v>
      </c>
      <c r="L150" s="8">
        <f t="shared" si="50"/>
        <v>5.05944850172853E-2</v>
      </c>
      <c r="M150" s="5">
        <f>MIN(100,IF(PARAMS_MODELO!$B$23=0,0,100*L150/PARAMS_MODELO!$B$23))*PARAMS_MODELO!$B$10</f>
        <v>15</v>
      </c>
      <c r="N150" s="5">
        <f>IFERROR(VLOOKUP(A150,COMPLIANCE!$A$2:$F$1996,6,0),100)</f>
        <v>100</v>
      </c>
      <c r="O150" s="5">
        <f>N150*PARAMS_MODELO!$B$11</f>
        <v>10</v>
      </c>
      <c r="P150" s="5">
        <f>IFERROR(VLOOKUP(A150,DIGITAL!$A$2:$J$2000,7,0),100)</f>
        <v>80</v>
      </c>
      <c r="Q150" s="5">
        <f>IFERROR(P150,0)*PARAMS_MODELO!$B$12</f>
        <v>8</v>
      </c>
      <c r="R150">
        <f t="shared" si="51"/>
        <v>88.719609912336523</v>
      </c>
      <c r="S150" s="5" t="str">
        <f>IFERROR(VLOOKUP(A150,CLIENTE!$A$2:$N$2000,13,0),1)</f>
        <v>Regular</v>
      </c>
      <c r="T150" s="5">
        <f>IFERROR(VLOOKUP(A150,CLIENTE!$A$2:$N$2000,14,0),1)</f>
        <v>1</v>
      </c>
      <c r="U150" s="5">
        <f t="shared" si="52"/>
        <v>88.719609912336523</v>
      </c>
      <c r="V150" s="5" t="str">
        <f>IF(U150&gt;=MAX(_xlfn.PERCENTILE.INC($U$2:$U$1194,PARAMS_MODELO!$B$50),PARAMS_MODELO!$B$45),"DIAMANTE",IF(U150&gt;=MAX(_xlfn.PERCENTILE.INC($U$2:$U$1194,PARAMS_MODELO!$B$51),PARAMS_MODELO!$B$46),"PLATINO",IF(U150&gt;=MAX(_xlfn.PERCENTILE.INC($U$2:$U$1194,PARAMS_MODELO!$B$52),PARAMS_MODELO!$B$47),"ORO",IF(U150&gt;=MAX(_xlfn.PERCENTILE.INC($U$2:$U$1194,PARAMS_MODELO!$B$53),PARAMS_MODELO!$B$48),"PLATA",IF(U150&gt;=1,"BRONCE","CERRADO")))))</f>
        <v>PLATINO</v>
      </c>
      <c r="W150" s="5" t="str" cm="1">
        <f t="array" ref="W150">_xlfn.XLOOKUP(1, (HIST_SCORE!$B:$B=PARAMS_MODELO!$B$4) * (HIST_SCORE!$C:$C=A150), HIST_SCORE!$E:$E, "No encontrado")</f>
        <v>PLATINO</v>
      </c>
      <c r="X150" s="5" t="str">
        <f>_xlfn.LET(_xlpm.act,MATCH(V150,{"DIAMANTE";"PLATINO";"ORO";"PLATA";"BRONCE";"CERRADO"},0),_xlpm.ant,MATCH(W150,{"DIAMANTE";"PLATINO";"ORO";"PLATA";"BRONCE";"CERRADO"},0),IF(_xlpm.act&lt;_xlpm.ant,"Mejora ↑",IF(_xlpm.act&gt;_xlpm.ant,"Baja ↓","Estable →")))</f>
        <v>Estable →</v>
      </c>
      <c r="Y150" s="5">
        <f>IFERROR(U150-SUMIFS(HIST_SCORE!$D:$D,HIST_SCORE!$B:$B,PARAMS_MODELO!$B$4,HIST_SCORE!$C:$C,$A150),"")</f>
        <v>0.44451668007482681</v>
      </c>
      <c r="Z150" s="5" t="str">
        <f t="shared" si="53"/>
        <v>→ Estable</v>
      </c>
      <c r="AA150" s="5">
        <f t="shared" si="54"/>
        <v>176</v>
      </c>
      <c r="AB150" s="5">
        <f>IFERROR(SUMIFS(HIST_SCORE!$F:$F,HIST_SCORE!$B:$B,PARAMS_MODELO!$B$4,HIST_SCORE!$C:$C,$A150),"")</f>
        <v>171</v>
      </c>
      <c r="AC150" s="5">
        <f t="shared" si="55"/>
        <v>-5</v>
      </c>
      <c r="AD150" t="str">
        <f t="shared" si="57"/>
        <v/>
      </c>
      <c r="AE1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150="CERRADO",1,IF(V150="BRONCE",_xlpm.cPl,IF(V150="PLATA",_xlpm.cO,IF(V150="ORO",_xlpm.cP,IF(V150="PLATINO",_xlpm.cD,999))))))</f>
        <v>96.054919694466676</v>
      </c>
      <c r="AF1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150="CERRADO",0,IF(V150="BRONCE",1,IF(V150="PLATA",_xlpm.cPl,IF(V150="ORO",_xlpm.cO,IF(V150="PLATINO",_xlpm.cP,_xlpm.cD))))))</f>
        <v>86.439123873763251</v>
      </c>
      <c r="AG150">
        <f t="shared" si="58"/>
        <v>7.3353097821301532</v>
      </c>
      <c r="AH150" t="str">
        <f t="shared" si="59"/>
        <v>VENTAS</v>
      </c>
      <c r="AI150" t="str">
        <f t="shared" si="56"/>
        <v>🎯 Para subir de categoría, eje VENTAS / IMPACTO ABSOLUTO (H). Acción: metas semanales + activación comercial + seguimiento del asesor. ΔR aprox: 7,3</v>
      </c>
      <c r="AJ150" s="26">
        <f>_xlfn.LET(_xlpm.piso,AF150,_xlpm.corte,AE150,_xlpm.prog,IF(_xlpm.corte&lt;=_xlpm.piso,0,MAX(0,MIN(1,(U150-_xlpm.piso)/(_xlpm.corte-_xlpm.piso)))),_xlpm.orden,{"DIAMANTE";"PLATINO";"ORO";"PLATA";"BRONCE";"CERRADO"},_xlpm.act,IFERROR(MATCH(V150,_xlpm.orden,0),6),_xlpm.ant,IFERROR(MATCH(W150,_xlpm.orden,0),6),_xlpm.ajmov,IF(_xlpm.act&lt;_xlpm.ant,0.08,IF(_xlpm.act&gt;_xlpm.ant,-0.08,0)),_xlpm.ajcli,IF(T150&lt;0.95,-0.06,0),_xlpm.prob,MAX(0,MIN(1,_xlpm.prog+_xlpm.ajmov+_xlpm.ajcli)),IF(OR(V150="DIAMANTE",V150="CERRADO"),0,ROUND(_xlpm.prob,2)))</f>
        <v>0.24</v>
      </c>
      <c r="AK150" t="str">
        <f t="shared" si="60"/>
        <v>Faltan 7,3 puntos base para subir a la siguiente categoría</v>
      </c>
      <c r="AL150" t="str">
        <f t="shared" si="61"/>
        <v>Margen de seguridad: 2,3 puntos</v>
      </c>
      <c r="AM150">
        <f t="shared" si="62"/>
        <v>0.6</v>
      </c>
      <c r="AN150" t="str">
        <f t="shared" si="63"/>
        <v>PRIORIDAD MEDIA – seguimiento del asesor</v>
      </c>
      <c r="AO150">
        <f t="shared" si="64"/>
        <v>9.1429593629590542</v>
      </c>
      <c r="AP150">
        <f t="shared" si="65"/>
        <v>0</v>
      </c>
      <c r="AQ150">
        <f t="shared" si="66"/>
        <v>0</v>
      </c>
      <c r="AR150">
        <f t="shared" si="67"/>
        <v>2</v>
      </c>
      <c r="AS150">
        <f t="shared" si="68"/>
        <v>0</v>
      </c>
      <c r="AT150" t="str">
        <f t="shared" si="69"/>
        <v>VENTAS</v>
      </c>
      <c r="AU150">
        <f t="shared" si="70"/>
        <v>9.1429593629590542</v>
      </c>
      <c r="AV150" t="str">
        <f t="shared" si="71"/>
        <v>Mayor retorno probable: VENTAS (+9,1 puntos finales potenciales).</v>
      </c>
    </row>
    <row r="151" spans="1:48" x14ac:dyDescent="0.3">
      <c r="A151" s="5">
        <v>51010469</v>
      </c>
      <c r="B151" s="5" t="str">
        <f>IFERROR(VLOOKUP(A151,VENTAS!$A$2:$B$1194,2,0),"")</f>
        <v>LÓPEZ</v>
      </c>
      <c r="C151" s="5">
        <f>IFERROR(INDEX(VENTAS!$C$2:$E$1194,MATCH(A151,VENTAS!$A$2:$A$1194,0),MATCH(PARAMS_MODELO!$B$2,{"Q1","Q2","Q3"},0)),0)</f>
        <v>104997717.31999999</v>
      </c>
      <c r="D151" s="5">
        <f>IFERROR(INDEX(VENTAS!$F$2:$H$1194,MATCH(A151,VENTAS!$A$2:$A$1194,0),MATCH(PARAMS_MODELO!$B$2,{"Q1","Q2","Q3"},0)),0)</f>
        <v>137182169</v>
      </c>
      <c r="E151" s="8">
        <f t="shared" si="48"/>
        <v>0.30652525122914742</v>
      </c>
      <c r="F151" s="12">
        <f>IF(E151&lt;=PARAMS_MODELO!$B$15,0,IF(E151&gt;=PARAMS_MODELO!$B$17,100,100*MIN(1,(E151-PARAMS_MODELO!$B$15)/(PARAMS_MODELO!$B$16-PARAMS_MODELO!$B$15))))*PARAMS_MODELO!$B$7</f>
        <v>35</v>
      </c>
      <c r="G151" s="5">
        <f t="shared" si="49"/>
        <v>32184451.680000007</v>
      </c>
      <c r="H151" s="5">
        <f>(PARAMS_MODELO!$B$20*(MAX(0,MIN(3,E151))/3)+PARAMS_MODELO!$B$21*(IFERROR(LN(1+MAX(0,G151))/LN(1+MAX(0,MAX($G$2:$G$1194))),0)))*100*PARAMS_MODELO!$B$8</f>
        <v>5.1251511248997978</v>
      </c>
      <c r="I151" s="8">
        <f>E151-PARAMS_MODELO!$B$5</f>
        <v>0.12896241585362089</v>
      </c>
      <c r="J151" s="5">
        <f>IF(I151&lt;=PARAMS_MODELO!$B$18,0,IF(I151&gt;=PARAMS_MODELO!$B$19,100,100*(I151-PARAMS_MODELO!$B$18)/(PARAMS_MODELO!$B$19-PARAMS_MODELO!$B$18)))*PARAMS_MODELO!$B$9</f>
        <v>15</v>
      </c>
      <c r="K151" s="5">
        <f>IFERROR(CHOOSE(MATCH(PARAMS_MODELO!$B$2,{"Q1","Q2","Q3"},0),LOTO!$D151,LOTO!$F151,LOTO!$H151),0)</f>
        <v>6957500</v>
      </c>
      <c r="L151" s="8">
        <f t="shared" si="50"/>
        <v>5.0717232791384133E-2</v>
      </c>
      <c r="M151" s="5">
        <f>MIN(100,IF(PARAMS_MODELO!$B$23=0,0,100*L151/PARAMS_MODELO!$B$23))*PARAMS_MODELO!$B$10</f>
        <v>15</v>
      </c>
      <c r="N151" s="5">
        <f>IFERROR(VLOOKUP(A151,COMPLIANCE!$A$2:$F$1996,6,0),100)</f>
        <v>100</v>
      </c>
      <c r="O151" s="5">
        <f>N151*PARAMS_MODELO!$B$11</f>
        <v>10</v>
      </c>
      <c r="P151" s="5">
        <f>IFERROR(VLOOKUP(A151,DIGITAL!$A$2:$J$2000,7,0),100)</f>
        <v>58</v>
      </c>
      <c r="Q151" s="5">
        <f>IFERROR(P151,0)*PARAMS_MODELO!$B$12</f>
        <v>5.8000000000000007</v>
      </c>
      <c r="R151">
        <f t="shared" si="51"/>
        <v>85.925151124899799</v>
      </c>
      <c r="S151" s="5" t="str">
        <f>IFERROR(VLOOKUP(A151,CLIENTE!$A$2:$N$2000,13,0),1)</f>
        <v>Malo</v>
      </c>
      <c r="T151" s="5">
        <f>IFERROR(VLOOKUP(A151,CLIENTE!$A$2:$N$2000,14,0),1)</f>
        <v>0.7</v>
      </c>
      <c r="U151" s="5">
        <f t="shared" si="52"/>
        <v>60.147605787429853</v>
      </c>
      <c r="V151" s="5" t="str">
        <f>IF(U151&gt;=MAX(_xlfn.PERCENTILE.INC($U$2:$U$1194,PARAMS_MODELO!$B$50),PARAMS_MODELO!$B$45),"DIAMANTE",IF(U151&gt;=MAX(_xlfn.PERCENTILE.INC($U$2:$U$1194,PARAMS_MODELO!$B$51),PARAMS_MODELO!$B$46),"PLATINO",IF(U151&gt;=MAX(_xlfn.PERCENTILE.INC($U$2:$U$1194,PARAMS_MODELO!$B$52),PARAMS_MODELO!$B$47),"ORO",IF(U151&gt;=MAX(_xlfn.PERCENTILE.INC($U$2:$U$1194,PARAMS_MODELO!$B$53),PARAMS_MODELO!$B$48),"PLATA",IF(U151&gt;=1,"BRONCE","CERRADO")))))</f>
        <v>PLATA</v>
      </c>
      <c r="W151" s="5" t="str" cm="1">
        <f t="array" ref="W151">_xlfn.XLOOKUP(1, (HIST_SCORE!$B:$B=PARAMS_MODELO!$B$4) * (HIST_SCORE!$C:$C=A151), HIST_SCORE!$E:$E, "No encontrado")</f>
        <v>PLATA</v>
      </c>
      <c r="X151" s="5" t="str">
        <f>_xlfn.LET(_xlpm.act,MATCH(V151,{"DIAMANTE";"PLATINO";"ORO";"PLATA";"BRONCE";"CERRADO"},0),_xlpm.ant,MATCH(W151,{"DIAMANTE";"PLATINO";"ORO";"PLATA";"BRONCE";"CERRADO"},0),IF(_xlpm.act&lt;_xlpm.ant,"Mejora ↑",IF(_xlpm.act&gt;_xlpm.ant,"Baja ↓","Estable →")))</f>
        <v>Estable →</v>
      </c>
      <c r="Y151" s="5">
        <f>IFERROR(U151-SUMIFS(HIST_SCORE!$D:$D,HIST_SCORE!$B:$B,PARAMS_MODELO!$B$4,HIST_SCORE!$C:$C,$A151),"")</f>
        <v>-0.25878818752980948</v>
      </c>
      <c r="Z151" s="5" t="str">
        <f t="shared" si="53"/>
        <v>→ Estable</v>
      </c>
      <c r="AA151" s="5">
        <f t="shared" si="54"/>
        <v>614</v>
      </c>
      <c r="AB151" s="5">
        <f>IFERROR(SUMIFS(HIST_SCORE!$F:$F,HIST_SCORE!$B:$B,PARAMS_MODELO!$B$4,HIST_SCORE!$C:$C,$A151),"")</f>
        <v>644</v>
      </c>
      <c r="AC151" s="5">
        <f t="shared" si="55"/>
        <v>30</v>
      </c>
      <c r="AD151" t="str">
        <f t="shared" si="57"/>
        <v/>
      </c>
      <c r="AE1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151="CERRADO",1,IF(V151="BRONCE",_xlpm.cPl,IF(V151="PLATA",_xlpm.cO,IF(V151="ORO",_xlpm.cP,IF(V151="PLATINO",_xlpm.cD,999))))))</f>
        <v>63.199193273331495</v>
      </c>
      <c r="AF1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151="CERRADO",0,IF(V151="BRONCE",1,IF(V151="PLATA",_xlpm.cPl,IF(V151="ORO",_xlpm.cO,IF(V151="PLATINO",_xlpm.cP,_xlpm.cD))))))</f>
        <v>24.506573482968111</v>
      </c>
      <c r="AG151">
        <f t="shared" si="58"/>
        <v>4.3594106941451969</v>
      </c>
      <c r="AH151" t="str">
        <f t="shared" si="59"/>
        <v>CLIENTE</v>
      </c>
      <c r="AI151" t="str">
        <f t="shared" si="56"/>
        <v>🎯 Para subir de categoría, la eje con mayor impacto probable es CLIENTE (coef T). Acción: reducir quejas, mejorar incógnito y empujar reseñas. ΔR aprox: 4,4</v>
      </c>
      <c r="AJ151" s="26">
        <f>_xlfn.LET(_xlpm.piso,AF151,_xlpm.corte,AE151,_xlpm.prog,IF(_xlpm.corte&lt;=_xlpm.piso,0,MAX(0,MIN(1,(U151-_xlpm.piso)/(_xlpm.corte-_xlpm.piso)))),_xlpm.orden,{"DIAMANTE";"PLATINO";"ORO";"PLATA";"BRONCE";"CERRADO"},_xlpm.act,IFERROR(MATCH(V151,_xlpm.orden,0),6),_xlpm.ant,IFERROR(MATCH(W151,_xlpm.orden,0),6),_xlpm.ajmov,IF(_xlpm.act&lt;_xlpm.ant,0.08,IF(_xlpm.act&gt;_xlpm.ant,-0.08,0)),_xlpm.ajcli,IF(T151&lt;0.95,-0.06,0),_xlpm.prob,MAX(0,MIN(1,_xlpm.prog+_xlpm.ajmov+_xlpm.ajcli)),IF(OR(V151="DIAMANTE",V151="CERRADO"),0,ROUND(_xlpm.prob,2)))</f>
        <v>0.86</v>
      </c>
      <c r="AK151" t="str">
        <f t="shared" si="60"/>
        <v>Faltan 4,4 puntos base para subir a la siguiente categoría</v>
      </c>
      <c r="AL151" t="str">
        <f t="shared" si="61"/>
        <v>Margen de seguridad: 35,6 puntos</v>
      </c>
      <c r="AM151">
        <f t="shared" si="62"/>
        <v>0.43</v>
      </c>
      <c r="AN151" t="str">
        <f t="shared" si="63"/>
        <v>PRIORIDAD MEDIA – seguimiento del asesor</v>
      </c>
      <c r="AO151">
        <f t="shared" si="64"/>
        <v>6.8161927052770475</v>
      </c>
      <c r="AP151">
        <f t="shared" si="65"/>
        <v>0</v>
      </c>
      <c r="AQ151">
        <f t="shared" si="66"/>
        <v>0</v>
      </c>
      <c r="AR151">
        <f t="shared" si="67"/>
        <v>2.9399999999999995</v>
      </c>
      <c r="AS151">
        <f t="shared" si="68"/>
        <v>25.777545337469942</v>
      </c>
      <c r="AT151" t="str">
        <f t="shared" si="69"/>
        <v>CLIENTE</v>
      </c>
      <c r="AU151">
        <f t="shared" si="70"/>
        <v>25.777545337469942</v>
      </c>
      <c r="AV151" t="str">
        <f t="shared" si="71"/>
        <v>Mayor retorno probable: CLIENTE (+25,8 puntos finales potenciales).</v>
      </c>
    </row>
    <row r="152" spans="1:48" x14ac:dyDescent="0.3">
      <c r="A152" s="5">
        <v>51056191</v>
      </c>
      <c r="B152" s="5" t="str">
        <f>IFERROR(VLOOKUP(A152,VENTAS!$A$2:$B$1194,2,0),"")</f>
        <v>PUGH</v>
      </c>
      <c r="C152" s="5">
        <f>IFERROR(INDEX(VENTAS!$C$2:$E$1194,MATCH(A152,VENTAS!$A$2:$A$1194,0),MATCH(PARAMS_MODELO!$B$2,{"Q1","Q2","Q3"},0)),0)</f>
        <v>122708663.48</v>
      </c>
      <c r="D152" s="5">
        <f>IFERROR(INDEX(VENTAS!$F$2:$H$1194,MATCH(A152,VENTAS!$A$2:$A$1194,0),MATCH(PARAMS_MODELO!$B$2,{"Q1","Q2","Q3"},0)),0)</f>
        <v>136913018</v>
      </c>
      <c r="E152" s="8">
        <f t="shared" si="48"/>
        <v>0.11575673727646074</v>
      </c>
      <c r="F152" s="12">
        <f>IF(E152&lt;=PARAMS_MODELO!$B$15,0,IF(E152&gt;=PARAMS_MODELO!$B$17,100,100*MIN(1,(E152-PARAMS_MODELO!$B$15)/(PARAMS_MODELO!$B$16-PARAMS_MODELO!$B$15))))*PARAMS_MODELO!$B$7</f>
        <v>35</v>
      </c>
      <c r="G152" s="5">
        <f t="shared" si="49"/>
        <v>14204354.519999996</v>
      </c>
      <c r="H152" s="5">
        <f>(PARAMS_MODELO!$B$20*(MAX(0,MIN(3,E152))/3)+PARAMS_MODELO!$B$21*(IFERROR(LN(1+MAX(0,G152))/LN(1+MAX(0,MAX($G$2:$G$1194))),0)))*100*PARAMS_MODELO!$B$8</f>
        <v>4.2657259769780653</v>
      </c>
      <c r="I152" s="8">
        <f>E152-PARAMS_MODELO!$B$5</f>
        <v>-6.1806098099065787E-2</v>
      </c>
      <c r="J152" s="5">
        <f>IF(I152&lt;=PARAMS_MODELO!$B$18,0,IF(I152&gt;=PARAMS_MODELO!$B$19,100,100*(I152-PARAMS_MODELO!$B$18)/(PARAMS_MODELO!$B$19-PARAMS_MODELO!$B$18)))*PARAMS_MODELO!$B$9</f>
        <v>0</v>
      </c>
      <c r="K152" s="5">
        <f>IFERROR(CHOOSE(MATCH(PARAMS_MODELO!$B$2,{"Q1","Q2","Q3"},0),LOTO!$D152,LOTO!$F152,LOTO!$H152),0)</f>
        <v>6952500</v>
      </c>
      <c r="L152" s="8">
        <f t="shared" si="50"/>
        <v>5.078041592801643E-2</v>
      </c>
      <c r="M152" s="5">
        <f>MIN(100,IF(PARAMS_MODELO!$B$23=0,0,100*L152/PARAMS_MODELO!$B$23))*PARAMS_MODELO!$B$10</f>
        <v>15</v>
      </c>
      <c r="N152" s="5">
        <f>IFERROR(VLOOKUP(A152,COMPLIANCE!$A$2:$F$1996,6,0),100)</f>
        <v>100</v>
      </c>
      <c r="O152" s="5">
        <f>N152*PARAMS_MODELO!$B$11</f>
        <v>10</v>
      </c>
      <c r="P152" s="5">
        <f>IFERROR(VLOOKUP(A152,DIGITAL!$A$2:$J$2000,7,0),100)</f>
        <v>73</v>
      </c>
      <c r="Q152" s="5">
        <f>IFERROR(P152,0)*PARAMS_MODELO!$B$12</f>
        <v>7.3000000000000007</v>
      </c>
      <c r="R152">
        <f t="shared" si="51"/>
        <v>71.565725976978072</v>
      </c>
      <c r="S152" s="5" t="str">
        <f>IFERROR(VLOOKUP(A152,CLIENTE!$A$2:$N$2000,13,0),1)</f>
        <v>Regular</v>
      </c>
      <c r="T152" s="5">
        <f>IFERROR(VLOOKUP(A152,CLIENTE!$A$2:$N$2000,14,0),1)</f>
        <v>1</v>
      </c>
      <c r="U152" s="5">
        <f t="shared" si="52"/>
        <v>71.565725976978072</v>
      </c>
      <c r="V152" s="5" t="str">
        <f>IF(U152&gt;=MAX(_xlfn.PERCENTILE.INC($U$2:$U$1194,PARAMS_MODELO!$B$50),PARAMS_MODELO!$B$45),"DIAMANTE",IF(U152&gt;=MAX(_xlfn.PERCENTILE.INC($U$2:$U$1194,PARAMS_MODELO!$B$51),PARAMS_MODELO!$B$46),"PLATINO",IF(U152&gt;=MAX(_xlfn.PERCENTILE.INC($U$2:$U$1194,PARAMS_MODELO!$B$52),PARAMS_MODELO!$B$47),"ORO",IF(U152&gt;=MAX(_xlfn.PERCENTILE.INC($U$2:$U$1194,PARAMS_MODELO!$B$53),PARAMS_MODELO!$B$48),"PLATA",IF(U152&gt;=1,"BRONCE","CERRADO")))))</f>
        <v>ORO</v>
      </c>
      <c r="W152" s="5" t="str" cm="1">
        <f t="array" ref="W152">_xlfn.XLOOKUP(1, (HIST_SCORE!$B:$B=PARAMS_MODELO!$B$4) * (HIST_SCORE!$C:$C=A152), HIST_SCORE!$E:$E, "No encontrado")</f>
        <v>ORO</v>
      </c>
      <c r="X152" s="5" t="str">
        <f>_xlfn.LET(_xlpm.act,MATCH(V152,{"DIAMANTE";"PLATINO";"ORO";"PLATA";"BRONCE";"CERRADO"},0),_xlpm.ant,MATCH(W152,{"DIAMANTE";"PLATINO";"ORO";"PLATA";"BRONCE";"CERRADO"},0),IF(_xlpm.act&lt;_xlpm.ant,"Mejora ↑",IF(_xlpm.act&gt;_xlpm.ant,"Baja ↓","Estable →")))</f>
        <v>Estable →</v>
      </c>
      <c r="Y152" s="5">
        <f>IFERROR(U152-SUMIFS(HIST_SCORE!$D:$D,HIST_SCORE!$B:$B,PARAMS_MODELO!$B$4,HIST_SCORE!$C:$C,$A152),"")</f>
        <v>-2.2750317519139003</v>
      </c>
      <c r="Z152" s="5" t="str">
        <f t="shared" si="53"/>
        <v>→ Estable</v>
      </c>
      <c r="AA152" s="5">
        <f t="shared" si="54"/>
        <v>501</v>
      </c>
      <c r="AB152" s="5">
        <f>IFERROR(SUMIFS(HIST_SCORE!$F:$F,HIST_SCORE!$B:$B,PARAMS_MODELO!$B$4,HIST_SCORE!$C:$C,$A152),"")</f>
        <v>502</v>
      </c>
      <c r="AC152" s="5">
        <f t="shared" si="55"/>
        <v>1</v>
      </c>
      <c r="AD152" t="str">
        <f t="shared" si="57"/>
        <v>Sostener base y reforzar mix</v>
      </c>
      <c r="AE1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152="CERRADO",1,IF(V152="BRONCE",_xlpm.cPl,IF(V152="PLATA",_xlpm.cO,IF(V152="ORO",_xlpm.cP,IF(V152="PLATINO",_xlpm.cD,999))))))</f>
        <v>86.439123873763251</v>
      </c>
      <c r="AF1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152="CERRADO",0,IF(V152="BRONCE",1,IF(V152="PLATA",_xlpm.cPl,IF(V152="ORO",_xlpm.cO,IF(V152="PLATINO",_xlpm.cP,_xlpm.cD))))))</f>
        <v>63.199193273331495</v>
      </c>
      <c r="AG152">
        <f t="shared" si="58"/>
        <v>14.873397896785178</v>
      </c>
      <c r="AH152" t="str">
        <f t="shared" si="59"/>
        <v>VENTAS</v>
      </c>
      <c r="AI152" t="str">
        <f t="shared" si="56"/>
        <v>🎯 Para subir de categoría, eje VENTAS / DIFERENCIAL vs LOTBA (J). Acción: metas semanales + activación comercial + seguimiento del asesor. ΔR aprox: 14,9</v>
      </c>
      <c r="AJ152" s="26">
        <f>_xlfn.LET(_xlpm.piso,AF152,_xlpm.corte,AE152,_xlpm.prog,IF(_xlpm.corte&lt;=_xlpm.piso,0,MAX(0,MIN(1,(U152-_xlpm.piso)/(_xlpm.corte-_xlpm.piso)))),_xlpm.orden,{"DIAMANTE";"PLATINO";"ORO";"PLATA";"BRONCE";"CERRADO"},_xlpm.act,IFERROR(MATCH(V152,_xlpm.orden,0),6),_xlpm.ant,IFERROR(MATCH(W152,_xlpm.orden,0),6),_xlpm.ajmov,IF(_xlpm.act&lt;_xlpm.ant,0.08,IF(_xlpm.act&gt;_xlpm.ant,-0.08,0)),_xlpm.ajcli,IF(T152&lt;0.95,-0.06,0),_xlpm.prob,MAX(0,MIN(1,_xlpm.prog+_xlpm.ajmov+_xlpm.ajcli)),IF(OR(V152="DIAMANTE",V152="CERRADO"),0,ROUND(_xlpm.prob,2)))</f>
        <v>0.36</v>
      </c>
      <c r="AK152" t="str">
        <f t="shared" si="60"/>
        <v>Faltan 14,9 puntos base para subir a la siguiente categoría</v>
      </c>
      <c r="AL152" t="str">
        <f t="shared" si="61"/>
        <v>Margen de seguridad: 8,4 puntos</v>
      </c>
      <c r="AM152">
        <f t="shared" si="62"/>
        <v>0.66</v>
      </c>
      <c r="AN152" t="str">
        <f t="shared" si="63"/>
        <v>PRIORIDAD MEDIA – seguimiento del asesor</v>
      </c>
      <c r="AO152">
        <f t="shared" si="64"/>
        <v>25.596843298317516</v>
      </c>
      <c r="AP152">
        <f t="shared" si="65"/>
        <v>0</v>
      </c>
      <c r="AQ152">
        <f t="shared" si="66"/>
        <v>0</v>
      </c>
      <c r="AR152">
        <f t="shared" si="67"/>
        <v>2.6999999999999993</v>
      </c>
      <c r="AS152">
        <f t="shared" si="68"/>
        <v>0</v>
      </c>
      <c r="AT152" t="str">
        <f t="shared" si="69"/>
        <v>VENTAS</v>
      </c>
      <c r="AU152">
        <f t="shared" si="70"/>
        <v>25.596843298317516</v>
      </c>
      <c r="AV152" t="str">
        <f t="shared" si="71"/>
        <v>Mayor retorno probable: VENTAS (+25,6 puntos finales potenciales).</v>
      </c>
    </row>
    <row r="153" spans="1:48" x14ac:dyDescent="0.3">
      <c r="A153" s="5">
        <v>51023781</v>
      </c>
      <c r="B153" s="5" t="str">
        <f>IFERROR(VLOOKUP(A153,VENTAS!$A$2:$B$1194,2,0),"")</f>
        <v>CICHETTO</v>
      </c>
      <c r="C153" s="5">
        <f>IFERROR(INDEX(VENTAS!$C$2:$E$1194,MATCH(A153,VENTAS!$A$2:$A$1194,0),MATCH(PARAMS_MODELO!$B$2,{"Q1","Q2","Q3"},0)),0)</f>
        <v>107607986.01000001</v>
      </c>
      <c r="D153" s="5">
        <f>IFERROR(INDEX(VENTAS!$F$2:$H$1194,MATCH(A153,VENTAS!$A$2:$A$1194,0),MATCH(PARAMS_MODELO!$B$2,{"Q1","Q2","Q3"},0)),0)</f>
        <v>136623089</v>
      </c>
      <c r="E153" s="8">
        <f t="shared" si="48"/>
        <v>0.26963707867651787</v>
      </c>
      <c r="F153" s="12">
        <f>IF(E153&lt;=PARAMS_MODELO!$B$15,0,IF(E153&gt;=PARAMS_MODELO!$B$17,100,100*MIN(1,(E153-PARAMS_MODELO!$B$15)/(PARAMS_MODELO!$B$16-PARAMS_MODELO!$B$15))))*PARAMS_MODELO!$B$7</f>
        <v>35</v>
      </c>
      <c r="G153" s="5">
        <f t="shared" si="49"/>
        <v>29015102.989999995</v>
      </c>
      <c r="H153" s="5">
        <f>(PARAMS_MODELO!$B$20*(MAX(0,MIN(3,E153))/3)+PARAMS_MODELO!$B$21*(IFERROR(LN(1+MAX(0,G153))/LN(1+MAX(0,MAX($G$2:$G$1194))),0)))*100*PARAMS_MODELO!$B$8</f>
        <v>4.9717415339942423</v>
      </c>
      <c r="I153" s="8">
        <f>E153-PARAMS_MODELO!$B$5</f>
        <v>9.2074243300991343E-2</v>
      </c>
      <c r="J153" s="5">
        <f>IF(I153&lt;=PARAMS_MODELO!$B$18,0,IF(I153&gt;=PARAMS_MODELO!$B$19,100,100*(I153-PARAMS_MODELO!$B$18)/(PARAMS_MODELO!$B$19-PARAMS_MODELO!$B$18)))*PARAMS_MODELO!$B$9</f>
        <v>15</v>
      </c>
      <c r="K153" s="5">
        <f>IFERROR(CHOOSE(MATCH(PARAMS_MODELO!$B$2,{"Q1","Q2","Q3"},0),LOTO!$D153,LOTO!$F153,LOTO!$H153),0)</f>
        <v>6922500</v>
      </c>
      <c r="L153" s="8">
        <f t="shared" si="50"/>
        <v>5.0668595262108297E-2</v>
      </c>
      <c r="M153" s="5">
        <f>MIN(100,IF(PARAMS_MODELO!$B$23=0,0,100*L153/PARAMS_MODELO!$B$23))*PARAMS_MODELO!$B$10</f>
        <v>15</v>
      </c>
      <c r="N153" s="5">
        <f>IFERROR(VLOOKUP(A153,COMPLIANCE!$A$2:$F$1996,6,0),100)</f>
        <v>100</v>
      </c>
      <c r="O153" s="5">
        <f>N153*PARAMS_MODELO!$B$11</f>
        <v>10</v>
      </c>
      <c r="P153" s="5">
        <f>IFERROR(VLOOKUP(A153,DIGITAL!$A$2:$J$2000,7,0),100)</f>
        <v>45</v>
      </c>
      <c r="Q153" s="5">
        <f>IFERROR(P153,0)*PARAMS_MODELO!$B$12</f>
        <v>4.5</v>
      </c>
      <c r="R153">
        <f t="shared" si="51"/>
        <v>84.471741533994248</v>
      </c>
      <c r="S153" s="5" t="str">
        <f>IFERROR(VLOOKUP(A153,CLIENTE!$A$2:$N$2000,13,0),1)</f>
        <v>Bueno</v>
      </c>
      <c r="T153" s="5">
        <f>IFERROR(VLOOKUP(A153,CLIENTE!$A$2:$N$2000,14,0),1)</f>
        <v>1.1000000000000001</v>
      </c>
      <c r="U153" s="5">
        <f t="shared" si="52"/>
        <v>92.918915687393678</v>
      </c>
      <c r="V153" s="5" t="str">
        <f>IF(U153&gt;=MAX(_xlfn.PERCENTILE.INC($U$2:$U$1194,PARAMS_MODELO!$B$50),PARAMS_MODELO!$B$45),"DIAMANTE",IF(U153&gt;=MAX(_xlfn.PERCENTILE.INC($U$2:$U$1194,PARAMS_MODELO!$B$51),PARAMS_MODELO!$B$46),"PLATINO",IF(U153&gt;=MAX(_xlfn.PERCENTILE.INC($U$2:$U$1194,PARAMS_MODELO!$B$52),PARAMS_MODELO!$B$47),"ORO",IF(U153&gt;=MAX(_xlfn.PERCENTILE.INC($U$2:$U$1194,PARAMS_MODELO!$B$53),PARAMS_MODELO!$B$48),"PLATA",IF(U153&gt;=1,"BRONCE","CERRADO")))))</f>
        <v>PLATINO</v>
      </c>
      <c r="W153" s="5" t="str" cm="1">
        <f t="array" ref="W153">_xlfn.XLOOKUP(1, (HIST_SCORE!$B:$B=PARAMS_MODELO!$B$4) * (HIST_SCORE!$C:$C=A153), HIST_SCORE!$E:$E, "No encontrado")</f>
        <v>PLATINO</v>
      </c>
      <c r="X153" s="5" t="str">
        <f>_xlfn.LET(_xlpm.act,MATCH(V153,{"DIAMANTE";"PLATINO";"ORO";"PLATA";"BRONCE";"CERRADO"},0),_xlpm.ant,MATCH(W153,{"DIAMANTE";"PLATINO";"ORO";"PLATA";"BRONCE";"CERRADO"},0),IF(_xlpm.act&lt;_xlpm.ant,"Mejora ↑",IF(_xlpm.act&gt;_xlpm.ant,"Baja ↓","Estable →")))</f>
        <v>Estable →</v>
      </c>
      <c r="Y153" s="5">
        <f>IFERROR(U153-SUMIFS(HIST_SCORE!$D:$D,HIST_SCORE!$B:$B,PARAMS_MODELO!$B$4,HIST_SCORE!$C:$C,$A153),"")</f>
        <v>2.4094753688306128</v>
      </c>
      <c r="Z153" s="5" t="str">
        <f t="shared" si="53"/>
        <v>→ Estable</v>
      </c>
      <c r="AA153" s="5">
        <f t="shared" si="54"/>
        <v>90</v>
      </c>
      <c r="AB153" s="5">
        <f>IFERROR(SUMIFS(HIST_SCORE!$F:$F,HIST_SCORE!$B:$B,PARAMS_MODELO!$B$4,HIST_SCORE!$C:$C,$A153),"")</f>
        <v>122</v>
      </c>
      <c r="AC153" s="5">
        <f t="shared" si="55"/>
        <v>32</v>
      </c>
      <c r="AD153" t="str">
        <f t="shared" si="57"/>
        <v/>
      </c>
      <c r="AE1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153="CERRADO",1,IF(V153="BRONCE",_xlpm.cPl,IF(V153="PLATA",_xlpm.cO,IF(V153="ORO",_xlpm.cP,IF(V153="PLATINO",_xlpm.cD,999))))))</f>
        <v>96.054919694466676</v>
      </c>
      <c r="AF1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153="CERRADO",0,IF(V153="BRONCE",1,IF(V153="PLATA",_xlpm.cPl,IF(V153="ORO",_xlpm.cO,IF(V153="PLATINO",_xlpm.cP,_xlpm.cD))))))</f>
        <v>86.439123873763251</v>
      </c>
      <c r="AG153">
        <f t="shared" si="58"/>
        <v>2.850912733702728</v>
      </c>
      <c r="AH153" t="str">
        <f t="shared" si="59"/>
        <v>VENTAS</v>
      </c>
      <c r="AI153" t="str">
        <f t="shared" si="56"/>
        <v>🎯 Para subir de categoría, eje VENTAS / IMPACTO ABSOLUTO (H). Acción: metas semanales + activación comercial + seguimiento del asesor. ΔR aprox: 2,9</v>
      </c>
      <c r="AJ153" s="26">
        <f>_xlfn.LET(_xlpm.piso,AF153,_xlpm.corte,AE153,_xlpm.prog,IF(_xlpm.corte&lt;=_xlpm.piso,0,MAX(0,MIN(1,(U153-_xlpm.piso)/(_xlpm.corte-_xlpm.piso)))),_xlpm.orden,{"DIAMANTE";"PLATINO";"ORO";"PLATA";"BRONCE";"CERRADO"},_xlpm.act,IFERROR(MATCH(V153,_xlpm.orden,0),6),_xlpm.ant,IFERROR(MATCH(W153,_xlpm.orden,0),6),_xlpm.ajmov,IF(_xlpm.act&lt;_xlpm.ant,0.08,IF(_xlpm.act&gt;_xlpm.ant,-0.08,0)),_xlpm.ajcli,IF(T153&lt;0.95,-0.06,0),_xlpm.prob,MAX(0,MIN(1,_xlpm.prog+_xlpm.ajmov+_xlpm.ajcli)),IF(OR(V153="DIAMANTE",V153="CERRADO"),0,ROUND(_xlpm.prob,2)))</f>
        <v>0.67</v>
      </c>
      <c r="AK153" t="str">
        <f t="shared" si="60"/>
        <v>Faltan 2,9 puntos base para subir a la siguiente categoría</v>
      </c>
      <c r="AL153" t="str">
        <f t="shared" si="61"/>
        <v>Margen de seguridad: 6,5 puntos</v>
      </c>
      <c r="AM153">
        <f t="shared" si="62"/>
        <v>0.25</v>
      </c>
      <c r="AN153" t="str">
        <f t="shared" si="63"/>
        <v>PRIORIDAD BAJA – control normal</v>
      </c>
      <c r="AO153">
        <f t="shared" si="64"/>
        <v>10.879910515431479</v>
      </c>
      <c r="AP153">
        <f t="shared" si="65"/>
        <v>0</v>
      </c>
      <c r="AQ153">
        <f t="shared" si="66"/>
        <v>0</v>
      </c>
      <c r="AR153">
        <f t="shared" si="67"/>
        <v>6.0500000000000007</v>
      </c>
      <c r="AS153">
        <f t="shared" si="68"/>
        <v>0</v>
      </c>
      <c r="AT153" t="str">
        <f t="shared" si="69"/>
        <v>VENTAS</v>
      </c>
      <c r="AU153">
        <f t="shared" si="70"/>
        <v>10.879910515431479</v>
      </c>
      <c r="AV153" t="str">
        <f t="shared" si="71"/>
        <v>Mayor retorno probable: VENTAS (+10,9 puntos finales potenciales).</v>
      </c>
    </row>
    <row r="154" spans="1:48" x14ac:dyDescent="0.3">
      <c r="A154" s="5">
        <v>51056221</v>
      </c>
      <c r="B154" s="5" t="str">
        <f>IFERROR(VLOOKUP(A154,VENTAS!$A$2:$B$1194,2,0),"")</f>
        <v>CICHETTO</v>
      </c>
      <c r="C154" s="5">
        <f>IFERROR(INDEX(VENTAS!$C$2:$E$1194,MATCH(A154,VENTAS!$A$2:$A$1194,0),MATCH(PARAMS_MODELO!$B$2,{"Q1","Q2","Q3"},0)),0)</f>
        <v>228592340.72999999</v>
      </c>
      <c r="D154" s="5">
        <f>IFERROR(INDEX(VENTAS!$F$2:$H$1194,MATCH(A154,VENTAS!$A$2:$A$1194,0),MATCH(PARAMS_MODELO!$B$2,{"Q1","Q2","Q3"},0)),0)</f>
        <v>136483546</v>
      </c>
      <c r="E154" s="8">
        <f t="shared" si="48"/>
        <v>-0.40293911176487562</v>
      </c>
      <c r="F154" s="12">
        <f>IF(E154&lt;=PARAMS_MODELO!$B$15,0,IF(E154&gt;=PARAMS_MODELO!$B$17,100,100*MIN(1,(E154-PARAMS_MODELO!$B$15)/(PARAMS_MODELO!$B$16-PARAMS_MODELO!$B$15))))*PARAMS_MODELO!$B$7</f>
        <v>0</v>
      </c>
      <c r="G154" s="5">
        <f t="shared" si="49"/>
        <v>0</v>
      </c>
      <c r="H154" s="5">
        <f>(PARAMS_MODELO!$B$20*(MAX(0,MIN(3,E154))/3)+PARAMS_MODELO!$B$21*(IFERROR(LN(1+MAX(0,G154))/LN(1+MAX(0,MAX($G$2:$G$1194))),0)))*100*PARAMS_MODELO!$B$8</f>
        <v>0</v>
      </c>
      <c r="I154" s="8">
        <f>E154-PARAMS_MODELO!$B$5</f>
        <v>-0.58050194714040215</v>
      </c>
      <c r="J154" s="5">
        <f>IF(I154&lt;=PARAMS_MODELO!$B$18,0,IF(I154&gt;=PARAMS_MODELO!$B$19,100,100*(I154-PARAMS_MODELO!$B$18)/(PARAMS_MODELO!$B$19-PARAMS_MODELO!$B$18)))*PARAMS_MODELO!$B$9</f>
        <v>0</v>
      </c>
      <c r="K154" s="5">
        <f>IFERROR(CHOOSE(MATCH(PARAMS_MODELO!$B$2,{"Q1","Q2","Q3"},0),LOTO!$D154,LOTO!$F154,LOTO!$H154),0)</f>
        <v>6847500</v>
      </c>
      <c r="L154" s="8">
        <f t="shared" si="50"/>
        <v>5.0170882869646424E-2</v>
      </c>
      <c r="M154" s="5">
        <f>MIN(100,IF(PARAMS_MODELO!$B$23=0,0,100*L154/PARAMS_MODELO!$B$23))*PARAMS_MODELO!$B$10</f>
        <v>15</v>
      </c>
      <c r="N154" s="5">
        <f>IFERROR(VLOOKUP(A154,COMPLIANCE!$A$2:$F$1996,6,0),100)</f>
        <v>99.8</v>
      </c>
      <c r="O154" s="5">
        <f>N154*PARAMS_MODELO!$B$11</f>
        <v>9.98</v>
      </c>
      <c r="P154" s="5">
        <f>IFERROR(VLOOKUP(A154,DIGITAL!$A$2:$J$2000,7,0),100)</f>
        <v>2</v>
      </c>
      <c r="Q154" s="5">
        <f>IFERROR(P154,0)*PARAMS_MODELO!$B$12</f>
        <v>0.2</v>
      </c>
      <c r="R154">
        <f t="shared" si="51"/>
        <v>25.18</v>
      </c>
      <c r="S154" s="5" t="str">
        <f>IFERROR(VLOOKUP(A154,CLIENTE!$A$2:$N$2000,13,0),1)</f>
        <v>Regular</v>
      </c>
      <c r="T154" s="5">
        <f>IFERROR(VLOOKUP(A154,CLIENTE!$A$2:$N$2000,14,0),1)</f>
        <v>1</v>
      </c>
      <c r="U154" s="5">
        <f t="shared" si="52"/>
        <v>25.18</v>
      </c>
      <c r="V154" s="5" t="str">
        <f>IF(U154&gt;=MAX(_xlfn.PERCENTILE.INC($U$2:$U$1194,PARAMS_MODELO!$B$50),PARAMS_MODELO!$B$45),"DIAMANTE",IF(U154&gt;=MAX(_xlfn.PERCENTILE.INC($U$2:$U$1194,PARAMS_MODELO!$B$51),PARAMS_MODELO!$B$46),"PLATINO",IF(U154&gt;=MAX(_xlfn.PERCENTILE.INC($U$2:$U$1194,PARAMS_MODELO!$B$52),PARAMS_MODELO!$B$47),"ORO",IF(U154&gt;=MAX(_xlfn.PERCENTILE.INC($U$2:$U$1194,PARAMS_MODELO!$B$53),PARAMS_MODELO!$B$48),"PLATA",IF(U154&gt;=1,"BRONCE","CERRADO")))))</f>
        <v>PLATA</v>
      </c>
      <c r="W154" s="5" t="str" cm="1">
        <f t="array" ref="W154">_xlfn.XLOOKUP(1, (HIST_SCORE!$B:$B=PARAMS_MODELO!$B$4) * (HIST_SCORE!$C:$C=A154), HIST_SCORE!$E:$E, "No encontrado")</f>
        <v>ORO</v>
      </c>
      <c r="X154" s="5" t="str">
        <f>_xlfn.LET(_xlpm.act,MATCH(V154,{"DIAMANTE";"PLATINO";"ORO";"PLATA";"BRONCE";"CERRADO"},0),_xlpm.ant,MATCH(W154,{"DIAMANTE";"PLATINO";"ORO";"PLATA";"BRONCE";"CERRADO"},0),IF(_xlpm.act&lt;_xlpm.ant,"Mejora ↑",IF(_xlpm.act&gt;_xlpm.ant,"Baja ↓","Estable →")))</f>
        <v>Baja ↓</v>
      </c>
      <c r="Y154" s="5">
        <f>IFERROR(U154-SUMIFS(HIST_SCORE!$D:$D,HIST_SCORE!$B:$B,PARAMS_MODELO!$B$4,HIST_SCORE!$C:$C,$A154),"")</f>
        <v>-46.764068312114723</v>
      </c>
      <c r="Z154" s="5" t="str">
        <f t="shared" si="53"/>
        <v>↓ Baja</v>
      </c>
      <c r="AA154" s="5">
        <f t="shared" si="54"/>
        <v>913</v>
      </c>
      <c r="AB154" s="5">
        <f>IFERROR(SUMIFS(HIST_SCORE!$F:$F,HIST_SCORE!$B:$B,PARAMS_MODELO!$B$4,HIST_SCORE!$C:$C,$A154),"")</f>
        <v>522</v>
      </c>
      <c r="AC154" s="5">
        <f t="shared" si="55"/>
        <v>-391</v>
      </c>
      <c r="AD154" t="str">
        <f t="shared" si="57"/>
        <v/>
      </c>
      <c r="AE1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154="CERRADO",1,IF(V154="BRONCE",_xlpm.cPl,IF(V154="PLATA",_xlpm.cO,IF(V154="ORO",_xlpm.cP,IF(V154="PLATINO",_xlpm.cD,999))))))</f>
        <v>63.199193273331495</v>
      </c>
      <c r="AF1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154="CERRADO",0,IF(V154="BRONCE",1,IF(V154="PLATA",_xlpm.cPl,IF(V154="ORO",_xlpm.cO,IF(V154="PLATINO",_xlpm.cP,_xlpm.cD))))))</f>
        <v>24.506573482968111</v>
      </c>
      <c r="AG154">
        <f t="shared" si="58"/>
        <v>38.019193273331496</v>
      </c>
      <c r="AH154" t="str">
        <f t="shared" si="59"/>
        <v>VENTAS</v>
      </c>
      <c r="AI154" t="str">
        <f t="shared" si="56"/>
        <v>🎯 Para subir de categoría, eje VENTAS / CRECIMIENTO PERSONAL (F). Acción: metas semanales + activación comercial + seguimiento del asesor. ΔR aprox: 38,0</v>
      </c>
      <c r="AJ154" s="26">
        <f>_xlfn.LET(_xlpm.piso,AF154,_xlpm.corte,AE154,_xlpm.prog,IF(_xlpm.corte&lt;=_xlpm.piso,0,MAX(0,MIN(1,(U154-_xlpm.piso)/(_xlpm.corte-_xlpm.piso)))),_xlpm.orden,{"DIAMANTE";"PLATINO";"ORO";"PLATA";"BRONCE";"CERRADO"},_xlpm.act,IFERROR(MATCH(V154,_xlpm.orden,0),6),_xlpm.ant,IFERROR(MATCH(W154,_xlpm.orden,0),6),_xlpm.ajmov,IF(_xlpm.act&lt;_xlpm.ant,0.08,IF(_xlpm.act&gt;_xlpm.ant,-0.08,0)),_xlpm.ajcli,IF(T154&lt;0.95,-0.06,0),_xlpm.prob,MAX(0,MIN(1,_xlpm.prog+_xlpm.ajmov+_xlpm.ajcli)),IF(OR(V154="DIAMANTE",V154="CERRADO"),0,ROUND(_xlpm.prob,2)))</f>
        <v>0</v>
      </c>
      <c r="AK154" t="str">
        <f t="shared" si="60"/>
        <v>Faltan 38,0 puntos base para subir a la siguiente categoría</v>
      </c>
      <c r="AL154" t="str">
        <f t="shared" si="61"/>
        <v>Margen de seguridad: 0,7 puntos</v>
      </c>
      <c r="AM154">
        <f t="shared" si="62"/>
        <v>0.8</v>
      </c>
      <c r="AN154" t="str">
        <f t="shared" si="63"/>
        <v>PRIORIDAD ALTA – requiere intervención inmediata</v>
      </c>
      <c r="AO154">
        <f t="shared" si="64"/>
        <v>64.862569275295584</v>
      </c>
      <c r="AP154">
        <f t="shared" si="65"/>
        <v>0</v>
      </c>
      <c r="AQ154">
        <f t="shared" si="66"/>
        <v>1.9999999999999574E-2</v>
      </c>
      <c r="AR154">
        <f t="shared" si="67"/>
        <v>9.8000000000000007</v>
      </c>
      <c r="AS154">
        <f t="shared" si="68"/>
        <v>0</v>
      </c>
      <c r="AT154" t="str">
        <f t="shared" si="69"/>
        <v>VENTAS</v>
      </c>
      <c r="AU154">
        <f t="shared" si="70"/>
        <v>64.862569275295584</v>
      </c>
      <c r="AV154" t="str">
        <f t="shared" si="71"/>
        <v>Mayor retorno probable: VENTAS (+64,9 puntos finales potenciales).</v>
      </c>
    </row>
    <row r="155" spans="1:48" x14ac:dyDescent="0.3">
      <c r="A155" s="5">
        <v>51018443</v>
      </c>
      <c r="B155" s="5" t="str">
        <f>IFERROR(VLOOKUP(A155,VENTAS!$A$2:$B$1194,2,0),"")</f>
        <v>CICHETTO</v>
      </c>
      <c r="C155" s="5">
        <f>IFERROR(INDEX(VENTAS!$C$2:$E$1194,MATCH(A155,VENTAS!$A$2:$A$1194,0),MATCH(PARAMS_MODELO!$B$2,{"Q1","Q2","Q3"},0)),0)</f>
        <v>88540207.680000007</v>
      </c>
      <c r="D155" s="5">
        <f>IFERROR(INDEX(VENTAS!$F$2:$H$1194,MATCH(A155,VENTAS!$A$2:$A$1194,0),MATCH(PARAMS_MODELO!$B$2,{"Q1","Q2","Q3"},0)),0)</f>
        <v>136407425</v>
      </c>
      <c r="E155" s="8">
        <f t="shared" si="48"/>
        <v>0.54062689228153382</v>
      </c>
      <c r="F155" s="12">
        <f>IF(E155&lt;=PARAMS_MODELO!$B$15,0,IF(E155&gt;=PARAMS_MODELO!$B$17,100,100*MIN(1,(E155-PARAMS_MODELO!$B$15)/(PARAMS_MODELO!$B$16-PARAMS_MODELO!$B$15))))*PARAMS_MODELO!$B$7</f>
        <v>35</v>
      </c>
      <c r="G155" s="5">
        <f t="shared" si="49"/>
        <v>47867217.319999993</v>
      </c>
      <c r="H155" s="5">
        <f>(PARAMS_MODELO!$B$20*(MAX(0,MIN(3,E155))/3)+PARAMS_MODELO!$B$21*(IFERROR(LN(1+MAX(0,G155))/LN(1+MAX(0,MAX($G$2:$G$1194))),0)))*100*PARAMS_MODELO!$B$8</f>
        <v>6.0375568791042529</v>
      </c>
      <c r="I155" s="8">
        <f>E155-PARAMS_MODELO!$B$5</f>
        <v>0.36306405690600729</v>
      </c>
      <c r="J155" s="5">
        <f>IF(I155&lt;=PARAMS_MODELO!$B$18,0,IF(I155&gt;=PARAMS_MODELO!$B$19,100,100*(I155-PARAMS_MODELO!$B$18)/(PARAMS_MODELO!$B$19-PARAMS_MODELO!$B$18)))*PARAMS_MODELO!$B$9</f>
        <v>15</v>
      </c>
      <c r="K155" s="5">
        <f>IFERROR(CHOOSE(MATCH(PARAMS_MODELO!$B$2,{"Q1","Q2","Q3"},0),LOTO!$D155,LOTO!$F155,LOTO!$H155),0)</f>
        <v>6810000</v>
      </c>
      <c r="L155" s="8">
        <f t="shared" si="50"/>
        <v>4.9923968581622298E-2</v>
      </c>
      <c r="M155" s="5">
        <f>MIN(100,IF(PARAMS_MODELO!$B$23=0,0,100*L155/PARAMS_MODELO!$B$23))*PARAMS_MODELO!$B$10</f>
        <v>14.977190574486686</v>
      </c>
      <c r="N155" s="5">
        <f>IFERROR(VLOOKUP(A155,COMPLIANCE!$A$2:$F$1996,6,0),100)</f>
        <v>100</v>
      </c>
      <c r="O155" s="5">
        <f>N155*PARAMS_MODELO!$B$11</f>
        <v>10</v>
      </c>
      <c r="P155" s="5">
        <f>IFERROR(VLOOKUP(A155,DIGITAL!$A$2:$J$2000,7,0),100)</f>
        <v>21</v>
      </c>
      <c r="Q155" s="5">
        <f>IFERROR(P155,0)*PARAMS_MODELO!$B$12</f>
        <v>2.1</v>
      </c>
      <c r="R155">
        <f t="shared" si="51"/>
        <v>83.114747453590937</v>
      </c>
      <c r="S155" s="5" t="str">
        <f>IFERROR(VLOOKUP(A155,CLIENTE!$A$2:$N$2000,13,0),1)</f>
        <v>Regular</v>
      </c>
      <c r="T155" s="5">
        <f>IFERROR(VLOOKUP(A155,CLIENTE!$A$2:$N$2000,14,0),1)</f>
        <v>1</v>
      </c>
      <c r="U155" s="5">
        <f t="shared" si="52"/>
        <v>83.114747453590937</v>
      </c>
      <c r="V155" s="5" t="str">
        <f>IF(U155&gt;=MAX(_xlfn.PERCENTILE.INC($U$2:$U$1194,PARAMS_MODELO!$B$50),PARAMS_MODELO!$B$45),"DIAMANTE",IF(U155&gt;=MAX(_xlfn.PERCENTILE.INC($U$2:$U$1194,PARAMS_MODELO!$B$51),PARAMS_MODELO!$B$46),"PLATINO",IF(U155&gt;=MAX(_xlfn.PERCENTILE.INC($U$2:$U$1194,PARAMS_MODELO!$B$52),PARAMS_MODELO!$B$47),"ORO",IF(U155&gt;=MAX(_xlfn.PERCENTILE.INC($U$2:$U$1194,PARAMS_MODELO!$B$53),PARAMS_MODELO!$B$48),"PLATA",IF(U155&gt;=1,"BRONCE","CERRADO")))))</f>
        <v>ORO</v>
      </c>
      <c r="W155" s="5" t="str" cm="1">
        <f t="array" ref="W155">_xlfn.XLOOKUP(1, (HIST_SCORE!$B:$B=PARAMS_MODELO!$B$4) * (HIST_SCORE!$C:$C=A155), HIST_SCORE!$E:$E, "No encontrado")</f>
        <v>ORO</v>
      </c>
      <c r="X155" s="5" t="str">
        <f>_xlfn.LET(_xlpm.act,MATCH(V155,{"DIAMANTE";"PLATINO";"ORO";"PLATA";"BRONCE";"CERRADO"},0),_xlpm.ant,MATCH(W155,{"DIAMANTE";"PLATINO";"ORO";"PLATA";"BRONCE";"CERRADO"},0),IF(_xlpm.act&lt;_xlpm.ant,"Mejora ↑",IF(_xlpm.act&gt;_xlpm.ant,"Baja ↓","Estable →")))</f>
        <v>Estable →</v>
      </c>
      <c r="Y155" s="5">
        <f>IFERROR(U155-SUMIFS(HIST_SCORE!$D:$D,HIST_SCORE!$B:$B,PARAMS_MODELO!$B$4,HIST_SCORE!$C:$C,$A155),"")</f>
        <v>0.1695182708824774</v>
      </c>
      <c r="Z155" s="5" t="str">
        <f t="shared" si="53"/>
        <v>→ Estable</v>
      </c>
      <c r="AA155" s="5">
        <f t="shared" si="54"/>
        <v>349</v>
      </c>
      <c r="AB155" s="5">
        <f>IFERROR(SUMIFS(HIST_SCORE!$F:$F,HIST_SCORE!$B:$B,PARAMS_MODELO!$B$4,HIST_SCORE!$C:$C,$A155),"")</f>
        <v>332</v>
      </c>
      <c r="AC155" s="5">
        <f t="shared" si="55"/>
        <v>-17</v>
      </c>
      <c r="AD155" t="str">
        <f t="shared" si="57"/>
        <v/>
      </c>
      <c r="AE1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155="CERRADO",1,IF(V155="BRONCE",_xlpm.cPl,IF(V155="PLATA",_xlpm.cO,IF(V155="ORO",_xlpm.cP,IF(V155="PLATINO",_xlpm.cD,999))))))</f>
        <v>86.439123873763251</v>
      </c>
      <c r="AF1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155="CERRADO",0,IF(V155="BRONCE",1,IF(V155="PLATA",_xlpm.cPl,IF(V155="ORO",_xlpm.cO,IF(V155="PLATINO",_xlpm.cP,_xlpm.cD))))))</f>
        <v>63.199193273331495</v>
      </c>
      <c r="AG155">
        <f t="shared" si="58"/>
        <v>3.3243764201723138</v>
      </c>
      <c r="AH155" t="str">
        <f t="shared" si="59"/>
        <v>VENTAS</v>
      </c>
      <c r="AI155" t="str">
        <f t="shared" si="56"/>
        <v>🎯 Para subir de categoría, eje VENTAS / IMPACTO ABSOLUTO (H). Acción: metas semanales + activación comercial + seguimiento del asesor. ΔR aprox: 3,3</v>
      </c>
      <c r="AJ155" s="26">
        <f>_xlfn.LET(_xlpm.piso,AF155,_xlpm.corte,AE155,_xlpm.prog,IF(_xlpm.corte&lt;=_xlpm.piso,0,MAX(0,MIN(1,(U155-_xlpm.piso)/(_xlpm.corte-_xlpm.piso)))),_xlpm.orden,{"DIAMANTE";"PLATINO";"ORO";"PLATA";"BRONCE";"CERRADO"},_xlpm.act,IFERROR(MATCH(V155,_xlpm.orden,0),6),_xlpm.ant,IFERROR(MATCH(W155,_xlpm.orden,0),6),_xlpm.ajmov,IF(_xlpm.act&lt;_xlpm.ant,0.08,IF(_xlpm.act&gt;_xlpm.ant,-0.08,0)),_xlpm.ajcli,IF(T155&lt;0.95,-0.06,0),_xlpm.prob,MAX(0,MIN(1,_xlpm.prog+_xlpm.ajmov+_xlpm.ajcli)),IF(OR(V155="DIAMANTE",V155="CERRADO"),0,ROUND(_xlpm.prob,2)))</f>
        <v>0.86</v>
      </c>
      <c r="AK155" t="str">
        <f t="shared" si="60"/>
        <v>Faltan 3,3 puntos base para subir a la siguiente categoría</v>
      </c>
      <c r="AL155" t="str">
        <f t="shared" si="61"/>
        <v>Margen de seguridad: 19,9 puntos</v>
      </c>
      <c r="AM155">
        <f t="shared" si="62"/>
        <v>0.19</v>
      </c>
      <c r="AN155" t="str">
        <f t="shared" si="63"/>
        <v>PRIORIDAD BAJA – control normal</v>
      </c>
      <c r="AO155">
        <f t="shared" si="64"/>
        <v>8.8250123961913332</v>
      </c>
      <c r="AP155">
        <f t="shared" si="65"/>
        <v>2.2809425513313997E-2</v>
      </c>
      <c r="AQ155">
        <f t="shared" si="66"/>
        <v>0</v>
      </c>
      <c r="AR155">
        <f t="shared" si="67"/>
        <v>7.9</v>
      </c>
      <c r="AS155">
        <f t="shared" si="68"/>
        <v>0</v>
      </c>
      <c r="AT155" t="str">
        <f t="shared" si="69"/>
        <v>VENTAS</v>
      </c>
      <c r="AU155">
        <f t="shared" si="70"/>
        <v>8.8250123961913332</v>
      </c>
      <c r="AV155" t="str">
        <f t="shared" si="71"/>
        <v>Mayor retorno probable: VENTAS (+8,8 puntos finales potenciales).</v>
      </c>
    </row>
    <row r="156" spans="1:48" x14ac:dyDescent="0.3">
      <c r="A156" s="5">
        <v>51023757</v>
      </c>
      <c r="B156" s="5" t="str">
        <f>IFERROR(VLOOKUP(A156,VENTAS!$A$2:$B$1194,2,0),"")</f>
        <v>LÓPEZ</v>
      </c>
      <c r="C156" s="5">
        <f>IFERROR(INDEX(VENTAS!$C$2:$E$1194,MATCH(A156,VENTAS!$A$2:$A$1194,0),MATCH(PARAMS_MODELO!$B$2,{"Q1","Q2","Q3"},0)),0)</f>
        <v>67986663.829999998</v>
      </c>
      <c r="D156" s="5">
        <f>IFERROR(INDEX(VENTAS!$F$2:$H$1194,MATCH(A156,VENTAS!$A$2:$A$1194,0),MATCH(PARAMS_MODELO!$B$2,{"Q1","Q2","Q3"},0)),0)</f>
        <v>136376522</v>
      </c>
      <c r="E156" s="8">
        <f t="shared" si="48"/>
        <v>1.0059304916183001</v>
      </c>
      <c r="F156" s="12">
        <f>IF(E156&lt;=PARAMS_MODELO!$B$15,0,IF(E156&gt;=PARAMS_MODELO!$B$17,100,100*MIN(1,(E156-PARAMS_MODELO!$B$15)/(PARAMS_MODELO!$B$16-PARAMS_MODELO!$B$15))))*PARAMS_MODELO!$B$7</f>
        <v>35</v>
      </c>
      <c r="G156" s="5">
        <f t="shared" si="49"/>
        <v>68389858.170000002</v>
      </c>
      <c r="H156" s="5">
        <f>(PARAMS_MODELO!$B$20*(MAX(0,MIN(3,E156))/3)+PARAMS_MODELO!$B$21*(IFERROR(LN(1+MAX(0,G156))/LN(1+MAX(0,MAX($G$2:$G$1194))),0)))*100*PARAMS_MODELO!$B$8</f>
        <v>7.7497568925282829</v>
      </c>
      <c r="I156" s="8">
        <f>E156-PARAMS_MODELO!$B$5</f>
        <v>0.82836765624277353</v>
      </c>
      <c r="J156" s="5">
        <f>IF(I156&lt;=PARAMS_MODELO!$B$18,0,IF(I156&gt;=PARAMS_MODELO!$B$19,100,100*(I156-PARAMS_MODELO!$B$18)/(PARAMS_MODELO!$B$19-PARAMS_MODELO!$B$18)))*PARAMS_MODELO!$B$9</f>
        <v>15</v>
      </c>
      <c r="K156" s="5">
        <f>IFERROR(CHOOSE(MATCH(PARAMS_MODELO!$B$2,{"Q1","Q2","Q3"},0),LOTO!$D156,LOTO!$F156,LOTO!$H156),0)</f>
        <v>6802500</v>
      </c>
      <c r="L156" s="8">
        <f t="shared" si="50"/>
        <v>4.9880286578946484E-2</v>
      </c>
      <c r="M156" s="5">
        <f>MIN(100,IF(PARAMS_MODELO!$B$23=0,0,100*L156/PARAMS_MODELO!$B$23))*PARAMS_MODELO!$B$10</f>
        <v>14.964085973683941</v>
      </c>
      <c r="N156" s="5">
        <f>IFERROR(VLOOKUP(A156,COMPLIANCE!$A$2:$F$1996,6,0),100)</f>
        <v>99.85</v>
      </c>
      <c r="O156" s="5">
        <f>N156*PARAMS_MODELO!$B$11</f>
        <v>9.9849999999999994</v>
      </c>
      <c r="P156" s="5">
        <f>IFERROR(VLOOKUP(A156,DIGITAL!$A$2:$J$2000,7,0),100)</f>
        <v>96</v>
      </c>
      <c r="Q156" s="5">
        <f>IFERROR(P156,0)*PARAMS_MODELO!$B$12</f>
        <v>9.6000000000000014</v>
      </c>
      <c r="R156">
        <f t="shared" si="51"/>
        <v>92.298842866212226</v>
      </c>
      <c r="S156" s="5" t="str">
        <f>IFERROR(VLOOKUP(A156,CLIENTE!$A$2:$N$2000,13,0),1)</f>
        <v>Muy Bueno</v>
      </c>
      <c r="T156" s="5">
        <f>IFERROR(VLOOKUP(A156,CLIENTE!$A$2:$N$2000,14,0),1)</f>
        <v>1.1499999999999999</v>
      </c>
      <c r="U156" s="5">
        <f t="shared" si="52"/>
        <v>100</v>
      </c>
      <c r="V156" s="5" t="str">
        <f>IF(U156&gt;=MAX(_xlfn.PERCENTILE.INC($U$2:$U$1194,PARAMS_MODELO!$B$50),PARAMS_MODELO!$B$45),"DIAMANTE",IF(U156&gt;=MAX(_xlfn.PERCENTILE.INC($U$2:$U$1194,PARAMS_MODELO!$B$51),PARAMS_MODELO!$B$46),"PLATINO",IF(U156&gt;=MAX(_xlfn.PERCENTILE.INC($U$2:$U$1194,PARAMS_MODELO!$B$52),PARAMS_MODELO!$B$47),"ORO",IF(U156&gt;=MAX(_xlfn.PERCENTILE.INC($U$2:$U$1194,PARAMS_MODELO!$B$53),PARAMS_MODELO!$B$48),"PLATA",IF(U156&gt;=1,"BRONCE","CERRADO")))))</f>
        <v>DIAMANTE</v>
      </c>
      <c r="W156" s="5" t="str" cm="1">
        <f t="array" ref="W156">_xlfn.XLOOKUP(1, (HIST_SCORE!$B:$B=PARAMS_MODELO!$B$4) * (HIST_SCORE!$C:$C=A156), HIST_SCORE!$E:$E, "No encontrado")</f>
        <v>DIAMANTE</v>
      </c>
      <c r="X156" s="5" t="str">
        <f>_xlfn.LET(_xlpm.act,MATCH(V156,{"DIAMANTE";"PLATINO";"ORO";"PLATA";"BRONCE";"CERRADO"},0),_xlpm.ant,MATCH(W156,{"DIAMANTE";"PLATINO";"ORO";"PLATA";"BRONCE";"CERRADO"},0),IF(_xlpm.act&lt;_xlpm.ant,"Mejora ↑",IF(_xlpm.act&gt;_xlpm.ant,"Baja ↓","Estable →")))</f>
        <v>Estable →</v>
      </c>
      <c r="Y156" s="5">
        <f>IFERROR(U156-SUMIFS(HIST_SCORE!$D:$D,HIST_SCORE!$B:$B,PARAMS_MODELO!$B$4,HIST_SCORE!$C:$C,$A156),"")</f>
        <v>0</v>
      </c>
      <c r="Z156" s="5" t="str">
        <f t="shared" si="53"/>
        <v>→ Estable</v>
      </c>
      <c r="AA156" s="5">
        <f t="shared" si="54"/>
        <v>1</v>
      </c>
      <c r="AB156" s="5">
        <f>IFERROR(SUMIFS(HIST_SCORE!$F:$F,HIST_SCORE!$B:$B,PARAMS_MODELO!$B$4,HIST_SCORE!$C:$C,$A156),"")</f>
        <v>1</v>
      </c>
      <c r="AC156" s="5">
        <f t="shared" si="55"/>
        <v>0</v>
      </c>
      <c r="AD156" t="str">
        <f t="shared" si="57"/>
        <v/>
      </c>
      <c r="AE1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156="CERRADO",1,IF(V156="BRONCE",_xlpm.cPl,IF(V156="PLATA",_xlpm.cO,IF(V156="ORO",_xlpm.cP,IF(V156="PLATINO",_xlpm.cD,999))))))</f>
        <v>999</v>
      </c>
      <c r="AF1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156="CERRADO",0,IF(V156="BRONCE",1,IF(V156="PLATA",_xlpm.cPl,IF(V156="ORO",_xlpm.cO,IF(V156="PLATINO",_xlpm.cP,_xlpm.cD))))))</f>
        <v>96.054919694466676</v>
      </c>
      <c r="AG156">
        <f t="shared" si="58"/>
        <v>776.39680930770089</v>
      </c>
      <c r="AH156" t="str">
        <f t="shared" si="59"/>
        <v>SOSTENER</v>
      </c>
      <c r="AI156" t="str">
        <f t="shared" si="56"/>
        <v>✅ Mantener desempeño y monitorear variaciones para sostener categoría.</v>
      </c>
      <c r="AJ156" s="26">
        <f>_xlfn.LET(_xlpm.piso,AF156,_xlpm.corte,AE156,_xlpm.prog,IF(_xlpm.corte&lt;=_xlpm.piso,0,MAX(0,MIN(1,(U156-_xlpm.piso)/(_xlpm.corte-_xlpm.piso)))),_xlpm.orden,{"DIAMANTE";"PLATINO";"ORO";"PLATA";"BRONCE";"CERRADO"},_xlpm.act,IFERROR(MATCH(V156,_xlpm.orden,0),6),_xlpm.ant,IFERROR(MATCH(W156,_xlpm.orden,0),6),_xlpm.ajmov,IF(_xlpm.act&lt;_xlpm.ant,0.08,IF(_xlpm.act&gt;_xlpm.ant,-0.08,0)),_xlpm.ajcli,IF(T156&lt;0.95,-0.06,0),_xlpm.prob,MAX(0,MIN(1,_xlpm.prog+_xlpm.ajmov+_xlpm.ajcli)),IF(OR(V156="DIAMANTE",V156="CERRADO"),0,ROUND(_xlpm.prob,2)))</f>
        <v>0</v>
      </c>
      <c r="AK156" t="str">
        <f t="shared" si="60"/>
        <v>No aplica</v>
      </c>
      <c r="AL156" t="str">
        <f t="shared" si="61"/>
        <v>Margen de seguridad: 3,9 puntos</v>
      </c>
      <c r="AM156">
        <f t="shared" si="62"/>
        <v>0.8</v>
      </c>
      <c r="AN156" t="str">
        <f t="shared" si="63"/>
        <v>PRIORIDAD ALTA – requiere intervención inmediata</v>
      </c>
      <c r="AO156">
        <f t="shared" si="64"/>
        <v>8.1797342401823965</v>
      </c>
      <c r="AP156">
        <f t="shared" si="65"/>
        <v>4.1301130263467462E-2</v>
      </c>
      <c r="AQ156">
        <f t="shared" si="66"/>
        <v>1.7250000000000654E-2</v>
      </c>
      <c r="AR156">
        <f t="shared" si="67"/>
        <v>0.45999999999999835</v>
      </c>
      <c r="AS156">
        <f t="shared" si="68"/>
        <v>0</v>
      </c>
      <c r="AT156" t="str">
        <f t="shared" si="69"/>
        <v>VENTAS</v>
      </c>
      <c r="AU156">
        <f t="shared" si="70"/>
        <v>8.1797342401823965</v>
      </c>
      <c r="AV156" t="str">
        <f t="shared" si="71"/>
        <v>Mayor retorno probable: VENTAS (+8,2 puntos finales potenciales).</v>
      </c>
    </row>
    <row r="157" spans="1:48" x14ac:dyDescent="0.3">
      <c r="A157" s="5">
        <v>51055357</v>
      </c>
      <c r="B157" s="5" t="str">
        <f>IFERROR(VLOOKUP(A157,VENTAS!$A$2:$B$1194,2,0),"")</f>
        <v>PRADES</v>
      </c>
      <c r="C157" s="5">
        <f>IFERROR(INDEX(VENTAS!$C$2:$E$1194,MATCH(A157,VENTAS!$A$2:$A$1194,0),MATCH(PARAMS_MODELO!$B$2,{"Q1","Q2","Q3"},0)),0)</f>
        <v>89650449.969999999</v>
      </c>
      <c r="D157" s="5">
        <f>IFERROR(INDEX(VENTAS!$F$2:$H$1194,MATCH(A157,VENTAS!$A$2:$A$1194,0),MATCH(PARAMS_MODELO!$B$2,{"Q1","Q2","Q3"},0)),0)</f>
        <v>135874112</v>
      </c>
      <c r="E157" s="8">
        <f t="shared" si="48"/>
        <v>0.51559877329637449</v>
      </c>
      <c r="F157" s="12">
        <f>IF(E157&lt;=PARAMS_MODELO!$B$15,0,IF(E157&gt;=PARAMS_MODELO!$B$17,100,100*MIN(1,(E157-PARAMS_MODELO!$B$15)/(PARAMS_MODELO!$B$16-PARAMS_MODELO!$B$15))))*PARAMS_MODELO!$B$7</f>
        <v>35</v>
      </c>
      <c r="G157" s="5">
        <f t="shared" si="49"/>
        <v>46223662.030000001</v>
      </c>
      <c r="H157" s="5">
        <f>(PARAMS_MODELO!$B$20*(MAX(0,MIN(3,E157))/3)+PARAMS_MODELO!$B$21*(IFERROR(LN(1+MAX(0,G157))/LN(1+MAX(0,MAX($G$2:$G$1194))),0)))*100*PARAMS_MODELO!$B$8</f>
        <v>5.9417682641626248</v>
      </c>
      <c r="I157" s="8">
        <f>E157-PARAMS_MODELO!$B$5</f>
        <v>0.33803593792084796</v>
      </c>
      <c r="J157" s="5">
        <f>IF(I157&lt;=PARAMS_MODELO!$B$18,0,IF(I157&gt;=PARAMS_MODELO!$B$19,100,100*(I157-PARAMS_MODELO!$B$18)/(PARAMS_MODELO!$B$19-PARAMS_MODELO!$B$18)))*PARAMS_MODELO!$B$9</f>
        <v>15</v>
      </c>
      <c r="K157" s="5">
        <f>IFERROR(CHOOSE(MATCH(PARAMS_MODELO!$B$2,{"Q1","Q2","Q3"},0),LOTO!$D157,LOTO!$F157,LOTO!$H157),0)</f>
        <v>6800000</v>
      </c>
      <c r="L157" s="8">
        <f t="shared" si="50"/>
        <v>5.0046325233757551E-2</v>
      </c>
      <c r="M157" s="5">
        <f>MIN(100,IF(PARAMS_MODELO!$B$23=0,0,100*L157/PARAMS_MODELO!$B$23))*PARAMS_MODELO!$B$10</f>
        <v>15</v>
      </c>
      <c r="N157" s="5">
        <f>IFERROR(VLOOKUP(A157,COMPLIANCE!$A$2:$F$1996,6,0),100)</f>
        <v>100</v>
      </c>
      <c r="O157" s="5">
        <f>N157*PARAMS_MODELO!$B$11</f>
        <v>10</v>
      </c>
      <c r="P157" s="5">
        <f>IFERROR(VLOOKUP(A157,DIGITAL!$A$2:$J$2000,7,0),100)</f>
        <v>28</v>
      </c>
      <c r="Q157" s="5">
        <f>IFERROR(P157,0)*PARAMS_MODELO!$B$12</f>
        <v>2.8000000000000003</v>
      </c>
      <c r="R157">
        <f t="shared" si="51"/>
        <v>83.741768264162616</v>
      </c>
      <c r="S157" s="5" t="str">
        <f>IFERROR(VLOOKUP(A157,CLIENTE!$A$2:$N$2000,13,0),1)</f>
        <v>Bueno</v>
      </c>
      <c r="T157" s="5">
        <f>IFERROR(VLOOKUP(A157,CLIENTE!$A$2:$N$2000,14,0),1)</f>
        <v>1.1000000000000001</v>
      </c>
      <c r="U157" s="5">
        <f t="shared" si="52"/>
        <v>92.11594509057889</v>
      </c>
      <c r="V157" s="5" t="str">
        <f>IF(U157&gt;=MAX(_xlfn.PERCENTILE.INC($U$2:$U$1194,PARAMS_MODELO!$B$50),PARAMS_MODELO!$B$45),"DIAMANTE",IF(U157&gt;=MAX(_xlfn.PERCENTILE.INC($U$2:$U$1194,PARAMS_MODELO!$B$51),PARAMS_MODELO!$B$46),"PLATINO",IF(U157&gt;=MAX(_xlfn.PERCENTILE.INC($U$2:$U$1194,PARAMS_MODELO!$B$52),PARAMS_MODELO!$B$47),"ORO",IF(U157&gt;=MAX(_xlfn.PERCENTILE.INC($U$2:$U$1194,PARAMS_MODELO!$B$53),PARAMS_MODELO!$B$48),"PLATA",IF(U157&gt;=1,"BRONCE","CERRADO")))))</f>
        <v>PLATINO</v>
      </c>
      <c r="W157" s="5" t="str" cm="1">
        <f t="array" ref="W157">_xlfn.XLOOKUP(1, (HIST_SCORE!$B:$B=PARAMS_MODELO!$B$4) * (HIST_SCORE!$C:$C=A157), HIST_SCORE!$E:$E, "No encontrado")</f>
        <v>PLATINO</v>
      </c>
      <c r="X157" s="5" t="str">
        <f>_xlfn.LET(_xlpm.act,MATCH(V157,{"DIAMANTE";"PLATINO";"ORO";"PLATA";"BRONCE";"CERRADO"},0),_xlpm.ant,MATCH(W157,{"DIAMANTE";"PLATINO";"ORO";"PLATA";"BRONCE";"CERRADO"},0),IF(_xlpm.act&lt;_xlpm.ant,"Mejora ↑",IF(_xlpm.act&gt;_xlpm.ant,"Baja ↓","Estable →")))</f>
        <v>Estable →</v>
      </c>
      <c r="Y157" s="5">
        <f>IFERROR(U157-SUMIFS(HIST_SCORE!$D:$D,HIST_SCORE!$B:$B,PARAMS_MODELO!$B$4,HIST_SCORE!$C:$C,$A157),"")</f>
        <v>0.54121923124934312</v>
      </c>
      <c r="Z157" s="5" t="str">
        <f t="shared" si="53"/>
        <v>→ Estable</v>
      </c>
      <c r="AA157" s="5">
        <f t="shared" si="54"/>
        <v>105</v>
      </c>
      <c r="AB157" s="5">
        <f>IFERROR(SUMIFS(HIST_SCORE!$F:$F,HIST_SCORE!$B:$B,PARAMS_MODELO!$B$4,HIST_SCORE!$C:$C,$A157),"")</f>
        <v>109</v>
      </c>
      <c r="AC157" s="5">
        <f t="shared" si="55"/>
        <v>4</v>
      </c>
      <c r="AD157" t="str">
        <f t="shared" si="57"/>
        <v/>
      </c>
      <c r="AE1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157="CERRADO",1,IF(V157="BRONCE",_xlpm.cPl,IF(V157="PLATA",_xlpm.cO,IF(V157="ORO",_xlpm.cP,IF(V157="PLATINO",_xlpm.cD,999))))))</f>
        <v>96.054919694466676</v>
      </c>
      <c r="AF1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157="CERRADO",0,IF(V157="BRONCE",1,IF(V157="PLATA",_xlpm.cPl,IF(V157="ORO",_xlpm.cO,IF(V157="PLATINO",_xlpm.cP,_xlpm.cD))))))</f>
        <v>86.439123873763251</v>
      </c>
      <c r="AG157">
        <f t="shared" si="58"/>
        <v>3.5808860035343599</v>
      </c>
      <c r="AH157" t="str">
        <f t="shared" si="59"/>
        <v>VENTAS</v>
      </c>
      <c r="AI157" t="str">
        <f t="shared" si="56"/>
        <v>🎯 Para subir de categoría, eje VENTAS / IMPACTO ABSOLUTO (H). Acción: metas semanales + activación comercial + seguimiento del asesor. ΔR aprox: 3,6</v>
      </c>
      <c r="AJ157" s="26">
        <f>_xlfn.LET(_xlpm.piso,AF157,_xlpm.corte,AE157,_xlpm.prog,IF(_xlpm.corte&lt;=_xlpm.piso,0,MAX(0,MIN(1,(U157-_xlpm.piso)/(_xlpm.corte-_xlpm.piso)))),_xlpm.orden,{"DIAMANTE";"PLATINO";"ORO";"PLATA";"BRONCE";"CERRADO"},_xlpm.act,IFERROR(MATCH(V157,_xlpm.orden,0),6),_xlpm.ant,IFERROR(MATCH(W157,_xlpm.orden,0),6),_xlpm.ajmov,IF(_xlpm.act&lt;_xlpm.ant,0.08,IF(_xlpm.act&gt;_xlpm.ant,-0.08,0)),_xlpm.ajcli,IF(T157&lt;0.95,-0.06,0),_xlpm.prob,MAX(0,MIN(1,_xlpm.prog+_xlpm.ajmov+_xlpm.ajcli)),IF(OR(V157="DIAMANTE",V157="CERRADO"),0,ROUND(_xlpm.prob,2)))</f>
        <v>0.59</v>
      </c>
      <c r="AK157" t="str">
        <f t="shared" si="60"/>
        <v>Faltan 3,6 puntos base para subir a la siguiente categoría</v>
      </c>
      <c r="AL157" t="str">
        <f t="shared" si="61"/>
        <v>Margen de seguridad: 5,7 puntos</v>
      </c>
      <c r="AM157">
        <f t="shared" si="62"/>
        <v>0.31</v>
      </c>
      <c r="AN157" t="str">
        <f t="shared" si="63"/>
        <v>PRIORIDAD BAJA – control normal</v>
      </c>
      <c r="AO157">
        <f t="shared" si="64"/>
        <v>9.8128811122462558</v>
      </c>
      <c r="AP157">
        <f t="shared" si="65"/>
        <v>0</v>
      </c>
      <c r="AQ157">
        <f t="shared" si="66"/>
        <v>0</v>
      </c>
      <c r="AR157">
        <f t="shared" si="67"/>
        <v>7.92</v>
      </c>
      <c r="AS157">
        <f t="shared" si="68"/>
        <v>0</v>
      </c>
      <c r="AT157" t="str">
        <f t="shared" si="69"/>
        <v>VENTAS</v>
      </c>
      <c r="AU157">
        <f t="shared" si="70"/>
        <v>9.8128811122462558</v>
      </c>
      <c r="AV157" t="str">
        <f t="shared" si="71"/>
        <v>Mayor retorno probable: VENTAS (+9,8 puntos finales potenciales).</v>
      </c>
    </row>
    <row r="158" spans="1:48" x14ac:dyDescent="0.3">
      <c r="A158" s="5">
        <v>51021576</v>
      </c>
      <c r="B158" s="5" t="str">
        <f>IFERROR(VLOOKUP(A158,VENTAS!$A$2:$B$1194,2,0),"")</f>
        <v>PUGH</v>
      </c>
      <c r="C158" s="5">
        <f>IFERROR(INDEX(VENTAS!$C$2:$E$1194,MATCH(A158,VENTAS!$A$2:$A$1194,0),MATCH(PARAMS_MODELO!$B$2,{"Q1","Q2","Q3"},0)),0)</f>
        <v>115198642.38</v>
      </c>
      <c r="D158" s="5">
        <f>IFERROR(INDEX(VENTAS!$F$2:$H$1194,MATCH(A158,VENTAS!$A$2:$A$1194,0),MATCH(PARAMS_MODELO!$B$2,{"Q1","Q2","Q3"},0)),0)</f>
        <v>135860568</v>
      </c>
      <c r="E158" s="8">
        <f t="shared" si="48"/>
        <v>0.17935910695755908</v>
      </c>
      <c r="F158" s="12">
        <f>IF(E158&lt;=PARAMS_MODELO!$B$15,0,IF(E158&gt;=PARAMS_MODELO!$B$17,100,100*MIN(1,(E158-PARAMS_MODELO!$B$15)/(PARAMS_MODELO!$B$16-PARAMS_MODELO!$B$15))))*PARAMS_MODELO!$B$7</f>
        <v>35</v>
      </c>
      <c r="G158" s="5">
        <f t="shared" si="49"/>
        <v>20661925.620000005</v>
      </c>
      <c r="H158" s="5">
        <f>(PARAMS_MODELO!$B$20*(MAX(0,MIN(3,E158))/3)+PARAMS_MODELO!$B$21*(IFERROR(LN(1+MAX(0,G158))/LN(1+MAX(0,MAX($G$2:$G$1194))),0)))*100*PARAMS_MODELO!$B$8</f>
        <v>4.5761795122376068</v>
      </c>
      <c r="I158" s="8">
        <f>E158-PARAMS_MODELO!$B$5</f>
        <v>1.7962715820325492E-3</v>
      </c>
      <c r="J158" s="5">
        <f>IF(I158&lt;=PARAMS_MODELO!$B$18,0,IF(I158&gt;=PARAMS_MODELO!$B$19,100,100*(I158-PARAMS_MODELO!$B$18)/(PARAMS_MODELO!$B$19-PARAMS_MODELO!$B$18)))*PARAMS_MODELO!$B$9</f>
        <v>7.7694407373048815</v>
      </c>
      <c r="K158" s="5">
        <f>IFERROR(CHOOSE(MATCH(PARAMS_MODELO!$B$2,{"Q1","Q2","Q3"},0),LOTO!$D158,LOTO!$F158,LOTO!$H158),0)</f>
        <v>6797500</v>
      </c>
      <c r="L158" s="8">
        <f t="shared" si="50"/>
        <v>5.003291315549336E-2</v>
      </c>
      <c r="M158" s="5">
        <f>MIN(100,IF(PARAMS_MODELO!$B$23=0,0,100*L158/PARAMS_MODELO!$B$23))*PARAMS_MODELO!$B$10</f>
        <v>15</v>
      </c>
      <c r="N158" s="5">
        <f>IFERROR(VLOOKUP(A158,COMPLIANCE!$A$2:$F$1996,6,0),100)</f>
        <v>100</v>
      </c>
      <c r="O158" s="5">
        <f>N158*PARAMS_MODELO!$B$11</f>
        <v>10</v>
      </c>
      <c r="P158" s="5">
        <f>IFERROR(VLOOKUP(A158,DIGITAL!$A$2:$J$2000,7,0),100)</f>
        <v>99</v>
      </c>
      <c r="Q158" s="5">
        <f>IFERROR(P158,0)*PARAMS_MODELO!$B$12</f>
        <v>9.9</v>
      </c>
      <c r="R158">
        <f t="shared" si="51"/>
        <v>82.245620249542498</v>
      </c>
      <c r="S158" s="5" t="str">
        <f>IFERROR(VLOOKUP(A158,CLIENTE!$A$2:$N$2000,13,0),1)</f>
        <v>Bueno</v>
      </c>
      <c r="T158" s="5">
        <f>IFERROR(VLOOKUP(A158,CLIENTE!$A$2:$N$2000,14,0),1)</f>
        <v>1.1000000000000001</v>
      </c>
      <c r="U158" s="5">
        <f t="shared" si="52"/>
        <v>90.47018227449675</v>
      </c>
      <c r="V158" s="5" t="str">
        <f>IF(U158&gt;=MAX(_xlfn.PERCENTILE.INC($U$2:$U$1194,PARAMS_MODELO!$B$50),PARAMS_MODELO!$B$45),"DIAMANTE",IF(U158&gt;=MAX(_xlfn.PERCENTILE.INC($U$2:$U$1194,PARAMS_MODELO!$B$51),PARAMS_MODELO!$B$46),"PLATINO",IF(U158&gt;=MAX(_xlfn.PERCENTILE.INC($U$2:$U$1194,PARAMS_MODELO!$B$52),PARAMS_MODELO!$B$47),"ORO",IF(U158&gt;=MAX(_xlfn.PERCENTILE.INC($U$2:$U$1194,PARAMS_MODELO!$B$53),PARAMS_MODELO!$B$48),"PLATA",IF(U158&gt;=1,"BRONCE","CERRADO")))))</f>
        <v>PLATINO</v>
      </c>
      <c r="W158" s="5" t="str" cm="1">
        <f t="array" ref="W158">_xlfn.XLOOKUP(1, (HIST_SCORE!$B:$B=PARAMS_MODELO!$B$4) * (HIST_SCORE!$C:$C=A158), HIST_SCORE!$E:$E, "No encontrado")</f>
        <v>PLATINO</v>
      </c>
      <c r="X158" s="5" t="str">
        <f>_xlfn.LET(_xlpm.act,MATCH(V158,{"DIAMANTE";"PLATINO";"ORO";"PLATA";"BRONCE";"CERRADO"},0),_xlpm.ant,MATCH(W158,{"DIAMANTE";"PLATINO";"ORO";"PLATA";"BRONCE";"CERRADO"},0),IF(_xlpm.act&lt;_xlpm.ant,"Mejora ↑",IF(_xlpm.act&gt;_xlpm.ant,"Baja ↓","Estable →")))</f>
        <v>Estable →</v>
      </c>
      <c r="Y158" s="5">
        <f>IFERROR(U158-SUMIFS(HIST_SCORE!$D:$D,HIST_SCORE!$B:$B,PARAMS_MODELO!$B$4,HIST_SCORE!$C:$C,$A158),"")</f>
        <v>1.6314390216587924</v>
      </c>
      <c r="Z158" s="5" t="str">
        <f t="shared" si="53"/>
        <v>→ Estable</v>
      </c>
      <c r="AA158" s="5">
        <f t="shared" si="54"/>
        <v>125</v>
      </c>
      <c r="AB158" s="5">
        <f>IFERROR(SUMIFS(HIST_SCORE!$F:$F,HIST_SCORE!$B:$B,PARAMS_MODELO!$B$4,HIST_SCORE!$C:$C,$A158),"")</f>
        <v>156</v>
      </c>
      <c r="AC158" s="5">
        <f t="shared" si="55"/>
        <v>31</v>
      </c>
      <c r="AD158" t="str">
        <f t="shared" si="57"/>
        <v/>
      </c>
      <c r="AE1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158="CERRADO",1,IF(V158="BRONCE",_xlpm.cPl,IF(V158="PLATA",_xlpm.cO,IF(V158="ORO",_xlpm.cP,IF(V158="PLATINO",_xlpm.cD,999))))))</f>
        <v>96.054919694466676</v>
      </c>
      <c r="AF1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158="CERRADO",0,IF(V158="BRONCE",1,IF(V158="PLATA",_xlpm.cPl,IF(V158="ORO",_xlpm.cO,IF(V158="PLATINO",_xlpm.cP,_xlpm.cD))))))</f>
        <v>86.439123873763251</v>
      </c>
      <c r="AG158">
        <f t="shared" si="58"/>
        <v>5.0770340181544782</v>
      </c>
      <c r="AH158" t="str">
        <f t="shared" si="59"/>
        <v>VENTAS</v>
      </c>
      <c r="AI158" t="str">
        <f t="shared" si="56"/>
        <v>🎯 Para subir de categoría, eje VENTAS / IMPACTO ABSOLUTO (H). Acción: metas semanales + activación comercial + seguimiento del asesor. ΔR aprox: 5,1</v>
      </c>
      <c r="AJ158" s="26">
        <f>_xlfn.LET(_xlpm.piso,AF158,_xlpm.corte,AE158,_xlpm.prog,IF(_xlpm.corte&lt;=_xlpm.piso,0,MAX(0,MIN(1,(U158-_xlpm.piso)/(_xlpm.corte-_xlpm.piso)))),_xlpm.orden,{"DIAMANTE";"PLATINO";"ORO";"PLATA";"BRONCE";"CERRADO"},_xlpm.act,IFERROR(MATCH(V158,_xlpm.orden,0),6),_xlpm.ant,IFERROR(MATCH(W158,_xlpm.orden,0),6),_xlpm.ajmov,IF(_xlpm.act&lt;_xlpm.ant,0.08,IF(_xlpm.act&gt;_xlpm.ant,-0.08,0)),_xlpm.ajcli,IF(T158&lt;0.95,-0.06,0),_xlpm.prob,MAX(0,MIN(1,_xlpm.prog+_xlpm.ajmov+_xlpm.ajcli)),IF(OR(V158="DIAMANTE",V158="CERRADO"),0,ROUND(_xlpm.prob,2)))</f>
        <v>0.42</v>
      </c>
      <c r="AK158" t="str">
        <f t="shared" si="60"/>
        <v>Faltan 5,1 puntos base para subir a la siguiente categoría</v>
      </c>
      <c r="AL158" t="str">
        <f t="shared" si="61"/>
        <v>Margen de seguridad: 4,0 puntos</v>
      </c>
      <c r="AM158">
        <f t="shared" si="62"/>
        <v>0.44</v>
      </c>
      <c r="AN158" t="str">
        <f t="shared" si="63"/>
        <v>PRIORIDAD MEDIA – seguimiento del asesor</v>
      </c>
      <c r="AO158">
        <f t="shared" si="64"/>
        <v>19.268643928328402</v>
      </c>
      <c r="AP158">
        <f t="shared" si="65"/>
        <v>0</v>
      </c>
      <c r="AQ158">
        <f t="shared" si="66"/>
        <v>0</v>
      </c>
      <c r="AR158">
        <f t="shared" si="67"/>
        <v>0.10999999999999961</v>
      </c>
      <c r="AS158">
        <f t="shared" si="68"/>
        <v>0</v>
      </c>
      <c r="AT158" t="str">
        <f t="shared" si="69"/>
        <v>VENTAS</v>
      </c>
      <c r="AU158">
        <f t="shared" si="70"/>
        <v>19.268643928328402</v>
      </c>
      <c r="AV158" t="str">
        <f t="shared" si="71"/>
        <v>Mayor retorno probable: VENTAS (+19,3 puntos finales potenciales).</v>
      </c>
    </row>
    <row r="159" spans="1:48" x14ac:dyDescent="0.3">
      <c r="A159" s="5">
        <v>51018591</v>
      </c>
      <c r="B159" s="5" t="str">
        <f>IFERROR(VLOOKUP(A159,VENTAS!$A$2:$B$1194,2,0),"")</f>
        <v>ARGUELLO</v>
      </c>
      <c r="C159" s="5">
        <f>IFERROR(INDEX(VENTAS!$C$2:$E$1194,MATCH(A159,VENTAS!$A$2:$A$1194,0),MATCH(PARAMS_MODELO!$B$2,{"Q1","Q2","Q3"},0)),0)</f>
        <v>106213795.03</v>
      </c>
      <c r="D159" s="5">
        <f>IFERROR(INDEX(VENTAS!$F$2:$H$1194,MATCH(A159,VENTAS!$A$2:$A$1194,0),MATCH(PARAMS_MODELO!$B$2,{"Q1","Q2","Q3"},0)),0)</f>
        <v>135776960</v>
      </c>
      <c r="E159" s="8">
        <f t="shared" si="48"/>
        <v>0.27833639652598707</v>
      </c>
      <c r="F159" s="12">
        <f>IF(E159&lt;=PARAMS_MODELO!$B$15,0,IF(E159&gt;=PARAMS_MODELO!$B$17,100,100*MIN(1,(E159-PARAMS_MODELO!$B$15)/(PARAMS_MODELO!$B$16-PARAMS_MODELO!$B$15))))*PARAMS_MODELO!$B$7</f>
        <v>35</v>
      </c>
      <c r="G159" s="5">
        <f t="shared" si="49"/>
        <v>29563164.969999999</v>
      </c>
      <c r="H159" s="5">
        <f>(PARAMS_MODELO!$B$20*(MAX(0,MIN(3,E159))/3)+PARAMS_MODELO!$B$21*(IFERROR(LN(1+MAX(0,G159))/LN(1+MAX(0,MAX($G$2:$G$1194))),0)))*100*PARAMS_MODELO!$B$8</f>
        <v>5.0065756579980354</v>
      </c>
      <c r="I159" s="8">
        <f>E159-PARAMS_MODELO!$B$5</f>
        <v>0.10077356115046054</v>
      </c>
      <c r="J159" s="5">
        <f>IF(I159&lt;=PARAMS_MODELO!$B$18,0,IF(I159&gt;=PARAMS_MODELO!$B$19,100,100*(I159-PARAMS_MODELO!$B$18)/(PARAMS_MODELO!$B$19-PARAMS_MODELO!$B$18)))*PARAMS_MODELO!$B$9</f>
        <v>15</v>
      </c>
      <c r="K159" s="5">
        <f>IFERROR(CHOOSE(MATCH(PARAMS_MODELO!$B$2,{"Q1","Q2","Q3"},0),LOTO!$D159,LOTO!$F159,LOTO!$H159),0)</f>
        <v>6790000</v>
      </c>
      <c r="L159" s="8">
        <f t="shared" si="50"/>
        <v>5.0008484502819917E-2</v>
      </c>
      <c r="M159" s="5">
        <f>MIN(100,IF(PARAMS_MODELO!$B$23=0,0,100*L159/PARAMS_MODELO!$B$23))*PARAMS_MODELO!$B$10</f>
        <v>15</v>
      </c>
      <c r="N159" s="5">
        <f>IFERROR(VLOOKUP(A159,COMPLIANCE!$A$2:$F$1996,6,0),100)</f>
        <v>99.6</v>
      </c>
      <c r="O159" s="5">
        <f>N159*PARAMS_MODELO!$B$11</f>
        <v>9.9600000000000009</v>
      </c>
      <c r="P159" s="5">
        <f>IFERROR(VLOOKUP(A159,DIGITAL!$A$2:$J$2000,7,0),100)</f>
        <v>93</v>
      </c>
      <c r="Q159" s="5">
        <f>IFERROR(P159,0)*PARAMS_MODELO!$B$12</f>
        <v>9.3000000000000007</v>
      </c>
      <c r="R159">
        <f t="shared" si="51"/>
        <v>89.266575657998047</v>
      </c>
      <c r="S159" s="5" t="str">
        <f>IFERROR(VLOOKUP(A159,CLIENTE!$A$2:$N$2000,13,0),1)</f>
        <v>Regular</v>
      </c>
      <c r="T159" s="5">
        <f>IFERROR(VLOOKUP(A159,CLIENTE!$A$2:$N$2000,14,0),1)</f>
        <v>1</v>
      </c>
      <c r="U159" s="5">
        <f t="shared" si="52"/>
        <v>89.266575657998047</v>
      </c>
      <c r="V159" s="5" t="str">
        <f>IF(U159&gt;=MAX(_xlfn.PERCENTILE.INC($U$2:$U$1194,PARAMS_MODELO!$B$50),PARAMS_MODELO!$B$45),"DIAMANTE",IF(U159&gt;=MAX(_xlfn.PERCENTILE.INC($U$2:$U$1194,PARAMS_MODELO!$B$51),PARAMS_MODELO!$B$46),"PLATINO",IF(U159&gt;=MAX(_xlfn.PERCENTILE.INC($U$2:$U$1194,PARAMS_MODELO!$B$52),PARAMS_MODELO!$B$47),"ORO",IF(U159&gt;=MAX(_xlfn.PERCENTILE.INC($U$2:$U$1194,PARAMS_MODELO!$B$53),PARAMS_MODELO!$B$48),"PLATA",IF(U159&gt;=1,"BRONCE","CERRADO")))))</f>
        <v>PLATINO</v>
      </c>
      <c r="W159" s="5" t="str" cm="1">
        <f t="array" ref="W159">_xlfn.XLOOKUP(1, (HIST_SCORE!$B:$B=PARAMS_MODELO!$B$4) * (HIST_SCORE!$C:$C=A159), HIST_SCORE!$E:$E, "No encontrado")</f>
        <v>ORO</v>
      </c>
      <c r="X159" s="5" t="str">
        <f>_xlfn.LET(_xlpm.act,MATCH(V159,{"DIAMANTE";"PLATINO";"ORO";"PLATA";"BRONCE";"CERRADO"},0),_xlpm.ant,MATCH(W159,{"DIAMANTE";"PLATINO";"ORO";"PLATA";"BRONCE";"CERRADO"},0),IF(_xlpm.act&lt;_xlpm.ant,"Mejora ↑",IF(_xlpm.act&gt;_xlpm.ant,"Baja ↓","Estable →")))</f>
        <v>Mejora ↑</v>
      </c>
      <c r="Y159" s="5">
        <f>IFERROR(U159-SUMIFS(HIST_SCORE!$D:$D,HIST_SCORE!$B:$B,PARAMS_MODELO!$B$4,HIST_SCORE!$C:$C,$A159),"")</f>
        <v>15.719795689342533</v>
      </c>
      <c r="Z159" s="5" t="str">
        <f t="shared" si="53"/>
        <v>↑ Mejora</v>
      </c>
      <c r="AA159" s="5">
        <f t="shared" si="54"/>
        <v>158</v>
      </c>
      <c r="AB159" s="5">
        <f>IFERROR(SUMIFS(HIST_SCORE!$F:$F,HIST_SCORE!$B:$B,PARAMS_MODELO!$B$4,HIST_SCORE!$C:$C,$A159),"")</f>
        <v>505</v>
      </c>
      <c r="AC159" s="5">
        <f t="shared" si="55"/>
        <v>347</v>
      </c>
      <c r="AD159" t="str">
        <f t="shared" si="57"/>
        <v/>
      </c>
      <c r="AE1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159="CERRADO",1,IF(V159="BRONCE",_xlpm.cPl,IF(V159="PLATA",_xlpm.cO,IF(V159="ORO",_xlpm.cP,IF(V159="PLATINO",_xlpm.cD,999))))))</f>
        <v>96.054919694466676</v>
      </c>
      <c r="AF1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159="CERRADO",0,IF(V159="BRONCE",1,IF(V159="PLATA",_xlpm.cPl,IF(V159="ORO",_xlpm.cO,IF(V159="PLATINO",_xlpm.cP,_xlpm.cD))))))</f>
        <v>86.439123873763251</v>
      </c>
      <c r="AG159">
        <f t="shared" si="58"/>
        <v>6.7883440364686294</v>
      </c>
      <c r="AH159" t="str">
        <f t="shared" si="59"/>
        <v>VENTAS</v>
      </c>
      <c r="AI159" t="str">
        <f t="shared" si="56"/>
        <v>🎯 Para subir de categoría, eje VENTAS / IMPACTO ABSOLUTO (H). Acción: metas semanales + activación comercial + seguimiento del asesor. ΔR aprox: 6,8</v>
      </c>
      <c r="AJ159" s="26">
        <f>_xlfn.LET(_xlpm.piso,AF159,_xlpm.corte,AE159,_xlpm.prog,IF(_xlpm.corte&lt;=_xlpm.piso,0,MAX(0,MIN(1,(U159-_xlpm.piso)/(_xlpm.corte-_xlpm.piso)))),_xlpm.orden,{"DIAMANTE";"PLATINO";"ORO";"PLATA";"BRONCE";"CERRADO"},_xlpm.act,IFERROR(MATCH(V159,_xlpm.orden,0),6),_xlpm.ant,IFERROR(MATCH(W159,_xlpm.orden,0),6),_xlpm.ajmov,IF(_xlpm.act&lt;_xlpm.ant,0.08,IF(_xlpm.act&gt;_xlpm.ant,-0.08,0)),_xlpm.ajcli,IF(T159&lt;0.95,-0.06,0),_xlpm.prob,MAX(0,MIN(1,_xlpm.prog+_xlpm.ajmov+_xlpm.ajcli)),IF(OR(V159="DIAMANTE",V159="CERRADO"),0,ROUND(_xlpm.prob,2)))</f>
        <v>0.37</v>
      </c>
      <c r="AK159" t="str">
        <f t="shared" si="60"/>
        <v>Faltan 6,8 puntos base para subir a la siguiente categoría</v>
      </c>
      <c r="AL159" t="str">
        <f t="shared" si="61"/>
        <v>Margen de seguridad: 2,8 puntos</v>
      </c>
      <c r="AM159">
        <f t="shared" si="62"/>
        <v>0.52</v>
      </c>
      <c r="AN159" t="str">
        <f t="shared" si="63"/>
        <v>PRIORIDAD MEDIA – seguimiento del asesor</v>
      </c>
      <c r="AO159">
        <f t="shared" si="64"/>
        <v>9.8559936172975497</v>
      </c>
      <c r="AP159">
        <f t="shared" si="65"/>
        <v>0</v>
      </c>
      <c r="AQ159">
        <f t="shared" si="66"/>
        <v>3.9999999999999147E-2</v>
      </c>
      <c r="AR159">
        <f t="shared" si="67"/>
        <v>0.69999999999999929</v>
      </c>
      <c r="AS159">
        <f t="shared" si="68"/>
        <v>0</v>
      </c>
      <c r="AT159" t="str">
        <f t="shared" si="69"/>
        <v>VENTAS</v>
      </c>
      <c r="AU159">
        <f t="shared" si="70"/>
        <v>9.8559936172975497</v>
      </c>
      <c r="AV159" t="str">
        <f t="shared" si="71"/>
        <v>Mayor retorno probable: VENTAS (+9,9 puntos finales potenciales).</v>
      </c>
    </row>
    <row r="160" spans="1:48" x14ac:dyDescent="0.3">
      <c r="A160" s="5">
        <v>51023471</v>
      </c>
      <c r="B160" s="5" t="str">
        <f>IFERROR(VLOOKUP(A160,VENTAS!$A$2:$B$1194,2,0),"")</f>
        <v>BELUZZO</v>
      </c>
      <c r="C160" s="5">
        <f>IFERROR(INDEX(VENTAS!$C$2:$E$1194,MATCH(A160,VENTAS!$A$2:$A$1194,0),MATCH(PARAMS_MODELO!$B$2,{"Q1","Q2","Q3"},0)),0)</f>
        <v>85689637.859999999</v>
      </c>
      <c r="D160" s="5">
        <f>IFERROR(INDEX(VENTAS!$F$2:$H$1194,MATCH(A160,VENTAS!$A$2:$A$1194,0),MATCH(PARAMS_MODELO!$B$2,{"Q1","Q2","Q3"},0)),0)</f>
        <v>135716141</v>
      </c>
      <c r="E160" s="8">
        <f t="shared" si="48"/>
        <v>0.58381041616412777</v>
      </c>
      <c r="F160" s="12">
        <f>IF(E160&lt;=PARAMS_MODELO!$B$15,0,IF(E160&gt;=PARAMS_MODELO!$B$17,100,100*MIN(1,(E160-PARAMS_MODELO!$B$15)/(PARAMS_MODELO!$B$16-PARAMS_MODELO!$B$15))))*PARAMS_MODELO!$B$7</f>
        <v>35</v>
      </c>
      <c r="G160" s="5">
        <f t="shared" si="49"/>
        <v>50026503.140000001</v>
      </c>
      <c r="H160" s="5">
        <f>(PARAMS_MODELO!$B$20*(MAX(0,MIN(3,E160))/3)+PARAMS_MODELO!$B$21*(IFERROR(LN(1+MAX(0,G160))/LN(1+MAX(0,MAX($G$2:$G$1194))),0)))*100*PARAMS_MODELO!$B$8</f>
        <v>6.1990420383863611</v>
      </c>
      <c r="I160" s="8">
        <f>E160-PARAMS_MODELO!$B$5</f>
        <v>0.40624758078860124</v>
      </c>
      <c r="J160" s="5">
        <f>IF(I160&lt;=PARAMS_MODELO!$B$18,0,IF(I160&gt;=PARAMS_MODELO!$B$19,100,100*(I160-PARAMS_MODELO!$B$18)/(PARAMS_MODELO!$B$19-PARAMS_MODELO!$B$18)))*PARAMS_MODELO!$B$9</f>
        <v>15</v>
      </c>
      <c r="K160" s="5">
        <f>IFERROR(CHOOSE(MATCH(PARAMS_MODELO!$B$2,{"Q1","Q2","Q3"},0),LOTO!$D160,LOTO!$F160,LOTO!$H160),0)</f>
        <v>6787500</v>
      </c>
      <c r="L160" s="8">
        <f t="shared" si="50"/>
        <v>5.0012474197892204E-2</v>
      </c>
      <c r="M160" s="5">
        <f>MIN(100,IF(PARAMS_MODELO!$B$23=0,0,100*L160/PARAMS_MODELO!$B$23))*PARAMS_MODELO!$B$10</f>
        <v>15</v>
      </c>
      <c r="N160" s="5">
        <f>IFERROR(VLOOKUP(A160,COMPLIANCE!$A$2:$F$1996,6,0),100)</f>
        <v>100</v>
      </c>
      <c r="O160" s="5">
        <f>N160*PARAMS_MODELO!$B$11</f>
        <v>10</v>
      </c>
      <c r="P160" s="5">
        <f>IFERROR(VLOOKUP(A160,DIGITAL!$A$2:$J$2000,7,0),100)</f>
        <v>71</v>
      </c>
      <c r="Q160" s="5">
        <f>IFERROR(P160,0)*PARAMS_MODELO!$B$12</f>
        <v>7.1000000000000005</v>
      </c>
      <c r="R160">
        <f t="shared" si="51"/>
        <v>88.299042038386347</v>
      </c>
      <c r="S160" s="5" t="str">
        <f>IFERROR(VLOOKUP(A160,CLIENTE!$A$2:$N$2000,13,0),1)</f>
        <v>Regular</v>
      </c>
      <c r="T160" s="5">
        <f>IFERROR(VLOOKUP(A160,CLIENTE!$A$2:$N$2000,14,0),1)</f>
        <v>1</v>
      </c>
      <c r="U160" s="5">
        <f t="shared" si="52"/>
        <v>88.299042038386347</v>
      </c>
      <c r="V160" s="5" t="str">
        <f>IF(U160&gt;=MAX(_xlfn.PERCENTILE.INC($U$2:$U$1194,PARAMS_MODELO!$B$50),PARAMS_MODELO!$B$45),"DIAMANTE",IF(U160&gt;=MAX(_xlfn.PERCENTILE.INC($U$2:$U$1194,PARAMS_MODELO!$B$51),PARAMS_MODELO!$B$46),"PLATINO",IF(U160&gt;=MAX(_xlfn.PERCENTILE.INC($U$2:$U$1194,PARAMS_MODELO!$B$52),PARAMS_MODELO!$B$47),"ORO",IF(U160&gt;=MAX(_xlfn.PERCENTILE.INC($U$2:$U$1194,PARAMS_MODELO!$B$53),PARAMS_MODELO!$B$48),"PLATA",IF(U160&gt;=1,"BRONCE","CERRADO")))))</f>
        <v>PLATINO</v>
      </c>
      <c r="W160" s="5" t="str" cm="1">
        <f t="array" ref="W160">_xlfn.XLOOKUP(1, (HIST_SCORE!$B:$B=PARAMS_MODELO!$B$4) * (HIST_SCORE!$C:$C=A160), HIST_SCORE!$E:$E, "No encontrado")</f>
        <v>PLATINO</v>
      </c>
      <c r="X160" s="5" t="str">
        <f>_xlfn.LET(_xlpm.act,MATCH(V160,{"DIAMANTE";"PLATINO";"ORO";"PLATA";"BRONCE";"CERRADO"},0),_xlpm.ant,MATCH(W160,{"DIAMANTE";"PLATINO";"ORO";"PLATA";"BRONCE";"CERRADO"},0),IF(_xlpm.act&lt;_xlpm.ant,"Mejora ↑",IF(_xlpm.act&gt;_xlpm.ant,"Baja ↓","Estable →")))</f>
        <v>Estable →</v>
      </c>
      <c r="Y160" s="5">
        <f>IFERROR(U160-SUMIFS(HIST_SCORE!$D:$D,HIST_SCORE!$B:$B,PARAMS_MODELO!$B$4,HIST_SCORE!$C:$C,$A160),"")</f>
        <v>1.5301436912514674</v>
      </c>
      <c r="Z160" s="5" t="str">
        <f t="shared" si="53"/>
        <v>→ Estable</v>
      </c>
      <c r="AA160" s="5">
        <f t="shared" si="54"/>
        <v>189</v>
      </c>
      <c r="AB160" s="5">
        <f>IFERROR(SUMIFS(HIST_SCORE!$F:$F,HIST_SCORE!$B:$B,PARAMS_MODELO!$B$4,HIST_SCORE!$C:$C,$A160),"")</f>
        <v>207</v>
      </c>
      <c r="AC160" s="5">
        <f t="shared" si="55"/>
        <v>18</v>
      </c>
      <c r="AD160" t="str">
        <f t="shared" si="57"/>
        <v/>
      </c>
      <c r="AE1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160="CERRADO",1,IF(V160="BRONCE",_xlpm.cPl,IF(V160="PLATA",_xlpm.cO,IF(V160="ORO",_xlpm.cP,IF(V160="PLATINO",_xlpm.cD,999))))))</f>
        <v>96.054919694466676</v>
      </c>
      <c r="AF1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160="CERRADO",0,IF(V160="BRONCE",1,IF(V160="PLATA",_xlpm.cPl,IF(V160="ORO",_xlpm.cO,IF(V160="PLATINO",_xlpm.cP,_xlpm.cD))))))</f>
        <v>86.439123873763251</v>
      </c>
      <c r="AG160">
        <f t="shared" si="58"/>
        <v>7.7558776560803295</v>
      </c>
      <c r="AH160" t="str">
        <f t="shared" si="59"/>
        <v>VENTAS</v>
      </c>
      <c r="AI160" t="str">
        <f t="shared" si="56"/>
        <v>🎯 Para subir de categoría, eje VENTAS / IMPACTO ABSOLUTO (H). Acción: metas semanales + activación comercial + seguimiento del asesor. ΔR aprox: 7,8</v>
      </c>
      <c r="AJ160" s="26">
        <f>_xlfn.LET(_xlpm.piso,AF160,_xlpm.corte,AE160,_xlpm.prog,IF(_xlpm.corte&lt;=_xlpm.piso,0,MAX(0,MIN(1,(U160-_xlpm.piso)/(_xlpm.corte-_xlpm.piso)))),_xlpm.orden,{"DIAMANTE";"PLATINO";"ORO";"PLATA";"BRONCE";"CERRADO"},_xlpm.act,IFERROR(MATCH(V160,_xlpm.orden,0),6),_xlpm.ant,IFERROR(MATCH(W160,_xlpm.orden,0),6),_xlpm.ajmov,IF(_xlpm.act&lt;_xlpm.ant,0.08,IF(_xlpm.act&gt;_xlpm.ant,-0.08,0)),_xlpm.ajcli,IF(T160&lt;0.95,-0.06,0),_xlpm.prob,MAX(0,MIN(1,_xlpm.prog+_xlpm.ajmov+_xlpm.ajcli)),IF(OR(V160="DIAMANTE",V160="CERRADO"),0,ROUND(_xlpm.prob,2)))</f>
        <v>0.19</v>
      </c>
      <c r="AK160" t="str">
        <f t="shared" si="60"/>
        <v>Faltan 7,8 puntos base para subir a la siguiente categoría</v>
      </c>
      <c r="AL160" t="str">
        <f t="shared" si="61"/>
        <v>Margen de seguridad: 1,9 puntos</v>
      </c>
      <c r="AM160">
        <f t="shared" si="62"/>
        <v>0.63</v>
      </c>
      <c r="AN160" t="str">
        <f t="shared" si="63"/>
        <v>PRIORIDAD MEDIA – seguimiento del asesor</v>
      </c>
      <c r="AO160">
        <f t="shared" si="64"/>
        <v>8.6635272369092249</v>
      </c>
      <c r="AP160">
        <f t="shared" si="65"/>
        <v>0</v>
      </c>
      <c r="AQ160">
        <f t="shared" si="66"/>
        <v>0</v>
      </c>
      <c r="AR160">
        <f t="shared" si="67"/>
        <v>2.8999999999999995</v>
      </c>
      <c r="AS160">
        <f t="shared" si="68"/>
        <v>0</v>
      </c>
      <c r="AT160" t="str">
        <f t="shared" si="69"/>
        <v>VENTAS</v>
      </c>
      <c r="AU160">
        <f t="shared" si="70"/>
        <v>8.6635272369092249</v>
      </c>
      <c r="AV160" t="str">
        <f t="shared" si="71"/>
        <v>Mayor retorno probable: VENTAS (+8,7 puntos finales potenciales).</v>
      </c>
    </row>
    <row r="161" spans="1:48" x14ac:dyDescent="0.3">
      <c r="A161" s="5">
        <v>51031393</v>
      </c>
      <c r="B161" s="5" t="str">
        <f>IFERROR(VLOOKUP(A161,VENTAS!$A$2:$B$1194,2,0),"")</f>
        <v>PUGH</v>
      </c>
      <c r="C161" s="5">
        <f>IFERROR(INDEX(VENTAS!$C$2:$E$1194,MATCH(A161,VENTAS!$A$2:$A$1194,0),MATCH(PARAMS_MODELO!$B$2,{"Q1","Q2","Q3"},0)),0)</f>
        <v>112797548.05</v>
      </c>
      <c r="D161" s="5">
        <f>IFERROR(INDEX(VENTAS!$F$2:$H$1194,MATCH(A161,VENTAS!$A$2:$A$1194,0),MATCH(PARAMS_MODELO!$B$2,{"Q1","Q2","Q3"},0)),0)</f>
        <v>135498416</v>
      </c>
      <c r="E161" s="8">
        <f t="shared" si="48"/>
        <v>0.2012532040141275</v>
      </c>
      <c r="F161" s="12">
        <f>IF(E161&lt;=PARAMS_MODELO!$B$15,0,IF(E161&gt;=PARAMS_MODELO!$B$17,100,100*MIN(1,(E161-PARAMS_MODELO!$B$15)/(PARAMS_MODELO!$B$16-PARAMS_MODELO!$B$15))))*PARAMS_MODELO!$B$7</f>
        <v>35</v>
      </c>
      <c r="G161" s="5">
        <f t="shared" si="49"/>
        <v>22700867.950000003</v>
      </c>
      <c r="H161" s="5">
        <f>(PARAMS_MODELO!$B$20*(MAX(0,MIN(3,E161))/3)+PARAMS_MODELO!$B$21*(IFERROR(LN(1+MAX(0,G161))/LN(1+MAX(0,MAX($G$2:$G$1194))),0)))*100*PARAMS_MODELO!$B$8</f>
        <v>4.674869664760406</v>
      </c>
      <c r="I161" s="8">
        <f>E161-PARAMS_MODELO!$B$5</f>
        <v>2.3690368638600967E-2</v>
      </c>
      <c r="J161" s="5">
        <f>IF(I161&lt;=PARAMS_MODELO!$B$18,0,IF(I161&gt;=PARAMS_MODELO!$B$19,100,100*(I161-PARAMS_MODELO!$B$18)/(PARAMS_MODELO!$B$19-PARAMS_MODELO!$B$18)))*PARAMS_MODELO!$B$9</f>
        <v>11.053555295790144</v>
      </c>
      <c r="K161" s="5">
        <f>IFERROR(CHOOSE(MATCH(PARAMS_MODELO!$B$2,{"Q1","Q2","Q3"},0),LOTO!$D161,LOTO!$F161,LOTO!$H161),0)</f>
        <v>6750000</v>
      </c>
      <c r="L161" s="8">
        <f t="shared" si="50"/>
        <v>4.9816080506800905E-2</v>
      </c>
      <c r="M161" s="5">
        <f>MIN(100,IF(PARAMS_MODELO!$B$23=0,0,100*L161/PARAMS_MODELO!$B$23))*PARAMS_MODELO!$B$10</f>
        <v>14.944824152040272</v>
      </c>
      <c r="N161" s="5">
        <f>IFERROR(VLOOKUP(A161,COMPLIANCE!$A$2:$F$1996,6,0),100)</f>
        <v>100</v>
      </c>
      <c r="O161" s="5">
        <f>N161*PARAMS_MODELO!$B$11</f>
        <v>10</v>
      </c>
      <c r="P161" s="5">
        <f>IFERROR(VLOOKUP(A161,DIGITAL!$A$2:$J$2000,7,0),100)</f>
        <v>59</v>
      </c>
      <c r="Q161" s="5">
        <f>IFERROR(P161,0)*PARAMS_MODELO!$B$12</f>
        <v>5.9</v>
      </c>
      <c r="R161">
        <f t="shared" si="51"/>
        <v>81.57324911259083</v>
      </c>
      <c r="S161" s="5" t="str">
        <f>IFERROR(VLOOKUP(A161,CLIENTE!$A$2:$N$2000,13,0),1)</f>
        <v>Muy Bueno</v>
      </c>
      <c r="T161" s="5">
        <f>IFERROR(VLOOKUP(A161,CLIENTE!$A$2:$N$2000,14,0),1)</f>
        <v>1.1499999999999999</v>
      </c>
      <c r="U161" s="5">
        <f t="shared" si="52"/>
        <v>93.809236479479452</v>
      </c>
      <c r="V161" s="5" t="str">
        <f>IF(U161&gt;=MAX(_xlfn.PERCENTILE.INC($U$2:$U$1194,PARAMS_MODELO!$B$50),PARAMS_MODELO!$B$45),"DIAMANTE",IF(U161&gt;=MAX(_xlfn.PERCENTILE.INC($U$2:$U$1194,PARAMS_MODELO!$B$51),PARAMS_MODELO!$B$46),"PLATINO",IF(U161&gt;=MAX(_xlfn.PERCENTILE.INC($U$2:$U$1194,PARAMS_MODELO!$B$52),PARAMS_MODELO!$B$47),"ORO",IF(U161&gt;=MAX(_xlfn.PERCENTILE.INC($U$2:$U$1194,PARAMS_MODELO!$B$53),PARAMS_MODELO!$B$48),"PLATA",IF(U161&gt;=1,"BRONCE","CERRADO")))))</f>
        <v>PLATINO</v>
      </c>
      <c r="W161" s="5" t="str" cm="1">
        <f t="array" ref="W161">_xlfn.XLOOKUP(1, (HIST_SCORE!$B:$B=PARAMS_MODELO!$B$4) * (HIST_SCORE!$C:$C=A161), HIST_SCORE!$E:$E, "No encontrado")</f>
        <v>DIAMANTE</v>
      </c>
      <c r="X161" s="5" t="str">
        <f>_xlfn.LET(_xlpm.act,MATCH(V161,{"DIAMANTE";"PLATINO";"ORO";"PLATA";"BRONCE";"CERRADO"},0),_xlpm.ant,MATCH(W161,{"DIAMANTE";"PLATINO";"ORO";"PLATA";"BRONCE";"CERRADO"},0),IF(_xlpm.act&lt;_xlpm.ant,"Mejora ↑",IF(_xlpm.act&gt;_xlpm.ant,"Baja ↓","Estable →")))</f>
        <v>Baja ↓</v>
      </c>
      <c r="Y161" s="5">
        <f>IFERROR(U161-SUMIFS(HIST_SCORE!$D:$D,HIST_SCORE!$B:$B,PARAMS_MODELO!$B$4,HIST_SCORE!$C:$C,$A161),"")</f>
        <v>-6.190763520520548</v>
      </c>
      <c r="Z161" s="5" t="str">
        <f t="shared" si="53"/>
        <v>↓ Baja</v>
      </c>
      <c r="AA161" s="5">
        <f t="shared" si="54"/>
        <v>79</v>
      </c>
      <c r="AB161" s="5">
        <f>IFERROR(SUMIFS(HIST_SCORE!$F:$F,HIST_SCORE!$B:$B,PARAMS_MODELO!$B$4,HIST_SCORE!$C:$C,$A161),"")</f>
        <v>1</v>
      </c>
      <c r="AC161" s="5">
        <f t="shared" si="55"/>
        <v>-78</v>
      </c>
      <c r="AD161" t="str">
        <f t="shared" si="57"/>
        <v/>
      </c>
      <c r="AE1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161="CERRADO",1,IF(V161="BRONCE",_xlpm.cPl,IF(V161="PLATA",_xlpm.cO,IF(V161="ORO",_xlpm.cP,IF(V161="PLATINO",_xlpm.cD,999))))))</f>
        <v>96.054919694466676</v>
      </c>
      <c r="AF1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161="CERRADO",0,IF(V161="BRONCE",1,IF(V161="PLATA",_xlpm.cPl,IF(V161="ORO",_xlpm.cO,IF(V161="PLATINO",_xlpm.cP,_xlpm.cD))))))</f>
        <v>86.439123873763251</v>
      </c>
      <c r="AG161">
        <f t="shared" si="58"/>
        <v>1.9527680130323688</v>
      </c>
      <c r="AH161" t="str">
        <f t="shared" si="59"/>
        <v>VENTAS</v>
      </c>
      <c r="AI161" t="str">
        <f t="shared" si="56"/>
        <v>🎯 Para subir de categoría, eje VENTAS / IMPACTO ABSOLUTO (H). Acción: metas semanales + activación comercial + seguimiento del asesor. ΔR aprox: 2,0</v>
      </c>
      <c r="AJ161" s="26">
        <f>_xlfn.LET(_xlpm.piso,AF161,_xlpm.corte,AE161,_xlpm.prog,IF(_xlpm.corte&lt;=_xlpm.piso,0,MAX(0,MIN(1,(U161-_xlpm.piso)/(_xlpm.corte-_xlpm.piso)))),_xlpm.orden,{"DIAMANTE";"PLATINO";"ORO";"PLATA";"BRONCE";"CERRADO"},_xlpm.act,IFERROR(MATCH(V161,_xlpm.orden,0),6),_xlpm.ant,IFERROR(MATCH(W161,_xlpm.orden,0),6),_xlpm.ajmov,IF(_xlpm.act&lt;_xlpm.ant,0.08,IF(_xlpm.act&gt;_xlpm.ant,-0.08,0)),_xlpm.ajcli,IF(T161&lt;0.95,-0.06,0),_xlpm.prob,MAX(0,MIN(1,_xlpm.prog+_xlpm.ajmov+_xlpm.ajcli)),IF(OR(V161="DIAMANTE",V161="CERRADO"),0,ROUND(_xlpm.prob,2)))</f>
        <v>0.69</v>
      </c>
      <c r="AK161" t="str">
        <f t="shared" si="60"/>
        <v>Faltan 2,0 puntos base para subir a la siguiente categoría</v>
      </c>
      <c r="AL161" t="str">
        <f t="shared" si="61"/>
        <v>Margen de seguridad: 7,4 puntos</v>
      </c>
      <c r="AM161">
        <f t="shared" si="62"/>
        <v>0.2</v>
      </c>
      <c r="AN161" t="str">
        <f t="shared" si="63"/>
        <v>PRIORIDAD BAJA – control normal</v>
      </c>
      <c r="AO161">
        <f t="shared" si="64"/>
        <v>16.254265961956783</v>
      </c>
      <c r="AP161">
        <f t="shared" si="65"/>
        <v>6.3452225153686648E-2</v>
      </c>
      <c r="AQ161">
        <f t="shared" si="66"/>
        <v>0</v>
      </c>
      <c r="AR161">
        <f t="shared" si="67"/>
        <v>4.714999999999999</v>
      </c>
      <c r="AS161">
        <f t="shared" si="68"/>
        <v>0</v>
      </c>
      <c r="AT161" t="str">
        <f t="shared" si="69"/>
        <v>VENTAS</v>
      </c>
      <c r="AU161">
        <f t="shared" si="70"/>
        <v>16.254265961956783</v>
      </c>
      <c r="AV161" t="str">
        <f t="shared" si="71"/>
        <v>Mayor retorno probable: VENTAS (+16,3 puntos finales potenciales).</v>
      </c>
    </row>
    <row r="162" spans="1:48" x14ac:dyDescent="0.3">
      <c r="A162" s="5">
        <v>51025971</v>
      </c>
      <c r="B162" s="5" t="str">
        <f>IFERROR(VLOOKUP(A162,VENTAS!$A$2:$B$1194,2,0),"")</f>
        <v>LÓPEZ</v>
      </c>
      <c r="C162" s="5">
        <f>IFERROR(INDEX(VENTAS!$C$2:$E$1194,MATCH(A162,VENTAS!$A$2:$A$1194,0),MATCH(PARAMS_MODELO!$B$2,{"Q1","Q2","Q3"},0)),0)</f>
        <v>92668783.050000012</v>
      </c>
      <c r="D162" s="5">
        <f>IFERROR(INDEX(VENTAS!$F$2:$H$1194,MATCH(A162,VENTAS!$A$2:$A$1194,0),MATCH(PARAMS_MODELO!$B$2,{"Q1","Q2","Q3"},0)),0)</f>
        <v>135348680</v>
      </c>
      <c r="E162" s="8">
        <f t="shared" si="48"/>
        <v>0.46056390885128806</v>
      </c>
      <c r="F162" s="12">
        <f>IF(E162&lt;=PARAMS_MODELO!$B$15,0,IF(E162&gt;=PARAMS_MODELO!$B$17,100,100*MIN(1,(E162-PARAMS_MODELO!$B$15)/(PARAMS_MODELO!$B$16-PARAMS_MODELO!$B$15))))*PARAMS_MODELO!$B$7</f>
        <v>35</v>
      </c>
      <c r="G162" s="5">
        <f t="shared" si="49"/>
        <v>42679896.949999988</v>
      </c>
      <c r="H162" s="5">
        <f>(PARAMS_MODELO!$B$20*(MAX(0,MIN(3,E162))/3)+PARAMS_MODELO!$B$21*(IFERROR(LN(1+MAX(0,G162))/LN(1+MAX(0,MAX($G$2:$G$1194))),0)))*100*PARAMS_MODELO!$B$8</f>
        <v>5.7304484860182381</v>
      </c>
      <c r="I162" s="8">
        <f>E162-PARAMS_MODELO!$B$5</f>
        <v>0.28300107347576153</v>
      </c>
      <c r="J162" s="5">
        <f>IF(I162&lt;=PARAMS_MODELO!$B$18,0,IF(I162&gt;=PARAMS_MODELO!$B$19,100,100*(I162-PARAMS_MODELO!$B$18)/(PARAMS_MODELO!$B$19-PARAMS_MODELO!$B$18)))*PARAMS_MODELO!$B$9</f>
        <v>15</v>
      </c>
      <c r="K162" s="5">
        <f>IFERROR(CHOOSE(MATCH(PARAMS_MODELO!$B$2,{"Q1","Q2","Q3"},0),LOTO!$D162,LOTO!$F162,LOTO!$H162),0)</f>
        <v>6725000</v>
      </c>
      <c r="L162" s="8">
        <f t="shared" si="50"/>
        <v>4.9686483828287061E-2</v>
      </c>
      <c r="M162" s="5">
        <f>MIN(100,IF(PARAMS_MODELO!$B$23=0,0,100*L162/PARAMS_MODELO!$B$23))*PARAMS_MODELO!$B$10</f>
        <v>14.905945148486117</v>
      </c>
      <c r="N162" s="5">
        <f>IFERROR(VLOOKUP(A162,COMPLIANCE!$A$2:$F$1996,6,0),100)</f>
        <v>99.98</v>
      </c>
      <c r="O162" s="5">
        <f>N162*PARAMS_MODELO!$B$11</f>
        <v>9.9980000000000011</v>
      </c>
      <c r="P162" s="5">
        <f>IFERROR(VLOOKUP(A162,DIGITAL!$A$2:$J$2000,7,0),100)</f>
        <v>58</v>
      </c>
      <c r="Q162" s="5">
        <f>IFERROR(P162,0)*PARAMS_MODELO!$B$12</f>
        <v>5.8000000000000007</v>
      </c>
      <c r="R162">
        <f t="shared" si="51"/>
        <v>86.43439363450436</v>
      </c>
      <c r="S162" s="5" t="str">
        <f>IFERROR(VLOOKUP(A162,CLIENTE!$A$2:$N$2000,13,0),1)</f>
        <v>Regular</v>
      </c>
      <c r="T162" s="5">
        <f>IFERROR(VLOOKUP(A162,CLIENTE!$A$2:$N$2000,14,0),1)</f>
        <v>1</v>
      </c>
      <c r="U162" s="5">
        <f t="shared" si="52"/>
        <v>86.43439363450436</v>
      </c>
      <c r="V162" s="5" t="str">
        <f>IF(U162&gt;=MAX(_xlfn.PERCENTILE.INC($U$2:$U$1194,PARAMS_MODELO!$B$50),PARAMS_MODELO!$B$45),"DIAMANTE",IF(U162&gt;=MAX(_xlfn.PERCENTILE.INC($U$2:$U$1194,PARAMS_MODELO!$B$51),PARAMS_MODELO!$B$46),"PLATINO",IF(U162&gt;=MAX(_xlfn.PERCENTILE.INC($U$2:$U$1194,PARAMS_MODELO!$B$52),PARAMS_MODELO!$B$47),"ORO",IF(U162&gt;=MAX(_xlfn.PERCENTILE.INC($U$2:$U$1194,PARAMS_MODELO!$B$53),PARAMS_MODELO!$B$48),"PLATA",IF(U162&gt;=1,"BRONCE","CERRADO")))))</f>
        <v>ORO</v>
      </c>
      <c r="W162" s="5" t="str" cm="1">
        <f t="array" ref="W162">_xlfn.XLOOKUP(1, (HIST_SCORE!$B:$B=PARAMS_MODELO!$B$4) * (HIST_SCORE!$C:$C=A162), HIST_SCORE!$E:$E, "No encontrado")</f>
        <v>ORO</v>
      </c>
      <c r="X162" s="5" t="str">
        <f>_xlfn.LET(_xlpm.act,MATCH(V162,{"DIAMANTE";"PLATINO";"ORO";"PLATA";"BRONCE";"CERRADO"},0),_xlpm.ant,MATCH(W162,{"DIAMANTE";"PLATINO";"ORO";"PLATA";"BRONCE";"CERRADO"},0),IF(_xlpm.act&lt;_xlpm.ant,"Mejora ↑",IF(_xlpm.act&gt;_xlpm.ant,"Baja ↓","Estable →")))</f>
        <v>Estable →</v>
      </c>
      <c r="Y162" s="5">
        <f>IFERROR(U162-SUMIFS(HIST_SCORE!$D:$D,HIST_SCORE!$B:$B,PARAMS_MODELO!$B$4,HIST_SCORE!$C:$C,$A162),"")</f>
        <v>3.2721978845261361</v>
      </c>
      <c r="Z162" s="5" t="str">
        <f t="shared" si="53"/>
        <v>→ Estable</v>
      </c>
      <c r="AA162" s="5">
        <f t="shared" si="54"/>
        <v>241</v>
      </c>
      <c r="AB162" s="5">
        <f>IFERROR(SUMIFS(HIST_SCORE!$F:$F,HIST_SCORE!$B:$B,PARAMS_MODELO!$B$4,HIST_SCORE!$C:$C,$A162),"")</f>
        <v>325</v>
      </c>
      <c r="AC162" s="5">
        <f t="shared" si="55"/>
        <v>84</v>
      </c>
      <c r="AD162" t="str">
        <f t="shared" si="57"/>
        <v/>
      </c>
      <c r="AE1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162="CERRADO",1,IF(V162="BRONCE",_xlpm.cPl,IF(V162="PLATA",_xlpm.cO,IF(V162="ORO",_xlpm.cP,IF(V162="PLATINO",_xlpm.cD,999))))))</f>
        <v>86.439123873763251</v>
      </c>
      <c r="AF1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162="CERRADO",0,IF(V162="BRONCE",1,IF(V162="PLATA",_xlpm.cPl,IF(V162="ORO",_xlpm.cO,IF(V162="PLATINO",_xlpm.cP,_xlpm.cD))))))</f>
        <v>63.199193273331495</v>
      </c>
      <c r="AG162">
        <f t="shared" si="58"/>
        <v>4.7302392588903786E-3</v>
      </c>
      <c r="AH162" t="str">
        <f t="shared" si="59"/>
        <v>VENTAS</v>
      </c>
      <c r="AI162" t="str">
        <f t="shared" si="56"/>
        <v>🎯 Para subir de categoría, eje VENTAS / IMPACTO ABSOLUTO (H). Acción: metas semanales + activación comercial + seguimiento del asesor. ΔR aprox: 0,0</v>
      </c>
      <c r="AJ162" s="26">
        <f>_xlfn.LET(_xlpm.piso,AF162,_xlpm.corte,AE162,_xlpm.prog,IF(_xlpm.corte&lt;=_xlpm.piso,0,MAX(0,MIN(1,(U162-_xlpm.piso)/(_xlpm.corte-_xlpm.piso)))),_xlpm.orden,{"DIAMANTE";"PLATINO";"ORO";"PLATA";"BRONCE";"CERRADO"},_xlpm.act,IFERROR(MATCH(V162,_xlpm.orden,0),6),_xlpm.ant,IFERROR(MATCH(W162,_xlpm.orden,0),6),_xlpm.ajmov,IF(_xlpm.act&lt;_xlpm.ant,0.08,IF(_xlpm.act&gt;_xlpm.ant,-0.08,0)),_xlpm.ajcli,IF(T162&lt;0.95,-0.06,0),_xlpm.prob,MAX(0,MIN(1,_xlpm.prog+_xlpm.ajmov+_xlpm.ajcli)),IF(OR(V162="DIAMANTE",V162="CERRADO"),0,ROUND(_xlpm.prob,2)))</f>
        <v>1</v>
      </c>
      <c r="AK162" t="str">
        <f t="shared" si="60"/>
        <v>Faltan 0,0 puntos base para subir a la siguiente categoría</v>
      </c>
      <c r="AL162" t="str">
        <f t="shared" si="61"/>
        <v>Margen de seguridad: 23,2 puntos</v>
      </c>
      <c r="AM162">
        <f t="shared" si="62"/>
        <v>0</v>
      </c>
      <c r="AN162" t="str">
        <f t="shared" si="63"/>
        <v>PRIORIDAD BAJA – control normal</v>
      </c>
      <c r="AO162">
        <f t="shared" si="64"/>
        <v>9.1321207892773444</v>
      </c>
      <c r="AP162">
        <f t="shared" si="65"/>
        <v>9.4054851513883264E-2</v>
      </c>
      <c r="AQ162">
        <f t="shared" si="66"/>
        <v>1.9999999999988916E-3</v>
      </c>
      <c r="AR162">
        <f t="shared" si="67"/>
        <v>4.1999999999999993</v>
      </c>
      <c r="AS162">
        <f t="shared" si="68"/>
        <v>0</v>
      </c>
      <c r="AT162" t="str">
        <f t="shared" si="69"/>
        <v>VENTAS</v>
      </c>
      <c r="AU162">
        <f t="shared" si="70"/>
        <v>9.1321207892773444</v>
      </c>
      <c r="AV162" t="str">
        <f t="shared" si="71"/>
        <v>Mayor retorno probable: VENTAS (+9,1 puntos finales potenciales).</v>
      </c>
    </row>
    <row r="163" spans="1:48" x14ac:dyDescent="0.3">
      <c r="A163" s="5">
        <v>51020880</v>
      </c>
      <c r="B163" s="5" t="str">
        <f>IFERROR(VLOOKUP(A163,VENTAS!$A$2:$B$1194,2,0),"")</f>
        <v>MONTENEGRO</v>
      </c>
      <c r="C163" s="5">
        <f>IFERROR(INDEX(VENTAS!$C$2:$E$1194,MATCH(A163,VENTAS!$A$2:$A$1194,0),MATCH(PARAMS_MODELO!$B$2,{"Q1","Q2","Q3"},0)),0)</f>
        <v>85866704.079999998</v>
      </c>
      <c r="D163" s="5">
        <f>IFERROR(INDEX(VENTAS!$F$2:$H$1194,MATCH(A163,VENTAS!$A$2:$A$1194,0),MATCH(PARAMS_MODELO!$B$2,{"Q1","Q2","Q3"},0)),0)</f>
        <v>135197445</v>
      </c>
      <c r="E163" s="8">
        <f t="shared" si="48"/>
        <v>0.57450372002213701</v>
      </c>
      <c r="F163" s="12">
        <f>IF(E163&lt;=PARAMS_MODELO!$B$15,0,IF(E163&gt;=PARAMS_MODELO!$B$17,100,100*MIN(1,(E163-PARAMS_MODELO!$B$15)/(PARAMS_MODELO!$B$16-PARAMS_MODELO!$B$15))))*PARAMS_MODELO!$B$7</f>
        <v>35</v>
      </c>
      <c r="G163" s="5">
        <f t="shared" si="49"/>
        <v>49330740.920000002</v>
      </c>
      <c r="H163" s="5">
        <f>(PARAMS_MODELO!$B$20*(MAX(0,MIN(3,E163))/3)+PARAMS_MODELO!$B$21*(IFERROR(LN(1+MAX(0,G163))/LN(1+MAX(0,MAX($G$2:$G$1194))),0)))*100*PARAMS_MODELO!$B$8</f>
        <v>6.1631855188703213</v>
      </c>
      <c r="I163" s="8">
        <f>E163-PARAMS_MODELO!$B$5</f>
        <v>0.39694088464661048</v>
      </c>
      <c r="J163" s="5">
        <f>IF(I163&lt;=PARAMS_MODELO!$B$18,0,IF(I163&gt;=PARAMS_MODELO!$B$19,100,100*(I163-PARAMS_MODELO!$B$18)/(PARAMS_MODELO!$B$19-PARAMS_MODELO!$B$18)))*PARAMS_MODELO!$B$9</f>
        <v>15</v>
      </c>
      <c r="K163" s="5">
        <f>IFERROR(CHOOSE(MATCH(PARAMS_MODELO!$B$2,{"Q1","Q2","Q3"},0),LOTO!$D163,LOTO!$F163,LOTO!$H163),0)</f>
        <v>6717500</v>
      </c>
      <c r="L163" s="8">
        <f t="shared" si="50"/>
        <v>4.9686589861221118E-2</v>
      </c>
      <c r="M163" s="5">
        <f>MIN(100,IF(PARAMS_MODELO!$B$23=0,0,100*L163/PARAMS_MODELO!$B$23))*PARAMS_MODELO!$B$10</f>
        <v>14.905976958366335</v>
      </c>
      <c r="N163" s="5">
        <f>IFERROR(VLOOKUP(A163,COMPLIANCE!$A$2:$F$1996,6,0),100)</f>
        <v>100</v>
      </c>
      <c r="O163" s="5">
        <f>N163*PARAMS_MODELO!$B$11</f>
        <v>10</v>
      </c>
      <c r="P163" s="5">
        <f>IFERROR(VLOOKUP(A163,DIGITAL!$A$2:$J$2000,7,0),100)</f>
        <v>76</v>
      </c>
      <c r="Q163" s="5">
        <f>IFERROR(P163,0)*PARAMS_MODELO!$B$12</f>
        <v>7.6000000000000005</v>
      </c>
      <c r="R163">
        <f t="shared" si="51"/>
        <v>88.669162477236654</v>
      </c>
      <c r="S163" s="5" t="str">
        <f>IFERROR(VLOOKUP(A163,CLIENTE!$A$2:$N$2000,13,0),1)</f>
        <v>Muy Bueno</v>
      </c>
      <c r="T163" s="5">
        <f>IFERROR(VLOOKUP(A163,CLIENTE!$A$2:$N$2000,14,0),1)</f>
        <v>1.1499999999999999</v>
      </c>
      <c r="U163" s="5">
        <f t="shared" si="52"/>
        <v>100</v>
      </c>
      <c r="V163" s="5" t="str">
        <f>IF(U163&gt;=MAX(_xlfn.PERCENTILE.INC($U$2:$U$1194,PARAMS_MODELO!$B$50),PARAMS_MODELO!$B$45),"DIAMANTE",IF(U163&gt;=MAX(_xlfn.PERCENTILE.INC($U$2:$U$1194,PARAMS_MODELO!$B$51),PARAMS_MODELO!$B$46),"PLATINO",IF(U163&gt;=MAX(_xlfn.PERCENTILE.INC($U$2:$U$1194,PARAMS_MODELO!$B$52),PARAMS_MODELO!$B$47),"ORO",IF(U163&gt;=MAX(_xlfn.PERCENTILE.INC($U$2:$U$1194,PARAMS_MODELO!$B$53),PARAMS_MODELO!$B$48),"PLATA",IF(U163&gt;=1,"BRONCE","CERRADO")))))</f>
        <v>DIAMANTE</v>
      </c>
      <c r="W163" s="5" t="str" cm="1">
        <f t="array" ref="W163">_xlfn.XLOOKUP(1, (HIST_SCORE!$B:$B=PARAMS_MODELO!$B$4) * (HIST_SCORE!$C:$C=A163), HIST_SCORE!$E:$E, "No encontrado")</f>
        <v>DIAMANTE</v>
      </c>
      <c r="X163" s="5" t="str">
        <f>_xlfn.LET(_xlpm.act,MATCH(V163,{"DIAMANTE";"PLATINO";"ORO";"PLATA";"BRONCE";"CERRADO"},0),_xlpm.ant,MATCH(W163,{"DIAMANTE";"PLATINO";"ORO";"PLATA";"BRONCE";"CERRADO"},0),IF(_xlpm.act&lt;_xlpm.ant,"Mejora ↑",IF(_xlpm.act&gt;_xlpm.ant,"Baja ↓","Estable →")))</f>
        <v>Estable →</v>
      </c>
      <c r="Y163" s="5">
        <f>IFERROR(U163-SUMIFS(HIST_SCORE!$D:$D,HIST_SCORE!$B:$B,PARAMS_MODELO!$B$4,HIST_SCORE!$C:$C,$A163),"")</f>
        <v>0</v>
      </c>
      <c r="Z163" s="5" t="str">
        <f t="shared" si="53"/>
        <v>→ Estable</v>
      </c>
      <c r="AA163" s="5">
        <f t="shared" si="54"/>
        <v>1</v>
      </c>
      <c r="AB163" s="5">
        <f>IFERROR(SUMIFS(HIST_SCORE!$F:$F,HIST_SCORE!$B:$B,PARAMS_MODELO!$B$4,HIST_SCORE!$C:$C,$A163),"")</f>
        <v>1</v>
      </c>
      <c r="AC163" s="5">
        <f t="shared" si="55"/>
        <v>0</v>
      </c>
      <c r="AD163" t="str">
        <f t="shared" si="57"/>
        <v/>
      </c>
      <c r="AE1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163="CERRADO",1,IF(V163="BRONCE",_xlpm.cPl,IF(V163="PLATA",_xlpm.cO,IF(V163="ORO",_xlpm.cP,IF(V163="PLATINO",_xlpm.cD,999))))))</f>
        <v>999</v>
      </c>
      <c r="AF1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163="CERRADO",0,IF(V163="BRONCE",1,IF(V163="PLATA",_xlpm.cPl,IF(V163="ORO",_xlpm.cO,IF(V163="PLATINO",_xlpm.cP,_xlpm.cD))))))</f>
        <v>96.054919694466676</v>
      </c>
      <c r="AG163">
        <f t="shared" si="58"/>
        <v>780.02648969667644</v>
      </c>
      <c r="AH163" t="str">
        <f t="shared" si="59"/>
        <v>SOSTENER</v>
      </c>
      <c r="AI163" t="str">
        <f t="shared" si="56"/>
        <v>✅ Mantener desempeño y monitorear variaciones para sostener categoría.</v>
      </c>
      <c r="AJ163" s="26">
        <f>_xlfn.LET(_xlpm.piso,AF163,_xlpm.corte,AE163,_xlpm.prog,IF(_xlpm.corte&lt;=_xlpm.piso,0,MAX(0,MIN(1,(U163-_xlpm.piso)/(_xlpm.corte-_xlpm.piso)))),_xlpm.orden,{"DIAMANTE";"PLATINO";"ORO";"PLATA";"BRONCE";"CERRADO"},_xlpm.act,IFERROR(MATCH(V163,_xlpm.orden,0),6),_xlpm.ant,IFERROR(MATCH(W163,_xlpm.orden,0),6),_xlpm.ajmov,IF(_xlpm.act&lt;_xlpm.ant,0.08,IF(_xlpm.act&gt;_xlpm.ant,-0.08,0)),_xlpm.ajcli,IF(T163&lt;0.95,-0.06,0),_xlpm.prob,MAX(0,MIN(1,_xlpm.prog+_xlpm.ajmov+_xlpm.ajcli)),IF(OR(V163="DIAMANTE",V163="CERRADO"),0,ROUND(_xlpm.prob,2)))</f>
        <v>0</v>
      </c>
      <c r="AK163" t="str">
        <f t="shared" si="60"/>
        <v>No aplica</v>
      </c>
      <c r="AL163" t="str">
        <f t="shared" si="61"/>
        <v>Margen de seguridad: 3,9 puntos</v>
      </c>
      <c r="AM163">
        <f t="shared" si="62"/>
        <v>0.8</v>
      </c>
      <c r="AN163" t="str">
        <f t="shared" si="63"/>
        <v>PRIORIDAD ALTA – requiere intervención inmediata</v>
      </c>
      <c r="AO163">
        <f t="shared" si="64"/>
        <v>10.004291319889052</v>
      </c>
      <c r="AP163">
        <f t="shared" si="65"/>
        <v>0.10812649787871517</v>
      </c>
      <c r="AQ163">
        <f t="shared" si="66"/>
        <v>0</v>
      </c>
      <c r="AR163">
        <f t="shared" si="67"/>
        <v>2.7599999999999993</v>
      </c>
      <c r="AS163">
        <f t="shared" si="68"/>
        <v>0</v>
      </c>
      <c r="AT163" t="str">
        <f t="shared" si="69"/>
        <v>VENTAS</v>
      </c>
      <c r="AU163">
        <f t="shared" si="70"/>
        <v>10.004291319889052</v>
      </c>
      <c r="AV163" t="str">
        <f t="shared" si="71"/>
        <v>Mayor retorno probable: VENTAS (+10,0 puntos finales potenciales).</v>
      </c>
    </row>
    <row r="164" spans="1:48" x14ac:dyDescent="0.3">
      <c r="A164" s="5">
        <v>51023056</v>
      </c>
      <c r="B164" s="5" t="str">
        <f>IFERROR(VLOOKUP(A164,VENTAS!$A$2:$B$1194,2,0),"")</f>
        <v>MONTENEGRO</v>
      </c>
      <c r="C164" s="5">
        <f>IFERROR(INDEX(VENTAS!$C$2:$E$1194,MATCH(A164,VENTAS!$A$2:$A$1194,0),MATCH(PARAMS_MODELO!$B$2,{"Q1","Q2","Q3"},0)),0)</f>
        <v>90384454.299999997</v>
      </c>
      <c r="D164" s="5">
        <f>IFERROR(INDEX(VENTAS!$F$2:$H$1194,MATCH(A164,VENTAS!$A$2:$A$1194,0),MATCH(PARAMS_MODELO!$B$2,{"Q1","Q2","Q3"},0)),0)</f>
        <v>135139243</v>
      </c>
      <c r="E164" s="8">
        <f t="shared" si="48"/>
        <v>0.49516024682133875</v>
      </c>
      <c r="F164" s="12">
        <f>IF(E164&lt;=PARAMS_MODELO!$B$15,0,IF(E164&gt;=PARAMS_MODELO!$B$17,100,100*MIN(1,(E164-PARAMS_MODELO!$B$15)/(PARAMS_MODELO!$B$16-PARAMS_MODELO!$B$15))))*PARAMS_MODELO!$B$7</f>
        <v>35</v>
      </c>
      <c r="G164" s="5">
        <f t="shared" si="49"/>
        <v>44754788.700000003</v>
      </c>
      <c r="H164" s="5">
        <f>(PARAMS_MODELO!$B$20*(MAX(0,MIN(3,E164))/3)+PARAMS_MODELO!$B$21*(IFERROR(LN(1+MAX(0,G164))/LN(1+MAX(0,MAX($G$2:$G$1194))),0)))*100*PARAMS_MODELO!$B$8</f>
        <v>5.8626634018354356</v>
      </c>
      <c r="I164" s="8">
        <f>E164-PARAMS_MODELO!$B$5</f>
        <v>0.31759741144581222</v>
      </c>
      <c r="J164" s="5">
        <f>IF(I164&lt;=PARAMS_MODELO!$B$18,0,IF(I164&gt;=PARAMS_MODELO!$B$19,100,100*(I164-PARAMS_MODELO!$B$18)/(PARAMS_MODELO!$B$19-PARAMS_MODELO!$B$18)))*PARAMS_MODELO!$B$9</f>
        <v>15</v>
      </c>
      <c r="K164" s="5">
        <f>IFERROR(CHOOSE(MATCH(PARAMS_MODELO!$B$2,{"Q1","Q2","Q3"},0),LOTO!$D164,LOTO!$F164,LOTO!$H164),0)</f>
        <v>6717500</v>
      </c>
      <c r="L164" s="8">
        <f t="shared" si="50"/>
        <v>4.9707988966609794E-2</v>
      </c>
      <c r="M164" s="5">
        <f>MIN(100,IF(PARAMS_MODELO!$B$23=0,0,100*L164/PARAMS_MODELO!$B$23))*PARAMS_MODELO!$B$10</f>
        <v>14.912396689982936</v>
      </c>
      <c r="N164" s="5">
        <f>IFERROR(VLOOKUP(A164,COMPLIANCE!$A$2:$F$1996,6,0),100)</f>
        <v>100</v>
      </c>
      <c r="O164" s="5">
        <f>N164*PARAMS_MODELO!$B$11</f>
        <v>10</v>
      </c>
      <c r="P164" s="5">
        <f>IFERROR(VLOOKUP(A164,DIGITAL!$A$2:$J$2000,7,0),100)</f>
        <v>24</v>
      </c>
      <c r="Q164" s="5">
        <f>IFERROR(P164,0)*PARAMS_MODELO!$B$12</f>
        <v>2.4000000000000004</v>
      </c>
      <c r="R164">
        <f t="shared" si="51"/>
        <v>83.175060091818381</v>
      </c>
      <c r="S164" s="5" t="str">
        <f>IFERROR(VLOOKUP(A164,CLIENTE!$A$2:$N$2000,13,0),1)</f>
        <v>Regular</v>
      </c>
      <c r="T164" s="5">
        <f>IFERROR(VLOOKUP(A164,CLIENTE!$A$2:$N$2000,14,0),1)</f>
        <v>1</v>
      </c>
      <c r="U164" s="5">
        <f t="shared" si="52"/>
        <v>83.175060091818381</v>
      </c>
      <c r="V164" s="5" t="str">
        <f>IF(U164&gt;=MAX(_xlfn.PERCENTILE.INC($U$2:$U$1194,PARAMS_MODELO!$B$50),PARAMS_MODELO!$B$45),"DIAMANTE",IF(U164&gt;=MAX(_xlfn.PERCENTILE.INC($U$2:$U$1194,PARAMS_MODELO!$B$51),PARAMS_MODELO!$B$46),"PLATINO",IF(U164&gt;=MAX(_xlfn.PERCENTILE.INC($U$2:$U$1194,PARAMS_MODELO!$B$52),PARAMS_MODELO!$B$47),"ORO",IF(U164&gt;=MAX(_xlfn.PERCENTILE.INC($U$2:$U$1194,PARAMS_MODELO!$B$53),PARAMS_MODELO!$B$48),"PLATA",IF(U164&gt;=1,"BRONCE","CERRADO")))))</f>
        <v>ORO</v>
      </c>
      <c r="W164" s="5" t="str" cm="1">
        <f t="array" ref="W164">_xlfn.XLOOKUP(1, (HIST_SCORE!$B:$B=PARAMS_MODELO!$B$4) * (HIST_SCORE!$C:$C=A164), HIST_SCORE!$E:$E, "No encontrado")</f>
        <v>ORO</v>
      </c>
      <c r="X164" s="5" t="str">
        <f>_xlfn.LET(_xlpm.act,MATCH(V164,{"DIAMANTE";"PLATINO";"ORO";"PLATA";"BRONCE";"CERRADO"},0),_xlpm.ant,MATCH(W164,{"DIAMANTE";"PLATINO";"ORO";"PLATA";"BRONCE";"CERRADO"},0),IF(_xlpm.act&lt;_xlpm.ant,"Mejora ↑",IF(_xlpm.act&gt;_xlpm.ant,"Baja ↓","Estable →")))</f>
        <v>Estable →</v>
      </c>
      <c r="Y164" s="5">
        <f>IFERROR(U164-SUMIFS(HIST_SCORE!$D:$D,HIST_SCORE!$B:$B,PARAMS_MODELO!$B$4,HIST_SCORE!$C:$C,$A164),"")</f>
        <v>-0.25948267889037879</v>
      </c>
      <c r="Z164" s="5" t="str">
        <f t="shared" si="53"/>
        <v>→ Estable</v>
      </c>
      <c r="AA164" s="5">
        <f t="shared" si="54"/>
        <v>345</v>
      </c>
      <c r="AB164" s="5">
        <f>IFERROR(SUMIFS(HIST_SCORE!$F:$F,HIST_SCORE!$B:$B,PARAMS_MODELO!$B$4,HIST_SCORE!$C:$C,$A164),"")</f>
        <v>309</v>
      </c>
      <c r="AC164" s="5">
        <f t="shared" si="55"/>
        <v>-36</v>
      </c>
      <c r="AD164" t="str">
        <f t="shared" si="57"/>
        <v>Sostener base y reforzar mix</v>
      </c>
      <c r="AE1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164="CERRADO",1,IF(V164="BRONCE",_xlpm.cPl,IF(V164="PLATA",_xlpm.cO,IF(V164="ORO",_xlpm.cP,IF(V164="PLATINO",_xlpm.cD,999))))))</f>
        <v>86.439123873763251</v>
      </c>
      <c r="AF1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164="CERRADO",0,IF(V164="BRONCE",1,IF(V164="PLATA",_xlpm.cPl,IF(V164="ORO",_xlpm.cO,IF(V164="PLATINO",_xlpm.cP,_xlpm.cD))))))</f>
        <v>63.199193273331495</v>
      </c>
      <c r="AG164">
        <f t="shared" si="58"/>
        <v>3.2640637819448699</v>
      </c>
      <c r="AH164" t="str">
        <f t="shared" si="59"/>
        <v>VENTAS</v>
      </c>
      <c r="AI164" t="str">
        <f t="shared" si="56"/>
        <v>🎯 Para subir de categoría, eje VENTAS / IMPACTO ABSOLUTO (H). Acción: metas semanales + activación comercial + seguimiento del asesor. ΔR aprox: 3,3</v>
      </c>
      <c r="AJ164" s="26">
        <f>_xlfn.LET(_xlpm.piso,AF164,_xlpm.corte,AE164,_xlpm.prog,IF(_xlpm.corte&lt;=_xlpm.piso,0,MAX(0,MIN(1,(U164-_xlpm.piso)/(_xlpm.corte-_xlpm.piso)))),_xlpm.orden,{"DIAMANTE";"PLATINO";"ORO";"PLATA";"BRONCE";"CERRADO"},_xlpm.act,IFERROR(MATCH(V164,_xlpm.orden,0),6),_xlpm.ant,IFERROR(MATCH(W164,_xlpm.orden,0),6),_xlpm.ajmov,IF(_xlpm.act&lt;_xlpm.ant,0.08,IF(_xlpm.act&gt;_xlpm.ant,-0.08,0)),_xlpm.ajcli,IF(T164&lt;0.95,-0.06,0),_xlpm.prob,MAX(0,MIN(1,_xlpm.prog+_xlpm.ajmov+_xlpm.ajcli)),IF(OR(V164="DIAMANTE",V164="CERRADO"),0,ROUND(_xlpm.prob,2)))</f>
        <v>0.86</v>
      </c>
      <c r="AK164" t="str">
        <f t="shared" si="60"/>
        <v>Faltan 3,3 puntos base para subir a la siguiente categoría</v>
      </c>
      <c r="AL164" t="str">
        <f t="shared" si="61"/>
        <v>Margen de seguridad: 20,0 puntos</v>
      </c>
      <c r="AM164">
        <f t="shared" si="62"/>
        <v>0.19</v>
      </c>
      <c r="AN164" t="str">
        <f t="shared" si="63"/>
        <v>PRIORIDAD BAJA – control normal</v>
      </c>
      <c r="AO164">
        <f t="shared" si="64"/>
        <v>8.9999058734601505</v>
      </c>
      <c r="AP164">
        <f t="shared" si="65"/>
        <v>8.7603310017064118E-2</v>
      </c>
      <c r="AQ164">
        <f t="shared" si="66"/>
        <v>0</v>
      </c>
      <c r="AR164">
        <f t="shared" si="67"/>
        <v>7.6</v>
      </c>
      <c r="AS164">
        <f t="shared" si="68"/>
        <v>0</v>
      </c>
      <c r="AT164" t="str">
        <f t="shared" si="69"/>
        <v>VENTAS</v>
      </c>
      <c r="AU164">
        <f t="shared" si="70"/>
        <v>8.9999058734601505</v>
      </c>
      <c r="AV164" t="str">
        <f t="shared" si="71"/>
        <v>Mayor retorno probable: VENTAS (+9,0 puntos finales potenciales).</v>
      </c>
    </row>
    <row r="165" spans="1:48" x14ac:dyDescent="0.3">
      <c r="A165" s="5">
        <v>51022688</v>
      </c>
      <c r="B165" s="5" t="str">
        <f>IFERROR(VLOOKUP(A165,VENTAS!$A$2:$B$1194,2,0),"")</f>
        <v>NELLI</v>
      </c>
      <c r="C165" s="5">
        <f>IFERROR(INDEX(VENTAS!$C$2:$E$1194,MATCH(A165,VENTAS!$A$2:$A$1194,0),MATCH(PARAMS_MODELO!$B$2,{"Q1","Q2","Q3"},0)),0)</f>
        <v>104112813.34</v>
      </c>
      <c r="D165" s="5">
        <f>IFERROR(INDEX(VENTAS!$F$2:$H$1194,MATCH(A165,VENTAS!$A$2:$A$1194,0),MATCH(PARAMS_MODELO!$B$2,{"Q1","Q2","Q3"},0)),0)</f>
        <v>134797072</v>
      </c>
      <c r="E165" s="8">
        <f t="shared" si="48"/>
        <v>0.29472125164646901</v>
      </c>
      <c r="F165" s="12">
        <f>IF(E165&lt;=PARAMS_MODELO!$B$15,0,IF(E165&gt;=PARAMS_MODELO!$B$17,100,100*MIN(1,(E165-PARAMS_MODELO!$B$15)/(PARAMS_MODELO!$B$16-PARAMS_MODELO!$B$15))))*PARAMS_MODELO!$B$7</f>
        <v>35</v>
      </c>
      <c r="G165" s="5">
        <f t="shared" si="49"/>
        <v>30684258.659999996</v>
      </c>
      <c r="H165" s="5">
        <f>(PARAMS_MODELO!$B$20*(MAX(0,MIN(3,E165))/3)+PARAMS_MODELO!$B$21*(IFERROR(LN(1+MAX(0,G165))/LN(1+MAX(0,MAX($G$2:$G$1194))),0)))*100*PARAMS_MODELO!$B$8</f>
        <v>5.0726476826842672</v>
      </c>
      <c r="I165" s="8">
        <f>E165-PARAMS_MODELO!$B$5</f>
        <v>0.11715841627094248</v>
      </c>
      <c r="J165" s="5">
        <f>IF(I165&lt;=PARAMS_MODELO!$B$18,0,IF(I165&gt;=PARAMS_MODELO!$B$19,100,100*(I165-PARAMS_MODELO!$B$18)/(PARAMS_MODELO!$B$19-PARAMS_MODELO!$B$18)))*PARAMS_MODELO!$B$9</f>
        <v>15</v>
      </c>
      <c r="K165" s="5">
        <f>IFERROR(CHOOSE(MATCH(PARAMS_MODELO!$B$2,{"Q1","Q2","Q3"},0),LOTO!$D165,LOTO!$F165,LOTO!$H165),0)</f>
        <v>6707500</v>
      </c>
      <c r="L165" s="8">
        <f t="shared" si="50"/>
        <v>4.9759982917136361E-2</v>
      </c>
      <c r="M165" s="5">
        <f>MIN(100,IF(PARAMS_MODELO!$B$23=0,0,100*L165/PARAMS_MODELO!$B$23))*PARAMS_MODELO!$B$10</f>
        <v>14.927994875140906</v>
      </c>
      <c r="N165" s="5">
        <f>IFERROR(VLOOKUP(A165,COMPLIANCE!$A$2:$F$1996,6,0),100)</f>
        <v>100</v>
      </c>
      <c r="O165" s="5">
        <f>N165*PARAMS_MODELO!$B$11</f>
        <v>10</v>
      </c>
      <c r="P165" s="5">
        <f>IFERROR(VLOOKUP(A165,DIGITAL!$A$2:$J$2000,7,0),100)</f>
        <v>90</v>
      </c>
      <c r="Q165" s="5">
        <f>IFERROR(P165,0)*PARAMS_MODELO!$B$12</f>
        <v>9</v>
      </c>
      <c r="R165">
        <f t="shared" si="51"/>
        <v>89.000642557825174</v>
      </c>
      <c r="S165" s="5" t="str">
        <f>IFERROR(VLOOKUP(A165,CLIENTE!$A$2:$N$2000,13,0),1)</f>
        <v>Regular</v>
      </c>
      <c r="T165" s="5">
        <f>IFERROR(VLOOKUP(A165,CLIENTE!$A$2:$N$2000,14,0),1)</f>
        <v>1</v>
      </c>
      <c r="U165" s="5">
        <f t="shared" si="52"/>
        <v>89.000642557825174</v>
      </c>
      <c r="V165" s="5" t="str">
        <f>IF(U165&gt;=MAX(_xlfn.PERCENTILE.INC($U$2:$U$1194,PARAMS_MODELO!$B$50),PARAMS_MODELO!$B$45),"DIAMANTE",IF(U165&gt;=MAX(_xlfn.PERCENTILE.INC($U$2:$U$1194,PARAMS_MODELO!$B$51),PARAMS_MODELO!$B$46),"PLATINO",IF(U165&gt;=MAX(_xlfn.PERCENTILE.INC($U$2:$U$1194,PARAMS_MODELO!$B$52),PARAMS_MODELO!$B$47),"ORO",IF(U165&gt;=MAX(_xlfn.PERCENTILE.INC($U$2:$U$1194,PARAMS_MODELO!$B$53),PARAMS_MODELO!$B$48),"PLATA",IF(U165&gt;=1,"BRONCE","CERRADO")))))</f>
        <v>PLATINO</v>
      </c>
      <c r="W165" s="5" t="str" cm="1">
        <f t="array" ref="W165">_xlfn.XLOOKUP(1, (HIST_SCORE!$B:$B=PARAMS_MODELO!$B$4) * (HIST_SCORE!$C:$C=A165), HIST_SCORE!$E:$E, "No encontrado")</f>
        <v>PLATINO</v>
      </c>
      <c r="X165" s="5" t="str">
        <f>_xlfn.LET(_xlpm.act,MATCH(V165,{"DIAMANTE";"PLATINO";"ORO";"PLATA";"BRONCE";"CERRADO"},0),_xlpm.ant,MATCH(W165,{"DIAMANTE";"PLATINO";"ORO";"PLATA";"BRONCE";"CERRADO"},0),IF(_xlpm.act&lt;_xlpm.ant,"Mejora ↑",IF(_xlpm.act&gt;_xlpm.ant,"Baja ↓","Estable →")))</f>
        <v>Estable →</v>
      </c>
      <c r="Y165" s="5">
        <f>IFERROR(U165-SUMIFS(HIST_SCORE!$D:$D,HIST_SCORE!$B:$B,PARAMS_MODELO!$B$4,HIST_SCORE!$C:$C,$A165),"")</f>
        <v>1.1458933166813807</v>
      </c>
      <c r="Z165" s="5" t="str">
        <f t="shared" si="53"/>
        <v>→ Estable</v>
      </c>
      <c r="AA165" s="5">
        <f t="shared" si="54"/>
        <v>167</v>
      </c>
      <c r="AB165" s="5">
        <f>IFERROR(SUMIFS(HIST_SCORE!$F:$F,HIST_SCORE!$B:$B,PARAMS_MODELO!$B$4,HIST_SCORE!$C:$C,$A165),"")</f>
        <v>181</v>
      </c>
      <c r="AC165" s="5">
        <f t="shared" si="55"/>
        <v>14</v>
      </c>
      <c r="AD165" t="str">
        <f t="shared" si="57"/>
        <v/>
      </c>
      <c r="AE1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165="CERRADO",1,IF(V165="BRONCE",_xlpm.cPl,IF(V165="PLATA",_xlpm.cO,IF(V165="ORO",_xlpm.cP,IF(V165="PLATINO",_xlpm.cD,999))))))</f>
        <v>96.054919694466676</v>
      </c>
      <c r="AF1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165="CERRADO",0,IF(V165="BRONCE",1,IF(V165="PLATA",_xlpm.cPl,IF(V165="ORO",_xlpm.cO,IF(V165="PLATINO",_xlpm.cP,_xlpm.cD))))))</f>
        <v>86.439123873763251</v>
      </c>
      <c r="AG165">
        <f t="shared" si="58"/>
        <v>7.0542771366415025</v>
      </c>
      <c r="AH165" t="str">
        <f t="shared" si="59"/>
        <v>VENTAS</v>
      </c>
      <c r="AI165" t="str">
        <f t="shared" si="56"/>
        <v>🎯 Para subir de categoría, eje VENTAS / IMPACTO ABSOLUTO (H). Acción: metas semanales + activación comercial + seguimiento del asesor. ΔR aprox: 7,1</v>
      </c>
      <c r="AJ165" s="26">
        <f>_xlfn.LET(_xlpm.piso,AF165,_xlpm.corte,AE165,_xlpm.prog,IF(_xlpm.corte&lt;=_xlpm.piso,0,MAX(0,MIN(1,(U165-_xlpm.piso)/(_xlpm.corte-_xlpm.piso)))),_xlpm.orden,{"DIAMANTE";"PLATINO";"ORO";"PLATA";"BRONCE";"CERRADO"},_xlpm.act,IFERROR(MATCH(V165,_xlpm.orden,0),6),_xlpm.ant,IFERROR(MATCH(W165,_xlpm.orden,0),6),_xlpm.ajmov,IF(_xlpm.act&lt;_xlpm.ant,0.08,IF(_xlpm.act&gt;_xlpm.ant,-0.08,0)),_xlpm.ajcli,IF(T165&lt;0.95,-0.06,0),_xlpm.prob,MAX(0,MIN(1,_xlpm.prog+_xlpm.ajmov+_xlpm.ajcli)),IF(OR(V165="DIAMANTE",V165="CERRADO"),0,ROUND(_xlpm.prob,2)))</f>
        <v>0.27</v>
      </c>
      <c r="AK165" t="str">
        <f t="shared" si="60"/>
        <v>Faltan 7,1 puntos base para subir a la siguiente categoría</v>
      </c>
      <c r="AL165" t="str">
        <f t="shared" si="61"/>
        <v>Margen de seguridad: 2,6 puntos</v>
      </c>
      <c r="AM165">
        <f t="shared" si="62"/>
        <v>0.56999999999999995</v>
      </c>
      <c r="AN165" t="str">
        <f t="shared" si="63"/>
        <v>PRIORIDAD MEDIA – seguimiento del asesor</v>
      </c>
      <c r="AO165">
        <f t="shared" si="64"/>
        <v>9.7899215926113143</v>
      </c>
      <c r="AP165">
        <f t="shared" si="65"/>
        <v>7.2005124859094494E-2</v>
      </c>
      <c r="AQ165">
        <f t="shared" si="66"/>
        <v>0</v>
      </c>
      <c r="AR165">
        <f t="shared" si="67"/>
        <v>1</v>
      </c>
      <c r="AS165">
        <f t="shared" si="68"/>
        <v>0</v>
      </c>
      <c r="AT165" t="str">
        <f t="shared" si="69"/>
        <v>VENTAS</v>
      </c>
      <c r="AU165">
        <f t="shared" si="70"/>
        <v>9.7899215926113143</v>
      </c>
      <c r="AV165" t="str">
        <f t="shared" si="71"/>
        <v>Mayor retorno probable: VENTAS (+9,8 puntos finales potenciales).</v>
      </c>
    </row>
    <row r="166" spans="1:48" x14ac:dyDescent="0.3">
      <c r="A166" s="5">
        <v>51012747</v>
      </c>
      <c r="B166" s="5" t="str">
        <f>IFERROR(VLOOKUP(A166,VENTAS!$A$2:$B$1194,2,0),"")</f>
        <v>ROBERTS</v>
      </c>
      <c r="C166" s="5">
        <f>IFERROR(INDEX(VENTAS!$C$2:$E$1194,MATCH(A166,VENTAS!$A$2:$A$1194,0),MATCH(PARAMS_MODELO!$B$2,{"Q1","Q2","Q3"},0)),0)</f>
        <v>156019086.19999999</v>
      </c>
      <c r="D166" s="5">
        <f>IFERROR(INDEX(VENTAS!$F$2:$H$1194,MATCH(A166,VENTAS!$A$2:$A$1194,0),MATCH(PARAMS_MODELO!$B$2,{"Q1","Q2","Q3"},0)),0)</f>
        <v>134158423</v>
      </c>
      <c r="E166" s="8">
        <f t="shared" si="48"/>
        <v>-0.14011531366090002</v>
      </c>
      <c r="F166" s="12">
        <f>IF(E166&lt;=PARAMS_MODELO!$B$15,0,IF(E166&gt;=PARAMS_MODELO!$B$17,100,100*MIN(1,(E166-PARAMS_MODELO!$B$15)/(PARAMS_MODELO!$B$16-PARAMS_MODELO!$B$15))))*PARAMS_MODELO!$B$7</f>
        <v>0</v>
      </c>
      <c r="G166" s="5">
        <f t="shared" si="49"/>
        <v>0</v>
      </c>
      <c r="H166" s="5">
        <f>(PARAMS_MODELO!$B$20*(MAX(0,MIN(3,E166))/3)+PARAMS_MODELO!$B$21*(IFERROR(LN(1+MAX(0,G166))/LN(1+MAX(0,MAX($G$2:$G$1194))),0)))*100*PARAMS_MODELO!$B$8</f>
        <v>0</v>
      </c>
      <c r="I166" s="8">
        <f>E166-PARAMS_MODELO!$B$5</f>
        <v>-0.31767814903642655</v>
      </c>
      <c r="J166" s="5">
        <f>IF(I166&lt;=PARAMS_MODELO!$B$18,0,IF(I166&gt;=PARAMS_MODELO!$B$19,100,100*(I166-PARAMS_MODELO!$B$18)/(PARAMS_MODELO!$B$19-PARAMS_MODELO!$B$18)))*PARAMS_MODELO!$B$9</f>
        <v>0</v>
      </c>
      <c r="K166" s="5">
        <f>IFERROR(CHOOSE(MATCH(PARAMS_MODELO!$B$2,{"Q1","Q2","Q3"},0),LOTO!$D166,LOTO!$F166,LOTO!$H166),0)</f>
        <v>6705000</v>
      </c>
      <c r="L166" s="8">
        <f t="shared" si="50"/>
        <v>4.9978226115552957E-2</v>
      </c>
      <c r="M166" s="5">
        <f>MIN(100,IF(PARAMS_MODELO!$B$23=0,0,100*L166/PARAMS_MODELO!$B$23))*PARAMS_MODELO!$B$10</f>
        <v>14.993467834665884</v>
      </c>
      <c r="N166" s="5">
        <f>IFERROR(VLOOKUP(A166,COMPLIANCE!$A$2:$F$1996,6,0),100)</f>
        <v>100</v>
      </c>
      <c r="O166" s="5">
        <f>N166*PARAMS_MODELO!$B$11</f>
        <v>10</v>
      </c>
      <c r="P166" s="5">
        <f>IFERROR(VLOOKUP(A166,DIGITAL!$A$2:$J$2000,7,0),100)</f>
        <v>37</v>
      </c>
      <c r="Q166" s="5">
        <f>IFERROR(P166,0)*PARAMS_MODELO!$B$12</f>
        <v>3.7</v>
      </c>
      <c r="R166">
        <f t="shared" si="51"/>
        <v>28.693467834665885</v>
      </c>
      <c r="S166" s="5" t="str">
        <f>IFERROR(VLOOKUP(A166,CLIENTE!$A$2:$N$2000,13,0),1)</f>
        <v>Regular</v>
      </c>
      <c r="T166" s="5">
        <f>IFERROR(VLOOKUP(A166,CLIENTE!$A$2:$N$2000,14,0),1)</f>
        <v>1</v>
      </c>
      <c r="U166" s="5">
        <f t="shared" si="52"/>
        <v>28.693467834665885</v>
      </c>
      <c r="V166" s="5" t="str">
        <f>IF(U166&gt;=MAX(_xlfn.PERCENTILE.INC($U$2:$U$1194,PARAMS_MODELO!$B$50),PARAMS_MODELO!$B$45),"DIAMANTE",IF(U166&gt;=MAX(_xlfn.PERCENTILE.INC($U$2:$U$1194,PARAMS_MODELO!$B$51),PARAMS_MODELO!$B$46),"PLATINO",IF(U166&gt;=MAX(_xlfn.PERCENTILE.INC($U$2:$U$1194,PARAMS_MODELO!$B$52),PARAMS_MODELO!$B$47),"ORO",IF(U166&gt;=MAX(_xlfn.PERCENTILE.INC($U$2:$U$1194,PARAMS_MODELO!$B$53),PARAMS_MODELO!$B$48),"PLATA",IF(U166&gt;=1,"BRONCE","CERRADO")))))</f>
        <v>PLATA</v>
      </c>
      <c r="W166" s="5" t="str" cm="1">
        <f t="array" ref="W166">_xlfn.XLOOKUP(1, (HIST_SCORE!$B:$B=PARAMS_MODELO!$B$4) * (HIST_SCORE!$C:$C=A166), HIST_SCORE!$E:$E, "No encontrado")</f>
        <v>PLATA</v>
      </c>
      <c r="X166" s="5" t="str">
        <f>_xlfn.LET(_xlpm.act,MATCH(V166,{"DIAMANTE";"PLATINO";"ORO";"PLATA";"BRONCE";"CERRADO"},0),_xlpm.ant,MATCH(W166,{"DIAMANTE";"PLATINO";"ORO";"PLATA";"BRONCE";"CERRADO"},0),IF(_xlpm.act&lt;_xlpm.ant,"Mejora ↑",IF(_xlpm.act&gt;_xlpm.ant,"Baja ↓","Estable →")))</f>
        <v>Estable →</v>
      </c>
      <c r="Y166" s="5">
        <f>IFERROR(U166-SUMIFS(HIST_SCORE!$D:$D,HIST_SCORE!$B:$B,PARAMS_MODELO!$B$4,HIST_SCORE!$C:$C,$A166),"")</f>
        <v>-18.093342989733433</v>
      </c>
      <c r="Z166" s="5" t="str">
        <f t="shared" si="53"/>
        <v>↓ Baja</v>
      </c>
      <c r="AA166" s="5">
        <f t="shared" si="54"/>
        <v>879</v>
      </c>
      <c r="AB166" s="5">
        <f>IFERROR(SUMIFS(HIST_SCORE!$F:$F,HIST_SCORE!$B:$B,PARAMS_MODELO!$B$4,HIST_SCORE!$C:$C,$A166),"")</f>
        <v>809</v>
      </c>
      <c r="AC166" s="5">
        <f t="shared" si="55"/>
        <v>-70</v>
      </c>
      <c r="AD166" t="str">
        <f t="shared" si="57"/>
        <v/>
      </c>
      <c r="AE1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166="CERRADO",1,IF(V166="BRONCE",_xlpm.cPl,IF(V166="PLATA",_xlpm.cO,IF(V166="ORO",_xlpm.cP,IF(V166="PLATINO",_xlpm.cD,999))))))</f>
        <v>63.199193273331495</v>
      </c>
      <c r="AF1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166="CERRADO",0,IF(V166="BRONCE",1,IF(V166="PLATA",_xlpm.cPl,IF(V166="ORO",_xlpm.cO,IF(V166="PLATINO",_xlpm.cP,_xlpm.cD))))))</f>
        <v>24.506573482968111</v>
      </c>
      <c r="AG166">
        <f t="shared" si="58"/>
        <v>34.505725438665607</v>
      </c>
      <c r="AH166" t="str">
        <f t="shared" si="59"/>
        <v>VENTAS</v>
      </c>
      <c r="AI166" t="str">
        <f t="shared" si="56"/>
        <v>🎯 Para subir de categoría, eje VENTAS / CRECIMIENTO PERSONAL (F). Acción: metas semanales + activación comercial + seguimiento del asesor. ΔR aprox: 34,5</v>
      </c>
      <c r="AJ166" s="26">
        <f>_xlfn.LET(_xlpm.piso,AF166,_xlpm.corte,AE166,_xlpm.prog,IF(_xlpm.corte&lt;=_xlpm.piso,0,MAX(0,MIN(1,(U166-_xlpm.piso)/(_xlpm.corte-_xlpm.piso)))),_xlpm.orden,{"DIAMANTE";"PLATINO";"ORO";"PLATA";"BRONCE";"CERRADO"},_xlpm.act,IFERROR(MATCH(V166,_xlpm.orden,0),6),_xlpm.ant,IFERROR(MATCH(W166,_xlpm.orden,0),6),_xlpm.ajmov,IF(_xlpm.act&lt;_xlpm.ant,0.08,IF(_xlpm.act&gt;_xlpm.ant,-0.08,0)),_xlpm.ajcli,IF(T166&lt;0.95,-0.06,0),_xlpm.prob,MAX(0,MIN(1,_xlpm.prog+_xlpm.ajmov+_xlpm.ajcli)),IF(OR(V166="DIAMANTE",V166="CERRADO"),0,ROUND(_xlpm.prob,2)))</f>
        <v>0.11</v>
      </c>
      <c r="AK166" t="str">
        <f t="shared" si="60"/>
        <v>Faltan 34,5 puntos base para subir a la siguiente categoría</v>
      </c>
      <c r="AL166" t="str">
        <f t="shared" si="61"/>
        <v>Margen de seguridad: 4,2 puntos</v>
      </c>
      <c r="AM166">
        <f t="shared" si="62"/>
        <v>0.76</v>
      </c>
      <c r="AN166" t="str">
        <f t="shared" si="63"/>
        <v>PRIORIDAD ALTA – requiere intervención inmediata</v>
      </c>
      <c r="AO166">
        <f t="shared" si="64"/>
        <v>64.862569275295584</v>
      </c>
      <c r="AP166">
        <f t="shared" si="65"/>
        <v>6.5321653341161579E-3</v>
      </c>
      <c r="AQ166">
        <f t="shared" si="66"/>
        <v>0</v>
      </c>
      <c r="AR166">
        <f t="shared" si="67"/>
        <v>6.3</v>
      </c>
      <c r="AS166">
        <f t="shared" si="68"/>
        <v>0</v>
      </c>
      <c r="AT166" t="str">
        <f t="shared" si="69"/>
        <v>VENTAS</v>
      </c>
      <c r="AU166">
        <f t="shared" si="70"/>
        <v>64.862569275295584</v>
      </c>
      <c r="AV166" t="str">
        <f t="shared" si="71"/>
        <v>Mayor retorno probable: VENTAS (+64,9 puntos finales potenciales).</v>
      </c>
    </row>
    <row r="167" spans="1:48" x14ac:dyDescent="0.3">
      <c r="A167" s="5">
        <v>51032900</v>
      </c>
      <c r="B167" s="5" t="str">
        <f>IFERROR(VLOOKUP(A167,VENTAS!$A$2:$B$1194,2,0),"")</f>
        <v>MONTENEGRO</v>
      </c>
      <c r="C167" s="5">
        <f>IFERROR(INDEX(VENTAS!$C$2:$E$1194,MATCH(A167,VENTAS!$A$2:$A$1194,0),MATCH(PARAMS_MODELO!$B$2,{"Q1","Q2","Q3"},0)),0)</f>
        <v>102339605.36</v>
      </c>
      <c r="D167" s="5">
        <f>IFERROR(INDEX(VENTAS!$F$2:$H$1194,MATCH(A167,VENTAS!$A$2:$A$1194,0),MATCH(PARAMS_MODELO!$B$2,{"Q1","Q2","Q3"},0)),0)</f>
        <v>134030366</v>
      </c>
      <c r="E167" s="8">
        <f t="shared" si="48"/>
        <v>0.30966272078655588</v>
      </c>
      <c r="F167" s="12">
        <f>IF(E167&lt;=PARAMS_MODELO!$B$15,0,IF(E167&gt;=PARAMS_MODELO!$B$17,100,100*MIN(1,(E167-PARAMS_MODELO!$B$15)/(PARAMS_MODELO!$B$16-PARAMS_MODELO!$B$15))))*PARAMS_MODELO!$B$7</f>
        <v>35</v>
      </c>
      <c r="G167" s="5">
        <f t="shared" si="49"/>
        <v>31690760.640000001</v>
      </c>
      <c r="H167" s="5">
        <f>(PARAMS_MODELO!$B$20*(MAX(0,MIN(3,E167))/3)+PARAMS_MODELO!$B$21*(IFERROR(LN(1+MAX(0,G167))/LN(1+MAX(0,MAX($G$2:$G$1194))),0)))*100*PARAMS_MODELO!$B$8</f>
        <v>5.1325086287970008</v>
      </c>
      <c r="I167" s="8">
        <f>E167-PARAMS_MODELO!$B$5</f>
        <v>0.13209988541102935</v>
      </c>
      <c r="J167" s="5">
        <f>IF(I167&lt;=PARAMS_MODELO!$B$18,0,IF(I167&gt;=PARAMS_MODELO!$B$19,100,100*(I167-PARAMS_MODELO!$B$18)/(PARAMS_MODELO!$B$19-PARAMS_MODELO!$B$18)))*PARAMS_MODELO!$B$9</f>
        <v>15</v>
      </c>
      <c r="K167" s="5">
        <f>IFERROR(CHOOSE(MATCH(PARAMS_MODELO!$B$2,{"Q1","Q2","Q3"},0),LOTO!$D167,LOTO!$F167,LOTO!$H167),0)</f>
        <v>6700000</v>
      </c>
      <c r="L167" s="8">
        <f t="shared" si="50"/>
        <v>4.9988671970051919E-2</v>
      </c>
      <c r="M167" s="5">
        <f>MIN(100,IF(PARAMS_MODELO!$B$23=0,0,100*L167/PARAMS_MODELO!$B$23))*PARAMS_MODELO!$B$10</f>
        <v>14.996601591015574</v>
      </c>
      <c r="N167" s="5">
        <f>IFERROR(VLOOKUP(A167,COMPLIANCE!$A$2:$F$1996,6,0),100)</f>
        <v>99.85</v>
      </c>
      <c r="O167" s="5">
        <f>N167*PARAMS_MODELO!$B$11</f>
        <v>9.9849999999999994</v>
      </c>
      <c r="P167" s="5">
        <f>IFERROR(VLOOKUP(A167,DIGITAL!$A$2:$J$2000,7,0),100)</f>
        <v>43</v>
      </c>
      <c r="Q167" s="5">
        <f>IFERROR(P167,0)*PARAMS_MODELO!$B$12</f>
        <v>4.3</v>
      </c>
      <c r="R167">
        <f t="shared" si="51"/>
        <v>84.414110219812571</v>
      </c>
      <c r="S167" s="5" t="str">
        <f>IFERROR(VLOOKUP(A167,CLIENTE!$A$2:$N$2000,13,0),1)</f>
        <v>Bueno</v>
      </c>
      <c r="T167" s="5">
        <f>IFERROR(VLOOKUP(A167,CLIENTE!$A$2:$N$2000,14,0),1)</f>
        <v>1.1000000000000001</v>
      </c>
      <c r="U167" s="5">
        <f t="shared" si="52"/>
        <v>92.855521241793838</v>
      </c>
      <c r="V167" s="5" t="str">
        <f>IF(U167&gt;=MAX(_xlfn.PERCENTILE.INC($U$2:$U$1194,PARAMS_MODELO!$B$50),PARAMS_MODELO!$B$45),"DIAMANTE",IF(U167&gt;=MAX(_xlfn.PERCENTILE.INC($U$2:$U$1194,PARAMS_MODELO!$B$51),PARAMS_MODELO!$B$46),"PLATINO",IF(U167&gt;=MAX(_xlfn.PERCENTILE.INC($U$2:$U$1194,PARAMS_MODELO!$B$52),PARAMS_MODELO!$B$47),"ORO",IF(U167&gt;=MAX(_xlfn.PERCENTILE.INC($U$2:$U$1194,PARAMS_MODELO!$B$53),PARAMS_MODELO!$B$48),"PLATA",IF(U167&gt;=1,"BRONCE","CERRADO")))))</f>
        <v>PLATINO</v>
      </c>
      <c r="W167" s="5" t="str" cm="1">
        <f t="array" ref="W167">_xlfn.XLOOKUP(1, (HIST_SCORE!$B:$B=PARAMS_MODELO!$B$4) * (HIST_SCORE!$C:$C=A167), HIST_SCORE!$E:$E, "No encontrado")</f>
        <v>ORO</v>
      </c>
      <c r="X167" s="5" t="str">
        <f>_xlfn.LET(_xlpm.act,MATCH(V167,{"DIAMANTE";"PLATINO";"ORO";"PLATA";"BRONCE";"CERRADO"},0),_xlpm.ant,MATCH(W167,{"DIAMANTE";"PLATINO";"ORO";"PLATA";"BRONCE";"CERRADO"},0),IF(_xlpm.act&lt;_xlpm.ant,"Mejora ↑",IF(_xlpm.act&gt;_xlpm.ant,"Baja ↓","Estable →")))</f>
        <v>Mejora ↑</v>
      </c>
      <c r="Y167" s="5">
        <f>IFERROR(U167-SUMIFS(HIST_SCORE!$D:$D,HIST_SCORE!$B:$B,PARAMS_MODELO!$B$4,HIST_SCORE!$C:$C,$A167),"")</f>
        <v>18.787680599993138</v>
      </c>
      <c r="Z167" s="5" t="str">
        <f t="shared" si="53"/>
        <v>↑ Mejora</v>
      </c>
      <c r="AA167" s="5">
        <f t="shared" si="54"/>
        <v>92</v>
      </c>
      <c r="AB167" s="5">
        <f>IFERROR(SUMIFS(HIST_SCORE!$F:$F,HIST_SCORE!$B:$B,PARAMS_MODELO!$B$4,HIST_SCORE!$C:$C,$A167),"")</f>
        <v>500</v>
      </c>
      <c r="AC167" s="5">
        <f t="shared" si="55"/>
        <v>408</v>
      </c>
      <c r="AD167" t="str">
        <f t="shared" si="57"/>
        <v/>
      </c>
      <c r="AE1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167="CERRADO",1,IF(V167="BRONCE",_xlpm.cPl,IF(V167="PLATA",_xlpm.cO,IF(V167="ORO",_xlpm.cP,IF(V167="PLATINO",_xlpm.cD,999))))))</f>
        <v>96.054919694466676</v>
      </c>
      <c r="AF1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167="CERRADO",0,IF(V167="BRONCE",1,IF(V167="PLATA",_xlpm.cPl,IF(V167="ORO",_xlpm.cO,IF(V167="PLATINO",_xlpm.cP,_xlpm.cD))))))</f>
        <v>86.439123873763251</v>
      </c>
      <c r="AG167">
        <f t="shared" si="58"/>
        <v>2.9085440478844049</v>
      </c>
      <c r="AH167" t="str">
        <f t="shared" si="59"/>
        <v>VENTAS</v>
      </c>
      <c r="AI167" t="str">
        <f t="shared" si="56"/>
        <v>🎯 Para subir de categoría, eje VENTAS / IMPACTO ABSOLUTO (H). Acción: metas semanales + activación comercial + seguimiento del asesor. ΔR aprox: 2,9</v>
      </c>
      <c r="AJ167" s="26">
        <f>_xlfn.LET(_xlpm.piso,AF167,_xlpm.corte,AE167,_xlpm.prog,IF(_xlpm.corte&lt;=_xlpm.piso,0,MAX(0,MIN(1,(U167-_xlpm.piso)/(_xlpm.corte-_xlpm.piso)))),_xlpm.orden,{"DIAMANTE";"PLATINO";"ORO";"PLATA";"BRONCE";"CERRADO"},_xlpm.act,IFERROR(MATCH(V167,_xlpm.orden,0),6),_xlpm.ant,IFERROR(MATCH(W167,_xlpm.orden,0),6),_xlpm.ajmov,IF(_xlpm.act&lt;_xlpm.ant,0.08,IF(_xlpm.act&gt;_xlpm.ant,-0.08,0)),_xlpm.ajcli,IF(T167&lt;0.95,-0.06,0),_xlpm.prob,MAX(0,MIN(1,_xlpm.prog+_xlpm.ajmov+_xlpm.ajcli)),IF(OR(V167="DIAMANTE",V167="CERRADO"),0,ROUND(_xlpm.prob,2)))</f>
        <v>0.75</v>
      </c>
      <c r="AK167" t="str">
        <f t="shared" si="60"/>
        <v>Faltan 2,9 puntos base para subir a la siguiente categoría</v>
      </c>
      <c r="AL167" t="str">
        <f t="shared" si="61"/>
        <v>Margen de seguridad: 6,4 puntos</v>
      </c>
      <c r="AM167">
        <f t="shared" si="62"/>
        <v>0.22</v>
      </c>
      <c r="AN167" t="str">
        <f t="shared" si="63"/>
        <v>PRIORIDAD BAJA – control normal</v>
      </c>
      <c r="AO167">
        <f t="shared" si="64"/>
        <v>10.703066711148445</v>
      </c>
      <c r="AP167">
        <f t="shared" si="65"/>
        <v>3.7382498828682389E-3</v>
      </c>
      <c r="AQ167">
        <f t="shared" si="66"/>
        <v>1.6500000000000625E-2</v>
      </c>
      <c r="AR167">
        <f t="shared" si="67"/>
        <v>6.2700000000000005</v>
      </c>
      <c r="AS167">
        <f t="shared" si="68"/>
        <v>0</v>
      </c>
      <c r="AT167" t="str">
        <f t="shared" si="69"/>
        <v>VENTAS</v>
      </c>
      <c r="AU167">
        <f t="shared" si="70"/>
        <v>10.703066711148445</v>
      </c>
      <c r="AV167" t="str">
        <f t="shared" si="71"/>
        <v>Mayor retorno probable: VENTAS (+10,7 puntos finales potenciales).</v>
      </c>
    </row>
    <row r="168" spans="1:48" x14ac:dyDescent="0.3">
      <c r="A168" s="5">
        <v>51056434</v>
      </c>
      <c r="B168" s="5" t="str">
        <f>IFERROR(VLOOKUP(A168,VENTAS!$A$2:$B$1194,2,0),"")</f>
        <v>MONTENEGRO</v>
      </c>
      <c r="C168" s="5">
        <f>IFERROR(INDEX(VENTAS!$C$2:$E$1194,MATCH(A168,VENTAS!$A$2:$A$1194,0),MATCH(PARAMS_MODELO!$B$2,{"Q1","Q2","Q3"},0)),0)</f>
        <v>98588224.430000007</v>
      </c>
      <c r="D168" s="5">
        <f>IFERROR(INDEX(VENTAS!$F$2:$H$1194,MATCH(A168,VENTAS!$A$2:$A$1194,0),MATCH(PARAMS_MODELO!$B$2,{"Q1","Q2","Q3"},0)),0)</f>
        <v>133967428</v>
      </c>
      <c r="E168" s="8">
        <f t="shared" si="48"/>
        <v>0.35885830964650411</v>
      </c>
      <c r="F168" s="12">
        <f>IF(E168&lt;=PARAMS_MODELO!$B$15,0,IF(E168&gt;=PARAMS_MODELO!$B$17,100,100*MIN(1,(E168-PARAMS_MODELO!$B$15)/(PARAMS_MODELO!$B$16-PARAMS_MODELO!$B$15))))*PARAMS_MODELO!$B$7</f>
        <v>35</v>
      </c>
      <c r="G168" s="5">
        <f t="shared" si="49"/>
        <v>35379203.569999993</v>
      </c>
      <c r="H168" s="5">
        <f>(PARAMS_MODELO!$B$20*(MAX(0,MIN(3,E168))/3)+PARAMS_MODELO!$B$21*(IFERROR(LN(1+MAX(0,G168))/LN(1+MAX(0,MAX($G$2:$G$1194))),0)))*100*PARAMS_MODELO!$B$8</f>
        <v>5.330501932115669</v>
      </c>
      <c r="I168" s="8">
        <f>E168-PARAMS_MODELO!$B$5</f>
        <v>0.18129547427097759</v>
      </c>
      <c r="J168" s="5">
        <f>IF(I168&lt;=PARAMS_MODELO!$B$18,0,IF(I168&gt;=PARAMS_MODELO!$B$19,100,100*(I168-PARAMS_MODELO!$B$18)/(PARAMS_MODELO!$B$19-PARAMS_MODELO!$B$18)))*PARAMS_MODELO!$B$9</f>
        <v>15</v>
      </c>
      <c r="K168" s="5">
        <f>IFERROR(CHOOSE(MATCH(PARAMS_MODELO!$B$2,{"Q1","Q2","Q3"},0),LOTO!$D168,LOTO!$F168,LOTO!$H168),0)</f>
        <v>6690000</v>
      </c>
      <c r="L168" s="8">
        <f t="shared" si="50"/>
        <v>4.9937511676345685E-2</v>
      </c>
      <c r="M168" s="5">
        <f>MIN(100,IF(PARAMS_MODELO!$B$23=0,0,100*L168/PARAMS_MODELO!$B$23))*PARAMS_MODELO!$B$10</f>
        <v>14.981253502903703</v>
      </c>
      <c r="N168" s="5">
        <f>IFERROR(VLOOKUP(A168,COMPLIANCE!$A$2:$F$1996,6,0),100)</f>
        <v>100</v>
      </c>
      <c r="O168" s="5">
        <f>N168*PARAMS_MODELO!$B$11</f>
        <v>10</v>
      </c>
      <c r="P168" s="5">
        <f>IFERROR(VLOOKUP(A168,DIGITAL!$A$2:$J$2000,7,0),100)</f>
        <v>21</v>
      </c>
      <c r="Q168" s="5">
        <f>IFERROR(P168,0)*PARAMS_MODELO!$B$12</f>
        <v>2.1</v>
      </c>
      <c r="R168">
        <f t="shared" si="51"/>
        <v>82.411755435019359</v>
      </c>
      <c r="S168" s="5" t="str">
        <f>IFERROR(VLOOKUP(A168,CLIENTE!$A$2:$N$2000,13,0),1)</f>
        <v>Regular</v>
      </c>
      <c r="T168" s="5">
        <f>IFERROR(VLOOKUP(A168,CLIENTE!$A$2:$N$2000,14,0),1)</f>
        <v>1</v>
      </c>
      <c r="U168" s="5">
        <f t="shared" si="52"/>
        <v>82.411755435019359</v>
      </c>
      <c r="V168" s="5" t="str">
        <f>IF(U168&gt;=MAX(_xlfn.PERCENTILE.INC($U$2:$U$1194,PARAMS_MODELO!$B$50),PARAMS_MODELO!$B$45),"DIAMANTE",IF(U168&gt;=MAX(_xlfn.PERCENTILE.INC($U$2:$U$1194,PARAMS_MODELO!$B$51),PARAMS_MODELO!$B$46),"PLATINO",IF(U168&gt;=MAX(_xlfn.PERCENTILE.INC($U$2:$U$1194,PARAMS_MODELO!$B$52),PARAMS_MODELO!$B$47),"ORO",IF(U168&gt;=MAX(_xlfn.PERCENTILE.INC($U$2:$U$1194,PARAMS_MODELO!$B$53),PARAMS_MODELO!$B$48),"PLATA",IF(U168&gt;=1,"BRONCE","CERRADO")))))</f>
        <v>ORO</v>
      </c>
      <c r="W168" s="5" t="str" cm="1">
        <f t="array" ref="W168">_xlfn.XLOOKUP(1, (HIST_SCORE!$B:$B=PARAMS_MODELO!$B$4) * (HIST_SCORE!$C:$C=A168), HIST_SCORE!$E:$E, "No encontrado")</f>
        <v>ORO</v>
      </c>
      <c r="X168" s="5" t="str">
        <f>_xlfn.LET(_xlpm.act,MATCH(V168,{"DIAMANTE";"PLATINO";"ORO";"PLATA";"BRONCE";"CERRADO"},0),_xlpm.ant,MATCH(W168,{"DIAMANTE";"PLATINO";"ORO";"PLATA";"BRONCE";"CERRADO"},0),IF(_xlpm.act&lt;_xlpm.ant,"Mejora ↑",IF(_xlpm.act&gt;_xlpm.ant,"Baja ↓","Estable →")))</f>
        <v>Estable →</v>
      </c>
      <c r="Y168" s="5">
        <f>IFERROR(U168-SUMIFS(HIST_SCORE!$D:$D,HIST_SCORE!$B:$B,PARAMS_MODELO!$B$4,HIST_SCORE!$C:$C,$A168),"")</f>
        <v>3.0448524725263582</v>
      </c>
      <c r="Z168" s="5" t="str">
        <f t="shared" si="53"/>
        <v>→ Estable</v>
      </c>
      <c r="AA168" s="5">
        <f t="shared" si="54"/>
        <v>377</v>
      </c>
      <c r="AB168" s="5">
        <f>IFERROR(SUMIFS(HIST_SCORE!$F:$F,HIST_SCORE!$B:$B,PARAMS_MODELO!$B$4,HIST_SCORE!$C:$C,$A168),"")</f>
        <v>431</v>
      </c>
      <c r="AC168" s="5">
        <f t="shared" si="55"/>
        <v>54</v>
      </c>
      <c r="AD168" t="str">
        <f t="shared" si="57"/>
        <v/>
      </c>
      <c r="AE1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168="CERRADO",1,IF(V168="BRONCE",_xlpm.cPl,IF(V168="PLATA",_xlpm.cO,IF(V168="ORO",_xlpm.cP,IF(V168="PLATINO",_xlpm.cD,999))))))</f>
        <v>86.439123873763251</v>
      </c>
      <c r="AF1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168="CERRADO",0,IF(V168="BRONCE",1,IF(V168="PLATA",_xlpm.cPl,IF(V168="ORO",_xlpm.cO,IF(V168="PLATINO",_xlpm.cP,_xlpm.cD))))))</f>
        <v>63.199193273331495</v>
      </c>
      <c r="AG168">
        <f t="shared" si="58"/>
        <v>4.0273684387438919</v>
      </c>
      <c r="AH168" t="str">
        <f t="shared" si="59"/>
        <v>VENTAS</v>
      </c>
      <c r="AI168" t="str">
        <f t="shared" si="56"/>
        <v>🎯 Para subir de categoría, eje VENTAS / IMPACTO ABSOLUTO (H). Acción: metas semanales + activación comercial + seguimiento del asesor. ΔR aprox: 4,0</v>
      </c>
      <c r="AJ168" s="26">
        <f>_xlfn.LET(_xlpm.piso,AF168,_xlpm.corte,AE168,_xlpm.prog,IF(_xlpm.corte&lt;=_xlpm.piso,0,MAX(0,MIN(1,(U168-_xlpm.piso)/(_xlpm.corte-_xlpm.piso)))),_xlpm.orden,{"DIAMANTE";"PLATINO";"ORO";"PLATA";"BRONCE";"CERRADO"},_xlpm.act,IFERROR(MATCH(V168,_xlpm.orden,0),6),_xlpm.ant,IFERROR(MATCH(W168,_xlpm.orden,0),6),_xlpm.ajmov,IF(_xlpm.act&lt;_xlpm.ant,0.08,IF(_xlpm.act&gt;_xlpm.ant,-0.08,0)),_xlpm.ajcli,IF(T168&lt;0.95,-0.06,0),_xlpm.prob,MAX(0,MIN(1,_xlpm.prog+_xlpm.ajmov+_xlpm.ajcli)),IF(OR(V168="DIAMANTE",V168="CERRADO"),0,ROUND(_xlpm.prob,2)))</f>
        <v>0.83</v>
      </c>
      <c r="AK168" t="str">
        <f t="shared" si="60"/>
        <v>Faltan 4,0 puntos base para subir a la siguiente categoría</v>
      </c>
      <c r="AL168" t="str">
        <f t="shared" si="61"/>
        <v>Margen de seguridad: 19,2 puntos</v>
      </c>
      <c r="AM168">
        <f t="shared" si="62"/>
        <v>0.23</v>
      </c>
      <c r="AN168" t="str">
        <f t="shared" si="63"/>
        <v>PRIORIDAD BAJA – control normal</v>
      </c>
      <c r="AO168">
        <f t="shared" si="64"/>
        <v>9.5320673431799179</v>
      </c>
      <c r="AP168">
        <f t="shared" si="65"/>
        <v>1.8746497096296721E-2</v>
      </c>
      <c r="AQ168">
        <f t="shared" si="66"/>
        <v>0</v>
      </c>
      <c r="AR168">
        <f t="shared" si="67"/>
        <v>7.9</v>
      </c>
      <c r="AS168">
        <f t="shared" si="68"/>
        <v>0</v>
      </c>
      <c r="AT168" t="str">
        <f t="shared" si="69"/>
        <v>VENTAS</v>
      </c>
      <c r="AU168">
        <f t="shared" si="70"/>
        <v>9.5320673431799179</v>
      </c>
      <c r="AV168" t="str">
        <f t="shared" si="71"/>
        <v>Mayor retorno probable: VENTAS (+9,5 puntos finales potenciales).</v>
      </c>
    </row>
    <row r="169" spans="1:48" x14ac:dyDescent="0.3">
      <c r="A169" s="5">
        <v>51019261</v>
      </c>
      <c r="B169" s="5" t="str">
        <f>IFERROR(VLOOKUP(A169,VENTAS!$A$2:$B$1194,2,0),"")</f>
        <v>PRADES</v>
      </c>
      <c r="C169" s="5">
        <f>IFERROR(INDEX(VENTAS!$C$2:$E$1194,MATCH(A169,VENTAS!$A$2:$A$1194,0),MATCH(PARAMS_MODELO!$B$2,{"Q1","Q2","Q3"},0)),0)</f>
        <v>198253090.15000001</v>
      </c>
      <c r="D169" s="5">
        <f>IFERROR(INDEX(VENTAS!$F$2:$H$1194,MATCH(A169,VENTAS!$A$2:$A$1194,0),MATCH(PARAMS_MODELO!$B$2,{"Q1","Q2","Q3"},0)),0)</f>
        <v>133722220</v>
      </c>
      <c r="E169" s="8">
        <f t="shared" si="48"/>
        <v>-0.3254974240309465</v>
      </c>
      <c r="F169" s="12">
        <f>IF(E169&lt;=PARAMS_MODELO!$B$15,0,IF(E169&gt;=PARAMS_MODELO!$B$17,100,100*MIN(1,(E169-PARAMS_MODELO!$B$15)/(PARAMS_MODELO!$B$16-PARAMS_MODELO!$B$15))))*PARAMS_MODELO!$B$7</f>
        <v>0</v>
      </c>
      <c r="G169" s="5">
        <f t="shared" si="49"/>
        <v>0</v>
      </c>
      <c r="H169" s="5">
        <f>(PARAMS_MODELO!$B$20*(MAX(0,MIN(3,E169))/3)+PARAMS_MODELO!$B$21*(IFERROR(LN(1+MAX(0,G169))/LN(1+MAX(0,MAX($G$2:$G$1194))),0)))*100*PARAMS_MODELO!$B$8</f>
        <v>0</v>
      </c>
      <c r="I169" s="8">
        <f>E169-PARAMS_MODELO!$B$5</f>
        <v>-0.50306025940647303</v>
      </c>
      <c r="J169" s="5">
        <f>IF(I169&lt;=PARAMS_MODELO!$B$18,0,IF(I169&gt;=PARAMS_MODELO!$B$19,100,100*(I169-PARAMS_MODELO!$B$18)/(PARAMS_MODELO!$B$19-PARAMS_MODELO!$B$18)))*PARAMS_MODELO!$B$9</f>
        <v>0</v>
      </c>
      <c r="K169" s="5">
        <f>IFERROR(CHOOSE(MATCH(PARAMS_MODELO!$B$2,{"Q1","Q2","Q3"},0),LOTO!$D169,LOTO!$F169,LOTO!$H169),0)</f>
        <v>6682500</v>
      </c>
      <c r="L169" s="8">
        <f t="shared" si="50"/>
        <v>4.9972996260456939E-2</v>
      </c>
      <c r="M169" s="5">
        <f>MIN(100,IF(PARAMS_MODELO!$B$23=0,0,100*L169/PARAMS_MODELO!$B$23))*PARAMS_MODELO!$B$10</f>
        <v>14.99189887813708</v>
      </c>
      <c r="N169" s="5">
        <f>IFERROR(VLOOKUP(A169,COMPLIANCE!$A$2:$F$1996,6,0),100)</f>
        <v>100</v>
      </c>
      <c r="O169" s="5">
        <f>N169*PARAMS_MODELO!$B$11</f>
        <v>10</v>
      </c>
      <c r="P169" s="5">
        <f>IFERROR(VLOOKUP(A169,DIGITAL!$A$2:$J$2000,7,0),100)</f>
        <v>99</v>
      </c>
      <c r="Q169" s="5">
        <f>IFERROR(P169,0)*PARAMS_MODELO!$B$12</f>
        <v>9.9</v>
      </c>
      <c r="R169">
        <f t="shared" si="51"/>
        <v>34.891898878137077</v>
      </c>
      <c r="S169" s="5" t="str">
        <f>IFERROR(VLOOKUP(A169,CLIENTE!$A$2:$N$2000,13,0),1)</f>
        <v>Bueno</v>
      </c>
      <c r="T169" s="5">
        <f>IFERROR(VLOOKUP(A169,CLIENTE!$A$2:$N$2000,14,0),1)</f>
        <v>1.1000000000000001</v>
      </c>
      <c r="U169" s="5">
        <f t="shared" si="52"/>
        <v>38.381088765950786</v>
      </c>
      <c r="V169" s="5" t="str">
        <f>IF(U169&gt;=MAX(_xlfn.PERCENTILE.INC($U$2:$U$1194,PARAMS_MODELO!$B$50),PARAMS_MODELO!$B$45),"DIAMANTE",IF(U169&gt;=MAX(_xlfn.PERCENTILE.INC($U$2:$U$1194,PARAMS_MODELO!$B$51),PARAMS_MODELO!$B$46),"PLATINO",IF(U169&gt;=MAX(_xlfn.PERCENTILE.INC($U$2:$U$1194,PARAMS_MODELO!$B$52),PARAMS_MODELO!$B$47),"ORO",IF(U169&gt;=MAX(_xlfn.PERCENTILE.INC($U$2:$U$1194,PARAMS_MODELO!$B$53),PARAMS_MODELO!$B$48),"PLATA",IF(U169&gt;=1,"BRONCE","CERRADO")))))</f>
        <v>PLATA</v>
      </c>
      <c r="W169" s="5" t="str" cm="1">
        <f t="array" ref="W169">_xlfn.XLOOKUP(1, (HIST_SCORE!$B:$B=PARAMS_MODELO!$B$4) * (HIST_SCORE!$C:$C=A169), HIST_SCORE!$E:$E, "No encontrado")</f>
        <v>PLATA</v>
      </c>
      <c r="X169" s="5" t="str">
        <f>_xlfn.LET(_xlpm.act,MATCH(V169,{"DIAMANTE";"PLATINO";"ORO";"PLATA";"BRONCE";"CERRADO"},0),_xlpm.ant,MATCH(W169,{"DIAMANTE";"PLATINO";"ORO";"PLATA";"BRONCE";"CERRADO"},0),IF(_xlpm.act&lt;_xlpm.ant,"Mejora ↑",IF(_xlpm.act&gt;_xlpm.ant,"Baja ↓","Estable →")))</f>
        <v>Estable →</v>
      </c>
      <c r="Y169" s="5">
        <f>IFERROR(U169-SUMIFS(HIST_SCORE!$D:$D,HIST_SCORE!$B:$B,PARAMS_MODELO!$B$4,HIST_SCORE!$C:$C,$A169),"")</f>
        <v>6.6843974793111975</v>
      </c>
      <c r="Z169" s="5" t="str">
        <f t="shared" si="53"/>
        <v>↑ Mejora</v>
      </c>
      <c r="AA169" s="5">
        <f t="shared" si="54"/>
        <v>794</v>
      </c>
      <c r="AB169" s="5">
        <f>IFERROR(SUMIFS(HIST_SCORE!$F:$F,HIST_SCORE!$B:$B,PARAMS_MODELO!$B$4,HIST_SCORE!$C:$C,$A169),"")</f>
        <v>892</v>
      </c>
      <c r="AC169" s="5">
        <f t="shared" si="55"/>
        <v>98</v>
      </c>
      <c r="AD169" t="str">
        <f t="shared" si="57"/>
        <v/>
      </c>
      <c r="AE1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169="CERRADO",1,IF(V169="BRONCE",_xlpm.cPl,IF(V169="PLATA",_xlpm.cO,IF(V169="ORO",_xlpm.cP,IF(V169="PLATINO",_xlpm.cD,999))))))</f>
        <v>63.199193273331495</v>
      </c>
      <c r="AF1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169="CERRADO",0,IF(V169="BRONCE",1,IF(V169="PLATA",_xlpm.cPl,IF(V169="ORO",_xlpm.cO,IF(V169="PLATINO",_xlpm.cP,_xlpm.cD))))))</f>
        <v>24.506573482968111</v>
      </c>
      <c r="AG169">
        <f t="shared" si="58"/>
        <v>22.561913188527917</v>
      </c>
      <c r="AH169" t="str">
        <f t="shared" si="59"/>
        <v>VENTAS</v>
      </c>
      <c r="AI169" t="str">
        <f t="shared" si="56"/>
        <v>🎯 Para subir de categoría, eje VENTAS / CRECIMIENTO PERSONAL (F). Acción: metas semanales + activación comercial + seguimiento del asesor. ΔR aprox: 22,6</v>
      </c>
      <c r="AJ169" s="26">
        <f>_xlfn.LET(_xlpm.piso,AF169,_xlpm.corte,AE169,_xlpm.prog,IF(_xlpm.corte&lt;=_xlpm.piso,0,MAX(0,MIN(1,(U169-_xlpm.piso)/(_xlpm.corte-_xlpm.piso)))),_xlpm.orden,{"DIAMANTE";"PLATINO";"ORO";"PLATA";"BRONCE";"CERRADO"},_xlpm.act,IFERROR(MATCH(V169,_xlpm.orden,0),6),_xlpm.ant,IFERROR(MATCH(W169,_xlpm.orden,0),6),_xlpm.ajmov,IF(_xlpm.act&lt;_xlpm.ant,0.08,IF(_xlpm.act&gt;_xlpm.ant,-0.08,0)),_xlpm.ajcli,IF(T169&lt;0.95,-0.06,0),_xlpm.prob,MAX(0,MIN(1,_xlpm.prog+_xlpm.ajmov+_xlpm.ajcli)),IF(OR(V169="DIAMANTE",V169="CERRADO"),0,ROUND(_xlpm.prob,2)))</f>
        <v>0.36</v>
      </c>
      <c r="AK169" t="str">
        <f t="shared" si="60"/>
        <v>Faltan 22,6 puntos base para subir a la siguiente categoría</v>
      </c>
      <c r="AL169" t="str">
        <f t="shared" si="61"/>
        <v>Margen de seguridad: 13,9 puntos</v>
      </c>
      <c r="AM169">
        <f t="shared" si="62"/>
        <v>0.66</v>
      </c>
      <c r="AN169" t="str">
        <f t="shared" si="63"/>
        <v>PRIORIDAD MEDIA – seguimiento del asesor</v>
      </c>
      <c r="AO169">
        <f t="shared" si="64"/>
        <v>71.348826202825151</v>
      </c>
      <c r="AP169">
        <f t="shared" si="65"/>
        <v>8.911234049211637E-3</v>
      </c>
      <c r="AQ169">
        <f t="shared" si="66"/>
        <v>0</v>
      </c>
      <c r="AR169">
        <f t="shared" si="67"/>
        <v>0.10999999999999961</v>
      </c>
      <c r="AS169">
        <f t="shared" si="68"/>
        <v>0</v>
      </c>
      <c r="AT169" t="str">
        <f t="shared" si="69"/>
        <v>VENTAS</v>
      </c>
      <c r="AU169">
        <f t="shared" si="70"/>
        <v>71.348826202825151</v>
      </c>
      <c r="AV169" t="str">
        <f t="shared" si="71"/>
        <v>Mayor retorno probable: VENTAS (+71,3 puntos finales potenciales).</v>
      </c>
    </row>
    <row r="170" spans="1:48" x14ac:dyDescent="0.3">
      <c r="A170" s="5">
        <v>51018486</v>
      </c>
      <c r="B170" s="5" t="str">
        <f>IFERROR(VLOOKUP(A170,VENTAS!$A$2:$B$1194,2,0),"")</f>
        <v>ROBERTS</v>
      </c>
      <c r="C170" s="5">
        <f>IFERROR(INDEX(VENTAS!$C$2:$E$1194,MATCH(A170,VENTAS!$A$2:$A$1194,0),MATCH(PARAMS_MODELO!$B$2,{"Q1","Q2","Q3"},0)),0)</f>
        <v>92817069.140000001</v>
      </c>
      <c r="D170" s="5">
        <f>IFERROR(INDEX(VENTAS!$F$2:$H$1194,MATCH(A170,VENTAS!$A$2:$A$1194,0),MATCH(PARAMS_MODELO!$B$2,{"Q1","Q2","Q3"},0)),0)</f>
        <v>133658163</v>
      </c>
      <c r="E170" s="8">
        <f t="shared" si="48"/>
        <v>0.44001705977590833</v>
      </c>
      <c r="F170" s="12">
        <f>IF(E170&lt;=PARAMS_MODELO!$B$15,0,IF(E170&gt;=PARAMS_MODELO!$B$17,100,100*MIN(1,(E170-PARAMS_MODELO!$B$15)/(PARAMS_MODELO!$B$16-PARAMS_MODELO!$B$15))))*PARAMS_MODELO!$B$7</f>
        <v>35</v>
      </c>
      <c r="G170" s="5">
        <f t="shared" si="49"/>
        <v>40841093.859999999</v>
      </c>
      <c r="H170" s="5">
        <f>(PARAMS_MODELO!$B$20*(MAX(0,MIN(3,E170))/3)+PARAMS_MODELO!$B$21*(IFERROR(LN(1+MAX(0,G170))/LN(1+MAX(0,MAX($G$2:$G$1194))),0)))*100*PARAMS_MODELO!$B$8</f>
        <v>5.6482111030046385</v>
      </c>
      <c r="I170" s="8">
        <f>E170-PARAMS_MODELO!$B$5</f>
        <v>0.2624542244003818</v>
      </c>
      <c r="J170" s="5">
        <f>IF(I170&lt;=PARAMS_MODELO!$B$18,0,IF(I170&gt;=PARAMS_MODELO!$B$19,100,100*(I170-PARAMS_MODELO!$B$18)/(PARAMS_MODELO!$B$19-PARAMS_MODELO!$B$18)))*PARAMS_MODELO!$B$9</f>
        <v>15</v>
      </c>
      <c r="K170" s="5">
        <f>IFERROR(CHOOSE(MATCH(PARAMS_MODELO!$B$2,{"Q1","Q2","Q3"},0),LOTO!$D170,LOTO!$F170,LOTO!$H170),0)</f>
        <v>6682500</v>
      </c>
      <c r="L170" s="8">
        <f t="shared" si="50"/>
        <v>4.9996946314457426E-2</v>
      </c>
      <c r="M170" s="5">
        <f>MIN(100,IF(PARAMS_MODELO!$B$23=0,0,100*L170/PARAMS_MODELO!$B$23))*PARAMS_MODELO!$B$10</f>
        <v>14.999083894337227</v>
      </c>
      <c r="N170" s="5">
        <f>IFERROR(VLOOKUP(A170,COMPLIANCE!$A$2:$F$1996,6,0),100)</f>
        <v>100</v>
      </c>
      <c r="O170" s="5">
        <f>N170*PARAMS_MODELO!$B$11</f>
        <v>10</v>
      </c>
      <c r="P170" s="5">
        <f>IFERROR(VLOOKUP(A170,DIGITAL!$A$2:$J$2000,7,0),100)</f>
        <v>61</v>
      </c>
      <c r="Q170" s="5">
        <f>IFERROR(P170,0)*PARAMS_MODELO!$B$12</f>
        <v>6.1000000000000005</v>
      </c>
      <c r="R170">
        <f t="shared" si="51"/>
        <v>86.747294997341868</v>
      </c>
      <c r="S170" s="5" t="str">
        <f>IFERROR(VLOOKUP(A170,CLIENTE!$A$2:$N$2000,13,0),1)</f>
        <v>Malo</v>
      </c>
      <c r="T170" s="5">
        <f>IFERROR(VLOOKUP(A170,CLIENTE!$A$2:$N$2000,14,0),1)</f>
        <v>0.7</v>
      </c>
      <c r="U170" s="5">
        <f t="shared" si="52"/>
        <v>60.723106498139302</v>
      </c>
      <c r="V170" s="5" t="str">
        <f>IF(U170&gt;=MAX(_xlfn.PERCENTILE.INC($U$2:$U$1194,PARAMS_MODELO!$B$50),PARAMS_MODELO!$B$45),"DIAMANTE",IF(U170&gt;=MAX(_xlfn.PERCENTILE.INC($U$2:$U$1194,PARAMS_MODELO!$B$51),PARAMS_MODELO!$B$46),"PLATINO",IF(U170&gt;=MAX(_xlfn.PERCENTILE.INC($U$2:$U$1194,PARAMS_MODELO!$B$52),PARAMS_MODELO!$B$47),"ORO",IF(U170&gt;=MAX(_xlfn.PERCENTILE.INC($U$2:$U$1194,PARAMS_MODELO!$B$53),PARAMS_MODELO!$B$48),"PLATA",IF(U170&gt;=1,"BRONCE","CERRADO")))))</f>
        <v>PLATA</v>
      </c>
      <c r="W170" s="5" t="str" cm="1">
        <f t="array" ref="W170">_xlfn.XLOOKUP(1, (HIST_SCORE!$B:$B=PARAMS_MODELO!$B$4) * (HIST_SCORE!$C:$C=A170), HIST_SCORE!$E:$E, "No encontrado")</f>
        <v>PLATA</v>
      </c>
      <c r="X170" s="5" t="str">
        <f>_xlfn.LET(_xlpm.act,MATCH(V170,{"DIAMANTE";"PLATINO";"ORO";"PLATA";"BRONCE";"CERRADO"},0),_xlpm.ant,MATCH(W170,{"DIAMANTE";"PLATINO";"ORO";"PLATA";"BRONCE";"CERRADO"},0),IF(_xlpm.act&lt;_xlpm.ant,"Mejora ↑",IF(_xlpm.act&gt;_xlpm.ant,"Baja ↓","Estable →")))</f>
        <v>Estable →</v>
      </c>
      <c r="Y170" s="5">
        <f>IFERROR(U170-SUMIFS(HIST_SCORE!$D:$D,HIST_SCORE!$B:$B,PARAMS_MODELO!$B$4,HIST_SCORE!$C:$C,$A170),"")</f>
        <v>-0.27022483267469966</v>
      </c>
      <c r="Z170" s="5" t="str">
        <f t="shared" si="53"/>
        <v>→ Estable</v>
      </c>
      <c r="AA170" s="5">
        <f t="shared" si="54"/>
        <v>604</v>
      </c>
      <c r="AB170" s="5">
        <f>IFERROR(SUMIFS(HIST_SCORE!$F:$F,HIST_SCORE!$B:$B,PARAMS_MODELO!$B$4,HIST_SCORE!$C:$C,$A170),"")</f>
        <v>632</v>
      </c>
      <c r="AC170" s="5">
        <f t="shared" si="55"/>
        <v>28</v>
      </c>
      <c r="AD170" t="str">
        <f t="shared" si="57"/>
        <v/>
      </c>
      <c r="AE1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170="CERRADO",1,IF(V170="BRONCE",_xlpm.cPl,IF(V170="PLATA",_xlpm.cO,IF(V170="ORO",_xlpm.cP,IF(V170="PLATINO",_xlpm.cD,999))))))</f>
        <v>63.199193273331495</v>
      </c>
      <c r="AF1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170="CERRADO",0,IF(V170="BRONCE",1,IF(V170="PLATA",_xlpm.cPl,IF(V170="ORO",_xlpm.cO,IF(V170="PLATINO",_xlpm.cP,_xlpm.cD))))))</f>
        <v>24.506573482968111</v>
      </c>
      <c r="AG170">
        <f t="shared" si="58"/>
        <v>3.5372668217031276</v>
      </c>
      <c r="AH170" t="str">
        <f t="shared" si="59"/>
        <v>CLIENTE</v>
      </c>
      <c r="AI170" t="str">
        <f t="shared" si="56"/>
        <v>🎯 Para subir de categoría, la eje con mayor impacto probable es CLIENTE (coef T). Acción: reducir quejas, mejorar incógnito y empujar reseñas. ΔR aprox: 3,5</v>
      </c>
      <c r="AJ170" s="26">
        <f>_xlfn.LET(_xlpm.piso,AF170,_xlpm.corte,AE170,_xlpm.prog,IF(_xlpm.corte&lt;=_xlpm.piso,0,MAX(0,MIN(1,(U170-_xlpm.piso)/(_xlpm.corte-_xlpm.piso)))),_xlpm.orden,{"DIAMANTE";"PLATINO";"ORO";"PLATA";"BRONCE";"CERRADO"},_xlpm.act,IFERROR(MATCH(V170,_xlpm.orden,0),6),_xlpm.ant,IFERROR(MATCH(W170,_xlpm.orden,0),6),_xlpm.ajmov,IF(_xlpm.act&lt;_xlpm.ant,0.08,IF(_xlpm.act&gt;_xlpm.ant,-0.08,0)),_xlpm.ajcli,IF(T170&lt;0.95,-0.06,0),_xlpm.prob,MAX(0,MIN(1,_xlpm.prog+_xlpm.ajmov+_xlpm.ajcli)),IF(OR(V170="DIAMANTE",V170="CERRADO"),0,ROUND(_xlpm.prob,2)))</f>
        <v>0.88</v>
      </c>
      <c r="AK170" t="str">
        <f t="shared" si="60"/>
        <v>Faltan 3,5 puntos base para subir a la siguiente categoría</v>
      </c>
      <c r="AL170" t="str">
        <f t="shared" si="61"/>
        <v>Margen de seguridad: 36,2 puntos</v>
      </c>
      <c r="AM170">
        <f t="shared" si="62"/>
        <v>0.39</v>
      </c>
      <c r="AN170" t="str">
        <f t="shared" si="63"/>
        <v>PRIORIDAD BAJA – control normal</v>
      </c>
      <c r="AO170">
        <f t="shared" si="64"/>
        <v>6.4500507206036595</v>
      </c>
      <c r="AP170">
        <f t="shared" si="65"/>
        <v>6.412739639410247E-4</v>
      </c>
      <c r="AQ170">
        <f t="shared" si="66"/>
        <v>0</v>
      </c>
      <c r="AR170">
        <f t="shared" si="67"/>
        <v>2.7299999999999995</v>
      </c>
      <c r="AS170">
        <f t="shared" si="68"/>
        <v>26.024188499202562</v>
      </c>
      <c r="AT170" t="str">
        <f t="shared" si="69"/>
        <v>CLIENTE</v>
      </c>
      <c r="AU170">
        <f t="shared" si="70"/>
        <v>26.024188499202562</v>
      </c>
      <c r="AV170" t="str">
        <f t="shared" si="71"/>
        <v>Mayor retorno probable: CLIENTE (+26,0 puntos finales potenciales).</v>
      </c>
    </row>
    <row r="171" spans="1:48" x14ac:dyDescent="0.3">
      <c r="A171" s="5">
        <v>51005732</v>
      </c>
      <c r="B171" s="5" t="str">
        <f>IFERROR(VLOOKUP(A171,VENTAS!$A$2:$B$1194,2,0),"")</f>
        <v>BELUZZO</v>
      </c>
      <c r="C171" s="5">
        <f>IFERROR(INDEX(VENTAS!$C$2:$E$1194,MATCH(A171,VENTAS!$A$2:$A$1194,0),MATCH(PARAMS_MODELO!$B$2,{"Q1","Q2","Q3"},0)),0)</f>
        <v>101268409.68000001</v>
      </c>
      <c r="D171" s="5">
        <f>IFERROR(INDEX(VENTAS!$F$2:$H$1194,MATCH(A171,VENTAS!$A$2:$A$1194,0),MATCH(PARAMS_MODELO!$B$2,{"Q1","Q2","Q3"},0)),0)</f>
        <v>133389612</v>
      </c>
      <c r="E171" s="8">
        <f t="shared" si="48"/>
        <v>0.31718877013572544</v>
      </c>
      <c r="F171" s="12">
        <f>IF(E171&lt;=PARAMS_MODELO!$B$15,0,IF(E171&gt;=PARAMS_MODELO!$B$17,100,100*MIN(1,(E171-PARAMS_MODELO!$B$15)/(PARAMS_MODELO!$B$16-PARAMS_MODELO!$B$15))))*PARAMS_MODELO!$B$7</f>
        <v>35</v>
      </c>
      <c r="G171" s="5">
        <f t="shared" si="49"/>
        <v>32121202.319999993</v>
      </c>
      <c r="H171" s="5">
        <f>(PARAMS_MODELO!$B$20*(MAX(0,MIN(3,E171))/3)+PARAMS_MODELO!$B$21*(IFERROR(LN(1+MAX(0,G171))/LN(1+MAX(0,MAX($G$2:$G$1194))),0)))*100*PARAMS_MODELO!$B$8</f>
        <v>5.1620123140525136</v>
      </c>
      <c r="I171" s="8">
        <f>E171-PARAMS_MODELO!$B$5</f>
        <v>0.13962593476019891</v>
      </c>
      <c r="J171" s="5">
        <f>IF(I171&lt;=PARAMS_MODELO!$B$18,0,IF(I171&gt;=PARAMS_MODELO!$B$19,100,100*(I171-PARAMS_MODELO!$B$18)/(PARAMS_MODELO!$B$19-PARAMS_MODELO!$B$18)))*PARAMS_MODELO!$B$9</f>
        <v>15</v>
      </c>
      <c r="K171" s="5">
        <f>IFERROR(CHOOSE(MATCH(PARAMS_MODELO!$B$2,{"Q1","Q2","Q3"},0),LOTO!$D171,LOTO!$F171,LOTO!$H171),0)</f>
        <v>6680000</v>
      </c>
      <c r="L171" s="8">
        <f t="shared" si="50"/>
        <v>5.0078862213048497E-2</v>
      </c>
      <c r="M171" s="5">
        <f>MIN(100,IF(PARAMS_MODELO!$B$23=0,0,100*L171/PARAMS_MODELO!$B$23))*PARAMS_MODELO!$B$10</f>
        <v>15</v>
      </c>
      <c r="N171" s="5">
        <f>IFERROR(VLOOKUP(A171,COMPLIANCE!$A$2:$F$1996,6,0),100)</f>
        <v>100</v>
      </c>
      <c r="O171" s="5">
        <f>N171*PARAMS_MODELO!$B$11</f>
        <v>10</v>
      </c>
      <c r="P171" s="5">
        <f>IFERROR(VLOOKUP(A171,DIGITAL!$A$2:$J$2000,7,0),100)</f>
        <v>87</v>
      </c>
      <c r="Q171" s="5">
        <f>IFERROR(P171,0)*PARAMS_MODELO!$B$12</f>
        <v>8.7000000000000011</v>
      </c>
      <c r="R171">
        <f t="shared" si="51"/>
        <v>88.862012314052507</v>
      </c>
      <c r="S171" s="5" t="str">
        <f>IFERROR(VLOOKUP(A171,CLIENTE!$A$2:$N$2000,13,0),1)</f>
        <v>Regular</v>
      </c>
      <c r="T171" s="5">
        <f>IFERROR(VLOOKUP(A171,CLIENTE!$A$2:$N$2000,14,0),1)</f>
        <v>1</v>
      </c>
      <c r="U171" s="5">
        <f t="shared" si="52"/>
        <v>88.862012314052507</v>
      </c>
      <c r="V171" s="5" t="str">
        <f>IF(U171&gt;=MAX(_xlfn.PERCENTILE.INC($U$2:$U$1194,PARAMS_MODELO!$B$50),PARAMS_MODELO!$B$45),"DIAMANTE",IF(U171&gt;=MAX(_xlfn.PERCENTILE.INC($U$2:$U$1194,PARAMS_MODELO!$B$51),PARAMS_MODELO!$B$46),"PLATINO",IF(U171&gt;=MAX(_xlfn.PERCENTILE.INC($U$2:$U$1194,PARAMS_MODELO!$B$52),PARAMS_MODELO!$B$47),"ORO",IF(U171&gt;=MAX(_xlfn.PERCENTILE.INC($U$2:$U$1194,PARAMS_MODELO!$B$53),PARAMS_MODELO!$B$48),"PLATA",IF(U171&gt;=1,"BRONCE","CERRADO")))))</f>
        <v>PLATINO</v>
      </c>
      <c r="W171" s="5" t="str" cm="1">
        <f t="array" ref="W171">_xlfn.XLOOKUP(1, (HIST_SCORE!$B:$B=PARAMS_MODELO!$B$4) * (HIST_SCORE!$C:$C=A171), HIST_SCORE!$E:$E, "No encontrado")</f>
        <v>ORO</v>
      </c>
      <c r="X171" s="5" t="str">
        <f>_xlfn.LET(_xlpm.act,MATCH(V171,{"DIAMANTE";"PLATINO";"ORO";"PLATA";"BRONCE";"CERRADO"},0),_xlpm.ant,MATCH(W171,{"DIAMANTE";"PLATINO";"ORO";"PLATA";"BRONCE";"CERRADO"},0),IF(_xlpm.act&lt;_xlpm.ant,"Mejora ↑",IF(_xlpm.act&gt;_xlpm.ant,"Baja ↓","Estable →")))</f>
        <v>Mejora ↑</v>
      </c>
      <c r="Y171" s="5">
        <f>IFERROR(U171-SUMIFS(HIST_SCORE!$D:$D,HIST_SCORE!$B:$B,PARAMS_MODELO!$B$4,HIST_SCORE!$C:$C,$A171),"")</f>
        <v>12.381086368021442</v>
      </c>
      <c r="Z171" s="5" t="str">
        <f t="shared" si="53"/>
        <v>↑ Mejora</v>
      </c>
      <c r="AA171" s="5">
        <f t="shared" si="54"/>
        <v>171</v>
      </c>
      <c r="AB171" s="5">
        <f>IFERROR(SUMIFS(HIST_SCORE!$F:$F,HIST_SCORE!$B:$B,PARAMS_MODELO!$B$4,HIST_SCORE!$C:$C,$A171),"")</f>
        <v>475</v>
      </c>
      <c r="AC171" s="5">
        <f t="shared" si="55"/>
        <v>304</v>
      </c>
      <c r="AD171" t="str">
        <f t="shared" si="57"/>
        <v/>
      </c>
      <c r="AE1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171="CERRADO",1,IF(V171="BRONCE",_xlpm.cPl,IF(V171="PLATA",_xlpm.cO,IF(V171="ORO",_xlpm.cP,IF(V171="PLATINO",_xlpm.cD,999))))))</f>
        <v>96.054919694466676</v>
      </c>
      <c r="AF1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171="CERRADO",0,IF(V171="BRONCE",1,IF(V171="PLATA",_xlpm.cPl,IF(V171="ORO",_xlpm.cO,IF(V171="PLATINO",_xlpm.cP,_xlpm.cD))))))</f>
        <v>86.439123873763251</v>
      </c>
      <c r="AG171">
        <f t="shared" si="58"/>
        <v>7.1929073804141694</v>
      </c>
      <c r="AH171" t="str">
        <f t="shared" si="59"/>
        <v>VENTAS</v>
      </c>
      <c r="AI171" t="str">
        <f t="shared" si="56"/>
        <v>🎯 Para subir de categoría, eje VENTAS / IMPACTO ABSOLUTO (H). Acción: metas semanales + activación comercial + seguimiento del asesor. ΔR aprox: 7,2</v>
      </c>
      <c r="AJ171" s="26">
        <f>_xlfn.LET(_xlpm.piso,AF171,_xlpm.corte,AE171,_xlpm.prog,IF(_xlpm.corte&lt;=_xlpm.piso,0,MAX(0,MIN(1,(U171-_xlpm.piso)/(_xlpm.corte-_xlpm.piso)))),_xlpm.orden,{"DIAMANTE";"PLATINO";"ORO";"PLATA";"BRONCE";"CERRADO"},_xlpm.act,IFERROR(MATCH(V171,_xlpm.orden,0),6),_xlpm.ant,IFERROR(MATCH(W171,_xlpm.orden,0),6),_xlpm.ajmov,IF(_xlpm.act&lt;_xlpm.ant,0.08,IF(_xlpm.act&gt;_xlpm.ant,-0.08,0)),_xlpm.ajcli,IF(T171&lt;0.95,-0.06,0),_xlpm.prob,MAX(0,MIN(1,_xlpm.prog+_xlpm.ajmov+_xlpm.ajcli)),IF(OR(V171="DIAMANTE",V171="CERRADO"),0,ROUND(_xlpm.prob,2)))</f>
        <v>0.33</v>
      </c>
      <c r="AK171" t="str">
        <f t="shared" si="60"/>
        <v>Faltan 7,2 puntos base para subir a la siguiente categoría</v>
      </c>
      <c r="AL171" t="str">
        <f t="shared" si="61"/>
        <v>Margen de seguridad: 2,4 puntos</v>
      </c>
      <c r="AM171">
        <f t="shared" si="62"/>
        <v>0.56000000000000005</v>
      </c>
      <c r="AN171" t="str">
        <f t="shared" si="63"/>
        <v>PRIORIDAD MEDIA – seguimiento del asesor</v>
      </c>
      <c r="AO171">
        <f t="shared" si="64"/>
        <v>9.7005569612430733</v>
      </c>
      <c r="AP171">
        <f t="shared" si="65"/>
        <v>0</v>
      </c>
      <c r="AQ171">
        <f t="shared" si="66"/>
        <v>0</v>
      </c>
      <c r="AR171">
        <f t="shared" si="67"/>
        <v>1.2999999999999989</v>
      </c>
      <c r="AS171">
        <f t="shared" si="68"/>
        <v>0</v>
      </c>
      <c r="AT171" t="str">
        <f t="shared" si="69"/>
        <v>VENTAS</v>
      </c>
      <c r="AU171">
        <f t="shared" si="70"/>
        <v>9.7005569612430733</v>
      </c>
      <c r="AV171" t="str">
        <f t="shared" si="71"/>
        <v>Mayor retorno probable: VENTAS (+9,7 puntos finales potenciales).</v>
      </c>
    </row>
    <row r="172" spans="1:48" x14ac:dyDescent="0.3">
      <c r="A172" s="5">
        <v>51039785</v>
      </c>
      <c r="B172" s="5" t="str">
        <f>IFERROR(VLOOKUP(A172,VENTAS!$A$2:$B$1194,2,0),"")</f>
        <v>MONTENEGRO</v>
      </c>
      <c r="C172" s="5">
        <f>IFERROR(INDEX(VENTAS!$C$2:$E$1194,MATCH(A172,VENTAS!$A$2:$A$1194,0),MATCH(PARAMS_MODELO!$B$2,{"Q1","Q2","Q3"},0)),0)</f>
        <v>61209556.719999999</v>
      </c>
      <c r="D172" s="5">
        <f>IFERROR(INDEX(VENTAS!$F$2:$H$1194,MATCH(A172,VENTAS!$A$2:$A$1194,0),MATCH(PARAMS_MODELO!$B$2,{"Q1","Q2","Q3"},0)),0)</f>
        <v>132944877</v>
      </c>
      <c r="E172" s="8">
        <f t="shared" si="48"/>
        <v>1.1719627477151904</v>
      </c>
      <c r="F172" s="12">
        <f>IF(E172&lt;=PARAMS_MODELO!$B$15,0,IF(E172&gt;=PARAMS_MODELO!$B$17,100,100*MIN(1,(E172-PARAMS_MODELO!$B$15)/(PARAMS_MODELO!$B$16-PARAMS_MODELO!$B$15))))*PARAMS_MODELO!$B$7</f>
        <v>35</v>
      </c>
      <c r="G172" s="5">
        <f t="shared" si="49"/>
        <v>71735320.280000001</v>
      </c>
      <c r="H172" s="5">
        <f>(PARAMS_MODELO!$B$20*(MAX(0,MIN(3,E172))/3)+PARAMS_MODELO!$B$21*(IFERROR(LN(1+MAX(0,G172))/LN(1+MAX(0,MAX($G$2:$G$1194))),0)))*100*PARAMS_MODELO!$B$8</f>
        <v>8.3420650940382401</v>
      </c>
      <c r="I172" s="8">
        <f>E172-PARAMS_MODELO!$B$5</f>
        <v>0.99439991233966385</v>
      </c>
      <c r="J172" s="5">
        <f>IF(I172&lt;=PARAMS_MODELO!$B$18,0,IF(I172&gt;=PARAMS_MODELO!$B$19,100,100*(I172-PARAMS_MODELO!$B$18)/(PARAMS_MODELO!$B$19-PARAMS_MODELO!$B$18)))*PARAMS_MODELO!$B$9</f>
        <v>15</v>
      </c>
      <c r="K172" s="5">
        <f>IFERROR(CHOOSE(MATCH(PARAMS_MODELO!$B$2,{"Q1","Q2","Q3"},0),LOTO!$D172,LOTO!$F172,LOTO!$H172),0)</f>
        <v>6657500</v>
      </c>
      <c r="L172" s="8">
        <f t="shared" si="50"/>
        <v>5.0077145883552929E-2</v>
      </c>
      <c r="M172" s="5">
        <f>MIN(100,IF(PARAMS_MODELO!$B$23=0,0,100*L172/PARAMS_MODELO!$B$23))*PARAMS_MODELO!$B$10</f>
        <v>15</v>
      </c>
      <c r="N172" s="5">
        <f>IFERROR(VLOOKUP(A172,COMPLIANCE!$A$2:$F$1996,6,0),100)</f>
        <v>100</v>
      </c>
      <c r="O172" s="5">
        <f>N172*PARAMS_MODELO!$B$11</f>
        <v>10</v>
      </c>
      <c r="P172" s="5">
        <f>IFERROR(VLOOKUP(A172,DIGITAL!$A$2:$J$2000,7,0),100)</f>
        <v>16</v>
      </c>
      <c r="Q172" s="5">
        <f>IFERROR(P172,0)*PARAMS_MODELO!$B$12</f>
        <v>1.6</v>
      </c>
      <c r="R172">
        <f t="shared" si="51"/>
        <v>84.942065094038242</v>
      </c>
      <c r="S172" s="5" t="str">
        <f>IFERROR(VLOOKUP(A172,CLIENTE!$A$2:$N$2000,13,0),1)</f>
        <v>Malo</v>
      </c>
      <c r="T172" s="5">
        <f>IFERROR(VLOOKUP(A172,CLIENTE!$A$2:$N$2000,14,0),1)</f>
        <v>0.7</v>
      </c>
      <c r="U172" s="5">
        <f t="shared" si="52"/>
        <v>59.459445565826762</v>
      </c>
      <c r="V172" s="5" t="str">
        <f>IF(U172&gt;=MAX(_xlfn.PERCENTILE.INC($U$2:$U$1194,PARAMS_MODELO!$B$50),PARAMS_MODELO!$B$45),"DIAMANTE",IF(U172&gt;=MAX(_xlfn.PERCENTILE.INC($U$2:$U$1194,PARAMS_MODELO!$B$51),PARAMS_MODELO!$B$46),"PLATINO",IF(U172&gt;=MAX(_xlfn.PERCENTILE.INC($U$2:$U$1194,PARAMS_MODELO!$B$52),PARAMS_MODELO!$B$47),"ORO",IF(U172&gt;=MAX(_xlfn.PERCENTILE.INC($U$2:$U$1194,PARAMS_MODELO!$B$53),PARAMS_MODELO!$B$48),"PLATA",IF(U172&gt;=1,"BRONCE","CERRADO")))))</f>
        <v>PLATA</v>
      </c>
      <c r="W172" s="5" t="str" cm="1">
        <f t="array" ref="W172">_xlfn.XLOOKUP(1, (HIST_SCORE!$B:$B=PARAMS_MODELO!$B$4) * (HIST_SCORE!$C:$C=A172), HIST_SCORE!$E:$E, "No encontrado")</f>
        <v>PLATA</v>
      </c>
      <c r="X172" s="5" t="str">
        <f>_xlfn.LET(_xlpm.act,MATCH(V172,{"DIAMANTE";"PLATINO";"ORO";"PLATA";"BRONCE";"CERRADO"},0),_xlpm.ant,MATCH(W172,{"DIAMANTE";"PLATINO";"ORO";"PLATA";"BRONCE";"CERRADO"},0),IF(_xlpm.act&lt;_xlpm.ant,"Mejora ↑",IF(_xlpm.act&gt;_xlpm.ant,"Baja ↓","Estable →")))</f>
        <v>Estable →</v>
      </c>
      <c r="Y172" s="5">
        <f>IFERROR(U172-SUMIFS(HIST_SCORE!$D:$D,HIST_SCORE!$B:$B,PARAMS_MODELO!$B$4,HIST_SCORE!$C:$C,$A172),"")</f>
        <v>1.3479580513403775</v>
      </c>
      <c r="Z172" s="5" t="str">
        <f t="shared" si="53"/>
        <v>→ Estable</v>
      </c>
      <c r="AA172" s="5">
        <f t="shared" si="54"/>
        <v>631</v>
      </c>
      <c r="AB172" s="5">
        <f>IFERROR(SUMIFS(HIST_SCORE!$F:$F,HIST_SCORE!$B:$B,PARAMS_MODELO!$B$4,HIST_SCORE!$C:$C,$A172),"")</f>
        <v>685</v>
      </c>
      <c r="AC172" s="5">
        <f t="shared" si="55"/>
        <v>54</v>
      </c>
      <c r="AD172" t="str">
        <f t="shared" si="57"/>
        <v/>
      </c>
      <c r="AE1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172="CERRADO",1,IF(V172="BRONCE",_xlpm.cPl,IF(V172="PLATA",_xlpm.cO,IF(V172="ORO",_xlpm.cP,IF(V172="PLATINO",_xlpm.cD,999))))))</f>
        <v>63.199193273331495</v>
      </c>
      <c r="AF1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172="CERRADO",0,IF(V172="BRONCE",1,IF(V172="PLATA",_xlpm.cPl,IF(V172="ORO",_xlpm.cO,IF(V172="PLATINO",_xlpm.cP,_xlpm.cD))))))</f>
        <v>24.506573482968111</v>
      </c>
      <c r="AG172">
        <f t="shared" si="58"/>
        <v>5.3424967250067539</v>
      </c>
      <c r="AH172" t="str">
        <f t="shared" si="59"/>
        <v>CLIENTE</v>
      </c>
      <c r="AI172" t="str">
        <f t="shared" si="56"/>
        <v>🎯 Para subir de categoría, la eje con mayor impacto probable es CLIENTE (coef T). Acción: reducir quejas, mejorar incógnito y empujar reseñas. ΔR aprox: 5,3</v>
      </c>
      <c r="AJ172" s="26">
        <f>_xlfn.LET(_xlpm.piso,AF172,_xlpm.corte,AE172,_xlpm.prog,IF(_xlpm.corte&lt;=_xlpm.piso,0,MAX(0,MIN(1,(U172-_xlpm.piso)/(_xlpm.corte-_xlpm.piso)))),_xlpm.orden,{"DIAMANTE";"PLATINO";"ORO";"PLATA";"BRONCE";"CERRADO"},_xlpm.act,IFERROR(MATCH(V172,_xlpm.orden,0),6),_xlpm.ant,IFERROR(MATCH(W172,_xlpm.orden,0),6),_xlpm.ajmov,IF(_xlpm.act&lt;_xlpm.ant,0.08,IF(_xlpm.act&gt;_xlpm.ant,-0.08,0)),_xlpm.ajcli,IF(T172&lt;0.95,-0.06,0),_xlpm.prob,MAX(0,MIN(1,_xlpm.prog+_xlpm.ajmov+_xlpm.ajcli)),IF(OR(V172="DIAMANTE",V172="CERRADO"),0,ROUND(_xlpm.prob,2)))</f>
        <v>0.84</v>
      </c>
      <c r="AK172" t="str">
        <f t="shared" si="60"/>
        <v>Faltan 5,3 puntos base para subir a la siguiente categoría</v>
      </c>
      <c r="AL172" t="str">
        <f t="shared" si="61"/>
        <v>Margen de seguridad: 35,0 puntos</v>
      </c>
      <c r="AM172">
        <f t="shared" si="62"/>
        <v>0.48</v>
      </c>
      <c r="AN172" t="str">
        <f t="shared" si="63"/>
        <v>PRIORIDAD MEDIA – seguimiento del asesor</v>
      </c>
      <c r="AO172">
        <f t="shared" si="64"/>
        <v>4.5643529268801402</v>
      </c>
      <c r="AP172">
        <f t="shared" si="65"/>
        <v>0</v>
      </c>
      <c r="AQ172">
        <f t="shared" si="66"/>
        <v>0</v>
      </c>
      <c r="AR172">
        <f t="shared" si="67"/>
        <v>5.88</v>
      </c>
      <c r="AS172">
        <f t="shared" si="68"/>
        <v>25.482619528211476</v>
      </c>
      <c r="AT172" t="str">
        <f t="shared" si="69"/>
        <v>CLIENTE</v>
      </c>
      <c r="AU172">
        <f t="shared" si="70"/>
        <v>25.482619528211476</v>
      </c>
      <c r="AV172" t="str">
        <f t="shared" si="71"/>
        <v>Mayor retorno probable: CLIENTE (+25,5 puntos finales potenciales).</v>
      </c>
    </row>
    <row r="173" spans="1:48" x14ac:dyDescent="0.3">
      <c r="A173" s="5">
        <v>51025865</v>
      </c>
      <c r="B173" s="5" t="str">
        <f>IFERROR(VLOOKUP(A173,VENTAS!$A$2:$B$1194,2,0),"")</f>
        <v>METTLER</v>
      </c>
      <c r="C173" s="5">
        <f>IFERROR(INDEX(VENTAS!$C$2:$E$1194,MATCH(A173,VENTAS!$A$2:$A$1194,0),MATCH(PARAMS_MODELO!$B$2,{"Q1","Q2","Q3"},0)),0)</f>
        <v>95833868.379999995</v>
      </c>
      <c r="D173" s="5">
        <f>IFERROR(INDEX(VENTAS!$F$2:$H$1194,MATCH(A173,VENTAS!$A$2:$A$1194,0),MATCH(PARAMS_MODELO!$B$2,{"Q1","Q2","Q3"},0)),0)</f>
        <v>132814079</v>
      </c>
      <c r="E173" s="8">
        <f t="shared" si="48"/>
        <v>0.38587830424799563</v>
      </c>
      <c r="F173" s="12">
        <f>IF(E173&lt;=PARAMS_MODELO!$B$15,0,IF(E173&gt;=PARAMS_MODELO!$B$17,100,100*MIN(1,(E173-PARAMS_MODELO!$B$15)/(PARAMS_MODELO!$B$16-PARAMS_MODELO!$B$15))))*PARAMS_MODELO!$B$7</f>
        <v>35</v>
      </c>
      <c r="G173" s="5">
        <f t="shared" si="49"/>
        <v>36980210.620000005</v>
      </c>
      <c r="H173" s="5">
        <f>(PARAMS_MODELO!$B$20*(MAX(0,MIN(3,E173))/3)+PARAMS_MODELO!$B$21*(IFERROR(LN(1+MAX(0,G173))/LN(1+MAX(0,MAX($G$2:$G$1194))),0)))*100*PARAMS_MODELO!$B$8</f>
        <v>5.4354467803438569</v>
      </c>
      <c r="I173" s="8">
        <f>E173-PARAMS_MODELO!$B$5</f>
        <v>0.2083154688724691</v>
      </c>
      <c r="J173" s="5">
        <f>IF(I173&lt;=PARAMS_MODELO!$B$18,0,IF(I173&gt;=PARAMS_MODELO!$B$19,100,100*(I173-PARAMS_MODELO!$B$18)/(PARAMS_MODELO!$B$19-PARAMS_MODELO!$B$18)))*PARAMS_MODELO!$B$9</f>
        <v>15</v>
      </c>
      <c r="K173" s="5">
        <f>IFERROR(CHOOSE(MATCH(PARAMS_MODELO!$B$2,{"Q1","Q2","Q3"},0),LOTO!$D173,LOTO!$F173,LOTO!$H173),0)</f>
        <v>6655000</v>
      </c>
      <c r="L173" s="8">
        <f t="shared" si="50"/>
        <v>5.0107639567338338E-2</v>
      </c>
      <c r="M173" s="5">
        <f>MIN(100,IF(PARAMS_MODELO!$B$23=0,0,100*L173/PARAMS_MODELO!$B$23))*PARAMS_MODELO!$B$10</f>
        <v>15</v>
      </c>
      <c r="N173" s="5">
        <f>IFERROR(VLOOKUP(A173,COMPLIANCE!$A$2:$F$1996,6,0),100)</f>
        <v>99.9</v>
      </c>
      <c r="O173" s="5">
        <f>N173*PARAMS_MODELO!$B$11</f>
        <v>9.990000000000002</v>
      </c>
      <c r="P173" s="5">
        <f>IFERROR(VLOOKUP(A173,DIGITAL!$A$2:$J$2000,7,0),100)</f>
        <v>21</v>
      </c>
      <c r="Q173" s="5">
        <f>IFERROR(P173,0)*PARAMS_MODELO!$B$12</f>
        <v>2.1</v>
      </c>
      <c r="R173">
        <f t="shared" si="51"/>
        <v>82.525446780343856</v>
      </c>
      <c r="S173" s="5" t="str">
        <f>IFERROR(VLOOKUP(A173,CLIENTE!$A$2:$N$2000,13,0),1)</f>
        <v>Bueno</v>
      </c>
      <c r="T173" s="5">
        <f>IFERROR(VLOOKUP(A173,CLIENTE!$A$2:$N$2000,14,0),1)</f>
        <v>1.1000000000000001</v>
      </c>
      <c r="U173" s="5">
        <f t="shared" si="52"/>
        <v>90.777991458378253</v>
      </c>
      <c r="V173" s="5" t="str">
        <f>IF(U173&gt;=MAX(_xlfn.PERCENTILE.INC($U$2:$U$1194,PARAMS_MODELO!$B$50),PARAMS_MODELO!$B$45),"DIAMANTE",IF(U173&gt;=MAX(_xlfn.PERCENTILE.INC($U$2:$U$1194,PARAMS_MODELO!$B$51),PARAMS_MODELO!$B$46),"PLATINO",IF(U173&gt;=MAX(_xlfn.PERCENTILE.INC($U$2:$U$1194,PARAMS_MODELO!$B$52),PARAMS_MODELO!$B$47),"ORO",IF(U173&gt;=MAX(_xlfn.PERCENTILE.INC($U$2:$U$1194,PARAMS_MODELO!$B$53),PARAMS_MODELO!$B$48),"PLATA",IF(U173&gt;=1,"BRONCE","CERRADO")))))</f>
        <v>PLATINO</v>
      </c>
      <c r="W173" s="5" t="str" cm="1">
        <f t="array" ref="W173">_xlfn.XLOOKUP(1, (HIST_SCORE!$B:$B=PARAMS_MODELO!$B$4) * (HIST_SCORE!$C:$C=A173), HIST_SCORE!$E:$E, "No encontrado")</f>
        <v>PLATINO</v>
      </c>
      <c r="X173" s="5" t="str">
        <f>_xlfn.LET(_xlpm.act,MATCH(V173,{"DIAMANTE";"PLATINO";"ORO";"PLATA";"BRONCE";"CERRADO"},0),_xlpm.ant,MATCH(W173,{"DIAMANTE";"PLATINO";"ORO";"PLATA";"BRONCE";"CERRADO"},0),IF(_xlpm.act&lt;_xlpm.ant,"Mejora ↑",IF(_xlpm.act&gt;_xlpm.ant,"Baja ↓","Estable →")))</f>
        <v>Estable →</v>
      </c>
      <c r="Y173" s="5">
        <f>IFERROR(U173-SUMIFS(HIST_SCORE!$D:$D,HIST_SCORE!$B:$B,PARAMS_MODELO!$B$4,HIST_SCORE!$C:$C,$A173),"")</f>
        <v>0.7247022357754247</v>
      </c>
      <c r="Z173" s="5" t="str">
        <f t="shared" si="53"/>
        <v>→ Estable</v>
      </c>
      <c r="AA173" s="5">
        <f t="shared" si="54"/>
        <v>118</v>
      </c>
      <c r="AB173" s="5">
        <f>IFERROR(SUMIFS(HIST_SCORE!$F:$F,HIST_SCORE!$B:$B,PARAMS_MODELO!$B$4,HIST_SCORE!$C:$C,$A173),"")</f>
        <v>130</v>
      </c>
      <c r="AC173" s="5">
        <f t="shared" si="55"/>
        <v>12</v>
      </c>
      <c r="AD173" t="str">
        <f t="shared" si="57"/>
        <v/>
      </c>
      <c r="AE1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173="CERRADO",1,IF(V173="BRONCE",_xlpm.cPl,IF(V173="PLATA",_xlpm.cO,IF(V173="ORO",_xlpm.cP,IF(V173="PLATINO",_xlpm.cD,999))))))</f>
        <v>96.054919694466676</v>
      </c>
      <c r="AF1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173="CERRADO",0,IF(V173="BRONCE",1,IF(V173="PLATA",_xlpm.cPl,IF(V173="ORO",_xlpm.cO,IF(V173="PLATINO",_xlpm.cP,_xlpm.cD))))))</f>
        <v>86.439123873763251</v>
      </c>
      <c r="AG173">
        <f t="shared" si="58"/>
        <v>4.7972074873531199</v>
      </c>
      <c r="AH173" t="str">
        <f t="shared" si="59"/>
        <v>VENTAS</v>
      </c>
      <c r="AI173" t="str">
        <f t="shared" si="56"/>
        <v>🎯 Para subir de categoría, eje VENTAS / IMPACTO ABSOLUTO (H). Acción: metas semanales + activación comercial + seguimiento del asesor. ΔR aprox: 4,8</v>
      </c>
      <c r="AJ173" s="26">
        <f>_xlfn.LET(_xlpm.piso,AF173,_xlpm.corte,AE173,_xlpm.prog,IF(_xlpm.corte&lt;=_xlpm.piso,0,MAX(0,MIN(1,(U173-_xlpm.piso)/(_xlpm.corte-_xlpm.piso)))),_xlpm.orden,{"DIAMANTE";"PLATINO";"ORO";"PLATA";"BRONCE";"CERRADO"},_xlpm.act,IFERROR(MATCH(V173,_xlpm.orden,0),6),_xlpm.ant,IFERROR(MATCH(W173,_xlpm.orden,0),6),_xlpm.ajmov,IF(_xlpm.act&lt;_xlpm.ant,0.08,IF(_xlpm.act&gt;_xlpm.ant,-0.08,0)),_xlpm.ajcli,IF(T173&lt;0.95,-0.06,0),_xlpm.prob,MAX(0,MIN(1,_xlpm.prog+_xlpm.ajmov+_xlpm.ajcli)),IF(OR(V173="DIAMANTE",V173="CERRADO"),0,ROUND(_xlpm.prob,2)))</f>
        <v>0.45</v>
      </c>
      <c r="AK173" t="str">
        <f t="shared" si="60"/>
        <v>Faltan 4,8 puntos base para subir a la siguiente categoría</v>
      </c>
      <c r="AL173" t="str">
        <f t="shared" si="61"/>
        <v>Margen de seguridad: 4,3 puntos</v>
      </c>
      <c r="AM173">
        <f t="shared" si="62"/>
        <v>0.41</v>
      </c>
      <c r="AN173" t="str">
        <f t="shared" si="63"/>
        <v>PRIORIDAD MEDIA – seguimiento del asesor</v>
      </c>
      <c r="AO173">
        <f t="shared" si="64"/>
        <v>10.369834744446898</v>
      </c>
      <c r="AP173">
        <f t="shared" si="65"/>
        <v>0</v>
      </c>
      <c r="AQ173">
        <f t="shared" si="66"/>
        <v>1.0999999999997812E-2</v>
      </c>
      <c r="AR173">
        <f t="shared" si="67"/>
        <v>8.6900000000000013</v>
      </c>
      <c r="AS173">
        <f t="shared" si="68"/>
        <v>0</v>
      </c>
      <c r="AT173" t="str">
        <f t="shared" si="69"/>
        <v>VENTAS</v>
      </c>
      <c r="AU173">
        <f t="shared" si="70"/>
        <v>10.369834744446898</v>
      </c>
      <c r="AV173" t="str">
        <f t="shared" si="71"/>
        <v>Mayor retorno probable: VENTAS (+10,4 puntos finales potenciales).</v>
      </c>
    </row>
    <row r="174" spans="1:48" x14ac:dyDescent="0.3">
      <c r="A174" s="5">
        <v>51015657</v>
      </c>
      <c r="B174" s="5" t="str">
        <f>IFERROR(VLOOKUP(A174,VENTAS!$A$2:$B$1194,2,0),"")</f>
        <v>METTLER</v>
      </c>
      <c r="C174" s="5">
        <f>IFERROR(INDEX(VENTAS!$C$2:$E$1194,MATCH(A174,VENTAS!$A$2:$A$1194,0),MATCH(PARAMS_MODELO!$B$2,{"Q1","Q2","Q3"},0)),0)</f>
        <v>89366507.109999999</v>
      </c>
      <c r="D174" s="5">
        <f>IFERROR(INDEX(VENTAS!$F$2:$H$1194,MATCH(A174,VENTAS!$A$2:$A$1194,0),MATCH(PARAMS_MODELO!$B$2,{"Q1","Q2","Q3"},0)),0)</f>
        <v>132805148</v>
      </c>
      <c r="E174" s="8">
        <f t="shared" si="48"/>
        <v>0.48607294046450722</v>
      </c>
      <c r="F174" s="12">
        <f>IF(E174&lt;=PARAMS_MODELO!$B$15,0,IF(E174&gt;=PARAMS_MODELO!$B$17,100,100*MIN(1,(E174-PARAMS_MODELO!$B$15)/(PARAMS_MODELO!$B$16-PARAMS_MODELO!$B$15))))*PARAMS_MODELO!$B$7</f>
        <v>35</v>
      </c>
      <c r="G174" s="5">
        <f t="shared" si="49"/>
        <v>43438640.890000001</v>
      </c>
      <c r="H174" s="5">
        <f>(PARAMS_MODELO!$B$20*(MAX(0,MIN(3,E174))/3)+PARAMS_MODELO!$B$21*(IFERROR(LN(1+MAX(0,G174))/LN(1+MAX(0,MAX($G$2:$G$1194))),0)))*100*PARAMS_MODELO!$B$8</f>
        <v>5.8238607931383939</v>
      </c>
      <c r="I174" s="8">
        <f>E174-PARAMS_MODELO!$B$5</f>
        <v>0.30851010508898069</v>
      </c>
      <c r="J174" s="5">
        <f>IF(I174&lt;=PARAMS_MODELO!$B$18,0,IF(I174&gt;=PARAMS_MODELO!$B$19,100,100*(I174-PARAMS_MODELO!$B$18)/(PARAMS_MODELO!$B$19-PARAMS_MODELO!$B$18)))*PARAMS_MODELO!$B$9</f>
        <v>15</v>
      </c>
      <c r="K174" s="5">
        <f>IFERROR(CHOOSE(MATCH(PARAMS_MODELO!$B$2,{"Q1","Q2","Q3"},0),LOTO!$D174,LOTO!$F174,LOTO!$H174),0)</f>
        <v>6652500</v>
      </c>
      <c r="L174" s="8">
        <f t="shared" si="50"/>
        <v>5.0092184679467397E-2</v>
      </c>
      <c r="M174" s="5">
        <f>MIN(100,IF(PARAMS_MODELO!$B$23=0,0,100*L174/PARAMS_MODELO!$B$23))*PARAMS_MODELO!$B$10</f>
        <v>15</v>
      </c>
      <c r="N174" s="5">
        <f>IFERROR(VLOOKUP(A174,COMPLIANCE!$A$2:$F$1996,6,0),100)</f>
        <v>100</v>
      </c>
      <c r="O174" s="5">
        <f>N174*PARAMS_MODELO!$B$11</f>
        <v>10</v>
      </c>
      <c r="P174" s="5">
        <f>IFERROR(VLOOKUP(A174,DIGITAL!$A$2:$J$2000,7,0),100)</f>
        <v>62</v>
      </c>
      <c r="Q174" s="5">
        <f>IFERROR(P174,0)*PARAMS_MODELO!$B$12</f>
        <v>6.2</v>
      </c>
      <c r="R174">
        <f t="shared" si="51"/>
        <v>87.023860793138397</v>
      </c>
      <c r="S174" s="5" t="str">
        <f>IFERROR(VLOOKUP(A174,CLIENTE!$A$2:$N$2000,13,0),1)</f>
        <v>Bueno</v>
      </c>
      <c r="T174" s="5">
        <f>IFERROR(VLOOKUP(A174,CLIENTE!$A$2:$N$2000,14,0),1)</f>
        <v>1.1000000000000001</v>
      </c>
      <c r="U174" s="5">
        <f t="shared" si="52"/>
        <v>95.726246872452251</v>
      </c>
      <c r="V174" s="5" t="str">
        <f>IF(U174&gt;=MAX(_xlfn.PERCENTILE.INC($U$2:$U$1194,PARAMS_MODELO!$B$50),PARAMS_MODELO!$B$45),"DIAMANTE",IF(U174&gt;=MAX(_xlfn.PERCENTILE.INC($U$2:$U$1194,PARAMS_MODELO!$B$51),PARAMS_MODELO!$B$46),"PLATINO",IF(U174&gt;=MAX(_xlfn.PERCENTILE.INC($U$2:$U$1194,PARAMS_MODELO!$B$52),PARAMS_MODELO!$B$47),"ORO",IF(U174&gt;=MAX(_xlfn.PERCENTILE.INC($U$2:$U$1194,PARAMS_MODELO!$B$53),PARAMS_MODELO!$B$48),"PLATA",IF(U174&gt;=1,"BRONCE","CERRADO")))))</f>
        <v>PLATINO</v>
      </c>
      <c r="W174" s="5" t="str" cm="1">
        <f t="array" ref="W174">_xlfn.XLOOKUP(1, (HIST_SCORE!$B:$B=PARAMS_MODELO!$B$4) * (HIST_SCORE!$C:$C=A174), HIST_SCORE!$E:$E, "No encontrado")</f>
        <v>PLATINO</v>
      </c>
      <c r="X174" s="5" t="str">
        <f>_xlfn.LET(_xlpm.act,MATCH(V174,{"DIAMANTE";"PLATINO";"ORO";"PLATA";"BRONCE";"CERRADO"},0),_xlpm.ant,MATCH(W174,{"DIAMANTE";"PLATINO";"ORO";"PLATA";"BRONCE";"CERRADO"},0),IF(_xlpm.act&lt;_xlpm.ant,"Mejora ↑",IF(_xlpm.act&gt;_xlpm.ant,"Baja ↓","Estable →")))</f>
        <v>Estable →</v>
      </c>
      <c r="Y174" s="5">
        <f>IFERROR(U174-SUMIFS(HIST_SCORE!$D:$D,HIST_SCORE!$B:$B,PARAMS_MODELO!$B$4,HIST_SCORE!$C:$C,$A174),"")</f>
        <v>0.49406552495845801</v>
      </c>
      <c r="Z174" s="5" t="str">
        <f t="shared" si="53"/>
        <v>→ Estable</v>
      </c>
      <c r="AA174" s="5">
        <f t="shared" si="54"/>
        <v>63</v>
      </c>
      <c r="AB174" s="5">
        <f>IFERROR(SUMIFS(HIST_SCORE!$F:$F,HIST_SCORE!$B:$B,PARAMS_MODELO!$B$4,HIST_SCORE!$C:$C,$A174),"")</f>
        <v>62</v>
      </c>
      <c r="AC174" s="5">
        <f t="shared" si="55"/>
        <v>-1</v>
      </c>
      <c r="AD174" t="str">
        <f t="shared" si="57"/>
        <v/>
      </c>
      <c r="AE1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174="CERRADO",1,IF(V174="BRONCE",_xlpm.cPl,IF(V174="PLATA",_xlpm.cO,IF(V174="ORO",_xlpm.cP,IF(V174="PLATINO",_xlpm.cD,999))))))</f>
        <v>96.054919694466676</v>
      </c>
      <c r="AF1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174="CERRADO",0,IF(V174="BRONCE",1,IF(V174="PLATA",_xlpm.cPl,IF(V174="ORO",_xlpm.cO,IF(V174="PLATINO",_xlpm.cP,_xlpm.cD))))))</f>
        <v>86.439123873763251</v>
      </c>
      <c r="AG174">
        <f t="shared" si="58"/>
        <v>0.29879347455857896</v>
      </c>
      <c r="AH174" t="str">
        <f t="shared" si="59"/>
        <v>VENTAS</v>
      </c>
      <c r="AI174" t="str">
        <f t="shared" si="56"/>
        <v>🎯 Para subir de categoría, eje VENTAS / IMPACTO ABSOLUTO (H). Acción: metas semanales + activación comercial + seguimiento del asesor. ΔR aprox: 0,3</v>
      </c>
      <c r="AJ174" s="26">
        <f>_xlfn.LET(_xlpm.piso,AF174,_xlpm.corte,AE174,_xlpm.prog,IF(_xlpm.corte&lt;=_xlpm.piso,0,MAX(0,MIN(1,(U174-_xlpm.piso)/(_xlpm.corte-_xlpm.piso)))),_xlpm.orden,{"DIAMANTE";"PLATINO";"ORO";"PLATA";"BRONCE";"CERRADO"},_xlpm.act,IFERROR(MATCH(V174,_xlpm.orden,0),6),_xlpm.ant,IFERROR(MATCH(W174,_xlpm.orden,0),6),_xlpm.ajmov,IF(_xlpm.act&lt;_xlpm.ant,0.08,IF(_xlpm.act&gt;_xlpm.ant,-0.08,0)),_xlpm.ajcli,IF(T174&lt;0.95,-0.06,0),_xlpm.prob,MAX(0,MIN(1,_xlpm.prog+_xlpm.ajmov+_xlpm.ajcli)),IF(OR(V174="DIAMANTE",V174="CERRADO"),0,ROUND(_xlpm.prob,2)))</f>
        <v>0.97</v>
      </c>
      <c r="AK174" t="str">
        <f t="shared" si="60"/>
        <v>Faltan 0,3 puntos base para subir a la siguiente categoría</v>
      </c>
      <c r="AL174" t="str">
        <f t="shared" si="61"/>
        <v>Margen de seguridad: 9,3 puntos</v>
      </c>
      <c r="AM174">
        <f t="shared" si="62"/>
        <v>0.02</v>
      </c>
      <c r="AN174" t="str">
        <f t="shared" si="63"/>
        <v>PRIORIDAD BAJA – control normal</v>
      </c>
      <c r="AO174">
        <f t="shared" si="64"/>
        <v>9.9425793303729098</v>
      </c>
      <c r="AP174">
        <f t="shared" si="65"/>
        <v>0</v>
      </c>
      <c r="AQ174">
        <f t="shared" si="66"/>
        <v>0</v>
      </c>
      <c r="AR174">
        <f t="shared" si="67"/>
        <v>4.18</v>
      </c>
      <c r="AS174">
        <f t="shared" si="68"/>
        <v>0</v>
      </c>
      <c r="AT174" t="str">
        <f t="shared" si="69"/>
        <v>VENTAS</v>
      </c>
      <c r="AU174">
        <f t="shared" si="70"/>
        <v>9.9425793303729098</v>
      </c>
      <c r="AV174" t="str">
        <f t="shared" si="71"/>
        <v>Mayor retorno probable: VENTAS (+9,9 puntos finales potenciales).</v>
      </c>
    </row>
    <row r="175" spans="1:48" x14ac:dyDescent="0.3">
      <c r="A175" s="5">
        <v>51001168</v>
      </c>
      <c r="B175" s="5" t="str">
        <f>IFERROR(VLOOKUP(A175,VENTAS!$A$2:$B$1194,2,0),"")</f>
        <v>ROBERTS</v>
      </c>
      <c r="C175" s="5">
        <f>IFERROR(INDEX(VENTAS!$C$2:$E$1194,MATCH(A175,VENTAS!$A$2:$A$1194,0),MATCH(PARAMS_MODELO!$B$2,{"Q1","Q2","Q3"},0)),0)</f>
        <v>83655896.829999998</v>
      </c>
      <c r="D175" s="5">
        <f>IFERROR(INDEX(VENTAS!$F$2:$H$1194,MATCH(A175,VENTAS!$A$2:$A$1194,0),MATCH(PARAMS_MODELO!$B$2,{"Q1","Q2","Q3"},0)),0)</f>
        <v>131795807</v>
      </c>
      <c r="E175" s="8">
        <f t="shared" si="48"/>
        <v>0.57545148631693888</v>
      </c>
      <c r="F175" s="12">
        <f>IF(E175&lt;=PARAMS_MODELO!$B$15,0,IF(E175&gt;=PARAMS_MODELO!$B$17,100,100*MIN(1,(E175-PARAMS_MODELO!$B$15)/(PARAMS_MODELO!$B$16-PARAMS_MODELO!$B$15))))*PARAMS_MODELO!$B$7</f>
        <v>35</v>
      </c>
      <c r="G175" s="5">
        <f t="shared" si="49"/>
        <v>48139910.170000002</v>
      </c>
      <c r="H175" s="5">
        <f>(PARAMS_MODELO!$B$20*(MAX(0,MIN(3,E175))/3)+PARAMS_MODELO!$B$21*(IFERROR(LN(1+MAX(0,G175))/LN(1+MAX(0,MAX($G$2:$G$1194))),0)))*100*PARAMS_MODELO!$B$8</f>
        <v>6.1607745923112232</v>
      </c>
      <c r="I175" s="8">
        <f>E175-PARAMS_MODELO!$B$5</f>
        <v>0.39788865094141235</v>
      </c>
      <c r="J175" s="5">
        <f>IF(I175&lt;=PARAMS_MODELO!$B$18,0,IF(I175&gt;=PARAMS_MODELO!$B$19,100,100*(I175-PARAMS_MODELO!$B$18)/(PARAMS_MODELO!$B$19-PARAMS_MODELO!$B$18)))*PARAMS_MODELO!$B$9</f>
        <v>15</v>
      </c>
      <c r="K175" s="5">
        <f>IFERROR(CHOOSE(MATCH(PARAMS_MODELO!$B$2,{"Q1","Q2","Q3"},0),LOTO!$D175,LOTO!$F175,LOTO!$H175),0)</f>
        <v>6645000</v>
      </c>
      <c r="L175" s="8">
        <f t="shared" si="50"/>
        <v>5.0418902932169912E-2</v>
      </c>
      <c r="M175" s="5">
        <f>MIN(100,IF(PARAMS_MODELO!$B$23=0,0,100*L175/PARAMS_MODELO!$B$23))*PARAMS_MODELO!$B$10</f>
        <v>15</v>
      </c>
      <c r="N175" s="5">
        <f>IFERROR(VLOOKUP(A175,COMPLIANCE!$A$2:$F$1996,6,0),100)</f>
        <v>99.55</v>
      </c>
      <c r="O175" s="5">
        <f>N175*PARAMS_MODELO!$B$11</f>
        <v>9.9550000000000001</v>
      </c>
      <c r="P175" s="5">
        <f>IFERROR(VLOOKUP(A175,DIGITAL!$A$2:$J$2000,7,0),100)</f>
        <v>52</v>
      </c>
      <c r="Q175" s="5">
        <f>IFERROR(P175,0)*PARAMS_MODELO!$B$12</f>
        <v>5.2</v>
      </c>
      <c r="R175">
        <f t="shared" si="51"/>
        <v>86.315774592311215</v>
      </c>
      <c r="S175" s="5" t="str">
        <f>IFERROR(VLOOKUP(A175,CLIENTE!$A$2:$N$2000,13,0),1)</f>
        <v>Regular</v>
      </c>
      <c r="T175" s="5">
        <f>IFERROR(VLOOKUP(A175,CLIENTE!$A$2:$N$2000,14,0),1)</f>
        <v>1</v>
      </c>
      <c r="U175" s="5">
        <f t="shared" si="52"/>
        <v>86.315774592311215</v>
      </c>
      <c r="V175" s="5" t="str">
        <f>IF(U175&gt;=MAX(_xlfn.PERCENTILE.INC($U$2:$U$1194,PARAMS_MODELO!$B$50),PARAMS_MODELO!$B$45),"DIAMANTE",IF(U175&gt;=MAX(_xlfn.PERCENTILE.INC($U$2:$U$1194,PARAMS_MODELO!$B$51),PARAMS_MODELO!$B$46),"PLATINO",IF(U175&gt;=MAX(_xlfn.PERCENTILE.INC($U$2:$U$1194,PARAMS_MODELO!$B$52),PARAMS_MODELO!$B$47),"ORO",IF(U175&gt;=MAX(_xlfn.PERCENTILE.INC($U$2:$U$1194,PARAMS_MODELO!$B$53),PARAMS_MODELO!$B$48),"PLATA",IF(U175&gt;=1,"BRONCE","CERRADO")))))</f>
        <v>ORO</v>
      </c>
      <c r="W175" s="5" t="str" cm="1">
        <f t="array" ref="W175">_xlfn.XLOOKUP(1, (HIST_SCORE!$B:$B=PARAMS_MODELO!$B$4) * (HIST_SCORE!$C:$C=A175), HIST_SCORE!$E:$E, "No encontrado")</f>
        <v>ORO</v>
      </c>
      <c r="X175" s="5" t="str">
        <f>_xlfn.LET(_xlpm.act,MATCH(V175,{"DIAMANTE";"PLATINO";"ORO";"PLATA";"BRONCE";"CERRADO"},0),_xlpm.ant,MATCH(W175,{"DIAMANTE";"PLATINO";"ORO";"PLATA";"BRONCE";"CERRADO"},0),IF(_xlpm.act&lt;_xlpm.ant,"Mejora ↑",IF(_xlpm.act&gt;_xlpm.ant,"Baja ↓","Estable →")))</f>
        <v>Estable →</v>
      </c>
      <c r="Y175" s="5">
        <f>IFERROR(U175-SUMIFS(HIST_SCORE!$D:$D,HIST_SCORE!$B:$B,PARAMS_MODELO!$B$4,HIST_SCORE!$C:$C,$A175),"")</f>
        <v>0.42384231536360062</v>
      </c>
      <c r="Z175" s="5" t="str">
        <f t="shared" si="53"/>
        <v>→ Estable</v>
      </c>
      <c r="AA175" s="5">
        <f t="shared" si="54"/>
        <v>243</v>
      </c>
      <c r="AB175" s="5">
        <f>IFERROR(SUMIFS(HIST_SCORE!$F:$F,HIST_SCORE!$B:$B,PARAMS_MODELO!$B$4,HIST_SCORE!$C:$C,$A175),"")</f>
        <v>240</v>
      </c>
      <c r="AC175" s="5">
        <f t="shared" si="55"/>
        <v>-3</v>
      </c>
      <c r="AD175" t="str">
        <f t="shared" si="57"/>
        <v/>
      </c>
      <c r="AE1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175="CERRADO",1,IF(V175="BRONCE",_xlpm.cPl,IF(V175="PLATA",_xlpm.cO,IF(V175="ORO",_xlpm.cP,IF(V175="PLATINO",_xlpm.cD,999))))))</f>
        <v>86.439123873763251</v>
      </c>
      <c r="AF1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175="CERRADO",0,IF(V175="BRONCE",1,IF(V175="PLATA",_xlpm.cPl,IF(V175="ORO",_xlpm.cO,IF(V175="PLATINO",_xlpm.cP,_xlpm.cD))))))</f>
        <v>63.199193273331495</v>
      </c>
      <c r="AG175">
        <f t="shared" si="58"/>
        <v>0.12334928145203605</v>
      </c>
      <c r="AH175" t="str">
        <f t="shared" si="59"/>
        <v>VENTAS</v>
      </c>
      <c r="AI175" t="str">
        <f t="shared" si="56"/>
        <v>🎯 Para subir de categoría, eje VENTAS / IMPACTO ABSOLUTO (H). Acción: metas semanales + activación comercial + seguimiento del asesor. ΔR aprox: 0,1</v>
      </c>
      <c r="AJ175" s="26">
        <f>_xlfn.LET(_xlpm.piso,AF175,_xlpm.corte,AE175,_xlpm.prog,IF(_xlpm.corte&lt;=_xlpm.piso,0,MAX(0,MIN(1,(U175-_xlpm.piso)/(_xlpm.corte-_xlpm.piso)))),_xlpm.orden,{"DIAMANTE";"PLATINO";"ORO";"PLATA";"BRONCE";"CERRADO"},_xlpm.act,IFERROR(MATCH(V175,_xlpm.orden,0),6),_xlpm.ant,IFERROR(MATCH(W175,_xlpm.orden,0),6),_xlpm.ajmov,IF(_xlpm.act&lt;_xlpm.ant,0.08,IF(_xlpm.act&gt;_xlpm.ant,-0.08,0)),_xlpm.ajcli,IF(T175&lt;0.95,-0.06,0),_xlpm.prob,MAX(0,MIN(1,_xlpm.prog+_xlpm.ajmov+_xlpm.ajcli)),IF(OR(V175="DIAMANTE",V175="CERRADO"),0,ROUND(_xlpm.prob,2)))</f>
        <v>0.99</v>
      </c>
      <c r="AK175" t="str">
        <f t="shared" si="60"/>
        <v>Faltan 0,1 puntos base para subir a la siguiente categoría</v>
      </c>
      <c r="AL175" t="str">
        <f t="shared" si="61"/>
        <v>Margen de seguridad: 23,1 puntos</v>
      </c>
      <c r="AM175">
        <f t="shared" si="62"/>
        <v>0.01</v>
      </c>
      <c r="AN175" t="str">
        <f t="shared" si="63"/>
        <v>PRIORIDAD BAJA – control normal</v>
      </c>
      <c r="AO175">
        <f t="shared" si="64"/>
        <v>8.7017946829843638</v>
      </c>
      <c r="AP175">
        <f t="shared" si="65"/>
        <v>0</v>
      </c>
      <c r="AQ175">
        <f t="shared" si="66"/>
        <v>4.4999999999999929E-2</v>
      </c>
      <c r="AR175">
        <f t="shared" si="67"/>
        <v>4.8</v>
      </c>
      <c r="AS175">
        <f t="shared" si="68"/>
        <v>0</v>
      </c>
      <c r="AT175" t="str">
        <f t="shared" si="69"/>
        <v>VENTAS</v>
      </c>
      <c r="AU175">
        <f t="shared" si="70"/>
        <v>8.7017946829843638</v>
      </c>
      <c r="AV175" t="str">
        <f t="shared" si="71"/>
        <v>Mayor retorno probable: VENTAS (+8,7 puntos finales potenciales).</v>
      </c>
    </row>
    <row r="176" spans="1:48" x14ac:dyDescent="0.3">
      <c r="A176" s="5">
        <v>51021380</v>
      </c>
      <c r="B176" s="5" t="str">
        <f>IFERROR(VLOOKUP(A176,VENTAS!$A$2:$B$1194,2,0),"")</f>
        <v>LÓPEZ</v>
      </c>
      <c r="C176" s="5">
        <f>IFERROR(INDEX(VENTAS!$C$2:$E$1194,MATCH(A176,VENTAS!$A$2:$A$1194,0),MATCH(PARAMS_MODELO!$B$2,{"Q1","Q2","Q3"},0)),0)</f>
        <v>83576636.739999995</v>
      </c>
      <c r="D176" s="5">
        <f>IFERROR(INDEX(VENTAS!$F$2:$H$1194,MATCH(A176,VENTAS!$A$2:$A$1194,0),MATCH(PARAMS_MODELO!$B$2,{"Q1","Q2","Q3"},0)),0)</f>
        <v>130287199</v>
      </c>
      <c r="E176" s="8">
        <f t="shared" si="48"/>
        <v>0.55889497450480929</v>
      </c>
      <c r="F176" s="12">
        <f>IF(E176&lt;=PARAMS_MODELO!$B$15,0,IF(E176&gt;=PARAMS_MODELO!$B$17,100,100*MIN(1,(E176-PARAMS_MODELO!$B$15)/(PARAMS_MODELO!$B$16-PARAMS_MODELO!$B$15))))*PARAMS_MODELO!$B$7</f>
        <v>35</v>
      </c>
      <c r="G176" s="5">
        <f t="shared" si="49"/>
        <v>46710562.260000005</v>
      </c>
      <c r="H176" s="5">
        <f>(PARAMS_MODELO!$B$20*(MAX(0,MIN(3,E176))/3)+PARAMS_MODELO!$B$21*(IFERROR(LN(1+MAX(0,G176))/LN(1+MAX(0,MAX($G$2:$G$1194))),0)))*100*PARAMS_MODELO!$B$8</f>
        <v>6.095761270236232</v>
      </c>
      <c r="I176" s="8">
        <f>E176-PARAMS_MODELO!$B$5</f>
        <v>0.38133213912928277</v>
      </c>
      <c r="J176" s="5">
        <f>IF(I176&lt;=PARAMS_MODELO!$B$18,0,IF(I176&gt;=PARAMS_MODELO!$B$19,100,100*(I176-PARAMS_MODELO!$B$18)/(PARAMS_MODELO!$B$19-PARAMS_MODELO!$B$18)))*PARAMS_MODELO!$B$9</f>
        <v>15</v>
      </c>
      <c r="K176" s="5">
        <f>IFERROR(CHOOSE(MATCH(PARAMS_MODELO!$B$2,{"Q1","Q2","Q3"},0),LOTO!$D176,LOTO!$F176,LOTO!$H176),0)</f>
        <v>6617500</v>
      </c>
      <c r="L176" s="8">
        <f t="shared" si="50"/>
        <v>5.0791636099260989E-2</v>
      </c>
      <c r="M176" s="5">
        <f>MIN(100,IF(PARAMS_MODELO!$B$23=0,0,100*L176/PARAMS_MODELO!$B$23))*PARAMS_MODELO!$B$10</f>
        <v>15</v>
      </c>
      <c r="N176" s="5">
        <f>IFERROR(VLOOKUP(A176,COMPLIANCE!$A$2:$F$1996,6,0),100)</f>
        <v>100</v>
      </c>
      <c r="O176" s="5">
        <f>N176*PARAMS_MODELO!$B$11</f>
        <v>10</v>
      </c>
      <c r="P176" s="5">
        <f>IFERROR(VLOOKUP(A176,DIGITAL!$A$2:$J$2000,7,0),100)</f>
        <v>29</v>
      </c>
      <c r="Q176" s="5">
        <f>IFERROR(P176,0)*PARAMS_MODELO!$B$12</f>
        <v>2.9000000000000004</v>
      </c>
      <c r="R176">
        <f t="shared" si="51"/>
        <v>83.995761270236244</v>
      </c>
      <c r="S176" s="5" t="str">
        <f>IFERROR(VLOOKUP(A176,CLIENTE!$A$2:$N$2000,13,0),1)</f>
        <v>Regular</v>
      </c>
      <c r="T176" s="5">
        <f>IFERROR(VLOOKUP(A176,CLIENTE!$A$2:$N$2000,14,0),1)</f>
        <v>1</v>
      </c>
      <c r="U176" s="5">
        <f t="shared" si="52"/>
        <v>83.995761270236244</v>
      </c>
      <c r="V176" s="5" t="str">
        <f>IF(U176&gt;=MAX(_xlfn.PERCENTILE.INC($U$2:$U$1194,PARAMS_MODELO!$B$50),PARAMS_MODELO!$B$45),"DIAMANTE",IF(U176&gt;=MAX(_xlfn.PERCENTILE.INC($U$2:$U$1194,PARAMS_MODELO!$B$51),PARAMS_MODELO!$B$46),"PLATINO",IF(U176&gt;=MAX(_xlfn.PERCENTILE.INC($U$2:$U$1194,PARAMS_MODELO!$B$52),PARAMS_MODELO!$B$47),"ORO",IF(U176&gt;=MAX(_xlfn.PERCENTILE.INC($U$2:$U$1194,PARAMS_MODELO!$B$53),PARAMS_MODELO!$B$48),"PLATA",IF(U176&gt;=1,"BRONCE","CERRADO")))))</f>
        <v>ORO</v>
      </c>
      <c r="W176" s="5" t="str" cm="1">
        <f t="array" ref="W176">_xlfn.XLOOKUP(1, (HIST_SCORE!$B:$B=PARAMS_MODELO!$B$4) * (HIST_SCORE!$C:$C=A176), HIST_SCORE!$E:$E, "No encontrado")</f>
        <v>ORO</v>
      </c>
      <c r="X176" s="5" t="str">
        <f>_xlfn.LET(_xlpm.act,MATCH(V176,{"DIAMANTE";"PLATINO";"ORO";"PLATA";"BRONCE";"CERRADO"},0),_xlpm.ant,MATCH(W176,{"DIAMANTE";"PLATINO";"ORO";"PLATA";"BRONCE";"CERRADO"},0),IF(_xlpm.act&lt;_xlpm.ant,"Mejora ↑",IF(_xlpm.act&gt;_xlpm.ant,"Baja ↓","Estable →")))</f>
        <v>Estable →</v>
      </c>
      <c r="Y176" s="5">
        <f>IFERROR(U176-SUMIFS(HIST_SCORE!$D:$D,HIST_SCORE!$B:$B,PARAMS_MODELO!$B$4,HIST_SCORE!$C:$C,$A176),"")</f>
        <v>3.1471920785292298</v>
      </c>
      <c r="Z176" s="5" t="str">
        <f t="shared" si="53"/>
        <v>→ Estable</v>
      </c>
      <c r="AA176" s="5">
        <f t="shared" si="54"/>
        <v>322</v>
      </c>
      <c r="AB176" s="5">
        <f>IFERROR(SUMIFS(HIST_SCORE!$F:$F,HIST_SCORE!$B:$B,PARAMS_MODELO!$B$4,HIST_SCORE!$C:$C,$A176),"")</f>
        <v>396</v>
      </c>
      <c r="AC176" s="5">
        <f t="shared" si="55"/>
        <v>74</v>
      </c>
      <c r="AD176" t="str">
        <f t="shared" si="57"/>
        <v/>
      </c>
      <c r="AE1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176="CERRADO",1,IF(V176="BRONCE",_xlpm.cPl,IF(V176="PLATA",_xlpm.cO,IF(V176="ORO",_xlpm.cP,IF(V176="PLATINO",_xlpm.cD,999))))))</f>
        <v>86.439123873763251</v>
      </c>
      <c r="AF1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176="CERRADO",0,IF(V176="BRONCE",1,IF(V176="PLATA",_xlpm.cPl,IF(V176="ORO",_xlpm.cO,IF(V176="PLATINO",_xlpm.cP,_xlpm.cD))))))</f>
        <v>63.199193273331495</v>
      </c>
      <c r="AG176">
        <f t="shared" si="58"/>
        <v>2.4433626035270066</v>
      </c>
      <c r="AH176" t="str">
        <f t="shared" si="59"/>
        <v>VENTAS</v>
      </c>
      <c r="AI176" t="str">
        <f t="shared" si="56"/>
        <v>🎯 Para subir de categoría, eje VENTAS / IMPACTO ABSOLUTO (H). Acción: metas semanales + activación comercial + seguimiento del asesor. ΔR aprox: 2,4</v>
      </c>
      <c r="AJ176" s="26">
        <f>_xlfn.LET(_xlpm.piso,AF176,_xlpm.corte,AE176,_xlpm.prog,IF(_xlpm.corte&lt;=_xlpm.piso,0,MAX(0,MIN(1,(U176-_xlpm.piso)/(_xlpm.corte-_xlpm.piso)))),_xlpm.orden,{"DIAMANTE";"PLATINO";"ORO";"PLATA";"BRONCE";"CERRADO"},_xlpm.act,IFERROR(MATCH(V176,_xlpm.orden,0),6),_xlpm.ant,IFERROR(MATCH(W176,_xlpm.orden,0),6),_xlpm.ajmov,IF(_xlpm.act&lt;_xlpm.ant,0.08,IF(_xlpm.act&gt;_xlpm.ant,-0.08,0)),_xlpm.ajcli,IF(T176&lt;0.95,-0.06,0),_xlpm.prob,MAX(0,MIN(1,_xlpm.prog+_xlpm.ajmov+_xlpm.ajcli)),IF(OR(V176="DIAMANTE",V176="CERRADO"),0,ROUND(_xlpm.prob,2)))</f>
        <v>0.89</v>
      </c>
      <c r="AK176" t="str">
        <f t="shared" si="60"/>
        <v>Faltan 2,4 puntos base para subir a la siguiente categoría</v>
      </c>
      <c r="AL176" t="str">
        <f t="shared" si="61"/>
        <v>Margen de seguridad: 20,8 puntos</v>
      </c>
      <c r="AM176">
        <f t="shared" si="62"/>
        <v>0.14000000000000001</v>
      </c>
      <c r="AN176" t="str">
        <f t="shared" si="63"/>
        <v>PRIORIDAD BAJA – control normal</v>
      </c>
      <c r="AO176">
        <f t="shared" si="64"/>
        <v>8.7668080050593531</v>
      </c>
      <c r="AP176">
        <f t="shared" si="65"/>
        <v>0</v>
      </c>
      <c r="AQ176">
        <f t="shared" si="66"/>
        <v>0</v>
      </c>
      <c r="AR176">
        <f t="shared" si="67"/>
        <v>7.1</v>
      </c>
      <c r="AS176">
        <f t="shared" si="68"/>
        <v>0</v>
      </c>
      <c r="AT176" t="str">
        <f t="shared" si="69"/>
        <v>VENTAS</v>
      </c>
      <c r="AU176">
        <f t="shared" si="70"/>
        <v>8.7668080050593531</v>
      </c>
      <c r="AV176" t="str">
        <f t="shared" si="71"/>
        <v>Mayor retorno probable: VENTAS (+8,8 puntos finales potenciales).</v>
      </c>
    </row>
    <row r="177" spans="1:48" x14ac:dyDescent="0.3">
      <c r="A177" s="5">
        <v>51011970</v>
      </c>
      <c r="B177" s="5" t="str">
        <f>IFERROR(VLOOKUP(A177,VENTAS!$A$2:$B$1194,2,0),"")</f>
        <v>ROBERTS</v>
      </c>
      <c r="C177" s="5">
        <f>IFERROR(INDEX(VENTAS!$C$2:$E$1194,MATCH(A177,VENTAS!$A$2:$A$1194,0),MATCH(PARAMS_MODELO!$B$2,{"Q1","Q2","Q3"},0)),0)</f>
        <v>103649666.95</v>
      </c>
      <c r="D177" s="5">
        <f>IFERROR(INDEX(VENTAS!$F$2:$H$1194,MATCH(A177,VENTAS!$A$2:$A$1194,0),MATCH(PARAMS_MODELO!$B$2,{"Q1","Q2","Q3"},0)),0)</f>
        <v>129174421</v>
      </c>
      <c r="E177" s="8">
        <f t="shared" si="48"/>
        <v>0.24625987522287929</v>
      </c>
      <c r="F177" s="12">
        <f>IF(E177&lt;=PARAMS_MODELO!$B$15,0,IF(E177&gt;=PARAMS_MODELO!$B$17,100,100*MIN(1,(E177-PARAMS_MODELO!$B$15)/(PARAMS_MODELO!$B$16-PARAMS_MODELO!$B$15))))*PARAMS_MODELO!$B$7</f>
        <v>35</v>
      </c>
      <c r="G177" s="5">
        <f t="shared" si="49"/>
        <v>25524754.049999997</v>
      </c>
      <c r="H177" s="5">
        <f>(PARAMS_MODELO!$B$20*(MAX(0,MIN(3,E177))/3)+PARAMS_MODELO!$B$21*(IFERROR(LN(1+MAX(0,G177))/LN(1+MAX(0,MAX($G$2:$G$1194))),0)))*100*PARAMS_MODELO!$B$8</f>
        <v>4.8598770110314797</v>
      </c>
      <c r="I177" s="8">
        <f>E177-PARAMS_MODELO!$B$5</f>
        <v>6.8697039847352759E-2</v>
      </c>
      <c r="J177" s="5">
        <f>IF(I177&lt;=PARAMS_MODELO!$B$18,0,IF(I177&gt;=PARAMS_MODELO!$B$19,100,100*(I177-PARAMS_MODELO!$B$18)/(PARAMS_MODELO!$B$19-PARAMS_MODELO!$B$18)))*PARAMS_MODELO!$B$9</f>
        <v>15</v>
      </c>
      <c r="K177" s="5">
        <f>IFERROR(CHOOSE(MATCH(PARAMS_MODELO!$B$2,{"Q1","Q2","Q3"},0),LOTO!$D177,LOTO!$F177,LOTO!$H177),0)</f>
        <v>6600000</v>
      </c>
      <c r="L177" s="8">
        <f t="shared" si="50"/>
        <v>5.1093706857025509E-2</v>
      </c>
      <c r="M177" s="5">
        <f>MIN(100,IF(PARAMS_MODELO!$B$23=0,0,100*L177/PARAMS_MODELO!$B$23))*PARAMS_MODELO!$B$10</f>
        <v>15</v>
      </c>
      <c r="N177" s="5">
        <f>IFERROR(VLOOKUP(A177,COMPLIANCE!$A$2:$F$1996,6,0),100)</f>
        <v>100</v>
      </c>
      <c r="O177" s="5">
        <f>N177*PARAMS_MODELO!$B$11</f>
        <v>10</v>
      </c>
      <c r="P177" s="5">
        <f>IFERROR(VLOOKUP(A177,DIGITAL!$A$2:$J$2000,7,0),100)</f>
        <v>97</v>
      </c>
      <c r="Q177" s="5">
        <f>IFERROR(P177,0)*PARAMS_MODELO!$B$12</f>
        <v>9.7000000000000011</v>
      </c>
      <c r="R177">
        <f t="shared" si="51"/>
        <v>89.559877011031475</v>
      </c>
      <c r="S177" s="5" t="str">
        <f>IFERROR(VLOOKUP(A177,CLIENTE!$A$2:$N$2000,13,0),1)</f>
        <v>Regular</v>
      </c>
      <c r="T177" s="5">
        <f>IFERROR(VLOOKUP(A177,CLIENTE!$A$2:$N$2000,14,0),1)</f>
        <v>1</v>
      </c>
      <c r="U177" s="5">
        <f t="shared" si="52"/>
        <v>89.559877011031475</v>
      </c>
      <c r="V177" s="5" t="str">
        <f>IF(U177&gt;=MAX(_xlfn.PERCENTILE.INC($U$2:$U$1194,PARAMS_MODELO!$B$50),PARAMS_MODELO!$B$45),"DIAMANTE",IF(U177&gt;=MAX(_xlfn.PERCENTILE.INC($U$2:$U$1194,PARAMS_MODELO!$B$51),PARAMS_MODELO!$B$46),"PLATINO",IF(U177&gt;=MAX(_xlfn.PERCENTILE.INC($U$2:$U$1194,PARAMS_MODELO!$B$52),PARAMS_MODELO!$B$47),"ORO",IF(U177&gt;=MAX(_xlfn.PERCENTILE.INC($U$2:$U$1194,PARAMS_MODELO!$B$53),PARAMS_MODELO!$B$48),"PLATA",IF(U177&gt;=1,"BRONCE","CERRADO")))))</f>
        <v>PLATINO</v>
      </c>
      <c r="W177" s="5" t="str" cm="1">
        <f t="array" ref="W177">_xlfn.XLOOKUP(1, (HIST_SCORE!$B:$B=PARAMS_MODELO!$B$4) * (HIST_SCORE!$C:$C=A177), HIST_SCORE!$E:$E, "No encontrado")</f>
        <v>PLATINO</v>
      </c>
      <c r="X177" s="5" t="str">
        <f>_xlfn.LET(_xlpm.act,MATCH(V177,{"DIAMANTE";"PLATINO";"ORO";"PLATA";"BRONCE";"CERRADO"},0),_xlpm.ant,MATCH(W177,{"DIAMANTE";"PLATINO";"ORO";"PLATA";"BRONCE";"CERRADO"},0),IF(_xlpm.act&lt;_xlpm.ant,"Mejora ↑",IF(_xlpm.act&gt;_xlpm.ant,"Baja ↓","Estable →")))</f>
        <v>Estable →</v>
      </c>
      <c r="Y177" s="5">
        <f>IFERROR(U177-SUMIFS(HIST_SCORE!$D:$D,HIST_SCORE!$B:$B,PARAMS_MODELO!$B$4,HIST_SCORE!$C:$C,$A177),"")</f>
        <v>1.2695354128760812</v>
      </c>
      <c r="Z177" s="5" t="str">
        <f t="shared" si="53"/>
        <v>→ Estable</v>
      </c>
      <c r="AA177" s="5">
        <f t="shared" si="54"/>
        <v>148</v>
      </c>
      <c r="AB177" s="5">
        <f>IFERROR(SUMIFS(HIST_SCORE!$F:$F,HIST_SCORE!$B:$B,PARAMS_MODELO!$B$4,HIST_SCORE!$C:$C,$A177),"")</f>
        <v>170</v>
      </c>
      <c r="AC177" s="5">
        <f t="shared" si="55"/>
        <v>22</v>
      </c>
      <c r="AD177" t="str">
        <f t="shared" si="57"/>
        <v/>
      </c>
      <c r="AE1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177="CERRADO",1,IF(V177="BRONCE",_xlpm.cPl,IF(V177="PLATA",_xlpm.cO,IF(V177="ORO",_xlpm.cP,IF(V177="PLATINO",_xlpm.cD,999))))))</f>
        <v>96.054919694466676</v>
      </c>
      <c r="AF1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177="CERRADO",0,IF(V177="BRONCE",1,IF(V177="PLATA",_xlpm.cPl,IF(V177="ORO",_xlpm.cO,IF(V177="PLATINO",_xlpm.cP,_xlpm.cD))))))</f>
        <v>86.439123873763251</v>
      </c>
      <c r="AG177">
        <f t="shared" si="58"/>
        <v>6.4950426834352015</v>
      </c>
      <c r="AH177" t="str">
        <f t="shared" si="59"/>
        <v>VENTAS</v>
      </c>
      <c r="AI177" t="str">
        <f t="shared" si="56"/>
        <v>🎯 Para subir de categoría, eje VENTAS / IMPACTO ABSOLUTO (H). Acción: metas semanales + activación comercial + seguimiento del asesor. ΔR aprox: 6,5</v>
      </c>
      <c r="AJ177" s="26">
        <f>_xlfn.LET(_xlpm.piso,AF177,_xlpm.corte,AE177,_xlpm.prog,IF(_xlpm.corte&lt;=_xlpm.piso,0,MAX(0,MIN(1,(U177-_xlpm.piso)/(_xlpm.corte-_xlpm.piso)))),_xlpm.orden,{"DIAMANTE";"PLATINO";"ORO";"PLATA";"BRONCE";"CERRADO"},_xlpm.act,IFERROR(MATCH(V177,_xlpm.orden,0),6),_xlpm.ant,IFERROR(MATCH(W177,_xlpm.orden,0),6),_xlpm.ajmov,IF(_xlpm.act&lt;_xlpm.ant,0.08,IF(_xlpm.act&gt;_xlpm.ant,-0.08,0)),_xlpm.ajcli,IF(T177&lt;0.95,-0.06,0),_xlpm.prob,MAX(0,MIN(1,_xlpm.prog+_xlpm.ajmov+_xlpm.ajcli)),IF(OR(V177="DIAMANTE",V177="CERRADO"),0,ROUND(_xlpm.prob,2)))</f>
        <v>0.32</v>
      </c>
      <c r="AK177" t="str">
        <f t="shared" si="60"/>
        <v>Faltan 6,5 puntos base para subir a la siguiente categoría</v>
      </c>
      <c r="AL177" t="str">
        <f t="shared" si="61"/>
        <v>Margen de seguridad: 3,1 puntos</v>
      </c>
      <c r="AM177">
        <f t="shared" si="62"/>
        <v>0.53</v>
      </c>
      <c r="AN177" t="str">
        <f t="shared" si="63"/>
        <v>PRIORIDAD MEDIA – seguimiento del asesor</v>
      </c>
      <c r="AO177">
        <f t="shared" si="64"/>
        <v>10.002692264264105</v>
      </c>
      <c r="AP177">
        <f t="shared" si="65"/>
        <v>0</v>
      </c>
      <c r="AQ177">
        <f t="shared" si="66"/>
        <v>0</v>
      </c>
      <c r="AR177">
        <f t="shared" si="67"/>
        <v>0.29999999999999893</v>
      </c>
      <c r="AS177">
        <f t="shared" si="68"/>
        <v>0</v>
      </c>
      <c r="AT177" t="str">
        <f t="shared" si="69"/>
        <v>VENTAS</v>
      </c>
      <c r="AU177">
        <f t="shared" si="70"/>
        <v>10.002692264264105</v>
      </c>
      <c r="AV177" t="str">
        <f t="shared" si="71"/>
        <v>Mayor retorno probable: VENTAS (+10,0 puntos finales potenciales).</v>
      </c>
    </row>
    <row r="178" spans="1:48" x14ac:dyDescent="0.3">
      <c r="A178" s="5">
        <v>51036697</v>
      </c>
      <c r="B178" s="5" t="str">
        <f>IFERROR(VLOOKUP(A178,VENTAS!$A$2:$B$1194,2,0),"")</f>
        <v>ROBERTS</v>
      </c>
      <c r="C178" s="5">
        <f>IFERROR(INDEX(VENTAS!$C$2:$E$1194,MATCH(A178,VENTAS!$A$2:$A$1194,0),MATCH(PARAMS_MODELO!$B$2,{"Q1","Q2","Q3"},0)),0)</f>
        <v>101357869.40000001</v>
      </c>
      <c r="D178" s="5">
        <f>IFERROR(INDEX(VENTAS!$F$2:$H$1194,MATCH(A178,VENTAS!$A$2:$A$1194,0),MATCH(PARAMS_MODELO!$B$2,{"Q1","Q2","Q3"},0)),0)</f>
        <v>129131518</v>
      </c>
      <c r="E178" s="8">
        <f t="shared" si="48"/>
        <v>0.27401571051571438</v>
      </c>
      <c r="F178" s="12">
        <f>IF(E178&lt;=PARAMS_MODELO!$B$15,0,IF(E178&gt;=PARAMS_MODELO!$B$17,100,100*MIN(1,(E178-PARAMS_MODELO!$B$15)/(PARAMS_MODELO!$B$16-PARAMS_MODELO!$B$15))))*PARAMS_MODELO!$B$7</f>
        <v>35</v>
      </c>
      <c r="G178" s="5">
        <f t="shared" si="49"/>
        <v>27773648.599999994</v>
      </c>
      <c r="H178" s="5">
        <f>(PARAMS_MODELO!$B$20*(MAX(0,MIN(3,E178))/3)+PARAMS_MODELO!$B$21*(IFERROR(LN(1+MAX(0,G178))/LN(1+MAX(0,MAX($G$2:$G$1194))),0)))*100*PARAMS_MODELO!$B$8</f>
        <v>4.976816102688681</v>
      </c>
      <c r="I178" s="8">
        <f>E178-PARAMS_MODELO!$B$5</f>
        <v>9.6452875140187855E-2</v>
      </c>
      <c r="J178" s="5">
        <f>IF(I178&lt;=PARAMS_MODELO!$B$18,0,IF(I178&gt;=PARAMS_MODELO!$B$19,100,100*(I178-PARAMS_MODELO!$B$18)/(PARAMS_MODELO!$B$19-PARAMS_MODELO!$B$18)))*PARAMS_MODELO!$B$9</f>
        <v>15</v>
      </c>
      <c r="K178" s="5">
        <f>IFERROR(CHOOSE(MATCH(PARAMS_MODELO!$B$2,{"Q1","Q2","Q3"},0),LOTO!$D178,LOTO!$F178,LOTO!$H178),0)</f>
        <v>6575000</v>
      </c>
      <c r="L178" s="8">
        <f t="shared" si="50"/>
        <v>5.0917081296914669E-2</v>
      </c>
      <c r="M178" s="5">
        <f>MIN(100,IF(PARAMS_MODELO!$B$23=0,0,100*L178/PARAMS_MODELO!$B$23))*PARAMS_MODELO!$B$10</f>
        <v>15</v>
      </c>
      <c r="N178" s="5">
        <f>IFERROR(VLOOKUP(A178,COMPLIANCE!$A$2:$F$1996,6,0),100)</f>
        <v>100</v>
      </c>
      <c r="O178" s="5">
        <f>N178*PARAMS_MODELO!$B$11</f>
        <v>10</v>
      </c>
      <c r="P178" s="5">
        <f>IFERROR(VLOOKUP(A178,DIGITAL!$A$2:$J$2000,7,0),100)</f>
        <v>18</v>
      </c>
      <c r="Q178" s="5">
        <f>IFERROR(P178,0)*PARAMS_MODELO!$B$12</f>
        <v>1.8</v>
      </c>
      <c r="R178">
        <f t="shared" si="51"/>
        <v>81.77681610268867</v>
      </c>
      <c r="S178" s="5" t="str">
        <f>IFERROR(VLOOKUP(A178,CLIENTE!$A$2:$N$2000,13,0),1)</f>
        <v>Regular</v>
      </c>
      <c r="T178" s="5">
        <f>IFERROR(VLOOKUP(A178,CLIENTE!$A$2:$N$2000,14,0),1)</f>
        <v>1</v>
      </c>
      <c r="U178" s="5">
        <f t="shared" si="52"/>
        <v>81.77681610268867</v>
      </c>
      <c r="V178" s="5" t="str">
        <f>IF(U178&gt;=MAX(_xlfn.PERCENTILE.INC($U$2:$U$1194,PARAMS_MODELO!$B$50),PARAMS_MODELO!$B$45),"DIAMANTE",IF(U178&gt;=MAX(_xlfn.PERCENTILE.INC($U$2:$U$1194,PARAMS_MODELO!$B$51),PARAMS_MODELO!$B$46),"PLATINO",IF(U178&gt;=MAX(_xlfn.PERCENTILE.INC($U$2:$U$1194,PARAMS_MODELO!$B$52),PARAMS_MODELO!$B$47),"ORO",IF(U178&gt;=MAX(_xlfn.PERCENTILE.INC($U$2:$U$1194,PARAMS_MODELO!$B$53),PARAMS_MODELO!$B$48),"PLATA",IF(U178&gt;=1,"BRONCE","CERRADO")))))</f>
        <v>ORO</v>
      </c>
      <c r="W178" s="5" t="str" cm="1">
        <f t="array" ref="W178">_xlfn.XLOOKUP(1, (HIST_SCORE!$B:$B=PARAMS_MODELO!$B$4) * (HIST_SCORE!$C:$C=A178), HIST_SCORE!$E:$E, "No encontrado")</f>
        <v>ORO</v>
      </c>
      <c r="X178" s="5" t="str">
        <f>_xlfn.LET(_xlpm.act,MATCH(V178,{"DIAMANTE";"PLATINO";"ORO";"PLATA";"BRONCE";"CERRADO"},0),_xlpm.ant,MATCH(W178,{"DIAMANTE";"PLATINO";"ORO";"PLATA";"BRONCE";"CERRADO"},0),IF(_xlpm.act&lt;_xlpm.ant,"Mejora ↑",IF(_xlpm.act&gt;_xlpm.ant,"Baja ↓","Estable →")))</f>
        <v>Estable →</v>
      </c>
      <c r="Y178" s="5">
        <f>IFERROR(U178-SUMIFS(HIST_SCORE!$D:$D,HIST_SCORE!$B:$B,PARAMS_MODELO!$B$4,HIST_SCORE!$C:$C,$A178),"")</f>
        <v>3.045246052540719</v>
      </c>
      <c r="Z178" s="5" t="str">
        <f t="shared" si="53"/>
        <v>→ Estable</v>
      </c>
      <c r="AA178" s="5">
        <f t="shared" si="54"/>
        <v>391</v>
      </c>
      <c r="AB178" s="5">
        <f>IFERROR(SUMIFS(HIST_SCORE!$F:$F,HIST_SCORE!$B:$B,PARAMS_MODELO!$B$4,HIST_SCORE!$C:$C,$A178),"")</f>
        <v>439</v>
      </c>
      <c r="AC178" s="5">
        <f t="shared" si="55"/>
        <v>48</v>
      </c>
      <c r="AD178" t="str">
        <f t="shared" si="57"/>
        <v/>
      </c>
      <c r="AE1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178="CERRADO",1,IF(V178="BRONCE",_xlpm.cPl,IF(V178="PLATA",_xlpm.cO,IF(V178="ORO",_xlpm.cP,IF(V178="PLATINO",_xlpm.cD,999))))))</f>
        <v>86.439123873763251</v>
      </c>
      <c r="AF1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178="CERRADO",0,IF(V178="BRONCE",1,IF(V178="PLATA",_xlpm.cPl,IF(V178="ORO",_xlpm.cO,IF(V178="PLATINO",_xlpm.cP,_xlpm.cD))))))</f>
        <v>63.199193273331495</v>
      </c>
      <c r="AG178">
        <f t="shared" si="58"/>
        <v>4.6623077710745804</v>
      </c>
      <c r="AH178" t="str">
        <f t="shared" si="59"/>
        <v>VENTAS</v>
      </c>
      <c r="AI178" t="str">
        <f t="shared" si="56"/>
        <v>🎯 Para subir de categoría, eje VENTAS / IMPACTO ABSOLUTO (H). Acción: metas semanales + activación comercial + seguimiento del asesor. ΔR aprox: 4,7</v>
      </c>
      <c r="AJ178" s="26">
        <f>_xlfn.LET(_xlpm.piso,AF178,_xlpm.corte,AE178,_xlpm.prog,IF(_xlpm.corte&lt;=_xlpm.piso,0,MAX(0,MIN(1,(U178-_xlpm.piso)/(_xlpm.corte-_xlpm.piso)))),_xlpm.orden,{"DIAMANTE";"PLATINO";"ORO";"PLATA";"BRONCE";"CERRADO"},_xlpm.act,IFERROR(MATCH(V178,_xlpm.orden,0),6),_xlpm.ant,IFERROR(MATCH(W178,_xlpm.orden,0),6),_xlpm.ajmov,IF(_xlpm.act&lt;_xlpm.ant,0.08,IF(_xlpm.act&gt;_xlpm.ant,-0.08,0)),_xlpm.ajcli,IF(T178&lt;0.95,-0.06,0),_xlpm.prob,MAX(0,MIN(1,_xlpm.prog+_xlpm.ajmov+_xlpm.ajcli)),IF(OR(V178="DIAMANTE",V178="CERRADO"),0,ROUND(_xlpm.prob,2)))</f>
        <v>0.8</v>
      </c>
      <c r="AK178" t="str">
        <f t="shared" si="60"/>
        <v>Faltan 4,7 puntos base para subir a la siguiente categoría</v>
      </c>
      <c r="AL178" t="str">
        <f t="shared" si="61"/>
        <v>Margen de seguridad: 18,6 puntos</v>
      </c>
      <c r="AM178">
        <f t="shared" si="62"/>
        <v>0.27</v>
      </c>
      <c r="AN178" t="str">
        <f t="shared" si="63"/>
        <v>PRIORIDAD BAJA – control normal</v>
      </c>
      <c r="AO178">
        <f t="shared" si="64"/>
        <v>9.8857531726069041</v>
      </c>
      <c r="AP178">
        <f t="shared" si="65"/>
        <v>0</v>
      </c>
      <c r="AQ178">
        <f t="shared" si="66"/>
        <v>0</v>
      </c>
      <c r="AR178">
        <f t="shared" si="67"/>
        <v>8.1999999999999993</v>
      </c>
      <c r="AS178">
        <f t="shared" si="68"/>
        <v>0</v>
      </c>
      <c r="AT178" t="str">
        <f t="shared" si="69"/>
        <v>VENTAS</v>
      </c>
      <c r="AU178">
        <f t="shared" si="70"/>
        <v>9.8857531726069041</v>
      </c>
      <c r="AV178" t="str">
        <f t="shared" si="71"/>
        <v>Mayor retorno probable: VENTAS (+9,9 puntos finales potenciales).</v>
      </c>
    </row>
    <row r="179" spans="1:48" x14ac:dyDescent="0.3">
      <c r="A179" s="5">
        <v>51009061</v>
      </c>
      <c r="B179" s="5" t="str">
        <f>IFERROR(VLOOKUP(A179,VENTAS!$A$2:$B$1194,2,0),"")</f>
        <v>NELLI</v>
      </c>
      <c r="C179" s="5">
        <f>IFERROR(INDEX(VENTAS!$C$2:$E$1194,MATCH(A179,VENTAS!$A$2:$A$1194,0),MATCH(PARAMS_MODELO!$B$2,{"Q1","Q2","Q3"},0)),0)</f>
        <v>89833515.560000002</v>
      </c>
      <c r="D179" s="5">
        <f>IFERROR(INDEX(VENTAS!$F$2:$H$1194,MATCH(A179,VENTAS!$A$2:$A$1194,0),MATCH(PARAMS_MODELO!$B$2,{"Q1","Q2","Q3"},0)),0)</f>
        <v>128795752</v>
      </c>
      <c r="E179" s="8">
        <f t="shared" si="48"/>
        <v>0.43371603790766744</v>
      </c>
      <c r="F179" s="12">
        <f>IF(E179&lt;=PARAMS_MODELO!$B$15,0,IF(E179&gt;=PARAMS_MODELO!$B$17,100,100*MIN(1,(E179-PARAMS_MODELO!$B$15)/(PARAMS_MODELO!$B$16-PARAMS_MODELO!$B$15))))*PARAMS_MODELO!$B$7</f>
        <v>35</v>
      </c>
      <c r="G179" s="5">
        <f t="shared" si="49"/>
        <v>38962236.439999998</v>
      </c>
      <c r="H179" s="5">
        <f>(PARAMS_MODELO!$B$20*(MAX(0,MIN(3,E179))/3)+PARAMS_MODELO!$B$21*(IFERROR(LN(1+MAX(0,G179))/LN(1+MAX(0,MAX($G$2:$G$1194))),0)))*100*PARAMS_MODELO!$B$8</f>
        <v>5.6151175911454718</v>
      </c>
      <c r="I179" s="8">
        <f>E179-PARAMS_MODELO!$B$5</f>
        <v>0.25615320253214091</v>
      </c>
      <c r="J179" s="5">
        <f>IF(I179&lt;=PARAMS_MODELO!$B$18,0,IF(I179&gt;=PARAMS_MODELO!$B$19,100,100*(I179-PARAMS_MODELO!$B$18)/(PARAMS_MODELO!$B$19-PARAMS_MODELO!$B$18)))*PARAMS_MODELO!$B$9</f>
        <v>15</v>
      </c>
      <c r="K179" s="5">
        <f>IFERROR(CHOOSE(MATCH(PARAMS_MODELO!$B$2,{"Q1","Q2","Q3"},0),LOTO!$D179,LOTO!$F179,LOTO!$H179),0)</f>
        <v>6517500</v>
      </c>
      <c r="L179" s="8">
        <f t="shared" si="50"/>
        <v>5.0603377043056515E-2</v>
      </c>
      <c r="M179" s="5">
        <f>MIN(100,IF(PARAMS_MODELO!$B$23=0,0,100*L179/PARAMS_MODELO!$B$23))*PARAMS_MODELO!$B$10</f>
        <v>15</v>
      </c>
      <c r="N179" s="5">
        <f>IFERROR(VLOOKUP(A179,COMPLIANCE!$A$2:$F$1996,6,0),100)</f>
        <v>100</v>
      </c>
      <c r="O179" s="5">
        <f>N179*PARAMS_MODELO!$B$11</f>
        <v>10</v>
      </c>
      <c r="P179" s="5">
        <f>IFERROR(VLOOKUP(A179,DIGITAL!$A$2:$J$2000,7,0),100)</f>
        <v>94</v>
      </c>
      <c r="Q179" s="5">
        <f>IFERROR(P179,0)*PARAMS_MODELO!$B$12</f>
        <v>9.4</v>
      </c>
      <c r="R179">
        <f t="shared" si="51"/>
        <v>90.015117591145469</v>
      </c>
      <c r="S179" s="5" t="str">
        <f>IFERROR(VLOOKUP(A179,CLIENTE!$A$2:$N$2000,13,0),1)</f>
        <v>Malo</v>
      </c>
      <c r="T179" s="5">
        <f>IFERROR(VLOOKUP(A179,CLIENTE!$A$2:$N$2000,14,0),1)</f>
        <v>0.7</v>
      </c>
      <c r="U179" s="5">
        <f t="shared" si="52"/>
        <v>63.010582313801827</v>
      </c>
      <c r="V179" s="5" t="str">
        <f>IF(U179&gt;=MAX(_xlfn.PERCENTILE.INC($U$2:$U$1194,PARAMS_MODELO!$B$50),PARAMS_MODELO!$B$45),"DIAMANTE",IF(U179&gt;=MAX(_xlfn.PERCENTILE.INC($U$2:$U$1194,PARAMS_MODELO!$B$51),PARAMS_MODELO!$B$46),"PLATINO",IF(U179&gt;=MAX(_xlfn.PERCENTILE.INC($U$2:$U$1194,PARAMS_MODELO!$B$52),PARAMS_MODELO!$B$47),"ORO",IF(U179&gt;=MAX(_xlfn.PERCENTILE.INC($U$2:$U$1194,PARAMS_MODELO!$B$53),PARAMS_MODELO!$B$48),"PLATA",IF(U179&gt;=1,"BRONCE","CERRADO")))))</f>
        <v>PLATA</v>
      </c>
      <c r="W179" s="5" t="str" cm="1">
        <f t="array" ref="W179">_xlfn.XLOOKUP(1, (HIST_SCORE!$B:$B=PARAMS_MODELO!$B$4) * (HIST_SCORE!$C:$C=A179), HIST_SCORE!$E:$E, "No encontrado")</f>
        <v>ORO</v>
      </c>
      <c r="X179" s="5" t="str">
        <f>_xlfn.LET(_xlpm.act,MATCH(V179,{"DIAMANTE";"PLATINO";"ORO";"PLATA";"BRONCE";"CERRADO"},0),_xlpm.ant,MATCH(W179,{"DIAMANTE";"PLATINO";"ORO";"PLATA";"BRONCE";"CERRADO"},0),IF(_xlpm.act&lt;_xlpm.ant,"Mejora ↑",IF(_xlpm.act&gt;_xlpm.ant,"Baja ↓","Estable →")))</f>
        <v>Baja ↓</v>
      </c>
      <c r="Y179" s="5">
        <f>IFERROR(U179-SUMIFS(HIST_SCORE!$D:$D,HIST_SCORE!$B:$B,PARAMS_MODELO!$B$4,HIST_SCORE!$C:$C,$A179),"")</f>
        <v>0.31266185045927841</v>
      </c>
      <c r="Z179" s="5" t="str">
        <f t="shared" si="53"/>
        <v>→ Estable</v>
      </c>
      <c r="AA179" s="5">
        <f t="shared" si="54"/>
        <v>559</v>
      </c>
      <c r="AB179" s="5">
        <f>IFERROR(SUMIFS(HIST_SCORE!$F:$F,HIST_SCORE!$B:$B,PARAMS_MODELO!$B$4,HIST_SCORE!$C:$C,$A179),"")</f>
        <v>596</v>
      </c>
      <c r="AC179" s="5">
        <f t="shared" si="55"/>
        <v>37</v>
      </c>
      <c r="AD179" t="str">
        <f t="shared" si="57"/>
        <v/>
      </c>
      <c r="AE1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179="CERRADO",1,IF(V179="BRONCE",_xlpm.cPl,IF(V179="PLATA",_xlpm.cO,IF(V179="ORO",_xlpm.cP,IF(V179="PLATINO",_xlpm.cD,999))))))</f>
        <v>63.199193273331495</v>
      </c>
      <c r="AF1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179="CERRADO",0,IF(V179="BRONCE",1,IF(V179="PLATA",_xlpm.cPl,IF(V179="ORO",_xlpm.cO,IF(V179="PLATINO",_xlpm.cP,_xlpm.cD))))))</f>
        <v>24.506573482968111</v>
      </c>
      <c r="AG179">
        <f t="shared" si="58"/>
        <v>0.26944422789952682</v>
      </c>
      <c r="AH179" t="str">
        <f t="shared" si="59"/>
        <v>CLIENTE</v>
      </c>
      <c r="AI179" t="str">
        <f t="shared" si="56"/>
        <v>🎯 Para subir de categoría, la eje con mayor impacto probable es CLIENTE (coef T). Acción: reducir quejas, mejorar incógnito y empujar reseñas. ΔR aprox: 0,3</v>
      </c>
      <c r="AJ179" s="26">
        <f>_xlfn.LET(_xlpm.piso,AF179,_xlpm.corte,AE179,_xlpm.prog,IF(_xlpm.corte&lt;=_xlpm.piso,0,MAX(0,MIN(1,(U179-_xlpm.piso)/(_xlpm.corte-_xlpm.piso)))),_xlpm.orden,{"DIAMANTE";"PLATINO";"ORO";"PLATA";"BRONCE";"CERRADO"},_xlpm.act,IFERROR(MATCH(V179,_xlpm.orden,0),6),_xlpm.ant,IFERROR(MATCH(W179,_xlpm.orden,0),6),_xlpm.ajmov,IF(_xlpm.act&lt;_xlpm.ant,0.08,IF(_xlpm.act&gt;_xlpm.ant,-0.08,0)),_xlpm.ajcli,IF(T179&lt;0.95,-0.06,0),_xlpm.prob,MAX(0,MIN(1,_xlpm.prog+_xlpm.ajmov+_xlpm.ajcli)),IF(OR(V179="DIAMANTE",V179="CERRADO"),0,ROUND(_xlpm.prob,2)))</f>
        <v>0.86</v>
      </c>
      <c r="AK179" t="str">
        <f t="shared" si="60"/>
        <v>Faltan 0,3 puntos base para subir a la siguiente categoría</v>
      </c>
      <c r="AL179" t="str">
        <f t="shared" si="61"/>
        <v>Margen de seguridad: 38,5 puntos</v>
      </c>
      <c r="AM179">
        <f t="shared" si="62"/>
        <v>0.27</v>
      </c>
      <c r="AN179" t="str">
        <f t="shared" si="63"/>
        <v>PRIORIDAD BAJA – control normal</v>
      </c>
      <c r="AO179">
        <f t="shared" si="64"/>
        <v>6.4732161789050799</v>
      </c>
      <c r="AP179">
        <f t="shared" si="65"/>
        <v>0</v>
      </c>
      <c r="AQ179">
        <f t="shared" si="66"/>
        <v>0</v>
      </c>
      <c r="AR179">
        <f t="shared" si="67"/>
        <v>0.41999999999999971</v>
      </c>
      <c r="AS179">
        <f t="shared" si="68"/>
        <v>27.004535277343646</v>
      </c>
      <c r="AT179" t="str">
        <f t="shared" si="69"/>
        <v>CLIENTE</v>
      </c>
      <c r="AU179">
        <f t="shared" si="70"/>
        <v>27.004535277343646</v>
      </c>
      <c r="AV179" t="str">
        <f t="shared" si="71"/>
        <v>Mayor retorno probable: CLIENTE (+27,0 puntos finales potenciales).</v>
      </c>
    </row>
    <row r="180" spans="1:48" x14ac:dyDescent="0.3">
      <c r="A180" s="5">
        <v>51013824</v>
      </c>
      <c r="B180" s="5" t="str">
        <f>IFERROR(VLOOKUP(A180,VENTAS!$A$2:$B$1194,2,0),"")</f>
        <v>NELLI</v>
      </c>
      <c r="C180" s="5">
        <f>IFERROR(INDEX(VENTAS!$C$2:$E$1194,MATCH(A180,VENTAS!$A$2:$A$1194,0),MATCH(PARAMS_MODELO!$B$2,{"Q1","Q2","Q3"},0)),0)</f>
        <v>95104794</v>
      </c>
      <c r="D180" s="5">
        <f>IFERROR(INDEX(VENTAS!$F$2:$H$1194,MATCH(A180,VENTAS!$A$2:$A$1194,0),MATCH(PARAMS_MODELO!$B$2,{"Q1","Q2","Q3"},0)),0)</f>
        <v>128364774</v>
      </c>
      <c r="E180" s="8">
        <f t="shared" si="48"/>
        <v>0.34971927913539247</v>
      </c>
      <c r="F180" s="12">
        <f>IF(E180&lt;=PARAMS_MODELO!$B$15,0,IF(E180&gt;=PARAMS_MODELO!$B$17,100,100*MIN(1,(E180-PARAMS_MODELO!$B$15)/(PARAMS_MODELO!$B$16-PARAMS_MODELO!$B$15))))*PARAMS_MODELO!$B$7</f>
        <v>35</v>
      </c>
      <c r="G180" s="5">
        <f t="shared" si="49"/>
        <v>33259980</v>
      </c>
      <c r="H180" s="5">
        <f>(PARAMS_MODELO!$B$20*(MAX(0,MIN(3,E180))/3)+PARAMS_MODELO!$B$21*(IFERROR(LN(1+MAX(0,G180))/LN(1+MAX(0,MAX($G$2:$G$1194))),0)))*100*PARAMS_MODELO!$B$8</f>
        <v>5.2840357382452057</v>
      </c>
      <c r="I180" s="8">
        <f>E180-PARAMS_MODELO!$B$5</f>
        <v>0.17215644375986594</v>
      </c>
      <c r="J180" s="5">
        <f>IF(I180&lt;=PARAMS_MODELO!$B$18,0,IF(I180&gt;=PARAMS_MODELO!$B$19,100,100*(I180-PARAMS_MODELO!$B$18)/(PARAMS_MODELO!$B$19-PARAMS_MODELO!$B$18)))*PARAMS_MODELO!$B$9</f>
        <v>15</v>
      </c>
      <c r="K180" s="5">
        <f>IFERROR(CHOOSE(MATCH(PARAMS_MODELO!$B$2,{"Q1","Q2","Q3"},0),LOTO!$D180,LOTO!$F180,LOTO!$H180),0)</f>
        <v>6505000</v>
      </c>
      <c r="L180" s="8">
        <f t="shared" si="50"/>
        <v>5.0675896488549109E-2</v>
      </c>
      <c r="M180" s="5">
        <f>MIN(100,IF(PARAMS_MODELO!$B$23=0,0,100*L180/PARAMS_MODELO!$B$23))*PARAMS_MODELO!$B$10</f>
        <v>15</v>
      </c>
      <c r="N180" s="5">
        <f>IFERROR(VLOOKUP(A180,COMPLIANCE!$A$2:$F$1996,6,0),100)</f>
        <v>100</v>
      </c>
      <c r="O180" s="5">
        <f>N180*PARAMS_MODELO!$B$11</f>
        <v>10</v>
      </c>
      <c r="P180" s="5">
        <f>IFERROR(VLOOKUP(A180,DIGITAL!$A$2:$J$2000,7,0),100)</f>
        <v>13</v>
      </c>
      <c r="Q180" s="5">
        <f>IFERROR(P180,0)*PARAMS_MODELO!$B$12</f>
        <v>1.3</v>
      </c>
      <c r="R180">
        <f t="shared" si="51"/>
        <v>81.584035738245205</v>
      </c>
      <c r="S180" s="5" t="str">
        <f>IFERROR(VLOOKUP(A180,CLIENTE!$A$2:$N$2000,13,0),1)</f>
        <v>Bueno</v>
      </c>
      <c r="T180" s="5">
        <f>IFERROR(VLOOKUP(A180,CLIENTE!$A$2:$N$2000,14,0),1)</f>
        <v>1.1000000000000001</v>
      </c>
      <c r="U180" s="5">
        <f t="shared" si="52"/>
        <v>89.742439312069735</v>
      </c>
      <c r="V180" s="5" t="str">
        <f>IF(U180&gt;=MAX(_xlfn.PERCENTILE.INC($U$2:$U$1194,PARAMS_MODELO!$B$50),PARAMS_MODELO!$B$45),"DIAMANTE",IF(U180&gt;=MAX(_xlfn.PERCENTILE.INC($U$2:$U$1194,PARAMS_MODELO!$B$51),PARAMS_MODELO!$B$46),"PLATINO",IF(U180&gt;=MAX(_xlfn.PERCENTILE.INC($U$2:$U$1194,PARAMS_MODELO!$B$52),PARAMS_MODELO!$B$47),"ORO",IF(U180&gt;=MAX(_xlfn.PERCENTILE.INC($U$2:$U$1194,PARAMS_MODELO!$B$53),PARAMS_MODELO!$B$48),"PLATA",IF(U180&gt;=1,"BRONCE","CERRADO")))))</f>
        <v>PLATINO</v>
      </c>
      <c r="W180" s="5" t="str" cm="1">
        <f t="array" ref="W180">_xlfn.XLOOKUP(1, (HIST_SCORE!$B:$B=PARAMS_MODELO!$B$4) * (HIST_SCORE!$C:$C=A180), HIST_SCORE!$E:$E, "No encontrado")</f>
        <v>PLATINO</v>
      </c>
      <c r="X180" s="5" t="str">
        <f>_xlfn.LET(_xlpm.act,MATCH(V180,{"DIAMANTE";"PLATINO";"ORO";"PLATA";"BRONCE";"CERRADO"},0),_xlpm.ant,MATCH(W180,{"DIAMANTE";"PLATINO";"ORO";"PLATA";"BRONCE";"CERRADO"},0),IF(_xlpm.act&lt;_xlpm.ant,"Mejora ↑",IF(_xlpm.act&gt;_xlpm.ant,"Baja ↓","Estable →")))</f>
        <v>Estable →</v>
      </c>
      <c r="Y180" s="5">
        <f>IFERROR(U180-SUMIFS(HIST_SCORE!$D:$D,HIST_SCORE!$B:$B,PARAMS_MODELO!$B$4,HIST_SCORE!$C:$C,$A180),"")</f>
        <v>1.4728975140660481</v>
      </c>
      <c r="Z180" s="5" t="str">
        <f t="shared" si="53"/>
        <v>→ Estable</v>
      </c>
      <c r="AA180" s="5">
        <f t="shared" si="54"/>
        <v>142</v>
      </c>
      <c r="AB180" s="5">
        <f>IFERROR(SUMIFS(HIST_SCORE!$F:$F,HIST_SCORE!$B:$B,PARAMS_MODELO!$B$4,HIST_SCORE!$C:$C,$A180),"")</f>
        <v>172</v>
      </c>
      <c r="AC180" s="5">
        <f t="shared" si="55"/>
        <v>30</v>
      </c>
      <c r="AD180" t="str">
        <f t="shared" si="57"/>
        <v/>
      </c>
      <c r="AE1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180="CERRADO",1,IF(V180="BRONCE",_xlpm.cPl,IF(V180="PLATA",_xlpm.cO,IF(V180="ORO",_xlpm.cP,IF(V180="PLATINO",_xlpm.cD,999))))))</f>
        <v>96.054919694466676</v>
      </c>
      <c r="AF1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180="CERRADO",0,IF(V180="BRONCE",1,IF(V180="PLATA",_xlpm.cPl,IF(V180="ORO",_xlpm.cO,IF(V180="PLATINO",_xlpm.cP,_xlpm.cD))))))</f>
        <v>86.439123873763251</v>
      </c>
      <c r="AG180">
        <f t="shared" si="58"/>
        <v>5.7386185294517702</v>
      </c>
      <c r="AH180" t="str">
        <f t="shared" si="59"/>
        <v>VENTAS</v>
      </c>
      <c r="AI180" t="str">
        <f t="shared" si="56"/>
        <v>🎯 Para subir de categoría, eje VENTAS / IMPACTO ABSOLUTO (H). Acción: metas semanales + activación comercial + seguimiento del asesor. ΔR aprox: 5,7</v>
      </c>
      <c r="AJ180" s="26">
        <f>_xlfn.LET(_xlpm.piso,AF180,_xlpm.corte,AE180,_xlpm.prog,IF(_xlpm.corte&lt;=_xlpm.piso,0,MAX(0,MIN(1,(U180-_xlpm.piso)/(_xlpm.corte-_xlpm.piso)))),_xlpm.orden,{"DIAMANTE";"PLATINO";"ORO";"PLATA";"BRONCE";"CERRADO"},_xlpm.act,IFERROR(MATCH(V180,_xlpm.orden,0),6),_xlpm.ant,IFERROR(MATCH(W180,_xlpm.orden,0),6),_xlpm.ajmov,IF(_xlpm.act&lt;_xlpm.ant,0.08,IF(_xlpm.act&gt;_xlpm.ant,-0.08,0)),_xlpm.ajcli,IF(T180&lt;0.95,-0.06,0),_xlpm.prob,MAX(0,MIN(1,_xlpm.prog+_xlpm.ajmov+_xlpm.ajcli)),IF(OR(V180="DIAMANTE",V180="CERRADO"),0,ROUND(_xlpm.prob,2)))</f>
        <v>0.34</v>
      </c>
      <c r="AK180" t="str">
        <f t="shared" si="60"/>
        <v>Faltan 5,7 puntos base para subir a la siguiente categoría</v>
      </c>
      <c r="AL180" t="str">
        <f t="shared" si="61"/>
        <v>Margen de seguridad: 3,3 puntos</v>
      </c>
      <c r="AM180">
        <f t="shared" si="62"/>
        <v>0.49</v>
      </c>
      <c r="AN180" t="str">
        <f t="shared" si="63"/>
        <v>PRIORIDAD MEDIA – seguimiento del asesor</v>
      </c>
      <c r="AO180">
        <f t="shared" si="64"/>
        <v>10.536386890755415</v>
      </c>
      <c r="AP180">
        <f t="shared" si="65"/>
        <v>0</v>
      </c>
      <c r="AQ180">
        <f t="shared" si="66"/>
        <v>0</v>
      </c>
      <c r="AR180">
        <f t="shared" si="67"/>
        <v>9.57</v>
      </c>
      <c r="AS180">
        <f t="shared" si="68"/>
        <v>0</v>
      </c>
      <c r="AT180" t="str">
        <f t="shared" si="69"/>
        <v>VENTAS</v>
      </c>
      <c r="AU180">
        <f t="shared" si="70"/>
        <v>10.536386890755415</v>
      </c>
      <c r="AV180" t="str">
        <f t="shared" si="71"/>
        <v>Mayor retorno probable: VENTAS (+10,5 puntos finales potenciales).</v>
      </c>
    </row>
    <row r="181" spans="1:48" x14ac:dyDescent="0.3">
      <c r="A181" s="5">
        <v>51009240</v>
      </c>
      <c r="B181" s="5" t="str">
        <f>IFERROR(VLOOKUP(A181,VENTAS!$A$2:$B$1194,2,0),"")</f>
        <v>METTLER</v>
      </c>
      <c r="C181" s="5">
        <f>IFERROR(INDEX(VENTAS!$C$2:$E$1194,MATCH(A181,VENTAS!$A$2:$A$1194,0),MATCH(PARAMS_MODELO!$B$2,{"Q1","Q2","Q3"},0)),0)</f>
        <v>93515629.109999999</v>
      </c>
      <c r="D181" s="5">
        <f>IFERROR(INDEX(VENTAS!$F$2:$H$1194,MATCH(A181,VENTAS!$A$2:$A$1194,0),MATCH(PARAMS_MODELO!$B$2,{"Q1","Q2","Q3"},0)),0)</f>
        <v>128163360</v>
      </c>
      <c r="E181" s="8">
        <f t="shared" si="48"/>
        <v>0.37050203500470258</v>
      </c>
      <c r="F181" s="12">
        <f>IF(E181&lt;=PARAMS_MODELO!$B$15,0,IF(E181&gt;=PARAMS_MODELO!$B$17,100,100*MIN(1,(E181-PARAMS_MODELO!$B$15)/(PARAMS_MODELO!$B$16-PARAMS_MODELO!$B$15))))*PARAMS_MODELO!$B$7</f>
        <v>35</v>
      </c>
      <c r="G181" s="5">
        <f t="shared" si="49"/>
        <v>34647730.890000001</v>
      </c>
      <c r="H181" s="5">
        <f>(PARAMS_MODELO!$B$20*(MAX(0,MIN(3,E181))/3)+PARAMS_MODELO!$B$21*(IFERROR(LN(1+MAX(0,G181))/LN(1+MAX(0,MAX($G$2:$G$1194))),0)))*100*PARAMS_MODELO!$B$8</f>
        <v>5.3663576084135851</v>
      </c>
      <c r="I181" s="8">
        <f>E181-PARAMS_MODELO!$B$5</f>
        <v>0.19293919962917605</v>
      </c>
      <c r="J181" s="5">
        <f>IF(I181&lt;=PARAMS_MODELO!$B$18,0,IF(I181&gt;=PARAMS_MODELO!$B$19,100,100*(I181-PARAMS_MODELO!$B$18)/(PARAMS_MODELO!$B$19-PARAMS_MODELO!$B$18)))*PARAMS_MODELO!$B$9</f>
        <v>15</v>
      </c>
      <c r="K181" s="5">
        <f>IFERROR(CHOOSE(MATCH(PARAMS_MODELO!$B$2,{"Q1","Q2","Q3"},0),LOTO!$D181,LOTO!$F181,LOTO!$H181),0)</f>
        <v>6505000</v>
      </c>
      <c r="L181" s="8">
        <f t="shared" si="50"/>
        <v>5.0755535747502252E-2</v>
      </c>
      <c r="M181" s="5">
        <f>MIN(100,IF(PARAMS_MODELO!$B$23=0,0,100*L181/PARAMS_MODELO!$B$23))*PARAMS_MODELO!$B$10</f>
        <v>15</v>
      </c>
      <c r="N181" s="5">
        <f>IFERROR(VLOOKUP(A181,COMPLIANCE!$A$2:$F$1996,6,0),100)</f>
        <v>100</v>
      </c>
      <c r="O181" s="5">
        <f>N181*PARAMS_MODELO!$B$11</f>
        <v>10</v>
      </c>
      <c r="P181" s="5">
        <f>IFERROR(VLOOKUP(A181,DIGITAL!$A$2:$J$2000,7,0),100)</f>
        <v>38</v>
      </c>
      <c r="Q181" s="5">
        <f>IFERROR(P181,0)*PARAMS_MODELO!$B$12</f>
        <v>3.8000000000000003</v>
      </c>
      <c r="R181">
        <f t="shared" si="51"/>
        <v>84.166357608413577</v>
      </c>
      <c r="S181" s="5" t="str">
        <f>IFERROR(VLOOKUP(A181,CLIENTE!$A$2:$N$2000,13,0),1)</f>
        <v>Regular</v>
      </c>
      <c r="T181" s="5">
        <f>IFERROR(VLOOKUP(A181,CLIENTE!$A$2:$N$2000,14,0),1)</f>
        <v>1</v>
      </c>
      <c r="U181" s="5">
        <f t="shared" si="52"/>
        <v>84.166357608413577</v>
      </c>
      <c r="V181" s="5" t="str">
        <f>IF(U181&gt;=MAX(_xlfn.PERCENTILE.INC($U$2:$U$1194,PARAMS_MODELO!$B$50),PARAMS_MODELO!$B$45),"DIAMANTE",IF(U181&gt;=MAX(_xlfn.PERCENTILE.INC($U$2:$U$1194,PARAMS_MODELO!$B$51),PARAMS_MODELO!$B$46),"PLATINO",IF(U181&gt;=MAX(_xlfn.PERCENTILE.INC($U$2:$U$1194,PARAMS_MODELO!$B$52),PARAMS_MODELO!$B$47),"ORO",IF(U181&gt;=MAX(_xlfn.PERCENTILE.INC($U$2:$U$1194,PARAMS_MODELO!$B$53),PARAMS_MODELO!$B$48),"PLATA",IF(U181&gt;=1,"BRONCE","CERRADO")))))</f>
        <v>ORO</v>
      </c>
      <c r="W181" s="5" t="str" cm="1">
        <f t="array" ref="W181">_xlfn.XLOOKUP(1, (HIST_SCORE!$B:$B=PARAMS_MODELO!$B$4) * (HIST_SCORE!$C:$C=A181), HIST_SCORE!$E:$E, "No encontrado")</f>
        <v>ORO</v>
      </c>
      <c r="X181" s="5" t="str">
        <f>_xlfn.LET(_xlpm.act,MATCH(V181,{"DIAMANTE";"PLATINO";"ORO";"PLATA";"BRONCE";"CERRADO"},0),_xlpm.ant,MATCH(W181,{"DIAMANTE";"PLATINO";"ORO";"PLATA";"BRONCE";"CERRADO"},0),IF(_xlpm.act&lt;_xlpm.ant,"Mejora ↑",IF(_xlpm.act&gt;_xlpm.ant,"Baja ↓","Estable →")))</f>
        <v>Estable →</v>
      </c>
      <c r="Y181" s="5">
        <f>IFERROR(U181-SUMIFS(HIST_SCORE!$D:$D,HIST_SCORE!$B:$B,PARAMS_MODELO!$B$4,HIST_SCORE!$C:$C,$A181),"")</f>
        <v>16.198893498984887</v>
      </c>
      <c r="Z181" s="5" t="str">
        <f t="shared" si="53"/>
        <v>↑ Mejora</v>
      </c>
      <c r="AA181" s="5">
        <f t="shared" si="54"/>
        <v>314</v>
      </c>
      <c r="AB181" s="5">
        <f>IFERROR(SUMIFS(HIST_SCORE!$F:$F,HIST_SCORE!$B:$B,PARAMS_MODELO!$B$4,HIST_SCORE!$C:$C,$A181),"")</f>
        <v>556</v>
      </c>
      <c r="AC181" s="5">
        <f t="shared" si="55"/>
        <v>242</v>
      </c>
      <c r="AD181" t="str">
        <f t="shared" si="57"/>
        <v/>
      </c>
      <c r="AE1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181="CERRADO",1,IF(V181="BRONCE",_xlpm.cPl,IF(V181="PLATA",_xlpm.cO,IF(V181="ORO",_xlpm.cP,IF(V181="PLATINO",_xlpm.cD,999))))))</f>
        <v>86.439123873763251</v>
      </c>
      <c r="AF1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181="CERRADO",0,IF(V181="BRONCE",1,IF(V181="PLATA",_xlpm.cPl,IF(V181="ORO",_xlpm.cO,IF(V181="PLATINO",_xlpm.cP,_xlpm.cD))))))</f>
        <v>63.199193273331495</v>
      </c>
      <c r="AG181">
        <f t="shared" si="58"/>
        <v>2.2727662653496736</v>
      </c>
      <c r="AH181" t="str">
        <f t="shared" si="59"/>
        <v>VENTAS</v>
      </c>
      <c r="AI181" t="str">
        <f t="shared" si="56"/>
        <v>🎯 Para subir de categoría, eje VENTAS / IMPACTO ABSOLUTO (H). Acción: metas semanales + activación comercial + seguimiento del asesor. ΔR aprox: 2,3</v>
      </c>
      <c r="AJ181" s="26">
        <f>_xlfn.LET(_xlpm.piso,AF181,_xlpm.corte,AE181,_xlpm.prog,IF(_xlpm.corte&lt;=_xlpm.piso,0,MAX(0,MIN(1,(U181-_xlpm.piso)/(_xlpm.corte-_xlpm.piso)))),_xlpm.orden,{"DIAMANTE";"PLATINO";"ORO";"PLATA";"BRONCE";"CERRADO"},_xlpm.act,IFERROR(MATCH(V181,_xlpm.orden,0),6),_xlpm.ant,IFERROR(MATCH(W181,_xlpm.orden,0),6),_xlpm.ajmov,IF(_xlpm.act&lt;_xlpm.ant,0.08,IF(_xlpm.act&gt;_xlpm.ant,-0.08,0)),_xlpm.ajcli,IF(T181&lt;0.95,-0.06,0),_xlpm.prob,MAX(0,MIN(1,_xlpm.prog+_xlpm.ajmov+_xlpm.ajcli)),IF(OR(V181="DIAMANTE",V181="CERRADO"),0,ROUND(_xlpm.prob,2)))</f>
        <v>0.9</v>
      </c>
      <c r="AK181" t="str">
        <f t="shared" si="60"/>
        <v>Faltan 2,3 puntos base para subir a la siguiente categoría</v>
      </c>
      <c r="AL181" t="str">
        <f t="shared" si="61"/>
        <v>Margen de seguridad: 21,0 puntos</v>
      </c>
      <c r="AM181">
        <f t="shared" si="62"/>
        <v>0.13</v>
      </c>
      <c r="AN181" t="str">
        <f t="shared" si="63"/>
        <v>PRIORIDAD BAJA – control normal</v>
      </c>
      <c r="AO181">
        <f t="shared" si="64"/>
        <v>9.4962116668819974</v>
      </c>
      <c r="AP181">
        <f t="shared" si="65"/>
        <v>0</v>
      </c>
      <c r="AQ181">
        <f t="shared" si="66"/>
        <v>0</v>
      </c>
      <c r="AR181">
        <f t="shared" si="67"/>
        <v>6.1999999999999993</v>
      </c>
      <c r="AS181">
        <f t="shared" si="68"/>
        <v>0</v>
      </c>
      <c r="AT181" t="str">
        <f t="shared" si="69"/>
        <v>VENTAS</v>
      </c>
      <c r="AU181">
        <f t="shared" si="70"/>
        <v>9.4962116668819974</v>
      </c>
      <c r="AV181" t="str">
        <f t="shared" si="71"/>
        <v>Mayor retorno probable: VENTAS (+9,5 puntos finales potenciales).</v>
      </c>
    </row>
    <row r="182" spans="1:48" x14ac:dyDescent="0.3">
      <c r="A182" s="5">
        <v>51001061</v>
      </c>
      <c r="B182" s="5" t="str">
        <f>IFERROR(VLOOKUP(A182,VENTAS!$A$2:$B$1194,2,0),"")</f>
        <v>ARGUELLO</v>
      </c>
      <c r="C182" s="5">
        <f>IFERROR(INDEX(VENTAS!$C$2:$E$1194,MATCH(A182,VENTAS!$A$2:$A$1194,0),MATCH(PARAMS_MODELO!$B$2,{"Q1","Q2","Q3"},0)),0)</f>
        <v>100847959.72</v>
      </c>
      <c r="D182" s="5">
        <f>IFERROR(INDEX(VENTAS!$F$2:$H$1194,MATCH(A182,VENTAS!$A$2:$A$1194,0),MATCH(PARAMS_MODELO!$B$2,{"Q1","Q2","Q3"},0)),0)</f>
        <v>128058225</v>
      </c>
      <c r="E182" s="8">
        <f t="shared" si="48"/>
        <v>0.26981473254935584</v>
      </c>
      <c r="F182" s="12">
        <f>IF(E182&lt;=PARAMS_MODELO!$B$15,0,IF(E182&gt;=PARAMS_MODELO!$B$17,100,100*MIN(1,(E182-PARAMS_MODELO!$B$15)/(PARAMS_MODELO!$B$16-PARAMS_MODELO!$B$15))))*PARAMS_MODELO!$B$7</f>
        <v>35</v>
      </c>
      <c r="G182" s="5">
        <f t="shared" si="49"/>
        <v>27210265.280000001</v>
      </c>
      <c r="H182" s="5">
        <f>(PARAMS_MODELO!$B$20*(MAX(0,MIN(3,E182))/3)+PARAMS_MODELO!$B$21*(IFERROR(LN(1+MAX(0,G182))/LN(1+MAX(0,MAX($G$2:$G$1194))),0)))*100*PARAMS_MODELO!$B$8</f>
        <v>4.9573087463171879</v>
      </c>
      <c r="I182" s="8">
        <f>E182-PARAMS_MODELO!$B$5</f>
        <v>9.2251897173829311E-2</v>
      </c>
      <c r="J182" s="5">
        <f>IF(I182&lt;=PARAMS_MODELO!$B$18,0,IF(I182&gt;=PARAMS_MODELO!$B$19,100,100*(I182-PARAMS_MODELO!$B$18)/(PARAMS_MODELO!$B$19-PARAMS_MODELO!$B$18)))*PARAMS_MODELO!$B$9</f>
        <v>15</v>
      </c>
      <c r="K182" s="5">
        <f>IFERROR(CHOOSE(MATCH(PARAMS_MODELO!$B$2,{"Q1","Q2","Q3"},0),LOTO!$D182,LOTO!$F182,LOTO!$H182),0)</f>
        <v>6499999.9999999991</v>
      </c>
      <c r="L182" s="8">
        <f t="shared" si="50"/>
        <v>5.0758160984973821E-2</v>
      </c>
      <c r="M182" s="5">
        <f>MIN(100,IF(PARAMS_MODELO!$B$23=0,0,100*L182/PARAMS_MODELO!$B$23))*PARAMS_MODELO!$B$10</f>
        <v>15</v>
      </c>
      <c r="N182" s="5">
        <f>IFERROR(VLOOKUP(A182,COMPLIANCE!$A$2:$F$1996,6,0),100)</f>
        <v>100</v>
      </c>
      <c r="O182" s="5">
        <f>N182*PARAMS_MODELO!$B$11</f>
        <v>10</v>
      </c>
      <c r="P182" s="5">
        <f>IFERROR(VLOOKUP(A182,DIGITAL!$A$2:$J$2000,7,0),100)</f>
        <v>43</v>
      </c>
      <c r="Q182" s="5">
        <f>IFERROR(P182,0)*PARAMS_MODELO!$B$12</f>
        <v>4.3</v>
      </c>
      <c r="R182">
        <f t="shared" si="51"/>
        <v>84.257308746317179</v>
      </c>
      <c r="S182" s="5" t="str">
        <f>IFERROR(VLOOKUP(A182,CLIENTE!$A$2:$N$2000,13,0),1)</f>
        <v>Regular</v>
      </c>
      <c r="T182" s="5">
        <f>IFERROR(VLOOKUP(A182,CLIENTE!$A$2:$N$2000,14,0),1)</f>
        <v>1</v>
      </c>
      <c r="U182" s="5">
        <f t="shared" si="52"/>
        <v>84.257308746317179</v>
      </c>
      <c r="V182" s="5" t="str">
        <f>IF(U182&gt;=MAX(_xlfn.PERCENTILE.INC($U$2:$U$1194,PARAMS_MODELO!$B$50),PARAMS_MODELO!$B$45),"DIAMANTE",IF(U182&gt;=MAX(_xlfn.PERCENTILE.INC($U$2:$U$1194,PARAMS_MODELO!$B$51),PARAMS_MODELO!$B$46),"PLATINO",IF(U182&gt;=MAX(_xlfn.PERCENTILE.INC($U$2:$U$1194,PARAMS_MODELO!$B$52),PARAMS_MODELO!$B$47),"ORO",IF(U182&gt;=MAX(_xlfn.PERCENTILE.INC($U$2:$U$1194,PARAMS_MODELO!$B$53),PARAMS_MODELO!$B$48),"PLATA",IF(U182&gt;=1,"BRONCE","CERRADO")))))</f>
        <v>ORO</v>
      </c>
      <c r="W182" s="5" t="str" cm="1">
        <f t="array" ref="W182">_xlfn.XLOOKUP(1, (HIST_SCORE!$B:$B=PARAMS_MODELO!$B$4) * (HIST_SCORE!$C:$C=A182), HIST_SCORE!$E:$E, "No encontrado")</f>
        <v>PLATA</v>
      </c>
      <c r="X182" s="5" t="str">
        <f>_xlfn.LET(_xlpm.act,MATCH(V182,{"DIAMANTE";"PLATINO";"ORO";"PLATA";"BRONCE";"CERRADO"},0),_xlpm.ant,MATCH(W182,{"DIAMANTE";"PLATINO";"ORO";"PLATA";"BRONCE";"CERRADO"},0),IF(_xlpm.act&lt;_xlpm.ant,"Mejora ↑",IF(_xlpm.act&gt;_xlpm.ant,"Baja ↓","Estable →")))</f>
        <v>Mejora ↑</v>
      </c>
      <c r="Y182" s="5">
        <f>IFERROR(U182-SUMIFS(HIST_SCORE!$D:$D,HIST_SCORE!$B:$B,PARAMS_MODELO!$B$4,HIST_SCORE!$C:$C,$A182),"")</f>
        <v>26.700360315536344</v>
      </c>
      <c r="Z182" s="5" t="str">
        <f t="shared" si="53"/>
        <v>↑ Mejora</v>
      </c>
      <c r="AA182" s="5">
        <f t="shared" si="54"/>
        <v>309</v>
      </c>
      <c r="AB182" s="5">
        <f>IFERROR(SUMIFS(HIST_SCORE!$F:$F,HIST_SCORE!$B:$B,PARAMS_MODELO!$B$4,HIST_SCORE!$C:$C,$A182),"")</f>
        <v>698</v>
      </c>
      <c r="AC182" s="5">
        <f t="shared" si="55"/>
        <v>389</v>
      </c>
      <c r="AD182" t="str">
        <f t="shared" si="57"/>
        <v/>
      </c>
      <c r="AE1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182="CERRADO",1,IF(V182="BRONCE",_xlpm.cPl,IF(V182="PLATA",_xlpm.cO,IF(V182="ORO",_xlpm.cP,IF(V182="PLATINO",_xlpm.cD,999))))))</f>
        <v>86.439123873763251</v>
      </c>
      <c r="AF1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182="CERRADO",0,IF(V182="BRONCE",1,IF(V182="PLATA",_xlpm.cPl,IF(V182="ORO",_xlpm.cO,IF(V182="PLATINO",_xlpm.cP,_xlpm.cD))))))</f>
        <v>63.199193273331495</v>
      </c>
      <c r="AG182">
        <f t="shared" si="58"/>
        <v>2.1818151274460718</v>
      </c>
      <c r="AH182" t="str">
        <f t="shared" si="59"/>
        <v>VENTAS</v>
      </c>
      <c r="AI182" t="str">
        <f t="shared" si="56"/>
        <v>🎯 Para subir de categoría, eje VENTAS / IMPACTO ABSOLUTO (H). Acción: metas semanales + activación comercial + seguimiento del asesor. ΔR aprox: 2,2</v>
      </c>
      <c r="AJ182" s="26">
        <f>_xlfn.LET(_xlpm.piso,AF182,_xlpm.corte,AE182,_xlpm.prog,IF(_xlpm.corte&lt;=_xlpm.piso,0,MAX(0,MIN(1,(U182-_xlpm.piso)/(_xlpm.corte-_xlpm.piso)))),_xlpm.orden,{"DIAMANTE";"PLATINO";"ORO";"PLATA";"BRONCE";"CERRADO"},_xlpm.act,IFERROR(MATCH(V182,_xlpm.orden,0),6),_xlpm.ant,IFERROR(MATCH(W182,_xlpm.orden,0),6),_xlpm.ajmov,IF(_xlpm.act&lt;_xlpm.ant,0.08,IF(_xlpm.act&gt;_xlpm.ant,-0.08,0)),_xlpm.ajcli,IF(T182&lt;0.95,-0.06,0),_xlpm.prob,MAX(0,MIN(1,_xlpm.prog+_xlpm.ajmov+_xlpm.ajcli)),IF(OR(V182="DIAMANTE",V182="CERRADO"),0,ROUND(_xlpm.prob,2)))</f>
        <v>0.99</v>
      </c>
      <c r="AK182" t="str">
        <f t="shared" si="60"/>
        <v>Faltan 2,2 puntos base para subir a la siguiente categoría</v>
      </c>
      <c r="AL182" t="str">
        <f t="shared" si="61"/>
        <v>Margen de seguridad: 21,1 puntos</v>
      </c>
      <c r="AM182">
        <f t="shared" si="62"/>
        <v>0.09</v>
      </c>
      <c r="AN182" t="str">
        <f t="shared" si="63"/>
        <v>PRIORIDAD BAJA – control normal</v>
      </c>
      <c r="AO182">
        <f t="shared" si="64"/>
        <v>9.9052605289783955</v>
      </c>
      <c r="AP182">
        <f t="shared" si="65"/>
        <v>0</v>
      </c>
      <c r="AQ182">
        <f t="shared" si="66"/>
        <v>0</v>
      </c>
      <c r="AR182">
        <f t="shared" si="67"/>
        <v>5.7</v>
      </c>
      <c r="AS182">
        <f t="shared" si="68"/>
        <v>0</v>
      </c>
      <c r="AT182" t="str">
        <f t="shared" si="69"/>
        <v>VENTAS</v>
      </c>
      <c r="AU182">
        <f t="shared" si="70"/>
        <v>9.9052605289783955</v>
      </c>
      <c r="AV182" t="str">
        <f t="shared" si="71"/>
        <v>Mayor retorno probable: VENTAS (+9,9 puntos finales potenciales).</v>
      </c>
    </row>
    <row r="183" spans="1:48" x14ac:dyDescent="0.3">
      <c r="A183" s="5">
        <v>51018621</v>
      </c>
      <c r="B183" s="5" t="str">
        <f>IFERROR(VLOOKUP(A183,VENTAS!$A$2:$B$1194,2,0),"")</f>
        <v>METTLER</v>
      </c>
      <c r="C183" s="5">
        <f>IFERROR(INDEX(VENTAS!$C$2:$E$1194,MATCH(A183,VENTAS!$A$2:$A$1194,0),MATCH(PARAMS_MODELO!$B$2,{"Q1","Q2","Q3"},0)),0)</f>
        <v>103917369.86</v>
      </c>
      <c r="D183" s="5">
        <f>IFERROR(INDEX(VENTAS!$F$2:$H$1194,MATCH(A183,VENTAS!$A$2:$A$1194,0),MATCH(PARAMS_MODELO!$B$2,{"Q1","Q2","Q3"},0)),0)</f>
        <v>128017953</v>
      </c>
      <c r="E183" s="8">
        <f t="shared" si="48"/>
        <v>0.2319206420684905</v>
      </c>
      <c r="F183" s="12">
        <f>IF(E183&lt;=PARAMS_MODELO!$B$15,0,IF(E183&gt;=PARAMS_MODELO!$B$17,100,100*MIN(1,(E183-PARAMS_MODELO!$B$15)/(PARAMS_MODELO!$B$16-PARAMS_MODELO!$B$15))))*PARAMS_MODELO!$B$7</f>
        <v>35</v>
      </c>
      <c r="G183" s="5">
        <f t="shared" si="49"/>
        <v>24100583.140000001</v>
      </c>
      <c r="H183" s="5">
        <f>(PARAMS_MODELO!$B$20*(MAX(0,MIN(3,E183))/3)+PARAMS_MODELO!$B$21*(IFERROR(LN(1+MAX(0,G183))/LN(1+MAX(0,MAX($G$2:$G$1194))),0)))*100*PARAMS_MODELO!$B$8</f>
        <v>4.7962313591325714</v>
      </c>
      <c r="I183" s="8">
        <f>E183-PARAMS_MODELO!$B$5</f>
        <v>5.4357806692963972E-2</v>
      </c>
      <c r="J183" s="5">
        <f>IF(I183&lt;=PARAMS_MODELO!$B$18,0,IF(I183&gt;=PARAMS_MODELO!$B$19,100,100*(I183-PARAMS_MODELO!$B$18)/(PARAMS_MODELO!$B$19-PARAMS_MODELO!$B$18)))*PARAMS_MODELO!$B$9</f>
        <v>15</v>
      </c>
      <c r="K183" s="5">
        <f>IFERROR(CHOOSE(MATCH(PARAMS_MODELO!$B$2,{"Q1","Q2","Q3"},0),LOTO!$D183,LOTO!$F183,LOTO!$H183),0)</f>
        <v>6487500</v>
      </c>
      <c r="L183" s="8">
        <f t="shared" si="50"/>
        <v>5.0676485976931689E-2</v>
      </c>
      <c r="M183" s="5">
        <f>MIN(100,IF(PARAMS_MODELO!$B$23=0,0,100*L183/PARAMS_MODELO!$B$23))*PARAMS_MODELO!$B$10</f>
        <v>15</v>
      </c>
      <c r="N183" s="5">
        <f>IFERROR(VLOOKUP(A183,COMPLIANCE!$A$2:$F$1996,6,0),100)</f>
        <v>100</v>
      </c>
      <c r="O183" s="5">
        <f>N183*PARAMS_MODELO!$B$11</f>
        <v>10</v>
      </c>
      <c r="P183" s="5">
        <f>IFERROR(VLOOKUP(A183,DIGITAL!$A$2:$J$2000,7,0),100)</f>
        <v>16</v>
      </c>
      <c r="Q183" s="5">
        <f>IFERROR(P183,0)*PARAMS_MODELO!$B$12</f>
        <v>1.6</v>
      </c>
      <c r="R183">
        <f t="shared" si="51"/>
        <v>81.396231359132571</v>
      </c>
      <c r="S183" s="5" t="str">
        <f>IFERROR(VLOOKUP(A183,CLIENTE!$A$2:$N$2000,13,0),1)</f>
        <v>Malo</v>
      </c>
      <c r="T183" s="5">
        <f>IFERROR(VLOOKUP(A183,CLIENTE!$A$2:$N$2000,14,0),1)</f>
        <v>0.7</v>
      </c>
      <c r="U183" s="5">
        <f t="shared" si="52"/>
        <v>56.977361951392794</v>
      </c>
      <c r="V183" s="5" t="str">
        <f>IF(U183&gt;=MAX(_xlfn.PERCENTILE.INC($U$2:$U$1194,PARAMS_MODELO!$B$50),PARAMS_MODELO!$B$45),"DIAMANTE",IF(U183&gt;=MAX(_xlfn.PERCENTILE.INC($U$2:$U$1194,PARAMS_MODELO!$B$51),PARAMS_MODELO!$B$46),"PLATINO",IF(U183&gt;=MAX(_xlfn.PERCENTILE.INC($U$2:$U$1194,PARAMS_MODELO!$B$52),PARAMS_MODELO!$B$47),"ORO",IF(U183&gt;=MAX(_xlfn.PERCENTILE.INC($U$2:$U$1194,PARAMS_MODELO!$B$53),PARAMS_MODELO!$B$48),"PLATA",IF(U183&gt;=1,"BRONCE","CERRADO")))))</f>
        <v>PLATA</v>
      </c>
      <c r="W183" s="5" t="str" cm="1">
        <f t="array" ref="W183">_xlfn.XLOOKUP(1, (HIST_SCORE!$B:$B=PARAMS_MODELO!$B$4) * (HIST_SCORE!$C:$C=A183), HIST_SCORE!$E:$E, "No encontrado")</f>
        <v>PLATA</v>
      </c>
      <c r="X183" s="5" t="str">
        <f>_xlfn.LET(_xlpm.act,MATCH(V183,{"DIAMANTE";"PLATINO";"ORO";"PLATA";"BRONCE";"CERRADO"},0),_xlpm.ant,MATCH(W183,{"DIAMANTE";"PLATINO";"ORO";"PLATA";"BRONCE";"CERRADO"},0),IF(_xlpm.act&lt;_xlpm.ant,"Mejora ↑",IF(_xlpm.act&gt;_xlpm.ant,"Baja ↓","Estable →")))</f>
        <v>Estable →</v>
      </c>
      <c r="Y183" s="5">
        <f>IFERROR(U183-SUMIFS(HIST_SCORE!$D:$D,HIST_SCORE!$B:$B,PARAMS_MODELO!$B$4,HIST_SCORE!$C:$C,$A183),"")</f>
        <v>6.5071528259683902</v>
      </c>
      <c r="Z183" s="5" t="str">
        <f t="shared" si="53"/>
        <v>↑ Mejora</v>
      </c>
      <c r="AA183" s="5">
        <f t="shared" si="54"/>
        <v>682</v>
      </c>
      <c r="AB183" s="5">
        <f>IFERROR(SUMIFS(HIST_SCORE!$F:$F,HIST_SCORE!$B:$B,PARAMS_MODELO!$B$4,HIST_SCORE!$C:$C,$A183),"")</f>
        <v>768</v>
      </c>
      <c r="AC183" s="5">
        <f t="shared" si="55"/>
        <v>86</v>
      </c>
      <c r="AD183" t="str">
        <f t="shared" si="57"/>
        <v/>
      </c>
      <c r="AE1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183="CERRADO",1,IF(V183="BRONCE",_xlpm.cPl,IF(V183="PLATA",_xlpm.cO,IF(V183="ORO",_xlpm.cP,IF(V183="PLATINO",_xlpm.cD,999))))))</f>
        <v>63.199193273331495</v>
      </c>
      <c r="AF1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183="CERRADO",0,IF(V183="BRONCE",1,IF(V183="PLATA",_xlpm.cPl,IF(V183="ORO",_xlpm.cO,IF(V183="PLATINO",_xlpm.cP,_xlpm.cD))))))</f>
        <v>24.506573482968111</v>
      </c>
      <c r="AG183">
        <f t="shared" si="58"/>
        <v>8.8883304599124244</v>
      </c>
      <c r="AH183" t="str">
        <f t="shared" si="59"/>
        <v>CLIENTE</v>
      </c>
      <c r="AI183" t="str">
        <f t="shared" si="56"/>
        <v>🎯 Para subir de categoría, la eje con mayor impacto probable es CLIENTE (coef T). Acción: reducir quejas, mejorar incógnito y empujar reseñas. ΔR aprox: 8,9</v>
      </c>
      <c r="AJ183" s="26">
        <f>_xlfn.LET(_xlpm.piso,AF183,_xlpm.corte,AE183,_xlpm.prog,IF(_xlpm.corte&lt;=_xlpm.piso,0,MAX(0,MIN(1,(U183-_xlpm.piso)/(_xlpm.corte-_xlpm.piso)))),_xlpm.orden,{"DIAMANTE";"PLATINO";"ORO";"PLATA";"BRONCE";"CERRADO"},_xlpm.act,IFERROR(MATCH(V183,_xlpm.orden,0),6),_xlpm.ant,IFERROR(MATCH(W183,_xlpm.orden,0),6),_xlpm.ajmov,IF(_xlpm.act&lt;_xlpm.ant,0.08,IF(_xlpm.act&gt;_xlpm.ant,-0.08,0)),_xlpm.ajcli,IF(T183&lt;0.95,-0.06,0),_xlpm.prob,MAX(0,MIN(1,_xlpm.prog+_xlpm.ajmov+_xlpm.ajcli)),IF(OR(V183="DIAMANTE",V183="CERRADO"),0,ROUND(_xlpm.prob,2)))</f>
        <v>0.78</v>
      </c>
      <c r="AK183" t="str">
        <f t="shared" si="60"/>
        <v>Faltan 8,9 puntos base para subir a la siguiente categoría</v>
      </c>
      <c r="AL183" t="str">
        <f t="shared" si="61"/>
        <v>Margen de seguridad: 32,5 puntos</v>
      </c>
      <c r="AM183">
        <f t="shared" si="62"/>
        <v>0.64</v>
      </c>
      <c r="AN183" t="str">
        <f t="shared" si="63"/>
        <v>PRIORIDAD MEDIA – seguimiento del asesor</v>
      </c>
      <c r="AO183">
        <f t="shared" si="64"/>
        <v>7.0464365413141099</v>
      </c>
      <c r="AP183">
        <f t="shared" si="65"/>
        <v>0</v>
      </c>
      <c r="AQ183">
        <f t="shared" si="66"/>
        <v>0</v>
      </c>
      <c r="AR183">
        <f t="shared" si="67"/>
        <v>5.88</v>
      </c>
      <c r="AS183">
        <f t="shared" si="68"/>
        <v>24.418869407739773</v>
      </c>
      <c r="AT183" t="str">
        <f t="shared" si="69"/>
        <v>CLIENTE</v>
      </c>
      <c r="AU183">
        <f t="shared" si="70"/>
        <v>24.418869407739773</v>
      </c>
      <c r="AV183" t="str">
        <f t="shared" si="71"/>
        <v>Mayor retorno probable: CLIENTE (+24,4 puntos finales potenciales).</v>
      </c>
    </row>
    <row r="184" spans="1:48" x14ac:dyDescent="0.3">
      <c r="A184" s="5">
        <v>51011031</v>
      </c>
      <c r="B184" s="5" t="str">
        <f>IFERROR(VLOOKUP(A184,VENTAS!$A$2:$B$1194,2,0),"")</f>
        <v>PUGH</v>
      </c>
      <c r="C184" s="5">
        <f>IFERROR(INDEX(VENTAS!$C$2:$E$1194,MATCH(A184,VENTAS!$A$2:$A$1194,0),MATCH(PARAMS_MODELO!$B$2,{"Q1","Q2","Q3"},0)),0)</f>
        <v>86043452.159999996</v>
      </c>
      <c r="D184" s="5">
        <f>IFERROR(INDEX(VENTAS!$F$2:$H$1194,MATCH(A184,VENTAS!$A$2:$A$1194,0),MATCH(PARAMS_MODELO!$B$2,{"Q1","Q2","Q3"},0)),0)</f>
        <v>127192806</v>
      </c>
      <c r="E184" s="8">
        <f t="shared" si="48"/>
        <v>0.47823922456623102</v>
      </c>
      <c r="F184" s="12">
        <f>IF(E184&lt;=PARAMS_MODELO!$B$15,0,IF(E184&gt;=PARAMS_MODELO!$B$17,100,100*MIN(1,(E184-PARAMS_MODELO!$B$15)/(PARAMS_MODELO!$B$16-PARAMS_MODELO!$B$15))))*PARAMS_MODELO!$B$7</f>
        <v>35</v>
      </c>
      <c r="G184" s="5">
        <f t="shared" si="49"/>
        <v>41149353.840000004</v>
      </c>
      <c r="H184" s="5">
        <f>(PARAMS_MODELO!$B$20*(MAX(0,MIN(3,E184))/3)+PARAMS_MODELO!$B$21*(IFERROR(LN(1+MAX(0,G184))/LN(1+MAX(0,MAX($G$2:$G$1194))),0)))*100*PARAMS_MODELO!$B$8</f>
        <v>5.7837513431926402</v>
      </c>
      <c r="I184" s="8">
        <f>E184-PARAMS_MODELO!$B$5</f>
        <v>0.3006763891907045</v>
      </c>
      <c r="J184" s="5">
        <f>IF(I184&lt;=PARAMS_MODELO!$B$18,0,IF(I184&gt;=PARAMS_MODELO!$B$19,100,100*(I184-PARAMS_MODELO!$B$18)/(PARAMS_MODELO!$B$19-PARAMS_MODELO!$B$18)))*PARAMS_MODELO!$B$9</f>
        <v>15</v>
      </c>
      <c r="K184" s="5">
        <f>IFERROR(CHOOSE(MATCH(PARAMS_MODELO!$B$2,{"Q1","Q2","Q3"},0),LOTO!$D184,LOTO!$F184,LOTO!$H184),0)</f>
        <v>6487500</v>
      </c>
      <c r="L184" s="8">
        <f t="shared" si="50"/>
        <v>5.1005243173894599E-2</v>
      </c>
      <c r="M184" s="5">
        <f>MIN(100,IF(PARAMS_MODELO!$B$23=0,0,100*L184/PARAMS_MODELO!$B$23))*PARAMS_MODELO!$B$10</f>
        <v>15</v>
      </c>
      <c r="N184" s="5">
        <f>IFERROR(VLOOKUP(A184,COMPLIANCE!$A$2:$F$1996,6,0),100)</f>
        <v>100</v>
      </c>
      <c r="O184" s="5">
        <f>N184*PARAMS_MODELO!$B$11</f>
        <v>10</v>
      </c>
      <c r="P184" s="5">
        <f>IFERROR(VLOOKUP(A184,DIGITAL!$A$2:$J$2000,7,0),100)</f>
        <v>84</v>
      </c>
      <c r="Q184" s="5">
        <f>IFERROR(P184,0)*PARAMS_MODELO!$B$12</f>
        <v>8.4</v>
      </c>
      <c r="R184">
        <f t="shared" si="51"/>
        <v>89.183751343192654</v>
      </c>
      <c r="S184" s="5" t="str">
        <f>IFERROR(VLOOKUP(A184,CLIENTE!$A$2:$N$2000,13,0),1)</f>
        <v>Regular</v>
      </c>
      <c r="T184" s="5">
        <f>IFERROR(VLOOKUP(A184,CLIENTE!$A$2:$N$2000,14,0),1)</f>
        <v>1</v>
      </c>
      <c r="U184" s="5">
        <f t="shared" si="52"/>
        <v>89.183751343192654</v>
      </c>
      <c r="V184" s="5" t="str">
        <f>IF(U184&gt;=MAX(_xlfn.PERCENTILE.INC($U$2:$U$1194,PARAMS_MODELO!$B$50),PARAMS_MODELO!$B$45),"DIAMANTE",IF(U184&gt;=MAX(_xlfn.PERCENTILE.INC($U$2:$U$1194,PARAMS_MODELO!$B$51),PARAMS_MODELO!$B$46),"PLATINO",IF(U184&gt;=MAX(_xlfn.PERCENTILE.INC($U$2:$U$1194,PARAMS_MODELO!$B$52),PARAMS_MODELO!$B$47),"ORO",IF(U184&gt;=MAX(_xlfn.PERCENTILE.INC($U$2:$U$1194,PARAMS_MODELO!$B$53),PARAMS_MODELO!$B$48),"PLATA",IF(U184&gt;=1,"BRONCE","CERRADO")))))</f>
        <v>PLATINO</v>
      </c>
      <c r="W184" s="5" t="str" cm="1">
        <f t="array" ref="W184">_xlfn.XLOOKUP(1, (HIST_SCORE!$B:$B=PARAMS_MODELO!$B$4) * (HIST_SCORE!$C:$C=A184), HIST_SCORE!$E:$E, "No encontrado")</f>
        <v>PLATINO</v>
      </c>
      <c r="X184" s="5" t="str">
        <f>_xlfn.LET(_xlpm.act,MATCH(V184,{"DIAMANTE";"PLATINO";"ORO";"PLATA";"BRONCE";"CERRADO"},0),_xlpm.ant,MATCH(W184,{"DIAMANTE";"PLATINO";"ORO";"PLATA";"BRONCE";"CERRADO"},0),IF(_xlpm.act&lt;_xlpm.ant,"Mejora ↑",IF(_xlpm.act&gt;_xlpm.ant,"Baja ↓","Estable →")))</f>
        <v>Estable →</v>
      </c>
      <c r="Y184" s="5">
        <f>IFERROR(U184-SUMIFS(HIST_SCORE!$D:$D,HIST_SCORE!$B:$B,PARAMS_MODELO!$B$4,HIST_SCORE!$C:$C,$A184),"")</f>
        <v>0.70197627927707629</v>
      </c>
      <c r="Z184" s="5" t="str">
        <f t="shared" si="53"/>
        <v>→ Estable</v>
      </c>
      <c r="AA184" s="5">
        <f t="shared" si="54"/>
        <v>162</v>
      </c>
      <c r="AB184" s="5">
        <f>IFERROR(SUMIFS(HIST_SCORE!$F:$F,HIST_SCORE!$B:$B,PARAMS_MODELO!$B$4,HIST_SCORE!$C:$C,$A184),"")</f>
        <v>164</v>
      </c>
      <c r="AC184" s="5">
        <f t="shared" si="55"/>
        <v>2</v>
      </c>
      <c r="AD184" t="str">
        <f t="shared" si="57"/>
        <v/>
      </c>
      <c r="AE1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184="CERRADO",1,IF(V184="BRONCE",_xlpm.cPl,IF(V184="PLATA",_xlpm.cO,IF(V184="ORO",_xlpm.cP,IF(V184="PLATINO",_xlpm.cD,999))))))</f>
        <v>96.054919694466676</v>
      </c>
      <c r="AF1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184="CERRADO",0,IF(V184="BRONCE",1,IF(V184="PLATA",_xlpm.cPl,IF(V184="ORO",_xlpm.cO,IF(V184="PLATINO",_xlpm.cP,_xlpm.cD))))))</f>
        <v>86.439123873763251</v>
      </c>
      <c r="AG184">
        <f t="shared" si="58"/>
        <v>6.8711683512740223</v>
      </c>
      <c r="AH184" t="str">
        <f t="shared" si="59"/>
        <v>VENTAS</v>
      </c>
      <c r="AI184" t="str">
        <f t="shared" si="56"/>
        <v>🎯 Para subir de categoría, eje VENTAS / IMPACTO ABSOLUTO (H). Acción: metas semanales + activación comercial + seguimiento del asesor. ΔR aprox: 6,9</v>
      </c>
      <c r="AJ184" s="26">
        <f>_xlfn.LET(_xlpm.piso,AF184,_xlpm.corte,AE184,_xlpm.prog,IF(_xlpm.corte&lt;=_xlpm.piso,0,MAX(0,MIN(1,(U184-_xlpm.piso)/(_xlpm.corte-_xlpm.piso)))),_xlpm.orden,{"DIAMANTE";"PLATINO";"ORO";"PLATA";"BRONCE";"CERRADO"},_xlpm.act,IFERROR(MATCH(V184,_xlpm.orden,0),6),_xlpm.ant,IFERROR(MATCH(W184,_xlpm.orden,0),6),_xlpm.ajmov,IF(_xlpm.act&lt;_xlpm.ant,0.08,IF(_xlpm.act&gt;_xlpm.ant,-0.08,0)),_xlpm.ajcli,IF(T184&lt;0.95,-0.06,0),_xlpm.prob,MAX(0,MIN(1,_xlpm.prog+_xlpm.ajmov+_xlpm.ajcli)),IF(OR(V184="DIAMANTE",V184="CERRADO"),0,ROUND(_xlpm.prob,2)))</f>
        <v>0.28999999999999998</v>
      </c>
      <c r="AK184" t="str">
        <f t="shared" si="60"/>
        <v>Faltan 6,9 puntos base para subir a la siguiente categoría</v>
      </c>
      <c r="AL184" t="str">
        <f t="shared" si="61"/>
        <v>Margen de seguridad: 2,7 puntos</v>
      </c>
      <c r="AM184">
        <f t="shared" si="62"/>
        <v>0.56000000000000005</v>
      </c>
      <c r="AN184" t="str">
        <f t="shared" si="63"/>
        <v>PRIORIDAD MEDIA – seguimiento del asesor</v>
      </c>
      <c r="AO184">
        <f t="shared" si="64"/>
        <v>9.0788179321029432</v>
      </c>
      <c r="AP184">
        <f t="shared" si="65"/>
        <v>0</v>
      </c>
      <c r="AQ184">
        <f t="shared" si="66"/>
        <v>0</v>
      </c>
      <c r="AR184">
        <f t="shared" si="67"/>
        <v>1.5999999999999996</v>
      </c>
      <c r="AS184">
        <f t="shared" si="68"/>
        <v>0</v>
      </c>
      <c r="AT184" t="str">
        <f t="shared" si="69"/>
        <v>VENTAS</v>
      </c>
      <c r="AU184">
        <f t="shared" si="70"/>
        <v>9.0788179321029432</v>
      </c>
      <c r="AV184" t="str">
        <f t="shared" si="71"/>
        <v>Mayor retorno probable: VENTAS (+9,1 puntos finales potenciales).</v>
      </c>
    </row>
    <row r="185" spans="1:48" x14ac:dyDescent="0.3">
      <c r="A185" s="5">
        <v>51013239</v>
      </c>
      <c r="B185" s="5" t="str">
        <f>IFERROR(VLOOKUP(A185,VENTAS!$A$2:$B$1194,2,0),"")</f>
        <v>NELLI</v>
      </c>
      <c r="C185" s="5">
        <f>IFERROR(INDEX(VENTAS!$C$2:$E$1194,MATCH(A185,VENTAS!$A$2:$A$1194,0),MATCH(PARAMS_MODELO!$B$2,{"Q1","Q2","Q3"},0)),0)</f>
        <v>93417981.549999997</v>
      </c>
      <c r="D185" s="5">
        <f>IFERROR(INDEX(VENTAS!$F$2:$H$1194,MATCH(A185,VENTAS!$A$2:$A$1194,0),MATCH(PARAMS_MODELO!$B$2,{"Q1","Q2","Q3"},0)),0)</f>
        <v>127182620</v>
      </c>
      <c r="E185" s="8">
        <f t="shared" si="48"/>
        <v>0.3614361805915085</v>
      </c>
      <c r="F185" s="12">
        <f>IF(E185&lt;=PARAMS_MODELO!$B$15,0,IF(E185&gt;=PARAMS_MODELO!$B$17,100,100*MIN(1,(E185-PARAMS_MODELO!$B$15)/(PARAMS_MODELO!$B$16-PARAMS_MODELO!$B$15))))*PARAMS_MODELO!$B$7</f>
        <v>35</v>
      </c>
      <c r="G185" s="5">
        <f t="shared" si="49"/>
        <v>33764638.450000003</v>
      </c>
      <c r="H185" s="5">
        <f>(PARAMS_MODELO!$B$20*(MAX(0,MIN(3,E185))/3)+PARAMS_MODELO!$B$21*(IFERROR(LN(1+MAX(0,G185))/LN(1+MAX(0,MAX($G$2:$G$1194))),0)))*100*PARAMS_MODELO!$B$8</f>
        <v>5.3285749758964362</v>
      </c>
      <c r="I185" s="8">
        <f>E185-PARAMS_MODELO!$B$5</f>
        <v>0.18387334521598198</v>
      </c>
      <c r="J185" s="5">
        <f>IF(I185&lt;=PARAMS_MODELO!$B$18,0,IF(I185&gt;=PARAMS_MODELO!$B$19,100,100*(I185-PARAMS_MODELO!$B$18)/(PARAMS_MODELO!$B$19-PARAMS_MODELO!$B$18)))*PARAMS_MODELO!$B$9</f>
        <v>15</v>
      </c>
      <c r="K185" s="5">
        <f>IFERROR(CHOOSE(MATCH(PARAMS_MODELO!$B$2,{"Q1","Q2","Q3"},0),LOTO!$D185,LOTO!$F185,LOTO!$H185),0)</f>
        <v>6477500</v>
      </c>
      <c r="L185" s="8">
        <f t="shared" si="50"/>
        <v>5.093070106591608E-2</v>
      </c>
      <c r="M185" s="5">
        <f>MIN(100,IF(PARAMS_MODELO!$B$23=0,0,100*L185/PARAMS_MODELO!$B$23))*PARAMS_MODELO!$B$10</f>
        <v>15</v>
      </c>
      <c r="N185" s="5">
        <f>IFERROR(VLOOKUP(A185,COMPLIANCE!$A$2:$F$1996,6,0),100)</f>
        <v>100</v>
      </c>
      <c r="O185" s="5">
        <f>N185*PARAMS_MODELO!$B$11</f>
        <v>10</v>
      </c>
      <c r="P185" s="5">
        <f>IFERROR(VLOOKUP(A185,DIGITAL!$A$2:$J$2000,7,0),100)</f>
        <v>89</v>
      </c>
      <c r="Q185" s="5">
        <f>IFERROR(P185,0)*PARAMS_MODELO!$B$12</f>
        <v>8.9</v>
      </c>
      <c r="R185">
        <f t="shared" si="51"/>
        <v>89.228574975896436</v>
      </c>
      <c r="S185" s="5" t="str">
        <f>IFERROR(VLOOKUP(A185,CLIENTE!$A$2:$N$2000,13,0),1)</f>
        <v>Regular</v>
      </c>
      <c r="T185" s="5">
        <f>IFERROR(VLOOKUP(A185,CLIENTE!$A$2:$N$2000,14,0),1)</f>
        <v>1</v>
      </c>
      <c r="U185" s="5">
        <f t="shared" si="52"/>
        <v>89.228574975896436</v>
      </c>
      <c r="V185" s="5" t="str">
        <f>IF(U185&gt;=MAX(_xlfn.PERCENTILE.INC($U$2:$U$1194,PARAMS_MODELO!$B$50),PARAMS_MODELO!$B$45),"DIAMANTE",IF(U185&gt;=MAX(_xlfn.PERCENTILE.INC($U$2:$U$1194,PARAMS_MODELO!$B$51),PARAMS_MODELO!$B$46),"PLATINO",IF(U185&gt;=MAX(_xlfn.PERCENTILE.INC($U$2:$U$1194,PARAMS_MODELO!$B$52),PARAMS_MODELO!$B$47),"ORO",IF(U185&gt;=MAX(_xlfn.PERCENTILE.INC($U$2:$U$1194,PARAMS_MODELO!$B$53),PARAMS_MODELO!$B$48),"PLATA",IF(U185&gt;=1,"BRONCE","CERRADO")))))</f>
        <v>PLATINO</v>
      </c>
      <c r="W185" s="5" t="str" cm="1">
        <f t="array" ref="W185">_xlfn.XLOOKUP(1, (HIST_SCORE!$B:$B=PARAMS_MODELO!$B$4) * (HIST_SCORE!$C:$C=A185), HIST_SCORE!$E:$E, "No encontrado")</f>
        <v>ORO</v>
      </c>
      <c r="X185" s="5" t="str">
        <f>_xlfn.LET(_xlpm.act,MATCH(V185,{"DIAMANTE";"PLATINO";"ORO";"PLATA";"BRONCE";"CERRADO"},0),_xlpm.ant,MATCH(W185,{"DIAMANTE";"PLATINO";"ORO";"PLATA";"BRONCE";"CERRADO"},0),IF(_xlpm.act&lt;_xlpm.ant,"Mejora ↑",IF(_xlpm.act&gt;_xlpm.ant,"Baja ↓","Estable →")))</f>
        <v>Mejora ↑</v>
      </c>
      <c r="Y185" s="5">
        <f>IFERROR(U185-SUMIFS(HIST_SCORE!$D:$D,HIST_SCORE!$B:$B,PARAMS_MODELO!$B$4,HIST_SCORE!$C:$C,$A185),"")</f>
        <v>15.98886418577942</v>
      </c>
      <c r="Z185" s="5" t="str">
        <f t="shared" si="53"/>
        <v>↑ Mejora</v>
      </c>
      <c r="AA185" s="5">
        <f t="shared" si="54"/>
        <v>160</v>
      </c>
      <c r="AB185" s="5">
        <f>IFERROR(SUMIFS(HIST_SCORE!$F:$F,HIST_SCORE!$B:$B,PARAMS_MODELO!$B$4,HIST_SCORE!$C:$C,$A185),"")</f>
        <v>508</v>
      </c>
      <c r="AC185" s="5">
        <f t="shared" si="55"/>
        <v>348</v>
      </c>
      <c r="AD185" t="str">
        <f t="shared" si="57"/>
        <v/>
      </c>
      <c r="AE1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185="CERRADO",1,IF(V185="BRONCE",_xlpm.cPl,IF(V185="PLATA",_xlpm.cO,IF(V185="ORO",_xlpm.cP,IF(V185="PLATINO",_xlpm.cD,999))))))</f>
        <v>96.054919694466676</v>
      </c>
      <c r="AF1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185="CERRADO",0,IF(V185="BRONCE",1,IF(V185="PLATA",_xlpm.cPl,IF(V185="ORO",_xlpm.cO,IF(V185="PLATINO",_xlpm.cP,_xlpm.cD))))))</f>
        <v>86.439123873763251</v>
      </c>
      <c r="AG185">
        <f t="shared" si="58"/>
        <v>6.8263447185702404</v>
      </c>
      <c r="AH185" t="str">
        <f t="shared" si="59"/>
        <v>VENTAS</v>
      </c>
      <c r="AI185" t="str">
        <f t="shared" si="56"/>
        <v>🎯 Para subir de categoría, eje VENTAS / IMPACTO ABSOLUTO (H). Acción: metas semanales + activación comercial + seguimiento del asesor. ΔR aprox: 6,8</v>
      </c>
      <c r="AJ185" s="26">
        <f>_xlfn.LET(_xlpm.piso,AF185,_xlpm.corte,AE185,_xlpm.prog,IF(_xlpm.corte&lt;=_xlpm.piso,0,MAX(0,MIN(1,(U185-_xlpm.piso)/(_xlpm.corte-_xlpm.piso)))),_xlpm.orden,{"DIAMANTE";"PLATINO";"ORO";"PLATA";"BRONCE";"CERRADO"},_xlpm.act,IFERROR(MATCH(V185,_xlpm.orden,0),6),_xlpm.ant,IFERROR(MATCH(W185,_xlpm.orden,0),6),_xlpm.ajmov,IF(_xlpm.act&lt;_xlpm.ant,0.08,IF(_xlpm.act&gt;_xlpm.ant,-0.08,0)),_xlpm.ajcli,IF(T185&lt;0.95,-0.06,0),_xlpm.prob,MAX(0,MIN(1,_xlpm.prog+_xlpm.ajmov+_xlpm.ajcli)),IF(OR(V185="DIAMANTE",V185="CERRADO"),0,ROUND(_xlpm.prob,2)))</f>
        <v>0.37</v>
      </c>
      <c r="AK185" t="str">
        <f t="shared" si="60"/>
        <v>Faltan 6,8 puntos base para subir a la siguiente categoría</v>
      </c>
      <c r="AL185" t="str">
        <f t="shared" si="61"/>
        <v>Margen de seguridad: 2,8 puntos</v>
      </c>
      <c r="AM185">
        <f t="shared" si="62"/>
        <v>0.53</v>
      </c>
      <c r="AN185" t="str">
        <f t="shared" si="63"/>
        <v>PRIORIDAD MEDIA – seguimiento del asesor</v>
      </c>
      <c r="AO185">
        <f t="shared" si="64"/>
        <v>9.5339942993991471</v>
      </c>
      <c r="AP185">
        <f t="shared" si="65"/>
        <v>0</v>
      </c>
      <c r="AQ185">
        <f t="shared" si="66"/>
        <v>0</v>
      </c>
      <c r="AR185">
        <f t="shared" si="67"/>
        <v>1.0999999999999996</v>
      </c>
      <c r="AS185">
        <f t="shared" si="68"/>
        <v>0</v>
      </c>
      <c r="AT185" t="str">
        <f t="shared" si="69"/>
        <v>VENTAS</v>
      </c>
      <c r="AU185">
        <f t="shared" si="70"/>
        <v>9.5339942993991471</v>
      </c>
      <c r="AV185" t="str">
        <f t="shared" si="71"/>
        <v>Mayor retorno probable: VENTAS (+9,5 puntos finales potenciales).</v>
      </c>
    </row>
    <row r="186" spans="1:48" x14ac:dyDescent="0.3">
      <c r="A186" s="5">
        <v>51030281</v>
      </c>
      <c r="B186" s="5" t="str">
        <f>IFERROR(VLOOKUP(A186,VENTAS!$A$2:$B$1194,2,0),"")</f>
        <v>MONTENEGRO</v>
      </c>
      <c r="C186" s="5">
        <f>IFERROR(INDEX(VENTAS!$C$2:$E$1194,MATCH(A186,VENTAS!$A$2:$A$1194,0),MATCH(PARAMS_MODELO!$B$2,{"Q1","Q2","Q3"},0)),0)</f>
        <v>93864668.459999993</v>
      </c>
      <c r="D186" s="5">
        <f>IFERROR(INDEX(VENTAS!$F$2:$H$1194,MATCH(A186,VENTAS!$A$2:$A$1194,0),MATCH(PARAMS_MODELO!$B$2,{"Q1","Q2","Q3"},0)),0)</f>
        <v>127128368</v>
      </c>
      <c r="E186" s="8">
        <f t="shared" si="48"/>
        <v>0.35437934300247576</v>
      </c>
      <c r="F186" s="12">
        <f>IF(E186&lt;=PARAMS_MODELO!$B$15,0,IF(E186&gt;=PARAMS_MODELO!$B$17,100,100*MIN(1,(E186-PARAMS_MODELO!$B$15)/(PARAMS_MODELO!$B$16-PARAMS_MODELO!$B$15))))*PARAMS_MODELO!$B$7</f>
        <v>35</v>
      </c>
      <c r="G186" s="5">
        <f t="shared" si="49"/>
        <v>33263699.540000007</v>
      </c>
      <c r="H186" s="5">
        <f>(PARAMS_MODELO!$B$20*(MAX(0,MIN(3,E186))/3)+PARAMS_MODELO!$B$21*(IFERROR(LN(1+MAX(0,G186))/LN(1+MAX(0,MAX($G$2:$G$1194))),0)))*100*PARAMS_MODELO!$B$8</f>
        <v>5.3003721753654185</v>
      </c>
      <c r="I186" s="8">
        <f>E186-PARAMS_MODELO!$B$5</f>
        <v>0.17681650762694923</v>
      </c>
      <c r="J186" s="5">
        <f>IF(I186&lt;=PARAMS_MODELO!$B$18,0,IF(I186&gt;=PARAMS_MODELO!$B$19,100,100*(I186-PARAMS_MODELO!$B$18)/(PARAMS_MODELO!$B$19-PARAMS_MODELO!$B$18)))*PARAMS_MODELO!$B$9</f>
        <v>15</v>
      </c>
      <c r="K186" s="5">
        <f>IFERROR(CHOOSE(MATCH(PARAMS_MODELO!$B$2,{"Q1","Q2","Q3"},0),LOTO!$D186,LOTO!$F186,LOTO!$H186),0)</f>
        <v>6427500</v>
      </c>
      <c r="L186" s="8">
        <f t="shared" si="50"/>
        <v>5.0559132482531355E-2</v>
      </c>
      <c r="M186" s="5">
        <f>MIN(100,IF(PARAMS_MODELO!$B$23=0,0,100*L186/PARAMS_MODELO!$B$23))*PARAMS_MODELO!$B$10</f>
        <v>15</v>
      </c>
      <c r="N186" s="5">
        <f>IFERROR(VLOOKUP(A186,COMPLIANCE!$A$2:$F$1996,6,0),100)</f>
        <v>100</v>
      </c>
      <c r="O186" s="5">
        <f>N186*PARAMS_MODELO!$B$11</f>
        <v>10</v>
      </c>
      <c r="P186" s="5">
        <f>IFERROR(VLOOKUP(A186,DIGITAL!$A$2:$J$2000,7,0),100)</f>
        <v>80</v>
      </c>
      <c r="Q186" s="5">
        <f>IFERROR(P186,0)*PARAMS_MODELO!$B$12</f>
        <v>8</v>
      </c>
      <c r="R186">
        <f t="shared" si="51"/>
        <v>88.300372175365425</v>
      </c>
      <c r="S186" s="5" t="str">
        <f>IFERROR(VLOOKUP(A186,CLIENTE!$A$2:$N$2000,13,0),1)</f>
        <v>Malo</v>
      </c>
      <c r="T186" s="5">
        <f>IFERROR(VLOOKUP(A186,CLIENTE!$A$2:$N$2000,14,0),1)</f>
        <v>0.7</v>
      </c>
      <c r="U186" s="5">
        <f t="shared" si="52"/>
        <v>61.81026052275579</v>
      </c>
      <c r="V186" s="5" t="str">
        <f>IF(U186&gt;=MAX(_xlfn.PERCENTILE.INC($U$2:$U$1194,PARAMS_MODELO!$B$50),PARAMS_MODELO!$B$45),"DIAMANTE",IF(U186&gt;=MAX(_xlfn.PERCENTILE.INC($U$2:$U$1194,PARAMS_MODELO!$B$51),PARAMS_MODELO!$B$46),"PLATINO",IF(U186&gt;=MAX(_xlfn.PERCENTILE.INC($U$2:$U$1194,PARAMS_MODELO!$B$52),PARAMS_MODELO!$B$47),"ORO",IF(U186&gt;=MAX(_xlfn.PERCENTILE.INC($U$2:$U$1194,PARAMS_MODELO!$B$53),PARAMS_MODELO!$B$48),"PLATA",IF(U186&gt;=1,"BRONCE","CERRADO")))))</f>
        <v>PLATA</v>
      </c>
      <c r="W186" s="5" t="str" cm="1">
        <f t="array" ref="W186">_xlfn.XLOOKUP(1, (HIST_SCORE!$B:$B=PARAMS_MODELO!$B$4) * (HIST_SCORE!$C:$C=A186), HIST_SCORE!$E:$E, "No encontrado")</f>
        <v>PLATA</v>
      </c>
      <c r="X186" s="5" t="str">
        <f>_xlfn.LET(_xlpm.act,MATCH(V186,{"DIAMANTE";"PLATINO";"ORO";"PLATA";"BRONCE";"CERRADO"},0),_xlpm.ant,MATCH(W186,{"DIAMANTE";"PLATINO";"ORO";"PLATA";"BRONCE";"CERRADO"},0),IF(_xlpm.act&lt;_xlpm.ant,"Mejora ↑",IF(_xlpm.act&gt;_xlpm.ant,"Baja ↓","Estable →")))</f>
        <v>Estable →</v>
      </c>
      <c r="Y186" s="5">
        <f>IFERROR(U186-SUMIFS(HIST_SCORE!$D:$D,HIST_SCORE!$B:$B,PARAMS_MODELO!$B$4,HIST_SCORE!$C:$C,$A186),"")</f>
        <v>0.97355573070750268</v>
      </c>
      <c r="Z186" s="5" t="str">
        <f t="shared" si="53"/>
        <v>→ Estable</v>
      </c>
      <c r="AA186" s="5">
        <f t="shared" si="54"/>
        <v>584</v>
      </c>
      <c r="AB186" s="5">
        <f>IFERROR(SUMIFS(HIST_SCORE!$F:$F,HIST_SCORE!$B:$B,PARAMS_MODELO!$B$4,HIST_SCORE!$C:$C,$A186),"")</f>
        <v>636</v>
      </c>
      <c r="AC186" s="5">
        <f t="shared" si="55"/>
        <v>52</v>
      </c>
      <c r="AD186" t="str">
        <f t="shared" si="57"/>
        <v/>
      </c>
      <c r="AE1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186="CERRADO",1,IF(V186="BRONCE",_xlpm.cPl,IF(V186="PLATA",_xlpm.cO,IF(V186="ORO",_xlpm.cP,IF(V186="PLATINO",_xlpm.cD,999))))))</f>
        <v>63.199193273331495</v>
      </c>
      <c r="AF1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186="CERRADO",0,IF(V186="BRONCE",1,IF(V186="PLATA",_xlpm.cPl,IF(V186="ORO",_xlpm.cO,IF(V186="PLATINO",_xlpm.cP,_xlpm.cD))))))</f>
        <v>24.506573482968111</v>
      </c>
      <c r="AG186">
        <f t="shared" si="58"/>
        <v>1.9841896436795707</v>
      </c>
      <c r="AH186" t="str">
        <f t="shared" si="59"/>
        <v>CLIENTE</v>
      </c>
      <c r="AI186" t="str">
        <f t="shared" si="56"/>
        <v>🎯 Para subir de categoría, la eje con mayor impacto probable es CLIENTE (coef T). Acción: reducir quejas, mejorar incógnito y empujar reseñas. ΔR aprox: 2,0</v>
      </c>
      <c r="AJ186" s="26">
        <f>_xlfn.LET(_xlpm.piso,AF186,_xlpm.corte,AE186,_xlpm.prog,IF(_xlpm.corte&lt;=_xlpm.piso,0,MAX(0,MIN(1,(U186-_xlpm.piso)/(_xlpm.corte-_xlpm.piso)))),_xlpm.orden,{"DIAMANTE";"PLATINO";"ORO";"PLATA";"BRONCE";"CERRADO"},_xlpm.act,IFERROR(MATCH(V186,_xlpm.orden,0),6),_xlpm.ant,IFERROR(MATCH(W186,_xlpm.orden,0),6),_xlpm.ajmov,IF(_xlpm.act&lt;_xlpm.ant,0.08,IF(_xlpm.act&gt;_xlpm.ant,-0.08,0)),_xlpm.ajcli,IF(T186&lt;0.95,-0.06,0),_xlpm.prob,MAX(0,MIN(1,_xlpm.prog+_xlpm.ajmov+_xlpm.ajcli)),IF(OR(V186="DIAMANTE",V186="CERRADO"),0,ROUND(_xlpm.prob,2)))</f>
        <v>0.9</v>
      </c>
      <c r="AK186" t="str">
        <f t="shared" si="60"/>
        <v>Faltan 2,0 puntos base para subir a la siguiente categoría</v>
      </c>
      <c r="AL186" t="str">
        <f t="shared" si="61"/>
        <v>Margen de seguridad: 37,3 puntos</v>
      </c>
      <c r="AM186">
        <f t="shared" si="62"/>
        <v>0.32</v>
      </c>
      <c r="AN186" t="str">
        <f t="shared" si="63"/>
        <v>PRIORIDAD BAJA – control normal</v>
      </c>
      <c r="AO186">
        <f t="shared" si="64"/>
        <v>6.6935379699511159</v>
      </c>
      <c r="AP186">
        <f t="shared" si="65"/>
        <v>0</v>
      </c>
      <c r="AQ186">
        <f t="shared" si="66"/>
        <v>0</v>
      </c>
      <c r="AR186">
        <f t="shared" si="67"/>
        <v>1.4</v>
      </c>
      <c r="AS186">
        <f t="shared" si="68"/>
        <v>26.490111652609631</v>
      </c>
      <c r="AT186" t="str">
        <f t="shared" si="69"/>
        <v>CLIENTE</v>
      </c>
      <c r="AU186">
        <f t="shared" si="70"/>
        <v>26.490111652609631</v>
      </c>
      <c r="AV186" t="str">
        <f t="shared" si="71"/>
        <v>Mayor retorno probable: CLIENTE (+26,5 puntos finales potenciales).</v>
      </c>
    </row>
    <row r="187" spans="1:48" x14ac:dyDescent="0.3">
      <c r="A187" s="5">
        <v>51055829</v>
      </c>
      <c r="B187" s="5" t="str">
        <f>IFERROR(VLOOKUP(A187,VENTAS!$A$2:$B$1194,2,0),"")</f>
        <v>NELLI</v>
      </c>
      <c r="C187" s="5">
        <f>IFERROR(INDEX(VENTAS!$C$2:$E$1194,MATCH(A187,VENTAS!$A$2:$A$1194,0),MATCH(PARAMS_MODELO!$B$2,{"Q1","Q2","Q3"},0)),0)</f>
        <v>85361506.310000002</v>
      </c>
      <c r="D187" s="5">
        <f>IFERROR(INDEX(VENTAS!$F$2:$H$1194,MATCH(A187,VENTAS!$A$2:$A$1194,0),MATCH(PARAMS_MODELO!$B$2,{"Q1","Q2","Q3"},0)),0)</f>
        <v>126445638</v>
      </c>
      <c r="E187" s="8">
        <f t="shared" si="48"/>
        <v>0.48129576744813174</v>
      </c>
      <c r="F187" s="12">
        <f>IF(E187&lt;=PARAMS_MODELO!$B$15,0,IF(E187&gt;=PARAMS_MODELO!$B$17,100,100*MIN(1,(E187-PARAMS_MODELO!$B$15)/(PARAMS_MODELO!$B$16-PARAMS_MODELO!$B$15))))*PARAMS_MODELO!$B$7</f>
        <v>35</v>
      </c>
      <c r="G187" s="5">
        <f t="shared" si="49"/>
        <v>41084131.689999998</v>
      </c>
      <c r="H187" s="5">
        <f>(PARAMS_MODELO!$B$20*(MAX(0,MIN(3,E187))/3)+PARAMS_MODELO!$B$21*(IFERROR(LN(1+MAX(0,G187))/LN(1+MAX(0,MAX($G$2:$G$1194))),0)))*100*PARAMS_MODELO!$B$8</f>
        <v>5.7940773999786712</v>
      </c>
      <c r="I187" s="8">
        <f>E187-PARAMS_MODELO!$B$5</f>
        <v>0.30373293207260521</v>
      </c>
      <c r="J187" s="5">
        <f>IF(I187&lt;=PARAMS_MODELO!$B$18,0,IF(I187&gt;=PARAMS_MODELO!$B$19,100,100*(I187-PARAMS_MODELO!$B$18)/(PARAMS_MODELO!$B$19-PARAMS_MODELO!$B$18)))*PARAMS_MODELO!$B$9</f>
        <v>15</v>
      </c>
      <c r="K187" s="5">
        <f>IFERROR(CHOOSE(MATCH(PARAMS_MODELO!$B$2,{"Q1","Q2","Q3"},0),LOTO!$D187,LOTO!$F187,LOTO!$H187),0)</f>
        <v>6405000</v>
      </c>
      <c r="L187" s="8">
        <f t="shared" si="50"/>
        <v>5.0654179150094528E-2</v>
      </c>
      <c r="M187" s="5">
        <f>MIN(100,IF(PARAMS_MODELO!$B$23=0,0,100*L187/PARAMS_MODELO!$B$23))*PARAMS_MODELO!$B$10</f>
        <v>15</v>
      </c>
      <c r="N187" s="5">
        <f>IFERROR(VLOOKUP(A187,COMPLIANCE!$A$2:$F$1996,6,0),100)</f>
        <v>100</v>
      </c>
      <c r="O187" s="5">
        <f>N187*PARAMS_MODELO!$B$11</f>
        <v>10</v>
      </c>
      <c r="P187" s="5">
        <f>IFERROR(VLOOKUP(A187,DIGITAL!$A$2:$J$2000,7,0),100)</f>
        <v>70</v>
      </c>
      <c r="Q187" s="5">
        <f>IFERROR(P187,0)*PARAMS_MODELO!$B$12</f>
        <v>7</v>
      </c>
      <c r="R187">
        <f t="shared" si="51"/>
        <v>87.794077399978676</v>
      </c>
      <c r="S187" s="5" t="str">
        <f>IFERROR(VLOOKUP(A187,CLIENTE!$A$2:$N$2000,13,0),1)</f>
        <v>Malo</v>
      </c>
      <c r="T187" s="5">
        <f>IFERROR(VLOOKUP(A187,CLIENTE!$A$2:$N$2000,14,0),1)</f>
        <v>0.7</v>
      </c>
      <c r="U187" s="5">
        <f t="shared" si="52"/>
        <v>61.455854179985067</v>
      </c>
      <c r="V187" s="5" t="str">
        <f>IF(U187&gt;=MAX(_xlfn.PERCENTILE.INC($U$2:$U$1194,PARAMS_MODELO!$B$50),PARAMS_MODELO!$B$45),"DIAMANTE",IF(U187&gt;=MAX(_xlfn.PERCENTILE.INC($U$2:$U$1194,PARAMS_MODELO!$B$51),PARAMS_MODELO!$B$46),"PLATINO",IF(U187&gt;=MAX(_xlfn.PERCENTILE.INC($U$2:$U$1194,PARAMS_MODELO!$B$52),PARAMS_MODELO!$B$47),"ORO",IF(U187&gt;=MAX(_xlfn.PERCENTILE.INC($U$2:$U$1194,PARAMS_MODELO!$B$53),PARAMS_MODELO!$B$48),"PLATA",IF(U187&gt;=1,"BRONCE","CERRADO")))))</f>
        <v>PLATA</v>
      </c>
      <c r="W187" s="5" t="str" cm="1">
        <f t="array" ref="W187">_xlfn.XLOOKUP(1, (HIST_SCORE!$B:$B=PARAMS_MODELO!$B$4) * (HIST_SCORE!$C:$C=A187), HIST_SCORE!$E:$E, "No encontrado")</f>
        <v>PLATA</v>
      </c>
      <c r="X187" s="5" t="str">
        <f>_xlfn.LET(_xlpm.act,MATCH(V187,{"DIAMANTE";"PLATINO";"ORO";"PLATA";"BRONCE";"CERRADO"},0),_xlpm.ant,MATCH(W187,{"DIAMANTE";"PLATINO";"ORO";"PLATA";"BRONCE";"CERRADO"},0),IF(_xlpm.act&lt;_xlpm.ant,"Mejora ↑",IF(_xlpm.act&gt;_xlpm.ant,"Baja ↓","Estable →")))</f>
        <v>Estable →</v>
      </c>
      <c r="Y187" s="5">
        <f>IFERROR(U187-SUMIFS(HIST_SCORE!$D:$D,HIST_SCORE!$B:$B,PARAMS_MODELO!$B$4,HIST_SCORE!$C:$C,$A187),"")</f>
        <v>3.1980212307332536</v>
      </c>
      <c r="Z187" s="5" t="str">
        <f t="shared" si="53"/>
        <v>→ Estable</v>
      </c>
      <c r="AA187" s="5">
        <f t="shared" si="54"/>
        <v>590</v>
      </c>
      <c r="AB187" s="5">
        <f>IFERROR(SUMIFS(HIST_SCORE!$F:$F,HIST_SCORE!$B:$B,PARAMS_MODELO!$B$4,HIST_SCORE!$C:$C,$A187),"")</f>
        <v>680</v>
      </c>
      <c r="AC187" s="5">
        <f t="shared" si="55"/>
        <v>90</v>
      </c>
      <c r="AD187" t="str">
        <f t="shared" si="57"/>
        <v/>
      </c>
      <c r="AE1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187="CERRADO",1,IF(V187="BRONCE",_xlpm.cPl,IF(V187="PLATA",_xlpm.cO,IF(V187="ORO",_xlpm.cP,IF(V187="PLATINO",_xlpm.cD,999))))))</f>
        <v>63.199193273331495</v>
      </c>
      <c r="AF1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187="CERRADO",0,IF(V187="BRONCE",1,IF(V187="PLATA",_xlpm.cPl,IF(V187="ORO",_xlpm.cO,IF(V187="PLATINO",_xlpm.cP,_xlpm.cD))))))</f>
        <v>24.506573482968111</v>
      </c>
      <c r="AG187">
        <f t="shared" si="58"/>
        <v>2.4904844190663198</v>
      </c>
      <c r="AH187" t="str">
        <f t="shared" si="59"/>
        <v>CLIENTE</v>
      </c>
      <c r="AI187" t="str">
        <f t="shared" si="56"/>
        <v>🎯 Para subir de categoría, la eje con mayor impacto probable es CLIENTE (coef T). Acción: reducir quejas, mejorar incógnito y empujar reseñas. ΔR aprox: 2,5</v>
      </c>
      <c r="AJ187" s="26">
        <f>_xlfn.LET(_xlpm.piso,AF187,_xlpm.corte,AE187,_xlpm.prog,IF(_xlpm.corte&lt;=_xlpm.piso,0,MAX(0,MIN(1,(U187-_xlpm.piso)/(_xlpm.corte-_xlpm.piso)))),_xlpm.orden,{"DIAMANTE";"PLATINO";"ORO";"PLATA";"BRONCE";"CERRADO"},_xlpm.act,IFERROR(MATCH(V187,_xlpm.orden,0),6),_xlpm.ant,IFERROR(MATCH(W187,_xlpm.orden,0),6),_xlpm.ajmov,IF(_xlpm.act&lt;_xlpm.ant,0.08,IF(_xlpm.act&gt;_xlpm.ant,-0.08,0)),_xlpm.ajcli,IF(T187&lt;0.95,-0.06,0),_xlpm.prob,MAX(0,MIN(1,_xlpm.prog+_xlpm.ajmov+_xlpm.ajcli)),IF(OR(V187="DIAMANTE",V187="CERRADO"),0,ROUND(_xlpm.prob,2)))</f>
        <v>0.89</v>
      </c>
      <c r="AK187" t="str">
        <f t="shared" si="60"/>
        <v>Faltan 2,5 puntos base para subir a la siguiente categoría</v>
      </c>
      <c r="AL187" t="str">
        <f t="shared" si="61"/>
        <v>Margen de seguridad: 36,9 puntos</v>
      </c>
      <c r="AM187">
        <f t="shared" si="62"/>
        <v>0.34</v>
      </c>
      <c r="AN187" t="str">
        <f t="shared" si="63"/>
        <v>PRIORIDAD BAJA – control normal</v>
      </c>
      <c r="AO187">
        <f t="shared" si="64"/>
        <v>6.3479443127218405</v>
      </c>
      <c r="AP187">
        <f t="shared" si="65"/>
        <v>0</v>
      </c>
      <c r="AQ187">
        <f t="shared" si="66"/>
        <v>0</v>
      </c>
      <c r="AR187">
        <f t="shared" si="67"/>
        <v>2.0999999999999996</v>
      </c>
      <c r="AS187">
        <f t="shared" si="68"/>
        <v>26.338223219993605</v>
      </c>
      <c r="AT187" t="str">
        <f t="shared" si="69"/>
        <v>CLIENTE</v>
      </c>
      <c r="AU187">
        <f t="shared" si="70"/>
        <v>26.338223219993605</v>
      </c>
      <c r="AV187" t="str">
        <f t="shared" si="71"/>
        <v>Mayor retorno probable: CLIENTE (+26,3 puntos finales potenciales).</v>
      </c>
    </row>
    <row r="188" spans="1:48" x14ac:dyDescent="0.3">
      <c r="A188" s="5">
        <v>51023919</v>
      </c>
      <c r="B188" s="5" t="str">
        <f>IFERROR(VLOOKUP(A188,VENTAS!$A$2:$B$1194,2,0),"")</f>
        <v>NELLI</v>
      </c>
      <c r="C188" s="5">
        <f>IFERROR(INDEX(VENTAS!$C$2:$E$1194,MATCH(A188,VENTAS!$A$2:$A$1194,0),MATCH(PARAMS_MODELO!$B$2,{"Q1","Q2","Q3"},0)),0)</f>
        <v>107333917.81</v>
      </c>
      <c r="D188" s="5">
        <f>IFERROR(INDEX(VENTAS!$F$2:$H$1194,MATCH(A188,VENTAS!$A$2:$A$1194,0),MATCH(PARAMS_MODELO!$B$2,{"Q1","Q2","Q3"},0)),0)</f>
        <v>125681164</v>
      </c>
      <c r="E188" s="8">
        <f t="shared" si="48"/>
        <v>0.17093614548271563</v>
      </c>
      <c r="F188" s="12">
        <f>IF(E188&lt;=PARAMS_MODELO!$B$15,0,IF(E188&gt;=PARAMS_MODELO!$B$17,100,100*MIN(1,(E188-PARAMS_MODELO!$B$15)/(PARAMS_MODELO!$B$16-PARAMS_MODELO!$B$15))))*PARAMS_MODELO!$B$7</f>
        <v>35</v>
      </c>
      <c r="G188" s="5">
        <f t="shared" si="49"/>
        <v>18347246.189999998</v>
      </c>
      <c r="H188" s="5">
        <f>(PARAMS_MODELO!$B$20*(MAX(0,MIN(3,E188))/3)+PARAMS_MODELO!$B$21*(IFERROR(LN(1+MAX(0,G188))/LN(1+MAX(0,MAX($G$2:$G$1194))),0)))*100*PARAMS_MODELO!$B$8</f>
        <v>4.5188476821055445</v>
      </c>
      <c r="I188" s="8">
        <f>E188-PARAMS_MODELO!$B$5</f>
        <v>-6.6266898928108997E-3</v>
      </c>
      <c r="J188" s="5">
        <f>IF(I188&lt;=PARAMS_MODELO!$B$18,0,IF(I188&gt;=PARAMS_MODELO!$B$19,100,100*(I188-PARAMS_MODELO!$B$18)/(PARAMS_MODELO!$B$19-PARAMS_MODELO!$B$18)))*PARAMS_MODELO!$B$9</f>
        <v>6.5059965160783646</v>
      </c>
      <c r="K188" s="5">
        <f>IFERROR(CHOOSE(MATCH(PARAMS_MODELO!$B$2,{"Q1","Q2","Q3"},0),LOTO!$D188,LOTO!$F188,LOTO!$H188),0)</f>
        <v>6400000.0000000009</v>
      </c>
      <c r="L188" s="8">
        <f t="shared" si="50"/>
        <v>5.092250736952119E-2</v>
      </c>
      <c r="M188" s="5">
        <f>MIN(100,IF(PARAMS_MODELO!$B$23=0,0,100*L188/PARAMS_MODELO!$B$23))*PARAMS_MODELO!$B$10</f>
        <v>15</v>
      </c>
      <c r="N188" s="5">
        <f>IFERROR(VLOOKUP(A188,COMPLIANCE!$A$2:$F$1996,6,0),100)</f>
        <v>100</v>
      </c>
      <c r="O188" s="5">
        <f>N188*PARAMS_MODELO!$B$11</f>
        <v>10</v>
      </c>
      <c r="P188" s="5">
        <f>IFERROR(VLOOKUP(A188,DIGITAL!$A$2:$J$2000,7,0),100)</f>
        <v>47</v>
      </c>
      <c r="Q188" s="5">
        <f>IFERROR(P188,0)*PARAMS_MODELO!$B$12</f>
        <v>4.7</v>
      </c>
      <c r="R188">
        <f t="shared" si="51"/>
        <v>75.724844198183902</v>
      </c>
      <c r="S188" s="5" t="str">
        <f>IFERROR(VLOOKUP(A188,CLIENTE!$A$2:$N$2000,13,0),1)</f>
        <v>Regular</v>
      </c>
      <c r="T188" s="5">
        <f>IFERROR(VLOOKUP(A188,CLIENTE!$A$2:$N$2000,14,0),1)</f>
        <v>1</v>
      </c>
      <c r="U188" s="5">
        <f t="shared" si="52"/>
        <v>75.724844198183902</v>
      </c>
      <c r="V188" s="5" t="str">
        <f>IF(U188&gt;=MAX(_xlfn.PERCENTILE.INC($U$2:$U$1194,PARAMS_MODELO!$B$50),PARAMS_MODELO!$B$45),"DIAMANTE",IF(U188&gt;=MAX(_xlfn.PERCENTILE.INC($U$2:$U$1194,PARAMS_MODELO!$B$51),PARAMS_MODELO!$B$46),"PLATINO",IF(U188&gt;=MAX(_xlfn.PERCENTILE.INC($U$2:$U$1194,PARAMS_MODELO!$B$52),PARAMS_MODELO!$B$47),"ORO",IF(U188&gt;=MAX(_xlfn.PERCENTILE.INC($U$2:$U$1194,PARAMS_MODELO!$B$53),PARAMS_MODELO!$B$48),"PLATA",IF(U188&gt;=1,"BRONCE","CERRADO")))))</f>
        <v>ORO</v>
      </c>
      <c r="W188" s="5" t="str" cm="1">
        <f t="array" ref="W188">_xlfn.XLOOKUP(1, (HIST_SCORE!$B:$B=PARAMS_MODELO!$B$4) * (HIST_SCORE!$C:$C=A188), HIST_SCORE!$E:$E, "No encontrado")</f>
        <v>ORO</v>
      </c>
      <c r="X188" s="5" t="str">
        <f>_xlfn.LET(_xlpm.act,MATCH(V188,{"DIAMANTE";"PLATINO";"ORO";"PLATA";"BRONCE";"CERRADO"},0),_xlpm.ant,MATCH(W188,{"DIAMANTE";"PLATINO";"ORO";"PLATA";"BRONCE";"CERRADO"},0),IF(_xlpm.act&lt;_xlpm.ant,"Mejora ↑",IF(_xlpm.act&gt;_xlpm.ant,"Baja ↓","Estable →")))</f>
        <v>Estable →</v>
      </c>
      <c r="Y188" s="5">
        <f>IFERROR(U188-SUMIFS(HIST_SCORE!$D:$D,HIST_SCORE!$B:$B,PARAMS_MODELO!$B$4,HIST_SCORE!$C:$C,$A188),"")</f>
        <v>0.52594552352421431</v>
      </c>
      <c r="Z188" s="5" t="str">
        <f t="shared" si="53"/>
        <v>→ Estable</v>
      </c>
      <c r="AA188" s="5">
        <f t="shared" si="54"/>
        <v>469</v>
      </c>
      <c r="AB188" s="5">
        <f>IFERROR(SUMIFS(HIST_SCORE!$F:$F,HIST_SCORE!$B:$B,PARAMS_MODELO!$B$4,HIST_SCORE!$C:$C,$A188),"")</f>
        <v>490</v>
      </c>
      <c r="AC188" s="5">
        <f t="shared" si="55"/>
        <v>21</v>
      </c>
      <c r="AD188" t="str">
        <f t="shared" si="57"/>
        <v/>
      </c>
      <c r="AE1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188="CERRADO",1,IF(V188="BRONCE",_xlpm.cPl,IF(V188="PLATA",_xlpm.cO,IF(V188="ORO",_xlpm.cP,IF(V188="PLATINO",_xlpm.cD,999))))))</f>
        <v>86.439123873763251</v>
      </c>
      <c r="AF1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188="CERRADO",0,IF(V188="BRONCE",1,IF(V188="PLATA",_xlpm.cPl,IF(V188="ORO",_xlpm.cO,IF(V188="PLATINO",_xlpm.cP,_xlpm.cD))))))</f>
        <v>63.199193273331495</v>
      </c>
      <c r="AG188">
        <f t="shared" si="58"/>
        <v>10.714279675579348</v>
      </c>
      <c r="AH188" t="str">
        <f t="shared" si="59"/>
        <v>VENTAS</v>
      </c>
      <c r="AI188" t="str">
        <f t="shared" si="56"/>
        <v>🎯 Para subir de categoría, eje VENTAS / IMPACTO ABSOLUTO (H). Acción: metas semanales + activación comercial + seguimiento del asesor. ΔR aprox: 10,7</v>
      </c>
      <c r="AJ188" s="26">
        <f>_xlfn.LET(_xlpm.piso,AF188,_xlpm.corte,AE188,_xlpm.prog,IF(_xlpm.corte&lt;=_xlpm.piso,0,MAX(0,MIN(1,(U188-_xlpm.piso)/(_xlpm.corte-_xlpm.piso)))),_xlpm.orden,{"DIAMANTE";"PLATINO";"ORO";"PLATA";"BRONCE";"CERRADO"},_xlpm.act,IFERROR(MATCH(V188,_xlpm.orden,0),6),_xlpm.ant,IFERROR(MATCH(W188,_xlpm.orden,0),6),_xlpm.ajmov,IF(_xlpm.act&lt;_xlpm.ant,0.08,IF(_xlpm.act&gt;_xlpm.ant,-0.08,0)),_xlpm.ajcli,IF(T188&lt;0.95,-0.06,0),_xlpm.prob,MAX(0,MIN(1,_xlpm.prog+_xlpm.ajmov+_xlpm.ajcli)),IF(OR(V188="DIAMANTE",V188="CERRADO"),0,ROUND(_xlpm.prob,2)))</f>
        <v>0.54</v>
      </c>
      <c r="AK188" t="str">
        <f t="shared" si="60"/>
        <v>Faltan 10,7 puntos base para subir a la siguiente categoría</v>
      </c>
      <c r="AL188" t="str">
        <f t="shared" si="61"/>
        <v>Margen de seguridad: 12,5 puntos</v>
      </c>
      <c r="AM188">
        <f t="shared" si="62"/>
        <v>0.57999999999999996</v>
      </c>
      <c r="AN188" t="str">
        <f t="shared" si="63"/>
        <v>PRIORIDAD MEDIA – seguimiento del asesor</v>
      </c>
      <c r="AO188">
        <f t="shared" si="64"/>
        <v>18.837725077111678</v>
      </c>
      <c r="AP188">
        <f t="shared" si="65"/>
        <v>0</v>
      </c>
      <c r="AQ188">
        <f t="shared" si="66"/>
        <v>0</v>
      </c>
      <c r="AR188">
        <f t="shared" si="67"/>
        <v>5.3</v>
      </c>
      <c r="AS188">
        <f t="shared" si="68"/>
        <v>0</v>
      </c>
      <c r="AT188" t="str">
        <f t="shared" si="69"/>
        <v>VENTAS</v>
      </c>
      <c r="AU188">
        <f t="shared" si="70"/>
        <v>18.837725077111678</v>
      </c>
      <c r="AV188" t="str">
        <f t="shared" si="71"/>
        <v>Mayor retorno probable: VENTAS (+18,8 puntos finales potenciales).</v>
      </c>
    </row>
    <row r="189" spans="1:48" x14ac:dyDescent="0.3">
      <c r="A189" s="5">
        <v>51031610</v>
      </c>
      <c r="B189" s="5" t="str">
        <f>IFERROR(VLOOKUP(A189,VENTAS!$A$2:$B$1194,2,0),"")</f>
        <v>CICHETTO</v>
      </c>
      <c r="C189" s="5">
        <f>IFERROR(INDEX(VENTAS!$C$2:$E$1194,MATCH(A189,VENTAS!$A$2:$A$1194,0),MATCH(PARAMS_MODELO!$B$2,{"Q1","Q2","Q3"},0)),0)</f>
        <v>117255527.97</v>
      </c>
      <c r="D189" s="5">
        <f>IFERROR(INDEX(VENTAS!$F$2:$H$1194,MATCH(A189,VENTAS!$A$2:$A$1194,0),MATCH(PARAMS_MODELO!$B$2,{"Q1","Q2","Q3"},0)),0)</f>
        <v>125087100</v>
      </c>
      <c r="E189" s="8">
        <f t="shared" si="48"/>
        <v>6.679064233119747E-2</v>
      </c>
      <c r="F189" s="12">
        <f>IF(E189&lt;=PARAMS_MODELO!$B$15,0,IF(E189&gt;=PARAMS_MODELO!$B$17,100,100*MIN(1,(E189-PARAMS_MODELO!$B$15)/(PARAMS_MODELO!$B$16-PARAMS_MODELO!$B$15))))*PARAMS_MODELO!$B$7</f>
        <v>23.376724815919115</v>
      </c>
      <c r="G189" s="5">
        <f t="shared" si="49"/>
        <v>7831572.0300000012</v>
      </c>
      <c r="H189" s="5">
        <f>(PARAMS_MODELO!$B$20*(MAX(0,MIN(3,E189))/3)+PARAMS_MODELO!$B$21*(IFERROR(LN(1+MAX(0,G189))/LN(1+MAX(0,MAX($G$2:$G$1194))),0)))*100*PARAMS_MODELO!$B$8</f>
        <v>3.9547780285120782</v>
      </c>
      <c r="I189" s="8">
        <f>E189-PARAMS_MODELO!$B$5</f>
        <v>-0.11077219304432906</v>
      </c>
      <c r="J189" s="5">
        <f>IF(I189&lt;=PARAMS_MODELO!$B$18,0,IF(I189&gt;=PARAMS_MODELO!$B$19,100,100*(I189-PARAMS_MODELO!$B$18)/(PARAMS_MODELO!$B$19-PARAMS_MODELO!$B$18)))*PARAMS_MODELO!$B$9</f>
        <v>0</v>
      </c>
      <c r="K189" s="5">
        <f>IFERROR(CHOOSE(MATCH(PARAMS_MODELO!$B$2,{"Q1","Q2","Q3"},0),LOTO!$D189,LOTO!$F189,LOTO!$H189),0)</f>
        <v>6355000</v>
      </c>
      <c r="L189" s="8">
        <f t="shared" si="50"/>
        <v>5.0804599355169316E-2</v>
      </c>
      <c r="M189" s="5">
        <f>MIN(100,IF(PARAMS_MODELO!$B$23=0,0,100*L189/PARAMS_MODELO!$B$23))*PARAMS_MODELO!$B$10</f>
        <v>15</v>
      </c>
      <c r="N189" s="5">
        <f>IFERROR(VLOOKUP(A189,COMPLIANCE!$A$2:$F$1996,6,0),100)</f>
        <v>100</v>
      </c>
      <c r="O189" s="5">
        <f>N189*PARAMS_MODELO!$B$11</f>
        <v>10</v>
      </c>
      <c r="P189" s="5">
        <f>IFERROR(VLOOKUP(A189,DIGITAL!$A$2:$J$2000,7,0),100)</f>
        <v>32</v>
      </c>
      <c r="Q189" s="5">
        <f>IFERROR(P189,0)*PARAMS_MODELO!$B$12</f>
        <v>3.2</v>
      </c>
      <c r="R189">
        <f t="shared" si="51"/>
        <v>55.531502844431195</v>
      </c>
      <c r="S189" s="5" t="str">
        <f>IFERROR(VLOOKUP(A189,CLIENTE!$A$2:$N$2000,13,0),1)</f>
        <v>Muy Bueno</v>
      </c>
      <c r="T189" s="5">
        <f>IFERROR(VLOOKUP(A189,CLIENTE!$A$2:$N$2000,14,0),1)</f>
        <v>1.1499999999999999</v>
      </c>
      <c r="U189" s="5">
        <f t="shared" si="52"/>
        <v>63.861228271095868</v>
      </c>
      <c r="V189" s="5" t="str">
        <f>IF(U189&gt;=MAX(_xlfn.PERCENTILE.INC($U$2:$U$1194,PARAMS_MODELO!$B$50),PARAMS_MODELO!$B$45),"DIAMANTE",IF(U189&gt;=MAX(_xlfn.PERCENTILE.INC($U$2:$U$1194,PARAMS_MODELO!$B$51),PARAMS_MODELO!$B$46),"PLATINO",IF(U189&gt;=MAX(_xlfn.PERCENTILE.INC($U$2:$U$1194,PARAMS_MODELO!$B$52),PARAMS_MODELO!$B$47),"ORO",IF(U189&gt;=MAX(_xlfn.PERCENTILE.INC($U$2:$U$1194,PARAMS_MODELO!$B$53),PARAMS_MODELO!$B$48),"PLATA",IF(U189&gt;=1,"BRONCE","CERRADO")))))</f>
        <v>ORO</v>
      </c>
      <c r="W189" s="5" t="str" cm="1">
        <f t="array" ref="W189">_xlfn.XLOOKUP(1, (HIST_SCORE!$B:$B=PARAMS_MODELO!$B$4) * (HIST_SCORE!$C:$C=A189), HIST_SCORE!$E:$E, "No encontrado")</f>
        <v>PLATINO</v>
      </c>
      <c r="X189" s="5" t="str">
        <f>_xlfn.LET(_xlpm.act,MATCH(V189,{"DIAMANTE";"PLATINO";"ORO";"PLATA";"BRONCE";"CERRADO"},0),_xlpm.ant,MATCH(W189,{"DIAMANTE";"PLATINO";"ORO";"PLATA";"BRONCE";"CERRADO"},0),IF(_xlpm.act&lt;_xlpm.ant,"Mejora ↑",IF(_xlpm.act&gt;_xlpm.ant,"Baja ↓","Estable →")))</f>
        <v>Baja ↓</v>
      </c>
      <c r="Y189" s="5">
        <f>IFERROR(U189-SUMIFS(HIST_SCORE!$D:$D,HIST_SCORE!$B:$B,PARAMS_MODELO!$B$4,HIST_SCORE!$C:$C,$A189),"")</f>
        <v>-26.005186794830706</v>
      </c>
      <c r="Z189" s="5" t="str">
        <f t="shared" si="53"/>
        <v>↓ Baja</v>
      </c>
      <c r="AA189" s="5">
        <f t="shared" si="54"/>
        <v>550</v>
      </c>
      <c r="AB189" s="5">
        <f>IFERROR(SUMIFS(HIST_SCORE!$F:$F,HIST_SCORE!$B:$B,PARAMS_MODELO!$B$4,HIST_SCORE!$C:$C,$A189),"")</f>
        <v>131</v>
      </c>
      <c r="AC189" s="5">
        <f t="shared" si="55"/>
        <v>-419</v>
      </c>
      <c r="AD189" t="str">
        <f t="shared" si="57"/>
        <v>Sostener base y reforzar mix</v>
      </c>
      <c r="AE1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189="CERRADO",1,IF(V189="BRONCE",_xlpm.cPl,IF(V189="PLATA",_xlpm.cO,IF(V189="ORO",_xlpm.cP,IF(V189="PLATINO",_xlpm.cD,999))))))</f>
        <v>86.439123873763251</v>
      </c>
      <c r="AF1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189="CERRADO",0,IF(V189="BRONCE",1,IF(V189="PLATA",_xlpm.cPl,IF(V189="ORO",_xlpm.cO,IF(V189="PLATINO",_xlpm.cP,_xlpm.cD))))))</f>
        <v>63.199193273331495</v>
      </c>
      <c r="AG189">
        <f t="shared" si="58"/>
        <v>19.632952697971639</v>
      </c>
      <c r="AH189" t="str">
        <f t="shared" si="59"/>
        <v>VENTAS</v>
      </c>
      <c r="AI189" t="str">
        <f t="shared" si="56"/>
        <v>🎯 Para subir de categoría, eje VENTAS / DIFERENCIAL vs LOTBA (J). Acción: metas semanales + activación comercial + seguimiento del asesor. ΔR aprox: 19,6</v>
      </c>
      <c r="AJ189" s="26">
        <f>_xlfn.LET(_xlpm.piso,AF189,_xlpm.corte,AE189,_xlpm.prog,IF(_xlpm.corte&lt;=_xlpm.piso,0,MAX(0,MIN(1,(U189-_xlpm.piso)/(_xlpm.corte-_xlpm.piso)))),_xlpm.orden,{"DIAMANTE";"PLATINO";"ORO";"PLATA";"BRONCE";"CERRADO"},_xlpm.act,IFERROR(MATCH(V189,_xlpm.orden,0),6),_xlpm.ant,IFERROR(MATCH(W189,_xlpm.orden,0),6),_xlpm.ajmov,IF(_xlpm.act&lt;_xlpm.ant,0.08,IF(_xlpm.act&gt;_xlpm.ant,-0.08,0)),_xlpm.ajcli,IF(T189&lt;0.95,-0.06,0),_xlpm.prob,MAX(0,MIN(1,_xlpm.prog+_xlpm.ajmov+_xlpm.ajcli)),IF(OR(V189="DIAMANTE",V189="CERRADO"),0,ROUND(_xlpm.prob,2)))</f>
        <v>0</v>
      </c>
      <c r="AK189" t="str">
        <f t="shared" si="60"/>
        <v>Faltan 19,6 puntos base para subir a la siguiente categoría</v>
      </c>
      <c r="AL189" t="str">
        <f t="shared" si="61"/>
        <v>Margen de seguridad: 0,7 puntos</v>
      </c>
      <c r="AM189">
        <f t="shared" si="62"/>
        <v>0.8</v>
      </c>
      <c r="AN189" t="str">
        <f t="shared" si="63"/>
        <v>PRIORIDAD ALTA – requiere intervención inmediata</v>
      </c>
      <c r="AO189">
        <f t="shared" si="64"/>
        <v>43.160726395494045</v>
      </c>
      <c r="AP189">
        <f t="shared" si="65"/>
        <v>0</v>
      </c>
      <c r="AQ189">
        <f t="shared" si="66"/>
        <v>0</v>
      </c>
      <c r="AR189">
        <f t="shared" si="67"/>
        <v>7.8199999999999994</v>
      </c>
      <c r="AS189">
        <f t="shared" si="68"/>
        <v>0</v>
      </c>
      <c r="AT189" t="str">
        <f t="shared" si="69"/>
        <v>VENTAS</v>
      </c>
      <c r="AU189">
        <f t="shared" si="70"/>
        <v>43.160726395494045</v>
      </c>
      <c r="AV189" t="str">
        <f t="shared" si="71"/>
        <v>Mayor retorno probable: VENTAS (+43,2 puntos finales potenciales).</v>
      </c>
    </row>
    <row r="190" spans="1:48" x14ac:dyDescent="0.3">
      <c r="A190" s="5">
        <v>51024141</v>
      </c>
      <c r="B190" s="5" t="str">
        <f>IFERROR(VLOOKUP(A190,VENTAS!$A$2:$B$1194,2,0),"")</f>
        <v>AYALA</v>
      </c>
      <c r="C190" s="5">
        <f>IFERROR(INDEX(VENTAS!$C$2:$E$1194,MATCH(A190,VENTAS!$A$2:$A$1194,0),MATCH(PARAMS_MODELO!$B$2,{"Q1","Q2","Q3"},0)),0)</f>
        <v>41943857.669999987</v>
      </c>
      <c r="D190" s="5">
        <f>IFERROR(INDEX(VENTAS!$F$2:$H$1194,MATCH(A190,VENTAS!$A$2:$A$1194,0),MATCH(PARAMS_MODELO!$B$2,{"Q1","Q2","Q3"},0)),0)</f>
        <v>124977665</v>
      </c>
      <c r="E190" s="8">
        <f t="shared" si="48"/>
        <v>1.9796416434387551</v>
      </c>
      <c r="F190" s="12">
        <f>IF(E190&lt;=PARAMS_MODELO!$B$15,0,IF(E190&gt;=PARAMS_MODELO!$B$17,100,100*MIN(1,(E190-PARAMS_MODELO!$B$15)/(PARAMS_MODELO!$B$16-PARAMS_MODELO!$B$15))))*PARAMS_MODELO!$B$7</f>
        <v>35</v>
      </c>
      <c r="G190" s="5">
        <f t="shared" si="49"/>
        <v>83033807.330000013</v>
      </c>
      <c r="H190" s="5">
        <f>(PARAMS_MODELO!$B$20*(MAX(0,MIN(3,E190))/3)+PARAMS_MODELO!$B$21*(IFERROR(LN(1+MAX(0,G190))/LN(1+MAX(0,MAX($G$2:$G$1194))),0)))*100*PARAMS_MODELO!$B$8</f>
        <v>11.20322769370927</v>
      </c>
      <c r="I190" s="8">
        <f>E190-PARAMS_MODELO!$B$5</f>
        <v>1.8020788080632286</v>
      </c>
      <c r="J190" s="5">
        <f>IF(I190&lt;=PARAMS_MODELO!$B$18,0,IF(I190&gt;=PARAMS_MODELO!$B$19,100,100*(I190-PARAMS_MODELO!$B$18)/(PARAMS_MODELO!$B$19-PARAMS_MODELO!$B$18)))*PARAMS_MODELO!$B$9</f>
        <v>15</v>
      </c>
      <c r="K190" s="5">
        <f>IFERROR(CHOOSE(MATCH(PARAMS_MODELO!$B$2,{"Q1","Q2","Q3"},0),LOTO!$D190,LOTO!$F190,LOTO!$H190),0)</f>
        <v>6335000</v>
      </c>
      <c r="L190" s="8">
        <f t="shared" si="50"/>
        <v>5.0689057120726334E-2</v>
      </c>
      <c r="M190" s="5">
        <f>MIN(100,IF(PARAMS_MODELO!$B$23=0,0,100*L190/PARAMS_MODELO!$B$23))*PARAMS_MODELO!$B$10</f>
        <v>15</v>
      </c>
      <c r="N190" s="5">
        <f>IFERROR(VLOOKUP(A190,COMPLIANCE!$A$2:$F$1996,6,0),100)</f>
        <v>100</v>
      </c>
      <c r="O190" s="5">
        <f>N190*PARAMS_MODELO!$B$11</f>
        <v>10</v>
      </c>
      <c r="P190" s="5">
        <f>IFERROR(VLOOKUP(A190,DIGITAL!$A$2:$J$2000,7,0),100)</f>
        <v>99</v>
      </c>
      <c r="Q190" s="5">
        <f>IFERROR(P190,0)*PARAMS_MODELO!$B$12</f>
        <v>9.9</v>
      </c>
      <c r="R190">
        <f t="shared" si="51"/>
        <v>96.103227693709272</v>
      </c>
      <c r="S190" s="5" t="str">
        <f>IFERROR(VLOOKUP(A190,CLIENTE!$A$2:$N$2000,13,0),1)</f>
        <v>Bueno</v>
      </c>
      <c r="T190" s="5">
        <f>IFERROR(VLOOKUP(A190,CLIENTE!$A$2:$N$2000,14,0),1)</f>
        <v>1.1000000000000001</v>
      </c>
      <c r="U190" s="5">
        <f t="shared" si="52"/>
        <v>100</v>
      </c>
      <c r="V190" s="5" t="str">
        <f>IF(U190&gt;=MAX(_xlfn.PERCENTILE.INC($U$2:$U$1194,PARAMS_MODELO!$B$50),PARAMS_MODELO!$B$45),"DIAMANTE",IF(U190&gt;=MAX(_xlfn.PERCENTILE.INC($U$2:$U$1194,PARAMS_MODELO!$B$51),PARAMS_MODELO!$B$46),"PLATINO",IF(U190&gt;=MAX(_xlfn.PERCENTILE.INC($U$2:$U$1194,PARAMS_MODELO!$B$52),PARAMS_MODELO!$B$47),"ORO",IF(U190&gt;=MAX(_xlfn.PERCENTILE.INC($U$2:$U$1194,PARAMS_MODELO!$B$53),PARAMS_MODELO!$B$48),"PLATA",IF(U190&gt;=1,"BRONCE","CERRADO")))))</f>
        <v>DIAMANTE</v>
      </c>
      <c r="W190" s="5" t="str" cm="1">
        <f t="array" ref="W190">_xlfn.XLOOKUP(1, (HIST_SCORE!$B:$B=PARAMS_MODELO!$B$4) * (HIST_SCORE!$C:$C=A190), HIST_SCORE!$E:$E, "No encontrado")</f>
        <v>DIAMANTE</v>
      </c>
      <c r="X190" s="5" t="str">
        <f>_xlfn.LET(_xlpm.act,MATCH(V190,{"DIAMANTE";"PLATINO";"ORO";"PLATA";"BRONCE";"CERRADO"},0),_xlpm.ant,MATCH(W190,{"DIAMANTE";"PLATINO";"ORO";"PLATA";"BRONCE";"CERRADO"},0),IF(_xlpm.act&lt;_xlpm.ant,"Mejora ↑",IF(_xlpm.act&gt;_xlpm.ant,"Baja ↓","Estable →")))</f>
        <v>Estable →</v>
      </c>
      <c r="Y190" s="5">
        <f>IFERROR(U190-SUMIFS(HIST_SCORE!$D:$D,HIST_SCORE!$B:$B,PARAMS_MODELO!$B$4,HIST_SCORE!$C:$C,$A190),"")</f>
        <v>0</v>
      </c>
      <c r="Z190" s="5" t="str">
        <f t="shared" si="53"/>
        <v>→ Estable</v>
      </c>
      <c r="AA190" s="5">
        <f t="shared" si="54"/>
        <v>1</v>
      </c>
      <c r="AB190" s="5">
        <f>IFERROR(SUMIFS(HIST_SCORE!$F:$F,HIST_SCORE!$B:$B,PARAMS_MODELO!$B$4,HIST_SCORE!$C:$C,$A190),"")</f>
        <v>1</v>
      </c>
      <c r="AC190" s="5">
        <f t="shared" si="55"/>
        <v>0</v>
      </c>
      <c r="AD190" t="str">
        <f t="shared" si="57"/>
        <v/>
      </c>
      <c r="AE1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190="CERRADO",1,IF(V190="BRONCE",_xlpm.cPl,IF(V190="PLATA",_xlpm.cO,IF(V190="ORO",_xlpm.cP,IF(V190="PLATINO",_xlpm.cD,999))))))</f>
        <v>999</v>
      </c>
      <c r="AF1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190="CERRADO",0,IF(V190="BRONCE",1,IF(V190="PLATA",_xlpm.cPl,IF(V190="ORO",_xlpm.cO,IF(V190="PLATINO",_xlpm.cP,_xlpm.cD))))))</f>
        <v>96.054919694466676</v>
      </c>
      <c r="AG190">
        <f t="shared" si="58"/>
        <v>812.07859048810883</v>
      </c>
      <c r="AH190" t="str">
        <f t="shared" si="59"/>
        <v>SOSTENER</v>
      </c>
      <c r="AI190" t="str">
        <f t="shared" si="56"/>
        <v>✅ Mantener desempeño y monitorear variaciones para sostener categoría.</v>
      </c>
      <c r="AJ190" s="26">
        <f>_xlfn.LET(_xlpm.piso,AF190,_xlpm.corte,AE190,_xlpm.prog,IF(_xlpm.corte&lt;=_xlpm.piso,0,MAX(0,MIN(1,(U190-_xlpm.piso)/(_xlpm.corte-_xlpm.piso)))),_xlpm.orden,{"DIAMANTE";"PLATINO";"ORO";"PLATA";"BRONCE";"CERRADO"},_xlpm.act,IFERROR(MATCH(V190,_xlpm.orden,0),6),_xlpm.ant,IFERROR(MATCH(W190,_xlpm.orden,0),6),_xlpm.ajmov,IF(_xlpm.act&lt;_xlpm.ant,0.08,IF(_xlpm.act&gt;_xlpm.ant,-0.08,0)),_xlpm.ajcli,IF(T190&lt;0.95,-0.06,0),_xlpm.prob,MAX(0,MIN(1,_xlpm.prog+_xlpm.ajmov+_xlpm.ajcli)),IF(OR(V190="DIAMANTE",V190="CERRADO"),0,ROUND(_xlpm.prob,2)))</f>
        <v>0</v>
      </c>
      <c r="AK190" t="str">
        <f t="shared" si="60"/>
        <v>No aplica</v>
      </c>
      <c r="AL190" t="str">
        <f t="shared" si="61"/>
        <v>Margen de seguridad: 3,9 puntos</v>
      </c>
      <c r="AM190">
        <f t="shared" si="62"/>
        <v>0.8</v>
      </c>
      <c r="AN190" t="str">
        <f t="shared" si="63"/>
        <v>PRIORIDAD ALTA – requiere intervención inmediata</v>
      </c>
      <c r="AO190">
        <f t="shared" si="64"/>
        <v>4.0252757397449503</v>
      </c>
      <c r="AP190">
        <f t="shared" si="65"/>
        <v>0</v>
      </c>
      <c r="AQ190">
        <f t="shared" si="66"/>
        <v>0</v>
      </c>
      <c r="AR190">
        <f t="shared" si="67"/>
        <v>0.10999999999999961</v>
      </c>
      <c r="AS190">
        <f t="shared" si="68"/>
        <v>0</v>
      </c>
      <c r="AT190" t="str">
        <f t="shared" si="69"/>
        <v>VENTAS</v>
      </c>
      <c r="AU190">
        <f t="shared" si="70"/>
        <v>4.0252757397449503</v>
      </c>
      <c r="AV190" t="str">
        <f t="shared" si="71"/>
        <v>Mayor retorno probable: VENTAS (+4,0 puntos finales potenciales).</v>
      </c>
    </row>
    <row r="191" spans="1:48" x14ac:dyDescent="0.3">
      <c r="A191" s="5">
        <v>51023137</v>
      </c>
      <c r="B191" s="5" t="str">
        <f>IFERROR(VLOOKUP(A191,VENTAS!$A$2:$B$1194,2,0),"")</f>
        <v>MONTENEGRO</v>
      </c>
      <c r="C191" s="5">
        <f>IFERROR(INDEX(VENTAS!$C$2:$E$1194,MATCH(A191,VENTAS!$A$2:$A$1194,0),MATCH(PARAMS_MODELO!$B$2,{"Q1","Q2","Q3"},0)),0)</f>
        <v>87746824.299999997</v>
      </c>
      <c r="D191" s="5">
        <f>IFERROR(INDEX(VENTAS!$F$2:$H$1194,MATCH(A191,VENTAS!$A$2:$A$1194,0),MATCH(PARAMS_MODELO!$B$2,{"Q1","Q2","Q3"},0)),0)</f>
        <v>124870053</v>
      </c>
      <c r="E191" s="8">
        <f t="shared" si="48"/>
        <v>0.42307204843195678</v>
      </c>
      <c r="F191" s="12">
        <f>IF(E191&lt;=PARAMS_MODELO!$B$15,0,IF(E191&gt;=PARAMS_MODELO!$B$17,100,100*MIN(1,(E191-PARAMS_MODELO!$B$15)/(PARAMS_MODELO!$B$16-PARAMS_MODELO!$B$15))))*PARAMS_MODELO!$B$7</f>
        <v>35</v>
      </c>
      <c r="G191" s="5">
        <f t="shared" si="49"/>
        <v>37123228.700000003</v>
      </c>
      <c r="H191" s="5">
        <f>(PARAMS_MODELO!$B$20*(MAX(0,MIN(3,E191))/3)+PARAMS_MODELO!$B$21*(IFERROR(LN(1+MAX(0,G191))/LN(1+MAX(0,MAX($G$2:$G$1194))),0)))*100*PARAMS_MODELO!$B$8</f>
        <v>5.5665297141187811</v>
      </c>
      <c r="I191" s="8">
        <f>E191-PARAMS_MODELO!$B$5</f>
        <v>0.24550921305643025</v>
      </c>
      <c r="J191" s="5">
        <f>IF(I191&lt;=PARAMS_MODELO!$B$18,0,IF(I191&gt;=PARAMS_MODELO!$B$19,100,100*(I191-PARAMS_MODELO!$B$18)/(PARAMS_MODELO!$B$19-PARAMS_MODELO!$B$18)))*PARAMS_MODELO!$B$9</f>
        <v>15</v>
      </c>
      <c r="K191" s="5">
        <f>IFERROR(CHOOSE(MATCH(PARAMS_MODELO!$B$2,{"Q1","Q2","Q3"},0),LOTO!$D191,LOTO!$F191,LOTO!$H191),0)</f>
        <v>6325000</v>
      </c>
      <c r="L191" s="8">
        <f t="shared" si="50"/>
        <v>5.0652657286851636E-2</v>
      </c>
      <c r="M191" s="5">
        <f>MIN(100,IF(PARAMS_MODELO!$B$23=0,0,100*L191/PARAMS_MODELO!$B$23))*PARAMS_MODELO!$B$10</f>
        <v>15</v>
      </c>
      <c r="N191" s="5">
        <f>IFERROR(VLOOKUP(A191,COMPLIANCE!$A$2:$F$1996,6,0),100)</f>
        <v>100</v>
      </c>
      <c r="O191" s="5">
        <f>N191*PARAMS_MODELO!$B$11</f>
        <v>10</v>
      </c>
      <c r="P191" s="5">
        <f>IFERROR(VLOOKUP(A191,DIGITAL!$A$2:$J$2000,7,0),100)</f>
        <v>82</v>
      </c>
      <c r="Q191" s="5">
        <f>IFERROR(P191,0)*PARAMS_MODELO!$B$12</f>
        <v>8.2000000000000011</v>
      </c>
      <c r="R191">
        <f t="shared" si="51"/>
        <v>88.766529714118789</v>
      </c>
      <c r="S191" s="5" t="str">
        <f>IFERROR(VLOOKUP(A191,CLIENTE!$A$2:$N$2000,13,0),1)</f>
        <v>Muy Bueno</v>
      </c>
      <c r="T191" s="5">
        <f>IFERROR(VLOOKUP(A191,CLIENTE!$A$2:$N$2000,14,0),1)</f>
        <v>1.1499999999999999</v>
      </c>
      <c r="U191" s="5">
        <f t="shared" si="52"/>
        <v>100</v>
      </c>
      <c r="V191" s="5" t="str">
        <f>IF(U191&gt;=MAX(_xlfn.PERCENTILE.INC($U$2:$U$1194,PARAMS_MODELO!$B$50),PARAMS_MODELO!$B$45),"DIAMANTE",IF(U191&gt;=MAX(_xlfn.PERCENTILE.INC($U$2:$U$1194,PARAMS_MODELO!$B$51),PARAMS_MODELO!$B$46),"PLATINO",IF(U191&gt;=MAX(_xlfn.PERCENTILE.INC($U$2:$U$1194,PARAMS_MODELO!$B$52),PARAMS_MODELO!$B$47),"ORO",IF(U191&gt;=MAX(_xlfn.PERCENTILE.INC($U$2:$U$1194,PARAMS_MODELO!$B$53),PARAMS_MODELO!$B$48),"PLATA",IF(U191&gt;=1,"BRONCE","CERRADO")))))</f>
        <v>DIAMANTE</v>
      </c>
      <c r="W191" s="5" t="str" cm="1">
        <f t="array" ref="W191">_xlfn.XLOOKUP(1, (HIST_SCORE!$B:$B=PARAMS_MODELO!$B$4) * (HIST_SCORE!$C:$C=A191), HIST_SCORE!$E:$E, "No encontrado")</f>
        <v>DIAMANTE</v>
      </c>
      <c r="X191" s="5" t="str">
        <f>_xlfn.LET(_xlpm.act,MATCH(V191,{"DIAMANTE";"PLATINO";"ORO";"PLATA";"BRONCE";"CERRADO"},0),_xlpm.ant,MATCH(W191,{"DIAMANTE";"PLATINO";"ORO";"PLATA";"BRONCE";"CERRADO"},0),IF(_xlpm.act&lt;_xlpm.ant,"Mejora ↑",IF(_xlpm.act&gt;_xlpm.ant,"Baja ↓","Estable →")))</f>
        <v>Estable →</v>
      </c>
      <c r="Y191" s="5">
        <f>IFERROR(U191-SUMIFS(HIST_SCORE!$D:$D,HIST_SCORE!$B:$B,PARAMS_MODELO!$B$4,HIST_SCORE!$C:$C,$A191),"")</f>
        <v>0</v>
      </c>
      <c r="Z191" s="5" t="str">
        <f t="shared" si="53"/>
        <v>→ Estable</v>
      </c>
      <c r="AA191" s="5">
        <f t="shared" si="54"/>
        <v>1</v>
      </c>
      <c r="AB191" s="5">
        <f>IFERROR(SUMIFS(HIST_SCORE!$F:$F,HIST_SCORE!$B:$B,PARAMS_MODELO!$B$4,HIST_SCORE!$C:$C,$A191),"")</f>
        <v>1</v>
      </c>
      <c r="AC191" s="5">
        <f t="shared" si="55"/>
        <v>0</v>
      </c>
      <c r="AD191" t="str">
        <f t="shared" si="57"/>
        <v/>
      </c>
      <c r="AE1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191="CERRADO",1,IF(V191="BRONCE",_xlpm.cPl,IF(V191="PLATA",_xlpm.cO,IF(V191="ORO",_xlpm.cP,IF(V191="PLATINO",_xlpm.cD,999))))))</f>
        <v>999</v>
      </c>
      <c r="AF1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191="CERRADO",0,IF(V191="BRONCE",1,IF(V191="PLATA",_xlpm.cPl,IF(V191="ORO",_xlpm.cO,IF(V191="PLATINO",_xlpm.cP,_xlpm.cD))))))</f>
        <v>96.054919694466676</v>
      </c>
      <c r="AG191">
        <f t="shared" si="58"/>
        <v>779.92912245979437</v>
      </c>
      <c r="AH191" t="str">
        <f t="shared" si="59"/>
        <v>SOSTENER</v>
      </c>
      <c r="AI191" t="str">
        <f t="shared" si="56"/>
        <v>✅ Mantener desempeño y monitorear variaciones para sostener categoría.</v>
      </c>
      <c r="AJ191" s="26">
        <f>_xlfn.LET(_xlpm.piso,AF191,_xlpm.corte,AE191,_xlpm.prog,IF(_xlpm.corte&lt;=_xlpm.piso,0,MAX(0,MIN(1,(U191-_xlpm.piso)/(_xlpm.corte-_xlpm.piso)))),_xlpm.orden,{"DIAMANTE";"PLATINO";"ORO";"PLATA";"BRONCE";"CERRADO"},_xlpm.act,IFERROR(MATCH(V191,_xlpm.orden,0),6),_xlpm.ant,IFERROR(MATCH(W191,_xlpm.orden,0),6),_xlpm.ajmov,IF(_xlpm.act&lt;_xlpm.ant,0.08,IF(_xlpm.act&gt;_xlpm.ant,-0.08,0)),_xlpm.ajcli,IF(T191&lt;0.95,-0.06,0),_xlpm.prob,MAX(0,MIN(1,_xlpm.prog+_xlpm.ajmov+_xlpm.ajcli)),IF(OR(V191="DIAMANTE",V191="CERRADO"),0,ROUND(_xlpm.prob,2)))</f>
        <v>0</v>
      </c>
      <c r="AK191" t="str">
        <f t="shared" si="60"/>
        <v>No aplica</v>
      </c>
      <c r="AL191" t="str">
        <f t="shared" si="61"/>
        <v>Margen de seguridad: 3,9 puntos</v>
      </c>
      <c r="AM191">
        <f t="shared" si="62"/>
        <v>0.8</v>
      </c>
      <c r="AN191" t="str">
        <f t="shared" si="63"/>
        <v>PRIORIDAD ALTA – requiere intervención inmediata</v>
      </c>
      <c r="AO191">
        <f t="shared" si="64"/>
        <v>10.690445495353325</v>
      </c>
      <c r="AP191">
        <f t="shared" si="65"/>
        <v>0</v>
      </c>
      <c r="AQ191">
        <f t="shared" si="66"/>
        <v>0</v>
      </c>
      <c r="AR191">
        <f t="shared" si="67"/>
        <v>2.0699999999999985</v>
      </c>
      <c r="AS191">
        <f t="shared" si="68"/>
        <v>0</v>
      </c>
      <c r="AT191" t="str">
        <f t="shared" si="69"/>
        <v>VENTAS</v>
      </c>
      <c r="AU191">
        <f t="shared" si="70"/>
        <v>10.690445495353325</v>
      </c>
      <c r="AV191" t="str">
        <f t="shared" si="71"/>
        <v>Mayor retorno probable: VENTAS (+10,7 puntos finales potenciales).</v>
      </c>
    </row>
    <row r="192" spans="1:48" x14ac:dyDescent="0.3">
      <c r="A192" s="5">
        <v>51026578</v>
      </c>
      <c r="B192" s="5" t="str">
        <f>IFERROR(VLOOKUP(A192,VENTAS!$A$2:$B$1194,2,0),"")</f>
        <v>PRADES</v>
      </c>
      <c r="C192" s="5">
        <f>IFERROR(INDEX(VENTAS!$C$2:$E$1194,MATCH(A192,VENTAS!$A$2:$A$1194,0),MATCH(PARAMS_MODELO!$B$2,{"Q1","Q2","Q3"},0)),0)</f>
        <v>91530945.659999996</v>
      </c>
      <c r="D192" s="5">
        <f>IFERROR(INDEX(VENTAS!$F$2:$H$1194,MATCH(A192,VENTAS!$A$2:$A$1194,0),MATCH(PARAMS_MODELO!$B$2,{"Q1","Q2","Q3"},0)),0)</f>
        <v>123866633</v>
      </c>
      <c r="E192" s="8">
        <f t="shared" si="48"/>
        <v>0.35327601071788162</v>
      </c>
      <c r="F192" s="12">
        <f>IF(E192&lt;=PARAMS_MODELO!$B$15,0,IF(E192&gt;=PARAMS_MODELO!$B$17,100,100*MIN(1,(E192-PARAMS_MODELO!$B$15)/(PARAMS_MODELO!$B$16-PARAMS_MODELO!$B$15))))*PARAMS_MODELO!$B$7</f>
        <v>35</v>
      </c>
      <c r="G192" s="5">
        <f t="shared" si="49"/>
        <v>32335687.340000004</v>
      </c>
      <c r="H192" s="5">
        <f>(PARAMS_MODELO!$B$20*(MAX(0,MIN(3,E192))/3)+PARAMS_MODELO!$B$21*(IFERROR(LN(1+MAX(0,G192))/LN(1+MAX(0,MAX($G$2:$G$1194))),0)))*100*PARAMS_MODELO!$B$8</f>
        <v>5.2898777210366292</v>
      </c>
      <c r="I192" s="8">
        <f>E192-PARAMS_MODELO!$B$5</f>
        <v>0.17571317534235509</v>
      </c>
      <c r="J192" s="5">
        <f>IF(I192&lt;=PARAMS_MODELO!$B$18,0,IF(I192&gt;=PARAMS_MODELO!$B$19,100,100*(I192-PARAMS_MODELO!$B$18)/(PARAMS_MODELO!$B$19-PARAMS_MODELO!$B$18)))*PARAMS_MODELO!$B$9</f>
        <v>15</v>
      </c>
      <c r="K192" s="5">
        <f>IFERROR(CHOOSE(MATCH(PARAMS_MODELO!$B$2,{"Q1","Q2","Q3"},0),LOTO!$D192,LOTO!$F192,LOTO!$H192),0)</f>
        <v>6300000</v>
      </c>
      <c r="L192" s="8">
        <f t="shared" si="50"/>
        <v>5.086115483578213E-2</v>
      </c>
      <c r="M192" s="5">
        <f>MIN(100,IF(PARAMS_MODELO!$B$23=0,0,100*L192/PARAMS_MODELO!$B$23))*PARAMS_MODELO!$B$10</f>
        <v>15</v>
      </c>
      <c r="N192" s="5">
        <f>IFERROR(VLOOKUP(A192,COMPLIANCE!$A$2:$F$1996,6,0),100)</f>
        <v>100</v>
      </c>
      <c r="O192" s="5">
        <f>N192*PARAMS_MODELO!$B$11</f>
        <v>10</v>
      </c>
      <c r="P192" s="5">
        <f>IFERROR(VLOOKUP(A192,DIGITAL!$A$2:$J$2000,7,0),100)</f>
        <v>97</v>
      </c>
      <c r="Q192" s="5">
        <f>IFERROR(P192,0)*PARAMS_MODELO!$B$12</f>
        <v>9.7000000000000011</v>
      </c>
      <c r="R192">
        <f t="shared" si="51"/>
        <v>89.989877721036635</v>
      </c>
      <c r="S192" s="5" t="str">
        <f>IFERROR(VLOOKUP(A192,CLIENTE!$A$2:$N$2000,13,0),1)</f>
        <v>Malo</v>
      </c>
      <c r="T192" s="5">
        <f>IFERROR(VLOOKUP(A192,CLIENTE!$A$2:$N$2000,14,0),1)</f>
        <v>0.7</v>
      </c>
      <c r="U192" s="5">
        <f t="shared" si="52"/>
        <v>62.992914404725639</v>
      </c>
      <c r="V192" s="5" t="str">
        <f>IF(U192&gt;=MAX(_xlfn.PERCENTILE.INC($U$2:$U$1194,PARAMS_MODELO!$B$50),PARAMS_MODELO!$B$45),"DIAMANTE",IF(U192&gt;=MAX(_xlfn.PERCENTILE.INC($U$2:$U$1194,PARAMS_MODELO!$B$51),PARAMS_MODELO!$B$46),"PLATINO",IF(U192&gt;=MAX(_xlfn.PERCENTILE.INC($U$2:$U$1194,PARAMS_MODELO!$B$52),PARAMS_MODELO!$B$47),"ORO",IF(U192&gt;=MAX(_xlfn.PERCENTILE.INC($U$2:$U$1194,PARAMS_MODELO!$B$53),PARAMS_MODELO!$B$48),"PLATA",IF(U192&gt;=1,"BRONCE","CERRADO")))))</f>
        <v>PLATA</v>
      </c>
      <c r="W192" s="5" t="str" cm="1">
        <f t="array" ref="W192">_xlfn.XLOOKUP(1, (HIST_SCORE!$B:$B=PARAMS_MODELO!$B$4) * (HIST_SCORE!$C:$C=A192), HIST_SCORE!$E:$E, "No encontrado")</f>
        <v>PLATA</v>
      </c>
      <c r="X192" s="5" t="str">
        <f>_xlfn.LET(_xlpm.act,MATCH(V192,{"DIAMANTE";"PLATINO";"ORO";"PLATA";"BRONCE";"CERRADO"},0),_xlpm.ant,MATCH(W192,{"DIAMANTE";"PLATINO";"ORO";"PLATA";"BRONCE";"CERRADO"},0),IF(_xlpm.act&lt;_xlpm.ant,"Mejora ↑",IF(_xlpm.act&gt;_xlpm.ant,"Baja ↓","Estable →")))</f>
        <v>Estable →</v>
      </c>
      <c r="Y192" s="5">
        <f>IFERROR(U192-SUMIFS(HIST_SCORE!$D:$D,HIST_SCORE!$B:$B,PARAMS_MODELO!$B$4,HIST_SCORE!$C:$C,$A192),"")</f>
        <v>0.61653532662852939</v>
      </c>
      <c r="Z192" s="5" t="str">
        <f t="shared" si="53"/>
        <v>→ Estable</v>
      </c>
      <c r="AA192" s="5">
        <f t="shared" si="54"/>
        <v>560</v>
      </c>
      <c r="AB192" s="5">
        <f>IFERROR(SUMIFS(HIST_SCORE!$F:$F,HIST_SCORE!$B:$B,PARAMS_MODELO!$B$4,HIST_SCORE!$C:$C,$A192),"")</f>
        <v>603</v>
      </c>
      <c r="AC192" s="5">
        <f t="shared" si="55"/>
        <v>43</v>
      </c>
      <c r="AD192" t="str">
        <f t="shared" si="57"/>
        <v/>
      </c>
      <c r="AE1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192="CERRADO",1,IF(V192="BRONCE",_xlpm.cPl,IF(V192="PLATA",_xlpm.cO,IF(V192="ORO",_xlpm.cP,IF(V192="PLATINO",_xlpm.cD,999))))))</f>
        <v>63.199193273331495</v>
      </c>
      <c r="AF1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192="CERRADO",0,IF(V192="BRONCE",1,IF(V192="PLATA",_xlpm.cPl,IF(V192="ORO",_xlpm.cO,IF(V192="PLATINO",_xlpm.cP,_xlpm.cD))))))</f>
        <v>24.506573482968111</v>
      </c>
      <c r="AG192">
        <f t="shared" si="58"/>
        <v>0.29468409800836071</v>
      </c>
      <c r="AH192" t="str">
        <f t="shared" si="59"/>
        <v>CLIENTE</v>
      </c>
      <c r="AI192" t="str">
        <f t="shared" si="56"/>
        <v>🎯 Para subir de categoría, la eje con mayor impacto probable es CLIENTE (coef T). Acción: reducir quejas, mejorar incógnito y empujar reseñas. ΔR aprox: 0,3</v>
      </c>
      <c r="AJ192" s="26">
        <f>_xlfn.LET(_xlpm.piso,AF192,_xlpm.corte,AE192,_xlpm.prog,IF(_xlpm.corte&lt;=_xlpm.piso,0,MAX(0,MIN(1,(U192-_xlpm.piso)/(_xlpm.corte-_xlpm.piso)))),_xlpm.orden,{"DIAMANTE";"PLATINO";"ORO";"PLATA";"BRONCE";"CERRADO"},_xlpm.act,IFERROR(MATCH(V192,_xlpm.orden,0),6),_xlpm.ant,IFERROR(MATCH(W192,_xlpm.orden,0),6),_xlpm.ajmov,IF(_xlpm.act&lt;_xlpm.ant,0.08,IF(_xlpm.act&gt;_xlpm.ant,-0.08,0)),_xlpm.ajcli,IF(T192&lt;0.95,-0.06,0),_xlpm.prob,MAX(0,MIN(1,_xlpm.prog+_xlpm.ajmov+_xlpm.ajcli)),IF(OR(V192="DIAMANTE",V192="CERRADO"),0,ROUND(_xlpm.prob,2)))</f>
        <v>0.93</v>
      </c>
      <c r="AK192" t="str">
        <f t="shared" si="60"/>
        <v>Faltan 0,3 puntos base para subir a la siguiente categoría</v>
      </c>
      <c r="AL192" t="str">
        <f t="shared" si="61"/>
        <v>Margen de seguridad: 38,5 puntos</v>
      </c>
      <c r="AM192">
        <f t="shared" si="62"/>
        <v>0.24</v>
      </c>
      <c r="AN192" t="str">
        <f t="shared" si="63"/>
        <v>PRIORIDAD BAJA – control normal</v>
      </c>
      <c r="AO192">
        <f t="shared" si="64"/>
        <v>6.7008840879812661</v>
      </c>
      <c r="AP192">
        <f t="shared" si="65"/>
        <v>0</v>
      </c>
      <c r="AQ192">
        <f t="shared" si="66"/>
        <v>0</v>
      </c>
      <c r="AR192">
        <f t="shared" si="67"/>
        <v>0.20999999999999924</v>
      </c>
      <c r="AS192">
        <f t="shared" si="68"/>
        <v>26.996963316310996</v>
      </c>
      <c r="AT192" t="str">
        <f t="shared" si="69"/>
        <v>CLIENTE</v>
      </c>
      <c r="AU192">
        <f t="shared" si="70"/>
        <v>26.996963316310996</v>
      </c>
      <c r="AV192" t="str">
        <f t="shared" si="71"/>
        <v>Mayor retorno probable: CLIENTE (+27,0 puntos finales potenciales).</v>
      </c>
    </row>
    <row r="193" spans="1:48" x14ac:dyDescent="0.3">
      <c r="A193" s="5">
        <v>51017986</v>
      </c>
      <c r="B193" s="5" t="str">
        <f>IFERROR(VLOOKUP(A193,VENTAS!$A$2:$B$1194,2,0),"")</f>
        <v>ARGUELLO</v>
      </c>
      <c r="C193" s="5">
        <f>IFERROR(INDEX(VENTAS!$C$2:$E$1194,MATCH(A193,VENTAS!$A$2:$A$1194,0),MATCH(PARAMS_MODELO!$B$2,{"Q1","Q2","Q3"},0)),0)</f>
        <v>85102132.189999998</v>
      </c>
      <c r="D193" s="5">
        <f>IFERROR(INDEX(VENTAS!$F$2:$H$1194,MATCH(A193,VENTAS!$A$2:$A$1194,0),MATCH(PARAMS_MODELO!$B$2,{"Q1","Q2","Q3"},0)),0)</f>
        <v>123854689</v>
      </c>
      <c r="E193" s="8">
        <f t="shared" si="48"/>
        <v>0.45536528654159447</v>
      </c>
      <c r="F193" s="12">
        <f>IF(E193&lt;=PARAMS_MODELO!$B$15,0,IF(E193&gt;=PARAMS_MODELO!$B$17,100,100*MIN(1,(E193-PARAMS_MODELO!$B$15)/(PARAMS_MODELO!$B$16-PARAMS_MODELO!$B$15))))*PARAMS_MODELO!$B$7</f>
        <v>35</v>
      </c>
      <c r="G193" s="5">
        <f t="shared" si="49"/>
        <v>38752556.810000002</v>
      </c>
      <c r="H193" s="5">
        <f>(PARAMS_MODELO!$B$20*(MAX(0,MIN(3,E193))/3)+PARAMS_MODELO!$B$21*(IFERROR(LN(1+MAX(0,G193))/LN(1+MAX(0,MAX($G$2:$G$1194))),0)))*100*PARAMS_MODELO!$B$8</f>
        <v>5.6896250297213964</v>
      </c>
      <c r="I193" s="8">
        <f>E193-PARAMS_MODELO!$B$5</f>
        <v>0.27780245116606794</v>
      </c>
      <c r="J193" s="5">
        <f>IF(I193&lt;=PARAMS_MODELO!$B$18,0,IF(I193&gt;=PARAMS_MODELO!$B$19,100,100*(I193-PARAMS_MODELO!$B$18)/(PARAMS_MODELO!$B$19-PARAMS_MODELO!$B$18)))*PARAMS_MODELO!$B$9</f>
        <v>15</v>
      </c>
      <c r="K193" s="5">
        <f>IFERROR(CHOOSE(MATCH(PARAMS_MODELO!$B$2,{"Q1","Q2","Q3"},0),LOTO!$D193,LOTO!$F193,LOTO!$H193),0)</f>
        <v>6277500</v>
      </c>
      <c r="L193" s="8">
        <f t="shared" si="50"/>
        <v>5.0684395162463328E-2</v>
      </c>
      <c r="M193" s="5">
        <f>MIN(100,IF(PARAMS_MODELO!$B$23=0,0,100*L193/PARAMS_MODELO!$B$23))*PARAMS_MODELO!$B$10</f>
        <v>15</v>
      </c>
      <c r="N193" s="5">
        <f>IFERROR(VLOOKUP(A193,COMPLIANCE!$A$2:$F$1996,6,0),100)</f>
        <v>100</v>
      </c>
      <c r="O193" s="5">
        <f>N193*PARAMS_MODELO!$B$11</f>
        <v>10</v>
      </c>
      <c r="P193" s="5">
        <f>IFERROR(VLOOKUP(A193,DIGITAL!$A$2:$J$2000,7,0),100)</f>
        <v>3</v>
      </c>
      <c r="Q193" s="5">
        <f>IFERROR(P193,0)*PARAMS_MODELO!$B$12</f>
        <v>0.30000000000000004</v>
      </c>
      <c r="R193">
        <f t="shared" si="51"/>
        <v>80.989625029721395</v>
      </c>
      <c r="S193" s="5" t="str">
        <f>IFERROR(VLOOKUP(A193,CLIENTE!$A$2:$N$2000,13,0),1)</f>
        <v>Muy Bueno</v>
      </c>
      <c r="T193" s="5">
        <f>IFERROR(VLOOKUP(A193,CLIENTE!$A$2:$N$2000,14,0),1)</f>
        <v>1.1499999999999999</v>
      </c>
      <c r="U193" s="5">
        <f t="shared" si="52"/>
        <v>93.138068784179595</v>
      </c>
      <c r="V193" s="5" t="str">
        <f>IF(U193&gt;=MAX(_xlfn.PERCENTILE.INC($U$2:$U$1194,PARAMS_MODELO!$B$50),PARAMS_MODELO!$B$45),"DIAMANTE",IF(U193&gt;=MAX(_xlfn.PERCENTILE.INC($U$2:$U$1194,PARAMS_MODELO!$B$51),PARAMS_MODELO!$B$46),"PLATINO",IF(U193&gt;=MAX(_xlfn.PERCENTILE.INC($U$2:$U$1194,PARAMS_MODELO!$B$52),PARAMS_MODELO!$B$47),"ORO",IF(U193&gt;=MAX(_xlfn.PERCENTILE.INC($U$2:$U$1194,PARAMS_MODELO!$B$53),PARAMS_MODELO!$B$48),"PLATA",IF(U193&gt;=1,"BRONCE","CERRADO")))))</f>
        <v>PLATINO</v>
      </c>
      <c r="W193" s="5" t="str" cm="1">
        <f t="array" ref="W193">_xlfn.XLOOKUP(1, (HIST_SCORE!$B:$B=PARAMS_MODELO!$B$4) * (HIST_SCORE!$C:$C=A193), HIST_SCORE!$E:$E, "No encontrado")</f>
        <v>PLATINO</v>
      </c>
      <c r="X193" s="5" t="str">
        <f>_xlfn.LET(_xlpm.act,MATCH(V193,{"DIAMANTE";"PLATINO";"ORO";"PLATA";"BRONCE";"CERRADO"},0),_xlpm.ant,MATCH(W193,{"DIAMANTE";"PLATINO";"ORO";"PLATA";"BRONCE";"CERRADO"},0),IF(_xlpm.act&lt;_xlpm.ant,"Mejora ↑",IF(_xlpm.act&gt;_xlpm.ant,"Baja ↓","Estable →")))</f>
        <v>Estable →</v>
      </c>
      <c r="Y193" s="5">
        <f>IFERROR(U193-SUMIFS(HIST_SCORE!$D:$D,HIST_SCORE!$B:$B,PARAMS_MODELO!$B$4,HIST_SCORE!$C:$C,$A193),"")</f>
        <v>1.3377836816052167</v>
      </c>
      <c r="Z193" s="5" t="str">
        <f t="shared" si="53"/>
        <v>→ Estable</v>
      </c>
      <c r="AA193" s="5">
        <f t="shared" si="54"/>
        <v>89</v>
      </c>
      <c r="AB193" s="5">
        <f>IFERROR(SUMIFS(HIST_SCORE!$F:$F,HIST_SCORE!$B:$B,PARAMS_MODELO!$B$4,HIST_SCORE!$C:$C,$A193),"")</f>
        <v>102</v>
      </c>
      <c r="AC193" s="5">
        <f t="shared" si="55"/>
        <v>13</v>
      </c>
      <c r="AD193" t="str">
        <f t="shared" si="57"/>
        <v/>
      </c>
      <c r="AE1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193="CERRADO",1,IF(V193="BRONCE",_xlpm.cPl,IF(V193="PLATA",_xlpm.cO,IF(V193="ORO",_xlpm.cP,IF(V193="PLATINO",_xlpm.cD,999))))))</f>
        <v>96.054919694466676</v>
      </c>
      <c r="AF1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193="CERRADO",0,IF(V193="BRONCE",1,IF(V193="PLATA",_xlpm.cPl,IF(V193="ORO",_xlpm.cO,IF(V193="PLATINO",_xlpm.cP,_xlpm.cD))))))</f>
        <v>86.439123873763251</v>
      </c>
      <c r="AG193">
        <f t="shared" si="58"/>
        <v>2.5363920959018031</v>
      </c>
      <c r="AH193" t="str">
        <f t="shared" si="59"/>
        <v>VENTAS</v>
      </c>
      <c r="AI193" t="str">
        <f t="shared" si="56"/>
        <v>🎯 Para subir de categoría, eje VENTAS / IMPACTO ABSOLUTO (H). Acción: metas semanales + activación comercial + seguimiento del asesor. ΔR aprox: 2,5</v>
      </c>
      <c r="AJ193" s="26">
        <f>_xlfn.LET(_xlpm.piso,AF193,_xlpm.corte,AE193,_xlpm.prog,IF(_xlpm.corte&lt;=_xlpm.piso,0,MAX(0,MIN(1,(U193-_xlpm.piso)/(_xlpm.corte-_xlpm.piso)))),_xlpm.orden,{"DIAMANTE";"PLATINO";"ORO";"PLATA";"BRONCE";"CERRADO"},_xlpm.act,IFERROR(MATCH(V193,_xlpm.orden,0),6),_xlpm.ant,IFERROR(MATCH(W193,_xlpm.orden,0),6),_xlpm.ajmov,IF(_xlpm.act&lt;_xlpm.ant,0.08,IF(_xlpm.act&gt;_xlpm.ant,-0.08,0)),_xlpm.ajcli,IF(T193&lt;0.95,-0.06,0),_xlpm.prob,MAX(0,MIN(1,_xlpm.prog+_xlpm.ajmov+_xlpm.ajcli)),IF(OR(V193="DIAMANTE",V193="CERRADO"),0,ROUND(_xlpm.prob,2)))</f>
        <v>0.7</v>
      </c>
      <c r="AK193" t="str">
        <f t="shared" si="60"/>
        <v>Faltan 2,5 puntos base para subir a la siguiente categoría</v>
      </c>
      <c r="AL193" t="str">
        <f t="shared" si="61"/>
        <v>Margen de seguridad: 6,7 puntos</v>
      </c>
      <c r="AM193">
        <f t="shared" si="62"/>
        <v>0.22</v>
      </c>
      <c r="AN193" t="str">
        <f t="shared" si="63"/>
        <v>PRIORIDAD BAJA – control normal</v>
      </c>
      <c r="AO193">
        <f t="shared" si="64"/>
        <v>10.548885882410314</v>
      </c>
      <c r="AP193">
        <f t="shared" si="65"/>
        <v>0</v>
      </c>
      <c r="AQ193">
        <f t="shared" si="66"/>
        <v>0</v>
      </c>
      <c r="AR193">
        <f t="shared" si="67"/>
        <v>11.154999999999998</v>
      </c>
      <c r="AS193">
        <f t="shared" si="68"/>
        <v>0</v>
      </c>
      <c r="AT193" t="str">
        <f t="shared" si="69"/>
        <v>DIGITAL</v>
      </c>
      <c r="AU193">
        <f t="shared" si="70"/>
        <v>11.154999999999998</v>
      </c>
      <c r="AV193" t="str">
        <f t="shared" si="71"/>
        <v>Mayor retorno probable: DIGITAL (+11,2 puntos finales potenciales).</v>
      </c>
    </row>
    <row r="194" spans="1:48" x14ac:dyDescent="0.3">
      <c r="A194" s="5">
        <v>51055373</v>
      </c>
      <c r="B194" s="5" t="str">
        <f>IFERROR(VLOOKUP(A194,VENTAS!$A$2:$B$1194,2,0),"")</f>
        <v>PUGH</v>
      </c>
      <c r="C194" s="5">
        <f>IFERROR(INDEX(VENTAS!$C$2:$E$1194,MATCH(A194,VENTAS!$A$2:$A$1194,0),MATCH(PARAMS_MODELO!$B$2,{"Q1","Q2","Q3"},0)),0)</f>
        <v>102534883.61</v>
      </c>
      <c r="D194" s="5">
        <f>IFERROR(INDEX(VENTAS!$F$2:$H$1194,MATCH(A194,VENTAS!$A$2:$A$1194,0),MATCH(PARAMS_MODELO!$B$2,{"Q1","Q2","Q3"},0)),0)</f>
        <v>123843874</v>
      </c>
      <c r="E194" s="8">
        <f t="shared" ref="E194:E257" si="72">IFERROR(D194/C194-1,0)</f>
        <v>0.20782186159249494</v>
      </c>
      <c r="F194" s="12">
        <f>IF(E194&lt;=PARAMS_MODELO!$B$15,0,IF(E194&gt;=PARAMS_MODELO!$B$17,100,100*MIN(1,(E194-PARAMS_MODELO!$B$15)/(PARAMS_MODELO!$B$16-PARAMS_MODELO!$B$15))))*PARAMS_MODELO!$B$7</f>
        <v>35</v>
      </c>
      <c r="G194" s="5">
        <f t="shared" ref="G194:G257" si="73">MAX(0,D194-C194)</f>
        <v>21308990.390000001</v>
      </c>
      <c r="H194" s="5">
        <f>(PARAMS_MODELO!$B$20*(MAX(0,MIN(3,E194))/3)+PARAMS_MODELO!$B$21*(IFERROR(LN(1+MAX(0,G194))/LN(1+MAX(0,MAX($G$2:$G$1194))),0)))*100*PARAMS_MODELO!$B$8</f>
        <v>4.6830276365054262</v>
      </c>
      <c r="I194" s="8">
        <f>E194-PARAMS_MODELO!$B$5</f>
        <v>3.025902621696841E-2</v>
      </c>
      <c r="J194" s="5">
        <f>IF(I194&lt;=PARAMS_MODELO!$B$18,0,IF(I194&gt;=PARAMS_MODELO!$B$19,100,100*(I194-PARAMS_MODELO!$B$18)/(PARAMS_MODELO!$B$19-PARAMS_MODELO!$B$18)))*PARAMS_MODELO!$B$9</f>
        <v>12.03885393254526</v>
      </c>
      <c r="K194" s="5">
        <f>IFERROR(CHOOSE(MATCH(PARAMS_MODELO!$B$2,{"Q1","Q2","Q3"},0),LOTO!$D194,LOTO!$F194,LOTO!$H194),0)</f>
        <v>6250000</v>
      </c>
      <c r="L194" s="8">
        <f t="shared" ref="L194:L257" si="74">IFERROR(K194/D194,0)</f>
        <v>5.0466767536680904E-2</v>
      </c>
      <c r="M194" s="5">
        <f>MIN(100,IF(PARAMS_MODELO!$B$23=0,0,100*L194/PARAMS_MODELO!$B$23))*PARAMS_MODELO!$B$10</f>
        <v>15</v>
      </c>
      <c r="N194" s="5">
        <f>IFERROR(VLOOKUP(A194,COMPLIANCE!$A$2:$F$1996,6,0),100)</f>
        <v>100</v>
      </c>
      <c r="O194" s="5">
        <f>N194*PARAMS_MODELO!$B$11</f>
        <v>10</v>
      </c>
      <c r="P194" s="5">
        <f>IFERROR(VLOOKUP(A194,DIGITAL!$A$2:$J$2000,7,0),100)</f>
        <v>22</v>
      </c>
      <c r="Q194" s="5">
        <f>IFERROR(P194,0)*PARAMS_MODELO!$B$12</f>
        <v>2.2000000000000002</v>
      </c>
      <c r="R194">
        <f t="shared" ref="R194:R257" si="75">MIN(100,MAX(0,F194+H194+J194+M194+O194+Q194))</f>
        <v>78.921881569050683</v>
      </c>
      <c r="S194" s="5" t="str">
        <f>IFERROR(VLOOKUP(A194,CLIENTE!$A$2:$N$2000,13,0),1)</f>
        <v>Regular</v>
      </c>
      <c r="T194" s="5">
        <f>IFERROR(VLOOKUP(A194,CLIENTE!$A$2:$N$2000,14,0),1)</f>
        <v>1</v>
      </c>
      <c r="U194" s="5">
        <f t="shared" ref="U194:U257" si="76">MIN(100,MAX(0,R194*T194))</f>
        <v>78.921881569050683</v>
      </c>
      <c r="V194" s="5" t="str">
        <f>IF(U194&gt;=MAX(_xlfn.PERCENTILE.INC($U$2:$U$1194,PARAMS_MODELO!$B$50),PARAMS_MODELO!$B$45),"DIAMANTE",IF(U194&gt;=MAX(_xlfn.PERCENTILE.INC($U$2:$U$1194,PARAMS_MODELO!$B$51),PARAMS_MODELO!$B$46),"PLATINO",IF(U194&gt;=MAX(_xlfn.PERCENTILE.INC($U$2:$U$1194,PARAMS_MODELO!$B$52),PARAMS_MODELO!$B$47),"ORO",IF(U194&gt;=MAX(_xlfn.PERCENTILE.INC($U$2:$U$1194,PARAMS_MODELO!$B$53),PARAMS_MODELO!$B$48),"PLATA",IF(U194&gt;=1,"BRONCE","CERRADO")))))</f>
        <v>ORO</v>
      </c>
      <c r="W194" s="5" t="str" cm="1">
        <f t="array" ref="W194">_xlfn.XLOOKUP(1, (HIST_SCORE!$B:$B=PARAMS_MODELO!$B$4) * (HIST_SCORE!$C:$C=A194), HIST_SCORE!$E:$E, "No encontrado")</f>
        <v>ORO</v>
      </c>
      <c r="X194" s="5" t="str">
        <f>_xlfn.LET(_xlpm.act,MATCH(V194,{"DIAMANTE";"PLATINO";"ORO";"PLATA";"BRONCE";"CERRADO"},0),_xlpm.ant,MATCH(W194,{"DIAMANTE";"PLATINO";"ORO";"PLATA";"BRONCE";"CERRADO"},0),IF(_xlpm.act&lt;_xlpm.ant,"Mejora ↑",IF(_xlpm.act&gt;_xlpm.ant,"Baja ↓","Estable →")))</f>
        <v>Estable →</v>
      </c>
      <c r="Y194" s="5">
        <f>IFERROR(U194-SUMIFS(HIST_SCORE!$D:$D,HIST_SCORE!$B:$B,PARAMS_MODELO!$B$4,HIST_SCORE!$C:$C,$A194),"")</f>
        <v>-3.3504027011929907</v>
      </c>
      <c r="Z194" s="5" t="str">
        <f t="shared" ref="Z194:Z257" si="77">IF(Y194="","",IF(Y194&gt;=5,"↑ Mejora",IF(Y194&lt;=-5,"↓ Baja","→ Estable")))</f>
        <v>→ Estable</v>
      </c>
      <c r="AA194" s="5">
        <f t="shared" ref="AA194:AA257" si="78">IFERROR(_xlfn.RANK.EQ(U194,$U$2:$U$1194,0),"")</f>
        <v>448</v>
      </c>
      <c r="AB194" s="5">
        <f>IFERROR(SUMIFS(HIST_SCORE!$F:$F,HIST_SCORE!$B:$B,PARAMS_MODELO!$B$4,HIST_SCORE!$C:$C,$A194),"")</f>
        <v>358</v>
      </c>
      <c r="AC194" s="5">
        <f t="shared" ref="AC194:AC257" si="79">IF(OR(AA194="",AB194=""),"",AB194-AA194)</f>
        <v>-90</v>
      </c>
      <c r="AD194" t="str">
        <f t="shared" si="57"/>
        <v>Sostener base y reforzar mix</v>
      </c>
      <c r="AE1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194="CERRADO",1,IF(V194="BRONCE",_xlpm.cPl,IF(V194="PLATA",_xlpm.cO,IF(V194="ORO",_xlpm.cP,IF(V194="PLATINO",_xlpm.cD,999))))))</f>
        <v>86.439123873763251</v>
      </c>
      <c r="AF1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194="CERRADO",0,IF(V194="BRONCE",1,IF(V194="PLATA",_xlpm.cPl,IF(V194="ORO",_xlpm.cO,IF(V194="PLATINO",_xlpm.cP,_xlpm.cD))))))</f>
        <v>63.199193273331495</v>
      </c>
      <c r="AG194">
        <f t="shared" si="58"/>
        <v>7.5172423047125676</v>
      </c>
      <c r="AH194" t="str">
        <f t="shared" si="59"/>
        <v>VENTAS</v>
      </c>
      <c r="AI194" t="str">
        <f t="shared" ref="AI194:AI257" si="80">_xlfn.LET(_xlpm.pal,AH194,_xlpm.deltaR,AG194,_xlpm.minVent,MIN(F194,H194,J194),_xlpm.subV,IF(_xlpm.minVent=F194,"CRECIMIENTO PERSONAL (F)",IF(_xlpm.minVent=H194,"IMPACTO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IMPACTO ABSOLUTO (H). Acción: metas semanales + activación comercial + seguimiento del asesor. ΔR aprox: 7,5</v>
      </c>
      <c r="AJ194" s="26">
        <f>_xlfn.LET(_xlpm.piso,AF194,_xlpm.corte,AE194,_xlpm.prog,IF(_xlpm.corte&lt;=_xlpm.piso,0,MAX(0,MIN(1,(U194-_xlpm.piso)/(_xlpm.corte-_xlpm.piso)))),_xlpm.orden,{"DIAMANTE";"PLATINO";"ORO";"PLATA";"BRONCE";"CERRADO"},_xlpm.act,IFERROR(MATCH(V194,_xlpm.orden,0),6),_xlpm.ant,IFERROR(MATCH(W194,_xlpm.orden,0),6),_xlpm.ajmov,IF(_xlpm.act&lt;_xlpm.ant,0.08,IF(_xlpm.act&gt;_xlpm.ant,-0.08,0)),_xlpm.ajcli,IF(T194&lt;0.95,-0.06,0),_xlpm.prob,MAX(0,MIN(1,_xlpm.prog+_xlpm.ajmov+_xlpm.ajcli)),IF(OR(V194="DIAMANTE",V194="CERRADO"),0,ROUND(_xlpm.prob,2)))</f>
        <v>0.68</v>
      </c>
      <c r="AK194" t="str">
        <f t="shared" si="60"/>
        <v>Faltan 7,5 puntos base para subir a la siguiente categoría</v>
      </c>
      <c r="AL194" t="str">
        <f t="shared" si="61"/>
        <v>Margen de seguridad: 15,7 puntos</v>
      </c>
      <c r="AM194">
        <f t="shared" si="62"/>
        <v>0.43</v>
      </c>
      <c r="AN194" t="str">
        <f t="shared" si="63"/>
        <v>PRIORIDAD MEDIA – seguimiento del asesor</v>
      </c>
      <c r="AO194">
        <f t="shared" si="64"/>
        <v>13.140687706244897</v>
      </c>
      <c r="AP194">
        <f t="shared" si="65"/>
        <v>0</v>
      </c>
      <c r="AQ194">
        <f t="shared" si="66"/>
        <v>0</v>
      </c>
      <c r="AR194">
        <f t="shared" si="67"/>
        <v>7.8</v>
      </c>
      <c r="AS194">
        <f t="shared" si="68"/>
        <v>0</v>
      </c>
      <c r="AT194" t="str">
        <f t="shared" si="69"/>
        <v>VENTAS</v>
      </c>
      <c r="AU194">
        <f t="shared" si="70"/>
        <v>13.140687706244897</v>
      </c>
      <c r="AV194" t="str">
        <f t="shared" si="71"/>
        <v>Mayor retorno probable: VENTAS (+13,1 puntos finales potenciales).</v>
      </c>
    </row>
    <row r="195" spans="1:48" x14ac:dyDescent="0.3">
      <c r="A195" s="5">
        <v>51013794</v>
      </c>
      <c r="B195" s="5" t="str">
        <f>IFERROR(VLOOKUP(A195,VENTAS!$A$2:$B$1194,2,0),"")</f>
        <v>NELLI</v>
      </c>
      <c r="C195" s="5">
        <f>IFERROR(INDEX(VENTAS!$C$2:$E$1194,MATCH(A195,VENTAS!$A$2:$A$1194,0),MATCH(PARAMS_MODELO!$B$2,{"Q1","Q2","Q3"},0)),0)</f>
        <v>210700591.46000001</v>
      </c>
      <c r="D195" s="5">
        <f>IFERROR(INDEX(VENTAS!$F$2:$H$1194,MATCH(A195,VENTAS!$A$2:$A$1194,0),MATCH(PARAMS_MODELO!$B$2,{"Q1","Q2","Q3"},0)),0)</f>
        <v>123837028</v>
      </c>
      <c r="E195" s="8">
        <f t="shared" si="72"/>
        <v>-0.41226065317662119</v>
      </c>
      <c r="F195" s="12">
        <f>IF(E195&lt;=PARAMS_MODELO!$B$15,0,IF(E195&gt;=PARAMS_MODELO!$B$17,100,100*MIN(1,(E195-PARAMS_MODELO!$B$15)/(PARAMS_MODELO!$B$16-PARAMS_MODELO!$B$15))))*PARAMS_MODELO!$B$7</f>
        <v>0</v>
      </c>
      <c r="G195" s="5">
        <f t="shared" si="73"/>
        <v>0</v>
      </c>
      <c r="H195" s="5">
        <f>(PARAMS_MODELO!$B$20*(MAX(0,MIN(3,E195))/3)+PARAMS_MODELO!$B$21*(IFERROR(LN(1+MAX(0,G195))/LN(1+MAX(0,MAX($G$2:$G$1194))),0)))*100*PARAMS_MODELO!$B$8</f>
        <v>0</v>
      </c>
      <c r="I195" s="8">
        <f>E195-PARAMS_MODELO!$B$5</f>
        <v>-0.58982348855214772</v>
      </c>
      <c r="J195" s="5">
        <f>IF(I195&lt;=PARAMS_MODELO!$B$18,0,IF(I195&gt;=PARAMS_MODELO!$B$19,100,100*(I195-PARAMS_MODELO!$B$18)/(PARAMS_MODELO!$B$19-PARAMS_MODELO!$B$18)))*PARAMS_MODELO!$B$9</f>
        <v>0</v>
      </c>
      <c r="K195" s="5">
        <f>IFERROR(CHOOSE(MATCH(PARAMS_MODELO!$B$2,{"Q1","Q2","Q3"},0),LOTO!$D195,LOTO!$F195,LOTO!$H195),0)</f>
        <v>6250000</v>
      </c>
      <c r="L195" s="8">
        <f t="shared" si="74"/>
        <v>5.0469557457402808E-2</v>
      </c>
      <c r="M195" s="5">
        <f>MIN(100,IF(PARAMS_MODELO!$B$23=0,0,100*L195/PARAMS_MODELO!$B$23))*PARAMS_MODELO!$B$10</f>
        <v>15</v>
      </c>
      <c r="N195" s="5">
        <f>IFERROR(VLOOKUP(A195,COMPLIANCE!$A$2:$F$1996,6,0),100)</f>
        <v>99.8</v>
      </c>
      <c r="O195" s="5">
        <f>N195*PARAMS_MODELO!$B$11</f>
        <v>9.98</v>
      </c>
      <c r="P195" s="5">
        <f>IFERROR(VLOOKUP(A195,DIGITAL!$A$2:$J$2000,7,0),100)</f>
        <v>40</v>
      </c>
      <c r="Q195" s="5">
        <f>IFERROR(P195,0)*PARAMS_MODELO!$B$12</f>
        <v>4</v>
      </c>
      <c r="R195">
        <f t="shared" si="75"/>
        <v>28.98</v>
      </c>
      <c r="S195" s="5" t="str">
        <f>IFERROR(VLOOKUP(A195,CLIENTE!$A$2:$N$2000,13,0),1)</f>
        <v>Regular</v>
      </c>
      <c r="T195" s="5">
        <f>IFERROR(VLOOKUP(A195,CLIENTE!$A$2:$N$2000,14,0),1)</f>
        <v>1</v>
      </c>
      <c r="U195" s="5">
        <f t="shared" si="76"/>
        <v>28.98</v>
      </c>
      <c r="V195" s="5" t="str">
        <f>IF(U195&gt;=MAX(_xlfn.PERCENTILE.INC($U$2:$U$1194,PARAMS_MODELO!$B$50),PARAMS_MODELO!$B$45),"DIAMANTE",IF(U195&gt;=MAX(_xlfn.PERCENTILE.INC($U$2:$U$1194,PARAMS_MODELO!$B$51),PARAMS_MODELO!$B$46),"PLATINO",IF(U195&gt;=MAX(_xlfn.PERCENTILE.INC($U$2:$U$1194,PARAMS_MODELO!$B$52),PARAMS_MODELO!$B$47),"ORO",IF(U195&gt;=MAX(_xlfn.PERCENTILE.INC($U$2:$U$1194,PARAMS_MODELO!$B$53),PARAMS_MODELO!$B$48),"PLATA",IF(U195&gt;=1,"BRONCE","CERRADO")))))</f>
        <v>PLATA</v>
      </c>
      <c r="W195" s="5" t="str" cm="1">
        <f t="array" ref="W195">_xlfn.XLOOKUP(1, (HIST_SCORE!$B:$B=PARAMS_MODELO!$B$4) * (HIST_SCORE!$C:$C=A195), HIST_SCORE!$E:$E, "No encontrado")</f>
        <v>PLATA</v>
      </c>
      <c r="X195" s="5" t="str">
        <f>_xlfn.LET(_xlpm.act,MATCH(V195,{"DIAMANTE";"PLATINO";"ORO";"PLATA";"BRONCE";"CERRADO"},0),_xlpm.ant,MATCH(W195,{"DIAMANTE";"PLATINO";"ORO";"PLATA";"BRONCE";"CERRADO"},0),IF(_xlpm.act&lt;_xlpm.ant,"Mejora ↑",IF(_xlpm.act&gt;_xlpm.ant,"Baja ↓","Estable →")))</f>
        <v>Estable →</v>
      </c>
      <c r="Y195" s="5">
        <f>IFERROR(U195-SUMIFS(HIST_SCORE!$D:$D,HIST_SCORE!$B:$B,PARAMS_MODELO!$B$4,HIST_SCORE!$C:$C,$A195),"")</f>
        <v>-13.130533754800528</v>
      </c>
      <c r="Z195" s="5" t="str">
        <f t="shared" si="77"/>
        <v>↓ Baja</v>
      </c>
      <c r="AA195" s="5">
        <f t="shared" si="78"/>
        <v>877</v>
      </c>
      <c r="AB195" s="5">
        <f>IFERROR(SUMIFS(HIST_SCORE!$F:$F,HIST_SCORE!$B:$B,PARAMS_MODELO!$B$4,HIST_SCORE!$C:$C,$A195),"")</f>
        <v>838</v>
      </c>
      <c r="AC195" s="5">
        <f t="shared" si="79"/>
        <v>-39</v>
      </c>
      <c r="AD195" t="str">
        <f t="shared" ref="AD195:AD258" si="81">IF(V195="CERRADO","Agencia sin actividad o cerrada",IF(AND(V195="BRONCE",Y195=""),"Primer corte: cargá histórico para medir movilidad",IF(AND(V195="BRONCE",Y195&lt;0),"Plan de recuperación: foco crecimiento + mix",IF(AND(V195="ORO",Y195&lt;0),"Sostener base y reforzar mix",""))))</f>
        <v/>
      </c>
      <c r="AE1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195="CERRADO",1,IF(V195="BRONCE",_xlpm.cPl,IF(V195="PLATA",_xlpm.cO,IF(V195="ORO",_xlpm.cP,IF(V195="PLATINO",_xlpm.cD,999))))))</f>
        <v>63.199193273331495</v>
      </c>
      <c r="AF1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195="CERRADO",0,IF(V195="BRONCE",1,IF(V195="PLATA",_xlpm.cPl,IF(V195="ORO",_xlpm.cO,IF(V195="PLATINO",_xlpm.cP,_xlpm.cD))))))</f>
        <v>24.506573482968111</v>
      </c>
      <c r="AG195">
        <f t="shared" ref="AG195:AG258" si="82">_xlfn.LET(_xlpm.corteU,AE195,_xlpm.coef,MAX(0.01,T195),_xlpm.reqR,_xlpm.corteU/_xlpm.coef,MAX(0,_xlpm.reqR-R195))</f>
        <v>34.219193273331499</v>
      </c>
      <c r="AH195" t="str">
        <f t="shared" ref="AH195:AH258" si="83">_xlfn.LET(_xlpm.deltaR,AG195,_xlpm.ventas,F195+H195+J195,_xlpm.hv,(MAX($F$2:$F$1194)+MAX($H$2:$H$1194)+MAX($J$2:$J$1194))-_xlpm.ventas,_xlpm.hl,MAX($M$2:$M$1194)-M195,_xlpm.hc,MAX($O$2:$O$1194)-O195,_xlpm.hd,MAX($Q$2:$Q$1194)-Q195,_xlpm.impV,MIN(_xlpm.deltaR,MAX(0,_xlpm.hv)),_xlpm.impL,MIN(_xlpm.deltaR,MAX(0,_xlpm.hl)),_xlpm.impC,MIN(_xlpm.deltaR,MAX(0,_xlpm.hc)),_xlpm.impD,MIN(_xlpm.deltaR,MAX(0,_xlpm.hd)),_xlpm.t,T195,_xlpm.tObj,1,_xlpm.impCli,IF(_xlpm.t&lt;0.95,MIN(_xlpm.deltaR,R195*(_xlpm.tObj/_xlpm.t-1)),0),_xlpm.mx,MAX(_xlpm.impV,_xlpm.impL,_xlpm.impC,_xlpm.impD,_xlpm.impCli),IF(V195="DIAMANTE","SOSTENER",IF(V195="CERRADO","CERRADO",IF(_xlpm.mx=_xlpm.impCli,"CLIENTE",IF(_xlpm.mx=_xlpm.impV,"VENTAS",IF(_xlpm.mx=_xlpm.impL,"LOTO",IF(_xlpm.mx=_xlpm.impC,"COMPLIANCE","DIGITAL")))))))</f>
        <v>VENTAS</v>
      </c>
      <c r="AI195" t="str">
        <f t="shared" si="80"/>
        <v>🎯 Para subir de categoría, eje VENTAS / CRECIMIENTO PERSONAL (F). Acción: metas semanales + activación comercial + seguimiento del asesor. ΔR aprox: 34,2</v>
      </c>
      <c r="AJ195" s="26">
        <f>_xlfn.LET(_xlpm.piso,AF195,_xlpm.corte,AE195,_xlpm.prog,IF(_xlpm.corte&lt;=_xlpm.piso,0,MAX(0,MIN(1,(U195-_xlpm.piso)/(_xlpm.corte-_xlpm.piso)))),_xlpm.orden,{"DIAMANTE";"PLATINO";"ORO";"PLATA";"BRONCE";"CERRADO"},_xlpm.act,IFERROR(MATCH(V195,_xlpm.orden,0),6),_xlpm.ant,IFERROR(MATCH(W195,_xlpm.orden,0),6),_xlpm.ajmov,IF(_xlpm.act&lt;_xlpm.ant,0.08,IF(_xlpm.act&gt;_xlpm.ant,-0.08,0)),_xlpm.ajcli,IF(T195&lt;0.95,-0.06,0),_xlpm.prob,MAX(0,MIN(1,_xlpm.prog+_xlpm.ajmov+_xlpm.ajcli)),IF(OR(V195="DIAMANTE",V195="CERRADO"),0,ROUND(_xlpm.prob,2)))</f>
        <v>0.12</v>
      </c>
      <c r="AK195" t="str">
        <f t="shared" ref="AK195:AK258" si="84">IF(OR(V195="DIAMANTE",V195="CERRADO"),"No aplica","Faltan " &amp; TEXT(AG195,"0,0") &amp; " puntos base para subir a la siguiente categoría")</f>
        <v>Faltan 34,2 puntos base para subir a la siguiente categoría</v>
      </c>
      <c r="AL195" t="str">
        <f t="shared" ref="AL195:AL258" si="85">_xlfn.LET(_xlpm.piso,AF195,_xlpm.dist,U195-_xlpm.piso,IF(OR(V195="BRONCE",V195="CERRADO"),"No aplica",IF(_xlpm.dist&lt;=0,"⚠ Riesgo de descenso","Margen de seguridad: " &amp; TEXT(_xlpm.dist,"0,0") &amp; " puntos")))</f>
        <v>Margen de seguridad: 4,5 puntos</v>
      </c>
      <c r="AM195">
        <f t="shared" ref="AM195:AM258" si="86">_xlfn.LET(_xlpm.prob,AJ195,_xlpm.dist,AG195,_xlpm.coef,T195,_xlpm.prior,(1-_xlpm.prob)*0.4+MIN(1,_xlpm.dist/10)*0.4+IF(_xlpm.coef&lt;0.95,0.2,0),ROUND(_xlpm.prior,2))</f>
        <v>0.75</v>
      </c>
      <c r="AN195" t="str">
        <f t="shared" ref="AN195:AN258" si="87">IF(AM195&gt;=0.7,"PRIORIDAD ALTA – requiere intervención inmediata",IF(AM195&gt;=0.4,"PRIORIDAD MEDIA – seguimiento del asesor","PRIORIDAD BAJA – control normal"))</f>
        <v>PRIORIDAD ALTA – requiere intervención inmediata</v>
      </c>
      <c r="AO195">
        <f t="shared" ref="AO195:AO258" si="88">MAX(0,((MAX($F$2:$F$1194)+MAX($H$2:$H$1194)+MAX($J$2:$J$1194))-(F195+H195+J195))*T195)</f>
        <v>64.862569275295584</v>
      </c>
      <c r="AP195">
        <f t="shared" ref="AP195:AP258" si="89">MAX(0,(MAX($M$2:$M$1194)-M195)*T195)</f>
        <v>0</v>
      </c>
      <c r="AQ195">
        <f t="shared" ref="AQ195:AQ258" si="90">MAX(0,(MAX($O$2:$O$1194)-O195)*T195)</f>
        <v>1.9999999999999574E-2</v>
      </c>
      <c r="AR195">
        <f t="shared" ref="AR195:AR258" si="91">MAX(0,(MAX($Q$2:$Q$1194)-Q195)*T195)</f>
        <v>6</v>
      </c>
      <c r="AS195">
        <f t="shared" ref="AS195:AS258" si="92">MAX(0,R195*(1-T195))</f>
        <v>0</v>
      </c>
      <c r="AT195" t="str">
        <f t="shared" ref="AT195:AT258" si="93">_xlfn.LET(_xlpm.v,AO195,_xlpm.l,AP195,_xlpm.c,AQ195,_xlpm.d,AR195,_xlpm.cli,AS195,_xlpm.mx,MAX(_xlpm.v,_xlpm.l,_xlpm.c,_xlpm.d,_xlpm.cli),IF(_xlpm.mx=_xlpm.cli,"CLIENTE",IF(_xlpm.mx=_xlpm.v,"VENTAS",IF(_xlpm.mx=_xlpm.l,"LOTO",IF(_xlpm.mx=_xlpm.c,"COMPLIANCE","DIGITAL")))))</f>
        <v>VENTAS</v>
      </c>
      <c r="AU195">
        <f t="shared" ref="AU195:AU258" si="94">MAX(AO195,AP195,AQ195,AR195,AS195)</f>
        <v>64.862569275295584</v>
      </c>
      <c r="AV195" t="str">
        <f t="shared" ref="AV195:AV258" si="95">IF(V195="CERRADO","⛔ Sin impacto comercial estimable por estado CERRADO.","Mayor retorno probable: " &amp; AT195 &amp; " (+" &amp; TEXT(AU195,"0,0") &amp; " puntos finales potenciales).")</f>
        <v>Mayor retorno probable: VENTAS (+64,9 puntos finales potenciales).</v>
      </c>
    </row>
    <row r="196" spans="1:48" x14ac:dyDescent="0.3">
      <c r="A196" s="5">
        <v>51033141</v>
      </c>
      <c r="B196" s="5" t="str">
        <f>IFERROR(VLOOKUP(A196,VENTAS!$A$2:$B$1194,2,0),"")</f>
        <v>ARGUELLO</v>
      </c>
      <c r="C196" s="5">
        <f>IFERROR(INDEX(VENTAS!$C$2:$E$1194,MATCH(A196,VENTAS!$A$2:$A$1194,0),MATCH(PARAMS_MODELO!$B$2,{"Q1","Q2","Q3"},0)),0)</f>
        <v>104569328.27</v>
      </c>
      <c r="D196" s="5">
        <f>IFERROR(INDEX(VENTAS!$F$2:$H$1194,MATCH(A196,VENTAS!$A$2:$A$1194,0),MATCH(PARAMS_MODELO!$B$2,{"Q1","Q2","Q3"},0)),0)</f>
        <v>123827021</v>
      </c>
      <c r="E196" s="8">
        <f t="shared" si="72"/>
        <v>0.18416196267682117</v>
      </c>
      <c r="F196" s="12">
        <f>IF(E196&lt;=PARAMS_MODELO!$B$15,0,IF(E196&gt;=PARAMS_MODELO!$B$17,100,100*MIN(1,(E196-PARAMS_MODELO!$B$15)/(PARAMS_MODELO!$B$16-PARAMS_MODELO!$B$15))))*PARAMS_MODELO!$B$7</f>
        <v>35</v>
      </c>
      <c r="G196" s="5">
        <f t="shared" si="73"/>
        <v>19257692.730000004</v>
      </c>
      <c r="H196" s="5">
        <f>(PARAMS_MODELO!$B$20*(MAX(0,MIN(3,E196))/3)+PARAMS_MODELO!$B$21*(IFERROR(LN(1+MAX(0,G196))/LN(1+MAX(0,MAX($G$2:$G$1194))),0)))*100*PARAMS_MODELO!$B$8</f>
        <v>4.5764909703236887</v>
      </c>
      <c r="I196" s="8">
        <f>E196-PARAMS_MODELO!$B$5</f>
        <v>6.5991273012946383E-3</v>
      </c>
      <c r="J196" s="5">
        <f>IF(I196&lt;=PARAMS_MODELO!$B$18,0,IF(I196&gt;=PARAMS_MODELO!$B$19,100,100*(I196-PARAMS_MODELO!$B$18)/(PARAMS_MODELO!$B$19-PARAMS_MODELO!$B$18)))*PARAMS_MODELO!$B$9</f>
        <v>8.4898690951941944</v>
      </c>
      <c r="K196" s="5">
        <f>IFERROR(CHOOSE(MATCH(PARAMS_MODELO!$B$2,{"Q1","Q2","Q3"},0),LOTO!$D196,LOTO!$F196,LOTO!$H196),0)</f>
        <v>6245000</v>
      </c>
      <c r="L196" s="8">
        <f t="shared" si="74"/>
        <v>5.0433257212898631E-2</v>
      </c>
      <c r="M196" s="5">
        <f>MIN(100,IF(PARAMS_MODELO!$B$23=0,0,100*L196/PARAMS_MODELO!$B$23))*PARAMS_MODELO!$B$10</f>
        <v>15</v>
      </c>
      <c r="N196" s="5">
        <f>IFERROR(VLOOKUP(A196,COMPLIANCE!$A$2:$F$1996,6,0),100)</f>
        <v>100</v>
      </c>
      <c r="O196" s="5">
        <f>N196*PARAMS_MODELO!$B$11</f>
        <v>10</v>
      </c>
      <c r="P196" s="5">
        <f>IFERROR(VLOOKUP(A196,DIGITAL!$A$2:$J$2000,7,0),100)</f>
        <v>27</v>
      </c>
      <c r="Q196" s="5">
        <f>IFERROR(P196,0)*PARAMS_MODELO!$B$12</f>
        <v>2.7</v>
      </c>
      <c r="R196">
        <f t="shared" si="75"/>
        <v>75.766360065517887</v>
      </c>
      <c r="S196" s="5" t="str">
        <f>IFERROR(VLOOKUP(A196,CLIENTE!$A$2:$N$2000,13,0),1)</f>
        <v>Malo</v>
      </c>
      <c r="T196" s="5">
        <f>IFERROR(VLOOKUP(A196,CLIENTE!$A$2:$N$2000,14,0),1)</f>
        <v>0.7</v>
      </c>
      <c r="U196" s="5">
        <f t="shared" si="76"/>
        <v>53.036452045862518</v>
      </c>
      <c r="V196" s="5" t="str">
        <f>IF(U196&gt;=MAX(_xlfn.PERCENTILE.INC($U$2:$U$1194,PARAMS_MODELO!$B$50),PARAMS_MODELO!$B$45),"DIAMANTE",IF(U196&gt;=MAX(_xlfn.PERCENTILE.INC($U$2:$U$1194,PARAMS_MODELO!$B$51),PARAMS_MODELO!$B$46),"PLATINO",IF(U196&gt;=MAX(_xlfn.PERCENTILE.INC($U$2:$U$1194,PARAMS_MODELO!$B$52),PARAMS_MODELO!$B$47),"ORO",IF(U196&gt;=MAX(_xlfn.PERCENTILE.INC($U$2:$U$1194,PARAMS_MODELO!$B$53),PARAMS_MODELO!$B$48),"PLATA",IF(U196&gt;=1,"BRONCE","CERRADO")))))</f>
        <v>PLATA</v>
      </c>
      <c r="W196" s="5" t="str" cm="1">
        <f t="array" ref="W196">_xlfn.XLOOKUP(1, (HIST_SCORE!$B:$B=PARAMS_MODELO!$B$4) * (HIST_SCORE!$C:$C=A196), HIST_SCORE!$E:$E, "No encontrado")</f>
        <v>PLATA</v>
      </c>
      <c r="X196" s="5" t="str">
        <f>_xlfn.LET(_xlpm.act,MATCH(V196,{"DIAMANTE";"PLATINO";"ORO";"PLATA";"BRONCE";"CERRADO"},0),_xlpm.ant,MATCH(W196,{"DIAMANTE";"PLATINO";"ORO";"PLATA";"BRONCE";"CERRADO"},0),IF(_xlpm.act&lt;_xlpm.ant,"Mejora ↑",IF(_xlpm.act&gt;_xlpm.ant,"Baja ↓","Estable →")))</f>
        <v>Estable →</v>
      </c>
      <c r="Y196" s="5">
        <f>IFERROR(U196-SUMIFS(HIST_SCORE!$D:$D,HIST_SCORE!$B:$B,PARAMS_MODELO!$B$4,HIST_SCORE!$C:$C,$A196),"")</f>
        <v>20.980791795594634</v>
      </c>
      <c r="Z196" s="5" t="str">
        <f t="shared" si="77"/>
        <v>↑ Mejora</v>
      </c>
      <c r="AA196" s="5">
        <f t="shared" si="78"/>
        <v>724</v>
      </c>
      <c r="AB196" s="5">
        <f>IFERROR(SUMIFS(HIST_SCORE!$F:$F,HIST_SCORE!$B:$B,PARAMS_MODELO!$B$4,HIST_SCORE!$C:$C,$A196),"")</f>
        <v>888</v>
      </c>
      <c r="AC196" s="5">
        <f t="shared" si="79"/>
        <v>164</v>
      </c>
      <c r="AD196" t="str">
        <f t="shared" si="81"/>
        <v/>
      </c>
      <c r="AE1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196="CERRADO",1,IF(V196="BRONCE",_xlpm.cPl,IF(V196="PLATA",_xlpm.cO,IF(V196="ORO",_xlpm.cP,IF(V196="PLATINO",_xlpm.cD,999))))))</f>
        <v>63.199193273331495</v>
      </c>
      <c r="AF1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196="CERRADO",0,IF(V196="BRONCE",1,IF(V196="PLATA",_xlpm.cPl,IF(V196="ORO",_xlpm.cO,IF(V196="PLATINO",_xlpm.cP,_xlpm.cD))))))</f>
        <v>24.506573482968111</v>
      </c>
      <c r="AG196">
        <f t="shared" si="82"/>
        <v>14.518201753527109</v>
      </c>
      <c r="AH196" t="str">
        <f t="shared" si="83"/>
        <v>CLIENTE</v>
      </c>
      <c r="AI196" t="str">
        <f t="shared" si="80"/>
        <v>🎯 Para subir de categoría, la eje con mayor impacto probable es CLIENTE (coef T). Acción: reducir quejas, mejorar incógnito y empujar reseñas. ΔR aprox: 14,5</v>
      </c>
      <c r="AJ196" s="26">
        <f>_xlfn.LET(_xlpm.piso,AF196,_xlpm.corte,AE196,_xlpm.prog,IF(_xlpm.corte&lt;=_xlpm.piso,0,MAX(0,MIN(1,(U196-_xlpm.piso)/(_xlpm.corte-_xlpm.piso)))),_xlpm.orden,{"DIAMANTE";"PLATINO";"ORO";"PLATA";"BRONCE";"CERRADO"},_xlpm.act,IFERROR(MATCH(V196,_xlpm.orden,0),6),_xlpm.ant,IFERROR(MATCH(W196,_xlpm.orden,0),6),_xlpm.ajmov,IF(_xlpm.act&lt;_xlpm.ant,0.08,IF(_xlpm.act&gt;_xlpm.ant,-0.08,0)),_xlpm.ajcli,IF(T196&lt;0.95,-0.06,0),_xlpm.prob,MAX(0,MIN(1,_xlpm.prog+_xlpm.ajmov+_xlpm.ajcli)),IF(OR(V196="DIAMANTE",V196="CERRADO"),0,ROUND(_xlpm.prob,2)))</f>
        <v>0.68</v>
      </c>
      <c r="AK196" t="str">
        <f t="shared" si="84"/>
        <v>Faltan 14,5 puntos base para subir a la siguiente categoría</v>
      </c>
      <c r="AL196" t="str">
        <f t="shared" si="85"/>
        <v>Margen de seguridad: 28,5 puntos</v>
      </c>
      <c r="AM196">
        <f t="shared" si="86"/>
        <v>0.73</v>
      </c>
      <c r="AN196" t="str">
        <f t="shared" si="87"/>
        <v>PRIORIDAD ALTA – requiere intervención inmediata</v>
      </c>
      <c r="AO196">
        <f t="shared" si="88"/>
        <v>11.757346446844389</v>
      </c>
      <c r="AP196">
        <f t="shared" si="89"/>
        <v>0</v>
      </c>
      <c r="AQ196">
        <f t="shared" si="90"/>
        <v>0</v>
      </c>
      <c r="AR196">
        <f t="shared" si="91"/>
        <v>5.1099999999999994</v>
      </c>
      <c r="AS196">
        <f t="shared" si="92"/>
        <v>22.729908019655369</v>
      </c>
      <c r="AT196" t="str">
        <f t="shared" si="93"/>
        <v>CLIENTE</v>
      </c>
      <c r="AU196">
        <f t="shared" si="94"/>
        <v>22.729908019655369</v>
      </c>
      <c r="AV196" t="str">
        <f t="shared" si="95"/>
        <v>Mayor retorno probable: CLIENTE (+22,7 puntos finales potenciales).</v>
      </c>
    </row>
    <row r="197" spans="1:48" x14ac:dyDescent="0.3">
      <c r="A197" s="5">
        <v>51056612</v>
      </c>
      <c r="B197" s="5" t="str">
        <f>IFERROR(VLOOKUP(A197,VENTAS!$A$2:$B$1194,2,0),"")</f>
        <v>AYALA</v>
      </c>
      <c r="C197" s="5">
        <f>IFERROR(INDEX(VENTAS!$C$2:$E$1194,MATCH(A197,VENTAS!$A$2:$A$1194,0),MATCH(PARAMS_MODELO!$B$2,{"Q1","Q2","Q3"},0)),0)</f>
        <v>99846960.620000005</v>
      </c>
      <c r="D197" s="5">
        <f>IFERROR(INDEX(VENTAS!$F$2:$H$1194,MATCH(A197,VENTAS!$A$2:$A$1194,0),MATCH(PARAMS_MODELO!$B$2,{"Q1","Q2","Q3"},0)),0)</f>
        <v>122862449</v>
      </c>
      <c r="E197" s="8">
        <f t="shared" si="72"/>
        <v>0.23050765128037209</v>
      </c>
      <c r="F197" s="12">
        <f>IF(E197&lt;=PARAMS_MODELO!$B$15,0,IF(E197&gt;=PARAMS_MODELO!$B$17,100,100*MIN(1,(E197-PARAMS_MODELO!$B$15)/(PARAMS_MODELO!$B$16-PARAMS_MODELO!$B$15))))*PARAMS_MODELO!$B$7</f>
        <v>35</v>
      </c>
      <c r="G197" s="5">
        <f t="shared" si="73"/>
        <v>23015488.379999995</v>
      </c>
      <c r="H197" s="5">
        <f>(PARAMS_MODELO!$B$20*(MAX(0,MIN(3,E197))/3)+PARAMS_MODELO!$B$21*(IFERROR(LN(1+MAX(0,G197))/LN(1+MAX(0,MAX($G$2:$G$1194))),0)))*100*PARAMS_MODELO!$B$8</f>
        <v>4.7804867595213008</v>
      </c>
      <c r="I197" s="8">
        <f>E197-PARAMS_MODELO!$B$5</f>
        <v>5.2944815904845566E-2</v>
      </c>
      <c r="J197" s="5">
        <f>IF(I197&lt;=PARAMS_MODELO!$B$18,0,IF(I197&gt;=PARAMS_MODELO!$B$19,100,100*(I197-PARAMS_MODELO!$B$18)/(PARAMS_MODELO!$B$19-PARAMS_MODELO!$B$18)))*PARAMS_MODELO!$B$9</f>
        <v>15</v>
      </c>
      <c r="K197" s="5">
        <f>IFERROR(CHOOSE(MATCH(PARAMS_MODELO!$B$2,{"Q1","Q2","Q3"},0),LOTO!$D197,LOTO!$F197,LOTO!$H197),0)</f>
        <v>6240000</v>
      </c>
      <c r="L197" s="8">
        <f t="shared" si="74"/>
        <v>5.078850414254725E-2</v>
      </c>
      <c r="M197" s="5">
        <f>MIN(100,IF(PARAMS_MODELO!$B$23=0,0,100*L197/PARAMS_MODELO!$B$23))*PARAMS_MODELO!$B$10</f>
        <v>15</v>
      </c>
      <c r="N197" s="5">
        <f>IFERROR(VLOOKUP(A197,COMPLIANCE!$A$2:$F$1996,6,0),100)</f>
        <v>100</v>
      </c>
      <c r="O197" s="5">
        <f>N197*PARAMS_MODELO!$B$11</f>
        <v>10</v>
      </c>
      <c r="P197" s="5">
        <f>IFERROR(VLOOKUP(A197,DIGITAL!$A$2:$J$2000,7,0),100)</f>
        <v>91</v>
      </c>
      <c r="Q197" s="5">
        <f>IFERROR(P197,0)*PARAMS_MODELO!$B$12</f>
        <v>9.1</v>
      </c>
      <c r="R197">
        <f t="shared" si="75"/>
        <v>88.88048675952129</v>
      </c>
      <c r="S197" s="5" t="str">
        <f>IFERROR(VLOOKUP(A197,CLIENTE!$A$2:$N$2000,13,0),1)</f>
        <v>Regular</v>
      </c>
      <c r="T197" s="5">
        <f>IFERROR(VLOOKUP(A197,CLIENTE!$A$2:$N$2000,14,0),1)</f>
        <v>1</v>
      </c>
      <c r="U197" s="5">
        <f t="shared" si="76"/>
        <v>88.88048675952129</v>
      </c>
      <c r="V197" s="5" t="str">
        <f>IF(U197&gt;=MAX(_xlfn.PERCENTILE.INC($U$2:$U$1194,PARAMS_MODELO!$B$50),PARAMS_MODELO!$B$45),"DIAMANTE",IF(U197&gt;=MAX(_xlfn.PERCENTILE.INC($U$2:$U$1194,PARAMS_MODELO!$B$51),PARAMS_MODELO!$B$46),"PLATINO",IF(U197&gt;=MAX(_xlfn.PERCENTILE.INC($U$2:$U$1194,PARAMS_MODELO!$B$52),PARAMS_MODELO!$B$47),"ORO",IF(U197&gt;=MAX(_xlfn.PERCENTILE.INC($U$2:$U$1194,PARAMS_MODELO!$B$53),PARAMS_MODELO!$B$48),"PLATA",IF(U197&gt;=1,"BRONCE","CERRADO")))))</f>
        <v>PLATINO</v>
      </c>
      <c r="W197" s="5" t="str" cm="1">
        <f t="array" ref="W197">_xlfn.XLOOKUP(1, (HIST_SCORE!$B:$B=PARAMS_MODELO!$B$4) * (HIST_SCORE!$C:$C=A197), HIST_SCORE!$E:$E, "No encontrado")</f>
        <v>PLATA</v>
      </c>
      <c r="X197" s="5" t="str">
        <f>_xlfn.LET(_xlpm.act,MATCH(V197,{"DIAMANTE";"PLATINO";"ORO";"PLATA";"BRONCE";"CERRADO"},0),_xlpm.ant,MATCH(W197,{"DIAMANTE";"PLATINO";"ORO";"PLATA";"BRONCE";"CERRADO"},0),IF(_xlpm.act&lt;_xlpm.ant,"Mejora ↑",IF(_xlpm.act&gt;_xlpm.ant,"Baja ↓","Estable →")))</f>
        <v>Mejora ↑</v>
      </c>
      <c r="Y197" s="5">
        <f>IFERROR(U197-SUMIFS(HIST_SCORE!$D:$D,HIST_SCORE!$B:$B,PARAMS_MODELO!$B$4,HIST_SCORE!$C:$C,$A197),"")</f>
        <v>36.517365089111742</v>
      </c>
      <c r="Z197" s="5" t="str">
        <f t="shared" si="77"/>
        <v>↑ Mejora</v>
      </c>
      <c r="AA197" s="5">
        <f t="shared" si="78"/>
        <v>170</v>
      </c>
      <c r="AB197" s="5">
        <f>IFERROR(SUMIFS(HIST_SCORE!$F:$F,HIST_SCORE!$B:$B,PARAMS_MODELO!$B$4,HIST_SCORE!$C:$C,$A197),"")</f>
        <v>755</v>
      </c>
      <c r="AC197" s="5">
        <f t="shared" si="79"/>
        <v>585</v>
      </c>
      <c r="AD197" t="str">
        <f t="shared" si="81"/>
        <v/>
      </c>
      <c r="AE1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197="CERRADO",1,IF(V197="BRONCE",_xlpm.cPl,IF(V197="PLATA",_xlpm.cO,IF(V197="ORO",_xlpm.cP,IF(V197="PLATINO",_xlpm.cD,999))))))</f>
        <v>96.054919694466676</v>
      </c>
      <c r="AF1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197="CERRADO",0,IF(V197="BRONCE",1,IF(V197="PLATA",_xlpm.cPl,IF(V197="ORO",_xlpm.cO,IF(V197="PLATINO",_xlpm.cP,_xlpm.cD))))))</f>
        <v>86.439123873763251</v>
      </c>
      <c r="AG197">
        <f t="shared" si="82"/>
        <v>7.1744329349453864</v>
      </c>
      <c r="AH197" t="str">
        <f t="shared" si="83"/>
        <v>VENTAS</v>
      </c>
      <c r="AI197" t="str">
        <f t="shared" si="80"/>
        <v>🎯 Para subir de categoría, eje VENTAS / IMPACTO ABSOLUTO (H). Acción: metas semanales + activación comercial + seguimiento del asesor. ΔR aprox: 7,2</v>
      </c>
      <c r="AJ197" s="26">
        <f>_xlfn.LET(_xlpm.piso,AF197,_xlpm.corte,AE197,_xlpm.prog,IF(_xlpm.corte&lt;=_xlpm.piso,0,MAX(0,MIN(1,(U197-_xlpm.piso)/(_xlpm.corte-_xlpm.piso)))),_xlpm.orden,{"DIAMANTE";"PLATINO";"ORO";"PLATA";"BRONCE";"CERRADO"},_xlpm.act,IFERROR(MATCH(V197,_xlpm.orden,0),6),_xlpm.ant,IFERROR(MATCH(W197,_xlpm.orden,0),6),_xlpm.ajmov,IF(_xlpm.act&lt;_xlpm.ant,0.08,IF(_xlpm.act&gt;_xlpm.ant,-0.08,0)),_xlpm.ajcli,IF(T197&lt;0.95,-0.06,0),_xlpm.prob,MAX(0,MIN(1,_xlpm.prog+_xlpm.ajmov+_xlpm.ajcli)),IF(OR(V197="DIAMANTE",V197="CERRADO"),0,ROUND(_xlpm.prob,2)))</f>
        <v>0.33</v>
      </c>
      <c r="AK197" t="str">
        <f t="shared" si="84"/>
        <v>Faltan 7,2 puntos base para subir a la siguiente categoría</v>
      </c>
      <c r="AL197" t="str">
        <f t="shared" si="85"/>
        <v>Margen de seguridad: 2,4 puntos</v>
      </c>
      <c r="AM197">
        <f t="shared" si="86"/>
        <v>0.55000000000000004</v>
      </c>
      <c r="AN197" t="str">
        <f t="shared" si="87"/>
        <v>PRIORIDAD MEDIA – seguimiento del asesor</v>
      </c>
      <c r="AO197">
        <f t="shared" si="88"/>
        <v>10.082082515774282</v>
      </c>
      <c r="AP197">
        <f t="shared" si="89"/>
        <v>0</v>
      </c>
      <c r="AQ197">
        <f t="shared" si="90"/>
        <v>0</v>
      </c>
      <c r="AR197">
        <f t="shared" si="91"/>
        <v>0.90000000000000036</v>
      </c>
      <c r="AS197">
        <f t="shared" si="92"/>
        <v>0</v>
      </c>
      <c r="AT197" t="str">
        <f t="shared" si="93"/>
        <v>VENTAS</v>
      </c>
      <c r="AU197">
        <f t="shared" si="94"/>
        <v>10.082082515774282</v>
      </c>
      <c r="AV197" t="str">
        <f t="shared" si="95"/>
        <v>Mayor retorno probable: VENTAS (+10,1 puntos finales potenciales).</v>
      </c>
    </row>
    <row r="198" spans="1:48" x14ac:dyDescent="0.3">
      <c r="A198" s="5">
        <v>51032071</v>
      </c>
      <c r="B198" s="5" t="str">
        <f>IFERROR(VLOOKUP(A198,VENTAS!$A$2:$B$1194,2,0),"")</f>
        <v>PUGH</v>
      </c>
      <c r="C198" s="5">
        <f>IFERROR(INDEX(VENTAS!$C$2:$E$1194,MATCH(A198,VENTAS!$A$2:$A$1194,0),MATCH(PARAMS_MODELO!$B$2,{"Q1","Q2","Q3"},0)),0)</f>
        <v>71974478.620000005</v>
      </c>
      <c r="D198" s="5">
        <f>IFERROR(INDEX(VENTAS!$F$2:$H$1194,MATCH(A198,VENTAS!$A$2:$A$1194,0),MATCH(PARAMS_MODELO!$B$2,{"Q1","Q2","Q3"},0)),0)</f>
        <v>122391079</v>
      </c>
      <c r="E198" s="8">
        <f t="shared" si="72"/>
        <v>0.70047885509781826</v>
      </c>
      <c r="F198" s="12">
        <f>IF(E198&lt;=PARAMS_MODELO!$B$15,0,IF(E198&gt;=PARAMS_MODELO!$B$17,100,100*MIN(1,(E198-PARAMS_MODELO!$B$15)/(PARAMS_MODELO!$B$16-PARAMS_MODELO!$B$15))))*PARAMS_MODELO!$B$7</f>
        <v>35</v>
      </c>
      <c r="G198" s="5">
        <f t="shared" si="73"/>
        <v>50416600.379999995</v>
      </c>
      <c r="H198" s="5">
        <f>(PARAMS_MODELO!$B$20*(MAX(0,MIN(3,E198))/3)+PARAMS_MODELO!$B$21*(IFERROR(LN(1+MAX(0,G198))/LN(1+MAX(0,MAX($G$2:$G$1194))),0)))*100*PARAMS_MODELO!$B$8</f>
        <v>6.6092024004518226</v>
      </c>
      <c r="I198" s="8">
        <f>E198-PARAMS_MODELO!$B$5</f>
        <v>0.52291601972229174</v>
      </c>
      <c r="J198" s="5">
        <f>IF(I198&lt;=PARAMS_MODELO!$B$18,0,IF(I198&gt;=PARAMS_MODELO!$B$19,100,100*(I198-PARAMS_MODELO!$B$18)/(PARAMS_MODELO!$B$19-PARAMS_MODELO!$B$18)))*PARAMS_MODELO!$B$9</f>
        <v>15</v>
      </c>
      <c r="K198" s="5">
        <f>IFERROR(CHOOSE(MATCH(PARAMS_MODELO!$B$2,{"Q1","Q2","Q3"},0),LOTO!$D198,LOTO!$F198,LOTO!$H198),0)</f>
        <v>6235000</v>
      </c>
      <c r="L198" s="8">
        <f t="shared" si="74"/>
        <v>5.0943255431223057E-2</v>
      </c>
      <c r="M198" s="5">
        <f>MIN(100,IF(PARAMS_MODELO!$B$23=0,0,100*L198/PARAMS_MODELO!$B$23))*PARAMS_MODELO!$B$10</f>
        <v>15</v>
      </c>
      <c r="N198" s="5">
        <f>IFERROR(VLOOKUP(A198,COMPLIANCE!$A$2:$F$1996,6,0),100)</f>
        <v>100</v>
      </c>
      <c r="O198" s="5">
        <f>N198*PARAMS_MODELO!$B$11</f>
        <v>10</v>
      </c>
      <c r="P198" s="5">
        <f>IFERROR(VLOOKUP(A198,DIGITAL!$A$2:$J$2000,7,0),100)</f>
        <v>88</v>
      </c>
      <c r="Q198" s="5">
        <f>IFERROR(P198,0)*PARAMS_MODELO!$B$12</f>
        <v>8.8000000000000007</v>
      </c>
      <c r="R198">
        <f t="shared" si="75"/>
        <v>90.409202400451818</v>
      </c>
      <c r="S198" s="5" t="str">
        <f>IFERROR(VLOOKUP(A198,CLIENTE!$A$2:$N$2000,13,0),1)</f>
        <v>Regular</v>
      </c>
      <c r="T198" s="5">
        <f>IFERROR(VLOOKUP(A198,CLIENTE!$A$2:$N$2000,14,0),1)</f>
        <v>1</v>
      </c>
      <c r="U198" s="5">
        <f t="shared" si="76"/>
        <v>90.409202400451818</v>
      </c>
      <c r="V198" s="5" t="str">
        <f>IF(U198&gt;=MAX(_xlfn.PERCENTILE.INC($U$2:$U$1194,PARAMS_MODELO!$B$50),PARAMS_MODELO!$B$45),"DIAMANTE",IF(U198&gt;=MAX(_xlfn.PERCENTILE.INC($U$2:$U$1194,PARAMS_MODELO!$B$51),PARAMS_MODELO!$B$46),"PLATINO",IF(U198&gt;=MAX(_xlfn.PERCENTILE.INC($U$2:$U$1194,PARAMS_MODELO!$B$52),PARAMS_MODELO!$B$47),"ORO",IF(U198&gt;=MAX(_xlfn.PERCENTILE.INC($U$2:$U$1194,PARAMS_MODELO!$B$53),PARAMS_MODELO!$B$48),"PLATA",IF(U198&gt;=1,"BRONCE","CERRADO")))))</f>
        <v>PLATINO</v>
      </c>
      <c r="W198" s="5" t="str" cm="1">
        <f t="array" ref="W198">_xlfn.XLOOKUP(1, (HIST_SCORE!$B:$B=PARAMS_MODELO!$B$4) * (HIST_SCORE!$C:$C=A198), HIST_SCORE!$E:$E, "No encontrado")</f>
        <v>PLATINO</v>
      </c>
      <c r="X198" s="5" t="str">
        <f>_xlfn.LET(_xlpm.act,MATCH(V198,{"DIAMANTE";"PLATINO";"ORO";"PLATA";"BRONCE";"CERRADO"},0),_xlpm.ant,MATCH(W198,{"DIAMANTE";"PLATINO";"ORO";"PLATA";"BRONCE";"CERRADO"},0),IF(_xlpm.act&lt;_xlpm.ant,"Mejora ↑",IF(_xlpm.act&gt;_xlpm.ant,"Baja ↓","Estable →")))</f>
        <v>Estable →</v>
      </c>
      <c r="Y198" s="5">
        <f>IFERROR(U198-SUMIFS(HIST_SCORE!$D:$D,HIST_SCORE!$B:$B,PARAMS_MODELO!$B$4,HIST_SCORE!$C:$C,$A198),"")</f>
        <v>0.95922618896339884</v>
      </c>
      <c r="Z198" s="5" t="str">
        <f t="shared" si="77"/>
        <v>→ Estable</v>
      </c>
      <c r="AA198" s="5">
        <f t="shared" si="78"/>
        <v>127</v>
      </c>
      <c r="AB198" s="5">
        <f>IFERROR(SUMIFS(HIST_SCORE!$F:$F,HIST_SCORE!$B:$B,PARAMS_MODELO!$B$4,HIST_SCORE!$C:$C,$A198),"")</f>
        <v>143</v>
      </c>
      <c r="AC198" s="5">
        <f t="shared" si="79"/>
        <v>16</v>
      </c>
      <c r="AD198" t="str">
        <f t="shared" si="81"/>
        <v/>
      </c>
      <c r="AE1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198="CERRADO",1,IF(V198="BRONCE",_xlpm.cPl,IF(V198="PLATA",_xlpm.cO,IF(V198="ORO",_xlpm.cP,IF(V198="PLATINO",_xlpm.cD,999))))))</f>
        <v>96.054919694466676</v>
      </c>
      <c r="AF1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198="CERRADO",0,IF(V198="BRONCE",1,IF(V198="PLATA",_xlpm.cPl,IF(V198="ORO",_xlpm.cO,IF(V198="PLATINO",_xlpm.cP,_xlpm.cD))))))</f>
        <v>86.439123873763251</v>
      </c>
      <c r="AG198">
        <f t="shared" si="82"/>
        <v>5.6457172940148581</v>
      </c>
      <c r="AH198" t="str">
        <f t="shared" si="83"/>
        <v>VENTAS</v>
      </c>
      <c r="AI198" t="str">
        <f t="shared" si="80"/>
        <v>🎯 Para subir de categoría, eje VENTAS / IMPACTO ABSOLUTO (H). Acción: metas semanales + activación comercial + seguimiento del asesor. ΔR aprox: 5,6</v>
      </c>
      <c r="AJ198" s="26">
        <f>_xlfn.LET(_xlpm.piso,AF198,_xlpm.corte,AE198,_xlpm.prog,IF(_xlpm.corte&lt;=_xlpm.piso,0,MAX(0,MIN(1,(U198-_xlpm.piso)/(_xlpm.corte-_xlpm.piso)))),_xlpm.orden,{"DIAMANTE";"PLATINO";"ORO";"PLATA";"BRONCE";"CERRADO"},_xlpm.act,IFERROR(MATCH(V198,_xlpm.orden,0),6),_xlpm.ant,IFERROR(MATCH(W198,_xlpm.orden,0),6),_xlpm.ajmov,IF(_xlpm.act&lt;_xlpm.ant,0.08,IF(_xlpm.act&gt;_xlpm.ant,-0.08,0)),_xlpm.ajcli,IF(T198&lt;0.95,-0.06,0),_xlpm.prob,MAX(0,MIN(1,_xlpm.prog+_xlpm.ajmov+_xlpm.ajcli)),IF(OR(V198="DIAMANTE",V198="CERRADO"),0,ROUND(_xlpm.prob,2)))</f>
        <v>0.41</v>
      </c>
      <c r="AK198" t="str">
        <f t="shared" si="84"/>
        <v>Faltan 5,6 puntos base para subir a la siguiente categoría</v>
      </c>
      <c r="AL198" t="str">
        <f t="shared" si="85"/>
        <v>Margen de seguridad: 4,0 puntos</v>
      </c>
      <c r="AM198">
        <f t="shared" si="86"/>
        <v>0.46</v>
      </c>
      <c r="AN198" t="str">
        <f t="shared" si="87"/>
        <v>PRIORIDAD MEDIA – seguimiento del asesor</v>
      </c>
      <c r="AO198">
        <f t="shared" si="88"/>
        <v>8.2533668748437634</v>
      </c>
      <c r="AP198">
        <f t="shared" si="89"/>
        <v>0</v>
      </c>
      <c r="AQ198">
        <f t="shared" si="90"/>
        <v>0</v>
      </c>
      <c r="AR198">
        <f t="shared" si="91"/>
        <v>1.1999999999999993</v>
      </c>
      <c r="AS198">
        <f t="shared" si="92"/>
        <v>0</v>
      </c>
      <c r="AT198" t="str">
        <f t="shared" si="93"/>
        <v>VENTAS</v>
      </c>
      <c r="AU198">
        <f t="shared" si="94"/>
        <v>8.2533668748437634</v>
      </c>
      <c r="AV198" t="str">
        <f t="shared" si="95"/>
        <v>Mayor retorno probable: VENTAS (+8,3 puntos finales potenciales).</v>
      </c>
    </row>
    <row r="199" spans="1:48" x14ac:dyDescent="0.3">
      <c r="A199" s="5">
        <v>51031121</v>
      </c>
      <c r="B199" s="5" t="str">
        <f>IFERROR(VLOOKUP(A199,VENTAS!$A$2:$B$1194,2,0),"")</f>
        <v>PRADES</v>
      </c>
      <c r="C199" s="5">
        <f>IFERROR(INDEX(VENTAS!$C$2:$E$1194,MATCH(A199,VENTAS!$A$2:$A$1194,0),MATCH(PARAMS_MODELO!$B$2,{"Q1","Q2","Q3"},0)),0)</f>
        <v>99461510.459999993</v>
      </c>
      <c r="D199" s="5">
        <f>IFERROR(INDEX(VENTAS!$F$2:$H$1194,MATCH(A199,VENTAS!$A$2:$A$1194,0),MATCH(PARAMS_MODELO!$B$2,{"Q1","Q2","Q3"},0)),0)</f>
        <v>122380976</v>
      </c>
      <c r="E199" s="8">
        <f t="shared" si="72"/>
        <v>0.23043552660722399</v>
      </c>
      <c r="F199" s="12">
        <f>IF(E199&lt;=PARAMS_MODELO!$B$15,0,IF(E199&gt;=PARAMS_MODELO!$B$17,100,100*MIN(1,(E199-PARAMS_MODELO!$B$15)/(PARAMS_MODELO!$B$16-PARAMS_MODELO!$B$15))))*PARAMS_MODELO!$B$7</f>
        <v>35</v>
      </c>
      <c r="G199" s="5">
        <f t="shared" si="73"/>
        <v>22919465.540000007</v>
      </c>
      <c r="H199" s="5">
        <f>(PARAMS_MODELO!$B$20*(MAX(0,MIN(3,E199))/3)+PARAMS_MODELO!$B$21*(IFERROR(LN(1+MAX(0,G199))/LN(1+MAX(0,MAX($G$2:$G$1194))),0)))*100*PARAMS_MODELO!$B$8</f>
        <v>4.7792542796852127</v>
      </c>
      <c r="I199" s="8">
        <f>E199-PARAMS_MODELO!$B$5</f>
        <v>5.2872691231697466E-2</v>
      </c>
      <c r="J199" s="5">
        <f>IF(I199&lt;=PARAMS_MODELO!$B$18,0,IF(I199&gt;=PARAMS_MODELO!$B$19,100,100*(I199-PARAMS_MODELO!$B$18)/(PARAMS_MODELO!$B$19-PARAMS_MODELO!$B$18)))*PARAMS_MODELO!$B$9</f>
        <v>15</v>
      </c>
      <c r="K199" s="5">
        <f>IFERROR(CHOOSE(MATCH(PARAMS_MODELO!$B$2,{"Q1","Q2","Q3"},0),LOTO!$D199,LOTO!$F199,LOTO!$H199),0)</f>
        <v>6227500</v>
      </c>
      <c r="L199" s="8">
        <f t="shared" si="74"/>
        <v>5.0886176949593867E-2</v>
      </c>
      <c r="M199" s="5">
        <f>MIN(100,IF(PARAMS_MODELO!$B$23=0,0,100*L199/PARAMS_MODELO!$B$23))*PARAMS_MODELO!$B$10</f>
        <v>15</v>
      </c>
      <c r="N199" s="5">
        <f>IFERROR(VLOOKUP(A199,COMPLIANCE!$A$2:$F$1996,6,0),100)</f>
        <v>100</v>
      </c>
      <c r="O199" s="5">
        <f>N199*PARAMS_MODELO!$B$11</f>
        <v>10</v>
      </c>
      <c r="P199" s="5">
        <f>IFERROR(VLOOKUP(A199,DIGITAL!$A$2:$J$2000,7,0),100)</f>
        <v>53</v>
      </c>
      <c r="Q199" s="5">
        <f>IFERROR(P199,0)*PARAMS_MODELO!$B$12</f>
        <v>5.3000000000000007</v>
      </c>
      <c r="R199">
        <f t="shared" si="75"/>
        <v>85.079254279685202</v>
      </c>
      <c r="S199" s="5" t="str">
        <f>IFERROR(VLOOKUP(A199,CLIENTE!$A$2:$N$2000,13,0),1)</f>
        <v>Bueno</v>
      </c>
      <c r="T199" s="5">
        <f>IFERROR(VLOOKUP(A199,CLIENTE!$A$2:$N$2000,14,0),1)</f>
        <v>1.1000000000000001</v>
      </c>
      <c r="U199" s="5">
        <f t="shared" si="76"/>
        <v>93.587179707653732</v>
      </c>
      <c r="V199" s="5" t="str">
        <f>IF(U199&gt;=MAX(_xlfn.PERCENTILE.INC($U$2:$U$1194,PARAMS_MODELO!$B$50),PARAMS_MODELO!$B$45),"DIAMANTE",IF(U199&gt;=MAX(_xlfn.PERCENTILE.INC($U$2:$U$1194,PARAMS_MODELO!$B$51),PARAMS_MODELO!$B$46),"PLATINO",IF(U199&gt;=MAX(_xlfn.PERCENTILE.INC($U$2:$U$1194,PARAMS_MODELO!$B$52),PARAMS_MODELO!$B$47),"ORO",IF(U199&gt;=MAX(_xlfn.PERCENTILE.INC($U$2:$U$1194,PARAMS_MODELO!$B$53),PARAMS_MODELO!$B$48),"PLATA",IF(U199&gt;=1,"BRONCE","CERRADO")))))</f>
        <v>PLATINO</v>
      </c>
      <c r="W199" s="5" t="str" cm="1">
        <f t="array" ref="W199">_xlfn.XLOOKUP(1, (HIST_SCORE!$B:$B=PARAMS_MODELO!$B$4) * (HIST_SCORE!$C:$C=A199), HIST_SCORE!$E:$E, "No encontrado")</f>
        <v>PLATINO</v>
      </c>
      <c r="X199" s="5" t="str">
        <f>_xlfn.LET(_xlpm.act,MATCH(V199,{"DIAMANTE";"PLATINO";"ORO";"PLATA";"BRONCE";"CERRADO"},0),_xlpm.ant,MATCH(W199,{"DIAMANTE";"PLATINO";"ORO";"PLATA";"BRONCE";"CERRADO"},0),IF(_xlpm.act&lt;_xlpm.ant,"Mejora ↑",IF(_xlpm.act&gt;_xlpm.ant,"Baja ↓","Estable →")))</f>
        <v>Estable →</v>
      </c>
      <c r="Y199" s="5">
        <f>IFERROR(U199-SUMIFS(HIST_SCORE!$D:$D,HIST_SCORE!$B:$B,PARAMS_MODELO!$B$4,HIST_SCORE!$C:$C,$A199),"")</f>
        <v>0.28385470991958073</v>
      </c>
      <c r="Z199" s="5" t="str">
        <f t="shared" si="77"/>
        <v>→ Estable</v>
      </c>
      <c r="AA199" s="5">
        <f t="shared" si="78"/>
        <v>82</v>
      </c>
      <c r="AB199" s="5">
        <f>IFERROR(SUMIFS(HIST_SCORE!$F:$F,HIST_SCORE!$B:$B,PARAMS_MODELO!$B$4,HIST_SCORE!$C:$C,$A199),"")</f>
        <v>84</v>
      </c>
      <c r="AC199" s="5">
        <f t="shared" si="79"/>
        <v>2</v>
      </c>
      <c r="AD199" t="str">
        <f t="shared" si="81"/>
        <v/>
      </c>
      <c r="AE1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199="CERRADO",1,IF(V199="BRONCE",_xlpm.cPl,IF(V199="PLATA",_xlpm.cO,IF(V199="ORO",_xlpm.cP,IF(V199="PLATINO",_xlpm.cD,999))))))</f>
        <v>96.054919694466676</v>
      </c>
      <c r="AF1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199="CERRADO",0,IF(V199="BRONCE",1,IF(V199="PLATA",_xlpm.cPl,IF(V199="ORO",_xlpm.cO,IF(V199="PLATINO",_xlpm.cP,_xlpm.cD))))))</f>
        <v>86.439123873763251</v>
      </c>
      <c r="AG199">
        <f t="shared" si="82"/>
        <v>2.2433999880117739</v>
      </c>
      <c r="AH199" t="str">
        <f t="shared" si="83"/>
        <v>VENTAS</v>
      </c>
      <c r="AI199" t="str">
        <f t="shared" si="80"/>
        <v>🎯 Para subir de categoría, eje VENTAS / IMPACTO ABSOLUTO (H). Acción: metas semanales + activación comercial + seguimiento del asesor. ΔR aprox: 2,2</v>
      </c>
      <c r="AJ199" s="26">
        <f>_xlfn.LET(_xlpm.piso,AF199,_xlpm.corte,AE199,_xlpm.prog,IF(_xlpm.corte&lt;=_xlpm.piso,0,MAX(0,MIN(1,(U199-_xlpm.piso)/(_xlpm.corte-_xlpm.piso)))),_xlpm.orden,{"DIAMANTE";"PLATINO";"ORO";"PLATA";"BRONCE";"CERRADO"},_xlpm.act,IFERROR(MATCH(V199,_xlpm.orden,0),6),_xlpm.ant,IFERROR(MATCH(W199,_xlpm.orden,0),6),_xlpm.ajmov,IF(_xlpm.act&lt;_xlpm.ant,0.08,IF(_xlpm.act&gt;_xlpm.ant,-0.08,0)),_xlpm.ajcli,IF(T199&lt;0.95,-0.06,0),_xlpm.prob,MAX(0,MIN(1,_xlpm.prog+_xlpm.ajmov+_xlpm.ajcli)),IF(OR(V199="DIAMANTE",V199="CERRADO"),0,ROUND(_xlpm.prob,2)))</f>
        <v>0.74</v>
      </c>
      <c r="AK199" t="str">
        <f t="shared" si="84"/>
        <v>Faltan 2,2 puntos base para subir a la siguiente categoría</v>
      </c>
      <c r="AL199" t="str">
        <f t="shared" si="85"/>
        <v>Margen de seguridad: 7,1 puntos</v>
      </c>
      <c r="AM199">
        <f t="shared" si="86"/>
        <v>0.19</v>
      </c>
      <c r="AN199" t="str">
        <f t="shared" si="87"/>
        <v>PRIORIDAD BAJA – control normal</v>
      </c>
      <c r="AO199">
        <f t="shared" si="88"/>
        <v>11.09164649517141</v>
      </c>
      <c r="AP199">
        <f t="shared" si="89"/>
        <v>0</v>
      </c>
      <c r="AQ199">
        <f t="shared" si="90"/>
        <v>0</v>
      </c>
      <c r="AR199">
        <f t="shared" si="91"/>
        <v>5.17</v>
      </c>
      <c r="AS199">
        <f t="shared" si="92"/>
        <v>0</v>
      </c>
      <c r="AT199" t="str">
        <f t="shared" si="93"/>
        <v>VENTAS</v>
      </c>
      <c r="AU199">
        <f t="shared" si="94"/>
        <v>11.09164649517141</v>
      </c>
      <c r="AV199" t="str">
        <f t="shared" si="95"/>
        <v>Mayor retorno probable: VENTAS (+11,1 puntos finales potenciales).</v>
      </c>
    </row>
    <row r="200" spans="1:48" x14ac:dyDescent="0.3">
      <c r="A200" s="5">
        <v>51056981</v>
      </c>
      <c r="B200" s="5" t="str">
        <f>IFERROR(VLOOKUP(A200,VENTAS!$A$2:$B$1194,2,0),"")</f>
        <v>MONTENEGRO</v>
      </c>
      <c r="C200" s="5">
        <f>IFERROR(INDEX(VENTAS!$C$2:$E$1194,MATCH(A200,VENTAS!$A$2:$A$1194,0),MATCH(PARAMS_MODELO!$B$2,{"Q1","Q2","Q3"},0)),0)</f>
        <v>84056432.50999999</v>
      </c>
      <c r="D200" s="5">
        <f>IFERROR(INDEX(VENTAS!$F$2:$H$1194,MATCH(A200,VENTAS!$A$2:$A$1194,0),MATCH(PARAMS_MODELO!$B$2,{"Q1","Q2","Q3"},0)),0)</f>
        <v>122364530</v>
      </c>
      <c r="E200" s="8">
        <f t="shared" si="72"/>
        <v>0.45574260465363658</v>
      </c>
      <c r="F200" s="12">
        <f>IF(E200&lt;=PARAMS_MODELO!$B$15,0,IF(E200&gt;=PARAMS_MODELO!$B$17,100,100*MIN(1,(E200-PARAMS_MODELO!$B$15)/(PARAMS_MODELO!$B$16-PARAMS_MODELO!$B$15))))*PARAMS_MODELO!$B$7</f>
        <v>35</v>
      </c>
      <c r="G200" s="5">
        <f t="shared" si="73"/>
        <v>38308097.49000001</v>
      </c>
      <c r="H200" s="5">
        <f>(PARAMS_MODELO!$B$20*(MAX(0,MIN(3,E200))/3)+PARAMS_MODELO!$B$21*(IFERROR(LN(1+MAX(0,G200))/LN(1+MAX(0,MAX($G$2:$G$1194))),0)))*100*PARAMS_MODELO!$B$8</f>
        <v>5.6882415751782602</v>
      </c>
      <c r="I200" s="8">
        <f>E200-PARAMS_MODELO!$B$5</f>
        <v>0.27817976927811006</v>
      </c>
      <c r="J200" s="5">
        <f>IF(I200&lt;=PARAMS_MODELO!$B$18,0,IF(I200&gt;=PARAMS_MODELO!$B$19,100,100*(I200-PARAMS_MODELO!$B$18)/(PARAMS_MODELO!$B$19-PARAMS_MODELO!$B$18)))*PARAMS_MODELO!$B$9</f>
        <v>15</v>
      </c>
      <c r="K200" s="5">
        <f>IFERROR(CHOOSE(MATCH(PARAMS_MODELO!$B$2,{"Q1","Q2","Q3"},0),LOTO!$D200,LOTO!$F200,LOTO!$H200),0)</f>
        <v>6225000</v>
      </c>
      <c r="L200" s="8">
        <f t="shared" si="74"/>
        <v>5.0872585380747182E-2</v>
      </c>
      <c r="M200" s="5">
        <f>MIN(100,IF(PARAMS_MODELO!$B$23=0,0,100*L200/PARAMS_MODELO!$B$23))*PARAMS_MODELO!$B$10</f>
        <v>15</v>
      </c>
      <c r="N200" s="5">
        <f>IFERROR(VLOOKUP(A200,COMPLIANCE!$A$2:$F$1996,6,0),100)</f>
        <v>100</v>
      </c>
      <c r="O200" s="5">
        <f>N200*PARAMS_MODELO!$B$11</f>
        <v>10</v>
      </c>
      <c r="P200" s="5">
        <f>IFERROR(VLOOKUP(A200,DIGITAL!$A$2:$J$2000,7,0),100)</f>
        <v>95</v>
      </c>
      <c r="Q200" s="5">
        <f>IFERROR(P200,0)*PARAMS_MODELO!$B$12</f>
        <v>9.5</v>
      </c>
      <c r="R200">
        <f t="shared" si="75"/>
        <v>90.188241575178267</v>
      </c>
      <c r="S200" s="5" t="str">
        <f>IFERROR(VLOOKUP(A200,CLIENTE!$A$2:$N$2000,13,0),1)</f>
        <v>Malo</v>
      </c>
      <c r="T200" s="5">
        <f>IFERROR(VLOOKUP(A200,CLIENTE!$A$2:$N$2000,14,0),1)</f>
        <v>0.7</v>
      </c>
      <c r="U200" s="5">
        <f t="shared" si="76"/>
        <v>63.13176910262478</v>
      </c>
      <c r="V200" s="5" t="str">
        <f>IF(U200&gt;=MAX(_xlfn.PERCENTILE.INC($U$2:$U$1194,PARAMS_MODELO!$B$50),PARAMS_MODELO!$B$45),"DIAMANTE",IF(U200&gt;=MAX(_xlfn.PERCENTILE.INC($U$2:$U$1194,PARAMS_MODELO!$B$51),PARAMS_MODELO!$B$46),"PLATINO",IF(U200&gt;=MAX(_xlfn.PERCENTILE.INC($U$2:$U$1194,PARAMS_MODELO!$B$52),PARAMS_MODELO!$B$47),"ORO",IF(U200&gt;=MAX(_xlfn.PERCENTILE.INC($U$2:$U$1194,PARAMS_MODELO!$B$53),PARAMS_MODELO!$B$48),"PLATA",IF(U200&gt;=1,"BRONCE","CERRADO")))))</f>
        <v>PLATA</v>
      </c>
      <c r="W200" s="5" t="str" cm="1">
        <f t="array" ref="W200">_xlfn.XLOOKUP(1, (HIST_SCORE!$B:$B=PARAMS_MODELO!$B$4) * (HIST_SCORE!$C:$C=A200), HIST_SCORE!$E:$E, "No encontrado")</f>
        <v>ORO</v>
      </c>
      <c r="X200" s="5" t="str">
        <f>_xlfn.LET(_xlpm.act,MATCH(V200,{"DIAMANTE";"PLATINO";"ORO";"PLATA";"BRONCE";"CERRADO"},0),_xlpm.ant,MATCH(W200,{"DIAMANTE";"PLATINO";"ORO";"PLATA";"BRONCE";"CERRADO"},0),IF(_xlpm.act&lt;_xlpm.ant,"Mejora ↑",IF(_xlpm.act&gt;_xlpm.ant,"Baja ↓","Estable →")))</f>
        <v>Baja ↓</v>
      </c>
      <c r="Y200" s="5">
        <f>IFERROR(U200-SUMIFS(HIST_SCORE!$D:$D,HIST_SCORE!$B:$B,PARAMS_MODELO!$B$4,HIST_SCORE!$C:$C,$A200),"")</f>
        <v>-4.0251546199165489E-2</v>
      </c>
      <c r="Z200" s="5" t="str">
        <f t="shared" si="77"/>
        <v>→ Estable</v>
      </c>
      <c r="AA200" s="5">
        <f t="shared" si="78"/>
        <v>557</v>
      </c>
      <c r="AB200" s="5">
        <f>IFERROR(SUMIFS(HIST_SCORE!$F:$F,HIST_SCORE!$B:$B,PARAMS_MODELO!$B$4,HIST_SCORE!$C:$C,$A200),"")</f>
        <v>587</v>
      </c>
      <c r="AC200" s="5">
        <f t="shared" si="79"/>
        <v>30</v>
      </c>
      <c r="AD200" t="str">
        <f t="shared" si="81"/>
        <v/>
      </c>
      <c r="AE2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200="CERRADO",1,IF(V200="BRONCE",_xlpm.cPl,IF(V200="PLATA",_xlpm.cO,IF(V200="ORO",_xlpm.cP,IF(V200="PLATINO",_xlpm.cD,999))))))</f>
        <v>63.199193273331495</v>
      </c>
      <c r="AF2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200="CERRADO",0,IF(V200="BRONCE",1,IF(V200="PLATA",_xlpm.cPl,IF(V200="ORO",_xlpm.cO,IF(V200="PLATINO",_xlpm.cP,_xlpm.cD))))))</f>
        <v>24.506573482968111</v>
      </c>
      <c r="AG200">
        <f t="shared" si="82"/>
        <v>9.6320243866728106E-2</v>
      </c>
      <c r="AH200" t="str">
        <f t="shared" si="83"/>
        <v>CLIENTE</v>
      </c>
      <c r="AI200" t="str">
        <f t="shared" si="80"/>
        <v>🎯 Para subir de categoría, la eje con mayor impacto probable es CLIENTE (coef T). Acción: reducir quejas, mejorar incógnito y empujar reseñas. ΔR aprox: 0,1</v>
      </c>
      <c r="AJ200" s="26">
        <f>_xlfn.LET(_xlpm.piso,AF200,_xlpm.corte,AE200,_xlpm.prog,IF(_xlpm.corte&lt;=_xlpm.piso,0,MAX(0,MIN(1,(U200-_xlpm.piso)/(_xlpm.corte-_xlpm.piso)))),_xlpm.orden,{"DIAMANTE";"PLATINO";"ORO";"PLATA";"BRONCE";"CERRADO"},_xlpm.act,IFERROR(MATCH(V200,_xlpm.orden,0),6),_xlpm.ant,IFERROR(MATCH(W200,_xlpm.orden,0),6),_xlpm.ajmov,IF(_xlpm.act&lt;_xlpm.ant,0.08,IF(_xlpm.act&gt;_xlpm.ant,-0.08,0)),_xlpm.ajcli,IF(T200&lt;0.95,-0.06,0),_xlpm.prob,MAX(0,MIN(1,_xlpm.prog+_xlpm.ajmov+_xlpm.ajcli)),IF(OR(V200="DIAMANTE",V200="CERRADO"),0,ROUND(_xlpm.prob,2)))</f>
        <v>0.86</v>
      </c>
      <c r="AK200" t="str">
        <f t="shared" si="84"/>
        <v>Faltan 0,1 puntos base para subir a la siguiente categoría</v>
      </c>
      <c r="AL200" t="str">
        <f t="shared" si="85"/>
        <v>Margen de seguridad: 38,6 puntos</v>
      </c>
      <c r="AM200">
        <f t="shared" si="86"/>
        <v>0.26</v>
      </c>
      <c r="AN200" t="str">
        <f t="shared" si="87"/>
        <v>PRIORIDAD BAJA – control normal</v>
      </c>
      <c r="AO200">
        <f t="shared" si="88"/>
        <v>6.4220293900821268</v>
      </c>
      <c r="AP200">
        <f t="shared" si="89"/>
        <v>0</v>
      </c>
      <c r="AQ200">
        <f t="shared" si="90"/>
        <v>0</v>
      </c>
      <c r="AR200">
        <f t="shared" si="91"/>
        <v>0.35</v>
      </c>
      <c r="AS200">
        <f t="shared" si="92"/>
        <v>27.056472472553484</v>
      </c>
      <c r="AT200" t="str">
        <f t="shared" si="93"/>
        <v>CLIENTE</v>
      </c>
      <c r="AU200">
        <f t="shared" si="94"/>
        <v>27.056472472553484</v>
      </c>
      <c r="AV200" t="str">
        <f t="shared" si="95"/>
        <v>Mayor retorno probable: CLIENTE (+27,1 puntos finales potenciales).</v>
      </c>
    </row>
    <row r="201" spans="1:48" x14ac:dyDescent="0.3">
      <c r="A201" s="5">
        <v>51022424</v>
      </c>
      <c r="B201" s="5" t="str">
        <f>IFERROR(VLOOKUP(A201,VENTAS!$A$2:$B$1194,2,0),"")</f>
        <v>ARGUELLO</v>
      </c>
      <c r="C201" s="5">
        <f>IFERROR(INDEX(VENTAS!$C$2:$E$1194,MATCH(A201,VENTAS!$A$2:$A$1194,0),MATCH(PARAMS_MODELO!$B$2,{"Q1","Q2","Q3"},0)),0)</f>
        <v>1448090.5</v>
      </c>
      <c r="D201" s="5">
        <f>IFERROR(INDEX(VENTAS!$F$2:$H$1194,MATCH(A201,VENTAS!$A$2:$A$1194,0),MATCH(PARAMS_MODELO!$B$2,{"Q1","Q2","Q3"},0)),0)</f>
        <v>122355455</v>
      </c>
      <c r="E201" s="8">
        <f t="shared" si="72"/>
        <v>83.494342722364379</v>
      </c>
      <c r="F201" s="12">
        <f>IF(E201&lt;=PARAMS_MODELO!$B$15,0,IF(E201&gt;=PARAMS_MODELO!$B$17,100,100*MIN(1,(E201-PARAMS_MODELO!$B$15)/(PARAMS_MODELO!$B$16-PARAMS_MODELO!$B$15))))*PARAMS_MODELO!$B$7</f>
        <v>35</v>
      </c>
      <c r="G201" s="5">
        <f t="shared" si="73"/>
        <v>120907364.5</v>
      </c>
      <c r="H201" s="5">
        <f>(PARAMS_MODELO!$B$20*(MAX(0,MIN(3,E201))/3)+PARAMS_MODELO!$B$21*(IFERROR(LN(1+MAX(0,G201))/LN(1+MAX(0,MAX($G$2:$G$1194))),0)))*100*PARAMS_MODELO!$B$8</f>
        <v>14.862569275295581</v>
      </c>
      <c r="I201" s="8">
        <f>E201-PARAMS_MODELO!$B$5</f>
        <v>83.316779886988854</v>
      </c>
      <c r="J201" s="5">
        <f>IF(I201&lt;=PARAMS_MODELO!$B$18,0,IF(I201&gt;=PARAMS_MODELO!$B$19,100,100*(I201-PARAMS_MODELO!$B$18)/(PARAMS_MODELO!$B$19-PARAMS_MODELO!$B$18)))*PARAMS_MODELO!$B$9</f>
        <v>15</v>
      </c>
      <c r="K201" s="5">
        <f>IFERROR(CHOOSE(MATCH(PARAMS_MODELO!$B$2,{"Q1","Q2","Q3"},0),LOTO!$D201,LOTO!$F201,LOTO!$H201),0)</f>
        <v>6210000</v>
      </c>
      <c r="L201" s="8">
        <f t="shared" si="74"/>
        <v>5.0753764922046182E-2</v>
      </c>
      <c r="M201" s="5">
        <f>MIN(100,IF(PARAMS_MODELO!$B$23=0,0,100*L201/PARAMS_MODELO!$B$23))*PARAMS_MODELO!$B$10</f>
        <v>15</v>
      </c>
      <c r="N201" s="5">
        <f>IFERROR(VLOOKUP(A201,COMPLIANCE!$A$2:$F$1996,6,0),100)</f>
        <v>99.98</v>
      </c>
      <c r="O201" s="5">
        <f>N201*PARAMS_MODELO!$B$11</f>
        <v>9.9980000000000011</v>
      </c>
      <c r="P201" s="5">
        <f>IFERROR(VLOOKUP(A201,DIGITAL!$A$2:$J$2000,7,0),100)</f>
        <v>72</v>
      </c>
      <c r="Q201" s="5">
        <f>IFERROR(P201,0)*PARAMS_MODELO!$B$12</f>
        <v>7.2</v>
      </c>
      <c r="R201">
        <f t="shared" si="75"/>
        <v>97.060569275295592</v>
      </c>
      <c r="S201" s="5" t="str">
        <f>IFERROR(VLOOKUP(A201,CLIENTE!$A$2:$N$2000,13,0),1)</f>
        <v>Malo</v>
      </c>
      <c r="T201" s="5">
        <f>IFERROR(VLOOKUP(A201,CLIENTE!$A$2:$N$2000,14,0),1)</f>
        <v>0.7</v>
      </c>
      <c r="U201" s="5">
        <f t="shared" si="76"/>
        <v>67.942398492706914</v>
      </c>
      <c r="V201" s="5" t="str">
        <f>IF(U201&gt;=MAX(_xlfn.PERCENTILE.INC($U$2:$U$1194,PARAMS_MODELO!$B$50),PARAMS_MODELO!$B$45),"DIAMANTE",IF(U201&gt;=MAX(_xlfn.PERCENTILE.INC($U$2:$U$1194,PARAMS_MODELO!$B$51),PARAMS_MODELO!$B$46),"PLATINO",IF(U201&gt;=MAX(_xlfn.PERCENTILE.INC($U$2:$U$1194,PARAMS_MODELO!$B$52),PARAMS_MODELO!$B$47),"ORO",IF(U201&gt;=MAX(_xlfn.PERCENTILE.INC($U$2:$U$1194,PARAMS_MODELO!$B$53),PARAMS_MODELO!$B$48),"PLATA",IF(U201&gt;=1,"BRONCE","CERRADO")))))</f>
        <v>ORO</v>
      </c>
      <c r="W201" s="5" t="str" cm="1">
        <f t="array" ref="W201">_xlfn.XLOOKUP(1, (HIST_SCORE!$B:$B=PARAMS_MODELO!$B$4) * (HIST_SCORE!$C:$C=A201), HIST_SCORE!$E:$E, "No encontrado")</f>
        <v>ORO</v>
      </c>
      <c r="X201" s="5" t="str">
        <f>_xlfn.LET(_xlpm.act,MATCH(V201,{"DIAMANTE";"PLATINO";"ORO";"PLATA";"BRONCE";"CERRADO"},0),_xlpm.ant,MATCH(W201,{"DIAMANTE";"PLATINO";"ORO";"PLATA";"BRONCE";"CERRADO"},0),IF(_xlpm.act&lt;_xlpm.ant,"Mejora ↑",IF(_xlpm.act&gt;_xlpm.ant,"Baja ↓","Estable →")))</f>
        <v>Estable →</v>
      </c>
      <c r="Y201" s="5">
        <f>IFERROR(U201-SUMIFS(HIST_SCORE!$D:$D,HIST_SCORE!$B:$B,PARAMS_MODELO!$B$4,HIST_SCORE!$C:$C,$A201),"")</f>
        <v>0.18009855796968566</v>
      </c>
      <c r="Z201" s="5" t="str">
        <f t="shared" si="77"/>
        <v>→ Estable</v>
      </c>
      <c r="AA201" s="5">
        <f t="shared" si="78"/>
        <v>528</v>
      </c>
      <c r="AB201" s="5">
        <f>IFERROR(SUMIFS(HIST_SCORE!$F:$F,HIST_SCORE!$B:$B,PARAMS_MODELO!$B$4,HIST_SCORE!$C:$C,$A201),"")</f>
        <v>557</v>
      </c>
      <c r="AC201" s="5">
        <f t="shared" si="79"/>
        <v>29</v>
      </c>
      <c r="AD201" t="str">
        <f t="shared" si="81"/>
        <v/>
      </c>
      <c r="AE2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201="CERRADO",1,IF(V201="BRONCE",_xlpm.cPl,IF(V201="PLATA",_xlpm.cO,IF(V201="ORO",_xlpm.cP,IF(V201="PLATINO",_xlpm.cD,999))))))</f>
        <v>86.439123873763251</v>
      </c>
      <c r="AF2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201="CERRADO",0,IF(V201="BRONCE",1,IF(V201="PLATA",_xlpm.cPl,IF(V201="ORO",_xlpm.cO,IF(V201="PLATINO",_xlpm.cP,_xlpm.cD))))))</f>
        <v>63.199193273331495</v>
      </c>
      <c r="AG201">
        <f t="shared" si="82"/>
        <v>26.423893401509062</v>
      </c>
      <c r="AH201" t="str">
        <f t="shared" si="83"/>
        <v>CLIENTE</v>
      </c>
      <c r="AI201" t="str">
        <f t="shared" si="80"/>
        <v>🎯 Para subir de categoría, la eje con mayor impacto probable es CLIENTE (coef T). Acción: reducir quejas, mejorar incógnito y empujar reseñas. ΔR aprox: 26,4</v>
      </c>
      <c r="AJ201" s="26">
        <f>_xlfn.LET(_xlpm.piso,AF201,_xlpm.corte,AE201,_xlpm.prog,IF(_xlpm.corte&lt;=_xlpm.piso,0,MAX(0,MIN(1,(U201-_xlpm.piso)/(_xlpm.corte-_xlpm.piso)))),_xlpm.orden,{"DIAMANTE";"PLATINO";"ORO";"PLATA";"BRONCE";"CERRADO"},_xlpm.act,IFERROR(MATCH(V201,_xlpm.orden,0),6),_xlpm.ant,IFERROR(MATCH(W201,_xlpm.orden,0),6),_xlpm.ajmov,IF(_xlpm.act&lt;_xlpm.ant,0.08,IF(_xlpm.act&gt;_xlpm.ant,-0.08,0)),_xlpm.ajcli,IF(T201&lt;0.95,-0.06,0),_xlpm.prob,MAX(0,MIN(1,_xlpm.prog+_xlpm.ajmov+_xlpm.ajcli)),IF(OR(V201="DIAMANTE",V201="CERRADO"),0,ROUND(_xlpm.prob,2)))</f>
        <v>0.14000000000000001</v>
      </c>
      <c r="AK201" t="str">
        <f t="shared" si="84"/>
        <v>Faltan 26,4 puntos base para subir a la siguiente categoría</v>
      </c>
      <c r="AL201" t="str">
        <f t="shared" si="85"/>
        <v>Margen de seguridad: 4,7 puntos</v>
      </c>
      <c r="AM201">
        <f t="shared" si="86"/>
        <v>0.94</v>
      </c>
      <c r="AN201" t="str">
        <f t="shared" si="87"/>
        <v>PRIORIDAD ALTA – requiere intervención inmediata</v>
      </c>
      <c r="AO201">
        <f t="shared" si="88"/>
        <v>0</v>
      </c>
      <c r="AP201">
        <f t="shared" si="89"/>
        <v>0</v>
      </c>
      <c r="AQ201">
        <f t="shared" si="90"/>
        <v>1.3999999999992239E-3</v>
      </c>
      <c r="AR201">
        <f t="shared" si="91"/>
        <v>1.9599999999999997</v>
      </c>
      <c r="AS201">
        <f t="shared" si="92"/>
        <v>29.118170782588681</v>
      </c>
      <c r="AT201" t="str">
        <f t="shared" si="93"/>
        <v>CLIENTE</v>
      </c>
      <c r="AU201">
        <f t="shared" si="94"/>
        <v>29.118170782588681</v>
      </c>
      <c r="AV201" t="str">
        <f t="shared" si="95"/>
        <v>Mayor retorno probable: CLIENTE (+29,1 puntos finales potenciales).</v>
      </c>
    </row>
    <row r="202" spans="1:48" x14ac:dyDescent="0.3">
      <c r="A202" s="5">
        <v>51025920</v>
      </c>
      <c r="B202" s="5" t="str">
        <f>IFERROR(VLOOKUP(A202,VENTAS!$A$2:$B$1194,2,0),"")</f>
        <v>ARGUELLO</v>
      </c>
      <c r="C202" s="5">
        <f>IFERROR(INDEX(VENTAS!$C$2:$E$1194,MATCH(A202,VENTAS!$A$2:$A$1194,0),MATCH(PARAMS_MODELO!$B$2,{"Q1","Q2","Q3"},0)),0)</f>
        <v>115324688.08</v>
      </c>
      <c r="D202" s="5">
        <f>IFERROR(INDEX(VENTAS!$F$2:$H$1194,MATCH(A202,VENTAS!$A$2:$A$1194,0),MATCH(PARAMS_MODELO!$B$2,{"Q1","Q2","Q3"},0)),0)</f>
        <v>122263488</v>
      </c>
      <c r="E202" s="8">
        <f t="shared" si="72"/>
        <v>6.0167515174084807E-2</v>
      </c>
      <c r="F202" s="12">
        <f>IF(E202&lt;=PARAMS_MODELO!$B$15,0,IF(E202&gt;=PARAMS_MODELO!$B$17,100,100*MIN(1,(E202-PARAMS_MODELO!$B$15)/(PARAMS_MODELO!$B$16-PARAMS_MODELO!$B$15))))*PARAMS_MODELO!$B$7</f>
        <v>21.058630310929679</v>
      </c>
      <c r="G202" s="5">
        <f t="shared" si="73"/>
        <v>6938799.9200000018</v>
      </c>
      <c r="H202" s="5">
        <f>(PARAMS_MODELO!$B$20*(MAX(0,MIN(3,E202))/3)+PARAMS_MODELO!$B$21*(IFERROR(LN(1+MAX(0,G202))/LN(1+MAX(0,MAX($G$2:$G$1194))),0)))*100*PARAMS_MODELO!$B$8</f>
        <v>3.9032249289336725</v>
      </c>
      <c r="I202" s="8">
        <f>E202-PARAMS_MODELO!$B$5</f>
        <v>-0.11739532020144172</v>
      </c>
      <c r="J202" s="5">
        <f>IF(I202&lt;=PARAMS_MODELO!$B$18,0,IF(I202&gt;=PARAMS_MODELO!$B$19,100,100*(I202-PARAMS_MODELO!$B$18)/(PARAMS_MODELO!$B$19-PARAMS_MODELO!$B$18)))*PARAMS_MODELO!$B$9</f>
        <v>0</v>
      </c>
      <c r="K202" s="5">
        <f>IFERROR(CHOOSE(MATCH(PARAMS_MODELO!$B$2,{"Q1","Q2","Q3"},0),LOTO!$D202,LOTO!$F202,LOTO!$H202),0)</f>
        <v>6202500</v>
      </c>
      <c r="L202" s="8">
        <f t="shared" si="74"/>
        <v>5.0730599146656112E-2</v>
      </c>
      <c r="M202" s="5">
        <f>MIN(100,IF(PARAMS_MODELO!$B$23=0,0,100*L202/PARAMS_MODELO!$B$23))*PARAMS_MODELO!$B$10</f>
        <v>15</v>
      </c>
      <c r="N202" s="5">
        <f>IFERROR(VLOOKUP(A202,COMPLIANCE!$A$2:$F$1996,6,0),100)</f>
        <v>100</v>
      </c>
      <c r="O202" s="5">
        <f>N202*PARAMS_MODELO!$B$11</f>
        <v>10</v>
      </c>
      <c r="P202" s="5">
        <f>IFERROR(VLOOKUP(A202,DIGITAL!$A$2:$J$2000,7,0),100)</f>
        <v>88</v>
      </c>
      <c r="Q202" s="5">
        <f>IFERROR(P202,0)*PARAMS_MODELO!$B$12</f>
        <v>8.8000000000000007</v>
      </c>
      <c r="R202">
        <f t="shared" si="75"/>
        <v>58.761855239863351</v>
      </c>
      <c r="S202" s="5" t="str">
        <f>IFERROR(VLOOKUP(A202,CLIENTE!$A$2:$N$2000,13,0),1)</f>
        <v>Malo</v>
      </c>
      <c r="T202" s="5">
        <f>IFERROR(VLOOKUP(A202,CLIENTE!$A$2:$N$2000,14,0),1)</f>
        <v>0.7</v>
      </c>
      <c r="U202" s="5">
        <f t="shared" si="76"/>
        <v>41.133298667904342</v>
      </c>
      <c r="V202" s="5" t="str">
        <f>IF(U202&gt;=MAX(_xlfn.PERCENTILE.INC($U$2:$U$1194,PARAMS_MODELO!$B$50),PARAMS_MODELO!$B$45),"DIAMANTE",IF(U202&gt;=MAX(_xlfn.PERCENTILE.INC($U$2:$U$1194,PARAMS_MODELO!$B$51),PARAMS_MODELO!$B$46),"PLATINO",IF(U202&gt;=MAX(_xlfn.PERCENTILE.INC($U$2:$U$1194,PARAMS_MODELO!$B$52),PARAMS_MODELO!$B$47),"ORO",IF(U202&gt;=MAX(_xlfn.PERCENTILE.INC($U$2:$U$1194,PARAMS_MODELO!$B$53),PARAMS_MODELO!$B$48),"PLATA",IF(U202&gt;=1,"BRONCE","CERRADO")))))</f>
        <v>PLATA</v>
      </c>
      <c r="W202" s="5" t="str" cm="1">
        <f t="array" ref="W202">_xlfn.XLOOKUP(1, (HIST_SCORE!$B:$B=PARAMS_MODELO!$B$4) * (HIST_SCORE!$C:$C=A202), HIST_SCORE!$E:$E, "No encontrado")</f>
        <v>PLATA</v>
      </c>
      <c r="X202" s="5" t="str">
        <f>_xlfn.LET(_xlpm.act,MATCH(V202,{"DIAMANTE";"PLATINO";"ORO";"PLATA";"BRONCE";"CERRADO"},0),_xlpm.ant,MATCH(W202,{"DIAMANTE";"PLATINO";"ORO";"PLATA";"BRONCE";"CERRADO"},0),IF(_xlpm.act&lt;_xlpm.ant,"Mejora ↑",IF(_xlpm.act&gt;_xlpm.ant,"Baja ↓","Estable →")))</f>
        <v>Estable →</v>
      </c>
      <c r="Y202" s="5">
        <f>IFERROR(U202-SUMIFS(HIST_SCORE!$D:$D,HIST_SCORE!$B:$B,PARAMS_MODELO!$B$4,HIST_SCORE!$C:$C,$A202),"")</f>
        <v>-19.773763264719662</v>
      </c>
      <c r="Z202" s="5" t="str">
        <f t="shared" si="77"/>
        <v>↓ Baja</v>
      </c>
      <c r="AA202" s="5">
        <f t="shared" si="78"/>
        <v>781</v>
      </c>
      <c r="AB202" s="5">
        <f>IFERROR(SUMIFS(HIST_SCORE!$F:$F,HIST_SCORE!$B:$B,PARAMS_MODELO!$B$4,HIST_SCORE!$C:$C,$A202),"")</f>
        <v>635</v>
      </c>
      <c r="AC202" s="5">
        <f t="shared" si="79"/>
        <v>-146</v>
      </c>
      <c r="AD202" t="str">
        <f t="shared" si="81"/>
        <v/>
      </c>
      <c r="AE2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202="CERRADO",1,IF(V202="BRONCE",_xlpm.cPl,IF(V202="PLATA",_xlpm.cO,IF(V202="ORO",_xlpm.cP,IF(V202="PLATINO",_xlpm.cD,999))))))</f>
        <v>63.199193273331495</v>
      </c>
      <c r="AF2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202="CERRADO",0,IF(V202="BRONCE",1,IF(V202="PLATA",_xlpm.cPl,IF(V202="ORO",_xlpm.cO,IF(V202="PLATINO",_xlpm.cP,_xlpm.cD))))))</f>
        <v>24.506573482968111</v>
      </c>
      <c r="AG202">
        <f t="shared" si="82"/>
        <v>31.522706579181644</v>
      </c>
      <c r="AH202" t="str">
        <f t="shared" si="83"/>
        <v>VENTAS</v>
      </c>
      <c r="AI202" t="str">
        <f t="shared" si="80"/>
        <v>🎯 Para subir de categoría, eje VENTAS / DIFERENCIAL vs LOTBA (J). Acción: metas semanales + activación comercial + seguimiento del asesor. ΔR aprox: 31,5</v>
      </c>
      <c r="AJ202" s="26">
        <f>_xlfn.LET(_xlpm.piso,AF202,_xlpm.corte,AE202,_xlpm.prog,IF(_xlpm.corte&lt;=_xlpm.piso,0,MAX(0,MIN(1,(U202-_xlpm.piso)/(_xlpm.corte-_xlpm.piso)))),_xlpm.orden,{"DIAMANTE";"PLATINO";"ORO";"PLATA";"BRONCE";"CERRADO"},_xlpm.act,IFERROR(MATCH(V202,_xlpm.orden,0),6),_xlpm.ant,IFERROR(MATCH(W202,_xlpm.orden,0),6),_xlpm.ajmov,IF(_xlpm.act&lt;_xlpm.ant,0.08,IF(_xlpm.act&gt;_xlpm.ant,-0.08,0)),_xlpm.ajcli,IF(T202&lt;0.95,-0.06,0),_xlpm.prob,MAX(0,MIN(1,_xlpm.prog+_xlpm.ajmov+_xlpm.ajcli)),IF(OR(V202="DIAMANTE",V202="CERRADO"),0,ROUND(_xlpm.prob,2)))</f>
        <v>0.37</v>
      </c>
      <c r="AK202" t="str">
        <f t="shared" si="84"/>
        <v>Faltan 31,5 puntos base para subir a la siguiente categoría</v>
      </c>
      <c r="AL202" t="str">
        <f t="shared" si="85"/>
        <v>Margen de seguridad: 16,6 puntos</v>
      </c>
      <c r="AM202">
        <f t="shared" si="86"/>
        <v>0.85</v>
      </c>
      <c r="AN202" t="str">
        <f t="shared" si="87"/>
        <v>PRIORIDAD ALTA – requiere intervención inmediata</v>
      </c>
      <c r="AO202">
        <f t="shared" si="88"/>
        <v>27.93049982480256</v>
      </c>
      <c r="AP202">
        <f t="shared" si="89"/>
        <v>0</v>
      </c>
      <c r="AQ202">
        <f t="shared" si="90"/>
        <v>0</v>
      </c>
      <c r="AR202">
        <f t="shared" si="91"/>
        <v>0.83999999999999941</v>
      </c>
      <c r="AS202">
        <f t="shared" si="92"/>
        <v>17.62855657195901</v>
      </c>
      <c r="AT202" t="str">
        <f t="shared" si="93"/>
        <v>VENTAS</v>
      </c>
      <c r="AU202">
        <f t="shared" si="94"/>
        <v>27.93049982480256</v>
      </c>
      <c r="AV202" t="str">
        <f t="shared" si="95"/>
        <v>Mayor retorno probable: VENTAS (+27,9 puntos finales potenciales).</v>
      </c>
    </row>
    <row r="203" spans="1:48" x14ac:dyDescent="0.3">
      <c r="A203" s="5">
        <v>51056388</v>
      </c>
      <c r="B203" s="5" t="str">
        <f>IFERROR(VLOOKUP(A203,VENTAS!$A$2:$B$1194,2,0),"")</f>
        <v>METTLER</v>
      </c>
      <c r="C203" s="5">
        <f>IFERROR(INDEX(VENTAS!$C$2:$E$1194,MATCH(A203,VENTAS!$A$2:$A$1194,0),MATCH(PARAMS_MODELO!$B$2,{"Q1","Q2","Q3"},0)),0)</f>
        <v>81220957.689999998</v>
      </c>
      <c r="D203" s="5">
        <f>IFERROR(INDEX(VENTAS!$F$2:$H$1194,MATCH(A203,VENTAS!$A$2:$A$1194,0),MATCH(PARAMS_MODELO!$B$2,{"Q1","Q2","Q3"},0)),0)</f>
        <v>121402282</v>
      </c>
      <c r="E203" s="8">
        <f t="shared" si="72"/>
        <v>0.49471620937248773</v>
      </c>
      <c r="F203" s="12">
        <f>IF(E203&lt;=PARAMS_MODELO!$B$15,0,IF(E203&gt;=PARAMS_MODELO!$B$17,100,100*MIN(1,(E203-PARAMS_MODELO!$B$15)/(PARAMS_MODELO!$B$16-PARAMS_MODELO!$B$15))))*PARAMS_MODELO!$B$7</f>
        <v>35</v>
      </c>
      <c r="G203" s="5">
        <f t="shared" si="73"/>
        <v>40181324.310000002</v>
      </c>
      <c r="H203" s="5">
        <f>(PARAMS_MODELO!$B$20*(MAX(0,MIN(3,E203))/3)+PARAMS_MODELO!$B$21*(IFERROR(LN(1+MAX(0,G203))/LN(1+MAX(0,MAX($G$2:$G$1194))),0)))*100*PARAMS_MODELO!$B$8</f>
        <v>5.8358403533981074</v>
      </c>
      <c r="I203" s="8">
        <f>E203-PARAMS_MODELO!$B$5</f>
        <v>0.3171533739969612</v>
      </c>
      <c r="J203" s="5">
        <f>IF(I203&lt;=PARAMS_MODELO!$B$18,0,IF(I203&gt;=PARAMS_MODELO!$B$19,100,100*(I203-PARAMS_MODELO!$B$18)/(PARAMS_MODELO!$B$19-PARAMS_MODELO!$B$18)))*PARAMS_MODELO!$B$9</f>
        <v>15</v>
      </c>
      <c r="K203" s="5">
        <f>IFERROR(CHOOSE(MATCH(PARAMS_MODELO!$B$2,{"Q1","Q2","Q3"},0),LOTO!$D203,LOTO!$F203,LOTO!$H203),0)</f>
        <v>6175000</v>
      </c>
      <c r="L203" s="8">
        <f t="shared" si="74"/>
        <v>5.0863953282196131E-2</v>
      </c>
      <c r="M203" s="5">
        <f>MIN(100,IF(PARAMS_MODELO!$B$23=0,0,100*L203/PARAMS_MODELO!$B$23))*PARAMS_MODELO!$B$10</f>
        <v>15</v>
      </c>
      <c r="N203" s="5">
        <f>IFERROR(VLOOKUP(A203,COMPLIANCE!$A$2:$F$1996,6,0),100)</f>
        <v>100</v>
      </c>
      <c r="O203" s="5">
        <f>N203*PARAMS_MODELO!$B$11</f>
        <v>10</v>
      </c>
      <c r="P203" s="5">
        <f>IFERROR(VLOOKUP(A203,DIGITAL!$A$2:$J$2000,7,0),100)</f>
        <v>20</v>
      </c>
      <c r="Q203" s="5">
        <f>IFERROR(P203,0)*PARAMS_MODELO!$B$12</f>
        <v>2</v>
      </c>
      <c r="R203">
        <f t="shared" si="75"/>
        <v>82.835840353398112</v>
      </c>
      <c r="S203" s="5" t="str">
        <f>IFERROR(VLOOKUP(A203,CLIENTE!$A$2:$N$2000,13,0),1)</f>
        <v>Regular</v>
      </c>
      <c r="T203" s="5">
        <f>IFERROR(VLOOKUP(A203,CLIENTE!$A$2:$N$2000,14,0),1)</f>
        <v>1</v>
      </c>
      <c r="U203" s="5">
        <f t="shared" si="76"/>
        <v>82.835840353398112</v>
      </c>
      <c r="V203" s="5" t="str">
        <f>IF(U203&gt;=MAX(_xlfn.PERCENTILE.INC($U$2:$U$1194,PARAMS_MODELO!$B$50),PARAMS_MODELO!$B$45),"DIAMANTE",IF(U203&gt;=MAX(_xlfn.PERCENTILE.INC($U$2:$U$1194,PARAMS_MODELO!$B$51),PARAMS_MODELO!$B$46),"PLATINO",IF(U203&gt;=MAX(_xlfn.PERCENTILE.INC($U$2:$U$1194,PARAMS_MODELO!$B$52),PARAMS_MODELO!$B$47),"ORO",IF(U203&gt;=MAX(_xlfn.PERCENTILE.INC($U$2:$U$1194,PARAMS_MODELO!$B$53),PARAMS_MODELO!$B$48),"PLATA",IF(U203&gt;=1,"BRONCE","CERRADO")))))</f>
        <v>ORO</v>
      </c>
      <c r="W203" s="5" t="str" cm="1">
        <f t="array" ref="W203">_xlfn.XLOOKUP(1, (HIST_SCORE!$B:$B=PARAMS_MODELO!$B$4) * (HIST_SCORE!$C:$C=A203), HIST_SCORE!$E:$E, "No encontrado")</f>
        <v>ORO</v>
      </c>
      <c r="X203" s="5" t="str">
        <f>_xlfn.LET(_xlpm.act,MATCH(V203,{"DIAMANTE";"PLATINO";"ORO";"PLATA";"BRONCE";"CERRADO"},0),_xlpm.ant,MATCH(W203,{"DIAMANTE";"PLATINO";"ORO";"PLATA";"BRONCE";"CERRADO"},0),IF(_xlpm.act&lt;_xlpm.ant,"Mejora ↑",IF(_xlpm.act&gt;_xlpm.ant,"Baja ↓","Estable →")))</f>
        <v>Estable →</v>
      </c>
      <c r="Y203" s="5">
        <f>IFERROR(U203-SUMIFS(HIST_SCORE!$D:$D,HIST_SCORE!$B:$B,PARAMS_MODELO!$B$4,HIST_SCORE!$C:$C,$A203),"")</f>
        <v>0.63264774601600493</v>
      </c>
      <c r="Z203" s="5" t="str">
        <f t="shared" si="77"/>
        <v>→ Estable</v>
      </c>
      <c r="AA203" s="5">
        <f t="shared" si="78"/>
        <v>361</v>
      </c>
      <c r="AB203" s="5">
        <f>IFERROR(SUMIFS(HIST_SCORE!$F:$F,HIST_SCORE!$B:$B,PARAMS_MODELO!$B$4,HIST_SCORE!$C:$C,$A203),"")</f>
        <v>361</v>
      </c>
      <c r="AC203" s="5">
        <f t="shared" si="79"/>
        <v>0</v>
      </c>
      <c r="AD203" t="str">
        <f t="shared" si="81"/>
        <v/>
      </c>
      <c r="AE2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203="CERRADO",1,IF(V203="BRONCE",_xlpm.cPl,IF(V203="PLATA",_xlpm.cO,IF(V203="ORO",_xlpm.cP,IF(V203="PLATINO",_xlpm.cD,999))))))</f>
        <v>86.439123873763251</v>
      </c>
      <c r="AF2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203="CERRADO",0,IF(V203="BRONCE",1,IF(V203="PLATA",_xlpm.cPl,IF(V203="ORO",_xlpm.cO,IF(V203="PLATINO",_xlpm.cP,_xlpm.cD))))))</f>
        <v>63.199193273331495</v>
      </c>
      <c r="AG203">
        <f t="shared" si="82"/>
        <v>3.6032835203651388</v>
      </c>
      <c r="AH203" t="str">
        <f t="shared" si="83"/>
        <v>VENTAS</v>
      </c>
      <c r="AI203" t="str">
        <f t="shared" si="80"/>
        <v>🎯 Para subir de categoría, eje VENTAS / IMPACTO ABSOLUTO (H). Acción: metas semanales + activación comercial + seguimiento del asesor. ΔR aprox: 3,6</v>
      </c>
      <c r="AJ203" s="26">
        <f>_xlfn.LET(_xlpm.piso,AF203,_xlpm.corte,AE203,_xlpm.prog,IF(_xlpm.corte&lt;=_xlpm.piso,0,MAX(0,MIN(1,(U203-_xlpm.piso)/(_xlpm.corte-_xlpm.piso)))),_xlpm.orden,{"DIAMANTE";"PLATINO";"ORO";"PLATA";"BRONCE";"CERRADO"},_xlpm.act,IFERROR(MATCH(V203,_xlpm.orden,0),6),_xlpm.ant,IFERROR(MATCH(W203,_xlpm.orden,0),6),_xlpm.ajmov,IF(_xlpm.act&lt;_xlpm.ant,0.08,IF(_xlpm.act&gt;_xlpm.ant,-0.08,0)),_xlpm.ajcli,IF(T203&lt;0.95,-0.06,0),_xlpm.prob,MAX(0,MIN(1,_xlpm.prog+_xlpm.ajmov+_xlpm.ajcli)),IF(OR(V203="DIAMANTE",V203="CERRADO"),0,ROUND(_xlpm.prob,2)))</f>
        <v>0.84</v>
      </c>
      <c r="AK203" t="str">
        <f t="shared" si="84"/>
        <v>Faltan 3,6 puntos base para subir a la siguiente categoría</v>
      </c>
      <c r="AL203" t="str">
        <f t="shared" si="85"/>
        <v>Margen de seguridad: 19,6 puntos</v>
      </c>
      <c r="AM203">
        <f t="shared" si="86"/>
        <v>0.21</v>
      </c>
      <c r="AN203" t="str">
        <f t="shared" si="87"/>
        <v>PRIORIDAD BAJA – control normal</v>
      </c>
      <c r="AO203">
        <f t="shared" si="88"/>
        <v>9.0267289218974796</v>
      </c>
      <c r="AP203">
        <f t="shared" si="89"/>
        <v>0</v>
      </c>
      <c r="AQ203">
        <f t="shared" si="90"/>
        <v>0</v>
      </c>
      <c r="AR203">
        <f t="shared" si="91"/>
        <v>8</v>
      </c>
      <c r="AS203">
        <f t="shared" si="92"/>
        <v>0</v>
      </c>
      <c r="AT203" t="str">
        <f t="shared" si="93"/>
        <v>VENTAS</v>
      </c>
      <c r="AU203">
        <f t="shared" si="94"/>
        <v>9.0267289218974796</v>
      </c>
      <c r="AV203" t="str">
        <f t="shared" si="95"/>
        <v>Mayor retorno probable: VENTAS (+9,0 puntos finales potenciales).</v>
      </c>
    </row>
    <row r="204" spans="1:48" x14ac:dyDescent="0.3">
      <c r="A204" s="5">
        <v>51033485</v>
      </c>
      <c r="B204" s="5" t="str">
        <f>IFERROR(VLOOKUP(A204,VENTAS!$A$2:$B$1194,2,0),"")</f>
        <v>BELUZZO</v>
      </c>
      <c r="C204" s="5">
        <f>IFERROR(INDEX(VENTAS!$C$2:$E$1194,MATCH(A204,VENTAS!$A$2:$A$1194,0),MATCH(PARAMS_MODELO!$B$2,{"Q1","Q2","Q3"},0)),0)</f>
        <v>37649573.299999997</v>
      </c>
      <c r="D204" s="5">
        <f>IFERROR(INDEX(VENTAS!$F$2:$H$1194,MATCH(A204,VENTAS!$A$2:$A$1194,0),MATCH(PARAMS_MODELO!$B$2,{"Q1","Q2","Q3"},0)),0)</f>
        <v>121236210</v>
      </c>
      <c r="E204" s="8">
        <f t="shared" si="72"/>
        <v>2.2201217536773519</v>
      </c>
      <c r="F204" s="12">
        <f>IF(E204&lt;=PARAMS_MODELO!$B$15,0,IF(E204&gt;=PARAMS_MODELO!$B$17,100,100*MIN(1,(E204-PARAMS_MODELO!$B$15)/(PARAMS_MODELO!$B$16-PARAMS_MODELO!$B$15))))*PARAMS_MODELO!$B$7</f>
        <v>35</v>
      </c>
      <c r="G204" s="5">
        <f t="shared" si="73"/>
        <v>83586636.700000003</v>
      </c>
      <c r="H204" s="5">
        <f>(PARAMS_MODELO!$B$20*(MAX(0,MIN(3,E204))/3)+PARAMS_MODELO!$B$21*(IFERROR(LN(1+MAX(0,G204))/LN(1+MAX(0,MAX($G$2:$G$1194))),0)))*100*PARAMS_MODELO!$B$8</f>
        <v>12.046463607702295</v>
      </c>
      <c r="I204" s="8">
        <f>E204-PARAMS_MODELO!$B$5</f>
        <v>2.0425589183018253</v>
      </c>
      <c r="J204" s="5">
        <f>IF(I204&lt;=PARAMS_MODELO!$B$18,0,IF(I204&gt;=PARAMS_MODELO!$B$19,100,100*(I204-PARAMS_MODELO!$B$18)/(PARAMS_MODELO!$B$19-PARAMS_MODELO!$B$18)))*PARAMS_MODELO!$B$9</f>
        <v>15</v>
      </c>
      <c r="K204" s="5">
        <f>IFERROR(CHOOSE(MATCH(PARAMS_MODELO!$B$2,{"Q1","Q2","Q3"},0),LOTO!$D204,LOTO!$F204,LOTO!$H204),0)</f>
        <v>6150000</v>
      </c>
      <c r="L204" s="8">
        <f t="shared" si="74"/>
        <v>5.07274188132407E-2</v>
      </c>
      <c r="M204" s="5">
        <f>MIN(100,IF(PARAMS_MODELO!$B$23=0,0,100*L204/PARAMS_MODELO!$B$23))*PARAMS_MODELO!$B$10</f>
        <v>15</v>
      </c>
      <c r="N204" s="5">
        <f>IFERROR(VLOOKUP(A204,COMPLIANCE!$A$2:$F$1996,6,0),100)</f>
        <v>99.98</v>
      </c>
      <c r="O204" s="5">
        <f>N204*PARAMS_MODELO!$B$11</f>
        <v>9.9980000000000011</v>
      </c>
      <c r="P204" s="5">
        <f>IFERROR(VLOOKUP(A204,DIGITAL!$A$2:$J$2000,7,0),100)</f>
        <v>47</v>
      </c>
      <c r="Q204" s="5">
        <f>IFERROR(P204,0)*PARAMS_MODELO!$B$12</f>
        <v>4.7</v>
      </c>
      <c r="R204">
        <f t="shared" si="75"/>
        <v>91.744463607702301</v>
      </c>
      <c r="S204" s="5" t="str">
        <f>IFERROR(VLOOKUP(A204,CLIENTE!$A$2:$N$2000,13,0),1)</f>
        <v>Malo</v>
      </c>
      <c r="T204" s="5">
        <f>IFERROR(VLOOKUP(A204,CLIENTE!$A$2:$N$2000,14,0),1)</f>
        <v>0.7</v>
      </c>
      <c r="U204" s="5">
        <f t="shared" si="76"/>
        <v>64.221124525391602</v>
      </c>
      <c r="V204" s="5" t="str">
        <f>IF(U204&gt;=MAX(_xlfn.PERCENTILE.INC($U$2:$U$1194,PARAMS_MODELO!$B$50),PARAMS_MODELO!$B$45),"DIAMANTE",IF(U204&gt;=MAX(_xlfn.PERCENTILE.INC($U$2:$U$1194,PARAMS_MODELO!$B$51),PARAMS_MODELO!$B$46),"PLATINO",IF(U204&gt;=MAX(_xlfn.PERCENTILE.INC($U$2:$U$1194,PARAMS_MODELO!$B$52),PARAMS_MODELO!$B$47),"ORO",IF(U204&gt;=MAX(_xlfn.PERCENTILE.INC($U$2:$U$1194,PARAMS_MODELO!$B$53),PARAMS_MODELO!$B$48),"PLATA",IF(U204&gt;=1,"BRONCE","CERRADO")))))</f>
        <v>ORO</v>
      </c>
      <c r="W204" s="5" t="str" cm="1">
        <f t="array" ref="W204">_xlfn.XLOOKUP(1, (HIST_SCORE!$B:$B=PARAMS_MODELO!$B$4) * (HIST_SCORE!$C:$C=A204), HIST_SCORE!$E:$E, "No encontrado")</f>
        <v>PLATA</v>
      </c>
      <c r="X204" s="5" t="str">
        <f>_xlfn.LET(_xlpm.act,MATCH(V204,{"DIAMANTE";"PLATINO";"ORO";"PLATA";"BRONCE";"CERRADO"},0),_xlpm.ant,MATCH(W204,{"DIAMANTE";"PLATINO";"ORO";"PLATA";"BRONCE";"CERRADO"},0),IF(_xlpm.act&lt;_xlpm.ant,"Mejora ↑",IF(_xlpm.act&gt;_xlpm.ant,"Baja ↓","Estable →")))</f>
        <v>Mejora ↑</v>
      </c>
      <c r="Y204" s="5">
        <f>IFERROR(U204-SUMIFS(HIST_SCORE!$D:$D,HIST_SCORE!$B:$B,PARAMS_MODELO!$B$4,HIST_SCORE!$C:$C,$A204),"")</f>
        <v>4.7314305832252543</v>
      </c>
      <c r="Z204" s="5" t="str">
        <f t="shared" si="77"/>
        <v>→ Estable</v>
      </c>
      <c r="AA204" s="5">
        <f t="shared" si="78"/>
        <v>548</v>
      </c>
      <c r="AB204" s="5">
        <f>IFERROR(SUMIFS(HIST_SCORE!$F:$F,HIST_SCORE!$B:$B,PARAMS_MODELO!$B$4,HIST_SCORE!$C:$C,$A204),"")</f>
        <v>658</v>
      </c>
      <c r="AC204" s="5">
        <f t="shared" si="79"/>
        <v>110</v>
      </c>
      <c r="AD204" t="str">
        <f t="shared" si="81"/>
        <v/>
      </c>
      <c r="AE2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204="CERRADO",1,IF(V204="BRONCE",_xlpm.cPl,IF(V204="PLATA",_xlpm.cO,IF(V204="ORO",_xlpm.cP,IF(V204="PLATINO",_xlpm.cD,999))))))</f>
        <v>86.439123873763251</v>
      </c>
      <c r="AF2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204="CERRADO",0,IF(V204="BRONCE",1,IF(V204="PLATA",_xlpm.cPl,IF(V204="ORO",_xlpm.cO,IF(V204="PLATINO",_xlpm.cP,_xlpm.cD))))))</f>
        <v>63.199193273331495</v>
      </c>
      <c r="AG204">
        <f t="shared" si="82"/>
        <v>31.739999069102353</v>
      </c>
      <c r="AH204" t="str">
        <f t="shared" si="83"/>
        <v>CLIENTE</v>
      </c>
      <c r="AI204" t="str">
        <f t="shared" si="80"/>
        <v>🎯 Para subir de categoría, la eje con mayor impacto probable es CLIENTE (coef T). Acción: reducir quejas, mejorar incógnito y empujar reseñas. ΔR aprox: 31,7</v>
      </c>
      <c r="AJ204" s="26">
        <f>_xlfn.LET(_xlpm.piso,AF204,_xlpm.corte,AE204,_xlpm.prog,IF(_xlpm.corte&lt;=_xlpm.piso,0,MAX(0,MIN(1,(U204-_xlpm.piso)/(_xlpm.corte-_xlpm.piso)))),_xlpm.orden,{"DIAMANTE";"PLATINO";"ORO";"PLATA";"BRONCE";"CERRADO"},_xlpm.act,IFERROR(MATCH(V204,_xlpm.orden,0),6),_xlpm.ant,IFERROR(MATCH(W204,_xlpm.orden,0),6),_xlpm.ajmov,IF(_xlpm.act&lt;_xlpm.ant,0.08,IF(_xlpm.act&gt;_xlpm.ant,-0.08,0)),_xlpm.ajcli,IF(T204&lt;0.95,-0.06,0),_xlpm.prob,MAX(0,MIN(1,_xlpm.prog+_xlpm.ajmov+_xlpm.ajcli)),IF(OR(V204="DIAMANTE",V204="CERRADO"),0,ROUND(_xlpm.prob,2)))</f>
        <v>0.06</v>
      </c>
      <c r="AK204" t="str">
        <f t="shared" si="84"/>
        <v>Faltan 31,7 puntos base para subir a la siguiente categoría</v>
      </c>
      <c r="AL204" t="str">
        <f t="shared" si="85"/>
        <v>Margen de seguridad: 1,0 puntos</v>
      </c>
      <c r="AM204">
        <f t="shared" si="86"/>
        <v>0.98</v>
      </c>
      <c r="AN204" t="str">
        <f t="shared" si="87"/>
        <v>PRIORIDAD ALTA – requiere intervención inmediata</v>
      </c>
      <c r="AO204">
        <f t="shared" si="88"/>
        <v>1.9712739673153037</v>
      </c>
      <c r="AP204">
        <f t="shared" si="89"/>
        <v>0</v>
      </c>
      <c r="AQ204">
        <f t="shared" si="90"/>
        <v>1.3999999999992239E-3</v>
      </c>
      <c r="AR204">
        <f t="shared" si="91"/>
        <v>3.7099999999999995</v>
      </c>
      <c r="AS204">
        <f t="shared" si="92"/>
        <v>27.523339082310695</v>
      </c>
      <c r="AT204" t="str">
        <f t="shared" si="93"/>
        <v>CLIENTE</v>
      </c>
      <c r="AU204">
        <f t="shared" si="94"/>
        <v>27.523339082310695</v>
      </c>
      <c r="AV204" t="str">
        <f t="shared" si="95"/>
        <v>Mayor retorno probable: CLIENTE (+27,5 puntos finales potenciales).</v>
      </c>
    </row>
    <row r="205" spans="1:48" x14ac:dyDescent="0.3">
      <c r="A205" s="5">
        <v>51041615</v>
      </c>
      <c r="B205" s="5" t="str">
        <f>IFERROR(VLOOKUP(A205,VENTAS!$A$2:$B$1194,2,0),"")</f>
        <v>ROBERTS</v>
      </c>
      <c r="C205" s="5">
        <f>IFERROR(INDEX(VENTAS!$C$2:$E$1194,MATCH(A205,VENTAS!$A$2:$A$1194,0),MATCH(PARAMS_MODELO!$B$2,{"Q1","Q2","Q3"},0)),0)</f>
        <v>101735160.92</v>
      </c>
      <c r="D205" s="5">
        <f>IFERROR(INDEX(VENTAS!$F$2:$H$1194,MATCH(A205,VENTAS!$A$2:$A$1194,0),MATCH(PARAMS_MODELO!$B$2,{"Q1","Q2","Q3"},0)),0)</f>
        <v>120880090</v>
      </c>
      <c r="E205" s="8">
        <f t="shared" si="72"/>
        <v>0.18818399564979038</v>
      </c>
      <c r="F205" s="12">
        <f>IF(E205&lt;=PARAMS_MODELO!$B$15,0,IF(E205&gt;=PARAMS_MODELO!$B$17,100,100*MIN(1,(E205-PARAMS_MODELO!$B$15)/(PARAMS_MODELO!$B$16-PARAMS_MODELO!$B$15))))*PARAMS_MODELO!$B$7</f>
        <v>35</v>
      </c>
      <c r="G205" s="5">
        <f t="shared" si="73"/>
        <v>19144929.079999998</v>
      </c>
      <c r="H205" s="5">
        <f>(PARAMS_MODELO!$B$20*(MAX(0,MIN(3,E205))/3)+PARAMS_MODELO!$B$21*(IFERROR(LN(1+MAX(0,G205))/LN(1+MAX(0,MAX($G$2:$G$1194))),0)))*100*PARAMS_MODELO!$B$8</f>
        <v>4.5891914376166527</v>
      </c>
      <c r="I205" s="8">
        <f>E205-PARAMS_MODELO!$B$5</f>
        <v>1.0621160274263852E-2</v>
      </c>
      <c r="J205" s="5">
        <f>IF(I205&lt;=PARAMS_MODELO!$B$18,0,IF(I205&gt;=PARAMS_MODELO!$B$19,100,100*(I205-PARAMS_MODELO!$B$18)/(PARAMS_MODELO!$B$19-PARAMS_MODELO!$B$18)))*PARAMS_MODELO!$B$9</f>
        <v>9.0931740411395765</v>
      </c>
      <c r="K205" s="5">
        <f>IFERROR(CHOOSE(MATCH(PARAMS_MODELO!$B$2,{"Q1","Q2","Q3"},0),LOTO!$D205,LOTO!$F205,LOTO!$H205),0)</f>
        <v>6137500</v>
      </c>
      <c r="L205" s="8">
        <f t="shared" si="74"/>
        <v>5.0773456571714996E-2</v>
      </c>
      <c r="M205" s="5">
        <f>MIN(100,IF(PARAMS_MODELO!$B$23=0,0,100*L205/PARAMS_MODELO!$B$23))*PARAMS_MODELO!$B$10</f>
        <v>15</v>
      </c>
      <c r="N205" s="5">
        <f>IFERROR(VLOOKUP(A205,COMPLIANCE!$A$2:$F$1996,6,0),100)</f>
        <v>100</v>
      </c>
      <c r="O205" s="5">
        <f>N205*PARAMS_MODELO!$B$11</f>
        <v>10</v>
      </c>
      <c r="P205" s="5">
        <f>IFERROR(VLOOKUP(A205,DIGITAL!$A$2:$J$2000,7,0),100)</f>
        <v>81</v>
      </c>
      <c r="Q205" s="5">
        <f>IFERROR(P205,0)*PARAMS_MODELO!$B$12</f>
        <v>8.1</v>
      </c>
      <c r="R205">
        <f t="shared" si="75"/>
        <v>81.782365478756219</v>
      </c>
      <c r="S205" s="5" t="str">
        <f>IFERROR(VLOOKUP(A205,CLIENTE!$A$2:$N$2000,13,0),1)</f>
        <v>Malo</v>
      </c>
      <c r="T205" s="5">
        <f>IFERROR(VLOOKUP(A205,CLIENTE!$A$2:$N$2000,14,0),1)</f>
        <v>0.7</v>
      </c>
      <c r="U205" s="5">
        <f t="shared" si="76"/>
        <v>57.247655835129351</v>
      </c>
      <c r="V205" s="5" t="str">
        <f>IF(U205&gt;=MAX(_xlfn.PERCENTILE.INC($U$2:$U$1194,PARAMS_MODELO!$B$50),PARAMS_MODELO!$B$45),"DIAMANTE",IF(U205&gt;=MAX(_xlfn.PERCENTILE.INC($U$2:$U$1194,PARAMS_MODELO!$B$51),PARAMS_MODELO!$B$46),"PLATINO",IF(U205&gt;=MAX(_xlfn.PERCENTILE.INC($U$2:$U$1194,PARAMS_MODELO!$B$52),PARAMS_MODELO!$B$47),"ORO",IF(U205&gt;=MAX(_xlfn.PERCENTILE.INC($U$2:$U$1194,PARAMS_MODELO!$B$53),PARAMS_MODELO!$B$48),"PLATA",IF(U205&gt;=1,"BRONCE","CERRADO")))))</f>
        <v>PLATA</v>
      </c>
      <c r="W205" s="5" t="str" cm="1">
        <f t="array" ref="W205">_xlfn.XLOOKUP(1, (HIST_SCORE!$B:$B=PARAMS_MODELO!$B$4) * (HIST_SCORE!$C:$C=A205), HIST_SCORE!$E:$E, "No encontrado")</f>
        <v>PLATA</v>
      </c>
      <c r="X205" s="5" t="str">
        <f>_xlfn.LET(_xlpm.act,MATCH(V205,{"DIAMANTE";"PLATINO";"ORO";"PLATA";"BRONCE";"CERRADO"},0),_xlpm.ant,MATCH(W205,{"DIAMANTE";"PLATINO";"ORO";"PLATA";"BRONCE";"CERRADO"},0),IF(_xlpm.act&lt;_xlpm.ant,"Mejora ↑",IF(_xlpm.act&gt;_xlpm.ant,"Baja ↓","Estable →")))</f>
        <v>Estable →</v>
      </c>
      <c r="Y205" s="5">
        <f>IFERROR(U205-SUMIFS(HIST_SCORE!$D:$D,HIST_SCORE!$B:$B,PARAMS_MODELO!$B$4,HIST_SCORE!$C:$C,$A205),"")</f>
        <v>-2.6574219576944174</v>
      </c>
      <c r="Z205" s="5" t="str">
        <f t="shared" si="77"/>
        <v>→ Estable</v>
      </c>
      <c r="AA205" s="5">
        <f t="shared" si="78"/>
        <v>679</v>
      </c>
      <c r="AB205" s="5">
        <f>IFERROR(SUMIFS(HIST_SCORE!$F:$F,HIST_SCORE!$B:$B,PARAMS_MODELO!$B$4,HIST_SCORE!$C:$C,$A205),"")</f>
        <v>649</v>
      </c>
      <c r="AC205" s="5">
        <f t="shared" si="79"/>
        <v>-30</v>
      </c>
      <c r="AD205" t="str">
        <f t="shared" si="81"/>
        <v/>
      </c>
      <c r="AE2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205="CERRADO",1,IF(V205="BRONCE",_xlpm.cPl,IF(V205="PLATA",_xlpm.cO,IF(V205="ORO",_xlpm.cP,IF(V205="PLATINO",_xlpm.cD,999))))))</f>
        <v>63.199193273331495</v>
      </c>
      <c r="AF2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205="CERRADO",0,IF(V205="BRONCE",1,IF(V205="PLATA",_xlpm.cPl,IF(V205="ORO",_xlpm.cO,IF(V205="PLATINO",_xlpm.cP,_xlpm.cD))))))</f>
        <v>24.506573482968111</v>
      </c>
      <c r="AG205">
        <f t="shared" si="82"/>
        <v>8.5021963402887764</v>
      </c>
      <c r="AH205" t="str">
        <f t="shared" si="83"/>
        <v>CLIENTE</v>
      </c>
      <c r="AI205" t="str">
        <f t="shared" si="80"/>
        <v>🎯 Para subir de categoría, la eje con mayor impacto probable es CLIENTE (coef T). Acción: reducir quejas, mejorar incógnito y empujar reseñas. ΔR aprox: 8,5</v>
      </c>
      <c r="AJ205" s="26">
        <f>_xlfn.LET(_xlpm.piso,AF205,_xlpm.corte,AE205,_xlpm.prog,IF(_xlpm.corte&lt;=_xlpm.piso,0,MAX(0,MIN(1,(U205-_xlpm.piso)/(_xlpm.corte-_xlpm.piso)))),_xlpm.orden,{"DIAMANTE";"PLATINO";"ORO";"PLATA";"BRONCE";"CERRADO"},_xlpm.act,IFERROR(MATCH(V205,_xlpm.orden,0),6),_xlpm.ant,IFERROR(MATCH(W205,_xlpm.orden,0),6),_xlpm.ajmov,IF(_xlpm.act&lt;_xlpm.ant,0.08,IF(_xlpm.act&gt;_xlpm.ant,-0.08,0)),_xlpm.ajcli,IF(T205&lt;0.95,-0.06,0),_xlpm.prob,MAX(0,MIN(1,_xlpm.prog+_xlpm.ajmov+_xlpm.ajcli)),IF(OR(V205="DIAMANTE",V205="CERRADO"),0,ROUND(_xlpm.prob,2)))</f>
        <v>0.79</v>
      </c>
      <c r="AK205" t="str">
        <f t="shared" si="84"/>
        <v>Faltan 8,5 puntos base para subir a la siguiente categoría</v>
      </c>
      <c r="AL205" t="str">
        <f t="shared" si="85"/>
        <v>Margen de seguridad: 32,7 puntos</v>
      </c>
      <c r="AM205">
        <f t="shared" si="86"/>
        <v>0.62</v>
      </c>
      <c r="AN205" t="str">
        <f t="shared" si="87"/>
        <v>PRIORIDAD MEDIA – seguimiento del asesor</v>
      </c>
      <c r="AO205">
        <f t="shared" si="88"/>
        <v>11.326142657577545</v>
      </c>
      <c r="AP205">
        <f t="shared" si="89"/>
        <v>0</v>
      </c>
      <c r="AQ205">
        <f t="shared" si="90"/>
        <v>0</v>
      </c>
      <c r="AR205">
        <f t="shared" si="91"/>
        <v>1.33</v>
      </c>
      <c r="AS205">
        <f t="shared" si="92"/>
        <v>24.534709643626869</v>
      </c>
      <c r="AT205" t="str">
        <f t="shared" si="93"/>
        <v>CLIENTE</v>
      </c>
      <c r="AU205">
        <f t="shared" si="94"/>
        <v>24.534709643626869</v>
      </c>
      <c r="AV205" t="str">
        <f t="shared" si="95"/>
        <v>Mayor retorno probable: CLIENTE (+24,5 puntos finales potenciales).</v>
      </c>
    </row>
    <row r="206" spans="1:48" x14ac:dyDescent="0.3">
      <c r="A206" s="5">
        <v>51017641</v>
      </c>
      <c r="B206" s="5" t="str">
        <f>IFERROR(VLOOKUP(A206,VENTAS!$A$2:$B$1194,2,0),"")</f>
        <v>METTLER</v>
      </c>
      <c r="C206" s="5">
        <f>IFERROR(INDEX(VENTAS!$C$2:$E$1194,MATCH(A206,VENTAS!$A$2:$A$1194,0),MATCH(PARAMS_MODELO!$B$2,{"Q1","Q2","Q3"},0)),0)</f>
        <v>102262025.86</v>
      </c>
      <c r="D206" s="5">
        <f>IFERROR(INDEX(VENTAS!$F$2:$H$1194,MATCH(A206,VENTAS!$A$2:$A$1194,0),MATCH(PARAMS_MODELO!$B$2,{"Q1","Q2","Q3"},0)),0)</f>
        <v>120640455</v>
      </c>
      <c r="E206" s="8">
        <f t="shared" si="72"/>
        <v>0.1797190011193468</v>
      </c>
      <c r="F206" s="12">
        <f>IF(E206&lt;=PARAMS_MODELO!$B$15,0,IF(E206&gt;=PARAMS_MODELO!$B$17,100,100*MIN(1,(E206-PARAMS_MODELO!$B$15)/(PARAMS_MODELO!$B$16-PARAMS_MODELO!$B$15))))*PARAMS_MODELO!$B$7</f>
        <v>35</v>
      </c>
      <c r="G206" s="5">
        <f t="shared" si="73"/>
        <v>18378429.140000001</v>
      </c>
      <c r="H206" s="5">
        <f>(PARAMS_MODELO!$B$20*(MAX(0,MIN(3,E206))/3)+PARAMS_MODELO!$B$21*(IFERROR(LN(1+MAX(0,G206))/LN(1+MAX(0,MAX($G$2:$G$1194))),0)))*100*PARAMS_MODELO!$B$8</f>
        <v>4.5499857482161579</v>
      </c>
      <c r="I206" s="8">
        <f>E206-PARAMS_MODELO!$B$5</f>
        <v>2.1561657438202708E-3</v>
      </c>
      <c r="J206" s="5">
        <f>IF(I206&lt;=PARAMS_MODELO!$B$18,0,IF(I206&gt;=PARAMS_MODELO!$B$19,100,100*(I206-PARAMS_MODELO!$B$18)/(PARAMS_MODELO!$B$19-PARAMS_MODELO!$B$18)))*PARAMS_MODELO!$B$9</f>
        <v>7.8234248615730397</v>
      </c>
      <c r="K206" s="5">
        <f>IFERROR(CHOOSE(MATCH(PARAMS_MODELO!$B$2,{"Q1","Q2","Q3"},0),LOTO!$D206,LOTO!$F206,LOTO!$H206),0)</f>
        <v>6120000</v>
      </c>
      <c r="L206" s="8">
        <f t="shared" si="74"/>
        <v>5.0729251642825782E-2</v>
      </c>
      <c r="M206" s="5">
        <f>MIN(100,IF(PARAMS_MODELO!$B$23=0,0,100*L206/PARAMS_MODELO!$B$23))*PARAMS_MODELO!$B$10</f>
        <v>15</v>
      </c>
      <c r="N206" s="5">
        <f>IFERROR(VLOOKUP(A206,COMPLIANCE!$A$2:$F$1996,6,0),100)</f>
        <v>100</v>
      </c>
      <c r="O206" s="5">
        <f>N206*PARAMS_MODELO!$B$11</f>
        <v>10</v>
      </c>
      <c r="P206" s="5">
        <f>IFERROR(VLOOKUP(A206,DIGITAL!$A$2:$J$2000,7,0),100)</f>
        <v>83</v>
      </c>
      <c r="Q206" s="5">
        <f>IFERROR(P206,0)*PARAMS_MODELO!$B$12</f>
        <v>8.3000000000000007</v>
      </c>
      <c r="R206">
        <f t="shared" si="75"/>
        <v>80.673410609789201</v>
      </c>
      <c r="S206" s="5" t="str">
        <f>IFERROR(VLOOKUP(A206,CLIENTE!$A$2:$N$2000,13,0),1)</f>
        <v>Regular</v>
      </c>
      <c r="T206" s="5">
        <f>IFERROR(VLOOKUP(A206,CLIENTE!$A$2:$N$2000,14,0),1)</f>
        <v>1</v>
      </c>
      <c r="U206" s="5">
        <f t="shared" si="76"/>
        <v>80.673410609789201</v>
      </c>
      <c r="V206" s="5" t="str">
        <f>IF(U206&gt;=MAX(_xlfn.PERCENTILE.INC($U$2:$U$1194,PARAMS_MODELO!$B$50),PARAMS_MODELO!$B$45),"DIAMANTE",IF(U206&gt;=MAX(_xlfn.PERCENTILE.INC($U$2:$U$1194,PARAMS_MODELO!$B$51),PARAMS_MODELO!$B$46),"PLATINO",IF(U206&gt;=MAX(_xlfn.PERCENTILE.INC($U$2:$U$1194,PARAMS_MODELO!$B$52),PARAMS_MODELO!$B$47),"ORO",IF(U206&gt;=MAX(_xlfn.PERCENTILE.INC($U$2:$U$1194,PARAMS_MODELO!$B$53),PARAMS_MODELO!$B$48),"PLATA",IF(U206&gt;=1,"BRONCE","CERRADO")))))</f>
        <v>ORO</v>
      </c>
      <c r="W206" s="5" t="str" cm="1">
        <f t="array" ref="W206">_xlfn.XLOOKUP(1, (HIST_SCORE!$B:$B=PARAMS_MODELO!$B$4) * (HIST_SCORE!$C:$C=A206), HIST_SCORE!$E:$E, "No encontrado")</f>
        <v>PLATINO</v>
      </c>
      <c r="X206" s="5" t="str">
        <f>_xlfn.LET(_xlpm.act,MATCH(V206,{"DIAMANTE";"PLATINO";"ORO";"PLATA";"BRONCE";"CERRADO"},0),_xlpm.ant,MATCH(W206,{"DIAMANTE";"PLATINO";"ORO";"PLATA";"BRONCE";"CERRADO"},0),IF(_xlpm.act&lt;_xlpm.ant,"Mejora ↑",IF(_xlpm.act&gt;_xlpm.ant,"Baja ↓","Estable →")))</f>
        <v>Baja ↓</v>
      </c>
      <c r="Y206" s="5">
        <f>IFERROR(U206-SUMIFS(HIST_SCORE!$D:$D,HIST_SCORE!$B:$B,PARAMS_MODELO!$B$4,HIST_SCORE!$C:$C,$A206),"")</f>
        <v>-7.0327611002438459</v>
      </c>
      <c r="Z206" s="5" t="str">
        <f t="shared" si="77"/>
        <v>↓ Baja</v>
      </c>
      <c r="AA206" s="5">
        <f t="shared" si="78"/>
        <v>423</v>
      </c>
      <c r="AB206" s="5">
        <f>IFERROR(SUMIFS(HIST_SCORE!$F:$F,HIST_SCORE!$B:$B,PARAMS_MODELO!$B$4,HIST_SCORE!$C:$C,$A206),"")</f>
        <v>190</v>
      </c>
      <c r="AC206" s="5">
        <f t="shared" si="79"/>
        <v>-233</v>
      </c>
      <c r="AD206" t="str">
        <f t="shared" si="81"/>
        <v>Sostener base y reforzar mix</v>
      </c>
      <c r="AE2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206="CERRADO",1,IF(V206="BRONCE",_xlpm.cPl,IF(V206="PLATA",_xlpm.cO,IF(V206="ORO",_xlpm.cP,IF(V206="PLATINO",_xlpm.cD,999))))))</f>
        <v>86.439123873763251</v>
      </c>
      <c r="AF2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206="CERRADO",0,IF(V206="BRONCE",1,IF(V206="PLATA",_xlpm.cPl,IF(V206="ORO",_xlpm.cO,IF(V206="PLATINO",_xlpm.cP,_xlpm.cD))))))</f>
        <v>63.199193273331495</v>
      </c>
      <c r="AG206">
        <f t="shared" si="82"/>
        <v>5.7657132639740496</v>
      </c>
      <c r="AH206" t="str">
        <f t="shared" si="83"/>
        <v>VENTAS</v>
      </c>
      <c r="AI206" t="str">
        <f t="shared" si="80"/>
        <v>🎯 Para subir de categoría, eje VENTAS / IMPACTO ABSOLUTO (H). Acción: metas semanales + activación comercial + seguimiento del asesor. ΔR aprox: 5,8</v>
      </c>
      <c r="AJ206" s="26">
        <f>_xlfn.LET(_xlpm.piso,AF206,_xlpm.corte,AE206,_xlpm.prog,IF(_xlpm.corte&lt;=_xlpm.piso,0,MAX(0,MIN(1,(U206-_xlpm.piso)/(_xlpm.corte-_xlpm.piso)))),_xlpm.orden,{"DIAMANTE";"PLATINO";"ORO";"PLATA";"BRONCE";"CERRADO"},_xlpm.act,IFERROR(MATCH(V206,_xlpm.orden,0),6),_xlpm.ant,IFERROR(MATCH(W206,_xlpm.orden,0),6),_xlpm.ajmov,IF(_xlpm.act&lt;_xlpm.ant,0.08,IF(_xlpm.act&gt;_xlpm.ant,-0.08,0)),_xlpm.ajcli,IF(T206&lt;0.95,-0.06,0),_xlpm.prob,MAX(0,MIN(1,_xlpm.prog+_xlpm.ajmov+_xlpm.ajcli)),IF(OR(V206="DIAMANTE",V206="CERRADO"),0,ROUND(_xlpm.prob,2)))</f>
        <v>0.67</v>
      </c>
      <c r="AK206" t="str">
        <f t="shared" si="84"/>
        <v>Faltan 5,8 puntos base para subir a la siguiente categoría</v>
      </c>
      <c r="AL206" t="str">
        <f t="shared" si="85"/>
        <v>Margen de seguridad: 17,5 puntos</v>
      </c>
      <c r="AM206">
        <f t="shared" si="86"/>
        <v>0.36</v>
      </c>
      <c r="AN206" t="str">
        <f t="shared" si="87"/>
        <v>PRIORIDAD BAJA – control normal</v>
      </c>
      <c r="AO206">
        <f t="shared" si="88"/>
        <v>17.489158665506388</v>
      </c>
      <c r="AP206">
        <f t="shared" si="89"/>
        <v>0</v>
      </c>
      <c r="AQ206">
        <f t="shared" si="90"/>
        <v>0</v>
      </c>
      <c r="AR206">
        <f t="shared" si="91"/>
        <v>1.6999999999999993</v>
      </c>
      <c r="AS206">
        <f t="shared" si="92"/>
        <v>0</v>
      </c>
      <c r="AT206" t="str">
        <f t="shared" si="93"/>
        <v>VENTAS</v>
      </c>
      <c r="AU206">
        <f t="shared" si="94"/>
        <v>17.489158665506388</v>
      </c>
      <c r="AV206" t="str">
        <f t="shared" si="95"/>
        <v>Mayor retorno probable: VENTAS (+17,5 puntos finales potenciales).</v>
      </c>
    </row>
    <row r="207" spans="1:48" x14ac:dyDescent="0.3">
      <c r="A207" s="5">
        <v>51005741</v>
      </c>
      <c r="B207" s="5" t="str">
        <f>IFERROR(VLOOKUP(A207,VENTAS!$A$2:$B$1194,2,0),"")</f>
        <v>ARGUELLO</v>
      </c>
      <c r="C207" s="5">
        <f>IFERROR(INDEX(VENTAS!$C$2:$E$1194,MATCH(A207,VENTAS!$A$2:$A$1194,0),MATCH(PARAMS_MODELO!$B$2,{"Q1","Q2","Q3"},0)),0)</f>
        <v>94741756.749999985</v>
      </c>
      <c r="D207" s="5">
        <f>IFERROR(INDEX(VENTAS!$F$2:$H$1194,MATCH(A207,VENTAS!$A$2:$A$1194,0),MATCH(PARAMS_MODELO!$B$2,{"Q1","Q2","Q3"},0)),0)</f>
        <v>120232895</v>
      </c>
      <c r="E207" s="8">
        <f t="shared" si="72"/>
        <v>0.26905916804207886</v>
      </c>
      <c r="F207" s="12">
        <f>IF(E207&lt;=PARAMS_MODELO!$B$15,0,IF(E207&gt;=PARAMS_MODELO!$B$17,100,100*MIN(1,(E207-PARAMS_MODELO!$B$15)/(PARAMS_MODELO!$B$16-PARAMS_MODELO!$B$15))))*PARAMS_MODELO!$B$7</f>
        <v>35</v>
      </c>
      <c r="G207" s="5">
        <f t="shared" si="73"/>
        <v>25491138.250000015</v>
      </c>
      <c r="H207" s="5">
        <f>(PARAMS_MODELO!$B$20*(MAX(0,MIN(3,E207))/3)+PARAMS_MODELO!$B$21*(IFERROR(LN(1+MAX(0,G207))/LN(1+MAX(0,MAX($G$2:$G$1194))),0)))*100*PARAMS_MODELO!$B$8</f>
        <v>4.9393656120204055</v>
      </c>
      <c r="I207" s="8">
        <f>E207-PARAMS_MODELO!$B$5</f>
        <v>9.1496332666552327E-2</v>
      </c>
      <c r="J207" s="5">
        <f>IF(I207&lt;=PARAMS_MODELO!$B$18,0,IF(I207&gt;=PARAMS_MODELO!$B$19,100,100*(I207-PARAMS_MODELO!$B$18)/(PARAMS_MODELO!$B$19-PARAMS_MODELO!$B$18)))*PARAMS_MODELO!$B$9</f>
        <v>15</v>
      </c>
      <c r="K207" s="5">
        <f>IFERROR(CHOOSE(MATCH(PARAMS_MODELO!$B$2,{"Q1","Q2","Q3"},0),LOTO!$D207,LOTO!$F207,LOTO!$H207),0)</f>
        <v>6115000</v>
      </c>
      <c r="L207" s="8">
        <f t="shared" si="74"/>
        <v>5.085962539619461E-2</v>
      </c>
      <c r="M207" s="5">
        <f>MIN(100,IF(PARAMS_MODELO!$B$23=0,0,100*L207/PARAMS_MODELO!$B$23))*PARAMS_MODELO!$B$10</f>
        <v>15</v>
      </c>
      <c r="N207" s="5">
        <f>IFERROR(VLOOKUP(A207,COMPLIANCE!$A$2:$F$1996,6,0),100)</f>
        <v>100</v>
      </c>
      <c r="O207" s="5">
        <f>N207*PARAMS_MODELO!$B$11</f>
        <v>10</v>
      </c>
      <c r="P207" s="5">
        <f>IFERROR(VLOOKUP(A207,DIGITAL!$A$2:$J$2000,7,0),100)</f>
        <v>95</v>
      </c>
      <c r="Q207" s="5">
        <f>IFERROR(P207,0)*PARAMS_MODELO!$B$12</f>
        <v>9.5</v>
      </c>
      <c r="R207">
        <f t="shared" si="75"/>
        <v>89.439365612020396</v>
      </c>
      <c r="S207" s="5" t="str">
        <f>IFERROR(VLOOKUP(A207,CLIENTE!$A$2:$N$2000,13,0),1)</f>
        <v>Regular</v>
      </c>
      <c r="T207" s="5">
        <f>IFERROR(VLOOKUP(A207,CLIENTE!$A$2:$N$2000,14,0),1)</f>
        <v>1</v>
      </c>
      <c r="U207" s="5">
        <f t="shared" si="76"/>
        <v>89.439365612020396</v>
      </c>
      <c r="V207" s="5" t="str">
        <f>IF(U207&gt;=MAX(_xlfn.PERCENTILE.INC($U$2:$U$1194,PARAMS_MODELO!$B$50),PARAMS_MODELO!$B$45),"DIAMANTE",IF(U207&gt;=MAX(_xlfn.PERCENTILE.INC($U$2:$U$1194,PARAMS_MODELO!$B$51),PARAMS_MODELO!$B$46),"PLATINO",IF(U207&gt;=MAX(_xlfn.PERCENTILE.INC($U$2:$U$1194,PARAMS_MODELO!$B$52),PARAMS_MODELO!$B$47),"ORO",IF(U207&gt;=MAX(_xlfn.PERCENTILE.INC($U$2:$U$1194,PARAMS_MODELO!$B$53),PARAMS_MODELO!$B$48),"PLATA",IF(U207&gt;=1,"BRONCE","CERRADO")))))</f>
        <v>PLATINO</v>
      </c>
      <c r="W207" s="5" t="str" cm="1">
        <f t="array" ref="W207">_xlfn.XLOOKUP(1, (HIST_SCORE!$B:$B=PARAMS_MODELO!$B$4) * (HIST_SCORE!$C:$C=A207), HIST_SCORE!$E:$E, "No encontrado")</f>
        <v>ORO</v>
      </c>
      <c r="X207" s="5" t="str">
        <f>_xlfn.LET(_xlpm.act,MATCH(V207,{"DIAMANTE";"PLATINO";"ORO";"PLATA";"BRONCE";"CERRADO"},0),_xlpm.ant,MATCH(W207,{"DIAMANTE";"PLATINO";"ORO";"PLATA";"BRONCE";"CERRADO"},0),IF(_xlpm.act&lt;_xlpm.ant,"Mejora ↑",IF(_xlpm.act&gt;_xlpm.ant,"Baja ↓","Estable →")))</f>
        <v>Mejora ↑</v>
      </c>
      <c r="Y207" s="5">
        <f>IFERROR(U207-SUMIFS(HIST_SCORE!$D:$D,HIST_SCORE!$B:$B,PARAMS_MODELO!$B$4,HIST_SCORE!$C:$C,$A207),"")</f>
        <v>8.8935458979812267</v>
      </c>
      <c r="Z207" s="5" t="str">
        <f t="shared" si="77"/>
        <v>↑ Mejora</v>
      </c>
      <c r="AA207" s="5">
        <f t="shared" si="78"/>
        <v>151</v>
      </c>
      <c r="AB207" s="5">
        <f>IFERROR(SUMIFS(HIST_SCORE!$F:$F,HIST_SCORE!$B:$B,PARAMS_MODELO!$B$4,HIST_SCORE!$C:$C,$A207),"")</f>
        <v>404</v>
      </c>
      <c r="AC207" s="5">
        <f t="shared" si="79"/>
        <v>253</v>
      </c>
      <c r="AD207" t="str">
        <f t="shared" si="81"/>
        <v/>
      </c>
      <c r="AE2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207="CERRADO",1,IF(V207="BRONCE",_xlpm.cPl,IF(V207="PLATA",_xlpm.cO,IF(V207="ORO",_xlpm.cP,IF(V207="PLATINO",_xlpm.cD,999))))))</f>
        <v>96.054919694466676</v>
      </c>
      <c r="AF2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207="CERRADO",0,IF(V207="BRONCE",1,IF(V207="PLATA",_xlpm.cPl,IF(V207="ORO",_xlpm.cO,IF(V207="PLATINO",_xlpm.cP,_xlpm.cD))))))</f>
        <v>86.439123873763251</v>
      </c>
      <c r="AG207">
        <f t="shared" si="82"/>
        <v>6.6155540824462804</v>
      </c>
      <c r="AH207" t="str">
        <f t="shared" si="83"/>
        <v>VENTAS</v>
      </c>
      <c r="AI207" t="str">
        <f t="shared" si="80"/>
        <v>🎯 Para subir de categoría, eje VENTAS / IMPACTO ABSOLUTO (H). Acción: metas semanales + activación comercial + seguimiento del asesor. ΔR aprox: 6,6</v>
      </c>
      <c r="AJ207" s="26">
        <f>_xlfn.LET(_xlpm.piso,AF207,_xlpm.corte,AE207,_xlpm.prog,IF(_xlpm.corte&lt;=_xlpm.piso,0,MAX(0,MIN(1,(U207-_xlpm.piso)/(_xlpm.corte-_xlpm.piso)))),_xlpm.orden,{"DIAMANTE";"PLATINO";"ORO";"PLATA";"BRONCE";"CERRADO"},_xlpm.act,IFERROR(MATCH(V207,_xlpm.orden,0),6),_xlpm.ant,IFERROR(MATCH(W207,_xlpm.orden,0),6),_xlpm.ajmov,IF(_xlpm.act&lt;_xlpm.ant,0.08,IF(_xlpm.act&gt;_xlpm.ant,-0.08,0)),_xlpm.ajcli,IF(T207&lt;0.95,-0.06,0),_xlpm.prob,MAX(0,MIN(1,_xlpm.prog+_xlpm.ajmov+_xlpm.ajcli)),IF(OR(V207="DIAMANTE",V207="CERRADO"),0,ROUND(_xlpm.prob,2)))</f>
        <v>0.39</v>
      </c>
      <c r="AK207" t="str">
        <f t="shared" si="84"/>
        <v>Faltan 6,6 puntos base para subir a la siguiente categoría</v>
      </c>
      <c r="AL207" t="str">
        <f t="shared" si="85"/>
        <v>Margen de seguridad: 3,0 puntos</v>
      </c>
      <c r="AM207">
        <f t="shared" si="86"/>
        <v>0.51</v>
      </c>
      <c r="AN207" t="str">
        <f t="shared" si="87"/>
        <v>PRIORIDAD MEDIA – seguimiento del asesor</v>
      </c>
      <c r="AO207">
        <f t="shared" si="88"/>
        <v>9.9232036632751814</v>
      </c>
      <c r="AP207">
        <f t="shared" si="89"/>
        <v>0</v>
      </c>
      <c r="AQ207">
        <f t="shared" si="90"/>
        <v>0</v>
      </c>
      <c r="AR207">
        <f t="shared" si="91"/>
        <v>0.5</v>
      </c>
      <c r="AS207">
        <f t="shared" si="92"/>
        <v>0</v>
      </c>
      <c r="AT207" t="str">
        <f t="shared" si="93"/>
        <v>VENTAS</v>
      </c>
      <c r="AU207">
        <f t="shared" si="94"/>
        <v>9.9232036632751814</v>
      </c>
      <c r="AV207" t="str">
        <f t="shared" si="95"/>
        <v>Mayor retorno probable: VENTAS (+9,9 puntos finales potenciales).</v>
      </c>
    </row>
    <row r="208" spans="1:48" x14ac:dyDescent="0.3">
      <c r="A208" s="5">
        <v>51011996</v>
      </c>
      <c r="B208" s="5" t="str">
        <f>IFERROR(VLOOKUP(A208,VENTAS!$A$2:$B$1194,2,0),"")</f>
        <v>CICHETTO</v>
      </c>
      <c r="C208" s="5">
        <f>IFERROR(INDEX(VENTAS!$C$2:$E$1194,MATCH(A208,VENTAS!$A$2:$A$1194,0),MATCH(PARAMS_MODELO!$B$2,{"Q1","Q2","Q3"},0)),0)</f>
        <v>70849776.439999998</v>
      </c>
      <c r="D208" s="5">
        <f>IFERROR(INDEX(VENTAS!$F$2:$H$1194,MATCH(A208,VENTAS!$A$2:$A$1194,0),MATCH(PARAMS_MODELO!$B$2,{"Q1","Q2","Q3"},0)),0)</f>
        <v>120154014</v>
      </c>
      <c r="E208" s="8">
        <f t="shared" si="72"/>
        <v>0.69589827995793185</v>
      </c>
      <c r="F208" s="12">
        <f>IF(E208&lt;=PARAMS_MODELO!$B$15,0,IF(E208&gt;=PARAMS_MODELO!$B$17,100,100*MIN(1,(E208-PARAMS_MODELO!$B$15)/(PARAMS_MODELO!$B$16-PARAMS_MODELO!$B$15))))*PARAMS_MODELO!$B$7</f>
        <v>35</v>
      </c>
      <c r="G208" s="5">
        <f t="shared" si="73"/>
        <v>49304237.560000002</v>
      </c>
      <c r="H208" s="5">
        <f>(PARAMS_MODELO!$B$20*(MAX(0,MIN(3,E208))/3)+PARAMS_MODELO!$B$21*(IFERROR(LN(1+MAX(0,G208))/LN(1+MAX(0,MAX($G$2:$G$1194))),0)))*100*PARAMS_MODELO!$B$8</f>
        <v>6.5879405039111116</v>
      </c>
      <c r="I208" s="8">
        <f>E208-PARAMS_MODELO!$B$5</f>
        <v>0.51833544458240532</v>
      </c>
      <c r="J208" s="5">
        <f>IF(I208&lt;=PARAMS_MODELO!$B$18,0,IF(I208&gt;=PARAMS_MODELO!$B$19,100,100*(I208-PARAMS_MODELO!$B$18)/(PARAMS_MODELO!$B$19-PARAMS_MODELO!$B$18)))*PARAMS_MODELO!$B$9</f>
        <v>15</v>
      </c>
      <c r="K208" s="5">
        <f>IFERROR(CHOOSE(MATCH(PARAMS_MODELO!$B$2,{"Q1","Q2","Q3"},0),LOTO!$D208,LOTO!$F208,LOTO!$H208),0)</f>
        <v>6115000</v>
      </c>
      <c r="L208" s="8">
        <f t="shared" si="74"/>
        <v>5.0893014693624804E-2</v>
      </c>
      <c r="M208" s="5">
        <f>MIN(100,IF(PARAMS_MODELO!$B$23=0,0,100*L208/PARAMS_MODELO!$B$23))*PARAMS_MODELO!$B$10</f>
        <v>15</v>
      </c>
      <c r="N208" s="5">
        <f>IFERROR(VLOOKUP(A208,COMPLIANCE!$A$2:$F$1996,6,0),100)</f>
        <v>100</v>
      </c>
      <c r="O208" s="5">
        <f>N208*PARAMS_MODELO!$B$11</f>
        <v>10</v>
      </c>
      <c r="P208" s="5">
        <f>IFERROR(VLOOKUP(A208,DIGITAL!$A$2:$J$2000,7,0),100)</f>
        <v>39</v>
      </c>
      <c r="Q208" s="5">
        <f>IFERROR(P208,0)*PARAMS_MODELO!$B$12</f>
        <v>3.9000000000000004</v>
      </c>
      <c r="R208">
        <f t="shared" si="75"/>
        <v>85.487940503911119</v>
      </c>
      <c r="S208" s="5" t="str">
        <f>IFERROR(VLOOKUP(A208,CLIENTE!$A$2:$N$2000,13,0),1)</f>
        <v>Bueno</v>
      </c>
      <c r="T208" s="5">
        <f>IFERROR(VLOOKUP(A208,CLIENTE!$A$2:$N$2000,14,0),1)</f>
        <v>1.1000000000000001</v>
      </c>
      <c r="U208" s="5">
        <f t="shared" si="76"/>
        <v>94.036734554302242</v>
      </c>
      <c r="V208" s="5" t="str">
        <f>IF(U208&gt;=MAX(_xlfn.PERCENTILE.INC($U$2:$U$1194,PARAMS_MODELO!$B$50),PARAMS_MODELO!$B$45),"DIAMANTE",IF(U208&gt;=MAX(_xlfn.PERCENTILE.INC($U$2:$U$1194,PARAMS_MODELO!$B$51),PARAMS_MODELO!$B$46),"PLATINO",IF(U208&gt;=MAX(_xlfn.PERCENTILE.INC($U$2:$U$1194,PARAMS_MODELO!$B$52),PARAMS_MODELO!$B$47),"ORO",IF(U208&gt;=MAX(_xlfn.PERCENTILE.INC($U$2:$U$1194,PARAMS_MODELO!$B$53),PARAMS_MODELO!$B$48),"PLATA",IF(U208&gt;=1,"BRONCE","CERRADO")))))</f>
        <v>PLATINO</v>
      </c>
      <c r="W208" s="5" t="str" cm="1">
        <f t="array" ref="W208">_xlfn.XLOOKUP(1, (HIST_SCORE!$B:$B=PARAMS_MODELO!$B$4) * (HIST_SCORE!$C:$C=A208), HIST_SCORE!$E:$E, "No encontrado")</f>
        <v>PLATINO</v>
      </c>
      <c r="X208" s="5" t="str">
        <f>_xlfn.LET(_xlpm.act,MATCH(V208,{"DIAMANTE";"PLATINO";"ORO";"PLATA";"BRONCE";"CERRADO"},0),_xlpm.ant,MATCH(W208,{"DIAMANTE";"PLATINO";"ORO";"PLATA";"BRONCE";"CERRADO"},0),IF(_xlpm.act&lt;_xlpm.ant,"Mejora ↑",IF(_xlpm.act&gt;_xlpm.ant,"Baja ↓","Estable →")))</f>
        <v>Estable →</v>
      </c>
      <c r="Y208" s="5">
        <f>IFERROR(U208-SUMIFS(HIST_SCORE!$D:$D,HIST_SCORE!$B:$B,PARAMS_MODELO!$B$4,HIST_SCORE!$C:$C,$A208),"")</f>
        <v>0.79611581521456287</v>
      </c>
      <c r="Z208" s="5" t="str">
        <f t="shared" si="77"/>
        <v>→ Estable</v>
      </c>
      <c r="AA208" s="5">
        <f t="shared" si="78"/>
        <v>75</v>
      </c>
      <c r="AB208" s="5">
        <f>IFERROR(SUMIFS(HIST_SCORE!$F:$F,HIST_SCORE!$B:$B,PARAMS_MODELO!$B$4,HIST_SCORE!$C:$C,$A208),"")</f>
        <v>85</v>
      </c>
      <c r="AC208" s="5">
        <f t="shared" si="79"/>
        <v>10</v>
      </c>
      <c r="AD208" t="str">
        <f t="shared" si="81"/>
        <v/>
      </c>
      <c r="AE2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208="CERRADO",1,IF(V208="BRONCE",_xlpm.cPl,IF(V208="PLATA",_xlpm.cO,IF(V208="ORO",_xlpm.cP,IF(V208="PLATINO",_xlpm.cD,999))))))</f>
        <v>96.054919694466676</v>
      </c>
      <c r="AF2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208="CERRADO",0,IF(V208="BRONCE",1,IF(V208="PLATA",_xlpm.cPl,IF(V208="ORO",_xlpm.cO,IF(V208="PLATINO",_xlpm.cP,_xlpm.cD))))))</f>
        <v>86.439123873763251</v>
      </c>
      <c r="AG208">
        <f t="shared" si="82"/>
        <v>1.8347137637858566</v>
      </c>
      <c r="AH208" t="str">
        <f t="shared" si="83"/>
        <v>VENTAS</v>
      </c>
      <c r="AI208" t="str">
        <f t="shared" si="80"/>
        <v>🎯 Para subir de categoría, eje VENTAS / IMPACTO ABSOLUTO (H). Acción: metas semanales + activación comercial + seguimiento del asesor. ΔR aprox: 1,8</v>
      </c>
      <c r="AJ208" s="26">
        <f>_xlfn.LET(_xlpm.piso,AF208,_xlpm.corte,AE208,_xlpm.prog,IF(_xlpm.corte&lt;=_xlpm.piso,0,MAX(0,MIN(1,(U208-_xlpm.piso)/(_xlpm.corte-_xlpm.piso)))),_xlpm.orden,{"DIAMANTE";"PLATINO";"ORO";"PLATA";"BRONCE";"CERRADO"},_xlpm.act,IFERROR(MATCH(V208,_xlpm.orden,0),6),_xlpm.ant,IFERROR(MATCH(W208,_xlpm.orden,0),6),_xlpm.ajmov,IF(_xlpm.act&lt;_xlpm.ant,0.08,IF(_xlpm.act&gt;_xlpm.ant,-0.08,0)),_xlpm.ajcli,IF(T208&lt;0.95,-0.06,0),_xlpm.prob,MAX(0,MIN(1,_xlpm.prog+_xlpm.ajmov+_xlpm.ajcli)),IF(OR(V208="DIAMANTE",V208="CERRADO"),0,ROUND(_xlpm.prob,2)))</f>
        <v>0.79</v>
      </c>
      <c r="AK208" t="str">
        <f t="shared" si="84"/>
        <v>Faltan 1,8 puntos base para subir a la siguiente categoría</v>
      </c>
      <c r="AL208" t="str">
        <f t="shared" si="85"/>
        <v>Margen de seguridad: 7,6 puntos</v>
      </c>
      <c r="AM208">
        <f t="shared" si="86"/>
        <v>0.16</v>
      </c>
      <c r="AN208" t="str">
        <f t="shared" si="87"/>
        <v>PRIORIDAD BAJA – control normal</v>
      </c>
      <c r="AO208">
        <f t="shared" si="88"/>
        <v>9.1020916485229186</v>
      </c>
      <c r="AP208">
        <f t="shared" si="89"/>
        <v>0</v>
      </c>
      <c r="AQ208">
        <f t="shared" si="90"/>
        <v>0</v>
      </c>
      <c r="AR208">
        <f t="shared" si="91"/>
        <v>6.71</v>
      </c>
      <c r="AS208">
        <f t="shared" si="92"/>
        <v>0</v>
      </c>
      <c r="AT208" t="str">
        <f t="shared" si="93"/>
        <v>VENTAS</v>
      </c>
      <c r="AU208">
        <f t="shared" si="94"/>
        <v>9.1020916485229186</v>
      </c>
      <c r="AV208" t="str">
        <f t="shared" si="95"/>
        <v>Mayor retorno probable: VENTAS (+9,1 puntos finales potenciales).</v>
      </c>
    </row>
    <row r="209" spans="1:48" x14ac:dyDescent="0.3">
      <c r="A209" s="5">
        <v>51025440</v>
      </c>
      <c r="B209" s="5" t="str">
        <f>IFERROR(VLOOKUP(A209,VENTAS!$A$2:$B$1194,2,0),"")</f>
        <v>PRADES</v>
      </c>
      <c r="C209" s="5">
        <f>IFERROR(INDEX(VENTAS!$C$2:$E$1194,MATCH(A209,VENTAS!$A$2:$A$1194,0),MATCH(PARAMS_MODELO!$B$2,{"Q1","Q2","Q3"},0)),0)</f>
        <v>75774997</v>
      </c>
      <c r="D209" s="5">
        <f>IFERROR(INDEX(VENTAS!$F$2:$H$1194,MATCH(A209,VENTAS!$A$2:$A$1194,0),MATCH(PARAMS_MODELO!$B$2,{"Q1","Q2","Q3"},0)),0)</f>
        <v>120001284</v>
      </c>
      <c r="E209" s="8">
        <f t="shared" si="72"/>
        <v>0.58365277137523353</v>
      </c>
      <c r="F209" s="12">
        <f>IF(E209&lt;=PARAMS_MODELO!$B$15,0,IF(E209&gt;=PARAMS_MODELO!$B$17,100,100*MIN(1,(E209-PARAMS_MODELO!$B$15)/(PARAMS_MODELO!$B$16-PARAMS_MODELO!$B$15))))*PARAMS_MODELO!$B$7</f>
        <v>35</v>
      </c>
      <c r="G209" s="5">
        <f t="shared" si="73"/>
        <v>44226287</v>
      </c>
      <c r="H209" s="5">
        <f>(PARAMS_MODELO!$B$20*(MAX(0,MIN(3,E209))/3)+PARAMS_MODELO!$B$21*(IFERROR(LN(1+MAX(0,G209))/LN(1+MAX(0,MAX($G$2:$G$1194))),0)))*100*PARAMS_MODELO!$B$8</f>
        <v>6.1696026090241345</v>
      </c>
      <c r="I209" s="8">
        <f>E209-PARAMS_MODELO!$B$5</f>
        <v>0.406089935999707</v>
      </c>
      <c r="J209" s="5">
        <f>IF(I209&lt;=PARAMS_MODELO!$B$18,0,IF(I209&gt;=PARAMS_MODELO!$B$19,100,100*(I209-PARAMS_MODELO!$B$18)/(PARAMS_MODELO!$B$19-PARAMS_MODELO!$B$18)))*PARAMS_MODELO!$B$9</f>
        <v>15</v>
      </c>
      <c r="K209" s="5">
        <f>IFERROR(CHOOSE(MATCH(PARAMS_MODELO!$B$2,{"Q1","Q2","Q3"},0),LOTO!$D209,LOTO!$F209,LOTO!$H209),0)</f>
        <v>6110000</v>
      </c>
      <c r="L209" s="8">
        <f t="shared" si="74"/>
        <v>5.0916121864162722E-2</v>
      </c>
      <c r="M209" s="5">
        <f>MIN(100,IF(PARAMS_MODELO!$B$23=0,0,100*L209/PARAMS_MODELO!$B$23))*PARAMS_MODELO!$B$10</f>
        <v>15</v>
      </c>
      <c r="N209" s="5">
        <f>IFERROR(VLOOKUP(A209,COMPLIANCE!$A$2:$F$1996,6,0),100)</f>
        <v>100</v>
      </c>
      <c r="O209" s="5">
        <f>N209*PARAMS_MODELO!$B$11</f>
        <v>10</v>
      </c>
      <c r="P209" s="5">
        <f>IFERROR(VLOOKUP(A209,DIGITAL!$A$2:$J$2000,7,0),100)</f>
        <v>96</v>
      </c>
      <c r="Q209" s="5">
        <f>IFERROR(P209,0)*PARAMS_MODELO!$B$12</f>
        <v>9.6000000000000014</v>
      </c>
      <c r="R209">
        <f t="shared" si="75"/>
        <v>90.769602609024133</v>
      </c>
      <c r="S209" s="5" t="str">
        <f>IFERROR(VLOOKUP(A209,CLIENTE!$A$2:$N$2000,13,0),1)</f>
        <v>Regular</v>
      </c>
      <c r="T209" s="5">
        <f>IFERROR(VLOOKUP(A209,CLIENTE!$A$2:$N$2000,14,0),1)</f>
        <v>1</v>
      </c>
      <c r="U209" s="5">
        <f t="shared" si="76"/>
        <v>90.769602609024133</v>
      </c>
      <c r="V209" s="5" t="str">
        <f>IF(U209&gt;=MAX(_xlfn.PERCENTILE.INC($U$2:$U$1194,PARAMS_MODELO!$B$50),PARAMS_MODELO!$B$45),"DIAMANTE",IF(U209&gt;=MAX(_xlfn.PERCENTILE.INC($U$2:$U$1194,PARAMS_MODELO!$B$51),PARAMS_MODELO!$B$46),"PLATINO",IF(U209&gt;=MAX(_xlfn.PERCENTILE.INC($U$2:$U$1194,PARAMS_MODELO!$B$52),PARAMS_MODELO!$B$47),"ORO",IF(U209&gt;=MAX(_xlfn.PERCENTILE.INC($U$2:$U$1194,PARAMS_MODELO!$B$53),PARAMS_MODELO!$B$48),"PLATA",IF(U209&gt;=1,"BRONCE","CERRADO")))))</f>
        <v>PLATINO</v>
      </c>
      <c r="W209" s="5" t="str" cm="1">
        <f t="array" ref="W209">_xlfn.XLOOKUP(1, (HIST_SCORE!$B:$B=PARAMS_MODELO!$B$4) * (HIST_SCORE!$C:$C=A209), HIST_SCORE!$E:$E, "No encontrado")</f>
        <v>PLATINO</v>
      </c>
      <c r="X209" s="5" t="str">
        <f>_xlfn.LET(_xlpm.act,MATCH(V209,{"DIAMANTE";"PLATINO";"ORO";"PLATA";"BRONCE";"CERRADO"},0),_xlpm.ant,MATCH(W209,{"DIAMANTE";"PLATINO";"ORO";"PLATA";"BRONCE";"CERRADO"},0),IF(_xlpm.act&lt;_xlpm.ant,"Mejora ↑",IF(_xlpm.act&gt;_xlpm.ant,"Baja ↓","Estable →")))</f>
        <v>Estable →</v>
      </c>
      <c r="Y209" s="5">
        <f>IFERROR(U209-SUMIFS(HIST_SCORE!$D:$D,HIST_SCORE!$B:$B,PARAMS_MODELO!$B$4,HIST_SCORE!$C:$C,$A209),"")</f>
        <v>1.0088456033139437</v>
      </c>
      <c r="Z209" s="5" t="str">
        <f t="shared" si="77"/>
        <v>→ Estable</v>
      </c>
      <c r="AA209" s="5">
        <f t="shared" si="78"/>
        <v>119</v>
      </c>
      <c r="AB209" s="5">
        <f>IFERROR(SUMIFS(HIST_SCORE!$F:$F,HIST_SCORE!$B:$B,PARAMS_MODELO!$B$4,HIST_SCORE!$C:$C,$A209),"")</f>
        <v>134</v>
      </c>
      <c r="AC209" s="5">
        <f t="shared" si="79"/>
        <v>15</v>
      </c>
      <c r="AD209" t="str">
        <f t="shared" si="81"/>
        <v/>
      </c>
      <c r="AE2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209="CERRADO",1,IF(V209="BRONCE",_xlpm.cPl,IF(V209="PLATA",_xlpm.cO,IF(V209="ORO",_xlpm.cP,IF(V209="PLATINO",_xlpm.cD,999))))))</f>
        <v>96.054919694466676</v>
      </c>
      <c r="AF2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209="CERRADO",0,IF(V209="BRONCE",1,IF(V209="PLATA",_xlpm.cPl,IF(V209="ORO",_xlpm.cO,IF(V209="PLATINO",_xlpm.cP,_xlpm.cD))))))</f>
        <v>86.439123873763251</v>
      </c>
      <c r="AG209">
        <f t="shared" si="82"/>
        <v>5.2853170854425429</v>
      </c>
      <c r="AH209" t="str">
        <f t="shared" si="83"/>
        <v>VENTAS</v>
      </c>
      <c r="AI209" t="str">
        <f t="shared" si="80"/>
        <v>🎯 Para subir de categoría, eje VENTAS / IMPACTO ABSOLUTO (H). Acción: metas semanales + activación comercial + seguimiento del asesor. ΔR aprox: 5,3</v>
      </c>
      <c r="AJ209" s="26">
        <f>_xlfn.LET(_xlpm.piso,AF209,_xlpm.corte,AE209,_xlpm.prog,IF(_xlpm.corte&lt;=_xlpm.piso,0,MAX(0,MIN(1,(U209-_xlpm.piso)/(_xlpm.corte-_xlpm.piso)))),_xlpm.orden,{"DIAMANTE";"PLATINO";"ORO";"PLATA";"BRONCE";"CERRADO"},_xlpm.act,IFERROR(MATCH(V209,_xlpm.orden,0),6),_xlpm.ant,IFERROR(MATCH(W209,_xlpm.orden,0),6),_xlpm.ajmov,IF(_xlpm.act&lt;_xlpm.ant,0.08,IF(_xlpm.act&gt;_xlpm.ant,-0.08,0)),_xlpm.ajcli,IF(T209&lt;0.95,-0.06,0),_xlpm.prob,MAX(0,MIN(1,_xlpm.prog+_xlpm.ajmov+_xlpm.ajcli)),IF(OR(V209="DIAMANTE",V209="CERRADO"),0,ROUND(_xlpm.prob,2)))</f>
        <v>0.45</v>
      </c>
      <c r="AK209" t="str">
        <f t="shared" si="84"/>
        <v>Faltan 5,3 puntos base para subir a la siguiente categoría</v>
      </c>
      <c r="AL209" t="str">
        <f t="shared" si="85"/>
        <v>Margen de seguridad: 4,3 puntos</v>
      </c>
      <c r="AM209">
        <f t="shared" si="86"/>
        <v>0.43</v>
      </c>
      <c r="AN209" t="str">
        <f t="shared" si="87"/>
        <v>PRIORIDAD MEDIA – seguimiento del asesor</v>
      </c>
      <c r="AO209">
        <f t="shared" si="88"/>
        <v>8.6929666662714524</v>
      </c>
      <c r="AP209">
        <f t="shared" si="89"/>
        <v>0</v>
      </c>
      <c r="AQ209">
        <f t="shared" si="90"/>
        <v>0</v>
      </c>
      <c r="AR209">
        <f t="shared" si="91"/>
        <v>0.39999999999999858</v>
      </c>
      <c r="AS209">
        <f t="shared" si="92"/>
        <v>0</v>
      </c>
      <c r="AT209" t="str">
        <f t="shared" si="93"/>
        <v>VENTAS</v>
      </c>
      <c r="AU209">
        <f t="shared" si="94"/>
        <v>8.6929666662714524</v>
      </c>
      <c r="AV209" t="str">
        <f t="shared" si="95"/>
        <v>Mayor retorno probable: VENTAS (+8,7 puntos finales potenciales).</v>
      </c>
    </row>
    <row r="210" spans="1:48" x14ac:dyDescent="0.3">
      <c r="A210" s="5">
        <v>51055993</v>
      </c>
      <c r="B210" s="5" t="str">
        <f>IFERROR(VLOOKUP(A210,VENTAS!$A$2:$B$1194,2,0),"")</f>
        <v>LÓPEZ</v>
      </c>
      <c r="C210" s="5">
        <f>IFERROR(INDEX(VENTAS!$C$2:$E$1194,MATCH(A210,VENTAS!$A$2:$A$1194,0),MATCH(PARAMS_MODELO!$B$2,{"Q1","Q2","Q3"},0)),0)</f>
        <v>53353754.130000003</v>
      </c>
      <c r="D210" s="5">
        <f>IFERROR(INDEX(VENTAS!$F$2:$H$1194,MATCH(A210,VENTAS!$A$2:$A$1194,0),MATCH(PARAMS_MODELO!$B$2,{"Q1","Q2","Q3"},0)),0)</f>
        <v>119736755</v>
      </c>
      <c r="E210" s="8">
        <f t="shared" si="72"/>
        <v>1.2442048727865216</v>
      </c>
      <c r="F210" s="12">
        <f>IF(E210&lt;=PARAMS_MODELO!$B$15,0,IF(E210&gt;=PARAMS_MODELO!$B$17,100,100*MIN(1,(E210-PARAMS_MODELO!$B$15)/(PARAMS_MODELO!$B$16-PARAMS_MODELO!$B$15))))*PARAMS_MODELO!$B$7</f>
        <v>35</v>
      </c>
      <c r="G210" s="5">
        <f t="shared" si="73"/>
        <v>66383000.869999997</v>
      </c>
      <c r="H210" s="5">
        <f>(PARAMS_MODELO!$B$20*(MAX(0,MIN(3,E210))/3)+PARAMS_MODELO!$B$21*(IFERROR(LN(1+MAX(0,G210))/LN(1+MAX(0,MAX($G$2:$G$1194))),0)))*100*PARAMS_MODELO!$B$8</f>
        <v>8.5767355518287527</v>
      </c>
      <c r="I210" s="8">
        <f>E210-PARAMS_MODELO!$B$5</f>
        <v>1.0666420374109951</v>
      </c>
      <c r="J210" s="5">
        <f>IF(I210&lt;=PARAMS_MODELO!$B$18,0,IF(I210&gt;=PARAMS_MODELO!$B$19,100,100*(I210-PARAMS_MODELO!$B$18)/(PARAMS_MODELO!$B$19-PARAMS_MODELO!$B$18)))*PARAMS_MODELO!$B$9</f>
        <v>15</v>
      </c>
      <c r="K210" s="5">
        <f>IFERROR(CHOOSE(MATCH(PARAMS_MODELO!$B$2,{"Q1","Q2","Q3"},0),LOTO!$D210,LOTO!$F210,LOTO!$H210),0)</f>
        <v>6102500</v>
      </c>
      <c r="L210" s="8">
        <f t="shared" si="74"/>
        <v>5.096597114227791E-2</v>
      </c>
      <c r="M210" s="5">
        <f>MIN(100,IF(PARAMS_MODELO!$B$23=0,0,100*L210/PARAMS_MODELO!$B$23))*PARAMS_MODELO!$B$10</f>
        <v>15</v>
      </c>
      <c r="N210" s="5">
        <f>IFERROR(VLOOKUP(A210,COMPLIANCE!$A$2:$F$1996,6,0),100)</f>
        <v>100</v>
      </c>
      <c r="O210" s="5">
        <f>N210*PARAMS_MODELO!$B$11</f>
        <v>10</v>
      </c>
      <c r="P210" s="5">
        <f>IFERROR(VLOOKUP(A210,DIGITAL!$A$2:$J$2000,7,0),100)</f>
        <v>73</v>
      </c>
      <c r="Q210" s="5">
        <f>IFERROR(P210,0)*PARAMS_MODELO!$B$12</f>
        <v>7.3000000000000007</v>
      </c>
      <c r="R210">
        <f t="shared" si="75"/>
        <v>90.876735551828759</v>
      </c>
      <c r="S210" s="5" t="str">
        <f>IFERROR(VLOOKUP(A210,CLIENTE!$A$2:$N$2000,13,0),1)</f>
        <v>Regular</v>
      </c>
      <c r="T210" s="5">
        <f>IFERROR(VLOOKUP(A210,CLIENTE!$A$2:$N$2000,14,0),1)</f>
        <v>1</v>
      </c>
      <c r="U210" s="5">
        <f t="shared" si="76"/>
        <v>90.876735551828759</v>
      </c>
      <c r="V210" s="5" t="str">
        <f>IF(U210&gt;=MAX(_xlfn.PERCENTILE.INC($U$2:$U$1194,PARAMS_MODELO!$B$50),PARAMS_MODELO!$B$45),"DIAMANTE",IF(U210&gt;=MAX(_xlfn.PERCENTILE.INC($U$2:$U$1194,PARAMS_MODELO!$B$51),PARAMS_MODELO!$B$46),"PLATINO",IF(U210&gt;=MAX(_xlfn.PERCENTILE.INC($U$2:$U$1194,PARAMS_MODELO!$B$52),PARAMS_MODELO!$B$47),"ORO",IF(U210&gt;=MAX(_xlfn.PERCENTILE.INC($U$2:$U$1194,PARAMS_MODELO!$B$53),PARAMS_MODELO!$B$48),"PLATA",IF(U210&gt;=1,"BRONCE","CERRADO")))))</f>
        <v>PLATINO</v>
      </c>
      <c r="W210" s="5" t="str" cm="1">
        <f t="array" ref="W210">_xlfn.XLOOKUP(1, (HIST_SCORE!$B:$B=PARAMS_MODELO!$B$4) * (HIST_SCORE!$C:$C=A210), HIST_SCORE!$E:$E, "No encontrado")</f>
        <v>PLATINO</v>
      </c>
      <c r="X210" s="5" t="str">
        <f>_xlfn.LET(_xlpm.act,MATCH(V210,{"DIAMANTE";"PLATINO";"ORO";"PLATA";"BRONCE";"CERRADO"},0),_xlpm.ant,MATCH(W210,{"DIAMANTE";"PLATINO";"ORO";"PLATA";"BRONCE";"CERRADO"},0),IF(_xlpm.act&lt;_xlpm.ant,"Mejora ↑",IF(_xlpm.act&gt;_xlpm.ant,"Baja ↓","Estable →")))</f>
        <v>Estable →</v>
      </c>
      <c r="Y210" s="5">
        <f>IFERROR(U210-SUMIFS(HIST_SCORE!$D:$D,HIST_SCORE!$B:$B,PARAMS_MODELO!$B$4,HIST_SCORE!$C:$C,$A210),"")</f>
        <v>4.5115858486068703</v>
      </c>
      <c r="Z210" s="5" t="str">
        <f t="shared" si="77"/>
        <v>→ Estable</v>
      </c>
      <c r="AA210" s="5">
        <f t="shared" si="78"/>
        <v>117</v>
      </c>
      <c r="AB210" s="5">
        <f>IFERROR(SUMIFS(HIST_SCORE!$F:$F,HIST_SCORE!$B:$B,PARAMS_MODELO!$B$4,HIST_SCORE!$C:$C,$A210),"")</f>
        <v>219</v>
      </c>
      <c r="AC210" s="5">
        <f t="shared" si="79"/>
        <v>102</v>
      </c>
      <c r="AD210" t="str">
        <f t="shared" si="81"/>
        <v/>
      </c>
      <c r="AE2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210="CERRADO",1,IF(V210="BRONCE",_xlpm.cPl,IF(V210="PLATA",_xlpm.cO,IF(V210="ORO",_xlpm.cP,IF(V210="PLATINO",_xlpm.cD,999))))))</f>
        <v>96.054919694466676</v>
      </c>
      <c r="AF2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210="CERRADO",0,IF(V210="BRONCE",1,IF(V210="PLATA",_xlpm.cPl,IF(V210="ORO",_xlpm.cO,IF(V210="PLATINO",_xlpm.cP,_xlpm.cD))))))</f>
        <v>86.439123873763251</v>
      </c>
      <c r="AG210">
        <f t="shared" si="82"/>
        <v>5.1781841426379174</v>
      </c>
      <c r="AH210" t="str">
        <f t="shared" si="83"/>
        <v>VENTAS</v>
      </c>
      <c r="AI210" t="str">
        <f t="shared" si="80"/>
        <v>🎯 Para subir de categoría, eje VENTAS / IMPACTO ABSOLUTO (H). Acción: metas semanales + activación comercial + seguimiento del asesor. ΔR aprox: 5,2</v>
      </c>
      <c r="AJ210" s="26">
        <f>_xlfn.LET(_xlpm.piso,AF210,_xlpm.corte,AE210,_xlpm.prog,IF(_xlpm.corte&lt;=_xlpm.piso,0,MAX(0,MIN(1,(U210-_xlpm.piso)/(_xlpm.corte-_xlpm.piso)))),_xlpm.orden,{"DIAMANTE";"PLATINO";"ORO";"PLATA";"BRONCE";"CERRADO"},_xlpm.act,IFERROR(MATCH(V210,_xlpm.orden,0),6),_xlpm.ant,IFERROR(MATCH(W210,_xlpm.orden,0),6),_xlpm.ajmov,IF(_xlpm.act&lt;_xlpm.ant,0.08,IF(_xlpm.act&gt;_xlpm.ant,-0.08,0)),_xlpm.ajcli,IF(T210&lt;0.95,-0.06,0),_xlpm.prob,MAX(0,MIN(1,_xlpm.prog+_xlpm.ajmov+_xlpm.ajcli)),IF(OR(V210="DIAMANTE",V210="CERRADO"),0,ROUND(_xlpm.prob,2)))</f>
        <v>0.46</v>
      </c>
      <c r="AK210" t="str">
        <f t="shared" si="84"/>
        <v>Faltan 5,2 puntos base para subir a la siguiente categoría</v>
      </c>
      <c r="AL210" t="str">
        <f t="shared" si="85"/>
        <v>Margen de seguridad: 4,4 puntos</v>
      </c>
      <c r="AM210">
        <f t="shared" si="86"/>
        <v>0.42</v>
      </c>
      <c r="AN210" t="str">
        <f t="shared" si="87"/>
        <v>PRIORIDAD MEDIA – seguimiento del asesor</v>
      </c>
      <c r="AO210">
        <f t="shared" si="88"/>
        <v>6.2858337234668298</v>
      </c>
      <c r="AP210">
        <f t="shared" si="89"/>
        <v>0</v>
      </c>
      <c r="AQ210">
        <f t="shared" si="90"/>
        <v>0</v>
      </c>
      <c r="AR210">
        <f t="shared" si="91"/>
        <v>2.6999999999999993</v>
      </c>
      <c r="AS210">
        <f t="shared" si="92"/>
        <v>0</v>
      </c>
      <c r="AT210" t="str">
        <f t="shared" si="93"/>
        <v>VENTAS</v>
      </c>
      <c r="AU210">
        <f t="shared" si="94"/>
        <v>6.2858337234668298</v>
      </c>
      <c r="AV210" t="str">
        <f t="shared" si="95"/>
        <v>Mayor retorno probable: VENTAS (+6,3 puntos finales potenciales).</v>
      </c>
    </row>
    <row r="211" spans="1:48" x14ac:dyDescent="0.3">
      <c r="A211" s="5">
        <v>51021231</v>
      </c>
      <c r="B211" s="5" t="str">
        <f>IFERROR(VLOOKUP(A211,VENTAS!$A$2:$B$1194,2,0),"")</f>
        <v>PUGH</v>
      </c>
      <c r="C211" s="5">
        <f>IFERROR(INDEX(VENTAS!$C$2:$E$1194,MATCH(A211,VENTAS!$A$2:$A$1194,0),MATCH(PARAMS_MODELO!$B$2,{"Q1","Q2","Q3"},0)),0)</f>
        <v>109451604.09</v>
      </c>
      <c r="D211" s="5">
        <f>IFERROR(INDEX(VENTAS!$F$2:$H$1194,MATCH(A211,VENTAS!$A$2:$A$1194,0),MATCH(PARAMS_MODELO!$B$2,{"Q1","Q2","Q3"},0)),0)</f>
        <v>119618724</v>
      </c>
      <c r="E211" s="8">
        <f t="shared" si="72"/>
        <v>9.2891465543435636E-2</v>
      </c>
      <c r="F211" s="12">
        <f>IF(E211&lt;=PARAMS_MODELO!$B$15,0,IF(E211&gt;=PARAMS_MODELO!$B$17,100,100*MIN(1,(E211-PARAMS_MODELO!$B$15)/(PARAMS_MODELO!$B$16-PARAMS_MODELO!$B$15))))*PARAMS_MODELO!$B$7</f>
        <v>32.512012940202467</v>
      </c>
      <c r="G211" s="5">
        <f t="shared" si="73"/>
        <v>10167119.909999996</v>
      </c>
      <c r="H211" s="5">
        <f>(PARAMS_MODELO!$B$20*(MAX(0,MIN(3,E211))/3)+PARAMS_MODELO!$B$21*(IFERROR(LN(1+MAX(0,G211))/LN(1+MAX(0,MAX($G$2:$G$1194))),0)))*100*PARAMS_MODELO!$B$8</f>
        <v>4.1073119422259321</v>
      </c>
      <c r="I211" s="8">
        <f>E211-PARAMS_MODELO!$B$5</f>
        <v>-8.4671369832090893E-2</v>
      </c>
      <c r="J211" s="5">
        <f>IF(I211&lt;=PARAMS_MODELO!$B$18,0,IF(I211&gt;=PARAMS_MODELO!$B$19,100,100*(I211-PARAMS_MODELO!$B$18)/(PARAMS_MODELO!$B$19-PARAMS_MODELO!$B$18)))*PARAMS_MODELO!$B$9</f>
        <v>0</v>
      </c>
      <c r="K211" s="5">
        <f>IFERROR(CHOOSE(MATCH(PARAMS_MODELO!$B$2,{"Q1","Q2","Q3"},0),LOTO!$D211,LOTO!$F211,LOTO!$H211),0)</f>
        <v>6097500</v>
      </c>
      <c r="L211" s="8">
        <f t="shared" si="74"/>
        <v>5.0974461155429147E-2</v>
      </c>
      <c r="M211" s="5">
        <f>MIN(100,IF(PARAMS_MODELO!$B$23=0,0,100*L211/PARAMS_MODELO!$B$23))*PARAMS_MODELO!$B$10</f>
        <v>15</v>
      </c>
      <c r="N211" s="5">
        <f>IFERROR(VLOOKUP(A211,COMPLIANCE!$A$2:$F$1996,6,0),100)</f>
        <v>100</v>
      </c>
      <c r="O211" s="5">
        <f>N211*PARAMS_MODELO!$B$11</f>
        <v>10</v>
      </c>
      <c r="P211" s="5">
        <f>IFERROR(VLOOKUP(A211,DIGITAL!$A$2:$J$2000,7,0),100)</f>
        <v>9</v>
      </c>
      <c r="Q211" s="5">
        <f>IFERROR(P211,0)*PARAMS_MODELO!$B$12</f>
        <v>0.9</v>
      </c>
      <c r="R211">
        <f t="shared" si="75"/>
        <v>62.5193248824284</v>
      </c>
      <c r="S211" s="5" t="str">
        <f>IFERROR(VLOOKUP(A211,CLIENTE!$A$2:$N$2000,13,0),1)</f>
        <v>Malo</v>
      </c>
      <c r="T211" s="5">
        <f>IFERROR(VLOOKUP(A211,CLIENTE!$A$2:$N$2000,14,0),1)</f>
        <v>0.7</v>
      </c>
      <c r="U211" s="5">
        <f t="shared" si="76"/>
        <v>43.763527417699876</v>
      </c>
      <c r="V211" s="5" t="str">
        <f>IF(U211&gt;=MAX(_xlfn.PERCENTILE.INC($U$2:$U$1194,PARAMS_MODELO!$B$50),PARAMS_MODELO!$B$45),"DIAMANTE",IF(U211&gt;=MAX(_xlfn.PERCENTILE.INC($U$2:$U$1194,PARAMS_MODELO!$B$51),PARAMS_MODELO!$B$46),"PLATINO",IF(U211&gt;=MAX(_xlfn.PERCENTILE.INC($U$2:$U$1194,PARAMS_MODELO!$B$52),PARAMS_MODELO!$B$47),"ORO",IF(U211&gt;=MAX(_xlfn.PERCENTILE.INC($U$2:$U$1194,PARAMS_MODELO!$B$53),PARAMS_MODELO!$B$48),"PLATA",IF(U211&gt;=1,"BRONCE","CERRADO")))))</f>
        <v>PLATA</v>
      </c>
      <c r="W211" s="5" t="str" cm="1">
        <f t="array" ref="W211">_xlfn.XLOOKUP(1, (HIST_SCORE!$B:$B=PARAMS_MODELO!$B$4) * (HIST_SCORE!$C:$C=A211), HIST_SCORE!$E:$E, "No encontrado")</f>
        <v>PLATA</v>
      </c>
      <c r="X211" s="5" t="str">
        <f>_xlfn.LET(_xlpm.act,MATCH(V211,{"DIAMANTE";"PLATINO";"ORO";"PLATA";"BRONCE";"CERRADO"},0),_xlpm.ant,MATCH(W211,{"DIAMANTE";"PLATINO";"ORO";"PLATA";"BRONCE";"CERRADO"},0),IF(_xlpm.act&lt;_xlpm.ant,"Mejora ↑",IF(_xlpm.act&gt;_xlpm.ant,"Baja ↓","Estable →")))</f>
        <v>Estable →</v>
      </c>
      <c r="Y211" s="5">
        <f>IFERROR(U211-SUMIFS(HIST_SCORE!$D:$D,HIST_SCORE!$B:$B,PARAMS_MODELO!$B$4,HIST_SCORE!$C:$C,$A211),"")</f>
        <v>-8.3481035946205253</v>
      </c>
      <c r="Z211" s="5" t="str">
        <f t="shared" si="77"/>
        <v>↓ Baja</v>
      </c>
      <c r="AA211" s="5">
        <f t="shared" si="78"/>
        <v>777</v>
      </c>
      <c r="AB211" s="5">
        <f>IFERROR(SUMIFS(HIST_SCORE!$F:$F,HIST_SCORE!$B:$B,PARAMS_MODELO!$B$4,HIST_SCORE!$C:$C,$A211),"")</f>
        <v>758</v>
      </c>
      <c r="AC211" s="5">
        <f t="shared" si="79"/>
        <v>-19</v>
      </c>
      <c r="AD211" t="str">
        <f t="shared" si="81"/>
        <v/>
      </c>
      <c r="AE2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211="CERRADO",1,IF(V211="BRONCE",_xlpm.cPl,IF(V211="PLATA",_xlpm.cO,IF(V211="ORO",_xlpm.cP,IF(V211="PLATINO",_xlpm.cD,999))))))</f>
        <v>63.199193273331495</v>
      </c>
      <c r="AF2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211="CERRADO",0,IF(V211="BRONCE",1,IF(V211="PLATA",_xlpm.cPl,IF(V211="ORO",_xlpm.cO,IF(V211="PLATINO",_xlpm.cP,_xlpm.cD))))))</f>
        <v>24.506573482968111</v>
      </c>
      <c r="AG211">
        <f t="shared" si="82"/>
        <v>27.765236936616596</v>
      </c>
      <c r="AH211" t="str">
        <f t="shared" si="83"/>
        <v>VENTAS</v>
      </c>
      <c r="AI211" t="str">
        <f t="shared" si="80"/>
        <v>🎯 Para subir de categoría, eje VENTAS / DIFERENCIAL vs LOTBA (J). Acción: metas semanales + activación comercial + seguimiento del asesor. ΔR aprox: 27,8</v>
      </c>
      <c r="AJ211" s="26">
        <f>_xlfn.LET(_xlpm.piso,AF211,_xlpm.corte,AE211,_xlpm.prog,IF(_xlpm.corte&lt;=_xlpm.piso,0,MAX(0,MIN(1,(U211-_xlpm.piso)/(_xlpm.corte-_xlpm.piso)))),_xlpm.orden,{"DIAMANTE";"PLATINO";"ORO";"PLATA";"BRONCE";"CERRADO"},_xlpm.act,IFERROR(MATCH(V211,_xlpm.orden,0),6),_xlpm.ant,IFERROR(MATCH(W211,_xlpm.orden,0),6),_xlpm.ajmov,IF(_xlpm.act&lt;_xlpm.ant,0.08,IF(_xlpm.act&gt;_xlpm.ant,-0.08,0)),_xlpm.ajcli,IF(T211&lt;0.95,-0.06,0),_xlpm.prob,MAX(0,MIN(1,_xlpm.prog+_xlpm.ajmov+_xlpm.ajcli)),IF(OR(V211="DIAMANTE",V211="CERRADO"),0,ROUND(_xlpm.prob,2)))</f>
        <v>0.44</v>
      </c>
      <c r="AK211" t="str">
        <f t="shared" si="84"/>
        <v>Faltan 27,8 puntos base para subir a la siguiente categoría</v>
      </c>
      <c r="AL211" t="str">
        <f t="shared" si="85"/>
        <v>Margen de seguridad: 19,3 puntos</v>
      </c>
      <c r="AM211">
        <f t="shared" si="86"/>
        <v>0.82</v>
      </c>
      <c r="AN211" t="str">
        <f t="shared" si="87"/>
        <v>PRIORIDAD ALTA – requiere intervención inmediata</v>
      </c>
      <c r="AO211">
        <f t="shared" si="88"/>
        <v>19.770271075007027</v>
      </c>
      <c r="AP211">
        <f t="shared" si="89"/>
        <v>0</v>
      </c>
      <c r="AQ211">
        <f t="shared" si="90"/>
        <v>0</v>
      </c>
      <c r="AR211">
        <f t="shared" si="91"/>
        <v>6.3699999999999992</v>
      </c>
      <c r="AS211">
        <f t="shared" si="92"/>
        <v>18.755797464728523</v>
      </c>
      <c r="AT211" t="str">
        <f t="shared" si="93"/>
        <v>VENTAS</v>
      </c>
      <c r="AU211">
        <f t="shared" si="94"/>
        <v>19.770271075007027</v>
      </c>
      <c r="AV211" t="str">
        <f t="shared" si="95"/>
        <v>Mayor retorno probable: VENTAS (+19,8 puntos finales potenciales).</v>
      </c>
    </row>
    <row r="212" spans="1:48" x14ac:dyDescent="0.3">
      <c r="A212" s="5">
        <v>51024125</v>
      </c>
      <c r="B212" s="5" t="str">
        <f>IFERROR(VLOOKUP(A212,VENTAS!$A$2:$B$1194,2,0),"")</f>
        <v>PUGH</v>
      </c>
      <c r="C212" s="5">
        <f>IFERROR(INDEX(VENTAS!$C$2:$E$1194,MATCH(A212,VENTAS!$A$2:$A$1194,0),MATCH(PARAMS_MODELO!$B$2,{"Q1","Q2","Q3"},0)),0)</f>
        <v>118056351.66</v>
      </c>
      <c r="D212" s="5">
        <f>IFERROR(INDEX(VENTAS!$F$2:$H$1194,MATCH(A212,VENTAS!$A$2:$A$1194,0),MATCH(PARAMS_MODELO!$B$2,{"Q1","Q2","Q3"},0)),0)</f>
        <v>119447517</v>
      </c>
      <c r="E212" s="8">
        <f t="shared" si="72"/>
        <v>1.1783909297879536E-2</v>
      </c>
      <c r="F212" s="12">
        <f>IF(E212&lt;=PARAMS_MODELO!$B$15,0,IF(E212&gt;=PARAMS_MODELO!$B$17,100,100*MIN(1,(E212-PARAMS_MODELO!$B$15)/(PARAMS_MODELO!$B$16-PARAMS_MODELO!$B$15))))*PARAMS_MODELO!$B$7</f>
        <v>4.1243682542578375</v>
      </c>
      <c r="G212" s="5">
        <f t="shared" si="73"/>
        <v>1391165.3400000036</v>
      </c>
      <c r="H212" s="5">
        <f>(PARAMS_MODELO!$B$20*(MAX(0,MIN(3,E212))/3)+PARAMS_MODELO!$B$21*(IFERROR(LN(1+MAX(0,G212))/LN(1+MAX(0,MAX($G$2:$G$1194))),0)))*100*PARAMS_MODELO!$B$8</f>
        <v>3.3571822398395397</v>
      </c>
      <c r="I212" s="8">
        <f>E212-PARAMS_MODELO!$B$5</f>
        <v>-0.16577892607764699</v>
      </c>
      <c r="J212" s="5">
        <f>IF(I212&lt;=PARAMS_MODELO!$B$18,0,IF(I212&gt;=PARAMS_MODELO!$B$19,100,100*(I212-PARAMS_MODELO!$B$18)/(PARAMS_MODELO!$B$19-PARAMS_MODELO!$B$18)))*PARAMS_MODELO!$B$9</f>
        <v>0</v>
      </c>
      <c r="K212" s="5">
        <f>IFERROR(CHOOSE(MATCH(PARAMS_MODELO!$B$2,{"Q1","Q2","Q3"},0),LOTO!$D212,LOTO!$F212,LOTO!$H212),0)</f>
        <v>6080000</v>
      </c>
      <c r="L212" s="8">
        <f t="shared" si="74"/>
        <v>5.0901016217859092E-2</v>
      </c>
      <c r="M212" s="5">
        <f>MIN(100,IF(PARAMS_MODELO!$B$23=0,0,100*L212/PARAMS_MODELO!$B$23))*PARAMS_MODELO!$B$10</f>
        <v>15</v>
      </c>
      <c r="N212" s="5">
        <f>IFERROR(VLOOKUP(A212,COMPLIANCE!$A$2:$F$1996,6,0),100)</f>
        <v>100</v>
      </c>
      <c r="O212" s="5">
        <f>N212*PARAMS_MODELO!$B$11</f>
        <v>10</v>
      </c>
      <c r="P212" s="5">
        <f>IFERROR(VLOOKUP(A212,DIGITAL!$A$2:$J$2000,7,0),100)</f>
        <v>40</v>
      </c>
      <c r="Q212" s="5">
        <f>IFERROR(P212,0)*PARAMS_MODELO!$B$12</f>
        <v>4</v>
      </c>
      <c r="R212">
        <f t="shared" si="75"/>
        <v>36.481550494097377</v>
      </c>
      <c r="S212" s="5" t="str">
        <f>IFERROR(VLOOKUP(A212,CLIENTE!$A$2:$N$2000,13,0),1)</f>
        <v>Malo</v>
      </c>
      <c r="T212" s="5">
        <f>IFERROR(VLOOKUP(A212,CLIENTE!$A$2:$N$2000,14,0),1)</f>
        <v>0.7</v>
      </c>
      <c r="U212" s="5">
        <f t="shared" si="76"/>
        <v>25.537085345868164</v>
      </c>
      <c r="V212" s="5" t="str">
        <f>IF(U212&gt;=MAX(_xlfn.PERCENTILE.INC($U$2:$U$1194,PARAMS_MODELO!$B$50),PARAMS_MODELO!$B$45),"DIAMANTE",IF(U212&gt;=MAX(_xlfn.PERCENTILE.INC($U$2:$U$1194,PARAMS_MODELO!$B$51),PARAMS_MODELO!$B$46),"PLATINO",IF(U212&gt;=MAX(_xlfn.PERCENTILE.INC($U$2:$U$1194,PARAMS_MODELO!$B$52),PARAMS_MODELO!$B$47),"ORO",IF(U212&gt;=MAX(_xlfn.PERCENTILE.INC($U$2:$U$1194,PARAMS_MODELO!$B$53),PARAMS_MODELO!$B$48),"PLATA",IF(U212&gt;=1,"BRONCE","CERRADO")))))</f>
        <v>PLATA</v>
      </c>
      <c r="W212" s="5" t="str" cm="1">
        <f t="array" ref="W212">_xlfn.XLOOKUP(1, (HIST_SCORE!$B:$B=PARAMS_MODELO!$B$4) * (HIST_SCORE!$C:$C=A212), HIST_SCORE!$E:$E, "No encontrado")</f>
        <v>PLATA</v>
      </c>
      <c r="X212" s="5" t="str">
        <f>_xlfn.LET(_xlpm.act,MATCH(V212,{"DIAMANTE";"PLATINO";"ORO";"PLATA";"BRONCE";"CERRADO"},0),_xlpm.ant,MATCH(W212,{"DIAMANTE";"PLATINO";"ORO";"PLATA";"BRONCE";"CERRADO"},0),IF(_xlpm.act&lt;_xlpm.ant,"Mejora ↑",IF(_xlpm.act&gt;_xlpm.ant,"Baja ↓","Estable →")))</f>
        <v>Estable →</v>
      </c>
      <c r="Y212" s="5">
        <f>IFERROR(U212-SUMIFS(HIST_SCORE!$D:$D,HIST_SCORE!$B:$B,PARAMS_MODELO!$B$4,HIST_SCORE!$C:$C,$A212),"")</f>
        <v>-13.011811700981895</v>
      </c>
      <c r="Z212" s="5" t="str">
        <f t="shared" si="77"/>
        <v>↓ Baja</v>
      </c>
      <c r="AA212" s="5">
        <f t="shared" si="78"/>
        <v>911</v>
      </c>
      <c r="AB212" s="5">
        <f>IFERROR(SUMIFS(HIST_SCORE!$F:$F,HIST_SCORE!$B:$B,PARAMS_MODELO!$B$4,HIST_SCORE!$C:$C,$A212),"")</f>
        <v>848</v>
      </c>
      <c r="AC212" s="5">
        <f t="shared" si="79"/>
        <v>-63</v>
      </c>
      <c r="AD212" t="str">
        <f t="shared" si="81"/>
        <v/>
      </c>
      <c r="AE2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212="CERRADO",1,IF(V212="BRONCE",_xlpm.cPl,IF(V212="PLATA",_xlpm.cO,IF(V212="ORO",_xlpm.cP,IF(V212="PLATINO",_xlpm.cD,999))))))</f>
        <v>63.199193273331495</v>
      </c>
      <c r="AF2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212="CERRADO",0,IF(V212="BRONCE",1,IF(V212="PLATA",_xlpm.cPl,IF(V212="ORO",_xlpm.cO,IF(V212="PLATINO",_xlpm.cP,_xlpm.cD))))))</f>
        <v>24.506573482968111</v>
      </c>
      <c r="AG212">
        <f t="shared" si="82"/>
        <v>53.803011324947619</v>
      </c>
      <c r="AH212" t="str">
        <f t="shared" si="83"/>
        <v>VENTAS</v>
      </c>
      <c r="AI212" t="str">
        <f t="shared" si="80"/>
        <v>🎯 Para subir de categoría, eje VENTAS / DIFERENCIAL vs LOTBA (J). Acción: metas semanales + activación comercial + seguimiento del asesor. ΔR aprox: 53,8</v>
      </c>
      <c r="AJ212" s="26">
        <f>_xlfn.LET(_xlpm.piso,AF212,_xlpm.corte,AE212,_xlpm.prog,IF(_xlpm.corte&lt;=_xlpm.piso,0,MAX(0,MIN(1,(U212-_xlpm.piso)/(_xlpm.corte-_xlpm.piso)))),_xlpm.orden,{"DIAMANTE";"PLATINO";"ORO";"PLATA";"BRONCE";"CERRADO"},_xlpm.act,IFERROR(MATCH(V212,_xlpm.orden,0),6),_xlpm.ant,IFERROR(MATCH(W212,_xlpm.orden,0),6),_xlpm.ajmov,IF(_xlpm.act&lt;_xlpm.ant,0.08,IF(_xlpm.act&gt;_xlpm.ant,-0.08,0)),_xlpm.ajcli,IF(T212&lt;0.95,-0.06,0),_xlpm.prob,MAX(0,MIN(1,_xlpm.prog+_xlpm.ajmov+_xlpm.ajcli)),IF(OR(V212="DIAMANTE",V212="CERRADO"),0,ROUND(_xlpm.prob,2)))</f>
        <v>0</v>
      </c>
      <c r="AK212" t="str">
        <f t="shared" si="84"/>
        <v>Faltan 53,8 puntos base para subir a la siguiente categoría</v>
      </c>
      <c r="AL212" t="str">
        <f t="shared" si="85"/>
        <v>Margen de seguridad: 1,0 puntos</v>
      </c>
      <c r="AM212">
        <f t="shared" si="86"/>
        <v>1</v>
      </c>
      <c r="AN212" t="str">
        <f t="shared" si="87"/>
        <v>PRIORIDAD ALTA – requiere intervención inmediata</v>
      </c>
      <c r="AO212">
        <f t="shared" si="88"/>
        <v>40.166713146838745</v>
      </c>
      <c r="AP212">
        <f t="shared" si="89"/>
        <v>0</v>
      </c>
      <c r="AQ212">
        <f t="shared" si="90"/>
        <v>0</v>
      </c>
      <c r="AR212">
        <f t="shared" si="91"/>
        <v>4.1999999999999993</v>
      </c>
      <c r="AS212">
        <f t="shared" si="92"/>
        <v>10.944465148229215</v>
      </c>
      <c r="AT212" t="str">
        <f t="shared" si="93"/>
        <v>VENTAS</v>
      </c>
      <c r="AU212">
        <f t="shared" si="94"/>
        <v>40.166713146838745</v>
      </c>
      <c r="AV212" t="str">
        <f t="shared" si="95"/>
        <v>Mayor retorno probable: VENTAS (+40,2 puntos finales potenciales).</v>
      </c>
    </row>
    <row r="213" spans="1:48" x14ac:dyDescent="0.3">
      <c r="A213" s="5">
        <v>51014359</v>
      </c>
      <c r="B213" s="5" t="str">
        <f>IFERROR(VLOOKUP(A213,VENTAS!$A$2:$B$1194,2,0),"")</f>
        <v>NELLI</v>
      </c>
      <c r="C213" s="5">
        <f>IFERROR(INDEX(VENTAS!$C$2:$E$1194,MATCH(A213,VENTAS!$A$2:$A$1194,0),MATCH(PARAMS_MODELO!$B$2,{"Q1","Q2","Q3"},0)),0)</f>
        <v>98788743.480000004</v>
      </c>
      <c r="D213" s="5">
        <f>IFERROR(INDEX(VENTAS!$F$2:$H$1194,MATCH(A213,VENTAS!$A$2:$A$1194,0),MATCH(PARAMS_MODELO!$B$2,{"Q1","Q2","Q3"},0)),0)</f>
        <v>118687795</v>
      </c>
      <c r="E213" s="8">
        <f t="shared" si="72"/>
        <v>0.20143035348990557</v>
      </c>
      <c r="F213" s="12">
        <f>IF(E213&lt;=PARAMS_MODELO!$B$15,0,IF(E213&gt;=PARAMS_MODELO!$B$17,100,100*MIN(1,(E213-PARAMS_MODELO!$B$15)/(PARAMS_MODELO!$B$16-PARAMS_MODELO!$B$15))))*PARAMS_MODELO!$B$7</f>
        <v>35</v>
      </c>
      <c r="G213" s="5">
        <f t="shared" si="73"/>
        <v>19899051.519999996</v>
      </c>
      <c r="H213" s="5">
        <f>(PARAMS_MODELO!$B$20*(MAX(0,MIN(3,E213))/3)+PARAMS_MODELO!$B$21*(IFERROR(LN(1+MAX(0,G213))/LN(1+MAX(0,MAX($G$2:$G$1194))),0)))*100*PARAMS_MODELO!$B$8</f>
        <v>4.6446100825551451</v>
      </c>
      <c r="I213" s="8">
        <f>E213-PARAMS_MODELO!$B$5</f>
        <v>2.3867518114379038E-2</v>
      </c>
      <c r="J213" s="5">
        <f>IF(I213&lt;=PARAMS_MODELO!$B$18,0,IF(I213&gt;=PARAMS_MODELO!$B$19,100,100*(I213-PARAMS_MODELO!$B$18)/(PARAMS_MODELO!$B$19-PARAMS_MODELO!$B$18)))*PARAMS_MODELO!$B$9</f>
        <v>11.080127717156856</v>
      </c>
      <c r="K213" s="5">
        <f>IFERROR(CHOOSE(MATCH(PARAMS_MODELO!$B$2,{"Q1","Q2","Q3"},0),LOTO!$D213,LOTO!$F213,LOTO!$H213),0)</f>
        <v>6080000</v>
      </c>
      <c r="L213" s="8">
        <f t="shared" si="74"/>
        <v>5.1226834233460986E-2</v>
      </c>
      <c r="M213" s="5">
        <f>MIN(100,IF(PARAMS_MODELO!$B$23=0,0,100*L213/PARAMS_MODELO!$B$23))*PARAMS_MODELO!$B$10</f>
        <v>15</v>
      </c>
      <c r="N213" s="5">
        <f>IFERROR(VLOOKUP(A213,COMPLIANCE!$A$2:$F$1996,6,0),100)</f>
        <v>100</v>
      </c>
      <c r="O213" s="5">
        <f>N213*PARAMS_MODELO!$B$11</f>
        <v>10</v>
      </c>
      <c r="P213" s="5">
        <f>IFERROR(VLOOKUP(A213,DIGITAL!$A$2:$J$2000,7,0),100)</f>
        <v>58</v>
      </c>
      <c r="Q213" s="5">
        <f>IFERROR(P213,0)*PARAMS_MODELO!$B$12</f>
        <v>5.8000000000000007</v>
      </c>
      <c r="R213">
        <f t="shared" si="75"/>
        <v>81.524737799712</v>
      </c>
      <c r="S213" s="5" t="str">
        <f>IFERROR(VLOOKUP(A213,CLIENTE!$A$2:$N$2000,13,0),1)</f>
        <v>Regular</v>
      </c>
      <c r="T213" s="5">
        <f>IFERROR(VLOOKUP(A213,CLIENTE!$A$2:$N$2000,14,0),1)</f>
        <v>1</v>
      </c>
      <c r="U213" s="5">
        <f t="shared" si="76"/>
        <v>81.524737799712</v>
      </c>
      <c r="V213" s="5" t="str">
        <f>IF(U213&gt;=MAX(_xlfn.PERCENTILE.INC($U$2:$U$1194,PARAMS_MODELO!$B$50),PARAMS_MODELO!$B$45),"DIAMANTE",IF(U213&gt;=MAX(_xlfn.PERCENTILE.INC($U$2:$U$1194,PARAMS_MODELO!$B$51),PARAMS_MODELO!$B$46),"PLATINO",IF(U213&gt;=MAX(_xlfn.PERCENTILE.INC($U$2:$U$1194,PARAMS_MODELO!$B$52),PARAMS_MODELO!$B$47),"ORO",IF(U213&gt;=MAX(_xlfn.PERCENTILE.INC($U$2:$U$1194,PARAMS_MODELO!$B$53),PARAMS_MODELO!$B$48),"PLATA",IF(U213&gt;=1,"BRONCE","CERRADO")))))</f>
        <v>ORO</v>
      </c>
      <c r="W213" s="5" t="str" cm="1">
        <f t="array" ref="W213">_xlfn.XLOOKUP(1, (HIST_SCORE!$B:$B=PARAMS_MODELO!$B$4) * (HIST_SCORE!$C:$C=A213), HIST_SCORE!$E:$E, "No encontrado")</f>
        <v>ORO</v>
      </c>
      <c r="X213" s="5" t="str">
        <f>_xlfn.LET(_xlpm.act,MATCH(V213,{"DIAMANTE";"PLATINO";"ORO";"PLATA";"BRONCE";"CERRADO"},0),_xlpm.ant,MATCH(W213,{"DIAMANTE";"PLATINO";"ORO";"PLATA";"BRONCE";"CERRADO"},0),IF(_xlpm.act&lt;_xlpm.ant,"Mejora ↑",IF(_xlpm.act&gt;_xlpm.ant,"Baja ↓","Estable →")))</f>
        <v>Estable →</v>
      </c>
      <c r="Y213" s="5">
        <f>IFERROR(U213-SUMIFS(HIST_SCORE!$D:$D,HIST_SCORE!$B:$B,PARAMS_MODELO!$B$4,HIST_SCORE!$C:$C,$A213),"")</f>
        <v>-4.044586657886029</v>
      </c>
      <c r="Z213" s="5" t="str">
        <f t="shared" si="77"/>
        <v>→ Estable</v>
      </c>
      <c r="AA213" s="5">
        <f t="shared" si="78"/>
        <v>400</v>
      </c>
      <c r="AB213" s="5">
        <f>IFERROR(SUMIFS(HIST_SCORE!$F:$F,HIST_SCORE!$B:$B,PARAMS_MODELO!$B$4,HIST_SCORE!$C:$C,$A213),"")</f>
        <v>252</v>
      </c>
      <c r="AC213" s="5">
        <f t="shared" si="79"/>
        <v>-148</v>
      </c>
      <c r="AD213" t="str">
        <f t="shared" si="81"/>
        <v>Sostener base y reforzar mix</v>
      </c>
      <c r="AE2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213="CERRADO",1,IF(V213="BRONCE",_xlpm.cPl,IF(V213="PLATA",_xlpm.cO,IF(V213="ORO",_xlpm.cP,IF(V213="PLATINO",_xlpm.cD,999))))))</f>
        <v>86.439123873763251</v>
      </c>
      <c r="AF2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213="CERRADO",0,IF(V213="BRONCE",1,IF(V213="PLATA",_xlpm.cPl,IF(V213="ORO",_xlpm.cO,IF(V213="PLATINO",_xlpm.cP,_xlpm.cD))))))</f>
        <v>63.199193273331495</v>
      </c>
      <c r="AG213">
        <f t="shared" si="82"/>
        <v>4.9143860740512508</v>
      </c>
      <c r="AH213" t="str">
        <f t="shared" si="83"/>
        <v>VENTAS</v>
      </c>
      <c r="AI213" t="str">
        <f t="shared" si="80"/>
        <v>🎯 Para subir de categoría, eje VENTAS / IMPACTO ABSOLUTO (H). Acción: metas semanales + activación comercial + seguimiento del asesor. ΔR aprox: 4,9</v>
      </c>
      <c r="AJ213" s="26">
        <f>_xlfn.LET(_xlpm.piso,AF213,_xlpm.corte,AE213,_xlpm.prog,IF(_xlpm.corte&lt;=_xlpm.piso,0,MAX(0,MIN(1,(U213-_xlpm.piso)/(_xlpm.corte-_xlpm.piso)))),_xlpm.orden,{"DIAMANTE";"PLATINO";"ORO";"PLATA";"BRONCE";"CERRADO"},_xlpm.act,IFERROR(MATCH(V213,_xlpm.orden,0),6),_xlpm.ant,IFERROR(MATCH(W213,_xlpm.orden,0),6),_xlpm.ajmov,IF(_xlpm.act&lt;_xlpm.ant,0.08,IF(_xlpm.act&gt;_xlpm.ant,-0.08,0)),_xlpm.ajcli,IF(T213&lt;0.95,-0.06,0),_xlpm.prob,MAX(0,MIN(1,_xlpm.prog+_xlpm.ajmov+_xlpm.ajcli)),IF(OR(V213="DIAMANTE",V213="CERRADO"),0,ROUND(_xlpm.prob,2)))</f>
        <v>0.79</v>
      </c>
      <c r="AK213" t="str">
        <f t="shared" si="84"/>
        <v>Faltan 4,9 puntos base para subir a la siguiente categoría</v>
      </c>
      <c r="AL213" t="str">
        <f t="shared" si="85"/>
        <v>Margen de seguridad: 18,3 puntos</v>
      </c>
      <c r="AM213">
        <f t="shared" si="86"/>
        <v>0.28000000000000003</v>
      </c>
      <c r="AN213" t="str">
        <f t="shared" si="87"/>
        <v>PRIORIDAD BAJA – control normal</v>
      </c>
      <c r="AO213">
        <f t="shared" si="88"/>
        <v>14.137831475583582</v>
      </c>
      <c r="AP213">
        <f t="shared" si="89"/>
        <v>0</v>
      </c>
      <c r="AQ213">
        <f t="shared" si="90"/>
        <v>0</v>
      </c>
      <c r="AR213">
        <f t="shared" si="91"/>
        <v>4.1999999999999993</v>
      </c>
      <c r="AS213">
        <f t="shared" si="92"/>
        <v>0</v>
      </c>
      <c r="AT213" t="str">
        <f t="shared" si="93"/>
        <v>VENTAS</v>
      </c>
      <c r="AU213">
        <f t="shared" si="94"/>
        <v>14.137831475583582</v>
      </c>
      <c r="AV213" t="str">
        <f t="shared" si="95"/>
        <v>Mayor retorno probable: VENTAS (+14,1 puntos finales potenciales).</v>
      </c>
    </row>
    <row r="214" spans="1:48" x14ac:dyDescent="0.3">
      <c r="A214" s="5">
        <v>51024681</v>
      </c>
      <c r="B214" s="5" t="str">
        <f>IFERROR(VLOOKUP(A214,VENTAS!$A$2:$B$1194,2,0),"")</f>
        <v>NELLI</v>
      </c>
      <c r="C214" s="5">
        <f>IFERROR(INDEX(VENTAS!$C$2:$E$1194,MATCH(A214,VENTAS!$A$2:$A$1194,0),MATCH(PARAMS_MODELO!$B$2,{"Q1","Q2","Q3"},0)),0)</f>
        <v>96325787.760000005</v>
      </c>
      <c r="D214" s="5">
        <f>IFERROR(INDEX(VENTAS!$F$2:$H$1194,MATCH(A214,VENTAS!$A$2:$A$1194,0),MATCH(PARAMS_MODELO!$B$2,{"Q1","Q2","Q3"},0)),0)</f>
        <v>118658159</v>
      </c>
      <c r="E214" s="8">
        <f t="shared" si="72"/>
        <v>0.23184208257545835</v>
      </c>
      <c r="F214" s="12">
        <f>IF(E214&lt;=PARAMS_MODELO!$B$15,0,IF(E214&gt;=PARAMS_MODELO!$B$17,100,100*MIN(1,(E214-PARAMS_MODELO!$B$15)/(PARAMS_MODELO!$B$16-PARAMS_MODELO!$B$15))))*PARAMS_MODELO!$B$7</f>
        <v>35</v>
      </c>
      <c r="G214" s="5">
        <f t="shared" si="73"/>
        <v>22332371.239999995</v>
      </c>
      <c r="H214" s="5">
        <f>(PARAMS_MODELO!$B$20*(MAX(0,MIN(3,E214))/3)+PARAMS_MODELO!$B$21*(IFERROR(LN(1+MAX(0,G214))/LN(1+MAX(0,MAX($G$2:$G$1194))),0)))*100*PARAMS_MODELO!$B$8</f>
        <v>4.7780943424752813</v>
      </c>
      <c r="I214" s="8">
        <f>E214-PARAMS_MODELO!$B$5</f>
        <v>5.4279247199931824E-2</v>
      </c>
      <c r="J214" s="5">
        <f>IF(I214&lt;=PARAMS_MODELO!$B$18,0,IF(I214&gt;=PARAMS_MODELO!$B$19,100,100*(I214-PARAMS_MODELO!$B$18)/(PARAMS_MODELO!$B$19-PARAMS_MODELO!$B$18)))*PARAMS_MODELO!$B$9</f>
        <v>15</v>
      </c>
      <c r="K214" s="5">
        <f>IFERROR(CHOOSE(MATCH(PARAMS_MODELO!$B$2,{"Q1","Q2","Q3"},0),LOTO!$D214,LOTO!$F214,LOTO!$H214),0)</f>
        <v>6065000</v>
      </c>
      <c r="L214" s="8">
        <f t="shared" si="74"/>
        <v>5.1113215063449617E-2</v>
      </c>
      <c r="M214" s="5">
        <f>MIN(100,IF(PARAMS_MODELO!$B$23=0,0,100*L214/PARAMS_MODELO!$B$23))*PARAMS_MODELO!$B$10</f>
        <v>15</v>
      </c>
      <c r="N214" s="5">
        <f>IFERROR(VLOOKUP(A214,COMPLIANCE!$A$2:$F$1996,6,0),100)</f>
        <v>100</v>
      </c>
      <c r="O214" s="5">
        <f>N214*PARAMS_MODELO!$B$11</f>
        <v>10</v>
      </c>
      <c r="P214" s="5">
        <f>IFERROR(VLOOKUP(A214,DIGITAL!$A$2:$J$2000,7,0),100)</f>
        <v>33</v>
      </c>
      <c r="Q214" s="5">
        <f>IFERROR(P214,0)*PARAMS_MODELO!$B$12</f>
        <v>3.3000000000000003</v>
      </c>
      <c r="R214">
        <f t="shared" si="75"/>
        <v>83.078094342475282</v>
      </c>
      <c r="S214" s="5" t="str">
        <f>IFERROR(VLOOKUP(A214,CLIENTE!$A$2:$N$2000,13,0),1)</f>
        <v>Regular</v>
      </c>
      <c r="T214" s="5">
        <f>IFERROR(VLOOKUP(A214,CLIENTE!$A$2:$N$2000,14,0),1)</f>
        <v>1</v>
      </c>
      <c r="U214" s="5">
        <f t="shared" si="76"/>
        <v>83.078094342475282</v>
      </c>
      <c r="V214" s="5" t="str">
        <f>IF(U214&gt;=MAX(_xlfn.PERCENTILE.INC($U$2:$U$1194,PARAMS_MODELO!$B$50),PARAMS_MODELO!$B$45),"DIAMANTE",IF(U214&gt;=MAX(_xlfn.PERCENTILE.INC($U$2:$U$1194,PARAMS_MODELO!$B$51),PARAMS_MODELO!$B$46),"PLATINO",IF(U214&gt;=MAX(_xlfn.PERCENTILE.INC($U$2:$U$1194,PARAMS_MODELO!$B$52),PARAMS_MODELO!$B$47),"ORO",IF(U214&gt;=MAX(_xlfn.PERCENTILE.INC($U$2:$U$1194,PARAMS_MODELO!$B$53),PARAMS_MODELO!$B$48),"PLATA",IF(U214&gt;=1,"BRONCE","CERRADO")))))</f>
        <v>ORO</v>
      </c>
      <c r="W214" s="5" t="str" cm="1">
        <f t="array" ref="W214">_xlfn.XLOOKUP(1, (HIST_SCORE!$B:$B=PARAMS_MODELO!$B$4) * (HIST_SCORE!$C:$C=A214), HIST_SCORE!$E:$E, "No encontrado")</f>
        <v>ORO</v>
      </c>
      <c r="X214" s="5" t="str">
        <f>_xlfn.LET(_xlpm.act,MATCH(V214,{"DIAMANTE";"PLATINO";"ORO";"PLATA";"BRONCE";"CERRADO"},0),_xlpm.ant,MATCH(W214,{"DIAMANTE";"PLATINO";"ORO";"PLATA";"BRONCE";"CERRADO"},0),IF(_xlpm.act&lt;_xlpm.ant,"Mejora ↑",IF(_xlpm.act&gt;_xlpm.ant,"Baja ↓","Estable →")))</f>
        <v>Estable →</v>
      </c>
      <c r="Y214" s="5">
        <f>IFERROR(U214-SUMIFS(HIST_SCORE!$D:$D,HIST_SCORE!$B:$B,PARAMS_MODELO!$B$4,HIST_SCORE!$C:$C,$A214),"")</f>
        <v>-0.26124111978860753</v>
      </c>
      <c r="Z214" s="5" t="str">
        <f t="shared" si="77"/>
        <v>→ Estable</v>
      </c>
      <c r="AA214" s="5">
        <f t="shared" si="78"/>
        <v>351</v>
      </c>
      <c r="AB214" s="5">
        <f>IFERROR(SUMIFS(HIST_SCORE!$F:$F,HIST_SCORE!$B:$B,PARAMS_MODELO!$B$4,HIST_SCORE!$C:$C,$A214),"")</f>
        <v>316</v>
      </c>
      <c r="AC214" s="5">
        <f t="shared" si="79"/>
        <v>-35</v>
      </c>
      <c r="AD214" t="str">
        <f t="shared" si="81"/>
        <v>Sostener base y reforzar mix</v>
      </c>
      <c r="AE2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214="CERRADO",1,IF(V214="BRONCE",_xlpm.cPl,IF(V214="PLATA",_xlpm.cO,IF(V214="ORO",_xlpm.cP,IF(V214="PLATINO",_xlpm.cD,999))))))</f>
        <v>86.439123873763251</v>
      </c>
      <c r="AF2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214="CERRADO",0,IF(V214="BRONCE",1,IF(V214="PLATA",_xlpm.cPl,IF(V214="ORO",_xlpm.cO,IF(V214="PLATINO",_xlpm.cP,_xlpm.cD))))))</f>
        <v>63.199193273331495</v>
      </c>
      <c r="AG214">
        <f t="shared" si="82"/>
        <v>3.3610295312879686</v>
      </c>
      <c r="AH214" t="str">
        <f t="shared" si="83"/>
        <v>VENTAS</v>
      </c>
      <c r="AI214" t="str">
        <f t="shared" si="80"/>
        <v>🎯 Para subir de categoría, eje VENTAS / IMPACTO ABSOLUTO (H). Acción: metas semanales + activación comercial + seguimiento del asesor. ΔR aprox: 3,4</v>
      </c>
      <c r="AJ214" s="26">
        <f>_xlfn.LET(_xlpm.piso,AF214,_xlpm.corte,AE214,_xlpm.prog,IF(_xlpm.corte&lt;=_xlpm.piso,0,MAX(0,MIN(1,(U214-_xlpm.piso)/(_xlpm.corte-_xlpm.piso)))),_xlpm.orden,{"DIAMANTE";"PLATINO";"ORO";"PLATA";"BRONCE";"CERRADO"},_xlpm.act,IFERROR(MATCH(V214,_xlpm.orden,0),6),_xlpm.ant,IFERROR(MATCH(W214,_xlpm.orden,0),6),_xlpm.ajmov,IF(_xlpm.act&lt;_xlpm.ant,0.08,IF(_xlpm.act&gt;_xlpm.ant,-0.08,0)),_xlpm.ajcli,IF(T214&lt;0.95,-0.06,0),_xlpm.prob,MAX(0,MIN(1,_xlpm.prog+_xlpm.ajmov+_xlpm.ajcli)),IF(OR(V214="DIAMANTE",V214="CERRADO"),0,ROUND(_xlpm.prob,2)))</f>
        <v>0.86</v>
      </c>
      <c r="AK214" t="str">
        <f t="shared" si="84"/>
        <v>Faltan 3,4 puntos base para subir a la siguiente categoría</v>
      </c>
      <c r="AL214" t="str">
        <f t="shared" si="85"/>
        <v>Margen de seguridad: 19,9 puntos</v>
      </c>
      <c r="AM214">
        <f t="shared" si="86"/>
        <v>0.19</v>
      </c>
      <c r="AN214" t="str">
        <f t="shared" si="87"/>
        <v>PRIORIDAD BAJA – control normal</v>
      </c>
      <c r="AO214">
        <f t="shared" si="88"/>
        <v>10.084474932820299</v>
      </c>
      <c r="AP214">
        <f t="shared" si="89"/>
        <v>0</v>
      </c>
      <c r="AQ214">
        <f t="shared" si="90"/>
        <v>0</v>
      </c>
      <c r="AR214">
        <f t="shared" si="91"/>
        <v>6.6999999999999993</v>
      </c>
      <c r="AS214">
        <f t="shared" si="92"/>
        <v>0</v>
      </c>
      <c r="AT214" t="str">
        <f t="shared" si="93"/>
        <v>VENTAS</v>
      </c>
      <c r="AU214">
        <f t="shared" si="94"/>
        <v>10.084474932820299</v>
      </c>
      <c r="AV214" t="str">
        <f t="shared" si="95"/>
        <v>Mayor retorno probable: VENTAS (+10,1 puntos finales potenciales).</v>
      </c>
    </row>
    <row r="215" spans="1:48" x14ac:dyDescent="0.3">
      <c r="A215" s="5">
        <v>51024001</v>
      </c>
      <c r="B215" s="5" t="str">
        <f>IFERROR(VLOOKUP(A215,VENTAS!$A$2:$B$1194,2,0),"")</f>
        <v>ROBERTS</v>
      </c>
      <c r="C215" s="5">
        <f>IFERROR(INDEX(VENTAS!$C$2:$E$1194,MATCH(A215,VENTAS!$A$2:$A$1194,0),MATCH(PARAMS_MODELO!$B$2,{"Q1","Q2","Q3"},0)),0)</f>
        <v>122211962.73</v>
      </c>
      <c r="D215" s="5">
        <f>IFERROR(INDEX(VENTAS!$F$2:$H$1194,MATCH(A215,VENTAS!$A$2:$A$1194,0),MATCH(PARAMS_MODELO!$B$2,{"Q1","Q2","Q3"},0)),0)</f>
        <v>118545197</v>
      </c>
      <c r="E215" s="8">
        <f t="shared" si="72"/>
        <v>-3.0003329036625503E-2</v>
      </c>
      <c r="F215" s="12">
        <f>IF(E215&lt;=PARAMS_MODELO!$B$15,0,IF(E215&gt;=PARAMS_MODELO!$B$17,100,100*MIN(1,(E215-PARAMS_MODELO!$B$15)/(PARAMS_MODELO!$B$16-PARAMS_MODELO!$B$15))))*PARAMS_MODELO!$B$7</f>
        <v>0</v>
      </c>
      <c r="G215" s="5">
        <f t="shared" si="73"/>
        <v>0</v>
      </c>
      <c r="H215" s="5">
        <f>(PARAMS_MODELO!$B$20*(MAX(0,MIN(3,E215))/3)+PARAMS_MODELO!$B$21*(IFERROR(LN(1+MAX(0,G215))/LN(1+MAX(0,MAX($G$2:$G$1194))),0)))*100*PARAMS_MODELO!$B$8</f>
        <v>0</v>
      </c>
      <c r="I215" s="8">
        <f>E215-PARAMS_MODELO!$B$5</f>
        <v>-0.20756616441215203</v>
      </c>
      <c r="J215" s="5">
        <f>IF(I215&lt;=PARAMS_MODELO!$B$18,0,IF(I215&gt;=PARAMS_MODELO!$B$19,100,100*(I215-PARAMS_MODELO!$B$18)/(PARAMS_MODELO!$B$19-PARAMS_MODELO!$B$18)))*PARAMS_MODELO!$B$9</f>
        <v>0</v>
      </c>
      <c r="K215" s="5">
        <f>IFERROR(CHOOSE(MATCH(PARAMS_MODELO!$B$2,{"Q1","Q2","Q3"},0),LOTO!$D215,LOTO!$F215,LOTO!$H215),0)</f>
        <v>6047500</v>
      </c>
      <c r="L215" s="8">
        <f t="shared" si="74"/>
        <v>5.1014297947473988E-2</v>
      </c>
      <c r="M215" s="5">
        <f>MIN(100,IF(PARAMS_MODELO!$B$23=0,0,100*L215/PARAMS_MODELO!$B$23))*PARAMS_MODELO!$B$10</f>
        <v>15</v>
      </c>
      <c r="N215" s="5">
        <f>IFERROR(VLOOKUP(A215,COMPLIANCE!$A$2:$F$1996,6,0),100)</f>
        <v>100</v>
      </c>
      <c r="O215" s="5">
        <f>N215*PARAMS_MODELO!$B$11</f>
        <v>10</v>
      </c>
      <c r="P215" s="5">
        <f>IFERROR(VLOOKUP(A215,DIGITAL!$A$2:$J$2000,7,0),100)</f>
        <v>66</v>
      </c>
      <c r="Q215" s="5">
        <f>IFERROR(P215,0)*PARAMS_MODELO!$B$12</f>
        <v>6.6000000000000005</v>
      </c>
      <c r="R215">
        <f t="shared" si="75"/>
        <v>31.6</v>
      </c>
      <c r="S215" s="5" t="str">
        <f>IFERROR(VLOOKUP(A215,CLIENTE!$A$2:$N$2000,13,0),1)</f>
        <v>Malo</v>
      </c>
      <c r="T215" s="5">
        <f>IFERROR(VLOOKUP(A215,CLIENTE!$A$2:$N$2000,14,0),1)</f>
        <v>0.7</v>
      </c>
      <c r="U215" s="5">
        <f t="shared" si="76"/>
        <v>22.12</v>
      </c>
      <c r="V215" s="5" t="str">
        <f>IF(U215&gt;=MAX(_xlfn.PERCENTILE.INC($U$2:$U$1194,PARAMS_MODELO!$B$50),PARAMS_MODELO!$B$45),"DIAMANTE",IF(U215&gt;=MAX(_xlfn.PERCENTILE.INC($U$2:$U$1194,PARAMS_MODELO!$B$51),PARAMS_MODELO!$B$46),"PLATINO",IF(U215&gt;=MAX(_xlfn.PERCENTILE.INC($U$2:$U$1194,PARAMS_MODELO!$B$52),PARAMS_MODELO!$B$47),"ORO",IF(U215&gt;=MAX(_xlfn.PERCENTILE.INC($U$2:$U$1194,PARAMS_MODELO!$B$53),PARAMS_MODELO!$B$48),"PLATA",IF(U215&gt;=1,"BRONCE","CERRADO")))))</f>
        <v>BRONCE</v>
      </c>
      <c r="W215" s="5" t="str" cm="1">
        <f t="array" ref="W215">_xlfn.XLOOKUP(1, (HIST_SCORE!$B:$B=PARAMS_MODELO!$B$4) * (HIST_SCORE!$C:$C=A215), HIST_SCORE!$E:$E, "No encontrado")</f>
        <v>PLATA</v>
      </c>
      <c r="X215" s="5" t="str">
        <f>_xlfn.LET(_xlpm.act,MATCH(V215,{"DIAMANTE";"PLATINO";"ORO";"PLATA";"BRONCE";"CERRADO"},0),_xlpm.ant,MATCH(W215,{"DIAMANTE";"PLATINO";"ORO";"PLATA";"BRONCE";"CERRADO"},0),IF(_xlpm.act&lt;_xlpm.ant,"Mejora ↑",IF(_xlpm.act&gt;_xlpm.ant,"Baja ↓","Estable →")))</f>
        <v>Baja ↓</v>
      </c>
      <c r="Y215" s="5">
        <f>IFERROR(U215-SUMIFS(HIST_SCORE!$D:$D,HIST_SCORE!$B:$B,PARAMS_MODELO!$B$4,HIST_SCORE!$C:$C,$A215),"")</f>
        <v>-13.613866907920833</v>
      </c>
      <c r="Z215" s="5" t="str">
        <f t="shared" si="77"/>
        <v>↓ Baja</v>
      </c>
      <c r="AA215" s="5">
        <f t="shared" si="78"/>
        <v>947</v>
      </c>
      <c r="AB215" s="5">
        <f>IFERROR(SUMIFS(HIST_SCORE!$F:$F,HIST_SCORE!$B:$B,PARAMS_MODELO!$B$4,HIST_SCORE!$C:$C,$A215),"")</f>
        <v>864</v>
      </c>
      <c r="AC215" s="5">
        <f t="shared" si="79"/>
        <v>-83</v>
      </c>
      <c r="AD215" t="str">
        <f t="shared" si="81"/>
        <v>Plan de recuperación: foco crecimiento + mix</v>
      </c>
      <c r="AE2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215="CERRADO",1,IF(V215="BRONCE",_xlpm.cPl,IF(V215="PLATA",_xlpm.cO,IF(V215="ORO",_xlpm.cP,IF(V215="PLATINO",_xlpm.cD,999))))))</f>
        <v>24.506573482968111</v>
      </c>
      <c r="AF2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215="CERRADO",0,IF(V215="BRONCE",1,IF(V215="PLATA",_xlpm.cPl,IF(V215="ORO",_xlpm.cO,IF(V215="PLATINO",_xlpm.cP,_xlpm.cD))))))</f>
        <v>1</v>
      </c>
      <c r="AG215">
        <f t="shared" si="82"/>
        <v>3.4093906899544422</v>
      </c>
      <c r="AH215" t="str">
        <f t="shared" si="83"/>
        <v>CLIENTE</v>
      </c>
      <c r="AI215" t="str">
        <f t="shared" si="80"/>
        <v>🎯 Para subir de categoría, la eje con mayor impacto probable es CLIENTE (coef T). Acción: reducir quejas, mejorar incógnito y empujar reseñas. ΔR aprox: 3,4</v>
      </c>
      <c r="AJ215" s="26">
        <f>_xlfn.LET(_xlpm.piso,AF215,_xlpm.corte,AE215,_xlpm.prog,IF(_xlpm.corte&lt;=_xlpm.piso,0,MAX(0,MIN(1,(U215-_xlpm.piso)/(_xlpm.corte-_xlpm.piso)))),_xlpm.orden,{"DIAMANTE";"PLATINO";"ORO";"PLATA";"BRONCE";"CERRADO"},_xlpm.act,IFERROR(MATCH(V215,_xlpm.orden,0),6),_xlpm.ant,IFERROR(MATCH(W215,_xlpm.orden,0),6),_xlpm.ajmov,IF(_xlpm.act&lt;_xlpm.ant,0.08,IF(_xlpm.act&gt;_xlpm.ant,-0.08,0)),_xlpm.ajcli,IF(T215&lt;0.95,-0.06,0),_xlpm.prob,MAX(0,MIN(1,_xlpm.prog+_xlpm.ajmov+_xlpm.ajcli)),IF(OR(V215="DIAMANTE",V215="CERRADO"),0,ROUND(_xlpm.prob,2)))</f>
        <v>0.76</v>
      </c>
      <c r="AK215" t="str">
        <f t="shared" si="84"/>
        <v>Faltan 3,4 puntos base para subir a la siguiente categoría</v>
      </c>
      <c r="AL215" t="str">
        <f t="shared" si="85"/>
        <v>No aplica</v>
      </c>
      <c r="AM215">
        <f t="shared" si="86"/>
        <v>0.43</v>
      </c>
      <c r="AN215" t="str">
        <f t="shared" si="87"/>
        <v>PRIORIDAD MEDIA – seguimiento del asesor</v>
      </c>
      <c r="AO215">
        <f t="shared" si="88"/>
        <v>45.403798492706905</v>
      </c>
      <c r="AP215">
        <f t="shared" si="89"/>
        <v>0</v>
      </c>
      <c r="AQ215">
        <f t="shared" si="90"/>
        <v>0</v>
      </c>
      <c r="AR215">
        <f t="shared" si="91"/>
        <v>2.3799999999999994</v>
      </c>
      <c r="AS215">
        <f t="shared" si="92"/>
        <v>9.4800000000000022</v>
      </c>
      <c r="AT215" t="str">
        <f t="shared" si="93"/>
        <v>VENTAS</v>
      </c>
      <c r="AU215">
        <f t="shared" si="94"/>
        <v>45.403798492706905</v>
      </c>
      <c r="AV215" t="str">
        <f t="shared" si="95"/>
        <v>Mayor retorno probable: VENTAS (+45,4 puntos finales potenciales).</v>
      </c>
    </row>
    <row r="216" spans="1:48" x14ac:dyDescent="0.3">
      <c r="A216" s="5">
        <v>51023480</v>
      </c>
      <c r="B216" s="5" t="str">
        <f>IFERROR(VLOOKUP(A216,VENTAS!$A$2:$B$1194,2,0),"")</f>
        <v>METTLER</v>
      </c>
      <c r="C216" s="5">
        <f>IFERROR(INDEX(VENTAS!$C$2:$E$1194,MATCH(A216,VENTAS!$A$2:$A$1194,0),MATCH(PARAMS_MODELO!$B$2,{"Q1","Q2","Q3"},0)),0)</f>
        <v>49254712.200000003</v>
      </c>
      <c r="D216" s="5">
        <f>IFERROR(INDEX(VENTAS!$F$2:$H$1194,MATCH(A216,VENTAS!$A$2:$A$1194,0),MATCH(PARAMS_MODELO!$B$2,{"Q1","Q2","Q3"},0)),0)</f>
        <v>118492160</v>
      </c>
      <c r="E216" s="8">
        <f t="shared" si="72"/>
        <v>1.4057020071269442</v>
      </c>
      <c r="F216" s="12">
        <f>IF(E216&lt;=PARAMS_MODELO!$B$15,0,IF(E216&gt;=PARAMS_MODELO!$B$17,100,100*MIN(1,(E216-PARAMS_MODELO!$B$15)/(PARAMS_MODELO!$B$16-PARAMS_MODELO!$B$15))))*PARAMS_MODELO!$B$7</f>
        <v>35</v>
      </c>
      <c r="G216" s="5">
        <f t="shared" si="73"/>
        <v>69237447.799999997</v>
      </c>
      <c r="H216" s="5">
        <f>(PARAMS_MODELO!$B$20*(MAX(0,MIN(3,E216))/3)+PARAMS_MODELO!$B$21*(IFERROR(LN(1+MAX(0,G216))/LN(1+MAX(0,MAX($G$2:$G$1194))),0)))*100*PARAMS_MODELO!$B$8</f>
        <v>9.1518445504470378</v>
      </c>
      <c r="I216" s="8">
        <f>E216-PARAMS_MODELO!$B$5</f>
        <v>1.2281391717514176</v>
      </c>
      <c r="J216" s="5">
        <f>IF(I216&lt;=PARAMS_MODELO!$B$18,0,IF(I216&gt;=PARAMS_MODELO!$B$19,100,100*(I216-PARAMS_MODELO!$B$18)/(PARAMS_MODELO!$B$19-PARAMS_MODELO!$B$18)))*PARAMS_MODELO!$B$9</f>
        <v>15</v>
      </c>
      <c r="K216" s="5">
        <f>IFERROR(CHOOSE(MATCH(PARAMS_MODELO!$B$2,{"Q1","Q2","Q3"},0),LOTO!$D216,LOTO!$F216,LOTO!$H216),0)</f>
        <v>6027500</v>
      </c>
      <c r="L216" s="8">
        <f t="shared" si="74"/>
        <v>5.0868344369787842E-2</v>
      </c>
      <c r="M216" s="5">
        <f>MIN(100,IF(PARAMS_MODELO!$B$23=0,0,100*L216/PARAMS_MODELO!$B$23))*PARAMS_MODELO!$B$10</f>
        <v>15</v>
      </c>
      <c r="N216" s="5">
        <f>IFERROR(VLOOKUP(A216,COMPLIANCE!$A$2:$F$1996,6,0),100)</f>
        <v>100</v>
      </c>
      <c r="O216" s="5">
        <f>N216*PARAMS_MODELO!$B$11</f>
        <v>10</v>
      </c>
      <c r="P216" s="5">
        <f>IFERROR(VLOOKUP(A216,DIGITAL!$A$2:$J$2000,7,0),100)</f>
        <v>68</v>
      </c>
      <c r="Q216" s="5">
        <f>IFERROR(P216,0)*PARAMS_MODELO!$B$12</f>
        <v>6.8000000000000007</v>
      </c>
      <c r="R216">
        <f t="shared" si="75"/>
        <v>90.951844550447035</v>
      </c>
      <c r="S216" s="5" t="str">
        <f>IFERROR(VLOOKUP(A216,CLIENTE!$A$2:$N$2000,13,0),1)</f>
        <v>Malo</v>
      </c>
      <c r="T216" s="5">
        <f>IFERROR(VLOOKUP(A216,CLIENTE!$A$2:$N$2000,14,0),1)</f>
        <v>0.7</v>
      </c>
      <c r="U216" s="5">
        <f t="shared" si="76"/>
        <v>63.666291185312922</v>
      </c>
      <c r="V216" s="5" t="str">
        <f>IF(U216&gt;=MAX(_xlfn.PERCENTILE.INC($U$2:$U$1194,PARAMS_MODELO!$B$50),PARAMS_MODELO!$B$45),"DIAMANTE",IF(U216&gt;=MAX(_xlfn.PERCENTILE.INC($U$2:$U$1194,PARAMS_MODELO!$B$51),PARAMS_MODELO!$B$46),"PLATINO",IF(U216&gt;=MAX(_xlfn.PERCENTILE.INC($U$2:$U$1194,PARAMS_MODELO!$B$52),PARAMS_MODELO!$B$47),"ORO",IF(U216&gt;=MAX(_xlfn.PERCENTILE.INC($U$2:$U$1194,PARAMS_MODELO!$B$53),PARAMS_MODELO!$B$48),"PLATA",IF(U216&gt;=1,"BRONCE","CERRADO")))))</f>
        <v>ORO</v>
      </c>
      <c r="W216" s="5" t="str" cm="1">
        <f t="array" ref="W216">_xlfn.XLOOKUP(1, (HIST_SCORE!$B:$B=PARAMS_MODELO!$B$4) * (HIST_SCORE!$C:$C=A216), HIST_SCORE!$E:$E, "No encontrado")</f>
        <v>PLATA</v>
      </c>
      <c r="X216" s="5" t="str">
        <f>_xlfn.LET(_xlpm.act,MATCH(V216,{"DIAMANTE";"PLATINO";"ORO";"PLATA";"BRONCE";"CERRADO"},0),_xlpm.ant,MATCH(W216,{"DIAMANTE";"PLATINO";"ORO";"PLATA";"BRONCE";"CERRADO"},0),IF(_xlpm.act&lt;_xlpm.ant,"Mejora ↑",IF(_xlpm.act&gt;_xlpm.ant,"Baja ↓","Estable →")))</f>
        <v>Mejora ↑</v>
      </c>
      <c r="Y216" s="5">
        <f>IFERROR(U216-SUMIFS(HIST_SCORE!$D:$D,HIST_SCORE!$B:$B,PARAMS_MODELO!$B$4,HIST_SCORE!$C:$C,$A216),"")</f>
        <v>38.436788017580398</v>
      </c>
      <c r="Z216" s="5" t="str">
        <f t="shared" si="77"/>
        <v>↑ Mejora</v>
      </c>
      <c r="AA216" s="5">
        <f t="shared" si="78"/>
        <v>552</v>
      </c>
      <c r="AB216" s="5">
        <f>IFERROR(SUMIFS(HIST_SCORE!$F:$F,HIST_SCORE!$B:$B,PARAMS_MODELO!$B$4,HIST_SCORE!$C:$C,$A216),"")</f>
        <v>947</v>
      </c>
      <c r="AC216" s="5">
        <f t="shared" si="79"/>
        <v>395</v>
      </c>
      <c r="AD216" t="str">
        <f t="shared" si="81"/>
        <v/>
      </c>
      <c r="AE2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216="CERRADO",1,IF(V216="BRONCE",_xlpm.cPl,IF(V216="PLATA",_xlpm.cO,IF(V216="ORO",_xlpm.cP,IF(V216="PLATINO",_xlpm.cD,999))))))</f>
        <v>86.439123873763251</v>
      </c>
      <c r="AF2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216="CERRADO",0,IF(V216="BRONCE",1,IF(V216="PLATA",_xlpm.cPl,IF(V216="ORO",_xlpm.cO,IF(V216="PLATINO",_xlpm.cP,_xlpm.cD))))))</f>
        <v>63.199193273331495</v>
      </c>
      <c r="AG216">
        <f t="shared" si="82"/>
        <v>32.532618126357619</v>
      </c>
      <c r="AH216" t="str">
        <f t="shared" si="83"/>
        <v>CLIENTE</v>
      </c>
      <c r="AI216" t="str">
        <f t="shared" si="80"/>
        <v>🎯 Para subir de categoría, la eje con mayor impacto probable es CLIENTE (coef T). Acción: reducir quejas, mejorar incógnito y empujar reseñas. ΔR aprox: 32,5</v>
      </c>
      <c r="AJ216" s="26">
        <f>_xlfn.LET(_xlpm.piso,AF216,_xlpm.corte,AE216,_xlpm.prog,IF(_xlpm.corte&lt;=_xlpm.piso,0,MAX(0,MIN(1,(U216-_xlpm.piso)/(_xlpm.corte-_xlpm.piso)))),_xlpm.orden,{"DIAMANTE";"PLATINO";"ORO";"PLATA";"BRONCE";"CERRADO"},_xlpm.act,IFERROR(MATCH(V216,_xlpm.orden,0),6),_xlpm.ant,IFERROR(MATCH(W216,_xlpm.orden,0),6),_xlpm.ajmov,IF(_xlpm.act&lt;_xlpm.ant,0.08,IF(_xlpm.act&gt;_xlpm.ant,-0.08,0)),_xlpm.ajcli,IF(T216&lt;0.95,-0.06,0),_xlpm.prob,MAX(0,MIN(1,_xlpm.prog+_xlpm.ajmov+_xlpm.ajcli)),IF(OR(V216="DIAMANTE",V216="CERRADO"),0,ROUND(_xlpm.prob,2)))</f>
        <v>0.04</v>
      </c>
      <c r="AK216" t="str">
        <f t="shared" si="84"/>
        <v>Faltan 32,5 puntos base para subir a la siguiente categoría</v>
      </c>
      <c r="AL216" t="str">
        <f t="shared" si="85"/>
        <v>Margen de seguridad: 0,5 puntos</v>
      </c>
      <c r="AM216">
        <f t="shared" si="86"/>
        <v>0.98</v>
      </c>
      <c r="AN216" t="str">
        <f t="shared" si="87"/>
        <v>PRIORIDAD ALTA – requiere intervención inmediata</v>
      </c>
      <c r="AO216">
        <f t="shared" si="88"/>
        <v>3.9975073073939824</v>
      </c>
      <c r="AP216">
        <f t="shared" si="89"/>
        <v>0</v>
      </c>
      <c r="AQ216">
        <f t="shared" si="90"/>
        <v>0</v>
      </c>
      <c r="AR216">
        <f t="shared" si="91"/>
        <v>2.2399999999999993</v>
      </c>
      <c r="AS216">
        <f t="shared" si="92"/>
        <v>27.285553365134113</v>
      </c>
      <c r="AT216" t="str">
        <f t="shared" si="93"/>
        <v>CLIENTE</v>
      </c>
      <c r="AU216">
        <f t="shared" si="94"/>
        <v>27.285553365134113</v>
      </c>
      <c r="AV216" t="str">
        <f t="shared" si="95"/>
        <v>Mayor retorno probable: CLIENTE (+27,3 puntos finales potenciales).</v>
      </c>
    </row>
    <row r="217" spans="1:48" x14ac:dyDescent="0.3">
      <c r="A217" s="5">
        <v>51020405</v>
      </c>
      <c r="B217" s="5" t="str">
        <f>IFERROR(VLOOKUP(A217,VENTAS!$A$2:$B$1194,2,0),"")</f>
        <v>METTLER</v>
      </c>
      <c r="C217" s="5">
        <f>IFERROR(INDEX(VENTAS!$C$2:$E$1194,MATCH(A217,VENTAS!$A$2:$A$1194,0),MATCH(PARAMS_MODELO!$B$2,{"Q1","Q2","Q3"},0)),0)</f>
        <v>103803028.14</v>
      </c>
      <c r="D217" s="5">
        <f>IFERROR(INDEX(VENTAS!$F$2:$H$1194,MATCH(A217,VENTAS!$A$2:$A$1194,0),MATCH(PARAMS_MODELO!$B$2,{"Q1","Q2","Q3"},0)),0)</f>
        <v>118263441</v>
      </c>
      <c r="E217" s="8">
        <f t="shared" si="72"/>
        <v>0.13930627187963274</v>
      </c>
      <c r="F217" s="12">
        <f>IF(E217&lt;=PARAMS_MODELO!$B$15,0,IF(E217&gt;=PARAMS_MODELO!$B$17,100,100*MIN(1,(E217-PARAMS_MODELO!$B$15)/(PARAMS_MODELO!$B$16-PARAMS_MODELO!$B$15))))*PARAMS_MODELO!$B$7</f>
        <v>35</v>
      </c>
      <c r="G217" s="5">
        <f t="shared" si="73"/>
        <v>14460412.859999999</v>
      </c>
      <c r="H217" s="5">
        <f>(PARAMS_MODELO!$B$20*(MAX(0,MIN(3,E217))/3)+PARAMS_MODELO!$B$21*(IFERROR(LN(1+MAX(0,G217))/LN(1+MAX(0,MAX($G$2:$G$1194))),0)))*100*PARAMS_MODELO!$B$8</f>
        <v>4.3523374331546476</v>
      </c>
      <c r="I217" s="8">
        <f>E217-PARAMS_MODELO!$B$5</f>
        <v>-3.8256563495893792E-2</v>
      </c>
      <c r="J217" s="5">
        <f>IF(I217&lt;=PARAMS_MODELO!$B$18,0,IF(I217&gt;=PARAMS_MODELO!$B$19,100,100*(I217-PARAMS_MODELO!$B$18)/(PARAMS_MODELO!$B$19-PARAMS_MODELO!$B$18)))*PARAMS_MODELO!$B$9</f>
        <v>1.7615154756159315</v>
      </c>
      <c r="K217" s="5">
        <f>IFERROR(CHOOSE(MATCH(PARAMS_MODELO!$B$2,{"Q1","Q2","Q3"},0),LOTO!$D217,LOTO!$F217,LOTO!$H217),0)</f>
        <v>6025000</v>
      </c>
      <c r="L217" s="8">
        <f t="shared" si="74"/>
        <v>5.0945583428440917E-2</v>
      </c>
      <c r="M217" s="5">
        <f>MIN(100,IF(PARAMS_MODELO!$B$23=0,0,100*L217/PARAMS_MODELO!$B$23))*PARAMS_MODELO!$B$10</f>
        <v>15</v>
      </c>
      <c r="N217" s="5">
        <f>IFERROR(VLOOKUP(A217,COMPLIANCE!$A$2:$F$1996,6,0),100)</f>
        <v>99.9</v>
      </c>
      <c r="O217" s="5">
        <f>N217*PARAMS_MODELO!$B$11</f>
        <v>9.990000000000002</v>
      </c>
      <c r="P217" s="5">
        <f>IFERROR(VLOOKUP(A217,DIGITAL!$A$2:$J$2000,7,0),100)</f>
        <v>67</v>
      </c>
      <c r="Q217" s="5">
        <f>IFERROR(P217,0)*PARAMS_MODELO!$B$12</f>
        <v>6.7</v>
      </c>
      <c r="R217">
        <f t="shared" si="75"/>
        <v>72.80385290877058</v>
      </c>
      <c r="S217" s="5" t="str">
        <f>IFERROR(VLOOKUP(A217,CLIENTE!$A$2:$N$2000,13,0),1)</f>
        <v>Regular</v>
      </c>
      <c r="T217" s="5">
        <f>IFERROR(VLOOKUP(A217,CLIENTE!$A$2:$N$2000,14,0),1)</f>
        <v>1</v>
      </c>
      <c r="U217" s="5">
        <f t="shared" si="76"/>
        <v>72.80385290877058</v>
      </c>
      <c r="V217" s="5" t="str">
        <f>IF(U217&gt;=MAX(_xlfn.PERCENTILE.INC($U$2:$U$1194,PARAMS_MODELO!$B$50),PARAMS_MODELO!$B$45),"DIAMANTE",IF(U217&gt;=MAX(_xlfn.PERCENTILE.INC($U$2:$U$1194,PARAMS_MODELO!$B$51),PARAMS_MODELO!$B$46),"PLATINO",IF(U217&gt;=MAX(_xlfn.PERCENTILE.INC($U$2:$U$1194,PARAMS_MODELO!$B$52),PARAMS_MODELO!$B$47),"ORO",IF(U217&gt;=MAX(_xlfn.PERCENTILE.INC($U$2:$U$1194,PARAMS_MODELO!$B$53),PARAMS_MODELO!$B$48),"PLATA",IF(U217&gt;=1,"BRONCE","CERRADO")))))</f>
        <v>ORO</v>
      </c>
      <c r="W217" s="5" t="str" cm="1">
        <f t="array" ref="W217">_xlfn.XLOOKUP(1, (HIST_SCORE!$B:$B=PARAMS_MODELO!$B$4) * (HIST_SCORE!$C:$C=A217), HIST_SCORE!$E:$E, "No encontrado")</f>
        <v>PLATA</v>
      </c>
      <c r="X217" s="5" t="str">
        <f>_xlfn.LET(_xlpm.act,MATCH(V217,{"DIAMANTE";"PLATINO";"ORO";"PLATA";"BRONCE";"CERRADO"},0),_xlpm.ant,MATCH(W217,{"DIAMANTE";"PLATINO";"ORO";"PLATA";"BRONCE";"CERRADO"},0),IF(_xlpm.act&lt;_xlpm.ant,"Mejora ↑",IF(_xlpm.act&gt;_xlpm.ant,"Baja ↓","Estable →")))</f>
        <v>Mejora ↑</v>
      </c>
      <c r="Y217" s="5">
        <f>IFERROR(U217-SUMIFS(HIST_SCORE!$D:$D,HIST_SCORE!$B:$B,PARAMS_MODELO!$B$4,HIST_SCORE!$C:$C,$A217),"")</f>
        <v>41.113852908770582</v>
      </c>
      <c r="Z217" s="5" t="str">
        <f t="shared" si="77"/>
        <v>↑ Mejora</v>
      </c>
      <c r="AA217" s="5">
        <f t="shared" si="78"/>
        <v>491</v>
      </c>
      <c r="AB217" s="5">
        <f>IFERROR(SUMIFS(HIST_SCORE!$F:$F,HIST_SCORE!$B:$B,PARAMS_MODELO!$B$4,HIST_SCORE!$C:$C,$A217),"")</f>
        <v>893</v>
      </c>
      <c r="AC217" s="5">
        <f t="shared" si="79"/>
        <v>402</v>
      </c>
      <c r="AD217" t="str">
        <f t="shared" si="81"/>
        <v/>
      </c>
      <c r="AE2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217="CERRADO",1,IF(V217="BRONCE",_xlpm.cPl,IF(V217="PLATA",_xlpm.cO,IF(V217="ORO",_xlpm.cP,IF(V217="PLATINO",_xlpm.cD,999))))))</f>
        <v>86.439123873763251</v>
      </c>
      <c r="AF2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217="CERRADO",0,IF(V217="BRONCE",1,IF(V217="PLATA",_xlpm.cPl,IF(V217="ORO",_xlpm.cO,IF(V217="PLATINO",_xlpm.cP,_xlpm.cD))))))</f>
        <v>63.199193273331495</v>
      </c>
      <c r="AG217">
        <f t="shared" si="82"/>
        <v>13.635270964992671</v>
      </c>
      <c r="AH217" t="str">
        <f t="shared" si="83"/>
        <v>VENTAS</v>
      </c>
      <c r="AI217" t="str">
        <f t="shared" si="80"/>
        <v>🎯 Para subir de categoría, eje VENTAS / DIFERENCIAL vs LOTBA (J). Acción: metas semanales + activación comercial + seguimiento del asesor. ΔR aprox: 13,6</v>
      </c>
      <c r="AJ217" s="26">
        <f>_xlfn.LET(_xlpm.piso,AF217,_xlpm.corte,AE217,_xlpm.prog,IF(_xlpm.corte&lt;=_xlpm.piso,0,MAX(0,MIN(1,(U217-_xlpm.piso)/(_xlpm.corte-_xlpm.piso)))),_xlpm.orden,{"DIAMANTE";"PLATINO";"ORO";"PLATA";"BRONCE";"CERRADO"},_xlpm.act,IFERROR(MATCH(V217,_xlpm.orden,0),6),_xlpm.ant,IFERROR(MATCH(W217,_xlpm.orden,0),6),_xlpm.ajmov,IF(_xlpm.act&lt;_xlpm.ant,0.08,IF(_xlpm.act&gt;_xlpm.ant,-0.08,0)),_xlpm.ajcli,IF(T217&lt;0.95,-0.06,0),_xlpm.prob,MAX(0,MIN(1,_xlpm.prog+_xlpm.ajmov+_xlpm.ajcli)),IF(OR(V217="DIAMANTE",V217="CERRADO"),0,ROUND(_xlpm.prob,2)))</f>
        <v>0.49</v>
      </c>
      <c r="AK217" t="str">
        <f t="shared" si="84"/>
        <v>Faltan 13,6 puntos base para subir a la siguiente categoría</v>
      </c>
      <c r="AL217" t="str">
        <f t="shared" si="85"/>
        <v>Margen de seguridad: 9,6 puntos</v>
      </c>
      <c r="AM217">
        <f t="shared" si="86"/>
        <v>0.6</v>
      </c>
      <c r="AN217" t="str">
        <f t="shared" si="87"/>
        <v>PRIORIDAD MEDIA – seguimiento del asesor</v>
      </c>
      <c r="AO217">
        <f t="shared" si="88"/>
        <v>23.748716366525009</v>
      </c>
      <c r="AP217">
        <f t="shared" si="89"/>
        <v>0</v>
      </c>
      <c r="AQ217">
        <f t="shared" si="90"/>
        <v>9.9999999999980105E-3</v>
      </c>
      <c r="AR217">
        <f t="shared" si="91"/>
        <v>3.3</v>
      </c>
      <c r="AS217">
        <f t="shared" si="92"/>
        <v>0</v>
      </c>
      <c r="AT217" t="str">
        <f t="shared" si="93"/>
        <v>VENTAS</v>
      </c>
      <c r="AU217">
        <f t="shared" si="94"/>
        <v>23.748716366525009</v>
      </c>
      <c r="AV217" t="str">
        <f t="shared" si="95"/>
        <v>Mayor retorno probable: VENTAS (+23,7 puntos finales potenciales).</v>
      </c>
    </row>
    <row r="218" spans="1:48" x14ac:dyDescent="0.3">
      <c r="A218" s="5">
        <v>51044070</v>
      </c>
      <c r="B218" s="5" t="str">
        <f>IFERROR(VLOOKUP(A218,VENTAS!$A$2:$B$1194,2,0),"")</f>
        <v>CICHETTO</v>
      </c>
      <c r="C218" s="5">
        <f>IFERROR(INDEX(VENTAS!$C$2:$E$1194,MATCH(A218,VENTAS!$A$2:$A$1194,0),MATCH(PARAMS_MODELO!$B$2,{"Q1","Q2","Q3"},0)),0)</f>
        <v>102947380.69</v>
      </c>
      <c r="D218" s="5">
        <f>IFERROR(INDEX(VENTAS!$F$2:$H$1194,MATCH(A218,VENTAS!$A$2:$A$1194,0),MATCH(PARAMS_MODELO!$B$2,{"Q1","Q2","Q3"},0)),0)</f>
        <v>118153145</v>
      </c>
      <c r="E218" s="8">
        <f t="shared" si="72"/>
        <v>0.14770423694205803</v>
      </c>
      <c r="F218" s="12">
        <f>IF(E218&lt;=PARAMS_MODELO!$B$15,0,IF(E218&gt;=PARAMS_MODELO!$B$17,100,100*MIN(1,(E218-PARAMS_MODELO!$B$15)/(PARAMS_MODELO!$B$16-PARAMS_MODELO!$B$15))))*PARAMS_MODELO!$B$7</f>
        <v>35</v>
      </c>
      <c r="G218" s="5">
        <f t="shared" si="73"/>
        <v>15205764.310000002</v>
      </c>
      <c r="H218" s="5">
        <f>(PARAMS_MODELO!$B$20*(MAX(0,MIN(3,E218))/3)+PARAMS_MODELO!$B$21*(IFERROR(LN(1+MAX(0,G218))/LN(1+MAX(0,MAX($G$2:$G$1194))),0)))*100*PARAMS_MODELO!$B$8</f>
        <v>4.3935119132421372</v>
      </c>
      <c r="I218" s="8">
        <f>E218-PARAMS_MODELO!$B$5</f>
        <v>-2.9858598433468497E-2</v>
      </c>
      <c r="J218" s="5">
        <f>IF(I218&lt;=PARAMS_MODELO!$B$18,0,IF(I218&gt;=PARAMS_MODELO!$B$19,100,100*(I218-PARAMS_MODELO!$B$18)/(PARAMS_MODELO!$B$19-PARAMS_MODELO!$B$18)))*PARAMS_MODELO!$B$9</f>
        <v>3.0212102349797259</v>
      </c>
      <c r="K218" s="5">
        <f>IFERROR(CHOOSE(MATCH(PARAMS_MODELO!$B$2,{"Q1","Q2","Q3"},0),LOTO!$D218,LOTO!$F218,LOTO!$H218),0)</f>
        <v>6015000</v>
      </c>
      <c r="L218" s="8">
        <f t="shared" si="74"/>
        <v>5.0908505228532006E-2</v>
      </c>
      <c r="M218" s="5">
        <f>MIN(100,IF(PARAMS_MODELO!$B$23=0,0,100*L218/PARAMS_MODELO!$B$23))*PARAMS_MODELO!$B$10</f>
        <v>15</v>
      </c>
      <c r="N218" s="5">
        <f>IFERROR(VLOOKUP(A218,COMPLIANCE!$A$2:$F$1996,6,0),100)</f>
        <v>100</v>
      </c>
      <c r="O218" s="5">
        <f>N218*PARAMS_MODELO!$B$11</f>
        <v>10</v>
      </c>
      <c r="P218" s="5">
        <f>IFERROR(VLOOKUP(A218,DIGITAL!$A$2:$J$2000,7,0),100)</f>
        <v>39</v>
      </c>
      <c r="Q218" s="5">
        <f>IFERROR(P218,0)*PARAMS_MODELO!$B$12</f>
        <v>3.9000000000000004</v>
      </c>
      <c r="R218">
        <f t="shared" si="75"/>
        <v>71.314722148221875</v>
      </c>
      <c r="S218" s="5" t="str">
        <f>IFERROR(VLOOKUP(A218,CLIENTE!$A$2:$N$2000,13,0),1)</f>
        <v>Bueno</v>
      </c>
      <c r="T218" s="5">
        <f>IFERROR(VLOOKUP(A218,CLIENTE!$A$2:$N$2000,14,0),1)</f>
        <v>1.1000000000000001</v>
      </c>
      <c r="U218" s="5">
        <f t="shared" si="76"/>
        <v>78.446194363044071</v>
      </c>
      <c r="V218" s="5" t="str">
        <f>IF(U218&gt;=MAX(_xlfn.PERCENTILE.INC($U$2:$U$1194,PARAMS_MODELO!$B$50),PARAMS_MODELO!$B$45),"DIAMANTE",IF(U218&gt;=MAX(_xlfn.PERCENTILE.INC($U$2:$U$1194,PARAMS_MODELO!$B$51),PARAMS_MODELO!$B$46),"PLATINO",IF(U218&gt;=MAX(_xlfn.PERCENTILE.INC($U$2:$U$1194,PARAMS_MODELO!$B$52),PARAMS_MODELO!$B$47),"ORO",IF(U218&gt;=MAX(_xlfn.PERCENTILE.INC($U$2:$U$1194,PARAMS_MODELO!$B$53),PARAMS_MODELO!$B$48),"PLATA",IF(U218&gt;=1,"BRONCE","CERRADO")))))</f>
        <v>ORO</v>
      </c>
      <c r="W218" s="5" t="str" cm="1">
        <f t="array" ref="W218">_xlfn.XLOOKUP(1, (HIST_SCORE!$B:$B=PARAMS_MODELO!$B$4) * (HIST_SCORE!$C:$C=A218), HIST_SCORE!$E:$E, "No encontrado")</f>
        <v>PLATA</v>
      </c>
      <c r="X218" s="5" t="str">
        <f>_xlfn.LET(_xlpm.act,MATCH(V218,{"DIAMANTE";"PLATINO";"ORO";"PLATA";"BRONCE";"CERRADO"},0),_xlpm.ant,MATCH(W218,{"DIAMANTE";"PLATINO";"ORO";"PLATA";"BRONCE";"CERRADO"},0),IF(_xlpm.act&lt;_xlpm.ant,"Mejora ↑",IF(_xlpm.act&gt;_xlpm.ant,"Baja ↓","Estable →")))</f>
        <v>Mejora ↑</v>
      </c>
      <c r="Y218" s="5">
        <f>IFERROR(U218-SUMIFS(HIST_SCORE!$D:$D,HIST_SCORE!$B:$B,PARAMS_MODELO!$B$4,HIST_SCORE!$C:$C,$A218),"")</f>
        <v>50.008165023676284</v>
      </c>
      <c r="Z218" s="5" t="str">
        <f t="shared" si="77"/>
        <v>↑ Mejora</v>
      </c>
      <c r="AA218" s="5">
        <f t="shared" si="78"/>
        <v>452</v>
      </c>
      <c r="AB218" s="5">
        <f>IFERROR(SUMIFS(HIST_SCORE!$F:$F,HIST_SCORE!$B:$B,PARAMS_MODELO!$B$4,HIST_SCORE!$C:$C,$A218),"")</f>
        <v>924</v>
      </c>
      <c r="AC218" s="5">
        <f t="shared" si="79"/>
        <v>472</v>
      </c>
      <c r="AD218" t="str">
        <f t="shared" si="81"/>
        <v/>
      </c>
      <c r="AE2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218="CERRADO",1,IF(V218="BRONCE",_xlpm.cPl,IF(V218="PLATA",_xlpm.cO,IF(V218="ORO",_xlpm.cP,IF(V218="PLATINO",_xlpm.cD,999))))))</f>
        <v>86.439123873763251</v>
      </c>
      <c r="AF2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218="CERRADO",0,IF(V218="BRONCE",1,IF(V218="PLATA",_xlpm.cPl,IF(V218="ORO",_xlpm.cO,IF(V218="PLATINO",_xlpm.cP,_xlpm.cD))))))</f>
        <v>63.199193273331495</v>
      </c>
      <c r="AG218">
        <f t="shared" si="82"/>
        <v>7.2662995551992537</v>
      </c>
      <c r="AH218" t="str">
        <f t="shared" si="83"/>
        <v>VENTAS</v>
      </c>
      <c r="AI218" t="str">
        <f t="shared" si="80"/>
        <v>🎯 Para subir de categoría, eje VENTAS / DIFERENCIAL vs LOTBA (J). Acción: metas semanales + activación comercial + seguimiento del asesor. ΔR aprox: 7,3</v>
      </c>
      <c r="AJ218" s="26">
        <f>_xlfn.LET(_xlpm.piso,AF218,_xlpm.corte,AE218,_xlpm.prog,IF(_xlpm.corte&lt;=_xlpm.piso,0,MAX(0,MIN(1,(U218-_xlpm.piso)/(_xlpm.corte-_xlpm.piso)))),_xlpm.orden,{"DIAMANTE";"PLATINO";"ORO";"PLATA";"BRONCE";"CERRADO"},_xlpm.act,IFERROR(MATCH(V218,_xlpm.orden,0),6),_xlpm.ant,IFERROR(MATCH(W218,_xlpm.orden,0),6),_xlpm.ajmov,IF(_xlpm.act&lt;_xlpm.ant,0.08,IF(_xlpm.act&gt;_xlpm.ant,-0.08,0)),_xlpm.ajcli,IF(T218&lt;0.95,-0.06,0),_xlpm.prob,MAX(0,MIN(1,_xlpm.prog+_xlpm.ajmov+_xlpm.ajcli)),IF(OR(V218="DIAMANTE",V218="CERRADO"),0,ROUND(_xlpm.prob,2)))</f>
        <v>0.74</v>
      </c>
      <c r="AK218" t="str">
        <f t="shared" si="84"/>
        <v>Faltan 7,3 puntos base para subir a la siguiente categoría</v>
      </c>
      <c r="AL218" t="str">
        <f t="shared" si="85"/>
        <v>Margen de seguridad: 15,2 puntos</v>
      </c>
      <c r="AM218">
        <f t="shared" si="86"/>
        <v>0.39</v>
      </c>
      <c r="AN218" t="str">
        <f t="shared" si="87"/>
        <v>PRIORIDAD BAJA – control normal</v>
      </c>
      <c r="AO218">
        <f t="shared" si="88"/>
        <v>24.692631839781097</v>
      </c>
      <c r="AP218">
        <f t="shared" si="89"/>
        <v>0</v>
      </c>
      <c r="AQ218">
        <f t="shared" si="90"/>
        <v>0</v>
      </c>
      <c r="AR218">
        <f t="shared" si="91"/>
        <v>6.71</v>
      </c>
      <c r="AS218">
        <f t="shared" si="92"/>
        <v>0</v>
      </c>
      <c r="AT218" t="str">
        <f t="shared" si="93"/>
        <v>VENTAS</v>
      </c>
      <c r="AU218">
        <f t="shared" si="94"/>
        <v>24.692631839781097</v>
      </c>
      <c r="AV218" t="str">
        <f t="shared" si="95"/>
        <v>Mayor retorno probable: VENTAS (+24,7 puntos finales potenciales).</v>
      </c>
    </row>
    <row r="219" spans="1:48" x14ac:dyDescent="0.3">
      <c r="A219" s="5">
        <v>51032110</v>
      </c>
      <c r="B219" s="5" t="str">
        <f>IFERROR(VLOOKUP(A219,VENTAS!$A$2:$B$1194,2,0),"")</f>
        <v>ROBERTS</v>
      </c>
      <c r="C219" s="5">
        <f>IFERROR(INDEX(VENTAS!$C$2:$E$1194,MATCH(A219,VENTAS!$A$2:$A$1194,0),MATCH(PARAMS_MODELO!$B$2,{"Q1","Q2","Q3"},0)),0)</f>
        <v>76712002.079999998</v>
      </c>
      <c r="D219" s="5">
        <f>IFERROR(INDEX(VENTAS!$F$2:$H$1194,MATCH(A219,VENTAS!$A$2:$A$1194,0),MATCH(PARAMS_MODELO!$B$2,{"Q1","Q2","Q3"},0)),0)</f>
        <v>118032582</v>
      </c>
      <c r="E219" s="8">
        <f t="shared" si="72"/>
        <v>0.53864556783315809</v>
      </c>
      <c r="F219" s="12">
        <f>IF(E219&lt;=PARAMS_MODELO!$B$15,0,IF(E219&gt;=PARAMS_MODELO!$B$17,100,100*MIN(1,(E219-PARAMS_MODELO!$B$15)/(PARAMS_MODELO!$B$16-PARAMS_MODELO!$B$15))))*PARAMS_MODELO!$B$7</f>
        <v>35</v>
      </c>
      <c r="G219" s="5">
        <f t="shared" si="73"/>
        <v>41320579.920000002</v>
      </c>
      <c r="H219" s="5">
        <f>(PARAMS_MODELO!$B$20*(MAX(0,MIN(3,E219))/3)+PARAMS_MODELO!$B$21*(IFERROR(LN(1+MAX(0,G219))/LN(1+MAX(0,MAX($G$2:$G$1194))),0)))*100*PARAMS_MODELO!$B$8</f>
        <v>5.9961469379220587</v>
      </c>
      <c r="I219" s="8">
        <f>E219-PARAMS_MODELO!$B$5</f>
        <v>0.36108273245763156</v>
      </c>
      <c r="J219" s="5">
        <f>IF(I219&lt;=PARAMS_MODELO!$B$18,0,IF(I219&gt;=PARAMS_MODELO!$B$19,100,100*(I219-PARAMS_MODELO!$B$18)/(PARAMS_MODELO!$B$19-PARAMS_MODELO!$B$18)))*PARAMS_MODELO!$B$9</f>
        <v>15</v>
      </c>
      <c r="K219" s="5">
        <f>IFERROR(CHOOSE(MATCH(PARAMS_MODELO!$B$2,{"Q1","Q2","Q3"},0),LOTO!$D219,LOTO!$F219,LOTO!$H219),0)</f>
        <v>6010000</v>
      </c>
      <c r="L219" s="8">
        <f t="shared" si="74"/>
        <v>5.0918143940967081E-2</v>
      </c>
      <c r="M219" s="5">
        <f>MIN(100,IF(PARAMS_MODELO!$B$23=0,0,100*L219/PARAMS_MODELO!$B$23))*PARAMS_MODELO!$B$10</f>
        <v>15</v>
      </c>
      <c r="N219" s="5">
        <f>IFERROR(VLOOKUP(A219,COMPLIANCE!$A$2:$F$1996,6,0),100)</f>
        <v>100</v>
      </c>
      <c r="O219" s="5">
        <f>N219*PARAMS_MODELO!$B$11</f>
        <v>10</v>
      </c>
      <c r="P219" s="5">
        <f>IFERROR(VLOOKUP(A219,DIGITAL!$A$2:$J$2000,7,0),100)</f>
        <v>4</v>
      </c>
      <c r="Q219" s="5">
        <f>IFERROR(P219,0)*PARAMS_MODELO!$B$12</f>
        <v>0.4</v>
      </c>
      <c r="R219">
        <f t="shared" si="75"/>
        <v>81.396146937922055</v>
      </c>
      <c r="S219" s="5" t="str">
        <f>IFERROR(VLOOKUP(A219,CLIENTE!$A$2:$N$2000,13,0),1)</f>
        <v>Malo</v>
      </c>
      <c r="T219" s="5">
        <f>IFERROR(VLOOKUP(A219,CLIENTE!$A$2:$N$2000,14,0),1)</f>
        <v>0.7</v>
      </c>
      <c r="U219" s="5">
        <f t="shared" si="76"/>
        <v>56.977302856545435</v>
      </c>
      <c r="V219" s="5" t="str">
        <f>IF(U219&gt;=MAX(_xlfn.PERCENTILE.INC($U$2:$U$1194,PARAMS_MODELO!$B$50),PARAMS_MODELO!$B$45),"DIAMANTE",IF(U219&gt;=MAX(_xlfn.PERCENTILE.INC($U$2:$U$1194,PARAMS_MODELO!$B$51),PARAMS_MODELO!$B$46),"PLATINO",IF(U219&gt;=MAX(_xlfn.PERCENTILE.INC($U$2:$U$1194,PARAMS_MODELO!$B$52),PARAMS_MODELO!$B$47),"ORO",IF(U219&gt;=MAX(_xlfn.PERCENTILE.INC($U$2:$U$1194,PARAMS_MODELO!$B$53),PARAMS_MODELO!$B$48),"PLATA",IF(U219&gt;=1,"BRONCE","CERRADO")))))</f>
        <v>PLATA</v>
      </c>
      <c r="W219" s="5" t="str" cm="1">
        <f t="array" ref="W219">_xlfn.XLOOKUP(1, (HIST_SCORE!$B:$B=PARAMS_MODELO!$B$4) * (HIST_SCORE!$C:$C=A219), HIST_SCORE!$E:$E, "No encontrado")</f>
        <v>PLATA</v>
      </c>
      <c r="X219" s="5" t="str">
        <f>_xlfn.LET(_xlpm.act,MATCH(V219,{"DIAMANTE";"PLATINO";"ORO";"PLATA";"BRONCE";"CERRADO"},0),_xlpm.ant,MATCH(W219,{"DIAMANTE";"PLATINO";"ORO";"PLATA";"BRONCE";"CERRADO"},0),IF(_xlpm.act&lt;_xlpm.ant,"Mejora ↑",IF(_xlpm.act&gt;_xlpm.ant,"Baja ↓","Estable →")))</f>
        <v>Estable →</v>
      </c>
      <c r="Y219" s="5">
        <f>IFERROR(U219-SUMIFS(HIST_SCORE!$D:$D,HIST_SCORE!$B:$B,PARAMS_MODELO!$B$4,HIST_SCORE!$C:$C,$A219),"")</f>
        <v>0.95213818072666356</v>
      </c>
      <c r="Z219" s="5" t="str">
        <f t="shared" si="77"/>
        <v>→ Estable</v>
      </c>
      <c r="AA219" s="5">
        <f t="shared" si="78"/>
        <v>683</v>
      </c>
      <c r="AB219" s="5">
        <f>IFERROR(SUMIFS(HIST_SCORE!$F:$F,HIST_SCORE!$B:$B,PARAMS_MODELO!$B$4,HIST_SCORE!$C:$C,$A219),"")</f>
        <v>724</v>
      </c>
      <c r="AC219" s="5">
        <f t="shared" si="79"/>
        <v>41</v>
      </c>
      <c r="AD219" t="str">
        <f t="shared" si="81"/>
        <v/>
      </c>
      <c r="AE2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219="CERRADO",1,IF(V219="BRONCE",_xlpm.cPl,IF(V219="PLATA",_xlpm.cO,IF(V219="ORO",_xlpm.cP,IF(V219="PLATINO",_xlpm.cD,999))))))</f>
        <v>63.199193273331495</v>
      </c>
      <c r="AF2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219="CERRADO",0,IF(V219="BRONCE",1,IF(V219="PLATA",_xlpm.cPl,IF(V219="ORO",_xlpm.cO,IF(V219="PLATINO",_xlpm.cP,_xlpm.cD))))))</f>
        <v>24.506573482968111</v>
      </c>
      <c r="AG219">
        <f t="shared" si="82"/>
        <v>8.8884148811229409</v>
      </c>
      <c r="AH219" t="str">
        <f t="shared" si="83"/>
        <v>CLIENTE</v>
      </c>
      <c r="AI219" t="str">
        <f t="shared" si="80"/>
        <v>🎯 Para subir de categoría, la eje con mayor impacto probable es CLIENTE (coef T). Acción: reducir quejas, mejorar incógnito y empujar reseñas. ΔR aprox: 8,9</v>
      </c>
      <c r="AJ219" s="26">
        <f>_xlfn.LET(_xlpm.piso,AF219,_xlpm.corte,AE219,_xlpm.prog,IF(_xlpm.corte&lt;=_xlpm.piso,0,MAX(0,MIN(1,(U219-_xlpm.piso)/(_xlpm.corte-_xlpm.piso)))),_xlpm.orden,{"DIAMANTE";"PLATINO";"ORO";"PLATA";"BRONCE";"CERRADO"},_xlpm.act,IFERROR(MATCH(V219,_xlpm.orden,0),6),_xlpm.ant,IFERROR(MATCH(W219,_xlpm.orden,0),6),_xlpm.ajmov,IF(_xlpm.act&lt;_xlpm.ant,0.08,IF(_xlpm.act&gt;_xlpm.ant,-0.08,0)),_xlpm.ajcli,IF(T219&lt;0.95,-0.06,0),_xlpm.prob,MAX(0,MIN(1,_xlpm.prog+_xlpm.ajmov+_xlpm.ajcli)),IF(OR(V219="DIAMANTE",V219="CERRADO"),0,ROUND(_xlpm.prob,2)))</f>
        <v>0.78</v>
      </c>
      <c r="AK219" t="str">
        <f t="shared" si="84"/>
        <v>Faltan 8,9 puntos base para subir a la siguiente categoría</v>
      </c>
      <c r="AL219" t="str">
        <f t="shared" si="85"/>
        <v>Margen de seguridad: 32,5 puntos</v>
      </c>
      <c r="AM219">
        <f t="shared" si="86"/>
        <v>0.64</v>
      </c>
      <c r="AN219" t="str">
        <f t="shared" si="87"/>
        <v>PRIORIDAD MEDIA – seguimiento del asesor</v>
      </c>
      <c r="AO219">
        <f t="shared" si="88"/>
        <v>6.2064956361614696</v>
      </c>
      <c r="AP219">
        <f t="shared" si="89"/>
        <v>0</v>
      </c>
      <c r="AQ219">
        <f t="shared" si="90"/>
        <v>0</v>
      </c>
      <c r="AR219">
        <f t="shared" si="91"/>
        <v>6.72</v>
      </c>
      <c r="AS219">
        <f t="shared" si="92"/>
        <v>24.418844081376619</v>
      </c>
      <c r="AT219" t="str">
        <f t="shared" si="93"/>
        <v>CLIENTE</v>
      </c>
      <c r="AU219">
        <f t="shared" si="94"/>
        <v>24.418844081376619</v>
      </c>
      <c r="AV219" t="str">
        <f t="shared" si="95"/>
        <v>Mayor retorno probable: CLIENTE (+24,4 puntos finales potenciales).</v>
      </c>
    </row>
    <row r="220" spans="1:48" x14ac:dyDescent="0.3">
      <c r="A220" s="5">
        <v>51036123</v>
      </c>
      <c r="B220" s="5" t="str">
        <f>IFERROR(VLOOKUP(A220,VENTAS!$A$2:$B$1194,2,0),"")</f>
        <v>CICHETTO</v>
      </c>
      <c r="C220" s="5">
        <f>IFERROR(INDEX(VENTAS!$C$2:$E$1194,MATCH(A220,VENTAS!$A$2:$A$1194,0),MATCH(PARAMS_MODELO!$B$2,{"Q1","Q2","Q3"},0)),0)</f>
        <v>71537723.760000005</v>
      </c>
      <c r="D220" s="5">
        <f>IFERROR(INDEX(VENTAS!$F$2:$H$1194,MATCH(A220,VENTAS!$A$2:$A$1194,0),MATCH(PARAMS_MODELO!$B$2,{"Q1","Q2","Q3"},0)),0)</f>
        <v>117401479</v>
      </c>
      <c r="E220" s="8">
        <f t="shared" si="72"/>
        <v>0.64111286786069788</v>
      </c>
      <c r="F220" s="12">
        <f>IF(E220&lt;=PARAMS_MODELO!$B$15,0,IF(E220&gt;=PARAMS_MODELO!$B$17,100,100*MIN(1,(E220-PARAMS_MODELO!$B$15)/(PARAMS_MODELO!$B$16-PARAMS_MODELO!$B$15))))*PARAMS_MODELO!$B$7</f>
        <v>35</v>
      </c>
      <c r="G220" s="5">
        <f t="shared" si="73"/>
        <v>45863755.239999995</v>
      </c>
      <c r="H220" s="5">
        <f>(PARAMS_MODELO!$B$20*(MAX(0,MIN(3,E220))/3)+PARAMS_MODELO!$B$21*(IFERROR(LN(1+MAX(0,G220))/LN(1+MAX(0,MAX($G$2:$G$1194))),0)))*100*PARAMS_MODELO!$B$8</f>
        <v>6.3792352578572666</v>
      </c>
      <c r="I220" s="8">
        <f>E220-PARAMS_MODELO!$B$5</f>
        <v>0.46355003248517135</v>
      </c>
      <c r="J220" s="5">
        <f>IF(I220&lt;=PARAMS_MODELO!$B$18,0,IF(I220&gt;=PARAMS_MODELO!$B$19,100,100*(I220-PARAMS_MODELO!$B$18)/(PARAMS_MODELO!$B$19-PARAMS_MODELO!$B$18)))*PARAMS_MODELO!$B$9</f>
        <v>15</v>
      </c>
      <c r="K220" s="5">
        <f>IFERROR(CHOOSE(MATCH(PARAMS_MODELO!$B$2,{"Q1","Q2","Q3"},0),LOTO!$D220,LOTO!$F220,LOTO!$H220),0)</f>
        <v>6007500</v>
      </c>
      <c r="L220" s="8">
        <f t="shared" si="74"/>
        <v>5.1170564895524018E-2</v>
      </c>
      <c r="M220" s="5">
        <f>MIN(100,IF(PARAMS_MODELO!$B$23=0,0,100*L220/PARAMS_MODELO!$B$23))*PARAMS_MODELO!$B$10</f>
        <v>15</v>
      </c>
      <c r="N220" s="5">
        <f>IFERROR(VLOOKUP(A220,COMPLIANCE!$A$2:$F$1996,6,0),100)</f>
        <v>100</v>
      </c>
      <c r="O220" s="5">
        <f>N220*PARAMS_MODELO!$B$11</f>
        <v>10</v>
      </c>
      <c r="P220" s="5">
        <f>IFERROR(VLOOKUP(A220,DIGITAL!$A$2:$J$2000,7,0),100)</f>
        <v>62</v>
      </c>
      <c r="Q220" s="5">
        <f>IFERROR(P220,0)*PARAMS_MODELO!$B$12</f>
        <v>6.2</v>
      </c>
      <c r="R220">
        <f t="shared" si="75"/>
        <v>87.579235257857263</v>
      </c>
      <c r="S220" s="5" t="str">
        <f>IFERROR(VLOOKUP(A220,CLIENTE!$A$2:$N$2000,13,0),1)</f>
        <v>Regular</v>
      </c>
      <c r="T220" s="5">
        <f>IFERROR(VLOOKUP(A220,CLIENTE!$A$2:$N$2000,14,0),1)</f>
        <v>1</v>
      </c>
      <c r="U220" s="5">
        <f t="shared" si="76"/>
        <v>87.579235257857263</v>
      </c>
      <c r="V220" s="5" t="str">
        <f>IF(U220&gt;=MAX(_xlfn.PERCENTILE.INC($U$2:$U$1194,PARAMS_MODELO!$B$50),PARAMS_MODELO!$B$45),"DIAMANTE",IF(U220&gt;=MAX(_xlfn.PERCENTILE.INC($U$2:$U$1194,PARAMS_MODELO!$B$51),PARAMS_MODELO!$B$46),"PLATINO",IF(U220&gt;=MAX(_xlfn.PERCENTILE.INC($U$2:$U$1194,PARAMS_MODELO!$B$52),PARAMS_MODELO!$B$47),"ORO",IF(U220&gt;=MAX(_xlfn.PERCENTILE.INC($U$2:$U$1194,PARAMS_MODELO!$B$53),PARAMS_MODELO!$B$48),"PLATA",IF(U220&gt;=1,"BRONCE","CERRADO")))))</f>
        <v>PLATINO</v>
      </c>
      <c r="W220" s="5" t="str" cm="1">
        <f t="array" ref="W220">_xlfn.XLOOKUP(1, (HIST_SCORE!$B:$B=PARAMS_MODELO!$B$4) * (HIST_SCORE!$C:$C=A220), HIST_SCORE!$E:$E, "No encontrado")</f>
        <v>PLATINO</v>
      </c>
      <c r="X220" s="5" t="str">
        <f>_xlfn.LET(_xlpm.act,MATCH(V220,{"DIAMANTE";"PLATINO";"ORO";"PLATA";"BRONCE";"CERRADO"},0),_xlpm.ant,MATCH(W220,{"DIAMANTE";"PLATINO";"ORO";"PLATA";"BRONCE";"CERRADO"},0),IF(_xlpm.act&lt;_xlpm.ant,"Mejora ↑",IF(_xlpm.act&gt;_xlpm.ant,"Baja ↓","Estable →")))</f>
        <v>Estable →</v>
      </c>
      <c r="Y220" s="5">
        <f>IFERROR(U220-SUMIFS(HIST_SCORE!$D:$D,HIST_SCORE!$B:$B,PARAMS_MODELO!$B$4,HIST_SCORE!$C:$C,$A220),"")</f>
        <v>1.3175921331441884</v>
      </c>
      <c r="Z220" s="5" t="str">
        <f t="shared" si="77"/>
        <v>→ Estable</v>
      </c>
      <c r="AA220" s="5">
        <f t="shared" si="78"/>
        <v>209</v>
      </c>
      <c r="AB220" s="5">
        <f>IFERROR(SUMIFS(HIST_SCORE!$F:$F,HIST_SCORE!$B:$B,PARAMS_MODELO!$B$4,HIST_SCORE!$C:$C,$A220),"")</f>
        <v>226</v>
      </c>
      <c r="AC220" s="5">
        <f t="shared" si="79"/>
        <v>17</v>
      </c>
      <c r="AD220" t="str">
        <f t="shared" si="81"/>
        <v/>
      </c>
      <c r="AE2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220="CERRADO",1,IF(V220="BRONCE",_xlpm.cPl,IF(V220="PLATA",_xlpm.cO,IF(V220="ORO",_xlpm.cP,IF(V220="PLATINO",_xlpm.cD,999))))))</f>
        <v>96.054919694466676</v>
      </c>
      <c r="AF2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220="CERRADO",0,IF(V220="BRONCE",1,IF(V220="PLATA",_xlpm.cPl,IF(V220="ORO",_xlpm.cO,IF(V220="PLATINO",_xlpm.cP,_xlpm.cD))))))</f>
        <v>86.439123873763251</v>
      </c>
      <c r="AG220">
        <f t="shared" si="82"/>
        <v>8.4756844366094128</v>
      </c>
      <c r="AH220" t="str">
        <f t="shared" si="83"/>
        <v>VENTAS</v>
      </c>
      <c r="AI220" t="str">
        <f t="shared" si="80"/>
        <v>🎯 Para subir de categoría, eje VENTAS / IMPACTO ABSOLUTO (H). Acción: metas semanales + activación comercial + seguimiento del asesor. ΔR aprox: 8,5</v>
      </c>
      <c r="AJ220" s="26">
        <f>_xlfn.LET(_xlpm.piso,AF220,_xlpm.corte,AE220,_xlpm.prog,IF(_xlpm.corte&lt;=_xlpm.piso,0,MAX(0,MIN(1,(U220-_xlpm.piso)/(_xlpm.corte-_xlpm.piso)))),_xlpm.orden,{"DIAMANTE";"PLATINO";"ORO";"PLATA";"BRONCE";"CERRADO"},_xlpm.act,IFERROR(MATCH(V220,_xlpm.orden,0),6),_xlpm.ant,IFERROR(MATCH(W220,_xlpm.orden,0),6),_xlpm.ajmov,IF(_xlpm.act&lt;_xlpm.ant,0.08,IF(_xlpm.act&gt;_xlpm.ant,-0.08,0)),_xlpm.ajcli,IF(T220&lt;0.95,-0.06,0),_xlpm.prob,MAX(0,MIN(1,_xlpm.prog+_xlpm.ajmov+_xlpm.ajcli)),IF(OR(V220="DIAMANTE",V220="CERRADO"),0,ROUND(_xlpm.prob,2)))</f>
        <v>0.12</v>
      </c>
      <c r="AK220" t="str">
        <f t="shared" si="84"/>
        <v>Faltan 8,5 puntos base para subir a la siguiente categoría</v>
      </c>
      <c r="AL220" t="str">
        <f t="shared" si="85"/>
        <v>Margen de seguridad: 1,1 puntos</v>
      </c>
      <c r="AM220">
        <f t="shared" si="86"/>
        <v>0.69</v>
      </c>
      <c r="AN220" t="str">
        <f t="shared" si="87"/>
        <v>PRIORIDAD MEDIA – seguimiento del asesor</v>
      </c>
      <c r="AO220">
        <f t="shared" si="88"/>
        <v>8.4833340174383167</v>
      </c>
      <c r="AP220">
        <f t="shared" si="89"/>
        <v>0</v>
      </c>
      <c r="AQ220">
        <f t="shared" si="90"/>
        <v>0</v>
      </c>
      <c r="AR220">
        <f t="shared" si="91"/>
        <v>3.8</v>
      </c>
      <c r="AS220">
        <f t="shared" si="92"/>
        <v>0</v>
      </c>
      <c r="AT220" t="str">
        <f t="shared" si="93"/>
        <v>VENTAS</v>
      </c>
      <c r="AU220">
        <f t="shared" si="94"/>
        <v>8.4833340174383167</v>
      </c>
      <c r="AV220" t="str">
        <f t="shared" si="95"/>
        <v>Mayor retorno probable: VENTAS (+8,5 puntos finales potenciales).</v>
      </c>
    </row>
    <row r="221" spans="1:48" x14ac:dyDescent="0.3">
      <c r="A221" s="5">
        <v>51056078</v>
      </c>
      <c r="B221" s="5" t="str">
        <f>IFERROR(VLOOKUP(A221,VENTAS!$A$2:$B$1194,2,0),"")</f>
        <v>CICHETTO</v>
      </c>
      <c r="C221" s="5">
        <f>IFERROR(INDEX(VENTAS!$C$2:$E$1194,MATCH(A221,VENTAS!$A$2:$A$1194,0),MATCH(PARAMS_MODELO!$B$2,{"Q1","Q2","Q3"},0)),0)</f>
        <v>85530265.379999995</v>
      </c>
      <c r="D221" s="5">
        <f>IFERROR(INDEX(VENTAS!$F$2:$H$1194,MATCH(A221,VENTAS!$A$2:$A$1194,0),MATCH(PARAMS_MODELO!$B$2,{"Q1","Q2","Q3"},0)),0)</f>
        <v>117065629</v>
      </c>
      <c r="E221" s="8">
        <f t="shared" si="72"/>
        <v>0.36870414793982498</v>
      </c>
      <c r="F221" s="12">
        <f>IF(E221&lt;=PARAMS_MODELO!$B$15,0,IF(E221&gt;=PARAMS_MODELO!$B$17,100,100*MIN(1,(E221-PARAMS_MODELO!$B$15)/(PARAMS_MODELO!$B$16-PARAMS_MODELO!$B$15))))*PARAMS_MODELO!$B$7</f>
        <v>35</v>
      </c>
      <c r="G221" s="5">
        <f t="shared" si="73"/>
        <v>31535363.620000005</v>
      </c>
      <c r="H221" s="5">
        <f>(PARAMS_MODELO!$B$20*(MAX(0,MIN(3,E221))/3)+PARAMS_MODELO!$B$21*(IFERROR(LN(1+MAX(0,G221))/LN(1+MAX(0,MAX($G$2:$G$1194))),0)))*100*PARAMS_MODELO!$B$8</f>
        <v>5.3380013373834343</v>
      </c>
      <c r="I221" s="8">
        <f>E221-PARAMS_MODELO!$B$5</f>
        <v>0.19114131256429845</v>
      </c>
      <c r="J221" s="5">
        <f>IF(I221&lt;=PARAMS_MODELO!$B$18,0,IF(I221&gt;=PARAMS_MODELO!$B$19,100,100*(I221-PARAMS_MODELO!$B$18)/(PARAMS_MODELO!$B$19-PARAMS_MODELO!$B$18)))*PARAMS_MODELO!$B$9</f>
        <v>15</v>
      </c>
      <c r="K221" s="5">
        <f>IFERROR(CHOOSE(MATCH(PARAMS_MODELO!$B$2,{"Q1","Q2","Q3"},0),LOTO!$D221,LOTO!$F221,LOTO!$H221),0)</f>
        <v>5935000</v>
      </c>
      <c r="L221" s="8">
        <f t="shared" si="74"/>
        <v>5.0698057582725671E-2</v>
      </c>
      <c r="M221" s="5">
        <f>MIN(100,IF(PARAMS_MODELO!$B$23=0,0,100*L221/PARAMS_MODELO!$B$23))*PARAMS_MODELO!$B$10</f>
        <v>15</v>
      </c>
      <c r="N221" s="5">
        <f>IFERROR(VLOOKUP(A221,COMPLIANCE!$A$2:$F$1996,6,0),100)</f>
        <v>100</v>
      </c>
      <c r="O221" s="5">
        <f>N221*PARAMS_MODELO!$B$11</f>
        <v>10</v>
      </c>
      <c r="P221" s="5">
        <f>IFERROR(VLOOKUP(A221,DIGITAL!$A$2:$J$2000,7,0),100)</f>
        <v>54</v>
      </c>
      <c r="Q221" s="5">
        <f>IFERROR(P221,0)*PARAMS_MODELO!$B$12</f>
        <v>5.4</v>
      </c>
      <c r="R221">
        <f t="shared" si="75"/>
        <v>85.738001337383437</v>
      </c>
      <c r="S221" s="5" t="str">
        <f>IFERROR(VLOOKUP(A221,CLIENTE!$A$2:$N$2000,13,0),1)</f>
        <v>Regular</v>
      </c>
      <c r="T221" s="5">
        <f>IFERROR(VLOOKUP(A221,CLIENTE!$A$2:$N$2000,14,0),1)</f>
        <v>1</v>
      </c>
      <c r="U221" s="5">
        <f t="shared" si="76"/>
        <v>85.738001337383437</v>
      </c>
      <c r="V221" s="5" t="str">
        <f>IF(U221&gt;=MAX(_xlfn.PERCENTILE.INC($U$2:$U$1194,PARAMS_MODELO!$B$50),PARAMS_MODELO!$B$45),"DIAMANTE",IF(U221&gt;=MAX(_xlfn.PERCENTILE.INC($U$2:$U$1194,PARAMS_MODELO!$B$51),PARAMS_MODELO!$B$46),"PLATINO",IF(U221&gt;=MAX(_xlfn.PERCENTILE.INC($U$2:$U$1194,PARAMS_MODELO!$B$52),PARAMS_MODELO!$B$47),"ORO",IF(U221&gt;=MAX(_xlfn.PERCENTILE.INC($U$2:$U$1194,PARAMS_MODELO!$B$53),PARAMS_MODELO!$B$48),"PLATA",IF(U221&gt;=1,"BRONCE","CERRADO")))))</f>
        <v>ORO</v>
      </c>
      <c r="W221" s="5" t="str" cm="1">
        <f t="array" ref="W221">_xlfn.XLOOKUP(1, (HIST_SCORE!$B:$B=PARAMS_MODELO!$B$4) * (HIST_SCORE!$C:$C=A221), HIST_SCORE!$E:$E, "No encontrado")</f>
        <v>ORO</v>
      </c>
      <c r="X221" s="5" t="str">
        <f>_xlfn.LET(_xlpm.act,MATCH(V221,{"DIAMANTE";"PLATINO";"ORO";"PLATA";"BRONCE";"CERRADO"},0),_xlpm.ant,MATCH(W221,{"DIAMANTE";"PLATINO";"ORO";"PLATA";"BRONCE";"CERRADO"},0),IF(_xlpm.act&lt;_xlpm.ant,"Mejora ↑",IF(_xlpm.act&gt;_xlpm.ant,"Baja ↓","Estable →")))</f>
        <v>Estable →</v>
      </c>
      <c r="Y221" s="5">
        <f>IFERROR(U221-SUMIFS(HIST_SCORE!$D:$D,HIST_SCORE!$B:$B,PARAMS_MODELO!$B$4,HIST_SCORE!$C:$C,$A221),"")</f>
        <v>2.1979852040075514</v>
      </c>
      <c r="Z221" s="5" t="str">
        <f t="shared" si="77"/>
        <v>→ Estable</v>
      </c>
      <c r="AA221" s="5">
        <f t="shared" si="78"/>
        <v>261</v>
      </c>
      <c r="AB221" s="5">
        <f>IFERROR(SUMIFS(HIST_SCORE!$F:$F,HIST_SCORE!$B:$B,PARAMS_MODELO!$B$4,HIST_SCORE!$C:$C,$A221),"")</f>
        <v>303</v>
      </c>
      <c r="AC221" s="5">
        <f t="shared" si="79"/>
        <v>42</v>
      </c>
      <c r="AD221" t="str">
        <f t="shared" si="81"/>
        <v/>
      </c>
      <c r="AE2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221="CERRADO",1,IF(V221="BRONCE",_xlpm.cPl,IF(V221="PLATA",_xlpm.cO,IF(V221="ORO",_xlpm.cP,IF(V221="PLATINO",_xlpm.cD,999))))))</f>
        <v>86.439123873763251</v>
      </c>
      <c r="AF2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221="CERRADO",0,IF(V221="BRONCE",1,IF(V221="PLATA",_xlpm.cPl,IF(V221="ORO",_xlpm.cO,IF(V221="PLATINO",_xlpm.cP,_xlpm.cD))))))</f>
        <v>63.199193273331495</v>
      </c>
      <c r="AG221">
        <f t="shared" si="82"/>
        <v>0.70112253637981325</v>
      </c>
      <c r="AH221" t="str">
        <f t="shared" si="83"/>
        <v>VENTAS</v>
      </c>
      <c r="AI221" t="str">
        <f t="shared" si="80"/>
        <v>🎯 Para subir de categoría, eje VENTAS / IMPACTO ABSOLUTO (H). Acción: metas semanales + activación comercial + seguimiento del asesor. ΔR aprox: 0,7</v>
      </c>
      <c r="AJ221" s="26">
        <f>_xlfn.LET(_xlpm.piso,AF221,_xlpm.corte,AE221,_xlpm.prog,IF(_xlpm.corte&lt;=_xlpm.piso,0,MAX(0,MIN(1,(U221-_xlpm.piso)/(_xlpm.corte-_xlpm.piso)))),_xlpm.orden,{"DIAMANTE";"PLATINO";"ORO";"PLATA";"BRONCE";"CERRADO"},_xlpm.act,IFERROR(MATCH(V221,_xlpm.orden,0),6),_xlpm.ant,IFERROR(MATCH(W221,_xlpm.orden,0),6),_xlpm.ajmov,IF(_xlpm.act&lt;_xlpm.ant,0.08,IF(_xlpm.act&gt;_xlpm.ant,-0.08,0)),_xlpm.ajcli,IF(T221&lt;0.95,-0.06,0),_xlpm.prob,MAX(0,MIN(1,_xlpm.prog+_xlpm.ajmov+_xlpm.ajcli)),IF(OR(V221="DIAMANTE",V221="CERRADO"),0,ROUND(_xlpm.prob,2)))</f>
        <v>0.97</v>
      </c>
      <c r="AK221" t="str">
        <f t="shared" si="84"/>
        <v>Faltan 0,7 puntos base para subir a la siguiente categoría</v>
      </c>
      <c r="AL221" t="str">
        <f t="shared" si="85"/>
        <v>Margen de seguridad: 22,5 puntos</v>
      </c>
      <c r="AM221">
        <f t="shared" si="86"/>
        <v>0.04</v>
      </c>
      <c r="AN221" t="str">
        <f t="shared" si="87"/>
        <v>PRIORIDAD BAJA – control normal</v>
      </c>
      <c r="AO221">
        <f t="shared" si="88"/>
        <v>9.5245679379121526</v>
      </c>
      <c r="AP221">
        <f t="shared" si="89"/>
        <v>0</v>
      </c>
      <c r="AQ221">
        <f t="shared" si="90"/>
        <v>0</v>
      </c>
      <c r="AR221">
        <f t="shared" si="91"/>
        <v>4.5999999999999996</v>
      </c>
      <c r="AS221">
        <f t="shared" si="92"/>
        <v>0</v>
      </c>
      <c r="AT221" t="str">
        <f t="shared" si="93"/>
        <v>VENTAS</v>
      </c>
      <c r="AU221">
        <f t="shared" si="94"/>
        <v>9.5245679379121526</v>
      </c>
      <c r="AV221" t="str">
        <f t="shared" si="95"/>
        <v>Mayor retorno probable: VENTAS (+9,5 puntos finales potenciales).</v>
      </c>
    </row>
    <row r="222" spans="1:48" x14ac:dyDescent="0.3">
      <c r="A222" s="5">
        <v>51012445</v>
      </c>
      <c r="B222" s="5" t="str">
        <f>IFERROR(VLOOKUP(A222,VENTAS!$A$2:$B$1194,2,0),"")</f>
        <v>ARGUELLO</v>
      </c>
      <c r="C222" s="5">
        <f>IFERROR(INDEX(VENTAS!$C$2:$E$1194,MATCH(A222,VENTAS!$A$2:$A$1194,0),MATCH(PARAMS_MODELO!$B$2,{"Q1","Q2","Q3"},0)),0)</f>
        <v>94112539.090000004</v>
      </c>
      <c r="D222" s="5">
        <f>IFERROR(INDEX(VENTAS!$F$2:$H$1194,MATCH(A222,VENTAS!$A$2:$A$1194,0),MATCH(PARAMS_MODELO!$B$2,{"Q1","Q2","Q3"},0)),0)</f>
        <v>116815556</v>
      </c>
      <c r="E222" s="8">
        <f t="shared" si="72"/>
        <v>0.24123264688766977</v>
      </c>
      <c r="F222" s="12">
        <f>IF(E222&lt;=PARAMS_MODELO!$B$15,0,IF(E222&gt;=PARAMS_MODELO!$B$17,100,100*MIN(1,(E222-PARAMS_MODELO!$B$15)/(PARAMS_MODELO!$B$16-PARAMS_MODELO!$B$15))))*PARAMS_MODELO!$B$7</f>
        <v>35</v>
      </c>
      <c r="G222" s="5">
        <f t="shared" si="73"/>
        <v>22703016.909999996</v>
      </c>
      <c r="H222" s="5">
        <f>(PARAMS_MODELO!$B$20*(MAX(0,MIN(3,E222))/3)+PARAMS_MODELO!$B$21*(IFERROR(LN(1+MAX(0,G222))/LN(1+MAX(0,MAX($G$2:$G$1194))),0)))*100*PARAMS_MODELO!$B$8</f>
        <v>4.8148199043817455</v>
      </c>
      <c r="I222" s="8">
        <f>E222-PARAMS_MODELO!$B$5</f>
        <v>6.3669811512143237E-2</v>
      </c>
      <c r="J222" s="5">
        <f>IF(I222&lt;=PARAMS_MODELO!$B$18,0,IF(I222&gt;=PARAMS_MODELO!$B$19,100,100*(I222-PARAMS_MODELO!$B$18)/(PARAMS_MODELO!$B$19-PARAMS_MODELO!$B$18)))*PARAMS_MODELO!$B$9</f>
        <v>15</v>
      </c>
      <c r="K222" s="5">
        <f>IFERROR(CHOOSE(MATCH(PARAMS_MODELO!$B$2,{"Q1","Q2","Q3"},0),LOTO!$D222,LOTO!$F222,LOTO!$H222),0)</f>
        <v>5915000</v>
      </c>
      <c r="L222" s="8">
        <f t="shared" si="74"/>
        <v>5.0635379418131607E-2</v>
      </c>
      <c r="M222" s="5">
        <f>MIN(100,IF(PARAMS_MODELO!$B$23=0,0,100*L222/PARAMS_MODELO!$B$23))*PARAMS_MODELO!$B$10</f>
        <v>15</v>
      </c>
      <c r="N222" s="5">
        <f>IFERROR(VLOOKUP(A222,COMPLIANCE!$A$2:$F$1996,6,0),100)</f>
        <v>100</v>
      </c>
      <c r="O222" s="5">
        <f>N222*PARAMS_MODELO!$B$11</f>
        <v>10</v>
      </c>
      <c r="P222" s="5">
        <f>IFERROR(VLOOKUP(A222,DIGITAL!$A$2:$J$2000,7,0),100)</f>
        <v>17</v>
      </c>
      <c r="Q222" s="5">
        <f>IFERROR(P222,0)*PARAMS_MODELO!$B$12</f>
        <v>1.7000000000000002</v>
      </c>
      <c r="R222">
        <f t="shared" si="75"/>
        <v>81.514819904381753</v>
      </c>
      <c r="S222" s="5" t="str">
        <f>IFERROR(VLOOKUP(A222,CLIENTE!$A$2:$N$2000,13,0),1)</f>
        <v>Regular</v>
      </c>
      <c r="T222" s="5">
        <f>IFERROR(VLOOKUP(A222,CLIENTE!$A$2:$N$2000,14,0),1)</f>
        <v>1</v>
      </c>
      <c r="U222" s="5">
        <f t="shared" si="76"/>
        <v>81.514819904381753</v>
      </c>
      <c r="V222" s="5" t="str">
        <f>IF(U222&gt;=MAX(_xlfn.PERCENTILE.INC($U$2:$U$1194,PARAMS_MODELO!$B$50),PARAMS_MODELO!$B$45),"DIAMANTE",IF(U222&gt;=MAX(_xlfn.PERCENTILE.INC($U$2:$U$1194,PARAMS_MODELO!$B$51),PARAMS_MODELO!$B$46),"PLATINO",IF(U222&gt;=MAX(_xlfn.PERCENTILE.INC($U$2:$U$1194,PARAMS_MODELO!$B$52),PARAMS_MODELO!$B$47),"ORO",IF(U222&gt;=MAX(_xlfn.PERCENTILE.INC($U$2:$U$1194,PARAMS_MODELO!$B$53),PARAMS_MODELO!$B$48),"PLATA",IF(U222&gt;=1,"BRONCE","CERRADO")))))</f>
        <v>ORO</v>
      </c>
      <c r="W222" s="5" t="str" cm="1">
        <f t="array" ref="W222">_xlfn.XLOOKUP(1, (HIST_SCORE!$B:$B=PARAMS_MODELO!$B$4) * (HIST_SCORE!$C:$C=A222), HIST_SCORE!$E:$E, "No encontrado")</f>
        <v>ORO</v>
      </c>
      <c r="X222" s="5" t="str">
        <f>_xlfn.LET(_xlpm.act,MATCH(V222,{"DIAMANTE";"PLATINO";"ORO";"PLATA";"BRONCE";"CERRADO"},0),_xlpm.ant,MATCH(W222,{"DIAMANTE";"PLATINO";"ORO";"PLATA";"BRONCE";"CERRADO"},0),IF(_xlpm.act&lt;_xlpm.ant,"Mejora ↑",IF(_xlpm.act&gt;_xlpm.ant,"Baja ↓","Estable →")))</f>
        <v>Estable →</v>
      </c>
      <c r="Y222" s="5">
        <f>IFERROR(U222-SUMIFS(HIST_SCORE!$D:$D,HIST_SCORE!$B:$B,PARAMS_MODELO!$B$4,HIST_SCORE!$C:$C,$A222),"")</f>
        <v>-0.1236346715261476</v>
      </c>
      <c r="Z222" s="5" t="str">
        <f t="shared" si="77"/>
        <v>→ Estable</v>
      </c>
      <c r="AA222" s="5">
        <f t="shared" si="78"/>
        <v>401</v>
      </c>
      <c r="AB222" s="5">
        <f>IFERROR(SUMIFS(HIST_SCORE!$F:$F,HIST_SCORE!$B:$B,PARAMS_MODELO!$B$4,HIST_SCORE!$C:$C,$A222),"")</f>
        <v>380</v>
      </c>
      <c r="AC222" s="5">
        <f t="shared" si="79"/>
        <v>-21</v>
      </c>
      <c r="AD222" t="str">
        <f t="shared" si="81"/>
        <v>Sostener base y reforzar mix</v>
      </c>
      <c r="AE2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222="CERRADO",1,IF(V222="BRONCE",_xlpm.cPl,IF(V222="PLATA",_xlpm.cO,IF(V222="ORO",_xlpm.cP,IF(V222="PLATINO",_xlpm.cD,999))))))</f>
        <v>86.439123873763251</v>
      </c>
      <c r="AF2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222="CERRADO",0,IF(V222="BRONCE",1,IF(V222="PLATA",_xlpm.cPl,IF(V222="ORO",_xlpm.cO,IF(V222="PLATINO",_xlpm.cP,_xlpm.cD))))))</f>
        <v>63.199193273331495</v>
      </c>
      <c r="AG222">
        <f t="shared" si="82"/>
        <v>4.9243039693814978</v>
      </c>
      <c r="AH222" t="str">
        <f t="shared" si="83"/>
        <v>VENTAS</v>
      </c>
      <c r="AI222" t="str">
        <f t="shared" si="80"/>
        <v>🎯 Para subir de categoría, eje VENTAS / IMPACTO ABSOLUTO (H). Acción: metas semanales + activación comercial + seguimiento del asesor. ΔR aprox: 4,9</v>
      </c>
      <c r="AJ222" s="26">
        <f>_xlfn.LET(_xlpm.piso,AF222,_xlpm.corte,AE222,_xlpm.prog,IF(_xlpm.corte&lt;=_xlpm.piso,0,MAX(0,MIN(1,(U222-_xlpm.piso)/(_xlpm.corte-_xlpm.piso)))),_xlpm.orden,{"DIAMANTE";"PLATINO";"ORO";"PLATA";"BRONCE";"CERRADO"},_xlpm.act,IFERROR(MATCH(V222,_xlpm.orden,0),6),_xlpm.ant,IFERROR(MATCH(W222,_xlpm.orden,0),6),_xlpm.ajmov,IF(_xlpm.act&lt;_xlpm.ant,0.08,IF(_xlpm.act&gt;_xlpm.ant,-0.08,0)),_xlpm.ajcli,IF(T222&lt;0.95,-0.06,0),_xlpm.prob,MAX(0,MIN(1,_xlpm.prog+_xlpm.ajmov+_xlpm.ajcli)),IF(OR(V222="DIAMANTE",V222="CERRADO"),0,ROUND(_xlpm.prob,2)))</f>
        <v>0.79</v>
      </c>
      <c r="AK222" t="str">
        <f t="shared" si="84"/>
        <v>Faltan 4,9 puntos base para subir a la siguiente categoría</v>
      </c>
      <c r="AL222" t="str">
        <f t="shared" si="85"/>
        <v>Margen de seguridad: 18,3 puntos</v>
      </c>
      <c r="AM222">
        <f t="shared" si="86"/>
        <v>0.28000000000000003</v>
      </c>
      <c r="AN222" t="str">
        <f t="shared" si="87"/>
        <v>PRIORIDAD BAJA – control normal</v>
      </c>
      <c r="AO222">
        <f t="shared" si="88"/>
        <v>10.047749370913841</v>
      </c>
      <c r="AP222">
        <f t="shared" si="89"/>
        <v>0</v>
      </c>
      <c r="AQ222">
        <f t="shared" si="90"/>
        <v>0</v>
      </c>
      <c r="AR222">
        <f t="shared" si="91"/>
        <v>8.3000000000000007</v>
      </c>
      <c r="AS222">
        <f t="shared" si="92"/>
        <v>0</v>
      </c>
      <c r="AT222" t="str">
        <f t="shared" si="93"/>
        <v>VENTAS</v>
      </c>
      <c r="AU222">
        <f t="shared" si="94"/>
        <v>10.047749370913841</v>
      </c>
      <c r="AV222" t="str">
        <f t="shared" si="95"/>
        <v>Mayor retorno probable: VENTAS (+10,0 puntos finales potenciales).</v>
      </c>
    </row>
    <row r="223" spans="1:48" x14ac:dyDescent="0.3">
      <c r="A223" s="5">
        <v>51019661</v>
      </c>
      <c r="B223" s="5" t="str">
        <f>IFERROR(VLOOKUP(A223,VENTAS!$A$2:$B$1194,2,0),"")</f>
        <v>ARGUELLO</v>
      </c>
      <c r="C223" s="5">
        <f>IFERROR(INDEX(VENTAS!$C$2:$E$1194,MATCH(A223,VENTAS!$A$2:$A$1194,0),MATCH(PARAMS_MODELO!$B$2,{"Q1","Q2","Q3"},0)),0)</f>
        <v>85756337.780000001</v>
      </c>
      <c r="D223" s="5">
        <f>IFERROR(INDEX(VENTAS!$F$2:$H$1194,MATCH(A223,VENTAS!$A$2:$A$1194,0),MATCH(PARAMS_MODELO!$B$2,{"Q1","Q2","Q3"},0)),0)</f>
        <v>116616262</v>
      </c>
      <c r="E223" s="8">
        <f t="shared" si="72"/>
        <v>0.35985590125324962</v>
      </c>
      <c r="F223" s="12">
        <f>IF(E223&lt;=PARAMS_MODELO!$B$15,0,IF(E223&gt;=PARAMS_MODELO!$B$17,100,100*MIN(1,(E223-PARAMS_MODELO!$B$15)/(PARAMS_MODELO!$B$16-PARAMS_MODELO!$B$15))))*PARAMS_MODELO!$B$7</f>
        <v>35</v>
      </c>
      <c r="G223" s="5">
        <f t="shared" si="73"/>
        <v>30859924.219999999</v>
      </c>
      <c r="H223" s="5">
        <f>(PARAMS_MODELO!$B$20*(MAX(0,MIN(3,E223))/3)+PARAMS_MODELO!$B$21*(IFERROR(LN(1+MAX(0,G223))/LN(1+MAX(0,MAX($G$2:$G$1194))),0)))*100*PARAMS_MODELO!$B$8</f>
        <v>5.3019571354255008</v>
      </c>
      <c r="I223" s="8">
        <f>E223-PARAMS_MODELO!$B$5</f>
        <v>0.18229306587772309</v>
      </c>
      <c r="J223" s="5">
        <f>IF(I223&lt;=PARAMS_MODELO!$B$18,0,IF(I223&gt;=PARAMS_MODELO!$B$19,100,100*(I223-PARAMS_MODELO!$B$18)/(PARAMS_MODELO!$B$19-PARAMS_MODELO!$B$18)))*PARAMS_MODELO!$B$9</f>
        <v>15</v>
      </c>
      <c r="K223" s="5">
        <f>IFERROR(CHOOSE(MATCH(PARAMS_MODELO!$B$2,{"Q1","Q2","Q3"},0),LOTO!$D223,LOTO!$F223,LOTO!$H223),0)</f>
        <v>5885000</v>
      </c>
      <c r="L223" s="8">
        <f t="shared" si="74"/>
        <v>5.0464659894517969E-2</v>
      </c>
      <c r="M223" s="5">
        <f>MIN(100,IF(PARAMS_MODELO!$B$23=0,0,100*L223/PARAMS_MODELO!$B$23))*PARAMS_MODELO!$B$10</f>
        <v>15</v>
      </c>
      <c r="N223" s="5">
        <f>IFERROR(VLOOKUP(A223,COMPLIANCE!$A$2:$F$1996,6,0),100)</f>
        <v>100</v>
      </c>
      <c r="O223" s="5">
        <f>N223*PARAMS_MODELO!$B$11</f>
        <v>10</v>
      </c>
      <c r="P223" s="5">
        <f>IFERROR(VLOOKUP(A223,DIGITAL!$A$2:$J$2000,7,0),100)</f>
        <v>8</v>
      </c>
      <c r="Q223" s="5">
        <f>IFERROR(P223,0)*PARAMS_MODELO!$B$12</f>
        <v>0.8</v>
      </c>
      <c r="R223">
        <f t="shared" si="75"/>
        <v>81.101957135425508</v>
      </c>
      <c r="S223" s="5" t="str">
        <f>IFERROR(VLOOKUP(A223,CLIENTE!$A$2:$N$2000,13,0),1)</f>
        <v>Regular</v>
      </c>
      <c r="T223" s="5">
        <f>IFERROR(VLOOKUP(A223,CLIENTE!$A$2:$N$2000,14,0),1)</f>
        <v>1</v>
      </c>
      <c r="U223" s="5">
        <f t="shared" si="76"/>
        <v>81.101957135425508</v>
      </c>
      <c r="V223" s="5" t="str">
        <f>IF(U223&gt;=MAX(_xlfn.PERCENTILE.INC($U$2:$U$1194,PARAMS_MODELO!$B$50),PARAMS_MODELO!$B$45),"DIAMANTE",IF(U223&gt;=MAX(_xlfn.PERCENTILE.INC($U$2:$U$1194,PARAMS_MODELO!$B$51),PARAMS_MODELO!$B$46),"PLATINO",IF(U223&gt;=MAX(_xlfn.PERCENTILE.INC($U$2:$U$1194,PARAMS_MODELO!$B$52),PARAMS_MODELO!$B$47),"ORO",IF(U223&gt;=MAX(_xlfn.PERCENTILE.INC($U$2:$U$1194,PARAMS_MODELO!$B$53),PARAMS_MODELO!$B$48),"PLATA",IF(U223&gt;=1,"BRONCE","CERRADO")))))</f>
        <v>ORO</v>
      </c>
      <c r="W223" s="5" t="str" cm="1">
        <f t="array" ref="W223">_xlfn.XLOOKUP(1, (HIST_SCORE!$B:$B=PARAMS_MODELO!$B$4) * (HIST_SCORE!$C:$C=A223), HIST_SCORE!$E:$E, "No encontrado")</f>
        <v>ORO</v>
      </c>
      <c r="X223" s="5" t="str">
        <f>_xlfn.LET(_xlpm.act,MATCH(V223,{"DIAMANTE";"PLATINO";"ORO";"PLATA";"BRONCE";"CERRADO"},0),_xlpm.ant,MATCH(W223,{"DIAMANTE";"PLATINO";"ORO";"PLATA";"BRONCE";"CERRADO"},0),IF(_xlpm.act&lt;_xlpm.ant,"Mejora ↑",IF(_xlpm.act&gt;_xlpm.ant,"Baja ↓","Estable →")))</f>
        <v>Estable →</v>
      </c>
      <c r="Y223" s="5">
        <f>IFERROR(U223-SUMIFS(HIST_SCORE!$D:$D,HIST_SCORE!$B:$B,PARAMS_MODELO!$B$4,HIST_SCORE!$C:$C,$A223),"")</f>
        <v>2.9614858599355784</v>
      </c>
      <c r="Z223" s="5" t="str">
        <f t="shared" si="77"/>
        <v>→ Estable</v>
      </c>
      <c r="AA223" s="5">
        <f t="shared" si="78"/>
        <v>411</v>
      </c>
      <c r="AB223" s="5">
        <f>IFERROR(SUMIFS(HIST_SCORE!$F:$F,HIST_SCORE!$B:$B,PARAMS_MODELO!$B$4,HIST_SCORE!$C:$C,$A223),"")</f>
        <v>451</v>
      </c>
      <c r="AC223" s="5">
        <f t="shared" si="79"/>
        <v>40</v>
      </c>
      <c r="AD223" t="str">
        <f t="shared" si="81"/>
        <v/>
      </c>
      <c r="AE2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223="CERRADO",1,IF(V223="BRONCE",_xlpm.cPl,IF(V223="PLATA",_xlpm.cO,IF(V223="ORO",_xlpm.cP,IF(V223="PLATINO",_xlpm.cD,999))))))</f>
        <v>86.439123873763251</v>
      </c>
      <c r="AF2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223="CERRADO",0,IF(V223="BRONCE",1,IF(V223="PLATA",_xlpm.cPl,IF(V223="ORO",_xlpm.cO,IF(V223="PLATINO",_xlpm.cP,_xlpm.cD))))))</f>
        <v>63.199193273331495</v>
      </c>
      <c r="AG223">
        <f t="shared" si="82"/>
        <v>5.3371667383377428</v>
      </c>
      <c r="AH223" t="str">
        <f t="shared" si="83"/>
        <v>VENTAS</v>
      </c>
      <c r="AI223" t="str">
        <f t="shared" si="80"/>
        <v>🎯 Para subir de categoría, eje VENTAS / IMPACTO ABSOLUTO (H). Acción: metas semanales + activación comercial + seguimiento del asesor. ΔR aprox: 5,3</v>
      </c>
      <c r="AJ223" s="26">
        <f>_xlfn.LET(_xlpm.piso,AF223,_xlpm.corte,AE223,_xlpm.prog,IF(_xlpm.corte&lt;=_xlpm.piso,0,MAX(0,MIN(1,(U223-_xlpm.piso)/(_xlpm.corte-_xlpm.piso)))),_xlpm.orden,{"DIAMANTE";"PLATINO";"ORO";"PLATA";"BRONCE";"CERRADO"},_xlpm.act,IFERROR(MATCH(V223,_xlpm.orden,0),6),_xlpm.ant,IFERROR(MATCH(W223,_xlpm.orden,0),6),_xlpm.ajmov,IF(_xlpm.act&lt;_xlpm.ant,0.08,IF(_xlpm.act&gt;_xlpm.ant,-0.08,0)),_xlpm.ajcli,IF(T223&lt;0.95,-0.06,0),_xlpm.prob,MAX(0,MIN(1,_xlpm.prog+_xlpm.ajmov+_xlpm.ajcli)),IF(OR(V223="DIAMANTE",V223="CERRADO"),0,ROUND(_xlpm.prob,2)))</f>
        <v>0.77</v>
      </c>
      <c r="AK223" t="str">
        <f t="shared" si="84"/>
        <v>Faltan 5,3 puntos base para subir a la siguiente categoría</v>
      </c>
      <c r="AL223" t="str">
        <f t="shared" si="85"/>
        <v>Margen de seguridad: 17,9 puntos</v>
      </c>
      <c r="AM223">
        <f t="shared" si="86"/>
        <v>0.31</v>
      </c>
      <c r="AN223" t="str">
        <f t="shared" si="87"/>
        <v>PRIORIDAD BAJA – control normal</v>
      </c>
      <c r="AO223">
        <f t="shared" si="88"/>
        <v>9.5606121398700807</v>
      </c>
      <c r="AP223">
        <f t="shared" si="89"/>
        <v>0</v>
      </c>
      <c r="AQ223">
        <f t="shared" si="90"/>
        <v>0</v>
      </c>
      <c r="AR223">
        <f t="shared" si="91"/>
        <v>9.1999999999999993</v>
      </c>
      <c r="AS223">
        <f t="shared" si="92"/>
        <v>0</v>
      </c>
      <c r="AT223" t="str">
        <f t="shared" si="93"/>
        <v>VENTAS</v>
      </c>
      <c r="AU223">
        <f t="shared" si="94"/>
        <v>9.5606121398700807</v>
      </c>
      <c r="AV223" t="str">
        <f t="shared" si="95"/>
        <v>Mayor retorno probable: VENTAS (+9,6 puntos finales potenciales).</v>
      </c>
    </row>
    <row r="224" spans="1:48" x14ac:dyDescent="0.3">
      <c r="A224" s="5">
        <v>51021894</v>
      </c>
      <c r="B224" s="5" t="str">
        <f>IFERROR(VLOOKUP(A224,VENTAS!$A$2:$B$1194,2,0),"")</f>
        <v>PUGH</v>
      </c>
      <c r="C224" s="5">
        <f>IFERROR(INDEX(VENTAS!$C$2:$E$1194,MATCH(A224,VENTAS!$A$2:$A$1194,0),MATCH(PARAMS_MODELO!$B$2,{"Q1","Q2","Q3"},0)),0)</f>
        <v>139995430.28999999</v>
      </c>
      <c r="D224" s="5">
        <f>IFERROR(INDEX(VENTAS!$F$2:$H$1194,MATCH(A224,VENTAS!$A$2:$A$1194,0),MATCH(PARAMS_MODELO!$B$2,{"Q1","Q2","Q3"},0)),0)</f>
        <v>116509458</v>
      </c>
      <c r="E224" s="8">
        <f t="shared" si="72"/>
        <v>-0.16776242082580051</v>
      </c>
      <c r="F224" s="12">
        <f>IF(E224&lt;=PARAMS_MODELO!$B$15,0,IF(E224&gt;=PARAMS_MODELO!$B$17,100,100*MIN(1,(E224-PARAMS_MODELO!$B$15)/(PARAMS_MODELO!$B$16-PARAMS_MODELO!$B$15))))*PARAMS_MODELO!$B$7</f>
        <v>0</v>
      </c>
      <c r="G224" s="5">
        <f t="shared" si="73"/>
        <v>0</v>
      </c>
      <c r="H224" s="5">
        <f>(PARAMS_MODELO!$B$20*(MAX(0,MIN(3,E224))/3)+PARAMS_MODELO!$B$21*(IFERROR(LN(1+MAX(0,G224))/LN(1+MAX(0,MAX($G$2:$G$1194))),0)))*100*PARAMS_MODELO!$B$8</f>
        <v>0</v>
      </c>
      <c r="I224" s="8">
        <f>E224-PARAMS_MODELO!$B$5</f>
        <v>-0.34532525620132704</v>
      </c>
      <c r="J224" s="5">
        <f>IF(I224&lt;=PARAMS_MODELO!$B$18,0,IF(I224&gt;=PARAMS_MODELO!$B$19,100,100*(I224-PARAMS_MODELO!$B$18)/(PARAMS_MODELO!$B$19-PARAMS_MODELO!$B$18)))*PARAMS_MODELO!$B$9</f>
        <v>0</v>
      </c>
      <c r="K224" s="5">
        <f>IFERROR(CHOOSE(MATCH(PARAMS_MODELO!$B$2,{"Q1","Q2","Q3"},0),LOTO!$D224,LOTO!$F224,LOTO!$H224),0)</f>
        <v>5882500</v>
      </c>
      <c r="L224" s="8">
        <f t="shared" si="74"/>
        <v>5.048946326743705E-2</v>
      </c>
      <c r="M224" s="5">
        <f>MIN(100,IF(PARAMS_MODELO!$B$23=0,0,100*L224/PARAMS_MODELO!$B$23))*PARAMS_MODELO!$B$10</f>
        <v>15</v>
      </c>
      <c r="N224" s="5">
        <f>IFERROR(VLOOKUP(A224,COMPLIANCE!$A$2:$F$1996,6,0),100)</f>
        <v>100</v>
      </c>
      <c r="O224" s="5">
        <f>N224*PARAMS_MODELO!$B$11</f>
        <v>10</v>
      </c>
      <c r="P224" s="5">
        <f>IFERROR(VLOOKUP(A224,DIGITAL!$A$2:$J$2000,7,0),100)</f>
        <v>49</v>
      </c>
      <c r="Q224" s="5">
        <f>IFERROR(P224,0)*PARAMS_MODELO!$B$12</f>
        <v>4.9000000000000004</v>
      </c>
      <c r="R224">
        <f t="shared" si="75"/>
        <v>29.9</v>
      </c>
      <c r="S224" s="5" t="str">
        <f>IFERROR(VLOOKUP(A224,CLIENTE!$A$2:$N$2000,13,0),1)</f>
        <v>Regular</v>
      </c>
      <c r="T224" s="5">
        <f>IFERROR(VLOOKUP(A224,CLIENTE!$A$2:$N$2000,14,0),1)</f>
        <v>1</v>
      </c>
      <c r="U224" s="5">
        <f t="shared" si="76"/>
        <v>29.9</v>
      </c>
      <c r="V224" s="5" t="str">
        <f>IF(U224&gt;=MAX(_xlfn.PERCENTILE.INC($U$2:$U$1194,PARAMS_MODELO!$B$50),PARAMS_MODELO!$B$45),"DIAMANTE",IF(U224&gt;=MAX(_xlfn.PERCENTILE.INC($U$2:$U$1194,PARAMS_MODELO!$B$51),PARAMS_MODELO!$B$46),"PLATINO",IF(U224&gt;=MAX(_xlfn.PERCENTILE.INC($U$2:$U$1194,PARAMS_MODELO!$B$52),PARAMS_MODELO!$B$47),"ORO",IF(U224&gt;=MAX(_xlfn.PERCENTILE.INC($U$2:$U$1194,PARAMS_MODELO!$B$53),PARAMS_MODELO!$B$48),"PLATA",IF(U224&gt;=1,"BRONCE","CERRADO")))))</f>
        <v>PLATA</v>
      </c>
      <c r="W224" s="5" t="str" cm="1">
        <f t="array" ref="W224">_xlfn.XLOOKUP(1, (HIST_SCORE!$B:$B=PARAMS_MODELO!$B$4) * (HIST_SCORE!$C:$C=A224), HIST_SCORE!$E:$E, "No encontrado")</f>
        <v>ORO</v>
      </c>
      <c r="X224" s="5" t="str">
        <f>_xlfn.LET(_xlpm.act,MATCH(V224,{"DIAMANTE";"PLATINO";"ORO";"PLATA";"BRONCE";"CERRADO"},0),_xlpm.ant,MATCH(W224,{"DIAMANTE";"PLATINO";"ORO";"PLATA";"BRONCE";"CERRADO"},0),IF(_xlpm.act&lt;_xlpm.ant,"Mejora ↑",IF(_xlpm.act&gt;_xlpm.ant,"Baja ↓","Estable →")))</f>
        <v>Baja ↓</v>
      </c>
      <c r="Y224" s="5">
        <f>IFERROR(U224-SUMIFS(HIST_SCORE!$D:$D,HIST_SCORE!$B:$B,PARAMS_MODELO!$B$4,HIST_SCORE!$C:$C,$A224),"")</f>
        <v>-34.22571423674605</v>
      </c>
      <c r="Z224" s="5" t="str">
        <f t="shared" si="77"/>
        <v>↓ Baja</v>
      </c>
      <c r="AA224" s="5">
        <f t="shared" si="78"/>
        <v>868</v>
      </c>
      <c r="AB224" s="5">
        <f>IFERROR(SUMIFS(HIST_SCORE!$F:$F,HIST_SCORE!$B:$B,PARAMS_MODELO!$B$4,HIST_SCORE!$C:$C,$A224),"")</f>
        <v>581</v>
      </c>
      <c r="AC224" s="5">
        <f t="shared" si="79"/>
        <v>-287</v>
      </c>
      <c r="AD224" t="str">
        <f t="shared" si="81"/>
        <v/>
      </c>
      <c r="AE2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224="CERRADO",1,IF(V224="BRONCE",_xlpm.cPl,IF(V224="PLATA",_xlpm.cO,IF(V224="ORO",_xlpm.cP,IF(V224="PLATINO",_xlpm.cD,999))))))</f>
        <v>63.199193273331495</v>
      </c>
      <c r="AF2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224="CERRADO",0,IF(V224="BRONCE",1,IF(V224="PLATA",_xlpm.cPl,IF(V224="ORO",_xlpm.cO,IF(V224="PLATINO",_xlpm.cP,_xlpm.cD))))))</f>
        <v>24.506573482968111</v>
      </c>
      <c r="AG224">
        <f t="shared" si="82"/>
        <v>33.299193273331497</v>
      </c>
      <c r="AH224" t="str">
        <f t="shared" si="83"/>
        <v>VENTAS</v>
      </c>
      <c r="AI224" t="str">
        <f t="shared" si="80"/>
        <v>🎯 Para subir de categoría, eje VENTAS / CRECIMIENTO PERSONAL (F). Acción: metas semanales + activación comercial + seguimiento del asesor. ΔR aprox: 33,3</v>
      </c>
      <c r="AJ224" s="26">
        <f>_xlfn.LET(_xlpm.piso,AF224,_xlpm.corte,AE224,_xlpm.prog,IF(_xlpm.corte&lt;=_xlpm.piso,0,MAX(0,MIN(1,(U224-_xlpm.piso)/(_xlpm.corte-_xlpm.piso)))),_xlpm.orden,{"DIAMANTE";"PLATINO";"ORO";"PLATA";"BRONCE";"CERRADO"},_xlpm.act,IFERROR(MATCH(V224,_xlpm.orden,0),6),_xlpm.ant,IFERROR(MATCH(W224,_xlpm.orden,0),6),_xlpm.ajmov,IF(_xlpm.act&lt;_xlpm.ant,0.08,IF(_xlpm.act&gt;_xlpm.ant,-0.08,0)),_xlpm.ajcli,IF(T224&lt;0.95,-0.06,0),_xlpm.prob,MAX(0,MIN(1,_xlpm.prog+_xlpm.ajmov+_xlpm.ajcli)),IF(OR(V224="DIAMANTE",V224="CERRADO"),0,ROUND(_xlpm.prob,2)))</f>
        <v>0.06</v>
      </c>
      <c r="AK224" t="str">
        <f t="shared" si="84"/>
        <v>Faltan 33,3 puntos base para subir a la siguiente categoría</v>
      </c>
      <c r="AL224" t="str">
        <f t="shared" si="85"/>
        <v>Margen de seguridad: 5,4 puntos</v>
      </c>
      <c r="AM224">
        <f t="shared" si="86"/>
        <v>0.78</v>
      </c>
      <c r="AN224" t="str">
        <f t="shared" si="87"/>
        <v>PRIORIDAD ALTA – requiere intervención inmediata</v>
      </c>
      <c r="AO224">
        <f t="shared" si="88"/>
        <v>64.862569275295584</v>
      </c>
      <c r="AP224">
        <f t="shared" si="89"/>
        <v>0</v>
      </c>
      <c r="AQ224">
        <f t="shared" si="90"/>
        <v>0</v>
      </c>
      <c r="AR224">
        <f t="shared" si="91"/>
        <v>5.0999999999999996</v>
      </c>
      <c r="AS224">
        <f t="shared" si="92"/>
        <v>0</v>
      </c>
      <c r="AT224" t="str">
        <f t="shared" si="93"/>
        <v>VENTAS</v>
      </c>
      <c r="AU224">
        <f t="shared" si="94"/>
        <v>64.862569275295584</v>
      </c>
      <c r="AV224" t="str">
        <f t="shared" si="95"/>
        <v>Mayor retorno probable: VENTAS (+64,9 puntos finales potenciales).</v>
      </c>
    </row>
    <row r="225" spans="1:48" x14ac:dyDescent="0.3">
      <c r="A225" s="5">
        <v>51018575</v>
      </c>
      <c r="B225" s="5" t="str">
        <f>IFERROR(VLOOKUP(A225,VENTAS!$A$2:$B$1194,2,0),"")</f>
        <v>NELLI</v>
      </c>
      <c r="C225" s="5">
        <f>IFERROR(INDEX(VENTAS!$C$2:$E$1194,MATCH(A225,VENTAS!$A$2:$A$1194,0),MATCH(PARAMS_MODELO!$B$2,{"Q1","Q2","Q3"},0)),0)</f>
        <v>83736989.579999998</v>
      </c>
      <c r="D225" s="5">
        <f>IFERROR(INDEX(VENTAS!$F$2:$H$1194,MATCH(A225,VENTAS!$A$2:$A$1194,0),MATCH(PARAMS_MODELO!$B$2,{"Q1","Q2","Q3"},0)),0)</f>
        <v>116151581</v>
      </c>
      <c r="E225" s="8">
        <f t="shared" si="72"/>
        <v>0.38710003288369954</v>
      </c>
      <c r="F225" s="12">
        <f>IF(E225&lt;=PARAMS_MODELO!$B$15,0,IF(E225&gt;=PARAMS_MODELO!$B$17,100,100*MIN(1,(E225-PARAMS_MODELO!$B$15)/(PARAMS_MODELO!$B$16-PARAMS_MODELO!$B$15))))*PARAMS_MODELO!$B$7</f>
        <v>35</v>
      </c>
      <c r="G225" s="5">
        <f t="shared" si="73"/>
        <v>32414591.420000002</v>
      </c>
      <c r="H225" s="5">
        <f>(PARAMS_MODELO!$B$20*(MAX(0,MIN(3,E225))/3)+PARAMS_MODELO!$B$21*(IFERROR(LN(1+MAX(0,G225))/LN(1+MAX(0,MAX($G$2:$G$1194))),0)))*100*PARAMS_MODELO!$B$8</f>
        <v>5.408833108172594</v>
      </c>
      <c r="I225" s="8">
        <f>E225-PARAMS_MODELO!$B$5</f>
        <v>0.20953719750817301</v>
      </c>
      <c r="J225" s="5">
        <f>IF(I225&lt;=PARAMS_MODELO!$B$18,0,IF(I225&gt;=PARAMS_MODELO!$B$19,100,100*(I225-PARAMS_MODELO!$B$18)/(PARAMS_MODELO!$B$19-PARAMS_MODELO!$B$18)))*PARAMS_MODELO!$B$9</f>
        <v>15</v>
      </c>
      <c r="K225" s="5">
        <f>IFERROR(CHOOSE(MATCH(PARAMS_MODELO!$B$2,{"Q1","Q2","Q3"},0),LOTO!$D225,LOTO!$F225,LOTO!$H225),0)</f>
        <v>5845000</v>
      </c>
      <c r="L225" s="8">
        <f t="shared" si="74"/>
        <v>5.0322173402013358E-2</v>
      </c>
      <c r="M225" s="5">
        <f>MIN(100,IF(PARAMS_MODELO!$B$23=0,0,100*L225/PARAMS_MODELO!$B$23))*PARAMS_MODELO!$B$10</f>
        <v>15</v>
      </c>
      <c r="N225" s="5">
        <f>IFERROR(VLOOKUP(A225,COMPLIANCE!$A$2:$F$1996,6,0),100)</f>
        <v>100</v>
      </c>
      <c r="O225" s="5">
        <f>N225*PARAMS_MODELO!$B$11</f>
        <v>10</v>
      </c>
      <c r="P225" s="5">
        <f>IFERROR(VLOOKUP(A225,DIGITAL!$A$2:$J$2000,7,0),100)</f>
        <v>64</v>
      </c>
      <c r="Q225" s="5">
        <f>IFERROR(P225,0)*PARAMS_MODELO!$B$12</f>
        <v>6.4</v>
      </c>
      <c r="R225">
        <f t="shared" si="75"/>
        <v>86.808833108172593</v>
      </c>
      <c r="S225" s="5" t="str">
        <f>IFERROR(VLOOKUP(A225,CLIENTE!$A$2:$N$2000,13,0),1)</f>
        <v>Regular</v>
      </c>
      <c r="T225" s="5">
        <f>IFERROR(VLOOKUP(A225,CLIENTE!$A$2:$N$2000,14,0),1)</f>
        <v>1</v>
      </c>
      <c r="U225" s="5">
        <f t="shared" si="76"/>
        <v>86.808833108172593</v>
      </c>
      <c r="V225" s="5" t="str">
        <f>IF(U225&gt;=MAX(_xlfn.PERCENTILE.INC($U$2:$U$1194,PARAMS_MODELO!$B$50),PARAMS_MODELO!$B$45),"DIAMANTE",IF(U225&gt;=MAX(_xlfn.PERCENTILE.INC($U$2:$U$1194,PARAMS_MODELO!$B$51),PARAMS_MODELO!$B$46),"PLATINO",IF(U225&gt;=MAX(_xlfn.PERCENTILE.INC($U$2:$U$1194,PARAMS_MODELO!$B$52),PARAMS_MODELO!$B$47),"ORO",IF(U225&gt;=MAX(_xlfn.PERCENTILE.INC($U$2:$U$1194,PARAMS_MODELO!$B$53),PARAMS_MODELO!$B$48),"PLATA",IF(U225&gt;=1,"BRONCE","CERRADO")))))</f>
        <v>PLATINO</v>
      </c>
      <c r="W225" s="5" t="str" cm="1">
        <f t="array" ref="W225">_xlfn.XLOOKUP(1, (HIST_SCORE!$B:$B=PARAMS_MODELO!$B$4) * (HIST_SCORE!$C:$C=A225), HIST_SCORE!$E:$E, "No encontrado")</f>
        <v>ORO</v>
      </c>
      <c r="X225" s="5" t="str">
        <f>_xlfn.LET(_xlpm.act,MATCH(V225,{"DIAMANTE";"PLATINO";"ORO";"PLATA";"BRONCE";"CERRADO"},0),_xlpm.ant,MATCH(W225,{"DIAMANTE";"PLATINO";"ORO";"PLATA";"BRONCE";"CERRADO"},0),IF(_xlpm.act&lt;_xlpm.ant,"Mejora ↑",IF(_xlpm.act&gt;_xlpm.ant,"Baja ↓","Estable →")))</f>
        <v>Mejora ↑</v>
      </c>
      <c r="Y225" s="5">
        <f>IFERROR(U225-SUMIFS(HIST_SCORE!$D:$D,HIST_SCORE!$B:$B,PARAMS_MODELO!$B$4,HIST_SCORE!$C:$C,$A225),"")</f>
        <v>1.4256536329710201</v>
      </c>
      <c r="Z225" s="5" t="str">
        <f t="shared" si="77"/>
        <v>→ Estable</v>
      </c>
      <c r="AA225" s="5">
        <f t="shared" si="78"/>
        <v>229</v>
      </c>
      <c r="AB225" s="5">
        <f>IFERROR(SUMIFS(HIST_SCORE!$F:$F,HIST_SCORE!$B:$B,PARAMS_MODELO!$B$4,HIST_SCORE!$C:$C,$A225),"")</f>
        <v>257</v>
      </c>
      <c r="AC225" s="5">
        <f t="shared" si="79"/>
        <v>28</v>
      </c>
      <c r="AD225" t="str">
        <f t="shared" si="81"/>
        <v/>
      </c>
      <c r="AE2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225="CERRADO",1,IF(V225="BRONCE",_xlpm.cPl,IF(V225="PLATA",_xlpm.cO,IF(V225="ORO",_xlpm.cP,IF(V225="PLATINO",_xlpm.cD,999))))))</f>
        <v>96.054919694466676</v>
      </c>
      <c r="AF2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225="CERRADO",0,IF(V225="BRONCE",1,IF(V225="PLATA",_xlpm.cPl,IF(V225="ORO",_xlpm.cO,IF(V225="PLATINO",_xlpm.cP,_xlpm.cD))))))</f>
        <v>86.439123873763251</v>
      </c>
      <c r="AG225">
        <f t="shared" si="82"/>
        <v>9.2460865862940835</v>
      </c>
      <c r="AH225" t="str">
        <f t="shared" si="83"/>
        <v>VENTAS</v>
      </c>
      <c r="AI225" t="str">
        <f t="shared" si="80"/>
        <v>🎯 Para subir de categoría, eje VENTAS / IMPACTO ABSOLUTO (H). Acción: metas semanales + activación comercial + seguimiento del asesor. ΔR aprox: 9,2</v>
      </c>
      <c r="AJ225" s="26">
        <f>_xlfn.LET(_xlpm.piso,AF225,_xlpm.corte,AE225,_xlpm.prog,IF(_xlpm.corte&lt;=_xlpm.piso,0,MAX(0,MIN(1,(U225-_xlpm.piso)/(_xlpm.corte-_xlpm.piso)))),_xlpm.orden,{"DIAMANTE";"PLATINO";"ORO";"PLATA";"BRONCE";"CERRADO"},_xlpm.act,IFERROR(MATCH(V225,_xlpm.orden,0),6),_xlpm.ant,IFERROR(MATCH(W225,_xlpm.orden,0),6),_xlpm.ajmov,IF(_xlpm.act&lt;_xlpm.ant,0.08,IF(_xlpm.act&gt;_xlpm.ant,-0.08,0)),_xlpm.ajcli,IF(T225&lt;0.95,-0.06,0),_xlpm.prob,MAX(0,MIN(1,_xlpm.prog+_xlpm.ajmov+_xlpm.ajcli)),IF(OR(V225="DIAMANTE",V225="CERRADO"),0,ROUND(_xlpm.prob,2)))</f>
        <v>0.12</v>
      </c>
      <c r="AK225" t="str">
        <f t="shared" si="84"/>
        <v>Faltan 9,2 puntos base para subir a la siguiente categoría</v>
      </c>
      <c r="AL225" t="str">
        <f t="shared" si="85"/>
        <v>Margen de seguridad: 0,4 puntos</v>
      </c>
      <c r="AM225">
        <f t="shared" si="86"/>
        <v>0.72</v>
      </c>
      <c r="AN225" t="str">
        <f t="shared" si="87"/>
        <v>PRIORIDAD ALTA – requiere intervención inmediata</v>
      </c>
      <c r="AO225">
        <f t="shared" si="88"/>
        <v>9.4537361671229903</v>
      </c>
      <c r="AP225">
        <f t="shared" si="89"/>
        <v>0</v>
      </c>
      <c r="AQ225">
        <f t="shared" si="90"/>
        <v>0</v>
      </c>
      <c r="AR225">
        <f t="shared" si="91"/>
        <v>3.5999999999999996</v>
      </c>
      <c r="AS225">
        <f t="shared" si="92"/>
        <v>0</v>
      </c>
      <c r="AT225" t="str">
        <f t="shared" si="93"/>
        <v>VENTAS</v>
      </c>
      <c r="AU225">
        <f t="shared" si="94"/>
        <v>9.4537361671229903</v>
      </c>
      <c r="AV225" t="str">
        <f t="shared" si="95"/>
        <v>Mayor retorno probable: VENTAS (+9,5 puntos finales potenciales).</v>
      </c>
    </row>
    <row r="226" spans="1:48" x14ac:dyDescent="0.3">
      <c r="A226" s="5">
        <v>51031652</v>
      </c>
      <c r="B226" s="5" t="str">
        <f>IFERROR(VLOOKUP(A226,VENTAS!$A$2:$B$1194,2,0),"")</f>
        <v>NELLI</v>
      </c>
      <c r="C226" s="5">
        <f>IFERROR(INDEX(VENTAS!$C$2:$E$1194,MATCH(A226,VENTAS!$A$2:$A$1194,0),MATCH(PARAMS_MODELO!$B$2,{"Q1","Q2","Q3"},0)),0)</f>
        <v>75683414.5</v>
      </c>
      <c r="D226" s="5">
        <f>IFERROR(INDEX(VENTAS!$F$2:$H$1194,MATCH(A226,VENTAS!$A$2:$A$1194,0),MATCH(PARAMS_MODELO!$B$2,{"Q1","Q2","Q3"},0)),0)</f>
        <v>116135653</v>
      </c>
      <c r="E226" s="8">
        <f t="shared" si="72"/>
        <v>0.53449277846733523</v>
      </c>
      <c r="F226" s="12">
        <f>IF(E226&lt;=PARAMS_MODELO!$B$15,0,IF(E226&gt;=PARAMS_MODELO!$B$17,100,100*MIN(1,(E226-PARAMS_MODELO!$B$15)/(PARAMS_MODELO!$B$16-PARAMS_MODELO!$B$15))))*PARAMS_MODELO!$B$7</f>
        <v>35</v>
      </c>
      <c r="G226" s="5">
        <f t="shared" si="73"/>
        <v>40452238.5</v>
      </c>
      <c r="H226" s="5">
        <f>(PARAMS_MODELO!$B$20*(MAX(0,MIN(3,E226))/3)+PARAMS_MODELO!$B$21*(IFERROR(LN(1+MAX(0,G226))/LN(1+MAX(0,MAX($G$2:$G$1194))),0)))*100*PARAMS_MODELO!$B$8</f>
        <v>5.9766335281553884</v>
      </c>
      <c r="I226" s="8">
        <f>E226-PARAMS_MODELO!$B$5</f>
        <v>0.3569299430918087</v>
      </c>
      <c r="J226" s="5">
        <f>IF(I226&lt;=PARAMS_MODELO!$B$18,0,IF(I226&gt;=PARAMS_MODELO!$B$19,100,100*(I226-PARAMS_MODELO!$B$18)/(PARAMS_MODELO!$B$19-PARAMS_MODELO!$B$18)))*PARAMS_MODELO!$B$9</f>
        <v>15</v>
      </c>
      <c r="K226" s="5">
        <f>IFERROR(CHOOSE(MATCH(PARAMS_MODELO!$B$2,{"Q1","Q2","Q3"},0),LOTO!$D226,LOTO!$F226,LOTO!$H226),0)</f>
        <v>5842500</v>
      </c>
      <c r="L226" s="8">
        <f t="shared" si="74"/>
        <v>5.0307548535504426E-2</v>
      </c>
      <c r="M226" s="5">
        <f>MIN(100,IF(PARAMS_MODELO!$B$23=0,0,100*L226/PARAMS_MODELO!$B$23))*PARAMS_MODELO!$B$10</f>
        <v>15</v>
      </c>
      <c r="N226" s="5">
        <f>IFERROR(VLOOKUP(A226,COMPLIANCE!$A$2:$F$1996,6,0),100)</f>
        <v>100</v>
      </c>
      <c r="O226" s="5">
        <f>N226*PARAMS_MODELO!$B$11</f>
        <v>10</v>
      </c>
      <c r="P226" s="5">
        <f>IFERROR(VLOOKUP(A226,DIGITAL!$A$2:$J$2000,7,0),100)</f>
        <v>28</v>
      </c>
      <c r="Q226" s="5">
        <f>IFERROR(P226,0)*PARAMS_MODELO!$B$12</f>
        <v>2.8000000000000003</v>
      </c>
      <c r="R226">
        <f t="shared" si="75"/>
        <v>83.776633528155386</v>
      </c>
      <c r="S226" s="5" t="str">
        <f>IFERROR(VLOOKUP(A226,CLIENTE!$A$2:$N$2000,13,0),1)</f>
        <v>Regular</v>
      </c>
      <c r="T226" s="5">
        <f>IFERROR(VLOOKUP(A226,CLIENTE!$A$2:$N$2000,14,0),1)</f>
        <v>1</v>
      </c>
      <c r="U226" s="5">
        <f t="shared" si="76"/>
        <v>83.776633528155386</v>
      </c>
      <c r="V226" s="5" t="str">
        <f>IF(U226&gt;=MAX(_xlfn.PERCENTILE.INC($U$2:$U$1194,PARAMS_MODELO!$B$50),PARAMS_MODELO!$B$45),"DIAMANTE",IF(U226&gt;=MAX(_xlfn.PERCENTILE.INC($U$2:$U$1194,PARAMS_MODELO!$B$51),PARAMS_MODELO!$B$46),"PLATINO",IF(U226&gt;=MAX(_xlfn.PERCENTILE.INC($U$2:$U$1194,PARAMS_MODELO!$B$52),PARAMS_MODELO!$B$47),"ORO",IF(U226&gt;=MAX(_xlfn.PERCENTILE.INC($U$2:$U$1194,PARAMS_MODELO!$B$53),PARAMS_MODELO!$B$48),"PLATA",IF(U226&gt;=1,"BRONCE","CERRADO")))))</f>
        <v>ORO</v>
      </c>
      <c r="W226" s="5" t="str" cm="1">
        <f t="array" ref="W226">_xlfn.XLOOKUP(1, (HIST_SCORE!$B:$B=PARAMS_MODELO!$B$4) * (HIST_SCORE!$C:$C=A226), HIST_SCORE!$E:$E, "No encontrado")</f>
        <v>ORO</v>
      </c>
      <c r="X226" s="5" t="str">
        <f>_xlfn.LET(_xlpm.act,MATCH(V226,{"DIAMANTE";"PLATINO";"ORO";"PLATA";"BRONCE";"CERRADO"},0),_xlpm.ant,MATCH(W226,{"DIAMANTE";"PLATINO";"ORO";"PLATA";"BRONCE";"CERRADO"},0),IF(_xlpm.act&lt;_xlpm.ant,"Mejora ↑",IF(_xlpm.act&gt;_xlpm.ant,"Baja ↓","Estable →")))</f>
        <v>Estable →</v>
      </c>
      <c r="Y226" s="5">
        <f>IFERROR(U226-SUMIFS(HIST_SCORE!$D:$D,HIST_SCORE!$B:$B,PARAMS_MODELO!$B$4,HIST_SCORE!$C:$C,$A226),"")</f>
        <v>0.38673873961987226</v>
      </c>
      <c r="Z226" s="5" t="str">
        <f t="shared" si="77"/>
        <v>→ Estable</v>
      </c>
      <c r="AA226" s="5">
        <f t="shared" si="78"/>
        <v>327</v>
      </c>
      <c r="AB226" s="5">
        <f>IFERROR(SUMIFS(HIST_SCORE!$F:$F,HIST_SCORE!$B:$B,PARAMS_MODELO!$B$4,HIST_SCORE!$C:$C,$A226),"")</f>
        <v>311</v>
      </c>
      <c r="AC226" s="5">
        <f t="shared" si="79"/>
        <v>-16</v>
      </c>
      <c r="AD226" t="str">
        <f t="shared" si="81"/>
        <v/>
      </c>
      <c r="AE2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226="CERRADO",1,IF(V226="BRONCE",_xlpm.cPl,IF(V226="PLATA",_xlpm.cO,IF(V226="ORO",_xlpm.cP,IF(V226="PLATINO",_xlpm.cD,999))))))</f>
        <v>86.439123873763251</v>
      </c>
      <c r="AF2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226="CERRADO",0,IF(V226="BRONCE",1,IF(V226="PLATA",_xlpm.cPl,IF(V226="ORO",_xlpm.cO,IF(V226="PLATINO",_xlpm.cP,_xlpm.cD))))))</f>
        <v>63.199193273331495</v>
      </c>
      <c r="AG226">
        <f t="shared" si="82"/>
        <v>2.6624903456078641</v>
      </c>
      <c r="AH226" t="str">
        <f t="shared" si="83"/>
        <v>VENTAS</v>
      </c>
      <c r="AI226" t="str">
        <f t="shared" si="80"/>
        <v>🎯 Para subir de categoría, eje VENTAS / IMPACTO ABSOLUTO (H). Acción: metas semanales + activación comercial + seguimiento del asesor. ΔR aprox: 2,7</v>
      </c>
      <c r="AJ226" s="26">
        <f>_xlfn.LET(_xlpm.piso,AF226,_xlpm.corte,AE226,_xlpm.prog,IF(_xlpm.corte&lt;=_xlpm.piso,0,MAX(0,MIN(1,(U226-_xlpm.piso)/(_xlpm.corte-_xlpm.piso)))),_xlpm.orden,{"DIAMANTE";"PLATINO";"ORO";"PLATA";"BRONCE";"CERRADO"},_xlpm.act,IFERROR(MATCH(V226,_xlpm.orden,0),6),_xlpm.ant,IFERROR(MATCH(W226,_xlpm.orden,0),6),_xlpm.ajmov,IF(_xlpm.act&lt;_xlpm.ant,0.08,IF(_xlpm.act&gt;_xlpm.ant,-0.08,0)),_xlpm.ajcli,IF(T226&lt;0.95,-0.06,0),_xlpm.prob,MAX(0,MIN(1,_xlpm.prog+_xlpm.ajmov+_xlpm.ajcli)),IF(OR(V226="DIAMANTE",V226="CERRADO"),0,ROUND(_xlpm.prob,2)))</f>
        <v>0.89</v>
      </c>
      <c r="AK226" t="str">
        <f t="shared" si="84"/>
        <v>Faltan 2,7 puntos base para subir a la siguiente categoría</v>
      </c>
      <c r="AL226" t="str">
        <f t="shared" si="85"/>
        <v>Margen de seguridad: 20,6 puntos</v>
      </c>
      <c r="AM226">
        <f t="shared" si="86"/>
        <v>0.15</v>
      </c>
      <c r="AN226" t="str">
        <f t="shared" si="87"/>
        <v>PRIORIDAD BAJA – control normal</v>
      </c>
      <c r="AO226">
        <f t="shared" si="88"/>
        <v>8.885935747140195</v>
      </c>
      <c r="AP226">
        <f t="shared" si="89"/>
        <v>0</v>
      </c>
      <c r="AQ226">
        <f t="shared" si="90"/>
        <v>0</v>
      </c>
      <c r="AR226">
        <f t="shared" si="91"/>
        <v>7.1999999999999993</v>
      </c>
      <c r="AS226">
        <f t="shared" si="92"/>
        <v>0</v>
      </c>
      <c r="AT226" t="str">
        <f t="shared" si="93"/>
        <v>VENTAS</v>
      </c>
      <c r="AU226">
        <f t="shared" si="94"/>
        <v>8.885935747140195</v>
      </c>
      <c r="AV226" t="str">
        <f t="shared" si="95"/>
        <v>Mayor retorno probable: VENTAS (+8,9 puntos finales potenciales).</v>
      </c>
    </row>
    <row r="227" spans="1:48" x14ac:dyDescent="0.3">
      <c r="A227" s="5">
        <v>51040627</v>
      </c>
      <c r="B227" s="5" t="str">
        <f>IFERROR(VLOOKUP(A227,VENTAS!$A$2:$B$1194,2,0),"")</f>
        <v>METTLER</v>
      </c>
      <c r="C227" s="5">
        <f>IFERROR(INDEX(VENTAS!$C$2:$E$1194,MATCH(A227,VENTAS!$A$2:$A$1194,0),MATCH(PARAMS_MODELO!$B$2,{"Q1","Q2","Q3"},0)),0)</f>
        <v>66520779.989999987</v>
      </c>
      <c r="D227" s="5">
        <f>IFERROR(INDEX(VENTAS!$F$2:$H$1194,MATCH(A227,VENTAS!$A$2:$A$1194,0),MATCH(PARAMS_MODELO!$B$2,{"Q1","Q2","Q3"},0)),0)</f>
        <v>116036760</v>
      </c>
      <c r="E227" s="8">
        <f t="shared" si="72"/>
        <v>0.74436860207357314</v>
      </c>
      <c r="F227" s="12">
        <f>IF(E227&lt;=PARAMS_MODELO!$B$15,0,IF(E227&gt;=PARAMS_MODELO!$B$17,100,100*MIN(1,(E227-PARAMS_MODELO!$B$15)/(PARAMS_MODELO!$B$16-PARAMS_MODELO!$B$15))))*PARAMS_MODELO!$B$7</f>
        <v>35</v>
      </c>
      <c r="G227" s="5">
        <f t="shared" si="73"/>
        <v>49515980.010000013</v>
      </c>
      <c r="H227" s="5">
        <f>(PARAMS_MODELO!$B$20*(MAX(0,MIN(3,E227))/3)+PARAMS_MODELO!$B$21*(IFERROR(LN(1+MAX(0,G227))/LN(1+MAX(0,MAX($G$2:$G$1194))),0)))*100*PARAMS_MODELO!$B$8</f>
        <v>6.7585911921745421</v>
      </c>
      <c r="I227" s="8">
        <f>E227-PARAMS_MODELO!$B$5</f>
        <v>0.56680576669804661</v>
      </c>
      <c r="J227" s="5">
        <f>IF(I227&lt;=PARAMS_MODELO!$B$18,0,IF(I227&gt;=PARAMS_MODELO!$B$19,100,100*(I227-PARAMS_MODELO!$B$18)/(PARAMS_MODELO!$B$19-PARAMS_MODELO!$B$18)))*PARAMS_MODELO!$B$9</f>
        <v>15</v>
      </c>
      <c r="K227" s="5">
        <f>IFERROR(CHOOSE(MATCH(PARAMS_MODELO!$B$2,{"Q1","Q2","Q3"},0),LOTO!$D227,LOTO!$F227,LOTO!$H227),0)</f>
        <v>5837499.9999999991</v>
      </c>
      <c r="L227" s="8">
        <f t="shared" si="74"/>
        <v>5.0307333641511527E-2</v>
      </c>
      <c r="M227" s="5">
        <f>MIN(100,IF(PARAMS_MODELO!$B$23=0,0,100*L227/PARAMS_MODELO!$B$23))*PARAMS_MODELO!$B$10</f>
        <v>15</v>
      </c>
      <c r="N227" s="5">
        <f>IFERROR(VLOOKUP(A227,COMPLIANCE!$A$2:$F$1996,6,0),100)</f>
        <v>100</v>
      </c>
      <c r="O227" s="5">
        <f>N227*PARAMS_MODELO!$B$11</f>
        <v>10</v>
      </c>
      <c r="P227" s="5">
        <f>IFERROR(VLOOKUP(A227,DIGITAL!$A$2:$J$2000,7,0),100)</f>
        <v>43</v>
      </c>
      <c r="Q227" s="5">
        <f>IFERROR(P227,0)*PARAMS_MODELO!$B$12</f>
        <v>4.3</v>
      </c>
      <c r="R227">
        <f t="shared" si="75"/>
        <v>86.058591192174546</v>
      </c>
      <c r="S227" s="5" t="str">
        <f>IFERROR(VLOOKUP(A227,CLIENTE!$A$2:$N$2000,13,0),1)</f>
        <v>Regular</v>
      </c>
      <c r="T227" s="5">
        <f>IFERROR(VLOOKUP(A227,CLIENTE!$A$2:$N$2000,14,0),1)</f>
        <v>1</v>
      </c>
      <c r="U227" s="5">
        <f t="shared" si="76"/>
        <v>86.058591192174546</v>
      </c>
      <c r="V227" s="5" t="str">
        <f>IF(U227&gt;=MAX(_xlfn.PERCENTILE.INC($U$2:$U$1194,PARAMS_MODELO!$B$50),PARAMS_MODELO!$B$45),"DIAMANTE",IF(U227&gt;=MAX(_xlfn.PERCENTILE.INC($U$2:$U$1194,PARAMS_MODELO!$B$51),PARAMS_MODELO!$B$46),"PLATINO",IF(U227&gt;=MAX(_xlfn.PERCENTILE.INC($U$2:$U$1194,PARAMS_MODELO!$B$52),PARAMS_MODELO!$B$47),"ORO",IF(U227&gt;=MAX(_xlfn.PERCENTILE.INC($U$2:$U$1194,PARAMS_MODELO!$B$53),PARAMS_MODELO!$B$48),"PLATA",IF(U227&gt;=1,"BRONCE","CERRADO")))))</f>
        <v>ORO</v>
      </c>
      <c r="W227" s="5" t="str" cm="1">
        <f t="array" ref="W227">_xlfn.XLOOKUP(1, (HIST_SCORE!$B:$B=PARAMS_MODELO!$B$4) * (HIST_SCORE!$C:$C=A227), HIST_SCORE!$E:$E, "No encontrado")</f>
        <v>ORO</v>
      </c>
      <c r="X227" s="5" t="str">
        <f>_xlfn.LET(_xlpm.act,MATCH(V227,{"DIAMANTE";"PLATINO";"ORO";"PLATA";"BRONCE";"CERRADO"},0),_xlpm.ant,MATCH(W227,{"DIAMANTE";"PLATINO";"ORO";"PLATA";"BRONCE";"CERRADO"},0),IF(_xlpm.act&lt;_xlpm.ant,"Mejora ↑",IF(_xlpm.act&gt;_xlpm.ant,"Baja ↓","Estable →")))</f>
        <v>Estable →</v>
      </c>
      <c r="Y227" s="5">
        <f>IFERROR(U227-SUMIFS(HIST_SCORE!$D:$D,HIST_SCORE!$B:$B,PARAMS_MODELO!$B$4,HIST_SCORE!$C:$C,$A227),"")</f>
        <v>0.45008148808244641</v>
      </c>
      <c r="Z227" s="5" t="str">
        <f t="shared" si="77"/>
        <v>→ Estable</v>
      </c>
      <c r="AA227" s="5">
        <f t="shared" si="78"/>
        <v>251</v>
      </c>
      <c r="AB227" s="5">
        <f>IFERROR(SUMIFS(HIST_SCORE!$F:$F,HIST_SCORE!$B:$B,PARAMS_MODELO!$B$4,HIST_SCORE!$C:$C,$A227),"")</f>
        <v>250</v>
      </c>
      <c r="AC227" s="5">
        <f t="shared" si="79"/>
        <v>-1</v>
      </c>
      <c r="AD227" t="str">
        <f t="shared" si="81"/>
        <v/>
      </c>
      <c r="AE2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227="CERRADO",1,IF(V227="BRONCE",_xlpm.cPl,IF(V227="PLATA",_xlpm.cO,IF(V227="ORO",_xlpm.cP,IF(V227="PLATINO",_xlpm.cD,999))))))</f>
        <v>86.439123873763251</v>
      </c>
      <c r="AF2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227="CERRADO",0,IF(V227="BRONCE",1,IF(V227="PLATA",_xlpm.cPl,IF(V227="ORO",_xlpm.cO,IF(V227="PLATINO",_xlpm.cP,_xlpm.cD))))))</f>
        <v>63.199193273331495</v>
      </c>
      <c r="AG227">
        <f t="shared" si="82"/>
        <v>0.38053268158870424</v>
      </c>
      <c r="AH227" t="str">
        <f t="shared" si="83"/>
        <v>VENTAS</v>
      </c>
      <c r="AI227" t="str">
        <f t="shared" si="80"/>
        <v>🎯 Para subir de categoría, eje VENTAS / IMPACTO ABSOLUTO (H). Acción: metas semanales + activación comercial + seguimiento del asesor. ΔR aprox: 0,4</v>
      </c>
      <c r="AJ227" s="26">
        <f>_xlfn.LET(_xlpm.piso,AF227,_xlpm.corte,AE227,_xlpm.prog,IF(_xlpm.corte&lt;=_xlpm.piso,0,MAX(0,MIN(1,(U227-_xlpm.piso)/(_xlpm.corte-_xlpm.piso)))),_xlpm.orden,{"DIAMANTE";"PLATINO";"ORO";"PLATA";"BRONCE";"CERRADO"},_xlpm.act,IFERROR(MATCH(V227,_xlpm.orden,0),6),_xlpm.ant,IFERROR(MATCH(W227,_xlpm.orden,0),6),_xlpm.ajmov,IF(_xlpm.act&lt;_xlpm.ant,0.08,IF(_xlpm.act&gt;_xlpm.ant,-0.08,0)),_xlpm.ajcli,IF(T227&lt;0.95,-0.06,0),_xlpm.prob,MAX(0,MIN(1,_xlpm.prog+_xlpm.ajmov+_xlpm.ajcli)),IF(OR(V227="DIAMANTE",V227="CERRADO"),0,ROUND(_xlpm.prob,2)))</f>
        <v>0.98</v>
      </c>
      <c r="AK227" t="str">
        <f t="shared" si="84"/>
        <v>Faltan 0,4 puntos base para subir a la siguiente categoría</v>
      </c>
      <c r="AL227" t="str">
        <f t="shared" si="85"/>
        <v>Margen de seguridad: 22,9 puntos</v>
      </c>
      <c r="AM227">
        <f t="shared" si="86"/>
        <v>0.02</v>
      </c>
      <c r="AN227" t="str">
        <f t="shared" si="87"/>
        <v>PRIORIDAD BAJA – control normal</v>
      </c>
      <c r="AO227">
        <f t="shared" si="88"/>
        <v>8.1039780831210422</v>
      </c>
      <c r="AP227">
        <f t="shared" si="89"/>
        <v>0</v>
      </c>
      <c r="AQ227">
        <f t="shared" si="90"/>
        <v>0</v>
      </c>
      <c r="AR227">
        <f t="shared" si="91"/>
        <v>5.7</v>
      </c>
      <c r="AS227">
        <f t="shared" si="92"/>
        <v>0</v>
      </c>
      <c r="AT227" t="str">
        <f t="shared" si="93"/>
        <v>VENTAS</v>
      </c>
      <c r="AU227">
        <f t="shared" si="94"/>
        <v>8.1039780831210422</v>
      </c>
      <c r="AV227" t="str">
        <f t="shared" si="95"/>
        <v>Mayor retorno probable: VENTAS (+8,1 puntos finales potenciales).</v>
      </c>
    </row>
    <row r="228" spans="1:48" x14ac:dyDescent="0.3">
      <c r="A228" s="5">
        <v>51031253</v>
      </c>
      <c r="B228" s="5" t="str">
        <f>IFERROR(VLOOKUP(A228,VENTAS!$A$2:$B$1194,2,0),"")</f>
        <v>BELUZZO</v>
      </c>
      <c r="C228" s="5">
        <f>IFERROR(INDEX(VENTAS!$C$2:$E$1194,MATCH(A228,VENTAS!$A$2:$A$1194,0),MATCH(PARAMS_MODELO!$B$2,{"Q1","Q2","Q3"},0)),0)</f>
        <v>97362166.199999988</v>
      </c>
      <c r="D228" s="5">
        <f>IFERROR(INDEX(VENTAS!$F$2:$H$1194,MATCH(A228,VENTAS!$A$2:$A$1194,0),MATCH(PARAMS_MODELO!$B$2,{"Q1","Q2","Q3"},0)),0)</f>
        <v>115992485</v>
      </c>
      <c r="E228" s="8">
        <f t="shared" si="72"/>
        <v>0.19135070148018141</v>
      </c>
      <c r="F228" s="12">
        <f>IF(E228&lt;=PARAMS_MODELO!$B$15,0,IF(E228&gt;=PARAMS_MODELO!$B$17,100,100*MIN(1,(E228-PARAMS_MODELO!$B$15)/(PARAMS_MODELO!$B$16-PARAMS_MODELO!$B$15))))*PARAMS_MODELO!$B$7</f>
        <v>35</v>
      </c>
      <c r="G228" s="5">
        <f t="shared" si="73"/>
        <v>18630318.800000012</v>
      </c>
      <c r="H228" s="5">
        <f>(PARAMS_MODELO!$B$20*(MAX(0,MIN(3,E228))/3)+PARAMS_MODELO!$B$21*(IFERROR(LN(1+MAX(0,G228))/LN(1+MAX(0,MAX($G$2:$G$1194))),0)))*100*PARAMS_MODELO!$B$8</f>
        <v>4.5938876942977407</v>
      </c>
      <c r="I228" s="8">
        <f>E228-PARAMS_MODELO!$B$5</f>
        <v>1.3787866104654878E-2</v>
      </c>
      <c r="J228" s="5">
        <f>IF(I228&lt;=PARAMS_MODELO!$B$18,0,IF(I228&gt;=PARAMS_MODELO!$B$19,100,100*(I228-PARAMS_MODELO!$B$18)/(PARAMS_MODELO!$B$19-PARAMS_MODELO!$B$18)))*PARAMS_MODELO!$B$9</f>
        <v>9.5681799156982308</v>
      </c>
      <c r="K228" s="5">
        <f>IFERROR(CHOOSE(MATCH(PARAMS_MODELO!$B$2,{"Q1","Q2","Q3"},0),LOTO!$D228,LOTO!$F228,LOTO!$H228),0)</f>
        <v>5827499.9999999991</v>
      </c>
      <c r="L228" s="8">
        <f t="shared" si="74"/>
        <v>5.0240323758905581E-2</v>
      </c>
      <c r="M228" s="5">
        <f>MIN(100,IF(PARAMS_MODELO!$B$23=0,0,100*L228/PARAMS_MODELO!$B$23))*PARAMS_MODELO!$B$10</f>
        <v>15</v>
      </c>
      <c r="N228" s="5">
        <f>IFERROR(VLOOKUP(A228,COMPLIANCE!$A$2:$F$1996,6,0),100)</f>
        <v>99.85</v>
      </c>
      <c r="O228" s="5">
        <f>N228*PARAMS_MODELO!$B$11</f>
        <v>9.9849999999999994</v>
      </c>
      <c r="P228" s="5">
        <f>IFERROR(VLOOKUP(A228,DIGITAL!$A$2:$J$2000,7,0),100)</f>
        <v>98</v>
      </c>
      <c r="Q228" s="5">
        <f>IFERROR(P228,0)*PARAMS_MODELO!$B$12</f>
        <v>9.8000000000000007</v>
      </c>
      <c r="R228">
        <f t="shared" si="75"/>
        <v>83.947067609995969</v>
      </c>
      <c r="S228" s="5" t="str">
        <f>IFERROR(VLOOKUP(A228,CLIENTE!$A$2:$N$2000,13,0),1)</f>
        <v>Regular</v>
      </c>
      <c r="T228" s="5">
        <f>IFERROR(VLOOKUP(A228,CLIENTE!$A$2:$N$2000,14,0),1)</f>
        <v>1</v>
      </c>
      <c r="U228" s="5">
        <f t="shared" si="76"/>
        <v>83.947067609995969</v>
      </c>
      <c r="V228" s="5" t="str">
        <f>IF(U228&gt;=MAX(_xlfn.PERCENTILE.INC($U$2:$U$1194,PARAMS_MODELO!$B$50),PARAMS_MODELO!$B$45),"DIAMANTE",IF(U228&gt;=MAX(_xlfn.PERCENTILE.INC($U$2:$U$1194,PARAMS_MODELO!$B$51),PARAMS_MODELO!$B$46),"PLATINO",IF(U228&gt;=MAX(_xlfn.PERCENTILE.INC($U$2:$U$1194,PARAMS_MODELO!$B$52),PARAMS_MODELO!$B$47),"ORO",IF(U228&gt;=MAX(_xlfn.PERCENTILE.INC($U$2:$U$1194,PARAMS_MODELO!$B$53),PARAMS_MODELO!$B$48),"PLATA",IF(U228&gt;=1,"BRONCE","CERRADO")))))</f>
        <v>ORO</v>
      </c>
      <c r="W228" s="5" t="str" cm="1">
        <f t="array" ref="W228">_xlfn.XLOOKUP(1, (HIST_SCORE!$B:$B=PARAMS_MODELO!$B$4) * (HIST_SCORE!$C:$C=A228), HIST_SCORE!$E:$E, "No encontrado")</f>
        <v>ORO</v>
      </c>
      <c r="X228" s="5" t="str">
        <f>_xlfn.LET(_xlpm.act,MATCH(V228,{"DIAMANTE";"PLATINO";"ORO";"PLATA";"BRONCE";"CERRADO"},0),_xlpm.ant,MATCH(W228,{"DIAMANTE";"PLATINO";"ORO";"PLATA";"BRONCE";"CERRADO"},0),IF(_xlpm.act&lt;_xlpm.ant,"Mejora ↑",IF(_xlpm.act&gt;_xlpm.ant,"Baja ↓","Estable →")))</f>
        <v>Estable →</v>
      </c>
      <c r="Y228" s="5">
        <f>IFERROR(U228-SUMIFS(HIST_SCORE!$D:$D,HIST_SCORE!$B:$B,PARAMS_MODELO!$B$4,HIST_SCORE!$C:$C,$A228),"")</f>
        <v>9.4247983896130876</v>
      </c>
      <c r="Z228" s="5" t="str">
        <f t="shared" si="77"/>
        <v>↑ Mejora</v>
      </c>
      <c r="AA228" s="5">
        <f t="shared" si="78"/>
        <v>325</v>
      </c>
      <c r="AB228" s="5">
        <f>IFERROR(SUMIFS(HIST_SCORE!$F:$F,HIST_SCORE!$B:$B,PARAMS_MODELO!$B$4,HIST_SCORE!$C:$C,$A228),"")</f>
        <v>496</v>
      </c>
      <c r="AC228" s="5">
        <f t="shared" si="79"/>
        <v>171</v>
      </c>
      <c r="AD228" t="str">
        <f t="shared" si="81"/>
        <v/>
      </c>
      <c r="AE2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228="CERRADO",1,IF(V228="BRONCE",_xlpm.cPl,IF(V228="PLATA",_xlpm.cO,IF(V228="ORO",_xlpm.cP,IF(V228="PLATINO",_xlpm.cD,999))))))</f>
        <v>86.439123873763251</v>
      </c>
      <c r="AF2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228="CERRADO",0,IF(V228="BRONCE",1,IF(V228="PLATA",_xlpm.cPl,IF(V228="ORO",_xlpm.cO,IF(V228="PLATINO",_xlpm.cP,_xlpm.cD))))))</f>
        <v>63.199193273331495</v>
      </c>
      <c r="AG228">
        <f t="shared" si="82"/>
        <v>2.4920562637672816</v>
      </c>
      <c r="AH228" t="str">
        <f t="shared" si="83"/>
        <v>VENTAS</v>
      </c>
      <c r="AI228" t="str">
        <f t="shared" si="80"/>
        <v>🎯 Para subir de categoría, eje VENTAS / IMPACTO ABSOLUTO (H). Acción: metas semanales + activación comercial + seguimiento del asesor. ΔR aprox: 2,5</v>
      </c>
      <c r="AJ228" s="26">
        <f>_xlfn.LET(_xlpm.piso,AF228,_xlpm.corte,AE228,_xlpm.prog,IF(_xlpm.corte&lt;=_xlpm.piso,0,MAX(0,MIN(1,(U228-_xlpm.piso)/(_xlpm.corte-_xlpm.piso)))),_xlpm.orden,{"DIAMANTE";"PLATINO";"ORO";"PLATA";"BRONCE";"CERRADO"},_xlpm.act,IFERROR(MATCH(V228,_xlpm.orden,0),6),_xlpm.ant,IFERROR(MATCH(W228,_xlpm.orden,0),6),_xlpm.ajmov,IF(_xlpm.act&lt;_xlpm.ant,0.08,IF(_xlpm.act&gt;_xlpm.ant,-0.08,0)),_xlpm.ajcli,IF(T228&lt;0.95,-0.06,0),_xlpm.prob,MAX(0,MIN(1,_xlpm.prog+_xlpm.ajmov+_xlpm.ajcli)),IF(OR(V228="DIAMANTE",V228="CERRADO"),0,ROUND(_xlpm.prob,2)))</f>
        <v>0.89</v>
      </c>
      <c r="AK228" t="str">
        <f t="shared" si="84"/>
        <v>Faltan 2,5 puntos base para subir a la siguiente categoría</v>
      </c>
      <c r="AL228" t="str">
        <f t="shared" si="85"/>
        <v>Margen de seguridad: 20,7 puntos</v>
      </c>
      <c r="AM228">
        <f t="shared" si="86"/>
        <v>0.14000000000000001</v>
      </c>
      <c r="AN228" t="str">
        <f t="shared" si="87"/>
        <v>PRIORIDAD BAJA – control normal</v>
      </c>
      <c r="AO228">
        <f t="shared" si="88"/>
        <v>15.700501665299612</v>
      </c>
      <c r="AP228">
        <f t="shared" si="89"/>
        <v>0</v>
      </c>
      <c r="AQ228">
        <f t="shared" si="90"/>
        <v>1.5000000000000568E-2</v>
      </c>
      <c r="AR228">
        <f t="shared" si="91"/>
        <v>0.19999999999999929</v>
      </c>
      <c r="AS228">
        <f t="shared" si="92"/>
        <v>0</v>
      </c>
      <c r="AT228" t="str">
        <f t="shared" si="93"/>
        <v>VENTAS</v>
      </c>
      <c r="AU228">
        <f t="shared" si="94"/>
        <v>15.700501665299612</v>
      </c>
      <c r="AV228" t="str">
        <f t="shared" si="95"/>
        <v>Mayor retorno probable: VENTAS (+15,7 puntos finales potenciales).</v>
      </c>
    </row>
    <row r="229" spans="1:48" x14ac:dyDescent="0.3">
      <c r="A229" s="5">
        <v>51034350</v>
      </c>
      <c r="B229" s="5" t="str">
        <f>IFERROR(VLOOKUP(A229,VENTAS!$A$2:$B$1194,2,0),"")</f>
        <v>NELLI</v>
      </c>
      <c r="C229" s="5">
        <f>IFERROR(INDEX(VENTAS!$C$2:$E$1194,MATCH(A229,VENTAS!$A$2:$A$1194,0),MATCH(PARAMS_MODELO!$B$2,{"Q1","Q2","Q3"},0)),0)</f>
        <v>100804242.31999999</v>
      </c>
      <c r="D229" s="5">
        <f>IFERROR(INDEX(VENTAS!$F$2:$H$1194,MATCH(A229,VENTAS!$A$2:$A$1194,0),MATCH(PARAMS_MODELO!$B$2,{"Q1","Q2","Q3"},0)),0)</f>
        <v>115940326</v>
      </c>
      <c r="E229" s="8">
        <f t="shared" si="72"/>
        <v>0.15015324089189597</v>
      </c>
      <c r="F229" s="12">
        <f>IF(E229&lt;=PARAMS_MODELO!$B$15,0,IF(E229&gt;=PARAMS_MODELO!$B$17,100,100*MIN(1,(E229-PARAMS_MODELO!$B$15)/(PARAMS_MODELO!$B$16-PARAMS_MODELO!$B$15))))*PARAMS_MODELO!$B$7</f>
        <v>35</v>
      </c>
      <c r="G229" s="5">
        <f t="shared" si="73"/>
        <v>15136083.680000007</v>
      </c>
      <c r="H229" s="5">
        <f>(PARAMS_MODELO!$B$20*(MAX(0,MIN(3,E229))/3)+PARAMS_MODELO!$B$21*(IFERROR(LN(1+MAX(0,G229))/LN(1+MAX(0,MAX($G$2:$G$1194))),0)))*100*PARAMS_MODELO!$B$8</f>
        <v>4.4010067530217922</v>
      </c>
      <c r="I229" s="8">
        <f>E229-PARAMS_MODELO!$B$5</f>
        <v>-2.7409594483630562E-2</v>
      </c>
      <c r="J229" s="5">
        <f>IF(I229&lt;=PARAMS_MODELO!$B$18,0,IF(I229&gt;=PARAMS_MODELO!$B$19,100,100*(I229-PARAMS_MODELO!$B$18)/(PARAMS_MODELO!$B$19-PARAMS_MODELO!$B$18)))*PARAMS_MODELO!$B$9</f>
        <v>3.3885608274554158</v>
      </c>
      <c r="K229" s="5">
        <f>IFERROR(CHOOSE(MATCH(PARAMS_MODELO!$B$2,{"Q1","Q2","Q3"},0),LOTO!$D229,LOTO!$F229,LOTO!$H229),0)</f>
        <v>5780000</v>
      </c>
      <c r="L229" s="8">
        <f t="shared" si="74"/>
        <v>4.9853232256738697E-2</v>
      </c>
      <c r="M229" s="5">
        <f>MIN(100,IF(PARAMS_MODELO!$B$23=0,0,100*L229/PARAMS_MODELO!$B$23))*PARAMS_MODELO!$B$10</f>
        <v>14.95596967702161</v>
      </c>
      <c r="N229" s="5">
        <f>IFERROR(VLOOKUP(A229,COMPLIANCE!$A$2:$F$1996,6,0),100)</f>
        <v>100</v>
      </c>
      <c r="O229" s="5">
        <f>N229*PARAMS_MODELO!$B$11</f>
        <v>10</v>
      </c>
      <c r="P229" s="5">
        <f>IFERROR(VLOOKUP(A229,DIGITAL!$A$2:$J$2000,7,0),100)</f>
        <v>62</v>
      </c>
      <c r="Q229" s="5">
        <f>IFERROR(P229,0)*PARAMS_MODELO!$B$12</f>
        <v>6.2</v>
      </c>
      <c r="R229">
        <f t="shared" si="75"/>
        <v>73.945537257498813</v>
      </c>
      <c r="S229" s="5" t="str">
        <f>IFERROR(VLOOKUP(A229,CLIENTE!$A$2:$N$2000,13,0),1)</f>
        <v>Malo</v>
      </c>
      <c r="T229" s="5">
        <f>IFERROR(VLOOKUP(A229,CLIENTE!$A$2:$N$2000,14,0),1)</f>
        <v>0.7</v>
      </c>
      <c r="U229" s="5">
        <f t="shared" si="76"/>
        <v>51.761876080249166</v>
      </c>
      <c r="V229" s="5" t="str">
        <f>IF(U229&gt;=MAX(_xlfn.PERCENTILE.INC($U$2:$U$1194,PARAMS_MODELO!$B$50),PARAMS_MODELO!$B$45),"DIAMANTE",IF(U229&gt;=MAX(_xlfn.PERCENTILE.INC($U$2:$U$1194,PARAMS_MODELO!$B$51),PARAMS_MODELO!$B$46),"PLATINO",IF(U229&gt;=MAX(_xlfn.PERCENTILE.INC($U$2:$U$1194,PARAMS_MODELO!$B$52),PARAMS_MODELO!$B$47),"ORO",IF(U229&gt;=MAX(_xlfn.PERCENTILE.INC($U$2:$U$1194,PARAMS_MODELO!$B$53),PARAMS_MODELO!$B$48),"PLATA",IF(U229&gt;=1,"BRONCE","CERRADO")))))</f>
        <v>PLATA</v>
      </c>
      <c r="W229" s="5" t="str" cm="1">
        <f t="array" ref="W229">_xlfn.XLOOKUP(1, (HIST_SCORE!$B:$B=PARAMS_MODELO!$B$4) * (HIST_SCORE!$C:$C=A229), HIST_SCORE!$E:$E, "No encontrado")</f>
        <v>PLATA</v>
      </c>
      <c r="X229" s="5" t="str">
        <f>_xlfn.LET(_xlpm.act,MATCH(V229,{"DIAMANTE";"PLATINO";"ORO";"PLATA";"BRONCE";"CERRADO"},0),_xlpm.ant,MATCH(W229,{"DIAMANTE";"PLATINO";"ORO";"PLATA";"BRONCE";"CERRADO"},0),IF(_xlpm.act&lt;_xlpm.ant,"Mejora ↑",IF(_xlpm.act&gt;_xlpm.ant,"Baja ↓","Estable →")))</f>
        <v>Estable →</v>
      </c>
      <c r="Y229" s="5">
        <f>IFERROR(U229-SUMIFS(HIST_SCORE!$D:$D,HIST_SCORE!$B:$B,PARAMS_MODELO!$B$4,HIST_SCORE!$C:$C,$A229),"")</f>
        <v>-8.0952796030187244</v>
      </c>
      <c r="Z229" s="5" t="str">
        <f t="shared" si="77"/>
        <v>↓ Baja</v>
      </c>
      <c r="AA229" s="5">
        <f t="shared" si="78"/>
        <v>729</v>
      </c>
      <c r="AB229" s="5">
        <f>IFERROR(SUMIFS(HIST_SCORE!$F:$F,HIST_SCORE!$B:$B,PARAMS_MODELO!$B$4,HIST_SCORE!$C:$C,$A229),"")</f>
        <v>650</v>
      </c>
      <c r="AC229" s="5">
        <f t="shared" si="79"/>
        <v>-79</v>
      </c>
      <c r="AD229" t="str">
        <f t="shared" si="81"/>
        <v/>
      </c>
      <c r="AE2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229="CERRADO",1,IF(V229="BRONCE",_xlpm.cPl,IF(V229="PLATA",_xlpm.cO,IF(V229="ORO",_xlpm.cP,IF(V229="PLATINO",_xlpm.cD,999))))))</f>
        <v>63.199193273331495</v>
      </c>
      <c r="AF2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229="CERRADO",0,IF(V229="BRONCE",1,IF(V229="PLATA",_xlpm.cPl,IF(V229="ORO",_xlpm.cO,IF(V229="PLATINO",_xlpm.cP,_xlpm.cD))))))</f>
        <v>24.506573482968111</v>
      </c>
      <c r="AG229">
        <f t="shared" si="82"/>
        <v>16.339024561546182</v>
      </c>
      <c r="AH229" t="str">
        <f t="shared" si="83"/>
        <v>CLIENTE</v>
      </c>
      <c r="AI229" t="str">
        <f t="shared" si="80"/>
        <v>🎯 Para subir de categoría, la eje con mayor impacto probable es CLIENTE (coef T). Acción: reducir quejas, mejorar incógnito y empujar reseñas. ΔR aprox: 16,3</v>
      </c>
      <c r="AJ229" s="26">
        <f>_xlfn.LET(_xlpm.piso,AF229,_xlpm.corte,AE229,_xlpm.prog,IF(_xlpm.corte&lt;=_xlpm.piso,0,MAX(0,MIN(1,(U229-_xlpm.piso)/(_xlpm.corte-_xlpm.piso)))),_xlpm.orden,{"DIAMANTE";"PLATINO";"ORO";"PLATA";"BRONCE";"CERRADO"},_xlpm.act,IFERROR(MATCH(V229,_xlpm.orden,0),6),_xlpm.ant,IFERROR(MATCH(W229,_xlpm.orden,0),6),_xlpm.ajmov,IF(_xlpm.act&lt;_xlpm.ant,0.08,IF(_xlpm.act&gt;_xlpm.ant,-0.08,0)),_xlpm.ajcli,IF(T229&lt;0.95,-0.06,0),_xlpm.prob,MAX(0,MIN(1,_xlpm.prog+_xlpm.ajmov+_xlpm.ajcli)),IF(OR(V229="DIAMANTE",V229="CERRADO"),0,ROUND(_xlpm.prob,2)))</f>
        <v>0.64</v>
      </c>
      <c r="AK229" t="str">
        <f t="shared" si="84"/>
        <v>Faltan 16,3 puntos base para subir a la siguiente categoría</v>
      </c>
      <c r="AL229" t="str">
        <f t="shared" si="85"/>
        <v>Margen de seguridad: 27,3 puntos</v>
      </c>
      <c r="AM229">
        <f t="shared" si="86"/>
        <v>0.74</v>
      </c>
      <c r="AN229" t="str">
        <f t="shared" si="87"/>
        <v>PRIORIDAD ALTA – requiere intervención inmediata</v>
      </c>
      <c r="AO229">
        <f t="shared" si="88"/>
        <v>15.451101186372865</v>
      </c>
      <c r="AP229">
        <f t="shared" si="89"/>
        <v>3.0821226084873029E-2</v>
      </c>
      <c r="AQ229">
        <f t="shared" si="90"/>
        <v>0</v>
      </c>
      <c r="AR229">
        <f t="shared" si="91"/>
        <v>2.6599999999999997</v>
      </c>
      <c r="AS229">
        <f t="shared" si="92"/>
        <v>22.183661177249647</v>
      </c>
      <c r="AT229" t="str">
        <f t="shared" si="93"/>
        <v>CLIENTE</v>
      </c>
      <c r="AU229">
        <f t="shared" si="94"/>
        <v>22.183661177249647</v>
      </c>
      <c r="AV229" t="str">
        <f t="shared" si="95"/>
        <v>Mayor retorno probable: CLIENTE (+22,2 puntos finales potenciales).</v>
      </c>
    </row>
    <row r="230" spans="1:48" x14ac:dyDescent="0.3">
      <c r="A230" s="5">
        <v>51022220</v>
      </c>
      <c r="B230" s="5" t="str">
        <f>IFERROR(VLOOKUP(A230,VENTAS!$A$2:$B$1194,2,0),"")</f>
        <v>CICHETTO</v>
      </c>
      <c r="C230" s="5">
        <f>IFERROR(INDEX(VENTAS!$C$2:$E$1194,MATCH(A230,VENTAS!$A$2:$A$1194,0),MATCH(PARAMS_MODELO!$B$2,{"Q1","Q2","Q3"},0)),0)</f>
        <v>175904953.69</v>
      </c>
      <c r="D230" s="5">
        <f>IFERROR(INDEX(VENTAS!$F$2:$H$1194,MATCH(A230,VENTAS!$A$2:$A$1194,0),MATCH(PARAMS_MODELO!$B$2,{"Q1","Q2","Q3"},0)),0)</f>
        <v>115860390</v>
      </c>
      <c r="E230" s="8">
        <f t="shared" si="72"/>
        <v>-0.34134663311311553</v>
      </c>
      <c r="F230" s="12">
        <f>IF(E230&lt;=PARAMS_MODELO!$B$15,0,IF(E230&gt;=PARAMS_MODELO!$B$17,100,100*MIN(1,(E230-PARAMS_MODELO!$B$15)/(PARAMS_MODELO!$B$16-PARAMS_MODELO!$B$15))))*PARAMS_MODELO!$B$7</f>
        <v>0</v>
      </c>
      <c r="G230" s="5">
        <f t="shared" si="73"/>
        <v>0</v>
      </c>
      <c r="H230" s="5">
        <f>(PARAMS_MODELO!$B$20*(MAX(0,MIN(3,E230))/3)+PARAMS_MODELO!$B$21*(IFERROR(LN(1+MAX(0,G230))/LN(1+MAX(0,MAX($G$2:$G$1194))),0)))*100*PARAMS_MODELO!$B$8</f>
        <v>0</v>
      </c>
      <c r="I230" s="8">
        <f>E230-PARAMS_MODELO!$B$5</f>
        <v>-0.51890946848864206</v>
      </c>
      <c r="J230" s="5">
        <f>IF(I230&lt;=PARAMS_MODELO!$B$18,0,IF(I230&gt;=PARAMS_MODELO!$B$19,100,100*(I230-PARAMS_MODELO!$B$18)/(PARAMS_MODELO!$B$19-PARAMS_MODELO!$B$18)))*PARAMS_MODELO!$B$9</f>
        <v>0</v>
      </c>
      <c r="K230" s="5">
        <f>IFERROR(CHOOSE(MATCH(PARAMS_MODELO!$B$2,{"Q1","Q2","Q3"},0),LOTO!$D230,LOTO!$F230,LOTO!$H230),0)</f>
        <v>5772500</v>
      </c>
      <c r="L230" s="8">
        <f t="shared" si="74"/>
        <v>4.9822894606172133E-2</v>
      </c>
      <c r="M230" s="5">
        <f>MIN(100,IF(PARAMS_MODELO!$B$23=0,0,100*L230/PARAMS_MODELO!$B$23))*PARAMS_MODELO!$B$10</f>
        <v>14.94686838185164</v>
      </c>
      <c r="N230" s="5">
        <f>IFERROR(VLOOKUP(A230,COMPLIANCE!$A$2:$F$1996,6,0),100)</f>
        <v>100</v>
      </c>
      <c r="O230" s="5">
        <f>N230*PARAMS_MODELO!$B$11</f>
        <v>10</v>
      </c>
      <c r="P230" s="5">
        <f>IFERROR(VLOOKUP(A230,DIGITAL!$A$2:$J$2000,7,0),100)</f>
        <v>65</v>
      </c>
      <c r="Q230" s="5">
        <f>IFERROR(P230,0)*PARAMS_MODELO!$B$12</f>
        <v>6.5</v>
      </c>
      <c r="R230">
        <f t="shared" si="75"/>
        <v>31.44686838185164</v>
      </c>
      <c r="S230" s="5" t="str">
        <f>IFERROR(VLOOKUP(A230,CLIENTE!$A$2:$N$2000,13,0),1)</f>
        <v>Malo</v>
      </c>
      <c r="T230" s="5">
        <f>IFERROR(VLOOKUP(A230,CLIENTE!$A$2:$N$2000,14,0),1)</f>
        <v>0.7</v>
      </c>
      <c r="U230" s="5">
        <f t="shared" si="76"/>
        <v>22.012807867296146</v>
      </c>
      <c r="V230" s="5" t="str">
        <f>IF(U230&gt;=MAX(_xlfn.PERCENTILE.INC($U$2:$U$1194,PARAMS_MODELO!$B$50),PARAMS_MODELO!$B$45),"DIAMANTE",IF(U230&gt;=MAX(_xlfn.PERCENTILE.INC($U$2:$U$1194,PARAMS_MODELO!$B$51),PARAMS_MODELO!$B$46),"PLATINO",IF(U230&gt;=MAX(_xlfn.PERCENTILE.INC($U$2:$U$1194,PARAMS_MODELO!$B$52),PARAMS_MODELO!$B$47),"ORO",IF(U230&gt;=MAX(_xlfn.PERCENTILE.INC($U$2:$U$1194,PARAMS_MODELO!$B$53),PARAMS_MODELO!$B$48),"PLATA",IF(U230&gt;=1,"BRONCE","CERRADO")))))</f>
        <v>BRONCE</v>
      </c>
      <c r="W230" s="5" t="str" cm="1">
        <f t="array" ref="W230">_xlfn.XLOOKUP(1, (HIST_SCORE!$B:$B=PARAMS_MODELO!$B$4) * (HIST_SCORE!$C:$C=A230), HIST_SCORE!$E:$E, "No encontrado")</f>
        <v>BRONCE</v>
      </c>
      <c r="X230" s="5" t="str">
        <f>_xlfn.LET(_xlpm.act,MATCH(V230,{"DIAMANTE";"PLATINO";"ORO";"PLATA";"BRONCE";"CERRADO"},0),_xlpm.ant,MATCH(W230,{"DIAMANTE";"PLATINO";"ORO";"PLATA";"BRONCE";"CERRADO"},0),IF(_xlpm.act&lt;_xlpm.ant,"Mejora ↑",IF(_xlpm.act&gt;_xlpm.ant,"Baja ↓","Estable →")))</f>
        <v>Estable →</v>
      </c>
      <c r="Y230" s="5">
        <f>IFERROR(U230-SUMIFS(HIST_SCORE!$D:$D,HIST_SCORE!$B:$B,PARAMS_MODELO!$B$4,HIST_SCORE!$C:$C,$A230),"")</f>
        <v>3.2098511283721756</v>
      </c>
      <c r="Z230" s="5" t="str">
        <f t="shared" si="77"/>
        <v>→ Estable</v>
      </c>
      <c r="AA230" s="5">
        <f t="shared" si="78"/>
        <v>948</v>
      </c>
      <c r="AB230" s="5">
        <f>IFERROR(SUMIFS(HIST_SCORE!$F:$F,HIST_SCORE!$B:$B,PARAMS_MODELO!$B$4,HIST_SCORE!$C:$C,$A230),"")</f>
        <v>1015</v>
      </c>
      <c r="AC230" s="5">
        <f t="shared" si="79"/>
        <v>67</v>
      </c>
      <c r="AD230" t="str">
        <f t="shared" si="81"/>
        <v/>
      </c>
      <c r="AE2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230="CERRADO",1,IF(V230="BRONCE",_xlpm.cPl,IF(V230="PLATA",_xlpm.cO,IF(V230="ORO",_xlpm.cP,IF(V230="PLATINO",_xlpm.cD,999))))))</f>
        <v>24.506573482968111</v>
      </c>
      <c r="AF2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230="CERRADO",0,IF(V230="BRONCE",1,IF(V230="PLATA",_xlpm.cPl,IF(V230="ORO",_xlpm.cO,IF(V230="PLATINO",_xlpm.cP,_xlpm.cD))))))</f>
        <v>1</v>
      </c>
      <c r="AG230">
        <f t="shared" si="82"/>
        <v>3.5625223081028032</v>
      </c>
      <c r="AH230" t="str">
        <f t="shared" si="83"/>
        <v>CLIENTE</v>
      </c>
      <c r="AI230" t="str">
        <f t="shared" si="80"/>
        <v>🎯 Para subir de categoría, la eje con mayor impacto probable es CLIENTE (coef T). Acción: reducir quejas, mejorar incógnito y empujar reseñas. ΔR aprox: 3,6</v>
      </c>
      <c r="AJ230" s="26">
        <f>_xlfn.LET(_xlpm.piso,AF230,_xlpm.corte,AE230,_xlpm.prog,IF(_xlpm.corte&lt;=_xlpm.piso,0,MAX(0,MIN(1,(U230-_xlpm.piso)/(_xlpm.corte-_xlpm.piso)))),_xlpm.orden,{"DIAMANTE";"PLATINO";"ORO";"PLATA";"BRONCE";"CERRADO"},_xlpm.act,IFERROR(MATCH(V230,_xlpm.orden,0),6),_xlpm.ant,IFERROR(MATCH(W230,_xlpm.orden,0),6),_xlpm.ajmov,IF(_xlpm.act&lt;_xlpm.ant,0.08,IF(_xlpm.act&gt;_xlpm.ant,-0.08,0)),_xlpm.ajcli,IF(T230&lt;0.95,-0.06,0),_xlpm.prob,MAX(0,MIN(1,_xlpm.prog+_xlpm.ajmov+_xlpm.ajcli)),IF(OR(V230="DIAMANTE",V230="CERRADO"),0,ROUND(_xlpm.prob,2)))</f>
        <v>0.83</v>
      </c>
      <c r="AK230" t="str">
        <f t="shared" si="84"/>
        <v>Faltan 3,6 puntos base para subir a la siguiente categoría</v>
      </c>
      <c r="AL230" t="str">
        <f t="shared" si="85"/>
        <v>No aplica</v>
      </c>
      <c r="AM230">
        <f t="shared" si="86"/>
        <v>0.41</v>
      </c>
      <c r="AN230" t="str">
        <f t="shared" si="87"/>
        <v>PRIORIDAD MEDIA – seguimiento del asesor</v>
      </c>
      <c r="AO230">
        <f t="shared" si="88"/>
        <v>45.403798492706905</v>
      </c>
      <c r="AP230">
        <f t="shared" si="89"/>
        <v>3.719213270385175E-2</v>
      </c>
      <c r="AQ230">
        <f t="shared" si="90"/>
        <v>0</v>
      </c>
      <c r="AR230">
        <f t="shared" si="91"/>
        <v>2.4499999999999997</v>
      </c>
      <c r="AS230">
        <f t="shared" si="92"/>
        <v>9.4340605145554939</v>
      </c>
      <c r="AT230" t="str">
        <f t="shared" si="93"/>
        <v>VENTAS</v>
      </c>
      <c r="AU230">
        <f t="shared" si="94"/>
        <v>45.403798492706905</v>
      </c>
      <c r="AV230" t="str">
        <f t="shared" si="95"/>
        <v>Mayor retorno probable: VENTAS (+45,4 puntos finales potenciales).</v>
      </c>
    </row>
    <row r="231" spans="1:48" x14ac:dyDescent="0.3">
      <c r="A231" s="5">
        <v>51019512</v>
      </c>
      <c r="B231" s="5" t="str">
        <f>IFERROR(VLOOKUP(A231,VENTAS!$A$2:$B$1194,2,0),"")</f>
        <v>BELUZZO</v>
      </c>
      <c r="C231" s="5">
        <f>IFERROR(INDEX(VENTAS!$C$2:$E$1194,MATCH(A231,VENTAS!$A$2:$A$1194,0),MATCH(PARAMS_MODELO!$B$2,{"Q1","Q2","Q3"},0)),0)</f>
        <v>88436079.5</v>
      </c>
      <c r="D231" s="5">
        <f>IFERROR(INDEX(VENTAS!$F$2:$H$1194,MATCH(A231,VENTAS!$A$2:$A$1194,0),MATCH(PARAMS_MODELO!$B$2,{"Q1","Q2","Q3"},0)),0)</f>
        <v>115655682</v>
      </c>
      <c r="E231" s="8">
        <f t="shared" si="72"/>
        <v>0.3077884349226494</v>
      </c>
      <c r="F231" s="12">
        <f>IF(E231&lt;=PARAMS_MODELO!$B$15,0,IF(E231&gt;=PARAMS_MODELO!$B$17,100,100*MIN(1,(E231-PARAMS_MODELO!$B$15)/(PARAMS_MODELO!$B$16-PARAMS_MODELO!$B$15))))*PARAMS_MODELO!$B$7</f>
        <v>35</v>
      </c>
      <c r="G231" s="5">
        <f t="shared" si="73"/>
        <v>27219602.5</v>
      </c>
      <c r="H231" s="5">
        <f>(PARAMS_MODELO!$B$20*(MAX(0,MIN(3,E231))/3)+PARAMS_MODELO!$B$21*(IFERROR(LN(1+MAX(0,G231))/LN(1+MAX(0,MAX($G$2:$G$1194))),0)))*100*PARAMS_MODELO!$B$8</f>
        <v>5.0902971301236244</v>
      </c>
      <c r="I231" s="8">
        <f>E231-PARAMS_MODELO!$B$5</f>
        <v>0.13022559954712287</v>
      </c>
      <c r="J231" s="5">
        <f>IF(I231&lt;=PARAMS_MODELO!$B$18,0,IF(I231&gt;=PARAMS_MODELO!$B$19,100,100*(I231-PARAMS_MODELO!$B$18)/(PARAMS_MODELO!$B$19-PARAMS_MODELO!$B$18)))*PARAMS_MODELO!$B$9</f>
        <v>15</v>
      </c>
      <c r="K231" s="5">
        <f>IFERROR(CHOOSE(MATCH(PARAMS_MODELO!$B$2,{"Q1","Q2","Q3"},0),LOTO!$D231,LOTO!$F231,LOTO!$H231),0)</f>
        <v>5762500</v>
      </c>
      <c r="L231" s="8">
        <f t="shared" si="74"/>
        <v>4.982461648533619E-2</v>
      </c>
      <c r="M231" s="5">
        <f>MIN(100,IF(PARAMS_MODELO!$B$23=0,0,100*L231/PARAMS_MODELO!$B$23))*PARAMS_MODELO!$B$10</f>
        <v>14.947384945600856</v>
      </c>
      <c r="N231" s="5">
        <f>IFERROR(VLOOKUP(A231,COMPLIANCE!$A$2:$F$1996,6,0),100)</f>
        <v>100</v>
      </c>
      <c r="O231" s="5">
        <f>N231*PARAMS_MODELO!$B$11</f>
        <v>10</v>
      </c>
      <c r="P231" s="5">
        <f>IFERROR(VLOOKUP(A231,DIGITAL!$A$2:$J$2000,7,0),100)</f>
        <v>86</v>
      </c>
      <c r="Q231" s="5">
        <f>IFERROR(P231,0)*PARAMS_MODELO!$B$12</f>
        <v>8.6</v>
      </c>
      <c r="R231">
        <f t="shared" si="75"/>
        <v>88.63768207572447</v>
      </c>
      <c r="S231" s="5" t="str">
        <f>IFERROR(VLOOKUP(A231,CLIENTE!$A$2:$N$2000,13,0),1)</f>
        <v>Bueno</v>
      </c>
      <c r="T231" s="5">
        <f>IFERROR(VLOOKUP(A231,CLIENTE!$A$2:$N$2000,14,0),1)</f>
        <v>1.1000000000000001</v>
      </c>
      <c r="U231" s="5">
        <f t="shared" si="76"/>
        <v>97.501450283296919</v>
      </c>
      <c r="V231" s="5" t="str">
        <f>IF(U231&gt;=MAX(_xlfn.PERCENTILE.INC($U$2:$U$1194,PARAMS_MODELO!$B$50),PARAMS_MODELO!$B$45),"DIAMANTE",IF(U231&gt;=MAX(_xlfn.PERCENTILE.INC($U$2:$U$1194,PARAMS_MODELO!$B$51),PARAMS_MODELO!$B$46),"PLATINO",IF(U231&gt;=MAX(_xlfn.PERCENTILE.INC($U$2:$U$1194,PARAMS_MODELO!$B$52),PARAMS_MODELO!$B$47),"ORO",IF(U231&gt;=MAX(_xlfn.PERCENTILE.INC($U$2:$U$1194,PARAMS_MODELO!$B$53),PARAMS_MODELO!$B$48),"PLATA",IF(U231&gt;=1,"BRONCE","CERRADO")))))</f>
        <v>DIAMANTE</v>
      </c>
      <c r="W231" s="5" t="str" cm="1">
        <f t="array" ref="W231">_xlfn.XLOOKUP(1, (HIST_SCORE!$B:$B=PARAMS_MODELO!$B$4) * (HIST_SCORE!$C:$C=A231), HIST_SCORE!$E:$E, "No encontrado")</f>
        <v>PLATINO</v>
      </c>
      <c r="X231" s="5" t="str">
        <f>_xlfn.LET(_xlpm.act,MATCH(V231,{"DIAMANTE";"PLATINO";"ORO";"PLATA";"BRONCE";"CERRADO"},0),_xlpm.ant,MATCH(W231,{"DIAMANTE";"PLATINO";"ORO";"PLATA";"BRONCE";"CERRADO"},0),IF(_xlpm.act&lt;_xlpm.ant,"Mejora ↑",IF(_xlpm.act&gt;_xlpm.ant,"Baja ↓","Estable →")))</f>
        <v>Mejora ↑</v>
      </c>
      <c r="Y231" s="5">
        <f>IFERROR(U231-SUMIFS(HIST_SCORE!$D:$D,HIST_SCORE!$B:$B,PARAMS_MODELO!$B$4,HIST_SCORE!$C:$C,$A231),"")</f>
        <v>6.6503383568923766</v>
      </c>
      <c r="Z231" s="5" t="str">
        <f t="shared" si="77"/>
        <v>↑ Mejora</v>
      </c>
      <c r="AA231" s="5">
        <f t="shared" si="78"/>
        <v>42</v>
      </c>
      <c r="AB231" s="5">
        <f>IFERROR(SUMIFS(HIST_SCORE!$F:$F,HIST_SCORE!$B:$B,PARAMS_MODELO!$B$4,HIST_SCORE!$C:$C,$A231),"")</f>
        <v>119</v>
      </c>
      <c r="AC231" s="5">
        <f t="shared" si="79"/>
        <v>77</v>
      </c>
      <c r="AD231" t="str">
        <f t="shared" si="81"/>
        <v/>
      </c>
      <c r="AE2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231="CERRADO",1,IF(V231="BRONCE",_xlpm.cPl,IF(V231="PLATA",_xlpm.cO,IF(V231="ORO",_xlpm.cP,IF(V231="PLATINO",_xlpm.cD,999))))))</f>
        <v>999</v>
      </c>
      <c r="AF2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231="CERRADO",0,IF(V231="BRONCE",1,IF(V231="PLATA",_xlpm.cPl,IF(V231="ORO",_xlpm.cO,IF(V231="PLATINO",_xlpm.cP,_xlpm.cD))))))</f>
        <v>96.054919694466676</v>
      </c>
      <c r="AG231">
        <f t="shared" si="82"/>
        <v>819.54413610609367</v>
      </c>
      <c r="AH231" t="str">
        <f t="shared" si="83"/>
        <v>SOSTENER</v>
      </c>
      <c r="AI231" t="str">
        <f t="shared" si="80"/>
        <v>✅ Mantener desempeño y monitorear variaciones para sostener categoría.</v>
      </c>
      <c r="AJ231" s="26">
        <f>_xlfn.LET(_xlpm.piso,AF231,_xlpm.corte,AE231,_xlpm.prog,IF(_xlpm.corte&lt;=_xlpm.piso,0,MAX(0,MIN(1,(U231-_xlpm.piso)/(_xlpm.corte-_xlpm.piso)))),_xlpm.orden,{"DIAMANTE";"PLATINO";"ORO";"PLATA";"BRONCE";"CERRADO"},_xlpm.act,IFERROR(MATCH(V231,_xlpm.orden,0),6),_xlpm.ant,IFERROR(MATCH(W231,_xlpm.orden,0),6),_xlpm.ajmov,IF(_xlpm.act&lt;_xlpm.ant,0.08,IF(_xlpm.act&gt;_xlpm.ant,-0.08,0)),_xlpm.ajcli,IF(T231&lt;0.95,-0.06,0),_xlpm.prob,MAX(0,MIN(1,_xlpm.prog+_xlpm.ajmov+_xlpm.ajcli)),IF(OR(V231="DIAMANTE",V231="CERRADO"),0,ROUND(_xlpm.prob,2)))</f>
        <v>0</v>
      </c>
      <c r="AK231" t="str">
        <f t="shared" si="84"/>
        <v>No aplica</v>
      </c>
      <c r="AL231" t="str">
        <f t="shared" si="85"/>
        <v>Margen de seguridad: 1,4 puntos</v>
      </c>
      <c r="AM231">
        <f t="shared" si="86"/>
        <v>0.8</v>
      </c>
      <c r="AN231" t="str">
        <f t="shared" si="87"/>
        <v>PRIORIDAD ALTA – requiere intervención inmediata</v>
      </c>
      <c r="AO231">
        <f t="shared" si="88"/>
        <v>10.749499359689157</v>
      </c>
      <c r="AP231">
        <f t="shared" si="89"/>
        <v>5.7876559839058574E-2</v>
      </c>
      <c r="AQ231">
        <f t="shared" si="90"/>
        <v>0</v>
      </c>
      <c r="AR231">
        <f t="shared" si="91"/>
        <v>1.5400000000000005</v>
      </c>
      <c r="AS231">
        <f t="shared" si="92"/>
        <v>0</v>
      </c>
      <c r="AT231" t="str">
        <f t="shared" si="93"/>
        <v>VENTAS</v>
      </c>
      <c r="AU231">
        <f t="shared" si="94"/>
        <v>10.749499359689157</v>
      </c>
      <c r="AV231" t="str">
        <f t="shared" si="95"/>
        <v>Mayor retorno probable: VENTAS (+10,7 puntos finales potenciales).</v>
      </c>
    </row>
    <row r="232" spans="1:48" x14ac:dyDescent="0.3">
      <c r="A232" s="5">
        <v>51014391</v>
      </c>
      <c r="B232" s="5" t="str">
        <f>IFERROR(VLOOKUP(A232,VENTAS!$A$2:$B$1194,2,0),"")</f>
        <v>LÓPEZ</v>
      </c>
      <c r="C232" s="5">
        <f>IFERROR(INDEX(VENTAS!$C$2:$E$1194,MATCH(A232,VENTAS!$A$2:$A$1194,0),MATCH(PARAMS_MODELO!$B$2,{"Q1","Q2","Q3"},0)),0)</f>
        <v>95817024.219999999</v>
      </c>
      <c r="D232" s="5">
        <f>IFERROR(INDEX(VENTAS!$F$2:$H$1194,MATCH(A232,VENTAS!$A$2:$A$1194,0),MATCH(PARAMS_MODELO!$B$2,{"Q1","Q2","Q3"},0)),0)</f>
        <v>115612810</v>
      </c>
      <c r="E232" s="8">
        <f t="shared" si="72"/>
        <v>0.2065998807742977</v>
      </c>
      <c r="F232" s="12">
        <f>IF(E232&lt;=PARAMS_MODELO!$B$15,0,IF(E232&gt;=PARAMS_MODELO!$B$17,100,100*MIN(1,(E232-PARAMS_MODELO!$B$15)/(PARAMS_MODELO!$B$16-PARAMS_MODELO!$B$15))))*PARAMS_MODELO!$B$7</f>
        <v>35</v>
      </c>
      <c r="G232" s="5">
        <f t="shared" si="73"/>
        <v>19795785.780000001</v>
      </c>
      <c r="H232" s="5">
        <f>(PARAMS_MODELO!$B$20*(MAX(0,MIN(3,E232))/3)+PARAMS_MODELO!$B$21*(IFERROR(LN(1+MAX(0,G232))/LN(1+MAX(0,MAX($G$2:$G$1194))),0)))*100*PARAMS_MODELO!$B$8</f>
        <v>4.661483774002118</v>
      </c>
      <c r="I232" s="8">
        <f>E232-PARAMS_MODELO!$B$5</f>
        <v>2.9037045398771166E-2</v>
      </c>
      <c r="J232" s="5">
        <f>IF(I232&lt;=PARAMS_MODELO!$B$18,0,IF(I232&gt;=PARAMS_MODELO!$B$19,100,100*(I232-PARAMS_MODELO!$B$18)/(PARAMS_MODELO!$B$19-PARAMS_MODELO!$B$18)))*PARAMS_MODELO!$B$9</f>
        <v>11.855556809815672</v>
      </c>
      <c r="K232" s="5">
        <f>IFERROR(CHOOSE(MATCH(PARAMS_MODELO!$B$2,{"Q1","Q2","Q3"},0),LOTO!$D232,LOTO!$F232,LOTO!$H232),0)</f>
        <v>5755000</v>
      </c>
      <c r="L232" s="8">
        <f t="shared" si="74"/>
        <v>4.9778220942817669E-2</v>
      </c>
      <c r="M232" s="5">
        <f>MIN(100,IF(PARAMS_MODELO!$B$23=0,0,100*L232/PARAMS_MODELO!$B$23))*PARAMS_MODELO!$B$10</f>
        <v>14.9334662828453</v>
      </c>
      <c r="N232" s="5">
        <f>IFERROR(VLOOKUP(A232,COMPLIANCE!$A$2:$F$1996,6,0),100)</f>
        <v>99.7</v>
      </c>
      <c r="O232" s="5">
        <f>N232*PARAMS_MODELO!$B$11</f>
        <v>9.9700000000000006</v>
      </c>
      <c r="P232" s="5">
        <f>IFERROR(VLOOKUP(A232,DIGITAL!$A$2:$J$2000,7,0),100)</f>
        <v>92</v>
      </c>
      <c r="Q232" s="5">
        <f>IFERROR(P232,0)*PARAMS_MODELO!$B$12</f>
        <v>9.2000000000000011</v>
      </c>
      <c r="R232">
        <f t="shared" si="75"/>
        <v>85.620506866663092</v>
      </c>
      <c r="S232" s="5" t="str">
        <f>IFERROR(VLOOKUP(A232,CLIENTE!$A$2:$N$2000,13,0),1)</f>
        <v>Regular</v>
      </c>
      <c r="T232" s="5">
        <f>IFERROR(VLOOKUP(A232,CLIENTE!$A$2:$N$2000,14,0),1)</f>
        <v>1</v>
      </c>
      <c r="U232" s="5">
        <f t="shared" si="76"/>
        <v>85.620506866663092</v>
      </c>
      <c r="V232" s="5" t="str">
        <f>IF(U232&gt;=MAX(_xlfn.PERCENTILE.INC($U$2:$U$1194,PARAMS_MODELO!$B$50),PARAMS_MODELO!$B$45),"DIAMANTE",IF(U232&gt;=MAX(_xlfn.PERCENTILE.INC($U$2:$U$1194,PARAMS_MODELO!$B$51),PARAMS_MODELO!$B$46),"PLATINO",IF(U232&gt;=MAX(_xlfn.PERCENTILE.INC($U$2:$U$1194,PARAMS_MODELO!$B$52),PARAMS_MODELO!$B$47),"ORO",IF(U232&gt;=MAX(_xlfn.PERCENTILE.INC($U$2:$U$1194,PARAMS_MODELO!$B$53),PARAMS_MODELO!$B$48),"PLATA",IF(U232&gt;=1,"BRONCE","CERRADO")))))</f>
        <v>ORO</v>
      </c>
      <c r="W232" s="5" t="str" cm="1">
        <f t="array" ref="W232">_xlfn.XLOOKUP(1, (HIST_SCORE!$B:$B=PARAMS_MODELO!$B$4) * (HIST_SCORE!$C:$C=A232), HIST_SCORE!$E:$E, "No encontrado")</f>
        <v>ORO</v>
      </c>
      <c r="X232" s="5" t="str">
        <f>_xlfn.LET(_xlpm.act,MATCH(V232,{"DIAMANTE";"PLATINO";"ORO";"PLATA";"BRONCE";"CERRADO"},0),_xlpm.ant,MATCH(W232,{"DIAMANTE";"PLATINO";"ORO";"PLATA";"BRONCE";"CERRADO"},0),IF(_xlpm.act&lt;_xlpm.ant,"Mejora ↑",IF(_xlpm.act&gt;_xlpm.ant,"Baja ↓","Estable →")))</f>
        <v>Estable →</v>
      </c>
      <c r="Y232" s="5">
        <f>IFERROR(U232-SUMIFS(HIST_SCORE!$D:$D,HIST_SCORE!$B:$B,PARAMS_MODELO!$B$4,HIST_SCORE!$C:$C,$A232),"")</f>
        <v>3.3366433614656614</v>
      </c>
      <c r="Z232" s="5" t="str">
        <f t="shared" si="77"/>
        <v>→ Estable</v>
      </c>
      <c r="AA232" s="5">
        <f t="shared" si="78"/>
        <v>265</v>
      </c>
      <c r="AB232" s="5">
        <f>IFERROR(SUMIFS(HIST_SCORE!$F:$F,HIST_SCORE!$B:$B,PARAMS_MODELO!$B$4,HIST_SCORE!$C:$C,$A232),"")</f>
        <v>356</v>
      </c>
      <c r="AC232" s="5">
        <f t="shared" si="79"/>
        <v>91</v>
      </c>
      <c r="AD232" t="str">
        <f t="shared" si="81"/>
        <v/>
      </c>
      <c r="AE2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232="CERRADO",1,IF(V232="BRONCE",_xlpm.cPl,IF(V232="PLATA",_xlpm.cO,IF(V232="ORO",_xlpm.cP,IF(V232="PLATINO",_xlpm.cD,999))))))</f>
        <v>86.439123873763251</v>
      </c>
      <c r="AF2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232="CERRADO",0,IF(V232="BRONCE",1,IF(V232="PLATA",_xlpm.cPl,IF(V232="ORO",_xlpm.cO,IF(V232="PLATINO",_xlpm.cP,_xlpm.cD))))))</f>
        <v>63.199193273331495</v>
      </c>
      <c r="AG232">
        <f t="shared" si="82"/>
        <v>0.81861700710015839</v>
      </c>
      <c r="AH232" t="str">
        <f t="shared" si="83"/>
        <v>VENTAS</v>
      </c>
      <c r="AI232" t="str">
        <f t="shared" si="80"/>
        <v>🎯 Para subir de categoría, eje VENTAS / IMPACTO ABSOLUTO (H). Acción: metas semanales + activación comercial + seguimiento del asesor. ΔR aprox: 0,8</v>
      </c>
      <c r="AJ232" s="26">
        <f>_xlfn.LET(_xlpm.piso,AF232,_xlpm.corte,AE232,_xlpm.prog,IF(_xlpm.corte&lt;=_xlpm.piso,0,MAX(0,MIN(1,(U232-_xlpm.piso)/(_xlpm.corte-_xlpm.piso)))),_xlpm.orden,{"DIAMANTE";"PLATINO";"ORO";"PLATA";"BRONCE";"CERRADO"},_xlpm.act,IFERROR(MATCH(V232,_xlpm.orden,0),6),_xlpm.ant,IFERROR(MATCH(W232,_xlpm.orden,0),6),_xlpm.ajmov,IF(_xlpm.act&lt;_xlpm.ant,0.08,IF(_xlpm.act&gt;_xlpm.ant,-0.08,0)),_xlpm.ajcli,IF(T232&lt;0.95,-0.06,0),_xlpm.prob,MAX(0,MIN(1,_xlpm.prog+_xlpm.ajmov+_xlpm.ajcli)),IF(OR(V232="DIAMANTE",V232="CERRADO"),0,ROUND(_xlpm.prob,2)))</f>
        <v>0.96</v>
      </c>
      <c r="AK232" t="str">
        <f t="shared" si="84"/>
        <v>Faltan 0,8 puntos base para subir a la siguiente categoría</v>
      </c>
      <c r="AL232" t="str">
        <f t="shared" si="85"/>
        <v>Margen de seguridad: 22,4 puntos</v>
      </c>
      <c r="AM232">
        <f t="shared" si="86"/>
        <v>0.05</v>
      </c>
      <c r="AN232" t="str">
        <f t="shared" si="87"/>
        <v>PRIORIDAD BAJA – control normal</v>
      </c>
      <c r="AO232">
        <f t="shared" si="88"/>
        <v>13.345528691477789</v>
      </c>
      <c r="AP232">
        <f t="shared" si="89"/>
        <v>6.6533717154699801E-2</v>
      </c>
      <c r="AQ232">
        <f t="shared" si="90"/>
        <v>2.9999999999999361E-2</v>
      </c>
      <c r="AR232">
        <f t="shared" si="91"/>
        <v>0.79999999999999893</v>
      </c>
      <c r="AS232">
        <f t="shared" si="92"/>
        <v>0</v>
      </c>
      <c r="AT232" t="str">
        <f t="shared" si="93"/>
        <v>VENTAS</v>
      </c>
      <c r="AU232">
        <f t="shared" si="94"/>
        <v>13.345528691477789</v>
      </c>
      <c r="AV232" t="str">
        <f t="shared" si="95"/>
        <v>Mayor retorno probable: VENTAS (+13,3 puntos finales potenciales).</v>
      </c>
    </row>
    <row r="233" spans="1:48" x14ac:dyDescent="0.3">
      <c r="A233" s="5">
        <v>51042689</v>
      </c>
      <c r="B233" s="5" t="str">
        <f>IFERROR(VLOOKUP(A233,VENTAS!$A$2:$B$1194,2,0),"")</f>
        <v>LÓPEZ</v>
      </c>
      <c r="C233" s="5">
        <f>IFERROR(INDEX(VENTAS!$C$2:$E$1194,MATCH(A233,VENTAS!$A$2:$A$1194,0),MATCH(PARAMS_MODELO!$B$2,{"Q1","Q2","Q3"},0)),0)</f>
        <v>84648056.719999999</v>
      </c>
      <c r="D233" s="5">
        <f>IFERROR(INDEX(VENTAS!$F$2:$H$1194,MATCH(A233,VENTAS!$A$2:$A$1194,0),MATCH(PARAMS_MODELO!$B$2,{"Q1","Q2","Q3"},0)),0)</f>
        <v>115518700</v>
      </c>
      <c r="E233" s="8">
        <f t="shared" si="72"/>
        <v>0.36469405768066632</v>
      </c>
      <c r="F233" s="12">
        <f>IF(E233&lt;=PARAMS_MODELO!$B$15,0,IF(E233&gt;=PARAMS_MODELO!$B$17,100,100*MIN(1,(E233-PARAMS_MODELO!$B$15)/(PARAMS_MODELO!$B$16-PARAMS_MODELO!$B$15))))*PARAMS_MODELO!$B$7</f>
        <v>35</v>
      </c>
      <c r="G233" s="5">
        <f t="shared" si="73"/>
        <v>30870643.280000001</v>
      </c>
      <c r="H233" s="5">
        <f>(PARAMS_MODELO!$B$20*(MAX(0,MIN(3,E233))/3)+PARAMS_MODELO!$B$21*(IFERROR(LN(1+MAX(0,G233))/LN(1+MAX(0,MAX($G$2:$G$1194))),0)))*100*PARAMS_MODELO!$B$8</f>
        <v>5.3189720914474163</v>
      </c>
      <c r="I233" s="8">
        <f>E233-PARAMS_MODELO!$B$5</f>
        <v>0.18713122230513979</v>
      </c>
      <c r="J233" s="5">
        <f>IF(I233&lt;=PARAMS_MODELO!$B$18,0,IF(I233&gt;=PARAMS_MODELO!$B$19,100,100*(I233-PARAMS_MODELO!$B$18)/(PARAMS_MODELO!$B$19-PARAMS_MODELO!$B$18)))*PARAMS_MODELO!$B$9</f>
        <v>15</v>
      </c>
      <c r="K233" s="5">
        <f>IFERROR(CHOOSE(MATCH(PARAMS_MODELO!$B$2,{"Q1","Q2","Q3"},0),LOTO!$D233,LOTO!$F233,LOTO!$H233),0)</f>
        <v>5747500.0000000009</v>
      </c>
      <c r="L233" s="8">
        <f t="shared" si="74"/>
        <v>4.9753849376767578E-2</v>
      </c>
      <c r="M233" s="5">
        <f>MIN(100,IF(PARAMS_MODELO!$B$23=0,0,100*L233/PARAMS_MODELO!$B$23))*PARAMS_MODELO!$B$10</f>
        <v>14.926154813030273</v>
      </c>
      <c r="N233" s="5">
        <f>IFERROR(VLOOKUP(A233,COMPLIANCE!$A$2:$F$1996,6,0),100)</f>
        <v>100</v>
      </c>
      <c r="O233" s="5">
        <f>N233*PARAMS_MODELO!$B$11</f>
        <v>10</v>
      </c>
      <c r="P233" s="5">
        <f>IFERROR(VLOOKUP(A233,DIGITAL!$A$2:$J$2000,7,0),100)</f>
        <v>22</v>
      </c>
      <c r="Q233" s="5">
        <f>IFERROR(P233,0)*PARAMS_MODELO!$B$12</f>
        <v>2.2000000000000002</v>
      </c>
      <c r="R233">
        <f t="shared" si="75"/>
        <v>82.445126904477689</v>
      </c>
      <c r="S233" s="5" t="str">
        <f>IFERROR(VLOOKUP(A233,CLIENTE!$A$2:$N$2000,13,0),1)</f>
        <v>Regular</v>
      </c>
      <c r="T233" s="5">
        <f>IFERROR(VLOOKUP(A233,CLIENTE!$A$2:$N$2000,14,0),1)</f>
        <v>1</v>
      </c>
      <c r="U233" s="5">
        <f t="shared" si="76"/>
        <v>82.445126904477689</v>
      </c>
      <c r="V233" s="5" t="str">
        <f>IF(U233&gt;=MAX(_xlfn.PERCENTILE.INC($U$2:$U$1194,PARAMS_MODELO!$B$50),PARAMS_MODELO!$B$45),"DIAMANTE",IF(U233&gt;=MAX(_xlfn.PERCENTILE.INC($U$2:$U$1194,PARAMS_MODELO!$B$51),PARAMS_MODELO!$B$46),"PLATINO",IF(U233&gt;=MAX(_xlfn.PERCENTILE.INC($U$2:$U$1194,PARAMS_MODELO!$B$52),PARAMS_MODELO!$B$47),"ORO",IF(U233&gt;=MAX(_xlfn.PERCENTILE.INC($U$2:$U$1194,PARAMS_MODELO!$B$53),PARAMS_MODELO!$B$48),"PLATA",IF(U233&gt;=1,"BRONCE","CERRADO")))))</f>
        <v>ORO</v>
      </c>
      <c r="W233" s="5" t="str" cm="1">
        <f t="array" ref="W233">_xlfn.XLOOKUP(1, (HIST_SCORE!$B:$B=PARAMS_MODELO!$B$4) * (HIST_SCORE!$C:$C=A233), HIST_SCORE!$E:$E, "No encontrado")</f>
        <v>ORO</v>
      </c>
      <c r="X233" s="5" t="str">
        <f>_xlfn.LET(_xlpm.act,MATCH(V233,{"DIAMANTE";"PLATINO";"ORO";"PLATA";"BRONCE";"CERRADO"},0),_xlpm.ant,MATCH(W233,{"DIAMANTE";"PLATINO";"ORO";"PLATA";"BRONCE";"CERRADO"},0),IF(_xlpm.act&lt;_xlpm.ant,"Mejora ↑",IF(_xlpm.act&gt;_xlpm.ant,"Baja ↓","Estable →")))</f>
        <v>Estable →</v>
      </c>
      <c r="Y233" s="5">
        <f>IFERROR(U233-SUMIFS(HIST_SCORE!$D:$D,HIST_SCORE!$B:$B,PARAMS_MODELO!$B$4,HIST_SCORE!$C:$C,$A233),"")</f>
        <v>0.40090242355134365</v>
      </c>
      <c r="Z233" s="5" t="str">
        <f t="shared" si="77"/>
        <v>→ Estable</v>
      </c>
      <c r="AA233" s="5">
        <f t="shared" si="78"/>
        <v>375</v>
      </c>
      <c r="AB233" s="5">
        <f>IFERROR(SUMIFS(HIST_SCORE!$F:$F,HIST_SCORE!$B:$B,PARAMS_MODELO!$B$4,HIST_SCORE!$C:$C,$A233),"")</f>
        <v>366</v>
      </c>
      <c r="AC233" s="5">
        <f t="shared" si="79"/>
        <v>-9</v>
      </c>
      <c r="AD233" t="str">
        <f t="shared" si="81"/>
        <v/>
      </c>
      <c r="AE2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233="CERRADO",1,IF(V233="BRONCE",_xlpm.cPl,IF(V233="PLATA",_xlpm.cO,IF(V233="ORO",_xlpm.cP,IF(V233="PLATINO",_xlpm.cD,999))))))</f>
        <v>86.439123873763251</v>
      </c>
      <c r="AF2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233="CERRADO",0,IF(V233="BRONCE",1,IF(V233="PLATA",_xlpm.cPl,IF(V233="ORO",_xlpm.cO,IF(V233="PLATINO",_xlpm.cP,_xlpm.cD))))))</f>
        <v>63.199193273331495</v>
      </c>
      <c r="AG233">
        <f t="shared" si="82"/>
        <v>3.9939969692855612</v>
      </c>
      <c r="AH233" t="str">
        <f t="shared" si="83"/>
        <v>VENTAS</v>
      </c>
      <c r="AI233" t="str">
        <f t="shared" si="80"/>
        <v>🎯 Para subir de categoría, eje VENTAS / IMPACTO ABSOLUTO (H). Acción: metas semanales + activación comercial + seguimiento del asesor. ΔR aprox: 4,0</v>
      </c>
      <c r="AJ233" s="26">
        <f>_xlfn.LET(_xlpm.piso,AF233,_xlpm.corte,AE233,_xlpm.prog,IF(_xlpm.corte&lt;=_xlpm.piso,0,MAX(0,MIN(1,(U233-_xlpm.piso)/(_xlpm.corte-_xlpm.piso)))),_xlpm.orden,{"DIAMANTE";"PLATINO";"ORO";"PLATA";"BRONCE";"CERRADO"},_xlpm.act,IFERROR(MATCH(V233,_xlpm.orden,0),6),_xlpm.ant,IFERROR(MATCH(W233,_xlpm.orden,0),6),_xlpm.ajmov,IF(_xlpm.act&lt;_xlpm.ant,0.08,IF(_xlpm.act&gt;_xlpm.ant,-0.08,0)),_xlpm.ajcli,IF(T233&lt;0.95,-0.06,0),_xlpm.prob,MAX(0,MIN(1,_xlpm.prog+_xlpm.ajmov+_xlpm.ajcli)),IF(OR(V233="DIAMANTE",V233="CERRADO"),0,ROUND(_xlpm.prob,2)))</f>
        <v>0.83</v>
      </c>
      <c r="AK233" t="str">
        <f t="shared" si="84"/>
        <v>Faltan 4,0 puntos base para subir a la siguiente categoría</v>
      </c>
      <c r="AL233" t="str">
        <f t="shared" si="85"/>
        <v>Margen de seguridad: 19,2 puntos</v>
      </c>
      <c r="AM233">
        <f t="shared" si="86"/>
        <v>0.23</v>
      </c>
      <c r="AN233" t="str">
        <f t="shared" si="87"/>
        <v>PRIORIDAD BAJA – control normal</v>
      </c>
      <c r="AO233">
        <f t="shared" si="88"/>
        <v>9.5435971838481706</v>
      </c>
      <c r="AP233">
        <f t="shared" si="89"/>
        <v>7.3845186969727195E-2</v>
      </c>
      <c r="AQ233">
        <f t="shared" si="90"/>
        <v>0</v>
      </c>
      <c r="AR233">
        <f t="shared" si="91"/>
        <v>7.8</v>
      </c>
      <c r="AS233">
        <f t="shared" si="92"/>
        <v>0</v>
      </c>
      <c r="AT233" t="str">
        <f t="shared" si="93"/>
        <v>VENTAS</v>
      </c>
      <c r="AU233">
        <f t="shared" si="94"/>
        <v>9.5435971838481706</v>
      </c>
      <c r="AV233" t="str">
        <f t="shared" si="95"/>
        <v>Mayor retorno probable: VENTAS (+9,5 puntos finales potenciales).</v>
      </c>
    </row>
    <row r="234" spans="1:48" x14ac:dyDescent="0.3">
      <c r="A234" s="5">
        <v>51013867</v>
      </c>
      <c r="B234" s="5" t="str">
        <f>IFERROR(VLOOKUP(A234,VENTAS!$A$2:$B$1194,2,0),"")</f>
        <v>PRADES</v>
      </c>
      <c r="C234" s="5">
        <f>IFERROR(INDEX(VENTAS!$C$2:$E$1194,MATCH(A234,VENTAS!$A$2:$A$1194,0),MATCH(PARAMS_MODELO!$B$2,{"Q1","Q2","Q3"},0)),0)</f>
        <v>71845430.650000006</v>
      </c>
      <c r="D234" s="5">
        <f>IFERROR(INDEX(VENTAS!$F$2:$H$1194,MATCH(A234,VENTAS!$A$2:$A$1194,0),MATCH(PARAMS_MODELO!$B$2,{"Q1","Q2","Q3"},0)),0)</f>
        <v>115462359</v>
      </c>
      <c r="E234" s="8">
        <f t="shared" si="72"/>
        <v>0.60709397877344329</v>
      </c>
      <c r="F234" s="12">
        <f>IF(E234&lt;=PARAMS_MODELO!$B$15,0,IF(E234&gt;=PARAMS_MODELO!$B$17,100,100*MIN(1,(E234-PARAMS_MODELO!$B$15)/(PARAMS_MODELO!$B$16-PARAMS_MODELO!$B$15))))*PARAMS_MODELO!$B$7</f>
        <v>35</v>
      </c>
      <c r="G234" s="5">
        <f t="shared" si="73"/>
        <v>43616928.349999994</v>
      </c>
      <c r="H234" s="5">
        <f>(PARAMS_MODELO!$B$20*(MAX(0,MIN(3,E234))/3)+PARAMS_MODELO!$B$21*(IFERROR(LN(1+MAX(0,G234))/LN(1+MAX(0,MAX($G$2:$G$1194))),0)))*100*PARAMS_MODELO!$B$8</f>
        <v>6.248394575489904</v>
      </c>
      <c r="I234" s="8">
        <f>E234-PARAMS_MODELO!$B$5</f>
        <v>0.42953114339791676</v>
      </c>
      <c r="J234" s="5">
        <f>IF(I234&lt;=PARAMS_MODELO!$B$18,0,IF(I234&gt;=PARAMS_MODELO!$B$19,100,100*(I234-PARAMS_MODELO!$B$18)/(PARAMS_MODELO!$B$19-PARAMS_MODELO!$B$18)))*PARAMS_MODELO!$B$9</f>
        <v>15</v>
      </c>
      <c r="K234" s="5">
        <f>IFERROR(CHOOSE(MATCH(PARAMS_MODELO!$B$2,{"Q1","Q2","Q3"},0),LOTO!$D234,LOTO!$F234,LOTO!$H234),0)</f>
        <v>5740000</v>
      </c>
      <c r="L234" s="8">
        <f t="shared" si="74"/>
        <v>4.9713171025719302E-2</v>
      </c>
      <c r="M234" s="5">
        <f>MIN(100,IF(PARAMS_MODELO!$B$23=0,0,100*L234/PARAMS_MODELO!$B$23))*PARAMS_MODELO!$B$10</f>
        <v>14.913951307715791</v>
      </c>
      <c r="N234" s="5">
        <f>IFERROR(VLOOKUP(A234,COMPLIANCE!$A$2:$F$1996,6,0),100)</f>
        <v>100</v>
      </c>
      <c r="O234" s="5">
        <f>N234*PARAMS_MODELO!$B$11</f>
        <v>10</v>
      </c>
      <c r="P234" s="5">
        <f>IFERROR(VLOOKUP(A234,DIGITAL!$A$2:$J$2000,7,0),100)</f>
        <v>82</v>
      </c>
      <c r="Q234" s="5">
        <f>IFERROR(P234,0)*PARAMS_MODELO!$B$12</f>
        <v>8.2000000000000011</v>
      </c>
      <c r="R234">
        <f t="shared" si="75"/>
        <v>89.362345883205691</v>
      </c>
      <c r="S234" s="5" t="str">
        <f>IFERROR(VLOOKUP(A234,CLIENTE!$A$2:$N$2000,13,0),1)</f>
        <v>Regular</v>
      </c>
      <c r="T234" s="5">
        <f>IFERROR(VLOOKUP(A234,CLIENTE!$A$2:$N$2000,14,0),1)</f>
        <v>1</v>
      </c>
      <c r="U234" s="5">
        <f t="shared" si="76"/>
        <v>89.362345883205691</v>
      </c>
      <c r="V234" s="5" t="str">
        <f>IF(U234&gt;=MAX(_xlfn.PERCENTILE.INC($U$2:$U$1194,PARAMS_MODELO!$B$50),PARAMS_MODELO!$B$45),"DIAMANTE",IF(U234&gt;=MAX(_xlfn.PERCENTILE.INC($U$2:$U$1194,PARAMS_MODELO!$B$51),PARAMS_MODELO!$B$46),"PLATINO",IF(U234&gt;=MAX(_xlfn.PERCENTILE.INC($U$2:$U$1194,PARAMS_MODELO!$B$52),PARAMS_MODELO!$B$47),"ORO",IF(U234&gt;=MAX(_xlfn.PERCENTILE.INC($U$2:$U$1194,PARAMS_MODELO!$B$53),PARAMS_MODELO!$B$48),"PLATA",IF(U234&gt;=1,"BRONCE","CERRADO")))))</f>
        <v>PLATINO</v>
      </c>
      <c r="W234" s="5" t="str" cm="1">
        <f t="array" ref="W234">_xlfn.XLOOKUP(1, (HIST_SCORE!$B:$B=PARAMS_MODELO!$B$4) * (HIST_SCORE!$C:$C=A234), HIST_SCORE!$E:$E, "No encontrado")</f>
        <v>PLATINO</v>
      </c>
      <c r="X234" s="5" t="str">
        <f>_xlfn.LET(_xlpm.act,MATCH(V234,{"DIAMANTE";"PLATINO";"ORO";"PLATA";"BRONCE";"CERRADO"},0),_xlpm.ant,MATCH(W234,{"DIAMANTE";"PLATINO";"ORO";"PLATA";"BRONCE";"CERRADO"},0),IF(_xlpm.act&lt;_xlpm.ant,"Mejora ↑",IF(_xlpm.act&gt;_xlpm.ant,"Baja ↓","Estable →")))</f>
        <v>Estable →</v>
      </c>
      <c r="Y234" s="5">
        <f>IFERROR(U234-SUMIFS(HIST_SCORE!$D:$D,HIST_SCORE!$B:$B,PARAMS_MODELO!$B$4,HIST_SCORE!$C:$C,$A234),"")</f>
        <v>1.4146653801726785</v>
      </c>
      <c r="Z234" s="5" t="str">
        <f t="shared" si="77"/>
        <v>→ Estable</v>
      </c>
      <c r="AA234" s="5">
        <f t="shared" si="78"/>
        <v>154</v>
      </c>
      <c r="AB234" s="5">
        <f>IFERROR(SUMIFS(HIST_SCORE!$F:$F,HIST_SCORE!$B:$B,PARAMS_MODELO!$B$4,HIST_SCORE!$C:$C,$A234),"")</f>
        <v>177</v>
      </c>
      <c r="AC234" s="5">
        <f t="shared" si="79"/>
        <v>23</v>
      </c>
      <c r="AD234" t="str">
        <f t="shared" si="81"/>
        <v/>
      </c>
      <c r="AE2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234="CERRADO",1,IF(V234="BRONCE",_xlpm.cPl,IF(V234="PLATA",_xlpm.cO,IF(V234="ORO",_xlpm.cP,IF(V234="PLATINO",_xlpm.cD,999))))))</f>
        <v>96.054919694466676</v>
      </c>
      <c r="AF2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234="CERRADO",0,IF(V234="BRONCE",1,IF(V234="PLATA",_xlpm.cPl,IF(V234="ORO",_xlpm.cO,IF(V234="PLATINO",_xlpm.cP,_xlpm.cD))))))</f>
        <v>86.439123873763251</v>
      </c>
      <c r="AG234">
        <f t="shared" si="82"/>
        <v>6.6925738112609849</v>
      </c>
      <c r="AH234" t="str">
        <f t="shared" si="83"/>
        <v>VENTAS</v>
      </c>
      <c r="AI234" t="str">
        <f t="shared" si="80"/>
        <v>🎯 Para subir de categoría, eje VENTAS / IMPACTO ABSOLUTO (H). Acción: metas semanales + activación comercial + seguimiento del asesor. ΔR aprox: 6,7</v>
      </c>
      <c r="AJ234" s="26">
        <f>_xlfn.LET(_xlpm.piso,AF234,_xlpm.corte,AE234,_xlpm.prog,IF(_xlpm.corte&lt;=_xlpm.piso,0,MAX(0,MIN(1,(U234-_xlpm.piso)/(_xlpm.corte-_xlpm.piso)))),_xlpm.orden,{"DIAMANTE";"PLATINO";"ORO";"PLATA";"BRONCE";"CERRADO"},_xlpm.act,IFERROR(MATCH(V234,_xlpm.orden,0),6),_xlpm.ant,IFERROR(MATCH(W234,_xlpm.orden,0),6),_xlpm.ajmov,IF(_xlpm.act&lt;_xlpm.ant,0.08,IF(_xlpm.act&gt;_xlpm.ant,-0.08,0)),_xlpm.ajcli,IF(T234&lt;0.95,-0.06,0),_xlpm.prob,MAX(0,MIN(1,_xlpm.prog+_xlpm.ajmov+_xlpm.ajcli)),IF(OR(V234="DIAMANTE",V234="CERRADO"),0,ROUND(_xlpm.prob,2)))</f>
        <v>0.3</v>
      </c>
      <c r="AK234" t="str">
        <f t="shared" si="84"/>
        <v>Faltan 6,7 puntos base para subir a la siguiente categoría</v>
      </c>
      <c r="AL234" t="str">
        <f t="shared" si="85"/>
        <v>Margen de seguridad: 2,9 puntos</v>
      </c>
      <c r="AM234">
        <f t="shared" si="86"/>
        <v>0.55000000000000004</v>
      </c>
      <c r="AN234" t="str">
        <f t="shared" si="87"/>
        <v>PRIORIDAD MEDIA – seguimiento del asesor</v>
      </c>
      <c r="AO234">
        <f t="shared" si="88"/>
        <v>8.6141746998056803</v>
      </c>
      <c r="AP234">
        <f t="shared" si="89"/>
        <v>8.6048692284208528E-2</v>
      </c>
      <c r="AQ234">
        <f t="shared" si="90"/>
        <v>0</v>
      </c>
      <c r="AR234">
        <f t="shared" si="91"/>
        <v>1.7999999999999989</v>
      </c>
      <c r="AS234">
        <f t="shared" si="92"/>
        <v>0</v>
      </c>
      <c r="AT234" t="str">
        <f t="shared" si="93"/>
        <v>VENTAS</v>
      </c>
      <c r="AU234">
        <f t="shared" si="94"/>
        <v>8.6141746998056803</v>
      </c>
      <c r="AV234" t="str">
        <f t="shared" si="95"/>
        <v>Mayor retorno probable: VENTAS (+8,6 puntos finales potenciales).</v>
      </c>
    </row>
    <row r="235" spans="1:48" x14ac:dyDescent="0.3">
      <c r="A235" s="5">
        <v>51021258</v>
      </c>
      <c r="B235" s="5" t="str">
        <f>IFERROR(VLOOKUP(A235,VENTAS!$A$2:$B$1194,2,0),"")</f>
        <v>CICHETTO</v>
      </c>
      <c r="C235" s="5">
        <f>IFERROR(INDEX(VENTAS!$C$2:$E$1194,MATCH(A235,VENTAS!$A$2:$A$1194,0),MATCH(PARAMS_MODELO!$B$2,{"Q1","Q2","Q3"},0)),0)</f>
        <v>77286929.719999999</v>
      </c>
      <c r="D235" s="5">
        <f>IFERROR(INDEX(VENTAS!$F$2:$H$1194,MATCH(A235,VENTAS!$A$2:$A$1194,0),MATCH(PARAMS_MODELO!$B$2,{"Q1","Q2","Q3"},0)),0)</f>
        <v>115438974</v>
      </c>
      <c r="E235" s="8">
        <f t="shared" si="72"/>
        <v>0.49364160820231384</v>
      </c>
      <c r="F235" s="12">
        <f>IF(E235&lt;=PARAMS_MODELO!$B$15,0,IF(E235&gt;=PARAMS_MODELO!$B$17,100,100*MIN(1,(E235-PARAMS_MODELO!$B$15)/(PARAMS_MODELO!$B$16-PARAMS_MODELO!$B$15))))*PARAMS_MODELO!$B$7</f>
        <v>35</v>
      </c>
      <c r="G235" s="5">
        <f t="shared" si="73"/>
        <v>38152044.280000001</v>
      </c>
      <c r="H235" s="5">
        <f>(PARAMS_MODELO!$B$20*(MAX(0,MIN(3,E235))/3)+PARAMS_MODELO!$B$21*(IFERROR(LN(1+MAX(0,G235))/LN(1+MAX(0,MAX($G$2:$G$1194))),0)))*100*PARAMS_MODELO!$B$8</f>
        <v>5.8199312203989297</v>
      </c>
      <c r="I235" s="8">
        <f>E235-PARAMS_MODELO!$B$5</f>
        <v>0.31607877282678731</v>
      </c>
      <c r="J235" s="5">
        <f>IF(I235&lt;=PARAMS_MODELO!$B$18,0,IF(I235&gt;=PARAMS_MODELO!$B$19,100,100*(I235-PARAMS_MODELO!$B$18)/(PARAMS_MODELO!$B$19-PARAMS_MODELO!$B$18)))*PARAMS_MODELO!$B$9</f>
        <v>15</v>
      </c>
      <c r="K235" s="5">
        <f>IFERROR(CHOOSE(MATCH(PARAMS_MODELO!$B$2,{"Q1","Q2","Q3"},0),LOTO!$D235,LOTO!$F235,LOTO!$H235),0)</f>
        <v>5712500</v>
      </c>
      <c r="L235" s="8">
        <f t="shared" si="74"/>
        <v>4.9485020544274762E-2</v>
      </c>
      <c r="M235" s="5">
        <f>MIN(100,IF(PARAMS_MODELO!$B$23=0,0,100*L235/PARAMS_MODELO!$B$23))*PARAMS_MODELO!$B$10</f>
        <v>14.845506163282428</v>
      </c>
      <c r="N235" s="5">
        <f>IFERROR(VLOOKUP(A235,COMPLIANCE!$A$2:$F$1996,6,0),100)</f>
        <v>100</v>
      </c>
      <c r="O235" s="5">
        <f>N235*PARAMS_MODELO!$B$11</f>
        <v>10</v>
      </c>
      <c r="P235" s="5">
        <f>IFERROR(VLOOKUP(A235,DIGITAL!$A$2:$J$2000,7,0),100)</f>
        <v>100</v>
      </c>
      <c r="Q235" s="5">
        <f>IFERROR(P235,0)*PARAMS_MODELO!$B$12</f>
        <v>10</v>
      </c>
      <c r="R235">
        <f t="shared" si="75"/>
        <v>90.665437383681351</v>
      </c>
      <c r="S235" s="5" t="str">
        <f>IFERROR(VLOOKUP(A235,CLIENTE!$A$2:$N$2000,13,0),1)</f>
        <v>Regular</v>
      </c>
      <c r="T235" s="5">
        <f>IFERROR(VLOOKUP(A235,CLIENTE!$A$2:$N$2000,14,0),1)</f>
        <v>1</v>
      </c>
      <c r="U235" s="5">
        <f t="shared" si="76"/>
        <v>90.665437383681351</v>
      </c>
      <c r="V235" s="5" t="str">
        <f>IF(U235&gt;=MAX(_xlfn.PERCENTILE.INC($U$2:$U$1194,PARAMS_MODELO!$B$50),PARAMS_MODELO!$B$45),"DIAMANTE",IF(U235&gt;=MAX(_xlfn.PERCENTILE.INC($U$2:$U$1194,PARAMS_MODELO!$B$51),PARAMS_MODELO!$B$46),"PLATINO",IF(U235&gt;=MAX(_xlfn.PERCENTILE.INC($U$2:$U$1194,PARAMS_MODELO!$B$52),PARAMS_MODELO!$B$47),"ORO",IF(U235&gt;=MAX(_xlfn.PERCENTILE.INC($U$2:$U$1194,PARAMS_MODELO!$B$53),PARAMS_MODELO!$B$48),"PLATA",IF(U235&gt;=1,"BRONCE","CERRADO")))))</f>
        <v>PLATINO</v>
      </c>
      <c r="W235" s="5" t="str" cm="1">
        <f t="array" ref="W235">_xlfn.XLOOKUP(1, (HIST_SCORE!$B:$B=PARAMS_MODELO!$B$4) * (HIST_SCORE!$C:$C=A235), HIST_SCORE!$E:$E, "No encontrado")</f>
        <v>PLATINO</v>
      </c>
      <c r="X235" s="5" t="str">
        <f>_xlfn.LET(_xlpm.act,MATCH(V235,{"DIAMANTE";"PLATINO";"ORO";"PLATA";"BRONCE";"CERRADO"},0),_xlpm.ant,MATCH(W235,{"DIAMANTE";"PLATINO";"ORO";"PLATA";"BRONCE";"CERRADO"},0),IF(_xlpm.act&lt;_xlpm.ant,"Mejora ↑",IF(_xlpm.act&gt;_xlpm.ant,"Baja ↓","Estable →")))</f>
        <v>Estable →</v>
      </c>
      <c r="Y235" s="5">
        <f>IFERROR(U235-SUMIFS(HIST_SCORE!$D:$D,HIST_SCORE!$B:$B,PARAMS_MODELO!$B$4,HIST_SCORE!$C:$C,$A235),"")</f>
        <v>2.0624822176134074</v>
      </c>
      <c r="Z235" s="5" t="str">
        <f t="shared" si="77"/>
        <v>→ Estable</v>
      </c>
      <c r="AA235" s="5">
        <f t="shared" si="78"/>
        <v>120</v>
      </c>
      <c r="AB235" s="5">
        <f>IFERROR(SUMIFS(HIST_SCORE!$F:$F,HIST_SCORE!$B:$B,PARAMS_MODELO!$B$4,HIST_SCORE!$C:$C,$A235),"")</f>
        <v>161</v>
      </c>
      <c r="AC235" s="5">
        <f t="shared" si="79"/>
        <v>41</v>
      </c>
      <c r="AD235" t="str">
        <f t="shared" si="81"/>
        <v/>
      </c>
      <c r="AE2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235="CERRADO",1,IF(V235="BRONCE",_xlpm.cPl,IF(V235="PLATA",_xlpm.cO,IF(V235="ORO",_xlpm.cP,IF(V235="PLATINO",_xlpm.cD,999))))))</f>
        <v>96.054919694466676</v>
      </c>
      <c r="AF2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235="CERRADO",0,IF(V235="BRONCE",1,IF(V235="PLATA",_xlpm.cPl,IF(V235="ORO",_xlpm.cO,IF(V235="PLATINO",_xlpm.cP,_xlpm.cD))))))</f>
        <v>86.439123873763251</v>
      </c>
      <c r="AG235">
        <f t="shared" si="82"/>
        <v>5.3894823107853256</v>
      </c>
      <c r="AH235" t="str">
        <f t="shared" si="83"/>
        <v>VENTAS</v>
      </c>
      <c r="AI235" t="str">
        <f t="shared" si="80"/>
        <v>🎯 Para subir de categoría, eje VENTAS / IMPACTO ABSOLUTO (H). Acción: metas semanales + activación comercial + seguimiento del asesor. ΔR aprox: 5,4</v>
      </c>
      <c r="AJ235" s="26">
        <f>_xlfn.LET(_xlpm.piso,AF235,_xlpm.corte,AE235,_xlpm.prog,IF(_xlpm.corte&lt;=_xlpm.piso,0,MAX(0,MIN(1,(U235-_xlpm.piso)/(_xlpm.corte-_xlpm.piso)))),_xlpm.orden,{"DIAMANTE";"PLATINO";"ORO";"PLATA";"BRONCE";"CERRADO"},_xlpm.act,IFERROR(MATCH(V235,_xlpm.orden,0),6),_xlpm.ant,IFERROR(MATCH(W235,_xlpm.orden,0),6),_xlpm.ajmov,IF(_xlpm.act&lt;_xlpm.ant,0.08,IF(_xlpm.act&gt;_xlpm.ant,-0.08,0)),_xlpm.ajcli,IF(T235&lt;0.95,-0.06,0),_xlpm.prob,MAX(0,MIN(1,_xlpm.prog+_xlpm.ajmov+_xlpm.ajcli)),IF(OR(V235="DIAMANTE",V235="CERRADO"),0,ROUND(_xlpm.prob,2)))</f>
        <v>0.44</v>
      </c>
      <c r="AK235" t="str">
        <f t="shared" si="84"/>
        <v>Faltan 5,4 puntos base para subir a la siguiente categoría</v>
      </c>
      <c r="AL235" t="str">
        <f t="shared" si="85"/>
        <v>Margen de seguridad: 4,2 puntos</v>
      </c>
      <c r="AM235">
        <f t="shared" si="86"/>
        <v>0.44</v>
      </c>
      <c r="AN235" t="str">
        <f t="shared" si="87"/>
        <v>PRIORIDAD MEDIA – seguimiento del asesor</v>
      </c>
      <c r="AO235">
        <f t="shared" si="88"/>
        <v>9.0426380548966563</v>
      </c>
      <c r="AP235">
        <f t="shared" si="89"/>
        <v>0.15449383671757211</v>
      </c>
      <c r="AQ235">
        <f t="shared" si="90"/>
        <v>0</v>
      </c>
      <c r="AR235">
        <f t="shared" si="91"/>
        <v>0</v>
      </c>
      <c r="AS235">
        <f t="shared" si="92"/>
        <v>0</v>
      </c>
      <c r="AT235" t="str">
        <f t="shared" si="93"/>
        <v>VENTAS</v>
      </c>
      <c r="AU235">
        <f t="shared" si="94"/>
        <v>9.0426380548966563</v>
      </c>
      <c r="AV235" t="str">
        <f t="shared" si="95"/>
        <v>Mayor retorno probable: VENTAS (+9,0 puntos finales potenciales).</v>
      </c>
    </row>
    <row r="236" spans="1:48" x14ac:dyDescent="0.3">
      <c r="A236" s="5">
        <v>51024591</v>
      </c>
      <c r="B236" s="5" t="str">
        <f>IFERROR(VLOOKUP(A236,VENTAS!$A$2:$B$1194,2,0),"")</f>
        <v>ROBERTS</v>
      </c>
      <c r="C236" s="5">
        <f>IFERROR(INDEX(VENTAS!$C$2:$E$1194,MATCH(A236,VENTAS!$A$2:$A$1194,0),MATCH(PARAMS_MODELO!$B$2,{"Q1","Q2","Q3"},0)),0)</f>
        <v>126004083.09</v>
      </c>
      <c r="D236" s="5">
        <f>IFERROR(INDEX(VENTAS!$F$2:$H$1194,MATCH(A236,VENTAS!$A$2:$A$1194,0),MATCH(PARAMS_MODELO!$B$2,{"Q1","Q2","Q3"},0)),0)</f>
        <v>115431302</v>
      </c>
      <c r="E236" s="8">
        <f t="shared" si="72"/>
        <v>-8.3908241945209516E-2</v>
      </c>
      <c r="F236" s="12">
        <f>IF(E236&lt;=PARAMS_MODELO!$B$15,0,IF(E236&gt;=PARAMS_MODELO!$B$17,100,100*MIN(1,(E236-PARAMS_MODELO!$B$15)/(PARAMS_MODELO!$B$16-PARAMS_MODELO!$B$15))))*PARAMS_MODELO!$B$7</f>
        <v>0</v>
      </c>
      <c r="G236" s="5">
        <f t="shared" si="73"/>
        <v>0</v>
      </c>
      <c r="H236" s="5">
        <f>(PARAMS_MODELO!$B$20*(MAX(0,MIN(3,E236))/3)+PARAMS_MODELO!$B$21*(IFERROR(LN(1+MAX(0,G236))/LN(1+MAX(0,MAX($G$2:$G$1194))),0)))*100*PARAMS_MODELO!$B$8</f>
        <v>0</v>
      </c>
      <c r="I236" s="8">
        <f>E236-PARAMS_MODELO!$B$5</f>
        <v>-0.26147107732073605</v>
      </c>
      <c r="J236" s="5">
        <f>IF(I236&lt;=PARAMS_MODELO!$B$18,0,IF(I236&gt;=PARAMS_MODELO!$B$19,100,100*(I236-PARAMS_MODELO!$B$18)/(PARAMS_MODELO!$B$19-PARAMS_MODELO!$B$18)))*PARAMS_MODELO!$B$9</f>
        <v>0</v>
      </c>
      <c r="K236" s="5">
        <f>IFERROR(CHOOSE(MATCH(PARAMS_MODELO!$B$2,{"Q1","Q2","Q3"},0),LOTO!$D236,LOTO!$F236,LOTO!$H236),0)</f>
        <v>5702500</v>
      </c>
      <c r="L236" s="8">
        <f t="shared" si="74"/>
        <v>4.9401677891496014E-2</v>
      </c>
      <c r="M236" s="5">
        <f>MIN(100,IF(PARAMS_MODELO!$B$23=0,0,100*L236/PARAMS_MODELO!$B$23))*PARAMS_MODELO!$B$10</f>
        <v>14.820503367448804</v>
      </c>
      <c r="N236" s="5">
        <f>IFERROR(VLOOKUP(A236,COMPLIANCE!$A$2:$F$1996,6,0),100)</f>
        <v>100</v>
      </c>
      <c r="O236" s="5">
        <f>N236*PARAMS_MODELO!$B$11</f>
        <v>10</v>
      </c>
      <c r="P236" s="5">
        <f>IFERROR(VLOOKUP(A236,DIGITAL!$A$2:$J$2000,7,0),100)</f>
        <v>63</v>
      </c>
      <c r="Q236" s="5">
        <f>IFERROR(P236,0)*PARAMS_MODELO!$B$12</f>
        <v>6.3000000000000007</v>
      </c>
      <c r="R236">
        <f t="shared" si="75"/>
        <v>31.120503367448805</v>
      </c>
      <c r="S236" s="5" t="str">
        <f>IFERROR(VLOOKUP(A236,CLIENTE!$A$2:$N$2000,13,0),1)</f>
        <v>Regular</v>
      </c>
      <c r="T236" s="5">
        <f>IFERROR(VLOOKUP(A236,CLIENTE!$A$2:$N$2000,14,0),1)</f>
        <v>1</v>
      </c>
      <c r="U236" s="5">
        <f t="shared" si="76"/>
        <v>31.120503367448805</v>
      </c>
      <c r="V236" s="5" t="str">
        <f>IF(U236&gt;=MAX(_xlfn.PERCENTILE.INC($U$2:$U$1194,PARAMS_MODELO!$B$50),PARAMS_MODELO!$B$45),"DIAMANTE",IF(U236&gt;=MAX(_xlfn.PERCENTILE.INC($U$2:$U$1194,PARAMS_MODELO!$B$51),PARAMS_MODELO!$B$46),"PLATINO",IF(U236&gt;=MAX(_xlfn.PERCENTILE.INC($U$2:$U$1194,PARAMS_MODELO!$B$52),PARAMS_MODELO!$B$47),"ORO",IF(U236&gt;=MAX(_xlfn.PERCENTILE.INC($U$2:$U$1194,PARAMS_MODELO!$B$53),PARAMS_MODELO!$B$48),"PLATA",IF(U236&gt;=1,"BRONCE","CERRADO")))))</f>
        <v>PLATA</v>
      </c>
      <c r="W236" s="5" t="str" cm="1">
        <f t="array" ref="W236">_xlfn.XLOOKUP(1, (HIST_SCORE!$B:$B=PARAMS_MODELO!$B$4) * (HIST_SCORE!$C:$C=A236), HIST_SCORE!$E:$E, "No encontrado")</f>
        <v>ORO</v>
      </c>
      <c r="X236" s="5" t="str">
        <f>_xlfn.LET(_xlpm.act,MATCH(V236,{"DIAMANTE";"PLATINO";"ORO";"PLATA";"BRONCE";"CERRADO"},0),_xlpm.ant,MATCH(W236,{"DIAMANTE";"PLATINO";"ORO";"PLATA";"BRONCE";"CERRADO"},0),IF(_xlpm.act&lt;_xlpm.ant,"Mejora ↑",IF(_xlpm.act&gt;_xlpm.ant,"Baja ↓","Estable →")))</f>
        <v>Baja ↓</v>
      </c>
      <c r="Y236" s="5">
        <f>IFERROR(U236-SUMIFS(HIST_SCORE!$D:$D,HIST_SCORE!$B:$B,PARAMS_MODELO!$B$4,HIST_SCORE!$C:$C,$A236),"")</f>
        <v>-39.632475994740886</v>
      </c>
      <c r="Z236" s="5" t="str">
        <f t="shared" si="77"/>
        <v>↓ Baja</v>
      </c>
      <c r="AA236" s="5">
        <f t="shared" si="78"/>
        <v>844</v>
      </c>
      <c r="AB236" s="5">
        <f>IFERROR(SUMIFS(HIST_SCORE!$F:$F,HIST_SCORE!$B:$B,PARAMS_MODELO!$B$4,HIST_SCORE!$C:$C,$A236),"")</f>
        <v>534</v>
      </c>
      <c r="AC236" s="5">
        <f t="shared" si="79"/>
        <v>-310</v>
      </c>
      <c r="AD236" t="str">
        <f t="shared" si="81"/>
        <v/>
      </c>
      <c r="AE2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236="CERRADO",1,IF(V236="BRONCE",_xlpm.cPl,IF(V236="PLATA",_xlpm.cO,IF(V236="ORO",_xlpm.cP,IF(V236="PLATINO",_xlpm.cD,999))))))</f>
        <v>63.199193273331495</v>
      </c>
      <c r="AF2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236="CERRADO",0,IF(V236="BRONCE",1,IF(V236="PLATA",_xlpm.cPl,IF(V236="ORO",_xlpm.cO,IF(V236="PLATINO",_xlpm.cP,_xlpm.cD))))))</f>
        <v>24.506573482968111</v>
      </c>
      <c r="AG236">
        <f t="shared" si="82"/>
        <v>32.07868990588269</v>
      </c>
      <c r="AH236" t="str">
        <f t="shared" si="83"/>
        <v>VENTAS</v>
      </c>
      <c r="AI236" t="str">
        <f t="shared" si="80"/>
        <v>🎯 Para subir de categoría, eje VENTAS / CRECIMIENTO PERSONAL (F). Acción: metas semanales + activación comercial + seguimiento del asesor. ΔR aprox: 32,1</v>
      </c>
      <c r="AJ236" s="26">
        <f>_xlfn.LET(_xlpm.piso,AF236,_xlpm.corte,AE236,_xlpm.prog,IF(_xlpm.corte&lt;=_xlpm.piso,0,MAX(0,MIN(1,(U236-_xlpm.piso)/(_xlpm.corte-_xlpm.piso)))),_xlpm.orden,{"DIAMANTE";"PLATINO";"ORO";"PLATA";"BRONCE";"CERRADO"},_xlpm.act,IFERROR(MATCH(V236,_xlpm.orden,0),6),_xlpm.ant,IFERROR(MATCH(W236,_xlpm.orden,0),6),_xlpm.ajmov,IF(_xlpm.act&lt;_xlpm.ant,0.08,IF(_xlpm.act&gt;_xlpm.ant,-0.08,0)),_xlpm.ajcli,IF(T236&lt;0.95,-0.06,0),_xlpm.prob,MAX(0,MIN(1,_xlpm.prog+_xlpm.ajmov+_xlpm.ajcli)),IF(OR(V236="DIAMANTE",V236="CERRADO"),0,ROUND(_xlpm.prob,2)))</f>
        <v>0.09</v>
      </c>
      <c r="AK236" t="str">
        <f t="shared" si="84"/>
        <v>Faltan 32,1 puntos base para subir a la siguiente categoría</v>
      </c>
      <c r="AL236" t="str">
        <f t="shared" si="85"/>
        <v>Margen de seguridad: 6,6 puntos</v>
      </c>
      <c r="AM236">
        <f t="shared" si="86"/>
        <v>0.76</v>
      </c>
      <c r="AN236" t="str">
        <f t="shared" si="87"/>
        <v>PRIORIDAD ALTA – requiere intervención inmediata</v>
      </c>
      <c r="AO236">
        <f t="shared" si="88"/>
        <v>64.862569275295584</v>
      </c>
      <c r="AP236">
        <f t="shared" si="89"/>
        <v>0.17949663255119575</v>
      </c>
      <c r="AQ236">
        <f t="shared" si="90"/>
        <v>0</v>
      </c>
      <c r="AR236">
        <f t="shared" si="91"/>
        <v>3.6999999999999993</v>
      </c>
      <c r="AS236">
        <f t="shared" si="92"/>
        <v>0</v>
      </c>
      <c r="AT236" t="str">
        <f t="shared" si="93"/>
        <v>VENTAS</v>
      </c>
      <c r="AU236">
        <f t="shared" si="94"/>
        <v>64.862569275295584</v>
      </c>
      <c r="AV236" t="str">
        <f t="shared" si="95"/>
        <v>Mayor retorno probable: VENTAS (+64,9 puntos finales potenciales).</v>
      </c>
    </row>
    <row r="237" spans="1:48" x14ac:dyDescent="0.3">
      <c r="A237" s="5">
        <v>51021665</v>
      </c>
      <c r="B237" s="5" t="str">
        <f>IFERROR(VLOOKUP(A237,VENTAS!$A$2:$B$1194,2,0),"")</f>
        <v>AYALA</v>
      </c>
      <c r="C237" s="5">
        <f>IFERROR(INDEX(VENTAS!$C$2:$E$1194,MATCH(A237,VENTAS!$A$2:$A$1194,0),MATCH(PARAMS_MODELO!$B$2,{"Q1","Q2","Q3"},0)),0)</f>
        <v>95837019.039999992</v>
      </c>
      <c r="D237" s="5">
        <f>IFERROR(INDEX(VENTAS!$F$2:$H$1194,MATCH(A237,VENTAS!$A$2:$A$1194,0),MATCH(PARAMS_MODELO!$B$2,{"Q1","Q2","Q3"},0)),0)</f>
        <v>115389103</v>
      </c>
      <c r="E237" s="8">
        <f t="shared" si="72"/>
        <v>0.20401389938724468</v>
      </c>
      <c r="F237" s="12">
        <f>IF(E237&lt;=PARAMS_MODELO!$B$15,0,IF(E237&gt;=PARAMS_MODELO!$B$17,100,100*MIN(1,(E237-PARAMS_MODELO!$B$15)/(PARAMS_MODELO!$B$16-PARAMS_MODELO!$B$15))))*PARAMS_MODELO!$B$7</f>
        <v>35</v>
      </c>
      <c r="G237" s="5">
        <f t="shared" si="73"/>
        <v>19552083.960000008</v>
      </c>
      <c r="H237" s="5">
        <f>(PARAMS_MODELO!$B$20*(MAX(0,MIN(3,E237))/3)+PARAMS_MODELO!$B$21*(IFERROR(LN(1+MAX(0,G237))/LN(1+MAX(0,MAX($G$2:$G$1194))),0)))*100*PARAMS_MODELO!$B$8</f>
        <v>4.6495291070366802</v>
      </c>
      <c r="I237" s="8">
        <f>E237-PARAMS_MODELO!$B$5</f>
        <v>2.6451064011718151E-2</v>
      </c>
      <c r="J237" s="5">
        <f>IF(I237&lt;=PARAMS_MODELO!$B$18,0,IF(I237&gt;=PARAMS_MODELO!$B$19,100,100*(I237-PARAMS_MODELO!$B$18)/(PARAMS_MODELO!$B$19-PARAMS_MODELO!$B$18)))*PARAMS_MODELO!$B$9</f>
        <v>11.467659601757722</v>
      </c>
      <c r="K237" s="5">
        <f>IFERROR(CHOOSE(MATCH(PARAMS_MODELO!$B$2,{"Q1","Q2","Q3"},0),LOTO!$D237,LOTO!$F237,LOTO!$H237),0)</f>
        <v>5692500</v>
      </c>
      <c r="L237" s="8">
        <f t="shared" si="74"/>
        <v>4.9333081304913165E-2</v>
      </c>
      <c r="M237" s="5">
        <f>MIN(100,IF(PARAMS_MODELO!$B$23=0,0,100*L237/PARAMS_MODELO!$B$23))*PARAMS_MODELO!$B$10</f>
        <v>14.799924391473949</v>
      </c>
      <c r="N237" s="5">
        <f>IFERROR(VLOOKUP(A237,COMPLIANCE!$A$2:$F$1996,6,0),100)</f>
        <v>99.98</v>
      </c>
      <c r="O237" s="5">
        <f>N237*PARAMS_MODELO!$B$11</f>
        <v>9.9980000000000011</v>
      </c>
      <c r="P237" s="5">
        <f>IFERROR(VLOOKUP(A237,DIGITAL!$A$2:$J$2000,7,0),100)</f>
        <v>100</v>
      </c>
      <c r="Q237" s="5">
        <f>IFERROR(P237,0)*PARAMS_MODELO!$B$12</f>
        <v>10</v>
      </c>
      <c r="R237">
        <f t="shared" si="75"/>
        <v>85.915113100268357</v>
      </c>
      <c r="S237" s="5" t="str">
        <f>IFERROR(VLOOKUP(A237,CLIENTE!$A$2:$N$2000,13,0),1)</f>
        <v>Malo</v>
      </c>
      <c r="T237" s="5">
        <f>IFERROR(VLOOKUP(A237,CLIENTE!$A$2:$N$2000,14,0),1)</f>
        <v>0.7</v>
      </c>
      <c r="U237" s="5">
        <f t="shared" si="76"/>
        <v>60.140579170187848</v>
      </c>
      <c r="V237" s="5" t="str">
        <f>IF(U237&gt;=MAX(_xlfn.PERCENTILE.INC($U$2:$U$1194,PARAMS_MODELO!$B$50),PARAMS_MODELO!$B$45),"DIAMANTE",IF(U237&gt;=MAX(_xlfn.PERCENTILE.INC($U$2:$U$1194,PARAMS_MODELO!$B$51),PARAMS_MODELO!$B$46),"PLATINO",IF(U237&gt;=MAX(_xlfn.PERCENTILE.INC($U$2:$U$1194,PARAMS_MODELO!$B$52),PARAMS_MODELO!$B$47),"ORO",IF(U237&gt;=MAX(_xlfn.PERCENTILE.INC($U$2:$U$1194,PARAMS_MODELO!$B$53),PARAMS_MODELO!$B$48),"PLATA",IF(U237&gt;=1,"BRONCE","CERRADO")))))</f>
        <v>PLATA</v>
      </c>
      <c r="W237" s="5" t="str" cm="1">
        <f t="array" ref="W237">_xlfn.XLOOKUP(1, (HIST_SCORE!$B:$B=PARAMS_MODELO!$B$4) * (HIST_SCORE!$C:$C=A237), HIST_SCORE!$E:$E, "No encontrado")</f>
        <v>PLATA</v>
      </c>
      <c r="X237" s="5" t="str">
        <f>_xlfn.LET(_xlpm.act,MATCH(V237,{"DIAMANTE";"PLATINO";"ORO";"PLATA";"BRONCE";"CERRADO"},0),_xlpm.ant,MATCH(W237,{"DIAMANTE";"PLATINO";"ORO";"PLATA";"BRONCE";"CERRADO"},0),IF(_xlpm.act&lt;_xlpm.ant,"Mejora ↑",IF(_xlpm.act&gt;_xlpm.ant,"Baja ↓","Estable →")))</f>
        <v>Estable →</v>
      </c>
      <c r="Y237" s="5">
        <f>IFERROR(U237-SUMIFS(HIST_SCORE!$D:$D,HIST_SCORE!$B:$B,PARAMS_MODELO!$B$4,HIST_SCORE!$C:$C,$A237),"")</f>
        <v>8.1202055253658543</v>
      </c>
      <c r="Z237" s="5" t="str">
        <f t="shared" si="77"/>
        <v>↑ Mejora</v>
      </c>
      <c r="AA237" s="5">
        <f t="shared" si="78"/>
        <v>615</v>
      </c>
      <c r="AB237" s="5">
        <f>IFERROR(SUMIFS(HIST_SCORE!$F:$F,HIST_SCORE!$B:$B,PARAMS_MODELO!$B$4,HIST_SCORE!$C:$C,$A237),"")</f>
        <v>760</v>
      </c>
      <c r="AC237" s="5">
        <f t="shared" si="79"/>
        <v>145</v>
      </c>
      <c r="AD237" t="str">
        <f t="shared" si="81"/>
        <v/>
      </c>
      <c r="AE2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237="CERRADO",1,IF(V237="BRONCE",_xlpm.cPl,IF(V237="PLATA",_xlpm.cO,IF(V237="ORO",_xlpm.cP,IF(V237="PLATINO",_xlpm.cD,999))))))</f>
        <v>63.199193273331495</v>
      </c>
      <c r="AF2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237="CERRADO",0,IF(V237="BRONCE",1,IF(V237="PLATA",_xlpm.cPl,IF(V237="ORO",_xlpm.cO,IF(V237="PLATINO",_xlpm.cP,_xlpm.cD))))))</f>
        <v>24.506573482968111</v>
      </c>
      <c r="AG237">
        <f t="shared" si="82"/>
        <v>4.3694487187766384</v>
      </c>
      <c r="AH237" t="str">
        <f t="shared" si="83"/>
        <v>CLIENTE</v>
      </c>
      <c r="AI237" t="str">
        <f t="shared" si="80"/>
        <v>🎯 Para subir de categoría, la eje con mayor impacto probable es CLIENTE (coef T). Acción: reducir quejas, mejorar incógnito y empujar reseñas. ΔR aprox: 4,4</v>
      </c>
      <c r="AJ237" s="26">
        <f>_xlfn.LET(_xlpm.piso,AF237,_xlpm.corte,AE237,_xlpm.prog,IF(_xlpm.corte&lt;=_xlpm.piso,0,MAX(0,MIN(1,(U237-_xlpm.piso)/(_xlpm.corte-_xlpm.piso)))),_xlpm.orden,{"DIAMANTE";"PLATINO";"ORO";"PLATA";"BRONCE";"CERRADO"},_xlpm.act,IFERROR(MATCH(V237,_xlpm.orden,0),6),_xlpm.ant,IFERROR(MATCH(W237,_xlpm.orden,0),6),_xlpm.ajmov,IF(_xlpm.act&lt;_xlpm.ant,0.08,IF(_xlpm.act&gt;_xlpm.ant,-0.08,0)),_xlpm.ajcli,IF(T237&lt;0.95,-0.06,0),_xlpm.prob,MAX(0,MIN(1,_xlpm.prog+_xlpm.ajmov+_xlpm.ajcli)),IF(OR(V237="DIAMANTE",V237="CERRADO"),0,ROUND(_xlpm.prob,2)))</f>
        <v>0.86</v>
      </c>
      <c r="AK237" t="str">
        <f t="shared" si="84"/>
        <v>Faltan 4,4 puntos base para subir a la siguiente categoría</v>
      </c>
      <c r="AL237" t="str">
        <f t="shared" si="85"/>
        <v>Margen de seguridad: 35,6 puntos</v>
      </c>
      <c r="AM237">
        <f t="shared" si="86"/>
        <v>0.43</v>
      </c>
      <c r="AN237" t="str">
        <f t="shared" si="87"/>
        <v>PRIORIDAD MEDIA – seguimiento del asesor</v>
      </c>
      <c r="AO237">
        <f t="shared" si="88"/>
        <v>9.6217663965508269</v>
      </c>
      <c r="AP237">
        <f t="shared" si="89"/>
        <v>0.1400529259682356</v>
      </c>
      <c r="AQ237">
        <f t="shared" si="90"/>
        <v>1.3999999999992239E-3</v>
      </c>
      <c r="AR237">
        <f t="shared" si="91"/>
        <v>0</v>
      </c>
      <c r="AS237">
        <f t="shared" si="92"/>
        <v>25.774533930080512</v>
      </c>
      <c r="AT237" t="str">
        <f t="shared" si="93"/>
        <v>CLIENTE</v>
      </c>
      <c r="AU237">
        <f t="shared" si="94"/>
        <v>25.774533930080512</v>
      </c>
      <c r="AV237" t="str">
        <f t="shared" si="95"/>
        <v>Mayor retorno probable: CLIENTE (+25,8 puntos finales potenciales).</v>
      </c>
    </row>
    <row r="238" spans="1:48" x14ac:dyDescent="0.3">
      <c r="A238" s="5">
        <v>51030273</v>
      </c>
      <c r="B238" s="5" t="str">
        <f>IFERROR(VLOOKUP(A238,VENTAS!$A$2:$B$1194,2,0),"")</f>
        <v>NELLI</v>
      </c>
      <c r="C238" s="5">
        <f>IFERROR(INDEX(VENTAS!$C$2:$E$1194,MATCH(A238,VENTAS!$A$2:$A$1194,0),MATCH(PARAMS_MODELO!$B$2,{"Q1","Q2","Q3"},0)),0)</f>
        <v>114802484.86</v>
      </c>
      <c r="D238" s="5">
        <f>IFERROR(INDEX(VENTAS!$F$2:$H$1194,MATCH(A238,VENTAS!$A$2:$A$1194,0),MATCH(PARAMS_MODELO!$B$2,{"Q1","Q2","Q3"},0)),0)</f>
        <v>115151370</v>
      </c>
      <c r="E238" s="8">
        <f t="shared" si="72"/>
        <v>3.0390033841642961E-3</v>
      </c>
      <c r="F238" s="12">
        <f>IF(E238&lt;=PARAMS_MODELO!$B$15,0,IF(E238&gt;=PARAMS_MODELO!$B$17,100,100*MIN(1,(E238-PARAMS_MODELO!$B$15)/(PARAMS_MODELO!$B$16-PARAMS_MODELO!$B$15))))*PARAMS_MODELO!$B$7</f>
        <v>1.0636511844575036</v>
      </c>
      <c r="G238" s="5">
        <f t="shared" si="73"/>
        <v>348885.1400000006</v>
      </c>
      <c r="H238" s="5">
        <f>(PARAMS_MODELO!$B$20*(MAX(0,MIN(3,E238))/3)+PARAMS_MODELO!$B$21*(IFERROR(LN(1+MAX(0,G238))/LN(1+MAX(0,MAX($G$2:$G$1194))),0)))*100*PARAMS_MODELO!$B$8</f>
        <v>3.0023448965306478</v>
      </c>
      <c r="I238" s="8">
        <f>E238-PARAMS_MODELO!$B$5</f>
        <v>-0.17452383199136223</v>
      </c>
      <c r="J238" s="5">
        <f>IF(I238&lt;=PARAMS_MODELO!$B$18,0,IF(I238&gt;=PARAMS_MODELO!$B$19,100,100*(I238-PARAMS_MODELO!$B$18)/(PARAMS_MODELO!$B$19-PARAMS_MODELO!$B$18)))*PARAMS_MODELO!$B$9</f>
        <v>0</v>
      </c>
      <c r="K238" s="5">
        <f>IFERROR(CHOOSE(MATCH(PARAMS_MODELO!$B$2,{"Q1","Q2","Q3"},0),LOTO!$D238,LOTO!$F238,LOTO!$H238),0)</f>
        <v>5692500</v>
      </c>
      <c r="L238" s="8">
        <f t="shared" si="74"/>
        <v>4.9434930735083746E-2</v>
      </c>
      <c r="M238" s="5">
        <f>MIN(100,IF(PARAMS_MODELO!$B$23=0,0,100*L238/PARAMS_MODELO!$B$23))*PARAMS_MODELO!$B$10</f>
        <v>14.830479220525124</v>
      </c>
      <c r="N238" s="5">
        <f>IFERROR(VLOOKUP(A238,COMPLIANCE!$A$2:$F$1996,6,0),100)</f>
        <v>99.7</v>
      </c>
      <c r="O238" s="5">
        <f>N238*PARAMS_MODELO!$B$11</f>
        <v>9.9700000000000006</v>
      </c>
      <c r="P238" s="5">
        <f>IFERROR(VLOOKUP(A238,DIGITAL!$A$2:$J$2000,7,0),100)</f>
        <v>65</v>
      </c>
      <c r="Q238" s="5">
        <f>IFERROR(P238,0)*PARAMS_MODELO!$B$12</f>
        <v>6.5</v>
      </c>
      <c r="R238">
        <f t="shared" si="75"/>
        <v>35.366475301513276</v>
      </c>
      <c r="S238" s="5" t="str">
        <f>IFERROR(VLOOKUP(A238,CLIENTE!$A$2:$N$2000,13,0),1)</f>
        <v>Bueno</v>
      </c>
      <c r="T238" s="5">
        <f>IFERROR(VLOOKUP(A238,CLIENTE!$A$2:$N$2000,14,0),1)</f>
        <v>1.1000000000000001</v>
      </c>
      <c r="U238" s="5">
        <f t="shared" si="76"/>
        <v>38.903122831664604</v>
      </c>
      <c r="V238" s="5" t="str">
        <f>IF(U238&gt;=MAX(_xlfn.PERCENTILE.INC($U$2:$U$1194,PARAMS_MODELO!$B$50),PARAMS_MODELO!$B$45),"DIAMANTE",IF(U238&gt;=MAX(_xlfn.PERCENTILE.INC($U$2:$U$1194,PARAMS_MODELO!$B$51),PARAMS_MODELO!$B$46),"PLATINO",IF(U238&gt;=MAX(_xlfn.PERCENTILE.INC($U$2:$U$1194,PARAMS_MODELO!$B$52),PARAMS_MODELO!$B$47),"ORO",IF(U238&gt;=MAX(_xlfn.PERCENTILE.INC($U$2:$U$1194,PARAMS_MODELO!$B$53),PARAMS_MODELO!$B$48),"PLATA",IF(U238&gt;=1,"BRONCE","CERRADO")))))</f>
        <v>PLATA</v>
      </c>
      <c r="W238" s="5" t="str" cm="1">
        <f t="array" ref="W238">_xlfn.XLOOKUP(1, (HIST_SCORE!$B:$B=PARAMS_MODELO!$B$4) * (HIST_SCORE!$C:$C=A238), HIST_SCORE!$E:$E, "No encontrado")</f>
        <v>PLATINO</v>
      </c>
      <c r="X238" s="5" t="str">
        <f>_xlfn.LET(_xlpm.act,MATCH(V238,{"DIAMANTE";"PLATINO";"ORO";"PLATA";"BRONCE";"CERRADO"},0),_xlpm.ant,MATCH(W238,{"DIAMANTE";"PLATINO";"ORO";"PLATA";"BRONCE";"CERRADO"},0),IF(_xlpm.act&lt;_xlpm.ant,"Mejora ↑",IF(_xlpm.act&gt;_xlpm.ant,"Baja ↓","Estable →")))</f>
        <v>Baja ↓</v>
      </c>
      <c r="Y238" s="5">
        <f>IFERROR(U238-SUMIFS(HIST_SCORE!$D:$D,HIST_SCORE!$B:$B,PARAMS_MODELO!$B$4,HIST_SCORE!$C:$C,$A238),"")</f>
        <v>-52.100777478175786</v>
      </c>
      <c r="Z238" s="5" t="str">
        <f t="shared" si="77"/>
        <v>↓ Baja</v>
      </c>
      <c r="AA238" s="5">
        <f t="shared" si="78"/>
        <v>793</v>
      </c>
      <c r="AB238" s="5">
        <f>IFERROR(SUMIFS(HIST_SCORE!$F:$F,HIST_SCORE!$B:$B,PARAMS_MODELO!$B$4,HIST_SCORE!$C:$C,$A238),"")</f>
        <v>118</v>
      </c>
      <c r="AC238" s="5">
        <f t="shared" si="79"/>
        <v>-675</v>
      </c>
      <c r="AD238" t="str">
        <f t="shared" si="81"/>
        <v/>
      </c>
      <c r="AE2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238="CERRADO",1,IF(V238="BRONCE",_xlpm.cPl,IF(V238="PLATA",_xlpm.cO,IF(V238="ORO",_xlpm.cP,IF(V238="PLATINO",_xlpm.cD,999))))))</f>
        <v>63.199193273331495</v>
      </c>
      <c r="AF2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238="CERRADO",0,IF(V238="BRONCE",1,IF(V238="PLATA",_xlpm.cPl,IF(V238="ORO",_xlpm.cO,IF(V238="PLATINO",_xlpm.cP,_xlpm.cD))))))</f>
        <v>24.506573482968111</v>
      </c>
      <c r="AG238">
        <f t="shared" si="82"/>
        <v>22.087336765151719</v>
      </c>
      <c r="AH238" t="str">
        <f t="shared" si="83"/>
        <v>VENTAS</v>
      </c>
      <c r="AI238" t="str">
        <f t="shared" si="80"/>
        <v>🎯 Para subir de categoría, eje VENTAS / DIFERENCIAL vs LOTBA (J). Acción: metas semanales + activación comercial + seguimiento del asesor. ΔR aprox: 22,1</v>
      </c>
      <c r="AJ238" s="26">
        <f>_xlfn.LET(_xlpm.piso,AF238,_xlpm.corte,AE238,_xlpm.prog,IF(_xlpm.corte&lt;=_xlpm.piso,0,MAX(0,MIN(1,(U238-_xlpm.piso)/(_xlpm.corte-_xlpm.piso)))),_xlpm.orden,{"DIAMANTE";"PLATINO";"ORO";"PLATA";"BRONCE";"CERRADO"},_xlpm.act,IFERROR(MATCH(V238,_xlpm.orden,0),6),_xlpm.ant,IFERROR(MATCH(W238,_xlpm.orden,0),6),_xlpm.ajmov,IF(_xlpm.act&lt;_xlpm.ant,0.08,IF(_xlpm.act&gt;_xlpm.ant,-0.08,0)),_xlpm.ajcli,IF(T238&lt;0.95,-0.06,0),_xlpm.prob,MAX(0,MIN(1,_xlpm.prog+_xlpm.ajmov+_xlpm.ajcli)),IF(OR(V238="DIAMANTE",V238="CERRADO"),0,ROUND(_xlpm.prob,2)))</f>
        <v>0.28999999999999998</v>
      </c>
      <c r="AK238" t="str">
        <f t="shared" si="84"/>
        <v>Faltan 22,1 puntos base para subir a la siguiente categoría</v>
      </c>
      <c r="AL238" t="str">
        <f t="shared" si="85"/>
        <v>Margen de seguridad: 14,4 puntos</v>
      </c>
      <c r="AM238">
        <f t="shared" si="86"/>
        <v>0.68</v>
      </c>
      <c r="AN238" t="str">
        <f t="shared" si="87"/>
        <v>PRIORIDAD MEDIA – seguimiento del asesor</v>
      </c>
      <c r="AO238">
        <f t="shared" si="88"/>
        <v>66.876230513738179</v>
      </c>
      <c r="AP238">
        <f t="shared" si="89"/>
        <v>0.18647285742236372</v>
      </c>
      <c r="AQ238">
        <f t="shared" si="90"/>
        <v>3.2999999999999301E-2</v>
      </c>
      <c r="AR238">
        <f t="shared" si="91"/>
        <v>3.8500000000000005</v>
      </c>
      <c r="AS238">
        <f t="shared" si="92"/>
        <v>0</v>
      </c>
      <c r="AT238" t="str">
        <f t="shared" si="93"/>
        <v>VENTAS</v>
      </c>
      <c r="AU238">
        <f t="shared" si="94"/>
        <v>66.876230513738179</v>
      </c>
      <c r="AV238" t="str">
        <f t="shared" si="95"/>
        <v>Mayor retorno probable: VENTAS (+66,9 puntos finales potenciales).</v>
      </c>
    </row>
    <row r="239" spans="1:48" x14ac:dyDescent="0.3">
      <c r="A239" s="5">
        <v>51024559</v>
      </c>
      <c r="B239" s="5" t="str">
        <f>IFERROR(VLOOKUP(A239,VENTAS!$A$2:$B$1194,2,0),"")</f>
        <v>ARGUELLO</v>
      </c>
      <c r="C239" s="5">
        <f>IFERROR(INDEX(VENTAS!$C$2:$E$1194,MATCH(A239,VENTAS!$A$2:$A$1194,0),MATCH(PARAMS_MODELO!$B$2,{"Q1","Q2","Q3"},0)),0)</f>
        <v>124766233.73</v>
      </c>
      <c r="D239" s="5">
        <f>IFERROR(INDEX(VENTAS!$F$2:$H$1194,MATCH(A239,VENTAS!$A$2:$A$1194,0),MATCH(PARAMS_MODELO!$B$2,{"Q1","Q2","Q3"},0)),0)</f>
        <v>115131513</v>
      </c>
      <c r="E239" s="8">
        <f t="shared" si="72"/>
        <v>-7.7222181370401821E-2</v>
      </c>
      <c r="F239" s="12">
        <f>IF(E239&lt;=PARAMS_MODELO!$B$15,0,IF(E239&gt;=PARAMS_MODELO!$B$17,100,100*MIN(1,(E239-PARAMS_MODELO!$B$15)/(PARAMS_MODELO!$B$16-PARAMS_MODELO!$B$15))))*PARAMS_MODELO!$B$7</f>
        <v>0</v>
      </c>
      <c r="G239" s="5">
        <f t="shared" si="73"/>
        <v>0</v>
      </c>
      <c r="H239" s="5">
        <f>(PARAMS_MODELO!$B$20*(MAX(0,MIN(3,E239))/3)+PARAMS_MODELO!$B$21*(IFERROR(LN(1+MAX(0,G239))/LN(1+MAX(0,MAX($G$2:$G$1194))),0)))*100*PARAMS_MODELO!$B$8</f>
        <v>0</v>
      </c>
      <c r="I239" s="8">
        <f>E239-PARAMS_MODELO!$B$5</f>
        <v>-0.25478501674592835</v>
      </c>
      <c r="J239" s="5">
        <f>IF(I239&lt;=PARAMS_MODELO!$B$18,0,IF(I239&gt;=PARAMS_MODELO!$B$19,100,100*(I239-PARAMS_MODELO!$B$18)/(PARAMS_MODELO!$B$19-PARAMS_MODELO!$B$18)))*PARAMS_MODELO!$B$9</f>
        <v>0</v>
      </c>
      <c r="K239" s="5">
        <f>IFERROR(CHOOSE(MATCH(PARAMS_MODELO!$B$2,{"Q1","Q2","Q3"},0),LOTO!$D239,LOTO!$F239,LOTO!$H239),0)</f>
        <v>5685000</v>
      </c>
      <c r="L239" s="8">
        <f t="shared" si="74"/>
        <v>4.9378313998183973E-2</v>
      </c>
      <c r="M239" s="5">
        <f>MIN(100,IF(PARAMS_MODELO!$B$23=0,0,100*L239/PARAMS_MODELO!$B$23))*PARAMS_MODELO!$B$10</f>
        <v>14.813494199455191</v>
      </c>
      <c r="N239" s="5">
        <f>IFERROR(VLOOKUP(A239,COMPLIANCE!$A$2:$F$1996,6,0),100)</f>
        <v>99.85</v>
      </c>
      <c r="O239" s="5">
        <f>N239*PARAMS_MODELO!$B$11</f>
        <v>9.9849999999999994</v>
      </c>
      <c r="P239" s="5">
        <f>IFERROR(VLOOKUP(A239,DIGITAL!$A$2:$J$2000,7,0),100)</f>
        <v>95</v>
      </c>
      <c r="Q239" s="5">
        <f>IFERROR(P239,0)*PARAMS_MODELO!$B$12</f>
        <v>9.5</v>
      </c>
      <c r="R239">
        <f t="shared" si="75"/>
        <v>34.298494199455192</v>
      </c>
      <c r="S239" s="5" t="str">
        <f>IFERROR(VLOOKUP(A239,CLIENTE!$A$2:$N$2000,13,0),1)</f>
        <v>Regular</v>
      </c>
      <c r="T239" s="5">
        <f>IFERROR(VLOOKUP(A239,CLIENTE!$A$2:$N$2000,14,0),1)</f>
        <v>1</v>
      </c>
      <c r="U239" s="5">
        <f t="shared" si="76"/>
        <v>34.298494199455192</v>
      </c>
      <c r="V239" s="5" t="str">
        <f>IF(U239&gt;=MAX(_xlfn.PERCENTILE.INC($U$2:$U$1194,PARAMS_MODELO!$B$50),PARAMS_MODELO!$B$45),"DIAMANTE",IF(U239&gt;=MAX(_xlfn.PERCENTILE.INC($U$2:$U$1194,PARAMS_MODELO!$B$51),PARAMS_MODELO!$B$46),"PLATINO",IF(U239&gt;=MAX(_xlfn.PERCENTILE.INC($U$2:$U$1194,PARAMS_MODELO!$B$52),PARAMS_MODELO!$B$47),"ORO",IF(U239&gt;=MAX(_xlfn.PERCENTILE.INC($U$2:$U$1194,PARAMS_MODELO!$B$53),PARAMS_MODELO!$B$48),"PLATA",IF(U239&gt;=1,"BRONCE","CERRADO")))))</f>
        <v>PLATA</v>
      </c>
      <c r="W239" s="5" t="str" cm="1">
        <f t="array" ref="W239">_xlfn.XLOOKUP(1, (HIST_SCORE!$B:$B=PARAMS_MODELO!$B$4) * (HIST_SCORE!$C:$C=A239), HIST_SCORE!$E:$E, "No encontrado")</f>
        <v>ORO</v>
      </c>
      <c r="X239" s="5" t="str">
        <f>_xlfn.LET(_xlpm.act,MATCH(V239,{"DIAMANTE";"PLATINO";"ORO";"PLATA";"BRONCE";"CERRADO"},0),_xlpm.ant,MATCH(W239,{"DIAMANTE";"PLATINO";"ORO";"PLATA";"BRONCE";"CERRADO"},0),IF(_xlpm.act&lt;_xlpm.ant,"Mejora ↑",IF(_xlpm.act&gt;_xlpm.ant,"Baja ↓","Estable →")))</f>
        <v>Baja ↓</v>
      </c>
      <c r="Y239" s="5">
        <f>IFERROR(U239-SUMIFS(HIST_SCORE!$D:$D,HIST_SCORE!$B:$B,PARAMS_MODELO!$B$4,HIST_SCORE!$C:$C,$A239),"")</f>
        <v>-50.70212370549433</v>
      </c>
      <c r="Z239" s="5" t="str">
        <f t="shared" si="77"/>
        <v>↓ Baja</v>
      </c>
      <c r="AA239" s="5">
        <f t="shared" si="78"/>
        <v>812</v>
      </c>
      <c r="AB239" s="5">
        <f>IFERROR(SUMIFS(HIST_SCORE!$F:$F,HIST_SCORE!$B:$B,PARAMS_MODELO!$B$4,HIST_SCORE!$C:$C,$A239),"")</f>
        <v>265</v>
      </c>
      <c r="AC239" s="5">
        <f t="shared" si="79"/>
        <v>-547</v>
      </c>
      <c r="AD239" t="str">
        <f t="shared" si="81"/>
        <v/>
      </c>
      <c r="AE2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239="CERRADO",1,IF(V239="BRONCE",_xlpm.cPl,IF(V239="PLATA",_xlpm.cO,IF(V239="ORO",_xlpm.cP,IF(V239="PLATINO",_xlpm.cD,999))))))</f>
        <v>63.199193273331495</v>
      </c>
      <c r="AF2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239="CERRADO",0,IF(V239="BRONCE",1,IF(V239="PLATA",_xlpm.cPl,IF(V239="ORO",_xlpm.cO,IF(V239="PLATINO",_xlpm.cP,_xlpm.cD))))))</f>
        <v>24.506573482968111</v>
      </c>
      <c r="AG239">
        <f t="shared" si="82"/>
        <v>28.900699073876304</v>
      </c>
      <c r="AH239" t="str">
        <f t="shared" si="83"/>
        <v>VENTAS</v>
      </c>
      <c r="AI239" t="str">
        <f t="shared" si="80"/>
        <v>🎯 Para subir de categoría, eje VENTAS / CRECIMIENTO PERSONAL (F). Acción: metas semanales + activación comercial + seguimiento del asesor. ΔR aprox: 28,9</v>
      </c>
      <c r="AJ239" s="26">
        <f>_xlfn.LET(_xlpm.piso,AF239,_xlpm.corte,AE239,_xlpm.prog,IF(_xlpm.corte&lt;=_xlpm.piso,0,MAX(0,MIN(1,(U239-_xlpm.piso)/(_xlpm.corte-_xlpm.piso)))),_xlpm.orden,{"DIAMANTE";"PLATINO";"ORO";"PLATA";"BRONCE";"CERRADO"},_xlpm.act,IFERROR(MATCH(V239,_xlpm.orden,0),6),_xlpm.ant,IFERROR(MATCH(W239,_xlpm.orden,0),6),_xlpm.ajmov,IF(_xlpm.act&lt;_xlpm.ant,0.08,IF(_xlpm.act&gt;_xlpm.ant,-0.08,0)),_xlpm.ajcli,IF(T239&lt;0.95,-0.06,0),_xlpm.prob,MAX(0,MIN(1,_xlpm.prog+_xlpm.ajmov+_xlpm.ajcli)),IF(OR(V239="DIAMANTE",V239="CERRADO"),0,ROUND(_xlpm.prob,2)))</f>
        <v>0.17</v>
      </c>
      <c r="AK239" t="str">
        <f t="shared" si="84"/>
        <v>Faltan 28,9 puntos base para subir a la siguiente categoría</v>
      </c>
      <c r="AL239" t="str">
        <f t="shared" si="85"/>
        <v>Margen de seguridad: 9,8 puntos</v>
      </c>
      <c r="AM239">
        <f t="shared" si="86"/>
        <v>0.73</v>
      </c>
      <c r="AN239" t="str">
        <f t="shared" si="87"/>
        <v>PRIORIDAD ALTA – requiere intervención inmediata</v>
      </c>
      <c r="AO239">
        <f t="shared" si="88"/>
        <v>64.862569275295584</v>
      </c>
      <c r="AP239">
        <f t="shared" si="89"/>
        <v>0.18650580054480947</v>
      </c>
      <c r="AQ239">
        <f t="shared" si="90"/>
        <v>1.5000000000000568E-2</v>
      </c>
      <c r="AR239">
        <f t="shared" si="91"/>
        <v>0.5</v>
      </c>
      <c r="AS239">
        <f t="shared" si="92"/>
        <v>0</v>
      </c>
      <c r="AT239" t="str">
        <f t="shared" si="93"/>
        <v>VENTAS</v>
      </c>
      <c r="AU239">
        <f t="shared" si="94"/>
        <v>64.862569275295584</v>
      </c>
      <c r="AV239" t="str">
        <f t="shared" si="95"/>
        <v>Mayor retorno probable: VENTAS (+64,9 puntos finales potenciales).</v>
      </c>
    </row>
    <row r="240" spans="1:48" x14ac:dyDescent="0.3">
      <c r="A240" s="5">
        <v>51007565</v>
      </c>
      <c r="B240" s="5" t="str">
        <f>IFERROR(VLOOKUP(A240,VENTAS!$A$2:$B$1194,2,0),"")</f>
        <v>LÓPEZ</v>
      </c>
      <c r="C240" s="5">
        <f>IFERROR(INDEX(VENTAS!$C$2:$E$1194,MATCH(A240,VENTAS!$A$2:$A$1194,0),MATCH(PARAMS_MODELO!$B$2,{"Q1","Q2","Q3"},0)),0)</f>
        <v>92133555.5</v>
      </c>
      <c r="D240" s="5">
        <f>IFERROR(INDEX(VENTAS!$F$2:$H$1194,MATCH(A240,VENTAS!$A$2:$A$1194,0),MATCH(PARAMS_MODELO!$B$2,{"Q1","Q2","Q3"},0)),0)</f>
        <v>115025768</v>
      </c>
      <c r="E240" s="8">
        <f t="shared" si="72"/>
        <v>0.24846769861171802</v>
      </c>
      <c r="F240" s="12">
        <f>IF(E240&lt;=PARAMS_MODELO!$B$15,0,IF(E240&gt;=PARAMS_MODELO!$B$17,100,100*MIN(1,(E240-PARAMS_MODELO!$B$15)/(PARAMS_MODELO!$B$16-PARAMS_MODELO!$B$15))))*PARAMS_MODELO!$B$7</f>
        <v>35</v>
      </c>
      <c r="G240" s="5">
        <f t="shared" si="73"/>
        <v>22892212.5</v>
      </c>
      <c r="H240" s="5">
        <f>(PARAMS_MODELO!$B$20*(MAX(0,MIN(3,E240))/3)+PARAMS_MODELO!$B$21*(IFERROR(LN(1+MAX(0,G240))/LN(1+MAX(0,MAX($G$2:$G$1194))),0)))*100*PARAMS_MODELO!$B$8</f>
        <v>4.8420879792989595</v>
      </c>
      <c r="I240" s="8">
        <f>E240-PARAMS_MODELO!$B$5</f>
        <v>7.0904863236191495E-2</v>
      </c>
      <c r="J240" s="5">
        <f>IF(I240&lt;=PARAMS_MODELO!$B$18,0,IF(I240&gt;=PARAMS_MODELO!$B$19,100,100*(I240-PARAMS_MODELO!$B$18)/(PARAMS_MODELO!$B$19-PARAMS_MODELO!$B$18)))*PARAMS_MODELO!$B$9</f>
        <v>15</v>
      </c>
      <c r="K240" s="5">
        <f>IFERROR(CHOOSE(MATCH(PARAMS_MODELO!$B$2,{"Q1","Q2","Q3"},0),LOTO!$D240,LOTO!$F240,LOTO!$H240),0)</f>
        <v>5682500</v>
      </c>
      <c r="L240" s="8">
        <f t="shared" si="74"/>
        <v>4.940197399942594E-2</v>
      </c>
      <c r="M240" s="5">
        <f>MIN(100,IF(PARAMS_MODELO!$B$23=0,0,100*L240/PARAMS_MODELO!$B$23))*PARAMS_MODELO!$B$10</f>
        <v>14.820592199827782</v>
      </c>
      <c r="N240" s="5">
        <f>IFERROR(VLOOKUP(A240,COMPLIANCE!$A$2:$F$1996,6,0),100)</f>
        <v>100</v>
      </c>
      <c r="O240" s="5">
        <f>N240*PARAMS_MODELO!$B$11</f>
        <v>10</v>
      </c>
      <c r="P240" s="5">
        <f>IFERROR(VLOOKUP(A240,DIGITAL!$A$2:$J$2000,7,0),100)</f>
        <v>49</v>
      </c>
      <c r="Q240" s="5">
        <f>IFERROR(P240,0)*PARAMS_MODELO!$B$12</f>
        <v>4.9000000000000004</v>
      </c>
      <c r="R240">
        <f t="shared" si="75"/>
        <v>84.562680179126744</v>
      </c>
      <c r="S240" s="5" t="str">
        <f>IFERROR(VLOOKUP(A240,CLIENTE!$A$2:$N$2000,13,0),1)</f>
        <v>Regular</v>
      </c>
      <c r="T240" s="5">
        <f>IFERROR(VLOOKUP(A240,CLIENTE!$A$2:$N$2000,14,0),1)</f>
        <v>1</v>
      </c>
      <c r="U240" s="5">
        <f t="shared" si="76"/>
        <v>84.562680179126744</v>
      </c>
      <c r="V240" s="5" t="str">
        <f>IF(U240&gt;=MAX(_xlfn.PERCENTILE.INC($U$2:$U$1194,PARAMS_MODELO!$B$50),PARAMS_MODELO!$B$45),"DIAMANTE",IF(U240&gt;=MAX(_xlfn.PERCENTILE.INC($U$2:$U$1194,PARAMS_MODELO!$B$51),PARAMS_MODELO!$B$46),"PLATINO",IF(U240&gt;=MAX(_xlfn.PERCENTILE.INC($U$2:$U$1194,PARAMS_MODELO!$B$52),PARAMS_MODELO!$B$47),"ORO",IF(U240&gt;=MAX(_xlfn.PERCENTILE.INC($U$2:$U$1194,PARAMS_MODELO!$B$53),PARAMS_MODELO!$B$48),"PLATA",IF(U240&gt;=1,"BRONCE","CERRADO")))))</f>
        <v>ORO</v>
      </c>
      <c r="W240" s="5" t="str" cm="1">
        <f t="array" ref="W240">_xlfn.XLOOKUP(1, (HIST_SCORE!$B:$B=PARAMS_MODELO!$B$4) * (HIST_SCORE!$C:$C=A240), HIST_SCORE!$E:$E, "No encontrado")</f>
        <v>ORO</v>
      </c>
      <c r="X240" s="5" t="str">
        <f>_xlfn.LET(_xlpm.act,MATCH(V240,{"DIAMANTE";"PLATINO";"ORO";"PLATA";"BRONCE";"CERRADO"},0),_xlpm.ant,MATCH(W240,{"DIAMANTE";"PLATINO";"ORO";"PLATA";"BRONCE";"CERRADO"},0),IF(_xlpm.act&lt;_xlpm.ant,"Mejora ↑",IF(_xlpm.act&gt;_xlpm.ant,"Baja ↓","Estable →")))</f>
        <v>Estable →</v>
      </c>
      <c r="Y240" s="5">
        <f>IFERROR(U240-SUMIFS(HIST_SCORE!$D:$D,HIST_SCORE!$B:$B,PARAMS_MODELO!$B$4,HIST_SCORE!$C:$C,$A240),"")</f>
        <v>0.30011722073408009</v>
      </c>
      <c r="Z240" s="5" t="str">
        <f t="shared" si="77"/>
        <v>→ Estable</v>
      </c>
      <c r="AA240" s="5">
        <f t="shared" si="78"/>
        <v>297</v>
      </c>
      <c r="AB240" s="5">
        <f>IFERROR(SUMIFS(HIST_SCORE!$F:$F,HIST_SCORE!$B:$B,PARAMS_MODELO!$B$4,HIST_SCORE!$C:$C,$A240),"")</f>
        <v>281</v>
      </c>
      <c r="AC240" s="5">
        <f t="shared" si="79"/>
        <v>-16</v>
      </c>
      <c r="AD240" t="str">
        <f t="shared" si="81"/>
        <v/>
      </c>
      <c r="AE2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240="CERRADO",1,IF(V240="BRONCE",_xlpm.cPl,IF(V240="PLATA",_xlpm.cO,IF(V240="ORO",_xlpm.cP,IF(V240="PLATINO",_xlpm.cD,999))))))</f>
        <v>86.439123873763251</v>
      </c>
      <c r="AF2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240="CERRADO",0,IF(V240="BRONCE",1,IF(V240="PLATA",_xlpm.cPl,IF(V240="ORO",_xlpm.cO,IF(V240="PLATINO",_xlpm.cP,_xlpm.cD))))))</f>
        <v>63.199193273331495</v>
      </c>
      <c r="AG240">
        <f t="shared" si="82"/>
        <v>1.8764436946365066</v>
      </c>
      <c r="AH240" t="str">
        <f t="shared" si="83"/>
        <v>VENTAS</v>
      </c>
      <c r="AI240" t="str">
        <f t="shared" si="80"/>
        <v>🎯 Para subir de categoría, eje VENTAS / IMPACTO ABSOLUTO (H). Acción: metas semanales + activación comercial + seguimiento del asesor. ΔR aprox: 1,9</v>
      </c>
      <c r="AJ240" s="26">
        <f>_xlfn.LET(_xlpm.piso,AF240,_xlpm.corte,AE240,_xlpm.prog,IF(_xlpm.corte&lt;=_xlpm.piso,0,MAX(0,MIN(1,(U240-_xlpm.piso)/(_xlpm.corte-_xlpm.piso)))),_xlpm.orden,{"DIAMANTE";"PLATINO";"ORO";"PLATA";"BRONCE";"CERRADO"},_xlpm.act,IFERROR(MATCH(V240,_xlpm.orden,0),6),_xlpm.ant,IFERROR(MATCH(W240,_xlpm.orden,0),6),_xlpm.ajmov,IF(_xlpm.act&lt;_xlpm.ant,0.08,IF(_xlpm.act&gt;_xlpm.ant,-0.08,0)),_xlpm.ajcli,IF(T240&lt;0.95,-0.06,0),_xlpm.prob,MAX(0,MIN(1,_xlpm.prog+_xlpm.ajmov+_xlpm.ajcli)),IF(OR(V240="DIAMANTE",V240="CERRADO"),0,ROUND(_xlpm.prob,2)))</f>
        <v>0.92</v>
      </c>
      <c r="AK240" t="str">
        <f t="shared" si="84"/>
        <v>Faltan 1,9 puntos base para subir a la siguiente categoría</v>
      </c>
      <c r="AL240" t="str">
        <f t="shared" si="85"/>
        <v>Margen de seguridad: 21,4 puntos</v>
      </c>
      <c r="AM240">
        <f t="shared" si="86"/>
        <v>0.11</v>
      </c>
      <c r="AN240" t="str">
        <f t="shared" si="87"/>
        <v>PRIORIDAD BAJA – control normal</v>
      </c>
      <c r="AO240">
        <f t="shared" si="88"/>
        <v>10.020481295996625</v>
      </c>
      <c r="AP240">
        <f t="shared" si="89"/>
        <v>0.17940780017221769</v>
      </c>
      <c r="AQ240">
        <f t="shared" si="90"/>
        <v>0</v>
      </c>
      <c r="AR240">
        <f t="shared" si="91"/>
        <v>5.0999999999999996</v>
      </c>
      <c r="AS240">
        <f t="shared" si="92"/>
        <v>0</v>
      </c>
      <c r="AT240" t="str">
        <f t="shared" si="93"/>
        <v>VENTAS</v>
      </c>
      <c r="AU240">
        <f t="shared" si="94"/>
        <v>10.020481295996625</v>
      </c>
      <c r="AV240" t="str">
        <f t="shared" si="95"/>
        <v>Mayor retorno probable: VENTAS (+10,0 puntos finales potenciales).</v>
      </c>
    </row>
    <row r="241" spans="1:48" x14ac:dyDescent="0.3">
      <c r="A241" s="5">
        <v>51032136</v>
      </c>
      <c r="B241" s="5" t="str">
        <f>IFERROR(VLOOKUP(A241,VENTAS!$A$2:$B$1194,2,0),"")</f>
        <v>ROBERTS</v>
      </c>
      <c r="C241" s="5">
        <f>IFERROR(INDEX(VENTAS!$C$2:$E$1194,MATCH(A241,VENTAS!$A$2:$A$1194,0),MATCH(PARAMS_MODELO!$B$2,{"Q1","Q2","Q3"},0)),0)</f>
        <v>83055926.040000007</v>
      </c>
      <c r="D241" s="5">
        <f>IFERROR(INDEX(VENTAS!$F$2:$H$1194,MATCH(A241,VENTAS!$A$2:$A$1194,0),MATCH(PARAMS_MODELO!$B$2,{"Q1","Q2","Q3"},0)),0)</f>
        <v>114954314</v>
      </c>
      <c r="E241" s="8">
        <f t="shared" si="72"/>
        <v>0.38405914521544937</v>
      </c>
      <c r="F241" s="12">
        <f>IF(E241&lt;=PARAMS_MODELO!$B$15,0,IF(E241&gt;=PARAMS_MODELO!$B$17,100,100*MIN(1,(E241-PARAMS_MODELO!$B$15)/(PARAMS_MODELO!$B$16-PARAMS_MODELO!$B$15))))*PARAMS_MODELO!$B$7</f>
        <v>35</v>
      </c>
      <c r="G241" s="5">
        <f t="shared" si="73"/>
        <v>31898387.959999993</v>
      </c>
      <c r="H241" s="5">
        <f>(PARAMS_MODELO!$B$20*(MAX(0,MIN(3,E241))/3)+PARAMS_MODELO!$B$21*(IFERROR(LN(1+MAX(0,G241))/LN(1+MAX(0,MAX($G$2:$G$1194))),0)))*100*PARAMS_MODELO!$B$8</f>
        <v>5.3944269073637026</v>
      </c>
      <c r="I241" s="8">
        <f>E241-PARAMS_MODELO!$B$5</f>
        <v>0.20649630983992284</v>
      </c>
      <c r="J241" s="5">
        <f>IF(I241&lt;=PARAMS_MODELO!$B$18,0,IF(I241&gt;=PARAMS_MODELO!$B$19,100,100*(I241-PARAMS_MODELO!$B$18)/(PARAMS_MODELO!$B$19-PARAMS_MODELO!$B$18)))*PARAMS_MODELO!$B$9</f>
        <v>15</v>
      </c>
      <c r="K241" s="5">
        <f>IFERROR(CHOOSE(MATCH(PARAMS_MODELO!$B$2,{"Q1","Q2","Q3"},0),LOTO!$D241,LOTO!$F241,LOTO!$H241),0)</f>
        <v>5680000</v>
      </c>
      <c r="L241" s="8">
        <f t="shared" si="74"/>
        <v>4.9410933808016984E-2</v>
      </c>
      <c r="M241" s="5">
        <f>MIN(100,IF(PARAMS_MODELO!$B$23=0,0,100*L241/PARAMS_MODELO!$B$23))*PARAMS_MODELO!$B$10</f>
        <v>14.823280142405093</v>
      </c>
      <c r="N241" s="5">
        <f>IFERROR(VLOOKUP(A241,COMPLIANCE!$A$2:$F$1996,6,0),100)</f>
        <v>100</v>
      </c>
      <c r="O241" s="5">
        <f>N241*PARAMS_MODELO!$B$11</f>
        <v>10</v>
      </c>
      <c r="P241" s="5">
        <f>IFERROR(VLOOKUP(A241,DIGITAL!$A$2:$J$2000,7,0),100)</f>
        <v>14</v>
      </c>
      <c r="Q241" s="5">
        <f>IFERROR(P241,0)*PARAMS_MODELO!$B$12</f>
        <v>1.4000000000000001</v>
      </c>
      <c r="R241">
        <f t="shared" si="75"/>
        <v>81.617707049768796</v>
      </c>
      <c r="S241" s="5" t="str">
        <f>IFERROR(VLOOKUP(A241,CLIENTE!$A$2:$N$2000,13,0),1)</f>
        <v>Bueno</v>
      </c>
      <c r="T241" s="5">
        <f>IFERROR(VLOOKUP(A241,CLIENTE!$A$2:$N$2000,14,0),1)</f>
        <v>1.1000000000000001</v>
      </c>
      <c r="U241" s="5">
        <f t="shared" si="76"/>
        <v>89.779477754745685</v>
      </c>
      <c r="V241" s="5" t="str">
        <f>IF(U241&gt;=MAX(_xlfn.PERCENTILE.INC($U$2:$U$1194,PARAMS_MODELO!$B$50),PARAMS_MODELO!$B$45),"DIAMANTE",IF(U241&gt;=MAX(_xlfn.PERCENTILE.INC($U$2:$U$1194,PARAMS_MODELO!$B$51),PARAMS_MODELO!$B$46),"PLATINO",IF(U241&gt;=MAX(_xlfn.PERCENTILE.INC($U$2:$U$1194,PARAMS_MODELO!$B$52),PARAMS_MODELO!$B$47),"ORO",IF(U241&gt;=MAX(_xlfn.PERCENTILE.INC($U$2:$U$1194,PARAMS_MODELO!$B$53),PARAMS_MODELO!$B$48),"PLATA",IF(U241&gt;=1,"BRONCE","CERRADO")))))</f>
        <v>PLATINO</v>
      </c>
      <c r="W241" s="5" t="str" cm="1">
        <f t="array" ref="W241">_xlfn.XLOOKUP(1, (HIST_SCORE!$B:$B=PARAMS_MODELO!$B$4) * (HIST_SCORE!$C:$C=A241), HIST_SCORE!$E:$E, "No encontrado")</f>
        <v>ORO</v>
      </c>
      <c r="X241" s="5" t="str">
        <f>_xlfn.LET(_xlpm.act,MATCH(V241,{"DIAMANTE";"PLATINO";"ORO";"PLATA";"BRONCE";"CERRADO"},0),_xlpm.ant,MATCH(W241,{"DIAMANTE";"PLATINO";"ORO";"PLATA";"BRONCE";"CERRADO"},0),IF(_xlpm.act&lt;_xlpm.ant,"Mejora ↑",IF(_xlpm.act&gt;_xlpm.ant,"Baja ↓","Estable →")))</f>
        <v>Mejora ↑</v>
      </c>
      <c r="Y241" s="5">
        <f>IFERROR(U241-SUMIFS(HIST_SCORE!$D:$D,HIST_SCORE!$B:$B,PARAMS_MODELO!$B$4,HIST_SCORE!$C:$C,$A241),"")</f>
        <v>25.384049421140617</v>
      </c>
      <c r="Z241" s="5" t="str">
        <f t="shared" si="77"/>
        <v>↑ Mejora</v>
      </c>
      <c r="AA241" s="5">
        <f t="shared" si="78"/>
        <v>141</v>
      </c>
      <c r="AB241" s="5">
        <f>IFERROR(SUMIFS(HIST_SCORE!$F:$F,HIST_SCORE!$B:$B,PARAMS_MODELO!$B$4,HIST_SCORE!$C:$C,$A241),"")</f>
        <v>575</v>
      </c>
      <c r="AC241" s="5">
        <f t="shared" si="79"/>
        <v>434</v>
      </c>
      <c r="AD241" t="str">
        <f t="shared" si="81"/>
        <v/>
      </c>
      <c r="AE2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241="CERRADO",1,IF(V241="BRONCE",_xlpm.cPl,IF(V241="PLATA",_xlpm.cO,IF(V241="ORO",_xlpm.cP,IF(V241="PLATINO",_xlpm.cD,999))))))</f>
        <v>96.054919694466676</v>
      </c>
      <c r="AF2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241="CERRADO",0,IF(V241="BRONCE",1,IF(V241="PLATA",_xlpm.cPl,IF(V241="ORO",_xlpm.cO,IF(V241="PLATINO",_xlpm.cP,_xlpm.cD))))))</f>
        <v>86.439123873763251</v>
      </c>
      <c r="AG241">
        <f t="shared" si="82"/>
        <v>5.7049472179281793</v>
      </c>
      <c r="AH241" t="str">
        <f t="shared" si="83"/>
        <v>VENTAS</v>
      </c>
      <c r="AI241" t="str">
        <f t="shared" si="80"/>
        <v>🎯 Para subir de categoría, eje VENTAS / IMPACTO ABSOLUTO (H). Acción: metas semanales + activación comercial + seguimiento del asesor. ΔR aprox: 5,7</v>
      </c>
      <c r="AJ241" s="26">
        <f>_xlfn.LET(_xlpm.piso,AF241,_xlpm.corte,AE241,_xlpm.prog,IF(_xlpm.corte&lt;=_xlpm.piso,0,MAX(0,MIN(1,(U241-_xlpm.piso)/(_xlpm.corte-_xlpm.piso)))),_xlpm.orden,{"DIAMANTE";"PLATINO";"ORO";"PLATA";"BRONCE";"CERRADO"},_xlpm.act,IFERROR(MATCH(V241,_xlpm.orden,0),6),_xlpm.ant,IFERROR(MATCH(W241,_xlpm.orden,0),6),_xlpm.ajmov,IF(_xlpm.act&lt;_xlpm.ant,0.08,IF(_xlpm.act&gt;_xlpm.ant,-0.08,0)),_xlpm.ajcli,IF(T241&lt;0.95,-0.06,0),_xlpm.prob,MAX(0,MIN(1,_xlpm.prog+_xlpm.ajmov+_xlpm.ajcli)),IF(OR(V241="DIAMANTE",V241="CERRADO"),0,ROUND(_xlpm.prob,2)))</f>
        <v>0.43</v>
      </c>
      <c r="AK241" t="str">
        <f t="shared" si="84"/>
        <v>Faltan 5,7 puntos base para subir a la siguiente categoría</v>
      </c>
      <c r="AL241" t="str">
        <f t="shared" si="85"/>
        <v>Margen de seguridad: 3,3 puntos</v>
      </c>
      <c r="AM241">
        <f t="shared" si="86"/>
        <v>0.46</v>
      </c>
      <c r="AN241" t="str">
        <f t="shared" si="87"/>
        <v>PRIORIDAD MEDIA – seguimiento del asesor</v>
      </c>
      <c r="AO241">
        <f t="shared" si="88"/>
        <v>10.414956604725072</v>
      </c>
      <c r="AP241">
        <f t="shared" si="89"/>
        <v>0.19439184335439813</v>
      </c>
      <c r="AQ241">
        <f t="shared" si="90"/>
        <v>0</v>
      </c>
      <c r="AR241">
        <f t="shared" si="91"/>
        <v>9.4600000000000009</v>
      </c>
      <c r="AS241">
        <f t="shared" si="92"/>
        <v>0</v>
      </c>
      <c r="AT241" t="str">
        <f t="shared" si="93"/>
        <v>VENTAS</v>
      </c>
      <c r="AU241">
        <f t="shared" si="94"/>
        <v>10.414956604725072</v>
      </c>
      <c r="AV241" t="str">
        <f t="shared" si="95"/>
        <v>Mayor retorno probable: VENTAS (+10,4 puntos finales potenciales).</v>
      </c>
    </row>
    <row r="242" spans="1:48" x14ac:dyDescent="0.3">
      <c r="A242" s="5">
        <v>51057066</v>
      </c>
      <c r="B242" s="5" t="str">
        <f>IFERROR(VLOOKUP(A242,VENTAS!$A$2:$B$1194,2,0),"")</f>
        <v>LÓPEZ</v>
      </c>
      <c r="C242" s="5">
        <f>IFERROR(INDEX(VENTAS!$C$2:$E$1194,MATCH(A242,VENTAS!$A$2:$A$1194,0),MATCH(PARAMS_MODELO!$B$2,{"Q1","Q2","Q3"},0)),0)</f>
        <v>90356724.200000003</v>
      </c>
      <c r="D242" s="5">
        <f>IFERROR(INDEX(VENTAS!$F$2:$H$1194,MATCH(A242,VENTAS!$A$2:$A$1194,0),MATCH(PARAMS_MODELO!$B$2,{"Q1","Q2","Q3"},0)),0)</f>
        <v>114944309</v>
      </c>
      <c r="E242" s="8">
        <f t="shared" si="72"/>
        <v>0.27211682381907321</v>
      </c>
      <c r="F242" s="12">
        <f>IF(E242&lt;=PARAMS_MODELO!$B$15,0,IF(E242&gt;=PARAMS_MODELO!$B$17,100,100*MIN(1,(E242-PARAMS_MODELO!$B$15)/(PARAMS_MODELO!$B$16-PARAMS_MODELO!$B$15))))*PARAMS_MODELO!$B$7</f>
        <v>35</v>
      </c>
      <c r="G242" s="5">
        <f t="shared" si="73"/>
        <v>24587584.799999997</v>
      </c>
      <c r="H242" s="5">
        <f>(PARAMS_MODELO!$B$20*(MAX(0,MIN(3,E242))/3)+PARAMS_MODELO!$B$21*(IFERROR(LN(1+MAX(0,G242))/LN(1+MAX(0,MAX($G$2:$G$1194))),0)))*100*PARAMS_MODELO!$B$8</f>
        <v>4.9416075859984927</v>
      </c>
      <c r="I242" s="8">
        <f>E242-PARAMS_MODELO!$B$5</f>
        <v>9.4553988443546677E-2</v>
      </c>
      <c r="J242" s="5">
        <f>IF(I242&lt;=PARAMS_MODELO!$B$18,0,IF(I242&gt;=PARAMS_MODELO!$B$19,100,100*(I242-PARAMS_MODELO!$B$18)/(PARAMS_MODELO!$B$19-PARAMS_MODELO!$B$18)))*PARAMS_MODELO!$B$9</f>
        <v>15</v>
      </c>
      <c r="K242" s="5">
        <f>IFERROR(CHOOSE(MATCH(PARAMS_MODELO!$B$2,{"Q1","Q2","Q3"},0),LOTO!$D242,LOTO!$F242,LOTO!$H242),0)</f>
        <v>5677500.0000000009</v>
      </c>
      <c r="L242" s="8">
        <f t="shared" si="74"/>
        <v>4.9393484978886612E-2</v>
      </c>
      <c r="M242" s="5">
        <f>MIN(100,IF(PARAMS_MODELO!$B$23=0,0,100*L242/PARAMS_MODELO!$B$23))*PARAMS_MODELO!$B$10</f>
        <v>14.818045493665981</v>
      </c>
      <c r="N242" s="5">
        <f>IFERROR(VLOOKUP(A242,COMPLIANCE!$A$2:$F$1996,6,0),100)</f>
        <v>100</v>
      </c>
      <c r="O242" s="5">
        <f>N242*PARAMS_MODELO!$B$11</f>
        <v>10</v>
      </c>
      <c r="P242" s="5">
        <f>IFERROR(VLOOKUP(A242,DIGITAL!$A$2:$J$2000,7,0),100)</f>
        <v>28</v>
      </c>
      <c r="Q242" s="5">
        <f>IFERROR(P242,0)*PARAMS_MODELO!$B$12</f>
        <v>2.8000000000000003</v>
      </c>
      <c r="R242">
        <f t="shared" si="75"/>
        <v>82.559653079664471</v>
      </c>
      <c r="S242" s="5" t="str">
        <f>IFERROR(VLOOKUP(A242,CLIENTE!$A$2:$N$2000,13,0),1)</f>
        <v>Regular</v>
      </c>
      <c r="T242" s="5">
        <f>IFERROR(VLOOKUP(A242,CLIENTE!$A$2:$N$2000,14,0),1)</f>
        <v>1</v>
      </c>
      <c r="U242" s="5">
        <f t="shared" si="76"/>
        <v>82.559653079664471</v>
      </c>
      <c r="V242" s="5" t="str">
        <f>IF(U242&gt;=MAX(_xlfn.PERCENTILE.INC($U$2:$U$1194,PARAMS_MODELO!$B$50),PARAMS_MODELO!$B$45),"DIAMANTE",IF(U242&gt;=MAX(_xlfn.PERCENTILE.INC($U$2:$U$1194,PARAMS_MODELO!$B$51),PARAMS_MODELO!$B$46),"PLATINO",IF(U242&gt;=MAX(_xlfn.PERCENTILE.INC($U$2:$U$1194,PARAMS_MODELO!$B$52),PARAMS_MODELO!$B$47),"ORO",IF(U242&gt;=MAX(_xlfn.PERCENTILE.INC($U$2:$U$1194,PARAMS_MODELO!$B$53),PARAMS_MODELO!$B$48),"PLATA",IF(U242&gt;=1,"BRONCE","CERRADO")))))</f>
        <v>ORO</v>
      </c>
      <c r="W242" s="5" t="str" cm="1">
        <f t="array" ref="W242">_xlfn.XLOOKUP(1, (HIST_SCORE!$B:$B=PARAMS_MODELO!$B$4) * (HIST_SCORE!$C:$C=A242), HIST_SCORE!$E:$E, "No encontrado")</f>
        <v>ORO</v>
      </c>
      <c r="X242" s="5" t="str">
        <f>_xlfn.LET(_xlpm.act,MATCH(V242,{"DIAMANTE";"PLATINO";"ORO";"PLATA";"BRONCE";"CERRADO"},0),_xlpm.ant,MATCH(W242,{"DIAMANTE";"PLATINO";"ORO";"PLATA";"BRONCE";"CERRADO"},0),IF(_xlpm.act&lt;_xlpm.ant,"Mejora ↑",IF(_xlpm.act&gt;_xlpm.ant,"Baja ↓","Estable →")))</f>
        <v>Estable →</v>
      </c>
      <c r="Y242" s="5">
        <f>IFERROR(U242-SUMIFS(HIST_SCORE!$D:$D,HIST_SCORE!$B:$B,PARAMS_MODELO!$B$4,HIST_SCORE!$C:$C,$A242),"")</f>
        <v>0.11494850872902873</v>
      </c>
      <c r="Z242" s="5" t="str">
        <f t="shared" si="77"/>
        <v>→ Estable</v>
      </c>
      <c r="AA242" s="5">
        <f t="shared" si="78"/>
        <v>371</v>
      </c>
      <c r="AB242" s="5">
        <f>IFERROR(SUMIFS(HIST_SCORE!$F:$F,HIST_SCORE!$B:$B,PARAMS_MODELO!$B$4,HIST_SCORE!$C:$C,$A242),"")</f>
        <v>348</v>
      </c>
      <c r="AC242" s="5">
        <f t="shared" si="79"/>
        <v>-23</v>
      </c>
      <c r="AD242" t="str">
        <f t="shared" si="81"/>
        <v/>
      </c>
      <c r="AE2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242="CERRADO",1,IF(V242="BRONCE",_xlpm.cPl,IF(V242="PLATA",_xlpm.cO,IF(V242="ORO",_xlpm.cP,IF(V242="PLATINO",_xlpm.cD,999))))))</f>
        <v>86.439123873763251</v>
      </c>
      <c r="AF2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242="CERRADO",0,IF(V242="BRONCE",1,IF(V242="PLATA",_xlpm.cPl,IF(V242="ORO",_xlpm.cO,IF(V242="PLATINO",_xlpm.cP,_xlpm.cD))))))</f>
        <v>63.199193273331495</v>
      </c>
      <c r="AG242">
        <f t="shared" si="82"/>
        <v>3.8794707940987792</v>
      </c>
      <c r="AH242" t="str">
        <f t="shared" si="83"/>
        <v>VENTAS</v>
      </c>
      <c r="AI242" t="str">
        <f t="shared" si="80"/>
        <v>🎯 Para subir de categoría, eje VENTAS / IMPACTO ABSOLUTO (H). Acción: metas semanales + activación comercial + seguimiento del asesor. ΔR aprox: 3,9</v>
      </c>
      <c r="AJ242" s="26">
        <f>_xlfn.LET(_xlpm.piso,AF242,_xlpm.corte,AE242,_xlpm.prog,IF(_xlpm.corte&lt;=_xlpm.piso,0,MAX(0,MIN(1,(U242-_xlpm.piso)/(_xlpm.corte-_xlpm.piso)))),_xlpm.orden,{"DIAMANTE";"PLATINO";"ORO";"PLATA";"BRONCE";"CERRADO"},_xlpm.act,IFERROR(MATCH(V242,_xlpm.orden,0),6),_xlpm.ant,IFERROR(MATCH(W242,_xlpm.orden,0),6),_xlpm.ajmov,IF(_xlpm.act&lt;_xlpm.ant,0.08,IF(_xlpm.act&gt;_xlpm.ant,-0.08,0)),_xlpm.ajcli,IF(T242&lt;0.95,-0.06,0),_xlpm.prob,MAX(0,MIN(1,_xlpm.prog+_xlpm.ajmov+_xlpm.ajcli)),IF(OR(V242="DIAMANTE",V242="CERRADO"),0,ROUND(_xlpm.prob,2)))</f>
        <v>0.83</v>
      </c>
      <c r="AK242" t="str">
        <f t="shared" si="84"/>
        <v>Faltan 3,9 puntos base para subir a la siguiente categoría</v>
      </c>
      <c r="AL242" t="str">
        <f t="shared" si="85"/>
        <v>Margen de seguridad: 19,4 puntos</v>
      </c>
      <c r="AM242">
        <f t="shared" si="86"/>
        <v>0.22</v>
      </c>
      <c r="AN242" t="str">
        <f t="shared" si="87"/>
        <v>PRIORIDAD BAJA – control normal</v>
      </c>
      <c r="AO242">
        <f t="shared" si="88"/>
        <v>9.9209616892970942</v>
      </c>
      <c r="AP242">
        <f t="shared" si="89"/>
        <v>0.18195450633401933</v>
      </c>
      <c r="AQ242">
        <f t="shared" si="90"/>
        <v>0</v>
      </c>
      <c r="AR242">
        <f t="shared" si="91"/>
        <v>7.1999999999999993</v>
      </c>
      <c r="AS242">
        <f t="shared" si="92"/>
        <v>0</v>
      </c>
      <c r="AT242" t="str">
        <f t="shared" si="93"/>
        <v>VENTAS</v>
      </c>
      <c r="AU242">
        <f t="shared" si="94"/>
        <v>9.9209616892970942</v>
      </c>
      <c r="AV242" t="str">
        <f t="shared" si="95"/>
        <v>Mayor retorno probable: VENTAS (+9,9 puntos finales potenciales).</v>
      </c>
    </row>
    <row r="243" spans="1:48" x14ac:dyDescent="0.3">
      <c r="A243" s="5">
        <v>51021215</v>
      </c>
      <c r="B243" s="5" t="str">
        <f>IFERROR(VLOOKUP(A243,VENTAS!$A$2:$B$1194,2,0),"")</f>
        <v>AYALA</v>
      </c>
      <c r="C243" s="5">
        <f>IFERROR(INDEX(VENTAS!$C$2:$E$1194,MATCH(A243,VENTAS!$A$2:$A$1194,0),MATCH(PARAMS_MODELO!$B$2,{"Q1","Q2","Q3"},0)),0)</f>
        <v>107733350.76000001</v>
      </c>
      <c r="D243" s="5">
        <f>IFERROR(INDEX(VENTAS!$F$2:$H$1194,MATCH(A243,VENTAS!$A$2:$A$1194,0),MATCH(PARAMS_MODELO!$B$2,{"Q1","Q2","Q3"},0)),0)</f>
        <v>114888247</v>
      </c>
      <c r="E243" s="8">
        <f t="shared" si="72"/>
        <v>6.6413011286905244E-2</v>
      </c>
      <c r="F243" s="12">
        <f>IF(E243&lt;=PARAMS_MODELO!$B$15,0,IF(E243&gt;=PARAMS_MODELO!$B$17,100,100*MIN(1,(E243-PARAMS_MODELO!$B$15)/(PARAMS_MODELO!$B$16-PARAMS_MODELO!$B$15))))*PARAMS_MODELO!$B$7</f>
        <v>23.244553950416833</v>
      </c>
      <c r="G243" s="5">
        <f t="shared" si="73"/>
        <v>7154896.2399999946</v>
      </c>
      <c r="H243" s="5">
        <f>(PARAMS_MODELO!$B$20*(MAX(0,MIN(3,E243))/3)+PARAMS_MODELO!$B$21*(IFERROR(LN(1+MAX(0,G243))/LN(1+MAX(0,MAX($G$2:$G$1194))),0)))*100*PARAMS_MODELO!$B$8</f>
        <v>3.9322731889499392</v>
      </c>
      <c r="I243" s="8">
        <f>E243-PARAMS_MODELO!$B$5</f>
        <v>-0.11114982408862129</v>
      </c>
      <c r="J243" s="5">
        <f>IF(I243&lt;=PARAMS_MODELO!$B$18,0,IF(I243&gt;=PARAMS_MODELO!$B$19,100,100*(I243-PARAMS_MODELO!$B$18)/(PARAMS_MODELO!$B$19-PARAMS_MODELO!$B$18)))*PARAMS_MODELO!$B$9</f>
        <v>0</v>
      </c>
      <c r="K243" s="5">
        <f>IFERROR(CHOOSE(MATCH(PARAMS_MODELO!$B$2,{"Q1","Q2","Q3"},0),LOTO!$D243,LOTO!$F243,LOTO!$H243),0)</f>
        <v>5650000</v>
      </c>
      <c r="L243" s="8">
        <f t="shared" si="74"/>
        <v>4.9178224470602286E-2</v>
      </c>
      <c r="M243" s="5">
        <f>MIN(100,IF(PARAMS_MODELO!$B$23=0,0,100*L243/PARAMS_MODELO!$B$23))*PARAMS_MODELO!$B$10</f>
        <v>14.753467341180686</v>
      </c>
      <c r="N243" s="5">
        <f>IFERROR(VLOOKUP(A243,COMPLIANCE!$A$2:$F$1996,6,0),100)</f>
        <v>100</v>
      </c>
      <c r="O243" s="5">
        <f>N243*PARAMS_MODELO!$B$11</f>
        <v>10</v>
      </c>
      <c r="P243" s="5">
        <f>IFERROR(VLOOKUP(A243,DIGITAL!$A$2:$J$2000,7,0),100)</f>
        <v>42</v>
      </c>
      <c r="Q243" s="5">
        <f>IFERROR(P243,0)*PARAMS_MODELO!$B$12</f>
        <v>4.2</v>
      </c>
      <c r="R243">
        <f t="shared" si="75"/>
        <v>56.130294480547462</v>
      </c>
      <c r="S243" s="5" t="str">
        <f>IFERROR(VLOOKUP(A243,CLIENTE!$A$2:$N$2000,13,0),1)</f>
        <v>Malo</v>
      </c>
      <c r="T243" s="5">
        <f>IFERROR(VLOOKUP(A243,CLIENTE!$A$2:$N$2000,14,0),1)</f>
        <v>0.7</v>
      </c>
      <c r="U243" s="5">
        <f t="shared" si="76"/>
        <v>39.291206136383224</v>
      </c>
      <c r="V243" s="5" t="str">
        <f>IF(U243&gt;=MAX(_xlfn.PERCENTILE.INC($U$2:$U$1194,PARAMS_MODELO!$B$50),PARAMS_MODELO!$B$45),"DIAMANTE",IF(U243&gt;=MAX(_xlfn.PERCENTILE.INC($U$2:$U$1194,PARAMS_MODELO!$B$51),PARAMS_MODELO!$B$46),"PLATINO",IF(U243&gt;=MAX(_xlfn.PERCENTILE.INC($U$2:$U$1194,PARAMS_MODELO!$B$52),PARAMS_MODELO!$B$47),"ORO",IF(U243&gt;=MAX(_xlfn.PERCENTILE.INC($U$2:$U$1194,PARAMS_MODELO!$B$53),PARAMS_MODELO!$B$48),"PLATA",IF(U243&gt;=1,"BRONCE","CERRADO")))))</f>
        <v>PLATA</v>
      </c>
      <c r="W243" s="5" t="str" cm="1">
        <f t="array" ref="W243">_xlfn.XLOOKUP(1, (HIST_SCORE!$B:$B=PARAMS_MODELO!$B$4) * (HIST_SCORE!$C:$C=A243), HIST_SCORE!$E:$E, "No encontrado")</f>
        <v>BRONCE</v>
      </c>
      <c r="X243" s="5" t="str">
        <f>_xlfn.LET(_xlpm.act,MATCH(V243,{"DIAMANTE";"PLATINO";"ORO";"PLATA";"BRONCE";"CERRADO"},0),_xlpm.ant,MATCH(W243,{"DIAMANTE";"PLATINO";"ORO";"PLATA";"BRONCE";"CERRADO"},0),IF(_xlpm.act&lt;_xlpm.ant,"Mejora ↑",IF(_xlpm.act&gt;_xlpm.ant,"Baja ↓","Estable →")))</f>
        <v>Mejora ↑</v>
      </c>
      <c r="Y243" s="5">
        <f>IFERROR(U243-SUMIFS(HIST_SCORE!$D:$D,HIST_SCORE!$B:$B,PARAMS_MODELO!$B$4,HIST_SCORE!$C:$C,$A243),"")</f>
        <v>18.851206136383226</v>
      </c>
      <c r="Z243" s="5" t="str">
        <f t="shared" si="77"/>
        <v>↑ Mejora</v>
      </c>
      <c r="AA243" s="5">
        <f t="shared" si="78"/>
        <v>790</v>
      </c>
      <c r="AB243" s="5">
        <f>IFERROR(SUMIFS(HIST_SCORE!$F:$F,HIST_SCORE!$B:$B,PARAMS_MODELO!$B$4,HIST_SCORE!$C:$C,$A243),"")</f>
        <v>980</v>
      </c>
      <c r="AC243" s="5">
        <f t="shared" si="79"/>
        <v>190</v>
      </c>
      <c r="AD243" t="str">
        <f t="shared" si="81"/>
        <v/>
      </c>
      <c r="AE2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243="CERRADO",1,IF(V243="BRONCE",_xlpm.cPl,IF(V243="PLATA",_xlpm.cO,IF(V243="ORO",_xlpm.cP,IF(V243="PLATINO",_xlpm.cD,999))))))</f>
        <v>63.199193273331495</v>
      </c>
      <c r="AF2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243="CERRADO",0,IF(V243="BRONCE",1,IF(V243="PLATA",_xlpm.cPl,IF(V243="ORO",_xlpm.cO,IF(V243="PLATINO",_xlpm.cP,_xlpm.cD))))))</f>
        <v>24.506573482968111</v>
      </c>
      <c r="AG243">
        <f t="shared" si="82"/>
        <v>34.154267338497533</v>
      </c>
      <c r="AH243" t="str">
        <f t="shared" si="83"/>
        <v>VENTAS</v>
      </c>
      <c r="AI243" t="str">
        <f t="shared" si="80"/>
        <v>🎯 Para subir de categoría, eje VENTAS / DIFERENCIAL vs LOTBA (J). Acción: metas semanales + activación comercial + seguimiento del asesor. ΔR aprox: 34,2</v>
      </c>
      <c r="AJ243" s="26">
        <f>_xlfn.LET(_xlpm.piso,AF243,_xlpm.corte,AE243,_xlpm.prog,IF(_xlpm.corte&lt;=_xlpm.piso,0,MAX(0,MIN(1,(U243-_xlpm.piso)/(_xlpm.corte-_xlpm.piso)))),_xlpm.orden,{"DIAMANTE";"PLATINO";"ORO";"PLATA";"BRONCE";"CERRADO"},_xlpm.act,IFERROR(MATCH(V243,_xlpm.orden,0),6),_xlpm.ant,IFERROR(MATCH(W243,_xlpm.orden,0),6),_xlpm.ajmov,IF(_xlpm.act&lt;_xlpm.ant,0.08,IF(_xlpm.act&gt;_xlpm.ant,-0.08,0)),_xlpm.ajcli,IF(T243&lt;0.95,-0.06,0),_xlpm.prob,MAX(0,MIN(1,_xlpm.prog+_xlpm.ajmov+_xlpm.ajcli)),IF(OR(V243="DIAMANTE",V243="CERRADO"),0,ROUND(_xlpm.prob,2)))</f>
        <v>0.4</v>
      </c>
      <c r="AK243" t="str">
        <f t="shared" si="84"/>
        <v>Faltan 34,2 puntos base para subir a la siguiente categoría</v>
      </c>
      <c r="AL243" t="str">
        <f t="shared" si="85"/>
        <v>Margen de seguridad: 14,8 puntos</v>
      </c>
      <c r="AM243">
        <f t="shared" si="86"/>
        <v>0.84</v>
      </c>
      <c r="AN243" t="str">
        <f t="shared" si="87"/>
        <v>PRIORIDAD ALTA – requiere intervención inmediata</v>
      </c>
      <c r="AO243">
        <f t="shared" si="88"/>
        <v>26.380019495150169</v>
      </c>
      <c r="AP243">
        <f t="shared" si="89"/>
        <v>0.17257286117351978</v>
      </c>
      <c r="AQ243">
        <f t="shared" si="90"/>
        <v>0</v>
      </c>
      <c r="AR243">
        <f t="shared" si="91"/>
        <v>4.0599999999999996</v>
      </c>
      <c r="AS243">
        <f t="shared" si="92"/>
        <v>16.839088344164242</v>
      </c>
      <c r="AT243" t="str">
        <f t="shared" si="93"/>
        <v>VENTAS</v>
      </c>
      <c r="AU243">
        <f t="shared" si="94"/>
        <v>26.380019495150169</v>
      </c>
      <c r="AV243" t="str">
        <f t="shared" si="95"/>
        <v>Mayor retorno probable: VENTAS (+26,4 puntos finales potenciales).</v>
      </c>
    </row>
    <row r="244" spans="1:48" x14ac:dyDescent="0.3">
      <c r="A244" s="5">
        <v>51040937</v>
      </c>
      <c r="B244" s="5" t="str">
        <f>IFERROR(VLOOKUP(A244,VENTAS!$A$2:$B$1194,2,0),"")</f>
        <v>PRADES</v>
      </c>
      <c r="C244" s="5">
        <f>IFERROR(INDEX(VENTAS!$C$2:$E$1194,MATCH(A244,VENTAS!$A$2:$A$1194,0),MATCH(PARAMS_MODELO!$B$2,{"Q1","Q2","Q3"},0)),0)</f>
        <v>76389732.629999995</v>
      </c>
      <c r="D244" s="5">
        <f>IFERROR(INDEX(VENTAS!$F$2:$H$1194,MATCH(A244,VENTAS!$A$2:$A$1194,0),MATCH(PARAMS_MODELO!$B$2,{"Q1","Q2","Q3"},0)),0)</f>
        <v>114561742</v>
      </c>
      <c r="E244" s="8">
        <f t="shared" si="72"/>
        <v>0.49970078511583882</v>
      </c>
      <c r="F244" s="12">
        <f>IF(E244&lt;=PARAMS_MODELO!$B$15,0,IF(E244&gt;=PARAMS_MODELO!$B$17,100,100*MIN(1,(E244-PARAMS_MODELO!$B$15)/(PARAMS_MODELO!$B$16-PARAMS_MODELO!$B$15))))*PARAMS_MODELO!$B$7</f>
        <v>35</v>
      </c>
      <c r="G244" s="5">
        <f t="shared" si="73"/>
        <v>38172009.370000005</v>
      </c>
      <c r="H244" s="5">
        <f>(PARAMS_MODELO!$B$20*(MAX(0,MIN(3,E244))/3)+PARAMS_MODELO!$B$21*(IFERROR(LN(1+MAX(0,G244))/LN(1+MAX(0,MAX($G$2:$G$1194))),0)))*100*PARAMS_MODELO!$B$8</f>
        <v>5.8412609771026052</v>
      </c>
      <c r="I244" s="8">
        <f>E244-PARAMS_MODELO!$B$5</f>
        <v>0.32213794974031229</v>
      </c>
      <c r="J244" s="5">
        <f>IF(I244&lt;=PARAMS_MODELO!$B$18,0,IF(I244&gt;=PARAMS_MODELO!$B$19,100,100*(I244-PARAMS_MODELO!$B$18)/(PARAMS_MODELO!$B$19-PARAMS_MODELO!$B$18)))*PARAMS_MODELO!$B$9</f>
        <v>15</v>
      </c>
      <c r="K244" s="5">
        <f>IFERROR(CHOOSE(MATCH(PARAMS_MODELO!$B$2,{"Q1","Q2","Q3"},0),LOTO!$D244,LOTO!$F244,LOTO!$H244),0)</f>
        <v>5650000</v>
      </c>
      <c r="L244" s="8">
        <f t="shared" si="74"/>
        <v>4.9318384142587497E-2</v>
      </c>
      <c r="M244" s="5">
        <f>MIN(100,IF(PARAMS_MODELO!$B$23=0,0,100*L244/PARAMS_MODELO!$B$23))*PARAMS_MODELO!$B$10</f>
        <v>14.795515242776249</v>
      </c>
      <c r="N244" s="5">
        <f>IFERROR(VLOOKUP(A244,COMPLIANCE!$A$2:$F$1996,6,0),100)</f>
        <v>100</v>
      </c>
      <c r="O244" s="5">
        <f>N244*PARAMS_MODELO!$B$11</f>
        <v>10</v>
      </c>
      <c r="P244" s="5">
        <f>IFERROR(VLOOKUP(A244,DIGITAL!$A$2:$J$2000,7,0),100)</f>
        <v>21</v>
      </c>
      <c r="Q244" s="5">
        <f>IFERROR(P244,0)*PARAMS_MODELO!$B$12</f>
        <v>2.1</v>
      </c>
      <c r="R244">
        <f t="shared" si="75"/>
        <v>82.736776219878848</v>
      </c>
      <c r="S244" s="5" t="str">
        <f>IFERROR(VLOOKUP(A244,CLIENTE!$A$2:$N$2000,13,0),1)</f>
        <v>Regular</v>
      </c>
      <c r="T244" s="5">
        <f>IFERROR(VLOOKUP(A244,CLIENTE!$A$2:$N$2000,14,0),1)</f>
        <v>1</v>
      </c>
      <c r="U244" s="5">
        <f t="shared" si="76"/>
        <v>82.736776219878848</v>
      </c>
      <c r="V244" s="5" t="str">
        <f>IF(U244&gt;=MAX(_xlfn.PERCENTILE.INC($U$2:$U$1194,PARAMS_MODELO!$B$50),PARAMS_MODELO!$B$45),"DIAMANTE",IF(U244&gt;=MAX(_xlfn.PERCENTILE.INC($U$2:$U$1194,PARAMS_MODELO!$B$51),PARAMS_MODELO!$B$46),"PLATINO",IF(U244&gt;=MAX(_xlfn.PERCENTILE.INC($U$2:$U$1194,PARAMS_MODELO!$B$52),PARAMS_MODELO!$B$47),"ORO",IF(U244&gt;=MAX(_xlfn.PERCENTILE.INC($U$2:$U$1194,PARAMS_MODELO!$B$53),PARAMS_MODELO!$B$48),"PLATA",IF(U244&gt;=1,"BRONCE","CERRADO")))))</f>
        <v>ORO</v>
      </c>
      <c r="W244" s="5" t="str" cm="1">
        <f t="array" ref="W244">_xlfn.XLOOKUP(1, (HIST_SCORE!$B:$B=PARAMS_MODELO!$B$4) * (HIST_SCORE!$C:$C=A244), HIST_SCORE!$E:$E, "No encontrado")</f>
        <v>ORO</v>
      </c>
      <c r="X244" s="5" t="str">
        <f>_xlfn.LET(_xlpm.act,MATCH(V244,{"DIAMANTE";"PLATINO";"ORO";"PLATA";"BRONCE";"CERRADO"},0),_xlpm.ant,MATCH(W244,{"DIAMANTE";"PLATINO";"ORO";"PLATA";"BRONCE";"CERRADO"},0),IF(_xlpm.act&lt;_xlpm.ant,"Mejora ↑",IF(_xlpm.act&gt;_xlpm.ant,"Baja ↓","Estable →")))</f>
        <v>Estable →</v>
      </c>
      <c r="Y244" s="5">
        <f>IFERROR(U244-SUMIFS(HIST_SCORE!$D:$D,HIST_SCORE!$B:$B,PARAMS_MODELO!$B$4,HIST_SCORE!$C:$C,$A244),"")</f>
        <v>0.48927837776760441</v>
      </c>
      <c r="Z244" s="5" t="str">
        <f t="shared" si="77"/>
        <v>→ Estable</v>
      </c>
      <c r="AA244" s="5">
        <f t="shared" si="78"/>
        <v>366</v>
      </c>
      <c r="AB244" s="5">
        <f>IFERROR(SUMIFS(HIST_SCORE!$F:$F,HIST_SCORE!$B:$B,PARAMS_MODELO!$B$4,HIST_SCORE!$C:$C,$A244),"")</f>
        <v>360</v>
      </c>
      <c r="AC244" s="5">
        <f t="shared" si="79"/>
        <v>-6</v>
      </c>
      <c r="AD244" t="str">
        <f t="shared" si="81"/>
        <v/>
      </c>
      <c r="AE2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244="CERRADO",1,IF(V244="BRONCE",_xlpm.cPl,IF(V244="PLATA",_xlpm.cO,IF(V244="ORO",_xlpm.cP,IF(V244="PLATINO",_xlpm.cD,999))))))</f>
        <v>86.439123873763251</v>
      </c>
      <c r="AF2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244="CERRADO",0,IF(V244="BRONCE",1,IF(V244="PLATA",_xlpm.cPl,IF(V244="ORO",_xlpm.cO,IF(V244="PLATINO",_xlpm.cP,_xlpm.cD))))))</f>
        <v>63.199193273331495</v>
      </c>
      <c r="AG244">
        <f t="shared" si="82"/>
        <v>3.7023476538844022</v>
      </c>
      <c r="AH244" t="str">
        <f t="shared" si="83"/>
        <v>VENTAS</v>
      </c>
      <c r="AI244" t="str">
        <f t="shared" si="80"/>
        <v>🎯 Para subir de categoría, eje VENTAS / IMPACTO ABSOLUTO (H). Acción: metas semanales + activación comercial + seguimiento del asesor. ΔR aprox: 3,7</v>
      </c>
      <c r="AJ244" s="26">
        <f>_xlfn.LET(_xlpm.piso,AF244,_xlpm.corte,AE244,_xlpm.prog,IF(_xlpm.corte&lt;=_xlpm.piso,0,MAX(0,MIN(1,(U244-_xlpm.piso)/(_xlpm.corte-_xlpm.piso)))),_xlpm.orden,{"DIAMANTE";"PLATINO";"ORO";"PLATA";"BRONCE";"CERRADO"},_xlpm.act,IFERROR(MATCH(V244,_xlpm.orden,0),6),_xlpm.ant,IFERROR(MATCH(W244,_xlpm.orden,0),6),_xlpm.ajmov,IF(_xlpm.act&lt;_xlpm.ant,0.08,IF(_xlpm.act&gt;_xlpm.ant,-0.08,0)),_xlpm.ajcli,IF(T244&lt;0.95,-0.06,0),_xlpm.prob,MAX(0,MIN(1,_xlpm.prog+_xlpm.ajmov+_xlpm.ajcli)),IF(OR(V244="DIAMANTE",V244="CERRADO"),0,ROUND(_xlpm.prob,2)))</f>
        <v>0.84</v>
      </c>
      <c r="AK244" t="str">
        <f t="shared" si="84"/>
        <v>Faltan 3,7 puntos base para subir a la siguiente categoría</v>
      </c>
      <c r="AL244" t="str">
        <f t="shared" si="85"/>
        <v>Margen de seguridad: 19,5 puntos</v>
      </c>
      <c r="AM244">
        <f t="shared" si="86"/>
        <v>0.21</v>
      </c>
      <c r="AN244" t="str">
        <f t="shared" si="87"/>
        <v>PRIORIDAD BAJA – control normal</v>
      </c>
      <c r="AO244">
        <f t="shared" si="88"/>
        <v>9.0213082981929773</v>
      </c>
      <c r="AP244">
        <f t="shared" si="89"/>
        <v>0.20448475722375115</v>
      </c>
      <c r="AQ244">
        <f t="shared" si="90"/>
        <v>0</v>
      </c>
      <c r="AR244">
        <f t="shared" si="91"/>
        <v>7.9</v>
      </c>
      <c r="AS244">
        <f t="shared" si="92"/>
        <v>0</v>
      </c>
      <c r="AT244" t="str">
        <f t="shared" si="93"/>
        <v>VENTAS</v>
      </c>
      <c r="AU244">
        <f t="shared" si="94"/>
        <v>9.0213082981929773</v>
      </c>
      <c r="AV244" t="str">
        <f t="shared" si="95"/>
        <v>Mayor retorno probable: VENTAS (+9,0 puntos finales potenciales).</v>
      </c>
    </row>
    <row r="245" spans="1:48" x14ac:dyDescent="0.3">
      <c r="A245" s="5">
        <v>51014430</v>
      </c>
      <c r="B245" s="5" t="str">
        <f>IFERROR(VLOOKUP(A245,VENTAS!$A$2:$B$1194,2,0),"")</f>
        <v>AYALA</v>
      </c>
      <c r="C245" s="5">
        <f>IFERROR(INDEX(VENTAS!$C$2:$E$1194,MATCH(A245,VENTAS!$A$2:$A$1194,0),MATCH(PARAMS_MODELO!$B$2,{"Q1","Q2","Q3"},0)),0)</f>
        <v>77197502.949999988</v>
      </c>
      <c r="D245" s="5">
        <f>IFERROR(INDEX(VENTAS!$F$2:$H$1194,MATCH(A245,VENTAS!$A$2:$A$1194,0),MATCH(PARAMS_MODELO!$B$2,{"Q1","Q2","Q3"},0)),0)</f>
        <v>114402722</v>
      </c>
      <c r="E245" s="8">
        <f t="shared" si="72"/>
        <v>0.4819484779721106</v>
      </c>
      <c r="F245" s="12">
        <f>IF(E245&lt;=PARAMS_MODELO!$B$15,0,IF(E245&gt;=PARAMS_MODELO!$B$17,100,100*MIN(1,(E245-PARAMS_MODELO!$B$15)/(PARAMS_MODELO!$B$16-PARAMS_MODELO!$B$15))))*PARAMS_MODELO!$B$7</f>
        <v>35</v>
      </c>
      <c r="G245" s="5">
        <f t="shared" si="73"/>
        <v>37205219.050000012</v>
      </c>
      <c r="H245" s="5">
        <f>(PARAMS_MODELO!$B$20*(MAX(0,MIN(3,E245))/3)+PARAMS_MODELO!$B$21*(IFERROR(LN(1+MAX(0,G245))/LN(1+MAX(0,MAX($G$2:$G$1194))),0)))*100*PARAMS_MODELO!$B$8</f>
        <v>5.7731143732025245</v>
      </c>
      <c r="I245" s="8">
        <f>E245-PARAMS_MODELO!$B$5</f>
        <v>0.30438564259658407</v>
      </c>
      <c r="J245" s="5">
        <f>IF(I245&lt;=PARAMS_MODELO!$B$18,0,IF(I245&gt;=PARAMS_MODELO!$B$19,100,100*(I245-PARAMS_MODELO!$B$18)/(PARAMS_MODELO!$B$19-PARAMS_MODELO!$B$18)))*PARAMS_MODELO!$B$9</f>
        <v>15</v>
      </c>
      <c r="K245" s="5">
        <f>IFERROR(CHOOSE(MATCH(PARAMS_MODELO!$B$2,{"Q1","Q2","Q3"},0),LOTO!$D245,LOTO!$F245,LOTO!$H245),0)</f>
        <v>5647500</v>
      </c>
      <c r="L245" s="8">
        <f t="shared" si="74"/>
        <v>4.9365084162945001E-2</v>
      </c>
      <c r="M245" s="5">
        <f>MIN(100,IF(PARAMS_MODELO!$B$23=0,0,100*L245/PARAMS_MODELO!$B$23))*PARAMS_MODELO!$B$10</f>
        <v>14.809525248883498</v>
      </c>
      <c r="N245" s="5">
        <f>IFERROR(VLOOKUP(A245,COMPLIANCE!$A$2:$F$1996,6,0),100)</f>
        <v>100</v>
      </c>
      <c r="O245" s="5">
        <f>N245*PARAMS_MODELO!$B$11</f>
        <v>10</v>
      </c>
      <c r="P245" s="5">
        <f>IFERROR(VLOOKUP(A245,DIGITAL!$A$2:$J$2000,7,0),100)</f>
        <v>49</v>
      </c>
      <c r="Q245" s="5">
        <f>IFERROR(P245,0)*PARAMS_MODELO!$B$12</f>
        <v>4.9000000000000004</v>
      </c>
      <c r="R245">
        <f t="shared" si="75"/>
        <v>85.482639622086026</v>
      </c>
      <c r="S245" s="5" t="str">
        <f>IFERROR(VLOOKUP(A245,CLIENTE!$A$2:$N$2000,13,0),1)</f>
        <v>Regular</v>
      </c>
      <c r="T245" s="5">
        <f>IFERROR(VLOOKUP(A245,CLIENTE!$A$2:$N$2000,14,0),1)</f>
        <v>1</v>
      </c>
      <c r="U245" s="5">
        <f t="shared" si="76"/>
        <v>85.482639622086026</v>
      </c>
      <c r="V245" s="5" t="str">
        <f>IF(U245&gt;=MAX(_xlfn.PERCENTILE.INC($U$2:$U$1194,PARAMS_MODELO!$B$50),PARAMS_MODELO!$B$45),"DIAMANTE",IF(U245&gt;=MAX(_xlfn.PERCENTILE.INC($U$2:$U$1194,PARAMS_MODELO!$B$51),PARAMS_MODELO!$B$46),"PLATINO",IF(U245&gt;=MAX(_xlfn.PERCENTILE.INC($U$2:$U$1194,PARAMS_MODELO!$B$52),PARAMS_MODELO!$B$47),"ORO",IF(U245&gt;=MAX(_xlfn.PERCENTILE.INC($U$2:$U$1194,PARAMS_MODELO!$B$53),PARAMS_MODELO!$B$48),"PLATA",IF(U245&gt;=1,"BRONCE","CERRADO")))))</f>
        <v>ORO</v>
      </c>
      <c r="W245" s="5" t="str" cm="1">
        <f t="array" ref="W245">_xlfn.XLOOKUP(1, (HIST_SCORE!$B:$B=PARAMS_MODELO!$B$4) * (HIST_SCORE!$C:$C=A245), HIST_SCORE!$E:$E, "No encontrado")</f>
        <v>ORO</v>
      </c>
      <c r="X245" s="5" t="str">
        <f>_xlfn.LET(_xlpm.act,MATCH(V245,{"DIAMANTE";"PLATINO";"ORO";"PLATA";"BRONCE";"CERRADO"},0),_xlpm.ant,MATCH(W245,{"DIAMANTE";"PLATINO";"ORO";"PLATA";"BRONCE";"CERRADO"},0),IF(_xlpm.act&lt;_xlpm.ant,"Mejora ↑",IF(_xlpm.act&gt;_xlpm.ant,"Baja ↓","Estable →")))</f>
        <v>Estable →</v>
      </c>
      <c r="Y245" s="5">
        <f>IFERROR(U245-SUMIFS(HIST_SCORE!$D:$D,HIST_SCORE!$B:$B,PARAMS_MODELO!$B$4,HIST_SCORE!$C:$C,$A245),"")</f>
        <v>1.0040004749632345</v>
      </c>
      <c r="Z245" s="5" t="str">
        <f t="shared" si="77"/>
        <v>→ Estable</v>
      </c>
      <c r="AA245" s="5">
        <f t="shared" si="78"/>
        <v>269</v>
      </c>
      <c r="AB245" s="5">
        <f>IFERROR(SUMIFS(HIST_SCORE!$F:$F,HIST_SCORE!$B:$B,PARAMS_MODELO!$B$4,HIST_SCORE!$C:$C,$A245),"")</f>
        <v>274</v>
      </c>
      <c r="AC245" s="5">
        <f t="shared" si="79"/>
        <v>5</v>
      </c>
      <c r="AD245" t="str">
        <f t="shared" si="81"/>
        <v/>
      </c>
      <c r="AE2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245="CERRADO",1,IF(V245="BRONCE",_xlpm.cPl,IF(V245="PLATA",_xlpm.cO,IF(V245="ORO",_xlpm.cP,IF(V245="PLATINO",_xlpm.cD,999))))))</f>
        <v>86.439123873763251</v>
      </c>
      <c r="AF2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245="CERRADO",0,IF(V245="BRONCE",1,IF(V245="PLATA",_xlpm.cPl,IF(V245="ORO",_xlpm.cO,IF(V245="PLATINO",_xlpm.cP,_xlpm.cD))))))</f>
        <v>63.199193273331495</v>
      </c>
      <c r="AG245">
        <f t="shared" si="82"/>
        <v>0.95648425167722451</v>
      </c>
      <c r="AH245" t="str">
        <f t="shared" si="83"/>
        <v>VENTAS</v>
      </c>
      <c r="AI245" t="str">
        <f t="shared" si="80"/>
        <v>🎯 Para subir de categoría, eje VENTAS / IMPACTO ABSOLUTO (H). Acción: metas semanales + activación comercial + seguimiento del asesor. ΔR aprox: 1,0</v>
      </c>
      <c r="AJ245" s="26">
        <f>_xlfn.LET(_xlpm.piso,AF245,_xlpm.corte,AE245,_xlpm.prog,IF(_xlpm.corte&lt;=_xlpm.piso,0,MAX(0,MIN(1,(U245-_xlpm.piso)/(_xlpm.corte-_xlpm.piso)))),_xlpm.orden,{"DIAMANTE";"PLATINO";"ORO";"PLATA";"BRONCE";"CERRADO"},_xlpm.act,IFERROR(MATCH(V245,_xlpm.orden,0),6),_xlpm.ant,IFERROR(MATCH(W245,_xlpm.orden,0),6),_xlpm.ajmov,IF(_xlpm.act&lt;_xlpm.ant,0.08,IF(_xlpm.act&gt;_xlpm.ant,-0.08,0)),_xlpm.ajcli,IF(T245&lt;0.95,-0.06,0),_xlpm.prob,MAX(0,MIN(1,_xlpm.prog+_xlpm.ajmov+_xlpm.ajcli)),IF(OR(V245="DIAMANTE",V245="CERRADO"),0,ROUND(_xlpm.prob,2)))</f>
        <v>0.96</v>
      </c>
      <c r="AK245" t="str">
        <f t="shared" si="84"/>
        <v>Faltan 1,0 puntos base para subir a la siguiente categoría</v>
      </c>
      <c r="AL245" t="str">
        <f t="shared" si="85"/>
        <v>Margen de seguridad: 22,3 puntos</v>
      </c>
      <c r="AM245">
        <f t="shared" si="86"/>
        <v>0.05</v>
      </c>
      <c r="AN245" t="str">
        <f t="shared" si="87"/>
        <v>PRIORIDAD BAJA – control normal</v>
      </c>
      <c r="AO245">
        <f t="shared" si="88"/>
        <v>9.0894549020930597</v>
      </c>
      <c r="AP245">
        <f t="shared" si="89"/>
        <v>0.19047475111650236</v>
      </c>
      <c r="AQ245">
        <f t="shared" si="90"/>
        <v>0</v>
      </c>
      <c r="AR245">
        <f t="shared" si="91"/>
        <v>5.0999999999999996</v>
      </c>
      <c r="AS245">
        <f t="shared" si="92"/>
        <v>0</v>
      </c>
      <c r="AT245" t="str">
        <f t="shared" si="93"/>
        <v>VENTAS</v>
      </c>
      <c r="AU245">
        <f t="shared" si="94"/>
        <v>9.0894549020930597</v>
      </c>
      <c r="AV245" t="str">
        <f t="shared" si="95"/>
        <v>Mayor retorno probable: VENTAS (+9,1 puntos finales potenciales).</v>
      </c>
    </row>
    <row r="246" spans="1:48" x14ac:dyDescent="0.3">
      <c r="A246" s="5">
        <v>51055853</v>
      </c>
      <c r="B246" s="5" t="str">
        <f>IFERROR(VLOOKUP(A246,VENTAS!$A$2:$B$1194,2,0),"")</f>
        <v>ROBERTS</v>
      </c>
      <c r="C246" s="5">
        <f>IFERROR(INDEX(VENTAS!$C$2:$E$1194,MATCH(A246,VENTAS!$A$2:$A$1194,0),MATCH(PARAMS_MODELO!$B$2,{"Q1","Q2","Q3"},0)),0)</f>
        <v>141292200.28</v>
      </c>
      <c r="D246" s="5">
        <f>IFERROR(INDEX(VENTAS!$F$2:$H$1194,MATCH(A246,VENTAS!$A$2:$A$1194,0),MATCH(PARAMS_MODELO!$B$2,{"Q1","Q2","Q3"},0)),0)</f>
        <v>114155578</v>
      </c>
      <c r="E246" s="8">
        <f t="shared" si="72"/>
        <v>-0.1920602993386975</v>
      </c>
      <c r="F246" s="12">
        <f>IF(E246&lt;=PARAMS_MODELO!$B$15,0,IF(E246&gt;=PARAMS_MODELO!$B$17,100,100*MIN(1,(E246-PARAMS_MODELO!$B$15)/(PARAMS_MODELO!$B$16-PARAMS_MODELO!$B$15))))*PARAMS_MODELO!$B$7</f>
        <v>0</v>
      </c>
      <c r="G246" s="5">
        <f t="shared" si="73"/>
        <v>0</v>
      </c>
      <c r="H246" s="5">
        <f>(PARAMS_MODELO!$B$20*(MAX(0,MIN(3,E246))/3)+PARAMS_MODELO!$B$21*(IFERROR(LN(1+MAX(0,G246))/LN(1+MAX(0,MAX($G$2:$G$1194))),0)))*100*PARAMS_MODELO!$B$8</f>
        <v>0</v>
      </c>
      <c r="I246" s="8">
        <f>E246-PARAMS_MODELO!$B$5</f>
        <v>-0.36962313471422403</v>
      </c>
      <c r="J246" s="5">
        <f>IF(I246&lt;=PARAMS_MODELO!$B$18,0,IF(I246&gt;=PARAMS_MODELO!$B$19,100,100*(I246-PARAMS_MODELO!$B$18)/(PARAMS_MODELO!$B$19-PARAMS_MODELO!$B$18)))*PARAMS_MODELO!$B$9</f>
        <v>0</v>
      </c>
      <c r="K246" s="5">
        <f>IFERROR(CHOOSE(MATCH(PARAMS_MODELO!$B$2,{"Q1","Q2","Q3"},0),LOTO!$D246,LOTO!$F246,LOTO!$H246),0)</f>
        <v>5627500</v>
      </c>
      <c r="L246" s="8">
        <f t="shared" si="74"/>
        <v>4.9296758849576322E-2</v>
      </c>
      <c r="M246" s="5">
        <f>MIN(100,IF(PARAMS_MODELO!$B$23=0,0,100*L246/PARAMS_MODELO!$B$23))*PARAMS_MODELO!$B$10</f>
        <v>14.789027654872896</v>
      </c>
      <c r="N246" s="5">
        <f>IFERROR(VLOOKUP(A246,COMPLIANCE!$A$2:$F$1996,6,0),100)</f>
        <v>100</v>
      </c>
      <c r="O246" s="5">
        <f>N246*PARAMS_MODELO!$B$11</f>
        <v>10</v>
      </c>
      <c r="P246" s="5">
        <f>IFERROR(VLOOKUP(A246,DIGITAL!$A$2:$J$2000,7,0),100)</f>
        <v>53</v>
      </c>
      <c r="Q246" s="5">
        <f>IFERROR(P246,0)*PARAMS_MODELO!$B$12</f>
        <v>5.3000000000000007</v>
      </c>
      <c r="R246">
        <f t="shared" si="75"/>
        <v>30.089027654872897</v>
      </c>
      <c r="S246" s="5" t="str">
        <f>IFERROR(VLOOKUP(A246,CLIENTE!$A$2:$N$2000,13,0),1)</f>
        <v>Muy Bueno</v>
      </c>
      <c r="T246" s="5">
        <f>IFERROR(VLOOKUP(A246,CLIENTE!$A$2:$N$2000,14,0),1)</f>
        <v>1.1499999999999999</v>
      </c>
      <c r="U246" s="5">
        <f t="shared" si="76"/>
        <v>34.602381803103832</v>
      </c>
      <c r="V246" s="5" t="str">
        <f>IF(U246&gt;=MAX(_xlfn.PERCENTILE.INC($U$2:$U$1194,PARAMS_MODELO!$B$50),PARAMS_MODELO!$B$45),"DIAMANTE",IF(U246&gt;=MAX(_xlfn.PERCENTILE.INC($U$2:$U$1194,PARAMS_MODELO!$B$51),PARAMS_MODELO!$B$46),"PLATINO",IF(U246&gt;=MAX(_xlfn.PERCENTILE.INC($U$2:$U$1194,PARAMS_MODELO!$B$52),PARAMS_MODELO!$B$47),"ORO",IF(U246&gt;=MAX(_xlfn.PERCENTILE.INC($U$2:$U$1194,PARAMS_MODELO!$B$53),PARAMS_MODELO!$B$48),"PLATA",IF(U246&gt;=1,"BRONCE","CERRADO")))))</f>
        <v>PLATA</v>
      </c>
      <c r="W246" s="5" t="str" cm="1">
        <f t="array" ref="W246">_xlfn.XLOOKUP(1, (HIST_SCORE!$B:$B=PARAMS_MODELO!$B$4) * (HIST_SCORE!$C:$C=A246), HIST_SCORE!$E:$E, "No encontrado")</f>
        <v>PLATA</v>
      </c>
      <c r="X246" s="5" t="str">
        <f>_xlfn.LET(_xlpm.act,MATCH(V246,{"DIAMANTE";"PLATINO";"ORO";"PLATA";"BRONCE";"CERRADO"},0),_xlpm.ant,MATCH(W246,{"DIAMANTE";"PLATINO";"ORO";"PLATA";"BRONCE";"CERRADO"},0),IF(_xlpm.act&lt;_xlpm.ant,"Mejora ↑",IF(_xlpm.act&gt;_xlpm.ant,"Baja ↓","Estable →")))</f>
        <v>Estable →</v>
      </c>
      <c r="Y246" s="5">
        <f>IFERROR(U246-SUMIFS(HIST_SCORE!$D:$D,HIST_SCORE!$B:$B,PARAMS_MODELO!$B$4,HIST_SCORE!$C:$C,$A246),"")</f>
        <v>1.5417196441469301</v>
      </c>
      <c r="Z246" s="5" t="str">
        <f t="shared" si="77"/>
        <v>→ Estable</v>
      </c>
      <c r="AA246" s="5">
        <f t="shared" si="78"/>
        <v>808</v>
      </c>
      <c r="AB246" s="5">
        <f>IFERROR(SUMIFS(HIST_SCORE!$F:$F,HIST_SCORE!$B:$B,PARAMS_MODELO!$B$4,HIST_SCORE!$C:$C,$A246),"")</f>
        <v>877</v>
      </c>
      <c r="AC246" s="5">
        <f t="shared" si="79"/>
        <v>69</v>
      </c>
      <c r="AD246" t="str">
        <f t="shared" si="81"/>
        <v/>
      </c>
      <c r="AE2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246="CERRADO",1,IF(V246="BRONCE",_xlpm.cPl,IF(V246="PLATA",_xlpm.cO,IF(V246="ORO",_xlpm.cP,IF(V246="PLATINO",_xlpm.cD,999))))))</f>
        <v>63.199193273331495</v>
      </c>
      <c r="AF2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246="CERRADO",0,IF(V246="BRONCE",1,IF(V246="PLATA",_xlpm.cPl,IF(V246="ORO",_xlpm.cO,IF(V246="PLATINO",_xlpm.cP,_xlpm.cD))))))</f>
        <v>24.506573482968111</v>
      </c>
      <c r="AG246">
        <f t="shared" si="82"/>
        <v>24.866792582806671</v>
      </c>
      <c r="AH246" t="str">
        <f t="shared" si="83"/>
        <v>VENTAS</v>
      </c>
      <c r="AI246" t="str">
        <f t="shared" si="80"/>
        <v>🎯 Para subir de categoría, eje VENTAS / CRECIMIENTO PERSONAL (F). Acción: metas semanales + activación comercial + seguimiento del asesor. ΔR aprox: 24,9</v>
      </c>
      <c r="AJ246" s="26">
        <f>_xlfn.LET(_xlpm.piso,AF246,_xlpm.corte,AE246,_xlpm.prog,IF(_xlpm.corte&lt;=_xlpm.piso,0,MAX(0,MIN(1,(U246-_xlpm.piso)/(_xlpm.corte-_xlpm.piso)))),_xlpm.orden,{"DIAMANTE";"PLATINO";"ORO";"PLATA";"BRONCE";"CERRADO"},_xlpm.act,IFERROR(MATCH(V246,_xlpm.orden,0),6),_xlpm.ant,IFERROR(MATCH(W246,_xlpm.orden,0),6),_xlpm.ajmov,IF(_xlpm.act&lt;_xlpm.ant,0.08,IF(_xlpm.act&gt;_xlpm.ant,-0.08,0)),_xlpm.ajcli,IF(T246&lt;0.95,-0.06,0),_xlpm.prob,MAX(0,MIN(1,_xlpm.prog+_xlpm.ajmov+_xlpm.ajcli)),IF(OR(V246="DIAMANTE",V246="CERRADO"),0,ROUND(_xlpm.prob,2)))</f>
        <v>0.26</v>
      </c>
      <c r="AK246" t="str">
        <f t="shared" si="84"/>
        <v>Faltan 24,9 puntos base para subir a la siguiente categoría</v>
      </c>
      <c r="AL246" t="str">
        <f t="shared" si="85"/>
        <v>Margen de seguridad: 10,1 puntos</v>
      </c>
      <c r="AM246">
        <f t="shared" si="86"/>
        <v>0.7</v>
      </c>
      <c r="AN246" t="str">
        <f t="shared" si="87"/>
        <v>PRIORIDAD ALTA – requiere intervención inmediata</v>
      </c>
      <c r="AO246">
        <f t="shared" si="88"/>
        <v>74.591954666589913</v>
      </c>
      <c r="AP246">
        <f t="shared" si="89"/>
        <v>0.24261819689616926</v>
      </c>
      <c r="AQ246">
        <f t="shared" si="90"/>
        <v>0</v>
      </c>
      <c r="AR246">
        <f t="shared" si="91"/>
        <v>5.4049999999999985</v>
      </c>
      <c r="AS246">
        <f t="shared" si="92"/>
        <v>0</v>
      </c>
      <c r="AT246" t="str">
        <f t="shared" si="93"/>
        <v>VENTAS</v>
      </c>
      <c r="AU246">
        <f t="shared" si="94"/>
        <v>74.591954666589913</v>
      </c>
      <c r="AV246" t="str">
        <f t="shared" si="95"/>
        <v>Mayor retorno probable: VENTAS (+74,6 puntos finales potenciales).</v>
      </c>
    </row>
    <row r="247" spans="1:48" x14ac:dyDescent="0.3">
      <c r="A247" s="5">
        <v>51056515</v>
      </c>
      <c r="B247" s="5" t="str">
        <f>IFERROR(VLOOKUP(A247,VENTAS!$A$2:$B$1194,2,0),"")</f>
        <v>BELUZZO</v>
      </c>
      <c r="C247" s="5">
        <f>IFERROR(INDEX(VENTAS!$C$2:$E$1194,MATCH(A247,VENTAS!$A$2:$A$1194,0),MATCH(PARAMS_MODELO!$B$2,{"Q1","Q2","Q3"},0)),0)</f>
        <v>85951571.00999999</v>
      </c>
      <c r="D247" s="5">
        <f>IFERROR(INDEX(VENTAS!$F$2:$H$1194,MATCH(A247,VENTAS!$A$2:$A$1194,0),MATCH(PARAMS_MODELO!$B$2,{"Q1","Q2","Q3"},0)),0)</f>
        <v>113993569</v>
      </c>
      <c r="E247" s="8">
        <f t="shared" si="72"/>
        <v>0.32625346646354458</v>
      </c>
      <c r="F247" s="12">
        <f>IF(E247&lt;=PARAMS_MODELO!$B$15,0,IF(E247&gt;=PARAMS_MODELO!$B$17,100,100*MIN(1,(E247-PARAMS_MODELO!$B$15)/(PARAMS_MODELO!$B$16-PARAMS_MODELO!$B$15))))*PARAMS_MODELO!$B$7</f>
        <v>35</v>
      </c>
      <c r="G247" s="5">
        <f t="shared" si="73"/>
        <v>28041997.99000001</v>
      </c>
      <c r="H247" s="5">
        <f>(PARAMS_MODELO!$B$20*(MAX(0,MIN(3,E247))/3)+PARAMS_MODELO!$B$21*(IFERROR(LN(1+MAX(0,G247))/LN(1+MAX(0,MAX($G$2:$G$1194))),0)))*100*PARAMS_MODELO!$B$8</f>
        <v>5.1619022876378402</v>
      </c>
      <c r="I247" s="8">
        <f>E247-PARAMS_MODELO!$B$5</f>
        <v>0.14869063108801805</v>
      </c>
      <c r="J247" s="5">
        <f>IF(I247&lt;=PARAMS_MODELO!$B$18,0,IF(I247&gt;=PARAMS_MODELO!$B$19,100,100*(I247-PARAMS_MODELO!$B$18)/(PARAMS_MODELO!$B$19-PARAMS_MODELO!$B$18)))*PARAMS_MODELO!$B$9</f>
        <v>15</v>
      </c>
      <c r="K247" s="5">
        <f>IFERROR(CHOOSE(MATCH(PARAMS_MODELO!$B$2,{"Q1","Q2","Q3"},0),LOTO!$D247,LOTO!$F247,LOTO!$H247),0)</f>
        <v>5622500</v>
      </c>
      <c r="L247" s="8">
        <f t="shared" si="74"/>
        <v>4.932295785914028E-2</v>
      </c>
      <c r="M247" s="5">
        <f>MIN(100,IF(PARAMS_MODELO!$B$23=0,0,100*L247/PARAMS_MODELO!$B$23))*PARAMS_MODELO!$B$10</f>
        <v>14.796887357742081</v>
      </c>
      <c r="N247" s="5">
        <f>IFERROR(VLOOKUP(A247,COMPLIANCE!$A$2:$F$1996,6,0),100)</f>
        <v>100</v>
      </c>
      <c r="O247" s="5">
        <f>N247*PARAMS_MODELO!$B$11</f>
        <v>10</v>
      </c>
      <c r="P247" s="5">
        <f>IFERROR(VLOOKUP(A247,DIGITAL!$A$2:$J$2000,7,0),100)</f>
        <v>92</v>
      </c>
      <c r="Q247" s="5">
        <f>IFERROR(P247,0)*PARAMS_MODELO!$B$12</f>
        <v>9.2000000000000011</v>
      </c>
      <c r="R247">
        <f t="shared" si="75"/>
        <v>89.158789645379926</v>
      </c>
      <c r="S247" s="5" t="str">
        <f>IFERROR(VLOOKUP(A247,CLIENTE!$A$2:$N$2000,13,0),1)</f>
        <v>Regular</v>
      </c>
      <c r="T247" s="5">
        <f>IFERROR(VLOOKUP(A247,CLIENTE!$A$2:$N$2000,14,0),1)</f>
        <v>1</v>
      </c>
      <c r="U247" s="5">
        <f t="shared" si="76"/>
        <v>89.158789645379926</v>
      </c>
      <c r="V247" s="5" t="str">
        <f>IF(U247&gt;=MAX(_xlfn.PERCENTILE.INC($U$2:$U$1194,PARAMS_MODELO!$B$50),PARAMS_MODELO!$B$45),"DIAMANTE",IF(U247&gt;=MAX(_xlfn.PERCENTILE.INC($U$2:$U$1194,PARAMS_MODELO!$B$51),PARAMS_MODELO!$B$46),"PLATINO",IF(U247&gt;=MAX(_xlfn.PERCENTILE.INC($U$2:$U$1194,PARAMS_MODELO!$B$52),PARAMS_MODELO!$B$47),"ORO",IF(U247&gt;=MAX(_xlfn.PERCENTILE.INC($U$2:$U$1194,PARAMS_MODELO!$B$53),PARAMS_MODELO!$B$48),"PLATA",IF(U247&gt;=1,"BRONCE","CERRADO")))))</f>
        <v>PLATINO</v>
      </c>
      <c r="W247" s="5" t="str" cm="1">
        <f t="array" ref="W247">_xlfn.XLOOKUP(1, (HIST_SCORE!$B:$B=PARAMS_MODELO!$B$4) * (HIST_SCORE!$C:$C=A247), HIST_SCORE!$E:$E, "No encontrado")</f>
        <v>ORO</v>
      </c>
      <c r="X247" s="5" t="str">
        <f>_xlfn.LET(_xlpm.act,MATCH(V247,{"DIAMANTE";"PLATINO";"ORO";"PLATA";"BRONCE";"CERRADO"},0),_xlpm.ant,MATCH(W247,{"DIAMANTE";"PLATINO";"ORO";"PLATA";"BRONCE";"CERRADO"},0),IF(_xlpm.act&lt;_xlpm.ant,"Mejora ↑",IF(_xlpm.act&gt;_xlpm.ant,"Baja ↓","Estable →")))</f>
        <v>Mejora ↑</v>
      </c>
      <c r="Y247" s="5">
        <f>IFERROR(U247-SUMIFS(HIST_SCORE!$D:$D,HIST_SCORE!$B:$B,PARAMS_MODELO!$B$4,HIST_SCORE!$C:$C,$A247),"")</f>
        <v>4.29942170045301</v>
      </c>
      <c r="Z247" s="5" t="str">
        <f t="shared" si="77"/>
        <v>→ Estable</v>
      </c>
      <c r="AA247" s="5">
        <f t="shared" si="78"/>
        <v>163</v>
      </c>
      <c r="AB247" s="5">
        <f>IFERROR(SUMIFS(HIST_SCORE!$F:$F,HIST_SCORE!$B:$B,PARAMS_MODELO!$B$4,HIST_SCORE!$C:$C,$A247),"")</f>
        <v>268</v>
      </c>
      <c r="AC247" s="5">
        <f t="shared" si="79"/>
        <v>105</v>
      </c>
      <c r="AD247" t="str">
        <f t="shared" si="81"/>
        <v/>
      </c>
      <c r="AE2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247="CERRADO",1,IF(V247="BRONCE",_xlpm.cPl,IF(V247="PLATA",_xlpm.cO,IF(V247="ORO",_xlpm.cP,IF(V247="PLATINO",_xlpm.cD,999))))))</f>
        <v>96.054919694466676</v>
      </c>
      <c r="AF2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247="CERRADO",0,IF(V247="BRONCE",1,IF(V247="PLATA",_xlpm.cPl,IF(V247="ORO",_xlpm.cO,IF(V247="PLATINO",_xlpm.cP,_xlpm.cD))))))</f>
        <v>86.439123873763251</v>
      </c>
      <c r="AG247">
        <f t="shared" si="82"/>
        <v>6.8961300490867501</v>
      </c>
      <c r="AH247" t="str">
        <f t="shared" si="83"/>
        <v>VENTAS</v>
      </c>
      <c r="AI247" t="str">
        <f t="shared" si="80"/>
        <v>🎯 Para subir de categoría, eje VENTAS / IMPACTO ABSOLUTO (H). Acción: metas semanales + activación comercial + seguimiento del asesor. ΔR aprox: 6,9</v>
      </c>
      <c r="AJ247" s="26">
        <f>_xlfn.LET(_xlpm.piso,AF247,_xlpm.corte,AE247,_xlpm.prog,IF(_xlpm.corte&lt;=_xlpm.piso,0,MAX(0,MIN(1,(U247-_xlpm.piso)/(_xlpm.corte-_xlpm.piso)))),_xlpm.orden,{"DIAMANTE";"PLATINO";"ORO";"PLATA";"BRONCE";"CERRADO"},_xlpm.act,IFERROR(MATCH(V247,_xlpm.orden,0),6),_xlpm.ant,IFERROR(MATCH(W247,_xlpm.orden,0),6),_xlpm.ajmov,IF(_xlpm.act&lt;_xlpm.ant,0.08,IF(_xlpm.act&gt;_xlpm.ant,-0.08,0)),_xlpm.ajcli,IF(T247&lt;0.95,-0.06,0),_xlpm.prob,MAX(0,MIN(1,_xlpm.prog+_xlpm.ajmov+_xlpm.ajcli)),IF(OR(V247="DIAMANTE",V247="CERRADO"),0,ROUND(_xlpm.prob,2)))</f>
        <v>0.36</v>
      </c>
      <c r="AK247" t="str">
        <f t="shared" si="84"/>
        <v>Faltan 6,9 puntos base para subir a la siguiente categoría</v>
      </c>
      <c r="AL247" t="str">
        <f t="shared" si="85"/>
        <v>Margen de seguridad: 2,7 puntos</v>
      </c>
      <c r="AM247">
        <f t="shared" si="86"/>
        <v>0.53</v>
      </c>
      <c r="AN247" t="str">
        <f t="shared" si="87"/>
        <v>PRIORIDAD MEDIA – seguimiento del asesor</v>
      </c>
      <c r="AO247">
        <f t="shared" si="88"/>
        <v>9.7006669876577405</v>
      </c>
      <c r="AP247">
        <f t="shared" si="89"/>
        <v>0.20311264225791881</v>
      </c>
      <c r="AQ247">
        <f t="shared" si="90"/>
        <v>0</v>
      </c>
      <c r="AR247">
        <f t="shared" si="91"/>
        <v>0.79999999999999893</v>
      </c>
      <c r="AS247">
        <f t="shared" si="92"/>
        <v>0</v>
      </c>
      <c r="AT247" t="str">
        <f t="shared" si="93"/>
        <v>VENTAS</v>
      </c>
      <c r="AU247">
        <f t="shared" si="94"/>
        <v>9.7006669876577405</v>
      </c>
      <c r="AV247" t="str">
        <f t="shared" si="95"/>
        <v>Mayor retorno probable: VENTAS (+9,7 puntos finales potenciales).</v>
      </c>
    </row>
    <row r="248" spans="1:48" x14ac:dyDescent="0.3">
      <c r="A248" s="5">
        <v>51020952</v>
      </c>
      <c r="B248" s="5" t="str">
        <f>IFERROR(VLOOKUP(A248,VENTAS!$A$2:$B$1194,2,0),"")</f>
        <v>METTLER</v>
      </c>
      <c r="C248" s="5">
        <f>IFERROR(INDEX(VENTAS!$C$2:$E$1194,MATCH(A248,VENTAS!$A$2:$A$1194,0),MATCH(PARAMS_MODELO!$B$2,{"Q1","Q2","Q3"},0)),0)</f>
        <v>83955513.25</v>
      </c>
      <c r="D248" s="5">
        <f>IFERROR(INDEX(VENTAS!$F$2:$H$1194,MATCH(A248,VENTAS!$A$2:$A$1194,0),MATCH(PARAMS_MODELO!$B$2,{"Q1","Q2","Q3"},0)),0)</f>
        <v>113310180</v>
      </c>
      <c r="E248" s="8">
        <f t="shared" si="72"/>
        <v>0.34964549216188612</v>
      </c>
      <c r="F248" s="12">
        <f>IF(E248&lt;=PARAMS_MODELO!$B$15,0,IF(E248&gt;=PARAMS_MODELO!$B$17,100,100*MIN(1,(E248-PARAMS_MODELO!$B$15)/(PARAMS_MODELO!$B$16-PARAMS_MODELO!$B$15))))*PARAMS_MODELO!$B$7</f>
        <v>35</v>
      </c>
      <c r="G248" s="5">
        <f t="shared" si="73"/>
        <v>29354666.75</v>
      </c>
      <c r="H248" s="5">
        <f>(PARAMS_MODELO!$B$20*(MAX(0,MIN(3,E248))/3)+PARAMS_MODELO!$B$21*(IFERROR(LN(1+MAX(0,G248))/LN(1+MAX(0,MAX($G$2:$G$1194))),0)))*100*PARAMS_MODELO!$B$8</f>
        <v>5.2544983992205836</v>
      </c>
      <c r="I248" s="8">
        <f>E248-PARAMS_MODELO!$B$5</f>
        <v>0.17208265678635959</v>
      </c>
      <c r="J248" s="5">
        <f>IF(I248&lt;=PARAMS_MODELO!$B$18,0,IF(I248&gt;=PARAMS_MODELO!$B$19,100,100*(I248-PARAMS_MODELO!$B$18)/(PARAMS_MODELO!$B$19-PARAMS_MODELO!$B$18)))*PARAMS_MODELO!$B$9</f>
        <v>15</v>
      </c>
      <c r="K248" s="5">
        <f>IFERROR(CHOOSE(MATCH(PARAMS_MODELO!$B$2,{"Q1","Q2","Q3"},0),LOTO!$D248,LOTO!$F248,LOTO!$H248),0)</f>
        <v>5607500</v>
      </c>
      <c r="L248" s="8">
        <f t="shared" si="74"/>
        <v>4.9488051294243815E-2</v>
      </c>
      <c r="M248" s="5">
        <f>MIN(100,IF(PARAMS_MODELO!$B$23=0,0,100*L248/PARAMS_MODELO!$B$23))*PARAMS_MODELO!$B$10</f>
        <v>14.846415388273142</v>
      </c>
      <c r="N248" s="5">
        <f>IFERROR(VLOOKUP(A248,COMPLIANCE!$A$2:$F$1996,6,0),100)</f>
        <v>99.9</v>
      </c>
      <c r="O248" s="5">
        <f>N248*PARAMS_MODELO!$B$11</f>
        <v>9.990000000000002</v>
      </c>
      <c r="P248" s="5">
        <f>IFERROR(VLOOKUP(A248,DIGITAL!$A$2:$J$2000,7,0),100)</f>
        <v>65</v>
      </c>
      <c r="Q248" s="5">
        <f>IFERROR(P248,0)*PARAMS_MODELO!$B$12</f>
        <v>6.5</v>
      </c>
      <c r="R248">
        <f t="shared" si="75"/>
        <v>86.590913787493719</v>
      </c>
      <c r="S248" s="5" t="str">
        <f>IFERROR(VLOOKUP(A248,CLIENTE!$A$2:$N$2000,13,0),1)</f>
        <v>Muy Bueno</v>
      </c>
      <c r="T248" s="5">
        <f>IFERROR(VLOOKUP(A248,CLIENTE!$A$2:$N$2000,14,0),1)</f>
        <v>1.1499999999999999</v>
      </c>
      <c r="U248" s="5">
        <f t="shared" si="76"/>
        <v>99.579550855617768</v>
      </c>
      <c r="V248" s="5" t="str">
        <f>IF(U248&gt;=MAX(_xlfn.PERCENTILE.INC($U$2:$U$1194,PARAMS_MODELO!$B$50),PARAMS_MODELO!$B$45),"DIAMANTE",IF(U248&gt;=MAX(_xlfn.PERCENTILE.INC($U$2:$U$1194,PARAMS_MODELO!$B$51),PARAMS_MODELO!$B$46),"PLATINO",IF(U248&gt;=MAX(_xlfn.PERCENTILE.INC($U$2:$U$1194,PARAMS_MODELO!$B$52),PARAMS_MODELO!$B$47),"ORO",IF(U248&gt;=MAX(_xlfn.PERCENTILE.INC($U$2:$U$1194,PARAMS_MODELO!$B$53),PARAMS_MODELO!$B$48),"PLATA",IF(U248&gt;=1,"BRONCE","CERRADO")))))</f>
        <v>DIAMANTE</v>
      </c>
      <c r="W248" s="5" t="str" cm="1">
        <f t="array" ref="W248">_xlfn.XLOOKUP(1, (HIST_SCORE!$B:$B=PARAMS_MODELO!$B$4) * (HIST_SCORE!$C:$C=A248), HIST_SCORE!$E:$E, "No encontrado")</f>
        <v>DIAMANTE</v>
      </c>
      <c r="X248" s="5" t="str">
        <f>_xlfn.LET(_xlpm.act,MATCH(V248,{"DIAMANTE";"PLATINO";"ORO";"PLATA";"BRONCE";"CERRADO"},0),_xlpm.ant,MATCH(W248,{"DIAMANTE";"PLATINO";"ORO";"PLATA";"BRONCE";"CERRADO"},0),IF(_xlpm.act&lt;_xlpm.ant,"Mejora ↑",IF(_xlpm.act&gt;_xlpm.ant,"Baja ↓","Estable →")))</f>
        <v>Estable →</v>
      </c>
      <c r="Y248" s="5">
        <f>IFERROR(U248-SUMIFS(HIST_SCORE!$D:$D,HIST_SCORE!$B:$B,PARAMS_MODELO!$B$4,HIST_SCORE!$C:$C,$A248),"")</f>
        <v>-0.16147328069132527</v>
      </c>
      <c r="Z248" s="5" t="str">
        <f t="shared" si="77"/>
        <v>→ Estable</v>
      </c>
      <c r="AA248" s="5">
        <f t="shared" si="78"/>
        <v>21</v>
      </c>
      <c r="AB248" s="5">
        <f>IFERROR(SUMIFS(HIST_SCORE!$F:$F,HIST_SCORE!$B:$B,PARAMS_MODELO!$B$4,HIST_SCORE!$C:$C,$A248),"")</f>
        <v>19</v>
      </c>
      <c r="AC248" s="5">
        <f t="shared" si="79"/>
        <v>-2</v>
      </c>
      <c r="AD248" t="str">
        <f t="shared" si="81"/>
        <v/>
      </c>
      <c r="AE2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248="CERRADO",1,IF(V248="BRONCE",_xlpm.cPl,IF(V248="PLATA",_xlpm.cO,IF(V248="ORO",_xlpm.cP,IF(V248="PLATINO",_xlpm.cD,999))))))</f>
        <v>999</v>
      </c>
      <c r="AF2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248="CERRADO",0,IF(V248="BRONCE",1,IF(V248="PLATA",_xlpm.cPl,IF(V248="ORO",_xlpm.cO,IF(V248="PLATINO",_xlpm.cP,_xlpm.cD))))))</f>
        <v>96.054919694466676</v>
      </c>
      <c r="AG248">
        <f t="shared" si="82"/>
        <v>782.1047383864194</v>
      </c>
      <c r="AH248" t="str">
        <f t="shared" si="83"/>
        <v>SOSTENER</v>
      </c>
      <c r="AI248" t="str">
        <f t="shared" si="80"/>
        <v>✅ Mantener desempeño y monitorear variaciones para sostener categoría.</v>
      </c>
      <c r="AJ248" s="26">
        <f>_xlfn.LET(_xlpm.piso,AF248,_xlpm.corte,AE248,_xlpm.prog,IF(_xlpm.corte&lt;=_xlpm.piso,0,MAX(0,MIN(1,(U248-_xlpm.piso)/(_xlpm.corte-_xlpm.piso)))),_xlpm.orden,{"DIAMANTE";"PLATINO";"ORO";"PLATA";"BRONCE";"CERRADO"},_xlpm.act,IFERROR(MATCH(V248,_xlpm.orden,0),6),_xlpm.ant,IFERROR(MATCH(W248,_xlpm.orden,0),6),_xlpm.ajmov,IF(_xlpm.act&lt;_xlpm.ant,0.08,IF(_xlpm.act&gt;_xlpm.ant,-0.08,0)),_xlpm.ajcli,IF(T248&lt;0.95,-0.06,0),_xlpm.prob,MAX(0,MIN(1,_xlpm.prog+_xlpm.ajmov+_xlpm.ajcli)),IF(OR(V248="DIAMANTE",V248="CERRADO"),0,ROUND(_xlpm.prob,2)))</f>
        <v>0</v>
      </c>
      <c r="AK248" t="str">
        <f t="shared" si="84"/>
        <v>No aplica</v>
      </c>
      <c r="AL248" t="str">
        <f t="shared" si="85"/>
        <v>Margen de seguridad: 3,5 puntos</v>
      </c>
      <c r="AM248">
        <f t="shared" si="86"/>
        <v>0.8</v>
      </c>
      <c r="AN248" t="str">
        <f t="shared" si="87"/>
        <v>PRIORIDAD ALTA – requiere intervención inmediata</v>
      </c>
      <c r="AO248">
        <f t="shared" si="88"/>
        <v>11.049281507486254</v>
      </c>
      <c r="AP248">
        <f t="shared" si="89"/>
        <v>0.1766223034858867</v>
      </c>
      <c r="AQ248">
        <f t="shared" si="90"/>
        <v>1.1499999999997712E-2</v>
      </c>
      <c r="AR248">
        <f t="shared" si="91"/>
        <v>4.0249999999999995</v>
      </c>
      <c r="AS248">
        <f t="shared" si="92"/>
        <v>0</v>
      </c>
      <c r="AT248" t="str">
        <f t="shared" si="93"/>
        <v>VENTAS</v>
      </c>
      <c r="AU248">
        <f t="shared" si="94"/>
        <v>11.049281507486254</v>
      </c>
      <c r="AV248" t="str">
        <f t="shared" si="95"/>
        <v>Mayor retorno probable: VENTAS (+11,0 puntos finales potenciales).</v>
      </c>
    </row>
    <row r="249" spans="1:48" x14ac:dyDescent="0.3">
      <c r="A249" s="5">
        <v>51022611</v>
      </c>
      <c r="B249" s="5" t="str">
        <f>IFERROR(VLOOKUP(A249,VENTAS!$A$2:$B$1194,2,0),"")</f>
        <v>LÓPEZ</v>
      </c>
      <c r="C249" s="5">
        <f>IFERROR(INDEX(VENTAS!$C$2:$E$1194,MATCH(A249,VENTAS!$A$2:$A$1194,0),MATCH(PARAMS_MODELO!$B$2,{"Q1","Q2","Q3"},0)),0)</f>
        <v>97873405.260000005</v>
      </c>
      <c r="D249" s="5">
        <f>IFERROR(INDEX(VENTAS!$F$2:$H$1194,MATCH(A249,VENTAS!$A$2:$A$1194,0),MATCH(PARAMS_MODELO!$B$2,{"Q1","Q2","Q3"},0)),0)</f>
        <v>113076764</v>
      </c>
      <c r="E249" s="8">
        <f t="shared" si="72"/>
        <v>0.15533697534700441</v>
      </c>
      <c r="F249" s="12">
        <f>IF(E249&lt;=PARAMS_MODELO!$B$15,0,IF(E249&gt;=PARAMS_MODELO!$B$17,100,100*MIN(1,(E249-PARAMS_MODELO!$B$15)/(PARAMS_MODELO!$B$16-PARAMS_MODELO!$B$15))))*PARAMS_MODELO!$B$7</f>
        <v>35</v>
      </c>
      <c r="G249" s="5">
        <f t="shared" si="73"/>
        <v>15203358.739999995</v>
      </c>
      <c r="H249" s="5">
        <f>(PARAMS_MODELO!$B$20*(MAX(0,MIN(3,E249))/3)+PARAMS_MODELO!$B$21*(IFERROR(LN(1+MAX(0,G249))/LN(1+MAX(0,MAX($G$2:$G$1194))),0)))*100*PARAMS_MODELO!$B$8</f>
        <v>4.4201894101607691</v>
      </c>
      <c r="I249" s="8">
        <f>E249-PARAMS_MODELO!$B$5</f>
        <v>-2.2225860028522115E-2</v>
      </c>
      <c r="J249" s="5">
        <f>IF(I249&lt;=PARAMS_MODELO!$B$18,0,IF(I249&gt;=PARAMS_MODELO!$B$19,100,100*(I249-PARAMS_MODELO!$B$18)/(PARAMS_MODELO!$B$19-PARAMS_MODELO!$B$18)))*PARAMS_MODELO!$B$9</f>
        <v>4.1661209957216832</v>
      </c>
      <c r="K249" s="5">
        <f>IFERROR(CHOOSE(MATCH(PARAMS_MODELO!$B$2,{"Q1","Q2","Q3"},0),LOTO!$D249,LOTO!$F249,LOTO!$H249),0)</f>
        <v>5605000</v>
      </c>
      <c r="L249" s="8">
        <f t="shared" si="74"/>
        <v>4.9568096943418016E-2</v>
      </c>
      <c r="M249" s="5">
        <f>MIN(100,IF(PARAMS_MODELO!$B$23=0,0,100*L249/PARAMS_MODELO!$B$23))*PARAMS_MODELO!$B$10</f>
        <v>14.870429083025403</v>
      </c>
      <c r="N249" s="5">
        <f>IFERROR(VLOOKUP(A249,COMPLIANCE!$A$2:$F$1996,6,0),100)</f>
        <v>100</v>
      </c>
      <c r="O249" s="5">
        <f>N249*PARAMS_MODELO!$B$11</f>
        <v>10</v>
      </c>
      <c r="P249" s="5">
        <f>IFERROR(VLOOKUP(A249,DIGITAL!$A$2:$J$2000,7,0),100)</f>
        <v>22</v>
      </c>
      <c r="Q249" s="5">
        <f>IFERROR(P249,0)*PARAMS_MODELO!$B$12</f>
        <v>2.2000000000000002</v>
      </c>
      <c r="R249">
        <f t="shared" si="75"/>
        <v>70.65673948890786</v>
      </c>
      <c r="S249" s="5" t="str">
        <f>IFERROR(VLOOKUP(A249,CLIENTE!$A$2:$N$2000,13,0),1)</f>
        <v>Malo</v>
      </c>
      <c r="T249" s="5">
        <f>IFERROR(VLOOKUP(A249,CLIENTE!$A$2:$N$2000,14,0),1)</f>
        <v>0.7</v>
      </c>
      <c r="U249" s="5">
        <f t="shared" si="76"/>
        <v>49.459717642235496</v>
      </c>
      <c r="V249" s="5" t="str">
        <f>IF(U249&gt;=MAX(_xlfn.PERCENTILE.INC($U$2:$U$1194,PARAMS_MODELO!$B$50),PARAMS_MODELO!$B$45),"DIAMANTE",IF(U249&gt;=MAX(_xlfn.PERCENTILE.INC($U$2:$U$1194,PARAMS_MODELO!$B$51),PARAMS_MODELO!$B$46),"PLATINO",IF(U249&gt;=MAX(_xlfn.PERCENTILE.INC($U$2:$U$1194,PARAMS_MODELO!$B$52),PARAMS_MODELO!$B$47),"ORO",IF(U249&gt;=MAX(_xlfn.PERCENTILE.INC($U$2:$U$1194,PARAMS_MODELO!$B$53),PARAMS_MODELO!$B$48),"PLATA",IF(U249&gt;=1,"BRONCE","CERRADO")))))</f>
        <v>PLATA</v>
      </c>
      <c r="W249" s="5" t="str" cm="1">
        <f t="array" ref="W249">_xlfn.XLOOKUP(1, (HIST_SCORE!$B:$B=PARAMS_MODELO!$B$4) * (HIST_SCORE!$C:$C=A249), HIST_SCORE!$E:$E, "No encontrado")</f>
        <v>PLATA</v>
      </c>
      <c r="X249" s="5" t="str">
        <f>_xlfn.LET(_xlpm.act,MATCH(V249,{"DIAMANTE";"PLATINO";"ORO";"PLATA";"BRONCE";"CERRADO"},0),_xlpm.ant,MATCH(W249,{"DIAMANTE";"PLATINO";"ORO";"PLATA";"BRONCE";"CERRADO"},0),IF(_xlpm.act&lt;_xlpm.ant,"Mejora ↑",IF(_xlpm.act&gt;_xlpm.ant,"Baja ↓","Estable →")))</f>
        <v>Estable →</v>
      </c>
      <c r="Y249" s="5">
        <f>IFERROR(U249-SUMIFS(HIST_SCORE!$D:$D,HIST_SCORE!$B:$B,PARAMS_MODELO!$B$4,HIST_SCORE!$C:$C,$A249),"")</f>
        <v>-5.3729013688450067</v>
      </c>
      <c r="Z249" s="5" t="str">
        <f t="shared" si="77"/>
        <v>↓ Baja</v>
      </c>
      <c r="AA249" s="5">
        <f t="shared" si="78"/>
        <v>745</v>
      </c>
      <c r="AB249" s="5">
        <f>IFERROR(SUMIFS(HIST_SCORE!$F:$F,HIST_SCORE!$B:$B,PARAMS_MODELO!$B$4,HIST_SCORE!$C:$C,$A249),"")</f>
        <v>737</v>
      </c>
      <c r="AC249" s="5">
        <f t="shared" si="79"/>
        <v>-8</v>
      </c>
      <c r="AD249" t="str">
        <f t="shared" si="81"/>
        <v/>
      </c>
      <c r="AE2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249="CERRADO",1,IF(V249="BRONCE",_xlpm.cPl,IF(V249="PLATA",_xlpm.cO,IF(V249="ORO",_xlpm.cP,IF(V249="PLATINO",_xlpm.cD,999))))))</f>
        <v>63.199193273331495</v>
      </c>
      <c r="AF2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249="CERRADO",0,IF(V249="BRONCE",1,IF(V249="PLATA",_xlpm.cPl,IF(V249="ORO",_xlpm.cO,IF(V249="PLATINO",_xlpm.cP,_xlpm.cD))))))</f>
        <v>24.506573482968111</v>
      </c>
      <c r="AG249">
        <f t="shared" si="82"/>
        <v>19.627822330137136</v>
      </c>
      <c r="AH249" t="str">
        <f t="shared" si="83"/>
        <v>CLIENTE</v>
      </c>
      <c r="AI249" t="str">
        <f t="shared" si="80"/>
        <v>🎯 Para subir de categoría, la eje con mayor impacto probable es CLIENTE (coef T). Acción: reducir quejas, mejorar incógnito y empujar reseñas. ΔR aprox: 19,6</v>
      </c>
      <c r="AJ249" s="26">
        <f>_xlfn.LET(_xlpm.piso,AF249,_xlpm.corte,AE249,_xlpm.prog,IF(_xlpm.corte&lt;=_xlpm.piso,0,MAX(0,MIN(1,(U249-_xlpm.piso)/(_xlpm.corte-_xlpm.piso)))),_xlpm.orden,{"DIAMANTE";"PLATINO";"ORO";"PLATA";"BRONCE";"CERRADO"},_xlpm.act,IFERROR(MATCH(V249,_xlpm.orden,0),6),_xlpm.ant,IFERROR(MATCH(W249,_xlpm.orden,0),6),_xlpm.ajmov,IF(_xlpm.act&lt;_xlpm.ant,0.08,IF(_xlpm.act&gt;_xlpm.ant,-0.08,0)),_xlpm.ajcli,IF(T249&lt;0.95,-0.06,0),_xlpm.prob,MAX(0,MIN(1,_xlpm.prog+_xlpm.ajmov+_xlpm.ajcli)),IF(OR(V249="DIAMANTE",V249="CERRADO"),0,ROUND(_xlpm.prob,2)))</f>
        <v>0.57999999999999996</v>
      </c>
      <c r="AK249" t="str">
        <f t="shared" si="84"/>
        <v>Faltan 19,6 puntos base para subir a la siguiente categoría</v>
      </c>
      <c r="AL249" t="str">
        <f t="shared" si="85"/>
        <v>Margen de seguridad: 25,0 puntos</v>
      </c>
      <c r="AM249">
        <f t="shared" si="86"/>
        <v>0.77</v>
      </c>
      <c r="AN249" t="str">
        <f t="shared" si="87"/>
        <v>PRIORIDAD ALTA – requiere intervención inmediata</v>
      </c>
      <c r="AO249">
        <f t="shared" si="88"/>
        <v>14.893381208589192</v>
      </c>
      <c r="AP249">
        <f t="shared" si="89"/>
        <v>9.069964188221781E-2</v>
      </c>
      <c r="AQ249">
        <f t="shared" si="90"/>
        <v>0</v>
      </c>
      <c r="AR249">
        <f t="shared" si="91"/>
        <v>5.46</v>
      </c>
      <c r="AS249">
        <f t="shared" si="92"/>
        <v>21.19702184667236</v>
      </c>
      <c r="AT249" t="str">
        <f t="shared" si="93"/>
        <v>CLIENTE</v>
      </c>
      <c r="AU249">
        <f t="shared" si="94"/>
        <v>21.19702184667236</v>
      </c>
      <c r="AV249" t="str">
        <f t="shared" si="95"/>
        <v>Mayor retorno probable: CLIENTE (+21,2 puntos finales potenciales).</v>
      </c>
    </row>
    <row r="250" spans="1:48" x14ac:dyDescent="0.3">
      <c r="A250" s="5">
        <v>51056761</v>
      </c>
      <c r="B250" s="5" t="str">
        <f>IFERROR(VLOOKUP(A250,VENTAS!$A$2:$B$1194,2,0),"")</f>
        <v>LÓPEZ</v>
      </c>
      <c r="C250" s="5">
        <f>IFERROR(INDEX(VENTAS!$C$2:$E$1194,MATCH(A250,VENTAS!$A$2:$A$1194,0),MATCH(PARAMS_MODELO!$B$2,{"Q1","Q2","Q3"},0)),0)</f>
        <v>53835673.100000001</v>
      </c>
      <c r="D250" s="5">
        <f>IFERROR(INDEX(VENTAS!$F$2:$H$1194,MATCH(A250,VENTAS!$A$2:$A$1194,0),MATCH(PARAMS_MODELO!$B$2,{"Q1","Q2","Q3"},0)),0)</f>
        <v>112912839</v>
      </c>
      <c r="E250" s="8">
        <f t="shared" si="72"/>
        <v>1.0973609597165042</v>
      </c>
      <c r="F250" s="12">
        <f>IF(E250&lt;=PARAMS_MODELO!$B$15,0,IF(E250&gt;=PARAMS_MODELO!$B$17,100,100*MIN(1,(E250-PARAMS_MODELO!$B$15)/(PARAMS_MODELO!$B$16-PARAMS_MODELO!$B$15))))*PARAMS_MODELO!$B$7</f>
        <v>35</v>
      </c>
      <c r="G250" s="5">
        <f t="shared" si="73"/>
        <v>59077165.899999999</v>
      </c>
      <c r="H250" s="5">
        <f>(PARAMS_MODELO!$B$20*(MAX(0,MIN(3,E250))/3)+PARAMS_MODELO!$B$21*(IFERROR(LN(1+MAX(0,G250))/LN(1+MAX(0,MAX($G$2:$G$1194))),0)))*100*PARAMS_MODELO!$B$8</f>
        <v>8.0354500028822908</v>
      </c>
      <c r="I250" s="8">
        <f>E250-PARAMS_MODELO!$B$5</f>
        <v>0.91979812434097763</v>
      </c>
      <c r="J250" s="5">
        <f>IF(I250&lt;=PARAMS_MODELO!$B$18,0,IF(I250&gt;=PARAMS_MODELO!$B$19,100,100*(I250-PARAMS_MODELO!$B$18)/(PARAMS_MODELO!$B$19-PARAMS_MODELO!$B$18)))*PARAMS_MODELO!$B$9</f>
        <v>15</v>
      </c>
      <c r="K250" s="5">
        <f>IFERROR(CHOOSE(MATCH(PARAMS_MODELO!$B$2,{"Q1","Q2","Q3"},0),LOTO!$D250,LOTO!$F250,LOTO!$H250),0)</f>
        <v>5605000</v>
      </c>
      <c r="L250" s="8">
        <f t="shared" si="74"/>
        <v>4.9640059090180169E-2</v>
      </c>
      <c r="M250" s="5">
        <f>MIN(100,IF(PARAMS_MODELO!$B$23=0,0,100*L250/PARAMS_MODELO!$B$23))*PARAMS_MODELO!$B$10</f>
        <v>14.89201772705405</v>
      </c>
      <c r="N250" s="5">
        <f>IFERROR(VLOOKUP(A250,COMPLIANCE!$A$2:$F$1996,6,0),100)</f>
        <v>99.85</v>
      </c>
      <c r="O250" s="5">
        <f>N250*PARAMS_MODELO!$B$11</f>
        <v>9.9849999999999994</v>
      </c>
      <c r="P250" s="5">
        <f>IFERROR(VLOOKUP(A250,DIGITAL!$A$2:$J$2000,7,0),100)</f>
        <v>13</v>
      </c>
      <c r="Q250" s="5">
        <f>IFERROR(P250,0)*PARAMS_MODELO!$B$12</f>
        <v>1.3</v>
      </c>
      <c r="R250">
        <f t="shared" si="75"/>
        <v>84.212467729936336</v>
      </c>
      <c r="S250" s="5" t="str">
        <f>IFERROR(VLOOKUP(A250,CLIENTE!$A$2:$N$2000,13,0),1)</f>
        <v>Regular</v>
      </c>
      <c r="T250" s="5">
        <f>IFERROR(VLOOKUP(A250,CLIENTE!$A$2:$N$2000,14,0),1)</f>
        <v>1</v>
      </c>
      <c r="U250" s="5">
        <f t="shared" si="76"/>
        <v>84.212467729936336</v>
      </c>
      <c r="V250" s="5" t="str">
        <f>IF(U250&gt;=MAX(_xlfn.PERCENTILE.INC($U$2:$U$1194,PARAMS_MODELO!$B$50),PARAMS_MODELO!$B$45),"DIAMANTE",IF(U250&gt;=MAX(_xlfn.PERCENTILE.INC($U$2:$U$1194,PARAMS_MODELO!$B$51),PARAMS_MODELO!$B$46),"PLATINO",IF(U250&gt;=MAX(_xlfn.PERCENTILE.INC($U$2:$U$1194,PARAMS_MODELO!$B$52),PARAMS_MODELO!$B$47),"ORO",IF(U250&gt;=MAX(_xlfn.PERCENTILE.INC($U$2:$U$1194,PARAMS_MODELO!$B$53),PARAMS_MODELO!$B$48),"PLATA",IF(U250&gt;=1,"BRONCE","CERRADO")))))</f>
        <v>ORO</v>
      </c>
      <c r="W250" s="5" t="str" cm="1">
        <f t="array" ref="W250">_xlfn.XLOOKUP(1, (HIST_SCORE!$B:$B=PARAMS_MODELO!$B$4) * (HIST_SCORE!$C:$C=A250), HIST_SCORE!$E:$E, "No encontrado")</f>
        <v>ORO</v>
      </c>
      <c r="X250" s="5" t="str">
        <f>_xlfn.LET(_xlpm.act,MATCH(V250,{"DIAMANTE";"PLATINO";"ORO";"PLATA";"BRONCE";"CERRADO"},0),_xlpm.ant,MATCH(W250,{"DIAMANTE";"PLATINO";"ORO";"PLATA";"BRONCE";"CERRADO"},0),IF(_xlpm.act&lt;_xlpm.ant,"Mejora ↑",IF(_xlpm.act&gt;_xlpm.ant,"Baja ↓","Estable →")))</f>
        <v>Estable →</v>
      </c>
      <c r="Y250" s="5">
        <f>IFERROR(U250-SUMIFS(HIST_SCORE!$D:$D,HIST_SCORE!$B:$B,PARAMS_MODELO!$B$4,HIST_SCORE!$C:$C,$A250),"")</f>
        <v>0.57403645843962181</v>
      </c>
      <c r="Z250" s="5" t="str">
        <f t="shared" si="77"/>
        <v>→ Estable</v>
      </c>
      <c r="AA250" s="5">
        <f t="shared" si="78"/>
        <v>311</v>
      </c>
      <c r="AB250" s="5">
        <f>IFERROR(SUMIFS(HIST_SCORE!$F:$F,HIST_SCORE!$B:$B,PARAMS_MODELO!$B$4,HIST_SCORE!$C:$C,$A250),"")</f>
        <v>300</v>
      </c>
      <c r="AC250" s="5">
        <f t="shared" si="79"/>
        <v>-11</v>
      </c>
      <c r="AD250" t="str">
        <f t="shared" si="81"/>
        <v/>
      </c>
      <c r="AE2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250="CERRADO",1,IF(V250="BRONCE",_xlpm.cPl,IF(V250="PLATA",_xlpm.cO,IF(V250="ORO",_xlpm.cP,IF(V250="PLATINO",_xlpm.cD,999))))))</f>
        <v>86.439123873763251</v>
      </c>
      <c r="AF2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250="CERRADO",0,IF(V250="BRONCE",1,IF(V250="PLATA",_xlpm.cPl,IF(V250="ORO",_xlpm.cO,IF(V250="PLATINO",_xlpm.cP,_xlpm.cD))))))</f>
        <v>63.199193273331495</v>
      </c>
      <c r="AG250">
        <f t="shared" si="82"/>
        <v>2.226656143826915</v>
      </c>
      <c r="AH250" t="str">
        <f t="shared" si="83"/>
        <v>VENTAS</v>
      </c>
      <c r="AI250" t="str">
        <f t="shared" si="80"/>
        <v>🎯 Para subir de categoría, eje VENTAS / IMPACTO ABSOLUTO (H). Acción: metas semanales + activación comercial + seguimiento del asesor. ΔR aprox: 2,2</v>
      </c>
      <c r="AJ250" s="26">
        <f>_xlfn.LET(_xlpm.piso,AF250,_xlpm.corte,AE250,_xlpm.prog,IF(_xlpm.corte&lt;=_xlpm.piso,0,MAX(0,MIN(1,(U250-_xlpm.piso)/(_xlpm.corte-_xlpm.piso)))),_xlpm.orden,{"DIAMANTE";"PLATINO";"ORO";"PLATA";"BRONCE";"CERRADO"},_xlpm.act,IFERROR(MATCH(V250,_xlpm.orden,0),6),_xlpm.ant,IFERROR(MATCH(W250,_xlpm.orden,0),6),_xlpm.ajmov,IF(_xlpm.act&lt;_xlpm.ant,0.08,IF(_xlpm.act&gt;_xlpm.ant,-0.08,0)),_xlpm.ajcli,IF(T250&lt;0.95,-0.06,0),_xlpm.prob,MAX(0,MIN(1,_xlpm.prog+_xlpm.ajmov+_xlpm.ajcli)),IF(OR(V250="DIAMANTE",V250="CERRADO"),0,ROUND(_xlpm.prob,2)))</f>
        <v>0.9</v>
      </c>
      <c r="AK250" t="str">
        <f t="shared" si="84"/>
        <v>Faltan 2,2 puntos base para subir a la siguiente categoría</v>
      </c>
      <c r="AL250" t="str">
        <f t="shared" si="85"/>
        <v>Margen de seguridad: 21,0 puntos</v>
      </c>
      <c r="AM250">
        <f t="shared" si="86"/>
        <v>0.13</v>
      </c>
      <c r="AN250" t="str">
        <f t="shared" si="87"/>
        <v>PRIORIDAD BAJA – control normal</v>
      </c>
      <c r="AO250">
        <f t="shared" si="88"/>
        <v>6.8271192724132916</v>
      </c>
      <c r="AP250">
        <f t="shared" si="89"/>
        <v>0.10798227294595009</v>
      </c>
      <c r="AQ250">
        <f t="shared" si="90"/>
        <v>1.5000000000000568E-2</v>
      </c>
      <c r="AR250">
        <f t="shared" si="91"/>
        <v>8.6999999999999993</v>
      </c>
      <c r="AS250">
        <f t="shared" si="92"/>
        <v>0</v>
      </c>
      <c r="AT250" t="str">
        <f t="shared" si="93"/>
        <v>DIGITAL</v>
      </c>
      <c r="AU250">
        <f t="shared" si="94"/>
        <v>8.6999999999999993</v>
      </c>
      <c r="AV250" t="str">
        <f t="shared" si="95"/>
        <v>Mayor retorno probable: DIGITAL (+8,7 puntos finales potenciales).</v>
      </c>
    </row>
    <row r="251" spans="1:48" x14ac:dyDescent="0.3">
      <c r="A251" s="5">
        <v>51031741</v>
      </c>
      <c r="B251" s="5" t="str">
        <f>IFERROR(VLOOKUP(A251,VENTAS!$A$2:$B$1194,2,0),"")</f>
        <v>NELLI</v>
      </c>
      <c r="C251" s="5">
        <f>IFERROR(INDEX(VENTAS!$C$2:$E$1194,MATCH(A251,VENTAS!$A$2:$A$1194,0),MATCH(PARAMS_MODELO!$B$2,{"Q1","Q2","Q3"},0)),0)</f>
        <v>81642879.060000002</v>
      </c>
      <c r="D251" s="5">
        <f>IFERROR(INDEX(VENTAS!$F$2:$H$1194,MATCH(A251,VENTAS!$A$2:$A$1194,0),MATCH(PARAMS_MODELO!$B$2,{"Q1","Q2","Q3"},0)),0)</f>
        <v>112721764</v>
      </c>
      <c r="E251" s="8">
        <f t="shared" si="72"/>
        <v>0.38066865472933498</v>
      </c>
      <c r="F251" s="12">
        <f>IF(E251&lt;=PARAMS_MODELO!$B$15,0,IF(E251&gt;=PARAMS_MODELO!$B$17,100,100*MIN(1,(E251-PARAMS_MODELO!$B$15)/(PARAMS_MODELO!$B$16-PARAMS_MODELO!$B$15))))*PARAMS_MODELO!$B$7</f>
        <v>35</v>
      </c>
      <c r="G251" s="5">
        <f t="shared" si="73"/>
        <v>31078884.939999998</v>
      </c>
      <c r="H251" s="5">
        <f>(PARAMS_MODELO!$B$20*(MAX(0,MIN(3,E251))/3)+PARAMS_MODELO!$B$21*(IFERROR(LN(1+MAX(0,G251))/LN(1+MAX(0,MAX($G$2:$G$1194))),0)))*100*PARAMS_MODELO!$B$8</f>
        <v>5.3764591393531358</v>
      </c>
      <c r="I251" s="8">
        <f>E251-PARAMS_MODELO!$B$5</f>
        <v>0.20310581935380845</v>
      </c>
      <c r="J251" s="5">
        <f>IF(I251&lt;=PARAMS_MODELO!$B$18,0,IF(I251&gt;=PARAMS_MODELO!$B$19,100,100*(I251-PARAMS_MODELO!$B$18)/(PARAMS_MODELO!$B$19-PARAMS_MODELO!$B$18)))*PARAMS_MODELO!$B$9</f>
        <v>15</v>
      </c>
      <c r="K251" s="5">
        <f>IFERROR(CHOOSE(MATCH(PARAMS_MODELO!$B$2,{"Q1","Q2","Q3"},0),LOTO!$D251,LOTO!$F251,LOTO!$H251),0)</f>
        <v>5597500</v>
      </c>
      <c r="L251" s="8">
        <f t="shared" si="74"/>
        <v>4.9657668593617824E-2</v>
      </c>
      <c r="M251" s="5">
        <f>MIN(100,IF(PARAMS_MODELO!$B$23=0,0,100*L251/PARAMS_MODELO!$B$23))*PARAMS_MODELO!$B$10</f>
        <v>14.897300578085346</v>
      </c>
      <c r="N251" s="5">
        <f>IFERROR(VLOOKUP(A251,COMPLIANCE!$A$2:$F$1996,6,0),100)</f>
        <v>100</v>
      </c>
      <c r="O251" s="5">
        <f>N251*PARAMS_MODELO!$B$11</f>
        <v>10</v>
      </c>
      <c r="P251" s="5">
        <f>IFERROR(VLOOKUP(A251,DIGITAL!$A$2:$J$2000,7,0),100)</f>
        <v>44</v>
      </c>
      <c r="Q251" s="5">
        <f>IFERROR(P251,0)*PARAMS_MODELO!$B$12</f>
        <v>4.4000000000000004</v>
      </c>
      <c r="R251">
        <f t="shared" si="75"/>
        <v>84.673759717438486</v>
      </c>
      <c r="S251" s="5" t="str">
        <f>IFERROR(VLOOKUP(A251,CLIENTE!$A$2:$N$2000,13,0),1)</f>
        <v>Regular</v>
      </c>
      <c r="T251" s="5">
        <f>IFERROR(VLOOKUP(A251,CLIENTE!$A$2:$N$2000,14,0),1)</f>
        <v>1</v>
      </c>
      <c r="U251" s="5">
        <f t="shared" si="76"/>
        <v>84.673759717438486</v>
      </c>
      <c r="V251" s="5" t="str">
        <f>IF(U251&gt;=MAX(_xlfn.PERCENTILE.INC($U$2:$U$1194,PARAMS_MODELO!$B$50),PARAMS_MODELO!$B$45),"DIAMANTE",IF(U251&gt;=MAX(_xlfn.PERCENTILE.INC($U$2:$U$1194,PARAMS_MODELO!$B$51),PARAMS_MODELO!$B$46),"PLATINO",IF(U251&gt;=MAX(_xlfn.PERCENTILE.INC($U$2:$U$1194,PARAMS_MODELO!$B$52),PARAMS_MODELO!$B$47),"ORO",IF(U251&gt;=MAX(_xlfn.PERCENTILE.INC($U$2:$U$1194,PARAMS_MODELO!$B$53),PARAMS_MODELO!$B$48),"PLATA",IF(U251&gt;=1,"BRONCE","CERRADO")))))</f>
        <v>ORO</v>
      </c>
      <c r="W251" s="5" t="str" cm="1">
        <f t="array" ref="W251">_xlfn.XLOOKUP(1, (HIST_SCORE!$B:$B=PARAMS_MODELO!$B$4) * (HIST_SCORE!$C:$C=A251), HIST_SCORE!$E:$E, "No encontrado")</f>
        <v>ORO</v>
      </c>
      <c r="X251" s="5" t="str">
        <f>_xlfn.LET(_xlpm.act,MATCH(V251,{"DIAMANTE";"PLATINO";"ORO";"PLATA";"BRONCE";"CERRADO"},0),_xlpm.ant,MATCH(W251,{"DIAMANTE";"PLATINO";"ORO";"PLATA";"BRONCE";"CERRADO"},0),IF(_xlpm.act&lt;_xlpm.ant,"Mejora ↑",IF(_xlpm.act&gt;_xlpm.ant,"Baja ↓","Estable →")))</f>
        <v>Estable →</v>
      </c>
      <c r="Y251" s="5">
        <f>IFERROR(U251-SUMIFS(HIST_SCORE!$D:$D,HIST_SCORE!$B:$B,PARAMS_MODELO!$B$4,HIST_SCORE!$C:$C,$A251),"")</f>
        <v>2.0447035470312187</v>
      </c>
      <c r="Z251" s="5" t="str">
        <f t="shared" si="77"/>
        <v>→ Estable</v>
      </c>
      <c r="AA251" s="5">
        <f t="shared" si="78"/>
        <v>293</v>
      </c>
      <c r="AB251" s="5">
        <f>IFERROR(SUMIFS(HIST_SCORE!$F:$F,HIST_SCORE!$B:$B,PARAMS_MODELO!$B$4,HIST_SCORE!$C:$C,$A251),"")</f>
        <v>344</v>
      </c>
      <c r="AC251" s="5">
        <f t="shared" si="79"/>
        <v>51</v>
      </c>
      <c r="AD251" t="str">
        <f t="shared" si="81"/>
        <v/>
      </c>
      <c r="AE2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251="CERRADO",1,IF(V251="BRONCE",_xlpm.cPl,IF(V251="PLATA",_xlpm.cO,IF(V251="ORO",_xlpm.cP,IF(V251="PLATINO",_xlpm.cD,999))))))</f>
        <v>86.439123873763251</v>
      </c>
      <c r="AF2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251="CERRADO",0,IF(V251="BRONCE",1,IF(V251="PLATA",_xlpm.cPl,IF(V251="ORO",_xlpm.cO,IF(V251="PLATINO",_xlpm.cP,_xlpm.cD))))))</f>
        <v>63.199193273331495</v>
      </c>
      <c r="AG251">
        <f t="shared" si="82"/>
        <v>1.7653641563247646</v>
      </c>
      <c r="AH251" t="str">
        <f t="shared" si="83"/>
        <v>VENTAS</v>
      </c>
      <c r="AI251" t="str">
        <f t="shared" si="80"/>
        <v>🎯 Para subir de categoría, eje VENTAS / IMPACTO ABSOLUTO (H). Acción: metas semanales + activación comercial + seguimiento del asesor. ΔR aprox: 1,8</v>
      </c>
      <c r="AJ251" s="26">
        <f>_xlfn.LET(_xlpm.piso,AF251,_xlpm.corte,AE251,_xlpm.prog,IF(_xlpm.corte&lt;=_xlpm.piso,0,MAX(0,MIN(1,(U251-_xlpm.piso)/(_xlpm.corte-_xlpm.piso)))),_xlpm.orden,{"DIAMANTE";"PLATINO";"ORO";"PLATA";"BRONCE";"CERRADO"},_xlpm.act,IFERROR(MATCH(V251,_xlpm.orden,0),6),_xlpm.ant,IFERROR(MATCH(W251,_xlpm.orden,0),6),_xlpm.ajmov,IF(_xlpm.act&lt;_xlpm.ant,0.08,IF(_xlpm.act&gt;_xlpm.ant,-0.08,0)),_xlpm.ajcli,IF(T251&lt;0.95,-0.06,0),_xlpm.prob,MAX(0,MIN(1,_xlpm.prog+_xlpm.ajmov+_xlpm.ajcli)),IF(OR(V251="DIAMANTE",V251="CERRADO"),0,ROUND(_xlpm.prob,2)))</f>
        <v>0.92</v>
      </c>
      <c r="AK251" t="str">
        <f t="shared" si="84"/>
        <v>Faltan 1,8 puntos base para subir a la siguiente categoría</v>
      </c>
      <c r="AL251" t="str">
        <f t="shared" si="85"/>
        <v>Margen de seguridad: 21,5 puntos</v>
      </c>
      <c r="AM251">
        <f t="shared" si="86"/>
        <v>0.1</v>
      </c>
      <c r="AN251" t="str">
        <f t="shared" si="87"/>
        <v>PRIORIDAD BAJA – control normal</v>
      </c>
      <c r="AO251">
        <f t="shared" si="88"/>
        <v>9.4861101359424467</v>
      </c>
      <c r="AP251">
        <f t="shared" si="89"/>
        <v>0.10269942191465375</v>
      </c>
      <c r="AQ251">
        <f t="shared" si="90"/>
        <v>0</v>
      </c>
      <c r="AR251">
        <f t="shared" si="91"/>
        <v>5.6</v>
      </c>
      <c r="AS251">
        <f t="shared" si="92"/>
        <v>0</v>
      </c>
      <c r="AT251" t="str">
        <f t="shared" si="93"/>
        <v>VENTAS</v>
      </c>
      <c r="AU251">
        <f t="shared" si="94"/>
        <v>9.4861101359424467</v>
      </c>
      <c r="AV251" t="str">
        <f t="shared" si="95"/>
        <v>Mayor retorno probable: VENTAS (+9,5 puntos finales potenciales).</v>
      </c>
    </row>
    <row r="252" spans="1:48" x14ac:dyDescent="0.3">
      <c r="A252" s="5">
        <v>51056469</v>
      </c>
      <c r="B252" s="5" t="str">
        <f>IFERROR(VLOOKUP(A252,VENTAS!$A$2:$B$1194,2,0),"")</f>
        <v>ROBERTS</v>
      </c>
      <c r="C252" s="5">
        <f>IFERROR(INDEX(VENTAS!$C$2:$E$1194,MATCH(A252,VENTAS!$A$2:$A$1194,0),MATCH(PARAMS_MODELO!$B$2,{"Q1","Q2","Q3"},0)),0)</f>
        <v>71885905</v>
      </c>
      <c r="D252" s="5">
        <f>IFERROR(INDEX(VENTAS!$F$2:$H$1194,MATCH(A252,VENTAS!$A$2:$A$1194,0),MATCH(PARAMS_MODELO!$B$2,{"Q1","Q2","Q3"},0)),0)</f>
        <v>112655272</v>
      </c>
      <c r="E252" s="8">
        <f t="shared" si="72"/>
        <v>0.56713992819593773</v>
      </c>
      <c r="F252" s="12">
        <f>IF(E252&lt;=PARAMS_MODELO!$B$15,0,IF(E252&gt;=PARAMS_MODELO!$B$17,100,100*MIN(1,(E252-PARAMS_MODELO!$B$15)/(PARAMS_MODELO!$B$16-PARAMS_MODELO!$B$15))))*PARAMS_MODELO!$B$7</f>
        <v>35</v>
      </c>
      <c r="G252" s="5">
        <f t="shared" si="73"/>
        <v>40769367</v>
      </c>
      <c r="H252" s="5">
        <f>(PARAMS_MODELO!$B$20*(MAX(0,MIN(3,E252))/3)+PARAMS_MODELO!$B$21*(IFERROR(LN(1+MAX(0,G252))/LN(1+MAX(0,MAX($G$2:$G$1194))),0)))*100*PARAMS_MODELO!$B$8</f>
        <v>6.0927290928163824</v>
      </c>
      <c r="I252" s="8">
        <f>E252-PARAMS_MODELO!$B$5</f>
        <v>0.3895770928204112</v>
      </c>
      <c r="J252" s="5">
        <f>IF(I252&lt;=PARAMS_MODELO!$B$18,0,IF(I252&gt;=PARAMS_MODELO!$B$19,100,100*(I252-PARAMS_MODELO!$B$18)/(PARAMS_MODELO!$B$19-PARAMS_MODELO!$B$18)))*PARAMS_MODELO!$B$9</f>
        <v>15</v>
      </c>
      <c r="K252" s="5">
        <f>IFERROR(CHOOSE(MATCH(PARAMS_MODELO!$B$2,{"Q1","Q2","Q3"},0),LOTO!$D252,LOTO!$F252,LOTO!$H252),0)</f>
        <v>5587500</v>
      </c>
      <c r="L252" s="8">
        <f t="shared" si="74"/>
        <v>4.9598211435679634E-2</v>
      </c>
      <c r="M252" s="5">
        <f>MIN(100,IF(PARAMS_MODELO!$B$23=0,0,100*L252/PARAMS_MODELO!$B$23))*PARAMS_MODELO!$B$10</f>
        <v>14.879463430703888</v>
      </c>
      <c r="N252" s="5">
        <f>IFERROR(VLOOKUP(A252,COMPLIANCE!$A$2:$F$1996,6,0),100)</f>
        <v>100</v>
      </c>
      <c r="O252" s="5">
        <f>N252*PARAMS_MODELO!$B$11</f>
        <v>10</v>
      </c>
      <c r="P252" s="5">
        <f>IFERROR(VLOOKUP(A252,DIGITAL!$A$2:$J$2000,7,0),100)</f>
        <v>53</v>
      </c>
      <c r="Q252" s="5">
        <f>IFERROR(P252,0)*PARAMS_MODELO!$B$12</f>
        <v>5.3000000000000007</v>
      </c>
      <c r="R252">
        <f t="shared" si="75"/>
        <v>86.272192523520275</v>
      </c>
      <c r="S252" s="5" t="str">
        <f>IFERROR(VLOOKUP(A252,CLIENTE!$A$2:$N$2000,13,0),1)</f>
        <v>Regular</v>
      </c>
      <c r="T252" s="5">
        <f>IFERROR(VLOOKUP(A252,CLIENTE!$A$2:$N$2000,14,0),1)</f>
        <v>1</v>
      </c>
      <c r="U252" s="5">
        <f t="shared" si="76"/>
        <v>86.272192523520275</v>
      </c>
      <c r="V252" s="5" t="str">
        <f>IF(U252&gt;=MAX(_xlfn.PERCENTILE.INC($U$2:$U$1194,PARAMS_MODELO!$B$50),PARAMS_MODELO!$B$45),"DIAMANTE",IF(U252&gt;=MAX(_xlfn.PERCENTILE.INC($U$2:$U$1194,PARAMS_MODELO!$B$51),PARAMS_MODELO!$B$46),"PLATINO",IF(U252&gt;=MAX(_xlfn.PERCENTILE.INC($U$2:$U$1194,PARAMS_MODELO!$B$52),PARAMS_MODELO!$B$47),"ORO",IF(U252&gt;=MAX(_xlfn.PERCENTILE.INC($U$2:$U$1194,PARAMS_MODELO!$B$53),PARAMS_MODELO!$B$48),"PLATA",IF(U252&gt;=1,"BRONCE","CERRADO")))))</f>
        <v>ORO</v>
      </c>
      <c r="W252" s="5" t="str" cm="1">
        <f t="array" ref="W252">_xlfn.XLOOKUP(1, (HIST_SCORE!$B:$B=PARAMS_MODELO!$B$4) * (HIST_SCORE!$C:$C=A252), HIST_SCORE!$E:$E, "No encontrado")</f>
        <v>ORO</v>
      </c>
      <c r="X252" s="5" t="str">
        <f>_xlfn.LET(_xlpm.act,MATCH(V252,{"DIAMANTE";"PLATINO";"ORO";"PLATA";"BRONCE";"CERRADO"},0),_xlpm.ant,MATCH(W252,{"DIAMANTE";"PLATINO";"ORO";"PLATA";"BRONCE";"CERRADO"},0),IF(_xlpm.act&lt;_xlpm.ant,"Mejora ↑",IF(_xlpm.act&gt;_xlpm.ant,"Baja ↓","Estable →")))</f>
        <v>Estable →</v>
      </c>
      <c r="Y252" s="5">
        <f>IFERROR(U252-SUMIFS(HIST_SCORE!$D:$D,HIST_SCORE!$B:$B,PARAMS_MODELO!$B$4,HIST_SCORE!$C:$C,$A252),"")</f>
        <v>2.2843862830329442</v>
      </c>
      <c r="Z252" s="5" t="str">
        <f t="shared" si="77"/>
        <v>→ Estable</v>
      </c>
      <c r="AA252" s="5">
        <f t="shared" si="78"/>
        <v>244</v>
      </c>
      <c r="AB252" s="5">
        <f>IFERROR(SUMIFS(HIST_SCORE!$F:$F,HIST_SCORE!$B:$B,PARAMS_MODELO!$B$4,HIST_SCORE!$C:$C,$A252),"")</f>
        <v>291</v>
      </c>
      <c r="AC252" s="5">
        <f t="shared" si="79"/>
        <v>47</v>
      </c>
      <c r="AD252" t="str">
        <f t="shared" si="81"/>
        <v/>
      </c>
      <c r="AE2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252="CERRADO",1,IF(V252="BRONCE",_xlpm.cPl,IF(V252="PLATA",_xlpm.cO,IF(V252="ORO",_xlpm.cP,IF(V252="PLATINO",_xlpm.cD,999))))))</f>
        <v>86.439123873763251</v>
      </c>
      <c r="AF2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252="CERRADO",0,IF(V252="BRONCE",1,IF(V252="PLATA",_xlpm.cPl,IF(V252="ORO",_xlpm.cO,IF(V252="PLATINO",_xlpm.cP,_xlpm.cD))))))</f>
        <v>63.199193273331495</v>
      </c>
      <c r="AG252">
        <f t="shared" si="82"/>
        <v>0.1669313502429759</v>
      </c>
      <c r="AH252" t="str">
        <f t="shared" si="83"/>
        <v>VENTAS</v>
      </c>
      <c r="AI252" t="str">
        <f t="shared" si="80"/>
        <v>🎯 Para subir de categoría, eje VENTAS / IMPACTO ABSOLUTO (H). Acción: metas semanales + activación comercial + seguimiento del asesor. ΔR aprox: 0,2</v>
      </c>
      <c r="AJ252" s="26">
        <f>_xlfn.LET(_xlpm.piso,AF252,_xlpm.corte,AE252,_xlpm.prog,IF(_xlpm.corte&lt;=_xlpm.piso,0,MAX(0,MIN(1,(U252-_xlpm.piso)/(_xlpm.corte-_xlpm.piso)))),_xlpm.orden,{"DIAMANTE";"PLATINO";"ORO";"PLATA";"BRONCE";"CERRADO"},_xlpm.act,IFERROR(MATCH(V252,_xlpm.orden,0),6),_xlpm.ant,IFERROR(MATCH(W252,_xlpm.orden,0),6),_xlpm.ajmov,IF(_xlpm.act&lt;_xlpm.ant,0.08,IF(_xlpm.act&gt;_xlpm.ant,-0.08,0)),_xlpm.ajcli,IF(T252&lt;0.95,-0.06,0),_xlpm.prob,MAX(0,MIN(1,_xlpm.prog+_xlpm.ajmov+_xlpm.ajcli)),IF(OR(V252="DIAMANTE",V252="CERRADO"),0,ROUND(_xlpm.prob,2)))</f>
        <v>0.99</v>
      </c>
      <c r="AK252" t="str">
        <f t="shared" si="84"/>
        <v>Faltan 0,2 puntos base para subir a la siguiente categoría</v>
      </c>
      <c r="AL252" t="str">
        <f t="shared" si="85"/>
        <v>Margen de seguridad: 23,1 puntos</v>
      </c>
      <c r="AM252">
        <f t="shared" si="86"/>
        <v>0.01</v>
      </c>
      <c r="AN252" t="str">
        <f t="shared" si="87"/>
        <v>PRIORIDAD BAJA – control normal</v>
      </c>
      <c r="AO252">
        <f t="shared" si="88"/>
        <v>8.7698401824792001</v>
      </c>
      <c r="AP252">
        <f t="shared" si="89"/>
        <v>0.12053656929611201</v>
      </c>
      <c r="AQ252">
        <f t="shared" si="90"/>
        <v>0</v>
      </c>
      <c r="AR252">
        <f t="shared" si="91"/>
        <v>4.6999999999999993</v>
      </c>
      <c r="AS252">
        <f t="shared" si="92"/>
        <v>0</v>
      </c>
      <c r="AT252" t="str">
        <f t="shared" si="93"/>
        <v>VENTAS</v>
      </c>
      <c r="AU252">
        <f t="shared" si="94"/>
        <v>8.7698401824792001</v>
      </c>
      <c r="AV252" t="str">
        <f t="shared" si="95"/>
        <v>Mayor retorno probable: VENTAS (+8,8 puntos finales potenciales).</v>
      </c>
    </row>
    <row r="253" spans="1:48" x14ac:dyDescent="0.3">
      <c r="A253" s="5">
        <v>51031130</v>
      </c>
      <c r="B253" s="5" t="str">
        <f>IFERROR(VLOOKUP(A253,VENTAS!$A$2:$B$1194,2,0),"")</f>
        <v>METTLER</v>
      </c>
      <c r="C253" s="5">
        <f>IFERROR(INDEX(VENTAS!$C$2:$E$1194,MATCH(A253,VENTAS!$A$2:$A$1194,0),MATCH(PARAMS_MODELO!$B$2,{"Q1","Q2","Q3"},0)),0)</f>
        <v>82820033.479999989</v>
      </c>
      <c r="D253" s="5">
        <f>IFERROR(INDEX(VENTAS!$F$2:$H$1194,MATCH(A253,VENTAS!$A$2:$A$1194,0),MATCH(PARAMS_MODELO!$B$2,{"Q1","Q2","Q3"},0)),0)</f>
        <v>112529053</v>
      </c>
      <c r="E253" s="8">
        <f t="shared" si="72"/>
        <v>0.35871779171852625</v>
      </c>
      <c r="F253" s="12">
        <f>IF(E253&lt;=PARAMS_MODELO!$B$15,0,IF(E253&gt;=PARAMS_MODELO!$B$17,100,100*MIN(1,(E253-PARAMS_MODELO!$B$15)/(PARAMS_MODELO!$B$16-PARAMS_MODELO!$B$15))))*PARAMS_MODELO!$B$7</f>
        <v>35</v>
      </c>
      <c r="G253" s="5">
        <f t="shared" si="73"/>
        <v>29709019.520000011</v>
      </c>
      <c r="H253" s="5">
        <f>(PARAMS_MODELO!$B$20*(MAX(0,MIN(3,E253))/3)+PARAMS_MODELO!$B$21*(IFERROR(LN(1+MAX(0,G253))/LN(1+MAX(0,MAX($G$2:$G$1194))),0)))*100*PARAMS_MODELO!$B$8</f>
        <v>5.2890642158981951</v>
      </c>
      <c r="I253" s="8">
        <f>E253-PARAMS_MODELO!$B$5</f>
        <v>0.18115495634299972</v>
      </c>
      <c r="J253" s="5">
        <f>IF(I253&lt;=PARAMS_MODELO!$B$18,0,IF(I253&gt;=PARAMS_MODELO!$B$19,100,100*(I253-PARAMS_MODELO!$B$18)/(PARAMS_MODELO!$B$19-PARAMS_MODELO!$B$18)))*PARAMS_MODELO!$B$9</f>
        <v>15</v>
      </c>
      <c r="K253" s="5">
        <f>IFERROR(CHOOSE(MATCH(PARAMS_MODELO!$B$2,{"Q1","Q2","Q3"},0),LOTO!$D253,LOTO!$F253,LOTO!$H253),0)</f>
        <v>5580000</v>
      </c>
      <c r="L253" s="8">
        <f t="shared" si="74"/>
        <v>4.9587194162204494E-2</v>
      </c>
      <c r="M253" s="5">
        <f>MIN(100,IF(PARAMS_MODELO!$B$23=0,0,100*L253/PARAMS_MODELO!$B$23))*PARAMS_MODELO!$B$10</f>
        <v>14.876158248661346</v>
      </c>
      <c r="N253" s="5">
        <f>IFERROR(VLOOKUP(A253,COMPLIANCE!$A$2:$F$1996,6,0),100)</f>
        <v>100</v>
      </c>
      <c r="O253" s="5">
        <f>N253*PARAMS_MODELO!$B$11</f>
        <v>10</v>
      </c>
      <c r="P253" s="5">
        <f>IFERROR(VLOOKUP(A253,DIGITAL!$A$2:$J$2000,7,0),100)</f>
        <v>38</v>
      </c>
      <c r="Q253" s="5">
        <f>IFERROR(P253,0)*PARAMS_MODELO!$B$12</f>
        <v>3.8000000000000003</v>
      </c>
      <c r="R253">
        <f t="shared" si="75"/>
        <v>83.965222464559531</v>
      </c>
      <c r="S253" s="5" t="str">
        <f>IFERROR(VLOOKUP(A253,CLIENTE!$A$2:$N$2000,13,0),1)</f>
        <v>Bueno</v>
      </c>
      <c r="T253" s="5">
        <f>IFERROR(VLOOKUP(A253,CLIENTE!$A$2:$N$2000,14,0),1)</f>
        <v>1.1000000000000001</v>
      </c>
      <c r="U253" s="5">
        <f t="shared" si="76"/>
        <v>92.36174471101549</v>
      </c>
      <c r="V253" s="5" t="str">
        <f>IF(U253&gt;=MAX(_xlfn.PERCENTILE.INC($U$2:$U$1194,PARAMS_MODELO!$B$50),PARAMS_MODELO!$B$45),"DIAMANTE",IF(U253&gt;=MAX(_xlfn.PERCENTILE.INC($U$2:$U$1194,PARAMS_MODELO!$B$51),PARAMS_MODELO!$B$46),"PLATINO",IF(U253&gt;=MAX(_xlfn.PERCENTILE.INC($U$2:$U$1194,PARAMS_MODELO!$B$52),PARAMS_MODELO!$B$47),"ORO",IF(U253&gt;=MAX(_xlfn.PERCENTILE.INC($U$2:$U$1194,PARAMS_MODELO!$B$53),PARAMS_MODELO!$B$48),"PLATA",IF(U253&gt;=1,"BRONCE","CERRADO")))))</f>
        <v>PLATINO</v>
      </c>
      <c r="W253" s="5" t="str" cm="1">
        <f t="array" ref="W253">_xlfn.XLOOKUP(1, (HIST_SCORE!$B:$B=PARAMS_MODELO!$B$4) * (HIST_SCORE!$C:$C=A253), HIST_SCORE!$E:$E, "No encontrado")</f>
        <v>PLATINO</v>
      </c>
      <c r="X253" s="5" t="str">
        <f>_xlfn.LET(_xlpm.act,MATCH(V253,{"DIAMANTE";"PLATINO";"ORO";"PLATA";"BRONCE";"CERRADO"},0),_xlpm.ant,MATCH(W253,{"DIAMANTE";"PLATINO";"ORO";"PLATA";"BRONCE";"CERRADO"},0),IF(_xlpm.act&lt;_xlpm.ant,"Mejora ↑",IF(_xlpm.act&gt;_xlpm.ant,"Baja ↓","Estable →")))</f>
        <v>Estable →</v>
      </c>
      <c r="Y253" s="5">
        <f>IFERROR(U253-SUMIFS(HIST_SCORE!$D:$D,HIST_SCORE!$B:$B,PARAMS_MODELO!$B$4,HIST_SCORE!$C:$C,$A253),"")</f>
        <v>0.61290180379830872</v>
      </c>
      <c r="Z253" s="5" t="str">
        <f t="shared" si="77"/>
        <v>→ Estable</v>
      </c>
      <c r="AA253" s="5">
        <f t="shared" si="78"/>
        <v>99</v>
      </c>
      <c r="AB253" s="5">
        <f>IFERROR(SUMIFS(HIST_SCORE!$F:$F,HIST_SCORE!$B:$B,PARAMS_MODELO!$B$4,HIST_SCORE!$C:$C,$A253),"")</f>
        <v>103</v>
      </c>
      <c r="AC253" s="5">
        <f t="shared" si="79"/>
        <v>4</v>
      </c>
      <c r="AD253" t="str">
        <f t="shared" si="81"/>
        <v/>
      </c>
      <c r="AE2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253="CERRADO",1,IF(V253="BRONCE",_xlpm.cPl,IF(V253="PLATA",_xlpm.cO,IF(V253="ORO",_xlpm.cP,IF(V253="PLATINO",_xlpm.cD,999))))))</f>
        <v>96.054919694466676</v>
      </c>
      <c r="AF2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253="CERRADO",0,IF(V253="BRONCE",1,IF(V253="PLATA",_xlpm.cPl,IF(V253="ORO",_xlpm.cO,IF(V253="PLATINO",_xlpm.cP,_xlpm.cD))))))</f>
        <v>86.439123873763251</v>
      </c>
      <c r="AG253">
        <f t="shared" si="82"/>
        <v>3.3574318031374446</v>
      </c>
      <c r="AH253" t="str">
        <f t="shared" si="83"/>
        <v>VENTAS</v>
      </c>
      <c r="AI253" t="str">
        <f t="shared" si="80"/>
        <v>🎯 Para subir de categoría, eje VENTAS / IMPACTO ABSOLUTO (H). Acción: metas semanales + activación comercial + seguimiento del asesor. ΔR aprox: 3,4</v>
      </c>
      <c r="AJ253" s="26">
        <f>_xlfn.LET(_xlpm.piso,AF253,_xlpm.corte,AE253,_xlpm.prog,IF(_xlpm.corte&lt;=_xlpm.piso,0,MAX(0,MIN(1,(U253-_xlpm.piso)/(_xlpm.corte-_xlpm.piso)))),_xlpm.orden,{"DIAMANTE";"PLATINO";"ORO";"PLATA";"BRONCE";"CERRADO"},_xlpm.act,IFERROR(MATCH(V253,_xlpm.orden,0),6),_xlpm.ant,IFERROR(MATCH(W253,_xlpm.orden,0),6),_xlpm.ajmov,IF(_xlpm.act&lt;_xlpm.ant,0.08,IF(_xlpm.act&gt;_xlpm.ant,-0.08,0)),_xlpm.ajcli,IF(T253&lt;0.95,-0.06,0),_xlpm.prob,MAX(0,MIN(1,_xlpm.prog+_xlpm.ajmov+_xlpm.ajcli)),IF(OR(V253="DIAMANTE",V253="CERRADO"),0,ROUND(_xlpm.prob,2)))</f>
        <v>0.62</v>
      </c>
      <c r="AK253" t="str">
        <f t="shared" si="84"/>
        <v>Faltan 3,4 puntos base para subir a la siguiente categoría</v>
      </c>
      <c r="AL253" t="str">
        <f t="shared" si="85"/>
        <v>Margen de seguridad: 5,9 puntos</v>
      </c>
      <c r="AM253">
        <f t="shared" si="86"/>
        <v>0.28999999999999998</v>
      </c>
      <c r="AN253" t="str">
        <f t="shared" si="87"/>
        <v>PRIORIDAD BAJA – control normal</v>
      </c>
      <c r="AO253">
        <f t="shared" si="88"/>
        <v>10.530855565337131</v>
      </c>
      <c r="AP253">
        <f t="shared" si="89"/>
        <v>0.13622592647251947</v>
      </c>
      <c r="AQ253">
        <f t="shared" si="90"/>
        <v>0</v>
      </c>
      <c r="AR253">
        <f t="shared" si="91"/>
        <v>6.8199999999999994</v>
      </c>
      <c r="AS253">
        <f t="shared" si="92"/>
        <v>0</v>
      </c>
      <c r="AT253" t="str">
        <f t="shared" si="93"/>
        <v>VENTAS</v>
      </c>
      <c r="AU253">
        <f t="shared" si="94"/>
        <v>10.530855565337131</v>
      </c>
      <c r="AV253" t="str">
        <f t="shared" si="95"/>
        <v>Mayor retorno probable: VENTAS (+10,5 puntos finales potenciales).</v>
      </c>
    </row>
    <row r="254" spans="1:48" x14ac:dyDescent="0.3">
      <c r="A254" s="5">
        <v>51014855</v>
      </c>
      <c r="B254" s="5" t="str">
        <f>IFERROR(VLOOKUP(A254,VENTAS!$A$2:$B$1194,2,0),"")</f>
        <v>PRADES</v>
      </c>
      <c r="C254" s="5">
        <f>IFERROR(INDEX(VENTAS!$C$2:$E$1194,MATCH(A254,VENTAS!$A$2:$A$1194,0),MATCH(PARAMS_MODELO!$B$2,{"Q1","Q2","Q3"},0)),0)</f>
        <v>85256281.5</v>
      </c>
      <c r="D254" s="5">
        <f>IFERROR(INDEX(VENTAS!$F$2:$H$1194,MATCH(A254,VENTAS!$A$2:$A$1194,0),MATCH(PARAMS_MODELO!$B$2,{"Q1","Q2","Q3"},0)),0)</f>
        <v>112478312</v>
      </c>
      <c r="E254" s="8">
        <f t="shared" si="72"/>
        <v>0.31929647905181047</v>
      </c>
      <c r="F254" s="12">
        <f>IF(E254&lt;=PARAMS_MODELO!$B$15,0,IF(E254&gt;=PARAMS_MODELO!$B$17,100,100*MIN(1,(E254-PARAMS_MODELO!$B$15)/(PARAMS_MODELO!$B$16-PARAMS_MODELO!$B$15))))*PARAMS_MODELO!$B$7</f>
        <v>35</v>
      </c>
      <c r="G254" s="5">
        <f t="shared" si="73"/>
        <v>27222030.5</v>
      </c>
      <c r="H254" s="5">
        <f>(PARAMS_MODELO!$B$20*(MAX(0,MIN(3,E254))/3)+PARAMS_MODELO!$B$21*(IFERROR(LN(1+MAX(0,G254))/LN(1+MAX(0,MAX($G$2:$G$1194))),0)))*100*PARAMS_MODELO!$B$8</f>
        <v>5.1305961934663546</v>
      </c>
      <c r="I254" s="8">
        <f>E254-PARAMS_MODELO!$B$5</f>
        <v>0.14173364367628394</v>
      </c>
      <c r="J254" s="5">
        <f>IF(I254&lt;=PARAMS_MODELO!$B$18,0,IF(I254&gt;=PARAMS_MODELO!$B$19,100,100*(I254-PARAMS_MODELO!$B$18)/(PARAMS_MODELO!$B$19-PARAMS_MODELO!$B$18)))*PARAMS_MODELO!$B$9</f>
        <v>15</v>
      </c>
      <c r="K254" s="5">
        <f>IFERROR(CHOOSE(MATCH(PARAMS_MODELO!$B$2,{"Q1","Q2","Q3"},0),LOTO!$D254,LOTO!$F254,LOTO!$H254),0)</f>
        <v>5577500</v>
      </c>
      <c r="L254" s="8">
        <f t="shared" si="74"/>
        <v>4.9587337334863278E-2</v>
      </c>
      <c r="M254" s="5">
        <f>MIN(100,IF(PARAMS_MODELO!$B$23=0,0,100*L254/PARAMS_MODELO!$B$23))*PARAMS_MODELO!$B$10</f>
        <v>14.876201200458983</v>
      </c>
      <c r="N254" s="5">
        <f>IFERROR(VLOOKUP(A254,COMPLIANCE!$A$2:$F$1996,6,0),100)</f>
        <v>99.9</v>
      </c>
      <c r="O254" s="5">
        <f>N254*PARAMS_MODELO!$B$11</f>
        <v>9.990000000000002</v>
      </c>
      <c r="P254" s="5">
        <f>IFERROR(VLOOKUP(A254,DIGITAL!$A$2:$J$2000,7,0),100)</f>
        <v>5</v>
      </c>
      <c r="Q254" s="5">
        <f>IFERROR(P254,0)*PARAMS_MODELO!$B$12</f>
        <v>0.5</v>
      </c>
      <c r="R254">
        <f t="shared" si="75"/>
        <v>80.496797393925334</v>
      </c>
      <c r="S254" s="5" t="str">
        <f>IFERROR(VLOOKUP(A254,CLIENTE!$A$2:$N$2000,13,0),1)</f>
        <v>Regular</v>
      </c>
      <c r="T254" s="5">
        <f>IFERROR(VLOOKUP(A254,CLIENTE!$A$2:$N$2000,14,0),1)</f>
        <v>1</v>
      </c>
      <c r="U254" s="5">
        <f t="shared" si="76"/>
        <v>80.496797393925334</v>
      </c>
      <c r="V254" s="5" t="str">
        <f>IF(U254&gt;=MAX(_xlfn.PERCENTILE.INC($U$2:$U$1194,PARAMS_MODELO!$B$50),PARAMS_MODELO!$B$45),"DIAMANTE",IF(U254&gt;=MAX(_xlfn.PERCENTILE.INC($U$2:$U$1194,PARAMS_MODELO!$B$51),PARAMS_MODELO!$B$46),"PLATINO",IF(U254&gt;=MAX(_xlfn.PERCENTILE.INC($U$2:$U$1194,PARAMS_MODELO!$B$52),PARAMS_MODELO!$B$47),"ORO",IF(U254&gt;=MAX(_xlfn.PERCENTILE.INC($U$2:$U$1194,PARAMS_MODELO!$B$53),PARAMS_MODELO!$B$48),"PLATA",IF(U254&gt;=1,"BRONCE","CERRADO")))))</f>
        <v>ORO</v>
      </c>
      <c r="W254" s="5" t="str" cm="1">
        <f t="array" ref="W254">_xlfn.XLOOKUP(1, (HIST_SCORE!$B:$B=PARAMS_MODELO!$B$4) * (HIST_SCORE!$C:$C=A254), HIST_SCORE!$E:$E, "No encontrado")</f>
        <v>ORO</v>
      </c>
      <c r="X254" s="5" t="str">
        <f>_xlfn.LET(_xlpm.act,MATCH(V254,{"DIAMANTE";"PLATINO";"ORO";"PLATA";"BRONCE";"CERRADO"},0),_xlpm.ant,MATCH(W254,{"DIAMANTE";"PLATINO";"ORO";"PLATA";"BRONCE";"CERRADO"},0),IF(_xlpm.act&lt;_xlpm.ant,"Mejora ↑",IF(_xlpm.act&gt;_xlpm.ant,"Baja ↓","Estable →")))</f>
        <v>Estable →</v>
      </c>
      <c r="Y254" s="5">
        <f>IFERROR(U254-SUMIFS(HIST_SCORE!$D:$D,HIST_SCORE!$B:$B,PARAMS_MODELO!$B$4,HIST_SCORE!$C:$C,$A254),"")</f>
        <v>5.9836490664396251</v>
      </c>
      <c r="Z254" s="5" t="str">
        <f t="shared" si="77"/>
        <v>↑ Mejora</v>
      </c>
      <c r="AA254" s="5">
        <f t="shared" si="78"/>
        <v>430</v>
      </c>
      <c r="AB254" s="5">
        <f>IFERROR(SUMIFS(HIST_SCORE!$F:$F,HIST_SCORE!$B:$B,PARAMS_MODELO!$B$4,HIST_SCORE!$C:$C,$A254),"")</f>
        <v>497</v>
      </c>
      <c r="AC254" s="5">
        <f t="shared" si="79"/>
        <v>67</v>
      </c>
      <c r="AD254" t="str">
        <f t="shared" si="81"/>
        <v/>
      </c>
      <c r="AE2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254="CERRADO",1,IF(V254="BRONCE",_xlpm.cPl,IF(V254="PLATA",_xlpm.cO,IF(V254="ORO",_xlpm.cP,IF(V254="PLATINO",_xlpm.cD,999))))))</f>
        <v>86.439123873763251</v>
      </c>
      <c r="AF2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254="CERRADO",0,IF(V254="BRONCE",1,IF(V254="PLATA",_xlpm.cPl,IF(V254="ORO",_xlpm.cO,IF(V254="PLATINO",_xlpm.cP,_xlpm.cD))))))</f>
        <v>63.199193273331495</v>
      </c>
      <c r="AG254">
        <f t="shared" si="82"/>
        <v>5.9423264798379165</v>
      </c>
      <c r="AH254" t="str">
        <f t="shared" si="83"/>
        <v>VENTAS</v>
      </c>
      <c r="AI254" t="str">
        <f t="shared" si="80"/>
        <v>🎯 Para subir de categoría, eje VENTAS / IMPACTO ABSOLUTO (H). Acción: metas semanales + activación comercial + seguimiento del asesor. ΔR aprox: 5,9</v>
      </c>
      <c r="AJ254" s="26">
        <f>_xlfn.LET(_xlpm.piso,AF254,_xlpm.corte,AE254,_xlpm.prog,IF(_xlpm.corte&lt;=_xlpm.piso,0,MAX(0,MIN(1,(U254-_xlpm.piso)/(_xlpm.corte-_xlpm.piso)))),_xlpm.orden,{"DIAMANTE";"PLATINO";"ORO";"PLATA";"BRONCE";"CERRADO"},_xlpm.act,IFERROR(MATCH(V254,_xlpm.orden,0),6),_xlpm.ant,IFERROR(MATCH(W254,_xlpm.orden,0),6),_xlpm.ajmov,IF(_xlpm.act&lt;_xlpm.ant,0.08,IF(_xlpm.act&gt;_xlpm.ant,-0.08,0)),_xlpm.ajcli,IF(T254&lt;0.95,-0.06,0),_xlpm.prob,MAX(0,MIN(1,_xlpm.prog+_xlpm.ajmov+_xlpm.ajcli)),IF(OR(V254="DIAMANTE",V254="CERRADO"),0,ROUND(_xlpm.prob,2)))</f>
        <v>0.74</v>
      </c>
      <c r="AK254" t="str">
        <f t="shared" si="84"/>
        <v>Faltan 5,9 puntos base para subir a la siguiente categoría</v>
      </c>
      <c r="AL254" t="str">
        <f t="shared" si="85"/>
        <v>Margen de seguridad: 17,3 puntos</v>
      </c>
      <c r="AM254">
        <f t="shared" si="86"/>
        <v>0.34</v>
      </c>
      <c r="AN254" t="str">
        <f t="shared" si="87"/>
        <v>PRIORIDAD BAJA – control normal</v>
      </c>
      <c r="AO254">
        <f t="shared" si="88"/>
        <v>9.7319730818292314</v>
      </c>
      <c r="AP254">
        <f t="shared" si="89"/>
        <v>0.12379879954101725</v>
      </c>
      <c r="AQ254">
        <f t="shared" si="90"/>
        <v>9.9999999999980105E-3</v>
      </c>
      <c r="AR254">
        <f t="shared" si="91"/>
        <v>9.5</v>
      </c>
      <c r="AS254">
        <f t="shared" si="92"/>
        <v>0</v>
      </c>
      <c r="AT254" t="str">
        <f t="shared" si="93"/>
        <v>VENTAS</v>
      </c>
      <c r="AU254">
        <f t="shared" si="94"/>
        <v>9.7319730818292314</v>
      </c>
      <c r="AV254" t="str">
        <f t="shared" si="95"/>
        <v>Mayor retorno probable: VENTAS (+9,7 puntos finales potenciales).</v>
      </c>
    </row>
    <row r="255" spans="1:48" x14ac:dyDescent="0.3">
      <c r="A255" s="5">
        <v>51055055</v>
      </c>
      <c r="B255" s="5" t="str">
        <f>IFERROR(VLOOKUP(A255,VENTAS!$A$2:$B$1194,2,0),"")</f>
        <v>AYALA</v>
      </c>
      <c r="C255" s="5">
        <f>IFERROR(INDEX(VENTAS!$C$2:$E$1194,MATCH(A255,VENTAS!$A$2:$A$1194,0),MATCH(PARAMS_MODELO!$B$2,{"Q1","Q2","Q3"},0)),0)</f>
        <v>82638610.090000004</v>
      </c>
      <c r="D255" s="5">
        <f>IFERROR(INDEX(VENTAS!$F$2:$H$1194,MATCH(A255,VENTAS!$A$2:$A$1194,0),MATCH(PARAMS_MODELO!$B$2,{"Q1","Q2","Q3"},0)),0)</f>
        <v>112358566</v>
      </c>
      <c r="E255" s="8">
        <f t="shared" si="72"/>
        <v>0.35963765457372299</v>
      </c>
      <c r="F255" s="12">
        <f>IF(E255&lt;=PARAMS_MODELO!$B$15,0,IF(E255&gt;=PARAMS_MODELO!$B$17,100,100*MIN(1,(E255-PARAMS_MODELO!$B$15)/(PARAMS_MODELO!$B$16-PARAMS_MODELO!$B$15))))*PARAMS_MODELO!$B$7</f>
        <v>35</v>
      </c>
      <c r="G255" s="5">
        <f t="shared" si="73"/>
        <v>29719955.909999996</v>
      </c>
      <c r="H255" s="5">
        <f>(PARAMS_MODELO!$B$20*(MAX(0,MIN(3,E255))/3)+PARAMS_MODELO!$B$21*(IFERROR(LN(1+MAX(0,G255))/LN(1+MAX(0,MAX($G$2:$G$1194))),0)))*100*PARAMS_MODELO!$B$8</f>
        <v>5.292370011733083</v>
      </c>
      <c r="I255" s="8">
        <f>E255-PARAMS_MODELO!$B$5</f>
        <v>0.18207481919819646</v>
      </c>
      <c r="J255" s="5">
        <f>IF(I255&lt;=PARAMS_MODELO!$B$18,0,IF(I255&gt;=PARAMS_MODELO!$B$19,100,100*(I255-PARAMS_MODELO!$B$18)/(PARAMS_MODELO!$B$19-PARAMS_MODELO!$B$18)))*PARAMS_MODELO!$B$9</f>
        <v>15</v>
      </c>
      <c r="K255" s="5">
        <f>IFERROR(CHOOSE(MATCH(PARAMS_MODELO!$B$2,{"Q1","Q2","Q3"},0),LOTO!$D255,LOTO!$F255,LOTO!$H255),0)</f>
        <v>5560000</v>
      </c>
      <c r="L255" s="8">
        <f t="shared" si="74"/>
        <v>4.9484433612297971E-2</v>
      </c>
      <c r="M255" s="5">
        <f>MIN(100,IF(PARAMS_MODELO!$B$23=0,0,100*L255/PARAMS_MODELO!$B$23))*PARAMS_MODELO!$B$10</f>
        <v>14.84533008368939</v>
      </c>
      <c r="N255" s="5">
        <f>IFERROR(VLOOKUP(A255,COMPLIANCE!$A$2:$F$1996,6,0),100)</f>
        <v>100</v>
      </c>
      <c r="O255" s="5">
        <f>N255*PARAMS_MODELO!$B$11</f>
        <v>10</v>
      </c>
      <c r="P255" s="5">
        <f>IFERROR(VLOOKUP(A255,DIGITAL!$A$2:$J$2000,7,0),100)</f>
        <v>72</v>
      </c>
      <c r="Q255" s="5">
        <f>IFERROR(P255,0)*PARAMS_MODELO!$B$12</f>
        <v>7.2</v>
      </c>
      <c r="R255">
        <f t="shared" si="75"/>
        <v>87.337700095422477</v>
      </c>
      <c r="S255" s="5" t="str">
        <f>IFERROR(VLOOKUP(A255,CLIENTE!$A$2:$N$2000,13,0),1)</f>
        <v>Regular</v>
      </c>
      <c r="T255" s="5">
        <f>IFERROR(VLOOKUP(A255,CLIENTE!$A$2:$N$2000,14,0),1)</f>
        <v>1</v>
      </c>
      <c r="U255" s="5">
        <f t="shared" si="76"/>
        <v>87.337700095422477</v>
      </c>
      <c r="V255" s="5" t="str">
        <f>IF(U255&gt;=MAX(_xlfn.PERCENTILE.INC($U$2:$U$1194,PARAMS_MODELO!$B$50),PARAMS_MODELO!$B$45),"DIAMANTE",IF(U255&gt;=MAX(_xlfn.PERCENTILE.INC($U$2:$U$1194,PARAMS_MODELO!$B$51),PARAMS_MODELO!$B$46),"PLATINO",IF(U255&gt;=MAX(_xlfn.PERCENTILE.INC($U$2:$U$1194,PARAMS_MODELO!$B$52),PARAMS_MODELO!$B$47),"ORO",IF(U255&gt;=MAX(_xlfn.PERCENTILE.INC($U$2:$U$1194,PARAMS_MODELO!$B$53),PARAMS_MODELO!$B$48),"PLATA",IF(U255&gt;=1,"BRONCE","CERRADO")))))</f>
        <v>PLATINO</v>
      </c>
      <c r="W255" s="5" t="str" cm="1">
        <f t="array" ref="W255">_xlfn.XLOOKUP(1, (HIST_SCORE!$B:$B=PARAMS_MODELO!$B$4) * (HIST_SCORE!$C:$C=A255), HIST_SCORE!$E:$E, "No encontrado")</f>
        <v>PLATINO</v>
      </c>
      <c r="X255" s="5" t="str">
        <f>_xlfn.LET(_xlpm.act,MATCH(V255,{"DIAMANTE";"PLATINO";"ORO";"PLATA";"BRONCE";"CERRADO"},0),_xlpm.ant,MATCH(W255,{"DIAMANTE";"PLATINO";"ORO";"PLATA";"BRONCE";"CERRADO"},0),IF(_xlpm.act&lt;_xlpm.ant,"Mejora ↑",IF(_xlpm.act&gt;_xlpm.ant,"Baja ↓","Estable →")))</f>
        <v>Estable →</v>
      </c>
      <c r="Y255" s="5">
        <f>IFERROR(U255-SUMIFS(HIST_SCORE!$D:$D,HIST_SCORE!$B:$B,PARAMS_MODELO!$B$4,HIST_SCORE!$C:$C,$A255),"")</f>
        <v>-0.13382282888434816</v>
      </c>
      <c r="Z255" s="5" t="str">
        <f t="shared" si="77"/>
        <v>→ Estable</v>
      </c>
      <c r="AA255" s="5">
        <f t="shared" si="78"/>
        <v>217</v>
      </c>
      <c r="AB255" s="5">
        <f>IFERROR(SUMIFS(HIST_SCORE!$F:$F,HIST_SCORE!$B:$B,PARAMS_MODELO!$B$4,HIST_SCORE!$C:$C,$A255),"")</f>
        <v>196</v>
      </c>
      <c r="AC255" s="5">
        <f t="shared" si="79"/>
        <v>-21</v>
      </c>
      <c r="AD255" t="str">
        <f t="shared" si="81"/>
        <v/>
      </c>
      <c r="AE2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255="CERRADO",1,IF(V255="BRONCE",_xlpm.cPl,IF(V255="PLATA",_xlpm.cO,IF(V255="ORO",_xlpm.cP,IF(V255="PLATINO",_xlpm.cD,999))))))</f>
        <v>96.054919694466676</v>
      </c>
      <c r="AF2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255="CERRADO",0,IF(V255="BRONCE",1,IF(V255="PLATA",_xlpm.cPl,IF(V255="ORO",_xlpm.cO,IF(V255="PLATINO",_xlpm.cP,_xlpm.cD))))))</f>
        <v>86.439123873763251</v>
      </c>
      <c r="AG255">
        <f t="shared" si="82"/>
        <v>8.7172195990441992</v>
      </c>
      <c r="AH255" t="str">
        <f t="shared" si="83"/>
        <v>VENTAS</v>
      </c>
      <c r="AI255" t="str">
        <f t="shared" si="80"/>
        <v>🎯 Para subir de categoría, eje VENTAS / IMPACTO ABSOLUTO (H). Acción: metas semanales + activación comercial + seguimiento del asesor. ΔR aprox: 8,7</v>
      </c>
      <c r="AJ255" s="26">
        <f>_xlfn.LET(_xlpm.piso,AF255,_xlpm.corte,AE255,_xlpm.prog,IF(_xlpm.corte&lt;=_xlpm.piso,0,MAX(0,MIN(1,(U255-_xlpm.piso)/(_xlpm.corte-_xlpm.piso)))),_xlpm.orden,{"DIAMANTE";"PLATINO";"ORO";"PLATA";"BRONCE";"CERRADO"},_xlpm.act,IFERROR(MATCH(V255,_xlpm.orden,0),6),_xlpm.ant,IFERROR(MATCH(W255,_xlpm.orden,0),6),_xlpm.ajmov,IF(_xlpm.act&lt;_xlpm.ant,0.08,IF(_xlpm.act&gt;_xlpm.ant,-0.08,0)),_xlpm.ajcli,IF(T255&lt;0.95,-0.06,0),_xlpm.prob,MAX(0,MIN(1,_xlpm.prog+_xlpm.ajmov+_xlpm.ajcli)),IF(OR(V255="DIAMANTE",V255="CERRADO"),0,ROUND(_xlpm.prob,2)))</f>
        <v>0.09</v>
      </c>
      <c r="AK255" t="str">
        <f t="shared" si="84"/>
        <v>Faltan 8,7 puntos base para subir a la siguiente categoría</v>
      </c>
      <c r="AL255" t="str">
        <f t="shared" si="85"/>
        <v>Margen de seguridad: 0,9 puntos</v>
      </c>
      <c r="AM255">
        <f t="shared" si="86"/>
        <v>0.71</v>
      </c>
      <c r="AN255" t="str">
        <f t="shared" si="87"/>
        <v>PRIORIDAD ALTA – requiere intervención inmediata</v>
      </c>
      <c r="AO255">
        <f t="shared" si="88"/>
        <v>9.5701992635625004</v>
      </c>
      <c r="AP255">
        <f t="shared" si="89"/>
        <v>0.15466991631060978</v>
      </c>
      <c r="AQ255">
        <f t="shared" si="90"/>
        <v>0</v>
      </c>
      <c r="AR255">
        <f t="shared" si="91"/>
        <v>2.8</v>
      </c>
      <c r="AS255">
        <f t="shared" si="92"/>
        <v>0</v>
      </c>
      <c r="AT255" t="str">
        <f t="shared" si="93"/>
        <v>VENTAS</v>
      </c>
      <c r="AU255">
        <f t="shared" si="94"/>
        <v>9.5701992635625004</v>
      </c>
      <c r="AV255" t="str">
        <f t="shared" si="95"/>
        <v>Mayor retorno probable: VENTAS (+9,6 puntos finales potenciales).</v>
      </c>
    </row>
    <row r="256" spans="1:48" x14ac:dyDescent="0.3">
      <c r="A256" s="5">
        <v>51008634</v>
      </c>
      <c r="B256" s="5" t="str">
        <f>IFERROR(VLOOKUP(A256,VENTAS!$A$2:$B$1194,2,0),"")</f>
        <v>METTLER</v>
      </c>
      <c r="C256" s="5">
        <f>IFERROR(INDEX(VENTAS!$C$2:$E$1194,MATCH(A256,VENTAS!$A$2:$A$1194,0),MATCH(PARAMS_MODELO!$B$2,{"Q1","Q2","Q3"},0)),0)</f>
        <v>100980100.18000001</v>
      </c>
      <c r="D256" s="5">
        <f>IFERROR(INDEX(VENTAS!$F$2:$H$1194,MATCH(A256,VENTAS!$A$2:$A$1194,0),MATCH(PARAMS_MODELO!$B$2,{"Q1","Q2","Q3"},0)),0)</f>
        <v>112242702</v>
      </c>
      <c r="E256" s="8">
        <f t="shared" si="72"/>
        <v>0.1115328842011849</v>
      </c>
      <c r="F256" s="12">
        <f>IF(E256&lt;=PARAMS_MODELO!$B$15,0,IF(E256&gt;=PARAMS_MODELO!$B$17,100,100*MIN(1,(E256-PARAMS_MODELO!$B$15)/(PARAMS_MODELO!$B$16-PARAMS_MODELO!$B$15))))*PARAMS_MODELO!$B$7</f>
        <v>35</v>
      </c>
      <c r="G256" s="5">
        <f t="shared" si="73"/>
        <v>11262601.819999993</v>
      </c>
      <c r="H256" s="5">
        <f>(PARAMS_MODELO!$B$20*(MAX(0,MIN(3,E256))/3)+PARAMS_MODELO!$B$21*(IFERROR(LN(1+MAX(0,G256))/LN(1+MAX(0,MAX($G$2:$G$1194))),0)))*100*PARAMS_MODELO!$B$8</f>
        <v>4.1965441783912194</v>
      </c>
      <c r="I256" s="8">
        <f>E256-PARAMS_MODELO!$B$5</f>
        <v>-6.6029951174341628E-2</v>
      </c>
      <c r="J256" s="5">
        <f>IF(I256&lt;=PARAMS_MODELO!$B$18,0,IF(I256&gt;=PARAMS_MODELO!$B$19,100,100*(I256-PARAMS_MODELO!$B$18)/(PARAMS_MODELO!$B$19-PARAMS_MODELO!$B$18)))*PARAMS_MODELO!$B$9</f>
        <v>0</v>
      </c>
      <c r="K256" s="5">
        <f>IFERROR(CHOOSE(MATCH(PARAMS_MODELO!$B$2,{"Q1","Q2","Q3"},0),LOTO!$D256,LOTO!$F256,LOTO!$H256),0)</f>
        <v>5545000</v>
      </c>
      <c r="L256" s="8">
        <f t="shared" si="74"/>
        <v>4.9401875589203115E-2</v>
      </c>
      <c r="M256" s="5">
        <f>MIN(100,IF(PARAMS_MODELO!$B$23=0,0,100*L256/PARAMS_MODELO!$B$23))*PARAMS_MODELO!$B$10</f>
        <v>14.820562676760934</v>
      </c>
      <c r="N256" s="5">
        <f>IFERROR(VLOOKUP(A256,COMPLIANCE!$A$2:$F$1996,6,0),100)</f>
        <v>99.55</v>
      </c>
      <c r="O256" s="5">
        <f>N256*PARAMS_MODELO!$B$11</f>
        <v>9.9550000000000001</v>
      </c>
      <c r="P256" s="5">
        <f>IFERROR(VLOOKUP(A256,DIGITAL!$A$2:$J$2000,7,0),100)</f>
        <v>42</v>
      </c>
      <c r="Q256" s="5">
        <f>IFERROR(P256,0)*PARAMS_MODELO!$B$12</f>
        <v>4.2</v>
      </c>
      <c r="R256">
        <f t="shared" si="75"/>
        <v>68.172106855152151</v>
      </c>
      <c r="S256" s="5" t="str">
        <f>IFERROR(VLOOKUP(A256,CLIENTE!$A$2:$N$2000,13,0),1)</f>
        <v>Bueno</v>
      </c>
      <c r="T256" s="5">
        <f>IFERROR(VLOOKUP(A256,CLIENTE!$A$2:$N$2000,14,0),1)</f>
        <v>1.1000000000000001</v>
      </c>
      <c r="U256" s="5">
        <f t="shared" si="76"/>
        <v>74.989317540667372</v>
      </c>
      <c r="V256" s="5" t="str">
        <f>IF(U256&gt;=MAX(_xlfn.PERCENTILE.INC($U$2:$U$1194,PARAMS_MODELO!$B$50),PARAMS_MODELO!$B$45),"DIAMANTE",IF(U256&gt;=MAX(_xlfn.PERCENTILE.INC($U$2:$U$1194,PARAMS_MODELO!$B$51),PARAMS_MODELO!$B$46),"PLATINO",IF(U256&gt;=MAX(_xlfn.PERCENTILE.INC($U$2:$U$1194,PARAMS_MODELO!$B$52),PARAMS_MODELO!$B$47),"ORO",IF(U256&gt;=MAX(_xlfn.PERCENTILE.INC($U$2:$U$1194,PARAMS_MODELO!$B$53),PARAMS_MODELO!$B$48),"PLATA",IF(U256&gt;=1,"BRONCE","CERRADO")))))</f>
        <v>ORO</v>
      </c>
      <c r="W256" s="5" t="str" cm="1">
        <f t="array" ref="W256">_xlfn.XLOOKUP(1, (HIST_SCORE!$B:$B=PARAMS_MODELO!$B$4) * (HIST_SCORE!$C:$C=A256), HIST_SCORE!$E:$E, "No encontrado")</f>
        <v>PLATINO</v>
      </c>
      <c r="X256" s="5" t="str">
        <f>_xlfn.LET(_xlpm.act,MATCH(V256,{"DIAMANTE";"PLATINO";"ORO";"PLATA";"BRONCE";"CERRADO"},0),_xlpm.ant,MATCH(W256,{"DIAMANTE";"PLATINO";"ORO";"PLATA";"BRONCE";"CERRADO"},0),IF(_xlpm.act&lt;_xlpm.ant,"Mejora ↑",IF(_xlpm.act&gt;_xlpm.ant,"Baja ↓","Estable →")))</f>
        <v>Baja ↓</v>
      </c>
      <c r="Y256" s="5">
        <f>IFERROR(U256-SUMIFS(HIST_SCORE!$D:$D,HIST_SCORE!$B:$B,PARAMS_MODELO!$B$4,HIST_SCORE!$C:$C,$A256),"")</f>
        <v>-12.618814944738816</v>
      </c>
      <c r="Z256" s="5" t="str">
        <f t="shared" si="77"/>
        <v>↓ Baja</v>
      </c>
      <c r="AA256" s="5">
        <f t="shared" si="78"/>
        <v>476</v>
      </c>
      <c r="AB256" s="5">
        <f>IFERROR(SUMIFS(HIST_SCORE!$F:$F,HIST_SCORE!$B:$B,PARAMS_MODELO!$B$4,HIST_SCORE!$C:$C,$A256),"")</f>
        <v>194</v>
      </c>
      <c r="AC256" s="5">
        <f t="shared" si="79"/>
        <v>-282</v>
      </c>
      <c r="AD256" t="str">
        <f t="shared" si="81"/>
        <v>Sostener base y reforzar mix</v>
      </c>
      <c r="AE2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256="CERRADO",1,IF(V256="BRONCE",_xlpm.cPl,IF(V256="PLATA",_xlpm.cO,IF(V256="ORO",_xlpm.cP,IF(V256="PLATINO",_xlpm.cD,999))))))</f>
        <v>86.439123873763251</v>
      </c>
      <c r="AF2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256="CERRADO",0,IF(V256="BRONCE",1,IF(V256="PLATA",_xlpm.cPl,IF(V256="ORO",_xlpm.cO,IF(V256="PLATINO",_xlpm.cP,_xlpm.cD))))))</f>
        <v>63.199193273331495</v>
      </c>
      <c r="AG256">
        <f t="shared" si="82"/>
        <v>10.408914848268978</v>
      </c>
      <c r="AH256" t="str">
        <f t="shared" si="83"/>
        <v>VENTAS</v>
      </c>
      <c r="AI256" t="str">
        <f t="shared" si="80"/>
        <v>🎯 Para subir de categoría, eje VENTAS / DIFERENCIAL vs LOTBA (J). Acción: metas semanales + activación comercial + seguimiento del asesor. ΔR aprox: 10,4</v>
      </c>
      <c r="AJ256" s="26">
        <f>_xlfn.LET(_xlpm.piso,AF256,_xlpm.corte,AE256,_xlpm.prog,IF(_xlpm.corte&lt;=_xlpm.piso,0,MAX(0,MIN(1,(U256-_xlpm.piso)/(_xlpm.corte-_xlpm.piso)))),_xlpm.orden,{"DIAMANTE";"PLATINO";"ORO";"PLATA";"BRONCE";"CERRADO"},_xlpm.act,IFERROR(MATCH(V256,_xlpm.orden,0),6),_xlpm.ant,IFERROR(MATCH(W256,_xlpm.orden,0),6),_xlpm.ajmov,IF(_xlpm.act&lt;_xlpm.ant,0.08,IF(_xlpm.act&gt;_xlpm.ant,-0.08,0)),_xlpm.ajcli,IF(T256&lt;0.95,-0.06,0),_xlpm.prob,MAX(0,MIN(1,_xlpm.prog+_xlpm.ajmov+_xlpm.ajcli)),IF(OR(V256="DIAMANTE",V256="CERRADO"),0,ROUND(_xlpm.prob,2)))</f>
        <v>0.43</v>
      </c>
      <c r="AK256" t="str">
        <f t="shared" si="84"/>
        <v>Faltan 10,4 puntos base para subir a la siguiente categoría</v>
      </c>
      <c r="AL256" t="str">
        <f t="shared" si="85"/>
        <v>Margen de seguridad: 11,8 puntos</v>
      </c>
      <c r="AM256">
        <f t="shared" si="86"/>
        <v>0.63</v>
      </c>
      <c r="AN256" t="str">
        <f t="shared" si="87"/>
        <v>PRIORIDAD MEDIA – seguimiento del asesor</v>
      </c>
      <c r="AO256">
        <f t="shared" si="88"/>
        <v>28.2326276065948</v>
      </c>
      <c r="AP256">
        <f t="shared" si="89"/>
        <v>0.19738105556297239</v>
      </c>
      <c r="AQ256">
        <f t="shared" si="90"/>
        <v>4.9499999999999926E-2</v>
      </c>
      <c r="AR256">
        <f t="shared" si="91"/>
        <v>6.38</v>
      </c>
      <c r="AS256">
        <f t="shared" si="92"/>
        <v>0</v>
      </c>
      <c r="AT256" t="str">
        <f t="shared" si="93"/>
        <v>VENTAS</v>
      </c>
      <c r="AU256">
        <f t="shared" si="94"/>
        <v>28.2326276065948</v>
      </c>
      <c r="AV256" t="str">
        <f t="shared" si="95"/>
        <v>Mayor retorno probable: VENTAS (+28,2 puntos finales potenciales).</v>
      </c>
    </row>
    <row r="257" spans="1:48" x14ac:dyDescent="0.3">
      <c r="A257" s="5">
        <v>51021835</v>
      </c>
      <c r="B257" s="5" t="str">
        <f>IFERROR(VLOOKUP(A257,VENTAS!$A$2:$B$1194,2,0),"")</f>
        <v>ROBERTS</v>
      </c>
      <c r="C257" s="5">
        <f>IFERROR(INDEX(VENTAS!$C$2:$E$1194,MATCH(A257,VENTAS!$A$2:$A$1194,0),MATCH(PARAMS_MODELO!$B$2,{"Q1","Q2","Q3"},0)),0)</f>
        <v>63732476.170000002</v>
      </c>
      <c r="D257" s="5">
        <f>IFERROR(INDEX(VENTAS!$F$2:$H$1194,MATCH(A257,VENTAS!$A$2:$A$1194,0),MATCH(PARAMS_MODELO!$B$2,{"Q1","Q2","Q3"},0)),0)</f>
        <v>111931725</v>
      </c>
      <c r="E257" s="8">
        <f t="shared" si="72"/>
        <v>0.75627453578664228</v>
      </c>
      <c r="F257" s="12">
        <f>IF(E257&lt;=PARAMS_MODELO!$B$15,0,IF(E257&gt;=PARAMS_MODELO!$B$17,100,100*MIN(1,(E257-PARAMS_MODELO!$B$15)/(PARAMS_MODELO!$B$16-PARAMS_MODELO!$B$15))))*PARAMS_MODELO!$B$7</f>
        <v>35</v>
      </c>
      <c r="G257" s="5">
        <f t="shared" si="73"/>
        <v>48199248.829999998</v>
      </c>
      <c r="H257" s="5">
        <f>(PARAMS_MODELO!$B$20*(MAX(0,MIN(3,E257))/3)+PARAMS_MODELO!$B$21*(IFERROR(LN(1+MAX(0,G257))/LN(1+MAX(0,MAX($G$2:$G$1194))),0)))*100*PARAMS_MODELO!$B$8</f>
        <v>6.7939440330119591</v>
      </c>
      <c r="I257" s="8">
        <f>E257-PARAMS_MODELO!$B$5</f>
        <v>0.57871170041111575</v>
      </c>
      <c r="J257" s="5">
        <f>IF(I257&lt;=PARAMS_MODELO!$B$18,0,IF(I257&gt;=PARAMS_MODELO!$B$19,100,100*(I257-PARAMS_MODELO!$B$18)/(PARAMS_MODELO!$B$19-PARAMS_MODELO!$B$18)))*PARAMS_MODELO!$B$9</f>
        <v>15</v>
      </c>
      <c r="K257" s="5">
        <f>IFERROR(CHOOSE(MATCH(PARAMS_MODELO!$B$2,{"Q1","Q2","Q3"},0),LOTO!$D257,LOTO!$F257,LOTO!$H257),0)</f>
        <v>5542500</v>
      </c>
      <c r="L257" s="8">
        <f t="shared" si="74"/>
        <v>4.9516792491136899E-2</v>
      </c>
      <c r="M257" s="5">
        <f>MIN(100,IF(PARAMS_MODELO!$B$23=0,0,100*L257/PARAMS_MODELO!$B$23))*PARAMS_MODELO!$B$10</f>
        <v>14.855037747341068</v>
      </c>
      <c r="N257" s="5">
        <f>IFERROR(VLOOKUP(A257,COMPLIANCE!$A$2:$F$1996,6,0),100)</f>
        <v>99.5</v>
      </c>
      <c r="O257" s="5">
        <f>N257*PARAMS_MODELO!$B$11</f>
        <v>9.9500000000000011</v>
      </c>
      <c r="P257" s="5">
        <f>IFERROR(VLOOKUP(A257,DIGITAL!$A$2:$J$2000,7,0),100)</f>
        <v>12</v>
      </c>
      <c r="Q257" s="5">
        <f>IFERROR(P257,0)*PARAMS_MODELO!$B$12</f>
        <v>1.2000000000000002</v>
      </c>
      <c r="R257">
        <f t="shared" si="75"/>
        <v>82.798981780353031</v>
      </c>
      <c r="S257" s="5" t="str">
        <f>IFERROR(VLOOKUP(A257,CLIENTE!$A$2:$N$2000,13,0),1)</f>
        <v>Malo</v>
      </c>
      <c r="T257" s="5">
        <f>IFERROR(VLOOKUP(A257,CLIENTE!$A$2:$N$2000,14,0),1)</f>
        <v>0.7</v>
      </c>
      <c r="U257" s="5">
        <f t="shared" si="76"/>
        <v>57.959287246247115</v>
      </c>
      <c r="V257" s="5" t="str">
        <f>IF(U257&gt;=MAX(_xlfn.PERCENTILE.INC($U$2:$U$1194,PARAMS_MODELO!$B$50),PARAMS_MODELO!$B$45),"DIAMANTE",IF(U257&gt;=MAX(_xlfn.PERCENTILE.INC($U$2:$U$1194,PARAMS_MODELO!$B$51),PARAMS_MODELO!$B$46),"PLATINO",IF(U257&gt;=MAX(_xlfn.PERCENTILE.INC($U$2:$U$1194,PARAMS_MODELO!$B$52),PARAMS_MODELO!$B$47),"ORO",IF(U257&gt;=MAX(_xlfn.PERCENTILE.INC($U$2:$U$1194,PARAMS_MODELO!$B$53),PARAMS_MODELO!$B$48),"PLATA",IF(U257&gt;=1,"BRONCE","CERRADO")))))</f>
        <v>PLATA</v>
      </c>
      <c r="W257" s="5" t="str" cm="1">
        <f t="array" ref="W257">_xlfn.XLOOKUP(1, (HIST_SCORE!$B:$B=PARAMS_MODELO!$B$4) * (HIST_SCORE!$C:$C=A257), HIST_SCORE!$E:$E, "No encontrado")</f>
        <v>PLATA</v>
      </c>
      <c r="X257" s="5" t="str">
        <f>_xlfn.LET(_xlpm.act,MATCH(V257,{"DIAMANTE";"PLATINO";"ORO";"PLATA";"BRONCE";"CERRADO"},0),_xlpm.ant,MATCH(W257,{"DIAMANTE";"PLATINO";"ORO";"PLATA";"BRONCE";"CERRADO"},0),IF(_xlpm.act&lt;_xlpm.ant,"Mejora ↑",IF(_xlpm.act&gt;_xlpm.ant,"Baja ↓","Estable →")))</f>
        <v>Estable →</v>
      </c>
      <c r="Y257" s="5">
        <f>IFERROR(U257-SUMIFS(HIST_SCORE!$D:$D,HIST_SCORE!$B:$B,PARAMS_MODELO!$B$4,HIST_SCORE!$C:$C,$A257),"")</f>
        <v>-0.21987076023097529</v>
      </c>
      <c r="Z257" s="5" t="str">
        <f t="shared" si="77"/>
        <v>→ Estable</v>
      </c>
      <c r="AA257" s="5">
        <f t="shared" si="78"/>
        <v>663</v>
      </c>
      <c r="AB257" s="5">
        <f>IFERROR(SUMIFS(HIST_SCORE!$F:$F,HIST_SCORE!$B:$B,PARAMS_MODELO!$B$4,HIST_SCORE!$C:$C,$A257),"")</f>
        <v>683</v>
      </c>
      <c r="AC257" s="5">
        <f t="shared" si="79"/>
        <v>20</v>
      </c>
      <c r="AD257" t="str">
        <f t="shared" si="81"/>
        <v/>
      </c>
      <c r="AE2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257="CERRADO",1,IF(V257="BRONCE",_xlpm.cPl,IF(V257="PLATA",_xlpm.cO,IF(V257="ORO",_xlpm.cP,IF(V257="PLATINO",_xlpm.cD,999))))))</f>
        <v>63.199193273331495</v>
      </c>
      <c r="AF2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257="CERRADO",0,IF(V257="BRONCE",1,IF(V257="PLATA",_xlpm.cPl,IF(V257="ORO",_xlpm.cO,IF(V257="PLATINO",_xlpm.cP,_xlpm.cD))))))</f>
        <v>24.506573482968111</v>
      </c>
      <c r="AG257">
        <f t="shared" si="82"/>
        <v>7.485580038691964</v>
      </c>
      <c r="AH257" t="str">
        <f t="shared" si="83"/>
        <v>CLIENTE</v>
      </c>
      <c r="AI257" t="str">
        <f t="shared" si="80"/>
        <v>🎯 Para subir de categoría, la eje con mayor impacto probable es CLIENTE (coef T). Acción: reducir quejas, mejorar incógnito y empujar reseñas. ΔR aprox: 7,5</v>
      </c>
      <c r="AJ257" s="26">
        <f>_xlfn.LET(_xlpm.piso,AF257,_xlpm.corte,AE257,_xlpm.prog,IF(_xlpm.corte&lt;=_xlpm.piso,0,MAX(0,MIN(1,(U257-_xlpm.piso)/(_xlpm.corte-_xlpm.piso)))),_xlpm.orden,{"DIAMANTE";"PLATINO";"ORO";"PLATA";"BRONCE";"CERRADO"},_xlpm.act,IFERROR(MATCH(V257,_xlpm.orden,0),6),_xlpm.ant,IFERROR(MATCH(W257,_xlpm.orden,0),6),_xlpm.ajmov,IF(_xlpm.act&lt;_xlpm.ant,0.08,IF(_xlpm.act&gt;_xlpm.ant,-0.08,0)),_xlpm.ajcli,IF(T257&lt;0.95,-0.06,0),_xlpm.prob,MAX(0,MIN(1,_xlpm.prog+_xlpm.ajmov+_xlpm.ajcli)),IF(OR(V257="DIAMANTE",V257="CERRADO"),0,ROUND(_xlpm.prob,2)))</f>
        <v>0.8</v>
      </c>
      <c r="AK257" t="str">
        <f t="shared" si="84"/>
        <v>Faltan 7,5 puntos base para subir a la siguiente categoría</v>
      </c>
      <c r="AL257" t="str">
        <f t="shared" si="85"/>
        <v>Margen de seguridad: 33,5 puntos</v>
      </c>
      <c r="AM257">
        <f t="shared" si="86"/>
        <v>0.57999999999999996</v>
      </c>
      <c r="AN257" t="str">
        <f t="shared" si="87"/>
        <v>PRIORIDAD MEDIA – seguimiento del asesor</v>
      </c>
      <c r="AO257">
        <f t="shared" si="88"/>
        <v>5.6480376695985361</v>
      </c>
      <c r="AP257">
        <f t="shared" si="89"/>
        <v>0.10147357686125211</v>
      </c>
      <c r="AQ257">
        <f t="shared" si="90"/>
        <v>3.4999999999999254E-2</v>
      </c>
      <c r="AR257">
        <f t="shared" si="91"/>
        <v>6.16</v>
      </c>
      <c r="AS257">
        <f t="shared" si="92"/>
        <v>24.839694534105913</v>
      </c>
      <c r="AT257" t="str">
        <f t="shared" si="93"/>
        <v>CLIENTE</v>
      </c>
      <c r="AU257">
        <f t="shared" si="94"/>
        <v>24.839694534105913</v>
      </c>
      <c r="AV257" t="str">
        <f t="shared" si="95"/>
        <v>Mayor retorno probable: CLIENTE (+24,8 puntos finales potenciales).</v>
      </c>
    </row>
    <row r="258" spans="1:48" x14ac:dyDescent="0.3">
      <c r="A258" s="5">
        <v>51030320</v>
      </c>
      <c r="B258" s="5" t="str">
        <f>IFERROR(VLOOKUP(A258,VENTAS!$A$2:$B$1194,2,0),"")</f>
        <v>NELLI</v>
      </c>
      <c r="C258" s="5">
        <f>IFERROR(INDEX(VENTAS!$C$2:$E$1194,MATCH(A258,VENTAS!$A$2:$A$1194,0),MATCH(PARAMS_MODELO!$B$2,{"Q1","Q2","Q3"},0)),0)</f>
        <v>85909323.730000004</v>
      </c>
      <c r="D258" s="5">
        <f>IFERROR(INDEX(VENTAS!$F$2:$H$1194,MATCH(A258,VENTAS!$A$2:$A$1194,0),MATCH(PARAMS_MODELO!$B$2,{"Q1","Q2","Q3"},0)),0)</f>
        <v>111770985</v>
      </c>
      <c r="E258" s="8">
        <f t="shared" ref="E258:E321" si="96">IFERROR(D258/C258-1,0)</f>
        <v>0.30103439472157034</v>
      </c>
      <c r="F258" s="12">
        <f>IF(E258&lt;=PARAMS_MODELO!$B$15,0,IF(E258&gt;=PARAMS_MODELO!$B$17,100,100*MIN(1,(E258-PARAMS_MODELO!$B$15)/(PARAMS_MODELO!$B$16-PARAMS_MODELO!$B$15))))*PARAMS_MODELO!$B$7</f>
        <v>35</v>
      </c>
      <c r="G258" s="5">
        <f t="shared" ref="G258:G321" si="97">MAX(0,D258-C258)</f>
        <v>25861661.269999996</v>
      </c>
      <c r="H258" s="5">
        <f>(PARAMS_MODELO!$B$20*(MAX(0,MIN(3,E258))/3)+PARAMS_MODELO!$B$21*(IFERROR(LN(1+MAX(0,G258))/LN(1+MAX(0,MAX($G$2:$G$1194))),0)))*100*PARAMS_MODELO!$B$8</f>
        <v>5.0546616721943023</v>
      </c>
      <c r="I258" s="8">
        <f>E258-PARAMS_MODELO!$B$5</f>
        <v>0.12347155934604381</v>
      </c>
      <c r="J258" s="5">
        <f>IF(I258&lt;=PARAMS_MODELO!$B$18,0,IF(I258&gt;=PARAMS_MODELO!$B$19,100,100*(I258-PARAMS_MODELO!$B$18)/(PARAMS_MODELO!$B$19-PARAMS_MODELO!$B$18)))*PARAMS_MODELO!$B$9</f>
        <v>15</v>
      </c>
      <c r="K258" s="5">
        <f>IFERROR(CHOOSE(MATCH(PARAMS_MODELO!$B$2,{"Q1","Q2","Q3"},0),LOTO!$D258,LOTO!$F258,LOTO!$H258),0)</f>
        <v>5532500</v>
      </c>
      <c r="L258" s="8">
        <f t="shared" ref="L258:L321" si="98">IFERROR(K258/D258,0)</f>
        <v>4.9498534883628341E-2</v>
      </c>
      <c r="M258" s="5">
        <f>MIN(100,IF(PARAMS_MODELO!$B$23=0,0,100*L258/PARAMS_MODELO!$B$23))*PARAMS_MODELO!$B$10</f>
        <v>14.849560465088501</v>
      </c>
      <c r="N258" s="5">
        <f>IFERROR(VLOOKUP(A258,COMPLIANCE!$A$2:$F$1996,6,0),100)</f>
        <v>100</v>
      </c>
      <c r="O258" s="5">
        <f>N258*PARAMS_MODELO!$B$11</f>
        <v>10</v>
      </c>
      <c r="P258" s="5">
        <f>IFERROR(VLOOKUP(A258,DIGITAL!$A$2:$J$2000,7,0),100)</f>
        <v>94</v>
      </c>
      <c r="Q258" s="5">
        <f>IFERROR(P258,0)*PARAMS_MODELO!$B$12</f>
        <v>9.4</v>
      </c>
      <c r="R258">
        <f t="shared" ref="R258:R321" si="99">MIN(100,MAX(0,F258+H258+J258+M258+O258+Q258))</f>
        <v>89.304222137282807</v>
      </c>
      <c r="S258" s="5" t="str">
        <f>IFERROR(VLOOKUP(A258,CLIENTE!$A$2:$N$2000,13,0),1)</f>
        <v>Malo</v>
      </c>
      <c r="T258" s="5">
        <f>IFERROR(VLOOKUP(A258,CLIENTE!$A$2:$N$2000,14,0),1)</f>
        <v>0.7</v>
      </c>
      <c r="U258" s="5">
        <f t="shared" ref="U258:U321" si="100">MIN(100,MAX(0,R258*T258))</f>
        <v>62.512955496097959</v>
      </c>
      <c r="V258" s="5" t="str">
        <f>IF(U258&gt;=MAX(_xlfn.PERCENTILE.INC($U$2:$U$1194,PARAMS_MODELO!$B$50),PARAMS_MODELO!$B$45),"DIAMANTE",IF(U258&gt;=MAX(_xlfn.PERCENTILE.INC($U$2:$U$1194,PARAMS_MODELO!$B$51),PARAMS_MODELO!$B$46),"PLATINO",IF(U258&gt;=MAX(_xlfn.PERCENTILE.INC($U$2:$U$1194,PARAMS_MODELO!$B$52),PARAMS_MODELO!$B$47),"ORO",IF(U258&gt;=MAX(_xlfn.PERCENTILE.INC($U$2:$U$1194,PARAMS_MODELO!$B$53),PARAMS_MODELO!$B$48),"PLATA",IF(U258&gt;=1,"BRONCE","CERRADO")))))</f>
        <v>PLATA</v>
      </c>
      <c r="W258" s="5" t="str" cm="1">
        <f t="array" ref="W258">_xlfn.XLOOKUP(1, (HIST_SCORE!$B:$B=PARAMS_MODELO!$B$4) * (HIST_SCORE!$C:$C=A258), HIST_SCORE!$E:$E, "No encontrado")</f>
        <v>PLATA</v>
      </c>
      <c r="X258" s="5" t="str">
        <f>_xlfn.LET(_xlpm.act,MATCH(V258,{"DIAMANTE";"PLATINO";"ORO";"PLATA";"BRONCE";"CERRADO"},0),_xlpm.ant,MATCH(W258,{"DIAMANTE";"PLATINO";"ORO";"PLATA";"BRONCE";"CERRADO"},0),IF(_xlpm.act&lt;_xlpm.ant,"Mejora ↑",IF(_xlpm.act&gt;_xlpm.ant,"Baja ↓","Estable →")))</f>
        <v>Estable →</v>
      </c>
      <c r="Y258" s="5">
        <f>IFERROR(U258-SUMIFS(HIST_SCORE!$D:$D,HIST_SCORE!$B:$B,PARAMS_MODELO!$B$4,HIST_SCORE!$C:$C,$A258),"")</f>
        <v>-0.14599005433692014</v>
      </c>
      <c r="Z258" s="5" t="str">
        <f t="shared" ref="Z258:Z321" si="101">IF(Y258="","",IF(Y258&gt;=5,"↑ Mejora",IF(Y258&lt;=-5,"↓ Baja","→ Estable")))</f>
        <v>→ Estable</v>
      </c>
      <c r="AA258" s="5">
        <f t="shared" ref="AA258:AA321" si="102">IFERROR(_xlfn.RANK.EQ(U258,$U$2:$U$1194,0),"")</f>
        <v>568</v>
      </c>
      <c r="AB258" s="5">
        <f>IFERROR(SUMIFS(HIST_SCORE!$F:$F,HIST_SCORE!$B:$B,PARAMS_MODELO!$B$4,HIST_SCORE!$C:$C,$A258),"")</f>
        <v>598</v>
      </c>
      <c r="AC258" s="5">
        <f t="shared" ref="AC258:AC321" si="103">IF(OR(AA258="",AB258=""),"",AB258-AA258)</f>
        <v>30</v>
      </c>
      <c r="AD258" t="str">
        <f t="shared" si="81"/>
        <v/>
      </c>
      <c r="AE2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258="CERRADO",1,IF(V258="BRONCE",_xlpm.cPl,IF(V258="PLATA",_xlpm.cO,IF(V258="ORO",_xlpm.cP,IF(V258="PLATINO",_xlpm.cD,999))))))</f>
        <v>63.199193273331495</v>
      </c>
      <c r="AF2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258="CERRADO",0,IF(V258="BRONCE",1,IF(V258="PLATA",_xlpm.cPl,IF(V258="ORO",_xlpm.cO,IF(V258="PLATINO",_xlpm.cP,_xlpm.cD))))))</f>
        <v>24.506573482968111</v>
      </c>
      <c r="AG258">
        <f t="shared" si="82"/>
        <v>0.98033968176218877</v>
      </c>
      <c r="AH258" t="str">
        <f t="shared" si="83"/>
        <v>CLIENTE</v>
      </c>
      <c r="AI258" t="str">
        <f t="shared" ref="AI258:AI321" si="104">_xlfn.LET(_xlpm.pal,AH258,_xlpm.deltaR,AG258,_xlpm.minVent,MIN(F258,H258,J258),_xlpm.subV,IF(_xlpm.minVent=F258,"CRECIMIENTO PERSONAL (F)",IF(_xlpm.minVent=H258,"IMPACTO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la eje con mayor impacto probable es CLIENTE (coef T). Acción: reducir quejas, mejorar incógnito y empujar reseñas. ΔR aprox: 1,0</v>
      </c>
      <c r="AJ258" s="26">
        <f>_xlfn.LET(_xlpm.piso,AF258,_xlpm.corte,AE258,_xlpm.prog,IF(_xlpm.corte&lt;=_xlpm.piso,0,MAX(0,MIN(1,(U258-_xlpm.piso)/(_xlpm.corte-_xlpm.piso)))),_xlpm.orden,{"DIAMANTE";"PLATINO";"ORO";"PLATA";"BRONCE";"CERRADO"},_xlpm.act,IFERROR(MATCH(V258,_xlpm.orden,0),6),_xlpm.ant,IFERROR(MATCH(W258,_xlpm.orden,0),6),_xlpm.ajmov,IF(_xlpm.act&lt;_xlpm.ant,0.08,IF(_xlpm.act&gt;_xlpm.ant,-0.08,0)),_xlpm.ajcli,IF(T258&lt;0.95,-0.06,0),_xlpm.prob,MAX(0,MIN(1,_xlpm.prog+_xlpm.ajmov+_xlpm.ajcli)),IF(OR(V258="DIAMANTE",V258="CERRADO"),0,ROUND(_xlpm.prob,2)))</f>
        <v>0.92</v>
      </c>
      <c r="AK258" t="str">
        <f t="shared" si="84"/>
        <v>Faltan 1,0 puntos base para subir a la siguiente categoría</v>
      </c>
      <c r="AL258" t="str">
        <f t="shared" si="85"/>
        <v>Margen de seguridad: 38,0 puntos</v>
      </c>
      <c r="AM258">
        <f t="shared" si="86"/>
        <v>0.27</v>
      </c>
      <c r="AN258" t="str">
        <f t="shared" si="87"/>
        <v>PRIORIDAD BAJA – control normal</v>
      </c>
      <c r="AO258">
        <f t="shared" si="88"/>
        <v>6.8655353221708992</v>
      </c>
      <c r="AP258">
        <f t="shared" si="89"/>
        <v>0.10530767443804905</v>
      </c>
      <c r="AQ258">
        <f t="shared" si="90"/>
        <v>0</v>
      </c>
      <c r="AR258">
        <f t="shared" si="91"/>
        <v>0.41999999999999971</v>
      </c>
      <c r="AS258">
        <f t="shared" si="92"/>
        <v>26.791266641184848</v>
      </c>
      <c r="AT258" t="str">
        <f t="shared" si="93"/>
        <v>CLIENTE</v>
      </c>
      <c r="AU258">
        <f t="shared" si="94"/>
        <v>26.791266641184848</v>
      </c>
      <c r="AV258" t="str">
        <f t="shared" si="95"/>
        <v>Mayor retorno probable: CLIENTE (+26,8 puntos finales potenciales).</v>
      </c>
    </row>
    <row r="259" spans="1:48" x14ac:dyDescent="0.3">
      <c r="A259" s="5">
        <v>51033701</v>
      </c>
      <c r="B259" s="5" t="str">
        <f>IFERROR(VLOOKUP(A259,VENTAS!$A$2:$B$1194,2,0),"")</f>
        <v>AYALA</v>
      </c>
      <c r="C259" s="5">
        <f>IFERROR(INDEX(VENTAS!$C$2:$E$1194,MATCH(A259,VENTAS!$A$2:$A$1194,0),MATCH(PARAMS_MODELO!$B$2,{"Q1","Q2","Q3"},0)),0)</f>
        <v>79603655.00999999</v>
      </c>
      <c r="D259" s="5">
        <f>IFERROR(INDEX(VENTAS!$F$2:$H$1194,MATCH(A259,VENTAS!$A$2:$A$1194,0),MATCH(PARAMS_MODELO!$B$2,{"Q1","Q2","Q3"},0)),0)</f>
        <v>111704009</v>
      </c>
      <c r="E259" s="8">
        <f t="shared" si="96"/>
        <v>0.40325226254959645</v>
      </c>
      <c r="F259" s="12">
        <f>IF(E259&lt;=PARAMS_MODELO!$B$15,0,IF(E259&gt;=PARAMS_MODELO!$B$17,100,100*MIN(1,(E259-PARAMS_MODELO!$B$15)/(PARAMS_MODELO!$B$16-PARAMS_MODELO!$B$15))))*PARAMS_MODELO!$B$7</f>
        <v>35</v>
      </c>
      <c r="G259" s="5">
        <f t="shared" si="97"/>
        <v>32100353.99000001</v>
      </c>
      <c r="H259" s="5">
        <f>(PARAMS_MODELO!$B$20*(MAX(0,MIN(3,E259))/3)+PARAMS_MODELO!$B$21*(IFERROR(LN(1+MAX(0,G259))/LN(1+MAX(0,MAX($G$2:$G$1194))),0)))*100*PARAMS_MODELO!$B$8</f>
        <v>5.4630823412632434</v>
      </c>
      <c r="I259" s="8">
        <f>E259-PARAMS_MODELO!$B$5</f>
        <v>0.22568942717406992</v>
      </c>
      <c r="J259" s="5">
        <f>IF(I259&lt;=PARAMS_MODELO!$B$18,0,IF(I259&gt;=PARAMS_MODELO!$B$19,100,100*(I259-PARAMS_MODELO!$B$18)/(PARAMS_MODELO!$B$19-PARAMS_MODELO!$B$18)))*PARAMS_MODELO!$B$9</f>
        <v>15</v>
      </c>
      <c r="K259" s="5">
        <f>IFERROR(CHOOSE(MATCH(PARAMS_MODELO!$B$2,{"Q1","Q2","Q3"},0),LOTO!$D259,LOTO!$F259,LOTO!$H259),0)</f>
        <v>5525000</v>
      </c>
      <c r="L259" s="8">
        <f t="shared" si="98"/>
        <v>4.9461071714982048E-2</v>
      </c>
      <c r="M259" s="5">
        <f>MIN(100,IF(PARAMS_MODELO!$B$23=0,0,100*L259/PARAMS_MODELO!$B$23))*PARAMS_MODELO!$B$10</f>
        <v>14.838321514494611</v>
      </c>
      <c r="N259" s="5">
        <f>IFERROR(VLOOKUP(A259,COMPLIANCE!$A$2:$F$1996,6,0),100)</f>
        <v>100</v>
      </c>
      <c r="O259" s="5">
        <f>N259*PARAMS_MODELO!$B$11</f>
        <v>10</v>
      </c>
      <c r="P259" s="5">
        <f>IFERROR(VLOOKUP(A259,DIGITAL!$A$2:$J$2000,7,0),100)</f>
        <v>31</v>
      </c>
      <c r="Q259" s="5">
        <f>IFERROR(P259,0)*PARAMS_MODELO!$B$12</f>
        <v>3.1</v>
      </c>
      <c r="R259">
        <f t="shared" si="99"/>
        <v>83.401403855757849</v>
      </c>
      <c r="S259" s="5" t="str">
        <f>IFERROR(VLOOKUP(A259,CLIENTE!$A$2:$N$2000,13,0),1)</f>
        <v>Regular</v>
      </c>
      <c r="T259" s="5">
        <f>IFERROR(VLOOKUP(A259,CLIENTE!$A$2:$N$2000,14,0),1)</f>
        <v>1</v>
      </c>
      <c r="U259" s="5">
        <f t="shared" si="100"/>
        <v>83.401403855757849</v>
      </c>
      <c r="V259" s="5" t="str">
        <f>IF(U259&gt;=MAX(_xlfn.PERCENTILE.INC($U$2:$U$1194,PARAMS_MODELO!$B$50),PARAMS_MODELO!$B$45),"DIAMANTE",IF(U259&gt;=MAX(_xlfn.PERCENTILE.INC($U$2:$U$1194,PARAMS_MODELO!$B$51),PARAMS_MODELO!$B$46),"PLATINO",IF(U259&gt;=MAX(_xlfn.PERCENTILE.INC($U$2:$U$1194,PARAMS_MODELO!$B$52),PARAMS_MODELO!$B$47),"ORO",IF(U259&gt;=MAX(_xlfn.PERCENTILE.INC($U$2:$U$1194,PARAMS_MODELO!$B$53),PARAMS_MODELO!$B$48),"PLATA",IF(U259&gt;=1,"BRONCE","CERRADO")))))</f>
        <v>ORO</v>
      </c>
      <c r="W259" s="5" t="str" cm="1">
        <f t="array" ref="W259">_xlfn.XLOOKUP(1, (HIST_SCORE!$B:$B=PARAMS_MODELO!$B$4) * (HIST_SCORE!$C:$C=A259), HIST_SCORE!$E:$E, "No encontrado")</f>
        <v>ORO</v>
      </c>
      <c r="X259" s="5" t="str">
        <f>_xlfn.LET(_xlpm.act,MATCH(V259,{"DIAMANTE";"PLATINO";"ORO";"PLATA";"BRONCE";"CERRADO"},0),_xlpm.ant,MATCH(W259,{"DIAMANTE";"PLATINO";"ORO";"PLATA";"BRONCE";"CERRADO"},0),IF(_xlpm.act&lt;_xlpm.ant,"Mejora ↑",IF(_xlpm.act&gt;_xlpm.ant,"Baja ↓","Estable →")))</f>
        <v>Estable →</v>
      </c>
      <c r="Y259" s="5">
        <f>IFERROR(U259-SUMIFS(HIST_SCORE!$D:$D,HIST_SCORE!$B:$B,PARAMS_MODELO!$B$4,HIST_SCORE!$C:$C,$A259),"")</f>
        <v>1.0057941794568706</v>
      </c>
      <c r="Z259" s="5" t="str">
        <f t="shared" si="101"/>
        <v>→ Estable</v>
      </c>
      <c r="AA259" s="5">
        <f t="shared" si="102"/>
        <v>334</v>
      </c>
      <c r="AB259" s="5">
        <f>IFERROR(SUMIFS(HIST_SCORE!$F:$F,HIST_SCORE!$B:$B,PARAMS_MODELO!$B$4,HIST_SCORE!$C:$C,$A259),"")</f>
        <v>351</v>
      </c>
      <c r="AC259" s="5">
        <f t="shared" si="103"/>
        <v>17</v>
      </c>
      <c r="AD259" t="str">
        <f t="shared" ref="AD259:AD322" si="105">IF(V259="CERRADO","Agencia sin actividad o cerrada",IF(AND(V259="BRONCE",Y259=""),"Primer corte: cargá histórico para medir movilidad",IF(AND(V259="BRONCE",Y259&lt;0),"Plan de recuperación: foco crecimiento + mix",IF(AND(V259="ORO",Y259&lt;0),"Sostener base y reforzar mix",""))))</f>
        <v/>
      </c>
      <c r="AE2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259="CERRADO",1,IF(V259="BRONCE",_xlpm.cPl,IF(V259="PLATA",_xlpm.cO,IF(V259="ORO",_xlpm.cP,IF(V259="PLATINO",_xlpm.cD,999))))))</f>
        <v>86.439123873763251</v>
      </c>
      <c r="AF2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259="CERRADO",0,IF(V259="BRONCE",1,IF(V259="PLATA",_xlpm.cPl,IF(V259="ORO",_xlpm.cO,IF(V259="PLATINO",_xlpm.cP,_xlpm.cD))))))</f>
        <v>63.199193273331495</v>
      </c>
      <c r="AG259">
        <f t="shared" ref="AG259:AG322" si="106">_xlfn.LET(_xlpm.corteU,AE259,_xlpm.coef,MAX(0.01,T259),_xlpm.reqR,_xlpm.corteU/_xlpm.coef,MAX(0,_xlpm.reqR-R259))</f>
        <v>3.0377200180054018</v>
      </c>
      <c r="AH259" t="str">
        <f t="shared" ref="AH259:AH322" si="107">_xlfn.LET(_xlpm.deltaR,AG259,_xlpm.ventas,F259+H259+J259,_xlpm.hv,(MAX($F$2:$F$1194)+MAX($H$2:$H$1194)+MAX($J$2:$J$1194))-_xlpm.ventas,_xlpm.hl,MAX($M$2:$M$1194)-M259,_xlpm.hc,MAX($O$2:$O$1194)-O259,_xlpm.hd,MAX($Q$2:$Q$1194)-Q259,_xlpm.impV,MIN(_xlpm.deltaR,MAX(0,_xlpm.hv)),_xlpm.impL,MIN(_xlpm.deltaR,MAX(0,_xlpm.hl)),_xlpm.impC,MIN(_xlpm.deltaR,MAX(0,_xlpm.hc)),_xlpm.impD,MIN(_xlpm.deltaR,MAX(0,_xlpm.hd)),_xlpm.t,T259,_xlpm.tObj,1,_xlpm.impCli,IF(_xlpm.t&lt;0.95,MIN(_xlpm.deltaR,R259*(_xlpm.tObj/_xlpm.t-1)),0),_xlpm.mx,MAX(_xlpm.impV,_xlpm.impL,_xlpm.impC,_xlpm.impD,_xlpm.impCli),IF(V259="DIAMANTE","SOSTENER",IF(V259="CERRADO","CERRADO",IF(_xlpm.mx=_xlpm.impCli,"CLIENTE",IF(_xlpm.mx=_xlpm.impV,"VENTAS",IF(_xlpm.mx=_xlpm.impL,"LOTO",IF(_xlpm.mx=_xlpm.impC,"COMPLIANCE","DIGITAL")))))))</f>
        <v>VENTAS</v>
      </c>
      <c r="AI259" t="str">
        <f t="shared" si="104"/>
        <v>🎯 Para subir de categoría, eje VENTAS / IMPACTO ABSOLUTO (H). Acción: metas semanales + activación comercial + seguimiento del asesor. ΔR aprox: 3,0</v>
      </c>
      <c r="AJ259" s="26">
        <f>_xlfn.LET(_xlpm.piso,AF259,_xlpm.corte,AE259,_xlpm.prog,IF(_xlpm.corte&lt;=_xlpm.piso,0,MAX(0,MIN(1,(U259-_xlpm.piso)/(_xlpm.corte-_xlpm.piso)))),_xlpm.orden,{"DIAMANTE";"PLATINO";"ORO";"PLATA";"BRONCE";"CERRADO"},_xlpm.act,IFERROR(MATCH(V259,_xlpm.orden,0),6),_xlpm.ant,IFERROR(MATCH(W259,_xlpm.orden,0),6),_xlpm.ajmov,IF(_xlpm.act&lt;_xlpm.ant,0.08,IF(_xlpm.act&gt;_xlpm.ant,-0.08,0)),_xlpm.ajcli,IF(T259&lt;0.95,-0.06,0),_xlpm.prob,MAX(0,MIN(1,_xlpm.prog+_xlpm.ajmov+_xlpm.ajcli)),IF(OR(V259="DIAMANTE",V259="CERRADO"),0,ROUND(_xlpm.prob,2)))</f>
        <v>0.87</v>
      </c>
      <c r="AK259" t="str">
        <f t="shared" ref="AK259:AK322" si="108">IF(OR(V259="DIAMANTE",V259="CERRADO"),"No aplica","Faltan " &amp; TEXT(AG259,"0,0") &amp; " puntos base para subir a la siguiente categoría")</f>
        <v>Faltan 3,0 puntos base para subir a la siguiente categoría</v>
      </c>
      <c r="AL259" t="str">
        <f t="shared" ref="AL259:AL322" si="109">_xlfn.LET(_xlpm.piso,AF259,_xlpm.dist,U259-_xlpm.piso,IF(OR(V259="BRONCE",V259="CERRADO"),"No aplica",IF(_xlpm.dist&lt;=0,"⚠ Riesgo de descenso","Margen de seguridad: " &amp; TEXT(_xlpm.dist,"0,0") &amp; " puntos")))</f>
        <v>Margen de seguridad: 20,2 puntos</v>
      </c>
      <c r="AM259">
        <f t="shared" ref="AM259:AM322" si="110">_xlfn.LET(_xlpm.prob,AJ259,_xlpm.dist,AG259,_xlpm.coef,T259,_xlpm.prior,(1-_xlpm.prob)*0.4+MIN(1,_xlpm.dist/10)*0.4+IF(_xlpm.coef&lt;0.95,0.2,0),ROUND(_xlpm.prior,2))</f>
        <v>0.17</v>
      </c>
      <c r="AN259" t="str">
        <f t="shared" ref="AN259:AN322" si="111">IF(AM259&gt;=0.7,"PRIORIDAD ALTA – requiere intervención inmediata",IF(AM259&gt;=0.4,"PRIORIDAD MEDIA – seguimiento del asesor","PRIORIDAD BAJA – control normal"))</f>
        <v>PRIORIDAD BAJA – control normal</v>
      </c>
      <c r="AO259">
        <f t="shared" ref="AO259:AO322" si="112">MAX(0,((MAX($F$2:$F$1194)+MAX($H$2:$H$1194)+MAX($J$2:$J$1194))-(F259+H259+J259))*T259)</f>
        <v>9.399486934032339</v>
      </c>
      <c r="AP259">
        <f t="shared" ref="AP259:AP322" si="113">MAX(0,(MAX($M$2:$M$1194)-M259)*T259)</f>
        <v>0.16167848550538899</v>
      </c>
      <c r="AQ259">
        <f t="shared" ref="AQ259:AQ322" si="114">MAX(0,(MAX($O$2:$O$1194)-O259)*T259)</f>
        <v>0</v>
      </c>
      <c r="AR259">
        <f t="shared" ref="AR259:AR322" si="115">MAX(0,(MAX($Q$2:$Q$1194)-Q259)*T259)</f>
        <v>6.9</v>
      </c>
      <c r="AS259">
        <f t="shared" ref="AS259:AS322" si="116">MAX(0,R259*(1-T259))</f>
        <v>0</v>
      </c>
      <c r="AT259" t="str">
        <f t="shared" ref="AT259:AT322" si="117">_xlfn.LET(_xlpm.v,AO259,_xlpm.l,AP259,_xlpm.c,AQ259,_xlpm.d,AR259,_xlpm.cli,AS259,_xlpm.mx,MAX(_xlpm.v,_xlpm.l,_xlpm.c,_xlpm.d,_xlpm.cli),IF(_xlpm.mx=_xlpm.cli,"CLIENTE",IF(_xlpm.mx=_xlpm.v,"VENTAS",IF(_xlpm.mx=_xlpm.l,"LOTO",IF(_xlpm.mx=_xlpm.c,"COMPLIANCE","DIGITAL")))))</f>
        <v>VENTAS</v>
      </c>
      <c r="AU259">
        <f t="shared" ref="AU259:AU322" si="118">MAX(AO259,AP259,AQ259,AR259,AS259)</f>
        <v>9.399486934032339</v>
      </c>
      <c r="AV259" t="str">
        <f t="shared" ref="AV259:AV322" si="119">IF(V259="CERRADO","⛔ Sin impacto comercial estimable por estado CERRADO.","Mayor retorno probable: " &amp; AT259 &amp; " (+" &amp; TEXT(AU259,"0,0") &amp; " puntos finales potenciales).")</f>
        <v>Mayor retorno probable: VENTAS (+9,4 puntos finales potenciales).</v>
      </c>
    </row>
    <row r="260" spans="1:48" x14ac:dyDescent="0.3">
      <c r="A260" s="5">
        <v>51013280</v>
      </c>
      <c r="B260" s="5" t="str">
        <f>IFERROR(VLOOKUP(A260,VENTAS!$A$2:$B$1194,2,0),"")</f>
        <v>AYALA</v>
      </c>
      <c r="C260" s="5">
        <f>IFERROR(INDEX(VENTAS!$C$2:$E$1194,MATCH(A260,VENTAS!$A$2:$A$1194,0),MATCH(PARAMS_MODELO!$B$2,{"Q1","Q2","Q3"},0)),0)</f>
        <v>56198642.619999997</v>
      </c>
      <c r="D260" s="5">
        <f>IFERROR(INDEX(VENTAS!$F$2:$H$1194,MATCH(A260,VENTAS!$A$2:$A$1194,0),MATCH(PARAMS_MODELO!$B$2,{"Q1","Q2","Q3"},0)),0)</f>
        <v>111509761</v>
      </c>
      <c r="E260" s="8">
        <f t="shared" si="96"/>
        <v>0.98420737230254485</v>
      </c>
      <c r="F260" s="12">
        <f>IF(E260&lt;=PARAMS_MODELO!$B$15,0,IF(E260&gt;=PARAMS_MODELO!$B$17,100,100*MIN(1,(E260-PARAMS_MODELO!$B$15)/(PARAMS_MODELO!$B$16-PARAMS_MODELO!$B$15))))*PARAMS_MODELO!$B$7</f>
        <v>35</v>
      </c>
      <c r="G260" s="5">
        <f t="shared" si="97"/>
        <v>55311118.380000003</v>
      </c>
      <c r="H260" s="5">
        <f>(PARAMS_MODELO!$B$20*(MAX(0,MIN(3,E260))/3)+PARAMS_MODELO!$B$21*(IFERROR(LN(1+MAX(0,G260))/LN(1+MAX(0,MAX($G$2:$G$1194))),0)))*100*PARAMS_MODELO!$B$8</f>
        <v>7.6239714725723804</v>
      </c>
      <c r="I260" s="8">
        <f>E260-PARAMS_MODELO!$B$5</f>
        <v>0.80664453692701832</v>
      </c>
      <c r="J260" s="5">
        <f>IF(I260&lt;=PARAMS_MODELO!$B$18,0,IF(I260&gt;=PARAMS_MODELO!$B$19,100,100*(I260-PARAMS_MODELO!$B$18)/(PARAMS_MODELO!$B$19-PARAMS_MODELO!$B$18)))*PARAMS_MODELO!$B$9</f>
        <v>15</v>
      </c>
      <c r="K260" s="5">
        <f>IFERROR(CHOOSE(MATCH(PARAMS_MODELO!$B$2,{"Q1","Q2","Q3"},0),LOTO!$D260,LOTO!$F260,LOTO!$H260),0)</f>
        <v>5525000</v>
      </c>
      <c r="L260" s="8">
        <f t="shared" si="98"/>
        <v>4.9547232013168782E-2</v>
      </c>
      <c r="M260" s="5">
        <f>MIN(100,IF(PARAMS_MODELO!$B$23=0,0,100*L260/PARAMS_MODELO!$B$23))*PARAMS_MODELO!$B$10</f>
        <v>14.864169603950634</v>
      </c>
      <c r="N260" s="5">
        <f>IFERROR(VLOOKUP(A260,COMPLIANCE!$A$2:$F$1996,6,0),100)</f>
        <v>100</v>
      </c>
      <c r="O260" s="5">
        <f>N260*PARAMS_MODELO!$B$11</f>
        <v>10</v>
      </c>
      <c r="P260" s="5">
        <f>IFERROR(VLOOKUP(A260,DIGITAL!$A$2:$J$2000,7,0),100)</f>
        <v>72</v>
      </c>
      <c r="Q260" s="5">
        <f>IFERROR(P260,0)*PARAMS_MODELO!$B$12</f>
        <v>7.2</v>
      </c>
      <c r="R260">
        <f t="shared" si="99"/>
        <v>89.68814107652301</v>
      </c>
      <c r="S260" s="5" t="str">
        <f>IFERROR(VLOOKUP(A260,CLIENTE!$A$2:$N$2000,13,0),1)</f>
        <v>Regular</v>
      </c>
      <c r="T260" s="5">
        <f>IFERROR(VLOOKUP(A260,CLIENTE!$A$2:$N$2000,14,0),1)</f>
        <v>1</v>
      </c>
      <c r="U260" s="5">
        <f t="shared" si="100"/>
        <v>89.68814107652301</v>
      </c>
      <c r="V260" s="5" t="str">
        <f>IF(U260&gt;=MAX(_xlfn.PERCENTILE.INC($U$2:$U$1194,PARAMS_MODELO!$B$50),PARAMS_MODELO!$B$45),"DIAMANTE",IF(U260&gt;=MAX(_xlfn.PERCENTILE.INC($U$2:$U$1194,PARAMS_MODELO!$B$51),PARAMS_MODELO!$B$46),"PLATINO",IF(U260&gt;=MAX(_xlfn.PERCENTILE.INC($U$2:$U$1194,PARAMS_MODELO!$B$52),PARAMS_MODELO!$B$47),"ORO",IF(U260&gt;=MAX(_xlfn.PERCENTILE.INC($U$2:$U$1194,PARAMS_MODELO!$B$53),PARAMS_MODELO!$B$48),"PLATA",IF(U260&gt;=1,"BRONCE","CERRADO")))))</f>
        <v>PLATINO</v>
      </c>
      <c r="W260" s="5" t="str" cm="1">
        <f t="array" ref="W260">_xlfn.XLOOKUP(1, (HIST_SCORE!$B:$B=PARAMS_MODELO!$B$4) * (HIST_SCORE!$C:$C=A260), HIST_SCORE!$E:$E, "No encontrado")</f>
        <v>PLATINO</v>
      </c>
      <c r="X260" s="5" t="str">
        <f>_xlfn.LET(_xlpm.act,MATCH(V260,{"DIAMANTE";"PLATINO";"ORO";"PLATA";"BRONCE";"CERRADO"},0),_xlpm.ant,MATCH(W260,{"DIAMANTE";"PLATINO";"ORO";"PLATA";"BRONCE";"CERRADO"},0),IF(_xlpm.act&lt;_xlpm.ant,"Mejora ↑",IF(_xlpm.act&gt;_xlpm.ant,"Baja ↓","Estable →")))</f>
        <v>Estable →</v>
      </c>
      <c r="Y260" s="5">
        <f>IFERROR(U260-SUMIFS(HIST_SCORE!$D:$D,HIST_SCORE!$B:$B,PARAMS_MODELO!$B$4,HIST_SCORE!$C:$C,$A260),"")</f>
        <v>2.0891315281944145</v>
      </c>
      <c r="Z260" s="5" t="str">
        <f t="shared" si="101"/>
        <v>→ Estable</v>
      </c>
      <c r="AA260" s="5">
        <f t="shared" si="102"/>
        <v>143</v>
      </c>
      <c r="AB260" s="5">
        <f>IFERROR(SUMIFS(HIST_SCORE!$F:$F,HIST_SCORE!$B:$B,PARAMS_MODELO!$B$4,HIST_SCORE!$C:$C,$A260),"")</f>
        <v>195</v>
      </c>
      <c r="AC260" s="5">
        <f t="shared" si="103"/>
        <v>52</v>
      </c>
      <c r="AD260" t="str">
        <f t="shared" si="105"/>
        <v/>
      </c>
      <c r="AE2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260="CERRADO",1,IF(V260="BRONCE",_xlpm.cPl,IF(V260="PLATA",_xlpm.cO,IF(V260="ORO",_xlpm.cP,IF(V260="PLATINO",_xlpm.cD,999))))))</f>
        <v>96.054919694466676</v>
      </c>
      <c r="AF2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260="CERRADO",0,IF(V260="BRONCE",1,IF(V260="PLATA",_xlpm.cPl,IF(V260="ORO",_xlpm.cO,IF(V260="PLATINO",_xlpm.cP,_xlpm.cD))))))</f>
        <v>86.439123873763251</v>
      </c>
      <c r="AG260">
        <f t="shared" si="106"/>
        <v>6.3667786179436661</v>
      </c>
      <c r="AH260" t="str">
        <f t="shared" si="107"/>
        <v>VENTAS</v>
      </c>
      <c r="AI260" t="str">
        <f t="shared" si="104"/>
        <v>🎯 Para subir de categoría, eje VENTAS / IMPACTO ABSOLUTO (H). Acción: metas semanales + activación comercial + seguimiento del asesor. ΔR aprox: 6,4</v>
      </c>
      <c r="AJ260" s="26">
        <f>_xlfn.LET(_xlpm.piso,AF260,_xlpm.corte,AE260,_xlpm.prog,IF(_xlpm.corte&lt;=_xlpm.piso,0,MAX(0,MIN(1,(U260-_xlpm.piso)/(_xlpm.corte-_xlpm.piso)))),_xlpm.orden,{"DIAMANTE";"PLATINO";"ORO";"PLATA";"BRONCE";"CERRADO"},_xlpm.act,IFERROR(MATCH(V260,_xlpm.orden,0),6),_xlpm.ant,IFERROR(MATCH(W260,_xlpm.orden,0),6),_xlpm.ajmov,IF(_xlpm.act&lt;_xlpm.ant,0.08,IF(_xlpm.act&gt;_xlpm.ant,-0.08,0)),_xlpm.ajcli,IF(T260&lt;0.95,-0.06,0),_xlpm.prob,MAX(0,MIN(1,_xlpm.prog+_xlpm.ajmov+_xlpm.ajcli)),IF(OR(V260="DIAMANTE",V260="CERRADO"),0,ROUND(_xlpm.prob,2)))</f>
        <v>0.34</v>
      </c>
      <c r="AK260" t="str">
        <f t="shared" si="108"/>
        <v>Faltan 6,4 puntos base para subir a la siguiente categoría</v>
      </c>
      <c r="AL260" t="str">
        <f t="shared" si="109"/>
        <v>Margen de seguridad: 3,2 puntos</v>
      </c>
      <c r="AM260">
        <f t="shared" si="110"/>
        <v>0.52</v>
      </c>
      <c r="AN260" t="str">
        <f t="shared" si="111"/>
        <v>PRIORIDAD MEDIA – seguimiento del asesor</v>
      </c>
      <c r="AO260">
        <f t="shared" si="112"/>
        <v>7.2385978027232056</v>
      </c>
      <c r="AP260">
        <f t="shared" si="113"/>
        <v>0.13583039604936609</v>
      </c>
      <c r="AQ260">
        <f t="shared" si="114"/>
        <v>0</v>
      </c>
      <c r="AR260">
        <f t="shared" si="115"/>
        <v>2.8</v>
      </c>
      <c r="AS260">
        <f t="shared" si="116"/>
        <v>0</v>
      </c>
      <c r="AT260" t="str">
        <f t="shared" si="117"/>
        <v>VENTAS</v>
      </c>
      <c r="AU260">
        <f t="shared" si="118"/>
        <v>7.2385978027232056</v>
      </c>
      <c r="AV260" t="str">
        <f t="shared" si="119"/>
        <v>Mayor retorno probable: VENTAS (+7,2 puntos finales potenciales).</v>
      </c>
    </row>
    <row r="261" spans="1:48" x14ac:dyDescent="0.3">
      <c r="A261" s="5">
        <v>51022785</v>
      </c>
      <c r="B261" s="5" t="str">
        <f>IFERROR(VLOOKUP(A261,VENTAS!$A$2:$B$1194,2,0),"")</f>
        <v>MONTENEGRO</v>
      </c>
      <c r="C261" s="5">
        <f>IFERROR(INDEX(VENTAS!$C$2:$E$1194,MATCH(A261,VENTAS!$A$2:$A$1194,0),MATCH(PARAMS_MODELO!$B$2,{"Q1","Q2","Q3"},0)),0)</f>
        <v>127626065.79000001</v>
      </c>
      <c r="D261" s="5">
        <f>IFERROR(INDEX(VENTAS!$F$2:$H$1194,MATCH(A261,VENTAS!$A$2:$A$1194,0),MATCH(PARAMS_MODELO!$B$2,{"Q1","Q2","Q3"},0)),0)</f>
        <v>111254797</v>
      </c>
      <c r="E261" s="8">
        <f t="shared" si="96"/>
        <v>-0.12827527581190046</v>
      </c>
      <c r="F261" s="12">
        <f>IF(E261&lt;=PARAMS_MODELO!$B$15,0,IF(E261&gt;=PARAMS_MODELO!$B$17,100,100*MIN(1,(E261-PARAMS_MODELO!$B$15)/(PARAMS_MODELO!$B$16-PARAMS_MODELO!$B$15))))*PARAMS_MODELO!$B$7</f>
        <v>0</v>
      </c>
      <c r="G261" s="5">
        <f t="shared" si="97"/>
        <v>0</v>
      </c>
      <c r="H261" s="5">
        <f>(PARAMS_MODELO!$B$20*(MAX(0,MIN(3,E261))/3)+PARAMS_MODELO!$B$21*(IFERROR(LN(1+MAX(0,G261))/LN(1+MAX(0,MAX($G$2:$G$1194))),0)))*100*PARAMS_MODELO!$B$8</f>
        <v>0</v>
      </c>
      <c r="I261" s="8">
        <f>E261-PARAMS_MODELO!$B$5</f>
        <v>-0.30583811118742699</v>
      </c>
      <c r="J261" s="5">
        <f>IF(I261&lt;=PARAMS_MODELO!$B$18,0,IF(I261&gt;=PARAMS_MODELO!$B$19,100,100*(I261-PARAMS_MODELO!$B$18)/(PARAMS_MODELO!$B$19-PARAMS_MODELO!$B$18)))*PARAMS_MODELO!$B$9</f>
        <v>0</v>
      </c>
      <c r="K261" s="5">
        <f>IFERROR(CHOOSE(MATCH(PARAMS_MODELO!$B$2,{"Q1","Q2","Q3"},0),LOTO!$D261,LOTO!$F261,LOTO!$H261),0)</f>
        <v>5520000</v>
      </c>
      <c r="L261" s="8">
        <f t="shared" si="98"/>
        <v>4.9615838137747892E-2</v>
      </c>
      <c r="M261" s="5">
        <f>MIN(100,IF(PARAMS_MODELO!$B$23=0,0,100*L261/PARAMS_MODELO!$B$23))*PARAMS_MODELO!$B$10</f>
        <v>14.884751441324365</v>
      </c>
      <c r="N261" s="5">
        <f>IFERROR(VLOOKUP(A261,COMPLIANCE!$A$2:$F$1996,6,0),100)</f>
        <v>100</v>
      </c>
      <c r="O261" s="5">
        <f>N261*PARAMS_MODELO!$B$11</f>
        <v>10</v>
      </c>
      <c r="P261" s="5">
        <f>IFERROR(VLOOKUP(A261,DIGITAL!$A$2:$J$2000,7,0),100)</f>
        <v>67</v>
      </c>
      <c r="Q261" s="5">
        <f>IFERROR(P261,0)*PARAMS_MODELO!$B$12</f>
        <v>6.7</v>
      </c>
      <c r="R261">
        <f t="shared" si="99"/>
        <v>31.584751441324364</v>
      </c>
      <c r="S261" s="5" t="str">
        <f>IFERROR(VLOOKUP(A261,CLIENTE!$A$2:$N$2000,13,0),1)</f>
        <v>Regular</v>
      </c>
      <c r="T261" s="5">
        <f>IFERROR(VLOOKUP(A261,CLIENTE!$A$2:$N$2000,14,0),1)</f>
        <v>1</v>
      </c>
      <c r="U261" s="5">
        <f t="shared" si="100"/>
        <v>31.584751441324364</v>
      </c>
      <c r="V261" s="5" t="str">
        <f>IF(U261&gt;=MAX(_xlfn.PERCENTILE.INC($U$2:$U$1194,PARAMS_MODELO!$B$50),PARAMS_MODELO!$B$45),"DIAMANTE",IF(U261&gt;=MAX(_xlfn.PERCENTILE.INC($U$2:$U$1194,PARAMS_MODELO!$B$51),PARAMS_MODELO!$B$46),"PLATINO",IF(U261&gt;=MAX(_xlfn.PERCENTILE.INC($U$2:$U$1194,PARAMS_MODELO!$B$52),PARAMS_MODELO!$B$47),"ORO",IF(U261&gt;=MAX(_xlfn.PERCENTILE.INC($U$2:$U$1194,PARAMS_MODELO!$B$53),PARAMS_MODELO!$B$48),"PLATA",IF(U261&gt;=1,"BRONCE","CERRADO")))))</f>
        <v>PLATA</v>
      </c>
      <c r="W261" s="5" t="str" cm="1">
        <f t="array" ref="W261">_xlfn.XLOOKUP(1, (HIST_SCORE!$B:$B=PARAMS_MODELO!$B$4) * (HIST_SCORE!$C:$C=A261), HIST_SCORE!$E:$E, "No encontrado")</f>
        <v>PLATA</v>
      </c>
      <c r="X261" s="5" t="str">
        <f>_xlfn.LET(_xlpm.act,MATCH(V261,{"DIAMANTE";"PLATINO";"ORO";"PLATA";"BRONCE";"CERRADO"},0),_xlpm.ant,MATCH(W261,{"DIAMANTE";"PLATINO";"ORO";"PLATA";"BRONCE";"CERRADO"},0),IF(_xlpm.act&lt;_xlpm.ant,"Mejora ↑",IF(_xlpm.act&gt;_xlpm.ant,"Baja ↓","Estable →")))</f>
        <v>Estable →</v>
      </c>
      <c r="Y261" s="5">
        <f>IFERROR(U261-SUMIFS(HIST_SCORE!$D:$D,HIST_SCORE!$B:$B,PARAMS_MODELO!$B$4,HIST_SCORE!$C:$C,$A261),"")</f>
        <v>-7.54499715348107</v>
      </c>
      <c r="Z261" s="5" t="str">
        <f t="shared" si="101"/>
        <v>↓ Baja</v>
      </c>
      <c r="AA261" s="5">
        <f t="shared" si="102"/>
        <v>840</v>
      </c>
      <c r="AB261" s="5">
        <f>IFERROR(SUMIFS(HIST_SCORE!$F:$F,HIST_SCORE!$B:$B,PARAMS_MODELO!$B$4,HIST_SCORE!$C:$C,$A261),"")</f>
        <v>846</v>
      </c>
      <c r="AC261" s="5">
        <f t="shared" si="103"/>
        <v>6</v>
      </c>
      <c r="AD261" t="str">
        <f t="shared" si="105"/>
        <v/>
      </c>
      <c r="AE2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261="CERRADO",1,IF(V261="BRONCE",_xlpm.cPl,IF(V261="PLATA",_xlpm.cO,IF(V261="ORO",_xlpm.cP,IF(V261="PLATINO",_xlpm.cD,999))))))</f>
        <v>63.199193273331495</v>
      </c>
      <c r="AF2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261="CERRADO",0,IF(V261="BRONCE",1,IF(V261="PLATA",_xlpm.cPl,IF(V261="ORO",_xlpm.cO,IF(V261="PLATINO",_xlpm.cP,_xlpm.cD))))))</f>
        <v>24.506573482968111</v>
      </c>
      <c r="AG261">
        <f t="shared" si="106"/>
        <v>31.614441832007131</v>
      </c>
      <c r="AH261" t="str">
        <f t="shared" si="107"/>
        <v>VENTAS</v>
      </c>
      <c r="AI261" t="str">
        <f t="shared" si="104"/>
        <v>🎯 Para subir de categoría, eje VENTAS / CRECIMIENTO PERSONAL (F). Acción: metas semanales + activación comercial + seguimiento del asesor. ΔR aprox: 31,6</v>
      </c>
      <c r="AJ261" s="26">
        <f>_xlfn.LET(_xlpm.piso,AF261,_xlpm.corte,AE261,_xlpm.prog,IF(_xlpm.corte&lt;=_xlpm.piso,0,MAX(0,MIN(1,(U261-_xlpm.piso)/(_xlpm.corte-_xlpm.piso)))),_xlpm.orden,{"DIAMANTE";"PLATINO";"ORO";"PLATA";"BRONCE";"CERRADO"},_xlpm.act,IFERROR(MATCH(V261,_xlpm.orden,0),6),_xlpm.ant,IFERROR(MATCH(W261,_xlpm.orden,0),6),_xlpm.ajmov,IF(_xlpm.act&lt;_xlpm.ant,0.08,IF(_xlpm.act&gt;_xlpm.ant,-0.08,0)),_xlpm.ajcli,IF(T261&lt;0.95,-0.06,0),_xlpm.prob,MAX(0,MIN(1,_xlpm.prog+_xlpm.ajmov+_xlpm.ajcli)),IF(OR(V261="DIAMANTE",V261="CERRADO"),0,ROUND(_xlpm.prob,2)))</f>
        <v>0.18</v>
      </c>
      <c r="AK261" t="str">
        <f t="shared" si="108"/>
        <v>Faltan 31,6 puntos base para subir a la siguiente categoría</v>
      </c>
      <c r="AL261" t="str">
        <f t="shared" si="109"/>
        <v>Margen de seguridad: 7,1 puntos</v>
      </c>
      <c r="AM261">
        <f t="shared" si="110"/>
        <v>0.73</v>
      </c>
      <c r="AN261" t="str">
        <f t="shared" si="111"/>
        <v>PRIORIDAD ALTA – requiere intervención inmediata</v>
      </c>
      <c r="AO261">
        <f t="shared" si="112"/>
        <v>64.862569275295584</v>
      </c>
      <c r="AP261">
        <f t="shared" si="113"/>
        <v>0.11524855867563488</v>
      </c>
      <c r="AQ261">
        <f t="shared" si="114"/>
        <v>0</v>
      </c>
      <c r="AR261">
        <f t="shared" si="115"/>
        <v>3.3</v>
      </c>
      <c r="AS261">
        <f t="shared" si="116"/>
        <v>0</v>
      </c>
      <c r="AT261" t="str">
        <f t="shared" si="117"/>
        <v>VENTAS</v>
      </c>
      <c r="AU261">
        <f t="shared" si="118"/>
        <v>64.862569275295584</v>
      </c>
      <c r="AV261" t="str">
        <f t="shared" si="119"/>
        <v>Mayor retorno probable: VENTAS (+64,9 puntos finales potenciales).</v>
      </c>
    </row>
    <row r="262" spans="1:48" x14ac:dyDescent="0.3">
      <c r="A262" s="5">
        <v>51036310</v>
      </c>
      <c r="B262" s="5" t="str">
        <f>IFERROR(VLOOKUP(A262,VENTAS!$A$2:$B$1194,2,0),"")</f>
        <v>PRADES</v>
      </c>
      <c r="C262" s="5">
        <f>IFERROR(INDEX(VENTAS!$C$2:$E$1194,MATCH(A262,VENTAS!$A$2:$A$1194,0),MATCH(PARAMS_MODELO!$B$2,{"Q1","Q2","Q3"},0)),0)</f>
        <v>112853925.84999999</v>
      </c>
      <c r="D262" s="5">
        <f>IFERROR(INDEX(VENTAS!$F$2:$H$1194,MATCH(A262,VENTAS!$A$2:$A$1194,0),MATCH(PARAMS_MODELO!$B$2,{"Q1","Q2","Q3"},0)),0)</f>
        <v>111239147</v>
      </c>
      <c r="E262" s="8">
        <f t="shared" si="96"/>
        <v>-1.4308574893054926E-2</v>
      </c>
      <c r="F262" s="12">
        <f>IF(E262&lt;=PARAMS_MODELO!$B$15,0,IF(E262&gt;=PARAMS_MODELO!$B$17,100,100*MIN(1,(E262-PARAMS_MODELO!$B$15)/(PARAMS_MODELO!$B$16-PARAMS_MODELO!$B$15))))*PARAMS_MODELO!$B$7</f>
        <v>0</v>
      </c>
      <c r="G262" s="5">
        <f t="shared" si="97"/>
        <v>0</v>
      </c>
      <c r="H262" s="5">
        <f>(PARAMS_MODELO!$B$20*(MAX(0,MIN(3,E262))/3)+PARAMS_MODELO!$B$21*(IFERROR(LN(1+MAX(0,G262))/LN(1+MAX(0,MAX($G$2:$G$1194))),0)))*100*PARAMS_MODELO!$B$8</f>
        <v>0</v>
      </c>
      <c r="I262" s="8">
        <f>E262-PARAMS_MODELO!$B$5</f>
        <v>-0.19187141026858145</v>
      </c>
      <c r="J262" s="5">
        <f>IF(I262&lt;=PARAMS_MODELO!$B$18,0,IF(I262&gt;=PARAMS_MODELO!$B$19,100,100*(I262-PARAMS_MODELO!$B$18)/(PARAMS_MODELO!$B$19-PARAMS_MODELO!$B$18)))*PARAMS_MODELO!$B$9</f>
        <v>0</v>
      </c>
      <c r="K262" s="5">
        <f>IFERROR(CHOOSE(MATCH(PARAMS_MODELO!$B$2,{"Q1","Q2","Q3"},0),LOTO!$D262,LOTO!$F262,LOTO!$H262),0)</f>
        <v>5515000</v>
      </c>
      <c r="L262" s="8">
        <f t="shared" si="98"/>
        <v>4.9577870279785587E-2</v>
      </c>
      <c r="M262" s="5">
        <f>MIN(100,IF(PARAMS_MODELO!$B$23=0,0,100*L262/PARAMS_MODELO!$B$23))*PARAMS_MODELO!$B$10</f>
        <v>14.873361083935675</v>
      </c>
      <c r="N262" s="5">
        <f>IFERROR(VLOOKUP(A262,COMPLIANCE!$A$2:$F$1996,6,0),100)</f>
        <v>99.9</v>
      </c>
      <c r="O262" s="5">
        <f>N262*PARAMS_MODELO!$B$11</f>
        <v>9.990000000000002</v>
      </c>
      <c r="P262" s="5">
        <f>IFERROR(VLOOKUP(A262,DIGITAL!$A$2:$J$2000,7,0),100)</f>
        <v>56</v>
      </c>
      <c r="Q262" s="5">
        <f>IFERROR(P262,0)*PARAMS_MODELO!$B$12</f>
        <v>5.6000000000000005</v>
      </c>
      <c r="R262">
        <f t="shared" si="99"/>
        <v>30.463361083935681</v>
      </c>
      <c r="S262" s="5" t="str">
        <f>IFERROR(VLOOKUP(A262,CLIENTE!$A$2:$N$2000,13,0),1)</f>
        <v>Regular</v>
      </c>
      <c r="T262" s="5">
        <f>IFERROR(VLOOKUP(A262,CLIENTE!$A$2:$N$2000,14,0),1)</f>
        <v>1</v>
      </c>
      <c r="U262" s="5">
        <f t="shared" si="100"/>
        <v>30.463361083935681</v>
      </c>
      <c r="V262" s="5" t="str">
        <f>IF(U262&gt;=MAX(_xlfn.PERCENTILE.INC($U$2:$U$1194,PARAMS_MODELO!$B$50),PARAMS_MODELO!$B$45),"DIAMANTE",IF(U262&gt;=MAX(_xlfn.PERCENTILE.INC($U$2:$U$1194,PARAMS_MODELO!$B$51),PARAMS_MODELO!$B$46),"PLATINO",IF(U262&gt;=MAX(_xlfn.PERCENTILE.INC($U$2:$U$1194,PARAMS_MODELO!$B$52),PARAMS_MODELO!$B$47),"ORO",IF(U262&gt;=MAX(_xlfn.PERCENTILE.INC($U$2:$U$1194,PARAMS_MODELO!$B$53),PARAMS_MODELO!$B$48),"PLATA",IF(U262&gt;=1,"BRONCE","CERRADO")))))</f>
        <v>PLATA</v>
      </c>
      <c r="W262" s="5" t="str" cm="1">
        <f t="array" ref="W262">_xlfn.XLOOKUP(1, (HIST_SCORE!$B:$B=PARAMS_MODELO!$B$4) * (HIST_SCORE!$C:$C=A262), HIST_SCORE!$E:$E, "No encontrado")</f>
        <v>PLATA</v>
      </c>
      <c r="X262" s="5" t="str">
        <f>_xlfn.LET(_xlpm.act,MATCH(V262,{"DIAMANTE";"PLATINO";"ORO";"PLATA";"BRONCE";"CERRADO"},0),_xlpm.ant,MATCH(W262,{"DIAMANTE";"PLATINO";"ORO";"PLATA";"BRONCE";"CERRADO"},0),IF(_xlpm.act&lt;_xlpm.ant,"Mejora ↑",IF(_xlpm.act&gt;_xlpm.ant,"Baja ↓","Estable →")))</f>
        <v>Estable →</v>
      </c>
      <c r="Y262" s="5">
        <f>IFERROR(U262-SUMIFS(HIST_SCORE!$D:$D,HIST_SCORE!$B:$B,PARAMS_MODELO!$B$4,HIST_SCORE!$C:$C,$A262),"")</f>
        <v>1.5742345419575443</v>
      </c>
      <c r="Z262" s="5" t="str">
        <f t="shared" si="101"/>
        <v>→ Estable</v>
      </c>
      <c r="AA262" s="5">
        <f t="shared" si="102"/>
        <v>855</v>
      </c>
      <c r="AB262" s="5">
        <f>IFERROR(SUMIFS(HIST_SCORE!$F:$F,HIST_SCORE!$B:$B,PARAMS_MODELO!$B$4,HIST_SCORE!$C:$C,$A262),"")</f>
        <v>917</v>
      </c>
      <c r="AC262" s="5">
        <f t="shared" si="103"/>
        <v>62</v>
      </c>
      <c r="AD262" t="str">
        <f t="shared" si="105"/>
        <v/>
      </c>
      <c r="AE2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262="CERRADO",1,IF(V262="BRONCE",_xlpm.cPl,IF(V262="PLATA",_xlpm.cO,IF(V262="ORO",_xlpm.cP,IF(V262="PLATINO",_xlpm.cD,999))))))</f>
        <v>63.199193273331495</v>
      </c>
      <c r="AF2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262="CERRADO",0,IF(V262="BRONCE",1,IF(V262="PLATA",_xlpm.cPl,IF(V262="ORO",_xlpm.cO,IF(V262="PLATINO",_xlpm.cP,_xlpm.cD))))))</f>
        <v>24.506573482968111</v>
      </c>
      <c r="AG262">
        <f t="shared" si="106"/>
        <v>32.735832189395815</v>
      </c>
      <c r="AH262" t="str">
        <f t="shared" si="107"/>
        <v>VENTAS</v>
      </c>
      <c r="AI262" t="str">
        <f t="shared" si="104"/>
        <v>🎯 Para subir de categoría, eje VENTAS / CRECIMIENTO PERSONAL (F). Acción: metas semanales + activación comercial + seguimiento del asesor. ΔR aprox: 32,7</v>
      </c>
      <c r="AJ262" s="26">
        <f>_xlfn.LET(_xlpm.piso,AF262,_xlpm.corte,AE262,_xlpm.prog,IF(_xlpm.corte&lt;=_xlpm.piso,0,MAX(0,MIN(1,(U262-_xlpm.piso)/(_xlpm.corte-_xlpm.piso)))),_xlpm.orden,{"DIAMANTE";"PLATINO";"ORO";"PLATA";"BRONCE";"CERRADO"},_xlpm.act,IFERROR(MATCH(V262,_xlpm.orden,0),6),_xlpm.ant,IFERROR(MATCH(W262,_xlpm.orden,0),6),_xlpm.ajmov,IF(_xlpm.act&lt;_xlpm.ant,0.08,IF(_xlpm.act&gt;_xlpm.ant,-0.08,0)),_xlpm.ajcli,IF(T262&lt;0.95,-0.06,0),_xlpm.prob,MAX(0,MIN(1,_xlpm.prog+_xlpm.ajmov+_xlpm.ajcli)),IF(OR(V262="DIAMANTE",V262="CERRADO"),0,ROUND(_xlpm.prob,2)))</f>
        <v>0.15</v>
      </c>
      <c r="AK262" t="str">
        <f t="shared" si="108"/>
        <v>Faltan 32,7 puntos base para subir a la siguiente categoría</v>
      </c>
      <c r="AL262" t="str">
        <f t="shared" si="109"/>
        <v>Margen de seguridad: 6,0 puntos</v>
      </c>
      <c r="AM262">
        <f t="shared" si="110"/>
        <v>0.74</v>
      </c>
      <c r="AN262" t="str">
        <f t="shared" si="111"/>
        <v>PRIORIDAD ALTA – requiere intervención inmediata</v>
      </c>
      <c r="AO262">
        <f t="shared" si="112"/>
        <v>64.862569275295584</v>
      </c>
      <c r="AP262">
        <f t="shared" si="113"/>
        <v>0.12663891606432465</v>
      </c>
      <c r="AQ262">
        <f t="shared" si="114"/>
        <v>9.9999999999980105E-3</v>
      </c>
      <c r="AR262">
        <f t="shared" si="115"/>
        <v>4.3999999999999995</v>
      </c>
      <c r="AS262">
        <f t="shared" si="116"/>
        <v>0</v>
      </c>
      <c r="AT262" t="str">
        <f t="shared" si="117"/>
        <v>VENTAS</v>
      </c>
      <c r="AU262">
        <f t="shared" si="118"/>
        <v>64.862569275295584</v>
      </c>
      <c r="AV262" t="str">
        <f t="shared" si="119"/>
        <v>Mayor retorno probable: VENTAS (+64,9 puntos finales potenciales).</v>
      </c>
    </row>
    <row r="263" spans="1:48" x14ac:dyDescent="0.3">
      <c r="A263" s="5">
        <v>51010710</v>
      </c>
      <c r="B263" s="5" t="str">
        <f>IFERROR(VLOOKUP(A263,VENTAS!$A$2:$B$1194,2,0),"")</f>
        <v>ARGUELLO</v>
      </c>
      <c r="C263" s="5">
        <f>IFERROR(INDEX(VENTAS!$C$2:$E$1194,MATCH(A263,VENTAS!$A$2:$A$1194,0),MATCH(PARAMS_MODELO!$B$2,{"Q1","Q2","Q3"},0)),0)</f>
        <v>69771593.219999999</v>
      </c>
      <c r="D263" s="5">
        <f>IFERROR(INDEX(VENTAS!$F$2:$H$1194,MATCH(A263,VENTAS!$A$2:$A$1194,0),MATCH(PARAMS_MODELO!$B$2,{"Q1","Q2","Q3"},0)),0)</f>
        <v>111210124</v>
      </c>
      <c r="E263" s="8">
        <f t="shared" si="96"/>
        <v>0.59391693478086816</v>
      </c>
      <c r="F263" s="12">
        <f>IF(E263&lt;=PARAMS_MODELO!$B$15,0,IF(E263&gt;=PARAMS_MODELO!$B$17,100,100*MIN(1,(E263-PARAMS_MODELO!$B$15)/(PARAMS_MODELO!$B$16-PARAMS_MODELO!$B$15))))*PARAMS_MODELO!$B$7</f>
        <v>35</v>
      </c>
      <c r="G263" s="5">
        <f t="shared" si="97"/>
        <v>41438530.780000001</v>
      </c>
      <c r="H263" s="5">
        <f>(PARAMS_MODELO!$B$20*(MAX(0,MIN(3,E263))/3)+PARAMS_MODELO!$B$21*(IFERROR(LN(1+MAX(0,G263))/LN(1+MAX(0,MAX($G$2:$G$1194))),0)))*100*PARAMS_MODELO!$B$8</f>
        <v>6.1902649108186223</v>
      </c>
      <c r="I263" s="8">
        <f>E263-PARAMS_MODELO!$B$5</f>
        <v>0.41635409940534163</v>
      </c>
      <c r="J263" s="5">
        <f>IF(I263&lt;=PARAMS_MODELO!$B$18,0,IF(I263&gt;=PARAMS_MODELO!$B$19,100,100*(I263-PARAMS_MODELO!$B$18)/(PARAMS_MODELO!$B$19-PARAMS_MODELO!$B$18)))*PARAMS_MODELO!$B$9</f>
        <v>15</v>
      </c>
      <c r="K263" s="5">
        <f>IFERROR(CHOOSE(MATCH(PARAMS_MODELO!$B$2,{"Q1","Q2","Q3"},0),LOTO!$D263,LOTO!$F263,LOTO!$H263),0)</f>
        <v>5510000</v>
      </c>
      <c r="L263" s="8">
        <f t="shared" si="98"/>
        <v>4.954584890131046E-2</v>
      </c>
      <c r="M263" s="5">
        <f>MIN(100,IF(PARAMS_MODELO!$B$23=0,0,100*L263/PARAMS_MODELO!$B$23))*PARAMS_MODELO!$B$10</f>
        <v>14.863754670393137</v>
      </c>
      <c r="N263" s="5">
        <f>IFERROR(VLOOKUP(A263,COMPLIANCE!$A$2:$F$1996,6,0),100)</f>
        <v>99.58</v>
      </c>
      <c r="O263" s="5">
        <f>N263*PARAMS_MODELO!$B$11</f>
        <v>9.9580000000000002</v>
      </c>
      <c r="P263" s="5">
        <f>IFERROR(VLOOKUP(A263,DIGITAL!$A$2:$J$2000,7,0),100)</f>
        <v>14</v>
      </c>
      <c r="Q263" s="5">
        <f>IFERROR(P263,0)*PARAMS_MODELO!$B$12</f>
        <v>1.4000000000000001</v>
      </c>
      <c r="R263">
        <f t="shared" si="99"/>
        <v>82.412019581211766</v>
      </c>
      <c r="S263" s="5" t="str">
        <f>IFERROR(VLOOKUP(A263,CLIENTE!$A$2:$N$2000,13,0),1)</f>
        <v>Regular</v>
      </c>
      <c r="T263" s="5">
        <f>IFERROR(VLOOKUP(A263,CLIENTE!$A$2:$N$2000,14,0),1)</f>
        <v>1</v>
      </c>
      <c r="U263" s="5">
        <f t="shared" si="100"/>
        <v>82.412019581211766</v>
      </c>
      <c r="V263" s="5" t="str">
        <f>IF(U263&gt;=MAX(_xlfn.PERCENTILE.INC($U$2:$U$1194,PARAMS_MODELO!$B$50),PARAMS_MODELO!$B$45),"DIAMANTE",IF(U263&gt;=MAX(_xlfn.PERCENTILE.INC($U$2:$U$1194,PARAMS_MODELO!$B$51),PARAMS_MODELO!$B$46),"PLATINO",IF(U263&gt;=MAX(_xlfn.PERCENTILE.INC($U$2:$U$1194,PARAMS_MODELO!$B$52),PARAMS_MODELO!$B$47),"ORO",IF(U263&gt;=MAX(_xlfn.PERCENTILE.INC($U$2:$U$1194,PARAMS_MODELO!$B$53),PARAMS_MODELO!$B$48),"PLATA",IF(U263&gt;=1,"BRONCE","CERRADO")))))</f>
        <v>ORO</v>
      </c>
      <c r="W263" s="5" t="str" cm="1">
        <f t="array" ref="W263">_xlfn.XLOOKUP(1, (HIST_SCORE!$B:$B=PARAMS_MODELO!$B$4) * (HIST_SCORE!$C:$C=A263), HIST_SCORE!$E:$E, "No encontrado")</f>
        <v>PLATA</v>
      </c>
      <c r="X263" s="5" t="str">
        <f>_xlfn.LET(_xlpm.act,MATCH(V263,{"DIAMANTE";"PLATINO";"ORO";"PLATA";"BRONCE";"CERRADO"},0),_xlpm.ant,MATCH(W263,{"DIAMANTE";"PLATINO";"ORO";"PLATA";"BRONCE";"CERRADO"},0),IF(_xlpm.act&lt;_xlpm.ant,"Mejora ↑",IF(_xlpm.act&gt;_xlpm.ant,"Baja ↓","Estable →")))</f>
        <v>Mejora ↑</v>
      </c>
      <c r="Y263" s="5">
        <f>IFERROR(U263-SUMIFS(HIST_SCORE!$D:$D,HIST_SCORE!$B:$B,PARAMS_MODELO!$B$4,HIST_SCORE!$C:$C,$A263),"")</f>
        <v>56.054019581211769</v>
      </c>
      <c r="Z263" s="5" t="str">
        <f t="shared" si="101"/>
        <v>↑ Mejora</v>
      </c>
      <c r="AA263" s="5">
        <f t="shared" si="102"/>
        <v>376</v>
      </c>
      <c r="AB263" s="5">
        <f>IFERROR(SUMIFS(HIST_SCORE!$F:$F,HIST_SCORE!$B:$B,PARAMS_MODELO!$B$4,HIST_SCORE!$C:$C,$A263),"")</f>
        <v>938</v>
      </c>
      <c r="AC263" s="5">
        <f t="shared" si="103"/>
        <v>562</v>
      </c>
      <c r="AD263" t="str">
        <f t="shared" si="105"/>
        <v/>
      </c>
      <c r="AE2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263="CERRADO",1,IF(V263="BRONCE",_xlpm.cPl,IF(V263="PLATA",_xlpm.cO,IF(V263="ORO",_xlpm.cP,IF(V263="PLATINO",_xlpm.cD,999))))))</f>
        <v>86.439123873763251</v>
      </c>
      <c r="AF2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263="CERRADO",0,IF(V263="BRONCE",1,IF(V263="PLATA",_xlpm.cPl,IF(V263="ORO",_xlpm.cO,IF(V263="PLATINO",_xlpm.cP,_xlpm.cD))))))</f>
        <v>63.199193273331495</v>
      </c>
      <c r="AG263">
        <f t="shared" si="106"/>
        <v>4.0271042925514848</v>
      </c>
      <c r="AH263" t="str">
        <f t="shared" si="107"/>
        <v>VENTAS</v>
      </c>
      <c r="AI263" t="str">
        <f t="shared" si="104"/>
        <v>🎯 Para subir de categoría, eje VENTAS / IMPACTO ABSOLUTO (H). Acción: metas semanales + activación comercial + seguimiento del asesor. ΔR aprox: 4,0</v>
      </c>
      <c r="AJ263" s="26">
        <f>_xlfn.LET(_xlpm.piso,AF263,_xlpm.corte,AE263,_xlpm.prog,IF(_xlpm.corte&lt;=_xlpm.piso,0,MAX(0,MIN(1,(U263-_xlpm.piso)/(_xlpm.corte-_xlpm.piso)))),_xlpm.orden,{"DIAMANTE";"PLATINO";"ORO";"PLATA";"BRONCE";"CERRADO"},_xlpm.act,IFERROR(MATCH(V263,_xlpm.orden,0),6),_xlpm.ant,IFERROR(MATCH(W263,_xlpm.orden,0),6),_xlpm.ajmov,IF(_xlpm.act&lt;_xlpm.ant,0.08,IF(_xlpm.act&gt;_xlpm.ant,-0.08,0)),_xlpm.ajcli,IF(T263&lt;0.95,-0.06,0),_xlpm.prob,MAX(0,MIN(1,_xlpm.prog+_xlpm.ajmov+_xlpm.ajcli)),IF(OR(V263="DIAMANTE",V263="CERRADO"),0,ROUND(_xlpm.prob,2)))</f>
        <v>0.91</v>
      </c>
      <c r="AK263" t="str">
        <f t="shared" si="108"/>
        <v>Faltan 4,0 puntos base para subir a la siguiente categoría</v>
      </c>
      <c r="AL263" t="str">
        <f t="shared" si="109"/>
        <v>Margen de seguridad: 19,2 puntos</v>
      </c>
      <c r="AM263">
        <f t="shared" si="110"/>
        <v>0.2</v>
      </c>
      <c r="AN263" t="str">
        <f t="shared" si="111"/>
        <v>PRIORIDAD BAJA – control normal</v>
      </c>
      <c r="AO263">
        <f t="shared" si="112"/>
        <v>8.6723043644769646</v>
      </c>
      <c r="AP263">
        <f t="shared" si="113"/>
        <v>0.13624532960686331</v>
      </c>
      <c r="AQ263">
        <f t="shared" si="114"/>
        <v>4.1999999999999815E-2</v>
      </c>
      <c r="AR263">
        <f t="shared" si="115"/>
        <v>8.6</v>
      </c>
      <c r="AS263">
        <f t="shared" si="116"/>
        <v>0</v>
      </c>
      <c r="AT263" t="str">
        <f t="shared" si="117"/>
        <v>VENTAS</v>
      </c>
      <c r="AU263">
        <f t="shared" si="118"/>
        <v>8.6723043644769646</v>
      </c>
      <c r="AV263" t="str">
        <f t="shared" si="119"/>
        <v>Mayor retorno probable: VENTAS (+8,7 puntos finales potenciales).</v>
      </c>
    </row>
    <row r="264" spans="1:48" x14ac:dyDescent="0.3">
      <c r="A264" s="5">
        <v>51034376</v>
      </c>
      <c r="B264" s="5" t="str">
        <f>IFERROR(VLOOKUP(A264,VENTAS!$A$2:$B$1194,2,0),"")</f>
        <v>CICHETTO</v>
      </c>
      <c r="C264" s="5">
        <f>IFERROR(INDEX(VENTAS!$C$2:$E$1194,MATCH(A264,VENTAS!$A$2:$A$1194,0),MATCH(PARAMS_MODELO!$B$2,{"Q1","Q2","Q3"},0)),0)</f>
        <v>93463518.75</v>
      </c>
      <c r="D264" s="5">
        <f>IFERROR(INDEX(VENTAS!$F$2:$H$1194,MATCH(A264,VENTAS!$A$2:$A$1194,0),MATCH(PARAMS_MODELO!$B$2,{"Q1","Q2","Q3"},0)),0)</f>
        <v>111079132</v>
      </c>
      <c r="E264" s="8">
        <f t="shared" si="96"/>
        <v>0.18847581907459476</v>
      </c>
      <c r="F264" s="12">
        <f>IF(E264&lt;=PARAMS_MODELO!$B$15,0,IF(E264&gt;=PARAMS_MODELO!$B$17,100,100*MIN(1,(E264-PARAMS_MODELO!$B$15)/(PARAMS_MODELO!$B$16-PARAMS_MODELO!$B$15))))*PARAMS_MODELO!$B$7</f>
        <v>35</v>
      </c>
      <c r="G264" s="5">
        <f t="shared" si="97"/>
        <v>17615613.25</v>
      </c>
      <c r="H264" s="5">
        <f>(PARAMS_MODELO!$B$20*(MAX(0,MIN(3,E264))/3)+PARAMS_MODELO!$B$21*(IFERROR(LN(1+MAX(0,G264))/LN(1+MAX(0,MAX($G$2:$G$1194))),0)))*100*PARAMS_MODELO!$B$8</f>
        <v>4.570697329766114</v>
      </c>
      <c r="I264" s="8">
        <f>E264-PARAMS_MODELO!$B$5</f>
        <v>1.0912983699068235E-2</v>
      </c>
      <c r="J264" s="5">
        <f>IF(I264&lt;=PARAMS_MODELO!$B$18,0,IF(I264&gt;=PARAMS_MODELO!$B$19,100,100*(I264-PARAMS_MODELO!$B$18)/(PARAMS_MODELO!$B$19-PARAMS_MODELO!$B$18)))*PARAMS_MODELO!$B$9</f>
        <v>9.1369475548602352</v>
      </c>
      <c r="K264" s="5">
        <f>IFERROR(CHOOSE(MATCH(PARAMS_MODELO!$B$2,{"Q1","Q2","Q3"},0),LOTO!$D264,LOTO!$F264,LOTO!$H264),0)</f>
        <v>5510000</v>
      </c>
      <c r="L264" s="8">
        <f t="shared" si="98"/>
        <v>4.960427670608733E-2</v>
      </c>
      <c r="M264" s="5">
        <f>MIN(100,IF(PARAMS_MODELO!$B$23=0,0,100*L264/PARAMS_MODELO!$B$23))*PARAMS_MODELO!$B$10</f>
        <v>14.881283011826197</v>
      </c>
      <c r="N264" s="5">
        <f>IFERROR(VLOOKUP(A264,COMPLIANCE!$A$2:$F$1996,6,0),100)</f>
        <v>98.05</v>
      </c>
      <c r="O264" s="5">
        <f>N264*PARAMS_MODELO!$B$11</f>
        <v>9.8049999999999997</v>
      </c>
      <c r="P264" s="5">
        <f>IFERROR(VLOOKUP(A264,DIGITAL!$A$2:$J$2000,7,0),100)</f>
        <v>7</v>
      </c>
      <c r="Q264" s="5">
        <f>IFERROR(P264,0)*PARAMS_MODELO!$B$12</f>
        <v>0.70000000000000007</v>
      </c>
      <c r="R264">
        <f t="shared" si="99"/>
        <v>74.093927896452541</v>
      </c>
      <c r="S264" s="5" t="str">
        <f>IFERROR(VLOOKUP(A264,CLIENTE!$A$2:$N$2000,13,0),1)</f>
        <v>Muy Bueno</v>
      </c>
      <c r="T264" s="5">
        <f>IFERROR(VLOOKUP(A264,CLIENTE!$A$2:$N$2000,14,0),1)</f>
        <v>1.1499999999999999</v>
      </c>
      <c r="U264" s="5">
        <f t="shared" si="100"/>
        <v>85.208017080920413</v>
      </c>
      <c r="V264" s="5" t="str">
        <f>IF(U264&gt;=MAX(_xlfn.PERCENTILE.INC($U$2:$U$1194,PARAMS_MODELO!$B$50),PARAMS_MODELO!$B$45),"DIAMANTE",IF(U264&gt;=MAX(_xlfn.PERCENTILE.INC($U$2:$U$1194,PARAMS_MODELO!$B$51),PARAMS_MODELO!$B$46),"PLATINO",IF(U264&gt;=MAX(_xlfn.PERCENTILE.INC($U$2:$U$1194,PARAMS_MODELO!$B$52),PARAMS_MODELO!$B$47),"ORO",IF(U264&gt;=MAX(_xlfn.PERCENTILE.INC($U$2:$U$1194,PARAMS_MODELO!$B$53),PARAMS_MODELO!$B$48),"PLATA",IF(U264&gt;=1,"BRONCE","CERRADO")))))</f>
        <v>ORO</v>
      </c>
      <c r="W264" s="5" t="str" cm="1">
        <f t="array" ref="W264">_xlfn.XLOOKUP(1, (HIST_SCORE!$B:$B=PARAMS_MODELO!$B$4) * (HIST_SCORE!$C:$C=A264), HIST_SCORE!$E:$E, "No encontrado")</f>
        <v>PLATINO</v>
      </c>
      <c r="X264" s="5" t="str">
        <f>_xlfn.LET(_xlpm.act,MATCH(V264,{"DIAMANTE";"PLATINO";"ORO";"PLATA";"BRONCE";"CERRADO"},0),_xlpm.ant,MATCH(W264,{"DIAMANTE";"PLATINO";"ORO";"PLATA";"BRONCE";"CERRADO"},0),IF(_xlpm.act&lt;_xlpm.ant,"Mejora ↑",IF(_xlpm.act&gt;_xlpm.ant,"Baja ↓","Estable →")))</f>
        <v>Baja ↓</v>
      </c>
      <c r="Y264" s="5">
        <f>IFERROR(U264-SUMIFS(HIST_SCORE!$D:$D,HIST_SCORE!$B:$B,PARAMS_MODELO!$B$4,HIST_SCORE!$C:$C,$A264),"")</f>
        <v>-8.3486424408475415</v>
      </c>
      <c r="Z264" s="5" t="str">
        <f t="shared" si="101"/>
        <v>↓ Baja</v>
      </c>
      <c r="AA264" s="5">
        <f t="shared" si="102"/>
        <v>277</v>
      </c>
      <c r="AB264" s="5">
        <f>IFERROR(SUMIFS(HIST_SCORE!$F:$F,HIST_SCORE!$B:$B,PARAMS_MODELO!$B$4,HIST_SCORE!$C:$C,$A264),"")</f>
        <v>76</v>
      </c>
      <c r="AC264" s="5">
        <f t="shared" si="103"/>
        <v>-201</v>
      </c>
      <c r="AD264" t="str">
        <f t="shared" si="105"/>
        <v>Sostener base y reforzar mix</v>
      </c>
      <c r="AE2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264="CERRADO",1,IF(V264="BRONCE",_xlpm.cPl,IF(V264="PLATA",_xlpm.cO,IF(V264="ORO",_xlpm.cP,IF(V264="PLATINO",_xlpm.cD,999))))))</f>
        <v>86.439123873763251</v>
      </c>
      <c r="AF2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264="CERRADO",0,IF(V264="BRONCE",1,IF(V264="PLATA",_xlpm.cPl,IF(V264="ORO",_xlpm.cO,IF(V264="PLATINO",_xlpm.cP,_xlpm.cD))))))</f>
        <v>63.199193273331495</v>
      </c>
      <c r="AG264">
        <f t="shared" si="106"/>
        <v>1.0705276459502926</v>
      </c>
      <c r="AH264" t="str">
        <f t="shared" si="107"/>
        <v>VENTAS</v>
      </c>
      <c r="AI264" t="str">
        <f t="shared" si="104"/>
        <v>🎯 Para subir de categoría, eje VENTAS / IMPACTO ABSOLUTO (H). Acción: metas semanales + activación comercial + seguimiento del asesor. ΔR aprox: 1,1</v>
      </c>
      <c r="AJ264" s="26">
        <f>_xlfn.LET(_xlpm.piso,AF264,_xlpm.corte,AE264,_xlpm.prog,IF(_xlpm.corte&lt;=_xlpm.piso,0,MAX(0,MIN(1,(U264-_xlpm.piso)/(_xlpm.corte-_xlpm.piso)))),_xlpm.orden,{"DIAMANTE";"PLATINO";"ORO";"PLATA";"BRONCE";"CERRADO"},_xlpm.act,IFERROR(MATCH(V264,_xlpm.orden,0),6),_xlpm.ant,IFERROR(MATCH(W264,_xlpm.orden,0),6),_xlpm.ajmov,IF(_xlpm.act&lt;_xlpm.ant,0.08,IF(_xlpm.act&gt;_xlpm.ant,-0.08,0)),_xlpm.ajcli,IF(T264&lt;0.95,-0.06,0),_xlpm.prob,MAX(0,MIN(1,_xlpm.prog+_xlpm.ajmov+_xlpm.ajcli)),IF(OR(V264="DIAMANTE",V264="CERRADO"),0,ROUND(_xlpm.prob,2)))</f>
        <v>0.87</v>
      </c>
      <c r="AK264" t="str">
        <f t="shared" si="108"/>
        <v>Faltan 1,1 puntos base para subir a la siguiente categoría</v>
      </c>
      <c r="AL264" t="str">
        <f t="shared" si="109"/>
        <v>Margen de seguridad: 22,0 puntos</v>
      </c>
      <c r="AM264">
        <f t="shared" si="110"/>
        <v>0.09</v>
      </c>
      <c r="AN264" t="str">
        <f t="shared" si="111"/>
        <v>PRIORIDAD BAJA – control normal</v>
      </c>
      <c r="AO264">
        <f t="shared" si="112"/>
        <v>18.578163049269619</v>
      </c>
      <c r="AP264">
        <f t="shared" si="113"/>
        <v>0.13652453639987375</v>
      </c>
      <c r="AQ264">
        <f t="shared" si="114"/>
        <v>0.22425000000000031</v>
      </c>
      <c r="AR264">
        <f t="shared" si="115"/>
        <v>10.695</v>
      </c>
      <c r="AS264">
        <f t="shared" si="116"/>
        <v>0</v>
      </c>
      <c r="AT264" t="str">
        <f t="shared" si="117"/>
        <v>VENTAS</v>
      </c>
      <c r="AU264">
        <f t="shared" si="118"/>
        <v>18.578163049269619</v>
      </c>
      <c r="AV264" t="str">
        <f t="shared" si="119"/>
        <v>Mayor retorno probable: VENTAS (+18,6 puntos finales potenciales).</v>
      </c>
    </row>
    <row r="265" spans="1:48" x14ac:dyDescent="0.3">
      <c r="A265" s="5">
        <v>51023561</v>
      </c>
      <c r="B265" s="5" t="str">
        <f>IFERROR(VLOOKUP(A265,VENTAS!$A$2:$B$1194,2,0),"")</f>
        <v>LÓPEZ</v>
      </c>
      <c r="C265" s="5">
        <f>IFERROR(INDEX(VENTAS!$C$2:$E$1194,MATCH(A265,VENTAS!$A$2:$A$1194,0),MATCH(PARAMS_MODELO!$B$2,{"Q1","Q2","Q3"},0)),0)</f>
        <v>59488738.359999999</v>
      </c>
      <c r="D265" s="5">
        <f>IFERROR(INDEX(VENTAS!$F$2:$H$1194,MATCH(A265,VENTAS!$A$2:$A$1194,0),MATCH(PARAMS_MODELO!$B$2,{"Q1","Q2","Q3"},0)),0)</f>
        <v>111023533</v>
      </c>
      <c r="E265" s="8">
        <f t="shared" si="96"/>
        <v>0.86629496709333131</v>
      </c>
      <c r="F265" s="12">
        <f>IF(E265&lt;=PARAMS_MODELO!$B$15,0,IF(E265&gt;=PARAMS_MODELO!$B$17,100,100*MIN(1,(E265-PARAMS_MODELO!$B$15)/(PARAMS_MODELO!$B$16-PARAMS_MODELO!$B$15))))*PARAMS_MODELO!$B$7</f>
        <v>35</v>
      </c>
      <c r="G265" s="5">
        <f t="shared" si="97"/>
        <v>51534794.640000001</v>
      </c>
      <c r="H265" s="5">
        <f>(PARAMS_MODELO!$B$20*(MAX(0,MIN(3,E265))/3)+PARAMS_MODELO!$B$21*(IFERROR(LN(1+MAX(0,G265))/LN(1+MAX(0,MAX($G$2:$G$1194))),0)))*100*PARAMS_MODELO!$B$8</f>
        <v>7.1947010634463311</v>
      </c>
      <c r="I265" s="8">
        <f>E265-PARAMS_MODELO!$B$5</f>
        <v>0.68873213171780479</v>
      </c>
      <c r="J265" s="5">
        <f>IF(I265&lt;=PARAMS_MODELO!$B$18,0,IF(I265&gt;=PARAMS_MODELO!$B$19,100,100*(I265-PARAMS_MODELO!$B$18)/(PARAMS_MODELO!$B$19-PARAMS_MODELO!$B$18)))*PARAMS_MODELO!$B$9</f>
        <v>15</v>
      </c>
      <c r="K265" s="5">
        <f>IFERROR(CHOOSE(MATCH(PARAMS_MODELO!$B$2,{"Q1","Q2","Q3"},0),LOTO!$D265,LOTO!$F265,LOTO!$H265),0)</f>
        <v>5500000</v>
      </c>
      <c r="L265" s="8">
        <f t="shared" si="98"/>
        <v>4.953904682532486E-2</v>
      </c>
      <c r="M265" s="5">
        <f>MIN(100,IF(PARAMS_MODELO!$B$23=0,0,100*L265/PARAMS_MODELO!$B$23))*PARAMS_MODELO!$B$10</f>
        <v>14.861714047597458</v>
      </c>
      <c r="N265" s="5">
        <f>IFERROR(VLOOKUP(A265,COMPLIANCE!$A$2:$F$1996,6,0),100)</f>
        <v>100</v>
      </c>
      <c r="O265" s="5">
        <f>N265*PARAMS_MODELO!$B$11</f>
        <v>10</v>
      </c>
      <c r="P265" s="5">
        <f>IFERROR(VLOOKUP(A265,DIGITAL!$A$2:$J$2000,7,0),100)</f>
        <v>21</v>
      </c>
      <c r="Q265" s="5">
        <f>IFERROR(P265,0)*PARAMS_MODELO!$B$12</f>
        <v>2.1</v>
      </c>
      <c r="R265">
        <f t="shared" si="99"/>
        <v>84.156415111043785</v>
      </c>
      <c r="S265" s="5" t="str">
        <f>IFERROR(VLOOKUP(A265,CLIENTE!$A$2:$N$2000,13,0),1)</f>
        <v>Regular</v>
      </c>
      <c r="T265" s="5">
        <f>IFERROR(VLOOKUP(A265,CLIENTE!$A$2:$N$2000,14,0),1)</f>
        <v>1</v>
      </c>
      <c r="U265" s="5">
        <f t="shared" si="100"/>
        <v>84.156415111043785</v>
      </c>
      <c r="V265" s="5" t="str">
        <f>IF(U265&gt;=MAX(_xlfn.PERCENTILE.INC($U$2:$U$1194,PARAMS_MODELO!$B$50),PARAMS_MODELO!$B$45),"DIAMANTE",IF(U265&gt;=MAX(_xlfn.PERCENTILE.INC($U$2:$U$1194,PARAMS_MODELO!$B$51),PARAMS_MODELO!$B$46),"PLATINO",IF(U265&gt;=MAX(_xlfn.PERCENTILE.INC($U$2:$U$1194,PARAMS_MODELO!$B$52),PARAMS_MODELO!$B$47),"ORO",IF(U265&gt;=MAX(_xlfn.PERCENTILE.INC($U$2:$U$1194,PARAMS_MODELO!$B$53),PARAMS_MODELO!$B$48),"PLATA",IF(U265&gt;=1,"BRONCE","CERRADO")))))</f>
        <v>ORO</v>
      </c>
      <c r="W265" s="5" t="str" cm="1">
        <f t="array" ref="W265">_xlfn.XLOOKUP(1, (HIST_SCORE!$B:$B=PARAMS_MODELO!$B$4) * (HIST_SCORE!$C:$C=A265), HIST_SCORE!$E:$E, "No encontrado")</f>
        <v>ORO</v>
      </c>
      <c r="X265" s="5" t="str">
        <f>_xlfn.LET(_xlpm.act,MATCH(V265,{"DIAMANTE";"PLATINO";"ORO";"PLATA";"BRONCE";"CERRADO"},0),_xlpm.ant,MATCH(W265,{"DIAMANTE";"PLATINO";"ORO";"PLATA";"BRONCE";"CERRADO"},0),IF(_xlpm.act&lt;_xlpm.ant,"Mejora ↑",IF(_xlpm.act&gt;_xlpm.ant,"Baja ↓","Estable →")))</f>
        <v>Estable →</v>
      </c>
      <c r="Y265" s="5">
        <f>IFERROR(U265-SUMIFS(HIST_SCORE!$D:$D,HIST_SCORE!$B:$B,PARAMS_MODELO!$B$4,HIST_SCORE!$C:$C,$A265),"")</f>
        <v>1.3446623886609501</v>
      </c>
      <c r="Z265" s="5" t="str">
        <f t="shared" si="101"/>
        <v>→ Estable</v>
      </c>
      <c r="AA265" s="5">
        <f t="shared" si="102"/>
        <v>316</v>
      </c>
      <c r="AB265" s="5">
        <f>IFERROR(SUMIFS(HIST_SCORE!$F:$F,HIST_SCORE!$B:$B,PARAMS_MODELO!$B$4,HIST_SCORE!$C:$C,$A265),"")</f>
        <v>339</v>
      </c>
      <c r="AC265" s="5">
        <f t="shared" si="103"/>
        <v>23</v>
      </c>
      <c r="AD265" t="str">
        <f t="shared" si="105"/>
        <v/>
      </c>
      <c r="AE2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265="CERRADO",1,IF(V265="BRONCE",_xlpm.cPl,IF(V265="PLATA",_xlpm.cO,IF(V265="ORO",_xlpm.cP,IF(V265="PLATINO",_xlpm.cD,999))))))</f>
        <v>86.439123873763251</v>
      </c>
      <c r="AF2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265="CERRADO",0,IF(V265="BRONCE",1,IF(V265="PLATA",_xlpm.cPl,IF(V265="ORO",_xlpm.cO,IF(V265="PLATINO",_xlpm.cP,_xlpm.cD))))))</f>
        <v>63.199193273331495</v>
      </c>
      <c r="AG265">
        <f t="shared" si="106"/>
        <v>2.2827087627194658</v>
      </c>
      <c r="AH265" t="str">
        <f t="shared" si="107"/>
        <v>VENTAS</v>
      </c>
      <c r="AI265" t="str">
        <f t="shared" si="104"/>
        <v>🎯 Para subir de categoría, eje VENTAS / IMPACTO ABSOLUTO (H). Acción: metas semanales + activación comercial + seguimiento del asesor. ΔR aprox: 2,3</v>
      </c>
      <c r="AJ265" s="26">
        <f>_xlfn.LET(_xlpm.piso,AF265,_xlpm.corte,AE265,_xlpm.prog,IF(_xlpm.corte&lt;=_xlpm.piso,0,MAX(0,MIN(1,(U265-_xlpm.piso)/(_xlpm.corte-_xlpm.piso)))),_xlpm.orden,{"DIAMANTE";"PLATINO";"ORO";"PLATA";"BRONCE";"CERRADO"},_xlpm.act,IFERROR(MATCH(V265,_xlpm.orden,0),6),_xlpm.ant,IFERROR(MATCH(W265,_xlpm.orden,0),6),_xlpm.ajmov,IF(_xlpm.act&lt;_xlpm.ant,0.08,IF(_xlpm.act&gt;_xlpm.ant,-0.08,0)),_xlpm.ajcli,IF(T265&lt;0.95,-0.06,0),_xlpm.prob,MAX(0,MIN(1,_xlpm.prog+_xlpm.ajmov+_xlpm.ajcli)),IF(OR(V265="DIAMANTE",V265="CERRADO"),0,ROUND(_xlpm.prob,2)))</f>
        <v>0.9</v>
      </c>
      <c r="AK265" t="str">
        <f t="shared" si="108"/>
        <v>Faltan 2,3 puntos base para subir a la siguiente categoría</v>
      </c>
      <c r="AL265" t="str">
        <f t="shared" si="109"/>
        <v>Margen de seguridad: 21,0 puntos</v>
      </c>
      <c r="AM265">
        <f t="shared" si="110"/>
        <v>0.13</v>
      </c>
      <c r="AN265" t="str">
        <f t="shared" si="111"/>
        <v>PRIORIDAD BAJA – control normal</v>
      </c>
      <c r="AO265">
        <f t="shared" si="112"/>
        <v>7.6678682118492532</v>
      </c>
      <c r="AP265">
        <f t="shared" si="113"/>
        <v>0.13828595240254238</v>
      </c>
      <c r="AQ265">
        <f t="shared" si="114"/>
        <v>0</v>
      </c>
      <c r="AR265">
        <f t="shared" si="115"/>
        <v>7.9</v>
      </c>
      <c r="AS265">
        <f t="shared" si="116"/>
        <v>0</v>
      </c>
      <c r="AT265" t="str">
        <f t="shared" si="117"/>
        <v>DIGITAL</v>
      </c>
      <c r="AU265">
        <f t="shared" si="118"/>
        <v>7.9</v>
      </c>
      <c r="AV265" t="str">
        <f t="shared" si="119"/>
        <v>Mayor retorno probable: DIGITAL (+7,9 puntos finales potenciales).</v>
      </c>
    </row>
    <row r="266" spans="1:48" x14ac:dyDescent="0.3">
      <c r="A266" s="5">
        <v>51025253</v>
      </c>
      <c r="B266" s="5" t="str">
        <f>IFERROR(VLOOKUP(A266,VENTAS!$A$2:$B$1194,2,0),"")</f>
        <v>BELUZZO</v>
      </c>
      <c r="C266" s="5">
        <f>IFERROR(INDEX(VENTAS!$C$2:$E$1194,MATCH(A266,VENTAS!$A$2:$A$1194,0),MATCH(PARAMS_MODELO!$B$2,{"Q1","Q2","Q3"},0)),0)</f>
        <v>121176392.34999999</v>
      </c>
      <c r="D266" s="5">
        <f>IFERROR(INDEX(VENTAS!$F$2:$H$1194,MATCH(A266,VENTAS!$A$2:$A$1194,0),MATCH(PARAMS_MODELO!$B$2,{"Q1","Q2","Q3"},0)),0)</f>
        <v>111005391</v>
      </c>
      <c r="E266" s="8">
        <f t="shared" si="96"/>
        <v>-8.3935502227385772E-2</v>
      </c>
      <c r="F266" s="12">
        <f>IF(E266&lt;=PARAMS_MODELO!$B$15,0,IF(E266&gt;=PARAMS_MODELO!$B$17,100,100*MIN(1,(E266-PARAMS_MODELO!$B$15)/(PARAMS_MODELO!$B$16-PARAMS_MODELO!$B$15))))*PARAMS_MODELO!$B$7</f>
        <v>0</v>
      </c>
      <c r="G266" s="5">
        <f t="shared" si="97"/>
        <v>0</v>
      </c>
      <c r="H266" s="5">
        <f>(PARAMS_MODELO!$B$20*(MAX(0,MIN(3,E266))/3)+PARAMS_MODELO!$B$21*(IFERROR(LN(1+MAX(0,G266))/LN(1+MAX(0,MAX($G$2:$G$1194))),0)))*100*PARAMS_MODELO!$B$8</f>
        <v>0</v>
      </c>
      <c r="I266" s="8">
        <f>E266-PARAMS_MODELO!$B$5</f>
        <v>-0.2614983376029123</v>
      </c>
      <c r="J266" s="5">
        <f>IF(I266&lt;=PARAMS_MODELO!$B$18,0,IF(I266&gt;=PARAMS_MODELO!$B$19,100,100*(I266-PARAMS_MODELO!$B$18)/(PARAMS_MODELO!$B$19-PARAMS_MODELO!$B$18)))*PARAMS_MODELO!$B$9</f>
        <v>0</v>
      </c>
      <c r="K266" s="5">
        <f>IFERROR(CHOOSE(MATCH(PARAMS_MODELO!$B$2,{"Q1","Q2","Q3"},0),LOTO!$D266,LOTO!$F266,LOTO!$H266),0)</f>
        <v>5497500</v>
      </c>
      <c r="L266" s="8">
        <f t="shared" si="98"/>
        <v>4.9524621736614573E-2</v>
      </c>
      <c r="M266" s="5">
        <f>MIN(100,IF(PARAMS_MODELO!$B$23=0,0,100*L266/PARAMS_MODELO!$B$23))*PARAMS_MODELO!$B$10</f>
        <v>14.85738652098437</v>
      </c>
      <c r="N266" s="5">
        <f>IFERROR(VLOOKUP(A266,COMPLIANCE!$A$2:$F$1996,6,0),100)</f>
        <v>100</v>
      </c>
      <c r="O266" s="5">
        <f>N266*PARAMS_MODELO!$B$11</f>
        <v>10</v>
      </c>
      <c r="P266" s="5">
        <f>IFERROR(VLOOKUP(A266,DIGITAL!$A$2:$J$2000,7,0),100)</f>
        <v>76</v>
      </c>
      <c r="Q266" s="5">
        <f>IFERROR(P266,0)*PARAMS_MODELO!$B$12</f>
        <v>7.6000000000000005</v>
      </c>
      <c r="R266">
        <f t="shared" si="99"/>
        <v>32.457386520984372</v>
      </c>
      <c r="S266" s="5" t="str">
        <f>IFERROR(VLOOKUP(A266,CLIENTE!$A$2:$N$2000,13,0),1)</f>
        <v>Regular</v>
      </c>
      <c r="T266" s="5">
        <f>IFERROR(VLOOKUP(A266,CLIENTE!$A$2:$N$2000,14,0),1)</f>
        <v>1</v>
      </c>
      <c r="U266" s="5">
        <f t="shared" si="100"/>
        <v>32.457386520984372</v>
      </c>
      <c r="V266" s="5" t="str">
        <f>IF(U266&gt;=MAX(_xlfn.PERCENTILE.INC($U$2:$U$1194,PARAMS_MODELO!$B$50),PARAMS_MODELO!$B$45),"DIAMANTE",IF(U266&gt;=MAX(_xlfn.PERCENTILE.INC($U$2:$U$1194,PARAMS_MODELO!$B$51),PARAMS_MODELO!$B$46),"PLATINO",IF(U266&gt;=MAX(_xlfn.PERCENTILE.INC($U$2:$U$1194,PARAMS_MODELO!$B$52),PARAMS_MODELO!$B$47),"ORO",IF(U266&gt;=MAX(_xlfn.PERCENTILE.INC($U$2:$U$1194,PARAMS_MODELO!$B$53),PARAMS_MODELO!$B$48),"PLATA",IF(U266&gt;=1,"BRONCE","CERRADO")))))</f>
        <v>PLATA</v>
      </c>
      <c r="W266" s="5" t="str" cm="1">
        <f t="array" ref="W266">_xlfn.XLOOKUP(1, (HIST_SCORE!$B:$B=PARAMS_MODELO!$B$4) * (HIST_SCORE!$C:$C=A266), HIST_SCORE!$E:$E, "No encontrado")</f>
        <v>PLATA</v>
      </c>
      <c r="X266" s="5" t="str">
        <f>_xlfn.LET(_xlpm.act,MATCH(V266,{"DIAMANTE";"PLATINO";"ORO";"PLATA";"BRONCE";"CERRADO"},0),_xlpm.ant,MATCH(W266,{"DIAMANTE";"PLATINO";"ORO";"PLATA";"BRONCE";"CERRADO"},0),IF(_xlpm.act&lt;_xlpm.ant,"Mejora ↑",IF(_xlpm.act&gt;_xlpm.ant,"Baja ↓","Estable →")))</f>
        <v>Estable →</v>
      </c>
      <c r="Y266" s="5">
        <f>IFERROR(U266-SUMIFS(HIST_SCORE!$D:$D,HIST_SCORE!$B:$B,PARAMS_MODELO!$B$4,HIST_SCORE!$C:$C,$A266),"")</f>
        <v>-4.3795179263753425E-2</v>
      </c>
      <c r="Z266" s="5" t="str">
        <f t="shared" si="101"/>
        <v>→ Estable</v>
      </c>
      <c r="AA266" s="5">
        <f t="shared" si="102"/>
        <v>831</v>
      </c>
      <c r="AB266" s="5">
        <f>IFERROR(SUMIFS(HIST_SCORE!$F:$F,HIST_SCORE!$B:$B,PARAMS_MODELO!$B$4,HIST_SCORE!$C:$C,$A266),"")</f>
        <v>884</v>
      </c>
      <c r="AC266" s="5">
        <f t="shared" si="103"/>
        <v>53</v>
      </c>
      <c r="AD266" t="str">
        <f t="shared" si="105"/>
        <v/>
      </c>
      <c r="AE2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266="CERRADO",1,IF(V266="BRONCE",_xlpm.cPl,IF(V266="PLATA",_xlpm.cO,IF(V266="ORO",_xlpm.cP,IF(V266="PLATINO",_xlpm.cD,999))))))</f>
        <v>63.199193273331495</v>
      </c>
      <c r="AF2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266="CERRADO",0,IF(V266="BRONCE",1,IF(V266="PLATA",_xlpm.cPl,IF(V266="ORO",_xlpm.cO,IF(V266="PLATINO",_xlpm.cP,_xlpm.cD))))))</f>
        <v>24.506573482968111</v>
      </c>
      <c r="AG266">
        <f t="shared" si="106"/>
        <v>30.741806752347124</v>
      </c>
      <c r="AH266" t="str">
        <f t="shared" si="107"/>
        <v>VENTAS</v>
      </c>
      <c r="AI266" t="str">
        <f t="shared" si="104"/>
        <v>🎯 Para subir de categoría, eje VENTAS / CRECIMIENTO PERSONAL (F). Acción: metas semanales + activación comercial + seguimiento del asesor. ΔR aprox: 30,7</v>
      </c>
      <c r="AJ266" s="26">
        <f>_xlfn.LET(_xlpm.piso,AF266,_xlpm.corte,AE266,_xlpm.prog,IF(_xlpm.corte&lt;=_xlpm.piso,0,MAX(0,MIN(1,(U266-_xlpm.piso)/(_xlpm.corte-_xlpm.piso)))),_xlpm.orden,{"DIAMANTE";"PLATINO";"ORO";"PLATA";"BRONCE";"CERRADO"},_xlpm.act,IFERROR(MATCH(V266,_xlpm.orden,0),6),_xlpm.ant,IFERROR(MATCH(W266,_xlpm.orden,0),6),_xlpm.ajmov,IF(_xlpm.act&lt;_xlpm.ant,0.08,IF(_xlpm.act&gt;_xlpm.ant,-0.08,0)),_xlpm.ajcli,IF(T266&lt;0.95,-0.06,0),_xlpm.prob,MAX(0,MIN(1,_xlpm.prog+_xlpm.ajmov+_xlpm.ajcli)),IF(OR(V266="DIAMANTE",V266="CERRADO"),0,ROUND(_xlpm.prob,2)))</f>
        <v>0.21</v>
      </c>
      <c r="AK266" t="str">
        <f t="shared" si="108"/>
        <v>Faltan 30,7 puntos base para subir a la siguiente categoría</v>
      </c>
      <c r="AL266" t="str">
        <f t="shared" si="109"/>
        <v>Margen de seguridad: 8,0 puntos</v>
      </c>
      <c r="AM266">
        <f t="shared" si="110"/>
        <v>0.72</v>
      </c>
      <c r="AN266" t="str">
        <f t="shared" si="111"/>
        <v>PRIORIDAD ALTA – requiere intervención inmediata</v>
      </c>
      <c r="AO266">
        <f t="shared" si="112"/>
        <v>64.862569275295584</v>
      </c>
      <c r="AP266">
        <f t="shared" si="113"/>
        <v>0.14261347901562971</v>
      </c>
      <c r="AQ266">
        <f t="shared" si="114"/>
        <v>0</v>
      </c>
      <c r="AR266">
        <f t="shared" si="115"/>
        <v>2.3999999999999995</v>
      </c>
      <c r="AS266">
        <f t="shared" si="116"/>
        <v>0</v>
      </c>
      <c r="AT266" t="str">
        <f t="shared" si="117"/>
        <v>VENTAS</v>
      </c>
      <c r="AU266">
        <f t="shared" si="118"/>
        <v>64.862569275295584</v>
      </c>
      <c r="AV266" t="str">
        <f t="shared" si="119"/>
        <v>Mayor retorno probable: VENTAS (+64,9 puntos finales potenciales).</v>
      </c>
    </row>
    <row r="267" spans="1:48" x14ac:dyDescent="0.3">
      <c r="A267" s="5">
        <v>51030176</v>
      </c>
      <c r="B267" s="5" t="str">
        <f>IFERROR(VLOOKUP(A267,VENTAS!$A$2:$B$1194,2,0),"")</f>
        <v>ARGUELLO</v>
      </c>
      <c r="C267" s="5">
        <f>IFERROR(INDEX(VENTAS!$C$2:$E$1194,MATCH(A267,VENTAS!$A$2:$A$1194,0),MATCH(PARAMS_MODELO!$B$2,{"Q1","Q2","Q3"},0)),0)</f>
        <v>106255483.26000001</v>
      </c>
      <c r="D267" s="5">
        <f>IFERROR(INDEX(VENTAS!$F$2:$H$1194,MATCH(A267,VENTAS!$A$2:$A$1194,0),MATCH(PARAMS_MODELO!$B$2,{"Q1","Q2","Q3"},0)),0)</f>
        <v>110971135</v>
      </c>
      <c r="E267" s="8">
        <f t="shared" si="96"/>
        <v>4.4380314270098475E-2</v>
      </c>
      <c r="F267" s="12">
        <f>IF(E267&lt;=PARAMS_MODELO!$B$15,0,IF(E267&gt;=PARAMS_MODELO!$B$17,100,100*MIN(1,(E267-PARAMS_MODELO!$B$15)/(PARAMS_MODELO!$B$16-PARAMS_MODELO!$B$15))))*PARAMS_MODELO!$B$7</f>
        <v>15.533109994534465</v>
      </c>
      <c r="G267" s="5">
        <f t="shared" si="97"/>
        <v>4715651.7399999946</v>
      </c>
      <c r="H267" s="5">
        <f>(PARAMS_MODELO!$B$20*(MAX(0,MIN(3,E267))/3)+PARAMS_MODELO!$B$21*(IFERROR(LN(1+MAX(0,G267))/LN(1+MAX(0,MAX($G$2:$G$1194))),0)))*100*PARAMS_MODELO!$B$8</f>
        <v>3.7574292940983809</v>
      </c>
      <c r="I267" s="8">
        <f>E267-PARAMS_MODELO!$B$5</f>
        <v>-0.13318252110542805</v>
      </c>
      <c r="J267" s="5">
        <f>IF(I267&lt;=PARAMS_MODELO!$B$18,0,IF(I267&gt;=PARAMS_MODELO!$B$19,100,100*(I267-PARAMS_MODELO!$B$18)/(PARAMS_MODELO!$B$19-PARAMS_MODELO!$B$18)))*PARAMS_MODELO!$B$9</f>
        <v>0</v>
      </c>
      <c r="K267" s="5">
        <f>IFERROR(CHOOSE(MATCH(PARAMS_MODELO!$B$2,{"Q1","Q2","Q3"},0),LOTO!$D267,LOTO!$F267,LOTO!$H267),0)</f>
        <v>5492500</v>
      </c>
      <c r="L267" s="8">
        <f t="shared" si="98"/>
        <v>4.9494852873226899E-2</v>
      </c>
      <c r="M267" s="5">
        <f>MIN(100,IF(PARAMS_MODELO!$B$23=0,0,100*L267/PARAMS_MODELO!$B$23))*PARAMS_MODELO!$B$10</f>
        <v>14.848455861968068</v>
      </c>
      <c r="N267" s="5">
        <f>IFERROR(VLOOKUP(A267,COMPLIANCE!$A$2:$F$1996,6,0),100)</f>
        <v>100</v>
      </c>
      <c r="O267" s="5">
        <f>N267*PARAMS_MODELO!$B$11</f>
        <v>10</v>
      </c>
      <c r="P267" s="5">
        <f>IFERROR(VLOOKUP(A267,DIGITAL!$A$2:$J$2000,7,0),100)</f>
        <v>100</v>
      </c>
      <c r="Q267" s="5">
        <f>IFERROR(P267,0)*PARAMS_MODELO!$B$12</f>
        <v>10</v>
      </c>
      <c r="R267">
        <f t="shared" si="99"/>
        <v>54.138995150600913</v>
      </c>
      <c r="S267" s="5" t="str">
        <f>IFERROR(VLOOKUP(A267,CLIENTE!$A$2:$N$2000,13,0),1)</f>
        <v>Bueno</v>
      </c>
      <c r="T267" s="5">
        <f>IFERROR(VLOOKUP(A267,CLIENTE!$A$2:$N$2000,14,0),1)</f>
        <v>1.1000000000000001</v>
      </c>
      <c r="U267" s="5">
        <f t="shared" si="100"/>
        <v>59.552894665661007</v>
      </c>
      <c r="V267" s="5" t="str">
        <f>IF(U267&gt;=MAX(_xlfn.PERCENTILE.INC($U$2:$U$1194,PARAMS_MODELO!$B$50),PARAMS_MODELO!$B$45),"DIAMANTE",IF(U267&gt;=MAX(_xlfn.PERCENTILE.INC($U$2:$U$1194,PARAMS_MODELO!$B$51),PARAMS_MODELO!$B$46),"PLATINO",IF(U267&gt;=MAX(_xlfn.PERCENTILE.INC($U$2:$U$1194,PARAMS_MODELO!$B$52),PARAMS_MODELO!$B$47),"ORO",IF(U267&gt;=MAX(_xlfn.PERCENTILE.INC($U$2:$U$1194,PARAMS_MODELO!$B$53),PARAMS_MODELO!$B$48),"PLATA",IF(U267&gt;=1,"BRONCE","CERRADO")))))</f>
        <v>PLATA</v>
      </c>
      <c r="W267" s="5" t="str" cm="1">
        <f t="array" ref="W267">_xlfn.XLOOKUP(1, (HIST_SCORE!$B:$B=PARAMS_MODELO!$B$4) * (HIST_SCORE!$C:$C=A267), HIST_SCORE!$E:$E, "No encontrado")</f>
        <v>ORO</v>
      </c>
      <c r="X267" s="5" t="str">
        <f>_xlfn.LET(_xlpm.act,MATCH(V267,{"DIAMANTE";"PLATINO";"ORO";"PLATA";"BRONCE";"CERRADO"},0),_xlpm.ant,MATCH(W267,{"DIAMANTE";"PLATINO";"ORO";"PLATA";"BRONCE";"CERRADO"},0),IF(_xlpm.act&lt;_xlpm.ant,"Mejora ↑",IF(_xlpm.act&gt;_xlpm.ant,"Baja ↓","Estable →")))</f>
        <v>Baja ↓</v>
      </c>
      <c r="Y267" s="5">
        <f>IFERROR(U267-SUMIFS(HIST_SCORE!$D:$D,HIST_SCORE!$B:$B,PARAMS_MODELO!$B$4,HIST_SCORE!$C:$C,$A267),"")</f>
        <v>-16.614084854542874</v>
      </c>
      <c r="Z267" s="5" t="str">
        <f t="shared" si="101"/>
        <v>↓ Baja</v>
      </c>
      <c r="AA267" s="5">
        <f t="shared" si="102"/>
        <v>630</v>
      </c>
      <c r="AB267" s="5">
        <f>IFERROR(SUMIFS(HIST_SCORE!$F:$F,HIST_SCORE!$B:$B,PARAMS_MODELO!$B$4,HIST_SCORE!$C:$C,$A267),"")</f>
        <v>480</v>
      </c>
      <c r="AC267" s="5">
        <f t="shared" si="103"/>
        <v>-150</v>
      </c>
      <c r="AD267" t="str">
        <f t="shared" si="105"/>
        <v/>
      </c>
      <c r="AE2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267="CERRADO",1,IF(V267="BRONCE",_xlpm.cPl,IF(V267="PLATA",_xlpm.cO,IF(V267="ORO",_xlpm.cP,IF(V267="PLATINO",_xlpm.cD,999))))))</f>
        <v>63.199193273331495</v>
      </c>
      <c r="AF2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267="CERRADO",0,IF(V267="BRONCE",1,IF(V267="PLATA",_xlpm.cPl,IF(V267="ORO",_xlpm.cO,IF(V267="PLATINO",_xlpm.cP,_xlpm.cD))))))</f>
        <v>24.506573482968111</v>
      </c>
      <c r="AG267">
        <f t="shared" si="106"/>
        <v>3.3148169160640819</v>
      </c>
      <c r="AH267" t="str">
        <f t="shared" si="107"/>
        <v>VENTAS</v>
      </c>
      <c r="AI267" t="str">
        <f t="shared" si="104"/>
        <v>🎯 Para subir de categoría, eje VENTAS / DIFERENCIAL vs LOTBA (J). Acción: metas semanales + activación comercial + seguimiento del asesor. ΔR aprox: 3,3</v>
      </c>
      <c r="AJ267" s="26">
        <f>_xlfn.LET(_xlpm.piso,AF267,_xlpm.corte,AE267,_xlpm.prog,IF(_xlpm.corte&lt;=_xlpm.piso,0,MAX(0,MIN(1,(U267-_xlpm.piso)/(_xlpm.corte-_xlpm.piso)))),_xlpm.orden,{"DIAMANTE";"PLATINO";"ORO";"PLATA";"BRONCE";"CERRADO"},_xlpm.act,IFERROR(MATCH(V267,_xlpm.orden,0),6),_xlpm.ant,IFERROR(MATCH(W267,_xlpm.orden,0),6),_xlpm.ajmov,IF(_xlpm.act&lt;_xlpm.ant,0.08,IF(_xlpm.act&gt;_xlpm.ant,-0.08,0)),_xlpm.ajcli,IF(T267&lt;0.95,-0.06,0),_xlpm.prob,MAX(0,MIN(1,_xlpm.prog+_xlpm.ajmov+_xlpm.ajcli)),IF(OR(V267="DIAMANTE",V267="CERRADO"),0,ROUND(_xlpm.prob,2)))</f>
        <v>0.83</v>
      </c>
      <c r="AK267" t="str">
        <f t="shared" si="108"/>
        <v>Faltan 3,3 puntos base para subir a la siguiente categoría</v>
      </c>
      <c r="AL267" t="str">
        <f t="shared" si="109"/>
        <v>Margen de seguridad: 35,0 puntos</v>
      </c>
      <c r="AM267">
        <f t="shared" si="110"/>
        <v>0.2</v>
      </c>
      <c r="AN267" t="str">
        <f t="shared" si="111"/>
        <v>PRIORIDAD BAJA – control normal</v>
      </c>
      <c r="AO267">
        <f t="shared" si="112"/>
        <v>50.129232985329018</v>
      </c>
      <c r="AP267">
        <f t="shared" si="113"/>
        <v>0.16669855183512522</v>
      </c>
      <c r="AQ267">
        <f t="shared" si="114"/>
        <v>0</v>
      </c>
      <c r="AR267">
        <f t="shared" si="115"/>
        <v>0</v>
      </c>
      <c r="AS267">
        <f t="shared" si="116"/>
        <v>0</v>
      </c>
      <c r="AT267" t="str">
        <f t="shared" si="117"/>
        <v>VENTAS</v>
      </c>
      <c r="AU267">
        <f t="shared" si="118"/>
        <v>50.129232985329018</v>
      </c>
      <c r="AV267" t="str">
        <f t="shared" si="119"/>
        <v>Mayor retorno probable: VENTAS (+50,1 puntos finales potenciales).</v>
      </c>
    </row>
    <row r="268" spans="1:48" x14ac:dyDescent="0.3">
      <c r="A268" s="5">
        <v>51024575</v>
      </c>
      <c r="B268" s="5" t="str">
        <f>IFERROR(VLOOKUP(A268,VENTAS!$A$2:$B$1194,2,0),"")</f>
        <v>MONTENEGRO</v>
      </c>
      <c r="C268" s="5">
        <f>IFERROR(INDEX(VENTAS!$C$2:$E$1194,MATCH(A268,VENTAS!$A$2:$A$1194,0),MATCH(PARAMS_MODELO!$B$2,{"Q1","Q2","Q3"},0)),0)</f>
        <v>93777208.319999993</v>
      </c>
      <c r="D268" s="5">
        <f>IFERROR(INDEX(VENTAS!$F$2:$H$1194,MATCH(A268,VENTAS!$A$2:$A$1194,0),MATCH(PARAMS_MODELO!$B$2,{"Q1","Q2","Q3"},0)),0)</f>
        <v>110897535</v>
      </c>
      <c r="E268" s="8">
        <f t="shared" si="96"/>
        <v>0.18256383386440311</v>
      </c>
      <c r="F268" s="12">
        <f>IF(E268&lt;=PARAMS_MODELO!$B$15,0,IF(E268&gt;=PARAMS_MODELO!$B$17,100,100*MIN(1,(E268-PARAMS_MODELO!$B$15)/(PARAMS_MODELO!$B$16-PARAMS_MODELO!$B$15))))*PARAMS_MODELO!$B$7</f>
        <v>35</v>
      </c>
      <c r="G268" s="5">
        <f t="shared" si="97"/>
        <v>17120326.680000007</v>
      </c>
      <c r="H268" s="5">
        <f>(PARAMS_MODELO!$B$20*(MAX(0,MIN(3,E268))/3)+PARAMS_MODELO!$B$21*(IFERROR(LN(1+MAX(0,G268))/LN(1+MAX(0,MAX($G$2:$G$1194))),0)))*100*PARAMS_MODELO!$B$8</f>
        <v>4.5433200896264179</v>
      </c>
      <c r="I268" s="8">
        <f>E268-PARAMS_MODELO!$B$5</f>
        <v>5.0009984888765846E-3</v>
      </c>
      <c r="J268" s="5">
        <f>IF(I268&lt;=PARAMS_MODELO!$B$18,0,IF(I268&gt;=PARAMS_MODELO!$B$19,100,100*(I268-PARAMS_MODELO!$B$18)/(PARAMS_MODELO!$B$19-PARAMS_MODELO!$B$18)))*PARAMS_MODELO!$B$9</f>
        <v>8.2501497733314864</v>
      </c>
      <c r="K268" s="5">
        <f>IFERROR(CHOOSE(MATCH(PARAMS_MODELO!$B$2,{"Q1","Q2","Q3"},0),LOTO!$D268,LOTO!$F268,LOTO!$H268),0)</f>
        <v>5475000</v>
      </c>
      <c r="L268" s="8">
        <f t="shared" si="98"/>
        <v>4.9369898077536167E-2</v>
      </c>
      <c r="M268" s="5">
        <f>MIN(100,IF(PARAMS_MODELO!$B$23=0,0,100*L268/PARAMS_MODELO!$B$23))*PARAMS_MODELO!$B$10</f>
        <v>14.810969423260849</v>
      </c>
      <c r="N268" s="5">
        <f>IFERROR(VLOOKUP(A268,COMPLIANCE!$A$2:$F$1996,6,0),100)</f>
        <v>100</v>
      </c>
      <c r="O268" s="5">
        <f>N268*PARAMS_MODELO!$B$11</f>
        <v>10</v>
      </c>
      <c r="P268" s="5">
        <f>IFERROR(VLOOKUP(A268,DIGITAL!$A$2:$J$2000,7,0),100)</f>
        <v>24</v>
      </c>
      <c r="Q268" s="5">
        <f>IFERROR(P268,0)*PARAMS_MODELO!$B$12</f>
        <v>2.4000000000000004</v>
      </c>
      <c r="R268">
        <f t="shared" si="99"/>
        <v>75.004439286218769</v>
      </c>
      <c r="S268" s="5" t="str">
        <f>IFERROR(VLOOKUP(A268,CLIENTE!$A$2:$N$2000,13,0),1)</f>
        <v>Regular</v>
      </c>
      <c r="T268" s="5">
        <f>IFERROR(VLOOKUP(A268,CLIENTE!$A$2:$N$2000,14,0),1)</f>
        <v>1</v>
      </c>
      <c r="U268" s="5">
        <f t="shared" si="100"/>
        <v>75.004439286218769</v>
      </c>
      <c r="V268" s="5" t="str">
        <f>IF(U268&gt;=MAX(_xlfn.PERCENTILE.INC($U$2:$U$1194,PARAMS_MODELO!$B$50),PARAMS_MODELO!$B$45),"DIAMANTE",IF(U268&gt;=MAX(_xlfn.PERCENTILE.INC($U$2:$U$1194,PARAMS_MODELO!$B$51),PARAMS_MODELO!$B$46),"PLATINO",IF(U268&gt;=MAX(_xlfn.PERCENTILE.INC($U$2:$U$1194,PARAMS_MODELO!$B$52),PARAMS_MODELO!$B$47),"ORO",IF(U268&gt;=MAX(_xlfn.PERCENTILE.INC($U$2:$U$1194,PARAMS_MODELO!$B$53),PARAMS_MODELO!$B$48),"PLATA",IF(U268&gt;=1,"BRONCE","CERRADO")))))</f>
        <v>ORO</v>
      </c>
      <c r="W268" s="5" t="str" cm="1">
        <f t="array" ref="W268">_xlfn.XLOOKUP(1, (HIST_SCORE!$B:$B=PARAMS_MODELO!$B$4) * (HIST_SCORE!$C:$C=A268), HIST_SCORE!$E:$E, "No encontrado")</f>
        <v>ORO</v>
      </c>
      <c r="X268" s="5" t="str">
        <f>_xlfn.LET(_xlpm.act,MATCH(V268,{"DIAMANTE";"PLATINO";"ORO";"PLATA";"BRONCE";"CERRADO"},0),_xlpm.ant,MATCH(W268,{"DIAMANTE";"PLATINO";"ORO";"PLATA";"BRONCE";"CERRADO"},0),IF(_xlpm.act&lt;_xlpm.ant,"Mejora ↑",IF(_xlpm.act&gt;_xlpm.ant,"Baja ↓","Estable →")))</f>
        <v>Estable →</v>
      </c>
      <c r="Y268" s="5">
        <f>IFERROR(U268-SUMIFS(HIST_SCORE!$D:$D,HIST_SCORE!$B:$B,PARAMS_MODELO!$B$4,HIST_SCORE!$C:$C,$A268),"")</f>
        <v>-4.2398674466652437</v>
      </c>
      <c r="Z268" s="5" t="str">
        <f t="shared" si="101"/>
        <v>→ Estable</v>
      </c>
      <c r="AA268" s="5">
        <f t="shared" si="102"/>
        <v>475</v>
      </c>
      <c r="AB268" s="5">
        <f>IFERROR(SUMIFS(HIST_SCORE!$F:$F,HIST_SCORE!$B:$B,PARAMS_MODELO!$B$4,HIST_SCORE!$C:$C,$A268),"")</f>
        <v>434</v>
      </c>
      <c r="AC268" s="5">
        <f t="shared" si="103"/>
        <v>-41</v>
      </c>
      <c r="AD268" t="str">
        <f t="shared" si="105"/>
        <v>Sostener base y reforzar mix</v>
      </c>
      <c r="AE2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268="CERRADO",1,IF(V268="BRONCE",_xlpm.cPl,IF(V268="PLATA",_xlpm.cO,IF(V268="ORO",_xlpm.cP,IF(V268="PLATINO",_xlpm.cD,999))))))</f>
        <v>86.439123873763251</v>
      </c>
      <c r="AF2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268="CERRADO",0,IF(V268="BRONCE",1,IF(V268="PLATA",_xlpm.cPl,IF(V268="ORO",_xlpm.cO,IF(V268="PLATINO",_xlpm.cP,_xlpm.cD))))))</f>
        <v>63.199193273331495</v>
      </c>
      <c r="AG268">
        <f t="shared" si="106"/>
        <v>11.434684587544481</v>
      </c>
      <c r="AH268" t="str">
        <f t="shared" si="107"/>
        <v>VENTAS</v>
      </c>
      <c r="AI268" t="str">
        <f t="shared" si="104"/>
        <v>🎯 Para subir de categoría, eje VENTAS / IMPACTO ABSOLUTO (H). Acción: metas semanales + activación comercial + seguimiento del asesor. ΔR aprox: 11,4</v>
      </c>
      <c r="AJ268" s="26">
        <f>_xlfn.LET(_xlpm.piso,AF268,_xlpm.corte,AE268,_xlpm.prog,IF(_xlpm.corte&lt;=_xlpm.piso,0,MAX(0,MIN(1,(U268-_xlpm.piso)/(_xlpm.corte-_xlpm.piso)))),_xlpm.orden,{"DIAMANTE";"PLATINO";"ORO";"PLATA";"BRONCE";"CERRADO"},_xlpm.act,IFERROR(MATCH(V268,_xlpm.orden,0),6),_xlpm.ant,IFERROR(MATCH(W268,_xlpm.orden,0),6),_xlpm.ajmov,IF(_xlpm.act&lt;_xlpm.ant,0.08,IF(_xlpm.act&gt;_xlpm.ant,-0.08,0)),_xlpm.ajcli,IF(T268&lt;0.95,-0.06,0),_xlpm.prob,MAX(0,MIN(1,_xlpm.prog+_xlpm.ajmov+_xlpm.ajcli)),IF(OR(V268="DIAMANTE",V268="CERRADO"),0,ROUND(_xlpm.prob,2)))</f>
        <v>0.51</v>
      </c>
      <c r="AK268" t="str">
        <f t="shared" si="108"/>
        <v>Faltan 11,4 puntos base para subir a la siguiente categoría</v>
      </c>
      <c r="AL268" t="str">
        <f t="shared" si="109"/>
        <v>Margen de seguridad: 11,8 puntos</v>
      </c>
      <c r="AM268">
        <f t="shared" si="110"/>
        <v>0.6</v>
      </c>
      <c r="AN268" t="str">
        <f t="shared" si="111"/>
        <v>PRIORIDAD MEDIA – seguimiento del asesor</v>
      </c>
      <c r="AO268">
        <f t="shared" si="112"/>
        <v>17.069099412337678</v>
      </c>
      <c r="AP268">
        <f t="shared" si="113"/>
        <v>0.18903057673915136</v>
      </c>
      <c r="AQ268">
        <f t="shared" si="114"/>
        <v>0</v>
      </c>
      <c r="AR268">
        <f t="shared" si="115"/>
        <v>7.6</v>
      </c>
      <c r="AS268">
        <f t="shared" si="116"/>
        <v>0</v>
      </c>
      <c r="AT268" t="str">
        <f t="shared" si="117"/>
        <v>VENTAS</v>
      </c>
      <c r="AU268">
        <f t="shared" si="118"/>
        <v>17.069099412337678</v>
      </c>
      <c r="AV268" t="str">
        <f t="shared" si="119"/>
        <v>Mayor retorno probable: VENTAS (+17,1 puntos finales potenciales).</v>
      </c>
    </row>
    <row r="269" spans="1:48" x14ac:dyDescent="0.3">
      <c r="A269" s="5">
        <v>51005333</v>
      </c>
      <c r="B269" s="5" t="str">
        <f>IFERROR(VLOOKUP(A269,VENTAS!$A$2:$B$1194,2,0),"")</f>
        <v>AYALA</v>
      </c>
      <c r="C269" s="5">
        <f>IFERROR(INDEX(VENTAS!$C$2:$E$1194,MATCH(A269,VENTAS!$A$2:$A$1194,0),MATCH(PARAMS_MODELO!$B$2,{"Q1","Q2","Q3"},0)),0)</f>
        <v>108002948.02</v>
      </c>
      <c r="D269" s="5">
        <f>IFERROR(INDEX(VENTAS!$F$2:$H$1194,MATCH(A269,VENTAS!$A$2:$A$1194,0),MATCH(PARAMS_MODELO!$B$2,{"Q1","Q2","Q3"},0)),0)</f>
        <v>110753090</v>
      </c>
      <c r="E269" s="8">
        <f t="shared" si="96"/>
        <v>2.546358252638381E-2</v>
      </c>
      <c r="F269" s="12">
        <f>IF(E269&lt;=PARAMS_MODELO!$B$15,0,IF(E269&gt;=PARAMS_MODELO!$B$17,100,100*MIN(1,(E269-PARAMS_MODELO!$B$15)/(PARAMS_MODELO!$B$16-PARAMS_MODELO!$B$15))))*PARAMS_MODELO!$B$7</f>
        <v>8.9122538842343335</v>
      </c>
      <c r="G269" s="5">
        <f t="shared" si="97"/>
        <v>2750141.9800000042</v>
      </c>
      <c r="H269" s="5">
        <f>(PARAMS_MODELO!$B$20*(MAX(0,MIN(3,E269))/3)+PARAMS_MODELO!$B$21*(IFERROR(LN(1+MAX(0,G269))/LN(1+MAX(0,MAX($G$2:$G$1194))),0)))*100*PARAMS_MODELO!$B$8</f>
        <v>3.5648166515926278</v>
      </c>
      <c r="I269" s="8">
        <f>E269-PARAMS_MODELO!$B$5</f>
        <v>-0.15209925284914272</v>
      </c>
      <c r="J269" s="5">
        <f>IF(I269&lt;=PARAMS_MODELO!$B$18,0,IF(I269&gt;=PARAMS_MODELO!$B$19,100,100*(I269-PARAMS_MODELO!$B$18)/(PARAMS_MODELO!$B$19-PARAMS_MODELO!$B$18)))*PARAMS_MODELO!$B$9</f>
        <v>0</v>
      </c>
      <c r="K269" s="5">
        <f>IFERROR(CHOOSE(MATCH(PARAMS_MODELO!$B$2,{"Q1","Q2","Q3"},0),LOTO!$D269,LOTO!$F269,LOTO!$H269),0)</f>
        <v>5460000</v>
      </c>
      <c r="L269" s="8">
        <f t="shared" si="98"/>
        <v>4.929885026232677E-2</v>
      </c>
      <c r="M269" s="5">
        <f>MIN(100,IF(PARAMS_MODELO!$B$23=0,0,100*L269/PARAMS_MODELO!$B$23))*PARAMS_MODELO!$B$10</f>
        <v>14.789655078698029</v>
      </c>
      <c r="N269" s="5">
        <f>IFERROR(VLOOKUP(A269,COMPLIANCE!$A$2:$F$1996,6,0),100)</f>
        <v>100</v>
      </c>
      <c r="O269" s="5">
        <f>N269*PARAMS_MODELO!$B$11</f>
        <v>10</v>
      </c>
      <c r="P269" s="5">
        <f>IFERROR(VLOOKUP(A269,DIGITAL!$A$2:$J$2000,7,0),100)</f>
        <v>86</v>
      </c>
      <c r="Q269" s="5">
        <f>IFERROR(P269,0)*PARAMS_MODELO!$B$12</f>
        <v>8.6</v>
      </c>
      <c r="R269">
        <f t="shared" si="99"/>
        <v>45.866725614524988</v>
      </c>
      <c r="S269" s="5" t="str">
        <f>IFERROR(VLOOKUP(A269,CLIENTE!$A$2:$N$2000,13,0),1)</f>
        <v>Muy Bueno</v>
      </c>
      <c r="T269" s="5">
        <f>IFERROR(VLOOKUP(A269,CLIENTE!$A$2:$N$2000,14,0),1)</f>
        <v>1.1499999999999999</v>
      </c>
      <c r="U269" s="5">
        <f t="shared" si="100"/>
        <v>52.746734456703734</v>
      </c>
      <c r="V269" s="5" t="str">
        <f>IF(U269&gt;=MAX(_xlfn.PERCENTILE.INC($U$2:$U$1194,PARAMS_MODELO!$B$50),PARAMS_MODELO!$B$45),"DIAMANTE",IF(U269&gt;=MAX(_xlfn.PERCENTILE.INC($U$2:$U$1194,PARAMS_MODELO!$B$51),PARAMS_MODELO!$B$46),"PLATINO",IF(U269&gt;=MAX(_xlfn.PERCENTILE.INC($U$2:$U$1194,PARAMS_MODELO!$B$52),PARAMS_MODELO!$B$47),"ORO",IF(U269&gt;=MAX(_xlfn.PERCENTILE.INC($U$2:$U$1194,PARAMS_MODELO!$B$53),PARAMS_MODELO!$B$48),"PLATA",IF(U269&gt;=1,"BRONCE","CERRADO")))))</f>
        <v>PLATA</v>
      </c>
      <c r="W269" s="5" t="str" cm="1">
        <f t="array" ref="W269">_xlfn.XLOOKUP(1, (HIST_SCORE!$B:$B=PARAMS_MODELO!$B$4) * (HIST_SCORE!$C:$C=A269), HIST_SCORE!$E:$E, "No encontrado")</f>
        <v>ORO</v>
      </c>
      <c r="X269" s="5" t="str">
        <f>_xlfn.LET(_xlpm.act,MATCH(V269,{"DIAMANTE";"PLATINO";"ORO";"PLATA";"BRONCE";"CERRADO"},0),_xlpm.ant,MATCH(W269,{"DIAMANTE";"PLATINO";"ORO";"PLATA";"BRONCE";"CERRADO"},0),IF(_xlpm.act&lt;_xlpm.ant,"Mejora ↑",IF(_xlpm.act&gt;_xlpm.ant,"Baja ↓","Estable →")))</f>
        <v>Baja ↓</v>
      </c>
      <c r="Y269" s="5">
        <f>IFERROR(U269-SUMIFS(HIST_SCORE!$D:$D,HIST_SCORE!$B:$B,PARAMS_MODELO!$B$4,HIST_SCORE!$C:$C,$A269),"")</f>
        <v>-29.126734029238804</v>
      </c>
      <c r="Z269" s="5" t="str">
        <f t="shared" si="101"/>
        <v>↓ Baja</v>
      </c>
      <c r="AA269" s="5">
        <f t="shared" si="102"/>
        <v>726</v>
      </c>
      <c r="AB269" s="5">
        <f>IFERROR(SUMIFS(HIST_SCORE!$F:$F,HIST_SCORE!$B:$B,PARAMS_MODELO!$B$4,HIST_SCORE!$C:$C,$A269),"")</f>
        <v>371</v>
      </c>
      <c r="AC269" s="5">
        <f t="shared" si="103"/>
        <v>-355</v>
      </c>
      <c r="AD269" t="str">
        <f t="shared" si="105"/>
        <v/>
      </c>
      <c r="AE2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269="CERRADO",1,IF(V269="BRONCE",_xlpm.cPl,IF(V269="PLATA",_xlpm.cO,IF(V269="ORO",_xlpm.cP,IF(V269="PLATINO",_xlpm.cD,999))))))</f>
        <v>63.199193273331495</v>
      </c>
      <c r="AF2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269="CERRADO",0,IF(V269="BRONCE",1,IF(V269="PLATA",_xlpm.cPl,IF(V269="ORO",_xlpm.cO,IF(V269="PLATINO",_xlpm.cP,_xlpm.cD))))))</f>
        <v>24.506573482968111</v>
      </c>
      <c r="AG269">
        <f t="shared" si="106"/>
        <v>9.0890946231545797</v>
      </c>
      <c r="AH269" t="str">
        <f t="shared" si="107"/>
        <v>VENTAS</v>
      </c>
      <c r="AI269" t="str">
        <f t="shared" si="104"/>
        <v>🎯 Para subir de categoría, eje VENTAS / DIFERENCIAL vs LOTBA (J). Acción: metas semanales + activación comercial + seguimiento del asesor. ΔR aprox: 9,1</v>
      </c>
      <c r="AJ269" s="26">
        <f>_xlfn.LET(_xlpm.piso,AF269,_xlpm.corte,AE269,_xlpm.prog,IF(_xlpm.corte&lt;=_xlpm.piso,0,MAX(0,MIN(1,(U269-_xlpm.piso)/(_xlpm.corte-_xlpm.piso)))),_xlpm.orden,{"DIAMANTE";"PLATINO";"ORO";"PLATA";"BRONCE";"CERRADO"},_xlpm.act,IFERROR(MATCH(V269,_xlpm.orden,0),6),_xlpm.ant,IFERROR(MATCH(W269,_xlpm.orden,0),6),_xlpm.ajmov,IF(_xlpm.act&lt;_xlpm.ant,0.08,IF(_xlpm.act&gt;_xlpm.ant,-0.08,0)),_xlpm.ajcli,IF(T269&lt;0.95,-0.06,0),_xlpm.prob,MAX(0,MIN(1,_xlpm.prog+_xlpm.ajmov+_xlpm.ajcli)),IF(OR(V269="DIAMANTE",V269="CERRADO"),0,ROUND(_xlpm.prob,2)))</f>
        <v>0.65</v>
      </c>
      <c r="AK269" t="str">
        <f t="shared" si="108"/>
        <v>Faltan 9,1 puntos base para subir a la siguiente categoría</v>
      </c>
      <c r="AL269" t="str">
        <f t="shared" si="109"/>
        <v>Margen de seguridad: 28,2 puntos</v>
      </c>
      <c r="AM269">
        <f t="shared" si="110"/>
        <v>0.5</v>
      </c>
      <c r="AN269" t="str">
        <f t="shared" si="111"/>
        <v>PRIORIDAD MEDIA – seguimiento del asesor</v>
      </c>
      <c r="AO269">
        <f t="shared" si="112"/>
        <v>60.243323550388915</v>
      </c>
      <c r="AP269">
        <f t="shared" si="113"/>
        <v>0.24189665949726641</v>
      </c>
      <c r="AQ269">
        <f t="shared" si="114"/>
        <v>0</v>
      </c>
      <c r="AR269">
        <f t="shared" si="115"/>
        <v>1.6100000000000003</v>
      </c>
      <c r="AS269">
        <f t="shared" si="116"/>
        <v>0</v>
      </c>
      <c r="AT269" t="str">
        <f t="shared" si="117"/>
        <v>VENTAS</v>
      </c>
      <c r="AU269">
        <f t="shared" si="118"/>
        <v>60.243323550388915</v>
      </c>
      <c r="AV269" t="str">
        <f t="shared" si="119"/>
        <v>Mayor retorno probable: VENTAS (+60,2 puntos finales potenciales).</v>
      </c>
    </row>
    <row r="270" spans="1:48" x14ac:dyDescent="0.3">
      <c r="A270" s="5">
        <v>51030931</v>
      </c>
      <c r="B270" s="5" t="str">
        <f>IFERROR(VLOOKUP(A270,VENTAS!$A$2:$B$1194,2,0),"")</f>
        <v>MONTENEGRO</v>
      </c>
      <c r="C270" s="5">
        <f>IFERROR(INDEX(VENTAS!$C$2:$E$1194,MATCH(A270,VENTAS!$A$2:$A$1194,0),MATCH(PARAMS_MODELO!$B$2,{"Q1","Q2","Q3"},0)),0)</f>
        <v>75499952.199999988</v>
      </c>
      <c r="D270" s="5">
        <f>IFERROR(INDEX(VENTAS!$F$2:$H$1194,MATCH(A270,VENTAS!$A$2:$A$1194,0),MATCH(PARAMS_MODELO!$B$2,{"Q1","Q2","Q3"},0)),0)</f>
        <v>110549031</v>
      </c>
      <c r="E270" s="8">
        <f t="shared" si="96"/>
        <v>0.46422650317916392</v>
      </c>
      <c r="F270" s="12">
        <f>IF(E270&lt;=PARAMS_MODELO!$B$15,0,IF(E270&gt;=PARAMS_MODELO!$B$17,100,100*MIN(1,(E270-PARAMS_MODELO!$B$15)/(PARAMS_MODELO!$B$16-PARAMS_MODELO!$B$15))))*PARAMS_MODELO!$B$7</f>
        <v>35</v>
      </c>
      <c r="G270" s="5">
        <f t="shared" si="97"/>
        <v>35049078.800000012</v>
      </c>
      <c r="H270" s="5">
        <f>(PARAMS_MODELO!$B$20*(MAX(0,MIN(3,E270))/3)+PARAMS_MODELO!$B$21*(IFERROR(LN(1+MAX(0,G270))/LN(1+MAX(0,MAX($G$2:$G$1194))),0)))*100*PARAMS_MODELO!$B$8</f>
        <v>5.6970930145130536</v>
      </c>
      <c r="I270" s="8">
        <f>E270-PARAMS_MODELO!$B$5</f>
        <v>0.28666366780363739</v>
      </c>
      <c r="J270" s="5">
        <f>IF(I270&lt;=PARAMS_MODELO!$B$18,0,IF(I270&gt;=PARAMS_MODELO!$B$19,100,100*(I270-PARAMS_MODELO!$B$18)/(PARAMS_MODELO!$B$19-PARAMS_MODELO!$B$18)))*PARAMS_MODELO!$B$9</f>
        <v>15</v>
      </c>
      <c r="K270" s="5">
        <f>IFERROR(CHOOSE(MATCH(PARAMS_MODELO!$B$2,{"Q1","Q2","Q3"},0),LOTO!$D270,LOTO!$F270,LOTO!$H270),0)</f>
        <v>5455000</v>
      </c>
      <c r="L270" s="8">
        <f t="shared" si="98"/>
        <v>4.9344620668814364E-2</v>
      </c>
      <c r="M270" s="5">
        <f>MIN(100,IF(PARAMS_MODELO!$B$23=0,0,100*L270/PARAMS_MODELO!$B$23))*PARAMS_MODELO!$B$10</f>
        <v>14.803386200644306</v>
      </c>
      <c r="N270" s="5">
        <f>IFERROR(VLOOKUP(A270,COMPLIANCE!$A$2:$F$1996,6,0),100)</f>
        <v>99.7</v>
      </c>
      <c r="O270" s="5">
        <f>N270*PARAMS_MODELO!$B$11</f>
        <v>9.9700000000000006</v>
      </c>
      <c r="P270" s="5">
        <f>IFERROR(VLOOKUP(A270,DIGITAL!$A$2:$J$2000,7,0),100)</f>
        <v>61</v>
      </c>
      <c r="Q270" s="5">
        <f>IFERROR(P270,0)*PARAMS_MODELO!$B$12</f>
        <v>6.1000000000000005</v>
      </c>
      <c r="R270">
        <f t="shared" si="99"/>
        <v>86.570479215157349</v>
      </c>
      <c r="S270" s="5" t="str">
        <f>IFERROR(VLOOKUP(A270,CLIENTE!$A$2:$N$2000,13,0),1)</f>
        <v>Malo</v>
      </c>
      <c r="T270" s="5">
        <f>IFERROR(VLOOKUP(A270,CLIENTE!$A$2:$N$2000,14,0),1)</f>
        <v>0.7</v>
      </c>
      <c r="U270" s="5">
        <f t="shared" si="100"/>
        <v>60.599335450610141</v>
      </c>
      <c r="V270" s="5" t="str">
        <f>IF(U270&gt;=MAX(_xlfn.PERCENTILE.INC($U$2:$U$1194,PARAMS_MODELO!$B$50),PARAMS_MODELO!$B$45),"DIAMANTE",IF(U270&gt;=MAX(_xlfn.PERCENTILE.INC($U$2:$U$1194,PARAMS_MODELO!$B$51),PARAMS_MODELO!$B$46),"PLATINO",IF(U270&gt;=MAX(_xlfn.PERCENTILE.INC($U$2:$U$1194,PARAMS_MODELO!$B$52),PARAMS_MODELO!$B$47),"ORO",IF(U270&gt;=MAX(_xlfn.PERCENTILE.INC($U$2:$U$1194,PARAMS_MODELO!$B$53),PARAMS_MODELO!$B$48),"PLATA",IF(U270&gt;=1,"BRONCE","CERRADO")))))</f>
        <v>PLATA</v>
      </c>
      <c r="W270" s="5" t="str" cm="1">
        <f t="array" ref="W270">_xlfn.XLOOKUP(1, (HIST_SCORE!$B:$B=PARAMS_MODELO!$B$4) * (HIST_SCORE!$C:$C=A270), HIST_SCORE!$E:$E, "No encontrado")</f>
        <v>PLATA</v>
      </c>
      <c r="X270" s="5" t="str">
        <f>_xlfn.LET(_xlpm.act,MATCH(V270,{"DIAMANTE";"PLATINO";"ORO";"PLATA";"BRONCE";"CERRADO"},0),_xlpm.ant,MATCH(W270,{"DIAMANTE";"PLATINO";"ORO";"PLATA";"BRONCE";"CERRADO"},0),IF(_xlpm.act&lt;_xlpm.ant,"Mejora ↑",IF(_xlpm.act&gt;_xlpm.ant,"Baja ↓","Estable →")))</f>
        <v>Estable →</v>
      </c>
      <c r="Y270" s="5">
        <f>IFERROR(U270-SUMIFS(HIST_SCORE!$D:$D,HIST_SCORE!$B:$B,PARAMS_MODELO!$B$4,HIST_SCORE!$C:$C,$A270),"")</f>
        <v>-0.4714822146918749</v>
      </c>
      <c r="Z270" s="5" t="str">
        <f t="shared" si="101"/>
        <v>→ Estable</v>
      </c>
      <c r="AA270" s="5">
        <f t="shared" si="102"/>
        <v>606</v>
      </c>
      <c r="AB270" s="5">
        <f>IFERROR(SUMIFS(HIST_SCORE!$F:$F,HIST_SCORE!$B:$B,PARAMS_MODELO!$B$4,HIST_SCORE!$C:$C,$A270),"")</f>
        <v>630</v>
      </c>
      <c r="AC270" s="5">
        <f t="shared" si="103"/>
        <v>24</v>
      </c>
      <c r="AD270" t="str">
        <f t="shared" si="105"/>
        <v/>
      </c>
      <c r="AE2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270="CERRADO",1,IF(V270="BRONCE",_xlpm.cPl,IF(V270="PLATA",_xlpm.cO,IF(V270="ORO",_xlpm.cP,IF(V270="PLATINO",_xlpm.cD,999))))))</f>
        <v>63.199193273331495</v>
      </c>
      <c r="AF2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270="CERRADO",0,IF(V270="BRONCE",1,IF(V270="PLATA",_xlpm.cPl,IF(V270="ORO",_xlpm.cO,IF(V270="PLATINO",_xlpm.cP,_xlpm.cD))))))</f>
        <v>24.506573482968111</v>
      </c>
      <c r="AG270">
        <f t="shared" si="106"/>
        <v>3.7140826038876469</v>
      </c>
      <c r="AH270" t="str">
        <f t="shared" si="107"/>
        <v>CLIENTE</v>
      </c>
      <c r="AI270" t="str">
        <f t="shared" si="104"/>
        <v>🎯 Para subir de categoría, la eje con mayor impacto probable es CLIENTE (coef T). Acción: reducir quejas, mejorar incógnito y empujar reseñas. ΔR aprox: 3,7</v>
      </c>
      <c r="AJ270" s="26">
        <f>_xlfn.LET(_xlpm.piso,AF270,_xlpm.corte,AE270,_xlpm.prog,IF(_xlpm.corte&lt;=_xlpm.piso,0,MAX(0,MIN(1,(U270-_xlpm.piso)/(_xlpm.corte-_xlpm.piso)))),_xlpm.orden,{"DIAMANTE";"PLATINO";"ORO";"PLATA";"BRONCE";"CERRADO"},_xlpm.act,IFERROR(MATCH(V270,_xlpm.orden,0),6),_xlpm.ant,IFERROR(MATCH(W270,_xlpm.orden,0),6),_xlpm.ajmov,IF(_xlpm.act&lt;_xlpm.ant,0.08,IF(_xlpm.act&gt;_xlpm.ant,-0.08,0)),_xlpm.ajcli,IF(T270&lt;0.95,-0.06,0),_xlpm.prob,MAX(0,MIN(1,_xlpm.prog+_xlpm.ajmov+_xlpm.ajcli)),IF(OR(V270="DIAMANTE",V270="CERRADO"),0,ROUND(_xlpm.prob,2)))</f>
        <v>0.87</v>
      </c>
      <c r="AK270" t="str">
        <f t="shared" si="108"/>
        <v>Faltan 3,7 puntos base para subir a la siguiente categoría</v>
      </c>
      <c r="AL270" t="str">
        <f t="shared" si="109"/>
        <v>Margen de seguridad: 36,1 puntos</v>
      </c>
      <c r="AM270">
        <f t="shared" si="110"/>
        <v>0.4</v>
      </c>
      <c r="AN270" t="str">
        <f t="shared" si="111"/>
        <v>PRIORIDAD MEDIA – seguimiento del asesor</v>
      </c>
      <c r="AO270">
        <f t="shared" si="112"/>
        <v>6.4158333825477731</v>
      </c>
      <c r="AP270">
        <f t="shared" si="113"/>
        <v>0.13762965954898565</v>
      </c>
      <c r="AQ270">
        <f t="shared" si="114"/>
        <v>2.099999999999955E-2</v>
      </c>
      <c r="AR270">
        <f t="shared" si="115"/>
        <v>2.7299999999999995</v>
      </c>
      <c r="AS270">
        <f t="shared" si="116"/>
        <v>25.971143764547207</v>
      </c>
      <c r="AT270" t="str">
        <f t="shared" si="117"/>
        <v>CLIENTE</v>
      </c>
      <c r="AU270">
        <f t="shared" si="118"/>
        <v>25.971143764547207</v>
      </c>
      <c r="AV270" t="str">
        <f t="shared" si="119"/>
        <v>Mayor retorno probable: CLIENTE (+26,0 puntos finales potenciales).</v>
      </c>
    </row>
    <row r="271" spans="1:48" x14ac:dyDescent="0.3">
      <c r="A271" s="5">
        <v>51056027</v>
      </c>
      <c r="B271" s="5" t="str">
        <f>IFERROR(VLOOKUP(A271,VENTAS!$A$2:$B$1194,2,0),"")</f>
        <v>MONTENEGRO</v>
      </c>
      <c r="C271" s="5">
        <f>IFERROR(INDEX(VENTAS!$C$2:$E$1194,MATCH(A271,VENTAS!$A$2:$A$1194,0),MATCH(PARAMS_MODELO!$B$2,{"Q1","Q2","Q3"},0)),0)</f>
        <v>83250032.459999993</v>
      </c>
      <c r="D271" s="5">
        <f>IFERROR(INDEX(VENTAS!$F$2:$H$1194,MATCH(A271,VENTAS!$A$2:$A$1194,0),MATCH(PARAMS_MODELO!$B$2,{"Q1","Q2","Q3"},0)),0)</f>
        <v>110338627</v>
      </c>
      <c r="E271" s="8">
        <f t="shared" si="96"/>
        <v>0.32538839613084281</v>
      </c>
      <c r="F271" s="12">
        <f>IF(E271&lt;=PARAMS_MODELO!$B$15,0,IF(E271&gt;=PARAMS_MODELO!$B$17,100,100*MIN(1,(E271-PARAMS_MODELO!$B$15)/(PARAMS_MODELO!$B$16-PARAMS_MODELO!$B$15))))*PARAMS_MODELO!$B$7</f>
        <v>35</v>
      </c>
      <c r="G271" s="5">
        <f t="shared" si="97"/>
        <v>27088594.540000007</v>
      </c>
      <c r="H271" s="5">
        <f>(PARAMS_MODELO!$B$20*(MAX(0,MIN(3,E271))/3)+PARAMS_MODELO!$B$21*(IFERROR(LN(1+MAX(0,G271))/LN(1+MAX(0,MAX($G$2:$G$1194))),0)))*100*PARAMS_MODELO!$B$8</f>
        <v>5.1507660360477141</v>
      </c>
      <c r="I271" s="8">
        <f>E271-PARAMS_MODELO!$B$5</f>
        <v>0.14782556075531628</v>
      </c>
      <c r="J271" s="5">
        <f>IF(I271&lt;=PARAMS_MODELO!$B$18,0,IF(I271&gt;=PARAMS_MODELO!$B$19,100,100*(I271-PARAMS_MODELO!$B$18)/(PARAMS_MODELO!$B$19-PARAMS_MODELO!$B$18)))*PARAMS_MODELO!$B$9</f>
        <v>15</v>
      </c>
      <c r="K271" s="5">
        <f>IFERROR(CHOOSE(MATCH(PARAMS_MODELO!$B$2,{"Q1","Q2","Q3"},0),LOTO!$D271,LOTO!$F271,LOTO!$H271),0)</f>
        <v>5417500</v>
      </c>
      <c r="L271" s="8">
        <f t="shared" si="98"/>
        <v>4.9098852752626695E-2</v>
      </c>
      <c r="M271" s="5">
        <f>MIN(100,IF(PARAMS_MODELO!$B$23=0,0,100*L271/PARAMS_MODELO!$B$23))*PARAMS_MODELO!$B$10</f>
        <v>14.729655825788006</v>
      </c>
      <c r="N271" s="5">
        <f>IFERROR(VLOOKUP(A271,COMPLIANCE!$A$2:$F$1996,6,0),100)</f>
        <v>99.98</v>
      </c>
      <c r="O271" s="5">
        <f>N271*PARAMS_MODELO!$B$11</f>
        <v>9.9980000000000011</v>
      </c>
      <c r="P271" s="5">
        <f>IFERROR(VLOOKUP(A271,DIGITAL!$A$2:$J$2000,7,0),100)</f>
        <v>42</v>
      </c>
      <c r="Q271" s="5">
        <f>IFERROR(P271,0)*PARAMS_MODELO!$B$12</f>
        <v>4.2</v>
      </c>
      <c r="R271">
        <f t="shared" si="99"/>
        <v>84.078421861835722</v>
      </c>
      <c r="S271" s="5" t="str">
        <f>IFERROR(VLOOKUP(A271,CLIENTE!$A$2:$N$2000,13,0),1)</f>
        <v>Bueno</v>
      </c>
      <c r="T271" s="5">
        <f>IFERROR(VLOOKUP(A271,CLIENTE!$A$2:$N$2000,14,0),1)</f>
        <v>1.1000000000000001</v>
      </c>
      <c r="U271" s="5">
        <f t="shared" si="100"/>
        <v>92.486264048019308</v>
      </c>
      <c r="V271" s="5" t="str">
        <f>IF(U271&gt;=MAX(_xlfn.PERCENTILE.INC($U$2:$U$1194,PARAMS_MODELO!$B$50),PARAMS_MODELO!$B$45),"DIAMANTE",IF(U271&gt;=MAX(_xlfn.PERCENTILE.INC($U$2:$U$1194,PARAMS_MODELO!$B$51),PARAMS_MODELO!$B$46),"PLATINO",IF(U271&gt;=MAX(_xlfn.PERCENTILE.INC($U$2:$U$1194,PARAMS_MODELO!$B$52),PARAMS_MODELO!$B$47),"ORO",IF(U271&gt;=MAX(_xlfn.PERCENTILE.INC($U$2:$U$1194,PARAMS_MODELO!$B$53),PARAMS_MODELO!$B$48),"PLATA",IF(U271&gt;=1,"BRONCE","CERRADO")))))</f>
        <v>PLATINO</v>
      </c>
      <c r="W271" s="5" t="str" cm="1">
        <f t="array" ref="W271">_xlfn.XLOOKUP(1, (HIST_SCORE!$B:$B=PARAMS_MODELO!$B$4) * (HIST_SCORE!$C:$C=A271), HIST_SCORE!$E:$E, "No encontrado")</f>
        <v>PLATINO</v>
      </c>
      <c r="X271" s="5" t="str">
        <f>_xlfn.LET(_xlpm.act,MATCH(V271,{"DIAMANTE";"PLATINO";"ORO";"PLATA";"BRONCE";"CERRADO"},0),_xlpm.ant,MATCH(W271,{"DIAMANTE";"PLATINO";"ORO";"PLATA";"BRONCE";"CERRADO"},0),IF(_xlpm.act&lt;_xlpm.ant,"Mejora ↑",IF(_xlpm.act&gt;_xlpm.ant,"Baja ↓","Estable →")))</f>
        <v>Estable →</v>
      </c>
      <c r="Y271" s="5">
        <f>IFERROR(U271-SUMIFS(HIST_SCORE!$D:$D,HIST_SCORE!$B:$B,PARAMS_MODELO!$B$4,HIST_SCORE!$C:$C,$A271),"")</f>
        <v>-0.35444493607401739</v>
      </c>
      <c r="Z271" s="5" t="str">
        <f t="shared" si="101"/>
        <v>→ Estable</v>
      </c>
      <c r="AA271" s="5">
        <f t="shared" si="102"/>
        <v>95</v>
      </c>
      <c r="AB271" s="5">
        <f>IFERROR(SUMIFS(HIST_SCORE!$F:$F,HIST_SCORE!$B:$B,PARAMS_MODELO!$B$4,HIST_SCORE!$C:$C,$A271),"")</f>
        <v>89</v>
      </c>
      <c r="AC271" s="5">
        <f t="shared" si="103"/>
        <v>-6</v>
      </c>
      <c r="AD271" t="str">
        <f t="shared" si="105"/>
        <v/>
      </c>
      <c r="AE2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271="CERRADO",1,IF(V271="BRONCE",_xlpm.cPl,IF(V271="PLATA",_xlpm.cO,IF(V271="ORO",_xlpm.cP,IF(V271="PLATINO",_xlpm.cD,999))))))</f>
        <v>96.054919694466676</v>
      </c>
      <c r="AF2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271="CERRADO",0,IF(V271="BRONCE",1,IF(V271="PLATA",_xlpm.cPl,IF(V271="ORO",_xlpm.cO,IF(V271="PLATINO",_xlpm.cP,_xlpm.cD))))))</f>
        <v>86.439123873763251</v>
      </c>
      <c r="AG271">
        <f t="shared" si="106"/>
        <v>3.2442324058612542</v>
      </c>
      <c r="AH271" t="str">
        <f t="shared" si="107"/>
        <v>VENTAS</v>
      </c>
      <c r="AI271" t="str">
        <f t="shared" si="104"/>
        <v>🎯 Para subir de categoría, eje VENTAS / IMPACTO ABSOLUTO (H). Acción: metas semanales + activación comercial + seguimiento del asesor. ΔR aprox: 3,2</v>
      </c>
      <c r="AJ271" s="26">
        <f>_xlfn.LET(_xlpm.piso,AF271,_xlpm.corte,AE271,_xlpm.prog,IF(_xlpm.corte&lt;=_xlpm.piso,0,MAX(0,MIN(1,(U271-_xlpm.piso)/(_xlpm.corte-_xlpm.piso)))),_xlpm.orden,{"DIAMANTE";"PLATINO";"ORO";"PLATA";"BRONCE";"CERRADO"},_xlpm.act,IFERROR(MATCH(V271,_xlpm.orden,0),6),_xlpm.ant,IFERROR(MATCH(W271,_xlpm.orden,0),6),_xlpm.ajmov,IF(_xlpm.act&lt;_xlpm.ant,0.08,IF(_xlpm.act&gt;_xlpm.ant,-0.08,0)),_xlpm.ajcli,IF(T271&lt;0.95,-0.06,0),_xlpm.prob,MAX(0,MIN(1,_xlpm.prog+_xlpm.ajmov+_xlpm.ajcli)),IF(OR(V271="DIAMANTE",V271="CERRADO"),0,ROUND(_xlpm.prob,2)))</f>
        <v>0.63</v>
      </c>
      <c r="AK271" t="str">
        <f t="shared" si="108"/>
        <v>Faltan 3,2 puntos base para subir a la siguiente categoría</v>
      </c>
      <c r="AL271" t="str">
        <f t="shared" si="109"/>
        <v>Margen de seguridad: 6,0 puntos</v>
      </c>
      <c r="AM271">
        <f t="shared" si="110"/>
        <v>0.28000000000000003</v>
      </c>
      <c r="AN271" t="str">
        <f t="shared" si="111"/>
        <v>PRIORIDAD BAJA – control normal</v>
      </c>
      <c r="AO271">
        <f t="shared" si="112"/>
        <v>10.682983563172659</v>
      </c>
      <c r="AP271">
        <f t="shared" si="113"/>
        <v>0.29737859163319325</v>
      </c>
      <c r="AQ271">
        <f t="shared" si="114"/>
        <v>2.1999999999987811E-3</v>
      </c>
      <c r="AR271">
        <f t="shared" si="115"/>
        <v>6.38</v>
      </c>
      <c r="AS271">
        <f t="shared" si="116"/>
        <v>0</v>
      </c>
      <c r="AT271" t="str">
        <f t="shared" si="117"/>
        <v>VENTAS</v>
      </c>
      <c r="AU271">
        <f t="shared" si="118"/>
        <v>10.682983563172659</v>
      </c>
      <c r="AV271" t="str">
        <f t="shared" si="119"/>
        <v>Mayor retorno probable: VENTAS (+10,7 puntos finales potenciales).</v>
      </c>
    </row>
    <row r="272" spans="1:48" x14ac:dyDescent="0.3">
      <c r="A272" s="5">
        <v>51054911</v>
      </c>
      <c r="B272" s="5" t="str">
        <f>IFERROR(VLOOKUP(A272,VENTAS!$A$2:$B$1194,2,0),"")</f>
        <v>BELUZZO</v>
      </c>
      <c r="C272" s="5">
        <f>IFERROR(INDEX(VENTAS!$C$2:$E$1194,MATCH(A272,VENTAS!$A$2:$A$1194,0),MATCH(PARAMS_MODELO!$B$2,{"Q1","Q2","Q3"},0)),0)</f>
        <v>86482847.840000004</v>
      </c>
      <c r="D272" s="5">
        <f>IFERROR(INDEX(VENTAS!$F$2:$H$1194,MATCH(A272,VENTAS!$A$2:$A$1194,0),MATCH(PARAMS_MODELO!$B$2,{"Q1","Q2","Q3"},0)),0)</f>
        <v>110327224</v>
      </c>
      <c r="E272" s="8">
        <f t="shared" si="96"/>
        <v>0.27571219907228239</v>
      </c>
      <c r="F272" s="12">
        <f>IF(E272&lt;=PARAMS_MODELO!$B$15,0,IF(E272&gt;=PARAMS_MODELO!$B$17,100,100*MIN(1,(E272-PARAMS_MODELO!$B$15)/(PARAMS_MODELO!$B$16-PARAMS_MODELO!$B$15))))*PARAMS_MODELO!$B$7</f>
        <v>35</v>
      </c>
      <c r="G272" s="5">
        <f t="shared" si="97"/>
        <v>23844376.159999996</v>
      </c>
      <c r="H272" s="5">
        <f>(PARAMS_MODELO!$B$20*(MAX(0,MIN(3,E272))/3)+PARAMS_MODELO!$B$21*(IFERROR(LN(1+MAX(0,G272))/LN(1+MAX(0,MAX($G$2:$G$1194))),0)))*100*PARAMS_MODELO!$B$8</f>
        <v>4.9469964749050099</v>
      </c>
      <c r="I272" s="8">
        <f>E272-PARAMS_MODELO!$B$5</f>
        <v>9.8149363696755865E-2</v>
      </c>
      <c r="J272" s="5">
        <f>IF(I272&lt;=PARAMS_MODELO!$B$18,0,IF(I272&gt;=PARAMS_MODELO!$B$19,100,100*(I272-PARAMS_MODELO!$B$18)/(PARAMS_MODELO!$B$19-PARAMS_MODELO!$B$18)))*PARAMS_MODELO!$B$9</f>
        <v>15</v>
      </c>
      <c r="K272" s="5">
        <f>IFERROR(CHOOSE(MATCH(PARAMS_MODELO!$B$2,{"Q1","Q2","Q3"},0),LOTO!$D272,LOTO!$F272,LOTO!$H272),0)</f>
        <v>5380000</v>
      </c>
      <c r="L272" s="8">
        <f t="shared" si="98"/>
        <v>4.8764029447527835E-2</v>
      </c>
      <c r="M272" s="5">
        <f>MIN(100,IF(PARAMS_MODELO!$B$23=0,0,100*L272/PARAMS_MODELO!$B$23))*PARAMS_MODELO!$B$10</f>
        <v>14.62920883425835</v>
      </c>
      <c r="N272" s="5">
        <f>IFERROR(VLOOKUP(A272,COMPLIANCE!$A$2:$F$1996,6,0),100)</f>
        <v>100</v>
      </c>
      <c r="O272" s="5">
        <f>N272*PARAMS_MODELO!$B$11</f>
        <v>10</v>
      </c>
      <c r="P272" s="5">
        <f>IFERROR(VLOOKUP(A272,DIGITAL!$A$2:$J$2000,7,0),100)</f>
        <v>46</v>
      </c>
      <c r="Q272" s="5">
        <f>IFERROR(P272,0)*PARAMS_MODELO!$B$12</f>
        <v>4.6000000000000005</v>
      </c>
      <c r="R272">
        <f t="shared" si="99"/>
        <v>84.17620530916335</v>
      </c>
      <c r="S272" s="5" t="str">
        <f>IFERROR(VLOOKUP(A272,CLIENTE!$A$2:$N$2000,13,0),1)</f>
        <v>Regular</v>
      </c>
      <c r="T272" s="5">
        <f>IFERROR(VLOOKUP(A272,CLIENTE!$A$2:$N$2000,14,0),1)</f>
        <v>1</v>
      </c>
      <c r="U272" s="5">
        <f t="shared" si="100"/>
        <v>84.17620530916335</v>
      </c>
      <c r="V272" s="5" t="str">
        <f>IF(U272&gt;=MAX(_xlfn.PERCENTILE.INC($U$2:$U$1194,PARAMS_MODELO!$B$50),PARAMS_MODELO!$B$45),"DIAMANTE",IF(U272&gt;=MAX(_xlfn.PERCENTILE.INC($U$2:$U$1194,PARAMS_MODELO!$B$51),PARAMS_MODELO!$B$46),"PLATINO",IF(U272&gt;=MAX(_xlfn.PERCENTILE.INC($U$2:$U$1194,PARAMS_MODELO!$B$52),PARAMS_MODELO!$B$47),"ORO",IF(U272&gt;=MAX(_xlfn.PERCENTILE.INC($U$2:$U$1194,PARAMS_MODELO!$B$53),PARAMS_MODELO!$B$48),"PLATA",IF(U272&gt;=1,"BRONCE","CERRADO")))))</f>
        <v>ORO</v>
      </c>
      <c r="W272" s="5" t="str" cm="1">
        <f t="array" ref="W272">_xlfn.XLOOKUP(1, (HIST_SCORE!$B:$B=PARAMS_MODELO!$B$4) * (HIST_SCORE!$C:$C=A272), HIST_SCORE!$E:$E, "No encontrado")</f>
        <v>ORO</v>
      </c>
      <c r="X272" s="5" t="str">
        <f>_xlfn.LET(_xlpm.act,MATCH(V272,{"DIAMANTE";"PLATINO";"ORO";"PLATA";"BRONCE";"CERRADO"},0),_xlpm.ant,MATCH(W272,{"DIAMANTE";"PLATINO";"ORO";"PLATA";"BRONCE";"CERRADO"},0),IF(_xlpm.act&lt;_xlpm.ant,"Mejora ↑",IF(_xlpm.act&gt;_xlpm.ant,"Baja ↓","Estable →")))</f>
        <v>Estable →</v>
      </c>
      <c r="Y272" s="5">
        <f>IFERROR(U272-SUMIFS(HIST_SCORE!$D:$D,HIST_SCORE!$B:$B,PARAMS_MODELO!$B$4,HIST_SCORE!$C:$C,$A272),"")</f>
        <v>3.7852537266536217</v>
      </c>
      <c r="Z272" s="5" t="str">
        <f t="shared" si="101"/>
        <v>→ Estable</v>
      </c>
      <c r="AA272" s="5">
        <f t="shared" si="102"/>
        <v>313</v>
      </c>
      <c r="AB272" s="5">
        <f>IFERROR(SUMIFS(HIST_SCORE!$F:$F,HIST_SCORE!$B:$B,PARAMS_MODELO!$B$4,HIST_SCORE!$C:$C,$A272),"")</f>
        <v>409</v>
      </c>
      <c r="AC272" s="5">
        <f t="shared" si="103"/>
        <v>96</v>
      </c>
      <c r="AD272" t="str">
        <f t="shared" si="105"/>
        <v/>
      </c>
      <c r="AE2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272="CERRADO",1,IF(V272="BRONCE",_xlpm.cPl,IF(V272="PLATA",_xlpm.cO,IF(V272="ORO",_xlpm.cP,IF(V272="PLATINO",_xlpm.cD,999))))))</f>
        <v>86.439123873763251</v>
      </c>
      <c r="AF2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272="CERRADO",0,IF(V272="BRONCE",1,IF(V272="PLATA",_xlpm.cPl,IF(V272="ORO",_xlpm.cO,IF(V272="PLATINO",_xlpm.cP,_xlpm.cD))))))</f>
        <v>63.199193273331495</v>
      </c>
      <c r="AG272">
        <f t="shared" si="106"/>
        <v>2.2629185645999002</v>
      </c>
      <c r="AH272" t="str">
        <f t="shared" si="107"/>
        <v>VENTAS</v>
      </c>
      <c r="AI272" t="str">
        <f t="shared" si="104"/>
        <v>🎯 Para subir de categoría, eje VENTAS / IMPACTO ABSOLUTO (H). Acción: metas semanales + activación comercial + seguimiento del asesor. ΔR aprox: 2,3</v>
      </c>
      <c r="AJ272" s="26">
        <f>_xlfn.LET(_xlpm.piso,AF272,_xlpm.corte,AE272,_xlpm.prog,IF(_xlpm.corte&lt;=_xlpm.piso,0,MAX(0,MIN(1,(U272-_xlpm.piso)/(_xlpm.corte-_xlpm.piso)))),_xlpm.orden,{"DIAMANTE";"PLATINO";"ORO";"PLATA";"BRONCE";"CERRADO"},_xlpm.act,IFERROR(MATCH(V272,_xlpm.orden,0),6),_xlpm.ant,IFERROR(MATCH(W272,_xlpm.orden,0),6),_xlpm.ajmov,IF(_xlpm.act&lt;_xlpm.ant,0.08,IF(_xlpm.act&gt;_xlpm.ant,-0.08,0)),_xlpm.ajcli,IF(T272&lt;0.95,-0.06,0),_xlpm.prob,MAX(0,MIN(1,_xlpm.prog+_xlpm.ajmov+_xlpm.ajcli)),IF(OR(V272="DIAMANTE",V272="CERRADO"),0,ROUND(_xlpm.prob,2)))</f>
        <v>0.9</v>
      </c>
      <c r="AK272" t="str">
        <f t="shared" si="108"/>
        <v>Faltan 2,3 puntos base para subir a la siguiente categoría</v>
      </c>
      <c r="AL272" t="str">
        <f t="shared" si="109"/>
        <v>Margen de seguridad: 21,0 puntos</v>
      </c>
      <c r="AM272">
        <f t="shared" si="110"/>
        <v>0.13</v>
      </c>
      <c r="AN272" t="str">
        <f t="shared" si="111"/>
        <v>PRIORIDAD BAJA – control normal</v>
      </c>
      <c r="AO272">
        <f t="shared" si="112"/>
        <v>9.9155728003905779</v>
      </c>
      <c r="AP272">
        <f t="shared" si="113"/>
        <v>0.37079116574165027</v>
      </c>
      <c r="AQ272">
        <f t="shared" si="114"/>
        <v>0</v>
      </c>
      <c r="AR272">
        <f t="shared" si="115"/>
        <v>5.3999999999999995</v>
      </c>
      <c r="AS272">
        <f t="shared" si="116"/>
        <v>0</v>
      </c>
      <c r="AT272" t="str">
        <f t="shared" si="117"/>
        <v>VENTAS</v>
      </c>
      <c r="AU272">
        <f t="shared" si="118"/>
        <v>9.9155728003905779</v>
      </c>
      <c r="AV272" t="str">
        <f t="shared" si="119"/>
        <v>Mayor retorno probable: VENTAS (+9,9 puntos finales potenciales).</v>
      </c>
    </row>
    <row r="273" spans="1:48" x14ac:dyDescent="0.3">
      <c r="A273" s="5">
        <v>51030605</v>
      </c>
      <c r="B273" s="5" t="str">
        <f>IFERROR(VLOOKUP(A273,VENTAS!$A$2:$B$1194,2,0),"")</f>
        <v>PUGH</v>
      </c>
      <c r="C273" s="5">
        <f>IFERROR(INDEX(VENTAS!$C$2:$E$1194,MATCH(A273,VENTAS!$A$2:$A$1194,0),MATCH(PARAMS_MODELO!$B$2,{"Q1","Q2","Q3"},0)),0)</f>
        <v>91763275.420000002</v>
      </c>
      <c r="D273" s="5">
        <f>IFERROR(INDEX(VENTAS!$F$2:$H$1194,MATCH(A273,VENTAS!$A$2:$A$1194,0),MATCH(PARAMS_MODELO!$B$2,{"Q1","Q2","Q3"},0)),0)</f>
        <v>110145457</v>
      </c>
      <c r="E273" s="8">
        <f t="shared" si="96"/>
        <v>0.20032176811327695</v>
      </c>
      <c r="F273" s="12">
        <f>IF(E273&lt;=PARAMS_MODELO!$B$15,0,IF(E273&gt;=PARAMS_MODELO!$B$17,100,100*MIN(1,(E273-PARAMS_MODELO!$B$15)/(PARAMS_MODELO!$B$16-PARAMS_MODELO!$B$15))))*PARAMS_MODELO!$B$7</f>
        <v>35</v>
      </c>
      <c r="G273" s="5">
        <f t="shared" si="97"/>
        <v>18382181.579999998</v>
      </c>
      <c r="H273" s="5">
        <f>(PARAMS_MODELO!$B$20*(MAX(0,MIN(3,E273))/3)+PARAMS_MODELO!$B$21*(IFERROR(LN(1+MAX(0,G273))/LN(1+MAX(0,MAX($G$2:$G$1194))),0)))*100*PARAMS_MODELO!$B$8</f>
        <v>4.6221432895863312</v>
      </c>
      <c r="I273" s="8">
        <f>E273-PARAMS_MODELO!$B$5</f>
        <v>2.2758932737750426E-2</v>
      </c>
      <c r="J273" s="5">
        <f>IF(I273&lt;=PARAMS_MODELO!$B$18,0,IF(I273&gt;=PARAMS_MODELO!$B$19,100,100*(I273-PARAMS_MODELO!$B$18)/(PARAMS_MODELO!$B$19-PARAMS_MODELO!$B$18)))*PARAMS_MODELO!$B$9</f>
        <v>10.913839910662563</v>
      </c>
      <c r="K273" s="5">
        <f>IFERROR(CHOOSE(MATCH(PARAMS_MODELO!$B$2,{"Q1","Q2","Q3"},0),LOTO!$D273,LOTO!$F273,LOTO!$H273),0)</f>
        <v>5377500</v>
      </c>
      <c r="L273" s="8">
        <f t="shared" si="98"/>
        <v>4.8821804788553379E-2</v>
      </c>
      <c r="M273" s="5">
        <f>MIN(100,IF(PARAMS_MODELO!$B$23=0,0,100*L273/PARAMS_MODELO!$B$23))*PARAMS_MODELO!$B$10</f>
        <v>14.646541436566011</v>
      </c>
      <c r="N273" s="5">
        <f>IFERROR(VLOOKUP(A273,COMPLIANCE!$A$2:$F$1996,6,0),100)</f>
        <v>100</v>
      </c>
      <c r="O273" s="5">
        <f>N273*PARAMS_MODELO!$B$11</f>
        <v>10</v>
      </c>
      <c r="P273" s="5">
        <f>IFERROR(VLOOKUP(A273,DIGITAL!$A$2:$J$2000,7,0),100)</f>
        <v>41</v>
      </c>
      <c r="Q273" s="5">
        <f>IFERROR(P273,0)*PARAMS_MODELO!$B$12</f>
        <v>4.1000000000000005</v>
      </c>
      <c r="R273">
        <f t="shared" si="99"/>
        <v>79.282524636814898</v>
      </c>
      <c r="S273" s="5" t="str">
        <f>IFERROR(VLOOKUP(A273,CLIENTE!$A$2:$N$2000,13,0),1)</f>
        <v>Malo</v>
      </c>
      <c r="T273" s="5">
        <f>IFERROR(VLOOKUP(A273,CLIENTE!$A$2:$N$2000,14,0),1)</f>
        <v>0.7</v>
      </c>
      <c r="U273" s="5">
        <f t="shared" si="100"/>
        <v>55.497767245770426</v>
      </c>
      <c r="V273" s="5" t="str">
        <f>IF(U273&gt;=MAX(_xlfn.PERCENTILE.INC($U$2:$U$1194,PARAMS_MODELO!$B$50),PARAMS_MODELO!$B$45),"DIAMANTE",IF(U273&gt;=MAX(_xlfn.PERCENTILE.INC($U$2:$U$1194,PARAMS_MODELO!$B$51),PARAMS_MODELO!$B$46),"PLATINO",IF(U273&gt;=MAX(_xlfn.PERCENTILE.INC($U$2:$U$1194,PARAMS_MODELO!$B$52),PARAMS_MODELO!$B$47),"ORO",IF(U273&gt;=MAX(_xlfn.PERCENTILE.INC($U$2:$U$1194,PARAMS_MODELO!$B$53),PARAMS_MODELO!$B$48),"PLATA",IF(U273&gt;=1,"BRONCE","CERRADO")))))</f>
        <v>PLATA</v>
      </c>
      <c r="W273" s="5" t="str" cm="1">
        <f t="array" ref="W273">_xlfn.XLOOKUP(1, (HIST_SCORE!$B:$B=PARAMS_MODELO!$B$4) * (HIST_SCORE!$C:$C=A273), HIST_SCORE!$E:$E, "No encontrado")</f>
        <v>PLATA</v>
      </c>
      <c r="X273" s="5" t="str">
        <f>_xlfn.LET(_xlpm.act,MATCH(V273,{"DIAMANTE";"PLATINO";"ORO";"PLATA";"BRONCE";"CERRADO"},0),_xlpm.ant,MATCH(W273,{"DIAMANTE";"PLATINO";"ORO";"PLATA";"BRONCE";"CERRADO"},0),IF(_xlpm.act&lt;_xlpm.ant,"Mejora ↑",IF(_xlpm.act&gt;_xlpm.ant,"Baja ↓","Estable →")))</f>
        <v>Estable →</v>
      </c>
      <c r="Y273" s="5">
        <f>IFERROR(U273-SUMIFS(HIST_SCORE!$D:$D,HIST_SCORE!$B:$B,PARAMS_MODELO!$B$4,HIST_SCORE!$C:$C,$A273),"")</f>
        <v>8.205522422563682</v>
      </c>
      <c r="Z273" s="5" t="str">
        <f t="shared" si="101"/>
        <v>↑ Mejora</v>
      </c>
      <c r="AA273" s="5">
        <f t="shared" si="102"/>
        <v>709</v>
      </c>
      <c r="AB273" s="5">
        <f>IFERROR(SUMIFS(HIST_SCORE!$F:$F,HIST_SCORE!$B:$B,PARAMS_MODELO!$B$4,HIST_SCORE!$C:$C,$A273),"")</f>
        <v>803</v>
      </c>
      <c r="AC273" s="5">
        <f t="shared" si="103"/>
        <v>94</v>
      </c>
      <c r="AD273" t="str">
        <f t="shared" si="105"/>
        <v/>
      </c>
      <c r="AE2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273="CERRADO",1,IF(V273="BRONCE",_xlpm.cPl,IF(V273="PLATA",_xlpm.cO,IF(V273="ORO",_xlpm.cP,IF(V273="PLATINO",_xlpm.cD,999))))))</f>
        <v>63.199193273331495</v>
      </c>
      <c r="AF2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273="CERRADO",0,IF(V273="BRONCE",1,IF(V273="PLATA",_xlpm.cPl,IF(V273="ORO",_xlpm.cO,IF(V273="PLATINO",_xlpm.cP,_xlpm.cD))))))</f>
        <v>24.506573482968111</v>
      </c>
      <c r="AG273">
        <f t="shared" si="106"/>
        <v>11.002037182230097</v>
      </c>
      <c r="AH273" t="str">
        <f t="shared" si="107"/>
        <v>CLIENTE</v>
      </c>
      <c r="AI273" t="str">
        <f t="shared" si="104"/>
        <v>🎯 Para subir de categoría, la eje con mayor impacto probable es CLIENTE (coef T). Acción: reducir quejas, mejorar incógnito y empujar reseñas. ΔR aprox: 11,0</v>
      </c>
      <c r="AJ273" s="26">
        <f>_xlfn.LET(_xlpm.piso,AF273,_xlpm.corte,AE273,_xlpm.prog,IF(_xlpm.corte&lt;=_xlpm.piso,0,MAX(0,MIN(1,(U273-_xlpm.piso)/(_xlpm.corte-_xlpm.piso)))),_xlpm.orden,{"DIAMANTE";"PLATINO";"ORO";"PLATA";"BRONCE";"CERRADO"},_xlpm.act,IFERROR(MATCH(V273,_xlpm.orden,0),6),_xlpm.ant,IFERROR(MATCH(W273,_xlpm.orden,0),6),_xlpm.ajmov,IF(_xlpm.act&lt;_xlpm.ant,0.08,IF(_xlpm.act&gt;_xlpm.ant,-0.08,0)),_xlpm.ajcli,IF(T273&lt;0.95,-0.06,0),_xlpm.prob,MAX(0,MIN(1,_xlpm.prog+_xlpm.ajmov+_xlpm.ajcli)),IF(OR(V273="DIAMANTE",V273="CERRADO"),0,ROUND(_xlpm.prob,2)))</f>
        <v>0.74</v>
      </c>
      <c r="AK273" t="str">
        <f t="shared" si="108"/>
        <v>Faltan 11,0 puntos base para subir a la siguiente categoría</v>
      </c>
      <c r="AL273" t="str">
        <f t="shared" si="109"/>
        <v>Margen de seguridad: 31,0 puntos</v>
      </c>
      <c r="AM273">
        <f t="shared" si="110"/>
        <v>0.7</v>
      </c>
      <c r="AN273" t="str">
        <f t="shared" si="111"/>
        <v>PRIORIDAD ALTA – requiere intervención inmediata</v>
      </c>
      <c r="AO273">
        <f t="shared" si="112"/>
        <v>10.028610252532683</v>
      </c>
      <c r="AP273">
        <f t="shared" si="113"/>
        <v>0.24742099440379234</v>
      </c>
      <c r="AQ273">
        <f t="shared" si="114"/>
        <v>0</v>
      </c>
      <c r="AR273">
        <f t="shared" si="115"/>
        <v>4.129999999999999</v>
      </c>
      <c r="AS273">
        <f t="shared" si="116"/>
        <v>23.784757391044472</v>
      </c>
      <c r="AT273" t="str">
        <f t="shared" si="117"/>
        <v>CLIENTE</v>
      </c>
      <c r="AU273">
        <f t="shared" si="118"/>
        <v>23.784757391044472</v>
      </c>
      <c r="AV273" t="str">
        <f t="shared" si="119"/>
        <v>Mayor retorno probable: CLIENTE (+23,8 puntos finales potenciales).</v>
      </c>
    </row>
    <row r="274" spans="1:48" x14ac:dyDescent="0.3">
      <c r="A274" s="5">
        <v>51044487</v>
      </c>
      <c r="B274" s="5" t="str">
        <f>IFERROR(VLOOKUP(A274,VENTAS!$A$2:$B$1194,2,0),"")</f>
        <v>NELLI</v>
      </c>
      <c r="C274" s="5">
        <f>IFERROR(INDEX(VENTAS!$C$2:$E$1194,MATCH(A274,VENTAS!$A$2:$A$1194,0),MATCH(PARAMS_MODELO!$B$2,{"Q1","Q2","Q3"},0)),0)</f>
        <v>72375047.349999994</v>
      </c>
      <c r="D274" s="5">
        <f>IFERROR(INDEX(VENTAS!$F$2:$H$1194,MATCH(A274,VENTAS!$A$2:$A$1194,0),MATCH(PARAMS_MODELO!$B$2,{"Q1","Q2","Q3"},0)),0)</f>
        <v>109718229</v>
      </c>
      <c r="E274" s="8">
        <f t="shared" si="96"/>
        <v>0.51596762996798251</v>
      </c>
      <c r="F274" s="12">
        <f>IF(E274&lt;=PARAMS_MODELO!$B$15,0,IF(E274&gt;=PARAMS_MODELO!$B$17,100,100*MIN(1,(E274-PARAMS_MODELO!$B$15)/(PARAMS_MODELO!$B$16-PARAMS_MODELO!$B$15))))*PARAMS_MODELO!$B$7</f>
        <v>35</v>
      </c>
      <c r="G274" s="5">
        <f t="shared" si="97"/>
        <v>37343181.650000006</v>
      </c>
      <c r="H274" s="5">
        <f>(PARAMS_MODELO!$B$20*(MAX(0,MIN(3,E274))/3)+PARAMS_MODELO!$B$21*(IFERROR(LN(1+MAX(0,G274))/LN(1+MAX(0,MAX($G$2:$G$1194))),0)))*100*PARAMS_MODELO!$B$8</f>
        <v>5.893049040046586</v>
      </c>
      <c r="I274" s="8">
        <f>E274-PARAMS_MODELO!$B$5</f>
        <v>0.33840479459245598</v>
      </c>
      <c r="J274" s="5">
        <f>IF(I274&lt;=PARAMS_MODELO!$B$18,0,IF(I274&gt;=PARAMS_MODELO!$B$19,100,100*(I274-PARAMS_MODELO!$B$18)/(PARAMS_MODELO!$B$19-PARAMS_MODELO!$B$18)))*PARAMS_MODELO!$B$9</f>
        <v>15</v>
      </c>
      <c r="K274" s="5">
        <f>IFERROR(CHOOSE(MATCH(PARAMS_MODELO!$B$2,{"Q1","Q2","Q3"},0),LOTO!$D274,LOTO!$F274,LOTO!$H274),0)</f>
        <v>5370000</v>
      </c>
      <c r="L274" s="8">
        <f t="shared" si="98"/>
        <v>4.8943553399863934E-2</v>
      </c>
      <c r="M274" s="5">
        <f>MIN(100,IF(PARAMS_MODELO!$B$23=0,0,100*L274/PARAMS_MODELO!$B$23))*PARAMS_MODELO!$B$10</f>
        <v>14.683066019959181</v>
      </c>
      <c r="N274" s="5">
        <f>IFERROR(VLOOKUP(A274,COMPLIANCE!$A$2:$F$1996,6,0),100)</f>
        <v>100</v>
      </c>
      <c r="O274" s="5">
        <f>N274*PARAMS_MODELO!$B$11</f>
        <v>10</v>
      </c>
      <c r="P274" s="5">
        <f>IFERROR(VLOOKUP(A274,DIGITAL!$A$2:$J$2000,7,0),100)</f>
        <v>98</v>
      </c>
      <c r="Q274" s="5">
        <f>IFERROR(P274,0)*PARAMS_MODELO!$B$12</f>
        <v>9.8000000000000007</v>
      </c>
      <c r="R274">
        <f t="shared" si="99"/>
        <v>90.376115060005759</v>
      </c>
      <c r="S274" s="5" t="str">
        <f>IFERROR(VLOOKUP(A274,CLIENTE!$A$2:$N$2000,13,0),1)</f>
        <v>Regular</v>
      </c>
      <c r="T274" s="5">
        <f>IFERROR(VLOOKUP(A274,CLIENTE!$A$2:$N$2000,14,0),1)</f>
        <v>1</v>
      </c>
      <c r="U274" s="5">
        <f t="shared" si="100"/>
        <v>90.376115060005759</v>
      </c>
      <c r="V274" s="5" t="str">
        <f>IF(U274&gt;=MAX(_xlfn.PERCENTILE.INC($U$2:$U$1194,PARAMS_MODELO!$B$50),PARAMS_MODELO!$B$45),"DIAMANTE",IF(U274&gt;=MAX(_xlfn.PERCENTILE.INC($U$2:$U$1194,PARAMS_MODELO!$B$51),PARAMS_MODELO!$B$46),"PLATINO",IF(U274&gt;=MAX(_xlfn.PERCENTILE.INC($U$2:$U$1194,PARAMS_MODELO!$B$52),PARAMS_MODELO!$B$47),"ORO",IF(U274&gt;=MAX(_xlfn.PERCENTILE.INC($U$2:$U$1194,PARAMS_MODELO!$B$53),PARAMS_MODELO!$B$48),"PLATA",IF(U274&gt;=1,"BRONCE","CERRADO")))))</f>
        <v>PLATINO</v>
      </c>
      <c r="W274" s="5" t="str" cm="1">
        <f t="array" ref="W274">_xlfn.XLOOKUP(1, (HIST_SCORE!$B:$B=PARAMS_MODELO!$B$4) * (HIST_SCORE!$C:$C=A274), HIST_SCORE!$E:$E, "No encontrado")</f>
        <v>PLATINO</v>
      </c>
      <c r="X274" s="5" t="str">
        <f>_xlfn.LET(_xlpm.act,MATCH(V274,{"DIAMANTE";"PLATINO";"ORO";"PLATA";"BRONCE";"CERRADO"},0),_xlpm.ant,MATCH(W274,{"DIAMANTE";"PLATINO";"ORO";"PLATA";"BRONCE";"CERRADO"},0),IF(_xlpm.act&lt;_xlpm.ant,"Mejora ↑",IF(_xlpm.act&gt;_xlpm.ant,"Baja ↓","Estable →")))</f>
        <v>Estable →</v>
      </c>
      <c r="Y274" s="5">
        <f>IFERROR(U274-SUMIFS(HIST_SCORE!$D:$D,HIST_SCORE!$B:$B,PARAMS_MODELO!$B$4,HIST_SCORE!$C:$C,$A274),"")</f>
        <v>0.73934188381502963</v>
      </c>
      <c r="Z274" s="5" t="str">
        <f t="shared" si="101"/>
        <v>→ Estable</v>
      </c>
      <c r="AA274" s="5">
        <f t="shared" si="102"/>
        <v>129</v>
      </c>
      <c r="AB274" s="5">
        <f>IFERROR(SUMIFS(HIST_SCORE!$F:$F,HIST_SCORE!$B:$B,PARAMS_MODELO!$B$4,HIST_SCORE!$C:$C,$A274),"")</f>
        <v>138</v>
      </c>
      <c r="AC274" s="5">
        <f t="shared" si="103"/>
        <v>9</v>
      </c>
      <c r="AD274" t="str">
        <f t="shared" si="105"/>
        <v/>
      </c>
      <c r="AE2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274="CERRADO",1,IF(V274="BRONCE",_xlpm.cPl,IF(V274="PLATA",_xlpm.cO,IF(V274="ORO",_xlpm.cP,IF(V274="PLATINO",_xlpm.cD,999))))))</f>
        <v>96.054919694466676</v>
      </c>
      <c r="AF2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274="CERRADO",0,IF(V274="BRONCE",1,IF(V274="PLATA",_xlpm.cPl,IF(V274="ORO",_xlpm.cO,IF(V274="PLATINO",_xlpm.cP,_xlpm.cD))))))</f>
        <v>86.439123873763251</v>
      </c>
      <c r="AG274">
        <f t="shared" si="106"/>
        <v>5.6788046344609171</v>
      </c>
      <c r="AH274" t="str">
        <f t="shared" si="107"/>
        <v>VENTAS</v>
      </c>
      <c r="AI274" t="str">
        <f t="shared" si="104"/>
        <v>🎯 Para subir de categoría, eje VENTAS / IMPACTO ABSOLUTO (H). Acción: metas semanales + activación comercial + seguimiento del asesor. ΔR aprox: 5,7</v>
      </c>
      <c r="AJ274" s="26">
        <f>_xlfn.LET(_xlpm.piso,AF274,_xlpm.corte,AE274,_xlpm.prog,IF(_xlpm.corte&lt;=_xlpm.piso,0,MAX(0,MIN(1,(U274-_xlpm.piso)/(_xlpm.corte-_xlpm.piso)))),_xlpm.orden,{"DIAMANTE";"PLATINO";"ORO";"PLATA";"BRONCE";"CERRADO"},_xlpm.act,IFERROR(MATCH(V274,_xlpm.orden,0),6),_xlpm.ant,IFERROR(MATCH(W274,_xlpm.orden,0),6),_xlpm.ajmov,IF(_xlpm.act&lt;_xlpm.ant,0.08,IF(_xlpm.act&gt;_xlpm.ant,-0.08,0)),_xlpm.ajcli,IF(T274&lt;0.95,-0.06,0),_xlpm.prob,MAX(0,MIN(1,_xlpm.prog+_xlpm.ajmov+_xlpm.ajcli)),IF(OR(V274="DIAMANTE",V274="CERRADO"),0,ROUND(_xlpm.prob,2)))</f>
        <v>0.41</v>
      </c>
      <c r="AK274" t="str">
        <f t="shared" si="108"/>
        <v>Faltan 5,7 puntos base para subir a la siguiente categoría</v>
      </c>
      <c r="AL274" t="str">
        <f t="shared" si="109"/>
        <v>Margen de seguridad: 3,9 puntos</v>
      </c>
      <c r="AM274">
        <f t="shared" si="110"/>
        <v>0.46</v>
      </c>
      <c r="AN274" t="str">
        <f t="shared" si="111"/>
        <v>PRIORIDAD MEDIA – seguimiento del asesor</v>
      </c>
      <c r="AO274">
        <f t="shared" si="112"/>
        <v>8.969520235249</v>
      </c>
      <c r="AP274">
        <f t="shared" si="113"/>
        <v>0.31693398004081885</v>
      </c>
      <c r="AQ274">
        <f t="shared" si="114"/>
        <v>0</v>
      </c>
      <c r="AR274">
        <f t="shared" si="115"/>
        <v>0.19999999999999929</v>
      </c>
      <c r="AS274">
        <f t="shared" si="116"/>
        <v>0</v>
      </c>
      <c r="AT274" t="str">
        <f t="shared" si="117"/>
        <v>VENTAS</v>
      </c>
      <c r="AU274">
        <f t="shared" si="118"/>
        <v>8.969520235249</v>
      </c>
      <c r="AV274" t="str">
        <f t="shared" si="119"/>
        <v>Mayor retorno probable: VENTAS (+9,0 puntos finales potenciales).</v>
      </c>
    </row>
    <row r="275" spans="1:48" x14ac:dyDescent="0.3">
      <c r="A275" s="5">
        <v>51035674</v>
      </c>
      <c r="B275" s="5" t="str">
        <f>IFERROR(VLOOKUP(A275,VENTAS!$A$2:$B$1194,2,0),"")</f>
        <v>CICHETTO</v>
      </c>
      <c r="C275" s="5">
        <f>IFERROR(INDEX(VENTAS!$C$2:$E$1194,MATCH(A275,VENTAS!$A$2:$A$1194,0),MATCH(PARAMS_MODELO!$B$2,{"Q1","Q2","Q3"},0)),0)</f>
        <v>78028145.620000005</v>
      </c>
      <c r="D275" s="5">
        <f>IFERROR(INDEX(VENTAS!$F$2:$H$1194,MATCH(A275,VENTAS!$A$2:$A$1194,0),MATCH(PARAMS_MODELO!$B$2,{"Q1","Q2","Q3"},0)),0)</f>
        <v>109596715</v>
      </c>
      <c r="E275" s="8">
        <f t="shared" si="96"/>
        <v>0.40457925956282637</v>
      </c>
      <c r="F275" s="12">
        <f>IF(E275&lt;=PARAMS_MODELO!$B$15,0,IF(E275&gt;=PARAMS_MODELO!$B$17,100,100*MIN(1,(E275-PARAMS_MODELO!$B$15)/(PARAMS_MODELO!$B$16-PARAMS_MODELO!$B$15))))*PARAMS_MODELO!$B$7</f>
        <v>35</v>
      </c>
      <c r="G275" s="5">
        <f t="shared" si="97"/>
        <v>31568569.379999995</v>
      </c>
      <c r="H275" s="5">
        <f>(PARAMS_MODELO!$B$20*(MAX(0,MIN(3,E275))/3)+PARAMS_MODELO!$B$21*(IFERROR(LN(1+MAX(0,G275))/LN(1+MAX(0,MAX($G$2:$G$1194))),0)))*100*PARAMS_MODELO!$B$8</f>
        <v>5.4638109288263541</v>
      </c>
      <c r="I275" s="8">
        <f>E275-PARAMS_MODELO!$B$5</f>
        <v>0.22701642418729984</v>
      </c>
      <c r="J275" s="5">
        <f>IF(I275&lt;=PARAMS_MODELO!$B$18,0,IF(I275&gt;=PARAMS_MODELO!$B$19,100,100*(I275-PARAMS_MODELO!$B$18)/(PARAMS_MODELO!$B$19-PARAMS_MODELO!$B$18)))*PARAMS_MODELO!$B$9</f>
        <v>15</v>
      </c>
      <c r="K275" s="5">
        <f>IFERROR(CHOOSE(MATCH(PARAMS_MODELO!$B$2,{"Q1","Q2","Q3"},0),LOTO!$D275,LOTO!$F275,LOTO!$H275),0)</f>
        <v>5355000</v>
      </c>
      <c r="L275" s="8">
        <f t="shared" si="98"/>
        <v>4.88609535422663E-2</v>
      </c>
      <c r="M275" s="5">
        <f>MIN(100,IF(PARAMS_MODELO!$B$23=0,0,100*L275/PARAMS_MODELO!$B$23))*PARAMS_MODELO!$B$10</f>
        <v>14.65828606267989</v>
      </c>
      <c r="N275" s="5">
        <f>IFERROR(VLOOKUP(A275,COMPLIANCE!$A$2:$F$1996,6,0),100)</f>
        <v>100</v>
      </c>
      <c r="O275" s="5">
        <f>N275*PARAMS_MODELO!$B$11</f>
        <v>10</v>
      </c>
      <c r="P275" s="5">
        <f>IFERROR(VLOOKUP(A275,DIGITAL!$A$2:$J$2000,7,0),100)</f>
        <v>47</v>
      </c>
      <c r="Q275" s="5">
        <f>IFERROR(P275,0)*PARAMS_MODELO!$B$12</f>
        <v>4.7</v>
      </c>
      <c r="R275">
        <f t="shared" si="99"/>
        <v>84.822096991506243</v>
      </c>
      <c r="S275" s="5" t="str">
        <f>IFERROR(VLOOKUP(A275,CLIENTE!$A$2:$N$2000,13,0),1)</f>
        <v>Muy Bueno</v>
      </c>
      <c r="T275" s="5">
        <f>IFERROR(VLOOKUP(A275,CLIENTE!$A$2:$N$2000,14,0),1)</f>
        <v>1.1499999999999999</v>
      </c>
      <c r="U275" s="5">
        <f t="shared" si="100"/>
        <v>97.545411540232166</v>
      </c>
      <c r="V275" s="5" t="str">
        <f>IF(U275&gt;=MAX(_xlfn.PERCENTILE.INC($U$2:$U$1194,PARAMS_MODELO!$B$50),PARAMS_MODELO!$B$45),"DIAMANTE",IF(U275&gt;=MAX(_xlfn.PERCENTILE.INC($U$2:$U$1194,PARAMS_MODELO!$B$51),PARAMS_MODELO!$B$46),"PLATINO",IF(U275&gt;=MAX(_xlfn.PERCENTILE.INC($U$2:$U$1194,PARAMS_MODELO!$B$52),PARAMS_MODELO!$B$47),"ORO",IF(U275&gt;=MAX(_xlfn.PERCENTILE.INC($U$2:$U$1194,PARAMS_MODELO!$B$53),PARAMS_MODELO!$B$48),"PLATA",IF(U275&gt;=1,"BRONCE","CERRADO")))))</f>
        <v>DIAMANTE</v>
      </c>
      <c r="W275" s="5" t="str" cm="1">
        <f t="array" ref="W275">_xlfn.XLOOKUP(1, (HIST_SCORE!$B:$B=PARAMS_MODELO!$B$4) * (HIST_SCORE!$C:$C=A275), HIST_SCORE!$E:$E, "No encontrado")</f>
        <v>DIAMANTE</v>
      </c>
      <c r="X275" s="5" t="str">
        <f>_xlfn.LET(_xlpm.act,MATCH(V275,{"DIAMANTE";"PLATINO";"ORO";"PLATA";"BRONCE";"CERRADO"},0),_xlpm.ant,MATCH(W275,{"DIAMANTE";"PLATINO";"ORO";"PLATA";"BRONCE";"CERRADO"},0),IF(_xlpm.act&lt;_xlpm.ant,"Mejora ↑",IF(_xlpm.act&gt;_xlpm.ant,"Baja ↓","Estable →")))</f>
        <v>Estable →</v>
      </c>
      <c r="Y275" s="5">
        <f>IFERROR(U275-SUMIFS(HIST_SCORE!$D:$D,HIST_SCORE!$B:$B,PARAMS_MODELO!$B$4,HIST_SCORE!$C:$C,$A275),"")</f>
        <v>1.2564661357914559</v>
      </c>
      <c r="Z275" s="5" t="str">
        <f t="shared" si="101"/>
        <v>→ Estable</v>
      </c>
      <c r="AA275" s="5">
        <f t="shared" si="102"/>
        <v>41</v>
      </c>
      <c r="AB275" s="5">
        <f>IFERROR(SUMIFS(HIST_SCORE!$F:$F,HIST_SCORE!$B:$B,PARAMS_MODELO!$B$4,HIST_SCORE!$C:$C,$A275),"")</f>
        <v>50</v>
      </c>
      <c r="AC275" s="5">
        <f t="shared" si="103"/>
        <v>9</v>
      </c>
      <c r="AD275" t="str">
        <f t="shared" si="105"/>
        <v/>
      </c>
      <c r="AE2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275="CERRADO",1,IF(V275="BRONCE",_xlpm.cPl,IF(V275="PLATA",_xlpm.cO,IF(V275="ORO",_xlpm.cP,IF(V275="PLATINO",_xlpm.cD,999))))))</f>
        <v>999</v>
      </c>
      <c r="AF2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275="CERRADO",0,IF(V275="BRONCE",1,IF(V275="PLATA",_xlpm.cPl,IF(V275="ORO",_xlpm.cO,IF(V275="PLATINO",_xlpm.cP,_xlpm.cD))))))</f>
        <v>96.054919694466676</v>
      </c>
      <c r="AG275">
        <f t="shared" si="106"/>
        <v>783.8735551824069</v>
      </c>
      <c r="AH275" t="str">
        <f t="shared" si="107"/>
        <v>SOSTENER</v>
      </c>
      <c r="AI275" t="str">
        <f t="shared" si="104"/>
        <v>✅ Mantener desempeño y monitorear variaciones para sostener categoría.</v>
      </c>
      <c r="AJ275" s="26">
        <f>_xlfn.LET(_xlpm.piso,AF275,_xlpm.corte,AE275,_xlpm.prog,IF(_xlpm.corte&lt;=_xlpm.piso,0,MAX(0,MIN(1,(U275-_xlpm.piso)/(_xlpm.corte-_xlpm.piso)))),_xlpm.orden,{"DIAMANTE";"PLATINO";"ORO";"PLATA";"BRONCE";"CERRADO"},_xlpm.act,IFERROR(MATCH(V275,_xlpm.orden,0),6),_xlpm.ant,IFERROR(MATCH(W275,_xlpm.orden,0),6),_xlpm.ajmov,IF(_xlpm.act&lt;_xlpm.ant,0.08,IF(_xlpm.act&gt;_xlpm.ant,-0.08,0)),_xlpm.ajcli,IF(T275&lt;0.95,-0.06,0),_xlpm.prob,MAX(0,MIN(1,_xlpm.prog+_xlpm.ajmov+_xlpm.ajcli)),IF(OR(V275="DIAMANTE",V275="CERRADO"),0,ROUND(_xlpm.prob,2)))</f>
        <v>0</v>
      </c>
      <c r="AK275" t="str">
        <f t="shared" si="108"/>
        <v>No aplica</v>
      </c>
      <c r="AL275" t="str">
        <f t="shared" si="109"/>
        <v>Margen de seguridad: 1,5 puntos</v>
      </c>
      <c r="AM275">
        <f t="shared" si="110"/>
        <v>0.8</v>
      </c>
      <c r="AN275" t="str">
        <f t="shared" si="111"/>
        <v>PRIORIDAD ALTA – requiere intervención inmediata</v>
      </c>
      <c r="AO275">
        <f t="shared" si="112"/>
        <v>10.808572098439614</v>
      </c>
      <c r="AP275">
        <f t="shared" si="113"/>
        <v>0.39297102791812638</v>
      </c>
      <c r="AQ275">
        <f t="shared" si="114"/>
        <v>0</v>
      </c>
      <c r="AR275">
        <f t="shared" si="115"/>
        <v>6.0949999999999998</v>
      </c>
      <c r="AS275">
        <f t="shared" si="116"/>
        <v>0</v>
      </c>
      <c r="AT275" t="str">
        <f t="shared" si="117"/>
        <v>VENTAS</v>
      </c>
      <c r="AU275">
        <f t="shared" si="118"/>
        <v>10.808572098439614</v>
      </c>
      <c r="AV275" t="str">
        <f t="shared" si="119"/>
        <v>Mayor retorno probable: VENTAS (+10,8 puntos finales potenciales).</v>
      </c>
    </row>
    <row r="276" spans="1:48" x14ac:dyDescent="0.3">
      <c r="A276" s="5">
        <v>51055128</v>
      </c>
      <c r="B276" s="5" t="str">
        <f>IFERROR(VLOOKUP(A276,VENTAS!$A$2:$B$1194,2,0),"")</f>
        <v>LÓPEZ</v>
      </c>
      <c r="C276" s="5">
        <f>IFERROR(INDEX(VENTAS!$C$2:$E$1194,MATCH(A276,VENTAS!$A$2:$A$1194,0),MATCH(PARAMS_MODELO!$B$2,{"Q1","Q2","Q3"},0)),0)</f>
        <v>86038935.129999995</v>
      </c>
      <c r="D276" s="5">
        <f>IFERROR(INDEX(VENTAS!$F$2:$H$1194,MATCH(A276,VENTAS!$A$2:$A$1194,0),MATCH(PARAMS_MODELO!$B$2,{"Q1","Q2","Q3"},0)),0)</f>
        <v>109436941</v>
      </c>
      <c r="E276" s="8">
        <f t="shared" si="96"/>
        <v>0.27194671615411026</v>
      </c>
      <c r="F276" s="12">
        <f>IF(E276&lt;=PARAMS_MODELO!$B$15,0,IF(E276&gt;=PARAMS_MODELO!$B$17,100,100*MIN(1,(E276-PARAMS_MODELO!$B$15)/(PARAMS_MODELO!$B$16-PARAMS_MODELO!$B$15))))*PARAMS_MODELO!$B$7</f>
        <v>35</v>
      </c>
      <c r="G276" s="5">
        <f t="shared" si="97"/>
        <v>23398005.870000005</v>
      </c>
      <c r="H276" s="5">
        <f>(PARAMS_MODELO!$B$20*(MAX(0,MIN(3,E276))/3)+PARAMS_MODELO!$B$21*(IFERROR(LN(1+MAX(0,G276))/LN(1+MAX(0,MAX($G$2:$G$1194))),0)))*100*PARAMS_MODELO!$B$8</f>
        <v>4.9293874260513224</v>
      </c>
      <c r="I276" s="8">
        <f>E276-PARAMS_MODELO!$B$5</f>
        <v>9.4383880778583729E-2</v>
      </c>
      <c r="J276" s="5">
        <f>IF(I276&lt;=PARAMS_MODELO!$B$18,0,IF(I276&gt;=PARAMS_MODELO!$B$19,100,100*(I276-PARAMS_MODELO!$B$18)/(PARAMS_MODELO!$B$19-PARAMS_MODELO!$B$18)))*PARAMS_MODELO!$B$9</f>
        <v>15</v>
      </c>
      <c r="K276" s="5">
        <f>IFERROR(CHOOSE(MATCH(PARAMS_MODELO!$B$2,{"Q1","Q2","Q3"},0),LOTO!$D276,LOTO!$F276,LOTO!$H276),0)</f>
        <v>5352500</v>
      </c>
      <c r="L276" s="8">
        <f t="shared" si="98"/>
        <v>4.8909444572285694E-2</v>
      </c>
      <c r="M276" s="5">
        <f>MIN(100,IF(PARAMS_MODELO!$B$23=0,0,100*L276/PARAMS_MODELO!$B$23))*PARAMS_MODELO!$B$10</f>
        <v>14.672833371685707</v>
      </c>
      <c r="N276" s="5">
        <f>IFERROR(VLOOKUP(A276,COMPLIANCE!$A$2:$F$1996,6,0),100)</f>
        <v>100</v>
      </c>
      <c r="O276" s="5">
        <f>N276*PARAMS_MODELO!$B$11</f>
        <v>10</v>
      </c>
      <c r="P276" s="5">
        <f>IFERROR(VLOOKUP(A276,DIGITAL!$A$2:$J$2000,7,0),100)</f>
        <v>29</v>
      </c>
      <c r="Q276" s="5">
        <f>IFERROR(P276,0)*PARAMS_MODELO!$B$12</f>
        <v>2.9000000000000004</v>
      </c>
      <c r="R276">
        <f t="shared" si="99"/>
        <v>82.502220797737039</v>
      </c>
      <c r="S276" s="5" t="str">
        <f>IFERROR(VLOOKUP(A276,CLIENTE!$A$2:$N$2000,13,0),1)</f>
        <v>Muy Bueno</v>
      </c>
      <c r="T276" s="5">
        <f>IFERROR(VLOOKUP(A276,CLIENTE!$A$2:$N$2000,14,0),1)</f>
        <v>1.1499999999999999</v>
      </c>
      <c r="U276" s="5">
        <f t="shared" si="100"/>
        <v>94.877553917397591</v>
      </c>
      <c r="V276" s="5" t="str">
        <f>IF(U276&gt;=MAX(_xlfn.PERCENTILE.INC($U$2:$U$1194,PARAMS_MODELO!$B$50),PARAMS_MODELO!$B$45),"DIAMANTE",IF(U276&gt;=MAX(_xlfn.PERCENTILE.INC($U$2:$U$1194,PARAMS_MODELO!$B$51),PARAMS_MODELO!$B$46),"PLATINO",IF(U276&gt;=MAX(_xlfn.PERCENTILE.INC($U$2:$U$1194,PARAMS_MODELO!$B$52),PARAMS_MODELO!$B$47),"ORO",IF(U276&gt;=MAX(_xlfn.PERCENTILE.INC($U$2:$U$1194,PARAMS_MODELO!$B$53),PARAMS_MODELO!$B$48),"PLATA",IF(U276&gt;=1,"BRONCE","CERRADO")))))</f>
        <v>PLATINO</v>
      </c>
      <c r="W276" s="5" t="str" cm="1">
        <f t="array" ref="W276">_xlfn.XLOOKUP(1, (HIST_SCORE!$B:$B=PARAMS_MODELO!$B$4) * (HIST_SCORE!$C:$C=A276), HIST_SCORE!$E:$E, "No encontrado")</f>
        <v>DIAMANTE</v>
      </c>
      <c r="X276" s="5" t="str">
        <f>_xlfn.LET(_xlpm.act,MATCH(V276,{"DIAMANTE";"PLATINO";"ORO";"PLATA";"BRONCE";"CERRADO"},0),_xlpm.ant,MATCH(W276,{"DIAMANTE";"PLATINO";"ORO";"PLATA";"BRONCE";"CERRADO"},0),IF(_xlpm.act&lt;_xlpm.ant,"Mejora ↑",IF(_xlpm.act&gt;_xlpm.ant,"Baja ↓","Estable →")))</f>
        <v>Baja ↓</v>
      </c>
      <c r="Y276" s="5">
        <f>IFERROR(U276-SUMIFS(HIST_SCORE!$D:$D,HIST_SCORE!$B:$B,PARAMS_MODELO!$B$4,HIST_SCORE!$C:$C,$A276),"")</f>
        <v>-1.457272081918731</v>
      </c>
      <c r="Z276" s="5" t="str">
        <f t="shared" si="101"/>
        <v>→ Estable</v>
      </c>
      <c r="AA276" s="5">
        <f t="shared" si="102"/>
        <v>71</v>
      </c>
      <c r="AB276" s="5">
        <f>IFERROR(SUMIFS(HIST_SCORE!$F:$F,HIST_SCORE!$B:$B,PARAMS_MODELO!$B$4,HIST_SCORE!$C:$C,$A276),"")</f>
        <v>49</v>
      </c>
      <c r="AC276" s="5">
        <f t="shared" si="103"/>
        <v>-22</v>
      </c>
      <c r="AD276" t="str">
        <f t="shared" si="105"/>
        <v/>
      </c>
      <c r="AE2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276="CERRADO",1,IF(V276="BRONCE",_xlpm.cPl,IF(V276="PLATA",_xlpm.cO,IF(V276="ORO",_xlpm.cP,IF(V276="PLATINO",_xlpm.cD,999))))))</f>
        <v>96.054919694466676</v>
      </c>
      <c r="AF2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276="CERRADO",0,IF(V276="BRONCE",1,IF(V276="PLATA",_xlpm.cPl,IF(V276="ORO",_xlpm.cO,IF(V276="PLATINO",_xlpm.cP,_xlpm.cD))))))</f>
        <v>86.439123873763251</v>
      </c>
      <c r="AG276">
        <f t="shared" si="106"/>
        <v>1.0237963278861599</v>
      </c>
      <c r="AH276" t="str">
        <f t="shared" si="107"/>
        <v>VENTAS</v>
      </c>
      <c r="AI276" t="str">
        <f t="shared" si="104"/>
        <v>🎯 Para subir de categoría, eje VENTAS / IMPACTO ABSOLUTO (H). Acción: metas semanales + activación comercial + seguimiento del asesor. ΔR aprox: 1,0</v>
      </c>
      <c r="AJ276" s="26">
        <f>_xlfn.LET(_xlpm.piso,AF276,_xlpm.corte,AE276,_xlpm.prog,IF(_xlpm.corte&lt;=_xlpm.piso,0,MAX(0,MIN(1,(U276-_xlpm.piso)/(_xlpm.corte-_xlpm.piso)))),_xlpm.orden,{"DIAMANTE";"PLATINO";"ORO";"PLATA";"BRONCE";"CERRADO"},_xlpm.act,IFERROR(MATCH(V276,_xlpm.orden,0),6),_xlpm.ant,IFERROR(MATCH(W276,_xlpm.orden,0),6),_xlpm.ajmov,IF(_xlpm.act&lt;_xlpm.ant,0.08,IF(_xlpm.act&gt;_xlpm.ant,-0.08,0)),_xlpm.ajcli,IF(T276&lt;0.95,-0.06,0),_xlpm.prob,MAX(0,MIN(1,_xlpm.prog+_xlpm.ajmov+_xlpm.ajcli)),IF(OR(V276="DIAMANTE",V276="CERRADO"),0,ROUND(_xlpm.prob,2)))</f>
        <v>0.8</v>
      </c>
      <c r="AK276" t="str">
        <f t="shared" si="108"/>
        <v>Faltan 1,0 puntos base para subir a la siguiente categoría</v>
      </c>
      <c r="AL276" t="str">
        <f t="shared" si="109"/>
        <v>Margen de seguridad: 8,4 puntos</v>
      </c>
      <c r="AM276">
        <f t="shared" si="110"/>
        <v>0.12</v>
      </c>
      <c r="AN276" t="str">
        <f t="shared" si="111"/>
        <v>PRIORIDAD BAJA – control normal</v>
      </c>
      <c r="AO276">
        <f t="shared" si="112"/>
        <v>11.423159126630903</v>
      </c>
      <c r="AP276">
        <f t="shared" si="113"/>
        <v>0.37624162256143706</v>
      </c>
      <c r="AQ276">
        <f t="shared" si="114"/>
        <v>0</v>
      </c>
      <c r="AR276">
        <f t="shared" si="115"/>
        <v>8.1649999999999991</v>
      </c>
      <c r="AS276">
        <f t="shared" si="116"/>
        <v>0</v>
      </c>
      <c r="AT276" t="str">
        <f t="shared" si="117"/>
        <v>VENTAS</v>
      </c>
      <c r="AU276">
        <f t="shared" si="118"/>
        <v>11.423159126630903</v>
      </c>
      <c r="AV276" t="str">
        <f t="shared" si="119"/>
        <v>Mayor retorno probable: VENTAS (+11,4 puntos finales potenciales).</v>
      </c>
    </row>
    <row r="277" spans="1:48" x14ac:dyDescent="0.3">
      <c r="A277" s="5">
        <v>51011546</v>
      </c>
      <c r="B277" s="5" t="str">
        <f>IFERROR(VLOOKUP(A277,VENTAS!$A$2:$B$1194,2,0),"")</f>
        <v>LÓPEZ</v>
      </c>
      <c r="C277" s="5">
        <f>IFERROR(INDEX(VENTAS!$C$2:$E$1194,MATCH(A277,VENTAS!$A$2:$A$1194,0),MATCH(PARAMS_MODELO!$B$2,{"Q1","Q2","Q3"},0)),0)</f>
        <v>83376683.449999988</v>
      </c>
      <c r="D277" s="5">
        <f>IFERROR(INDEX(VENTAS!$F$2:$H$1194,MATCH(A277,VENTAS!$A$2:$A$1194,0),MATCH(PARAMS_MODELO!$B$2,{"Q1","Q2","Q3"},0)),0)</f>
        <v>109337779</v>
      </c>
      <c r="E277" s="8">
        <f t="shared" si="96"/>
        <v>0.31137117088098831</v>
      </c>
      <c r="F277" s="12">
        <f>IF(E277&lt;=PARAMS_MODELO!$B$15,0,IF(E277&gt;=PARAMS_MODELO!$B$17,100,100*MIN(1,(E277-PARAMS_MODELO!$B$15)/(PARAMS_MODELO!$B$16-PARAMS_MODELO!$B$15))))*PARAMS_MODELO!$B$7</f>
        <v>35</v>
      </c>
      <c r="G277" s="5">
        <f t="shared" si="97"/>
        <v>25961095.550000012</v>
      </c>
      <c r="H277" s="5">
        <f>(PARAMS_MODELO!$B$20*(MAX(0,MIN(3,E277))/3)+PARAMS_MODELO!$B$21*(IFERROR(LN(1+MAX(0,G277))/LN(1+MAX(0,MAX($G$2:$G$1194))),0)))*100*PARAMS_MODELO!$B$8</f>
        <v>5.0917399476541272</v>
      </c>
      <c r="I277" s="8">
        <f>E277-PARAMS_MODELO!$B$5</f>
        <v>0.13380833550546178</v>
      </c>
      <c r="J277" s="5">
        <f>IF(I277&lt;=PARAMS_MODELO!$B$18,0,IF(I277&gt;=PARAMS_MODELO!$B$19,100,100*(I277-PARAMS_MODELO!$B$18)/(PARAMS_MODELO!$B$19-PARAMS_MODELO!$B$18)))*PARAMS_MODELO!$B$9</f>
        <v>15</v>
      </c>
      <c r="K277" s="5">
        <f>IFERROR(CHOOSE(MATCH(PARAMS_MODELO!$B$2,{"Q1","Q2","Q3"},0),LOTO!$D277,LOTO!$F277,LOTO!$H277),0)</f>
        <v>5345000</v>
      </c>
      <c r="L277" s="8">
        <f t="shared" si="98"/>
        <v>4.8885207371918538E-2</v>
      </c>
      <c r="M277" s="5">
        <f>MIN(100,IF(PARAMS_MODELO!$B$23=0,0,100*L277/PARAMS_MODELO!$B$23))*PARAMS_MODELO!$B$10</f>
        <v>14.665562211575562</v>
      </c>
      <c r="N277" s="5">
        <f>IFERROR(VLOOKUP(A277,COMPLIANCE!$A$2:$F$1996,6,0),100)</f>
        <v>100</v>
      </c>
      <c r="O277" s="5">
        <f>N277*PARAMS_MODELO!$B$11</f>
        <v>10</v>
      </c>
      <c r="P277" s="5">
        <f>IFERROR(VLOOKUP(A277,DIGITAL!$A$2:$J$2000,7,0),100)</f>
        <v>84</v>
      </c>
      <c r="Q277" s="5">
        <f>IFERROR(P277,0)*PARAMS_MODELO!$B$12</f>
        <v>8.4</v>
      </c>
      <c r="R277">
        <f t="shared" si="99"/>
        <v>88.157302159229687</v>
      </c>
      <c r="S277" s="5" t="str">
        <f>IFERROR(VLOOKUP(A277,CLIENTE!$A$2:$N$2000,13,0),1)</f>
        <v>Excelente</v>
      </c>
      <c r="T277" s="5">
        <f>IFERROR(VLOOKUP(A277,CLIENTE!$A$2:$N$2000,14,0),1)</f>
        <v>1.2</v>
      </c>
      <c r="U277" s="5">
        <f t="shared" si="100"/>
        <v>100</v>
      </c>
      <c r="V277" s="5" t="str">
        <f>IF(U277&gt;=MAX(_xlfn.PERCENTILE.INC($U$2:$U$1194,PARAMS_MODELO!$B$50),PARAMS_MODELO!$B$45),"DIAMANTE",IF(U277&gt;=MAX(_xlfn.PERCENTILE.INC($U$2:$U$1194,PARAMS_MODELO!$B$51),PARAMS_MODELO!$B$46),"PLATINO",IF(U277&gt;=MAX(_xlfn.PERCENTILE.INC($U$2:$U$1194,PARAMS_MODELO!$B$52),PARAMS_MODELO!$B$47),"ORO",IF(U277&gt;=MAX(_xlfn.PERCENTILE.INC($U$2:$U$1194,PARAMS_MODELO!$B$53),PARAMS_MODELO!$B$48),"PLATA",IF(U277&gt;=1,"BRONCE","CERRADO")))))</f>
        <v>DIAMANTE</v>
      </c>
      <c r="W277" s="5" t="str" cm="1">
        <f t="array" ref="W277">_xlfn.XLOOKUP(1, (HIST_SCORE!$B:$B=PARAMS_MODELO!$B$4) * (HIST_SCORE!$C:$C=A277), HIST_SCORE!$E:$E, "No encontrado")</f>
        <v>DIAMANTE</v>
      </c>
      <c r="X277" s="5" t="str">
        <f>_xlfn.LET(_xlpm.act,MATCH(V277,{"DIAMANTE";"PLATINO";"ORO";"PLATA";"BRONCE";"CERRADO"},0),_xlpm.ant,MATCH(W277,{"DIAMANTE";"PLATINO";"ORO";"PLATA";"BRONCE";"CERRADO"},0),IF(_xlpm.act&lt;_xlpm.ant,"Mejora ↑",IF(_xlpm.act&gt;_xlpm.ant,"Baja ↓","Estable →")))</f>
        <v>Estable →</v>
      </c>
      <c r="Y277" s="5">
        <f>IFERROR(U277-SUMIFS(HIST_SCORE!$D:$D,HIST_SCORE!$B:$B,PARAMS_MODELO!$B$4,HIST_SCORE!$C:$C,$A277),"")</f>
        <v>0</v>
      </c>
      <c r="Z277" s="5" t="str">
        <f t="shared" si="101"/>
        <v>→ Estable</v>
      </c>
      <c r="AA277" s="5">
        <f t="shared" si="102"/>
        <v>1</v>
      </c>
      <c r="AB277" s="5">
        <f>IFERROR(SUMIFS(HIST_SCORE!$F:$F,HIST_SCORE!$B:$B,PARAMS_MODELO!$B$4,HIST_SCORE!$C:$C,$A277),"")</f>
        <v>1</v>
      </c>
      <c r="AC277" s="5">
        <f t="shared" si="103"/>
        <v>0</v>
      </c>
      <c r="AD277" t="str">
        <f t="shared" si="105"/>
        <v/>
      </c>
      <c r="AE2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277="CERRADO",1,IF(V277="BRONCE",_xlpm.cPl,IF(V277="PLATA",_xlpm.cO,IF(V277="ORO",_xlpm.cP,IF(V277="PLATINO",_xlpm.cD,999))))))</f>
        <v>999</v>
      </c>
      <c r="AF2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277="CERRADO",0,IF(V277="BRONCE",1,IF(V277="PLATA",_xlpm.cPl,IF(V277="ORO",_xlpm.cO,IF(V277="PLATINO",_xlpm.cP,_xlpm.cD))))))</f>
        <v>96.054919694466676</v>
      </c>
      <c r="AG277">
        <f t="shared" si="106"/>
        <v>744.34269784077037</v>
      </c>
      <c r="AH277" t="str">
        <f t="shared" si="107"/>
        <v>SOSTENER</v>
      </c>
      <c r="AI277" t="str">
        <f t="shared" si="104"/>
        <v>✅ Mantener desempeño y monitorear variaciones para sostener categoría.</v>
      </c>
      <c r="AJ277" s="26">
        <f>_xlfn.LET(_xlpm.piso,AF277,_xlpm.corte,AE277,_xlpm.prog,IF(_xlpm.corte&lt;=_xlpm.piso,0,MAX(0,MIN(1,(U277-_xlpm.piso)/(_xlpm.corte-_xlpm.piso)))),_xlpm.orden,{"DIAMANTE";"PLATINO";"ORO";"PLATA";"BRONCE";"CERRADO"},_xlpm.act,IFERROR(MATCH(V277,_xlpm.orden,0),6),_xlpm.ant,IFERROR(MATCH(W277,_xlpm.orden,0),6),_xlpm.ajmov,IF(_xlpm.act&lt;_xlpm.ant,0.08,IF(_xlpm.act&gt;_xlpm.ant,-0.08,0)),_xlpm.ajcli,IF(T277&lt;0.95,-0.06,0),_xlpm.prob,MAX(0,MIN(1,_xlpm.prog+_xlpm.ajmov+_xlpm.ajcli)),IF(OR(V277="DIAMANTE",V277="CERRADO"),0,ROUND(_xlpm.prob,2)))</f>
        <v>0</v>
      </c>
      <c r="AK277" t="str">
        <f t="shared" si="108"/>
        <v>No aplica</v>
      </c>
      <c r="AL277" t="str">
        <f t="shared" si="109"/>
        <v>Margen de seguridad: 3,9 puntos</v>
      </c>
      <c r="AM277">
        <f t="shared" si="110"/>
        <v>0.8</v>
      </c>
      <c r="AN277" t="str">
        <f t="shared" si="111"/>
        <v>PRIORIDAD ALTA – requiere intervención inmediata</v>
      </c>
      <c r="AO277">
        <f t="shared" si="112"/>
        <v>11.724995193169748</v>
      </c>
      <c r="AP277">
        <f t="shared" si="113"/>
        <v>0.40132534610932563</v>
      </c>
      <c r="AQ277">
        <f t="shared" si="114"/>
        <v>0</v>
      </c>
      <c r="AR277">
        <f t="shared" si="115"/>
        <v>1.9199999999999995</v>
      </c>
      <c r="AS277">
        <f t="shared" si="116"/>
        <v>0</v>
      </c>
      <c r="AT277" t="str">
        <f t="shared" si="117"/>
        <v>VENTAS</v>
      </c>
      <c r="AU277">
        <f t="shared" si="118"/>
        <v>11.724995193169748</v>
      </c>
      <c r="AV277" t="str">
        <f t="shared" si="119"/>
        <v>Mayor retorno probable: VENTAS (+11,7 puntos finales potenciales).</v>
      </c>
    </row>
    <row r="278" spans="1:48" x14ac:dyDescent="0.3">
      <c r="A278" s="5">
        <v>51031482</v>
      </c>
      <c r="B278" s="5" t="str">
        <f>IFERROR(VLOOKUP(A278,VENTAS!$A$2:$B$1194,2,0),"")</f>
        <v>ARGUELLO</v>
      </c>
      <c r="C278" s="5">
        <f>IFERROR(INDEX(VENTAS!$C$2:$E$1194,MATCH(A278,VENTAS!$A$2:$A$1194,0),MATCH(PARAMS_MODELO!$B$2,{"Q1","Q2","Q3"},0)),0)</f>
        <v>70432720.030000001</v>
      </c>
      <c r="D278" s="5">
        <f>IFERROR(INDEX(VENTAS!$F$2:$H$1194,MATCH(A278,VENTAS!$A$2:$A$1194,0),MATCH(PARAMS_MODELO!$B$2,{"Q1","Q2","Q3"},0)),0)</f>
        <v>108966196</v>
      </c>
      <c r="E278" s="8">
        <f t="shared" si="96"/>
        <v>0.54709623529500373</v>
      </c>
      <c r="F278" s="12">
        <f>IF(E278&lt;=PARAMS_MODELO!$B$15,0,IF(E278&gt;=PARAMS_MODELO!$B$17,100,100*MIN(1,(E278-PARAMS_MODELO!$B$15)/(PARAMS_MODELO!$B$16-PARAMS_MODELO!$B$15))))*PARAMS_MODELO!$B$7</f>
        <v>35</v>
      </c>
      <c r="G278" s="5">
        <f t="shared" si="97"/>
        <v>38533475.969999999</v>
      </c>
      <c r="H278" s="5">
        <f>(PARAMS_MODELO!$B$20*(MAX(0,MIN(3,E278))/3)+PARAMS_MODELO!$B$21*(IFERROR(LN(1+MAX(0,G278))/LN(1+MAX(0,MAX($G$2:$G$1194))),0)))*100*PARAMS_MODELO!$B$8</f>
        <v>6.0093543717112192</v>
      </c>
      <c r="I278" s="8">
        <f>E278-PARAMS_MODELO!$B$5</f>
        <v>0.3695333999194772</v>
      </c>
      <c r="J278" s="5">
        <f>IF(I278&lt;=PARAMS_MODELO!$B$18,0,IF(I278&gt;=PARAMS_MODELO!$B$19,100,100*(I278-PARAMS_MODELO!$B$18)/(PARAMS_MODELO!$B$19-PARAMS_MODELO!$B$18)))*PARAMS_MODELO!$B$9</f>
        <v>15</v>
      </c>
      <c r="K278" s="5">
        <f>IFERROR(CHOOSE(MATCH(PARAMS_MODELO!$B$2,{"Q1","Q2","Q3"},0),LOTO!$D278,LOTO!$F278,LOTO!$H278),0)</f>
        <v>5342500</v>
      </c>
      <c r="L278" s="8">
        <f t="shared" si="98"/>
        <v>4.9028966744879304E-2</v>
      </c>
      <c r="M278" s="5">
        <f>MIN(100,IF(PARAMS_MODELO!$B$23=0,0,100*L278/PARAMS_MODELO!$B$23))*PARAMS_MODELO!$B$10</f>
        <v>14.708690023463792</v>
      </c>
      <c r="N278" s="5">
        <f>IFERROR(VLOOKUP(A278,COMPLIANCE!$A$2:$F$1996,6,0),100)</f>
        <v>99.7</v>
      </c>
      <c r="O278" s="5">
        <f>N278*PARAMS_MODELO!$B$11</f>
        <v>9.9700000000000006</v>
      </c>
      <c r="P278" s="5">
        <f>IFERROR(VLOOKUP(A278,DIGITAL!$A$2:$J$2000,7,0),100)</f>
        <v>42</v>
      </c>
      <c r="Q278" s="5">
        <f>IFERROR(P278,0)*PARAMS_MODELO!$B$12</f>
        <v>4.2</v>
      </c>
      <c r="R278">
        <f t="shared" si="99"/>
        <v>84.888044395175015</v>
      </c>
      <c r="S278" s="5" t="str">
        <f>IFERROR(VLOOKUP(A278,CLIENTE!$A$2:$N$2000,13,0),1)</f>
        <v>Bueno</v>
      </c>
      <c r="T278" s="5">
        <f>IFERROR(VLOOKUP(A278,CLIENTE!$A$2:$N$2000,14,0),1)</f>
        <v>1.1000000000000001</v>
      </c>
      <c r="U278" s="5">
        <f t="shared" si="100"/>
        <v>93.376848834692524</v>
      </c>
      <c r="V278" s="5" t="str">
        <f>IF(U278&gt;=MAX(_xlfn.PERCENTILE.INC($U$2:$U$1194,PARAMS_MODELO!$B$50),PARAMS_MODELO!$B$45),"DIAMANTE",IF(U278&gt;=MAX(_xlfn.PERCENTILE.INC($U$2:$U$1194,PARAMS_MODELO!$B$51),PARAMS_MODELO!$B$46),"PLATINO",IF(U278&gt;=MAX(_xlfn.PERCENTILE.INC($U$2:$U$1194,PARAMS_MODELO!$B$52),PARAMS_MODELO!$B$47),"ORO",IF(U278&gt;=MAX(_xlfn.PERCENTILE.INC($U$2:$U$1194,PARAMS_MODELO!$B$53),PARAMS_MODELO!$B$48),"PLATA",IF(U278&gt;=1,"BRONCE","CERRADO")))))</f>
        <v>PLATINO</v>
      </c>
      <c r="W278" s="5" t="str" cm="1">
        <f t="array" ref="W278">_xlfn.XLOOKUP(1, (HIST_SCORE!$B:$B=PARAMS_MODELO!$B$4) * (HIST_SCORE!$C:$C=A278), HIST_SCORE!$E:$E, "No encontrado")</f>
        <v>PLATINO</v>
      </c>
      <c r="X278" s="5" t="str">
        <f>_xlfn.LET(_xlpm.act,MATCH(V278,{"DIAMANTE";"PLATINO";"ORO";"PLATA";"BRONCE";"CERRADO"},0),_xlpm.ant,MATCH(W278,{"DIAMANTE";"PLATINO";"ORO";"PLATA";"BRONCE";"CERRADO"},0),IF(_xlpm.act&lt;_xlpm.ant,"Mejora ↑",IF(_xlpm.act&gt;_xlpm.ant,"Baja ↓","Estable →")))</f>
        <v>Estable →</v>
      </c>
      <c r="Y278" s="5">
        <f>IFERROR(U278-SUMIFS(HIST_SCORE!$D:$D,HIST_SCORE!$B:$B,PARAMS_MODELO!$B$4,HIST_SCORE!$C:$C,$A278),"")</f>
        <v>2.1260708980906031</v>
      </c>
      <c r="Z278" s="5" t="str">
        <f t="shared" si="101"/>
        <v>→ Estable</v>
      </c>
      <c r="AA278" s="5">
        <f t="shared" si="102"/>
        <v>86</v>
      </c>
      <c r="AB278" s="5">
        <f>IFERROR(SUMIFS(HIST_SCORE!$F:$F,HIST_SCORE!$B:$B,PARAMS_MODELO!$B$4,HIST_SCORE!$C:$C,$A278),"")</f>
        <v>115</v>
      </c>
      <c r="AC278" s="5">
        <f t="shared" si="103"/>
        <v>29</v>
      </c>
      <c r="AD278" t="str">
        <f t="shared" si="105"/>
        <v/>
      </c>
      <c r="AE2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278="CERRADO",1,IF(V278="BRONCE",_xlpm.cPl,IF(V278="PLATA",_xlpm.cO,IF(V278="ORO",_xlpm.cP,IF(V278="PLATINO",_xlpm.cD,999))))))</f>
        <v>96.054919694466676</v>
      </c>
      <c r="AF2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278="CERRADO",0,IF(V278="BRONCE",1,IF(V278="PLATA",_xlpm.cPl,IF(V278="ORO",_xlpm.cO,IF(V278="PLATINO",_xlpm.cP,_xlpm.cD))))))</f>
        <v>86.439123873763251</v>
      </c>
      <c r="AG278">
        <f t="shared" si="106"/>
        <v>2.4346098725219605</v>
      </c>
      <c r="AH278" t="str">
        <f t="shared" si="107"/>
        <v>VENTAS</v>
      </c>
      <c r="AI278" t="str">
        <f t="shared" si="104"/>
        <v>🎯 Para subir de categoría, eje VENTAS / IMPACTO ABSOLUTO (H). Acción: metas semanales + activación comercial + seguimiento del asesor. ΔR aprox: 2,4</v>
      </c>
      <c r="AJ278" s="26">
        <f>_xlfn.LET(_xlpm.piso,AF278,_xlpm.corte,AE278,_xlpm.prog,IF(_xlpm.corte&lt;=_xlpm.piso,0,MAX(0,MIN(1,(U278-_xlpm.piso)/(_xlpm.corte-_xlpm.piso)))),_xlpm.orden,{"DIAMANTE";"PLATINO";"ORO";"PLATA";"BRONCE";"CERRADO"},_xlpm.act,IFERROR(MATCH(V278,_xlpm.orden,0),6),_xlpm.ant,IFERROR(MATCH(W278,_xlpm.orden,0),6),_xlpm.ajmov,IF(_xlpm.act&lt;_xlpm.ant,0.08,IF(_xlpm.act&gt;_xlpm.ant,-0.08,0)),_xlpm.ajcli,IF(T278&lt;0.95,-0.06,0),_xlpm.prob,MAX(0,MIN(1,_xlpm.prog+_xlpm.ajmov+_xlpm.ajcli)),IF(OR(V278="DIAMANTE",V278="CERRADO"),0,ROUND(_xlpm.prob,2)))</f>
        <v>0.72</v>
      </c>
      <c r="AK278" t="str">
        <f t="shared" si="108"/>
        <v>Faltan 2,4 puntos base para subir a la siguiente categoría</v>
      </c>
      <c r="AL278" t="str">
        <f t="shared" si="109"/>
        <v>Margen de seguridad: 6,9 puntos</v>
      </c>
      <c r="AM278">
        <f t="shared" si="110"/>
        <v>0.21</v>
      </c>
      <c r="AN278" t="str">
        <f t="shared" si="111"/>
        <v>PRIORIDAD BAJA – control normal</v>
      </c>
      <c r="AO278">
        <f t="shared" si="112"/>
        <v>9.7385363939428036</v>
      </c>
      <c r="AP278">
        <f t="shared" si="113"/>
        <v>0.32044097418982925</v>
      </c>
      <c r="AQ278">
        <f t="shared" si="114"/>
        <v>3.2999999999999301E-2</v>
      </c>
      <c r="AR278">
        <f t="shared" si="115"/>
        <v>6.38</v>
      </c>
      <c r="AS278">
        <f t="shared" si="116"/>
        <v>0</v>
      </c>
      <c r="AT278" t="str">
        <f t="shared" si="117"/>
        <v>VENTAS</v>
      </c>
      <c r="AU278">
        <f t="shared" si="118"/>
        <v>9.7385363939428036</v>
      </c>
      <c r="AV278" t="str">
        <f t="shared" si="119"/>
        <v>Mayor retorno probable: VENTAS (+9,7 puntos finales potenciales).</v>
      </c>
    </row>
    <row r="279" spans="1:48" x14ac:dyDescent="0.3">
      <c r="A279" s="5">
        <v>51030109</v>
      </c>
      <c r="B279" s="5" t="str">
        <f>IFERROR(VLOOKUP(A279,VENTAS!$A$2:$B$1194,2,0),"")</f>
        <v>AYALA</v>
      </c>
      <c r="C279" s="5">
        <f>IFERROR(INDEX(VENTAS!$C$2:$E$1194,MATCH(A279,VENTAS!$A$2:$A$1194,0),MATCH(PARAMS_MODELO!$B$2,{"Q1","Q2","Q3"},0)),0)</f>
        <v>130471058.61</v>
      </c>
      <c r="D279" s="5">
        <f>IFERROR(INDEX(VENTAS!$F$2:$H$1194,MATCH(A279,VENTAS!$A$2:$A$1194,0),MATCH(PARAMS_MODELO!$B$2,{"Q1","Q2","Q3"},0)),0)</f>
        <v>108870851</v>
      </c>
      <c r="E279" s="8">
        <f t="shared" si="96"/>
        <v>-0.1655555480282157</v>
      </c>
      <c r="F279" s="12">
        <f>IF(E279&lt;=PARAMS_MODELO!$B$15,0,IF(E279&gt;=PARAMS_MODELO!$B$17,100,100*MIN(1,(E279-PARAMS_MODELO!$B$15)/(PARAMS_MODELO!$B$16-PARAMS_MODELO!$B$15))))*PARAMS_MODELO!$B$7</f>
        <v>0</v>
      </c>
      <c r="G279" s="5">
        <f t="shared" si="97"/>
        <v>0</v>
      </c>
      <c r="H279" s="5">
        <f>(PARAMS_MODELO!$B$20*(MAX(0,MIN(3,E279))/3)+PARAMS_MODELO!$B$21*(IFERROR(LN(1+MAX(0,G279))/LN(1+MAX(0,MAX($G$2:$G$1194))),0)))*100*PARAMS_MODELO!$B$8</f>
        <v>0</v>
      </c>
      <c r="I279" s="8">
        <f>E279-PARAMS_MODELO!$B$5</f>
        <v>-0.34311838340374223</v>
      </c>
      <c r="J279" s="5">
        <f>IF(I279&lt;=PARAMS_MODELO!$B$18,0,IF(I279&gt;=PARAMS_MODELO!$B$19,100,100*(I279-PARAMS_MODELO!$B$18)/(PARAMS_MODELO!$B$19-PARAMS_MODELO!$B$18)))*PARAMS_MODELO!$B$9</f>
        <v>0</v>
      </c>
      <c r="K279" s="5">
        <f>IFERROR(CHOOSE(MATCH(PARAMS_MODELO!$B$2,{"Q1","Q2","Q3"},0),LOTO!$D279,LOTO!$F279,LOTO!$H279),0)</f>
        <v>5330000</v>
      </c>
      <c r="L279" s="8">
        <f t="shared" si="98"/>
        <v>4.8957089533542823E-2</v>
      </c>
      <c r="M279" s="5">
        <f>MIN(100,IF(PARAMS_MODELO!$B$23=0,0,100*L279/PARAMS_MODELO!$B$23))*PARAMS_MODELO!$B$10</f>
        <v>14.687126860062845</v>
      </c>
      <c r="N279" s="5">
        <f>IFERROR(VLOOKUP(A279,COMPLIANCE!$A$2:$F$1996,6,0),100)</f>
        <v>100</v>
      </c>
      <c r="O279" s="5">
        <f>N279*PARAMS_MODELO!$B$11</f>
        <v>10</v>
      </c>
      <c r="P279" s="5">
        <f>IFERROR(VLOOKUP(A279,DIGITAL!$A$2:$J$2000,7,0),100)</f>
        <v>28</v>
      </c>
      <c r="Q279" s="5">
        <f>IFERROR(P279,0)*PARAMS_MODELO!$B$12</f>
        <v>2.8000000000000003</v>
      </c>
      <c r="R279">
        <f t="shared" si="99"/>
        <v>27.487126860062848</v>
      </c>
      <c r="S279" s="5" t="str">
        <f>IFERROR(VLOOKUP(A279,CLIENTE!$A$2:$N$2000,13,0),1)</f>
        <v>Regular</v>
      </c>
      <c r="T279" s="5">
        <f>IFERROR(VLOOKUP(A279,CLIENTE!$A$2:$N$2000,14,0),1)</f>
        <v>1</v>
      </c>
      <c r="U279" s="5">
        <f t="shared" si="100"/>
        <v>27.487126860062848</v>
      </c>
      <c r="V279" s="5" t="str">
        <f>IF(U279&gt;=MAX(_xlfn.PERCENTILE.INC($U$2:$U$1194,PARAMS_MODELO!$B$50),PARAMS_MODELO!$B$45),"DIAMANTE",IF(U279&gt;=MAX(_xlfn.PERCENTILE.INC($U$2:$U$1194,PARAMS_MODELO!$B$51),PARAMS_MODELO!$B$46),"PLATINO",IF(U279&gt;=MAX(_xlfn.PERCENTILE.INC($U$2:$U$1194,PARAMS_MODELO!$B$52),PARAMS_MODELO!$B$47),"ORO",IF(U279&gt;=MAX(_xlfn.PERCENTILE.INC($U$2:$U$1194,PARAMS_MODELO!$B$53),PARAMS_MODELO!$B$48),"PLATA",IF(U279&gt;=1,"BRONCE","CERRADO")))))</f>
        <v>PLATA</v>
      </c>
      <c r="W279" s="5" t="str" cm="1">
        <f t="array" ref="W279">_xlfn.XLOOKUP(1, (HIST_SCORE!$B:$B=PARAMS_MODELO!$B$4) * (HIST_SCORE!$C:$C=A279), HIST_SCORE!$E:$E, "No encontrado")</f>
        <v>ORO</v>
      </c>
      <c r="X279" s="5" t="str">
        <f>_xlfn.LET(_xlpm.act,MATCH(V279,{"DIAMANTE";"PLATINO";"ORO";"PLATA";"BRONCE";"CERRADO"},0),_xlpm.ant,MATCH(W279,{"DIAMANTE";"PLATINO";"ORO";"PLATA";"BRONCE";"CERRADO"},0),IF(_xlpm.act&lt;_xlpm.ant,"Mejora ↑",IF(_xlpm.act&gt;_xlpm.ant,"Baja ↓","Estable →")))</f>
        <v>Baja ↓</v>
      </c>
      <c r="Y279" s="5">
        <f>IFERROR(U279-SUMIFS(HIST_SCORE!$D:$D,HIST_SCORE!$B:$B,PARAMS_MODELO!$B$4,HIST_SCORE!$C:$C,$A279),"")</f>
        <v>-39.3752390008177</v>
      </c>
      <c r="Z279" s="5" t="str">
        <f t="shared" si="101"/>
        <v>↓ Baja</v>
      </c>
      <c r="AA279" s="5">
        <f t="shared" si="102"/>
        <v>893</v>
      </c>
      <c r="AB279" s="5">
        <f>IFERROR(SUMIFS(HIST_SCORE!$F:$F,HIST_SCORE!$B:$B,PARAMS_MODELO!$B$4,HIST_SCORE!$C:$C,$A279),"")</f>
        <v>565</v>
      </c>
      <c r="AC279" s="5">
        <f t="shared" si="103"/>
        <v>-328</v>
      </c>
      <c r="AD279" t="str">
        <f t="shared" si="105"/>
        <v/>
      </c>
      <c r="AE2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279="CERRADO",1,IF(V279="BRONCE",_xlpm.cPl,IF(V279="PLATA",_xlpm.cO,IF(V279="ORO",_xlpm.cP,IF(V279="PLATINO",_xlpm.cD,999))))))</f>
        <v>63.199193273331495</v>
      </c>
      <c r="AF2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279="CERRADO",0,IF(V279="BRONCE",1,IF(V279="PLATA",_xlpm.cPl,IF(V279="ORO",_xlpm.cO,IF(V279="PLATINO",_xlpm.cP,_xlpm.cD))))))</f>
        <v>24.506573482968111</v>
      </c>
      <c r="AG279">
        <f t="shared" si="106"/>
        <v>35.712066413268644</v>
      </c>
      <c r="AH279" t="str">
        <f t="shared" si="107"/>
        <v>VENTAS</v>
      </c>
      <c r="AI279" t="str">
        <f t="shared" si="104"/>
        <v>🎯 Para subir de categoría, eje VENTAS / CRECIMIENTO PERSONAL (F). Acción: metas semanales + activación comercial + seguimiento del asesor. ΔR aprox: 35,7</v>
      </c>
      <c r="AJ279" s="26">
        <f>_xlfn.LET(_xlpm.piso,AF279,_xlpm.corte,AE279,_xlpm.prog,IF(_xlpm.corte&lt;=_xlpm.piso,0,MAX(0,MIN(1,(U279-_xlpm.piso)/(_xlpm.corte-_xlpm.piso)))),_xlpm.orden,{"DIAMANTE";"PLATINO";"ORO";"PLATA";"BRONCE";"CERRADO"},_xlpm.act,IFERROR(MATCH(V279,_xlpm.orden,0),6),_xlpm.ant,IFERROR(MATCH(W279,_xlpm.orden,0),6),_xlpm.ajmov,IF(_xlpm.act&lt;_xlpm.ant,0.08,IF(_xlpm.act&gt;_xlpm.ant,-0.08,0)),_xlpm.ajcli,IF(T279&lt;0.95,-0.06,0),_xlpm.prob,MAX(0,MIN(1,_xlpm.prog+_xlpm.ajmov+_xlpm.ajcli)),IF(OR(V279="DIAMANTE",V279="CERRADO"),0,ROUND(_xlpm.prob,2)))</f>
        <v>0</v>
      </c>
      <c r="AK279" t="str">
        <f t="shared" si="108"/>
        <v>Faltan 35,7 puntos base para subir a la siguiente categoría</v>
      </c>
      <c r="AL279" t="str">
        <f t="shared" si="109"/>
        <v>Margen de seguridad: 3,0 puntos</v>
      </c>
      <c r="AM279">
        <f t="shared" si="110"/>
        <v>0.8</v>
      </c>
      <c r="AN279" t="str">
        <f t="shared" si="111"/>
        <v>PRIORIDAD ALTA – requiere intervención inmediata</v>
      </c>
      <c r="AO279">
        <f t="shared" si="112"/>
        <v>64.862569275295584</v>
      </c>
      <c r="AP279">
        <f t="shared" si="113"/>
        <v>0.31287313993715493</v>
      </c>
      <c r="AQ279">
        <f t="shared" si="114"/>
        <v>0</v>
      </c>
      <c r="AR279">
        <f t="shared" si="115"/>
        <v>7.1999999999999993</v>
      </c>
      <c r="AS279">
        <f t="shared" si="116"/>
        <v>0</v>
      </c>
      <c r="AT279" t="str">
        <f t="shared" si="117"/>
        <v>VENTAS</v>
      </c>
      <c r="AU279">
        <f t="shared" si="118"/>
        <v>64.862569275295584</v>
      </c>
      <c r="AV279" t="str">
        <f t="shared" si="119"/>
        <v>Mayor retorno probable: VENTAS (+64,9 puntos finales potenciales).</v>
      </c>
    </row>
    <row r="280" spans="1:48" x14ac:dyDescent="0.3">
      <c r="A280" s="5">
        <v>51022009</v>
      </c>
      <c r="B280" s="5" t="str">
        <f>IFERROR(VLOOKUP(A280,VENTAS!$A$2:$B$1194,2,0),"")</f>
        <v>PUGH</v>
      </c>
      <c r="C280" s="5">
        <f>IFERROR(INDEX(VENTAS!$C$2:$E$1194,MATCH(A280,VENTAS!$A$2:$A$1194,0),MATCH(PARAMS_MODELO!$B$2,{"Q1","Q2","Q3"},0)),0)</f>
        <v>69923750.930000007</v>
      </c>
      <c r="D280" s="5">
        <f>IFERROR(INDEX(VENTAS!$F$2:$H$1194,MATCH(A280,VENTAS!$A$2:$A$1194,0),MATCH(PARAMS_MODELO!$B$2,{"Q1","Q2","Q3"},0)),0)</f>
        <v>108523534</v>
      </c>
      <c r="E280" s="8">
        <f t="shared" si="96"/>
        <v>0.5520267799798364</v>
      </c>
      <c r="F280" s="12">
        <f>IF(E280&lt;=PARAMS_MODELO!$B$15,0,IF(E280&gt;=PARAMS_MODELO!$B$17,100,100*MIN(1,(E280-PARAMS_MODELO!$B$15)/(PARAMS_MODELO!$B$16-PARAMS_MODELO!$B$15))))*PARAMS_MODELO!$B$7</f>
        <v>35</v>
      </c>
      <c r="G280" s="5">
        <f t="shared" si="97"/>
        <v>38599783.069999993</v>
      </c>
      <c r="H280" s="5">
        <f>(PARAMS_MODELO!$B$20*(MAX(0,MIN(3,E280))/3)+PARAMS_MODELO!$B$21*(IFERROR(LN(1+MAX(0,G280))/LN(1+MAX(0,MAX($G$2:$G$1194))),0)))*100*PARAMS_MODELO!$B$8</f>
        <v>6.0270143030432219</v>
      </c>
      <c r="I280" s="8">
        <f>E280-PARAMS_MODELO!$B$5</f>
        <v>0.37446394460430987</v>
      </c>
      <c r="J280" s="5">
        <f>IF(I280&lt;=PARAMS_MODELO!$B$18,0,IF(I280&gt;=PARAMS_MODELO!$B$19,100,100*(I280-PARAMS_MODELO!$B$18)/(PARAMS_MODELO!$B$19-PARAMS_MODELO!$B$18)))*PARAMS_MODELO!$B$9</f>
        <v>15</v>
      </c>
      <c r="K280" s="5">
        <f>IFERROR(CHOOSE(MATCH(PARAMS_MODELO!$B$2,{"Q1","Q2","Q3"},0),LOTO!$D280,LOTO!$F280,LOTO!$H280),0)</f>
        <v>5315000</v>
      </c>
      <c r="L280" s="8">
        <f t="shared" si="98"/>
        <v>4.8975552159958226E-2</v>
      </c>
      <c r="M280" s="5">
        <f>MIN(100,IF(PARAMS_MODELO!$B$23=0,0,100*L280/PARAMS_MODELO!$B$23))*PARAMS_MODELO!$B$10</f>
        <v>14.692665647987468</v>
      </c>
      <c r="N280" s="5">
        <f>IFERROR(VLOOKUP(A280,COMPLIANCE!$A$2:$F$1996,6,0),100)</f>
        <v>100</v>
      </c>
      <c r="O280" s="5">
        <f>N280*PARAMS_MODELO!$B$11</f>
        <v>10</v>
      </c>
      <c r="P280" s="5">
        <f>IFERROR(VLOOKUP(A280,DIGITAL!$A$2:$J$2000,7,0),100)</f>
        <v>72</v>
      </c>
      <c r="Q280" s="5">
        <f>IFERROR(P280,0)*PARAMS_MODELO!$B$12</f>
        <v>7.2</v>
      </c>
      <c r="R280">
        <f t="shared" si="99"/>
        <v>87.919679951030687</v>
      </c>
      <c r="S280" s="5" t="str">
        <f>IFERROR(VLOOKUP(A280,CLIENTE!$A$2:$N$2000,13,0),1)</f>
        <v>Regular</v>
      </c>
      <c r="T280" s="5">
        <f>IFERROR(VLOOKUP(A280,CLIENTE!$A$2:$N$2000,14,0),1)</f>
        <v>1</v>
      </c>
      <c r="U280" s="5">
        <f t="shared" si="100"/>
        <v>87.919679951030687</v>
      </c>
      <c r="V280" s="5" t="str">
        <f>IF(U280&gt;=MAX(_xlfn.PERCENTILE.INC($U$2:$U$1194,PARAMS_MODELO!$B$50),PARAMS_MODELO!$B$45),"DIAMANTE",IF(U280&gt;=MAX(_xlfn.PERCENTILE.INC($U$2:$U$1194,PARAMS_MODELO!$B$51),PARAMS_MODELO!$B$46),"PLATINO",IF(U280&gt;=MAX(_xlfn.PERCENTILE.INC($U$2:$U$1194,PARAMS_MODELO!$B$52),PARAMS_MODELO!$B$47),"ORO",IF(U280&gt;=MAX(_xlfn.PERCENTILE.INC($U$2:$U$1194,PARAMS_MODELO!$B$53),PARAMS_MODELO!$B$48),"PLATA",IF(U280&gt;=1,"BRONCE","CERRADO")))))</f>
        <v>PLATINO</v>
      </c>
      <c r="W280" s="5" t="str" cm="1">
        <f t="array" ref="W280">_xlfn.XLOOKUP(1, (HIST_SCORE!$B:$B=PARAMS_MODELO!$B$4) * (HIST_SCORE!$C:$C=A280), HIST_SCORE!$E:$E, "No encontrado")</f>
        <v>PLATINO</v>
      </c>
      <c r="X280" s="5" t="str">
        <f>_xlfn.LET(_xlpm.act,MATCH(V280,{"DIAMANTE";"PLATINO";"ORO";"PLATA";"BRONCE";"CERRADO"},0),_xlpm.ant,MATCH(W280,{"DIAMANTE";"PLATINO";"ORO";"PLATA";"BRONCE";"CERRADO"},0),IF(_xlpm.act&lt;_xlpm.ant,"Mejora ↑",IF(_xlpm.act&gt;_xlpm.ant,"Baja ↓","Estable →")))</f>
        <v>Estable →</v>
      </c>
      <c r="Y280" s="5">
        <f>IFERROR(U280-SUMIFS(HIST_SCORE!$D:$D,HIST_SCORE!$B:$B,PARAMS_MODELO!$B$4,HIST_SCORE!$C:$C,$A280),"")</f>
        <v>-0.50735788508313817</v>
      </c>
      <c r="Z280" s="5" t="str">
        <f t="shared" si="101"/>
        <v>→ Estable</v>
      </c>
      <c r="AA280" s="5">
        <f t="shared" si="102"/>
        <v>201</v>
      </c>
      <c r="AB280" s="5">
        <f>IFERROR(SUMIFS(HIST_SCORE!$F:$F,HIST_SCORE!$B:$B,PARAMS_MODELO!$B$4,HIST_SCORE!$C:$C,$A280),"")</f>
        <v>165</v>
      </c>
      <c r="AC280" s="5">
        <f t="shared" si="103"/>
        <v>-36</v>
      </c>
      <c r="AD280" t="str">
        <f t="shared" si="105"/>
        <v/>
      </c>
      <c r="AE2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280="CERRADO",1,IF(V280="BRONCE",_xlpm.cPl,IF(V280="PLATA",_xlpm.cO,IF(V280="ORO",_xlpm.cP,IF(V280="PLATINO",_xlpm.cD,999))))))</f>
        <v>96.054919694466676</v>
      </c>
      <c r="AF2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280="CERRADO",0,IF(V280="BRONCE",1,IF(V280="PLATA",_xlpm.cPl,IF(V280="ORO",_xlpm.cO,IF(V280="PLATINO",_xlpm.cP,_xlpm.cD))))))</f>
        <v>86.439123873763251</v>
      </c>
      <c r="AG280">
        <f t="shared" si="106"/>
        <v>8.1352397434359887</v>
      </c>
      <c r="AH280" t="str">
        <f t="shared" si="107"/>
        <v>VENTAS</v>
      </c>
      <c r="AI280" t="str">
        <f t="shared" si="104"/>
        <v>🎯 Para subir de categoría, eje VENTAS / IMPACTO ABSOLUTO (H). Acción: metas semanales + activación comercial + seguimiento del asesor. ΔR aprox: 8,1</v>
      </c>
      <c r="AJ280" s="26">
        <f>_xlfn.LET(_xlpm.piso,AF280,_xlpm.corte,AE280,_xlpm.prog,IF(_xlpm.corte&lt;=_xlpm.piso,0,MAX(0,MIN(1,(U280-_xlpm.piso)/(_xlpm.corte-_xlpm.piso)))),_xlpm.orden,{"DIAMANTE";"PLATINO";"ORO";"PLATA";"BRONCE";"CERRADO"},_xlpm.act,IFERROR(MATCH(V280,_xlpm.orden,0),6),_xlpm.ant,IFERROR(MATCH(W280,_xlpm.orden,0),6),_xlpm.ajmov,IF(_xlpm.act&lt;_xlpm.ant,0.08,IF(_xlpm.act&gt;_xlpm.ant,-0.08,0)),_xlpm.ajcli,IF(T280&lt;0.95,-0.06,0),_xlpm.prob,MAX(0,MIN(1,_xlpm.prog+_xlpm.ajmov+_xlpm.ajcli)),IF(OR(V280="DIAMANTE",V280="CERRADO"),0,ROUND(_xlpm.prob,2)))</f>
        <v>0.15</v>
      </c>
      <c r="AK280" t="str">
        <f t="shared" si="108"/>
        <v>Faltan 8,1 puntos base para subir a la siguiente categoría</v>
      </c>
      <c r="AL280" t="str">
        <f t="shared" si="109"/>
        <v>Margen de seguridad: 1,5 puntos</v>
      </c>
      <c r="AM280">
        <f t="shared" si="110"/>
        <v>0.67</v>
      </c>
      <c r="AN280" t="str">
        <f t="shared" si="111"/>
        <v>PRIORIDAD MEDIA – seguimiento del asesor</v>
      </c>
      <c r="AO280">
        <f t="shared" si="112"/>
        <v>8.8355549722523605</v>
      </c>
      <c r="AP280">
        <f t="shared" si="113"/>
        <v>0.30733435201253201</v>
      </c>
      <c r="AQ280">
        <f t="shared" si="114"/>
        <v>0</v>
      </c>
      <c r="AR280">
        <f t="shared" si="115"/>
        <v>2.8</v>
      </c>
      <c r="AS280">
        <f t="shared" si="116"/>
        <v>0</v>
      </c>
      <c r="AT280" t="str">
        <f t="shared" si="117"/>
        <v>VENTAS</v>
      </c>
      <c r="AU280">
        <f t="shared" si="118"/>
        <v>8.8355549722523605</v>
      </c>
      <c r="AV280" t="str">
        <f t="shared" si="119"/>
        <v>Mayor retorno probable: VENTAS (+8,8 puntos finales potenciales).</v>
      </c>
    </row>
    <row r="281" spans="1:48" x14ac:dyDescent="0.3">
      <c r="A281" s="5">
        <v>51015932</v>
      </c>
      <c r="B281" s="5" t="str">
        <f>IFERROR(VLOOKUP(A281,VENTAS!$A$2:$B$1194,2,0),"")</f>
        <v>LÓPEZ</v>
      </c>
      <c r="C281" s="5">
        <f>IFERROR(INDEX(VENTAS!$C$2:$E$1194,MATCH(A281,VENTAS!$A$2:$A$1194,0),MATCH(PARAMS_MODELO!$B$2,{"Q1","Q2","Q3"},0)),0)</f>
        <v>73138652.599999994</v>
      </c>
      <c r="D281" s="5">
        <f>IFERROR(INDEX(VENTAS!$F$2:$H$1194,MATCH(A281,VENTAS!$A$2:$A$1194,0),MATCH(PARAMS_MODELO!$B$2,{"Q1","Q2","Q3"},0)),0)</f>
        <v>108383381</v>
      </c>
      <c r="E281" s="8">
        <f t="shared" si="96"/>
        <v>0.4818892220062585</v>
      </c>
      <c r="F281" s="12">
        <f>IF(E281&lt;=PARAMS_MODELO!$B$15,0,IF(E281&gt;=PARAMS_MODELO!$B$17,100,100*MIN(1,(E281-PARAMS_MODELO!$B$15)/(PARAMS_MODELO!$B$16-PARAMS_MODELO!$B$15))))*PARAMS_MODELO!$B$7</f>
        <v>35</v>
      </c>
      <c r="G281" s="5">
        <f t="shared" si="97"/>
        <v>35244728.400000006</v>
      </c>
      <c r="H281" s="5">
        <f>(PARAMS_MODELO!$B$20*(MAX(0,MIN(3,E281))/3)+PARAMS_MODELO!$B$21*(IFERROR(LN(1+MAX(0,G281))/LN(1+MAX(0,MAX($G$2:$G$1194))),0)))*100*PARAMS_MODELO!$B$8</f>
        <v>5.7602174281392067</v>
      </c>
      <c r="I281" s="8">
        <f>E281-PARAMS_MODELO!$B$5</f>
        <v>0.30432638663073197</v>
      </c>
      <c r="J281" s="5">
        <f>IF(I281&lt;=PARAMS_MODELO!$B$18,0,IF(I281&gt;=PARAMS_MODELO!$B$19,100,100*(I281-PARAMS_MODELO!$B$18)/(PARAMS_MODELO!$B$19-PARAMS_MODELO!$B$18)))*PARAMS_MODELO!$B$9</f>
        <v>15</v>
      </c>
      <c r="K281" s="5">
        <f>IFERROR(CHOOSE(MATCH(PARAMS_MODELO!$B$2,{"Q1","Q2","Q3"},0),LOTO!$D281,LOTO!$F281,LOTO!$H281),0)</f>
        <v>5267500</v>
      </c>
      <c r="L281" s="8">
        <f t="shared" si="98"/>
        <v>4.8600624481349219E-2</v>
      </c>
      <c r="M281" s="5">
        <f>MIN(100,IF(PARAMS_MODELO!$B$23=0,0,100*L281/PARAMS_MODELO!$B$23))*PARAMS_MODELO!$B$10</f>
        <v>14.580187344404766</v>
      </c>
      <c r="N281" s="5">
        <f>IFERROR(VLOOKUP(A281,COMPLIANCE!$A$2:$F$1996,6,0),100)</f>
        <v>99.85</v>
      </c>
      <c r="O281" s="5">
        <f>N281*PARAMS_MODELO!$B$11</f>
        <v>9.9849999999999994</v>
      </c>
      <c r="P281" s="5">
        <f>IFERROR(VLOOKUP(A281,DIGITAL!$A$2:$J$2000,7,0),100)</f>
        <v>3</v>
      </c>
      <c r="Q281" s="5">
        <f>IFERROR(P281,0)*PARAMS_MODELO!$B$12</f>
        <v>0.30000000000000004</v>
      </c>
      <c r="R281">
        <f t="shared" si="99"/>
        <v>80.625404772543973</v>
      </c>
      <c r="S281" s="5" t="str">
        <f>IFERROR(VLOOKUP(A281,CLIENTE!$A$2:$N$2000,13,0),1)</f>
        <v>Regular</v>
      </c>
      <c r="T281" s="5">
        <f>IFERROR(VLOOKUP(A281,CLIENTE!$A$2:$N$2000,14,0),1)</f>
        <v>1</v>
      </c>
      <c r="U281" s="5">
        <f t="shared" si="100"/>
        <v>80.625404772543973</v>
      </c>
      <c r="V281" s="5" t="str">
        <f>IF(U281&gt;=MAX(_xlfn.PERCENTILE.INC($U$2:$U$1194,PARAMS_MODELO!$B$50),PARAMS_MODELO!$B$45),"DIAMANTE",IF(U281&gt;=MAX(_xlfn.PERCENTILE.INC($U$2:$U$1194,PARAMS_MODELO!$B$51),PARAMS_MODELO!$B$46),"PLATINO",IF(U281&gt;=MAX(_xlfn.PERCENTILE.INC($U$2:$U$1194,PARAMS_MODELO!$B$52),PARAMS_MODELO!$B$47),"ORO",IF(U281&gt;=MAX(_xlfn.PERCENTILE.INC($U$2:$U$1194,PARAMS_MODELO!$B$53),PARAMS_MODELO!$B$48),"PLATA",IF(U281&gt;=1,"BRONCE","CERRADO")))))</f>
        <v>ORO</v>
      </c>
      <c r="W281" s="5" t="str" cm="1">
        <f t="array" ref="W281">_xlfn.XLOOKUP(1, (HIST_SCORE!$B:$B=PARAMS_MODELO!$B$4) * (HIST_SCORE!$C:$C=A281), HIST_SCORE!$E:$E, "No encontrado")</f>
        <v>ORO</v>
      </c>
      <c r="X281" s="5" t="str">
        <f>_xlfn.LET(_xlpm.act,MATCH(V281,{"DIAMANTE";"PLATINO";"ORO";"PLATA";"BRONCE";"CERRADO"},0),_xlpm.ant,MATCH(W281,{"DIAMANTE";"PLATINO";"ORO";"PLATA";"BRONCE";"CERRADO"},0),IF(_xlpm.act&lt;_xlpm.ant,"Mejora ↑",IF(_xlpm.act&gt;_xlpm.ant,"Baja ↓","Estable →")))</f>
        <v>Estable →</v>
      </c>
      <c r="Y281" s="5">
        <f>IFERROR(U281-SUMIFS(HIST_SCORE!$D:$D,HIST_SCORE!$B:$B,PARAMS_MODELO!$B$4,HIST_SCORE!$C:$C,$A281),"")</f>
        <v>-0.49856469627167144</v>
      </c>
      <c r="Z281" s="5" t="str">
        <f t="shared" si="101"/>
        <v>→ Estable</v>
      </c>
      <c r="AA281" s="5">
        <f t="shared" si="102"/>
        <v>426</v>
      </c>
      <c r="AB281" s="5">
        <f>IFERROR(SUMIFS(HIST_SCORE!$F:$F,HIST_SCORE!$B:$B,PARAMS_MODELO!$B$4,HIST_SCORE!$C:$C,$A281),"")</f>
        <v>390</v>
      </c>
      <c r="AC281" s="5">
        <f t="shared" si="103"/>
        <v>-36</v>
      </c>
      <c r="AD281" t="str">
        <f t="shared" si="105"/>
        <v>Sostener base y reforzar mix</v>
      </c>
      <c r="AE2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281="CERRADO",1,IF(V281="BRONCE",_xlpm.cPl,IF(V281="PLATA",_xlpm.cO,IF(V281="ORO",_xlpm.cP,IF(V281="PLATINO",_xlpm.cD,999))))))</f>
        <v>86.439123873763251</v>
      </c>
      <c r="AF2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281="CERRADO",0,IF(V281="BRONCE",1,IF(V281="PLATA",_xlpm.cPl,IF(V281="ORO",_xlpm.cO,IF(V281="PLATINO",_xlpm.cP,_xlpm.cD))))))</f>
        <v>63.199193273331495</v>
      </c>
      <c r="AG281">
        <f t="shared" si="106"/>
        <v>5.8137191012192773</v>
      </c>
      <c r="AH281" t="str">
        <f t="shared" si="107"/>
        <v>VENTAS</v>
      </c>
      <c r="AI281" t="str">
        <f t="shared" si="104"/>
        <v>🎯 Para subir de categoría, eje VENTAS / IMPACTO ABSOLUTO (H). Acción: metas semanales + activación comercial + seguimiento del asesor. ΔR aprox: 5,8</v>
      </c>
      <c r="AJ281" s="26">
        <f>_xlfn.LET(_xlpm.piso,AF281,_xlpm.corte,AE281,_xlpm.prog,IF(_xlpm.corte&lt;=_xlpm.piso,0,MAX(0,MIN(1,(U281-_xlpm.piso)/(_xlpm.corte-_xlpm.piso)))),_xlpm.orden,{"DIAMANTE";"PLATINO";"ORO";"PLATA";"BRONCE";"CERRADO"},_xlpm.act,IFERROR(MATCH(V281,_xlpm.orden,0),6),_xlpm.ant,IFERROR(MATCH(W281,_xlpm.orden,0),6),_xlpm.ajmov,IF(_xlpm.act&lt;_xlpm.ant,0.08,IF(_xlpm.act&gt;_xlpm.ant,-0.08,0)),_xlpm.ajcli,IF(T281&lt;0.95,-0.06,0),_xlpm.prob,MAX(0,MIN(1,_xlpm.prog+_xlpm.ajmov+_xlpm.ajcli)),IF(OR(V281="DIAMANTE",V281="CERRADO"),0,ROUND(_xlpm.prob,2)))</f>
        <v>0.75</v>
      </c>
      <c r="AK281" t="str">
        <f t="shared" si="108"/>
        <v>Faltan 5,8 puntos base para subir a la siguiente categoría</v>
      </c>
      <c r="AL281" t="str">
        <f t="shared" si="109"/>
        <v>Margen de seguridad: 17,4 puntos</v>
      </c>
      <c r="AM281">
        <f t="shared" si="110"/>
        <v>0.33</v>
      </c>
      <c r="AN281" t="str">
        <f t="shared" si="111"/>
        <v>PRIORIDAD BAJA – control normal</v>
      </c>
      <c r="AO281">
        <f t="shared" si="112"/>
        <v>9.1023518471563776</v>
      </c>
      <c r="AP281">
        <f t="shared" si="113"/>
        <v>0.41981265559523351</v>
      </c>
      <c r="AQ281">
        <f t="shared" si="114"/>
        <v>1.5000000000000568E-2</v>
      </c>
      <c r="AR281">
        <f t="shared" si="115"/>
        <v>9.6999999999999993</v>
      </c>
      <c r="AS281">
        <f t="shared" si="116"/>
        <v>0</v>
      </c>
      <c r="AT281" t="str">
        <f t="shared" si="117"/>
        <v>DIGITAL</v>
      </c>
      <c r="AU281">
        <f t="shared" si="118"/>
        <v>9.6999999999999993</v>
      </c>
      <c r="AV281" t="str">
        <f t="shared" si="119"/>
        <v>Mayor retorno probable: DIGITAL (+9,7 puntos finales potenciales).</v>
      </c>
    </row>
    <row r="282" spans="1:48" x14ac:dyDescent="0.3">
      <c r="A282" s="5">
        <v>51030028</v>
      </c>
      <c r="B282" s="5" t="str">
        <f>IFERROR(VLOOKUP(A282,VENTAS!$A$2:$B$1194,2,0),"")</f>
        <v>AYALA</v>
      </c>
      <c r="C282" s="5">
        <f>IFERROR(INDEX(VENTAS!$C$2:$E$1194,MATCH(A282,VENTAS!$A$2:$A$1194,0),MATCH(PARAMS_MODELO!$B$2,{"Q1","Q2","Q3"},0)),0)</f>
        <v>78957064.5</v>
      </c>
      <c r="D282" s="5">
        <f>IFERROR(INDEX(VENTAS!$F$2:$H$1194,MATCH(A282,VENTAS!$A$2:$A$1194,0),MATCH(PARAMS_MODELO!$B$2,{"Q1","Q2","Q3"},0)),0)</f>
        <v>108132904</v>
      </c>
      <c r="E282" s="8">
        <f t="shared" si="96"/>
        <v>0.36951525091209536</v>
      </c>
      <c r="F282" s="12">
        <f>IF(E282&lt;=PARAMS_MODELO!$B$15,0,IF(E282&gt;=PARAMS_MODELO!$B$17,100,100*MIN(1,(E282-PARAMS_MODELO!$B$15)/(PARAMS_MODELO!$B$16-PARAMS_MODELO!$B$15))))*PARAMS_MODELO!$B$7</f>
        <v>35</v>
      </c>
      <c r="G282" s="5">
        <f t="shared" si="97"/>
        <v>29175839.5</v>
      </c>
      <c r="H282" s="5">
        <f>(PARAMS_MODELO!$B$20*(MAX(0,MIN(3,E282))/3)+PARAMS_MODELO!$B$21*(IFERROR(LN(1+MAX(0,G282))/LN(1+MAX(0,MAX($G$2:$G$1194))),0)))*100*PARAMS_MODELO!$B$8</f>
        <v>5.3226101485459809</v>
      </c>
      <c r="I282" s="8">
        <f>E282-PARAMS_MODELO!$B$5</f>
        <v>0.19195241553656883</v>
      </c>
      <c r="J282" s="5">
        <f>IF(I282&lt;=PARAMS_MODELO!$B$18,0,IF(I282&gt;=PARAMS_MODELO!$B$19,100,100*(I282-PARAMS_MODELO!$B$18)/(PARAMS_MODELO!$B$19-PARAMS_MODELO!$B$18)))*PARAMS_MODELO!$B$9</f>
        <v>15</v>
      </c>
      <c r="K282" s="5">
        <f>IFERROR(CHOOSE(MATCH(PARAMS_MODELO!$B$2,{"Q1","Q2","Q3"},0),LOTO!$D282,LOTO!$F282,LOTO!$H282),0)</f>
        <v>5267500</v>
      </c>
      <c r="L282" s="8">
        <f t="shared" si="98"/>
        <v>4.8713202042553118E-2</v>
      </c>
      <c r="M282" s="5">
        <f>MIN(100,IF(PARAMS_MODELO!$B$23=0,0,100*L282/PARAMS_MODELO!$B$23))*PARAMS_MODELO!$B$10</f>
        <v>14.613960612765936</v>
      </c>
      <c r="N282" s="5">
        <f>IFERROR(VLOOKUP(A282,COMPLIANCE!$A$2:$F$1996,6,0),100)</f>
        <v>100</v>
      </c>
      <c r="O282" s="5">
        <f>N282*PARAMS_MODELO!$B$11</f>
        <v>10</v>
      </c>
      <c r="P282" s="5">
        <f>IFERROR(VLOOKUP(A282,DIGITAL!$A$2:$J$2000,7,0),100)</f>
        <v>59</v>
      </c>
      <c r="Q282" s="5">
        <f>IFERROR(P282,0)*PARAMS_MODELO!$B$12</f>
        <v>5.9</v>
      </c>
      <c r="R282">
        <f t="shared" si="99"/>
        <v>85.836570761311918</v>
      </c>
      <c r="S282" s="5" t="str">
        <f>IFERROR(VLOOKUP(A282,CLIENTE!$A$2:$N$2000,13,0),1)</f>
        <v>Malo</v>
      </c>
      <c r="T282" s="5">
        <f>IFERROR(VLOOKUP(A282,CLIENTE!$A$2:$N$2000,14,0),1)</f>
        <v>0.7</v>
      </c>
      <c r="U282" s="5">
        <f t="shared" si="100"/>
        <v>60.085599532918337</v>
      </c>
      <c r="V282" s="5" t="str">
        <f>IF(U282&gt;=MAX(_xlfn.PERCENTILE.INC($U$2:$U$1194,PARAMS_MODELO!$B$50),PARAMS_MODELO!$B$45),"DIAMANTE",IF(U282&gt;=MAX(_xlfn.PERCENTILE.INC($U$2:$U$1194,PARAMS_MODELO!$B$51),PARAMS_MODELO!$B$46),"PLATINO",IF(U282&gt;=MAX(_xlfn.PERCENTILE.INC($U$2:$U$1194,PARAMS_MODELO!$B$52),PARAMS_MODELO!$B$47),"ORO",IF(U282&gt;=MAX(_xlfn.PERCENTILE.INC($U$2:$U$1194,PARAMS_MODELO!$B$53),PARAMS_MODELO!$B$48),"PLATA",IF(U282&gt;=1,"BRONCE","CERRADO")))))</f>
        <v>PLATA</v>
      </c>
      <c r="W282" s="5" t="str" cm="1">
        <f t="array" ref="W282">_xlfn.XLOOKUP(1, (HIST_SCORE!$B:$B=PARAMS_MODELO!$B$4) * (HIST_SCORE!$C:$C=A282), HIST_SCORE!$E:$E, "No encontrado")</f>
        <v>PLATA</v>
      </c>
      <c r="X282" s="5" t="str">
        <f>_xlfn.LET(_xlpm.act,MATCH(V282,{"DIAMANTE";"PLATINO";"ORO";"PLATA";"BRONCE";"CERRADO"},0),_xlpm.ant,MATCH(W282,{"DIAMANTE";"PLATINO";"ORO";"PLATA";"BRONCE";"CERRADO"},0),IF(_xlpm.act&lt;_xlpm.ant,"Mejora ↑",IF(_xlpm.act&gt;_xlpm.ant,"Baja ↓","Estable →")))</f>
        <v>Estable →</v>
      </c>
      <c r="Y282" s="5">
        <f>IFERROR(U282-SUMIFS(HIST_SCORE!$D:$D,HIST_SCORE!$B:$B,PARAMS_MODELO!$B$4,HIST_SCORE!$C:$C,$A282),"")</f>
        <v>-0.17337404656006328</v>
      </c>
      <c r="Z282" s="5" t="str">
        <f t="shared" si="101"/>
        <v>→ Estable</v>
      </c>
      <c r="AA282" s="5">
        <f t="shared" si="102"/>
        <v>620</v>
      </c>
      <c r="AB282" s="5">
        <f>IFERROR(SUMIFS(HIST_SCORE!$F:$F,HIST_SCORE!$B:$B,PARAMS_MODELO!$B$4,HIST_SCORE!$C:$C,$A282),"")</f>
        <v>648</v>
      </c>
      <c r="AC282" s="5">
        <f t="shared" si="103"/>
        <v>28</v>
      </c>
      <c r="AD282" t="str">
        <f t="shared" si="105"/>
        <v/>
      </c>
      <c r="AE2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282="CERRADO",1,IF(V282="BRONCE",_xlpm.cPl,IF(V282="PLATA",_xlpm.cO,IF(V282="ORO",_xlpm.cP,IF(V282="PLATINO",_xlpm.cD,999))))))</f>
        <v>63.199193273331495</v>
      </c>
      <c r="AF2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282="CERRADO",0,IF(V282="BRONCE",1,IF(V282="PLATA",_xlpm.cPl,IF(V282="ORO",_xlpm.cO,IF(V282="PLATINO",_xlpm.cP,_xlpm.cD))))))</f>
        <v>24.506573482968111</v>
      </c>
      <c r="AG282">
        <f t="shared" si="106"/>
        <v>4.447991057733077</v>
      </c>
      <c r="AH282" t="str">
        <f t="shared" si="107"/>
        <v>CLIENTE</v>
      </c>
      <c r="AI282" t="str">
        <f t="shared" si="104"/>
        <v>🎯 Para subir de categoría, la eje con mayor impacto probable es CLIENTE (coef T). Acción: reducir quejas, mejorar incógnito y empujar reseñas. ΔR aprox: 4,4</v>
      </c>
      <c r="AJ282" s="26">
        <f>_xlfn.LET(_xlpm.piso,AF282,_xlpm.corte,AE282,_xlpm.prog,IF(_xlpm.corte&lt;=_xlpm.piso,0,MAX(0,MIN(1,(U282-_xlpm.piso)/(_xlpm.corte-_xlpm.piso)))),_xlpm.orden,{"DIAMANTE";"PLATINO";"ORO";"PLATA";"BRONCE";"CERRADO"},_xlpm.act,IFERROR(MATCH(V282,_xlpm.orden,0),6),_xlpm.ant,IFERROR(MATCH(W282,_xlpm.orden,0),6),_xlpm.ajmov,IF(_xlpm.act&lt;_xlpm.ant,0.08,IF(_xlpm.act&gt;_xlpm.ant,-0.08,0)),_xlpm.ajcli,IF(T282&lt;0.95,-0.06,0),_xlpm.prob,MAX(0,MIN(1,_xlpm.prog+_xlpm.ajmov+_xlpm.ajcli)),IF(OR(V282="DIAMANTE",V282="CERRADO"),0,ROUND(_xlpm.prob,2)))</f>
        <v>0.86</v>
      </c>
      <c r="AK282" t="str">
        <f t="shared" si="108"/>
        <v>Faltan 4,4 puntos base para subir a la siguiente categoría</v>
      </c>
      <c r="AL282" t="str">
        <f t="shared" si="109"/>
        <v>Margen de seguridad: 35,6 puntos</v>
      </c>
      <c r="AM282">
        <f t="shared" si="110"/>
        <v>0.43</v>
      </c>
      <c r="AN282" t="str">
        <f t="shared" si="111"/>
        <v>PRIORIDAD MEDIA – seguimiento del asesor</v>
      </c>
      <c r="AO282">
        <f t="shared" si="112"/>
        <v>6.6779713887247203</v>
      </c>
      <c r="AP282">
        <f t="shared" si="113"/>
        <v>0.2702275710638446</v>
      </c>
      <c r="AQ282">
        <f t="shared" si="114"/>
        <v>0</v>
      </c>
      <c r="AR282">
        <f t="shared" si="115"/>
        <v>2.8699999999999997</v>
      </c>
      <c r="AS282">
        <f t="shared" si="116"/>
        <v>25.750971228393578</v>
      </c>
      <c r="AT282" t="str">
        <f t="shared" si="117"/>
        <v>CLIENTE</v>
      </c>
      <c r="AU282">
        <f t="shared" si="118"/>
        <v>25.750971228393578</v>
      </c>
      <c r="AV282" t="str">
        <f t="shared" si="119"/>
        <v>Mayor retorno probable: CLIENTE (+25,8 puntos finales potenciales).</v>
      </c>
    </row>
    <row r="283" spans="1:48" x14ac:dyDescent="0.3">
      <c r="A283" s="5">
        <v>51030257</v>
      </c>
      <c r="B283" s="5" t="str">
        <f>IFERROR(VLOOKUP(A283,VENTAS!$A$2:$B$1194,2,0),"")</f>
        <v>AYALA</v>
      </c>
      <c r="C283" s="5">
        <f>IFERROR(INDEX(VENTAS!$C$2:$E$1194,MATCH(A283,VENTAS!$A$2:$A$1194,0),MATCH(PARAMS_MODELO!$B$2,{"Q1","Q2","Q3"},0)),0)</f>
        <v>124616364.08</v>
      </c>
      <c r="D283" s="5">
        <f>IFERROR(INDEX(VENTAS!$F$2:$H$1194,MATCH(A283,VENTAS!$A$2:$A$1194,0),MATCH(PARAMS_MODELO!$B$2,{"Q1","Q2","Q3"},0)),0)</f>
        <v>108123146</v>
      </c>
      <c r="E283" s="8">
        <f t="shared" si="96"/>
        <v>-0.13235194431938202</v>
      </c>
      <c r="F283" s="12">
        <f>IF(E283&lt;=PARAMS_MODELO!$B$15,0,IF(E283&gt;=PARAMS_MODELO!$B$17,100,100*MIN(1,(E283-PARAMS_MODELO!$B$15)/(PARAMS_MODELO!$B$16-PARAMS_MODELO!$B$15))))*PARAMS_MODELO!$B$7</f>
        <v>0</v>
      </c>
      <c r="G283" s="5">
        <f t="shared" si="97"/>
        <v>0</v>
      </c>
      <c r="H283" s="5">
        <f>(PARAMS_MODELO!$B$20*(MAX(0,MIN(3,E283))/3)+PARAMS_MODELO!$B$21*(IFERROR(LN(1+MAX(0,G283))/LN(1+MAX(0,MAX($G$2:$G$1194))),0)))*100*PARAMS_MODELO!$B$8</f>
        <v>0</v>
      </c>
      <c r="I283" s="8">
        <f>E283-PARAMS_MODELO!$B$5</f>
        <v>-0.30991477969490855</v>
      </c>
      <c r="J283" s="5">
        <f>IF(I283&lt;=PARAMS_MODELO!$B$18,0,IF(I283&gt;=PARAMS_MODELO!$B$19,100,100*(I283-PARAMS_MODELO!$B$18)/(PARAMS_MODELO!$B$19-PARAMS_MODELO!$B$18)))*PARAMS_MODELO!$B$9</f>
        <v>0</v>
      </c>
      <c r="K283" s="5">
        <f>IFERROR(CHOOSE(MATCH(PARAMS_MODELO!$B$2,{"Q1","Q2","Q3"},0),LOTO!$D283,LOTO!$F283,LOTO!$H283),0)</f>
        <v>5262500</v>
      </c>
      <c r="L283" s="8">
        <f t="shared" si="98"/>
        <v>4.8671354790213006E-2</v>
      </c>
      <c r="M283" s="5">
        <f>MIN(100,IF(PARAMS_MODELO!$B$23=0,0,100*L283/PARAMS_MODELO!$B$23))*PARAMS_MODELO!$B$10</f>
        <v>14.601406437063901</v>
      </c>
      <c r="N283" s="5">
        <f>IFERROR(VLOOKUP(A283,COMPLIANCE!$A$2:$F$1996,6,0),100)</f>
        <v>100</v>
      </c>
      <c r="O283" s="5">
        <f>N283*PARAMS_MODELO!$B$11</f>
        <v>10</v>
      </c>
      <c r="P283" s="5">
        <f>IFERROR(VLOOKUP(A283,DIGITAL!$A$2:$J$2000,7,0),100)</f>
        <v>25</v>
      </c>
      <c r="Q283" s="5">
        <f>IFERROR(P283,0)*PARAMS_MODELO!$B$12</f>
        <v>2.5</v>
      </c>
      <c r="R283">
        <f t="shared" si="99"/>
        <v>27.101406437063901</v>
      </c>
      <c r="S283" s="5" t="str">
        <f>IFERROR(VLOOKUP(A283,CLIENTE!$A$2:$N$2000,13,0),1)</f>
        <v>Regular</v>
      </c>
      <c r="T283" s="5">
        <f>IFERROR(VLOOKUP(A283,CLIENTE!$A$2:$N$2000,14,0),1)</f>
        <v>1</v>
      </c>
      <c r="U283" s="5">
        <f t="shared" si="100"/>
        <v>27.101406437063901</v>
      </c>
      <c r="V283" s="5" t="str">
        <f>IF(U283&gt;=MAX(_xlfn.PERCENTILE.INC($U$2:$U$1194,PARAMS_MODELO!$B$50),PARAMS_MODELO!$B$45),"DIAMANTE",IF(U283&gt;=MAX(_xlfn.PERCENTILE.INC($U$2:$U$1194,PARAMS_MODELO!$B$51),PARAMS_MODELO!$B$46),"PLATINO",IF(U283&gt;=MAX(_xlfn.PERCENTILE.INC($U$2:$U$1194,PARAMS_MODELO!$B$52),PARAMS_MODELO!$B$47),"ORO",IF(U283&gt;=MAX(_xlfn.PERCENTILE.INC($U$2:$U$1194,PARAMS_MODELO!$B$53),PARAMS_MODELO!$B$48),"PLATA",IF(U283&gt;=1,"BRONCE","CERRADO")))))</f>
        <v>PLATA</v>
      </c>
      <c r="W283" s="5" t="str" cm="1">
        <f t="array" ref="W283">_xlfn.XLOOKUP(1, (HIST_SCORE!$B:$B=PARAMS_MODELO!$B$4) * (HIST_SCORE!$C:$C=A283), HIST_SCORE!$E:$E, "No encontrado")</f>
        <v>ORO</v>
      </c>
      <c r="X283" s="5" t="str">
        <f>_xlfn.LET(_xlpm.act,MATCH(V283,{"DIAMANTE";"PLATINO";"ORO";"PLATA";"BRONCE";"CERRADO"},0),_xlpm.ant,MATCH(W283,{"DIAMANTE";"PLATINO";"ORO";"PLATA";"BRONCE";"CERRADO"},0),IF(_xlpm.act&lt;_xlpm.ant,"Mejora ↑",IF(_xlpm.act&gt;_xlpm.ant,"Baja ↓","Estable →")))</f>
        <v>Baja ↓</v>
      </c>
      <c r="Y283" s="5">
        <f>IFERROR(U283-SUMIFS(HIST_SCORE!$D:$D,HIST_SCORE!$B:$B,PARAMS_MODELO!$B$4,HIST_SCORE!$C:$C,$A283),"")</f>
        <v>-49.41954981952162</v>
      </c>
      <c r="Z283" s="5" t="str">
        <f t="shared" si="101"/>
        <v>↓ Baja</v>
      </c>
      <c r="AA283" s="5">
        <f t="shared" si="102"/>
        <v>899</v>
      </c>
      <c r="AB283" s="5">
        <f>IFERROR(SUMIFS(HIST_SCORE!$F:$F,HIST_SCORE!$B:$B,PARAMS_MODELO!$B$4,HIST_SCORE!$C:$C,$A283),"")</f>
        <v>474</v>
      </c>
      <c r="AC283" s="5">
        <f t="shared" si="103"/>
        <v>-425</v>
      </c>
      <c r="AD283" t="str">
        <f t="shared" si="105"/>
        <v/>
      </c>
      <c r="AE2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283="CERRADO",1,IF(V283="BRONCE",_xlpm.cPl,IF(V283="PLATA",_xlpm.cO,IF(V283="ORO",_xlpm.cP,IF(V283="PLATINO",_xlpm.cD,999))))))</f>
        <v>63.199193273331495</v>
      </c>
      <c r="AF2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283="CERRADO",0,IF(V283="BRONCE",1,IF(V283="PLATA",_xlpm.cPl,IF(V283="ORO",_xlpm.cO,IF(V283="PLATINO",_xlpm.cP,_xlpm.cD))))))</f>
        <v>24.506573482968111</v>
      </c>
      <c r="AG283">
        <f t="shared" si="106"/>
        <v>36.097786836267595</v>
      </c>
      <c r="AH283" t="str">
        <f t="shared" si="107"/>
        <v>VENTAS</v>
      </c>
      <c r="AI283" t="str">
        <f t="shared" si="104"/>
        <v>🎯 Para subir de categoría, eje VENTAS / CRECIMIENTO PERSONAL (F). Acción: metas semanales + activación comercial + seguimiento del asesor. ΔR aprox: 36,1</v>
      </c>
      <c r="AJ283" s="26">
        <f>_xlfn.LET(_xlpm.piso,AF283,_xlpm.corte,AE283,_xlpm.prog,IF(_xlpm.corte&lt;=_xlpm.piso,0,MAX(0,MIN(1,(U283-_xlpm.piso)/(_xlpm.corte-_xlpm.piso)))),_xlpm.orden,{"DIAMANTE";"PLATINO";"ORO";"PLATA";"BRONCE";"CERRADO"},_xlpm.act,IFERROR(MATCH(V283,_xlpm.orden,0),6),_xlpm.ant,IFERROR(MATCH(W283,_xlpm.orden,0),6),_xlpm.ajmov,IF(_xlpm.act&lt;_xlpm.ant,0.08,IF(_xlpm.act&gt;_xlpm.ant,-0.08,0)),_xlpm.ajcli,IF(T283&lt;0.95,-0.06,0),_xlpm.prob,MAX(0,MIN(1,_xlpm.prog+_xlpm.ajmov+_xlpm.ajcli)),IF(OR(V283="DIAMANTE",V283="CERRADO"),0,ROUND(_xlpm.prob,2)))</f>
        <v>0</v>
      </c>
      <c r="AK283" t="str">
        <f t="shared" si="108"/>
        <v>Faltan 36,1 puntos base para subir a la siguiente categoría</v>
      </c>
      <c r="AL283" t="str">
        <f t="shared" si="109"/>
        <v>Margen de seguridad: 2,6 puntos</v>
      </c>
      <c r="AM283">
        <f t="shared" si="110"/>
        <v>0.8</v>
      </c>
      <c r="AN283" t="str">
        <f t="shared" si="111"/>
        <v>PRIORIDAD ALTA – requiere intervención inmediata</v>
      </c>
      <c r="AO283">
        <f t="shared" si="112"/>
        <v>64.862569275295584</v>
      </c>
      <c r="AP283">
        <f t="shared" si="113"/>
        <v>0.39859356293609949</v>
      </c>
      <c r="AQ283">
        <f t="shared" si="114"/>
        <v>0</v>
      </c>
      <c r="AR283">
        <f t="shared" si="115"/>
        <v>7.5</v>
      </c>
      <c r="AS283">
        <f t="shared" si="116"/>
        <v>0</v>
      </c>
      <c r="AT283" t="str">
        <f t="shared" si="117"/>
        <v>VENTAS</v>
      </c>
      <c r="AU283">
        <f t="shared" si="118"/>
        <v>64.862569275295584</v>
      </c>
      <c r="AV283" t="str">
        <f t="shared" si="119"/>
        <v>Mayor retorno probable: VENTAS (+64,9 puntos finales potenciales).</v>
      </c>
    </row>
    <row r="284" spans="1:48" x14ac:dyDescent="0.3">
      <c r="A284" s="5">
        <v>51055489</v>
      </c>
      <c r="B284" s="5" t="str">
        <f>IFERROR(VLOOKUP(A284,VENTAS!$A$2:$B$1194,2,0),"")</f>
        <v>PUGH</v>
      </c>
      <c r="C284" s="5">
        <f>IFERROR(INDEX(VENTAS!$C$2:$E$1194,MATCH(A284,VENTAS!$A$2:$A$1194,0),MATCH(PARAMS_MODELO!$B$2,{"Q1","Q2","Q3"},0)),0)</f>
        <v>79997116.5</v>
      </c>
      <c r="D284" s="5">
        <f>IFERROR(INDEX(VENTAS!$F$2:$H$1194,MATCH(A284,VENTAS!$A$2:$A$1194,0),MATCH(PARAMS_MODELO!$B$2,{"Q1","Q2","Q3"},0)),0)</f>
        <v>107673522</v>
      </c>
      <c r="E284" s="8">
        <f t="shared" si="96"/>
        <v>0.34596753871747365</v>
      </c>
      <c r="F284" s="12">
        <f>IF(E284&lt;=PARAMS_MODELO!$B$15,0,IF(E284&gt;=PARAMS_MODELO!$B$17,100,100*MIN(1,(E284-PARAMS_MODELO!$B$15)/(PARAMS_MODELO!$B$16-PARAMS_MODELO!$B$15))))*PARAMS_MODELO!$B$7</f>
        <v>35</v>
      </c>
      <c r="G284" s="5">
        <f t="shared" si="97"/>
        <v>27676405.5</v>
      </c>
      <c r="H284" s="5">
        <f>(PARAMS_MODELO!$B$20*(MAX(0,MIN(3,E284))/3)+PARAMS_MODELO!$B$21*(IFERROR(LN(1+MAX(0,G284))/LN(1+MAX(0,MAX($G$2:$G$1194))),0)))*100*PARAMS_MODELO!$B$8</f>
        <v>5.227825314180139</v>
      </c>
      <c r="I284" s="8">
        <f>E284-PARAMS_MODELO!$B$5</f>
        <v>0.16840470334194713</v>
      </c>
      <c r="J284" s="5">
        <f>IF(I284&lt;=PARAMS_MODELO!$B$18,0,IF(I284&gt;=PARAMS_MODELO!$B$19,100,100*(I284-PARAMS_MODELO!$B$18)/(PARAMS_MODELO!$B$19-PARAMS_MODELO!$B$18)))*PARAMS_MODELO!$B$9</f>
        <v>15</v>
      </c>
      <c r="K284" s="5">
        <f>IFERROR(CHOOSE(MATCH(PARAMS_MODELO!$B$2,{"Q1","Q2","Q3"},0),LOTO!$D284,LOTO!$F284,LOTO!$H284),0)</f>
        <v>5244999.9999999991</v>
      </c>
      <c r="L284" s="8">
        <f t="shared" si="98"/>
        <v>4.8712068692245425E-2</v>
      </c>
      <c r="M284" s="5">
        <f>MIN(100,IF(PARAMS_MODELO!$B$23=0,0,100*L284/PARAMS_MODELO!$B$23))*PARAMS_MODELO!$B$10</f>
        <v>14.613620607673624</v>
      </c>
      <c r="N284" s="5">
        <f>IFERROR(VLOOKUP(A284,COMPLIANCE!$A$2:$F$1996,6,0),100)</f>
        <v>100</v>
      </c>
      <c r="O284" s="5">
        <f>N284*PARAMS_MODELO!$B$11</f>
        <v>10</v>
      </c>
      <c r="P284" s="5">
        <f>IFERROR(VLOOKUP(A284,DIGITAL!$A$2:$J$2000,7,0),100)</f>
        <v>94</v>
      </c>
      <c r="Q284" s="5">
        <f>IFERROR(P284,0)*PARAMS_MODELO!$B$12</f>
        <v>9.4</v>
      </c>
      <c r="R284">
        <f t="shared" si="99"/>
        <v>89.241445921853767</v>
      </c>
      <c r="S284" s="5" t="str">
        <f>IFERROR(VLOOKUP(A284,CLIENTE!$A$2:$N$2000,13,0),1)</f>
        <v>Malo</v>
      </c>
      <c r="T284" s="5">
        <f>IFERROR(VLOOKUP(A284,CLIENTE!$A$2:$N$2000,14,0),1)</f>
        <v>0.7</v>
      </c>
      <c r="U284" s="5">
        <f t="shared" si="100"/>
        <v>62.469012145297633</v>
      </c>
      <c r="V284" s="5" t="str">
        <f>IF(U284&gt;=MAX(_xlfn.PERCENTILE.INC($U$2:$U$1194,PARAMS_MODELO!$B$50),PARAMS_MODELO!$B$45),"DIAMANTE",IF(U284&gt;=MAX(_xlfn.PERCENTILE.INC($U$2:$U$1194,PARAMS_MODELO!$B$51),PARAMS_MODELO!$B$46),"PLATINO",IF(U284&gt;=MAX(_xlfn.PERCENTILE.INC($U$2:$U$1194,PARAMS_MODELO!$B$52),PARAMS_MODELO!$B$47),"ORO",IF(U284&gt;=MAX(_xlfn.PERCENTILE.INC($U$2:$U$1194,PARAMS_MODELO!$B$53),PARAMS_MODELO!$B$48),"PLATA",IF(U284&gt;=1,"BRONCE","CERRADO")))))</f>
        <v>PLATA</v>
      </c>
      <c r="W284" s="5" t="str" cm="1">
        <f t="array" ref="W284">_xlfn.XLOOKUP(1, (HIST_SCORE!$B:$B=PARAMS_MODELO!$B$4) * (HIST_SCORE!$C:$C=A284), HIST_SCORE!$E:$E, "No encontrado")</f>
        <v>PLATA</v>
      </c>
      <c r="X284" s="5" t="str">
        <f>_xlfn.LET(_xlpm.act,MATCH(V284,{"DIAMANTE";"PLATINO";"ORO";"PLATA";"BRONCE";"CERRADO"},0),_xlpm.ant,MATCH(W284,{"DIAMANTE";"PLATINO";"ORO";"PLATA";"BRONCE";"CERRADO"},0),IF(_xlpm.act&lt;_xlpm.ant,"Mejora ↑",IF(_xlpm.act&gt;_xlpm.ant,"Baja ↓","Estable →")))</f>
        <v>Estable →</v>
      </c>
      <c r="Y284" s="5">
        <f>IFERROR(U284-SUMIFS(HIST_SCORE!$D:$D,HIST_SCORE!$B:$B,PARAMS_MODELO!$B$4,HIST_SCORE!$C:$C,$A284),"")</f>
        <v>0.265474085287984</v>
      </c>
      <c r="Z284" s="5" t="str">
        <f t="shared" si="101"/>
        <v>→ Estable</v>
      </c>
      <c r="AA284" s="5">
        <f t="shared" si="102"/>
        <v>569</v>
      </c>
      <c r="AB284" s="5">
        <f>IFERROR(SUMIFS(HIST_SCORE!$F:$F,HIST_SCORE!$B:$B,PARAMS_MODELO!$B$4,HIST_SCORE!$C:$C,$A284),"")</f>
        <v>607</v>
      </c>
      <c r="AC284" s="5">
        <f t="shared" si="103"/>
        <v>38</v>
      </c>
      <c r="AD284" t="str">
        <f t="shared" si="105"/>
        <v/>
      </c>
      <c r="AE2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284="CERRADO",1,IF(V284="BRONCE",_xlpm.cPl,IF(V284="PLATA",_xlpm.cO,IF(V284="ORO",_xlpm.cP,IF(V284="PLATINO",_xlpm.cD,999))))))</f>
        <v>63.199193273331495</v>
      </c>
      <c r="AF2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284="CERRADO",0,IF(V284="BRONCE",1,IF(V284="PLATA",_xlpm.cPl,IF(V284="ORO",_xlpm.cO,IF(V284="PLATINO",_xlpm.cP,_xlpm.cD))))))</f>
        <v>24.506573482968111</v>
      </c>
      <c r="AG284">
        <f t="shared" si="106"/>
        <v>1.0431158971912282</v>
      </c>
      <c r="AH284" t="str">
        <f t="shared" si="107"/>
        <v>CLIENTE</v>
      </c>
      <c r="AI284" t="str">
        <f t="shared" si="104"/>
        <v>🎯 Para subir de categoría, la eje con mayor impacto probable es CLIENTE (coef T). Acción: reducir quejas, mejorar incógnito y empujar reseñas. ΔR aprox: 1,0</v>
      </c>
      <c r="AJ284" s="26">
        <f>_xlfn.LET(_xlpm.piso,AF284,_xlpm.corte,AE284,_xlpm.prog,IF(_xlpm.corte&lt;=_xlpm.piso,0,MAX(0,MIN(1,(U284-_xlpm.piso)/(_xlpm.corte-_xlpm.piso)))),_xlpm.orden,{"DIAMANTE";"PLATINO";"ORO";"PLATA";"BRONCE";"CERRADO"},_xlpm.act,IFERROR(MATCH(V284,_xlpm.orden,0),6),_xlpm.ant,IFERROR(MATCH(W284,_xlpm.orden,0),6),_xlpm.ajmov,IF(_xlpm.act&lt;_xlpm.ant,0.08,IF(_xlpm.act&gt;_xlpm.ant,-0.08,0)),_xlpm.ajcli,IF(T284&lt;0.95,-0.06,0),_xlpm.prob,MAX(0,MIN(1,_xlpm.prog+_xlpm.ajmov+_xlpm.ajcli)),IF(OR(V284="DIAMANTE",V284="CERRADO"),0,ROUND(_xlpm.prob,2)))</f>
        <v>0.92</v>
      </c>
      <c r="AK284" t="str">
        <f t="shared" si="108"/>
        <v>Faltan 1,0 puntos base para subir a la siguiente categoría</v>
      </c>
      <c r="AL284" t="str">
        <f t="shared" si="109"/>
        <v>Margen de seguridad: 38,0 puntos</v>
      </c>
      <c r="AM284">
        <f t="shared" si="110"/>
        <v>0.27</v>
      </c>
      <c r="AN284" t="str">
        <f t="shared" si="111"/>
        <v>PRIORIDAD BAJA – control normal</v>
      </c>
      <c r="AO284">
        <f t="shared" si="112"/>
        <v>6.7443207727808128</v>
      </c>
      <c r="AP284">
        <f t="shared" si="113"/>
        <v>0.27046557462846293</v>
      </c>
      <c r="AQ284">
        <f t="shared" si="114"/>
        <v>0</v>
      </c>
      <c r="AR284">
        <f t="shared" si="115"/>
        <v>0.41999999999999971</v>
      </c>
      <c r="AS284">
        <f t="shared" si="116"/>
        <v>26.772433776556134</v>
      </c>
      <c r="AT284" t="str">
        <f t="shared" si="117"/>
        <v>CLIENTE</v>
      </c>
      <c r="AU284">
        <f t="shared" si="118"/>
        <v>26.772433776556134</v>
      </c>
      <c r="AV284" t="str">
        <f t="shared" si="119"/>
        <v>Mayor retorno probable: CLIENTE (+26,8 puntos finales potenciales).</v>
      </c>
    </row>
    <row r="285" spans="1:48" x14ac:dyDescent="0.3">
      <c r="A285" s="5">
        <v>51019423</v>
      </c>
      <c r="B285" s="5" t="str">
        <f>IFERROR(VLOOKUP(A285,VENTAS!$A$2:$B$1194,2,0),"")</f>
        <v>PUGH</v>
      </c>
      <c r="C285" s="5">
        <f>IFERROR(INDEX(VENTAS!$C$2:$E$1194,MATCH(A285,VENTAS!$A$2:$A$1194,0),MATCH(PARAMS_MODELO!$B$2,{"Q1","Q2","Q3"},0)),0)</f>
        <v>65083459.289999999</v>
      </c>
      <c r="D285" s="5">
        <f>IFERROR(INDEX(VENTAS!$F$2:$H$1194,MATCH(A285,VENTAS!$A$2:$A$1194,0),MATCH(PARAMS_MODELO!$B$2,{"Q1","Q2","Q3"},0)),0)</f>
        <v>107654496</v>
      </c>
      <c r="E285" s="8">
        <f t="shared" si="96"/>
        <v>0.65409917011803631</v>
      </c>
      <c r="F285" s="12">
        <f>IF(E285&lt;=PARAMS_MODELO!$B$15,0,IF(E285&gt;=PARAMS_MODELO!$B$17,100,100*MIN(1,(E285-PARAMS_MODELO!$B$15)/(PARAMS_MODELO!$B$16-PARAMS_MODELO!$B$15))))*PARAMS_MODELO!$B$7</f>
        <v>35</v>
      </c>
      <c r="G285" s="5">
        <f t="shared" si="97"/>
        <v>42571036.710000001</v>
      </c>
      <c r="H285" s="5">
        <f>(PARAMS_MODELO!$B$20*(MAX(0,MIN(3,E285))/3)+PARAMS_MODELO!$B$21*(IFERROR(LN(1+MAX(0,G285))/LN(1+MAX(0,MAX($G$2:$G$1194))),0)))*100*PARAMS_MODELO!$B$8</f>
        <v>6.4072232354942749</v>
      </c>
      <c r="I285" s="8">
        <f>E285-PARAMS_MODELO!$B$5</f>
        <v>0.47653633474250978</v>
      </c>
      <c r="J285" s="5">
        <f>IF(I285&lt;=PARAMS_MODELO!$B$18,0,IF(I285&gt;=PARAMS_MODELO!$B$19,100,100*(I285-PARAMS_MODELO!$B$18)/(PARAMS_MODELO!$B$19-PARAMS_MODELO!$B$18)))*PARAMS_MODELO!$B$9</f>
        <v>15</v>
      </c>
      <c r="K285" s="5">
        <f>IFERROR(CHOOSE(MATCH(PARAMS_MODELO!$B$2,{"Q1","Q2","Q3"},0),LOTO!$D285,LOTO!$F285,LOTO!$H285),0)</f>
        <v>5242500</v>
      </c>
      <c r="L285" s="8">
        <f t="shared" si="98"/>
        <v>4.8697455236797541E-2</v>
      </c>
      <c r="M285" s="5">
        <f>MIN(100,IF(PARAMS_MODELO!$B$23=0,0,100*L285/PARAMS_MODELO!$B$23))*PARAMS_MODELO!$B$10</f>
        <v>14.609236571039261</v>
      </c>
      <c r="N285" s="5">
        <f>IFERROR(VLOOKUP(A285,COMPLIANCE!$A$2:$F$1996,6,0),100)</f>
        <v>99.98</v>
      </c>
      <c r="O285" s="5">
        <f>N285*PARAMS_MODELO!$B$11</f>
        <v>9.9980000000000011</v>
      </c>
      <c r="P285" s="5">
        <f>IFERROR(VLOOKUP(A285,DIGITAL!$A$2:$J$2000,7,0),100)</f>
        <v>41</v>
      </c>
      <c r="Q285" s="5">
        <f>IFERROR(P285,0)*PARAMS_MODELO!$B$12</f>
        <v>4.1000000000000005</v>
      </c>
      <c r="R285">
        <f t="shared" si="99"/>
        <v>85.114459806533532</v>
      </c>
      <c r="S285" s="5" t="str">
        <f>IFERROR(VLOOKUP(A285,CLIENTE!$A$2:$N$2000,13,0),1)</f>
        <v>Malo</v>
      </c>
      <c r="T285" s="5">
        <f>IFERROR(VLOOKUP(A285,CLIENTE!$A$2:$N$2000,14,0),1)</f>
        <v>0.7</v>
      </c>
      <c r="U285" s="5">
        <f t="shared" si="100"/>
        <v>59.580121864573471</v>
      </c>
      <c r="V285" s="5" t="str">
        <f>IF(U285&gt;=MAX(_xlfn.PERCENTILE.INC($U$2:$U$1194,PARAMS_MODELO!$B$50),PARAMS_MODELO!$B$45),"DIAMANTE",IF(U285&gt;=MAX(_xlfn.PERCENTILE.INC($U$2:$U$1194,PARAMS_MODELO!$B$51),PARAMS_MODELO!$B$46),"PLATINO",IF(U285&gt;=MAX(_xlfn.PERCENTILE.INC($U$2:$U$1194,PARAMS_MODELO!$B$52),PARAMS_MODELO!$B$47),"ORO",IF(U285&gt;=MAX(_xlfn.PERCENTILE.INC($U$2:$U$1194,PARAMS_MODELO!$B$53),PARAMS_MODELO!$B$48),"PLATA",IF(U285&gt;=1,"BRONCE","CERRADO")))))</f>
        <v>PLATA</v>
      </c>
      <c r="W285" s="5" t="str" cm="1">
        <f t="array" ref="W285">_xlfn.XLOOKUP(1, (HIST_SCORE!$B:$B=PARAMS_MODELO!$B$4) * (HIST_SCORE!$C:$C=A285), HIST_SCORE!$E:$E, "No encontrado")</f>
        <v>PLATA</v>
      </c>
      <c r="X285" s="5" t="str">
        <f>_xlfn.LET(_xlpm.act,MATCH(V285,{"DIAMANTE";"PLATINO";"ORO";"PLATA";"BRONCE";"CERRADO"},0),_xlpm.ant,MATCH(W285,{"DIAMANTE";"PLATINO";"ORO";"PLATA";"BRONCE";"CERRADO"},0),IF(_xlpm.act&lt;_xlpm.ant,"Mejora ↑",IF(_xlpm.act&gt;_xlpm.ant,"Baja ↓","Estable →")))</f>
        <v>Estable →</v>
      </c>
      <c r="Y285" s="5">
        <f>IFERROR(U285-SUMIFS(HIST_SCORE!$D:$D,HIST_SCORE!$B:$B,PARAMS_MODELO!$B$4,HIST_SCORE!$C:$C,$A285),"")</f>
        <v>1.3992299143707925</v>
      </c>
      <c r="Z285" s="5" t="str">
        <f t="shared" si="101"/>
        <v>→ Estable</v>
      </c>
      <c r="AA285" s="5">
        <f t="shared" si="102"/>
        <v>629</v>
      </c>
      <c r="AB285" s="5">
        <f>IFERROR(SUMIFS(HIST_SCORE!$F:$F,HIST_SCORE!$B:$B,PARAMS_MODELO!$B$4,HIST_SCORE!$C:$C,$A285),"")</f>
        <v>682</v>
      </c>
      <c r="AC285" s="5">
        <f t="shared" si="103"/>
        <v>53</v>
      </c>
      <c r="AD285" t="str">
        <f t="shared" si="105"/>
        <v/>
      </c>
      <c r="AE2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285="CERRADO",1,IF(V285="BRONCE",_xlpm.cPl,IF(V285="PLATA",_xlpm.cO,IF(V285="ORO",_xlpm.cP,IF(V285="PLATINO",_xlpm.cD,999))))))</f>
        <v>63.199193273331495</v>
      </c>
      <c r="AF2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285="CERRADO",0,IF(V285="BRONCE",1,IF(V285="PLATA",_xlpm.cPl,IF(V285="ORO",_xlpm.cO,IF(V285="PLATINO",_xlpm.cP,_xlpm.cD))))))</f>
        <v>24.506573482968111</v>
      </c>
      <c r="AG285">
        <f t="shared" si="106"/>
        <v>5.1701020125114638</v>
      </c>
      <c r="AH285" t="str">
        <f t="shared" si="107"/>
        <v>CLIENTE</v>
      </c>
      <c r="AI285" t="str">
        <f t="shared" si="104"/>
        <v>🎯 Para subir de categoría, la eje con mayor impacto probable es CLIENTE (coef T). Acción: reducir quejas, mejorar incógnito y empujar reseñas. ΔR aprox: 5,2</v>
      </c>
      <c r="AJ285" s="26">
        <f>_xlfn.LET(_xlpm.piso,AF285,_xlpm.corte,AE285,_xlpm.prog,IF(_xlpm.corte&lt;=_xlpm.piso,0,MAX(0,MIN(1,(U285-_xlpm.piso)/(_xlpm.corte-_xlpm.piso)))),_xlpm.orden,{"DIAMANTE";"PLATINO";"ORO";"PLATA";"BRONCE";"CERRADO"},_xlpm.act,IFERROR(MATCH(V285,_xlpm.orden,0),6),_xlpm.ant,IFERROR(MATCH(W285,_xlpm.orden,0),6),_xlpm.ajmov,IF(_xlpm.act&lt;_xlpm.ant,0.08,IF(_xlpm.act&gt;_xlpm.ant,-0.08,0)),_xlpm.ajcli,IF(T285&lt;0.95,-0.06,0),_xlpm.prob,MAX(0,MIN(1,_xlpm.prog+_xlpm.ajmov+_xlpm.ajcli)),IF(OR(V285="DIAMANTE",V285="CERRADO"),0,ROUND(_xlpm.prob,2)))</f>
        <v>0.85</v>
      </c>
      <c r="AK285" t="str">
        <f t="shared" si="108"/>
        <v>Faltan 5,2 puntos base para subir a la siguiente categoría</v>
      </c>
      <c r="AL285" t="str">
        <f t="shared" si="109"/>
        <v>Margen de seguridad: 35,1 puntos</v>
      </c>
      <c r="AM285">
        <f t="shared" si="110"/>
        <v>0.47</v>
      </c>
      <c r="AN285" t="str">
        <f t="shared" si="111"/>
        <v>PRIORIDAD MEDIA – seguimiento del asesor</v>
      </c>
      <c r="AO285">
        <f t="shared" si="112"/>
        <v>5.9187422278609185</v>
      </c>
      <c r="AP285">
        <f t="shared" si="113"/>
        <v>0.27353440027251708</v>
      </c>
      <c r="AQ285">
        <f t="shared" si="114"/>
        <v>1.3999999999992239E-3</v>
      </c>
      <c r="AR285">
        <f t="shared" si="115"/>
        <v>4.129999999999999</v>
      </c>
      <c r="AS285">
        <f t="shared" si="116"/>
        <v>25.534337941960064</v>
      </c>
      <c r="AT285" t="str">
        <f t="shared" si="117"/>
        <v>CLIENTE</v>
      </c>
      <c r="AU285">
        <f t="shared" si="118"/>
        <v>25.534337941960064</v>
      </c>
      <c r="AV285" t="str">
        <f t="shared" si="119"/>
        <v>Mayor retorno probable: CLIENTE (+25,5 puntos finales potenciales).</v>
      </c>
    </row>
    <row r="286" spans="1:48" x14ac:dyDescent="0.3">
      <c r="A286" s="5">
        <v>51000811</v>
      </c>
      <c r="B286" s="5" t="str">
        <f>IFERROR(VLOOKUP(A286,VENTAS!$A$2:$B$1194,2,0),"")</f>
        <v>CICHETTO</v>
      </c>
      <c r="C286" s="5">
        <f>IFERROR(INDEX(VENTAS!$C$2:$E$1194,MATCH(A286,VENTAS!$A$2:$A$1194,0),MATCH(PARAMS_MODELO!$B$2,{"Q1","Q2","Q3"},0)),0)</f>
        <v>91671350.429999992</v>
      </c>
      <c r="D286" s="5">
        <f>IFERROR(INDEX(VENTAS!$F$2:$H$1194,MATCH(A286,VENTAS!$A$2:$A$1194,0),MATCH(PARAMS_MODELO!$B$2,{"Q1","Q2","Q3"},0)),0)</f>
        <v>107580987</v>
      </c>
      <c r="E286" s="8">
        <f t="shared" si="96"/>
        <v>0.1735508039902669</v>
      </c>
      <c r="F286" s="12">
        <f>IF(E286&lt;=PARAMS_MODELO!$B$15,0,IF(E286&gt;=PARAMS_MODELO!$B$17,100,100*MIN(1,(E286-PARAMS_MODELO!$B$15)/(PARAMS_MODELO!$B$16-PARAMS_MODELO!$B$15))))*PARAMS_MODELO!$B$7</f>
        <v>35</v>
      </c>
      <c r="G286" s="5">
        <f t="shared" si="97"/>
        <v>15909636.570000008</v>
      </c>
      <c r="H286" s="5">
        <f>(PARAMS_MODELO!$B$20*(MAX(0,MIN(3,E286))/3)+PARAMS_MODELO!$B$21*(IFERROR(LN(1+MAX(0,G286))/LN(1+MAX(0,MAX($G$2:$G$1194))),0)))*100*PARAMS_MODELO!$B$8</f>
        <v>4.4945822256082986</v>
      </c>
      <c r="I286" s="8">
        <f>E286-PARAMS_MODELO!$B$5</f>
        <v>-4.012031385259629E-3</v>
      </c>
      <c r="J286" s="5">
        <f>IF(I286&lt;=PARAMS_MODELO!$B$18,0,IF(I286&gt;=PARAMS_MODELO!$B$19,100,100*(I286-PARAMS_MODELO!$B$18)/(PARAMS_MODELO!$B$19-PARAMS_MODELO!$B$18)))*PARAMS_MODELO!$B$9</f>
        <v>6.8981952922110548</v>
      </c>
      <c r="K286" s="5">
        <f>IFERROR(CHOOSE(MATCH(PARAMS_MODELO!$B$2,{"Q1","Q2","Q3"},0),LOTO!$D286,LOTO!$F286,LOTO!$H286),0)</f>
        <v>5232500</v>
      </c>
      <c r="L286" s="8">
        <f t="shared" si="98"/>
        <v>4.8637776487401072E-2</v>
      </c>
      <c r="M286" s="5">
        <f>MIN(100,IF(PARAMS_MODELO!$B$23=0,0,100*L286/PARAMS_MODELO!$B$23))*PARAMS_MODELO!$B$10</f>
        <v>14.591332946220318</v>
      </c>
      <c r="N286" s="5">
        <f>IFERROR(VLOOKUP(A286,COMPLIANCE!$A$2:$F$1996,6,0),100)</f>
        <v>100</v>
      </c>
      <c r="O286" s="5">
        <f>N286*PARAMS_MODELO!$B$11</f>
        <v>10</v>
      </c>
      <c r="P286" s="5">
        <f>IFERROR(VLOOKUP(A286,DIGITAL!$A$2:$J$2000,7,0),100)</f>
        <v>91</v>
      </c>
      <c r="Q286" s="5">
        <f>IFERROR(P286,0)*PARAMS_MODELO!$B$12</f>
        <v>9.1</v>
      </c>
      <c r="R286">
        <f t="shared" si="99"/>
        <v>80.084110464039668</v>
      </c>
      <c r="S286" s="5" t="str">
        <f>IFERROR(VLOOKUP(A286,CLIENTE!$A$2:$N$2000,13,0),1)</f>
        <v>Regular</v>
      </c>
      <c r="T286" s="5">
        <f>IFERROR(VLOOKUP(A286,CLIENTE!$A$2:$N$2000,14,0),1)</f>
        <v>1</v>
      </c>
      <c r="U286" s="5">
        <f t="shared" si="100"/>
        <v>80.084110464039668</v>
      </c>
      <c r="V286" s="5" t="str">
        <f>IF(U286&gt;=MAX(_xlfn.PERCENTILE.INC($U$2:$U$1194,PARAMS_MODELO!$B$50),PARAMS_MODELO!$B$45),"DIAMANTE",IF(U286&gt;=MAX(_xlfn.PERCENTILE.INC($U$2:$U$1194,PARAMS_MODELO!$B$51),PARAMS_MODELO!$B$46),"PLATINO",IF(U286&gt;=MAX(_xlfn.PERCENTILE.INC($U$2:$U$1194,PARAMS_MODELO!$B$52),PARAMS_MODELO!$B$47),"ORO",IF(U286&gt;=MAX(_xlfn.PERCENTILE.INC($U$2:$U$1194,PARAMS_MODELO!$B$53),PARAMS_MODELO!$B$48),"PLATA",IF(U286&gt;=1,"BRONCE","CERRADO")))))</f>
        <v>ORO</v>
      </c>
      <c r="W286" s="5" t="str" cm="1">
        <f t="array" ref="W286">_xlfn.XLOOKUP(1, (HIST_SCORE!$B:$B=PARAMS_MODELO!$B$4) * (HIST_SCORE!$C:$C=A286), HIST_SCORE!$E:$E, "No encontrado")</f>
        <v>ORO</v>
      </c>
      <c r="X286" s="5" t="str">
        <f>_xlfn.LET(_xlpm.act,MATCH(V286,{"DIAMANTE";"PLATINO";"ORO";"PLATA";"BRONCE";"CERRADO"},0),_xlpm.ant,MATCH(W286,{"DIAMANTE";"PLATINO";"ORO";"PLATA";"BRONCE";"CERRADO"},0),IF(_xlpm.act&lt;_xlpm.ant,"Mejora ↑",IF(_xlpm.act&gt;_xlpm.ant,"Baja ↓","Estable →")))</f>
        <v>Estable →</v>
      </c>
      <c r="Y286" s="5">
        <f>IFERROR(U286-SUMIFS(HIST_SCORE!$D:$D,HIST_SCORE!$B:$B,PARAMS_MODELO!$B$4,HIST_SCORE!$C:$C,$A286),"")</f>
        <v>3.7692836242345606</v>
      </c>
      <c r="Z286" s="5" t="str">
        <f t="shared" si="101"/>
        <v>→ Estable</v>
      </c>
      <c r="AA286" s="5">
        <f t="shared" si="102"/>
        <v>438</v>
      </c>
      <c r="AB286" s="5">
        <f>IFERROR(SUMIFS(HIST_SCORE!$F:$F,HIST_SCORE!$B:$B,PARAMS_MODELO!$B$4,HIST_SCORE!$C:$C,$A286),"")</f>
        <v>479</v>
      </c>
      <c r="AC286" s="5">
        <f t="shared" si="103"/>
        <v>41</v>
      </c>
      <c r="AD286" t="str">
        <f t="shared" si="105"/>
        <v/>
      </c>
      <c r="AE2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286="CERRADO",1,IF(V286="BRONCE",_xlpm.cPl,IF(V286="PLATA",_xlpm.cO,IF(V286="ORO",_xlpm.cP,IF(V286="PLATINO",_xlpm.cD,999))))))</f>
        <v>86.439123873763251</v>
      </c>
      <c r="AF2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286="CERRADO",0,IF(V286="BRONCE",1,IF(V286="PLATA",_xlpm.cPl,IF(V286="ORO",_xlpm.cO,IF(V286="PLATINO",_xlpm.cP,_xlpm.cD))))))</f>
        <v>63.199193273331495</v>
      </c>
      <c r="AG286">
        <f t="shared" si="106"/>
        <v>6.3550134097235826</v>
      </c>
      <c r="AH286" t="str">
        <f t="shared" si="107"/>
        <v>VENTAS</v>
      </c>
      <c r="AI286" t="str">
        <f t="shared" si="104"/>
        <v>🎯 Para subir de categoría, eje VENTAS / IMPACTO ABSOLUTO (H). Acción: metas semanales + activación comercial + seguimiento del asesor. ΔR aprox: 6,4</v>
      </c>
      <c r="AJ286" s="26">
        <f>_xlfn.LET(_xlpm.piso,AF286,_xlpm.corte,AE286,_xlpm.prog,IF(_xlpm.corte&lt;=_xlpm.piso,0,MAX(0,MIN(1,(U286-_xlpm.piso)/(_xlpm.corte-_xlpm.piso)))),_xlpm.orden,{"DIAMANTE";"PLATINO";"ORO";"PLATA";"BRONCE";"CERRADO"},_xlpm.act,IFERROR(MATCH(V286,_xlpm.orden,0),6),_xlpm.ant,IFERROR(MATCH(W286,_xlpm.orden,0),6),_xlpm.ajmov,IF(_xlpm.act&lt;_xlpm.ant,0.08,IF(_xlpm.act&gt;_xlpm.ant,-0.08,0)),_xlpm.ajcli,IF(T286&lt;0.95,-0.06,0),_xlpm.prob,MAX(0,MIN(1,_xlpm.prog+_xlpm.ajmov+_xlpm.ajcli)),IF(OR(V286="DIAMANTE",V286="CERRADO"),0,ROUND(_xlpm.prob,2)))</f>
        <v>0.73</v>
      </c>
      <c r="AK286" t="str">
        <f t="shared" si="108"/>
        <v>Faltan 6,4 puntos base para subir a la siguiente categoría</v>
      </c>
      <c r="AL286" t="str">
        <f t="shared" si="109"/>
        <v>Margen de seguridad: 16,9 puntos</v>
      </c>
      <c r="AM286">
        <f t="shared" si="110"/>
        <v>0.36</v>
      </c>
      <c r="AN286" t="str">
        <f t="shared" si="111"/>
        <v>PRIORIDAD BAJA – control normal</v>
      </c>
      <c r="AO286">
        <f t="shared" si="112"/>
        <v>18.46979175747623</v>
      </c>
      <c r="AP286">
        <f t="shared" si="113"/>
        <v>0.40866705377968238</v>
      </c>
      <c r="AQ286">
        <f t="shared" si="114"/>
        <v>0</v>
      </c>
      <c r="AR286">
        <f t="shared" si="115"/>
        <v>0.90000000000000036</v>
      </c>
      <c r="AS286">
        <f t="shared" si="116"/>
        <v>0</v>
      </c>
      <c r="AT286" t="str">
        <f t="shared" si="117"/>
        <v>VENTAS</v>
      </c>
      <c r="AU286">
        <f t="shared" si="118"/>
        <v>18.46979175747623</v>
      </c>
      <c r="AV286" t="str">
        <f t="shared" si="119"/>
        <v>Mayor retorno probable: VENTAS (+18,5 puntos finales potenciales).</v>
      </c>
    </row>
    <row r="287" spans="1:48" x14ac:dyDescent="0.3">
      <c r="A287" s="5">
        <v>51057040</v>
      </c>
      <c r="B287" s="5" t="str">
        <f>IFERROR(VLOOKUP(A287,VENTAS!$A$2:$B$1194,2,0),"")</f>
        <v>MONTENEGRO</v>
      </c>
      <c r="C287" s="5">
        <f>IFERROR(INDEX(VENTAS!$C$2:$E$1194,MATCH(A287,VENTAS!$A$2:$A$1194,0),MATCH(PARAMS_MODELO!$B$2,{"Q1","Q2","Q3"},0)),0)</f>
        <v>53976646.82</v>
      </c>
      <c r="D287" s="5">
        <f>IFERROR(INDEX(VENTAS!$F$2:$H$1194,MATCH(A287,VENTAS!$A$2:$A$1194,0),MATCH(PARAMS_MODELO!$B$2,{"Q1","Q2","Q3"},0)),0)</f>
        <v>107548726</v>
      </c>
      <c r="E287" s="8">
        <f t="shared" si="96"/>
        <v>0.99250476523024589</v>
      </c>
      <c r="F287" s="12">
        <f>IF(E287&lt;=PARAMS_MODELO!$B$15,0,IF(E287&gt;=PARAMS_MODELO!$B$17,100,100*MIN(1,(E287-PARAMS_MODELO!$B$15)/(PARAMS_MODELO!$B$16-PARAMS_MODELO!$B$15))))*PARAMS_MODELO!$B$7</f>
        <v>35</v>
      </c>
      <c r="G287" s="5">
        <f t="shared" si="97"/>
        <v>53572079.18</v>
      </c>
      <c r="H287" s="5">
        <f>(PARAMS_MODELO!$B$20*(MAX(0,MIN(3,E287))/3)+PARAMS_MODELO!$B$21*(IFERROR(LN(1+MAX(0,G287))/LN(1+MAX(0,MAX($G$2:$G$1194))),0)))*100*PARAMS_MODELO!$B$8</f>
        <v>7.6455237777401663</v>
      </c>
      <c r="I287" s="8">
        <f>E287-PARAMS_MODELO!$B$5</f>
        <v>0.81494192985471936</v>
      </c>
      <c r="J287" s="5">
        <f>IF(I287&lt;=PARAMS_MODELO!$B$18,0,IF(I287&gt;=PARAMS_MODELO!$B$19,100,100*(I287-PARAMS_MODELO!$B$18)/(PARAMS_MODELO!$B$19-PARAMS_MODELO!$B$18)))*PARAMS_MODELO!$B$9</f>
        <v>15</v>
      </c>
      <c r="K287" s="5">
        <f>IFERROR(CHOOSE(MATCH(PARAMS_MODELO!$B$2,{"Q1","Q2","Q3"},0),LOTO!$D287,LOTO!$F287,LOTO!$H287),0)</f>
        <v>5200000</v>
      </c>
      <c r="L287" s="8">
        <f t="shared" si="98"/>
        <v>4.8350177574395442E-2</v>
      </c>
      <c r="M287" s="5">
        <f>MIN(100,IF(PARAMS_MODELO!$B$23=0,0,100*L287/PARAMS_MODELO!$B$23))*PARAMS_MODELO!$B$10</f>
        <v>14.505053272318634</v>
      </c>
      <c r="N287" s="5">
        <f>IFERROR(VLOOKUP(A287,COMPLIANCE!$A$2:$F$1996,6,0),100)</f>
        <v>99.85</v>
      </c>
      <c r="O287" s="5">
        <f>N287*PARAMS_MODELO!$B$11</f>
        <v>9.9849999999999994</v>
      </c>
      <c r="P287" s="5">
        <f>IFERROR(VLOOKUP(A287,DIGITAL!$A$2:$J$2000,7,0),100)</f>
        <v>7</v>
      </c>
      <c r="Q287" s="5">
        <f>IFERROR(P287,0)*PARAMS_MODELO!$B$12</f>
        <v>0.70000000000000007</v>
      </c>
      <c r="R287">
        <f t="shared" si="99"/>
        <v>82.835577050058802</v>
      </c>
      <c r="S287" s="5" t="str">
        <f>IFERROR(VLOOKUP(A287,CLIENTE!$A$2:$N$2000,13,0),1)</f>
        <v>Regular</v>
      </c>
      <c r="T287" s="5">
        <f>IFERROR(VLOOKUP(A287,CLIENTE!$A$2:$N$2000,14,0),1)</f>
        <v>1</v>
      </c>
      <c r="U287" s="5">
        <f t="shared" si="100"/>
        <v>82.835577050058802</v>
      </c>
      <c r="V287" s="5" t="str">
        <f>IF(U287&gt;=MAX(_xlfn.PERCENTILE.INC($U$2:$U$1194,PARAMS_MODELO!$B$50),PARAMS_MODELO!$B$45),"DIAMANTE",IF(U287&gt;=MAX(_xlfn.PERCENTILE.INC($U$2:$U$1194,PARAMS_MODELO!$B$51),PARAMS_MODELO!$B$46),"PLATINO",IF(U287&gt;=MAX(_xlfn.PERCENTILE.INC($U$2:$U$1194,PARAMS_MODELO!$B$52),PARAMS_MODELO!$B$47),"ORO",IF(U287&gt;=MAX(_xlfn.PERCENTILE.INC($U$2:$U$1194,PARAMS_MODELO!$B$53),PARAMS_MODELO!$B$48),"PLATA",IF(U287&gt;=1,"BRONCE","CERRADO")))))</f>
        <v>ORO</v>
      </c>
      <c r="W287" s="5" t="str" cm="1">
        <f t="array" ref="W287">_xlfn.XLOOKUP(1, (HIST_SCORE!$B:$B=PARAMS_MODELO!$B$4) * (HIST_SCORE!$C:$C=A287), HIST_SCORE!$E:$E, "No encontrado")</f>
        <v>ORO</v>
      </c>
      <c r="X287" s="5" t="str">
        <f>_xlfn.LET(_xlpm.act,MATCH(V287,{"DIAMANTE";"PLATINO";"ORO";"PLATA";"BRONCE";"CERRADO"},0),_xlpm.ant,MATCH(W287,{"DIAMANTE";"PLATINO";"ORO";"PLATA";"BRONCE";"CERRADO"},0),IF(_xlpm.act&lt;_xlpm.ant,"Mejora ↑",IF(_xlpm.act&gt;_xlpm.ant,"Baja ↓","Estable →")))</f>
        <v>Estable →</v>
      </c>
      <c r="Y287" s="5">
        <f>IFERROR(U287-SUMIFS(HIST_SCORE!$D:$D,HIST_SCORE!$B:$B,PARAMS_MODELO!$B$4,HIST_SCORE!$C:$C,$A287),"")</f>
        <v>-0.38211783684754153</v>
      </c>
      <c r="Z287" s="5" t="str">
        <f t="shared" si="101"/>
        <v>→ Estable</v>
      </c>
      <c r="AA287" s="5">
        <f t="shared" si="102"/>
        <v>362</v>
      </c>
      <c r="AB287" s="5">
        <f>IFERROR(SUMIFS(HIST_SCORE!$F:$F,HIST_SCORE!$B:$B,PARAMS_MODELO!$B$4,HIST_SCORE!$C:$C,$A287),"")</f>
        <v>321</v>
      </c>
      <c r="AC287" s="5">
        <f t="shared" si="103"/>
        <v>-41</v>
      </c>
      <c r="AD287" t="str">
        <f t="shared" si="105"/>
        <v>Sostener base y reforzar mix</v>
      </c>
      <c r="AE2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287="CERRADO",1,IF(V287="BRONCE",_xlpm.cPl,IF(V287="PLATA",_xlpm.cO,IF(V287="ORO",_xlpm.cP,IF(V287="PLATINO",_xlpm.cD,999))))))</f>
        <v>86.439123873763251</v>
      </c>
      <c r="AF2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287="CERRADO",0,IF(V287="BRONCE",1,IF(V287="PLATA",_xlpm.cPl,IF(V287="ORO",_xlpm.cO,IF(V287="PLATINO",_xlpm.cP,_xlpm.cD))))))</f>
        <v>63.199193273331495</v>
      </c>
      <c r="AG287">
        <f t="shared" si="106"/>
        <v>3.6035468237044483</v>
      </c>
      <c r="AH287" t="str">
        <f t="shared" si="107"/>
        <v>VENTAS</v>
      </c>
      <c r="AI287" t="str">
        <f t="shared" si="104"/>
        <v>🎯 Para subir de categoría, eje VENTAS / IMPACTO ABSOLUTO (H). Acción: metas semanales + activación comercial + seguimiento del asesor. ΔR aprox: 3,6</v>
      </c>
      <c r="AJ287" s="26">
        <f>_xlfn.LET(_xlpm.piso,AF287,_xlpm.corte,AE287,_xlpm.prog,IF(_xlpm.corte&lt;=_xlpm.piso,0,MAX(0,MIN(1,(U287-_xlpm.piso)/(_xlpm.corte-_xlpm.piso)))),_xlpm.orden,{"DIAMANTE";"PLATINO";"ORO";"PLATA";"BRONCE";"CERRADO"},_xlpm.act,IFERROR(MATCH(V287,_xlpm.orden,0),6),_xlpm.ant,IFERROR(MATCH(W287,_xlpm.orden,0),6),_xlpm.ajmov,IF(_xlpm.act&lt;_xlpm.ant,0.08,IF(_xlpm.act&gt;_xlpm.ant,-0.08,0)),_xlpm.ajcli,IF(T287&lt;0.95,-0.06,0),_xlpm.prob,MAX(0,MIN(1,_xlpm.prog+_xlpm.ajmov+_xlpm.ajcli)),IF(OR(V287="DIAMANTE",V287="CERRADO"),0,ROUND(_xlpm.prob,2)))</f>
        <v>0.84</v>
      </c>
      <c r="AK287" t="str">
        <f t="shared" si="108"/>
        <v>Faltan 3,6 puntos base para subir a la siguiente categoría</v>
      </c>
      <c r="AL287" t="str">
        <f t="shared" si="109"/>
        <v>Margen de seguridad: 19,6 puntos</v>
      </c>
      <c r="AM287">
        <f t="shared" si="110"/>
        <v>0.21</v>
      </c>
      <c r="AN287" t="str">
        <f t="shared" si="111"/>
        <v>PRIORIDAD BAJA – control normal</v>
      </c>
      <c r="AO287">
        <f t="shared" si="112"/>
        <v>7.2170454975554179</v>
      </c>
      <c r="AP287">
        <f t="shared" si="113"/>
        <v>0.49494672768136638</v>
      </c>
      <c r="AQ287">
        <f t="shared" si="114"/>
        <v>1.5000000000000568E-2</v>
      </c>
      <c r="AR287">
        <f t="shared" si="115"/>
        <v>9.3000000000000007</v>
      </c>
      <c r="AS287">
        <f t="shared" si="116"/>
        <v>0</v>
      </c>
      <c r="AT287" t="str">
        <f t="shared" si="117"/>
        <v>DIGITAL</v>
      </c>
      <c r="AU287">
        <f t="shared" si="118"/>
        <v>9.3000000000000007</v>
      </c>
      <c r="AV287" t="str">
        <f t="shared" si="119"/>
        <v>Mayor retorno probable: DIGITAL (+9,3 puntos finales potenciales).</v>
      </c>
    </row>
    <row r="288" spans="1:48" x14ac:dyDescent="0.3">
      <c r="A288" s="5">
        <v>51055101</v>
      </c>
      <c r="B288" s="5" t="str">
        <f>IFERROR(VLOOKUP(A288,VENTAS!$A$2:$B$1194,2,0),"")</f>
        <v>PUGH</v>
      </c>
      <c r="C288" s="5">
        <f>IFERROR(INDEX(VENTAS!$C$2:$E$1194,MATCH(A288,VENTAS!$A$2:$A$1194,0),MATCH(PARAMS_MODELO!$B$2,{"Q1","Q2","Q3"},0)),0)</f>
        <v>93519111.579999998</v>
      </c>
      <c r="D288" s="5">
        <f>IFERROR(INDEX(VENTAS!$F$2:$H$1194,MATCH(A288,VENTAS!$A$2:$A$1194,0),MATCH(PARAMS_MODELO!$B$2,{"Q1","Q2","Q3"},0)),0)</f>
        <v>107350613</v>
      </c>
      <c r="E288" s="8">
        <f t="shared" si="96"/>
        <v>0.1479002653716186</v>
      </c>
      <c r="F288" s="12">
        <f>IF(E288&lt;=PARAMS_MODELO!$B$15,0,IF(E288&gt;=PARAMS_MODELO!$B$17,100,100*MIN(1,(E288-PARAMS_MODELO!$B$15)/(PARAMS_MODELO!$B$16-PARAMS_MODELO!$B$15))))*PARAMS_MODELO!$B$7</f>
        <v>35</v>
      </c>
      <c r="G288" s="5">
        <f t="shared" si="97"/>
        <v>13831501.420000002</v>
      </c>
      <c r="H288" s="5">
        <f>(PARAMS_MODELO!$B$20*(MAX(0,MIN(3,E288))/3)+PARAMS_MODELO!$B$21*(IFERROR(LN(1+MAX(0,G288))/LN(1+MAX(0,MAX($G$2:$G$1194))),0)))*100*PARAMS_MODELO!$B$8</f>
        <v>4.3719929444987793</v>
      </c>
      <c r="I288" s="8">
        <f>E288-PARAMS_MODELO!$B$5</f>
        <v>-2.9662570003907929E-2</v>
      </c>
      <c r="J288" s="5">
        <f>IF(I288&lt;=PARAMS_MODELO!$B$18,0,IF(I288&gt;=PARAMS_MODELO!$B$19,100,100*(I288-PARAMS_MODELO!$B$18)/(PARAMS_MODELO!$B$19-PARAMS_MODELO!$B$18)))*PARAMS_MODELO!$B$9</f>
        <v>3.0506144994138107</v>
      </c>
      <c r="K288" s="5">
        <f>IFERROR(CHOOSE(MATCH(PARAMS_MODELO!$B$2,{"Q1","Q2","Q3"},0),LOTO!$D288,LOTO!$F288,LOTO!$H288),0)</f>
        <v>5197500</v>
      </c>
      <c r="L288" s="8">
        <f t="shared" si="98"/>
        <v>4.8416118499481693E-2</v>
      </c>
      <c r="M288" s="5">
        <f>MIN(100,IF(PARAMS_MODELO!$B$23=0,0,100*L288/PARAMS_MODELO!$B$23))*PARAMS_MODELO!$B$10</f>
        <v>14.524835549844507</v>
      </c>
      <c r="N288" s="5">
        <f>IFERROR(VLOOKUP(A288,COMPLIANCE!$A$2:$F$1996,6,0),100)</f>
        <v>100</v>
      </c>
      <c r="O288" s="5">
        <f>N288*PARAMS_MODELO!$B$11</f>
        <v>10</v>
      </c>
      <c r="P288" s="5">
        <f>IFERROR(VLOOKUP(A288,DIGITAL!$A$2:$J$2000,7,0),100)</f>
        <v>32</v>
      </c>
      <c r="Q288" s="5">
        <f>IFERROR(P288,0)*PARAMS_MODELO!$B$12</f>
        <v>3.2</v>
      </c>
      <c r="R288">
        <f t="shared" si="99"/>
        <v>70.147442993757096</v>
      </c>
      <c r="S288" s="5" t="str">
        <f>IFERROR(VLOOKUP(A288,CLIENTE!$A$2:$N$2000,13,0),1)</f>
        <v>Bueno</v>
      </c>
      <c r="T288" s="5">
        <f>IFERROR(VLOOKUP(A288,CLIENTE!$A$2:$N$2000,14,0),1)</f>
        <v>1.1000000000000001</v>
      </c>
      <c r="U288" s="5">
        <f t="shared" si="100"/>
        <v>77.162187293132817</v>
      </c>
      <c r="V288" s="5" t="str">
        <f>IF(U288&gt;=MAX(_xlfn.PERCENTILE.INC($U$2:$U$1194,PARAMS_MODELO!$B$50),PARAMS_MODELO!$B$45),"DIAMANTE",IF(U288&gt;=MAX(_xlfn.PERCENTILE.INC($U$2:$U$1194,PARAMS_MODELO!$B$51),PARAMS_MODELO!$B$46),"PLATINO",IF(U288&gt;=MAX(_xlfn.PERCENTILE.INC($U$2:$U$1194,PARAMS_MODELO!$B$52),PARAMS_MODELO!$B$47),"ORO",IF(U288&gt;=MAX(_xlfn.PERCENTILE.INC($U$2:$U$1194,PARAMS_MODELO!$B$53),PARAMS_MODELO!$B$48),"PLATA",IF(U288&gt;=1,"BRONCE","CERRADO")))))</f>
        <v>ORO</v>
      </c>
      <c r="W288" s="5" t="str" cm="1">
        <f t="array" ref="W288">_xlfn.XLOOKUP(1, (HIST_SCORE!$B:$B=PARAMS_MODELO!$B$4) * (HIST_SCORE!$C:$C=A288), HIST_SCORE!$E:$E, "No encontrado")</f>
        <v>PLATA</v>
      </c>
      <c r="X288" s="5" t="str">
        <f>_xlfn.LET(_xlpm.act,MATCH(V288,{"DIAMANTE";"PLATINO";"ORO";"PLATA";"BRONCE";"CERRADO"},0),_xlpm.ant,MATCH(W288,{"DIAMANTE";"PLATINO";"ORO";"PLATA";"BRONCE";"CERRADO"},0),IF(_xlpm.act&lt;_xlpm.ant,"Mejora ↑",IF(_xlpm.act&gt;_xlpm.ant,"Baja ↓","Estable →")))</f>
        <v>Mejora ↑</v>
      </c>
      <c r="Y288" s="5">
        <f>IFERROR(U288-SUMIFS(HIST_SCORE!$D:$D,HIST_SCORE!$B:$B,PARAMS_MODELO!$B$4,HIST_SCORE!$C:$C,$A288),"")</f>
        <v>46.142187293132814</v>
      </c>
      <c r="Z288" s="5" t="str">
        <f t="shared" si="101"/>
        <v>↑ Mejora</v>
      </c>
      <c r="AA288" s="5">
        <f t="shared" si="102"/>
        <v>456</v>
      </c>
      <c r="AB288" s="5">
        <f>IFERROR(SUMIFS(HIST_SCORE!$F:$F,HIST_SCORE!$B:$B,PARAMS_MODELO!$B$4,HIST_SCORE!$C:$C,$A288),"")</f>
        <v>899</v>
      </c>
      <c r="AC288" s="5">
        <f t="shared" si="103"/>
        <v>443</v>
      </c>
      <c r="AD288" t="str">
        <f t="shared" si="105"/>
        <v/>
      </c>
      <c r="AE2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288="CERRADO",1,IF(V288="BRONCE",_xlpm.cPl,IF(V288="PLATA",_xlpm.cO,IF(V288="ORO",_xlpm.cP,IF(V288="PLATINO",_xlpm.cD,999))))))</f>
        <v>86.439123873763251</v>
      </c>
      <c r="AF2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288="CERRADO",0,IF(V288="BRONCE",1,IF(V288="PLATA",_xlpm.cPl,IF(V288="ORO",_xlpm.cO,IF(V288="PLATINO",_xlpm.cP,_xlpm.cD))))))</f>
        <v>63.199193273331495</v>
      </c>
      <c r="AG288">
        <f t="shared" si="106"/>
        <v>8.4335787096640331</v>
      </c>
      <c r="AH288" t="str">
        <f t="shared" si="107"/>
        <v>VENTAS</v>
      </c>
      <c r="AI288" t="str">
        <f t="shared" si="104"/>
        <v>🎯 Para subir de categoría, eje VENTAS / DIFERENCIAL vs LOTBA (J). Acción: metas semanales + activación comercial + seguimiento del asesor. ΔR aprox: 8,4</v>
      </c>
      <c r="AJ288" s="26">
        <f>_xlfn.LET(_xlpm.piso,AF288,_xlpm.corte,AE288,_xlpm.prog,IF(_xlpm.corte&lt;=_xlpm.piso,0,MAX(0,MIN(1,(U288-_xlpm.piso)/(_xlpm.corte-_xlpm.piso)))),_xlpm.orden,{"DIAMANTE";"PLATINO";"ORO";"PLATA";"BRONCE";"CERRADO"},_xlpm.act,IFERROR(MATCH(V288,_xlpm.orden,0),6),_xlpm.ant,IFERROR(MATCH(W288,_xlpm.orden,0),6),_xlpm.ajmov,IF(_xlpm.act&lt;_xlpm.ant,0.08,IF(_xlpm.act&gt;_xlpm.ant,-0.08,0)),_xlpm.ajcli,IF(T288&lt;0.95,-0.06,0),_xlpm.prob,MAX(0,MIN(1,_xlpm.prog+_xlpm.ajmov+_xlpm.ajcli)),IF(OR(V288="DIAMANTE",V288="CERRADO"),0,ROUND(_xlpm.prob,2)))</f>
        <v>0.68</v>
      </c>
      <c r="AK288" t="str">
        <f t="shared" si="108"/>
        <v>Faltan 8,4 puntos base para subir a la siguiente categoría</v>
      </c>
      <c r="AL288" t="str">
        <f t="shared" si="109"/>
        <v>Margen de seguridad: 14,0 puntos</v>
      </c>
      <c r="AM288">
        <f t="shared" si="110"/>
        <v>0.47</v>
      </c>
      <c r="AN288" t="str">
        <f t="shared" si="111"/>
        <v>PRIORIDAD MEDIA – seguimiento del asesor</v>
      </c>
      <c r="AO288">
        <f t="shared" si="112"/>
        <v>24.683958014521295</v>
      </c>
      <c r="AP288">
        <f t="shared" si="113"/>
        <v>0.5226808951710421</v>
      </c>
      <c r="AQ288">
        <f t="shared" si="114"/>
        <v>0</v>
      </c>
      <c r="AR288">
        <f t="shared" si="115"/>
        <v>7.48</v>
      </c>
      <c r="AS288">
        <f t="shared" si="116"/>
        <v>0</v>
      </c>
      <c r="AT288" t="str">
        <f t="shared" si="117"/>
        <v>VENTAS</v>
      </c>
      <c r="AU288">
        <f t="shared" si="118"/>
        <v>24.683958014521295</v>
      </c>
      <c r="AV288" t="str">
        <f t="shared" si="119"/>
        <v>Mayor retorno probable: VENTAS (+24,7 puntos finales potenciales).</v>
      </c>
    </row>
    <row r="289" spans="1:48" x14ac:dyDescent="0.3">
      <c r="A289" s="5">
        <v>51016386</v>
      </c>
      <c r="B289" s="5" t="str">
        <f>IFERROR(VLOOKUP(A289,VENTAS!$A$2:$B$1194,2,0),"")</f>
        <v>BELUZZO</v>
      </c>
      <c r="C289" s="5">
        <f>IFERROR(INDEX(VENTAS!$C$2:$E$1194,MATCH(A289,VENTAS!$A$2:$A$1194,0),MATCH(PARAMS_MODELO!$B$2,{"Q1","Q2","Q3"},0)),0)</f>
        <v>92986782.060000002</v>
      </c>
      <c r="D289" s="5">
        <f>IFERROR(INDEX(VENTAS!$F$2:$H$1194,MATCH(A289,VENTAS!$A$2:$A$1194,0),MATCH(PARAMS_MODELO!$B$2,{"Q1","Q2","Q3"},0)),0)</f>
        <v>107010287</v>
      </c>
      <c r="E289" s="8">
        <f t="shared" si="96"/>
        <v>0.15081181033828317</v>
      </c>
      <c r="F289" s="12">
        <f>IF(E289&lt;=PARAMS_MODELO!$B$15,0,IF(E289&gt;=PARAMS_MODELO!$B$17,100,100*MIN(1,(E289-PARAMS_MODELO!$B$15)/(PARAMS_MODELO!$B$16-PARAMS_MODELO!$B$15))))*PARAMS_MODELO!$B$7</f>
        <v>35</v>
      </c>
      <c r="G289" s="5">
        <f t="shared" si="97"/>
        <v>14023504.939999998</v>
      </c>
      <c r="H289" s="5">
        <f>(PARAMS_MODELO!$B$20*(MAX(0,MIN(3,E289))/3)+PARAMS_MODELO!$B$21*(IFERROR(LN(1+MAX(0,G289))/LN(1+MAX(0,MAX($G$2:$G$1194))),0)))*100*PARAMS_MODELO!$B$8</f>
        <v>4.3854150162100725</v>
      </c>
      <c r="I289" s="8">
        <f>E289-PARAMS_MODELO!$B$5</f>
        <v>-2.6751025037243359E-2</v>
      </c>
      <c r="J289" s="5">
        <f>IF(I289&lt;=PARAMS_MODELO!$B$18,0,IF(I289&gt;=PARAMS_MODELO!$B$19,100,100*(I289-PARAMS_MODELO!$B$18)/(PARAMS_MODELO!$B$19-PARAMS_MODELO!$B$18)))*PARAMS_MODELO!$B$9</f>
        <v>3.4873462444134966</v>
      </c>
      <c r="K289" s="5">
        <f>IFERROR(CHOOSE(MATCH(PARAMS_MODELO!$B$2,{"Q1","Q2","Q3"},0),LOTO!$D289,LOTO!$F289,LOTO!$H289),0)</f>
        <v>5182500</v>
      </c>
      <c r="L289" s="8">
        <f t="shared" si="98"/>
        <v>4.8429923377366513E-2</v>
      </c>
      <c r="M289" s="5">
        <f>MIN(100,IF(PARAMS_MODELO!$B$23=0,0,100*L289/PARAMS_MODELO!$B$23))*PARAMS_MODELO!$B$10</f>
        <v>14.528977013209953</v>
      </c>
      <c r="N289" s="5">
        <f>IFERROR(VLOOKUP(A289,COMPLIANCE!$A$2:$F$1996,6,0),100)</f>
        <v>100</v>
      </c>
      <c r="O289" s="5">
        <f>N289*PARAMS_MODELO!$B$11</f>
        <v>10</v>
      </c>
      <c r="P289" s="5">
        <f>IFERROR(VLOOKUP(A289,DIGITAL!$A$2:$J$2000,7,0),100)</f>
        <v>16</v>
      </c>
      <c r="Q289" s="5">
        <f>IFERROR(P289,0)*PARAMS_MODELO!$B$12</f>
        <v>1.6</v>
      </c>
      <c r="R289">
        <f t="shared" si="99"/>
        <v>69.001738273833524</v>
      </c>
      <c r="S289" s="5" t="str">
        <f>IFERROR(VLOOKUP(A289,CLIENTE!$A$2:$N$2000,13,0),1)</f>
        <v>Regular</v>
      </c>
      <c r="T289" s="5">
        <f>IFERROR(VLOOKUP(A289,CLIENTE!$A$2:$N$2000,14,0),1)</f>
        <v>1</v>
      </c>
      <c r="U289" s="5">
        <f t="shared" si="100"/>
        <v>69.001738273833524</v>
      </c>
      <c r="V289" s="5" t="str">
        <f>IF(U289&gt;=MAX(_xlfn.PERCENTILE.INC($U$2:$U$1194,PARAMS_MODELO!$B$50),PARAMS_MODELO!$B$45),"DIAMANTE",IF(U289&gt;=MAX(_xlfn.PERCENTILE.INC($U$2:$U$1194,PARAMS_MODELO!$B$51),PARAMS_MODELO!$B$46),"PLATINO",IF(U289&gt;=MAX(_xlfn.PERCENTILE.INC($U$2:$U$1194,PARAMS_MODELO!$B$52),PARAMS_MODELO!$B$47),"ORO",IF(U289&gt;=MAX(_xlfn.PERCENTILE.INC($U$2:$U$1194,PARAMS_MODELO!$B$53),PARAMS_MODELO!$B$48),"PLATA",IF(U289&gt;=1,"BRONCE","CERRADO")))))</f>
        <v>ORO</v>
      </c>
      <c r="W289" s="5" t="str" cm="1">
        <f t="array" ref="W289">_xlfn.XLOOKUP(1, (HIST_SCORE!$B:$B=PARAMS_MODELO!$B$4) * (HIST_SCORE!$C:$C=A289), HIST_SCORE!$E:$E, "No encontrado")</f>
        <v>ORO</v>
      </c>
      <c r="X289" s="5" t="str">
        <f>_xlfn.LET(_xlpm.act,MATCH(V289,{"DIAMANTE";"PLATINO";"ORO";"PLATA";"BRONCE";"CERRADO"},0),_xlpm.ant,MATCH(W289,{"DIAMANTE";"PLATINO";"ORO";"PLATA";"BRONCE";"CERRADO"},0),IF(_xlpm.act&lt;_xlpm.ant,"Mejora ↑",IF(_xlpm.act&gt;_xlpm.ant,"Baja ↓","Estable →")))</f>
        <v>Estable →</v>
      </c>
      <c r="Y289" s="5">
        <f>IFERROR(U289-SUMIFS(HIST_SCORE!$D:$D,HIST_SCORE!$B:$B,PARAMS_MODELO!$B$4,HIST_SCORE!$C:$C,$A289),"")</f>
        <v>4.3444477893486209</v>
      </c>
      <c r="Z289" s="5" t="str">
        <f t="shared" si="101"/>
        <v>→ Estable</v>
      </c>
      <c r="AA289" s="5">
        <f t="shared" si="102"/>
        <v>519</v>
      </c>
      <c r="AB289" s="5">
        <f>IFERROR(SUMIFS(HIST_SCORE!$F:$F,HIST_SCORE!$B:$B,PARAMS_MODELO!$B$4,HIST_SCORE!$C:$C,$A289),"")</f>
        <v>574</v>
      </c>
      <c r="AC289" s="5">
        <f t="shared" si="103"/>
        <v>55</v>
      </c>
      <c r="AD289" t="str">
        <f t="shared" si="105"/>
        <v/>
      </c>
      <c r="AE2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289="CERRADO",1,IF(V289="BRONCE",_xlpm.cPl,IF(V289="PLATA",_xlpm.cO,IF(V289="ORO",_xlpm.cP,IF(V289="PLATINO",_xlpm.cD,999))))))</f>
        <v>86.439123873763251</v>
      </c>
      <c r="AF2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289="CERRADO",0,IF(V289="BRONCE",1,IF(V289="PLATA",_xlpm.cPl,IF(V289="ORO",_xlpm.cO,IF(V289="PLATINO",_xlpm.cP,_xlpm.cD))))))</f>
        <v>63.199193273331495</v>
      </c>
      <c r="AG289">
        <f t="shared" si="106"/>
        <v>17.437385599929726</v>
      </c>
      <c r="AH289" t="str">
        <f t="shared" si="107"/>
        <v>VENTAS</v>
      </c>
      <c r="AI289" t="str">
        <f t="shared" si="104"/>
        <v>🎯 Para subir de categoría, eje VENTAS / DIFERENCIAL vs LOTBA (J). Acción: metas semanales + activación comercial + seguimiento del asesor. ΔR aprox: 17,4</v>
      </c>
      <c r="AJ289" s="26">
        <f>_xlfn.LET(_xlpm.piso,AF289,_xlpm.corte,AE289,_xlpm.prog,IF(_xlpm.corte&lt;=_xlpm.piso,0,MAX(0,MIN(1,(U289-_xlpm.piso)/(_xlpm.corte-_xlpm.piso)))),_xlpm.orden,{"DIAMANTE";"PLATINO";"ORO";"PLATA";"BRONCE";"CERRADO"},_xlpm.act,IFERROR(MATCH(V289,_xlpm.orden,0),6),_xlpm.ant,IFERROR(MATCH(W289,_xlpm.orden,0),6),_xlpm.ajmov,IF(_xlpm.act&lt;_xlpm.ant,0.08,IF(_xlpm.act&gt;_xlpm.ant,-0.08,0)),_xlpm.ajcli,IF(T289&lt;0.95,-0.06,0),_xlpm.prob,MAX(0,MIN(1,_xlpm.prog+_xlpm.ajmov+_xlpm.ajcli)),IF(OR(V289="DIAMANTE",V289="CERRADO"),0,ROUND(_xlpm.prob,2)))</f>
        <v>0.25</v>
      </c>
      <c r="AK289" t="str">
        <f t="shared" si="108"/>
        <v>Faltan 17,4 puntos base para subir a la siguiente categoría</v>
      </c>
      <c r="AL289" t="str">
        <f t="shared" si="109"/>
        <v>Margen de seguridad: 5,8 puntos</v>
      </c>
      <c r="AM289">
        <f t="shared" si="110"/>
        <v>0.7</v>
      </c>
      <c r="AN289" t="str">
        <f t="shared" si="111"/>
        <v>PRIORIDAD ALTA – requiere intervención inmediata</v>
      </c>
      <c r="AO289">
        <f t="shared" si="112"/>
        <v>21.989808014672015</v>
      </c>
      <c r="AP289">
        <f t="shared" si="113"/>
        <v>0.47102298679004662</v>
      </c>
      <c r="AQ289">
        <f t="shared" si="114"/>
        <v>0</v>
      </c>
      <c r="AR289">
        <f t="shared" si="115"/>
        <v>8.4</v>
      </c>
      <c r="AS289">
        <f t="shared" si="116"/>
        <v>0</v>
      </c>
      <c r="AT289" t="str">
        <f t="shared" si="117"/>
        <v>VENTAS</v>
      </c>
      <c r="AU289">
        <f t="shared" si="118"/>
        <v>21.989808014672015</v>
      </c>
      <c r="AV289" t="str">
        <f t="shared" si="119"/>
        <v>Mayor retorno probable: VENTAS (+22,0 puntos finales potenciales).</v>
      </c>
    </row>
    <row r="290" spans="1:48" x14ac:dyDescent="0.3">
      <c r="A290" s="5">
        <v>51003594</v>
      </c>
      <c r="B290" s="5" t="str">
        <f>IFERROR(VLOOKUP(A290,VENTAS!$A$2:$B$1194,2,0),"")</f>
        <v>BELUZZO</v>
      </c>
      <c r="C290" s="5">
        <f>IFERROR(INDEX(VENTAS!$C$2:$E$1194,MATCH(A290,VENTAS!$A$2:$A$1194,0),MATCH(PARAMS_MODELO!$B$2,{"Q1","Q2","Q3"},0)),0)</f>
        <v>68418889.060000002</v>
      </c>
      <c r="D290" s="5">
        <f>IFERROR(INDEX(VENTAS!$F$2:$H$1194,MATCH(A290,VENTAS!$A$2:$A$1194,0),MATCH(PARAMS_MODELO!$B$2,{"Q1","Q2","Q3"},0)),0)</f>
        <v>106691788</v>
      </c>
      <c r="E290" s="8">
        <f t="shared" si="96"/>
        <v>0.55939082709215793</v>
      </c>
      <c r="F290" s="12">
        <f>IF(E290&lt;=PARAMS_MODELO!$B$15,0,IF(E290&gt;=PARAMS_MODELO!$B$17,100,100*MIN(1,(E290-PARAMS_MODELO!$B$15)/(PARAMS_MODELO!$B$16-PARAMS_MODELO!$B$15))))*PARAMS_MODELO!$B$7</f>
        <v>35</v>
      </c>
      <c r="G290" s="5">
        <f t="shared" si="97"/>
        <v>38272898.939999998</v>
      </c>
      <c r="H290" s="5">
        <f>(PARAMS_MODELO!$B$20*(MAX(0,MIN(3,E290))/3)+PARAMS_MODELO!$B$21*(IFERROR(LN(1+MAX(0,G290))/LN(1+MAX(0,MAX($G$2:$G$1194))),0)))*100*PARAMS_MODELO!$B$8</f>
        <v>6.0507948686119146</v>
      </c>
      <c r="I290" s="8">
        <f>E290-PARAMS_MODELO!$B$5</f>
        <v>0.3818279917166314</v>
      </c>
      <c r="J290" s="5">
        <f>IF(I290&lt;=PARAMS_MODELO!$B$18,0,IF(I290&gt;=PARAMS_MODELO!$B$19,100,100*(I290-PARAMS_MODELO!$B$18)/(PARAMS_MODELO!$B$19-PARAMS_MODELO!$B$18)))*PARAMS_MODELO!$B$9</f>
        <v>15</v>
      </c>
      <c r="K290" s="5">
        <f>IFERROR(CHOOSE(MATCH(PARAMS_MODELO!$B$2,{"Q1","Q2","Q3"},0),LOTO!$D290,LOTO!$F290,LOTO!$H290),0)</f>
        <v>5177500</v>
      </c>
      <c r="L290" s="8">
        <f t="shared" si="98"/>
        <v>4.8527633635683375E-2</v>
      </c>
      <c r="M290" s="5">
        <f>MIN(100,IF(PARAMS_MODELO!$B$23=0,0,100*L290/PARAMS_MODELO!$B$23))*PARAMS_MODELO!$B$10</f>
        <v>14.558290090705011</v>
      </c>
      <c r="N290" s="5">
        <f>IFERROR(VLOOKUP(A290,COMPLIANCE!$A$2:$F$1996,6,0),100)</f>
        <v>100</v>
      </c>
      <c r="O290" s="5">
        <f>N290*PARAMS_MODELO!$B$11</f>
        <v>10</v>
      </c>
      <c r="P290" s="5">
        <f>IFERROR(VLOOKUP(A290,DIGITAL!$A$2:$J$2000,7,0),100)</f>
        <v>26</v>
      </c>
      <c r="Q290" s="5">
        <f>IFERROR(P290,0)*PARAMS_MODELO!$B$12</f>
        <v>2.6</v>
      </c>
      <c r="R290">
        <f t="shared" si="99"/>
        <v>83.209084959316925</v>
      </c>
      <c r="S290" s="5" t="str">
        <f>IFERROR(VLOOKUP(A290,CLIENTE!$A$2:$N$2000,13,0),1)</f>
        <v>Bueno</v>
      </c>
      <c r="T290" s="5">
        <f>IFERROR(VLOOKUP(A290,CLIENTE!$A$2:$N$2000,14,0),1)</f>
        <v>1.1000000000000001</v>
      </c>
      <c r="U290" s="5">
        <f t="shared" si="100"/>
        <v>91.529993455248629</v>
      </c>
      <c r="V290" s="5" t="str">
        <f>IF(U290&gt;=MAX(_xlfn.PERCENTILE.INC($U$2:$U$1194,PARAMS_MODELO!$B$50),PARAMS_MODELO!$B$45),"DIAMANTE",IF(U290&gt;=MAX(_xlfn.PERCENTILE.INC($U$2:$U$1194,PARAMS_MODELO!$B$51),PARAMS_MODELO!$B$46),"PLATINO",IF(U290&gt;=MAX(_xlfn.PERCENTILE.INC($U$2:$U$1194,PARAMS_MODELO!$B$52),PARAMS_MODELO!$B$47),"ORO",IF(U290&gt;=MAX(_xlfn.PERCENTILE.INC($U$2:$U$1194,PARAMS_MODELO!$B$53),PARAMS_MODELO!$B$48),"PLATA",IF(U290&gt;=1,"BRONCE","CERRADO")))))</f>
        <v>PLATINO</v>
      </c>
      <c r="W290" s="5" t="str" cm="1">
        <f t="array" ref="W290">_xlfn.XLOOKUP(1, (HIST_SCORE!$B:$B=PARAMS_MODELO!$B$4) * (HIST_SCORE!$C:$C=A290), HIST_SCORE!$E:$E, "No encontrado")</f>
        <v>PLATINO</v>
      </c>
      <c r="X290" s="5" t="str">
        <f>_xlfn.LET(_xlpm.act,MATCH(V290,{"DIAMANTE";"PLATINO";"ORO";"PLATA";"BRONCE";"CERRADO"},0),_xlpm.ant,MATCH(W290,{"DIAMANTE";"PLATINO";"ORO";"PLATA";"BRONCE";"CERRADO"},0),IF(_xlpm.act&lt;_xlpm.ant,"Mejora ↑",IF(_xlpm.act&gt;_xlpm.ant,"Baja ↓","Estable →")))</f>
        <v>Estable →</v>
      </c>
      <c r="Y290" s="5">
        <f>IFERROR(U290-SUMIFS(HIST_SCORE!$D:$D,HIST_SCORE!$B:$B,PARAMS_MODELO!$B$4,HIST_SCORE!$C:$C,$A290),"")</f>
        <v>9.8711864741389377E-2</v>
      </c>
      <c r="Z290" s="5" t="str">
        <f t="shared" si="101"/>
        <v>→ Estable</v>
      </c>
      <c r="AA290" s="5">
        <f t="shared" si="102"/>
        <v>110</v>
      </c>
      <c r="AB290" s="5">
        <f>IFERROR(SUMIFS(HIST_SCORE!$F:$F,HIST_SCORE!$B:$B,PARAMS_MODELO!$B$4,HIST_SCORE!$C:$C,$A290),"")</f>
        <v>114</v>
      </c>
      <c r="AC290" s="5">
        <f t="shared" si="103"/>
        <v>4</v>
      </c>
      <c r="AD290" t="str">
        <f t="shared" si="105"/>
        <v/>
      </c>
      <c r="AE2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290="CERRADO",1,IF(V290="BRONCE",_xlpm.cPl,IF(V290="PLATA",_xlpm.cO,IF(V290="ORO",_xlpm.cP,IF(V290="PLATINO",_xlpm.cD,999))))))</f>
        <v>96.054919694466676</v>
      </c>
      <c r="AF2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290="CERRADO",0,IF(V290="BRONCE",1,IF(V290="PLATA",_xlpm.cPl,IF(V290="ORO",_xlpm.cO,IF(V290="PLATINO",_xlpm.cP,_xlpm.cD))))))</f>
        <v>86.439123873763251</v>
      </c>
      <c r="AG290">
        <f t="shared" si="106"/>
        <v>4.1135693083800504</v>
      </c>
      <c r="AH290" t="str">
        <f t="shared" si="107"/>
        <v>VENTAS</v>
      </c>
      <c r="AI290" t="str">
        <f t="shared" si="104"/>
        <v>🎯 Para subir de categoría, eje VENTAS / IMPACTO ABSOLUTO (H). Acción: metas semanales + activación comercial + seguimiento del asesor. ΔR aprox: 4,1</v>
      </c>
      <c r="AJ290" s="26">
        <f>_xlfn.LET(_xlpm.piso,AF290,_xlpm.corte,AE290,_xlpm.prog,IF(_xlpm.corte&lt;=_xlpm.piso,0,MAX(0,MIN(1,(U290-_xlpm.piso)/(_xlpm.corte-_xlpm.piso)))),_xlpm.orden,{"DIAMANTE";"PLATINO";"ORO";"PLATA";"BRONCE";"CERRADO"},_xlpm.act,IFERROR(MATCH(V290,_xlpm.orden,0),6),_xlpm.ant,IFERROR(MATCH(W290,_xlpm.orden,0),6),_xlpm.ajmov,IF(_xlpm.act&lt;_xlpm.ant,0.08,IF(_xlpm.act&gt;_xlpm.ant,-0.08,0)),_xlpm.ajcli,IF(T290&lt;0.95,-0.06,0),_xlpm.prob,MAX(0,MIN(1,_xlpm.prog+_xlpm.ajmov+_xlpm.ajcli)),IF(OR(V290="DIAMANTE",V290="CERRADO"),0,ROUND(_xlpm.prob,2)))</f>
        <v>0.53</v>
      </c>
      <c r="AK290" t="str">
        <f t="shared" si="108"/>
        <v>Faltan 4,1 puntos base para subir a la siguiente categoría</v>
      </c>
      <c r="AL290" t="str">
        <f t="shared" si="109"/>
        <v>Margen de seguridad: 5,1 puntos</v>
      </c>
      <c r="AM290">
        <f t="shared" si="110"/>
        <v>0.35</v>
      </c>
      <c r="AN290" t="str">
        <f t="shared" si="111"/>
        <v>PRIORIDAD BAJA – control normal</v>
      </c>
      <c r="AO290">
        <f t="shared" si="112"/>
        <v>9.6929518473520346</v>
      </c>
      <c r="AP290">
        <f t="shared" si="113"/>
        <v>0.48588090022448793</v>
      </c>
      <c r="AQ290">
        <f t="shared" si="114"/>
        <v>0</v>
      </c>
      <c r="AR290">
        <f t="shared" si="115"/>
        <v>8.14</v>
      </c>
      <c r="AS290">
        <f t="shared" si="116"/>
        <v>0</v>
      </c>
      <c r="AT290" t="str">
        <f t="shared" si="117"/>
        <v>VENTAS</v>
      </c>
      <c r="AU290">
        <f t="shared" si="118"/>
        <v>9.6929518473520346</v>
      </c>
      <c r="AV290" t="str">
        <f t="shared" si="119"/>
        <v>Mayor retorno probable: VENTAS (+9,7 puntos finales potenciales).</v>
      </c>
    </row>
    <row r="291" spans="1:48" x14ac:dyDescent="0.3">
      <c r="A291" s="5">
        <v>51030923</v>
      </c>
      <c r="B291" s="5" t="str">
        <f>IFERROR(VLOOKUP(A291,VENTAS!$A$2:$B$1194,2,0),"")</f>
        <v>ROBERTS</v>
      </c>
      <c r="C291" s="5">
        <f>IFERROR(INDEX(VENTAS!$C$2:$E$1194,MATCH(A291,VENTAS!$A$2:$A$1194,0),MATCH(PARAMS_MODELO!$B$2,{"Q1","Q2","Q3"},0)),0)</f>
        <v>96433276.99000001</v>
      </c>
      <c r="D291" s="5">
        <f>IFERROR(INDEX(VENTAS!$F$2:$H$1194,MATCH(A291,VENTAS!$A$2:$A$1194,0),MATCH(PARAMS_MODELO!$B$2,{"Q1","Q2","Q3"},0)),0)</f>
        <v>106665093</v>
      </c>
      <c r="E291" s="8">
        <f t="shared" si="96"/>
        <v>0.10610254394923246</v>
      </c>
      <c r="F291" s="12">
        <f>IF(E291&lt;=PARAMS_MODELO!$B$15,0,IF(E291&gt;=PARAMS_MODELO!$B$17,100,100*MIN(1,(E291-PARAMS_MODELO!$B$15)/(PARAMS_MODELO!$B$16-PARAMS_MODELO!$B$15))))*PARAMS_MODELO!$B$7</f>
        <v>35</v>
      </c>
      <c r="G291" s="5">
        <f t="shared" si="97"/>
        <v>10231816.00999999</v>
      </c>
      <c r="H291" s="5">
        <f>(PARAMS_MODELO!$B$20*(MAX(0,MIN(3,E291))/3)+PARAMS_MODELO!$B$21*(IFERROR(LN(1+MAX(0,G291))/LN(1+MAX(0,MAX($G$2:$G$1194))),0)))*100*PARAMS_MODELO!$B$8</f>
        <v>4.1550376293424698</v>
      </c>
      <c r="I291" s="8">
        <f>E291-PARAMS_MODELO!$B$5</f>
        <v>-7.1460291426294065E-2</v>
      </c>
      <c r="J291" s="5">
        <f>IF(I291&lt;=PARAMS_MODELO!$B$18,0,IF(I291&gt;=PARAMS_MODELO!$B$19,100,100*(I291-PARAMS_MODELO!$B$18)/(PARAMS_MODELO!$B$19-PARAMS_MODELO!$B$18)))*PARAMS_MODELO!$B$9</f>
        <v>0</v>
      </c>
      <c r="K291" s="5">
        <f>IFERROR(CHOOSE(MATCH(PARAMS_MODELO!$B$2,{"Q1","Q2","Q3"},0),LOTO!$D291,LOTO!$F291,LOTO!$H291),0)</f>
        <v>5152500</v>
      </c>
      <c r="L291" s="8">
        <f t="shared" si="98"/>
        <v>4.8305400155606672E-2</v>
      </c>
      <c r="M291" s="5">
        <f>MIN(100,IF(PARAMS_MODELO!$B$23=0,0,100*L291/PARAMS_MODELO!$B$23))*PARAMS_MODELO!$B$10</f>
        <v>14.491620046682</v>
      </c>
      <c r="N291" s="5">
        <f>IFERROR(VLOOKUP(A291,COMPLIANCE!$A$2:$F$1996,6,0),100)</f>
        <v>100</v>
      </c>
      <c r="O291" s="5">
        <f>N291*PARAMS_MODELO!$B$11</f>
        <v>10</v>
      </c>
      <c r="P291" s="5">
        <f>IFERROR(VLOOKUP(A291,DIGITAL!$A$2:$J$2000,7,0),100)</f>
        <v>79</v>
      </c>
      <c r="Q291" s="5">
        <f>IFERROR(P291,0)*PARAMS_MODELO!$B$12</f>
        <v>7.9</v>
      </c>
      <c r="R291">
        <f t="shared" si="99"/>
        <v>71.546657676024481</v>
      </c>
      <c r="S291" s="5" t="str">
        <f>IFERROR(VLOOKUP(A291,CLIENTE!$A$2:$N$2000,13,0),1)</f>
        <v>Bueno</v>
      </c>
      <c r="T291" s="5">
        <f>IFERROR(VLOOKUP(A291,CLIENTE!$A$2:$N$2000,14,0),1)</f>
        <v>1.1000000000000001</v>
      </c>
      <c r="U291" s="5">
        <f t="shared" si="100"/>
        <v>78.701323443626933</v>
      </c>
      <c r="V291" s="5" t="str">
        <f>IF(U291&gt;=MAX(_xlfn.PERCENTILE.INC($U$2:$U$1194,PARAMS_MODELO!$B$50),PARAMS_MODELO!$B$45),"DIAMANTE",IF(U291&gt;=MAX(_xlfn.PERCENTILE.INC($U$2:$U$1194,PARAMS_MODELO!$B$51),PARAMS_MODELO!$B$46),"PLATINO",IF(U291&gt;=MAX(_xlfn.PERCENTILE.INC($U$2:$U$1194,PARAMS_MODELO!$B$52),PARAMS_MODELO!$B$47),"ORO",IF(U291&gt;=MAX(_xlfn.PERCENTILE.INC($U$2:$U$1194,PARAMS_MODELO!$B$53),PARAMS_MODELO!$B$48),"PLATA",IF(U291&gt;=1,"BRONCE","CERRADO")))))</f>
        <v>ORO</v>
      </c>
      <c r="W291" s="5" t="str" cm="1">
        <f t="array" ref="W291">_xlfn.XLOOKUP(1, (HIST_SCORE!$B:$B=PARAMS_MODELO!$B$4) * (HIST_SCORE!$C:$C=A291), HIST_SCORE!$E:$E, "No encontrado")</f>
        <v>ORO</v>
      </c>
      <c r="X291" s="5" t="str">
        <f>_xlfn.LET(_xlpm.act,MATCH(V291,{"DIAMANTE";"PLATINO";"ORO";"PLATA";"BRONCE";"CERRADO"},0),_xlpm.ant,MATCH(W291,{"DIAMANTE";"PLATINO";"ORO";"PLATA";"BRONCE";"CERRADO"},0),IF(_xlpm.act&lt;_xlpm.ant,"Mejora ↑",IF(_xlpm.act&gt;_xlpm.ant,"Baja ↓","Estable →")))</f>
        <v>Estable →</v>
      </c>
      <c r="Y291" s="5">
        <f>IFERROR(U291-SUMIFS(HIST_SCORE!$D:$D,HIST_SCORE!$B:$B,PARAMS_MODELO!$B$4,HIST_SCORE!$C:$C,$A291),"")</f>
        <v>-6.7965664416322795</v>
      </c>
      <c r="Z291" s="5" t="str">
        <f t="shared" si="101"/>
        <v>↓ Baja</v>
      </c>
      <c r="AA291" s="5">
        <f t="shared" si="102"/>
        <v>451</v>
      </c>
      <c r="AB291" s="5">
        <f>IFERROR(SUMIFS(HIST_SCORE!$F:$F,HIST_SCORE!$B:$B,PARAMS_MODELO!$B$4,HIST_SCORE!$C:$C,$A291),"")</f>
        <v>256</v>
      </c>
      <c r="AC291" s="5">
        <f t="shared" si="103"/>
        <v>-195</v>
      </c>
      <c r="AD291" t="str">
        <f t="shared" si="105"/>
        <v>Sostener base y reforzar mix</v>
      </c>
      <c r="AE2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291="CERRADO",1,IF(V291="BRONCE",_xlpm.cPl,IF(V291="PLATA",_xlpm.cO,IF(V291="ORO",_xlpm.cP,IF(V291="PLATINO",_xlpm.cD,999))))))</f>
        <v>86.439123873763251</v>
      </c>
      <c r="AF2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291="CERRADO",0,IF(V291="BRONCE",1,IF(V291="PLATA",_xlpm.cPl,IF(V291="ORO",_xlpm.cO,IF(V291="PLATINO",_xlpm.cP,_xlpm.cD))))))</f>
        <v>63.199193273331495</v>
      </c>
      <c r="AG291">
        <f t="shared" si="106"/>
        <v>7.0343640273966486</v>
      </c>
      <c r="AH291" t="str">
        <f t="shared" si="107"/>
        <v>VENTAS</v>
      </c>
      <c r="AI291" t="str">
        <f t="shared" si="104"/>
        <v>🎯 Para subir de categoría, eje VENTAS / DIFERENCIAL vs LOTBA (J). Acción: metas semanales + activación comercial + seguimiento del asesor. ΔR aprox: 7,0</v>
      </c>
      <c r="AJ291" s="26">
        <f>_xlfn.LET(_xlpm.piso,AF291,_xlpm.corte,AE291,_xlpm.prog,IF(_xlpm.corte&lt;=_xlpm.piso,0,MAX(0,MIN(1,(U291-_xlpm.piso)/(_xlpm.corte-_xlpm.piso)))),_xlpm.orden,{"DIAMANTE";"PLATINO";"ORO";"PLATA";"BRONCE";"CERRADO"},_xlpm.act,IFERROR(MATCH(V291,_xlpm.orden,0),6),_xlpm.ant,IFERROR(MATCH(W291,_xlpm.orden,0),6),_xlpm.ajmov,IF(_xlpm.act&lt;_xlpm.ant,0.08,IF(_xlpm.act&gt;_xlpm.ant,-0.08,0)),_xlpm.ajcli,IF(T291&lt;0.95,-0.06,0),_xlpm.prob,MAX(0,MIN(1,_xlpm.prog+_xlpm.ajmov+_xlpm.ajcli)),IF(OR(V291="DIAMANTE",V291="CERRADO"),0,ROUND(_xlpm.prob,2)))</f>
        <v>0.67</v>
      </c>
      <c r="AK291" t="str">
        <f t="shared" si="108"/>
        <v>Faltan 7,0 puntos base para subir a la siguiente categoría</v>
      </c>
      <c r="AL291" t="str">
        <f t="shared" si="109"/>
        <v>Margen de seguridad: 15,5 puntos</v>
      </c>
      <c r="AM291">
        <f t="shared" si="110"/>
        <v>0.41</v>
      </c>
      <c r="AN291" t="str">
        <f t="shared" si="111"/>
        <v>PRIORIDAD MEDIA – seguimiento del asesor</v>
      </c>
      <c r="AO291">
        <f t="shared" si="112"/>
        <v>28.278284810548424</v>
      </c>
      <c r="AP291">
        <f t="shared" si="113"/>
        <v>0.55921794864980034</v>
      </c>
      <c r="AQ291">
        <f t="shared" si="114"/>
        <v>0</v>
      </c>
      <c r="AR291">
        <f t="shared" si="115"/>
        <v>2.3099999999999996</v>
      </c>
      <c r="AS291">
        <f t="shared" si="116"/>
        <v>0</v>
      </c>
      <c r="AT291" t="str">
        <f t="shared" si="117"/>
        <v>VENTAS</v>
      </c>
      <c r="AU291">
        <f t="shared" si="118"/>
        <v>28.278284810548424</v>
      </c>
      <c r="AV291" t="str">
        <f t="shared" si="119"/>
        <v>Mayor retorno probable: VENTAS (+28,3 puntos finales potenciales).</v>
      </c>
    </row>
    <row r="292" spans="1:48" x14ac:dyDescent="0.3">
      <c r="A292" s="5">
        <v>51043197</v>
      </c>
      <c r="B292" s="5" t="str">
        <f>IFERROR(VLOOKUP(A292,VENTAS!$A$2:$B$1194,2,0),"")</f>
        <v>BELUZZO</v>
      </c>
      <c r="C292" s="5">
        <f>IFERROR(INDEX(VENTAS!$C$2:$E$1194,MATCH(A292,VENTAS!$A$2:$A$1194,0),MATCH(PARAMS_MODELO!$B$2,{"Q1","Q2","Q3"},0)),0)</f>
        <v>91496168.270000011</v>
      </c>
      <c r="D292" s="5">
        <f>IFERROR(INDEX(VENTAS!$F$2:$H$1194,MATCH(A292,VENTAS!$A$2:$A$1194,0),MATCH(PARAMS_MODELO!$B$2,{"Q1","Q2","Q3"},0)),0)</f>
        <v>106516170</v>
      </c>
      <c r="E292" s="8">
        <f t="shared" si="96"/>
        <v>0.16415989886786098</v>
      </c>
      <c r="F292" s="12">
        <f>IF(E292&lt;=PARAMS_MODELO!$B$15,0,IF(E292&gt;=PARAMS_MODELO!$B$17,100,100*MIN(1,(E292-PARAMS_MODELO!$B$15)/(PARAMS_MODELO!$B$16-PARAMS_MODELO!$B$15))))*PARAMS_MODELO!$B$7</f>
        <v>35</v>
      </c>
      <c r="G292" s="5">
        <f t="shared" si="97"/>
        <v>15020001.729999989</v>
      </c>
      <c r="H292" s="5">
        <f>(PARAMS_MODELO!$B$20*(MAX(0,MIN(3,E292))/3)+PARAMS_MODELO!$B$21*(IFERROR(LN(1+MAX(0,G292))/LN(1+MAX(0,MAX($G$2:$G$1194))),0)))*100*PARAMS_MODELO!$B$8</f>
        <v>4.4482253547045181</v>
      </c>
      <c r="I292" s="8">
        <f>E292-PARAMS_MODELO!$B$5</f>
        <v>-1.3402936507665553E-2</v>
      </c>
      <c r="J292" s="5">
        <f>IF(I292&lt;=PARAMS_MODELO!$B$18,0,IF(I292&gt;=PARAMS_MODELO!$B$19,100,100*(I292-PARAMS_MODELO!$B$18)/(PARAMS_MODELO!$B$19-PARAMS_MODELO!$B$18)))*PARAMS_MODELO!$B$9</f>
        <v>5.4895595238501675</v>
      </c>
      <c r="K292" s="5">
        <f>IFERROR(CHOOSE(MATCH(PARAMS_MODELO!$B$2,{"Q1","Q2","Q3"},0),LOTO!$D292,LOTO!$F292,LOTO!$H292),0)</f>
        <v>5147500</v>
      </c>
      <c r="L292" s="8">
        <f t="shared" si="98"/>
        <v>4.8325995949722936E-2</v>
      </c>
      <c r="M292" s="5">
        <f>MIN(100,IF(PARAMS_MODELO!$B$23=0,0,100*L292/PARAMS_MODELO!$B$23))*PARAMS_MODELO!$B$10</f>
        <v>14.497798784916881</v>
      </c>
      <c r="N292" s="5">
        <f>IFERROR(VLOOKUP(A292,COMPLIANCE!$A$2:$F$1996,6,0),100)</f>
        <v>99.85</v>
      </c>
      <c r="O292" s="5">
        <f>N292*PARAMS_MODELO!$B$11</f>
        <v>9.9849999999999994</v>
      </c>
      <c r="P292" s="5">
        <f>IFERROR(VLOOKUP(A292,DIGITAL!$A$2:$J$2000,7,0),100)</f>
        <v>67</v>
      </c>
      <c r="Q292" s="5">
        <f>IFERROR(P292,0)*PARAMS_MODELO!$B$12</f>
        <v>6.7</v>
      </c>
      <c r="R292">
        <f t="shared" si="99"/>
        <v>76.120583663471578</v>
      </c>
      <c r="S292" s="5" t="str">
        <f>IFERROR(VLOOKUP(A292,CLIENTE!$A$2:$N$2000,13,0),1)</f>
        <v>Regular</v>
      </c>
      <c r="T292" s="5">
        <f>IFERROR(VLOOKUP(A292,CLIENTE!$A$2:$N$2000,14,0),1)</f>
        <v>1</v>
      </c>
      <c r="U292" s="5">
        <f t="shared" si="100"/>
        <v>76.120583663471578</v>
      </c>
      <c r="V292" s="5" t="str">
        <f>IF(U292&gt;=MAX(_xlfn.PERCENTILE.INC($U$2:$U$1194,PARAMS_MODELO!$B$50),PARAMS_MODELO!$B$45),"DIAMANTE",IF(U292&gt;=MAX(_xlfn.PERCENTILE.INC($U$2:$U$1194,PARAMS_MODELO!$B$51),PARAMS_MODELO!$B$46),"PLATINO",IF(U292&gt;=MAX(_xlfn.PERCENTILE.INC($U$2:$U$1194,PARAMS_MODELO!$B$52),PARAMS_MODELO!$B$47),"ORO",IF(U292&gt;=MAX(_xlfn.PERCENTILE.INC($U$2:$U$1194,PARAMS_MODELO!$B$53),PARAMS_MODELO!$B$48),"PLATA",IF(U292&gt;=1,"BRONCE","CERRADO")))))</f>
        <v>ORO</v>
      </c>
      <c r="W292" s="5" t="str" cm="1">
        <f t="array" ref="W292">_xlfn.XLOOKUP(1, (HIST_SCORE!$B:$B=PARAMS_MODELO!$B$4) * (HIST_SCORE!$C:$C=A292), HIST_SCORE!$E:$E, "No encontrado")</f>
        <v>ORO</v>
      </c>
      <c r="X292" s="5" t="str">
        <f>_xlfn.LET(_xlpm.act,MATCH(V292,{"DIAMANTE";"PLATINO";"ORO";"PLATA";"BRONCE";"CERRADO"},0),_xlpm.ant,MATCH(W292,{"DIAMANTE";"PLATINO";"ORO";"PLATA";"BRONCE";"CERRADO"},0),IF(_xlpm.act&lt;_xlpm.ant,"Mejora ↑",IF(_xlpm.act&gt;_xlpm.ant,"Baja ↓","Estable →")))</f>
        <v>Estable →</v>
      </c>
      <c r="Y292" s="5">
        <f>IFERROR(U292-SUMIFS(HIST_SCORE!$D:$D,HIST_SCORE!$B:$B,PARAMS_MODELO!$B$4,HIST_SCORE!$C:$C,$A292),"")</f>
        <v>6.9079934393016629</v>
      </c>
      <c r="Z292" s="5" t="str">
        <f t="shared" si="101"/>
        <v>↑ Mejora</v>
      </c>
      <c r="AA292" s="5">
        <f t="shared" si="102"/>
        <v>463</v>
      </c>
      <c r="AB292" s="5">
        <f>IFERROR(SUMIFS(HIST_SCORE!$F:$F,HIST_SCORE!$B:$B,PARAMS_MODELO!$B$4,HIST_SCORE!$C:$C,$A292),"")</f>
        <v>548</v>
      </c>
      <c r="AC292" s="5">
        <f t="shared" si="103"/>
        <v>85</v>
      </c>
      <c r="AD292" t="str">
        <f t="shared" si="105"/>
        <v/>
      </c>
      <c r="AE2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292="CERRADO",1,IF(V292="BRONCE",_xlpm.cPl,IF(V292="PLATA",_xlpm.cO,IF(V292="ORO",_xlpm.cP,IF(V292="PLATINO",_xlpm.cD,999))))))</f>
        <v>86.439123873763251</v>
      </c>
      <c r="AF2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292="CERRADO",0,IF(V292="BRONCE",1,IF(V292="PLATA",_xlpm.cPl,IF(V292="ORO",_xlpm.cO,IF(V292="PLATINO",_xlpm.cP,_xlpm.cD))))))</f>
        <v>63.199193273331495</v>
      </c>
      <c r="AG292">
        <f t="shared" si="106"/>
        <v>10.318540210291673</v>
      </c>
      <c r="AH292" t="str">
        <f t="shared" si="107"/>
        <v>VENTAS</v>
      </c>
      <c r="AI292" t="str">
        <f t="shared" si="104"/>
        <v>🎯 Para subir de categoría, eje VENTAS / IMPACTO ABSOLUTO (H). Acción: metas semanales + activación comercial + seguimiento del asesor. ΔR aprox: 10,3</v>
      </c>
      <c r="AJ292" s="26">
        <f>_xlfn.LET(_xlpm.piso,AF292,_xlpm.corte,AE292,_xlpm.prog,IF(_xlpm.corte&lt;=_xlpm.piso,0,MAX(0,MIN(1,(U292-_xlpm.piso)/(_xlpm.corte-_xlpm.piso)))),_xlpm.orden,{"DIAMANTE";"PLATINO";"ORO";"PLATA";"BRONCE";"CERRADO"},_xlpm.act,IFERROR(MATCH(V292,_xlpm.orden,0),6),_xlpm.ant,IFERROR(MATCH(W292,_xlpm.orden,0),6),_xlpm.ajmov,IF(_xlpm.act&lt;_xlpm.ant,0.08,IF(_xlpm.act&gt;_xlpm.ant,-0.08,0)),_xlpm.ajcli,IF(T292&lt;0.95,-0.06,0),_xlpm.prob,MAX(0,MIN(1,_xlpm.prog+_xlpm.ajmov+_xlpm.ajcli)),IF(OR(V292="DIAMANTE",V292="CERRADO"),0,ROUND(_xlpm.prob,2)))</f>
        <v>0.56000000000000005</v>
      </c>
      <c r="AK292" t="str">
        <f t="shared" si="108"/>
        <v>Faltan 10,3 puntos base para subir a la siguiente categoría</v>
      </c>
      <c r="AL292" t="str">
        <f t="shared" si="109"/>
        <v>Margen de seguridad: 12,9 puntos</v>
      </c>
      <c r="AM292">
        <f t="shared" si="110"/>
        <v>0.57999999999999996</v>
      </c>
      <c r="AN292" t="str">
        <f t="shared" si="111"/>
        <v>PRIORIDAD MEDIA – seguimiento del asesor</v>
      </c>
      <c r="AO292">
        <f t="shared" si="112"/>
        <v>19.924784396740897</v>
      </c>
      <c r="AP292">
        <f t="shared" si="113"/>
        <v>0.50220121508311877</v>
      </c>
      <c r="AQ292">
        <f t="shared" si="114"/>
        <v>1.5000000000000568E-2</v>
      </c>
      <c r="AR292">
        <f t="shared" si="115"/>
        <v>3.3</v>
      </c>
      <c r="AS292">
        <f t="shared" si="116"/>
        <v>0</v>
      </c>
      <c r="AT292" t="str">
        <f t="shared" si="117"/>
        <v>VENTAS</v>
      </c>
      <c r="AU292">
        <f t="shared" si="118"/>
        <v>19.924784396740897</v>
      </c>
      <c r="AV292" t="str">
        <f t="shared" si="119"/>
        <v>Mayor retorno probable: VENTAS (+19,9 puntos finales potenciales).</v>
      </c>
    </row>
    <row r="293" spans="1:48" x14ac:dyDescent="0.3">
      <c r="A293" s="5">
        <v>51022823</v>
      </c>
      <c r="B293" s="5" t="str">
        <f>IFERROR(VLOOKUP(A293,VENTAS!$A$2:$B$1194,2,0),"")</f>
        <v>CICHETTO</v>
      </c>
      <c r="C293" s="5">
        <f>IFERROR(INDEX(VENTAS!$C$2:$E$1194,MATCH(A293,VENTAS!$A$2:$A$1194,0),MATCH(PARAMS_MODELO!$B$2,{"Q1","Q2","Q3"},0)),0)</f>
        <v>103987875.09</v>
      </c>
      <c r="D293" s="5">
        <f>IFERROR(INDEX(VENTAS!$F$2:$H$1194,MATCH(A293,VENTAS!$A$2:$A$1194,0),MATCH(PARAMS_MODELO!$B$2,{"Q1","Q2","Q3"},0)),0)</f>
        <v>106448808</v>
      </c>
      <c r="E293" s="8">
        <f t="shared" si="96"/>
        <v>2.3665575509357106E-2</v>
      </c>
      <c r="F293" s="12">
        <f>IF(E293&lt;=PARAMS_MODELO!$B$15,0,IF(E293&gt;=PARAMS_MODELO!$B$17,100,100*MIN(1,(E293-PARAMS_MODELO!$B$15)/(PARAMS_MODELO!$B$16-PARAMS_MODELO!$B$15))))*PARAMS_MODELO!$B$7</f>
        <v>8.2829514282749859</v>
      </c>
      <c r="G293" s="5">
        <f t="shared" si="97"/>
        <v>2460932.9099999964</v>
      </c>
      <c r="H293" s="5">
        <f>(PARAMS_MODELO!$B$20*(MAX(0,MIN(3,E293))/3)+PARAMS_MODELO!$B$21*(IFERROR(LN(1+MAX(0,G293))/LN(1+MAX(0,MAX($G$2:$G$1194))),0)))*100*PARAMS_MODELO!$B$8</f>
        <v>3.532477426093207</v>
      </c>
      <c r="I293" s="8">
        <f>E293-PARAMS_MODELO!$B$5</f>
        <v>-0.15389725986616942</v>
      </c>
      <c r="J293" s="5">
        <f>IF(I293&lt;=PARAMS_MODELO!$B$18,0,IF(I293&gt;=PARAMS_MODELO!$B$19,100,100*(I293-PARAMS_MODELO!$B$18)/(PARAMS_MODELO!$B$19-PARAMS_MODELO!$B$18)))*PARAMS_MODELO!$B$9</f>
        <v>0</v>
      </c>
      <c r="K293" s="5">
        <f>IFERROR(CHOOSE(MATCH(PARAMS_MODELO!$B$2,{"Q1","Q2","Q3"},0),LOTO!$D293,LOTO!$F293,LOTO!$H293),0)</f>
        <v>5135000.0000000009</v>
      </c>
      <c r="L293" s="8">
        <f t="shared" si="98"/>
        <v>4.8239149845623455E-2</v>
      </c>
      <c r="M293" s="5">
        <f>MIN(100,IF(PARAMS_MODELO!$B$23=0,0,100*L293/PARAMS_MODELO!$B$23))*PARAMS_MODELO!$B$10</f>
        <v>14.471744953687034</v>
      </c>
      <c r="N293" s="5">
        <f>IFERROR(VLOOKUP(A293,COMPLIANCE!$A$2:$F$1996,6,0),100)</f>
        <v>100</v>
      </c>
      <c r="O293" s="5">
        <f>N293*PARAMS_MODELO!$B$11</f>
        <v>10</v>
      </c>
      <c r="P293" s="5">
        <f>IFERROR(VLOOKUP(A293,DIGITAL!$A$2:$J$2000,7,0),100)</f>
        <v>48</v>
      </c>
      <c r="Q293" s="5">
        <f>IFERROR(P293,0)*PARAMS_MODELO!$B$12</f>
        <v>4.8000000000000007</v>
      </c>
      <c r="R293">
        <f t="shared" si="99"/>
        <v>41.087173808055226</v>
      </c>
      <c r="S293" s="5" t="str">
        <f>IFERROR(VLOOKUP(A293,CLIENTE!$A$2:$N$2000,13,0),1)</f>
        <v>Regular</v>
      </c>
      <c r="T293" s="5">
        <f>IFERROR(VLOOKUP(A293,CLIENTE!$A$2:$N$2000,14,0),1)</f>
        <v>1</v>
      </c>
      <c r="U293" s="5">
        <f t="shared" si="100"/>
        <v>41.087173808055226</v>
      </c>
      <c r="V293" s="5" t="str">
        <f>IF(U293&gt;=MAX(_xlfn.PERCENTILE.INC($U$2:$U$1194,PARAMS_MODELO!$B$50),PARAMS_MODELO!$B$45),"DIAMANTE",IF(U293&gt;=MAX(_xlfn.PERCENTILE.INC($U$2:$U$1194,PARAMS_MODELO!$B$51),PARAMS_MODELO!$B$46),"PLATINO",IF(U293&gt;=MAX(_xlfn.PERCENTILE.INC($U$2:$U$1194,PARAMS_MODELO!$B$52),PARAMS_MODELO!$B$47),"ORO",IF(U293&gt;=MAX(_xlfn.PERCENTILE.INC($U$2:$U$1194,PARAMS_MODELO!$B$53),PARAMS_MODELO!$B$48),"PLATA",IF(U293&gt;=1,"BRONCE","CERRADO")))))</f>
        <v>PLATA</v>
      </c>
      <c r="W293" s="5" t="str" cm="1">
        <f t="array" ref="W293">_xlfn.XLOOKUP(1, (HIST_SCORE!$B:$B=PARAMS_MODELO!$B$4) * (HIST_SCORE!$C:$C=A293), HIST_SCORE!$E:$E, "No encontrado")</f>
        <v>PLATA</v>
      </c>
      <c r="X293" s="5" t="str">
        <f>_xlfn.LET(_xlpm.act,MATCH(V293,{"DIAMANTE";"PLATINO";"ORO";"PLATA";"BRONCE";"CERRADO"},0),_xlpm.ant,MATCH(W293,{"DIAMANTE";"PLATINO";"ORO";"PLATA";"BRONCE";"CERRADO"},0),IF(_xlpm.act&lt;_xlpm.ant,"Mejora ↑",IF(_xlpm.act&gt;_xlpm.ant,"Baja ↓","Estable →")))</f>
        <v>Estable →</v>
      </c>
      <c r="Y293" s="5">
        <f>IFERROR(U293-SUMIFS(HIST_SCORE!$D:$D,HIST_SCORE!$B:$B,PARAMS_MODELO!$B$4,HIST_SCORE!$C:$C,$A293),"")</f>
        <v>-11.133362864185486</v>
      </c>
      <c r="Z293" s="5" t="str">
        <f t="shared" si="101"/>
        <v>↓ Baja</v>
      </c>
      <c r="AA293" s="5">
        <f t="shared" si="102"/>
        <v>782</v>
      </c>
      <c r="AB293" s="5">
        <f>IFERROR(SUMIFS(HIST_SCORE!$F:$F,HIST_SCORE!$B:$B,PARAMS_MODELO!$B$4,HIST_SCORE!$C:$C,$A293),"")</f>
        <v>757</v>
      </c>
      <c r="AC293" s="5">
        <f t="shared" si="103"/>
        <v>-25</v>
      </c>
      <c r="AD293" t="str">
        <f t="shared" si="105"/>
        <v/>
      </c>
      <c r="AE2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293="CERRADO",1,IF(V293="BRONCE",_xlpm.cPl,IF(V293="PLATA",_xlpm.cO,IF(V293="ORO",_xlpm.cP,IF(V293="PLATINO",_xlpm.cD,999))))))</f>
        <v>63.199193273331495</v>
      </c>
      <c r="AF2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293="CERRADO",0,IF(V293="BRONCE",1,IF(V293="PLATA",_xlpm.cPl,IF(V293="ORO",_xlpm.cO,IF(V293="PLATINO",_xlpm.cP,_xlpm.cD))))))</f>
        <v>24.506573482968111</v>
      </c>
      <c r="AG293">
        <f t="shared" si="106"/>
        <v>22.112019465276269</v>
      </c>
      <c r="AH293" t="str">
        <f t="shared" si="107"/>
        <v>VENTAS</v>
      </c>
      <c r="AI293" t="str">
        <f t="shared" si="104"/>
        <v>🎯 Para subir de categoría, eje VENTAS / DIFERENCIAL vs LOTBA (J). Acción: metas semanales + activación comercial + seguimiento del asesor. ΔR aprox: 22,1</v>
      </c>
      <c r="AJ293" s="26">
        <f>_xlfn.LET(_xlpm.piso,AF293,_xlpm.corte,AE293,_xlpm.prog,IF(_xlpm.corte&lt;=_xlpm.piso,0,MAX(0,MIN(1,(U293-_xlpm.piso)/(_xlpm.corte-_xlpm.piso)))),_xlpm.orden,{"DIAMANTE";"PLATINO";"ORO";"PLATA";"BRONCE";"CERRADO"},_xlpm.act,IFERROR(MATCH(V293,_xlpm.orden,0),6),_xlpm.ant,IFERROR(MATCH(W293,_xlpm.orden,0),6),_xlpm.ajmov,IF(_xlpm.act&lt;_xlpm.ant,0.08,IF(_xlpm.act&gt;_xlpm.ant,-0.08,0)),_xlpm.ajcli,IF(T293&lt;0.95,-0.06,0),_xlpm.prob,MAX(0,MIN(1,_xlpm.prog+_xlpm.ajmov+_xlpm.ajcli)),IF(OR(V293="DIAMANTE",V293="CERRADO"),0,ROUND(_xlpm.prob,2)))</f>
        <v>0.43</v>
      </c>
      <c r="AK293" t="str">
        <f t="shared" si="108"/>
        <v>Faltan 22,1 puntos base para subir a la siguiente categoría</v>
      </c>
      <c r="AL293" t="str">
        <f t="shared" si="109"/>
        <v>Margen de seguridad: 16,6 puntos</v>
      </c>
      <c r="AM293">
        <f t="shared" si="110"/>
        <v>0.63</v>
      </c>
      <c r="AN293" t="str">
        <f t="shared" si="111"/>
        <v>PRIORIDAD MEDIA – seguimiento del asesor</v>
      </c>
      <c r="AO293">
        <f t="shared" si="112"/>
        <v>53.047140420927391</v>
      </c>
      <c r="AP293">
        <f t="shared" si="113"/>
        <v>0.5282550463129656</v>
      </c>
      <c r="AQ293">
        <f t="shared" si="114"/>
        <v>0</v>
      </c>
      <c r="AR293">
        <f t="shared" si="115"/>
        <v>5.1999999999999993</v>
      </c>
      <c r="AS293">
        <f t="shared" si="116"/>
        <v>0</v>
      </c>
      <c r="AT293" t="str">
        <f t="shared" si="117"/>
        <v>VENTAS</v>
      </c>
      <c r="AU293">
        <f t="shared" si="118"/>
        <v>53.047140420927391</v>
      </c>
      <c r="AV293" t="str">
        <f t="shared" si="119"/>
        <v>Mayor retorno probable: VENTAS (+53,0 puntos finales potenciales).</v>
      </c>
    </row>
    <row r="294" spans="1:48" x14ac:dyDescent="0.3">
      <c r="A294" s="5">
        <v>51056060</v>
      </c>
      <c r="B294" s="5" t="str">
        <f>IFERROR(VLOOKUP(A294,VENTAS!$A$2:$B$1194,2,0),"")</f>
        <v>LÓPEZ</v>
      </c>
      <c r="C294" s="5">
        <f>IFERROR(INDEX(VENTAS!$C$2:$E$1194,MATCH(A294,VENTAS!$A$2:$A$1194,0),MATCH(PARAMS_MODELO!$B$2,{"Q1","Q2","Q3"},0)),0)</f>
        <v>39702135.130000003</v>
      </c>
      <c r="D294" s="5">
        <f>IFERROR(INDEX(VENTAS!$F$2:$H$1194,MATCH(A294,VENTAS!$A$2:$A$1194,0),MATCH(PARAMS_MODELO!$B$2,{"Q1","Q2","Q3"},0)),0)</f>
        <v>106006849</v>
      </c>
      <c r="E294" s="8">
        <f t="shared" si="96"/>
        <v>1.6700541079942668</v>
      </c>
      <c r="F294" s="12">
        <f>IF(E294&lt;=PARAMS_MODELO!$B$15,0,IF(E294&gt;=PARAMS_MODELO!$B$17,100,100*MIN(1,(E294-PARAMS_MODELO!$B$15)/(PARAMS_MODELO!$B$16-PARAMS_MODELO!$B$15))))*PARAMS_MODELO!$B$7</f>
        <v>35</v>
      </c>
      <c r="G294" s="5">
        <f t="shared" si="97"/>
        <v>66304713.869999997</v>
      </c>
      <c r="H294" s="5">
        <f>(PARAMS_MODELO!$B$20*(MAX(0,MIN(3,E294))/3)+PARAMS_MODELO!$B$21*(IFERROR(LN(1+MAX(0,G294))/LN(1+MAX(0,MAX($G$2:$G$1194))),0)))*100*PARAMS_MODELO!$B$8</f>
        <v>10.06693126214366</v>
      </c>
      <c r="I294" s="8">
        <f>E294-PARAMS_MODELO!$B$5</f>
        <v>1.4924912726187403</v>
      </c>
      <c r="J294" s="5">
        <f>IF(I294&lt;=PARAMS_MODELO!$B$18,0,IF(I294&gt;=PARAMS_MODELO!$B$19,100,100*(I294-PARAMS_MODELO!$B$18)/(PARAMS_MODELO!$B$19-PARAMS_MODELO!$B$18)))*PARAMS_MODELO!$B$9</f>
        <v>15</v>
      </c>
      <c r="K294" s="5">
        <f>IFERROR(CHOOSE(MATCH(PARAMS_MODELO!$B$2,{"Q1","Q2","Q3"},0),LOTO!$D294,LOTO!$F294,LOTO!$H294),0)</f>
        <v>5135000.0000000009</v>
      </c>
      <c r="L294" s="8">
        <f t="shared" si="98"/>
        <v>4.8440266345432088E-2</v>
      </c>
      <c r="M294" s="5">
        <f>MIN(100,IF(PARAMS_MODELO!$B$23=0,0,100*L294/PARAMS_MODELO!$B$23))*PARAMS_MODELO!$B$10</f>
        <v>14.532079903629626</v>
      </c>
      <c r="N294" s="5">
        <f>IFERROR(VLOOKUP(A294,COMPLIANCE!$A$2:$F$1996,6,0),100)</f>
        <v>100</v>
      </c>
      <c r="O294" s="5">
        <f>N294*PARAMS_MODELO!$B$11</f>
        <v>10</v>
      </c>
      <c r="P294" s="5">
        <f>IFERROR(VLOOKUP(A294,DIGITAL!$A$2:$J$2000,7,0),100)</f>
        <v>36</v>
      </c>
      <c r="Q294" s="5">
        <f>IFERROR(P294,0)*PARAMS_MODELO!$B$12</f>
        <v>3.6</v>
      </c>
      <c r="R294">
        <f t="shared" si="99"/>
        <v>88.199011165773285</v>
      </c>
      <c r="S294" s="5" t="str">
        <f>IFERROR(VLOOKUP(A294,CLIENTE!$A$2:$N$2000,13,0),1)</f>
        <v>Regular</v>
      </c>
      <c r="T294" s="5">
        <f>IFERROR(VLOOKUP(A294,CLIENTE!$A$2:$N$2000,14,0),1)</f>
        <v>1</v>
      </c>
      <c r="U294" s="5">
        <f t="shared" si="100"/>
        <v>88.199011165773285</v>
      </c>
      <c r="V294" s="5" t="str">
        <f>IF(U294&gt;=MAX(_xlfn.PERCENTILE.INC($U$2:$U$1194,PARAMS_MODELO!$B$50),PARAMS_MODELO!$B$45),"DIAMANTE",IF(U294&gt;=MAX(_xlfn.PERCENTILE.INC($U$2:$U$1194,PARAMS_MODELO!$B$51),PARAMS_MODELO!$B$46),"PLATINO",IF(U294&gt;=MAX(_xlfn.PERCENTILE.INC($U$2:$U$1194,PARAMS_MODELO!$B$52),PARAMS_MODELO!$B$47),"ORO",IF(U294&gt;=MAX(_xlfn.PERCENTILE.INC($U$2:$U$1194,PARAMS_MODELO!$B$53),PARAMS_MODELO!$B$48),"PLATA",IF(U294&gt;=1,"BRONCE","CERRADO")))))</f>
        <v>PLATINO</v>
      </c>
      <c r="W294" s="5" t="str" cm="1">
        <f t="array" ref="W294">_xlfn.XLOOKUP(1, (HIST_SCORE!$B:$B=PARAMS_MODELO!$B$4) * (HIST_SCORE!$C:$C=A294), HIST_SCORE!$E:$E, "No encontrado")</f>
        <v>ORO</v>
      </c>
      <c r="X294" s="5" t="str">
        <f>_xlfn.LET(_xlpm.act,MATCH(V294,{"DIAMANTE";"PLATINO";"ORO";"PLATA";"BRONCE";"CERRADO"},0),_xlpm.ant,MATCH(W294,{"DIAMANTE";"PLATINO";"ORO";"PLATA";"BRONCE";"CERRADO"},0),IF(_xlpm.act&lt;_xlpm.ant,"Mejora ↑",IF(_xlpm.act&gt;_xlpm.ant,"Baja ↓","Estable →")))</f>
        <v>Mejora ↑</v>
      </c>
      <c r="Y294" s="5">
        <f>IFERROR(U294-SUMIFS(HIST_SCORE!$D:$D,HIST_SCORE!$B:$B,PARAMS_MODELO!$B$4,HIST_SCORE!$C:$C,$A294),"")</f>
        <v>3.9221121574563114</v>
      </c>
      <c r="Z294" s="5" t="str">
        <f t="shared" si="101"/>
        <v>→ Estable</v>
      </c>
      <c r="AA294" s="5">
        <f t="shared" si="102"/>
        <v>192</v>
      </c>
      <c r="AB294" s="5">
        <f>IFERROR(SUMIFS(HIST_SCORE!$F:$F,HIST_SCORE!$B:$B,PARAMS_MODELO!$B$4,HIST_SCORE!$C:$C,$A294),"")</f>
        <v>280</v>
      </c>
      <c r="AC294" s="5">
        <f t="shared" si="103"/>
        <v>88</v>
      </c>
      <c r="AD294" t="str">
        <f t="shared" si="105"/>
        <v/>
      </c>
      <c r="AE2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294="CERRADO",1,IF(V294="BRONCE",_xlpm.cPl,IF(V294="PLATA",_xlpm.cO,IF(V294="ORO",_xlpm.cP,IF(V294="PLATINO",_xlpm.cD,999))))))</f>
        <v>96.054919694466676</v>
      </c>
      <c r="AF2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294="CERRADO",0,IF(V294="BRONCE",1,IF(V294="PLATA",_xlpm.cPl,IF(V294="ORO",_xlpm.cO,IF(V294="PLATINO",_xlpm.cP,_xlpm.cD))))))</f>
        <v>86.439123873763251</v>
      </c>
      <c r="AG294">
        <f t="shared" si="106"/>
        <v>7.8559085286933907</v>
      </c>
      <c r="AH294" t="str">
        <f t="shared" si="107"/>
        <v>DIGITAL</v>
      </c>
      <c r="AI294" t="str">
        <f t="shared" si="104"/>
        <v>🎯 Para subir de categoría, eje DIGITAL (Q). Acción: aumentar adopción digital en mostrador + seguimiento semanal. ΔR aprox: 7,9</v>
      </c>
      <c r="AJ294" s="26">
        <f>_xlfn.LET(_xlpm.piso,AF294,_xlpm.corte,AE294,_xlpm.prog,IF(_xlpm.corte&lt;=_xlpm.piso,0,MAX(0,MIN(1,(U294-_xlpm.piso)/(_xlpm.corte-_xlpm.piso)))),_xlpm.orden,{"DIAMANTE";"PLATINO";"ORO";"PLATA";"BRONCE";"CERRADO"},_xlpm.act,IFERROR(MATCH(V294,_xlpm.orden,0),6),_xlpm.ant,IFERROR(MATCH(W294,_xlpm.orden,0),6),_xlpm.ajmov,IF(_xlpm.act&lt;_xlpm.ant,0.08,IF(_xlpm.act&gt;_xlpm.ant,-0.08,0)),_xlpm.ajcli,IF(T294&lt;0.95,-0.06,0),_xlpm.prob,MAX(0,MIN(1,_xlpm.prog+_xlpm.ajmov+_xlpm.ajcli)),IF(OR(V294="DIAMANTE",V294="CERRADO"),0,ROUND(_xlpm.prob,2)))</f>
        <v>0.26</v>
      </c>
      <c r="AK294" t="str">
        <f t="shared" si="108"/>
        <v>Faltan 7,9 puntos base para subir a la siguiente categoría</v>
      </c>
      <c r="AL294" t="str">
        <f t="shared" si="109"/>
        <v>Margen de seguridad: 1,8 puntos</v>
      </c>
      <c r="AM294">
        <f t="shared" si="110"/>
        <v>0.61</v>
      </c>
      <c r="AN294" t="str">
        <f t="shared" si="111"/>
        <v>PRIORIDAD MEDIA – seguimiento del asesor</v>
      </c>
      <c r="AO294">
        <f t="shared" si="112"/>
        <v>4.7956380131519225</v>
      </c>
      <c r="AP294">
        <f t="shared" si="113"/>
        <v>0.46792009637037424</v>
      </c>
      <c r="AQ294">
        <f t="shared" si="114"/>
        <v>0</v>
      </c>
      <c r="AR294">
        <f t="shared" si="115"/>
        <v>6.4</v>
      </c>
      <c r="AS294">
        <f t="shared" si="116"/>
        <v>0</v>
      </c>
      <c r="AT294" t="str">
        <f t="shared" si="117"/>
        <v>DIGITAL</v>
      </c>
      <c r="AU294">
        <f t="shared" si="118"/>
        <v>6.4</v>
      </c>
      <c r="AV294" t="str">
        <f t="shared" si="119"/>
        <v>Mayor retorno probable: DIGITAL (+6,4 puntos finales potenciales).</v>
      </c>
    </row>
    <row r="295" spans="1:48" x14ac:dyDescent="0.3">
      <c r="A295" s="5">
        <v>51024419</v>
      </c>
      <c r="B295" s="5" t="str">
        <f>IFERROR(VLOOKUP(A295,VENTAS!$A$2:$B$1194,2,0),"")</f>
        <v>PUGH</v>
      </c>
      <c r="C295" s="5">
        <f>IFERROR(INDEX(VENTAS!$C$2:$E$1194,MATCH(A295,VENTAS!$A$2:$A$1194,0),MATCH(PARAMS_MODELO!$B$2,{"Q1","Q2","Q3"},0)),0)</f>
        <v>73598308.840000004</v>
      </c>
      <c r="D295" s="5">
        <f>IFERROR(INDEX(VENTAS!$F$2:$H$1194,MATCH(A295,VENTAS!$A$2:$A$1194,0),MATCH(PARAMS_MODELO!$B$2,{"Q1","Q2","Q3"},0)),0)</f>
        <v>105824180</v>
      </c>
      <c r="E295" s="8">
        <f t="shared" si="96"/>
        <v>0.43786157138553072</v>
      </c>
      <c r="F295" s="12">
        <f>IF(E295&lt;=PARAMS_MODELO!$B$15,0,IF(E295&gt;=PARAMS_MODELO!$B$17,100,100*MIN(1,(E295-PARAMS_MODELO!$B$15)/(PARAMS_MODELO!$B$16-PARAMS_MODELO!$B$15))))*PARAMS_MODELO!$B$7</f>
        <v>35</v>
      </c>
      <c r="G295" s="5">
        <f t="shared" si="97"/>
        <v>32225871.159999996</v>
      </c>
      <c r="H295" s="5">
        <f>(PARAMS_MODELO!$B$20*(MAX(0,MIN(3,E295))/3)+PARAMS_MODELO!$B$21*(IFERROR(LN(1+MAX(0,G295))/LN(1+MAX(0,MAX($G$2:$G$1194))),0)))*100*PARAMS_MODELO!$B$8</f>
        <v>5.5851297283450796</v>
      </c>
      <c r="I295" s="8">
        <f>E295-PARAMS_MODELO!$B$5</f>
        <v>0.26029873601000419</v>
      </c>
      <c r="J295" s="5">
        <f>IF(I295&lt;=PARAMS_MODELO!$B$18,0,IF(I295&gt;=PARAMS_MODELO!$B$19,100,100*(I295-PARAMS_MODELO!$B$18)/(PARAMS_MODELO!$B$19-PARAMS_MODELO!$B$18)))*PARAMS_MODELO!$B$9</f>
        <v>15</v>
      </c>
      <c r="K295" s="5">
        <f>IFERROR(CHOOSE(MATCH(PARAMS_MODELO!$B$2,{"Q1","Q2","Q3"},0),LOTO!$D295,LOTO!$F295,LOTO!$H295),0)</f>
        <v>5132500</v>
      </c>
      <c r="L295" s="8">
        <f t="shared" si="98"/>
        <v>4.8500257691578619E-2</v>
      </c>
      <c r="M295" s="5">
        <f>MIN(100,IF(PARAMS_MODELO!$B$23=0,0,100*L295/PARAMS_MODELO!$B$23))*PARAMS_MODELO!$B$10</f>
        <v>14.550077307473583</v>
      </c>
      <c r="N295" s="5">
        <f>IFERROR(VLOOKUP(A295,COMPLIANCE!$A$2:$F$1996,6,0),100)</f>
        <v>99.98</v>
      </c>
      <c r="O295" s="5">
        <f>N295*PARAMS_MODELO!$B$11</f>
        <v>9.9980000000000011</v>
      </c>
      <c r="P295" s="5">
        <f>IFERROR(VLOOKUP(A295,DIGITAL!$A$2:$J$2000,7,0),100)</f>
        <v>84</v>
      </c>
      <c r="Q295" s="5">
        <f>IFERROR(P295,0)*PARAMS_MODELO!$B$12</f>
        <v>8.4</v>
      </c>
      <c r="R295">
        <f t="shared" si="99"/>
        <v>88.533207035818677</v>
      </c>
      <c r="S295" s="5" t="str">
        <f>IFERROR(VLOOKUP(A295,CLIENTE!$A$2:$N$2000,13,0),1)</f>
        <v>Malo</v>
      </c>
      <c r="T295" s="5">
        <f>IFERROR(VLOOKUP(A295,CLIENTE!$A$2:$N$2000,14,0),1)</f>
        <v>0.7</v>
      </c>
      <c r="U295" s="5">
        <f t="shared" si="100"/>
        <v>61.973244925073068</v>
      </c>
      <c r="V295" s="5" t="str">
        <f>IF(U295&gt;=MAX(_xlfn.PERCENTILE.INC($U$2:$U$1194,PARAMS_MODELO!$B$50),PARAMS_MODELO!$B$45),"DIAMANTE",IF(U295&gt;=MAX(_xlfn.PERCENTILE.INC($U$2:$U$1194,PARAMS_MODELO!$B$51),PARAMS_MODELO!$B$46),"PLATINO",IF(U295&gt;=MAX(_xlfn.PERCENTILE.INC($U$2:$U$1194,PARAMS_MODELO!$B$52),PARAMS_MODELO!$B$47),"ORO",IF(U295&gt;=MAX(_xlfn.PERCENTILE.INC($U$2:$U$1194,PARAMS_MODELO!$B$53),PARAMS_MODELO!$B$48),"PLATA",IF(U295&gt;=1,"BRONCE","CERRADO")))))</f>
        <v>PLATA</v>
      </c>
      <c r="W295" s="5" t="str" cm="1">
        <f t="array" ref="W295">_xlfn.XLOOKUP(1, (HIST_SCORE!$B:$B=PARAMS_MODELO!$B$4) * (HIST_SCORE!$C:$C=A295), HIST_SCORE!$E:$E, "No encontrado")</f>
        <v>PLATA</v>
      </c>
      <c r="X295" s="5" t="str">
        <f>_xlfn.LET(_xlpm.act,MATCH(V295,{"DIAMANTE";"PLATINO";"ORO";"PLATA";"BRONCE";"CERRADO"},0),_xlpm.ant,MATCH(W295,{"DIAMANTE";"PLATINO";"ORO";"PLATA";"BRONCE";"CERRADO"},0),IF(_xlpm.act&lt;_xlpm.ant,"Mejora ↑",IF(_xlpm.act&gt;_xlpm.ant,"Baja ↓","Estable →")))</f>
        <v>Estable →</v>
      </c>
      <c r="Y295" s="5">
        <f>IFERROR(U295-SUMIFS(HIST_SCORE!$D:$D,HIST_SCORE!$B:$B,PARAMS_MODELO!$B$4,HIST_SCORE!$C:$C,$A295),"")</f>
        <v>-0.17623254163564184</v>
      </c>
      <c r="Z295" s="5" t="str">
        <f t="shared" si="101"/>
        <v>→ Estable</v>
      </c>
      <c r="AA295" s="5">
        <f t="shared" si="102"/>
        <v>579</v>
      </c>
      <c r="AB295" s="5">
        <f>IFERROR(SUMIFS(HIST_SCORE!$F:$F,HIST_SCORE!$B:$B,PARAMS_MODELO!$B$4,HIST_SCORE!$C:$C,$A295),"")</f>
        <v>609</v>
      </c>
      <c r="AC295" s="5">
        <f t="shared" si="103"/>
        <v>30</v>
      </c>
      <c r="AD295" t="str">
        <f t="shared" si="105"/>
        <v/>
      </c>
      <c r="AE2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295="CERRADO",1,IF(V295="BRONCE",_xlpm.cPl,IF(V295="PLATA",_xlpm.cO,IF(V295="ORO",_xlpm.cP,IF(V295="PLATINO",_xlpm.cD,999))))))</f>
        <v>63.199193273331495</v>
      </c>
      <c r="AF2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295="CERRADO",0,IF(V295="BRONCE",1,IF(V295="PLATA",_xlpm.cPl,IF(V295="ORO",_xlpm.cO,IF(V295="PLATINO",_xlpm.cP,_xlpm.cD))))))</f>
        <v>24.506573482968111</v>
      </c>
      <c r="AG295">
        <f t="shared" si="106"/>
        <v>1.7513547832263185</v>
      </c>
      <c r="AH295" t="str">
        <f t="shared" si="107"/>
        <v>CLIENTE</v>
      </c>
      <c r="AI295" t="str">
        <f t="shared" si="104"/>
        <v>🎯 Para subir de categoría, la eje con mayor impacto probable es CLIENTE (coef T). Acción: reducir quejas, mejorar incógnito y empujar reseñas. ΔR aprox: 1,8</v>
      </c>
      <c r="AJ295" s="26">
        <f>_xlfn.LET(_xlpm.piso,AF295,_xlpm.corte,AE295,_xlpm.prog,IF(_xlpm.corte&lt;=_xlpm.piso,0,MAX(0,MIN(1,(U295-_xlpm.piso)/(_xlpm.corte-_xlpm.piso)))),_xlpm.orden,{"DIAMANTE";"PLATINO";"ORO";"PLATA";"BRONCE";"CERRADO"},_xlpm.act,IFERROR(MATCH(V295,_xlpm.orden,0),6),_xlpm.ant,IFERROR(MATCH(W295,_xlpm.orden,0),6),_xlpm.ajmov,IF(_xlpm.act&lt;_xlpm.ant,0.08,IF(_xlpm.act&gt;_xlpm.ant,-0.08,0)),_xlpm.ajcli,IF(T295&lt;0.95,-0.06,0),_xlpm.prob,MAX(0,MIN(1,_xlpm.prog+_xlpm.ajmov+_xlpm.ajcli)),IF(OR(V295="DIAMANTE",V295="CERRADO"),0,ROUND(_xlpm.prob,2)))</f>
        <v>0.91</v>
      </c>
      <c r="AK295" t="str">
        <f t="shared" si="108"/>
        <v>Faltan 1,8 puntos base para subir a la siguiente categoría</v>
      </c>
      <c r="AL295" t="str">
        <f t="shared" si="109"/>
        <v>Margen de seguridad: 37,5 puntos</v>
      </c>
      <c r="AM295">
        <f t="shared" si="110"/>
        <v>0.31</v>
      </c>
      <c r="AN295" t="str">
        <f t="shared" si="111"/>
        <v>PRIORIDAD BAJA – control normal</v>
      </c>
      <c r="AO295">
        <f t="shared" si="112"/>
        <v>6.4942076828653521</v>
      </c>
      <c r="AP295">
        <f t="shared" si="113"/>
        <v>0.31494588476849222</v>
      </c>
      <c r="AQ295">
        <f t="shared" si="114"/>
        <v>1.3999999999992239E-3</v>
      </c>
      <c r="AR295">
        <f t="shared" si="115"/>
        <v>1.1199999999999997</v>
      </c>
      <c r="AS295">
        <f t="shared" si="116"/>
        <v>26.559962110745609</v>
      </c>
      <c r="AT295" t="str">
        <f t="shared" si="117"/>
        <v>CLIENTE</v>
      </c>
      <c r="AU295">
        <f t="shared" si="118"/>
        <v>26.559962110745609</v>
      </c>
      <c r="AV295" t="str">
        <f t="shared" si="119"/>
        <v>Mayor retorno probable: CLIENTE (+26,6 puntos finales potenciales).</v>
      </c>
    </row>
    <row r="296" spans="1:48" x14ac:dyDescent="0.3">
      <c r="A296" s="5">
        <v>51025326</v>
      </c>
      <c r="B296" s="5" t="str">
        <f>IFERROR(VLOOKUP(A296,VENTAS!$A$2:$B$1194,2,0),"")</f>
        <v>ARGUELLO</v>
      </c>
      <c r="C296" s="5">
        <f>IFERROR(INDEX(VENTAS!$C$2:$E$1194,MATCH(A296,VENTAS!$A$2:$A$1194,0),MATCH(PARAMS_MODELO!$B$2,{"Q1","Q2","Q3"},0)),0)</f>
        <v>79260684.159999996</v>
      </c>
      <c r="D296" s="5">
        <f>IFERROR(INDEX(VENTAS!$F$2:$H$1194,MATCH(A296,VENTAS!$A$2:$A$1194,0),MATCH(PARAMS_MODELO!$B$2,{"Q1","Q2","Q3"},0)),0)</f>
        <v>105585422</v>
      </c>
      <c r="E296" s="8">
        <f t="shared" si="96"/>
        <v>0.3321285719267757</v>
      </c>
      <c r="F296" s="12">
        <f>IF(E296&lt;=PARAMS_MODELO!$B$15,0,IF(E296&gt;=PARAMS_MODELO!$B$17,100,100*MIN(1,(E296-PARAMS_MODELO!$B$15)/(PARAMS_MODELO!$B$16-PARAMS_MODELO!$B$15))))*PARAMS_MODELO!$B$7</f>
        <v>35</v>
      </c>
      <c r="G296" s="5">
        <f t="shared" si="97"/>
        <v>26324737.840000004</v>
      </c>
      <c r="H296" s="5">
        <f>(PARAMS_MODELO!$B$20*(MAX(0,MIN(3,E296))/3)+PARAMS_MODELO!$B$21*(IFERROR(LN(1+MAX(0,G296))/LN(1+MAX(0,MAX($G$2:$G$1194))),0)))*100*PARAMS_MODELO!$B$8</f>
        <v>5.1676515510160028</v>
      </c>
      <c r="I296" s="8">
        <f>E296-PARAMS_MODELO!$B$5</f>
        <v>0.15456573655124917</v>
      </c>
      <c r="J296" s="5">
        <f>IF(I296&lt;=PARAMS_MODELO!$B$18,0,IF(I296&gt;=PARAMS_MODELO!$B$19,100,100*(I296-PARAMS_MODELO!$B$18)/(PARAMS_MODELO!$B$19-PARAMS_MODELO!$B$18)))*PARAMS_MODELO!$B$9</f>
        <v>15</v>
      </c>
      <c r="K296" s="5">
        <f>IFERROR(CHOOSE(MATCH(PARAMS_MODELO!$B$2,{"Q1","Q2","Q3"},0),LOTO!$D296,LOTO!$F296,LOTO!$H296),0)</f>
        <v>5130000</v>
      </c>
      <c r="L296" s="8">
        <f t="shared" si="98"/>
        <v>4.8586252749929816E-2</v>
      </c>
      <c r="M296" s="5">
        <f>MIN(100,IF(PARAMS_MODELO!$B$23=0,0,100*L296/PARAMS_MODELO!$B$23))*PARAMS_MODELO!$B$10</f>
        <v>14.575875824978944</v>
      </c>
      <c r="N296" s="5">
        <f>IFERROR(VLOOKUP(A296,COMPLIANCE!$A$2:$F$1996,6,0),100)</f>
        <v>99.56</v>
      </c>
      <c r="O296" s="5">
        <f>N296*PARAMS_MODELO!$B$11</f>
        <v>9.9560000000000013</v>
      </c>
      <c r="P296" s="5">
        <f>IFERROR(VLOOKUP(A296,DIGITAL!$A$2:$J$2000,7,0),100)</f>
        <v>53</v>
      </c>
      <c r="Q296" s="5">
        <f>IFERROR(P296,0)*PARAMS_MODELO!$B$12</f>
        <v>5.3000000000000007</v>
      </c>
      <c r="R296">
        <f t="shared" si="99"/>
        <v>84.999527375994944</v>
      </c>
      <c r="S296" s="5" t="str">
        <f>IFERROR(VLOOKUP(A296,CLIENTE!$A$2:$N$2000,13,0),1)</f>
        <v>Bueno</v>
      </c>
      <c r="T296" s="5">
        <f>IFERROR(VLOOKUP(A296,CLIENTE!$A$2:$N$2000,14,0),1)</f>
        <v>1.1000000000000001</v>
      </c>
      <c r="U296" s="5">
        <f t="shared" si="100"/>
        <v>93.499480113594444</v>
      </c>
      <c r="V296" s="5" t="str">
        <f>IF(U296&gt;=MAX(_xlfn.PERCENTILE.INC($U$2:$U$1194,PARAMS_MODELO!$B$50),PARAMS_MODELO!$B$45),"DIAMANTE",IF(U296&gt;=MAX(_xlfn.PERCENTILE.INC($U$2:$U$1194,PARAMS_MODELO!$B$51),PARAMS_MODELO!$B$46),"PLATINO",IF(U296&gt;=MAX(_xlfn.PERCENTILE.INC($U$2:$U$1194,PARAMS_MODELO!$B$52),PARAMS_MODELO!$B$47),"ORO",IF(U296&gt;=MAX(_xlfn.PERCENTILE.INC($U$2:$U$1194,PARAMS_MODELO!$B$53),PARAMS_MODELO!$B$48),"PLATA",IF(U296&gt;=1,"BRONCE","CERRADO")))))</f>
        <v>PLATINO</v>
      </c>
      <c r="W296" s="5" t="str" cm="1">
        <f t="array" ref="W296">_xlfn.XLOOKUP(1, (HIST_SCORE!$B:$B=PARAMS_MODELO!$B$4) * (HIST_SCORE!$C:$C=A296), HIST_SCORE!$E:$E, "No encontrado")</f>
        <v>PLATINO</v>
      </c>
      <c r="X296" s="5" t="str">
        <f>_xlfn.LET(_xlpm.act,MATCH(V296,{"DIAMANTE";"PLATINO";"ORO";"PLATA";"BRONCE";"CERRADO"},0),_xlpm.ant,MATCH(W296,{"DIAMANTE";"PLATINO";"ORO";"PLATA";"BRONCE";"CERRADO"},0),IF(_xlpm.act&lt;_xlpm.ant,"Mejora ↑",IF(_xlpm.act&gt;_xlpm.ant,"Baja ↓","Estable →")))</f>
        <v>Estable →</v>
      </c>
      <c r="Y296" s="5">
        <f>IFERROR(U296-SUMIFS(HIST_SCORE!$D:$D,HIST_SCORE!$B:$B,PARAMS_MODELO!$B$4,HIST_SCORE!$C:$C,$A296),"")</f>
        <v>7.2931297183635309</v>
      </c>
      <c r="Z296" s="5" t="str">
        <f t="shared" si="101"/>
        <v>↑ Mejora</v>
      </c>
      <c r="AA296" s="5">
        <f t="shared" si="102"/>
        <v>85</v>
      </c>
      <c r="AB296" s="5">
        <f>IFERROR(SUMIFS(HIST_SCORE!$F:$F,HIST_SCORE!$B:$B,PARAMS_MODELO!$B$4,HIST_SCORE!$C:$C,$A296),"")</f>
        <v>232</v>
      </c>
      <c r="AC296" s="5">
        <f t="shared" si="103"/>
        <v>147</v>
      </c>
      <c r="AD296" t="str">
        <f t="shared" si="105"/>
        <v/>
      </c>
      <c r="AE2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296="CERRADO",1,IF(V296="BRONCE",_xlpm.cPl,IF(V296="PLATA",_xlpm.cO,IF(V296="ORO",_xlpm.cP,IF(V296="PLATINO",_xlpm.cD,999))))))</f>
        <v>96.054919694466676</v>
      </c>
      <c r="AF2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296="CERRADO",0,IF(V296="BRONCE",1,IF(V296="PLATA",_xlpm.cPl,IF(V296="ORO",_xlpm.cO,IF(V296="PLATINO",_xlpm.cP,_xlpm.cD))))))</f>
        <v>86.439123873763251</v>
      </c>
      <c r="AG296">
        <f t="shared" si="106"/>
        <v>2.3231268917020316</v>
      </c>
      <c r="AH296" t="str">
        <f t="shared" si="107"/>
        <v>VENTAS</v>
      </c>
      <c r="AI296" t="str">
        <f t="shared" si="104"/>
        <v>🎯 Para subir de categoría, eje VENTAS / IMPACTO ABSOLUTO (H). Acción: metas semanales + activación comercial + seguimiento del asesor. ΔR aprox: 2,3</v>
      </c>
      <c r="AJ296" s="26">
        <f>_xlfn.LET(_xlpm.piso,AF296,_xlpm.corte,AE296,_xlpm.prog,IF(_xlpm.corte&lt;=_xlpm.piso,0,MAX(0,MIN(1,(U296-_xlpm.piso)/(_xlpm.corte-_xlpm.piso)))),_xlpm.orden,{"DIAMANTE";"PLATINO";"ORO";"PLATA";"BRONCE";"CERRADO"},_xlpm.act,IFERROR(MATCH(V296,_xlpm.orden,0),6),_xlpm.ant,IFERROR(MATCH(W296,_xlpm.orden,0),6),_xlpm.ajmov,IF(_xlpm.act&lt;_xlpm.ant,0.08,IF(_xlpm.act&gt;_xlpm.ant,-0.08,0)),_xlpm.ajcli,IF(T296&lt;0.95,-0.06,0),_xlpm.prob,MAX(0,MIN(1,_xlpm.prog+_xlpm.ajmov+_xlpm.ajcli)),IF(OR(V296="DIAMANTE",V296="CERRADO"),0,ROUND(_xlpm.prob,2)))</f>
        <v>0.73</v>
      </c>
      <c r="AK296" t="str">
        <f t="shared" si="108"/>
        <v>Faltan 2,3 puntos base para subir a la siguiente categoría</v>
      </c>
      <c r="AL296" t="str">
        <f t="shared" si="109"/>
        <v>Margen de seguridad: 7,1 puntos</v>
      </c>
      <c r="AM296">
        <f t="shared" si="110"/>
        <v>0.2</v>
      </c>
      <c r="AN296" t="str">
        <f t="shared" si="111"/>
        <v>PRIORIDAD BAJA – control normal</v>
      </c>
      <c r="AO296">
        <f t="shared" si="112"/>
        <v>10.664409496707544</v>
      </c>
      <c r="AP296">
        <f t="shared" si="113"/>
        <v>0.46653659252316193</v>
      </c>
      <c r="AQ296">
        <f t="shared" si="114"/>
        <v>4.8399999999998583E-2</v>
      </c>
      <c r="AR296">
        <f t="shared" si="115"/>
        <v>5.17</v>
      </c>
      <c r="AS296">
        <f t="shared" si="116"/>
        <v>0</v>
      </c>
      <c r="AT296" t="str">
        <f t="shared" si="117"/>
        <v>VENTAS</v>
      </c>
      <c r="AU296">
        <f t="shared" si="118"/>
        <v>10.664409496707544</v>
      </c>
      <c r="AV296" t="str">
        <f t="shared" si="119"/>
        <v>Mayor retorno probable: VENTAS (+10,7 puntos finales potenciales).</v>
      </c>
    </row>
    <row r="297" spans="1:48" x14ac:dyDescent="0.3">
      <c r="A297" s="5">
        <v>51020014</v>
      </c>
      <c r="B297" s="5" t="str">
        <f>IFERROR(VLOOKUP(A297,VENTAS!$A$2:$B$1194,2,0),"")</f>
        <v>PRADES</v>
      </c>
      <c r="C297" s="5">
        <f>IFERROR(INDEX(VENTAS!$C$2:$E$1194,MATCH(A297,VENTAS!$A$2:$A$1194,0),MATCH(PARAMS_MODELO!$B$2,{"Q1","Q2","Q3"},0)),0)</f>
        <v>70966829.890000001</v>
      </c>
      <c r="D297" s="5">
        <f>IFERROR(INDEX(VENTAS!$F$2:$H$1194,MATCH(A297,VENTAS!$A$2:$A$1194,0),MATCH(PARAMS_MODELO!$B$2,{"Q1","Q2","Q3"},0)),0)</f>
        <v>105493514</v>
      </c>
      <c r="E297" s="8">
        <f t="shared" si="96"/>
        <v>0.48651861952291009</v>
      </c>
      <c r="F297" s="12">
        <f>IF(E297&lt;=PARAMS_MODELO!$B$15,0,IF(E297&gt;=PARAMS_MODELO!$B$17,100,100*MIN(1,(E297-PARAMS_MODELO!$B$15)/(PARAMS_MODELO!$B$16-PARAMS_MODELO!$B$15))))*PARAMS_MODELO!$B$7</f>
        <v>35</v>
      </c>
      <c r="G297" s="5">
        <f t="shared" si="97"/>
        <v>34526684.109999999</v>
      </c>
      <c r="H297" s="5">
        <f>(PARAMS_MODELO!$B$20*(MAX(0,MIN(3,E297))/3)+PARAMS_MODELO!$B$21*(IFERROR(LN(1+MAX(0,G297))/LN(1+MAX(0,MAX($G$2:$G$1194))),0)))*100*PARAMS_MODELO!$B$8</f>
        <v>5.7715952617954898</v>
      </c>
      <c r="I297" s="8">
        <f>E297-PARAMS_MODELO!$B$5</f>
        <v>0.30895578414738356</v>
      </c>
      <c r="J297" s="5">
        <f>IF(I297&lt;=PARAMS_MODELO!$B$18,0,IF(I297&gt;=PARAMS_MODELO!$B$19,100,100*(I297-PARAMS_MODELO!$B$18)/(PARAMS_MODELO!$B$19-PARAMS_MODELO!$B$18)))*PARAMS_MODELO!$B$9</f>
        <v>15</v>
      </c>
      <c r="K297" s="5">
        <f>IFERROR(CHOOSE(MATCH(PARAMS_MODELO!$B$2,{"Q1","Q2","Q3"},0),LOTO!$D297,LOTO!$F297,LOTO!$H297),0)</f>
        <v>5110000</v>
      </c>
      <c r="L297" s="8">
        <f t="shared" si="98"/>
        <v>4.8438996922597538E-2</v>
      </c>
      <c r="M297" s="5">
        <f>MIN(100,IF(PARAMS_MODELO!$B$23=0,0,100*L297/PARAMS_MODELO!$B$23))*PARAMS_MODELO!$B$10</f>
        <v>14.531699076779262</v>
      </c>
      <c r="N297" s="5">
        <f>IFERROR(VLOOKUP(A297,COMPLIANCE!$A$2:$F$1996,6,0),100)</f>
        <v>100</v>
      </c>
      <c r="O297" s="5">
        <f>N297*PARAMS_MODELO!$B$11</f>
        <v>10</v>
      </c>
      <c r="P297" s="5">
        <f>IFERROR(VLOOKUP(A297,DIGITAL!$A$2:$J$2000,7,0),100)</f>
        <v>22</v>
      </c>
      <c r="Q297" s="5">
        <f>IFERROR(P297,0)*PARAMS_MODELO!$B$12</f>
        <v>2.2000000000000002</v>
      </c>
      <c r="R297">
        <f t="shared" si="99"/>
        <v>82.503294338574747</v>
      </c>
      <c r="S297" s="5" t="str">
        <f>IFERROR(VLOOKUP(A297,CLIENTE!$A$2:$N$2000,13,0),1)</f>
        <v>Regular</v>
      </c>
      <c r="T297" s="5">
        <f>IFERROR(VLOOKUP(A297,CLIENTE!$A$2:$N$2000,14,0),1)</f>
        <v>1</v>
      </c>
      <c r="U297" s="5">
        <f t="shared" si="100"/>
        <v>82.503294338574747</v>
      </c>
      <c r="V297" s="5" t="str">
        <f>IF(U297&gt;=MAX(_xlfn.PERCENTILE.INC($U$2:$U$1194,PARAMS_MODELO!$B$50),PARAMS_MODELO!$B$45),"DIAMANTE",IF(U297&gt;=MAX(_xlfn.PERCENTILE.INC($U$2:$U$1194,PARAMS_MODELO!$B$51),PARAMS_MODELO!$B$46),"PLATINO",IF(U297&gt;=MAX(_xlfn.PERCENTILE.INC($U$2:$U$1194,PARAMS_MODELO!$B$52),PARAMS_MODELO!$B$47),"ORO",IF(U297&gt;=MAX(_xlfn.PERCENTILE.INC($U$2:$U$1194,PARAMS_MODELO!$B$53),PARAMS_MODELO!$B$48),"PLATA",IF(U297&gt;=1,"BRONCE","CERRADO")))))</f>
        <v>ORO</v>
      </c>
      <c r="W297" s="5" t="str" cm="1">
        <f t="array" ref="W297">_xlfn.XLOOKUP(1, (HIST_SCORE!$B:$B=PARAMS_MODELO!$B$4) * (HIST_SCORE!$C:$C=A297), HIST_SCORE!$E:$E, "No encontrado")</f>
        <v>ORO</v>
      </c>
      <c r="X297" s="5" t="str">
        <f>_xlfn.LET(_xlpm.act,MATCH(V297,{"DIAMANTE";"PLATINO";"ORO";"PLATA";"BRONCE";"CERRADO"},0),_xlpm.ant,MATCH(W297,{"DIAMANTE";"PLATINO";"ORO";"PLATA";"BRONCE";"CERRADO"},0),IF(_xlpm.act&lt;_xlpm.ant,"Mejora ↑",IF(_xlpm.act&gt;_xlpm.ant,"Baja ↓","Estable →")))</f>
        <v>Estable →</v>
      </c>
      <c r="Y297" s="5">
        <f>IFERROR(U297-SUMIFS(HIST_SCORE!$D:$D,HIST_SCORE!$B:$B,PARAMS_MODELO!$B$4,HIST_SCORE!$C:$C,$A297),"")</f>
        <v>2.3563655844814946</v>
      </c>
      <c r="Z297" s="5" t="str">
        <f t="shared" si="101"/>
        <v>→ Estable</v>
      </c>
      <c r="AA297" s="5">
        <f t="shared" si="102"/>
        <v>373</v>
      </c>
      <c r="AB297" s="5">
        <f>IFERROR(SUMIFS(HIST_SCORE!$F:$F,HIST_SCORE!$B:$B,PARAMS_MODELO!$B$4,HIST_SCORE!$C:$C,$A297),"")</f>
        <v>418</v>
      </c>
      <c r="AC297" s="5">
        <f t="shared" si="103"/>
        <v>45</v>
      </c>
      <c r="AD297" t="str">
        <f t="shared" si="105"/>
        <v/>
      </c>
      <c r="AE2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297="CERRADO",1,IF(V297="BRONCE",_xlpm.cPl,IF(V297="PLATA",_xlpm.cO,IF(V297="ORO",_xlpm.cP,IF(V297="PLATINO",_xlpm.cD,999))))))</f>
        <v>86.439123873763251</v>
      </c>
      <c r="AF2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297="CERRADO",0,IF(V297="BRONCE",1,IF(V297="PLATA",_xlpm.cPl,IF(V297="ORO",_xlpm.cO,IF(V297="PLATINO",_xlpm.cP,_xlpm.cD))))))</f>
        <v>63.199193273331495</v>
      </c>
      <c r="AG297">
        <f t="shared" si="106"/>
        <v>3.9358295351885033</v>
      </c>
      <c r="AH297" t="str">
        <f t="shared" si="107"/>
        <v>VENTAS</v>
      </c>
      <c r="AI297" t="str">
        <f t="shared" si="104"/>
        <v>🎯 Para subir de categoría, eje VENTAS / IMPACTO ABSOLUTO (H). Acción: metas semanales + activación comercial + seguimiento del asesor. ΔR aprox: 3,9</v>
      </c>
      <c r="AJ297" s="26">
        <f>_xlfn.LET(_xlpm.piso,AF297,_xlpm.corte,AE297,_xlpm.prog,IF(_xlpm.corte&lt;=_xlpm.piso,0,MAX(0,MIN(1,(U297-_xlpm.piso)/(_xlpm.corte-_xlpm.piso)))),_xlpm.orden,{"DIAMANTE";"PLATINO";"ORO";"PLATA";"BRONCE";"CERRADO"},_xlpm.act,IFERROR(MATCH(V297,_xlpm.orden,0),6),_xlpm.ant,IFERROR(MATCH(W297,_xlpm.orden,0),6),_xlpm.ajmov,IF(_xlpm.act&lt;_xlpm.ant,0.08,IF(_xlpm.act&gt;_xlpm.ant,-0.08,0)),_xlpm.ajcli,IF(T297&lt;0.95,-0.06,0),_xlpm.prob,MAX(0,MIN(1,_xlpm.prog+_xlpm.ajmov+_xlpm.ajcli)),IF(OR(V297="DIAMANTE",V297="CERRADO"),0,ROUND(_xlpm.prob,2)))</f>
        <v>0.83</v>
      </c>
      <c r="AK297" t="str">
        <f t="shared" si="108"/>
        <v>Faltan 3,9 puntos base para subir a la siguiente categoría</v>
      </c>
      <c r="AL297" t="str">
        <f t="shared" si="109"/>
        <v>Margen de seguridad: 19,3 puntos</v>
      </c>
      <c r="AM297">
        <f t="shared" si="110"/>
        <v>0.23</v>
      </c>
      <c r="AN297" t="str">
        <f t="shared" si="111"/>
        <v>PRIORIDAD BAJA – control normal</v>
      </c>
      <c r="AO297">
        <f t="shared" si="112"/>
        <v>9.0909740135000945</v>
      </c>
      <c r="AP297">
        <f t="shared" si="113"/>
        <v>0.46830092322073824</v>
      </c>
      <c r="AQ297">
        <f t="shared" si="114"/>
        <v>0</v>
      </c>
      <c r="AR297">
        <f t="shared" si="115"/>
        <v>7.8</v>
      </c>
      <c r="AS297">
        <f t="shared" si="116"/>
        <v>0</v>
      </c>
      <c r="AT297" t="str">
        <f t="shared" si="117"/>
        <v>VENTAS</v>
      </c>
      <c r="AU297">
        <f t="shared" si="118"/>
        <v>9.0909740135000945</v>
      </c>
      <c r="AV297" t="str">
        <f t="shared" si="119"/>
        <v>Mayor retorno probable: VENTAS (+9,1 puntos finales potenciales).</v>
      </c>
    </row>
    <row r="298" spans="1:48" x14ac:dyDescent="0.3">
      <c r="A298" s="5">
        <v>51055951</v>
      </c>
      <c r="B298" s="5" t="str">
        <f>IFERROR(VLOOKUP(A298,VENTAS!$A$2:$B$1194,2,0),"")</f>
        <v>PUGH</v>
      </c>
      <c r="C298" s="5">
        <f>IFERROR(INDEX(VENTAS!$C$2:$E$1194,MATCH(A298,VENTAS!$A$2:$A$1194,0),MATCH(PARAMS_MODELO!$B$2,{"Q1","Q2","Q3"},0)),0)</f>
        <v>88110034.040000007</v>
      </c>
      <c r="D298" s="5">
        <f>IFERROR(INDEX(VENTAS!$F$2:$H$1194,MATCH(A298,VENTAS!$A$2:$A$1194,0),MATCH(PARAMS_MODELO!$B$2,{"Q1","Q2","Q3"},0)),0)</f>
        <v>105490467</v>
      </c>
      <c r="E298" s="8">
        <f t="shared" si="96"/>
        <v>0.19725827085834124</v>
      </c>
      <c r="F298" s="12">
        <f>IF(E298&lt;=PARAMS_MODELO!$B$15,0,IF(E298&gt;=PARAMS_MODELO!$B$17,100,100*MIN(1,(E298-PARAMS_MODELO!$B$15)/(PARAMS_MODELO!$B$16-PARAMS_MODELO!$B$15))))*PARAMS_MODELO!$B$7</f>
        <v>35</v>
      </c>
      <c r="G298" s="5">
        <f t="shared" si="97"/>
        <v>17380432.959999993</v>
      </c>
      <c r="H298" s="5">
        <f>(PARAMS_MODELO!$B$20*(MAX(0,MIN(3,E298))/3)+PARAMS_MODELO!$B$21*(IFERROR(LN(1+MAX(0,G298))/LN(1+MAX(0,MAX($G$2:$G$1194))),0)))*100*PARAMS_MODELO!$B$8</f>
        <v>4.5982852482343928</v>
      </c>
      <c r="I298" s="8">
        <f>E298-PARAMS_MODELO!$B$5</f>
        <v>1.9695435482814716E-2</v>
      </c>
      <c r="J298" s="5">
        <f>IF(I298&lt;=PARAMS_MODELO!$B$18,0,IF(I298&gt;=PARAMS_MODELO!$B$19,100,100*(I298-PARAMS_MODELO!$B$18)/(PARAMS_MODELO!$B$19-PARAMS_MODELO!$B$18)))*PARAMS_MODELO!$B$9</f>
        <v>10.454315322422207</v>
      </c>
      <c r="K298" s="5">
        <f>IFERROR(CHOOSE(MATCH(PARAMS_MODELO!$B$2,{"Q1","Q2","Q3"},0),LOTO!$D298,LOTO!$F298,LOTO!$H298),0)</f>
        <v>5107500</v>
      </c>
      <c r="L298" s="8">
        <f t="shared" si="98"/>
        <v>4.8416697216820549E-2</v>
      </c>
      <c r="M298" s="5">
        <f>MIN(100,IF(PARAMS_MODELO!$B$23=0,0,100*L298/PARAMS_MODELO!$B$23))*PARAMS_MODELO!$B$10</f>
        <v>14.525009165046162</v>
      </c>
      <c r="N298" s="5">
        <f>IFERROR(VLOOKUP(A298,COMPLIANCE!$A$2:$F$1996,6,0),100)</f>
        <v>99.7</v>
      </c>
      <c r="O298" s="5">
        <f>N298*PARAMS_MODELO!$B$11</f>
        <v>9.9700000000000006</v>
      </c>
      <c r="P298" s="5">
        <f>IFERROR(VLOOKUP(A298,DIGITAL!$A$2:$J$2000,7,0),100)</f>
        <v>43</v>
      </c>
      <c r="Q298" s="5">
        <f>IFERROR(P298,0)*PARAMS_MODELO!$B$12</f>
        <v>4.3</v>
      </c>
      <c r="R298">
        <f t="shared" si="99"/>
        <v>78.847609735702747</v>
      </c>
      <c r="S298" s="5" t="str">
        <f>IFERROR(VLOOKUP(A298,CLIENTE!$A$2:$N$2000,13,0),1)</f>
        <v>Malo</v>
      </c>
      <c r="T298" s="5">
        <f>IFERROR(VLOOKUP(A298,CLIENTE!$A$2:$N$2000,14,0),1)</f>
        <v>0.7</v>
      </c>
      <c r="U298" s="5">
        <f t="shared" si="100"/>
        <v>55.19332681499192</v>
      </c>
      <c r="V298" s="5" t="str">
        <f>IF(U298&gt;=MAX(_xlfn.PERCENTILE.INC($U$2:$U$1194,PARAMS_MODELO!$B$50),PARAMS_MODELO!$B$45),"DIAMANTE",IF(U298&gt;=MAX(_xlfn.PERCENTILE.INC($U$2:$U$1194,PARAMS_MODELO!$B$51),PARAMS_MODELO!$B$46),"PLATINO",IF(U298&gt;=MAX(_xlfn.PERCENTILE.INC($U$2:$U$1194,PARAMS_MODELO!$B$52),PARAMS_MODELO!$B$47),"ORO",IF(U298&gt;=MAX(_xlfn.PERCENTILE.INC($U$2:$U$1194,PARAMS_MODELO!$B$53),PARAMS_MODELO!$B$48),"PLATA",IF(U298&gt;=1,"BRONCE","CERRADO")))))</f>
        <v>PLATA</v>
      </c>
      <c r="W298" s="5" t="str" cm="1">
        <f t="array" ref="W298">_xlfn.XLOOKUP(1, (HIST_SCORE!$B:$B=PARAMS_MODELO!$B$4) * (HIST_SCORE!$C:$C=A298), HIST_SCORE!$E:$E, "No encontrado")</f>
        <v>PLATA</v>
      </c>
      <c r="X298" s="5" t="str">
        <f>_xlfn.LET(_xlpm.act,MATCH(V298,{"DIAMANTE";"PLATINO";"ORO";"PLATA";"BRONCE";"CERRADO"},0),_xlpm.ant,MATCH(W298,{"DIAMANTE";"PLATINO";"ORO";"PLATA";"BRONCE";"CERRADO"},0),IF(_xlpm.act&lt;_xlpm.ant,"Mejora ↑",IF(_xlpm.act&gt;_xlpm.ant,"Baja ↓","Estable →")))</f>
        <v>Estable →</v>
      </c>
      <c r="Y298" s="5">
        <f>IFERROR(U298-SUMIFS(HIST_SCORE!$D:$D,HIST_SCORE!$B:$B,PARAMS_MODELO!$B$4,HIST_SCORE!$C:$C,$A298),"")</f>
        <v>7.5301088662683924</v>
      </c>
      <c r="Z298" s="5" t="str">
        <f t="shared" si="101"/>
        <v>↑ Mejora</v>
      </c>
      <c r="AA298" s="5">
        <f t="shared" si="102"/>
        <v>714</v>
      </c>
      <c r="AB298" s="5">
        <f>IFERROR(SUMIFS(HIST_SCORE!$F:$F,HIST_SCORE!$B:$B,PARAMS_MODELO!$B$4,HIST_SCORE!$C:$C,$A298),"")</f>
        <v>796</v>
      </c>
      <c r="AC298" s="5">
        <f t="shared" si="103"/>
        <v>82</v>
      </c>
      <c r="AD298" t="str">
        <f t="shared" si="105"/>
        <v/>
      </c>
      <c r="AE2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298="CERRADO",1,IF(V298="BRONCE",_xlpm.cPl,IF(V298="PLATA",_xlpm.cO,IF(V298="ORO",_xlpm.cP,IF(V298="PLATINO",_xlpm.cD,999))))))</f>
        <v>63.199193273331495</v>
      </c>
      <c r="AF2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298="CERRADO",0,IF(V298="BRONCE",1,IF(V298="PLATA",_xlpm.cPl,IF(V298="ORO",_xlpm.cO,IF(V298="PLATINO",_xlpm.cP,_xlpm.cD))))))</f>
        <v>24.506573482968111</v>
      </c>
      <c r="AG298">
        <f t="shared" si="106"/>
        <v>11.436952083342248</v>
      </c>
      <c r="AH298" t="str">
        <f t="shared" si="107"/>
        <v>CLIENTE</v>
      </c>
      <c r="AI298" t="str">
        <f t="shared" si="104"/>
        <v>🎯 Para subir de categoría, la eje con mayor impacto probable es CLIENTE (coef T). Acción: reducir quejas, mejorar incógnito y empujar reseñas. ΔR aprox: 11,4</v>
      </c>
      <c r="AJ298" s="26">
        <f>_xlfn.LET(_xlpm.piso,AF298,_xlpm.corte,AE298,_xlpm.prog,IF(_xlpm.corte&lt;=_xlpm.piso,0,MAX(0,MIN(1,(U298-_xlpm.piso)/(_xlpm.corte-_xlpm.piso)))),_xlpm.orden,{"DIAMANTE";"PLATINO";"ORO";"PLATA";"BRONCE";"CERRADO"},_xlpm.act,IFERROR(MATCH(V298,_xlpm.orden,0),6),_xlpm.ant,IFERROR(MATCH(W298,_xlpm.orden,0),6),_xlpm.ajmov,IF(_xlpm.act&lt;_xlpm.ant,0.08,IF(_xlpm.act&gt;_xlpm.ant,-0.08,0)),_xlpm.ajcli,IF(T298&lt;0.95,-0.06,0),_xlpm.prob,MAX(0,MIN(1,_xlpm.prog+_xlpm.ajmov+_xlpm.ajcli)),IF(OR(V298="DIAMANTE",V298="CERRADO"),0,ROUND(_xlpm.prob,2)))</f>
        <v>0.73</v>
      </c>
      <c r="AK298" t="str">
        <f t="shared" si="108"/>
        <v>Faltan 11,4 puntos base para subir a la siguiente categoría</v>
      </c>
      <c r="AL298" t="str">
        <f t="shared" si="109"/>
        <v>Margen de seguridad: 30,7 puntos</v>
      </c>
      <c r="AM298">
        <f t="shared" si="110"/>
        <v>0.71</v>
      </c>
      <c r="AN298" t="str">
        <f t="shared" si="111"/>
        <v>PRIORIDAD ALTA – requiere intervención inmediata</v>
      </c>
      <c r="AO298">
        <f t="shared" si="112"/>
        <v>10.366978093247292</v>
      </c>
      <c r="AP298">
        <f t="shared" si="113"/>
        <v>0.33249358446768634</v>
      </c>
      <c r="AQ298">
        <f t="shared" si="114"/>
        <v>2.099999999999955E-2</v>
      </c>
      <c r="AR298">
        <f t="shared" si="115"/>
        <v>3.9899999999999998</v>
      </c>
      <c r="AS298">
        <f t="shared" si="116"/>
        <v>23.654282920710827</v>
      </c>
      <c r="AT298" t="str">
        <f t="shared" si="117"/>
        <v>CLIENTE</v>
      </c>
      <c r="AU298">
        <f t="shared" si="118"/>
        <v>23.654282920710827</v>
      </c>
      <c r="AV298" t="str">
        <f t="shared" si="119"/>
        <v>Mayor retorno probable: CLIENTE (+23,7 puntos finales potenciales).</v>
      </c>
    </row>
    <row r="299" spans="1:48" x14ac:dyDescent="0.3">
      <c r="A299" s="5">
        <v>51016882</v>
      </c>
      <c r="B299" s="5" t="str">
        <f>IFERROR(VLOOKUP(A299,VENTAS!$A$2:$B$1194,2,0),"")</f>
        <v>METTLER</v>
      </c>
      <c r="C299" s="5">
        <f>IFERROR(INDEX(VENTAS!$C$2:$E$1194,MATCH(A299,VENTAS!$A$2:$A$1194,0),MATCH(PARAMS_MODELO!$B$2,{"Q1","Q2","Q3"},0)),0)</f>
        <v>33403878.399999999</v>
      </c>
      <c r="D299" s="5">
        <f>IFERROR(INDEX(VENTAS!$F$2:$H$1194,MATCH(A299,VENTAS!$A$2:$A$1194,0),MATCH(PARAMS_MODELO!$B$2,{"Q1","Q2","Q3"},0)),0)</f>
        <v>105038397</v>
      </c>
      <c r="E299" s="8">
        <f t="shared" si="96"/>
        <v>2.1444970473847733</v>
      </c>
      <c r="F299" s="12">
        <f>IF(E299&lt;=PARAMS_MODELO!$B$15,0,IF(E299&gt;=PARAMS_MODELO!$B$17,100,100*MIN(1,(E299-PARAMS_MODELO!$B$15)/(PARAMS_MODELO!$B$16-PARAMS_MODELO!$B$15))))*PARAMS_MODELO!$B$7</f>
        <v>35</v>
      </c>
      <c r="G299" s="5">
        <f t="shared" si="97"/>
        <v>71634518.599999994</v>
      </c>
      <c r="H299" s="5">
        <f>(PARAMS_MODELO!$B$20*(MAX(0,MIN(3,E299))/3)+PARAMS_MODELO!$B$21*(IFERROR(LN(1+MAX(0,G299))/LN(1+MAX(0,MAX($G$2:$G$1194))),0)))*100*PARAMS_MODELO!$B$8</f>
        <v>11.745605515328286</v>
      </c>
      <c r="I299" s="8">
        <f>E299-PARAMS_MODELO!$B$5</f>
        <v>1.9669342120092468</v>
      </c>
      <c r="J299" s="5">
        <f>IF(I299&lt;=PARAMS_MODELO!$B$18,0,IF(I299&gt;=PARAMS_MODELO!$B$19,100,100*(I299-PARAMS_MODELO!$B$18)/(PARAMS_MODELO!$B$19-PARAMS_MODELO!$B$18)))*PARAMS_MODELO!$B$9</f>
        <v>15</v>
      </c>
      <c r="K299" s="5">
        <f>IFERROR(CHOOSE(MATCH(PARAMS_MODELO!$B$2,{"Q1","Q2","Q3"},0),LOTO!$D299,LOTO!$F299,LOTO!$H299),0)</f>
        <v>5095000.0000000009</v>
      </c>
      <c r="L299" s="8">
        <f t="shared" si="98"/>
        <v>4.8506071546388897E-2</v>
      </c>
      <c r="M299" s="5">
        <f>MIN(100,IF(PARAMS_MODELO!$B$23=0,0,100*L299/PARAMS_MODELO!$B$23))*PARAMS_MODELO!$B$10</f>
        <v>14.551821463916665</v>
      </c>
      <c r="N299" s="5">
        <f>IFERROR(VLOOKUP(A299,COMPLIANCE!$A$2:$F$1996,6,0),100)</f>
        <v>100</v>
      </c>
      <c r="O299" s="5">
        <f>N299*PARAMS_MODELO!$B$11</f>
        <v>10</v>
      </c>
      <c r="P299" s="5">
        <f>IFERROR(VLOOKUP(A299,DIGITAL!$A$2:$J$2000,7,0),100)</f>
        <v>92</v>
      </c>
      <c r="Q299" s="5">
        <f>IFERROR(P299,0)*PARAMS_MODELO!$B$12</f>
        <v>9.2000000000000011</v>
      </c>
      <c r="R299">
        <f t="shared" si="99"/>
        <v>95.497426979244949</v>
      </c>
      <c r="S299" s="5" t="str">
        <f>IFERROR(VLOOKUP(A299,CLIENTE!$A$2:$N$2000,13,0),1)</f>
        <v>Malo</v>
      </c>
      <c r="T299" s="5">
        <f>IFERROR(VLOOKUP(A299,CLIENTE!$A$2:$N$2000,14,0),1)</f>
        <v>0.7</v>
      </c>
      <c r="U299" s="5">
        <f t="shared" si="100"/>
        <v>66.848198885471461</v>
      </c>
      <c r="V299" s="5" t="str">
        <f>IF(U299&gt;=MAX(_xlfn.PERCENTILE.INC($U$2:$U$1194,PARAMS_MODELO!$B$50),PARAMS_MODELO!$B$45),"DIAMANTE",IF(U299&gt;=MAX(_xlfn.PERCENTILE.INC($U$2:$U$1194,PARAMS_MODELO!$B$51),PARAMS_MODELO!$B$46),"PLATINO",IF(U299&gt;=MAX(_xlfn.PERCENTILE.INC($U$2:$U$1194,PARAMS_MODELO!$B$52),PARAMS_MODELO!$B$47),"ORO",IF(U299&gt;=MAX(_xlfn.PERCENTILE.INC($U$2:$U$1194,PARAMS_MODELO!$B$53),PARAMS_MODELO!$B$48),"PLATA",IF(U299&gt;=1,"BRONCE","CERRADO")))))</f>
        <v>ORO</v>
      </c>
      <c r="W299" s="5" t="str" cm="1">
        <f t="array" ref="W299">_xlfn.XLOOKUP(1, (HIST_SCORE!$B:$B=PARAMS_MODELO!$B$4) * (HIST_SCORE!$C:$C=A299), HIST_SCORE!$E:$E, "No encontrado")</f>
        <v>ORO</v>
      </c>
      <c r="X299" s="5" t="str">
        <f>_xlfn.LET(_xlpm.act,MATCH(V299,{"DIAMANTE";"PLATINO";"ORO";"PLATA";"BRONCE";"CERRADO"},0),_xlpm.ant,MATCH(W299,{"DIAMANTE";"PLATINO";"ORO";"PLATA";"BRONCE";"CERRADO"},0),IF(_xlpm.act&lt;_xlpm.ant,"Mejora ↑",IF(_xlpm.act&gt;_xlpm.ant,"Baja ↓","Estable →")))</f>
        <v>Estable →</v>
      </c>
      <c r="Y299" s="5">
        <f>IFERROR(U299-SUMIFS(HIST_SCORE!$D:$D,HIST_SCORE!$B:$B,PARAMS_MODELO!$B$4,HIST_SCORE!$C:$C,$A299),"")</f>
        <v>4.1517671718909241</v>
      </c>
      <c r="Z299" s="5" t="str">
        <f t="shared" si="101"/>
        <v>→ Estable</v>
      </c>
      <c r="AA299" s="5">
        <f t="shared" si="102"/>
        <v>538</v>
      </c>
      <c r="AB299" s="5">
        <f>IFERROR(SUMIFS(HIST_SCORE!$F:$F,HIST_SCORE!$B:$B,PARAMS_MODELO!$B$4,HIST_SCORE!$C:$C,$A299),"")</f>
        <v>597</v>
      </c>
      <c r="AC299" s="5">
        <f t="shared" si="103"/>
        <v>59</v>
      </c>
      <c r="AD299" t="str">
        <f t="shared" si="105"/>
        <v/>
      </c>
      <c r="AE2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299="CERRADO",1,IF(V299="BRONCE",_xlpm.cPl,IF(V299="PLATA",_xlpm.cO,IF(V299="ORO",_xlpm.cP,IF(V299="PLATINO",_xlpm.cD,999))))))</f>
        <v>86.439123873763251</v>
      </c>
      <c r="AF2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299="CERRADO",0,IF(V299="BRONCE",1,IF(V299="PLATA",_xlpm.cPl,IF(V299="ORO",_xlpm.cO,IF(V299="PLATINO",_xlpm.cP,_xlpm.cD))))))</f>
        <v>63.199193273331495</v>
      </c>
      <c r="AG299">
        <f t="shared" si="106"/>
        <v>27.987035697559705</v>
      </c>
      <c r="AH299" t="str">
        <f t="shared" si="107"/>
        <v>CLIENTE</v>
      </c>
      <c r="AI299" t="str">
        <f t="shared" si="104"/>
        <v>🎯 Para subir de categoría, la eje con mayor impacto probable es CLIENTE (coef T). Acción: reducir quejas, mejorar incógnito y empujar reseñas. ΔR aprox: 28,0</v>
      </c>
      <c r="AJ299" s="26">
        <f>_xlfn.LET(_xlpm.piso,AF299,_xlpm.corte,AE299,_xlpm.prog,IF(_xlpm.corte&lt;=_xlpm.piso,0,MAX(0,MIN(1,(U299-_xlpm.piso)/(_xlpm.corte-_xlpm.piso)))),_xlpm.orden,{"DIAMANTE";"PLATINO";"ORO";"PLATA";"BRONCE";"CERRADO"},_xlpm.act,IFERROR(MATCH(V299,_xlpm.orden,0),6),_xlpm.ant,IFERROR(MATCH(W299,_xlpm.orden,0),6),_xlpm.ajmov,IF(_xlpm.act&lt;_xlpm.ant,0.08,IF(_xlpm.act&gt;_xlpm.ant,-0.08,0)),_xlpm.ajcli,IF(T299&lt;0.95,-0.06,0),_xlpm.prob,MAX(0,MIN(1,_xlpm.prog+_xlpm.ajmov+_xlpm.ajcli)),IF(OR(V299="DIAMANTE",V299="CERRADO"),0,ROUND(_xlpm.prob,2)))</f>
        <v>0.1</v>
      </c>
      <c r="AK299" t="str">
        <f t="shared" si="108"/>
        <v>Faltan 28,0 puntos base para subir a la siguiente categoría</v>
      </c>
      <c r="AL299" t="str">
        <f t="shared" si="109"/>
        <v>Margen de seguridad: 3,6 puntos</v>
      </c>
      <c r="AM299">
        <f t="shared" si="110"/>
        <v>0.96</v>
      </c>
      <c r="AN299" t="str">
        <f t="shared" si="111"/>
        <v>PRIORIDAD ALTA – requiere intervención inmediata</v>
      </c>
      <c r="AO299">
        <f t="shared" si="112"/>
        <v>2.1818746319771085</v>
      </c>
      <c r="AP299">
        <f t="shared" si="113"/>
        <v>0.3137249752583342</v>
      </c>
      <c r="AQ299">
        <f t="shared" si="114"/>
        <v>0</v>
      </c>
      <c r="AR299">
        <f t="shared" si="115"/>
        <v>0.55999999999999917</v>
      </c>
      <c r="AS299">
        <f t="shared" si="116"/>
        <v>28.649228093773488</v>
      </c>
      <c r="AT299" t="str">
        <f t="shared" si="117"/>
        <v>CLIENTE</v>
      </c>
      <c r="AU299">
        <f t="shared" si="118"/>
        <v>28.649228093773488</v>
      </c>
      <c r="AV299" t="str">
        <f t="shared" si="119"/>
        <v>Mayor retorno probable: CLIENTE (+28,6 puntos finales potenciales).</v>
      </c>
    </row>
    <row r="300" spans="1:48" x14ac:dyDescent="0.3">
      <c r="A300" s="5">
        <v>51043405</v>
      </c>
      <c r="B300" s="5" t="str">
        <f>IFERROR(VLOOKUP(A300,VENTAS!$A$2:$B$1194,2,0),"")</f>
        <v>METTLER</v>
      </c>
      <c r="C300" s="5">
        <f>IFERROR(INDEX(VENTAS!$C$2:$E$1194,MATCH(A300,VENTAS!$A$2:$A$1194,0),MATCH(PARAMS_MODELO!$B$2,{"Q1","Q2","Q3"},0)),0)</f>
        <v>85451340.649999991</v>
      </c>
      <c r="D300" s="5">
        <f>IFERROR(INDEX(VENTAS!$F$2:$H$1194,MATCH(A300,VENTAS!$A$2:$A$1194,0),MATCH(PARAMS_MODELO!$B$2,{"Q1","Q2","Q3"},0)),0)</f>
        <v>104520501</v>
      </c>
      <c r="E300" s="8">
        <f t="shared" si="96"/>
        <v>0.22315811788261297</v>
      </c>
      <c r="F300" s="12">
        <f>IF(E300&lt;=PARAMS_MODELO!$B$15,0,IF(E300&gt;=PARAMS_MODELO!$B$17,100,100*MIN(1,(E300-PARAMS_MODELO!$B$15)/(PARAMS_MODELO!$B$16-PARAMS_MODELO!$B$15))))*PARAMS_MODELO!$B$7</f>
        <v>35</v>
      </c>
      <c r="G300" s="5">
        <f t="shared" si="97"/>
        <v>19069160.350000009</v>
      </c>
      <c r="H300" s="5">
        <f>(PARAMS_MODELO!$B$20*(MAX(0,MIN(3,E300))/3)+PARAMS_MODELO!$B$21*(IFERROR(LN(1+MAX(0,G300))/LN(1+MAX(0,MAX($G$2:$G$1194))),0)))*100*PARAMS_MODELO!$B$8</f>
        <v>4.7106712988394088</v>
      </c>
      <c r="I300" s="8">
        <f>E300-PARAMS_MODELO!$B$5</f>
        <v>4.5595282507086443E-2</v>
      </c>
      <c r="J300" s="5">
        <f>IF(I300&lt;=PARAMS_MODELO!$B$18,0,IF(I300&gt;=PARAMS_MODELO!$B$19,100,100*(I300-PARAMS_MODELO!$B$18)/(PARAMS_MODELO!$B$19-PARAMS_MODELO!$B$18)))*PARAMS_MODELO!$B$9</f>
        <v>14.339292376062968</v>
      </c>
      <c r="K300" s="5">
        <f>IFERROR(CHOOSE(MATCH(PARAMS_MODELO!$B$2,{"Q1","Q2","Q3"},0),LOTO!$D300,LOTO!$F300,LOTO!$H300),0)</f>
        <v>5087500</v>
      </c>
      <c r="L300" s="8">
        <f t="shared" si="98"/>
        <v>4.8674661442734572E-2</v>
      </c>
      <c r="M300" s="5">
        <f>MIN(100,IF(PARAMS_MODELO!$B$23=0,0,100*L300/PARAMS_MODELO!$B$23))*PARAMS_MODELO!$B$10</f>
        <v>14.602398432820372</v>
      </c>
      <c r="N300" s="5">
        <f>IFERROR(VLOOKUP(A300,COMPLIANCE!$A$2:$F$1996,6,0),100)</f>
        <v>100</v>
      </c>
      <c r="O300" s="5">
        <f>N300*PARAMS_MODELO!$B$11</f>
        <v>10</v>
      </c>
      <c r="P300" s="5">
        <f>IFERROR(VLOOKUP(A300,DIGITAL!$A$2:$J$2000,7,0),100)</f>
        <v>14</v>
      </c>
      <c r="Q300" s="5">
        <f>IFERROR(P300,0)*PARAMS_MODELO!$B$12</f>
        <v>1.4000000000000001</v>
      </c>
      <c r="R300">
        <f t="shared" si="99"/>
        <v>80.052362107722757</v>
      </c>
      <c r="S300" s="5" t="str">
        <f>IFERROR(VLOOKUP(A300,CLIENTE!$A$2:$N$2000,13,0),1)</f>
        <v>Bueno</v>
      </c>
      <c r="T300" s="5">
        <f>IFERROR(VLOOKUP(A300,CLIENTE!$A$2:$N$2000,14,0),1)</f>
        <v>1.1000000000000001</v>
      </c>
      <c r="U300" s="5">
        <f t="shared" si="100"/>
        <v>88.057598318495039</v>
      </c>
      <c r="V300" s="5" t="str">
        <f>IF(U300&gt;=MAX(_xlfn.PERCENTILE.INC($U$2:$U$1194,PARAMS_MODELO!$B$50),PARAMS_MODELO!$B$45),"DIAMANTE",IF(U300&gt;=MAX(_xlfn.PERCENTILE.INC($U$2:$U$1194,PARAMS_MODELO!$B$51),PARAMS_MODELO!$B$46),"PLATINO",IF(U300&gt;=MAX(_xlfn.PERCENTILE.INC($U$2:$U$1194,PARAMS_MODELO!$B$52),PARAMS_MODELO!$B$47),"ORO",IF(U300&gt;=MAX(_xlfn.PERCENTILE.INC($U$2:$U$1194,PARAMS_MODELO!$B$53),PARAMS_MODELO!$B$48),"PLATA",IF(U300&gt;=1,"BRONCE","CERRADO")))))</f>
        <v>PLATINO</v>
      </c>
      <c r="W300" s="5" t="str" cm="1">
        <f t="array" ref="W300">_xlfn.XLOOKUP(1, (HIST_SCORE!$B:$B=PARAMS_MODELO!$B$4) * (HIST_SCORE!$C:$C=A300), HIST_SCORE!$E:$E, "No encontrado")</f>
        <v>ORO</v>
      </c>
      <c r="X300" s="5" t="str">
        <f>_xlfn.LET(_xlpm.act,MATCH(V300,{"DIAMANTE";"PLATINO";"ORO";"PLATA";"BRONCE";"CERRADO"},0),_xlpm.ant,MATCH(W300,{"DIAMANTE";"PLATINO";"ORO";"PLATA";"BRONCE";"CERRADO"},0),IF(_xlpm.act&lt;_xlpm.ant,"Mejora ↑",IF(_xlpm.act&gt;_xlpm.ant,"Baja ↓","Estable →")))</f>
        <v>Mejora ↑</v>
      </c>
      <c r="Y300" s="5">
        <f>IFERROR(U300-SUMIFS(HIST_SCORE!$D:$D,HIST_SCORE!$B:$B,PARAMS_MODELO!$B$4,HIST_SCORE!$C:$C,$A300),"")</f>
        <v>2.3307845777206353</v>
      </c>
      <c r="Z300" s="5" t="str">
        <f t="shared" si="101"/>
        <v>→ Estable</v>
      </c>
      <c r="AA300" s="5">
        <f t="shared" si="102"/>
        <v>196</v>
      </c>
      <c r="AB300" s="5">
        <f>IFERROR(SUMIFS(HIST_SCORE!$F:$F,HIST_SCORE!$B:$B,PARAMS_MODELO!$B$4,HIST_SCORE!$C:$C,$A300),"")</f>
        <v>247</v>
      </c>
      <c r="AC300" s="5">
        <f t="shared" si="103"/>
        <v>51</v>
      </c>
      <c r="AD300" t="str">
        <f t="shared" si="105"/>
        <v/>
      </c>
      <c r="AE3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300="CERRADO",1,IF(V300="BRONCE",_xlpm.cPl,IF(V300="PLATA",_xlpm.cO,IF(V300="ORO",_xlpm.cP,IF(V300="PLATINO",_xlpm.cD,999))))))</f>
        <v>96.054919694466676</v>
      </c>
      <c r="AF3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300="CERRADO",0,IF(V300="BRONCE",1,IF(V300="PLATA",_xlpm.cPl,IF(V300="ORO",_xlpm.cO,IF(V300="PLATINO",_xlpm.cP,_xlpm.cD))))))</f>
        <v>86.439123873763251</v>
      </c>
      <c r="AG300">
        <f t="shared" si="106"/>
        <v>7.2702921599742183</v>
      </c>
      <c r="AH300" t="str">
        <f t="shared" si="107"/>
        <v>VENTAS</v>
      </c>
      <c r="AI300" t="str">
        <f t="shared" si="104"/>
        <v>🎯 Para subir de categoría, eje VENTAS / IMPACTO ABSOLUTO (H). Acción: metas semanales + activación comercial + seguimiento del asesor. ΔR aprox: 7,3</v>
      </c>
      <c r="AJ300" s="26">
        <f>_xlfn.LET(_xlpm.piso,AF300,_xlpm.corte,AE300,_xlpm.prog,IF(_xlpm.corte&lt;=_xlpm.piso,0,MAX(0,MIN(1,(U300-_xlpm.piso)/(_xlpm.corte-_xlpm.piso)))),_xlpm.orden,{"DIAMANTE";"PLATINO";"ORO";"PLATA";"BRONCE";"CERRADO"},_xlpm.act,IFERROR(MATCH(V300,_xlpm.orden,0),6),_xlpm.ant,IFERROR(MATCH(W300,_xlpm.orden,0),6),_xlpm.ajmov,IF(_xlpm.act&lt;_xlpm.ant,0.08,IF(_xlpm.act&gt;_xlpm.ant,-0.08,0)),_xlpm.ajcli,IF(T300&lt;0.95,-0.06,0),_xlpm.prob,MAX(0,MIN(1,_xlpm.prog+_xlpm.ajmov+_xlpm.ajcli)),IF(OR(V300="DIAMANTE",V300="CERRADO"),0,ROUND(_xlpm.prob,2)))</f>
        <v>0.25</v>
      </c>
      <c r="AK300" t="str">
        <f t="shared" si="108"/>
        <v>Faltan 7,3 puntos base para subir a la siguiente categoría</v>
      </c>
      <c r="AL300" t="str">
        <f t="shared" si="109"/>
        <v>Margen de seguridad: 1,6 puntos</v>
      </c>
      <c r="AM300">
        <f t="shared" si="110"/>
        <v>0.59</v>
      </c>
      <c r="AN300" t="str">
        <f t="shared" si="111"/>
        <v>PRIORIDAD MEDIA – seguimiento del asesor</v>
      </c>
      <c r="AO300">
        <f t="shared" si="112"/>
        <v>11.893866160432534</v>
      </c>
      <c r="AP300">
        <f t="shared" si="113"/>
        <v>0.43736172389759037</v>
      </c>
      <c r="AQ300">
        <f t="shared" si="114"/>
        <v>0</v>
      </c>
      <c r="AR300">
        <f t="shared" si="115"/>
        <v>9.4600000000000009</v>
      </c>
      <c r="AS300">
        <f t="shared" si="116"/>
        <v>0</v>
      </c>
      <c r="AT300" t="str">
        <f t="shared" si="117"/>
        <v>VENTAS</v>
      </c>
      <c r="AU300">
        <f t="shared" si="118"/>
        <v>11.893866160432534</v>
      </c>
      <c r="AV300" t="str">
        <f t="shared" si="119"/>
        <v>Mayor retorno probable: VENTAS (+11,9 puntos finales potenciales).</v>
      </c>
    </row>
    <row r="301" spans="1:48" x14ac:dyDescent="0.3">
      <c r="A301" s="5">
        <v>51008987</v>
      </c>
      <c r="B301" s="5" t="str">
        <f>IFERROR(VLOOKUP(A301,VENTAS!$A$2:$B$1194,2,0),"")</f>
        <v>ROBERTS</v>
      </c>
      <c r="C301" s="5">
        <f>IFERROR(INDEX(VENTAS!$C$2:$E$1194,MATCH(A301,VENTAS!$A$2:$A$1194,0),MATCH(PARAMS_MODELO!$B$2,{"Q1","Q2","Q3"},0)),0)</f>
        <v>62845348.560000002</v>
      </c>
      <c r="D301" s="5">
        <f>IFERROR(INDEX(VENTAS!$F$2:$H$1194,MATCH(A301,VENTAS!$A$2:$A$1194,0),MATCH(PARAMS_MODELO!$B$2,{"Q1","Q2","Q3"},0)),0)</f>
        <v>104056835</v>
      </c>
      <c r="E301" s="8">
        <f t="shared" si="96"/>
        <v>0.65576032887548363</v>
      </c>
      <c r="F301" s="12">
        <f>IF(E301&lt;=PARAMS_MODELO!$B$15,0,IF(E301&gt;=PARAMS_MODELO!$B$17,100,100*MIN(1,(E301-PARAMS_MODELO!$B$15)/(PARAMS_MODELO!$B$16-PARAMS_MODELO!$B$15))))*PARAMS_MODELO!$B$7</f>
        <v>35</v>
      </c>
      <c r="G301" s="5">
        <f t="shared" si="97"/>
        <v>41211486.439999998</v>
      </c>
      <c r="H301" s="5">
        <f>(PARAMS_MODELO!$B$20*(MAX(0,MIN(3,E301))/3)+PARAMS_MODELO!$B$21*(IFERROR(LN(1+MAX(0,G301))/LN(1+MAX(0,MAX($G$2:$G$1194))),0)))*100*PARAMS_MODELO!$B$8</f>
        <v>6.4054288897385447</v>
      </c>
      <c r="I301" s="8">
        <f>E301-PARAMS_MODELO!$B$5</f>
        <v>0.4781974934999571</v>
      </c>
      <c r="J301" s="5">
        <f>IF(I301&lt;=PARAMS_MODELO!$B$18,0,IF(I301&gt;=PARAMS_MODELO!$B$19,100,100*(I301-PARAMS_MODELO!$B$18)/(PARAMS_MODELO!$B$19-PARAMS_MODELO!$B$18)))*PARAMS_MODELO!$B$9</f>
        <v>15</v>
      </c>
      <c r="K301" s="5">
        <f>IFERROR(CHOOSE(MATCH(PARAMS_MODELO!$B$2,{"Q1","Q2","Q3"},0),LOTO!$D301,LOTO!$F301,LOTO!$H301),0)</f>
        <v>5087500</v>
      </c>
      <c r="L301" s="8">
        <f t="shared" si="98"/>
        <v>4.8891550468549233E-2</v>
      </c>
      <c r="M301" s="5">
        <f>MIN(100,IF(PARAMS_MODELO!$B$23=0,0,100*L301/PARAMS_MODELO!$B$23))*PARAMS_MODELO!$B$10</f>
        <v>14.667465140564767</v>
      </c>
      <c r="N301" s="5">
        <f>IFERROR(VLOOKUP(A301,COMPLIANCE!$A$2:$F$1996,6,0),100)</f>
        <v>100</v>
      </c>
      <c r="O301" s="5">
        <f>N301*PARAMS_MODELO!$B$11</f>
        <v>10</v>
      </c>
      <c r="P301" s="5">
        <f>IFERROR(VLOOKUP(A301,DIGITAL!$A$2:$J$2000,7,0),100)</f>
        <v>56</v>
      </c>
      <c r="Q301" s="5">
        <f>IFERROR(P301,0)*PARAMS_MODELO!$B$12</f>
        <v>5.6000000000000005</v>
      </c>
      <c r="R301">
        <f t="shared" si="99"/>
        <v>86.672894030303311</v>
      </c>
      <c r="S301" s="5" t="str">
        <f>IFERROR(VLOOKUP(A301,CLIENTE!$A$2:$N$2000,13,0),1)</f>
        <v>Regular</v>
      </c>
      <c r="T301" s="5">
        <f>IFERROR(VLOOKUP(A301,CLIENTE!$A$2:$N$2000,14,0),1)</f>
        <v>1</v>
      </c>
      <c r="U301" s="5">
        <f t="shared" si="100"/>
        <v>86.672894030303311</v>
      </c>
      <c r="V301" s="5" t="str">
        <f>IF(U301&gt;=MAX(_xlfn.PERCENTILE.INC($U$2:$U$1194,PARAMS_MODELO!$B$50),PARAMS_MODELO!$B$45),"DIAMANTE",IF(U301&gt;=MAX(_xlfn.PERCENTILE.INC($U$2:$U$1194,PARAMS_MODELO!$B$51),PARAMS_MODELO!$B$46),"PLATINO",IF(U301&gt;=MAX(_xlfn.PERCENTILE.INC($U$2:$U$1194,PARAMS_MODELO!$B$52),PARAMS_MODELO!$B$47),"ORO",IF(U301&gt;=MAX(_xlfn.PERCENTILE.INC($U$2:$U$1194,PARAMS_MODELO!$B$53),PARAMS_MODELO!$B$48),"PLATA",IF(U301&gt;=1,"BRONCE","CERRADO")))))</f>
        <v>PLATINO</v>
      </c>
      <c r="W301" s="5" t="str" cm="1">
        <f t="array" ref="W301">_xlfn.XLOOKUP(1, (HIST_SCORE!$B:$B=PARAMS_MODELO!$B$4) * (HIST_SCORE!$C:$C=A301), HIST_SCORE!$E:$E, "No encontrado")</f>
        <v>PLATINO</v>
      </c>
      <c r="X301" s="5" t="str">
        <f>_xlfn.LET(_xlpm.act,MATCH(V301,{"DIAMANTE";"PLATINO";"ORO";"PLATA";"BRONCE";"CERRADO"},0),_xlpm.ant,MATCH(W301,{"DIAMANTE";"PLATINO";"ORO";"PLATA";"BRONCE";"CERRADO"},0),IF(_xlpm.act&lt;_xlpm.ant,"Mejora ↑",IF(_xlpm.act&gt;_xlpm.ant,"Baja ↓","Estable →")))</f>
        <v>Estable →</v>
      </c>
      <c r="Y301" s="5">
        <f>IFERROR(U301-SUMIFS(HIST_SCORE!$D:$D,HIST_SCORE!$B:$B,PARAMS_MODELO!$B$4,HIST_SCORE!$C:$C,$A301),"")</f>
        <v>0.22826798730575604</v>
      </c>
      <c r="Z301" s="5" t="str">
        <f t="shared" si="101"/>
        <v>→ Estable</v>
      </c>
      <c r="AA301" s="5">
        <f t="shared" si="102"/>
        <v>234</v>
      </c>
      <c r="AB301" s="5">
        <f>IFERROR(SUMIFS(HIST_SCORE!$F:$F,HIST_SCORE!$B:$B,PARAMS_MODELO!$B$4,HIST_SCORE!$C:$C,$A301),"")</f>
        <v>218</v>
      </c>
      <c r="AC301" s="5">
        <f t="shared" si="103"/>
        <v>-16</v>
      </c>
      <c r="AD301" t="str">
        <f t="shared" si="105"/>
        <v/>
      </c>
      <c r="AE3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301="CERRADO",1,IF(V301="BRONCE",_xlpm.cPl,IF(V301="PLATA",_xlpm.cO,IF(V301="ORO",_xlpm.cP,IF(V301="PLATINO",_xlpm.cD,999))))))</f>
        <v>96.054919694466676</v>
      </c>
      <c r="AF3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301="CERRADO",0,IF(V301="BRONCE",1,IF(V301="PLATA",_xlpm.cPl,IF(V301="ORO",_xlpm.cO,IF(V301="PLATINO",_xlpm.cP,_xlpm.cD))))))</f>
        <v>86.439123873763251</v>
      </c>
      <c r="AG301">
        <f t="shared" si="106"/>
        <v>9.3820256641633648</v>
      </c>
      <c r="AH301" t="str">
        <f t="shared" si="107"/>
        <v>VENTAS</v>
      </c>
      <c r="AI301" t="str">
        <f t="shared" si="104"/>
        <v>🎯 Para subir de categoría, eje VENTAS / IMPACTO ABSOLUTO (H). Acción: metas semanales + activación comercial + seguimiento del asesor. ΔR aprox: 9,4</v>
      </c>
      <c r="AJ301" s="26">
        <f>_xlfn.LET(_xlpm.piso,AF301,_xlpm.corte,AE301,_xlpm.prog,IF(_xlpm.corte&lt;=_xlpm.piso,0,MAX(0,MIN(1,(U301-_xlpm.piso)/(_xlpm.corte-_xlpm.piso)))),_xlpm.orden,{"DIAMANTE";"PLATINO";"ORO";"PLATA";"BRONCE";"CERRADO"},_xlpm.act,IFERROR(MATCH(V301,_xlpm.orden,0),6),_xlpm.ant,IFERROR(MATCH(W301,_xlpm.orden,0),6),_xlpm.ajmov,IF(_xlpm.act&lt;_xlpm.ant,0.08,IF(_xlpm.act&gt;_xlpm.ant,-0.08,0)),_xlpm.ajcli,IF(T301&lt;0.95,-0.06,0),_xlpm.prob,MAX(0,MIN(1,_xlpm.prog+_xlpm.ajmov+_xlpm.ajcli)),IF(OR(V301="DIAMANTE",V301="CERRADO"),0,ROUND(_xlpm.prob,2)))</f>
        <v>0.02</v>
      </c>
      <c r="AK301" t="str">
        <f t="shared" si="108"/>
        <v>Faltan 9,4 puntos base para subir a la siguiente categoría</v>
      </c>
      <c r="AL301" t="str">
        <f t="shared" si="109"/>
        <v>Margen de seguridad: 0,2 puntos</v>
      </c>
      <c r="AM301">
        <f t="shared" si="110"/>
        <v>0.77</v>
      </c>
      <c r="AN301" t="str">
        <f t="shared" si="111"/>
        <v>PRIORIDAD ALTA – requiere intervención inmediata</v>
      </c>
      <c r="AO301">
        <f t="shared" si="112"/>
        <v>8.4571403855570395</v>
      </c>
      <c r="AP301">
        <f t="shared" si="113"/>
        <v>0.33253485943523309</v>
      </c>
      <c r="AQ301">
        <f t="shared" si="114"/>
        <v>0</v>
      </c>
      <c r="AR301">
        <f t="shared" si="115"/>
        <v>4.3999999999999995</v>
      </c>
      <c r="AS301">
        <f t="shared" si="116"/>
        <v>0</v>
      </c>
      <c r="AT301" t="str">
        <f t="shared" si="117"/>
        <v>VENTAS</v>
      </c>
      <c r="AU301">
        <f t="shared" si="118"/>
        <v>8.4571403855570395</v>
      </c>
      <c r="AV301" t="str">
        <f t="shared" si="119"/>
        <v>Mayor retorno probable: VENTAS (+8,5 puntos finales potenciales).</v>
      </c>
    </row>
    <row r="302" spans="1:48" x14ac:dyDescent="0.3">
      <c r="A302" s="5">
        <v>51021088</v>
      </c>
      <c r="B302" s="5" t="str">
        <f>IFERROR(VLOOKUP(A302,VENTAS!$A$2:$B$1194,2,0),"")</f>
        <v>PRADES</v>
      </c>
      <c r="C302" s="5">
        <f>IFERROR(INDEX(VENTAS!$C$2:$E$1194,MATCH(A302,VENTAS!$A$2:$A$1194,0),MATCH(PARAMS_MODELO!$B$2,{"Q1","Q2","Q3"},0)),0)</f>
        <v>71546333.669999987</v>
      </c>
      <c r="D302" s="5">
        <f>IFERROR(INDEX(VENTAS!$F$2:$H$1194,MATCH(A302,VENTAS!$A$2:$A$1194,0),MATCH(PARAMS_MODELO!$B$2,{"Q1","Q2","Q3"},0)),0)</f>
        <v>104006756</v>
      </c>
      <c r="E302" s="8">
        <f t="shared" si="96"/>
        <v>0.45369791385426295</v>
      </c>
      <c r="F302" s="12">
        <f>IF(E302&lt;=PARAMS_MODELO!$B$15,0,IF(E302&gt;=PARAMS_MODELO!$B$17,100,100*MIN(1,(E302-PARAMS_MODELO!$B$15)/(PARAMS_MODELO!$B$16-PARAMS_MODELO!$B$15))))*PARAMS_MODELO!$B$7</f>
        <v>35</v>
      </c>
      <c r="G302" s="5">
        <f t="shared" si="97"/>
        <v>32460422.330000013</v>
      </c>
      <c r="H302" s="5">
        <f>(PARAMS_MODELO!$B$20*(MAX(0,MIN(3,E302))/3)+PARAMS_MODELO!$B$21*(IFERROR(LN(1+MAX(0,G302))/LN(1+MAX(0,MAX($G$2:$G$1194))),0)))*100*PARAMS_MODELO!$B$8</f>
        <v>5.6422568947854224</v>
      </c>
      <c r="I302" s="8">
        <f>E302-PARAMS_MODELO!$B$5</f>
        <v>0.27613507847873642</v>
      </c>
      <c r="J302" s="5">
        <f>IF(I302&lt;=PARAMS_MODELO!$B$18,0,IF(I302&gt;=PARAMS_MODELO!$B$19,100,100*(I302-PARAMS_MODELO!$B$18)/(PARAMS_MODELO!$B$19-PARAMS_MODELO!$B$18)))*PARAMS_MODELO!$B$9</f>
        <v>15</v>
      </c>
      <c r="K302" s="5">
        <f>IFERROR(CHOOSE(MATCH(PARAMS_MODELO!$B$2,{"Q1","Q2","Q3"},0),LOTO!$D302,LOTO!$F302,LOTO!$H302),0)</f>
        <v>5087500</v>
      </c>
      <c r="L302" s="8">
        <f t="shared" si="98"/>
        <v>4.8915091631162887E-2</v>
      </c>
      <c r="M302" s="5">
        <f>MIN(100,IF(PARAMS_MODELO!$B$23=0,0,100*L302/PARAMS_MODELO!$B$23))*PARAMS_MODELO!$B$10</f>
        <v>14.674527489348863</v>
      </c>
      <c r="N302" s="5">
        <f>IFERROR(VLOOKUP(A302,COMPLIANCE!$A$2:$F$1996,6,0),100)</f>
        <v>100</v>
      </c>
      <c r="O302" s="5">
        <f>N302*PARAMS_MODELO!$B$11</f>
        <v>10</v>
      </c>
      <c r="P302" s="5">
        <f>IFERROR(VLOOKUP(A302,DIGITAL!$A$2:$J$2000,7,0),100)</f>
        <v>34</v>
      </c>
      <c r="Q302" s="5">
        <f>IFERROR(P302,0)*PARAMS_MODELO!$B$12</f>
        <v>3.4000000000000004</v>
      </c>
      <c r="R302">
        <f t="shared" si="99"/>
        <v>83.716784384134286</v>
      </c>
      <c r="S302" s="5" t="str">
        <f>IFERROR(VLOOKUP(A302,CLIENTE!$A$2:$N$2000,13,0),1)</f>
        <v>Muy Bueno</v>
      </c>
      <c r="T302" s="5">
        <f>IFERROR(VLOOKUP(A302,CLIENTE!$A$2:$N$2000,14,0),1)</f>
        <v>1.1499999999999999</v>
      </c>
      <c r="U302" s="5">
        <f t="shared" si="100"/>
        <v>96.274302041754424</v>
      </c>
      <c r="V302" s="5" t="str">
        <f>IF(U302&gt;=MAX(_xlfn.PERCENTILE.INC($U$2:$U$1194,PARAMS_MODELO!$B$50),PARAMS_MODELO!$B$45),"DIAMANTE",IF(U302&gt;=MAX(_xlfn.PERCENTILE.INC($U$2:$U$1194,PARAMS_MODELO!$B$51),PARAMS_MODELO!$B$46),"PLATINO",IF(U302&gt;=MAX(_xlfn.PERCENTILE.INC($U$2:$U$1194,PARAMS_MODELO!$B$52),PARAMS_MODELO!$B$47),"ORO",IF(U302&gt;=MAX(_xlfn.PERCENTILE.INC($U$2:$U$1194,PARAMS_MODELO!$B$53),PARAMS_MODELO!$B$48),"PLATA",IF(U302&gt;=1,"BRONCE","CERRADO")))))</f>
        <v>DIAMANTE</v>
      </c>
      <c r="W302" s="5" t="str" cm="1">
        <f t="array" ref="W302">_xlfn.XLOOKUP(1, (HIST_SCORE!$B:$B=PARAMS_MODELO!$B$4) * (HIST_SCORE!$C:$C=A302), HIST_SCORE!$E:$E, "No encontrado")</f>
        <v>PLATINO</v>
      </c>
      <c r="X302" s="5" t="str">
        <f>_xlfn.LET(_xlpm.act,MATCH(V302,{"DIAMANTE";"PLATINO";"ORO";"PLATA";"BRONCE";"CERRADO"},0),_xlpm.ant,MATCH(W302,{"DIAMANTE";"PLATINO";"ORO";"PLATA";"BRONCE";"CERRADO"},0),IF(_xlpm.act&lt;_xlpm.ant,"Mejora ↑",IF(_xlpm.act&gt;_xlpm.ant,"Baja ↓","Estable →")))</f>
        <v>Mejora ↑</v>
      </c>
      <c r="Y302" s="5">
        <f>IFERROR(U302-SUMIFS(HIST_SCORE!$D:$D,HIST_SCORE!$B:$B,PARAMS_MODELO!$B$4,HIST_SCORE!$C:$C,$A302),"")</f>
        <v>1.6542053306854569</v>
      </c>
      <c r="Z302" s="5" t="str">
        <f t="shared" si="101"/>
        <v>→ Estable</v>
      </c>
      <c r="AA302" s="5">
        <f t="shared" si="102"/>
        <v>57</v>
      </c>
      <c r="AB302" s="5">
        <f>IFERROR(SUMIFS(HIST_SCORE!$F:$F,HIST_SCORE!$B:$B,PARAMS_MODELO!$B$4,HIST_SCORE!$C:$C,$A302),"")</f>
        <v>68</v>
      </c>
      <c r="AC302" s="5">
        <f t="shared" si="103"/>
        <v>11</v>
      </c>
      <c r="AD302" t="str">
        <f t="shared" si="105"/>
        <v/>
      </c>
      <c r="AE3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302="CERRADO",1,IF(V302="BRONCE",_xlpm.cPl,IF(V302="PLATA",_xlpm.cO,IF(V302="ORO",_xlpm.cP,IF(V302="PLATINO",_xlpm.cD,999))))))</f>
        <v>999</v>
      </c>
      <c r="AF3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302="CERRADO",0,IF(V302="BRONCE",1,IF(V302="PLATA",_xlpm.cPl,IF(V302="ORO",_xlpm.cO,IF(V302="PLATINO",_xlpm.cP,_xlpm.cD))))))</f>
        <v>96.054919694466676</v>
      </c>
      <c r="AG302">
        <f t="shared" si="106"/>
        <v>784.97886778977886</v>
      </c>
      <c r="AH302" t="str">
        <f t="shared" si="107"/>
        <v>SOSTENER</v>
      </c>
      <c r="AI302" t="str">
        <f t="shared" si="104"/>
        <v>✅ Mantener desempeño y monitorear variaciones para sostener categoría.</v>
      </c>
      <c r="AJ302" s="26">
        <f>_xlfn.LET(_xlpm.piso,AF302,_xlpm.corte,AE302,_xlpm.prog,IF(_xlpm.corte&lt;=_xlpm.piso,0,MAX(0,MIN(1,(U302-_xlpm.piso)/(_xlpm.corte-_xlpm.piso)))),_xlpm.orden,{"DIAMANTE";"PLATINO";"ORO";"PLATA";"BRONCE";"CERRADO"},_xlpm.act,IFERROR(MATCH(V302,_xlpm.orden,0),6),_xlpm.ant,IFERROR(MATCH(W302,_xlpm.orden,0),6),_xlpm.ajmov,IF(_xlpm.act&lt;_xlpm.ant,0.08,IF(_xlpm.act&gt;_xlpm.ant,-0.08,0)),_xlpm.ajcli,IF(T302&lt;0.95,-0.06,0),_xlpm.prob,MAX(0,MIN(1,_xlpm.prog+_xlpm.ajmov+_xlpm.ajcli)),IF(OR(V302="DIAMANTE",V302="CERRADO"),0,ROUND(_xlpm.prob,2)))</f>
        <v>0</v>
      </c>
      <c r="AK302" t="str">
        <f t="shared" si="108"/>
        <v>No aplica</v>
      </c>
      <c r="AL302" t="str">
        <f t="shared" si="109"/>
        <v>Margen de seguridad: 0,2 puntos</v>
      </c>
      <c r="AM302">
        <f t="shared" si="110"/>
        <v>0.8</v>
      </c>
      <c r="AN302" t="str">
        <f t="shared" si="111"/>
        <v>PRIORIDAD ALTA – requiere intervención inmediata</v>
      </c>
      <c r="AO302">
        <f t="shared" si="112"/>
        <v>10.603359237586689</v>
      </c>
      <c r="AP302">
        <f t="shared" si="113"/>
        <v>0.3742933872488074</v>
      </c>
      <c r="AQ302">
        <f t="shared" si="114"/>
        <v>0</v>
      </c>
      <c r="AR302">
        <f t="shared" si="115"/>
        <v>7.589999999999999</v>
      </c>
      <c r="AS302">
        <f t="shared" si="116"/>
        <v>0</v>
      </c>
      <c r="AT302" t="str">
        <f t="shared" si="117"/>
        <v>VENTAS</v>
      </c>
      <c r="AU302">
        <f t="shared" si="118"/>
        <v>10.603359237586689</v>
      </c>
      <c r="AV302" t="str">
        <f t="shared" si="119"/>
        <v>Mayor retorno probable: VENTAS (+10,6 puntos finales potenciales).</v>
      </c>
    </row>
    <row r="303" spans="1:48" x14ac:dyDescent="0.3">
      <c r="A303" s="5">
        <v>51001702</v>
      </c>
      <c r="B303" s="5" t="str">
        <f>IFERROR(VLOOKUP(A303,VENTAS!$A$2:$B$1194,2,0),"")</f>
        <v>MONTENEGRO</v>
      </c>
      <c r="C303" s="5">
        <f>IFERROR(INDEX(VENTAS!$C$2:$E$1194,MATCH(A303,VENTAS!$A$2:$A$1194,0),MATCH(PARAMS_MODELO!$B$2,{"Q1","Q2","Q3"},0)),0)</f>
        <v>67043317.539999999</v>
      </c>
      <c r="D303" s="5">
        <f>IFERROR(INDEX(VENTAS!$F$2:$H$1194,MATCH(A303,VENTAS!$A$2:$A$1194,0),MATCH(PARAMS_MODELO!$B$2,{"Q1","Q2","Q3"},0)),0)</f>
        <v>103964724</v>
      </c>
      <c r="E303" s="8">
        <f t="shared" si="96"/>
        <v>0.55070971745948594</v>
      </c>
      <c r="F303" s="12">
        <f>IF(E303&lt;=PARAMS_MODELO!$B$15,0,IF(E303&gt;=PARAMS_MODELO!$B$17,100,100*MIN(1,(E303-PARAMS_MODELO!$B$15)/(PARAMS_MODELO!$B$16-PARAMS_MODELO!$B$15))))*PARAMS_MODELO!$B$7</f>
        <v>35</v>
      </c>
      <c r="G303" s="5">
        <f t="shared" si="97"/>
        <v>36921406.460000001</v>
      </c>
      <c r="H303" s="5">
        <f>(PARAMS_MODELO!$B$20*(MAX(0,MIN(3,E303))/3)+PARAMS_MODELO!$B$21*(IFERROR(LN(1+MAX(0,G303))/LN(1+MAX(0,MAX($G$2:$G$1194))),0)))*100*PARAMS_MODELO!$B$8</f>
        <v>6.0119836760573948</v>
      </c>
      <c r="I303" s="8">
        <f>E303-PARAMS_MODELO!$B$5</f>
        <v>0.37314688208395941</v>
      </c>
      <c r="J303" s="5">
        <f>IF(I303&lt;=PARAMS_MODELO!$B$18,0,IF(I303&gt;=PARAMS_MODELO!$B$19,100,100*(I303-PARAMS_MODELO!$B$18)/(PARAMS_MODELO!$B$19-PARAMS_MODELO!$B$18)))*PARAMS_MODELO!$B$9</f>
        <v>15</v>
      </c>
      <c r="K303" s="5">
        <f>IFERROR(CHOOSE(MATCH(PARAMS_MODELO!$B$2,{"Q1","Q2","Q3"},0),LOTO!$D303,LOTO!$F303,LOTO!$H303),0)</f>
        <v>5085000.0000000009</v>
      </c>
      <c r="L303" s="8">
        <f t="shared" si="98"/>
        <v>4.8910820943457715E-2</v>
      </c>
      <c r="M303" s="5">
        <f>MIN(100,IF(PARAMS_MODELO!$B$23=0,0,100*L303/PARAMS_MODELO!$B$23))*PARAMS_MODELO!$B$10</f>
        <v>14.673246283037312</v>
      </c>
      <c r="N303" s="5">
        <f>IFERROR(VLOOKUP(A303,COMPLIANCE!$A$2:$F$1996,6,0),100)</f>
        <v>100</v>
      </c>
      <c r="O303" s="5">
        <f>N303*PARAMS_MODELO!$B$11</f>
        <v>10</v>
      </c>
      <c r="P303" s="5">
        <f>IFERROR(VLOOKUP(A303,DIGITAL!$A$2:$J$2000,7,0),100)</f>
        <v>68</v>
      </c>
      <c r="Q303" s="5">
        <f>IFERROR(P303,0)*PARAMS_MODELO!$B$12</f>
        <v>6.8000000000000007</v>
      </c>
      <c r="R303">
        <f t="shared" si="99"/>
        <v>87.48522995909471</v>
      </c>
      <c r="S303" s="5" t="str">
        <f>IFERROR(VLOOKUP(A303,CLIENTE!$A$2:$N$2000,13,0),1)</f>
        <v>Regular</v>
      </c>
      <c r="T303" s="5">
        <f>IFERROR(VLOOKUP(A303,CLIENTE!$A$2:$N$2000,14,0),1)</f>
        <v>1</v>
      </c>
      <c r="U303" s="5">
        <f t="shared" si="100"/>
        <v>87.48522995909471</v>
      </c>
      <c r="V303" s="5" t="str">
        <f>IF(U303&gt;=MAX(_xlfn.PERCENTILE.INC($U$2:$U$1194,PARAMS_MODELO!$B$50),PARAMS_MODELO!$B$45),"DIAMANTE",IF(U303&gt;=MAX(_xlfn.PERCENTILE.INC($U$2:$U$1194,PARAMS_MODELO!$B$51),PARAMS_MODELO!$B$46),"PLATINO",IF(U303&gt;=MAX(_xlfn.PERCENTILE.INC($U$2:$U$1194,PARAMS_MODELO!$B$52),PARAMS_MODELO!$B$47),"ORO",IF(U303&gt;=MAX(_xlfn.PERCENTILE.INC($U$2:$U$1194,PARAMS_MODELO!$B$53),PARAMS_MODELO!$B$48),"PLATA",IF(U303&gt;=1,"BRONCE","CERRADO")))))</f>
        <v>PLATINO</v>
      </c>
      <c r="W303" s="5" t="str" cm="1">
        <f t="array" ref="W303">_xlfn.XLOOKUP(1, (HIST_SCORE!$B:$B=PARAMS_MODELO!$B$4) * (HIST_SCORE!$C:$C=A303), HIST_SCORE!$E:$E, "No encontrado")</f>
        <v>PLATINO</v>
      </c>
      <c r="X303" s="5" t="str">
        <f>_xlfn.LET(_xlpm.act,MATCH(V303,{"DIAMANTE";"PLATINO";"ORO";"PLATA";"BRONCE";"CERRADO"},0),_xlpm.ant,MATCH(W303,{"DIAMANTE";"PLATINO";"ORO";"PLATA";"BRONCE";"CERRADO"},0),IF(_xlpm.act&lt;_xlpm.ant,"Mejora ↑",IF(_xlpm.act&gt;_xlpm.ant,"Baja ↓","Estable →")))</f>
        <v>Estable →</v>
      </c>
      <c r="Y303" s="5">
        <f>IFERROR(U303-SUMIFS(HIST_SCORE!$D:$D,HIST_SCORE!$B:$B,PARAMS_MODELO!$B$4,HIST_SCORE!$C:$C,$A303),"")</f>
        <v>-0.83569273312706116</v>
      </c>
      <c r="Z303" s="5" t="str">
        <f t="shared" si="101"/>
        <v>→ Estable</v>
      </c>
      <c r="AA303" s="5">
        <f t="shared" si="102"/>
        <v>212</v>
      </c>
      <c r="AB303" s="5">
        <f>IFERROR(SUMIFS(HIST_SCORE!$F:$F,HIST_SCORE!$B:$B,PARAMS_MODELO!$B$4,HIST_SCORE!$C:$C,$A303),"")</f>
        <v>168</v>
      </c>
      <c r="AC303" s="5">
        <f t="shared" si="103"/>
        <v>-44</v>
      </c>
      <c r="AD303" t="str">
        <f t="shared" si="105"/>
        <v/>
      </c>
      <c r="AE3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303="CERRADO",1,IF(V303="BRONCE",_xlpm.cPl,IF(V303="PLATA",_xlpm.cO,IF(V303="ORO",_xlpm.cP,IF(V303="PLATINO",_xlpm.cD,999))))))</f>
        <v>96.054919694466676</v>
      </c>
      <c r="AF3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303="CERRADO",0,IF(V303="BRONCE",1,IF(V303="PLATA",_xlpm.cPl,IF(V303="ORO",_xlpm.cO,IF(V303="PLATINO",_xlpm.cP,_xlpm.cD))))))</f>
        <v>86.439123873763251</v>
      </c>
      <c r="AG303">
        <f t="shared" si="106"/>
        <v>8.5696897353719663</v>
      </c>
      <c r="AH303" t="str">
        <f t="shared" si="107"/>
        <v>VENTAS</v>
      </c>
      <c r="AI303" t="str">
        <f t="shared" si="104"/>
        <v>🎯 Para subir de categoría, eje VENTAS / IMPACTO ABSOLUTO (H). Acción: metas semanales + activación comercial + seguimiento del asesor. ΔR aprox: 8,6</v>
      </c>
      <c r="AJ303" s="26">
        <f>_xlfn.LET(_xlpm.piso,AF303,_xlpm.corte,AE303,_xlpm.prog,IF(_xlpm.corte&lt;=_xlpm.piso,0,MAX(0,MIN(1,(U303-_xlpm.piso)/(_xlpm.corte-_xlpm.piso)))),_xlpm.orden,{"DIAMANTE";"PLATINO";"ORO";"PLATA";"BRONCE";"CERRADO"},_xlpm.act,IFERROR(MATCH(V303,_xlpm.orden,0),6),_xlpm.ant,IFERROR(MATCH(W303,_xlpm.orden,0),6),_xlpm.ajmov,IF(_xlpm.act&lt;_xlpm.ant,0.08,IF(_xlpm.act&gt;_xlpm.ant,-0.08,0)),_xlpm.ajcli,IF(T303&lt;0.95,-0.06,0),_xlpm.prob,MAX(0,MIN(1,_xlpm.prog+_xlpm.ajmov+_xlpm.ajcli)),IF(OR(V303="DIAMANTE",V303="CERRADO"),0,ROUND(_xlpm.prob,2)))</f>
        <v>0.11</v>
      </c>
      <c r="AK303" t="str">
        <f t="shared" si="108"/>
        <v>Faltan 8,6 puntos base para subir a la siguiente categoría</v>
      </c>
      <c r="AL303" t="str">
        <f t="shared" si="109"/>
        <v>Margen de seguridad: 1,0 puntos</v>
      </c>
      <c r="AM303">
        <f t="shared" si="110"/>
        <v>0.7</v>
      </c>
      <c r="AN303" t="str">
        <f t="shared" si="111"/>
        <v>PRIORIDAD ALTA – requiere intervención inmediata</v>
      </c>
      <c r="AO303">
        <f t="shared" si="112"/>
        <v>8.8505855992381868</v>
      </c>
      <c r="AP303">
        <f t="shared" si="113"/>
        <v>0.3267537169626884</v>
      </c>
      <c r="AQ303">
        <f t="shared" si="114"/>
        <v>0</v>
      </c>
      <c r="AR303">
        <f t="shared" si="115"/>
        <v>3.1999999999999993</v>
      </c>
      <c r="AS303">
        <f t="shared" si="116"/>
        <v>0</v>
      </c>
      <c r="AT303" t="str">
        <f t="shared" si="117"/>
        <v>VENTAS</v>
      </c>
      <c r="AU303">
        <f t="shared" si="118"/>
        <v>8.8505855992381868</v>
      </c>
      <c r="AV303" t="str">
        <f t="shared" si="119"/>
        <v>Mayor retorno probable: VENTAS (+8,9 puntos finales potenciales).</v>
      </c>
    </row>
    <row r="304" spans="1:48" x14ac:dyDescent="0.3">
      <c r="A304" s="5">
        <v>51003730</v>
      </c>
      <c r="B304" s="5" t="str">
        <f>IFERROR(VLOOKUP(A304,VENTAS!$A$2:$B$1194,2,0),"")</f>
        <v>BELUZZO</v>
      </c>
      <c r="C304" s="5">
        <f>IFERROR(INDEX(VENTAS!$C$2:$E$1194,MATCH(A304,VENTAS!$A$2:$A$1194,0),MATCH(PARAMS_MODELO!$B$2,{"Q1","Q2","Q3"},0)),0)</f>
        <v>59387730.420000002</v>
      </c>
      <c r="D304" s="5">
        <f>IFERROR(INDEX(VENTAS!$F$2:$H$1194,MATCH(A304,VENTAS!$A$2:$A$1194,0),MATCH(PARAMS_MODELO!$B$2,{"Q1","Q2","Q3"},0)),0)</f>
        <v>103835186</v>
      </c>
      <c r="E304" s="8">
        <f t="shared" si="96"/>
        <v>0.74842825724539619</v>
      </c>
      <c r="F304" s="12">
        <f>IF(E304&lt;=PARAMS_MODELO!$B$15,0,IF(E304&gt;=PARAMS_MODELO!$B$17,100,100*MIN(1,(E304-PARAMS_MODELO!$B$15)/(PARAMS_MODELO!$B$16-PARAMS_MODELO!$B$15))))*PARAMS_MODELO!$B$7</f>
        <v>35</v>
      </c>
      <c r="G304" s="5">
        <f t="shared" si="97"/>
        <v>44447455.579999998</v>
      </c>
      <c r="H304" s="5">
        <f>(PARAMS_MODELO!$B$20*(MAX(0,MIN(3,E304))/3)+PARAMS_MODELO!$B$21*(IFERROR(LN(1+MAX(0,G304))/LN(1+MAX(0,MAX($G$2:$G$1194))),0)))*100*PARAMS_MODELO!$B$8</f>
        <v>6.7474861548042622</v>
      </c>
      <c r="I304" s="8">
        <f>E304-PARAMS_MODELO!$B$5</f>
        <v>0.57086542186986966</v>
      </c>
      <c r="J304" s="5">
        <f>IF(I304&lt;=PARAMS_MODELO!$B$18,0,IF(I304&gt;=PARAMS_MODELO!$B$19,100,100*(I304-PARAMS_MODELO!$B$18)/(PARAMS_MODELO!$B$19-PARAMS_MODELO!$B$18)))*PARAMS_MODELO!$B$9</f>
        <v>15</v>
      </c>
      <c r="K304" s="5">
        <f>IFERROR(CHOOSE(MATCH(PARAMS_MODELO!$B$2,{"Q1","Q2","Q3"},0),LOTO!$D304,LOTO!$F304,LOTO!$H304),0)</f>
        <v>5075000.0000000009</v>
      </c>
      <c r="L304" s="8">
        <f t="shared" si="98"/>
        <v>4.8875532423084414E-2</v>
      </c>
      <c r="M304" s="5">
        <f>MIN(100,IF(PARAMS_MODELO!$B$23=0,0,100*L304/PARAMS_MODELO!$B$23))*PARAMS_MODELO!$B$10</f>
        <v>14.662659726925321</v>
      </c>
      <c r="N304" s="5">
        <f>IFERROR(VLOOKUP(A304,COMPLIANCE!$A$2:$F$1996,6,0),100)</f>
        <v>100</v>
      </c>
      <c r="O304" s="5">
        <f>N304*PARAMS_MODELO!$B$11</f>
        <v>10</v>
      </c>
      <c r="P304" s="5">
        <f>IFERROR(VLOOKUP(A304,DIGITAL!$A$2:$J$2000,7,0),100)</f>
        <v>12</v>
      </c>
      <c r="Q304" s="5">
        <f>IFERROR(P304,0)*PARAMS_MODELO!$B$12</f>
        <v>1.2000000000000002</v>
      </c>
      <c r="R304">
        <f t="shared" si="99"/>
        <v>82.610145881729593</v>
      </c>
      <c r="S304" s="5" t="str">
        <f>IFERROR(VLOOKUP(A304,CLIENTE!$A$2:$N$2000,13,0),1)</f>
        <v>Regular</v>
      </c>
      <c r="T304" s="5">
        <f>IFERROR(VLOOKUP(A304,CLIENTE!$A$2:$N$2000,14,0),1)</f>
        <v>1</v>
      </c>
      <c r="U304" s="5">
        <f t="shared" si="100"/>
        <v>82.610145881729593</v>
      </c>
      <c r="V304" s="5" t="str">
        <f>IF(U304&gt;=MAX(_xlfn.PERCENTILE.INC($U$2:$U$1194,PARAMS_MODELO!$B$50),PARAMS_MODELO!$B$45),"DIAMANTE",IF(U304&gt;=MAX(_xlfn.PERCENTILE.INC($U$2:$U$1194,PARAMS_MODELO!$B$51),PARAMS_MODELO!$B$46),"PLATINO",IF(U304&gt;=MAX(_xlfn.PERCENTILE.INC($U$2:$U$1194,PARAMS_MODELO!$B$52),PARAMS_MODELO!$B$47),"ORO",IF(U304&gt;=MAX(_xlfn.PERCENTILE.INC($U$2:$U$1194,PARAMS_MODELO!$B$53),PARAMS_MODELO!$B$48),"PLATA",IF(U304&gt;=1,"BRONCE","CERRADO")))))</f>
        <v>ORO</v>
      </c>
      <c r="W304" s="5" t="str" cm="1">
        <f t="array" ref="W304">_xlfn.XLOOKUP(1, (HIST_SCORE!$B:$B=PARAMS_MODELO!$B$4) * (HIST_SCORE!$C:$C=A304), HIST_SCORE!$E:$E, "No encontrado")</f>
        <v>ORO</v>
      </c>
      <c r="X304" s="5" t="str">
        <f>_xlfn.LET(_xlpm.act,MATCH(V304,{"DIAMANTE";"PLATINO";"ORO";"PLATA";"BRONCE";"CERRADO"},0),_xlpm.ant,MATCH(W304,{"DIAMANTE";"PLATINO";"ORO";"PLATA";"BRONCE";"CERRADO"},0),IF(_xlpm.act&lt;_xlpm.ant,"Mejora ↑",IF(_xlpm.act&gt;_xlpm.ant,"Baja ↓","Estable →")))</f>
        <v>Estable →</v>
      </c>
      <c r="Y304" s="5">
        <f>IFERROR(U304-SUMIFS(HIST_SCORE!$D:$D,HIST_SCORE!$B:$B,PARAMS_MODELO!$B$4,HIST_SCORE!$C:$C,$A304),"")</f>
        <v>0.81011704922603656</v>
      </c>
      <c r="Z304" s="5" t="str">
        <f t="shared" si="101"/>
        <v>→ Estable</v>
      </c>
      <c r="AA304" s="5">
        <f t="shared" si="102"/>
        <v>370</v>
      </c>
      <c r="AB304" s="5">
        <f>IFERROR(SUMIFS(HIST_SCORE!$F:$F,HIST_SCORE!$B:$B,PARAMS_MODELO!$B$4,HIST_SCORE!$C:$C,$A304),"")</f>
        <v>376</v>
      </c>
      <c r="AC304" s="5">
        <f t="shared" si="103"/>
        <v>6</v>
      </c>
      <c r="AD304" t="str">
        <f t="shared" si="105"/>
        <v/>
      </c>
      <c r="AE3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304="CERRADO",1,IF(V304="BRONCE",_xlpm.cPl,IF(V304="PLATA",_xlpm.cO,IF(V304="ORO",_xlpm.cP,IF(V304="PLATINO",_xlpm.cD,999))))))</f>
        <v>86.439123873763251</v>
      </c>
      <c r="AF3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304="CERRADO",0,IF(V304="BRONCE",1,IF(V304="PLATA",_xlpm.cPl,IF(V304="ORO",_xlpm.cO,IF(V304="PLATINO",_xlpm.cP,_xlpm.cD))))))</f>
        <v>63.199193273331495</v>
      </c>
      <c r="AG304">
        <f t="shared" si="106"/>
        <v>3.8289779920336571</v>
      </c>
      <c r="AH304" t="str">
        <f t="shared" si="107"/>
        <v>VENTAS</v>
      </c>
      <c r="AI304" t="str">
        <f t="shared" si="104"/>
        <v>🎯 Para subir de categoría, eje VENTAS / IMPACTO ABSOLUTO (H). Acción: metas semanales + activación comercial + seguimiento del asesor. ΔR aprox: 3,8</v>
      </c>
      <c r="AJ304" s="26">
        <f>_xlfn.LET(_xlpm.piso,AF304,_xlpm.corte,AE304,_xlpm.prog,IF(_xlpm.corte&lt;=_xlpm.piso,0,MAX(0,MIN(1,(U304-_xlpm.piso)/(_xlpm.corte-_xlpm.piso)))),_xlpm.orden,{"DIAMANTE";"PLATINO";"ORO";"PLATA";"BRONCE";"CERRADO"},_xlpm.act,IFERROR(MATCH(V304,_xlpm.orden,0),6),_xlpm.ant,IFERROR(MATCH(W304,_xlpm.orden,0),6),_xlpm.ajmov,IF(_xlpm.act&lt;_xlpm.ant,0.08,IF(_xlpm.act&gt;_xlpm.ant,-0.08,0)),_xlpm.ajcli,IF(T304&lt;0.95,-0.06,0),_xlpm.prob,MAX(0,MIN(1,_xlpm.prog+_xlpm.ajmov+_xlpm.ajcli)),IF(OR(V304="DIAMANTE",V304="CERRADO"),0,ROUND(_xlpm.prob,2)))</f>
        <v>0.84</v>
      </c>
      <c r="AK304" t="str">
        <f t="shared" si="108"/>
        <v>Faltan 3,8 puntos base para subir a la siguiente categoría</v>
      </c>
      <c r="AL304" t="str">
        <f t="shared" si="109"/>
        <v>Margen de seguridad: 19,4 puntos</v>
      </c>
      <c r="AM304">
        <f t="shared" si="110"/>
        <v>0.22</v>
      </c>
      <c r="AN304" t="str">
        <f t="shared" si="111"/>
        <v>PRIORIDAD BAJA – control normal</v>
      </c>
      <c r="AO304">
        <f t="shared" si="112"/>
        <v>8.1150831204913203</v>
      </c>
      <c r="AP304">
        <f t="shared" si="113"/>
        <v>0.33734027307467862</v>
      </c>
      <c r="AQ304">
        <f t="shared" si="114"/>
        <v>0</v>
      </c>
      <c r="AR304">
        <f t="shared" si="115"/>
        <v>8.8000000000000007</v>
      </c>
      <c r="AS304">
        <f t="shared" si="116"/>
        <v>0</v>
      </c>
      <c r="AT304" t="str">
        <f t="shared" si="117"/>
        <v>DIGITAL</v>
      </c>
      <c r="AU304">
        <f t="shared" si="118"/>
        <v>8.8000000000000007</v>
      </c>
      <c r="AV304" t="str">
        <f t="shared" si="119"/>
        <v>Mayor retorno probable: DIGITAL (+8,8 puntos finales potenciales).</v>
      </c>
    </row>
    <row r="305" spans="1:48" x14ac:dyDescent="0.3">
      <c r="A305" s="5">
        <v>51012348</v>
      </c>
      <c r="B305" s="5" t="str">
        <f>IFERROR(VLOOKUP(A305,VENTAS!$A$2:$B$1194,2,0),"")</f>
        <v>NELLI</v>
      </c>
      <c r="C305" s="5">
        <f>IFERROR(INDEX(VENTAS!$C$2:$E$1194,MATCH(A305,VENTAS!$A$2:$A$1194,0),MATCH(PARAMS_MODELO!$B$2,{"Q1","Q2","Q3"},0)),0)</f>
        <v>80421917.790000007</v>
      </c>
      <c r="D305" s="5">
        <f>IFERROR(INDEX(VENTAS!$F$2:$H$1194,MATCH(A305,VENTAS!$A$2:$A$1194,0),MATCH(PARAMS_MODELO!$B$2,{"Q1","Q2","Q3"},0)),0)</f>
        <v>103762551</v>
      </c>
      <c r="E305" s="8">
        <f t="shared" si="96"/>
        <v>0.29022726454929515</v>
      </c>
      <c r="F305" s="12">
        <f>IF(E305&lt;=PARAMS_MODELO!$B$15,0,IF(E305&gt;=PARAMS_MODELO!$B$17,100,100*MIN(1,(E305-PARAMS_MODELO!$B$15)/(PARAMS_MODELO!$B$16-PARAMS_MODELO!$B$15))))*PARAMS_MODELO!$B$7</f>
        <v>35</v>
      </c>
      <c r="G305" s="5">
        <f t="shared" si="97"/>
        <v>23340633.209999993</v>
      </c>
      <c r="H305" s="5">
        <f>(PARAMS_MODELO!$B$20*(MAX(0,MIN(3,E305))/3)+PARAMS_MODELO!$B$21*(IFERROR(LN(1+MAX(0,G305))/LN(1+MAX(0,MAX($G$2:$G$1194))),0)))*100*PARAMS_MODELO!$B$8</f>
        <v>4.9927938490610035</v>
      </c>
      <c r="I305" s="8">
        <f>E305-PARAMS_MODELO!$B$5</f>
        <v>0.11266442917376862</v>
      </c>
      <c r="J305" s="5">
        <f>IF(I305&lt;=PARAMS_MODELO!$B$18,0,IF(I305&gt;=PARAMS_MODELO!$B$19,100,100*(I305-PARAMS_MODELO!$B$18)/(PARAMS_MODELO!$B$19-PARAMS_MODELO!$B$18)))*PARAMS_MODELO!$B$9</f>
        <v>15</v>
      </c>
      <c r="K305" s="5">
        <f>IFERROR(CHOOSE(MATCH(PARAMS_MODELO!$B$2,{"Q1","Q2","Q3"},0),LOTO!$D305,LOTO!$F305,LOTO!$H305),0)</f>
        <v>5072500</v>
      </c>
      <c r="L305" s="8">
        <f t="shared" si="98"/>
        <v>4.8885652396884499E-2</v>
      </c>
      <c r="M305" s="5">
        <f>MIN(100,IF(PARAMS_MODELO!$B$23=0,0,100*L305/PARAMS_MODELO!$B$23))*PARAMS_MODELO!$B$10</f>
        <v>14.665695719065351</v>
      </c>
      <c r="N305" s="5">
        <f>IFERROR(VLOOKUP(A305,COMPLIANCE!$A$2:$F$1996,6,0),100)</f>
        <v>100</v>
      </c>
      <c r="O305" s="5">
        <f>N305*PARAMS_MODELO!$B$11</f>
        <v>10</v>
      </c>
      <c r="P305" s="5">
        <f>IFERROR(VLOOKUP(A305,DIGITAL!$A$2:$J$2000,7,0),100)</f>
        <v>50</v>
      </c>
      <c r="Q305" s="5">
        <f>IFERROR(P305,0)*PARAMS_MODELO!$B$12</f>
        <v>5</v>
      </c>
      <c r="R305">
        <f t="shared" si="99"/>
        <v>84.658489568126356</v>
      </c>
      <c r="S305" s="5" t="str">
        <f>IFERROR(VLOOKUP(A305,CLIENTE!$A$2:$N$2000,13,0),1)</f>
        <v>Regular</v>
      </c>
      <c r="T305" s="5">
        <f>IFERROR(VLOOKUP(A305,CLIENTE!$A$2:$N$2000,14,0),1)</f>
        <v>1</v>
      </c>
      <c r="U305" s="5">
        <f t="shared" si="100"/>
        <v>84.658489568126356</v>
      </c>
      <c r="V305" s="5" t="str">
        <f>IF(U305&gt;=MAX(_xlfn.PERCENTILE.INC($U$2:$U$1194,PARAMS_MODELO!$B$50),PARAMS_MODELO!$B$45),"DIAMANTE",IF(U305&gt;=MAX(_xlfn.PERCENTILE.INC($U$2:$U$1194,PARAMS_MODELO!$B$51),PARAMS_MODELO!$B$46),"PLATINO",IF(U305&gt;=MAX(_xlfn.PERCENTILE.INC($U$2:$U$1194,PARAMS_MODELO!$B$52),PARAMS_MODELO!$B$47),"ORO",IF(U305&gt;=MAX(_xlfn.PERCENTILE.INC($U$2:$U$1194,PARAMS_MODELO!$B$53),PARAMS_MODELO!$B$48),"PLATA",IF(U305&gt;=1,"BRONCE","CERRADO")))))</f>
        <v>ORO</v>
      </c>
      <c r="W305" s="5" t="str" cm="1">
        <f t="array" ref="W305">_xlfn.XLOOKUP(1, (HIST_SCORE!$B:$B=PARAMS_MODELO!$B$4) * (HIST_SCORE!$C:$C=A305), HIST_SCORE!$E:$E, "No encontrado")</f>
        <v>ORO</v>
      </c>
      <c r="X305" s="5" t="str">
        <f>_xlfn.LET(_xlpm.act,MATCH(V305,{"DIAMANTE";"PLATINO";"ORO";"PLATA";"BRONCE";"CERRADO"},0),_xlpm.ant,MATCH(W305,{"DIAMANTE";"PLATINO";"ORO";"PLATA";"BRONCE";"CERRADO"},0),IF(_xlpm.act&lt;_xlpm.ant,"Mejora ↑",IF(_xlpm.act&gt;_xlpm.ant,"Baja ↓","Estable →")))</f>
        <v>Estable →</v>
      </c>
      <c r="Y305" s="5">
        <f>IFERROR(U305-SUMIFS(HIST_SCORE!$D:$D,HIST_SCORE!$B:$B,PARAMS_MODELO!$B$4,HIST_SCORE!$C:$C,$A305),"")</f>
        <v>14.920665041286782</v>
      </c>
      <c r="Z305" s="5" t="str">
        <f t="shared" si="101"/>
        <v>↑ Mejora</v>
      </c>
      <c r="AA305" s="5">
        <f t="shared" si="102"/>
        <v>294</v>
      </c>
      <c r="AB305" s="5">
        <f>IFERROR(SUMIFS(HIST_SCORE!$F:$F,HIST_SCORE!$B:$B,PARAMS_MODELO!$B$4,HIST_SCORE!$C:$C,$A305),"")</f>
        <v>544</v>
      </c>
      <c r="AC305" s="5">
        <f t="shared" si="103"/>
        <v>250</v>
      </c>
      <c r="AD305" t="str">
        <f t="shared" si="105"/>
        <v/>
      </c>
      <c r="AE3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305="CERRADO",1,IF(V305="BRONCE",_xlpm.cPl,IF(V305="PLATA",_xlpm.cO,IF(V305="ORO",_xlpm.cP,IF(V305="PLATINO",_xlpm.cD,999))))))</f>
        <v>86.439123873763251</v>
      </c>
      <c r="AF3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305="CERRADO",0,IF(V305="BRONCE",1,IF(V305="PLATA",_xlpm.cPl,IF(V305="ORO",_xlpm.cO,IF(V305="PLATINO",_xlpm.cP,_xlpm.cD))))))</f>
        <v>63.199193273331495</v>
      </c>
      <c r="AG305">
        <f t="shared" si="106"/>
        <v>1.7806343056368945</v>
      </c>
      <c r="AH305" t="str">
        <f t="shared" si="107"/>
        <v>VENTAS</v>
      </c>
      <c r="AI305" t="str">
        <f t="shared" si="104"/>
        <v>🎯 Para subir de categoría, eje VENTAS / IMPACTO ABSOLUTO (H). Acción: metas semanales + activación comercial + seguimiento del asesor. ΔR aprox: 1,8</v>
      </c>
      <c r="AJ305" s="26">
        <f>_xlfn.LET(_xlpm.piso,AF305,_xlpm.corte,AE305,_xlpm.prog,IF(_xlpm.corte&lt;=_xlpm.piso,0,MAX(0,MIN(1,(U305-_xlpm.piso)/(_xlpm.corte-_xlpm.piso)))),_xlpm.orden,{"DIAMANTE";"PLATINO";"ORO";"PLATA";"BRONCE";"CERRADO"},_xlpm.act,IFERROR(MATCH(V305,_xlpm.orden,0),6),_xlpm.ant,IFERROR(MATCH(W305,_xlpm.orden,0),6),_xlpm.ajmov,IF(_xlpm.act&lt;_xlpm.ant,0.08,IF(_xlpm.act&gt;_xlpm.ant,-0.08,0)),_xlpm.ajcli,IF(T305&lt;0.95,-0.06,0),_xlpm.prob,MAX(0,MIN(1,_xlpm.prog+_xlpm.ajmov+_xlpm.ajcli)),IF(OR(V305="DIAMANTE",V305="CERRADO"),0,ROUND(_xlpm.prob,2)))</f>
        <v>0.92</v>
      </c>
      <c r="AK305" t="str">
        <f t="shared" si="108"/>
        <v>Faltan 1,8 puntos base para subir a la siguiente categoría</v>
      </c>
      <c r="AL305" t="str">
        <f t="shared" si="109"/>
        <v>Margen de seguridad: 21,5 puntos</v>
      </c>
      <c r="AM305">
        <f t="shared" si="110"/>
        <v>0.1</v>
      </c>
      <c r="AN305" t="str">
        <f t="shared" si="111"/>
        <v>PRIORIDAD BAJA – control normal</v>
      </c>
      <c r="AO305">
        <f t="shared" si="112"/>
        <v>9.8697754262345825</v>
      </c>
      <c r="AP305">
        <f t="shared" si="113"/>
        <v>0.33430428093464926</v>
      </c>
      <c r="AQ305">
        <f t="shared" si="114"/>
        <v>0</v>
      </c>
      <c r="AR305">
        <f t="shared" si="115"/>
        <v>5</v>
      </c>
      <c r="AS305">
        <f t="shared" si="116"/>
        <v>0</v>
      </c>
      <c r="AT305" t="str">
        <f t="shared" si="117"/>
        <v>VENTAS</v>
      </c>
      <c r="AU305">
        <f t="shared" si="118"/>
        <v>9.8697754262345825</v>
      </c>
      <c r="AV305" t="str">
        <f t="shared" si="119"/>
        <v>Mayor retorno probable: VENTAS (+9,9 puntos finales potenciales).</v>
      </c>
    </row>
    <row r="306" spans="1:48" x14ac:dyDescent="0.3">
      <c r="A306" s="5">
        <v>51031563</v>
      </c>
      <c r="B306" s="5" t="str">
        <f>IFERROR(VLOOKUP(A306,VENTAS!$A$2:$B$1194,2,0),"")</f>
        <v>LÓPEZ</v>
      </c>
      <c r="C306" s="5">
        <f>IFERROR(INDEX(VENTAS!$C$2:$E$1194,MATCH(A306,VENTAS!$A$2:$A$1194,0),MATCH(PARAMS_MODELO!$B$2,{"Q1","Q2","Q3"},0)),0)</f>
        <v>78797886.729999989</v>
      </c>
      <c r="D306" s="5">
        <f>IFERROR(INDEX(VENTAS!$F$2:$H$1194,MATCH(A306,VENTAS!$A$2:$A$1194,0),MATCH(PARAMS_MODELO!$B$2,{"Q1","Q2","Q3"},0)),0)</f>
        <v>103723783</v>
      </c>
      <c r="E306" s="8">
        <f t="shared" si="96"/>
        <v>0.31632696388684001</v>
      </c>
      <c r="F306" s="12">
        <f>IF(E306&lt;=PARAMS_MODELO!$B$15,0,IF(E306&gt;=PARAMS_MODELO!$B$17,100,100*MIN(1,(E306-PARAMS_MODELO!$B$15)/(PARAMS_MODELO!$B$16-PARAMS_MODELO!$B$15))))*PARAMS_MODELO!$B$7</f>
        <v>35</v>
      </c>
      <c r="G306" s="5">
        <f t="shared" si="97"/>
        <v>24925896.270000011</v>
      </c>
      <c r="H306" s="5">
        <f>(PARAMS_MODELO!$B$20*(MAX(0,MIN(3,E306))/3)+PARAMS_MODELO!$B$21*(IFERROR(LN(1+MAX(0,G306))/LN(1+MAX(0,MAX($G$2:$G$1194))),0)))*100*PARAMS_MODELO!$B$8</f>
        <v>5.0995464931997434</v>
      </c>
      <c r="I306" s="8">
        <f>E306-PARAMS_MODELO!$B$5</f>
        <v>0.13876412851131348</v>
      </c>
      <c r="J306" s="5">
        <f>IF(I306&lt;=PARAMS_MODELO!$B$18,0,IF(I306&gt;=PARAMS_MODELO!$B$19,100,100*(I306-PARAMS_MODELO!$B$18)/(PARAMS_MODELO!$B$19-PARAMS_MODELO!$B$18)))*PARAMS_MODELO!$B$9</f>
        <v>15</v>
      </c>
      <c r="K306" s="5">
        <f>IFERROR(CHOOSE(MATCH(PARAMS_MODELO!$B$2,{"Q1","Q2","Q3"},0),LOTO!$D306,LOTO!$F306,LOTO!$H306),0)</f>
        <v>5067500</v>
      </c>
      <c r="L306" s="8">
        <f t="shared" si="98"/>
        <v>4.8855719039865714E-2</v>
      </c>
      <c r="M306" s="5">
        <f>MIN(100,IF(PARAMS_MODELO!$B$23=0,0,100*L306/PARAMS_MODELO!$B$23))*PARAMS_MODELO!$B$10</f>
        <v>14.656715711959713</v>
      </c>
      <c r="N306" s="5">
        <f>IFERROR(VLOOKUP(A306,COMPLIANCE!$A$2:$F$1996,6,0),100)</f>
        <v>99.96</v>
      </c>
      <c r="O306" s="5">
        <f>N306*PARAMS_MODELO!$B$11</f>
        <v>9.9960000000000004</v>
      </c>
      <c r="P306" s="5">
        <f>IFERROR(VLOOKUP(A306,DIGITAL!$A$2:$J$2000,7,0),100)</f>
        <v>34</v>
      </c>
      <c r="Q306" s="5">
        <f>IFERROR(P306,0)*PARAMS_MODELO!$B$12</f>
        <v>3.4000000000000004</v>
      </c>
      <c r="R306">
        <f t="shared" si="99"/>
        <v>83.15226220515946</v>
      </c>
      <c r="S306" s="5" t="str">
        <f>IFERROR(VLOOKUP(A306,CLIENTE!$A$2:$N$2000,13,0),1)</f>
        <v>Regular</v>
      </c>
      <c r="T306" s="5">
        <f>IFERROR(VLOOKUP(A306,CLIENTE!$A$2:$N$2000,14,0),1)</f>
        <v>1</v>
      </c>
      <c r="U306" s="5">
        <f t="shared" si="100"/>
        <v>83.15226220515946</v>
      </c>
      <c r="V306" s="5" t="str">
        <f>IF(U306&gt;=MAX(_xlfn.PERCENTILE.INC($U$2:$U$1194,PARAMS_MODELO!$B$50),PARAMS_MODELO!$B$45),"DIAMANTE",IF(U306&gt;=MAX(_xlfn.PERCENTILE.INC($U$2:$U$1194,PARAMS_MODELO!$B$51),PARAMS_MODELO!$B$46),"PLATINO",IF(U306&gt;=MAX(_xlfn.PERCENTILE.INC($U$2:$U$1194,PARAMS_MODELO!$B$52),PARAMS_MODELO!$B$47),"ORO",IF(U306&gt;=MAX(_xlfn.PERCENTILE.INC($U$2:$U$1194,PARAMS_MODELO!$B$53),PARAMS_MODELO!$B$48),"PLATA",IF(U306&gt;=1,"BRONCE","CERRADO")))))</f>
        <v>ORO</v>
      </c>
      <c r="W306" s="5" t="str" cm="1">
        <f t="array" ref="W306">_xlfn.XLOOKUP(1, (HIST_SCORE!$B:$B=PARAMS_MODELO!$B$4) * (HIST_SCORE!$C:$C=A306), HIST_SCORE!$E:$E, "No encontrado")</f>
        <v>ORO</v>
      </c>
      <c r="X306" s="5" t="str">
        <f>_xlfn.LET(_xlpm.act,MATCH(V306,{"DIAMANTE";"PLATINO";"ORO";"PLATA";"BRONCE";"CERRADO"},0),_xlpm.ant,MATCH(W306,{"DIAMANTE";"PLATINO";"ORO";"PLATA";"BRONCE";"CERRADO"},0),IF(_xlpm.act&lt;_xlpm.ant,"Mejora ↑",IF(_xlpm.act&gt;_xlpm.ant,"Baja ↓","Estable →")))</f>
        <v>Estable →</v>
      </c>
      <c r="Y306" s="5">
        <f>IFERROR(U306-SUMIFS(HIST_SCORE!$D:$D,HIST_SCORE!$B:$B,PARAMS_MODELO!$B$4,HIST_SCORE!$C:$C,$A306),"")</f>
        <v>0.73439696751336214</v>
      </c>
      <c r="Z306" s="5" t="str">
        <f t="shared" si="101"/>
        <v>→ Estable</v>
      </c>
      <c r="AA306" s="5">
        <f t="shared" si="102"/>
        <v>348</v>
      </c>
      <c r="AB306" s="5">
        <f>IFERROR(SUMIFS(HIST_SCORE!$F:$F,HIST_SCORE!$B:$B,PARAMS_MODELO!$B$4,HIST_SCORE!$C:$C,$A306),"")</f>
        <v>349</v>
      </c>
      <c r="AC306" s="5">
        <f t="shared" si="103"/>
        <v>1</v>
      </c>
      <c r="AD306" t="str">
        <f t="shared" si="105"/>
        <v/>
      </c>
      <c r="AE3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306="CERRADO",1,IF(V306="BRONCE",_xlpm.cPl,IF(V306="PLATA",_xlpm.cO,IF(V306="ORO",_xlpm.cP,IF(V306="PLATINO",_xlpm.cD,999))))))</f>
        <v>86.439123873763251</v>
      </c>
      <c r="AF3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306="CERRADO",0,IF(V306="BRONCE",1,IF(V306="PLATA",_xlpm.cPl,IF(V306="ORO",_xlpm.cO,IF(V306="PLATINO",_xlpm.cP,_xlpm.cD))))))</f>
        <v>63.199193273331495</v>
      </c>
      <c r="AG306">
        <f t="shared" si="106"/>
        <v>3.286861668603791</v>
      </c>
      <c r="AH306" t="str">
        <f t="shared" si="107"/>
        <v>VENTAS</v>
      </c>
      <c r="AI306" t="str">
        <f t="shared" si="104"/>
        <v>🎯 Para subir de categoría, eje VENTAS / IMPACTO ABSOLUTO (H). Acción: metas semanales + activación comercial + seguimiento del asesor. ΔR aprox: 3,3</v>
      </c>
      <c r="AJ306" s="26">
        <f>_xlfn.LET(_xlpm.piso,AF306,_xlpm.corte,AE306,_xlpm.prog,IF(_xlpm.corte&lt;=_xlpm.piso,0,MAX(0,MIN(1,(U306-_xlpm.piso)/(_xlpm.corte-_xlpm.piso)))),_xlpm.orden,{"DIAMANTE";"PLATINO";"ORO";"PLATA";"BRONCE";"CERRADO"},_xlpm.act,IFERROR(MATCH(V306,_xlpm.orden,0),6),_xlpm.ant,IFERROR(MATCH(W306,_xlpm.orden,0),6),_xlpm.ajmov,IF(_xlpm.act&lt;_xlpm.ant,0.08,IF(_xlpm.act&gt;_xlpm.ant,-0.08,0)),_xlpm.ajcli,IF(T306&lt;0.95,-0.06,0),_xlpm.prob,MAX(0,MIN(1,_xlpm.prog+_xlpm.ajmov+_xlpm.ajcli)),IF(OR(V306="DIAMANTE",V306="CERRADO"),0,ROUND(_xlpm.prob,2)))</f>
        <v>0.86</v>
      </c>
      <c r="AK306" t="str">
        <f t="shared" si="108"/>
        <v>Faltan 3,3 puntos base para subir a la siguiente categoría</v>
      </c>
      <c r="AL306" t="str">
        <f t="shared" si="109"/>
        <v>Margen de seguridad: 20,0 puntos</v>
      </c>
      <c r="AM306">
        <f t="shared" si="110"/>
        <v>0.19</v>
      </c>
      <c r="AN306" t="str">
        <f t="shared" si="111"/>
        <v>PRIORIDAD BAJA – control normal</v>
      </c>
      <c r="AO306">
        <f t="shared" si="112"/>
        <v>9.7630227820958382</v>
      </c>
      <c r="AP306">
        <f t="shared" si="113"/>
        <v>0.34328428804028732</v>
      </c>
      <c r="AQ306">
        <f t="shared" si="114"/>
        <v>3.9999999999995595E-3</v>
      </c>
      <c r="AR306">
        <f t="shared" si="115"/>
        <v>6.6</v>
      </c>
      <c r="AS306">
        <f t="shared" si="116"/>
        <v>0</v>
      </c>
      <c r="AT306" t="str">
        <f t="shared" si="117"/>
        <v>VENTAS</v>
      </c>
      <c r="AU306">
        <f t="shared" si="118"/>
        <v>9.7630227820958382</v>
      </c>
      <c r="AV306" t="str">
        <f t="shared" si="119"/>
        <v>Mayor retorno probable: VENTAS (+9,8 puntos finales potenciales).</v>
      </c>
    </row>
    <row r="307" spans="1:48" x14ac:dyDescent="0.3">
      <c r="A307" s="5">
        <v>51055080</v>
      </c>
      <c r="B307" s="5" t="str">
        <f>IFERROR(VLOOKUP(A307,VENTAS!$A$2:$B$1194,2,0),"")</f>
        <v>NELLI</v>
      </c>
      <c r="C307" s="5">
        <f>IFERROR(INDEX(VENTAS!$C$2:$E$1194,MATCH(A307,VENTAS!$A$2:$A$1194,0),MATCH(PARAMS_MODELO!$B$2,{"Q1","Q2","Q3"},0)),0)</f>
        <v>90061886.830000013</v>
      </c>
      <c r="D307" s="5">
        <f>IFERROR(INDEX(VENTAS!$F$2:$H$1194,MATCH(A307,VENTAS!$A$2:$A$1194,0),MATCH(PARAMS_MODELO!$B$2,{"Q1","Q2","Q3"},0)),0)</f>
        <v>103646585</v>
      </c>
      <c r="E307" s="8">
        <f t="shared" si="96"/>
        <v>0.15083737025899024</v>
      </c>
      <c r="F307" s="12">
        <f>IF(E307&lt;=PARAMS_MODELO!$B$15,0,IF(E307&gt;=PARAMS_MODELO!$B$17,100,100*MIN(1,(E307-PARAMS_MODELO!$B$15)/(PARAMS_MODELO!$B$16-PARAMS_MODELO!$B$15))))*PARAMS_MODELO!$B$7</f>
        <v>35</v>
      </c>
      <c r="G307" s="5">
        <f t="shared" si="97"/>
        <v>13584698.169999987</v>
      </c>
      <c r="H307" s="5">
        <f>(PARAMS_MODELO!$B$20*(MAX(0,MIN(3,E307))/3)+PARAMS_MODELO!$B$21*(IFERROR(LN(1+MAX(0,G307))/LN(1+MAX(0,MAX($G$2:$G$1194))),0)))*100*PARAMS_MODELO!$B$8</f>
        <v>4.3780522641287103</v>
      </c>
      <c r="I307" s="8">
        <f>E307-PARAMS_MODELO!$B$5</f>
        <v>-2.6725465116536284E-2</v>
      </c>
      <c r="J307" s="5">
        <f>IF(I307&lt;=PARAMS_MODELO!$B$18,0,IF(I307&gt;=PARAMS_MODELO!$B$19,100,100*(I307-PARAMS_MODELO!$B$18)/(PARAMS_MODELO!$B$19-PARAMS_MODELO!$B$18)))*PARAMS_MODELO!$B$9</f>
        <v>3.4911802325195578</v>
      </c>
      <c r="K307" s="5">
        <f>IFERROR(CHOOSE(MATCH(PARAMS_MODELO!$B$2,{"Q1","Q2","Q3"},0),LOTO!$D307,LOTO!$F307,LOTO!$H307),0)</f>
        <v>5052500</v>
      </c>
      <c r="L307" s="8">
        <f t="shared" si="98"/>
        <v>4.8747385164692111E-2</v>
      </c>
      <c r="M307" s="5">
        <f>MIN(100,IF(PARAMS_MODELO!$B$23=0,0,100*L307/PARAMS_MODELO!$B$23))*PARAMS_MODELO!$B$10</f>
        <v>14.624215549407634</v>
      </c>
      <c r="N307" s="5">
        <f>IFERROR(VLOOKUP(A307,COMPLIANCE!$A$2:$F$1996,6,0),100)</f>
        <v>100</v>
      </c>
      <c r="O307" s="5">
        <f>N307*PARAMS_MODELO!$B$11</f>
        <v>10</v>
      </c>
      <c r="P307" s="5">
        <f>IFERROR(VLOOKUP(A307,DIGITAL!$A$2:$J$2000,7,0),100)</f>
        <v>54</v>
      </c>
      <c r="Q307" s="5">
        <f>IFERROR(P307,0)*PARAMS_MODELO!$B$12</f>
        <v>5.4</v>
      </c>
      <c r="R307">
        <f t="shared" si="99"/>
        <v>72.893448046055909</v>
      </c>
      <c r="S307" s="5" t="str">
        <f>IFERROR(VLOOKUP(A307,CLIENTE!$A$2:$N$2000,13,0),1)</f>
        <v>Bueno</v>
      </c>
      <c r="T307" s="5">
        <f>IFERROR(VLOOKUP(A307,CLIENTE!$A$2:$N$2000,14,0),1)</f>
        <v>1.1000000000000001</v>
      </c>
      <c r="U307" s="5">
        <f t="shared" si="100"/>
        <v>80.1827928506615</v>
      </c>
      <c r="V307" s="5" t="str">
        <f>IF(U307&gt;=MAX(_xlfn.PERCENTILE.INC($U$2:$U$1194,PARAMS_MODELO!$B$50),PARAMS_MODELO!$B$45),"DIAMANTE",IF(U307&gt;=MAX(_xlfn.PERCENTILE.INC($U$2:$U$1194,PARAMS_MODELO!$B$51),PARAMS_MODELO!$B$46),"PLATINO",IF(U307&gt;=MAX(_xlfn.PERCENTILE.INC($U$2:$U$1194,PARAMS_MODELO!$B$52),PARAMS_MODELO!$B$47),"ORO",IF(U307&gt;=MAX(_xlfn.PERCENTILE.INC($U$2:$U$1194,PARAMS_MODELO!$B$53),PARAMS_MODELO!$B$48),"PLATA",IF(U307&gt;=1,"BRONCE","CERRADO")))))</f>
        <v>ORO</v>
      </c>
      <c r="W307" s="5" t="str" cm="1">
        <f t="array" ref="W307">_xlfn.XLOOKUP(1, (HIST_SCORE!$B:$B=PARAMS_MODELO!$B$4) * (HIST_SCORE!$C:$C=A307), HIST_SCORE!$E:$E, "No encontrado")</f>
        <v>PLATINO</v>
      </c>
      <c r="X307" s="5" t="str">
        <f>_xlfn.LET(_xlpm.act,MATCH(V307,{"DIAMANTE";"PLATINO";"ORO";"PLATA";"BRONCE";"CERRADO"},0),_xlpm.ant,MATCH(W307,{"DIAMANTE";"PLATINO";"ORO";"PLATA";"BRONCE";"CERRADO"},0),IF(_xlpm.act&lt;_xlpm.ant,"Mejora ↑",IF(_xlpm.act&gt;_xlpm.ant,"Baja ↓","Estable →")))</f>
        <v>Baja ↓</v>
      </c>
      <c r="Y307" s="5">
        <f>IFERROR(U307-SUMIFS(HIST_SCORE!$D:$D,HIST_SCORE!$B:$B,PARAMS_MODELO!$B$4,HIST_SCORE!$C:$C,$A307),"")</f>
        <v>-11.854055119906832</v>
      </c>
      <c r="Z307" s="5" t="str">
        <f t="shared" si="101"/>
        <v>↓ Baja</v>
      </c>
      <c r="AA307" s="5">
        <f t="shared" si="102"/>
        <v>434</v>
      </c>
      <c r="AB307" s="5">
        <f>IFERROR(SUMIFS(HIST_SCORE!$F:$F,HIST_SCORE!$B:$B,PARAMS_MODELO!$B$4,HIST_SCORE!$C:$C,$A307),"")</f>
        <v>99</v>
      </c>
      <c r="AC307" s="5">
        <f t="shared" si="103"/>
        <v>-335</v>
      </c>
      <c r="AD307" t="str">
        <f t="shared" si="105"/>
        <v>Sostener base y reforzar mix</v>
      </c>
      <c r="AE3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307="CERRADO",1,IF(V307="BRONCE",_xlpm.cPl,IF(V307="PLATA",_xlpm.cO,IF(V307="ORO",_xlpm.cP,IF(V307="PLATINO",_xlpm.cD,999))))))</f>
        <v>86.439123873763251</v>
      </c>
      <c r="AF3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307="CERRADO",0,IF(V307="BRONCE",1,IF(V307="PLATA",_xlpm.cPl,IF(V307="ORO",_xlpm.cO,IF(V307="PLATINO",_xlpm.cP,_xlpm.cD))))))</f>
        <v>63.199193273331495</v>
      </c>
      <c r="AG307">
        <f t="shared" si="106"/>
        <v>5.6875736573652205</v>
      </c>
      <c r="AH307" t="str">
        <f t="shared" si="107"/>
        <v>VENTAS</v>
      </c>
      <c r="AI307" t="str">
        <f t="shared" si="104"/>
        <v>🎯 Para subir de categoría, eje VENTAS / DIFERENCIAL vs LOTBA (J). Acción: metas semanales + activación comercial + seguimiento del asesor. ΔR aprox: 5,7</v>
      </c>
      <c r="AJ307" s="26">
        <f>_xlfn.LET(_xlpm.piso,AF307,_xlpm.corte,AE307,_xlpm.prog,IF(_xlpm.corte&lt;=_xlpm.piso,0,MAX(0,MIN(1,(U307-_xlpm.piso)/(_xlpm.corte-_xlpm.piso)))),_xlpm.orden,{"DIAMANTE";"PLATINO";"ORO";"PLATA";"BRONCE";"CERRADO"},_xlpm.act,IFERROR(MATCH(V307,_xlpm.orden,0),6),_xlpm.ant,IFERROR(MATCH(W307,_xlpm.orden,0),6),_xlpm.ajmov,IF(_xlpm.act&lt;_xlpm.ant,0.08,IF(_xlpm.act&gt;_xlpm.ant,-0.08,0)),_xlpm.ajcli,IF(T307&lt;0.95,-0.06,0),_xlpm.prob,MAX(0,MIN(1,_xlpm.prog+_xlpm.ajmov+_xlpm.ajcli)),IF(OR(V307="DIAMANTE",V307="CERRADO"),0,ROUND(_xlpm.prob,2)))</f>
        <v>0.65</v>
      </c>
      <c r="AK307" t="str">
        <f t="shared" si="108"/>
        <v>Faltan 5,7 puntos base para subir a la siguiente categoría</v>
      </c>
      <c r="AL307" t="str">
        <f t="shared" si="109"/>
        <v>Margen de seguridad: 17,0 puntos</v>
      </c>
      <c r="AM307">
        <f t="shared" si="110"/>
        <v>0.37</v>
      </c>
      <c r="AN307" t="str">
        <f t="shared" si="111"/>
        <v>PRIORIDAD BAJA – control normal</v>
      </c>
      <c r="AO307">
        <f t="shared" si="112"/>
        <v>24.192670456512044</v>
      </c>
      <c r="AP307">
        <f t="shared" si="113"/>
        <v>0.41336289565160311</v>
      </c>
      <c r="AQ307">
        <f t="shared" si="114"/>
        <v>0</v>
      </c>
      <c r="AR307">
        <f t="shared" si="115"/>
        <v>5.0599999999999996</v>
      </c>
      <c r="AS307">
        <f t="shared" si="116"/>
        <v>0</v>
      </c>
      <c r="AT307" t="str">
        <f t="shared" si="117"/>
        <v>VENTAS</v>
      </c>
      <c r="AU307">
        <f t="shared" si="118"/>
        <v>24.192670456512044</v>
      </c>
      <c r="AV307" t="str">
        <f t="shared" si="119"/>
        <v>Mayor retorno probable: VENTAS (+24,2 puntos finales potenciales).</v>
      </c>
    </row>
    <row r="308" spans="1:48" x14ac:dyDescent="0.3">
      <c r="A308" s="5">
        <v>51018672</v>
      </c>
      <c r="B308" s="5" t="str">
        <f>IFERROR(VLOOKUP(A308,VENTAS!$A$2:$B$1194,2,0),"")</f>
        <v>BELUZZO</v>
      </c>
      <c r="C308" s="5">
        <f>IFERROR(INDEX(VENTAS!$C$2:$E$1194,MATCH(A308,VENTAS!$A$2:$A$1194,0),MATCH(PARAMS_MODELO!$B$2,{"Q1","Q2","Q3"},0)),0)</f>
        <v>77513120.510000005</v>
      </c>
      <c r="D308" s="5">
        <f>IFERROR(INDEX(VENTAS!$F$2:$H$1194,MATCH(A308,VENTAS!$A$2:$A$1194,0),MATCH(PARAMS_MODELO!$B$2,{"Q1","Q2","Q3"},0)),0)</f>
        <v>103459039</v>
      </c>
      <c r="E308" s="8">
        <f t="shared" si="96"/>
        <v>0.33472937638541711</v>
      </c>
      <c r="F308" s="12">
        <f>IF(E308&lt;=PARAMS_MODELO!$B$15,0,IF(E308&gt;=PARAMS_MODELO!$B$17,100,100*MIN(1,(E308-PARAMS_MODELO!$B$15)/(PARAMS_MODELO!$B$16-PARAMS_MODELO!$B$15))))*PARAMS_MODELO!$B$7</f>
        <v>35</v>
      </c>
      <c r="G308" s="5">
        <f t="shared" si="97"/>
        <v>25945918.489999995</v>
      </c>
      <c r="H308" s="5">
        <f>(PARAMS_MODELO!$B$20*(MAX(0,MIN(3,E308))/3)+PARAMS_MODELO!$B$21*(IFERROR(LN(1+MAX(0,G308))/LN(1+MAX(0,MAX($G$2:$G$1194))),0)))*100*PARAMS_MODELO!$B$8</f>
        <v>5.1733565866126074</v>
      </c>
      <c r="I308" s="8">
        <f>E308-PARAMS_MODELO!$B$5</f>
        <v>0.15716654100989058</v>
      </c>
      <c r="J308" s="5">
        <f>IF(I308&lt;=PARAMS_MODELO!$B$18,0,IF(I308&gt;=PARAMS_MODELO!$B$19,100,100*(I308-PARAMS_MODELO!$B$18)/(PARAMS_MODELO!$B$19-PARAMS_MODELO!$B$18)))*PARAMS_MODELO!$B$9</f>
        <v>15</v>
      </c>
      <c r="K308" s="5">
        <f>IFERROR(CHOOSE(MATCH(PARAMS_MODELO!$B$2,{"Q1","Q2","Q3"},0),LOTO!$D308,LOTO!$F308,LOTO!$H308),0)</f>
        <v>5040000</v>
      </c>
      <c r="L308" s="8">
        <f t="shared" si="98"/>
        <v>4.8714931519903255E-2</v>
      </c>
      <c r="M308" s="5">
        <f>MIN(100,IF(PARAMS_MODELO!$B$23=0,0,100*L308/PARAMS_MODELO!$B$23))*PARAMS_MODELO!$B$10</f>
        <v>14.614479455970976</v>
      </c>
      <c r="N308" s="5">
        <f>IFERROR(VLOOKUP(A308,COMPLIANCE!$A$2:$F$1996,6,0),100)</f>
        <v>100</v>
      </c>
      <c r="O308" s="5">
        <f>N308*PARAMS_MODELO!$B$11</f>
        <v>10</v>
      </c>
      <c r="P308" s="5">
        <f>IFERROR(VLOOKUP(A308,DIGITAL!$A$2:$J$2000,7,0),100)</f>
        <v>49</v>
      </c>
      <c r="Q308" s="5">
        <f>IFERROR(P308,0)*PARAMS_MODELO!$B$12</f>
        <v>4.9000000000000004</v>
      </c>
      <c r="R308">
        <f t="shared" si="99"/>
        <v>84.687836042583584</v>
      </c>
      <c r="S308" s="5" t="str">
        <f>IFERROR(VLOOKUP(A308,CLIENTE!$A$2:$N$2000,13,0),1)</f>
        <v>Malo</v>
      </c>
      <c r="T308" s="5">
        <f>IFERROR(VLOOKUP(A308,CLIENTE!$A$2:$N$2000,14,0),1)</f>
        <v>0.7</v>
      </c>
      <c r="U308" s="5">
        <f t="shared" si="100"/>
        <v>59.281485229808503</v>
      </c>
      <c r="V308" s="5" t="str">
        <f>IF(U308&gt;=MAX(_xlfn.PERCENTILE.INC($U$2:$U$1194,PARAMS_MODELO!$B$50),PARAMS_MODELO!$B$45),"DIAMANTE",IF(U308&gt;=MAX(_xlfn.PERCENTILE.INC($U$2:$U$1194,PARAMS_MODELO!$B$51),PARAMS_MODELO!$B$46),"PLATINO",IF(U308&gt;=MAX(_xlfn.PERCENTILE.INC($U$2:$U$1194,PARAMS_MODELO!$B$52),PARAMS_MODELO!$B$47),"ORO",IF(U308&gt;=MAX(_xlfn.PERCENTILE.INC($U$2:$U$1194,PARAMS_MODELO!$B$53),PARAMS_MODELO!$B$48),"PLATA",IF(U308&gt;=1,"BRONCE","CERRADO")))))</f>
        <v>PLATA</v>
      </c>
      <c r="W308" s="5" t="str" cm="1">
        <f t="array" ref="W308">_xlfn.XLOOKUP(1, (HIST_SCORE!$B:$B=PARAMS_MODELO!$B$4) * (HIST_SCORE!$C:$C=A308), HIST_SCORE!$E:$E, "No encontrado")</f>
        <v>PLATA</v>
      </c>
      <c r="X308" s="5" t="str">
        <f>_xlfn.LET(_xlpm.act,MATCH(V308,{"DIAMANTE";"PLATINO";"ORO";"PLATA";"BRONCE";"CERRADO"},0),_xlpm.ant,MATCH(W308,{"DIAMANTE";"PLATINO";"ORO";"PLATA";"BRONCE";"CERRADO"},0),IF(_xlpm.act&lt;_xlpm.ant,"Mejora ↑",IF(_xlpm.act&gt;_xlpm.ant,"Baja ↓","Estable →")))</f>
        <v>Estable →</v>
      </c>
      <c r="Y308" s="5">
        <f>IFERROR(U308-SUMIFS(HIST_SCORE!$D:$D,HIST_SCORE!$B:$B,PARAMS_MODELO!$B$4,HIST_SCORE!$C:$C,$A308),"")</f>
        <v>3.270255265058573</v>
      </c>
      <c r="Z308" s="5" t="str">
        <f t="shared" si="101"/>
        <v>→ Estable</v>
      </c>
      <c r="AA308" s="5">
        <f t="shared" si="102"/>
        <v>633</v>
      </c>
      <c r="AB308" s="5">
        <f>IFERROR(SUMIFS(HIST_SCORE!$F:$F,HIST_SCORE!$B:$B,PARAMS_MODELO!$B$4,HIST_SCORE!$C:$C,$A308),"")</f>
        <v>725</v>
      </c>
      <c r="AC308" s="5">
        <f t="shared" si="103"/>
        <v>92</v>
      </c>
      <c r="AD308" t="str">
        <f t="shared" si="105"/>
        <v/>
      </c>
      <c r="AE3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308="CERRADO",1,IF(V308="BRONCE",_xlpm.cPl,IF(V308="PLATA",_xlpm.cO,IF(V308="ORO",_xlpm.cP,IF(V308="PLATINO",_xlpm.cD,999))))))</f>
        <v>63.199193273331495</v>
      </c>
      <c r="AF3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308="CERRADO",0,IF(V308="BRONCE",1,IF(V308="PLATA",_xlpm.cPl,IF(V308="ORO",_xlpm.cO,IF(V308="PLATINO",_xlpm.cP,_xlpm.cD))))))</f>
        <v>24.506573482968111</v>
      </c>
      <c r="AG308">
        <f t="shared" si="106"/>
        <v>5.5967257764614118</v>
      </c>
      <c r="AH308" t="str">
        <f t="shared" si="107"/>
        <v>CLIENTE</v>
      </c>
      <c r="AI308" t="str">
        <f t="shared" si="104"/>
        <v>🎯 Para subir de categoría, la eje con mayor impacto probable es CLIENTE (coef T). Acción: reducir quejas, mejorar incógnito y empujar reseñas. ΔR aprox: 5,6</v>
      </c>
      <c r="AJ308" s="26">
        <f>_xlfn.LET(_xlpm.piso,AF308,_xlpm.corte,AE308,_xlpm.prog,IF(_xlpm.corte&lt;=_xlpm.piso,0,MAX(0,MIN(1,(U308-_xlpm.piso)/(_xlpm.corte-_xlpm.piso)))),_xlpm.orden,{"DIAMANTE";"PLATINO";"ORO";"PLATA";"BRONCE";"CERRADO"},_xlpm.act,IFERROR(MATCH(V308,_xlpm.orden,0),6),_xlpm.ant,IFERROR(MATCH(W308,_xlpm.orden,0),6),_xlpm.ajmov,IF(_xlpm.act&lt;_xlpm.ant,0.08,IF(_xlpm.act&gt;_xlpm.ant,-0.08,0)),_xlpm.ajcli,IF(T308&lt;0.95,-0.06,0),_xlpm.prob,MAX(0,MIN(1,_xlpm.prog+_xlpm.ajmov+_xlpm.ajcli)),IF(OR(V308="DIAMANTE",V308="CERRADO"),0,ROUND(_xlpm.prob,2)))</f>
        <v>0.84</v>
      </c>
      <c r="AK308" t="str">
        <f t="shared" si="108"/>
        <v>Faltan 5,6 puntos base para subir a la siguiente categoría</v>
      </c>
      <c r="AL308" t="str">
        <f t="shared" si="109"/>
        <v>Margen de seguridad: 34,8 puntos</v>
      </c>
      <c r="AM308">
        <f t="shared" si="110"/>
        <v>0.49</v>
      </c>
      <c r="AN308" t="str">
        <f t="shared" si="111"/>
        <v>PRIORIDAD MEDIA – seguimiento del asesor</v>
      </c>
      <c r="AO308">
        <f t="shared" si="112"/>
        <v>6.7824488820780848</v>
      </c>
      <c r="AP308">
        <f t="shared" si="113"/>
        <v>0.26986438082031688</v>
      </c>
      <c r="AQ308">
        <f t="shared" si="114"/>
        <v>0</v>
      </c>
      <c r="AR308">
        <f t="shared" si="115"/>
        <v>3.5699999999999994</v>
      </c>
      <c r="AS308">
        <f t="shared" si="116"/>
        <v>25.406350812775077</v>
      </c>
      <c r="AT308" t="str">
        <f t="shared" si="117"/>
        <v>CLIENTE</v>
      </c>
      <c r="AU308">
        <f t="shared" si="118"/>
        <v>25.406350812775077</v>
      </c>
      <c r="AV308" t="str">
        <f t="shared" si="119"/>
        <v>Mayor retorno probable: CLIENTE (+25,4 puntos finales potenciales).</v>
      </c>
    </row>
    <row r="309" spans="1:48" x14ac:dyDescent="0.3">
      <c r="A309" s="5">
        <v>51019130</v>
      </c>
      <c r="B309" s="5" t="str">
        <f>IFERROR(VLOOKUP(A309,VENTAS!$A$2:$B$1194,2,0),"")</f>
        <v>ROBERTS</v>
      </c>
      <c r="C309" s="5">
        <f>IFERROR(INDEX(VENTAS!$C$2:$E$1194,MATCH(A309,VENTAS!$A$2:$A$1194,0),MATCH(PARAMS_MODELO!$B$2,{"Q1","Q2","Q3"},0)),0)</f>
        <v>80969338.770000011</v>
      </c>
      <c r="D309" s="5">
        <f>IFERROR(INDEX(VENTAS!$F$2:$H$1194,MATCH(A309,VENTAS!$A$2:$A$1194,0),MATCH(PARAMS_MODELO!$B$2,{"Q1","Q2","Q3"},0)),0)</f>
        <v>102936123</v>
      </c>
      <c r="E309" s="8">
        <f t="shared" si="96"/>
        <v>0.27129756230810309</v>
      </c>
      <c r="F309" s="12">
        <f>IF(E309&lt;=PARAMS_MODELO!$B$15,0,IF(E309&gt;=PARAMS_MODELO!$B$17,100,100*MIN(1,(E309-PARAMS_MODELO!$B$15)/(PARAMS_MODELO!$B$16-PARAMS_MODELO!$B$15))))*PARAMS_MODELO!$B$7</f>
        <v>35</v>
      </c>
      <c r="G309" s="5">
        <f t="shared" si="97"/>
        <v>21966784.229999989</v>
      </c>
      <c r="H309" s="5">
        <f>(PARAMS_MODELO!$B$20*(MAX(0,MIN(3,E309))/3)+PARAMS_MODELO!$B$21*(IFERROR(LN(1+MAX(0,G309))/LN(1+MAX(0,MAX($G$2:$G$1194))),0)))*100*PARAMS_MODELO!$B$8</f>
        <v>4.9123193443577815</v>
      </c>
      <c r="I309" s="8">
        <f>E309-PARAMS_MODELO!$B$5</f>
        <v>9.3734726932576562E-2</v>
      </c>
      <c r="J309" s="5">
        <f>IF(I309&lt;=PARAMS_MODELO!$B$18,0,IF(I309&gt;=PARAMS_MODELO!$B$19,100,100*(I309-PARAMS_MODELO!$B$18)/(PARAMS_MODELO!$B$19-PARAMS_MODELO!$B$18)))*PARAMS_MODELO!$B$9</f>
        <v>15</v>
      </c>
      <c r="K309" s="5">
        <f>IFERROR(CHOOSE(MATCH(PARAMS_MODELO!$B$2,{"Q1","Q2","Q3"},0),LOTO!$D309,LOTO!$F309,LOTO!$H309),0)</f>
        <v>5035000.0000000009</v>
      </c>
      <c r="L309" s="8">
        <f t="shared" si="98"/>
        <v>4.891382979325927E-2</v>
      </c>
      <c r="M309" s="5">
        <f>MIN(100,IF(PARAMS_MODELO!$B$23=0,0,100*L309/PARAMS_MODELO!$B$23))*PARAMS_MODELO!$B$10</f>
        <v>14.67414893797778</v>
      </c>
      <c r="N309" s="5">
        <f>IFERROR(VLOOKUP(A309,COMPLIANCE!$A$2:$F$1996,6,0),100)</f>
        <v>100</v>
      </c>
      <c r="O309" s="5">
        <f>N309*PARAMS_MODELO!$B$11</f>
        <v>10</v>
      </c>
      <c r="P309" s="5">
        <f>IFERROR(VLOOKUP(A309,DIGITAL!$A$2:$J$2000,7,0),100)</f>
        <v>55</v>
      </c>
      <c r="Q309" s="5">
        <f>IFERROR(P309,0)*PARAMS_MODELO!$B$12</f>
        <v>5.5</v>
      </c>
      <c r="R309">
        <f t="shared" si="99"/>
        <v>85.086468282335559</v>
      </c>
      <c r="S309" s="5" t="str">
        <f>IFERROR(VLOOKUP(A309,CLIENTE!$A$2:$N$2000,13,0),1)</f>
        <v>Regular</v>
      </c>
      <c r="T309" s="5">
        <f>IFERROR(VLOOKUP(A309,CLIENTE!$A$2:$N$2000,14,0),1)</f>
        <v>1</v>
      </c>
      <c r="U309" s="5">
        <f t="shared" si="100"/>
        <v>85.086468282335559</v>
      </c>
      <c r="V309" s="5" t="str">
        <f>IF(U309&gt;=MAX(_xlfn.PERCENTILE.INC($U$2:$U$1194,PARAMS_MODELO!$B$50),PARAMS_MODELO!$B$45),"DIAMANTE",IF(U309&gt;=MAX(_xlfn.PERCENTILE.INC($U$2:$U$1194,PARAMS_MODELO!$B$51),PARAMS_MODELO!$B$46),"PLATINO",IF(U309&gt;=MAX(_xlfn.PERCENTILE.INC($U$2:$U$1194,PARAMS_MODELO!$B$52),PARAMS_MODELO!$B$47),"ORO",IF(U309&gt;=MAX(_xlfn.PERCENTILE.INC($U$2:$U$1194,PARAMS_MODELO!$B$53),PARAMS_MODELO!$B$48),"PLATA",IF(U309&gt;=1,"BRONCE","CERRADO")))))</f>
        <v>ORO</v>
      </c>
      <c r="W309" s="5" t="str" cm="1">
        <f t="array" ref="W309">_xlfn.XLOOKUP(1, (HIST_SCORE!$B:$B=PARAMS_MODELO!$B$4) * (HIST_SCORE!$C:$C=A309), HIST_SCORE!$E:$E, "No encontrado")</f>
        <v>ORO</v>
      </c>
      <c r="X309" s="5" t="str">
        <f>_xlfn.LET(_xlpm.act,MATCH(V309,{"DIAMANTE";"PLATINO";"ORO";"PLATA";"BRONCE";"CERRADO"},0),_xlpm.ant,MATCH(W309,{"DIAMANTE";"PLATINO";"ORO";"PLATA";"BRONCE";"CERRADO"},0),IF(_xlpm.act&lt;_xlpm.ant,"Mejora ↑",IF(_xlpm.act&gt;_xlpm.ant,"Baja ↓","Estable →")))</f>
        <v>Estable →</v>
      </c>
      <c r="Y309" s="5">
        <f>IFERROR(U309-SUMIFS(HIST_SCORE!$D:$D,HIST_SCORE!$B:$B,PARAMS_MODELO!$B$4,HIST_SCORE!$C:$C,$A309),"")</f>
        <v>3.5791997255990537</v>
      </c>
      <c r="Z309" s="5" t="str">
        <f t="shared" si="101"/>
        <v>→ Estable</v>
      </c>
      <c r="AA309" s="5">
        <f t="shared" si="102"/>
        <v>281</v>
      </c>
      <c r="AB309" s="5">
        <f>IFERROR(SUMIFS(HIST_SCORE!$F:$F,HIST_SCORE!$B:$B,PARAMS_MODELO!$B$4,HIST_SCORE!$C:$C,$A309),"")</f>
        <v>382</v>
      </c>
      <c r="AC309" s="5">
        <f t="shared" si="103"/>
        <v>101</v>
      </c>
      <c r="AD309" t="str">
        <f t="shared" si="105"/>
        <v/>
      </c>
      <c r="AE3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309="CERRADO",1,IF(V309="BRONCE",_xlpm.cPl,IF(V309="PLATA",_xlpm.cO,IF(V309="ORO",_xlpm.cP,IF(V309="PLATINO",_xlpm.cD,999))))))</f>
        <v>86.439123873763251</v>
      </c>
      <c r="AF3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309="CERRADO",0,IF(V309="BRONCE",1,IF(V309="PLATA",_xlpm.cPl,IF(V309="ORO",_xlpm.cO,IF(V309="PLATINO",_xlpm.cP,_xlpm.cD))))))</f>
        <v>63.199193273331495</v>
      </c>
      <c r="AG309">
        <f t="shared" si="106"/>
        <v>1.3526555914276912</v>
      </c>
      <c r="AH309" t="str">
        <f t="shared" si="107"/>
        <v>VENTAS</v>
      </c>
      <c r="AI309" t="str">
        <f t="shared" si="104"/>
        <v>🎯 Para subir de categoría, eje VENTAS / IMPACTO ABSOLUTO (H). Acción: metas semanales + activación comercial + seguimiento del asesor. ΔR aprox: 1,4</v>
      </c>
      <c r="AJ309" s="26">
        <f>_xlfn.LET(_xlpm.piso,AF309,_xlpm.corte,AE309,_xlpm.prog,IF(_xlpm.corte&lt;=_xlpm.piso,0,MAX(0,MIN(1,(U309-_xlpm.piso)/(_xlpm.corte-_xlpm.piso)))),_xlpm.orden,{"DIAMANTE";"PLATINO";"ORO";"PLATA";"BRONCE";"CERRADO"},_xlpm.act,IFERROR(MATCH(V309,_xlpm.orden,0),6),_xlpm.ant,IFERROR(MATCH(W309,_xlpm.orden,0),6),_xlpm.ajmov,IF(_xlpm.act&lt;_xlpm.ant,0.08,IF(_xlpm.act&gt;_xlpm.ant,-0.08,0)),_xlpm.ajcli,IF(T309&lt;0.95,-0.06,0),_xlpm.prob,MAX(0,MIN(1,_xlpm.prog+_xlpm.ajmov+_xlpm.ajcli)),IF(OR(V309="DIAMANTE",V309="CERRADO"),0,ROUND(_xlpm.prob,2)))</f>
        <v>0.94</v>
      </c>
      <c r="AK309" t="str">
        <f t="shared" si="108"/>
        <v>Faltan 1,4 puntos base para subir a la siguiente categoría</v>
      </c>
      <c r="AL309" t="str">
        <f t="shared" si="109"/>
        <v>Margen de seguridad: 21,9 puntos</v>
      </c>
      <c r="AM309">
        <f t="shared" si="110"/>
        <v>0.08</v>
      </c>
      <c r="AN309" t="str">
        <f t="shared" si="111"/>
        <v>PRIORIDAD BAJA – control normal</v>
      </c>
      <c r="AO309">
        <f t="shared" si="112"/>
        <v>9.950249930937801</v>
      </c>
      <c r="AP309">
        <f t="shared" si="113"/>
        <v>0.32585106202222036</v>
      </c>
      <c r="AQ309">
        <f t="shared" si="114"/>
        <v>0</v>
      </c>
      <c r="AR309">
        <f t="shared" si="115"/>
        <v>4.5</v>
      </c>
      <c r="AS309">
        <f t="shared" si="116"/>
        <v>0</v>
      </c>
      <c r="AT309" t="str">
        <f t="shared" si="117"/>
        <v>VENTAS</v>
      </c>
      <c r="AU309">
        <f t="shared" si="118"/>
        <v>9.950249930937801</v>
      </c>
      <c r="AV309" t="str">
        <f t="shared" si="119"/>
        <v>Mayor retorno probable: VENTAS (+10,0 puntos finales potenciales).</v>
      </c>
    </row>
    <row r="310" spans="1:48" x14ac:dyDescent="0.3">
      <c r="A310" s="5">
        <v>51036255</v>
      </c>
      <c r="B310" s="5" t="str">
        <f>IFERROR(VLOOKUP(A310,VENTAS!$A$2:$B$1194,2,0),"")</f>
        <v>ROBERTS</v>
      </c>
      <c r="C310" s="5">
        <f>IFERROR(INDEX(VENTAS!$C$2:$E$1194,MATCH(A310,VENTAS!$A$2:$A$1194,0),MATCH(PARAMS_MODELO!$B$2,{"Q1","Q2","Q3"},0)),0)</f>
        <v>91400003.049999997</v>
      </c>
      <c r="D310" s="5">
        <f>IFERROR(INDEX(VENTAS!$F$2:$H$1194,MATCH(A310,VENTAS!$A$2:$A$1194,0),MATCH(PARAMS_MODELO!$B$2,{"Q1","Q2","Q3"},0)),0)</f>
        <v>102898409</v>
      </c>
      <c r="E310" s="8">
        <f t="shared" si="96"/>
        <v>0.1258031243577733</v>
      </c>
      <c r="F310" s="12">
        <f>IF(E310&lt;=PARAMS_MODELO!$B$15,0,IF(E310&gt;=PARAMS_MODELO!$B$17,100,100*MIN(1,(E310-PARAMS_MODELO!$B$15)/(PARAMS_MODELO!$B$16-PARAMS_MODELO!$B$15))))*PARAMS_MODELO!$B$7</f>
        <v>35</v>
      </c>
      <c r="G310" s="5">
        <f t="shared" si="97"/>
        <v>11498405.950000003</v>
      </c>
      <c r="H310" s="5">
        <f>(PARAMS_MODELO!$B$20*(MAX(0,MIN(3,E310))/3)+PARAMS_MODELO!$B$21*(IFERROR(LN(1+MAX(0,G310))/LN(1+MAX(0,MAX($G$2:$G$1194))),0)))*100*PARAMS_MODELO!$B$8</f>
        <v>4.2513472514016453</v>
      </c>
      <c r="I310" s="8">
        <f>E310-PARAMS_MODELO!$B$5</f>
        <v>-5.1759711017753229E-2</v>
      </c>
      <c r="J310" s="5">
        <f>IF(I310&lt;=PARAMS_MODELO!$B$18,0,IF(I310&gt;=PARAMS_MODELO!$B$19,100,100*(I310-PARAMS_MODELO!$B$18)/(PARAMS_MODELO!$B$19-PARAMS_MODELO!$B$18)))*PARAMS_MODELO!$B$9</f>
        <v>0</v>
      </c>
      <c r="K310" s="5">
        <f>IFERROR(CHOOSE(MATCH(PARAMS_MODELO!$B$2,{"Q1","Q2","Q3"},0),LOTO!$D310,LOTO!$F310,LOTO!$H310),0)</f>
        <v>5035000.0000000009</v>
      </c>
      <c r="L310" s="8">
        <f t="shared" si="98"/>
        <v>4.8931757535726338E-2</v>
      </c>
      <c r="M310" s="5">
        <f>MIN(100,IF(PARAMS_MODELO!$B$23=0,0,100*L310/PARAMS_MODELO!$B$23))*PARAMS_MODELO!$B$10</f>
        <v>14.679527260717899</v>
      </c>
      <c r="N310" s="5">
        <f>IFERROR(VLOOKUP(A310,COMPLIANCE!$A$2:$F$1996,6,0),100)</f>
        <v>100</v>
      </c>
      <c r="O310" s="5">
        <f>N310*PARAMS_MODELO!$B$11</f>
        <v>10</v>
      </c>
      <c r="P310" s="5">
        <f>IFERROR(VLOOKUP(A310,DIGITAL!$A$2:$J$2000,7,0),100)</f>
        <v>19</v>
      </c>
      <c r="Q310" s="5">
        <f>IFERROR(P310,0)*PARAMS_MODELO!$B$12</f>
        <v>1.9000000000000001</v>
      </c>
      <c r="R310">
        <f t="shared" si="99"/>
        <v>65.83087451211955</v>
      </c>
      <c r="S310" s="5" t="str">
        <f>IFERROR(VLOOKUP(A310,CLIENTE!$A$2:$N$2000,13,0),1)</f>
        <v>Regular</v>
      </c>
      <c r="T310" s="5">
        <f>IFERROR(VLOOKUP(A310,CLIENTE!$A$2:$N$2000,14,0),1)</f>
        <v>1</v>
      </c>
      <c r="U310" s="5">
        <f t="shared" si="100"/>
        <v>65.83087451211955</v>
      </c>
      <c r="V310" s="5" t="str">
        <f>IF(U310&gt;=MAX(_xlfn.PERCENTILE.INC($U$2:$U$1194,PARAMS_MODELO!$B$50),PARAMS_MODELO!$B$45),"DIAMANTE",IF(U310&gt;=MAX(_xlfn.PERCENTILE.INC($U$2:$U$1194,PARAMS_MODELO!$B$51),PARAMS_MODELO!$B$46),"PLATINO",IF(U310&gt;=MAX(_xlfn.PERCENTILE.INC($U$2:$U$1194,PARAMS_MODELO!$B$52),PARAMS_MODELO!$B$47),"ORO",IF(U310&gt;=MAX(_xlfn.PERCENTILE.INC($U$2:$U$1194,PARAMS_MODELO!$B$53),PARAMS_MODELO!$B$48),"PLATA",IF(U310&gt;=1,"BRONCE","CERRADO")))))</f>
        <v>ORO</v>
      </c>
      <c r="W310" s="5" t="str" cm="1">
        <f t="array" ref="W310">_xlfn.XLOOKUP(1, (HIST_SCORE!$B:$B=PARAMS_MODELO!$B$4) * (HIST_SCORE!$C:$C=A310), HIST_SCORE!$E:$E, "No encontrado")</f>
        <v>ORO</v>
      </c>
      <c r="X310" s="5" t="str">
        <f>_xlfn.LET(_xlpm.act,MATCH(V310,{"DIAMANTE";"PLATINO";"ORO";"PLATA";"BRONCE";"CERRADO"},0),_xlpm.ant,MATCH(W310,{"DIAMANTE";"PLATINO";"ORO";"PLATA";"BRONCE";"CERRADO"},0),IF(_xlpm.act&lt;_xlpm.ant,"Mejora ↑",IF(_xlpm.act&gt;_xlpm.ant,"Baja ↓","Estable →")))</f>
        <v>Estable →</v>
      </c>
      <c r="Y310" s="5">
        <f>IFERROR(U310-SUMIFS(HIST_SCORE!$D:$D,HIST_SCORE!$B:$B,PARAMS_MODELO!$B$4,HIST_SCORE!$C:$C,$A310),"")</f>
        <v>2.3294640293435052</v>
      </c>
      <c r="Z310" s="5" t="str">
        <f t="shared" si="101"/>
        <v>→ Estable</v>
      </c>
      <c r="AA310" s="5">
        <f t="shared" si="102"/>
        <v>542</v>
      </c>
      <c r="AB310" s="5">
        <f>IFERROR(SUMIFS(HIST_SCORE!$F:$F,HIST_SCORE!$B:$B,PARAMS_MODELO!$B$4,HIST_SCORE!$C:$C,$A310),"")</f>
        <v>584</v>
      </c>
      <c r="AC310" s="5">
        <f t="shared" si="103"/>
        <v>42</v>
      </c>
      <c r="AD310" t="str">
        <f t="shared" si="105"/>
        <v/>
      </c>
      <c r="AE3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310="CERRADO",1,IF(V310="BRONCE",_xlpm.cPl,IF(V310="PLATA",_xlpm.cO,IF(V310="ORO",_xlpm.cP,IF(V310="PLATINO",_xlpm.cD,999))))))</f>
        <v>86.439123873763251</v>
      </c>
      <c r="AF3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310="CERRADO",0,IF(V310="BRONCE",1,IF(V310="PLATA",_xlpm.cPl,IF(V310="ORO",_xlpm.cO,IF(V310="PLATINO",_xlpm.cP,_xlpm.cD))))))</f>
        <v>63.199193273331495</v>
      </c>
      <c r="AG310">
        <f t="shared" si="106"/>
        <v>20.608249361643701</v>
      </c>
      <c r="AH310" t="str">
        <f t="shared" si="107"/>
        <v>VENTAS</v>
      </c>
      <c r="AI310" t="str">
        <f t="shared" si="104"/>
        <v>🎯 Para subir de categoría, eje VENTAS / DIFERENCIAL vs LOTBA (J). Acción: metas semanales + activación comercial + seguimiento del asesor. ΔR aprox: 20,6</v>
      </c>
      <c r="AJ310" s="26">
        <f>_xlfn.LET(_xlpm.piso,AF310,_xlpm.corte,AE310,_xlpm.prog,IF(_xlpm.corte&lt;=_xlpm.piso,0,MAX(0,MIN(1,(U310-_xlpm.piso)/(_xlpm.corte-_xlpm.piso)))),_xlpm.orden,{"DIAMANTE";"PLATINO";"ORO";"PLATA";"BRONCE";"CERRADO"},_xlpm.act,IFERROR(MATCH(V310,_xlpm.orden,0),6),_xlpm.ant,IFERROR(MATCH(W310,_xlpm.orden,0),6),_xlpm.ajmov,IF(_xlpm.act&lt;_xlpm.ant,0.08,IF(_xlpm.act&gt;_xlpm.ant,-0.08,0)),_xlpm.ajcli,IF(T310&lt;0.95,-0.06,0),_xlpm.prob,MAX(0,MIN(1,_xlpm.prog+_xlpm.ajmov+_xlpm.ajcli)),IF(OR(V310="DIAMANTE",V310="CERRADO"),0,ROUND(_xlpm.prob,2)))</f>
        <v>0.11</v>
      </c>
      <c r="AK310" t="str">
        <f t="shared" si="108"/>
        <v>Faltan 20,6 puntos base para subir a la siguiente categoría</v>
      </c>
      <c r="AL310" t="str">
        <f t="shared" si="109"/>
        <v>Margen de seguridad: 2,6 puntos</v>
      </c>
      <c r="AM310">
        <f t="shared" si="110"/>
        <v>0.76</v>
      </c>
      <c r="AN310" t="str">
        <f t="shared" si="111"/>
        <v>PRIORIDAD ALTA – requiere intervención inmediata</v>
      </c>
      <c r="AO310">
        <f t="shared" si="112"/>
        <v>25.611222023893937</v>
      </c>
      <c r="AP310">
        <f t="shared" si="113"/>
        <v>0.32047273928210096</v>
      </c>
      <c r="AQ310">
        <f t="shared" si="114"/>
        <v>0</v>
      </c>
      <c r="AR310">
        <f t="shared" si="115"/>
        <v>8.1</v>
      </c>
      <c r="AS310">
        <f t="shared" si="116"/>
        <v>0</v>
      </c>
      <c r="AT310" t="str">
        <f t="shared" si="117"/>
        <v>VENTAS</v>
      </c>
      <c r="AU310">
        <f t="shared" si="118"/>
        <v>25.611222023893937</v>
      </c>
      <c r="AV310" t="str">
        <f t="shared" si="119"/>
        <v>Mayor retorno probable: VENTAS (+25,6 puntos finales potenciales).</v>
      </c>
    </row>
    <row r="311" spans="1:48" x14ac:dyDescent="0.3">
      <c r="A311" s="5">
        <v>51056809</v>
      </c>
      <c r="B311" s="5" t="str">
        <f>IFERROR(VLOOKUP(A311,VENTAS!$A$2:$B$1194,2,0),"")</f>
        <v>AYALA</v>
      </c>
      <c r="C311" s="5">
        <f>IFERROR(INDEX(VENTAS!$C$2:$E$1194,MATCH(A311,VENTAS!$A$2:$A$1194,0),MATCH(PARAMS_MODELO!$B$2,{"Q1","Q2","Q3"},0)),0)</f>
        <v>97118938.549999997</v>
      </c>
      <c r="D311" s="5">
        <f>IFERROR(INDEX(VENTAS!$F$2:$H$1194,MATCH(A311,VENTAS!$A$2:$A$1194,0),MATCH(PARAMS_MODELO!$B$2,{"Q1","Q2","Q3"},0)),0)</f>
        <v>102874866</v>
      </c>
      <c r="E311" s="8">
        <f t="shared" si="96"/>
        <v>5.9266787054480297E-2</v>
      </c>
      <c r="F311" s="12">
        <f>IF(E311&lt;=PARAMS_MODELO!$B$15,0,IF(E311&gt;=PARAMS_MODELO!$B$17,100,100*MIN(1,(E311-PARAMS_MODELO!$B$15)/(PARAMS_MODELO!$B$16-PARAMS_MODELO!$B$15))))*PARAMS_MODELO!$B$7</f>
        <v>20.743375469068102</v>
      </c>
      <c r="G311" s="5">
        <f t="shared" si="97"/>
        <v>5755927.450000003</v>
      </c>
      <c r="H311" s="5">
        <f>(PARAMS_MODELO!$B$20*(MAX(0,MIN(3,E311))/3)+PARAMS_MODELO!$B$21*(IFERROR(LN(1+MAX(0,G311))/LN(1+MAX(0,MAX($G$2:$G$1194))),0)))*100*PARAMS_MODELO!$B$8</f>
        <v>3.8562607340371651</v>
      </c>
      <c r="I311" s="8">
        <f>E311-PARAMS_MODELO!$B$5</f>
        <v>-0.11829604832104623</v>
      </c>
      <c r="J311" s="5">
        <f>IF(I311&lt;=PARAMS_MODELO!$B$18,0,IF(I311&gt;=PARAMS_MODELO!$B$19,100,100*(I311-PARAMS_MODELO!$B$18)/(PARAMS_MODELO!$B$19-PARAMS_MODELO!$B$18)))*PARAMS_MODELO!$B$9</f>
        <v>0</v>
      </c>
      <c r="K311" s="5">
        <f>IFERROR(CHOOSE(MATCH(PARAMS_MODELO!$B$2,{"Q1","Q2","Q3"},0),LOTO!$D311,LOTO!$F311,LOTO!$H311),0)</f>
        <v>5030000</v>
      </c>
      <c r="L311" s="8">
        <f t="shared" si="98"/>
        <v>4.8894352873324762E-2</v>
      </c>
      <c r="M311" s="5">
        <f>MIN(100,IF(PARAMS_MODELO!$B$23=0,0,100*L311/PARAMS_MODELO!$B$23))*PARAMS_MODELO!$B$10</f>
        <v>14.668305861997426</v>
      </c>
      <c r="N311" s="5">
        <f>IFERROR(VLOOKUP(A311,COMPLIANCE!$A$2:$F$1996,6,0),100)</f>
        <v>100</v>
      </c>
      <c r="O311" s="5">
        <f>N311*PARAMS_MODELO!$B$11</f>
        <v>10</v>
      </c>
      <c r="P311" s="5">
        <f>IFERROR(VLOOKUP(A311,DIGITAL!$A$2:$J$2000,7,0),100)</f>
        <v>76</v>
      </c>
      <c r="Q311" s="5">
        <f>IFERROR(P311,0)*PARAMS_MODELO!$B$12</f>
        <v>7.6000000000000005</v>
      </c>
      <c r="R311">
        <f t="shared" si="99"/>
        <v>56.867942065102696</v>
      </c>
      <c r="S311" s="5" t="str">
        <f>IFERROR(VLOOKUP(A311,CLIENTE!$A$2:$N$2000,13,0),1)</f>
        <v>Regular</v>
      </c>
      <c r="T311" s="5">
        <f>IFERROR(VLOOKUP(A311,CLIENTE!$A$2:$N$2000,14,0),1)</f>
        <v>1</v>
      </c>
      <c r="U311" s="5">
        <f t="shared" si="100"/>
        <v>56.867942065102696</v>
      </c>
      <c r="V311" s="5" t="str">
        <f>IF(U311&gt;=MAX(_xlfn.PERCENTILE.INC($U$2:$U$1194,PARAMS_MODELO!$B$50),PARAMS_MODELO!$B$45),"DIAMANTE",IF(U311&gt;=MAX(_xlfn.PERCENTILE.INC($U$2:$U$1194,PARAMS_MODELO!$B$51),PARAMS_MODELO!$B$46),"PLATINO",IF(U311&gt;=MAX(_xlfn.PERCENTILE.INC($U$2:$U$1194,PARAMS_MODELO!$B$52),PARAMS_MODELO!$B$47),"ORO",IF(U311&gt;=MAX(_xlfn.PERCENTILE.INC($U$2:$U$1194,PARAMS_MODELO!$B$53),PARAMS_MODELO!$B$48),"PLATA",IF(U311&gt;=1,"BRONCE","CERRADO")))))</f>
        <v>PLATA</v>
      </c>
      <c r="W311" s="5" t="str" cm="1">
        <f t="array" ref="W311">_xlfn.XLOOKUP(1, (HIST_SCORE!$B:$B=PARAMS_MODELO!$B$4) * (HIST_SCORE!$C:$C=A311), HIST_SCORE!$E:$E, "No encontrado")</f>
        <v>PLATA</v>
      </c>
      <c r="X311" s="5" t="str">
        <f>_xlfn.LET(_xlpm.act,MATCH(V311,{"DIAMANTE";"PLATINO";"ORO";"PLATA";"BRONCE";"CERRADO"},0),_xlpm.ant,MATCH(W311,{"DIAMANTE";"PLATINO";"ORO";"PLATA";"BRONCE";"CERRADO"},0),IF(_xlpm.act&lt;_xlpm.ant,"Mejora ↑",IF(_xlpm.act&gt;_xlpm.ant,"Baja ↓","Estable →")))</f>
        <v>Estable →</v>
      </c>
      <c r="Y311" s="5">
        <f>IFERROR(U311-SUMIFS(HIST_SCORE!$D:$D,HIST_SCORE!$B:$B,PARAMS_MODELO!$B$4,HIST_SCORE!$C:$C,$A311),"")</f>
        <v>14.99602984692492</v>
      </c>
      <c r="Z311" s="5" t="str">
        <f t="shared" si="101"/>
        <v>↑ Mejora</v>
      </c>
      <c r="AA311" s="5">
        <f t="shared" si="102"/>
        <v>686</v>
      </c>
      <c r="AB311" s="5">
        <f>IFERROR(SUMIFS(HIST_SCORE!$F:$F,HIST_SCORE!$B:$B,PARAMS_MODELO!$B$4,HIST_SCORE!$C:$C,$A311),"")</f>
        <v>839</v>
      </c>
      <c r="AC311" s="5">
        <f t="shared" si="103"/>
        <v>153</v>
      </c>
      <c r="AD311" t="str">
        <f t="shared" si="105"/>
        <v/>
      </c>
      <c r="AE3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311="CERRADO",1,IF(V311="BRONCE",_xlpm.cPl,IF(V311="PLATA",_xlpm.cO,IF(V311="ORO",_xlpm.cP,IF(V311="PLATINO",_xlpm.cD,999))))))</f>
        <v>63.199193273331495</v>
      </c>
      <c r="AF3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311="CERRADO",0,IF(V311="BRONCE",1,IF(V311="PLATA",_xlpm.cPl,IF(V311="ORO",_xlpm.cO,IF(V311="PLATINO",_xlpm.cP,_xlpm.cD))))))</f>
        <v>24.506573482968111</v>
      </c>
      <c r="AG311">
        <f t="shared" si="106"/>
        <v>6.3312512082287995</v>
      </c>
      <c r="AH311" t="str">
        <f t="shared" si="107"/>
        <v>VENTAS</v>
      </c>
      <c r="AI311" t="str">
        <f t="shared" si="104"/>
        <v>🎯 Para subir de categoría, eje VENTAS / DIFERENCIAL vs LOTBA (J). Acción: metas semanales + activación comercial + seguimiento del asesor. ΔR aprox: 6,3</v>
      </c>
      <c r="AJ311" s="26">
        <f>_xlfn.LET(_xlpm.piso,AF311,_xlpm.corte,AE311,_xlpm.prog,IF(_xlpm.corte&lt;=_xlpm.piso,0,MAX(0,MIN(1,(U311-_xlpm.piso)/(_xlpm.corte-_xlpm.piso)))),_xlpm.orden,{"DIAMANTE";"PLATINO";"ORO";"PLATA";"BRONCE";"CERRADO"},_xlpm.act,IFERROR(MATCH(V311,_xlpm.orden,0),6),_xlpm.ant,IFERROR(MATCH(W311,_xlpm.orden,0),6),_xlpm.ajmov,IF(_xlpm.act&lt;_xlpm.ant,0.08,IF(_xlpm.act&gt;_xlpm.ant,-0.08,0)),_xlpm.ajcli,IF(T311&lt;0.95,-0.06,0),_xlpm.prob,MAX(0,MIN(1,_xlpm.prog+_xlpm.ajmov+_xlpm.ajcli)),IF(OR(V311="DIAMANTE",V311="CERRADO"),0,ROUND(_xlpm.prob,2)))</f>
        <v>0.84</v>
      </c>
      <c r="AK311" t="str">
        <f t="shared" si="108"/>
        <v>Faltan 6,3 puntos base para subir a la siguiente categoría</v>
      </c>
      <c r="AL311" t="str">
        <f t="shared" si="109"/>
        <v>Margen de seguridad: 32,4 puntos</v>
      </c>
      <c r="AM311">
        <f t="shared" si="110"/>
        <v>0.32</v>
      </c>
      <c r="AN311" t="str">
        <f t="shared" si="111"/>
        <v>PRIORIDAD BAJA – control normal</v>
      </c>
      <c r="AO311">
        <f t="shared" si="112"/>
        <v>40.262933072190322</v>
      </c>
      <c r="AP311">
        <f t="shared" si="113"/>
        <v>0.33169413800257352</v>
      </c>
      <c r="AQ311">
        <f t="shared" si="114"/>
        <v>0</v>
      </c>
      <c r="AR311">
        <f t="shared" si="115"/>
        <v>2.3999999999999995</v>
      </c>
      <c r="AS311">
        <f t="shared" si="116"/>
        <v>0</v>
      </c>
      <c r="AT311" t="str">
        <f t="shared" si="117"/>
        <v>VENTAS</v>
      </c>
      <c r="AU311">
        <f t="shared" si="118"/>
        <v>40.262933072190322</v>
      </c>
      <c r="AV311" t="str">
        <f t="shared" si="119"/>
        <v>Mayor retorno probable: VENTAS (+40,3 puntos finales potenciales).</v>
      </c>
    </row>
    <row r="312" spans="1:48" x14ac:dyDescent="0.3">
      <c r="A312" s="5">
        <v>51018699</v>
      </c>
      <c r="B312" s="5" t="str">
        <f>IFERROR(VLOOKUP(A312,VENTAS!$A$2:$B$1194,2,0),"")</f>
        <v>ARGUELLO</v>
      </c>
      <c r="C312" s="5">
        <f>IFERROR(INDEX(VENTAS!$C$2:$E$1194,MATCH(A312,VENTAS!$A$2:$A$1194,0),MATCH(PARAMS_MODELO!$B$2,{"Q1","Q2","Q3"},0)),0)</f>
        <v>70120149.099999994</v>
      </c>
      <c r="D312" s="5">
        <f>IFERROR(INDEX(VENTAS!$F$2:$H$1194,MATCH(A312,VENTAS!$A$2:$A$1194,0),MATCH(PARAMS_MODELO!$B$2,{"Q1","Q2","Q3"},0)),0)</f>
        <v>102805434</v>
      </c>
      <c r="E312" s="8">
        <f t="shared" si="96"/>
        <v>0.46613256417048898</v>
      </c>
      <c r="F312" s="12">
        <f>IF(E312&lt;=PARAMS_MODELO!$B$15,0,IF(E312&gt;=PARAMS_MODELO!$B$17,100,100*MIN(1,(E312-PARAMS_MODELO!$B$15)/(PARAMS_MODELO!$B$16-PARAMS_MODELO!$B$15))))*PARAMS_MODELO!$B$7</f>
        <v>35</v>
      </c>
      <c r="G312" s="5">
        <f t="shared" si="97"/>
        <v>32685284.900000006</v>
      </c>
      <c r="H312" s="5">
        <f>(PARAMS_MODELO!$B$20*(MAX(0,MIN(3,E312))/3)+PARAMS_MODELO!$B$21*(IFERROR(LN(1+MAX(0,G312))/LN(1+MAX(0,MAX($G$2:$G$1194))),0)))*100*PARAMS_MODELO!$B$8</f>
        <v>5.6873964243614017</v>
      </c>
      <c r="I312" s="8">
        <f>E312-PARAMS_MODELO!$B$5</f>
        <v>0.28856972879496245</v>
      </c>
      <c r="J312" s="5">
        <f>IF(I312&lt;=PARAMS_MODELO!$B$18,0,IF(I312&gt;=PARAMS_MODELO!$B$19,100,100*(I312-PARAMS_MODELO!$B$18)/(PARAMS_MODELO!$B$19-PARAMS_MODELO!$B$18)))*PARAMS_MODELO!$B$9</f>
        <v>15</v>
      </c>
      <c r="K312" s="5">
        <f>IFERROR(CHOOSE(MATCH(PARAMS_MODELO!$B$2,{"Q1","Q2","Q3"},0),LOTO!$D312,LOTO!$F312,LOTO!$H312),0)</f>
        <v>4990000</v>
      </c>
      <c r="L312" s="8">
        <f t="shared" si="98"/>
        <v>4.8538290300880402E-2</v>
      </c>
      <c r="M312" s="5">
        <f>MIN(100,IF(PARAMS_MODELO!$B$23=0,0,100*L312/PARAMS_MODELO!$B$23))*PARAMS_MODELO!$B$10</f>
        <v>14.561487090264119</v>
      </c>
      <c r="N312" s="5">
        <f>IFERROR(VLOOKUP(A312,COMPLIANCE!$A$2:$F$1996,6,0),100)</f>
        <v>100</v>
      </c>
      <c r="O312" s="5">
        <f>N312*PARAMS_MODELO!$B$11</f>
        <v>10</v>
      </c>
      <c r="P312" s="5">
        <f>IFERROR(VLOOKUP(A312,DIGITAL!$A$2:$J$2000,7,0),100)</f>
        <v>43</v>
      </c>
      <c r="Q312" s="5">
        <f>IFERROR(P312,0)*PARAMS_MODELO!$B$12</f>
        <v>4.3</v>
      </c>
      <c r="R312">
        <f t="shared" si="99"/>
        <v>84.548883514625516</v>
      </c>
      <c r="S312" s="5" t="str">
        <f>IFERROR(VLOOKUP(A312,CLIENTE!$A$2:$N$2000,13,0),1)</f>
        <v>Regular</v>
      </c>
      <c r="T312" s="5">
        <f>IFERROR(VLOOKUP(A312,CLIENTE!$A$2:$N$2000,14,0),1)</f>
        <v>1</v>
      </c>
      <c r="U312" s="5">
        <f t="shared" si="100"/>
        <v>84.548883514625516</v>
      </c>
      <c r="V312" s="5" t="str">
        <f>IF(U312&gt;=MAX(_xlfn.PERCENTILE.INC($U$2:$U$1194,PARAMS_MODELO!$B$50),PARAMS_MODELO!$B$45),"DIAMANTE",IF(U312&gt;=MAX(_xlfn.PERCENTILE.INC($U$2:$U$1194,PARAMS_MODELO!$B$51),PARAMS_MODELO!$B$46),"PLATINO",IF(U312&gt;=MAX(_xlfn.PERCENTILE.INC($U$2:$U$1194,PARAMS_MODELO!$B$52),PARAMS_MODELO!$B$47),"ORO",IF(U312&gt;=MAX(_xlfn.PERCENTILE.INC($U$2:$U$1194,PARAMS_MODELO!$B$53),PARAMS_MODELO!$B$48),"PLATA",IF(U312&gt;=1,"BRONCE","CERRADO")))))</f>
        <v>ORO</v>
      </c>
      <c r="W312" s="5" t="str" cm="1">
        <f t="array" ref="W312">_xlfn.XLOOKUP(1, (HIST_SCORE!$B:$B=PARAMS_MODELO!$B$4) * (HIST_SCORE!$C:$C=A312), HIST_SCORE!$E:$E, "No encontrado")</f>
        <v>ORO</v>
      </c>
      <c r="X312" s="5" t="str">
        <f>_xlfn.LET(_xlpm.act,MATCH(V312,{"DIAMANTE";"PLATINO";"ORO";"PLATA";"BRONCE";"CERRADO"},0),_xlpm.ant,MATCH(W312,{"DIAMANTE";"PLATINO";"ORO";"PLATA";"BRONCE";"CERRADO"},0),IF(_xlpm.act&lt;_xlpm.ant,"Mejora ↑",IF(_xlpm.act&gt;_xlpm.ant,"Baja ↓","Estable →")))</f>
        <v>Estable →</v>
      </c>
      <c r="Y312" s="5">
        <f>IFERROR(U312-SUMIFS(HIST_SCORE!$D:$D,HIST_SCORE!$B:$B,PARAMS_MODELO!$B$4,HIST_SCORE!$C:$C,$A312),"")</f>
        <v>6.8282397147797269E-2</v>
      </c>
      <c r="Z312" s="5" t="str">
        <f t="shared" si="101"/>
        <v>→ Estable</v>
      </c>
      <c r="AA312" s="5">
        <f t="shared" si="102"/>
        <v>298</v>
      </c>
      <c r="AB312" s="5">
        <f>IFERROR(SUMIFS(HIST_SCORE!$F:$F,HIST_SCORE!$B:$B,PARAMS_MODELO!$B$4,HIST_SCORE!$C:$C,$A312),"")</f>
        <v>273</v>
      </c>
      <c r="AC312" s="5">
        <f t="shared" si="103"/>
        <v>-25</v>
      </c>
      <c r="AD312" t="str">
        <f t="shared" si="105"/>
        <v/>
      </c>
      <c r="AE3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312="CERRADO",1,IF(V312="BRONCE",_xlpm.cPl,IF(V312="PLATA",_xlpm.cO,IF(V312="ORO",_xlpm.cP,IF(V312="PLATINO",_xlpm.cD,999))))))</f>
        <v>86.439123873763251</v>
      </c>
      <c r="AF3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312="CERRADO",0,IF(V312="BRONCE",1,IF(V312="PLATA",_xlpm.cPl,IF(V312="ORO",_xlpm.cO,IF(V312="PLATINO",_xlpm.cP,_xlpm.cD))))))</f>
        <v>63.199193273331495</v>
      </c>
      <c r="AG312">
        <f t="shared" si="106"/>
        <v>1.890240359137735</v>
      </c>
      <c r="AH312" t="str">
        <f t="shared" si="107"/>
        <v>VENTAS</v>
      </c>
      <c r="AI312" t="str">
        <f t="shared" si="104"/>
        <v>🎯 Para subir de categoría, eje VENTAS / IMPACTO ABSOLUTO (H). Acción: metas semanales + activación comercial + seguimiento del asesor. ΔR aprox: 1,9</v>
      </c>
      <c r="AJ312" s="26">
        <f>_xlfn.LET(_xlpm.piso,AF312,_xlpm.corte,AE312,_xlpm.prog,IF(_xlpm.corte&lt;=_xlpm.piso,0,MAX(0,MIN(1,(U312-_xlpm.piso)/(_xlpm.corte-_xlpm.piso)))),_xlpm.orden,{"DIAMANTE";"PLATINO";"ORO";"PLATA";"BRONCE";"CERRADO"},_xlpm.act,IFERROR(MATCH(V312,_xlpm.orden,0),6),_xlpm.ant,IFERROR(MATCH(W312,_xlpm.orden,0),6),_xlpm.ajmov,IF(_xlpm.act&lt;_xlpm.ant,0.08,IF(_xlpm.act&gt;_xlpm.ant,-0.08,0)),_xlpm.ajcli,IF(T312&lt;0.95,-0.06,0),_xlpm.prob,MAX(0,MIN(1,_xlpm.prog+_xlpm.ajmov+_xlpm.ajcli)),IF(OR(V312="DIAMANTE",V312="CERRADO"),0,ROUND(_xlpm.prob,2)))</f>
        <v>0.92</v>
      </c>
      <c r="AK312" t="str">
        <f t="shared" si="108"/>
        <v>Faltan 1,9 puntos base para subir a la siguiente categoría</v>
      </c>
      <c r="AL312" t="str">
        <f t="shared" si="109"/>
        <v>Margen de seguridad: 21,3 puntos</v>
      </c>
      <c r="AM312">
        <f t="shared" si="110"/>
        <v>0.11</v>
      </c>
      <c r="AN312" t="str">
        <f t="shared" si="111"/>
        <v>PRIORIDAD BAJA – control normal</v>
      </c>
      <c r="AO312">
        <f t="shared" si="112"/>
        <v>9.1751728509341817</v>
      </c>
      <c r="AP312">
        <f t="shared" si="113"/>
        <v>0.43851290973588064</v>
      </c>
      <c r="AQ312">
        <f t="shared" si="114"/>
        <v>0</v>
      </c>
      <c r="AR312">
        <f t="shared" si="115"/>
        <v>5.7</v>
      </c>
      <c r="AS312">
        <f t="shared" si="116"/>
        <v>0</v>
      </c>
      <c r="AT312" t="str">
        <f t="shared" si="117"/>
        <v>VENTAS</v>
      </c>
      <c r="AU312">
        <f t="shared" si="118"/>
        <v>9.1751728509341817</v>
      </c>
      <c r="AV312" t="str">
        <f t="shared" si="119"/>
        <v>Mayor retorno probable: VENTAS (+9,2 puntos finales potenciales).</v>
      </c>
    </row>
    <row r="313" spans="1:48" x14ac:dyDescent="0.3">
      <c r="A313" s="5">
        <v>51010019</v>
      </c>
      <c r="B313" s="5" t="str">
        <f>IFERROR(VLOOKUP(A313,VENTAS!$A$2:$B$1194,2,0),"")</f>
        <v>LÓPEZ</v>
      </c>
      <c r="C313" s="5">
        <f>IFERROR(INDEX(VENTAS!$C$2:$E$1194,MATCH(A313,VENTAS!$A$2:$A$1194,0),MATCH(PARAMS_MODELO!$B$2,{"Q1","Q2","Q3"},0)),0)</f>
        <v>89513309.729999989</v>
      </c>
      <c r="D313" s="5">
        <f>IFERROR(INDEX(VENTAS!$F$2:$H$1194,MATCH(A313,VENTAS!$A$2:$A$1194,0),MATCH(PARAMS_MODELO!$B$2,{"Q1","Q2","Q3"},0)),0)</f>
        <v>102602155</v>
      </c>
      <c r="E313" s="8">
        <f t="shared" si="96"/>
        <v>0.14622233620318625</v>
      </c>
      <c r="F313" s="12">
        <f>IF(E313&lt;=PARAMS_MODELO!$B$15,0,IF(E313&gt;=PARAMS_MODELO!$B$17,100,100*MIN(1,(E313-PARAMS_MODELO!$B$15)/(PARAMS_MODELO!$B$16-PARAMS_MODELO!$B$15))))*PARAMS_MODELO!$B$7</f>
        <v>35</v>
      </c>
      <c r="G313" s="5">
        <f t="shared" si="97"/>
        <v>13088845.270000011</v>
      </c>
      <c r="H313" s="5">
        <f>(PARAMS_MODELO!$B$20*(MAX(0,MIN(3,E313))/3)+PARAMS_MODELO!$B$21*(IFERROR(LN(1+MAX(0,G313))/LN(1+MAX(0,MAX($G$2:$G$1194))),0)))*100*PARAMS_MODELO!$B$8</f>
        <v>4.3531832757808342</v>
      </c>
      <c r="I313" s="8">
        <f>E313-PARAMS_MODELO!$B$5</f>
        <v>-3.1340499172340275E-2</v>
      </c>
      <c r="J313" s="5">
        <f>IF(I313&lt;=PARAMS_MODELO!$B$18,0,IF(I313&gt;=PARAMS_MODELO!$B$19,100,100*(I313-PARAMS_MODELO!$B$18)/(PARAMS_MODELO!$B$19-PARAMS_MODELO!$B$18)))*PARAMS_MODELO!$B$9</f>
        <v>2.7989251241489588</v>
      </c>
      <c r="K313" s="5">
        <f>IFERROR(CHOOSE(MATCH(PARAMS_MODELO!$B$2,{"Q1","Q2","Q3"},0),LOTO!$D313,LOTO!$F313,LOTO!$H313),0)</f>
        <v>4977500</v>
      </c>
      <c r="L313" s="8">
        <f t="shared" si="98"/>
        <v>4.8512626269886824E-2</v>
      </c>
      <c r="M313" s="5">
        <f>MIN(100,IF(PARAMS_MODELO!$B$23=0,0,100*L313/PARAMS_MODELO!$B$23))*PARAMS_MODELO!$B$10</f>
        <v>14.553787880966047</v>
      </c>
      <c r="N313" s="5">
        <f>IFERROR(VLOOKUP(A313,COMPLIANCE!$A$2:$F$1996,6,0),100)</f>
        <v>99.25</v>
      </c>
      <c r="O313" s="5">
        <f>N313*PARAMS_MODELO!$B$11</f>
        <v>9.9250000000000007</v>
      </c>
      <c r="P313" s="5">
        <f>IFERROR(VLOOKUP(A313,DIGITAL!$A$2:$J$2000,7,0),100)</f>
        <v>60</v>
      </c>
      <c r="Q313" s="5">
        <f>IFERROR(P313,0)*PARAMS_MODELO!$B$12</f>
        <v>6</v>
      </c>
      <c r="R313">
        <f t="shared" si="99"/>
        <v>72.63089628089584</v>
      </c>
      <c r="S313" s="5" t="str">
        <f>IFERROR(VLOOKUP(A313,CLIENTE!$A$2:$N$2000,13,0),1)</f>
        <v>Bueno</v>
      </c>
      <c r="T313" s="5">
        <f>IFERROR(VLOOKUP(A313,CLIENTE!$A$2:$N$2000,14,0),1)</f>
        <v>1.1000000000000001</v>
      </c>
      <c r="U313" s="5">
        <f t="shared" si="100"/>
        <v>79.893985908985428</v>
      </c>
      <c r="V313" s="5" t="str">
        <f>IF(U313&gt;=MAX(_xlfn.PERCENTILE.INC($U$2:$U$1194,PARAMS_MODELO!$B$50),PARAMS_MODELO!$B$45),"DIAMANTE",IF(U313&gt;=MAX(_xlfn.PERCENTILE.INC($U$2:$U$1194,PARAMS_MODELO!$B$51),PARAMS_MODELO!$B$46),"PLATINO",IF(U313&gt;=MAX(_xlfn.PERCENTILE.INC($U$2:$U$1194,PARAMS_MODELO!$B$52),PARAMS_MODELO!$B$47),"ORO",IF(U313&gt;=MAX(_xlfn.PERCENTILE.INC($U$2:$U$1194,PARAMS_MODELO!$B$53),PARAMS_MODELO!$B$48),"PLATA",IF(U313&gt;=1,"BRONCE","CERRADO")))))</f>
        <v>ORO</v>
      </c>
      <c r="W313" s="5" t="str" cm="1">
        <f t="array" ref="W313">_xlfn.XLOOKUP(1, (HIST_SCORE!$B:$B=PARAMS_MODELO!$B$4) * (HIST_SCORE!$C:$C=A313), HIST_SCORE!$E:$E, "No encontrado")</f>
        <v>PLATINO</v>
      </c>
      <c r="X313" s="5" t="str">
        <f>_xlfn.LET(_xlpm.act,MATCH(V313,{"DIAMANTE";"PLATINO";"ORO";"PLATA";"BRONCE";"CERRADO"},0),_xlpm.ant,MATCH(W313,{"DIAMANTE";"PLATINO";"ORO";"PLATA";"BRONCE";"CERRADO"},0),IF(_xlpm.act&lt;_xlpm.ant,"Mejora ↑",IF(_xlpm.act&gt;_xlpm.ant,"Baja ↓","Estable →")))</f>
        <v>Baja ↓</v>
      </c>
      <c r="Y313" s="5">
        <f>IFERROR(U313-SUMIFS(HIST_SCORE!$D:$D,HIST_SCORE!$B:$B,PARAMS_MODELO!$B$4,HIST_SCORE!$C:$C,$A313),"")</f>
        <v>-9.5533608919934068</v>
      </c>
      <c r="Z313" s="5" t="str">
        <f t="shared" si="101"/>
        <v>↓ Baja</v>
      </c>
      <c r="AA313" s="5">
        <f t="shared" si="102"/>
        <v>442</v>
      </c>
      <c r="AB313" s="5">
        <f>IFERROR(SUMIFS(HIST_SCORE!$F:$F,HIST_SCORE!$B:$B,PARAMS_MODELO!$B$4,HIST_SCORE!$C:$C,$A313),"")</f>
        <v>144</v>
      </c>
      <c r="AC313" s="5">
        <f t="shared" si="103"/>
        <v>-298</v>
      </c>
      <c r="AD313" t="str">
        <f t="shared" si="105"/>
        <v>Sostener base y reforzar mix</v>
      </c>
      <c r="AE3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313="CERRADO",1,IF(V313="BRONCE",_xlpm.cPl,IF(V313="PLATA",_xlpm.cO,IF(V313="ORO",_xlpm.cP,IF(V313="PLATINO",_xlpm.cD,999))))))</f>
        <v>86.439123873763251</v>
      </c>
      <c r="AF3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313="CERRADO",0,IF(V313="BRONCE",1,IF(V313="PLATA",_xlpm.cPl,IF(V313="ORO",_xlpm.cO,IF(V313="PLATINO",_xlpm.cP,_xlpm.cD))))))</f>
        <v>63.199193273331495</v>
      </c>
      <c r="AG313">
        <f t="shared" si="106"/>
        <v>5.9501254225252893</v>
      </c>
      <c r="AH313" t="str">
        <f t="shared" si="107"/>
        <v>VENTAS</v>
      </c>
      <c r="AI313" t="str">
        <f t="shared" si="104"/>
        <v>🎯 Para subir de categoría, eje VENTAS / DIFERENCIAL vs LOTBA (J). Acción: metas semanales + activación comercial + seguimiento del asesor. ΔR aprox: 6,0</v>
      </c>
      <c r="AJ313" s="26">
        <f>_xlfn.LET(_xlpm.piso,AF313,_xlpm.corte,AE313,_xlpm.prog,IF(_xlpm.corte&lt;=_xlpm.piso,0,MAX(0,MIN(1,(U313-_xlpm.piso)/(_xlpm.corte-_xlpm.piso)))),_xlpm.orden,{"DIAMANTE";"PLATINO";"ORO";"PLATA";"BRONCE";"CERRADO"},_xlpm.act,IFERROR(MATCH(V313,_xlpm.orden,0),6),_xlpm.ant,IFERROR(MATCH(W313,_xlpm.orden,0),6),_xlpm.ajmov,IF(_xlpm.act&lt;_xlpm.ant,0.08,IF(_xlpm.act&gt;_xlpm.ant,-0.08,0)),_xlpm.ajcli,IF(T313&lt;0.95,-0.06,0),_xlpm.prob,MAX(0,MIN(1,_xlpm.prog+_xlpm.ajmov+_xlpm.ajcli)),IF(OR(V313="DIAMANTE",V313="CERRADO"),0,ROUND(_xlpm.prob,2)))</f>
        <v>0.64</v>
      </c>
      <c r="AK313" t="str">
        <f t="shared" si="108"/>
        <v>Faltan 6,0 puntos base para subir a la siguiente categoría</v>
      </c>
      <c r="AL313" t="str">
        <f t="shared" si="109"/>
        <v>Margen de seguridad: 16,7 puntos</v>
      </c>
      <c r="AM313">
        <f t="shared" si="110"/>
        <v>0.38</v>
      </c>
      <c r="AN313" t="str">
        <f t="shared" si="111"/>
        <v>PRIORIDAD BAJA – control normal</v>
      </c>
      <c r="AO313">
        <f t="shared" si="112"/>
        <v>24.981506962902372</v>
      </c>
      <c r="AP313">
        <f t="shared" si="113"/>
        <v>0.49083333093734882</v>
      </c>
      <c r="AQ313">
        <f t="shared" si="114"/>
        <v>8.2499999999999227E-2</v>
      </c>
      <c r="AR313">
        <f t="shared" si="115"/>
        <v>4.4000000000000004</v>
      </c>
      <c r="AS313">
        <f t="shared" si="116"/>
        <v>0</v>
      </c>
      <c r="AT313" t="str">
        <f t="shared" si="117"/>
        <v>VENTAS</v>
      </c>
      <c r="AU313">
        <f t="shared" si="118"/>
        <v>24.981506962902372</v>
      </c>
      <c r="AV313" t="str">
        <f t="shared" si="119"/>
        <v>Mayor retorno probable: VENTAS (+25,0 puntos finales potenciales).</v>
      </c>
    </row>
    <row r="314" spans="1:48" x14ac:dyDescent="0.3">
      <c r="A314" s="5">
        <v>51010647</v>
      </c>
      <c r="B314" s="5" t="str">
        <f>IFERROR(VLOOKUP(A314,VENTAS!$A$2:$B$1194,2,0),"")</f>
        <v>ARGUELLO</v>
      </c>
      <c r="C314" s="5">
        <f>IFERROR(INDEX(VENTAS!$C$2:$E$1194,MATCH(A314,VENTAS!$A$2:$A$1194,0),MATCH(PARAMS_MODELO!$B$2,{"Q1","Q2","Q3"},0)),0)</f>
        <v>74250150.960000008</v>
      </c>
      <c r="D314" s="5">
        <f>IFERROR(INDEX(VENTAS!$F$2:$H$1194,MATCH(A314,VENTAS!$A$2:$A$1194,0),MATCH(PARAMS_MODELO!$B$2,{"Q1","Q2","Q3"},0)),0)</f>
        <v>102488272</v>
      </c>
      <c r="E314" s="8">
        <f t="shared" si="96"/>
        <v>0.38031062125668158</v>
      </c>
      <c r="F314" s="12">
        <f>IF(E314&lt;=PARAMS_MODELO!$B$15,0,IF(E314&gt;=PARAMS_MODELO!$B$17,100,100*MIN(1,(E314-PARAMS_MODELO!$B$15)/(PARAMS_MODELO!$B$16-PARAMS_MODELO!$B$15))))*PARAMS_MODELO!$B$7</f>
        <v>35</v>
      </c>
      <c r="G314" s="5">
        <f t="shared" si="97"/>
        <v>28238121.039999992</v>
      </c>
      <c r="H314" s="5">
        <f>(PARAMS_MODELO!$B$20*(MAX(0,MIN(3,E314))/3)+PARAMS_MODELO!$B$21*(IFERROR(LN(1+MAX(0,G314))/LN(1+MAX(0,MAX($G$2:$G$1194))),0)))*100*PARAMS_MODELO!$B$8</f>
        <v>5.3527360916087199</v>
      </c>
      <c r="I314" s="8">
        <f>E314-PARAMS_MODELO!$B$5</f>
        <v>0.20274778588115505</v>
      </c>
      <c r="J314" s="5">
        <f>IF(I314&lt;=PARAMS_MODELO!$B$18,0,IF(I314&gt;=PARAMS_MODELO!$B$19,100,100*(I314-PARAMS_MODELO!$B$18)/(PARAMS_MODELO!$B$19-PARAMS_MODELO!$B$18)))*PARAMS_MODELO!$B$9</f>
        <v>15</v>
      </c>
      <c r="K314" s="5">
        <f>IFERROR(CHOOSE(MATCH(PARAMS_MODELO!$B$2,{"Q1","Q2","Q3"},0),LOTO!$D314,LOTO!$F314,LOTO!$H314),0)</f>
        <v>4965000</v>
      </c>
      <c r="L314" s="8">
        <f t="shared" si="98"/>
        <v>4.8444567394013628E-2</v>
      </c>
      <c r="M314" s="5">
        <f>MIN(100,IF(PARAMS_MODELO!$B$23=0,0,100*L314/PARAMS_MODELO!$B$23))*PARAMS_MODELO!$B$10</f>
        <v>14.533370218204087</v>
      </c>
      <c r="N314" s="5">
        <f>IFERROR(VLOOKUP(A314,COMPLIANCE!$A$2:$F$1996,6,0),100)</f>
        <v>100</v>
      </c>
      <c r="O314" s="5">
        <f>N314*PARAMS_MODELO!$B$11</f>
        <v>10</v>
      </c>
      <c r="P314" s="5">
        <f>IFERROR(VLOOKUP(A314,DIGITAL!$A$2:$J$2000,7,0),100)</f>
        <v>9</v>
      </c>
      <c r="Q314" s="5">
        <f>IFERROR(P314,0)*PARAMS_MODELO!$B$12</f>
        <v>0.9</v>
      </c>
      <c r="R314">
        <f t="shared" si="99"/>
        <v>80.786106309812808</v>
      </c>
      <c r="S314" s="5" t="str">
        <f>IFERROR(VLOOKUP(A314,CLIENTE!$A$2:$N$2000,13,0),1)</f>
        <v>Regular</v>
      </c>
      <c r="T314" s="5">
        <f>IFERROR(VLOOKUP(A314,CLIENTE!$A$2:$N$2000,14,0),1)</f>
        <v>1</v>
      </c>
      <c r="U314" s="5">
        <f t="shared" si="100"/>
        <v>80.786106309812808</v>
      </c>
      <c r="V314" s="5" t="str">
        <f>IF(U314&gt;=MAX(_xlfn.PERCENTILE.INC($U$2:$U$1194,PARAMS_MODELO!$B$50),PARAMS_MODELO!$B$45),"DIAMANTE",IF(U314&gt;=MAX(_xlfn.PERCENTILE.INC($U$2:$U$1194,PARAMS_MODELO!$B$51),PARAMS_MODELO!$B$46),"PLATINO",IF(U314&gt;=MAX(_xlfn.PERCENTILE.INC($U$2:$U$1194,PARAMS_MODELO!$B$52),PARAMS_MODELO!$B$47),"ORO",IF(U314&gt;=MAX(_xlfn.PERCENTILE.INC($U$2:$U$1194,PARAMS_MODELO!$B$53),PARAMS_MODELO!$B$48),"PLATA",IF(U314&gt;=1,"BRONCE","CERRADO")))))</f>
        <v>ORO</v>
      </c>
      <c r="W314" s="5" t="str" cm="1">
        <f t="array" ref="W314">_xlfn.XLOOKUP(1, (HIST_SCORE!$B:$B=PARAMS_MODELO!$B$4) * (HIST_SCORE!$C:$C=A314), HIST_SCORE!$E:$E, "No encontrado")</f>
        <v>ORO</v>
      </c>
      <c r="X314" s="5" t="str">
        <f>_xlfn.LET(_xlpm.act,MATCH(V314,{"DIAMANTE";"PLATINO";"ORO";"PLATA";"BRONCE";"CERRADO"},0),_xlpm.ant,MATCH(W314,{"DIAMANTE";"PLATINO";"ORO";"PLATA";"BRONCE";"CERRADO"},0),IF(_xlpm.act&lt;_xlpm.ant,"Mejora ↑",IF(_xlpm.act&gt;_xlpm.ant,"Baja ↓","Estable →")))</f>
        <v>Estable →</v>
      </c>
      <c r="Y314" s="5">
        <f>IFERROR(U314-SUMIFS(HIST_SCORE!$D:$D,HIST_SCORE!$B:$B,PARAMS_MODELO!$B$4,HIST_SCORE!$C:$C,$A314),"")</f>
        <v>5.0420417359626981</v>
      </c>
      <c r="Z314" s="5" t="str">
        <f t="shared" si="101"/>
        <v>↑ Mejora</v>
      </c>
      <c r="AA314" s="5">
        <f t="shared" si="102"/>
        <v>420</v>
      </c>
      <c r="AB314" s="5">
        <f>IFERROR(SUMIFS(HIST_SCORE!$F:$F,HIST_SCORE!$B:$B,PARAMS_MODELO!$B$4,HIST_SCORE!$C:$C,$A314),"")</f>
        <v>486</v>
      </c>
      <c r="AC314" s="5">
        <f t="shared" si="103"/>
        <v>66</v>
      </c>
      <c r="AD314" t="str">
        <f t="shared" si="105"/>
        <v/>
      </c>
      <c r="AE3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314="CERRADO",1,IF(V314="BRONCE",_xlpm.cPl,IF(V314="PLATA",_xlpm.cO,IF(V314="ORO",_xlpm.cP,IF(V314="PLATINO",_xlpm.cD,999))))))</f>
        <v>86.439123873763251</v>
      </c>
      <c r="AF3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314="CERRADO",0,IF(V314="BRONCE",1,IF(V314="PLATA",_xlpm.cPl,IF(V314="ORO",_xlpm.cO,IF(V314="PLATINO",_xlpm.cP,_xlpm.cD))))))</f>
        <v>63.199193273331495</v>
      </c>
      <c r="AG314">
        <f t="shared" si="106"/>
        <v>5.6530175639504421</v>
      </c>
      <c r="AH314" t="str">
        <f t="shared" si="107"/>
        <v>VENTAS</v>
      </c>
      <c r="AI314" t="str">
        <f t="shared" si="104"/>
        <v>🎯 Para subir de categoría, eje VENTAS / IMPACTO ABSOLUTO (H). Acción: metas semanales + activación comercial + seguimiento del asesor. ΔR aprox: 5,7</v>
      </c>
      <c r="AJ314" s="26">
        <f>_xlfn.LET(_xlpm.piso,AF314,_xlpm.corte,AE314,_xlpm.prog,IF(_xlpm.corte&lt;=_xlpm.piso,0,MAX(0,MIN(1,(U314-_xlpm.piso)/(_xlpm.corte-_xlpm.piso)))),_xlpm.orden,{"DIAMANTE";"PLATINO";"ORO";"PLATA";"BRONCE";"CERRADO"},_xlpm.act,IFERROR(MATCH(V314,_xlpm.orden,0),6),_xlpm.ant,IFERROR(MATCH(W314,_xlpm.orden,0),6),_xlpm.ajmov,IF(_xlpm.act&lt;_xlpm.ant,0.08,IF(_xlpm.act&gt;_xlpm.ant,-0.08,0)),_xlpm.ajcli,IF(T314&lt;0.95,-0.06,0),_xlpm.prob,MAX(0,MIN(1,_xlpm.prog+_xlpm.ajmov+_xlpm.ajcli)),IF(OR(V314="DIAMANTE",V314="CERRADO"),0,ROUND(_xlpm.prob,2)))</f>
        <v>0.76</v>
      </c>
      <c r="AK314" t="str">
        <f t="shared" si="108"/>
        <v>Faltan 5,7 puntos base para subir a la siguiente categoría</v>
      </c>
      <c r="AL314" t="str">
        <f t="shared" si="109"/>
        <v>Margen de seguridad: 17,6 puntos</v>
      </c>
      <c r="AM314">
        <f t="shared" si="110"/>
        <v>0.32</v>
      </c>
      <c r="AN314" t="str">
        <f t="shared" si="111"/>
        <v>PRIORIDAD BAJA – control normal</v>
      </c>
      <c r="AO314">
        <f t="shared" si="112"/>
        <v>9.5098331836868653</v>
      </c>
      <c r="AP314">
        <f t="shared" si="113"/>
        <v>0.46662978179591263</v>
      </c>
      <c r="AQ314">
        <f t="shared" si="114"/>
        <v>0</v>
      </c>
      <c r="AR314">
        <f t="shared" si="115"/>
        <v>9.1</v>
      </c>
      <c r="AS314">
        <f t="shared" si="116"/>
        <v>0</v>
      </c>
      <c r="AT314" t="str">
        <f t="shared" si="117"/>
        <v>VENTAS</v>
      </c>
      <c r="AU314">
        <f t="shared" si="118"/>
        <v>9.5098331836868653</v>
      </c>
      <c r="AV314" t="str">
        <f t="shared" si="119"/>
        <v>Mayor retorno probable: VENTAS (+9,5 puntos finales potenciales).</v>
      </c>
    </row>
    <row r="315" spans="1:48" x14ac:dyDescent="0.3">
      <c r="A315" s="5">
        <v>51054881</v>
      </c>
      <c r="B315" s="5" t="str">
        <f>IFERROR(VLOOKUP(A315,VENTAS!$A$2:$B$1194,2,0),"")</f>
        <v>MONTENEGRO</v>
      </c>
      <c r="C315" s="5">
        <f>IFERROR(INDEX(VENTAS!$C$2:$E$1194,MATCH(A315,VENTAS!$A$2:$A$1194,0),MATCH(PARAMS_MODELO!$B$2,{"Q1","Q2","Q3"},0)),0)</f>
        <v>82709357.089999989</v>
      </c>
      <c r="D315" s="5">
        <f>IFERROR(INDEX(VENTAS!$F$2:$H$1194,MATCH(A315,VENTAS!$A$2:$A$1194,0),MATCH(PARAMS_MODELO!$B$2,{"Q1","Q2","Q3"},0)),0)</f>
        <v>102476939</v>
      </c>
      <c r="E315" s="8">
        <f t="shared" si="96"/>
        <v>0.2390005509109443</v>
      </c>
      <c r="F315" s="12">
        <f>IF(E315&lt;=PARAMS_MODELO!$B$15,0,IF(E315&gt;=PARAMS_MODELO!$B$17,100,100*MIN(1,(E315-PARAMS_MODELO!$B$15)/(PARAMS_MODELO!$B$16-PARAMS_MODELO!$B$15))))*PARAMS_MODELO!$B$7</f>
        <v>35</v>
      </c>
      <c r="G315" s="5">
        <f t="shared" si="97"/>
        <v>19767581.910000011</v>
      </c>
      <c r="H315" s="5">
        <f>(PARAMS_MODELO!$B$20*(MAX(0,MIN(3,E315))/3)+PARAMS_MODELO!$B$21*(IFERROR(LN(1+MAX(0,G315))/LN(1+MAX(0,MAX($G$2:$G$1194))),0)))*100*PARAMS_MODELO!$B$8</f>
        <v>4.7745519021452365</v>
      </c>
      <c r="I315" s="8">
        <f>E315-PARAMS_MODELO!$B$5</f>
        <v>6.143771553541777E-2</v>
      </c>
      <c r="J315" s="5">
        <f>IF(I315&lt;=PARAMS_MODELO!$B$18,0,IF(I315&gt;=PARAMS_MODELO!$B$19,100,100*(I315-PARAMS_MODELO!$B$18)/(PARAMS_MODELO!$B$19-PARAMS_MODELO!$B$18)))*PARAMS_MODELO!$B$9</f>
        <v>15</v>
      </c>
      <c r="K315" s="5">
        <f>IFERROR(CHOOSE(MATCH(PARAMS_MODELO!$B$2,{"Q1","Q2","Q3"},0),LOTO!$D315,LOTO!$F315,LOTO!$H315),0)</f>
        <v>4960000</v>
      </c>
      <c r="L315" s="8">
        <f t="shared" si="98"/>
        <v>4.8401133449155816E-2</v>
      </c>
      <c r="M315" s="5">
        <f>MIN(100,IF(PARAMS_MODELO!$B$23=0,0,100*L315/PARAMS_MODELO!$B$23))*PARAMS_MODELO!$B$10</f>
        <v>14.520340034746743</v>
      </c>
      <c r="N315" s="5">
        <f>IFERROR(VLOOKUP(A315,COMPLIANCE!$A$2:$F$1996,6,0),100)</f>
        <v>100</v>
      </c>
      <c r="O315" s="5">
        <f>N315*PARAMS_MODELO!$B$11</f>
        <v>10</v>
      </c>
      <c r="P315" s="5">
        <f>IFERROR(VLOOKUP(A315,DIGITAL!$A$2:$J$2000,7,0),100)</f>
        <v>8</v>
      </c>
      <c r="Q315" s="5">
        <f>IFERROR(P315,0)*PARAMS_MODELO!$B$12</f>
        <v>0.8</v>
      </c>
      <c r="R315">
        <f t="shared" si="99"/>
        <v>80.094891936891969</v>
      </c>
      <c r="S315" s="5" t="str">
        <f>IFERROR(VLOOKUP(A315,CLIENTE!$A$2:$N$2000,13,0),1)</f>
        <v>Malo</v>
      </c>
      <c r="T315" s="5">
        <f>IFERROR(VLOOKUP(A315,CLIENTE!$A$2:$N$2000,14,0),1)</f>
        <v>0.7</v>
      </c>
      <c r="U315" s="5">
        <f t="shared" si="100"/>
        <v>56.066424355824374</v>
      </c>
      <c r="V315" s="5" t="str">
        <f>IF(U315&gt;=MAX(_xlfn.PERCENTILE.INC($U$2:$U$1194,PARAMS_MODELO!$B$50),PARAMS_MODELO!$B$45),"DIAMANTE",IF(U315&gt;=MAX(_xlfn.PERCENTILE.INC($U$2:$U$1194,PARAMS_MODELO!$B$51),PARAMS_MODELO!$B$46),"PLATINO",IF(U315&gt;=MAX(_xlfn.PERCENTILE.INC($U$2:$U$1194,PARAMS_MODELO!$B$52),PARAMS_MODELO!$B$47),"ORO",IF(U315&gt;=MAX(_xlfn.PERCENTILE.INC($U$2:$U$1194,PARAMS_MODELO!$B$53),PARAMS_MODELO!$B$48),"PLATA",IF(U315&gt;=1,"BRONCE","CERRADO")))))</f>
        <v>PLATA</v>
      </c>
      <c r="W315" s="5" t="str" cm="1">
        <f t="array" ref="W315">_xlfn.XLOOKUP(1, (HIST_SCORE!$B:$B=PARAMS_MODELO!$B$4) * (HIST_SCORE!$C:$C=A315), HIST_SCORE!$E:$E, "No encontrado")</f>
        <v>PLATA</v>
      </c>
      <c r="X315" s="5" t="str">
        <f>_xlfn.LET(_xlpm.act,MATCH(V315,{"DIAMANTE";"PLATINO";"ORO";"PLATA";"BRONCE";"CERRADO"},0),_xlpm.ant,MATCH(W315,{"DIAMANTE";"PLATINO";"ORO";"PLATA";"BRONCE";"CERRADO"},0),IF(_xlpm.act&lt;_xlpm.ant,"Mejora ↑",IF(_xlpm.act&gt;_xlpm.ant,"Baja ↓","Estable →")))</f>
        <v>Estable →</v>
      </c>
      <c r="Y315" s="5">
        <f>IFERROR(U315-SUMIFS(HIST_SCORE!$D:$D,HIST_SCORE!$B:$B,PARAMS_MODELO!$B$4,HIST_SCORE!$C:$C,$A315),"")</f>
        <v>0.44874031152703964</v>
      </c>
      <c r="Z315" s="5" t="str">
        <f t="shared" si="101"/>
        <v>→ Estable</v>
      </c>
      <c r="AA315" s="5">
        <f t="shared" si="102"/>
        <v>700</v>
      </c>
      <c r="AB315" s="5">
        <f>IFERROR(SUMIFS(HIST_SCORE!$F:$F,HIST_SCORE!$B:$B,PARAMS_MODELO!$B$4,HIST_SCORE!$C:$C,$A315),"")</f>
        <v>729</v>
      </c>
      <c r="AC315" s="5">
        <f t="shared" si="103"/>
        <v>29</v>
      </c>
      <c r="AD315" t="str">
        <f t="shared" si="105"/>
        <v/>
      </c>
      <c r="AE3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315="CERRADO",1,IF(V315="BRONCE",_xlpm.cPl,IF(V315="PLATA",_xlpm.cO,IF(V315="ORO",_xlpm.cP,IF(V315="PLATINO",_xlpm.cD,999))))))</f>
        <v>63.199193273331495</v>
      </c>
      <c r="AF3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315="CERRADO",0,IF(V315="BRONCE",1,IF(V315="PLATA",_xlpm.cPl,IF(V315="ORO",_xlpm.cO,IF(V315="PLATINO",_xlpm.cP,_xlpm.cD))))))</f>
        <v>24.506573482968111</v>
      </c>
      <c r="AG315">
        <f t="shared" si="106"/>
        <v>10.189669882153026</v>
      </c>
      <c r="AH315" t="str">
        <f t="shared" si="107"/>
        <v>CLIENTE</v>
      </c>
      <c r="AI315" t="str">
        <f t="shared" si="104"/>
        <v>🎯 Para subir de categoría, la eje con mayor impacto probable es CLIENTE (coef T). Acción: reducir quejas, mejorar incógnito y empujar reseñas. ΔR aprox: 10,2</v>
      </c>
      <c r="AJ315" s="26">
        <f>_xlfn.LET(_xlpm.piso,AF315,_xlpm.corte,AE315,_xlpm.prog,IF(_xlpm.corte&lt;=_xlpm.piso,0,MAX(0,MIN(1,(U315-_xlpm.piso)/(_xlpm.corte-_xlpm.piso)))),_xlpm.orden,{"DIAMANTE";"PLATINO";"ORO";"PLATA";"BRONCE";"CERRADO"},_xlpm.act,IFERROR(MATCH(V315,_xlpm.orden,0),6),_xlpm.ant,IFERROR(MATCH(W315,_xlpm.orden,0),6),_xlpm.ajmov,IF(_xlpm.act&lt;_xlpm.ant,0.08,IF(_xlpm.act&gt;_xlpm.ant,-0.08,0)),_xlpm.ajcli,IF(T315&lt;0.95,-0.06,0),_xlpm.prob,MAX(0,MIN(1,_xlpm.prog+_xlpm.ajmov+_xlpm.ajcli)),IF(OR(V315="DIAMANTE",V315="CERRADO"),0,ROUND(_xlpm.prob,2)))</f>
        <v>0.76</v>
      </c>
      <c r="AK315" t="str">
        <f t="shared" si="108"/>
        <v>Faltan 10,2 puntos base para subir a la siguiente categoría</v>
      </c>
      <c r="AL315" t="str">
        <f t="shared" si="109"/>
        <v>Margen de seguridad: 31,6 puntos</v>
      </c>
      <c r="AM315">
        <f t="shared" si="110"/>
        <v>0.7</v>
      </c>
      <c r="AN315" t="str">
        <f t="shared" si="111"/>
        <v>PRIORIDAD ALTA – requiere intervención inmediata</v>
      </c>
      <c r="AO315">
        <f t="shared" si="112"/>
        <v>7.0616121612052449</v>
      </c>
      <c r="AP315">
        <f t="shared" si="113"/>
        <v>0.33576197567727967</v>
      </c>
      <c r="AQ315">
        <f t="shared" si="114"/>
        <v>0</v>
      </c>
      <c r="AR315">
        <f t="shared" si="115"/>
        <v>6.4399999999999995</v>
      </c>
      <c r="AS315">
        <f t="shared" si="116"/>
        <v>24.028467581067595</v>
      </c>
      <c r="AT315" t="str">
        <f t="shared" si="117"/>
        <v>CLIENTE</v>
      </c>
      <c r="AU315">
        <f t="shared" si="118"/>
        <v>24.028467581067595</v>
      </c>
      <c r="AV315" t="str">
        <f t="shared" si="119"/>
        <v>Mayor retorno probable: CLIENTE (+24,0 puntos finales potenciales).</v>
      </c>
    </row>
    <row r="316" spans="1:48" x14ac:dyDescent="0.3">
      <c r="A316" s="5">
        <v>51019091</v>
      </c>
      <c r="B316" s="5" t="str">
        <f>IFERROR(VLOOKUP(A316,VENTAS!$A$2:$B$1194,2,0),"")</f>
        <v>MONTENEGRO</v>
      </c>
      <c r="C316" s="5">
        <f>IFERROR(INDEX(VENTAS!$C$2:$E$1194,MATCH(A316,VENTAS!$A$2:$A$1194,0),MATCH(PARAMS_MODELO!$B$2,{"Q1","Q2","Q3"},0)),0)</f>
        <v>108796353.89</v>
      </c>
      <c r="D316" s="5">
        <f>IFERROR(INDEX(VENTAS!$F$2:$H$1194,MATCH(A316,VENTAS!$A$2:$A$1194,0),MATCH(PARAMS_MODELO!$B$2,{"Q1","Q2","Q3"},0)),0)</f>
        <v>102445893</v>
      </c>
      <c r="E316" s="8">
        <f t="shared" si="96"/>
        <v>-5.8370162812815596E-2</v>
      </c>
      <c r="F316" s="12">
        <f>IF(E316&lt;=PARAMS_MODELO!$B$15,0,IF(E316&gt;=PARAMS_MODELO!$B$17,100,100*MIN(1,(E316-PARAMS_MODELO!$B$15)/(PARAMS_MODELO!$B$16-PARAMS_MODELO!$B$15))))*PARAMS_MODELO!$B$7</f>
        <v>0</v>
      </c>
      <c r="G316" s="5">
        <f t="shared" si="97"/>
        <v>0</v>
      </c>
      <c r="H316" s="5">
        <f>(PARAMS_MODELO!$B$20*(MAX(0,MIN(3,E316))/3)+PARAMS_MODELO!$B$21*(IFERROR(LN(1+MAX(0,G316))/LN(1+MAX(0,MAX($G$2:$G$1194))),0)))*100*PARAMS_MODELO!$B$8</f>
        <v>0</v>
      </c>
      <c r="I316" s="8">
        <f>E316-PARAMS_MODELO!$B$5</f>
        <v>-0.23593299818834212</v>
      </c>
      <c r="J316" s="5">
        <f>IF(I316&lt;=PARAMS_MODELO!$B$18,0,IF(I316&gt;=PARAMS_MODELO!$B$19,100,100*(I316-PARAMS_MODELO!$B$18)/(PARAMS_MODELO!$B$19-PARAMS_MODELO!$B$18)))*PARAMS_MODELO!$B$9</f>
        <v>0</v>
      </c>
      <c r="K316" s="5">
        <f>IFERROR(CHOOSE(MATCH(PARAMS_MODELO!$B$2,{"Q1","Q2","Q3"},0),LOTO!$D316,LOTO!$F316,LOTO!$H316),0)</f>
        <v>4957500</v>
      </c>
      <c r="L316" s="8">
        <f t="shared" si="98"/>
        <v>4.839139817932965E-2</v>
      </c>
      <c r="M316" s="5">
        <f>MIN(100,IF(PARAMS_MODELO!$B$23=0,0,100*L316/PARAMS_MODELO!$B$23))*PARAMS_MODELO!$B$10</f>
        <v>14.517419453798894</v>
      </c>
      <c r="N316" s="5">
        <f>IFERROR(VLOOKUP(A316,COMPLIANCE!$A$2:$F$1996,6,0),100)</f>
        <v>100</v>
      </c>
      <c r="O316" s="5">
        <f>N316*PARAMS_MODELO!$B$11</f>
        <v>10</v>
      </c>
      <c r="P316" s="5">
        <f>IFERROR(VLOOKUP(A316,DIGITAL!$A$2:$J$2000,7,0),100)</f>
        <v>31</v>
      </c>
      <c r="Q316" s="5">
        <f>IFERROR(P316,0)*PARAMS_MODELO!$B$12</f>
        <v>3.1</v>
      </c>
      <c r="R316">
        <f t="shared" si="99"/>
        <v>27.617419453798895</v>
      </c>
      <c r="S316" s="5" t="str">
        <f>IFERROR(VLOOKUP(A316,CLIENTE!$A$2:$N$2000,13,0),1)</f>
        <v>Malo</v>
      </c>
      <c r="T316" s="5">
        <f>IFERROR(VLOOKUP(A316,CLIENTE!$A$2:$N$2000,14,0),1)</f>
        <v>0.7</v>
      </c>
      <c r="U316" s="5">
        <f t="shared" si="100"/>
        <v>19.332193617659225</v>
      </c>
      <c r="V316" s="5" t="str">
        <f>IF(U316&gt;=MAX(_xlfn.PERCENTILE.INC($U$2:$U$1194,PARAMS_MODELO!$B$50),PARAMS_MODELO!$B$45),"DIAMANTE",IF(U316&gt;=MAX(_xlfn.PERCENTILE.INC($U$2:$U$1194,PARAMS_MODELO!$B$51),PARAMS_MODELO!$B$46),"PLATINO",IF(U316&gt;=MAX(_xlfn.PERCENTILE.INC($U$2:$U$1194,PARAMS_MODELO!$B$52),PARAMS_MODELO!$B$47),"ORO",IF(U316&gt;=MAX(_xlfn.PERCENTILE.INC($U$2:$U$1194,PARAMS_MODELO!$B$53),PARAMS_MODELO!$B$48),"PLATA",IF(U316&gt;=1,"BRONCE","CERRADO")))))</f>
        <v>BRONCE</v>
      </c>
      <c r="W316" s="5" t="str" cm="1">
        <f t="array" ref="W316">_xlfn.XLOOKUP(1, (HIST_SCORE!$B:$B=PARAMS_MODELO!$B$4) * (HIST_SCORE!$C:$C=A316), HIST_SCORE!$E:$E, "No encontrado")</f>
        <v>PLATA</v>
      </c>
      <c r="X316" s="5" t="str">
        <f>_xlfn.LET(_xlpm.act,MATCH(V316,{"DIAMANTE";"PLATINO";"ORO";"PLATA";"BRONCE";"CERRADO"},0),_xlpm.ant,MATCH(W316,{"DIAMANTE";"PLATINO";"ORO";"PLATA";"BRONCE";"CERRADO"},0),IF(_xlpm.act&lt;_xlpm.ant,"Mejora ↑",IF(_xlpm.act&gt;_xlpm.ant,"Baja ↓","Estable →")))</f>
        <v>Baja ↓</v>
      </c>
      <c r="Y316" s="5">
        <f>IFERROR(U316-SUMIFS(HIST_SCORE!$D:$D,HIST_SCORE!$B:$B,PARAMS_MODELO!$B$4,HIST_SCORE!$C:$C,$A316),"")</f>
        <v>-25.931700198751262</v>
      </c>
      <c r="Z316" s="5" t="str">
        <f t="shared" si="101"/>
        <v>↓ Baja</v>
      </c>
      <c r="AA316" s="5">
        <f t="shared" si="102"/>
        <v>991</v>
      </c>
      <c r="AB316" s="5">
        <f>IFERROR(SUMIFS(HIST_SCORE!$F:$F,HIST_SCORE!$B:$B,PARAMS_MODELO!$B$4,HIST_SCORE!$C:$C,$A316),"")</f>
        <v>822</v>
      </c>
      <c r="AC316" s="5">
        <f t="shared" si="103"/>
        <v>-169</v>
      </c>
      <c r="AD316" t="str">
        <f t="shared" si="105"/>
        <v>Plan de recuperación: foco crecimiento + mix</v>
      </c>
      <c r="AE3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316="CERRADO",1,IF(V316="BRONCE",_xlpm.cPl,IF(V316="PLATA",_xlpm.cO,IF(V316="ORO",_xlpm.cP,IF(V316="PLATINO",_xlpm.cD,999))))))</f>
        <v>24.506573482968111</v>
      </c>
      <c r="AF3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316="CERRADO",0,IF(V316="BRONCE",1,IF(V316="PLATA",_xlpm.cPl,IF(V316="ORO",_xlpm.cO,IF(V316="PLATINO",_xlpm.cP,_xlpm.cD))))))</f>
        <v>1</v>
      </c>
      <c r="AG316">
        <f t="shared" si="106"/>
        <v>7.3919712361555483</v>
      </c>
      <c r="AH316" t="str">
        <f t="shared" si="107"/>
        <v>CLIENTE</v>
      </c>
      <c r="AI316" t="str">
        <f t="shared" si="104"/>
        <v>🎯 Para subir de categoría, la eje con mayor impacto probable es CLIENTE (coef T). Acción: reducir quejas, mejorar incógnito y empujar reseñas. ΔR aprox: 7,4</v>
      </c>
      <c r="AJ316" s="26">
        <f>_xlfn.LET(_xlpm.piso,AF316,_xlpm.corte,AE316,_xlpm.prog,IF(_xlpm.corte&lt;=_xlpm.piso,0,MAX(0,MIN(1,(U316-_xlpm.piso)/(_xlpm.corte-_xlpm.piso)))),_xlpm.orden,{"DIAMANTE";"PLATINO";"ORO";"PLATA";"BRONCE";"CERRADO"},_xlpm.act,IFERROR(MATCH(V316,_xlpm.orden,0),6),_xlpm.ant,IFERROR(MATCH(W316,_xlpm.orden,0),6),_xlpm.ajmov,IF(_xlpm.act&lt;_xlpm.ant,0.08,IF(_xlpm.act&gt;_xlpm.ant,-0.08,0)),_xlpm.ajcli,IF(T316&lt;0.95,-0.06,0),_xlpm.prob,MAX(0,MIN(1,_xlpm.prog+_xlpm.ajmov+_xlpm.ajcli)),IF(OR(V316="DIAMANTE",V316="CERRADO"),0,ROUND(_xlpm.prob,2)))</f>
        <v>0.64</v>
      </c>
      <c r="AK316" t="str">
        <f t="shared" si="108"/>
        <v>Faltan 7,4 puntos base para subir a la siguiente categoría</v>
      </c>
      <c r="AL316" t="str">
        <f t="shared" si="109"/>
        <v>No aplica</v>
      </c>
      <c r="AM316">
        <f t="shared" si="110"/>
        <v>0.64</v>
      </c>
      <c r="AN316" t="str">
        <f t="shared" si="111"/>
        <v>PRIORIDAD MEDIA – seguimiento del asesor</v>
      </c>
      <c r="AO316">
        <f t="shared" si="112"/>
        <v>45.403798492706905</v>
      </c>
      <c r="AP316">
        <f t="shared" si="113"/>
        <v>0.33780638234077426</v>
      </c>
      <c r="AQ316">
        <f t="shared" si="114"/>
        <v>0</v>
      </c>
      <c r="AR316">
        <f t="shared" si="115"/>
        <v>4.83</v>
      </c>
      <c r="AS316">
        <f t="shared" si="116"/>
        <v>8.28522583613967</v>
      </c>
      <c r="AT316" t="str">
        <f t="shared" si="117"/>
        <v>VENTAS</v>
      </c>
      <c r="AU316">
        <f t="shared" si="118"/>
        <v>45.403798492706905</v>
      </c>
      <c r="AV316" t="str">
        <f t="shared" si="119"/>
        <v>Mayor retorno probable: VENTAS (+45,4 puntos finales potenciales).</v>
      </c>
    </row>
    <row r="317" spans="1:48" x14ac:dyDescent="0.3">
      <c r="A317" s="5">
        <v>51018931</v>
      </c>
      <c r="B317" s="5" t="str">
        <f>IFERROR(VLOOKUP(A317,VENTAS!$A$2:$B$1194,2,0),"")</f>
        <v>ARGUELLO</v>
      </c>
      <c r="C317" s="5">
        <f>IFERROR(INDEX(VENTAS!$C$2:$E$1194,MATCH(A317,VENTAS!$A$2:$A$1194,0),MATCH(PARAMS_MODELO!$B$2,{"Q1","Q2","Q3"},0)),0)</f>
        <v>77460561.870000005</v>
      </c>
      <c r="D317" s="5">
        <f>IFERROR(INDEX(VENTAS!$F$2:$H$1194,MATCH(A317,VENTAS!$A$2:$A$1194,0),MATCH(PARAMS_MODELO!$B$2,{"Q1","Q2","Q3"},0)),0)</f>
        <v>102437262</v>
      </c>
      <c r="E317" s="8">
        <f t="shared" si="96"/>
        <v>0.32244408673303626</v>
      </c>
      <c r="F317" s="12">
        <f>IF(E317&lt;=PARAMS_MODELO!$B$15,0,IF(E317&gt;=PARAMS_MODELO!$B$17,100,100*MIN(1,(E317-PARAMS_MODELO!$B$15)/(PARAMS_MODELO!$B$16-PARAMS_MODELO!$B$15))))*PARAMS_MODELO!$B$7</f>
        <v>35</v>
      </c>
      <c r="G317" s="5">
        <f t="shared" si="97"/>
        <v>24976700.129999995</v>
      </c>
      <c r="H317" s="5">
        <f>(PARAMS_MODELO!$B$20*(MAX(0,MIN(3,E317))/3)+PARAMS_MODELO!$B$21*(IFERROR(LN(1+MAX(0,G317))/LN(1+MAX(0,MAX($G$2:$G$1194))),0)))*100*PARAMS_MODELO!$B$8</f>
        <v>5.1214337184741945</v>
      </c>
      <c r="I317" s="8">
        <f>E317-PARAMS_MODELO!$B$5</f>
        <v>0.14488125135750973</v>
      </c>
      <c r="J317" s="5">
        <f>IF(I317&lt;=PARAMS_MODELO!$B$18,0,IF(I317&gt;=PARAMS_MODELO!$B$19,100,100*(I317-PARAMS_MODELO!$B$18)/(PARAMS_MODELO!$B$19-PARAMS_MODELO!$B$18)))*PARAMS_MODELO!$B$9</f>
        <v>15</v>
      </c>
      <c r="K317" s="5">
        <f>IFERROR(CHOOSE(MATCH(PARAMS_MODELO!$B$2,{"Q1","Q2","Q3"},0),LOTO!$D317,LOTO!$F317,LOTO!$H317),0)</f>
        <v>4945000</v>
      </c>
      <c r="L317" s="8">
        <f t="shared" si="98"/>
        <v>4.8273449557837654E-2</v>
      </c>
      <c r="M317" s="5">
        <f>MIN(100,IF(PARAMS_MODELO!$B$23=0,0,100*L317/PARAMS_MODELO!$B$23))*PARAMS_MODELO!$B$10</f>
        <v>14.482034867351295</v>
      </c>
      <c r="N317" s="5">
        <f>IFERROR(VLOOKUP(A317,COMPLIANCE!$A$2:$F$1996,6,0),100)</f>
        <v>100</v>
      </c>
      <c r="O317" s="5">
        <f>N317*PARAMS_MODELO!$B$11</f>
        <v>10</v>
      </c>
      <c r="P317" s="5">
        <f>IFERROR(VLOOKUP(A317,DIGITAL!$A$2:$J$2000,7,0),100)</f>
        <v>36</v>
      </c>
      <c r="Q317" s="5">
        <f>IFERROR(P317,0)*PARAMS_MODELO!$B$12</f>
        <v>3.6</v>
      </c>
      <c r="R317">
        <f t="shared" si="99"/>
        <v>83.203468585825476</v>
      </c>
      <c r="S317" s="5" t="str">
        <f>IFERROR(VLOOKUP(A317,CLIENTE!$A$2:$N$2000,13,0),1)</f>
        <v>Regular</v>
      </c>
      <c r="T317" s="5">
        <f>IFERROR(VLOOKUP(A317,CLIENTE!$A$2:$N$2000,14,0),1)</f>
        <v>1</v>
      </c>
      <c r="U317" s="5">
        <f t="shared" si="100"/>
        <v>83.203468585825476</v>
      </c>
      <c r="V317" s="5" t="str">
        <f>IF(U317&gt;=MAX(_xlfn.PERCENTILE.INC($U$2:$U$1194,PARAMS_MODELO!$B$50),PARAMS_MODELO!$B$45),"DIAMANTE",IF(U317&gt;=MAX(_xlfn.PERCENTILE.INC($U$2:$U$1194,PARAMS_MODELO!$B$51),PARAMS_MODELO!$B$46),"PLATINO",IF(U317&gt;=MAX(_xlfn.PERCENTILE.INC($U$2:$U$1194,PARAMS_MODELO!$B$52),PARAMS_MODELO!$B$47),"ORO",IF(U317&gt;=MAX(_xlfn.PERCENTILE.INC($U$2:$U$1194,PARAMS_MODELO!$B$53),PARAMS_MODELO!$B$48),"PLATA",IF(U317&gt;=1,"BRONCE","CERRADO")))))</f>
        <v>ORO</v>
      </c>
      <c r="W317" s="5" t="str" cm="1">
        <f t="array" ref="W317">_xlfn.XLOOKUP(1, (HIST_SCORE!$B:$B=PARAMS_MODELO!$B$4) * (HIST_SCORE!$C:$C=A317), HIST_SCORE!$E:$E, "No encontrado")</f>
        <v>ORO</v>
      </c>
      <c r="X317" s="5" t="str">
        <f>_xlfn.LET(_xlpm.act,MATCH(V317,{"DIAMANTE";"PLATINO";"ORO";"PLATA";"BRONCE";"CERRADO"},0),_xlpm.ant,MATCH(W317,{"DIAMANTE";"PLATINO";"ORO";"PLATA";"BRONCE";"CERRADO"},0),IF(_xlpm.act&lt;_xlpm.ant,"Mejora ↑",IF(_xlpm.act&gt;_xlpm.ant,"Baja ↓","Estable →")))</f>
        <v>Estable →</v>
      </c>
      <c r="Y317" s="5">
        <f>IFERROR(U317-SUMIFS(HIST_SCORE!$D:$D,HIST_SCORE!$B:$B,PARAMS_MODELO!$B$4,HIST_SCORE!$C:$C,$A317),"")</f>
        <v>-0.97173119601075086</v>
      </c>
      <c r="Z317" s="5" t="str">
        <f t="shared" si="101"/>
        <v>→ Estable</v>
      </c>
      <c r="AA317" s="5">
        <f t="shared" si="102"/>
        <v>342</v>
      </c>
      <c r="AB317" s="5">
        <f>IFERROR(SUMIFS(HIST_SCORE!$F:$F,HIST_SCORE!$B:$B,PARAMS_MODELO!$B$4,HIST_SCORE!$C:$C,$A317),"")</f>
        <v>285</v>
      </c>
      <c r="AC317" s="5">
        <f t="shared" si="103"/>
        <v>-57</v>
      </c>
      <c r="AD317" t="str">
        <f t="shared" si="105"/>
        <v>Sostener base y reforzar mix</v>
      </c>
      <c r="AE3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317="CERRADO",1,IF(V317="BRONCE",_xlpm.cPl,IF(V317="PLATA",_xlpm.cO,IF(V317="ORO",_xlpm.cP,IF(V317="PLATINO",_xlpm.cD,999))))))</f>
        <v>86.439123873763251</v>
      </c>
      <c r="AF3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317="CERRADO",0,IF(V317="BRONCE",1,IF(V317="PLATA",_xlpm.cPl,IF(V317="ORO",_xlpm.cO,IF(V317="PLATINO",_xlpm.cP,_xlpm.cD))))))</f>
        <v>63.199193273331495</v>
      </c>
      <c r="AG317">
        <f t="shared" si="106"/>
        <v>3.2356552879377745</v>
      </c>
      <c r="AH317" t="str">
        <f t="shared" si="107"/>
        <v>VENTAS</v>
      </c>
      <c r="AI317" t="str">
        <f t="shared" si="104"/>
        <v>🎯 Para subir de categoría, eje VENTAS / IMPACTO ABSOLUTO (H). Acción: metas semanales + activación comercial + seguimiento del asesor. ΔR aprox: 3,2</v>
      </c>
      <c r="AJ317" s="26">
        <f>_xlfn.LET(_xlpm.piso,AF317,_xlpm.corte,AE317,_xlpm.prog,IF(_xlpm.corte&lt;=_xlpm.piso,0,MAX(0,MIN(1,(U317-_xlpm.piso)/(_xlpm.corte-_xlpm.piso)))),_xlpm.orden,{"DIAMANTE";"PLATINO";"ORO";"PLATA";"BRONCE";"CERRADO"},_xlpm.act,IFERROR(MATCH(V317,_xlpm.orden,0),6),_xlpm.ant,IFERROR(MATCH(W317,_xlpm.orden,0),6),_xlpm.ajmov,IF(_xlpm.act&lt;_xlpm.ant,0.08,IF(_xlpm.act&gt;_xlpm.ant,-0.08,0)),_xlpm.ajcli,IF(T317&lt;0.95,-0.06,0),_xlpm.prob,MAX(0,MIN(1,_xlpm.prog+_xlpm.ajmov+_xlpm.ajcli)),IF(OR(V317="DIAMANTE",V317="CERRADO"),0,ROUND(_xlpm.prob,2)))</f>
        <v>0.86</v>
      </c>
      <c r="AK317" t="str">
        <f t="shared" si="108"/>
        <v>Faltan 3,2 puntos base para subir a la siguiente categoría</v>
      </c>
      <c r="AL317" t="str">
        <f t="shared" si="109"/>
        <v>Margen de seguridad: 20,0 puntos</v>
      </c>
      <c r="AM317">
        <f t="shared" si="110"/>
        <v>0.19</v>
      </c>
      <c r="AN317" t="str">
        <f t="shared" si="111"/>
        <v>PRIORIDAD BAJA – control normal</v>
      </c>
      <c r="AO317">
        <f t="shared" si="112"/>
        <v>9.7411355568213907</v>
      </c>
      <c r="AP317">
        <f t="shared" si="113"/>
        <v>0.5179651326487047</v>
      </c>
      <c r="AQ317">
        <f t="shared" si="114"/>
        <v>0</v>
      </c>
      <c r="AR317">
        <f t="shared" si="115"/>
        <v>6.4</v>
      </c>
      <c r="AS317">
        <f t="shared" si="116"/>
        <v>0</v>
      </c>
      <c r="AT317" t="str">
        <f t="shared" si="117"/>
        <v>VENTAS</v>
      </c>
      <c r="AU317">
        <f t="shared" si="118"/>
        <v>9.7411355568213907</v>
      </c>
      <c r="AV317" t="str">
        <f t="shared" si="119"/>
        <v>Mayor retorno probable: VENTAS (+9,7 puntos finales potenciales).</v>
      </c>
    </row>
    <row r="318" spans="1:48" x14ac:dyDescent="0.3">
      <c r="A318" s="5">
        <v>51057015</v>
      </c>
      <c r="B318" s="5" t="str">
        <f>IFERROR(VLOOKUP(A318,VENTAS!$A$2:$B$1194,2,0),"")</f>
        <v>BELUZZO</v>
      </c>
      <c r="C318" s="5">
        <f>IFERROR(INDEX(VENTAS!$C$2:$E$1194,MATCH(A318,VENTAS!$A$2:$A$1194,0),MATCH(PARAMS_MODELO!$B$2,{"Q1","Q2","Q3"},0)),0)</f>
        <v>74126194.290000007</v>
      </c>
      <c r="D318" s="5">
        <f>IFERROR(INDEX(VENTAS!$F$2:$H$1194,MATCH(A318,VENTAS!$A$2:$A$1194,0),MATCH(PARAMS_MODELO!$B$2,{"Q1","Q2","Q3"},0)),0)</f>
        <v>102317765</v>
      </c>
      <c r="E318" s="8">
        <f t="shared" si="96"/>
        <v>0.38031860370043535</v>
      </c>
      <c r="F318" s="12">
        <f>IF(E318&lt;=PARAMS_MODELO!$B$15,0,IF(E318&gt;=PARAMS_MODELO!$B$17,100,100*MIN(1,(E318-PARAMS_MODELO!$B$15)/(PARAMS_MODELO!$B$16-PARAMS_MODELO!$B$15))))*PARAMS_MODELO!$B$7</f>
        <v>35</v>
      </c>
      <c r="G318" s="5">
        <f t="shared" si="97"/>
        <v>28191570.709999993</v>
      </c>
      <c r="H318" s="5">
        <f>(PARAMS_MODELO!$B$20*(MAX(0,MIN(3,E318))/3)+PARAMS_MODELO!$B$21*(IFERROR(LN(1+MAX(0,G318))/LN(1+MAX(0,MAX($G$2:$G$1194))),0)))*100*PARAMS_MODELO!$B$8</f>
        <v>5.352377281662017</v>
      </c>
      <c r="I318" s="8">
        <f>E318-PARAMS_MODELO!$B$5</f>
        <v>0.20275576832490882</v>
      </c>
      <c r="J318" s="5">
        <f>IF(I318&lt;=PARAMS_MODELO!$B$18,0,IF(I318&gt;=PARAMS_MODELO!$B$19,100,100*(I318-PARAMS_MODELO!$B$18)/(PARAMS_MODELO!$B$19-PARAMS_MODELO!$B$18)))*PARAMS_MODELO!$B$9</f>
        <v>15</v>
      </c>
      <c r="K318" s="5">
        <f>IFERROR(CHOOSE(MATCH(PARAMS_MODELO!$B$2,{"Q1","Q2","Q3"},0),LOTO!$D318,LOTO!$F318,LOTO!$H318),0)</f>
        <v>4942500</v>
      </c>
      <c r="L318" s="8">
        <f t="shared" si="98"/>
        <v>4.830539447377491E-2</v>
      </c>
      <c r="M318" s="5">
        <f>MIN(100,IF(PARAMS_MODELO!$B$23=0,0,100*L318/PARAMS_MODELO!$B$23))*PARAMS_MODELO!$B$10</f>
        <v>14.491618342132472</v>
      </c>
      <c r="N318" s="5">
        <f>IFERROR(VLOOKUP(A318,COMPLIANCE!$A$2:$F$1996,6,0),100)</f>
        <v>100</v>
      </c>
      <c r="O318" s="5">
        <f>N318*PARAMS_MODELO!$B$11</f>
        <v>10</v>
      </c>
      <c r="P318" s="5">
        <f>IFERROR(VLOOKUP(A318,DIGITAL!$A$2:$J$2000,7,0),100)</f>
        <v>55</v>
      </c>
      <c r="Q318" s="5">
        <f>IFERROR(P318,0)*PARAMS_MODELO!$B$12</f>
        <v>5.5</v>
      </c>
      <c r="R318">
        <f t="shared" si="99"/>
        <v>85.343995623794484</v>
      </c>
      <c r="S318" s="5" t="str">
        <f>IFERROR(VLOOKUP(A318,CLIENTE!$A$2:$N$2000,13,0),1)</f>
        <v>Bueno</v>
      </c>
      <c r="T318" s="5">
        <f>IFERROR(VLOOKUP(A318,CLIENTE!$A$2:$N$2000,14,0),1)</f>
        <v>1.1000000000000001</v>
      </c>
      <c r="U318" s="5">
        <f t="shared" si="100"/>
        <v>93.878395186173947</v>
      </c>
      <c r="V318" s="5" t="str">
        <f>IF(U318&gt;=MAX(_xlfn.PERCENTILE.INC($U$2:$U$1194,PARAMS_MODELO!$B$50),PARAMS_MODELO!$B$45),"DIAMANTE",IF(U318&gt;=MAX(_xlfn.PERCENTILE.INC($U$2:$U$1194,PARAMS_MODELO!$B$51),PARAMS_MODELO!$B$46),"PLATINO",IF(U318&gt;=MAX(_xlfn.PERCENTILE.INC($U$2:$U$1194,PARAMS_MODELO!$B$52),PARAMS_MODELO!$B$47),"ORO",IF(U318&gt;=MAX(_xlfn.PERCENTILE.INC($U$2:$U$1194,PARAMS_MODELO!$B$53),PARAMS_MODELO!$B$48),"PLATA",IF(U318&gt;=1,"BRONCE","CERRADO")))))</f>
        <v>PLATINO</v>
      </c>
      <c r="W318" s="5" t="str" cm="1">
        <f t="array" ref="W318">_xlfn.XLOOKUP(1, (HIST_SCORE!$B:$B=PARAMS_MODELO!$B$4) * (HIST_SCORE!$C:$C=A318), HIST_SCORE!$E:$E, "No encontrado")</f>
        <v>PLATINO</v>
      </c>
      <c r="X318" s="5" t="str">
        <f>_xlfn.LET(_xlpm.act,MATCH(V318,{"DIAMANTE";"PLATINO";"ORO";"PLATA";"BRONCE";"CERRADO"},0),_xlpm.ant,MATCH(W318,{"DIAMANTE";"PLATINO";"ORO";"PLATA";"BRONCE";"CERRADO"},0),IF(_xlpm.act&lt;_xlpm.ant,"Mejora ↑",IF(_xlpm.act&gt;_xlpm.ant,"Baja ↓","Estable →")))</f>
        <v>Estable →</v>
      </c>
      <c r="Y318" s="5">
        <f>IFERROR(U318-SUMIFS(HIST_SCORE!$D:$D,HIST_SCORE!$B:$B,PARAMS_MODELO!$B$4,HIST_SCORE!$C:$C,$A318),"")</f>
        <v>2.3563657225785448</v>
      </c>
      <c r="Z318" s="5" t="str">
        <f t="shared" si="101"/>
        <v>→ Estable</v>
      </c>
      <c r="AA318" s="5">
        <f t="shared" si="102"/>
        <v>78</v>
      </c>
      <c r="AB318" s="5">
        <f>IFERROR(SUMIFS(HIST_SCORE!$F:$F,HIST_SCORE!$B:$B,PARAMS_MODELO!$B$4,HIST_SCORE!$C:$C,$A318),"")</f>
        <v>111</v>
      </c>
      <c r="AC318" s="5">
        <f t="shared" si="103"/>
        <v>33</v>
      </c>
      <c r="AD318" t="str">
        <f t="shared" si="105"/>
        <v/>
      </c>
      <c r="AE3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318="CERRADO",1,IF(V318="BRONCE",_xlpm.cPl,IF(V318="PLATA",_xlpm.cO,IF(V318="ORO",_xlpm.cP,IF(V318="PLATINO",_xlpm.cD,999))))))</f>
        <v>96.054919694466676</v>
      </c>
      <c r="AF3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318="CERRADO",0,IF(V318="BRONCE",1,IF(V318="PLATA",_xlpm.cPl,IF(V318="ORO",_xlpm.cO,IF(V318="PLATINO",_xlpm.cP,_xlpm.cD))))))</f>
        <v>86.439123873763251</v>
      </c>
      <c r="AG318">
        <f t="shared" si="106"/>
        <v>1.9786586439024916</v>
      </c>
      <c r="AH318" t="str">
        <f t="shared" si="107"/>
        <v>VENTAS</v>
      </c>
      <c r="AI318" t="str">
        <f t="shared" si="104"/>
        <v>🎯 Para subir de categoría, eje VENTAS / IMPACTO ABSOLUTO (H). Acción: metas semanales + activación comercial + seguimiento del asesor. ΔR aprox: 2,0</v>
      </c>
      <c r="AJ318" s="26">
        <f>_xlfn.LET(_xlpm.piso,AF318,_xlpm.corte,AE318,_xlpm.prog,IF(_xlpm.corte&lt;=_xlpm.piso,0,MAX(0,MIN(1,(U318-_xlpm.piso)/(_xlpm.corte-_xlpm.piso)))),_xlpm.orden,{"DIAMANTE";"PLATINO";"ORO";"PLATA";"BRONCE";"CERRADO"},_xlpm.act,IFERROR(MATCH(V318,_xlpm.orden,0),6),_xlpm.ant,IFERROR(MATCH(W318,_xlpm.orden,0),6),_xlpm.ajmov,IF(_xlpm.act&lt;_xlpm.ant,0.08,IF(_xlpm.act&gt;_xlpm.ant,-0.08,0)),_xlpm.ajcli,IF(T318&lt;0.95,-0.06,0),_xlpm.prob,MAX(0,MIN(1,_xlpm.prog+_xlpm.ajmov+_xlpm.ajcli)),IF(OR(V318="DIAMANTE",V318="CERRADO"),0,ROUND(_xlpm.prob,2)))</f>
        <v>0.77</v>
      </c>
      <c r="AK318" t="str">
        <f t="shared" si="108"/>
        <v>Faltan 2,0 puntos base para subir a la siguiente categoría</v>
      </c>
      <c r="AL318" t="str">
        <f t="shared" si="109"/>
        <v>Margen de seguridad: 7,4 puntos</v>
      </c>
      <c r="AM318">
        <f t="shared" si="110"/>
        <v>0.17</v>
      </c>
      <c r="AN318" t="str">
        <f t="shared" si="111"/>
        <v>PRIORIDAD BAJA – control normal</v>
      </c>
      <c r="AO318">
        <f t="shared" si="112"/>
        <v>10.461211192996927</v>
      </c>
      <c r="AP318">
        <f t="shared" si="113"/>
        <v>0.55921982365428036</v>
      </c>
      <c r="AQ318">
        <f t="shared" si="114"/>
        <v>0</v>
      </c>
      <c r="AR318">
        <f t="shared" si="115"/>
        <v>4.95</v>
      </c>
      <c r="AS318">
        <f t="shared" si="116"/>
        <v>0</v>
      </c>
      <c r="AT318" t="str">
        <f t="shared" si="117"/>
        <v>VENTAS</v>
      </c>
      <c r="AU318">
        <f t="shared" si="118"/>
        <v>10.461211192996927</v>
      </c>
      <c r="AV318" t="str">
        <f t="shared" si="119"/>
        <v>Mayor retorno probable: VENTAS (+10,5 puntos finales potenciales).</v>
      </c>
    </row>
    <row r="319" spans="1:48" x14ac:dyDescent="0.3">
      <c r="A319" s="5">
        <v>51023421</v>
      </c>
      <c r="B319" s="5" t="str">
        <f>IFERROR(VLOOKUP(A319,VENTAS!$A$2:$B$1194,2,0),"")</f>
        <v>LÓPEZ</v>
      </c>
      <c r="C319" s="5">
        <f>IFERROR(INDEX(VENTAS!$C$2:$E$1194,MATCH(A319,VENTAS!$A$2:$A$1194,0),MATCH(PARAMS_MODELO!$B$2,{"Q1","Q2","Q3"},0)),0)</f>
        <v>73523311.700000003</v>
      </c>
      <c r="D319" s="5">
        <f>IFERROR(INDEX(VENTAS!$F$2:$H$1194,MATCH(A319,VENTAS!$A$2:$A$1194,0),MATCH(PARAMS_MODELO!$B$2,{"Q1","Q2","Q3"},0)),0)</f>
        <v>102126336</v>
      </c>
      <c r="E319" s="8">
        <f t="shared" si="96"/>
        <v>0.38903340503363104</v>
      </c>
      <c r="F319" s="12">
        <f>IF(E319&lt;=PARAMS_MODELO!$B$15,0,IF(E319&gt;=PARAMS_MODELO!$B$17,100,100*MIN(1,(E319-PARAMS_MODELO!$B$15)/(PARAMS_MODELO!$B$16-PARAMS_MODELO!$B$15))))*PARAMS_MODELO!$B$7</f>
        <v>35</v>
      </c>
      <c r="G319" s="5">
        <f t="shared" si="97"/>
        <v>28603024.299999997</v>
      </c>
      <c r="H319" s="5">
        <f>(PARAMS_MODELO!$B$20*(MAX(0,MIN(3,E319))/3)+PARAMS_MODELO!$B$21*(IFERROR(LN(1+MAX(0,G319))/LN(1+MAX(0,MAX($G$2:$G$1194))),0)))*100*PARAMS_MODELO!$B$8</f>
        <v>5.3862756119900128</v>
      </c>
      <c r="I319" s="8">
        <f>E319-PARAMS_MODELO!$B$5</f>
        <v>0.21147056965810451</v>
      </c>
      <c r="J319" s="5">
        <f>IF(I319&lt;=PARAMS_MODELO!$B$18,0,IF(I319&gt;=PARAMS_MODELO!$B$19,100,100*(I319-PARAMS_MODELO!$B$18)/(PARAMS_MODELO!$B$19-PARAMS_MODELO!$B$18)))*PARAMS_MODELO!$B$9</f>
        <v>15</v>
      </c>
      <c r="K319" s="5">
        <f>IFERROR(CHOOSE(MATCH(PARAMS_MODELO!$B$2,{"Q1","Q2","Q3"},0),LOTO!$D319,LOTO!$F319,LOTO!$H319),0)</f>
        <v>4940000</v>
      </c>
      <c r="L319" s="8">
        <f t="shared" si="98"/>
        <v>4.8371460227457884E-2</v>
      </c>
      <c r="M319" s="5">
        <f>MIN(100,IF(PARAMS_MODELO!$B$23=0,0,100*L319/PARAMS_MODELO!$B$23))*PARAMS_MODELO!$B$10</f>
        <v>14.511438068237364</v>
      </c>
      <c r="N319" s="5">
        <f>IFERROR(VLOOKUP(A319,COMPLIANCE!$A$2:$F$1996,6,0),100)</f>
        <v>100</v>
      </c>
      <c r="O319" s="5">
        <f>N319*PARAMS_MODELO!$B$11</f>
        <v>10</v>
      </c>
      <c r="P319" s="5">
        <f>IFERROR(VLOOKUP(A319,DIGITAL!$A$2:$J$2000,7,0),100)</f>
        <v>51</v>
      </c>
      <c r="Q319" s="5">
        <f>IFERROR(P319,0)*PARAMS_MODELO!$B$12</f>
        <v>5.1000000000000005</v>
      </c>
      <c r="R319">
        <f t="shared" si="99"/>
        <v>84.997713680227378</v>
      </c>
      <c r="S319" s="5" t="str">
        <f>IFERROR(VLOOKUP(A319,CLIENTE!$A$2:$N$2000,13,0),1)</f>
        <v>Regular</v>
      </c>
      <c r="T319" s="5">
        <f>IFERROR(VLOOKUP(A319,CLIENTE!$A$2:$N$2000,14,0),1)</f>
        <v>1</v>
      </c>
      <c r="U319" s="5">
        <f t="shared" si="100"/>
        <v>84.997713680227378</v>
      </c>
      <c r="V319" s="5" t="str">
        <f>IF(U319&gt;=MAX(_xlfn.PERCENTILE.INC($U$2:$U$1194,PARAMS_MODELO!$B$50),PARAMS_MODELO!$B$45),"DIAMANTE",IF(U319&gt;=MAX(_xlfn.PERCENTILE.INC($U$2:$U$1194,PARAMS_MODELO!$B$51),PARAMS_MODELO!$B$46),"PLATINO",IF(U319&gt;=MAX(_xlfn.PERCENTILE.INC($U$2:$U$1194,PARAMS_MODELO!$B$52),PARAMS_MODELO!$B$47),"ORO",IF(U319&gt;=MAX(_xlfn.PERCENTILE.INC($U$2:$U$1194,PARAMS_MODELO!$B$53),PARAMS_MODELO!$B$48),"PLATA",IF(U319&gt;=1,"BRONCE","CERRADO")))))</f>
        <v>ORO</v>
      </c>
      <c r="W319" s="5" t="str" cm="1">
        <f t="array" ref="W319">_xlfn.XLOOKUP(1, (HIST_SCORE!$B:$B=PARAMS_MODELO!$B$4) * (HIST_SCORE!$C:$C=A319), HIST_SCORE!$E:$E, "No encontrado")</f>
        <v>ORO</v>
      </c>
      <c r="X319" s="5" t="str">
        <f>_xlfn.LET(_xlpm.act,MATCH(V319,{"DIAMANTE";"PLATINO";"ORO";"PLATA";"BRONCE";"CERRADO"},0),_xlpm.ant,MATCH(W319,{"DIAMANTE";"PLATINO";"ORO";"PLATA";"BRONCE";"CERRADO"},0),IF(_xlpm.act&lt;_xlpm.ant,"Mejora ↑",IF(_xlpm.act&gt;_xlpm.ant,"Baja ↓","Estable →")))</f>
        <v>Estable →</v>
      </c>
      <c r="Y319" s="5">
        <f>IFERROR(U319-SUMIFS(HIST_SCORE!$D:$D,HIST_SCORE!$B:$B,PARAMS_MODELO!$B$4,HIST_SCORE!$C:$C,$A319),"")</f>
        <v>-0.511843011415408</v>
      </c>
      <c r="Z319" s="5" t="str">
        <f t="shared" si="101"/>
        <v>→ Estable</v>
      </c>
      <c r="AA319" s="5">
        <f t="shared" si="102"/>
        <v>285</v>
      </c>
      <c r="AB319" s="5">
        <f>IFERROR(SUMIFS(HIST_SCORE!$F:$F,HIST_SCORE!$B:$B,PARAMS_MODELO!$B$4,HIST_SCORE!$C:$C,$A319),"")</f>
        <v>255</v>
      </c>
      <c r="AC319" s="5">
        <f t="shared" si="103"/>
        <v>-30</v>
      </c>
      <c r="AD319" t="str">
        <f t="shared" si="105"/>
        <v>Sostener base y reforzar mix</v>
      </c>
      <c r="AE3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319="CERRADO",1,IF(V319="BRONCE",_xlpm.cPl,IF(V319="PLATA",_xlpm.cO,IF(V319="ORO",_xlpm.cP,IF(V319="PLATINO",_xlpm.cD,999))))))</f>
        <v>86.439123873763251</v>
      </c>
      <c r="AF3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319="CERRADO",0,IF(V319="BRONCE",1,IF(V319="PLATA",_xlpm.cPl,IF(V319="ORO",_xlpm.cO,IF(V319="PLATINO",_xlpm.cP,_xlpm.cD))))))</f>
        <v>63.199193273331495</v>
      </c>
      <c r="AG319">
        <f t="shared" si="106"/>
        <v>1.441410193535873</v>
      </c>
      <c r="AH319" t="str">
        <f t="shared" si="107"/>
        <v>VENTAS</v>
      </c>
      <c r="AI319" t="str">
        <f t="shared" si="104"/>
        <v>🎯 Para subir de categoría, eje VENTAS / IMPACTO ABSOLUTO (H). Acción: metas semanales + activación comercial + seguimiento del asesor. ΔR aprox: 1,4</v>
      </c>
      <c r="AJ319" s="26">
        <f>_xlfn.LET(_xlpm.piso,AF319,_xlpm.corte,AE319,_xlpm.prog,IF(_xlpm.corte&lt;=_xlpm.piso,0,MAX(0,MIN(1,(U319-_xlpm.piso)/(_xlpm.corte-_xlpm.piso)))),_xlpm.orden,{"DIAMANTE";"PLATINO";"ORO";"PLATA";"BRONCE";"CERRADO"},_xlpm.act,IFERROR(MATCH(V319,_xlpm.orden,0),6),_xlpm.ant,IFERROR(MATCH(W319,_xlpm.orden,0),6),_xlpm.ajmov,IF(_xlpm.act&lt;_xlpm.ant,0.08,IF(_xlpm.act&gt;_xlpm.ant,-0.08,0)),_xlpm.ajcli,IF(T319&lt;0.95,-0.06,0),_xlpm.prob,MAX(0,MIN(1,_xlpm.prog+_xlpm.ajmov+_xlpm.ajcli)),IF(OR(V319="DIAMANTE",V319="CERRADO"),0,ROUND(_xlpm.prob,2)))</f>
        <v>0.94</v>
      </c>
      <c r="AK319" t="str">
        <f t="shared" si="108"/>
        <v>Faltan 1,4 puntos base para subir a la siguiente categoría</v>
      </c>
      <c r="AL319" t="str">
        <f t="shared" si="109"/>
        <v>Margen de seguridad: 21,8 puntos</v>
      </c>
      <c r="AM319">
        <f t="shared" si="110"/>
        <v>0.08</v>
      </c>
      <c r="AN319" t="str">
        <f t="shared" si="111"/>
        <v>PRIORIDAD BAJA – control normal</v>
      </c>
      <c r="AO319">
        <f t="shared" si="112"/>
        <v>9.4762936633055688</v>
      </c>
      <c r="AP319">
        <f t="shared" si="113"/>
        <v>0.48856193176263574</v>
      </c>
      <c r="AQ319">
        <f t="shared" si="114"/>
        <v>0</v>
      </c>
      <c r="AR319">
        <f t="shared" si="115"/>
        <v>4.8999999999999995</v>
      </c>
      <c r="AS319">
        <f t="shared" si="116"/>
        <v>0</v>
      </c>
      <c r="AT319" t="str">
        <f t="shared" si="117"/>
        <v>VENTAS</v>
      </c>
      <c r="AU319">
        <f t="shared" si="118"/>
        <v>9.4762936633055688</v>
      </c>
      <c r="AV319" t="str">
        <f t="shared" si="119"/>
        <v>Mayor retorno probable: VENTAS (+9,5 puntos finales potenciales).</v>
      </c>
    </row>
    <row r="320" spans="1:48" x14ac:dyDescent="0.3">
      <c r="A320" s="5">
        <v>51012305</v>
      </c>
      <c r="B320" s="5" t="str">
        <f>IFERROR(VLOOKUP(A320,VENTAS!$A$2:$B$1194,2,0),"")</f>
        <v>ARGUELLO</v>
      </c>
      <c r="C320" s="5">
        <f>IFERROR(INDEX(VENTAS!$C$2:$E$1194,MATCH(A320,VENTAS!$A$2:$A$1194,0),MATCH(PARAMS_MODELO!$B$2,{"Q1","Q2","Q3"},0)),0)</f>
        <v>92690046.109999999</v>
      </c>
      <c r="D320" s="5">
        <f>IFERROR(INDEX(VENTAS!$F$2:$H$1194,MATCH(A320,VENTAS!$A$2:$A$1194,0),MATCH(PARAMS_MODELO!$B$2,{"Q1","Q2","Q3"},0)),0)</f>
        <v>102098746</v>
      </c>
      <c r="E320" s="8">
        <f t="shared" si="96"/>
        <v>0.10150712276951745</v>
      </c>
      <c r="F320" s="12">
        <f>IF(E320&lt;=PARAMS_MODELO!$B$15,0,IF(E320&gt;=PARAMS_MODELO!$B$17,100,100*MIN(1,(E320-PARAMS_MODELO!$B$15)/(PARAMS_MODELO!$B$16-PARAMS_MODELO!$B$15))))*PARAMS_MODELO!$B$7</f>
        <v>35</v>
      </c>
      <c r="G320" s="5">
        <f t="shared" si="97"/>
        <v>9408699.8900000006</v>
      </c>
      <c r="H320" s="5">
        <f>(PARAMS_MODELO!$B$20*(MAX(0,MIN(3,E320))/3)+PARAMS_MODELO!$B$21*(IFERROR(LN(1+MAX(0,G320))/LN(1+MAX(0,MAX($G$2:$G$1194))),0)))*100*PARAMS_MODELO!$B$8</f>
        <v>4.1192939910565389</v>
      </c>
      <c r="I320" s="8">
        <f>E320-PARAMS_MODELO!$B$5</f>
        <v>-7.6055712606009074E-2</v>
      </c>
      <c r="J320" s="5">
        <f>IF(I320&lt;=PARAMS_MODELO!$B$18,0,IF(I320&gt;=PARAMS_MODELO!$B$19,100,100*(I320-PARAMS_MODELO!$B$18)/(PARAMS_MODELO!$B$19-PARAMS_MODELO!$B$18)))*PARAMS_MODELO!$B$9</f>
        <v>0</v>
      </c>
      <c r="K320" s="5">
        <f>IFERROR(CHOOSE(MATCH(PARAMS_MODELO!$B$2,{"Q1","Q2","Q3"},0),LOTO!$D320,LOTO!$F320,LOTO!$H320),0)</f>
        <v>4930000</v>
      </c>
      <c r="L320" s="8">
        <f t="shared" si="98"/>
        <v>4.828658718296109E-2</v>
      </c>
      <c r="M320" s="5">
        <f>MIN(100,IF(PARAMS_MODELO!$B$23=0,0,100*L320/PARAMS_MODELO!$B$23))*PARAMS_MODELO!$B$10</f>
        <v>14.485976154888325</v>
      </c>
      <c r="N320" s="5">
        <f>IFERROR(VLOOKUP(A320,COMPLIANCE!$A$2:$F$1996,6,0),100)</f>
        <v>100</v>
      </c>
      <c r="O320" s="5">
        <f>N320*PARAMS_MODELO!$B$11</f>
        <v>10</v>
      </c>
      <c r="P320" s="5">
        <f>IFERROR(VLOOKUP(A320,DIGITAL!$A$2:$J$2000,7,0),100)</f>
        <v>82</v>
      </c>
      <c r="Q320" s="5">
        <f>IFERROR(P320,0)*PARAMS_MODELO!$B$12</f>
        <v>8.2000000000000011</v>
      </c>
      <c r="R320">
        <f t="shared" si="99"/>
        <v>71.80527014594486</v>
      </c>
      <c r="S320" s="5" t="str">
        <f>IFERROR(VLOOKUP(A320,CLIENTE!$A$2:$N$2000,13,0),1)</f>
        <v>Regular</v>
      </c>
      <c r="T320" s="5">
        <f>IFERROR(VLOOKUP(A320,CLIENTE!$A$2:$N$2000,14,0),1)</f>
        <v>1</v>
      </c>
      <c r="U320" s="5">
        <f t="shared" si="100"/>
        <v>71.80527014594486</v>
      </c>
      <c r="V320" s="5" t="str">
        <f>IF(U320&gt;=MAX(_xlfn.PERCENTILE.INC($U$2:$U$1194,PARAMS_MODELO!$B$50),PARAMS_MODELO!$B$45),"DIAMANTE",IF(U320&gt;=MAX(_xlfn.PERCENTILE.INC($U$2:$U$1194,PARAMS_MODELO!$B$51),PARAMS_MODELO!$B$46),"PLATINO",IF(U320&gt;=MAX(_xlfn.PERCENTILE.INC($U$2:$U$1194,PARAMS_MODELO!$B$52),PARAMS_MODELO!$B$47),"ORO",IF(U320&gt;=MAX(_xlfn.PERCENTILE.INC($U$2:$U$1194,PARAMS_MODELO!$B$53),PARAMS_MODELO!$B$48),"PLATA",IF(U320&gt;=1,"BRONCE","CERRADO")))))</f>
        <v>ORO</v>
      </c>
      <c r="W320" s="5" t="str" cm="1">
        <f t="array" ref="W320">_xlfn.XLOOKUP(1, (HIST_SCORE!$B:$B=PARAMS_MODELO!$B$4) * (HIST_SCORE!$C:$C=A320), HIST_SCORE!$E:$E, "No encontrado")</f>
        <v>ORO</v>
      </c>
      <c r="X320" s="5" t="str">
        <f>_xlfn.LET(_xlpm.act,MATCH(V320,{"DIAMANTE";"PLATINO";"ORO";"PLATA";"BRONCE";"CERRADO"},0),_xlpm.ant,MATCH(W320,{"DIAMANTE";"PLATINO";"ORO";"PLATA";"BRONCE";"CERRADO"},0),IF(_xlpm.act&lt;_xlpm.ant,"Mejora ↑",IF(_xlpm.act&gt;_xlpm.ant,"Baja ↓","Estable →")))</f>
        <v>Estable →</v>
      </c>
      <c r="Y320" s="5">
        <f>IFERROR(U320-SUMIFS(HIST_SCORE!$D:$D,HIST_SCORE!$B:$B,PARAMS_MODELO!$B$4,HIST_SCORE!$C:$C,$A320),"")</f>
        <v>2.8492675380593369</v>
      </c>
      <c r="Z320" s="5" t="str">
        <f t="shared" si="101"/>
        <v>→ Estable</v>
      </c>
      <c r="AA320" s="5">
        <f t="shared" si="102"/>
        <v>500</v>
      </c>
      <c r="AB320" s="5">
        <f>IFERROR(SUMIFS(HIST_SCORE!$F:$F,HIST_SCORE!$B:$B,PARAMS_MODELO!$B$4,HIST_SCORE!$C:$C,$A320),"")</f>
        <v>550</v>
      </c>
      <c r="AC320" s="5">
        <f t="shared" si="103"/>
        <v>50</v>
      </c>
      <c r="AD320" t="str">
        <f t="shared" si="105"/>
        <v/>
      </c>
      <c r="AE3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320="CERRADO",1,IF(V320="BRONCE",_xlpm.cPl,IF(V320="PLATA",_xlpm.cO,IF(V320="ORO",_xlpm.cP,IF(V320="PLATINO",_xlpm.cD,999))))))</f>
        <v>86.439123873763251</v>
      </c>
      <c r="AF3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320="CERRADO",0,IF(V320="BRONCE",1,IF(V320="PLATA",_xlpm.cPl,IF(V320="ORO",_xlpm.cO,IF(V320="PLATINO",_xlpm.cP,_xlpm.cD))))))</f>
        <v>63.199193273331495</v>
      </c>
      <c r="AG320">
        <f t="shared" si="106"/>
        <v>14.633853727818391</v>
      </c>
      <c r="AH320" t="str">
        <f t="shared" si="107"/>
        <v>VENTAS</v>
      </c>
      <c r="AI320" t="str">
        <f t="shared" si="104"/>
        <v>🎯 Para subir de categoría, eje VENTAS / DIFERENCIAL vs LOTBA (J). Acción: metas semanales + activación comercial + seguimiento del asesor. ΔR aprox: 14,6</v>
      </c>
      <c r="AJ320" s="26">
        <f>_xlfn.LET(_xlpm.piso,AF320,_xlpm.corte,AE320,_xlpm.prog,IF(_xlpm.corte&lt;=_xlpm.piso,0,MAX(0,MIN(1,(U320-_xlpm.piso)/(_xlpm.corte-_xlpm.piso)))),_xlpm.orden,{"DIAMANTE";"PLATINO";"ORO";"PLATA";"BRONCE";"CERRADO"},_xlpm.act,IFERROR(MATCH(V320,_xlpm.orden,0),6),_xlpm.ant,IFERROR(MATCH(W320,_xlpm.orden,0),6),_xlpm.ajmov,IF(_xlpm.act&lt;_xlpm.ant,0.08,IF(_xlpm.act&gt;_xlpm.ant,-0.08,0)),_xlpm.ajcli,IF(T320&lt;0.95,-0.06,0),_xlpm.prob,MAX(0,MIN(1,_xlpm.prog+_xlpm.ajmov+_xlpm.ajcli)),IF(OR(V320="DIAMANTE",V320="CERRADO"),0,ROUND(_xlpm.prob,2)))</f>
        <v>0.37</v>
      </c>
      <c r="AK320" t="str">
        <f t="shared" si="108"/>
        <v>Faltan 14,6 puntos base para subir a la siguiente categoría</v>
      </c>
      <c r="AL320" t="str">
        <f t="shared" si="109"/>
        <v>Margen de seguridad: 8,6 puntos</v>
      </c>
      <c r="AM320">
        <f t="shared" si="110"/>
        <v>0.65</v>
      </c>
      <c r="AN320" t="str">
        <f t="shared" si="111"/>
        <v>PRIORIDAD MEDIA – seguimiento del asesor</v>
      </c>
      <c r="AO320">
        <f t="shared" si="112"/>
        <v>25.743275284239047</v>
      </c>
      <c r="AP320">
        <f t="shared" si="113"/>
        <v>0.51402384511167476</v>
      </c>
      <c r="AQ320">
        <f t="shared" si="114"/>
        <v>0</v>
      </c>
      <c r="AR320">
        <f t="shared" si="115"/>
        <v>1.7999999999999989</v>
      </c>
      <c r="AS320">
        <f t="shared" si="116"/>
        <v>0</v>
      </c>
      <c r="AT320" t="str">
        <f t="shared" si="117"/>
        <v>VENTAS</v>
      </c>
      <c r="AU320">
        <f t="shared" si="118"/>
        <v>25.743275284239047</v>
      </c>
      <c r="AV320" t="str">
        <f t="shared" si="119"/>
        <v>Mayor retorno probable: VENTAS (+25,7 puntos finales potenciales).</v>
      </c>
    </row>
    <row r="321" spans="1:48" x14ac:dyDescent="0.3">
      <c r="A321" s="5">
        <v>51014219</v>
      </c>
      <c r="B321" s="5" t="str">
        <f>IFERROR(VLOOKUP(A321,VENTAS!$A$2:$B$1194,2,0),"")</f>
        <v/>
      </c>
      <c r="C321" s="5">
        <f>IFERROR(INDEX(VENTAS!$C$2:$E$1194,MATCH(A321,VENTAS!$A$2:$A$1194,0),MATCH(PARAMS_MODELO!$B$2,{"Q1","Q2","Q3"},0)),0)</f>
        <v>58080</v>
      </c>
      <c r="D321" s="5">
        <f>IFERROR(INDEX(VENTAS!$F$2:$H$1194,MATCH(A321,VENTAS!$A$2:$A$1194,0),MATCH(PARAMS_MODELO!$B$2,{"Q1","Q2","Q3"},0)),0)</f>
        <v>102057646</v>
      </c>
      <c r="E321" s="8">
        <f t="shared" si="96"/>
        <v>1756.1908746556473</v>
      </c>
      <c r="F321" s="12">
        <f>IF(E321&lt;=PARAMS_MODELO!$B$15,0,IF(E321&gt;=PARAMS_MODELO!$B$17,100,100*MIN(1,(E321-PARAMS_MODELO!$B$15)/(PARAMS_MODELO!$B$16-PARAMS_MODELO!$B$15))))*PARAMS_MODELO!$B$7</f>
        <v>35</v>
      </c>
      <c r="G321" s="5">
        <f t="shared" si="97"/>
        <v>101999566</v>
      </c>
      <c r="H321" s="5">
        <f>(PARAMS_MODELO!$B$20*(MAX(0,MIN(3,E321))/3)+PARAMS_MODELO!$B$21*(IFERROR(LN(1+MAX(0,G321))/LN(1+MAX(0,MAX($G$2:$G$1194))),0)))*100*PARAMS_MODELO!$B$8</f>
        <v>14.822705749048376</v>
      </c>
      <c r="I321" s="8">
        <f>E321-PARAMS_MODELO!$B$5</f>
        <v>1756.0133118202718</v>
      </c>
      <c r="J321" s="5">
        <f>IF(I321&lt;=PARAMS_MODELO!$B$18,0,IF(I321&gt;=PARAMS_MODELO!$B$19,100,100*(I321-PARAMS_MODELO!$B$18)/(PARAMS_MODELO!$B$19-PARAMS_MODELO!$B$18)))*PARAMS_MODELO!$B$9</f>
        <v>15</v>
      </c>
      <c r="K321" s="5">
        <f>IFERROR(CHOOSE(MATCH(PARAMS_MODELO!$B$2,{"Q1","Q2","Q3"},0),LOTO!$D321,LOTO!$F321,LOTO!$H321),0)</f>
        <v>4927500</v>
      </c>
      <c r="L321" s="8">
        <f t="shared" si="98"/>
        <v>4.8281536887495917E-2</v>
      </c>
      <c r="M321" s="5">
        <f>MIN(100,IF(PARAMS_MODELO!$B$23=0,0,100*L321/PARAMS_MODELO!$B$23))*PARAMS_MODELO!$B$10</f>
        <v>14.484461066248775</v>
      </c>
      <c r="N321" s="5">
        <f>IFERROR(VLOOKUP(A321,COMPLIANCE!$A$2:$F$1996,6,0),100)</f>
        <v>100</v>
      </c>
      <c r="O321" s="5">
        <f>N321*PARAMS_MODELO!$B$11</f>
        <v>10</v>
      </c>
      <c r="P321" s="5">
        <f>IFERROR(VLOOKUP(A321,DIGITAL!$A$2:$J$2000,7,0),100)</f>
        <v>64</v>
      </c>
      <c r="Q321" s="5">
        <f>IFERROR(P321,0)*PARAMS_MODELO!$B$12</f>
        <v>6.4</v>
      </c>
      <c r="R321">
        <f t="shared" si="99"/>
        <v>95.707166815297143</v>
      </c>
      <c r="S321" s="5" t="str">
        <f>IFERROR(VLOOKUP(A321,CLIENTE!$A$2:$N$2000,13,0),1)</f>
        <v>Muy Bueno</v>
      </c>
      <c r="T321" s="5">
        <f>IFERROR(VLOOKUP(A321,CLIENTE!$A$2:$N$2000,14,0),1)</f>
        <v>1.1499999999999999</v>
      </c>
      <c r="U321" s="5">
        <f t="shared" si="100"/>
        <v>100</v>
      </c>
      <c r="V321" s="5" t="str">
        <f>IF(U321&gt;=MAX(_xlfn.PERCENTILE.INC($U$2:$U$1194,PARAMS_MODELO!$B$50),PARAMS_MODELO!$B$45),"DIAMANTE",IF(U321&gt;=MAX(_xlfn.PERCENTILE.INC($U$2:$U$1194,PARAMS_MODELO!$B$51),PARAMS_MODELO!$B$46),"PLATINO",IF(U321&gt;=MAX(_xlfn.PERCENTILE.INC($U$2:$U$1194,PARAMS_MODELO!$B$52),PARAMS_MODELO!$B$47),"ORO",IF(U321&gt;=MAX(_xlfn.PERCENTILE.INC($U$2:$U$1194,PARAMS_MODELO!$B$53),PARAMS_MODELO!$B$48),"PLATA",IF(U321&gt;=1,"BRONCE","CERRADO")))))</f>
        <v>DIAMANTE</v>
      </c>
      <c r="W321" s="5" t="str" cm="1">
        <f t="array" ref="W321">_xlfn.XLOOKUP(1, (HIST_SCORE!$B:$B=PARAMS_MODELO!$B$4) * (HIST_SCORE!$C:$C=A321), HIST_SCORE!$E:$E, "No encontrado")</f>
        <v>PLATA</v>
      </c>
      <c r="X321" s="5" t="str">
        <f>_xlfn.LET(_xlpm.act,MATCH(V321,{"DIAMANTE";"PLATINO";"ORO";"PLATA";"BRONCE";"CERRADO"},0),_xlpm.ant,MATCH(W321,{"DIAMANTE";"PLATINO";"ORO";"PLATA";"BRONCE";"CERRADO"},0),IF(_xlpm.act&lt;_xlpm.ant,"Mejora ↑",IF(_xlpm.act&gt;_xlpm.ant,"Baja ↓","Estable →")))</f>
        <v>Mejora ↑</v>
      </c>
      <c r="Y321" s="5">
        <f>IFERROR(U321-SUMIFS(HIST_SCORE!$D:$D,HIST_SCORE!$B:$B,PARAMS_MODELO!$B$4,HIST_SCORE!$C:$C,$A321),"")</f>
        <v>63.890000000000008</v>
      </c>
      <c r="Z321" s="5" t="str">
        <f t="shared" si="101"/>
        <v>↑ Mejora</v>
      </c>
      <c r="AA321" s="5">
        <f t="shared" si="102"/>
        <v>1</v>
      </c>
      <c r="AB321" s="5">
        <f>IFERROR(SUMIFS(HIST_SCORE!$F:$F,HIST_SCORE!$B:$B,PARAMS_MODELO!$B$4,HIST_SCORE!$C:$C,$A321),"")</f>
        <v>861</v>
      </c>
      <c r="AC321" s="5">
        <f t="shared" si="103"/>
        <v>860</v>
      </c>
      <c r="AD321" t="str">
        <f t="shared" si="105"/>
        <v/>
      </c>
      <c r="AE3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321="CERRADO",1,IF(V321="BRONCE",_xlpm.cPl,IF(V321="PLATA",_xlpm.cO,IF(V321="ORO",_xlpm.cP,IF(V321="PLATINO",_xlpm.cD,999))))))</f>
        <v>999</v>
      </c>
      <c r="AF3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321="CERRADO",0,IF(V321="BRONCE",1,IF(V321="PLATA",_xlpm.cPl,IF(V321="ORO",_xlpm.cO,IF(V321="PLATINO",_xlpm.cP,_xlpm.cD))))))</f>
        <v>96.054919694466676</v>
      </c>
      <c r="AG321">
        <f t="shared" si="106"/>
        <v>772.988485358616</v>
      </c>
      <c r="AH321" t="str">
        <f t="shared" si="107"/>
        <v>SOSTENER</v>
      </c>
      <c r="AI321" t="str">
        <f t="shared" si="104"/>
        <v>✅ Mantener desempeño y monitorear variaciones para sostener categoría.</v>
      </c>
      <c r="AJ321" s="26">
        <f>_xlfn.LET(_xlpm.piso,AF321,_xlpm.corte,AE321,_xlpm.prog,IF(_xlpm.corte&lt;=_xlpm.piso,0,MAX(0,MIN(1,(U321-_xlpm.piso)/(_xlpm.corte-_xlpm.piso)))),_xlpm.orden,{"DIAMANTE";"PLATINO";"ORO";"PLATA";"BRONCE";"CERRADO"},_xlpm.act,IFERROR(MATCH(V321,_xlpm.orden,0),6),_xlpm.ant,IFERROR(MATCH(W321,_xlpm.orden,0),6),_xlpm.ajmov,IF(_xlpm.act&lt;_xlpm.ant,0.08,IF(_xlpm.act&gt;_xlpm.ant,-0.08,0)),_xlpm.ajcli,IF(T321&lt;0.95,-0.06,0),_xlpm.prob,MAX(0,MIN(1,_xlpm.prog+_xlpm.ajmov+_xlpm.ajcli)),IF(OR(V321="DIAMANTE",V321="CERRADO"),0,ROUND(_xlpm.prob,2)))</f>
        <v>0</v>
      </c>
      <c r="AK321" t="str">
        <f t="shared" si="108"/>
        <v>No aplica</v>
      </c>
      <c r="AL321" t="str">
        <f t="shared" si="109"/>
        <v>Margen de seguridad: 3,9 puntos</v>
      </c>
      <c r="AM321">
        <f t="shared" si="110"/>
        <v>0.8</v>
      </c>
      <c r="AN321" t="str">
        <f t="shared" si="111"/>
        <v>PRIORIDAD ALTA – requiere intervención inmediata</v>
      </c>
      <c r="AO321">
        <f t="shared" si="112"/>
        <v>4.5843055184299424E-2</v>
      </c>
      <c r="AP321">
        <f t="shared" si="113"/>
        <v>0.59286977381390882</v>
      </c>
      <c r="AQ321">
        <f t="shared" si="114"/>
        <v>0</v>
      </c>
      <c r="AR321">
        <f t="shared" si="115"/>
        <v>4.1399999999999997</v>
      </c>
      <c r="AS321">
        <f t="shared" si="116"/>
        <v>0</v>
      </c>
      <c r="AT321" t="str">
        <f t="shared" si="117"/>
        <v>DIGITAL</v>
      </c>
      <c r="AU321">
        <f t="shared" si="118"/>
        <v>4.1399999999999997</v>
      </c>
      <c r="AV321" t="str">
        <f t="shared" si="119"/>
        <v>Mayor retorno probable: DIGITAL (+4,1 puntos finales potenciales).</v>
      </c>
    </row>
    <row r="322" spans="1:48" x14ac:dyDescent="0.3">
      <c r="A322" s="5">
        <v>51030753</v>
      </c>
      <c r="B322" s="5" t="str">
        <f>IFERROR(VLOOKUP(A322,VENTAS!$A$2:$B$1194,2,0),"")</f>
        <v>BELUZZO</v>
      </c>
      <c r="C322" s="5">
        <f>IFERROR(INDEX(VENTAS!$C$2:$E$1194,MATCH(A322,VENTAS!$A$2:$A$1194,0),MATCH(PARAMS_MODELO!$B$2,{"Q1","Q2","Q3"},0)),0)</f>
        <v>74901054.930000007</v>
      </c>
      <c r="D322" s="5">
        <f>IFERROR(INDEX(VENTAS!$F$2:$H$1194,MATCH(A322,VENTAS!$A$2:$A$1194,0),MATCH(PARAMS_MODELO!$B$2,{"Q1","Q2","Q3"},0)),0)</f>
        <v>101998184</v>
      </c>
      <c r="E322" s="8">
        <f t="shared" ref="E322:E385" si="120">IFERROR(D322/C322-1,0)</f>
        <v>0.36177232877860077</v>
      </c>
      <c r="F322" s="12">
        <f>IF(E322&lt;=PARAMS_MODELO!$B$15,0,IF(E322&gt;=PARAMS_MODELO!$B$17,100,100*MIN(1,(E322-PARAMS_MODELO!$B$15)/(PARAMS_MODELO!$B$16-PARAMS_MODELO!$B$15))))*PARAMS_MODELO!$B$7</f>
        <v>35</v>
      </c>
      <c r="G322" s="5">
        <f t="shared" ref="G322:G385" si="121">MAX(0,D322-C322)</f>
        <v>27097129.069999993</v>
      </c>
      <c r="H322" s="5">
        <f>(PARAMS_MODELO!$B$20*(MAX(0,MIN(3,E322))/3)+PARAMS_MODELO!$B$21*(IFERROR(LN(1+MAX(0,G322))/LN(1+MAX(0,MAX($G$2:$G$1194))),0)))*100*PARAMS_MODELO!$B$8</f>
        <v>5.2781836431202889</v>
      </c>
      <c r="I322" s="8">
        <f>E322-PARAMS_MODELO!$B$5</f>
        <v>0.18420949340307424</v>
      </c>
      <c r="J322" s="5">
        <f>IF(I322&lt;=PARAMS_MODELO!$B$18,0,IF(I322&gt;=PARAMS_MODELO!$B$19,100,100*(I322-PARAMS_MODELO!$B$18)/(PARAMS_MODELO!$B$19-PARAMS_MODELO!$B$18)))*PARAMS_MODELO!$B$9</f>
        <v>15</v>
      </c>
      <c r="K322" s="5">
        <f>IFERROR(CHOOSE(MATCH(PARAMS_MODELO!$B$2,{"Q1","Q2","Q3"},0),LOTO!$D322,LOTO!$F322,LOTO!$H322),0)</f>
        <v>4912500</v>
      </c>
      <c r="L322" s="8">
        <f t="shared" ref="L322:L385" si="122">IFERROR(K322/D322,0)</f>
        <v>4.8162622189430356E-2</v>
      </c>
      <c r="M322" s="5">
        <f>MIN(100,IF(PARAMS_MODELO!$B$23=0,0,100*L322/PARAMS_MODELO!$B$23))*PARAMS_MODELO!$B$10</f>
        <v>14.448786656829105</v>
      </c>
      <c r="N322" s="5">
        <f>IFERROR(VLOOKUP(A322,COMPLIANCE!$A$2:$F$1996,6,0),100)</f>
        <v>100</v>
      </c>
      <c r="O322" s="5">
        <f>N322*PARAMS_MODELO!$B$11</f>
        <v>10</v>
      </c>
      <c r="P322" s="5">
        <f>IFERROR(VLOOKUP(A322,DIGITAL!$A$2:$J$2000,7,0),100)</f>
        <v>42</v>
      </c>
      <c r="Q322" s="5">
        <f>IFERROR(P322,0)*PARAMS_MODELO!$B$12</f>
        <v>4.2</v>
      </c>
      <c r="R322">
        <f t="shared" ref="R322:R385" si="123">MIN(100,MAX(0,F322+H322+J322+M322+O322+Q322))</f>
        <v>83.926970299949389</v>
      </c>
      <c r="S322" s="5" t="str">
        <f>IFERROR(VLOOKUP(A322,CLIENTE!$A$2:$N$2000,13,0),1)</f>
        <v>Muy Bueno</v>
      </c>
      <c r="T322" s="5">
        <f>IFERROR(VLOOKUP(A322,CLIENTE!$A$2:$N$2000,14,0),1)</f>
        <v>1.1499999999999999</v>
      </c>
      <c r="U322" s="5">
        <f t="shared" ref="U322:U385" si="124">MIN(100,MAX(0,R322*T322))</f>
        <v>96.516015844941791</v>
      </c>
      <c r="V322" s="5" t="str">
        <f>IF(U322&gt;=MAX(_xlfn.PERCENTILE.INC($U$2:$U$1194,PARAMS_MODELO!$B$50),PARAMS_MODELO!$B$45),"DIAMANTE",IF(U322&gt;=MAX(_xlfn.PERCENTILE.INC($U$2:$U$1194,PARAMS_MODELO!$B$51),PARAMS_MODELO!$B$46),"PLATINO",IF(U322&gt;=MAX(_xlfn.PERCENTILE.INC($U$2:$U$1194,PARAMS_MODELO!$B$52),PARAMS_MODELO!$B$47),"ORO",IF(U322&gt;=MAX(_xlfn.PERCENTILE.INC($U$2:$U$1194,PARAMS_MODELO!$B$53),PARAMS_MODELO!$B$48),"PLATA",IF(U322&gt;=1,"BRONCE","CERRADO")))))</f>
        <v>DIAMANTE</v>
      </c>
      <c r="W322" s="5" t="str" cm="1">
        <f t="array" ref="W322">_xlfn.XLOOKUP(1, (HIST_SCORE!$B:$B=PARAMS_MODELO!$B$4) * (HIST_SCORE!$C:$C=A322), HIST_SCORE!$E:$E, "No encontrado")</f>
        <v>DIAMANTE</v>
      </c>
      <c r="X322" s="5" t="str">
        <f>_xlfn.LET(_xlpm.act,MATCH(V322,{"DIAMANTE";"PLATINO";"ORO";"PLATA";"BRONCE";"CERRADO"},0),_xlpm.ant,MATCH(W322,{"DIAMANTE";"PLATINO";"ORO";"PLATA";"BRONCE";"CERRADO"},0),IF(_xlpm.act&lt;_xlpm.ant,"Mejora ↑",IF(_xlpm.act&gt;_xlpm.ant,"Baja ↓","Estable →")))</f>
        <v>Estable →</v>
      </c>
      <c r="Y322" s="5">
        <f>IFERROR(U322-SUMIFS(HIST_SCORE!$D:$D,HIST_SCORE!$B:$B,PARAMS_MODELO!$B$4,HIST_SCORE!$C:$C,$A322),"")</f>
        <v>-1.1691401530991499</v>
      </c>
      <c r="Z322" s="5" t="str">
        <f t="shared" ref="Z322:Z385" si="125">IF(Y322="","",IF(Y322&gt;=5,"↑ Mejora",IF(Y322&lt;=-5,"↓ Baja","→ Estable")))</f>
        <v>→ Estable</v>
      </c>
      <c r="AA322" s="5">
        <f t="shared" ref="AA322:AA385" si="126">IFERROR(_xlfn.RANK.EQ(U322,$U$2:$U$1194,0),"")</f>
        <v>52</v>
      </c>
      <c r="AB322" s="5">
        <f>IFERROR(SUMIFS(HIST_SCORE!$F:$F,HIST_SCORE!$B:$B,PARAMS_MODELO!$B$4,HIST_SCORE!$C:$C,$A322),"")</f>
        <v>32</v>
      </c>
      <c r="AC322" s="5">
        <f t="shared" ref="AC322:AC385" si="127">IF(OR(AA322="",AB322=""),"",AB322-AA322)</f>
        <v>-20</v>
      </c>
      <c r="AD322" t="str">
        <f t="shared" si="105"/>
        <v/>
      </c>
      <c r="AE3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322="CERRADO",1,IF(V322="BRONCE",_xlpm.cPl,IF(V322="PLATA",_xlpm.cO,IF(V322="ORO",_xlpm.cP,IF(V322="PLATINO",_xlpm.cD,999))))))</f>
        <v>999</v>
      </c>
      <c r="AF3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322="CERRADO",0,IF(V322="BRONCE",1,IF(V322="PLATA",_xlpm.cPl,IF(V322="ORO",_xlpm.cO,IF(V322="PLATINO",_xlpm.cP,_xlpm.cD))))))</f>
        <v>96.054919694466676</v>
      </c>
      <c r="AG322">
        <f t="shared" si="106"/>
        <v>784.76868187396371</v>
      </c>
      <c r="AH322" t="str">
        <f t="shared" si="107"/>
        <v>SOSTENER</v>
      </c>
      <c r="AI322" t="str">
        <f t="shared" ref="AI322:AI385" si="128">_xlfn.LET(_xlpm.pal,AH322,_xlpm.deltaR,AG322,_xlpm.minVent,MIN(F322,H322,J322),_xlpm.subV,IF(_xlpm.minVent=F322,"CRECIMIENTO PERSONAL (F)",IF(_xlpm.minVent=H322,"IMPACTO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Mantener desempeño y monitorear variaciones para sostener categoría.</v>
      </c>
      <c r="AJ322" s="26">
        <f>_xlfn.LET(_xlpm.piso,AF322,_xlpm.corte,AE322,_xlpm.prog,IF(_xlpm.corte&lt;=_xlpm.piso,0,MAX(0,MIN(1,(U322-_xlpm.piso)/(_xlpm.corte-_xlpm.piso)))),_xlpm.orden,{"DIAMANTE";"PLATINO";"ORO";"PLATA";"BRONCE";"CERRADO"},_xlpm.act,IFERROR(MATCH(V322,_xlpm.orden,0),6),_xlpm.ant,IFERROR(MATCH(W322,_xlpm.orden,0),6),_xlpm.ajmov,IF(_xlpm.act&lt;_xlpm.ant,0.08,IF(_xlpm.act&gt;_xlpm.ant,-0.08,0)),_xlpm.ajcli,IF(T322&lt;0.95,-0.06,0),_xlpm.prob,MAX(0,MIN(1,_xlpm.prog+_xlpm.ajmov+_xlpm.ajcli)),IF(OR(V322="DIAMANTE",V322="CERRADO"),0,ROUND(_xlpm.prob,2)))</f>
        <v>0</v>
      </c>
      <c r="AK322" t="str">
        <f t="shared" si="108"/>
        <v>No aplica</v>
      </c>
      <c r="AL322" t="str">
        <f t="shared" si="109"/>
        <v>Margen de seguridad: 0,5 puntos</v>
      </c>
      <c r="AM322">
        <f t="shared" si="110"/>
        <v>0.8</v>
      </c>
      <c r="AN322" t="str">
        <f t="shared" si="111"/>
        <v>PRIORIDAD ALTA – requiere intervención inmediata</v>
      </c>
      <c r="AO322">
        <f t="shared" si="112"/>
        <v>11.022043477001592</v>
      </c>
      <c r="AP322">
        <f t="shared" si="113"/>
        <v>0.63389534464652919</v>
      </c>
      <c r="AQ322">
        <f t="shared" si="114"/>
        <v>0</v>
      </c>
      <c r="AR322">
        <f t="shared" si="115"/>
        <v>6.669999999999999</v>
      </c>
      <c r="AS322">
        <f t="shared" si="116"/>
        <v>0</v>
      </c>
      <c r="AT322" t="str">
        <f t="shared" si="117"/>
        <v>VENTAS</v>
      </c>
      <c r="AU322">
        <f t="shared" si="118"/>
        <v>11.022043477001592</v>
      </c>
      <c r="AV322" t="str">
        <f t="shared" si="119"/>
        <v>Mayor retorno probable: VENTAS (+11,0 puntos finales potenciales).</v>
      </c>
    </row>
    <row r="323" spans="1:48" x14ac:dyDescent="0.3">
      <c r="A323" s="5">
        <v>51042336</v>
      </c>
      <c r="B323" s="5" t="str">
        <f>IFERROR(VLOOKUP(A323,VENTAS!$A$2:$B$1194,2,0),"")</f>
        <v>NELLI</v>
      </c>
      <c r="C323" s="5">
        <f>IFERROR(INDEX(VENTAS!$C$2:$E$1194,MATCH(A323,VENTAS!$A$2:$A$1194,0),MATCH(PARAMS_MODELO!$B$2,{"Q1","Q2","Q3"},0)),0)</f>
        <v>67478617.469999999</v>
      </c>
      <c r="D323" s="5">
        <f>IFERROR(INDEX(VENTAS!$F$2:$H$1194,MATCH(A323,VENTAS!$A$2:$A$1194,0),MATCH(PARAMS_MODELO!$B$2,{"Q1","Q2","Q3"},0)),0)</f>
        <v>101900805</v>
      </c>
      <c r="E323" s="8">
        <f t="shared" si="120"/>
        <v>0.51011992866189937</v>
      </c>
      <c r="F323" s="12">
        <f>IF(E323&lt;=PARAMS_MODELO!$B$15,0,IF(E323&gt;=PARAMS_MODELO!$B$17,100,100*MIN(1,(E323-PARAMS_MODELO!$B$15)/(PARAMS_MODELO!$B$16-PARAMS_MODELO!$B$15))))*PARAMS_MODELO!$B$7</f>
        <v>35</v>
      </c>
      <c r="G323" s="5">
        <f t="shared" si="121"/>
        <v>34422187.530000001</v>
      </c>
      <c r="H323" s="5">
        <f>(PARAMS_MODELO!$B$20*(MAX(0,MIN(3,E323))/3)+PARAMS_MODELO!$B$21*(IFERROR(LN(1+MAX(0,G323))/LN(1+MAX(0,MAX($G$2:$G$1194))),0)))*100*PARAMS_MODELO!$B$8</f>
        <v>5.8534893035030917</v>
      </c>
      <c r="I323" s="8">
        <f>E323-PARAMS_MODELO!$B$5</f>
        <v>0.33255709328637284</v>
      </c>
      <c r="J323" s="5">
        <f>IF(I323&lt;=PARAMS_MODELO!$B$18,0,IF(I323&gt;=PARAMS_MODELO!$B$19,100,100*(I323-PARAMS_MODELO!$B$18)/(PARAMS_MODELO!$B$19-PARAMS_MODELO!$B$18)))*PARAMS_MODELO!$B$9</f>
        <v>15</v>
      </c>
      <c r="K323" s="5">
        <f>IFERROR(CHOOSE(MATCH(PARAMS_MODELO!$B$2,{"Q1","Q2","Q3"},0),LOTO!$D323,LOTO!$F323,LOTO!$H323),0)</f>
        <v>4910000</v>
      </c>
      <c r="L323" s="8">
        <f t="shared" si="122"/>
        <v>4.8184113952779863E-2</v>
      </c>
      <c r="M323" s="5">
        <f>MIN(100,IF(PARAMS_MODELO!$B$23=0,0,100*L323/PARAMS_MODELO!$B$23))*PARAMS_MODELO!$B$10</f>
        <v>14.455234185833957</v>
      </c>
      <c r="N323" s="5">
        <f>IFERROR(VLOOKUP(A323,COMPLIANCE!$A$2:$F$1996,6,0),100)</f>
        <v>100</v>
      </c>
      <c r="O323" s="5">
        <f>N323*PARAMS_MODELO!$B$11</f>
        <v>10</v>
      </c>
      <c r="P323" s="5">
        <f>IFERROR(VLOOKUP(A323,DIGITAL!$A$2:$J$2000,7,0),100)</f>
        <v>67</v>
      </c>
      <c r="Q323" s="5">
        <f>IFERROR(P323,0)*PARAMS_MODELO!$B$12</f>
        <v>6.7</v>
      </c>
      <c r="R323">
        <f t="shared" si="123"/>
        <v>87.008723489337044</v>
      </c>
      <c r="S323" s="5" t="str">
        <f>IFERROR(VLOOKUP(A323,CLIENTE!$A$2:$N$2000,13,0),1)</f>
        <v>Malo</v>
      </c>
      <c r="T323" s="5">
        <f>IFERROR(VLOOKUP(A323,CLIENTE!$A$2:$N$2000,14,0),1)</f>
        <v>0.7</v>
      </c>
      <c r="U323" s="5">
        <f t="shared" si="124"/>
        <v>60.906106442535929</v>
      </c>
      <c r="V323" s="5" t="str">
        <f>IF(U323&gt;=MAX(_xlfn.PERCENTILE.INC($U$2:$U$1194,PARAMS_MODELO!$B$50),PARAMS_MODELO!$B$45),"DIAMANTE",IF(U323&gt;=MAX(_xlfn.PERCENTILE.INC($U$2:$U$1194,PARAMS_MODELO!$B$51),PARAMS_MODELO!$B$46),"PLATINO",IF(U323&gt;=MAX(_xlfn.PERCENTILE.INC($U$2:$U$1194,PARAMS_MODELO!$B$52),PARAMS_MODELO!$B$47),"ORO",IF(U323&gt;=MAX(_xlfn.PERCENTILE.INC($U$2:$U$1194,PARAMS_MODELO!$B$53),PARAMS_MODELO!$B$48),"PLATA",IF(U323&gt;=1,"BRONCE","CERRADO")))))</f>
        <v>PLATA</v>
      </c>
      <c r="W323" s="5" t="str" cm="1">
        <f t="array" ref="W323">_xlfn.XLOOKUP(1, (HIST_SCORE!$B:$B=PARAMS_MODELO!$B$4) * (HIST_SCORE!$C:$C=A323), HIST_SCORE!$E:$E, "No encontrado")</f>
        <v>PLATA</v>
      </c>
      <c r="X323" s="5" t="str">
        <f>_xlfn.LET(_xlpm.act,MATCH(V323,{"DIAMANTE";"PLATINO";"ORO";"PLATA";"BRONCE";"CERRADO"},0),_xlpm.ant,MATCH(W323,{"DIAMANTE";"PLATINO";"ORO";"PLATA";"BRONCE";"CERRADO"},0),IF(_xlpm.act&lt;_xlpm.ant,"Mejora ↑",IF(_xlpm.act&gt;_xlpm.ant,"Baja ↓","Estable →")))</f>
        <v>Estable →</v>
      </c>
      <c r="Y323" s="5">
        <f>IFERROR(U323-SUMIFS(HIST_SCORE!$D:$D,HIST_SCORE!$B:$B,PARAMS_MODELO!$B$4,HIST_SCORE!$C:$C,$A323),"")</f>
        <v>-0.47583378301479939</v>
      </c>
      <c r="Z323" s="5" t="str">
        <f t="shared" si="125"/>
        <v>→ Estable</v>
      </c>
      <c r="AA323" s="5">
        <f t="shared" si="126"/>
        <v>599</v>
      </c>
      <c r="AB323" s="5">
        <f>IFERROR(SUMIFS(HIST_SCORE!$F:$F,HIST_SCORE!$B:$B,PARAMS_MODELO!$B$4,HIST_SCORE!$C:$C,$A323),"")</f>
        <v>622</v>
      </c>
      <c r="AC323" s="5">
        <f t="shared" si="127"/>
        <v>23</v>
      </c>
      <c r="AD323" t="str">
        <f t="shared" ref="AD323:AD386" si="129">IF(V323="CERRADO","Agencia sin actividad o cerrada",IF(AND(V323="BRONCE",Y323=""),"Primer corte: cargá histórico para medir movilidad",IF(AND(V323="BRONCE",Y323&lt;0),"Plan de recuperación: foco crecimiento + mix",IF(AND(V323="ORO",Y323&lt;0),"Sostener base y reforzar mix",""))))</f>
        <v/>
      </c>
      <c r="AE3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323="CERRADO",1,IF(V323="BRONCE",_xlpm.cPl,IF(V323="PLATA",_xlpm.cO,IF(V323="ORO",_xlpm.cP,IF(V323="PLATINO",_xlpm.cD,999))))))</f>
        <v>63.199193273331495</v>
      </c>
      <c r="AF3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323="CERRADO",0,IF(V323="BRONCE",1,IF(V323="PLATA",_xlpm.cPl,IF(V323="ORO",_xlpm.cO,IF(V323="PLATINO",_xlpm.cP,_xlpm.cD))))))</f>
        <v>24.506573482968111</v>
      </c>
      <c r="AG323">
        <f t="shared" ref="AG323:AG386" si="130">_xlfn.LET(_xlpm.corteU,AE323,_xlpm.coef,MAX(0.01,T323),_xlpm.reqR,_xlpm.corteU/_xlpm.coef,MAX(0,_xlpm.reqR-R323))</f>
        <v>3.2758383297079519</v>
      </c>
      <c r="AH323" t="str">
        <f t="shared" ref="AH323:AH386" si="131">_xlfn.LET(_xlpm.deltaR,AG323,_xlpm.ventas,F323+H323+J323,_xlpm.hv,(MAX($F$2:$F$1194)+MAX($H$2:$H$1194)+MAX($J$2:$J$1194))-_xlpm.ventas,_xlpm.hl,MAX($M$2:$M$1194)-M323,_xlpm.hc,MAX($O$2:$O$1194)-O323,_xlpm.hd,MAX($Q$2:$Q$1194)-Q323,_xlpm.impV,MIN(_xlpm.deltaR,MAX(0,_xlpm.hv)),_xlpm.impL,MIN(_xlpm.deltaR,MAX(0,_xlpm.hl)),_xlpm.impC,MIN(_xlpm.deltaR,MAX(0,_xlpm.hc)),_xlpm.impD,MIN(_xlpm.deltaR,MAX(0,_xlpm.hd)),_xlpm.t,T323,_xlpm.tObj,1,_xlpm.impCli,IF(_xlpm.t&lt;0.95,MIN(_xlpm.deltaR,R323*(_xlpm.tObj/_xlpm.t-1)),0),_xlpm.mx,MAX(_xlpm.impV,_xlpm.impL,_xlpm.impC,_xlpm.impD,_xlpm.impCli),IF(V323="DIAMANTE","SOSTENER",IF(V323="CERRADO","CERRADO",IF(_xlpm.mx=_xlpm.impCli,"CLIENTE",IF(_xlpm.mx=_xlpm.impV,"VENTAS",IF(_xlpm.mx=_xlpm.impL,"LOTO",IF(_xlpm.mx=_xlpm.impC,"COMPLIANCE","DIGITAL")))))))</f>
        <v>CLIENTE</v>
      </c>
      <c r="AI323" t="str">
        <f t="shared" si="128"/>
        <v>🎯 Para subir de categoría, la eje con mayor impacto probable es CLIENTE (coef T). Acción: reducir quejas, mejorar incógnito y empujar reseñas. ΔR aprox: 3,3</v>
      </c>
      <c r="AJ323" s="26">
        <f>_xlfn.LET(_xlpm.piso,AF323,_xlpm.corte,AE323,_xlpm.prog,IF(_xlpm.corte&lt;=_xlpm.piso,0,MAX(0,MIN(1,(U323-_xlpm.piso)/(_xlpm.corte-_xlpm.piso)))),_xlpm.orden,{"DIAMANTE";"PLATINO";"ORO";"PLATA";"BRONCE";"CERRADO"},_xlpm.act,IFERROR(MATCH(V323,_xlpm.orden,0),6),_xlpm.ant,IFERROR(MATCH(W323,_xlpm.orden,0),6),_xlpm.ajmov,IF(_xlpm.act&lt;_xlpm.ant,0.08,IF(_xlpm.act&gt;_xlpm.ant,-0.08,0)),_xlpm.ajcli,IF(T323&lt;0.95,-0.06,0),_xlpm.prob,MAX(0,MIN(1,_xlpm.prog+_xlpm.ajmov+_xlpm.ajcli)),IF(OR(V323="DIAMANTE",V323="CERRADO"),0,ROUND(_xlpm.prob,2)))</f>
        <v>0.88</v>
      </c>
      <c r="AK323" t="str">
        <f t="shared" ref="AK323:AK386" si="132">IF(OR(V323="DIAMANTE",V323="CERRADO"),"No aplica","Faltan " &amp; TEXT(AG323,"0,0") &amp; " puntos base para subir a la siguiente categoría")</f>
        <v>Faltan 3,3 puntos base para subir a la siguiente categoría</v>
      </c>
      <c r="AL323" t="str">
        <f t="shared" ref="AL323:AL386" si="133">_xlfn.LET(_xlpm.piso,AF323,_xlpm.dist,U323-_xlpm.piso,IF(OR(V323="BRONCE",V323="CERRADO"),"No aplica",IF(_xlpm.dist&lt;=0,"⚠ Riesgo de descenso","Margen de seguridad: " &amp; TEXT(_xlpm.dist,"0,0") &amp; " puntos")))</f>
        <v>Margen de seguridad: 36,4 puntos</v>
      </c>
      <c r="AM323">
        <f t="shared" ref="AM323:AM386" si="134">_xlfn.LET(_xlpm.prob,AJ323,_xlpm.dist,AG323,_xlpm.coef,T323,_xlpm.prior,(1-_xlpm.prob)*0.4+MIN(1,_xlpm.dist/10)*0.4+IF(_xlpm.coef&lt;0.95,0.2,0),ROUND(_xlpm.prior,2))</f>
        <v>0.38</v>
      </c>
      <c r="AN323" t="str">
        <f t="shared" ref="AN323:AN386" si="135">IF(AM323&gt;=0.7,"PRIORIDAD ALTA – requiere intervención inmediata",IF(AM323&gt;=0.4,"PRIORIDAD MEDIA – seguimiento del asesor","PRIORIDAD BAJA – control normal"))</f>
        <v>PRIORIDAD BAJA – control normal</v>
      </c>
      <c r="AO323">
        <f t="shared" ref="AO323:AO386" si="136">MAX(0,((MAX($F$2:$F$1194)+MAX($H$2:$H$1194)+MAX($J$2:$J$1194))-(F323+H323+J323))*T323)</f>
        <v>6.3063559802547466</v>
      </c>
      <c r="AP323">
        <f t="shared" ref="AP323:AP386" si="137">MAX(0,(MAX($M$2:$M$1194)-M323)*T323)</f>
        <v>0.38133606991623004</v>
      </c>
      <c r="AQ323">
        <f t="shared" ref="AQ323:AQ386" si="138">MAX(0,(MAX($O$2:$O$1194)-O323)*T323)</f>
        <v>0</v>
      </c>
      <c r="AR323">
        <f t="shared" ref="AR323:AR386" si="139">MAX(0,(MAX($Q$2:$Q$1194)-Q323)*T323)</f>
        <v>2.3099999999999996</v>
      </c>
      <c r="AS323">
        <f t="shared" ref="AS323:AS386" si="140">MAX(0,R323*(1-T323))</f>
        <v>26.102617046801118</v>
      </c>
      <c r="AT323" t="str">
        <f t="shared" ref="AT323:AT386" si="141">_xlfn.LET(_xlpm.v,AO323,_xlpm.l,AP323,_xlpm.c,AQ323,_xlpm.d,AR323,_xlpm.cli,AS323,_xlpm.mx,MAX(_xlpm.v,_xlpm.l,_xlpm.c,_xlpm.d,_xlpm.cli),IF(_xlpm.mx=_xlpm.cli,"CLIENTE",IF(_xlpm.mx=_xlpm.v,"VENTAS",IF(_xlpm.mx=_xlpm.l,"LOTO",IF(_xlpm.mx=_xlpm.c,"COMPLIANCE","DIGITAL")))))</f>
        <v>CLIENTE</v>
      </c>
      <c r="AU323">
        <f t="shared" ref="AU323:AU386" si="142">MAX(AO323,AP323,AQ323,AR323,AS323)</f>
        <v>26.102617046801118</v>
      </c>
      <c r="AV323" t="str">
        <f t="shared" ref="AV323:AV386" si="143">IF(V323="CERRADO","⛔ Sin impacto comercial estimable por estado CERRADO.","Mayor retorno probable: " &amp; AT323 &amp; " (+" &amp; TEXT(AU323,"0,0") &amp; " puntos finales potenciales).")</f>
        <v>Mayor retorno probable: CLIENTE (+26,1 puntos finales potenciales).</v>
      </c>
    </row>
    <row r="324" spans="1:48" x14ac:dyDescent="0.3">
      <c r="A324" s="5">
        <v>51023790</v>
      </c>
      <c r="B324" s="5" t="str">
        <f>IFERROR(VLOOKUP(A324,VENTAS!$A$2:$B$1194,2,0),"")</f>
        <v>MONTENEGRO</v>
      </c>
      <c r="C324" s="5">
        <f>IFERROR(INDEX(VENTAS!$C$2:$E$1194,MATCH(A324,VENTAS!$A$2:$A$1194,0),MATCH(PARAMS_MODELO!$B$2,{"Q1","Q2","Q3"},0)),0)</f>
        <v>78328349.670000002</v>
      </c>
      <c r="D324" s="5">
        <f>IFERROR(INDEX(VENTAS!$F$2:$H$1194,MATCH(A324,VENTAS!$A$2:$A$1194,0),MATCH(PARAMS_MODELO!$B$2,{"Q1","Q2","Q3"},0)),0)</f>
        <v>101575115</v>
      </c>
      <c r="E324" s="8">
        <f t="shared" si="120"/>
        <v>0.29678609887658047</v>
      </c>
      <c r="F324" s="12">
        <f>IF(E324&lt;=PARAMS_MODELO!$B$15,0,IF(E324&gt;=PARAMS_MODELO!$B$17,100,100*MIN(1,(E324-PARAMS_MODELO!$B$15)/(PARAMS_MODELO!$B$16-PARAMS_MODELO!$B$15))))*PARAMS_MODELO!$B$7</f>
        <v>35</v>
      </c>
      <c r="G324" s="5">
        <f t="shared" si="121"/>
        <v>23246765.329999998</v>
      </c>
      <c r="H324" s="5">
        <f>(PARAMS_MODELO!$B$20*(MAX(0,MIN(3,E324))/3)+PARAMS_MODELO!$B$21*(IFERROR(LN(1+MAX(0,G324))/LN(1+MAX(0,MAX($G$2:$G$1194))),0)))*100*PARAMS_MODELO!$B$8</f>
        <v>5.0148051373509182</v>
      </c>
      <c r="I324" s="8">
        <f>E324-PARAMS_MODELO!$B$5</f>
        <v>0.11922326350105394</v>
      </c>
      <c r="J324" s="5">
        <f>IF(I324&lt;=PARAMS_MODELO!$B$18,0,IF(I324&gt;=PARAMS_MODELO!$B$19,100,100*(I324-PARAMS_MODELO!$B$18)/(PARAMS_MODELO!$B$19-PARAMS_MODELO!$B$18)))*PARAMS_MODELO!$B$9</f>
        <v>15</v>
      </c>
      <c r="K324" s="5">
        <f>IFERROR(CHOOSE(MATCH(PARAMS_MODELO!$B$2,{"Q1","Q2","Q3"},0),LOTO!$D324,LOTO!$F324,LOTO!$H324),0)</f>
        <v>4910000</v>
      </c>
      <c r="L324" s="8">
        <f t="shared" si="122"/>
        <v>4.8338611282891485E-2</v>
      </c>
      <c r="M324" s="5">
        <f>MIN(100,IF(PARAMS_MODELO!$B$23=0,0,100*L324/PARAMS_MODELO!$B$23))*PARAMS_MODELO!$B$10</f>
        <v>14.501583384867445</v>
      </c>
      <c r="N324" s="5">
        <f>IFERROR(VLOOKUP(A324,COMPLIANCE!$A$2:$F$1996,6,0),100)</f>
        <v>100</v>
      </c>
      <c r="O324" s="5">
        <f>N324*PARAMS_MODELO!$B$11</f>
        <v>10</v>
      </c>
      <c r="P324" s="5">
        <f>IFERROR(VLOOKUP(A324,DIGITAL!$A$2:$J$2000,7,0),100)</f>
        <v>15</v>
      </c>
      <c r="Q324" s="5">
        <f>IFERROR(P324,0)*PARAMS_MODELO!$B$12</f>
        <v>1.5</v>
      </c>
      <c r="R324">
        <f t="shared" si="123"/>
        <v>81.016388522218364</v>
      </c>
      <c r="S324" s="5" t="str">
        <f>IFERROR(VLOOKUP(A324,CLIENTE!$A$2:$N$2000,13,0),1)</f>
        <v>Regular</v>
      </c>
      <c r="T324" s="5">
        <f>IFERROR(VLOOKUP(A324,CLIENTE!$A$2:$N$2000,14,0),1)</f>
        <v>1</v>
      </c>
      <c r="U324" s="5">
        <f t="shared" si="124"/>
        <v>81.016388522218364</v>
      </c>
      <c r="V324" s="5" t="str">
        <f>IF(U324&gt;=MAX(_xlfn.PERCENTILE.INC($U$2:$U$1194,PARAMS_MODELO!$B$50),PARAMS_MODELO!$B$45),"DIAMANTE",IF(U324&gt;=MAX(_xlfn.PERCENTILE.INC($U$2:$U$1194,PARAMS_MODELO!$B$51),PARAMS_MODELO!$B$46),"PLATINO",IF(U324&gt;=MAX(_xlfn.PERCENTILE.INC($U$2:$U$1194,PARAMS_MODELO!$B$52),PARAMS_MODELO!$B$47),"ORO",IF(U324&gt;=MAX(_xlfn.PERCENTILE.INC($U$2:$U$1194,PARAMS_MODELO!$B$53),PARAMS_MODELO!$B$48),"PLATA",IF(U324&gt;=1,"BRONCE","CERRADO")))))</f>
        <v>ORO</v>
      </c>
      <c r="W324" s="5" t="str" cm="1">
        <f t="array" ref="W324">_xlfn.XLOOKUP(1, (HIST_SCORE!$B:$B=PARAMS_MODELO!$B$4) * (HIST_SCORE!$C:$C=A324), HIST_SCORE!$E:$E, "No encontrado")</f>
        <v>ORO</v>
      </c>
      <c r="X324" s="5" t="str">
        <f>_xlfn.LET(_xlpm.act,MATCH(V324,{"DIAMANTE";"PLATINO";"ORO";"PLATA";"BRONCE";"CERRADO"},0),_xlpm.ant,MATCH(W324,{"DIAMANTE";"PLATINO";"ORO";"PLATA";"BRONCE";"CERRADO"},0),IF(_xlpm.act&lt;_xlpm.ant,"Mejora ↑",IF(_xlpm.act&gt;_xlpm.ant,"Baja ↓","Estable →")))</f>
        <v>Estable →</v>
      </c>
      <c r="Y324" s="5">
        <f>IFERROR(U324-SUMIFS(HIST_SCORE!$D:$D,HIST_SCORE!$B:$B,PARAMS_MODELO!$B$4,HIST_SCORE!$C:$C,$A324),"")</f>
        <v>1.4233285096080408</v>
      </c>
      <c r="Z324" s="5" t="str">
        <f t="shared" si="125"/>
        <v>→ Estable</v>
      </c>
      <c r="AA324" s="5">
        <f t="shared" si="126"/>
        <v>415</v>
      </c>
      <c r="AB324" s="5">
        <f>IFERROR(SUMIFS(HIST_SCORE!$F:$F,HIST_SCORE!$B:$B,PARAMS_MODELO!$B$4,HIST_SCORE!$C:$C,$A324),"")</f>
        <v>427</v>
      </c>
      <c r="AC324" s="5">
        <f t="shared" si="127"/>
        <v>12</v>
      </c>
      <c r="AD324" t="str">
        <f t="shared" si="129"/>
        <v/>
      </c>
      <c r="AE3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324="CERRADO",1,IF(V324="BRONCE",_xlpm.cPl,IF(V324="PLATA",_xlpm.cO,IF(V324="ORO",_xlpm.cP,IF(V324="PLATINO",_xlpm.cD,999))))))</f>
        <v>86.439123873763251</v>
      </c>
      <c r="AF3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324="CERRADO",0,IF(V324="BRONCE",1,IF(V324="PLATA",_xlpm.cPl,IF(V324="ORO",_xlpm.cO,IF(V324="PLATINO",_xlpm.cP,_xlpm.cD))))))</f>
        <v>63.199193273331495</v>
      </c>
      <c r="AG324">
        <f t="shared" si="130"/>
        <v>5.4227353515448868</v>
      </c>
      <c r="AH324" t="str">
        <f t="shared" si="131"/>
        <v>VENTAS</v>
      </c>
      <c r="AI324" t="str">
        <f t="shared" si="128"/>
        <v>🎯 Para subir de categoría, eje VENTAS / IMPACTO ABSOLUTO (H). Acción: metas semanales + activación comercial + seguimiento del asesor. ΔR aprox: 5,4</v>
      </c>
      <c r="AJ324" s="26">
        <f>_xlfn.LET(_xlpm.piso,AF324,_xlpm.corte,AE324,_xlpm.prog,IF(_xlpm.corte&lt;=_xlpm.piso,0,MAX(0,MIN(1,(U324-_xlpm.piso)/(_xlpm.corte-_xlpm.piso)))),_xlpm.orden,{"DIAMANTE";"PLATINO";"ORO";"PLATA";"BRONCE";"CERRADO"},_xlpm.act,IFERROR(MATCH(V324,_xlpm.orden,0),6),_xlpm.ant,IFERROR(MATCH(W324,_xlpm.orden,0),6),_xlpm.ajmov,IF(_xlpm.act&lt;_xlpm.ant,0.08,IF(_xlpm.act&gt;_xlpm.ant,-0.08,0)),_xlpm.ajcli,IF(T324&lt;0.95,-0.06,0),_xlpm.prob,MAX(0,MIN(1,_xlpm.prog+_xlpm.ajmov+_xlpm.ajcli)),IF(OR(V324="DIAMANTE",V324="CERRADO"),0,ROUND(_xlpm.prob,2)))</f>
        <v>0.77</v>
      </c>
      <c r="AK324" t="str">
        <f t="shared" si="132"/>
        <v>Faltan 5,4 puntos base para subir a la siguiente categoría</v>
      </c>
      <c r="AL324" t="str">
        <f t="shared" si="133"/>
        <v>Margen de seguridad: 17,8 puntos</v>
      </c>
      <c r="AM324">
        <f t="shared" si="134"/>
        <v>0.31</v>
      </c>
      <c r="AN324" t="str">
        <f t="shared" si="135"/>
        <v>PRIORIDAD BAJA – control normal</v>
      </c>
      <c r="AO324">
        <f t="shared" si="136"/>
        <v>9.8477641379446652</v>
      </c>
      <c r="AP324">
        <f t="shared" si="137"/>
        <v>0.49841661513255531</v>
      </c>
      <c r="AQ324">
        <f t="shared" si="138"/>
        <v>0</v>
      </c>
      <c r="AR324">
        <f t="shared" si="139"/>
        <v>8.5</v>
      </c>
      <c r="AS324">
        <f t="shared" si="140"/>
        <v>0</v>
      </c>
      <c r="AT324" t="str">
        <f t="shared" si="141"/>
        <v>VENTAS</v>
      </c>
      <c r="AU324">
        <f t="shared" si="142"/>
        <v>9.8477641379446652</v>
      </c>
      <c r="AV324" t="str">
        <f t="shared" si="143"/>
        <v>Mayor retorno probable: VENTAS (+9,8 puntos finales potenciales).</v>
      </c>
    </row>
    <row r="325" spans="1:48" x14ac:dyDescent="0.3">
      <c r="A325" s="5">
        <v>51022378</v>
      </c>
      <c r="B325" s="5" t="str">
        <f>IFERROR(VLOOKUP(A325,VENTAS!$A$2:$B$1194,2,0),"")</f>
        <v>LÓPEZ</v>
      </c>
      <c r="C325" s="5">
        <f>IFERROR(INDEX(VENTAS!$C$2:$E$1194,MATCH(A325,VENTAS!$A$2:$A$1194,0),MATCH(PARAMS_MODELO!$B$2,{"Q1","Q2","Q3"},0)),0)</f>
        <v>114458919.39</v>
      </c>
      <c r="D325" s="5">
        <f>IFERROR(INDEX(VENTAS!$F$2:$H$1194,MATCH(A325,VENTAS!$A$2:$A$1194,0),MATCH(PARAMS_MODELO!$B$2,{"Q1","Q2","Q3"},0)),0)</f>
        <v>101368486</v>
      </c>
      <c r="E325" s="8">
        <f t="shared" si="120"/>
        <v>-0.11436796240751235</v>
      </c>
      <c r="F325" s="12">
        <f>IF(E325&lt;=PARAMS_MODELO!$B$15,0,IF(E325&gt;=PARAMS_MODELO!$B$17,100,100*MIN(1,(E325-PARAMS_MODELO!$B$15)/(PARAMS_MODELO!$B$16-PARAMS_MODELO!$B$15))))*PARAMS_MODELO!$B$7</f>
        <v>0</v>
      </c>
      <c r="G325" s="5">
        <f t="shared" si="121"/>
        <v>0</v>
      </c>
      <c r="H325" s="5">
        <f>(PARAMS_MODELO!$B$20*(MAX(0,MIN(3,E325))/3)+PARAMS_MODELO!$B$21*(IFERROR(LN(1+MAX(0,G325))/LN(1+MAX(0,MAX($G$2:$G$1194))),0)))*100*PARAMS_MODELO!$B$8</f>
        <v>0</v>
      </c>
      <c r="I325" s="8">
        <f>E325-PARAMS_MODELO!$B$5</f>
        <v>-0.29193079778303888</v>
      </c>
      <c r="J325" s="5">
        <f>IF(I325&lt;=PARAMS_MODELO!$B$18,0,IF(I325&gt;=PARAMS_MODELO!$B$19,100,100*(I325-PARAMS_MODELO!$B$18)/(PARAMS_MODELO!$B$19-PARAMS_MODELO!$B$18)))*PARAMS_MODELO!$B$9</f>
        <v>0</v>
      </c>
      <c r="K325" s="5">
        <f>IFERROR(CHOOSE(MATCH(PARAMS_MODELO!$B$2,{"Q1","Q2","Q3"},0),LOTO!$D325,LOTO!$F325,LOTO!$H325),0)</f>
        <v>4892500</v>
      </c>
      <c r="L325" s="8">
        <f t="shared" si="122"/>
        <v>4.8264506979023049E-2</v>
      </c>
      <c r="M325" s="5">
        <f>MIN(100,IF(PARAMS_MODELO!$B$23=0,0,100*L325/PARAMS_MODELO!$B$23))*PARAMS_MODELO!$B$10</f>
        <v>14.479352093706913</v>
      </c>
      <c r="N325" s="5">
        <f>IFERROR(VLOOKUP(A325,COMPLIANCE!$A$2:$F$1996,6,0),100)</f>
        <v>100</v>
      </c>
      <c r="O325" s="5">
        <f>N325*PARAMS_MODELO!$B$11</f>
        <v>10</v>
      </c>
      <c r="P325" s="5">
        <f>IFERROR(VLOOKUP(A325,DIGITAL!$A$2:$J$2000,7,0),100)</f>
        <v>8</v>
      </c>
      <c r="Q325" s="5">
        <f>IFERROR(P325,0)*PARAMS_MODELO!$B$12</f>
        <v>0.8</v>
      </c>
      <c r="R325">
        <f t="shared" si="123"/>
        <v>25.279352093706915</v>
      </c>
      <c r="S325" s="5" t="str">
        <f>IFERROR(VLOOKUP(A325,CLIENTE!$A$2:$N$2000,13,0),1)</f>
        <v>Regular</v>
      </c>
      <c r="T325" s="5">
        <f>IFERROR(VLOOKUP(A325,CLIENTE!$A$2:$N$2000,14,0),1)</f>
        <v>1</v>
      </c>
      <c r="U325" s="5">
        <f t="shared" si="124"/>
        <v>25.279352093706915</v>
      </c>
      <c r="V325" s="5" t="str">
        <f>IF(U325&gt;=MAX(_xlfn.PERCENTILE.INC($U$2:$U$1194,PARAMS_MODELO!$B$50),PARAMS_MODELO!$B$45),"DIAMANTE",IF(U325&gt;=MAX(_xlfn.PERCENTILE.INC($U$2:$U$1194,PARAMS_MODELO!$B$51),PARAMS_MODELO!$B$46),"PLATINO",IF(U325&gt;=MAX(_xlfn.PERCENTILE.INC($U$2:$U$1194,PARAMS_MODELO!$B$52),PARAMS_MODELO!$B$47),"ORO",IF(U325&gt;=MAX(_xlfn.PERCENTILE.INC($U$2:$U$1194,PARAMS_MODELO!$B$53),PARAMS_MODELO!$B$48),"PLATA",IF(U325&gt;=1,"BRONCE","CERRADO")))))</f>
        <v>PLATA</v>
      </c>
      <c r="W325" s="5" t="str" cm="1">
        <f t="array" ref="W325">_xlfn.XLOOKUP(1, (HIST_SCORE!$B:$B=PARAMS_MODELO!$B$4) * (HIST_SCORE!$C:$C=A325), HIST_SCORE!$E:$E, "No encontrado")</f>
        <v>BRONCE</v>
      </c>
      <c r="X325" s="5" t="str">
        <f>_xlfn.LET(_xlpm.act,MATCH(V325,{"DIAMANTE";"PLATINO";"ORO";"PLATA";"BRONCE";"CERRADO"},0),_xlpm.ant,MATCH(W325,{"DIAMANTE";"PLATINO";"ORO";"PLATA";"BRONCE";"CERRADO"},0),IF(_xlpm.act&lt;_xlpm.ant,"Mejora ↑",IF(_xlpm.act&gt;_xlpm.ant,"Baja ↓","Estable →")))</f>
        <v>Mejora ↑</v>
      </c>
      <c r="Y325" s="5">
        <f>IFERROR(U325-SUMIFS(HIST_SCORE!$D:$D,HIST_SCORE!$B:$B,PARAMS_MODELO!$B$4,HIST_SCORE!$C:$C,$A325),"")</f>
        <v>2.5058952129065588</v>
      </c>
      <c r="Z325" s="5" t="str">
        <f t="shared" si="125"/>
        <v>→ Estable</v>
      </c>
      <c r="AA325" s="5">
        <f t="shared" si="126"/>
        <v>912</v>
      </c>
      <c r="AB325" s="5">
        <f>IFERROR(SUMIFS(HIST_SCORE!$F:$F,HIST_SCORE!$B:$B,PARAMS_MODELO!$B$4,HIST_SCORE!$C:$C,$A325),"")</f>
        <v>956</v>
      </c>
      <c r="AC325" s="5">
        <f t="shared" si="127"/>
        <v>44</v>
      </c>
      <c r="AD325" t="str">
        <f t="shared" si="129"/>
        <v/>
      </c>
      <c r="AE3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325="CERRADO",1,IF(V325="BRONCE",_xlpm.cPl,IF(V325="PLATA",_xlpm.cO,IF(V325="ORO",_xlpm.cP,IF(V325="PLATINO",_xlpm.cD,999))))))</f>
        <v>63.199193273331495</v>
      </c>
      <c r="AF3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325="CERRADO",0,IF(V325="BRONCE",1,IF(V325="PLATA",_xlpm.cPl,IF(V325="ORO",_xlpm.cO,IF(V325="PLATINO",_xlpm.cP,_xlpm.cD))))))</f>
        <v>24.506573482968111</v>
      </c>
      <c r="AG325">
        <f t="shared" si="130"/>
        <v>37.919841179624584</v>
      </c>
      <c r="AH325" t="str">
        <f t="shared" si="131"/>
        <v>VENTAS</v>
      </c>
      <c r="AI325" t="str">
        <f t="shared" si="128"/>
        <v>🎯 Para subir de categoría, eje VENTAS / CRECIMIENTO PERSONAL (F). Acción: metas semanales + activación comercial + seguimiento del asesor. ΔR aprox: 37,9</v>
      </c>
      <c r="AJ325" s="26">
        <f>_xlfn.LET(_xlpm.piso,AF325,_xlpm.corte,AE325,_xlpm.prog,IF(_xlpm.corte&lt;=_xlpm.piso,0,MAX(0,MIN(1,(U325-_xlpm.piso)/(_xlpm.corte-_xlpm.piso)))),_xlpm.orden,{"DIAMANTE";"PLATINO";"ORO";"PLATA";"BRONCE";"CERRADO"},_xlpm.act,IFERROR(MATCH(V325,_xlpm.orden,0),6),_xlpm.ant,IFERROR(MATCH(W325,_xlpm.orden,0),6),_xlpm.ajmov,IF(_xlpm.act&lt;_xlpm.ant,0.08,IF(_xlpm.act&gt;_xlpm.ant,-0.08,0)),_xlpm.ajcli,IF(T325&lt;0.95,-0.06,0),_xlpm.prob,MAX(0,MIN(1,_xlpm.prog+_xlpm.ajmov+_xlpm.ajcli)),IF(OR(V325="DIAMANTE",V325="CERRADO"),0,ROUND(_xlpm.prob,2)))</f>
        <v>0.1</v>
      </c>
      <c r="AK325" t="str">
        <f t="shared" si="132"/>
        <v>Faltan 37,9 puntos base para subir a la siguiente categoría</v>
      </c>
      <c r="AL325" t="str">
        <f t="shared" si="133"/>
        <v>Margen de seguridad: 0,8 puntos</v>
      </c>
      <c r="AM325">
        <f t="shared" si="134"/>
        <v>0.76</v>
      </c>
      <c r="AN325" t="str">
        <f t="shared" si="135"/>
        <v>PRIORIDAD ALTA – requiere intervención inmediata</v>
      </c>
      <c r="AO325">
        <f t="shared" si="136"/>
        <v>64.862569275295584</v>
      </c>
      <c r="AP325">
        <f t="shared" si="137"/>
        <v>0.5206479062930871</v>
      </c>
      <c r="AQ325">
        <f t="shared" si="138"/>
        <v>0</v>
      </c>
      <c r="AR325">
        <f t="shared" si="139"/>
        <v>9.1999999999999993</v>
      </c>
      <c r="AS325">
        <f t="shared" si="140"/>
        <v>0</v>
      </c>
      <c r="AT325" t="str">
        <f t="shared" si="141"/>
        <v>VENTAS</v>
      </c>
      <c r="AU325">
        <f t="shared" si="142"/>
        <v>64.862569275295584</v>
      </c>
      <c r="AV325" t="str">
        <f t="shared" si="143"/>
        <v>Mayor retorno probable: VENTAS (+64,9 puntos finales potenciales).</v>
      </c>
    </row>
    <row r="326" spans="1:48" x14ac:dyDescent="0.3">
      <c r="A326" s="5">
        <v>51052072</v>
      </c>
      <c r="B326" s="5" t="str">
        <f>IFERROR(VLOOKUP(A326,VENTAS!$A$2:$B$1194,2,0),"")</f>
        <v>NELLI</v>
      </c>
      <c r="C326" s="5">
        <f>IFERROR(INDEX(VENTAS!$C$2:$E$1194,MATCH(A326,VENTAS!$A$2:$A$1194,0),MATCH(PARAMS_MODELO!$B$2,{"Q1","Q2","Q3"},0)),0)</f>
        <v>102812956.2</v>
      </c>
      <c r="D326" s="5">
        <f>IFERROR(INDEX(VENTAS!$F$2:$H$1194,MATCH(A326,VENTAS!$A$2:$A$1194,0),MATCH(PARAMS_MODELO!$B$2,{"Q1","Q2","Q3"},0)),0)</f>
        <v>101350149</v>
      </c>
      <c r="E326" s="8">
        <f t="shared" si="120"/>
        <v>-1.4227848843821111E-2</v>
      </c>
      <c r="F326" s="12">
        <f>IF(E326&lt;=PARAMS_MODELO!$B$15,0,IF(E326&gt;=PARAMS_MODELO!$B$17,100,100*MIN(1,(E326-PARAMS_MODELO!$B$15)/(PARAMS_MODELO!$B$16-PARAMS_MODELO!$B$15))))*PARAMS_MODELO!$B$7</f>
        <v>0</v>
      </c>
      <c r="G326" s="5">
        <f t="shared" si="121"/>
        <v>0</v>
      </c>
      <c r="H326" s="5">
        <f>(PARAMS_MODELO!$B$20*(MAX(0,MIN(3,E326))/3)+PARAMS_MODELO!$B$21*(IFERROR(LN(1+MAX(0,G326))/LN(1+MAX(0,MAX($G$2:$G$1194))),0)))*100*PARAMS_MODELO!$B$8</f>
        <v>0</v>
      </c>
      <c r="I326" s="8">
        <f>E326-PARAMS_MODELO!$B$5</f>
        <v>-0.19179068421934764</v>
      </c>
      <c r="J326" s="5">
        <f>IF(I326&lt;=PARAMS_MODELO!$B$18,0,IF(I326&gt;=PARAMS_MODELO!$B$19,100,100*(I326-PARAMS_MODELO!$B$18)/(PARAMS_MODELO!$B$19-PARAMS_MODELO!$B$18)))*PARAMS_MODELO!$B$9</f>
        <v>0</v>
      </c>
      <c r="K326" s="5">
        <f>IFERROR(CHOOSE(MATCH(PARAMS_MODELO!$B$2,{"Q1","Q2","Q3"},0),LOTO!$D326,LOTO!$F326,LOTO!$H326),0)</f>
        <v>4882500</v>
      </c>
      <c r="L326" s="8">
        <f t="shared" si="122"/>
        <v>4.8174571504576671E-2</v>
      </c>
      <c r="M326" s="5">
        <f>MIN(100,IF(PARAMS_MODELO!$B$23=0,0,100*L326/PARAMS_MODELO!$B$23))*PARAMS_MODELO!$B$10</f>
        <v>14.452371451373001</v>
      </c>
      <c r="N326" s="5">
        <f>IFERROR(VLOOKUP(A326,COMPLIANCE!$A$2:$F$1996,6,0),100)</f>
        <v>100</v>
      </c>
      <c r="O326" s="5">
        <f>N326*PARAMS_MODELO!$B$11</f>
        <v>10</v>
      </c>
      <c r="P326" s="5">
        <f>IFERROR(VLOOKUP(A326,DIGITAL!$A$2:$J$2000,7,0),100)</f>
        <v>89</v>
      </c>
      <c r="Q326" s="5">
        <f>IFERROR(P326,0)*PARAMS_MODELO!$B$12</f>
        <v>8.9</v>
      </c>
      <c r="R326">
        <f t="shared" si="123"/>
        <v>33.352371451373003</v>
      </c>
      <c r="S326" s="5" t="str">
        <f>IFERROR(VLOOKUP(A326,CLIENTE!$A$2:$N$2000,13,0),1)</f>
        <v>Malo</v>
      </c>
      <c r="T326" s="5">
        <f>IFERROR(VLOOKUP(A326,CLIENTE!$A$2:$N$2000,14,0),1)</f>
        <v>0.7</v>
      </c>
      <c r="U326" s="5">
        <f t="shared" si="124"/>
        <v>23.346660015961099</v>
      </c>
      <c r="V326" s="5" t="str">
        <f>IF(U326&gt;=MAX(_xlfn.PERCENTILE.INC($U$2:$U$1194,PARAMS_MODELO!$B$50),PARAMS_MODELO!$B$45),"DIAMANTE",IF(U326&gt;=MAX(_xlfn.PERCENTILE.INC($U$2:$U$1194,PARAMS_MODELO!$B$51),PARAMS_MODELO!$B$46),"PLATINO",IF(U326&gt;=MAX(_xlfn.PERCENTILE.INC($U$2:$U$1194,PARAMS_MODELO!$B$52),PARAMS_MODELO!$B$47),"ORO",IF(U326&gt;=MAX(_xlfn.PERCENTILE.INC($U$2:$U$1194,PARAMS_MODELO!$B$53),PARAMS_MODELO!$B$48),"PLATA",IF(U326&gt;=1,"BRONCE","CERRADO")))))</f>
        <v>BRONCE</v>
      </c>
      <c r="W326" s="5" t="str" cm="1">
        <f t="array" ref="W326">_xlfn.XLOOKUP(1, (HIST_SCORE!$B:$B=PARAMS_MODELO!$B$4) * (HIST_SCORE!$C:$C=A326), HIST_SCORE!$E:$E, "No encontrado")</f>
        <v>PLATA</v>
      </c>
      <c r="X326" s="5" t="str">
        <f>_xlfn.LET(_xlpm.act,MATCH(V326,{"DIAMANTE";"PLATINO";"ORO";"PLATA";"BRONCE";"CERRADO"},0),_xlpm.ant,MATCH(W326,{"DIAMANTE";"PLATINO";"ORO";"PLATA";"BRONCE";"CERRADO"},0),IF(_xlpm.act&lt;_xlpm.ant,"Mejora ↑",IF(_xlpm.act&gt;_xlpm.ant,"Baja ↓","Estable →")))</f>
        <v>Baja ↓</v>
      </c>
      <c r="Y326" s="5">
        <f>IFERROR(U326-SUMIFS(HIST_SCORE!$D:$D,HIST_SCORE!$B:$B,PARAMS_MODELO!$B$4,HIST_SCORE!$C:$C,$A326),"")</f>
        <v>-25.110543724192368</v>
      </c>
      <c r="Z326" s="5" t="str">
        <f t="shared" si="125"/>
        <v>↓ Baja</v>
      </c>
      <c r="AA326" s="5">
        <f t="shared" si="126"/>
        <v>929</v>
      </c>
      <c r="AB326" s="5">
        <f>IFERROR(SUMIFS(HIST_SCORE!$F:$F,HIST_SCORE!$B:$B,PARAMS_MODELO!$B$4,HIST_SCORE!$C:$C,$A326),"")</f>
        <v>787</v>
      </c>
      <c r="AC326" s="5">
        <f t="shared" si="127"/>
        <v>-142</v>
      </c>
      <c r="AD326" t="str">
        <f t="shared" si="129"/>
        <v>Plan de recuperación: foco crecimiento + mix</v>
      </c>
      <c r="AE3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326="CERRADO",1,IF(V326="BRONCE",_xlpm.cPl,IF(V326="PLATA",_xlpm.cO,IF(V326="ORO",_xlpm.cP,IF(V326="PLATINO",_xlpm.cD,999))))))</f>
        <v>24.506573482968111</v>
      </c>
      <c r="AF3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326="CERRADO",0,IF(V326="BRONCE",1,IF(V326="PLATA",_xlpm.cPl,IF(V326="ORO",_xlpm.cO,IF(V326="PLATINO",_xlpm.cP,_xlpm.cD))))))</f>
        <v>1</v>
      </c>
      <c r="AG326">
        <f t="shared" si="130"/>
        <v>1.6570192385814408</v>
      </c>
      <c r="AH326" t="str">
        <f t="shared" si="131"/>
        <v>CLIENTE</v>
      </c>
      <c r="AI326" t="str">
        <f t="shared" si="128"/>
        <v>🎯 Para subir de categoría, la eje con mayor impacto probable es CLIENTE (coef T). Acción: reducir quejas, mejorar incógnito y empujar reseñas. ΔR aprox: 1,7</v>
      </c>
      <c r="AJ326" s="26">
        <f>_xlfn.LET(_xlpm.piso,AF326,_xlpm.corte,AE326,_xlpm.prog,IF(_xlpm.corte&lt;=_xlpm.piso,0,MAX(0,MIN(1,(U326-_xlpm.piso)/(_xlpm.corte-_xlpm.piso)))),_xlpm.orden,{"DIAMANTE";"PLATINO";"ORO";"PLATA";"BRONCE";"CERRADO"},_xlpm.act,IFERROR(MATCH(V326,_xlpm.orden,0),6),_xlpm.ant,IFERROR(MATCH(W326,_xlpm.orden,0),6),_xlpm.ajmov,IF(_xlpm.act&lt;_xlpm.ant,0.08,IF(_xlpm.act&gt;_xlpm.ant,-0.08,0)),_xlpm.ajcli,IF(T326&lt;0.95,-0.06,0),_xlpm.prob,MAX(0,MIN(1,_xlpm.prog+_xlpm.ajmov+_xlpm.ajcli)),IF(OR(V326="DIAMANTE",V326="CERRADO"),0,ROUND(_xlpm.prob,2)))</f>
        <v>0.81</v>
      </c>
      <c r="AK326" t="str">
        <f t="shared" si="132"/>
        <v>Faltan 1,7 puntos base para subir a la siguiente categoría</v>
      </c>
      <c r="AL326" t="str">
        <f t="shared" si="133"/>
        <v>No aplica</v>
      </c>
      <c r="AM326">
        <f t="shared" si="134"/>
        <v>0.34</v>
      </c>
      <c r="AN326" t="str">
        <f t="shared" si="135"/>
        <v>PRIORIDAD BAJA – control normal</v>
      </c>
      <c r="AO326">
        <f t="shared" si="136"/>
        <v>45.403798492706905</v>
      </c>
      <c r="AP326">
        <f t="shared" si="137"/>
        <v>0.38333998403889957</v>
      </c>
      <c r="AQ326">
        <f t="shared" si="138"/>
        <v>0</v>
      </c>
      <c r="AR326">
        <f t="shared" si="139"/>
        <v>0.76999999999999968</v>
      </c>
      <c r="AS326">
        <f t="shared" si="140"/>
        <v>10.005711435411902</v>
      </c>
      <c r="AT326" t="str">
        <f t="shared" si="141"/>
        <v>VENTAS</v>
      </c>
      <c r="AU326">
        <f t="shared" si="142"/>
        <v>45.403798492706905</v>
      </c>
      <c r="AV326" t="str">
        <f t="shared" si="143"/>
        <v>Mayor retorno probable: VENTAS (+45,4 puntos finales potenciales).</v>
      </c>
    </row>
    <row r="327" spans="1:48" x14ac:dyDescent="0.3">
      <c r="A327" s="5">
        <v>51031946</v>
      </c>
      <c r="B327" s="5" t="str">
        <f>IFERROR(VLOOKUP(A327,VENTAS!$A$2:$B$1194,2,0),"")</f>
        <v>PRADES</v>
      </c>
      <c r="C327" s="5">
        <f>IFERROR(INDEX(VENTAS!$C$2:$E$1194,MATCH(A327,VENTAS!$A$2:$A$1194,0),MATCH(PARAMS_MODELO!$B$2,{"Q1","Q2","Q3"},0)),0)</f>
        <v>77799620.150000006</v>
      </c>
      <c r="D327" s="5">
        <f>IFERROR(INDEX(VENTAS!$F$2:$H$1194,MATCH(A327,VENTAS!$A$2:$A$1194,0),MATCH(PARAMS_MODELO!$B$2,{"Q1","Q2","Q3"},0)),0)</f>
        <v>101211781</v>
      </c>
      <c r="E327" s="8">
        <f t="shared" si="120"/>
        <v>0.30092898660508416</v>
      </c>
      <c r="F327" s="12">
        <f>IF(E327&lt;=PARAMS_MODELO!$B$15,0,IF(E327&gt;=PARAMS_MODELO!$B$17,100,100*MIN(1,(E327-PARAMS_MODELO!$B$15)/(PARAMS_MODELO!$B$16-PARAMS_MODELO!$B$15))))*PARAMS_MODELO!$B$7</f>
        <v>35</v>
      </c>
      <c r="G327" s="5">
        <f t="shared" si="121"/>
        <v>23412160.849999994</v>
      </c>
      <c r="H327" s="5">
        <f>(PARAMS_MODELO!$B$20*(MAX(0,MIN(3,E327))/3)+PARAMS_MODELO!$B$21*(IFERROR(LN(1+MAX(0,G327))/LN(1+MAX(0,MAX($G$2:$G$1194))),0)))*100*PARAMS_MODELO!$B$8</f>
        <v>5.0309671420408311</v>
      </c>
      <c r="I327" s="8">
        <f>E327-PARAMS_MODELO!$B$5</f>
        <v>0.12336615122955763</v>
      </c>
      <c r="J327" s="5">
        <f>IF(I327&lt;=PARAMS_MODELO!$B$18,0,IF(I327&gt;=PARAMS_MODELO!$B$19,100,100*(I327-PARAMS_MODELO!$B$18)/(PARAMS_MODELO!$B$19-PARAMS_MODELO!$B$18)))*PARAMS_MODELO!$B$9</f>
        <v>15</v>
      </c>
      <c r="K327" s="5">
        <f>IFERROR(CHOOSE(MATCH(PARAMS_MODELO!$B$2,{"Q1","Q2","Q3"},0),LOTO!$D327,LOTO!$F327,LOTO!$H327),0)</f>
        <v>4865000</v>
      </c>
      <c r="L327" s="8">
        <f t="shared" si="122"/>
        <v>4.8067526842552055E-2</v>
      </c>
      <c r="M327" s="5">
        <f>MIN(100,IF(PARAMS_MODELO!$B$23=0,0,100*L327/PARAMS_MODELO!$B$23))*PARAMS_MODELO!$B$10</f>
        <v>14.420258052765616</v>
      </c>
      <c r="N327" s="5">
        <f>IFERROR(VLOOKUP(A327,COMPLIANCE!$A$2:$F$1996,6,0),100)</f>
        <v>100</v>
      </c>
      <c r="O327" s="5">
        <f>N327*PARAMS_MODELO!$B$11</f>
        <v>10</v>
      </c>
      <c r="P327" s="5">
        <f>IFERROR(VLOOKUP(A327,DIGITAL!$A$2:$J$2000,7,0),100)</f>
        <v>54</v>
      </c>
      <c r="Q327" s="5">
        <f>IFERROR(P327,0)*PARAMS_MODELO!$B$12</f>
        <v>5.4</v>
      </c>
      <c r="R327">
        <f t="shared" si="123"/>
        <v>84.851225194806446</v>
      </c>
      <c r="S327" s="5" t="str">
        <f>IFERROR(VLOOKUP(A327,CLIENTE!$A$2:$N$2000,13,0),1)</f>
        <v>Regular</v>
      </c>
      <c r="T327" s="5">
        <f>IFERROR(VLOOKUP(A327,CLIENTE!$A$2:$N$2000,14,0),1)</f>
        <v>1</v>
      </c>
      <c r="U327" s="5">
        <f t="shared" si="124"/>
        <v>84.851225194806446</v>
      </c>
      <c r="V327" s="5" t="str">
        <f>IF(U327&gt;=MAX(_xlfn.PERCENTILE.INC($U$2:$U$1194,PARAMS_MODELO!$B$50),PARAMS_MODELO!$B$45),"DIAMANTE",IF(U327&gt;=MAX(_xlfn.PERCENTILE.INC($U$2:$U$1194,PARAMS_MODELO!$B$51),PARAMS_MODELO!$B$46),"PLATINO",IF(U327&gt;=MAX(_xlfn.PERCENTILE.INC($U$2:$U$1194,PARAMS_MODELO!$B$52),PARAMS_MODELO!$B$47),"ORO",IF(U327&gt;=MAX(_xlfn.PERCENTILE.INC($U$2:$U$1194,PARAMS_MODELO!$B$53),PARAMS_MODELO!$B$48),"PLATA",IF(U327&gt;=1,"BRONCE","CERRADO")))))</f>
        <v>ORO</v>
      </c>
      <c r="W327" s="5" t="str" cm="1">
        <f t="array" ref="W327">_xlfn.XLOOKUP(1, (HIST_SCORE!$B:$B=PARAMS_MODELO!$B$4) * (HIST_SCORE!$C:$C=A327), HIST_SCORE!$E:$E, "No encontrado")</f>
        <v>ORO</v>
      </c>
      <c r="X327" s="5" t="str">
        <f>_xlfn.LET(_xlpm.act,MATCH(V327,{"DIAMANTE";"PLATINO";"ORO";"PLATA";"BRONCE";"CERRADO"},0),_xlpm.ant,MATCH(W327,{"DIAMANTE";"PLATINO";"ORO";"PLATA";"BRONCE";"CERRADO"},0),IF(_xlpm.act&lt;_xlpm.ant,"Mejora ↑",IF(_xlpm.act&gt;_xlpm.ant,"Baja ↓","Estable →")))</f>
        <v>Estable →</v>
      </c>
      <c r="Y327" s="5">
        <f>IFERROR(U327-SUMIFS(HIST_SCORE!$D:$D,HIST_SCORE!$B:$B,PARAMS_MODELO!$B$4,HIST_SCORE!$C:$C,$A327),"")</f>
        <v>1.5531876945510561</v>
      </c>
      <c r="Z327" s="5" t="str">
        <f t="shared" si="125"/>
        <v>→ Estable</v>
      </c>
      <c r="AA327" s="5">
        <f t="shared" si="126"/>
        <v>289</v>
      </c>
      <c r="AB327" s="5">
        <f>IFERROR(SUMIFS(HIST_SCORE!$F:$F,HIST_SCORE!$B:$B,PARAMS_MODELO!$B$4,HIST_SCORE!$C:$C,$A327),"")</f>
        <v>319</v>
      </c>
      <c r="AC327" s="5">
        <f t="shared" si="127"/>
        <v>30</v>
      </c>
      <c r="AD327" t="str">
        <f t="shared" si="129"/>
        <v/>
      </c>
      <c r="AE3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327="CERRADO",1,IF(V327="BRONCE",_xlpm.cPl,IF(V327="PLATA",_xlpm.cO,IF(V327="ORO",_xlpm.cP,IF(V327="PLATINO",_xlpm.cD,999))))))</f>
        <v>86.439123873763251</v>
      </c>
      <c r="AF3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327="CERRADO",0,IF(V327="BRONCE",1,IF(V327="PLATA",_xlpm.cPl,IF(V327="ORO",_xlpm.cO,IF(V327="PLATINO",_xlpm.cP,_xlpm.cD))))))</f>
        <v>63.199193273331495</v>
      </c>
      <c r="AG327">
        <f t="shared" si="130"/>
        <v>1.5878986789568046</v>
      </c>
      <c r="AH327" t="str">
        <f t="shared" si="131"/>
        <v>VENTAS</v>
      </c>
      <c r="AI327" t="str">
        <f t="shared" si="128"/>
        <v>🎯 Para subir de categoría, eje VENTAS / IMPACTO ABSOLUTO (H). Acción: metas semanales + activación comercial + seguimiento del asesor. ΔR aprox: 1,6</v>
      </c>
      <c r="AJ327" s="26">
        <f>_xlfn.LET(_xlpm.piso,AF327,_xlpm.corte,AE327,_xlpm.prog,IF(_xlpm.corte&lt;=_xlpm.piso,0,MAX(0,MIN(1,(U327-_xlpm.piso)/(_xlpm.corte-_xlpm.piso)))),_xlpm.orden,{"DIAMANTE";"PLATINO";"ORO";"PLATA";"BRONCE";"CERRADO"},_xlpm.act,IFERROR(MATCH(V327,_xlpm.orden,0),6),_xlpm.ant,IFERROR(MATCH(W327,_xlpm.orden,0),6),_xlpm.ajmov,IF(_xlpm.act&lt;_xlpm.ant,0.08,IF(_xlpm.act&gt;_xlpm.ant,-0.08,0)),_xlpm.ajcli,IF(T327&lt;0.95,-0.06,0),_xlpm.prob,MAX(0,MIN(1,_xlpm.prog+_xlpm.ajmov+_xlpm.ajcli)),IF(OR(V327="DIAMANTE",V327="CERRADO"),0,ROUND(_xlpm.prob,2)))</f>
        <v>0.93</v>
      </c>
      <c r="AK327" t="str">
        <f t="shared" si="132"/>
        <v>Faltan 1,6 puntos base para subir a la siguiente categoría</v>
      </c>
      <c r="AL327" t="str">
        <f t="shared" si="133"/>
        <v>Margen de seguridad: 21,7 puntos</v>
      </c>
      <c r="AM327">
        <f t="shared" si="134"/>
        <v>0.09</v>
      </c>
      <c r="AN327" t="str">
        <f t="shared" si="135"/>
        <v>PRIORIDAD BAJA – control normal</v>
      </c>
      <c r="AO327">
        <f t="shared" si="136"/>
        <v>9.831602133254755</v>
      </c>
      <c r="AP327">
        <f t="shared" si="137"/>
        <v>0.57974194723438366</v>
      </c>
      <c r="AQ327">
        <f t="shared" si="138"/>
        <v>0</v>
      </c>
      <c r="AR327">
        <f t="shared" si="139"/>
        <v>4.5999999999999996</v>
      </c>
      <c r="AS327">
        <f t="shared" si="140"/>
        <v>0</v>
      </c>
      <c r="AT327" t="str">
        <f t="shared" si="141"/>
        <v>VENTAS</v>
      </c>
      <c r="AU327">
        <f t="shared" si="142"/>
        <v>9.831602133254755</v>
      </c>
      <c r="AV327" t="str">
        <f t="shared" si="143"/>
        <v>Mayor retorno probable: VENTAS (+9,8 puntos finales potenciales).</v>
      </c>
    </row>
    <row r="328" spans="1:48" x14ac:dyDescent="0.3">
      <c r="A328" s="5">
        <v>51010752</v>
      </c>
      <c r="B328" s="5" t="str">
        <f>IFERROR(VLOOKUP(A328,VENTAS!$A$2:$B$1194,2,0),"")</f>
        <v>ARGUELLO</v>
      </c>
      <c r="C328" s="5">
        <f>IFERROR(INDEX(VENTAS!$C$2:$E$1194,MATCH(A328,VENTAS!$A$2:$A$1194,0),MATCH(PARAMS_MODELO!$B$2,{"Q1","Q2","Q3"},0)),0)</f>
        <v>103154264.02</v>
      </c>
      <c r="D328" s="5">
        <f>IFERROR(INDEX(VENTAS!$F$2:$H$1194,MATCH(A328,VENTAS!$A$2:$A$1194,0),MATCH(PARAMS_MODELO!$B$2,{"Q1","Q2","Q3"},0)),0)</f>
        <v>101148972</v>
      </c>
      <c r="E328" s="8">
        <f t="shared" si="120"/>
        <v>-1.9439739491633579E-2</v>
      </c>
      <c r="F328" s="12">
        <f>IF(E328&lt;=PARAMS_MODELO!$B$15,0,IF(E328&gt;=PARAMS_MODELO!$B$17,100,100*MIN(1,(E328-PARAMS_MODELO!$B$15)/(PARAMS_MODELO!$B$16-PARAMS_MODELO!$B$15))))*PARAMS_MODELO!$B$7</f>
        <v>0</v>
      </c>
      <c r="G328" s="5">
        <f t="shared" si="121"/>
        <v>0</v>
      </c>
      <c r="H328" s="5">
        <f>(PARAMS_MODELO!$B$20*(MAX(0,MIN(3,E328))/3)+PARAMS_MODELO!$B$21*(IFERROR(LN(1+MAX(0,G328))/LN(1+MAX(0,MAX($G$2:$G$1194))),0)))*100*PARAMS_MODELO!$B$8</f>
        <v>0</v>
      </c>
      <c r="I328" s="8">
        <f>E328-PARAMS_MODELO!$B$5</f>
        <v>-0.19700257486716011</v>
      </c>
      <c r="J328" s="5">
        <f>IF(I328&lt;=PARAMS_MODELO!$B$18,0,IF(I328&gt;=PARAMS_MODELO!$B$19,100,100*(I328-PARAMS_MODELO!$B$18)/(PARAMS_MODELO!$B$19-PARAMS_MODELO!$B$18)))*PARAMS_MODELO!$B$9</f>
        <v>0</v>
      </c>
      <c r="K328" s="5">
        <f>IFERROR(CHOOSE(MATCH(PARAMS_MODELO!$B$2,{"Q1","Q2","Q3"},0),LOTO!$D328,LOTO!$F328,LOTO!$H328),0)</f>
        <v>4857500</v>
      </c>
      <c r="L328" s="8">
        <f t="shared" si="122"/>
        <v>4.8023226573177633E-2</v>
      </c>
      <c r="M328" s="5">
        <f>MIN(100,IF(PARAMS_MODELO!$B$23=0,0,100*L328/PARAMS_MODELO!$B$23))*PARAMS_MODELO!$B$10</f>
        <v>14.406967971953289</v>
      </c>
      <c r="N328" s="5">
        <f>IFERROR(VLOOKUP(A328,COMPLIANCE!$A$2:$F$1996,6,0),100)</f>
        <v>100</v>
      </c>
      <c r="O328" s="5">
        <f>N328*PARAMS_MODELO!$B$11</f>
        <v>10</v>
      </c>
      <c r="P328" s="5">
        <f>IFERROR(VLOOKUP(A328,DIGITAL!$A$2:$J$2000,7,0),100)</f>
        <v>57</v>
      </c>
      <c r="Q328" s="5">
        <f>IFERROR(P328,0)*PARAMS_MODELO!$B$12</f>
        <v>5.7</v>
      </c>
      <c r="R328">
        <f t="shared" si="123"/>
        <v>30.106967971953289</v>
      </c>
      <c r="S328" s="5" t="str">
        <f>IFERROR(VLOOKUP(A328,CLIENTE!$A$2:$N$2000,13,0),1)</f>
        <v>Regular</v>
      </c>
      <c r="T328" s="5">
        <f>IFERROR(VLOOKUP(A328,CLIENTE!$A$2:$N$2000,14,0),1)</f>
        <v>1</v>
      </c>
      <c r="U328" s="5">
        <f t="shared" si="124"/>
        <v>30.106967971953289</v>
      </c>
      <c r="V328" s="5" t="str">
        <f>IF(U328&gt;=MAX(_xlfn.PERCENTILE.INC($U$2:$U$1194,PARAMS_MODELO!$B$50),PARAMS_MODELO!$B$45),"DIAMANTE",IF(U328&gt;=MAX(_xlfn.PERCENTILE.INC($U$2:$U$1194,PARAMS_MODELO!$B$51),PARAMS_MODELO!$B$46),"PLATINO",IF(U328&gt;=MAX(_xlfn.PERCENTILE.INC($U$2:$U$1194,PARAMS_MODELO!$B$52),PARAMS_MODELO!$B$47),"ORO",IF(U328&gt;=MAX(_xlfn.PERCENTILE.INC($U$2:$U$1194,PARAMS_MODELO!$B$53),PARAMS_MODELO!$B$48),"PLATA",IF(U328&gt;=1,"BRONCE","CERRADO")))))</f>
        <v>PLATA</v>
      </c>
      <c r="W328" s="5" t="str" cm="1">
        <f t="array" ref="W328">_xlfn.XLOOKUP(1, (HIST_SCORE!$B:$B=PARAMS_MODELO!$B$4) * (HIST_SCORE!$C:$C=A328), HIST_SCORE!$E:$E, "No encontrado")</f>
        <v>ORO</v>
      </c>
      <c r="X328" s="5" t="str">
        <f>_xlfn.LET(_xlpm.act,MATCH(V328,{"DIAMANTE";"PLATINO";"ORO";"PLATA";"BRONCE";"CERRADO"},0),_xlpm.ant,MATCH(W328,{"DIAMANTE";"PLATINO";"ORO";"PLATA";"BRONCE";"CERRADO"},0),IF(_xlpm.act&lt;_xlpm.ant,"Mejora ↑",IF(_xlpm.act&gt;_xlpm.ant,"Baja ↓","Estable →")))</f>
        <v>Baja ↓</v>
      </c>
      <c r="Y328" s="5">
        <f>IFERROR(U328-SUMIFS(HIST_SCORE!$D:$D,HIST_SCORE!$B:$B,PARAMS_MODELO!$B$4,HIST_SCORE!$C:$C,$A328),"")</f>
        <v>-44.122746945261916</v>
      </c>
      <c r="Z328" s="5" t="str">
        <f t="shared" si="125"/>
        <v>↓ Baja</v>
      </c>
      <c r="AA328" s="5">
        <f t="shared" si="126"/>
        <v>862</v>
      </c>
      <c r="AB328" s="5">
        <f>IFERROR(SUMIFS(HIST_SCORE!$F:$F,HIST_SCORE!$B:$B,PARAMS_MODELO!$B$4,HIST_SCORE!$C:$C,$A328),"")</f>
        <v>499</v>
      </c>
      <c r="AC328" s="5">
        <f t="shared" si="127"/>
        <v>-363</v>
      </c>
      <c r="AD328" t="str">
        <f t="shared" si="129"/>
        <v/>
      </c>
      <c r="AE3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328="CERRADO",1,IF(V328="BRONCE",_xlpm.cPl,IF(V328="PLATA",_xlpm.cO,IF(V328="ORO",_xlpm.cP,IF(V328="PLATINO",_xlpm.cD,999))))))</f>
        <v>63.199193273331495</v>
      </c>
      <c r="AF3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328="CERRADO",0,IF(V328="BRONCE",1,IF(V328="PLATA",_xlpm.cPl,IF(V328="ORO",_xlpm.cO,IF(V328="PLATINO",_xlpm.cP,_xlpm.cD))))))</f>
        <v>24.506573482968111</v>
      </c>
      <c r="AG328">
        <f t="shared" si="130"/>
        <v>33.092225301378207</v>
      </c>
      <c r="AH328" t="str">
        <f t="shared" si="131"/>
        <v>VENTAS</v>
      </c>
      <c r="AI328" t="str">
        <f t="shared" si="128"/>
        <v>🎯 Para subir de categoría, eje VENTAS / CRECIMIENTO PERSONAL (F). Acción: metas semanales + activación comercial + seguimiento del asesor. ΔR aprox: 33,1</v>
      </c>
      <c r="AJ328" s="26">
        <f>_xlfn.LET(_xlpm.piso,AF328,_xlpm.corte,AE328,_xlpm.prog,IF(_xlpm.corte&lt;=_xlpm.piso,0,MAX(0,MIN(1,(U328-_xlpm.piso)/(_xlpm.corte-_xlpm.piso)))),_xlpm.orden,{"DIAMANTE";"PLATINO";"ORO";"PLATA";"BRONCE";"CERRADO"},_xlpm.act,IFERROR(MATCH(V328,_xlpm.orden,0),6),_xlpm.ant,IFERROR(MATCH(W328,_xlpm.orden,0),6),_xlpm.ajmov,IF(_xlpm.act&lt;_xlpm.ant,0.08,IF(_xlpm.act&gt;_xlpm.ant,-0.08,0)),_xlpm.ajcli,IF(T328&lt;0.95,-0.06,0),_xlpm.prob,MAX(0,MIN(1,_xlpm.prog+_xlpm.ajmov+_xlpm.ajcli)),IF(OR(V328="DIAMANTE",V328="CERRADO"),0,ROUND(_xlpm.prob,2)))</f>
        <v>0.06</v>
      </c>
      <c r="AK328" t="str">
        <f t="shared" si="132"/>
        <v>Faltan 33,1 puntos base para subir a la siguiente categoría</v>
      </c>
      <c r="AL328" t="str">
        <f t="shared" si="133"/>
        <v>Margen de seguridad: 5,6 puntos</v>
      </c>
      <c r="AM328">
        <f t="shared" si="134"/>
        <v>0.78</v>
      </c>
      <c r="AN328" t="str">
        <f t="shared" si="135"/>
        <v>PRIORIDAD ALTA – requiere intervención inmediata</v>
      </c>
      <c r="AO328">
        <f t="shared" si="136"/>
        <v>64.862569275295584</v>
      </c>
      <c r="AP328">
        <f t="shared" si="137"/>
        <v>0.59303202804671074</v>
      </c>
      <c r="AQ328">
        <f t="shared" si="138"/>
        <v>0</v>
      </c>
      <c r="AR328">
        <f t="shared" si="139"/>
        <v>4.3</v>
      </c>
      <c r="AS328">
        <f t="shared" si="140"/>
        <v>0</v>
      </c>
      <c r="AT328" t="str">
        <f t="shared" si="141"/>
        <v>VENTAS</v>
      </c>
      <c r="AU328">
        <f t="shared" si="142"/>
        <v>64.862569275295584</v>
      </c>
      <c r="AV328" t="str">
        <f t="shared" si="143"/>
        <v>Mayor retorno probable: VENTAS (+64,9 puntos finales potenciales).</v>
      </c>
    </row>
    <row r="329" spans="1:48" x14ac:dyDescent="0.3">
      <c r="A329" s="5">
        <v>51055594</v>
      </c>
      <c r="B329" s="5" t="str">
        <f>IFERROR(VLOOKUP(A329,VENTAS!$A$2:$B$1194,2,0),"")</f>
        <v>PUGH</v>
      </c>
      <c r="C329" s="5">
        <f>IFERROR(INDEX(VENTAS!$C$2:$E$1194,MATCH(A329,VENTAS!$A$2:$A$1194,0),MATCH(PARAMS_MODELO!$B$2,{"Q1","Q2","Q3"},0)),0)</f>
        <v>68853018.359999999</v>
      </c>
      <c r="D329" s="5">
        <f>IFERROR(INDEX(VENTAS!$F$2:$H$1194,MATCH(A329,VENTAS!$A$2:$A$1194,0),MATCH(PARAMS_MODELO!$B$2,{"Q1","Q2","Q3"},0)),0)</f>
        <v>100789131</v>
      </c>
      <c r="E329" s="8">
        <f t="shared" si="120"/>
        <v>0.46383024885011004</v>
      </c>
      <c r="F329" s="12">
        <f>IF(E329&lt;=PARAMS_MODELO!$B$15,0,IF(E329&gt;=PARAMS_MODELO!$B$17,100,100*MIN(1,(E329-PARAMS_MODELO!$B$15)/(PARAMS_MODELO!$B$16-PARAMS_MODELO!$B$15))))*PARAMS_MODELO!$B$7</f>
        <v>35</v>
      </c>
      <c r="G329" s="5">
        <f t="shared" si="121"/>
        <v>31936112.640000001</v>
      </c>
      <c r="H329" s="5">
        <f>(PARAMS_MODELO!$B$20*(MAX(0,MIN(3,E329))/3)+PARAMS_MODELO!$B$21*(IFERROR(LN(1+MAX(0,G329))/LN(1+MAX(0,MAX($G$2:$G$1194))),0)))*100*PARAMS_MODELO!$B$8</f>
        <v>5.6739028363211093</v>
      </c>
      <c r="I329" s="8">
        <f>E329-PARAMS_MODELO!$B$5</f>
        <v>0.28626741347458351</v>
      </c>
      <c r="J329" s="5">
        <f>IF(I329&lt;=PARAMS_MODELO!$B$18,0,IF(I329&gt;=PARAMS_MODELO!$B$19,100,100*(I329-PARAMS_MODELO!$B$18)/(PARAMS_MODELO!$B$19-PARAMS_MODELO!$B$18)))*PARAMS_MODELO!$B$9</f>
        <v>15</v>
      </c>
      <c r="K329" s="5">
        <f>IFERROR(CHOOSE(MATCH(PARAMS_MODELO!$B$2,{"Q1","Q2","Q3"},0),LOTO!$D329,LOTO!$F329,LOTO!$H329),0)</f>
        <v>4857500</v>
      </c>
      <c r="L329" s="8">
        <f t="shared" si="122"/>
        <v>4.8194680833194205E-2</v>
      </c>
      <c r="M329" s="5">
        <f>MIN(100,IF(PARAMS_MODELO!$B$23=0,0,100*L329/PARAMS_MODELO!$B$23))*PARAMS_MODELO!$B$10</f>
        <v>14.458404249958258</v>
      </c>
      <c r="N329" s="5">
        <f>IFERROR(VLOOKUP(A329,COMPLIANCE!$A$2:$F$1996,6,0),100)</f>
        <v>100</v>
      </c>
      <c r="O329" s="5">
        <f>N329*PARAMS_MODELO!$B$11</f>
        <v>10</v>
      </c>
      <c r="P329" s="5">
        <f>IFERROR(VLOOKUP(A329,DIGITAL!$A$2:$J$2000,7,0),100)</f>
        <v>27</v>
      </c>
      <c r="Q329" s="5">
        <f>IFERROR(P329,0)*PARAMS_MODELO!$B$12</f>
        <v>2.7</v>
      </c>
      <c r="R329">
        <f t="shared" si="123"/>
        <v>82.832307086279371</v>
      </c>
      <c r="S329" s="5" t="str">
        <f>IFERROR(VLOOKUP(A329,CLIENTE!$A$2:$N$2000,13,0),1)</f>
        <v>Regular</v>
      </c>
      <c r="T329" s="5">
        <f>IFERROR(VLOOKUP(A329,CLIENTE!$A$2:$N$2000,14,0),1)</f>
        <v>1</v>
      </c>
      <c r="U329" s="5">
        <f t="shared" si="124"/>
        <v>82.832307086279371</v>
      </c>
      <c r="V329" s="5" t="str">
        <f>IF(U329&gt;=MAX(_xlfn.PERCENTILE.INC($U$2:$U$1194,PARAMS_MODELO!$B$50),PARAMS_MODELO!$B$45),"DIAMANTE",IF(U329&gt;=MAX(_xlfn.PERCENTILE.INC($U$2:$U$1194,PARAMS_MODELO!$B$51),PARAMS_MODELO!$B$46),"PLATINO",IF(U329&gt;=MAX(_xlfn.PERCENTILE.INC($U$2:$U$1194,PARAMS_MODELO!$B$52),PARAMS_MODELO!$B$47),"ORO",IF(U329&gt;=MAX(_xlfn.PERCENTILE.INC($U$2:$U$1194,PARAMS_MODELO!$B$53),PARAMS_MODELO!$B$48),"PLATA",IF(U329&gt;=1,"BRONCE","CERRADO")))))</f>
        <v>ORO</v>
      </c>
      <c r="W329" s="5" t="str" cm="1">
        <f t="array" ref="W329">_xlfn.XLOOKUP(1, (HIST_SCORE!$B:$B=PARAMS_MODELO!$B$4) * (HIST_SCORE!$C:$C=A329), HIST_SCORE!$E:$E, "No encontrado")</f>
        <v>ORO</v>
      </c>
      <c r="X329" s="5" t="str">
        <f>_xlfn.LET(_xlpm.act,MATCH(V329,{"DIAMANTE";"PLATINO";"ORO";"PLATA";"BRONCE";"CERRADO"},0),_xlpm.ant,MATCH(W329,{"DIAMANTE";"PLATINO";"ORO";"PLATA";"BRONCE";"CERRADO"},0),IF(_xlpm.act&lt;_xlpm.ant,"Mejora ↑",IF(_xlpm.act&gt;_xlpm.ant,"Baja ↓","Estable →")))</f>
        <v>Estable →</v>
      </c>
      <c r="Y329" s="5">
        <f>IFERROR(U329-SUMIFS(HIST_SCORE!$D:$D,HIST_SCORE!$B:$B,PARAMS_MODELO!$B$4,HIST_SCORE!$C:$C,$A329),"")</f>
        <v>-3.8103949629743283E-2</v>
      </c>
      <c r="Z329" s="5" t="str">
        <f t="shared" si="125"/>
        <v>→ Estable</v>
      </c>
      <c r="AA329" s="5">
        <f t="shared" si="126"/>
        <v>363</v>
      </c>
      <c r="AB329" s="5">
        <f>IFERROR(SUMIFS(HIST_SCORE!$F:$F,HIST_SCORE!$B:$B,PARAMS_MODELO!$B$4,HIST_SCORE!$C:$C,$A329),"")</f>
        <v>336</v>
      </c>
      <c r="AC329" s="5">
        <f t="shared" si="127"/>
        <v>-27</v>
      </c>
      <c r="AD329" t="str">
        <f t="shared" si="129"/>
        <v>Sostener base y reforzar mix</v>
      </c>
      <c r="AE3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329="CERRADO",1,IF(V329="BRONCE",_xlpm.cPl,IF(V329="PLATA",_xlpm.cO,IF(V329="ORO",_xlpm.cP,IF(V329="PLATINO",_xlpm.cD,999))))))</f>
        <v>86.439123873763251</v>
      </c>
      <c r="AF3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329="CERRADO",0,IF(V329="BRONCE",1,IF(V329="PLATA",_xlpm.cPl,IF(V329="ORO",_xlpm.cO,IF(V329="PLATINO",_xlpm.cP,_xlpm.cD))))))</f>
        <v>63.199193273331495</v>
      </c>
      <c r="AG329">
        <f t="shared" si="130"/>
        <v>3.6068167874838792</v>
      </c>
      <c r="AH329" t="str">
        <f t="shared" si="131"/>
        <v>VENTAS</v>
      </c>
      <c r="AI329" t="str">
        <f t="shared" si="128"/>
        <v>🎯 Para subir de categoría, eje VENTAS / IMPACTO ABSOLUTO (H). Acción: metas semanales + activación comercial + seguimiento del asesor. ΔR aprox: 3,6</v>
      </c>
      <c r="AJ329" s="26">
        <f>_xlfn.LET(_xlpm.piso,AF329,_xlpm.corte,AE329,_xlpm.prog,IF(_xlpm.corte&lt;=_xlpm.piso,0,MAX(0,MIN(1,(U329-_xlpm.piso)/(_xlpm.corte-_xlpm.piso)))),_xlpm.orden,{"DIAMANTE";"PLATINO";"ORO";"PLATA";"BRONCE";"CERRADO"},_xlpm.act,IFERROR(MATCH(V329,_xlpm.orden,0),6),_xlpm.ant,IFERROR(MATCH(W329,_xlpm.orden,0),6),_xlpm.ajmov,IF(_xlpm.act&lt;_xlpm.ant,0.08,IF(_xlpm.act&gt;_xlpm.ant,-0.08,0)),_xlpm.ajcli,IF(T329&lt;0.95,-0.06,0),_xlpm.prob,MAX(0,MIN(1,_xlpm.prog+_xlpm.ajmov+_xlpm.ajcli)),IF(OR(V329="DIAMANTE",V329="CERRADO"),0,ROUND(_xlpm.prob,2)))</f>
        <v>0.84</v>
      </c>
      <c r="AK329" t="str">
        <f t="shared" si="132"/>
        <v>Faltan 3,6 puntos base para subir a la siguiente categoría</v>
      </c>
      <c r="AL329" t="str">
        <f t="shared" si="133"/>
        <v>Margen de seguridad: 19,6 puntos</v>
      </c>
      <c r="AM329">
        <f t="shared" si="134"/>
        <v>0.21</v>
      </c>
      <c r="AN329" t="str">
        <f t="shared" si="135"/>
        <v>PRIORIDAD BAJA – control normal</v>
      </c>
      <c r="AO329">
        <f t="shared" si="136"/>
        <v>9.1886664389744723</v>
      </c>
      <c r="AP329">
        <f t="shared" si="137"/>
        <v>0.54159575004174165</v>
      </c>
      <c r="AQ329">
        <f t="shared" si="138"/>
        <v>0</v>
      </c>
      <c r="AR329">
        <f t="shared" si="139"/>
        <v>7.3</v>
      </c>
      <c r="AS329">
        <f t="shared" si="140"/>
        <v>0</v>
      </c>
      <c r="AT329" t="str">
        <f t="shared" si="141"/>
        <v>VENTAS</v>
      </c>
      <c r="AU329">
        <f t="shared" si="142"/>
        <v>9.1886664389744723</v>
      </c>
      <c r="AV329" t="str">
        <f t="shared" si="143"/>
        <v>Mayor retorno probable: VENTAS (+9,2 puntos finales potenciales).</v>
      </c>
    </row>
    <row r="330" spans="1:48" x14ac:dyDescent="0.3">
      <c r="A330" s="5">
        <v>51041585</v>
      </c>
      <c r="B330" s="5" t="str">
        <f>IFERROR(VLOOKUP(A330,VENTAS!$A$2:$B$1194,2,0),"")</f>
        <v>ROBERTS</v>
      </c>
      <c r="C330" s="5">
        <f>IFERROR(INDEX(VENTAS!$C$2:$E$1194,MATCH(A330,VENTAS!$A$2:$A$1194,0),MATCH(PARAMS_MODELO!$B$2,{"Q1","Q2","Q3"},0)),0)</f>
        <v>67034987.779999986</v>
      </c>
      <c r="D330" s="5">
        <f>IFERROR(INDEX(VENTAS!$F$2:$H$1194,MATCH(A330,VENTAS!$A$2:$A$1194,0),MATCH(PARAMS_MODELO!$B$2,{"Q1","Q2","Q3"},0)),0)</f>
        <v>100692983</v>
      </c>
      <c r="E330" s="8">
        <f t="shared" si="120"/>
        <v>0.50209594026422621</v>
      </c>
      <c r="F330" s="12">
        <f>IF(E330&lt;=PARAMS_MODELO!$B$15,0,IF(E330&gt;=PARAMS_MODELO!$B$17,100,100*MIN(1,(E330-PARAMS_MODELO!$B$15)/(PARAMS_MODELO!$B$16-PARAMS_MODELO!$B$15))))*PARAMS_MODELO!$B$7</f>
        <v>35</v>
      </c>
      <c r="G330" s="5">
        <f t="shared" si="121"/>
        <v>33657995.220000014</v>
      </c>
      <c r="H330" s="5">
        <f>(PARAMS_MODELO!$B$20*(MAX(0,MIN(3,E330))/3)+PARAMS_MODELO!$B$21*(IFERROR(LN(1+MAX(0,G330))/LN(1+MAX(0,MAX($G$2:$G$1194))),0)))*100*PARAMS_MODELO!$B$8</f>
        <v>5.8201425831184901</v>
      </c>
      <c r="I330" s="8">
        <f>E330-PARAMS_MODELO!$B$5</f>
        <v>0.32453310488869969</v>
      </c>
      <c r="J330" s="5">
        <f>IF(I330&lt;=PARAMS_MODELO!$B$18,0,IF(I330&gt;=PARAMS_MODELO!$B$19,100,100*(I330-PARAMS_MODELO!$B$18)/(PARAMS_MODELO!$B$19-PARAMS_MODELO!$B$18)))*PARAMS_MODELO!$B$9</f>
        <v>15</v>
      </c>
      <c r="K330" s="5">
        <f>IFERROR(CHOOSE(MATCH(PARAMS_MODELO!$B$2,{"Q1","Q2","Q3"},0),LOTO!$D330,LOTO!$F330,LOTO!$H330),0)</f>
        <v>4855000</v>
      </c>
      <c r="L330" s="8">
        <f t="shared" si="122"/>
        <v>4.8215872202336085E-2</v>
      </c>
      <c r="M330" s="5">
        <f>MIN(100,IF(PARAMS_MODELO!$B$23=0,0,100*L330/PARAMS_MODELO!$B$23))*PARAMS_MODELO!$B$10</f>
        <v>14.464761660700823</v>
      </c>
      <c r="N330" s="5">
        <f>IFERROR(VLOOKUP(A330,COMPLIANCE!$A$2:$F$1996,6,0),100)</f>
        <v>100</v>
      </c>
      <c r="O330" s="5">
        <f>N330*PARAMS_MODELO!$B$11</f>
        <v>10</v>
      </c>
      <c r="P330" s="5">
        <f>IFERROR(VLOOKUP(A330,DIGITAL!$A$2:$J$2000,7,0),100)</f>
        <v>56</v>
      </c>
      <c r="Q330" s="5">
        <f>IFERROR(P330,0)*PARAMS_MODELO!$B$12</f>
        <v>5.6000000000000005</v>
      </c>
      <c r="R330">
        <f t="shared" si="123"/>
        <v>85.884904243819307</v>
      </c>
      <c r="S330" s="5" t="str">
        <f>IFERROR(VLOOKUP(A330,CLIENTE!$A$2:$N$2000,13,0),1)</f>
        <v>Bueno</v>
      </c>
      <c r="T330" s="5">
        <f>IFERROR(VLOOKUP(A330,CLIENTE!$A$2:$N$2000,14,0),1)</f>
        <v>1.1000000000000001</v>
      </c>
      <c r="U330" s="5">
        <f t="shared" si="124"/>
        <v>94.473394668201252</v>
      </c>
      <c r="V330" s="5" t="str">
        <f>IF(U330&gt;=MAX(_xlfn.PERCENTILE.INC($U$2:$U$1194,PARAMS_MODELO!$B$50),PARAMS_MODELO!$B$45),"DIAMANTE",IF(U330&gt;=MAX(_xlfn.PERCENTILE.INC($U$2:$U$1194,PARAMS_MODELO!$B$51),PARAMS_MODELO!$B$46),"PLATINO",IF(U330&gt;=MAX(_xlfn.PERCENTILE.INC($U$2:$U$1194,PARAMS_MODELO!$B$52),PARAMS_MODELO!$B$47),"ORO",IF(U330&gt;=MAX(_xlfn.PERCENTILE.INC($U$2:$U$1194,PARAMS_MODELO!$B$53),PARAMS_MODELO!$B$48),"PLATA",IF(U330&gt;=1,"BRONCE","CERRADO")))))</f>
        <v>PLATINO</v>
      </c>
      <c r="W330" s="5" t="str" cm="1">
        <f t="array" ref="W330">_xlfn.XLOOKUP(1, (HIST_SCORE!$B:$B=PARAMS_MODELO!$B$4) * (HIST_SCORE!$C:$C=A330), HIST_SCORE!$E:$E, "No encontrado")</f>
        <v>DIAMANTE</v>
      </c>
      <c r="X330" s="5" t="str">
        <f>_xlfn.LET(_xlpm.act,MATCH(V330,{"DIAMANTE";"PLATINO";"ORO";"PLATA";"BRONCE";"CERRADO"},0),_xlpm.ant,MATCH(W330,{"DIAMANTE";"PLATINO";"ORO";"PLATA";"BRONCE";"CERRADO"},0),IF(_xlpm.act&lt;_xlpm.ant,"Mejora ↑",IF(_xlpm.act&gt;_xlpm.ant,"Baja ↓","Estable →")))</f>
        <v>Baja ↓</v>
      </c>
      <c r="Y330" s="5">
        <f>IFERROR(U330-SUMIFS(HIST_SCORE!$D:$D,HIST_SCORE!$B:$B,PARAMS_MODELO!$B$4,HIST_SCORE!$C:$C,$A330),"")</f>
        <v>-0.79961688788425533</v>
      </c>
      <c r="Z330" s="5" t="str">
        <f t="shared" si="125"/>
        <v>→ Estable</v>
      </c>
      <c r="AA330" s="5">
        <f t="shared" si="126"/>
        <v>73</v>
      </c>
      <c r="AB330" s="5">
        <f>IFERROR(SUMIFS(HIST_SCORE!$F:$F,HIST_SCORE!$B:$B,PARAMS_MODELO!$B$4,HIST_SCORE!$C:$C,$A330),"")</f>
        <v>59</v>
      </c>
      <c r="AC330" s="5">
        <f t="shared" si="127"/>
        <v>-14</v>
      </c>
      <c r="AD330" t="str">
        <f t="shared" si="129"/>
        <v/>
      </c>
      <c r="AE3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330="CERRADO",1,IF(V330="BRONCE",_xlpm.cPl,IF(V330="PLATA",_xlpm.cO,IF(V330="ORO",_xlpm.cP,IF(V330="PLATINO",_xlpm.cD,999))))))</f>
        <v>96.054919694466676</v>
      </c>
      <c r="AF3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330="CERRADO",0,IF(V330="BRONCE",1,IF(V330="PLATA",_xlpm.cPl,IF(V330="ORO",_xlpm.cO,IF(V330="PLATINO",_xlpm.cP,_xlpm.cD))))))</f>
        <v>86.439123873763251</v>
      </c>
      <c r="AG330">
        <f t="shared" si="130"/>
        <v>1.437750023877669</v>
      </c>
      <c r="AH330" t="str">
        <f t="shared" si="131"/>
        <v>VENTAS</v>
      </c>
      <c r="AI330" t="str">
        <f t="shared" si="128"/>
        <v>🎯 Para subir de categoría, eje VENTAS / IMPACTO ABSOLUTO (H). Acción: metas semanales + activación comercial + seguimiento del asesor. ΔR aprox: 1,4</v>
      </c>
      <c r="AJ330" s="26">
        <f>_xlfn.LET(_xlpm.piso,AF330,_xlpm.corte,AE330,_xlpm.prog,IF(_xlpm.corte&lt;=_xlpm.piso,0,MAX(0,MIN(1,(U330-_xlpm.piso)/(_xlpm.corte-_xlpm.piso)))),_xlpm.orden,{"DIAMANTE";"PLATINO";"ORO";"PLATA";"BRONCE";"CERRADO"},_xlpm.act,IFERROR(MATCH(V330,_xlpm.orden,0),6),_xlpm.ant,IFERROR(MATCH(W330,_xlpm.orden,0),6),_xlpm.ajmov,IF(_xlpm.act&lt;_xlpm.ant,0.08,IF(_xlpm.act&gt;_xlpm.ant,-0.08,0)),_xlpm.ajcli,IF(T330&lt;0.95,-0.06,0),_xlpm.prob,MAX(0,MIN(1,_xlpm.prog+_xlpm.ajmov+_xlpm.ajcli)),IF(OR(V330="DIAMANTE",V330="CERRADO"),0,ROUND(_xlpm.prob,2)))</f>
        <v>0.76</v>
      </c>
      <c r="AK330" t="str">
        <f t="shared" si="132"/>
        <v>Faltan 1,4 puntos base para subir a la siguiente categoría</v>
      </c>
      <c r="AL330" t="str">
        <f t="shared" si="133"/>
        <v>Margen de seguridad: 8,0 puntos</v>
      </c>
      <c r="AM330">
        <f t="shared" si="134"/>
        <v>0.15</v>
      </c>
      <c r="AN330" t="str">
        <f t="shared" si="135"/>
        <v>PRIORIDAD BAJA – control normal</v>
      </c>
      <c r="AO330">
        <f t="shared" si="136"/>
        <v>9.9466693613948056</v>
      </c>
      <c r="AP330">
        <f t="shared" si="137"/>
        <v>0.58876217322909463</v>
      </c>
      <c r="AQ330">
        <f t="shared" si="138"/>
        <v>0</v>
      </c>
      <c r="AR330">
        <f t="shared" si="139"/>
        <v>4.84</v>
      </c>
      <c r="AS330">
        <f t="shared" si="140"/>
        <v>0</v>
      </c>
      <c r="AT330" t="str">
        <f t="shared" si="141"/>
        <v>VENTAS</v>
      </c>
      <c r="AU330">
        <f t="shared" si="142"/>
        <v>9.9466693613948056</v>
      </c>
      <c r="AV330" t="str">
        <f t="shared" si="143"/>
        <v>Mayor retorno probable: VENTAS (+9,9 puntos finales potenciales).</v>
      </c>
    </row>
    <row r="331" spans="1:48" x14ac:dyDescent="0.3">
      <c r="A331" s="5">
        <v>51017455</v>
      </c>
      <c r="B331" s="5" t="str">
        <f>IFERROR(VLOOKUP(A331,VENTAS!$A$2:$B$1194,2,0),"")</f>
        <v>AYALA</v>
      </c>
      <c r="C331" s="5">
        <f>IFERROR(INDEX(VENTAS!$C$2:$E$1194,MATCH(A331,VENTAS!$A$2:$A$1194,0),MATCH(PARAMS_MODELO!$B$2,{"Q1","Q2","Q3"},0)),0)</f>
        <v>55152069.219999999</v>
      </c>
      <c r="D331" s="5">
        <f>IFERROR(INDEX(VENTAS!$F$2:$H$1194,MATCH(A331,VENTAS!$A$2:$A$1194,0),MATCH(PARAMS_MODELO!$B$2,{"Q1","Q2","Q3"},0)),0)</f>
        <v>100603311</v>
      </c>
      <c r="E331" s="8">
        <f t="shared" si="120"/>
        <v>0.82410764315471674</v>
      </c>
      <c r="F331" s="12">
        <f>IF(E331&lt;=PARAMS_MODELO!$B$15,0,IF(E331&gt;=PARAMS_MODELO!$B$17,100,100*MIN(1,(E331-PARAMS_MODELO!$B$15)/(PARAMS_MODELO!$B$16-PARAMS_MODELO!$B$15))))*PARAMS_MODELO!$B$7</f>
        <v>35</v>
      </c>
      <c r="G331" s="5">
        <f t="shared" si="121"/>
        <v>45451241.780000001</v>
      </c>
      <c r="H331" s="5">
        <f>(PARAMS_MODELO!$B$20*(MAX(0,MIN(3,E331))/3)+PARAMS_MODELO!$B$21*(IFERROR(LN(1+MAX(0,G331))/LN(1+MAX(0,MAX($G$2:$G$1194))),0)))*100*PARAMS_MODELO!$B$8</f>
        <v>7.0175990373592487</v>
      </c>
      <c r="I331" s="8">
        <f>E331-PARAMS_MODELO!$B$5</f>
        <v>0.64654480777919021</v>
      </c>
      <c r="J331" s="5">
        <f>IF(I331&lt;=PARAMS_MODELO!$B$18,0,IF(I331&gt;=PARAMS_MODELO!$B$19,100,100*(I331-PARAMS_MODELO!$B$18)/(PARAMS_MODELO!$B$19-PARAMS_MODELO!$B$18)))*PARAMS_MODELO!$B$9</f>
        <v>15</v>
      </c>
      <c r="K331" s="5">
        <f>IFERROR(CHOOSE(MATCH(PARAMS_MODELO!$B$2,{"Q1","Q2","Q3"},0),LOTO!$D331,LOTO!$F331,LOTO!$H331),0)</f>
        <v>4850000</v>
      </c>
      <c r="L331" s="8">
        <f t="shared" si="122"/>
        <v>4.8209148901669843E-2</v>
      </c>
      <c r="M331" s="5">
        <f>MIN(100,IF(PARAMS_MODELO!$B$23=0,0,100*L331/PARAMS_MODELO!$B$23))*PARAMS_MODELO!$B$10</f>
        <v>14.462744670500951</v>
      </c>
      <c r="N331" s="5">
        <f>IFERROR(VLOOKUP(A331,COMPLIANCE!$A$2:$F$1996,6,0),100)</f>
        <v>100</v>
      </c>
      <c r="O331" s="5">
        <f>N331*PARAMS_MODELO!$B$11</f>
        <v>10</v>
      </c>
      <c r="P331" s="5">
        <f>IFERROR(VLOOKUP(A331,DIGITAL!$A$2:$J$2000,7,0),100)</f>
        <v>84</v>
      </c>
      <c r="Q331" s="5">
        <f>IFERROR(P331,0)*PARAMS_MODELO!$B$12</f>
        <v>8.4</v>
      </c>
      <c r="R331">
        <f t="shared" si="123"/>
        <v>89.880343707860206</v>
      </c>
      <c r="S331" s="5" t="str">
        <f>IFERROR(VLOOKUP(A331,CLIENTE!$A$2:$N$2000,13,0),1)</f>
        <v>Bueno</v>
      </c>
      <c r="T331" s="5">
        <f>IFERROR(VLOOKUP(A331,CLIENTE!$A$2:$N$2000,14,0),1)</f>
        <v>1.1000000000000001</v>
      </c>
      <c r="U331" s="5">
        <f t="shared" si="124"/>
        <v>98.868378078646231</v>
      </c>
      <c r="V331" s="5" t="str">
        <f>IF(U331&gt;=MAX(_xlfn.PERCENTILE.INC($U$2:$U$1194,PARAMS_MODELO!$B$50),PARAMS_MODELO!$B$45),"DIAMANTE",IF(U331&gt;=MAX(_xlfn.PERCENTILE.INC($U$2:$U$1194,PARAMS_MODELO!$B$51),PARAMS_MODELO!$B$46),"PLATINO",IF(U331&gt;=MAX(_xlfn.PERCENTILE.INC($U$2:$U$1194,PARAMS_MODELO!$B$52),PARAMS_MODELO!$B$47),"ORO",IF(U331&gt;=MAX(_xlfn.PERCENTILE.INC($U$2:$U$1194,PARAMS_MODELO!$B$53),PARAMS_MODELO!$B$48),"PLATA",IF(U331&gt;=1,"BRONCE","CERRADO")))))</f>
        <v>DIAMANTE</v>
      </c>
      <c r="W331" s="5" t="str" cm="1">
        <f t="array" ref="W331">_xlfn.XLOOKUP(1, (HIST_SCORE!$B:$B=PARAMS_MODELO!$B$4) * (HIST_SCORE!$C:$C=A331), HIST_SCORE!$E:$E, "No encontrado")</f>
        <v>DIAMANTE</v>
      </c>
      <c r="X331" s="5" t="str">
        <f>_xlfn.LET(_xlpm.act,MATCH(V331,{"DIAMANTE";"PLATINO";"ORO";"PLATA";"BRONCE";"CERRADO"},0),_xlpm.ant,MATCH(W331,{"DIAMANTE";"PLATINO";"ORO";"PLATA";"BRONCE";"CERRADO"},0),IF(_xlpm.act&lt;_xlpm.ant,"Mejora ↑",IF(_xlpm.act&gt;_xlpm.ant,"Baja ↓","Estable →")))</f>
        <v>Estable →</v>
      </c>
      <c r="Y331" s="5">
        <f>IFERROR(U331-SUMIFS(HIST_SCORE!$D:$D,HIST_SCORE!$B:$B,PARAMS_MODELO!$B$4,HIST_SCORE!$C:$C,$A331),"")</f>
        <v>1.1183122495731084</v>
      </c>
      <c r="Z331" s="5" t="str">
        <f t="shared" si="125"/>
        <v>→ Estable</v>
      </c>
      <c r="AA331" s="5">
        <f t="shared" si="126"/>
        <v>25</v>
      </c>
      <c r="AB331" s="5">
        <f>IFERROR(SUMIFS(HIST_SCORE!$F:$F,HIST_SCORE!$B:$B,PARAMS_MODELO!$B$4,HIST_SCORE!$C:$C,$A331),"")</f>
        <v>30</v>
      </c>
      <c r="AC331" s="5">
        <f t="shared" si="127"/>
        <v>5</v>
      </c>
      <c r="AD331" t="str">
        <f t="shared" si="129"/>
        <v/>
      </c>
      <c r="AE3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331="CERRADO",1,IF(V331="BRONCE",_xlpm.cPl,IF(V331="PLATA",_xlpm.cO,IF(V331="ORO",_xlpm.cP,IF(V331="PLATINO",_xlpm.cD,999))))))</f>
        <v>999</v>
      </c>
      <c r="AF3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331="CERRADO",0,IF(V331="BRONCE",1,IF(V331="PLATA",_xlpm.cPl,IF(V331="ORO",_xlpm.cO,IF(V331="PLATINO",_xlpm.cP,_xlpm.cD))))))</f>
        <v>96.054919694466676</v>
      </c>
      <c r="AG331">
        <f t="shared" si="130"/>
        <v>818.30147447395791</v>
      </c>
      <c r="AH331" t="str">
        <f t="shared" si="131"/>
        <v>SOSTENER</v>
      </c>
      <c r="AI331" t="str">
        <f t="shared" si="128"/>
        <v>✅ Mantener desempeño y monitorear variaciones para sostener categoría.</v>
      </c>
      <c r="AJ331" s="26">
        <f>_xlfn.LET(_xlpm.piso,AF331,_xlpm.corte,AE331,_xlpm.prog,IF(_xlpm.corte&lt;=_xlpm.piso,0,MAX(0,MIN(1,(U331-_xlpm.piso)/(_xlpm.corte-_xlpm.piso)))),_xlpm.orden,{"DIAMANTE";"PLATINO";"ORO";"PLATA";"BRONCE";"CERRADO"},_xlpm.act,IFERROR(MATCH(V331,_xlpm.orden,0),6),_xlpm.ant,IFERROR(MATCH(W331,_xlpm.orden,0),6),_xlpm.ajmov,IF(_xlpm.act&lt;_xlpm.ant,0.08,IF(_xlpm.act&gt;_xlpm.ant,-0.08,0)),_xlpm.ajcli,IF(T331&lt;0.95,-0.06,0),_xlpm.prob,MAX(0,MIN(1,_xlpm.prog+_xlpm.ajmov+_xlpm.ajcli)),IF(OR(V331="DIAMANTE",V331="CERRADO"),0,ROUND(_xlpm.prob,2)))</f>
        <v>0</v>
      </c>
      <c r="AK331" t="str">
        <f t="shared" si="132"/>
        <v>No aplica</v>
      </c>
      <c r="AL331" t="str">
        <f t="shared" si="133"/>
        <v>Margen de seguridad: 2,8 puntos</v>
      </c>
      <c r="AM331">
        <f t="shared" si="134"/>
        <v>0.8</v>
      </c>
      <c r="AN331" t="str">
        <f t="shared" si="135"/>
        <v>PRIORIDAD ALTA – requiere intervención inmediata</v>
      </c>
      <c r="AO331">
        <f t="shared" si="136"/>
        <v>8.629467261729971</v>
      </c>
      <c r="AP331">
        <f t="shared" si="137"/>
        <v>0.59098086244895343</v>
      </c>
      <c r="AQ331">
        <f t="shared" si="138"/>
        <v>0</v>
      </c>
      <c r="AR331">
        <f t="shared" si="139"/>
        <v>1.7599999999999998</v>
      </c>
      <c r="AS331">
        <f t="shared" si="140"/>
        <v>0</v>
      </c>
      <c r="AT331" t="str">
        <f t="shared" si="141"/>
        <v>VENTAS</v>
      </c>
      <c r="AU331">
        <f t="shared" si="142"/>
        <v>8.629467261729971</v>
      </c>
      <c r="AV331" t="str">
        <f t="shared" si="143"/>
        <v>Mayor retorno probable: VENTAS (+8,6 puntos finales potenciales).</v>
      </c>
    </row>
    <row r="332" spans="1:48" x14ac:dyDescent="0.3">
      <c r="A332" s="5">
        <v>51033345</v>
      </c>
      <c r="B332" s="5" t="str">
        <f>IFERROR(VLOOKUP(A332,VENTAS!$A$2:$B$1194,2,0),"")</f>
        <v>LÓPEZ</v>
      </c>
      <c r="C332" s="5">
        <f>IFERROR(INDEX(VENTAS!$C$2:$E$1194,MATCH(A332,VENTAS!$A$2:$A$1194,0),MATCH(PARAMS_MODELO!$B$2,{"Q1","Q2","Q3"},0)),0)</f>
        <v>86369542.349999994</v>
      </c>
      <c r="D332" s="5">
        <f>IFERROR(INDEX(VENTAS!$F$2:$H$1194,MATCH(A332,VENTAS!$A$2:$A$1194,0),MATCH(PARAMS_MODELO!$B$2,{"Q1","Q2","Q3"},0)),0)</f>
        <v>100487637</v>
      </c>
      <c r="E332" s="8">
        <f t="shared" si="120"/>
        <v>0.16346149656308806</v>
      </c>
      <c r="F332" s="12">
        <f>IF(E332&lt;=PARAMS_MODELO!$B$15,0,IF(E332&gt;=PARAMS_MODELO!$B$17,100,100*MIN(1,(E332-PARAMS_MODELO!$B$15)/(PARAMS_MODELO!$B$16-PARAMS_MODELO!$B$15))))*PARAMS_MODELO!$B$7</f>
        <v>35</v>
      </c>
      <c r="G332" s="5">
        <f t="shared" si="121"/>
        <v>14118094.650000006</v>
      </c>
      <c r="H332" s="5">
        <f>(PARAMS_MODELO!$B$20*(MAX(0,MIN(3,E332))/3)+PARAMS_MODELO!$B$21*(IFERROR(LN(1+MAX(0,G332))/LN(1+MAX(0,MAX($G$2:$G$1194))),0)))*100*PARAMS_MODELO!$B$8</f>
        <v>4.4312647509851795</v>
      </c>
      <c r="I332" s="8">
        <f>E332-PARAMS_MODELO!$B$5</f>
        <v>-1.4101338812438469E-2</v>
      </c>
      <c r="J332" s="5">
        <f>IF(I332&lt;=PARAMS_MODELO!$B$18,0,IF(I332&gt;=PARAMS_MODELO!$B$19,100,100*(I332-PARAMS_MODELO!$B$18)/(PARAMS_MODELO!$B$19-PARAMS_MODELO!$B$18)))*PARAMS_MODELO!$B$9</f>
        <v>5.3847991781342301</v>
      </c>
      <c r="K332" s="5">
        <f>IFERROR(CHOOSE(MATCH(PARAMS_MODELO!$B$2,{"Q1","Q2","Q3"},0),LOTO!$D332,LOTO!$F332,LOTO!$H332),0)</f>
        <v>4837500</v>
      </c>
      <c r="L332" s="8">
        <f t="shared" si="122"/>
        <v>4.8140250327510438E-2</v>
      </c>
      <c r="M332" s="5">
        <f>MIN(100,IF(PARAMS_MODELO!$B$23=0,0,100*L332/PARAMS_MODELO!$B$23))*PARAMS_MODELO!$B$10</f>
        <v>14.442075098253131</v>
      </c>
      <c r="N332" s="5">
        <f>IFERROR(VLOOKUP(A332,COMPLIANCE!$A$2:$F$1996,6,0),100)</f>
        <v>100</v>
      </c>
      <c r="O332" s="5">
        <f>N332*PARAMS_MODELO!$B$11</f>
        <v>10</v>
      </c>
      <c r="P332" s="5">
        <f>IFERROR(VLOOKUP(A332,DIGITAL!$A$2:$J$2000,7,0),100)</f>
        <v>31</v>
      </c>
      <c r="Q332" s="5">
        <f>IFERROR(P332,0)*PARAMS_MODELO!$B$12</f>
        <v>3.1</v>
      </c>
      <c r="R332">
        <f t="shared" si="123"/>
        <v>72.35813902737253</v>
      </c>
      <c r="S332" s="5" t="str">
        <f>IFERROR(VLOOKUP(A332,CLIENTE!$A$2:$N$2000,13,0),1)</f>
        <v>Malo</v>
      </c>
      <c r="T332" s="5">
        <f>IFERROR(VLOOKUP(A332,CLIENTE!$A$2:$N$2000,14,0),1)</f>
        <v>0.7</v>
      </c>
      <c r="U332" s="5">
        <f t="shared" si="124"/>
        <v>50.65069731916077</v>
      </c>
      <c r="V332" s="5" t="str">
        <f>IF(U332&gt;=MAX(_xlfn.PERCENTILE.INC($U$2:$U$1194,PARAMS_MODELO!$B$50),PARAMS_MODELO!$B$45),"DIAMANTE",IF(U332&gt;=MAX(_xlfn.PERCENTILE.INC($U$2:$U$1194,PARAMS_MODELO!$B$51),PARAMS_MODELO!$B$46),"PLATINO",IF(U332&gt;=MAX(_xlfn.PERCENTILE.INC($U$2:$U$1194,PARAMS_MODELO!$B$52),PARAMS_MODELO!$B$47),"ORO",IF(U332&gt;=MAX(_xlfn.PERCENTILE.INC($U$2:$U$1194,PARAMS_MODELO!$B$53),PARAMS_MODELO!$B$48),"PLATA",IF(U332&gt;=1,"BRONCE","CERRADO")))))</f>
        <v>PLATA</v>
      </c>
      <c r="W332" s="5" t="str" cm="1">
        <f t="array" ref="W332">_xlfn.XLOOKUP(1, (HIST_SCORE!$B:$B=PARAMS_MODELO!$B$4) * (HIST_SCORE!$C:$C=A332), HIST_SCORE!$E:$E, "No encontrado")</f>
        <v>PLATA</v>
      </c>
      <c r="X332" s="5" t="str">
        <f>_xlfn.LET(_xlpm.act,MATCH(V332,{"DIAMANTE";"PLATINO";"ORO";"PLATA";"BRONCE";"CERRADO"},0),_xlpm.ant,MATCH(W332,{"DIAMANTE";"PLATINO";"ORO";"PLATA";"BRONCE";"CERRADO"},0),IF(_xlpm.act&lt;_xlpm.ant,"Mejora ↑",IF(_xlpm.act&gt;_xlpm.ant,"Baja ↓","Estable →")))</f>
        <v>Estable →</v>
      </c>
      <c r="Y332" s="5">
        <f>IFERROR(U332-SUMIFS(HIST_SCORE!$D:$D,HIST_SCORE!$B:$B,PARAMS_MODELO!$B$4,HIST_SCORE!$C:$C,$A332),"")</f>
        <v>5.7974821607595217</v>
      </c>
      <c r="Z332" s="5" t="str">
        <f t="shared" si="125"/>
        <v>↑ Mejora</v>
      </c>
      <c r="AA332" s="5">
        <f t="shared" si="126"/>
        <v>736</v>
      </c>
      <c r="AB332" s="5">
        <f>IFERROR(SUMIFS(HIST_SCORE!$F:$F,HIST_SCORE!$B:$B,PARAMS_MODELO!$B$4,HIST_SCORE!$C:$C,$A332),"")</f>
        <v>824</v>
      </c>
      <c r="AC332" s="5">
        <f t="shared" si="127"/>
        <v>88</v>
      </c>
      <c r="AD332" t="str">
        <f t="shared" si="129"/>
        <v/>
      </c>
      <c r="AE3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332="CERRADO",1,IF(V332="BRONCE",_xlpm.cPl,IF(V332="PLATA",_xlpm.cO,IF(V332="ORO",_xlpm.cP,IF(V332="PLATINO",_xlpm.cD,999))))))</f>
        <v>63.199193273331495</v>
      </c>
      <c r="AF3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332="CERRADO",0,IF(V332="BRONCE",1,IF(V332="PLATA",_xlpm.cPl,IF(V332="ORO",_xlpm.cO,IF(V332="PLATINO",_xlpm.cP,_xlpm.cD))))))</f>
        <v>24.506573482968111</v>
      </c>
      <c r="AG332">
        <f t="shared" si="130"/>
        <v>17.926422791672465</v>
      </c>
      <c r="AH332" t="str">
        <f t="shared" si="131"/>
        <v>CLIENTE</v>
      </c>
      <c r="AI332" t="str">
        <f t="shared" si="128"/>
        <v>🎯 Para subir de categoría, la eje con mayor impacto probable es CLIENTE (coef T). Acción: reducir quejas, mejorar incógnito y empujar reseñas. ΔR aprox: 17,9</v>
      </c>
      <c r="AJ332" s="26">
        <f>_xlfn.LET(_xlpm.piso,AF332,_xlpm.corte,AE332,_xlpm.prog,IF(_xlpm.corte&lt;=_xlpm.piso,0,MAX(0,MIN(1,(U332-_xlpm.piso)/(_xlpm.corte-_xlpm.piso)))),_xlpm.orden,{"DIAMANTE";"PLATINO";"ORO";"PLATA";"BRONCE";"CERRADO"},_xlpm.act,IFERROR(MATCH(V332,_xlpm.orden,0),6),_xlpm.ant,IFERROR(MATCH(W332,_xlpm.orden,0),6),_xlpm.ajmov,IF(_xlpm.act&lt;_xlpm.ant,0.08,IF(_xlpm.act&gt;_xlpm.ant,-0.08,0)),_xlpm.ajcli,IF(T332&lt;0.95,-0.06,0),_xlpm.prob,MAX(0,MIN(1,_xlpm.prog+_xlpm.ajmov+_xlpm.ajcli)),IF(OR(V332="DIAMANTE",V332="CERRADO"),0,ROUND(_xlpm.prob,2)))</f>
        <v>0.62</v>
      </c>
      <c r="AK332" t="str">
        <f t="shared" si="132"/>
        <v>Faltan 17,9 puntos base para subir a la siguiente categoría</v>
      </c>
      <c r="AL332" t="str">
        <f t="shared" si="133"/>
        <v>Margen de seguridad: 26,1 puntos</v>
      </c>
      <c r="AM332">
        <f t="shared" si="134"/>
        <v>0.75</v>
      </c>
      <c r="AN332" t="str">
        <f t="shared" si="135"/>
        <v>PRIORIDAD ALTA – requiere intervención inmediata</v>
      </c>
      <c r="AO332">
        <f t="shared" si="136"/>
        <v>14.032553742323321</v>
      </c>
      <c r="AP332">
        <f t="shared" si="137"/>
        <v>0.39054743122280833</v>
      </c>
      <c r="AQ332">
        <f t="shared" si="138"/>
        <v>0</v>
      </c>
      <c r="AR332">
        <f t="shared" si="139"/>
        <v>4.83</v>
      </c>
      <c r="AS332">
        <f t="shared" si="140"/>
        <v>21.707441708211764</v>
      </c>
      <c r="AT332" t="str">
        <f t="shared" si="141"/>
        <v>CLIENTE</v>
      </c>
      <c r="AU332">
        <f t="shared" si="142"/>
        <v>21.707441708211764</v>
      </c>
      <c r="AV332" t="str">
        <f t="shared" si="143"/>
        <v>Mayor retorno probable: CLIENTE (+21,7 puntos finales potenciales).</v>
      </c>
    </row>
    <row r="333" spans="1:48" x14ac:dyDescent="0.3">
      <c r="A333" s="5">
        <v>51012399</v>
      </c>
      <c r="B333" s="5" t="str">
        <f>IFERROR(VLOOKUP(A333,VENTAS!$A$2:$B$1194,2,0),"")</f>
        <v>ARGUELLO</v>
      </c>
      <c r="C333" s="5">
        <f>IFERROR(INDEX(VENTAS!$C$2:$E$1194,MATCH(A333,VENTAS!$A$2:$A$1194,0),MATCH(PARAMS_MODELO!$B$2,{"Q1","Q2","Q3"},0)),0)</f>
        <v>87772489.980000004</v>
      </c>
      <c r="D333" s="5">
        <f>IFERROR(INDEX(VENTAS!$F$2:$H$1194,MATCH(A333,VENTAS!$A$2:$A$1194,0),MATCH(PARAMS_MODELO!$B$2,{"Q1","Q2","Q3"},0)),0)</f>
        <v>100195397</v>
      </c>
      <c r="E333" s="8">
        <f t="shared" si="120"/>
        <v>0.14153531502673222</v>
      </c>
      <c r="F333" s="12">
        <f>IF(E333&lt;=PARAMS_MODELO!$B$15,0,IF(E333&gt;=PARAMS_MODELO!$B$17,100,100*MIN(1,(E333-PARAMS_MODELO!$B$15)/(PARAMS_MODELO!$B$16-PARAMS_MODELO!$B$15))))*PARAMS_MODELO!$B$7</f>
        <v>35</v>
      </c>
      <c r="G333" s="5">
        <f t="shared" si="121"/>
        <v>12422907.019999996</v>
      </c>
      <c r="H333" s="5">
        <f>(PARAMS_MODELO!$B$20*(MAX(0,MIN(3,E333))/3)+PARAMS_MODELO!$B$21*(IFERROR(LN(1+MAX(0,G333))/LN(1+MAX(0,MAX($G$2:$G$1194))),0)))*100*PARAMS_MODELO!$B$8</f>
        <v>4.3245380151958193</v>
      </c>
      <c r="I333" s="8">
        <f>E333-PARAMS_MODELO!$B$5</f>
        <v>-3.6027520348794306E-2</v>
      </c>
      <c r="J333" s="5">
        <f>IF(I333&lt;=PARAMS_MODELO!$B$18,0,IF(I333&gt;=PARAMS_MODELO!$B$19,100,100*(I333-PARAMS_MODELO!$B$18)/(PARAMS_MODELO!$B$19-PARAMS_MODELO!$B$18)))*PARAMS_MODELO!$B$9</f>
        <v>2.0958719476808541</v>
      </c>
      <c r="K333" s="5">
        <f>IFERROR(CHOOSE(MATCH(PARAMS_MODELO!$B$2,{"Q1","Q2","Q3"},0),LOTO!$D333,LOTO!$F333,LOTO!$H333),0)</f>
        <v>4822500</v>
      </c>
      <c r="L333" s="8">
        <f t="shared" si="122"/>
        <v>4.8130953560671055E-2</v>
      </c>
      <c r="M333" s="5">
        <f>MIN(100,IF(PARAMS_MODELO!$B$23=0,0,100*L333/PARAMS_MODELO!$B$23))*PARAMS_MODELO!$B$10</f>
        <v>14.439286068201316</v>
      </c>
      <c r="N333" s="5">
        <f>IFERROR(VLOOKUP(A333,COMPLIANCE!$A$2:$F$1996,6,0),100)</f>
        <v>100</v>
      </c>
      <c r="O333" s="5">
        <f>N333*PARAMS_MODELO!$B$11</f>
        <v>10</v>
      </c>
      <c r="P333" s="5">
        <f>IFERROR(VLOOKUP(A333,DIGITAL!$A$2:$J$2000,7,0),100)</f>
        <v>34</v>
      </c>
      <c r="Q333" s="5">
        <f>IFERROR(P333,0)*PARAMS_MODELO!$B$12</f>
        <v>3.4000000000000004</v>
      </c>
      <c r="R333">
        <f t="shared" si="123"/>
        <v>69.259696031077993</v>
      </c>
      <c r="S333" s="5" t="str">
        <f>IFERROR(VLOOKUP(A333,CLIENTE!$A$2:$N$2000,13,0),1)</f>
        <v>Muy Bueno</v>
      </c>
      <c r="T333" s="5">
        <f>IFERROR(VLOOKUP(A333,CLIENTE!$A$2:$N$2000,14,0),1)</f>
        <v>1.1499999999999999</v>
      </c>
      <c r="U333" s="5">
        <f t="shared" si="124"/>
        <v>79.648650435739683</v>
      </c>
      <c r="V333" s="5" t="str">
        <f>IF(U333&gt;=MAX(_xlfn.PERCENTILE.INC($U$2:$U$1194,PARAMS_MODELO!$B$50),PARAMS_MODELO!$B$45),"DIAMANTE",IF(U333&gt;=MAX(_xlfn.PERCENTILE.INC($U$2:$U$1194,PARAMS_MODELO!$B$51),PARAMS_MODELO!$B$46),"PLATINO",IF(U333&gt;=MAX(_xlfn.PERCENTILE.INC($U$2:$U$1194,PARAMS_MODELO!$B$52),PARAMS_MODELO!$B$47),"ORO",IF(U333&gt;=MAX(_xlfn.PERCENTILE.INC($U$2:$U$1194,PARAMS_MODELO!$B$53),PARAMS_MODELO!$B$48),"PLATA",IF(U333&gt;=1,"BRONCE","CERRADO")))))</f>
        <v>ORO</v>
      </c>
      <c r="W333" s="5" t="str" cm="1">
        <f t="array" ref="W333">_xlfn.XLOOKUP(1, (HIST_SCORE!$B:$B=PARAMS_MODELO!$B$4) * (HIST_SCORE!$C:$C=A333), HIST_SCORE!$E:$E, "No encontrado")</f>
        <v>ORO</v>
      </c>
      <c r="X333" s="5" t="str">
        <f>_xlfn.LET(_xlpm.act,MATCH(V333,{"DIAMANTE";"PLATINO";"ORO";"PLATA";"BRONCE";"CERRADO"},0),_xlpm.ant,MATCH(W333,{"DIAMANTE";"PLATINO";"ORO";"PLATA";"BRONCE";"CERRADO"},0),IF(_xlpm.act&lt;_xlpm.ant,"Mejora ↑",IF(_xlpm.act&gt;_xlpm.ant,"Baja ↓","Estable →")))</f>
        <v>Estable →</v>
      </c>
      <c r="Y333" s="5">
        <f>IFERROR(U333-SUMIFS(HIST_SCORE!$D:$D,HIST_SCORE!$B:$B,PARAMS_MODELO!$B$4,HIST_SCORE!$C:$C,$A333),"")</f>
        <v>2.3093957347970786</v>
      </c>
      <c r="Z333" s="5" t="str">
        <f t="shared" si="125"/>
        <v>→ Estable</v>
      </c>
      <c r="AA333" s="5">
        <f t="shared" si="126"/>
        <v>444</v>
      </c>
      <c r="AB333" s="5">
        <f>IFERROR(SUMIFS(HIST_SCORE!$F:$F,HIST_SCORE!$B:$B,PARAMS_MODELO!$B$4,HIST_SCORE!$C:$C,$A333),"")</f>
        <v>462</v>
      </c>
      <c r="AC333" s="5">
        <f t="shared" si="127"/>
        <v>18</v>
      </c>
      <c r="AD333" t="str">
        <f t="shared" si="129"/>
        <v/>
      </c>
      <c r="AE3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333="CERRADO",1,IF(V333="BRONCE",_xlpm.cPl,IF(V333="PLATA",_xlpm.cO,IF(V333="ORO",_xlpm.cP,IF(V333="PLATINO",_xlpm.cD,999))))))</f>
        <v>86.439123873763251</v>
      </c>
      <c r="AF3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333="CERRADO",0,IF(V333="BRONCE",1,IF(V333="PLATA",_xlpm.cPl,IF(V333="ORO",_xlpm.cO,IF(V333="PLATINO",_xlpm.cP,_xlpm.cD))))))</f>
        <v>63.199193273331495</v>
      </c>
      <c r="AG333">
        <f t="shared" si="130"/>
        <v>5.9047595113248406</v>
      </c>
      <c r="AH333" t="str">
        <f t="shared" si="131"/>
        <v>VENTAS</v>
      </c>
      <c r="AI333" t="str">
        <f t="shared" si="128"/>
        <v>🎯 Para subir de categoría, eje VENTAS / DIFERENCIAL vs LOTBA (J). Acción: metas semanales + activación comercial + seguimiento del asesor. ΔR aprox: 5,9</v>
      </c>
      <c r="AJ333" s="26">
        <f>_xlfn.LET(_xlpm.piso,AF333,_xlpm.corte,AE333,_xlpm.prog,IF(_xlpm.corte&lt;=_xlpm.piso,0,MAX(0,MIN(1,(U333-_xlpm.piso)/(_xlpm.corte-_xlpm.piso)))),_xlpm.orden,{"DIAMANTE";"PLATINO";"ORO";"PLATA";"BRONCE";"CERRADO"},_xlpm.act,IFERROR(MATCH(V333,_xlpm.orden,0),6),_xlpm.ant,IFERROR(MATCH(W333,_xlpm.orden,0),6),_xlpm.ajmov,IF(_xlpm.act&lt;_xlpm.ant,0.08,IF(_xlpm.act&gt;_xlpm.ant,-0.08,0)),_xlpm.ajcli,IF(T333&lt;0.95,-0.06,0),_xlpm.prob,MAX(0,MIN(1,_xlpm.prog+_xlpm.ajmov+_xlpm.ajcli)),IF(OR(V333="DIAMANTE",V333="CERRADO"),0,ROUND(_xlpm.prob,2)))</f>
        <v>0.71</v>
      </c>
      <c r="AK333" t="str">
        <f t="shared" si="132"/>
        <v>Faltan 5,9 puntos base para subir a la siguiente categoría</v>
      </c>
      <c r="AL333" t="str">
        <f t="shared" si="133"/>
        <v>Margen de seguridad: 16,4 puntos</v>
      </c>
      <c r="AM333">
        <f t="shared" si="134"/>
        <v>0.35</v>
      </c>
      <c r="AN333" t="str">
        <f t="shared" si="135"/>
        <v>PRIORIDAD BAJA – control normal</v>
      </c>
      <c r="AO333">
        <f t="shared" si="136"/>
        <v>26.958483209281741</v>
      </c>
      <c r="AP333">
        <f t="shared" si="137"/>
        <v>0.64482102156848686</v>
      </c>
      <c r="AQ333">
        <f t="shared" si="138"/>
        <v>0</v>
      </c>
      <c r="AR333">
        <f t="shared" si="139"/>
        <v>7.589999999999999</v>
      </c>
      <c r="AS333">
        <f t="shared" si="140"/>
        <v>0</v>
      </c>
      <c r="AT333" t="str">
        <f t="shared" si="141"/>
        <v>VENTAS</v>
      </c>
      <c r="AU333">
        <f t="shared" si="142"/>
        <v>26.958483209281741</v>
      </c>
      <c r="AV333" t="str">
        <f t="shared" si="143"/>
        <v>Mayor retorno probable: VENTAS (+27,0 puntos finales potenciales).</v>
      </c>
    </row>
    <row r="334" spans="1:48" x14ac:dyDescent="0.3">
      <c r="A334" s="5">
        <v>51034236</v>
      </c>
      <c r="B334" s="5" t="str">
        <f>IFERROR(VLOOKUP(A334,VENTAS!$A$2:$B$1194,2,0),"")</f>
        <v>CICHETTO</v>
      </c>
      <c r="C334" s="5">
        <f>IFERROR(INDEX(VENTAS!$C$2:$E$1194,MATCH(A334,VENTAS!$A$2:$A$1194,0),MATCH(PARAMS_MODELO!$B$2,{"Q1","Q2","Q3"},0)),0)</f>
        <v>78070084.159999996</v>
      </c>
      <c r="D334" s="5">
        <f>IFERROR(INDEX(VENTAS!$F$2:$H$1194,MATCH(A334,VENTAS!$A$2:$A$1194,0),MATCH(PARAMS_MODELO!$B$2,{"Q1","Q2","Q3"},0)),0)</f>
        <v>99907664</v>
      </c>
      <c r="E334" s="8">
        <f t="shared" si="120"/>
        <v>0.27971764184658987</v>
      </c>
      <c r="F334" s="12">
        <f>IF(E334&lt;=PARAMS_MODELO!$B$15,0,IF(E334&gt;=PARAMS_MODELO!$B$17,100,100*MIN(1,(E334-PARAMS_MODELO!$B$15)/(PARAMS_MODELO!$B$16-PARAMS_MODELO!$B$15))))*PARAMS_MODELO!$B$7</f>
        <v>35</v>
      </c>
      <c r="G334" s="5">
        <f t="shared" si="121"/>
        <v>21837579.840000004</v>
      </c>
      <c r="H334" s="5">
        <f>(PARAMS_MODELO!$B$20*(MAX(0,MIN(3,E334))/3)+PARAMS_MODELO!$B$21*(IFERROR(LN(1+MAX(0,G334))/LN(1+MAX(0,MAX($G$2:$G$1194))),0)))*100*PARAMS_MODELO!$B$8</f>
        <v>4.9404067742572773</v>
      </c>
      <c r="I334" s="8">
        <f>E334-PARAMS_MODELO!$B$5</f>
        <v>0.10215480647106334</v>
      </c>
      <c r="J334" s="5">
        <f>IF(I334&lt;=PARAMS_MODELO!$B$18,0,IF(I334&gt;=PARAMS_MODELO!$B$19,100,100*(I334-PARAMS_MODELO!$B$18)/(PARAMS_MODELO!$B$19-PARAMS_MODELO!$B$18)))*PARAMS_MODELO!$B$9</f>
        <v>15</v>
      </c>
      <c r="K334" s="5">
        <f>IFERROR(CHOOSE(MATCH(PARAMS_MODELO!$B$2,{"Q1","Q2","Q3"},0),LOTO!$D334,LOTO!$F334,LOTO!$H334),0)</f>
        <v>4812500</v>
      </c>
      <c r="L334" s="8">
        <f t="shared" si="122"/>
        <v>4.8169477768992774E-2</v>
      </c>
      <c r="M334" s="5">
        <f>MIN(100,IF(PARAMS_MODELO!$B$23=0,0,100*L334/PARAMS_MODELO!$B$23))*PARAMS_MODELO!$B$10</f>
        <v>14.450843330697831</v>
      </c>
      <c r="N334" s="5">
        <f>IFERROR(VLOOKUP(A334,COMPLIANCE!$A$2:$F$1996,6,0),100)</f>
        <v>100</v>
      </c>
      <c r="O334" s="5">
        <f>N334*PARAMS_MODELO!$B$11</f>
        <v>10</v>
      </c>
      <c r="P334" s="5">
        <f>IFERROR(VLOOKUP(A334,DIGITAL!$A$2:$J$2000,7,0),100)</f>
        <v>34</v>
      </c>
      <c r="Q334" s="5">
        <f>IFERROR(P334,0)*PARAMS_MODELO!$B$12</f>
        <v>3.4000000000000004</v>
      </c>
      <c r="R334">
        <f t="shared" si="123"/>
        <v>82.791250104955111</v>
      </c>
      <c r="S334" s="5" t="str">
        <f>IFERROR(VLOOKUP(A334,CLIENTE!$A$2:$N$2000,13,0),1)</f>
        <v>Regular</v>
      </c>
      <c r="T334" s="5">
        <f>IFERROR(VLOOKUP(A334,CLIENTE!$A$2:$N$2000,14,0),1)</f>
        <v>1</v>
      </c>
      <c r="U334" s="5">
        <f t="shared" si="124"/>
        <v>82.791250104955111</v>
      </c>
      <c r="V334" s="5" t="str">
        <f>IF(U334&gt;=MAX(_xlfn.PERCENTILE.INC($U$2:$U$1194,PARAMS_MODELO!$B$50),PARAMS_MODELO!$B$45),"DIAMANTE",IF(U334&gt;=MAX(_xlfn.PERCENTILE.INC($U$2:$U$1194,PARAMS_MODELO!$B$51),PARAMS_MODELO!$B$46),"PLATINO",IF(U334&gt;=MAX(_xlfn.PERCENTILE.INC($U$2:$U$1194,PARAMS_MODELO!$B$52),PARAMS_MODELO!$B$47),"ORO",IF(U334&gt;=MAX(_xlfn.PERCENTILE.INC($U$2:$U$1194,PARAMS_MODELO!$B$53),PARAMS_MODELO!$B$48),"PLATA",IF(U334&gt;=1,"BRONCE","CERRADO")))))</f>
        <v>ORO</v>
      </c>
      <c r="W334" s="5" t="str" cm="1">
        <f t="array" ref="W334">_xlfn.XLOOKUP(1, (HIST_SCORE!$B:$B=PARAMS_MODELO!$B$4) * (HIST_SCORE!$C:$C=A334), HIST_SCORE!$E:$E, "No encontrado")</f>
        <v>ORO</v>
      </c>
      <c r="X334" s="5" t="str">
        <f>_xlfn.LET(_xlpm.act,MATCH(V334,{"DIAMANTE";"PLATINO";"ORO";"PLATA";"BRONCE";"CERRADO"},0),_xlpm.ant,MATCH(W334,{"DIAMANTE";"PLATINO";"ORO";"PLATA";"BRONCE";"CERRADO"},0),IF(_xlpm.act&lt;_xlpm.ant,"Mejora ↑",IF(_xlpm.act&gt;_xlpm.ant,"Baja ↓","Estable →")))</f>
        <v>Estable →</v>
      </c>
      <c r="Y334" s="5">
        <f>IFERROR(U334-SUMIFS(HIST_SCORE!$D:$D,HIST_SCORE!$B:$B,PARAMS_MODELO!$B$4,HIST_SCORE!$C:$C,$A334),"")</f>
        <v>-0.92819933272878075</v>
      </c>
      <c r="Z334" s="5" t="str">
        <f t="shared" si="125"/>
        <v>→ Estable</v>
      </c>
      <c r="AA334" s="5">
        <f t="shared" si="126"/>
        <v>364</v>
      </c>
      <c r="AB334" s="5">
        <f>IFERROR(SUMIFS(HIST_SCORE!$F:$F,HIST_SCORE!$B:$B,PARAMS_MODELO!$B$4,HIST_SCORE!$C:$C,$A334),"")</f>
        <v>299</v>
      </c>
      <c r="AC334" s="5">
        <f t="shared" si="127"/>
        <v>-65</v>
      </c>
      <c r="AD334" t="str">
        <f t="shared" si="129"/>
        <v>Sostener base y reforzar mix</v>
      </c>
      <c r="AE3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334="CERRADO",1,IF(V334="BRONCE",_xlpm.cPl,IF(V334="PLATA",_xlpm.cO,IF(V334="ORO",_xlpm.cP,IF(V334="PLATINO",_xlpm.cD,999))))))</f>
        <v>86.439123873763251</v>
      </c>
      <c r="AF3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334="CERRADO",0,IF(V334="BRONCE",1,IF(V334="PLATA",_xlpm.cPl,IF(V334="ORO",_xlpm.cO,IF(V334="PLATINO",_xlpm.cP,_xlpm.cD))))))</f>
        <v>63.199193273331495</v>
      </c>
      <c r="AG334">
        <f t="shared" si="130"/>
        <v>3.6478737688081395</v>
      </c>
      <c r="AH334" t="str">
        <f t="shared" si="131"/>
        <v>VENTAS</v>
      </c>
      <c r="AI334" t="str">
        <f t="shared" si="128"/>
        <v>🎯 Para subir de categoría, eje VENTAS / IMPACTO ABSOLUTO (H). Acción: metas semanales + activación comercial + seguimiento del asesor. ΔR aprox: 3,6</v>
      </c>
      <c r="AJ334" s="26">
        <f>_xlfn.LET(_xlpm.piso,AF334,_xlpm.corte,AE334,_xlpm.prog,IF(_xlpm.corte&lt;=_xlpm.piso,0,MAX(0,MIN(1,(U334-_xlpm.piso)/(_xlpm.corte-_xlpm.piso)))),_xlpm.orden,{"DIAMANTE";"PLATINO";"ORO";"PLATA";"BRONCE";"CERRADO"},_xlpm.act,IFERROR(MATCH(V334,_xlpm.orden,0),6),_xlpm.ant,IFERROR(MATCH(W334,_xlpm.orden,0),6),_xlpm.ajmov,IF(_xlpm.act&lt;_xlpm.ant,0.08,IF(_xlpm.act&gt;_xlpm.ant,-0.08,0)),_xlpm.ajcli,IF(T334&lt;0.95,-0.06,0),_xlpm.prob,MAX(0,MIN(1,_xlpm.prog+_xlpm.ajmov+_xlpm.ajcli)),IF(OR(V334="DIAMANTE",V334="CERRADO"),0,ROUND(_xlpm.prob,2)))</f>
        <v>0.84</v>
      </c>
      <c r="AK334" t="str">
        <f t="shared" si="132"/>
        <v>Faltan 3,6 puntos base para subir a la siguiente categoría</v>
      </c>
      <c r="AL334" t="str">
        <f t="shared" si="133"/>
        <v>Margen de seguridad: 19,6 puntos</v>
      </c>
      <c r="AM334">
        <f t="shared" si="134"/>
        <v>0.21</v>
      </c>
      <c r="AN334" t="str">
        <f t="shared" si="135"/>
        <v>PRIORIDAD BAJA – control normal</v>
      </c>
      <c r="AO334">
        <f t="shared" si="136"/>
        <v>9.9221625010383079</v>
      </c>
      <c r="AP334">
        <f t="shared" si="137"/>
        <v>0.54915666930216922</v>
      </c>
      <c r="AQ334">
        <f t="shared" si="138"/>
        <v>0</v>
      </c>
      <c r="AR334">
        <f t="shared" si="139"/>
        <v>6.6</v>
      </c>
      <c r="AS334">
        <f t="shared" si="140"/>
        <v>0</v>
      </c>
      <c r="AT334" t="str">
        <f t="shared" si="141"/>
        <v>VENTAS</v>
      </c>
      <c r="AU334">
        <f t="shared" si="142"/>
        <v>9.9221625010383079</v>
      </c>
      <c r="AV334" t="str">
        <f t="shared" si="143"/>
        <v>Mayor retorno probable: VENTAS (+9,9 puntos finales potenciales).</v>
      </c>
    </row>
    <row r="335" spans="1:48" x14ac:dyDescent="0.3">
      <c r="A335" s="5">
        <v>51012941</v>
      </c>
      <c r="B335" s="5" t="str">
        <f>IFERROR(VLOOKUP(A335,VENTAS!$A$2:$B$1194,2,0),"")</f>
        <v>LÓPEZ</v>
      </c>
      <c r="C335" s="5">
        <f>IFERROR(INDEX(VENTAS!$C$2:$E$1194,MATCH(A335,VENTAS!$A$2:$A$1194,0),MATCH(PARAMS_MODELO!$B$2,{"Q1","Q2","Q3"},0)),0)</f>
        <v>67142813.489999995</v>
      </c>
      <c r="D335" s="5">
        <f>IFERROR(INDEX(VENTAS!$F$2:$H$1194,MATCH(A335,VENTAS!$A$2:$A$1194,0),MATCH(PARAMS_MODELO!$B$2,{"Q1","Q2","Q3"},0)),0)</f>
        <v>99858212</v>
      </c>
      <c r="E335" s="8">
        <f t="shared" si="120"/>
        <v>0.48725093289205867</v>
      </c>
      <c r="F335" s="12">
        <f>IF(E335&lt;=PARAMS_MODELO!$B$15,0,IF(E335&gt;=PARAMS_MODELO!$B$17,100,100*MIN(1,(E335-PARAMS_MODELO!$B$15)/(PARAMS_MODELO!$B$16-PARAMS_MODELO!$B$15))))*PARAMS_MODELO!$B$7</f>
        <v>35</v>
      </c>
      <c r="G335" s="5">
        <f t="shared" si="121"/>
        <v>32715398.510000005</v>
      </c>
      <c r="H335" s="5">
        <f>(PARAMS_MODELO!$B$20*(MAX(0,MIN(3,E335))/3)+PARAMS_MODELO!$B$21*(IFERROR(LN(1+MAX(0,G335))/LN(1+MAX(0,MAX($G$2:$G$1194))),0)))*100*PARAMS_MODELO!$B$8</f>
        <v>5.7615265857465188</v>
      </c>
      <c r="I335" s="8">
        <f>E335-PARAMS_MODELO!$B$5</f>
        <v>0.30968809751653215</v>
      </c>
      <c r="J335" s="5">
        <f>IF(I335&lt;=PARAMS_MODELO!$B$18,0,IF(I335&gt;=PARAMS_MODELO!$B$19,100,100*(I335-PARAMS_MODELO!$B$18)/(PARAMS_MODELO!$B$19-PARAMS_MODELO!$B$18)))*PARAMS_MODELO!$B$9</f>
        <v>15</v>
      </c>
      <c r="K335" s="5">
        <f>IFERROR(CHOOSE(MATCH(PARAMS_MODELO!$B$2,{"Q1","Q2","Q3"},0),LOTO!$D335,LOTO!$F335,LOTO!$H335),0)</f>
        <v>4802500</v>
      </c>
      <c r="L335" s="8">
        <f t="shared" si="122"/>
        <v>4.8093190372765736E-2</v>
      </c>
      <c r="M335" s="5">
        <f>MIN(100,IF(PARAMS_MODELO!$B$23=0,0,100*L335/PARAMS_MODELO!$B$23))*PARAMS_MODELO!$B$10</f>
        <v>14.42795711182972</v>
      </c>
      <c r="N335" s="5">
        <f>IFERROR(VLOOKUP(A335,COMPLIANCE!$A$2:$F$1996,6,0),100)</f>
        <v>100</v>
      </c>
      <c r="O335" s="5">
        <f>N335*PARAMS_MODELO!$B$11</f>
        <v>10</v>
      </c>
      <c r="P335" s="5">
        <f>IFERROR(VLOOKUP(A335,DIGITAL!$A$2:$J$2000,7,0),100)</f>
        <v>91</v>
      </c>
      <c r="Q335" s="5">
        <f>IFERROR(P335,0)*PARAMS_MODELO!$B$12</f>
        <v>9.1</v>
      </c>
      <c r="R335">
        <f t="shared" si="123"/>
        <v>89.28948369757623</v>
      </c>
      <c r="S335" s="5" t="str">
        <f>IFERROR(VLOOKUP(A335,CLIENTE!$A$2:$N$2000,13,0),1)</f>
        <v>Muy Bueno</v>
      </c>
      <c r="T335" s="5">
        <f>IFERROR(VLOOKUP(A335,CLIENTE!$A$2:$N$2000,14,0),1)</f>
        <v>1.1499999999999999</v>
      </c>
      <c r="U335" s="5">
        <f t="shared" si="124"/>
        <v>100</v>
      </c>
      <c r="V335" s="5" t="str">
        <f>IF(U335&gt;=MAX(_xlfn.PERCENTILE.INC($U$2:$U$1194,PARAMS_MODELO!$B$50),PARAMS_MODELO!$B$45),"DIAMANTE",IF(U335&gt;=MAX(_xlfn.PERCENTILE.INC($U$2:$U$1194,PARAMS_MODELO!$B$51),PARAMS_MODELO!$B$46),"PLATINO",IF(U335&gt;=MAX(_xlfn.PERCENTILE.INC($U$2:$U$1194,PARAMS_MODELO!$B$52),PARAMS_MODELO!$B$47),"ORO",IF(U335&gt;=MAX(_xlfn.PERCENTILE.INC($U$2:$U$1194,PARAMS_MODELO!$B$53),PARAMS_MODELO!$B$48),"PLATA",IF(U335&gt;=1,"BRONCE","CERRADO")))))</f>
        <v>DIAMANTE</v>
      </c>
      <c r="W335" s="5" t="str" cm="1">
        <f t="array" ref="W335">_xlfn.XLOOKUP(1, (HIST_SCORE!$B:$B=PARAMS_MODELO!$B$4) * (HIST_SCORE!$C:$C=A335), HIST_SCORE!$E:$E, "No encontrado")</f>
        <v>DIAMANTE</v>
      </c>
      <c r="X335" s="5" t="str">
        <f>_xlfn.LET(_xlpm.act,MATCH(V335,{"DIAMANTE";"PLATINO";"ORO";"PLATA";"BRONCE";"CERRADO"},0),_xlpm.ant,MATCH(W335,{"DIAMANTE";"PLATINO";"ORO";"PLATA";"BRONCE";"CERRADO"},0),IF(_xlpm.act&lt;_xlpm.ant,"Mejora ↑",IF(_xlpm.act&gt;_xlpm.ant,"Baja ↓","Estable →")))</f>
        <v>Estable →</v>
      </c>
      <c r="Y335" s="5">
        <f>IFERROR(U335-SUMIFS(HIST_SCORE!$D:$D,HIST_SCORE!$B:$B,PARAMS_MODELO!$B$4,HIST_SCORE!$C:$C,$A335),"")</f>
        <v>0</v>
      </c>
      <c r="Z335" s="5" t="str">
        <f t="shared" si="125"/>
        <v>→ Estable</v>
      </c>
      <c r="AA335" s="5">
        <f t="shared" si="126"/>
        <v>1</v>
      </c>
      <c r="AB335" s="5">
        <f>IFERROR(SUMIFS(HIST_SCORE!$F:$F,HIST_SCORE!$B:$B,PARAMS_MODELO!$B$4,HIST_SCORE!$C:$C,$A335),"")</f>
        <v>1</v>
      </c>
      <c r="AC335" s="5">
        <f t="shared" si="127"/>
        <v>0</v>
      </c>
      <c r="AD335" t="str">
        <f t="shared" si="129"/>
        <v/>
      </c>
      <c r="AE3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335="CERRADO",1,IF(V335="BRONCE",_xlpm.cPl,IF(V335="PLATA",_xlpm.cO,IF(V335="ORO",_xlpm.cP,IF(V335="PLATINO",_xlpm.cD,999))))))</f>
        <v>999</v>
      </c>
      <c r="AF3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335="CERRADO",0,IF(V335="BRONCE",1,IF(V335="PLATA",_xlpm.cPl,IF(V335="ORO",_xlpm.cO,IF(V335="PLATINO",_xlpm.cP,_xlpm.cD))))))</f>
        <v>96.054919694466676</v>
      </c>
      <c r="AG335">
        <f t="shared" si="130"/>
        <v>779.40616847633692</v>
      </c>
      <c r="AH335" t="str">
        <f t="shared" si="131"/>
        <v>SOSTENER</v>
      </c>
      <c r="AI335" t="str">
        <f t="shared" si="128"/>
        <v>✅ Mantener desempeño y monitorear variaciones para sostener categoría.</v>
      </c>
      <c r="AJ335" s="26">
        <f>_xlfn.LET(_xlpm.piso,AF335,_xlpm.corte,AE335,_xlpm.prog,IF(_xlpm.corte&lt;=_xlpm.piso,0,MAX(0,MIN(1,(U335-_xlpm.piso)/(_xlpm.corte-_xlpm.piso)))),_xlpm.orden,{"DIAMANTE";"PLATINO";"ORO";"PLATA";"BRONCE";"CERRADO"},_xlpm.act,IFERROR(MATCH(V335,_xlpm.orden,0),6),_xlpm.ant,IFERROR(MATCH(W335,_xlpm.orden,0),6),_xlpm.ajmov,IF(_xlpm.act&lt;_xlpm.ant,0.08,IF(_xlpm.act&gt;_xlpm.ant,-0.08,0)),_xlpm.ajcli,IF(T335&lt;0.95,-0.06,0),_xlpm.prob,MAX(0,MIN(1,_xlpm.prog+_xlpm.ajmov+_xlpm.ajcli)),IF(OR(V335="DIAMANTE",V335="CERRADO"),0,ROUND(_xlpm.prob,2)))</f>
        <v>0</v>
      </c>
      <c r="AK335" t="str">
        <f t="shared" si="132"/>
        <v>No aplica</v>
      </c>
      <c r="AL335" t="str">
        <f t="shared" si="133"/>
        <v>Margen de seguridad: 3,9 puntos</v>
      </c>
      <c r="AM335">
        <f t="shared" si="134"/>
        <v>0.8</v>
      </c>
      <c r="AN335" t="str">
        <f t="shared" si="135"/>
        <v>PRIORIDAD ALTA – requiere intervención inmediata</v>
      </c>
      <c r="AO335">
        <f t="shared" si="136"/>
        <v>10.466199092981428</v>
      </c>
      <c r="AP335">
        <f t="shared" si="137"/>
        <v>0.65784932139582208</v>
      </c>
      <c r="AQ335">
        <f t="shared" si="138"/>
        <v>0</v>
      </c>
      <c r="AR335">
        <f t="shared" si="139"/>
        <v>1.0350000000000004</v>
      </c>
      <c r="AS335">
        <f t="shared" si="140"/>
        <v>0</v>
      </c>
      <c r="AT335" t="str">
        <f t="shared" si="141"/>
        <v>VENTAS</v>
      </c>
      <c r="AU335">
        <f t="shared" si="142"/>
        <v>10.466199092981428</v>
      </c>
      <c r="AV335" t="str">
        <f t="shared" si="143"/>
        <v>Mayor retorno probable: VENTAS (+10,5 puntos finales potenciales).</v>
      </c>
    </row>
    <row r="336" spans="1:48" x14ac:dyDescent="0.3">
      <c r="A336" s="5">
        <v>51011694</v>
      </c>
      <c r="B336" s="5" t="str">
        <f>IFERROR(VLOOKUP(A336,VENTAS!$A$2:$B$1194,2,0),"")</f>
        <v>AYALA</v>
      </c>
      <c r="C336" s="5">
        <f>IFERROR(INDEX(VENTAS!$C$2:$E$1194,MATCH(A336,VENTAS!$A$2:$A$1194,0),MATCH(PARAMS_MODELO!$B$2,{"Q1","Q2","Q3"},0)),0)</f>
        <v>102633222.05</v>
      </c>
      <c r="D336" s="5">
        <f>IFERROR(INDEX(VENTAS!$F$2:$H$1194,MATCH(A336,VENTAS!$A$2:$A$1194,0),MATCH(PARAMS_MODELO!$B$2,{"Q1","Q2","Q3"},0)),0)</f>
        <v>99854882</v>
      </c>
      <c r="E336" s="8">
        <f t="shared" si="120"/>
        <v>-2.7070572223158562E-2</v>
      </c>
      <c r="F336" s="12">
        <f>IF(E336&lt;=PARAMS_MODELO!$B$15,0,IF(E336&gt;=PARAMS_MODELO!$B$17,100,100*MIN(1,(E336-PARAMS_MODELO!$B$15)/(PARAMS_MODELO!$B$16-PARAMS_MODELO!$B$15))))*PARAMS_MODELO!$B$7</f>
        <v>0</v>
      </c>
      <c r="G336" s="5">
        <f t="shared" si="121"/>
        <v>0</v>
      </c>
      <c r="H336" s="5">
        <f>(PARAMS_MODELO!$B$20*(MAX(0,MIN(3,E336))/3)+PARAMS_MODELO!$B$21*(IFERROR(LN(1+MAX(0,G336))/LN(1+MAX(0,MAX($G$2:$G$1194))),0)))*100*PARAMS_MODELO!$B$8</f>
        <v>0</v>
      </c>
      <c r="I336" s="8">
        <f>E336-PARAMS_MODELO!$B$5</f>
        <v>-0.20463340759868509</v>
      </c>
      <c r="J336" s="5">
        <f>IF(I336&lt;=PARAMS_MODELO!$B$18,0,IF(I336&gt;=PARAMS_MODELO!$B$19,100,100*(I336-PARAMS_MODELO!$B$18)/(PARAMS_MODELO!$B$19-PARAMS_MODELO!$B$18)))*PARAMS_MODELO!$B$9</f>
        <v>0</v>
      </c>
      <c r="K336" s="5">
        <f>IFERROR(CHOOSE(MATCH(PARAMS_MODELO!$B$2,{"Q1","Q2","Q3"},0),LOTO!$D336,LOTO!$F336,LOTO!$H336),0)</f>
        <v>4800000</v>
      </c>
      <c r="L336" s="8">
        <f t="shared" si="122"/>
        <v>4.8069757871227567E-2</v>
      </c>
      <c r="M336" s="5">
        <f>MIN(100,IF(PARAMS_MODELO!$B$23=0,0,100*L336/PARAMS_MODELO!$B$23))*PARAMS_MODELO!$B$10</f>
        <v>14.420927361368269</v>
      </c>
      <c r="N336" s="5">
        <f>IFERROR(VLOOKUP(A336,COMPLIANCE!$A$2:$F$1996,6,0),100)</f>
        <v>100</v>
      </c>
      <c r="O336" s="5">
        <f>N336*PARAMS_MODELO!$B$11</f>
        <v>10</v>
      </c>
      <c r="P336" s="5">
        <f>IFERROR(VLOOKUP(A336,DIGITAL!$A$2:$J$2000,7,0),100)</f>
        <v>88</v>
      </c>
      <c r="Q336" s="5">
        <f>IFERROR(P336,0)*PARAMS_MODELO!$B$12</f>
        <v>8.8000000000000007</v>
      </c>
      <c r="R336">
        <f t="shared" si="123"/>
        <v>33.220927361368268</v>
      </c>
      <c r="S336" s="5" t="str">
        <f>IFERROR(VLOOKUP(A336,CLIENTE!$A$2:$N$2000,13,0),1)</f>
        <v>Regular</v>
      </c>
      <c r="T336" s="5">
        <f>IFERROR(VLOOKUP(A336,CLIENTE!$A$2:$N$2000,14,0),1)</f>
        <v>1</v>
      </c>
      <c r="U336" s="5">
        <f t="shared" si="124"/>
        <v>33.220927361368268</v>
      </c>
      <c r="V336" s="5" t="str">
        <f>IF(U336&gt;=MAX(_xlfn.PERCENTILE.INC($U$2:$U$1194,PARAMS_MODELO!$B$50),PARAMS_MODELO!$B$45),"DIAMANTE",IF(U336&gt;=MAX(_xlfn.PERCENTILE.INC($U$2:$U$1194,PARAMS_MODELO!$B$51),PARAMS_MODELO!$B$46),"PLATINO",IF(U336&gt;=MAX(_xlfn.PERCENTILE.INC($U$2:$U$1194,PARAMS_MODELO!$B$52),PARAMS_MODELO!$B$47),"ORO",IF(U336&gt;=MAX(_xlfn.PERCENTILE.INC($U$2:$U$1194,PARAMS_MODELO!$B$53),PARAMS_MODELO!$B$48),"PLATA",IF(U336&gt;=1,"BRONCE","CERRADO")))))</f>
        <v>PLATA</v>
      </c>
      <c r="W336" s="5" t="str" cm="1">
        <f t="array" ref="W336">_xlfn.XLOOKUP(1, (HIST_SCORE!$B:$B=PARAMS_MODELO!$B$4) * (HIST_SCORE!$C:$C=A336), HIST_SCORE!$E:$E, "No encontrado")</f>
        <v>ORO</v>
      </c>
      <c r="X336" s="5" t="str">
        <f>_xlfn.LET(_xlpm.act,MATCH(V336,{"DIAMANTE";"PLATINO";"ORO";"PLATA";"BRONCE";"CERRADO"},0),_xlpm.ant,MATCH(W336,{"DIAMANTE";"PLATINO";"ORO";"PLATA";"BRONCE";"CERRADO"},0),IF(_xlpm.act&lt;_xlpm.ant,"Mejora ↑",IF(_xlpm.act&gt;_xlpm.ant,"Baja ↓","Estable →")))</f>
        <v>Baja ↓</v>
      </c>
      <c r="Y336" s="5">
        <f>IFERROR(U336-SUMIFS(HIST_SCORE!$D:$D,HIST_SCORE!$B:$B,PARAMS_MODELO!$B$4,HIST_SCORE!$C:$C,$A336),"")</f>
        <v>-43.170728191693556</v>
      </c>
      <c r="Z336" s="5" t="str">
        <f t="shared" si="125"/>
        <v>↓ Baja</v>
      </c>
      <c r="AA336" s="5">
        <f t="shared" si="126"/>
        <v>820</v>
      </c>
      <c r="AB336" s="5">
        <f>IFERROR(SUMIFS(HIST_SCORE!$F:$F,HIST_SCORE!$B:$B,PARAMS_MODELO!$B$4,HIST_SCORE!$C:$C,$A336),"")</f>
        <v>478</v>
      </c>
      <c r="AC336" s="5">
        <f t="shared" si="127"/>
        <v>-342</v>
      </c>
      <c r="AD336" t="str">
        <f t="shared" si="129"/>
        <v/>
      </c>
      <c r="AE3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336="CERRADO",1,IF(V336="BRONCE",_xlpm.cPl,IF(V336="PLATA",_xlpm.cO,IF(V336="ORO",_xlpm.cP,IF(V336="PLATINO",_xlpm.cD,999))))))</f>
        <v>63.199193273331495</v>
      </c>
      <c r="AF3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336="CERRADO",0,IF(V336="BRONCE",1,IF(V336="PLATA",_xlpm.cPl,IF(V336="ORO",_xlpm.cO,IF(V336="PLATINO",_xlpm.cP,_xlpm.cD))))))</f>
        <v>24.506573482968111</v>
      </c>
      <c r="AG336">
        <f t="shared" si="130"/>
        <v>29.978265911963227</v>
      </c>
      <c r="AH336" t="str">
        <f t="shared" si="131"/>
        <v>VENTAS</v>
      </c>
      <c r="AI336" t="str">
        <f t="shared" si="128"/>
        <v>🎯 Para subir de categoría, eje VENTAS / CRECIMIENTO PERSONAL (F). Acción: metas semanales + activación comercial + seguimiento del asesor. ΔR aprox: 30,0</v>
      </c>
      <c r="AJ336" s="26">
        <f>_xlfn.LET(_xlpm.piso,AF336,_xlpm.corte,AE336,_xlpm.prog,IF(_xlpm.corte&lt;=_xlpm.piso,0,MAX(0,MIN(1,(U336-_xlpm.piso)/(_xlpm.corte-_xlpm.piso)))),_xlpm.orden,{"DIAMANTE";"PLATINO";"ORO";"PLATA";"BRONCE";"CERRADO"},_xlpm.act,IFERROR(MATCH(V336,_xlpm.orden,0),6),_xlpm.ant,IFERROR(MATCH(W336,_xlpm.orden,0),6),_xlpm.ajmov,IF(_xlpm.act&lt;_xlpm.ant,0.08,IF(_xlpm.act&gt;_xlpm.ant,-0.08,0)),_xlpm.ajcli,IF(T336&lt;0.95,-0.06,0),_xlpm.prob,MAX(0,MIN(1,_xlpm.prog+_xlpm.ajmov+_xlpm.ajcli)),IF(OR(V336="DIAMANTE",V336="CERRADO"),0,ROUND(_xlpm.prob,2)))</f>
        <v>0.15</v>
      </c>
      <c r="AK336" t="str">
        <f t="shared" si="132"/>
        <v>Faltan 30,0 puntos base para subir a la siguiente categoría</v>
      </c>
      <c r="AL336" t="str">
        <f t="shared" si="133"/>
        <v>Margen de seguridad: 8,7 puntos</v>
      </c>
      <c r="AM336">
        <f t="shared" si="134"/>
        <v>0.74</v>
      </c>
      <c r="AN336" t="str">
        <f t="shared" si="135"/>
        <v>PRIORIDAD ALTA – requiere intervención inmediata</v>
      </c>
      <c r="AO336">
        <f t="shared" si="136"/>
        <v>64.862569275295584</v>
      </c>
      <c r="AP336">
        <f t="shared" si="137"/>
        <v>0.57907263863173064</v>
      </c>
      <c r="AQ336">
        <f t="shared" si="138"/>
        <v>0</v>
      </c>
      <c r="AR336">
        <f t="shared" si="139"/>
        <v>1.1999999999999993</v>
      </c>
      <c r="AS336">
        <f t="shared" si="140"/>
        <v>0</v>
      </c>
      <c r="AT336" t="str">
        <f t="shared" si="141"/>
        <v>VENTAS</v>
      </c>
      <c r="AU336">
        <f t="shared" si="142"/>
        <v>64.862569275295584</v>
      </c>
      <c r="AV336" t="str">
        <f t="shared" si="143"/>
        <v>Mayor retorno probable: VENTAS (+64,9 puntos finales potenciales).</v>
      </c>
    </row>
    <row r="337" spans="1:48" x14ac:dyDescent="0.3">
      <c r="A337" s="5">
        <v>51020197</v>
      </c>
      <c r="B337" s="5" t="str">
        <f>IFERROR(VLOOKUP(A337,VENTAS!$A$2:$B$1194,2,0),"")</f>
        <v>MONTENEGRO</v>
      </c>
      <c r="C337" s="5">
        <f>IFERROR(INDEX(VENTAS!$C$2:$E$1194,MATCH(A337,VENTAS!$A$2:$A$1194,0),MATCH(PARAMS_MODELO!$B$2,{"Q1","Q2","Q3"},0)),0)</f>
        <v>72310224.200000003</v>
      </c>
      <c r="D337" s="5">
        <f>IFERROR(INDEX(VENTAS!$F$2:$H$1194,MATCH(A337,VENTAS!$A$2:$A$1194,0),MATCH(PARAMS_MODELO!$B$2,{"Q1","Q2","Q3"},0)),0)</f>
        <v>99786196</v>
      </c>
      <c r="E337" s="8">
        <f t="shared" si="120"/>
        <v>0.37997353906696918</v>
      </c>
      <c r="F337" s="12">
        <f>IF(E337&lt;=PARAMS_MODELO!$B$15,0,IF(E337&gt;=PARAMS_MODELO!$B$17,100,100*MIN(1,(E337-PARAMS_MODELO!$B$15)/(PARAMS_MODELO!$B$16-PARAMS_MODELO!$B$15))))*PARAMS_MODELO!$B$7</f>
        <v>35</v>
      </c>
      <c r="G337" s="5">
        <f t="shared" si="121"/>
        <v>27475971.799999997</v>
      </c>
      <c r="H337" s="5">
        <f>(PARAMS_MODELO!$B$20*(MAX(0,MIN(3,E337))/3)+PARAMS_MODELO!$B$21*(IFERROR(LN(1+MAX(0,G337))/LN(1+MAX(0,MAX($G$2:$G$1194))),0)))*100*PARAMS_MODELO!$B$8</f>
        <v>5.3451425026244186</v>
      </c>
      <c r="I337" s="8">
        <f>E337-PARAMS_MODELO!$B$5</f>
        <v>0.20241070369144265</v>
      </c>
      <c r="J337" s="5">
        <f>IF(I337&lt;=PARAMS_MODELO!$B$18,0,IF(I337&gt;=PARAMS_MODELO!$B$19,100,100*(I337-PARAMS_MODELO!$B$18)/(PARAMS_MODELO!$B$19-PARAMS_MODELO!$B$18)))*PARAMS_MODELO!$B$9</f>
        <v>15</v>
      </c>
      <c r="K337" s="5">
        <f>IFERROR(CHOOSE(MATCH(PARAMS_MODELO!$B$2,{"Q1","Q2","Q3"},0),LOTO!$D337,LOTO!$F337,LOTO!$H337),0)</f>
        <v>4782500</v>
      </c>
      <c r="L337" s="8">
        <f t="shared" si="122"/>
        <v>4.7927470849775652E-2</v>
      </c>
      <c r="M337" s="5">
        <f>MIN(100,IF(PARAMS_MODELO!$B$23=0,0,100*L337/PARAMS_MODELO!$B$23))*PARAMS_MODELO!$B$10</f>
        <v>14.378241254932693</v>
      </c>
      <c r="N337" s="5">
        <f>IFERROR(VLOOKUP(A337,COMPLIANCE!$A$2:$F$1996,6,0),100)</f>
        <v>99.9</v>
      </c>
      <c r="O337" s="5">
        <f>N337*PARAMS_MODELO!$B$11</f>
        <v>9.990000000000002</v>
      </c>
      <c r="P337" s="5">
        <f>IFERROR(VLOOKUP(A337,DIGITAL!$A$2:$J$2000,7,0),100)</f>
        <v>78</v>
      </c>
      <c r="Q337" s="5">
        <f>IFERROR(P337,0)*PARAMS_MODELO!$B$12</f>
        <v>7.8000000000000007</v>
      </c>
      <c r="R337">
        <f t="shared" si="123"/>
        <v>87.513383757557122</v>
      </c>
      <c r="S337" s="5" t="str">
        <f>IFERROR(VLOOKUP(A337,CLIENTE!$A$2:$N$2000,13,0),1)</f>
        <v>Regular</v>
      </c>
      <c r="T337" s="5">
        <f>IFERROR(VLOOKUP(A337,CLIENTE!$A$2:$N$2000,14,0),1)</f>
        <v>1</v>
      </c>
      <c r="U337" s="5">
        <f t="shared" si="124"/>
        <v>87.513383757557122</v>
      </c>
      <c r="V337" s="5" t="str">
        <f>IF(U337&gt;=MAX(_xlfn.PERCENTILE.INC($U$2:$U$1194,PARAMS_MODELO!$B$50),PARAMS_MODELO!$B$45),"DIAMANTE",IF(U337&gt;=MAX(_xlfn.PERCENTILE.INC($U$2:$U$1194,PARAMS_MODELO!$B$51),PARAMS_MODELO!$B$46),"PLATINO",IF(U337&gt;=MAX(_xlfn.PERCENTILE.INC($U$2:$U$1194,PARAMS_MODELO!$B$52),PARAMS_MODELO!$B$47),"ORO",IF(U337&gt;=MAX(_xlfn.PERCENTILE.INC($U$2:$U$1194,PARAMS_MODELO!$B$53),PARAMS_MODELO!$B$48),"PLATA",IF(U337&gt;=1,"BRONCE","CERRADO")))))</f>
        <v>PLATINO</v>
      </c>
      <c r="W337" s="5" t="str" cm="1">
        <f t="array" ref="W337">_xlfn.XLOOKUP(1, (HIST_SCORE!$B:$B=PARAMS_MODELO!$B$4) * (HIST_SCORE!$C:$C=A337), HIST_SCORE!$E:$E, "No encontrado")</f>
        <v>PLATINO</v>
      </c>
      <c r="X337" s="5" t="str">
        <f>_xlfn.LET(_xlpm.act,MATCH(V337,{"DIAMANTE";"PLATINO";"ORO";"PLATA";"BRONCE";"CERRADO"},0),_xlpm.ant,MATCH(W337,{"DIAMANTE";"PLATINO";"ORO";"PLATA";"BRONCE";"CERRADO"},0),IF(_xlpm.act&lt;_xlpm.ant,"Mejora ↑",IF(_xlpm.act&gt;_xlpm.ant,"Baja ↓","Estable →")))</f>
        <v>Estable →</v>
      </c>
      <c r="Y337" s="5">
        <f>IFERROR(U337-SUMIFS(HIST_SCORE!$D:$D,HIST_SCORE!$B:$B,PARAMS_MODELO!$B$4,HIST_SCORE!$C:$C,$A337),"")</f>
        <v>0.62904756077534785</v>
      </c>
      <c r="Z337" s="5" t="str">
        <f t="shared" si="125"/>
        <v>→ Estable</v>
      </c>
      <c r="AA337" s="5">
        <f t="shared" si="126"/>
        <v>211</v>
      </c>
      <c r="AB337" s="5">
        <f>IFERROR(SUMIFS(HIST_SCORE!$F:$F,HIST_SCORE!$B:$B,PARAMS_MODELO!$B$4,HIST_SCORE!$C:$C,$A337),"")</f>
        <v>201</v>
      </c>
      <c r="AC337" s="5">
        <f t="shared" si="127"/>
        <v>-10</v>
      </c>
      <c r="AD337" t="str">
        <f t="shared" si="129"/>
        <v/>
      </c>
      <c r="AE3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337="CERRADO",1,IF(V337="BRONCE",_xlpm.cPl,IF(V337="PLATA",_xlpm.cO,IF(V337="ORO",_xlpm.cP,IF(V337="PLATINO",_xlpm.cD,999))))))</f>
        <v>96.054919694466676</v>
      </c>
      <c r="AF3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337="CERRADO",0,IF(V337="BRONCE",1,IF(V337="PLATA",_xlpm.cPl,IF(V337="ORO",_xlpm.cO,IF(V337="PLATINO",_xlpm.cP,_xlpm.cD))))))</f>
        <v>86.439123873763251</v>
      </c>
      <c r="AG337">
        <f t="shared" si="130"/>
        <v>8.541535936909554</v>
      </c>
      <c r="AH337" t="str">
        <f t="shared" si="131"/>
        <v>VENTAS</v>
      </c>
      <c r="AI337" t="str">
        <f t="shared" si="128"/>
        <v>🎯 Para subir de categoría, eje VENTAS / IMPACTO ABSOLUTO (H). Acción: metas semanales + activación comercial + seguimiento del asesor. ΔR aprox: 8,5</v>
      </c>
      <c r="AJ337" s="26">
        <f>_xlfn.LET(_xlpm.piso,AF337,_xlpm.corte,AE337,_xlpm.prog,IF(_xlpm.corte&lt;=_xlpm.piso,0,MAX(0,MIN(1,(U337-_xlpm.piso)/(_xlpm.corte-_xlpm.piso)))),_xlpm.orden,{"DIAMANTE";"PLATINO";"ORO";"PLATA";"BRONCE";"CERRADO"},_xlpm.act,IFERROR(MATCH(V337,_xlpm.orden,0),6),_xlpm.ant,IFERROR(MATCH(W337,_xlpm.orden,0),6),_xlpm.ajmov,IF(_xlpm.act&lt;_xlpm.ant,0.08,IF(_xlpm.act&gt;_xlpm.ant,-0.08,0)),_xlpm.ajcli,IF(T337&lt;0.95,-0.06,0),_xlpm.prob,MAX(0,MIN(1,_xlpm.prog+_xlpm.ajmov+_xlpm.ajcli)),IF(OR(V337="DIAMANTE",V337="CERRADO"),0,ROUND(_xlpm.prob,2)))</f>
        <v>0.11</v>
      </c>
      <c r="AK337" t="str">
        <f t="shared" si="132"/>
        <v>Faltan 8,5 puntos base para subir a la siguiente categoría</v>
      </c>
      <c r="AL337" t="str">
        <f t="shared" si="133"/>
        <v>Margen de seguridad: 1,1 puntos</v>
      </c>
      <c r="AM337">
        <f t="shared" si="134"/>
        <v>0.7</v>
      </c>
      <c r="AN337" t="str">
        <f t="shared" si="135"/>
        <v>PRIORIDAD ALTA – requiere intervención inmediata</v>
      </c>
      <c r="AO337">
        <f t="shared" si="136"/>
        <v>9.5174267726711648</v>
      </c>
      <c r="AP337">
        <f t="shared" si="137"/>
        <v>0.62175874506730722</v>
      </c>
      <c r="AQ337">
        <f t="shared" si="138"/>
        <v>9.9999999999980105E-3</v>
      </c>
      <c r="AR337">
        <f t="shared" si="139"/>
        <v>2.1999999999999993</v>
      </c>
      <c r="AS337">
        <f t="shared" si="140"/>
        <v>0</v>
      </c>
      <c r="AT337" t="str">
        <f t="shared" si="141"/>
        <v>VENTAS</v>
      </c>
      <c r="AU337">
        <f t="shared" si="142"/>
        <v>9.5174267726711648</v>
      </c>
      <c r="AV337" t="str">
        <f t="shared" si="143"/>
        <v>Mayor retorno probable: VENTAS (+9,5 puntos finales potenciales).</v>
      </c>
    </row>
    <row r="338" spans="1:48" x14ac:dyDescent="0.3">
      <c r="A338" s="5">
        <v>51003284</v>
      </c>
      <c r="B338" s="5" t="str">
        <f>IFERROR(VLOOKUP(A338,VENTAS!$A$2:$B$1194,2,0),"")</f>
        <v>ARGUELLO</v>
      </c>
      <c r="C338" s="5">
        <f>IFERROR(INDEX(VENTAS!$C$2:$E$1194,MATCH(A338,VENTAS!$A$2:$A$1194,0),MATCH(PARAMS_MODELO!$B$2,{"Q1","Q2","Q3"},0)),0)</f>
        <v>77706785.890000001</v>
      </c>
      <c r="D338" s="5">
        <f>IFERROR(INDEX(VENTAS!$F$2:$H$1194,MATCH(A338,VENTAS!$A$2:$A$1194,0),MATCH(PARAMS_MODELO!$B$2,{"Q1","Q2","Q3"},0)),0)</f>
        <v>99784612</v>
      </c>
      <c r="E338" s="8">
        <f t="shared" si="120"/>
        <v>0.28411709295572818</v>
      </c>
      <c r="F338" s="12">
        <f>IF(E338&lt;=PARAMS_MODELO!$B$15,0,IF(E338&gt;=PARAMS_MODELO!$B$17,100,100*MIN(1,(E338-PARAMS_MODELO!$B$15)/(PARAMS_MODELO!$B$16-PARAMS_MODELO!$B$15))))*PARAMS_MODELO!$B$7</f>
        <v>35</v>
      </c>
      <c r="G338" s="5">
        <f t="shared" si="121"/>
        <v>22077826.109999999</v>
      </c>
      <c r="H338" s="5">
        <f>(PARAMS_MODELO!$B$20*(MAX(0,MIN(3,E338))/3)+PARAMS_MODELO!$B$21*(IFERROR(LN(1+MAX(0,G338))/LN(1+MAX(0,MAX($G$2:$G$1194))),0)))*100*PARAMS_MODELO!$B$8</f>
        <v>4.9583696769290482</v>
      </c>
      <c r="I338" s="8">
        <f>E338-PARAMS_MODELO!$B$5</f>
        <v>0.10655425758020165</v>
      </c>
      <c r="J338" s="5">
        <f>IF(I338&lt;=PARAMS_MODELO!$B$18,0,IF(I338&gt;=PARAMS_MODELO!$B$19,100,100*(I338-PARAMS_MODELO!$B$18)/(PARAMS_MODELO!$B$19-PARAMS_MODELO!$B$18)))*PARAMS_MODELO!$B$9</f>
        <v>15</v>
      </c>
      <c r="K338" s="5">
        <f>IFERROR(CHOOSE(MATCH(PARAMS_MODELO!$B$2,{"Q1","Q2","Q3"},0),LOTO!$D338,LOTO!$F338,LOTO!$H338),0)</f>
        <v>4765000</v>
      </c>
      <c r="L338" s="8">
        <f t="shared" si="122"/>
        <v>4.7752853916994735E-2</v>
      </c>
      <c r="M338" s="5">
        <f>MIN(100,IF(PARAMS_MODELO!$B$23=0,0,100*L338/PARAMS_MODELO!$B$23))*PARAMS_MODELO!$B$10</f>
        <v>14.325856175098419</v>
      </c>
      <c r="N338" s="5">
        <f>IFERROR(VLOOKUP(A338,COMPLIANCE!$A$2:$F$1996,6,0),100)</f>
        <v>100</v>
      </c>
      <c r="O338" s="5">
        <f>N338*PARAMS_MODELO!$B$11</f>
        <v>10</v>
      </c>
      <c r="P338" s="5">
        <f>IFERROR(VLOOKUP(A338,DIGITAL!$A$2:$J$2000,7,0),100)</f>
        <v>62</v>
      </c>
      <c r="Q338" s="5">
        <f>IFERROR(P338,0)*PARAMS_MODELO!$B$12</f>
        <v>6.2</v>
      </c>
      <c r="R338">
        <f t="shared" si="123"/>
        <v>85.484225852027464</v>
      </c>
      <c r="S338" s="5" t="str">
        <f>IFERROR(VLOOKUP(A338,CLIENTE!$A$2:$N$2000,13,0),1)</f>
        <v>Bueno</v>
      </c>
      <c r="T338" s="5">
        <f>IFERROR(VLOOKUP(A338,CLIENTE!$A$2:$N$2000,14,0),1)</f>
        <v>1.1000000000000001</v>
      </c>
      <c r="U338" s="5">
        <f t="shared" si="124"/>
        <v>94.032648437230222</v>
      </c>
      <c r="V338" s="5" t="str">
        <f>IF(U338&gt;=MAX(_xlfn.PERCENTILE.INC($U$2:$U$1194,PARAMS_MODELO!$B$50),PARAMS_MODELO!$B$45),"DIAMANTE",IF(U338&gt;=MAX(_xlfn.PERCENTILE.INC($U$2:$U$1194,PARAMS_MODELO!$B$51),PARAMS_MODELO!$B$46),"PLATINO",IF(U338&gt;=MAX(_xlfn.PERCENTILE.INC($U$2:$U$1194,PARAMS_MODELO!$B$52),PARAMS_MODELO!$B$47),"ORO",IF(U338&gt;=MAX(_xlfn.PERCENTILE.INC($U$2:$U$1194,PARAMS_MODELO!$B$53),PARAMS_MODELO!$B$48),"PLATA",IF(U338&gt;=1,"BRONCE","CERRADO")))))</f>
        <v>PLATINO</v>
      </c>
      <c r="W338" s="5" t="str" cm="1">
        <f t="array" ref="W338">_xlfn.XLOOKUP(1, (HIST_SCORE!$B:$B=PARAMS_MODELO!$B$4) * (HIST_SCORE!$C:$C=A338), HIST_SCORE!$E:$E, "No encontrado")</f>
        <v>ORO</v>
      </c>
      <c r="X338" s="5" t="str">
        <f>_xlfn.LET(_xlpm.act,MATCH(V338,{"DIAMANTE";"PLATINO";"ORO";"PLATA";"BRONCE";"CERRADO"},0),_xlpm.ant,MATCH(W338,{"DIAMANTE";"PLATINO";"ORO";"PLATA";"BRONCE";"CERRADO"},0),IF(_xlpm.act&lt;_xlpm.ant,"Mejora ↑",IF(_xlpm.act&gt;_xlpm.ant,"Baja ↓","Estable →")))</f>
        <v>Mejora ↑</v>
      </c>
      <c r="Y338" s="5">
        <f>IFERROR(U338-SUMIFS(HIST_SCORE!$D:$D,HIST_SCORE!$B:$B,PARAMS_MODELO!$B$4,HIST_SCORE!$C:$C,$A338),"")</f>
        <v>17.030671074433101</v>
      </c>
      <c r="Z338" s="5" t="str">
        <f t="shared" si="125"/>
        <v>↑ Mejora</v>
      </c>
      <c r="AA338" s="5">
        <f t="shared" si="126"/>
        <v>76</v>
      </c>
      <c r="AB338" s="5">
        <f>IFERROR(SUMIFS(HIST_SCORE!$F:$F,HIST_SCORE!$B:$B,PARAMS_MODELO!$B$4,HIST_SCORE!$C:$C,$A338),"")</f>
        <v>469</v>
      </c>
      <c r="AC338" s="5">
        <f t="shared" si="127"/>
        <v>393</v>
      </c>
      <c r="AD338" t="str">
        <f t="shared" si="129"/>
        <v/>
      </c>
      <c r="AE3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338="CERRADO",1,IF(V338="BRONCE",_xlpm.cPl,IF(V338="PLATA",_xlpm.cO,IF(V338="ORO",_xlpm.cP,IF(V338="PLATINO",_xlpm.cD,999))))))</f>
        <v>96.054919694466676</v>
      </c>
      <c r="AF3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338="CERRADO",0,IF(V338="BRONCE",1,IF(V338="PLATA",_xlpm.cPl,IF(V338="ORO",_xlpm.cO,IF(V338="PLATINO",_xlpm.cP,_xlpm.cD))))))</f>
        <v>86.439123873763251</v>
      </c>
      <c r="AG338">
        <f t="shared" si="130"/>
        <v>1.8384284156695117</v>
      </c>
      <c r="AH338" t="str">
        <f t="shared" si="131"/>
        <v>VENTAS</v>
      </c>
      <c r="AI338" t="str">
        <f t="shared" si="128"/>
        <v>🎯 Para subir de categoría, eje VENTAS / IMPACTO ABSOLUTO (H). Acción: metas semanales + activación comercial + seguimiento del asesor. ΔR aprox: 1,8</v>
      </c>
      <c r="AJ338" s="26">
        <f>_xlfn.LET(_xlpm.piso,AF338,_xlpm.corte,AE338,_xlpm.prog,IF(_xlpm.corte&lt;=_xlpm.piso,0,MAX(0,MIN(1,(U338-_xlpm.piso)/(_xlpm.corte-_xlpm.piso)))),_xlpm.orden,{"DIAMANTE";"PLATINO";"ORO";"PLATA";"BRONCE";"CERRADO"},_xlpm.act,IFERROR(MATCH(V338,_xlpm.orden,0),6),_xlpm.ant,IFERROR(MATCH(W338,_xlpm.orden,0),6),_xlpm.ajmov,IF(_xlpm.act&lt;_xlpm.ant,0.08,IF(_xlpm.act&gt;_xlpm.ant,-0.08,0)),_xlpm.ajcli,IF(T338&lt;0.95,-0.06,0),_xlpm.prob,MAX(0,MIN(1,_xlpm.prog+_xlpm.ajmov+_xlpm.ajcli)),IF(OR(V338="DIAMANTE",V338="CERRADO"),0,ROUND(_xlpm.prob,2)))</f>
        <v>0.87</v>
      </c>
      <c r="AK338" t="str">
        <f t="shared" si="132"/>
        <v>Faltan 1,8 puntos base para subir a la siguiente categoría</v>
      </c>
      <c r="AL338" t="str">
        <f t="shared" si="133"/>
        <v>Margen de seguridad: 7,6 puntos</v>
      </c>
      <c r="AM338">
        <f t="shared" si="134"/>
        <v>0.13</v>
      </c>
      <c r="AN338" t="str">
        <f t="shared" si="135"/>
        <v>PRIORIDAD BAJA – control normal</v>
      </c>
      <c r="AO338">
        <f t="shared" si="136"/>
        <v>10.894619558203193</v>
      </c>
      <c r="AP338">
        <f t="shared" si="137"/>
        <v>0.74155820739173894</v>
      </c>
      <c r="AQ338">
        <f t="shared" si="138"/>
        <v>0</v>
      </c>
      <c r="AR338">
        <f t="shared" si="139"/>
        <v>4.18</v>
      </c>
      <c r="AS338">
        <f t="shared" si="140"/>
        <v>0</v>
      </c>
      <c r="AT338" t="str">
        <f t="shared" si="141"/>
        <v>VENTAS</v>
      </c>
      <c r="AU338">
        <f t="shared" si="142"/>
        <v>10.894619558203193</v>
      </c>
      <c r="AV338" t="str">
        <f t="shared" si="143"/>
        <v>Mayor retorno probable: VENTAS (+10,9 puntos finales potenciales).</v>
      </c>
    </row>
    <row r="339" spans="1:48" x14ac:dyDescent="0.3">
      <c r="A339" s="5">
        <v>51025342</v>
      </c>
      <c r="B339" s="5" t="str">
        <f>IFERROR(VLOOKUP(A339,VENTAS!$A$2:$B$1194,2,0),"")</f>
        <v>CICHETTO</v>
      </c>
      <c r="C339" s="5">
        <f>IFERROR(INDEX(VENTAS!$C$2:$E$1194,MATCH(A339,VENTAS!$A$2:$A$1194,0),MATCH(PARAMS_MODELO!$B$2,{"Q1","Q2","Q3"},0)),0)</f>
        <v>109365648.23999999</v>
      </c>
      <c r="D339" s="5">
        <f>IFERROR(INDEX(VENTAS!$F$2:$H$1194,MATCH(A339,VENTAS!$A$2:$A$1194,0),MATCH(PARAMS_MODELO!$B$2,{"Q1","Q2","Q3"},0)),0)</f>
        <v>99713339</v>
      </c>
      <c r="E339" s="8">
        <f t="shared" si="120"/>
        <v>-8.8257230632586392E-2</v>
      </c>
      <c r="F339" s="12">
        <f>IF(E339&lt;=PARAMS_MODELO!$B$15,0,IF(E339&gt;=PARAMS_MODELO!$B$17,100,100*MIN(1,(E339-PARAMS_MODELO!$B$15)/(PARAMS_MODELO!$B$16-PARAMS_MODELO!$B$15))))*PARAMS_MODELO!$B$7</f>
        <v>0</v>
      </c>
      <c r="G339" s="5">
        <f t="shared" si="121"/>
        <v>0</v>
      </c>
      <c r="H339" s="5">
        <f>(PARAMS_MODELO!$B$20*(MAX(0,MIN(3,E339))/3)+PARAMS_MODELO!$B$21*(IFERROR(LN(1+MAX(0,G339))/LN(1+MAX(0,MAX($G$2:$G$1194))),0)))*100*PARAMS_MODELO!$B$8</f>
        <v>0</v>
      </c>
      <c r="I339" s="8">
        <f>E339-PARAMS_MODELO!$B$5</f>
        <v>-0.26582006600811292</v>
      </c>
      <c r="J339" s="5">
        <f>IF(I339&lt;=PARAMS_MODELO!$B$18,0,IF(I339&gt;=PARAMS_MODELO!$B$19,100,100*(I339-PARAMS_MODELO!$B$18)/(PARAMS_MODELO!$B$19-PARAMS_MODELO!$B$18)))*PARAMS_MODELO!$B$9</f>
        <v>0</v>
      </c>
      <c r="K339" s="5">
        <f>IFERROR(CHOOSE(MATCH(PARAMS_MODELO!$B$2,{"Q1","Q2","Q3"},0),LOTO!$D339,LOTO!$F339,LOTO!$H339),0)</f>
        <v>4755000</v>
      </c>
      <c r="L339" s="8">
        <f t="shared" si="122"/>
        <v>4.7686699168704001E-2</v>
      </c>
      <c r="M339" s="5">
        <f>MIN(100,IF(PARAMS_MODELO!$B$23=0,0,100*L339/PARAMS_MODELO!$B$23))*PARAMS_MODELO!$B$10</f>
        <v>14.306009750611198</v>
      </c>
      <c r="N339" s="5">
        <f>IFERROR(VLOOKUP(A339,COMPLIANCE!$A$2:$F$1996,6,0),100)</f>
        <v>100</v>
      </c>
      <c r="O339" s="5">
        <f>N339*PARAMS_MODELO!$B$11</f>
        <v>10</v>
      </c>
      <c r="P339" s="5">
        <f>IFERROR(VLOOKUP(A339,DIGITAL!$A$2:$J$2000,7,0),100)</f>
        <v>49</v>
      </c>
      <c r="Q339" s="5">
        <f>IFERROR(P339,0)*PARAMS_MODELO!$B$12</f>
        <v>4.9000000000000004</v>
      </c>
      <c r="R339">
        <f t="shared" si="123"/>
        <v>29.206009750611194</v>
      </c>
      <c r="S339" s="5" t="str">
        <f>IFERROR(VLOOKUP(A339,CLIENTE!$A$2:$N$2000,13,0),1)</f>
        <v>Bueno</v>
      </c>
      <c r="T339" s="5">
        <f>IFERROR(VLOOKUP(A339,CLIENTE!$A$2:$N$2000,14,0),1)</f>
        <v>1.1000000000000001</v>
      </c>
      <c r="U339" s="5">
        <f t="shared" si="124"/>
        <v>32.126610725672315</v>
      </c>
      <c r="V339" s="5" t="str">
        <f>IF(U339&gt;=MAX(_xlfn.PERCENTILE.INC($U$2:$U$1194,PARAMS_MODELO!$B$50),PARAMS_MODELO!$B$45),"DIAMANTE",IF(U339&gt;=MAX(_xlfn.PERCENTILE.INC($U$2:$U$1194,PARAMS_MODELO!$B$51),PARAMS_MODELO!$B$46),"PLATINO",IF(U339&gt;=MAX(_xlfn.PERCENTILE.INC($U$2:$U$1194,PARAMS_MODELO!$B$52),PARAMS_MODELO!$B$47),"ORO",IF(U339&gt;=MAX(_xlfn.PERCENTILE.INC($U$2:$U$1194,PARAMS_MODELO!$B$53),PARAMS_MODELO!$B$48),"PLATA",IF(U339&gt;=1,"BRONCE","CERRADO")))))</f>
        <v>PLATA</v>
      </c>
      <c r="W339" s="5" t="str" cm="1">
        <f t="array" ref="W339">_xlfn.XLOOKUP(1, (HIST_SCORE!$B:$B=PARAMS_MODELO!$B$4) * (HIST_SCORE!$C:$C=A339), HIST_SCORE!$E:$E, "No encontrado")</f>
        <v>PLATA</v>
      </c>
      <c r="X339" s="5" t="str">
        <f>_xlfn.LET(_xlpm.act,MATCH(V339,{"DIAMANTE";"PLATINO";"ORO";"PLATA";"BRONCE";"CERRADO"},0),_xlpm.ant,MATCH(W339,{"DIAMANTE";"PLATINO";"ORO";"PLATA";"BRONCE";"CERRADO"},0),IF(_xlpm.act&lt;_xlpm.ant,"Mejora ↑",IF(_xlpm.act&gt;_xlpm.ant,"Baja ↓","Estable →")))</f>
        <v>Estable →</v>
      </c>
      <c r="Y339" s="5">
        <f>IFERROR(U339-SUMIFS(HIST_SCORE!$D:$D,HIST_SCORE!$B:$B,PARAMS_MODELO!$B$4,HIST_SCORE!$C:$C,$A339),"")</f>
        <v>2.1152497028573549</v>
      </c>
      <c r="Z339" s="5" t="str">
        <f t="shared" si="125"/>
        <v>→ Estable</v>
      </c>
      <c r="AA339" s="5">
        <f t="shared" si="126"/>
        <v>836</v>
      </c>
      <c r="AB339" s="5">
        <f>IFERROR(SUMIFS(HIST_SCORE!$F:$F,HIST_SCORE!$B:$B,PARAMS_MODELO!$B$4,HIST_SCORE!$C:$C,$A339),"")</f>
        <v>910</v>
      </c>
      <c r="AC339" s="5">
        <f t="shared" si="127"/>
        <v>74</v>
      </c>
      <c r="AD339" t="str">
        <f t="shared" si="129"/>
        <v/>
      </c>
      <c r="AE3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339="CERRADO",1,IF(V339="BRONCE",_xlpm.cPl,IF(V339="PLATA",_xlpm.cO,IF(V339="ORO",_xlpm.cP,IF(V339="PLATINO",_xlpm.cD,999))))))</f>
        <v>63.199193273331495</v>
      </c>
      <c r="AF3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339="CERRADO",0,IF(V339="BRONCE",1,IF(V339="PLATA",_xlpm.cPl,IF(V339="ORO",_xlpm.cO,IF(V339="PLATINO",_xlpm.cP,_xlpm.cD))))))</f>
        <v>24.506573482968111</v>
      </c>
      <c r="AG339">
        <f t="shared" si="130"/>
        <v>28.2478023160538</v>
      </c>
      <c r="AH339" t="str">
        <f t="shared" si="131"/>
        <v>VENTAS</v>
      </c>
      <c r="AI339" t="str">
        <f t="shared" si="128"/>
        <v>🎯 Para subir de categoría, eje VENTAS / CRECIMIENTO PERSONAL (F). Acción: metas semanales + activación comercial + seguimiento del asesor. ΔR aprox: 28,2</v>
      </c>
      <c r="AJ339" s="26">
        <f>_xlfn.LET(_xlpm.piso,AF339,_xlpm.corte,AE339,_xlpm.prog,IF(_xlpm.corte&lt;=_xlpm.piso,0,MAX(0,MIN(1,(U339-_xlpm.piso)/(_xlpm.corte-_xlpm.piso)))),_xlpm.orden,{"DIAMANTE";"PLATINO";"ORO";"PLATA";"BRONCE";"CERRADO"},_xlpm.act,IFERROR(MATCH(V339,_xlpm.orden,0),6),_xlpm.ant,IFERROR(MATCH(W339,_xlpm.orden,0),6),_xlpm.ajmov,IF(_xlpm.act&lt;_xlpm.ant,0.08,IF(_xlpm.act&gt;_xlpm.ant,-0.08,0)),_xlpm.ajcli,IF(T339&lt;0.95,-0.06,0),_xlpm.prob,MAX(0,MIN(1,_xlpm.prog+_xlpm.ajmov+_xlpm.ajcli)),IF(OR(V339="DIAMANTE",V339="CERRADO"),0,ROUND(_xlpm.prob,2)))</f>
        <v>0.2</v>
      </c>
      <c r="AK339" t="str">
        <f t="shared" si="132"/>
        <v>Faltan 28,2 puntos base para subir a la siguiente categoría</v>
      </c>
      <c r="AL339" t="str">
        <f t="shared" si="133"/>
        <v>Margen de seguridad: 7,6 puntos</v>
      </c>
      <c r="AM339">
        <f t="shared" si="134"/>
        <v>0.72</v>
      </c>
      <c r="AN339" t="str">
        <f t="shared" si="135"/>
        <v>PRIORIDAD ALTA – requiere intervención inmediata</v>
      </c>
      <c r="AO339">
        <f t="shared" si="136"/>
        <v>71.348826202825151</v>
      </c>
      <c r="AP339">
        <f t="shared" si="137"/>
        <v>0.76338927432768267</v>
      </c>
      <c r="AQ339">
        <f t="shared" si="138"/>
        <v>0</v>
      </c>
      <c r="AR339">
        <f t="shared" si="139"/>
        <v>5.61</v>
      </c>
      <c r="AS339">
        <f t="shared" si="140"/>
        <v>0</v>
      </c>
      <c r="AT339" t="str">
        <f t="shared" si="141"/>
        <v>VENTAS</v>
      </c>
      <c r="AU339">
        <f t="shared" si="142"/>
        <v>71.348826202825151</v>
      </c>
      <c r="AV339" t="str">
        <f t="shared" si="143"/>
        <v>Mayor retorno probable: VENTAS (+71,3 puntos finales potenciales).</v>
      </c>
    </row>
    <row r="340" spans="1:48" x14ac:dyDescent="0.3">
      <c r="A340" s="5">
        <v>51030389</v>
      </c>
      <c r="B340" s="5" t="str">
        <f>IFERROR(VLOOKUP(A340,VENTAS!$A$2:$B$1194,2,0),"")</f>
        <v>CICHETTO</v>
      </c>
      <c r="C340" s="5">
        <f>IFERROR(INDEX(VENTAS!$C$2:$E$1194,MATCH(A340,VENTAS!$A$2:$A$1194,0),MATCH(PARAMS_MODELO!$B$2,{"Q1","Q2","Q3"},0)),0)</f>
        <v>78000414.590000004</v>
      </c>
      <c r="D340" s="5">
        <f>IFERROR(INDEX(VENTAS!$F$2:$H$1194,MATCH(A340,VENTAS!$A$2:$A$1194,0),MATCH(PARAMS_MODELO!$B$2,{"Q1","Q2","Q3"},0)),0)</f>
        <v>99681662</v>
      </c>
      <c r="E340" s="8">
        <f t="shared" si="120"/>
        <v>0.27796323293875957</v>
      </c>
      <c r="F340" s="12">
        <f>IF(E340&lt;=PARAMS_MODELO!$B$15,0,IF(E340&gt;=PARAMS_MODELO!$B$17,100,100*MIN(1,(E340-PARAMS_MODELO!$B$15)/(PARAMS_MODELO!$B$16-PARAMS_MODELO!$B$15))))*PARAMS_MODELO!$B$7</f>
        <v>35</v>
      </c>
      <c r="G340" s="5">
        <f t="shared" si="121"/>
        <v>21681247.409999996</v>
      </c>
      <c r="H340" s="5">
        <f>(PARAMS_MODELO!$B$20*(MAX(0,MIN(3,E340))/3)+PARAMS_MODELO!$B$21*(IFERROR(LN(1+MAX(0,G340))/LN(1+MAX(0,MAX($G$2:$G$1194))),0)))*100*PARAMS_MODELO!$B$8</f>
        <v>4.932582168097694</v>
      </c>
      <c r="I340" s="8">
        <f>E340-PARAMS_MODELO!$B$5</f>
        <v>0.10040039756323305</v>
      </c>
      <c r="J340" s="5">
        <f>IF(I340&lt;=PARAMS_MODELO!$B$18,0,IF(I340&gt;=PARAMS_MODELO!$B$19,100,100*(I340-PARAMS_MODELO!$B$18)/(PARAMS_MODELO!$B$19-PARAMS_MODELO!$B$18)))*PARAMS_MODELO!$B$9</f>
        <v>15</v>
      </c>
      <c r="K340" s="5">
        <f>IFERROR(CHOOSE(MATCH(PARAMS_MODELO!$B$2,{"Q1","Q2","Q3"},0),LOTO!$D340,LOTO!$F340,LOTO!$H340),0)</f>
        <v>4740000</v>
      </c>
      <c r="L340" s="8">
        <f t="shared" si="122"/>
        <v>4.7551374093261004E-2</v>
      </c>
      <c r="M340" s="5">
        <f>MIN(100,IF(PARAMS_MODELO!$B$23=0,0,100*L340/PARAMS_MODELO!$B$23))*PARAMS_MODELO!$B$10</f>
        <v>14.265412227978301</v>
      </c>
      <c r="N340" s="5">
        <f>IFERROR(VLOOKUP(A340,COMPLIANCE!$A$2:$F$1996,6,0),100)</f>
        <v>100</v>
      </c>
      <c r="O340" s="5">
        <f>N340*PARAMS_MODELO!$B$11</f>
        <v>10</v>
      </c>
      <c r="P340" s="5">
        <f>IFERROR(VLOOKUP(A340,DIGITAL!$A$2:$J$2000,7,0),100)</f>
        <v>73</v>
      </c>
      <c r="Q340" s="5">
        <f>IFERROR(P340,0)*PARAMS_MODELO!$B$12</f>
        <v>7.3000000000000007</v>
      </c>
      <c r="R340">
        <f t="shared" si="123"/>
        <v>86.497994396075995</v>
      </c>
      <c r="S340" s="5" t="str">
        <f>IFERROR(VLOOKUP(A340,CLIENTE!$A$2:$N$2000,13,0),1)</f>
        <v>Bueno</v>
      </c>
      <c r="T340" s="5">
        <f>IFERROR(VLOOKUP(A340,CLIENTE!$A$2:$N$2000,14,0),1)</f>
        <v>1.1000000000000001</v>
      </c>
      <c r="U340" s="5">
        <f t="shared" si="124"/>
        <v>95.147793835683601</v>
      </c>
      <c r="V340" s="5" t="str">
        <f>IF(U340&gt;=MAX(_xlfn.PERCENTILE.INC($U$2:$U$1194,PARAMS_MODELO!$B$50),PARAMS_MODELO!$B$45),"DIAMANTE",IF(U340&gt;=MAX(_xlfn.PERCENTILE.INC($U$2:$U$1194,PARAMS_MODELO!$B$51),PARAMS_MODELO!$B$46),"PLATINO",IF(U340&gt;=MAX(_xlfn.PERCENTILE.INC($U$2:$U$1194,PARAMS_MODELO!$B$52),PARAMS_MODELO!$B$47),"ORO",IF(U340&gt;=MAX(_xlfn.PERCENTILE.INC($U$2:$U$1194,PARAMS_MODELO!$B$53),PARAMS_MODELO!$B$48),"PLATA",IF(U340&gt;=1,"BRONCE","CERRADO")))))</f>
        <v>PLATINO</v>
      </c>
      <c r="W340" s="5" t="str" cm="1">
        <f t="array" ref="W340">_xlfn.XLOOKUP(1, (HIST_SCORE!$B:$B=PARAMS_MODELO!$B$4) * (HIST_SCORE!$C:$C=A340), HIST_SCORE!$E:$E, "No encontrado")</f>
        <v>DIAMANTE</v>
      </c>
      <c r="X340" s="5" t="str">
        <f>_xlfn.LET(_xlpm.act,MATCH(V340,{"DIAMANTE";"PLATINO";"ORO";"PLATA";"BRONCE";"CERRADO"},0),_xlpm.ant,MATCH(W340,{"DIAMANTE";"PLATINO";"ORO";"PLATA";"BRONCE";"CERRADO"},0),IF(_xlpm.act&lt;_xlpm.ant,"Mejora ↑",IF(_xlpm.act&gt;_xlpm.ant,"Baja ↓","Estable →")))</f>
        <v>Baja ↓</v>
      </c>
      <c r="Y340" s="5">
        <f>IFERROR(U340-SUMIFS(HIST_SCORE!$D:$D,HIST_SCORE!$B:$B,PARAMS_MODELO!$B$4,HIST_SCORE!$C:$C,$A340),"")</f>
        <v>-1.9965791859798401</v>
      </c>
      <c r="Z340" s="5" t="str">
        <f t="shared" si="125"/>
        <v>→ Estable</v>
      </c>
      <c r="AA340" s="5">
        <f t="shared" si="126"/>
        <v>69</v>
      </c>
      <c r="AB340" s="5">
        <f>IFERROR(SUMIFS(HIST_SCORE!$F:$F,HIST_SCORE!$B:$B,PARAMS_MODELO!$B$4,HIST_SCORE!$C:$C,$A340),"")</f>
        <v>41</v>
      </c>
      <c r="AC340" s="5">
        <f t="shared" si="127"/>
        <v>-28</v>
      </c>
      <c r="AD340" t="str">
        <f t="shared" si="129"/>
        <v/>
      </c>
      <c r="AE3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340="CERRADO",1,IF(V340="BRONCE",_xlpm.cPl,IF(V340="PLATA",_xlpm.cO,IF(V340="ORO",_xlpm.cP,IF(V340="PLATINO",_xlpm.cD,999))))))</f>
        <v>96.054919694466676</v>
      </c>
      <c r="AF3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340="CERRADO",0,IF(V340="BRONCE",1,IF(V340="PLATA",_xlpm.cPl,IF(V340="ORO",_xlpm.cO,IF(V340="PLATINO",_xlpm.cP,_xlpm.cD))))))</f>
        <v>86.439123873763251</v>
      </c>
      <c r="AG340">
        <f t="shared" si="130"/>
        <v>0.82465987162098031</v>
      </c>
      <c r="AH340" t="str">
        <f t="shared" si="131"/>
        <v>VENTAS</v>
      </c>
      <c r="AI340" t="str">
        <f t="shared" si="128"/>
        <v>🎯 Para subir de categoría, eje VENTAS / IMPACTO ABSOLUTO (H). Acción: metas semanales + activación comercial + seguimiento del asesor. ΔR aprox: 0,8</v>
      </c>
      <c r="AJ340" s="26">
        <f>_xlfn.LET(_xlpm.piso,AF340,_xlpm.corte,AE340,_xlpm.prog,IF(_xlpm.corte&lt;=_xlpm.piso,0,MAX(0,MIN(1,(U340-_xlpm.piso)/(_xlpm.corte-_xlpm.piso)))),_xlpm.orden,{"DIAMANTE";"PLATINO";"ORO";"PLATA";"BRONCE";"CERRADO"},_xlpm.act,IFERROR(MATCH(V340,_xlpm.orden,0),6),_xlpm.ant,IFERROR(MATCH(W340,_xlpm.orden,0),6),_xlpm.ajmov,IF(_xlpm.act&lt;_xlpm.ant,0.08,IF(_xlpm.act&gt;_xlpm.ant,-0.08,0)),_xlpm.ajcli,IF(T340&lt;0.95,-0.06,0),_xlpm.prob,MAX(0,MIN(1,_xlpm.prog+_xlpm.ajmov+_xlpm.ajcli)),IF(OR(V340="DIAMANTE",V340="CERRADO"),0,ROUND(_xlpm.prob,2)))</f>
        <v>0.83</v>
      </c>
      <c r="AK340" t="str">
        <f t="shared" si="132"/>
        <v>Faltan 0,8 puntos base para subir a la siguiente categoría</v>
      </c>
      <c r="AL340" t="str">
        <f t="shared" si="133"/>
        <v>Margen de seguridad: 8,7 puntos</v>
      </c>
      <c r="AM340">
        <f t="shared" si="134"/>
        <v>0.1</v>
      </c>
      <c r="AN340" t="str">
        <f t="shared" si="135"/>
        <v>PRIORIDAD BAJA – control normal</v>
      </c>
      <c r="AO340">
        <f t="shared" si="136"/>
        <v>10.922985817917677</v>
      </c>
      <c r="AP340">
        <f t="shared" si="137"/>
        <v>0.80804654922386931</v>
      </c>
      <c r="AQ340">
        <f t="shared" si="138"/>
        <v>0</v>
      </c>
      <c r="AR340">
        <f t="shared" si="139"/>
        <v>2.9699999999999993</v>
      </c>
      <c r="AS340">
        <f t="shared" si="140"/>
        <v>0</v>
      </c>
      <c r="AT340" t="str">
        <f t="shared" si="141"/>
        <v>VENTAS</v>
      </c>
      <c r="AU340">
        <f t="shared" si="142"/>
        <v>10.922985817917677</v>
      </c>
      <c r="AV340" t="str">
        <f t="shared" si="143"/>
        <v>Mayor retorno probable: VENTAS (+10,9 puntos finales potenciales).</v>
      </c>
    </row>
    <row r="341" spans="1:48" x14ac:dyDescent="0.3">
      <c r="A341" s="5">
        <v>51013581</v>
      </c>
      <c r="B341" s="5" t="str">
        <f>IFERROR(VLOOKUP(A341,VENTAS!$A$2:$B$1194,2,0),"")</f>
        <v>CICHETTO</v>
      </c>
      <c r="C341" s="5">
        <f>IFERROR(INDEX(VENTAS!$C$2:$E$1194,MATCH(A341,VENTAS!$A$2:$A$1194,0),MATCH(PARAMS_MODELO!$B$2,{"Q1","Q2","Q3"},0)),0)</f>
        <v>68832891.579999998</v>
      </c>
      <c r="D341" s="5">
        <f>IFERROR(INDEX(VENTAS!$F$2:$H$1194,MATCH(A341,VENTAS!$A$2:$A$1194,0),MATCH(PARAMS_MODELO!$B$2,{"Q1","Q2","Q3"},0)),0)</f>
        <v>98854019</v>
      </c>
      <c r="E341" s="8">
        <f t="shared" si="120"/>
        <v>0.4361450860321392</v>
      </c>
      <c r="F341" s="12">
        <f>IF(E341&lt;=PARAMS_MODELO!$B$15,0,IF(E341&gt;=PARAMS_MODELO!$B$17,100,100*MIN(1,(E341-PARAMS_MODELO!$B$15)/(PARAMS_MODELO!$B$16-PARAMS_MODELO!$B$15))))*PARAMS_MODELO!$B$7</f>
        <v>35</v>
      </c>
      <c r="G341" s="5">
        <f t="shared" si="121"/>
        <v>30021127.420000002</v>
      </c>
      <c r="H341" s="5">
        <f>(PARAMS_MODELO!$B$20*(MAX(0,MIN(3,E341))/3)+PARAMS_MODELO!$B$21*(IFERROR(LN(1+MAX(0,G341))/LN(1+MAX(0,MAX($G$2:$G$1194))),0)))*100*PARAMS_MODELO!$B$8</f>
        <v>5.5625095344588491</v>
      </c>
      <c r="I341" s="8">
        <f>E341-PARAMS_MODELO!$B$5</f>
        <v>0.25858225065661267</v>
      </c>
      <c r="J341" s="5">
        <f>IF(I341&lt;=PARAMS_MODELO!$B$18,0,IF(I341&gt;=PARAMS_MODELO!$B$19,100,100*(I341-PARAMS_MODELO!$B$18)/(PARAMS_MODELO!$B$19-PARAMS_MODELO!$B$18)))*PARAMS_MODELO!$B$9</f>
        <v>15</v>
      </c>
      <c r="K341" s="5">
        <f>IFERROR(CHOOSE(MATCH(PARAMS_MODELO!$B$2,{"Q1","Q2","Q3"},0),LOTO!$D341,LOTO!$F341,LOTO!$H341),0)</f>
        <v>4737500</v>
      </c>
      <c r="L341" s="8">
        <f t="shared" si="122"/>
        <v>4.7924202252211924E-2</v>
      </c>
      <c r="M341" s="5">
        <f>MIN(100,IF(PARAMS_MODELO!$B$23=0,0,100*L341/PARAMS_MODELO!$B$23))*PARAMS_MODELO!$B$10</f>
        <v>14.377260675663578</v>
      </c>
      <c r="N341" s="5">
        <f>IFERROR(VLOOKUP(A341,COMPLIANCE!$A$2:$F$1996,6,0),100)</f>
        <v>100</v>
      </c>
      <c r="O341" s="5">
        <f>N341*PARAMS_MODELO!$B$11</f>
        <v>10</v>
      </c>
      <c r="P341" s="5">
        <f>IFERROR(VLOOKUP(A341,DIGITAL!$A$2:$J$2000,7,0),100)</f>
        <v>10</v>
      </c>
      <c r="Q341" s="5">
        <f>IFERROR(P341,0)*PARAMS_MODELO!$B$12</f>
        <v>1</v>
      </c>
      <c r="R341">
        <f t="shared" si="123"/>
        <v>80.939770210122418</v>
      </c>
      <c r="S341" s="5" t="str">
        <f>IFERROR(VLOOKUP(A341,CLIENTE!$A$2:$N$2000,13,0),1)</f>
        <v>Malo</v>
      </c>
      <c r="T341" s="5">
        <f>IFERROR(VLOOKUP(A341,CLIENTE!$A$2:$N$2000,14,0),1)</f>
        <v>0.7</v>
      </c>
      <c r="U341" s="5">
        <f t="shared" si="124"/>
        <v>56.657839147085689</v>
      </c>
      <c r="V341" s="5" t="str">
        <f>IF(U341&gt;=MAX(_xlfn.PERCENTILE.INC($U$2:$U$1194,PARAMS_MODELO!$B$50),PARAMS_MODELO!$B$45),"DIAMANTE",IF(U341&gt;=MAX(_xlfn.PERCENTILE.INC($U$2:$U$1194,PARAMS_MODELO!$B$51),PARAMS_MODELO!$B$46),"PLATINO",IF(U341&gt;=MAX(_xlfn.PERCENTILE.INC($U$2:$U$1194,PARAMS_MODELO!$B$52),PARAMS_MODELO!$B$47),"ORO",IF(U341&gt;=MAX(_xlfn.PERCENTILE.INC($U$2:$U$1194,PARAMS_MODELO!$B$53),PARAMS_MODELO!$B$48),"PLATA",IF(U341&gt;=1,"BRONCE","CERRADO")))))</f>
        <v>PLATA</v>
      </c>
      <c r="W341" s="5" t="str" cm="1">
        <f t="array" ref="W341">_xlfn.XLOOKUP(1, (HIST_SCORE!$B:$B=PARAMS_MODELO!$B$4) * (HIST_SCORE!$C:$C=A341), HIST_SCORE!$E:$E, "No encontrado")</f>
        <v>PLATA</v>
      </c>
      <c r="X341" s="5" t="str">
        <f>_xlfn.LET(_xlpm.act,MATCH(V341,{"DIAMANTE";"PLATINO";"ORO";"PLATA";"BRONCE";"CERRADO"},0),_xlpm.ant,MATCH(W341,{"DIAMANTE";"PLATINO";"ORO";"PLATA";"BRONCE";"CERRADO"},0),IF(_xlpm.act&lt;_xlpm.ant,"Mejora ↑",IF(_xlpm.act&gt;_xlpm.ant,"Baja ↓","Estable →")))</f>
        <v>Estable →</v>
      </c>
      <c r="Y341" s="5">
        <f>IFERROR(U341-SUMIFS(HIST_SCORE!$D:$D,HIST_SCORE!$B:$B,PARAMS_MODELO!$B$4,HIST_SCORE!$C:$C,$A341),"")</f>
        <v>0.10619511068373555</v>
      </c>
      <c r="Z341" s="5" t="str">
        <f t="shared" si="125"/>
        <v>→ Estable</v>
      </c>
      <c r="AA341" s="5">
        <f t="shared" si="126"/>
        <v>689</v>
      </c>
      <c r="AB341" s="5">
        <f>IFERROR(SUMIFS(HIST_SCORE!$F:$F,HIST_SCORE!$B:$B,PARAMS_MODELO!$B$4,HIST_SCORE!$C:$C,$A341),"")</f>
        <v>721</v>
      </c>
      <c r="AC341" s="5">
        <f t="shared" si="127"/>
        <v>32</v>
      </c>
      <c r="AD341" t="str">
        <f t="shared" si="129"/>
        <v/>
      </c>
      <c r="AE3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341="CERRADO",1,IF(V341="BRONCE",_xlpm.cPl,IF(V341="PLATA",_xlpm.cO,IF(V341="ORO",_xlpm.cP,IF(V341="PLATINO",_xlpm.cD,999))))))</f>
        <v>63.199193273331495</v>
      </c>
      <c r="AF3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341="CERRADO",0,IF(V341="BRONCE",1,IF(V341="PLATA",_xlpm.cPl,IF(V341="ORO",_xlpm.cO,IF(V341="PLATINO",_xlpm.cP,_xlpm.cD))))))</f>
        <v>24.506573482968111</v>
      </c>
      <c r="AG341">
        <f t="shared" si="130"/>
        <v>9.3447916089225771</v>
      </c>
      <c r="AH341" t="str">
        <f t="shared" si="131"/>
        <v>CLIENTE</v>
      </c>
      <c r="AI341" t="str">
        <f t="shared" si="128"/>
        <v>🎯 Para subir de categoría, la eje con mayor impacto probable es CLIENTE (coef T). Acción: reducir quejas, mejorar incógnito y empujar reseñas. ΔR aprox: 9,3</v>
      </c>
      <c r="AJ341" s="26">
        <f>_xlfn.LET(_xlpm.piso,AF341,_xlpm.corte,AE341,_xlpm.prog,IF(_xlpm.corte&lt;=_xlpm.piso,0,MAX(0,MIN(1,(U341-_xlpm.piso)/(_xlpm.corte-_xlpm.piso)))),_xlpm.orden,{"DIAMANTE";"PLATINO";"ORO";"PLATA";"BRONCE";"CERRADO"},_xlpm.act,IFERROR(MATCH(V341,_xlpm.orden,0),6),_xlpm.ant,IFERROR(MATCH(W341,_xlpm.orden,0),6),_xlpm.ajmov,IF(_xlpm.act&lt;_xlpm.ant,0.08,IF(_xlpm.act&gt;_xlpm.ant,-0.08,0)),_xlpm.ajcli,IF(T341&lt;0.95,-0.06,0),_xlpm.prob,MAX(0,MIN(1,_xlpm.prog+_xlpm.ajmov+_xlpm.ajcli)),IF(OR(V341="DIAMANTE",V341="CERRADO"),0,ROUND(_xlpm.prob,2)))</f>
        <v>0.77</v>
      </c>
      <c r="AK341" t="str">
        <f t="shared" si="132"/>
        <v>Faltan 9,3 puntos base para subir a la siguiente categoría</v>
      </c>
      <c r="AL341" t="str">
        <f t="shared" si="133"/>
        <v>Margen de seguridad: 32,2 puntos</v>
      </c>
      <c r="AM341">
        <f t="shared" si="134"/>
        <v>0.67</v>
      </c>
      <c r="AN341" t="str">
        <f t="shared" si="135"/>
        <v>PRIORIDAD MEDIA – seguimiento del asesor</v>
      </c>
      <c r="AO341">
        <f t="shared" si="136"/>
        <v>6.5100418185857158</v>
      </c>
      <c r="AP341">
        <f t="shared" si="137"/>
        <v>0.4359175270354953</v>
      </c>
      <c r="AQ341">
        <f t="shared" si="138"/>
        <v>0</v>
      </c>
      <c r="AR341">
        <f t="shared" si="139"/>
        <v>6.3</v>
      </c>
      <c r="AS341">
        <f t="shared" si="140"/>
        <v>24.28193106303673</v>
      </c>
      <c r="AT341" t="str">
        <f t="shared" si="141"/>
        <v>CLIENTE</v>
      </c>
      <c r="AU341">
        <f t="shared" si="142"/>
        <v>24.28193106303673</v>
      </c>
      <c r="AV341" t="str">
        <f t="shared" si="143"/>
        <v>Mayor retorno probable: CLIENTE (+24,3 puntos finales potenciales).</v>
      </c>
    </row>
    <row r="342" spans="1:48" x14ac:dyDescent="0.3">
      <c r="A342" s="5">
        <v>51056833</v>
      </c>
      <c r="B342" s="5" t="str">
        <f>IFERROR(VLOOKUP(A342,VENTAS!$A$2:$B$1194,2,0),"")</f>
        <v>AYALA</v>
      </c>
      <c r="C342" s="5">
        <f>IFERROR(INDEX(VENTAS!$C$2:$E$1194,MATCH(A342,VENTAS!$A$2:$A$1194,0),MATCH(PARAMS_MODELO!$B$2,{"Q1","Q2","Q3"},0)),0)</f>
        <v>73836553.560000002</v>
      </c>
      <c r="D342" s="5">
        <f>IFERROR(INDEX(VENTAS!$F$2:$H$1194,MATCH(A342,VENTAS!$A$2:$A$1194,0),MATCH(PARAMS_MODELO!$B$2,{"Q1","Q2","Q3"},0)),0)</f>
        <v>98717288</v>
      </c>
      <c r="E342" s="8">
        <f t="shared" si="120"/>
        <v>0.33697041966865049</v>
      </c>
      <c r="F342" s="12">
        <f>IF(E342&lt;=PARAMS_MODELO!$B$15,0,IF(E342&gt;=PARAMS_MODELO!$B$17,100,100*MIN(1,(E342-PARAMS_MODELO!$B$15)/(PARAMS_MODELO!$B$16-PARAMS_MODELO!$B$15))))*PARAMS_MODELO!$B$7</f>
        <v>35</v>
      </c>
      <c r="G342" s="5">
        <f t="shared" si="121"/>
        <v>24880734.439999998</v>
      </c>
      <c r="H342" s="5">
        <f>(PARAMS_MODELO!$B$20*(MAX(0,MIN(3,E342))/3)+PARAMS_MODELO!$B$21*(IFERROR(LN(1+MAX(0,G342))/LN(1+MAX(0,MAX($G$2:$G$1194))),0)))*100*PARAMS_MODELO!$B$8</f>
        <v>5.1713734817477617</v>
      </c>
      <c r="I342" s="8">
        <f>E342-PARAMS_MODELO!$B$5</f>
        <v>0.15940758429312396</v>
      </c>
      <c r="J342" s="5">
        <f>IF(I342&lt;=PARAMS_MODELO!$B$18,0,IF(I342&gt;=PARAMS_MODELO!$B$19,100,100*(I342-PARAMS_MODELO!$B$18)/(PARAMS_MODELO!$B$19-PARAMS_MODELO!$B$18)))*PARAMS_MODELO!$B$9</f>
        <v>15</v>
      </c>
      <c r="K342" s="5">
        <f>IFERROR(CHOOSE(MATCH(PARAMS_MODELO!$B$2,{"Q1","Q2","Q3"},0),LOTO!$D342,LOTO!$F342,LOTO!$H342),0)</f>
        <v>4735000</v>
      </c>
      <c r="L342" s="8">
        <f t="shared" si="122"/>
        <v>4.7965256095771187E-2</v>
      </c>
      <c r="M342" s="5">
        <f>MIN(100,IF(PARAMS_MODELO!$B$23=0,0,100*L342/PARAMS_MODELO!$B$23))*PARAMS_MODELO!$B$10</f>
        <v>14.389576828731354</v>
      </c>
      <c r="N342" s="5">
        <f>IFERROR(VLOOKUP(A342,COMPLIANCE!$A$2:$F$1996,6,0),100)</f>
        <v>100</v>
      </c>
      <c r="O342" s="5">
        <f>N342*PARAMS_MODELO!$B$11</f>
        <v>10</v>
      </c>
      <c r="P342" s="5">
        <f>IFERROR(VLOOKUP(A342,DIGITAL!$A$2:$J$2000,7,0),100)</f>
        <v>41</v>
      </c>
      <c r="Q342" s="5">
        <f>IFERROR(P342,0)*PARAMS_MODELO!$B$12</f>
        <v>4.1000000000000005</v>
      </c>
      <c r="R342">
        <f t="shared" si="123"/>
        <v>83.660950310479109</v>
      </c>
      <c r="S342" s="5" t="str">
        <f>IFERROR(VLOOKUP(A342,CLIENTE!$A$2:$N$2000,13,0),1)</f>
        <v>Regular</v>
      </c>
      <c r="T342" s="5">
        <f>IFERROR(VLOOKUP(A342,CLIENTE!$A$2:$N$2000,14,0),1)</f>
        <v>1</v>
      </c>
      <c r="U342" s="5">
        <f t="shared" si="124"/>
        <v>83.660950310479109</v>
      </c>
      <c r="V342" s="5" t="str">
        <f>IF(U342&gt;=MAX(_xlfn.PERCENTILE.INC($U$2:$U$1194,PARAMS_MODELO!$B$50),PARAMS_MODELO!$B$45),"DIAMANTE",IF(U342&gt;=MAX(_xlfn.PERCENTILE.INC($U$2:$U$1194,PARAMS_MODELO!$B$51),PARAMS_MODELO!$B$46),"PLATINO",IF(U342&gt;=MAX(_xlfn.PERCENTILE.INC($U$2:$U$1194,PARAMS_MODELO!$B$52),PARAMS_MODELO!$B$47),"ORO",IF(U342&gt;=MAX(_xlfn.PERCENTILE.INC($U$2:$U$1194,PARAMS_MODELO!$B$53),PARAMS_MODELO!$B$48),"PLATA",IF(U342&gt;=1,"BRONCE","CERRADO")))))</f>
        <v>ORO</v>
      </c>
      <c r="W342" s="5" t="str" cm="1">
        <f t="array" ref="W342">_xlfn.XLOOKUP(1, (HIST_SCORE!$B:$B=PARAMS_MODELO!$B$4) * (HIST_SCORE!$C:$C=A342), HIST_SCORE!$E:$E, "No encontrado")</f>
        <v>ORO</v>
      </c>
      <c r="X342" s="5" t="str">
        <f>_xlfn.LET(_xlpm.act,MATCH(V342,{"DIAMANTE";"PLATINO";"ORO";"PLATA";"BRONCE";"CERRADO"},0),_xlpm.ant,MATCH(W342,{"DIAMANTE";"PLATINO";"ORO";"PLATA";"BRONCE";"CERRADO"},0),IF(_xlpm.act&lt;_xlpm.ant,"Mejora ↑",IF(_xlpm.act&gt;_xlpm.ant,"Baja ↓","Estable →")))</f>
        <v>Estable →</v>
      </c>
      <c r="Y342" s="5">
        <f>IFERROR(U342-SUMIFS(HIST_SCORE!$D:$D,HIST_SCORE!$B:$B,PARAMS_MODELO!$B$4,HIST_SCORE!$C:$C,$A342),"")</f>
        <v>10.333016148092128</v>
      </c>
      <c r="Z342" s="5" t="str">
        <f t="shared" si="125"/>
        <v>↑ Mejora</v>
      </c>
      <c r="AA342" s="5">
        <f t="shared" si="126"/>
        <v>330</v>
      </c>
      <c r="AB342" s="5">
        <f>IFERROR(SUMIFS(HIST_SCORE!$F:$F,HIST_SCORE!$B:$B,PARAMS_MODELO!$B$4,HIST_SCORE!$C:$C,$A342),"")</f>
        <v>507</v>
      </c>
      <c r="AC342" s="5">
        <f t="shared" si="127"/>
        <v>177</v>
      </c>
      <c r="AD342" t="str">
        <f t="shared" si="129"/>
        <v/>
      </c>
      <c r="AE3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342="CERRADO",1,IF(V342="BRONCE",_xlpm.cPl,IF(V342="PLATA",_xlpm.cO,IF(V342="ORO",_xlpm.cP,IF(V342="PLATINO",_xlpm.cD,999))))))</f>
        <v>86.439123873763251</v>
      </c>
      <c r="AF3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342="CERRADO",0,IF(V342="BRONCE",1,IF(V342="PLATA",_xlpm.cPl,IF(V342="ORO",_xlpm.cO,IF(V342="PLATINO",_xlpm.cP,_xlpm.cD))))))</f>
        <v>63.199193273331495</v>
      </c>
      <c r="AG342">
        <f t="shared" si="130"/>
        <v>2.7781735632841418</v>
      </c>
      <c r="AH342" t="str">
        <f t="shared" si="131"/>
        <v>VENTAS</v>
      </c>
      <c r="AI342" t="str">
        <f t="shared" si="128"/>
        <v>🎯 Para subir de categoría, eje VENTAS / IMPACTO ABSOLUTO (H). Acción: metas semanales + activación comercial + seguimiento del asesor. ΔR aprox: 2,8</v>
      </c>
      <c r="AJ342" s="26">
        <f>_xlfn.LET(_xlpm.piso,AF342,_xlpm.corte,AE342,_xlpm.prog,IF(_xlpm.corte&lt;=_xlpm.piso,0,MAX(0,MIN(1,(U342-_xlpm.piso)/(_xlpm.corte-_xlpm.piso)))),_xlpm.orden,{"DIAMANTE";"PLATINO";"ORO";"PLATA";"BRONCE";"CERRADO"},_xlpm.act,IFERROR(MATCH(V342,_xlpm.orden,0),6),_xlpm.ant,IFERROR(MATCH(W342,_xlpm.orden,0),6),_xlpm.ajmov,IF(_xlpm.act&lt;_xlpm.ant,0.08,IF(_xlpm.act&gt;_xlpm.ant,-0.08,0)),_xlpm.ajcli,IF(T342&lt;0.95,-0.06,0),_xlpm.prob,MAX(0,MIN(1,_xlpm.prog+_xlpm.ajmov+_xlpm.ajcli)),IF(OR(V342="DIAMANTE",V342="CERRADO"),0,ROUND(_xlpm.prob,2)))</f>
        <v>0.88</v>
      </c>
      <c r="AK342" t="str">
        <f t="shared" si="132"/>
        <v>Faltan 2,8 puntos base para subir a la siguiente categoría</v>
      </c>
      <c r="AL342" t="str">
        <f t="shared" si="133"/>
        <v>Margen de seguridad: 20,5 puntos</v>
      </c>
      <c r="AM342">
        <f t="shared" si="134"/>
        <v>0.16</v>
      </c>
      <c r="AN342" t="str">
        <f t="shared" si="135"/>
        <v>PRIORIDAD BAJA – control normal</v>
      </c>
      <c r="AO342">
        <f t="shared" si="136"/>
        <v>9.6911957935478199</v>
      </c>
      <c r="AP342">
        <f t="shared" si="137"/>
        <v>0.61042317126864631</v>
      </c>
      <c r="AQ342">
        <f t="shared" si="138"/>
        <v>0</v>
      </c>
      <c r="AR342">
        <f t="shared" si="139"/>
        <v>5.8999999999999995</v>
      </c>
      <c r="AS342">
        <f t="shared" si="140"/>
        <v>0</v>
      </c>
      <c r="AT342" t="str">
        <f t="shared" si="141"/>
        <v>VENTAS</v>
      </c>
      <c r="AU342">
        <f t="shared" si="142"/>
        <v>9.6911957935478199</v>
      </c>
      <c r="AV342" t="str">
        <f t="shared" si="143"/>
        <v>Mayor retorno probable: VENTAS (+9,7 puntos finales potenciales).</v>
      </c>
    </row>
    <row r="343" spans="1:48" x14ac:dyDescent="0.3">
      <c r="A343" s="5">
        <v>51056086</v>
      </c>
      <c r="B343" s="5" t="str">
        <f>IFERROR(VLOOKUP(A343,VENTAS!$A$2:$B$1194,2,0),"")</f>
        <v>BELUZZO</v>
      </c>
      <c r="C343" s="5">
        <f>IFERROR(INDEX(VENTAS!$C$2:$E$1194,MATCH(A343,VENTAS!$A$2:$A$1194,0),MATCH(PARAMS_MODELO!$B$2,{"Q1","Q2","Q3"},0)),0)</f>
        <v>74371638.75999999</v>
      </c>
      <c r="D343" s="5">
        <f>IFERROR(INDEX(VENTAS!$F$2:$H$1194,MATCH(A343,VENTAS!$A$2:$A$1194,0),MATCH(PARAMS_MODELO!$B$2,{"Q1","Q2","Q3"},0)),0)</f>
        <v>98693297</v>
      </c>
      <c r="E343" s="8">
        <f t="shared" si="120"/>
        <v>0.32702867175600225</v>
      </c>
      <c r="F343" s="12">
        <f>IF(E343&lt;=PARAMS_MODELO!$B$15,0,IF(E343&gt;=PARAMS_MODELO!$B$17,100,100*MIN(1,(E343-PARAMS_MODELO!$B$15)/(PARAMS_MODELO!$B$16-PARAMS_MODELO!$B$15))))*PARAMS_MODELO!$B$7</f>
        <v>35</v>
      </c>
      <c r="G343" s="5">
        <f t="shared" si="121"/>
        <v>24321658.24000001</v>
      </c>
      <c r="H343" s="5">
        <f>(PARAMS_MODELO!$B$20*(MAX(0,MIN(3,E343))/3)+PARAMS_MODELO!$B$21*(IFERROR(LN(1+MAX(0,G343))/LN(1+MAX(0,MAX($G$2:$G$1194))),0)))*100*PARAMS_MODELO!$B$8</f>
        <v>5.1312499442005342</v>
      </c>
      <c r="I343" s="8">
        <f>E343-PARAMS_MODELO!$B$5</f>
        <v>0.14946583638047573</v>
      </c>
      <c r="J343" s="5">
        <f>IF(I343&lt;=PARAMS_MODELO!$B$18,0,IF(I343&gt;=PARAMS_MODELO!$B$19,100,100*(I343-PARAMS_MODELO!$B$18)/(PARAMS_MODELO!$B$19-PARAMS_MODELO!$B$18)))*PARAMS_MODELO!$B$9</f>
        <v>15</v>
      </c>
      <c r="K343" s="5">
        <f>IFERROR(CHOOSE(MATCH(PARAMS_MODELO!$B$2,{"Q1","Q2","Q3"},0),LOTO!$D343,LOTO!$F343,LOTO!$H343),0)</f>
        <v>4735000</v>
      </c>
      <c r="L343" s="8">
        <f t="shared" si="122"/>
        <v>4.7976915798040469E-2</v>
      </c>
      <c r="M343" s="5">
        <f>MIN(100,IF(PARAMS_MODELO!$B$23=0,0,100*L343/PARAMS_MODELO!$B$23))*PARAMS_MODELO!$B$10</f>
        <v>14.393074739412139</v>
      </c>
      <c r="N343" s="5">
        <f>IFERROR(VLOOKUP(A343,COMPLIANCE!$A$2:$F$1996,6,0),100)</f>
        <v>100</v>
      </c>
      <c r="O343" s="5">
        <f>N343*PARAMS_MODELO!$B$11</f>
        <v>10</v>
      </c>
      <c r="P343" s="5">
        <f>IFERROR(VLOOKUP(A343,DIGITAL!$A$2:$J$2000,7,0),100)</f>
        <v>24</v>
      </c>
      <c r="Q343" s="5">
        <f>IFERROR(P343,0)*PARAMS_MODELO!$B$12</f>
        <v>2.4000000000000004</v>
      </c>
      <c r="R343">
        <f t="shared" si="123"/>
        <v>81.924324683612681</v>
      </c>
      <c r="S343" s="5" t="str">
        <f>IFERROR(VLOOKUP(A343,CLIENTE!$A$2:$N$2000,13,0),1)</f>
        <v>Regular</v>
      </c>
      <c r="T343" s="5">
        <f>IFERROR(VLOOKUP(A343,CLIENTE!$A$2:$N$2000,14,0),1)</f>
        <v>1</v>
      </c>
      <c r="U343" s="5">
        <f t="shared" si="124"/>
        <v>81.924324683612681</v>
      </c>
      <c r="V343" s="5" t="str">
        <f>IF(U343&gt;=MAX(_xlfn.PERCENTILE.INC($U$2:$U$1194,PARAMS_MODELO!$B$50),PARAMS_MODELO!$B$45),"DIAMANTE",IF(U343&gt;=MAX(_xlfn.PERCENTILE.INC($U$2:$U$1194,PARAMS_MODELO!$B$51),PARAMS_MODELO!$B$46),"PLATINO",IF(U343&gt;=MAX(_xlfn.PERCENTILE.INC($U$2:$U$1194,PARAMS_MODELO!$B$52),PARAMS_MODELO!$B$47),"ORO",IF(U343&gt;=MAX(_xlfn.PERCENTILE.INC($U$2:$U$1194,PARAMS_MODELO!$B$53),PARAMS_MODELO!$B$48),"PLATA",IF(U343&gt;=1,"BRONCE","CERRADO")))))</f>
        <v>ORO</v>
      </c>
      <c r="W343" s="5" t="str" cm="1">
        <f t="array" ref="W343">_xlfn.XLOOKUP(1, (HIST_SCORE!$B:$B=PARAMS_MODELO!$B$4) * (HIST_SCORE!$C:$C=A343), HIST_SCORE!$E:$E, "No encontrado")</f>
        <v>ORO</v>
      </c>
      <c r="X343" s="5" t="str">
        <f>_xlfn.LET(_xlpm.act,MATCH(V343,{"DIAMANTE";"PLATINO";"ORO";"PLATA";"BRONCE";"CERRADO"},0),_xlpm.ant,MATCH(W343,{"DIAMANTE";"PLATINO";"ORO";"PLATA";"BRONCE";"CERRADO"},0),IF(_xlpm.act&lt;_xlpm.ant,"Mejora ↑",IF(_xlpm.act&gt;_xlpm.ant,"Baja ↓","Estable →")))</f>
        <v>Estable →</v>
      </c>
      <c r="Y343" s="5">
        <f>IFERROR(U343-SUMIFS(HIST_SCORE!$D:$D,HIST_SCORE!$B:$B,PARAMS_MODELO!$B$4,HIST_SCORE!$C:$C,$A343),"")</f>
        <v>-0.40579118774057577</v>
      </c>
      <c r="Z343" s="5" t="str">
        <f t="shared" si="125"/>
        <v>→ Estable</v>
      </c>
      <c r="AA343" s="5">
        <f t="shared" si="126"/>
        <v>388</v>
      </c>
      <c r="AB343" s="5">
        <f>IFERROR(SUMIFS(HIST_SCORE!$F:$F,HIST_SCORE!$B:$B,PARAMS_MODELO!$B$4,HIST_SCORE!$C:$C,$A343),"")</f>
        <v>355</v>
      </c>
      <c r="AC343" s="5">
        <f t="shared" si="127"/>
        <v>-33</v>
      </c>
      <c r="AD343" t="str">
        <f t="shared" si="129"/>
        <v>Sostener base y reforzar mix</v>
      </c>
      <c r="AE3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343="CERRADO",1,IF(V343="BRONCE",_xlpm.cPl,IF(V343="PLATA",_xlpm.cO,IF(V343="ORO",_xlpm.cP,IF(V343="PLATINO",_xlpm.cD,999))))))</f>
        <v>86.439123873763251</v>
      </c>
      <c r="AF3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343="CERRADO",0,IF(V343="BRONCE",1,IF(V343="PLATA",_xlpm.cPl,IF(V343="ORO",_xlpm.cO,IF(V343="PLATINO",_xlpm.cP,_xlpm.cD))))))</f>
        <v>63.199193273331495</v>
      </c>
      <c r="AG343">
        <f t="shared" si="130"/>
        <v>4.5147991901505691</v>
      </c>
      <c r="AH343" t="str">
        <f t="shared" si="131"/>
        <v>VENTAS</v>
      </c>
      <c r="AI343" t="str">
        <f t="shared" si="128"/>
        <v>🎯 Para subir de categoría, eje VENTAS / IMPACTO ABSOLUTO (H). Acción: metas semanales + activación comercial + seguimiento del asesor. ΔR aprox: 4,5</v>
      </c>
      <c r="AJ343" s="26">
        <f>_xlfn.LET(_xlpm.piso,AF343,_xlpm.corte,AE343,_xlpm.prog,IF(_xlpm.corte&lt;=_xlpm.piso,0,MAX(0,MIN(1,(U343-_xlpm.piso)/(_xlpm.corte-_xlpm.piso)))),_xlpm.orden,{"DIAMANTE";"PLATINO";"ORO";"PLATA";"BRONCE";"CERRADO"},_xlpm.act,IFERROR(MATCH(V343,_xlpm.orden,0),6),_xlpm.ant,IFERROR(MATCH(W343,_xlpm.orden,0),6),_xlpm.ajmov,IF(_xlpm.act&lt;_xlpm.ant,0.08,IF(_xlpm.act&gt;_xlpm.ant,-0.08,0)),_xlpm.ajcli,IF(T343&lt;0.95,-0.06,0),_xlpm.prob,MAX(0,MIN(1,_xlpm.prog+_xlpm.ajmov+_xlpm.ajcli)),IF(OR(V343="DIAMANTE",V343="CERRADO"),0,ROUND(_xlpm.prob,2)))</f>
        <v>0.81</v>
      </c>
      <c r="AK343" t="str">
        <f t="shared" si="132"/>
        <v>Faltan 4,5 puntos base para subir a la siguiente categoría</v>
      </c>
      <c r="AL343" t="str">
        <f t="shared" si="133"/>
        <v>Margen de seguridad: 18,7 puntos</v>
      </c>
      <c r="AM343">
        <f t="shared" si="134"/>
        <v>0.26</v>
      </c>
      <c r="AN343" t="str">
        <f t="shared" si="135"/>
        <v>PRIORIDAD BAJA – control normal</v>
      </c>
      <c r="AO343">
        <f t="shared" si="136"/>
        <v>9.731319331095051</v>
      </c>
      <c r="AP343">
        <f t="shared" si="137"/>
        <v>0.606925260587861</v>
      </c>
      <c r="AQ343">
        <f t="shared" si="138"/>
        <v>0</v>
      </c>
      <c r="AR343">
        <f t="shared" si="139"/>
        <v>7.6</v>
      </c>
      <c r="AS343">
        <f t="shared" si="140"/>
        <v>0</v>
      </c>
      <c r="AT343" t="str">
        <f t="shared" si="141"/>
        <v>VENTAS</v>
      </c>
      <c r="AU343">
        <f t="shared" si="142"/>
        <v>9.731319331095051</v>
      </c>
      <c r="AV343" t="str">
        <f t="shared" si="143"/>
        <v>Mayor retorno probable: VENTAS (+9,7 puntos finales potenciales).</v>
      </c>
    </row>
    <row r="344" spans="1:48" x14ac:dyDescent="0.3">
      <c r="A344" s="5">
        <v>51055241</v>
      </c>
      <c r="B344" s="5" t="str">
        <f>IFERROR(VLOOKUP(A344,VENTAS!$A$2:$B$1194,2,0),"")</f>
        <v>METTLER</v>
      </c>
      <c r="C344" s="5">
        <f>IFERROR(INDEX(VENTAS!$C$2:$E$1194,MATCH(A344,VENTAS!$A$2:$A$1194,0),MATCH(PARAMS_MODELO!$B$2,{"Q1","Q2","Q3"},0)),0)</f>
        <v>68786000.420000002</v>
      </c>
      <c r="D344" s="5">
        <f>IFERROR(INDEX(VENTAS!$F$2:$H$1194,MATCH(A344,VENTAS!$A$2:$A$1194,0),MATCH(PARAMS_MODELO!$B$2,{"Q1","Q2","Q3"},0)),0)</f>
        <v>98636607</v>
      </c>
      <c r="E344" s="8">
        <f t="shared" si="120"/>
        <v>0.43396339949605101</v>
      </c>
      <c r="F344" s="12">
        <f>IF(E344&lt;=PARAMS_MODELO!$B$15,0,IF(E344&gt;=PARAMS_MODELO!$B$17,100,100*MIN(1,(E344-PARAMS_MODELO!$B$15)/(PARAMS_MODELO!$B$16-PARAMS_MODELO!$B$15))))*PARAMS_MODELO!$B$7</f>
        <v>35</v>
      </c>
      <c r="G344" s="5">
        <f t="shared" si="121"/>
        <v>29850606.579999998</v>
      </c>
      <c r="H344" s="5">
        <f>(PARAMS_MODELO!$B$20*(MAX(0,MIN(3,E344))/3)+PARAMS_MODELO!$B$21*(IFERROR(LN(1+MAX(0,G344))/LN(1+MAX(0,MAX($G$2:$G$1194))),0)))*100*PARAMS_MODELO!$B$8</f>
        <v>5.5535383580047997</v>
      </c>
      <c r="I344" s="8">
        <f>E344-PARAMS_MODELO!$B$5</f>
        <v>0.25640056412052448</v>
      </c>
      <c r="J344" s="5">
        <f>IF(I344&lt;=PARAMS_MODELO!$B$18,0,IF(I344&gt;=PARAMS_MODELO!$B$19,100,100*(I344-PARAMS_MODELO!$B$18)/(PARAMS_MODELO!$B$19-PARAMS_MODELO!$B$18)))*PARAMS_MODELO!$B$9</f>
        <v>15</v>
      </c>
      <c r="K344" s="5">
        <f>IFERROR(CHOOSE(MATCH(PARAMS_MODELO!$B$2,{"Q1","Q2","Q3"},0),LOTO!$D344,LOTO!$F344,LOTO!$H344),0)</f>
        <v>4727500</v>
      </c>
      <c r="L344" s="8">
        <f t="shared" si="122"/>
        <v>4.7928453175604471E-2</v>
      </c>
      <c r="M344" s="5">
        <f>MIN(100,IF(PARAMS_MODELO!$B$23=0,0,100*L344/PARAMS_MODELO!$B$23))*PARAMS_MODELO!$B$10</f>
        <v>14.378535952681339</v>
      </c>
      <c r="N344" s="5">
        <f>IFERROR(VLOOKUP(A344,COMPLIANCE!$A$2:$F$1996,6,0),100)</f>
        <v>100</v>
      </c>
      <c r="O344" s="5">
        <f>N344*PARAMS_MODELO!$B$11</f>
        <v>10</v>
      </c>
      <c r="P344" s="5">
        <f>IFERROR(VLOOKUP(A344,DIGITAL!$A$2:$J$2000,7,0),100)</f>
        <v>18</v>
      </c>
      <c r="Q344" s="5">
        <f>IFERROR(P344,0)*PARAMS_MODELO!$B$12</f>
        <v>1.8</v>
      </c>
      <c r="R344">
        <f t="shared" si="123"/>
        <v>81.732074310686144</v>
      </c>
      <c r="S344" s="5" t="str">
        <f>IFERROR(VLOOKUP(A344,CLIENTE!$A$2:$N$2000,13,0),1)</f>
        <v>Regular</v>
      </c>
      <c r="T344" s="5">
        <f>IFERROR(VLOOKUP(A344,CLIENTE!$A$2:$N$2000,14,0),1)</f>
        <v>1</v>
      </c>
      <c r="U344" s="5">
        <f t="shared" si="124"/>
        <v>81.732074310686144</v>
      </c>
      <c r="V344" s="5" t="str">
        <f>IF(U344&gt;=MAX(_xlfn.PERCENTILE.INC($U$2:$U$1194,PARAMS_MODELO!$B$50),PARAMS_MODELO!$B$45),"DIAMANTE",IF(U344&gt;=MAX(_xlfn.PERCENTILE.INC($U$2:$U$1194,PARAMS_MODELO!$B$51),PARAMS_MODELO!$B$46),"PLATINO",IF(U344&gt;=MAX(_xlfn.PERCENTILE.INC($U$2:$U$1194,PARAMS_MODELO!$B$52),PARAMS_MODELO!$B$47),"ORO",IF(U344&gt;=MAX(_xlfn.PERCENTILE.INC($U$2:$U$1194,PARAMS_MODELO!$B$53),PARAMS_MODELO!$B$48),"PLATA",IF(U344&gt;=1,"BRONCE","CERRADO")))))</f>
        <v>ORO</v>
      </c>
      <c r="W344" s="5" t="str" cm="1">
        <f t="array" ref="W344">_xlfn.XLOOKUP(1, (HIST_SCORE!$B:$B=PARAMS_MODELO!$B$4) * (HIST_SCORE!$C:$C=A344), HIST_SCORE!$E:$E, "No encontrado")</f>
        <v>ORO</v>
      </c>
      <c r="X344" s="5" t="str">
        <f>_xlfn.LET(_xlpm.act,MATCH(V344,{"DIAMANTE";"PLATINO";"ORO";"PLATA";"BRONCE";"CERRADO"},0),_xlpm.ant,MATCH(W344,{"DIAMANTE";"PLATINO";"ORO";"PLATA";"BRONCE";"CERRADO"},0),IF(_xlpm.act&lt;_xlpm.ant,"Mejora ↑",IF(_xlpm.act&gt;_xlpm.ant,"Baja ↓","Estable →")))</f>
        <v>Estable →</v>
      </c>
      <c r="Y344" s="5">
        <f>IFERROR(U344-SUMIFS(HIST_SCORE!$D:$D,HIST_SCORE!$B:$B,PARAMS_MODELO!$B$4,HIST_SCORE!$C:$C,$A344),"")</f>
        <v>3.359300637162292</v>
      </c>
      <c r="Z344" s="5" t="str">
        <f t="shared" si="125"/>
        <v>→ Estable</v>
      </c>
      <c r="AA344" s="5">
        <f t="shared" si="126"/>
        <v>392</v>
      </c>
      <c r="AB344" s="5">
        <f>IFERROR(SUMIFS(HIST_SCORE!$F:$F,HIST_SCORE!$B:$B,PARAMS_MODELO!$B$4,HIST_SCORE!$C:$C,$A344),"")</f>
        <v>448</v>
      </c>
      <c r="AC344" s="5">
        <f t="shared" si="127"/>
        <v>56</v>
      </c>
      <c r="AD344" t="str">
        <f t="shared" si="129"/>
        <v/>
      </c>
      <c r="AE3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344="CERRADO",1,IF(V344="BRONCE",_xlpm.cPl,IF(V344="PLATA",_xlpm.cO,IF(V344="ORO",_xlpm.cP,IF(V344="PLATINO",_xlpm.cD,999))))))</f>
        <v>86.439123873763251</v>
      </c>
      <c r="AF3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344="CERRADO",0,IF(V344="BRONCE",1,IF(V344="PLATA",_xlpm.cPl,IF(V344="ORO",_xlpm.cO,IF(V344="PLATINO",_xlpm.cP,_xlpm.cD))))))</f>
        <v>63.199193273331495</v>
      </c>
      <c r="AG344">
        <f t="shared" si="130"/>
        <v>4.7070495630771063</v>
      </c>
      <c r="AH344" t="str">
        <f t="shared" si="131"/>
        <v>VENTAS</v>
      </c>
      <c r="AI344" t="str">
        <f t="shared" si="128"/>
        <v>🎯 Para subir de categoría, eje VENTAS / IMPACTO ABSOLUTO (H). Acción: metas semanales + activación comercial + seguimiento del asesor. ΔR aprox: 4,7</v>
      </c>
      <c r="AJ344" s="26">
        <f>_xlfn.LET(_xlpm.piso,AF344,_xlpm.corte,AE344,_xlpm.prog,IF(_xlpm.corte&lt;=_xlpm.piso,0,MAX(0,MIN(1,(U344-_xlpm.piso)/(_xlpm.corte-_xlpm.piso)))),_xlpm.orden,{"DIAMANTE";"PLATINO";"ORO";"PLATA";"BRONCE";"CERRADO"},_xlpm.act,IFERROR(MATCH(V344,_xlpm.orden,0),6),_xlpm.ant,IFERROR(MATCH(W344,_xlpm.orden,0),6),_xlpm.ajmov,IF(_xlpm.act&lt;_xlpm.ant,0.08,IF(_xlpm.act&gt;_xlpm.ant,-0.08,0)),_xlpm.ajcli,IF(T344&lt;0.95,-0.06,0),_xlpm.prob,MAX(0,MIN(1,_xlpm.prog+_xlpm.ajmov+_xlpm.ajcli)),IF(OR(V344="DIAMANTE",V344="CERRADO"),0,ROUND(_xlpm.prob,2)))</f>
        <v>0.8</v>
      </c>
      <c r="AK344" t="str">
        <f t="shared" si="132"/>
        <v>Faltan 4,7 puntos base para subir a la siguiente categoría</v>
      </c>
      <c r="AL344" t="str">
        <f t="shared" si="133"/>
        <v>Margen de seguridad: 18,5 puntos</v>
      </c>
      <c r="AM344">
        <f t="shared" si="134"/>
        <v>0.27</v>
      </c>
      <c r="AN344" t="str">
        <f t="shared" si="135"/>
        <v>PRIORIDAD BAJA – control normal</v>
      </c>
      <c r="AO344">
        <f t="shared" si="136"/>
        <v>9.3090309172907837</v>
      </c>
      <c r="AP344">
        <f t="shared" si="137"/>
        <v>0.62146404731866056</v>
      </c>
      <c r="AQ344">
        <f t="shared" si="138"/>
        <v>0</v>
      </c>
      <c r="AR344">
        <f t="shared" si="139"/>
        <v>8.1999999999999993</v>
      </c>
      <c r="AS344">
        <f t="shared" si="140"/>
        <v>0</v>
      </c>
      <c r="AT344" t="str">
        <f t="shared" si="141"/>
        <v>VENTAS</v>
      </c>
      <c r="AU344">
        <f t="shared" si="142"/>
        <v>9.3090309172907837</v>
      </c>
      <c r="AV344" t="str">
        <f t="shared" si="143"/>
        <v>Mayor retorno probable: VENTAS (+9,3 puntos finales potenciales).</v>
      </c>
    </row>
    <row r="345" spans="1:48" x14ac:dyDescent="0.3">
      <c r="A345" s="5">
        <v>51008669</v>
      </c>
      <c r="B345" s="5" t="str">
        <f>IFERROR(VLOOKUP(A345,VENTAS!$A$2:$B$1194,2,0),"")</f>
        <v>PRADES</v>
      </c>
      <c r="C345" s="5">
        <f>IFERROR(INDEX(VENTAS!$C$2:$E$1194,MATCH(A345,VENTAS!$A$2:$A$1194,0),MATCH(PARAMS_MODELO!$B$2,{"Q1","Q2","Q3"},0)),0)</f>
        <v>76650299.069999993</v>
      </c>
      <c r="D345" s="5">
        <f>IFERROR(INDEX(VENTAS!$F$2:$H$1194,MATCH(A345,VENTAS!$A$2:$A$1194,0),MATCH(PARAMS_MODELO!$B$2,{"Q1","Q2","Q3"},0)),0)</f>
        <v>98627620</v>
      </c>
      <c r="E345" s="8">
        <f t="shared" si="120"/>
        <v>0.28672192015753883</v>
      </c>
      <c r="F345" s="12">
        <f>IF(E345&lt;=PARAMS_MODELO!$B$15,0,IF(E345&gt;=PARAMS_MODELO!$B$17,100,100*MIN(1,(E345-PARAMS_MODELO!$B$15)/(PARAMS_MODELO!$B$16-PARAMS_MODELO!$B$15))))*PARAMS_MODELO!$B$7</f>
        <v>35</v>
      </c>
      <c r="G345" s="5">
        <f t="shared" si="121"/>
        <v>21977320.930000007</v>
      </c>
      <c r="H345" s="5">
        <f>(PARAMS_MODELO!$B$20*(MAX(0,MIN(3,E345))/3)+PARAMS_MODELO!$B$21*(IFERROR(LN(1+MAX(0,G345))/LN(1+MAX(0,MAX($G$2:$G$1194))),0)))*100*PARAMS_MODELO!$B$8</f>
        <v>4.9664170100660092</v>
      </c>
      <c r="I345" s="8">
        <f>E345-PARAMS_MODELO!$B$5</f>
        <v>0.10915908478201231</v>
      </c>
      <c r="J345" s="5">
        <f>IF(I345&lt;=PARAMS_MODELO!$B$18,0,IF(I345&gt;=PARAMS_MODELO!$B$19,100,100*(I345-PARAMS_MODELO!$B$18)/(PARAMS_MODELO!$B$19-PARAMS_MODELO!$B$18)))*PARAMS_MODELO!$B$9</f>
        <v>15</v>
      </c>
      <c r="K345" s="5">
        <f>IFERROR(CHOOSE(MATCH(PARAMS_MODELO!$B$2,{"Q1","Q2","Q3"},0),LOTO!$D345,LOTO!$F345,LOTO!$H345),0)</f>
        <v>4717500</v>
      </c>
      <c r="L345" s="8">
        <f t="shared" si="122"/>
        <v>4.7831428964827498E-2</v>
      </c>
      <c r="M345" s="5">
        <f>MIN(100,IF(PARAMS_MODELO!$B$23=0,0,100*L345/PARAMS_MODELO!$B$23))*PARAMS_MODELO!$B$10</f>
        <v>14.349428689448247</v>
      </c>
      <c r="N345" s="5">
        <f>IFERROR(VLOOKUP(A345,COMPLIANCE!$A$2:$F$1996,6,0),100)</f>
        <v>100</v>
      </c>
      <c r="O345" s="5">
        <f>N345*PARAMS_MODELO!$B$11</f>
        <v>10</v>
      </c>
      <c r="P345" s="5">
        <f>IFERROR(VLOOKUP(A345,DIGITAL!$A$2:$J$2000,7,0),100)</f>
        <v>20</v>
      </c>
      <c r="Q345" s="5">
        <f>IFERROR(P345,0)*PARAMS_MODELO!$B$12</f>
        <v>2</v>
      </c>
      <c r="R345">
        <f t="shared" si="123"/>
        <v>81.315845699514256</v>
      </c>
      <c r="S345" s="5" t="str">
        <f>IFERROR(VLOOKUP(A345,CLIENTE!$A$2:$N$2000,13,0),1)</f>
        <v>Regular</v>
      </c>
      <c r="T345" s="5">
        <f>IFERROR(VLOOKUP(A345,CLIENTE!$A$2:$N$2000,14,0),1)</f>
        <v>1</v>
      </c>
      <c r="U345" s="5">
        <f t="shared" si="124"/>
        <v>81.315845699514256</v>
      </c>
      <c r="V345" s="5" t="str">
        <f>IF(U345&gt;=MAX(_xlfn.PERCENTILE.INC($U$2:$U$1194,PARAMS_MODELO!$B$50),PARAMS_MODELO!$B$45),"DIAMANTE",IF(U345&gt;=MAX(_xlfn.PERCENTILE.INC($U$2:$U$1194,PARAMS_MODELO!$B$51),PARAMS_MODELO!$B$46),"PLATINO",IF(U345&gt;=MAX(_xlfn.PERCENTILE.INC($U$2:$U$1194,PARAMS_MODELO!$B$52),PARAMS_MODELO!$B$47),"ORO",IF(U345&gt;=MAX(_xlfn.PERCENTILE.INC($U$2:$U$1194,PARAMS_MODELO!$B$53),PARAMS_MODELO!$B$48),"PLATA",IF(U345&gt;=1,"BRONCE","CERRADO")))))</f>
        <v>ORO</v>
      </c>
      <c r="W345" s="5" t="str" cm="1">
        <f t="array" ref="W345">_xlfn.XLOOKUP(1, (HIST_SCORE!$B:$B=PARAMS_MODELO!$B$4) * (HIST_SCORE!$C:$C=A345), HIST_SCORE!$E:$E, "No encontrado")</f>
        <v>ORO</v>
      </c>
      <c r="X345" s="5" t="str">
        <f>_xlfn.LET(_xlpm.act,MATCH(V345,{"DIAMANTE";"PLATINO";"ORO";"PLATA";"BRONCE";"CERRADO"},0),_xlpm.ant,MATCH(W345,{"DIAMANTE";"PLATINO";"ORO";"PLATA";"BRONCE";"CERRADO"},0),IF(_xlpm.act&lt;_xlpm.ant,"Mejora ↑",IF(_xlpm.act&gt;_xlpm.ant,"Baja ↓","Estable →")))</f>
        <v>Estable →</v>
      </c>
      <c r="Y345" s="5">
        <f>IFERROR(U345-SUMIFS(HIST_SCORE!$D:$D,HIST_SCORE!$B:$B,PARAMS_MODELO!$B$4,HIST_SCORE!$C:$C,$A345),"")</f>
        <v>1.3607062464507038</v>
      </c>
      <c r="Z345" s="5" t="str">
        <f t="shared" si="125"/>
        <v>→ Estable</v>
      </c>
      <c r="AA345" s="5">
        <f t="shared" si="126"/>
        <v>405</v>
      </c>
      <c r="AB345" s="5">
        <f>IFERROR(SUMIFS(HIST_SCORE!$F:$F,HIST_SCORE!$B:$B,PARAMS_MODELO!$B$4,HIST_SCORE!$C:$C,$A345),"")</f>
        <v>420</v>
      </c>
      <c r="AC345" s="5">
        <f t="shared" si="127"/>
        <v>15</v>
      </c>
      <c r="AD345" t="str">
        <f t="shared" si="129"/>
        <v/>
      </c>
      <c r="AE3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345="CERRADO",1,IF(V345="BRONCE",_xlpm.cPl,IF(V345="PLATA",_xlpm.cO,IF(V345="ORO",_xlpm.cP,IF(V345="PLATINO",_xlpm.cD,999))))))</f>
        <v>86.439123873763251</v>
      </c>
      <c r="AF3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345="CERRADO",0,IF(V345="BRONCE",1,IF(V345="PLATA",_xlpm.cPl,IF(V345="ORO",_xlpm.cO,IF(V345="PLATINO",_xlpm.cP,_xlpm.cD))))))</f>
        <v>63.199193273331495</v>
      </c>
      <c r="AG345">
        <f t="shared" si="130"/>
        <v>5.1232781742489948</v>
      </c>
      <c r="AH345" t="str">
        <f t="shared" si="131"/>
        <v>VENTAS</v>
      </c>
      <c r="AI345" t="str">
        <f t="shared" si="128"/>
        <v>🎯 Para subir de categoría, eje VENTAS / IMPACTO ABSOLUTO (H). Acción: metas semanales + activación comercial + seguimiento del asesor. ΔR aprox: 5,1</v>
      </c>
      <c r="AJ345" s="26">
        <f>_xlfn.LET(_xlpm.piso,AF345,_xlpm.corte,AE345,_xlpm.prog,IF(_xlpm.corte&lt;=_xlpm.piso,0,MAX(0,MIN(1,(U345-_xlpm.piso)/(_xlpm.corte-_xlpm.piso)))),_xlpm.orden,{"DIAMANTE";"PLATINO";"ORO";"PLATA";"BRONCE";"CERRADO"},_xlpm.act,IFERROR(MATCH(V345,_xlpm.orden,0),6),_xlpm.ant,IFERROR(MATCH(W345,_xlpm.orden,0),6),_xlpm.ajmov,IF(_xlpm.act&lt;_xlpm.ant,0.08,IF(_xlpm.act&gt;_xlpm.ant,-0.08,0)),_xlpm.ajcli,IF(T345&lt;0.95,-0.06,0),_xlpm.prob,MAX(0,MIN(1,_xlpm.prog+_xlpm.ajmov+_xlpm.ajcli)),IF(OR(V345="DIAMANTE",V345="CERRADO"),0,ROUND(_xlpm.prob,2)))</f>
        <v>0.78</v>
      </c>
      <c r="AK345" t="str">
        <f t="shared" si="132"/>
        <v>Faltan 5,1 puntos base para subir a la siguiente categoría</v>
      </c>
      <c r="AL345" t="str">
        <f t="shared" si="133"/>
        <v>Margen de seguridad: 18,1 puntos</v>
      </c>
      <c r="AM345">
        <f t="shared" si="134"/>
        <v>0.28999999999999998</v>
      </c>
      <c r="AN345" t="str">
        <f t="shared" si="135"/>
        <v>PRIORIDAD BAJA – control normal</v>
      </c>
      <c r="AO345">
        <f t="shared" si="136"/>
        <v>9.8961522652295741</v>
      </c>
      <c r="AP345">
        <f t="shared" si="137"/>
        <v>0.65057131055175255</v>
      </c>
      <c r="AQ345">
        <f t="shared" si="138"/>
        <v>0</v>
      </c>
      <c r="AR345">
        <f t="shared" si="139"/>
        <v>8</v>
      </c>
      <c r="AS345">
        <f t="shared" si="140"/>
        <v>0</v>
      </c>
      <c r="AT345" t="str">
        <f t="shared" si="141"/>
        <v>VENTAS</v>
      </c>
      <c r="AU345">
        <f t="shared" si="142"/>
        <v>9.8961522652295741</v>
      </c>
      <c r="AV345" t="str">
        <f t="shared" si="143"/>
        <v>Mayor retorno probable: VENTAS (+9,9 puntos finales potenciales).</v>
      </c>
    </row>
    <row r="346" spans="1:48" x14ac:dyDescent="0.3">
      <c r="A346" s="5">
        <v>51031521</v>
      </c>
      <c r="B346" s="5" t="str">
        <f>IFERROR(VLOOKUP(A346,VENTAS!$A$2:$B$1194,2,0),"")</f>
        <v>NELLI</v>
      </c>
      <c r="C346" s="5">
        <f>IFERROR(INDEX(VENTAS!$C$2:$E$1194,MATCH(A346,VENTAS!$A$2:$A$1194,0),MATCH(PARAMS_MODELO!$B$2,{"Q1","Q2","Q3"},0)),0)</f>
        <v>110383560.59999999</v>
      </c>
      <c r="D346" s="5">
        <f>IFERROR(INDEX(VENTAS!$F$2:$H$1194,MATCH(A346,VENTAS!$A$2:$A$1194,0),MATCH(PARAMS_MODELO!$B$2,{"Q1","Q2","Q3"},0)),0)</f>
        <v>98492005</v>
      </c>
      <c r="E346" s="8">
        <f t="shared" si="120"/>
        <v>-0.10772940767051131</v>
      </c>
      <c r="F346" s="12">
        <f>IF(E346&lt;=PARAMS_MODELO!$B$15,0,IF(E346&gt;=PARAMS_MODELO!$B$17,100,100*MIN(1,(E346-PARAMS_MODELO!$B$15)/(PARAMS_MODELO!$B$16-PARAMS_MODELO!$B$15))))*PARAMS_MODELO!$B$7</f>
        <v>0</v>
      </c>
      <c r="G346" s="5">
        <f t="shared" si="121"/>
        <v>0</v>
      </c>
      <c r="H346" s="5">
        <f>(PARAMS_MODELO!$B$20*(MAX(0,MIN(3,E346))/3)+PARAMS_MODELO!$B$21*(IFERROR(LN(1+MAX(0,G346))/LN(1+MAX(0,MAX($G$2:$G$1194))),0)))*100*PARAMS_MODELO!$B$8</f>
        <v>0</v>
      </c>
      <c r="I346" s="8">
        <f>E346-PARAMS_MODELO!$B$5</f>
        <v>-0.28529224304603784</v>
      </c>
      <c r="J346" s="5">
        <f>IF(I346&lt;=PARAMS_MODELO!$B$18,0,IF(I346&gt;=PARAMS_MODELO!$B$19,100,100*(I346-PARAMS_MODELO!$B$18)/(PARAMS_MODELO!$B$19-PARAMS_MODELO!$B$18)))*PARAMS_MODELO!$B$9</f>
        <v>0</v>
      </c>
      <c r="K346" s="5">
        <f>IFERROR(CHOOSE(MATCH(PARAMS_MODELO!$B$2,{"Q1","Q2","Q3"},0),LOTO!$D346,LOTO!$F346,LOTO!$H346),0)</f>
        <v>4717500</v>
      </c>
      <c r="L346" s="8">
        <f t="shared" si="122"/>
        <v>4.7897288719018362E-2</v>
      </c>
      <c r="M346" s="5">
        <f>MIN(100,IF(PARAMS_MODELO!$B$23=0,0,100*L346/PARAMS_MODELO!$B$23))*PARAMS_MODELO!$B$10</f>
        <v>14.369186615705509</v>
      </c>
      <c r="N346" s="5">
        <f>IFERROR(VLOOKUP(A346,COMPLIANCE!$A$2:$F$1996,6,0),100)</f>
        <v>100</v>
      </c>
      <c r="O346" s="5">
        <f>N346*PARAMS_MODELO!$B$11</f>
        <v>10</v>
      </c>
      <c r="P346" s="5">
        <f>IFERROR(VLOOKUP(A346,DIGITAL!$A$2:$J$2000,7,0),100)</f>
        <v>49</v>
      </c>
      <c r="Q346" s="5">
        <f>IFERROR(P346,0)*PARAMS_MODELO!$B$12</f>
        <v>4.9000000000000004</v>
      </c>
      <c r="R346">
        <f t="shared" si="123"/>
        <v>29.269186615705507</v>
      </c>
      <c r="S346" s="5" t="str">
        <f>IFERROR(VLOOKUP(A346,CLIENTE!$A$2:$N$2000,13,0),1)</f>
        <v>Regular</v>
      </c>
      <c r="T346" s="5">
        <f>IFERROR(VLOOKUP(A346,CLIENTE!$A$2:$N$2000,14,0),1)</f>
        <v>1</v>
      </c>
      <c r="U346" s="5">
        <f t="shared" si="124"/>
        <v>29.269186615705507</v>
      </c>
      <c r="V346" s="5" t="str">
        <f>IF(U346&gt;=MAX(_xlfn.PERCENTILE.INC($U$2:$U$1194,PARAMS_MODELO!$B$50),PARAMS_MODELO!$B$45),"DIAMANTE",IF(U346&gt;=MAX(_xlfn.PERCENTILE.INC($U$2:$U$1194,PARAMS_MODELO!$B$51),PARAMS_MODELO!$B$46),"PLATINO",IF(U346&gt;=MAX(_xlfn.PERCENTILE.INC($U$2:$U$1194,PARAMS_MODELO!$B$52),PARAMS_MODELO!$B$47),"ORO",IF(U346&gt;=MAX(_xlfn.PERCENTILE.INC($U$2:$U$1194,PARAMS_MODELO!$B$53),PARAMS_MODELO!$B$48),"PLATA",IF(U346&gt;=1,"BRONCE","CERRADO")))))</f>
        <v>PLATA</v>
      </c>
      <c r="W346" s="5" t="str" cm="1">
        <f t="array" ref="W346">_xlfn.XLOOKUP(1, (HIST_SCORE!$B:$B=PARAMS_MODELO!$B$4) * (HIST_SCORE!$C:$C=A346), HIST_SCORE!$E:$E, "No encontrado")</f>
        <v>ORO</v>
      </c>
      <c r="X346" s="5" t="str">
        <f>_xlfn.LET(_xlpm.act,MATCH(V346,{"DIAMANTE";"PLATINO";"ORO";"PLATA";"BRONCE";"CERRADO"},0),_xlpm.ant,MATCH(W346,{"DIAMANTE";"PLATINO";"ORO";"PLATA";"BRONCE";"CERRADO"},0),IF(_xlpm.act&lt;_xlpm.ant,"Mejora ↑",IF(_xlpm.act&gt;_xlpm.ant,"Baja ↓","Estable →")))</f>
        <v>Baja ↓</v>
      </c>
      <c r="Y346" s="5">
        <f>IFERROR(U346-SUMIFS(HIST_SCORE!$D:$D,HIST_SCORE!$B:$B,PARAMS_MODELO!$B$4,HIST_SCORE!$C:$C,$A346),"")</f>
        <v>-50.908470450005851</v>
      </c>
      <c r="Z346" s="5" t="str">
        <f t="shared" si="125"/>
        <v>↓ Baja</v>
      </c>
      <c r="AA346" s="5">
        <f t="shared" si="126"/>
        <v>876</v>
      </c>
      <c r="AB346" s="5">
        <f>IFERROR(SUMIFS(HIST_SCORE!$F:$F,HIST_SCORE!$B:$B,PARAMS_MODELO!$B$4,HIST_SCORE!$C:$C,$A346),"")</f>
        <v>416</v>
      </c>
      <c r="AC346" s="5">
        <f t="shared" si="127"/>
        <v>-460</v>
      </c>
      <c r="AD346" t="str">
        <f t="shared" si="129"/>
        <v/>
      </c>
      <c r="AE3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346="CERRADO",1,IF(V346="BRONCE",_xlpm.cPl,IF(V346="PLATA",_xlpm.cO,IF(V346="ORO",_xlpm.cP,IF(V346="PLATINO",_xlpm.cD,999))))))</f>
        <v>63.199193273331495</v>
      </c>
      <c r="AF3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346="CERRADO",0,IF(V346="BRONCE",1,IF(V346="PLATA",_xlpm.cPl,IF(V346="ORO",_xlpm.cO,IF(V346="PLATINO",_xlpm.cP,_xlpm.cD))))))</f>
        <v>24.506573482968111</v>
      </c>
      <c r="AG346">
        <f t="shared" si="130"/>
        <v>33.930006657625988</v>
      </c>
      <c r="AH346" t="str">
        <f t="shared" si="131"/>
        <v>VENTAS</v>
      </c>
      <c r="AI346" t="str">
        <f t="shared" si="128"/>
        <v>🎯 Para subir de categoría, eje VENTAS / CRECIMIENTO PERSONAL (F). Acción: metas semanales + activación comercial + seguimiento del asesor. ΔR aprox: 33,9</v>
      </c>
      <c r="AJ346" s="26">
        <f>_xlfn.LET(_xlpm.piso,AF346,_xlpm.corte,AE346,_xlpm.prog,IF(_xlpm.corte&lt;=_xlpm.piso,0,MAX(0,MIN(1,(U346-_xlpm.piso)/(_xlpm.corte-_xlpm.piso)))),_xlpm.orden,{"DIAMANTE";"PLATINO";"ORO";"PLATA";"BRONCE";"CERRADO"},_xlpm.act,IFERROR(MATCH(V346,_xlpm.orden,0),6),_xlpm.ant,IFERROR(MATCH(W346,_xlpm.orden,0),6),_xlpm.ajmov,IF(_xlpm.act&lt;_xlpm.ant,0.08,IF(_xlpm.act&gt;_xlpm.ant,-0.08,0)),_xlpm.ajcli,IF(T346&lt;0.95,-0.06,0),_xlpm.prob,MAX(0,MIN(1,_xlpm.prog+_xlpm.ajmov+_xlpm.ajcli)),IF(OR(V346="DIAMANTE",V346="CERRADO"),0,ROUND(_xlpm.prob,2)))</f>
        <v>0.04</v>
      </c>
      <c r="AK346" t="str">
        <f t="shared" si="132"/>
        <v>Faltan 33,9 puntos base para subir a la siguiente categoría</v>
      </c>
      <c r="AL346" t="str">
        <f t="shared" si="133"/>
        <v>Margen de seguridad: 4,8 puntos</v>
      </c>
      <c r="AM346">
        <f t="shared" si="134"/>
        <v>0.78</v>
      </c>
      <c r="AN346" t="str">
        <f t="shared" si="135"/>
        <v>PRIORIDAD ALTA – requiere intervención inmediata</v>
      </c>
      <c r="AO346">
        <f t="shared" si="136"/>
        <v>64.862569275295584</v>
      </c>
      <c r="AP346">
        <f t="shared" si="137"/>
        <v>0.63081338429449119</v>
      </c>
      <c r="AQ346">
        <f t="shared" si="138"/>
        <v>0</v>
      </c>
      <c r="AR346">
        <f t="shared" si="139"/>
        <v>5.0999999999999996</v>
      </c>
      <c r="AS346">
        <f t="shared" si="140"/>
        <v>0</v>
      </c>
      <c r="AT346" t="str">
        <f t="shared" si="141"/>
        <v>VENTAS</v>
      </c>
      <c r="AU346">
        <f t="shared" si="142"/>
        <v>64.862569275295584</v>
      </c>
      <c r="AV346" t="str">
        <f t="shared" si="143"/>
        <v>Mayor retorno probable: VENTAS (+64,9 puntos finales potenciales).</v>
      </c>
    </row>
    <row r="347" spans="1:48" x14ac:dyDescent="0.3">
      <c r="A347" s="5">
        <v>51033477</v>
      </c>
      <c r="B347" s="5" t="str">
        <f>IFERROR(VLOOKUP(A347,VENTAS!$A$2:$B$1194,2,0),"")</f>
        <v>METTLER</v>
      </c>
      <c r="C347" s="5">
        <f>IFERROR(INDEX(VENTAS!$C$2:$E$1194,MATCH(A347,VENTAS!$A$2:$A$1194,0),MATCH(PARAMS_MODELO!$B$2,{"Q1","Q2","Q3"},0)),0)</f>
        <v>109597566.42</v>
      </c>
      <c r="D347" s="5">
        <f>IFERROR(INDEX(VENTAS!$F$2:$H$1194,MATCH(A347,VENTAS!$A$2:$A$1194,0),MATCH(PARAMS_MODELO!$B$2,{"Q1","Q2","Q3"},0)),0)</f>
        <v>98321394</v>
      </c>
      <c r="E347" s="8">
        <f t="shared" si="120"/>
        <v>-0.10288706937878012</v>
      </c>
      <c r="F347" s="12">
        <f>IF(E347&lt;=PARAMS_MODELO!$B$15,0,IF(E347&gt;=PARAMS_MODELO!$B$17,100,100*MIN(1,(E347-PARAMS_MODELO!$B$15)/(PARAMS_MODELO!$B$16-PARAMS_MODELO!$B$15))))*PARAMS_MODELO!$B$7</f>
        <v>0</v>
      </c>
      <c r="G347" s="5">
        <f t="shared" si="121"/>
        <v>0</v>
      </c>
      <c r="H347" s="5">
        <f>(PARAMS_MODELO!$B$20*(MAX(0,MIN(3,E347))/3)+PARAMS_MODELO!$B$21*(IFERROR(LN(1+MAX(0,G347))/LN(1+MAX(0,MAX($G$2:$G$1194))),0)))*100*PARAMS_MODELO!$B$8</f>
        <v>0</v>
      </c>
      <c r="I347" s="8">
        <f>E347-PARAMS_MODELO!$B$5</f>
        <v>-0.28044990475430664</v>
      </c>
      <c r="J347" s="5">
        <f>IF(I347&lt;=PARAMS_MODELO!$B$18,0,IF(I347&gt;=PARAMS_MODELO!$B$19,100,100*(I347-PARAMS_MODELO!$B$18)/(PARAMS_MODELO!$B$19-PARAMS_MODELO!$B$18)))*PARAMS_MODELO!$B$9</f>
        <v>0</v>
      </c>
      <c r="K347" s="5">
        <f>IFERROR(CHOOSE(MATCH(PARAMS_MODELO!$B$2,{"Q1","Q2","Q3"},0),LOTO!$D347,LOTO!$F347,LOTO!$H347),0)</f>
        <v>4715000</v>
      </c>
      <c r="L347" s="8">
        <f t="shared" si="122"/>
        <v>4.795497508914489E-2</v>
      </c>
      <c r="M347" s="5">
        <f>MIN(100,IF(PARAMS_MODELO!$B$23=0,0,100*L347/PARAMS_MODELO!$B$23))*PARAMS_MODELO!$B$10</f>
        <v>14.386492526743465</v>
      </c>
      <c r="N347" s="5">
        <f>IFERROR(VLOOKUP(A347,COMPLIANCE!$A$2:$F$1996,6,0),100)</f>
        <v>100</v>
      </c>
      <c r="O347" s="5">
        <f>N347*PARAMS_MODELO!$B$11</f>
        <v>10</v>
      </c>
      <c r="P347" s="5">
        <f>IFERROR(VLOOKUP(A347,DIGITAL!$A$2:$J$2000,7,0),100)</f>
        <v>70</v>
      </c>
      <c r="Q347" s="5">
        <f>IFERROR(P347,0)*PARAMS_MODELO!$B$12</f>
        <v>7</v>
      </c>
      <c r="R347">
        <f t="shared" si="123"/>
        <v>31.386492526743467</v>
      </c>
      <c r="S347" s="5" t="str">
        <f>IFERROR(VLOOKUP(A347,CLIENTE!$A$2:$N$2000,13,0),1)</f>
        <v>Malo</v>
      </c>
      <c r="T347" s="5">
        <f>IFERROR(VLOOKUP(A347,CLIENTE!$A$2:$N$2000,14,0),1)</f>
        <v>0.7</v>
      </c>
      <c r="U347" s="5">
        <f t="shared" si="124"/>
        <v>21.970544768720426</v>
      </c>
      <c r="V347" s="5" t="str">
        <f>IF(U347&gt;=MAX(_xlfn.PERCENTILE.INC($U$2:$U$1194,PARAMS_MODELO!$B$50),PARAMS_MODELO!$B$45),"DIAMANTE",IF(U347&gt;=MAX(_xlfn.PERCENTILE.INC($U$2:$U$1194,PARAMS_MODELO!$B$51),PARAMS_MODELO!$B$46),"PLATINO",IF(U347&gt;=MAX(_xlfn.PERCENTILE.INC($U$2:$U$1194,PARAMS_MODELO!$B$52),PARAMS_MODELO!$B$47),"ORO",IF(U347&gt;=MAX(_xlfn.PERCENTILE.INC($U$2:$U$1194,PARAMS_MODELO!$B$53),PARAMS_MODELO!$B$48),"PLATA",IF(U347&gt;=1,"BRONCE","CERRADO")))))</f>
        <v>BRONCE</v>
      </c>
      <c r="W347" s="5" t="str" cm="1">
        <f t="array" ref="W347">_xlfn.XLOOKUP(1, (HIST_SCORE!$B:$B=PARAMS_MODELO!$B$4) * (HIST_SCORE!$C:$C=A347), HIST_SCORE!$E:$E, "No encontrado")</f>
        <v>PLATA</v>
      </c>
      <c r="X347" s="5" t="str">
        <f>_xlfn.LET(_xlpm.act,MATCH(V347,{"DIAMANTE";"PLATINO";"ORO";"PLATA";"BRONCE";"CERRADO"},0),_xlpm.ant,MATCH(W347,{"DIAMANTE";"PLATINO";"ORO";"PLATA";"BRONCE";"CERRADO"},0),IF(_xlpm.act&lt;_xlpm.ant,"Mejora ↑",IF(_xlpm.act&gt;_xlpm.ant,"Baja ↓","Estable →")))</f>
        <v>Baja ↓</v>
      </c>
      <c r="Y347" s="5">
        <f>IFERROR(U347-SUMIFS(HIST_SCORE!$D:$D,HIST_SCORE!$B:$B,PARAMS_MODELO!$B$4,HIST_SCORE!$C:$C,$A347),"")</f>
        <v>-24.243177696732115</v>
      </c>
      <c r="Z347" s="5" t="str">
        <f t="shared" si="125"/>
        <v>↓ Baja</v>
      </c>
      <c r="AA347" s="5">
        <f t="shared" si="126"/>
        <v>949</v>
      </c>
      <c r="AB347" s="5">
        <f>IFERROR(SUMIFS(HIST_SCORE!$F:$F,HIST_SCORE!$B:$B,PARAMS_MODELO!$B$4,HIST_SCORE!$C:$C,$A347),"")</f>
        <v>815</v>
      </c>
      <c r="AC347" s="5">
        <f t="shared" si="127"/>
        <v>-134</v>
      </c>
      <c r="AD347" t="str">
        <f t="shared" si="129"/>
        <v>Plan de recuperación: foco crecimiento + mix</v>
      </c>
      <c r="AE3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347="CERRADO",1,IF(V347="BRONCE",_xlpm.cPl,IF(V347="PLATA",_xlpm.cO,IF(V347="ORO",_xlpm.cP,IF(V347="PLATINO",_xlpm.cD,999))))))</f>
        <v>24.506573482968111</v>
      </c>
      <c r="AF3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347="CERRADO",0,IF(V347="BRONCE",1,IF(V347="PLATA",_xlpm.cPl,IF(V347="ORO",_xlpm.cO,IF(V347="PLATINO",_xlpm.cP,_xlpm.cD))))))</f>
        <v>1</v>
      </c>
      <c r="AG347">
        <f t="shared" si="130"/>
        <v>3.6228981632109765</v>
      </c>
      <c r="AH347" t="str">
        <f t="shared" si="131"/>
        <v>CLIENTE</v>
      </c>
      <c r="AI347" t="str">
        <f t="shared" si="128"/>
        <v>🎯 Para subir de categoría, la eje con mayor impacto probable es CLIENTE (coef T). Acción: reducir quejas, mejorar incógnito y empujar reseñas. ΔR aprox: 3,6</v>
      </c>
      <c r="AJ347" s="26">
        <f>_xlfn.LET(_xlpm.piso,AF347,_xlpm.corte,AE347,_xlpm.prog,IF(_xlpm.corte&lt;=_xlpm.piso,0,MAX(0,MIN(1,(U347-_xlpm.piso)/(_xlpm.corte-_xlpm.piso)))),_xlpm.orden,{"DIAMANTE";"PLATINO";"ORO";"PLATA";"BRONCE";"CERRADO"},_xlpm.act,IFERROR(MATCH(V347,_xlpm.orden,0),6),_xlpm.ant,IFERROR(MATCH(W347,_xlpm.orden,0),6),_xlpm.ajmov,IF(_xlpm.act&lt;_xlpm.ant,0.08,IF(_xlpm.act&gt;_xlpm.ant,-0.08,0)),_xlpm.ajcli,IF(T347&lt;0.95,-0.06,0),_xlpm.prob,MAX(0,MIN(1,_xlpm.prog+_xlpm.ajmov+_xlpm.ajcli)),IF(OR(V347="DIAMANTE",V347="CERRADO"),0,ROUND(_xlpm.prob,2)))</f>
        <v>0.75</v>
      </c>
      <c r="AK347" t="str">
        <f t="shared" si="132"/>
        <v>Faltan 3,6 puntos base para subir a la siguiente categoría</v>
      </c>
      <c r="AL347" t="str">
        <f t="shared" si="133"/>
        <v>No aplica</v>
      </c>
      <c r="AM347">
        <f t="shared" si="134"/>
        <v>0.44</v>
      </c>
      <c r="AN347" t="str">
        <f t="shared" si="135"/>
        <v>PRIORIDAD MEDIA – seguimiento del asesor</v>
      </c>
      <c r="AO347">
        <f t="shared" si="136"/>
        <v>45.403798492706905</v>
      </c>
      <c r="AP347">
        <f t="shared" si="137"/>
        <v>0.42945523127957425</v>
      </c>
      <c r="AQ347">
        <f t="shared" si="138"/>
        <v>0</v>
      </c>
      <c r="AR347">
        <f t="shared" si="139"/>
        <v>2.0999999999999996</v>
      </c>
      <c r="AS347">
        <f t="shared" si="140"/>
        <v>9.4159477580230408</v>
      </c>
      <c r="AT347" t="str">
        <f t="shared" si="141"/>
        <v>VENTAS</v>
      </c>
      <c r="AU347">
        <f t="shared" si="142"/>
        <v>45.403798492706905</v>
      </c>
      <c r="AV347" t="str">
        <f t="shared" si="143"/>
        <v>Mayor retorno probable: VENTAS (+45,4 puntos finales potenciales).</v>
      </c>
    </row>
    <row r="348" spans="1:48" x14ac:dyDescent="0.3">
      <c r="A348" s="5">
        <v>51020651</v>
      </c>
      <c r="B348" s="5" t="str">
        <f>IFERROR(VLOOKUP(A348,VENTAS!$A$2:$B$1194,2,0),"")</f>
        <v>BELUZZO</v>
      </c>
      <c r="C348" s="5">
        <f>IFERROR(INDEX(VENTAS!$C$2:$E$1194,MATCH(A348,VENTAS!$A$2:$A$1194,0),MATCH(PARAMS_MODELO!$B$2,{"Q1","Q2","Q3"},0)),0)</f>
        <v>89289267.420000002</v>
      </c>
      <c r="D348" s="5">
        <f>IFERROR(INDEX(VENTAS!$F$2:$H$1194,MATCH(A348,VENTAS!$A$2:$A$1194,0),MATCH(PARAMS_MODELO!$B$2,{"Q1","Q2","Q3"},0)),0)</f>
        <v>98245476</v>
      </c>
      <c r="E348" s="8">
        <f t="shared" si="120"/>
        <v>0.10030554442642781</v>
      </c>
      <c r="F348" s="12">
        <f>IF(E348&lt;=PARAMS_MODELO!$B$15,0,IF(E348&gt;=PARAMS_MODELO!$B$17,100,100*MIN(1,(E348-PARAMS_MODELO!$B$15)/(PARAMS_MODELO!$B$16-PARAMS_MODELO!$B$15))))*PARAMS_MODELO!$B$7</f>
        <v>35</v>
      </c>
      <c r="G348" s="5">
        <f t="shared" si="121"/>
        <v>8956208.5799999982</v>
      </c>
      <c r="H348" s="5">
        <f>(PARAMS_MODELO!$B$20*(MAX(0,MIN(3,E348))/3)+PARAMS_MODELO!$B$21*(IFERROR(LN(1+MAX(0,G348))/LN(1+MAX(0,MAX($G$2:$G$1194))),0)))*100*PARAMS_MODELO!$B$8</f>
        <v>4.1035347212078293</v>
      </c>
      <c r="I348" s="8">
        <f>E348-PARAMS_MODELO!$B$5</f>
        <v>-7.7257290949098723E-2</v>
      </c>
      <c r="J348" s="5">
        <f>IF(I348&lt;=PARAMS_MODELO!$B$18,0,IF(I348&gt;=PARAMS_MODELO!$B$19,100,100*(I348-PARAMS_MODELO!$B$18)/(PARAMS_MODELO!$B$19-PARAMS_MODELO!$B$18)))*PARAMS_MODELO!$B$9</f>
        <v>0</v>
      </c>
      <c r="K348" s="5">
        <f>IFERROR(CHOOSE(MATCH(PARAMS_MODELO!$B$2,{"Q1","Q2","Q3"},0),LOTO!$D348,LOTO!$F348,LOTO!$H348),0)</f>
        <v>4707500</v>
      </c>
      <c r="L348" s="8">
        <f t="shared" si="122"/>
        <v>4.7915692321547715E-2</v>
      </c>
      <c r="M348" s="5">
        <f>MIN(100,IF(PARAMS_MODELO!$B$23=0,0,100*L348/PARAMS_MODELO!$B$23))*PARAMS_MODELO!$B$10</f>
        <v>14.374707696464315</v>
      </c>
      <c r="N348" s="5">
        <f>IFERROR(VLOOKUP(A348,COMPLIANCE!$A$2:$F$1996,6,0),100)</f>
        <v>100</v>
      </c>
      <c r="O348" s="5">
        <f>N348*PARAMS_MODELO!$B$11</f>
        <v>10</v>
      </c>
      <c r="P348" s="5">
        <f>IFERROR(VLOOKUP(A348,DIGITAL!$A$2:$J$2000,7,0),100)</f>
        <v>100</v>
      </c>
      <c r="Q348" s="5">
        <f>IFERROR(P348,0)*PARAMS_MODELO!$B$12</f>
        <v>10</v>
      </c>
      <c r="R348">
        <f t="shared" si="123"/>
        <v>73.478242417672135</v>
      </c>
      <c r="S348" s="5" t="str">
        <f>IFERROR(VLOOKUP(A348,CLIENTE!$A$2:$N$2000,13,0),1)</f>
        <v>Regular</v>
      </c>
      <c r="T348" s="5">
        <f>IFERROR(VLOOKUP(A348,CLIENTE!$A$2:$N$2000,14,0),1)</f>
        <v>1</v>
      </c>
      <c r="U348" s="5">
        <f t="shared" si="124"/>
        <v>73.478242417672135</v>
      </c>
      <c r="V348" s="5" t="str">
        <f>IF(U348&gt;=MAX(_xlfn.PERCENTILE.INC($U$2:$U$1194,PARAMS_MODELO!$B$50),PARAMS_MODELO!$B$45),"DIAMANTE",IF(U348&gt;=MAX(_xlfn.PERCENTILE.INC($U$2:$U$1194,PARAMS_MODELO!$B$51),PARAMS_MODELO!$B$46),"PLATINO",IF(U348&gt;=MAX(_xlfn.PERCENTILE.INC($U$2:$U$1194,PARAMS_MODELO!$B$52),PARAMS_MODELO!$B$47),"ORO",IF(U348&gt;=MAX(_xlfn.PERCENTILE.INC($U$2:$U$1194,PARAMS_MODELO!$B$53),PARAMS_MODELO!$B$48),"PLATA",IF(U348&gt;=1,"BRONCE","CERRADO")))))</f>
        <v>ORO</v>
      </c>
      <c r="W348" s="5" t="str" cm="1">
        <f t="array" ref="W348">_xlfn.XLOOKUP(1, (HIST_SCORE!$B:$B=PARAMS_MODELO!$B$4) * (HIST_SCORE!$C:$C=A348), HIST_SCORE!$E:$E, "No encontrado")</f>
        <v>PLATINO</v>
      </c>
      <c r="X348" s="5" t="str">
        <f>_xlfn.LET(_xlpm.act,MATCH(V348,{"DIAMANTE";"PLATINO";"ORO";"PLATA";"BRONCE";"CERRADO"},0),_xlpm.ant,MATCH(W348,{"DIAMANTE";"PLATINO";"ORO";"PLATA";"BRONCE";"CERRADO"},0),IF(_xlpm.act&lt;_xlpm.ant,"Mejora ↑",IF(_xlpm.act&gt;_xlpm.ant,"Baja ↓","Estable →")))</f>
        <v>Baja ↓</v>
      </c>
      <c r="Y348" s="5">
        <f>IFERROR(U348-SUMIFS(HIST_SCORE!$D:$D,HIST_SCORE!$B:$B,PARAMS_MODELO!$B$4,HIST_SCORE!$C:$C,$A348),"")</f>
        <v>-16.622755907486606</v>
      </c>
      <c r="Z348" s="5" t="str">
        <f t="shared" si="125"/>
        <v>↓ Baja</v>
      </c>
      <c r="AA348" s="5">
        <f t="shared" si="126"/>
        <v>486</v>
      </c>
      <c r="AB348" s="5">
        <f>IFERROR(SUMIFS(HIST_SCORE!$F:$F,HIST_SCORE!$B:$B,PARAMS_MODELO!$B$4,HIST_SCORE!$C:$C,$A348),"")</f>
        <v>127</v>
      </c>
      <c r="AC348" s="5">
        <f t="shared" si="127"/>
        <v>-359</v>
      </c>
      <c r="AD348" t="str">
        <f t="shared" si="129"/>
        <v>Sostener base y reforzar mix</v>
      </c>
      <c r="AE3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348="CERRADO",1,IF(V348="BRONCE",_xlpm.cPl,IF(V348="PLATA",_xlpm.cO,IF(V348="ORO",_xlpm.cP,IF(V348="PLATINO",_xlpm.cD,999))))))</f>
        <v>86.439123873763251</v>
      </c>
      <c r="AF3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348="CERRADO",0,IF(V348="BRONCE",1,IF(V348="PLATA",_xlpm.cPl,IF(V348="ORO",_xlpm.cO,IF(V348="PLATINO",_xlpm.cP,_xlpm.cD))))))</f>
        <v>63.199193273331495</v>
      </c>
      <c r="AG348">
        <f t="shared" si="130"/>
        <v>12.960881456091116</v>
      </c>
      <c r="AH348" t="str">
        <f t="shared" si="131"/>
        <v>VENTAS</v>
      </c>
      <c r="AI348" t="str">
        <f t="shared" si="128"/>
        <v>🎯 Para subir de categoría, eje VENTAS / DIFERENCIAL vs LOTBA (J). Acción: metas semanales + activación comercial + seguimiento del asesor. ΔR aprox: 13,0</v>
      </c>
      <c r="AJ348" s="26">
        <f>_xlfn.LET(_xlpm.piso,AF348,_xlpm.corte,AE348,_xlpm.prog,IF(_xlpm.corte&lt;=_xlpm.piso,0,MAX(0,MIN(1,(U348-_xlpm.piso)/(_xlpm.corte-_xlpm.piso)))),_xlpm.orden,{"DIAMANTE";"PLATINO";"ORO";"PLATA";"BRONCE";"CERRADO"},_xlpm.act,IFERROR(MATCH(V348,_xlpm.orden,0),6),_xlpm.ant,IFERROR(MATCH(W348,_xlpm.orden,0),6),_xlpm.ajmov,IF(_xlpm.act&lt;_xlpm.ant,0.08,IF(_xlpm.act&gt;_xlpm.ant,-0.08,0)),_xlpm.ajcli,IF(T348&lt;0.95,-0.06,0),_xlpm.prob,MAX(0,MIN(1,_xlpm.prog+_xlpm.ajmov+_xlpm.ajcli)),IF(OR(V348="DIAMANTE",V348="CERRADO"),0,ROUND(_xlpm.prob,2)))</f>
        <v>0.36</v>
      </c>
      <c r="AK348" t="str">
        <f t="shared" si="132"/>
        <v>Faltan 13,0 puntos base para subir a la siguiente categoría</v>
      </c>
      <c r="AL348" t="str">
        <f t="shared" si="133"/>
        <v>Margen de seguridad: 10,3 puntos</v>
      </c>
      <c r="AM348">
        <f t="shared" si="134"/>
        <v>0.66</v>
      </c>
      <c r="AN348" t="str">
        <f t="shared" si="135"/>
        <v>PRIORIDAD MEDIA – seguimiento del asesor</v>
      </c>
      <c r="AO348">
        <f t="shared" si="136"/>
        <v>25.759034554087755</v>
      </c>
      <c r="AP348">
        <f t="shared" si="137"/>
        <v>0.62529230353568543</v>
      </c>
      <c r="AQ348">
        <f t="shared" si="138"/>
        <v>0</v>
      </c>
      <c r="AR348">
        <f t="shared" si="139"/>
        <v>0</v>
      </c>
      <c r="AS348">
        <f t="shared" si="140"/>
        <v>0</v>
      </c>
      <c r="AT348" t="str">
        <f t="shared" si="141"/>
        <v>VENTAS</v>
      </c>
      <c r="AU348">
        <f t="shared" si="142"/>
        <v>25.759034554087755</v>
      </c>
      <c r="AV348" t="str">
        <f t="shared" si="143"/>
        <v>Mayor retorno probable: VENTAS (+25,8 puntos finales potenciales).</v>
      </c>
    </row>
    <row r="349" spans="1:48" x14ac:dyDescent="0.3">
      <c r="A349" s="5">
        <v>51013409</v>
      </c>
      <c r="B349" s="5" t="str">
        <f>IFERROR(VLOOKUP(A349,VENTAS!$A$2:$B$1194,2,0),"")</f>
        <v>PRADES</v>
      </c>
      <c r="C349" s="5">
        <f>IFERROR(INDEX(VENTAS!$C$2:$E$1194,MATCH(A349,VENTAS!$A$2:$A$1194,0),MATCH(PARAMS_MODELO!$B$2,{"Q1","Q2","Q3"},0)),0)</f>
        <v>79344568.010000005</v>
      </c>
      <c r="D349" s="5">
        <f>IFERROR(INDEX(VENTAS!$F$2:$H$1194,MATCH(A349,VENTAS!$A$2:$A$1194,0),MATCH(PARAMS_MODELO!$B$2,{"Q1","Q2","Q3"},0)),0)</f>
        <v>98101492</v>
      </c>
      <c r="E349" s="8">
        <f t="shared" si="120"/>
        <v>0.23639833778710617</v>
      </c>
      <c r="F349" s="12">
        <f>IF(E349&lt;=PARAMS_MODELO!$B$15,0,IF(E349&gt;=PARAMS_MODELO!$B$17,100,100*MIN(1,(E349-PARAMS_MODELO!$B$15)/(PARAMS_MODELO!$B$16-PARAMS_MODELO!$B$15))))*PARAMS_MODELO!$B$7</f>
        <v>35</v>
      </c>
      <c r="G349" s="5">
        <f t="shared" si="121"/>
        <v>18756923.989999995</v>
      </c>
      <c r="H349" s="5">
        <f>(PARAMS_MODELO!$B$20*(MAX(0,MIN(3,E349))/3)+PARAMS_MODELO!$B$21*(IFERROR(LN(1+MAX(0,G349))/LN(1+MAX(0,MAX($G$2:$G$1194))),0)))*100*PARAMS_MODELO!$B$8</f>
        <v>4.7531420289980923</v>
      </c>
      <c r="I349" s="8">
        <f>E349-PARAMS_MODELO!$B$5</f>
        <v>5.8835502411579643E-2</v>
      </c>
      <c r="J349" s="5">
        <f>IF(I349&lt;=PARAMS_MODELO!$B$18,0,IF(I349&gt;=PARAMS_MODELO!$B$19,100,100*(I349-PARAMS_MODELO!$B$18)/(PARAMS_MODELO!$B$19-PARAMS_MODELO!$B$18)))*PARAMS_MODELO!$B$9</f>
        <v>15</v>
      </c>
      <c r="K349" s="5">
        <f>IFERROR(CHOOSE(MATCH(PARAMS_MODELO!$B$2,{"Q1","Q2","Q3"},0),LOTO!$D349,LOTO!$F349,LOTO!$H349),0)</f>
        <v>4702500</v>
      </c>
      <c r="L349" s="8">
        <f t="shared" si="122"/>
        <v>4.7935050773743583E-2</v>
      </c>
      <c r="M349" s="5">
        <f>MIN(100,IF(PARAMS_MODELO!$B$23=0,0,100*L349/PARAMS_MODELO!$B$23))*PARAMS_MODELO!$B$10</f>
        <v>14.380515232123072</v>
      </c>
      <c r="N349" s="5">
        <f>IFERROR(VLOOKUP(A349,COMPLIANCE!$A$2:$F$1996,6,0),100)</f>
        <v>100</v>
      </c>
      <c r="O349" s="5">
        <f>N349*PARAMS_MODELO!$B$11</f>
        <v>10</v>
      </c>
      <c r="P349" s="5">
        <f>IFERROR(VLOOKUP(A349,DIGITAL!$A$2:$J$2000,7,0),100)</f>
        <v>61</v>
      </c>
      <c r="Q349" s="5">
        <f>IFERROR(P349,0)*PARAMS_MODELO!$B$12</f>
        <v>6.1000000000000005</v>
      </c>
      <c r="R349">
        <f t="shared" si="123"/>
        <v>85.233657261121152</v>
      </c>
      <c r="S349" s="5" t="str">
        <f>IFERROR(VLOOKUP(A349,CLIENTE!$A$2:$N$2000,13,0),1)</f>
        <v>Malo</v>
      </c>
      <c r="T349" s="5">
        <f>IFERROR(VLOOKUP(A349,CLIENTE!$A$2:$N$2000,14,0),1)</f>
        <v>0.7</v>
      </c>
      <c r="U349" s="5">
        <f t="shared" si="124"/>
        <v>59.663560082784805</v>
      </c>
      <c r="V349" s="5" t="str">
        <f>IF(U349&gt;=MAX(_xlfn.PERCENTILE.INC($U$2:$U$1194,PARAMS_MODELO!$B$50),PARAMS_MODELO!$B$45),"DIAMANTE",IF(U349&gt;=MAX(_xlfn.PERCENTILE.INC($U$2:$U$1194,PARAMS_MODELO!$B$51),PARAMS_MODELO!$B$46),"PLATINO",IF(U349&gt;=MAX(_xlfn.PERCENTILE.INC($U$2:$U$1194,PARAMS_MODELO!$B$52),PARAMS_MODELO!$B$47),"ORO",IF(U349&gt;=MAX(_xlfn.PERCENTILE.INC($U$2:$U$1194,PARAMS_MODELO!$B$53),PARAMS_MODELO!$B$48),"PLATA",IF(U349&gt;=1,"BRONCE","CERRADO")))))</f>
        <v>PLATA</v>
      </c>
      <c r="W349" s="5" t="str" cm="1">
        <f t="array" ref="W349">_xlfn.XLOOKUP(1, (HIST_SCORE!$B:$B=PARAMS_MODELO!$B$4) * (HIST_SCORE!$C:$C=A349), HIST_SCORE!$E:$E, "No encontrado")</f>
        <v>PLATA</v>
      </c>
      <c r="X349" s="5" t="str">
        <f>_xlfn.LET(_xlpm.act,MATCH(V349,{"DIAMANTE";"PLATINO";"ORO";"PLATA";"BRONCE";"CERRADO"},0),_xlpm.ant,MATCH(W349,{"DIAMANTE";"PLATINO";"ORO";"PLATA";"BRONCE";"CERRADO"},0),IF(_xlpm.act&lt;_xlpm.ant,"Mejora ↑",IF(_xlpm.act&gt;_xlpm.ant,"Baja ↓","Estable →")))</f>
        <v>Estable →</v>
      </c>
      <c r="Y349" s="5">
        <f>IFERROR(U349-SUMIFS(HIST_SCORE!$D:$D,HIST_SCORE!$B:$B,PARAMS_MODELO!$B$4,HIST_SCORE!$C:$C,$A349),"")</f>
        <v>0.65706693434808017</v>
      </c>
      <c r="Z349" s="5" t="str">
        <f t="shared" si="125"/>
        <v>→ Estable</v>
      </c>
      <c r="AA349" s="5">
        <f t="shared" si="126"/>
        <v>626</v>
      </c>
      <c r="AB349" s="5">
        <f>IFERROR(SUMIFS(HIST_SCORE!$F:$F,HIST_SCORE!$B:$B,PARAMS_MODELO!$B$4,HIST_SCORE!$C:$C,$A349),"")</f>
        <v>663</v>
      </c>
      <c r="AC349" s="5">
        <f t="shared" si="127"/>
        <v>37</v>
      </c>
      <c r="AD349" t="str">
        <f t="shared" si="129"/>
        <v/>
      </c>
      <c r="AE3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349="CERRADO",1,IF(V349="BRONCE",_xlpm.cPl,IF(V349="PLATA",_xlpm.cO,IF(V349="ORO",_xlpm.cP,IF(V349="PLATINO",_xlpm.cD,999))))))</f>
        <v>63.199193273331495</v>
      </c>
      <c r="AF3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349="CERRADO",0,IF(V349="BRONCE",1,IF(V349="PLATA",_xlpm.cPl,IF(V349="ORO",_xlpm.cO,IF(V349="PLATINO",_xlpm.cP,_xlpm.cD))))))</f>
        <v>24.506573482968111</v>
      </c>
      <c r="AG349">
        <f t="shared" si="130"/>
        <v>5.0509045579238432</v>
      </c>
      <c r="AH349" t="str">
        <f t="shared" si="131"/>
        <v>CLIENTE</v>
      </c>
      <c r="AI349" t="str">
        <f t="shared" si="128"/>
        <v>🎯 Para subir de categoría, la eje con mayor impacto probable es CLIENTE (coef T). Acción: reducir quejas, mejorar incógnito y empujar reseñas. ΔR aprox: 5,1</v>
      </c>
      <c r="AJ349" s="26">
        <f>_xlfn.LET(_xlpm.piso,AF349,_xlpm.corte,AE349,_xlpm.prog,IF(_xlpm.corte&lt;=_xlpm.piso,0,MAX(0,MIN(1,(U349-_xlpm.piso)/(_xlpm.corte-_xlpm.piso)))),_xlpm.orden,{"DIAMANTE";"PLATINO";"ORO";"PLATA";"BRONCE";"CERRADO"},_xlpm.act,IFERROR(MATCH(V349,_xlpm.orden,0),6),_xlpm.ant,IFERROR(MATCH(W349,_xlpm.orden,0),6),_xlpm.ajmov,IF(_xlpm.act&lt;_xlpm.ant,0.08,IF(_xlpm.act&gt;_xlpm.ant,-0.08,0)),_xlpm.ajcli,IF(T349&lt;0.95,-0.06,0),_xlpm.prob,MAX(0,MIN(1,_xlpm.prog+_xlpm.ajmov+_xlpm.ajcli)),IF(OR(V349="DIAMANTE",V349="CERRADO"),0,ROUND(_xlpm.prob,2)))</f>
        <v>0.85</v>
      </c>
      <c r="AK349" t="str">
        <f t="shared" si="132"/>
        <v>Faltan 5,1 puntos base para subir a la siguiente categoría</v>
      </c>
      <c r="AL349" t="str">
        <f t="shared" si="133"/>
        <v>Margen de seguridad: 35,2 puntos</v>
      </c>
      <c r="AM349">
        <f t="shared" si="134"/>
        <v>0.46</v>
      </c>
      <c r="AN349" t="str">
        <f t="shared" si="135"/>
        <v>PRIORIDAD MEDIA – seguimiento del asesor</v>
      </c>
      <c r="AO349">
        <f t="shared" si="136"/>
        <v>7.0765990724082446</v>
      </c>
      <c r="AP349">
        <f t="shared" si="137"/>
        <v>0.4336393375138497</v>
      </c>
      <c r="AQ349">
        <f t="shared" si="138"/>
        <v>0</v>
      </c>
      <c r="AR349">
        <f t="shared" si="139"/>
        <v>2.7299999999999995</v>
      </c>
      <c r="AS349">
        <f t="shared" si="140"/>
        <v>25.570097178336351</v>
      </c>
      <c r="AT349" t="str">
        <f t="shared" si="141"/>
        <v>CLIENTE</v>
      </c>
      <c r="AU349">
        <f t="shared" si="142"/>
        <v>25.570097178336351</v>
      </c>
      <c r="AV349" t="str">
        <f t="shared" si="143"/>
        <v>Mayor retorno probable: CLIENTE (+25,6 puntos finales potenciales).</v>
      </c>
    </row>
    <row r="350" spans="1:48" x14ac:dyDescent="0.3">
      <c r="A350" s="5">
        <v>51030397</v>
      </c>
      <c r="B350" s="5" t="str">
        <f>IFERROR(VLOOKUP(A350,VENTAS!$A$2:$B$1194,2,0),"")</f>
        <v>PRADES</v>
      </c>
      <c r="C350" s="5">
        <f>IFERROR(INDEX(VENTAS!$C$2:$E$1194,MATCH(A350,VENTAS!$A$2:$A$1194,0),MATCH(PARAMS_MODELO!$B$2,{"Q1","Q2","Q3"},0)),0)</f>
        <v>47807016.259999998</v>
      </c>
      <c r="D350" s="5">
        <f>IFERROR(INDEX(VENTAS!$F$2:$H$1194,MATCH(A350,VENTAS!$A$2:$A$1194,0),MATCH(PARAMS_MODELO!$B$2,{"Q1","Q2","Q3"},0)),0)</f>
        <v>97990405</v>
      </c>
      <c r="E350" s="8">
        <f t="shared" si="120"/>
        <v>1.0497076091734323</v>
      </c>
      <c r="F350" s="12">
        <f>IF(E350&lt;=PARAMS_MODELO!$B$15,0,IF(E350&gt;=PARAMS_MODELO!$B$17,100,100*MIN(1,(E350-PARAMS_MODELO!$B$15)/(PARAMS_MODELO!$B$16-PARAMS_MODELO!$B$15))))*PARAMS_MODELO!$B$7</f>
        <v>35</v>
      </c>
      <c r="G350" s="5">
        <f t="shared" si="121"/>
        <v>50183388.740000002</v>
      </c>
      <c r="H350" s="5">
        <f>(PARAMS_MODELO!$B$20*(MAX(0,MIN(3,E350))/3)+PARAMS_MODELO!$B$21*(IFERROR(LN(1+MAX(0,G350))/LN(1+MAX(0,MAX($G$2:$G$1194))),0)))*100*PARAMS_MODELO!$B$8</f>
        <v>7.8304161974308188</v>
      </c>
      <c r="I350" s="8">
        <f>E350-PARAMS_MODELO!$B$5</f>
        <v>0.87214477379790578</v>
      </c>
      <c r="J350" s="5">
        <f>IF(I350&lt;=PARAMS_MODELO!$B$18,0,IF(I350&gt;=PARAMS_MODELO!$B$19,100,100*(I350-PARAMS_MODELO!$B$18)/(PARAMS_MODELO!$B$19-PARAMS_MODELO!$B$18)))*PARAMS_MODELO!$B$9</f>
        <v>15</v>
      </c>
      <c r="K350" s="5">
        <f>IFERROR(CHOOSE(MATCH(PARAMS_MODELO!$B$2,{"Q1","Q2","Q3"},0),LOTO!$D350,LOTO!$F350,LOTO!$H350),0)</f>
        <v>4692500</v>
      </c>
      <c r="L350" s="8">
        <f t="shared" si="122"/>
        <v>4.7887341622886444E-2</v>
      </c>
      <c r="M350" s="5">
        <f>MIN(100,IF(PARAMS_MODELO!$B$23=0,0,100*L350/PARAMS_MODELO!$B$23))*PARAMS_MODELO!$B$10</f>
        <v>14.366202486865934</v>
      </c>
      <c r="N350" s="5">
        <f>IFERROR(VLOOKUP(A350,COMPLIANCE!$A$2:$F$1996,6,0),100)</f>
        <v>100</v>
      </c>
      <c r="O350" s="5">
        <f>N350*PARAMS_MODELO!$B$11</f>
        <v>10</v>
      </c>
      <c r="P350" s="5">
        <f>IFERROR(VLOOKUP(A350,DIGITAL!$A$2:$J$2000,7,0),100)</f>
        <v>9</v>
      </c>
      <c r="Q350" s="5">
        <f>IFERROR(P350,0)*PARAMS_MODELO!$B$12</f>
        <v>0.9</v>
      </c>
      <c r="R350">
        <f t="shared" si="123"/>
        <v>83.096618684296757</v>
      </c>
      <c r="S350" s="5" t="str">
        <f>IFERROR(VLOOKUP(A350,CLIENTE!$A$2:$N$2000,13,0),1)</f>
        <v>Regular</v>
      </c>
      <c r="T350" s="5">
        <f>IFERROR(VLOOKUP(A350,CLIENTE!$A$2:$N$2000,14,0),1)</f>
        <v>1</v>
      </c>
      <c r="U350" s="5">
        <f t="shared" si="124"/>
        <v>83.096618684296757</v>
      </c>
      <c r="V350" s="5" t="str">
        <f>IF(U350&gt;=MAX(_xlfn.PERCENTILE.INC($U$2:$U$1194,PARAMS_MODELO!$B$50),PARAMS_MODELO!$B$45),"DIAMANTE",IF(U350&gt;=MAX(_xlfn.PERCENTILE.INC($U$2:$U$1194,PARAMS_MODELO!$B$51),PARAMS_MODELO!$B$46),"PLATINO",IF(U350&gt;=MAX(_xlfn.PERCENTILE.INC($U$2:$U$1194,PARAMS_MODELO!$B$52),PARAMS_MODELO!$B$47),"ORO",IF(U350&gt;=MAX(_xlfn.PERCENTILE.INC($U$2:$U$1194,PARAMS_MODELO!$B$53),PARAMS_MODELO!$B$48),"PLATA",IF(U350&gt;=1,"BRONCE","CERRADO")))))</f>
        <v>ORO</v>
      </c>
      <c r="W350" s="5" t="str" cm="1">
        <f t="array" ref="W350">_xlfn.XLOOKUP(1, (HIST_SCORE!$B:$B=PARAMS_MODELO!$B$4) * (HIST_SCORE!$C:$C=A350), HIST_SCORE!$E:$E, "No encontrado")</f>
        <v>ORO</v>
      </c>
      <c r="X350" s="5" t="str">
        <f>_xlfn.LET(_xlpm.act,MATCH(V350,{"DIAMANTE";"PLATINO";"ORO";"PLATA";"BRONCE";"CERRADO"},0),_xlpm.ant,MATCH(W350,{"DIAMANTE";"PLATINO";"ORO";"PLATA";"BRONCE";"CERRADO"},0),IF(_xlpm.act&lt;_xlpm.ant,"Mejora ↑",IF(_xlpm.act&gt;_xlpm.ant,"Baja ↓","Estable →")))</f>
        <v>Estable →</v>
      </c>
      <c r="Y350" s="5">
        <f>IFERROR(U350-SUMIFS(HIST_SCORE!$D:$D,HIST_SCORE!$B:$B,PARAMS_MODELO!$B$4,HIST_SCORE!$C:$C,$A350),"")</f>
        <v>1.3935576606073994</v>
      </c>
      <c r="Z350" s="5" t="str">
        <f t="shared" si="125"/>
        <v>→ Estable</v>
      </c>
      <c r="AA350" s="5">
        <f t="shared" si="126"/>
        <v>350</v>
      </c>
      <c r="AB350" s="5">
        <f>IFERROR(SUMIFS(HIST_SCORE!$F:$F,HIST_SCORE!$B:$B,PARAMS_MODELO!$B$4,HIST_SCORE!$C:$C,$A350),"")</f>
        <v>379</v>
      </c>
      <c r="AC350" s="5">
        <f t="shared" si="127"/>
        <v>29</v>
      </c>
      <c r="AD350" t="str">
        <f t="shared" si="129"/>
        <v/>
      </c>
      <c r="AE3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350="CERRADO",1,IF(V350="BRONCE",_xlpm.cPl,IF(V350="PLATA",_xlpm.cO,IF(V350="ORO",_xlpm.cP,IF(V350="PLATINO",_xlpm.cD,999))))))</f>
        <v>86.439123873763251</v>
      </c>
      <c r="AF3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350="CERRADO",0,IF(V350="BRONCE",1,IF(V350="PLATA",_xlpm.cPl,IF(V350="ORO",_xlpm.cO,IF(V350="PLATINO",_xlpm.cP,_xlpm.cD))))))</f>
        <v>63.199193273331495</v>
      </c>
      <c r="AG350">
        <f t="shared" si="130"/>
        <v>3.3425051894664932</v>
      </c>
      <c r="AH350" t="str">
        <f t="shared" si="131"/>
        <v>VENTAS</v>
      </c>
      <c r="AI350" t="str">
        <f t="shared" si="128"/>
        <v>🎯 Para subir de categoría, eje VENTAS / IMPACTO ABSOLUTO (H). Acción: metas semanales + activación comercial + seguimiento del asesor. ΔR aprox: 3,3</v>
      </c>
      <c r="AJ350" s="26">
        <f>_xlfn.LET(_xlpm.piso,AF350,_xlpm.corte,AE350,_xlpm.prog,IF(_xlpm.corte&lt;=_xlpm.piso,0,MAX(0,MIN(1,(U350-_xlpm.piso)/(_xlpm.corte-_xlpm.piso)))),_xlpm.orden,{"DIAMANTE";"PLATINO";"ORO";"PLATA";"BRONCE";"CERRADO"},_xlpm.act,IFERROR(MATCH(V350,_xlpm.orden,0),6),_xlpm.ant,IFERROR(MATCH(W350,_xlpm.orden,0),6),_xlpm.ajmov,IF(_xlpm.act&lt;_xlpm.ant,0.08,IF(_xlpm.act&gt;_xlpm.ant,-0.08,0)),_xlpm.ajcli,IF(T350&lt;0.95,-0.06,0),_xlpm.prob,MAX(0,MIN(1,_xlpm.prog+_xlpm.ajmov+_xlpm.ajcli)),IF(OR(V350="DIAMANTE",V350="CERRADO"),0,ROUND(_xlpm.prob,2)))</f>
        <v>0.86</v>
      </c>
      <c r="AK350" t="str">
        <f t="shared" si="132"/>
        <v>Faltan 3,3 puntos base para subir a la siguiente categoría</v>
      </c>
      <c r="AL350" t="str">
        <f t="shared" si="133"/>
        <v>Margen de seguridad: 19,9 puntos</v>
      </c>
      <c r="AM350">
        <f t="shared" si="134"/>
        <v>0.19</v>
      </c>
      <c r="AN350" t="str">
        <f t="shared" si="135"/>
        <v>PRIORIDAD BAJA – control normal</v>
      </c>
      <c r="AO350">
        <f t="shared" si="136"/>
        <v>7.0321530778647627</v>
      </c>
      <c r="AP350">
        <f t="shared" si="137"/>
        <v>0.63379751313406629</v>
      </c>
      <c r="AQ350">
        <f t="shared" si="138"/>
        <v>0</v>
      </c>
      <c r="AR350">
        <f t="shared" si="139"/>
        <v>9.1</v>
      </c>
      <c r="AS350">
        <f t="shared" si="140"/>
        <v>0</v>
      </c>
      <c r="AT350" t="str">
        <f t="shared" si="141"/>
        <v>DIGITAL</v>
      </c>
      <c r="AU350">
        <f t="shared" si="142"/>
        <v>9.1</v>
      </c>
      <c r="AV350" t="str">
        <f t="shared" si="143"/>
        <v>Mayor retorno probable: DIGITAL (+9,1 puntos finales potenciales).</v>
      </c>
    </row>
    <row r="351" spans="1:48" x14ac:dyDescent="0.3">
      <c r="A351" s="5">
        <v>51010353</v>
      </c>
      <c r="B351" s="5" t="str">
        <f>IFERROR(VLOOKUP(A351,VENTAS!$A$2:$B$1194,2,0),"")</f>
        <v>ROBERTS</v>
      </c>
      <c r="C351" s="5">
        <f>IFERROR(INDEX(VENTAS!$C$2:$E$1194,MATCH(A351,VENTAS!$A$2:$A$1194,0),MATCH(PARAMS_MODELO!$B$2,{"Q1","Q2","Q3"},0)),0)</f>
        <v>62777709.960000001</v>
      </c>
      <c r="D351" s="5">
        <f>IFERROR(INDEX(VENTAS!$F$2:$H$1194,MATCH(A351,VENTAS!$A$2:$A$1194,0),MATCH(PARAMS_MODELO!$B$2,{"Q1","Q2","Q3"},0)),0)</f>
        <v>97649737</v>
      </c>
      <c r="E351" s="8">
        <f t="shared" si="120"/>
        <v>0.55548421664663095</v>
      </c>
      <c r="F351" s="12">
        <f>IF(E351&lt;=PARAMS_MODELO!$B$15,0,IF(E351&gt;=PARAMS_MODELO!$B$17,100,100*MIN(1,(E351-PARAMS_MODELO!$B$15)/(PARAMS_MODELO!$B$16-PARAMS_MODELO!$B$15))))*PARAMS_MODELO!$B$7</f>
        <v>35</v>
      </c>
      <c r="G351" s="5">
        <f t="shared" si="121"/>
        <v>34872027.039999999</v>
      </c>
      <c r="H351" s="5">
        <f>(PARAMS_MODELO!$B$20*(MAX(0,MIN(3,E351))/3)+PARAMS_MODELO!$B$21*(IFERROR(LN(1+MAX(0,G351))/LN(1+MAX(0,MAX($G$2:$G$1194))),0)))*100*PARAMS_MODELO!$B$8</f>
        <v>6.0153078596060769</v>
      </c>
      <c r="I351" s="8">
        <f>E351-PARAMS_MODELO!$B$5</f>
        <v>0.37792138127110442</v>
      </c>
      <c r="J351" s="5">
        <f>IF(I351&lt;=PARAMS_MODELO!$B$18,0,IF(I351&gt;=PARAMS_MODELO!$B$19,100,100*(I351-PARAMS_MODELO!$B$18)/(PARAMS_MODELO!$B$19-PARAMS_MODELO!$B$18)))*PARAMS_MODELO!$B$9</f>
        <v>15</v>
      </c>
      <c r="K351" s="5">
        <f>IFERROR(CHOOSE(MATCH(PARAMS_MODELO!$B$2,{"Q1","Q2","Q3"},0),LOTO!$D351,LOTO!$F351,LOTO!$H351),0)</f>
        <v>4692500</v>
      </c>
      <c r="L351" s="8">
        <f t="shared" si="122"/>
        <v>4.8054404898192404E-2</v>
      </c>
      <c r="M351" s="5">
        <f>MIN(100,IF(PARAMS_MODELO!$B$23=0,0,100*L351/PARAMS_MODELO!$B$23))*PARAMS_MODELO!$B$10</f>
        <v>14.416321469457721</v>
      </c>
      <c r="N351" s="5">
        <f>IFERROR(VLOOKUP(A351,COMPLIANCE!$A$2:$F$1996,6,0),100)</f>
        <v>100</v>
      </c>
      <c r="O351" s="5">
        <f>N351*PARAMS_MODELO!$B$11</f>
        <v>10</v>
      </c>
      <c r="P351" s="5">
        <f>IFERROR(VLOOKUP(A351,DIGITAL!$A$2:$J$2000,7,0),100)</f>
        <v>57</v>
      </c>
      <c r="Q351" s="5">
        <f>IFERROR(P351,0)*PARAMS_MODELO!$B$12</f>
        <v>5.7</v>
      </c>
      <c r="R351">
        <f t="shared" si="123"/>
        <v>86.131629329063799</v>
      </c>
      <c r="S351" s="5" t="str">
        <f>IFERROR(VLOOKUP(A351,CLIENTE!$A$2:$N$2000,13,0),1)</f>
        <v>Malo</v>
      </c>
      <c r="T351" s="5">
        <f>IFERROR(VLOOKUP(A351,CLIENTE!$A$2:$N$2000,14,0),1)</f>
        <v>0.7</v>
      </c>
      <c r="U351" s="5">
        <f t="shared" si="124"/>
        <v>60.292140530344653</v>
      </c>
      <c r="V351" s="5" t="str">
        <f>IF(U351&gt;=MAX(_xlfn.PERCENTILE.INC($U$2:$U$1194,PARAMS_MODELO!$B$50),PARAMS_MODELO!$B$45),"DIAMANTE",IF(U351&gt;=MAX(_xlfn.PERCENTILE.INC($U$2:$U$1194,PARAMS_MODELO!$B$51),PARAMS_MODELO!$B$46),"PLATINO",IF(U351&gt;=MAX(_xlfn.PERCENTILE.INC($U$2:$U$1194,PARAMS_MODELO!$B$52),PARAMS_MODELO!$B$47),"ORO",IF(U351&gt;=MAX(_xlfn.PERCENTILE.INC($U$2:$U$1194,PARAMS_MODELO!$B$53),PARAMS_MODELO!$B$48),"PLATA",IF(U351&gt;=1,"BRONCE","CERRADO")))))</f>
        <v>PLATA</v>
      </c>
      <c r="W351" s="5" t="str" cm="1">
        <f t="array" ref="W351">_xlfn.XLOOKUP(1, (HIST_SCORE!$B:$B=PARAMS_MODELO!$B$4) * (HIST_SCORE!$C:$C=A351), HIST_SCORE!$E:$E, "No encontrado")</f>
        <v>PLATA</v>
      </c>
      <c r="X351" s="5" t="str">
        <f>_xlfn.LET(_xlpm.act,MATCH(V351,{"DIAMANTE";"PLATINO";"ORO";"PLATA";"BRONCE";"CERRADO"},0),_xlpm.ant,MATCH(W351,{"DIAMANTE";"PLATINO";"ORO";"PLATA";"BRONCE";"CERRADO"},0),IF(_xlpm.act&lt;_xlpm.ant,"Mejora ↑",IF(_xlpm.act&gt;_xlpm.ant,"Baja ↓","Estable →")))</f>
        <v>Estable →</v>
      </c>
      <c r="Y351" s="5">
        <f>IFERROR(U351-SUMIFS(HIST_SCORE!$D:$D,HIST_SCORE!$B:$B,PARAMS_MODELO!$B$4,HIST_SCORE!$C:$C,$A351),"")</f>
        <v>-1.3104215536650159</v>
      </c>
      <c r="Z351" s="5" t="str">
        <f t="shared" si="125"/>
        <v>→ Estable</v>
      </c>
      <c r="AA351" s="5">
        <f t="shared" si="126"/>
        <v>612</v>
      </c>
      <c r="AB351" s="5">
        <f>IFERROR(SUMIFS(HIST_SCORE!$F:$F,HIST_SCORE!$B:$B,PARAMS_MODELO!$B$4,HIST_SCORE!$C:$C,$A351),"")</f>
        <v>619</v>
      </c>
      <c r="AC351" s="5">
        <f t="shared" si="127"/>
        <v>7</v>
      </c>
      <c r="AD351" t="str">
        <f t="shared" si="129"/>
        <v/>
      </c>
      <c r="AE3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351="CERRADO",1,IF(V351="BRONCE",_xlpm.cPl,IF(V351="PLATA",_xlpm.cO,IF(V351="ORO",_xlpm.cP,IF(V351="PLATINO",_xlpm.cD,999))))))</f>
        <v>63.199193273331495</v>
      </c>
      <c r="AF3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351="CERRADO",0,IF(V351="BRONCE",1,IF(V351="PLATA",_xlpm.cPl,IF(V351="ORO",_xlpm.cO,IF(V351="PLATINO",_xlpm.cP,_xlpm.cD))))))</f>
        <v>24.506573482968111</v>
      </c>
      <c r="AG351">
        <f t="shared" si="130"/>
        <v>4.1529324899811968</v>
      </c>
      <c r="AH351" t="str">
        <f t="shared" si="131"/>
        <v>CLIENTE</v>
      </c>
      <c r="AI351" t="str">
        <f t="shared" si="128"/>
        <v>🎯 Para subir de categoría, la eje con mayor impacto probable es CLIENTE (coef T). Acción: reducir quejas, mejorar incógnito y empujar reseñas. ΔR aprox: 4,2</v>
      </c>
      <c r="AJ351" s="26">
        <f>_xlfn.LET(_xlpm.piso,AF351,_xlpm.corte,AE351,_xlpm.prog,IF(_xlpm.corte&lt;=_xlpm.piso,0,MAX(0,MIN(1,(U351-_xlpm.piso)/(_xlpm.corte-_xlpm.piso)))),_xlpm.orden,{"DIAMANTE";"PLATINO";"ORO";"PLATA";"BRONCE";"CERRADO"},_xlpm.act,IFERROR(MATCH(V351,_xlpm.orden,0),6),_xlpm.ant,IFERROR(MATCH(W351,_xlpm.orden,0),6),_xlpm.ajmov,IF(_xlpm.act&lt;_xlpm.ant,0.08,IF(_xlpm.act&gt;_xlpm.ant,-0.08,0)),_xlpm.ajcli,IF(T351&lt;0.95,-0.06,0),_xlpm.prob,MAX(0,MIN(1,_xlpm.prog+_xlpm.ajmov+_xlpm.ajcli)),IF(OR(V351="DIAMANTE",V351="CERRADO"),0,ROUND(_xlpm.prob,2)))</f>
        <v>0.86</v>
      </c>
      <c r="AK351" t="str">
        <f t="shared" si="132"/>
        <v>Faltan 4,2 puntos base para subir a la siguiente categoría</v>
      </c>
      <c r="AL351" t="str">
        <f t="shared" si="133"/>
        <v>Margen de seguridad: 35,8 puntos</v>
      </c>
      <c r="AM351">
        <f t="shared" si="134"/>
        <v>0.42</v>
      </c>
      <c r="AN351" t="str">
        <f t="shared" si="135"/>
        <v>PRIORIDAD MEDIA – seguimiento del asesor</v>
      </c>
      <c r="AO351">
        <f t="shared" si="136"/>
        <v>6.1930829909826564</v>
      </c>
      <c r="AP351">
        <f t="shared" si="137"/>
        <v>0.40857497137959553</v>
      </c>
      <c r="AQ351">
        <f t="shared" si="138"/>
        <v>0</v>
      </c>
      <c r="AR351">
        <f t="shared" si="139"/>
        <v>3.01</v>
      </c>
      <c r="AS351">
        <f t="shared" si="140"/>
        <v>25.839488798719142</v>
      </c>
      <c r="AT351" t="str">
        <f t="shared" si="141"/>
        <v>CLIENTE</v>
      </c>
      <c r="AU351">
        <f t="shared" si="142"/>
        <v>25.839488798719142</v>
      </c>
      <c r="AV351" t="str">
        <f t="shared" si="143"/>
        <v>Mayor retorno probable: CLIENTE (+25,8 puntos finales potenciales).</v>
      </c>
    </row>
    <row r="352" spans="1:48" x14ac:dyDescent="0.3">
      <c r="A352" s="5">
        <v>51054814</v>
      </c>
      <c r="B352" s="5" t="str">
        <f>IFERROR(VLOOKUP(A352,VENTAS!$A$2:$B$1194,2,0),"")</f>
        <v>ROBERTS</v>
      </c>
      <c r="C352" s="5">
        <f>IFERROR(INDEX(VENTAS!$C$2:$E$1194,MATCH(A352,VENTAS!$A$2:$A$1194,0),MATCH(PARAMS_MODELO!$B$2,{"Q1","Q2","Q3"},0)),0)</f>
        <v>83226559.609999999</v>
      </c>
      <c r="D352" s="5">
        <f>IFERROR(INDEX(VENTAS!$F$2:$H$1194,MATCH(A352,VENTAS!$A$2:$A$1194,0),MATCH(PARAMS_MODELO!$B$2,{"Q1","Q2","Q3"},0)),0)</f>
        <v>97444256</v>
      </c>
      <c r="E352" s="8">
        <f t="shared" si="120"/>
        <v>0.17083124013084516</v>
      </c>
      <c r="F352" s="12">
        <f>IF(E352&lt;=PARAMS_MODELO!$B$15,0,IF(E352&gt;=PARAMS_MODELO!$B$17,100,100*MIN(1,(E352-PARAMS_MODELO!$B$15)/(PARAMS_MODELO!$B$16-PARAMS_MODELO!$B$15))))*PARAMS_MODELO!$B$7</f>
        <v>35</v>
      </c>
      <c r="G352" s="5">
        <f t="shared" si="121"/>
        <v>14217696.390000001</v>
      </c>
      <c r="H352" s="5">
        <f>(PARAMS_MODELO!$B$20*(MAX(0,MIN(3,E352))/3)+PARAMS_MODELO!$B$21*(IFERROR(LN(1+MAX(0,G352))/LN(1+MAX(0,MAX($G$2:$G$1194))),0)))*100*PARAMS_MODELO!$B$8</f>
        <v>4.4587068140212116</v>
      </c>
      <c r="I352" s="8">
        <f>E352-PARAMS_MODELO!$B$5</f>
        <v>-6.7315952446813654E-3</v>
      </c>
      <c r="J352" s="5">
        <f>IF(I352&lt;=PARAMS_MODELO!$B$18,0,IF(I352&gt;=PARAMS_MODELO!$B$19,100,100*(I352-PARAMS_MODELO!$B$18)/(PARAMS_MODELO!$B$19-PARAMS_MODELO!$B$18)))*PARAMS_MODELO!$B$9</f>
        <v>6.4902607132977952</v>
      </c>
      <c r="K352" s="5">
        <f>IFERROR(CHOOSE(MATCH(PARAMS_MODELO!$B$2,{"Q1","Q2","Q3"},0),LOTO!$D352,LOTO!$F352,LOTO!$H352),0)</f>
        <v>4687500</v>
      </c>
      <c r="L352" s="8">
        <f t="shared" si="122"/>
        <v>4.810442598073713E-2</v>
      </c>
      <c r="M352" s="5">
        <f>MIN(100,IF(PARAMS_MODELO!$B$23=0,0,100*L352/PARAMS_MODELO!$B$23))*PARAMS_MODELO!$B$10</f>
        <v>14.43132779422114</v>
      </c>
      <c r="N352" s="5">
        <f>IFERROR(VLOOKUP(A352,COMPLIANCE!$A$2:$F$1996,6,0),100)</f>
        <v>100</v>
      </c>
      <c r="O352" s="5">
        <f>N352*PARAMS_MODELO!$B$11</f>
        <v>10</v>
      </c>
      <c r="P352" s="5">
        <f>IFERROR(VLOOKUP(A352,DIGITAL!$A$2:$J$2000,7,0),100)</f>
        <v>72</v>
      </c>
      <c r="Q352" s="5">
        <f>IFERROR(P352,0)*PARAMS_MODELO!$B$12</f>
        <v>7.2</v>
      </c>
      <c r="R352">
        <f t="shared" si="123"/>
        <v>77.580295321540149</v>
      </c>
      <c r="S352" s="5" t="str">
        <f>IFERROR(VLOOKUP(A352,CLIENTE!$A$2:$N$2000,13,0),1)</f>
        <v>Regular</v>
      </c>
      <c r="T352" s="5">
        <f>IFERROR(VLOOKUP(A352,CLIENTE!$A$2:$N$2000,14,0),1)</f>
        <v>1</v>
      </c>
      <c r="U352" s="5">
        <f t="shared" si="124"/>
        <v>77.580295321540149</v>
      </c>
      <c r="V352" s="5" t="str">
        <f>IF(U352&gt;=MAX(_xlfn.PERCENTILE.INC($U$2:$U$1194,PARAMS_MODELO!$B$50),PARAMS_MODELO!$B$45),"DIAMANTE",IF(U352&gt;=MAX(_xlfn.PERCENTILE.INC($U$2:$U$1194,PARAMS_MODELO!$B$51),PARAMS_MODELO!$B$46),"PLATINO",IF(U352&gt;=MAX(_xlfn.PERCENTILE.INC($U$2:$U$1194,PARAMS_MODELO!$B$52),PARAMS_MODELO!$B$47),"ORO",IF(U352&gt;=MAX(_xlfn.PERCENTILE.INC($U$2:$U$1194,PARAMS_MODELO!$B$53),PARAMS_MODELO!$B$48),"PLATA",IF(U352&gt;=1,"BRONCE","CERRADO")))))</f>
        <v>ORO</v>
      </c>
      <c r="W352" s="5" t="str" cm="1">
        <f t="array" ref="W352">_xlfn.XLOOKUP(1, (HIST_SCORE!$B:$B=PARAMS_MODELO!$B$4) * (HIST_SCORE!$C:$C=A352), HIST_SCORE!$E:$E, "No encontrado")</f>
        <v>ORO</v>
      </c>
      <c r="X352" s="5" t="str">
        <f>_xlfn.LET(_xlpm.act,MATCH(V352,{"DIAMANTE";"PLATINO";"ORO";"PLATA";"BRONCE";"CERRADO"},0),_xlpm.ant,MATCH(W352,{"DIAMANTE";"PLATINO";"ORO";"PLATA";"BRONCE";"CERRADO"},0),IF(_xlpm.act&lt;_xlpm.ant,"Mejora ↑",IF(_xlpm.act&gt;_xlpm.ant,"Baja ↓","Estable →")))</f>
        <v>Estable →</v>
      </c>
      <c r="Y352" s="5">
        <f>IFERROR(U352-SUMIFS(HIST_SCORE!$D:$D,HIST_SCORE!$B:$B,PARAMS_MODELO!$B$4,HIST_SCORE!$C:$C,$A352),"")</f>
        <v>-0.14731712854991486</v>
      </c>
      <c r="Z352" s="5" t="str">
        <f t="shared" si="125"/>
        <v>→ Estable</v>
      </c>
      <c r="AA352" s="5">
        <f t="shared" si="126"/>
        <v>455</v>
      </c>
      <c r="AB352" s="5">
        <f>IFERROR(SUMIFS(HIST_SCORE!$F:$F,HIST_SCORE!$B:$B,PARAMS_MODELO!$B$4,HIST_SCORE!$C:$C,$A352),"")</f>
        <v>454</v>
      </c>
      <c r="AC352" s="5">
        <f t="shared" si="127"/>
        <v>-1</v>
      </c>
      <c r="AD352" t="str">
        <f t="shared" si="129"/>
        <v>Sostener base y reforzar mix</v>
      </c>
      <c r="AE3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352="CERRADO",1,IF(V352="BRONCE",_xlpm.cPl,IF(V352="PLATA",_xlpm.cO,IF(V352="ORO",_xlpm.cP,IF(V352="PLATINO",_xlpm.cD,999))))))</f>
        <v>86.439123873763251</v>
      </c>
      <c r="AF3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352="CERRADO",0,IF(V352="BRONCE",1,IF(V352="PLATA",_xlpm.cPl,IF(V352="ORO",_xlpm.cO,IF(V352="PLATINO",_xlpm.cP,_xlpm.cD))))))</f>
        <v>63.199193273331495</v>
      </c>
      <c r="AG352">
        <f t="shared" si="130"/>
        <v>8.8588285522231018</v>
      </c>
      <c r="AH352" t="str">
        <f t="shared" si="131"/>
        <v>VENTAS</v>
      </c>
      <c r="AI352" t="str">
        <f t="shared" si="128"/>
        <v>🎯 Para subir de categoría, eje VENTAS / IMPACTO ABSOLUTO (H). Acción: metas semanales + activación comercial + seguimiento del asesor. ΔR aprox: 8,9</v>
      </c>
      <c r="AJ352" s="26">
        <f>_xlfn.LET(_xlpm.piso,AF352,_xlpm.corte,AE352,_xlpm.prog,IF(_xlpm.corte&lt;=_xlpm.piso,0,MAX(0,MIN(1,(U352-_xlpm.piso)/(_xlpm.corte-_xlpm.piso)))),_xlpm.orden,{"DIAMANTE";"PLATINO";"ORO";"PLATA";"BRONCE";"CERRADO"},_xlpm.act,IFERROR(MATCH(V352,_xlpm.orden,0),6),_xlpm.ant,IFERROR(MATCH(W352,_xlpm.orden,0),6),_xlpm.ajmov,IF(_xlpm.act&lt;_xlpm.ant,0.08,IF(_xlpm.act&gt;_xlpm.ant,-0.08,0)),_xlpm.ajcli,IF(T352&lt;0.95,-0.06,0),_xlpm.prob,MAX(0,MIN(1,_xlpm.prog+_xlpm.ajmov+_xlpm.ajcli)),IF(OR(V352="DIAMANTE",V352="CERRADO"),0,ROUND(_xlpm.prob,2)))</f>
        <v>0.62</v>
      </c>
      <c r="AK352" t="str">
        <f t="shared" si="132"/>
        <v>Faltan 8,9 puntos base para subir a la siguiente categoría</v>
      </c>
      <c r="AL352" t="str">
        <f t="shared" si="133"/>
        <v>Margen de seguridad: 14,4 puntos</v>
      </c>
      <c r="AM352">
        <f t="shared" si="134"/>
        <v>0.51</v>
      </c>
      <c r="AN352" t="str">
        <f t="shared" si="135"/>
        <v>PRIORIDAD MEDIA – seguimiento del asesor</v>
      </c>
      <c r="AO352">
        <f t="shared" si="136"/>
        <v>18.913601747976578</v>
      </c>
      <c r="AP352">
        <f t="shared" si="137"/>
        <v>0.56867220577886002</v>
      </c>
      <c r="AQ352">
        <f t="shared" si="138"/>
        <v>0</v>
      </c>
      <c r="AR352">
        <f t="shared" si="139"/>
        <v>2.8</v>
      </c>
      <c r="AS352">
        <f t="shared" si="140"/>
        <v>0</v>
      </c>
      <c r="AT352" t="str">
        <f t="shared" si="141"/>
        <v>VENTAS</v>
      </c>
      <c r="AU352">
        <f t="shared" si="142"/>
        <v>18.913601747976578</v>
      </c>
      <c r="AV352" t="str">
        <f t="shared" si="143"/>
        <v>Mayor retorno probable: VENTAS (+18,9 puntos finales potenciales).</v>
      </c>
    </row>
    <row r="353" spans="1:48" x14ac:dyDescent="0.3">
      <c r="A353" s="5">
        <v>51012372</v>
      </c>
      <c r="B353" s="5" t="str">
        <f>IFERROR(VLOOKUP(A353,VENTAS!$A$2:$B$1194,2,0),"")</f>
        <v>METTLER</v>
      </c>
      <c r="C353" s="5">
        <f>IFERROR(INDEX(VENTAS!$C$2:$E$1194,MATCH(A353,VENTAS!$A$2:$A$1194,0),MATCH(PARAMS_MODELO!$B$2,{"Q1","Q2","Q3"},0)),0)</f>
        <v>69453143.099999994</v>
      </c>
      <c r="D353" s="5">
        <f>IFERROR(INDEX(VENTAS!$F$2:$H$1194,MATCH(A353,VENTAS!$A$2:$A$1194,0),MATCH(PARAMS_MODELO!$B$2,{"Q1","Q2","Q3"},0)),0)</f>
        <v>97071156</v>
      </c>
      <c r="E353" s="8">
        <f t="shared" si="120"/>
        <v>0.3976495759196248</v>
      </c>
      <c r="F353" s="12">
        <f>IF(E353&lt;=PARAMS_MODELO!$B$15,0,IF(E353&gt;=PARAMS_MODELO!$B$17,100,100*MIN(1,(E353-PARAMS_MODELO!$B$15)/(PARAMS_MODELO!$B$16-PARAMS_MODELO!$B$15))))*PARAMS_MODELO!$B$7</f>
        <v>35</v>
      </c>
      <c r="G353" s="5">
        <f t="shared" si="121"/>
        <v>27618012.900000006</v>
      </c>
      <c r="H353" s="5">
        <f>(PARAMS_MODELO!$B$20*(MAX(0,MIN(3,E353))/3)+PARAMS_MODELO!$B$21*(IFERROR(LN(1+MAX(0,G353))/LN(1+MAX(0,MAX($G$2:$G$1194))),0)))*100*PARAMS_MODELO!$B$8</f>
        <v>5.4082173475720952</v>
      </c>
      <c r="I353" s="8">
        <f>E353-PARAMS_MODELO!$B$5</f>
        <v>0.22008674054409827</v>
      </c>
      <c r="J353" s="5">
        <f>IF(I353&lt;=PARAMS_MODELO!$B$18,0,IF(I353&gt;=PARAMS_MODELO!$B$19,100,100*(I353-PARAMS_MODELO!$B$18)/(PARAMS_MODELO!$B$19-PARAMS_MODELO!$B$18)))*PARAMS_MODELO!$B$9</f>
        <v>15</v>
      </c>
      <c r="K353" s="5">
        <f>IFERROR(CHOOSE(MATCH(PARAMS_MODELO!$B$2,{"Q1","Q2","Q3"},0),LOTO!$D353,LOTO!$F353,LOTO!$H353),0)</f>
        <v>4687500</v>
      </c>
      <c r="L353" s="8">
        <f t="shared" si="122"/>
        <v>4.8289318816806918E-2</v>
      </c>
      <c r="M353" s="5">
        <f>MIN(100,IF(PARAMS_MODELO!$B$23=0,0,100*L353/PARAMS_MODELO!$B$23))*PARAMS_MODELO!$B$10</f>
        <v>14.486795645042076</v>
      </c>
      <c r="N353" s="5">
        <f>IFERROR(VLOOKUP(A353,COMPLIANCE!$A$2:$F$1996,6,0),100)</f>
        <v>100</v>
      </c>
      <c r="O353" s="5">
        <f>N353*PARAMS_MODELO!$B$11</f>
        <v>10</v>
      </c>
      <c r="P353" s="5">
        <f>IFERROR(VLOOKUP(A353,DIGITAL!$A$2:$J$2000,7,0),100)</f>
        <v>8</v>
      </c>
      <c r="Q353" s="5">
        <f>IFERROR(P353,0)*PARAMS_MODELO!$B$12</f>
        <v>0.8</v>
      </c>
      <c r="R353">
        <f t="shared" si="123"/>
        <v>80.695012992614167</v>
      </c>
      <c r="S353" s="5" t="str">
        <f>IFERROR(VLOOKUP(A353,CLIENTE!$A$2:$N$2000,13,0),1)</f>
        <v>Regular</v>
      </c>
      <c r="T353" s="5">
        <f>IFERROR(VLOOKUP(A353,CLIENTE!$A$2:$N$2000,14,0),1)</f>
        <v>1</v>
      </c>
      <c r="U353" s="5">
        <f t="shared" si="124"/>
        <v>80.695012992614167</v>
      </c>
      <c r="V353" s="5" t="str">
        <f>IF(U353&gt;=MAX(_xlfn.PERCENTILE.INC($U$2:$U$1194,PARAMS_MODELO!$B$50),PARAMS_MODELO!$B$45),"DIAMANTE",IF(U353&gt;=MAX(_xlfn.PERCENTILE.INC($U$2:$U$1194,PARAMS_MODELO!$B$51),PARAMS_MODELO!$B$46),"PLATINO",IF(U353&gt;=MAX(_xlfn.PERCENTILE.INC($U$2:$U$1194,PARAMS_MODELO!$B$52),PARAMS_MODELO!$B$47),"ORO",IF(U353&gt;=MAX(_xlfn.PERCENTILE.INC($U$2:$U$1194,PARAMS_MODELO!$B$53),PARAMS_MODELO!$B$48),"PLATA",IF(U353&gt;=1,"BRONCE","CERRADO")))))</f>
        <v>ORO</v>
      </c>
      <c r="W353" s="5" t="str" cm="1">
        <f t="array" ref="W353">_xlfn.XLOOKUP(1, (HIST_SCORE!$B:$B=PARAMS_MODELO!$B$4) * (HIST_SCORE!$C:$C=A353), HIST_SCORE!$E:$E, "No encontrado")</f>
        <v>ORO</v>
      </c>
      <c r="X353" s="5" t="str">
        <f>_xlfn.LET(_xlpm.act,MATCH(V353,{"DIAMANTE";"PLATINO";"ORO";"PLATA";"BRONCE";"CERRADO"},0),_xlpm.ant,MATCH(W353,{"DIAMANTE";"PLATINO";"ORO";"PLATA";"BRONCE";"CERRADO"},0),IF(_xlpm.act&lt;_xlpm.ant,"Mejora ↑",IF(_xlpm.act&gt;_xlpm.ant,"Baja ↓","Estable →")))</f>
        <v>Estable →</v>
      </c>
      <c r="Y353" s="5">
        <f>IFERROR(U353-SUMIFS(HIST_SCORE!$D:$D,HIST_SCORE!$B:$B,PARAMS_MODELO!$B$4,HIST_SCORE!$C:$C,$A353),"")</f>
        <v>1.2588221569169491</v>
      </c>
      <c r="Z353" s="5" t="str">
        <f t="shared" si="125"/>
        <v>→ Estable</v>
      </c>
      <c r="AA353" s="5">
        <f t="shared" si="126"/>
        <v>422</v>
      </c>
      <c r="AB353" s="5">
        <f>IFERROR(SUMIFS(HIST_SCORE!$F:$F,HIST_SCORE!$B:$B,PARAMS_MODELO!$B$4,HIST_SCORE!$C:$C,$A353),"")</f>
        <v>430</v>
      </c>
      <c r="AC353" s="5">
        <f t="shared" si="127"/>
        <v>8</v>
      </c>
      <c r="AD353" t="str">
        <f t="shared" si="129"/>
        <v/>
      </c>
      <c r="AE3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353="CERRADO",1,IF(V353="BRONCE",_xlpm.cPl,IF(V353="PLATA",_xlpm.cO,IF(V353="ORO",_xlpm.cP,IF(V353="PLATINO",_xlpm.cD,999))))))</f>
        <v>86.439123873763251</v>
      </c>
      <c r="AF3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353="CERRADO",0,IF(V353="BRONCE",1,IF(V353="PLATA",_xlpm.cPl,IF(V353="ORO",_xlpm.cO,IF(V353="PLATINO",_xlpm.cP,_xlpm.cD))))))</f>
        <v>63.199193273331495</v>
      </c>
      <c r="AG353">
        <f t="shared" si="130"/>
        <v>5.7441108811490835</v>
      </c>
      <c r="AH353" t="str">
        <f t="shared" si="131"/>
        <v>VENTAS</v>
      </c>
      <c r="AI353" t="str">
        <f t="shared" si="128"/>
        <v>🎯 Para subir de categoría, eje VENTAS / IMPACTO ABSOLUTO (H). Acción: metas semanales + activación comercial + seguimiento del asesor. ΔR aprox: 5,7</v>
      </c>
      <c r="AJ353" s="26">
        <f>_xlfn.LET(_xlpm.piso,AF353,_xlpm.corte,AE353,_xlpm.prog,IF(_xlpm.corte&lt;=_xlpm.piso,0,MAX(0,MIN(1,(U353-_xlpm.piso)/(_xlpm.corte-_xlpm.piso)))),_xlpm.orden,{"DIAMANTE";"PLATINO";"ORO";"PLATA";"BRONCE";"CERRADO"},_xlpm.act,IFERROR(MATCH(V353,_xlpm.orden,0),6),_xlpm.ant,IFERROR(MATCH(W353,_xlpm.orden,0),6),_xlpm.ajmov,IF(_xlpm.act&lt;_xlpm.ant,0.08,IF(_xlpm.act&gt;_xlpm.ant,-0.08,0)),_xlpm.ajcli,IF(T353&lt;0.95,-0.06,0),_xlpm.prob,MAX(0,MIN(1,_xlpm.prog+_xlpm.ajmov+_xlpm.ajcli)),IF(OR(V353="DIAMANTE",V353="CERRADO"),0,ROUND(_xlpm.prob,2)))</f>
        <v>0.75</v>
      </c>
      <c r="AK353" t="str">
        <f t="shared" si="132"/>
        <v>Faltan 5,7 puntos base para subir a la siguiente categoría</v>
      </c>
      <c r="AL353" t="str">
        <f t="shared" si="133"/>
        <v>Margen de seguridad: 17,5 puntos</v>
      </c>
      <c r="AM353">
        <f t="shared" si="134"/>
        <v>0.33</v>
      </c>
      <c r="AN353" t="str">
        <f t="shared" si="135"/>
        <v>PRIORIDAD BAJA – control normal</v>
      </c>
      <c r="AO353">
        <f t="shared" si="136"/>
        <v>9.4543519277234864</v>
      </c>
      <c r="AP353">
        <f t="shared" si="137"/>
        <v>0.51320435495792438</v>
      </c>
      <c r="AQ353">
        <f t="shared" si="138"/>
        <v>0</v>
      </c>
      <c r="AR353">
        <f t="shared" si="139"/>
        <v>9.1999999999999993</v>
      </c>
      <c r="AS353">
        <f t="shared" si="140"/>
        <v>0</v>
      </c>
      <c r="AT353" t="str">
        <f t="shared" si="141"/>
        <v>VENTAS</v>
      </c>
      <c r="AU353">
        <f t="shared" si="142"/>
        <v>9.4543519277234864</v>
      </c>
      <c r="AV353" t="str">
        <f t="shared" si="143"/>
        <v>Mayor retorno probable: VENTAS (+9,5 puntos finales potenciales).</v>
      </c>
    </row>
    <row r="354" spans="1:48" x14ac:dyDescent="0.3">
      <c r="A354" s="5">
        <v>51036212</v>
      </c>
      <c r="B354" s="5" t="str">
        <f>IFERROR(VLOOKUP(A354,VENTAS!$A$2:$B$1194,2,0),"")</f>
        <v>PUGH</v>
      </c>
      <c r="C354" s="5">
        <f>IFERROR(INDEX(VENTAS!$C$2:$E$1194,MATCH(A354,VENTAS!$A$2:$A$1194,0),MATCH(PARAMS_MODELO!$B$2,{"Q1","Q2","Q3"},0)),0)</f>
        <v>82869125.179999992</v>
      </c>
      <c r="D354" s="5">
        <f>IFERROR(INDEX(VENTAS!$F$2:$H$1194,MATCH(A354,VENTAS!$A$2:$A$1194,0),MATCH(PARAMS_MODELO!$B$2,{"Q1","Q2","Q3"},0)),0)</f>
        <v>96875463</v>
      </c>
      <c r="E354" s="8">
        <f t="shared" si="120"/>
        <v>0.16901756582535232</v>
      </c>
      <c r="F354" s="12">
        <f>IF(E354&lt;=PARAMS_MODELO!$B$15,0,IF(E354&gt;=PARAMS_MODELO!$B$17,100,100*MIN(1,(E354-PARAMS_MODELO!$B$15)/(PARAMS_MODELO!$B$16-PARAMS_MODELO!$B$15))))*PARAMS_MODELO!$B$7</f>
        <v>35</v>
      </c>
      <c r="G354" s="5">
        <f t="shared" si="121"/>
        <v>14006337.820000008</v>
      </c>
      <c r="H354" s="5">
        <f>(PARAMS_MODELO!$B$20*(MAX(0,MIN(3,E354))/3)+PARAMS_MODELO!$B$21*(IFERROR(LN(1+MAX(0,G354))/LN(1+MAX(0,MAX($G$2:$G$1194))),0)))*100*PARAMS_MODELO!$B$8</f>
        <v>4.44884802267784</v>
      </c>
      <c r="I354" s="8">
        <f>E354-PARAMS_MODELO!$B$5</f>
        <v>-8.545269550174206E-3</v>
      </c>
      <c r="J354" s="5">
        <f>IF(I354&lt;=PARAMS_MODELO!$B$18,0,IF(I354&gt;=PARAMS_MODELO!$B$19,100,100*(I354-PARAMS_MODELO!$B$18)/(PARAMS_MODELO!$B$19-PARAMS_MODELO!$B$18)))*PARAMS_MODELO!$B$9</f>
        <v>6.2182095674738678</v>
      </c>
      <c r="K354" s="5">
        <f>IFERROR(CHOOSE(MATCH(PARAMS_MODELO!$B$2,{"Q1","Q2","Q3"},0),LOTO!$D354,LOTO!$F354,LOTO!$H354),0)</f>
        <v>4685000</v>
      </c>
      <c r="L354" s="8">
        <f t="shared" si="122"/>
        <v>4.8361059187918408E-2</v>
      </c>
      <c r="M354" s="5">
        <f>MIN(100,IF(PARAMS_MODELO!$B$23=0,0,100*L354/PARAMS_MODELO!$B$23))*PARAMS_MODELO!$B$10</f>
        <v>14.508317756375522</v>
      </c>
      <c r="N354" s="5">
        <f>IFERROR(VLOOKUP(A354,COMPLIANCE!$A$2:$F$1996,6,0),100)</f>
        <v>100</v>
      </c>
      <c r="O354" s="5">
        <f>N354*PARAMS_MODELO!$B$11</f>
        <v>10</v>
      </c>
      <c r="P354" s="5">
        <f>IFERROR(VLOOKUP(A354,DIGITAL!$A$2:$J$2000,7,0),100)</f>
        <v>98</v>
      </c>
      <c r="Q354" s="5">
        <f>IFERROR(P354,0)*PARAMS_MODELO!$B$12</f>
        <v>9.8000000000000007</v>
      </c>
      <c r="R354">
        <f t="shared" si="123"/>
        <v>79.97537534652723</v>
      </c>
      <c r="S354" s="5" t="str">
        <f>IFERROR(VLOOKUP(A354,CLIENTE!$A$2:$N$2000,13,0),1)</f>
        <v>Regular</v>
      </c>
      <c r="T354" s="5">
        <f>IFERROR(VLOOKUP(A354,CLIENTE!$A$2:$N$2000,14,0),1)</f>
        <v>1</v>
      </c>
      <c r="U354" s="5">
        <f t="shared" si="124"/>
        <v>79.97537534652723</v>
      </c>
      <c r="V354" s="5" t="str">
        <f>IF(U354&gt;=MAX(_xlfn.PERCENTILE.INC($U$2:$U$1194,PARAMS_MODELO!$B$50),PARAMS_MODELO!$B$45),"DIAMANTE",IF(U354&gt;=MAX(_xlfn.PERCENTILE.INC($U$2:$U$1194,PARAMS_MODELO!$B$51),PARAMS_MODELO!$B$46),"PLATINO",IF(U354&gt;=MAX(_xlfn.PERCENTILE.INC($U$2:$U$1194,PARAMS_MODELO!$B$52),PARAMS_MODELO!$B$47),"ORO",IF(U354&gt;=MAX(_xlfn.PERCENTILE.INC($U$2:$U$1194,PARAMS_MODELO!$B$53),PARAMS_MODELO!$B$48),"PLATA",IF(U354&gt;=1,"BRONCE","CERRADO")))))</f>
        <v>ORO</v>
      </c>
      <c r="W354" s="5" t="str" cm="1">
        <f t="array" ref="W354">_xlfn.XLOOKUP(1, (HIST_SCORE!$B:$B=PARAMS_MODELO!$B$4) * (HIST_SCORE!$C:$C=A354), HIST_SCORE!$E:$E, "No encontrado")</f>
        <v>ORO</v>
      </c>
      <c r="X354" s="5" t="str">
        <f>_xlfn.LET(_xlpm.act,MATCH(V354,{"DIAMANTE";"PLATINO";"ORO";"PLATA";"BRONCE";"CERRADO"},0),_xlpm.ant,MATCH(W354,{"DIAMANTE";"PLATINO";"ORO";"PLATA";"BRONCE";"CERRADO"},0),IF(_xlpm.act&lt;_xlpm.ant,"Mejora ↑",IF(_xlpm.act&gt;_xlpm.ant,"Baja ↓","Estable →")))</f>
        <v>Estable →</v>
      </c>
      <c r="Y354" s="5">
        <f>IFERROR(U354-SUMIFS(HIST_SCORE!$D:$D,HIST_SCORE!$B:$B,PARAMS_MODELO!$B$4,HIST_SCORE!$C:$C,$A354),"")</f>
        <v>7.7585174236666603</v>
      </c>
      <c r="Z354" s="5" t="str">
        <f t="shared" si="125"/>
        <v>↑ Mejora</v>
      </c>
      <c r="AA354" s="5">
        <f t="shared" si="126"/>
        <v>441</v>
      </c>
      <c r="AB354" s="5">
        <f>IFERROR(SUMIFS(HIST_SCORE!$F:$F,HIST_SCORE!$B:$B,PARAMS_MODELO!$B$4,HIST_SCORE!$C:$C,$A354),"")</f>
        <v>520</v>
      </c>
      <c r="AC354" s="5">
        <f t="shared" si="127"/>
        <v>79</v>
      </c>
      <c r="AD354" t="str">
        <f t="shared" si="129"/>
        <v/>
      </c>
      <c r="AE3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354="CERRADO",1,IF(V354="BRONCE",_xlpm.cPl,IF(V354="PLATA",_xlpm.cO,IF(V354="ORO",_xlpm.cP,IF(V354="PLATINO",_xlpm.cD,999))))))</f>
        <v>86.439123873763251</v>
      </c>
      <c r="AF3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354="CERRADO",0,IF(V354="BRONCE",1,IF(V354="PLATA",_xlpm.cPl,IF(V354="ORO",_xlpm.cO,IF(V354="PLATINO",_xlpm.cP,_xlpm.cD))))))</f>
        <v>63.199193273331495</v>
      </c>
      <c r="AG354">
        <f t="shared" si="130"/>
        <v>6.4637485272360209</v>
      </c>
      <c r="AH354" t="str">
        <f t="shared" si="131"/>
        <v>VENTAS</v>
      </c>
      <c r="AI354" t="str">
        <f t="shared" si="128"/>
        <v>🎯 Para subir de categoría, eje VENTAS / IMPACTO ABSOLUTO (H). Acción: metas semanales + activación comercial + seguimiento del asesor. ΔR aprox: 6,5</v>
      </c>
      <c r="AJ354" s="26">
        <f>_xlfn.LET(_xlpm.piso,AF354,_xlpm.corte,AE354,_xlpm.prog,IF(_xlpm.corte&lt;=_xlpm.piso,0,MAX(0,MIN(1,(U354-_xlpm.piso)/(_xlpm.corte-_xlpm.piso)))),_xlpm.orden,{"DIAMANTE";"PLATINO";"ORO";"PLATA";"BRONCE";"CERRADO"},_xlpm.act,IFERROR(MATCH(V354,_xlpm.orden,0),6),_xlpm.ant,IFERROR(MATCH(W354,_xlpm.orden,0),6),_xlpm.ajmov,IF(_xlpm.act&lt;_xlpm.ant,0.08,IF(_xlpm.act&gt;_xlpm.ant,-0.08,0)),_xlpm.ajcli,IF(T354&lt;0.95,-0.06,0),_xlpm.prob,MAX(0,MIN(1,_xlpm.prog+_xlpm.ajmov+_xlpm.ajcli)),IF(OR(V354="DIAMANTE",V354="CERRADO"),0,ROUND(_xlpm.prob,2)))</f>
        <v>0.72</v>
      </c>
      <c r="AK354" t="str">
        <f t="shared" si="132"/>
        <v>Faltan 6,5 puntos base para subir a la siguiente categoría</v>
      </c>
      <c r="AL354" t="str">
        <f t="shared" si="133"/>
        <v>Margen de seguridad: 16,8 puntos</v>
      </c>
      <c r="AM354">
        <f t="shared" si="134"/>
        <v>0.37</v>
      </c>
      <c r="AN354" t="str">
        <f t="shared" si="135"/>
        <v>PRIORIDAD BAJA – control normal</v>
      </c>
      <c r="AO354">
        <f t="shared" si="136"/>
        <v>19.195511685143877</v>
      </c>
      <c r="AP354">
        <f t="shared" si="137"/>
        <v>0.49168224362447788</v>
      </c>
      <c r="AQ354">
        <f t="shared" si="138"/>
        <v>0</v>
      </c>
      <c r="AR354">
        <f t="shared" si="139"/>
        <v>0.19999999999999929</v>
      </c>
      <c r="AS354">
        <f t="shared" si="140"/>
        <v>0</v>
      </c>
      <c r="AT354" t="str">
        <f t="shared" si="141"/>
        <v>VENTAS</v>
      </c>
      <c r="AU354">
        <f t="shared" si="142"/>
        <v>19.195511685143877</v>
      </c>
      <c r="AV354" t="str">
        <f t="shared" si="143"/>
        <v>Mayor retorno probable: VENTAS (+19,2 puntos finales potenciales).</v>
      </c>
    </row>
    <row r="355" spans="1:48" x14ac:dyDescent="0.3">
      <c r="A355" s="5">
        <v>51029984</v>
      </c>
      <c r="B355" s="5" t="str">
        <f>IFERROR(VLOOKUP(A355,VENTAS!$A$2:$B$1194,2,0),"")</f>
        <v>PUGH</v>
      </c>
      <c r="C355" s="5">
        <f>IFERROR(INDEX(VENTAS!$C$2:$E$1194,MATCH(A355,VENTAS!$A$2:$A$1194,0),MATCH(PARAMS_MODELO!$B$2,{"Q1","Q2","Q3"},0)),0)</f>
        <v>55558176.880000003</v>
      </c>
      <c r="D355" s="5">
        <f>IFERROR(INDEX(VENTAS!$F$2:$H$1194,MATCH(A355,VENTAS!$A$2:$A$1194,0),MATCH(PARAMS_MODELO!$B$2,{"Q1","Q2","Q3"},0)),0)</f>
        <v>96739833</v>
      </c>
      <c r="E355" s="8">
        <f t="shared" si="120"/>
        <v>0.74123483585410255</v>
      </c>
      <c r="F355" s="12">
        <f>IF(E355&lt;=PARAMS_MODELO!$B$15,0,IF(E355&gt;=PARAMS_MODELO!$B$17,100,100*MIN(1,(E355-PARAMS_MODELO!$B$15)/(PARAMS_MODELO!$B$16-PARAMS_MODELO!$B$15))))*PARAMS_MODELO!$B$7</f>
        <v>35</v>
      </c>
      <c r="G355" s="5">
        <f t="shared" si="121"/>
        <v>41181656.119999997</v>
      </c>
      <c r="H355" s="5">
        <f>(PARAMS_MODELO!$B$20*(MAX(0,MIN(3,E355))/3)+PARAMS_MODELO!$B$21*(IFERROR(LN(1+MAX(0,G355))/LN(1+MAX(0,MAX($G$2:$G$1194))),0)))*100*PARAMS_MODELO!$B$8</f>
        <v>6.7044199256787236</v>
      </c>
      <c r="I355" s="8">
        <f>E355-PARAMS_MODELO!$B$5</f>
        <v>0.56367200047857602</v>
      </c>
      <c r="J355" s="5">
        <f>IF(I355&lt;=PARAMS_MODELO!$B$18,0,IF(I355&gt;=PARAMS_MODELO!$B$19,100,100*(I355-PARAMS_MODELO!$B$18)/(PARAMS_MODELO!$B$19-PARAMS_MODELO!$B$18)))*PARAMS_MODELO!$B$9</f>
        <v>15</v>
      </c>
      <c r="K355" s="5">
        <f>IFERROR(CHOOSE(MATCH(PARAMS_MODELO!$B$2,{"Q1","Q2","Q3"},0),LOTO!$D355,LOTO!$F355,LOTO!$H355),0)</f>
        <v>4685000</v>
      </c>
      <c r="L355" s="8">
        <f t="shared" si="122"/>
        <v>4.8428861769897823E-2</v>
      </c>
      <c r="M355" s="5">
        <f>MIN(100,IF(PARAMS_MODELO!$B$23=0,0,100*L355/PARAMS_MODELO!$B$23))*PARAMS_MODELO!$B$10</f>
        <v>14.528658530969343</v>
      </c>
      <c r="N355" s="5">
        <f>IFERROR(VLOOKUP(A355,COMPLIANCE!$A$2:$F$1996,6,0),100)</f>
        <v>100</v>
      </c>
      <c r="O355" s="5">
        <f>N355*PARAMS_MODELO!$B$11</f>
        <v>10</v>
      </c>
      <c r="P355" s="5">
        <f>IFERROR(VLOOKUP(A355,DIGITAL!$A$2:$J$2000,7,0),100)</f>
        <v>98</v>
      </c>
      <c r="Q355" s="5">
        <f>IFERROR(P355,0)*PARAMS_MODELO!$B$12</f>
        <v>9.8000000000000007</v>
      </c>
      <c r="R355">
        <f t="shared" si="123"/>
        <v>91.033078456648056</v>
      </c>
      <c r="S355" s="5" t="str">
        <f>IFERROR(VLOOKUP(A355,CLIENTE!$A$2:$N$2000,13,0),1)</f>
        <v>Malo</v>
      </c>
      <c r="T355" s="5">
        <f>IFERROR(VLOOKUP(A355,CLIENTE!$A$2:$N$2000,14,0),1)</f>
        <v>0.7</v>
      </c>
      <c r="U355" s="5">
        <f t="shared" si="124"/>
        <v>63.723154919653638</v>
      </c>
      <c r="V355" s="5" t="str">
        <f>IF(U355&gt;=MAX(_xlfn.PERCENTILE.INC($U$2:$U$1194,PARAMS_MODELO!$B$50),PARAMS_MODELO!$B$45),"DIAMANTE",IF(U355&gt;=MAX(_xlfn.PERCENTILE.INC($U$2:$U$1194,PARAMS_MODELO!$B$51),PARAMS_MODELO!$B$46),"PLATINO",IF(U355&gt;=MAX(_xlfn.PERCENTILE.INC($U$2:$U$1194,PARAMS_MODELO!$B$52),PARAMS_MODELO!$B$47),"ORO",IF(U355&gt;=MAX(_xlfn.PERCENTILE.INC($U$2:$U$1194,PARAMS_MODELO!$B$53),PARAMS_MODELO!$B$48),"PLATA",IF(U355&gt;=1,"BRONCE","CERRADO")))))</f>
        <v>ORO</v>
      </c>
      <c r="W355" s="5" t="str" cm="1">
        <f t="array" ref="W355">_xlfn.XLOOKUP(1, (HIST_SCORE!$B:$B=PARAMS_MODELO!$B$4) * (HIST_SCORE!$C:$C=A355), HIST_SCORE!$E:$E, "No encontrado")</f>
        <v>ORO</v>
      </c>
      <c r="X355" s="5" t="str">
        <f>_xlfn.LET(_xlpm.act,MATCH(V355,{"DIAMANTE";"PLATINO";"ORO";"PLATA";"BRONCE";"CERRADO"},0),_xlpm.ant,MATCH(W355,{"DIAMANTE";"PLATINO";"ORO";"PLATA";"BRONCE";"CERRADO"},0),IF(_xlpm.act&lt;_xlpm.ant,"Mejora ↑",IF(_xlpm.act&gt;_xlpm.ant,"Baja ↓","Estable →")))</f>
        <v>Estable →</v>
      </c>
      <c r="Y355" s="5">
        <f>IFERROR(U355-SUMIFS(HIST_SCORE!$D:$D,HIST_SCORE!$B:$B,PARAMS_MODELO!$B$4,HIST_SCORE!$C:$C,$A355),"")</f>
        <v>0.24959637632566967</v>
      </c>
      <c r="Z355" s="5" t="str">
        <f t="shared" si="125"/>
        <v>→ Estable</v>
      </c>
      <c r="AA355" s="5">
        <f t="shared" si="126"/>
        <v>551</v>
      </c>
      <c r="AB355" s="5">
        <f>IFERROR(SUMIFS(HIST_SCORE!$F:$F,HIST_SCORE!$B:$B,PARAMS_MODELO!$B$4,HIST_SCORE!$C:$C,$A355),"")</f>
        <v>585</v>
      </c>
      <c r="AC355" s="5">
        <f t="shared" si="127"/>
        <v>34</v>
      </c>
      <c r="AD355" t="str">
        <f t="shared" si="129"/>
        <v/>
      </c>
      <c r="AE3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355="CERRADO",1,IF(V355="BRONCE",_xlpm.cPl,IF(V355="PLATA",_xlpm.cO,IF(V355="ORO",_xlpm.cP,IF(V355="PLATINO",_xlpm.cD,999))))))</f>
        <v>86.439123873763251</v>
      </c>
      <c r="AF3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355="CERRADO",0,IF(V355="BRONCE",1,IF(V355="PLATA",_xlpm.cPl,IF(V355="ORO",_xlpm.cO,IF(V355="PLATINO",_xlpm.cP,_xlpm.cD))))))</f>
        <v>63.199193273331495</v>
      </c>
      <c r="AG355">
        <f t="shared" si="130"/>
        <v>32.451384220156598</v>
      </c>
      <c r="AH355" t="str">
        <f t="shared" si="131"/>
        <v>CLIENTE</v>
      </c>
      <c r="AI355" t="str">
        <f t="shared" si="128"/>
        <v>🎯 Para subir de categoría, la eje con mayor impacto probable es CLIENTE (coef T). Acción: reducir quejas, mejorar incógnito y empujar reseñas. ΔR aprox: 32,5</v>
      </c>
      <c r="AJ355" s="26">
        <f>_xlfn.LET(_xlpm.piso,AF355,_xlpm.corte,AE355,_xlpm.prog,IF(_xlpm.corte&lt;=_xlpm.piso,0,MAX(0,MIN(1,(U355-_xlpm.piso)/(_xlpm.corte-_xlpm.piso)))),_xlpm.orden,{"DIAMANTE";"PLATINO";"ORO";"PLATA";"BRONCE";"CERRADO"},_xlpm.act,IFERROR(MATCH(V355,_xlpm.orden,0),6),_xlpm.ant,IFERROR(MATCH(W355,_xlpm.orden,0),6),_xlpm.ajmov,IF(_xlpm.act&lt;_xlpm.ant,0.08,IF(_xlpm.act&gt;_xlpm.ant,-0.08,0)),_xlpm.ajcli,IF(T355&lt;0.95,-0.06,0),_xlpm.prob,MAX(0,MIN(1,_xlpm.prog+_xlpm.ajmov+_xlpm.ajcli)),IF(OR(V355="DIAMANTE",V355="CERRADO"),0,ROUND(_xlpm.prob,2)))</f>
        <v>0</v>
      </c>
      <c r="AK355" t="str">
        <f t="shared" si="132"/>
        <v>Faltan 32,5 puntos base para subir a la siguiente categoría</v>
      </c>
      <c r="AL355" t="str">
        <f t="shared" si="133"/>
        <v>Margen de seguridad: 0,5 puntos</v>
      </c>
      <c r="AM355">
        <f t="shared" si="134"/>
        <v>1</v>
      </c>
      <c r="AN355" t="str">
        <f t="shared" si="135"/>
        <v>PRIORIDAD ALTA – requiere intervención inmediata</v>
      </c>
      <c r="AO355">
        <f t="shared" si="136"/>
        <v>5.7107045447318043</v>
      </c>
      <c r="AP355">
        <f t="shared" si="137"/>
        <v>0.32993902832145972</v>
      </c>
      <c r="AQ355">
        <f t="shared" si="138"/>
        <v>0</v>
      </c>
      <c r="AR355">
        <f t="shared" si="139"/>
        <v>0.13999999999999949</v>
      </c>
      <c r="AS355">
        <f t="shared" si="140"/>
        <v>27.309923536994422</v>
      </c>
      <c r="AT355" t="str">
        <f t="shared" si="141"/>
        <v>CLIENTE</v>
      </c>
      <c r="AU355">
        <f t="shared" si="142"/>
        <v>27.309923536994422</v>
      </c>
      <c r="AV355" t="str">
        <f t="shared" si="143"/>
        <v>Mayor retorno probable: CLIENTE (+27,3 puntos finales potenciales).</v>
      </c>
    </row>
    <row r="356" spans="1:48" x14ac:dyDescent="0.3">
      <c r="A356" s="5">
        <v>51039777</v>
      </c>
      <c r="B356" s="5" t="str">
        <f>IFERROR(VLOOKUP(A356,VENTAS!$A$2:$B$1194,2,0),"")</f>
        <v>PUGH</v>
      </c>
      <c r="C356" s="5">
        <f>IFERROR(INDEX(VENTAS!$C$2:$E$1194,MATCH(A356,VENTAS!$A$2:$A$1194,0),MATCH(PARAMS_MODELO!$B$2,{"Q1","Q2","Q3"},0)),0)</f>
        <v>55487871.619999997</v>
      </c>
      <c r="D356" s="5">
        <f>IFERROR(INDEX(VENTAS!$F$2:$H$1194,MATCH(A356,VENTAS!$A$2:$A$1194,0),MATCH(PARAMS_MODELO!$B$2,{"Q1","Q2","Q3"},0)),0)</f>
        <v>96604345</v>
      </c>
      <c r="E356" s="8">
        <f t="shared" si="120"/>
        <v>0.74099928830537487</v>
      </c>
      <c r="F356" s="12">
        <f>IF(E356&lt;=PARAMS_MODELO!$B$15,0,IF(E356&gt;=PARAMS_MODELO!$B$17,100,100*MIN(1,(E356-PARAMS_MODELO!$B$15)/(PARAMS_MODELO!$B$16-PARAMS_MODELO!$B$15))))*PARAMS_MODELO!$B$7</f>
        <v>35</v>
      </c>
      <c r="G356" s="5">
        <f t="shared" si="121"/>
        <v>41116473.380000003</v>
      </c>
      <c r="H356" s="5">
        <f>(PARAMS_MODELO!$B$20*(MAX(0,MIN(3,E356))/3)+PARAMS_MODELO!$B$21*(IFERROR(LN(1+MAX(0,G356))/LN(1+MAX(0,MAX($G$2:$G$1194))),0)))*100*PARAMS_MODELO!$B$8</f>
        <v>6.703224182542276</v>
      </c>
      <c r="I356" s="8">
        <f>E356-PARAMS_MODELO!$B$5</f>
        <v>0.56343645292984834</v>
      </c>
      <c r="J356" s="5">
        <f>IF(I356&lt;=PARAMS_MODELO!$B$18,0,IF(I356&gt;=PARAMS_MODELO!$B$19,100,100*(I356-PARAMS_MODELO!$B$18)/(PARAMS_MODELO!$B$19-PARAMS_MODELO!$B$18)))*PARAMS_MODELO!$B$9</f>
        <v>15</v>
      </c>
      <c r="K356" s="5">
        <f>IFERROR(CHOOSE(MATCH(PARAMS_MODELO!$B$2,{"Q1","Q2","Q3"},0),LOTO!$D356,LOTO!$F356,LOTO!$H356),0)</f>
        <v>4682500</v>
      </c>
      <c r="L356" s="8">
        <f t="shared" si="122"/>
        <v>4.8470904698955312E-2</v>
      </c>
      <c r="M356" s="5">
        <f>MIN(100,IF(PARAMS_MODELO!$B$23=0,0,100*L356/PARAMS_MODELO!$B$23))*PARAMS_MODELO!$B$10</f>
        <v>14.541271409686592</v>
      </c>
      <c r="N356" s="5">
        <f>IFERROR(VLOOKUP(A356,COMPLIANCE!$A$2:$F$1996,6,0),100)</f>
        <v>98.8</v>
      </c>
      <c r="O356" s="5">
        <f>N356*PARAMS_MODELO!$B$11</f>
        <v>9.8800000000000008</v>
      </c>
      <c r="P356" s="5">
        <f>IFERROR(VLOOKUP(A356,DIGITAL!$A$2:$J$2000,7,0),100)</f>
        <v>43</v>
      </c>
      <c r="Q356" s="5">
        <f>IFERROR(P356,0)*PARAMS_MODELO!$B$12</f>
        <v>4.3</v>
      </c>
      <c r="R356">
        <f t="shared" si="123"/>
        <v>85.424495592228865</v>
      </c>
      <c r="S356" s="5" t="str">
        <f>IFERROR(VLOOKUP(A356,CLIENTE!$A$2:$N$2000,13,0),1)</f>
        <v>Regular</v>
      </c>
      <c r="T356" s="5">
        <f>IFERROR(VLOOKUP(A356,CLIENTE!$A$2:$N$2000,14,0),1)</f>
        <v>1</v>
      </c>
      <c r="U356" s="5">
        <f t="shared" si="124"/>
        <v>85.424495592228865</v>
      </c>
      <c r="V356" s="5" t="str">
        <f>IF(U356&gt;=MAX(_xlfn.PERCENTILE.INC($U$2:$U$1194,PARAMS_MODELO!$B$50),PARAMS_MODELO!$B$45),"DIAMANTE",IF(U356&gt;=MAX(_xlfn.PERCENTILE.INC($U$2:$U$1194,PARAMS_MODELO!$B$51),PARAMS_MODELO!$B$46),"PLATINO",IF(U356&gt;=MAX(_xlfn.PERCENTILE.INC($U$2:$U$1194,PARAMS_MODELO!$B$52),PARAMS_MODELO!$B$47),"ORO",IF(U356&gt;=MAX(_xlfn.PERCENTILE.INC($U$2:$U$1194,PARAMS_MODELO!$B$53),PARAMS_MODELO!$B$48),"PLATA",IF(U356&gt;=1,"BRONCE","CERRADO")))))</f>
        <v>ORO</v>
      </c>
      <c r="W356" s="5" t="str" cm="1">
        <f t="array" ref="W356">_xlfn.XLOOKUP(1, (HIST_SCORE!$B:$B=PARAMS_MODELO!$B$4) * (HIST_SCORE!$C:$C=A356), HIST_SCORE!$E:$E, "No encontrado")</f>
        <v>ORO</v>
      </c>
      <c r="X356" s="5" t="str">
        <f>_xlfn.LET(_xlpm.act,MATCH(V356,{"DIAMANTE";"PLATINO";"ORO";"PLATA";"BRONCE";"CERRADO"},0),_xlpm.ant,MATCH(W356,{"DIAMANTE";"PLATINO";"ORO";"PLATA";"BRONCE";"CERRADO"},0),IF(_xlpm.act&lt;_xlpm.ant,"Mejora ↑",IF(_xlpm.act&gt;_xlpm.ant,"Baja ↓","Estable →")))</f>
        <v>Estable →</v>
      </c>
      <c r="Y356" s="5">
        <f>IFERROR(U356-SUMIFS(HIST_SCORE!$D:$D,HIST_SCORE!$B:$B,PARAMS_MODELO!$B$4,HIST_SCORE!$C:$C,$A356),"")</f>
        <v>-0.12443461420483004</v>
      </c>
      <c r="Z356" s="5" t="str">
        <f t="shared" si="125"/>
        <v>→ Estable</v>
      </c>
      <c r="AA356" s="5">
        <f t="shared" si="126"/>
        <v>272</v>
      </c>
      <c r="AB356" s="5">
        <f>IFERROR(SUMIFS(HIST_SCORE!$F:$F,HIST_SCORE!$B:$B,PARAMS_MODELO!$B$4,HIST_SCORE!$C:$C,$A356),"")</f>
        <v>253</v>
      </c>
      <c r="AC356" s="5">
        <f t="shared" si="127"/>
        <v>-19</v>
      </c>
      <c r="AD356" t="str">
        <f t="shared" si="129"/>
        <v>Sostener base y reforzar mix</v>
      </c>
      <c r="AE3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356="CERRADO",1,IF(V356="BRONCE",_xlpm.cPl,IF(V356="PLATA",_xlpm.cO,IF(V356="ORO",_xlpm.cP,IF(V356="PLATINO",_xlpm.cD,999))))))</f>
        <v>86.439123873763251</v>
      </c>
      <c r="AF3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356="CERRADO",0,IF(V356="BRONCE",1,IF(V356="PLATA",_xlpm.cPl,IF(V356="ORO",_xlpm.cO,IF(V356="PLATINO",_xlpm.cP,_xlpm.cD))))))</f>
        <v>63.199193273331495</v>
      </c>
      <c r="AG356">
        <f t="shared" si="130"/>
        <v>1.0146282815343852</v>
      </c>
      <c r="AH356" t="str">
        <f t="shared" si="131"/>
        <v>VENTAS</v>
      </c>
      <c r="AI356" t="str">
        <f t="shared" si="128"/>
        <v>🎯 Para subir de categoría, eje VENTAS / IMPACTO ABSOLUTO (H). Acción: metas semanales + activación comercial + seguimiento del asesor. ΔR aprox: 1,0</v>
      </c>
      <c r="AJ356" s="26">
        <f>_xlfn.LET(_xlpm.piso,AF356,_xlpm.corte,AE356,_xlpm.prog,IF(_xlpm.corte&lt;=_xlpm.piso,0,MAX(0,MIN(1,(U356-_xlpm.piso)/(_xlpm.corte-_xlpm.piso)))),_xlpm.orden,{"DIAMANTE";"PLATINO";"ORO";"PLATA";"BRONCE";"CERRADO"},_xlpm.act,IFERROR(MATCH(V356,_xlpm.orden,0),6),_xlpm.ant,IFERROR(MATCH(W356,_xlpm.orden,0),6),_xlpm.ajmov,IF(_xlpm.act&lt;_xlpm.ant,0.08,IF(_xlpm.act&gt;_xlpm.ant,-0.08,0)),_xlpm.ajcli,IF(T356&lt;0.95,-0.06,0),_xlpm.prob,MAX(0,MIN(1,_xlpm.prog+_xlpm.ajmov+_xlpm.ajcli)),IF(OR(V356="DIAMANTE",V356="CERRADO"),0,ROUND(_xlpm.prob,2)))</f>
        <v>0.96</v>
      </c>
      <c r="AK356" t="str">
        <f t="shared" si="132"/>
        <v>Faltan 1,0 puntos base para subir a la siguiente categoría</v>
      </c>
      <c r="AL356" t="str">
        <f t="shared" si="133"/>
        <v>Margen de seguridad: 22,2 puntos</v>
      </c>
      <c r="AM356">
        <f t="shared" si="134"/>
        <v>0.06</v>
      </c>
      <c r="AN356" t="str">
        <f t="shared" si="135"/>
        <v>PRIORIDAD BAJA – control normal</v>
      </c>
      <c r="AO356">
        <f t="shared" si="136"/>
        <v>8.1593450927533056</v>
      </c>
      <c r="AP356">
        <f t="shared" si="137"/>
        <v>0.45872859031340774</v>
      </c>
      <c r="AQ356">
        <f t="shared" si="138"/>
        <v>0.11999999999999922</v>
      </c>
      <c r="AR356">
        <f t="shared" si="139"/>
        <v>5.7</v>
      </c>
      <c r="AS356">
        <f t="shared" si="140"/>
        <v>0</v>
      </c>
      <c r="AT356" t="str">
        <f t="shared" si="141"/>
        <v>VENTAS</v>
      </c>
      <c r="AU356">
        <f t="shared" si="142"/>
        <v>8.1593450927533056</v>
      </c>
      <c r="AV356" t="str">
        <f t="shared" si="143"/>
        <v>Mayor retorno probable: VENTAS (+8,2 puntos finales potenciales).</v>
      </c>
    </row>
    <row r="357" spans="1:48" x14ac:dyDescent="0.3">
      <c r="A357" s="5">
        <v>51056183</v>
      </c>
      <c r="B357" s="5" t="str">
        <f>IFERROR(VLOOKUP(A357,VENTAS!$A$2:$B$1194,2,0),"")</f>
        <v>CICHETTO</v>
      </c>
      <c r="C357" s="5">
        <f>IFERROR(INDEX(VENTAS!$C$2:$E$1194,MATCH(A357,VENTAS!$A$2:$A$1194,0),MATCH(PARAMS_MODELO!$B$2,{"Q1","Q2","Q3"},0)),0)</f>
        <v>91242633.170000002</v>
      </c>
      <c r="D357" s="5">
        <f>IFERROR(INDEX(VENTAS!$F$2:$H$1194,MATCH(A357,VENTAS!$A$2:$A$1194,0),MATCH(PARAMS_MODELO!$B$2,{"Q1","Q2","Q3"},0)),0)</f>
        <v>96395606</v>
      </c>
      <c r="E357" s="8">
        <f t="shared" si="120"/>
        <v>5.6475494524573344E-2</v>
      </c>
      <c r="F357" s="12">
        <f>IF(E357&lt;=PARAMS_MODELO!$B$15,0,IF(E357&gt;=PARAMS_MODELO!$B$17,100,100*MIN(1,(E357-PARAMS_MODELO!$B$15)/(PARAMS_MODELO!$B$16-PARAMS_MODELO!$B$15))))*PARAMS_MODELO!$B$7</f>
        <v>19.766423083600667</v>
      </c>
      <c r="G357" s="5">
        <f t="shared" si="121"/>
        <v>5152972.8299999982</v>
      </c>
      <c r="H357" s="5">
        <f>(PARAMS_MODELO!$B$20*(MAX(0,MIN(3,E357))/3)+PARAMS_MODELO!$B$21*(IFERROR(LN(1+MAX(0,G357))/LN(1+MAX(0,MAX($G$2:$G$1194))),0)))*100*PARAMS_MODELO!$B$8</f>
        <v>3.8205518127533997</v>
      </c>
      <c r="I357" s="8">
        <f>E357-PARAMS_MODELO!$B$5</f>
        <v>-0.12108734085095318</v>
      </c>
      <c r="J357" s="5">
        <f>IF(I357&lt;=PARAMS_MODELO!$B$18,0,IF(I357&gt;=PARAMS_MODELO!$B$19,100,100*(I357-PARAMS_MODELO!$B$18)/(PARAMS_MODELO!$B$19-PARAMS_MODELO!$B$18)))*PARAMS_MODELO!$B$9</f>
        <v>0</v>
      </c>
      <c r="K357" s="5">
        <f>IFERROR(CHOOSE(MATCH(PARAMS_MODELO!$B$2,{"Q1","Q2","Q3"},0),LOTO!$D357,LOTO!$F357,LOTO!$H357),0)</f>
        <v>4677500</v>
      </c>
      <c r="L357" s="8">
        <f t="shared" si="122"/>
        <v>4.8523996000398605E-2</v>
      </c>
      <c r="M357" s="5">
        <f>MIN(100,IF(PARAMS_MODELO!$B$23=0,0,100*L357/PARAMS_MODELO!$B$23))*PARAMS_MODELO!$B$10</f>
        <v>14.557198800119581</v>
      </c>
      <c r="N357" s="5">
        <f>IFERROR(VLOOKUP(A357,COMPLIANCE!$A$2:$F$1996,6,0),100)</f>
        <v>100</v>
      </c>
      <c r="O357" s="5">
        <f>N357*PARAMS_MODELO!$B$11</f>
        <v>10</v>
      </c>
      <c r="P357" s="5">
        <f>IFERROR(VLOOKUP(A357,DIGITAL!$A$2:$J$2000,7,0),100)</f>
        <v>79</v>
      </c>
      <c r="Q357" s="5">
        <f>IFERROR(P357,0)*PARAMS_MODELO!$B$12</f>
        <v>7.9</v>
      </c>
      <c r="R357">
        <f t="shared" si="123"/>
        <v>56.044173696473649</v>
      </c>
      <c r="S357" s="5" t="str">
        <f>IFERROR(VLOOKUP(A357,CLIENTE!$A$2:$N$2000,13,0),1)</f>
        <v>Regular</v>
      </c>
      <c r="T357" s="5">
        <f>IFERROR(VLOOKUP(A357,CLIENTE!$A$2:$N$2000,14,0),1)</f>
        <v>1</v>
      </c>
      <c r="U357" s="5">
        <f t="shared" si="124"/>
        <v>56.044173696473649</v>
      </c>
      <c r="V357" s="5" t="str">
        <f>IF(U357&gt;=MAX(_xlfn.PERCENTILE.INC($U$2:$U$1194,PARAMS_MODELO!$B$50),PARAMS_MODELO!$B$45),"DIAMANTE",IF(U357&gt;=MAX(_xlfn.PERCENTILE.INC($U$2:$U$1194,PARAMS_MODELO!$B$51),PARAMS_MODELO!$B$46),"PLATINO",IF(U357&gt;=MAX(_xlfn.PERCENTILE.INC($U$2:$U$1194,PARAMS_MODELO!$B$52),PARAMS_MODELO!$B$47),"ORO",IF(U357&gt;=MAX(_xlfn.PERCENTILE.INC($U$2:$U$1194,PARAMS_MODELO!$B$53),PARAMS_MODELO!$B$48),"PLATA",IF(U357&gt;=1,"BRONCE","CERRADO")))))</f>
        <v>PLATA</v>
      </c>
      <c r="W357" s="5" t="str" cm="1">
        <f t="array" ref="W357">_xlfn.XLOOKUP(1, (HIST_SCORE!$B:$B=PARAMS_MODELO!$B$4) * (HIST_SCORE!$C:$C=A357), HIST_SCORE!$E:$E, "No encontrado")</f>
        <v>ORO</v>
      </c>
      <c r="X357" s="5" t="str">
        <f>_xlfn.LET(_xlpm.act,MATCH(V357,{"DIAMANTE";"PLATINO";"ORO";"PLATA";"BRONCE";"CERRADO"},0),_xlpm.ant,MATCH(W357,{"DIAMANTE";"PLATINO";"ORO";"PLATA";"BRONCE";"CERRADO"},0),IF(_xlpm.act&lt;_xlpm.ant,"Mejora ↑",IF(_xlpm.act&gt;_xlpm.ant,"Baja ↓","Estable →")))</f>
        <v>Baja ↓</v>
      </c>
      <c r="Y357" s="5">
        <f>IFERROR(U357-SUMIFS(HIST_SCORE!$D:$D,HIST_SCORE!$B:$B,PARAMS_MODELO!$B$4,HIST_SCORE!$C:$C,$A357),"")</f>
        <v>-29.020111586049183</v>
      </c>
      <c r="Z357" s="5" t="str">
        <f t="shared" si="125"/>
        <v>↓ Baja</v>
      </c>
      <c r="AA357" s="5">
        <f t="shared" si="126"/>
        <v>701</v>
      </c>
      <c r="AB357" s="5">
        <f>IFERROR(SUMIFS(HIST_SCORE!$F:$F,HIST_SCORE!$B:$B,PARAMS_MODELO!$B$4,HIST_SCORE!$C:$C,$A357),"")</f>
        <v>264</v>
      </c>
      <c r="AC357" s="5">
        <f t="shared" si="127"/>
        <v>-437</v>
      </c>
      <c r="AD357" t="str">
        <f t="shared" si="129"/>
        <v/>
      </c>
      <c r="AE3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357="CERRADO",1,IF(V357="BRONCE",_xlpm.cPl,IF(V357="PLATA",_xlpm.cO,IF(V357="ORO",_xlpm.cP,IF(V357="PLATINO",_xlpm.cD,999))))))</f>
        <v>63.199193273331495</v>
      </c>
      <c r="AF3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357="CERRADO",0,IF(V357="BRONCE",1,IF(V357="PLATA",_xlpm.cPl,IF(V357="ORO",_xlpm.cO,IF(V357="PLATINO",_xlpm.cP,_xlpm.cD))))))</f>
        <v>24.506573482968111</v>
      </c>
      <c r="AG357">
        <f t="shared" si="130"/>
        <v>7.1550195768578462</v>
      </c>
      <c r="AH357" t="str">
        <f t="shared" si="131"/>
        <v>VENTAS</v>
      </c>
      <c r="AI357" t="str">
        <f t="shared" si="128"/>
        <v>🎯 Para subir de categoría, eje VENTAS / DIFERENCIAL vs LOTBA (J). Acción: metas semanales + activación comercial + seguimiento del asesor. ΔR aprox: 7,2</v>
      </c>
      <c r="AJ357" s="26">
        <f>_xlfn.LET(_xlpm.piso,AF357,_xlpm.corte,AE357,_xlpm.prog,IF(_xlpm.corte&lt;=_xlpm.piso,0,MAX(0,MIN(1,(U357-_xlpm.piso)/(_xlpm.corte-_xlpm.piso)))),_xlpm.orden,{"DIAMANTE";"PLATINO";"ORO";"PLATA";"BRONCE";"CERRADO"},_xlpm.act,IFERROR(MATCH(V357,_xlpm.orden,0),6),_xlpm.ant,IFERROR(MATCH(W357,_xlpm.orden,0),6),_xlpm.ajmov,IF(_xlpm.act&lt;_xlpm.ant,0.08,IF(_xlpm.act&gt;_xlpm.ant,-0.08,0)),_xlpm.ajcli,IF(T357&lt;0.95,-0.06,0),_xlpm.prob,MAX(0,MIN(1,_xlpm.prog+_xlpm.ajmov+_xlpm.ajcli)),IF(OR(V357="DIAMANTE",V357="CERRADO"),0,ROUND(_xlpm.prob,2)))</f>
        <v>0.74</v>
      </c>
      <c r="AK357" t="str">
        <f t="shared" si="132"/>
        <v>Faltan 7,2 puntos base para subir a la siguiente categoría</v>
      </c>
      <c r="AL357" t="str">
        <f t="shared" si="133"/>
        <v>Margen de seguridad: 31,5 puntos</v>
      </c>
      <c r="AM357">
        <f t="shared" si="134"/>
        <v>0.39</v>
      </c>
      <c r="AN357" t="str">
        <f t="shared" si="135"/>
        <v>PRIORIDAD BAJA – control normal</v>
      </c>
      <c r="AO357">
        <f t="shared" si="136"/>
        <v>41.27559437894152</v>
      </c>
      <c r="AP357">
        <f t="shared" si="137"/>
        <v>0.44280119988041911</v>
      </c>
      <c r="AQ357">
        <f t="shared" si="138"/>
        <v>0</v>
      </c>
      <c r="AR357">
        <f t="shared" si="139"/>
        <v>2.0999999999999996</v>
      </c>
      <c r="AS357">
        <f t="shared" si="140"/>
        <v>0</v>
      </c>
      <c r="AT357" t="str">
        <f t="shared" si="141"/>
        <v>VENTAS</v>
      </c>
      <c r="AU357">
        <f t="shared" si="142"/>
        <v>41.27559437894152</v>
      </c>
      <c r="AV357" t="str">
        <f t="shared" si="143"/>
        <v>Mayor retorno probable: VENTAS (+41,3 puntos finales potenciales).</v>
      </c>
    </row>
    <row r="358" spans="1:48" x14ac:dyDescent="0.3">
      <c r="A358" s="5">
        <v>51039238</v>
      </c>
      <c r="B358" s="5" t="str">
        <f>IFERROR(VLOOKUP(A358,VENTAS!$A$2:$B$1194,2,0),"")</f>
        <v>ARGUELLO</v>
      </c>
      <c r="C358" s="5">
        <f>IFERROR(INDEX(VENTAS!$C$2:$E$1194,MATCH(A358,VENTAS!$A$2:$A$1194,0),MATCH(PARAMS_MODELO!$B$2,{"Q1","Q2","Q3"},0)),0)</f>
        <v>117297548.84</v>
      </c>
      <c r="D358" s="5">
        <f>IFERROR(INDEX(VENTAS!$F$2:$H$1194,MATCH(A358,VENTAS!$A$2:$A$1194,0),MATCH(PARAMS_MODELO!$B$2,{"Q1","Q2","Q3"},0)),0)</f>
        <v>96387525</v>
      </c>
      <c r="E358" s="8">
        <f t="shared" si="120"/>
        <v>-0.17826479791595962</v>
      </c>
      <c r="F358" s="12">
        <f>IF(E358&lt;=PARAMS_MODELO!$B$15,0,IF(E358&gt;=PARAMS_MODELO!$B$17,100,100*MIN(1,(E358-PARAMS_MODELO!$B$15)/(PARAMS_MODELO!$B$16-PARAMS_MODELO!$B$15))))*PARAMS_MODELO!$B$7</f>
        <v>0</v>
      </c>
      <c r="G358" s="5">
        <f t="shared" si="121"/>
        <v>0</v>
      </c>
      <c r="H358" s="5">
        <f>(PARAMS_MODELO!$B$20*(MAX(0,MIN(3,E358))/3)+PARAMS_MODELO!$B$21*(IFERROR(LN(1+MAX(0,G358))/LN(1+MAX(0,MAX($G$2:$G$1194))),0)))*100*PARAMS_MODELO!$B$8</f>
        <v>0</v>
      </c>
      <c r="I358" s="8">
        <f>E358-PARAMS_MODELO!$B$5</f>
        <v>-0.35582763329148615</v>
      </c>
      <c r="J358" s="5">
        <f>IF(I358&lt;=PARAMS_MODELO!$B$18,0,IF(I358&gt;=PARAMS_MODELO!$B$19,100,100*(I358-PARAMS_MODELO!$B$18)/(PARAMS_MODELO!$B$19-PARAMS_MODELO!$B$18)))*PARAMS_MODELO!$B$9</f>
        <v>0</v>
      </c>
      <c r="K358" s="5">
        <f>IFERROR(CHOOSE(MATCH(PARAMS_MODELO!$B$2,{"Q1","Q2","Q3"},0),LOTO!$D358,LOTO!$F358,LOTO!$H358),0)</f>
        <v>4670000</v>
      </c>
      <c r="L358" s="8">
        <f t="shared" si="122"/>
        <v>4.8450253287445649E-2</v>
      </c>
      <c r="M358" s="5">
        <f>MIN(100,IF(PARAMS_MODELO!$B$23=0,0,100*L358/PARAMS_MODELO!$B$23))*PARAMS_MODELO!$B$10</f>
        <v>14.535075986233691</v>
      </c>
      <c r="N358" s="5">
        <f>IFERROR(VLOOKUP(A358,COMPLIANCE!$A$2:$F$1996,6,0),100)</f>
        <v>100</v>
      </c>
      <c r="O358" s="5">
        <f>N358*PARAMS_MODELO!$B$11</f>
        <v>10</v>
      </c>
      <c r="P358" s="5">
        <f>IFERROR(VLOOKUP(A358,DIGITAL!$A$2:$J$2000,7,0),100)</f>
        <v>28</v>
      </c>
      <c r="Q358" s="5">
        <f>IFERROR(P358,0)*PARAMS_MODELO!$B$12</f>
        <v>2.8000000000000003</v>
      </c>
      <c r="R358">
        <f t="shared" si="123"/>
        <v>27.335075986233694</v>
      </c>
      <c r="S358" s="5" t="str">
        <f>IFERROR(VLOOKUP(A358,CLIENTE!$A$2:$N$2000,13,0),1)</f>
        <v>Bueno</v>
      </c>
      <c r="T358" s="5">
        <f>IFERROR(VLOOKUP(A358,CLIENTE!$A$2:$N$2000,14,0),1)</f>
        <v>1.1000000000000001</v>
      </c>
      <c r="U358" s="5">
        <f t="shared" si="124"/>
        <v>30.068583584857066</v>
      </c>
      <c r="V358" s="5" t="str">
        <f>IF(U358&gt;=MAX(_xlfn.PERCENTILE.INC($U$2:$U$1194,PARAMS_MODELO!$B$50),PARAMS_MODELO!$B$45),"DIAMANTE",IF(U358&gt;=MAX(_xlfn.PERCENTILE.INC($U$2:$U$1194,PARAMS_MODELO!$B$51),PARAMS_MODELO!$B$46),"PLATINO",IF(U358&gt;=MAX(_xlfn.PERCENTILE.INC($U$2:$U$1194,PARAMS_MODELO!$B$52),PARAMS_MODELO!$B$47),"ORO",IF(U358&gt;=MAX(_xlfn.PERCENTILE.INC($U$2:$U$1194,PARAMS_MODELO!$B$53),PARAMS_MODELO!$B$48),"PLATA",IF(U358&gt;=1,"BRONCE","CERRADO")))))</f>
        <v>PLATA</v>
      </c>
      <c r="W358" s="5" t="str" cm="1">
        <f t="array" ref="W358">_xlfn.XLOOKUP(1, (HIST_SCORE!$B:$B=PARAMS_MODELO!$B$4) * (HIST_SCORE!$C:$C=A358), HIST_SCORE!$E:$E, "No encontrado")</f>
        <v>PLATA</v>
      </c>
      <c r="X358" s="5" t="str">
        <f>_xlfn.LET(_xlpm.act,MATCH(V358,{"DIAMANTE";"PLATINO";"ORO";"PLATA";"BRONCE";"CERRADO"},0),_xlpm.ant,MATCH(W358,{"DIAMANTE";"PLATINO";"ORO";"PLATA";"BRONCE";"CERRADO"},0),IF(_xlpm.act&lt;_xlpm.ant,"Mejora ↑",IF(_xlpm.act&gt;_xlpm.ant,"Baja ↓","Estable →")))</f>
        <v>Estable →</v>
      </c>
      <c r="Y358" s="5">
        <f>IFERROR(U358-SUMIFS(HIST_SCORE!$D:$D,HIST_SCORE!$B:$B,PARAMS_MODELO!$B$4,HIST_SCORE!$C:$C,$A358),"")</f>
        <v>0.91976164050959852</v>
      </c>
      <c r="Z358" s="5" t="str">
        <f t="shared" si="125"/>
        <v>→ Estable</v>
      </c>
      <c r="AA358" s="5">
        <f t="shared" si="126"/>
        <v>864</v>
      </c>
      <c r="AB358" s="5">
        <f>IFERROR(SUMIFS(HIST_SCORE!$F:$F,HIST_SCORE!$B:$B,PARAMS_MODELO!$B$4,HIST_SCORE!$C:$C,$A358),"")</f>
        <v>916</v>
      </c>
      <c r="AC358" s="5">
        <f t="shared" si="127"/>
        <v>52</v>
      </c>
      <c r="AD358" t="str">
        <f t="shared" si="129"/>
        <v/>
      </c>
      <c r="AE3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358="CERRADO",1,IF(V358="BRONCE",_xlpm.cPl,IF(V358="PLATA",_xlpm.cO,IF(V358="ORO",_xlpm.cP,IF(V358="PLATINO",_xlpm.cD,999))))))</f>
        <v>63.199193273331495</v>
      </c>
      <c r="AF3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358="CERRADO",0,IF(V358="BRONCE",1,IF(V358="PLATA",_xlpm.cPl,IF(V358="ORO",_xlpm.cO,IF(V358="PLATINO",_xlpm.cP,_xlpm.cD))))))</f>
        <v>24.506573482968111</v>
      </c>
      <c r="AG358">
        <f t="shared" si="130"/>
        <v>30.118736080431301</v>
      </c>
      <c r="AH358" t="str">
        <f t="shared" si="131"/>
        <v>VENTAS</v>
      </c>
      <c r="AI358" t="str">
        <f t="shared" si="128"/>
        <v>🎯 Para subir de categoría, eje VENTAS / CRECIMIENTO PERSONAL (F). Acción: metas semanales + activación comercial + seguimiento del asesor. ΔR aprox: 30,1</v>
      </c>
      <c r="AJ358" s="26">
        <f>_xlfn.LET(_xlpm.piso,AF358,_xlpm.corte,AE358,_xlpm.prog,IF(_xlpm.corte&lt;=_xlpm.piso,0,MAX(0,MIN(1,(U358-_xlpm.piso)/(_xlpm.corte-_xlpm.piso)))),_xlpm.orden,{"DIAMANTE";"PLATINO";"ORO";"PLATA";"BRONCE";"CERRADO"},_xlpm.act,IFERROR(MATCH(V358,_xlpm.orden,0),6),_xlpm.ant,IFERROR(MATCH(W358,_xlpm.orden,0),6),_xlpm.ajmov,IF(_xlpm.act&lt;_xlpm.ant,0.08,IF(_xlpm.act&gt;_xlpm.ant,-0.08,0)),_xlpm.ajcli,IF(T358&lt;0.95,-0.06,0),_xlpm.prob,MAX(0,MIN(1,_xlpm.prog+_xlpm.ajmov+_xlpm.ajcli)),IF(OR(V358="DIAMANTE",V358="CERRADO"),0,ROUND(_xlpm.prob,2)))</f>
        <v>0.14000000000000001</v>
      </c>
      <c r="AK358" t="str">
        <f t="shared" si="132"/>
        <v>Faltan 30,1 puntos base para subir a la siguiente categoría</v>
      </c>
      <c r="AL358" t="str">
        <f t="shared" si="133"/>
        <v>Margen de seguridad: 5,6 puntos</v>
      </c>
      <c r="AM358">
        <f t="shared" si="134"/>
        <v>0.74</v>
      </c>
      <c r="AN358" t="str">
        <f t="shared" si="135"/>
        <v>PRIORIDAD ALTA – requiere intervención inmediata</v>
      </c>
      <c r="AO358">
        <f t="shared" si="136"/>
        <v>71.348826202825151</v>
      </c>
      <c r="AP358">
        <f t="shared" si="137"/>
        <v>0.51141641514293978</v>
      </c>
      <c r="AQ358">
        <f t="shared" si="138"/>
        <v>0</v>
      </c>
      <c r="AR358">
        <f t="shared" si="139"/>
        <v>7.92</v>
      </c>
      <c r="AS358">
        <f t="shared" si="140"/>
        <v>0</v>
      </c>
      <c r="AT358" t="str">
        <f t="shared" si="141"/>
        <v>VENTAS</v>
      </c>
      <c r="AU358">
        <f t="shared" si="142"/>
        <v>71.348826202825151</v>
      </c>
      <c r="AV358" t="str">
        <f t="shared" si="143"/>
        <v>Mayor retorno probable: VENTAS (+71,3 puntos finales potenciales).</v>
      </c>
    </row>
    <row r="359" spans="1:48" x14ac:dyDescent="0.3">
      <c r="A359" s="5">
        <v>51007701</v>
      </c>
      <c r="B359" s="5" t="str">
        <f>IFERROR(VLOOKUP(A359,VENTAS!$A$2:$B$1194,2,0),"")</f>
        <v>PUGH</v>
      </c>
      <c r="C359" s="5">
        <f>IFERROR(INDEX(VENTAS!$C$2:$E$1194,MATCH(A359,VENTAS!$A$2:$A$1194,0),MATCH(PARAMS_MODELO!$B$2,{"Q1","Q2","Q3"},0)),0)</f>
        <v>59159576.789999999</v>
      </c>
      <c r="D359" s="5">
        <f>IFERROR(INDEX(VENTAS!$F$2:$H$1194,MATCH(A359,VENTAS!$A$2:$A$1194,0),MATCH(PARAMS_MODELO!$B$2,{"Q1","Q2","Q3"},0)),0)</f>
        <v>96283981</v>
      </c>
      <c r="E359" s="8">
        <f t="shared" si="120"/>
        <v>0.62752991526260038</v>
      </c>
      <c r="F359" s="12">
        <f>IF(E359&lt;=PARAMS_MODELO!$B$15,0,IF(E359&gt;=PARAMS_MODELO!$B$17,100,100*MIN(1,(E359-PARAMS_MODELO!$B$15)/(PARAMS_MODELO!$B$16-PARAMS_MODELO!$B$15))))*PARAMS_MODELO!$B$7</f>
        <v>35</v>
      </c>
      <c r="G359" s="5">
        <f t="shared" si="121"/>
        <v>37124404.210000001</v>
      </c>
      <c r="H359" s="5">
        <f>(PARAMS_MODELO!$B$20*(MAX(0,MIN(3,E359))/3)+PARAMS_MODELO!$B$21*(IFERROR(LN(1+MAX(0,G359))/LN(1+MAX(0,MAX($G$2:$G$1194))),0)))*100*PARAMS_MODELO!$B$8</f>
        <v>6.2821396706450923</v>
      </c>
      <c r="I359" s="8">
        <f>E359-PARAMS_MODELO!$B$5</f>
        <v>0.44996707988707385</v>
      </c>
      <c r="J359" s="5">
        <f>IF(I359&lt;=PARAMS_MODELO!$B$18,0,IF(I359&gt;=PARAMS_MODELO!$B$19,100,100*(I359-PARAMS_MODELO!$B$18)/(PARAMS_MODELO!$B$19-PARAMS_MODELO!$B$18)))*PARAMS_MODELO!$B$9</f>
        <v>15</v>
      </c>
      <c r="K359" s="5">
        <f>IFERROR(CHOOSE(MATCH(PARAMS_MODELO!$B$2,{"Q1","Q2","Q3"},0),LOTO!$D359,LOTO!$F359,LOTO!$H359),0)</f>
        <v>4660000</v>
      </c>
      <c r="L359" s="8">
        <f t="shared" si="122"/>
        <v>4.8398497357519936E-2</v>
      </c>
      <c r="M359" s="5">
        <f>MIN(100,IF(PARAMS_MODELO!$B$23=0,0,100*L359/PARAMS_MODELO!$B$23))*PARAMS_MODELO!$B$10</f>
        <v>14.519549207255981</v>
      </c>
      <c r="N359" s="5">
        <f>IFERROR(VLOOKUP(A359,COMPLIANCE!$A$2:$F$1996,6,0),100)</f>
        <v>99.98</v>
      </c>
      <c r="O359" s="5">
        <f>N359*PARAMS_MODELO!$B$11</f>
        <v>9.9980000000000011</v>
      </c>
      <c r="P359" s="5">
        <f>IFERROR(VLOOKUP(A359,DIGITAL!$A$2:$J$2000,7,0),100)</f>
        <v>92</v>
      </c>
      <c r="Q359" s="5">
        <f>IFERROR(P359,0)*PARAMS_MODELO!$B$12</f>
        <v>9.2000000000000011</v>
      </c>
      <c r="R359">
        <f t="shared" si="123"/>
        <v>89.999688877901079</v>
      </c>
      <c r="S359" s="5" t="str">
        <f>IFERROR(VLOOKUP(A359,CLIENTE!$A$2:$N$2000,13,0),1)</f>
        <v>Muy Bueno</v>
      </c>
      <c r="T359" s="5">
        <f>IFERROR(VLOOKUP(A359,CLIENTE!$A$2:$N$2000,14,0),1)</f>
        <v>1.1499999999999999</v>
      </c>
      <c r="U359" s="5">
        <f t="shared" si="124"/>
        <v>100</v>
      </c>
      <c r="V359" s="5" t="str">
        <f>IF(U359&gt;=MAX(_xlfn.PERCENTILE.INC($U$2:$U$1194,PARAMS_MODELO!$B$50),PARAMS_MODELO!$B$45),"DIAMANTE",IF(U359&gt;=MAX(_xlfn.PERCENTILE.INC($U$2:$U$1194,PARAMS_MODELO!$B$51),PARAMS_MODELO!$B$46),"PLATINO",IF(U359&gt;=MAX(_xlfn.PERCENTILE.INC($U$2:$U$1194,PARAMS_MODELO!$B$52),PARAMS_MODELO!$B$47),"ORO",IF(U359&gt;=MAX(_xlfn.PERCENTILE.INC($U$2:$U$1194,PARAMS_MODELO!$B$53),PARAMS_MODELO!$B$48),"PLATA",IF(U359&gt;=1,"BRONCE","CERRADO")))))</f>
        <v>DIAMANTE</v>
      </c>
      <c r="W359" s="5" t="str" cm="1">
        <f t="array" ref="W359">_xlfn.XLOOKUP(1, (HIST_SCORE!$B:$B=PARAMS_MODELO!$B$4) * (HIST_SCORE!$C:$C=A359), HIST_SCORE!$E:$E, "No encontrado")</f>
        <v>ORO</v>
      </c>
      <c r="X359" s="5" t="str">
        <f>_xlfn.LET(_xlpm.act,MATCH(V359,{"DIAMANTE";"PLATINO";"ORO";"PLATA";"BRONCE";"CERRADO"},0),_xlpm.ant,MATCH(W359,{"DIAMANTE";"PLATINO";"ORO";"PLATA";"BRONCE";"CERRADO"},0),IF(_xlpm.act&lt;_xlpm.ant,"Mejora ↑",IF(_xlpm.act&gt;_xlpm.ant,"Baja ↓","Estable →")))</f>
        <v>Mejora ↑</v>
      </c>
      <c r="Y359" s="5">
        <f>IFERROR(U359-SUMIFS(HIST_SCORE!$D:$D,HIST_SCORE!$B:$B,PARAMS_MODELO!$B$4,HIST_SCORE!$C:$C,$A359),"")</f>
        <v>15.783411367727311</v>
      </c>
      <c r="Z359" s="5" t="str">
        <f t="shared" si="125"/>
        <v>↑ Mejora</v>
      </c>
      <c r="AA359" s="5">
        <f t="shared" si="126"/>
        <v>1</v>
      </c>
      <c r="AB359" s="5">
        <f>IFERROR(SUMIFS(HIST_SCORE!$F:$F,HIST_SCORE!$B:$B,PARAMS_MODELO!$B$4,HIST_SCORE!$C:$C,$A359),"")</f>
        <v>284</v>
      </c>
      <c r="AC359" s="5">
        <f t="shared" si="127"/>
        <v>283</v>
      </c>
      <c r="AD359" t="str">
        <f t="shared" si="129"/>
        <v/>
      </c>
      <c r="AE3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359="CERRADO",1,IF(V359="BRONCE",_xlpm.cPl,IF(V359="PLATA",_xlpm.cO,IF(V359="ORO",_xlpm.cP,IF(V359="PLATINO",_xlpm.cD,999))))))</f>
        <v>999</v>
      </c>
      <c r="AF3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359="CERRADO",0,IF(V359="BRONCE",1,IF(V359="PLATA",_xlpm.cPl,IF(V359="ORO",_xlpm.cO,IF(V359="PLATINO",_xlpm.cP,_xlpm.cD))))))</f>
        <v>96.054919694466676</v>
      </c>
      <c r="AG359">
        <f t="shared" si="130"/>
        <v>778.695963296012</v>
      </c>
      <c r="AH359" t="str">
        <f t="shared" si="131"/>
        <v>SOSTENER</v>
      </c>
      <c r="AI359" t="str">
        <f t="shared" si="128"/>
        <v>✅ Mantener desempeño y monitorear variaciones para sostener categoría.</v>
      </c>
      <c r="AJ359" s="26">
        <f>_xlfn.LET(_xlpm.piso,AF359,_xlpm.corte,AE359,_xlpm.prog,IF(_xlpm.corte&lt;=_xlpm.piso,0,MAX(0,MIN(1,(U359-_xlpm.piso)/(_xlpm.corte-_xlpm.piso)))),_xlpm.orden,{"DIAMANTE";"PLATINO";"ORO";"PLATA";"BRONCE";"CERRADO"},_xlpm.act,IFERROR(MATCH(V359,_xlpm.orden,0),6),_xlpm.ant,IFERROR(MATCH(W359,_xlpm.orden,0),6),_xlpm.ajmov,IF(_xlpm.act&lt;_xlpm.ant,0.08,IF(_xlpm.act&gt;_xlpm.ant,-0.08,0)),_xlpm.ajcli,IF(T359&lt;0.95,-0.06,0),_xlpm.prob,MAX(0,MIN(1,_xlpm.prog+_xlpm.ajmov+_xlpm.ajcli)),IF(OR(V359="DIAMANTE",V359="CERRADO"),0,ROUND(_xlpm.prob,2)))</f>
        <v>0</v>
      </c>
      <c r="AK359" t="str">
        <f t="shared" si="132"/>
        <v>No aplica</v>
      </c>
      <c r="AL359" t="str">
        <f t="shared" si="133"/>
        <v>Margen de seguridad: 3,9 puntos</v>
      </c>
      <c r="AM359">
        <f t="shared" si="134"/>
        <v>0.8</v>
      </c>
      <c r="AN359" t="str">
        <f t="shared" si="135"/>
        <v>PRIORIDAD ALTA – requiere intervención inmediata</v>
      </c>
      <c r="AO359">
        <f t="shared" si="136"/>
        <v>9.8674940453480637</v>
      </c>
      <c r="AP359">
        <f t="shared" si="137"/>
        <v>0.55251841165562199</v>
      </c>
      <c r="AQ359">
        <f t="shared" si="138"/>
        <v>2.2999999999987249E-3</v>
      </c>
      <c r="AR359">
        <f t="shared" si="139"/>
        <v>0.91999999999999871</v>
      </c>
      <c r="AS359">
        <f t="shared" si="140"/>
        <v>0</v>
      </c>
      <c r="AT359" t="str">
        <f t="shared" si="141"/>
        <v>VENTAS</v>
      </c>
      <c r="AU359">
        <f t="shared" si="142"/>
        <v>9.8674940453480637</v>
      </c>
      <c r="AV359" t="str">
        <f t="shared" si="143"/>
        <v>Mayor retorno probable: VENTAS (+9,9 puntos finales potenciales).</v>
      </c>
    </row>
    <row r="360" spans="1:48" x14ac:dyDescent="0.3">
      <c r="A360" s="5">
        <v>51034228</v>
      </c>
      <c r="B360" s="5" t="str">
        <f>IFERROR(VLOOKUP(A360,VENTAS!$A$2:$B$1194,2,0),"")</f>
        <v>NELLI</v>
      </c>
      <c r="C360" s="5">
        <f>IFERROR(INDEX(VENTAS!$C$2:$E$1194,MATCH(A360,VENTAS!$A$2:$A$1194,0),MATCH(PARAMS_MODELO!$B$2,{"Q1","Q2","Q3"},0)),0)</f>
        <v>68677256.450000003</v>
      </c>
      <c r="D360" s="5">
        <f>IFERROR(INDEX(VENTAS!$F$2:$H$1194,MATCH(A360,VENTAS!$A$2:$A$1194,0),MATCH(PARAMS_MODELO!$B$2,{"Q1","Q2","Q3"},0)),0)</f>
        <v>96276166</v>
      </c>
      <c r="E360" s="8">
        <f t="shared" si="120"/>
        <v>0.40186389172510384</v>
      </c>
      <c r="F360" s="12">
        <f>IF(E360&lt;=PARAMS_MODELO!$B$15,0,IF(E360&gt;=PARAMS_MODELO!$B$17,100,100*MIN(1,(E360-PARAMS_MODELO!$B$15)/(PARAMS_MODELO!$B$16-PARAMS_MODELO!$B$15))))*PARAMS_MODELO!$B$7</f>
        <v>35</v>
      </c>
      <c r="G360" s="5">
        <f t="shared" si="121"/>
        <v>27598909.549999997</v>
      </c>
      <c r="H360" s="5">
        <f>(PARAMS_MODELO!$B$20*(MAX(0,MIN(3,E360))/3)+PARAMS_MODELO!$B$21*(IFERROR(LN(1+MAX(0,G360))/LN(1+MAX(0,MAX($G$2:$G$1194))),0)))*100*PARAMS_MODELO!$B$8</f>
        <v>5.4228052529078674</v>
      </c>
      <c r="I360" s="8">
        <f>E360-PARAMS_MODELO!$B$5</f>
        <v>0.22430105634957731</v>
      </c>
      <c r="J360" s="5">
        <f>IF(I360&lt;=PARAMS_MODELO!$B$18,0,IF(I360&gt;=PARAMS_MODELO!$B$19,100,100*(I360-PARAMS_MODELO!$B$18)/(PARAMS_MODELO!$B$19-PARAMS_MODELO!$B$18)))*PARAMS_MODELO!$B$9</f>
        <v>15</v>
      </c>
      <c r="K360" s="5">
        <f>IFERROR(CHOOSE(MATCH(PARAMS_MODELO!$B$2,{"Q1","Q2","Q3"},0),LOTO!$D360,LOTO!$F360,LOTO!$H360),0)</f>
        <v>4645000</v>
      </c>
      <c r="L360" s="8">
        <f t="shared" si="122"/>
        <v>4.8246624195649838E-2</v>
      </c>
      <c r="M360" s="5">
        <f>MIN(100,IF(PARAMS_MODELO!$B$23=0,0,100*L360/PARAMS_MODELO!$B$23))*PARAMS_MODELO!$B$10</f>
        <v>14.473987258694951</v>
      </c>
      <c r="N360" s="5">
        <f>IFERROR(VLOOKUP(A360,COMPLIANCE!$A$2:$F$1996,6,0),100)</f>
        <v>100</v>
      </c>
      <c r="O360" s="5">
        <f>N360*PARAMS_MODELO!$B$11</f>
        <v>10</v>
      </c>
      <c r="P360" s="5">
        <f>IFERROR(VLOOKUP(A360,DIGITAL!$A$2:$J$2000,7,0),100)</f>
        <v>64</v>
      </c>
      <c r="Q360" s="5">
        <f>IFERROR(P360,0)*PARAMS_MODELO!$B$12</f>
        <v>6.4</v>
      </c>
      <c r="R360">
        <f t="shared" si="123"/>
        <v>86.296792511602817</v>
      </c>
      <c r="S360" s="5" t="str">
        <f>IFERROR(VLOOKUP(A360,CLIENTE!$A$2:$N$2000,13,0),1)</f>
        <v>Malo</v>
      </c>
      <c r="T360" s="5">
        <f>IFERROR(VLOOKUP(A360,CLIENTE!$A$2:$N$2000,14,0),1)</f>
        <v>0.7</v>
      </c>
      <c r="U360" s="5">
        <f t="shared" si="124"/>
        <v>60.407754758121968</v>
      </c>
      <c r="V360" s="5" t="str">
        <f>IF(U360&gt;=MAX(_xlfn.PERCENTILE.INC($U$2:$U$1194,PARAMS_MODELO!$B$50),PARAMS_MODELO!$B$45),"DIAMANTE",IF(U360&gt;=MAX(_xlfn.PERCENTILE.INC($U$2:$U$1194,PARAMS_MODELO!$B$51),PARAMS_MODELO!$B$46),"PLATINO",IF(U360&gt;=MAX(_xlfn.PERCENTILE.INC($U$2:$U$1194,PARAMS_MODELO!$B$52),PARAMS_MODELO!$B$47),"ORO",IF(U360&gt;=MAX(_xlfn.PERCENTILE.INC($U$2:$U$1194,PARAMS_MODELO!$B$53),PARAMS_MODELO!$B$48),"PLATA",IF(U360&gt;=1,"BRONCE","CERRADO")))))</f>
        <v>PLATA</v>
      </c>
      <c r="W360" s="5" t="str" cm="1">
        <f t="array" ref="W360">_xlfn.XLOOKUP(1, (HIST_SCORE!$B:$B=PARAMS_MODELO!$B$4) * (HIST_SCORE!$C:$C=A360), HIST_SCORE!$E:$E, "No encontrado")</f>
        <v>PLATA</v>
      </c>
      <c r="X360" s="5" t="str">
        <f>_xlfn.LET(_xlpm.act,MATCH(V360,{"DIAMANTE";"PLATINO";"ORO";"PLATA";"BRONCE";"CERRADO"},0),_xlpm.ant,MATCH(W360,{"DIAMANTE";"PLATINO";"ORO";"PLATA";"BRONCE";"CERRADO"},0),IF(_xlpm.act&lt;_xlpm.ant,"Mejora ↑",IF(_xlpm.act&gt;_xlpm.ant,"Baja ↓","Estable →")))</f>
        <v>Estable →</v>
      </c>
      <c r="Y360" s="5">
        <f>IFERROR(U360-SUMIFS(HIST_SCORE!$D:$D,HIST_SCORE!$B:$B,PARAMS_MODELO!$B$4,HIST_SCORE!$C:$C,$A360),"")</f>
        <v>-0.82574805675647411</v>
      </c>
      <c r="Z360" s="5" t="str">
        <f t="shared" si="125"/>
        <v>→ Estable</v>
      </c>
      <c r="AA360" s="5">
        <f t="shared" si="126"/>
        <v>609</v>
      </c>
      <c r="AB360" s="5">
        <f>IFERROR(SUMIFS(HIST_SCORE!$F:$F,HIST_SCORE!$B:$B,PARAMS_MODELO!$B$4,HIST_SCORE!$C:$C,$A360),"")</f>
        <v>627</v>
      </c>
      <c r="AC360" s="5">
        <f t="shared" si="127"/>
        <v>18</v>
      </c>
      <c r="AD360" t="str">
        <f t="shared" si="129"/>
        <v/>
      </c>
      <c r="AE3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360="CERRADO",1,IF(V360="BRONCE",_xlpm.cPl,IF(V360="PLATA",_xlpm.cO,IF(V360="ORO",_xlpm.cP,IF(V360="PLATINO",_xlpm.cD,999))))))</f>
        <v>63.199193273331495</v>
      </c>
      <c r="AF3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360="CERRADO",0,IF(V360="BRONCE",1,IF(V360="PLATA",_xlpm.cPl,IF(V360="ORO",_xlpm.cO,IF(V360="PLATINO",_xlpm.cP,_xlpm.cD))))))</f>
        <v>24.506573482968111</v>
      </c>
      <c r="AG360">
        <f t="shared" si="130"/>
        <v>3.9877693074421785</v>
      </c>
      <c r="AH360" t="str">
        <f t="shared" si="131"/>
        <v>CLIENTE</v>
      </c>
      <c r="AI360" t="str">
        <f t="shared" si="128"/>
        <v>🎯 Para subir de categoría, la eje con mayor impacto probable es CLIENTE (coef T). Acción: reducir quejas, mejorar incógnito y empujar reseñas. ΔR aprox: 4,0</v>
      </c>
      <c r="AJ360" s="26">
        <f>_xlfn.LET(_xlpm.piso,AF360,_xlpm.corte,AE360,_xlpm.prog,IF(_xlpm.corte&lt;=_xlpm.piso,0,MAX(0,MIN(1,(U360-_xlpm.piso)/(_xlpm.corte-_xlpm.piso)))),_xlpm.orden,{"DIAMANTE";"PLATINO";"ORO";"PLATA";"BRONCE";"CERRADO"},_xlpm.act,IFERROR(MATCH(V360,_xlpm.orden,0),6),_xlpm.ant,IFERROR(MATCH(W360,_xlpm.orden,0),6),_xlpm.ajmov,IF(_xlpm.act&lt;_xlpm.ant,0.08,IF(_xlpm.act&gt;_xlpm.ant,-0.08,0)),_xlpm.ajcli,IF(T360&lt;0.95,-0.06,0),_xlpm.prob,MAX(0,MIN(1,_xlpm.prog+_xlpm.ajmov+_xlpm.ajcli)),IF(OR(V360="DIAMANTE",V360="CERRADO"),0,ROUND(_xlpm.prob,2)))</f>
        <v>0.87</v>
      </c>
      <c r="AK360" t="str">
        <f t="shared" si="132"/>
        <v>Faltan 4,0 puntos base para subir a la siguiente categoría</v>
      </c>
      <c r="AL360" t="str">
        <f t="shared" si="133"/>
        <v>Margen de seguridad: 35,9 puntos</v>
      </c>
      <c r="AM360">
        <f t="shared" si="134"/>
        <v>0.41</v>
      </c>
      <c r="AN360" t="str">
        <f t="shared" si="135"/>
        <v>PRIORIDAD MEDIA – seguimiento del asesor</v>
      </c>
      <c r="AO360">
        <f t="shared" si="136"/>
        <v>6.6078348156714037</v>
      </c>
      <c r="AP360">
        <f t="shared" si="137"/>
        <v>0.3682089189135343</v>
      </c>
      <c r="AQ360">
        <f t="shared" si="138"/>
        <v>0</v>
      </c>
      <c r="AR360">
        <f t="shared" si="139"/>
        <v>2.5199999999999996</v>
      </c>
      <c r="AS360">
        <f t="shared" si="140"/>
        <v>25.889037753480849</v>
      </c>
      <c r="AT360" t="str">
        <f t="shared" si="141"/>
        <v>CLIENTE</v>
      </c>
      <c r="AU360">
        <f t="shared" si="142"/>
        <v>25.889037753480849</v>
      </c>
      <c r="AV360" t="str">
        <f t="shared" si="143"/>
        <v>Mayor retorno probable: CLIENTE (+25,9 puntos finales potenciales).</v>
      </c>
    </row>
    <row r="361" spans="1:48" x14ac:dyDescent="0.3">
      <c r="A361" s="5">
        <v>51005295</v>
      </c>
      <c r="B361" s="5" t="str">
        <f>IFERROR(VLOOKUP(A361,VENTAS!$A$2:$B$1194,2,0),"")</f>
        <v>AYALA</v>
      </c>
      <c r="C361" s="5">
        <f>IFERROR(INDEX(VENTAS!$C$2:$E$1194,MATCH(A361,VENTAS!$A$2:$A$1194,0),MATCH(PARAMS_MODELO!$B$2,{"Q1","Q2","Q3"},0)),0)</f>
        <v>95588807.930000007</v>
      </c>
      <c r="D361" s="5">
        <f>IFERROR(INDEX(VENTAS!$F$2:$H$1194,MATCH(A361,VENTAS!$A$2:$A$1194,0),MATCH(PARAMS_MODELO!$B$2,{"Q1","Q2","Q3"},0)),0)</f>
        <v>96069725</v>
      </c>
      <c r="E361" s="8">
        <f t="shared" si="120"/>
        <v>5.0311022850308973E-3</v>
      </c>
      <c r="F361" s="12">
        <f>IF(E361&lt;=PARAMS_MODELO!$B$15,0,IF(E361&gt;=PARAMS_MODELO!$B$17,100,100*MIN(1,(E361-PARAMS_MODELO!$B$15)/(PARAMS_MODELO!$B$16-PARAMS_MODELO!$B$15))))*PARAMS_MODELO!$B$7</f>
        <v>1.7608857997608138</v>
      </c>
      <c r="G361" s="5">
        <f t="shared" si="121"/>
        <v>480917.06999999285</v>
      </c>
      <c r="H361" s="5">
        <f>(PARAMS_MODELO!$B$20*(MAX(0,MIN(3,E361))/3)+PARAMS_MODELO!$B$21*(IFERROR(LN(1+MAX(0,G361))/LN(1+MAX(0,MAX($G$2:$G$1194))),0)))*100*PARAMS_MODELO!$B$8</f>
        <v>3.0845527082009454</v>
      </c>
      <c r="I361" s="8">
        <f>E361-PARAMS_MODELO!$B$5</f>
        <v>-0.17253173309049563</v>
      </c>
      <c r="J361" s="5">
        <f>IF(I361&lt;=PARAMS_MODELO!$B$18,0,IF(I361&gt;=PARAMS_MODELO!$B$19,100,100*(I361-PARAMS_MODELO!$B$18)/(PARAMS_MODELO!$B$19-PARAMS_MODELO!$B$18)))*PARAMS_MODELO!$B$9</f>
        <v>0</v>
      </c>
      <c r="K361" s="5">
        <f>IFERROR(CHOOSE(MATCH(PARAMS_MODELO!$B$2,{"Q1","Q2","Q3"},0),LOTO!$D361,LOTO!$F361,LOTO!$H361),0)</f>
        <v>4627500</v>
      </c>
      <c r="L361" s="8">
        <f t="shared" si="122"/>
        <v>4.8168140379292228E-2</v>
      </c>
      <c r="M361" s="5">
        <f>MIN(100,IF(PARAMS_MODELO!$B$23=0,0,100*L361/PARAMS_MODELO!$B$23))*PARAMS_MODELO!$B$10</f>
        <v>14.450442113787664</v>
      </c>
      <c r="N361" s="5">
        <f>IFERROR(VLOOKUP(A361,COMPLIANCE!$A$2:$F$1996,6,0),100)</f>
        <v>100</v>
      </c>
      <c r="O361" s="5">
        <f>N361*PARAMS_MODELO!$B$11</f>
        <v>10</v>
      </c>
      <c r="P361" s="5">
        <f>IFERROR(VLOOKUP(A361,DIGITAL!$A$2:$J$2000,7,0),100)</f>
        <v>32</v>
      </c>
      <c r="Q361" s="5">
        <f>IFERROR(P361,0)*PARAMS_MODELO!$B$12</f>
        <v>3.2</v>
      </c>
      <c r="R361">
        <f t="shared" si="123"/>
        <v>32.495880621749428</v>
      </c>
      <c r="S361" s="5" t="str">
        <f>IFERROR(VLOOKUP(A361,CLIENTE!$A$2:$N$2000,13,0),1)</f>
        <v>Regular</v>
      </c>
      <c r="T361" s="5">
        <f>IFERROR(VLOOKUP(A361,CLIENTE!$A$2:$N$2000,14,0),1)</f>
        <v>1</v>
      </c>
      <c r="U361" s="5">
        <f t="shared" si="124"/>
        <v>32.495880621749428</v>
      </c>
      <c r="V361" s="5" t="str">
        <f>IF(U361&gt;=MAX(_xlfn.PERCENTILE.INC($U$2:$U$1194,PARAMS_MODELO!$B$50),PARAMS_MODELO!$B$45),"DIAMANTE",IF(U361&gt;=MAX(_xlfn.PERCENTILE.INC($U$2:$U$1194,PARAMS_MODELO!$B$51),PARAMS_MODELO!$B$46),"PLATINO",IF(U361&gt;=MAX(_xlfn.PERCENTILE.INC($U$2:$U$1194,PARAMS_MODELO!$B$52),PARAMS_MODELO!$B$47),"ORO",IF(U361&gt;=MAX(_xlfn.PERCENTILE.INC($U$2:$U$1194,PARAMS_MODELO!$B$53),PARAMS_MODELO!$B$48),"PLATA",IF(U361&gt;=1,"BRONCE","CERRADO")))))</f>
        <v>PLATA</v>
      </c>
      <c r="W361" s="5" t="str" cm="1">
        <f t="array" ref="W361">_xlfn.XLOOKUP(1, (HIST_SCORE!$B:$B=PARAMS_MODELO!$B$4) * (HIST_SCORE!$C:$C=A361), HIST_SCORE!$E:$E, "No encontrado")</f>
        <v>PLATA</v>
      </c>
      <c r="X361" s="5" t="str">
        <f>_xlfn.LET(_xlpm.act,MATCH(V361,{"DIAMANTE";"PLATINO";"ORO";"PLATA";"BRONCE";"CERRADO"},0),_xlpm.ant,MATCH(W361,{"DIAMANTE";"PLATINO";"ORO";"PLATA";"BRONCE";"CERRADO"},0),IF(_xlpm.act&lt;_xlpm.ant,"Mejora ↑",IF(_xlpm.act&gt;_xlpm.ant,"Baja ↓","Estable →")))</f>
        <v>Estable →</v>
      </c>
      <c r="Y361" s="5">
        <f>IFERROR(U361-SUMIFS(HIST_SCORE!$D:$D,HIST_SCORE!$B:$B,PARAMS_MODELO!$B$4,HIST_SCORE!$C:$C,$A361),"")</f>
        <v>-1.8102742180823626</v>
      </c>
      <c r="Z361" s="5" t="str">
        <f t="shared" si="125"/>
        <v>→ Estable</v>
      </c>
      <c r="AA361" s="5">
        <f t="shared" si="126"/>
        <v>829</v>
      </c>
      <c r="AB361" s="5">
        <f>IFERROR(SUMIFS(HIST_SCORE!$F:$F,HIST_SCORE!$B:$B,PARAMS_MODELO!$B$4,HIST_SCORE!$C:$C,$A361),"")</f>
        <v>869</v>
      </c>
      <c r="AC361" s="5">
        <f t="shared" si="127"/>
        <v>40</v>
      </c>
      <c r="AD361" t="str">
        <f t="shared" si="129"/>
        <v/>
      </c>
      <c r="AE3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361="CERRADO",1,IF(V361="BRONCE",_xlpm.cPl,IF(V361="PLATA",_xlpm.cO,IF(V361="ORO",_xlpm.cP,IF(V361="PLATINO",_xlpm.cD,999))))))</f>
        <v>63.199193273331495</v>
      </c>
      <c r="AF3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361="CERRADO",0,IF(V361="BRONCE",1,IF(V361="PLATA",_xlpm.cPl,IF(V361="ORO",_xlpm.cO,IF(V361="PLATINO",_xlpm.cP,_xlpm.cD))))))</f>
        <v>24.506573482968111</v>
      </c>
      <c r="AG361">
        <f t="shared" si="130"/>
        <v>30.703312651582067</v>
      </c>
      <c r="AH361" t="str">
        <f t="shared" si="131"/>
        <v>VENTAS</v>
      </c>
      <c r="AI361" t="str">
        <f t="shared" si="128"/>
        <v>🎯 Para subir de categoría, eje VENTAS / DIFERENCIAL vs LOTBA (J). Acción: metas semanales + activación comercial + seguimiento del asesor. ΔR aprox: 30,7</v>
      </c>
      <c r="AJ361" s="26">
        <f>_xlfn.LET(_xlpm.piso,AF361,_xlpm.corte,AE361,_xlpm.prog,IF(_xlpm.corte&lt;=_xlpm.piso,0,MAX(0,MIN(1,(U361-_xlpm.piso)/(_xlpm.corte-_xlpm.piso)))),_xlpm.orden,{"DIAMANTE";"PLATINO";"ORO";"PLATA";"BRONCE";"CERRADO"},_xlpm.act,IFERROR(MATCH(V361,_xlpm.orden,0),6),_xlpm.ant,IFERROR(MATCH(W361,_xlpm.orden,0),6),_xlpm.ajmov,IF(_xlpm.act&lt;_xlpm.ant,0.08,IF(_xlpm.act&gt;_xlpm.ant,-0.08,0)),_xlpm.ajcli,IF(T361&lt;0.95,-0.06,0),_xlpm.prob,MAX(0,MIN(1,_xlpm.prog+_xlpm.ajmov+_xlpm.ajcli)),IF(OR(V361="DIAMANTE",V361="CERRADO"),0,ROUND(_xlpm.prob,2)))</f>
        <v>0.21</v>
      </c>
      <c r="AK361" t="str">
        <f t="shared" si="132"/>
        <v>Faltan 30,7 puntos base para subir a la siguiente categoría</v>
      </c>
      <c r="AL361" t="str">
        <f t="shared" si="133"/>
        <v>Margen de seguridad: 8,0 puntos</v>
      </c>
      <c r="AM361">
        <f t="shared" si="134"/>
        <v>0.72</v>
      </c>
      <c r="AN361" t="str">
        <f t="shared" si="135"/>
        <v>PRIORIDAD ALTA – requiere intervención inmediata</v>
      </c>
      <c r="AO361">
        <f t="shared" si="136"/>
        <v>60.017130767333825</v>
      </c>
      <c r="AP361">
        <f t="shared" si="137"/>
        <v>0.54955788621233559</v>
      </c>
      <c r="AQ361">
        <f t="shared" si="138"/>
        <v>0</v>
      </c>
      <c r="AR361">
        <f t="shared" si="139"/>
        <v>6.8</v>
      </c>
      <c r="AS361">
        <f t="shared" si="140"/>
        <v>0</v>
      </c>
      <c r="AT361" t="str">
        <f t="shared" si="141"/>
        <v>VENTAS</v>
      </c>
      <c r="AU361">
        <f t="shared" si="142"/>
        <v>60.017130767333825</v>
      </c>
      <c r="AV361" t="str">
        <f t="shared" si="143"/>
        <v>Mayor retorno probable: VENTAS (+60,0 puntos finales potenciales).</v>
      </c>
    </row>
    <row r="362" spans="1:48" x14ac:dyDescent="0.3">
      <c r="A362" s="5">
        <v>51023668</v>
      </c>
      <c r="B362" s="5" t="str">
        <f>IFERROR(VLOOKUP(A362,VENTAS!$A$2:$B$1194,2,0),"")</f>
        <v>BELUZZO</v>
      </c>
      <c r="C362" s="5">
        <f>IFERROR(INDEX(VENTAS!$C$2:$E$1194,MATCH(A362,VENTAS!$A$2:$A$1194,0),MATCH(PARAMS_MODELO!$B$2,{"Q1","Q2","Q3"},0)),0)</f>
        <v>66263124.760000013</v>
      </c>
      <c r="D362" s="5">
        <f>IFERROR(INDEX(VENTAS!$F$2:$H$1194,MATCH(A362,VENTAS!$A$2:$A$1194,0),MATCH(PARAMS_MODELO!$B$2,{"Q1","Q2","Q3"},0)),0)</f>
        <v>95617205</v>
      </c>
      <c r="E362" s="8">
        <f t="shared" si="120"/>
        <v>0.44299269535383723</v>
      </c>
      <c r="F362" s="12">
        <f>IF(E362&lt;=PARAMS_MODELO!$B$15,0,IF(E362&gt;=PARAMS_MODELO!$B$17,100,100*MIN(1,(E362-PARAMS_MODELO!$B$15)/(PARAMS_MODELO!$B$16-PARAMS_MODELO!$B$15))))*PARAMS_MODELO!$B$7</f>
        <v>35</v>
      </c>
      <c r="G362" s="5">
        <f t="shared" si="121"/>
        <v>29354080.239999987</v>
      </c>
      <c r="H362" s="5">
        <f>(PARAMS_MODELO!$B$20*(MAX(0,MIN(3,E362))/3)+PARAMS_MODELO!$B$21*(IFERROR(LN(1+MAX(0,G362))/LN(1+MAX(0,MAX($G$2:$G$1194))),0)))*100*PARAMS_MODELO!$B$8</f>
        <v>5.5812089267248366</v>
      </c>
      <c r="I362" s="8">
        <f>E362-PARAMS_MODELO!$B$5</f>
        <v>0.2654298599783107</v>
      </c>
      <c r="J362" s="5">
        <f>IF(I362&lt;=PARAMS_MODELO!$B$18,0,IF(I362&gt;=PARAMS_MODELO!$B$19,100,100*(I362-PARAMS_MODELO!$B$18)/(PARAMS_MODELO!$B$19-PARAMS_MODELO!$B$18)))*PARAMS_MODELO!$B$9</f>
        <v>15</v>
      </c>
      <c r="K362" s="5">
        <f>IFERROR(CHOOSE(MATCH(PARAMS_MODELO!$B$2,{"Q1","Q2","Q3"},0),LOTO!$D362,LOTO!$F362,LOTO!$H362),0)</f>
        <v>4615000</v>
      </c>
      <c r="L362" s="8">
        <f t="shared" si="122"/>
        <v>4.826537232499109E-2</v>
      </c>
      <c r="M362" s="5">
        <f>MIN(100,IF(PARAMS_MODELO!$B$23=0,0,100*L362/PARAMS_MODELO!$B$23))*PARAMS_MODELO!$B$10</f>
        <v>14.479611697497324</v>
      </c>
      <c r="N362" s="5">
        <f>IFERROR(VLOOKUP(A362,COMPLIANCE!$A$2:$F$1996,6,0),100)</f>
        <v>100</v>
      </c>
      <c r="O362" s="5">
        <f>N362*PARAMS_MODELO!$B$11</f>
        <v>10</v>
      </c>
      <c r="P362" s="5">
        <f>IFERROR(VLOOKUP(A362,DIGITAL!$A$2:$J$2000,7,0),100)</f>
        <v>94</v>
      </c>
      <c r="Q362" s="5">
        <f>IFERROR(P362,0)*PARAMS_MODELO!$B$12</f>
        <v>9.4</v>
      </c>
      <c r="R362">
        <f t="shared" si="123"/>
        <v>89.460820624222166</v>
      </c>
      <c r="S362" s="5" t="str">
        <f>IFERROR(VLOOKUP(A362,CLIENTE!$A$2:$N$2000,13,0),1)</f>
        <v>Malo</v>
      </c>
      <c r="T362" s="5">
        <f>IFERROR(VLOOKUP(A362,CLIENTE!$A$2:$N$2000,14,0),1)</f>
        <v>0.7</v>
      </c>
      <c r="U362" s="5">
        <f t="shared" si="124"/>
        <v>62.62257443695551</v>
      </c>
      <c r="V362" s="5" t="str">
        <f>IF(U362&gt;=MAX(_xlfn.PERCENTILE.INC($U$2:$U$1194,PARAMS_MODELO!$B$50),PARAMS_MODELO!$B$45),"DIAMANTE",IF(U362&gt;=MAX(_xlfn.PERCENTILE.INC($U$2:$U$1194,PARAMS_MODELO!$B$51),PARAMS_MODELO!$B$46),"PLATINO",IF(U362&gt;=MAX(_xlfn.PERCENTILE.INC($U$2:$U$1194,PARAMS_MODELO!$B$52),PARAMS_MODELO!$B$47),"ORO",IF(U362&gt;=MAX(_xlfn.PERCENTILE.INC($U$2:$U$1194,PARAMS_MODELO!$B$53),PARAMS_MODELO!$B$48),"PLATA",IF(U362&gt;=1,"BRONCE","CERRADO")))))</f>
        <v>PLATA</v>
      </c>
      <c r="W362" s="5" t="str" cm="1">
        <f t="array" ref="W362">_xlfn.XLOOKUP(1, (HIST_SCORE!$B:$B=PARAMS_MODELO!$B$4) * (HIST_SCORE!$C:$C=A362), HIST_SCORE!$E:$E, "No encontrado")</f>
        <v>PLATA</v>
      </c>
      <c r="X362" s="5" t="str">
        <f>_xlfn.LET(_xlpm.act,MATCH(V362,{"DIAMANTE";"PLATINO";"ORO";"PLATA";"BRONCE";"CERRADO"},0),_xlpm.ant,MATCH(W362,{"DIAMANTE";"PLATINO";"ORO";"PLATA";"BRONCE";"CERRADO"},0),IF(_xlpm.act&lt;_xlpm.ant,"Mejora ↑",IF(_xlpm.act&gt;_xlpm.ant,"Baja ↓","Estable →")))</f>
        <v>Estable →</v>
      </c>
      <c r="Y362" s="5">
        <f>IFERROR(U362-SUMIFS(HIST_SCORE!$D:$D,HIST_SCORE!$B:$B,PARAMS_MODELO!$B$4,HIST_SCORE!$C:$C,$A362),"")</f>
        <v>0.25317656442672387</v>
      </c>
      <c r="Z362" s="5" t="str">
        <f t="shared" si="125"/>
        <v>→ Estable</v>
      </c>
      <c r="AA362" s="5">
        <f t="shared" si="126"/>
        <v>565</v>
      </c>
      <c r="AB362" s="5">
        <f>IFERROR(SUMIFS(HIST_SCORE!$F:$F,HIST_SCORE!$B:$B,PARAMS_MODELO!$B$4,HIST_SCORE!$C:$C,$A362),"")</f>
        <v>604</v>
      </c>
      <c r="AC362" s="5">
        <f t="shared" si="127"/>
        <v>39</v>
      </c>
      <c r="AD362" t="str">
        <f t="shared" si="129"/>
        <v/>
      </c>
      <c r="AE3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362="CERRADO",1,IF(V362="BRONCE",_xlpm.cPl,IF(V362="PLATA",_xlpm.cO,IF(V362="ORO",_xlpm.cP,IF(V362="PLATINO",_xlpm.cD,999))))))</f>
        <v>63.199193273331495</v>
      </c>
      <c r="AF3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362="CERRADO",0,IF(V362="BRONCE",1,IF(V362="PLATA",_xlpm.cPl,IF(V362="ORO",_xlpm.cO,IF(V362="PLATINO",_xlpm.cP,_xlpm.cD))))))</f>
        <v>24.506573482968111</v>
      </c>
      <c r="AG362">
        <f t="shared" si="130"/>
        <v>0.82374119482282993</v>
      </c>
      <c r="AH362" t="str">
        <f t="shared" si="131"/>
        <v>CLIENTE</v>
      </c>
      <c r="AI362" t="str">
        <f t="shared" si="128"/>
        <v>🎯 Para subir de categoría, la eje con mayor impacto probable es CLIENTE (coef T). Acción: reducir quejas, mejorar incógnito y empujar reseñas. ΔR aprox: 0,8</v>
      </c>
      <c r="AJ362" s="26">
        <f>_xlfn.LET(_xlpm.piso,AF362,_xlpm.corte,AE362,_xlpm.prog,IF(_xlpm.corte&lt;=_xlpm.piso,0,MAX(0,MIN(1,(U362-_xlpm.piso)/(_xlpm.corte-_xlpm.piso)))),_xlpm.orden,{"DIAMANTE";"PLATINO";"ORO";"PLATA";"BRONCE";"CERRADO"},_xlpm.act,IFERROR(MATCH(V362,_xlpm.orden,0),6),_xlpm.ant,IFERROR(MATCH(W362,_xlpm.orden,0),6),_xlpm.ajmov,IF(_xlpm.act&lt;_xlpm.ant,0.08,IF(_xlpm.act&gt;_xlpm.ant,-0.08,0)),_xlpm.ajcli,IF(T362&lt;0.95,-0.06,0),_xlpm.prob,MAX(0,MIN(1,_xlpm.prog+_xlpm.ajmov+_xlpm.ajcli)),IF(OR(V362="DIAMANTE",V362="CERRADO"),0,ROUND(_xlpm.prob,2)))</f>
        <v>0.93</v>
      </c>
      <c r="AK362" t="str">
        <f t="shared" si="132"/>
        <v>Faltan 0,8 puntos base para subir a la siguiente categoría</v>
      </c>
      <c r="AL362" t="str">
        <f t="shared" si="133"/>
        <v>Margen de seguridad: 38,1 puntos</v>
      </c>
      <c r="AM362">
        <f t="shared" si="134"/>
        <v>0.26</v>
      </c>
      <c r="AN362" t="str">
        <f t="shared" si="135"/>
        <v>PRIORIDAD BAJA – control normal</v>
      </c>
      <c r="AO362">
        <f t="shared" si="136"/>
        <v>6.4969522439995249</v>
      </c>
      <c r="AP362">
        <f t="shared" si="137"/>
        <v>0.36427181175187306</v>
      </c>
      <c r="AQ362">
        <f t="shared" si="138"/>
        <v>0</v>
      </c>
      <c r="AR362">
        <f t="shared" si="139"/>
        <v>0.41999999999999971</v>
      </c>
      <c r="AS362">
        <f t="shared" si="140"/>
        <v>26.838246187266655</v>
      </c>
      <c r="AT362" t="str">
        <f t="shared" si="141"/>
        <v>CLIENTE</v>
      </c>
      <c r="AU362">
        <f t="shared" si="142"/>
        <v>26.838246187266655</v>
      </c>
      <c r="AV362" t="str">
        <f t="shared" si="143"/>
        <v>Mayor retorno probable: CLIENTE (+26,8 puntos finales potenciales).</v>
      </c>
    </row>
    <row r="363" spans="1:48" x14ac:dyDescent="0.3">
      <c r="A363" s="5">
        <v>51018851</v>
      </c>
      <c r="B363" s="5" t="str">
        <f>IFERROR(VLOOKUP(A363,VENTAS!$A$2:$B$1194,2,0),"")</f>
        <v>PRADES</v>
      </c>
      <c r="C363" s="5">
        <f>IFERROR(INDEX(VENTAS!$C$2:$E$1194,MATCH(A363,VENTAS!$A$2:$A$1194,0),MATCH(PARAMS_MODELO!$B$2,{"Q1","Q2","Q3"},0)),0)</f>
        <v>84700510.300000012</v>
      </c>
      <c r="D363" s="5">
        <f>IFERROR(INDEX(VENTAS!$F$2:$H$1194,MATCH(A363,VENTAS!$A$2:$A$1194,0),MATCH(PARAMS_MODELO!$B$2,{"Q1","Q2","Q3"},0)),0)</f>
        <v>95535845</v>
      </c>
      <c r="E363" s="8">
        <f t="shared" si="120"/>
        <v>0.12792525879268513</v>
      </c>
      <c r="F363" s="12">
        <f>IF(E363&lt;=PARAMS_MODELO!$B$15,0,IF(E363&gt;=PARAMS_MODELO!$B$17,100,100*MIN(1,(E363-PARAMS_MODELO!$B$15)/(PARAMS_MODELO!$B$16-PARAMS_MODELO!$B$15))))*PARAMS_MODELO!$B$7</f>
        <v>35</v>
      </c>
      <c r="G363" s="5">
        <f t="shared" si="121"/>
        <v>10835334.699999988</v>
      </c>
      <c r="H363" s="5">
        <f>(PARAMS_MODELO!$B$20*(MAX(0,MIN(3,E363))/3)+PARAMS_MODELO!$B$21*(IFERROR(LN(1+MAX(0,G363))/LN(1+MAX(0,MAX($G$2:$G$1194))),0)))*100*PARAMS_MODELO!$B$8</f>
        <v>4.2448514979161178</v>
      </c>
      <c r="I363" s="8">
        <f>E363-PARAMS_MODELO!$B$5</f>
        <v>-4.9637576582841403E-2</v>
      </c>
      <c r="J363" s="5">
        <f>IF(I363&lt;=PARAMS_MODELO!$B$18,0,IF(I363&gt;=PARAMS_MODELO!$B$19,100,100*(I363-PARAMS_MODELO!$B$18)/(PARAMS_MODELO!$B$19-PARAMS_MODELO!$B$18)))*PARAMS_MODELO!$B$9</f>
        <v>5.436351257378999E-2</v>
      </c>
      <c r="K363" s="5">
        <f>IFERROR(CHOOSE(MATCH(PARAMS_MODELO!$B$2,{"Q1","Q2","Q3"},0),LOTO!$D363,LOTO!$F363,LOTO!$H363),0)</f>
        <v>4615000</v>
      </c>
      <c r="L363" s="8">
        <f t="shared" si="122"/>
        <v>4.8306475961980552E-2</v>
      </c>
      <c r="M363" s="5">
        <f>MIN(100,IF(PARAMS_MODELO!$B$23=0,0,100*L363/PARAMS_MODELO!$B$23))*PARAMS_MODELO!$B$10</f>
        <v>14.491942788594166</v>
      </c>
      <c r="N363" s="5">
        <f>IFERROR(VLOOKUP(A363,COMPLIANCE!$A$2:$F$1996,6,0),100)</f>
        <v>100</v>
      </c>
      <c r="O363" s="5">
        <f>N363*PARAMS_MODELO!$B$11</f>
        <v>10</v>
      </c>
      <c r="P363" s="5">
        <f>IFERROR(VLOOKUP(A363,DIGITAL!$A$2:$J$2000,7,0),100)</f>
        <v>56</v>
      </c>
      <c r="Q363" s="5">
        <f>IFERROR(P363,0)*PARAMS_MODELO!$B$12</f>
        <v>5.6000000000000005</v>
      </c>
      <c r="R363">
        <f t="shared" si="123"/>
        <v>69.39115779908407</v>
      </c>
      <c r="S363" s="5" t="str">
        <f>IFERROR(VLOOKUP(A363,CLIENTE!$A$2:$N$2000,13,0),1)</f>
        <v>Malo</v>
      </c>
      <c r="T363" s="5">
        <f>IFERROR(VLOOKUP(A363,CLIENTE!$A$2:$N$2000,14,0),1)</f>
        <v>0.7</v>
      </c>
      <c r="U363" s="5">
        <f t="shared" si="124"/>
        <v>48.573810459358846</v>
      </c>
      <c r="V363" s="5" t="str">
        <f>IF(U363&gt;=MAX(_xlfn.PERCENTILE.INC($U$2:$U$1194,PARAMS_MODELO!$B$50),PARAMS_MODELO!$B$45),"DIAMANTE",IF(U363&gt;=MAX(_xlfn.PERCENTILE.INC($U$2:$U$1194,PARAMS_MODELO!$B$51),PARAMS_MODELO!$B$46),"PLATINO",IF(U363&gt;=MAX(_xlfn.PERCENTILE.INC($U$2:$U$1194,PARAMS_MODELO!$B$52),PARAMS_MODELO!$B$47),"ORO",IF(U363&gt;=MAX(_xlfn.PERCENTILE.INC($U$2:$U$1194,PARAMS_MODELO!$B$53),PARAMS_MODELO!$B$48),"PLATA",IF(U363&gt;=1,"BRONCE","CERRADO")))))</f>
        <v>PLATA</v>
      </c>
      <c r="W363" s="5" t="str" cm="1">
        <f t="array" ref="W363">_xlfn.XLOOKUP(1, (HIST_SCORE!$B:$B=PARAMS_MODELO!$B$4) * (HIST_SCORE!$C:$C=A363), HIST_SCORE!$E:$E, "No encontrado")</f>
        <v>PLATA</v>
      </c>
      <c r="X363" s="5" t="str">
        <f>_xlfn.LET(_xlpm.act,MATCH(V363,{"DIAMANTE";"PLATINO";"ORO";"PLATA";"BRONCE";"CERRADO"},0),_xlpm.ant,MATCH(W363,{"DIAMANTE";"PLATINO";"ORO";"PLATA";"BRONCE";"CERRADO"},0),IF(_xlpm.act&lt;_xlpm.ant,"Mejora ↑",IF(_xlpm.act&gt;_xlpm.ant,"Baja ↓","Estable →")))</f>
        <v>Estable →</v>
      </c>
      <c r="Y363" s="5">
        <f>IFERROR(U363-SUMIFS(HIST_SCORE!$D:$D,HIST_SCORE!$B:$B,PARAMS_MODELO!$B$4,HIST_SCORE!$C:$C,$A363),"")</f>
        <v>2.5256590595687811</v>
      </c>
      <c r="Z363" s="5" t="str">
        <f t="shared" si="125"/>
        <v>→ Estable</v>
      </c>
      <c r="AA363" s="5">
        <f t="shared" si="126"/>
        <v>749</v>
      </c>
      <c r="AB363" s="5">
        <f>IFERROR(SUMIFS(HIST_SCORE!$F:$F,HIST_SCORE!$B:$B,PARAMS_MODELO!$B$4,HIST_SCORE!$C:$C,$A363),"")</f>
        <v>817</v>
      </c>
      <c r="AC363" s="5">
        <f t="shared" si="127"/>
        <v>68</v>
      </c>
      <c r="AD363" t="str">
        <f t="shared" si="129"/>
        <v/>
      </c>
      <c r="AE3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363="CERRADO",1,IF(V363="BRONCE",_xlpm.cPl,IF(V363="PLATA",_xlpm.cO,IF(V363="ORO",_xlpm.cP,IF(V363="PLATINO",_xlpm.cD,999))))))</f>
        <v>63.199193273331495</v>
      </c>
      <c r="AF3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363="CERRADO",0,IF(V363="BRONCE",1,IF(V363="PLATA",_xlpm.cPl,IF(V363="ORO",_xlpm.cO,IF(V363="PLATINO",_xlpm.cP,_xlpm.cD))))))</f>
        <v>24.506573482968111</v>
      </c>
      <c r="AG363">
        <f t="shared" si="130"/>
        <v>20.893404019960926</v>
      </c>
      <c r="AH363" t="str">
        <f t="shared" si="131"/>
        <v>CLIENTE</v>
      </c>
      <c r="AI363" t="str">
        <f t="shared" si="128"/>
        <v>🎯 Para subir de categoría, la eje con mayor impacto probable es CLIENTE (coef T). Acción: reducir quejas, mejorar incógnito y empujar reseñas. ΔR aprox: 20,9</v>
      </c>
      <c r="AJ363" s="26">
        <f>_xlfn.LET(_xlpm.piso,AF363,_xlpm.corte,AE363,_xlpm.prog,IF(_xlpm.corte&lt;=_xlpm.piso,0,MAX(0,MIN(1,(U363-_xlpm.piso)/(_xlpm.corte-_xlpm.piso)))),_xlpm.orden,{"DIAMANTE";"PLATINO";"ORO";"PLATA";"BRONCE";"CERRADO"},_xlpm.act,IFERROR(MATCH(V363,_xlpm.orden,0),6),_xlpm.ant,IFERROR(MATCH(W363,_xlpm.orden,0),6),_xlpm.ajmov,IF(_xlpm.act&lt;_xlpm.ant,0.08,IF(_xlpm.act&gt;_xlpm.ant,-0.08,0)),_xlpm.ajcli,IF(T363&lt;0.95,-0.06,0),_xlpm.prob,MAX(0,MIN(1,_xlpm.prog+_xlpm.ajmov+_xlpm.ajcli)),IF(OR(V363="DIAMANTE",V363="CERRADO"),0,ROUND(_xlpm.prob,2)))</f>
        <v>0.56000000000000005</v>
      </c>
      <c r="AK363" t="str">
        <f t="shared" si="132"/>
        <v>Faltan 20,9 puntos base para subir a la siguiente categoría</v>
      </c>
      <c r="AL363" t="str">
        <f t="shared" si="133"/>
        <v>Margen de seguridad: 24,1 puntos</v>
      </c>
      <c r="AM363">
        <f t="shared" si="134"/>
        <v>0.78</v>
      </c>
      <c r="AN363" t="str">
        <f t="shared" si="135"/>
        <v>PRIORIDAD ALTA – requiere intervención inmediata</v>
      </c>
      <c r="AO363">
        <f t="shared" si="136"/>
        <v>17.894347985363975</v>
      </c>
      <c r="AP363">
        <f t="shared" si="137"/>
        <v>0.35564004798408388</v>
      </c>
      <c r="AQ363">
        <f t="shared" si="138"/>
        <v>0</v>
      </c>
      <c r="AR363">
        <f t="shared" si="139"/>
        <v>3.0799999999999996</v>
      </c>
      <c r="AS363">
        <f t="shared" si="140"/>
        <v>20.817347339725224</v>
      </c>
      <c r="AT363" t="str">
        <f t="shared" si="141"/>
        <v>CLIENTE</v>
      </c>
      <c r="AU363">
        <f t="shared" si="142"/>
        <v>20.817347339725224</v>
      </c>
      <c r="AV363" t="str">
        <f t="shared" si="143"/>
        <v>Mayor retorno probable: CLIENTE (+20,8 puntos finales potenciales).</v>
      </c>
    </row>
    <row r="364" spans="1:48" x14ac:dyDescent="0.3">
      <c r="A364" s="5">
        <v>51042042</v>
      </c>
      <c r="B364" s="5" t="str">
        <f>IFERROR(VLOOKUP(A364,VENTAS!$A$2:$B$1194,2,0),"")</f>
        <v>METTLER</v>
      </c>
      <c r="C364" s="5">
        <f>IFERROR(INDEX(VENTAS!$C$2:$E$1194,MATCH(A364,VENTAS!$A$2:$A$1194,0),MATCH(PARAMS_MODELO!$B$2,{"Q1","Q2","Q3"},0)),0)</f>
        <v>58753438</v>
      </c>
      <c r="D364" s="5">
        <f>IFERROR(INDEX(VENTAS!$F$2:$H$1194,MATCH(A364,VENTAS!$A$2:$A$1194,0),MATCH(PARAMS_MODELO!$B$2,{"Q1","Q2","Q3"},0)),0)</f>
        <v>95149713</v>
      </c>
      <c r="E364" s="8">
        <f t="shared" si="120"/>
        <v>0.61947481269096127</v>
      </c>
      <c r="F364" s="12">
        <f>IF(E364&lt;=PARAMS_MODELO!$B$15,0,IF(E364&gt;=PARAMS_MODELO!$B$17,100,100*MIN(1,(E364-PARAMS_MODELO!$B$15)/(PARAMS_MODELO!$B$16-PARAMS_MODELO!$B$15))))*PARAMS_MODELO!$B$7</f>
        <v>35</v>
      </c>
      <c r="G364" s="5">
        <f t="shared" si="121"/>
        <v>36396275</v>
      </c>
      <c r="H364" s="5">
        <f>(PARAMS_MODELO!$B$20*(MAX(0,MIN(3,E364))/3)+PARAMS_MODELO!$B$21*(IFERROR(LN(1+MAX(0,G364))/LN(1+MAX(0,MAX($G$2:$G$1194))),0)))*100*PARAMS_MODELO!$B$8</f>
        <v>6.2493035131881038</v>
      </c>
      <c r="I364" s="8">
        <f>E364-PARAMS_MODELO!$B$5</f>
        <v>0.44191197731543475</v>
      </c>
      <c r="J364" s="5">
        <f>IF(I364&lt;=PARAMS_MODELO!$B$18,0,IF(I364&gt;=PARAMS_MODELO!$B$19,100,100*(I364-PARAMS_MODELO!$B$18)/(PARAMS_MODELO!$B$19-PARAMS_MODELO!$B$18)))*PARAMS_MODELO!$B$9</f>
        <v>15</v>
      </c>
      <c r="K364" s="5">
        <f>IFERROR(CHOOSE(MATCH(PARAMS_MODELO!$B$2,{"Q1","Q2","Q3"},0),LOTO!$D364,LOTO!$F364,LOTO!$H364),0)</f>
        <v>4605000</v>
      </c>
      <c r="L364" s="8">
        <f t="shared" si="122"/>
        <v>4.8397413453049515E-2</v>
      </c>
      <c r="M364" s="5">
        <f>MIN(100,IF(PARAMS_MODELO!$B$23=0,0,100*L364/PARAMS_MODELO!$B$23))*PARAMS_MODELO!$B$10</f>
        <v>14.519224035914855</v>
      </c>
      <c r="N364" s="5">
        <f>IFERROR(VLOOKUP(A364,COMPLIANCE!$A$2:$F$1996,6,0),100)</f>
        <v>100</v>
      </c>
      <c r="O364" s="5">
        <f>N364*PARAMS_MODELO!$B$11</f>
        <v>10</v>
      </c>
      <c r="P364" s="5">
        <f>IFERROR(VLOOKUP(A364,DIGITAL!$A$2:$J$2000,7,0),100)</f>
        <v>43</v>
      </c>
      <c r="Q364" s="5">
        <f>IFERROR(P364,0)*PARAMS_MODELO!$B$12</f>
        <v>4.3</v>
      </c>
      <c r="R364">
        <f t="shared" si="123"/>
        <v>85.068527549102953</v>
      </c>
      <c r="S364" s="5" t="str">
        <f>IFERROR(VLOOKUP(A364,CLIENTE!$A$2:$N$2000,13,0),1)</f>
        <v>Regular</v>
      </c>
      <c r="T364" s="5">
        <f>IFERROR(VLOOKUP(A364,CLIENTE!$A$2:$N$2000,14,0),1)</f>
        <v>1</v>
      </c>
      <c r="U364" s="5">
        <f t="shared" si="124"/>
        <v>85.068527549102953</v>
      </c>
      <c r="V364" s="5" t="str">
        <f>IF(U364&gt;=MAX(_xlfn.PERCENTILE.INC($U$2:$U$1194,PARAMS_MODELO!$B$50),PARAMS_MODELO!$B$45),"DIAMANTE",IF(U364&gt;=MAX(_xlfn.PERCENTILE.INC($U$2:$U$1194,PARAMS_MODELO!$B$51),PARAMS_MODELO!$B$46),"PLATINO",IF(U364&gt;=MAX(_xlfn.PERCENTILE.INC($U$2:$U$1194,PARAMS_MODELO!$B$52),PARAMS_MODELO!$B$47),"ORO",IF(U364&gt;=MAX(_xlfn.PERCENTILE.INC($U$2:$U$1194,PARAMS_MODELO!$B$53),PARAMS_MODELO!$B$48),"PLATA",IF(U364&gt;=1,"BRONCE","CERRADO")))))</f>
        <v>ORO</v>
      </c>
      <c r="W364" s="5" t="str" cm="1">
        <f t="array" ref="W364">_xlfn.XLOOKUP(1, (HIST_SCORE!$B:$B=PARAMS_MODELO!$B$4) * (HIST_SCORE!$C:$C=A364), HIST_SCORE!$E:$E, "No encontrado")</f>
        <v>ORO</v>
      </c>
      <c r="X364" s="5" t="str">
        <f>_xlfn.LET(_xlpm.act,MATCH(V364,{"DIAMANTE";"PLATINO";"ORO";"PLATA";"BRONCE";"CERRADO"},0),_xlpm.ant,MATCH(W364,{"DIAMANTE";"PLATINO";"ORO";"PLATA";"BRONCE";"CERRADO"},0),IF(_xlpm.act&lt;_xlpm.ant,"Mejora ↑",IF(_xlpm.act&gt;_xlpm.ant,"Baja ↓","Estable →")))</f>
        <v>Estable →</v>
      </c>
      <c r="Y364" s="5">
        <f>IFERROR(U364-SUMIFS(HIST_SCORE!$D:$D,HIST_SCORE!$B:$B,PARAMS_MODELO!$B$4,HIST_SCORE!$C:$C,$A364),"")</f>
        <v>7.7405766786137491</v>
      </c>
      <c r="Z364" s="5" t="str">
        <f t="shared" si="125"/>
        <v>↑ Mejora</v>
      </c>
      <c r="AA364" s="5">
        <f t="shared" si="126"/>
        <v>282</v>
      </c>
      <c r="AB364" s="5">
        <f>IFERROR(SUMIFS(HIST_SCORE!$F:$F,HIST_SCORE!$B:$B,PARAMS_MODELO!$B$4,HIST_SCORE!$C:$C,$A364),"")</f>
        <v>463</v>
      </c>
      <c r="AC364" s="5">
        <f t="shared" si="127"/>
        <v>181</v>
      </c>
      <c r="AD364" t="str">
        <f t="shared" si="129"/>
        <v/>
      </c>
      <c r="AE3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364="CERRADO",1,IF(V364="BRONCE",_xlpm.cPl,IF(V364="PLATA",_xlpm.cO,IF(V364="ORO",_xlpm.cP,IF(V364="PLATINO",_xlpm.cD,999))))))</f>
        <v>86.439123873763251</v>
      </c>
      <c r="AF3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364="CERRADO",0,IF(V364="BRONCE",1,IF(V364="PLATA",_xlpm.cPl,IF(V364="ORO",_xlpm.cO,IF(V364="PLATINO",_xlpm.cP,_xlpm.cD))))))</f>
        <v>63.199193273331495</v>
      </c>
      <c r="AG364">
        <f t="shared" si="130"/>
        <v>1.3705963246602977</v>
      </c>
      <c r="AH364" t="str">
        <f t="shared" si="131"/>
        <v>VENTAS</v>
      </c>
      <c r="AI364" t="str">
        <f t="shared" si="128"/>
        <v>🎯 Para subir de categoría, eje VENTAS / IMPACTO ABSOLUTO (H). Acción: metas semanales + activación comercial + seguimiento del asesor. ΔR aprox: 1,4</v>
      </c>
      <c r="AJ364" s="26">
        <f>_xlfn.LET(_xlpm.piso,AF364,_xlpm.corte,AE364,_xlpm.prog,IF(_xlpm.corte&lt;=_xlpm.piso,0,MAX(0,MIN(1,(U364-_xlpm.piso)/(_xlpm.corte-_xlpm.piso)))),_xlpm.orden,{"DIAMANTE";"PLATINO";"ORO";"PLATA";"BRONCE";"CERRADO"},_xlpm.act,IFERROR(MATCH(V364,_xlpm.orden,0),6),_xlpm.ant,IFERROR(MATCH(W364,_xlpm.orden,0),6),_xlpm.ajmov,IF(_xlpm.act&lt;_xlpm.ant,0.08,IF(_xlpm.act&gt;_xlpm.ant,-0.08,0)),_xlpm.ajcli,IF(T364&lt;0.95,-0.06,0),_xlpm.prob,MAX(0,MIN(1,_xlpm.prog+_xlpm.ajmov+_xlpm.ajcli)),IF(OR(V364="DIAMANTE",V364="CERRADO"),0,ROUND(_xlpm.prob,2)))</f>
        <v>0.94</v>
      </c>
      <c r="AK364" t="str">
        <f t="shared" si="132"/>
        <v>Faltan 1,4 puntos base para subir a la siguiente categoría</v>
      </c>
      <c r="AL364" t="str">
        <f t="shared" si="133"/>
        <v>Margen de seguridad: 21,9 puntos</v>
      </c>
      <c r="AM364">
        <f t="shared" si="134"/>
        <v>0.08</v>
      </c>
      <c r="AN364" t="str">
        <f t="shared" si="135"/>
        <v>PRIORIDAD BAJA – control normal</v>
      </c>
      <c r="AO364">
        <f t="shared" si="136"/>
        <v>8.6132657621074813</v>
      </c>
      <c r="AP364">
        <f t="shared" si="137"/>
        <v>0.48077596408514545</v>
      </c>
      <c r="AQ364">
        <f t="shared" si="138"/>
        <v>0</v>
      </c>
      <c r="AR364">
        <f t="shared" si="139"/>
        <v>5.7</v>
      </c>
      <c r="AS364">
        <f t="shared" si="140"/>
        <v>0</v>
      </c>
      <c r="AT364" t="str">
        <f t="shared" si="141"/>
        <v>VENTAS</v>
      </c>
      <c r="AU364">
        <f t="shared" si="142"/>
        <v>8.6132657621074813</v>
      </c>
      <c r="AV364" t="str">
        <f t="shared" si="143"/>
        <v>Mayor retorno probable: VENTAS (+8,6 puntos finales potenciales).</v>
      </c>
    </row>
    <row r="365" spans="1:48" x14ac:dyDescent="0.3">
      <c r="A365" s="5">
        <v>51010817</v>
      </c>
      <c r="B365" s="5" t="str">
        <f>IFERROR(VLOOKUP(A365,VENTAS!$A$2:$B$1194,2,0),"")</f>
        <v>AYALA</v>
      </c>
      <c r="C365" s="5">
        <f>IFERROR(INDEX(VENTAS!$C$2:$E$1194,MATCH(A365,VENTAS!$A$2:$A$1194,0),MATCH(PARAMS_MODELO!$B$2,{"Q1","Q2","Q3"},0)),0)</f>
        <v>75186152.379999995</v>
      </c>
      <c r="D365" s="5">
        <f>IFERROR(INDEX(VENTAS!$F$2:$H$1194,MATCH(A365,VENTAS!$A$2:$A$1194,0),MATCH(PARAMS_MODELO!$B$2,{"Q1","Q2","Q3"},0)),0)</f>
        <v>95078643</v>
      </c>
      <c r="E365" s="8">
        <f t="shared" si="120"/>
        <v>0.26457652094578443</v>
      </c>
      <c r="F365" s="12">
        <f>IF(E365&lt;=PARAMS_MODELO!$B$15,0,IF(E365&gt;=PARAMS_MODELO!$B$17,100,100*MIN(1,(E365-PARAMS_MODELO!$B$15)/(PARAMS_MODELO!$B$16-PARAMS_MODELO!$B$15))))*PARAMS_MODELO!$B$7</f>
        <v>35</v>
      </c>
      <c r="G365" s="5">
        <f t="shared" si="121"/>
        <v>19892490.620000005</v>
      </c>
      <c r="H365" s="5">
        <f>(PARAMS_MODELO!$B$20*(MAX(0,MIN(3,E365))/3)+PARAMS_MODELO!$B$21*(IFERROR(LN(1+MAX(0,G365))/LN(1+MAX(0,MAX($G$2:$G$1194))),0)))*100*PARAMS_MODELO!$B$8</f>
        <v>4.8655443674752137</v>
      </c>
      <c r="I365" s="8">
        <f>E365-PARAMS_MODELO!$B$5</f>
        <v>8.7013685570257904E-2</v>
      </c>
      <c r="J365" s="5">
        <f>IF(I365&lt;=PARAMS_MODELO!$B$18,0,IF(I365&gt;=PARAMS_MODELO!$B$19,100,100*(I365-PARAMS_MODELO!$B$18)/(PARAMS_MODELO!$B$19-PARAMS_MODELO!$B$18)))*PARAMS_MODELO!$B$9</f>
        <v>15</v>
      </c>
      <c r="K365" s="5">
        <f>IFERROR(CHOOSE(MATCH(PARAMS_MODELO!$B$2,{"Q1","Q2","Q3"},0),LOTO!$D365,LOTO!$F365,LOTO!$H365),0)</f>
        <v>4602500</v>
      </c>
      <c r="L365" s="8">
        <f t="shared" si="122"/>
        <v>4.8407295842453284E-2</v>
      </c>
      <c r="M365" s="5">
        <f>MIN(100,IF(PARAMS_MODELO!$B$23=0,0,100*L365/PARAMS_MODELO!$B$23))*PARAMS_MODELO!$B$10</f>
        <v>14.522188752735984</v>
      </c>
      <c r="N365" s="5">
        <f>IFERROR(VLOOKUP(A365,COMPLIANCE!$A$2:$F$1996,6,0),100)</f>
        <v>100</v>
      </c>
      <c r="O365" s="5">
        <f>N365*PARAMS_MODELO!$B$11</f>
        <v>10</v>
      </c>
      <c r="P365" s="5">
        <f>IFERROR(VLOOKUP(A365,DIGITAL!$A$2:$J$2000,7,0),100)</f>
        <v>76</v>
      </c>
      <c r="Q365" s="5">
        <f>IFERROR(P365,0)*PARAMS_MODELO!$B$12</f>
        <v>7.6000000000000005</v>
      </c>
      <c r="R365">
        <f t="shared" si="123"/>
        <v>86.987733120211189</v>
      </c>
      <c r="S365" s="5" t="str">
        <f>IFERROR(VLOOKUP(A365,CLIENTE!$A$2:$N$2000,13,0),1)</f>
        <v>Malo</v>
      </c>
      <c r="T365" s="5">
        <f>IFERROR(VLOOKUP(A365,CLIENTE!$A$2:$N$2000,14,0),1)</f>
        <v>0.7</v>
      </c>
      <c r="U365" s="5">
        <f t="shared" si="124"/>
        <v>60.891413184147829</v>
      </c>
      <c r="V365" s="5" t="str">
        <f>IF(U365&gt;=MAX(_xlfn.PERCENTILE.INC($U$2:$U$1194,PARAMS_MODELO!$B$50),PARAMS_MODELO!$B$45),"DIAMANTE",IF(U365&gt;=MAX(_xlfn.PERCENTILE.INC($U$2:$U$1194,PARAMS_MODELO!$B$51),PARAMS_MODELO!$B$46),"PLATINO",IF(U365&gt;=MAX(_xlfn.PERCENTILE.INC($U$2:$U$1194,PARAMS_MODELO!$B$52),PARAMS_MODELO!$B$47),"ORO",IF(U365&gt;=MAX(_xlfn.PERCENTILE.INC($U$2:$U$1194,PARAMS_MODELO!$B$53),PARAMS_MODELO!$B$48),"PLATA",IF(U365&gt;=1,"BRONCE","CERRADO")))))</f>
        <v>PLATA</v>
      </c>
      <c r="W365" s="5" t="str" cm="1">
        <f t="array" ref="W365">_xlfn.XLOOKUP(1, (HIST_SCORE!$B:$B=PARAMS_MODELO!$B$4) * (HIST_SCORE!$C:$C=A365), HIST_SCORE!$E:$E, "No encontrado")</f>
        <v>PLATA</v>
      </c>
      <c r="X365" s="5" t="str">
        <f>_xlfn.LET(_xlpm.act,MATCH(V365,{"DIAMANTE";"PLATINO";"ORO";"PLATA";"BRONCE";"CERRADO"},0),_xlpm.ant,MATCH(W365,{"DIAMANTE";"PLATINO";"ORO";"PLATA";"BRONCE";"CERRADO"},0),IF(_xlpm.act&lt;_xlpm.ant,"Mejora ↑",IF(_xlpm.act&gt;_xlpm.ant,"Baja ↓","Estable →")))</f>
        <v>Estable →</v>
      </c>
      <c r="Y365" s="5">
        <f>IFERROR(U365-SUMIFS(HIST_SCORE!$D:$D,HIST_SCORE!$B:$B,PARAMS_MODELO!$B$4,HIST_SCORE!$C:$C,$A365),"")</f>
        <v>11.12746785248239</v>
      </c>
      <c r="Z365" s="5" t="str">
        <f t="shared" si="125"/>
        <v>↑ Mejora</v>
      </c>
      <c r="AA365" s="5">
        <f t="shared" si="126"/>
        <v>600</v>
      </c>
      <c r="AB365" s="5">
        <f>IFERROR(SUMIFS(HIST_SCORE!$F:$F,HIST_SCORE!$B:$B,PARAMS_MODELO!$B$4,HIST_SCORE!$C:$C,$A365),"")</f>
        <v>775</v>
      </c>
      <c r="AC365" s="5">
        <f t="shared" si="127"/>
        <v>175</v>
      </c>
      <c r="AD365" t="str">
        <f t="shared" si="129"/>
        <v/>
      </c>
      <c r="AE3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365="CERRADO",1,IF(V365="BRONCE",_xlpm.cPl,IF(V365="PLATA",_xlpm.cO,IF(V365="ORO",_xlpm.cP,IF(V365="PLATINO",_xlpm.cD,999))))))</f>
        <v>63.199193273331495</v>
      </c>
      <c r="AF3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365="CERRADO",0,IF(V365="BRONCE",1,IF(V365="PLATA",_xlpm.cPl,IF(V365="ORO",_xlpm.cO,IF(V365="PLATINO",_xlpm.cP,_xlpm.cD))))))</f>
        <v>24.506573482968111</v>
      </c>
      <c r="AG365">
        <f t="shared" si="130"/>
        <v>3.2968286988338065</v>
      </c>
      <c r="AH365" t="str">
        <f t="shared" si="131"/>
        <v>CLIENTE</v>
      </c>
      <c r="AI365" t="str">
        <f t="shared" si="128"/>
        <v>🎯 Para subir de categoría, la eje con mayor impacto probable es CLIENTE (coef T). Acción: reducir quejas, mejorar incógnito y empujar reseñas. ΔR aprox: 3,3</v>
      </c>
      <c r="AJ365" s="26">
        <f>_xlfn.LET(_xlpm.piso,AF365,_xlpm.corte,AE365,_xlpm.prog,IF(_xlpm.corte&lt;=_xlpm.piso,0,MAX(0,MIN(1,(U365-_xlpm.piso)/(_xlpm.corte-_xlpm.piso)))),_xlpm.orden,{"DIAMANTE";"PLATINO";"ORO";"PLATA";"BRONCE";"CERRADO"},_xlpm.act,IFERROR(MATCH(V365,_xlpm.orden,0),6),_xlpm.ant,IFERROR(MATCH(W365,_xlpm.orden,0),6),_xlpm.ajmov,IF(_xlpm.act&lt;_xlpm.ant,0.08,IF(_xlpm.act&gt;_xlpm.ant,-0.08,0)),_xlpm.ajcli,IF(T365&lt;0.95,-0.06,0),_xlpm.prob,MAX(0,MIN(1,_xlpm.prog+_xlpm.ajmov+_xlpm.ajcli)),IF(OR(V365="DIAMANTE",V365="CERRADO"),0,ROUND(_xlpm.prob,2)))</f>
        <v>0.88</v>
      </c>
      <c r="AK365" t="str">
        <f t="shared" si="132"/>
        <v>Faltan 3,3 puntos base para subir a la siguiente categoría</v>
      </c>
      <c r="AL365" t="str">
        <f t="shared" si="133"/>
        <v>Margen de seguridad: 36,4 puntos</v>
      </c>
      <c r="AM365">
        <f t="shared" si="134"/>
        <v>0.38</v>
      </c>
      <c r="AN365" t="str">
        <f t="shared" si="135"/>
        <v>PRIORIDAD BAJA – control normal</v>
      </c>
      <c r="AO365">
        <f t="shared" si="136"/>
        <v>6.9979174354742568</v>
      </c>
      <c r="AP365">
        <f t="shared" si="137"/>
        <v>0.33446787308481141</v>
      </c>
      <c r="AQ365">
        <f t="shared" si="138"/>
        <v>0</v>
      </c>
      <c r="AR365">
        <f t="shared" si="139"/>
        <v>1.6799999999999995</v>
      </c>
      <c r="AS365">
        <f t="shared" si="140"/>
        <v>26.09631993606336</v>
      </c>
      <c r="AT365" t="str">
        <f t="shared" si="141"/>
        <v>CLIENTE</v>
      </c>
      <c r="AU365">
        <f t="shared" si="142"/>
        <v>26.09631993606336</v>
      </c>
      <c r="AV365" t="str">
        <f t="shared" si="143"/>
        <v>Mayor retorno probable: CLIENTE (+26,1 puntos finales potenciales).</v>
      </c>
    </row>
    <row r="366" spans="1:48" x14ac:dyDescent="0.3">
      <c r="A366" s="5">
        <v>51022408</v>
      </c>
      <c r="B366" s="5" t="str">
        <f>IFERROR(VLOOKUP(A366,VENTAS!$A$2:$B$1194,2,0),"")</f>
        <v>ROBERTS</v>
      </c>
      <c r="C366" s="5">
        <f>IFERROR(INDEX(VENTAS!$C$2:$E$1194,MATCH(A366,VENTAS!$A$2:$A$1194,0),MATCH(PARAMS_MODELO!$B$2,{"Q1","Q2","Q3"},0)),0)</f>
        <v>62849257.899999999</v>
      </c>
      <c r="D366" s="5">
        <f>IFERROR(INDEX(VENTAS!$F$2:$H$1194,MATCH(A366,VENTAS!$A$2:$A$1194,0),MATCH(PARAMS_MODELO!$B$2,{"Q1","Q2","Q3"},0)),0)</f>
        <v>95024907</v>
      </c>
      <c r="E366" s="8">
        <f t="shared" si="120"/>
        <v>0.51194954682193639</v>
      </c>
      <c r="F366" s="12">
        <f>IF(E366&lt;=PARAMS_MODELO!$B$15,0,IF(E366&gt;=PARAMS_MODELO!$B$17,100,100*MIN(1,(E366-PARAMS_MODELO!$B$15)/(PARAMS_MODELO!$B$16-PARAMS_MODELO!$B$15))))*PARAMS_MODELO!$B$7</f>
        <v>35</v>
      </c>
      <c r="G366" s="5">
        <f t="shared" si="121"/>
        <v>32175649.100000001</v>
      </c>
      <c r="H366" s="5">
        <f>(PARAMS_MODELO!$B$20*(MAX(0,MIN(3,E366))/3)+PARAMS_MODELO!$B$21*(IFERROR(LN(1+MAX(0,G366))/LN(1+MAX(0,MAX($G$2:$G$1194))),0)))*100*PARAMS_MODELO!$B$8</f>
        <v>5.8440720375242883</v>
      </c>
      <c r="I366" s="8">
        <f>E366-PARAMS_MODELO!$B$5</f>
        <v>0.33438671144640986</v>
      </c>
      <c r="J366" s="5">
        <f>IF(I366&lt;=PARAMS_MODELO!$B$18,0,IF(I366&gt;=PARAMS_MODELO!$B$19,100,100*(I366-PARAMS_MODELO!$B$18)/(PARAMS_MODELO!$B$19-PARAMS_MODELO!$B$18)))*PARAMS_MODELO!$B$9</f>
        <v>15</v>
      </c>
      <c r="K366" s="5">
        <f>IFERROR(CHOOSE(MATCH(PARAMS_MODELO!$B$2,{"Q1","Q2","Q3"},0),LOTO!$D366,LOTO!$F366,LOTO!$H366),0)</f>
        <v>4585000</v>
      </c>
      <c r="L366" s="8">
        <f t="shared" si="122"/>
        <v>4.8250507627437086E-2</v>
      </c>
      <c r="M366" s="5">
        <f>MIN(100,IF(PARAMS_MODELO!$B$23=0,0,100*L366/PARAMS_MODELO!$B$23))*PARAMS_MODELO!$B$10</f>
        <v>14.475152288231124</v>
      </c>
      <c r="N366" s="5">
        <f>IFERROR(VLOOKUP(A366,COMPLIANCE!$A$2:$F$1996,6,0),100)</f>
        <v>99.6</v>
      </c>
      <c r="O366" s="5">
        <f>N366*PARAMS_MODELO!$B$11</f>
        <v>9.9600000000000009</v>
      </c>
      <c r="P366" s="5">
        <f>IFERROR(VLOOKUP(A366,DIGITAL!$A$2:$J$2000,7,0),100)</f>
        <v>4</v>
      </c>
      <c r="Q366" s="5">
        <f>IFERROR(P366,0)*PARAMS_MODELO!$B$12</f>
        <v>0.4</v>
      </c>
      <c r="R366">
        <f t="shared" si="123"/>
        <v>80.679224325755428</v>
      </c>
      <c r="S366" s="5" t="str">
        <f>IFERROR(VLOOKUP(A366,CLIENTE!$A$2:$N$2000,13,0),1)</f>
        <v>Muy Bueno</v>
      </c>
      <c r="T366" s="5">
        <f>IFERROR(VLOOKUP(A366,CLIENTE!$A$2:$N$2000,14,0),1)</f>
        <v>1.1499999999999999</v>
      </c>
      <c r="U366" s="5">
        <f t="shared" si="124"/>
        <v>92.781107974618735</v>
      </c>
      <c r="V366" s="5" t="str">
        <f>IF(U366&gt;=MAX(_xlfn.PERCENTILE.INC($U$2:$U$1194,PARAMS_MODELO!$B$50),PARAMS_MODELO!$B$45),"DIAMANTE",IF(U366&gt;=MAX(_xlfn.PERCENTILE.INC($U$2:$U$1194,PARAMS_MODELO!$B$51),PARAMS_MODELO!$B$46),"PLATINO",IF(U366&gt;=MAX(_xlfn.PERCENTILE.INC($U$2:$U$1194,PARAMS_MODELO!$B$52),PARAMS_MODELO!$B$47),"ORO",IF(U366&gt;=MAX(_xlfn.PERCENTILE.INC($U$2:$U$1194,PARAMS_MODELO!$B$53),PARAMS_MODELO!$B$48),"PLATA",IF(U366&gt;=1,"BRONCE","CERRADO")))))</f>
        <v>PLATINO</v>
      </c>
      <c r="W366" s="5" t="str" cm="1">
        <f t="array" ref="W366">_xlfn.XLOOKUP(1, (HIST_SCORE!$B:$B=PARAMS_MODELO!$B$4) * (HIST_SCORE!$C:$C=A366), HIST_SCORE!$E:$E, "No encontrado")</f>
        <v>PLATINO</v>
      </c>
      <c r="X366" s="5" t="str">
        <f>_xlfn.LET(_xlpm.act,MATCH(V366,{"DIAMANTE";"PLATINO";"ORO";"PLATA";"BRONCE";"CERRADO"},0),_xlpm.ant,MATCH(W366,{"DIAMANTE";"PLATINO";"ORO";"PLATA";"BRONCE";"CERRADO"},0),IF(_xlpm.act&lt;_xlpm.ant,"Mejora ↑",IF(_xlpm.act&gt;_xlpm.ant,"Baja ↓","Estable →")))</f>
        <v>Estable →</v>
      </c>
      <c r="Y366" s="5">
        <f>IFERROR(U366-SUMIFS(HIST_SCORE!$D:$D,HIST_SCORE!$B:$B,PARAMS_MODELO!$B$4,HIST_SCORE!$C:$C,$A366),"")</f>
        <v>-1.4992453519038094</v>
      </c>
      <c r="Z366" s="5" t="str">
        <f t="shared" si="125"/>
        <v>→ Estable</v>
      </c>
      <c r="AA366" s="5">
        <f t="shared" si="126"/>
        <v>94</v>
      </c>
      <c r="AB366" s="5">
        <f>IFERROR(SUMIFS(HIST_SCORE!$F:$F,HIST_SCORE!$B:$B,PARAMS_MODELO!$B$4,HIST_SCORE!$C:$C,$A366),"")</f>
        <v>70</v>
      </c>
      <c r="AC366" s="5">
        <f t="shared" si="127"/>
        <v>-24</v>
      </c>
      <c r="AD366" t="str">
        <f t="shared" si="129"/>
        <v/>
      </c>
      <c r="AE3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366="CERRADO",1,IF(V366="BRONCE",_xlpm.cPl,IF(V366="PLATA",_xlpm.cO,IF(V366="ORO",_xlpm.cP,IF(V366="PLATINO",_xlpm.cD,999))))))</f>
        <v>96.054919694466676</v>
      </c>
      <c r="AF3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366="CERRADO",0,IF(V366="BRONCE",1,IF(V366="PLATA",_xlpm.cPl,IF(V366="ORO",_xlpm.cO,IF(V366="PLATINO",_xlpm.cP,_xlpm.cD))))))</f>
        <v>86.439123873763251</v>
      </c>
      <c r="AG366">
        <f t="shared" si="130"/>
        <v>2.8467927998677709</v>
      </c>
      <c r="AH366" t="str">
        <f t="shared" si="131"/>
        <v>VENTAS</v>
      </c>
      <c r="AI366" t="str">
        <f t="shared" si="128"/>
        <v>🎯 Para subir de categoría, eje VENTAS / IMPACTO ABSOLUTO (H). Acción: metas semanales + activación comercial + seguimiento del asesor. ΔR aprox: 2,8</v>
      </c>
      <c r="AJ366" s="26">
        <f>_xlfn.LET(_xlpm.piso,AF366,_xlpm.corte,AE366,_xlpm.prog,IF(_xlpm.corte&lt;=_xlpm.piso,0,MAX(0,MIN(1,(U366-_xlpm.piso)/(_xlpm.corte-_xlpm.piso)))),_xlpm.orden,{"DIAMANTE";"PLATINO";"ORO";"PLATA";"BRONCE";"CERRADO"},_xlpm.act,IFERROR(MATCH(V366,_xlpm.orden,0),6),_xlpm.ant,IFERROR(MATCH(W366,_xlpm.orden,0),6),_xlpm.ajmov,IF(_xlpm.act&lt;_xlpm.ant,0.08,IF(_xlpm.act&gt;_xlpm.ant,-0.08,0)),_xlpm.ajcli,IF(T366&lt;0.95,-0.06,0),_xlpm.prob,MAX(0,MIN(1,_xlpm.prog+_xlpm.ajmov+_xlpm.ajcli)),IF(OR(V366="DIAMANTE",V366="CERRADO"),0,ROUND(_xlpm.prob,2)))</f>
        <v>0.66</v>
      </c>
      <c r="AK366" t="str">
        <f t="shared" si="132"/>
        <v>Faltan 2,8 puntos base para subir a la siguiente categoría</v>
      </c>
      <c r="AL366" t="str">
        <f t="shared" si="133"/>
        <v>Margen de seguridad: 6,3 puntos</v>
      </c>
      <c r="AM366">
        <f t="shared" si="134"/>
        <v>0.25</v>
      </c>
      <c r="AN366" t="str">
        <f t="shared" si="135"/>
        <v>PRIORIDAD BAJA – control normal</v>
      </c>
      <c r="AO366">
        <f t="shared" si="136"/>
        <v>10.371271823436993</v>
      </c>
      <c r="AP366">
        <f t="shared" si="137"/>
        <v>0.6035748685342075</v>
      </c>
      <c r="AQ366">
        <f t="shared" si="138"/>
        <v>4.5999999999999014E-2</v>
      </c>
      <c r="AR366">
        <f t="shared" si="139"/>
        <v>11.04</v>
      </c>
      <c r="AS366">
        <f t="shared" si="140"/>
        <v>0</v>
      </c>
      <c r="AT366" t="str">
        <f t="shared" si="141"/>
        <v>DIGITAL</v>
      </c>
      <c r="AU366">
        <f t="shared" si="142"/>
        <v>11.04</v>
      </c>
      <c r="AV366" t="str">
        <f t="shared" si="143"/>
        <v>Mayor retorno probable: DIGITAL (+11,0 puntos finales potenciales).</v>
      </c>
    </row>
    <row r="367" spans="1:48" x14ac:dyDescent="0.3">
      <c r="A367" s="5">
        <v>51032578</v>
      </c>
      <c r="B367" s="5" t="str">
        <f>IFERROR(VLOOKUP(A367,VENTAS!$A$2:$B$1194,2,0),"")</f>
        <v>ROBERTS</v>
      </c>
      <c r="C367" s="5">
        <f>IFERROR(INDEX(VENTAS!$C$2:$E$1194,MATCH(A367,VENTAS!$A$2:$A$1194,0),MATCH(PARAMS_MODELO!$B$2,{"Q1","Q2","Q3"},0)),0)</f>
        <v>76979577.950000003</v>
      </c>
      <c r="D367" s="5">
        <f>IFERROR(INDEX(VENTAS!$F$2:$H$1194,MATCH(A367,VENTAS!$A$2:$A$1194,0),MATCH(PARAMS_MODELO!$B$2,{"Q1","Q2","Q3"},0)),0)</f>
        <v>94677157</v>
      </c>
      <c r="E367" s="8">
        <f t="shared" si="120"/>
        <v>0.22989966327816158</v>
      </c>
      <c r="F367" s="12">
        <f>IF(E367&lt;=PARAMS_MODELO!$B$15,0,IF(E367&gt;=PARAMS_MODELO!$B$17,100,100*MIN(1,(E367-PARAMS_MODELO!$B$15)/(PARAMS_MODELO!$B$16-PARAMS_MODELO!$B$15))))*PARAMS_MODELO!$B$7</f>
        <v>35</v>
      </c>
      <c r="G367" s="5">
        <f t="shared" si="121"/>
        <v>17697579.049999997</v>
      </c>
      <c r="H367" s="5">
        <f>(PARAMS_MODELO!$B$20*(MAX(0,MIN(3,E367))/3)+PARAMS_MODELO!$B$21*(IFERROR(LN(1+MAX(0,G367))/LN(1+MAX(0,MAX($G$2:$G$1194))),0)))*100*PARAMS_MODELO!$B$8</f>
        <v>4.7167689874976544</v>
      </c>
      <c r="I367" s="8">
        <f>E367-PARAMS_MODELO!$B$5</f>
        <v>5.2336827902635052E-2</v>
      </c>
      <c r="J367" s="5">
        <f>IF(I367&lt;=PARAMS_MODELO!$B$18,0,IF(I367&gt;=PARAMS_MODELO!$B$19,100,100*(I367-PARAMS_MODELO!$B$18)/(PARAMS_MODELO!$B$19-PARAMS_MODELO!$B$18)))*PARAMS_MODELO!$B$9</f>
        <v>15</v>
      </c>
      <c r="K367" s="5">
        <f>IFERROR(CHOOSE(MATCH(PARAMS_MODELO!$B$2,{"Q1","Q2","Q3"},0),LOTO!$D367,LOTO!$F367,LOTO!$H367),0)</f>
        <v>4575000</v>
      </c>
      <c r="L367" s="8">
        <f t="shared" si="122"/>
        <v>4.8322110052375147E-2</v>
      </c>
      <c r="M367" s="5">
        <f>MIN(100,IF(PARAMS_MODELO!$B$23=0,0,100*L367/PARAMS_MODELO!$B$23))*PARAMS_MODELO!$B$10</f>
        <v>14.496633015712543</v>
      </c>
      <c r="N367" s="5">
        <f>IFERROR(VLOOKUP(A367,COMPLIANCE!$A$2:$F$1996,6,0),100)</f>
        <v>100</v>
      </c>
      <c r="O367" s="5">
        <f>N367*PARAMS_MODELO!$B$11</f>
        <v>10</v>
      </c>
      <c r="P367" s="5">
        <f>IFERROR(VLOOKUP(A367,DIGITAL!$A$2:$J$2000,7,0),100)</f>
        <v>78</v>
      </c>
      <c r="Q367" s="5">
        <f>IFERROR(P367,0)*PARAMS_MODELO!$B$12</f>
        <v>7.8000000000000007</v>
      </c>
      <c r="R367">
        <f t="shared" si="123"/>
        <v>87.013402003210189</v>
      </c>
      <c r="S367" s="5" t="str">
        <f>IFERROR(VLOOKUP(A367,CLIENTE!$A$2:$N$2000,13,0),1)</f>
        <v>Malo</v>
      </c>
      <c r="T367" s="5">
        <f>IFERROR(VLOOKUP(A367,CLIENTE!$A$2:$N$2000,14,0),1)</f>
        <v>0.7</v>
      </c>
      <c r="U367" s="5">
        <f t="shared" si="124"/>
        <v>60.909381402247128</v>
      </c>
      <c r="V367" s="5" t="str">
        <f>IF(U367&gt;=MAX(_xlfn.PERCENTILE.INC($U$2:$U$1194,PARAMS_MODELO!$B$50),PARAMS_MODELO!$B$45),"DIAMANTE",IF(U367&gt;=MAX(_xlfn.PERCENTILE.INC($U$2:$U$1194,PARAMS_MODELO!$B$51),PARAMS_MODELO!$B$46),"PLATINO",IF(U367&gt;=MAX(_xlfn.PERCENTILE.INC($U$2:$U$1194,PARAMS_MODELO!$B$52),PARAMS_MODELO!$B$47),"ORO",IF(U367&gt;=MAX(_xlfn.PERCENTILE.INC($U$2:$U$1194,PARAMS_MODELO!$B$53),PARAMS_MODELO!$B$48),"PLATA",IF(U367&gt;=1,"BRONCE","CERRADO")))))</f>
        <v>PLATA</v>
      </c>
      <c r="W367" s="5" t="str" cm="1">
        <f t="array" ref="W367">_xlfn.XLOOKUP(1, (HIST_SCORE!$B:$B=PARAMS_MODELO!$B$4) * (HIST_SCORE!$C:$C=A367), HIST_SCORE!$E:$E, "No encontrado")</f>
        <v>BRONCE</v>
      </c>
      <c r="X367" s="5" t="str">
        <f>_xlfn.LET(_xlpm.act,MATCH(V367,{"DIAMANTE";"PLATINO";"ORO";"PLATA";"BRONCE";"CERRADO"},0),_xlpm.ant,MATCH(W367,{"DIAMANTE";"PLATINO";"ORO";"PLATA";"BRONCE";"CERRADO"},0),IF(_xlpm.act&lt;_xlpm.ant,"Mejora ↑",IF(_xlpm.act&gt;_xlpm.ant,"Baja ↓","Estable →")))</f>
        <v>Mejora ↑</v>
      </c>
      <c r="Y367" s="5">
        <f>IFERROR(U367-SUMIFS(HIST_SCORE!$D:$D,HIST_SCORE!$B:$B,PARAMS_MODELO!$B$4,HIST_SCORE!$C:$C,$A367),"")</f>
        <v>37.949381402247127</v>
      </c>
      <c r="Z367" s="5" t="str">
        <f t="shared" si="125"/>
        <v>↑ Mejora</v>
      </c>
      <c r="AA367" s="5">
        <f t="shared" si="126"/>
        <v>598</v>
      </c>
      <c r="AB367" s="5">
        <f>IFERROR(SUMIFS(HIST_SCORE!$F:$F,HIST_SCORE!$B:$B,PARAMS_MODELO!$B$4,HIST_SCORE!$C:$C,$A367),"")</f>
        <v>955</v>
      </c>
      <c r="AC367" s="5">
        <f t="shared" si="127"/>
        <v>357</v>
      </c>
      <c r="AD367" t="str">
        <f t="shared" si="129"/>
        <v/>
      </c>
      <c r="AE3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367="CERRADO",1,IF(V367="BRONCE",_xlpm.cPl,IF(V367="PLATA",_xlpm.cO,IF(V367="ORO",_xlpm.cP,IF(V367="PLATINO",_xlpm.cD,999))))))</f>
        <v>63.199193273331495</v>
      </c>
      <c r="AF3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367="CERRADO",0,IF(V367="BRONCE",1,IF(V367="PLATA",_xlpm.cPl,IF(V367="ORO",_xlpm.cO,IF(V367="PLATINO",_xlpm.cP,_xlpm.cD))))))</f>
        <v>24.506573482968111</v>
      </c>
      <c r="AG367">
        <f t="shared" si="130"/>
        <v>3.2711598158348067</v>
      </c>
      <c r="AH367" t="str">
        <f t="shared" si="131"/>
        <v>CLIENTE</v>
      </c>
      <c r="AI367" t="str">
        <f t="shared" si="128"/>
        <v>🎯 Para subir de categoría, la eje con mayor impacto probable es CLIENTE (coef T). Acción: reducir quejas, mejorar incógnito y empujar reseñas. ΔR aprox: 3,3</v>
      </c>
      <c r="AJ367" s="26">
        <f>_xlfn.LET(_xlpm.piso,AF367,_xlpm.corte,AE367,_xlpm.prog,IF(_xlpm.corte&lt;=_xlpm.piso,0,MAX(0,MIN(1,(U367-_xlpm.piso)/(_xlpm.corte-_xlpm.piso)))),_xlpm.orden,{"DIAMANTE";"PLATINO";"ORO";"PLATA";"BRONCE";"CERRADO"},_xlpm.act,IFERROR(MATCH(V367,_xlpm.orden,0),6),_xlpm.ant,IFERROR(MATCH(W367,_xlpm.orden,0),6),_xlpm.ajmov,IF(_xlpm.act&lt;_xlpm.ant,0.08,IF(_xlpm.act&gt;_xlpm.ant,-0.08,0)),_xlpm.ajcli,IF(T367&lt;0.95,-0.06,0),_xlpm.prob,MAX(0,MIN(1,_xlpm.prog+_xlpm.ajmov+_xlpm.ajcli)),IF(OR(V367="DIAMANTE",V367="CERRADO"),0,ROUND(_xlpm.prob,2)))</f>
        <v>0.96</v>
      </c>
      <c r="AK367" t="str">
        <f t="shared" si="132"/>
        <v>Faltan 3,3 puntos base para subir a la siguiente categoría</v>
      </c>
      <c r="AL367" t="str">
        <f t="shared" si="133"/>
        <v>Margen de seguridad: 36,4 puntos</v>
      </c>
      <c r="AM367">
        <f t="shared" si="134"/>
        <v>0.35</v>
      </c>
      <c r="AN367" t="str">
        <f t="shared" si="135"/>
        <v>PRIORIDAD BAJA – control normal</v>
      </c>
      <c r="AO367">
        <f t="shared" si="136"/>
        <v>7.1020602014585519</v>
      </c>
      <c r="AP367">
        <f t="shared" si="137"/>
        <v>0.35235688900121964</v>
      </c>
      <c r="AQ367">
        <f t="shared" si="138"/>
        <v>0</v>
      </c>
      <c r="AR367">
        <f t="shared" si="139"/>
        <v>1.5399999999999994</v>
      </c>
      <c r="AS367">
        <f t="shared" si="140"/>
        <v>26.104020600963061</v>
      </c>
      <c r="AT367" t="str">
        <f t="shared" si="141"/>
        <v>CLIENTE</v>
      </c>
      <c r="AU367">
        <f t="shared" si="142"/>
        <v>26.104020600963061</v>
      </c>
      <c r="AV367" t="str">
        <f t="shared" si="143"/>
        <v>Mayor retorno probable: CLIENTE (+26,1 puntos finales potenciales).</v>
      </c>
    </row>
    <row r="368" spans="1:48" x14ac:dyDescent="0.3">
      <c r="A368" s="5">
        <v>51017978</v>
      </c>
      <c r="B368" s="5" t="str">
        <f>IFERROR(VLOOKUP(A368,VENTAS!$A$2:$B$1194,2,0),"")</f>
        <v>CICHETTO</v>
      </c>
      <c r="C368" s="5">
        <f>IFERROR(INDEX(VENTAS!$C$2:$E$1194,MATCH(A368,VENTAS!$A$2:$A$1194,0),MATCH(PARAMS_MODELO!$B$2,{"Q1","Q2","Q3"},0)),0)</f>
        <v>72918854.510000005</v>
      </c>
      <c r="D368" s="5">
        <f>IFERROR(INDEX(VENTAS!$F$2:$H$1194,MATCH(A368,VENTAS!$A$2:$A$1194,0),MATCH(PARAMS_MODELO!$B$2,{"Q1","Q2","Q3"},0)),0)</f>
        <v>94630916</v>
      </c>
      <c r="E368" s="8">
        <f t="shared" si="120"/>
        <v>0.29775648062357352</v>
      </c>
      <c r="F368" s="12">
        <f>IF(E368&lt;=PARAMS_MODELO!$B$15,0,IF(E368&gt;=PARAMS_MODELO!$B$17,100,100*MIN(1,(E368-PARAMS_MODELO!$B$15)/(PARAMS_MODELO!$B$16-PARAMS_MODELO!$B$15))))*PARAMS_MODELO!$B$7</f>
        <v>35</v>
      </c>
      <c r="G368" s="5">
        <f t="shared" si="121"/>
        <v>21712061.489999995</v>
      </c>
      <c r="H368" s="5">
        <f>(PARAMS_MODELO!$B$20*(MAX(0,MIN(3,E368))/3)+PARAMS_MODELO!$B$21*(IFERROR(LN(1+MAX(0,G368))/LN(1+MAX(0,MAX($G$2:$G$1194))),0)))*100*PARAMS_MODELO!$B$8</f>
        <v>5.0021914550507569</v>
      </c>
      <c r="I368" s="8">
        <f>E368-PARAMS_MODELO!$B$5</f>
        <v>0.12019364524804699</v>
      </c>
      <c r="J368" s="5">
        <f>IF(I368&lt;=PARAMS_MODELO!$B$18,0,IF(I368&gt;=PARAMS_MODELO!$B$19,100,100*(I368-PARAMS_MODELO!$B$18)/(PARAMS_MODELO!$B$19-PARAMS_MODELO!$B$18)))*PARAMS_MODELO!$B$9</f>
        <v>15</v>
      </c>
      <c r="K368" s="5">
        <f>IFERROR(CHOOSE(MATCH(PARAMS_MODELO!$B$2,{"Q1","Q2","Q3"},0),LOTO!$D368,LOTO!$F368,LOTO!$H368),0)</f>
        <v>4562500</v>
      </c>
      <c r="L368" s="8">
        <f t="shared" si="122"/>
        <v>4.8213630310838376E-2</v>
      </c>
      <c r="M368" s="5">
        <f>MIN(100,IF(PARAMS_MODELO!$B$23=0,0,100*L368/PARAMS_MODELO!$B$23))*PARAMS_MODELO!$B$10</f>
        <v>14.464089093251513</v>
      </c>
      <c r="N368" s="5">
        <f>IFERROR(VLOOKUP(A368,COMPLIANCE!$A$2:$F$1996,6,0),100)</f>
        <v>100</v>
      </c>
      <c r="O368" s="5">
        <f>N368*PARAMS_MODELO!$B$11</f>
        <v>10</v>
      </c>
      <c r="P368" s="5">
        <f>IFERROR(VLOOKUP(A368,DIGITAL!$A$2:$J$2000,7,0),100)</f>
        <v>62</v>
      </c>
      <c r="Q368" s="5">
        <f>IFERROR(P368,0)*PARAMS_MODELO!$B$12</f>
        <v>6.2</v>
      </c>
      <c r="R368">
        <f t="shared" si="123"/>
        <v>85.666280548302268</v>
      </c>
      <c r="S368" s="5" t="str">
        <f>IFERROR(VLOOKUP(A368,CLIENTE!$A$2:$N$2000,13,0),1)</f>
        <v>Regular</v>
      </c>
      <c r="T368" s="5">
        <f>IFERROR(VLOOKUP(A368,CLIENTE!$A$2:$N$2000,14,0),1)</f>
        <v>1</v>
      </c>
      <c r="U368" s="5">
        <f t="shared" si="124"/>
        <v>85.666280548302268</v>
      </c>
      <c r="V368" s="5" t="str">
        <f>IF(U368&gt;=MAX(_xlfn.PERCENTILE.INC($U$2:$U$1194,PARAMS_MODELO!$B$50),PARAMS_MODELO!$B$45),"DIAMANTE",IF(U368&gt;=MAX(_xlfn.PERCENTILE.INC($U$2:$U$1194,PARAMS_MODELO!$B$51),PARAMS_MODELO!$B$46),"PLATINO",IF(U368&gt;=MAX(_xlfn.PERCENTILE.INC($U$2:$U$1194,PARAMS_MODELO!$B$52),PARAMS_MODELO!$B$47),"ORO",IF(U368&gt;=MAX(_xlfn.PERCENTILE.INC($U$2:$U$1194,PARAMS_MODELO!$B$53),PARAMS_MODELO!$B$48),"PLATA",IF(U368&gt;=1,"BRONCE","CERRADO")))))</f>
        <v>ORO</v>
      </c>
      <c r="W368" s="5" t="str" cm="1">
        <f t="array" ref="W368">_xlfn.XLOOKUP(1, (HIST_SCORE!$B:$B=PARAMS_MODELO!$B$4) * (HIST_SCORE!$C:$C=A368), HIST_SCORE!$E:$E, "No encontrado")</f>
        <v>ORO</v>
      </c>
      <c r="X368" s="5" t="str">
        <f>_xlfn.LET(_xlpm.act,MATCH(V368,{"DIAMANTE";"PLATINO";"ORO";"PLATA";"BRONCE";"CERRADO"},0),_xlpm.ant,MATCH(W368,{"DIAMANTE";"PLATINO";"ORO";"PLATA";"BRONCE";"CERRADO"},0),IF(_xlpm.act&lt;_xlpm.ant,"Mejora ↑",IF(_xlpm.act&gt;_xlpm.ant,"Baja ↓","Estable →")))</f>
        <v>Estable →</v>
      </c>
      <c r="Y368" s="5">
        <f>IFERROR(U368-SUMIFS(HIST_SCORE!$D:$D,HIST_SCORE!$B:$B,PARAMS_MODELO!$B$4,HIST_SCORE!$C:$C,$A368),"")</f>
        <v>2.6794373359049644</v>
      </c>
      <c r="Z368" s="5" t="str">
        <f t="shared" si="125"/>
        <v>→ Estable</v>
      </c>
      <c r="AA368" s="5">
        <f t="shared" si="126"/>
        <v>263</v>
      </c>
      <c r="AB368" s="5">
        <f>IFERROR(SUMIFS(HIST_SCORE!$F:$F,HIST_SCORE!$B:$B,PARAMS_MODELO!$B$4,HIST_SCORE!$C:$C,$A368),"")</f>
        <v>329</v>
      </c>
      <c r="AC368" s="5">
        <f t="shared" si="127"/>
        <v>66</v>
      </c>
      <c r="AD368" t="str">
        <f t="shared" si="129"/>
        <v/>
      </c>
      <c r="AE3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368="CERRADO",1,IF(V368="BRONCE",_xlpm.cPl,IF(V368="PLATA",_xlpm.cO,IF(V368="ORO",_xlpm.cP,IF(V368="PLATINO",_xlpm.cD,999))))))</f>
        <v>86.439123873763251</v>
      </c>
      <c r="AF3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368="CERRADO",0,IF(V368="BRONCE",1,IF(V368="PLATA",_xlpm.cPl,IF(V368="ORO",_xlpm.cO,IF(V368="PLATINO",_xlpm.cP,_xlpm.cD))))))</f>
        <v>63.199193273331495</v>
      </c>
      <c r="AG368">
        <f t="shared" si="130"/>
        <v>0.77284332546098256</v>
      </c>
      <c r="AH368" t="str">
        <f t="shared" si="131"/>
        <v>VENTAS</v>
      </c>
      <c r="AI368" t="str">
        <f t="shared" si="128"/>
        <v>🎯 Para subir de categoría, eje VENTAS / IMPACTO ABSOLUTO (H). Acción: metas semanales + activación comercial + seguimiento del asesor. ΔR aprox: 0,8</v>
      </c>
      <c r="AJ368" s="26">
        <f>_xlfn.LET(_xlpm.piso,AF368,_xlpm.corte,AE368,_xlpm.prog,IF(_xlpm.corte&lt;=_xlpm.piso,0,MAX(0,MIN(1,(U368-_xlpm.piso)/(_xlpm.corte-_xlpm.piso)))),_xlpm.orden,{"DIAMANTE";"PLATINO";"ORO";"PLATA";"BRONCE";"CERRADO"},_xlpm.act,IFERROR(MATCH(V368,_xlpm.orden,0),6),_xlpm.ant,IFERROR(MATCH(W368,_xlpm.orden,0),6),_xlpm.ajmov,IF(_xlpm.act&lt;_xlpm.ant,0.08,IF(_xlpm.act&gt;_xlpm.ant,-0.08,0)),_xlpm.ajcli,IF(T368&lt;0.95,-0.06,0),_xlpm.prob,MAX(0,MIN(1,_xlpm.prog+_xlpm.ajmov+_xlpm.ajcli)),IF(OR(V368="DIAMANTE",V368="CERRADO"),0,ROUND(_xlpm.prob,2)))</f>
        <v>0.97</v>
      </c>
      <c r="AK368" t="str">
        <f t="shared" si="132"/>
        <v>Faltan 0,8 puntos base para subir a la siguiente categoría</v>
      </c>
      <c r="AL368" t="str">
        <f t="shared" si="133"/>
        <v>Margen de seguridad: 22,5 puntos</v>
      </c>
      <c r="AM368">
        <f t="shared" si="134"/>
        <v>0.04</v>
      </c>
      <c r="AN368" t="str">
        <f t="shared" si="135"/>
        <v>PRIORIDAD BAJA – control normal</v>
      </c>
      <c r="AO368">
        <f t="shared" si="136"/>
        <v>9.8603778202448282</v>
      </c>
      <c r="AP368">
        <f t="shared" si="137"/>
        <v>0.53591090674848729</v>
      </c>
      <c r="AQ368">
        <f t="shared" si="138"/>
        <v>0</v>
      </c>
      <c r="AR368">
        <f t="shared" si="139"/>
        <v>3.8</v>
      </c>
      <c r="AS368">
        <f t="shared" si="140"/>
        <v>0</v>
      </c>
      <c r="AT368" t="str">
        <f t="shared" si="141"/>
        <v>VENTAS</v>
      </c>
      <c r="AU368">
        <f t="shared" si="142"/>
        <v>9.8603778202448282</v>
      </c>
      <c r="AV368" t="str">
        <f t="shared" si="143"/>
        <v>Mayor retorno probable: VENTAS (+9,9 puntos finales potenciales).</v>
      </c>
    </row>
    <row r="369" spans="1:48" x14ac:dyDescent="0.3">
      <c r="A369" s="5">
        <v>51056868</v>
      </c>
      <c r="B369" s="5" t="str">
        <f>IFERROR(VLOOKUP(A369,VENTAS!$A$2:$B$1194,2,0),"")</f>
        <v>ARGUELLO</v>
      </c>
      <c r="C369" s="5">
        <f>IFERROR(INDEX(VENTAS!$C$2:$E$1194,MATCH(A369,VENTAS!$A$2:$A$1194,0),MATCH(PARAMS_MODELO!$B$2,{"Q1","Q2","Q3"},0)),0)</f>
        <v>51574182.150000013</v>
      </c>
      <c r="D369" s="5">
        <f>IFERROR(INDEX(VENTAS!$F$2:$H$1194,MATCH(A369,VENTAS!$A$2:$A$1194,0),MATCH(PARAMS_MODELO!$B$2,{"Q1","Q2","Q3"},0)),0)</f>
        <v>94403507</v>
      </c>
      <c r="E369" s="8">
        <f t="shared" si="120"/>
        <v>0.83044118325393512</v>
      </c>
      <c r="F369" s="12">
        <f>IF(E369&lt;=PARAMS_MODELO!$B$15,0,IF(E369&gt;=PARAMS_MODELO!$B$17,100,100*MIN(1,(E369-PARAMS_MODELO!$B$15)/(PARAMS_MODELO!$B$16-PARAMS_MODELO!$B$15))))*PARAMS_MODELO!$B$7</f>
        <v>35</v>
      </c>
      <c r="G369" s="5">
        <f t="shared" si="121"/>
        <v>42829324.849999987</v>
      </c>
      <c r="H369" s="5">
        <f>(PARAMS_MODELO!$B$20*(MAX(0,MIN(3,E369))/3)+PARAMS_MODELO!$B$21*(IFERROR(LN(1+MAX(0,G369))/LN(1+MAX(0,MAX($G$2:$G$1194))),0)))*100*PARAMS_MODELO!$B$8</f>
        <v>7.0258382269676938</v>
      </c>
      <c r="I369" s="8">
        <f>E369-PARAMS_MODELO!$B$5</f>
        <v>0.65287834787840859</v>
      </c>
      <c r="J369" s="5">
        <f>IF(I369&lt;=PARAMS_MODELO!$B$18,0,IF(I369&gt;=PARAMS_MODELO!$B$19,100,100*(I369-PARAMS_MODELO!$B$18)/(PARAMS_MODELO!$B$19-PARAMS_MODELO!$B$18)))*PARAMS_MODELO!$B$9</f>
        <v>15</v>
      </c>
      <c r="K369" s="5">
        <f>IFERROR(CHOOSE(MATCH(PARAMS_MODELO!$B$2,{"Q1","Q2","Q3"},0),LOTO!$D369,LOTO!$F369,LOTO!$H369),0)</f>
        <v>4545000</v>
      </c>
      <c r="L369" s="8">
        <f t="shared" si="122"/>
        <v>4.8144397855897449E-2</v>
      </c>
      <c r="M369" s="5">
        <f>MIN(100,IF(PARAMS_MODELO!$B$23=0,0,100*L369/PARAMS_MODELO!$B$23))*PARAMS_MODELO!$B$10</f>
        <v>14.443319356769234</v>
      </c>
      <c r="N369" s="5">
        <f>IFERROR(VLOOKUP(A369,COMPLIANCE!$A$2:$F$1996,6,0),100)</f>
        <v>100</v>
      </c>
      <c r="O369" s="5">
        <f>N369*PARAMS_MODELO!$B$11</f>
        <v>10</v>
      </c>
      <c r="P369" s="5">
        <f>IFERROR(VLOOKUP(A369,DIGITAL!$A$2:$J$2000,7,0),100)</f>
        <v>97</v>
      </c>
      <c r="Q369" s="5">
        <f>IFERROR(P369,0)*PARAMS_MODELO!$B$12</f>
        <v>9.7000000000000011</v>
      </c>
      <c r="R369">
        <f t="shared" si="123"/>
        <v>91.169157583736933</v>
      </c>
      <c r="S369" s="5" t="str">
        <f>IFERROR(VLOOKUP(A369,CLIENTE!$A$2:$N$2000,13,0),1)</f>
        <v>Regular</v>
      </c>
      <c r="T369" s="5">
        <f>IFERROR(VLOOKUP(A369,CLIENTE!$A$2:$N$2000,14,0),1)</f>
        <v>1</v>
      </c>
      <c r="U369" s="5">
        <f t="shared" si="124"/>
        <v>91.169157583736933</v>
      </c>
      <c r="V369" s="5" t="str">
        <f>IF(U369&gt;=MAX(_xlfn.PERCENTILE.INC($U$2:$U$1194,PARAMS_MODELO!$B$50),PARAMS_MODELO!$B$45),"DIAMANTE",IF(U369&gt;=MAX(_xlfn.PERCENTILE.INC($U$2:$U$1194,PARAMS_MODELO!$B$51),PARAMS_MODELO!$B$46),"PLATINO",IF(U369&gt;=MAX(_xlfn.PERCENTILE.INC($U$2:$U$1194,PARAMS_MODELO!$B$52),PARAMS_MODELO!$B$47),"ORO",IF(U369&gt;=MAX(_xlfn.PERCENTILE.INC($U$2:$U$1194,PARAMS_MODELO!$B$53),PARAMS_MODELO!$B$48),"PLATA",IF(U369&gt;=1,"BRONCE","CERRADO")))))</f>
        <v>PLATINO</v>
      </c>
      <c r="W369" s="5" t="str" cm="1">
        <f t="array" ref="W369">_xlfn.XLOOKUP(1, (HIST_SCORE!$B:$B=PARAMS_MODELO!$B$4) * (HIST_SCORE!$C:$C=A369), HIST_SCORE!$E:$E, "No encontrado")</f>
        <v>PLATINO</v>
      </c>
      <c r="X369" s="5" t="str">
        <f>_xlfn.LET(_xlpm.act,MATCH(V369,{"DIAMANTE";"PLATINO";"ORO";"PLATA";"BRONCE";"CERRADO"},0),_xlpm.ant,MATCH(W369,{"DIAMANTE";"PLATINO";"ORO";"PLATA";"BRONCE";"CERRADO"},0),IF(_xlpm.act&lt;_xlpm.ant,"Mejora ↑",IF(_xlpm.act&gt;_xlpm.ant,"Baja ↓","Estable →")))</f>
        <v>Estable →</v>
      </c>
      <c r="Y369" s="5">
        <f>IFERROR(U369-SUMIFS(HIST_SCORE!$D:$D,HIST_SCORE!$B:$B,PARAMS_MODELO!$B$4,HIST_SCORE!$C:$C,$A369),"")</f>
        <v>3.3055642021788856</v>
      </c>
      <c r="Z369" s="5" t="str">
        <f t="shared" si="125"/>
        <v>→ Estable</v>
      </c>
      <c r="AA369" s="5">
        <f t="shared" si="126"/>
        <v>114</v>
      </c>
      <c r="AB369" s="5">
        <f>IFERROR(SUMIFS(HIST_SCORE!$F:$F,HIST_SCORE!$B:$B,PARAMS_MODELO!$B$4,HIST_SCORE!$C:$C,$A369),"")</f>
        <v>180</v>
      </c>
      <c r="AC369" s="5">
        <f t="shared" si="127"/>
        <v>66</v>
      </c>
      <c r="AD369" t="str">
        <f t="shared" si="129"/>
        <v/>
      </c>
      <c r="AE3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369="CERRADO",1,IF(V369="BRONCE",_xlpm.cPl,IF(V369="PLATA",_xlpm.cO,IF(V369="ORO",_xlpm.cP,IF(V369="PLATINO",_xlpm.cD,999))))))</f>
        <v>96.054919694466676</v>
      </c>
      <c r="AF3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369="CERRADO",0,IF(V369="BRONCE",1,IF(V369="PLATA",_xlpm.cPl,IF(V369="ORO",_xlpm.cO,IF(V369="PLATINO",_xlpm.cP,_xlpm.cD))))))</f>
        <v>86.439123873763251</v>
      </c>
      <c r="AG369">
        <f t="shared" si="130"/>
        <v>4.8857621107297433</v>
      </c>
      <c r="AH369" t="str">
        <f t="shared" si="131"/>
        <v>VENTAS</v>
      </c>
      <c r="AI369" t="str">
        <f t="shared" si="128"/>
        <v>🎯 Para subir de categoría, eje VENTAS / IMPACTO ABSOLUTO (H). Acción: metas semanales + activación comercial + seguimiento del asesor. ΔR aprox: 4,9</v>
      </c>
      <c r="AJ369" s="26">
        <f>_xlfn.LET(_xlpm.piso,AF369,_xlpm.corte,AE369,_xlpm.prog,IF(_xlpm.corte&lt;=_xlpm.piso,0,MAX(0,MIN(1,(U369-_xlpm.piso)/(_xlpm.corte-_xlpm.piso)))),_xlpm.orden,{"DIAMANTE";"PLATINO";"ORO";"PLATA";"BRONCE";"CERRADO"},_xlpm.act,IFERROR(MATCH(V369,_xlpm.orden,0),6),_xlpm.ant,IFERROR(MATCH(W369,_xlpm.orden,0),6),_xlpm.ajmov,IF(_xlpm.act&lt;_xlpm.ant,0.08,IF(_xlpm.act&gt;_xlpm.ant,-0.08,0)),_xlpm.ajcli,IF(T369&lt;0.95,-0.06,0),_xlpm.prob,MAX(0,MIN(1,_xlpm.prog+_xlpm.ajmov+_xlpm.ajcli)),IF(OR(V369="DIAMANTE",V369="CERRADO"),0,ROUND(_xlpm.prob,2)))</f>
        <v>0.49</v>
      </c>
      <c r="AK369" t="str">
        <f t="shared" si="132"/>
        <v>Faltan 4,9 puntos base para subir a la siguiente categoría</v>
      </c>
      <c r="AL369" t="str">
        <f t="shared" si="133"/>
        <v>Margen de seguridad: 4,7 puntos</v>
      </c>
      <c r="AM369">
        <f t="shared" si="134"/>
        <v>0.4</v>
      </c>
      <c r="AN369" t="str">
        <f t="shared" si="135"/>
        <v>PRIORIDAD MEDIA – seguimiento del asesor</v>
      </c>
      <c r="AO369">
        <f t="shared" si="136"/>
        <v>7.8367310483278914</v>
      </c>
      <c r="AP369">
        <f t="shared" si="137"/>
        <v>0.55668064323076649</v>
      </c>
      <c r="AQ369">
        <f t="shared" si="138"/>
        <v>0</v>
      </c>
      <c r="AR369">
        <f t="shared" si="139"/>
        <v>0.29999999999999893</v>
      </c>
      <c r="AS369">
        <f t="shared" si="140"/>
        <v>0</v>
      </c>
      <c r="AT369" t="str">
        <f t="shared" si="141"/>
        <v>VENTAS</v>
      </c>
      <c r="AU369">
        <f t="shared" si="142"/>
        <v>7.8367310483278914</v>
      </c>
      <c r="AV369" t="str">
        <f t="shared" si="143"/>
        <v>Mayor retorno probable: VENTAS (+7,8 puntos finales potenciales).</v>
      </c>
    </row>
    <row r="370" spans="1:48" x14ac:dyDescent="0.3">
      <c r="A370" s="5">
        <v>51056566</v>
      </c>
      <c r="B370" s="5" t="str">
        <f>IFERROR(VLOOKUP(A370,VENTAS!$A$2:$B$1194,2,0),"")</f>
        <v>NELLI</v>
      </c>
      <c r="C370" s="5">
        <f>IFERROR(INDEX(VENTAS!$C$2:$E$1194,MATCH(A370,VENTAS!$A$2:$A$1194,0),MATCH(PARAMS_MODELO!$B$2,{"Q1","Q2","Q3"},0)),0)</f>
        <v>69695600.060000002</v>
      </c>
      <c r="D370" s="5">
        <f>IFERROR(INDEX(VENTAS!$F$2:$H$1194,MATCH(A370,VENTAS!$A$2:$A$1194,0),MATCH(PARAMS_MODELO!$B$2,{"Q1","Q2","Q3"},0)),0)</f>
        <v>94350418</v>
      </c>
      <c r="E370" s="8">
        <f t="shared" si="120"/>
        <v>0.3537499916605209</v>
      </c>
      <c r="F370" s="12">
        <f>IF(E370&lt;=PARAMS_MODELO!$B$15,0,IF(E370&gt;=PARAMS_MODELO!$B$17,100,100*MIN(1,(E370-PARAMS_MODELO!$B$15)/(PARAMS_MODELO!$B$16-PARAMS_MODELO!$B$15))))*PARAMS_MODELO!$B$7</f>
        <v>35</v>
      </c>
      <c r="G370" s="5">
        <f t="shared" si="121"/>
        <v>24654817.939999998</v>
      </c>
      <c r="H370" s="5">
        <f>(PARAMS_MODELO!$B$20*(MAX(0,MIN(3,E370))/3)+PARAMS_MODELO!$B$21*(IFERROR(LN(1+MAX(0,G370))/LN(1+MAX(0,MAX($G$2:$G$1194))),0)))*100*PARAMS_MODELO!$B$8</f>
        <v>5.2279637882598022</v>
      </c>
      <c r="I370" s="8">
        <f>E370-PARAMS_MODELO!$B$5</f>
        <v>0.17618715628499437</v>
      </c>
      <c r="J370" s="5">
        <f>IF(I370&lt;=PARAMS_MODELO!$B$18,0,IF(I370&gt;=PARAMS_MODELO!$B$19,100,100*(I370-PARAMS_MODELO!$B$18)/(PARAMS_MODELO!$B$19-PARAMS_MODELO!$B$18)))*PARAMS_MODELO!$B$9</f>
        <v>15</v>
      </c>
      <c r="K370" s="5">
        <f>IFERROR(CHOOSE(MATCH(PARAMS_MODELO!$B$2,{"Q1","Q2","Q3"},0),LOTO!$D370,LOTO!$F370,LOTO!$H370),0)</f>
        <v>4542500</v>
      </c>
      <c r="L370" s="8">
        <f t="shared" si="122"/>
        <v>4.8144990730194751E-2</v>
      </c>
      <c r="M370" s="5">
        <f>MIN(100,IF(PARAMS_MODELO!$B$23=0,0,100*L370/PARAMS_MODELO!$B$23))*PARAMS_MODELO!$B$10</f>
        <v>14.443497219058424</v>
      </c>
      <c r="N370" s="5">
        <f>IFERROR(VLOOKUP(A370,COMPLIANCE!$A$2:$F$1996,6,0),100)</f>
        <v>100</v>
      </c>
      <c r="O370" s="5">
        <f>N370*PARAMS_MODELO!$B$11</f>
        <v>10</v>
      </c>
      <c r="P370" s="5">
        <f>IFERROR(VLOOKUP(A370,DIGITAL!$A$2:$J$2000,7,0),100)</f>
        <v>68</v>
      </c>
      <c r="Q370" s="5">
        <f>IFERROR(P370,0)*PARAMS_MODELO!$B$12</f>
        <v>6.8000000000000007</v>
      </c>
      <c r="R370">
        <f t="shared" si="123"/>
        <v>86.471461007318226</v>
      </c>
      <c r="S370" s="5" t="str">
        <f>IFERROR(VLOOKUP(A370,CLIENTE!$A$2:$N$2000,13,0),1)</f>
        <v>Regular</v>
      </c>
      <c r="T370" s="5">
        <f>IFERROR(VLOOKUP(A370,CLIENTE!$A$2:$N$2000,14,0),1)</f>
        <v>1</v>
      </c>
      <c r="U370" s="5">
        <f t="shared" si="124"/>
        <v>86.471461007318226</v>
      </c>
      <c r="V370" s="5" t="str">
        <f>IF(U370&gt;=MAX(_xlfn.PERCENTILE.INC($U$2:$U$1194,PARAMS_MODELO!$B$50),PARAMS_MODELO!$B$45),"DIAMANTE",IF(U370&gt;=MAX(_xlfn.PERCENTILE.INC($U$2:$U$1194,PARAMS_MODELO!$B$51),PARAMS_MODELO!$B$46),"PLATINO",IF(U370&gt;=MAX(_xlfn.PERCENTILE.INC($U$2:$U$1194,PARAMS_MODELO!$B$52),PARAMS_MODELO!$B$47),"ORO",IF(U370&gt;=MAX(_xlfn.PERCENTILE.INC($U$2:$U$1194,PARAMS_MODELO!$B$53),PARAMS_MODELO!$B$48),"PLATA",IF(U370&gt;=1,"BRONCE","CERRADO")))))</f>
        <v>PLATINO</v>
      </c>
      <c r="W370" s="5" t="str" cm="1">
        <f t="array" ref="W370">_xlfn.XLOOKUP(1, (HIST_SCORE!$B:$B=PARAMS_MODELO!$B$4) * (HIST_SCORE!$C:$C=A370), HIST_SCORE!$E:$E, "No encontrado")</f>
        <v>ORO</v>
      </c>
      <c r="X370" s="5" t="str">
        <f>_xlfn.LET(_xlpm.act,MATCH(V370,{"DIAMANTE";"PLATINO";"ORO";"PLATA";"BRONCE";"CERRADO"},0),_xlpm.ant,MATCH(W370,{"DIAMANTE";"PLATINO";"ORO";"PLATA";"BRONCE";"CERRADO"},0),IF(_xlpm.act&lt;_xlpm.ant,"Mejora ↑",IF(_xlpm.act&gt;_xlpm.ant,"Baja ↓","Estable →")))</f>
        <v>Mejora ↑</v>
      </c>
      <c r="Y370" s="5">
        <f>IFERROR(U370-SUMIFS(HIST_SCORE!$D:$D,HIST_SCORE!$B:$B,PARAMS_MODELO!$B$4,HIST_SCORE!$C:$C,$A370),"")</f>
        <v>1.9981271163622552</v>
      </c>
      <c r="Z370" s="5" t="str">
        <f t="shared" si="125"/>
        <v>→ Estable</v>
      </c>
      <c r="AA370" s="5">
        <f t="shared" si="126"/>
        <v>236</v>
      </c>
      <c r="AB370" s="5">
        <f>IFERROR(SUMIFS(HIST_SCORE!$F:$F,HIST_SCORE!$B:$B,PARAMS_MODELO!$B$4,HIST_SCORE!$C:$C,$A370),"")</f>
        <v>275</v>
      </c>
      <c r="AC370" s="5">
        <f t="shared" si="127"/>
        <v>39</v>
      </c>
      <c r="AD370" t="str">
        <f t="shared" si="129"/>
        <v/>
      </c>
      <c r="AE3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370="CERRADO",1,IF(V370="BRONCE",_xlpm.cPl,IF(V370="PLATA",_xlpm.cO,IF(V370="ORO",_xlpm.cP,IF(V370="PLATINO",_xlpm.cD,999))))))</f>
        <v>96.054919694466676</v>
      </c>
      <c r="AF3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370="CERRADO",0,IF(V370="BRONCE",1,IF(V370="PLATA",_xlpm.cPl,IF(V370="ORO",_xlpm.cO,IF(V370="PLATINO",_xlpm.cP,_xlpm.cD))))))</f>
        <v>86.439123873763251</v>
      </c>
      <c r="AG370">
        <f t="shared" si="130"/>
        <v>9.5834586871484504</v>
      </c>
      <c r="AH370" t="str">
        <f t="shared" si="131"/>
        <v>VENTAS</v>
      </c>
      <c r="AI370" t="str">
        <f t="shared" si="128"/>
        <v>🎯 Para subir de categoría, eje VENTAS / IMPACTO ABSOLUTO (H). Acción: metas semanales + activación comercial + seguimiento del asesor. ΔR aprox: 9,6</v>
      </c>
      <c r="AJ370" s="26">
        <f>_xlfn.LET(_xlpm.piso,AF370,_xlpm.corte,AE370,_xlpm.prog,IF(_xlpm.corte&lt;=_xlpm.piso,0,MAX(0,MIN(1,(U370-_xlpm.piso)/(_xlpm.corte-_xlpm.piso)))),_xlpm.orden,{"DIAMANTE";"PLATINO";"ORO";"PLATA";"BRONCE";"CERRADO"},_xlpm.act,IFERROR(MATCH(V370,_xlpm.orden,0),6),_xlpm.ant,IFERROR(MATCH(W370,_xlpm.orden,0),6),_xlpm.ajmov,IF(_xlpm.act&lt;_xlpm.ant,0.08,IF(_xlpm.act&gt;_xlpm.ant,-0.08,0)),_xlpm.ajcli,IF(T370&lt;0.95,-0.06,0),_xlpm.prob,MAX(0,MIN(1,_xlpm.prog+_xlpm.ajmov+_xlpm.ajcli)),IF(OR(V370="DIAMANTE",V370="CERRADO"),0,ROUND(_xlpm.prob,2)))</f>
        <v>0.08</v>
      </c>
      <c r="AK370" t="str">
        <f t="shared" si="132"/>
        <v>Faltan 9,6 puntos base para subir a la siguiente categoría</v>
      </c>
      <c r="AL370" t="str">
        <f t="shared" si="133"/>
        <v>Margen de seguridad: 0,0 puntos</v>
      </c>
      <c r="AM370">
        <f t="shared" si="134"/>
        <v>0.75</v>
      </c>
      <c r="AN370" t="str">
        <f t="shared" si="135"/>
        <v>PRIORIDAD ALTA – requiere intervención inmediata</v>
      </c>
      <c r="AO370">
        <f t="shared" si="136"/>
        <v>9.6346054870357847</v>
      </c>
      <c r="AP370">
        <f t="shared" si="137"/>
        <v>0.55650278094157635</v>
      </c>
      <c r="AQ370">
        <f t="shared" si="138"/>
        <v>0</v>
      </c>
      <c r="AR370">
        <f t="shared" si="139"/>
        <v>3.1999999999999993</v>
      </c>
      <c r="AS370">
        <f t="shared" si="140"/>
        <v>0</v>
      </c>
      <c r="AT370" t="str">
        <f t="shared" si="141"/>
        <v>VENTAS</v>
      </c>
      <c r="AU370">
        <f t="shared" si="142"/>
        <v>9.6346054870357847</v>
      </c>
      <c r="AV370" t="str">
        <f t="shared" si="143"/>
        <v>Mayor retorno probable: VENTAS (+9,6 puntos finales potenciales).</v>
      </c>
    </row>
    <row r="371" spans="1:48" x14ac:dyDescent="0.3">
      <c r="A371" s="5">
        <v>51005112</v>
      </c>
      <c r="B371" s="5" t="str">
        <f>IFERROR(VLOOKUP(A371,VENTAS!$A$2:$B$1194,2,0),"")</f>
        <v>AYALA</v>
      </c>
      <c r="C371" s="5">
        <f>IFERROR(INDEX(VENTAS!$C$2:$E$1194,MATCH(A371,VENTAS!$A$2:$A$1194,0),MATCH(PARAMS_MODELO!$B$2,{"Q1","Q2","Q3"},0)),0)</f>
        <v>72670507.539999992</v>
      </c>
      <c r="D371" s="5">
        <f>IFERROR(INDEX(VENTAS!$F$2:$H$1194,MATCH(A371,VENTAS!$A$2:$A$1194,0),MATCH(PARAMS_MODELO!$B$2,{"Q1","Q2","Q3"},0)),0)</f>
        <v>93679517</v>
      </c>
      <c r="E371" s="8">
        <f t="shared" si="120"/>
        <v>0.28909952842198106</v>
      </c>
      <c r="F371" s="12">
        <f>IF(E371&lt;=PARAMS_MODELO!$B$15,0,IF(E371&gt;=PARAMS_MODELO!$B$17,100,100*MIN(1,(E371-PARAMS_MODELO!$B$15)/(PARAMS_MODELO!$B$16-PARAMS_MODELO!$B$15))))*PARAMS_MODELO!$B$7</f>
        <v>35</v>
      </c>
      <c r="G371" s="5">
        <f t="shared" si="121"/>
        <v>21009009.460000008</v>
      </c>
      <c r="H371" s="5">
        <f>(PARAMS_MODELO!$B$20*(MAX(0,MIN(3,E371))/3)+PARAMS_MODELO!$B$21*(IFERROR(LN(1+MAX(0,G371))/LN(1+MAX(0,MAX($G$2:$G$1194))),0)))*100*PARAMS_MODELO!$B$8</f>
        <v>4.964176019737379</v>
      </c>
      <c r="I371" s="8">
        <f>E371-PARAMS_MODELO!$B$5</f>
        <v>0.11153669304645453</v>
      </c>
      <c r="J371" s="5">
        <f>IF(I371&lt;=PARAMS_MODELO!$B$18,0,IF(I371&gt;=PARAMS_MODELO!$B$19,100,100*(I371-PARAMS_MODELO!$B$18)/(PARAMS_MODELO!$B$19-PARAMS_MODELO!$B$18)))*PARAMS_MODELO!$B$9</f>
        <v>15</v>
      </c>
      <c r="K371" s="5">
        <f>IFERROR(CHOOSE(MATCH(PARAMS_MODELO!$B$2,{"Q1","Q2","Q3"},0),LOTO!$D371,LOTO!$F371,LOTO!$H371),0)</f>
        <v>4537500</v>
      </c>
      <c r="L371" s="8">
        <f t="shared" si="122"/>
        <v>4.8436415401245075E-2</v>
      </c>
      <c r="M371" s="5">
        <f>MIN(100,IF(PARAMS_MODELO!$B$23=0,0,100*L371/PARAMS_MODELO!$B$23))*PARAMS_MODELO!$B$10</f>
        <v>14.53092462037352</v>
      </c>
      <c r="N371" s="5">
        <f>IFERROR(VLOOKUP(A371,COMPLIANCE!$A$2:$F$1996,6,0),100)</f>
        <v>100</v>
      </c>
      <c r="O371" s="5">
        <f>N371*PARAMS_MODELO!$B$11</f>
        <v>10</v>
      </c>
      <c r="P371" s="5">
        <f>IFERROR(VLOOKUP(A371,DIGITAL!$A$2:$J$2000,7,0),100)</f>
        <v>89</v>
      </c>
      <c r="Q371" s="5">
        <f>IFERROR(P371,0)*PARAMS_MODELO!$B$12</f>
        <v>8.9</v>
      </c>
      <c r="R371">
        <f t="shared" si="123"/>
        <v>88.395100640110911</v>
      </c>
      <c r="S371" s="5" t="str">
        <f>IFERROR(VLOOKUP(A371,CLIENTE!$A$2:$N$2000,13,0),1)</f>
        <v>Malo</v>
      </c>
      <c r="T371" s="5">
        <f>IFERROR(VLOOKUP(A371,CLIENTE!$A$2:$N$2000,14,0),1)</f>
        <v>0.7</v>
      </c>
      <c r="U371" s="5">
        <f t="shared" si="124"/>
        <v>61.876570448077636</v>
      </c>
      <c r="V371" s="5" t="str">
        <f>IF(U371&gt;=MAX(_xlfn.PERCENTILE.INC($U$2:$U$1194,PARAMS_MODELO!$B$50),PARAMS_MODELO!$B$45),"DIAMANTE",IF(U371&gt;=MAX(_xlfn.PERCENTILE.INC($U$2:$U$1194,PARAMS_MODELO!$B$51),PARAMS_MODELO!$B$46),"PLATINO",IF(U371&gt;=MAX(_xlfn.PERCENTILE.INC($U$2:$U$1194,PARAMS_MODELO!$B$52),PARAMS_MODELO!$B$47),"ORO",IF(U371&gt;=MAX(_xlfn.PERCENTILE.INC($U$2:$U$1194,PARAMS_MODELO!$B$53),PARAMS_MODELO!$B$48),"PLATA",IF(U371&gt;=1,"BRONCE","CERRADO")))))</f>
        <v>PLATA</v>
      </c>
      <c r="W371" s="5" t="str" cm="1">
        <f t="array" ref="W371">_xlfn.XLOOKUP(1, (HIST_SCORE!$B:$B=PARAMS_MODELO!$B$4) * (HIST_SCORE!$C:$C=A371), HIST_SCORE!$E:$E, "No encontrado")</f>
        <v>PLATA</v>
      </c>
      <c r="X371" s="5" t="str">
        <f>_xlfn.LET(_xlpm.act,MATCH(V371,{"DIAMANTE";"PLATINO";"ORO";"PLATA";"BRONCE";"CERRADO"},0),_xlpm.ant,MATCH(W371,{"DIAMANTE";"PLATINO";"ORO";"PLATA";"BRONCE";"CERRADO"},0),IF(_xlpm.act&lt;_xlpm.ant,"Mejora ↑",IF(_xlpm.act&gt;_xlpm.ant,"Baja ↓","Estable →")))</f>
        <v>Estable →</v>
      </c>
      <c r="Y371" s="5">
        <f>IFERROR(U371-SUMIFS(HIST_SCORE!$D:$D,HIST_SCORE!$B:$B,PARAMS_MODELO!$B$4,HIST_SCORE!$C:$C,$A371),"")</f>
        <v>26.736115111706731</v>
      </c>
      <c r="Z371" s="5" t="str">
        <f t="shared" si="125"/>
        <v>↑ Mejora</v>
      </c>
      <c r="AA371" s="5">
        <f t="shared" si="126"/>
        <v>582</v>
      </c>
      <c r="AB371" s="5">
        <f>IFERROR(SUMIFS(HIST_SCORE!$F:$F,HIST_SCORE!$B:$B,PARAMS_MODELO!$B$4,HIST_SCORE!$C:$C,$A371),"")</f>
        <v>865</v>
      </c>
      <c r="AC371" s="5">
        <f t="shared" si="127"/>
        <v>283</v>
      </c>
      <c r="AD371" t="str">
        <f t="shared" si="129"/>
        <v/>
      </c>
      <c r="AE3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371="CERRADO",1,IF(V371="BRONCE",_xlpm.cPl,IF(V371="PLATA",_xlpm.cO,IF(V371="ORO",_xlpm.cP,IF(V371="PLATINO",_xlpm.cD,999))))))</f>
        <v>63.199193273331495</v>
      </c>
      <c r="AF3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371="CERRADO",0,IF(V371="BRONCE",1,IF(V371="PLATA",_xlpm.cPl,IF(V371="ORO",_xlpm.cO,IF(V371="PLATINO",_xlpm.cP,_xlpm.cD))))))</f>
        <v>24.506573482968111</v>
      </c>
      <c r="AG371">
        <f t="shared" si="130"/>
        <v>1.8894611789340843</v>
      </c>
      <c r="AH371" t="str">
        <f t="shared" si="131"/>
        <v>CLIENTE</v>
      </c>
      <c r="AI371" t="str">
        <f t="shared" si="128"/>
        <v>🎯 Para subir de categoría, la eje con mayor impacto probable es CLIENTE (coef T). Acción: reducir quejas, mejorar incógnito y empujar reseñas. ΔR aprox: 1,9</v>
      </c>
      <c r="AJ371" s="26">
        <f>_xlfn.LET(_xlpm.piso,AF371,_xlpm.corte,AE371,_xlpm.prog,IF(_xlpm.corte&lt;=_xlpm.piso,0,MAX(0,MIN(1,(U371-_xlpm.piso)/(_xlpm.corte-_xlpm.piso)))),_xlpm.orden,{"DIAMANTE";"PLATINO";"ORO";"PLATA";"BRONCE";"CERRADO"},_xlpm.act,IFERROR(MATCH(V371,_xlpm.orden,0),6),_xlpm.ant,IFERROR(MATCH(W371,_xlpm.orden,0),6),_xlpm.ajmov,IF(_xlpm.act&lt;_xlpm.ant,0.08,IF(_xlpm.act&gt;_xlpm.ant,-0.08,0)),_xlpm.ajcli,IF(T371&lt;0.95,-0.06,0),_xlpm.prob,MAX(0,MIN(1,_xlpm.prog+_xlpm.ajmov+_xlpm.ajcli)),IF(OR(V371="DIAMANTE",V371="CERRADO"),0,ROUND(_xlpm.prob,2)))</f>
        <v>0.91</v>
      </c>
      <c r="AK371" t="str">
        <f t="shared" si="132"/>
        <v>Faltan 1,9 puntos base para subir a la siguiente categoría</v>
      </c>
      <c r="AL371" t="str">
        <f t="shared" si="133"/>
        <v>Margen de seguridad: 37,4 puntos</v>
      </c>
      <c r="AM371">
        <f t="shared" si="134"/>
        <v>0.31</v>
      </c>
      <c r="AN371" t="str">
        <f t="shared" si="135"/>
        <v>PRIORIDAD BAJA – control normal</v>
      </c>
      <c r="AO371">
        <f t="shared" si="136"/>
        <v>6.9288752788907431</v>
      </c>
      <c r="AP371">
        <f t="shared" si="137"/>
        <v>0.32835276573853578</v>
      </c>
      <c r="AQ371">
        <f t="shared" si="138"/>
        <v>0</v>
      </c>
      <c r="AR371">
        <f t="shared" si="139"/>
        <v>0.76999999999999968</v>
      </c>
      <c r="AS371">
        <f t="shared" si="140"/>
        <v>26.518530192033278</v>
      </c>
      <c r="AT371" t="str">
        <f t="shared" si="141"/>
        <v>CLIENTE</v>
      </c>
      <c r="AU371">
        <f t="shared" si="142"/>
        <v>26.518530192033278</v>
      </c>
      <c r="AV371" t="str">
        <f t="shared" si="143"/>
        <v>Mayor retorno probable: CLIENTE (+26,5 puntos finales potenciales).</v>
      </c>
    </row>
    <row r="372" spans="1:48" x14ac:dyDescent="0.3">
      <c r="A372" s="5">
        <v>51019946</v>
      </c>
      <c r="B372" s="5" t="str">
        <f>IFERROR(VLOOKUP(A372,VENTAS!$A$2:$B$1194,2,0),"")</f>
        <v>METTLER</v>
      </c>
      <c r="C372" s="5">
        <f>IFERROR(INDEX(VENTAS!$C$2:$E$1194,MATCH(A372,VENTAS!$A$2:$A$1194,0),MATCH(PARAMS_MODELO!$B$2,{"Q1","Q2","Q3"},0)),0)</f>
        <v>93290952.950000003</v>
      </c>
      <c r="D372" s="5">
        <f>IFERROR(INDEX(VENTAS!$F$2:$H$1194,MATCH(A372,VENTAS!$A$2:$A$1194,0),MATCH(PARAMS_MODELO!$B$2,{"Q1","Q2","Q3"},0)),0)</f>
        <v>93515240</v>
      </c>
      <c r="E372" s="8">
        <f t="shared" si="120"/>
        <v>2.4041672092276478E-3</v>
      </c>
      <c r="F372" s="12">
        <f>IF(E372&lt;=PARAMS_MODELO!$B$15,0,IF(E372&gt;=PARAMS_MODELO!$B$17,100,100*MIN(1,(E372-PARAMS_MODELO!$B$15)/(PARAMS_MODELO!$B$16-PARAMS_MODELO!$B$15))))*PARAMS_MODELO!$B$7</f>
        <v>0.84145852322967674</v>
      </c>
      <c r="G372" s="5">
        <f t="shared" si="121"/>
        <v>224287.04999999702</v>
      </c>
      <c r="H372" s="5">
        <f>(PARAMS_MODELO!$B$20*(MAX(0,MIN(3,E372))/3)+PARAMS_MODELO!$B$21*(IFERROR(LN(1+MAX(0,G372))/LN(1+MAX(0,MAX($G$2:$G$1194))),0)))*100*PARAMS_MODELO!$B$8</f>
        <v>2.8965554926200912</v>
      </c>
      <c r="I372" s="8">
        <f>E372-PARAMS_MODELO!$B$5</f>
        <v>-0.17515866816629888</v>
      </c>
      <c r="J372" s="5">
        <f>IF(I372&lt;=PARAMS_MODELO!$B$18,0,IF(I372&gt;=PARAMS_MODELO!$B$19,100,100*(I372-PARAMS_MODELO!$B$18)/(PARAMS_MODELO!$B$19-PARAMS_MODELO!$B$18)))*PARAMS_MODELO!$B$9</f>
        <v>0</v>
      </c>
      <c r="K372" s="5">
        <f>IFERROR(CHOOSE(MATCH(PARAMS_MODELO!$B$2,{"Q1","Q2","Q3"},0),LOTO!$D372,LOTO!$F372,LOTO!$H372),0)</f>
        <v>4535000</v>
      </c>
      <c r="L372" s="8">
        <f t="shared" si="122"/>
        <v>4.8494769408708144E-2</v>
      </c>
      <c r="M372" s="5">
        <f>MIN(100,IF(PARAMS_MODELO!$B$23=0,0,100*L372/PARAMS_MODELO!$B$23))*PARAMS_MODELO!$B$10</f>
        <v>14.54843082261244</v>
      </c>
      <c r="N372" s="5">
        <f>IFERROR(VLOOKUP(A372,COMPLIANCE!$A$2:$F$1996,6,0),100)</f>
        <v>100</v>
      </c>
      <c r="O372" s="5">
        <f>N372*PARAMS_MODELO!$B$11</f>
        <v>10</v>
      </c>
      <c r="P372" s="5">
        <f>IFERROR(VLOOKUP(A372,DIGITAL!$A$2:$J$2000,7,0),100)</f>
        <v>10</v>
      </c>
      <c r="Q372" s="5">
        <f>IFERROR(P372,0)*PARAMS_MODELO!$B$12</f>
        <v>1</v>
      </c>
      <c r="R372">
        <f t="shared" si="123"/>
        <v>29.286444838462209</v>
      </c>
      <c r="S372" s="5" t="str">
        <f>IFERROR(VLOOKUP(A372,CLIENTE!$A$2:$N$2000,13,0),1)</f>
        <v>Bueno</v>
      </c>
      <c r="T372" s="5">
        <f>IFERROR(VLOOKUP(A372,CLIENTE!$A$2:$N$2000,14,0),1)</f>
        <v>1.1000000000000001</v>
      </c>
      <c r="U372" s="5">
        <f t="shared" si="124"/>
        <v>32.21508932230843</v>
      </c>
      <c r="V372" s="5" t="str">
        <f>IF(U372&gt;=MAX(_xlfn.PERCENTILE.INC($U$2:$U$1194,PARAMS_MODELO!$B$50),PARAMS_MODELO!$B$45),"DIAMANTE",IF(U372&gt;=MAX(_xlfn.PERCENTILE.INC($U$2:$U$1194,PARAMS_MODELO!$B$51),PARAMS_MODELO!$B$46),"PLATINO",IF(U372&gt;=MAX(_xlfn.PERCENTILE.INC($U$2:$U$1194,PARAMS_MODELO!$B$52),PARAMS_MODELO!$B$47),"ORO",IF(U372&gt;=MAX(_xlfn.PERCENTILE.INC($U$2:$U$1194,PARAMS_MODELO!$B$53),PARAMS_MODELO!$B$48),"PLATA",IF(U372&gt;=1,"BRONCE","CERRADO")))))</f>
        <v>PLATA</v>
      </c>
      <c r="W372" s="5" t="str" cm="1">
        <f t="array" ref="W372">_xlfn.XLOOKUP(1, (HIST_SCORE!$B:$B=PARAMS_MODELO!$B$4) * (HIST_SCORE!$C:$C=A372), HIST_SCORE!$E:$E, "No encontrado")</f>
        <v>ORO</v>
      </c>
      <c r="X372" s="5" t="str">
        <f>_xlfn.LET(_xlpm.act,MATCH(V372,{"DIAMANTE";"PLATINO";"ORO";"PLATA";"BRONCE";"CERRADO"},0),_xlpm.ant,MATCH(W372,{"DIAMANTE";"PLATINO";"ORO";"PLATA";"BRONCE";"CERRADO"},0),IF(_xlpm.act&lt;_xlpm.ant,"Mejora ↑",IF(_xlpm.act&gt;_xlpm.ant,"Baja ↓","Estable →")))</f>
        <v>Baja ↓</v>
      </c>
      <c r="Y372" s="5">
        <f>IFERROR(U372-SUMIFS(HIST_SCORE!$D:$D,HIST_SCORE!$B:$B,PARAMS_MODELO!$B$4,HIST_SCORE!$C:$C,$A372),"")</f>
        <v>-48.252894040608012</v>
      </c>
      <c r="Z372" s="5" t="str">
        <f t="shared" si="125"/>
        <v>↓ Baja</v>
      </c>
      <c r="AA372" s="5">
        <f t="shared" si="126"/>
        <v>834</v>
      </c>
      <c r="AB372" s="5">
        <f>IFERROR(SUMIFS(HIST_SCORE!$F:$F,HIST_SCORE!$B:$B,PARAMS_MODELO!$B$4,HIST_SCORE!$C:$C,$A372),"")</f>
        <v>407</v>
      </c>
      <c r="AC372" s="5">
        <f t="shared" si="127"/>
        <v>-427</v>
      </c>
      <c r="AD372" t="str">
        <f t="shared" si="129"/>
        <v/>
      </c>
      <c r="AE3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372="CERRADO",1,IF(V372="BRONCE",_xlpm.cPl,IF(V372="PLATA",_xlpm.cO,IF(V372="ORO",_xlpm.cP,IF(V372="PLATINO",_xlpm.cD,999))))))</f>
        <v>63.199193273331495</v>
      </c>
      <c r="AF3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372="CERRADO",0,IF(V372="BRONCE",1,IF(V372="PLATA",_xlpm.cPl,IF(V372="ORO",_xlpm.cO,IF(V372="PLATINO",_xlpm.cP,_xlpm.cD))))))</f>
        <v>24.506573482968111</v>
      </c>
      <c r="AG372">
        <f t="shared" si="130"/>
        <v>28.167367228202785</v>
      </c>
      <c r="AH372" t="str">
        <f t="shared" si="131"/>
        <v>VENTAS</v>
      </c>
      <c r="AI372" t="str">
        <f t="shared" si="128"/>
        <v>🎯 Para subir de categoría, eje VENTAS / DIFERENCIAL vs LOTBA (J). Acción: metas semanales + activación comercial + seguimiento del asesor. ΔR aprox: 28,2</v>
      </c>
      <c r="AJ372" s="26">
        <f>_xlfn.LET(_xlpm.piso,AF372,_xlpm.corte,AE372,_xlpm.prog,IF(_xlpm.corte&lt;=_xlpm.piso,0,MAX(0,MIN(1,(U372-_xlpm.piso)/(_xlpm.corte-_xlpm.piso)))),_xlpm.orden,{"DIAMANTE";"PLATINO";"ORO";"PLATA";"BRONCE";"CERRADO"},_xlpm.act,IFERROR(MATCH(V372,_xlpm.orden,0),6),_xlpm.ant,IFERROR(MATCH(W372,_xlpm.orden,0),6),_xlpm.ajmov,IF(_xlpm.act&lt;_xlpm.ant,0.08,IF(_xlpm.act&gt;_xlpm.ant,-0.08,0)),_xlpm.ajcli,IF(T372&lt;0.95,-0.06,0),_xlpm.prob,MAX(0,MIN(1,_xlpm.prog+_xlpm.ajmov+_xlpm.ajcli)),IF(OR(V372="DIAMANTE",V372="CERRADO"),0,ROUND(_xlpm.prob,2)))</f>
        <v>0.12</v>
      </c>
      <c r="AK372" t="str">
        <f t="shared" si="132"/>
        <v>Faltan 28,2 puntos base para subir a la siguiente categoría</v>
      </c>
      <c r="AL372" t="str">
        <f t="shared" si="133"/>
        <v>Margen de seguridad: 7,7 puntos</v>
      </c>
      <c r="AM372">
        <f t="shared" si="134"/>
        <v>0.75</v>
      </c>
      <c r="AN372" t="str">
        <f t="shared" si="135"/>
        <v>PRIORIDAD ALTA – requiere intervención inmediata</v>
      </c>
      <c r="AO372">
        <f t="shared" si="136"/>
        <v>67.237010785390396</v>
      </c>
      <c r="AP372">
        <f t="shared" si="137"/>
        <v>0.49672609512631588</v>
      </c>
      <c r="AQ372">
        <f t="shared" si="138"/>
        <v>0</v>
      </c>
      <c r="AR372">
        <f t="shared" si="139"/>
        <v>9.9</v>
      </c>
      <c r="AS372">
        <f t="shared" si="140"/>
        <v>0</v>
      </c>
      <c r="AT372" t="str">
        <f t="shared" si="141"/>
        <v>VENTAS</v>
      </c>
      <c r="AU372">
        <f t="shared" si="142"/>
        <v>67.237010785390396</v>
      </c>
      <c r="AV372" t="str">
        <f t="shared" si="143"/>
        <v>Mayor retorno probable: VENTAS (+67,2 puntos finales potenciales).</v>
      </c>
    </row>
    <row r="373" spans="1:48" x14ac:dyDescent="0.3">
      <c r="A373" s="5">
        <v>51027116</v>
      </c>
      <c r="B373" s="5" t="str">
        <f>IFERROR(VLOOKUP(A373,VENTAS!$A$2:$B$1194,2,0),"")</f>
        <v>LÓPEZ</v>
      </c>
      <c r="C373" s="5">
        <f>IFERROR(INDEX(VENTAS!$C$2:$E$1194,MATCH(A373,VENTAS!$A$2:$A$1194,0),MATCH(PARAMS_MODELO!$B$2,{"Q1","Q2","Q3"},0)),0)</f>
        <v>68365537.5</v>
      </c>
      <c r="D373" s="5">
        <f>IFERROR(INDEX(VENTAS!$F$2:$H$1194,MATCH(A373,VENTAS!$A$2:$A$1194,0),MATCH(PARAMS_MODELO!$B$2,{"Q1","Q2","Q3"},0)),0)</f>
        <v>93228966</v>
      </c>
      <c r="E373" s="8">
        <f t="shared" si="120"/>
        <v>0.36368365420954962</v>
      </c>
      <c r="F373" s="12">
        <f>IF(E373&lt;=PARAMS_MODELO!$B$15,0,IF(E373&gt;=PARAMS_MODELO!$B$17,100,100*MIN(1,(E373-PARAMS_MODELO!$B$15)/(PARAMS_MODELO!$B$16-PARAMS_MODELO!$B$15))))*PARAMS_MODELO!$B$7</f>
        <v>35</v>
      </c>
      <c r="G373" s="5">
        <f t="shared" si="121"/>
        <v>24863428.5</v>
      </c>
      <c r="H373" s="5">
        <f>(PARAMS_MODELO!$B$20*(MAX(0,MIN(3,E373))/3)+PARAMS_MODELO!$B$21*(IFERROR(LN(1+MAX(0,G373))/LN(1+MAX(0,MAX($G$2:$G$1194))),0)))*100*PARAMS_MODELO!$B$8</f>
        <v>5.2647066979186761</v>
      </c>
      <c r="I373" s="8">
        <f>E373-PARAMS_MODELO!$B$5</f>
        <v>0.18612081883402309</v>
      </c>
      <c r="J373" s="5">
        <f>IF(I373&lt;=PARAMS_MODELO!$B$18,0,IF(I373&gt;=PARAMS_MODELO!$B$19,100,100*(I373-PARAMS_MODELO!$B$18)/(PARAMS_MODELO!$B$19-PARAMS_MODELO!$B$18)))*PARAMS_MODELO!$B$9</f>
        <v>15</v>
      </c>
      <c r="K373" s="5">
        <f>IFERROR(CHOOSE(MATCH(PARAMS_MODELO!$B$2,{"Q1","Q2","Q3"},0),LOTO!$D373,LOTO!$F373,LOTO!$H373),0)</f>
        <v>4535000</v>
      </c>
      <c r="L373" s="8">
        <f t="shared" si="122"/>
        <v>4.8643680119760203E-2</v>
      </c>
      <c r="M373" s="5">
        <f>MIN(100,IF(PARAMS_MODELO!$B$23=0,0,100*L373/PARAMS_MODELO!$B$23))*PARAMS_MODELO!$B$10</f>
        <v>14.593104035928059</v>
      </c>
      <c r="N373" s="5">
        <f>IFERROR(VLOOKUP(A373,COMPLIANCE!$A$2:$F$1996,6,0),100)</f>
        <v>99.98</v>
      </c>
      <c r="O373" s="5">
        <f>N373*PARAMS_MODELO!$B$11</f>
        <v>9.9980000000000011</v>
      </c>
      <c r="P373" s="5">
        <f>IFERROR(VLOOKUP(A373,DIGITAL!$A$2:$J$2000,7,0),100)</f>
        <v>16</v>
      </c>
      <c r="Q373" s="5">
        <f>IFERROR(P373,0)*PARAMS_MODELO!$B$12</f>
        <v>1.6</v>
      </c>
      <c r="R373">
        <f t="shared" si="123"/>
        <v>81.455810733846732</v>
      </c>
      <c r="S373" s="5" t="str">
        <f>IFERROR(VLOOKUP(A373,CLIENTE!$A$2:$N$2000,13,0),1)</f>
        <v>Bueno</v>
      </c>
      <c r="T373" s="5">
        <f>IFERROR(VLOOKUP(A373,CLIENTE!$A$2:$N$2000,14,0),1)</f>
        <v>1.1000000000000001</v>
      </c>
      <c r="U373" s="5">
        <f t="shared" si="124"/>
        <v>89.601391807231408</v>
      </c>
      <c r="V373" s="5" t="str">
        <f>IF(U373&gt;=MAX(_xlfn.PERCENTILE.INC($U$2:$U$1194,PARAMS_MODELO!$B$50),PARAMS_MODELO!$B$45),"DIAMANTE",IF(U373&gt;=MAX(_xlfn.PERCENTILE.INC($U$2:$U$1194,PARAMS_MODELO!$B$51),PARAMS_MODELO!$B$46),"PLATINO",IF(U373&gt;=MAX(_xlfn.PERCENTILE.INC($U$2:$U$1194,PARAMS_MODELO!$B$52),PARAMS_MODELO!$B$47),"ORO",IF(U373&gt;=MAX(_xlfn.PERCENTILE.INC($U$2:$U$1194,PARAMS_MODELO!$B$53),PARAMS_MODELO!$B$48),"PLATA",IF(U373&gt;=1,"BRONCE","CERRADO")))))</f>
        <v>PLATINO</v>
      </c>
      <c r="W373" s="5" t="str" cm="1">
        <f t="array" ref="W373">_xlfn.XLOOKUP(1, (HIST_SCORE!$B:$B=PARAMS_MODELO!$B$4) * (HIST_SCORE!$C:$C=A373), HIST_SCORE!$E:$E, "No encontrado")</f>
        <v>PLATINO</v>
      </c>
      <c r="X373" s="5" t="str">
        <f>_xlfn.LET(_xlpm.act,MATCH(V373,{"DIAMANTE";"PLATINO";"ORO";"PLATA";"BRONCE";"CERRADO"},0),_xlpm.ant,MATCH(W373,{"DIAMANTE";"PLATINO";"ORO";"PLATA";"BRONCE";"CERRADO"},0),IF(_xlpm.act&lt;_xlpm.ant,"Mejora ↑",IF(_xlpm.act&gt;_xlpm.ant,"Baja ↓","Estable →")))</f>
        <v>Estable →</v>
      </c>
      <c r="Y373" s="5">
        <f>IFERROR(U373-SUMIFS(HIST_SCORE!$D:$D,HIST_SCORE!$B:$B,PARAMS_MODELO!$B$4,HIST_SCORE!$C:$C,$A373),"")</f>
        <v>1.0177026731645071</v>
      </c>
      <c r="Z373" s="5" t="str">
        <f t="shared" si="125"/>
        <v>→ Estable</v>
      </c>
      <c r="AA373" s="5">
        <f t="shared" si="126"/>
        <v>146</v>
      </c>
      <c r="AB373" s="5">
        <f>IFERROR(SUMIFS(HIST_SCORE!$F:$F,HIST_SCORE!$B:$B,PARAMS_MODELO!$B$4,HIST_SCORE!$C:$C,$A373),"")</f>
        <v>162</v>
      </c>
      <c r="AC373" s="5">
        <f t="shared" si="127"/>
        <v>16</v>
      </c>
      <c r="AD373" t="str">
        <f t="shared" si="129"/>
        <v/>
      </c>
      <c r="AE3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373="CERRADO",1,IF(V373="BRONCE",_xlpm.cPl,IF(V373="PLATA",_xlpm.cO,IF(V373="ORO",_xlpm.cP,IF(V373="PLATINO",_xlpm.cD,999))))))</f>
        <v>96.054919694466676</v>
      </c>
      <c r="AF3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373="CERRADO",0,IF(V373="BRONCE",1,IF(V373="PLATA",_xlpm.cPl,IF(V373="ORO",_xlpm.cO,IF(V373="PLATINO",_xlpm.cP,_xlpm.cD))))))</f>
        <v>86.439123873763251</v>
      </c>
      <c r="AG373">
        <f t="shared" si="130"/>
        <v>5.8668435338502434</v>
      </c>
      <c r="AH373" t="str">
        <f t="shared" si="131"/>
        <v>VENTAS</v>
      </c>
      <c r="AI373" t="str">
        <f t="shared" si="128"/>
        <v>🎯 Para subir de categoría, eje VENTAS / IMPACTO ABSOLUTO (H). Acción: metas semanales + activación comercial + seguimiento del asesor. ΔR aprox: 5,9</v>
      </c>
      <c r="AJ373" s="26">
        <f>_xlfn.LET(_xlpm.piso,AF373,_xlpm.corte,AE373,_xlpm.prog,IF(_xlpm.corte&lt;=_xlpm.piso,0,MAX(0,MIN(1,(U373-_xlpm.piso)/(_xlpm.corte-_xlpm.piso)))),_xlpm.orden,{"DIAMANTE";"PLATINO";"ORO";"PLATA";"BRONCE";"CERRADO"},_xlpm.act,IFERROR(MATCH(V373,_xlpm.orden,0),6),_xlpm.ant,IFERROR(MATCH(W373,_xlpm.orden,0),6),_xlpm.ajmov,IF(_xlpm.act&lt;_xlpm.ant,0.08,IF(_xlpm.act&gt;_xlpm.ant,-0.08,0)),_xlpm.ajcli,IF(T373&lt;0.95,-0.06,0),_xlpm.prob,MAX(0,MIN(1,_xlpm.prog+_xlpm.ajmov+_xlpm.ajcli)),IF(OR(V373="DIAMANTE",V373="CERRADO"),0,ROUND(_xlpm.prob,2)))</f>
        <v>0.33</v>
      </c>
      <c r="AK373" t="str">
        <f t="shared" si="132"/>
        <v>Faltan 5,9 puntos base para subir a la siguiente categoría</v>
      </c>
      <c r="AL373" t="str">
        <f t="shared" si="133"/>
        <v>Margen de seguridad: 3,2 puntos</v>
      </c>
      <c r="AM373">
        <f t="shared" si="134"/>
        <v>0.5</v>
      </c>
      <c r="AN373" t="str">
        <f t="shared" si="135"/>
        <v>PRIORIDAD MEDIA – seguimiento del asesor</v>
      </c>
      <c r="AO373">
        <f t="shared" si="136"/>
        <v>10.5576488351146</v>
      </c>
      <c r="AP373">
        <f t="shared" si="137"/>
        <v>0.44758556047913506</v>
      </c>
      <c r="AQ373">
        <f t="shared" si="138"/>
        <v>2.1999999999987811E-3</v>
      </c>
      <c r="AR373">
        <f t="shared" si="139"/>
        <v>9.240000000000002</v>
      </c>
      <c r="AS373">
        <f t="shared" si="140"/>
        <v>0</v>
      </c>
      <c r="AT373" t="str">
        <f t="shared" si="141"/>
        <v>VENTAS</v>
      </c>
      <c r="AU373">
        <f t="shared" si="142"/>
        <v>10.5576488351146</v>
      </c>
      <c r="AV373" t="str">
        <f t="shared" si="143"/>
        <v>Mayor retorno probable: VENTAS (+10,6 puntos finales potenciales).</v>
      </c>
    </row>
    <row r="374" spans="1:48" x14ac:dyDescent="0.3">
      <c r="A374" s="5">
        <v>51042051</v>
      </c>
      <c r="B374" s="5" t="str">
        <f>IFERROR(VLOOKUP(A374,VENTAS!$A$2:$B$1194,2,0),"")</f>
        <v>ARGUELLO</v>
      </c>
      <c r="C374" s="5">
        <f>IFERROR(INDEX(VENTAS!$C$2:$E$1194,MATCH(A374,VENTAS!$A$2:$A$1194,0),MATCH(PARAMS_MODELO!$B$2,{"Q1","Q2","Q3"},0)),0)</f>
        <v>59273934.029999986</v>
      </c>
      <c r="D374" s="5">
        <f>IFERROR(INDEX(VENTAS!$F$2:$H$1194,MATCH(A374,VENTAS!$A$2:$A$1194,0),MATCH(PARAMS_MODELO!$B$2,{"Q1","Q2","Q3"},0)),0)</f>
        <v>93074831</v>
      </c>
      <c r="E374" s="8">
        <f t="shared" si="120"/>
        <v>0.5702489217755069</v>
      </c>
      <c r="F374" s="12">
        <f>IF(E374&lt;=PARAMS_MODELO!$B$15,0,IF(E374&gt;=PARAMS_MODELO!$B$17,100,100*MIN(1,(E374-PARAMS_MODELO!$B$15)/(PARAMS_MODELO!$B$16-PARAMS_MODELO!$B$15))))*PARAMS_MODELO!$B$7</f>
        <v>35</v>
      </c>
      <c r="G374" s="5">
        <f t="shared" si="121"/>
        <v>33800896.970000014</v>
      </c>
      <c r="H374" s="5">
        <f>(PARAMS_MODELO!$B$20*(MAX(0,MIN(3,E374))/3)+PARAMS_MODELO!$B$21*(IFERROR(LN(1+MAX(0,G374))/LN(1+MAX(0,MAX($G$2:$G$1194))),0)))*100*PARAMS_MODELO!$B$8</f>
        <v>6.0596711629211368</v>
      </c>
      <c r="I374" s="8">
        <f>E374-PARAMS_MODELO!$B$5</f>
        <v>0.39268608639998037</v>
      </c>
      <c r="J374" s="5">
        <f>IF(I374&lt;=PARAMS_MODELO!$B$18,0,IF(I374&gt;=PARAMS_MODELO!$B$19,100,100*(I374-PARAMS_MODELO!$B$18)/(PARAMS_MODELO!$B$19-PARAMS_MODELO!$B$18)))*PARAMS_MODELO!$B$9</f>
        <v>15</v>
      </c>
      <c r="K374" s="5">
        <f>IFERROR(CHOOSE(MATCH(PARAMS_MODELO!$B$2,{"Q1","Q2","Q3"},0),LOTO!$D374,LOTO!$F374,LOTO!$H374),0)</f>
        <v>4535000</v>
      </c>
      <c r="L374" s="8">
        <f t="shared" si="122"/>
        <v>4.872423566366723E-2</v>
      </c>
      <c r="M374" s="5">
        <f>MIN(100,IF(PARAMS_MODELO!$B$23=0,0,100*L374/PARAMS_MODELO!$B$23))*PARAMS_MODELO!$B$10</f>
        <v>14.617270699100166</v>
      </c>
      <c r="N374" s="5">
        <f>IFERROR(VLOOKUP(A374,COMPLIANCE!$A$2:$F$1996,6,0),100)</f>
        <v>99.85</v>
      </c>
      <c r="O374" s="5">
        <f>N374*PARAMS_MODELO!$B$11</f>
        <v>9.9849999999999994</v>
      </c>
      <c r="P374" s="5">
        <f>IFERROR(VLOOKUP(A374,DIGITAL!$A$2:$J$2000,7,0),100)</f>
        <v>29</v>
      </c>
      <c r="Q374" s="5">
        <f>IFERROR(P374,0)*PARAMS_MODELO!$B$12</f>
        <v>2.9000000000000004</v>
      </c>
      <c r="R374">
        <f t="shared" si="123"/>
        <v>83.5619418620213</v>
      </c>
      <c r="S374" s="5" t="str">
        <f>IFERROR(VLOOKUP(A374,CLIENTE!$A$2:$N$2000,13,0),1)</f>
        <v>Muy Bueno</v>
      </c>
      <c r="T374" s="5">
        <f>IFERROR(VLOOKUP(A374,CLIENTE!$A$2:$N$2000,14,0),1)</f>
        <v>1.1499999999999999</v>
      </c>
      <c r="U374" s="5">
        <f t="shared" si="124"/>
        <v>96.09623314132449</v>
      </c>
      <c r="V374" s="5" t="str">
        <f>IF(U374&gt;=MAX(_xlfn.PERCENTILE.INC($U$2:$U$1194,PARAMS_MODELO!$B$50),PARAMS_MODELO!$B$45),"DIAMANTE",IF(U374&gt;=MAX(_xlfn.PERCENTILE.INC($U$2:$U$1194,PARAMS_MODELO!$B$51),PARAMS_MODELO!$B$46),"PLATINO",IF(U374&gt;=MAX(_xlfn.PERCENTILE.INC($U$2:$U$1194,PARAMS_MODELO!$B$52),PARAMS_MODELO!$B$47),"ORO",IF(U374&gt;=MAX(_xlfn.PERCENTILE.INC($U$2:$U$1194,PARAMS_MODELO!$B$53),PARAMS_MODELO!$B$48),"PLATA",IF(U374&gt;=1,"BRONCE","CERRADO")))))</f>
        <v>DIAMANTE</v>
      </c>
      <c r="W374" s="5" t="str" cm="1">
        <f t="array" ref="W374">_xlfn.XLOOKUP(1, (HIST_SCORE!$B:$B=PARAMS_MODELO!$B$4) * (HIST_SCORE!$C:$C=A374), HIST_SCORE!$E:$E, "No encontrado")</f>
        <v>DIAMANTE</v>
      </c>
      <c r="X374" s="5" t="str">
        <f>_xlfn.LET(_xlpm.act,MATCH(V374,{"DIAMANTE";"PLATINO";"ORO";"PLATA";"BRONCE";"CERRADO"},0),_xlpm.ant,MATCH(W374,{"DIAMANTE";"PLATINO";"ORO";"PLATA";"BRONCE";"CERRADO"},0),IF(_xlpm.act&lt;_xlpm.ant,"Mejora ↑",IF(_xlpm.act&gt;_xlpm.ant,"Baja ↓","Estable →")))</f>
        <v>Estable →</v>
      </c>
      <c r="Y374" s="5">
        <f>IFERROR(U374-SUMIFS(HIST_SCORE!$D:$D,HIST_SCORE!$B:$B,PARAMS_MODELO!$B$4,HIST_SCORE!$C:$C,$A374),"")</f>
        <v>-0.62371570209450056</v>
      </c>
      <c r="Z374" s="5" t="str">
        <f t="shared" si="125"/>
        <v>→ Estable</v>
      </c>
      <c r="AA374" s="5">
        <f t="shared" si="126"/>
        <v>60</v>
      </c>
      <c r="AB374" s="5">
        <f>IFERROR(SUMIFS(HIST_SCORE!$F:$F,HIST_SCORE!$B:$B,PARAMS_MODELO!$B$4,HIST_SCORE!$C:$C,$A374),"")</f>
        <v>43</v>
      </c>
      <c r="AC374" s="5">
        <f t="shared" si="127"/>
        <v>-17</v>
      </c>
      <c r="AD374" t="str">
        <f t="shared" si="129"/>
        <v/>
      </c>
      <c r="AE3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374="CERRADO",1,IF(V374="BRONCE",_xlpm.cPl,IF(V374="PLATA",_xlpm.cO,IF(V374="ORO",_xlpm.cP,IF(V374="PLATINO",_xlpm.cD,999))))))</f>
        <v>999</v>
      </c>
      <c r="AF3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374="CERRADO",0,IF(V374="BRONCE",1,IF(V374="PLATA",_xlpm.cPl,IF(V374="ORO",_xlpm.cO,IF(V374="PLATINO",_xlpm.cP,_xlpm.cD))))))</f>
        <v>96.054919694466676</v>
      </c>
      <c r="AG374">
        <f t="shared" si="130"/>
        <v>785.13371031189183</v>
      </c>
      <c r="AH374" t="str">
        <f t="shared" si="131"/>
        <v>SOSTENER</v>
      </c>
      <c r="AI374" t="str">
        <f t="shared" si="128"/>
        <v>✅ Mantener desempeño y monitorear variaciones para sostener categoría.</v>
      </c>
      <c r="AJ374" s="26">
        <f>_xlfn.LET(_xlpm.piso,AF374,_xlpm.corte,AE374,_xlpm.prog,IF(_xlpm.corte&lt;=_xlpm.piso,0,MAX(0,MIN(1,(U374-_xlpm.piso)/(_xlpm.corte-_xlpm.piso)))),_xlpm.orden,{"DIAMANTE";"PLATINO";"ORO";"PLATA";"BRONCE";"CERRADO"},_xlpm.act,IFERROR(MATCH(V374,_xlpm.orden,0),6),_xlpm.ant,IFERROR(MATCH(W374,_xlpm.orden,0),6),_xlpm.ajmov,IF(_xlpm.act&lt;_xlpm.ant,0.08,IF(_xlpm.act&gt;_xlpm.ant,-0.08,0)),_xlpm.ajcli,IF(T374&lt;0.95,-0.06,0),_xlpm.prob,MAX(0,MIN(1,_xlpm.prog+_xlpm.ajmov+_xlpm.ajcli)),IF(OR(V374="DIAMANTE",V374="CERRADO"),0,ROUND(_xlpm.prob,2)))</f>
        <v>0</v>
      </c>
      <c r="AK374" t="str">
        <f t="shared" si="132"/>
        <v>No aplica</v>
      </c>
      <c r="AL374" t="str">
        <f t="shared" si="133"/>
        <v>Margen de seguridad: 0,0 puntos</v>
      </c>
      <c r="AM374">
        <f t="shared" si="134"/>
        <v>0.8</v>
      </c>
      <c r="AN374" t="str">
        <f t="shared" si="135"/>
        <v>PRIORIDAD ALTA – requiere intervención inmediata</v>
      </c>
      <c r="AO374">
        <f t="shared" si="136"/>
        <v>10.123332829230616</v>
      </c>
      <c r="AP374">
        <f t="shared" si="137"/>
        <v>0.44013869603480937</v>
      </c>
      <c r="AQ374">
        <f t="shared" si="138"/>
        <v>1.7250000000000654E-2</v>
      </c>
      <c r="AR374">
        <f t="shared" si="139"/>
        <v>8.1649999999999991</v>
      </c>
      <c r="AS374">
        <f t="shared" si="140"/>
        <v>0</v>
      </c>
      <c r="AT374" t="str">
        <f t="shared" si="141"/>
        <v>VENTAS</v>
      </c>
      <c r="AU374">
        <f t="shared" si="142"/>
        <v>10.123332829230616</v>
      </c>
      <c r="AV374" t="str">
        <f t="shared" si="143"/>
        <v>Mayor retorno probable: VENTAS (+10,1 puntos finales potenciales).</v>
      </c>
    </row>
    <row r="375" spans="1:48" x14ac:dyDescent="0.3">
      <c r="A375" s="5">
        <v>51024702</v>
      </c>
      <c r="B375" s="5" t="str">
        <f>IFERROR(VLOOKUP(A375,VENTAS!$A$2:$B$1194,2,0),"")</f>
        <v>NELLI</v>
      </c>
      <c r="C375" s="5">
        <f>IFERROR(INDEX(VENTAS!$C$2:$E$1194,MATCH(A375,VENTAS!$A$2:$A$1194,0),MATCH(PARAMS_MODELO!$B$2,{"Q1","Q2","Q3"},0)),0)</f>
        <v>83208217.439999998</v>
      </c>
      <c r="D375" s="5">
        <f>IFERROR(INDEX(VENTAS!$F$2:$H$1194,MATCH(A375,VENTAS!$A$2:$A$1194,0),MATCH(PARAMS_MODELO!$B$2,{"Q1","Q2","Q3"},0)),0)</f>
        <v>92585246</v>
      </c>
      <c r="E375" s="8">
        <f t="shared" si="120"/>
        <v>0.1126935397547919</v>
      </c>
      <c r="F375" s="12">
        <f>IF(E375&lt;=PARAMS_MODELO!$B$15,0,IF(E375&gt;=PARAMS_MODELO!$B$17,100,100*MIN(1,(E375-PARAMS_MODELO!$B$15)/(PARAMS_MODELO!$B$16-PARAMS_MODELO!$B$15))))*PARAMS_MODELO!$B$7</f>
        <v>35</v>
      </c>
      <c r="G375" s="5">
        <f t="shared" si="121"/>
        <v>9377028.5600000024</v>
      </c>
      <c r="H375" s="5">
        <f>(PARAMS_MODELO!$B$20*(MAX(0,MIN(3,E375))/3)+PARAMS_MODELO!$B$21*(IFERROR(LN(1+MAX(0,G375))/LN(1+MAX(0,MAX($G$2:$G$1194))),0)))*100*PARAMS_MODELO!$B$8</f>
        <v>4.1576560411078711</v>
      </c>
      <c r="I375" s="8">
        <f>E375-PARAMS_MODELO!$B$5</f>
        <v>-6.4869295620734624E-2</v>
      </c>
      <c r="J375" s="5">
        <f>IF(I375&lt;=PARAMS_MODELO!$B$18,0,IF(I375&gt;=PARAMS_MODELO!$B$19,100,100*(I375-PARAMS_MODELO!$B$18)/(PARAMS_MODELO!$B$19-PARAMS_MODELO!$B$18)))*PARAMS_MODELO!$B$9</f>
        <v>0</v>
      </c>
      <c r="K375" s="5">
        <f>IFERROR(CHOOSE(MATCH(PARAMS_MODELO!$B$2,{"Q1","Q2","Q3"},0),LOTO!$D375,LOTO!$F375,LOTO!$H375),0)</f>
        <v>4532500</v>
      </c>
      <c r="L375" s="8">
        <f t="shared" si="122"/>
        <v>4.8954884237171009E-2</v>
      </c>
      <c r="M375" s="5">
        <f>MIN(100,IF(PARAMS_MODELO!$B$23=0,0,100*L375/PARAMS_MODELO!$B$23))*PARAMS_MODELO!$B$10</f>
        <v>14.686465271151302</v>
      </c>
      <c r="N375" s="5">
        <f>IFERROR(VLOOKUP(A375,COMPLIANCE!$A$2:$F$1996,6,0),100)</f>
        <v>100</v>
      </c>
      <c r="O375" s="5">
        <f>N375*PARAMS_MODELO!$B$11</f>
        <v>10</v>
      </c>
      <c r="P375" s="5">
        <f>IFERROR(VLOOKUP(A375,DIGITAL!$A$2:$J$2000,7,0),100)</f>
        <v>85</v>
      </c>
      <c r="Q375" s="5">
        <f>IFERROR(P375,0)*PARAMS_MODELO!$B$12</f>
        <v>8.5</v>
      </c>
      <c r="R375">
        <f t="shared" si="123"/>
        <v>72.344121312259176</v>
      </c>
      <c r="S375" s="5" t="str">
        <f>IFERROR(VLOOKUP(A375,CLIENTE!$A$2:$N$2000,13,0),1)</f>
        <v>Regular</v>
      </c>
      <c r="T375" s="5">
        <f>IFERROR(VLOOKUP(A375,CLIENTE!$A$2:$N$2000,14,0),1)</f>
        <v>1</v>
      </c>
      <c r="U375" s="5">
        <f t="shared" si="124"/>
        <v>72.344121312259176</v>
      </c>
      <c r="V375" s="5" t="str">
        <f>IF(U375&gt;=MAX(_xlfn.PERCENTILE.INC($U$2:$U$1194,PARAMS_MODELO!$B$50),PARAMS_MODELO!$B$45),"DIAMANTE",IF(U375&gt;=MAX(_xlfn.PERCENTILE.INC($U$2:$U$1194,PARAMS_MODELO!$B$51),PARAMS_MODELO!$B$46),"PLATINO",IF(U375&gt;=MAX(_xlfn.PERCENTILE.INC($U$2:$U$1194,PARAMS_MODELO!$B$52),PARAMS_MODELO!$B$47),"ORO",IF(U375&gt;=MAX(_xlfn.PERCENTILE.INC($U$2:$U$1194,PARAMS_MODELO!$B$53),PARAMS_MODELO!$B$48),"PLATA",IF(U375&gt;=1,"BRONCE","CERRADO")))))</f>
        <v>ORO</v>
      </c>
      <c r="W375" s="5" t="str" cm="1">
        <f t="array" ref="W375">_xlfn.XLOOKUP(1, (HIST_SCORE!$B:$B=PARAMS_MODELO!$B$4) * (HIST_SCORE!$C:$C=A375), HIST_SCORE!$E:$E, "No encontrado")</f>
        <v>ORO</v>
      </c>
      <c r="X375" s="5" t="str">
        <f>_xlfn.LET(_xlpm.act,MATCH(V375,{"DIAMANTE";"PLATINO";"ORO";"PLATA";"BRONCE";"CERRADO"},0),_xlpm.ant,MATCH(W375,{"DIAMANTE";"PLATINO";"ORO";"PLATA";"BRONCE";"CERRADO"},0),IF(_xlpm.act&lt;_xlpm.ant,"Mejora ↑",IF(_xlpm.act&gt;_xlpm.ant,"Baja ↓","Estable →")))</f>
        <v>Estable →</v>
      </c>
      <c r="Y375" s="5">
        <f>IFERROR(U375-SUMIFS(HIST_SCORE!$D:$D,HIST_SCORE!$B:$B,PARAMS_MODELO!$B$4,HIST_SCORE!$C:$C,$A375),"")</f>
        <v>-13.515256613952772</v>
      </c>
      <c r="Z375" s="5" t="str">
        <f t="shared" si="125"/>
        <v>↓ Baja</v>
      </c>
      <c r="AA375" s="5">
        <f t="shared" si="126"/>
        <v>497</v>
      </c>
      <c r="AB375" s="5">
        <f>IFERROR(SUMIFS(HIST_SCORE!$F:$F,HIST_SCORE!$B:$B,PARAMS_MODELO!$B$4,HIST_SCORE!$C:$C,$A375),"")</f>
        <v>241</v>
      </c>
      <c r="AC375" s="5">
        <f t="shared" si="127"/>
        <v>-256</v>
      </c>
      <c r="AD375" t="str">
        <f t="shared" si="129"/>
        <v>Sostener base y reforzar mix</v>
      </c>
      <c r="AE3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375="CERRADO",1,IF(V375="BRONCE",_xlpm.cPl,IF(V375="PLATA",_xlpm.cO,IF(V375="ORO",_xlpm.cP,IF(V375="PLATINO",_xlpm.cD,999))))))</f>
        <v>86.439123873763251</v>
      </c>
      <c r="AF3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375="CERRADO",0,IF(V375="BRONCE",1,IF(V375="PLATA",_xlpm.cPl,IF(V375="ORO",_xlpm.cO,IF(V375="PLATINO",_xlpm.cP,_xlpm.cD))))))</f>
        <v>63.199193273331495</v>
      </c>
      <c r="AG375">
        <f t="shared" si="130"/>
        <v>14.095002561504074</v>
      </c>
      <c r="AH375" t="str">
        <f t="shared" si="131"/>
        <v>VENTAS</v>
      </c>
      <c r="AI375" t="str">
        <f t="shared" si="128"/>
        <v>🎯 Para subir de categoría, eje VENTAS / DIFERENCIAL vs LOTBA (J). Acción: metas semanales + activación comercial + seguimiento del asesor. ΔR aprox: 14,1</v>
      </c>
      <c r="AJ375" s="26">
        <f>_xlfn.LET(_xlpm.piso,AF375,_xlpm.corte,AE375,_xlpm.prog,IF(_xlpm.corte&lt;=_xlpm.piso,0,MAX(0,MIN(1,(U375-_xlpm.piso)/(_xlpm.corte-_xlpm.piso)))),_xlpm.orden,{"DIAMANTE";"PLATINO";"ORO";"PLATA";"BRONCE";"CERRADO"},_xlpm.act,IFERROR(MATCH(V375,_xlpm.orden,0),6),_xlpm.ant,IFERROR(MATCH(W375,_xlpm.orden,0),6),_xlpm.ajmov,IF(_xlpm.act&lt;_xlpm.ant,0.08,IF(_xlpm.act&gt;_xlpm.ant,-0.08,0)),_xlpm.ajcli,IF(T375&lt;0.95,-0.06,0),_xlpm.prob,MAX(0,MIN(1,_xlpm.prog+_xlpm.ajmov+_xlpm.ajcli)),IF(OR(V375="DIAMANTE",V375="CERRADO"),0,ROUND(_xlpm.prob,2)))</f>
        <v>0.39</v>
      </c>
      <c r="AK375" t="str">
        <f t="shared" si="132"/>
        <v>Faltan 14,1 puntos base para subir a la siguiente categoría</v>
      </c>
      <c r="AL375" t="str">
        <f t="shared" si="133"/>
        <v>Margen de seguridad: 9,1 puntos</v>
      </c>
      <c r="AM375">
        <f t="shared" si="134"/>
        <v>0.64</v>
      </c>
      <c r="AN375" t="str">
        <f t="shared" si="135"/>
        <v>PRIORIDAD MEDIA – seguimiento del asesor</v>
      </c>
      <c r="AO375">
        <f t="shared" si="136"/>
        <v>25.704913234187714</v>
      </c>
      <c r="AP375">
        <f t="shared" si="137"/>
        <v>0.3135347288486976</v>
      </c>
      <c r="AQ375">
        <f t="shared" si="138"/>
        <v>0</v>
      </c>
      <c r="AR375">
        <f t="shared" si="139"/>
        <v>1.5</v>
      </c>
      <c r="AS375">
        <f t="shared" si="140"/>
        <v>0</v>
      </c>
      <c r="AT375" t="str">
        <f t="shared" si="141"/>
        <v>VENTAS</v>
      </c>
      <c r="AU375">
        <f t="shared" si="142"/>
        <v>25.704913234187714</v>
      </c>
      <c r="AV375" t="str">
        <f t="shared" si="143"/>
        <v>Mayor retorno probable: VENTAS (+25,7 puntos finales potenciales).</v>
      </c>
    </row>
    <row r="376" spans="1:48" x14ac:dyDescent="0.3">
      <c r="A376" s="5">
        <v>51000251</v>
      </c>
      <c r="B376" s="5" t="str">
        <f>IFERROR(VLOOKUP(A376,VENTAS!$A$2:$B$1194,2,0),"")</f>
        <v>AYALA</v>
      </c>
      <c r="C376" s="5">
        <f>IFERROR(INDEX(VENTAS!$C$2:$E$1194,MATCH(A376,VENTAS!$A$2:$A$1194,0),MATCH(PARAMS_MODELO!$B$2,{"Q1","Q2","Q3"},0)),0)</f>
        <v>96703255.460000008</v>
      </c>
      <c r="D376" s="5">
        <f>IFERROR(INDEX(VENTAS!$F$2:$H$1194,MATCH(A376,VENTAS!$A$2:$A$1194,0),MATCH(PARAMS_MODELO!$B$2,{"Q1","Q2","Q3"},0)),0)</f>
        <v>92483621</v>
      </c>
      <c r="E376" s="8">
        <f t="shared" si="120"/>
        <v>-4.3634874957704017E-2</v>
      </c>
      <c r="F376" s="12">
        <f>IF(E376&lt;=PARAMS_MODELO!$B$15,0,IF(E376&gt;=PARAMS_MODELO!$B$17,100,100*MIN(1,(E376-PARAMS_MODELO!$B$15)/(PARAMS_MODELO!$B$16-PARAMS_MODELO!$B$15))))*PARAMS_MODELO!$B$7</f>
        <v>0</v>
      </c>
      <c r="G376" s="5">
        <f t="shared" si="121"/>
        <v>0</v>
      </c>
      <c r="H376" s="5">
        <f>(PARAMS_MODELO!$B$20*(MAX(0,MIN(3,E376))/3)+PARAMS_MODELO!$B$21*(IFERROR(LN(1+MAX(0,G376))/LN(1+MAX(0,MAX($G$2:$G$1194))),0)))*100*PARAMS_MODELO!$B$8</f>
        <v>0</v>
      </c>
      <c r="I376" s="8">
        <f>E376-PARAMS_MODELO!$B$5</f>
        <v>-0.22119771033323055</v>
      </c>
      <c r="J376" s="5">
        <f>IF(I376&lt;=PARAMS_MODELO!$B$18,0,IF(I376&gt;=PARAMS_MODELO!$B$19,100,100*(I376-PARAMS_MODELO!$B$18)/(PARAMS_MODELO!$B$19-PARAMS_MODELO!$B$18)))*PARAMS_MODELO!$B$9</f>
        <v>0</v>
      </c>
      <c r="K376" s="5">
        <f>IFERROR(CHOOSE(MATCH(PARAMS_MODELO!$B$2,{"Q1","Q2","Q3"},0),LOTO!$D376,LOTO!$F376,LOTO!$H376),0)</f>
        <v>4532500</v>
      </c>
      <c r="L376" s="8">
        <f t="shared" si="122"/>
        <v>4.9008677979855482E-2</v>
      </c>
      <c r="M376" s="5">
        <f>MIN(100,IF(PARAMS_MODELO!$B$23=0,0,100*L376/PARAMS_MODELO!$B$23))*PARAMS_MODELO!$B$10</f>
        <v>14.702603393956645</v>
      </c>
      <c r="N376" s="5">
        <f>IFERROR(VLOOKUP(A376,COMPLIANCE!$A$2:$F$1996,6,0),100)</f>
        <v>100</v>
      </c>
      <c r="O376" s="5">
        <f>N376*PARAMS_MODELO!$B$11</f>
        <v>10</v>
      </c>
      <c r="P376" s="5">
        <f>IFERROR(VLOOKUP(A376,DIGITAL!$A$2:$J$2000,7,0),100)</f>
        <v>53</v>
      </c>
      <c r="Q376" s="5">
        <f>IFERROR(P376,0)*PARAMS_MODELO!$B$12</f>
        <v>5.3000000000000007</v>
      </c>
      <c r="R376">
        <f t="shared" si="123"/>
        <v>30.002603393956644</v>
      </c>
      <c r="S376" s="5" t="str">
        <f>IFERROR(VLOOKUP(A376,CLIENTE!$A$2:$N$2000,13,0),1)</f>
        <v>Malo</v>
      </c>
      <c r="T376" s="5">
        <f>IFERROR(VLOOKUP(A376,CLIENTE!$A$2:$N$2000,14,0),1)</f>
        <v>0.7</v>
      </c>
      <c r="U376" s="5">
        <f t="shared" si="124"/>
        <v>21.001822375769649</v>
      </c>
      <c r="V376" s="5" t="str">
        <f>IF(U376&gt;=MAX(_xlfn.PERCENTILE.INC($U$2:$U$1194,PARAMS_MODELO!$B$50),PARAMS_MODELO!$B$45),"DIAMANTE",IF(U376&gt;=MAX(_xlfn.PERCENTILE.INC($U$2:$U$1194,PARAMS_MODELO!$B$51),PARAMS_MODELO!$B$46),"PLATINO",IF(U376&gt;=MAX(_xlfn.PERCENTILE.INC($U$2:$U$1194,PARAMS_MODELO!$B$52),PARAMS_MODELO!$B$47),"ORO",IF(U376&gt;=MAX(_xlfn.PERCENTILE.INC($U$2:$U$1194,PARAMS_MODELO!$B$53),PARAMS_MODELO!$B$48),"PLATA",IF(U376&gt;=1,"BRONCE","CERRADO")))))</f>
        <v>BRONCE</v>
      </c>
      <c r="W376" s="5" t="str" cm="1">
        <f t="array" ref="W376">_xlfn.XLOOKUP(1, (HIST_SCORE!$B:$B=PARAMS_MODELO!$B$4) * (HIST_SCORE!$C:$C=A376), HIST_SCORE!$E:$E, "No encontrado")</f>
        <v>PLATA</v>
      </c>
      <c r="X376" s="5" t="str">
        <f>_xlfn.LET(_xlpm.act,MATCH(V376,{"DIAMANTE";"PLATINO";"ORO";"PLATA";"BRONCE";"CERRADO"},0),_xlpm.ant,MATCH(W376,{"DIAMANTE";"PLATINO";"ORO";"PLATA";"BRONCE";"CERRADO"},0),IF(_xlpm.act&lt;_xlpm.ant,"Mejora ↑",IF(_xlpm.act&gt;_xlpm.ant,"Baja ↓","Estable →")))</f>
        <v>Baja ↓</v>
      </c>
      <c r="Y376" s="5">
        <f>IFERROR(U376-SUMIFS(HIST_SCORE!$D:$D,HIST_SCORE!$B:$B,PARAMS_MODELO!$B$4,HIST_SCORE!$C:$C,$A376),"")</f>
        <v>-27.187912115401865</v>
      </c>
      <c r="Z376" s="5" t="str">
        <f t="shared" si="125"/>
        <v>↓ Baja</v>
      </c>
      <c r="AA376" s="5">
        <f t="shared" si="126"/>
        <v>963</v>
      </c>
      <c r="AB376" s="5">
        <f>IFERROR(SUMIFS(HIST_SCORE!$F:$F,HIST_SCORE!$B:$B,PARAMS_MODELO!$B$4,HIST_SCORE!$C:$C,$A376),"")</f>
        <v>790</v>
      </c>
      <c r="AC376" s="5">
        <f t="shared" si="127"/>
        <v>-173</v>
      </c>
      <c r="AD376" t="str">
        <f t="shared" si="129"/>
        <v>Plan de recuperación: foco crecimiento + mix</v>
      </c>
      <c r="AE3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376="CERRADO",1,IF(V376="BRONCE",_xlpm.cPl,IF(V376="PLATA",_xlpm.cO,IF(V376="ORO",_xlpm.cP,IF(V376="PLATINO",_xlpm.cD,999))))))</f>
        <v>24.506573482968111</v>
      </c>
      <c r="AF3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376="CERRADO",0,IF(V376="BRONCE",1,IF(V376="PLATA",_xlpm.cPl,IF(V376="ORO",_xlpm.cO,IF(V376="PLATINO",_xlpm.cP,_xlpm.cD))))))</f>
        <v>1</v>
      </c>
      <c r="AG376">
        <f t="shared" si="130"/>
        <v>5.0067872959977997</v>
      </c>
      <c r="AH376" t="str">
        <f t="shared" si="131"/>
        <v>CLIENTE</v>
      </c>
      <c r="AI376" t="str">
        <f t="shared" si="128"/>
        <v>🎯 Para subir de categoría, la eje con mayor impacto probable es CLIENTE (coef T). Acción: reducir quejas, mejorar incógnito y empujar reseñas. ΔR aprox: 5,0</v>
      </c>
      <c r="AJ376" s="26">
        <f>_xlfn.LET(_xlpm.piso,AF376,_xlpm.corte,AE376,_xlpm.prog,IF(_xlpm.corte&lt;=_xlpm.piso,0,MAX(0,MIN(1,(U376-_xlpm.piso)/(_xlpm.corte-_xlpm.piso)))),_xlpm.orden,{"DIAMANTE";"PLATINO";"ORO";"PLATA";"BRONCE";"CERRADO"},_xlpm.act,IFERROR(MATCH(V376,_xlpm.orden,0),6),_xlpm.ant,IFERROR(MATCH(W376,_xlpm.orden,0),6),_xlpm.ajmov,IF(_xlpm.act&lt;_xlpm.ant,0.08,IF(_xlpm.act&gt;_xlpm.ant,-0.08,0)),_xlpm.ajcli,IF(T376&lt;0.95,-0.06,0),_xlpm.prob,MAX(0,MIN(1,_xlpm.prog+_xlpm.ajmov+_xlpm.ajcli)),IF(OR(V376="DIAMANTE",V376="CERRADO"),0,ROUND(_xlpm.prob,2)))</f>
        <v>0.71</v>
      </c>
      <c r="AK376" t="str">
        <f t="shared" si="132"/>
        <v>Faltan 5,0 puntos base para subir a la siguiente categoría</v>
      </c>
      <c r="AL376" t="str">
        <f t="shared" si="133"/>
        <v>No aplica</v>
      </c>
      <c r="AM376">
        <f t="shared" si="134"/>
        <v>0.52</v>
      </c>
      <c r="AN376" t="str">
        <f t="shared" si="135"/>
        <v>PRIORIDAD MEDIA – seguimiento del asesor</v>
      </c>
      <c r="AO376">
        <f t="shared" si="136"/>
        <v>45.403798492706905</v>
      </c>
      <c r="AP376">
        <f t="shared" si="137"/>
        <v>0.20817762423034852</v>
      </c>
      <c r="AQ376">
        <f t="shared" si="138"/>
        <v>0</v>
      </c>
      <c r="AR376">
        <f t="shared" si="139"/>
        <v>3.2899999999999991</v>
      </c>
      <c r="AS376">
        <f t="shared" si="140"/>
        <v>9.0007810181869949</v>
      </c>
      <c r="AT376" t="str">
        <f t="shared" si="141"/>
        <v>VENTAS</v>
      </c>
      <c r="AU376">
        <f t="shared" si="142"/>
        <v>45.403798492706905</v>
      </c>
      <c r="AV376" t="str">
        <f t="shared" si="143"/>
        <v>Mayor retorno probable: VENTAS (+45,4 puntos finales potenciales).</v>
      </c>
    </row>
    <row r="377" spans="1:48" x14ac:dyDescent="0.3">
      <c r="A377" s="5">
        <v>51036778</v>
      </c>
      <c r="B377" s="5" t="str">
        <f>IFERROR(VLOOKUP(A377,VENTAS!$A$2:$B$1194,2,0),"")</f>
        <v>CICHETTO</v>
      </c>
      <c r="C377" s="5">
        <f>IFERROR(INDEX(VENTAS!$C$2:$E$1194,MATCH(A377,VENTAS!$A$2:$A$1194,0),MATCH(PARAMS_MODELO!$B$2,{"Q1","Q2","Q3"},0)),0)</f>
        <v>83365658.180000007</v>
      </c>
      <c r="D377" s="5">
        <f>IFERROR(INDEX(VENTAS!$F$2:$H$1194,MATCH(A377,VENTAS!$A$2:$A$1194,0),MATCH(PARAMS_MODELO!$B$2,{"Q1","Q2","Q3"},0)),0)</f>
        <v>92333002</v>
      </c>
      <c r="E377" s="8">
        <f t="shared" si="120"/>
        <v>0.10756640103096227</v>
      </c>
      <c r="F377" s="12">
        <f>IF(E377&lt;=PARAMS_MODELO!$B$15,0,IF(E377&gt;=PARAMS_MODELO!$B$17,100,100*MIN(1,(E377-PARAMS_MODELO!$B$15)/(PARAMS_MODELO!$B$16-PARAMS_MODELO!$B$15))))*PARAMS_MODELO!$B$7</f>
        <v>35</v>
      </c>
      <c r="G377" s="5">
        <f t="shared" si="121"/>
        <v>8967343.8199999928</v>
      </c>
      <c r="H377" s="5">
        <f>(PARAMS_MODELO!$B$20*(MAX(0,MIN(3,E377))/3)+PARAMS_MODELO!$B$21*(IFERROR(LN(1+MAX(0,G377))/LN(1+MAX(0,MAX($G$2:$G$1194))),0)))*100*PARAMS_MODELO!$B$8</f>
        <v>4.1292389847713062</v>
      </c>
      <c r="I377" s="8">
        <f>E377-PARAMS_MODELO!$B$5</f>
        <v>-6.9996434344564262E-2</v>
      </c>
      <c r="J377" s="5">
        <f>IF(I377&lt;=PARAMS_MODELO!$B$18,0,IF(I377&gt;=PARAMS_MODELO!$B$19,100,100*(I377-PARAMS_MODELO!$B$18)/(PARAMS_MODELO!$B$19-PARAMS_MODELO!$B$18)))*PARAMS_MODELO!$B$9</f>
        <v>0</v>
      </c>
      <c r="K377" s="5">
        <f>IFERROR(CHOOSE(MATCH(PARAMS_MODELO!$B$2,{"Q1","Q2","Q3"},0),LOTO!$D377,LOTO!$F377,LOTO!$H377),0)</f>
        <v>4525000</v>
      </c>
      <c r="L377" s="8">
        <f t="shared" si="122"/>
        <v>4.9007396077081954E-2</v>
      </c>
      <c r="M377" s="5">
        <f>MIN(100,IF(PARAMS_MODELO!$B$23=0,0,100*L377/PARAMS_MODELO!$B$23))*PARAMS_MODELO!$B$10</f>
        <v>14.702218823124584</v>
      </c>
      <c r="N377" s="5">
        <f>IFERROR(VLOOKUP(A377,COMPLIANCE!$A$2:$F$1996,6,0),100)</f>
        <v>100</v>
      </c>
      <c r="O377" s="5">
        <f>N377*PARAMS_MODELO!$B$11</f>
        <v>10</v>
      </c>
      <c r="P377" s="5">
        <f>IFERROR(VLOOKUP(A377,DIGITAL!$A$2:$J$2000,7,0),100)</f>
        <v>46</v>
      </c>
      <c r="Q377" s="5">
        <f>IFERROR(P377,0)*PARAMS_MODELO!$B$12</f>
        <v>4.6000000000000005</v>
      </c>
      <c r="R377">
        <f t="shared" si="123"/>
        <v>68.431457807895882</v>
      </c>
      <c r="S377" s="5" t="str">
        <f>IFERROR(VLOOKUP(A377,CLIENTE!$A$2:$N$2000,13,0),1)</f>
        <v>Regular</v>
      </c>
      <c r="T377" s="5">
        <f>IFERROR(VLOOKUP(A377,CLIENTE!$A$2:$N$2000,14,0),1)</f>
        <v>1</v>
      </c>
      <c r="U377" s="5">
        <f t="shared" si="124"/>
        <v>68.431457807895882</v>
      </c>
      <c r="V377" s="5" t="str">
        <f>IF(U377&gt;=MAX(_xlfn.PERCENTILE.INC($U$2:$U$1194,PARAMS_MODELO!$B$50),PARAMS_MODELO!$B$45),"DIAMANTE",IF(U377&gt;=MAX(_xlfn.PERCENTILE.INC($U$2:$U$1194,PARAMS_MODELO!$B$51),PARAMS_MODELO!$B$46),"PLATINO",IF(U377&gt;=MAX(_xlfn.PERCENTILE.INC($U$2:$U$1194,PARAMS_MODELO!$B$52),PARAMS_MODELO!$B$47),"ORO",IF(U377&gt;=MAX(_xlfn.PERCENTILE.INC($U$2:$U$1194,PARAMS_MODELO!$B$53),PARAMS_MODELO!$B$48),"PLATA",IF(U377&gt;=1,"BRONCE","CERRADO")))))</f>
        <v>ORO</v>
      </c>
      <c r="W377" s="5" t="str" cm="1">
        <f t="array" ref="W377">_xlfn.XLOOKUP(1, (HIST_SCORE!$B:$B=PARAMS_MODELO!$B$4) * (HIST_SCORE!$C:$C=A377), HIST_SCORE!$E:$E, "No encontrado")</f>
        <v>ORO</v>
      </c>
      <c r="X377" s="5" t="str">
        <f>_xlfn.LET(_xlpm.act,MATCH(V377,{"DIAMANTE";"PLATINO";"ORO";"PLATA";"BRONCE";"CERRADO"},0),_xlpm.ant,MATCH(W377,{"DIAMANTE";"PLATINO";"ORO";"PLATA";"BRONCE";"CERRADO"},0),IF(_xlpm.act&lt;_xlpm.ant,"Mejora ↑",IF(_xlpm.act&gt;_xlpm.ant,"Baja ↓","Estable →")))</f>
        <v>Estable →</v>
      </c>
      <c r="Y377" s="5">
        <f>IFERROR(U377-SUMIFS(HIST_SCORE!$D:$D,HIST_SCORE!$B:$B,PARAMS_MODELO!$B$4,HIST_SCORE!$C:$C,$A377),"")</f>
        <v>-16.454851695265901</v>
      </c>
      <c r="Z377" s="5" t="str">
        <f t="shared" si="125"/>
        <v>↓ Baja</v>
      </c>
      <c r="AA377" s="5">
        <f t="shared" si="126"/>
        <v>523</v>
      </c>
      <c r="AB377" s="5">
        <f>IFERROR(SUMIFS(HIST_SCORE!$F:$F,HIST_SCORE!$B:$B,PARAMS_MODELO!$B$4,HIST_SCORE!$C:$C,$A377),"")</f>
        <v>267</v>
      </c>
      <c r="AC377" s="5">
        <f t="shared" si="127"/>
        <v>-256</v>
      </c>
      <c r="AD377" t="str">
        <f t="shared" si="129"/>
        <v>Sostener base y reforzar mix</v>
      </c>
      <c r="AE3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377="CERRADO",1,IF(V377="BRONCE",_xlpm.cPl,IF(V377="PLATA",_xlpm.cO,IF(V377="ORO",_xlpm.cP,IF(V377="PLATINO",_xlpm.cD,999))))))</f>
        <v>86.439123873763251</v>
      </c>
      <c r="AF3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377="CERRADO",0,IF(V377="BRONCE",1,IF(V377="PLATA",_xlpm.cPl,IF(V377="ORO",_xlpm.cO,IF(V377="PLATINO",_xlpm.cP,_xlpm.cD))))))</f>
        <v>63.199193273331495</v>
      </c>
      <c r="AG377">
        <f t="shared" si="130"/>
        <v>18.007666065867369</v>
      </c>
      <c r="AH377" t="str">
        <f t="shared" si="131"/>
        <v>VENTAS</v>
      </c>
      <c r="AI377" t="str">
        <f t="shared" si="128"/>
        <v>🎯 Para subir de categoría, eje VENTAS / DIFERENCIAL vs LOTBA (J). Acción: metas semanales + activación comercial + seguimiento del asesor. ΔR aprox: 18,0</v>
      </c>
      <c r="AJ377" s="26">
        <f>_xlfn.LET(_xlpm.piso,AF377,_xlpm.corte,AE377,_xlpm.prog,IF(_xlpm.corte&lt;=_xlpm.piso,0,MAX(0,MIN(1,(U377-_xlpm.piso)/(_xlpm.corte-_xlpm.piso)))),_xlpm.orden,{"DIAMANTE";"PLATINO";"ORO";"PLATA";"BRONCE";"CERRADO"},_xlpm.act,IFERROR(MATCH(V377,_xlpm.orden,0),6),_xlpm.ant,IFERROR(MATCH(W377,_xlpm.orden,0),6),_xlpm.ajmov,IF(_xlpm.act&lt;_xlpm.ant,0.08,IF(_xlpm.act&gt;_xlpm.ant,-0.08,0)),_xlpm.ajcli,IF(T377&lt;0.95,-0.06,0),_xlpm.prob,MAX(0,MIN(1,_xlpm.prog+_xlpm.ajmov+_xlpm.ajcli)),IF(OR(V377="DIAMANTE",V377="CERRADO"),0,ROUND(_xlpm.prob,2)))</f>
        <v>0.23</v>
      </c>
      <c r="AK377" t="str">
        <f t="shared" si="132"/>
        <v>Faltan 18,0 puntos base para subir a la siguiente categoría</v>
      </c>
      <c r="AL377" t="str">
        <f t="shared" si="133"/>
        <v>Margen de seguridad: 5,2 puntos</v>
      </c>
      <c r="AM377">
        <f t="shared" si="134"/>
        <v>0.71</v>
      </c>
      <c r="AN377" t="str">
        <f t="shared" si="135"/>
        <v>PRIORIDAD ALTA – requiere intervención inmediata</v>
      </c>
      <c r="AO377">
        <f t="shared" si="136"/>
        <v>25.733330290524279</v>
      </c>
      <c r="AP377">
        <f t="shared" si="137"/>
        <v>0.29778117687541616</v>
      </c>
      <c r="AQ377">
        <f t="shared" si="138"/>
        <v>0</v>
      </c>
      <c r="AR377">
        <f t="shared" si="139"/>
        <v>5.3999999999999995</v>
      </c>
      <c r="AS377">
        <f t="shared" si="140"/>
        <v>0</v>
      </c>
      <c r="AT377" t="str">
        <f t="shared" si="141"/>
        <v>VENTAS</v>
      </c>
      <c r="AU377">
        <f t="shared" si="142"/>
        <v>25.733330290524279</v>
      </c>
      <c r="AV377" t="str">
        <f t="shared" si="143"/>
        <v>Mayor retorno probable: VENTAS (+25,7 puntos finales potenciales).</v>
      </c>
    </row>
    <row r="378" spans="1:48" x14ac:dyDescent="0.3">
      <c r="A378" s="5">
        <v>51056850</v>
      </c>
      <c r="B378" s="5" t="str">
        <f>IFERROR(VLOOKUP(A378,VENTAS!$A$2:$B$1194,2,0),"")</f>
        <v>METTLER</v>
      </c>
      <c r="C378" s="5">
        <f>IFERROR(INDEX(VENTAS!$C$2:$E$1194,MATCH(A378,VENTAS!$A$2:$A$1194,0),MATCH(PARAMS_MODELO!$B$2,{"Q1","Q2","Q3"},0)),0)</f>
        <v>52504720.040000007</v>
      </c>
      <c r="D378" s="5">
        <f>IFERROR(INDEX(VENTAS!$F$2:$H$1194,MATCH(A378,VENTAS!$A$2:$A$1194,0),MATCH(PARAMS_MODELO!$B$2,{"Q1","Q2","Q3"},0)),0)</f>
        <v>92321421</v>
      </c>
      <c r="E378" s="8">
        <f t="shared" si="120"/>
        <v>0.75834517219911235</v>
      </c>
      <c r="F378" s="12">
        <f>IF(E378&lt;=PARAMS_MODELO!$B$15,0,IF(E378&gt;=PARAMS_MODELO!$B$17,100,100*MIN(1,(E378-PARAMS_MODELO!$B$15)/(PARAMS_MODELO!$B$16-PARAMS_MODELO!$B$15))))*PARAMS_MODELO!$B$7</f>
        <v>35</v>
      </c>
      <c r="G378" s="5">
        <f t="shared" si="121"/>
        <v>39816700.959999993</v>
      </c>
      <c r="H378" s="5">
        <f>(PARAMS_MODELO!$B$20*(MAX(0,MIN(3,E378))/3)+PARAMS_MODELO!$B$21*(IFERROR(LN(1+MAX(0,G378))/LN(1+MAX(0,MAX($G$2:$G$1194))),0)))*100*PARAMS_MODELO!$B$8</f>
        <v>6.7564048357093425</v>
      </c>
      <c r="I378" s="8">
        <f>E378-PARAMS_MODELO!$B$5</f>
        <v>0.58078233682358582</v>
      </c>
      <c r="J378" s="5">
        <f>IF(I378&lt;=PARAMS_MODELO!$B$18,0,IF(I378&gt;=PARAMS_MODELO!$B$19,100,100*(I378-PARAMS_MODELO!$B$18)/(PARAMS_MODELO!$B$19-PARAMS_MODELO!$B$18)))*PARAMS_MODELO!$B$9</f>
        <v>15</v>
      </c>
      <c r="K378" s="5">
        <f>IFERROR(CHOOSE(MATCH(PARAMS_MODELO!$B$2,{"Q1","Q2","Q3"},0),LOTO!$D378,LOTO!$F378,LOTO!$H378),0)</f>
        <v>4522500</v>
      </c>
      <c r="L378" s="8">
        <f t="shared" si="122"/>
        <v>4.8986464365621062E-2</v>
      </c>
      <c r="M378" s="5">
        <f>MIN(100,IF(PARAMS_MODELO!$B$23=0,0,100*L378/PARAMS_MODELO!$B$23))*PARAMS_MODELO!$B$10</f>
        <v>14.695939309686315</v>
      </c>
      <c r="N378" s="5">
        <f>IFERROR(VLOOKUP(A378,COMPLIANCE!$A$2:$F$1996,6,0),100)</f>
        <v>99.98</v>
      </c>
      <c r="O378" s="5">
        <f>N378*PARAMS_MODELO!$B$11</f>
        <v>9.9980000000000011</v>
      </c>
      <c r="P378" s="5">
        <f>IFERROR(VLOOKUP(A378,DIGITAL!$A$2:$J$2000,7,0),100)</f>
        <v>77</v>
      </c>
      <c r="Q378" s="5">
        <f>IFERROR(P378,0)*PARAMS_MODELO!$B$12</f>
        <v>7.7</v>
      </c>
      <c r="R378">
        <f t="shared" si="123"/>
        <v>89.150344145395664</v>
      </c>
      <c r="S378" s="5" t="str">
        <f>IFERROR(VLOOKUP(A378,CLIENTE!$A$2:$N$2000,13,0),1)</f>
        <v>Malo</v>
      </c>
      <c r="T378" s="5">
        <f>IFERROR(VLOOKUP(A378,CLIENTE!$A$2:$N$2000,14,0),1)</f>
        <v>0.7</v>
      </c>
      <c r="U378" s="5">
        <f t="shared" si="124"/>
        <v>62.405240901776963</v>
      </c>
      <c r="V378" s="5" t="str">
        <f>IF(U378&gt;=MAX(_xlfn.PERCENTILE.INC($U$2:$U$1194,PARAMS_MODELO!$B$50),PARAMS_MODELO!$B$45),"DIAMANTE",IF(U378&gt;=MAX(_xlfn.PERCENTILE.INC($U$2:$U$1194,PARAMS_MODELO!$B$51),PARAMS_MODELO!$B$46),"PLATINO",IF(U378&gt;=MAX(_xlfn.PERCENTILE.INC($U$2:$U$1194,PARAMS_MODELO!$B$52),PARAMS_MODELO!$B$47),"ORO",IF(U378&gt;=MAX(_xlfn.PERCENTILE.INC($U$2:$U$1194,PARAMS_MODELO!$B$53),PARAMS_MODELO!$B$48),"PLATA",IF(U378&gt;=1,"BRONCE","CERRADO")))))</f>
        <v>PLATA</v>
      </c>
      <c r="W378" s="5" t="str" cm="1">
        <f t="array" ref="W378">_xlfn.XLOOKUP(1, (HIST_SCORE!$B:$B=PARAMS_MODELO!$B$4) * (HIST_SCORE!$C:$C=A378), HIST_SCORE!$E:$E, "No encontrado")</f>
        <v>PLATA</v>
      </c>
      <c r="X378" s="5" t="str">
        <f>_xlfn.LET(_xlpm.act,MATCH(V378,{"DIAMANTE";"PLATINO";"ORO";"PLATA";"BRONCE";"CERRADO"},0),_xlpm.ant,MATCH(W378,{"DIAMANTE";"PLATINO";"ORO";"PLATA";"BRONCE";"CERRADO"},0),IF(_xlpm.act&lt;_xlpm.ant,"Mejora ↑",IF(_xlpm.act&gt;_xlpm.ant,"Baja ↓","Estable →")))</f>
        <v>Estable →</v>
      </c>
      <c r="Y378" s="5">
        <f>IFERROR(U378-SUMIFS(HIST_SCORE!$D:$D,HIST_SCORE!$B:$B,PARAMS_MODELO!$B$4,HIST_SCORE!$C:$C,$A378),"")</f>
        <v>0.68875485716840501</v>
      </c>
      <c r="Z378" s="5" t="str">
        <f t="shared" si="125"/>
        <v>→ Estable</v>
      </c>
      <c r="AA378" s="5">
        <f t="shared" si="126"/>
        <v>571</v>
      </c>
      <c r="AB378" s="5">
        <f>IFERROR(SUMIFS(HIST_SCORE!$F:$F,HIST_SCORE!$B:$B,PARAMS_MODELO!$B$4,HIST_SCORE!$C:$C,$A378),"")</f>
        <v>617</v>
      </c>
      <c r="AC378" s="5">
        <f t="shared" si="127"/>
        <v>46</v>
      </c>
      <c r="AD378" t="str">
        <f t="shared" si="129"/>
        <v/>
      </c>
      <c r="AE3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378="CERRADO",1,IF(V378="BRONCE",_xlpm.cPl,IF(V378="PLATA",_xlpm.cO,IF(V378="ORO",_xlpm.cP,IF(V378="PLATINO",_xlpm.cD,999))))))</f>
        <v>63.199193273331495</v>
      </c>
      <c r="AF3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378="CERRADO",0,IF(V378="BRONCE",1,IF(V378="PLATA",_xlpm.cPl,IF(V378="ORO",_xlpm.cO,IF(V378="PLATINO",_xlpm.cP,_xlpm.cD))))))</f>
        <v>24.506573482968111</v>
      </c>
      <c r="AG378">
        <f t="shared" si="130"/>
        <v>1.1342176736493315</v>
      </c>
      <c r="AH378" t="str">
        <f t="shared" si="131"/>
        <v>CLIENTE</v>
      </c>
      <c r="AI378" t="str">
        <f t="shared" si="128"/>
        <v>🎯 Para subir de categoría, la eje con mayor impacto probable es CLIENTE (coef T). Acción: reducir quejas, mejorar incógnito y empujar reseñas. ΔR aprox: 1,1</v>
      </c>
      <c r="AJ378" s="26">
        <f>_xlfn.LET(_xlpm.piso,AF378,_xlpm.corte,AE378,_xlpm.prog,IF(_xlpm.corte&lt;=_xlpm.piso,0,MAX(0,MIN(1,(U378-_xlpm.piso)/(_xlpm.corte-_xlpm.piso)))),_xlpm.orden,{"DIAMANTE";"PLATINO";"ORO";"PLATA";"BRONCE";"CERRADO"},_xlpm.act,IFERROR(MATCH(V378,_xlpm.orden,0),6),_xlpm.ant,IFERROR(MATCH(W378,_xlpm.orden,0),6),_xlpm.ajmov,IF(_xlpm.act&lt;_xlpm.ant,0.08,IF(_xlpm.act&gt;_xlpm.ant,-0.08,0)),_xlpm.ajcli,IF(T378&lt;0.95,-0.06,0),_xlpm.prob,MAX(0,MIN(1,_xlpm.prog+_xlpm.ajmov+_xlpm.ajcli)),IF(OR(V378="DIAMANTE",V378="CERRADO"),0,ROUND(_xlpm.prob,2)))</f>
        <v>0.92</v>
      </c>
      <c r="AK378" t="str">
        <f t="shared" si="132"/>
        <v>Faltan 1,1 puntos base para subir a la siguiente categoría</v>
      </c>
      <c r="AL378" t="str">
        <f t="shared" si="133"/>
        <v>Margen de seguridad: 37,9 puntos</v>
      </c>
      <c r="AM378">
        <f t="shared" si="134"/>
        <v>0.28000000000000003</v>
      </c>
      <c r="AN378" t="str">
        <f t="shared" si="135"/>
        <v>PRIORIDAD BAJA – control normal</v>
      </c>
      <c r="AO378">
        <f t="shared" si="136"/>
        <v>5.6743151077103704</v>
      </c>
      <c r="AP378">
        <f t="shared" si="137"/>
        <v>0.21284248321957955</v>
      </c>
      <c r="AQ378">
        <f t="shared" si="138"/>
        <v>1.3999999999992239E-3</v>
      </c>
      <c r="AR378">
        <f t="shared" si="139"/>
        <v>1.6099999999999999</v>
      </c>
      <c r="AS378">
        <f t="shared" si="140"/>
        <v>26.745103243618704</v>
      </c>
      <c r="AT378" t="str">
        <f t="shared" si="141"/>
        <v>CLIENTE</v>
      </c>
      <c r="AU378">
        <f t="shared" si="142"/>
        <v>26.745103243618704</v>
      </c>
      <c r="AV378" t="str">
        <f t="shared" si="143"/>
        <v>Mayor retorno probable: CLIENTE (+26,7 puntos finales potenciales).</v>
      </c>
    </row>
    <row r="379" spans="1:48" x14ac:dyDescent="0.3">
      <c r="A379" s="5">
        <v>51054989</v>
      </c>
      <c r="B379" s="5" t="str">
        <f>IFERROR(VLOOKUP(A379,VENTAS!$A$2:$B$1194,2,0),"")</f>
        <v>ROBERTS</v>
      </c>
      <c r="C379" s="5">
        <f>IFERROR(INDEX(VENTAS!$C$2:$E$1194,MATCH(A379,VENTAS!$A$2:$A$1194,0),MATCH(PARAMS_MODELO!$B$2,{"Q1","Q2","Q3"},0)),0)</f>
        <v>68513946.25999999</v>
      </c>
      <c r="D379" s="5">
        <f>IFERROR(INDEX(VENTAS!$F$2:$H$1194,MATCH(A379,VENTAS!$A$2:$A$1194,0),MATCH(PARAMS_MODELO!$B$2,{"Q1","Q2","Q3"},0)),0)</f>
        <v>92249412</v>
      </c>
      <c r="E379" s="8">
        <f t="shared" si="120"/>
        <v>0.34643261752764221</v>
      </c>
      <c r="F379" s="12">
        <f>IF(E379&lt;=PARAMS_MODELO!$B$15,0,IF(E379&gt;=PARAMS_MODELO!$B$17,100,100*MIN(1,(E379-PARAMS_MODELO!$B$15)/(PARAMS_MODELO!$B$16-PARAMS_MODELO!$B$15))))*PARAMS_MODELO!$B$7</f>
        <v>35</v>
      </c>
      <c r="G379" s="5">
        <f t="shared" si="121"/>
        <v>23735465.74000001</v>
      </c>
      <c r="H379" s="5">
        <f>(PARAMS_MODELO!$B$20*(MAX(0,MIN(3,E379))/3)+PARAMS_MODELO!$B$21*(IFERROR(LN(1+MAX(0,G379))/LN(1+MAX(0,MAX($G$2:$G$1194))),0)))*100*PARAMS_MODELO!$B$8</f>
        <v>5.1934447889623589</v>
      </c>
      <c r="I379" s="8">
        <f>E379-PARAMS_MODELO!$B$5</f>
        <v>0.16886978215211568</v>
      </c>
      <c r="J379" s="5">
        <f>IF(I379&lt;=PARAMS_MODELO!$B$18,0,IF(I379&gt;=PARAMS_MODELO!$B$19,100,100*(I379-PARAMS_MODELO!$B$18)/(PARAMS_MODELO!$B$19-PARAMS_MODELO!$B$18)))*PARAMS_MODELO!$B$9</f>
        <v>15</v>
      </c>
      <c r="K379" s="5">
        <f>IFERROR(CHOOSE(MATCH(PARAMS_MODELO!$B$2,{"Q1","Q2","Q3"},0),LOTO!$D379,LOTO!$F379,LOTO!$H379),0)</f>
        <v>4517500</v>
      </c>
      <c r="L379" s="8">
        <f t="shared" si="122"/>
        <v>4.8970501839079472E-2</v>
      </c>
      <c r="M379" s="5">
        <f>MIN(100,IF(PARAMS_MODELO!$B$23=0,0,100*L379/PARAMS_MODELO!$B$23))*PARAMS_MODELO!$B$10</f>
        <v>14.69115055172384</v>
      </c>
      <c r="N379" s="5">
        <f>IFERROR(VLOOKUP(A379,COMPLIANCE!$A$2:$F$1996,6,0),100)</f>
        <v>100</v>
      </c>
      <c r="O379" s="5">
        <f>N379*PARAMS_MODELO!$B$11</f>
        <v>10</v>
      </c>
      <c r="P379" s="5">
        <f>IFERROR(VLOOKUP(A379,DIGITAL!$A$2:$J$2000,7,0),100)</f>
        <v>34</v>
      </c>
      <c r="Q379" s="5">
        <f>IFERROR(P379,0)*PARAMS_MODELO!$B$12</f>
        <v>3.4000000000000004</v>
      </c>
      <c r="R379">
        <f t="shared" si="123"/>
        <v>83.284595340686209</v>
      </c>
      <c r="S379" s="5" t="str">
        <f>IFERROR(VLOOKUP(A379,CLIENTE!$A$2:$N$2000,13,0),1)</f>
        <v>Bueno</v>
      </c>
      <c r="T379" s="5">
        <f>IFERROR(VLOOKUP(A379,CLIENTE!$A$2:$N$2000,14,0),1)</f>
        <v>1.1000000000000001</v>
      </c>
      <c r="U379" s="5">
        <f t="shared" si="124"/>
        <v>91.613054874754837</v>
      </c>
      <c r="V379" s="5" t="str">
        <f>IF(U379&gt;=MAX(_xlfn.PERCENTILE.INC($U$2:$U$1194,PARAMS_MODELO!$B$50),PARAMS_MODELO!$B$45),"DIAMANTE",IF(U379&gt;=MAX(_xlfn.PERCENTILE.INC($U$2:$U$1194,PARAMS_MODELO!$B$51),PARAMS_MODELO!$B$46),"PLATINO",IF(U379&gt;=MAX(_xlfn.PERCENTILE.INC($U$2:$U$1194,PARAMS_MODELO!$B$52),PARAMS_MODELO!$B$47),"ORO",IF(U379&gt;=MAX(_xlfn.PERCENTILE.INC($U$2:$U$1194,PARAMS_MODELO!$B$53),PARAMS_MODELO!$B$48),"PLATA",IF(U379&gt;=1,"BRONCE","CERRADO")))))</f>
        <v>PLATINO</v>
      </c>
      <c r="W379" s="5" t="str" cm="1">
        <f t="array" ref="W379">_xlfn.XLOOKUP(1, (HIST_SCORE!$B:$B=PARAMS_MODELO!$B$4) * (HIST_SCORE!$C:$C=A379), HIST_SCORE!$E:$E, "No encontrado")</f>
        <v>PLATINO</v>
      </c>
      <c r="X379" s="5" t="str">
        <f>_xlfn.LET(_xlpm.act,MATCH(V379,{"DIAMANTE";"PLATINO";"ORO";"PLATA";"BRONCE";"CERRADO"},0),_xlpm.ant,MATCH(W379,{"DIAMANTE";"PLATINO";"ORO";"PLATA";"BRONCE";"CERRADO"},0),IF(_xlpm.act&lt;_xlpm.ant,"Mejora ↑",IF(_xlpm.act&gt;_xlpm.ant,"Baja ↓","Estable →")))</f>
        <v>Estable →</v>
      </c>
      <c r="Y379" s="5">
        <f>IFERROR(U379-SUMIFS(HIST_SCORE!$D:$D,HIST_SCORE!$B:$B,PARAMS_MODELO!$B$4,HIST_SCORE!$C:$C,$A379),"")</f>
        <v>-0.31006298129747734</v>
      </c>
      <c r="Z379" s="5" t="str">
        <f t="shared" si="125"/>
        <v>→ Estable</v>
      </c>
      <c r="AA379" s="5">
        <f t="shared" si="126"/>
        <v>109</v>
      </c>
      <c r="AB379" s="5">
        <f>IFERROR(SUMIFS(HIST_SCORE!$F:$F,HIST_SCORE!$B:$B,PARAMS_MODELO!$B$4,HIST_SCORE!$C:$C,$A379),"")</f>
        <v>100</v>
      </c>
      <c r="AC379" s="5">
        <f t="shared" si="127"/>
        <v>-9</v>
      </c>
      <c r="AD379" t="str">
        <f t="shared" si="129"/>
        <v/>
      </c>
      <c r="AE3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379="CERRADO",1,IF(V379="BRONCE",_xlpm.cPl,IF(V379="PLATA",_xlpm.cO,IF(V379="ORO",_xlpm.cP,IF(V379="PLATINO",_xlpm.cD,999))))))</f>
        <v>96.054919694466676</v>
      </c>
      <c r="AF3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379="CERRADO",0,IF(V379="BRONCE",1,IF(V379="PLATA",_xlpm.cPl,IF(V379="ORO",_xlpm.cO,IF(V379="PLATINO",_xlpm.cP,_xlpm.cD))))))</f>
        <v>86.439123873763251</v>
      </c>
      <c r="AG379">
        <f t="shared" si="130"/>
        <v>4.0380589270107663</v>
      </c>
      <c r="AH379" t="str">
        <f t="shared" si="131"/>
        <v>VENTAS</v>
      </c>
      <c r="AI379" t="str">
        <f t="shared" si="128"/>
        <v>🎯 Para subir de categoría, eje VENTAS / IMPACTO ABSOLUTO (H). Acción: metas semanales + activación comercial + seguimiento del asesor. ΔR aprox: 4,0</v>
      </c>
      <c r="AJ379" s="26">
        <f>_xlfn.LET(_xlpm.piso,AF379,_xlpm.corte,AE379,_xlpm.prog,IF(_xlpm.corte&lt;=_xlpm.piso,0,MAX(0,MIN(1,(U379-_xlpm.piso)/(_xlpm.corte-_xlpm.piso)))),_xlpm.orden,{"DIAMANTE";"PLATINO";"ORO";"PLATA";"BRONCE";"CERRADO"},_xlpm.act,IFERROR(MATCH(V379,_xlpm.orden,0),6),_xlpm.ant,IFERROR(MATCH(W379,_xlpm.orden,0),6),_xlpm.ajmov,IF(_xlpm.act&lt;_xlpm.ant,0.08,IF(_xlpm.act&gt;_xlpm.ant,-0.08,0)),_xlpm.ajcli,IF(T379&lt;0.95,-0.06,0),_xlpm.prob,MAX(0,MIN(1,_xlpm.prog+_xlpm.ajmov+_xlpm.ajcli)),IF(OR(V379="DIAMANTE",V379="CERRADO"),0,ROUND(_xlpm.prob,2)))</f>
        <v>0.54</v>
      </c>
      <c r="AK379" t="str">
        <f t="shared" si="132"/>
        <v>Faltan 4,0 puntos base para subir a la siguiente categoría</v>
      </c>
      <c r="AL379" t="str">
        <f t="shared" si="133"/>
        <v>Margen de seguridad: 5,2 puntos</v>
      </c>
      <c r="AM379">
        <f t="shared" si="134"/>
        <v>0.35</v>
      </c>
      <c r="AN379" t="str">
        <f t="shared" si="135"/>
        <v>PRIORIDAD BAJA – control normal</v>
      </c>
      <c r="AO379">
        <f t="shared" si="136"/>
        <v>10.636036934966548</v>
      </c>
      <c r="AP379">
        <f t="shared" si="137"/>
        <v>0.33973439310377568</v>
      </c>
      <c r="AQ379">
        <f t="shared" si="138"/>
        <v>0</v>
      </c>
      <c r="AR379">
        <f t="shared" si="139"/>
        <v>7.26</v>
      </c>
      <c r="AS379">
        <f t="shared" si="140"/>
        <v>0</v>
      </c>
      <c r="AT379" t="str">
        <f t="shared" si="141"/>
        <v>VENTAS</v>
      </c>
      <c r="AU379">
        <f t="shared" si="142"/>
        <v>10.636036934966548</v>
      </c>
      <c r="AV379" t="str">
        <f t="shared" si="143"/>
        <v>Mayor retorno probable: VENTAS (+10,6 puntos finales potenciales).</v>
      </c>
    </row>
    <row r="380" spans="1:48" x14ac:dyDescent="0.3">
      <c r="A380" s="5">
        <v>51018737</v>
      </c>
      <c r="B380" s="5" t="str">
        <f>IFERROR(VLOOKUP(A380,VENTAS!$A$2:$B$1194,2,0),"")</f>
        <v>PRADES</v>
      </c>
      <c r="C380" s="5">
        <f>IFERROR(INDEX(VENTAS!$C$2:$E$1194,MATCH(A380,VENTAS!$A$2:$A$1194,0),MATCH(PARAMS_MODELO!$B$2,{"Q1","Q2","Q3"},0)),0)</f>
        <v>67883036.200000003</v>
      </c>
      <c r="D380" s="5">
        <f>IFERROR(INDEX(VENTAS!$F$2:$H$1194,MATCH(A380,VENTAS!$A$2:$A$1194,0),MATCH(PARAMS_MODELO!$B$2,{"Q1","Q2","Q3"},0)),0)</f>
        <v>92139592</v>
      </c>
      <c r="E380" s="8">
        <f t="shared" si="120"/>
        <v>0.35732868118235395</v>
      </c>
      <c r="F380" s="12">
        <f>IF(E380&lt;=PARAMS_MODELO!$B$15,0,IF(E380&gt;=PARAMS_MODELO!$B$17,100,100*MIN(1,(E380-PARAMS_MODELO!$B$15)/(PARAMS_MODELO!$B$16-PARAMS_MODELO!$B$15))))*PARAMS_MODELO!$B$7</f>
        <v>35</v>
      </c>
      <c r="G380" s="5">
        <f t="shared" si="121"/>
        <v>24256555.799999997</v>
      </c>
      <c r="H380" s="5">
        <f>(PARAMS_MODELO!$B$20*(MAX(0,MIN(3,E380))/3)+PARAMS_MODELO!$B$21*(IFERROR(LN(1+MAX(0,G380))/LN(1+MAX(0,MAX($G$2:$G$1194))),0)))*100*PARAMS_MODELO!$B$8</f>
        <v>5.2366716737600081</v>
      </c>
      <c r="I380" s="8">
        <f>E380-PARAMS_MODELO!$B$5</f>
        <v>0.17976584580682742</v>
      </c>
      <c r="J380" s="5">
        <f>IF(I380&lt;=PARAMS_MODELO!$B$18,0,IF(I380&gt;=PARAMS_MODELO!$B$19,100,100*(I380-PARAMS_MODELO!$B$18)/(PARAMS_MODELO!$B$19-PARAMS_MODELO!$B$18)))*PARAMS_MODELO!$B$9</f>
        <v>15</v>
      </c>
      <c r="K380" s="5">
        <f>IFERROR(CHOOSE(MATCH(PARAMS_MODELO!$B$2,{"Q1","Q2","Q3"},0),LOTO!$D380,LOTO!$F380,LOTO!$H380),0)</f>
        <v>4507500</v>
      </c>
      <c r="L380" s="8">
        <f t="shared" si="122"/>
        <v>4.892033817558037E-2</v>
      </c>
      <c r="M380" s="5">
        <f>MIN(100,IF(PARAMS_MODELO!$B$23=0,0,100*L380/PARAMS_MODELO!$B$23))*PARAMS_MODELO!$B$10</f>
        <v>14.676101452674111</v>
      </c>
      <c r="N380" s="5">
        <f>IFERROR(VLOOKUP(A380,COMPLIANCE!$A$2:$F$1996,6,0),100)</f>
        <v>100</v>
      </c>
      <c r="O380" s="5">
        <f>N380*PARAMS_MODELO!$B$11</f>
        <v>10</v>
      </c>
      <c r="P380" s="5">
        <f>IFERROR(VLOOKUP(A380,DIGITAL!$A$2:$J$2000,7,0),100)</f>
        <v>44</v>
      </c>
      <c r="Q380" s="5">
        <f>IFERROR(P380,0)*PARAMS_MODELO!$B$12</f>
        <v>4.4000000000000004</v>
      </c>
      <c r="R380">
        <f t="shared" si="123"/>
        <v>84.312773126434124</v>
      </c>
      <c r="S380" s="5" t="str">
        <f>IFERROR(VLOOKUP(A380,CLIENTE!$A$2:$N$2000,13,0),1)</f>
        <v>Regular</v>
      </c>
      <c r="T380" s="5">
        <f>IFERROR(VLOOKUP(A380,CLIENTE!$A$2:$N$2000,14,0),1)</f>
        <v>1</v>
      </c>
      <c r="U380" s="5">
        <f t="shared" si="124"/>
        <v>84.312773126434124</v>
      </c>
      <c r="V380" s="5" t="str">
        <f>IF(U380&gt;=MAX(_xlfn.PERCENTILE.INC($U$2:$U$1194,PARAMS_MODELO!$B$50),PARAMS_MODELO!$B$45),"DIAMANTE",IF(U380&gt;=MAX(_xlfn.PERCENTILE.INC($U$2:$U$1194,PARAMS_MODELO!$B$51),PARAMS_MODELO!$B$46),"PLATINO",IF(U380&gt;=MAX(_xlfn.PERCENTILE.INC($U$2:$U$1194,PARAMS_MODELO!$B$52),PARAMS_MODELO!$B$47),"ORO",IF(U380&gt;=MAX(_xlfn.PERCENTILE.INC($U$2:$U$1194,PARAMS_MODELO!$B$53),PARAMS_MODELO!$B$48),"PLATA",IF(U380&gt;=1,"BRONCE","CERRADO")))))</f>
        <v>ORO</v>
      </c>
      <c r="W380" s="5" t="str" cm="1">
        <f t="array" ref="W380">_xlfn.XLOOKUP(1, (HIST_SCORE!$B:$B=PARAMS_MODELO!$B$4) * (HIST_SCORE!$C:$C=A380), HIST_SCORE!$E:$E, "No encontrado")</f>
        <v>ORO</v>
      </c>
      <c r="X380" s="5" t="str">
        <f>_xlfn.LET(_xlpm.act,MATCH(V380,{"DIAMANTE";"PLATINO";"ORO";"PLATA";"BRONCE";"CERRADO"},0),_xlpm.ant,MATCH(W380,{"DIAMANTE";"PLATINO";"ORO";"PLATA";"BRONCE";"CERRADO"},0),IF(_xlpm.act&lt;_xlpm.ant,"Mejora ↑",IF(_xlpm.act&gt;_xlpm.ant,"Baja ↓","Estable →")))</f>
        <v>Estable →</v>
      </c>
      <c r="Y380" s="5">
        <f>IFERROR(U380-SUMIFS(HIST_SCORE!$D:$D,HIST_SCORE!$B:$B,PARAMS_MODELO!$B$4,HIST_SCORE!$C:$C,$A380),"")</f>
        <v>7.3984343986424506E-2</v>
      </c>
      <c r="Z380" s="5" t="str">
        <f t="shared" si="125"/>
        <v>→ Estable</v>
      </c>
      <c r="AA380" s="5">
        <f t="shared" si="126"/>
        <v>304</v>
      </c>
      <c r="AB380" s="5">
        <f>IFERROR(SUMIFS(HIST_SCORE!$F:$F,HIST_SCORE!$B:$B,PARAMS_MODELO!$B$4,HIST_SCORE!$C:$C,$A380),"")</f>
        <v>282</v>
      </c>
      <c r="AC380" s="5">
        <f t="shared" si="127"/>
        <v>-22</v>
      </c>
      <c r="AD380" t="str">
        <f t="shared" si="129"/>
        <v/>
      </c>
      <c r="AE3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380="CERRADO",1,IF(V380="BRONCE",_xlpm.cPl,IF(V380="PLATA",_xlpm.cO,IF(V380="ORO",_xlpm.cP,IF(V380="PLATINO",_xlpm.cD,999))))))</f>
        <v>86.439123873763251</v>
      </c>
      <c r="AF3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380="CERRADO",0,IF(V380="BRONCE",1,IF(V380="PLATA",_xlpm.cPl,IF(V380="ORO",_xlpm.cO,IF(V380="PLATINO",_xlpm.cP,_xlpm.cD))))))</f>
        <v>63.199193273331495</v>
      </c>
      <c r="AG380">
        <f t="shared" si="130"/>
        <v>2.126350747329127</v>
      </c>
      <c r="AH380" t="str">
        <f t="shared" si="131"/>
        <v>VENTAS</v>
      </c>
      <c r="AI380" t="str">
        <f t="shared" si="128"/>
        <v>🎯 Para subir de categoría, eje VENTAS / IMPACTO ABSOLUTO (H). Acción: metas semanales + activación comercial + seguimiento del asesor. ΔR aprox: 2,1</v>
      </c>
      <c r="AJ380" s="26">
        <f>_xlfn.LET(_xlpm.piso,AF380,_xlpm.corte,AE380,_xlpm.prog,IF(_xlpm.corte&lt;=_xlpm.piso,0,MAX(0,MIN(1,(U380-_xlpm.piso)/(_xlpm.corte-_xlpm.piso)))),_xlpm.orden,{"DIAMANTE";"PLATINO";"ORO";"PLATA";"BRONCE";"CERRADO"},_xlpm.act,IFERROR(MATCH(V380,_xlpm.orden,0),6),_xlpm.ant,IFERROR(MATCH(W380,_xlpm.orden,0),6),_xlpm.ajmov,IF(_xlpm.act&lt;_xlpm.ant,0.08,IF(_xlpm.act&gt;_xlpm.ant,-0.08,0)),_xlpm.ajcli,IF(T380&lt;0.95,-0.06,0),_xlpm.prob,MAX(0,MIN(1,_xlpm.prog+_xlpm.ajmov+_xlpm.ajcli)),IF(OR(V380="DIAMANTE",V380="CERRADO"),0,ROUND(_xlpm.prob,2)))</f>
        <v>0.91</v>
      </c>
      <c r="AK380" t="str">
        <f t="shared" si="132"/>
        <v>Faltan 2,1 puntos base para subir a la siguiente categoría</v>
      </c>
      <c r="AL380" t="str">
        <f t="shared" si="133"/>
        <v>Margen de seguridad: 21,1 puntos</v>
      </c>
      <c r="AM380">
        <f t="shared" si="134"/>
        <v>0.12</v>
      </c>
      <c r="AN380" t="str">
        <f t="shared" si="135"/>
        <v>PRIORIDAD BAJA – control normal</v>
      </c>
      <c r="AO380">
        <f t="shared" si="136"/>
        <v>9.6258976015355771</v>
      </c>
      <c r="AP380">
        <f t="shared" si="137"/>
        <v>0.3238985473258893</v>
      </c>
      <c r="AQ380">
        <f t="shared" si="138"/>
        <v>0</v>
      </c>
      <c r="AR380">
        <f t="shared" si="139"/>
        <v>5.6</v>
      </c>
      <c r="AS380">
        <f t="shared" si="140"/>
        <v>0</v>
      </c>
      <c r="AT380" t="str">
        <f t="shared" si="141"/>
        <v>VENTAS</v>
      </c>
      <c r="AU380">
        <f t="shared" si="142"/>
        <v>9.6258976015355771</v>
      </c>
      <c r="AV380" t="str">
        <f t="shared" si="143"/>
        <v>Mayor retorno probable: VENTAS (+9,6 puntos finales potenciales).</v>
      </c>
    </row>
    <row r="381" spans="1:48" x14ac:dyDescent="0.3">
      <c r="A381" s="5">
        <v>51023811</v>
      </c>
      <c r="B381" s="5" t="str">
        <f>IFERROR(VLOOKUP(A381,VENTAS!$A$2:$B$1194,2,0),"")</f>
        <v>LÓPEZ</v>
      </c>
      <c r="C381" s="5">
        <f>IFERROR(INDEX(VENTAS!$C$2:$E$1194,MATCH(A381,VENTAS!$A$2:$A$1194,0),MATCH(PARAMS_MODELO!$B$2,{"Q1","Q2","Q3"},0)),0)</f>
        <v>58380613.770000003</v>
      </c>
      <c r="D381" s="5">
        <f>IFERROR(INDEX(VENTAS!$F$2:$H$1194,MATCH(A381,VENTAS!$A$2:$A$1194,0),MATCH(PARAMS_MODELO!$B$2,{"Q1","Q2","Q3"},0)),0)</f>
        <v>92029065</v>
      </c>
      <c r="E381" s="8">
        <f t="shared" si="120"/>
        <v>0.5763634374000175</v>
      </c>
      <c r="F381" s="12">
        <f>IF(E381&lt;=PARAMS_MODELO!$B$15,0,IF(E381&gt;=PARAMS_MODELO!$B$17,100,100*MIN(1,(E381-PARAMS_MODELO!$B$15)/(PARAMS_MODELO!$B$16-PARAMS_MODELO!$B$15))))*PARAMS_MODELO!$B$7</f>
        <v>35</v>
      </c>
      <c r="G381" s="5">
        <f t="shared" si="121"/>
        <v>33648451.229999997</v>
      </c>
      <c r="H381" s="5">
        <f>(PARAMS_MODELO!$B$20*(MAX(0,MIN(3,E381))/3)+PARAMS_MODELO!$B$21*(IFERROR(LN(1+MAX(0,G381))/LN(1+MAX(0,MAX($G$2:$G$1194))),0)))*100*PARAMS_MODELO!$B$8</f>
        <v>6.0800123437425757</v>
      </c>
      <c r="I381" s="8">
        <f>E381-PARAMS_MODELO!$B$5</f>
        <v>0.39880060202449097</v>
      </c>
      <c r="J381" s="5">
        <f>IF(I381&lt;=PARAMS_MODELO!$B$18,0,IF(I381&gt;=PARAMS_MODELO!$B$19,100,100*(I381-PARAMS_MODELO!$B$18)/(PARAMS_MODELO!$B$19-PARAMS_MODELO!$B$18)))*PARAMS_MODELO!$B$9</f>
        <v>15</v>
      </c>
      <c r="K381" s="5">
        <f>IFERROR(CHOOSE(MATCH(PARAMS_MODELO!$B$2,{"Q1","Q2","Q3"},0),LOTO!$D381,LOTO!$F381,LOTO!$H381),0)</f>
        <v>4507500</v>
      </c>
      <c r="L381" s="8">
        <f t="shared" si="122"/>
        <v>4.8979091551131157E-2</v>
      </c>
      <c r="M381" s="5">
        <f>MIN(100,IF(PARAMS_MODELO!$B$23=0,0,100*L381/PARAMS_MODELO!$B$23))*PARAMS_MODELO!$B$10</f>
        <v>14.693727465339347</v>
      </c>
      <c r="N381" s="5">
        <f>IFERROR(VLOOKUP(A381,COMPLIANCE!$A$2:$F$1996,6,0),100)</f>
        <v>100</v>
      </c>
      <c r="O381" s="5">
        <f>N381*PARAMS_MODELO!$B$11</f>
        <v>10</v>
      </c>
      <c r="P381" s="5">
        <f>IFERROR(VLOOKUP(A381,DIGITAL!$A$2:$J$2000,7,0),100)</f>
        <v>77</v>
      </c>
      <c r="Q381" s="5">
        <f>IFERROR(P381,0)*PARAMS_MODELO!$B$12</f>
        <v>7.7</v>
      </c>
      <c r="R381">
        <f t="shared" si="123"/>
        <v>88.47373980908192</v>
      </c>
      <c r="S381" s="5" t="str">
        <f>IFERROR(VLOOKUP(A381,CLIENTE!$A$2:$N$2000,13,0),1)</f>
        <v>Malo</v>
      </c>
      <c r="T381" s="5">
        <f>IFERROR(VLOOKUP(A381,CLIENTE!$A$2:$N$2000,14,0),1)</f>
        <v>0.7</v>
      </c>
      <c r="U381" s="5">
        <f t="shared" si="124"/>
        <v>61.931617866357342</v>
      </c>
      <c r="V381" s="5" t="str">
        <f>IF(U381&gt;=MAX(_xlfn.PERCENTILE.INC($U$2:$U$1194,PARAMS_MODELO!$B$50),PARAMS_MODELO!$B$45),"DIAMANTE",IF(U381&gt;=MAX(_xlfn.PERCENTILE.INC($U$2:$U$1194,PARAMS_MODELO!$B$51),PARAMS_MODELO!$B$46),"PLATINO",IF(U381&gt;=MAX(_xlfn.PERCENTILE.INC($U$2:$U$1194,PARAMS_MODELO!$B$52),PARAMS_MODELO!$B$47),"ORO",IF(U381&gt;=MAX(_xlfn.PERCENTILE.INC($U$2:$U$1194,PARAMS_MODELO!$B$53),PARAMS_MODELO!$B$48),"PLATA",IF(U381&gt;=1,"BRONCE","CERRADO")))))</f>
        <v>PLATA</v>
      </c>
      <c r="W381" s="5" t="str" cm="1">
        <f t="array" ref="W381">_xlfn.XLOOKUP(1, (HIST_SCORE!$B:$B=PARAMS_MODELO!$B$4) * (HIST_SCORE!$C:$C=A381), HIST_SCORE!$E:$E, "No encontrado")</f>
        <v>PLATA</v>
      </c>
      <c r="X381" s="5" t="str">
        <f>_xlfn.LET(_xlpm.act,MATCH(V381,{"DIAMANTE";"PLATINO";"ORO";"PLATA";"BRONCE";"CERRADO"},0),_xlpm.ant,MATCH(W381,{"DIAMANTE";"PLATINO";"ORO";"PLATA";"BRONCE";"CERRADO"},0),IF(_xlpm.act&lt;_xlpm.ant,"Mejora ↑",IF(_xlpm.act&gt;_xlpm.ant,"Baja ↓","Estable →")))</f>
        <v>Estable →</v>
      </c>
      <c r="Y381" s="5">
        <f>IFERROR(U381-SUMIFS(HIST_SCORE!$D:$D,HIST_SCORE!$B:$B,PARAMS_MODELO!$B$4,HIST_SCORE!$C:$C,$A381),"")</f>
        <v>-4.1691407569274475E-2</v>
      </c>
      <c r="Z381" s="5" t="str">
        <f t="shared" si="125"/>
        <v>→ Estable</v>
      </c>
      <c r="AA381" s="5">
        <f t="shared" si="126"/>
        <v>581</v>
      </c>
      <c r="AB381" s="5">
        <f>IFERROR(SUMIFS(HIST_SCORE!$F:$F,HIST_SCORE!$B:$B,PARAMS_MODELO!$B$4,HIST_SCORE!$C:$C,$A381),"")</f>
        <v>611</v>
      </c>
      <c r="AC381" s="5">
        <f t="shared" si="127"/>
        <v>30</v>
      </c>
      <c r="AD381" t="str">
        <f t="shared" si="129"/>
        <v/>
      </c>
      <c r="AE3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381="CERRADO",1,IF(V381="BRONCE",_xlpm.cPl,IF(V381="PLATA",_xlpm.cO,IF(V381="ORO",_xlpm.cP,IF(V381="PLATINO",_xlpm.cD,999))))))</f>
        <v>63.199193273331495</v>
      </c>
      <c r="AF3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381="CERRADO",0,IF(V381="BRONCE",1,IF(V381="PLATA",_xlpm.cPl,IF(V381="ORO",_xlpm.cO,IF(V381="PLATINO",_xlpm.cP,_xlpm.cD))))))</f>
        <v>24.506573482968111</v>
      </c>
      <c r="AG381">
        <f t="shared" si="130"/>
        <v>1.8108220099630756</v>
      </c>
      <c r="AH381" t="str">
        <f t="shared" si="131"/>
        <v>CLIENTE</v>
      </c>
      <c r="AI381" t="str">
        <f t="shared" si="128"/>
        <v>🎯 Para subir de categoría, la eje con mayor impacto probable es CLIENTE (coef T). Acción: reducir quejas, mejorar incógnito y empujar reseñas. ΔR aprox: 1,8</v>
      </c>
      <c r="AJ381" s="26">
        <f>_xlfn.LET(_xlpm.piso,AF381,_xlpm.corte,AE381,_xlpm.prog,IF(_xlpm.corte&lt;=_xlpm.piso,0,MAX(0,MIN(1,(U381-_xlpm.piso)/(_xlpm.corte-_xlpm.piso)))),_xlpm.orden,{"DIAMANTE";"PLATINO";"ORO";"PLATA";"BRONCE";"CERRADO"},_xlpm.act,IFERROR(MATCH(V381,_xlpm.orden,0),6),_xlpm.ant,IFERROR(MATCH(W381,_xlpm.orden,0),6),_xlpm.ajmov,IF(_xlpm.act&lt;_xlpm.ant,0.08,IF(_xlpm.act&gt;_xlpm.ant,-0.08,0)),_xlpm.ajcli,IF(T381&lt;0.95,-0.06,0),_xlpm.prob,MAX(0,MIN(1,_xlpm.prog+_xlpm.ajmov+_xlpm.ajcli)),IF(OR(V381="DIAMANTE",V381="CERRADO"),0,ROUND(_xlpm.prob,2)))</f>
        <v>0.91</v>
      </c>
      <c r="AK381" t="str">
        <f t="shared" si="132"/>
        <v>Faltan 1,8 puntos base para subir a la siguiente categoría</v>
      </c>
      <c r="AL381" t="str">
        <f t="shared" si="133"/>
        <v>Margen de seguridad: 37,4 puntos</v>
      </c>
      <c r="AM381">
        <f t="shared" si="134"/>
        <v>0.31</v>
      </c>
      <c r="AN381" t="str">
        <f t="shared" si="135"/>
        <v>PRIORIDAD BAJA – control normal</v>
      </c>
      <c r="AO381">
        <f t="shared" si="136"/>
        <v>6.147789852087107</v>
      </c>
      <c r="AP381">
        <f t="shared" si="137"/>
        <v>0.21439077426245737</v>
      </c>
      <c r="AQ381">
        <f t="shared" si="138"/>
        <v>0</v>
      </c>
      <c r="AR381">
        <f t="shared" si="139"/>
        <v>1.6099999999999999</v>
      </c>
      <c r="AS381">
        <f t="shared" si="140"/>
        <v>26.542121942724581</v>
      </c>
      <c r="AT381" t="str">
        <f t="shared" si="141"/>
        <v>CLIENTE</v>
      </c>
      <c r="AU381">
        <f t="shared" si="142"/>
        <v>26.542121942724581</v>
      </c>
      <c r="AV381" t="str">
        <f t="shared" si="143"/>
        <v>Mayor retorno probable: CLIENTE (+26,5 puntos finales potenciales).</v>
      </c>
    </row>
    <row r="382" spans="1:48" x14ac:dyDescent="0.3">
      <c r="A382" s="5">
        <v>51040899</v>
      </c>
      <c r="B382" s="5" t="str">
        <f>IFERROR(VLOOKUP(A382,VENTAS!$A$2:$B$1194,2,0),"")</f>
        <v>PRADES</v>
      </c>
      <c r="C382" s="5">
        <f>IFERROR(INDEX(VENTAS!$C$2:$E$1194,MATCH(A382,VENTAS!$A$2:$A$1194,0),MATCH(PARAMS_MODELO!$B$2,{"Q1","Q2","Q3"},0)),0)</f>
        <v>66571336.010000013</v>
      </c>
      <c r="D382" s="5">
        <f>IFERROR(INDEX(VENTAS!$F$2:$H$1194,MATCH(A382,VENTAS!$A$2:$A$1194,0),MATCH(PARAMS_MODELO!$B$2,{"Q1","Q2","Q3"},0)),0)</f>
        <v>91774385</v>
      </c>
      <c r="E382" s="8">
        <f t="shared" si="120"/>
        <v>0.37858709920158606</v>
      </c>
      <c r="F382" s="12">
        <f>IF(E382&lt;=PARAMS_MODELO!$B$15,0,IF(E382&gt;=PARAMS_MODELO!$B$17,100,100*MIN(1,(E382-PARAMS_MODELO!$B$15)/(PARAMS_MODELO!$B$16-PARAMS_MODELO!$B$15))))*PARAMS_MODELO!$B$7</f>
        <v>35</v>
      </c>
      <c r="G382" s="5">
        <f t="shared" si="121"/>
        <v>25203048.989999987</v>
      </c>
      <c r="H382" s="5">
        <f>(PARAMS_MODELO!$B$20*(MAX(0,MIN(3,E382))/3)+PARAMS_MODELO!$B$21*(IFERROR(LN(1+MAX(0,G382))/LN(1+MAX(0,MAX($G$2:$G$1194))),0)))*100*PARAMS_MODELO!$B$8</f>
        <v>5.3200490471202873</v>
      </c>
      <c r="I382" s="8">
        <f>E382-PARAMS_MODELO!$B$5</f>
        <v>0.20102426382605953</v>
      </c>
      <c r="J382" s="5">
        <f>IF(I382&lt;=PARAMS_MODELO!$B$18,0,IF(I382&gt;=PARAMS_MODELO!$B$19,100,100*(I382-PARAMS_MODELO!$B$18)/(PARAMS_MODELO!$B$19-PARAMS_MODELO!$B$18)))*PARAMS_MODELO!$B$9</f>
        <v>15</v>
      </c>
      <c r="K382" s="5">
        <f>IFERROR(CHOOSE(MATCH(PARAMS_MODELO!$B$2,{"Q1","Q2","Q3"},0),LOTO!$D382,LOTO!$F382,LOTO!$H382),0)</f>
        <v>4505000</v>
      </c>
      <c r="L382" s="8">
        <f t="shared" si="122"/>
        <v>4.9087771059430144E-2</v>
      </c>
      <c r="M382" s="5">
        <f>MIN(100,IF(PARAMS_MODELO!$B$23=0,0,100*L382/PARAMS_MODELO!$B$23))*PARAMS_MODELO!$B$10</f>
        <v>14.726331317829041</v>
      </c>
      <c r="N382" s="5">
        <f>IFERROR(VLOOKUP(A382,COMPLIANCE!$A$2:$F$1996,6,0),100)</f>
        <v>100</v>
      </c>
      <c r="O382" s="5">
        <f>N382*PARAMS_MODELO!$B$11</f>
        <v>10</v>
      </c>
      <c r="P382" s="5">
        <f>IFERROR(VLOOKUP(A382,DIGITAL!$A$2:$J$2000,7,0),100)</f>
        <v>86</v>
      </c>
      <c r="Q382" s="5">
        <f>IFERROR(P382,0)*PARAMS_MODELO!$B$12</f>
        <v>8.6</v>
      </c>
      <c r="R382">
        <f t="shared" si="123"/>
        <v>88.646380364949323</v>
      </c>
      <c r="S382" s="5" t="str">
        <f>IFERROR(VLOOKUP(A382,CLIENTE!$A$2:$N$2000,13,0),1)</f>
        <v>Regular</v>
      </c>
      <c r="T382" s="5">
        <f>IFERROR(VLOOKUP(A382,CLIENTE!$A$2:$N$2000,14,0),1)</f>
        <v>1</v>
      </c>
      <c r="U382" s="5">
        <f t="shared" si="124"/>
        <v>88.646380364949323</v>
      </c>
      <c r="V382" s="5" t="str">
        <f>IF(U382&gt;=MAX(_xlfn.PERCENTILE.INC($U$2:$U$1194,PARAMS_MODELO!$B$50),PARAMS_MODELO!$B$45),"DIAMANTE",IF(U382&gt;=MAX(_xlfn.PERCENTILE.INC($U$2:$U$1194,PARAMS_MODELO!$B$51),PARAMS_MODELO!$B$46),"PLATINO",IF(U382&gt;=MAX(_xlfn.PERCENTILE.INC($U$2:$U$1194,PARAMS_MODELO!$B$52),PARAMS_MODELO!$B$47),"ORO",IF(U382&gt;=MAX(_xlfn.PERCENTILE.INC($U$2:$U$1194,PARAMS_MODELO!$B$53),PARAMS_MODELO!$B$48),"PLATA",IF(U382&gt;=1,"BRONCE","CERRADO")))))</f>
        <v>PLATINO</v>
      </c>
      <c r="W382" s="5" t="str" cm="1">
        <f t="array" ref="W382">_xlfn.XLOOKUP(1, (HIST_SCORE!$B:$B=PARAMS_MODELO!$B$4) * (HIST_SCORE!$C:$C=A382), HIST_SCORE!$E:$E, "No encontrado")</f>
        <v>PLATINO</v>
      </c>
      <c r="X382" s="5" t="str">
        <f>_xlfn.LET(_xlpm.act,MATCH(V382,{"DIAMANTE";"PLATINO";"ORO";"PLATA";"BRONCE";"CERRADO"},0),_xlpm.ant,MATCH(W382,{"DIAMANTE";"PLATINO";"ORO";"PLATA";"BRONCE";"CERRADO"},0),IF(_xlpm.act&lt;_xlpm.ant,"Mejora ↑",IF(_xlpm.act&gt;_xlpm.ant,"Baja ↓","Estable →")))</f>
        <v>Estable →</v>
      </c>
      <c r="Y382" s="5">
        <f>IFERROR(U382-SUMIFS(HIST_SCORE!$D:$D,HIST_SCORE!$B:$B,PARAMS_MODELO!$B$4,HIST_SCORE!$C:$C,$A382),"")</f>
        <v>-4.8055501480111076</v>
      </c>
      <c r="Z382" s="5" t="str">
        <f t="shared" si="125"/>
        <v>→ Estable</v>
      </c>
      <c r="AA382" s="5">
        <f t="shared" si="126"/>
        <v>179</v>
      </c>
      <c r="AB382" s="5">
        <f>IFERROR(SUMIFS(HIST_SCORE!$F:$F,HIST_SCORE!$B:$B,PARAMS_MODELO!$B$4,HIST_SCORE!$C:$C,$A382),"")</f>
        <v>79</v>
      </c>
      <c r="AC382" s="5">
        <f t="shared" si="127"/>
        <v>-100</v>
      </c>
      <c r="AD382" t="str">
        <f t="shared" si="129"/>
        <v/>
      </c>
      <c r="AE3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382="CERRADO",1,IF(V382="BRONCE",_xlpm.cPl,IF(V382="PLATA",_xlpm.cO,IF(V382="ORO",_xlpm.cP,IF(V382="PLATINO",_xlpm.cD,999))))))</f>
        <v>96.054919694466676</v>
      </c>
      <c r="AF3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382="CERRADO",0,IF(V382="BRONCE",1,IF(V382="PLATA",_xlpm.cPl,IF(V382="ORO",_xlpm.cO,IF(V382="PLATINO",_xlpm.cP,_xlpm.cD))))))</f>
        <v>86.439123873763251</v>
      </c>
      <c r="AG382">
        <f t="shared" si="130"/>
        <v>7.4085393295173532</v>
      </c>
      <c r="AH382" t="str">
        <f t="shared" si="131"/>
        <v>VENTAS</v>
      </c>
      <c r="AI382" t="str">
        <f t="shared" si="128"/>
        <v>🎯 Para subir de categoría, eje VENTAS / IMPACTO ABSOLUTO (H). Acción: metas semanales + activación comercial + seguimiento del asesor. ΔR aprox: 7,4</v>
      </c>
      <c r="AJ382" s="26">
        <f>_xlfn.LET(_xlpm.piso,AF382,_xlpm.corte,AE382,_xlpm.prog,IF(_xlpm.corte&lt;=_xlpm.piso,0,MAX(0,MIN(1,(U382-_xlpm.piso)/(_xlpm.corte-_xlpm.piso)))),_xlpm.orden,{"DIAMANTE";"PLATINO";"ORO";"PLATA";"BRONCE";"CERRADO"},_xlpm.act,IFERROR(MATCH(V382,_xlpm.orden,0),6),_xlpm.ant,IFERROR(MATCH(W382,_xlpm.orden,0),6),_xlpm.ajmov,IF(_xlpm.act&lt;_xlpm.ant,0.08,IF(_xlpm.act&gt;_xlpm.ant,-0.08,0)),_xlpm.ajcli,IF(T382&lt;0.95,-0.06,0),_xlpm.prob,MAX(0,MIN(1,_xlpm.prog+_xlpm.ajmov+_xlpm.ajcli)),IF(OR(V382="DIAMANTE",V382="CERRADO"),0,ROUND(_xlpm.prob,2)))</f>
        <v>0.23</v>
      </c>
      <c r="AK382" t="str">
        <f t="shared" si="132"/>
        <v>Faltan 7,4 puntos base para subir a la siguiente categoría</v>
      </c>
      <c r="AL382" t="str">
        <f t="shared" si="133"/>
        <v>Margen de seguridad: 2,2 puntos</v>
      </c>
      <c r="AM382">
        <f t="shared" si="134"/>
        <v>0.6</v>
      </c>
      <c r="AN382" t="str">
        <f t="shared" si="135"/>
        <v>PRIORIDAD MEDIA – seguimiento del asesor</v>
      </c>
      <c r="AO382">
        <f t="shared" si="136"/>
        <v>9.5425202281752988</v>
      </c>
      <c r="AP382">
        <f t="shared" si="137"/>
        <v>0.27366868217095863</v>
      </c>
      <c r="AQ382">
        <f t="shared" si="138"/>
        <v>0</v>
      </c>
      <c r="AR382">
        <f t="shared" si="139"/>
        <v>1.4000000000000004</v>
      </c>
      <c r="AS382">
        <f t="shared" si="140"/>
        <v>0</v>
      </c>
      <c r="AT382" t="str">
        <f t="shared" si="141"/>
        <v>VENTAS</v>
      </c>
      <c r="AU382">
        <f t="shared" si="142"/>
        <v>9.5425202281752988</v>
      </c>
      <c r="AV382" t="str">
        <f t="shared" si="143"/>
        <v>Mayor retorno probable: VENTAS (+9,5 puntos finales potenciales).</v>
      </c>
    </row>
    <row r="383" spans="1:48" x14ac:dyDescent="0.3">
      <c r="A383" s="5">
        <v>51022149</v>
      </c>
      <c r="B383" s="5" t="str">
        <f>IFERROR(VLOOKUP(A383,VENTAS!$A$2:$B$1194,2,0),"")</f>
        <v>ROBERTS</v>
      </c>
      <c r="C383" s="5">
        <f>IFERROR(INDEX(VENTAS!$C$2:$E$1194,MATCH(A383,VENTAS!$A$2:$A$1194,0),MATCH(PARAMS_MODELO!$B$2,{"Q1","Q2","Q3"},0)),0)</f>
        <v>63348582.229999997</v>
      </c>
      <c r="D383" s="5">
        <f>IFERROR(INDEX(VENTAS!$F$2:$H$1194,MATCH(A383,VENTAS!$A$2:$A$1194,0),MATCH(PARAMS_MODELO!$B$2,{"Q1","Q2","Q3"},0)),0)</f>
        <v>91705831</v>
      </c>
      <c r="E383" s="8">
        <f t="shared" si="120"/>
        <v>0.44763825442917105</v>
      </c>
      <c r="F383" s="12">
        <f>IF(E383&lt;=PARAMS_MODELO!$B$15,0,IF(E383&gt;=PARAMS_MODELO!$B$17,100,100*MIN(1,(E383-PARAMS_MODELO!$B$15)/(PARAMS_MODELO!$B$16-PARAMS_MODELO!$B$15))))*PARAMS_MODELO!$B$7</f>
        <v>35</v>
      </c>
      <c r="G383" s="5">
        <f t="shared" si="121"/>
        <v>28357248.770000003</v>
      </c>
      <c r="H383" s="5">
        <f>(PARAMS_MODELO!$B$20*(MAX(0,MIN(3,E383))/3)+PARAMS_MODELO!$B$21*(IFERROR(LN(1+MAX(0,G383))/LN(1+MAX(0,MAX($G$2:$G$1194))),0)))*100*PARAMS_MODELO!$B$8</f>
        <v>5.5893696461540481</v>
      </c>
      <c r="I383" s="8">
        <f>E383-PARAMS_MODELO!$B$5</f>
        <v>0.27007541905364452</v>
      </c>
      <c r="J383" s="5">
        <f>IF(I383&lt;=PARAMS_MODELO!$B$18,0,IF(I383&gt;=PARAMS_MODELO!$B$19,100,100*(I383-PARAMS_MODELO!$B$18)/(PARAMS_MODELO!$B$19-PARAMS_MODELO!$B$18)))*PARAMS_MODELO!$B$9</f>
        <v>15</v>
      </c>
      <c r="K383" s="5">
        <f>IFERROR(CHOOSE(MATCH(PARAMS_MODELO!$B$2,{"Q1","Q2","Q3"},0),LOTO!$D383,LOTO!$F383,LOTO!$H383),0)</f>
        <v>4505000</v>
      </c>
      <c r="L383" s="8">
        <f t="shared" si="122"/>
        <v>4.9124466251224526E-2</v>
      </c>
      <c r="M383" s="5">
        <f>MIN(100,IF(PARAMS_MODELO!$B$23=0,0,100*L383/PARAMS_MODELO!$B$23))*PARAMS_MODELO!$B$10</f>
        <v>14.737339875367358</v>
      </c>
      <c r="N383" s="5">
        <f>IFERROR(VLOOKUP(A383,COMPLIANCE!$A$2:$F$1996,6,0),100)</f>
        <v>100</v>
      </c>
      <c r="O383" s="5">
        <f>N383*PARAMS_MODELO!$B$11</f>
        <v>10</v>
      </c>
      <c r="P383" s="5">
        <f>IFERROR(VLOOKUP(A383,DIGITAL!$A$2:$J$2000,7,0),100)</f>
        <v>0</v>
      </c>
      <c r="Q383" s="5">
        <f>IFERROR(P383,0)*PARAMS_MODELO!$B$12</f>
        <v>0</v>
      </c>
      <c r="R383">
        <f t="shared" si="123"/>
        <v>80.326709521521408</v>
      </c>
      <c r="S383" s="5" t="str">
        <f>IFERROR(VLOOKUP(A383,CLIENTE!$A$2:$N$2000,13,0),1)</f>
        <v>Malo</v>
      </c>
      <c r="T383" s="5">
        <f>IFERROR(VLOOKUP(A383,CLIENTE!$A$2:$N$2000,14,0),1)</f>
        <v>0.7</v>
      </c>
      <c r="U383" s="5">
        <f t="shared" si="124"/>
        <v>56.22869666506498</v>
      </c>
      <c r="V383" s="5" t="str">
        <f>IF(U383&gt;=MAX(_xlfn.PERCENTILE.INC($U$2:$U$1194,PARAMS_MODELO!$B$50),PARAMS_MODELO!$B$45),"DIAMANTE",IF(U383&gt;=MAX(_xlfn.PERCENTILE.INC($U$2:$U$1194,PARAMS_MODELO!$B$51),PARAMS_MODELO!$B$46),"PLATINO",IF(U383&gt;=MAX(_xlfn.PERCENTILE.INC($U$2:$U$1194,PARAMS_MODELO!$B$52),PARAMS_MODELO!$B$47),"ORO",IF(U383&gt;=MAX(_xlfn.PERCENTILE.INC($U$2:$U$1194,PARAMS_MODELO!$B$53),PARAMS_MODELO!$B$48),"PLATA",IF(U383&gt;=1,"BRONCE","CERRADO")))))</f>
        <v>PLATA</v>
      </c>
      <c r="W383" s="5" t="str" cm="1">
        <f t="array" ref="W383">_xlfn.XLOOKUP(1, (HIST_SCORE!$B:$B=PARAMS_MODELO!$B$4) * (HIST_SCORE!$C:$C=A383), HIST_SCORE!$E:$E, "No encontrado")</f>
        <v>PLATA</v>
      </c>
      <c r="X383" s="5" t="str">
        <f>_xlfn.LET(_xlpm.act,MATCH(V383,{"DIAMANTE";"PLATINO";"ORO";"PLATA";"BRONCE";"CERRADO"},0),_xlpm.ant,MATCH(W383,{"DIAMANTE";"PLATINO";"ORO";"PLATA";"BRONCE";"CERRADO"},0),IF(_xlpm.act&lt;_xlpm.ant,"Mejora ↑",IF(_xlpm.act&gt;_xlpm.ant,"Baja ↓","Estable →")))</f>
        <v>Estable →</v>
      </c>
      <c r="Y383" s="5">
        <f>IFERROR(U383-SUMIFS(HIST_SCORE!$D:$D,HIST_SCORE!$B:$B,PARAMS_MODELO!$B$4,HIST_SCORE!$C:$C,$A383),"")</f>
        <v>-0.82915468228967626</v>
      </c>
      <c r="Z383" s="5" t="str">
        <f t="shared" si="125"/>
        <v>→ Estable</v>
      </c>
      <c r="AA383" s="5">
        <f t="shared" si="126"/>
        <v>696</v>
      </c>
      <c r="AB383" s="5">
        <f>IFERROR(SUMIFS(HIST_SCORE!$F:$F,HIST_SCORE!$B:$B,PARAMS_MODELO!$B$4,HIST_SCORE!$C:$C,$A383),"")</f>
        <v>713</v>
      </c>
      <c r="AC383" s="5">
        <f t="shared" si="127"/>
        <v>17</v>
      </c>
      <c r="AD383" t="str">
        <f t="shared" si="129"/>
        <v/>
      </c>
      <c r="AE3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383="CERRADO",1,IF(V383="BRONCE",_xlpm.cPl,IF(V383="PLATA",_xlpm.cO,IF(V383="ORO",_xlpm.cP,IF(V383="PLATINO",_xlpm.cD,999))))))</f>
        <v>63.199193273331495</v>
      </c>
      <c r="AF3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383="CERRADO",0,IF(V383="BRONCE",1,IF(V383="PLATA",_xlpm.cPl,IF(V383="ORO",_xlpm.cO,IF(V383="PLATINO",_xlpm.cP,_xlpm.cD))))))</f>
        <v>24.506573482968111</v>
      </c>
      <c r="AG383">
        <f t="shared" si="130"/>
        <v>9.957852297523587</v>
      </c>
      <c r="AH383" t="str">
        <f t="shared" si="131"/>
        <v>CLIENTE</v>
      </c>
      <c r="AI383" t="str">
        <f t="shared" si="128"/>
        <v>🎯 Para subir de categoría, la eje con mayor impacto probable es CLIENTE (coef T). Acción: reducir quejas, mejorar incógnito y empujar reseñas. ΔR aprox: 10,0</v>
      </c>
      <c r="AJ383" s="26">
        <f>_xlfn.LET(_xlpm.piso,AF383,_xlpm.corte,AE383,_xlpm.prog,IF(_xlpm.corte&lt;=_xlpm.piso,0,MAX(0,MIN(1,(U383-_xlpm.piso)/(_xlpm.corte-_xlpm.piso)))),_xlpm.orden,{"DIAMANTE";"PLATINO";"ORO";"PLATA";"BRONCE";"CERRADO"},_xlpm.act,IFERROR(MATCH(V383,_xlpm.orden,0),6),_xlpm.ant,IFERROR(MATCH(W383,_xlpm.orden,0),6),_xlpm.ajmov,IF(_xlpm.act&lt;_xlpm.ant,0.08,IF(_xlpm.act&gt;_xlpm.ant,-0.08,0)),_xlpm.ajcli,IF(T383&lt;0.95,-0.06,0),_xlpm.prob,MAX(0,MIN(1,_xlpm.prog+_xlpm.ajmov+_xlpm.ajcli)),IF(OR(V383="DIAMANTE",V383="CERRADO"),0,ROUND(_xlpm.prob,2)))</f>
        <v>0.76</v>
      </c>
      <c r="AK383" t="str">
        <f t="shared" si="132"/>
        <v>Faltan 10,0 puntos base para subir a la siguiente categoría</v>
      </c>
      <c r="AL383" t="str">
        <f t="shared" si="133"/>
        <v>Margen de seguridad: 31,7 puntos</v>
      </c>
      <c r="AM383">
        <f t="shared" si="134"/>
        <v>0.69</v>
      </c>
      <c r="AN383" t="str">
        <f t="shared" si="135"/>
        <v>PRIORIDAD MEDIA – seguimiento del asesor</v>
      </c>
      <c r="AO383">
        <f t="shared" si="136"/>
        <v>6.4912397403990756</v>
      </c>
      <c r="AP383">
        <f t="shared" si="137"/>
        <v>0.18386208724284961</v>
      </c>
      <c r="AQ383">
        <f t="shared" si="138"/>
        <v>0</v>
      </c>
      <c r="AR383">
        <f t="shared" si="139"/>
        <v>7</v>
      </c>
      <c r="AS383">
        <f t="shared" si="140"/>
        <v>24.098012856456425</v>
      </c>
      <c r="AT383" t="str">
        <f t="shared" si="141"/>
        <v>CLIENTE</v>
      </c>
      <c r="AU383">
        <f t="shared" si="142"/>
        <v>24.098012856456425</v>
      </c>
      <c r="AV383" t="str">
        <f t="shared" si="143"/>
        <v>Mayor retorno probable: CLIENTE (+24,1 puntos finales potenciales).</v>
      </c>
    </row>
    <row r="384" spans="1:48" x14ac:dyDescent="0.3">
      <c r="A384" s="5">
        <v>51014189</v>
      </c>
      <c r="B384" s="5" t="str">
        <f>IFERROR(VLOOKUP(A384,VENTAS!$A$2:$B$1194,2,0),"")</f>
        <v>LÓPEZ</v>
      </c>
      <c r="C384" s="5">
        <f>IFERROR(INDEX(VENTAS!$C$2:$E$1194,MATCH(A384,VENTAS!$A$2:$A$1194,0),MATCH(PARAMS_MODELO!$B$2,{"Q1","Q2","Q3"},0)),0)</f>
        <v>57952014.840000004</v>
      </c>
      <c r="D384" s="5">
        <f>IFERROR(INDEX(VENTAS!$F$2:$H$1194,MATCH(A384,VENTAS!$A$2:$A$1194,0),MATCH(PARAMS_MODELO!$B$2,{"Q1","Q2","Q3"},0)),0)</f>
        <v>91461707</v>
      </c>
      <c r="E384" s="8">
        <f t="shared" si="120"/>
        <v>0.57823170173663629</v>
      </c>
      <c r="F384" s="12">
        <f>IF(E384&lt;=PARAMS_MODELO!$B$15,0,IF(E384&gt;=PARAMS_MODELO!$B$17,100,100*MIN(1,(E384-PARAMS_MODELO!$B$15)/(PARAMS_MODELO!$B$16-PARAMS_MODELO!$B$15))))*PARAMS_MODELO!$B$7</f>
        <v>35</v>
      </c>
      <c r="G384" s="5">
        <f t="shared" si="121"/>
        <v>33509692.159999996</v>
      </c>
      <c r="H384" s="5">
        <f>(PARAMS_MODELO!$B$20*(MAX(0,MIN(3,E384))/3)+PARAMS_MODELO!$B$21*(IFERROR(LN(1+MAX(0,G384))/LN(1+MAX(0,MAX($G$2:$G$1194))),0)))*100*PARAMS_MODELO!$B$8</f>
        <v>6.0855825968623343</v>
      </c>
      <c r="I384" s="8">
        <f>E384-PARAMS_MODELO!$B$5</f>
        <v>0.40066886636110977</v>
      </c>
      <c r="J384" s="5">
        <f>IF(I384&lt;=PARAMS_MODELO!$B$18,0,IF(I384&gt;=PARAMS_MODELO!$B$19,100,100*(I384-PARAMS_MODELO!$B$18)/(PARAMS_MODELO!$B$19-PARAMS_MODELO!$B$18)))*PARAMS_MODELO!$B$9</f>
        <v>15</v>
      </c>
      <c r="K384" s="5">
        <f>IFERROR(CHOOSE(MATCH(PARAMS_MODELO!$B$2,{"Q1","Q2","Q3"},0),LOTO!$D384,LOTO!$F384,LOTO!$H384),0)</f>
        <v>4490000</v>
      </c>
      <c r="L384" s="8">
        <f t="shared" si="122"/>
        <v>4.9091583213070798E-2</v>
      </c>
      <c r="M384" s="5">
        <f>MIN(100,IF(PARAMS_MODELO!$B$23=0,0,100*L384/PARAMS_MODELO!$B$23))*PARAMS_MODELO!$B$10</f>
        <v>14.727474963921239</v>
      </c>
      <c r="N384" s="5">
        <f>IFERROR(VLOOKUP(A384,COMPLIANCE!$A$2:$F$1996,6,0),100)</f>
        <v>100</v>
      </c>
      <c r="O384" s="5">
        <f>N384*PARAMS_MODELO!$B$11</f>
        <v>10</v>
      </c>
      <c r="P384" s="5">
        <f>IFERROR(VLOOKUP(A384,DIGITAL!$A$2:$J$2000,7,0),100)</f>
        <v>28</v>
      </c>
      <c r="Q384" s="5">
        <f>IFERROR(P384,0)*PARAMS_MODELO!$B$12</f>
        <v>2.8000000000000003</v>
      </c>
      <c r="R384">
        <f t="shared" si="123"/>
        <v>83.613057560783574</v>
      </c>
      <c r="S384" s="5" t="str">
        <f>IFERROR(VLOOKUP(A384,CLIENTE!$A$2:$N$2000,13,0),1)</f>
        <v>Regular</v>
      </c>
      <c r="T384" s="5">
        <f>IFERROR(VLOOKUP(A384,CLIENTE!$A$2:$N$2000,14,0),1)</f>
        <v>1</v>
      </c>
      <c r="U384" s="5">
        <f t="shared" si="124"/>
        <v>83.613057560783574</v>
      </c>
      <c r="V384" s="5" t="str">
        <f>IF(U384&gt;=MAX(_xlfn.PERCENTILE.INC($U$2:$U$1194,PARAMS_MODELO!$B$50),PARAMS_MODELO!$B$45),"DIAMANTE",IF(U384&gt;=MAX(_xlfn.PERCENTILE.INC($U$2:$U$1194,PARAMS_MODELO!$B$51),PARAMS_MODELO!$B$46),"PLATINO",IF(U384&gt;=MAX(_xlfn.PERCENTILE.INC($U$2:$U$1194,PARAMS_MODELO!$B$52),PARAMS_MODELO!$B$47),"ORO",IF(U384&gt;=MAX(_xlfn.PERCENTILE.INC($U$2:$U$1194,PARAMS_MODELO!$B$53),PARAMS_MODELO!$B$48),"PLATA",IF(U384&gt;=1,"BRONCE","CERRADO")))))</f>
        <v>ORO</v>
      </c>
      <c r="W384" s="5" t="str" cm="1">
        <f t="array" ref="W384">_xlfn.XLOOKUP(1, (HIST_SCORE!$B:$B=PARAMS_MODELO!$B$4) * (HIST_SCORE!$C:$C=A384), HIST_SCORE!$E:$E, "No encontrado")</f>
        <v>ORO</v>
      </c>
      <c r="X384" s="5" t="str">
        <f>_xlfn.LET(_xlpm.act,MATCH(V384,{"DIAMANTE";"PLATINO";"ORO";"PLATA";"BRONCE";"CERRADO"},0),_xlpm.ant,MATCH(W384,{"DIAMANTE";"PLATINO";"ORO";"PLATA";"BRONCE";"CERRADO"},0),IF(_xlpm.act&lt;_xlpm.ant,"Mejora ↑",IF(_xlpm.act&gt;_xlpm.ant,"Baja ↓","Estable →")))</f>
        <v>Estable →</v>
      </c>
      <c r="Y384" s="5">
        <f>IFERROR(U384-SUMIFS(HIST_SCORE!$D:$D,HIST_SCORE!$B:$B,PARAMS_MODELO!$B$4,HIST_SCORE!$C:$C,$A384),"")</f>
        <v>-1.1202843501497881</v>
      </c>
      <c r="Z384" s="5" t="str">
        <f t="shared" si="125"/>
        <v>→ Estable</v>
      </c>
      <c r="AA384" s="5">
        <f t="shared" si="126"/>
        <v>331</v>
      </c>
      <c r="AB384" s="5">
        <f>IFERROR(SUMIFS(HIST_SCORE!$F:$F,HIST_SCORE!$B:$B,PARAMS_MODELO!$B$4,HIST_SCORE!$C:$C,$A384),"")</f>
        <v>270</v>
      </c>
      <c r="AC384" s="5">
        <f t="shared" si="127"/>
        <v>-61</v>
      </c>
      <c r="AD384" t="str">
        <f t="shared" si="129"/>
        <v>Sostener base y reforzar mix</v>
      </c>
      <c r="AE3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384="CERRADO",1,IF(V384="BRONCE",_xlpm.cPl,IF(V384="PLATA",_xlpm.cO,IF(V384="ORO",_xlpm.cP,IF(V384="PLATINO",_xlpm.cD,999))))))</f>
        <v>86.439123873763251</v>
      </c>
      <c r="AF3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384="CERRADO",0,IF(V384="BRONCE",1,IF(V384="PLATA",_xlpm.cPl,IF(V384="ORO",_xlpm.cO,IF(V384="PLATINO",_xlpm.cP,_xlpm.cD))))))</f>
        <v>63.199193273331495</v>
      </c>
      <c r="AG384">
        <f t="shared" si="130"/>
        <v>2.8260663129796768</v>
      </c>
      <c r="AH384" t="str">
        <f t="shared" si="131"/>
        <v>VENTAS</v>
      </c>
      <c r="AI384" t="str">
        <f t="shared" si="128"/>
        <v>🎯 Para subir de categoría, eje VENTAS / IMPACTO ABSOLUTO (H). Acción: metas semanales + activación comercial + seguimiento del asesor. ΔR aprox: 2,8</v>
      </c>
      <c r="AJ384" s="26">
        <f>_xlfn.LET(_xlpm.piso,AF384,_xlpm.corte,AE384,_xlpm.prog,IF(_xlpm.corte&lt;=_xlpm.piso,0,MAX(0,MIN(1,(U384-_xlpm.piso)/(_xlpm.corte-_xlpm.piso)))),_xlpm.orden,{"DIAMANTE";"PLATINO";"ORO";"PLATA";"BRONCE";"CERRADO"},_xlpm.act,IFERROR(MATCH(V384,_xlpm.orden,0),6),_xlpm.ant,IFERROR(MATCH(W384,_xlpm.orden,0),6),_xlpm.ajmov,IF(_xlpm.act&lt;_xlpm.ant,0.08,IF(_xlpm.act&gt;_xlpm.ant,-0.08,0)),_xlpm.ajcli,IF(T384&lt;0.95,-0.06,0),_xlpm.prob,MAX(0,MIN(1,_xlpm.prog+_xlpm.ajmov+_xlpm.ajcli)),IF(OR(V384="DIAMANTE",V384="CERRADO"),0,ROUND(_xlpm.prob,2)))</f>
        <v>0.88</v>
      </c>
      <c r="AK384" t="str">
        <f t="shared" si="132"/>
        <v>Faltan 2,8 puntos base para subir a la siguiente categoría</v>
      </c>
      <c r="AL384" t="str">
        <f t="shared" si="133"/>
        <v>Margen de seguridad: 20,4 puntos</v>
      </c>
      <c r="AM384">
        <f t="shared" si="134"/>
        <v>0.16</v>
      </c>
      <c r="AN384" t="str">
        <f t="shared" si="135"/>
        <v>PRIORIDAD BAJA – control normal</v>
      </c>
      <c r="AO384">
        <f t="shared" si="136"/>
        <v>8.7769866784332464</v>
      </c>
      <c r="AP384">
        <f t="shared" si="137"/>
        <v>0.27252503607876122</v>
      </c>
      <c r="AQ384">
        <f t="shared" si="138"/>
        <v>0</v>
      </c>
      <c r="AR384">
        <f t="shared" si="139"/>
        <v>7.1999999999999993</v>
      </c>
      <c r="AS384">
        <f t="shared" si="140"/>
        <v>0</v>
      </c>
      <c r="AT384" t="str">
        <f t="shared" si="141"/>
        <v>VENTAS</v>
      </c>
      <c r="AU384">
        <f t="shared" si="142"/>
        <v>8.7769866784332464</v>
      </c>
      <c r="AV384" t="str">
        <f t="shared" si="143"/>
        <v>Mayor retorno probable: VENTAS (+8,8 puntos finales potenciales).</v>
      </c>
    </row>
    <row r="385" spans="1:48" x14ac:dyDescent="0.3">
      <c r="A385" s="5">
        <v>51011538</v>
      </c>
      <c r="B385" s="5" t="str">
        <f>IFERROR(VLOOKUP(A385,VENTAS!$A$2:$B$1194,2,0),"")</f>
        <v>CICHETTO</v>
      </c>
      <c r="C385" s="5">
        <f>IFERROR(INDEX(VENTAS!$C$2:$E$1194,MATCH(A385,VENTAS!$A$2:$A$1194,0),MATCH(PARAMS_MODELO!$B$2,{"Q1","Q2","Q3"},0)),0)</f>
        <v>89078973.049999997</v>
      </c>
      <c r="D385" s="5">
        <f>IFERROR(INDEX(VENTAS!$F$2:$H$1194,MATCH(A385,VENTAS!$A$2:$A$1194,0),MATCH(PARAMS_MODELO!$B$2,{"Q1","Q2","Q3"},0)),0)</f>
        <v>91403345</v>
      </c>
      <c r="E385" s="8">
        <f t="shared" si="120"/>
        <v>2.6093385121260138E-2</v>
      </c>
      <c r="F385" s="12">
        <f>IF(E385&lt;=PARAMS_MODELO!$B$15,0,IF(E385&gt;=PARAMS_MODELO!$B$17,100,100*MIN(1,(E385-PARAMS_MODELO!$B$15)/(PARAMS_MODELO!$B$16-PARAMS_MODELO!$B$15))))*PARAMS_MODELO!$B$7</f>
        <v>9.1326847924410473</v>
      </c>
      <c r="G385" s="5">
        <f t="shared" si="121"/>
        <v>2324371.950000003</v>
      </c>
      <c r="H385" s="5">
        <f>(PARAMS_MODELO!$B$20*(MAX(0,MIN(3,E385))/3)+PARAMS_MODELO!$B$21*(IFERROR(LN(1+MAX(0,G385))/LN(1+MAX(0,MAX($G$2:$G$1194))),0)))*100*PARAMS_MODELO!$B$8</f>
        <v>3.5275919231703177</v>
      </c>
      <c r="I385" s="8">
        <f>E385-PARAMS_MODELO!$B$5</f>
        <v>-0.15146945025426639</v>
      </c>
      <c r="J385" s="5">
        <f>IF(I385&lt;=PARAMS_MODELO!$B$18,0,IF(I385&gt;=PARAMS_MODELO!$B$19,100,100*(I385-PARAMS_MODELO!$B$18)/(PARAMS_MODELO!$B$19-PARAMS_MODELO!$B$18)))*PARAMS_MODELO!$B$9</f>
        <v>0</v>
      </c>
      <c r="K385" s="5">
        <f>IFERROR(CHOOSE(MATCH(PARAMS_MODELO!$B$2,{"Q1","Q2","Q3"},0),LOTO!$D385,LOTO!$F385,LOTO!$H385),0)</f>
        <v>4470000</v>
      </c>
      <c r="L385" s="8">
        <f t="shared" si="122"/>
        <v>4.8904118333962507E-2</v>
      </c>
      <c r="M385" s="5">
        <f>MIN(100,IF(PARAMS_MODELO!$B$23=0,0,100*L385/PARAMS_MODELO!$B$23))*PARAMS_MODELO!$B$10</f>
        <v>14.671235500188752</v>
      </c>
      <c r="N385" s="5">
        <f>IFERROR(VLOOKUP(A385,COMPLIANCE!$A$2:$F$1996,6,0),100)</f>
        <v>100</v>
      </c>
      <c r="O385" s="5">
        <f>N385*PARAMS_MODELO!$B$11</f>
        <v>10</v>
      </c>
      <c r="P385" s="5">
        <f>IFERROR(VLOOKUP(A385,DIGITAL!$A$2:$J$2000,7,0),100)</f>
        <v>56</v>
      </c>
      <c r="Q385" s="5">
        <f>IFERROR(P385,0)*PARAMS_MODELO!$B$12</f>
        <v>5.6000000000000005</v>
      </c>
      <c r="R385">
        <f t="shared" si="123"/>
        <v>42.931512215800119</v>
      </c>
      <c r="S385" s="5" t="str">
        <f>IFERROR(VLOOKUP(A385,CLIENTE!$A$2:$N$2000,13,0),1)</f>
        <v>Malo</v>
      </c>
      <c r="T385" s="5">
        <f>IFERROR(VLOOKUP(A385,CLIENTE!$A$2:$N$2000,14,0),1)</f>
        <v>0.7</v>
      </c>
      <c r="U385" s="5">
        <f t="shared" si="124"/>
        <v>30.052058551060082</v>
      </c>
      <c r="V385" s="5" t="str">
        <f>IF(U385&gt;=MAX(_xlfn.PERCENTILE.INC($U$2:$U$1194,PARAMS_MODELO!$B$50),PARAMS_MODELO!$B$45),"DIAMANTE",IF(U385&gt;=MAX(_xlfn.PERCENTILE.INC($U$2:$U$1194,PARAMS_MODELO!$B$51),PARAMS_MODELO!$B$46),"PLATINO",IF(U385&gt;=MAX(_xlfn.PERCENTILE.INC($U$2:$U$1194,PARAMS_MODELO!$B$52),PARAMS_MODELO!$B$47),"ORO",IF(U385&gt;=MAX(_xlfn.PERCENTILE.INC($U$2:$U$1194,PARAMS_MODELO!$B$53),PARAMS_MODELO!$B$48),"PLATA",IF(U385&gt;=1,"BRONCE","CERRADO")))))</f>
        <v>PLATA</v>
      </c>
      <c r="W385" s="5" t="str" cm="1">
        <f t="array" ref="W385">_xlfn.XLOOKUP(1, (HIST_SCORE!$B:$B=PARAMS_MODELO!$B$4) * (HIST_SCORE!$C:$C=A385), HIST_SCORE!$E:$E, "No encontrado")</f>
        <v>PLATA</v>
      </c>
      <c r="X385" s="5" t="str">
        <f>_xlfn.LET(_xlpm.act,MATCH(V385,{"DIAMANTE";"PLATINO";"ORO";"PLATA";"BRONCE";"CERRADO"},0),_xlpm.ant,MATCH(W385,{"DIAMANTE";"PLATINO";"ORO";"PLATA";"BRONCE";"CERRADO"},0),IF(_xlpm.act&lt;_xlpm.ant,"Mejora ↑",IF(_xlpm.act&gt;_xlpm.ant,"Baja ↓","Estable →")))</f>
        <v>Estable →</v>
      </c>
      <c r="Y385" s="5">
        <f>IFERROR(U385-SUMIFS(HIST_SCORE!$D:$D,HIST_SCORE!$B:$B,PARAMS_MODELO!$B$4,HIST_SCORE!$C:$C,$A385),"")</f>
        <v>-12.091026375403711</v>
      </c>
      <c r="Z385" s="5" t="str">
        <f t="shared" si="125"/>
        <v>↓ Baja</v>
      </c>
      <c r="AA385" s="5">
        <f t="shared" si="126"/>
        <v>866</v>
      </c>
      <c r="AB385" s="5">
        <f>IFERROR(SUMIFS(HIST_SCORE!$F:$F,HIST_SCORE!$B:$B,PARAMS_MODELO!$B$4,HIST_SCORE!$C:$C,$A385),"")</f>
        <v>837</v>
      </c>
      <c r="AC385" s="5">
        <f t="shared" si="127"/>
        <v>-29</v>
      </c>
      <c r="AD385" t="str">
        <f t="shared" si="129"/>
        <v/>
      </c>
      <c r="AE3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385="CERRADO",1,IF(V385="BRONCE",_xlpm.cPl,IF(V385="PLATA",_xlpm.cO,IF(V385="ORO",_xlpm.cP,IF(V385="PLATINO",_xlpm.cD,999))))))</f>
        <v>63.199193273331495</v>
      </c>
      <c r="AF3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385="CERRADO",0,IF(V385="BRONCE",1,IF(V385="PLATA",_xlpm.cPl,IF(V385="ORO",_xlpm.cO,IF(V385="PLATINO",_xlpm.cP,_xlpm.cD))))))</f>
        <v>24.506573482968111</v>
      </c>
      <c r="AG385">
        <f t="shared" si="130"/>
        <v>47.353049603244877</v>
      </c>
      <c r="AH385" t="str">
        <f t="shared" si="131"/>
        <v>VENTAS</v>
      </c>
      <c r="AI385" t="str">
        <f t="shared" si="128"/>
        <v>🎯 Para subir de categoría, eje VENTAS / DIFERENCIAL vs LOTBA (J). Acción: metas semanales + activación comercial + seguimiento del asesor. ΔR aprox: 47,4</v>
      </c>
      <c r="AJ385" s="26">
        <f>_xlfn.LET(_xlpm.piso,AF385,_xlpm.corte,AE385,_xlpm.prog,IF(_xlpm.corte&lt;=_xlpm.piso,0,MAX(0,MIN(1,(U385-_xlpm.piso)/(_xlpm.corte-_xlpm.piso)))),_xlpm.orden,{"DIAMANTE";"PLATINO";"ORO";"PLATA";"BRONCE";"CERRADO"},_xlpm.act,IFERROR(MATCH(V385,_xlpm.orden,0),6),_xlpm.ant,IFERROR(MATCH(W385,_xlpm.orden,0),6),_xlpm.ajmov,IF(_xlpm.act&lt;_xlpm.ant,0.08,IF(_xlpm.act&gt;_xlpm.ant,-0.08,0)),_xlpm.ajcli,IF(T385&lt;0.95,-0.06,0),_xlpm.prob,MAX(0,MIN(1,_xlpm.prog+_xlpm.ajmov+_xlpm.ajcli)),IF(OR(V385="DIAMANTE",V385="CERRADO"),0,ROUND(_xlpm.prob,2)))</f>
        <v>0.08</v>
      </c>
      <c r="AK385" t="str">
        <f t="shared" si="132"/>
        <v>Faltan 47,4 puntos base para subir a la siguiente categoría</v>
      </c>
      <c r="AL385" t="str">
        <f t="shared" si="133"/>
        <v>Margen de seguridad: 5,5 puntos</v>
      </c>
      <c r="AM385">
        <f t="shared" si="134"/>
        <v>0.97</v>
      </c>
      <c r="AN385" t="str">
        <f t="shared" si="135"/>
        <v>PRIORIDAD ALTA – requiere intervención inmediata</v>
      </c>
      <c r="AO385">
        <f t="shared" si="136"/>
        <v>36.541604791778951</v>
      </c>
      <c r="AP385">
        <f t="shared" si="137"/>
        <v>0.23013514986787359</v>
      </c>
      <c r="AQ385">
        <f t="shared" si="138"/>
        <v>0</v>
      </c>
      <c r="AR385">
        <f t="shared" si="139"/>
        <v>3.0799999999999996</v>
      </c>
      <c r="AS385">
        <f t="shared" si="140"/>
        <v>12.879453664740037</v>
      </c>
      <c r="AT385" t="str">
        <f t="shared" si="141"/>
        <v>VENTAS</v>
      </c>
      <c r="AU385">
        <f t="shared" si="142"/>
        <v>36.541604791778951</v>
      </c>
      <c r="AV385" t="str">
        <f t="shared" si="143"/>
        <v>Mayor retorno probable: VENTAS (+36,5 puntos finales potenciales).</v>
      </c>
    </row>
    <row r="386" spans="1:48" x14ac:dyDescent="0.3">
      <c r="A386" s="5">
        <v>51011686</v>
      </c>
      <c r="B386" s="5" t="str">
        <f>IFERROR(VLOOKUP(A386,VENTAS!$A$2:$B$1194,2,0),"")</f>
        <v>LÓPEZ</v>
      </c>
      <c r="C386" s="5">
        <f>IFERROR(INDEX(VENTAS!$C$2:$E$1194,MATCH(A386,VENTAS!$A$2:$A$1194,0),MATCH(PARAMS_MODELO!$B$2,{"Q1","Q2","Q3"},0)),0)</f>
        <v>64282267.219999999</v>
      </c>
      <c r="D386" s="5">
        <f>IFERROR(INDEX(VENTAS!$F$2:$H$1194,MATCH(A386,VENTAS!$A$2:$A$1194,0),MATCH(PARAMS_MODELO!$B$2,{"Q1","Q2","Q3"},0)),0)</f>
        <v>91111005</v>
      </c>
      <c r="E386" s="8">
        <f t="shared" ref="E386:E449" si="144">IFERROR(D386/C386-1,0)</f>
        <v>0.41735830020091202</v>
      </c>
      <c r="F386" s="12">
        <f>IF(E386&lt;=PARAMS_MODELO!$B$15,0,IF(E386&gt;=PARAMS_MODELO!$B$17,100,100*MIN(1,(E386-PARAMS_MODELO!$B$15)/(PARAMS_MODELO!$B$16-PARAMS_MODELO!$B$15))))*PARAMS_MODELO!$B$7</f>
        <v>35</v>
      </c>
      <c r="G386" s="5">
        <f t="shared" ref="G386:G449" si="145">MAX(0,D386-C386)</f>
        <v>26828737.780000001</v>
      </c>
      <c r="H386" s="5">
        <f>(PARAMS_MODELO!$B$20*(MAX(0,MIN(3,E386))/3)+PARAMS_MODELO!$B$21*(IFERROR(LN(1+MAX(0,G386))/LN(1+MAX(0,MAX($G$2:$G$1194))),0)))*100*PARAMS_MODELO!$B$8</f>
        <v>5.4704011477859167</v>
      </c>
      <c r="I386" s="8">
        <f>E386-PARAMS_MODELO!$B$5</f>
        <v>0.2397954648253855</v>
      </c>
      <c r="J386" s="5">
        <f>IF(I386&lt;=PARAMS_MODELO!$B$18,0,IF(I386&gt;=PARAMS_MODELO!$B$19,100,100*(I386-PARAMS_MODELO!$B$18)/(PARAMS_MODELO!$B$19-PARAMS_MODELO!$B$18)))*PARAMS_MODELO!$B$9</f>
        <v>15</v>
      </c>
      <c r="K386" s="5">
        <f>IFERROR(CHOOSE(MATCH(PARAMS_MODELO!$B$2,{"Q1","Q2","Q3"},0),LOTO!$D386,LOTO!$F386,LOTO!$H386),0)</f>
        <v>4467500</v>
      </c>
      <c r="L386" s="8">
        <f t="shared" ref="L386:L449" si="146">IFERROR(K386/D386,0)</f>
        <v>4.9033593691563383E-2</v>
      </c>
      <c r="M386" s="5">
        <f>MIN(100,IF(PARAMS_MODELO!$B$23=0,0,100*L386/PARAMS_MODELO!$B$23))*PARAMS_MODELO!$B$10</f>
        <v>14.710078107469014</v>
      </c>
      <c r="N386" s="5">
        <f>IFERROR(VLOOKUP(A386,COMPLIANCE!$A$2:$F$1996,6,0),100)</f>
        <v>100</v>
      </c>
      <c r="O386" s="5">
        <f>N386*PARAMS_MODELO!$B$11</f>
        <v>10</v>
      </c>
      <c r="P386" s="5">
        <f>IFERROR(VLOOKUP(A386,DIGITAL!$A$2:$J$2000,7,0),100)</f>
        <v>59</v>
      </c>
      <c r="Q386" s="5">
        <f>IFERROR(P386,0)*PARAMS_MODELO!$B$12</f>
        <v>5.9</v>
      </c>
      <c r="R386">
        <f t="shared" ref="R386:R449" si="147">MIN(100,MAX(0,F386+H386+J386+M386+O386+Q386))</f>
        <v>86.080479255254929</v>
      </c>
      <c r="S386" s="5" t="str">
        <f>IFERROR(VLOOKUP(A386,CLIENTE!$A$2:$N$2000,13,0),1)</f>
        <v>Regular</v>
      </c>
      <c r="T386" s="5">
        <f>IFERROR(VLOOKUP(A386,CLIENTE!$A$2:$N$2000,14,0),1)</f>
        <v>1</v>
      </c>
      <c r="U386" s="5">
        <f t="shared" ref="U386:U449" si="148">MIN(100,MAX(0,R386*T386))</f>
        <v>86.080479255254929</v>
      </c>
      <c r="V386" s="5" t="str">
        <f>IF(U386&gt;=MAX(_xlfn.PERCENTILE.INC($U$2:$U$1194,PARAMS_MODELO!$B$50),PARAMS_MODELO!$B$45),"DIAMANTE",IF(U386&gt;=MAX(_xlfn.PERCENTILE.INC($U$2:$U$1194,PARAMS_MODELO!$B$51),PARAMS_MODELO!$B$46),"PLATINO",IF(U386&gt;=MAX(_xlfn.PERCENTILE.INC($U$2:$U$1194,PARAMS_MODELO!$B$52),PARAMS_MODELO!$B$47),"ORO",IF(U386&gt;=MAX(_xlfn.PERCENTILE.INC($U$2:$U$1194,PARAMS_MODELO!$B$53),PARAMS_MODELO!$B$48),"PLATA",IF(U386&gt;=1,"BRONCE","CERRADO")))))</f>
        <v>ORO</v>
      </c>
      <c r="W386" s="5" t="str" cm="1">
        <f t="array" ref="W386">_xlfn.XLOOKUP(1, (HIST_SCORE!$B:$B=PARAMS_MODELO!$B$4) * (HIST_SCORE!$C:$C=A386), HIST_SCORE!$E:$E, "No encontrado")</f>
        <v>PLATINO</v>
      </c>
      <c r="X386" s="5" t="str">
        <f>_xlfn.LET(_xlpm.act,MATCH(V386,{"DIAMANTE";"PLATINO";"ORO";"PLATA";"BRONCE";"CERRADO"},0),_xlpm.ant,MATCH(W386,{"DIAMANTE";"PLATINO";"ORO";"PLATA";"BRONCE";"CERRADO"},0),IF(_xlpm.act&lt;_xlpm.ant,"Mejora ↑",IF(_xlpm.act&gt;_xlpm.ant,"Baja ↓","Estable →")))</f>
        <v>Baja ↓</v>
      </c>
      <c r="Y386" s="5">
        <f>IFERROR(U386-SUMIFS(HIST_SCORE!$D:$D,HIST_SCORE!$B:$B,PARAMS_MODELO!$B$4,HIST_SCORE!$C:$C,$A386),"")</f>
        <v>-3.2629985993352761E-2</v>
      </c>
      <c r="Z386" s="5" t="str">
        <f t="shared" ref="Z386:Z449" si="149">IF(Y386="","",IF(Y386&gt;=5,"↑ Mejora",IF(Y386&lt;=-5,"↓ Baja","→ Estable")))</f>
        <v>→ Estable</v>
      </c>
      <c r="AA386" s="5">
        <f t="shared" ref="AA386:AA449" si="150">IFERROR(_xlfn.RANK.EQ(U386,$U$2:$U$1194,0),"")</f>
        <v>248</v>
      </c>
      <c r="AB386" s="5">
        <f>IFERROR(SUMIFS(HIST_SCORE!$F:$F,HIST_SCORE!$B:$B,PARAMS_MODELO!$B$4,HIST_SCORE!$C:$C,$A386),"")</f>
        <v>235</v>
      </c>
      <c r="AC386" s="5">
        <f t="shared" ref="AC386:AC449" si="151">IF(OR(AA386="",AB386=""),"",AB386-AA386)</f>
        <v>-13</v>
      </c>
      <c r="AD386" t="str">
        <f t="shared" si="129"/>
        <v>Sostener base y reforzar mix</v>
      </c>
      <c r="AE3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386="CERRADO",1,IF(V386="BRONCE",_xlpm.cPl,IF(V386="PLATA",_xlpm.cO,IF(V386="ORO",_xlpm.cP,IF(V386="PLATINO",_xlpm.cD,999))))))</f>
        <v>86.439123873763251</v>
      </c>
      <c r="AF3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386="CERRADO",0,IF(V386="BRONCE",1,IF(V386="PLATA",_xlpm.cPl,IF(V386="ORO",_xlpm.cO,IF(V386="PLATINO",_xlpm.cP,_xlpm.cD))))))</f>
        <v>63.199193273331495</v>
      </c>
      <c r="AG386">
        <f t="shared" si="130"/>
        <v>0.35864461850832186</v>
      </c>
      <c r="AH386" t="str">
        <f t="shared" si="131"/>
        <v>VENTAS</v>
      </c>
      <c r="AI386" t="str">
        <f t="shared" ref="AI386:AI449" si="152">_xlfn.LET(_xlpm.pal,AH386,_xlpm.deltaR,AG386,_xlpm.minVent,MIN(F386,H386,J386),_xlpm.subV,IF(_xlpm.minVent=F386,"CRECIMIENTO PERSONAL (F)",IF(_xlpm.minVent=H386,"IMPACTO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IMPACTO ABSOLUTO (H). Acción: metas semanales + activación comercial + seguimiento del asesor. ΔR aprox: 0,4</v>
      </c>
      <c r="AJ386" s="26">
        <f>_xlfn.LET(_xlpm.piso,AF386,_xlpm.corte,AE386,_xlpm.prog,IF(_xlpm.corte&lt;=_xlpm.piso,0,MAX(0,MIN(1,(U386-_xlpm.piso)/(_xlpm.corte-_xlpm.piso)))),_xlpm.orden,{"DIAMANTE";"PLATINO";"ORO";"PLATA";"BRONCE";"CERRADO"},_xlpm.act,IFERROR(MATCH(V386,_xlpm.orden,0),6),_xlpm.ant,IFERROR(MATCH(W386,_xlpm.orden,0),6),_xlpm.ajmov,IF(_xlpm.act&lt;_xlpm.ant,0.08,IF(_xlpm.act&gt;_xlpm.ant,-0.08,0)),_xlpm.ajcli,IF(T386&lt;0.95,-0.06,0),_xlpm.prob,MAX(0,MIN(1,_xlpm.prog+_xlpm.ajmov+_xlpm.ajcli)),IF(OR(V386="DIAMANTE",V386="CERRADO"),0,ROUND(_xlpm.prob,2)))</f>
        <v>0.9</v>
      </c>
      <c r="AK386" t="str">
        <f t="shared" si="132"/>
        <v>Faltan 0,4 puntos base para subir a la siguiente categoría</v>
      </c>
      <c r="AL386" t="str">
        <f t="shared" si="133"/>
        <v>Margen de seguridad: 22,9 puntos</v>
      </c>
      <c r="AM386">
        <f t="shared" si="134"/>
        <v>0.05</v>
      </c>
      <c r="AN386" t="str">
        <f t="shared" si="135"/>
        <v>PRIORIDAD BAJA – control normal</v>
      </c>
      <c r="AO386">
        <f t="shared" si="136"/>
        <v>9.3921681275096702</v>
      </c>
      <c r="AP386">
        <f t="shared" si="137"/>
        <v>0.28992189253098566</v>
      </c>
      <c r="AQ386">
        <f t="shared" si="138"/>
        <v>0</v>
      </c>
      <c r="AR386">
        <f t="shared" si="139"/>
        <v>4.0999999999999996</v>
      </c>
      <c r="AS386">
        <f t="shared" si="140"/>
        <v>0</v>
      </c>
      <c r="AT386" t="str">
        <f t="shared" si="141"/>
        <v>VENTAS</v>
      </c>
      <c r="AU386">
        <f t="shared" si="142"/>
        <v>9.3921681275096702</v>
      </c>
      <c r="AV386" t="str">
        <f t="shared" si="143"/>
        <v>Mayor retorno probable: VENTAS (+9,4 puntos finales potenciales).</v>
      </c>
    </row>
    <row r="387" spans="1:48" x14ac:dyDescent="0.3">
      <c r="A387" s="5">
        <v>51055896</v>
      </c>
      <c r="B387" s="5" t="str">
        <f>IFERROR(VLOOKUP(A387,VENTAS!$A$2:$B$1194,2,0),"")</f>
        <v>LÓPEZ</v>
      </c>
      <c r="C387" s="5">
        <f>IFERROR(INDEX(VENTAS!$C$2:$E$1194,MATCH(A387,VENTAS!$A$2:$A$1194,0),MATCH(PARAMS_MODELO!$B$2,{"Q1","Q2","Q3"},0)),0)</f>
        <v>70752914.140000001</v>
      </c>
      <c r="D387" s="5">
        <f>IFERROR(INDEX(VENTAS!$F$2:$H$1194,MATCH(A387,VENTAS!$A$2:$A$1194,0),MATCH(PARAMS_MODELO!$B$2,{"Q1","Q2","Q3"},0)),0)</f>
        <v>91110898</v>
      </c>
      <c r="E387" s="8">
        <f t="shared" si="144"/>
        <v>0.28773350338216885</v>
      </c>
      <c r="F387" s="12">
        <f>IF(E387&lt;=PARAMS_MODELO!$B$15,0,IF(E387&gt;=PARAMS_MODELO!$B$17,100,100*MIN(1,(E387-PARAMS_MODELO!$B$15)/(PARAMS_MODELO!$B$16-PARAMS_MODELO!$B$15))))*PARAMS_MODELO!$B$7</f>
        <v>35</v>
      </c>
      <c r="G387" s="5">
        <f t="shared" si="145"/>
        <v>20357983.859999999</v>
      </c>
      <c r="H387" s="5">
        <f>(PARAMS_MODELO!$B$20*(MAX(0,MIN(3,E387))/3)+PARAMS_MODELO!$B$21*(IFERROR(LN(1+MAX(0,G387))/LN(1+MAX(0,MAX($G$2:$G$1194))),0)))*100*PARAMS_MODELO!$B$8</f>
        <v>4.9520160016506862</v>
      </c>
      <c r="I387" s="8">
        <f>E387-PARAMS_MODELO!$B$5</f>
        <v>0.11017066800664232</v>
      </c>
      <c r="J387" s="5">
        <f>IF(I387&lt;=PARAMS_MODELO!$B$18,0,IF(I387&gt;=PARAMS_MODELO!$B$19,100,100*(I387-PARAMS_MODELO!$B$18)/(PARAMS_MODELO!$B$19-PARAMS_MODELO!$B$18)))*PARAMS_MODELO!$B$9</f>
        <v>15</v>
      </c>
      <c r="K387" s="5">
        <f>IFERROR(CHOOSE(MATCH(PARAMS_MODELO!$B$2,{"Q1","Q2","Q3"},0),LOTO!$D387,LOTO!$F387,LOTO!$H387),0)</f>
        <v>4467500</v>
      </c>
      <c r="L387" s="8">
        <f t="shared" si="146"/>
        <v>4.9033651276272135E-2</v>
      </c>
      <c r="M387" s="5">
        <f>MIN(100,IF(PARAMS_MODELO!$B$23=0,0,100*L387/PARAMS_MODELO!$B$23))*PARAMS_MODELO!$B$10</f>
        <v>14.710095382881638</v>
      </c>
      <c r="N387" s="5">
        <f>IFERROR(VLOOKUP(A387,COMPLIANCE!$A$2:$F$1996,6,0),100)</f>
        <v>99.8</v>
      </c>
      <c r="O387" s="5">
        <f>N387*PARAMS_MODELO!$B$11</f>
        <v>9.98</v>
      </c>
      <c r="P387" s="5">
        <f>IFERROR(VLOOKUP(A387,DIGITAL!$A$2:$J$2000,7,0),100)</f>
        <v>68</v>
      </c>
      <c r="Q387" s="5">
        <f>IFERROR(P387,0)*PARAMS_MODELO!$B$12</f>
        <v>6.8000000000000007</v>
      </c>
      <c r="R387">
        <f t="shared" si="147"/>
        <v>86.442111384532325</v>
      </c>
      <c r="S387" s="5" t="str">
        <f>IFERROR(VLOOKUP(A387,CLIENTE!$A$2:$N$2000,13,0),1)</f>
        <v>Regular</v>
      </c>
      <c r="T387" s="5">
        <f>IFERROR(VLOOKUP(A387,CLIENTE!$A$2:$N$2000,14,0),1)</f>
        <v>1</v>
      </c>
      <c r="U387" s="5">
        <f t="shared" si="148"/>
        <v>86.442111384532325</v>
      </c>
      <c r="V387" s="5" t="str">
        <f>IF(U387&gt;=MAX(_xlfn.PERCENTILE.INC($U$2:$U$1194,PARAMS_MODELO!$B$50),PARAMS_MODELO!$B$45),"DIAMANTE",IF(U387&gt;=MAX(_xlfn.PERCENTILE.INC($U$2:$U$1194,PARAMS_MODELO!$B$51),PARAMS_MODELO!$B$46),"PLATINO",IF(U387&gt;=MAX(_xlfn.PERCENTILE.INC($U$2:$U$1194,PARAMS_MODELO!$B$52),PARAMS_MODELO!$B$47),"ORO",IF(U387&gt;=MAX(_xlfn.PERCENTILE.INC($U$2:$U$1194,PARAMS_MODELO!$B$53),PARAMS_MODELO!$B$48),"PLATA",IF(U387&gt;=1,"BRONCE","CERRADO")))))</f>
        <v>PLATINO</v>
      </c>
      <c r="W387" s="5" t="str" cm="1">
        <f t="array" ref="W387">_xlfn.XLOOKUP(1, (HIST_SCORE!$B:$B=PARAMS_MODELO!$B$4) * (HIST_SCORE!$C:$C=A387), HIST_SCORE!$E:$E, "No encontrado")</f>
        <v>PLATA</v>
      </c>
      <c r="X387" s="5" t="str">
        <f>_xlfn.LET(_xlpm.act,MATCH(V387,{"DIAMANTE";"PLATINO";"ORO";"PLATA";"BRONCE";"CERRADO"},0),_xlpm.ant,MATCH(W387,{"DIAMANTE";"PLATINO";"ORO";"PLATA";"BRONCE";"CERRADO"},0),IF(_xlpm.act&lt;_xlpm.ant,"Mejora ↑",IF(_xlpm.act&gt;_xlpm.ant,"Baja ↓","Estable →")))</f>
        <v>Mejora ↑</v>
      </c>
      <c r="Y387" s="5">
        <f>IFERROR(U387-SUMIFS(HIST_SCORE!$D:$D,HIST_SCORE!$B:$B,PARAMS_MODELO!$B$4,HIST_SCORE!$C:$C,$A387),"")</f>
        <v>57.185461859316135</v>
      </c>
      <c r="Z387" s="5" t="str">
        <f t="shared" si="149"/>
        <v>↑ Mejora</v>
      </c>
      <c r="AA387" s="5">
        <f t="shared" si="150"/>
        <v>239</v>
      </c>
      <c r="AB387" s="5">
        <f>IFERROR(SUMIFS(HIST_SCORE!$F:$F,HIST_SCORE!$B:$B,PARAMS_MODELO!$B$4,HIST_SCORE!$C:$C,$A387),"")</f>
        <v>915</v>
      </c>
      <c r="AC387" s="5">
        <f t="shared" si="151"/>
        <v>676</v>
      </c>
      <c r="AD387" t="str">
        <f t="shared" ref="AD387:AD450" si="153">IF(V387="CERRADO","Agencia sin actividad o cerrada",IF(AND(V387="BRONCE",Y387=""),"Primer corte: cargá histórico para medir movilidad",IF(AND(V387="BRONCE",Y387&lt;0),"Plan de recuperación: foco crecimiento + mix",IF(AND(V387="ORO",Y387&lt;0),"Sostener base y reforzar mix",""))))</f>
        <v/>
      </c>
      <c r="AE3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387="CERRADO",1,IF(V387="BRONCE",_xlpm.cPl,IF(V387="PLATA",_xlpm.cO,IF(V387="ORO",_xlpm.cP,IF(V387="PLATINO",_xlpm.cD,999))))))</f>
        <v>96.054919694466676</v>
      </c>
      <c r="AF3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387="CERRADO",0,IF(V387="BRONCE",1,IF(V387="PLATA",_xlpm.cPl,IF(V387="ORO",_xlpm.cO,IF(V387="PLATINO",_xlpm.cP,_xlpm.cD))))))</f>
        <v>86.439123873763251</v>
      </c>
      <c r="AG387">
        <f t="shared" ref="AG387:AG450" si="154">_xlfn.LET(_xlpm.corteU,AE387,_xlpm.coef,MAX(0.01,T387),_xlpm.reqR,_xlpm.corteU/_xlpm.coef,MAX(0,_xlpm.reqR-R387))</f>
        <v>9.6128083099343513</v>
      </c>
      <c r="AH387" t="str">
        <f t="shared" ref="AH387:AH450" si="155">_xlfn.LET(_xlpm.deltaR,AG387,_xlpm.ventas,F387+H387+J387,_xlpm.hv,(MAX($F$2:$F$1194)+MAX($H$2:$H$1194)+MAX($J$2:$J$1194))-_xlpm.ventas,_xlpm.hl,MAX($M$2:$M$1194)-M387,_xlpm.hc,MAX($O$2:$O$1194)-O387,_xlpm.hd,MAX($Q$2:$Q$1194)-Q387,_xlpm.impV,MIN(_xlpm.deltaR,MAX(0,_xlpm.hv)),_xlpm.impL,MIN(_xlpm.deltaR,MAX(0,_xlpm.hl)),_xlpm.impC,MIN(_xlpm.deltaR,MAX(0,_xlpm.hc)),_xlpm.impD,MIN(_xlpm.deltaR,MAX(0,_xlpm.hd)),_xlpm.t,T387,_xlpm.tObj,1,_xlpm.impCli,IF(_xlpm.t&lt;0.95,MIN(_xlpm.deltaR,R387*(_xlpm.tObj/_xlpm.t-1)),0),_xlpm.mx,MAX(_xlpm.impV,_xlpm.impL,_xlpm.impC,_xlpm.impD,_xlpm.impCli),IF(V387="DIAMANTE","SOSTENER",IF(V387="CERRADO","CERRADO",IF(_xlpm.mx=_xlpm.impCli,"CLIENTE",IF(_xlpm.mx=_xlpm.impV,"VENTAS",IF(_xlpm.mx=_xlpm.impL,"LOTO",IF(_xlpm.mx=_xlpm.impC,"COMPLIANCE","DIGITAL")))))))</f>
        <v>VENTAS</v>
      </c>
      <c r="AI387" t="str">
        <f t="shared" si="152"/>
        <v>🎯 Para subir de categoría, eje VENTAS / IMPACTO ABSOLUTO (H). Acción: metas semanales + activación comercial + seguimiento del asesor. ΔR aprox: 9,6</v>
      </c>
      <c r="AJ387" s="26">
        <f>_xlfn.LET(_xlpm.piso,AF387,_xlpm.corte,AE387,_xlpm.prog,IF(_xlpm.corte&lt;=_xlpm.piso,0,MAX(0,MIN(1,(U387-_xlpm.piso)/(_xlpm.corte-_xlpm.piso)))),_xlpm.orden,{"DIAMANTE";"PLATINO";"ORO";"PLATA";"BRONCE";"CERRADO"},_xlpm.act,IFERROR(MATCH(V387,_xlpm.orden,0),6),_xlpm.ant,IFERROR(MATCH(W387,_xlpm.orden,0),6),_xlpm.ajmov,IF(_xlpm.act&lt;_xlpm.ant,0.08,IF(_xlpm.act&gt;_xlpm.ant,-0.08,0)),_xlpm.ajcli,IF(T387&lt;0.95,-0.06,0),_xlpm.prob,MAX(0,MIN(1,_xlpm.prog+_xlpm.ajmov+_xlpm.ajcli)),IF(OR(V387="DIAMANTE",V387="CERRADO"),0,ROUND(_xlpm.prob,2)))</f>
        <v>0.08</v>
      </c>
      <c r="AK387" t="str">
        <f t="shared" ref="AK387:AK450" si="156">IF(OR(V387="DIAMANTE",V387="CERRADO"),"No aplica","Faltan " &amp; TEXT(AG387,"0,0") &amp; " puntos base para subir a la siguiente categoría")</f>
        <v>Faltan 9,6 puntos base para subir a la siguiente categoría</v>
      </c>
      <c r="AL387" t="str">
        <f t="shared" ref="AL387:AL450" si="157">_xlfn.LET(_xlpm.piso,AF387,_xlpm.dist,U387-_xlpm.piso,IF(OR(V387="BRONCE",V387="CERRADO"),"No aplica",IF(_xlpm.dist&lt;=0,"⚠ Riesgo de descenso","Margen de seguridad: " &amp; TEXT(_xlpm.dist,"0,0") &amp; " puntos")))</f>
        <v>Margen de seguridad: 0,0 puntos</v>
      </c>
      <c r="AM387">
        <f t="shared" ref="AM387:AM450" si="158">_xlfn.LET(_xlpm.prob,AJ387,_xlpm.dist,AG387,_xlpm.coef,T387,_xlpm.prior,(1-_xlpm.prob)*0.4+MIN(1,_xlpm.dist/10)*0.4+IF(_xlpm.coef&lt;0.95,0.2,0),ROUND(_xlpm.prior,2))</f>
        <v>0.75</v>
      </c>
      <c r="AN387" t="str">
        <f t="shared" ref="AN387:AN450" si="159">IF(AM387&gt;=0.7,"PRIORIDAD ALTA – requiere intervención inmediata",IF(AM387&gt;=0.4,"PRIORIDAD MEDIA – seguimiento del asesor","PRIORIDAD BAJA – control normal"))</f>
        <v>PRIORIDAD ALTA – requiere intervención inmediata</v>
      </c>
      <c r="AO387">
        <f t="shared" ref="AO387:AO450" si="160">MAX(0,((MAX($F$2:$F$1194)+MAX($H$2:$H$1194)+MAX($J$2:$J$1194))-(F387+H387+J387))*T387)</f>
        <v>9.9105532736449007</v>
      </c>
      <c r="AP387">
        <f t="shared" ref="AP387:AP450" si="161">MAX(0,(MAX($M$2:$M$1194)-M387)*T387)</f>
        <v>0.28990461711836168</v>
      </c>
      <c r="AQ387">
        <f t="shared" ref="AQ387:AQ450" si="162">MAX(0,(MAX($O$2:$O$1194)-O387)*T387)</f>
        <v>1.9999999999999574E-2</v>
      </c>
      <c r="AR387">
        <f t="shared" ref="AR387:AR450" si="163">MAX(0,(MAX($Q$2:$Q$1194)-Q387)*T387)</f>
        <v>3.1999999999999993</v>
      </c>
      <c r="AS387">
        <f t="shared" ref="AS387:AS450" si="164">MAX(0,R387*(1-T387))</f>
        <v>0</v>
      </c>
      <c r="AT387" t="str">
        <f t="shared" ref="AT387:AT450" si="165">_xlfn.LET(_xlpm.v,AO387,_xlpm.l,AP387,_xlpm.c,AQ387,_xlpm.d,AR387,_xlpm.cli,AS387,_xlpm.mx,MAX(_xlpm.v,_xlpm.l,_xlpm.c,_xlpm.d,_xlpm.cli),IF(_xlpm.mx=_xlpm.cli,"CLIENTE",IF(_xlpm.mx=_xlpm.v,"VENTAS",IF(_xlpm.mx=_xlpm.l,"LOTO",IF(_xlpm.mx=_xlpm.c,"COMPLIANCE","DIGITAL")))))</f>
        <v>VENTAS</v>
      </c>
      <c r="AU387">
        <f t="shared" ref="AU387:AU450" si="166">MAX(AO387,AP387,AQ387,AR387,AS387)</f>
        <v>9.9105532736449007</v>
      </c>
      <c r="AV387" t="str">
        <f t="shared" ref="AV387:AV450" si="167">IF(V387="CERRADO","⛔ Sin impacto comercial estimable por estado CERRADO.","Mayor retorno probable: " &amp; AT387 &amp; " (+" &amp; TEXT(AU387,"0,0") &amp; " puntos finales potenciales).")</f>
        <v>Mayor retorno probable: VENTAS (+9,9 puntos finales potenciales).</v>
      </c>
    </row>
    <row r="388" spans="1:48" x14ac:dyDescent="0.3">
      <c r="A388" s="5">
        <v>51054962</v>
      </c>
      <c r="B388" s="5" t="str">
        <f>IFERROR(VLOOKUP(A388,VENTAS!$A$2:$B$1194,2,0),"")</f>
        <v>CICHETTO</v>
      </c>
      <c r="C388" s="5">
        <f>IFERROR(INDEX(VENTAS!$C$2:$E$1194,MATCH(A388,VENTAS!$A$2:$A$1194,0),MATCH(PARAMS_MODELO!$B$2,{"Q1","Q2","Q3"},0)),0)</f>
        <v>98844546.049999997</v>
      </c>
      <c r="D388" s="5">
        <f>IFERROR(INDEX(VENTAS!$F$2:$H$1194,MATCH(A388,VENTAS!$A$2:$A$1194,0),MATCH(PARAMS_MODELO!$B$2,{"Q1","Q2","Q3"},0)),0)</f>
        <v>91034765</v>
      </c>
      <c r="E388" s="8">
        <f t="shared" si="144"/>
        <v>-7.9010743253850935E-2</v>
      </c>
      <c r="F388" s="12">
        <f>IF(E388&lt;=PARAMS_MODELO!$B$15,0,IF(E388&gt;=PARAMS_MODELO!$B$17,100,100*MIN(1,(E388-PARAMS_MODELO!$B$15)/(PARAMS_MODELO!$B$16-PARAMS_MODELO!$B$15))))*PARAMS_MODELO!$B$7</f>
        <v>0</v>
      </c>
      <c r="G388" s="5">
        <f t="shared" si="145"/>
        <v>0</v>
      </c>
      <c r="H388" s="5">
        <f>(PARAMS_MODELO!$B$20*(MAX(0,MIN(3,E388))/3)+PARAMS_MODELO!$B$21*(IFERROR(LN(1+MAX(0,G388))/LN(1+MAX(0,MAX($G$2:$G$1194))),0)))*100*PARAMS_MODELO!$B$8</f>
        <v>0</v>
      </c>
      <c r="I388" s="8">
        <f>E388-PARAMS_MODELO!$B$5</f>
        <v>-0.25657357862937746</v>
      </c>
      <c r="J388" s="5">
        <f>IF(I388&lt;=PARAMS_MODELO!$B$18,0,IF(I388&gt;=PARAMS_MODELO!$B$19,100,100*(I388-PARAMS_MODELO!$B$18)/(PARAMS_MODELO!$B$19-PARAMS_MODELO!$B$18)))*PARAMS_MODELO!$B$9</f>
        <v>0</v>
      </c>
      <c r="K388" s="5">
        <f>IFERROR(CHOOSE(MATCH(PARAMS_MODELO!$B$2,{"Q1","Q2","Q3"},0),LOTO!$D388,LOTO!$F388,LOTO!$H388),0)</f>
        <v>4457500</v>
      </c>
      <c r="L388" s="8">
        <f t="shared" si="146"/>
        <v>4.8964810311752878E-2</v>
      </c>
      <c r="M388" s="5">
        <f>MIN(100,IF(PARAMS_MODELO!$B$23=0,0,100*L388/PARAMS_MODELO!$B$23))*PARAMS_MODELO!$B$10</f>
        <v>14.689443093525863</v>
      </c>
      <c r="N388" s="5">
        <f>IFERROR(VLOOKUP(A388,COMPLIANCE!$A$2:$F$1996,6,0),100)</f>
        <v>100</v>
      </c>
      <c r="O388" s="5">
        <f>N388*PARAMS_MODELO!$B$11</f>
        <v>10</v>
      </c>
      <c r="P388" s="5">
        <f>IFERROR(VLOOKUP(A388,DIGITAL!$A$2:$J$2000,7,0),100)</f>
        <v>70</v>
      </c>
      <c r="Q388" s="5">
        <f>IFERROR(P388,0)*PARAMS_MODELO!$B$12</f>
        <v>7</v>
      </c>
      <c r="R388">
        <f t="shared" si="147"/>
        <v>31.689443093525863</v>
      </c>
      <c r="S388" s="5" t="str">
        <f>IFERROR(VLOOKUP(A388,CLIENTE!$A$2:$N$2000,13,0),1)</f>
        <v>Regular</v>
      </c>
      <c r="T388" s="5">
        <f>IFERROR(VLOOKUP(A388,CLIENTE!$A$2:$N$2000,14,0),1)</f>
        <v>1</v>
      </c>
      <c r="U388" s="5">
        <f t="shared" si="148"/>
        <v>31.689443093525863</v>
      </c>
      <c r="V388" s="5" t="str">
        <f>IF(U388&gt;=MAX(_xlfn.PERCENTILE.INC($U$2:$U$1194,PARAMS_MODELO!$B$50),PARAMS_MODELO!$B$45),"DIAMANTE",IF(U388&gt;=MAX(_xlfn.PERCENTILE.INC($U$2:$U$1194,PARAMS_MODELO!$B$51),PARAMS_MODELO!$B$46),"PLATINO",IF(U388&gt;=MAX(_xlfn.PERCENTILE.INC($U$2:$U$1194,PARAMS_MODELO!$B$52),PARAMS_MODELO!$B$47),"ORO",IF(U388&gt;=MAX(_xlfn.PERCENTILE.INC($U$2:$U$1194,PARAMS_MODELO!$B$53),PARAMS_MODELO!$B$48),"PLATA",IF(U388&gt;=1,"BRONCE","CERRADO")))))</f>
        <v>PLATA</v>
      </c>
      <c r="W388" s="5" t="str" cm="1">
        <f t="array" ref="W388">_xlfn.XLOOKUP(1, (HIST_SCORE!$B:$B=PARAMS_MODELO!$B$4) * (HIST_SCORE!$C:$C=A388), HIST_SCORE!$E:$E, "No encontrado")</f>
        <v>PLATA</v>
      </c>
      <c r="X388" s="5" t="str">
        <f>_xlfn.LET(_xlpm.act,MATCH(V388,{"DIAMANTE";"PLATINO";"ORO";"PLATA";"BRONCE";"CERRADO"},0),_xlpm.ant,MATCH(W388,{"DIAMANTE";"PLATINO";"ORO";"PLATA";"BRONCE";"CERRADO"},0),IF(_xlpm.act&lt;_xlpm.ant,"Mejora ↑",IF(_xlpm.act&gt;_xlpm.ant,"Baja ↓","Estable →")))</f>
        <v>Estable →</v>
      </c>
      <c r="Y388" s="5">
        <f>IFERROR(U388-SUMIFS(HIST_SCORE!$D:$D,HIST_SCORE!$B:$B,PARAMS_MODELO!$B$4,HIST_SCORE!$C:$C,$A388),"")</f>
        <v>-18.289417412985888</v>
      </c>
      <c r="Z388" s="5" t="str">
        <f t="shared" si="149"/>
        <v>↓ Baja</v>
      </c>
      <c r="AA388" s="5">
        <f t="shared" si="150"/>
        <v>839</v>
      </c>
      <c r="AB388" s="5">
        <f>IFERROR(SUMIFS(HIST_SCORE!$F:$F,HIST_SCORE!$B:$B,PARAMS_MODELO!$B$4,HIST_SCORE!$C:$C,$A388),"")</f>
        <v>771</v>
      </c>
      <c r="AC388" s="5">
        <f t="shared" si="151"/>
        <v>-68</v>
      </c>
      <c r="AD388" t="str">
        <f t="shared" si="153"/>
        <v/>
      </c>
      <c r="AE3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388="CERRADO",1,IF(V388="BRONCE",_xlpm.cPl,IF(V388="PLATA",_xlpm.cO,IF(V388="ORO",_xlpm.cP,IF(V388="PLATINO",_xlpm.cD,999))))))</f>
        <v>63.199193273331495</v>
      </c>
      <c r="AF3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388="CERRADO",0,IF(V388="BRONCE",1,IF(V388="PLATA",_xlpm.cPl,IF(V388="ORO",_xlpm.cO,IF(V388="PLATINO",_xlpm.cP,_xlpm.cD))))))</f>
        <v>24.506573482968111</v>
      </c>
      <c r="AG388">
        <f t="shared" si="154"/>
        <v>31.509750179805632</v>
      </c>
      <c r="AH388" t="str">
        <f t="shared" si="155"/>
        <v>VENTAS</v>
      </c>
      <c r="AI388" t="str">
        <f t="shared" si="152"/>
        <v>🎯 Para subir de categoría, eje VENTAS / CRECIMIENTO PERSONAL (F). Acción: metas semanales + activación comercial + seguimiento del asesor. ΔR aprox: 31,5</v>
      </c>
      <c r="AJ388" s="26">
        <f>_xlfn.LET(_xlpm.piso,AF388,_xlpm.corte,AE388,_xlpm.prog,IF(_xlpm.corte&lt;=_xlpm.piso,0,MAX(0,MIN(1,(U388-_xlpm.piso)/(_xlpm.corte-_xlpm.piso)))),_xlpm.orden,{"DIAMANTE";"PLATINO";"ORO";"PLATA";"BRONCE";"CERRADO"},_xlpm.act,IFERROR(MATCH(V388,_xlpm.orden,0),6),_xlpm.ant,IFERROR(MATCH(W388,_xlpm.orden,0),6),_xlpm.ajmov,IF(_xlpm.act&lt;_xlpm.ant,0.08,IF(_xlpm.act&gt;_xlpm.ant,-0.08,0)),_xlpm.ajcli,IF(T388&lt;0.95,-0.06,0),_xlpm.prob,MAX(0,MIN(1,_xlpm.prog+_xlpm.ajmov+_xlpm.ajcli)),IF(OR(V388="DIAMANTE",V388="CERRADO"),0,ROUND(_xlpm.prob,2)))</f>
        <v>0.19</v>
      </c>
      <c r="AK388" t="str">
        <f t="shared" si="156"/>
        <v>Faltan 31,5 puntos base para subir a la siguiente categoría</v>
      </c>
      <c r="AL388" t="str">
        <f t="shared" si="157"/>
        <v>Margen de seguridad: 7,2 puntos</v>
      </c>
      <c r="AM388">
        <f t="shared" si="158"/>
        <v>0.72</v>
      </c>
      <c r="AN388" t="str">
        <f t="shared" si="159"/>
        <v>PRIORIDAD ALTA – requiere intervención inmediata</v>
      </c>
      <c r="AO388">
        <f t="shared" si="160"/>
        <v>64.862569275295584</v>
      </c>
      <c r="AP388">
        <f t="shared" si="161"/>
        <v>0.3105569064741367</v>
      </c>
      <c r="AQ388">
        <f t="shared" si="162"/>
        <v>0</v>
      </c>
      <c r="AR388">
        <f t="shared" si="163"/>
        <v>3</v>
      </c>
      <c r="AS388">
        <f t="shared" si="164"/>
        <v>0</v>
      </c>
      <c r="AT388" t="str">
        <f t="shared" si="165"/>
        <v>VENTAS</v>
      </c>
      <c r="AU388">
        <f t="shared" si="166"/>
        <v>64.862569275295584</v>
      </c>
      <c r="AV388" t="str">
        <f t="shared" si="167"/>
        <v>Mayor retorno probable: VENTAS (+64,9 puntos finales potenciales).</v>
      </c>
    </row>
    <row r="389" spans="1:48" x14ac:dyDescent="0.3">
      <c r="A389" s="5">
        <v>51021584</v>
      </c>
      <c r="B389" s="5" t="str">
        <f>IFERROR(VLOOKUP(A389,VENTAS!$A$2:$B$1194,2,0),"")</f>
        <v>CICHETTO</v>
      </c>
      <c r="C389" s="5">
        <f>IFERROR(INDEX(VENTAS!$C$2:$E$1194,MATCH(A389,VENTAS!$A$2:$A$1194,0),MATCH(PARAMS_MODELO!$B$2,{"Q1","Q2","Q3"},0)),0)</f>
        <v>70559445.50999999</v>
      </c>
      <c r="D389" s="5">
        <f>IFERROR(INDEX(VENTAS!$F$2:$H$1194,MATCH(A389,VENTAS!$A$2:$A$1194,0),MATCH(PARAMS_MODELO!$B$2,{"Q1","Q2","Q3"},0)),0)</f>
        <v>91034533</v>
      </c>
      <c r="E389" s="8">
        <f t="shared" si="144"/>
        <v>0.29018209173849296</v>
      </c>
      <c r="F389" s="12">
        <f>IF(E389&lt;=PARAMS_MODELO!$B$15,0,IF(E389&gt;=PARAMS_MODELO!$B$17,100,100*MIN(1,(E389-PARAMS_MODELO!$B$15)/(PARAMS_MODELO!$B$16-PARAMS_MODELO!$B$15))))*PARAMS_MODELO!$B$7</f>
        <v>35</v>
      </c>
      <c r="G389" s="5">
        <f t="shared" si="145"/>
        <v>20475087.49000001</v>
      </c>
      <c r="H389" s="5">
        <f>(PARAMS_MODELO!$B$20*(MAX(0,MIN(3,E389))/3)+PARAMS_MODELO!$B$21*(IFERROR(LN(1+MAX(0,G389))/LN(1+MAX(0,MAX($G$2:$G$1194))),0)))*100*PARAMS_MODELO!$B$8</f>
        <v>4.9619305984858881</v>
      </c>
      <c r="I389" s="8">
        <f>E389-PARAMS_MODELO!$B$5</f>
        <v>0.11261925636296644</v>
      </c>
      <c r="J389" s="5">
        <f>IF(I389&lt;=PARAMS_MODELO!$B$18,0,IF(I389&gt;=PARAMS_MODELO!$B$19,100,100*(I389-PARAMS_MODELO!$B$18)/(PARAMS_MODELO!$B$19-PARAMS_MODELO!$B$18)))*PARAMS_MODELO!$B$9</f>
        <v>15</v>
      </c>
      <c r="K389" s="5">
        <f>IFERROR(CHOOSE(MATCH(PARAMS_MODELO!$B$2,{"Q1","Q2","Q3"},0),LOTO!$D389,LOTO!$F389,LOTO!$H389),0)</f>
        <v>4447500</v>
      </c>
      <c r="L389" s="8">
        <f t="shared" si="146"/>
        <v>4.8855086673537391E-2</v>
      </c>
      <c r="M389" s="5">
        <f>MIN(100,IF(PARAMS_MODELO!$B$23=0,0,100*L389/PARAMS_MODELO!$B$23))*PARAMS_MODELO!$B$10</f>
        <v>14.656526002061215</v>
      </c>
      <c r="N389" s="5">
        <f>IFERROR(VLOOKUP(A389,COMPLIANCE!$A$2:$F$1996,6,0),100)</f>
        <v>100</v>
      </c>
      <c r="O389" s="5">
        <f>N389*PARAMS_MODELO!$B$11</f>
        <v>10</v>
      </c>
      <c r="P389" s="5">
        <f>IFERROR(VLOOKUP(A389,DIGITAL!$A$2:$J$2000,7,0),100)</f>
        <v>48</v>
      </c>
      <c r="Q389" s="5">
        <f>IFERROR(P389,0)*PARAMS_MODELO!$B$12</f>
        <v>4.8000000000000007</v>
      </c>
      <c r="R389">
        <f t="shared" si="147"/>
        <v>84.418456600547103</v>
      </c>
      <c r="S389" s="5" t="str">
        <f>IFERROR(VLOOKUP(A389,CLIENTE!$A$2:$N$2000,13,0),1)</f>
        <v>Regular</v>
      </c>
      <c r="T389" s="5">
        <f>IFERROR(VLOOKUP(A389,CLIENTE!$A$2:$N$2000,14,0),1)</f>
        <v>1</v>
      </c>
      <c r="U389" s="5">
        <f t="shared" si="148"/>
        <v>84.418456600547103</v>
      </c>
      <c r="V389" s="5" t="str">
        <f>IF(U389&gt;=MAX(_xlfn.PERCENTILE.INC($U$2:$U$1194,PARAMS_MODELO!$B$50),PARAMS_MODELO!$B$45),"DIAMANTE",IF(U389&gt;=MAX(_xlfn.PERCENTILE.INC($U$2:$U$1194,PARAMS_MODELO!$B$51),PARAMS_MODELO!$B$46),"PLATINO",IF(U389&gt;=MAX(_xlfn.PERCENTILE.INC($U$2:$U$1194,PARAMS_MODELO!$B$52),PARAMS_MODELO!$B$47),"ORO",IF(U389&gt;=MAX(_xlfn.PERCENTILE.INC($U$2:$U$1194,PARAMS_MODELO!$B$53),PARAMS_MODELO!$B$48),"PLATA",IF(U389&gt;=1,"BRONCE","CERRADO")))))</f>
        <v>ORO</v>
      </c>
      <c r="W389" s="5" t="str" cm="1">
        <f t="array" ref="W389">_xlfn.XLOOKUP(1, (HIST_SCORE!$B:$B=PARAMS_MODELO!$B$4) * (HIST_SCORE!$C:$C=A389), HIST_SCORE!$E:$E, "No encontrado")</f>
        <v>ORO</v>
      </c>
      <c r="X389" s="5" t="str">
        <f>_xlfn.LET(_xlpm.act,MATCH(V389,{"DIAMANTE";"PLATINO";"ORO";"PLATA";"BRONCE";"CERRADO"},0),_xlpm.ant,MATCH(W389,{"DIAMANTE";"PLATINO";"ORO";"PLATA";"BRONCE";"CERRADO"},0),IF(_xlpm.act&lt;_xlpm.ant,"Mejora ↑",IF(_xlpm.act&gt;_xlpm.ant,"Baja ↓","Estable →")))</f>
        <v>Estable →</v>
      </c>
      <c r="Y389" s="5">
        <f>IFERROR(U389-SUMIFS(HIST_SCORE!$D:$D,HIST_SCORE!$B:$B,PARAMS_MODELO!$B$4,HIST_SCORE!$C:$C,$A389),"")</f>
        <v>0.94641492663070892</v>
      </c>
      <c r="Z389" s="5" t="str">
        <f t="shared" si="149"/>
        <v>→ Estable</v>
      </c>
      <c r="AA389" s="5">
        <f t="shared" si="150"/>
        <v>302</v>
      </c>
      <c r="AB389" s="5">
        <f>IFERROR(SUMIFS(HIST_SCORE!$F:$F,HIST_SCORE!$B:$B,PARAMS_MODELO!$B$4,HIST_SCORE!$C:$C,$A389),"")</f>
        <v>308</v>
      </c>
      <c r="AC389" s="5">
        <f t="shared" si="151"/>
        <v>6</v>
      </c>
      <c r="AD389" t="str">
        <f t="shared" si="153"/>
        <v/>
      </c>
      <c r="AE3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389="CERRADO",1,IF(V389="BRONCE",_xlpm.cPl,IF(V389="PLATA",_xlpm.cO,IF(V389="ORO",_xlpm.cP,IF(V389="PLATINO",_xlpm.cD,999))))))</f>
        <v>86.439123873763251</v>
      </c>
      <c r="AF3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389="CERRADO",0,IF(V389="BRONCE",1,IF(V389="PLATA",_xlpm.cPl,IF(V389="ORO",_xlpm.cO,IF(V389="PLATINO",_xlpm.cP,_xlpm.cD))))))</f>
        <v>63.199193273331495</v>
      </c>
      <c r="AG389">
        <f t="shared" si="154"/>
        <v>2.0206672732161479</v>
      </c>
      <c r="AH389" t="str">
        <f t="shared" si="155"/>
        <v>VENTAS</v>
      </c>
      <c r="AI389" t="str">
        <f t="shared" si="152"/>
        <v>🎯 Para subir de categoría, eje VENTAS / IMPACTO ABSOLUTO (H). Acción: metas semanales + activación comercial + seguimiento del asesor. ΔR aprox: 2,0</v>
      </c>
      <c r="AJ389" s="26">
        <f>_xlfn.LET(_xlpm.piso,AF389,_xlpm.corte,AE389,_xlpm.prog,IF(_xlpm.corte&lt;=_xlpm.piso,0,MAX(0,MIN(1,(U389-_xlpm.piso)/(_xlpm.corte-_xlpm.piso)))),_xlpm.orden,{"DIAMANTE";"PLATINO";"ORO";"PLATA";"BRONCE";"CERRADO"},_xlpm.act,IFERROR(MATCH(V389,_xlpm.orden,0),6),_xlpm.ant,IFERROR(MATCH(W389,_xlpm.orden,0),6),_xlpm.ajmov,IF(_xlpm.act&lt;_xlpm.ant,0.08,IF(_xlpm.act&gt;_xlpm.ant,-0.08,0)),_xlpm.ajcli,IF(T389&lt;0.95,-0.06,0),_xlpm.prob,MAX(0,MIN(1,_xlpm.prog+_xlpm.ajmov+_xlpm.ajcli)),IF(OR(V389="DIAMANTE",V389="CERRADO"),0,ROUND(_xlpm.prob,2)))</f>
        <v>0.91</v>
      </c>
      <c r="AK389" t="str">
        <f t="shared" si="156"/>
        <v>Faltan 2,0 puntos base para subir a la siguiente categoría</v>
      </c>
      <c r="AL389" t="str">
        <f t="shared" si="157"/>
        <v>Margen de seguridad: 21,2 puntos</v>
      </c>
      <c r="AM389">
        <f t="shared" si="158"/>
        <v>0.12</v>
      </c>
      <c r="AN389" t="str">
        <f t="shared" si="159"/>
        <v>PRIORIDAD BAJA – control normal</v>
      </c>
      <c r="AO389">
        <f t="shared" si="160"/>
        <v>9.9006386768096988</v>
      </c>
      <c r="AP389">
        <f t="shared" si="161"/>
        <v>0.3434739979387853</v>
      </c>
      <c r="AQ389">
        <f t="shared" si="162"/>
        <v>0</v>
      </c>
      <c r="AR389">
        <f t="shared" si="163"/>
        <v>5.1999999999999993</v>
      </c>
      <c r="AS389">
        <f t="shared" si="164"/>
        <v>0</v>
      </c>
      <c r="AT389" t="str">
        <f t="shared" si="165"/>
        <v>VENTAS</v>
      </c>
      <c r="AU389">
        <f t="shared" si="166"/>
        <v>9.9006386768096988</v>
      </c>
      <c r="AV389" t="str">
        <f t="shared" si="167"/>
        <v>Mayor retorno probable: VENTAS (+9,9 puntos finales potenciales).</v>
      </c>
    </row>
    <row r="390" spans="1:48" x14ac:dyDescent="0.3">
      <c r="A390" s="5">
        <v>51014642</v>
      </c>
      <c r="B390" s="5" t="str">
        <f>IFERROR(VLOOKUP(A390,VENTAS!$A$2:$B$1194,2,0),"")</f>
        <v>PRADES</v>
      </c>
      <c r="C390" s="5">
        <f>IFERROR(INDEX(VENTAS!$C$2:$E$1194,MATCH(A390,VENTAS!$A$2:$A$1194,0),MATCH(PARAMS_MODELO!$B$2,{"Q1","Q2","Q3"},0)),0)</f>
        <v>82941722.409999996</v>
      </c>
      <c r="D390" s="5">
        <f>IFERROR(INDEX(VENTAS!$F$2:$H$1194,MATCH(A390,VENTAS!$A$2:$A$1194,0),MATCH(PARAMS_MODELO!$B$2,{"Q1","Q2","Q3"},0)),0)</f>
        <v>90969574</v>
      </c>
      <c r="E390" s="8">
        <f t="shared" si="144"/>
        <v>9.6789062931638803E-2</v>
      </c>
      <c r="F390" s="12">
        <f>IF(E390&lt;=PARAMS_MODELO!$B$15,0,IF(E390&gt;=PARAMS_MODELO!$B$17,100,100*MIN(1,(E390-PARAMS_MODELO!$B$15)/(PARAMS_MODELO!$B$16-PARAMS_MODELO!$B$15))))*PARAMS_MODELO!$B$7</f>
        <v>33.876172026073576</v>
      </c>
      <c r="G390" s="5">
        <f t="shared" si="145"/>
        <v>8027851.5900000036</v>
      </c>
      <c r="H390" s="5">
        <f>(PARAMS_MODELO!$B$20*(MAX(0,MIN(3,E390))/3)+PARAMS_MODELO!$B$21*(IFERROR(LN(1+MAX(0,G390))/LN(1+MAX(0,MAX($G$2:$G$1194))),0)))*100*PARAMS_MODELO!$B$8</f>
        <v>4.0655751090486199</v>
      </c>
      <c r="I390" s="8">
        <f>E390-PARAMS_MODELO!$B$5</f>
        <v>-8.0773772443887726E-2</v>
      </c>
      <c r="J390" s="5">
        <f>IF(I390&lt;=PARAMS_MODELO!$B$18,0,IF(I390&gt;=PARAMS_MODELO!$B$19,100,100*(I390-PARAMS_MODELO!$B$18)/(PARAMS_MODELO!$B$19-PARAMS_MODELO!$B$18)))*PARAMS_MODELO!$B$9</f>
        <v>0</v>
      </c>
      <c r="K390" s="5">
        <f>IFERROR(CHOOSE(MATCH(PARAMS_MODELO!$B$2,{"Q1","Q2","Q3"},0),LOTO!$D390,LOTO!$F390,LOTO!$H390),0)</f>
        <v>4447500</v>
      </c>
      <c r="L390" s="8">
        <f t="shared" si="146"/>
        <v>4.8889972816625479E-2</v>
      </c>
      <c r="M390" s="5">
        <f>MIN(100,IF(PARAMS_MODELO!$B$23=0,0,100*L390/PARAMS_MODELO!$B$23))*PARAMS_MODELO!$B$10</f>
        <v>14.666991844987644</v>
      </c>
      <c r="N390" s="5">
        <f>IFERROR(VLOOKUP(A390,COMPLIANCE!$A$2:$F$1996,6,0),100)</f>
        <v>100</v>
      </c>
      <c r="O390" s="5">
        <f>N390*PARAMS_MODELO!$B$11</f>
        <v>10</v>
      </c>
      <c r="P390" s="5">
        <f>IFERROR(VLOOKUP(A390,DIGITAL!$A$2:$J$2000,7,0),100)</f>
        <v>5</v>
      </c>
      <c r="Q390" s="5">
        <f>IFERROR(P390,0)*PARAMS_MODELO!$B$12</f>
        <v>0.5</v>
      </c>
      <c r="R390">
        <f t="shared" si="147"/>
        <v>63.108738980109841</v>
      </c>
      <c r="S390" s="5" t="str">
        <f>IFERROR(VLOOKUP(A390,CLIENTE!$A$2:$N$2000,13,0),1)</f>
        <v>Muy Bueno</v>
      </c>
      <c r="T390" s="5">
        <f>IFERROR(VLOOKUP(A390,CLIENTE!$A$2:$N$2000,14,0),1)</f>
        <v>1.1499999999999999</v>
      </c>
      <c r="U390" s="5">
        <f t="shared" si="148"/>
        <v>72.575049827126307</v>
      </c>
      <c r="V390" s="5" t="str">
        <f>IF(U390&gt;=MAX(_xlfn.PERCENTILE.INC($U$2:$U$1194,PARAMS_MODELO!$B$50),PARAMS_MODELO!$B$45),"DIAMANTE",IF(U390&gt;=MAX(_xlfn.PERCENTILE.INC($U$2:$U$1194,PARAMS_MODELO!$B$51),PARAMS_MODELO!$B$46),"PLATINO",IF(U390&gt;=MAX(_xlfn.PERCENTILE.INC($U$2:$U$1194,PARAMS_MODELO!$B$52),PARAMS_MODELO!$B$47),"ORO",IF(U390&gt;=MAX(_xlfn.PERCENTILE.INC($U$2:$U$1194,PARAMS_MODELO!$B$53),PARAMS_MODELO!$B$48),"PLATA",IF(U390&gt;=1,"BRONCE","CERRADO")))))</f>
        <v>ORO</v>
      </c>
      <c r="W390" s="5" t="str" cm="1">
        <f t="array" ref="W390">_xlfn.XLOOKUP(1, (HIST_SCORE!$B:$B=PARAMS_MODELO!$B$4) * (HIST_SCORE!$C:$C=A390), HIST_SCORE!$E:$E, "No encontrado")</f>
        <v>PLATINO</v>
      </c>
      <c r="X390" s="5" t="str">
        <f>_xlfn.LET(_xlpm.act,MATCH(V390,{"DIAMANTE";"PLATINO";"ORO";"PLATA";"BRONCE";"CERRADO"},0),_xlpm.ant,MATCH(W390,{"DIAMANTE";"PLATINO";"ORO";"PLATA";"BRONCE";"CERRADO"},0),IF(_xlpm.act&lt;_xlpm.ant,"Mejora ↑",IF(_xlpm.act&gt;_xlpm.ant,"Baja ↓","Estable →")))</f>
        <v>Baja ↓</v>
      </c>
      <c r="Y390" s="5">
        <f>IFERROR(U390-SUMIFS(HIST_SCORE!$D:$D,HIST_SCORE!$B:$B,PARAMS_MODELO!$B$4,HIST_SCORE!$C:$C,$A390),"")</f>
        <v>-19.274506547465535</v>
      </c>
      <c r="Z390" s="5" t="str">
        <f t="shared" si="149"/>
        <v>↓ Baja</v>
      </c>
      <c r="AA390" s="5">
        <f t="shared" si="150"/>
        <v>495</v>
      </c>
      <c r="AB390" s="5">
        <f>IFERROR(SUMIFS(HIST_SCORE!$F:$F,HIST_SCORE!$B:$B,PARAMS_MODELO!$B$4,HIST_SCORE!$C:$C,$A390),"")</f>
        <v>101</v>
      </c>
      <c r="AC390" s="5">
        <f t="shared" si="151"/>
        <v>-394</v>
      </c>
      <c r="AD390" t="str">
        <f t="shared" si="153"/>
        <v>Sostener base y reforzar mix</v>
      </c>
      <c r="AE3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390="CERRADO",1,IF(V390="BRONCE",_xlpm.cPl,IF(V390="PLATA",_xlpm.cO,IF(V390="ORO",_xlpm.cP,IF(V390="PLATINO",_xlpm.cD,999))))))</f>
        <v>86.439123873763251</v>
      </c>
      <c r="AF3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390="CERRADO",0,IF(V390="BRONCE",1,IF(V390="PLATA",_xlpm.cPl,IF(V390="ORO",_xlpm.cO,IF(V390="PLATINO",_xlpm.cP,_xlpm.cD))))))</f>
        <v>63.199193273331495</v>
      </c>
      <c r="AG390">
        <f t="shared" si="154"/>
        <v>12.055716562292993</v>
      </c>
      <c r="AH390" t="str">
        <f t="shared" si="155"/>
        <v>VENTAS</v>
      </c>
      <c r="AI390" t="str">
        <f t="shared" si="152"/>
        <v>🎯 Para subir de categoría, eje VENTAS / DIFERENCIAL vs LOTBA (J). Acción: metas semanales + activación comercial + seguimiento del asesor. ΔR aprox: 12,1</v>
      </c>
      <c r="AJ390" s="26">
        <f>_xlfn.LET(_xlpm.piso,AF390,_xlpm.corte,AE390,_xlpm.prog,IF(_xlpm.corte&lt;=_xlpm.piso,0,MAX(0,MIN(1,(U390-_xlpm.piso)/(_xlpm.corte-_xlpm.piso)))),_xlpm.orden,{"DIAMANTE";"PLATINO";"ORO";"PLATA";"BRONCE";"CERRADO"},_xlpm.act,IFERROR(MATCH(V390,_xlpm.orden,0),6),_xlpm.ant,IFERROR(MATCH(W390,_xlpm.orden,0),6),_xlpm.ajmov,IF(_xlpm.act&lt;_xlpm.ant,0.08,IF(_xlpm.act&gt;_xlpm.ant,-0.08,0)),_xlpm.ajcli,IF(T390&lt;0.95,-0.06,0),_xlpm.prob,MAX(0,MIN(1,_xlpm.prog+_xlpm.ajmov+_xlpm.ajcli)),IF(OR(V390="DIAMANTE",V390="CERRADO"),0,ROUND(_xlpm.prob,2)))</f>
        <v>0.32</v>
      </c>
      <c r="AK390" t="str">
        <f t="shared" si="156"/>
        <v>Faltan 12,1 puntos base para subir a la siguiente categoría</v>
      </c>
      <c r="AL390" t="str">
        <f t="shared" si="157"/>
        <v>Margen de seguridad: 9,4 puntos</v>
      </c>
      <c r="AM390">
        <f t="shared" si="158"/>
        <v>0.67</v>
      </c>
      <c r="AN390" t="str">
        <f t="shared" si="159"/>
        <v>PRIORIDAD MEDIA – seguimiento del asesor</v>
      </c>
      <c r="AO390">
        <f t="shared" si="160"/>
        <v>30.958945461199392</v>
      </c>
      <c r="AP390">
        <f t="shared" si="161"/>
        <v>0.38295937826420967</v>
      </c>
      <c r="AQ390">
        <f t="shared" si="162"/>
        <v>0</v>
      </c>
      <c r="AR390">
        <f t="shared" si="163"/>
        <v>10.924999999999999</v>
      </c>
      <c r="AS390">
        <f t="shared" si="164"/>
        <v>0</v>
      </c>
      <c r="AT390" t="str">
        <f t="shared" si="165"/>
        <v>VENTAS</v>
      </c>
      <c r="AU390">
        <f t="shared" si="166"/>
        <v>30.958945461199392</v>
      </c>
      <c r="AV390" t="str">
        <f t="shared" si="167"/>
        <v>Mayor retorno probable: VENTAS (+31,0 puntos finales potenciales).</v>
      </c>
    </row>
    <row r="391" spans="1:48" x14ac:dyDescent="0.3">
      <c r="A391" s="5">
        <v>51038878</v>
      </c>
      <c r="B391" s="5" t="str">
        <f>IFERROR(VLOOKUP(A391,VENTAS!$A$2:$B$1194,2,0),"")</f>
        <v>AYALA</v>
      </c>
      <c r="C391" s="5">
        <f>IFERROR(INDEX(VENTAS!$C$2:$E$1194,MATCH(A391,VENTAS!$A$2:$A$1194,0),MATCH(PARAMS_MODELO!$B$2,{"Q1","Q2","Q3"},0)),0)</f>
        <v>90446507.980000004</v>
      </c>
      <c r="D391" s="5">
        <f>IFERROR(INDEX(VENTAS!$F$2:$H$1194,MATCH(A391,VENTAS!$A$2:$A$1194,0),MATCH(PARAMS_MODELO!$B$2,{"Q1","Q2","Q3"},0)),0)</f>
        <v>90646330</v>
      </c>
      <c r="E391" s="8">
        <f t="shared" si="144"/>
        <v>2.209283967537834E-3</v>
      </c>
      <c r="F391" s="12">
        <f>IF(E391&lt;=PARAMS_MODELO!$B$15,0,IF(E391&gt;=PARAMS_MODELO!$B$17,100,100*MIN(1,(E391-PARAMS_MODELO!$B$15)/(PARAMS_MODELO!$B$16-PARAMS_MODELO!$B$15))))*PARAMS_MODELO!$B$7</f>
        <v>0.77324938863824189</v>
      </c>
      <c r="G391" s="5">
        <f t="shared" si="145"/>
        <v>199822.01999999583</v>
      </c>
      <c r="H391" s="5">
        <f>(PARAMS_MODELO!$B$20*(MAX(0,MIN(3,E391))/3)+PARAMS_MODELO!$B$21*(IFERROR(LN(1+MAX(0,G391))/LN(1+MAX(0,MAX($G$2:$G$1194))),0)))*100*PARAMS_MODELO!$B$8</f>
        <v>2.8687988024934783</v>
      </c>
      <c r="I391" s="8">
        <f>E391-PARAMS_MODELO!$B$5</f>
        <v>-0.17535355140798869</v>
      </c>
      <c r="J391" s="5">
        <f>IF(I391&lt;=PARAMS_MODELO!$B$18,0,IF(I391&gt;=PARAMS_MODELO!$B$19,100,100*(I391-PARAMS_MODELO!$B$18)/(PARAMS_MODELO!$B$19-PARAMS_MODELO!$B$18)))*PARAMS_MODELO!$B$9</f>
        <v>0</v>
      </c>
      <c r="K391" s="5">
        <f>IFERROR(CHOOSE(MATCH(PARAMS_MODELO!$B$2,{"Q1","Q2","Q3"},0),LOTO!$D391,LOTO!$F391,LOTO!$H391),0)</f>
        <v>4445000</v>
      </c>
      <c r="L391" s="8">
        <f t="shared" si="146"/>
        <v>4.9036734305735269E-2</v>
      </c>
      <c r="M391" s="5">
        <f>MIN(100,IF(PARAMS_MODELO!$B$23=0,0,100*L391/PARAMS_MODELO!$B$23))*PARAMS_MODELO!$B$10</f>
        <v>14.71102029172058</v>
      </c>
      <c r="N391" s="5">
        <f>IFERROR(VLOOKUP(A391,COMPLIANCE!$A$2:$F$1996,6,0),100)</f>
        <v>100</v>
      </c>
      <c r="O391" s="5">
        <f>N391*PARAMS_MODELO!$B$11</f>
        <v>10</v>
      </c>
      <c r="P391" s="5">
        <f>IFERROR(VLOOKUP(A391,DIGITAL!$A$2:$J$2000,7,0),100)</f>
        <v>17</v>
      </c>
      <c r="Q391" s="5">
        <f>IFERROR(P391,0)*PARAMS_MODELO!$B$12</f>
        <v>1.7000000000000002</v>
      </c>
      <c r="R391">
        <f t="shared" si="147"/>
        <v>30.0530684828523</v>
      </c>
      <c r="S391" s="5" t="str">
        <f>IFERROR(VLOOKUP(A391,CLIENTE!$A$2:$N$2000,13,0),1)</f>
        <v>Regular</v>
      </c>
      <c r="T391" s="5">
        <f>IFERROR(VLOOKUP(A391,CLIENTE!$A$2:$N$2000,14,0),1)</f>
        <v>1</v>
      </c>
      <c r="U391" s="5">
        <f t="shared" si="148"/>
        <v>30.0530684828523</v>
      </c>
      <c r="V391" s="5" t="str">
        <f>IF(U391&gt;=MAX(_xlfn.PERCENTILE.INC($U$2:$U$1194,PARAMS_MODELO!$B$50),PARAMS_MODELO!$B$45),"DIAMANTE",IF(U391&gt;=MAX(_xlfn.PERCENTILE.INC($U$2:$U$1194,PARAMS_MODELO!$B$51),PARAMS_MODELO!$B$46),"PLATINO",IF(U391&gt;=MAX(_xlfn.PERCENTILE.INC($U$2:$U$1194,PARAMS_MODELO!$B$52),PARAMS_MODELO!$B$47),"ORO",IF(U391&gt;=MAX(_xlfn.PERCENTILE.INC($U$2:$U$1194,PARAMS_MODELO!$B$53),PARAMS_MODELO!$B$48),"PLATA",IF(U391&gt;=1,"BRONCE","CERRADO")))))</f>
        <v>PLATA</v>
      </c>
      <c r="W391" s="5" t="str" cm="1">
        <f t="array" ref="W391">_xlfn.XLOOKUP(1, (HIST_SCORE!$B:$B=PARAMS_MODELO!$B$4) * (HIST_SCORE!$C:$C=A391), HIST_SCORE!$E:$E, "No encontrado")</f>
        <v>PLATA</v>
      </c>
      <c r="X391" s="5" t="str">
        <f>_xlfn.LET(_xlpm.act,MATCH(V391,{"DIAMANTE";"PLATINO";"ORO";"PLATA";"BRONCE";"CERRADO"},0),_xlpm.ant,MATCH(W391,{"DIAMANTE";"PLATINO";"ORO";"PLATA";"BRONCE";"CERRADO"},0),IF(_xlpm.act&lt;_xlpm.ant,"Mejora ↑",IF(_xlpm.act&gt;_xlpm.ant,"Baja ↓","Estable →")))</f>
        <v>Estable →</v>
      </c>
      <c r="Y391" s="5">
        <f>IFERROR(U391-SUMIFS(HIST_SCORE!$D:$D,HIST_SCORE!$B:$B,PARAMS_MODELO!$B$4,HIST_SCORE!$C:$C,$A391),"")</f>
        <v>-17.022888410671104</v>
      </c>
      <c r="Z391" s="5" t="str">
        <f t="shared" si="149"/>
        <v>↓ Baja</v>
      </c>
      <c r="AA391" s="5">
        <f t="shared" si="150"/>
        <v>865</v>
      </c>
      <c r="AB391" s="5">
        <f>IFERROR(SUMIFS(HIST_SCORE!$F:$F,HIST_SCORE!$B:$B,PARAMS_MODELO!$B$4,HIST_SCORE!$C:$C,$A391),"")</f>
        <v>807</v>
      </c>
      <c r="AC391" s="5">
        <f t="shared" si="151"/>
        <v>-58</v>
      </c>
      <c r="AD391" t="str">
        <f t="shared" si="153"/>
        <v/>
      </c>
      <c r="AE3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391="CERRADO",1,IF(V391="BRONCE",_xlpm.cPl,IF(V391="PLATA",_xlpm.cO,IF(V391="ORO",_xlpm.cP,IF(V391="PLATINO",_xlpm.cD,999))))))</f>
        <v>63.199193273331495</v>
      </c>
      <c r="AF3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391="CERRADO",0,IF(V391="BRONCE",1,IF(V391="PLATA",_xlpm.cPl,IF(V391="ORO",_xlpm.cO,IF(V391="PLATINO",_xlpm.cP,_xlpm.cD))))))</f>
        <v>24.506573482968111</v>
      </c>
      <c r="AG391">
        <f t="shared" si="154"/>
        <v>33.146124790479192</v>
      </c>
      <c r="AH391" t="str">
        <f t="shared" si="155"/>
        <v>VENTAS</v>
      </c>
      <c r="AI391" t="str">
        <f t="shared" si="152"/>
        <v>🎯 Para subir de categoría, eje VENTAS / DIFERENCIAL vs LOTBA (J). Acción: metas semanales + activación comercial + seguimiento del asesor. ΔR aprox: 33,1</v>
      </c>
      <c r="AJ391" s="26">
        <f>_xlfn.LET(_xlpm.piso,AF391,_xlpm.corte,AE391,_xlpm.prog,IF(_xlpm.corte&lt;=_xlpm.piso,0,MAX(0,MIN(1,(U391-_xlpm.piso)/(_xlpm.corte-_xlpm.piso)))),_xlpm.orden,{"DIAMANTE";"PLATINO";"ORO";"PLATA";"BRONCE";"CERRADO"},_xlpm.act,IFERROR(MATCH(V391,_xlpm.orden,0),6),_xlpm.ant,IFERROR(MATCH(W391,_xlpm.orden,0),6),_xlpm.ajmov,IF(_xlpm.act&lt;_xlpm.ant,0.08,IF(_xlpm.act&gt;_xlpm.ant,-0.08,0)),_xlpm.ajcli,IF(T391&lt;0.95,-0.06,0),_xlpm.prob,MAX(0,MIN(1,_xlpm.prog+_xlpm.ajmov+_xlpm.ajcli)),IF(OR(V391="DIAMANTE",V391="CERRADO"),0,ROUND(_xlpm.prob,2)))</f>
        <v>0.14000000000000001</v>
      </c>
      <c r="AK391" t="str">
        <f t="shared" si="156"/>
        <v>Faltan 33,1 puntos base para subir a la siguiente categoría</v>
      </c>
      <c r="AL391" t="str">
        <f t="shared" si="157"/>
        <v>Margen de seguridad: 5,5 puntos</v>
      </c>
      <c r="AM391">
        <f t="shared" si="158"/>
        <v>0.74</v>
      </c>
      <c r="AN391" t="str">
        <f t="shared" si="159"/>
        <v>PRIORIDAD ALTA – requiere intervención inmediata</v>
      </c>
      <c r="AO391">
        <f t="shared" si="160"/>
        <v>61.220521084163863</v>
      </c>
      <c r="AP391">
        <f t="shared" si="161"/>
        <v>0.28897970827942032</v>
      </c>
      <c r="AQ391">
        <f t="shared" si="162"/>
        <v>0</v>
      </c>
      <c r="AR391">
        <f t="shared" si="163"/>
        <v>8.3000000000000007</v>
      </c>
      <c r="AS391">
        <f t="shared" si="164"/>
        <v>0</v>
      </c>
      <c r="AT391" t="str">
        <f t="shared" si="165"/>
        <v>VENTAS</v>
      </c>
      <c r="AU391">
        <f t="shared" si="166"/>
        <v>61.220521084163863</v>
      </c>
      <c r="AV391" t="str">
        <f t="shared" si="167"/>
        <v>Mayor retorno probable: VENTAS (+61,2 puntos finales potenciales).</v>
      </c>
    </row>
    <row r="392" spans="1:48" x14ac:dyDescent="0.3">
      <c r="A392" s="5">
        <v>51055292</v>
      </c>
      <c r="B392" s="5" t="str">
        <f>IFERROR(VLOOKUP(A392,VENTAS!$A$2:$B$1194,2,0),"")</f>
        <v>PRADES</v>
      </c>
      <c r="C392" s="5">
        <f>IFERROR(INDEX(VENTAS!$C$2:$E$1194,MATCH(A392,VENTAS!$A$2:$A$1194,0),MATCH(PARAMS_MODELO!$B$2,{"Q1","Q2","Q3"},0)),0)</f>
        <v>90395915.74000001</v>
      </c>
      <c r="D392" s="5">
        <f>IFERROR(INDEX(VENTAS!$F$2:$H$1194,MATCH(A392,VENTAS!$A$2:$A$1194,0),MATCH(PARAMS_MODELO!$B$2,{"Q1","Q2","Q3"},0)),0)</f>
        <v>90483433</v>
      </c>
      <c r="E392" s="8">
        <f t="shared" si="144"/>
        <v>9.6815502430125377E-4</v>
      </c>
      <c r="F392" s="12">
        <f>IF(E392&lt;=PARAMS_MODELO!$B$15,0,IF(E392&gt;=PARAMS_MODELO!$B$17,100,100*MIN(1,(E392-PARAMS_MODELO!$B$15)/(PARAMS_MODELO!$B$16-PARAMS_MODELO!$B$15))))*PARAMS_MODELO!$B$7</f>
        <v>0.33885425850543882</v>
      </c>
      <c r="G392" s="5">
        <f t="shared" si="145"/>
        <v>87517.259999990463</v>
      </c>
      <c r="H392" s="5">
        <f>(PARAMS_MODELO!$B$20*(MAX(0,MIN(3,E392))/3)+PARAMS_MODELO!$B$21*(IFERROR(LN(1+MAX(0,G392))/LN(1+MAX(0,MAX($G$2:$G$1194))),0)))*100*PARAMS_MODELO!$B$8</f>
        <v>2.6709262911192329</v>
      </c>
      <c r="I392" s="8">
        <f>E392-PARAMS_MODELO!$B$5</f>
        <v>-0.17659468035122527</v>
      </c>
      <c r="J392" s="5">
        <f>IF(I392&lt;=PARAMS_MODELO!$B$18,0,IF(I392&gt;=PARAMS_MODELO!$B$19,100,100*(I392-PARAMS_MODELO!$B$18)/(PARAMS_MODELO!$B$19-PARAMS_MODELO!$B$18)))*PARAMS_MODELO!$B$9</f>
        <v>0</v>
      </c>
      <c r="K392" s="5">
        <f>IFERROR(CHOOSE(MATCH(PARAMS_MODELO!$B$2,{"Q1","Q2","Q3"},0),LOTO!$D392,LOTO!$F392,LOTO!$H392),0)</f>
        <v>4440000</v>
      </c>
      <c r="L392" s="8">
        <f t="shared" si="146"/>
        <v>4.9069756228192624E-2</v>
      </c>
      <c r="M392" s="5">
        <f>MIN(100,IF(PARAMS_MODELO!$B$23=0,0,100*L392/PARAMS_MODELO!$B$23))*PARAMS_MODELO!$B$10</f>
        <v>14.720926868457784</v>
      </c>
      <c r="N392" s="5">
        <f>IFERROR(VLOOKUP(A392,COMPLIANCE!$A$2:$F$1996,6,0),100)</f>
        <v>100</v>
      </c>
      <c r="O392" s="5">
        <f>N392*PARAMS_MODELO!$B$11</f>
        <v>10</v>
      </c>
      <c r="P392" s="5">
        <f>IFERROR(VLOOKUP(A392,DIGITAL!$A$2:$J$2000,7,0),100)</f>
        <v>58</v>
      </c>
      <c r="Q392" s="5">
        <f>IFERROR(P392,0)*PARAMS_MODELO!$B$12</f>
        <v>5.8000000000000007</v>
      </c>
      <c r="R392">
        <f t="shared" si="147"/>
        <v>33.530707418082457</v>
      </c>
      <c r="S392" s="5" t="str">
        <f>IFERROR(VLOOKUP(A392,CLIENTE!$A$2:$N$2000,13,0),1)</f>
        <v>Regular</v>
      </c>
      <c r="T392" s="5">
        <f>IFERROR(VLOOKUP(A392,CLIENTE!$A$2:$N$2000,14,0),1)</f>
        <v>1</v>
      </c>
      <c r="U392" s="5">
        <f t="shared" si="148"/>
        <v>33.530707418082457</v>
      </c>
      <c r="V392" s="5" t="str">
        <f>IF(U392&gt;=MAX(_xlfn.PERCENTILE.INC($U$2:$U$1194,PARAMS_MODELO!$B$50),PARAMS_MODELO!$B$45),"DIAMANTE",IF(U392&gt;=MAX(_xlfn.PERCENTILE.INC($U$2:$U$1194,PARAMS_MODELO!$B$51),PARAMS_MODELO!$B$46),"PLATINO",IF(U392&gt;=MAX(_xlfn.PERCENTILE.INC($U$2:$U$1194,PARAMS_MODELO!$B$52),PARAMS_MODELO!$B$47),"ORO",IF(U392&gt;=MAX(_xlfn.PERCENTILE.INC($U$2:$U$1194,PARAMS_MODELO!$B$53),PARAMS_MODELO!$B$48),"PLATA",IF(U392&gt;=1,"BRONCE","CERRADO")))))</f>
        <v>PLATA</v>
      </c>
      <c r="W392" s="5" t="str" cm="1">
        <f t="array" ref="W392">_xlfn.XLOOKUP(1, (HIST_SCORE!$B:$B=PARAMS_MODELO!$B$4) * (HIST_SCORE!$C:$C=A392), HIST_SCORE!$E:$E, "No encontrado")</f>
        <v>ORO</v>
      </c>
      <c r="X392" s="5" t="str">
        <f>_xlfn.LET(_xlpm.act,MATCH(V392,{"DIAMANTE";"PLATINO";"ORO";"PLATA";"BRONCE";"CERRADO"},0),_xlpm.ant,MATCH(W392,{"DIAMANTE";"PLATINO";"ORO";"PLATA";"BRONCE";"CERRADO"},0),IF(_xlpm.act&lt;_xlpm.ant,"Mejora ↑",IF(_xlpm.act&gt;_xlpm.ant,"Baja ↓","Estable →")))</f>
        <v>Baja ↓</v>
      </c>
      <c r="Y392" s="5">
        <f>IFERROR(U392-SUMIFS(HIST_SCORE!$D:$D,HIST_SCORE!$B:$B,PARAMS_MODELO!$B$4,HIST_SCORE!$C:$C,$A392),"")</f>
        <v>-43.857789303470383</v>
      </c>
      <c r="Z392" s="5" t="str">
        <f t="shared" si="149"/>
        <v>↓ Baja</v>
      </c>
      <c r="AA392" s="5">
        <f t="shared" si="150"/>
        <v>817</v>
      </c>
      <c r="AB392" s="5">
        <f>IFERROR(SUMIFS(HIST_SCORE!$F:$F,HIST_SCORE!$B:$B,PARAMS_MODELO!$B$4,HIST_SCORE!$C:$C,$A392),"")</f>
        <v>460</v>
      </c>
      <c r="AC392" s="5">
        <f t="shared" si="151"/>
        <v>-357</v>
      </c>
      <c r="AD392" t="str">
        <f t="shared" si="153"/>
        <v/>
      </c>
      <c r="AE3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392="CERRADO",1,IF(V392="BRONCE",_xlpm.cPl,IF(V392="PLATA",_xlpm.cO,IF(V392="ORO",_xlpm.cP,IF(V392="PLATINO",_xlpm.cD,999))))))</f>
        <v>63.199193273331495</v>
      </c>
      <c r="AF3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392="CERRADO",0,IF(V392="BRONCE",1,IF(V392="PLATA",_xlpm.cPl,IF(V392="ORO",_xlpm.cO,IF(V392="PLATINO",_xlpm.cP,_xlpm.cD))))))</f>
        <v>24.506573482968111</v>
      </c>
      <c r="AG392">
        <f t="shared" si="154"/>
        <v>29.668485855249038</v>
      </c>
      <c r="AH392" t="str">
        <f t="shared" si="155"/>
        <v>VENTAS</v>
      </c>
      <c r="AI392" t="str">
        <f t="shared" si="152"/>
        <v>🎯 Para subir de categoría, eje VENTAS / DIFERENCIAL vs LOTBA (J). Acción: metas semanales + activación comercial + seguimiento del asesor. ΔR aprox: 29,7</v>
      </c>
      <c r="AJ392" s="26">
        <f>_xlfn.LET(_xlpm.piso,AF392,_xlpm.corte,AE392,_xlpm.prog,IF(_xlpm.corte&lt;=_xlpm.piso,0,MAX(0,MIN(1,(U392-_xlpm.piso)/(_xlpm.corte-_xlpm.piso)))),_xlpm.orden,{"DIAMANTE";"PLATINO";"ORO";"PLATA";"BRONCE";"CERRADO"},_xlpm.act,IFERROR(MATCH(V392,_xlpm.orden,0),6),_xlpm.ant,IFERROR(MATCH(W392,_xlpm.orden,0),6),_xlpm.ajmov,IF(_xlpm.act&lt;_xlpm.ant,0.08,IF(_xlpm.act&gt;_xlpm.ant,-0.08,0)),_xlpm.ajcli,IF(T392&lt;0.95,-0.06,0),_xlpm.prob,MAX(0,MIN(1,_xlpm.prog+_xlpm.ajmov+_xlpm.ajcli)),IF(OR(V392="DIAMANTE",V392="CERRADO"),0,ROUND(_xlpm.prob,2)))</f>
        <v>0.15</v>
      </c>
      <c r="AK392" t="str">
        <f t="shared" si="156"/>
        <v>Faltan 29,7 puntos base para subir a la siguiente categoría</v>
      </c>
      <c r="AL392" t="str">
        <f t="shared" si="157"/>
        <v>Margen de seguridad: 9,0 puntos</v>
      </c>
      <c r="AM392">
        <f t="shared" si="158"/>
        <v>0.74</v>
      </c>
      <c r="AN392" t="str">
        <f t="shared" si="159"/>
        <v>PRIORIDAD ALTA – requiere intervención inmediata</v>
      </c>
      <c r="AO392">
        <f t="shared" si="160"/>
        <v>61.852788725670912</v>
      </c>
      <c r="AP392">
        <f t="shared" si="161"/>
        <v>0.27907313154221569</v>
      </c>
      <c r="AQ392">
        <f t="shared" si="162"/>
        <v>0</v>
      </c>
      <c r="AR392">
        <f t="shared" si="163"/>
        <v>4.1999999999999993</v>
      </c>
      <c r="AS392">
        <f t="shared" si="164"/>
        <v>0</v>
      </c>
      <c r="AT392" t="str">
        <f t="shared" si="165"/>
        <v>VENTAS</v>
      </c>
      <c r="AU392">
        <f t="shared" si="166"/>
        <v>61.852788725670912</v>
      </c>
      <c r="AV392" t="str">
        <f t="shared" si="167"/>
        <v>Mayor retorno probable: VENTAS (+61,9 puntos finales potenciales).</v>
      </c>
    </row>
    <row r="393" spans="1:48" x14ac:dyDescent="0.3">
      <c r="A393" s="5">
        <v>51011601</v>
      </c>
      <c r="B393" s="5" t="str">
        <f>IFERROR(VLOOKUP(A393,VENTAS!$A$2:$B$1194,2,0),"")</f>
        <v>MONTENEGRO</v>
      </c>
      <c r="C393" s="5">
        <f>IFERROR(INDEX(VENTAS!$C$2:$E$1194,MATCH(A393,VENTAS!$A$2:$A$1194,0),MATCH(PARAMS_MODELO!$B$2,{"Q1","Q2","Q3"},0)),0)</f>
        <v>76393270.620000005</v>
      </c>
      <c r="D393" s="5">
        <f>IFERROR(INDEX(VENTAS!$F$2:$H$1194,MATCH(A393,VENTAS!$A$2:$A$1194,0),MATCH(PARAMS_MODELO!$B$2,{"Q1","Q2","Q3"},0)),0)</f>
        <v>90328309</v>
      </c>
      <c r="E393" s="8">
        <f t="shared" si="144"/>
        <v>0.18241185731288434</v>
      </c>
      <c r="F393" s="12">
        <f>IF(E393&lt;=PARAMS_MODELO!$B$15,0,IF(E393&gt;=PARAMS_MODELO!$B$17,100,100*MIN(1,(E393-PARAMS_MODELO!$B$15)/(PARAMS_MODELO!$B$16-PARAMS_MODELO!$B$15))))*PARAMS_MODELO!$B$7</f>
        <v>35</v>
      </c>
      <c r="G393" s="5">
        <f t="shared" si="145"/>
        <v>13935038.379999995</v>
      </c>
      <c r="H393" s="5">
        <f>(PARAMS_MODELO!$B$20*(MAX(0,MIN(3,E393))/3)+PARAMS_MODELO!$B$21*(IFERROR(LN(1+MAX(0,G393))/LN(1+MAX(0,MAX($G$2:$G$1194))),0)))*100*PARAMS_MODELO!$B$8</f>
        <v>4.4945317081663783</v>
      </c>
      <c r="I393" s="8">
        <f>E393-PARAMS_MODELO!$B$5</f>
        <v>4.8490219373578114E-3</v>
      </c>
      <c r="J393" s="5">
        <f>IF(I393&lt;=PARAMS_MODELO!$B$18,0,IF(I393&gt;=PARAMS_MODELO!$B$19,100,100*(I393-PARAMS_MODELO!$B$18)/(PARAMS_MODELO!$B$19-PARAMS_MODELO!$B$18)))*PARAMS_MODELO!$B$9</f>
        <v>8.2273532906036717</v>
      </c>
      <c r="K393" s="5">
        <f>IFERROR(CHOOSE(MATCH(PARAMS_MODELO!$B$2,{"Q1","Q2","Q3"},0),LOTO!$D393,LOTO!$F393,LOTO!$H393),0)</f>
        <v>4437500</v>
      </c>
      <c r="L393" s="8">
        <f t="shared" si="146"/>
        <v>4.9126348640048161E-2</v>
      </c>
      <c r="M393" s="5">
        <f>MIN(100,IF(PARAMS_MODELO!$B$23=0,0,100*L393/PARAMS_MODELO!$B$23))*PARAMS_MODELO!$B$10</f>
        <v>14.737904592014447</v>
      </c>
      <c r="N393" s="5">
        <f>IFERROR(VLOOKUP(A393,COMPLIANCE!$A$2:$F$1996,6,0),100)</f>
        <v>99.85</v>
      </c>
      <c r="O393" s="5">
        <f>N393*PARAMS_MODELO!$B$11</f>
        <v>9.9849999999999994</v>
      </c>
      <c r="P393" s="5">
        <f>IFERROR(VLOOKUP(A393,DIGITAL!$A$2:$J$2000,7,0),100)</f>
        <v>34</v>
      </c>
      <c r="Q393" s="5">
        <f>IFERROR(P393,0)*PARAMS_MODELO!$B$12</f>
        <v>3.4000000000000004</v>
      </c>
      <c r="R393">
        <f t="shared" si="147"/>
        <v>75.844789590784501</v>
      </c>
      <c r="S393" s="5" t="str">
        <f>IFERROR(VLOOKUP(A393,CLIENTE!$A$2:$N$2000,13,0),1)</f>
        <v>Regular</v>
      </c>
      <c r="T393" s="5">
        <f>IFERROR(VLOOKUP(A393,CLIENTE!$A$2:$N$2000,14,0),1)</f>
        <v>1</v>
      </c>
      <c r="U393" s="5">
        <f t="shared" si="148"/>
        <v>75.844789590784501</v>
      </c>
      <c r="V393" s="5" t="str">
        <f>IF(U393&gt;=MAX(_xlfn.PERCENTILE.INC($U$2:$U$1194,PARAMS_MODELO!$B$50),PARAMS_MODELO!$B$45),"DIAMANTE",IF(U393&gt;=MAX(_xlfn.PERCENTILE.INC($U$2:$U$1194,PARAMS_MODELO!$B$51),PARAMS_MODELO!$B$46),"PLATINO",IF(U393&gt;=MAX(_xlfn.PERCENTILE.INC($U$2:$U$1194,PARAMS_MODELO!$B$52),PARAMS_MODELO!$B$47),"ORO",IF(U393&gt;=MAX(_xlfn.PERCENTILE.INC($U$2:$U$1194,PARAMS_MODELO!$B$53),PARAMS_MODELO!$B$48),"PLATA",IF(U393&gt;=1,"BRONCE","CERRADO")))))</f>
        <v>ORO</v>
      </c>
      <c r="W393" s="5" t="str" cm="1">
        <f t="array" ref="W393">_xlfn.XLOOKUP(1, (HIST_SCORE!$B:$B=PARAMS_MODELO!$B$4) * (HIST_SCORE!$C:$C=A393), HIST_SCORE!$E:$E, "No encontrado")</f>
        <v>ORO</v>
      </c>
      <c r="X393" s="5" t="str">
        <f>_xlfn.LET(_xlpm.act,MATCH(V393,{"DIAMANTE";"PLATINO";"ORO";"PLATA";"BRONCE";"CERRADO"},0),_xlpm.ant,MATCH(W393,{"DIAMANTE";"PLATINO";"ORO";"PLATA";"BRONCE";"CERRADO"},0),IF(_xlpm.act&lt;_xlpm.ant,"Mejora ↑",IF(_xlpm.act&gt;_xlpm.ant,"Baja ↓","Estable →")))</f>
        <v>Estable →</v>
      </c>
      <c r="Y393" s="5">
        <f>IFERROR(U393-SUMIFS(HIST_SCORE!$D:$D,HIST_SCORE!$B:$B,PARAMS_MODELO!$B$4,HIST_SCORE!$C:$C,$A393),"")</f>
        <v>-4.4485022846259312</v>
      </c>
      <c r="Z393" s="5" t="str">
        <f t="shared" si="149"/>
        <v>→ Estable</v>
      </c>
      <c r="AA393" s="5">
        <f t="shared" si="150"/>
        <v>467</v>
      </c>
      <c r="AB393" s="5">
        <f>IFERROR(SUMIFS(HIST_SCORE!$F:$F,HIST_SCORE!$B:$B,PARAMS_MODELO!$B$4,HIST_SCORE!$C:$C,$A393),"")</f>
        <v>412</v>
      </c>
      <c r="AC393" s="5">
        <f t="shared" si="151"/>
        <v>-55</v>
      </c>
      <c r="AD393" t="str">
        <f t="shared" si="153"/>
        <v>Sostener base y reforzar mix</v>
      </c>
      <c r="AE3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393="CERRADO",1,IF(V393="BRONCE",_xlpm.cPl,IF(V393="PLATA",_xlpm.cO,IF(V393="ORO",_xlpm.cP,IF(V393="PLATINO",_xlpm.cD,999))))))</f>
        <v>86.439123873763251</v>
      </c>
      <c r="AF3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393="CERRADO",0,IF(V393="BRONCE",1,IF(V393="PLATA",_xlpm.cPl,IF(V393="ORO",_xlpm.cO,IF(V393="PLATINO",_xlpm.cP,_xlpm.cD))))))</f>
        <v>63.199193273331495</v>
      </c>
      <c r="AG393">
        <f t="shared" si="154"/>
        <v>10.59433428297875</v>
      </c>
      <c r="AH393" t="str">
        <f t="shared" si="155"/>
        <v>VENTAS</v>
      </c>
      <c r="AI393" t="str">
        <f t="shared" si="152"/>
        <v>🎯 Para subir de categoría, eje VENTAS / IMPACTO ABSOLUTO (H). Acción: metas semanales + activación comercial + seguimiento del asesor. ΔR aprox: 10,6</v>
      </c>
      <c r="AJ393" s="26">
        <f>_xlfn.LET(_xlpm.piso,AF393,_xlpm.corte,AE393,_xlpm.prog,IF(_xlpm.corte&lt;=_xlpm.piso,0,MAX(0,MIN(1,(U393-_xlpm.piso)/(_xlpm.corte-_xlpm.piso)))),_xlpm.orden,{"DIAMANTE";"PLATINO";"ORO";"PLATA";"BRONCE";"CERRADO"},_xlpm.act,IFERROR(MATCH(V393,_xlpm.orden,0),6),_xlpm.ant,IFERROR(MATCH(W393,_xlpm.orden,0),6),_xlpm.ajmov,IF(_xlpm.act&lt;_xlpm.ant,0.08,IF(_xlpm.act&gt;_xlpm.ant,-0.08,0)),_xlpm.ajcli,IF(T393&lt;0.95,-0.06,0),_xlpm.prob,MAX(0,MIN(1,_xlpm.prog+_xlpm.ajmov+_xlpm.ajcli)),IF(OR(V393="DIAMANTE",V393="CERRADO"),0,ROUND(_xlpm.prob,2)))</f>
        <v>0.54</v>
      </c>
      <c r="AK393" t="str">
        <f t="shared" si="156"/>
        <v>Faltan 10,6 puntos base para subir a la siguiente categoría</v>
      </c>
      <c r="AL393" t="str">
        <f t="shared" si="157"/>
        <v>Margen de seguridad: 12,6 puntos</v>
      </c>
      <c r="AM393">
        <f t="shared" si="158"/>
        <v>0.57999999999999996</v>
      </c>
      <c r="AN393" t="str">
        <f t="shared" si="159"/>
        <v>PRIORIDAD MEDIA – seguimiento del asesor</v>
      </c>
      <c r="AO393">
        <f t="shared" si="160"/>
        <v>17.140684276525533</v>
      </c>
      <c r="AP393">
        <f t="shared" si="161"/>
        <v>0.26209540798555331</v>
      </c>
      <c r="AQ393">
        <f t="shared" si="162"/>
        <v>1.5000000000000568E-2</v>
      </c>
      <c r="AR393">
        <f t="shared" si="163"/>
        <v>6.6</v>
      </c>
      <c r="AS393">
        <f t="shared" si="164"/>
        <v>0</v>
      </c>
      <c r="AT393" t="str">
        <f t="shared" si="165"/>
        <v>VENTAS</v>
      </c>
      <c r="AU393">
        <f t="shared" si="166"/>
        <v>17.140684276525533</v>
      </c>
      <c r="AV393" t="str">
        <f t="shared" si="167"/>
        <v>Mayor retorno probable: VENTAS (+17,1 puntos finales potenciales).</v>
      </c>
    </row>
    <row r="394" spans="1:48" x14ac:dyDescent="0.3">
      <c r="A394" s="5">
        <v>51022866</v>
      </c>
      <c r="B394" s="5" t="str">
        <f>IFERROR(VLOOKUP(A394,VENTAS!$A$2:$B$1194,2,0),"")</f>
        <v>ARGUELLO</v>
      </c>
      <c r="C394" s="5">
        <f>IFERROR(INDEX(VENTAS!$C$2:$E$1194,MATCH(A394,VENTAS!$A$2:$A$1194,0),MATCH(PARAMS_MODELO!$B$2,{"Q1","Q2","Q3"},0)),0)</f>
        <v>80987402.549999997</v>
      </c>
      <c r="D394" s="5">
        <f>IFERROR(INDEX(VENTAS!$F$2:$H$1194,MATCH(A394,VENTAS!$A$2:$A$1194,0),MATCH(PARAMS_MODELO!$B$2,{"Q1","Q2","Q3"},0)),0)</f>
        <v>89984277</v>
      </c>
      <c r="E394" s="8">
        <f t="shared" si="144"/>
        <v>0.11108980121254675</v>
      </c>
      <c r="F394" s="12">
        <f>IF(E394&lt;=PARAMS_MODELO!$B$15,0,IF(E394&gt;=PARAMS_MODELO!$B$17,100,100*MIN(1,(E394-PARAMS_MODELO!$B$15)/(PARAMS_MODELO!$B$16-PARAMS_MODELO!$B$15))))*PARAMS_MODELO!$B$7</f>
        <v>35</v>
      </c>
      <c r="G394" s="5">
        <f t="shared" si="145"/>
        <v>8996874.450000003</v>
      </c>
      <c r="H394" s="5">
        <f>(PARAMS_MODELO!$B$20*(MAX(0,MIN(3,E394))/3)+PARAMS_MODELO!$B$21*(IFERROR(LN(1+MAX(0,G394))/LN(1+MAX(0,MAX($G$2:$G$1194))),0)))*100*PARAMS_MODELO!$B$8</f>
        <v>4.1423415727032031</v>
      </c>
      <c r="I394" s="8">
        <f>E394-PARAMS_MODELO!$B$5</f>
        <v>-6.6473034162979783E-2</v>
      </c>
      <c r="J394" s="5">
        <f>IF(I394&lt;=PARAMS_MODELO!$B$18,0,IF(I394&gt;=PARAMS_MODELO!$B$19,100,100*(I394-PARAMS_MODELO!$B$18)/(PARAMS_MODELO!$B$19-PARAMS_MODELO!$B$18)))*PARAMS_MODELO!$B$9</f>
        <v>0</v>
      </c>
      <c r="K394" s="5">
        <f>IFERROR(CHOOSE(MATCH(PARAMS_MODELO!$B$2,{"Q1","Q2","Q3"},0),LOTO!$D394,LOTO!$F394,LOTO!$H394),0)</f>
        <v>4425000</v>
      </c>
      <c r="L394" s="8">
        <f t="shared" si="146"/>
        <v>4.9175257584166618E-2</v>
      </c>
      <c r="M394" s="5">
        <f>MIN(100,IF(PARAMS_MODELO!$B$23=0,0,100*L394/PARAMS_MODELO!$B$23))*PARAMS_MODELO!$B$10</f>
        <v>14.752577275249982</v>
      </c>
      <c r="N394" s="5">
        <f>IFERROR(VLOOKUP(A394,COMPLIANCE!$A$2:$F$1996,6,0),100)</f>
        <v>100</v>
      </c>
      <c r="O394" s="5">
        <f>N394*PARAMS_MODELO!$B$11</f>
        <v>10</v>
      </c>
      <c r="P394" s="5">
        <f>IFERROR(VLOOKUP(A394,DIGITAL!$A$2:$J$2000,7,0),100)</f>
        <v>95</v>
      </c>
      <c r="Q394" s="5">
        <f>IFERROR(P394,0)*PARAMS_MODELO!$B$12</f>
        <v>9.5</v>
      </c>
      <c r="R394">
        <f t="shared" si="147"/>
        <v>73.394918847953193</v>
      </c>
      <c r="S394" s="5" t="str">
        <f>IFERROR(VLOOKUP(A394,CLIENTE!$A$2:$N$2000,13,0),1)</f>
        <v>Malo</v>
      </c>
      <c r="T394" s="5">
        <f>IFERROR(VLOOKUP(A394,CLIENTE!$A$2:$N$2000,14,0),1)</f>
        <v>0.7</v>
      </c>
      <c r="U394" s="5">
        <f t="shared" si="148"/>
        <v>51.376443193567233</v>
      </c>
      <c r="V394" s="5" t="str">
        <f>IF(U394&gt;=MAX(_xlfn.PERCENTILE.INC($U$2:$U$1194,PARAMS_MODELO!$B$50),PARAMS_MODELO!$B$45),"DIAMANTE",IF(U394&gt;=MAX(_xlfn.PERCENTILE.INC($U$2:$U$1194,PARAMS_MODELO!$B$51),PARAMS_MODELO!$B$46),"PLATINO",IF(U394&gt;=MAX(_xlfn.PERCENTILE.INC($U$2:$U$1194,PARAMS_MODELO!$B$52),PARAMS_MODELO!$B$47),"ORO",IF(U394&gt;=MAX(_xlfn.PERCENTILE.INC($U$2:$U$1194,PARAMS_MODELO!$B$53),PARAMS_MODELO!$B$48),"PLATA",IF(U394&gt;=1,"BRONCE","CERRADO")))))</f>
        <v>PLATA</v>
      </c>
      <c r="W394" s="5" t="str" cm="1">
        <f t="array" ref="W394">_xlfn.XLOOKUP(1, (HIST_SCORE!$B:$B=PARAMS_MODELO!$B$4) * (HIST_SCORE!$C:$C=A394), HIST_SCORE!$E:$E, "No encontrado")</f>
        <v>PLATA</v>
      </c>
      <c r="X394" s="5" t="str">
        <f>_xlfn.LET(_xlpm.act,MATCH(V394,{"DIAMANTE";"PLATINO";"ORO";"PLATA";"BRONCE";"CERRADO"},0),_xlpm.ant,MATCH(W394,{"DIAMANTE";"PLATINO";"ORO";"PLATA";"BRONCE";"CERRADO"},0),IF(_xlpm.act&lt;_xlpm.ant,"Mejora ↑",IF(_xlpm.act&gt;_xlpm.ant,"Baja ↓","Estable →")))</f>
        <v>Estable →</v>
      </c>
      <c r="Y394" s="5">
        <f>IFERROR(U394-SUMIFS(HIST_SCORE!$D:$D,HIST_SCORE!$B:$B,PARAMS_MODELO!$B$4,HIST_SCORE!$C:$C,$A394),"")</f>
        <v>-10.875369908957602</v>
      </c>
      <c r="Z394" s="5" t="str">
        <f t="shared" si="149"/>
        <v>↓ Baja</v>
      </c>
      <c r="AA394" s="5">
        <f t="shared" si="150"/>
        <v>733</v>
      </c>
      <c r="AB394" s="5">
        <f>IFERROR(SUMIFS(HIST_SCORE!$F:$F,HIST_SCORE!$B:$B,PARAMS_MODELO!$B$4,HIST_SCORE!$C:$C,$A394),"")</f>
        <v>606</v>
      </c>
      <c r="AC394" s="5">
        <f t="shared" si="151"/>
        <v>-127</v>
      </c>
      <c r="AD394" t="str">
        <f t="shared" si="153"/>
        <v/>
      </c>
      <c r="AE3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394="CERRADO",1,IF(V394="BRONCE",_xlpm.cPl,IF(V394="PLATA",_xlpm.cO,IF(V394="ORO",_xlpm.cP,IF(V394="PLATINO",_xlpm.cD,999))))))</f>
        <v>63.199193273331495</v>
      </c>
      <c r="AF3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394="CERRADO",0,IF(V394="BRONCE",1,IF(V394="PLATA",_xlpm.cPl,IF(V394="ORO",_xlpm.cO,IF(V394="PLATINO",_xlpm.cP,_xlpm.cD))))))</f>
        <v>24.506573482968111</v>
      </c>
      <c r="AG394">
        <f t="shared" si="154"/>
        <v>16.889642971091803</v>
      </c>
      <c r="AH394" t="str">
        <f t="shared" si="155"/>
        <v>CLIENTE</v>
      </c>
      <c r="AI394" t="str">
        <f t="shared" si="152"/>
        <v>🎯 Para subir de categoría, la eje con mayor impacto probable es CLIENTE (coef T). Acción: reducir quejas, mejorar incógnito y empujar reseñas. ΔR aprox: 16,9</v>
      </c>
      <c r="AJ394" s="26">
        <f>_xlfn.LET(_xlpm.piso,AF394,_xlpm.corte,AE394,_xlpm.prog,IF(_xlpm.corte&lt;=_xlpm.piso,0,MAX(0,MIN(1,(U394-_xlpm.piso)/(_xlpm.corte-_xlpm.piso)))),_xlpm.orden,{"DIAMANTE";"PLATINO";"ORO";"PLATA";"BRONCE";"CERRADO"},_xlpm.act,IFERROR(MATCH(V394,_xlpm.orden,0),6),_xlpm.ant,IFERROR(MATCH(W394,_xlpm.orden,0),6),_xlpm.ajmov,IF(_xlpm.act&lt;_xlpm.ant,0.08,IF(_xlpm.act&gt;_xlpm.ant,-0.08,0)),_xlpm.ajcli,IF(T394&lt;0.95,-0.06,0),_xlpm.prob,MAX(0,MIN(1,_xlpm.prog+_xlpm.ajmov+_xlpm.ajcli)),IF(OR(V394="DIAMANTE",V394="CERRADO"),0,ROUND(_xlpm.prob,2)))</f>
        <v>0.63</v>
      </c>
      <c r="AK394" t="str">
        <f t="shared" si="156"/>
        <v>Faltan 16,9 puntos base para subir a la siguiente categoría</v>
      </c>
      <c r="AL394" t="str">
        <f t="shared" si="157"/>
        <v>Margen de seguridad: 26,9 puntos</v>
      </c>
      <c r="AM394">
        <f t="shared" si="158"/>
        <v>0.75</v>
      </c>
      <c r="AN394" t="str">
        <f t="shared" si="159"/>
        <v>PRIORIDAD ALTA – requiere intervención inmediata</v>
      </c>
      <c r="AO394">
        <f t="shared" si="160"/>
        <v>18.004159391814667</v>
      </c>
      <c r="AP394">
        <f t="shared" si="161"/>
        <v>0.17319590732501292</v>
      </c>
      <c r="AQ394">
        <f t="shared" si="162"/>
        <v>0</v>
      </c>
      <c r="AR394">
        <f t="shared" si="163"/>
        <v>0.35</v>
      </c>
      <c r="AS394">
        <f t="shared" si="164"/>
        <v>22.018475654385963</v>
      </c>
      <c r="AT394" t="str">
        <f t="shared" si="165"/>
        <v>CLIENTE</v>
      </c>
      <c r="AU394">
        <f t="shared" si="166"/>
        <v>22.018475654385963</v>
      </c>
      <c r="AV394" t="str">
        <f t="shared" si="167"/>
        <v>Mayor retorno probable: CLIENTE (+22,0 puntos finales potenciales).</v>
      </c>
    </row>
    <row r="395" spans="1:48" x14ac:dyDescent="0.3">
      <c r="A395" s="5">
        <v>51017820</v>
      </c>
      <c r="B395" s="5" t="str">
        <f>IFERROR(VLOOKUP(A395,VENTAS!$A$2:$B$1194,2,0),"")</f>
        <v>MONTENEGRO</v>
      </c>
      <c r="C395" s="5">
        <f>IFERROR(INDEX(VENTAS!$C$2:$E$1194,MATCH(A395,VENTAS!$A$2:$A$1194,0),MATCH(PARAMS_MODELO!$B$2,{"Q1","Q2","Q3"},0)),0)</f>
        <v>84577765.270000011</v>
      </c>
      <c r="D395" s="5">
        <f>IFERROR(INDEX(VENTAS!$F$2:$H$1194,MATCH(A395,VENTAS!$A$2:$A$1194,0),MATCH(PARAMS_MODELO!$B$2,{"Q1","Q2","Q3"},0)),0)</f>
        <v>89826221</v>
      </c>
      <c r="E395" s="8">
        <f t="shared" si="144"/>
        <v>6.2054793162779731E-2</v>
      </c>
      <c r="F395" s="12">
        <f>IF(E395&lt;=PARAMS_MODELO!$B$15,0,IF(E395&gt;=PARAMS_MODELO!$B$17,100,100*MIN(1,(E395-PARAMS_MODELO!$B$15)/(PARAMS_MODELO!$B$16-PARAMS_MODELO!$B$15))))*PARAMS_MODELO!$B$7</f>
        <v>21.719177606972906</v>
      </c>
      <c r="G395" s="5">
        <f t="shared" si="145"/>
        <v>5248455.7299999893</v>
      </c>
      <c r="H395" s="5">
        <f>(PARAMS_MODELO!$B$20*(MAX(0,MIN(3,E395))/3)+PARAMS_MODELO!$B$21*(IFERROR(LN(1+MAX(0,G395))/LN(1+MAX(0,MAX($G$2:$G$1194))),0)))*100*PARAMS_MODELO!$B$8</f>
        <v>3.8443832185731872</v>
      </c>
      <c r="I395" s="8">
        <f>E395-PARAMS_MODELO!$B$5</f>
        <v>-0.1155080422127468</v>
      </c>
      <c r="J395" s="5">
        <f>IF(I395&lt;=PARAMS_MODELO!$B$18,0,IF(I395&gt;=PARAMS_MODELO!$B$19,100,100*(I395-PARAMS_MODELO!$B$18)/(PARAMS_MODELO!$B$19-PARAMS_MODELO!$B$18)))*PARAMS_MODELO!$B$9</f>
        <v>0</v>
      </c>
      <c r="K395" s="5">
        <f>IFERROR(CHOOSE(MATCH(PARAMS_MODELO!$B$2,{"Q1","Q2","Q3"},0),LOTO!$D395,LOTO!$F395,LOTO!$H395),0)</f>
        <v>4420000</v>
      </c>
      <c r="L395" s="8">
        <f t="shared" si="146"/>
        <v>4.9206122118840998E-2</v>
      </c>
      <c r="M395" s="5">
        <f>MIN(100,IF(PARAMS_MODELO!$B$23=0,0,100*L395/PARAMS_MODELO!$B$23))*PARAMS_MODELO!$B$10</f>
        <v>14.761836635652298</v>
      </c>
      <c r="N395" s="5">
        <f>IFERROR(VLOOKUP(A395,COMPLIANCE!$A$2:$F$1996,6,0),100)</f>
        <v>99.9</v>
      </c>
      <c r="O395" s="5">
        <f>N395*PARAMS_MODELO!$B$11</f>
        <v>9.990000000000002</v>
      </c>
      <c r="P395" s="5">
        <f>IFERROR(VLOOKUP(A395,DIGITAL!$A$2:$J$2000,7,0),100)</f>
        <v>35</v>
      </c>
      <c r="Q395" s="5">
        <f>IFERROR(P395,0)*PARAMS_MODELO!$B$12</f>
        <v>3.5</v>
      </c>
      <c r="R395">
        <f t="shared" si="147"/>
        <v>53.815397461198394</v>
      </c>
      <c r="S395" s="5" t="str">
        <f>IFERROR(VLOOKUP(A395,CLIENTE!$A$2:$N$2000,13,0),1)</f>
        <v>Bueno</v>
      </c>
      <c r="T395" s="5">
        <f>IFERROR(VLOOKUP(A395,CLIENTE!$A$2:$N$2000,14,0),1)</f>
        <v>1.1000000000000001</v>
      </c>
      <c r="U395" s="5">
        <f t="shared" si="148"/>
        <v>59.196937207318236</v>
      </c>
      <c r="V395" s="5" t="str">
        <f>IF(U395&gt;=MAX(_xlfn.PERCENTILE.INC($U$2:$U$1194,PARAMS_MODELO!$B$50),PARAMS_MODELO!$B$45),"DIAMANTE",IF(U395&gt;=MAX(_xlfn.PERCENTILE.INC($U$2:$U$1194,PARAMS_MODELO!$B$51),PARAMS_MODELO!$B$46),"PLATINO",IF(U395&gt;=MAX(_xlfn.PERCENTILE.INC($U$2:$U$1194,PARAMS_MODELO!$B$52),PARAMS_MODELO!$B$47),"ORO",IF(U395&gt;=MAX(_xlfn.PERCENTILE.INC($U$2:$U$1194,PARAMS_MODELO!$B$53),PARAMS_MODELO!$B$48),"PLATA",IF(U395&gt;=1,"BRONCE","CERRADO")))))</f>
        <v>PLATA</v>
      </c>
      <c r="W395" s="5" t="str" cm="1">
        <f t="array" ref="W395">_xlfn.XLOOKUP(1, (HIST_SCORE!$B:$B=PARAMS_MODELO!$B$4) * (HIST_SCORE!$C:$C=A395), HIST_SCORE!$E:$E, "No encontrado")</f>
        <v>PLATA</v>
      </c>
      <c r="X395" s="5" t="str">
        <f>_xlfn.LET(_xlpm.act,MATCH(V395,{"DIAMANTE";"PLATINO";"ORO";"PLATA";"BRONCE";"CERRADO"},0),_xlpm.ant,MATCH(W395,{"DIAMANTE";"PLATINO";"ORO";"PLATA";"BRONCE";"CERRADO"},0),IF(_xlpm.act&lt;_xlpm.ant,"Mejora ↑",IF(_xlpm.act&gt;_xlpm.ant,"Baja ↓","Estable →")))</f>
        <v>Estable →</v>
      </c>
      <c r="Y395" s="5">
        <f>IFERROR(U395-SUMIFS(HIST_SCORE!$D:$D,HIST_SCORE!$B:$B,PARAMS_MODELO!$B$4,HIST_SCORE!$C:$C,$A395),"")</f>
        <v>31.76739969559074</v>
      </c>
      <c r="Z395" s="5" t="str">
        <f t="shared" si="149"/>
        <v>↑ Mejora</v>
      </c>
      <c r="AA395" s="5">
        <f t="shared" si="150"/>
        <v>634</v>
      </c>
      <c r="AB395" s="5">
        <f>IFERROR(SUMIFS(HIST_SCORE!$F:$F,HIST_SCORE!$B:$B,PARAMS_MODELO!$B$4,HIST_SCORE!$C:$C,$A395),"")</f>
        <v>935</v>
      </c>
      <c r="AC395" s="5">
        <f t="shared" si="151"/>
        <v>301</v>
      </c>
      <c r="AD395" t="str">
        <f t="shared" si="153"/>
        <v/>
      </c>
      <c r="AE3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395="CERRADO",1,IF(V395="BRONCE",_xlpm.cPl,IF(V395="PLATA",_xlpm.cO,IF(V395="ORO",_xlpm.cP,IF(V395="PLATINO",_xlpm.cD,999))))))</f>
        <v>63.199193273331495</v>
      </c>
      <c r="AF3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395="CERRADO",0,IF(V395="BRONCE",1,IF(V395="PLATA",_xlpm.cPl,IF(V395="ORO",_xlpm.cO,IF(V395="PLATINO",_xlpm.cP,_xlpm.cD))))))</f>
        <v>24.506573482968111</v>
      </c>
      <c r="AG395">
        <f t="shared" si="154"/>
        <v>3.6384146054666004</v>
      </c>
      <c r="AH395" t="str">
        <f t="shared" si="155"/>
        <v>VENTAS</v>
      </c>
      <c r="AI395" t="str">
        <f t="shared" si="152"/>
        <v>🎯 Para subir de categoría, eje VENTAS / DIFERENCIAL vs LOTBA (J). Acción: metas semanales + activación comercial + seguimiento del asesor. ΔR aprox: 3,6</v>
      </c>
      <c r="AJ395" s="26">
        <f>_xlfn.LET(_xlpm.piso,AF395,_xlpm.corte,AE395,_xlpm.prog,IF(_xlpm.corte&lt;=_xlpm.piso,0,MAX(0,MIN(1,(U395-_xlpm.piso)/(_xlpm.corte-_xlpm.piso)))),_xlpm.orden,{"DIAMANTE";"PLATINO";"ORO";"PLATA";"BRONCE";"CERRADO"},_xlpm.act,IFERROR(MATCH(V395,_xlpm.orden,0),6),_xlpm.ant,IFERROR(MATCH(W395,_xlpm.orden,0),6),_xlpm.ajmov,IF(_xlpm.act&lt;_xlpm.ant,0.08,IF(_xlpm.act&gt;_xlpm.ant,-0.08,0)),_xlpm.ajcli,IF(T395&lt;0.95,-0.06,0),_xlpm.prob,MAX(0,MIN(1,_xlpm.prog+_xlpm.ajmov+_xlpm.ajcli)),IF(OR(V395="DIAMANTE",V395="CERRADO"),0,ROUND(_xlpm.prob,2)))</f>
        <v>0.9</v>
      </c>
      <c r="AK395" t="str">
        <f t="shared" si="156"/>
        <v>Faltan 3,6 puntos base para subir a la siguiente categoría</v>
      </c>
      <c r="AL395" t="str">
        <f t="shared" si="157"/>
        <v>Margen de seguridad: 34,7 puntos</v>
      </c>
      <c r="AM395">
        <f t="shared" si="158"/>
        <v>0.19</v>
      </c>
      <c r="AN395" t="str">
        <f t="shared" si="159"/>
        <v>PRIORIDAD BAJA – control normal</v>
      </c>
      <c r="AO395">
        <f t="shared" si="160"/>
        <v>43.228909294724446</v>
      </c>
      <c r="AP395">
        <f t="shared" si="161"/>
        <v>0.26197970078247262</v>
      </c>
      <c r="AQ395">
        <f t="shared" si="162"/>
        <v>1.0999999999997812E-2</v>
      </c>
      <c r="AR395">
        <f t="shared" si="163"/>
        <v>7.15</v>
      </c>
      <c r="AS395">
        <f t="shared" si="164"/>
        <v>0</v>
      </c>
      <c r="AT395" t="str">
        <f t="shared" si="165"/>
        <v>VENTAS</v>
      </c>
      <c r="AU395">
        <f t="shared" si="166"/>
        <v>43.228909294724446</v>
      </c>
      <c r="AV395" t="str">
        <f t="shared" si="167"/>
        <v>Mayor retorno probable: VENTAS (+43,2 puntos finales potenciales).</v>
      </c>
    </row>
    <row r="396" spans="1:48" x14ac:dyDescent="0.3">
      <c r="A396" s="5">
        <v>51030761</v>
      </c>
      <c r="B396" s="5" t="str">
        <f>IFERROR(VLOOKUP(A396,VENTAS!$A$2:$B$1194,2,0),"")</f>
        <v>LÓPEZ</v>
      </c>
      <c r="C396" s="5">
        <f>IFERROR(INDEX(VENTAS!$C$2:$E$1194,MATCH(A396,VENTAS!$A$2:$A$1194,0),MATCH(PARAMS_MODELO!$B$2,{"Q1","Q2","Q3"},0)),0)</f>
        <v>82719540.429999992</v>
      </c>
      <c r="D396" s="5">
        <f>IFERROR(INDEX(VENTAS!$F$2:$H$1194,MATCH(A396,VENTAS!$A$2:$A$1194,0),MATCH(PARAMS_MODELO!$B$2,{"Q1","Q2","Q3"},0)),0)</f>
        <v>89821407</v>
      </c>
      <c r="E396" s="8">
        <f t="shared" si="144"/>
        <v>8.5854763373713894E-2</v>
      </c>
      <c r="F396" s="12">
        <f>IF(E396&lt;=PARAMS_MODELO!$B$15,0,IF(E396&gt;=PARAMS_MODELO!$B$17,100,100*MIN(1,(E396-PARAMS_MODELO!$B$15)/(PARAMS_MODELO!$B$16-PARAMS_MODELO!$B$15))))*PARAMS_MODELO!$B$7</f>
        <v>30.049167180799859</v>
      </c>
      <c r="G396" s="5">
        <f t="shared" si="145"/>
        <v>7101866.5700000077</v>
      </c>
      <c r="H396" s="5">
        <f>(PARAMS_MODELO!$B$20*(MAX(0,MIN(3,E396))/3)+PARAMS_MODELO!$B$21*(IFERROR(LN(1+MAX(0,G396))/LN(1+MAX(0,MAX($G$2:$G$1194))),0)))*100*PARAMS_MODELO!$B$8</f>
        <v>3.9985754540476433</v>
      </c>
      <c r="I396" s="8">
        <f>E396-PARAMS_MODELO!$B$5</f>
        <v>-9.1708072001812635E-2</v>
      </c>
      <c r="J396" s="5">
        <f>IF(I396&lt;=PARAMS_MODELO!$B$18,0,IF(I396&gt;=PARAMS_MODELO!$B$19,100,100*(I396-PARAMS_MODELO!$B$18)/(PARAMS_MODELO!$B$19-PARAMS_MODELO!$B$18)))*PARAMS_MODELO!$B$9</f>
        <v>0</v>
      </c>
      <c r="K396" s="5">
        <f>IFERROR(CHOOSE(MATCH(PARAMS_MODELO!$B$2,{"Q1","Q2","Q3"},0),LOTO!$D396,LOTO!$F396,LOTO!$H396),0)</f>
        <v>4415000</v>
      </c>
      <c r="L396" s="8">
        <f t="shared" si="146"/>
        <v>4.9153093315494376E-2</v>
      </c>
      <c r="M396" s="5">
        <f>MIN(100,IF(PARAMS_MODELO!$B$23=0,0,100*L396/PARAMS_MODELO!$B$23))*PARAMS_MODELO!$B$10</f>
        <v>14.745927994648312</v>
      </c>
      <c r="N396" s="5">
        <f>IFERROR(VLOOKUP(A396,COMPLIANCE!$A$2:$F$1996,6,0),100)</f>
        <v>100</v>
      </c>
      <c r="O396" s="5">
        <f>N396*PARAMS_MODELO!$B$11</f>
        <v>10</v>
      </c>
      <c r="P396" s="5">
        <f>IFERROR(VLOOKUP(A396,DIGITAL!$A$2:$J$2000,7,0),100)</f>
        <v>26</v>
      </c>
      <c r="Q396" s="5">
        <f>IFERROR(P396,0)*PARAMS_MODELO!$B$12</f>
        <v>2.6</v>
      </c>
      <c r="R396">
        <f t="shared" si="147"/>
        <v>61.393670629495816</v>
      </c>
      <c r="S396" s="5" t="str">
        <f>IFERROR(VLOOKUP(A396,CLIENTE!$A$2:$N$2000,13,0),1)</f>
        <v>Regular</v>
      </c>
      <c r="T396" s="5">
        <f>IFERROR(VLOOKUP(A396,CLIENTE!$A$2:$N$2000,14,0),1)</f>
        <v>1</v>
      </c>
      <c r="U396" s="5">
        <f t="shared" si="148"/>
        <v>61.393670629495816</v>
      </c>
      <c r="V396" s="5" t="str">
        <f>IF(U396&gt;=MAX(_xlfn.PERCENTILE.INC($U$2:$U$1194,PARAMS_MODELO!$B$50),PARAMS_MODELO!$B$45),"DIAMANTE",IF(U396&gt;=MAX(_xlfn.PERCENTILE.INC($U$2:$U$1194,PARAMS_MODELO!$B$51),PARAMS_MODELO!$B$46),"PLATINO",IF(U396&gt;=MAX(_xlfn.PERCENTILE.INC($U$2:$U$1194,PARAMS_MODELO!$B$52),PARAMS_MODELO!$B$47),"ORO",IF(U396&gt;=MAX(_xlfn.PERCENTILE.INC($U$2:$U$1194,PARAMS_MODELO!$B$53),PARAMS_MODELO!$B$48),"PLATA",IF(U396&gt;=1,"BRONCE","CERRADO")))))</f>
        <v>PLATA</v>
      </c>
      <c r="W396" s="5" t="str" cm="1">
        <f t="array" ref="W396">_xlfn.XLOOKUP(1, (HIST_SCORE!$B:$B=PARAMS_MODELO!$B$4) * (HIST_SCORE!$C:$C=A396), HIST_SCORE!$E:$E, "No encontrado")</f>
        <v>PLATA</v>
      </c>
      <c r="X396" s="5" t="str">
        <f>_xlfn.LET(_xlpm.act,MATCH(V396,{"DIAMANTE";"PLATINO";"ORO";"PLATA";"BRONCE";"CERRADO"},0),_xlpm.ant,MATCH(W396,{"DIAMANTE";"PLATINO";"ORO";"PLATA";"BRONCE";"CERRADO"},0),IF(_xlpm.act&lt;_xlpm.ant,"Mejora ↑",IF(_xlpm.act&gt;_xlpm.ant,"Baja ↓","Estable →")))</f>
        <v>Estable →</v>
      </c>
      <c r="Y396" s="5">
        <f>IFERROR(U396-SUMIFS(HIST_SCORE!$D:$D,HIST_SCORE!$B:$B,PARAMS_MODELO!$B$4,HIST_SCORE!$C:$C,$A396),"")</f>
        <v>30.985035015851054</v>
      </c>
      <c r="Z396" s="5" t="str">
        <f t="shared" si="149"/>
        <v>↑ Mejora</v>
      </c>
      <c r="AA396" s="5">
        <f t="shared" si="150"/>
        <v>592</v>
      </c>
      <c r="AB396" s="5">
        <f>IFERROR(SUMIFS(HIST_SCORE!$F:$F,HIST_SCORE!$B:$B,PARAMS_MODELO!$B$4,HIST_SCORE!$C:$C,$A396),"")</f>
        <v>906</v>
      </c>
      <c r="AC396" s="5">
        <f t="shared" si="151"/>
        <v>314</v>
      </c>
      <c r="AD396" t="str">
        <f t="shared" si="153"/>
        <v/>
      </c>
      <c r="AE3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396="CERRADO",1,IF(V396="BRONCE",_xlpm.cPl,IF(V396="PLATA",_xlpm.cO,IF(V396="ORO",_xlpm.cP,IF(V396="PLATINO",_xlpm.cD,999))))))</f>
        <v>63.199193273331495</v>
      </c>
      <c r="AF3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396="CERRADO",0,IF(V396="BRONCE",1,IF(V396="PLATA",_xlpm.cPl,IF(V396="ORO",_xlpm.cO,IF(V396="PLATINO",_xlpm.cP,_xlpm.cD))))))</f>
        <v>24.506573482968111</v>
      </c>
      <c r="AG396">
        <f t="shared" si="154"/>
        <v>1.8055226438356797</v>
      </c>
      <c r="AH396" t="str">
        <f t="shared" si="155"/>
        <v>VENTAS</v>
      </c>
      <c r="AI396" t="str">
        <f t="shared" si="152"/>
        <v>🎯 Para subir de categoría, eje VENTAS / DIFERENCIAL vs LOTBA (J). Acción: metas semanales + activación comercial + seguimiento del asesor. ΔR aprox: 1,8</v>
      </c>
      <c r="AJ396" s="26">
        <f>_xlfn.LET(_xlpm.piso,AF396,_xlpm.corte,AE396,_xlpm.prog,IF(_xlpm.corte&lt;=_xlpm.piso,0,MAX(0,MIN(1,(U396-_xlpm.piso)/(_xlpm.corte-_xlpm.piso)))),_xlpm.orden,{"DIAMANTE";"PLATINO";"ORO";"PLATA";"BRONCE";"CERRADO"},_xlpm.act,IFERROR(MATCH(V396,_xlpm.orden,0),6),_xlpm.ant,IFERROR(MATCH(W396,_xlpm.orden,0),6),_xlpm.ajmov,IF(_xlpm.act&lt;_xlpm.ant,0.08,IF(_xlpm.act&gt;_xlpm.ant,-0.08,0)),_xlpm.ajcli,IF(T396&lt;0.95,-0.06,0),_xlpm.prob,MAX(0,MIN(1,_xlpm.prog+_xlpm.ajmov+_xlpm.ajcli)),IF(OR(V396="DIAMANTE",V396="CERRADO"),0,ROUND(_xlpm.prob,2)))</f>
        <v>0.95</v>
      </c>
      <c r="AK396" t="str">
        <f t="shared" si="156"/>
        <v>Faltan 1,8 puntos base para subir a la siguiente categoría</v>
      </c>
      <c r="AL396" t="str">
        <f t="shared" si="157"/>
        <v>Margen de seguridad: 36,9 puntos</v>
      </c>
      <c r="AM396">
        <f t="shared" si="158"/>
        <v>0.09</v>
      </c>
      <c r="AN396" t="str">
        <f t="shared" si="159"/>
        <v>PRIORIDAD BAJA – control normal</v>
      </c>
      <c r="AO396">
        <f t="shared" si="160"/>
        <v>30.814826640448082</v>
      </c>
      <c r="AP396">
        <f t="shared" si="161"/>
        <v>0.25407200535168784</v>
      </c>
      <c r="AQ396">
        <f t="shared" si="162"/>
        <v>0</v>
      </c>
      <c r="AR396">
        <f t="shared" si="163"/>
        <v>7.4</v>
      </c>
      <c r="AS396">
        <f t="shared" si="164"/>
        <v>0</v>
      </c>
      <c r="AT396" t="str">
        <f t="shared" si="165"/>
        <v>VENTAS</v>
      </c>
      <c r="AU396">
        <f t="shared" si="166"/>
        <v>30.814826640448082</v>
      </c>
      <c r="AV396" t="str">
        <f t="shared" si="167"/>
        <v>Mayor retorno probable: VENTAS (+30,8 puntos finales potenciales).</v>
      </c>
    </row>
    <row r="397" spans="1:48" x14ac:dyDescent="0.3">
      <c r="A397" s="5">
        <v>51008294</v>
      </c>
      <c r="B397" s="5" t="str">
        <f>IFERROR(VLOOKUP(A397,VENTAS!$A$2:$B$1194,2,0),"")</f>
        <v>NELLI</v>
      </c>
      <c r="C397" s="5">
        <f>IFERROR(INDEX(VENTAS!$C$2:$E$1194,MATCH(A397,VENTAS!$A$2:$A$1194,0),MATCH(PARAMS_MODELO!$B$2,{"Q1","Q2","Q3"},0)),0)</f>
        <v>48166045.530000001</v>
      </c>
      <c r="D397" s="5">
        <f>IFERROR(INDEX(VENTAS!$F$2:$H$1194,MATCH(A397,VENTAS!$A$2:$A$1194,0),MATCH(PARAMS_MODELO!$B$2,{"Q1","Q2","Q3"},0)),0)</f>
        <v>89811698</v>
      </c>
      <c r="E397" s="8">
        <f t="shared" si="144"/>
        <v>0.86462677207040373</v>
      </c>
      <c r="F397" s="12">
        <f>IF(E397&lt;=PARAMS_MODELO!$B$15,0,IF(E397&gt;=PARAMS_MODELO!$B$17,100,100*MIN(1,(E397-PARAMS_MODELO!$B$15)/(PARAMS_MODELO!$B$16-PARAMS_MODELO!$B$15))))*PARAMS_MODELO!$B$7</f>
        <v>35</v>
      </c>
      <c r="G397" s="5">
        <f t="shared" si="145"/>
        <v>41645652.469999999</v>
      </c>
      <c r="H397" s="5">
        <f>(PARAMS_MODELO!$B$20*(MAX(0,MIN(3,E397))/3)+PARAMS_MODELO!$B$21*(IFERROR(LN(1+MAX(0,G397))/LN(1+MAX(0,MAX($G$2:$G$1194))),0)))*100*PARAMS_MODELO!$B$8</f>
        <v>7.1389180912241823</v>
      </c>
      <c r="I397" s="8">
        <f>E397-PARAMS_MODELO!$B$5</f>
        <v>0.6870639366948772</v>
      </c>
      <c r="J397" s="5">
        <f>IF(I397&lt;=PARAMS_MODELO!$B$18,0,IF(I397&gt;=PARAMS_MODELO!$B$19,100,100*(I397-PARAMS_MODELO!$B$18)/(PARAMS_MODELO!$B$19-PARAMS_MODELO!$B$18)))*PARAMS_MODELO!$B$9</f>
        <v>15</v>
      </c>
      <c r="K397" s="5">
        <f>IFERROR(CHOOSE(MATCH(PARAMS_MODELO!$B$2,{"Q1","Q2","Q3"},0),LOTO!$D397,LOTO!$F397,LOTO!$H397),0)</f>
        <v>4412500</v>
      </c>
      <c r="L397" s="8">
        <f t="shared" si="146"/>
        <v>4.913057094188332E-2</v>
      </c>
      <c r="M397" s="5">
        <f>MIN(100,IF(PARAMS_MODELO!$B$23=0,0,100*L397/PARAMS_MODELO!$B$23))*PARAMS_MODELO!$B$10</f>
        <v>14.739171282564996</v>
      </c>
      <c r="N397" s="5">
        <f>IFERROR(VLOOKUP(A397,COMPLIANCE!$A$2:$F$1996,6,0),100)</f>
        <v>100</v>
      </c>
      <c r="O397" s="5">
        <f>N397*PARAMS_MODELO!$B$11</f>
        <v>10</v>
      </c>
      <c r="P397" s="5">
        <f>IFERROR(VLOOKUP(A397,DIGITAL!$A$2:$J$2000,7,0),100)</f>
        <v>19</v>
      </c>
      <c r="Q397" s="5">
        <f>IFERROR(P397,0)*PARAMS_MODELO!$B$12</f>
        <v>1.9000000000000001</v>
      </c>
      <c r="R397">
        <f t="shared" si="147"/>
        <v>83.778089373789186</v>
      </c>
      <c r="S397" s="5" t="str">
        <f>IFERROR(VLOOKUP(A397,CLIENTE!$A$2:$N$2000,13,0),1)</f>
        <v>Malo</v>
      </c>
      <c r="T397" s="5">
        <f>IFERROR(VLOOKUP(A397,CLIENTE!$A$2:$N$2000,14,0),1)</f>
        <v>0.7</v>
      </c>
      <c r="U397" s="5">
        <f t="shared" si="148"/>
        <v>58.644662561652424</v>
      </c>
      <c r="V397" s="5" t="str">
        <f>IF(U397&gt;=MAX(_xlfn.PERCENTILE.INC($U$2:$U$1194,PARAMS_MODELO!$B$50),PARAMS_MODELO!$B$45),"DIAMANTE",IF(U397&gt;=MAX(_xlfn.PERCENTILE.INC($U$2:$U$1194,PARAMS_MODELO!$B$51),PARAMS_MODELO!$B$46),"PLATINO",IF(U397&gt;=MAX(_xlfn.PERCENTILE.INC($U$2:$U$1194,PARAMS_MODELO!$B$52),PARAMS_MODELO!$B$47),"ORO",IF(U397&gt;=MAX(_xlfn.PERCENTILE.INC($U$2:$U$1194,PARAMS_MODELO!$B$53),PARAMS_MODELO!$B$48),"PLATA",IF(U397&gt;=1,"BRONCE","CERRADO")))))</f>
        <v>PLATA</v>
      </c>
      <c r="W397" s="5" t="str" cm="1">
        <f t="array" ref="W397">_xlfn.XLOOKUP(1, (HIST_SCORE!$B:$B=PARAMS_MODELO!$B$4) * (HIST_SCORE!$C:$C=A397), HIST_SCORE!$E:$E, "No encontrado")</f>
        <v>PLATA</v>
      </c>
      <c r="X397" s="5" t="str">
        <f>_xlfn.LET(_xlpm.act,MATCH(V397,{"DIAMANTE";"PLATINO";"ORO";"PLATA";"BRONCE";"CERRADO"},0),_xlpm.ant,MATCH(W397,{"DIAMANTE";"PLATINO";"ORO";"PLATA";"BRONCE";"CERRADO"},0),IF(_xlpm.act&lt;_xlpm.ant,"Mejora ↑",IF(_xlpm.act&gt;_xlpm.ant,"Baja ↓","Estable →")))</f>
        <v>Estable →</v>
      </c>
      <c r="Y397" s="5">
        <f>IFERROR(U397-SUMIFS(HIST_SCORE!$D:$D,HIST_SCORE!$B:$B,PARAMS_MODELO!$B$4,HIST_SCORE!$C:$C,$A397),"")</f>
        <v>-0.46352937368107661</v>
      </c>
      <c r="Z397" s="5" t="str">
        <f t="shared" si="149"/>
        <v>→ Estable</v>
      </c>
      <c r="AA397" s="5">
        <f t="shared" si="150"/>
        <v>643</v>
      </c>
      <c r="AB397" s="5">
        <f>IFERROR(SUMIFS(HIST_SCORE!$F:$F,HIST_SCORE!$B:$B,PARAMS_MODELO!$B$4,HIST_SCORE!$C:$C,$A397),"")</f>
        <v>662</v>
      </c>
      <c r="AC397" s="5">
        <f t="shared" si="151"/>
        <v>19</v>
      </c>
      <c r="AD397" t="str">
        <f t="shared" si="153"/>
        <v/>
      </c>
      <c r="AE3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397="CERRADO",1,IF(V397="BRONCE",_xlpm.cPl,IF(V397="PLATA",_xlpm.cO,IF(V397="ORO",_xlpm.cP,IF(V397="PLATINO",_xlpm.cD,999))))))</f>
        <v>63.199193273331495</v>
      </c>
      <c r="AF3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397="CERRADO",0,IF(V397="BRONCE",1,IF(V397="PLATA",_xlpm.cPl,IF(V397="ORO",_xlpm.cO,IF(V397="PLATINO",_xlpm.cP,_xlpm.cD))))))</f>
        <v>24.506573482968111</v>
      </c>
      <c r="AG397">
        <f t="shared" si="154"/>
        <v>6.5064724452558096</v>
      </c>
      <c r="AH397" t="str">
        <f t="shared" si="155"/>
        <v>CLIENTE</v>
      </c>
      <c r="AI397" t="str">
        <f t="shared" si="152"/>
        <v>🎯 Para subir de categoría, la eje con mayor impacto probable es CLIENTE (coef T). Acción: reducir quejas, mejorar incógnito y empujar reseñas. ΔR aprox: 6,5</v>
      </c>
      <c r="AJ397" s="26">
        <f>_xlfn.LET(_xlpm.piso,AF397,_xlpm.corte,AE397,_xlpm.prog,IF(_xlpm.corte&lt;=_xlpm.piso,0,MAX(0,MIN(1,(U397-_xlpm.piso)/(_xlpm.corte-_xlpm.piso)))),_xlpm.orden,{"DIAMANTE";"PLATINO";"ORO";"PLATA";"BRONCE";"CERRADO"},_xlpm.act,IFERROR(MATCH(V397,_xlpm.orden,0),6),_xlpm.ant,IFERROR(MATCH(W397,_xlpm.orden,0),6),_xlpm.ajmov,IF(_xlpm.act&lt;_xlpm.ant,0.08,IF(_xlpm.act&gt;_xlpm.ant,-0.08,0)),_xlpm.ajcli,IF(T397&lt;0.95,-0.06,0),_xlpm.prob,MAX(0,MIN(1,_xlpm.prog+_xlpm.ajmov+_xlpm.ajcli)),IF(OR(V397="DIAMANTE",V397="CERRADO"),0,ROUND(_xlpm.prob,2)))</f>
        <v>0.82</v>
      </c>
      <c r="AK397" t="str">
        <f t="shared" si="156"/>
        <v>Faltan 6,5 puntos base para subir a la siguiente categoría</v>
      </c>
      <c r="AL397" t="str">
        <f t="shared" si="157"/>
        <v>Margen de seguridad: 34,1 puntos</v>
      </c>
      <c r="AM397">
        <f t="shared" si="158"/>
        <v>0.53</v>
      </c>
      <c r="AN397" t="str">
        <f t="shared" si="159"/>
        <v>PRIORIDAD MEDIA – seguimiento del asesor</v>
      </c>
      <c r="AO397">
        <f t="shared" si="160"/>
        <v>5.4065558288499798</v>
      </c>
      <c r="AP397">
        <f t="shared" si="161"/>
        <v>0.18258010220450271</v>
      </c>
      <c r="AQ397">
        <f t="shared" si="162"/>
        <v>0</v>
      </c>
      <c r="AR397">
        <f t="shared" si="163"/>
        <v>5.669999999999999</v>
      </c>
      <c r="AS397">
        <f t="shared" si="164"/>
        <v>25.133426812136758</v>
      </c>
      <c r="AT397" t="str">
        <f t="shared" si="165"/>
        <v>CLIENTE</v>
      </c>
      <c r="AU397">
        <f t="shared" si="166"/>
        <v>25.133426812136758</v>
      </c>
      <c r="AV397" t="str">
        <f t="shared" si="167"/>
        <v>Mayor retorno probable: CLIENTE (+25,1 puntos finales potenciales).</v>
      </c>
    </row>
    <row r="398" spans="1:48" x14ac:dyDescent="0.3">
      <c r="A398" s="5">
        <v>51055501</v>
      </c>
      <c r="B398" s="5" t="str">
        <f>IFERROR(VLOOKUP(A398,VENTAS!$A$2:$B$1194,2,0),"")</f>
        <v>LÓPEZ</v>
      </c>
      <c r="C398" s="5">
        <f>IFERROR(INDEX(VENTAS!$C$2:$E$1194,MATCH(A398,VENTAS!$A$2:$A$1194,0),MATCH(PARAMS_MODELO!$B$2,{"Q1","Q2","Q3"},0)),0)</f>
        <v>83865199.909999996</v>
      </c>
      <c r="D398" s="5">
        <f>IFERROR(INDEX(VENTAS!$F$2:$H$1194,MATCH(A398,VENTAS!$A$2:$A$1194,0),MATCH(PARAMS_MODELO!$B$2,{"Q1","Q2","Q3"},0)),0)</f>
        <v>89774679</v>
      </c>
      <c r="E398" s="8">
        <f t="shared" si="144"/>
        <v>7.0464019597422656E-2</v>
      </c>
      <c r="F398" s="12">
        <f>IF(E398&lt;=PARAMS_MODELO!$B$15,0,IF(E398&gt;=PARAMS_MODELO!$B$17,100,100*MIN(1,(E398-PARAMS_MODELO!$B$15)/(PARAMS_MODELO!$B$16-PARAMS_MODELO!$B$15))))*PARAMS_MODELO!$B$7</f>
        <v>24.662406859097931</v>
      </c>
      <c r="G398" s="5">
        <f t="shared" si="145"/>
        <v>5909479.0900000036</v>
      </c>
      <c r="H398" s="5">
        <f>(PARAMS_MODELO!$B$20*(MAX(0,MIN(3,E398))/3)+PARAMS_MODELO!$B$21*(IFERROR(LN(1+MAX(0,G398))/LN(1+MAX(0,MAX($G$2:$G$1194))),0)))*100*PARAMS_MODELO!$B$8</f>
        <v>3.9016225809889233</v>
      </c>
      <c r="I398" s="8">
        <f>E398-PARAMS_MODELO!$B$5</f>
        <v>-0.10709881577810387</v>
      </c>
      <c r="J398" s="5">
        <f>IF(I398&lt;=PARAMS_MODELO!$B$18,0,IF(I398&gt;=PARAMS_MODELO!$B$19,100,100*(I398-PARAMS_MODELO!$B$18)/(PARAMS_MODELO!$B$19-PARAMS_MODELO!$B$18)))*PARAMS_MODELO!$B$9</f>
        <v>0</v>
      </c>
      <c r="K398" s="5">
        <f>IFERROR(CHOOSE(MATCH(PARAMS_MODELO!$B$2,{"Q1","Q2","Q3"},0),LOTO!$D398,LOTO!$F398,LOTO!$H398),0)</f>
        <v>4412500</v>
      </c>
      <c r="L398" s="8">
        <f t="shared" si="146"/>
        <v>4.9150830157799842E-2</v>
      </c>
      <c r="M398" s="5">
        <f>MIN(100,IF(PARAMS_MODELO!$B$23=0,0,100*L398/PARAMS_MODELO!$B$23))*PARAMS_MODELO!$B$10</f>
        <v>14.745249047339954</v>
      </c>
      <c r="N398" s="5">
        <f>IFERROR(VLOOKUP(A398,COMPLIANCE!$A$2:$F$1996,6,0),100)</f>
        <v>100</v>
      </c>
      <c r="O398" s="5">
        <f>N398*PARAMS_MODELO!$B$11</f>
        <v>10</v>
      </c>
      <c r="P398" s="5">
        <f>IFERROR(VLOOKUP(A398,DIGITAL!$A$2:$J$2000,7,0),100)</f>
        <v>63</v>
      </c>
      <c r="Q398" s="5">
        <f>IFERROR(P398,0)*PARAMS_MODELO!$B$12</f>
        <v>6.3000000000000007</v>
      </c>
      <c r="R398">
        <f t="shared" si="147"/>
        <v>59.609278487426806</v>
      </c>
      <c r="S398" s="5" t="str">
        <f>IFERROR(VLOOKUP(A398,CLIENTE!$A$2:$N$2000,13,0),1)</f>
        <v>Regular</v>
      </c>
      <c r="T398" s="5">
        <f>IFERROR(VLOOKUP(A398,CLIENTE!$A$2:$N$2000,14,0),1)</f>
        <v>1</v>
      </c>
      <c r="U398" s="5">
        <f t="shared" si="148"/>
        <v>59.609278487426806</v>
      </c>
      <c r="V398" s="5" t="str">
        <f>IF(U398&gt;=MAX(_xlfn.PERCENTILE.INC($U$2:$U$1194,PARAMS_MODELO!$B$50),PARAMS_MODELO!$B$45),"DIAMANTE",IF(U398&gt;=MAX(_xlfn.PERCENTILE.INC($U$2:$U$1194,PARAMS_MODELO!$B$51),PARAMS_MODELO!$B$46),"PLATINO",IF(U398&gt;=MAX(_xlfn.PERCENTILE.INC($U$2:$U$1194,PARAMS_MODELO!$B$52),PARAMS_MODELO!$B$47),"ORO",IF(U398&gt;=MAX(_xlfn.PERCENTILE.INC($U$2:$U$1194,PARAMS_MODELO!$B$53),PARAMS_MODELO!$B$48),"PLATA",IF(U398&gt;=1,"BRONCE","CERRADO")))))</f>
        <v>PLATA</v>
      </c>
      <c r="W398" s="5" t="str" cm="1">
        <f t="array" ref="W398">_xlfn.XLOOKUP(1, (HIST_SCORE!$B:$B=PARAMS_MODELO!$B$4) * (HIST_SCORE!$C:$C=A398), HIST_SCORE!$E:$E, "No encontrado")</f>
        <v>ORO</v>
      </c>
      <c r="X398" s="5" t="str">
        <f>_xlfn.LET(_xlpm.act,MATCH(V398,{"DIAMANTE";"PLATINO";"ORO";"PLATA";"BRONCE";"CERRADO"},0),_xlpm.ant,MATCH(W398,{"DIAMANTE";"PLATINO";"ORO";"PLATA";"BRONCE";"CERRADO"},0),IF(_xlpm.act&lt;_xlpm.ant,"Mejora ↑",IF(_xlpm.act&gt;_xlpm.ant,"Baja ↓","Estable →")))</f>
        <v>Baja ↓</v>
      </c>
      <c r="Y398" s="5">
        <f>IFERROR(U398-SUMIFS(HIST_SCORE!$D:$D,HIST_SCORE!$B:$B,PARAMS_MODELO!$B$4,HIST_SCORE!$C:$C,$A398),"")</f>
        <v>-10.46954710360616</v>
      </c>
      <c r="Z398" s="5" t="str">
        <f t="shared" si="149"/>
        <v>↓ Baja</v>
      </c>
      <c r="AA398" s="5">
        <f t="shared" si="150"/>
        <v>628</v>
      </c>
      <c r="AB398" s="5">
        <f>IFERROR(SUMIFS(HIST_SCORE!$F:$F,HIST_SCORE!$B:$B,PARAMS_MODELO!$B$4,HIST_SCORE!$C:$C,$A398),"")</f>
        <v>542</v>
      </c>
      <c r="AC398" s="5">
        <f t="shared" si="151"/>
        <v>-86</v>
      </c>
      <c r="AD398" t="str">
        <f t="shared" si="153"/>
        <v/>
      </c>
      <c r="AE3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398="CERRADO",1,IF(V398="BRONCE",_xlpm.cPl,IF(V398="PLATA",_xlpm.cO,IF(V398="ORO",_xlpm.cP,IF(V398="PLATINO",_xlpm.cD,999))))))</f>
        <v>63.199193273331495</v>
      </c>
      <c r="AF3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398="CERRADO",0,IF(V398="BRONCE",1,IF(V398="PLATA",_xlpm.cPl,IF(V398="ORO",_xlpm.cO,IF(V398="PLATINO",_xlpm.cP,_xlpm.cD))))))</f>
        <v>24.506573482968111</v>
      </c>
      <c r="AG398">
        <f t="shared" si="154"/>
        <v>3.5899147859046892</v>
      </c>
      <c r="AH398" t="str">
        <f t="shared" si="155"/>
        <v>VENTAS</v>
      </c>
      <c r="AI398" t="str">
        <f t="shared" si="152"/>
        <v>🎯 Para subir de categoría, eje VENTAS / DIFERENCIAL vs LOTBA (J). Acción: metas semanales + activación comercial + seguimiento del asesor. ΔR aprox: 3,6</v>
      </c>
      <c r="AJ398" s="26">
        <f>_xlfn.LET(_xlpm.piso,AF398,_xlpm.corte,AE398,_xlpm.prog,IF(_xlpm.corte&lt;=_xlpm.piso,0,MAX(0,MIN(1,(U398-_xlpm.piso)/(_xlpm.corte-_xlpm.piso)))),_xlpm.orden,{"DIAMANTE";"PLATINO";"ORO";"PLATA";"BRONCE";"CERRADO"},_xlpm.act,IFERROR(MATCH(V398,_xlpm.orden,0),6),_xlpm.ant,IFERROR(MATCH(W398,_xlpm.orden,0),6),_xlpm.ajmov,IF(_xlpm.act&lt;_xlpm.ant,0.08,IF(_xlpm.act&gt;_xlpm.ant,-0.08,0)),_xlpm.ajcli,IF(T398&lt;0.95,-0.06,0),_xlpm.prob,MAX(0,MIN(1,_xlpm.prog+_xlpm.ajmov+_xlpm.ajcli)),IF(OR(V398="DIAMANTE",V398="CERRADO"),0,ROUND(_xlpm.prob,2)))</f>
        <v>0.83</v>
      </c>
      <c r="AK398" t="str">
        <f t="shared" si="156"/>
        <v>Faltan 3,6 puntos base para subir a la siguiente categoría</v>
      </c>
      <c r="AL398" t="str">
        <f t="shared" si="157"/>
        <v>Margen de seguridad: 35,1 puntos</v>
      </c>
      <c r="AM398">
        <f t="shared" si="158"/>
        <v>0.21</v>
      </c>
      <c r="AN398" t="str">
        <f t="shared" si="159"/>
        <v>PRIORIDAD BAJA – control normal</v>
      </c>
      <c r="AO398">
        <f t="shared" si="160"/>
        <v>36.298539835208729</v>
      </c>
      <c r="AP398">
        <f t="shared" si="161"/>
        <v>0.25475095266004644</v>
      </c>
      <c r="AQ398">
        <f t="shared" si="162"/>
        <v>0</v>
      </c>
      <c r="AR398">
        <f t="shared" si="163"/>
        <v>3.6999999999999993</v>
      </c>
      <c r="AS398">
        <f t="shared" si="164"/>
        <v>0</v>
      </c>
      <c r="AT398" t="str">
        <f t="shared" si="165"/>
        <v>VENTAS</v>
      </c>
      <c r="AU398">
        <f t="shared" si="166"/>
        <v>36.298539835208729</v>
      </c>
      <c r="AV398" t="str">
        <f t="shared" si="167"/>
        <v>Mayor retorno probable: VENTAS (+36,3 puntos finales potenciales).</v>
      </c>
    </row>
    <row r="399" spans="1:48" x14ac:dyDescent="0.3">
      <c r="A399" s="5">
        <v>51038886</v>
      </c>
      <c r="B399" s="5" t="str">
        <f>IFERROR(VLOOKUP(A399,VENTAS!$A$2:$B$1194,2,0),"")</f>
        <v>LÓPEZ</v>
      </c>
      <c r="C399" s="5">
        <f>IFERROR(INDEX(VENTAS!$C$2:$E$1194,MATCH(A399,VENTAS!$A$2:$A$1194,0),MATCH(PARAMS_MODELO!$B$2,{"Q1","Q2","Q3"},0)),0)</f>
        <v>45217025.299999997</v>
      </c>
      <c r="D399" s="5">
        <f>IFERROR(INDEX(VENTAS!$F$2:$H$1194,MATCH(A399,VENTAS!$A$2:$A$1194,0),MATCH(PARAMS_MODELO!$B$2,{"Q1","Q2","Q3"},0)),0)</f>
        <v>89772940</v>
      </c>
      <c r="E399" s="8">
        <f t="shared" si="144"/>
        <v>0.98537916646188584</v>
      </c>
      <c r="F399" s="12">
        <f>IF(E399&lt;=PARAMS_MODELO!$B$15,0,IF(E399&gt;=PARAMS_MODELO!$B$17,100,100*MIN(1,(E399-PARAMS_MODELO!$B$15)/(PARAMS_MODELO!$B$16-PARAMS_MODELO!$B$15))))*PARAMS_MODELO!$B$7</f>
        <v>35</v>
      </c>
      <c r="G399" s="5">
        <f t="shared" si="145"/>
        <v>44555914.700000003</v>
      </c>
      <c r="H399" s="5">
        <f>(PARAMS_MODELO!$B$20*(MAX(0,MIN(3,E399))/3)+PARAMS_MODELO!$B$21*(IFERROR(LN(1+MAX(0,G399))/LN(1+MAX(0,MAX($G$2:$G$1194))),0)))*100*PARAMS_MODELO!$B$8</f>
        <v>7.5773856489982805</v>
      </c>
      <c r="I399" s="8">
        <f>E399-PARAMS_MODELO!$B$5</f>
        <v>0.80781633108635931</v>
      </c>
      <c r="J399" s="5">
        <f>IF(I399&lt;=PARAMS_MODELO!$B$18,0,IF(I399&gt;=PARAMS_MODELO!$B$19,100,100*(I399-PARAMS_MODELO!$B$18)/(PARAMS_MODELO!$B$19-PARAMS_MODELO!$B$18)))*PARAMS_MODELO!$B$9</f>
        <v>15</v>
      </c>
      <c r="K399" s="5">
        <f>IFERROR(CHOOSE(MATCH(PARAMS_MODELO!$B$2,{"Q1","Q2","Q3"},0),LOTO!$D399,LOTO!$F399,LOTO!$H399),0)</f>
        <v>4410000</v>
      </c>
      <c r="L399" s="8">
        <f t="shared" si="146"/>
        <v>4.9123934227841934E-2</v>
      </c>
      <c r="M399" s="5">
        <f>MIN(100,IF(PARAMS_MODELO!$B$23=0,0,100*L399/PARAMS_MODELO!$B$23))*PARAMS_MODELO!$B$10</f>
        <v>14.737180268352578</v>
      </c>
      <c r="N399" s="5">
        <f>IFERROR(VLOOKUP(A399,COMPLIANCE!$A$2:$F$1996,6,0),100)</f>
        <v>100</v>
      </c>
      <c r="O399" s="5">
        <f>N399*PARAMS_MODELO!$B$11</f>
        <v>10</v>
      </c>
      <c r="P399" s="5">
        <f>IFERROR(VLOOKUP(A399,DIGITAL!$A$2:$J$2000,7,0),100)</f>
        <v>88</v>
      </c>
      <c r="Q399" s="5">
        <f>IFERROR(P399,0)*PARAMS_MODELO!$B$12</f>
        <v>8.8000000000000007</v>
      </c>
      <c r="R399">
        <f t="shared" si="147"/>
        <v>91.114565917350859</v>
      </c>
      <c r="S399" s="5" t="str">
        <f>IFERROR(VLOOKUP(A399,CLIENTE!$A$2:$N$2000,13,0),1)</f>
        <v>Bueno</v>
      </c>
      <c r="T399" s="5">
        <f>IFERROR(VLOOKUP(A399,CLIENTE!$A$2:$N$2000,14,0),1)</f>
        <v>1.1000000000000001</v>
      </c>
      <c r="U399" s="5">
        <f t="shared" si="148"/>
        <v>100</v>
      </c>
      <c r="V399" s="5" t="str">
        <f>IF(U399&gt;=MAX(_xlfn.PERCENTILE.INC($U$2:$U$1194,PARAMS_MODELO!$B$50),PARAMS_MODELO!$B$45),"DIAMANTE",IF(U399&gt;=MAX(_xlfn.PERCENTILE.INC($U$2:$U$1194,PARAMS_MODELO!$B$51),PARAMS_MODELO!$B$46),"PLATINO",IF(U399&gt;=MAX(_xlfn.PERCENTILE.INC($U$2:$U$1194,PARAMS_MODELO!$B$52),PARAMS_MODELO!$B$47),"ORO",IF(U399&gt;=MAX(_xlfn.PERCENTILE.INC($U$2:$U$1194,PARAMS_MODELO!$B$53),PARAMS_MODELO!$B$48),"PLATA",IF(U399&gt;=1,"BRONCE","CERRADO")))))</f>
        <v>DIAMANTE</v>
      </c>
      <c r="W399" s="5" t="str" cm="1">
        <f t="array" ref="W399">_xlfn.XLOOKUP(1, (HIST_SCORE!$B:$B=PARAMS_MODELO!$B$4) * (HIST_SCORE!$C:$C=A399), HIST_SCORE!$E:$E, "No encontrado")</f>
        <v>DIAMANTE</v>
      </c>
      <c r="X399" s="5" t="str">
        <f>_xlfn.LET(_xlpm.act,MATCH(V399,{"DIAMANTE";"PLATINO";"ORO";"PLATA";"BRONCE";"CERRADO"},0),_xlpm.ant,MATCH(W399,{"DIAMANTE";"PLATINO";"ORO";"PLATA";"BRONCE";"CERRADO"},0),IF(_xlpm.act&lt;_xlpm.ant,"Mejora ↑",IF(_xlpm.act&gt;_xlpm.ant,"Baja ↓","Estable →")))</f>
        <v>Estable →</v>
      </c>
      <c r="Y399" s="5">
        <f>IFERROR(U399-SUMIFS(HIST_SCORE!$D:$D,HIST_SCORE!$B:$B,PARAMS_MODELO!$B$4,HIST_SCORE!$C:$C,$A399),"")</f>
        <v>6.0964592023239561E-2</v>
      </c>
      <c r="Z399" s="5" t="str">
        <f t="shared" si="149"/>
        <v>→ Estable</v>
      </c>
      <c r="AA399" s="5">
        <f t="shared" si="150"/>
        <v>1</v>
      </c>
      <c r="AB399" s="5">
        <f>IFERROR(SUMIFS(HIST_SCORE!$F:$F,HIST_SCORE!$B:$B,PARAMS_MODELO!$B$4,HIST_SCORE!$C:$C,$A399),"")</f>
        <v>18</v>
      </c>
      <c r="AC399" s="5">
        <f t="shared" si="151"/>
        <v>17</v>
      </c>
      <c r="AD399" t="str">
        <f t="shared" si="153"/>
        <v/>
      </c>
      <c r="AE3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399="CERRADO",1,IF(V399="BRONCE",_xlpm.cPl,IF(V399="PLATA",_xlpm.cO,IF(V399="ORO",_xlpm.cP,IF(V399="PLATINO",_xlpm.cD,999))))))</f>
        <v>999</v>
      </c>
      <c r="AF3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399="CERRADO",0,IF(V399="BRONCE",1,IF(V399="PLATA",_xlpm.cPl,IF(V399="ORO",_xlpm.cO,IF(V399="PLATINO",_xlpm.cP,_xlpm.cD))))))</f>
        <v>96.054919694466676</v>
      </c>
      <c r="AG399">
        <f t="shared" si="154"/>
        <v>817.06725226446724</v>
      </c>
      <c r="AH399" t="str">
        <f t="shared" si="155"/>
        <v>SOSTENER</v>
      </c>
      <c r="AI399" t="str">
        <f t="shared" si="152"/>
        <v>✅ Mantener desempeño y monitorear variaciones para sostener categoría.</v>
      </c>
      <c r="AJ399" s="26">
        <f>_xlfn.LET(_xlpm.piso,AF399,_xlpm.corte,AE399,_xlpm.prog,IF(_xlpm.corte&lt;=_xlpm.piso,0,MAX(0,MIN(1,(U399-_xlpm.piso)/(_xlpm.corte-_xlpm.piso)))),_xlpm.orden,{"DIAMANTE";"PLATINO";"ORO";"PLATA";"BRONCE";"CERRADO"},_xlpm.act,IFERROR(MATCH(V399,_xlpm.orden,0),6),_xlpm.ant,IFERROR(MATCH(W399,_xlpm.orden,0),6),_xlpm.ajmov,IF(_xlpm.act&lt;_xlpm.ant,0.08,IF(_xlpm.act&gt;_xlpm.ant,-0.08,0)),_xlpm.ajcli,IF(T399&lt;0.95,-0.06,0),_xlpm.prob,MAX(0,MIN(1,_xlpm.prog+_xlpm.ajmov+_xlpm.ajcli)),IF(OR(V399="DIAMANTE",V399="CERRADO"),0,ROUND(_xlpm.prob,2)))</f>
        <v>0</v>
      </c>
      <c r="AK399" t="str">
        <f t="shared" si="156"/>
        <v>No aplica</v>
      </c>
      <c r="AL399" t="str">
        <f t="shared" si="157"/>
        <v>Margen de seguridad: 3,9 puntos</v>
      </c>
      <c r="AM399">
        <f t="shared" si="158"/>
        <v>0.8</v>
      </c>
      <c r="AN399" t="str">
        <f t="shared" si="159"/>
        <v>PRIORIDAD ALTA – requiere intervención inmediata</v>
      </c>
      <c r="AO399">
        <f t="shared" si="160"/>
        <v>8.0137019889270356</v>
      </c>
      <c r="AP399">
        <f t="shared" si="161"/>
        <v>0.28910170481216435</v>
      </c>
      <c r="AQ399">
        <f t="shared" si="162"/>
        <v>0</v>
      </c>
      <c r="AR399">
        <f t="shared" si="163"/>
        <v>1.3199999999999994</v>
      </c>
      <c r="AS399">
        <f t="shared" si="164"/>
        <v>0</v>
      </c>
      <c r="AT399" t="str">
        <f t="shared" si="165"/>
        <v>VENTAS</v>
      </c>
      <c r="AU399">
        <f t="shared" si="166"/>
        <v>8.0137019889270356</v>
      </c>
      <c r="AV399" t="str">
        <f t="shared" si="167"/>
        <v>Mayor retorno probable: VENTAS (+8,0 puntos finales potenciales).</v>
      </c>
    </row>
    <row r="400" spans="1:48" x14ac:dyDescent="0.3">
      <c r="A400" s="5">
        <v>51020316</v>
      </c>
      <c r="B400" s="5" t="str">
        <f>IFERROR(VLOOKUP(A400,VENTAS!$A$2:$B$1194,2,0),"")</f>
        <v>BELUZZO</v>
      </c>
      <c r="C400" s="5">
        <f>IFERROR(INDEX(VENTAS!$C$2:$E$1194,MATCH(A400,VENTAS!$A$2:$A$1194,0),MATCH(PARAMS_MODELO!$B$2,{"Q1","Q2","Q3"},0)),0)</f>
        <v>66248165.299999997</v>
      </c>
      <c r="D400" s="5">
        <f>IFERROR(INDEX(VENTAS!$F$2:$H$1194,MATCH(A400,VENTAS!$A$2:$A$1194,0),MATCH(PARAMS_MODELO!$B$2,{"Q1","Q2","Q3"},0)),0)</f>
        <v>88948375</v>
      </c>
      <c r="E400" s="8">
        <f t="shared" si="144"/>
        <v>0.34265416403916626</v>
      </c>
      <c r="F400" s="12">
        <f>IF(E400&lt;=PARAMS_MODELO!$B$15,0,IF(E400&gt;=PARAMS_MODELO!$B$17,100,100*MIN(1,(E400-PARAMS_MODELO!$B$15)/(PARAMS_MODELO!$B$16-PARAMS_MODELO!$B$15))))*PARAMS_MODELO!$B$7</f>
        <v>35</v>
      </c>
      <c r="G400" s="5">
        <f t="shared" si="145"/>
        <v>22700209.700000003</v>
      </c>
      <c r="H400" s="5">
        <f>(PARAMS_MODELO!$B$20*(MAX(0,MIN(3,E400))/3)+PARAMS_MODELO!$B$21*(IFERROR(LN(1+MAX(0,G400))/LN(1+MAX(0,MAX($G$2:$G$1194))),0)))*100*PARAMS_MODELO!$B$8</f>
        <v>5.1697662275211576</v>
      </c>
      <c r="I400" s="8">
        <f>E400-PARAMS_MODELO!$B$5</f>
        <v>0.16509132866363974</v>
      </c>
      <c r="J400" s="5">
        <f>IF(I400&lt;=PARAMS_MODELO!$B$18,0,IF(I400&gt;=PARAMS_MODELO!$B$19,100,100*(I400-PARAMS_MODELO!$B$18)/(PARAMS_MODELO!$B$19-PARAMS_MODELO!$B$18)))*PARAMS_MODELO!$B$9</f>
        <v>15</v>
      </c>
      <c r="K400" s="5">
        <f>IFERROR(CHOOSE(MATCH(PARAMS_MODELO!$B$2,{"Q1","Q2","Q3"},0),LOTO!$D400,LOTO!$F400,LOTO!$H400),0)</f>
        <v>4407500</v>
      </c>
      <c r="L400" s="8">
        <f t="shared" si="146"/>
        <v>4.9551214398239431E-2</v>
      </c>
      <c r="M400" s="5">
        <f>MIN(100,IF(PARAMS_MODELO!$B$23=0,0,100*L400/PARAMS_MODELO!$B$23))*PARAMS_MODELO!$B$10</f>
        <v>14.865364319471826</v>
      </c>
      <c r="N400" s="5">
        <f>IFERROR(VLOOKUP(A400,COMPLIANCE!$A$2:$F$1996,6,0),100)</f>
        <v>100</v>
      </c>
      <c r="O400" s="5">
        <f>N400*PARAMS_MODELO!$B$11</f>
        <v>10</v>
      </c>
      <c r="P400" s="5">
        <f>IFERROR(VLOOKUP(A400,DIGITAL!$A$2:$J$2000,7,0),100)</f>
        <v>55</v>
      </c>
      <c r="Q400" s="5">
        <f>IFERROR(P400,0)*PARAMS_MODELO!$B$12</f>
        <v>5.5</v>
      </c>
      <c r="R400">
        <f t="shared" si="147"/>
        <v>85.535130546992988</v>
      </c>
      <c r="S400" s="5" t="str">
        <f>IFERROR(VLOOKUP(A400,CLIENTE!$A$2:$N$2000,13,0),1)</f>
        <v>Muy Bueno</v>
      </c>
      <c r="T400" s="5">
        <f>IFERROR(VLOOKUP(A400,CLIENTE!$A$2:$N$2000,14,0),1)</f>
        <v>1.1499999999999999</v>
      </c>
      <c r="U400" s="5">
        <f t="shared" si="148"/>
        <v>98.36540012904193</v>
      </c>
      <c r="V400" s="5" t="str">
        <f>IF(U400&gt;=MAX(_xlfn.PERCENTILE.INC($U$2:$U$1194,PARAMS_MODELO!$B$50),PARAMS_MODELO!$B$45),"DIAMANTE",IF(U400&gt;=MAX(_xlfn.PERCENTILE.INC($U$2:$U$1194,PARAMS_MODELO!$B$51),PARAMS_MODELO!$B$46),"PLATINO",IF(U400&gt;=MAX(_xlfn.PERCENTILE.INC($U$2:$U$1194,PARAMS_MODELO!$B$52),PARAMS_MODELO!$B$47),"ORO",IF(U400&gt;=MAX(_xlfn.PERCENTILE.INC($U$2:$U$1194,PARAMS_MODELO!$B$53),PARAMS_MODELO!$B$48),"PLATA",IF(U400&gt;=1,"BRONCE","CERRADO")))))</f>
        <v>DIAMANTE</v>
      </c>
      <c r="W400" s="5" t="str" cm="1">
        <f t="array" ref="W400">_xlfn.XLOOKUP(1, (HIST_SCORE!$B:$B=PARAMS_MODELO!$B$4) * (HIST_SCORE!$C:$C=A400), HIST_SCORE!$E:$E, "No encontrado")</f>
        <v>DIAMANTE</v>
      </c>
      <c r="X400" s="5" t="str">
        <f>_xlfn.LET(_xlpm.act,MATCH(V400,{"DIAMANTE";"PLATINO";"ORO";"PLATA";"BRONCE";"CERRADO"},0),_xlpm.ant,MATCH(W400,{"DIAMANTE";"PLATINO";"ORO";"PLATA";"BRONCE";"CERRADO"},0),IF(_xlpm.act&lt;_xlpm.ant,"Mejora ↑",IF(_xlpm.act&gt;_xlpm.ant,"Baja ↓","Estable →")))</f>
        <v>Estable →</v>
      </c>
      <c r="Y400" s="5">
        <f>IFERROR(U400-SUMIFS(HIST_SCORE!$D:$D,HIST_SCORE!$B:$B,PARAMS_MODELO!$B$4,HIST_SCORE!$C:$C,$A400),"")</f>
        <v>2.4111612003462284</v>
      </c>
      <c r="Z400" s="5" t="str">
        <f t="shared" si="149"/>
        <v>→ Estable</v>
      </c>
      <c r="AA400" s="5">
        <f t="shared" si="150"/>
        <v>31</v>
      </c>
      <c r="AB400" s="5">
        <f>IFERROR(SUMIFS(HIST_SCORE!$F:$F,HIST_SCORE!$B:$B,PARAMS_MODELO!$B$4,HIST_SCORE!$C:$C,$A400),"")</f>
        <v>53</v>
      </c>
      <c r="AC400" s="5">
        <f t="shared" si="151"/>
        <v>22</v>
      </c>
      <c r="AD400" t="str">
        <f t="shared" si="153"/>
        <v/>
      </c>
      <c r="AE4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400="CERRADO",1,IF(V400="BRONCE",_xlpm.cPl,IF(V400="PLATA",_xlpm.cO,IF(V400="ORO",_xlpm.cP,IF(V400="PLATINO",_xlpm.cD,999))))))</f>
        <v>999</v>
      </c>
      <c r="AF4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400="CERRADO",0,IF(V400="BRONCE",1,IF(V400="PLATA",_xlpm.cPl,IF(V400="ORO",_xlpm.cO,IF(V400="PLATINO",_xlpm.cP,_xlpm.cD))))))</f>
        <v>96.054919694466676</v>
      </c>
      <c r="AG400">
        <f t="shared" si="154"/>
        <v>783.16052162692017</v>
      </c>
      <c r="AH400" t="str">
        <f t="shared" si="155"/>
        <v>SOSTENER</v>
      </c>
      <c r="AI400" t="str">
        <f t="shared" si="152"/>
        <v>✅ Mantener desempeño y monitorear variaciones para sostener categoría.</v>
      </c>
      <c r="AJ400" s="26">
        <f>_xlfn.LET(_xlpm.piso,AF400,_xlpm.corte,AE400,_xlpm.prog,IF(_xlpm.corte&lt;=_xlpm.piso,0,MAX(0,MIN(1,(U400-_xlpm.piso)/(_xlpm.corte-_xlpm.piso)))),_xlpm.orden,{"DIAMANTE";"PLATINO";"ORO";"PLATA";"BRONCE";"CERRADO"},_xlpm.act,IFERROR(MATCH(V400,_xlpm.orden,0),6),_xlpm.ant,IFERROR(MATCH(W400,_xlpm.orden,0),6),_xlpm.ajmov,IF(_xlpm.act&lt;_xlpm.ant,0.08,IF(_xlpm.act&gt;_xlpm.ant,-0.08,0)),_xlpm.ajcli,IF(T400&lt;0.95,-0.06,0),_xlpm.prob,MAX(0,MIN(1,_xlpm.prog+_xlpm.ajmov+_xlpm.ajcli)),IF(OR(V400="DIAMANTE",V400="CERRADO"),0,ROUND(_xlpm.prob,2)))</f>
        <v>0</v>
      </c>
      <c r="AK400" t="str">
        <f t="shared" si="156"/>
        <v>No aplica</v>
      </c>
      <c r="AL400" t="str">
        <f t="shared" si="157"/>
        <v>Margen de seguridad: 2,3 puntos</v>
      </c>
      <c r="AM400">
        <f t="shared" si="158"/>
        <v>0.8</v>
      </c>
      <c r="AN400" t="str">
        <f t="shared" si="159"/>
        <v>PRIORIDAD ALTA – requiere intervención inmediata</v>
      </c>
      <c r="AO400">
        <f t="shared" si="160"/>
        <v>11.146723504940589</v>
      </c>
      <c r="AP400">
        <f t="shared" si="161"/>
        <v>0.15483103260739969</v>
      </c>
      <c r="AQ400">
        <f t="shared" si="162"/>
        <v>0</v>
      </c>
      <c r="AR400">
        <f t="shared" si="163"/>
        <v>5.1749999999999998</v>
      </c>
      <c r="AS400">
        <f t="shared" si="164"/>
        <v>0</v>
      </c>
      <c r="AT400" t="str">
        <f t="shared" si="165"/>
        <v>VENTAS</v>
      </c>
      <c r="AU400">
        <f t="shared" si="166"/>
        <v>11.146723504940589</v>
      </c>
      <c r="AV400" t="str">
        <f t="shared" si="167"/>
        <v>Mayor retorno probable: VENTAS (+11,1 puntos finales potenciales).</v>
      </c>
    </row>
    <row r="401" spans="1:48" x14ac:dyDescent="0.3">
      <c r="A401" s="5">
        <v>51055675</v>
      </c>
      <c r="B401" s="5" t="str">
        <f>IFERROR(VLOOKUP(A401,VENTAS!$A$2:$B$1194,2,0),"")</f>
        <v>PRADES</v>
      </c>
      <c r="C401" s="5">
        <f>IFERROR(INDEX(VENTAS!$C$2:$E$1194,MATCH(A401,VENTAS!$A$2:$A$1194,0),MATCH(PARAMS_MODELO!$B$2,{"Q1","Q2","Q3"},0)),0)</f>
        <v>58556580.399999991</v>
      </c>
      <c r="D401" s="5">
        <f>IFERROR(INDEX(VENTAS!$F$2:$H$1194,MATCH(A401,VENTAS!$A$2:$A$1194,0),MATCH(PARAMS_MODELO!$B$2,{"Q1","Q2","Q3"},0)),0)</f>
        <v>88939527</v>
      </c>
      <c r="E401" s="8">
        <f t="shared" si="144"/>
        <v>0.51886476963740202</v>
      </c>
      <c r="F401" s="12">
        <f>IF(E401&lt;=PARAMS_MODELO!$B$15,0,IF(E401&gt;=PARAMS_MODELO!$B$17,100,100*MIN(1,(E401-PARAMS_MODELO!$B$15)/(PARAMS_MODELO!$B$16-PARAMS_MODELO!$B$15))))*PARAMS_MODELO!$B$7</f>
        <v>35</v>
      </c>
      <c r="G401" s="5">
        <f t="shared" si="145"/>
        <v>30382946.600000009</v>
      </c>
      <c r="H401" s="5">
        <f>(PARAMS_MODELO!$B$20*(MAX(0,MIN(3,E401))/3)+PARAMS_MODELO!$B$21*(IFERROR(LN(1+MAX(0,G401))/LN(1+MAX(0,MAX($G$2:$G$1194))),0)))*100*PARAMS_MODELO!$B$8</f>
        <v>5.8548367303255917</v>
      </c>
      <c r="I401" s="8">
        <f>E401-PARAMS_MODELO!$B$5</f>
        <v>0.34130193426187549</v>
      </c>
      <c r="J401" s="5">
        <f>IF(I401&lt;=PARAMS_MODELO!$B$18,0,IF(I401&gt;=PARAMS_MODELO!$B$19,100,100*(I401-PARAMS_MODELO!$B$18)/(PARAMS_MODELO!$B$19-PARAMS_MODELO!$B$18)))*PARAMS_MODELO!$B$9</f>
        <v>15</v>
      </c>
      <c r="K401" s="5">
        <f>IFERROR(CHOOSE(MATCH(PARAMS_MODELO!$B$2,{"Q1","Q2","Q3"},0),LOTO!$D401,LOTO!$F401,LOTO!$H401),0)</f>
        <v>4407500</v>
      </c>
      <c r="L401" s="8">
        <f t="shared" si="146"/>
        <v>4.9556143917878041E-2</v>
      </c>
      <c r="M401" s="5">
        <f>MIN(100,IF(PARAMS_MODELO!$B$23=0,0,100*L401/PARAMS_MODELO!$B$23))*PARAMS_MODELO!$B$10</f>
        <v>14.866843175363408</v>
      </c>
      <c r="N401" s="5">
        <f>IFERROR(VLOOKUP(A401,COMPLIANCE!$A$2:$F$1996,6,0),100)</f>
        <v>100</v>
      </c>
      <c r="O401" s="5">
        <f>N401*PARAMS_MODELO!$B$11</f>
        <v>10</v>
      </c>
      <c r="P401" s="5">
        <f>IFERROR(VLOOKUP(A401,DIGITAL!$A$2:$J$2000,7,0),100)</f>
        <v>75</v>
      </c>
      <c r="Q401" s="5">
        <f>IFERROR(P401,0)*PARAMS_MODELO!$B$12</f>
        <v>7.5</v>
      </c>
      <c r="R401">
        <f t="shared" si="147"/>
        <v>88.221679905689001</v>
      </c>
      <c r="S401" s="5" t="str">
        <f>IFERROR(VLOOKUP(A401,CLIENTE!$A$2:$N$2000,13,0),1)</f>
        <v>Regular</v>
      </c>
      <c r="T401" s="5">
        <f>IFERROR(VLOOKUP(A401,CLIENTE!$A$2:$N$2000,14,0),1)</f>
        <v>1</v>
      </c>
      <c r="U401" s="5">
        <f t="shared" si="148"/>
        <v>88.221679905689001</v>
      </c>
      <c r="V401" s="5" t="str">
        <f>IF(U401&gt;=MAX(_xlfn.PERCENTILE.INC($U$2:$U$1194,PARAMS_MODELO!$B$50),PARAMS_MODELO!$B$45),"DIAMANTE",IF(U401&gt;=MAX(_xlfn.PERCENTILE.INC($U$2:$U$1194,PARAMS_MODELO!$B$51),PARAMS_MODELO!$B$46),"PLATINO",IF(U401&gt;=MAX(_xlfn.PERCENTILE.INC($U$2:$U$1194,PARAMS_MODELO!$B$52),PARAMS_MODELO!$B$47),"ORO",IF(U401&gt;=MAX(_xlfn.PERCENTILE.INC($U$2:$U$1194,PARAMS_MODELO!$B$53),PARAMS_MODELO!$B$48),"PLATA",IF(U401&gt;=1,"BRONCE","CERRADO")))))</f>
        <v>PLATINO</v>
      </c>
      <c r="W401" s="5" t="str" cm="1">
        <f t="array" ref="W401">_xlfn.XLOOKUP(1, (HIST_SCORE!$B:$B=PARAMS_MODELO!$B$4) * (HIST_SCORE!$C:$C=A401), HIST_SCORE!$E:$E, "No encontrado")</f>
        <v>PLATINO</v>
      </c>
      <c r="X401" s="5" t="str">
        <f>_xlfn.LET(_xlpm.act,MATCH(V401,{"DIAMANTE";"PLATINO";"ORO";"PLATA";"BRONCE";"CERRADO"},0),_xlpm.ant,MATCH(W401,{"DIAMANTE";"PLATINO";"ORO";"PLATA";"BRONCE";"CERRADO"},0),IF(_xlpm.act&lt;_xlpm.ant,"Mejora ↑",IF(_xlpm.act&gt;_xlpm.ant,"Baja ↓","Estable →")))</f>
        <v>Estable →</v>
      </c>
      <c r="Y401" s="5">
        <f>IFERROR(U401-SUMIFS(HIST_SCORE!$D:$D,HIST_SCORE!$B:$B,PARAMS_MODELO!$B$4,HIST_SCORE!$C:$C,$A401),"")</f>
        <v>-1.3923505164127761</v>
      </c>
      <c r="Z401" s="5" t="str">
        <f t="shared" si="149"/>
        <v>→ Estable</v>
      </c>
      <c r="AA401" s="5">
        <f t="shared" si="150"/>
        <v>191</v>
      </c>
      <c r="AB401" s="5">
        <f>IFERROR(SUMIFS(HIST_SCORE!$F:$F,HIST_SCORE!$B:$B,PARAMS_MODELO!$B$4,HIST_SCORE!$C:$C,$A401),"")</f>
        <v>139</v>
      </c>
      <c r="AC401" s="5">
        <f t="shared" si="151"/>
        <v>-52</v>
      </c>
      <c r="AD401" t="str">
        <f t="shared" si="153"/>
        <v/>
      </c>
      <c r="AE4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401="CERRADO",1,IF(V401="BRONCE",_xlpm.cPl,IF(V401="PLATA",_xlpm.cO,IF(V401="ORO",_xlpm.cP,IF(V401="PLATINO",_xlpm.cD,999))))))</f>
        <v>96.054919694466676</v>
      </c>
      <c r="AF4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401="CERRADO",0,IF(V401="BRONCE",1,IF(V401="PLATA",_xlpm.cPl,IF(V401="ORO",_xlpm.cO,IF(V401="PLATINO",_xlpm.cP,_xlpm.cD))))))</f>
        <v>86.439123873763251</v>
      </c>
      <c r="AG401">
        <f t="shared" si="154"/>
        <v>7.833239788777675</v>
      </c>
      <c r="AH401" t="str">
        <f t="shared" si="155"/>
        <v>VENTAS</v>
      </c>
      <c r="AI401" t="str">
        <f t="shared" si="152"/>
        <v>🎯 Para subir de categoría, eje VENTAS / IMPACTO ABSOLUTO (H). Acción: metas semanales + activación comercial + seguimiento del asesor. ΔR aprox: 7,8</v>
      </c>
      <c r="AJ401" s="26">
        <f>_xlfn.LET(_xlpm.piso,AF401,_xlpm.corte,AE401,_xlpm.prog,IF(_xlpm.corte&lt;=_xlpm.piso,0,MAX(0,MIN(1,(U401-_xlpm.piso)/(_xlpm.corte-_xlpm.piso)))),_xlpm.orden,{"DIAMANTE";"PLATINO";"ORO";"PLATA";"BRONCE";"CERRADO"},_xlpm.act,IFERROR(MATCH(V401,_xlpm.orden,0),6),_xlpm.ant,IFERROR(MATCH(W401,_xlpm.orden,0),6),_xlpm.ajmov,IF(_xlpm.act&lt;_xlpm.ant,0.08,IF(_xlpm.act&gt;_xlpm.ant,-0.08,0)),_xlpm.ajcli,IF(T401&lt;0.95,-0.06,0),_xlpm.prob,MAX(0,MIN(1,_xlpm.prog+_xlpm.ajmov+_xlpm.ajcli)),IF(OR(V401="DIAMANTE",V401="CERRADO"),0,ROUND(_xlpm.prob,2)))</f>
        <v>0.19</v>
      </c>
      <c r="AK401" t="str">
        <f t="shared" si="156"/>
        <v>Faltan 7,8 puntos base para subir a la siguiente categoría</v>
      </c>
      <c r="AL401" t="str">
        <f t="shared" si="157"/>
        <v>Margen de seguridad: 1,8 puntos</v>
      </c>
      <c r="AM401">
        <f t="shared" si="158"/>
        <v>0.64</v>
      </c>
      <c r="AN401" t="str">
        <f t="shared" si="159"/>
        <v>PRIORIDAD MEDIA – seguimiento del asesor</v>
      </c>
      <c r="AO401">
        <f t="shared" si="160"/>
        <v>9.0077325449699899</v>
      </c>
      <c r="AP401">
        <f t="shared" si="161"/>
        <v>0.13315682463659151</v>
      </c>
      <c r="AQ401">
        <f t="shared" si="162"/>
        <v>0</v>
      </c>
      <c r="AR401">
        <f t="shared" si="163"/>
        <v>2.5</v>
      </c>
      <c r="AS401">
        <f t="shared" si="164"/>
        <v>0</v>
      </c>
      <c r="AT401" t="str">
        <f t="shared" si="165"/>
        <v>VENTAS</v>
      </c>
      <c r="AU401">
        <f t="shared" si="166"/>
        <v>9.0077325449699899</v>
      </c>
      <c r="AV401" t="str">
        <f t="shared" si="167"/>
        <v>Mayor retorno probable: VENTAS (+9,0 puntos finales potenciales).</v>
      </c>
    </row>
    <row r="402" spans="1:48" x14ac:dyDescent="0.3">
      <c r="A402" s="5">
        <v>51012577</v>
      </c>
      <c r="B402" s="5" t="str">
        <f>IFERROR(VLOOKUP(A402,VENTAS!$A$2:$B$1194,2,0),"")</f>
        <v>PRADES</v>
      </c>
      <c r="C402" s="5">
        <f>IFERROR(INDEX(VENTAS!$C$2:$E$1194,MATCH(A402,VENTAS!$A$2:$A$1194,0),MATCH(PARAMS_MODELO!$B$2,{"Q1","Q2","Q3"},0)),0)</f>
        <v>30965664</v>
      </c>
      <c r="D402" s="5">
        <f>IFERROR(INDEX(VENTAS!$F$2:$H$1194,MATCH(A402,VENTAS!$A$2:$A$1194,0),MATCH(PARAMS_MODELO!$B$2,{"Q1","Q2","Q3"},0)),0)</f>
        <v>88899622</v>
      </c>
      <c r="E402" s="8">
        <f t="shared" si="144"/>
        <v>1.8709095984507229</v>
      </c>
      <c r="F402" s="12">
        <f>IF(E402&lt;=PARAMS_MODELO!$B$15,0,IF(E402&gt;=PARAMS_MODELO!$B$17,100,100*MIN(1,(E402-PARAMS_MODELO!$B$15)/(PARAMS_MODELO!$B$16-PARAMS_MODELO!$B$15))))*PARAMS_MODELO!$B$7</f>
        <v>35</v>
      </c>
      <c r="G402" s="5">
        <f t="shared" si="145"/>
        <v>57933958</v>
      </c>
      <c r="H402" s="5">
        <f>(PARAMS_MODELO!$B$20*(MAX(0,MIN(3,E402))/3)+PARAMS_MODELO!$B$21*(IFERROR(LN(1+MAX(0,G402))/LN(1+MAX(0,MAX($G$2:$G$1194))),0)))*100*PARAMS_MODELO!$B$8</f>
        <v>10.73828960704777</v>
      </c>
      <c r="I402" s="8">
        <f>E402-PARAMS_MODELO!$B$5</f>
        <v>1.6933467630751964</v>
      </c>
      <c r="J402" s="5">
        <f>IF(I402&lt;=PARAMS_MODELO!$B$18,0,IF(I402&gt;=PARAMS_MODELO!$B$19,100,100*(I402-PARAMS_MODELO!$B$18)/(PARAMS_MODELO!$B$19-PARAMS_MODELO!$B$18)))*PARAMS_MODELO!$B$9</f>
        <v>15</v>
      </c>
      <c r="K402" s="5">
        <f>IFERROR(CHOOSE(MATCH(PARAMS_MODELO!$B$2,{"Q1","Q2","Q3"},0),LOTO!$D402,LOTO!$F402,LOTO!$H402),0)</f>
        <v>4380000</v>
      </c>
      <c r="L402" s="8">
        <f t="shared" si="146"/>
        <v>4.9269050885278227E-2</v>
      </c>
      <c r="M402" s="5">
        <f>MIN(100,IF(PARAMS_MODELO!$B$23=0,0,100*L402/PARAMS_MODELO!$B$23))*PARAMS_MODELO!$B$10</f>
        <v>14.780715265583467</v>
      </c>
      <c r="N402" s="5">
        <f>IFERROR(VLOOKUP(A402,COMPLIANCE!$A$2:$F$1996,6,0),100)</f>
        <v>100</v>
      </c>
      <c r="O402" s="5">
        <f>N402*PARAMS_MODELO!$B$11</f>
        <v>10</v>
      </c>
      <c r="P402" s="5">
        <f>IFERROR(VLOOKUP(A402,DIGITAL!$A$2:$J$2000,7,0),100)</f>
        <v>0</v>
      </c>
      <c r="Q402" s="5">
        <f>IFERROR(P402,0)*PARAMS_MODELO!$B$12</f>
        <v>0</v>
      </c>
      <c r="R402">
        <f t="shared" si="147"/>
        <v>85.519004872631228</v>
      </c>
      <c r="S402" s="5" t="str">
        <f>IFERROR(VLOOKUP(A402,CLIENTE!$A$2:$N$2000,13,0),1)</f>
        <v>Muy Bueno</v>
      </c>
      <c r="T402" s="5">
        <f>IFERROR(VLOOKUP(A402,CLIENTE!$A$2:$N$2000,14,0),1)</f>
        <v>1.1499999999999999</v>
      </c>
      <c r="U402" s="5">
        <f t="shared" si="148"/>
        <v>98.34685560352591</v>
      </c>
      <c r="V402" s="5" t="str">
        <f>IF(U402&gt;=MAX(_xlfn.PERCENTILE.INC($U$2:$U$1194,PARAMS_MODELO!$B$50),PARAMS_MODELO!$B$45),"DIAMANTE",IF(U402&gt;=MAX(_xlfn.PERCENTILE.INC($U$2:$U$1194,PARAMS_MODELO!$B$51),PARAMS_MODELO!$B$46),"PLATINO",IF(U402&gt;=MAX(_xlfn.PERCENTILE.INC($U$2:$U$1194,PARAMS_MODELO!$B$52),PARAMS_MODELO!$B$47),"ORO",IF(U402&gt;=MAX(_xlfn.PERCENTILE.INC($U$2:$U$1194,PARAMS_MODELO!$B$53),PARAMS_MODELO!$B$48),"PLATA",IF(U402&gt;=1,"BRONCE","CERRADO")))))</f>
        <v>DIAMANTE</v>
      </c>
      <c r="W402" s="5" t="str" cm="1">
        <f t="array" ref="W402">_xlfn.XLOOKUP(1, (HIST_SCORE!$B:$B=PARAMS_MODELO!$B$4) * (HIST_SCORE!$C:$C=A402), HIST_SCORE!$E:$E, "No encontrado")</f>
        <v>PLATINO</v>
      </c>
      <c r="X402" s="5" t="str">
        <f>_xlfn.LET(_xlpm.act,MATCH(V402,{"DIAMANTE";"PLATINO";"ORO";"PLATA";"BRONCE";"CERRADO"},0),_xlpm.ant,MATCH(W402,{"DIAMANTE";"PLATINO";"ORO";"PLATA";"BRONCE";"CERRADO"},0),IF(_xlpm.act&lt;_xlpm.ant,"Mejora ↑",IF(_xlpm.act&gt;_xlpm.ant,"Baja ↓","Estable →")))</f>
        <v>Mejora ↑</v>
      </c>
      <c r="Y402" s="5">
        <f>IFERROR(U402-SUMIFS(HIST_SCORE!$D:$D,HIST_SCORE!$B:$B,PARAMS_MODELO!$B$4,HIST_SCORE!$C:$C,$A402),"")</f>
        <v>4.6885363506782483</v>
      </c>
      <c r="Z402" s="5" t="str">
        <f t="shared" si="149"/>
        <v>→ Estable</v>
      </c>
      <c r="AA402" s="5">
        <f t="shared" si="150"/>
        <v>33</v>
      </c>
      <c r="AB402" s="5">
        <f>IFERROR(SUMIFS(HIST_SCORE!$F:$F,HIST_SCORE!$B:$B,PARAMS_MODELO!$B$4,HIST_SCORE!$C:$C,$A402),"")</f>
        <v>75</v>
      </c>
      <c r="AC402" s="5">
        <f t="shared" si="151"/>
        <v>42</v>
      </c>
      <c r="AD402" t="str">
        <f t="shared" si="153"/>
        <v/>
      </c>
      <c r="AE4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402="CERRADO",1,IF(V402="BRONCE",_xlpm.cPl,IF(V402="PLATA",_xlpm.cO,IF(V402="ORO",_xlpm.cP,IF(V402="PLATINO",_xlpm.cD,999))))))</f>
        <v>999</v>
      </c>
      <c r="AF4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402="CERRADO",0,IF(V402="BRONCE",1,IF(V402="PLATA",_xlpm.cPl,IF(V402="ORO",_xlpm.cO,IF(V402="PLATINO",_xlpm.cP,_xlpm.cD))))))</f>
        <v>96.054919694466676</v>
      </c>
      <c r="AG402">
        <f t="shared" si="154"/>
        <v>783.17664730128195</v>
      </c>
      <c r="AH402" t="str">
        <f t="shared" si="155"/>
        <v>SOSTENER</v>
      </c>
      <c r="AI402" t="str">
        <f t="shared" si="152"/>
        <v>✅ Mantener desempeño y monitorear variaciones para sostener categoría.</v>
      </c>
      <c r="AJ402" s="26">
        <f>_xlfn.LET(_xlpm.piso,AF402,_xlpm.corte,AE402,_xlpm.prog,IF(_xlpm.corte&lt;=_xlpm.piso,0,MAX(0,MIN(1,(U402-_xlpm.piso)/(_xlpm.corte-_xlpm.piso)))),_xlpm.orden,{"DIAMANTE";"PLATINO";"ORO";"PLATA";"BRONCE";"CERRADO"},_xlpm.act,IFERROR(MATCH(V402,_xlpm.orden,0),6),_xlpm.ant,IFERROR(MATCH(W402,_xlpm.orden,0),6),_xlpm.ajmov,IF(_xlpm.act&lt;_xlpm.ant,0.08,IF(_xlpm.act&gt;_xlpm.ant,-0.08,0)),_xlpm.ajcli,IF(T402&lt;0.95,-0.06,0),_xlpm.prob,MAX(0,MIN(1,_xlpm.prog+_xlpm.ajmov+_xlpm.ajcli)),IF(OR(V402="DIAMANTE",V402="CERRADO"),0,ROUND(_xlpm.prob,2)))</f>
        <v>0</v>
      </c>
      <c r="AK402" t="str">
        <f t="shared" si="156"/>
        <v>No aplica</v>
      </c>
      <c r="AL402" t="str">
        <f t="shared" si="157"/>
        <v>Margen de seguridad: 2,3 puntos</v>
      </c>
      <c r="AM402">
        <f t="shared" si="158"/>
        <v>0.8</v>
      </c>
      <c r="AN402" t="str">
        <f t="shared" si="159"/>
        <v>PRIORIDAD ALTA – requiere intervención inmediata</v>
      </c>
      <c r="AO402">
        <f t="shared" si="160"/>
        <v>4.7429216184849876</v>
      </c>
      <c r="AP402">
        <f t="shared" si="161"/>
        <v>0.25217744457901287</v>
      </c>
      <c r="AQ402">
        <f t="shared" si="162"/>
        <v>0</v>
      </c>
      <c r="AR402">
        <f t="shared" si="163"/>
        <v>11.5</v>
      </c>
      <c r="AS402">
        <f t="shared" si="164"/>
        <v>0</v>
      </c>
      <c r="AT402" t="str">
        <f t="shared" si="165"/>
        <v>DIGITAL</v>
      </c>
      <c r="AU402">
        <f t="shared" si="166"/>
        <v>11.5</v>
      </c>
      <c r="AV402" t="str">
        <f t="shared" si="167"/>
        <v>Mayor retorno probable: DIGITAL (+11,5 puntos finales potenciales).</v>
      </c>
    </row>
    <row r="403" spans="1:48" x14ac:dyDescent="0.3">
      <c r="A403" s="5">
        <v>51017706</v>
      </c>
      <c r="B403" s="5" t="str">
        <f>IFERROR(VLOOKUP(A403,VENTAS!$A$2:$B$1194,2,0),"")</f>
        <v>ROBERTS</v>
      </c>
      <c r="C403" s="5">
        <f>IFERROR(INDEX(VENTAS!$C$2:$E$1194,MATCH(A403,VENTAS!$A$2:$A$1194,0),MATCH(PARAMS_MODELO!$B$2,{"Q1","Q2","Q3"},0)),0)</f>
        <v>53678356.399999999</v>
      </c>
      <c r="D403" s="5">
        <f>IFERROR(INDEX(VENTAS!$F$2:$H$1194,MATCH(A403,VENTAS!$A$2:$A$1194,0),MATCH(PARAMS_MODELO!$B$2,{"Q1","Q2","Q3"},0)),0)</f>
        <v>88639376</v>
      </c>
      <c r="E403" s="8">
        <f t="shared" si="144"/>
        <v>0.65130570205014693</v>
      </c>
      <c r="F403" s="12">
        <f>IF(E403&lt;=PARAMS_MODELO!$B$15,0,IF(E403&gt;=PARAMS_MODELO!$B$17,100,100*MIN(1,(E403-PARAMS_MODELO!$B$15)/(PARAMS_MODELO!$B$16-PARAMS_MODELO!$B$15))))*PARAMS_MODELO!$B$7</f>
        <v>35</v>
      </c>
      <c r="G403" s="5">
        <f t="shared" si="145"/>
        <v>34961019.600000001</v>
      </c>
      <c r="H403" s="5">
        <f>(PARAMS_MODELO!$B$20*(MAX(0,MIN(3,E403))/3)+PARAMS_MODELO!$B$21*(IFERROR(LN(1+MAX(0,G403))/LN(1+MAX(0,MAX($G$2:$G$1194))),0)))*100*PARAMS_MODELO!$B$8</f>
        <v>6.3512805151713838</v>
      </c>
      <c r="I403" s="8">
        <f>E403-PARAMS_MODELO!$B$5</f>
        <v>0.4737428666746204</v>
      </c>
      <c r="J403" s="5">
        <f>IF(I403&lt;=PARAMS_MODELO!$B$18,0,IF(I403&gt;=PARAMS_MODELO!$B$19,100,100*(I403-PARAMS_MODELO!$B$18)/(PARAMS_MODELO!$B$19-PARAMS_MODELO!$B$18)))*PARAMS_MODELO!$B$9</f>
        <v>15</v>
      </c>
      <c r="K403" s="5">
        <f>IFERROR(CHOOSE(MATCH(PARAMS_MODELO!$B$2,{"Q1","Q2","Q3"},0),LOTO!$D403,LOTO!$F403,LOTO!$H403),0)</f>
        <v>4377500</v>
      </c>
      <c r="L403" s="8">
        <f t="shared" si="146"/>
        <v>4.9385501089267599E-2</v>
      </c>
      <c r="M403" s="5">
        <f>MIN(100,IF(PARAMS_MODELO!$B$23=0,0,100*L403/PARAMS_MODELO!$B$23))*PARAMS_MODELO!$B$10</f>
        <v>14.815650326780279</v>
      </c>
      <c r="N403" s="5">
        <f>IFERROR(VLOOKUP(A403,COMPLIANCE!$A$2:$F$1996,6,0),100)</f>
        <v>100</v>
      </c>
      <c r="O403" s="5">
        <f>N403*PARAMS_MODELO!$B$11</f>
        <v>10</v>
      </c>
      <c r="P403" s="5">
        <f>IFERROR(VLOOKUP(A403,DIGITAL!$A$2:$J$2000,7,0),100)</f>
        <v>34</v>
      </c>
      <c r="Q403" s="5">
        <f>IFERROR(P403,0)*PARAMS_MODELO!$B$12</f>
        <v>3.4000000000000004</v>
      </c>
      <c r="R403">
        <f t="shared" si="147"/>
        <v>84.56693084195166</v>
      </c>
      <c r="S403" s="5" t="str">
        <f>IFERROR(VLOOKUP(A403,CLIENTE!$A$2:$N$2000,13,0),1)</f>
        <v>Muy Bueno</v>
      </c>
      <c r="T403" s="5">
        <f>IFERROR(VLOOKUP(A403,CLIENTE!$A$2:$N$2000,14,0),1)</f>
        <v>1.1499999999999999</v>
      </c>
      <c r="U403" s="5">
        <f t="shared" si="148"/>
        <v>97.251970468244394</v>
      </c>
      <c r="V403" s="5" t="str">
        <f>IF(U403&gt;=MAX(_xlfn.PERCENTILE.INC($U$2:$U$1194,PARAMS_MODELO!$B$50),PARAMS_MODELO!$B$45),"DIAMANTE",IF(U403&gt;=MAX(_xlfn.PERCENTILE.INC($U$2:$U$1194,PARAMS_MODELO!$B$51),PARAMS_MODELO!$B$46),"PLATINO",IF(U403&gt;=MAX(_xlfn.PERCENTILE.INC($U$2:$U$1194,PARAMS_MODELO!$B$52),PARAMS_MODELO!$B$47),"ORO",IF(U403&gt;=MAX(_xlfn.PERCENTILE.INC($U$2:$U$1194,PARAMS_MODELO!$B$53),PARAMS_MODELO!$B$48),"PLATA",IF(U403&gt;=1,"BRONCE","CERRADO")))))</f>
        <v>DIAMANTE</v>
      </c>
      <c r="W403" s="5" t="str" cm="1">
        <f t="array" ref="W403">_xlfn.XLOOKUP(1, (HIST_SCORE!$B:$B=PARAMS_MODELO!$B$4) * (HIST_SCORE!$C:$C=A403), HIST_SCORE!$E:$E, "No encontrado")</f>
        <v>DIAMANTE</v>
      </c>
      <c r="X403" s="5" t="str">
        <f>_xlfn.LET(_xlpm.act,MATCH(V403,{"DIAMANTE";"PLATINO";"ORO";"PLATA";"BRONCE";"CERRADO"},0),_xlpm.ant,MATCH(W403,{"DIAMANTE";"PLATINO";"ORO";"PLATA";"BRONCE";"CERRADO"},0),IF(_xlpm.act&lt;_xlpm.ant,"Mejora ↑",IF(_xlpm.act&gt;_xlpm.ant,"Baja ↓","Estable →")))</f>
        <v>Estable →</v>
      </c>
      <c r="Y403" s="5">
        <f>IFERROR(U403-SUMIFS(HIST_SCORE!$D:$D,HIST_SCORE!$B:$B,PARAMS_MODELO!$B$4,HIST_SCORE!$C:$C,$A403),"")</f>
        <v>-0.24916855833481577</v>
      </c>
      <c r="Z403" s="5" t="str">
        <f t="shared" si="149"/>
        <v>→ Estable</v>
      </c>
      <c r="AA403" s="5">
        <f t="shared" si="150"/>
        <v>45</v>
      </c>
      <c r="AB403" s="5">
        <f>IFERROR(SUMIFS(HIST_SCORE!$F:$F,HIST_SCORE!$B:$B,PARAMS_MODELO!$B$4,HIST_SCORE!$C:$C,$A403),"")</f>
        <v>35</v>
      </c>
      <c r="AC403" s="5">
        <f t="shared" si="151"/>
        <v>-10</v>
      </c>
      <c r="AD403" t="str">
        <f t="shared" si="153"/>
        <v/>
      </c>
      <c r="AE4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403="CERRADO",1,IF(V403="BRONCE",_xlpm.cPl,IF(V403="PLATA",_xlpm.cO,IF(V403="ORO",_xlpm.cP,IF(V403="PLATINO",_xlpm.cD,999))))))</f>
        <v>999</v>
      </c>
      <c r="AF4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403="CERRADO",0,IF(V403="BRONCE",1,IF(V403="PLATA",_xlpm.cPl,IF(V403="ORO",_xlpm.cO,IF(V403="PLATINO",_xlpm.cP,_xlpm.cD))))))</f>
        <v>96.054919694466676</v>
      </c>
      <c r="AG403">
        <f t="shared" si="154"/>
        <v>784.12872133196151</v>
      </c>
      <c r="AH403" t="str">
        <f t="shared" si="155"/>
        <v>SOSTENER</v>
      </c>
      <c r="AI403" t="str">
        <f t="shared" si="152"/>
        <v>✅ Mantener desempeño y monitorear variaciones para sostener categoría.</v>
      </c>
      <c r="AJ403" s="26">
        <f>_xlfn.LET(_xlpm.piso,AF403,_xlpm.corte,AE403,_xlpm.prog,IF(_xlpm.corte&lt;=_xlpm.piso,0,MAX(0,MIN(1,(U403-_xlpm.piso)/(_xlpm.corte-_xlpm.piso)))),_xlpm.orden,{"DIAMANTE";"PLATINO";"ORO";"PLATA";"BRONCE";"CERRADO"},_xlpm.act,IFERROR(MATCH(V403,_xlpm.orden,0),6),_xlpm.ant,IFERROR(MATCH(W403,_xlpm.orden,0),6),_xlpm.ajmov,IF(_xlpm.act&lt;_xlpm.ant,0.08,IF(_xlpm.act&gt;_xlpm.ant,-0.08,0)),_xlpm.ajcli,IF(T403&lt;0.95,-0.06,0),_xlpm.prob,MAX(0,MIN(1,_xlpm.prog+_xlpm.ajmov+_xlpm.ajcli)),IF(OR(V403="DIAMANTE",V403="CERRADO"),0,ROUND(_xlpm.prob,2)))</f>
        <v>0</v>
      </c>
      <c r="AK403" t="str">
        <f t="shared" si="156"/>
        <v>No aplica</v>
      </c>
      <c r="AL403" t="str">
        <f t="shared" si="157"/>
        <v>Margen de seguridad: 1,2 puntos</v>
      </c>
      <c r="AM403">
        <f t="shared" si="158"/>
        <v>0.8</v>
      </c>
      <c r="AN403" t="str">
        <f t="shared" si="159"/>
        <v>PRIORIDAD ALTA – requiere intervención inmediata</v>
      </c>
      <c r="AO403">
        <f t="shared" si="160"/>
        <v>9.7879820741428318</v>
      </c>
      <c r="AP403">
        <f t="shared" si="161"/>
        <v>0.21200212420267908</v>
      </c>
      <c r="AQ403">
        <f t="shared" si="162"/>
        <v>0</v>
      </c>
      <c r="AR403">
        <f t="shared" si="163"/>
        <v>7.589999999999999</v>
      </c>
      <c r="AS403">
        <f t="shared" si="164"/>
        <v>0</v>
      </c>
      <c r="AT403" t="str">
        <f t="shared" si="165"/>
        <v>VENTAS</v>
      </c>
      <c r="AU403">
        <f t="shared" si="166"/>
        <v>9.7879820741428318</v>
      </c>
      <c r="AV403" t="str">
        <f t="shared" si="167"/>
        <v>Mayor retorno probable: VENTAS (+9,8 puntos finales potenciales).</v>
      </c>
    </row>
    <row r="404" spans="1:48" x14ac:dyDescent="0.3">
      <c r="A404" s="5">
        <v>51011236</v>
      </c>
      <c r="B404" s="5" t="str">
        <f>IFERROR(VLOOKUP(A404,VENTAS!$A$2:$B$1194,2,0),"")</f>
        <v>ARGUELLO</v>
      </c>
      <c r="C404" s="5">
        <f>IFERROR(INDEX(VENTAS!$C$2:$E$1194,MATCH(A404,VENTAS!$A$2:$A$1194,0),MATCH(PARAMS_MODELO!$B$2,{"Q1","Q2","Q3"},0)),0)</f>
        <v>76789173.840000004</v>
      </c>
      <c r="D404" s="5">
        <f>IFERROR(INDEX(VENTAS!$F$2:$H$1194,MATCH(A404,VENTAS!$A$2:$A$1194,0),MATCH(PARAMS_MODELO!$B$2,{"Q1","Q2","Q3"},0)),0)</f>
        <v>88468841</v>
      </c>
      <c r="E404" s="8">
        <f t="shared" si="144"/>
        <v>0.15210044041281212</v>
      </c>
      <c r="F404" s="12">
        <f>IF(E404&lt;=PARAMS_MODELO!$B$15,0,IF(E404&gt;=PARAMS_MODELO!$B$17,100,100*MIN(1,(E404-PARAMS_MODELO!$B$15)/(PARAMS_MODELO!$B$16-PARAMS_MODELO!$B$15))))*PARAMS_MODELO!$B$7</f>
        <v>35</v>
      </c>
      <c r="G404" s="5">
        <f t="shared" si="145"/>
        <v>11679667.159999996</v>
      </c>
      <c r="H404" s="5">
        <f>(PARAMS_MODELO!$B$20*(MAX(0,MIN(3,E404))/3)+PARAMS_MODELO!$B$21*(IFERROR(LN(1+MAX(0,G404))/LN(1+MAX(0,MAX($G$2:$G$1194))),0)))*100*PARAMS_MODELO!$B$8</f>
        <v>4.3470543419070813</v>
      </c>
      <c r="I404" s="8">
        <f>E404-PARAMS_MODELO!$B$5</f>
        <v>-2.5462394962714407E-2</v>
      </c>
      <c r="J404" s="5">
        <f>IF(I404&lt;=PARAMS_MODELO!$B$18,0,IF(I404&gt;=PARAMS_MODELO!$B$19,100,100*(I404-PARAMS_MODELO!$B$18)/(PARAMS_MODELO!$B$19-PARAMS_MODELO!$B$18)))*PARAMS_MODELO!$B$9</f>
        <v>3.6806407555928389</v>
      </c>
      <c r="K404" s="5">
        <f>IFERROR(CHOOSE(MATCH(PARAMS_MODELO!$B$2,{"Q1","Q2","Q3"},0),LOTO!$D404,LOTO!$F404,LOTO!$H404),0)</f>
        <v>4362500</v>
      </c>
      <c r="L404" s="8">
        <f t="shared" si="146"/>
        <v>4.9311146734701772E-2</v>
      </c>
      <c r="M404" s="5">
        <f>MIN(100,IF(PARAMS_MODELO!$B$23=0,0,100*L404/PARAMS_MODELO!$B$23))*PARAMS_MODELO!$B$10</f>
        <v>14.793344020410531</v>
      </c>
      <c r="N404" s="5">
        <f>IFERROR(VLOOKUP(A404,COMPLIANCE!$A$2:$F$1996,6,0),100)</f>
        <v>99.9</v>
      </c>
      <c r="O404" s="5">
        <f>N404*PARAMS_MODELO!$B$11</f>
        <v>9.990000000000002</v>
      </c>
      <c r="P404" s="5">
        <f>IFERROR(VLOOKUP(A404,DIGITAL!$A$2:$J$2000,7,0),100)</f>
        <v>64</v>
      </c>
      <c r="Q404" s="5">
        <f>IFERROR(P404,0)*PARAMS_MODELO!$B$12</f>
        <v>6.4</v>
      </c>
      <c r="R404">
        <f t="shared" si="147"/>
        <v>74.21103911791046</v>
      </c>
      <c r="S404" s="5" t="str">
        <f>IFERROR(VLOOKUP(A404,CLIENTE!$A$2:$N$2000,13,0),1)</f>
        <v>Regular</v>
      </c>
      <c r="T404" s="5">
        <f>IFERROR(VLOOKUP(A404,CLIENTE!$A$2:$N$2000,14,0),1)</f>
        <v>1</v>
      </c>
      <c r="U404" s="5">
        <f t="shared" si="148"/>
        <v>74.21103911791046</v>
      </c>
      <c r="V404" s="5" t="str">
        <f>IF(U404&gt;=MAX(_xlfn.PERCENTILE.INC($U$2:$U$1194,PARAMS_MODELO!$B$50),PARAMS_MODELO!$B$45),"DIAMANTE",IF(U404&gt;=MAX(_xlfn.PERCENTILE.INC($U$2:$U$1194,PARAMS_MODELO!$B$51),PARAMS_MODELO!$B$46),"PLATINO",IF(U404&gt;=MAX(_xlfn.PERCENTILE.INC($U$2:$U$1194,PARAMS_MODELO!$B$52),PARAMS_MODELO!$B$47),"ORO",IF(U404&gt;=MAX(_xlfn.PERCENTILE.INC($U$2:$U$1194,PARAMS_MODELO!$B$53),PARAMS_MODELO!$B$48),"PLATA",IF(U404&gt;=1,"BRONCE","CERRADO")))))</f>
        <v>ORO</v>
      </c>
      <c r="W404" s="5" t="str" cm="1">
        <f t="array" ref="W404">_xlfn.XLOOKUP(1, (HIST_SCORE!$B:$B=PARAMS_MODELO!$B$4) * (HIST_SCORE!$C:$C=A404), HIST_SCORE!$E:$E, "No encontrado")</f>
        <v>ORO</v>
      </c>
      <c r="X404" s="5" t="str">
        <f>_xlfn.LET(_xlpm.act,MATCH(V404,{"DIAMANTE";"PLATINO";"ORO";"PLATA";"BRONCE";"CERRADO"},0),_xlpm.ant,MATCH(W404,{"DIAMANTE";"PLATINO";"ORO";"PLATA";"BRONCE";"CERRADO"},0),IF(_xlpm.act&lt;_xlpm.ant,"Mejora ↑",IF(_xlpm.act&gt;_xlpm.ant,"Baja ↓","Estable →")))</f>
        <v>Estable →</v>
      </c>
      <c r="Y404" s="5">
        <f>IFERROR(U404-SUMIFS(HIST_SCORE!$D:$D,HIST_SCORE!$B:$B,PARAMS_MODELO!$B$4,HIST_SCORE!$C:$C,$A404),"")</f>
        <v>-9.3692663882331004</v>
      </c>
      <c r="Z404" s="5" t="str">
        <f t="shared" si="149"/>
        <v>↓ Baja</v>
      </c>
      <c r="AA404" s="5">
        <f t="shared" si="150"/>
        <v>479</v>
      </c>
      <c r="AB404" s="5">
        <f>IFERROR(SUMIFS(HIST_SCORE!$F:$F,HIST_SCORE!$B:$B,PARAMS_MODELO!$B$4,HIST_SCORE!$C:$C,$A404),"")</f>
        <v>301</v>
      </c>
      <c r="AC404" s="5">
        <f t="shared" si="151"/>
        <v>-178</v>
      </c>
      <c r="AD404" t="str">
        <f t="shared" si="153"/>
        <v>Sostener base y reforzar mix</v>
      </c>
      <c r="AE4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404="CERRADO",1,IF(V404="BRONCE",_xlpm.cPl,IF(V404="PLATA",_xlpm.cO,IF(V404="ORO",_xlpm.cP,IF(V404="PLATINO",_xlpm.cD,999))))))</f>
        <v>86.439123873763251</v>
      </c>
      <c r="AF4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404="CERRADO",0,IF(V404="BRONCE",1,IF(V404="PLATA",_xlpm.cPl,IF(V404="ORO",_xlpm.cO,IF(V404="PLATINO",_xlpm.cP,_xlpm.cD))))))</f>
        <v>63.199193273331495</v>
      </c>
      <c r="AG404">
        <f t="shared" si="154"/>
        <v>12.228084755852791</v>
      </c>
      <c r="AH404" t="str">
        <f t="shared" si="155"/>
        <v>VENTAS</v>
      </c>
      <c r="AI404" t="str">
        <f t="shared" si="152"/>
        <v>🎯 Para subir de categoría, eje VENTAS / DIFERENCIAL vs LOTBA (J). Acción: metas semanales + activación comercial + seguimiento del asesor. ΔR aprox: 12,2</v>
      </c>
      <c r="AJ404" s="26">
        <f>_xlfn.LET(_xlpm.piso,AF404,_xlpm.corte,AE404,_xlpm.prog,IF(_xlpm.corte&lt;=_xlpm.piso,0,MAX(0,MIN(1,(U404-_xlpm.piso)/(_xlpm.corte-_xlpm.piso)))),_xlpm.orden,{"DIAMANTE";"PLATINO";"ORO";"PLATA";"BRONCE";"CERRADO"},_xlpm.act,IFERROR(MATCH(V404,_xlpm.orden,0),6),_xlpm.ant,IFERROR(MATCH(W404,_xlpm.orden,0),6),_xlpm.ajmov,IF(_xlpm.act&lt;_xlpm.ant,0.08,IF(_xlpm.act&gt;_xlpm.ant,-0.08,0)),_xlpm.ajcli,IF(T404&lt;0.95,-0.06,0),_xlpm.prob,MAX(0,MIN(1,_xlpm.prog+_xlpm.ajmov+_xlpm.ajcli)),IF(OR(V404="DIAMANTE",V404="CERRADO"),0,ROUND(_xlpm.prob,2)))</f>
        <v>0.47</v>
      </c>
      <c r="AK404" t="str">
        <f t="shared" si="156"/>
        <v>Faltan 12,2 puntos base para subir a la siguiente categoría</v>
      </c>
      <c r="AL404" t="str">
        <f t="shared" si="157"/>
        <v>Margen de seguridad: 11,0 puntos</v>
      </c>
      <c r="AM404">
        <f t="shared" si="158"/>
        <v>0.61</v>
      </c>
      <c r="AN404" t="str">
        <f t="shared" si="159"/>
        <v>PRIORIDAD MEDIA – seguimiento del asesor</v>
      </c>
      <c r="AO404">
        <f t="shared" si="160"/>
        <v>21.834874177795662</v>
      </c>
      <c r="AP404">
        <f t="shared" si="161"/>
        <v>0.20665597958946869</v>
      </c>
      <c r="AQ404">
        <f t="shared" si="162"/>
        <v>9.9999999999980105E-3</v>
      </c>
      <c r="AR404">
        <f t="shared" si="163"/>
        <v>3.5999999999999996</v>
      </c>
      <c r="AS404">
        <f t="shared" si="164"/>
        <v>0</v>
      </c>
      <c r="AT404" t="str">
        <f t="shared" si="165"/>
        <v>VENTAS</v>
      </c>
      <c r="AU404">
        <f t="shared" si="166"/>
        <v>21.834874177795662</v>
      </c>
      <c r="AV404" t="str">
        <f t="shared" si="167"/>
        <v>Mayor retorno probable: VENTAS (+21,8 puntos finales potenciales).</v>
      </c>
    </row>
    <row r="405" spans="1:48" x14ac:dyDescent="0.3">
      <c r="A405" s="5">
        <v>51030524</v>
      </c>
      <c r="B405" s="5" t="str">
        <f>IFERROR(VLOOKUP(A405,VENTAS!$A$2:$B$1194,2,0),"")</f>
        <v>AYALA</v>
      </c>
      <c r="C405" s="5">
        <f>IFERROR(INDEX(VENTAS!$C$2:$E$1194,MATCH(A405,VENTAS!$A$2:$A$1194,0),MATCH(PARAMS_MODELO!$B$2,{"Q1","Q2","Q3"},0)),0)</f>
        <v>117679284.58</v>
      </c>
      <c r="D405" s="5">
        <f>IFERROR(INDEX(VENTAS!$F$2:$H$1194,MATCH(A405,VENTAS!$A$2:$A$1194,0),MATCH(PARAMS_MODELO!$B$2,{"Q1","Q2","Q3"},0)),0)</f>
        <v>88449913</v>
      </c>
      <c r="E405" s="8">
        <f t="shared" si="144"/>
        <v>-0.24838162200186953</v>
      </c>
      <c r="F405" s="12">
        <f>IF(E405&lt;=PARAMS_MODELO!$B$15,0,IF(E405&gt;=PARAMS_MODELO!$B$17,100,100*MIN(1,(E405-PARAMS_MODELO!$B$15)/(PARAMS_MODELO!$B$16-PARAMS_MODELO!$B$15))))*PARAMS_MODELO!$B$7</f>
        <v>0</v>
      </c>
      <c r="G405" s="5">
        <f t="shared" si="145"/>
        <v>0</v>
      </c>
      <c r="H405" s="5">
        <f>(PARAMS_MODELO!$B$20*(MAX(0,MIN(3,E405))/3)+PARAMS_MODELO!$B$21*(IFERROR(LN(1+MAX(0,G405))/LN(1+MAX(0,MAX($G$2:$G$1194))),0)))*100*PARAMS_MODELO!$B$8</f>
        <v>0</v>
      </c>
      <c r="I405" s="8">
        <f>E405-PARAMS_MODELO!$B$5</f>
        <v>-0.42594445737739606</v>
      </c>
      <c r="J405" s="5">
        <f>IF(I405&lt;=PARAMS_MODELO!$B$18,0,IF(I405&gt;=PARAMS_MODELO!$B$19,100,100*(I405-PARAMS_MODELO!$B$18)/(PARAMS_MODELO!$B$19-PARAMS_MODELO!$B$18)))*PARAMS_MODELO!$B$9</f>
        <v>0</v>
      </c>
      <c r="K405" s="5">
        <f>IFERROR(CHOOSE(MATCH(PARAMS_MODELO!$B$2,{"Q1","Q2","Q3"},0),LOTO!$D405,LOTO!$F405,LOTO!$H405),0)</f>
        <v>4360000</v>
      </c>
      <c r="L405" s="8">
        <f t="shared" si="146"/>
        <v>4.9293434579183816E-2</v>
      </c>
      <c r="M405" s="5">
        <f>MIN(100,IF(PARAMS_MODELO!$B$23=0,0,100*L405/PARAMS_MODELO!$B$23))*PARAMS_MODELO!$B$10</f>
        <v>14.788030373755145</v>
      </c>
      <c r="N405" s="5">
        <f>IFERROR(VLOOKUP(A405,COMPLIANCE!$A$2:$F$1996,6,0),100)</f>
        <v>100</v>
      </c>
      <c r="O405" s="5">
        <f>N405*PARAMS_MODELO!$B$11</f>
        <v>10</v>
      </c>
      <c r="P405" s="5">
        <f>IFERROR(VLOOKUP(A405,DIGITAL!$A$2:$J$2000,7,0),100)</f>
        <v>20</v>
      </c>
      <c r="Q405" s="5">
        <f>IFERROR(P405,0)*PARAMS_MODELO!$B$12</f>
        <v>2</v>
      </c>
      <c r="R405">
        <f t="shared" si="147"/>
        <v>26.788030373755145</v>
      </c>
      <c r="S405" s="5" t="str">
        <f>IFERROR(VLOOKUP(A405,CLIENTE!$A$2:$N$2000,13,0),1)</f>
        <v>Regular</v>
      </c>
      <c r="T405" s="5">
        <f>IFERROR(VLOOKUP(A405,CLIENTE!$A$2:$N$2000,14,0),1)</f>
        <v>1</v>
      </c>
      <c r="U405" s="5">
        <f t="shared" si="148"/>
        <v>26.788030373755145</v>
      </c>
      <c r="V405" s="5" t="str">
        <f>IF(U405&gt;=MAX(_xlfn.PERCENTILE.INC($U$2:$U$1194,PARAMS_MODELO!$B$50),PARAMS_MODELO!$B$45),"DIAMANTE",IF(U405&gt;=MAX(_xlfn.PERCENTILE.INC($U$2:$U$1194,PARAMS_MODELO!$B$51),PARAMS_MODELO!$B$46),"PLATINO",IF(U405&gt;=MAX(_xlfn.PERCENTILE.INC($U$2:$U$1194,PARAMS_MODELO!$B$52),PARAMS_MODELO!$B$47),"ORO",IF(U405&gt;=MAX(_xlfn.PERCENTILE.INC($U$2:$U$1194,PARAMS_MODELO!$B$53),PARAMS_MODELO!$B$48),"PLATA",IF(U405&gt;=1,"BRONCE","CERRADO")))))</f>
        <v>PLATA</v>
      </c>
      <c r="W405" s="5" t="str" cm="1">
        <f t="array" ref="W405">_xlfn.XLOOKUP(1, (HIST_SCORE!$B:$B=PARAMS_MODELO!$B$4) * (HIST_SCORE!$C:$C=A405), HIST_SCORE!$E:$E, "No encontrado")</f>
        <v>PLATA</v>
      </c>
      <c r="X405" s="5" t="str">
        <f>_xlfn.LET(_xlpm.act,MATCH(V405,{"DIAMANTE";"PLATINO";"ORO";"PLATA";"BRONCE";"CERRADO"},0),_xlpm.ant,MATCH(W405,{"DIAMANTE";"PLATINO";"ORO";"PLATA";"BRONCE";"CERRADO"},0),IF(_xlpm.act&lt;_xlpm.ant,"Mejora ↑",IF(_xlpm.act&gt;_xlpm.ant,"Baja ↓","Estable →")))</f>
        <v>Estable →</v>
      </c>
      <c r="Y405" s="5">
        <f>IFERROR(U405-SUMIFS(HIST_SCORE!$D:$D,HIST_SCORE!$B:$B,PARAMS_MODELO!$B$4,HIST_SCORE!$C:$C,$A405),"")</f>
        <v>-5.7966293239034918</v>
      </c>
      <c r="Z405" s="5" t="str">
        <f t="shared" si="149"/>
        <v>↓ Baja</v>
      </c>
      <c r="AA405" s="5">
        <f t="shared" si="150"/>
        <v>900</v>
      </c>
      <c r="AB405" s="5">
        <f>IFERROR(SUMIFS(HIST_SCORE!$F:$F,HIST_SCORE!$B:$B,PARAMS_MODELO!$B$4,HIST_SCORE!$C:$C,$A405),"")</f>
        <v>883</v>
      </c>
      <c r="AC405" s="5">
        <f t="shared" si="151"/>
        <v>-17</v>
      </c>
      <c r="AD405" t="str">
        <f t="shared" si="153"/>
        <v/>
      </c>
      <c r="AE4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405="CERRADO",1,IF(V405="BRONCE",_xlpm.cPl,IF(V405="PLATA",_xlpm.cO,IF(V405="ORO",_xlpm.cP,IF(V405="PLATINO",_xlpm.cD,999))))))</f>
        <v>63.199193273331495</v>
      </c>
      <c r="AF4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405="CERRADO",0,IF(V405="BRONCE",1,IF(V405="PLATA",_xlpm.cPl,IF(V405="ORO",_xlpm.cO,IF(V405="PLATINO",_xlpm.cP,_xlpm.cD))))))</f>
        <v>24.506573482968111</v>
      </c>
      <c r="AG405">
        <f t="shared" si="154"/>
        <v>36.411162899576354</v>
      </c>
      <c r="AH405" t="str">
        <f t="shared" si="155"/>
        <v>VENTAS</v>
      </c>
      <c r="AI405" t="str">
        <f t="shared" si="152"/>
        <v>🎯 Para subir de categoría, eje VENTAS / CRECIMIENTO PERSONAL (F). Acción: metas semanales + activación comercial + seguimiento del asesor. ΔR aprox: 36,4</v>
      </c>
      <c r="AJ405" s="26">
        <f>_xlfn.LET(_xlpm.piso,AF405,_xlpm.corte,AE405,_xlpm.prog,IF(_xlpm.corte&lt;=_xlpm.piso,0,MAX(0,MIN(1,(U405-_xlpm.piso)/(_xlpm.corte-_xlpm.piso)))),_xlpm.orden,{"DIAMANTE";"PLATINO";"ORO";"PLATA";"BRONCE";"CERRADO"},_xlpm.act,IFERROR(MATCH(V405,_xlpm.orden,0),6),_xlpm.ant,IFERROR(MATCH(W405,_xlpm.orden,0),6),_xlpm.ajmov,IF(_xlpm.act&lt;_xlpm.ant,0.08,IF(_xlpm.act&gt;_xlpm.ant,-0.08,0)),_xlpm.ajcli,IF(T405&lt;0.95,-0.06,0),_xlpm.prob,MAX(0,MIN(1,_xlpm.prog+_xlpm.ajmov+_xlpm.ajcli)),IF(OR(V405="DIAMANTE",V405="CERRADO"),0,ROUND(_xlpm.prob,2)))</f>
        <v>0.06</v>
      </c>
      <c r="AK405" t="str">
        <f t="shared" si="156"/>
        <v>Faltan 36,4 puntos base para subir a la siguiente categoría</v>
      </c>
      <c r="AL405" t="str">
        <f t="shared" si="157"/>
        <v>Margen de seguridad: 2,3 puntos</v>
      </c>
      <c r="AM405">
        <f t="shared" si="158"/>
        <v>0.78</v>
      </c>
      <c r="AN405" t="str">
        <f t="shared" si="159"/>
        <v>PRIORIDAD ALTA – requiere intervención inmediata</v>
      </c>
      <c r="AO405">
        <f t="shared" si="160"/>
        <v>64.862569275295584</v>
      </c>
      <c r="AP405">
        <f t="shared" si="161"/>
        <v>0.21196962624485494</v>
      </c>
      <c r="AQ405">
        <f t="shared" si="162"/>
        <v>0</v>
      </c>
      <c r="AR405">
        <f t="shared" si="163"/>
        <v>8</v>
      </c>
      <c r="AS405">
        <f t="shared" si="164"/>
        <v>0</v>
      </c>
      <c r="AT405" t="str">
        <f t="shared" si="165"/>
        <v>VENTAS</v>
      </c>
      <c r="AU405">
        <f t="shared" si="166"/>
        <v>64.862569275295584</v>
      </c>
      <c r="AV405" t="str">
        <f t="shared" si="167"/>
        <v>Mayor retorno probable: VENTAS (+64,9 puntos finales potenciales).</v>
      </c>
    </row>
    <row r="406" spans="1:48" x14ac:dyDescent="0.3">
      <c r="A406" s="5">
        <v>51003365</v>
      </c>
      <c r="B406" s="5" t="str">
        <f>IFERROR(VLOOKUP(A406,VENTAS!$A$2:$B$1194,2,0),"")</f>
        <v>ARGUELLO</v>
      </c>
      <c r="C406" s="5">
        <f>IFERROR(INDEX(VENTAS!$C$2:$E$1194,MATCH(A406,VENTAS!$A$2:$A$1194,0),MATCH(PARAMS_MODELO!$B$2,{"Q1","Q2","Q3"},0)),0)</f>
        <v>64123826.939999998</v>
      </c>
      <c r="D406" s="5">
        <f>IFERROR(INDEX(VENTAS!$F$2:$H$1194,MATCH(A406,VENTAS!$A$2:$A$1194,0),MATCH(PARAMS_MODELO!$B$2,{"Q1","Q2","Q3"},0)),0)</f>
        <v>88263124</v>
      </c>
      <c r="E406" s="8">
        <f t="shared" si="144"/>
        <v>0.37644816617989596</v>
      </c>
      <c r="F406" s="12">
        <f>IF(E406&lt;=PARAMS_MODELO!$B$15,0,IF(E406&gt;=PARAMS_MODELO!$B$17,100,100*MIN(1,(E406-PARAMS_MODELO!$B$15)/(PARAMS_MODELO!$B$16-PARAMS_MODELO!$B$15))))*PARAMS_MODELO!$B$7</f>
        <v>35</v>
      </c>
      <c r="G406" s="5">
        <f t="shared" si="145"/>
        <v>24139297.060000002</v>
      </c>
      <c r="H406" s="5">
        <f>(PARAMS_MODELO!$B$20*(MAX(0,MIN(3,E406))/3)+PARAMS_MODELO!$B$21*(IFERROR(LN(1+MAX(0,G406))/LN(1+MAX(0,MAX($G$2:$G$1194))),0)))*100*PARAMS_MODELO!$B$8</f>
        <v>5.3024539417575847</v>
      </c>
      <c r="I406" s="8">
        <f>E406-PARAMS_MODELO!$B$5</f>
        <v>0.19888533080436943</v>
      </c>
      <c r="J406" s="5">
        <f>IF(I406&lt;=PARAMS_MODELO!$B$18,0,IF(I406&gt;=PARAMS_MODELO!$B$19,100,100*(I406-PARAMS_MODELO!$B$18)/(PARAMS_MODELO!$B$19-PARAMS_MODELO!$B$18)))*PARAMS_MODELO!$B$9</f>
        <v>15</v>
      </c>
      <c r="K406" s="5">
        <f>IFERROR(CHOOSE(MATCH(PARAMS_MODELO!$B$2,{"Q1","Q2","Q3"},0),LOTO!$D406,LOTO!$F406,LOTO!$H406),0)</f>
        <v>4357500</v>
      </c>
      <c r="L406" s="8">
        <f t="shared" si="146"/>
        <v>4.9369428618909979E-2</v>
      </c>
      <c r="M406" s="5">
        <f>MIN(100,IF(PARAMS_MODELO!$B$23=0,0,100*L406/PARAMS_MODELO!$B$23))*PARAMS_MODELO!$B$10</f>
        <v>14.810828585672994</v>
      </c>
      <c r="N406" s="5">
        <f>IFERROR(VLOOKUP(A406,COMPLIANCE!$A$2:$F$1996,6,0),100)</f>
        <v>100</v>
      </c>
      <c r="O406" s="5">
        <f>N406*PARAMS_MODELO!$B$11</f>
        <v>10</v>
      </c>
      <c r="P406" s="5">
        <f>IFERROR(VLOOKUP(A406,DIGITAL!$A$2:$J$2000,7,0),100)</f>
        <v>67</v>
      </c>
      <c r="Q406" s="5">
        <f>IFERROR(P406,0)*PARAMS_MODELO!$B$12</f>
        <v>6.7</v>
      </c>
      <c r="R406">
        <f t="shared" si="147"/>
        <v>86.813282527430587</v>
      </c>
      <c r="S406" s="5" t="str">
        <f>IFERROR(VLOOKUP(A406,CLIENTE!$A$2:$N$2000,13,0),1)</f>
        <v>Regular</v>
      </c>
      <c r="T406" s="5">
        <f>IFERROR(VLOOKUP(A406,CLIENTE!$A$2:$N$2000,14,0),1)</f>
        <v>1</v>
      </c>
      <c r="U406" s="5">
        <f t="shared" si="148"/>
        <v>86.813282527430587</v>
      </c>
      <c r="V406" s="5" t="str">
        <f>IF(U406&gt;=MAX(_xlfn.PERCENTILE.INC($U$2:$U$1194,PARAMS_MODELO!$B$50),PARAMS_MODELO!$B$45),"DIAMANTE",IF(U406&gt;=MAX(_xlfn.PERCENTILE.INC($U$2:$U$1194,PARAMS_MODELO!$B$51),PARAMS_MODELO!$B$46),"PLATINO",IF(U406&gt;=MAX(_xlfn.PERCENTILE.INC($U$2:$U$1194,PARAMS_MODELO!$B$52),PARAMS_MODELO!$B$47),"ORO",IF(U406&gt;=MAX(_xlfn.PERCENTILE.INC($U$2:$U$1194,PARAMS_MODELO!$B$53),PARAMS_MODELO!$B$48),"PLATA",IF(U406&gt;=1,"BRONCE","CERRADO")))))</f>
        <v>PLATINO</v>
      </c>
      <c r="W406" s="5" t="str" cm="1">
        <f t="array" ref="W406">_xlfn.XLOOKUP(1, (HIST_SCORE!$B:$B=PARAMS_MODELO!$B$4) * (HIST_SCORE!$C:$C=A406), HIST_SCORE!$E:$E, "No encontrado")</f>
        <v>ORO</v>
      </c>
      <c r="X406" s="5" t="str">
        <f>_xlfn.LET(_xlpm.act,MATCH(V406,{"DIAMANTE";"PLATINO";"ORO";"PLATA";"BRONCE";"CERRADO"},0),_xlpm.ant,MATCH(W406,{"DIAMANTE";"PLATINO";"ORO";"PLATA";"BRONCE";"CERRADO"},0),IF(_xlpm.act&lt;_xlpm.ant,"Mejora ↑",IF(_xlpm.act&gt;_xlpm.ant,"Baja ↓","Estable →")))</f>
        <v>Mejora ↑</v>
      </c>
      <c r="Y406" s="5">
        <f>IFERROR(U406-SUMIFS(HIST_SCORE!$D:$D,HIST_SCORE!$B:$B,PARAMS_MODELO!$B$4,HIST_SCORE!$C:$C,$A406),"")</f>
        <v>14.355617454686836</v>
      </c>
      <c r="Z406" s="5" t="str">
        <f t="shared" si="149"/>
        <v>↑ Mejora</v>
      </c>
      <c r="AA406" s="5">
        <f t="shared" si="150"/>
        <v>228</v>
      </c>
      <c r="AB406" s="5">
        <f>IFERROR(SUMIFS(HIST_SCORE!$F:$F,HIST_SCORE!$B:$B,PARAMS_MODELO!$B$4,HIST_SCORE!$C:$C,$A406),"")</f>
        <v>516</v>
      </c>
      <c r="AC406" s="5">
        <f t="shared" si="151"/>
        <v>288</v>
      </c>
      <c r="AD406" t="str">
        <f t="shared" si="153"/>
        <v/>
      </c>
      <c r="AE4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406="CERRADO",1,IF(V406="BRONCE",_xlpm.cPl,IF(V406="PLATA",_xlpm.cO,IF(V406="ORO",_xlpm.cP,IF(V406="PLATINO",_xlpm.cD,999))))))</f>
        <v>96.054919694466676</v>
      </c>
      <c r="AF4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406="CERRADO",0,IF(V406="BRONCE",1,IF(V406="PLATA",_xlpm.cPl,IF(V406="ORO",_xlpm.cO,IF(V406="PLATINO",_xlpm.cP,_xlpm.cD))))))</f>
        <v>86.439123873763251</v>
      </c>
      <c r="AG406">
        <f t="shared" si="154"/>
        <v>9.2416371670360888</v>
      </c>
      <c r="AH406" t="str">
        <f t="shared" si="155"/>
        <v>VENTAS</v>
      </c>
      <c r="AI406" t="str">
        <f t="shared" si="152"/>
        <v>🎯 Para subir de categoría, eje VENTAS / IMPACTO ABSOLUTO (H). Acción: metas semanales + activación comercial + seguimiento del asesor. ΔR aprox: 9,2</v>
      </c>
      <c r="AJ406" s="26">
        <f>_xlfn.LET(_xlpm.piso,AF406,_xlpm.corte,AE406,_xlpm.prog,IF(_xlpm.corte&lt;=_xlpm.piso,0,MAX(0,MIN(1,(U406-_xlpm.piso)/(_xlpm.corte-_xlpm.piso)))),_xlpm.orden,{"DIAMANTE";"PLATINO";"ORO";"PLATA";"BRONCE";"CERRADO"},_xlpm.act,IFERROR(MATCH(V406,_xlpm.orden,0),6),_xlpm.ant,IFERROR(MATCH(W406,_xlpm.orden,0),6),_xlpm.ajmov,IF(_xlpm.act&lt;_xlpm.ant,0.08,IF(_xlpm.act&gt;_xlpm.ant,-0.08,0)),_xlpm.ajcli,IF(T406&lt;0.95,-0.06,0),_xlpm.prob,MAX(0,MIN(1,_xlpm.prog+_xlpm.ajmov+_xlpm.ajcli)),IF(OR(V406="DIAMANTE",V406="CERRADO"),0,ROUND(_xlpm.prob,2)))</f>
        <v>0.12</v>
      </c>
      <c r="AK406" t="str">
        <f t="shared" si="156"/>
        <v>Faltan 9,2 puntos base para subir a la siguiente categoría</v>
      </c>
      <c r="AL406" t="str">
        <f t="shared" si="157"/>
        <v>Margen de seguridad: 0,4 puntos</v>
      </c>
      <c r="AM406">
        <f t="shared" si="158"/>
        <v>0.72</v>
      </c>
      <c r="AN406" t="str">
        <f t="shared" si="159"/>
        <v>PRIORIDAD ALTA – requiere intervención inmediata</v>
      </c>
      <c r="AO406">
        <f t="shared" si="160"/>
        <v>9.5601153335380005</v>
      </c>
      <c r="AP406">
        <f t="shared" si="161"/>
        <v>0.18917141432700646</v>
      </c>
      <c r="AQ406">
        <f t="shared" si="162"/>
        <v>0</v>
      </c>
      <c r="AR406">
        <f t="shared" si="163"/>
        <v>3.3</v>
      </c>
      <c r="AS406">
        <f t="shared" si="164"/>
        <v>0</v>
      </c>
      <c r="AT406" t="str">
        <f t="shared" si="165"/>
        <v>VENTAS</v>
      </c>
      <c r="AU406">
        <f t="shared" si="166"/>
        <v>9.5601153335380005</v>
      </c>
      <c r="AV406" t="str">
        <f t="shared" si="167"/>
        <v>Mayor retorno probable: VENTAS (+9,6 puntos finales potenciales).</v>
      </c>
    </row>
    <row r="407" spans="1:48" x14ac:dyDescent="0.3">
      <c r="A407" s="5">
        <v>51031989</v>
      </c>
      <c r="B407" s="5" t="str">
        <f>IFERROR(VLOOKUP(A407,VENTAS!$A$2:$B$1194,2,0),"")</f>
        <v>MONTENEGRO</v>
      </c>
      <c r="C407" s="5">
        <f>IFERROR(INDEX(VENTAS!$C$2:$E$1194,MATCH(A407,VENTAS!$A$2:$A$1194,0),MATCH(PARAMS_MODELO!$B$2,{"Q1","Q2","Q3"},0)),0)</f>
        <v>81890623.88000001</v>
      </c>
      <c r="D407" s="5">
        <f>IFERROR(INDEX(VENTAS!$F$2:$H$1194,MATCH(A407,VENTAS!$A$2:$A$1194,0),MATCH(PARAMS_MODELO!$B$2,{"Q1","Q2","Q3"},0)),0)</f>
        <v>88236527</v>
      </c>
      <c r="E407" s="8">
        <f t="shared" si="144"/>
        <v>7.7492426108501489E-2</v>
      </c>
      <c r="F407" s="12">
        <f>IF(E407&lt;=PARAMS_MODELO!$B$15,0,IF(E407&gt;=PARAMS_MODELO!$B$17,100,100*MIN(1,(E407-PARAMS_MODELO!$B$15)/(PARAMS_MODELO!$B$16-PARAMS_MODELO!$B$15))))*PARAMS_MODELO!$B$7</f>
        <v>27.122349137975519</v>
      </c>
      <c r="G407" s="5">
        <f t="shared" si="145"/>
        <v>6345903.1199999899</v>
      </c>
      <c r="H407" s="5">
        <f>(PARAMS_MODELO!$B$20*(MAX(0,MIN(3,E407))/3)+PARAMS_MODELO!$B$21*(IFERROR(LN(1+MAX(0,G407))/LN(1+MAX(0,MAX($G$2:$G$1194))),0)))*100*PARAMS_MODELO!$B$8</f>
        <v>3.9429244035453488</v>
      </c>
      <c r="I407" s="8">
        <f>E407-PARAMS_MODELO!$B$5</f>
        <v>-0.10007040926702504</v>
      </c>
      <c r="J407" s="5">
        <f>IF(I407&lt;=PARAMS_MODELO!$B$18,0,IF(I407&gt;=PARAMS_MODELO!$B$19,100,100*(I407-PARAMS_MODELO!$B$18)/(PARAMS_MODELO!$B$19-PARAMS_MODELO!$B$18)))*PARAMS_MODELO!$B$9</f>
        <v>0</v>
      </c>
      <c r="K407" s="5">
        <f>IFERROR(CHOOSE(MATCH(PARAMS_MODELO!$B$2,{"Q1","Q2","Q3"},0),LOTO!$D407,LOTO!$F407,LOTO!$H407),0)</f>
        <v>4352500</v>
      </c>
      <c r="L407" s="8">
        <f t="shared" si="146"/>
        <v>4.9327644094604946E-2</v>
      </c>
      <c r="M407" s="5">
        <f>MIN(100,IF(PARAMS_MODELO!$B$23=0,0,100*L407/PARAMS_MODELO!$B$23))*PARAMS_MODELO!$B$10</f>
        <v>14.798293228381482</v>
      </c>
      <c r="N407" s="5">
        <f>IFERROR(VLOOKUP(A407,COMPLIANCE!$A$2:$F$1996,6,0),100)</f>
        <v>100</v>
      </c>
      <c r="O407" s="5">
        <f>N407*PARAMS_MODELO!$B$11</f>
        <v>10</v>
      </c>
      <c r="P407" s="5">
        <f>IFERROR(VLOOKUP(A407,DIGITAL!$A$2:$J$2000,7,0),100)</f>
        <v>61</v>
      </c>
      <c r="Q407" s="5">
        <f>IFERROR(P407,0)*PARAMS_MODELO!$B$12</f>
        <v>6.1000000000000005</v>
      </c>
      <c r="R407">
        <f t="shared" si="147"/>
        <v>61.96356676990235</v>
      </c>
      <c r="S407" s="5" t="str">
        <f>IFERROR(VLOOKUP(A407,CLIENTE!$A$2:$N$2000,13,0),1)</f>
        <v>Regular</v>
      </c>
      <c r="T407" s="5">
        <f>IFERROR(VLOOKUP(A407,CLIENTE!$A$2:$N$2000,14,0),1)</f>
        <v>1</v>
      </c>
      <c r="U407" s="5">
        <f t="shared" si="148"/>
        <v>61.96356676990235</v>
      </c>
      <c r="V407" s="5" t="str">
        <f>IF(U407&gt;=MAX(_xlfn.PERCENTILE.INC($U$2:$U$1194,PARAMS_MODELO!$B$50),PARAMS_MODELO!$B$45),"DIAMANTE",IF(U407&gt;=MAX(_xlfn.PERCENTILE.INC($U$2:$U$1194,PARAMS_MODELO!$B$51),PARAMS_MODELO!$B$46),"PLATINO",IF(U407&gt;=MAX(_xlfn.PERCENTILE.INC($U$2:$U$1194,PARAMS_MODELO!$B$52),PARAMS_MODELO!$B$47),"ORO",IF(U407&gt;=MAX(_xlfn.PERCENTILE.INC($U$2:$U$1194,PARAMS_MODELO!$B$53),PARAMS_MODELO!$B$48),"PLATA",IF(U407&gt;=1,"BRONCE","CERRADO")))))</f>
        <v>PLATA</v>
      </c>
      <c r="W407" s="5" t="str" cm="1">
        <f t="array" ref="W407">_xlfn.XLOOKUP(1, (HIST_SCORE!$B:$B=PARAMS_MODELO!$B$4) * (HIST_SCORE!$C:$C=A407), HIST_SCORE!$E:$E, "No encontrado")</f>
        <v>PLATINO</v>
      </c>
      <c r="X407" s="5" t="str">
        <f>_xlfn.LET(_xlpm.act,MATCH(V407,{"DIAMANTE";"PLATINO";"ORO";"PLATA";"BRONCE";"CERRADO"},0),_xlpm.ant,MATCH(W407,{"DIAMANTE";"PLATINO";"ORO";"PLATA";"BRONCE";"CERRADO"},0),IF(_xlpm.act&lt;_xlpm.ant,"Mejora ↑",IF(_xlpm.act&gt;_xlpm.ant,"Baja ↓","Estable →")))</f>
        <v>Baja ↓</v>
      </c>
      <c r="Y407" s="5">
        <f>IFERROR(U407-SUMIFS(HIST_SCORE!$D:$D,HIST_SCORE!$B:$B,PARAMS_MODELO!$B$4,HIST_SCORE!$C:$C,$A407),"")</f>
        <v>-24.631508521091568</v>
      </c>
      <c r="Z407" s="5" t="str">
        <f t="shared" si="149"/>
        <v>↓ Baja</v>
      </c>
      <c r="AA407" s="5">
        <f t="shared" si="150"/>
        <v>580</v>
      </c>
      <c r="AB407" s="5">
        <f>IFERROR(SUMIFS(HIST_SCORE!$F:$F,HIST_SCORE!$B:$B,PARAMS_MODELO!$B$4,HIST_SCORE!$C:$C,$A407),"")</f>
        <v>213</v>
      </c>
      <c r="AC407" s="5">
        <f t="shared" si="151"/>
        <v>-367</v>
      </c>
      <c r="AD407" t="str">
        <f t="shared" si="153"/>
        <v/>
      </c>
      <c r="AE4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407="CERRADO",1,IF(V407="BRONCE",_xlpm.cPl,IF(V407="PLATA",_xlpm.cO,IF(V407="ORO",_xlpm.cP,IF(V407="PLATINO",_xlpm.cD,999))))))</f>
        <v>63.199193273331495</v>
      </c>
      <c r="AF4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407="CERRADO",0,IF(V407="BRONCE",1,IF(V407="PLATA",_xlpm.cPl,IF(V407="ORO",_xlpm.cO,IF(V407="PLATINO",_xlpm.cP,_xlpm.cD))))))</f>
        <v>24.506573482968111</v>
      </c>
      <c r="AG407">
        <f t="shared" si="154"/>
        <v>1.2356265034291454</v>
      </c>
      <c r="AH407" t="str">
        <f t="shared" si="155"/>
        <v>VENTAS</v>
      </c>
      <c r="AI407" t="str">
        <f t="shared" si="152"/>
        <v>🎯 Para subir de categoría, eje VENTAS / DIFERENCIAL vs LOTBA (J). Acción: metas semanales + activación comercial + seguimiento del asesor. ΔR aprox: 1,2</v>
      </c>
      <c r="AJ407" s="26">
        <f>_xlfn.LET(_xlpm.piso,AF407,_xlpm.corte,AE407,_xlpm.prog,IF(_xlpm.corte&lt;=_xlpm.piso,0,MAX(0,MIN(1,(U407-_xlpm.piso)/(_xlpm.corte-_xlpm.piso)))),_xlpm.orden,{"DIAMANTE";"PLATINO";"ORO";"PLATA";"BRONCE";"CERRADO"},_xlpm.act,IFERROR(MATCH(V407,_xlpm.orden,0),6),_xlpm.ant,IFERROR(MATCH(W407,_xlpm.orden,0),6),_xlpm.ajmov,IF(_xlpm.act&lt;_xlpm.ant,0.08,IF(_xlpm.act&gt;_xlpm.ant,-0.08,0)),_xlpm.ajcli,IF(T407&lt;0.95,-0.06,0),_xlpm.prob,MAX(0,MIN(1,_xlpm.prog+_xlpm.ajmov+_xlpm.ajcli)),IF(OR(V407="DIAMANTE",V407="CERRADO"),0,ROUND(_xlpm.prob,2)))</f>
        <v>0.89</v>
      </c>
      <c r="AK407" t="str">
        <f t="shared" si="156"/>
        <v>Faltan 1,2 puntos base para subir a la siguiente categoría</v>
      </c>
      <c r="AL407" t="str">
        <f t="shared" si="157"/>
        <v>Margen de seguridad: 37,5 puntos</v>
      </c>
      <c r="AM407">
        <f t="shared" si="158"/>
        <v>0.09</v>
      </c>
      <c r="AN407" t="str">
        <f t="shared" si="159"/>
        <v>PRIORIDAD BAJA – control normal</v>
      </c>
      <c r="AO407">
        <f t="shared" si="160"/>
        <v>33.797295733774718</v>
      </c>
      <c r="AP407">
        <f t="shared" si="161"/>
        <v>0.20170677161851813</v>
      </c>
      <c r="AQ407">
        <f t="shared" si="162"/>
        <v>0</v>
      </c>
      <c r="AR407">
        <f t="shared" si="163"/>
        <v>3.8999999999999995</v>
      </c>
      <c r="AS407">
        <f t="shared" si="164"/>
        <v>0</v>
      </c>
      <c r="AT407" t="str">
        <f t="shared" si="165"/>
        <v>VENTAS</v>
      </c>
      <c r="AU407">
        <f t="shared" si="166"/>
        <v>33.797295733774718</v>
      </c>
      <c r="AV407" t="str">
        <f t="shared" si="167"/>
        <v>Mayor retorno probable: VENTAS (+33,8 puntos finales potenciales).</v>
      </c>
    </row>
    <row r="408" spans="1:48" x14ac:dyDescent="0.3">
      <c r="A408" s="5">
        <v>51010922</v>
      </c>
      <c r="B408" s="5" t="str">
        <f>IFERROR(VLOOKUP(A408,VENTAS!$A$2:$B$1194,2,0),"")</f>
        <v>MONTENEGRO</v>
      </c>
      <c r="C408" s="5">
        <f>IFERROR(INDEX(VENTAS!$C$2:$E$1194,MATCH(A408,VENTAS!$A$2:$A$1194,0),MATCH(PARAMS_MODELO!$B$2,{"Q1","Q2","Q3"},0)),0)</f>
        <v>68665598.090000004</v>
      </c>
      <c r="D408" s="5">
        <f>IFERROR(INDEX(VENTAS!$F$2:$H$1194,MATCH(A408,VENTAS!$A$2:$A$1194,0),MATCH(PARAMS_MODELO!$B$2,{"Q1","Q2","Q3"},0)),0)</f>
        <v>88183320</v>
      </c>
      <c r="E408" s="8">
        <f t="shared" si="144"/>
        <v>0.28424309192527697</v>
      </c>
      <c r="F408" s="12">
        <f>IF(E408&lt;=PARAMS_MODELO!$B$15,0,IF(E408&gt;=PARAMS_MODELO!$B$17,100,100*MIN(1,(E408-PARAMS_MODELO!$B$15)/(PARAMS_MODELO!$B$16-PARAMS_MODELO!$B$15))))*PARAMS_MODELO!$B$7</f>
        <v>35</v>
      </c>
      <c r="G408" s="5">
        <f t="shared" si="145"/>
        <v>19517721.909999996</v>
      </c>
      <c r="H408" s="5">
        <f>(PARAMS_MODELO!$B$20*(MAX(0,MIN(3,E408))/3)+PARAMS_MODELO!$B$21*(IFERROR(LN(1+MAX(0,G408))/LN(1+MAX(0,MAX($G$2:$G$1194))),0)))*100*PARAMS_MODELO!$B$8</f>
        <v>4.9299189448089127</v>
      </c>
      <c r="I408" s="8">
        <f>E408-PARAMS_MODELO!$B$5</f>
        <v>0.10668025654975044</v>
      </c>
      <c r="J408" s="5">
        <f>IF(I408&lt;=PARAMS_MODELO!$B$18,0,IF(I408&gt;=PARAMS_MODELO!$B$19,100,100*(I408-PARAMS_MODELO!$B$18)/(PARAMS_MODELO!$B$19-PARAMS_MODELO!$B$18)))*PARAMS_MODELO!$B$9</f>
        <v>15</v>
      </c>
      <c r="K408" s="5">
        <f>IFERROR(CHOOSE(MATCH(PARAMS_MODELO!$B$2,{"Q1","Q2","Q3"},0),LOTO!$D408,LOTO!$F408,LOTO!$H408),0)</f>
        <v>4345000</v>
      </c>
      <c r="L408" s="8">
        <f t="shared" si="146"/>
        <v>4.9272356722337061E-2</v>
      </c>
      <c r="M408" s="5">
        <f>MIN(100,IF(PARAMS_MODELO!$B$23=0,0,100*L408/PARAMS_MODELO!$B$23))*PARAMS_MODELO!$B$10</f>
        <v>14.78170701670112</v>
      </c>
      <c r="N408" s="5">
        <f>IFERROR(VLOOKUP(A408,COMPLIANCE!$A$2:$F$1996,6,0),100)</f>
        <v>99.7</v>
      </c>
      <c r="O408" s="5">
        <f>N408*PARAMS_MODELO!$B$11</f>
        <v>9.9700000000000006</v>
      </c>
      <c r="P408" s="5">
        <f>IFERROR(VLOOKUP(A408,DIGITAL!$A$2:$J$2000,7,0),100)</f>
        <v>12</v>
      </c>
      <c r="Q408" s="5">
        <f>IFERROR(P408,0)*PARAMS_MODELO!$B$12</f>
        <v>1.2000000000000002</v>
      </c>
      <c r="R408">
        <f t="shared" si="147"/>
        <v>80.881625961510039</v>
      </c>
      <c r="S408" s="5" t="str">
        <f>IFERROR(VLOOKUP(A408,CLIENTE!$A$2:$N$2000,13,0),1)</f>
        <v>Malo</v>
      </c>
      <c r="T408" s="5">
        <f>IFERROR(VLOOKUP(A408,CLIENTE!$A$2:$N$2000,14,0),1)</f>
        <v>0.7</v>
      </c>
      <c r="U408" s="5">
        <f t="shared" si="148"/>
        <v>56.617138173057022</v>
      </c>
      <c r="V408" s="5" t="str">
        <f>IF(U408&gt;=MAX(_xlfn.PERCENTILE.INC($U$2:$U$1194,PARAMS_MODELO!$B$50),PARAMS_MODELO!$B$45),"DIAMANTE",IF(U408&gt;=MAX(_xlfn.PERCENTILE.INC($U$2:$U$1194,PARAMS_MODELO!$B$51),PARAMS_MODELO!$B$46),"PLATINO",IF(U408&gt;=MAX(_xlfn.PERCENTILE.INC($U$2:$U$1194,PARAMS_MODELO!$B$52),PARAMS_MODELO!$B$47),"ORO",IF(U408&gt;=MAX(_xlfn.PERCENTILE.INC($U$2:$U$1194,PARAMS_MODELO!$B$53),PARAMS_MODELO!$B$48),"PLATA",IF(U408&gt;=1,"BRONCE","CERRADO")))))</f>
        <v>PLATA</v>
      </c>
      <c r="W408" s="5" t="str" cm="1">
        <f t="array" ref="W408">_xlfn.XLOOKUP(1, (HIST_SCORE!$B:$B=PARAMS_MODELO!$B$4) * (HIST_SCORE!$C:$C=A408), HIST_SCORE!$E:$E, "No encontrado")</f>
        <v>PLATA</v>
      </c>
      <c r="X408" s="5" t="str">
        <f>_xlfn.LET(_xlpm.act,MATCH(V408,{"DIAMANTE";"PLATINO";"ORO";"PLATA";"BRONCE";"CERRADO"},0),_xlpm.ant,MATCH(W408,{"DIAMANTE";"PLATINO";"ORO";"PLATA";"BRONCE";"CERRADO"},0),IF(_xlpm.act&lt;_xlpm.ant,"Mejora ↑",IF(_xlpm.act&gt;_xlpm.ant,"Baja ↓","Estable →")))</f>
        <v>Estable →</v>
      </c>
      <c r="Y408" s="5">
        <f>IFERROR(U408-SUMIFS(HIST_SCORE!$D:$D,HIST_SCORE!$B:$B,PARAMS_MODELO!$B$4,HIST_SCORE!$C:$C,$A408),"")</f>
        <v>2.6000969981557702</v>
      </c>
      <c r="Z408" s="5" t="str">
        <f t="shared" si="149"/>
        <v>→ Estable</v>
      </c>
      <c r="AA408" s="5">
        <f t="shared" si="150"/>
        <v>690</v>
      </c>
      <c r="AB408" s="5">
        <f>IFERROR(SUMIFS(HIST_SCORE!$F:$F,HIST_SCORE!$B:$B,PARAMS_MODELO!$B$4,HIST_SCORE!$C:$C,$A408),"")</f>
        <v>744</v>
      </c>
      <c r="AC408" s="5">
        <f t="shared" si="151"/>
        <v>54</v>
      </c>
      <c r="AD408" t="str">
        <f t="shared" si="153"/>
        <v/>
      </c>
      <c r="AE4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408="CERRADO",1,IF(V408="BRONCE",_xlpm.cPl,IF(V408="PLATA",_xlpm.cO,IF(V408="ORO",_xlpm.cP,IF(V408="PLATINO",_xlpm.cD,999))))))</f>
        <v>63.199193273331495</v>
      </c>
      <c r="AF4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408="CERRADO",0,IF(V408="BRONCE",1,IF(V408="PLATA",_xlpm.cPl,IF(V408="ORO",_xlpm.cO,IF(V408="PLATINO",_xlpm.cP,_xlpm.cD))))))</f>
        <v>24.506573482968111</v>
      </c>
      <c r="AG408">
        <f t="shared" si="154"/>
        <v>9.4029358575349562</v>
      </c>
      <c r="AH408" t="str">
        <f t="shared" si="155"/>
        <v>CLIENTE</v>
      </c>
      <c r="AI408" t="str">
        <f t="shared" si="152"/>
        <v>🎯 Para subir de categoría, la eje con mayor impacto probable es CLIENTE (coef T). Acción: reducir quejas, mejorar incógnito y empujar reseñas. ΔR aprox: 9,4</v>
      </c>
      <c r="AJ408" s="26">
        <f>_xlfn.LET(_xlpm.piso,AF408,_xlpm.corte,AE408,_xlpm.prog,IF(_xlpm.corte&lt;=_xlpm.piso,0,MAX(0,MIN(1,(U408-_xlpm.piso)/(_xlpm.corte-_xlpm.piso)))),_xlpm.orden,{"DIAMANTE";"PLATINO";"ORO";"PLATA";"BRONCE";"CERRADO"},_xlpm.act,IFERROR(MATCH(V408,_xlpm.orden,0),6),_xlpm.ant,IFERROR(MATCH(W408,_xlpm.orden,0),6),_xlpm.ajmov,IF(_xlpm.act&lt;_xlpm.ant,0.08,IF(_xlpm.act&gt;_xlpm.ant,-0.08,0)),_xlpm.ajcli,IF(T408&lt;0.95,-0.06,0),_xlpm.prob,MAX(0,MIN(1,_xlpm.prog+_xlpm.ajmov+_xlpm.ajcli)),IF(OR(V408="DIAMANTE",V408="CERRADO"),0,ROUND(_xlpm.prob,2)))</f>
        <v>0.77</v>
      </c>
      <c r="AK408" t="str">
        <f t="shared" si="156"/>
        <v>Faltan 9,4 puntos base para subir a la siguiente categoría</v>
      </c>
      <c r="AL408" t="str">
        <f t="shared" si="157"/>
        <v>Margen de seguridad: 32,1 puntos</v>
      </c>
      <c r="AM408">
        <f t="shared" si="158"/>
        <v>0.67</v>
      </c>
      <c r="AN408" t="str">
        <f t="shared" si="159"/>
        <v>PRIORIDAD MEDIA – seguimiento del asesor</v>
      </c>
      <c r="AO408">
        <f t="shared" si="160"/>
        <v>6.9528552313406706</v>
      </c>
      <c r="AP408">
        <f t="shared" si="161"/>
        <v>0.15280508830921632</v>
      </c>
      <c r="AQ408">
        <f t="shared" si="162"/>
        <v>2.099999999999955E-2</v>
      </c>
      <c r="AR408">
        <f t="shared" si="163"/>
        <v>6.16</v>
      </c>
      <c r="AS408">
        <f t="shared" si="164"/>
        <v>24.264487788453014</v>
      </c>
      <c r="AT408" t="str">
        <f t="shared" si="165"/>
        <v>CLIENTE</v>
      </c>
      <c r="AU408">
        <f t="shared" si="166"/>
        <v>24.264487788453014</v>
      </c>
      <c r="AV408" t="str">
        <f t="shared" si="167"/>
        <v>Mayor retorno probable: CLIENTE (+24,3 puntos finales potenciales).</v>
      </c>
    </row>
    <row r="409" spans="1:48" x14ac:dyDescent="0.3">
      <c r="A409" s="5">
        <v>51040031</v>
      </c>
      <c r="B409" s="5" t="str">
        <f>IFERROR(VLOOKUP(A409,VENTAS!$A$2:$B$1194,2,0),"")</f>
        <v>MONTENEGRO</v>
      </c>
      <c r="C409" s="5">
        <f>IFERROR(INDEX(VENTAS!$C$2:$E$1194,MATCH(A409,VENTAS!$A$2:$A$1194,0),MATCH(PARAMS_MODELO!$B$2,{"Q1","Q2","Q3"},0)),0)</f>
        <v>56014561.319999993</v>
      </c>
      <c r="D409" s="5">
        <f>IFERROR(INDEX(VENTAS!$F$2:$H$1194,MATCH(A409,VENTAS!$A$2:$A$1194,0),MATCH(PARAMS_MODELO!$B$2,{"Q1","Q2","Q3"},0)),0)</f>
        <v>87811467</v>
      </c>
      <c r="E409" s="8">
        <f t="shared" si="144"/>
        <v>0.5676542836486862</v>
      </c>
      <c r="F409" s="12">
        <f>IF(E409&lt;=PARAMS_MODELO!$B$15,0,IF(E409&gt;=PARAMS_MODELO!$B$17,100,100*MIN(1,(E409-PARAMS_MODELO!$B$15)/(PARAMS_MODELO!$B$16-PARAMS_MODELO!$B$15))))*PARAMS_MODELO!$B$7</f>
        <v>35</v>
      </c>
      <c r="G409" s="5">
        <f t="shared" si="145"/>
        <v>31796905.680000007</v>
      </c>
      <c r="H409" s="5">
        <f>(PARAMS_MODELO!$B$20*(MAX(0,MIN(3,E409))/3)+PARAMS_MODELO!$B$21*(IFERROR(LN(1+MAX(0,G409))/LN(1+MAX(0,MAX($G$2:$G$1194))),0)))*100*PARAMS_MODELO!$B$8</f>
        <v>6.0362629330007342</v>
      </c>
      <c r="I409" s="8">
        <f>E409-PARAMS_MODELO!$B$5</f>
        <v>0.39009144827315967</v>
      </c>
      <c r="J409" s="5">
        <f>IF(I409&lt;=PARAMS_MODELO!$B$18,0,IF(I409&gt;=PARAMS_MODELO!$B$19,100,100*(I409-PARAMS_MODELO!$B$18)/(PARAMS_MODELO!$B$19-PARAMS_MODELO!$B$18)))*PARAMS_MODELO!$B$9</f>
        <v>15</v>
      </c>
      <c r="K409" s="5">
        <f>IFERROR(CHOOSE(MATCH(PARAMS_MODELO!$B$2,{"Q1","Q2","Q3"},0),LOTO!$D409,LOTO!$F409,LOTO!$H409),0)</f>
        <v>4342500</v>
      </c>
      <c r="L409" s="8">
        <f t="shared" si="146"/>
        <v>4.9452539040259973E-2</v>
      </c>
      <c r="M409" s="5">
        <f>MIN(100,IF(PARAMS_MODELO!$B$23=0,0,100*L409/PARAMS_MODELO!$B$23))*PARAMS_MODELO!$B$10</f>
        <v>14.835761712077991</v>
      </c>
      <c r="N409" s="5">
        <f>IFERROR(VLOOKUP(A409,COMPLIANCE!$A$2:$F$1996,6,0),100)</f>
        <v>100</v>
      </c>
      <c r="O409" s="5">
        <f>N409*PARAMS_MODELO!$B$11</f>
        <v>10</v>
      </c>
      <c r="P409" s="5">
        <f>IFERROR(VLOOKUP(A409,DIGITAL!$A$2:$J$2000,7,0),100)</f>
        <v>94</v>
      </c>
      <c r="Q409" s="5">
        <f>IFERROR(P409,0)*PARAMS_MODELO!$B$12</f>
        <v>9.4</v>
      </c>
      <c r="R409">
        <f t="shared" si="147"/>
        <v>90.27202464507873</v>
      </c>
      <c r="S409" s="5" t="str">
        <f>IFERROR(VLOOKUP(A409,CLIENTE!$A$2:$N$2000,13,0),1)</f>
        <v>Regular</v>
      </c>
      <c r="T409" s="5">
        <f>IFERROR(VLOOKUP(A409,CLIENTE!$A$2:$N$2000,14,0),1)</f>
        <v>1</v>
      </c>
      <c r="U409" s="5">
        <f t="shared" si="148"/>
        <v>90.27202464507873</v>
      </c>
      <c r="V409" s="5" t="str">
        <f>IF(U409&gt;=MAX(_xlfn.PERCENTILE.INC($U$2:$U$1194,PARAMS_MODELO!$B$50),PARAMS_MODELO!$B$45),"DIAMANTE",IF(U409&gt;=MAX(_xlfn.PERCENTILE.INC($U$2:$U$1194,PARAMS_MODELO!$B$51),PARAMS_MODELO!$B$46),"PLATINO",IF(U409&gt;=MAX(_xlfn.PERCENTILE.INC($U$2:$U$1194,PARAMS_MODELO!$B$52),PARAMS_MODELO!$B$47),"ORO",IF(U409&gt;=MAX(_xlfn.PERCENTILE.INC($U$2:$U$1194,PARAMS_MODELO!$B$53),PARAMS_MODELO!$B$48),"PLATA",IF(U409&gt;=1,"BRONCE","CERRADO")))))</f>
        <v>PLATINO</v>
      </c>
      <c r="W409" s="5" t="str" cm="1">
        <f t="array" ref="W409">_xlfn.XLOOKUP(1, (HIST_SCORE!$B:$B=PARAMS_MODELO!$B$4) * (HIST_SCORE!$C:$C=A409), HIST_SCORE!$E:$E, "No encontrado")</f>
        <v>PLATINO</v>
      </c>
      <c r="X409" s="5" t="str">
        <f>_xlfn.LET(_xlpm.act,MATCH(V409,{"DIAMANTE";"PLATINO";"ORO";"PLATA";"BRONCE";"CERRADO"},0),_xlpm.ant,MATCH(W409,{"DIAMANTE";"PLATINO";"ORO";"PLATA";"BRONCE";"CERRADO"},0),IF(_xlpm.act&lt;_xlpm.ant,"Mejora ↑",IF(_xlpm.act&gt;_xlpm.ant,"Baja ↓","Estable →")))</f>
        <v>Estable →</v>
      </c>
      <c r="Y409" s="5">
        <f>IFERROR(U409-SUMIFS(HIST_SCORE!$D:$D,HIST_SCORE!$B:$B,PARAMS_MODELO!$B$4,HIST_SCORE!$C:$C,$A409),"")</f>
        <v>2.6290989507891567</v>
      </c>
      <c r="Z409" s="5" t="str">
        <f t="shared" si="149"/>
        <v>→ Estable</v>
      </c>
      <c r="AA409" s="5">
        <f t="shared" si="150"/>
        <v>131</v>
      </c>
      <c r="AB409" s="5">
        <f>IFERROR(SUMIFS(HIST_SCORE!$F:$F,HIST_SCORE!$B:$B,PARAMS_MODELO!$B$4,HIST_SCORE!$C:$C,$A409),"")</f>
        <v>192</v>
      </c>
      <c r="AC409" s="5">
        <f t="shared" si="151"/>
        <v>61</v>
      </c>
      <c r="AD409" t="str">
        <f t="shared" si="153"/>
        <v/>
      </c>
      <c r="AE4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409="CERRADO",1,IF(V409="BRONCE",_xlpm.cPl,IF(V409="PLATA",_xlpm.cO,IF(V409="ORO",_xlpm.cP,IF(V409="PLATINO",_xlpm.cD,999))))))</f>
        <v>96.054919694466676</v>
      </c>
      <c r="AF4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409="CERRADO",0,IF(V409="BRONCE",1,IF(V409="PLATA",_xlpm.cPl,IF(V409="ORO",_xlpm.cO,IF(V409="PLATINO",_xlpm.cP,_xlpm.cD))))))</f>
        <v>86.439123873763251</v>
      </c>
      <c r="AG409">
        <f t="shared" si="154"/>
        <v>5.7828950493879461</v>
      </c>
      <c r="AH409" t="str">
        <f t="shared" si="155"/>
        <v>VENTAS</v>
      </c>
      <c r="AI409" t="str">
        <f t="shared" si="152"/>
        <v>🎯 Para subir de categoría, eje VENTAS / IMPACTO ABSOLUTO (H). Acción: metas semanales + activación comercial + seguimiento del asesor. ΔR aprox: 5,8</v>
      </c>
      <c r="AJ409" s="26">
        <f>_xlfn.LET(_xlpm.piso,AF409,_xlpm.corte,AE409,_xlpm.prog,IF(_xlpm.corte&lt;=_xlpm.piso,0,MAX(0,MIN(1,(U409-_xlpm.piso)/(_xlpm.corte-_xlpm.piso)))),_xlpm.orden,{"DIAMANTE";"PLATINO";"ORO";"PLATA";"BRONCE";"CERRADO"},_xlpm.act,IFERROR(MATCH(V409,_xlpm.orden,0),6),_xlpm.ant,IFERROR(MATCH(W409,_xlpm.orden,0),6),_xlpm.ajmov,IF(_xlpm.act&lt;_xlpm.ant,0.08,IF(_xlpm.act&gt;_xlpm.ant,-0.08,0)),_xlpm.ajcli,IF(T409&lt;0.95,-0.06,0),_xlpm.prob,MAX(0,MIN(1,_xlpm.prog+_xlpm.ajmov+_xlpm.ajcli)),IF(OR(V409="DIAMANTE",V409="CERRADO"),0,ROUND(_xlpm.prob,2)))</f>
        <v>0.4</v>
      </c>
      <c r="AK409" t="str">
        <f t="shared" si="156"/>
        <v>Faltan 5,8 puntos base para subir a la siguiente categoría</v>
      </c>
      <c r="AL409" t="str">
        <f t="shared" si="157"/>
        <v>Margen de seguridad: 3,8 puntos</v>
      </c>
      <c r="AM409">
        <f t="shared" si="158"/>
        <v>0.47</v>
      </c>
      <c r="AN409" t="str">
        <f t="shared" si="159"/>
        <v>PRIORIDAD MEDIA – seguimiento del asesor</v>
      </c>
      <c r="AO409">
        <f t="shared" si="160"/>
        <v>8.8263063422948491</v>
      </c>
      <c r="AP409">
        <f t="shared" si="161"/>
        <v>0.16423828792200901</v>
      </c>
      <c r="AQ409">
        <f t="shared" si="162"/>
        <v>0</v>
      </c>
      <c r="AR409">
        <f t="shared" si="163"/>
        <v>0.59999999999999964</v>
      </c>
      <c r="AS409">
        <f t="shared" si="164"/>
        <v>0</v>
      </c>
      <c r="AT409" t="str">
        <f t="shared" si="165"/>
        <v>VENTAS</v>
      </c>
      <c r="AU409">
        <f t="shared" si="166"/>
        <v>8.8263063422948491</v>
      </c>
      <c r="AV409" t="str">
        <f t="shared" si="167"/>
        <v>Mayor retorno probable: VENTAS (+8,8 puntos finales potenciales).</v>
      </c>
    </row>
    <row r="410" spans="1:48" x14ac:dyDescent="0.3">
      <c r="A410" s="5">
        <v>51027108</v>
      </c>
      <c r="B410" s="5" t="str">
        <f>IFERROR(VLOOKUP(A410,VENTAS!$A$2:$B$1194,2,0),"")</f>
        <v>PRADES</v>
      </c>
      <c r="C410" s="5">
        <f>IFERROR(INDEX(VENTAS!$C$2:$E$1194,MATCH(A410,VENTAS!$A$2:$A$1194,0),MATCH(PARAMS_MODELO!$B$2,{"Q1","Q2","Q3"},0)),0)</f>
        <v>66542379.799999997</v>
      </c>
      <c r="D410" s="5">
        <f>IFERROR(INDEX(VENTAS!$F$2:$H$1194,MATCH(A410,VENTAS!$A$2:$A$1194,0),MATCH(PARAMS_MODELO!$B$2,{"Q1","Q2","Q3"},0)),0)</f>
        <v>87706839</v>
      </c>
      <c r="E410" s="8">
        <f t="shared" si="144"/>
        <v>0.31805984792867292</v>
      </c>
      <c r="F410" s="12">
        <f>IF(E410&lt;=PARAMS_MODELO!$B$15,0,IF(E410&gt;=PARAMS_MODELO!$B$17,100,100*MIN(1,(E410-PARAMS_MODELO!$B$15)/(PARAMS_MODELO!$B$16-PARAMS_MODELO!$B$15))))*PARAMS_MODELO!$B$7</f>
        <v>35</v>
      </c>
      <c r="G410" s="5">
        <f t="shared" si="145"/>
        <v>21164459.200000003</v>
      </c>
      <c r="H410" s="5">
        <f>(PARAMS_MODELO!$B$20*(MAX(0,MIN(3,E410))/3)+PARAMS_MODELO!$B$21*(IFERROR(LN(1+MAX(0,G410))/LN(1+MAX(0,MAX($G$2:$G$1194))),0)))*100*PARAMS_MODELO!$B$8</f>
        <v>5.0672652269586482</v>
      </c>
      <c r="I410" s="8">
        <f>E410-PARAMS_MODELO!$B$5</f>
        <v>0.14049701255314639</v>
      </c>
      <c r="J410" s="5">
        <f>IF(I410&lt;=PARAMS_MODELO!$B$18,0,IF(I410&gt;=PARAMS_MODELO!$B$19,100,100*(I410-PARAMS_MODELO!$B$18)/(PARAMS_MODELO!$B$19-PARAMS_MODELO!$B$18)))*PARAMS_MODELO!$B$9</f>
        <v>15</v>
      </c>
      <c r="K410" s="5">
        <f>IFERROR(CHOOSE(MATCH(PARAMS_MODELO!$B$2,{"Q1","Q2","Q3"},0),LOTO!$D410,LOTO!$F410,LOTO!$H410),0)</f>
        <v>4327500</v>
      </c>
      <c r="L410" s="8">
        <f t="shared" si="146"/>
        <v>4.9340508098804019E-2</v>
      </c>
      <c r="M410" s="5">
        <f>MIN(100,IF(PARAMS_MODELO!$B$23=0,0,100*L410/PARAMS_MODELO!$B$23))*PARAMS_MODELO!$B$10</f>
        <v>14.802152429641204</v>
      </c>
      <c r="N410" s="5">
        <f>IFERROR(VLOOKUP(A410,COMPLIANCE!$A$2:$F$1996,6,0),100)</f>
        <v>99.98</v>
      </c>
      <c r="O410" s="5">
        <f>N410*PARAMS_MODELO!$B$11</f>
        <v>9.9980000000000011</v>
      </c>
      <c r="P410" s="5">
        <f>IFERROR(VLOOKUP(A410,DIGITAL!$A$2:$J$2000,7,0),100)</f>
        <v>86</v>
      </c>
      <c r="Q410" s="5">
        <f>IFERROR(P410,0)*PARAMS_MODELO!$B$12</f>
        <v>8.6</v>
      </c>
      <c r="R410">
        <f t="shared" si="147"/>
        <v>88.467417656599849</v>
      </c>
      <c r="S410" s="5" t="str">
        <f>IFERROR(VLOOKUP(A410,CLIENTE!$A$2:$N$2000,13,0),1)</f>
        <v>Regular</v>
      </c>
      <c r="T410" s="5">
        <f>IFERROR(VLOOKUP(A410,CLIENTE!$A$2:$N$2000,14,0),1)</f>
        <v>1</v>
      </c>
      <c r="U410" s="5">
        <f t="shared" si="148"/>
        <v>88.467417656599849</v>
      </c>
      <c r="V410" s="5" t="str">
        <f>IF(U410&gt;=MAX(_xlfn.PERCENTILE.INC($U$2:$U$1194,PARAMS_MODELO!$B$50),PARAMS_MODELO!$B$45),"DIAMANTE",IF(U410&gt;=MAX(_xlfn.PERCENTILE.INC($U$2:$U$1194,PARAMS_MODELO!$B$51),PARAMS_MODELO!$B$46),"PLATINO",IF(U410&gt;=MAX(_xlfn.PERCENTILE.INC($U$2:$U$1194,PARAMS_MODELO!$B$52),PARAMS_MODELO!$B$47),"ORO",IF(U410&gt;=MAX(_xlfn.PERCENTILE.INC($U$2:$U$1194,PARAMS_MODELO!$B$53),PARAMS_MODELO!$B$48),"PLATA",IF(U410&gt;=1,"BRONCE","CERRADO")))))</f>
        <v>PLATINO</v>
      </c>
      <c r="W410" s="5" t="str" cm="1">
        <f t="array" ref="W410">_xlfn.XLOOKUP(1, (HIST_SCORE!$B:$B=PARAMS_MODELO!$B$4) * (HIST_SCORE!$C:$C=A410), HIST_SCORE!$E:$E, "No encontrado")</f>
        <v>PLATINO</v>
      </c>
      <c r="X410" s="5" t="str">
        <f>_xlfn.LET(_xlpm.act,MATCH(V410,{"DIAMANTE";"PLATINO";"ORO";"PLATA";"BRONCE";"CERRADO"},0),_xlpm.ant,MATCH(W410,{"DIAMANTE";"PLATINO";"ORO";"PLATA";"BRONCE";"CERRADO"},0),IF(_xlpm.act&lt;_xlpm.ant,"Mejora ↑",IF(_xlpm.act&gt;_xlpm.ant,"Baja ↓","Estable →")))</f>
        <v>Estable →</v>
      </c>
      <c r="Y410" s="5">
        <f>IFERROR(U410-SUMIFS(HIST_SCORE!$D:$D,HIST_SCORE!$B:$B,PARAMS_MODELO!$B$4,HIST_SCORE!$C:$C,$A410),"")</f>
        <v>1.8117929097646055</v>
      </c>
      <c r="Z410" s="5" t="str">
        <f t="shared" si="149"/>
        <v>→ Estable</v>
      </c>
      <c r="AA410" s="5">
        <f t="shared" si="150"/>
        <v>185</v>
      </c>
      <c r="AB410" s="5">
        <f>IFERROR(SUMIFS(HIST_SCORE!$F:$F,HIST_SCORE!$B:$B,PARAMS_MODELO!$B$4,HIST_SCORE!$C:$C,$A410),"")</f>
        <v>211</v>
      </c>
      <c r="AC410" s="5">
        <f t="shared" si="151"/>
        <v>26</v>
      </c>
      <c r="AD410" t="str">
        <f t="shared" si="153"/>
        <v/>
      </c>
      <c r="AE4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410="CERRADO",1,IF(V410="BRONCE",_xlpm.cPl,IF(V410="PLATA",_xlpm.cO,IF(V410="ORO",_xlpm.cP,IF(V410="PLATINO",_xlpm.cD,999))))))</f>
        <v>96.054919694466676</v>
      </c>
      <c r="AF4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410="CERRADO",0,IF(V410="BRONCE",1,IF(V410="PLATA",_xlpm.cPl,IF(V410="ORO",_xlpm.cO,IF(V410="PLATINO",_xlpm.cP,_xlpm.cD))))))</f>
        <v>86.439123873763251</v>
      </c>
      <c r="AG410">
        <f t="shared" si="154"/>
        <v>7.5875020378668268</v>
      </c>
      <c r="AH410" t="str">
        <f t="shared" si="155"/>
        <v>VENTAS</v>
      </c>
      <c r="AI410" t="str">
        <f t="shared" si="152"/>
        <v>🎯 Para subir de categoría, eje VENTAS / IMPACTO ABSOLUTO (H). Acción: metas semanales + activación comercial + seguimiento del asesor. ΔR aprox: 7,6</v>
      </c>
      <c r="AJ410" s="26">
        <f>_xlfn.LET(_xlpm.piso,AF410,_xlpm.corte,AE410,_xlpm.prog,IF(_xlpm.corte&lt;=_xlpm.piso,0,MAX(0,MIN(1,(U410-_xlpm.piso)/(_xlpm.corte-_xlpm.piso)))),_xlpm.orden,{"DIAMANTE";"PLATINO";"ORO";"PLATA";"BRONCE";"CERRADO"},_xlpm.act,IFERROR(MATCH(V410,_xlpm.orden,0),6),_xlpm.ant,IFERROR(MATCH(W410,_xlpm.orden,0),6),_xlpm.ajmov,IF(_xlpm.act&lt;_xlpm.ant,0.08,IF(_xlpm.act&gt;_xlpm.ant,-0.08,0)),_xlpm.ajcli,IF(T410&lt;0.95,-0.06,0),_xlpm.prob,MAX(0,MIN(1,_xlpm.prog+_xlpm.ajmov+_xlpm.ajcli)),IF(OR(V410="DIAMANTE",V410="CERRADO"),0,ROUND(_xlpm.prob,2)))</f>
        <v>0.21</v>
      </c>
      <c r="AK410" t="str">
        <f t="shared" si="156"/>
        <v>Faltan 7,6 puntos base para subir a la siguiente categoría</v>
      </c>
      <c r="AL410" t="str">
        <f t="shared" si="157"/>
        <v>Margen de seguridad: 2,0 puntos</v>
      </c>
      <c r="AM410">
        <f t="shared" si="158"/>
        <v>0.62</v>
      </c>
      <c r="AN410" t="str">
        <f t="shared" si="159"/>
        <v>PRIORIDAD MEDIA – seguimiento del asesor</v>
      </c>
      <c r="AO410">
        <f t="shared" si="160"/>
        <v>9.7953040483369378</v>
      </c>
      <c r="AP410">
        <f t="shared" si="161"/>
        <v>0.19784757035879608</v>
      </c>
      <c r="AQ410">
        <f t="shared" si="162"/>
        <v>1.9999999999988916E-3</v>
      </c>
      <c r="AR410">
        <f t="shared" si="163"/>
        <v>1.4000000000000004</v>
      </c>
      <c r="AS410">
        <f t="shared" si="164"/>
        <v>0</v>
      </c>
      <c r="AT410" t="str">
        <f t="shared" si="165"/>
        <v>VENTAS</v>
      </c>
      <c r="AU410">
        <f t="shared" si="166"/>
        <v>9.7953040483369378</v>
      </c>
      <c r="AV410" t="str">
        <f t="shared" si="167"/>
        <v>Mayor retorno probable: VENTAS (+9,8 puntos finales potenciales).</v>
      </c>
    </row>
    <row r="411" spans="1:48" x14ac:dyDescent="0.3">
      <c r="A411" s="5">
        <v>51022971</v>
      </c>
      <c r="B411" s="5" t="str">
        <f>IFERROR(VLOOKUP(A411,VENTAS!$A$2:$B$1194,2,0),"")</f>
        <v>AYALA</v>
      </c>
      <c r="C411" s="5">
        <f>IFERROR(INDEX(VENTAS!$C$2:$E$1194,MATCH(A411,VENTAS!$A$2:$A$1194,0),MATCH(PARAMS_MODELO!$B$2,{"Q1","Q2","Q3"},0)),0)</f>
        <v>64824917.189999998</v>
      </c>
      <c r="D411" s="5">
        <f>IFERROR(INDEX(VENTAS!$F$2:$H$1194,MATCH(A411,VENTAS!$A$2:$A$1194,0),MATCH(PARAMS_MODELO!$B$2,{"Q1","Q2","Q3"},0)),0)</f>
        <v>87537255</v>
      </c>
      <c r="E411" s="8">
        <f t="shared" si="144"/>
        <v>0.35036431660114253</v>
      </c>
      <c r="F411" s="12">
        <f>IF(E411&lt;=PARAMS_MODELO!$B$15,0,IF(E411&gt;=PARAMS_MODELO!$B$17,100,100*MIN(1,(E411-PARAMS_MODELO!$B$15)/(PARAMS_MODELO!$B$16-PARAMS_MODELO!$B$15))))*PARAMS_MODELO!$B$7</f>
        <v>35</v>
      </c>
      <c r="G411" s="5">
        <f t="shared" si="145"/>
        <v>22712337.810000002</v>
      </c>
      <c r="H411" s="5">
        <f>(PARAMS_MODELO!$B$20*(MAX(0,MIN(3,E411))/3)+PARAMS_MODELO!$B$21*(IFERROR(LN(1+MAX(0,G411))/LN(1+MAX(0,MAX($G$2:$G$1194))),0)))*100*PARAMS_MODELO!$B$8</f>
        <v>5.1968769690969454</v>
      </c>
      <c r="I411" s="8">
        <f>E411-PARAMS_MODELO!$B$5</f>
        <v>0.172801481225616</v>
      </c>
      <c r="J411" s="5">
        <f>IF(I411&lt;=PARAMS_MODELO!$B$18,0,IF(I411&gt;=PARAMS_MODELO!$B$19,100,100*(I411-PARAMS_MODELO!$B$18)/(PARAMS_MODELO!$B$19-PARAMS_MODELO!$B$18)))*PARAMS_MODELO!$B$9</f>
        <v>15</v>
      </c>
      <c r="K411" s="5">
        <f>IFERROR(CHOOSE(MATCH(PARAMS_MODELO!$B$2,{"Q1","Q2","Q3"},0),LOTO!$D411,LOTO!$F411,LOTO!$H411),0)</f>
        <v>4317500</v>
      </c>
      <c r="L411" s="8">
        <f t="shared" si="146"/>
        <v>4.9321857305212505E-2</v>
      </c>
      <c r="M411" s="5">
        <f>MIN(100,IF(PARAMS_MODELO!$B$23=0,0,100*L411/PARAMS_MODELO!$B$23))*PARAMS_MODELO!$B$10</f>
        <v>14.796557191563748</v>
      </c>
      <c r="N411" s="5">
        <f>IFERROR(VLOOKUP(A411,COMPLIANCE!$A$2:$F$1996,6,0),100)</f>
        <v>100</v>
      </c>
      <c r="O411" s="5">
        <f>N411*PARAMS_MODELO!$B$11</f>
        <v>10</v>
      </c>
      <c r="P411" s="5">
        <f>IFERROR(VLOOKUP(A411,DIGITAL!$A$2:$J$2000,7,0),100)</f>
        <v>30</v>
      </c>
      <c r="Q411" s="5">
        <f>IFERROR(P411,0)*PARAMS_MODELO!$B$12</f>
        <v>3</v>
      </c>
      <c r="R411">
        <f t="shared" si="147"/>
        <v>82.993434160660698</v>
      </c>
      <c r="S411" s="5" t="str">
        <f>IFERROR(VLOOKUP(A411,CLIENTE!$A$2:$N$2000,13,0),1)</f>
        <v>Regular</v>
      </c>
      <c r="T411" s="5">
        <f>IFERROR(VLOOKUP(A411,CLIENTE!$A$2:$N$2000,14,0),1)</f>
        <v>1</v>
      </c>
      <c r="U411" s="5">
        <f t="shared" si="148"/>
        <v>82.993434160660698</v>
      </c>
      <c r="V411" s="5" t="str">
        <f>IF(U411&gt;=MAX(_xlfn.PERCENTILE.INC($U$2:$U$1194,PARAMS_MODELO!$B$50),PARAMS_MODELO!$B$45),"DIAMANTE",IF(U411&gt;=MAX(_xlfn.PERCENTILE.INC($U$2:$U$1194,PARAMS_MODELO!$B$51),PARAMS_MODELO!$B$46),"PLATINO",IF(U411&gt;=MAX(_xlfn.PERCENTILE.INC($U$2:$U$1194,PARAMS_MODELO!$B$52),PARAMS_MODELO!$B$47),"ORO",IF(U411&gt;=MAX(_xlfn.PERCENTILE.INC($U$2:$U$1194,PARAMS_MODELO!$B$53),PARAMS_MODELO!$B$48),"PLATA",IF(U411&gt;=1,"BRONCE","CERRADO")))))</f>
        <v>ORO</v>
      </c>
      <c r="W411" s="5" t="str" cm="1">
        <f t="array" ref="W411">_xlfn.XLOOKUP(1, (HIST_SCORE!$B:$B=PARAMS_MODELO!$B$4) * (HIST_SCORE!$C:$C=A411), HIST_SCORE!$E:$E, "No encontrado")</f>
        <v>ORO</v>
      </c>
      <c r="X411" s="5" t="str">
        <f>_xlfn.LET(_xlpm.act,MATCH(V411,{"DIAMANTE";"PLATINO";"ORO";"PLATA";"BRONCE";"CERRADO"},0),_xlpm.ant,MATCH(W411,{"DIAMANTE";"PLATINO";"ORO";"PLATA";"BRONCE";"CERRADO"},0),IF(_xlpm.act&lt;_xlpm.ant,"Mejora ↑",IF(_xlpm.act&gt;_xlpm.ant,"Baja ↓","Estable →")))</f>
        <v>Estable →</v>
      </c>
      <c r="Y411" s="5">
        <f>IFERROR(U411-SUMIFS(HIST_SCORE!$D:$D,HIST_SCORE!$B:$B,PARAMS_MODELO!$B$4,HIST_SCORE!$C:$C,$A411),"")</f>
        <v>3.1272069893569636</v>
      </c>
      <c r="Z411" s="5" t="str">
        <f t="shared" si="149"/>
        <v>→ Estable</v>
      </c>
      <c r="AA411" s="5">
        <f t="shared" si="150"/>
        <v>354</v>
      </c>
      <c r="AB411" s="5">
        <f>IFERROR(SUMIFS(HIST_SCORE!$F:$F,HIST_SCORE!$B:$B,PARAMS_MODELO!$B$4,HIST_SCORE!$C:$C,$A411),"")</f>
        <v>423</v>
      </c>
      <c r="AC411" s="5">
        <f t="shared" si="151"/>
        <v>69</v>
      </c>
      <c r="AD411" t="str">
        <f t="shared" si="153"/>
        <v/>
      </c>
      <c r="AE4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411="CERRADO",1,IF(V411="BRONCE",_xlpm.cPl,IF(V411="PLATA",_xlpm.cO,IF(V411="ORO",_xlpm.cP,IF(V411="PLATINO",_xlpm.cD,999))))))</f>
        <v>86.439123873763251</v>
      </c>
      <c r="AF4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411="CERRADO",0,IF(V411="BRONCE",1,IF(V411="PLATA",_xlpm.cPl,IF(V411="ORO",_xlpm.cO,IF(V411="PLATINO",_xlpm.cP,_xlpm.cD))))))</f>
        <v>63.199193273331495</v>
      </c>
      <c r="AG411">
        <f t="shared" si="154"/>
        <v>3.4456897131025528</v>
      </c>
      <c r="AH411" t="str">
        <f t="shared" si="155"/>
        <v>VENTAS</v>
      </c>
      <c r="AI411" t="str">
        <f t="shared" si="152"/>
        <v>🎯 Para subir de categoría, eje VENTAS / IMPACTO ABSOLUTO (H). Acción: metas semanales + activación comercial + seguimiento del asesor. ΔR aprox: 3,4</v>
      </c>
      <c r="AJ411" s="26">
        <f>_xlfn.LET(_xlpm.piso,AF411,_xlpm.corte,AE411,_xlpm.prog,IF(_xlpm.corte&lt;=_xlpm.piso,0,MAX(0,MIN(1,(U411-_xlpm.piso)/(_xlpm.corte-_xlpm.piso)))),_xlpm.orden,{"DIAMANTE";"PLATINO";"ORO";"PLATA";"BRONCE";"CERRADO"},_xlpm.act,IFERROR(MATCH(V411,_xlpm.orden,0),6),_xlpm.ant,IFERROR(MATCH(W411,_xlpm.orden,0),6),_xlpm.ajmov,IF(_xlpm.act&lt;_xlpm.ant,0.08,IF(_xlpm.act&gt;_xlpm.ant,-0.08,0)),_xlpm.ajcli,IF(T411&lt;0.95,-0.06,0),_xlpm.prob,MAX(0,MIN(1,_xlpm.prog+_xlpm.ajmov+_xlpm.ajcli)),IF(OR(V411="DIAMANTE",V411="CERRADO"),0,ROUND(_xlpm.prob,2)))</f>
        <v>0.85</v>
      </c>
      <c r="AK411" t="str">
        <f t="shared" si="156"/>
        <v>Faltan 3,4 puntos base para subir a la siguiente categoría</v>
      </c>
      <c r="AL411" t="str">
        <f t="shared" si="157"/>
        <v>Margen de seguridad: 19,8 puntos</v>
      </c>
      <c r="AM411">
        <f t="shared" si="158"/>
        <v>0.2</v>
      </c>
      <c r="AN411" t="str">
        <f t="shared" si="159"/>
        <v>PRIORIDAD BAJA – control normal</v>
      </c>
      <c r="AO411">
        <f t="shared" si="160"/>
        <v>9.6656923061986362</v>
      </c>
      <c r="AP411">
        <f t="shared" si="161"/>
        <v>0.20344280843625207</v>
      </c>
      <c r="AQ411">
        <f t="shared" si="162"/>
        <v>0</v>
      </c>
      <c r="AR411">
        <f t="shared" si="163"/>
        <v>7</v>
      </c>
      <c r="AS411">
        <f t="shared" si="164"/>
        <v>0</v>
      </c>
      <c r="AT411" t="str">
        <f t="shared" si="165"/>
        <v>VENTAS</v>
      </c>
      <c r="AU411">
        <f t="shared" si="166"/>
        <v>9.6656923061986362</v>
      </c>
      <c r="AV411" t="str">
        <f t="shared" si="167"/>
        <v>Mayor retorno probable: VENTAS (+9,7 puntos finales potenciales).</v>
      </c>
    </row>
    <row r="412" spans="1:48" x14ac:dyDescent="0.3">
      <c r="A412" s="5">
        <v>51023005</v>
      </c>
      <c r="B412" s="5" t="str">
        <f>IFERROR(VLOOKUP(A412,VENTAS!$A$2:$B$1194,2,0),"")</f>
        <v>ROBERTS</v>
      </c>
      <c r="C412" s="5">
        <f>IFERROR(INDEX(VENTAS!$C$2:$E$1194,MATCH(A412,VENTAS!$A$2:$A$1194,0),MATCH(PARAMS_MODELO!$B$2,{"Q1","Q2","Q3"},0)),0)</f>
        <v>56053017.319999993</v>
      </c>
      <c r="D412" s="5">
        <f>IFERROR(INDEX(VENTAS!$F$2:$H$1194,MATCH(A412,VENTAS!$A$2:$A$1194,0),MATCH(PARAMS_MODELO!$B$2,{"Q1","Q2","Q3"},0)),0)</f>
        <v>87281433</v>
      </c>
      <c r="E412" s="8">
        <f t="shared" si="144"/>
        <v>0.55712283072507418</v>
      </c>
      <c r="F412" s="12">
        <f>IF(E412&lt;=PARAMS_MODELO!$B$15,0,IF(E412&gt;=PARAMS_MODELO!$B$17,100,100*MIN(1,(E412-PARAMS_MODELO!$B$15)/(PARAMS_MODELO!$B$16-PARAMS_MODELO!$B$15))))*PARAMS_MODELO!$B$7</f>
        <v>35</v>
      </c>
      <c r="G412" s="5">
        <f t="shared" si="145"/>
        <v>31228415.680000007</v>
      </c>
      <c r="H412" s="5">
        <f>(PARAMS_MODELO!$B$20*(MAX(0,MIN(3,E412))/3)+PARAMS_MODELO!$B$21*(IFERROR(LN(1+MAX(0,G412))/LN(1+MAX(0,MAX($G$2:$G$1194))),0)))*100*PARAMS_MODELO!$B$8</f>
        <v>5.9951738934465695</v>
      </c>
      <c r="I412" s="8">
        <f>E412-PARAMS_MODELO!$B$5</f>
        <v>0.37955999534954765</v>
      </c>
      <c r="J412" s="5">
        <f>IF(I412&lt;=PARAMS_MODELO!$B$18,0,IF(I412&gt;=PARAMS_MODELO!$B$19,100,100*(I412-PARAMS_MODELO!$B$18)/(PARAMS_MODELO!$B$19-PARAMS_MODELO!$B$18)))*PARAMS_MODELO!$B$9</f>
        <v>15</v>
      </c>
      <c r="K412" s="5">
        <f>IFERROR(CHOOSE(MATCH(PARAMS_MODELO!$B$2,{"Q1","Q2","Q3"},0),LOTO!$D412,LOTO!$F412,LOTO!$H412),0)</f>
        <v>4315000</v>
      </c>
      <c r="L412" s="8">
        <f t="shared" si="146"/>
        <v>4.9437776760608412E-2</v>
      </c>
      <c r="M412" s="5">
        <f>MIN(100,IF(PARAMS_MODELO!$B$23=0,0,100*L412/PARAMS_MODELO!$B$23))*PARAMS_MODELO!$B$10</f>
        <v>14.831333028182522</v>
      </c>
      <c r="N412" s="5">
        <f>IFERROR(VLOOKUP(A412,COMPLIANCE!$A$2:$F$1996,6,0),100)</f>
        <v>100</v>
      </c>
      <c r="O412" s="5">
        <f>N412*PARAMS_MODELO!$B$11</f>
        <v>10</v>
      </c>
      <c r="P412" s="5">
        <f>IFERROR(VLOOKUP(A412,DIGITAL!$A$2:$J$2000,7,0),100)</f>
        <v>31</v>
      </c>
      <c r="Q412" s="5">
        <f>IFERROR(P412,0)*PARAMS_MODELO!$B$12</f>
        <v>3.1</v>
      </c>
      <c r="R412">
        <f t="shared" si="147"/>
        <v>83.926506921629084</v>
      </c>
      <c r="S412" s="5" t="str">
        <f>IFERROR(VLOOKUP(A412,CLIENTE!$A$2:$N$2000,13,0),1)</f>
        <v>Bueno</v>
      </c>
      <c r="T412" s="5">
        <f>IFERROR(VLOOKUP(A412,CLIENTE!$A$2:$N$2000,14,0),1)</f>
        <v>1.1000000000000001</v>
      </c>
      <c r="U412" s="5">
        <f t="shared" si="148"/>
        <v>92.319157613792001</v>
      </c>
      <c r="V412" s="5" t="str">
        <f>IF(U412&gt;=MAX(_xlfn.PERCENTILE.INC($U$2:$U$1194,PARAMS_MODELO!$B$50),PARAMS_MODELO!$B$45),"DIAMANTE",IF(U412&gt;=MAX(_xlfn.PERCENTILE.INC($U$2:$U$1194,PARAMS_MODELO!$B$51),PARAMS_MODELO!$B$46),"PLATINO",IF(U412&gt;=MAX(_xlfn.PERCENTILE.INC($U$2:$U$1194,PARAMS_MODELO!$B$52),PARAMS_MODELO!$B$47),"ORO",IF(U412&gt;=MAX(_xlfn.PERCENTILE.INC($U$2:$U$1194,PARAMS_MODELO!$B$53),PARAMS_MODELO!$B$48),"PLATA",IF(U412&gt;=1,"BRONCE","CERRADO")))))</f>
        <v>PLATINO</v>
      </c>
      <c r="W412" s="5" t="str" cm="1">
        <f t="array" ref="W412">_xlfn.XLOOKUP(1, (HIST_SCORE!$B:$B=PARAMS_MODELO!$B$4) * (HIST_SCORE!$C:$C=A412), HIST_SCORE!$E:$E, "No encontrado")</f>
        <v>PLATINO</v>
      </c>
      <c r="X412" s="5" t="str">
        <f>_xlfn.LET(_xlpm.act,MATCH(V412,{"DIAMANTE";"PLATINO";"ORO";"PLATA";"BRONCE";"CERRADO"},0),_xlpm.ant,MATCH(W412,{"DIAMANTE";"PLATINO";"ORO";"PLATA";"BRONCE";"CERRADO"},0),IF(_xlpm.act&lt;_xlpm.ant,"Mejora ↑",IF(_xlpm.act&gt;_xlpm.ant,"Baja ↓","Estable →")))</f>
        <v>Estable →</v>
      </c>
      <c r="Y412" s="5">
        <f>IFERROR(U412-SUMIFS(HIST_SCORE!$D:$D,HIST_SCORE!$B:$B,PARAMS_MODELO!$B$4,HIST_SCORE!$C:$C,$A412),"")</f>
        <v>2.5240508929434213</v>
      </c>
      <c r="Z412" s="5" t="str">
        <f t="shared" si="149"/>
        <v>→ Estable</v>
      </c>
      <c r="AA412" s="5">
        <f t="shared" si="150"/>
        <v>101</v>
      </c>
      <c r="AB412" s="5">
        <f>IFERROR(SUMIFS(HIST_SCORE!$F:$F,HIST_SCORE!$B:$B,PARAMS_MODELO!$B$4,HIST_SCORE!$C:$C,$A412),"")</f>
        <v>133</v>
      </c>
      <c r="AC412" s="5">
        <f t="shared" si="151"/>
        <v>32</v>
      </c>
      <c r="AD412" t="str">
        <f t="shared" si="153"/>
        <v/>
      </c>
      <c r="AE4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412="CERRADO",1,IF(V412="BRONCE",_xlpm.cPl,IF(V412="PLATA",_xlpm.cO,IF(V412="ORO",_xlpm.cP,IF(V412="PLATINO",_xlpm.cD,999))))))</f>
        <v>96.054919694466676</v>
      </c>
      <c r="AF4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412="CERRADO",0,IF(V412="BRONCE",1,IF(V412="PLATA",_xlpm.cPl,IF(V412="ORO",_xlpm.cO,IF(V412="PLATINO",_xlpm.cP,_xlpm.cD))))))</f>
        <v>86.439123873763251</v>
      </c>
      <c r="AG412">
        <f t="shared" si="154"/>
        <v>3.3961473460678917</v>
      </c>
      <c r="AH412" t="str">
        <f t="shared" si="155"/>
        <v>VENTAS</v>
      </c>
      <c r="AI412" t="str">
        <f t="shared" si="152"/>
        <v>🎯 Para subir de categoría, eje VENTAS / IMPACTO ABSOLUTO (H). Acción: metas semanales + activación comercial + seguimiento del asesor. ΔR aprox: 3,4</v>
      </c>
      <c r="AJ412" s="26">
        <f>_xlfn.LET(_xlpm.piso,AF412,_xlpm.corte,AE412,_xlpm.prog,IF(_xlpm.corte&lt;=_xlpm.piso,0,MAX(0,MIN(1,(U412-_xlpm.piso)/(_xlpm.corte-_xlpm.piso)))),_xlpm.orden,{"DIAMANTE";"PLATINO";"ORO";"PLATA";"BRONCE";"CERRADO"},_xlpm.act,IFERROR(MATCH(V412,_xlpm.orden,0),6),_xlpm.ant,IFERROR(MATCH(W412,_xlpm.orden,0),6),_xlpm.ajmov,IF(_xlpm.act&lt;_xlpm.ant,0.08,IF(_xlpm.act&gt;_xlpm.ant,-0.08,0)),_xlpm.ajcli,IF(T412&lt;0.95,-0.06,0),_xlpm.prob,MAX(0,MIN(1,_xlpm.prog+_xlpm.ajmov+_xlpm.ajcli)),IF(OR(V412="DIAMANTE",V412="CERRADO"),0,ROUND(_xlpm.prob,2)))</f>
        <v>0.61</v>
      </c>
      <c r="AK412" t="str">
        <f t="shared" si="156"/>
        <v>Faltan 3,4 puntos base para subir a la siguiente categoría</v>
      </c>
      <c r="AL412" t="str">
        <f t="shared" si="157"/>
        <v>Margen de seguridad: 5,9 puntos</v>
      </c>
      <c r="AM412">
        <f t="shared" si="158"/>
        <v>0.28999999999999998</v>
      </c>
      <c r="AN412" t="str">
        <f t="shared" si="159"/>
        <v>PRIORIDAD BAJA – control normal</v>
      </c>
      <c r="AO412">
        <f t="shared" si="160"/>
        <v>9.7541349200339162</v>
      </c>
      <c r="AP412">
        <f t="shared" si="161"/>
        <v>0.18553366899922585</v>
      </c>
      <c r="AQ412">
        <f t="shared" si="162"/>
        <v>0</v>
      </c>
      <c r="AR412">
        <f t="shared" si="163"/>
        <v>7.5900000000000007</v>
      </c>
      <c r="AS412">
        <f t="shared" si="164"/>
        <v>0</v>
      </c>
      <c r="AT412" t="str">
        <f t="shared" si="165"/>
        <v>VENTAS</v>
      </c>
      <c r="AU412">
        <f t="shared" si="166"/>
        <v>9.7541349200339162</v>
      </c>
      <c r="AV412" t="str">
        <f t="shared" si="167"/>
        <v>Mayor retorno probable: VENTAS (+9,8 puntos finales potenciales).</v>
      </c>
    </row>
    <row r="413" spans="1:48" x14ac:dyDescent="0.3">
      <c r="A413" s="5">
        <v>51002610</v>
      </c>
      <c r="B413" s="5" t="str">
        <f>IFERROR(VLOOKUP(A413,VENTAS!$A$2:$B$1194,2,0),"")</f>
        <v>MONTENEGRO</v>
      </c>
      <c r="C413" s="5">
        <f>IFERROR(INDEX(VENTAS!$C$2:$E$1194,MATCH(A413,VENTAS!$A$2:$A$1194,0),MATCH(PARAMS_MODELO!$B$2,{"Q1","Q2","Q3"},0)),0)</f>
        <v>70021737.810000002</v>
      </c>
      <c r="D413" s="5">
        <f>IFERROR(INDEX(VENTAS!$F$2:$H$1194,MATCH(A413,VENTAS!$A$2:$A$1194,0),MATCH(PARAMS_MODELO!$B$2,{"Q1","Q2","Q3"},0)),0)</f>
        <v>87093750</v>
      </c>
      <c r="E413" s="8">
        <f t="shared" si="144"/>
        <v>0.24381017558181628</v>
      </c>
      <c r="F413" s="12">
        <f>IF(E413&lt;=PARAMS_MODELO!$B$15,0,IF(E413&gt;=PARAMS_MODELO!$B$17,100,100*MIN(1,(E413-PARAMS_MODELO!$B$15)/(PARAMS_MODELO!$B$16-PARAMS_MODELO!$B$15))))*PARAMS_MODELO!$B$7</f>
        <v>35</v>
      </c>
      <c r="G413" s="5">
        <f t="shared" si="145"/>
        <v>17072012.189999998</v>
      </c>
      <c r="H413" s="5">
        <f>(PARAMS_MODELO!$B$20*(MAX(0,MIN(3,E413))/3)+PARAMS_MODELO!$B$21*(IFERROR(LN(1+MAX(0,G413))/LN(1+MAX(0,MAX($G$2:$G$1194))),0)))*100*PARAMS_MODELO!$B$8</f>
        <v>4.757019821576157</v>
      </c>
      <c r="I413" s="8">
        <f>E413-PARAMS_MODELO!$B$5</f>
        <v>6.6247340206289751E-2</v>
      </c>
      <c r="J413" s="5">
        <f>IF(I413&lt;=PARAMS_MODELO!$B$18,0,IF(I413&gt;=PARAMS_MODELO!$B$19,100,100*(I413-PARAMS_MODELO!$B$18)/(PARAMS_MODELO!$B$19-PARAMS_MODELO!$B$18)))*PARAMS_MODELO!$B$9</f>
        <v>15</v>
      </c>
      <c r="K413" s="5">
        <f>IFERROR(CHOOSE(MATCH(PARAMS_MODELO!$B$2,{"Q1","Q2","Q3"},0),LOTO!$D413,LOTO!$F413,LOTO!$H413),0)</f>
        <v>4312500</v>
      </c>
      <c r="L413" s="8">
        <f t="shared" si="146"/>
        <v>4.951560818083961E-2</v>
      </c>
      <c r="M413" s="5">
        <f>MIN(100,IF(PARAMS_MODELO!$B$23=0,0,100*L413/PARAMS_MODELO!$B$23))*PARAMS_MODELO!$B$10</f>
        <v>14.854682454251881</v>
      </c>
      <c r="N413" s="5">
        <f>IFERROR(VLOOKUP(A413,COMPLIANCE!$A$2:$F$1996,6,0),100)</f>
        <v>100</v>
      </c>
      <c r="O413" s="5">
        <f>N413*PARAMS_MODELO!$B$11</f>
        <v>10</v>
      </c>
      <c r="P413" s="5">
        <f>IFERROR(VLOOKUP(A413,DIGITAL!$A$2:$J$2000,7,0),100)</f>
        <v>48</v>
      </c>
      <c r="Q413" s="5">
        <f>IFERROR(P413,0)*PARAMS_MODELO!$B$12</f>
        <v>4.8000000000000007</v>
      </c>
      <c r="R413">
        <f t="shared" si="147"/>
        <v>84.411702275828034</v>
      </c>
      <c r="S413" s="5" t="str">
        <f>IFERROR(VLOOKUP(A413,CLIENTE!$A$2:$N$2000,13,0),1)</f>
        <v>Regular</v>
      </c>
      <c r="T413" s="5">
        <f>IFERROR(VLOOKUP(A413,CLIENTE!$A$2:$N$2000,14,0),1)</f>
        <v>1</v>
      </c>
      <c r="U413" s="5">
        <f t="shared" si="148"/>
        <v>84.411702275828034</v>
      </c>
      <c r="V413" s="5" t="str">
        <f>IF(U413&gt;=MAX(_xlfn.PERCENTILE.INC($U$2:$U$1194,PARAMS_MODELO!$B$50),PARAMS_MODELO!$B$45),"DIAMANTE",IF(U413&gt;=MAX(_xlfn.PERCENTILE.INC($U$2:$U$1194,PARAMS_MODELO!$B$51),PARAMS_MODELO!$B$46),"PLATINO",IF(U413&gt;=MAX(_xlfn.PERCENTILE.INC($U$2:$U$1194,PARAMS_MODELO!$B$52),PARAMS_MODELO!$B$47),"ORO",IF(U413&gt;=MAX(_xlfn.PERCENTILE.INC($U$2:$U$1194,PARAMS_MODELO!$B$53),PARAMS_MODELO!$B$48),"PLATA",IF(U413&gt;=1,"BRONCE","CERRADO")))))</f>
        <v>ORO</v>
      </c>
      <c r="W413" s="5" t="str" cm="1">
        <f t="array" ref="W413">_xlfn.XLOOKUP(1, (HIST_SCORE!$B:$B=PARAMS_MODELO!$B$4) * (HIST_SCORE!$C:$C=A413), HIST_SCORE!$E:$E, "No encontrado")</f>
        <v>ORO</v>
      </c>
      <c r="X413" s="5" t="str">
        <f>_xlfn.LET(_xlpm.act,MATCH(V413,{"DIAMANTE";"PLATINO";"ORO";"PLATA";"BRONCE";"CERRADO"},0),_xlpm.ant,MATCH(W413,{"DIAMANTE";"PLATINO";"ORO";"PLATA";"BRONCE";"CERRADO"},0),IF(_xlpm.act&lt;_xlpm.ant,"Mejora ↑",IF(_xlpm.act&gt;_xlpm.ant,"Baja ↓","Estable →")))</f>
        <v>Estable →</v>
      </c>
      <c r="Y413" s="5">
        <f>IFERROR(U413-SUMIFS(HIST_SCORE!$D:$D,HIST_SCORE!$B:$B,PARAMS_MODELO!$B$4,HIST_SCORE!$C:$C,$A413),"")</f>
        <v>-0.29860409935683663</v>
      </c>
      <c r="Z413" s="5" t="str">
        <f t="shared" si="149"/>
        <v>→ Estable</v>
      </c>
      <c r="AA413" s="5">
        <f t="shared" si="150"/>
        <v>303</v>
      </c>
      <c r="AB413" s="5">
        <f>IFERROR(SUMIFS(HIST_SCORE!$F:$F,HIST_SCORE!$B:$B,PARAMS_MODELO!$B$4,HIST_SCORE!$C:$C,$A413),"")</f>
        <v>271</v>
      </c>
      <c r="AC413" s="5">
        <f t="shared" si="151"/>
        <v>-32</v>
      </c>
      <c r="AD413" t="str">
        <f t="shared" si="153"/>
        <v>Sostener base y reforzar mix</v>
      </c>
      <c r="AE4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413="CERRADO",1,IF(V413="BRONCE",_xlpm.cPl,IF(V413="PLATA",_xlpm.cO,IF(V413="ORO",_xlpm.cP,IF(V413="PLATINO",_xlpm.cD,999))))))</f>
        <v>86.439123873763251</v>
      </c>
      <c r="AF4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413="CERRADO",0,IF(V413="BRONCE",1,IF(V413="PLATA",_xlpm.cPl,IF(V413="ORO",_xlpm.cO,IF(V413="PLATINO",_xlpm.cP,_xlpm.cD))))))</f>
        <v>63.199193273331495</v>
      </c>
      <c r="AG413">
        <f t="shared" si="154"/>
        <v>2.0274215979352164</v>
      </c>
      <c r="AH413" t="str">
        <f t="shared" si="155"/>
        <v>VENTAS</v>
      </c>
      <c r="AI413" t="str">
        <f t="shared" si="152"/>
        <v>🎯 Para subir de categoría, eje VENTAS / IMPACTO ABSOLUTO (H). Acción: metas semanales + activación comercial + seguimiento del asesor. ΔR aprox: 2,0</v>
      </c>
      <c r="AJ413" s="26">
        <f>_xlfn.LET(_xlpm.piso,AF413,_xlpm.corte,AE413,_xlpm.prog,IF(_xlpm.corte&lt;=_xlpm.piso,0,MAX(0,MIN(1,(U413-_xlpm.piso)/(_xlpm.corte-_xlpm.piso)))),_xlpm.orden,{"DIAMANTE";"PLATINO";"ORO";"PLATA";"BRONCE";"CERRADO"},_xlpm.act,IFERROR(MATCH(V413,_xlpm.orden,0),6),_xlpm.ant,IFERROR(MATCH(W413,_xlpm.orden,0),6),_xlpm.ajmov,IF(_xlpm.act&lt;_xlpm.ant,0.08,IF(_xlpm.act&gt;_xlpm.ant,-0.08,0)),_xlpm.ajcli,IF(T413&lt;0.95,-0.06,0),_xlpm.prob,MAX(0,MIN(1,_xlpm.prog+_xlpm.ajmov+_xlpm.ajcli)),IF(OR(V413="DIAMANTE",V413="CERRADO"),0,ROUND(_xlpm.prob,2)))</f>
        <v>0.91</v>
      </c>
      <c r="AK413" t="str">
        <f t="shared" si="156"/>
        <v>Faltan 2,0 puntos base para subir a la siguiente categoría</v>
      </c>
      <c r="AL413" t="str">
        <f t="shared" si="157"/>
        <v>Margen de seguridad: 21,2 puntos</v>
      </c>
      <c r="AM413">
        <f t="shared" si="158"/>
        <v>0.12</v>
      </c>
      <c r="AN413" t="str">
        <f t="shared" si="159"/>
        <v>PRIORIDAD BAJA – control normal</v>
      </c>
      <c r="AO413">
        <f t="shared" si="160"/>
        <v>10.105549453719426</v>
      </c>
      <c r="AP413">
        <f t="shared" si="161"/>
        <v>0.14531754574811906</v>
      </c>
      <c r="AQ413">
        <f t="shared" si="162"/>
        <v>0</v>
      </c>
      <c r="AR413">
        <f t="shared" si="163"/>
        <v>5.1999999999999993</v>
      </c>
      <c r="AS413">
        <f t="shared" si="164"/>
        <v>0</v>
      </c>
      <c r="AT413" t="str">
        <f t="shared" si="165"/>
        <v>VENTAS</v>
      </c>
      <c r="AU413">
        <f t="shared" si="166"/>
        <v>10.105549453719426</v>
      </c>
      <c r="AV413" t="str">
        <f t="shared" si="167"/>
        <v>Mayor retorno probable: VENTAS (+10,1 puntos finales potenciales).</v>
      </c>
    </row>
    <row r="414" spans="1:48" x14ac:dyDescent="0.3">
      <c r="A414" s="5">
        <v>51056116</v>
      </c>
      <c r="B414" s="5" t="str">
        <f>IFERROR(VLOOKUP(A414,VENTAS!$A$2:$B$1194,2,0),"")</f>
        <v>MONTENEGRO</v>
      </c>
      <c r="C414" s="5">
        <f>IFERROR(INDEX(VENTAS!$C$2:$E$1194,MATCH(A414,VENTAS!$A$2:$A$1194,0),MATCH(PARAMS_MODELO!$B$2,{"Q1","Q2","Q3"},0)),0)</f>
        <v>49398653.950000003</v>
      </c>
      <c r="D414" s="5">
        <f>IFERROR(INDEX(VENTAS!$F$2:$H$1194,MATCH(A414,VENTAS!$A$2:$A$1194,0),MATCH(PARAMS_MODELO!$B$2,{"Q1","Q2","Q3"},0)),0)</f>
        <v>86802013</v>
      </c>
      <c r="E414" s="8">
        <f t="shared" si="144"/>
        <v>0.75717364865566328</v>
      </c>
      <c r="F414" s="12">
        <f>IF(E414&lt;=PARAMS_MODELO!$B$15,0,IF(E414&gt;=PARAMS_MODELO!$B$17,100,100*MIN(1,(E414-PARAMS_MODELO!$B$15)/(PARAMS_MODELO!$B$16-PARAMS_MODELO!$B$15))))*PARAMS_MODELO!$B$7</f>
        <v>35</v>
      </c>
      <c r="G414" s="5">
        <f t="shared" si="145"/>
        <v>37403359.049999997</v>
      </c>
      <c r="H414" s="5">
        <f>(PARAMS_MODELO!$B$20*(MAX(0,MIN(3,E414))/3)+PARAMS_MODELO!$B$21*(IFERROR(LN(1+MAX(0,G414))/LN(1+MAX(0,MAX($G$2:$G$1194))),0)))*100*PARAMS_MODELO!$B$8</f>
        <v>6.7376475523618184</v>
      </c>
      <c r="I414" s="8">
        <f>E414-PARAMS_MODELO!$B$5</f>
        <v>0.57961081328013675</v>
      </c>
      <c r="J414" s="5">
        <f>IF(I414&lt;=PARAMS_MODELO!$B$18,0,IF(I414&gt;=PARAMS_MODELO!$B$19,100,100*(I414-PARAMS_MODELO!$B$18)/(PARAMS_MODELO!$B$19-PARAMS_MODELO!$B$18)))*PARAMS_MODELO!$B$9</f>
        <v>15</v>
      </c>
      <c r="K414" s="5">
        <f>IFERROR(CHOOSE(MATCH(PARAMS_MODELO!$B$2,{"Q1","Q2","Q3"},0),LOTO!$D414,LOTO!$F414,LOTO!$H414),0)</f>
        <v>4297500</v>
      </c>
      <c r="L414" s="8">
        <f t="shared" si="146"/>
        <v>4.9509220483170129E-2</v>
      </c>
      <c r="M414" s="5">
        <f>MIN(100,IF(PARAMS_MODELO!$B$23=0,0,100*L414/PARAMS_MODELO!$B$23))*PARAMS_MODELO!$B$10</f>
        <v>14.852766144951037</v>
      </c>
      <c r="N414" s="5">
        <f>IFERROR(VLOOKUP(A414,COMPLIANCE!$A$2:$F$1996,6,0),100)</f>
        <v>99.83</v>
      </c>
      <c r="O414" s="5">
        <f>N414*PARAMS_MODELO!$B$11</f>
        <v>9.9830000000000005</v>
      </c>
      <c r="P414" s="5">
        <f>IFERROR(VLOOKUP(A414,DIGITAL!$A$2:$J$2000,7,0),100)</f>
        <v>81</v>
      </c>
      <c r="Q414" s="5">
        <f>IFERROR(P414,0)*PARAMS_MODELO!$B$12</f>
        <v>8.1</v>
      </c>
      <c r="R414">
        <f t="shared" si="147"/>
        <v>89.673413697312853</v>
      </c>
      <c r="S414" s="5" t="str">
        <f>IFERROR(VLOOKUP(A414,CLIENTE!$A$2:$N$2000,13,0),1)</f>
        <v>Bueno</v>
      </c>
      <c r="T414" s="5">
        <f>IFERROR(VLOOKUP(A414,CLIENTE!$A$2:$N$2000,14,0),1)</f>
        <v>1.1000000000000001</v>
      </c>
      <c r="U414" s="5">
        <f t="shared" si="148"/>
        <v>98.64075506704414</v>
      </c>
      <c r="V414" s="5" t="str">
        <f>IF(U414&gt;=MAX(_xlfn.PERCENTILE.INC($U$2:$U$1194,PARAMS_MODELO!$B$50),PARAMS_MODELO!$B$45),"DIAMANTE",IF(U414&gt;=MAX(_xlfn.PERCENTILE.INC($U$2:$U$1194,PARAMS_MODELO!$B$51),PARAMS_MODELO!$B$46),"PLATINO",IF(U414&gt;=MAX(_xlfn.PERCENTILE.INC($U$2:$U$1194,PARAMS_MODELO!$B$52),PARAMS_MODELO!$B$47),"ORO",IF(U414&gt;=MAX(_xlfn.PERCENTILE.INC($U$2:$U$1194,PARAMS_MODELO!$B$53),PARAMS_MODELO!$B$48),"PLATA",IF(U414&gt;=1,"BRONCE","CERRADO")))))</f>
        <v>DIAMANTE</v>
      </c>
      <c r="W414" s="5" t="str" cm="1">
        <f t="array" ref="W414">_xlfn.XLOOKUP(1, (HIST_SCORE!$B:$B=PARAMS_MODELO!$B$4) * (HIST_SCORE!$C:$C=A414), HIST_SCORE!$E:$E, "No encontrado")</f>
        <v>DIAMANTE</v>
      </c>
      <c r="X414" s="5" t="str">
        <f>_xlfn.LET(_xlpm.act,MATCH(V414,{"DIAMANTE";"PLATINO";"ORO";"PLATA";"BRONCE";"CERRADO"},0),_xlpm.ant,MATCH(W414,{"DIAMANTE";"PLATINO";"ORO";"PLATA";"BRONCE";"CERRADO"},0),IF(_xlpm.act&lt;_xlpm.ant,"Mejora ↑",IF(_xlpm.act&gt;_xlpm.ant,"Baja ↓","Estable →")))</f>
        <v>Estable →</v>
      </c>
      <c r="Y414" s="5">
        <f>IFERROR(U414-SUMIFS(HIST_SCORE!$D:$D,HIST_SCORE!$B:$B,PARAMS_MODELO!$B$4,HIST_SCORE!$C:$C,$A414),"")</f>
        <v>1.4905893825157221</v>
      </c>
      <c r="Z414" s="5" t="str">
        <f t="shared" si="149"/>
        <v>→ Estable</v>
      </c>
      <c r="AA414" s="5">
        <f t="shared" si="150"/>
        <v>28</v>
      </c>
      <c r="AB414" s="5">
        <f>IFERROR(SUMIFS(HIST_SCORE!$F:$F,HIST_SCORE!$B:$B,PARAMS_MODELO!$B$4,HIST_SCORE!$C:$C,$A414),"")</f>
        <v>40</v>
      </c>
      <c r="AC414" s="5">
        <f t="shared" si="151"/>
        <v>12</v>
      </c>
      <c r="AD414" t="str">
        <f t="shared" si="153"/>
        <v/>
      </c>
      <c r="AE4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414="CERRADO",1,IF(V414="BRONCE",_xlpm.cPl,IF(V414="PLATA",_xlpm.cO,IF(V414="ORO",_xlpm.cP,IF(V414="PLATINO",_xlpm.cD,999))))))</f>
        <v>999</v>
      </c>
      <c r="AF4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414="CERRADO",0,IF(V414="BRONCE",1,IF(V414="PLATA",_xlpm.cPl,IF(V414="ORO",_xlpm.cO,IF(V414="PLATINO",_xlpm.cP,_xlpm.cD))))))</f>
        <v>96.054919694466676</v>
      </c>
      <c r="AG414">
        <f t="shared" si="154"/>
        <v>818.50840448450526</v>
      </c>
      <c r="AH414" t="str">
        <f t="shared" si="155"/>
        <v>SOSTENER</v>
      </c>
      <c r="AI414" t="str">
        <f t="shared" si="152"/>
        <v>✅ Mantener desempeño y monitorear variaciones para sostener categoría.</v>
      </c>
      <c r="AJ414" s="26">
        <f>_xlfn.LET(_xlpm.piso,AF414,_xlpm.corte,AE414,_xlpm.prog,IF(_xlpm.corte&lt;=_xlpm.piso,0,MAX(0,MIN(1,(U414-_xlpm.piso)/(_xlpm.corte-_xlpm.piso)))),_xlpm.orden,{"DIAMANTE";"PLATINO";"ORO";"PLATA";"BRONCE";"CERRADO"},_xlpm.act,IFERROR(MATCH(V414,_xlpm.orden,0),6),_xlpm.ant,IFERROR(MATCH(W414,_xlpm.orden,0),6),_xlpm.ajmov,IF(_xlpm.act&lt;_xlpm.ant,0.08,IF(_xlpm.act&gt;_xlpm.ant,-0.08,0)),_xlpm.ajcli,IF(T414&lt;0.95,-0.06,0),_xlpm.prob,MAX(0,MIN(1,_xlpm.prog+_xlpm.ajmov+_xlpm.ajcli)),IF(OR(V414="DIAMANTE",V414="CERRADO"),0,ROUND(_xlpm.prob,2)))</f>
        <v>0</v>
      </c>
      <c r="AK414" t="str">
        <f t="shared" si="156"/>
        <v>No aplica</v>
      </c>
      <c r="AL414" t="str">
        <f t="shared" si="157"/>
        <v>Margen de seguridad: 2,6 puntos</v>
      </c>
      <c r="AM414">
        <f t="shared" si="158"/>
        <v>0.8</v>
      </c>
      <c r="AN414" t="str">
        <f t="shared" si="159"/>
        <v>PRIORIDAD ALTA – requiere intervención inmediata</v>
      </c>
      <c r="AO414">
        <f t="shared" si="160"/>
        <v>8.9374138952271398</v>
      </c>
      <c r="AP414">
        <f t="shared" si="161"/>
        <v>0.16195724055385946</v>
      </c>
      <c r="AQ414">
        <f t="shared" si="162"/>
        <v>1.8699999999999408E-2</v>
      </c>
      <c r="AR414">
        <f t="shared" si="163"/>
        <v>2.0900000000000007</v>
      </c>
      <c r="AS414">
        <f t="shared" si="164"/>
        <v>0</v>
      </c>
      <c r="AT414" t="str">
        <f t="shared" si="165"/>
        <v>VENTAS</v>
      </c>
      <c r="AU414">
        <f t="shared" si="166"/>
        <v>8.9374138952271398</v>
      </c>
      <c r="AV414" t="str">
        <f t="shared" si="167"/>
        <v>Mayor retorno probable: VENTAS (+8,9 puntos finales potenciales).</v>
      </c>
    </row>
    <row r="415" spans="1:48" x14ac:dyDescent="0.3">
      <c r="A415" s="5">
        <v>51020979</v>
      </c>
      <c r="B415" s="5" t="str">
        <f>IFERROR(VLOOKUP(A415,VENTAS!$A$2:$B$1194,2,0),"")</f>
        <v>NELLI</v>
      </c>
      <c r="C415" s="5">
        <f>IFERROR(INDEX(VENTAS!$C$2:$E$1194,MATCH(A415,VENTAS!$A$2:$A$1194,0),MATCH(PARAMS_MODELO!$B$2,{"Q1","Q2","Q3"},0)),0)</f>
        <v>64094291.359999999</v>
      </c>
      <c r="D415" s="5">
        <f>IFERROR(INDEX(VENTAS!$F$2:$H$1194,MATCH(A415,VENTAS!$A$2:$A$1194,0),MATCH(PARAMS_MODELO!$B$2,{"Q1","Q2","Q3"},0)),0)</f>
        <v>86758894</v>
      </c>
      <c r="E415" s="8">
        <f t="shared" si="144"/>
        <v>0.35361343668969147</v>
      </c>
      <c r="F415" s="12">
        <f>IF(E415&lt;=PARAMS_MODELO!$B$15,0,IF(E415&gt;=PARAMS_MODELO!$B$17,100,100*MIN(1,(E415-PARAMS_MODELO!$B$15)/(PARAMS_MODELO!$B$16-PARAMS_MODELO!$B$15))))*PARAMS_MODELO!$B$7</f>
        <v>35</v>
      </c>
      <c r="G415" s="5">
        <f t="shared" si="145"/>
        <v>22664602.640000001</v>
      </c>
      <c r="H415" s="5">
        <f>(PARAMS_MODELO!$B$20*(MAX(0,MIN(3,E415))/3)+PARAMS_MODELO!$B$21*(IFERROR(LN(1+MAX(0,G415))/LN(1+MAX(0,MAX($G$2:$G$1194))),0)))*100*PARAMS_MODELO!$B$8</f>
        <v>5.2077556964419971</v>
      </c>
      <c r="I415" s="8">
        <f>E415-PARAMS_MODELO!$B$5</f>
        <v>0.17605060131416495</v>
      </c>
      <c r="J415" s="5">
        <f>IF(I415&lt;=PARAMS_MODELO!$B$18,0,IF(I415&gt;=PARAMS_MODELO!$B$19,100,100*(I415-PARAMS_MODELO!$B$18)/(PARAMS_MODELO!$B$19-PARAMS_MODELO!$B$18)))*PARAMS_MODELO!$B$9</f>
        <v>15</v>
      </c>
      <c r="K415" s="5">
        <f>IFERROR(CHOOSE(MATCH(PARAMS_MODELO!$B$2,{"Q1","Q2","Q3"},0),LOTO!$D415,LOTO!$F415,LOTO!$H415),0)</f>
        <v>4295000</v>
      </c>
      <c r="L415" s="8">
        <f t="shared" si="146"/>
        <v>4.950501097904729E-2</v>
      </c>
      <c r="M415" s="5">
        <f>MIN(100,IF(PARAMS_MODELO!$B$23=0,0,100*L415/PARAMS_MODELO!$B$23))*PARAMS_MODELO!$B$10</f>
        <v>14.851503293714185</v>
      </c>
      <c r="N415" s="5">
        <f>IFERROR(VLOOKUP(A415,COMPLIANCE!$A$2:$F$1996,6,0),100)</f>
        <v>100</v>
      </c>
      <c r="O415" s="5">
        <f>N415*PARAMS_MODELO!$B$11</f>
        <v>10</v>
      </c>
      <c r="P415" s="5">
        <f>IFERROR(VLOOKUP(A415,DIGITAL!$A$2:$J$2000,7,0),100)</f>
        <v>87</v>
      </c>
      <c r="Q415" s="5">
        <f>IFERROR(P415,0)*PARAMS_MODELO!$B$12</f>
        <v>8.7000000000000011</v>
      </c>
      <c r="R415">
        <f t="shared" si="147"/>
        <v>88.759258990156184</v>
      </c>
      <c r="S415" s="5" t="str">
        <f>IFERROR(VLOOKUP(A415,CLIENTE!$A$2:$N$2000,13,0),1)</f>
        <v>Malo</v>
      </c>
      <c r="T415" s="5">
        <f>IFERROR(VLOOKUP(A415,CLIENTE!$A$2:$N$2000,14,0),1)</f>
        <v>0.7</v>
      </c>
      <c r="U415" s="5">
        <f t="shared" si="148"/>
        <v>62.131481293109324</v>
      </c>
      <c r="V415" s="5" t="str">
        <f>IF(U415&gt;=MAX(_xlfn.PERCENTILE.INC($U$2:$U$1194,PARAMS_MODELO!$B$50),PARAMS_MODELO!$B$45),"DIAMANTE",IF(U415&gt;=MAX(_xlfn.PERCENTILE.INC($U$2:$U$1194,PARAMS_MODELO!$B$51),PARAMS_MODELO!$B$46),"PLATINO",IF(U415&gt;=MAX(_xlfn.PERCENTILE.INC($U$2:$U$1194,PARAMS_MODELO!$B$52),PARAMS_MODELO!$B$47),"ORO",IF(U415&gt;=MAX(_xlfn.PERCENTILE.INC($U$2:$U$1194,PARAMS_MODELO!$B$53),PARAMS_MODELO!$B$48),"PLATA",IF(U415&gt;=1,"BRONCE","CERRADO")))))</f>
        <v>PLATA</v>
      </c>
      <c r="W415" s="5" t="str" cm="1">
        <f t="array" ref="W415">_xlfn.XLOOKUP(1, (HIST_SCORE!$B:$B=PARAMS_MODELO!$B$4) * (HIST_SCORE!$C:$C=A415), HIST_SCORE!$E:$E, "No encontrado")</f>
        <v>ORO</v>
      </c>
      <c r="X415" s="5" t="str">
        <f>_xlfn.LET(_xlpm.act,MATCH(V415,{"DIAMANTE";"PLATINO";"ORO";"PLATA";"BRONCE";"CERRADO"},0),_xlpm.ant,MATCH(W415,{"DIAMANTE";"PLATINO";"ORO";"PLATA";"BRONCE";"CERRADO"},0),IF(_xlpm.act&lt;_xlpm.ant,"Mejora ↑",IF(_xlpm.act&gt;_xlpm.ant,"Baja ↓","Estable →")))</f>
        <v>Baja ↓</v>
      </c>
      <c r="Y415" s="5">
        <f>IFERROR(U415-SUMIFS(HIST_SCORE!$D:$D,HIST_SCORE!$B:$B,PARAMS_MODELO!$B$4,HIST_SCORE!$C:$C,$A415),"")</f>
        <v>-0.61634615249582225</v>
      </c>
      <c r="Z415" s="5" t="str">
        <f t="shared" si="149"/>
        <v>→ Estable</v>
      </c>
      <c r="AA415" s="5">
        <f t="shared" si="150"/>
        <v>577</v>
      </c>
      <c r="AB415" s="5">
        <f>IFERROR(SUMIFS(HIST_SCORE!$F:$F,HIST_SCORE!$B:$B,PARAMS_MODELO!$B$4,HIST_SCORE!$C:$C,$A415),"")</f>
        <v>595</v>
      </c>
      <c r="AC415" s="5">
        <f t="shared" si="151"/>
        <v>18</v>
      </c>
      <c r="AD415" t="str">
        <f t="shared" si="153"/>
        <v/>
      </c>
      <c r="AE4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415="CERRADO",1,IF(V415="BRONCE",_xlpm.cPl,IF(V415="PLATA",_xlpm.cO,IF(V415="ORO",_xlpm.cP,IF(V415="PLATINO",_xlpm.cD,999))))))</f>
        <v>63.199193273331495</v>
      </c>
      <c r="AF4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415="CERRADO",0,IF(V415="BRONCE",1,IF(V415="PLATA",_xlpm.cPl,IF(V415="ORO",_xlpm.cO,IF(V415="PLATINO",_xlpm.cP,_xlpm.cD))))))</f>
        <v>24.506573482968111</v>
      </c>
      <c r="AG415">
        <f t="shared" si="154"/>
        <v>1.5253028288888117</v>
      </c>
      <c r="AH415" t="str">
        <f t="shared" si="155"/>
        <v>CLIENTE</v>
      </c>
      <c r="AI415" t="str">
        <f t="shared" si="152"/>
        <v>🎯 Para subir de categoría, la eje con mayor impacto probable es CLIENTE (coef T). Acción: reducir quejas, mejorar incógnito y empujar reseñas. ΔR aprox: 1,5</v>
      </c>
      <c r="AJ415" s="26">
        <f>_xlfn.LET(_xlpm.piso,AF415,_xlpm.corte,AE415,_xlpm.prog,IF(_xlpm.corte&lt;=_xlpm.piso,0,MAX(0,MIN(1,(U415-_xlpm.piso)/(_xlpm.corte-_xlpm.piso)))),_xlpm.orden,{"DIAMANTE";"PLATINO";"ORO";"PLATA";"BRONCE";"CERRADO"},_xlpm.act,IFERROR(MATCH(V415,_xlpm.orden,0),6),_xlpm.ant,IFERROR(MATCH(W415,_xlpm.orden,0),6),_xlpm.ajmov,IF(_xlpm.act&lt;_xlpm.ant,0.08,IF(_xlpm.act&gt;_xlpm.ant,-0.08,0)),_xlpm.ajcli,IF(T415&lt;0.95,-0.06,0),_xlpm.prob,MAX(0,MIN(1,_xlpm.prog+_xlpm.ajmov+_xlpm.ajcli)),IF(OR(V415="DIAMANTE",V415="CERRADO"),0,ROUND(_xlpm.prob,2)))</f>
        <v>0.83</v>
      </c>
      <c r="AK415" t="str">
        <f t="shared" si="156"/>
        <v>Faltan 1,5 puntos base para subir a la siguiente categoría</v>
      </c>
      <c r="AL415" t="str">
        <f t="shared" si="157"/>
        <v>Margen de seguridad: 37,6 puntos</v>
      </c>
      <c r="AM415">
        <f t="shared" si="158"/>
        <v>0.33</v>
      </c>
      <c r="AN415" t="str">
        <f t="shared" si="159"/>
        <v>PRIORIDAD BAJA – control normal</v>
      </c>
      <c r="AO415">
        <f t="shared" si="160"/>
        <v>6.7583695051975088</v>
      </c>
      <c r="AP415">
        <f t="shared" si="161"/>
        <v>0.10394769440007073</v>
      </c>
      <c r="AQ415">
        <f t="shared" si="162"/>
        <v>0</v>
      </c>
      <c r="AR415">
        <f t="shared" si="163"/>
        <v>0.90999999999999914</v>
      </c>
      <c r="AS415">
        <f t="shared" si="164"/>
        <v>26.627777697046859</v>
      </c>
      <c r="AT415" t="str">
        <f t="shared" si="165"/>
        <v>CLIENTE</v>
      </c>
      <c r="AU415">
        <f t="shared" si="166"/>
        <v>26.627777697046859</v>
      </c>
      <c r="AV415" t="str">
        <f t="shared" si="167"/>
        <v>Mayor retorno probable: CLIENTE (+26,6 puntos finales potenciales).</v>
      </c>
    </row>
    <row r="416" spans="1:48" x14ac:dyDescent="0.3">
      <c r="A416" s="5">
        <v>51015207</v>
      </c>
      <c r="B416" s="5" t="str">
        <f>IFERROR(VLOOKUP(A416,VENTAS!$A$2:$B$1194,2,0),"")</f>
        <v>NELLI</v>
      </c>
      <c r="C416" s="5">
        <f>IFERROR(INDEX(VENTAS!$C$2:$E$1194,MATCH(A416,VENTAS!$A$2:$A$1194,0),MATCH(PARAMS_MODELO!$B$2,{"Q1","Q2","Q3"},0)),0)</f>
        <v>78900585.200000003</v>
      </c>
      <c r="D416" s="5">
        <f>IFERROR(INDEX(VENTAS!$F$2:$H$1194,MATCH(A416,VENTAS!$A$2:$A$1194,0),MATCH(PARAMS_MODELO!$B$2,{"Q1","Q2","Q3"},0)),0)</f>
        <v>86718670</v>
      </c>
      <c r="E416" s="8">
        <f t="shared" si="144"/>
        <v>9.9087792317160028E-2</v>
      </c>
      <c r="F416" s="12">
        <f>IF(E416&lt;=PARAMS_MODELO!$B$15,0,IF(E416&gt;=PARAMS_MODELO!$B$17,100,100*MIN(1,(E416-PARAMS_MODELO!$B$15)/(PARAMS_MODELO!$B$16-PARAMS_MODELO!$B$15))))*PARAMS_MODELO!$B$7</f>
        <v>34.680727311006002</v>
      </c>
      <c r="G416" s="5">
        <f t="shared" si="145"/>
        <v>7818084.799999997</v>
      </c>
      <c r="H416" s="5">
        <f>(PARAMS_MODELO!$B$20*(MAX(0,MIN(3,E416))/3)+PARAMS_MODELO!$B$21*(IFERROR(LN(1+MAX(0,G416))/LN(1+MAX(0,MAX($G$2:$G$1194))),0)))*100*PARAMS_MODELO!$B$8</f>
        <v>4.0674140068546256</v>
      </c>
      <c r="I416" s="8">
        <f>E416-PARAMS_MODELO!$B$5</f>
        <v>-7.84750430583665E-2</v>
      </c>
      <c r="J416" s="5">
        <f>IF(I416&lt;=PARAMS_MODELO!$B$18,0,IF(I416&gt;=PARAMS_MODELO!$B$19,100,100*(I416-PARAMS_MODELO!$B$18)/(PARAMS_MODELO!$B$19-PARAMS_MODELO!$B$18)))*PARAMS_MODELO!$B$9</f>
        <v>0</v>
      </c>
      <c r="K416" s="5">
        <f>IFERROR(CHOOSE(MATCH(PARAMS_MODELO!$B$2,{"Q1","Q2","Q3"},0),LOTO!$D416,LOTO!$F416,LOTO!$H416),0)</f>
        <v>4285000</v>
      </c>
      <c r="L416" s="8">
        <f t="shared" si="146"/>
        <v>4.9412658196902694E-2</v>
      </c>
      <c r="M416" s="5">
        <f>MIN(100,IF(PARAMS_MODELO!$B$23=0,0,100*L416/PARAMS_MODELO!$B$23))*PARAMS_MODELO!$B$10</f>
        <v>14.823797459070807</v>
      </c>
      <c r="N416" s="5">
        <f>IFERROR(VLOOKUP(A416,COMPLIANCE!$A$2:$F$1996,6,0),100)</f>
        <v>100</v>
      </c>
      <c r="O416" s="5">
        <f>N416*PARAMS_MODELO!$B$11</f>
        <v>10</v>
      </c>
      <c r="P416" s="5">
        <f>IFERROR(VLOOKUP(A416,DIGITAL!$A$2:$J$2000,7,0),100)</f>
        <v>76</v>
      </c>
      <c r="Q416" s="5">
        <f>IFERROR(P416,0)*PARAMS_MODELO!$B$12</f>
        <v>7.6000000000000005</v>
      </c>
      <c r="R416">
        <f t="shared" si="147"/>
        <v>71.171938776931427</v>
      </c>
      <c r="S416" s="5" t="str">
        <f>IFERROR(VLOOKUP(A416,CLIENTE!$A$2:$N$2000,13,0),1)</f>
        <v>Regular</v>
      </c>
      <c r="T416" s="5">
        <f>IFERROR(VLOOKUP(A416,CLIENTE!$A$2:$N$2000,14,0),1)</f>
        <v>1</v>
      </c>
      <c r="U416" s="5">
        <f t="shared" si="148"/>
        <v>71.171938776931427</v>
      </c>
      <c r="V416" s="5" t="str">
        <f>IF(U416&gt;=MAX(_xlfn.PERCENTILE.INC($U$2:$U$1194,PARAMS_MODELO!$B$50),PARAMS_MODELO!$B$45),"DIAMANTE",IF(U416&gt;=MAX(_xlfn.PERCENTILE.INC($U$2:$U$1194,PARAMS_MODELO!$B$51),PARAMS_MODELO!$B$46),"PLATINO",IF(U416&gt;=MAX(_xlfn.PERCENTILE.INC($U$2:$U$1194,PARAMS_MODELO!$B$52),PARAMS_MODELO!$B$47),"ORO",IF(U416&gt;=MAX(_xlfn.PERCENTILE.INC($U$2:$U$1194,PARAMS_MODELO!$B$53),PARAMS_MODELO!$B$48),"PLATA",IF(U416&gt;=1,"BRONCE","CERRADO")))))</f>
        <v>ORO</v>
      </c>
      <c r="W416" s="5" t="str" cm="1">
        <f t="array" ref="W416">_xlfn.XLOOKUP(1, (HIST_SCORE!$B:$B=PARAMS_MODELO!$B$4) * (HIST_SCORE!$C:$C=A416), HIST_SCORE!$E:$E, "No encontrado")</f>
        <v>ORO</v>
      </c>
      <c r="X416" s="5" t="str">
        <f>_xlfn.LET(_xlpm.act,MATCH(V416,{"DIAMANTE";"PLATINO";"ORO";"PLATA";"BRONCE";"CERRADO"},0),_xlpm.ant,MATCH(W416,{"DIAMANTE";"PLATINO";"ORO";"PLATA";"BRONCE";"CERRADO"},0),IF(_xlpm.act&lt;_xlpm.ant,"Mejora ↑",IF(_xlpm.act&gt;_xlpm.ant,"Baja ↓","Estable →")))</f>
        <v>Estable →</v>
      </c>
      <c r="Y416" s="5">
        <f>IFERROR(U416-SUMIFS(HIST_SCORE!$D:$D,HIST_SCORE!$B:$B,PARAMS_MODELO!$B$4,HIST_SCORE!$C:$C,$A416),"")</f>
        <v>-14.436405511298261</v>
      </c>
      <c r="Z416" s="5" t="str">
        <f t="shared" si="149"/>
        <v>↓ Baja</v>
      </c>
      <c r="AA416" s="5">
        <f t="shared" si="150"/>
        <v>506</v>
      </c>
      <c r="AB416" s="5">
        <f>IFERROR(SUMIFS(HIST_SCORE!$F:$F,HIST_SCORE!$B:$B,PARAMS_MODELO!$B$4,HIST_SCORE!$C:$C,$A416),"")</f>
        <v>251</v>
      </c>
      <c r="AC416" s="5">
        <f t="shared" si="151"/>
        <v>-255</v>
      </c>
      <c r="AD416" t="str">
        <f t="shared" si="153"/>
        <v>Sostener base y reforzar mix</v>
      </c>
      <c r="AE4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416="CERRADO",1,IF(V416="BRONCE",_xlpm.cPl,IF(V416="PLATA",_xlpm.cO,IF(V416="ORO",_xlpm.cP,IF(V416="PLATINO",_xlpm.cD,999))))))</f>
        <v>86.439123873763251</v>
      </c>
      <c r="AF4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416="CERRADO",0,IF(V416="BRONCE",1,IF(V416="PLATA",_xlpm.cPl,IF(V416="ORO",_xlpm.cO,IF(V416="PLATINO",_xlpm.cP,_xlpm.cD))))))</f>
        <v>63.199193273331495</v>
      </c>
      <c r="AG416">
        <f t="shared" si="154"/>
        <v>15.267185096831824</v>
      </c>
      <c r="AH416" t="str">
        <f t="shared" si="155"/>
        <v>VENTAS</v>
      </c>
      <c r="AI416" t="str">
        <f t="shared" si="152"/>
        <v>🎯 Para subir de categoría, eje VENTAS / DIFERENCIAL vs LOTBA (J). Acción: metas semanales + activación comercial + seguimiento del asesor. ΔR aprox: 15,3</v>
      </c>
      <c r="AJ416" s="26">
        <f>_xlfn.LET(_xlpm.piso,AF416,_xlpm.corte,AE416,_xlpm.prog,IF(_xlpm.corte&lt;=_xlpm.piso,0,MAX(0,MIN(1,(U416-_xlpm.piso)/(_xlpm.corte-_xlpm.piso)))),_xlpm.orden,{"DIAMANTE";"PLATINO";"ORO";"PLATA";"BRONCE";"CERRADO"},_xlpm.act,IFERROR(MATCH(V416,_xlpm.orden,0),6),_xlpm.ant,IFERROR(MATCH(W416,_xlpm.orden,0),6),_xlpm.ajmov,IF(_xlpm.act&lt;_xlpm.ant,0.08,IF(_xlpm.act&gt;_xlpm.ant,-0.08,0)),_xlpm.ajcli,IF(T416&lt;0.95,-0.06,0),_xlpm.prob,MAX(0,MIN(1,_xlpm.prog+_xlpm.ajmov+_xlpm.ajcli)),IF(OR(V416="DIAMANTE",V416="CERRADO"),0,ROUND(_xlpm.prob,2)))</f>
        <v>0.34</v>
      </c>
      <c r="AK416" t="str">
        <f t="shared" si="156"/>
        <v>Faltan 15,3 puntos base para subir a la siguiente categoría</v>
      </c>
      <c r="AL416" t="str">
        <f t="shared" si="157"/>
        <v>Margen de seguridad: 8,0 puntos</v>
      </c>
      <c r="AM416">
        <f t="shared" si="158"/>
        <v>0.66</v>
      </c>
      <c r="AN416" t="str">
        <f t="shared" si="159"/>
        <v>PRIORIDAD MEDIA – seguimiento del asesor</v>
      </c>
      <c r="AO416">
        <f t="shared" si="160"/>
        <v>26.114427957434955</v>
      </c>
      <c r="AP416">
        <f t="shared" si="161"/>
        <v>0.17620254092919296</v>
      </c>
      <c r="AQ416">
        <f t="shared" si="162"/>
        <v>0</v>
      </c>
      <c r="AR416">
        <f t="shared" si="163"/>
        <v>2.3999999999999995</v>
      </c>
      <c r="AS416">
        <f t="shared" si="164"/>
        <v>0</v>
      </c>
      <c r="AT416" t="str">
        <f t="shared" si="165"/>
        <v>VENTAS</v>
      </c>
      <c r="AU416">
        <f t="shared" si="166"/>
        <v>26.114427957434955</v>
      </c>
      <c r="AV416" t="str">
        <f t="shared" si="167"/>
        <v>Mayor retorno probable: VENTAS (+26,1 puntos finales potenciales).</v>
      </c>
    </row>
    <row r="417" spans="1:48" x14ac:dyDescent="0.3">
      <c r="A417" s="5">
        <v>51007549</v>
      </c>
      <c r="B417" s="5" t="str">
        <f>IFERROR(VLOOKUP(A417,VENTAS!$A$2:$B$1194,2,0),"")</f>
        <v>MONTENEGRO</v>
      </c>
      <c r="C417" s="5">
        <f>IFERROR(INDEX(VENTAS!$C$2:$E$1194,MATCH(A417,VENTAS!$A$2:$A$1194,0),MATCH(PARAMS_MODELO!$B$2,{"Q1","Q2","Q3"},0)),0)</f>
        <v>83062808.070000008</v>
      </c>
      <c r="D417" s="5">
        <f>IFERROR(INDEX(VENTAS!$F$2:$H$1194,MATCH(A417,VENTAS!$A$2:$A$1194,0),MATCH(PARAMS_MODELO!$B$2,{"Q1","Q2","Q3"},0)),0)</f>
        <v>86665609</v>
      </c>
      <c r="E417" s="8">
        <f t="shared" si="144"/>
        <v>4.3374417669142407E-2</v>
      </c>
      <c r="F417" s="12">
        <f>IF(E417&lt;=PARAMS_MODELO!$B$15,0,IF(E417&gt;=PARAMS_MODELO!$B$17,100,100*MIN(1,(E417-PARAMS_MODELO!$B$15)/(PARAMS_MODELO!$B$16-PARAMS_MODELO!$B$15))))*PARAMS_MODELO!$B$7</f>
        <v>15.18104618419984</v>
      </c>
      <c r="G417" s="5">
        <f t="shared" si="145"/>
        <v>3602800.9299999923</v>
      </c>
      <c r="H417" s="5">
        <f>(PARAMS_MODELO!$B$20*(MAX(0,MIN(3,E417))/3)+PARAMS_MODELO!$B$21*(IFERROR(LN(1+MAX(0,G417))/LN(1+MAX(0,MAX($G$2:$G$1194))),0)))*100*PARAMS_MODELO!$B$8</f>
        <v>3.6908101635188579</v>
      </c>
      <c r="I417" s="8">
        <f>E417-PARAMS_MODELO!$B$5</f>
        <v>-0.13418841770638412</v>
      </c>
      <c r="J417" s="5">
        <f>IF(I417&lt;=PARAMS_MODELO!$B$18,0,IF(I417&gt;=PARAMS_MODELO!$B$19,100,100*(I417-PARAMS_MODELO!$B$18)/(PARAMS_MODELO!$B$19-PARAMS_MODELO!$B$18)))*PARAMS_MODELO!$B$9</f>
        <v>0</v>
      </c>
      <c r="K417" s="5">
        <f>IFERROR(CHOOSE(MATCH(PARAMS_MODELO!$B$2,{"Q1","Q2","Q3"},0),LOTO!$D417,LOTO!$F417,LOTO!$H417),0)</f>
        <v>4285000</v>
      </c>
      <c r="L417" s="8">
        <f t="shared" si="146"/>
        <v>4.9442911085987987E-2</v>
      </c>
      <c r="M417" s="5">
        <f>MIN(100,IF(PARAMS_MODELO!$B$23=0,0,100*L417/PARAMS_MODELO!$B$23))*PARAMS_MODELO!$B$10</f>
        <v>14.832873325796395</v>
      </c>
      <c r="N417" s="5">
        <f>IFERROR(VLOOKUP(A417,COMPLIANCE!$A$2:$F$1996,6,0),100)</f>
        <v>100</v>
      </c>
      <c r="O417" s="5">
        <f>N417*PARAMS_MODELO!$B$11</f>
        <v>10</v>
      </c>
      <c r="P417" s="5">
        <f>IFERROR(VLOOKUP(A417,DIGITAL!$A$2:$J$2000,7,0),100)</f>
        <v>85</v>
      </c>
      <c r="Q417" s="5">
        <f>IFERROR(P417,0)*PARAMS_MODELO!$B$12</f>
        <v>8.5</v>
      </c>
      <c r="R417">
        <f t="shared" si="147"/>
        <v>52.204729673515089</v>
      </c>
      <c r="S417" s="5" t="str">
        <f>IFERROR(VLOOKUP(A417,CLIENTE!$A$2:$N$2000,13,0),1)</f>
        <v>Bueno</v>
      </c>
      <c r="T417" s="5">
        <f>IFERROR(VLOOKUP(A417,CLIENTE!$A$2:$N$2000,14,0),1)</f>
        <v>1.1000000000000001</v>
      </c>
      <c r="U417" s="5">
        <f t="shared" si="148"/>
        <v>57.425202640866601</v>
      </c>
      <c r="V417" s="5" t="str">
        <f>IF(U417&gt;=MAX(_xlfn.PERCENTILE.INC($U$2:$U$1194,PARAMS_MODELO!$B$50),PARAMS_MODELO!$B$45),"DIAMANTE",IF(U417&gt;=MAX(_xlfn.PERCENTILE.INC($U$2:$U$1194,PARAMS_MODELO!$B$51),PARAMS_MODELO!$B$46),"PLATINO",IF(U417&gt;=MAX(_xlfn.PERCENTILE.INC($U$2:$U$1194,PARAMS_MODELO!$B$52),PARAMS_MODELO!$B$47),"ORO",IF(U417&gt;=MAX(_xlfn.PERCENTILE.INC($U$2:$U$1194,PARAMS_MODELO!$B$53),PARAMS_MODELO!$B$48),"PLATA",IF(U417&gt;=1,"BRONCE","CERRADO")))))</f>
        <v>PLATA</v>
      </c>
      <c r="W417" s="5" t="str" cm="1">
        <f t="array" ref="W417">_xlfn.XLOOKUP(1, (HIST_SCORE!$B:$B=PARAMS_MODELO!$B$4) * (HIST_SCORE!$C:$C=A417), HIST_SCORE!$E:$E, "No encontrado")</f>
        <v>PLATINO</v>
      </c>
      <c r="X417" s="5" t="str">
        <f>_xlfn.LET(_xlpm.act,MATCH(V417,{"DIAMANTE";"PLATINO";"ORO";"PLATA";"BRONCE";"CERRADO"},0),_xlpm.ant,MATCH(W417,{"DIAMANTE";"PLATINO";"ORO";"PLATA";"BRONCE";"CERRADO"},0),IF(_xlpm.act&lt;_xlpm.ant,"Mejora ↑",IF(_xlpm.act&gt;_xlpm.ant,"Baja ↓","Estable →")))</f>
        <v>Baja ↓</v>
      </c>
      <c r="Y417" s="5">
        <f>IFERROR(U417-SUMIFS(HIST_SCORE!$D:$D,HIST_SCORE!$B:$B,PARAMS_MODELO!$B$4,HIST_SCORE!$C:$C,$A417),"")</f>
        <v>-31.781397801053146</v>
      </c>
      <c r="Z417" s="5" t="str">
        <f t="shared" si="149"/>
        <v>↓ Baja</v>
      </c>
      <c r="AA417" s="5">
        <f t="shared" si="150"/>
        <v>677</v>
      </c>
      <c r="AB417" s="5">
        <f>IFERROR(SUMIFS(HIST_SCORE!$F:$F,HIST_SCORE!$B:$B,PARAMS_MODELO!$B$4,HIST_SCORE!$C:$C,$A417),"")</f>
        <v>146</v>
      </c>
      <c r="AC417" s="5">
        <f t="shared" si="151"/>
        <v>-531</v>
      </c>
      <c r="AD417" t="str">
        <f t="shared" si="153"/>
        <v/>
      </c>
      <c r="AE4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417="CERRADO",1,IF(V417="BRONCE",_xlpm.cPl,IF(V417="PLATA",_xlpm.cO,IF(V417="ORO",_xlpm.cP,IF(V417="PLATINO",_xlpm.cD,999))))))</f>
        <v>63.199193273331495</v>
      </c>
      <c r="AF4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417="CERRADO",0,IF(V417="BRONCE",1,IF(V417="PLATA",_xlpm.cPl,IF(V417="ORO",_xlpm.cO,IF(V417="PLATINO",_xlpm.cP,_xlpm.cD))))))</f>
        <v>24.506573482968111</v>
      </c>
      <c r="AG417">
        <f t="shared" si="154"/>
        <v>5.2490823931499051</v>
      </c>
      <c r="AH417" t="str">
        <f t="shared" si="155"/>
        <v>VENTAS</v>
      </c>
      <c r="AI417" t="str">
        <f t="shared" si="152"/>
        <v>🎯 Para subir de categoría, eje VENTAS / DIFERENCIAL vs LOTBA (J). Acción: metas semanales + activación comercial + seguimiento del asesor. ΔR aprox: 5,2</v>
      </c>
      <c r="AJ417" s="26">
        <f>_xlfn.LET(_xlpm.piso,AF417,_xlpm.corte,AE417,_xlpm.prog,IF(_xlpm.corte&lt;=_xlpm.piso,0,MAX(0,MIN(1,(U417-_xlpm.piso)/(_xlpm.corte-_xlpm.piso)))),_xlpm.orden,{"DIAMANTE";"PLATINO";"ORO";"PLATA";"BRONCE";"CERRADO"},_xlpm.act,IFERROR(MATCH(V417,_xlpm.orden,0),6),_xlpm.ant,IFERROR(MATCH(W417,_xlpm.orden,0),6),_xlpm.ajmov,IF(_xlpm.act&lt;_xlpm.ant,0.08,IF(_xlpm.act&gt;_xlpm.ant,-0.08,0)),_xlpm.ajcli,IF(T417&lt;0.95,-0.06,0),_xlpm.prob,MAX(0,MIN(1,_xlpm.prog+_xlpm.ajmov+_xlpm.ajcli)),IF(OR(V417="DIAMANTE",V417="CERRADO"),0,ROUND(_xlpm.prob,2)))</f>
        <v>0.77</v>
      </c>
      <c r="AK417" t="str">
        <f t="shared" si="156"/>
        <v>Faltan 5,2 puntos base para subir a la siguiente categoría</v>
      </c>
      <c r="AL417" t="str">
        <f t="shared" si="157"/>
        <v>Margen de seguridad: 32,9 puntos</v>
      </c>
      <c r="AM417">
        <f t="shared" si="158"/>
        <v>0.3</v>
      </c>
      <c r="AN417" t="str">
        <f t="shared" si="159"/>
        <v>PRIORIDAD BAJA – control normal</v>
      </c>
      <c r="AO417">
        <f t="shared" si="160"/>
        <v>50.589784220334579</v>
      </c>
      <c r="AP417">
        <f t="shared" si="161"/>
        <v>0.18383934162396509</v>
      </c>
      <c r="AQ417">
        <f t="shared" si="162"/>
        <v>0</v>
      </c>
      <c r="AR417">
        <f t="shared" si="163"/>
        <v>1.6500000000000001</v>
      </c>
      <c r="AS417">
        <f t="shared" si="164"/>
        <v>0</v>
      </c>
      <c r="AT417" t="str">
        <f t="shared" si="165"/>
        <v>VENTAS</v>
      </c>
      <c r="AU417">
        <f t="shared" si="166"/>
        <v>50.589784220334579</v>
      </c>
      <c r="AV417" t="str">
        <f t="shared" si="167"/>
        <v>Mayor retorno probable: VENTAS (+50,6 puntos finales potenciales).</v>
      </c>
    </row>
    <row r="418" spans="1:48" x14ac:dyDescent="0.3">
      <c r="A418" s="5">
        <v>51032624</v>
      </c>
      <c r="B418" s="5" t="str">
        <f>IFERROR(VLOOKUP(A418,VENTAS!$A$2:$B$1194,2,0),"")</f>
        <v>NELLI</v>
      </c>
      <c r="C418" s="5">
        <f>IFERROR(INDEX(VENTAS!$C$2:$E$1194,MATCH(A418,VENTAS!$A$2:$A$1194,0),MATCH(PARAMS_MODELO!$B$2,{"Q1","Q2","Q3"},0)),0)</f>
        <v>63095041.599999987</v>
      </c>
      <c r="D418" s="5">
        <f>IFERROR(INDEX(VENTAS!$F$2:$H$1194,MATCH(A418,VENTAS!$A$2:$A$1194,0),MATCH(PARAMS_MODELO!$B$2,{"Q1","Q2","Q3"},0)),0)</f>
        <v>86552908</v>
      </c>
      <c r="E418" s="8">
        <f t="shared" si="144"/>
        <v>0.3717862102178251</v>
      </c>
      <c r="F418" s="12">
        <f>IF(E418&lt;=PARAMS_MODELO!$B$15,0,IF(E418&gt;=PARAMS_MODELO!$B$17,100,100*MIN(1,(E418-PARAMS_MODELO!$B$15)/(PARAMS_MODELO!$B$16-PARAMS_MODELO!$B$15))))*PARAMS_MODELO!$B$7</f>
        <v>35</v>
      </c>
      <c r="G418" s="5">
        <f t="shared" si="145"/>
        <v>23457866.400000013</v>
      </c>
      <c r="H418" s="5">
        <f>(PARAMS_MODELO!$B$20*(MAX(0,MIN(3,E418))/3)+PARAMS_MODELO!$B$21*(IFERROR(LN(1+MAX(0,G418))/LN(1+MAX(0,MAX($G$2:$G$1194))),0)))*100*PARAMS_MODELO!$B$8</f>
        <v>5.2794246047883053</v>
      </c>
      <c r="I418" s="8">
        <f>E418-PARAMS_MODELO!$B$5</f>
        <v>0.19422337484229857</v>
      </c>
      <c r="J418" s="5">
        <f>IF(I418&lt;=PARAMS_MODELO!$B$18,0,IF(I418&gt;=PARAMS_MODELO!$B$19,100,100*(I418-PARAMS_MODELO!$B$18)/(PARAMS_MODELO!$B$19-PARAMS_MODELO!$B$18)))*PARAMS_MODELO!$B$9</f>
        <v>15</v>
      </c>
      <c r="K418" s="5">
        <f>IFERROR(CHOOSE(MATCH(PARAMS_MODELO!$B$2,{"Q1","Q2","Q3"},0),LOTO!$D418,LOTO!$F418,LOTO!$H418),0)</f>
        <v>4282500</v>
      </c>
      <c r="L418" s="8">
        <f t="shared" si="146"/>
        <v>4.9478406895352378E-2</v>
      </c>
      <c r="M418" s="5">
        <f>MIN(100,IF(PARAMS_MODELO!$B$23=0,0,100*L418/PARAMS_MODELO!$B$23))*PARAMS_MODELO!$B$10</f>
        <v>14.843522068605713</v>
      </c>
      <c r="N418" s="5">
        <f>IFERROR(VLOOKUP(A418,COMPLIANCE!$A$2:$F$1996,6,0),100)</f>
        <v>100</v>
      </c>
      <c r="O418" s="5">
        <f>N418*PARAMS_MODELO!$B$11</f>
        <v>10</v>
      </c>
      <c r="P418" s="5">
        <f>IFERROR(VLOOKUP(A418,DIGITAL!$A$2:$J$2000,7,0),100)</f>
        <v>37</v>
      </c>
      <c r="Q418" s="5">
        <f>IFERROR(P418,0)*PARAMS_MODELO!$B$12</f>
        <v>3.7</v>
      </c>
      <c r="R418">
        <f t="shared" si="147"/>
        <v>83.822946673394014</v>
      </c>
      <c r="S418" s="5" t="str">
        <f>IFERROR(VLOOKUP(A418,CLIENTE!$A$2:$N$2000,13,0),1)</f>
        <v>Malo</v>
      </c>
      <c r="T418" s="5">
        <f>IFERROR(VLOOKUP(A418,CLIENTE!$A$2:$N$2000,14,0),1)</f>
        <v>0.7</v>
      </c>
      <c r="U418" s="5">
        <f t="shared" si="148"/>
        <v>58.676062671375803</v>
      </c>
      <c r="V418" s="5" t="str">
        <f>IF(U418&gt;=MAX(_xlfn.PERCENTILE.INC($U$2:$U$1194,PARAMS_MODELO!$B$50),PARAMS_MODELO!$B$45),"DIAMANTE",IF(U418&gt;=MAX(_xlfn.PERCENTILE.INC($U$2:$U$1194,PARAMS_MODELO!$B$51),PARAMS_MODELO!$B$46),"PLATINO",IF(U418&gt;=MAX(_xlfn.PERCENTILE.INC($U$2:$U$1194,PARAMS_MODELO!$B$52),PARAMS_MODELO!$B$47),"ORO",IF(U418&gt;=MAX(_xlfn.PERCENTILE.INC($U$2:$U$1194,PARAMS_MODELO!$B$53),PARAMS_MODELO!$B$48),"PLATA",IF(U418&gt;=1,"BRONCE","CERRADO")))))</f>
        <v>PLATA</v>
      </c>
      <c r="W418" s="5" t="str" cm="1">
        <f t="array" ref="W418">_xlfn.XLOOKUP(1, (HIST_SCORE!$B:$B=PARAMS_MODELO!$B$4) * (HIST_SCORE!$C:$C=A418), HIST_SCORE!$E:$E, "No encontrado")</f>
        <v>PLATA</v>
      </c>
      <c r="X418" s="5" t="str">
        <f>_xlfn.LET(_xlpm.act,MATCH(V418,{"DIAMANTE";"PLATINO";"ORO";"PLATA";"BRONCE";"CERRADO"},0),_xlpm.ant,MATCH(W418,{"DIAMANTE";"PLATINO";"ORO";"PLATA";"BRONCE";"CERRADO"},0),IF(_xlpm.act&lt;_xlpm.ant,"Mejora ↑",IF(_xlpm.act&gt;_xlpm.ant,"Baja ↓","Estable →")))</f>
        <v>Estable →</v>
      </c>
      <c r="Y418" s="5">
        <f>IFERROR(U418-SUMIFS(HIST_SCORE!$D:$D,HIST_SCORE!$B:$B,PARAMS_MODELO!$B$4,HIST_SCORE!$C:$C,$A418),"")</f>
        <v>0.63773288308621545</v>
      </c>
      <c r="Z418" s="5" t="str">
        <f t="shared" si="149"/>
        <v>→ Estable</v>
      </c>
      <c r="AA418" s="5">
        <f t="shared" si="150"/>
        <v>641</v>
      </c>
      <c r="AB418" s="5">
        <f>IFERROR(SUMIFS(HIST_SCORE!$F:$F,HIST_SCORE!$B:$B,PARAMS_MODELO!$B$4,HIST_SCORE!$C:$C,$A418),"")</f>
        <v>687</v>
      </c>
      <c r="AC418" s="5">
        <f t="shared" si="151"/>
        <v>46</v>
      </c>
      <c r="AD418" t="str">
        <f t="shared" si="153"/>
        <v/>
      </c>
      <c r="AE4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418="CERRADO",1,IF(V418="BRONCE",_xlpm.cPl,IF(V418="PLATA",_xlpm.cO,IF(V418="ORO",_xlpm.cP,IF(V418="PLATINO",_xlpm.cD,999))))))</f>
        <v>63.199193273331495</v>
      </c>
      <c r="AF4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418="CERRADO",0,IF(V418="BRONCE",1,IF(V418="PLATA",_xlpm.cPl,IF(V418="ORO",_xlpm.cO,IF(V418="PLATINO",_xlpm.cP,_xlpm.cD))))))</f>
        <v>24.506573482968111</v>
      </c>
      <c r="AG418">
        <f t="shared" si="154"/>
        <v>6.4616151456509812</v>
      </c>
      <c r="AH418" t="str">
        <f t="shared" si="155"/>
        <v>CLIENTE</v>
      </c>
      <c r="AI418" t="str">
        <f t="shared" si="152"/>
        <v>🎯 Para subir de categoría, la eje con mayor impacto probable es CLIENTE (coef T). Acción: reducir quejas, mejorar incógnito y empujar reseñas. ΔR aprox: 6,5</v>
      </c>
      <c r="AJ418" s="26">
        <f>_xlfn.LET(_xlpm.piso,AF418,_xlpm.corte,AE418,_xlpm.prog,IF(_xlpm.corte&lt;=_xlpm.piso,0,MAX(0,MIN(1,(U418-_xlpm.piso)/(_xlpm.corte-_xlpm.piso)))),_xlpm.orden,{"DIAMANTE";"PLATINO";"ORO";"PLATA";"BRONCE";"CERRADO"},_xlpm.act,IFERROR(MATCH(V418,_xlpm.orden,0),6),_xlpm.ant,IFERROR(MATCH(W418,_xlpm.orden,0),6),_xlpm.ajmov,IF(_xlpm.act&lt;_xlpm.ant,0.08,IF(_xlpm.act&gt;_xlpm.ant,-0.08,0)),_xlpm.ajcli,IF(T418&lt;0.95,-0.06,0),_xlpm.prob,MAX(0,MIN(1,_xlpm.prog+_xlpm.ajmov+_xlpm.ajcli)),IF(OR(V418="DIAMANTE",V418="CERRADO"),0,ROUND(_xlpm.prob,2)))</f>
        <v>0.82</v>
      </c>
      <c r="AK418" t="str">
        <f t="shared" si="156"/>
        <v>Faltan 6,5 puntos base para subir a la siguiente categoría</v>
      </c>
      <c r="AL418" t="str">
        <f t="shared" si="157"/>
        <v>Margen de seguridad: 34,2 puntos</v>
      </c>
      <c r="AM418">
        <f t="shared" si="158"/>
        <v>0.53</v>
      </c>
      <c r="AN418" t="str">
        <f t="shared" si="159"/>
        <v>PRIORIDAD MEDIA – seguimiento del asesor</v>
      </c>
      <c r="AO418">
        <f t="shared" si="160"/>
        <v>6.7082012693550963</v>
      </c>
      <c r="AP418">
        <f t="shared" si="161"/>
        <v>0.10953455197600075</v>
      </c>
      <c r="AQ418">
        <f t="shared" si="162"/>
        <v>0</v>
      </c>
      <c r="AR418">
        <f t="shared" si="163"/>
        <v>4.4099999999999993</v>
      </c>
      <c r="AS418">
        <f t="shared" si="164"/>
        <v>25.146884002018208</v>
      </c>
      <c r="AT418" t="str">
        <f t="shared" si="165"/>
        <v>CLIENTE</v>
      </c>
      <c r="AU418">
        <f t="shared" si="166"/>
        <v>25.146884002018208</v>
      </c>
      <c r="AV418" t="str">
        <f t="shared" si="167"/>
        <v>Mayor retorno probable: CLIENTE (+25,1 puntos finales potenciales).</v>
      </c>
    </row>
    <row r="419" spans="1:48" x14ac:dyDescent="0.3">
      <c r="A419" s="5">
        <v>51002555</v>
      </c>
      <c r="B419" s="5" t="str">
        <f>IFERROR(VLOOKUP(A419,VENTAS!$A$2:$B$1194,2,0),"")</f>
        <v>BELUZZO</v>
      </c>
      <c r="C419" s="5">
        <f>IFERROR(INDEX(VENTAS!$C$2:$E$1194,MATCH(A419,VENTAS!$A$2:$A$1194,0),MATCH(PARAMS_MODELO!$B$2,{"Q1","Q2","Q3"},0)),0)</f>
        <v>70875522.75999999</v>
      </c>
      <c r="D419" s="5">
        <f>IFERROR(INDEX(VENTAS!$F$2:$H$1194,MATCH(A419,VENTAS!$A$2:$A$1194,0),MATCH(PARAMS_MODELO!$B$2,{"Q1","Q2","Q3"},0)),0)</f>
        <v>86544593</v>
      </c>
      <c r="E419" s="8">
        <f t="shared" si="144"/>
        <v>0.2210787254869202</v>
      </c>
      <c r="F419" s="12">
        <f>IF(E419&lt;=PARAMS_MODELO!$B$15,0,IF(E419&gt;=PARAMS_MODELO!$B$17,100,100*MIN(1,(E419-PARAMS_MODELO!$B$15)/(PARAMS_MODELO!$B$16-PARAMS_MODELO!$B$15))))*PARAMS_MODELO!$B$7</f>
        <v>35</v>
      </c>
      <c r="G419" s="5">
        <f t="shared" si="145"/>
        <v>15669070.24000001</v>
      </c>
      <c r="H419" s="5">
        <f>(PARAMS_MODELO!$B$20*(MAX(0,MIN(3,E419))/3)+PARAMS_MODELO!$B$21*(IFERROR(LN(1+MAX(0,G419))/LN(1+MAX(0,MAX($G$2:$G$1194))),0)))*100*PARAMS_MODELO!$B$8</f>
        <v>4.6573583547129553</v>
      </c>
      <c r="I419" s="8">
        <f>E419-PARAMS_MODELO!$B$5</f>
        <v>4.3515890111393674E-2</v>
      </c>
      <c r="J419" s="5">
        <f>IF(I419&lt;=PARAMS_MODELO!$B$18,0,IF(I419&gt;=PARAMS_MODELO!$B$19,100,100*(I419-PARAMS_MODELO!$B$18)/(PARAMS_MODELO!$B$19-PARAMS_MODELO!$B$18)))*PARAMS_MODELO!$B$9</f>
        <v>14.027383516709051</v>
      </c>
      <c r="K419" s="5">
        <f>IFERROR(CHOOSE(MATCH(PARAMS_MODELO!$B$2,{"Q1","Q2","Q3"},0),LOTO!$D419,LOTO!$F419,LOTO!$H419),0)</f>
        <v>4280000</v>
      </c>
      <c r="L419" s="8">
        <f t="shared" si="146"/>
        <v>4.9454273821589297E-2</v>
      </c>
      <c r="M419" s="5">
        <f>MIN(100,IF(PARAMS_MODELO!$B$23=0,0,100*L419/PARAMS_MODELO!$B$23))*PARAMS_MODELO!$B$10</f>
        <v>14.836282146476789</v>
      </c>
      <c r="N419" s="5">
        <f>IFERROR(VLOOKUP(A419,COMPLIANCE!$A$2:$F$1996,6,0),100)</f>
        <v>100</v>
      </c>
      <c r="O419" s="5">
        <f>N419*PARAMS_MODELO!$B$11</f>
        <v>10</v>
      </c>
      <c r="P419" s="5">
        <f>IFERROR(VLOOKUP(A419,DIGITAL!$A$2:$J$2000,7,0),100)</f>
        <v>84</v>
      </c>
      <c r="Q419" s="5">
        <f>IFERROR(P419,0)*PARAMS_MODELO!$B$12</f>
        <v>8.4</v>
      </c>
      <c r="R419">
        <f t="shared" si="147"/>
        <v>86.921024017898802</v>
      </c>
      <c r="S419" s="5" t="str">
        <f>IFERROR(VLOOKUP(A419,CLIENTE!$A$2:$N$2000,13,0),1)</f>
        <v>Bueno</v>
      </c>
      <c r="T419" s="5">
        <f>IFERROR(VLOOKUP(A419,CLIENTE!$A$2:$N$2000,14,0),1)</f>
        <v>1.1000000000000001</v>
      </c>
      <c r="U419" s="5">
        <f t="shared" si="148"/>
        <v>95.613126419688683</v>
      </c>
      <c r="V419" s="5" t="str">
        <f>IF(U419&gt;=MAX(_xlfn.PERCENTILE.INC($U$2:$U$1194,PARAMS_MODELO!$B$50),PARAMS_MODELO!$B$45),"DIAMANTE",IF(U419&gt;=MAX(_xlfn.PERCENTILE.INC($U$2:$U$1194,PARAMS_MODELO!$B$51),PARAMS_MODELO!$B$46),"PLATINO",IF(U419&gt;=MAX(_xlfn.PERCENTILE.INC($U$2:$U$1194,PARAMS_MODELO!$B$52),PARAMS_MODELO!$B$47),"ORO",IF(U419&gt;=MAX(_xlfn.PERCENTILE.INC($U$2:$U$1194,PARAMS_MODELO!$B$53),PARAMS_MODELO!$B$48),"PLATA",IF(U419&gt;=1,"BRONCE","CERRADO")))))</f>
        <v>PLATINO</v>
      </c>
      <c r="W419" s="5" t="str" cm="1">
        <f t="array" ref="W419">_xlfn.XLOOKUP(1, (HIST_SCORE!$B:$B=PARAMS_MODELO!$B$4) * (HIST_SCORE!$C:$C=A419), HIST_SCORE!$E:$E, "No encontrado")</f>
        <v>DIAMANTE</v>
      </c>
      <c r="X419" s="5" t="str">
        <f>_xlfn.LET(_xlpm.act,MATCH(V419,{"DIAMANTE";"PLATINO";"ORO";"PLATA";"BRONCE";"CERRADO"},0),_xlpm.ant,MATCH(W419,{"DIAMANTE";"PLATINO";"ORO";"PLATA";"BRONCE";"CERRADO"},0),IF(_xlpm.act&lt;_xlpm.ant,"Mejora ↑",IF(_xlpm.act&gt;_xlpm.ant,"Baja ↓","Estable →")))</f>
        <v>Baja ↓</v>
      </c>
      <c r="Y419" s="5">
        <f>IFERROR(U419-SUMIFS(HIST_SCORE!$D:$D,HIST_SCORE!$B:$B,PARAMS_MODELO!$B$4,HIST_SCORE!$C:$C,$A419),"")</f>
        <v>-1.7063351399094842</v>
      </c>
      <c r="Z419" s="5" t="str">
        <f t="shared" si="149"/>
        <v>→ Estable</v>
      </c>
      <c r="AA419" s="5">
        <f t="shared" si="150"/>
        <v>64</v>
      </c>
      <c r="AB419" s="5">
        <f>IFERROR(SUMIFS(HIST_SCORE!$F:$F,HIST_SCORE!$B:$B,PARAMS_MODELO!$B$4,HIST_SCORE!$C:$C,$A419),"")</f>
        <v>38</v>
      </c>
      <c r="AC419" s="5">
        <f t="shared" si="151"/>
        <v>-26</v>
      </c>
      <c r="AD419" t="str">
        <f t="shared" si="153"/>
        <v/>
      </c>
      <c r="AE4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419="CERRADO",1,IF(V419="BRONCE",_xlpm.cPl,IF(V419="PLATA",_xlpm.cO,IF(V419="ORO",_xlpm.cP,IF(V419="PLATINO",_xlpm.cD,999))))))</f>
        <v>96.054919694466676</v>
      </c>
      <c r="AF4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419="CERRADO",0,IF(V419="BRONCE",1,IF(V419="PLATA",_xlpm.cPl,IF(V419="ORO",_xlpm.cO,IF(V419="PLATINO",_xlpm.cP,_xlpm.cD))))))</f>
        <v>86.439123873763251</v>
      </c>
      <c r="AG419">
        <f t="shared" si="154"/>
        <v>0.40163024979817408</v>
      </c>
      <c r="AH419" t="str">
        <f t="shared" si="155"/>
        <v>VENTAS</v>
      </c>
      <c r="AI419" t="str">
        <f t="shared" si="152"/>
        <v>🎯 Para subir de categoría, eje VENTAS / IMPACTO ABSOLUTO (H). Acción: metas semanales + activación comercial + seguimiento del asesor. ΔR aprox: 0,4</v>
      </c>
      <c r="AJ419" s="26">
        <f>_xlfn.LET(_xlpm.piso,AF419,_xlpm.corte,AE419,_xlpm.prog,IF(_xlpm.corte&lt;=_xlpm.piso,0,MAX(0,MIN(1,(U419-_xlpm.piso)/(_xlpm.corte-_xlpm.piso)))),_xlpm.orden,{"DIAMANTE";"PLATINO";"ORO";"PLATA";"BRONCE";"CERRADO"},_xlpm.act,IFERROR(MATCH(V419,_xlpm.orden,0),6),_xlpm.ant,IFERROR(MATCH(W419,_xlpm.orden,0),6),_xlpm.ajmov,IF(_xlpm.act&lt;_xlpm.ant,0.08,IF(_xlpm.act&gt;_xlpm.ant,-0.08,0)),_xlpm.ajcli,IF(T419&lt;0.95,-0.06,0),_xlpm.prob,MAX(0,MIN(1,_xlpm.prog+_xlpm.ajmov+_xlpm.ajcli)),IF(OR(V419="DIAMANTE",V419="CERRADO"),0,ROUND(_xlpm.prob,2)))</f>
        <v>0.87</v>
      </c>
      <c r="AK419" t="str">
        <f t="shared" si="156"/>
        <v>Faltan 0,4 puntos base para subir a la siguiente categoría</v>
      </c>
      <c r="AL419" t="str">
        <f t="shared" si="157"/>
        <v>Margen de seguridad: 9,2 puntos</v>
      </c>
      <c r="AM419">
        <f t="shared" si="158"/>
        <v>7.0000000000000007E-2</v>
      </c>
      <c r="AN419" t="str">
        <f t="shared" si="159"/>
        <v>PRIORIDAD BAJA – control normal</v>
      </c>
      <c r="AO419">
        <f t="shared" si="160"/>
        <v>12.295610144260937</v>
      </c>
      <c r="AP419">
        <f t="shared" si="161"/>
        <v>0.18008963887553248</v>
      </c>
      <c r="AQ419">
        <f t="shared" si="162"/>
        <v>0</v>
      </c>
      <c r="AR419">
        <f t="shared" si="163"/>
        <v>1.7599999999999998</v>
      </c>
      <c r="AS419">
        <f t="shared" si="164"/>
        <v>0</v>
      </c>
      <c r="AT419" t="str">
        <f t="shared" si="165"/>
        <v>VENTAS</v>
      </c>
      <c r="AU419">
        <f t="shared" si="166"/>
        <v>12.295610144260937</v>
      </c>
      <c r="AV419" t="str">
        <f t="shared" si="167"/>
        <v>Mayor retorno probable: VENTAS (+12,3 puntos finales potenciales).</v>
      </c>
    </row>
    <row r="420" spans="1:48" x14ac:dyDescent="0.3">
      <c r="A420" s="5">
        <v>51029879</v>
      </c>
      <c r="B420" s="5" t="str">
        <f>IFERROR(VLOOKUP(A420,VENTAS!$A$2:$B$1194,2,0),"")</f>
        <v>LÓPEZ</v>
      </c>
      <c r="C420" s="5">
        <f>IFERROR(INDEX(VENTAS!$C$2:$E$1194,MATCH(A420,VENTAS!$A$2:$A$1194,0),MATCH(PARAMS_MODELO!$B$2,{"Q1","Q2","Q3"},0)),0)</f>
        <v>73188853.099999994</v>
      </c>
      <c r="D420" s="5">
        <f>IFERROR(INDEX(VENTAS!$F$2:$H$1194,MATCH(A420,VENTAS!$A$2:$A$1194,0),MATCH(PARAMS_MODELO!$B$2,{"Q1","Q2","Q3"},0)),0)</f>
        <v>86526696</v>
      </c>
      <c r="E420" s="8">
        <f t="shared" si="144"/>
        <v>0.18223871990146012</v>
      </c>
      <c r="F420" s="12">
        <f>IF(E420&lt;=PARAMS_MODELO!$B$15,0,IF(E420&gt;=PARAMS_MODELO!$B$17,100,100*MIN(1,(E420-PARAMS_MODELO!$B$15)/(PARAMS_MODELO!$B$16-PARAMS_MODELO!$B$15))))*PARAMS_MODELO!$B$7</f>
        <v>35</v>
      </c>
      <c r="G420" s="5">
        <f t="shared" si="145"/>
        <v>13337842.900000006</v>
      </c>
      <c r="H420" s="5">
        <f>(PARAMS_MODELO!$B$20*(MAX(0,MIN(3,E420))/3)+PARAMS_MODELO!$B$21*(IFERROR(LN(1+MAX(0,G420))/LN(1+MAX(0,MAX($G$2:$G$1194))),0)))*100*PARAMS_MODELO!$B$8</f>
        <v>4.4836581411346321</v>
      </c>
      <c r="I420" s="8">
        <f>E420-PARAMS_MODELO!$B$5</f>
        <v>4.6758845259335935E-3</v>
      </c>
      <c r="J420" s="5">
        <f>IF(I420&lt;=PARAMS_MODELO!$B$18,0,IF(I420&gt;=PARAMS_MODELO!$B$19,100,100*(I420-PARAMS_MODELO!$B$18)/(PARAMS_MODELO!$B$19-PARAMS_MODELO!$B$18)))*PARAMS_MODELO!$B$9</f>
        <v>8.2013826788900381</v>
      </c>
      <c r="K420" s="5">
        <f>IFERROR(CHOOSE(MATCH(PARAMS_MODELO!$B$2,{"Q1","Q2","Q3"},0),LOTO!$D420,LOTO!$F420,LOTO!$H420),0)</f>
        <v>4275000</v>
      </c>
      <c r="L420" s="8">
        <f t="shared" si="146"/>
        <v>4.9406717205520014E-2</v>
      </c>
      <c r="M420" s="5">
        <f>MIN(100,IF(PARAMS_MODELO!$B$23=0,0,100*L420/PARAMS_MODELO!$B$23))*PARAMS_MODELO!$B$10</f>
        <v>14.822015161656003</v>
      </c>
      <c r="N420" s="5">
        <f>IFERROR(VLOOKUP(A420,COMPLIANCE!$A$2:$F$1996,6,0),100)</f>
        <v>100</v>
      </c>
      <c r="O420" s="5">
        <f>N420*PARAMS_MODELO!$B$11</f>
        <v>10</v>
      </c>
      <c r="P420" s="5">
        <f>IFERROR(VLOOKUP(A420,DIGITAL!$A$2:$J$2000,7,0),100)</f>
        <v>18</v>
      </c>
      <c r="Q420" s="5">
        <f>IFERROR(P420,0)*PARAMS_MODELO!$B$12</f>
        <v>1.8</v>
      </c>
      <c r="R420">
        <f t="shared" si="147"/>
        <v>74.307055981680676</v>
      </c>
      <c r="S420" s="5" t="str">
        <f>IFERROR(VLOOKUP(A420,CLIENTE!$A$2:$N$2000,13,0),1)</f>
        <v>Regular</v>
      </c>
      <c r="T420" s="5">
        <f>IFERROR(VLOOKUP(A420,CLIENTE!$A$2:$N$2000,14,0),1)</f>
        <v>1</v>
      </c>
      <c r="U420" s="5">
        <f t="shared" si="148"/>
        <v>74.307055981680676</v>
      </c>
      <c r="V420" s="5" t="str">
        <f>IF(U420&gt;=MAX(_xlfn.PERCENTILE.INC($U$2:$U$1194,PARAMS_MODELO!$B$50),PARAMS_MODELO!$B$45),"DIAMANTE",IF(U420&gt;=MAX(_xlfn.PERCENTILE.INC($U$2:$U$1194,PARAMS_MODELO!$B$51),PARAMS_MODELO!$B$46),"PLATINO",IF(U420&gt;=MAX(_xlfn.PERCENTILE.INC($U$2:$U$1194,PARAMS_MODELO!$B$52),PARAMS_MODELO!$B$47),"ORO",IF(U420&gt;=MAX(_xlfn.PERCENTILE.INC($U$2:$U$1194,PARAMS_MODELO!$B$53),PARAMS_MODELO!$B$48),"PLATA",IF(U420&gt;=1,"BRONCE","CERRADO")))))</f>
        <v>ORO</v>
      </c>
      <c r="W420" s="5" t="str" cm="1">
        <f t="array" ref="W420">_xlfn.XLOOKUP(1, (HIST_SCORE!$B:$B=PARAMS_MODELO!$B$4) * (HIST_SCORE!$C:$C=A420), HIST_SCORE!$E:$E, "No encontrado")</f>
        <v>ORO</v>
      </c>
      <c r="X420" s="5" t="str">
        <f>_xlfn.LET(_xlpm.act,MATCH(V420,{"DIAMANTE";"PLATINO";"ORO";"PLATA";"BRONCE";"CERRADO"},0),_xlpm.ant,MATCH(W420,{"DIAMANTE";"PLATINO";"ORO";"PLATA";"BRONCE";"CERRADO"},0),IF(_xlpm.act&lt;_xlpm.ant,"Mejora ↑",IF(_xlpm.act&gt;_xlpm.ant,"Baja ↓","Estable →")))</f>
        <v>Estable →</v>
      </c>
      <c r="Y420" s="5">
        <f>IFERROR(U420-SUMIFS(HIST_SCORE!$D:$D,HIST_SCORE!$B:$B,PARAMS_MODELO!$B$4,HIST_SCORE!$C:$C,$A420),"")</f>
        <v>-5.1423122472142353</v>
      </c>
      <c r="Z420" s="5" t="str">
        <f t="shared" si="149"/>
        <v>↓ Baja</v>
      </c>
      <c r="AA420" s="5">
        <f t="shared" si="150"/>
        <v>478</v>
      </c>
      <c r="AB420" s="5">
        <f>IFERROR(SUMIFS(HIST_SCORE!$F:$F,HIST_SCORE!$B:$B,PARAMS_MODELO!$B$4,HIST_SCORE!$C:$C,$A420),"")</f>
        <v>429</v>
      </c>
      <c r="AC420" s="5">
        <f t="shared" si="151"/>
        <v>-49</v>
      </c>
      <c r="AD420" t="str">
        <f t="shared" si="153"/>
        <v>Sostener base y reforzar mix</v>
      </c>
      <c r="AE4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420="CERRADO",1,IF(V420="BRONCE",_xlpm.cPl,IF(V420="PLATA",_xlpm.cO,IF(V420="ORO",_xlpm.cP,IF(V420="PLATINO",_xlpm.cD,999))))))</f>
        <v>86.439123873763251</v>
      </c>
      <c r="AF4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420="CERRADO",0,IF(V420="BRONCE",1,IF(V420="PLATA",_xlpm.cPl,IF(V420="ORO",_xlpm.cO,IF(V420="PLATINO",_xlpm.cP,_xlpm.cD))))))</f>
        <v>63.199193273331495</v>
      </c>
      <c r="AG420">
        <f t="shared" si="154"/>
        <v>12.132067892082574</v>
      </c>
      <c r="AH420" t="str">
        <f t="shared" si="155"/>
        <v>VENTAS</v>
      </c>
      <c r="AI420" t="str">
        <f t="shared" si="152"/>
        <v>🎯 Para subir de categoría, eje VENTAS / IMPACTO ABSOLUTO (H). Acción: metas semanales + activación comercial + seguimiento del asesor. ΔR aprox: 12,1</v>
      </c>
      <c r="AJ420" s="26">
        <f>_xlfn.LET(_xlpm.piso,AF420,_xlpm.corte,AE420,_xlpm.prog,IF(_xlpm.corte&lt;=_xlpm.piso,0,MAX(0,MIN(1,(U420-_xlpm.piso)/(_xlpm.corte-_xlpm.piso)))),_xlpm.orden,{"DIAMANTE";"PLATINO";"ORO";"PLATA";"BRONCE";"CERRADO"},_xlpm.act,IFERROR(MATCH(V420,_xlpm.orden,0),6),_xlpm.ant,IFERROR(MATCH(W420,_xlpm.orden,0),6),_xlpm.ajmov,IF(_xlpm.act&lt;_xlpm.ant,0.08,IF(_xlpm.act&gt;_xlpm.ant,-0.08,0)),_xlpm.ajcli,IF(T420&lt;0.95,-0.06,0),_xlpm.prob,MAX(0,MIN(1,_xlpm.prog+_xlpm.ajmov+_xlpm.ajcli)),IF(OR(V420="DIAMANTE",V420="CERRADO"),0,ROUND(_xlpm.prob,2)))</f>
        <v>0.48</v>
      </c>
      <c r="AK420" t="str">
        <f t="shared" si="156"/>
        <v>Faltan 12,1 puntos base para subir a la siguiente categoría</v>
      </c>
      <c r="AL420" t="str">
        <f t="shared" si="157"/>
        <v>Margen de seguridad: 11,1 puntos</v>
      </c>
      <c r="AM420">
        <f t="shared" si="158"/>
        <v>0.61</v>
      </c>
      <c r="AN420" t="str">
        <f t="shared" si="159"/>
        <v>PRIORIDAD MEDIA – seguimiento del asesor</v>
      </c>
      <c r="AO420">
        <f t="shared" si="160"/>
        <v>17.177528455270917</v>
      </c>
      <c r="AP420">
        <f t="shared" si="161"/>
        <v>0.17798483834399725</v>
      </c>
      <c r="AQ420">
        <f t="shared" si="162"/>
        <v>0</v>
      </c>
      <c r="AR420">
        <f t="shared" si="163"/>
        <v>8.1999999999999993</v>
      </c>
      <c r="AS420">
        <f t="shared" si="164"/>
        <v>0</v>
      </c>
      <c r="AT420" t="str">
        <f t="shared" si="165"/>
        <v>VENTAS</v>
      </c>
      <c r="AU420">
        <f t="shared" si="166"/>
        <v>17.177528455270917</v>
      </c>
      <c r="AV420" t="str">
        <f t="shared" si="167"/>
        <v>Mayor retorno probable: VENTAS (+17,2 puntos finales potenciales).</v>
      </c>
    </row>
    <row r="421" spans="1:48" x14ac:dyDescent="0.3">
      <c r="A421" s="5">
        <v>51011147</v>
      </c>
      <c r="B421" s="5" t="str">
        <f>IFERROR(VLOOKUP(A421,VENTAS!$A$2:$B$1194,2,0),"")</f>
        <v>ROBERTS</v>
      </c>
      <c r="C421" s="5">
        <f>IFERROR(INDEX(VENTAS!$C$2:$E$1194,MATCH(A421,VENTAS!$A$2:$A$1194,0),MATCH(PARAMS_MODELO!$B$2,{"Q1","Q2","Q3"},0)),0)</f>
        <v>135515556.22</v>
      </c>
      <c r="D421" s="5">
        <f>IFERROR(INDEX(VENTAS!$F$2:$H$1194,MATCH(A421,VENTAS!$A$2:$A$1194,0),MATCH(PARAMS_MODELO!$B$2,{"Q1","Q2","Q3"},0)),0)</f>
        <v>86412772</v>
      </c>
      <c r="E421" s="8">
        <f t="shared" si="144"/>
        <v>-0.36234057247483142</v>
      </c>
      <c r="F421" s="12">
        <f>IF(E421&lt;=PARAMS_MODELO!$B$15,0,IF(E421&gt;=PARAMS_MODELO!$B$17,100,100*MIN(1,(E421-PARAMS_MODELO!$B$15)/(PARAMS_MODELO!$B$16-PARAMS_MODELO!$B$15))))*PARAMS_MODELO!$B$7</f>
        <v>0</v>
      </c>
      <c r="G421" s="5">
        <f t="shared" si="145"/>
        <v>0</v>
      </c>
      <c r="H421" s="5">
        <f>(PARAMS_MODELO!$B$20*(MAX(0,MIN(3,E421))/3)+PARAMS_MODELO!$B$21*(IFERROR(LN(1+MAX(0,G421))/LN(1+MAX(0,MAX($G$2:$G$1194))),0)))*100*PARAMS_MODELO!$B$8</f>
        <v>0</v>
      </c>
      <c r="I421" s="8">
        <f>E421-PARAMS_MODELO!$B$5</f>
        <v>-0.53990340785035795</v>
      </c>
      <c r="J421" s="5">
        <f>IF(I421&lt;=PARAMS_MODELO!$B$18,0,IF(I421&gt;=PARAMS_MODELO!$B$19,100,100*(I421-PARAMS_MODELO!$B$18)/(PARAMS_MODELO!$B$19-PARAMS_MODELO!$B$18)))*PARAMS_MODELO!$B$9</f>
        <v>0</v>
      </c>
      <c r="K421" s="5">
        <f>IFERROR(CHOOSE(MATCH(PARAMS_MODELO!$B$2,{"Q1","Q2","Q3"},0),LOTO!$D421,LOTO!$F421,LOTO!$H421),0)</f>
        <v>4272500</v>
      </c>
      <c r="L421" s="8">
        <f t="shared" si="146"/>
        <v>4.9442922627224599E-2</v>
      </c>
      <c r="M421" s="5">
        <f>MIN(100,IF(PARAMS_MODELO!$B$23=0,0,100*L421/PARAMS_MODELO!$B$23))*PARAMS_MODELO!$B$10</f>
        <v>14.832876788167379</v>
      </c>
      <c r="N421" s="5">
        <f>IFERROR(VLOOKUP(A421,COMPLIANCE!$A$2:$F$1996,6,0),100)</f>
        <v>100</v>
      </c>
      <c r="O421" s="5">
        <f>N421*PARAMS_MODELO!$B$11</f>
        <v>10</v>
      </c>
      <c r="P421" s="5">
        <f>IFERROR(VLOOKUP(A421,DIGITAL!$A$2:$J$2000,7,0),100)</f>
        <v>72</v>
      </c>
      <c r="Q421" s="5">
        <f>IFERROR(P421,0)*PARAMS_MODELO!$B$12</f>
        <v>7.2</v>
      </c>
      <c r="R421">
        <f t="shared" si="147"/>
        <v>32.032876788167378</v>
      </c>
      <c r="S421" s="5" t="str">
        <f>IFERROR(VLOOKUP(A421,CLIENTE!$A$2:$N$2000,13,0),1)</f>
        <v>Bueno</v>
      </c>
      <c r="T421" s="5">
        <f>IFERROR(VLOOKUP(A421,CLIENTE!$A$2:$N$2000,14,0),1)</f>
        <v>1.1000000000000001</v>
      </c>
      <c r="U421" s="5">
        <f t="shared" si="148"/>
        <v>35.236164466984121</v>
      </c>
      <c r="V421" s="5" t="str">
        <f>IF(U421&gt;=MAX(_xlfn.PERCENTILE.INC($U$2:$U$1194,PARAMS_MODELO!$B$50),PARAMS_MODELO!$B$45),"DIAMANTE",IF(U421&gt;=MAX(_xlfn.PERCENTILE.INC($U$2:$U$1194,PARAMS_MODELO!$B$51),PARAMS_MODELO!$B$46),"PLATINO",IF(U421&gt;=MAX(_xlfn.PERCENTILE.INC($U$2:$U$1194,PARAMS_MODELO!$B$52),PARAMS_MODELO!$B$47),"ORO",IF(U421&gt;=MAX(_xlfn.PERCENTILE.INC($U$2:$U$1194,PARAMS_MODELO!$B$53),PARAMS_MODELO!$B$48),"PLATA",IF(U421&gt;=1,"BRONCE","CERRADO")))))</f>
        <v>PLATA</v>
      </c>
      <c r="W421" s="5" t="str" cm="1">
        <f t="array" ref="W421">_xlfn.XLOOKUP(1, (HIST_SCORE!$B:$B=PARAMS_MODELO!$B$4) * (HIST_SCORE!$C:$C=A421), HIST_SCORE!$E:$E, "No encontrado")</f>
        <v>ORO</v>
      </c>
      <c r="X421" s="5" t="str">
        <f>_xlfn.LET(_xlpm.act,MATCH(V421,{"DIAMANTE";"PLATINO";"ORO";"PLATA";"BRONCE";"CERRADO"},0),_xlpm.ant,MATCH(W421,{"DIAMANTE";"PLATINO";"ORO";"PLATA";"BRONCE";"CERRADO"},0),IF(_xlpm.act&lt;_xlpm.ant,"Mejora ↑",IF(_xlpm.act&gt;_xlpm.ant,"Baja ↓","Estable →")))</f>
        <v>Baja ↓</v>
      </c>
      <c r="Y421" s="5">
        <f>IFERROR(U421-SUMIFS(HIST_SCORE!$D:$D,HIST_SCORE!$B:$B,PARAMS_MODELO!$B$4,HIST_SCORE!$C:$C,$A421),"")</f>
        <v>-40.260844460741353</v>
      </c>
      <c r="Z421" s="5" t="str">
        <f t="shared" si="149"/>
        <v>↓ Baja</v>
      </c>
      <c r="AA421" s="5">
        <f t="shared" si="150"/>
        <v>805</v>
      </c>
      <c r="AB421" s="5">
        <f>IFERROR(SUMIFS(HIST_SCORE!$F:$F,HIST_SCORE!$B:$B,PARAMS_MODELO!$B$4,HIST_SCORE!$C:$C,$A421),"")</f>
        <v>488</v>
      </c>
      <c r="AC421" s="5">
        <f t="shared" si="151"/>
        <v>-317</v>
      </c>
      <c r="AD421" t="str">
        <f t="shared" si="153"/>
        <v/>
      </c>
      <c r="AE4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421="CERRADO",1,IF(V421="BRONCE",_xlpm.cPl,IF(V421="PLATA",_xlpm.cO,IF(V421="ORO",_xlpm.cP,IF(V421="PLATINO",_xlpm.cD,999))))))</f>
        <v>63.199193273331495</v>
      </c>
      <c r="AF4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421="CERRADO",0,IF(V421="BRONCE",1,IF(V421="PLATA",_xlpm.cPl,IF(V421="ORO",_xlpm.cO,IF(V421="PLATINO",_xlpm.cP,_xlpm.cD))))))</f>
        <v>24.506573482968111</v>
      </c>
      <c r="AG421">
        <f t="shared" si="154"/>
        <v>25.420935278497616</v>
      </c>
      <c r="AH421" t="str">
        <f t="shared" si="155"/>
        <v>VENTAS</v>
      </c>
      <c r="AI421" t="str">
        <f t="shared" si="152"/>
        <v>🎯 Para subir de categoría, eje VENTAS / CRECIMIENTO PERSONAL (F). Acción: metas semanales + activación comercial + seguimiento del asesor. ΔR aprox: 25,4</v>
      </c>
      <c r="AJ421" s="26">
        <f>_xlfn.LET(_xlpm.piso,AF421,_xlpm.corte,AE421,_xlpm.prog,IF(_xlpm.corte&lt;=_xlpm.piso,0,MAX(0,MIN(1,(U421-_xlpm.piso)/(_xlpm.corte-_xlpm.piso)))),_xlpm.orden,{"DIAMANTE";"PLATINO";"ORO";"PLATA";"BRONCE";"CERRADO"},_xlpm.act,IFERROR(MATCH(V421,_xlpm.orden,0),6),_xlpm.ant,IFERROR(MATCH(W421,_xlpm.orden,0),6),_xlpm.ajmov,IF(_xlpm.act&lt;_xlpm.ant,0.08,IF(_xlpm.act&gt;_xlpm.ant,-0.08,0)),_xlpm.ajcli,IF(T421&lt;0.95,-0.06,0),_xlpm.prob,MAX(0,MIN(1,_xlpm.prog+_xlpm.ajmov+_xlpm.ajcli)),IF(OR(V421="DIAMANTE",V421="CERRADO"),0,ROUND(_xlpm.prob,2)))</f>
        <v>0.2</v>
      </c>
      <c r="AK421" t="str">
        <f t="shared" si="156"/>
        <v>Faltan 25,4 puntos base para subir a la siguiente categoría</v>
      </c>
      <c r="AL421" t="str">
        <f t="shared" si="157"/>
        <v>Margen de seguridad: 10,7 puntos</v>
      </c>
      <c r="AM421">
        <f t="shared" si="158"/>
        <v>0.72</v>
      </c>
      <c r="AN421" t="str">
        <f t="shared" si="159"/>
        <v>PRIORIDAD ALTA – requiere intervención inmediata</v>
      </c>
      <c r="AO421">
        <f t="shared" si="160"/>
        <v>71.348826202825151</v>
      </c>
      <c r="AP421">
        <f t="shared" si="161"/>
        <v>0.18383553301588301</v>
      </c>
      <c r="AQ421">
        <f t="shared" si="162"/>
        <v>0</v>
      </c>
      <c r="AR421">
        <f t="shared" si="163"/>
        <v>3.08</v>
      </c>
      <c r="AS421">
        <f t="shared" si="164"/>
        <v>0</v>
      </c>
      <c r="AT421" t="str">
        <f t="shared" si="165"/>
        <v>VENTAS</v>
      </c>
      <c r="AU421">
        <f t="shared" si="166"/>
        <v>71.348826202825151</v>
      </c>
      <c r="AV421" t="str">
        <f t="shared" si="167"/>
        <v>Mayor retorno probable: VENTAS (+71,3 puntos finales potenciales).</v>
      </c>
    </row>
    <row r="422" spans="1:48" x14ac:dyDescent="0.3">
      <c r="A422" s="5">
        <v>51030427</v>
      </c>
      <c r="B422" s="5" t="str">
        <f>IFERROR(VLOOKUP(A422,VENTAS!$A$2:$B$1194,2,0),"")</f>
        <v>BELUZZO</v>
      </c>
      <c r="C422" s="5">
        <f>IFERROR(INDEX(VENTAS!$C$2:$E$1194,MATCH(A422,VENTAS!$A$2:$A$1194,0),MATCH(PARAMS_MODELO!$B$2,{"Q1","Q2","Q3"},0)),0)</f>
        <v>57706849.890000001</v>
      </c>
      <c r="D422" s="5">
        <f>IFERROR(INDEX(VENTAS!$F$2:$H$1194,MATCH(A422,VENTAS!$A$2:$A$1194,0),MATCH(PARAMS_MODELO!$B$2,{"Q1","Q2","Q3"},0)),0)</f>
        <v>86325026</v>
      </c>
      <c r="E422" s="8">
        <f t="shared" si="144"/>
        <v>0.49592338109863165</v>
      </c>
      <c r="F422" s="12">
        <f>IF(E422&lt;=PARAMS_MODELO!$B$15,0,IF(E422&gt;=PARAMS_MODELO!$B$17,100,100*MIN(1,(E422-PARAMS_MODELO!$B$15)/(PARAMS_MODELO!$B$16-PARAMS_MODELO!$B$15))))*PARAMS_MODELO!$B$7</f>
        <v>35</v>
      </c>
      <c r="G422" s="5">
        <f t="shared" si="145"/>
        <v>28618176.109999999</v>
      </c>
      <c r="H422" s="5">
        <f>(PARAMS_MODELO!$B$20*(MAX(0,MIN(3,E422))/3)+PARAMS_MODELO!$B$21*(IFERROR(LN(1+MAX(0,G422))/LN(1+MAX(0,MAX($G$2:$G$1194))),0)))*100*PARAMS_MODELO!$B$8</f>
        <v>5.7605146708683925</v>
      </c>
      <c r="I422" s="8">
        <f>E422-PARAMS_MODELO!$B$5</f>
        <v>0.31836054572310513</v>
      </c>
      <c r="J422" s="5">
        <f>IF(I422&lt;=PARAMS_MODELO!$B$18,0,IF(I422&gt;=PARAMS_MODELO!$B$19,100,100*(I422-PARAMS_MODELO!$B$18)/(PARAMS_MODELO!$B$19-PARAMS_MODELO!$B$18)))*PARAMS_MODELO!$B$9</f>
        <v>15</v>
      </c>
      <c r="K422" s="5">
        <f>IFERROR(CHOOSE(MATCH(PARAMS_MODELO!$B$2,{"Q1","Q2","Q3"},0),LOTO!$D422,LOTO!$F422,LOTO!$H422),0)</f>
        <v>4267500</v>
      </c>
      <c r="L422" s="8">
        <f t="shared" si="146"/>
        <v>4.9435258785789415E-2</v>
      </c>
      <c r="M422" s="5">
        <f>MIN(100,IF(PARAMS_MODELO!$B$23=0,0,100*L422/PARAMS_MODELO!$B$23))*PARAMS_MODELO!$B$10</f>
        <v>14.830577635736821</v>
      </c>
      <c r="N422" s="5">
        <f>IFERROR(VLOOKUP(A422,COMPLIANCE!$A$2:$F$1996,6,0),100)</f>
        <v>99.7</v>
      </c>
      <c r="O422" s="5">
        <f>N422*PARAMS_MODELO!$B$11</f>
        <v>9.9700000000000006</v>
      </c>
      <c r="P422" s="5">
        <f>IFERROR(VLOOKUP(A422,DIGITAL!$A$2:$J$2000,7,0),100)</f>
        <v>98</v>
      </c>
      <c r="Q422" s="5">
        <f>IFERROR(P422,0)*PARAMS_MODELO!$B$12</f>
        <v>9.8000000000000007</v>
      </c>
      <c r="R422">
        <f t="shared" si="147"/>
        <v>90.361092306605201</v>
      </c>
      <c r="S422" s="5" t="str">
        <f>IFERROR(VLOOKUP(A422,CLIENTE!$A$2:$N$2000,13,0),1)</f>
        <v>Muy Bueno</v>
      </c>
      <c r="T422" s="5">
        <f>IFERROR(VLOOKUP(A422,CLIENTE!$A$2:$N$2000,14,0),1)</f>
        <v>1.1499999999999999</v>
      </c>
      <c r="U422" s="5">
        <f t="shared" si="148"/>
        <v>100</v>
      </c>
      <c r="V422" s="5" t="str">
        <f>IF(U422&gt;=MAX(_xlfn.PERCENTILE.INC($U$2:$U$1194,PARAMS_MODELO!$B$50),PARAMS_MODELO!$B$45),"DIAMANTE",IF(U422&gt;=MAX(_xlfn.PERCENTILE.INC($U$2:$U$1194,PARAMS_MODELO!$B$51),PARAMS_MODELO!$B$46),"PLATINO",IF(U422&gt;=MAX(_xlfn.PERCENTILE.INC($U$2:$U$1194,PARAMS_MODELO!$B$52),PARAMS_MODELO!$B$47),"ORO",IF(U422&gt;=MAX(_xlfn.PERCENTILE.INC($U$2:$U$1194,PARAMS_MODELO!$B$53),PARAMS_MODELO!$B$48),"PLATA",IF(U422&gt;=1,"BRONCE","CERRADO")))))</f>
        <v>DIAMANTE</v>
      </c>
      <c r="W422" s="5" t="str" cm="1">
        <f t="array" ref="W422">_xlfn.XLOOKUP(1, (HIST_SCORE!$B:$B=PARAMS_MODELO!$B$4) * (HIST_SCORE!$C:$C=A422), HIST_SCORE!$E:$E, "No encontrado")</f>
        <v>DIAMANTE</v>
      </c>
      <c r="X422" s="5" t="str">
        <f>_xlfn.LET(_xlpm.act,MATCH(V422,{"DIAMANTE";"PLATINO";"ORO";"PLATA";"BRONCE";"CERRADO"},0),_xlpm.ant,MATCH(W422,{"DIAMANTE";"PLATINO";"ORO";"PLATA";"BRONCE";"CERRADO"},0),IF(_xlpm.act&lt;_xlpm.ant,"Mejora ↑",IF(_xlpm.act&gt;_xlpm.ant,"Baja ↓","Estable →")))</f>
        <v>Estable →</v>
      </c>
      <c r="Y422" s="5">
        <f>IFERROR(U422-SUMIFS(HIST_SCORE!$D:$D,HIST_SCORE!$B:$B,PARAMS_MODELO!$B$4,HIST_SCORE!$C:$C,$A422),"")</f>
        <v>0</v>
      </c>
      <c r="Z422" s="5" t="str">
        <f t="shared" si="149"/>
        <v>→ Estable</v>
      </c>
      <c r="AA422" s="5">
        <f t="shared" si="150"/>
        <v>1</v>
      </c>
      <c r="AB422" s="5">
        <f>IFERROR(SUMIFS(HIST_SCORE!$F:$F,HIST_SCORE!$B:$B,PARAMS_MODELO!$B$4,HIST_SCORE!$C:$C,$A422),"")</f>
        <v>1</v>
      </c>
      <c r="AC422" s="5">
        <f t="shared" si="151"/>
        <v>0</v>
      </c>
      <c r="AD422" t="str">
        <f t="shared" si="153"/>
        <v/>
      </c>
      <c r="AE4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422="CERRADO",1,IF(V422="BRONCE",_xlpm.cPl,IF(V422="PLATA",_xlpm.cO,IF(V422="ORO",_xlpm.cP,IF(V422="PLATINO",_xlpm.cD,999))))))</f>
        <v>999</v>
      </c>
      <c r="AF4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422="CERRADO",0,IF(V422="BRONCE",1,IF(V422="PLATA",_xlpm.cPl,IF(V422="ORO",_xlpm.cO,IF(V422="PLATINO",_xlpm.cP,_xlpm.cD))))))</f>
        <v>96.054919694466676</v>
      </c>
      <c r="AG422">
        <f t="shared" si="154"/>
        <v>778.33455986730792</v>
      </c>
      <c r="AH422" t="str">
        <f t="shared" si="155"/>
        <v>SOSTENER</v>
      </c>
      <c r="AI422" t="str">
        <f t="shared" si="152"/>
        <v>✅ Mantener desempeño y monitorear variaciones para sostener categoría.</v>
      </c>
      <c r="AJ422" s="26">
        <f>_xlfn.LET(_xlpm.piso,AF422,_xlpm.corte,AE422,_xlpm.prog,IF(_xlpm.corte&lt;=_xlpm.piso,0,MAX(0,MIN(1,(U422-_xlpm.piso)/(_xlpm.corte-_xlpm.piso)))),_xlpm.orden,{"DIAMANTE";"PLATINO";"ORO";"PLATA";"BRONCE";"CERRADO"},_xlpm.act,IFERROR(MATCH(V422,_xlpm.orden,0),6),_xlpm.ant,IFERROR(MATCH(W422,_xlpm.orden,0),6),_xlpm.ajmov,IF(_xlpm.act&lt;_xlpm.ant,0.08,IF(_xlpm.act&gt;_xlpm.ant,-0.08,0)),_xlpm.ajcli,IF(T422&lt;0.95,-0.06,0),_xlpm.prob,MAX(0,MIN(1,_xlpm.prog+_xlpm.ajmov+_xlpm.ajcli)),IF(OR(V422="DIAMANTE",V422="CERRADO"),0,ROUND(_xlpm.prob,2)))</f>
        <v>0</v>
      </c>
      <c r="AK422" t="str">
        <f t="shared" si="156"/>
        <v>No aplica</v>
      </c>
      <c r="AL422" t="str">
        <f t="shared" si="157"/>
        <v>Margen de seguridad: 3,9 puntos</v>
      </c>
      <c r="AM422">
        <f t="shared" si="158"/>
        <v>0.8</v>
      </c>
      <c r="AN422" t="str">
        <f t="shared" si="159"/>
        <v>PRIORIDAD ALTA – requiere intervención inmediata</v>
      </c>
      <c r="AO422">
        <f t="shared" si="160"/>
        <v>10.467362795091274</v>
      </c>
      <c r="AP422">
        <f t="shared" si="161"/>
        <v>0.19483571890265547</v>
      </c>
      <c r="AQ422">
        <f t="shared" si="162"/>
        <v>3.449999999999926E-2</v>
      </c>
      <c r="AR422">
        <f t="shared" si="163"/>
        <v>0.22999999999999918</v>
      </c>
      <c r="AS422">
        <f t="shared" si="164"/>
        <v>0</v>
      </c>
      <c r="AT422" t="str">
        <f t="shared" si="165"/>
        <v>VENTAS</v>
      </c>
      <c r="AU422">
        <f t="shared" si="166"/>
        <v>10.467362795091274</v>
      </c>
      <c r="AV422" t="str">
        <f t="shared" si="167"/>
        <v>Mayor retorno probable: VENTAS (+10,5 puntos finales potenciales).</v>
      </c>
    </row>
    <row r="423" spans="1:48" x14ac:dyDescent="0.3">
      <c r="A423" s="5">
        <v>51032675</v>
      </c>
      <c r="B423" s="5" t="str">
        <f>IFERROR(VLOOKUP(A423,VENTAS!$A$2:$B$1194,2,0),"")</f>
        <v>NELLI</v>
      </c>
      <c r="C423" s="5">
        <f>IFERROR(INDEX(VENTAS!$C$2:$E$1194,MATCH(A423,VENTAS!$A$2:$A$1194,0),MATCH(PARAMS_MODELO!$B$2,{"Q1","Q2","Q3"},0)),0)</f>
        <v>56278984.840000004</v>
      </c>
      <c r="D423" s="5">
        <f>IFERROR(INDEX(VENTAS!$F$2:$H$1194,MATCH(A423,VENTAS!$A$2:$A$1194,0),MATCH(PARAMS_MODELO!$B$2,{"Q1","Q2","Q3"},0)),0)</f>
        <v>86252660</v>
      </c>
      <c r="E423" s="8">
        <f t="shared" si="144"/>
        <v>0.53259089951985694</v>
      </c>
      <c r="F423" s="12">
        <f>IF(E423&lt;=PARAMS_MODELO!$B$15,0,IF(E423&gt;=PARAMS_MODELO!$B$17,100,100*MIN(1,(E423-PARAMS_MODELO!$B$15)/(PARAMS_MODELO!$B$16-PARAMS_MODELO!$B$15))))*PARAMS_MODELO!$B$7</f>
        <v>35</v>
      </c>
      <c r="G423" s="5">
        <f t="shared" si="145"/>
        <v>29973675.159999996</v>
      </c>
      <c r="H423" s="5">
        <f>(PARAMS_MODELO!$B$20*(MAX(0,MIN(3,E423))/3)+PARAMS_MODELO!$B$21*(IFERROR(LN(1+MAX(0,G423))/LN(1+MAX(0,MAX($G$2:$G$1194))),0)))*100*PARAMS_MODELO!$B$8</f>
        <v>5.8996990670725671</v>
      </c>
      <c r="I423" s="8">
        <f>E423-PARAMS_MODELO!$B$5</f>
        <v>0.35502806414433041</v>
      </c>
      <c r="J423" s="5">
        <f>IF(I423&lt;=PARAMS_MODELO!$B$18,0,IF(I423&gt;=PARAMS_MODELO!$B$19,100,100*(I423-PARAMS_MODELO!$B$18)/(PARAMS_MODELO!$B$19-PARAMS_MODELO!$B$18)))*PARAMS_MODELO!$B$9</f>
        <v>15</v>
      </c>
      <c r="K423" s="5">
        <f>IFERROR(CHOOSE(MATCH(PARAMS_MODELO!$B$2,{"Q1","Q2","Q3"},0),LOTO!$D423,LOTO!$F423,LOTO!$H423),0)</f>
        <v>4267500</v>
      </c>
      <c r="L423" s="8">
        <f t="shared" si="146"/>
        <v>4.9476734978376319E-2</v>
      </c>
      <c r="M423" s="5">
        <f>MIN(100,IF(PARAMS_MODELO!$B$23=0,0,100*L423/PARAMS_MODELO!$B$23))*PARAMS_MODELO!$B$10</f>
        <v>14.843020493512894</v>
      </c>
      <c r="N423" s="5">
        <f>IFERROR(VLOOKUP(A423,COMPLIANCE!$A$2:$F$1996,6,0),100)</f>
        <v>100</v>
      </c>
      <c r="O423" s="5">
        <f>N423*PARAMS_MODELO!$B$11</f>
        <v>10</v>
      </c>
      <c r="P423" s="5">
        <f>IFERROR(VLOOKUP(A423,DIGITAL!$A$2:$J$2000,7,0),100)</f>
        <v>11</v>
      </c>
      <c r="Q423" s="5">
        <f>IFERROR(P423,0)*PARAMS_MODELO!$B$12</f>
        <v>1.1000000000000001</v>
      </c>
      <c r="R423">
        <f t="shared" si="147"/>
        <v>81.842719560585451</v>
      </c>
      <c r="S423" s="5" t="str">
        <f>IFERROR(VLOOKUP(A423,CLIENTE!$A$2:$N$2000,13,0),1)</f>
        <v>Regular</v>
      </c>
      <c r="T423" s="5">
        <f>IFERROR(VLOOKUP(A423,CLIENTE!$A$2:$N$2000,14,0),1)</f>
        <v>1</v>
      </c>
      <c r="U423" s="5">
        <f t="shared" si="148"/>
        <v>81.842719560585451</v>
      </c>
      <c r="V423" s="5" t="str">
        <f>IF(U423&gt;=MAX(_xlfn.PERCENTILE.INC($U$2:$U$1194,PARAMS_MODELO!$B$50),PARAMS_MODELO!$B$45),"DIAMANTE",IF(U423&gt;=MAX(_xlfn.PERCENTILE.INC($U$2:$U$1194,PARAMS_MODELO!$B$51),PARAMS_MODELO!$B$46),"PLATINO",IF(U423&gt;=MAX(_xlfn.PERCENTILE.INC($U$2:$U$1194,PARAMS_MODELO!$B$52),PARAMS_MODELO!$B$47),"ORO",IF(U423&gt;=MAX(_xlfn.PERCENTILE.INC($U$2:$U$1194,PARAMS_MODELO!$B$53),PARAMS_MODELO!$B$48),"PLATA",IF(U423&gt;=1,"BRONCE","CERRADO")))))</f>
        <v>ORO</v>
      </c>
      <c r="W423" s="5" t="str" cm="1">
        <f t="array" ref="W423">_xlfn.XLOOKUP(1, (HIST_SCORE!$B:$B=PARAMS_MODELO!$B$4) * (HIST_SCORE!$C:$C=A423), HIST_SCORE!$E:$E, "No encontrado")</f>
        <v>ORO</v>
      </c>
      <c r="X423" s="5" t="str">
        <f>_xlfn.LET(_xlpm.act,MATCH(V423,{"DIAMANTE";"PLATINO";"ORO";"PLATA";"BRONCE";"CERRADO"},0),_xlpm.ant,MATCH(W423,{"DIAMANTE";"PLATINO";"ORO";"PLATA";"BRONCE";"CERRADO"},0),IF(_xlpm.act&lt;_xlpm.ant,"Mejora ↑",IF(_xlpm.act&gt;_xlpm.ant,"Baja ↓","Estable →")))</f>
        <v>Estable →</v>
      </c>
      <c r="Y423" s="5">
        <f>IFERROR(U423-SUMIFS(HIST_SCORE!$D:$D,HIST_SCORE!$B:$B,PARAMS_MODELO!$B$4,HIST_SCORE!$C:$C,$A423),"")</f>
        <v>-0.2363056152598233</v>
      </c>
      <c r="Z423" s="5" t="str">
        <f t="shared" si="149"/>
        <v>→ Estable</v>
      </c>
      <c r="AA423" s="5">
        <f t="shared" si="150"/>
        <v>389</v>
      </c>
      <c r="AB423" s="5">
        <f>IFERROR(SUMIFS(HIST_SCORE!$F:$F,HIST_SCORE!$B:$B,PARAMS_MODELO!$B$4,HIST_SCORE!$C:$C,$A423),"")</f>
        <v>364</v>
      </c>
      <c r="AC423" s="5">
        <f t="shared" si="151"/>
        <v>-25</v>
      </c>
      <c r="AD423" t="str">
        <f t="shared" si="153"/>
        <v>Sostener base y reforzar mix</v>
      </c>
      <c r="AE4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423="CERRADO",1,IF(V423="BRONCE",_xlpm.cPl,IF(V423="PLATA",_xlpm.cO,IF(V423="ORO",_xlpm.cP,IF(V423="PLATINO",_xlpm.cD,999))))))</f>
        <v>86.439123873763251</v>
      </c>
      <c r="AF4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423="CERRADO",0,IF(V423="BRONCE",1,IF(V423="PLATA",_xlpm.cPl,IF(V423="ORO",_xlpm.cO,IF(V423="PLATINO",_xlpm.cP,_xlpm.cD))))))</f>
        <v>63.199193273331495</v>
      </c>
      <c r="AG423">
        <f t="shared" si="154"/>
        <v>4.5964043131777998</v>
      </c>
      <c r="AH423" t="str">
        <f t="shared" si="155"/>
        <v>VENTAS</v>
      </c>
      <c r="AI423" t="str">
        <f t="shared" si="152"/>
        <v>🎯 Para subir de categoría, eje VENTAS / IMPACTO ABSOLUTO (H). Acción: metas semanales + activación comercial + seguimiento del asesor. ΔR aprox: 4,6</v>
      </c>
      <c r="AJ423" s="26">
        <f>_xlfn.LET(_xlpm.piso,AF423,_xlpm.corte,AE423,_xlpm.prog,IF(_xlpm.corte&lt;=_xlpm.piso,0,MAX(0,MIN(1,(U423-_xlpm.piso)/(_xlpm.corte-_xlpm.piso)))),_xlpm.orden,{"DIAMANTE";"PLATINO";"ORO";"PLATA";"BRONCE";"CERRADO"},_xlpm.act,IFERROR(MATCH(V423,_xlpm.orden,0),6),_xlpm.ant,IFERROR(MATCH(W423,_xlpm.orden,0),6),_xlpm.ajmov,IF(_xlpm.act&lt;_xlpm.ant,0.08,IF(_xlpm.act&gt;_xlpm.ant,-0.08,0)),_xlpm.ajcli,IF(T423&lt;0.95,-0.06,0),_xlpm.prob,MAX(0,MIN(1,_xlpm.prog+_xlpm.ajmov+_xlpm.ajcli)),IF(OR(V423="DIAMANTE",V423="CERRADO"),0,ROUND(_xlpm.prob,2)))</f>
        <v>0.8</v>
      </c>
      <c r="AK423" t="str">
        <f t="shared" si="156"/>
        <v>Faltan 4,6 puntos base para subir a la siguiente categoría</v>
      </c>
      <c r="AL423" t="str">
        <f t="shared" si="157"/>
        <v>Margen de seguridad: 18,6 puntos</v>
      </c>
      <c r="AM423">
        <f t="shared" si="158"/>
        <v>0.26</v>
      </c>
      <c r="AN423" t="str">
        <f t="shared" si="159"/>
        <v>PRIORIDAD BAJA – control normal</v>
      </c>
      <c r="AO423">
        <f t="shared" si="160"/>
        <v>8.9628702082230163</v>
      </c>
      <c r="AP423">
        <f t="shared" si="161"/>
        <v>0.15697950648710624</v>
      </c>
      <c r="AQ423">
        <f t="shared" si="162"/>
        <v>0</v>
      </c>
      <c r="AR423">
        <f t="shared" si="163"/>
        <v>8.9</v>
      </c>
      <c r="AS423">
        <f t="shared" si="164"/>
        <v>0</v>
      </c>
      <c r="AT423" t="str">
        <f t="shared" si="165"/>
        <v>VENTAS</v>
      </c>
      <c r="AU423">
        <f t="shared" si="166"/>
        <v>8.9628702082230163</v>
      </c>
      <c r="AV423" t="str">
        <f t="shared" si="167"/>
        <v>Mayor retorno probable: VENTAS (+9,0 puntos finales potenciales).</v>
      </c>
    </row>
    <row r="424" spans="1:48" x14ac:dyDescent="0.3">
      <c r="A424" s="5">
        <v>51042921</v>
      </c>
      <c r="B424" s="5" t="str">
        <f>IFERROR(VLOOKUP(A424,VENTAS!$A$2:$B$1194,2,0),"")</f>
        <v>PUGH</v>
      </c>
      <c r="C424" s="5">
        <f>IFERROR(INDEX(VENTAS!$C$2:$E$1194,MATCH(A424,VENTAS!$A$2:$A$1194,0),MATCH(PARAMS_MODELO!$B$2,{"Q1","Q2","Q3"},0)),0)</f>
        <v>72699815.489999995</v>
      </c>
      <c r="D424" s="5">
        <f>IFERROR(INDEX(VENTAS!$F$2:$H$1194,MATCH(A424,VENTAS!$A$2:$A$1194,0),MATCH(PARAMS_MODELO!$B$2,{"Q1","Q2","Q3"},0)),0)</f>
        <v>86181926</v>
      </c>
      <c r="E424" s="8">
        <f t="shared" si="144"/>
        <v>0.18544903338653596</v>
      </c>
      <c r="F424" s="12">
        <f>IF(E424&lt;=PARAMS_MODELO!$B$15,0,IF(E424&gt;=PARAMS_MODELO!$B$17,100,100*MIN(1,(E424-PARAMS_MODELO!$B$15)/(PARAMS_MODELO!$B$16-PARAMS_MODELO!$B$15))))*PARAMS_MODELO!$B$7</f>
        <v>35</v>
      </c>
      <c r="G424" s="5">
        <f t="shared" si="145"/>
        <v>13482110.510000005</v>
      </c>
      <c r="H424" s="5">
        <f>(PARAMS_MODELO!$B$20*(MAX(0,MIN(3,E424))/3)+PARAMS_MODELO!$B$21*(IFERROR(LN(1+MAX(0,G424))/LN(1+MAX(0,MAX($G$2:$G$1194))),0)))*100*PARAMS_MODELO!$B$8</f>
        <v>4.4974161417080785</v>
      </c>
      <c r="I424" s="8">
        <f>E424-PARAMS_MODELO!$B$5</f>
        <v>7.8861980110094265E-3</v>
      </c>
      <c r="J424" s="5">
        <f>IF(I424&lt;=PARAMS_MODELO!$B$18,0,IF(I424&gt;=PARAMS_MODELO!$B$19,100,100*(I424-PARAMS_MODELO!$B$18)/(PARAMS_MODELO!$B$19-PARAMS_MODELO!$B$18)))*PARAMS_MODELO!$B$9</f>
        <v>8.682929701651414</v>
      </c>
      <c r="K424" s="5">
        <f>IFERROR(CHOOSE(MATCH(PARAMS_MODELO!$B$2,{"Q1","Q2","Q3"},0),LOTO!$D424,LOTO!$F424,LOTO!$H424),0)</f>
        <v>4267500</v>
      </c>
      <c r="L424" s="8">
        <f t="shared" si="146"/>
        <v>4.9517343114378762E-2</v>
      </c>
      <c r="M424" s="5">
        <f>MIN(100,IF(PARAMS_MODELO!$B$23=0,0,100*L424/PARAMS_MODELO!$B$23))*PARAMS_MODELO!$B$10</f>
        <v>14.855202934313628</v>
      </c>
      <c r="N424" s="5">
        <f>IFERROR(VLOOKUP(A424,COMPLIANCE!$A$2:$F$1996,6,0),100)</f>
        <v>99.85</v>
      </c>
      <c r="O424" s="5">
        <f>N424*PARAMS_MODELO!$B$11</f>
        <v>9.9849999999999994</v>
      </c>
      <c r="P424" s="5">
        <f>IFERROR(VLOOKUP(A424,DIGITAL!$A$2:$J$2000,7,0),100)</f>
        <v>64</v>
      </c>
      <c r="Q424" s="5">
        <f>IFERROR(P424,0)*PARAMS_MODELO!$B$12</f>
        <v>6.4</v>
      </c>
      <c r="R424">
        <f t="shared" si="147"/>
        <v>79.420548777673119</v>
      </c>
      <c r="S424" s="5" t="str">
        <f>IFERROR(VLOOKUP(A424,CLIENTE!$A$2:$N$2000,13,0),1)</f>
        <v>Regular</v>
      </c>
      <c r="T424" s="5">
        <f>IFERROR(VLOOKUP(A424,CLIENTE!$A$2:$N$2000,14,0),1)</f>
        <v>1</v>
      </c>
      <c r="U424" s="5">
        <f t="shared" si="148"/>
        <v>79.420548777673119</v>
      </c>
      <c r="V424" s="5" t="str">
        <f>IF(U424&gt;=MAX(_xlfn.PERCENTILE.INC($U$2:$U$1194,PARAMS_MODELO!$B$50),PARAMS_MODELO!$B$45),"DIAMANTE",IF(U424&gt;=MAX(_xlfn.PERCENTILE.INC($U$2:$U$1194,PARAMS_MODELO!$B$51),PARAMS_MODELO!$B$46),"PLATINO",IF(U424&gt;=MAX(_xlfn.PERCENTILE.INC($U$2:$U$1194,PARAMS_MODELO!$B$52),PARAMS_MODELO!$B$47),"ORO",IF(U424&gt;=MAX(_xlfn.PERCENTILE.INC($U$2:$U$1194,PARAMS_MODELO!$B$53),PARAMS_MODELO!$B$48),"PLATA",IF(U424&gt;=1,"BRONCE","CERRADO")))))</f>
        <v>ORO</v>
      </c>
      <c r="W424" s="5" t="str" cm="1">
        <f t="array" ref="W424">_xlfn.XLOOKUP(1, (HIST_SCORE!$B:$B=PARAMS_MODELO!$B$4) * (HIST_SCORE!$C:$C=A424), HIST_SCORE!$E:$E, "No encontrado")</f>
        <v>PLATINO</v>
      </c>
      <c r="X424" s="5" t="str">
        <f>_xlfn.LET(_xlpm.act,MATCH(V424,{"DIAMANTE";"PLATINO";"ORO";"PLATA";"BRONCE";"CERRADO"},0),_xlpm.ant,MATCH(W424,{"DIAMANTE";"PLATINO";"ORO";"PLATA";"BRONCE";"CERRADO"},0),IF(_xlpm.act&lt;_xlpm.ant,"Mejora ↑",IF(_xlpm.act&gt;_xlpm.ant,"Baja ↓","Estable →")))</f>
        <v>Baja ↓</v>
      </c>
      <c r="Y424" s="5">
        <f>IFERROR(U424-SUMIFS(HIST_SCORE!$D:$D,HIST_SCORE!$B:$B,PARAMS_MODELO!$B$4,HIST_SCORE!$C:$C,$A424),"")</f>
        <v>-6.8533842516230408</v>
      </c>
      <c r="Z424" s="5" t="str">
        <f t="shared" si="149"/>
        <v>↓ Baja</v>
      </c>
      <c r="AA424" s="5">
        <f t="shared" si="150"/>
        <v>447</v>
      </c>
      <c r="AB424" s="5">
        <f>IFERROR(SUMIFS(HIST_SCORE!$F:$F,HIST_SCORE!$B:$B,PARAMS_MODELO!$B$4,HIST_SCORE!$C:$C,$A424),"")</f>
        <v>225</v>
      </c>
      <c r="AC424" s="5">
        <f t="shared" si="151"/>
        <v>-222</v>
      </c>
      <c r="AD424" t="str">
        <f t="shared" si="153"/>
        <v>Sostener base y reforzar mix</v>
      </c>
      <c r="AE4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424="CERRADO",1,IF(V424="BRONCE",_xlpm.cPl,IF(V424="PLATA",_xlpm.cO,IF(V424="ORO",_xlpm.cP,IF(V424="PLATINO",_xlpm.cD,999))))))</f>
        <v>86.439123873763251</v>
      </c>
      <c r="AF4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424="CERRADO",0,IF(V424="BRONCE",1,IF(V424="PLATA",_xlpm.cPl,IF(V424="ORO",_xlpm.cO,IF(V424="PLATINO",_xlpm.cP,_xlpm.cD))))))</f>
        <v>63.199193273331495</v>
      </c>
      <c r="AG424">
        <f t="shared" si="154"/>
        <v>7.0185750960901316</v>
      </c>
      <c r="AH424" t="str">
        <f t="shared" si="155"/>
        <v>VENTAS</v>
      </c>
      <c r="AI424" t="str">
        <f t="shared" si="152"/>
        <v>🎯 Para subir de categoría, eje VENTAS / IMPACTO ABSOLUTO (H). Acción: metas semanales + activación comercial + seguimiento del asesor. ΔR aprox: 7,0</v>
      </c>
      <c r="AJ424" s="26">
        <f>_xlfn.LET(_xlpm.piso,AF424,_xlpm.corte,AE424,_xlpm.prog,IF(_xlpm.corte&lt;=_xlpm.piso,0,MAX(0,MIN(1,(U424-_xlpm.piso)/(_xlpm.corte-_xlpm.piso)))),_xlpm.orden,{"DIAMANTE";"PLATINO";"ORO";"PLATA";"BRONCE";"CERRADO"},_xlpm.act,IFERROR(MATCH(V424,_xlpm.orden,0),6),_xlpm.ant,IFERROR(MATCH(W424,_xlpm.orden,0),6),_xlpm.ajmov,IF(_xlpm.act&lt;_xlpm.ant,0.08,IF(_xlpm.act&gt;_xlpm.ant,-0.08,0)),_xlpm.ajcli,IF(T424&lt;0.95,-0.06,0),_xlpm.prob,MAX(0,MIN(1,_xlpm.prog+_xlpm.ajmov+_xlpm.ajcli)),IF(OR(V424="DIAMANTE",V424="CERRADO"),0,ROUND(_xlpm.prob,2)))</f>
        <v>0.62</v>
      </c>
      <c r="AK424" t="str">
        <f t="shared" si="156"/>
        <v>Faltan 7,0 puntos base para subir a la siguiente categoría</v>
      </c>
      <c r="AL424" t="str">
        <f t="shared" si="157"/>
        <v>Margen de seguridad: 16,2 puntos</v>
      </c>
      <c r="AM424">
        <f t="shared" si="158"/>
        <v>0.43</v>
      </c>
      <c r="AN424" t="str">
        <f t="shared" si="159"/>
        <v>PRIORIDAD MEDIA – seguimiento del asesor</v>
      </c>
      <c r="AO424">
        <f t="shared" si="160"/>
        <v>16.682223431936094</v>
      </c>
      <c r="AP424">
        <f t="shared" si="161"/>
        <v>0.14479706568637241</v>
      </c>
      <c r="AQ424">
        <f t="shared" si="162"/>
        <v>1.5000000000000568E-2</v>
      </c>
      <c r="AR424">
        <f t="shared" si="163"/>
        <v>3.5999999999999996</v>
      </c>
      <c r="AS424">
        <f t="shared" si="164"/>
        <v>0</v>
      </c>
      <c r="AT424" t="str">
        <f t="shared" si="165"/>
        <v>VENTAS</v>
      </c>
      <c r="AU424">
        <f t="shared" si="166"/>
        <v>16.682223431936094</v>
      </c>
      <c r="AV424" t="str">
        <f t="shared" si="167"/>
        <v>Mayor retorno probable: VENTAS (+16,7 puntos finales potenciales).</v>
      </c>
    </row>
    <row r="425" spans="1:48" x14ac:dyDescent="0.3">
      <c r="A425" s="5">
        <v>51056272</v>
      </c>
      <c r="B425" s="5" t="str">
        <f>IFERROR(VLOOKUP(A425,VENTAS!$A$2:$B$1194,2,0),"")</f>
        <v>LÓPEZ</v>
      </c>
      <c r="C425" s="5">
        <f>IFERROR(INDEX(VENTAS!$C$2:$E$1194,MATCH(A425,VENTAS!$A$2:$A$1194,0),MATCH(PARAMS_MODELO!$B$2,{"Q1","Q2","Q3"},0)),0)</f>
        <v>42272987.349999987</v>
      </c>
      <c r="D425" s="5">
        <f>IFERROR(INDEX(VENTAS!$F$2:$H$1194,MATCH(A425,VENTAS!$A$2:$A$1194,0),MATCH(PARAMS_MODELO!$B$2,{"Q1","Q2","Q3"},0)),0)</f>
        <v>86168061</v>
      </c>
      <c r="E425" s="8">
        <f t="shared" si="144"/>
        <v>1.0383716979017814</v>
      </c>
      <c r="F425" s="12">
        <f>IF(E425&lt;=PARAMS_MODELO!$B$15,0,IF(E425&gt;=PARAMS_MODELO!$B$17,100,100*MIN(1,(E425-PARAMS_MODELO!$B$15)/(PARAMS_MODELO!$B$16-PARAMS_MODELO!$B$15))))*PARAMS_MODELO!$B$7</f>
        <v>35</v>
      </c>
      <c r="G425" s="5">
        <f t="shared" si="145"/>
        <v>43895073.650000013</v>
      </c>
      <c r="H425" s="5">
        <f>(PARAMS_MODELO!$B$20*(MAX(0,MIN(3,E425))/3)+PARAMS_MODELO!$B$21*(IFERROR(LN(1+MAX(0,G425))/LN(1+MAX(0,MAX($G$2:$G$1194))),0)))*100*PARAMS_MODELO!$B$8</f>
        <v>7.7593567048350298</v>
      </c>
      <c r="I425" s="8">
        <f>E425-PARAMS_MODELO!$B$5</f>
        <v>0.86080886252625488</v>
      </c>
      <c r="J425" s="5">
        <f>IF(I425&lt;=PARAMS_MODELO!$B$18,0,IF(I425&gt;=PARAMS_MODELO!$B$19,100,100*(I425-PARAMS_MODELO!$B$18)/(PARAMS_MODELO!$B$19-PARAMS_MODELO!$B$18)))*PARAMS_MODELO!$B$9</f>
        <v>15</v>
      </c>
      <c r="K425" s="5">
        <f>IFERROR(CHOOSE(MATCH(PARAMS_MODELO!$B$2,{"Q1","Q2","Q3"},0),LOTO!$D425,LOTO!$F425,LOTO!$H425),0)</f>
        <v>4262500</v>
      </c>
      <c r="L425" s="8">
        <f t="shared" si="146"/>
        <v>4.9467284635777056E-2</v>
      </c>
      <c r="M425" s="5">
        <f>MIN(100,IF(PARAMS_MODELO!$B$23=0,0,100*L425/PARAMS_MODELO!$B$23))*PARAMS_MODELO!$B$10</f>
        <v>14.840185390733113</v>
      </c>
      <c r="N425" s="5">
        <f>IFERROR(VLOOKUP(A425,COMPLIANCE!$A$2:$F$1996,6,0),100)</f>
        <v>99.83</v>
      </c>
      <c r="O425" s="5">
        <f>N425*PARAMS_MODELO!$B$11</f>
        <v>9.9830000000000005</v>
      </c>
      <c r="P425" s="5">
        <f>IFERROR(VLOOKUP(A425,DIGITAL!$A$2:$J$2000,7,0),100)</f>
        <v>83</v>
      </c>
      <c r="Q425" s="5">
        <f>IFERROR(P425,0)*PARAMS_MODELO!$B$12</f>
        <v>8.3000000000000007</v>
      </c>
      <c r="R425">
        <f t="shared" si="147"/>
        <v>90.882542095568141</v>
      </c>
      <c r="S425" s="5" t="str">
        <f>IFERROR(VLOOKUP(A425,CLIENTE!$A$2:$N$2000,13,0),1)</f>
        <v>Malo</v>
      </c>
      <c r="T425" s="5">
        <f>IFERROR(VLOOKUP(A425,CLIENTE!$A$2:$N$2000,14,0),1)</f>
        <v>0.7</v>
      </c>
      <c r="U425" s="5">
        <f t="shared" si="148"/>
        <v>63.617779466897694</v>
      </c>
      <c r="V425" s="5" t="str">
        <f>IF(U425&gt;=MAX(_xlfn.PERCENTILE.INC($U$2:$U$1194,PARAMS_MODELO!$B$50),PARAMS_MODELO!$B$45),"DIAMANTE",IF(U425&gt;=MAX(_xlfn.PERCENTILE.INC($U$2:$U$1194,PARAMS_MODELO!$B$51),PARAMS_MODELO!$B$46),"PLATINO",IF(U425&gt;=MAX(_xlfn.PERCENTILE.INC($U$2:$U$1194,PARAMS_MODELO!$B$52),PARAMS_MODELO!$B$47),"ORO",IF(U425&gt;=MAX(_xlfn.PERCENTILE.INC($U$2:$U$1194,PARAMS_MODELO!$B$53),PARAMS_MODELO!$B$48),"PLATA",IF(U425&gt;=1,"BRONCE","CERRADO")))))</f>
        <v>ORO</v>
      </c>
      <c r="W425" s="5" t="str" cm="1">
        <f t="array" ref="W425">_xlfn.XLOOKUP(1, (HIST_SCORE!$B:$B=PARAMS_MODELO!$B$4) * (HIST_SCORE!$C:$C=A425), HIST_SCORE!$E:$E, "No encontrado")</f>
        <v>ORO</v>
      </c>
      <c r="X425" s="5" t="str">
        <f>_xlfn.LET(_xlpm.act,MATCH(V425,{"DIAMANTE";"PLATINO";"ORO";"PLATA";"BRONCE";"CERRADO"},0),_xlpm.ant,MATCH(W425,{"DIAMANTE";"PLATINO";"ORO";"PLATA";"BRONCE";"CERRADO"},0),IF(_xlpm.act&lt;_xlpm.ant,"Mejora ↑",IF(_xlpm.act&gt;_xlpm.ant,"Baja ↓","Estable →")))</f>
        <v>Estable →</v>
      </c>
      <c r="Y425" s="5">
        <f>IFERROR(U425-SUMIFS(HIST_SCORE!$D:$D,HIST_SCORE!$B:$B,PARAMS_MODELO!$B$4,HIST_SCORE!$C:$C,$A425),"")</f>
        <v>0.85521534127947518</v>
      </c>
      <c r="Z425" s="5" t="str">
        <f t="shared" si="149"/>
        <v>→ Estable</v>
      </c>
      <c r="AA425" s="5">
        <f t="shared" si="150"/>
        <v>553</v>
      </c>
      <c r="AB425" s="5">
        <f>IFERROR(SUMIFS(HIST_SCORE!$F:$F,HIST_SCORE!$B:$B,PARAMS_MODELO!$B$4,HIST_SCORE!$C:$C,$A425),"")</f>
        <v>594</v>
      </c>
      <c r="AC425" s="5">
        <f t="shared" si="151"/>
        <v>41</v>
      </c>
      <c r="AD425" t="str">
        <f t="shared" si="153"/>
        <v/>
      </c>
      <c r="AE4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425="CERRADO",1,IF(V425="BRONCE",_xlpm.cPl,IF(V425="PLATA",_xlpm.cO,IF(V425="ORO",_xlpm.cP,IF(V425="PLATINO",_xlpm.cD,999))))))</f>
        <v>86.439123873763251</v>
      </c>
      <c r="AF4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425="CERRADO",0,IF(V425="BRONCE",1,IF(V425="PLATA",_xlpm.cPl,IF(V425="ORO",_xlpm.cO,IF(V425="PLATINO",_xlpm.cP,_xlpm.cD))))))</f>
        <v>63.199193273331495</v>
      </c>
      <c r="AG425">
        <f t="shared" si="154"/>
        <v>32.601920581236513</v>
      </c>
      <c r="AH425" t="str">
        <f t="shared" si="155"/>
        <v>CLIENTE</v>
      </c>
      <c r="AI425" t="str">
        <f t="shared" si="152"/>
        <v>🎯 Para subir de categoría, la eje con mayor impacto probable es CLIENTE (coef T). Acción: reducir quejas, mejorar incógnito y empujar reseñas. ΔR aprox: 32,6</v>
      </c>
      <c r="AJ425" s="26">
        <f>_xlfn.LET(_xlpm.piso,AF425,_xlpm.corte,AE425,_xlpm.prog,IF(_xlpm.corte&lt;=_xlpm.piso,0,MAX(0,MIN(1,(U425-_xlpm.piso)/(_xlpm.corte-_xlpm.piso)))),_xlpm.orden,{"DIAMANTE";"PLATINO";"ORO";"PLATA";"BRONCE";"CERRADO"},_xlpm.act,IFERROR(MATCH(V425,_xlpm.orden,0),6),_xlpm.ant,IFERROR(MATCH(W425,_xlpm.orden,0),6),_xlpm.ajmov,IF(_xlpm.act&lt;_xlpm.ant,0.08,IF(_xlpm.act&gt;_xlpm.ant,-0.08,0)),_xlpm.ajcli,IF(T425&lt;0.95,-0.06,0),_xlpm.prob,MAX(0,MIN(1,_xlpm.prog+_xlpm.ajmov+_xlpm.ajcli)),IF(OR(V425="DIAMANTE",V425="CERRADO"),0,ROUND(_xlpm.prob,2)))</f>
        <v>0</v>
      </c>
      <c r="AK425" t="str">
        <f t="shared" si="156"/>
        <v>Faltan 32,6 puntos base para subir a la siguiente categoría</v>
      </c>
      <c r="AL425" t="str">
        <f t="shared" si="157"/>
        <v>Margen de seguridad: 0,4 puntos</v>
      </c>
      <c r="AM425">
        <f t="shared" si="158"/>
        <v>1</v>
      </c>
      <c r="AN425" t="str">
        <f t="shared" si="159"/>
        <v>PRIORIDAD ALTA – requiere intervención inmediata</v>
      </c>
      <c r="AO425">
        <f t="shared" si="160"/>
        <v>4.9722487993223892</v>
      </c>
      <c r="AP425">
        <f t="shared" si="161"/>
        <v>0.11187022648682063</v>
      </c>
      <c r="AQ425">
        <f t="shared" si="162"/>
        <v>1.1899999999999621E-2</v>
      </c>
      <c r="AR425">
        <f t="shared" si="163"/>
        <v>1.1899999999999995</v>
      </c>
      <c r="AS425">
        <f t="shared" si="164"/>
        <v>27.264762628670447</v>
      </c>
      <c r="AT425" t="str">
        <f t="shared" si="165"/>
        <v>CLIENTE</v>
      </c>
      <c r="AU425">
        <f t="shared" si="166"/>
        <v>27.264762628670447</v>
      </c>
      <c r="AV425" t="str">
        <f t="shared" si="167"/>
        <v>Mayor retorno probable: CLIENTE (+27,3 puntos finales potenciales).</v>
      </c>
    </row>
    <row r="426" spans="1:48" x14ac:dyDescent="0.3">
      <c r="A426" s="5">
        <v>51007883</v>
      </c>
      <c r="B426" s="5" t="str">
        <f>IFERROR(VLOOKUP(A426,VENTAS!$A$2:$B$1194,2,0),"")</f>
        <v>CICHETTO</v>
      </c>
      <c r="C426" s="5">
        <f>IFERROR(INDEX(VENTAS!$C$2:$E$1194,MATCH(A426,VENTAS!$A$2:$A$1194,0),MATCH(PARAMS_MODELO!$B$2,{"Q1","Q2","Q3"},0)),0)</f>
        <v>77367836.709999993</v>
      </c>
      <c r="D426" s="5">
        <f>IFERROR(INDEX(VENTAS!$F$2:$H$1194,MATCH(A426,VENTAS!$A$2:$A$1194,0),MATCH(PARAMS_MODELO!$B$2,{"Q1","Q2","Q3"},0)),0)</f>
        <v>86090981</v>
      </c>
      <c r="E426" s="8">
        <f t="shared" si="144"/>
        <v>0.11274897503851911</v>
      </c>
      <c r="F426" s="12">
        <f>IF(E426&lt;=PARAMS_MODELO!$B$15,0,IF(E426&gt;=PARAMS_MODELO!$B$17,100,100*MIN(1,(E426-PARAMS_MODELO!$B$15)/(PARAMS_MODELO!$B$16-PARAMS_MODELO!$B$15))))*PARAMS_MODELO!$B$7</f>
        <v>35</v>
      </c>
      <c r="G426" s="5">
        <f t="shared" si="145"/>
        <v>8723144.2900000066</v>
      </c>
      <c r="H426" s="5">
        <f>(PARAMS_MODELO!$B$20*(MAX(0,MIN(3,E426))/3)+PARAMS_MODELO!$B$21*(IFERROR(LN(1+MAX(0,G426))/LN(1+MAX(0,MAX($G$2:$G$1194))),0)))*100*PARAMS_MODELO!$B$8</f>
        <v>4.1409058819423201</v>
      </c>
      <c r="I426" s="8">
        <f>E426-PARAMS_MODELO!$B$5</f>
        <v>-6.4813860337007423E-2</v>
      </c>
      <c r="J426" s="5">
        <f>IF(I426&lt;=PARAMS_MODELO!$B$18,0,IF(I426&gt;=PARAMS_MODELO!$B$19,100,100*(I426-PARAMS_MODELO!$B$18)/(PARAMS_MODELO!$B$19-PARAMS_MODELO!$B$18)))*PARAMS_MODELO!$B$9</f>
        <v>0</v>
      </c>
      <c r="K426" s="5">
        <f>IFERROR(CHOOSE(MATCH(PARAMS_MODELO!$B$2,{"Q1","Q2","Q3"},0),LOTO!$D426,LOTO!$F426,LOTO!$H426),0)</f>
        <v>4250000</v>
      </c>
      <c r="L426" s="8">
        <f t="shared" si="146"/>
        <v>4.9366379040331761E-2</v>
      </c>
      <c r="M426" s="5">
        <f>MIN(100,IF(PARAMS_MODELO!$B$23=0,0,100*L426/PARAMS_MODELO!$B$23))*PARAMS_MODELO!$B$10</f>
        <v>14.809913712099529</v>
      </c>
      <c r="N426" s="5">
        <f>IFERROR(VLOOKUP(A426,COMPLIANCE!$A$2:$F$1996,6,0),100)</f>
        <v>99.85</v>
      </c>
      <c r="O426" s="5">
        <f>N426*PARAMS_MODELO!$B$11</f>
        <v>9.9849999999999994</v>
      </c>
      <c r="P426" s="5">
        <f>IFERROR(VLOOKUP(A426,DIGITAL!$A$2:$J$2000,7,0),100)</f>
        <v>63</v>
      </c>
      <c r="Q426" s="5">
        <f>IFERROR(P426,0)*PARAMS_MODELO!$B$12</f>
        <v>6.3000000000000007</v>
      </c>
      <c r="R426">
        <f t="shared" si="147"/>
        <v>70.235819594041843</v>
      </c>
      <c r="S426" s="5" t="str">
        <f>IFERROR(VLOOKUP(A426,CLIENTE!$A$2:$N$2000,13,0),1)</f>
        <v>Regular</v>
      </c>
      <c r="T426" s="5">
        <f>IFERROR(VLOOKUP(A426,CLIENTE!$A$2:$N$2000,14,0),1)</f>
        <v>1</v>
      </c>
      <c r="U426" s="5">
        <f t="shared" si="148"/>
        <v>70.235819594041843</v>
      </c>
      <c r="V426" s="5" t="str">
        <f>IF(U426&gt;=MAX(_xlfn.PERCENTILE.INC($U$2:$U$1194,PARAMS_MODELO!$B$50),PARAMS_MODELO!$B$45),"DIAMANTE",IF(U426&gt;=MAX(_xlfn.PERCENTILE.INC($U$2:$U$1194,PARAMS_MODELO!$B$51),PARAMS_MODELO!$B$46),"PLATINO",IF(U426&gt;=MAX(_xlfn.PERCENTILE.INC($U$2:$U$1194,PARAMS_MODELO!$B$52),PARAMS_MODELO!$B$47),"ORO",IF(U426&gt;=MAX(_xlfn.PERCENTILE.INC($U$2:$U$1194,PARAMS_MODELO!$B$53),PARAMS_MODELO!$B$48),"PLATA",IF(U426&gt;=1,"BRONCE","CERRADO")))))</f>
        <v>ORO</v>
      </c>
      <c r="W426" s="5" t="str" cm="1">
        <f t="array" ref="W426">_xlfn.XLOOKUP(1, (HIST_SCORE!$B:$B=PARAMS_MODELO!$B$4) * (HIST_SCORE!$C:$C=A426), HIST_SCORE!$E:$E, "No encontrado")</f>
        <v>ORO</v>
      </c>
      <c r="X426" s="5" t="str">
        <f>_xlfn.LET(_xlpm.act,MATCH(V426,{"DIAMANTE";"PLATINO";"ORO";"PLATA";"BRONCE";"CERRADO"},0),_xlpm.ant,MATCH(W426,{"DIAMANTE";"PLATINO";"ORO";"PLATA";"BRONCE";"CERRADO"},0),IF(_xlpm.act&lt;_xlpm.ant,"Mejora ↑",IF(_xlpm.act&gt;_xlpm.ant,"Baja ↓","Estable →")))</f>
        <v>Estable →</v>
      </c>
      <c r="Y426" s="5">
        <f>IFERROR(U426-SUMIFS(HIST_SCORE!$D:$D,HIST_SCORE!$B:$B,PARAMS_MODELO!$B$4,HIST_SCORE!$C:$C,$A426),"")</f>
        <v>-12.677737040276256</v>
      </c>
      <c r="Z426" s="5" t="str">
        <f t="shared" si="149"/>
        <v>↓ Baja</v>
      </c>
      <c r="AA426" s="5">
        <f t="shared" si="150"/>
        <v>511</v>
      </c>
      <c r="AB426" s="5">
        <f>IFERROR(SUMIFS(HIST_SCORE!$F:$F,HIST_SCORE!$B:$B,PARAMS_MODELO!$B$4,HIST_SCORE!$C:$C,$A426),"")</f>
        <v>333</v>
      </c>
      <c r="AC426" s="5">
        <f t="shared" si="151"/>
        <v>-178</v>
      </c>
      <c r="AD426" t="str">
        <f t="shared" si="153"/>
        <v>Sostener base y reforzar mix</v>
      </c>
      <c r="AE4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426="CERRADO",1,IF(V426="BRONCE",_xlpm.cPl,IF(V426="PLATA",_xlpm.cO,IF(V426="ORO",_xlpm.cP,IF(V426="PLATINO",_xlpm.cD,999))))))</f>
        <v>86.439123873763251</v>
      </c>
      <c r="AF4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426="CERRADO",0,IF(V426="BRONCE",1,IF(V426="PLATA",_xlpm.cPl,IF(V426="ORO",_xlpm.cO,IF(V426="PLATINO",_xlpm.cP,_xlpm.cD))))))</f>
        <v>63.199193273331495</v>
      </c>
      <c r="AG426">
        <f t="shared" si="154"/>
        <v>16.203304279721408</v>
      </c>
      <c r="AH426" t="str">
        <f t="shared" si="155"/>
        <v>VENTAS</v>
      </c>
      <c r="AI426" t="str">
        <f t="shared" si="152"/>
        <v>🎯 Para subir de categoría, eje VENTAS / DIFERENCIAL vs LOTBA (J). Acción: metas semanales + activación comercial + seguimiento del asesor. ΔR aprox: 16,2</v>
      </c>
      <c r="AJ426" s="26">
        <f>_xlfn.LET(_xlpm.piso,AF426,_xlpm.corte,AE426,_xlpm.prog,IF(_xlpm.corte&lt;=_xlpm.piso,0,MAX(0,MIN(1,(U426-_xlpm.piso)/(_xlpm.corte-_xlpm.piso)))),_xlpm.orden,{"DIAMANTE";"PLATINO";"ORO";"PLATA";"BRONCE";"CERRADO"},_xlpm.act,IFERROR(MATCH(V426,_xlpm.orden,0),6),_xlpm.ant,IFERROR(MATCH(W426,_xlpm.orden,0),6),_xlpm.ajmov,IF(_xlpm.act&lt;_xlpm.ant,0.08,IF(_xlpm.act&gt;_xlpm.ant,-0.08,0)),_xlpm.ajcli,IF(T426&lt;0.95,-0.06,0),_xlpm.prob,MAX(0,MIN(1,_xlpm.prog+_xlpm.ajmov+_xlpm.ajcli)),IF(OR(V426="DIAMANTE",V426="CERRADO"),0,ROUND(_xlpm.prob,2)))</f>
        <v>0.3</v>
      </c>
      <c r="AK426" t="str">
        <f t="shared" si="156"/>
        <v>Faltan 16,2 puntos base para subir a la siguiente categoría</v>
      </c>
      <c r="AL426" t="str">
        <f t="shared" si="157"/>
        <v>Margen de seguridad: 7,0 puntos</v>
      </c>
      <c r="AM426">
        <f t="shared" si="158"/>
        <v>0.68</v>
      </c>
      <c r="AN426" t="str">
        <f t="shared" si="159"/>
        <v>PRIORIDAD MEDIA – seguimiento del asesor</v>
      </c>
      <c r="AO426">
        <f t="shared" si="160"/>
        <v>25.721663393353268</v>
      </c>
      <c r="AP426">
        <f t="shared" si="161"/>
        <v>0.19008628790047055</v>
      </c>
      <c r="AQ426">
        <f t="shared" si="162"/>
        <v>1.5000000000000568E-2</v>
      </c>
      <c r="AR426">
        <f t="shared" si="163"/>
        <v>3.6999999999999993</v>
      </c>
      <c r="AS426">
        <f t="shared" si="164"/>
        <v>0</v>
      </c>
      <c r="AT426" t="str">
        <f t="shared" si="165"/>
        <v>VENTAS</v>
      </c>
      <c r="AU426">
        <f t="shared" si="166"/>
        <v>25.721663393353268</v>
      </c>
      <c r="AV426" t="str">
        <f t="shared" si="167"/>
        <v>Mayor retorno probable: VENTAS (+25,7 puntos finales potenciales).</v>
      </c>
    </row>
    <row r="427" spans="1:48" x14ac:dyDescent="0.3">
      <c r="A427" s="5">
        <v>51030010</v>
      </c>
      <c r="B427" s="5" t="str">
        <f>IFERROR(VLOOKUP(A427,VENTAS!$A$2:$B$1194,2,0),"")</f>
        <v>NELLI</v>
      </c>
      <c r="C427" s="5">
        <f>IFERROR(INDEX(VENTAS!$C$2:$E$1194,MATCH(A427,VENTAS!$A$2:$A$1194,0),MATCH(PARAMS_MODELO!$B$2,{"Q1","Q2","Q3"},0)),0)</f>
        <v>68861933.569999993</v>
      </c>
      <c r="D427" s="5">
        <f>IFERROR(INDEX(VENTAS!$F$2:$H$1194,MATCH(A427,VENTAS!$A$2:$A$1194,0),MATCH(PARAMS_MODELO!$B$2,{"Q1","Q2","Q3"},0)),0)</f>
        <v>85952710</v>
      </c>
      <c r="E427" s="8">
        <f t="shared" si="144"/>
        <v>0.2481890290319364</v>
      </c>
      <c r="F427" s="12">
        <f>IF(E427&lt;=PARAMS_MODELO!$B$15,0,IF(E427&gt;=PARAMS_MODELO!$B$17,100,100*MIN(1,(E427-PARAMS_MODELO!$B$15)/(PARAMS_MODELO!$B$16-PARAMS_MODELO!$B$15))))*PARAMS_MODELO!$B$7</f>
        <v>35</v>
      </c>
      <c r="G427" s="5">
        <f t="shared" si="145"/>
        <v>17090776.430000007</v>
      </c>
      <c r="H427" s="5">
        <f>(PARAMS_MODELO!$B$20*(MAX(0,MIN(3,E427))/3)+PARAMS_MODELO!$B$21*(IFERROR(LN(1+MAX(0,G427))/LN(1+MAX(0,MAX($G$2:$G$1194))),0)))*100*PARAMS_MODELO!$B$8</f>
        <v>4.7726033169042879</v>
      </c>
      <c r="I427" s="8">
        <f>E427-PARAMS_MODELO!$B$5</f>
        <v>7.0626193656409875E-2</v>
      </c>
      <c r="J427" s="5">
        <f>IF(I427&lt;=PARAMS_MODELO!$B$18,0,IF(I427&gt;=PARAMS_MODELO!$B$19,100,100*(I427-PARAMS_MODELO!$B$18)/(PARAMS_MODELO!$B$19-PARAMS_MODELO!$B$18)))*PARAMS_MODELO!$B$9</f>
        <v>15</v>
      </c>
      <c r="K427" s="5">
        <f>IFERROR(CHOOSE(MATCH(PARAMS_MODELO!$B$2,{"Q1","Q2","Q3"},0),LOTO!$D427,LOTO!$F427,LOTO!$H427),0)</f>
        <v>4247500</v>
      </c>
      <c r="L427" s="8">
        <f t="shared" si="146"/>
        <v>4.9416708327172001E-2</v>
      </c>
      <c r="M427" s="5">
        <f>MIN(100,IF(PARAMS_MODELO!$B$23=0,0,100*L427/PARAMS_MODELO!$B$23))*PARAMS_MODELO!$B$10</f>
        <v>14.825012498151601</v>
      </c>
      <c r="N427" s="5">
        <f>IFERROR(VLOOKUP(A427,COMPLIANCE!$A$2:$F$1996,6,0),100)</f>
        <v>100</v>
      </c>
      <c r="O427" s="5">
        <f>N427*PARAMS_MODELO!$B$11</f>
        <v>10</v>
      </c>
      <c r="P427" s="5">
        <f>IFERROR(VLOOKUP(A427,DIGITAL!$A$2:$J$2000,7,0),100)</f>
        <v>77</v>
      </c>
      <c r="Q427" s="5">
        <f>IFERROR(P427,0)*PARAMS_MODELO!$B$12</f>
        <v>7.7</v>
      </c>
      <c r="R427">
        <f t="shared" si="147"/>
        <v>87.297615815055892</v>
      </c>
      <c r="S427" s="5" t="str">
        <f>IFERROR(VLOOKUP(A427,CLIENTE!$A$2:$N$2000,13,0),1)</f>
        <v>Bueno</v>
      </c>
      <c r="T427" s="5">
        <f>IFERROR(VLOOKUP(A427,CLIENTE!$A$2:$N$2000,14,0),1)</f>
        <v>1.1000000000000001</v>
      </c>
      <c r="U427" s="5">
        <f t="shared" si="148"/>
        <v>96.027377396561491</v>
      </c>
      <c r="V427" s="5" t="str">
        <f>IF(U427&gt;=MAX(_xlfn.PERCENTILE.INC($U$2:$U$1194,PARAMS_MODELO!$B$50),PARAMS_MODELO!$B$45),"DIAMANTE",IF(U427&gt;=MAX(_xlfn.PERCENTILE.INC($U$2:$U$1194,PARAMS_MODELO!$B$51),PARAMS_MODELO!$B$46),"PLATINO",IF(U427&gt;=MAX(_xlfn.PERCENTILE.INC($U$2:$U$1194,PARAMS_MODELO!$B$52),PARAMS_MODELO!$B$47),"ORO",IF(U427&gt;=MAX(_xlfn.PERCENTILE.INC($U$2:$U$1194,PARAMS_MODELO!$B$53),PARAMS_MODELO!$B$48),"PLATA",IF(U427&gt;=1,"BRONCE","CERRADO")))))</f>
        <v>PLATINO</v>
      </c>
      <c r="W427" s="5" t="str" cm="1">
        <f t="array" ref="W427">_xlfn.XLOOKUP(1, (HIST_SCORE!$B:$B=PARAMS_MODELO!$B$4) * (HIST_SCORE!$C:$C=A427), HIST_SCORE!$E:$E, "No encontrado")</f>
        <v>DIAMANTE</v>
      </c>
      <c r="X427" s="5" t="str">
        <f>_xlfn.LET(_xlpm.act,MATCH(V427,{"DIAMANTE";"PLATINO";"ORO";"PLATA";"BRONCE";"CERRADO"},0),_xlpm.ant,MATCH(W427,{"DIAMANTE";"PLATINO";"ORO";"PLATA";"BRONCE";"CERRADO"},0),IF(_xlpm.act&lt;_xlpm.ant,"Mejora ↑",IF(_xlpm.act&gt;_xlpm.ant,"Baja ↓","Estable →")))</f>
        <v>Baja ↓</v>
      </c>
      <c r="Y427" s="5">
        <f>IFERROR(U427-SUMIFS(HIST_SCORE!$D:$D,HIST_SCORE!$B:$B,PARAMS_MODELO!$B$4,HIST_SCORE!$C:$C,$A427),"")</f>
        <v>-0.65599860659480669</v>
      </c>
      <c r="Z427" s="5" t="str">
        <f t="shared" si="149"/>
        <v>→ Estable</v>
      </c>
      <c r="AA427" s="5">
        <f t="shared" si="150"/>
        <v>61</v>
      </c>
      <c r="AB427" s="5">
        <f>IFERROR(SUMIFS(HIST_SCORE!$F:$F,HIST_SCORE!$B:$B,PARAMS_MODELO!$B$4,HIST_SCORE!$C:$C,$A427),"")</f>
        <v>45</v>
      </c>
      <c r="AC427" s="5">
        <f t="shared" si="151"/>
        <v>-16</v>
      </c>
      <c r="AD427" t="str">
        <f t="shared" si="153"/>
        <v/>
      </c>
      <c r="AE4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427="CERRADO",1,IF(V427="BRONCE",_xlpm.cPl,IF(V427="PLATA",_xlpm.cO,IF(V427="ORO",_xlpm.cP,IF(V427="PLATINO",_xlpm.cD,999))))))</f>
        <v>96.054919694466676</v>
      </c>
      <c r="AF4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427="CERRADO",0,IF(V427="BRONCE",1,IF(V427="PLATA",_xlpm.cPl,IF(V427="ORO",_xlpm.cO,IF(V427="PLATINO",_xlpm.cP,_xlpm.cD))))))</f>
        <v>86.439123873763251</v>
      </c>
      <c r="AG427">
        <f t="shared" si="154"/>
        <v>2.5038452641084064E-2</v>
      </c>
      <c r="AH427" t="str">
        <f t="shared" si="155"/>
        <v>VENTAS</v>
      </c>
      <c r="AI427" t="str">
        <f t="shared" si="152"/>
        <v>🎯 Para subir de categoría, eje VENTAS / IMPACTO ABSOLUTO (H). Acción: metas semanales + activación comercial + seguimiento del asesor. ΔR aprox: 0,0</v>
      </c>
      <c r="AJ427" s="26">
        <f>_xlfn.LET(_xlpm.piso,AF427,_xlpm.corte,AE427,_xlpm.prog,IF(_xlpm.corte&lt;=_xlpm.piso,0,MAX(0,MIN(1,(U427-_xlpm.piso)/(_xlpm.corte-_xlpm.piso)))),_xlpm.orden,{"DIAMANTE";"PLATINO";"ORO";"PLATA";"BRONCE";"CERRADO"},_xlpm.act,IFERROR(MATCH(V427,_xlpm.orden,0),6),_xlpm.ant,IFERROR(MATCH(W427,_xlpm.orden,0),6),_xlpm.ajmov,IF(_xlpm.act&lt;_xlpm.ant,0.08,IF(_xlpm.act&gt;_xlpm.ant,-0.08,0)),_xlpm.ajcli,IF(T427&lt;0.95,-0.06,0),_xlpm.prob,MAX(0,MIN(1,_xlpm.prog+_xlpm.ajmov+_xlpm.ajcli)),IF(OR(V427="DIAMANTE",V427="CERRADO"),0,ROUND(_xlpm.prob,2)))</f>
        <v>0.92</v>
      </c>
      <c r="AK427" t="str">
        <f t="shared" si="156"/>
        <v>Faltan 0,0 puntos base para subir a la siguiente categoría</v>
      </c>
      <c r="AL427" t="str">
        <f t="shared" si="157"/>
        <v>Margen de seguridad: 9,6 puntos</v>
      </c>
      <c r="AM427">
        <f t="shared" si="158"/>
        <v>0.03</v>
      </c>
      <c r="AN427" t="str">
        <f t="shared" si="159"/>
        <v>PRIORIDAD BAJA – control normal</v>
      </c>
      <c r="AO427">
        <f t="shared" si="160"/>
        <v>11.098962554230427</v>
      </c>
      <c r="AP427">
        <f t="shared" si="161"/>
        <v>0.19248625203323899</v>
      </c>
      <c r="AQ427">
        <f t="shared" si="162"/>
        <v>0</v>
      </c>
      <c r="AR427">
        <f t="shared" si="163"/>
        <v>2.5299999999999998</v>
      </c>
      <c r="AS427">
        <f t="shared" si="164"/>
        <v>0</v>
      </c>
      <c r="AT427" t="str">
        <f t="shared" si="165"/>
        <v>VENTAS</v>
      </c>
      <c r="AU427">
        <f t="shared" si="166"/>
        <v>11.098962554230427</v>
      </c>
      <c r="AV427" t="str">
        <f t="shared" si="167"/>
        <v>Mayor retorno probable: VENTAS (+11,1 puntos finales potenciales).</v>
      </c>
    </row>
    <row r="428" spans="1:48" x14ac:dyDescent="0.3">
      <c r="A428" s="5">
        <v>51056124</v>
      </c>
      <c r="B428" s="5" t="str">
        <f>IFERROR(VLOOKUP(A428,VENTAS!$A$2:$B$1194,2,0),"")</f>
        <v>PRADES</v>
      </c>
      <c r="C428" s="5">
        <f>IFERROR(INDEX(VENTAS!$C$2:$E$1194,MATCH(A428,VENTAS!$A$2:$A$1194,0),MATCH(PARAMS_MODELO!$B$2,{"Q1","Q2","Q3"},0)),0)</f>
        <v>76926954.909999996</v>
      </c>
      <c r="D428" s="5">
        <f>IFERROR(INDEX(VENTAS!$F$2:$H$1194,MATCH(A428,VENTAS!$A$2:$A$1194,0),MATCH(PARAMS_MODELO!$B$2,{"Q1","Q2","Q3"},0)),0)</f>
        <v>85876260</v>
      </c>
      <c r="E428" s="8">
        <f t="shared" si="144"/>
        <v>0.11633510127198154</v>
      </c>
      <c r="F428" s="12">
        <f>IF(E428&lt;=PARAMS_MODELO!$B$15,0,IF(E428&gt;=PARAMS_MODELO!$B$17,100,100*MIN(1,(E428-PARAMS_MODELO!$B$15)/(PARAMS_MODELO!$B$16-PARAMS_MODELO!$B$15))))*PARAMS_MODELO!$B$7</f>
        <v>35</v>
      </c>
      <c r="G428" s="5">
        <f t="shared" si="145"/>
        <v>8949305.0900000036</v>
      </c>
      <c r="H428" s="5">
        <f>(PARAMS_MODELO!$B$20*(MAX(0,MIN(3,E428))/3)+PARAMS_MODELO!$B$21*(IFERROR(LN(1+MAX(0,G428))/LN(1+MAX(0,MAX($G$2:$G$1194))),0)))*100*PARAMS_MODELO!$B$8</f>
        <v>4.1594574130705704</v>
      </c>
      <c r="I428" s="8">
        <f>E428-PARAMS_MODELO!$B$5</f>
        <v>-6.1227734103544984E-2</v>
      </c>
      <c r="J428" s="5">
        <f>IF(I428&lt;=PARAMS_MODELO!$B$18,0,IF(I428&gt;=PARAMS_MODELO!$B$19,100,100*(I428-PARAMS_MODELO!$B$18)/(PARAMS_MODELO!$B$19-PARAMS_MODELO!$B$18)))*PARAMS_MODELO!$B$9</f>
        <v>0</v>
      </c>
      <c r="K428" s="5">
        <f>IFERROR(CHOOSE(MATCH(PARAMS_MODELO!$B$2,{"Q1","Q2","Q3"},0),LOTO!$D428,LOTO!$F428,LOTO!$H428),0)</f>
        <v>4245000</v>
      </c>
      <c r="L428" s="8">
        <f t="shared" si="146"/>
        <v>4.9431589126028547E-2</v>
      </c>
      <c r="M428" s="5">
        <f>MIN(100,IF(PARAMS_MODELO!$B$23=0,0,100*L428/PARAMS_MODELO!$B$23))*PARAMS_MODELO!$B$10</f>
        <v>14.829476737808564</v>
      </c>
      <c r="N428" s="5">
        <f>IFERROR(VLOOKUP(A428,COMPLIANCE!$A$2:$F$1996,6,0),100)</f>
        <v>100</v>
      </c>
      <c r="O428" s="5">
        <f>N428*PARAMS_MODELO!$B$11</f>
        <v>10</v>
      </c>
      <c r="P428" s="5">
        <f>IFERROR(VLOOKUP(A428,DIGITAL!$A$2:$J$2000,7,0),100)</f>
        <v>71</v>
      </c>
      <c r="Q428" s="5">
        <f>IFERROR(P428,0)*PARAMS_MODELO!$B$12</f>
        <v>7.1000000000000005</v>
      </c>
      <c r="R428">
        <f t="shared" si="147"/>
        <v>71.088934150879126</v>
      </c>
      <c r="S428" s="5" t="str">
        <f>IFERROR(VLOOKUP(A428,CLIENTE!$A$2:$N$2000,13,0),1)</f>
        <v>Excelente</v>
      </c>
      <c r="T428" s="5">
        <f>IFERROR(VLOOKUP(A428,CLIENTE!$A$2:$N$2000,14,0),1)</f>
        <v>1.2</v>
      </c>
      <c r="U428" s="5">
        <f t="shared" si="148"/>
        <v>85.306720981054951</v>
      </c>
      <c r="V428" s="5" t="str">
        <f>IF(U428&gt;=MAX(_xlfn.PERCENTILE.INC($U$2:$U$1194,PARAMS_MODELO!$B$50),PARAMS_MODELO!$B$45),"DIAMANTE",IF(U428&gt;=MAX(_xlfn.PERCENTILE.INC($U$2:$U$1194,PARAMS_MODELO!$B$51),PARAMS_MODELO!$B$46),"PLATINO",IF(U428&gt;=MAX(_xlfn.PERCENTILE.INC($U$2:$U$1194,PARAMS_MODELO!$B$52),PARAMS_MODELO!$B$47),"ORO",IF(U428&gt;=MAX(_xlfn.PERCENTILE.INC($U$2:$U$1194,PARAMS_MODELO!$B$53),PARAMS_MODELO!$B$48),"PLATA",IF(U428&gt;=1,"BRONCE","CERRADO")))))</f>
        <v>ORO</v>
      </c>
      <c r="W428" s="5" t="str" cm="1">
        <f t="array" ref="W428">_xlfn.XLOOKUP(1, (HIST_SCORE!$B:$B=PARAMS_MODELO!$B$4) * (HIST_SCORE!$C:$C=A428), HIST_SCORE!$E:$E, "No encontrado")</f>
        <v>DIAMANTE</v>
      </c>
      <c r="X428" s="5" t="str">
        <f>_xlfn.LET(_xlpm.act,MATCH(V428,{"DIAMANTE";"PLATINO";"ORO";"PLATA";"BRONCE";"CERRADO"},0),_xlpm.ant,MATCH(W428,{"DIAMANTE";"PLATINO";"ORO";"PLATA";"BRONCE";"CERRADO"},0),IF(_xlpm.act&lt;_xlpm.ant,"Mejora ↑",IF(_xlpm.act&gt;_xlpm.ant,"Baja ↓","Estable →")))</f>
        <v>Baja ↓</v>
      </c>
      <c r="Y428" s="5">
        <f>IFERROR(U428-SUMIFS(HIST_SCORE!$D:$D,HIST_SCORE!$B:$B,PARAMS_MODELO!$B$4,HIST_SCORE!$C:$C,$A428),"")</f>
        <v>-14.693279018945049</v>
      </c>
      <c r="Z428" s="5" t="str">
        <f t="shared" si="149"/>
        <v>↓ Baja</v>
      </c>
      <c r="AA428" s="5">
        <f t="shared" si="150"/>
        <v>275</v>
      </c>
      <c r="AB428" s="5">
        <f>IFERROR(SUMIFS(HIST_SCORE!$F:$F,HIST_SCORE!$B:$B,PARAMS_MODELO!$B$4,HIST_SCORE!$C:$C,$A428),"")</f>
        <v>1</v>
      </c>
      <c r="AC428" s="5">
        <f t="shared" si="151"/>
        <v>-274</v>
      </c>
      <c r="AD428" t="str">
        <f t="shared" si="153"/>
        <v>Sostener base y reforzar mix</v>
      </c>
      <c r="AE4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428="CERRADO",1,IF(V428="BRONCE",_xlpm.cPl,IF(V428="PLATA",_xlpm.cO,IF(V428="ORO",_xlpm.cP,IF(V428="PLATINO",_xlpm.cD,999))))))</f>
        <v>86.439123873763251</v>
      </c>
      <c r="AF4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428="CERRADO",0,IF(V428="BRONCE",1,IF(V428="PLATA",_xlpm.cPl,IF(V428="ORO",_xlpm.cO,IF(V428="PLATINO",_xlpm.cP,_xlpm.cD))))))</f>
        <v>63.199193273331495</v>
      </c>
      <c r="AG428">
        <f t="shared" si="154"/>
        <v>0.94366907725691362</v>
      </c>
      <c r="AH428" t="str">
        <f t="shared" si="155"/>
        <v>VENTAS</v>
      </c>
      <c r="AI428" t="str">
        <f t="shared" si="152"/>
        <v>🎯 Para subir de categoría, eje VENTAS / DIFERENCIAL vs LOTBA (J). Acción: metas semanales + activación comercial + seguimiento del asesor. ΔR aprox: 0,9</v>
      </c>
      <c r="AJ428" s="26">
        <f>_xlfn.LET(_xlpm.piso,AF428,_xlpm.corte,AE428,_xlpm.prog,IF(_xlpm.corte&lt;=_xlpm.piso,0,MAX(0,MIN(1,(U428-_xlpm.piso)/(_xlpm.corte-_xlpm.piso)))),_xlpm.orden,{"DIAMANTE";"PLATINO";"ORO";"PLATA";"BRONCE";"CERRADO"},_xlpm.act,IFERROR(MATCH(V428,_xlpm.orden,0),6),_xlpm.ant,IFERROR(MATCH(W428,_xlpm.orden,0),6),_xlpm.ajmov,IF(_xlpm.act&lt;_xlpm.ant,0.08,IF(_xlpm.act&gt;_xlpm.ant,-0.08,0)),_xlpm.ajcli,IF(T428&lt;0.95,-0.06,0),_xlpm.prob,MAX(0,MIN(1,_xlpm.prog+_xlpm.ajmov+_xlpm.ajcli)),IF(OR(V428="DIAMANTE",V428="CERRADO"),0,ROUND(_xlpm.prob,2)))</f>
        <v>0.87</v>
      </c>
      <c r="AK428" t="str">
        <f t="shared" si="156"/>
        <v>Faltan 0,9 puntos base para subir a la siguiente categoría</v>
      </c>
      <c r="AL428" t="str">
        <f t="shared" si="157"/>
        <v>Margen de seguridad: 22,1 puntos</v>
      </c>
      <c r="AM428">
        <f t="shared" si="158"/>
        <v>0.09</v>
      </c>
      <c r="AN428" t="str">
        <f t="shared" si="159"/>
        <v>PRIORIDAD BAJA – control normal</v>
      </c>
      <c r="AO428">
        <f t="shared" si="160"/>
        <v>30.843734234670016</v>
      </c>
      <c r="AP428">
        <f t="shared" si="161"/>
        <v>0.20462791462972305</v>
      </c>
      <c r="AQ428">
        <f t="shared" si="162"/>
        <v>0</v>
      </c>
      <c r="AR428">
        <f t="shared" si="163"/>
        <v>3.4799999999999991</v>
      </c>
      <c r="AS428">
        <f t="shared" si="164"/>
        <v>0</v>
      </c>
      <c r="AT428" t="str">
        <f t="shared" si="165"/>
        <v>VENTAS</v>
      </c>
      <c r="AU428">
        <f t="shared" si="166"/>
        <v>30.843734234670016</v>
      </c>
      <c r="AV428" t="str">
        <f t="shared" si="167"/>
        <v>Mayor retorno probable: VENTAS (+30,8 puntos finales potenciales).</v>
      </c>
    </row>
    <row r="429" spans="1:48" x14ac:dyDescent="0.3">
      <c r="A429" s="5">
        <v>51043758</v>
      </c>
      <c r="B429" s="5" t="str">
        <f>IFERROR(VLOOKUP(A429,VENTAS!$A$2:$B$1194,2,0),"")</f>
        <v>AYALA</v>
      </c>
      <c r="C429" s="5">
        <f>IFERROR(INDEX(VENTAS!$C$2:$E$1194,MATCH(A429,VENTAS!$A$2:$A$1194,0),MATCH(PARAMS_MODELO!$B$2,{"Q1","Q2","Q3"},0)),0)</f>
        <v>38983081.920000002</v>
      </c>
      <c r="D429" s="5">
        <f>IFERROR(INDEX(VENTAS!$F$2:$H$1194,MATCH(A429,VENTAS!$A$2:$A$1194,0),MATCH(PARAMS_MODELO!$B$2,{"Q1","Q2","Q3"},0)),0)</f>
        <v>85822191</v>
      </c>
      <c r="E429" s="8">
        <f t="shared" si="144"/>
        <v>1.201524014343502</v>
      </c>
      <c r="F429" s="12">
        <f>IF(E429&lt;=PARAMS_MODELO!$B$15,0,IF(E429&gt;=PARAMS_MODELO!$B$17,100,100*MIN(1,(E429-PARAMS_MODELO!$B$15)/(PARAMS_MODELO!$B$16-PARAMS_MODELO!$B$15))))*PARAMS_MODELO!$B$7</f>
        <v>35</v>
      </c>
      <c r="G429" s="5">
        <f t="shared" si="145"/>
        <v>46839109.079999998</v>
      </c>
      <c r="H429" s="5">
        <f>(PARAMS_MODELO!$B$20*(MAX(0,MIN(3,E429))/3)+PARAMS_MODELO!$B$21*(IFERROR(LN(1+MAX(0,G429))/LN(1+MAX(0,MAX($G$2:$G$1194))),0)))*100*PARAMS_MODELO!$B$8</f>
        <v>8.3456071275956809</v>
      </c>
      <c r="I429" s="8">
        <f>E429-PARAMS_MODELO!$B$5</f>
        <v>1.0239611789679754</v>
      </c>
      <c r="J429" s="5">
        <f>IF(I429&lt;=PARAMS_MODELO!$B$18,0,IF(I429&gt;=PARAMS_MODELO!$B$19,100,100*(I429-PARAMS_MODELO!$B$18)/(PARAMS_MODELO!$B$19-PARAMS_MODELO!$B$18)))*PARAMS_MODELO!$B$9</f>
        <v>15</v>
      </c>
      <c r="K429" s="5">
        <f>IFERROR(CHOOSE(MATCH(PARAMS_MODELO!$B$2,{"Q1","Q2","Q3"},0),LOTO!$D429,LOTO!$F429,LOTO!$H429),0)</f>
        <v>4237500</v>
      </c>
      <c r="L429" s="8">
        <f t="shared" si="146"/>
        <v>4.9375341629299581E-2</v>
      </c>
      <c r="M429" s="5">
        <f>MIN(100,IF(PARAMS_MODELO!$B$23=0,0,100*L429/PARAMS_MODELO!$B$23))*PARAMS_MODELO!$B$10</f>
        <v>14.812602488789873</v>
      </c>
      <c r="N429" s="5">
        <f>IFERROR(VLOOKUP(A429,COMPLIANCE!$A$2:$F$1996,6,0),100)</f>
        <v>100</v>
      </c>
      <c r="O429" s="5">
        <f>N429*PARAMS_MODELO!$B$11</f>
        <v>10</v>
      </c>
      <c r="P429" s="5">
        <f>IFERROR(VLOOKUP(A429,DIGITAL!$A$2:$J$2000,7,0),100)</f>
        <v>9</v>
      </c>
      <c r="Q429" s="5">
        <f>IFERROR(P429,0)*PARAMS_MODELO!$B$12</f>
        <v>0.9</v>
      </c>
      <c r="R429">
        <f t="shared" si="147"/>
        <v>84.058209616385568</v>
      </c>
      <c r="S429" s="5" t="str">
        <f>IFERROR(VLOOKUP(A429,CLIENTE!$A$2:$N$2000,13,0),1)</f>
        <v>Regular</v>
      </c>
      <c r="T429" s="5">
        <f>IFERROR(VLOOKUP(A429,CLIENTE!$A$2:$N$2000,14,0),1)</f>
        <v>1</v>
      </c>
      <c r="U429" s="5">
        <f t="shared" si="148"/>
        <v>84.058209616385568</v>
      </c>
      <c r="V429" s="5" t="str">
        <f>IF(U429&gt;=MAX(_xlfn.PERCENTILE.INC($U$2:$U$1194,PARAMS_MODELO!$B$50),PARAMS_MODELO!$B$45),"DIAMANTE",IF(U429&gt;=MAX(_xlfn.PERCENTILE.INC($U$2:$U$1194,PARAMS_MODELO!$B$51),PARAMS_MODELO!$B$46),"PLATINO",IF(U429&gt;=MAX(_xlfn.PERCENTILE.INC($U$2:$U$1194,PARAMS_MODELO!$B$52),PARAMS_MODELO!$B$47),"ORO",IF(U429&gt;=MAX(_xlfn.PERCENTILE.INC($U$2:$U$1194,PARAMS_MODELO!$B$53),PARAMS_MODELO!$B$48),"PLATA",IF(U429&gt;=1,"BRONCE","CERRADO")))))</f>
        <v>ORO</v>
      </c>
      <c r="W429" s="5" t="str" cm="1">
        <f t="array" ref="W429">_xlfn.XLOOKUP(1, (HIST_SCORE!$B:$B=PARAMS_MODELO!$B$4) * (HIST_SCORE!$C:$C=A429), HIST_SCORE!$E:$E, "No encontrado")</f>
        <v>ORO</v>
      </c>
      <c r="X429" s="5" t="str">
        <f>_xlfn.LET(_xlpm.act,MATCH(V429,{"DIAMANTE";"PLATINO";"ORO";"PLATA";"BRONCE";"CERRADO"},0),_xlpm.ant,MATCH(W429,{"DIAMANTE";"PLATINO";"ORO";"PLATA";"BRONCE";"CERRADO"},0),IF(_xlpm.act&lt;_xlpm.ant,"Mejora ↑",IF(_xlpm.act&gt;_xlpm.ant,"Baja ↓","Estable →")))</f>
        <v>Estable →</v>
      </c>
      <c r="Y429" s="5">
        <f>IFERROR(U429-SUMIFS(HIST_SCORE!$D:$D,HIST_SCORE!$B:$B,PARAMS_MODELO!$B$4,HIST_SCORE!$C:$C,$A429),"")</f>
        <v>0.12461892321135792</v>
      </c>
      <c r="Z429" s="5" t="str">
        <f t="shared" si="149"/>
        <v>→ Estable</v>
      </c>
      <c r="AA429" s="5">
        <f t="shared" si="150"/>
        <v>319</v>
      </c>
      <c r="AB429" s="5">
        <f>IFERROR(SUMIFS(HIST_SCORE!$F:$F,HIST_SCORE!$B:$B,PARAMS_MODELO!$B$4,HIST_SCORE!$C:$C,$A429),"")</f>
        <v>293</v>
      </c>
      <c r="AC429" s="5">
        <f t="shared" si="151"/>
        <v>-26</v>
      </c>
      <c r="AD429" t="str">
        <f t="shared" si="153"/>
        <v/>
      </c>
      <c r="AE4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429="CERRADO",1,IF(V429="BRONCE",_xlpm.cPl,IF(V429="PLATA",_xlpm.cO,IF(V429="ORO",_xlpm.cP,IF(V429="PLATINO",_xlpm.cD,999))))))</f>
        <v>86.439123873763251</v>
      </c>
      <c r="AF4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429="CERRADO",0,IF(V429="BRONCE",1,IF(V429="PLATA",_xlpm.cPl,IF(V429="ORO",_xlpm.cO,IF(V429="PLATINO",_xlpm.cP,_xlpm.cD))))))</f>
        <v>63.199193273331495</v>
      </c>
      <c r="AG429">
        <f t="shared" si="154"/>
        <v>2.3809142573776825</v>
      </c>
      <c r="AH429" t="str">
        <f t="shared" si="155"/>
        <v>VENTAS</v>
      </c>
      <c r="AI429" t="str">
        <f t="shared" si="152"/>
        <v>🎯 Para subir de categoría, eje VENTAS / IMPACTO ABSOLUTO (H). Acción: metas semanales + activación comercial + seguimiento del asesor. ΔR aprox: 2,4</v>
      </c>
      <c r="AJ429" s="26">
        <f>_xlfn.LET(_xlpm.piso,AF429,_xlpm.corte,AE429,_xlpm.prog,IF(_xlpm.corte&lt;=_xlpm.piso,0,MAX(0,MIN(1,(U429-_xlpm.piso)/(_xlpm.corte-_xlpm.piso)))),_xlpm.orden,{"DIAMANTE";"PLATINO";"ORO";"PLATA";"BRONCE";"CERRADO"},_xlpm.act,IFERROR(MATCH(V429,_xlpm.orden,0),6),_xlpm.ant,IFERROR(MATCH(W429,_xlpm.orden,0),6),_xlpm.ajmov,IF(_xlpm.act&lt;_xlpm.ant,0.08,IF(_xlpm.act&gt;_xlpm.ant,-0.08,0)),_xlpm.ajcli,IF(T429&lt;0.95,-0.06,0),_xlpm.prob,MAX(0,MIN(1,_xlpm.prog+_xlpm.ajmov+_xlpm.ajcli)),IF(OR(V429="DIAMANTE",V429="CERRADO"),0,ROUND(_xlpm.prob,2)))</f>
        <v>0.9</v>
      </c>
      <c r="AK429" t="str">
        <f t="shared" si="156"/>
        <v>Faltan 2,4 puntos base para subir a la siguiente categoría</v>
      </c>
      <c r="AL429" t="str">
        <f t="shared" si="157"/>
        <v>Margen de seguridad: 20,9 puntos</v>
      </c>
      <c r="AM429">
        <f t="shared" si="158"/>
        <v>0.14000000000000001</v>
      </c>
      <c r="AN429" t="str">
        <f t="shared" si="159"/>
        <v>PRIORIDAD BAJA – control normal</v>
      </c>
      <c r="AO429">
        <f t="shared" si="160"/>
        <v>6.5169621476998998</v>
      </c>
      <c r="AP429">
        <f t="shared" si="161"/>
        <v>0.18739751121012738</v>
      </c>
      <c r="AQ429">
        <f t="shared" si="162"/>
        <v>0</v>
      </c>
      <c r="AR429">
        <f t="shared" si="163"/>
        <v>9.1</v>
      </c>
      <c r="AS429">
        <f t="shared" si="164"/>
        <v>0</v>
      </c>
      <c r="AT429" t="str">
        <f t="shared" si="165"/>
        <v>DIGITAL</v>
      </c>
      <c r="AU429">
        <f t="shared" si="166"/>
        <v>9.1</v>
      </c>
      <c r="AV429" t="str">
        <f t="shared" si="167"/>
        <v>Mayor retorno probable: DIGITAL (+9,1 puntos finales potenciales).</v>
      </c>
    </row>
    <row r="430" spans="1:48" x14ac:dyDescent="0.3">
      <c r="A430" s="5">
        <v>51055039</v>
      </c>
      <c r="B430" s="5" t="str">
        <f>IFERROR(VLOOKUP(A430,VENTAS!$A$2:$B$1194,2,0),"")</f>
        <v>PUGH</v>
      </c>
      <c r="C430" s="5">
        <f>IFERROR(INDEX(VENTAS!$C$2:$E$1194,MATCH(A430,VENTAS!$A$2:$A$1194,0),MATCH(PARAMS_MODELO!$B$2,{"Q1","Q2","Q3"},0)),0)</f>
        <v>95122664.849999994</v>
      </c>
      <c r="D430" s="5">
        <f>IFERROR(INDEX(VENTAS!$F$2:$H$1194,MATCH(A430,VENTAS!$A$2:$A$1194,0),MATCH(PARAMS_MODELO!$B$2,{"Q1","Q2","Q3"},0)),0)</f>
        <v>85816895</v>
      </c>
      <c r="E430" s="8">
        <f t="shared" si="144"/>
        <v>-9.7829154226013015E-2</v>
      </c>
      <c r="F430" s="12">
        <f>IF(E430&lt;=PARAMS_MODELO!$B$15,0,IF(E430&gt;=PARAMS_MODELO!$B$17,100,100*MIN(1,(E430-PARAMS_MODELO!$B$15)/(PARAMS_MODELO!$B$16-PARAMS_MODELO!$B$15))))*PARAMS_MODELO!$B$7</f>
        <v>0</v>
      </c>
      <c r="G430" s="5">
        <f t="shared" si="145"/>
        <v>0</v>
      </c>
      <c r="H430" s="5">
        <f>(PARAMS_MODELO!$B$20*(MAX(0,MIN(3,E430))/3)+PARAMS_MODELO!$B$21*(IFERROR(LN(1+MAX(0,G430))/LN(1+MAX(0,MAX($G$2:$G$1194))),0)))*100*PARAMS_MODELO!$B$8</f>
        <v>0</v>
      </c>
      <c r="I430" s="8">
        <f>E430-PARAMS_MODELO!$B$5</f>
        <v>-0.27539198960153954</v>
      </c>
      <c r="J430" s="5">
        <f>IF(I430&lt;=PARAMS_MODELO!$B$18,0,IF(I430&gt;=PARAMS_MODELO!$B$19,100,100*(I430-PARAMS_MODELO!$B$18)/(PARAMS_MODELO!$B$19-PARAMS_MODELO!$B$18)))*PARAMS_MODELO!$B$9</f>
        <v>0</v>
      </c>
      <c r="K430" s="5">
        <f>IFERROR(CHOOSE(MATCH(PARAMS_MODELO!$B$2,{"Q1","Q2","Q3"},0),LOTO!$D430,LOTO!$F430,LOTO!$H430),0)</f>
        <v>4232500</v>
      </c>
      <c r="L430" s="8">
        <f t="shared" si="146"/>
        <v>4.9320125133867868E-2</v>
      </c>
      <c r="M430" s="5">
        <f>MIN(100,IF(PARAMS_MODELO!$B$23=0,0,100*L430/PARAMS_MODELO!$B$23))*PARAMS_MODELO!$B$10</f>
        <v>14.796037540160357</v>
      </c>
      <c r="N430" s="5">
        <f>IFERROR(VLOOKUP(A430,COMPLIANCE!$A$2:$F$1996,6,0),100)</f>
        <v>99.75</v>
      </c>
      <c r="O430" s="5">
        <f>N430*PARAMS_MODELO!$B$11</f>
        <v>9.9750000000000014</v>
      </c>
      <c r="P430" s="5">
        <f>IFERROR(VLOOKUP(A430,DIGITAL!$A$2:$J$2000,7,0),100)</f>
        <v>75</v>
      </c>
      <c r="Q430" s="5">
        <f>IFERROR(P430,0)*PARAMS_MODELO!$B$12</f>
        <v>7.5</v>
      </c>
      <c r="R430">
        <f t="shared" si="147"/>
        <v>32.271037540160357</v>
      </c>
      <c r="S430" s="5" t="str">
        <f>IFERROR(VLOOKUP(A430,CLIENTE!$A$2:$N$2000,13,0),1)</f>
        <v>Muy Bueno</v>
      </c>
      <c r="T430" s="5">
        <f>IFERROR(VLOOKUP(A430,CLIENTE!$A$2:$N$2000,14,0),1)</f>
        <v>1.1499999999999999</v>
      </c>
      <c r="U430" s="5">
        <f t="shared" si="148"/>
        <v>37.111693171184406</v>
      </c>
      <c r="V430" s="5" t="str">
        <f>IF(U430&gt;=MAX(_xlfn.PERCENTILE.INC($U$2:$U$1194,PARAMS_MODELO!$B$50),PARAMS_MODELO!$B$45),"DIAMANTE",IF(U430&gt;=MAX(_xlfn.PERCENTILE.INC($U$2:$U$1194,PARAMS_MODELO!$B$51),PARAMS_MODELO!$B$46),"PLATINO",IF(U430&gt;=MAX(_xlfn.PERCENTILE.INC($U$2:$U$1194,PARAMS_MODELO!$B$52),PARAMS_MODELO!$B$47),"ORO",IF(U430&gt;=MAX(_xlfn.PERCENTILE.INC($U$2:$U$1194,PARAMS_MODELO!$B$53),PARAMS_MODELO!$B$48),"PLATA",IF(U430&gt;=1,"BRONCE","CERRADO")))))</f>
        <v>PLATA</v>
      </c>
      <c r="W430" s="5" t="str" cm="1">
        <f t="array" ref="W430">_xlfn.XLOOKUP(1, (HIST_SCORE!$B:$B=PARAMS_MODELO!$B$4) * (HIST_SCORE!$C:$C=A430), HIST_SCORE!$E:$E, "No encontrado")</f>
        <v>PLATA</v>
      </c>
      <c r="X430" s="5" t="str">
        <f>_xlfn.LET(_xlpm.act,MATCH(V430,{"DIAMANTE";"PLATINO";"ORO";"PLATA";"BRONCE";"CERRADO"},0),_xlpm.ant,MATCH(W430,{"DIAMANTE";"PLATINO";"ORO";"PLATA";"BRONCE";"CERRADO"},0),IF(_xlpm.act&lt;_xlpm.ant,"Mejora ↑",IF(_xlpm.act&gt;_xlpm.ant,"Baja ↓","Estable →")))</f>
        <v>Estable →</v>
      </c>
      <c r="Y430" s="5">
        <f>IFERROR(U430-SUMIFS(HIST_SCORE!$D:$D,HIST_SCORE!$B:$B,PARAMS_MODELO!$B$4,HIST_SCORE!$C:$C,$A430),"")</f>
        <v>0.13384755526304559</v>
      </c>
      <c r="Z430" s="5" t="str">
        <f t="shared" si="149"/>
        <v>→ Estable</v>
      </c>
      <c r="AA430" s="5">
        <f t="shared" si="150"/>
        <v>799</v>
      </c>
      <c r="AB430" s="5">
        <f>IFERROR(SUMIFS(HIST_SCORE!$F:$F,HIST_SCORE!$B:$B,PARAMS_MODELO!$B$4,HIST_SCORE!$C:$C,$A430),"")</f>
        <v>858</v>
      </c>
      <c r="AC430" s="5">
        <f t="shared" si="151"/>
        <v>59</v>
      </c>
      <c r="AD430" t="str">
        <f t="shared" si="153"/>
        <v/>
      </c>
      <c r="AE4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430="CERRADO",1,IF(V430="BRONCE",_xlpm.cPl,IF(V430="PLATA",_xlpm.cO,IF(V430="ORO",_xlpm.cP,IF(V430="PLATINO",_xlpm.cD,999))))))</f>
        <v>63.199193273331495</v>
      </c>
      <c r="AF4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430="CERRADO",0,IF(V430="BRONCE",1,IF(V430="PLATA",_xlpm.cPl,IF(V430="ORO",_xlpm.cO,IF(V430="PLATINO",_xlpm.cP,_xlpm.cD))))))</f>
        <v>24.506573482968111</v>
      </c>
      <c r="AG430">
        <f t="shared" si="154"/>
        <v>22.684782697519211</v>
      </c>
      <c r="AH430" t="str">
        <f t="shared" si="155"/>
        <v>VENTAS</v>
      </c>
      <c r="AI430" t="str">
        <f t="shared" si="152"/>
        <v>🎯 Para subir de categoría, eje VENTAS / CRECIMIENTO PERSONAL (F). Acción: metas semanales + activación comercial + seguimiento del asesor. ΔR aprox: 22,7</v>
      </c>
      <c r="AJ430" s="26">
        <f>_xlfn.LET(_xlpm.piso,AF430,_xlpm.corte,AE430,_xlpm.prog,IF(_xlpm.corte&lt;=_xlpm.piso,0,MAX(0,MIN(1,(U430-_xlpm.piso)/(_xlpm.corte-_xlpm.piso)))),_xlpm.orden,{"DIAMANTE";"PLATINO";"ORO";"PLATA";"BRONCE";"CERRADO"},_xlpm.act,IFERROR(MATCH(V430,_xlpm.orden,0),6),_xlpm.ant,IFERROR(MATCH(W430,_xlpm.orden,0),6),_xlpm.ajmov,IF(_xlpm.act&lt;_xlpm.ant,0.08,IF(_xlpm.act&gt;_xlpm.ant,-0.08,0)),_xlpm.ajcli,IF(T430&lt;0.95,-0.06,0),_xlpm.prob,MAX(0,MIN(1,_xlpm.prog+_xlpm.ajmov+_xlpm.ajcli)),IF(OR(V430="DIAMANTE",V430="CERRADO"),0,ROUND(_xlpm.prob,2)))</f>
        <v>0.33</v>
      </c>
      <c r="AK430" t="str">
        <f t="shared" si="156"/>
        <v>Faltan 22,7 puntos base para subir a la siguiente categoría</v>
      </c>
      <c r="AL430" t="str">
        <f t="shared" si="157"/>
        <v>Margen de seguridad: 12,6 puntos</v>
      </c>
      <c r="AM430">
        <f t="shared" si="158"/>
        <v>0.67</v>
      </c>
      <c r="AN430" t="str">
        <f t="shared" si="159"/>
        <v>PRIORIDAD MEDIA – seguimiento del asesor</v>
      </c>
      <c r="AO430">
        <f t="shared" si="160"/>
        <v>74.591954666589913</v>
      </c>
      <c r="AP430">
        <f t="shared" si="161"/>
        <v>0.23455682881558892</v>
      </c>
      <c r="AQ430">
        <f t="shared" si="162"/>
        <v>2.8749999999998364E-2</v>
      </c>
      <c r="AR430">
        <f t="shared" si="163"/>
        <v>2.875</v>
      </c>
      <c r="AS430">
        <f t="shared" si="164"/>
        <v>0</v>
      </c>
      <c r="AT430" t="str">
        <f t="shared" si="165"/>
        <v>VENTAS</v>
      </c>
      <c r="AU430">
        <f t="shared" si="166"/>
        <v>74.591954666589913</v>
      </c>
      <c r="AV430" t="str">
        <f t="shared" si="167"/>
        <v>Mayor retorno probable: VENTAS (+74,6 puntos finales potenciales).</v>
      </c>
    </row>
    <row r="431" spans="1:48" x14ac:dyDescent="0.3">
      <c r="A431" s="5">
        <v>51056582</v>
      </c>
      <c r="B431" s="5" t="str">
        <f>IFERROR(VLOOKUP(A431,VENTAS!$A$2:$B$1194,2,0),"")</f>
        <v>PUGH</v>
      </c>
      <c r="C431" s="5">
        <f>IFERROR(INDEX(VENTAS!$C$2:$E$1194,MATCH(A431,VENTAS!$A$2:$A$1194,0),MATCH(PARAMS_MODELO!$B$2,{"Q1","Q2","Q3"},0)),0)</f>
        <v>56113328.819999993</v>
      </c>
      <c r="D431" s="5">
        <f>IFERROR(INDEX(VENTAS!$F$2:$H$1194,MATCH(A431,VENTAS!$A$2:$A$1194,0),MATCH(PARAMS_MODELO!$B$2,{"Q1","Q2","Q3"},0)),0)</f>
        <v>85650642</v>
      </c>
      <c r="E431" s="8">
        <f t="shared" si="144"/>
        <v>0.52638675696374437</v>
      </c>
      <c r="F431" s="12">
        <f>IF(E431&lt;=PARAMS_MODELO!$B$15,0,IF(E431&gt;=PARAMS_MODELO!$B$17,100,100*MIN(1,(E431-PARAMS_MODELO!$B$15)/(PARAMS_MODELO!$B$16-PARAMS_MODELO!$B$15))))*PARAMS_MODELO!$B$7</f>
        <v>35</v>
      </c>
      <c r="G431" s="5">
        <f t="shared" si="145"/>
        <v>29537313.180000007</v>
      </c>
      <c r="H431" s="5">
        <f>(PARAMS_MODELO!$B$20*(MAX(0,MIN(3,E431))/3)+PARAMS_MODELO!$B$21*(IFERROR(LN(1+MAX(0,G431))/LN(1+MAX(0,MAX($G$2:$G$1194))),0)))*100*PARAMS_MODELO!$B$8</f>
        <v>5.8745468443478499</v>
      </c>
      <c r="I431" s="8">
        <f>E431-PARAMS_MODELO!$B$5</f>
        <v>0.34882392158821784</v>
      </c>
      <c r="J431" s="5">
        <f>IF(I431&lt;=PARAMS_MODELO!$B$18,0,IF(I431&gt;=PARAMS_MODELO!$B$19,100,100*(I431-PARAMS_MODELO!$B$18)/(PARAMS_MODELO!$B$19-PARAMS_MODELO!$B$18)))*PARAMS_MODELO!$B$9</f>
        <v>15</v>
      </c>
      <c r="K431" s="5">
        <f>IFERROR(CHOOSE(MATCH(PARAMS_MODELO!$B$2,{"Q1","Q2","Q3"},0),LOTO!$D431,LOTO!$F431,LOTO!$H431),0)</f>
        <v>4230000</v>
      </c>
      <c r="L431" s="8">
        <f t="shared" si="146"/>
        <v>4.9386670096413288E-2</v>
      </c>
      <c r="M431" s="5">
        <f>MIN(100,IF(PARAMS_MODELO!$B$23=0,0,100*L431/PARAMS_MODELO!$B$23))*PARAMS_MODELO!$B$10</f>
        <v>14.816001028923985</v>
      </c>
      <c r="N431" s="5">
        <f>IFERROR(VLOOKUP(A431,COMPLIANCE!$A$2:$F$1996,6,0),100)</f>
        <v>100</v>
      </c>
      <c r="O431" s="5">
        <f>N431*PARAMS_MODELO!$B$11</f>
        <v>10</v>
      </c>
      <c r="P431" s="5">
        <f>IFERROR(VLOOKUP(A431,DIGITAL!$A$2:$J$2000,7,0),100)</f>
        <v>18</v>
      </c>
      <c r="Q431" s="5">
        <f>IFERROR(P431,0)*PARAMS_MODELO!$B$12</f>
        <v>1.8</v>
      </c>
      <c r="R431">
        <f t="shared" si="147"/>
        <v>82.490547873271836</v>
      </c>
      <c r="S431" s="5" t="str">
        <f>IFERROR(VLOOKUP(A431,CLIENTE!$A$2:$N$2000,13,0),1)</f>
        <v>Regular</v>
      </c>
      <c r="T431" s="5">
        <f>IFERROR(VLOOKUP(A431,CLIENTE!$A$2:$N$2000,14,0),1)</f>
        <v>1</v>
      </c>
      <c r="U431" s="5">
        <f t="shared" si="148"/>
        <v>82.490547873271836</v>
      </c>
      <c r="V431" s="5" t="str">
        <f>IF(U431&gt;=MAX(_xlfn.PERCENTILE.INC($U$2:$U$1194,PARAMS_MODELO!$B$50),PARAMS_MODELO!$B$45),"DIAMANTE",IF(U431&gt;=MAX(_xlfn.PERCENTILE.INC($U$2:$U$1194,PARAMS_MODELO!$B$51),PARAMS_MODELO!$B$46),"PLATINO",IF(U431&gt;=MAX(_xlfn.PERCENTILE.INC($U$2:$U$1194,PARAMS_MODELO!$B$52),PARAMS_MODELO!$B$47),"ORO",IF(U431&gt;=MAX(_xlfn.PERCENTILE.INC($U$2:$U$1194,PARAMS_MODELO!$B$53),PARAMS_MODELO!$B$48),"PLATA",IF(U431&gt;=1,"BRONCE","CERRADO")))))</f>
        <v>ORO</v>
      </c>
      <c r="W431" s="5" t="str" cm="1">
        <f t="array" ref="W431">_xlfn.XLOOKUP(1, (HIST_SCORE!$B:$B=PARAMS_MODELO!$B$4) * (HIST_SCORE!$C:$C=A431), HIST_SCORE!$E:$E, "No encontrado")</f>
        <v>ORO</v>
      </c>
      <c r="X431" s="5" t="str">
        <f>_xlfn.LET(_xlpm.act,MATCH(V431,{"DIAMANTE";"PLATINO";"ORO";"PLATA";"BRONCE";"CERRADO"},0),_xlpm.ant,MATCH(W431,{"DIAMANTE";"PLATINO";"ORO";"PLATA";"BRONCE";"CERRADO"},0),IF(_xlpm.act&lt;_xlpm.ant,"Mejora ↑",IF(_xlpm.act&gt;_xlpm.ant,"Baja ↓","Estable →")))</f>
        <v>Estable →</v>
      </c>
      <c r="Y431" s="5">
        <f>IFERROR(U431-SUMIFS(HIST_SCORE!$D:$D,HIST_SCORE!$B:$B,PARAMS_MODELO!$B$4,HIST_SCORE!$C:$C,$A431),"")</f>
        <v>-0.23658049599275444</v>
      </c>
      <c r="Z431" s="5" t="str">
        <f t="shared" si="149"/>
        <v>→ Estable</v>
      </c>
      <c r="AA431" s="5">
        <f t="shared" si="150"/>
        <v>374</v>
      </c>
      <c r="AB431" s="5">
        <f>IFERROR(SUMIFS(HIST_SCORE!$F:$F,HIST_SCORE!$B:$B,PARAMS_MODELO!$B$4,HIST_SCORE!$C:$C,$A431),"")</f>
        <v>342</v>
      </c>
      <c r="AC431" s="5">
        <f t="shared" si="151"/>
        <v>-32</v>
      </c>
      <c r="AD431" t="str">
        <f t="shared" si="153"/>
        <v>Sostener base y reforzar mix</v>
      </c>
      <c r="AE4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431="CERRADO",1,IF(V431="BRONCE",_xlpm.cPl,IF(V431="PLATA",_xlpm.cO,IF(V431="ORO",_xlpm.cP,IF(V431="PLATINO",_xlpm.cD,999))))))</f>
        <v>86.439123873763251</v>
      </c>
      <c r="AF4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431="CERRADO",0,IF(V431="BRONCE",1,IF(V431="PLATA",_xlpm.cPl,IF(V431="ORO",_xlpm.cO,IF(V431="PLATINO",_xlpm.cP,_xlpm.cD))))))</f>
        <v>63.199193273331495</v>
      </c>
      <c r="AG431">
        <f t="shared" si="154"/>
        <v>3.9485760004914141</v>
      </c>
      <c r="AH431" t="str">
        <f t="shared" si="155"/>
        <v>VENTAS</v>
      </c>
      <c r="AI431" t="str">
        <f t="shared" si="152"/>
        <v>🎯 Para subir de categoría, eje VENTAS / IMPACTO ABSOLUTO (H). Acción: metas semanales + activación comercial + seguimiento del asesor. ΔR aprox: 3,9</v>
      </c>
      <c r="AJ431" s="26">
        <f>_xlfn.LET(_xlpm.piso,AF431,_xlpm.corte,AE431,_xlpm.prog,IF(_xlpm.corte&lt;=_xlpm.piso,0,MAX(0,MIN(1,(U431-_xlpm.piso)/(_xlpm.corte-_xlpm.piso)))),_xlpm.orden,{"DIAMANTE";"PLATINO";"ORO";"PLATA";"BRONCE";"CERRADO"},_xlpm.act,IFERROR(MATCH(V431,_xlpm.orden,0),6),_xlpm.ant,IFERROR(MATCH(W431,_xlpm.orden,0),6),_xlpm.ajmov,IF(_xlpm.act&lt;_xlpm.ant,0.08,IF(_xlpm.act&gt;_xlpm.ant,-0.08,0)),_xlpm.ajcli,IF(T431&lt;0.95,-0.06,0),_xlpm.prob,MAX(0,MIN(1,_xlpm.prog+_xlpm.ajmov+_xlpm.ajcli)),IF(OR(V431="DIAMANTE",V431="CERRADO"),0,ROUND(_xlpm.prob,2)))</f>
        <v>0.83</v>
      </c>
      <c r="AK431" t="str">
        <f t="shared" si="156"/>
        <v>Faltan 3,9 puntos base para subir a la siguiente categoría</v>
      </c>
      <c r="AL431" t="str">
        <f t="shared" si="157"/>
        <v>Margen de seguridad: 19,3 puntos</v>
      </c>
      <c r="AM431">
        <f t="shared" si="158"/>
        <v>0.23</v>
      </c>
      <c r="AN431" t="str">
        <f t="shared" si="159"/>
        <v>PRIORIDAD BAJA – control normal</v>
      </c>
      <c r="AO431">
        <f t="shared" si="160"/>
        <v>8.988022430947737</v>
      </c>
      <c r="AP431">
        <f t="shared" si="161"/>
        <v>0.18399897107601504</v>
      </c>
      <c r="AQ431">
        <f t="shared" si="162"/>
        <v>0</v>
      </c>
      <c r="AR431">
        <f t="shared" si="163"/>
        <v>8.1999999999999993</v>
      </c>
      <c r="AS431">
        <f t="shared" si="164"/>
        <v>0</v>
      </c>
      <c r="AT431" t="str">
        <f t="shared" si="165"/>
        <v>VENTAS</v>
      </c>
      <c r="AU431">
        <f t="shared" si="166"/>
        <v>8.988022430947737</v>
      </c>
      <c r="AV431" t="str">
        <f t="shared" si="167"/>
        <v>Mayor retorno probable: VENTAS (+9,0 puntos finales potenciales).</v>
      </c>
    </row>
    <row r="432" spans="1:48" x14ac:dyDescent="0.3">
      <c r="A432" s="5">
        <v>51021321</v>
      </c>
      <c r="B432" s="5" t="str">
        <f>IFERROR(VLOOKUP(A432,VENTAS!$A$2:$B$1194,2,0),"")</f>
        <v>BELUZZO</v>
      </c>
      <c r="C432" s="5">
        <f>IFERROR(INDEX(VENTAS!$C$2:$E$1194,MATCH(A432,VENTAS!$A$2:$A$1194,0),MATCH(PARAMS_MODELO!$B$2,{"Q1","Q2","Q3"},0)),0)</f>
        <v>64171178.960000001</v>
      </c>
      <c r="D432" s="5">
        <f>IFERROR(INDEX(VENTAS!$F$2:$H$1194,MATCH(A432,VENTAS!$A$2:$A$1194,0),MATCH(PARAMS_MODELO!$B$2,{"Q1","Q2","Q3"},0)),0)</f>
        <v>85402005</v>
      </c>
      <c r="E432" s="8">
        <f t="shared" si="144"/>
        <v>0.33084675058305946</v>
      </c>
      <c r="F432" s="12">
        <f>IF(E432&lt;=PARAMS_MODELO!$B$15,0,IF(E432&gt;=PARAMS_MODELO!$B$17,100,100*MIN(1,(E432-PARAMS_MODELO!$B$15)/(PARAMS_MODELO!$B$16-PARAMS_MODELO!$B$15))))*PARAMS_MODELO!$B$7</f>
        <v>35</v>
      </c>
      <c r="G432" s="5">
        <f t="shared" si="145"/>
        <v>21230826.039999999</v>
      </c>
      <c r="H432" s="5">
        <f>(PARAMS_MODELO!$B$20*(MAX(0,MIN(3,E432))/3)+PARAMS_MODELO!$B$21*(IFERROR(LN(1+MAX(0,G432))/LN(1+MAX(0,MAX($G$2:$G$1194))),0)))*100*PARAMS_MODELO!$B$8</f>
        <v>5.1127533039810906</v>
      </c>
      <c r="I432" s="8">
        <f>E432-PARAMS_MODELO!$B$5</f>
        <v>0.15328391520753293</v>
      </c>
      <c r="J432" s="5">
        <f>IF(I432&lt;=PARAMS_MODELO!$B$18,0,IF(I432&gt;=PARAMS_MODELO!$B$19,100,100*(I432-PARAMS_MODELO!$B$18)/(PARAMS_MODELO!$B$19-PARAMS_MODELO!$B$18)))*PARAMS_MODELO!$B$9</f>
        <v>15</v>
      </c>
      <c r="K432" s="5">
        <f>IFERROR(CHOOSE(MATCH(PARAMS_MODELO!$B$2,{"Q1","Q2","Q3"},0),LOTO!$D432,LOTO!$F432,LOTO!$H432),0)</f>
        <v>4225000</v>
      </c>
      <c r="L432" s="8">
        <f t="shared" si="146"/>
        <v>4.9471906426552865E-2</v>
      </c>
      <c r="M432" s="5">
        <f>MIN(100,IF(PARAMS_MODELO!$B$23=0,0,100*L432/PARAMS_MODELO!$B$23))*PARAMS_MODELO!$B$10</f>
        <v>14.841571927965859</v>
      </c>
      <c r="N432" s="5">
        <f>IFERROR(VLOOKUP(A432,COMPLIANCE!$A$2:$F$1996,6,0),100)</f>
        <v>100</v>
      </c>
      <c r="O432" s="5">
        <f>N432*PARAMS_MODELO!$B$11</f>
        <v>10</v>
      </c>
      <c r="P432" s="5">
        <f>IFERROR(VLOOKUP(A432,DIGITAL!$A$2:$J$2000,7,0),100)</f>
        <v>14</v>
      </c>
      <c r="Q432" s="5">
        <f>IFERROR(P432,0)*PARAMS_MODELO!$B$12</f>
        <v>1.4000000000000001</v>
      </c>
      <c r="R432">
        <f t="shared" si="147"/>
        <v>81.354325231946959</v>
      </c>
      <c r="S432" s="5" t="str">
        <f>IFERROR(VLOOKUP(A432,CLIENTE!$A$2:$N$2000,13,0),1)</f>
        <v>Bueno</v>
      </c>
      <c r="T432" s="5">
        <f>IFERROR(VLOOKUP(A432,CLIENTE!$A$2:$N$2000,14,0),1)</f>
        <v>1.1000000000000001</v>
      </c>
      <c r="U432" s="5">
        <f t="shared" si="148"/>
        <v>89.489757755141667</v>
      </c>
      <c r="V432" s="5" t="str">
        <f>IF(U432&gt;=MAX(_xlfn.PERCENTILE.INC($U$2:$U$1194,PARAMS_MODELO!$B$50),PARAMS_MODELO!$B$45),"DIAMANTE",IF(U432&gt;=MAX(_xlfn.PERCENTILE.INC($U$2:$U$1194,PARAMS_MODELO!$B$51),PARAMS_MODELO!$B$46),"PLATINO",IF(U432&gt;=MAX(_xlfn.PERCENTILE.INC($U$2:$U$1194,PARAMS_MODELO!$B$52),PARAMS_MODELO!$B$47),"ORO",IF(U432&gt;=MAX(_xlfn.PERCENTILE.INC($U$2:$U$1194,PARAMS_MODELO!$B$53),PARAMS_MODELO!$B$48),"PLATA",IF(U432&gt;=1,"BRONCE","CERRADO")))))</f>
        <v>PLATINO</v>
      </c>
      <c r="W432" s="5" t="str" cm="1">
        <f t="array" ref="W432">_xlfn.XLOOKUP(1, (HIST_SCORE!$B:$B=PARAMS_MODELO!$B$4) * (HIST_SCORE!$C:$C=A432), HIST_SCORE!$E:$E, "No encontrado")</f>
        <v>ORO</v>
      </c>
      <c r="X432" s="5" t="str">
        <f>_xlfn.LET(_xlpm.act,MATCH(V432,{"DIAMANTE";"PLATINO";"ORO";"PLATA";"BRONCE";"CERRADO"},0),_xlpm.ant,MATCH(W432,{"DIAMANTE";"PLATINO";"ORO";"PLATA";"BRONCE";"CERRADO"},0),IF(_xlpm.act&lt;_xlpm.ant,"Mejora ↑",IF(_xlpm.act&gt;_xlpm.ant,"Baja ↓","Estable →")))</f>
        <v>Mejora ↑</v>
      </c>
      <c r="Y432" s="5">
        <f>IFERROR(U432-SUMIFS(HIST_SCORE!$D:$D,HIST_SCORE!$B:$B,PARAMS_MODELO!$B$4,HIST_SCORE!$C:$C,$A432),"")</f>
        <v>17.136433821323067</v>
      </c>
      <c r="Z432" s="5" t="str">
        <f t="shared" si="149"/>
        <v>↑ Mejora</v>
      </c>
      <c r="AA432" s="5">
        <f t="shared" si="150"/>
        <v>150</v>
      </c>
      <c r="AB432" s="5">
        <f>IFERROR(SUMIFS(HIST_SCORE!$F:$F,HIST_SCORE!$B:$B,PARAMS_MODELO!$B$4,HIST_SCORE!$C:$C,$A432),"")</f>
        <v>518</v>
      </c>
      <c r="AC432" s="5">
        <f t="shared" si="151"/>
        <v>368</v>
      </c>
      <c r="AD432" t="str">
        <f t="shared" si="153"/>
        <v/>
      </c>
      <c r="AE4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432="CERRADO",1,IF(V432="BRONCE",_xlpm.cPl,IF(V432="PLATA",_xlpm.cO,IF(V432="ORO",_xlpm.cP,IF(V432="PLATINO",_xlpm.cD,999))))))</f>
        <v>96.054919694466676</v>
      </c>
      <c r="AF4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432="CERRADO",0,IF(V432="BRONCE",1,IF(V432="PLATA",_xlpm.cPl,IF(V432="ORO",_xlpm.cO,IF(V432="PLATINO",_xlpm.cP,_xlpm.cD))))))</f>
        <v>86.439123873763251</v>
      </c>
      <c r="AG432">
        <f t="shared" si="154"/>
        <v>5.9683290357500169</v>
      </c>
      <c r="AH432" t="str">
        <f t="shared" si="155"/>
        <v>VENTAS</v>
      </c>
      <c r="AI432" t="str">
        <f t="shared" si="152"/>
        <v>🎯 Para subir de categoría, eje VENTAS / IMPACTO ABSOLUTO (H). Acción: metas semanales + activación comercial + seguimiento del asesor. ΔR aprox: 6,0</v>
      </c>
      <c r="AJ432" s="26">
        <f>_xlfn.LET(_xlpm.piso,AF432,_xlpm.corte,AE432,_xlpm.prog,IF(_xlpm.corte&lt;=_xlpm.piso,0,MAX(0,MIN(1,(U432-_xlpm.piso)/(_xlpm.corte-_xlpm.piso)))),_xlpm.orden,{"DIAMANTE";"PLATINO";"ORO";"PLATA";"BRONCE";"CERRADO"},_xlpm.act,IFERROR(MATCH(V432,_xlpm.orden,0),6),_xlpm.ant,IFERROR(MATCH(W432,_xlpm.orden,0),6),_xlpm.ajmov,IF(_xlpm.act&lt;_xlpm.ant,0.08,IF(_xlpm.act&gt;_xlpm.ant,-0.08,0)),_xlpm.ajcli,IF(T432&lt;0.95,-0.06,0),_xlpm.prob,MAX(0,MIN(1,_xlpm.prog+_xlpm.ajmov+_xlpm.ajcli)),IF(OR(V432="DIAMANTE",V432="CERRADO"),0,ROUND(_xlpm.prob,2)))</f>
        <v>0.4</v>
      </c>
      <c r="AK432" t="str">
        <f t="shared" si="156"/>
        <v>Faltan 6,0 puntos base para subir a la siguiente categoría</v>
      </c>
      <c r="AL432" t="str">
        <f t="shared" si="157"/>
        <v>Margen de seguridad: 3,1 puntos</v>
      </c>
      <c r="AM432">
        <f t="shared" si="158"/>
        <v>0.48</v>
      </c>
      <c r="AN432" t="str">
        <f t="shared" si="159"/>
        <v>PRIORIDAD MEDIA – seguimiento del asesor</v>
      </c>
      <c r="AO432">
        <f t="shared" si="160"/>
        <v>10.72479756844594</v>
      </c>
      <c r="AP432">
        <f t="shared" si="161"/>
        <v>0.17427087923755524</v>
      </c>
      <c r="AQ432">
        <f t="shared" si="162"/>
        <v>0</v>
      </c>
      <c r="AR432">
        <f t="shared" si="163"/>
        <v>9.4600000000000009</v>
      </c>
      <c r="AS432">
        <f t="shared" si="164"/>
        <v>0</v>
      </c>
      <c r="AT432" t="str">
        <f t="shared" si="165"/>
        <v>VENTAS</v>
      </c>
      <c r="AU432">
        <f t="shared" si="166"/>
        <v>10.72479756844594</v>
      </c>
      <c r="AV432" t="str">
        <f t="shared" si="167"/>
        <v>Mayor retorno probable: VENTAS (+10,7 puntos finales potenciales).</v>
      </c>
    </row>
    <row r="433" spans="1:48" x14ac:dyDescent="0.3">
      <c r="A433" s="5">
        <v>51055322</v>
      </c>
      <c r="B433" s="5" t="str">
        <f>IFERROR(VLOOKUP(A433,VENTAS!$A$2:$B$1194,2,0),"")</f>
        <v>LÓPEZ</v>
      </c>
      <c r="C433" s="5">
        <f>IFERROR(INDEX(VENTAS!$C$2:$E$1194,MATCH(A433,VENTAS!$A$2:$A$1194,0),MATCH(PARAMS_MODELO!$B$2,{"Q1","Q2","Q3"},0)),0)</f>
        <v>68106513.680000007</v>
      </c>
      <c r="D433" s="5">
        <f>IFERROR(INDEX(VENTAS!$F$2:$H$1194,MATCH(A433,VENTAS!$A$2:$A$1194,0),MATCH(PARAMS_MODELO!$B$2,{"Q1","Q2","Q3"},0)),0)</f>
        <v>85178777</v>
      </c>
      <c r="E433" s="8">
        <f t="shared" si="144"/>
        <v>0.25067005191624414</v>
      </c>
      <c r="F433" s="12">
        <f>IF(E433&lt;=PARAMS_MODELO!$B$15,0,IF(E433&gt;=PARAMS_MODELO!$B$17,100,100*MIN(1,(E433-PARAMS_MODELO!$B$15)/(PARAMS_MODELO!$B$16-PARAMS_MODELO!$B$15))))*PARAMS_MODELO!$B$7</f>
        <v>35</v>
      </c>
      <c r="G433" s="5">
        <f t="shared" si="145"/>
        <v>17072263.319999993</v>
      </c>
      <c r="H433" s="5">
        <f>(PARAMS_MODELO!$B$20*(MAX(0,MIN(3,E433))/3)+PARAMS_MODELO!$B$21*(IFERROR(LN(1+MAX(0,G433))/LN(1+MAX(0,MAX($G$2:$G$1194))),0)))*100*PARAMS_MODELO!$B$8</f>
        <v>4.7810328369600734</v>
      </c>
      <c r="I433" s="8">
        <f>E433-PARAMS_MODELO!$B$5</f>
        <v>7.3107216540717612E-2</v>
      </c>
      <c r="J433" s="5">
        <f>IF(I433&lt;=PARAMS_MODELO!$B$18,0,IF(I433&gt;=PARAMS_MODELO!$B$19,100,100*(I433-PARAMS_MODELO!$B$18)/(PARAMS_MODELO!$B$19-PARAMS_MODELO!$B$18)))*PARAMS_MODELO!$B$9</f>
        <v>15</v>
      </c>
      <c r="K433" s="5">
        <f>IFERROR(CHOOSE(MATCH(PARAMS_MODELO!$B$2,{"Q1","Q2","Q3"},0),LOTO!$D433,LOTO!$F433,LOTO!$H433),0)</f>
        <v>4190000</v>
      </c>
      <c r="L433" s="8">
        <f t="shared" si="146"/>
        <v>4.9190656963764574E-2</v>
      </c>
      <c r="M433" s="5">
        <f>MIN(100,IF(PARAMS_MODELO!$B$23=0,0,100*L433/PARAMS_MODELO!$B$23))*PARAMS_MODELO!$B$10</f>
        <v>14.757197089129372</v>
      </c>
      <c r="N433" s="5">
        <f>IFERROR(VLOOKUP(A433,COMPLIANCE!$A$2:$F$1996,6,0),100)</f>
        <v>100</v>
      </c>
      <c r="O433" s="5">
        <f>N433*PARAMS_MODELO!$B$11</f>
        <v>10</v>
      </c>
      <c r="P433" s="5">
        <f>IFERROR(VLOOKUP(A433,DIGITAL!$A$2:$J$2000,7,0),100)</f>
        <v>21</v>
      </c>
      <c r="Q433" s="5">
        <f>IFERROR(P433,0)*PARAMS_MODELO!$B$12</f>
        <v>2.1</v>
      </c>
      <c r="R433">
        <f t="shared" si="147"/>
        <v>81.638229926089437</v>
      </c>
      <c r="S433" s="5" t="str">
        <f>IFERROR(VLOOKUP(A433,CLIENTE!$A$2:$N$2000,13,0),1)</f>
        <v>Regular</v>
      </c>
      <c r="T433" s="5">
        <f>IFERROR(VLOOKUP(A433,CLIENTE!$A$2:$N$2000,14,0),1)</f>
        <v>1</v>
      </c>
      <c r="U433" s="5">
        <f t="shared" si="148"/>
        <v>81.638229926089437</v>
      </c>
      <c r="V433" s="5" t="str">
        <f>IF(U433&gt;=MAX(_xlfn.PERCENTILE.INC($U$2:$U$1194,PARAMS_MODELO!$B$50),PARAMS_MODELO!$B$45),"DIAMANTE",IF(U433&gt;=MAX(_xlfn.PERCENTILE.INC($U$2:$U$1194,PARAMS_MODELO!$B$51),PARAMS_MODELO!$B$46),"PLATINO",IF(U433&gt;=MAX(_xlfn.PERCENTILE.INC($U$2:$U$1194,PARAMS_MODELO!$B$52),PARAMS_MODELO!$B$47),"ORO",IF(U433&gt;=MAX(_xlfn.PERCENTILE.INC($U$2:$U$1194,PARAMS_MODELO!$B$53),PARAMS_MODELO!$B$48),"PLATA",IF(U433&gt;=1,"BRONCE","CERRADO")))))</f>
        <v>ORO</v>
      </c>
      <c r="W433" s="5" t="str" cm="1">
        <f t="array" ref="W433">_xlfn.XLOOKUP(1, (HIST_SCORE!$B:$B=PARAMS_MODELO!$B$4) * (HIST_SCORE!$C:$C=A433), HIST_SCORE!$E:$E, "No encontrado")</f>
        <v>ORO</v>
      </c>
      <c r="X433" s="5" t="str">
        <f>_xlfn.LET(_xlpm.act,MATCH(V433,{"DIAMANTE";"PLATINO";"ORO";"PLATA";"BRONCE";"CERRADO"},0),_xlpm.ant,MATCH(W433,{"DIAMANTE";"PLATINO";"ORO";"PLATA";"BRONCE";"CERRADO"},0),IF(_xlpm.act&lt;_xlpm.ant,"Mejora ↑",IF(_xlpm.act&gt;_xlpm.ant,"Baja ↓","Estable →")))</f>
        <v>Estable →</v>
      </c>
      <c r="Y433" s="5">
        <f>IFERROR(U433-SUMIFS(HIST_SCORE!$D:$D,HIST_SCORE!$B:$B,PARAMS_MODELO!$B$4,HIST_SCORE!$C:$C,$A433),"")</f>
        <v>15.343550728959926</v>
      </c>
      <c r="Z433" s="5" t="str">
        <f t="shared" si="149"/>
        <v>↑ Mejora</v>
      </c>
      <c r="AA433" s="5">
        <f t="shared" si="150"/>
        <v>394</v>
      </c>
      <c r="AB433" s="5">
        <f>IFERROR(SUMIFS(HIST_SCORE!$F:$F,HIST_SCORE!$B:$B,PARAMS_MODELO!$B$4,HIST_SCORE!$C:$C,$A433),"")</f>
        <v>567</v>
      </c>
      <c r="AC433" s="5">
        <f t="shared" si="151"/>
        <v>173</v>
      </c>
      <c r="AD433" t="str">
        <f t="shared" si="153"/>
        <v/>
      </c>
      <c r="AE4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433="CERRADO",1,IF(V433="BRONCE",_xlpm.cPl,IF(V433="PLATA",_xlpm.cO,IF(V433="ORO",_xlpm.cP,IF(V433="PLATINO",_xlpm.cD,999))))))</f>
        <v>86.439123873763251</v>
      </c>
      <c r="AF4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433="CERRADO",0,IF(V433="BRONCE",1,IF(V433="PLATA",_xlpm.cPl,IF(V433="ORO",_xlpm.cO,IF(V433="PLATINO",_xlpm.cP,_xlpm.cD))))))</f>
        <v>63.199193273331495</v>
      </c>
      <c r="AG433">
        <f t="shared" si="154"/>
        <v>4.8008939476738135</v>
      </c>
      <c r="AH433" t="str">
        <f t="shared" si="155"/>
        <v>VENTAS</v>
      </c>
      <c r="AI433" t="str">
        <f t="shared" si="152"/>
        <v>🎯 Para subir de categoría, eje VENTAS / IMPACTO ABSOLUTO (H). Acción: metas semanales + activación comercial + seguimiento del asesor. ΔR aprox: 4,8</v>
      </c>
      <c r="AJ433" s="26">
        <f>_xlfn.LET(_xlpm.piso,AF433,_xlpm.corte,AE433,_xlpm.prog,IF(_xlpm.corte&lt;=_xlpm.piso,0,MAX(0,MIN(1,(U433-_xlpm.piso)/(_xlpm.corte-_xlpm.piso)))),_xlpm.orden,{"DIAMANTE";"PLATINO";"ORO";"PLATA";"BRONCE";"CERRADO"},_xlpm.act,IFERROR(MATCH(V433,_xlpm.orden,0),6),_xlpm.ant,IFERROR(MATCH(W433,_xlpm.orden,0),6),_xlpm.ajmov,IF(_xlpm.act&lt;_xlpm.ant,0.08,IF(_xlpm.act&gt;_xlpm.ant,-0.08,0)),_xlpm.ajcli,IF(T433&lt;0.95,-0.06,0),_xlpm.prob,MAX(0,MIN(1,_xlpm.prog+_xlpm.ajmov+_xlpm.ajcli)),IF(OR(V433="DIAMANTE",V433="CERRADO"),0,ROUND(_xlpm.prob,2)))</f>
        <v>0.79</v>
      </c>
      <c r="AK433" t="str">
        <f t="shared" si="156"/>
        <v>Faltan 4,8 puntos base para subir a la siguiente categoría</v>
      </c>
      <c r="AL433" t="str">
        <f t="shared" si="157"/>
        <v>Margen de seguridad: 18,4 puntos</v>
      </c>
      <c r="AM433">
        <f t="shared" si="158"/>
        <v>0.28000000000000003</v>
      </c>
      <c r="AN433" t="str">
        <f t="shared" si="159"/>
        <v>PRIORIDAD BAJA – control normal</v>
      </c>
      <c r="AO433">
        <f t="shared" si="160"/>
        <v>10.081536438335512</v>
      </c>
      <c r="AP433">
        <f t="shared" si="161"/>
        <v>0.242802910870628</v>
      </c>
      <c r="AQ433">
        <f t="shared" si="162"/>
        <v>0</v>
      </c>
      <c r="AR433">
        <f t="shared" si="163"/>
        <v>7.9</v>
      </c>
      <c r="AS433">
        <f t="shared" si="164"/>
        <v>0</v>
      </c>
      <c r="AT433" t="str">
        <f t="shared" si="165"/>
        <v>VENTAS</v>
      </c>
      <c r="AU433">
        <f t="shared" si="166"/>
        <v>10.081536438335512</v>
      </c>
      <c r="AV433" t="str">
        <f t="shared" si="167"/>
        <v>Mayor retorno probable: VENTAS (+10,1 puntos finales potenciales).</v>
      </c>
    </row>
    <row r="434" spans="1:48" x14ac:dyDescent="0.3">
      <c r="A434" s="5">
        <v>51010027</v>
      </c>
      <c r="B434" s="5" t="str">
        <f>IFERROR(VLOOKUP(A434,VENTAS!$A$2:$B$1194,2,0),"")</f>
        <v>LÓPEZ</v>
      </c>
      <c r="C434" s="5">
        <f>IFERROR(INDEX(VENTAS!$C$2:$E$1194,MATCH(A434,VENTAS!$A$2:$A$1194,0),MATCH(PARAMS_MODELO!$B$2,{"Q1","Q2","Q3"},0)),0)</f>
        <v>87746083.539999992</v>
      </c>
      <c r="D434" s="5">
        <f>IFERROR(INDEX(VENTAS!$F$2:$H$1194,MATCH(A434,VENTAS!$A$2:$A$1194,0),MATCH(PARAMS_MODELO!$B$2,{"Q1","Q2","Q3"},0)),0)</f>
        <v>85026243</v>
      </c>
      <c r="E434" s="8">
        <f t="shared" si="144"/>
        <v>-3.0996717235363791E-2</v>
      </c>
      <c r="F434" s="12">
        <f>IF(E434&lt;=PARAMS_MODELO!$B$15,0,IF(E434&gt;=PARAMS_MODELO!$B$17,100,100*MIN(1,(E434-PARAMS_MODELO!$B$15)/(PARAMS_MODELO!$B$16-PARAMS_MODELO!$B$15))))*PARAMS_MODELO!$B$7</f>
        <v>0</v>
      </c>
      <c r="G434" s="5">
        <f t="shared" si="145"/>
        <v>0</v>
      </c>
      <c r="H434" s="5">
        <f>(PARAMS_MODELO!$B$20*(MAX(0,MIN(3,E434))/3)+PARAMS_MODELO!$B$21*(IFERROR(LN(1+MAX(0,G434))/LN(1+MAX(0,MAX($G$2:$G$1194))),0)))*100*PARAMS_MODELO!$B$8</f>
        <v>0</v>
      </c>
      <c r="I434" s="8">
        <f>E434-PARAMS_MODELO!$B$5</f>
        <v>-0.20855955261089032</v>
      </c>
      <c r="J434" s="5">
        <f>IF(I434&lt;=PARAMS_MODELO!$B$18,0,IF(I434&gt;=PARAMS_MODELO!$B$19,100,100*(I434-PARAMS_MODELO!$B$18)/(PARAMS_MODELO!$B$19-PARAMS_MODELO!$B$18)))*PARAMS_MODELO!$B$9</f>
        <v>0</v>
      </c>
      <c r="K434" s="5">
        <f>IFERROR(CHOOSE(MATCH(PARAMS_MODELO!$B$2,{"Q1","Q2","Q3"},0),LOTO!$D434,LOTO!$F434,LOTO!$H434),0)</f>
        <v>4190000</v>
      </c>
      <c r="L434" s="8">
        <f t="shared" si="146"/>
        <v>4.9278903220503344E-2</v>
      </c>
      <c r="M434" s="5">
        <f>MIN(100,IF(PARAMS_MODELO!$B$23=0,0,100*L434/PARAMS_MODELO!$B$23))*PARAMS_MODELO!$B$10</f>
        <v>14.783670966151004</v>
      </c>
      <c r="N434" s="5">
        <f>IFERROR(VLOOKUP(A434,COMPLIANCE!$A$2:$F$1996,6,0),100)</f>
        <v>100</v>
      </c>
      <c r="O434" s="5">
        <f>N434*PARAMS_MODELO!$B$11</f>
        <v>10</v>
      </c>
      <c r="P434" s="5">
        <f>IFERROR(VLOOKUP(A434,DIGITAL!$A$2:$J$2000,7,0),100)</f>
        <v>35</v>
      </c>
      <c r="Q434" s="5">
        <f>IFERROR(P434,0)*PARAMS_MODELO!$B$12</f>
        <v>3.5</v>
      </c>
      <c r="R434">
        <f t="shared" si="147"/>
        <v>28.283670966151004</v>
      </c>
      <c r="S434" s="5" t="str">
        <f>IFERROR(VLOOKUP(A434,CLIENTE!$A$2:$N$2000,13,0),1)</f>
        <v>Regular</v>
      </c>
      <c r="T434" s="5">
        <f>IFERROR(VLOOKUP(A434,CLIENTE!$A$2:$N$2000,14,0),1)</f>
        <v>1</v>
      </c>
      <c r="U434" s="5">
        <f t="shared" si="148"/>
        <v>28.283670966151004</v>
      </c>
      <c r="V434" s="5" t="str">
        <f>IF(U434&gt;=MAX(_xlfn.PERCENTILE.INC($U$2:$U$1194,PARAMS_MODELO!$B$50),PARAMS_MODELO!$B$45),"DIAMANTE",IF(U434&gt;=MAX(_xlfn.PERCENTILE.INC($U$2:$U$1194,PARAMS_MODELO!$B$51),PARAMS_MODELO!$B$46),"PLATINO",IF(U434&gt;=MAX(_xlfn.PERCENTILE.INC($U$2:$U$1194,PARAMS_MODELO!$B$52),PARAMS_MODELO!$B$47),"ORO",IF(U434&gt;=MAX(_xlfn.PERCENTILE.INC($U$2:$U$1194,PARAMS_MODELO!$B$53),PARAMS_MODELO!$B$48),"PLATA",IF(U434&gt;=1,"BRONCE","CERRADO")))))</f>
        <v>PLATA</v>
      </c>
      <c r="W434" s="5" t="str" cm="1">
        <f t="array" ref="W434">_xlfn.XLOOKUP(1, (HIST_SCORE!$B:$B=PARAMS_MODELO!$B$4) * (HIST_SCORE!$C:$C=A434), HIST_SCORE!$E:$E, "No encontrado")</f>
        <v>PLATA</v>
      </c>
      <c r="X434" s="5" t="str">
        <f>_xlfn.LET(_xlpm.act,MATCH(V434,{"DIAMANTE";"PLATINO";"ORO";"PLATA";"BRONCE";"CERRADO"},0),_xlpm.ant,MATCH(W434,{"DIAMANTE";"PLATINO";"ORO";"PLATA";"BRONCE";"CERRADO"},0),IF(_xlpm.act&lt;_xlpm.ant,"Mejora ↑",IF(_xlpm.act&gt;_xlpm.ant,"Baja ↓","Estable →")))</f>
        <v>Estable →</v>
      </c>
      <c r="Y434" s="5">
        <f>IFERROR(U434-SUMIFS(HIST_SCORE!$D:$D,HIST_SCORE!$B:$B,PARAMS_MODELO!$B$4,HIST_SCORE!$C:$C,$A434),"")</f>
        <v>-0.21632903384899649</v>
      </c>
      <c r="Z434" s="5" t="str">
        <f t="shared" si="149"/>
        <v>→ Estable</v>
      </c>
      <c r="AA434" s="5">
        <f t="shared" si="150"/>
        <v>884</v>
      </c>
      <c r="AB434" s="5">
        <f>IFERROR(SUMIFS(HIST_SCORE!$F:$F,HIST_SCORE!$B:$B,PARAMS_MODELO!$B$4,HIST_SCORE!$C:$C,$A434),"")</f>
        <v>923</v>
      </c>
      <c r="AC434" s="5">
        <f t="shared" si="151"/>
        <v>39</v>
      </c>
      <c r="AD434" t="str">
        <f t="shared" si="153"/>
        <v/>
      </c>
      <c r="AE4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434="CERRADO",1,IF(V434="BRONCE",_xlpm.cPl,IF(V434="PLATA",_xlpm.cO,IF(V434="ORO",_xlpm.cP,IF(V434="PLATINO",_xlpm.cD,999))))))</f>
        <v>63.199193273331495</v>
      </c>
      <c r="AF4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434="CERRADO",0,IF(V434="BRONCE",1,IF(V434="PLATA",_xlpm.cPl,IF(V434="ORO",_xlpm.cO,IF(V434="PLATINO",_xlpm.cP,_xlpm.cD))))))</f>
        <v>24.506573482968111</v>
      </c>
      <c r="AG434">
        <f t="shared" si="154"/>
        <v>34.915522307180495</v>
      </c>
      <c r="AH434" t="str">
        <f t="shared" si="155"/>
        <v>VENTAS</v>
      </c>
      <c r="AI434" t="str">
        <f t="shared" si="152"/>
        <v>🎯 Para subir de categoría, eje VENTAS / CRECIMIENTO PERSONAL (F). Acción: metas semanales + activación comercial + seguimiento del asesor. ΔR aprox: 34,9</v>
      </c>
      <c r="AJ434" s="26">
        <f>_xlfn.LET(_xlpm.piso,AF434,_xlpm.corte,AE434,_xlpm.prog,IF(_xlpm.corte&lt;=_xlpm.piso,0,MAX(0,MIN(1,(U434-_xlpm.piso)/(_xlpm.corte-_xlpm.piso)))),_xlpm.orden,{"DIAMANTE";"PLATINO";"ORO";"PLATA";"BRONCE";"CERRADO"},_xlpm.act,IFERROR(MATCH(V434,_xlpm.orden,0),6),_xlpm.ant,IFERROR(MATCH(W434,_xlpm.orden,0),6),_xlpm.ajmov,IF(_xlpm.act&lt;_xlpm.ant,0.08,IF(_xlpm.act&gt;_xlpm.ant,-0.08,0)),_xlpm.ajcli,IF(T434&lt;0.95,-0.06,0),_xlpm.prob,MAX(0,MIN(1,_xlpm.prog+_xlpm.ajmov+_xlpm.ajcli)),IF(OR(V434="DIAMANTE",V434="CERRADO"),0,ROUND(_xlpm.prob,2)))</f>
        <v>0.1</v>
      </c>
      <c r="AK434" t="str">
        <f t="shared" si="156"/>
        <v>Faltan 34,9 puntos base para subir a la siguiente categoría</v>
      </c>
      <c r="AL434" t="str">
        <f t="shared" si="157"/>
        <v>Margen de seguridad: 3,8 puntos</v>
      </c>
      <c r="AM434">
        <f t="shared" si="158"/>
        <v>0.76</v>
      </c>
      <c r="AN434" t="str">
        <f t="shared" si="159"/>
        <v>PRIORIDAD ALTA – requiere intervención inmediata</v>
      </c>
      <c r="AO434">
        <f t="shared" si="160"/>
        <v>64.862569275295584</v>
      </c>
      <c r="AP434">
        <f t="shared" si="161"/>
        <v>0.21632903384899649</v>
      </c>
      <c r="AQ434">
        <f t="shared" si="162"/>
        <v>0</v>
      </c>
      <c r="AR434">
        <f t="shared" si="163"/>
        <v>6.5</v>
      </c>
      <c r="AS434">
        <f t="shared" si="164"/>
        <v>0</v>
      </c>
      <c r="AT434" t="str">
        <f t="shared" si="165"/>
        <v>VENTAS</v>
      </c>
      <c r="AU434">
        <f t="shared" si="166"/>
        <v>64.862569275295584</v>
      </c>
      <c r="AV434" t="str">
        <f t="shared" si="167"/>
        <v>Mayor retorno probable: VENTAS (+64,9 puntos finales potenciales).</v>
      </c>
    </row>
    <row r="435" spans="1:48" x14ac:dyDescent="0.3">
      <c r="A435" s="5">
        <v>51011295</v>
      </c>
      <c r="B435" s="5" t="str">
        <f>IFERROR(VLOOKUP(A435,VENTAS!$A$2:$B$1194,2,0),"")</f>
        <v>CICHETTO</v>
      </c>
      <c r="C435" s="5">
        <f>IFERROR(INDEX(VENTAS!$C$2:$E$1194,MATCH(A435,VENTAS!$A$2:$A$1194,0),MATCH(PARAMS_MODELO!$B$2,{"Q1","Q2","Q3"},0)),0)</f>
        <v>59431349.739999987</v>
      </c>
      <c r="D435" s="5">
        <f>IFERROR(INDEX(VENTAS!$F$2:$H$1194,MATCH(A435,VENTAS!$A$2:$A$1194,0),MATCH(PARAMS_MODELO!$B$2,{"Q1","Q2","Q3"},0)),0)</f>
        <v>84814629</v>
      </c>
      <c r="E435" s="8">
        <f t="shared" si="144"/>
        <v>0.42710252032044838</v>
      </c>
      <c r="F435" s="12">
        <f>IF(E435&lt;=PARAMS_MODELO!$B$15,0,IF(E435&gt;=PARAMS_MODELO!$B$17,100,100*MIN(1,(E435-PARAMS_MODELO!$B$15)/(PARAMS_MODELO!$B$16-PARAMS_MODELO!$B$15))))*PARAMS_MODELO!$B$7</f>
        <v>35</v>
      </c>
      <c r="G435" s="5">
        <f t="shared" si="145"/>
        <v>25383279.260000013</v>
      </c>
      <c r="H435" s="5">
        <f>(PARAMS_MODELO!$B$20*(MAX(0,MIN(3,E435))/3)+PARAMS_MODELO!$B$21*(IFERROR(LN(1+MAX(0,G435))/LN(1+MAX(0,MAX($G$2:$G$1194))),0)))*100*PARAMS_MODELO!$B$8</f>
        <v>5.4915233802018664</v>
      </c>
      <c r="I435" s="8">
        <f>E435-PARAMS_MODELO!$B$5</f>
        <v>0.24953968494492185</v>
      </c>
      <c r="J435" s="5">
        <f>IF(I435&lt;=PARAMS_MODELO!$B$18,0,IF(I435&gt;=PARAMS_MODELO!$B$19,100,100*(I435-PARAMS_MODELO!$B$18)/(PARAMS_MODELO!$B$19-PARAMS_MODELO!$B$18)))*PARAMS_MODELO!$B$9</f>
        <v>15</v>
      </c>
      <c r="K435" s="5">
        <f>IFERROR(CHOOSE(MATCH(PARAMS_MODELO!$B$2,{"Q1","Q2","Q3"},0),LOTO!$D435,LOTO!$F435,LOTO!$H435),0)</f>
        <v>4182500</v>
      </c>
      <c r="L435" s="8">
        <f t="shared" si="146"/>
        <v>4.9313426814612371E-2</v>
      </c>
      <c r="M435" s="5">
        <f>MIN(100,IF(PARAMS_MODELO!$B$23=0,0,100*L435/PARAMS_MODELO!$B$23))*PARAMS_MODELO!$B$10</f>
        <v>14.794028044383708</v>
      </c>
      <c r="N435" s="5">
        <f>IFERROR(VLOOKUP(A435,COMPLIANCE!$A$2:$F$1996,6,0),100)</f>
        <v>100</v>
      </c>
      <c r="O435" s="5">
        <f>N435*PARAMS_MODELO!$B$11</f>
        <v>10</v>
      </c>
      <c r="P435" s="5">
        <f>IFERROR(VLOOKUP(A435,DIGITAL!$A$2:$J$2000,7,0),100)</f>
        <v>95</v>
      </c>
      <c r="Q435" s="5">
        <f>IFERROR(P435,0)*PARAMS_MODELO!$B$12</f>
        <v>9.5</v>
      </c>
      <c r="R435">
        <f t="shared" si="147"/>
        <v>89.785551424585577</v>
      </c>
      <c r="S435" s="5" t="str">
        <f>IFERROR(VLOOKUP(A435,CLIENTE!$A$2:$N$2000,13,0),1)</f>
        <v>Regular</v>
      </c>
      <c r="T435" s="5">
        <f>IFERROR(VLOOKUP(A435,CLIENTE!$A$2:$N$2000,14,0),1)</f>
        <v>1</v>
      </c>
      <c r="U435" s="5">
        <f t="shared" si="148"/>
        <v>89.785551424585577</v>
      </c>
      <c r="V435" s="5" t="str">
        <f>IF(U435&gt;=MAX(_xlfn.PERCENTILE.INC($U$2:$U$1194,PARAMS_MODELO!$B$50),PARAMS_MODELO!$B$45),"DIAMANTE",IF(U435&gt;=MAX(_xlfn.PERCENTILE.INC($U$2:$U$1194,PARAMS_MODELO!$B$51),PARAMS_MODELO!$B$46),"PLATINO",IF(U435&gt;=MAX(_xlfn.PERCENTILE.INC($U$2:$U$1194,PARAMS_MODELO!$B$52),PARAMS_MODELO!$B$47),"ORO",IF(U435&gt;=MAX(_xlfn.PERCENTILE.INC($U$2:$U$1194,PARAMS_MODELO!$B$53),PARAMS_MODELO!$B$48),"PLATA",IF(U435&gt;=1,"BRONCE","CERRADO")))))</f>
        <v>PLATINO</v>
      </c>
      <c r="W435" s="5" t="str" cm="1">
        <f t="array" ref="W435">_xlfn.XLOOKUP(1, (HIST_SCORE!$B:$B=PARAMS_MODELO!$B$4) * (HIST_SCORE!$C:$C=A435), HIST_SCORE!$E:$E, "No encontrado")</f>
        <v>PLATINO</v>
      </c>
      <c r="X435" s="5" t="str">
        <f>_xlfn.LET(_xlpm.act,MATCH(V435,{"DIAMANTE";"PLATINO";"ORO";"PLATA";"BRONCE";"CERRADO"},0),_xlpm.ant,MATCH(W435,{"DIAMANTE";"PLATINO";"ORO";"PLATA";"BRONCE";"CERRADO"},0),IF(_xlpm.act&lt;_xlpm.ant,"Mejora ↑",IF(_xlpm.act&gt;_xlpm.ant,"Baja ↓","Estable →")))</f>
        <v>Estable →</v>
      </c>
      <c r="Y435" s="5">
        <f>IFERROR(U435-SUMIFS(HIST_SCORE!$D:$D,HIST_SCORE!$B:$B,PARAMS_MODELO!$B$4,HIST_SCORE!$C:$C,$A435),"")</f>
        <v>1.0689269120069724</v>
      </c>
      <c r="Z435" s="5" t="str">
        <f t="shared" si="149"/>
        <v>→ Estable</v>
      </c>
      <c r="AA435" s="5">
        <f t="shared" si="150"/>
        <v>140</v>
      </c>
      <c r="AB435" s="5">
        <f>IFERROR(SUMIFS(HIST_SCORE!$F:$F,HIST_SCORE!$B:$B,PARAMS_MODELO!$B$4,HIST_SCORE!$C:$C,$A435),"")</f>
        <v>158</v>
      </c>
      <c r="AC435" s="5">
        <f t="shared" si="151"/>
        <v>18</v>
      </c>
      <c r="AD435" t="str">
        <f t="shared" si="153"/>
        <v/>
      </c>
      <c r="AE4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435="CERRADO",1,IF(V435="BRONCE",_xlpm.cPl,IF(V435="PLATA",_xlpm.cO,IF(V435="ORO",_xlpm.cP,IF(V435="PLATINO",_xlpm.cD,999))))))</f>
        <v>96.054919694466676</v>
      </c>
      <c r="AF4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435="CERRADO",0,IF(V435="BRONCE",1,IF(V435="PLATA",_xlpm.cPl,IF(V435="ORO",_xlpm.cO,IF(V435="PLATINO",_xlpm.cP,_xlpm.cD))))))</f>
        <v>86.439123873763251</v>
      </c>
      <c r="AG435">
        <f t="shared" si="154"/>
        <v>6.2693682698810989</v>
      </c>
      <c r="AH435" t="str">
        <f t="shared" si="155"/>
        <v>VENTAS</v>
      </c>
      <c r="AI435" t="str">
        <f t="shared" si="152"/>
        <v>🎯 Para subir de categoría, eje VENTAS / IMPACTO ABSOLUTO (H). Acción: metas semanales + activación comercial + seguimiento del asesor. ΔR aprox: 6,3</v>
      </c>
      <c r="AJ435" s="26">
        <f>_xlfn.LET(_xlpm.piso,AF435,_xlpm.corte,AE435,_xlpm.prog,IF(_xlpm.corte&lt;=_xlpm.piso,0,MAX(0,MIN(1,(U435-_xlpm.piso)/(_xlpm.corte-_xlpm.piso)))),_xlpm.orden,{"DIAMANTE";"PLATINO";"ORO";"PLATA";"BRONCE";"CERRADO"},_xlpm.act,IFERROR(MATCH(V435,_xlpm.orden,0),6),_xlpm.ant,IFERROR(MATCH(W435,_xlpm.orden,0),6),_xlpm.ajmov,IF(_xlpm.act&lt;_xlpm.ant,0.08,IF(_xlpm.act&gt;_xlpm.ant,-0.08,0)),_xlpm.ajcli,IF(T435&lt;0.95,-0.06,0),_xlpm.prob,MAX(0,MIN(1,_xlpm.prog+_xlpm.ajmov+_xlpm.ajcli)),IF(OR(V435="DIAMANTE",V435="CERRADO"),0,ROUND(_xlpm.prob,2)))</f>
        <v>0.35</v>
      </c>
      <c r="AK435" t="str">
        <f t="shared" si="156"/>
        <v>Faltan 6,3 puntos base para subir a la siguiente categoría</v>
      </c>
      <c r="AL435" t="str">
        <f t="shared" si="157"/>
        <v>Margen de seguridad: 3,3 puntos</v>
      </c>
      <c r="AM435">
        <f t="shared" si="158"/>
        <v>0.51</v>
      </c>
      <c r="AN435" t="str">
        <f t="shared" si="159"/>
        <v>PRIORIDAD MEDIA – seguimiento del asesor</v>
      </c>
      <c r="AO435">
        <f t="shared" si="160"/>
        <v>9.3710458950937152</v>
      </c>
      <c r="AP435">
        <f t="shared" si="161"/>
        <v>0.20597195561629178</v>
      </c>
      <c r="AQ435">
        <f t="shared" si="162"/>
        <v>0</v>
      </c>
      <c r="AR435">
        <f t="shared" si="163"/>
        <v>0.5</v>
      </c>
      <c r="AS435">
        <f t="shared" si="164"/>
        <v>0</v>
      </c>
      <c r="AT435" t="str">
        <f t="shared" si="165"/>
        <v>VENTAS</v>
      </c>
      <c r="AU435">
        <f t="shared" si="166"/>
        <v>9.3710458950937152</v>
      </c>
      <c r="AV435" t="str">
        <f t="shared" si="167"/>
        <v>Mayor retorno probable: VENTAS (+9,4 puntos finales potenciales).</v>
      </c>
    </row>
    <row r="436" spans="1:48" x14ac:dyDescent="0.3">
      <c r="A436" s="5">
        <v>51017145</v>
      </c>
      <c r="B436" s="5" t="str">
        <f>IFERROR(VLOOKUP(A436,VENTAS!$A$2:$B$1194,2,0),"")</f>
        <v>ARGUELLO</v>
      </c>
      <c r="C436" s="5">
        <f>IFERROR(INDEX(VENTAS!$C$2:$E$1194,MATCH(A436,VENTAS!$A$2:$A$1194,0),MATCH(PARAMS_MODELO!$B$2,{"Q1","Q2","Q3"},0)),0)</f>
        <v>55866928.239999987</v>
      </c>
      <c r="D436" s="5">
        <f>IFERROR(INDEX(VENTAS!$F$2:$H$1194,MATCH(A436,VENTAS!$A$2:$A$1194,0),MATCH(PARAMS_MODELO!$B$2,{"Q1","Q2","Q3"},0)),0)</f>
        <v>84577314</v>
      </c>
      <c r="E436" s="8">
        <f t="shared" si="144"/>
        <v>0.51390664682086018</v>
      </c>
      <c r="F436" s="12">
        <f>IF(E436&lt;=PARAMS_MODELO!$B$15,0,IF(E436&gt;=PARAMS_MODELO!$B$17,100,100*MIN(1,(E436-PARAMS_MODELO!$B$15)/(PARAMS_MODELO!$B$16-PARAMS_MODELO!$B$15))))*PARAMS_MODELO!$B$7</f>
        <v>35</v>
      </c>
      <c r="G436" s="5">
        <f t="shared" si="145"/>
        <v>28710385.760000013</v>
      </c>
      <c r="H436" s="5">
        <f>(PARAMS_MODELO!$B$20*(MAX(0,MIN(3,E436))/3)+PARAMS_MODELO!$B$21*(IFERROR(LN(1+MAX(0,G436))/LN(1+MAX(0,MAX($G$2:$G$1194))),0)))*100*PARAMS_MODELO!$B$8</f>
        <v>5.8242101839030473</v>
      </c>
      <c r="I436" s="8">
        <f>E436-PARAMS_MODELO!$B$5</f>
        <v>0.33634381144533365</v>
      </c>
      <c r="J436" s="5">
        <f>IF(I436&lt;=PARAMS_MODELO!$B$18,0,IF(I436&gt;=PARAMS_MODELO!$B$19,100,100*(I436-PARAMS_MODELO!$B$18)/(PARAMS_MODELO!$B$19-PARAMS_MODELO!$B$18)))*PARAMS_MODELO!$B$9</f>
        <v>15</v>
      </c>
      <c r="K436" s="5">
        <f>IFERROR(CHOOSE(MATCH(PARAMS_MODELO!$B$2,{"Q1","Q2","Q3"},0),LOTO!$D436,LOTO!$F436,LOTO!$H436),0)</f>
        <v>4175000</v>
      </c>
      <c r="L436" s="8">
        <f t="shared" si="146"/>
        <v>4.9363118814579519E-2</v>
      </c>
      <c r="M436" s="5">
        <f>MIN(100,IF(PARAMS_MODELO!$B$23=0,0,100*L436/PARAMS_MODELO!$B$23))*PARAMS_MODELO!$B$10</f>
        <v>14.808935644373854</v>
      </c>
      <c r="N436" s="5">
        <f>IFERROR(VLOOKUP(A436,COMPLIANCE!$A$2:$F$1996,6,0),100)</f>
        <v>99.98</v>
      </c>
      <c r="O436" s="5">
        <f>N436*PARAMS_MODELO!$B$11</f>
        <v>9.9980000000000011</v>
      </c>
      <c r="P436" s="5">
        <f>IFERROR(VLOOKUP(A436,DIGITAL!$A$2:$J$2000,7,0),100)</f>
        <v>75</v>
      </c>
      <c r="Q436" s="5">
        <f>IFERROR(P436,0)*PARAMS_MODELO!$B$12</f>
        <v>7.5</v>
      </c>
      <c r="R436">
        <f t="shared" si="147"/>
        <v>88.1311458282769</v>
      </c>
      <c r="S436" s="5" t="str">
        <f>IFERROR(VLOOKUP(A436,CLIENTE!$A$2:$N$2000,13,0),1)</f>
        <v>Malo</v>
      </c>
      <c r="T436" s="5">
        <f>IFERROR(VLOOKUP(A436,CLIENTE!$A$2:$N$2000,14,0),1)</f>
        <v>0.7</v>
      </c>
      <c r="U436" s="5">
        <f t="shared" si="148"/>
        <v>61.691802079793824</v>
      </c>
      <c r="V436" s="5" t="str">
        <f>IF(U436&gt;=MAX(_xlfn.PERCENTILE.INC($U$2:$U$1194,PARAMS_MODELO!$B$50),PARAMS_MODELO!$B$45),"DIAMANTE",IF(U436&gt;=MAX(_xlfn.PERCENTILE.INC($U$2:$U$1194,PARAMS_MODELO!$B$51),PARAMS_MODELO!$B$46),"PLATINO",IF(U436&gt;=MAX(_xlfn.PERCENTILE.INC($U$2:$U$1194,PARAMS_MODELO!$B$52),PARAMS_MODELO!$B$47),"ORO",IF(U436&gt;=MAX(_xlfn.PERCENTILE.INC($U$2:$U$1194,PARAMS_MODELO!$B$53),PARAMS_MODELO!$B$48),"PLATA",IF(U436&gt;=1,"BRONCE","CERRADO")))))</f>
        <v>PLATA</v>
      </c>
      <c r="W436" s="5" t="str" cm="1">
        <f t="array" ref="W436">_xlfn.XLOOKUP(1, (HIST_SCORE!$B:$B=PARAMS_MODELO!$B$4) * (HIST_SCORE!$C:$C=A436), HIST_SCORE!$E:$E, "No encontrado")</f>
        <v>PLATA</v>
      </c>
      <c r="X436" s="5" t="str">
        <f>_xlfn.LET(_xlpm.act,MATCH(V436,{"DIAMANTE";"PLATINO";"ORO";"PLATA";"BRONCE";"CERRADO"},0),_xlpm.ant,MATCH(W436,{"DIAMANTE";"PLATINO";"ORO";"PLATA";"BRONCE";"CERRADO"},0),IF(_xlpm.act&lt;_xlpm.ant,"Mejora ↑",IF(_xlpm.act&gt;_xlpm.ant,"Baja ↓","Estable →")))</f>
        <v>Estable →</v>
      </c>
      <c r="Y436" s="5">
        <f>IFERROR(U436-SUMIFS(HIST_SCORE!$D:$D,HIST_SCORE!$B:$B,PARAMS_MODELO!$B$4,HIST_SCORE!$C:$C,$A436),"")</f>
        <v>-0.49973757618131032</v>
      </c>
      <c r="Z436" s="5" t="str">
        <f t="shared" si="149"/>
        <v>→ Estable</v>
      </c>
      <c r="AA436" s="5">
        <f t="shared" si="150"/>
        <v>587</v>
      </c>
      <c r="AB436" s="5">
        <f>IFERROR(SUMIFS(HIST_SCORE!$F:$F,HIST_SCORE!$B:$B,PARAMS_MODELO!$B$4,HIST_SCORE!$C:$C,$A436),"")</f>
        <v>608</v>
      </c>
      <c r="AC436" s="5">
        <f t="shared" si="151"/>
        <v>21</v>
      </c>
      <c r="AD436" t="str">
        <f t="shared" si="153"/>
        <v/>
      </c>
      <c r="AE4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436="CERRADO",1,IF(V436="BRONCE",_xlpm.cPl,IF(V436="PLATA",_xlpm.cO,IF(V436="ORO",_xlpm.cP,IF(V436="PLATINO",_xlpm.cD,999))))))</f>
        <v>63.199193273331495</v>
      </c>
      <c r="AF4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436="CERRADO",0,IF(V436="BRONCE",1,IF(V436="PLATA",_xlpm.cPl,IF(V436="ORO",_xlpm.cO,IF(V436="PLATINO",_xlpm.cP,_xlpm.cD))))))</f>
        <v>24.506573482968111</v>
      </c>
      <c r="AG436">
        <f t="shared" si="154"/>
        <v>2.1534159907680959</v>
      </c>
      <c r="AH436" t="str">
        <f t="shared" si="155"/>
        <v>CLIENTE</v>
      </c>
      <c r="AI436" t="str">
        <f t="shared" si="152"/>
        <v>🎯 Para subir de categoría, la eje con mayor impacto probable es CLIENTE (coef T). Acción: reducir quejas, mejorar incógnito y empujar reseñas. ΔR aprox: 2,2</v>
      </c>
      <c r="AJ436" s="26">
        <f>_xlfn.LET(_xlpm.piso,AF436,_xlpm.corte,AE436,_xlpm.prog,IF(_xlpm.corte&lt;=_xlpm.piso,0,MAX(0,MIN(1,(U436-_xlpm.piso)/(_xlpm.corte-_xlpm.piso)))),_xlpm.orden,{"DIAMANTE";"PLATINO";"ORO";"PLATA";"BRONCE";"CERRADO"},_xlpm.act,IFERROR(MATCH(V436,_xlpm.orden,0),6),_xlpm.ant,IFERROR(MATCH(W436,_xlpm.orden,0),6),_xlpm.ajmov,IF(_xlpm.act&lt;_xlpm.ant,0.08,IF(_xlpm.act&gt;_xlpm.ant,-0.08,0)),_xlpm.ajcli,IF(T436&lt;0.95,-0.06,0),_xlpm.prob,MAX(0,MIN(1,_xlpm.prog+_xlpm.ajmov+_xlpm.ajcli)),IF(OR(V436="DIAMANTE",V436="CERRADO"),0,ROUND(_xlpm.prob,2)))</f>
        <v>0.9</v>
      </c>
      <c r="AK436" t="str">
        <f t="shared" si="156"/>
        <v>Faltan 2,2 puntos base para subir a la siguiente categoría</v>
      </c>
      <c r="AL436" t="str">
        <f t="shared" si="157"/>
        <v>Margen de seguridad: 37,2 puntos</v>
      </c>
      <c r="AM436">
        <f t="shared" si="158"/>
        <v>0.33</v>
      </c>
      <c r="AN436" t="str">
        <f t="shared" si="159"/>
        <v>PRIORIDAD BAJA – control normal</v>
      </c>
      <c r="AO436">
        <f t="shared" si="160"/>
        <v>6.3268513639747752</v>
      </c>
      <c r="AP436">
        <f t="shared" si="161"/>
        <v>0.13374504893830233</v>
      </c>
      <c r="AQ436">
        <f t="shared" si="162"/>
        <v>1.3999999999992239E-3</v>
      </c>
      <c r="AR436">
        <f t="shared" si="163"/>
        <v>1.75</v>
      </c>
      <c r="AS436">
        <f t="shared" si="164"/>
        <v>26.439343748483076</v>
      </c>
      <c r="AT436" t="str">
        <f t="shared" si="165"/>
        <v>CLIENTE</v>
      </c>
      <c r="AU436">
        <f t="shared" si="166"/>
        <v>26.439343748483076</v>
      </c>
      <c r="AV436" t="str">
        <f t="shared" si="167"/>
        <v>Mayor retorno probable: CLIENTE (+26,4 puntos finales potenciales).</v>
      </c>
    </row>
    <row r="437" spans="1:48" x14ac:dyDescent="0.3">
      <c r="A437" s="5">
        <v>51055888</v>
      </c>
      <c r="B437" s="5" t="str">
        <f>IFERROR(VLOOKUP(A437,VENTAS!$A$2:$B$1194,2,0),"")</f>
        <v>ROBERTS</v>
      </c>
      <c r="C437" s="5">
        <f>IFERROR(INDEX(VENTAS!$C$2:$E$1194,MATCH(A437,VENTAS!$A$2:$A$1194,0),MATCH(PARAMS_MODELO!$B$2,{"Q1","Q2","Q3"},0)),0)</f>
        <v>81152316.760000005</v>
      </c>
      <c r="D437" s="5">
        <f>IFERROR(INDEX(VENTAS!$F$2:$H$1194,MATCH(A437,VENTAS!$A$2:$A$1194,0),MATCH(PARAMS_MODELO!$B$2,{"Q1","Q2","Q3"},0)),0)</f>
        <v>84539310</v>
      </c>
      <c r="E437" s="8">
        <f t="shared" si="144"/>
        <v>4.1736248270233478E-2</v>
      </c>
      <c r="F437" s="12">
        <f>IF(E437&lt;=PARAMS_MODELO!$B$15,0,IF(E437&gt;=PARAMS_MODELO!$B$17,100,100*MIN(1,(E437-PARAMS_MODELO!$B$15)/(PARAMS_MODELO!$B$16-PARAMS_MODELO!$B$15))))*PARAMS_MODELO!$B$7</f>
        <v>14.607686894581715</v>
      </c>
      <c r="G437" s="5">
        <f t="shared" si="145"/>
        <v>3386993.2399999946</v>
      </c>
      <c r="H437" s="5">
        <f>(PARAMS_MODELO!$B$20*(MAX(0,MIN(3,E437))/3)+PARAMS_MODELO!$B$21*(IFERROR(LN(1+MAX(0,G437))/LN(1+MAX(0,MAX($G$2:$G$1194))),0)))*100*PARAMS_MODELO!$B$8</f>
        <v>3.6705970585740784</v>
      </c>
      <c r="I437" s="8">
        <f>E437-PARAMS_MODELO!$B$5</f>
        <v>-0.13582658710529305</v>
      </c>
      <c r="J437" s="5">
        <f>IF(I437&lt;=PARAMS_MODELO!$B$18,0,IF(I437&gt;=PARAMS_MODELO!$B$19,100,100*(I437-PARAMS_MODELO!$B$18)/(PARAMS_MODELO!$B$19-PARAMS_MODELO!$B$18)))*PARAMS_MODELO!$B$9</f>
        <v>0</v>
      </c>
      <c r="K437" s="5">
        <f>IFERROR(CHOOSE(MATCH(PARAMS_MODELO!$B$2,{"Q1","Q2","Q3"},0),LOTO!$D437,LOTO!$F437,LOTO!$H437),0)</f>
        <v>4175000</v>
      </c>
      <c r="L437" s="8">
        <f t="shared" si="146"/>
        <v>4.9385309626965253E-2</v>
      </c>
      <c r="M437" s="5">
        <f>MIN(100,IF(PARAMS_MODELO!$B$23=0,0,100*L437/PARAMS_MODELO!$B$23))*PARAMS_MODELO!$B$10</f>
        <v>14.815592888089576</v>
      </c>
      <c r="N437" s="5">
        <f>IFERROR(VLOOKUP(A437,COMPLIANCE!$A$2:$F$1996,6,0),100)</f>
        <v>100</v>
      </c>
      <c r="O437" s="5">
        <f>N437*PARAMS_MODELO!$B$11</f>
        <v>10</v>
      </c>
      <c r="P437" s="5">
        <f>IFERROR(VLOOKUP(A437,DIGITAL!$A$2:$J$2000,7,0),100)</f>
        <v>61</v>
      </c>
      <c r="Q437" s="5">
        <f>IFERROR(P437,0)*PARAMS_MODELO!$B$12</f>
        <v>6.1000000000000005</v>
      </c>
      <c r="R437">
        <f t="shared" si="147"/>
        <v>49.19387684124537</v>
      </c>
      <c r="S437" s="5" t="str">
        <f>IFERROR(VLOOKUP(A437,CLIENTE!$A$2:$N$2000,13,0),1)</f>
        <v>Malo</v>
      </c>
      <c r="T437" s="5">
        <f>IFERROR(VLOOKUP(A437,CLIENTE!$A$2:$N$2000,14,0),1)</f>
        <v>0.7</v>
      </c>
      <c r="U437" s="5">
        <f t="shared" si="148"/>
        <v>34.435713788871759</v>
      </c>
      <c r="V437" s="5" t="str">
        <f>IF(U437&gt;=MAX(_xlfn.PERCENTILE.INC($U$2:$U$1194,PARAMS_MODELO!$B$50),PARAMS_MODELO!$B$45),"DIAMANTE",IF(U437&gt;=MAX(_xlfn.PERCENTILE.INC($U$2:$U$1194,PARAMS_MODELO!$B$51),PARAMS_MODELO!$B$46),"PLATINO",IF(U437&gt;=MAX(_xlfn.PERCENTILE.INC($U$2:$U$1194,PARAMS_MODELO!$B$52),PARAMS_MODELO!$B$47),"ORO",IF(U437&gt;=MAX(_xlfn.PERCENTILE.INC($U$2:$U$1194,PARAMS_MODELO!$B$53),PARAMS_MODELO!$B$48),"PLATA",IF(U437&gt;=1,"BRONCE","CERRADO")))))</f>
        <v>PLATA</v>
      </c>
      <c r="W437" s="5" t="str" cm="1">
        <f t="array" ref="W437">_xlfn.XLOOKUP(1, (HIST_SCORE!$B:$B=PARAMS_MODELO!$B$4) * (HIST_SCORE!$C:$C=A437), HIST_SCORE!$E:$E, "No encontrado")</f>
        <v>PLATA</v>
      </c>
      <c r="X437" s="5" t="str">
        <f>_xlfn.LET(_xlpm.act,MATCH(V437,{"DIAMANTE";"PLATINO";"ORO";"PLATA";"BRONCE";"CERRADO"},0),_xlpm.ant,MATCH(W437,{"DIAMANTE";"PLATINO";"ORO";"PLATA";"BRONCE";"CERRADO"},0),IF(_xlpm.act&lt;_xlpm.ant,"Mejora ↑",IF(_xlpm.act&gt;_xlpm.ant,"Baja ↓","Estable →")))</f>
        <v>Estable →</v>
      </c>
      <c r="Y437" s="5">
        <f>IFERROR(U437-SUMIFS(HIST_SCORE!$D:$D,HIST_SCORE!$B:$B,PARAMS_MODELO!$B$4,HIST_SCORE!$C:$C,$A437),"")</f>
        <v>-12.778193177788651</v>
      </c>
      <c r="Z437" s="5" t="str">
        <f t="shared" si="149"/>
        <v>↓ Baja</v>
      </c>
      <c r="AA437" s="5">
        <f t="shared" si="150"/>
        <v>810</v>
      </c>
      <c r="AB437" s="5">
        <f>IFERROR(SUMIFS(HIST_SCORE!$F:$F,HIST_SCORE!$B:$B,PARAMS_MODELO!$B$4,HIST_SCORE!$C:$C,$A437),"")</f>
        <v>804</v>
      </c>
      <c r="AC437" s="5">
        <f t="shared" si="151"/>
        <v>-6</v>
      </c>
      <c r="AD437" t="str">
        <f t="shared" si="153"/>
        <v/>
      </c>
      <c r="AE4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437="CERRADO",1,IF(V437="BRONCE",_xlpm.cPl,IF(V437="PLATA",_xlpm.cO,IF(V437="ORO",_xlpm.cP,IF(V437="PLATINO",_xlpm.cD,999))))))</f>
        <v>63.199193273331495</v>
      </c>
      <c r="AF4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437="CERRADO",0,IF(V437="BRONCE",1,IF(V437="PLATA",_xlpm.cPl,IF(V437="ORO",_xlpm.cO,IF(V437="PLATINO",_xlpm.cP,_xlpm.cD))))))</f>
        <v>24.506573482968111</v>
      </c>
      <c r="AG437">
        <f t="shared" si="154"/>
        <v>41.090684977799626</v>
      </c>
      <c r="AH437" t="str">
        <f t="shared" si="155"/>
        <v>VENTAS</v>
      </c>
      <c r="AI437" t="str">
        <f t="shared" si="152"/>
        <v>🎯 Para subir de categoría, eje VENTAS / DIFERENCIAL vs LOTBA (J). Acción: metas semanales + activación comercial + seguimiento del asesor. ΔR aprox: 41,1</v>
      </c>
      <c r="AJ437" s="26">
        <f>_xlfn.LET(_xlpm.piso,AF437,_xlpm.corte,AE437,_xlpm.prog,IF(_xlpm.corte&lt;=_xlpm.piso,0,MAX(0,MIN(1,(U437-_xlpm.piso)/(_xlpm.corte-_xlpm.piso)))),_xlpm.orden,{"DIAMANTE";"PLATINO";"ORO";"PLATA";"BRONCE";"CERRADO"},_xlpm.act,IFERROR(MATCH(V437,_xlpm.orden,0),6),_xlpm.ant,IFERROR(MATCH(W437,_xlpm.orden,0),6),_xlpm.ajmov,IF(_xlpm.act&lt;_xlpm.ant,0.08,IF(_xlpm.act&gt;_xlpm.ant,-0.08,0)),_xlpm.ajcli,IF(T437&lt;0.95,-0.06,0),_xlpm.prob,MAX(0,MIN(1,_xlpm.prog+_xlpm.ajmov+_xlpm.ajcli)),IF(OR(V437="DIAMANTE",V437="CERRADO"),0,ROUND(_xlpm.prob,2)))</f>
        <v>0.2</v>
      </c>
      <c r="AK437" t="str">
        <f t="shared" si="156"/>
        <v>Faltan 41,1 puntos base para subir a la siguiente categoría</v>
      </c>
      <c r="AL437" t="str">
        <f t="shared" si="157"/>
        <v>Margen de seguridad: 9,9 puntos</v>
      </c>
      <c r="AM437">
        <f t="shared" si="158"/>
        <v>0.92</v>
      </c>
      <c r="AN437" t="str">
        <f t="shared" si="159"/>
        <v>PRIORIDAD ALTA – requiere intervención inmediata</v>
      </c>
      <c r="AO437">
        <f t="shared" si="160"/>
        <v>32.608999725497853</v>
      </c>
      <c r="AP437">
        <f t="shared" si="161"/>
        <v>0.12908497833729696</v>
      </c>
      <c r="AQ437">
        <f t="shared" si="162"/>
        <v>0</v>
      </c>
      <c r="AR437">
        <f t="shared" si="163"/>
        <v>2.7299999999999995</v>
      </c>
      <c r="AS437">
        <f t="shared" si="164"/>
        <v>14.758163052373613</v>
      </c>
      <c r="AT437" t="str">
        <f t="shared" si="165"/>
        <v>VENTAS</v>
      </c>
      <c r="AU437">
        <f t="shared" si="166"/>
        <v>32.608999725497853</v>
      </c>
      <c r="AV437" t="str">
        <f t="shared" si="167"/>
        <v>Mayor retorno probable: VENTAS (+32,6 puntos finales potenciales).</v>
      </c>
    </row>
    <row r="438" spans="1:48" x14ac:dyDescent="0.3">
      <c r="A438" s="5">
        <v>51031881</v>
      </c>
      <c r="B438" s="5" t="str">
        <f>IFERROR(VLOOKUP(A438,VENTAS!$A$2:$B$1194,2,0),"")</f>
        <v>MONTENEGRO</v>
      </c>
      <c r="C438" s="5">
        <f>IFERROR(INDEX(VENTAS!$C$2:$E$1194,MATCH(A438,VENTAS!$A$2:$A$1194,0),MATCH(PARAMS_MODELO!$B$2,{"Q1","Q2","Q3"},0)),0)</f>
        <v>65491793.460000001</v>
      </c>
      <c r="D438" s="5">
        <f>IFERROR(INDEX(VENTAS!$F$2:$H$1194,MATCH(A438,VENTAS!$A$2:$A$1194,0),MATCH(PARAMS_MODELO!$B$2,{"Q1","Q2","Q3"},0)),0)</f>
        <v>84510671</v>
      </c>
      <c r="E438" s="8">
        <f t="shared" si="144"/>
        <v>0.29040092712709176</v>
      </c>
      <c r="F438" s="12">
        <f>IF(E438&lt;=PARAMS_MODELO!$B$15,0,IF(E438&gt;=PARAMS_MODELO!$B$17,100,100*MIN(1,(E438-PARAMS_MODELO!$B$15)/(PARAMS_MODELO!$B$16-PARAMS_MODELO!$B$15))))*PARAMS_MODELO!$B$7</f>
        <v>35</v>
      </c>
      <c r="G438" s="5">
        <f t="shared" si="145"/>
        <v>19018877.539999999</v>
      </c>
      <c r="H438" s="5">
        <f>(PARAMS_MODELO!$B$20*(MAX(0,MIN(3,E438))/3)+PARAMS_MODELO!$B$21*(IFERROR(LN(1+MAX(0,G438))/LN(1+MAX(0,MAX($G$2:$G$1194))),0)))*100*PARAMS_MODELO!$B$8</f>
        <v>4.9454021967721715</v>
      </c>
      <c r="I438" s="8">
        <f>E438-PARAMS_MODELO!$B$5</f>
        <v>0.11283809175156523</v>
      </c>
      <c r="J438" s="5">
        <f>IF(I438&lt;=PARAMS_MODELO!$B$18,0,IF(I438&gt;=PARAMS_MODELO!$B$19,100,100*(I438-PARAMS_MODELO!$B$18)/(PARAMS_MODELO!$B$19-PARAMS_MODELO!$B$18)))*PARAMS_MODELO!$B$9</f>
        <v>15</v>
      </c>
      <c r="K438" s="5">
        <f>IFERROR(CHOOSE(MATCH(PARAMS_MODELO!$B$2,{"Q1","Q2","Q3"},0),LOTO!$D438,LOTO!$F438,LOTO!$H438),0)</f>
        <v>4172500</v>
      </c>
      <c r="L438" s="8">
        <f t="shared" si="146"/>
        <v>4.9372463271531712E-2</v>
      </c>
      <c r="M438" s="5">
        <f>MIN(100,IF(PARAMS_MODELO!$B$23=0,0,100*L438/PARAMS_MODELO!$B$23))*PARAMS_MODELO!$B$10</f>
        <v>14.811738981459511</v>
      </c>
      <c r="N438" s="5">
        <f>IFERROR(VLOOKUP(A438,COMPLIANCE!$A$2:$F$1996,6,0),100)</f>
        <v>100</v>
      </c>
      <c r="O438" s="5">
        <f>N438*PARAMS_MODELO!$B$11</f>
        <v>10</v>
      </c>
      <c r="P438" s="5">
        <f>IFERROR(VLOOKUP(A438,DIGITAL!$A$2:$J$2000,7,0),100)</f>
        <v>89</v>
      </c>
      <c r="Q438" s="5">
        <f>IFERROR(P438,0)*PARAMS_MODELO!$B$12</f>
        <v>8.9</v>
      </c>
      <c r="R438">
        <f t="shared" si="147"/>
        <v>88.657141178231683</v>
      </c>
      <c r="S438" s="5" t="str">
        <f>IFERROR(VLOOKUP(A438,CLIENTE!$A$2:$N$2000,13,0),1)</f>
        <v>Regular</v>
      </c>
      <c r="T438" s="5">
        <f>IFERROR(VLOOKUP(A438,CLIENTE!$A$2:$N$2000,14,0),1)</f>
        <v>1</v>
      </c>
      <c r="U438" s="5">
        <f t="shared" si="148"/>
        <v>88.657141178231683</v>
      </c>
      <c r="V438" s="5" t="str">
        <f>IF(U438&gt;=MAX(_xlfn.PERCENTILE.INC($U$2:$U$1194,PARAMS_MODELO!$B$50),PARAMS_MODELO!$B$45),"DIAMANTE",IF(U438&gt;=MAX(_xlfn.PERCENTILE.INC($U$2:$U$1194,PARAMS_MODELO!$B$51),PARAMS_MODELO!$B$46),"PLATINO",IF(U438&gt;=MAX(_xlfn.PERCENTILE.INC($U$2:$U$1194,PARAMS_MODELO!$B$52),PARAMS_MODELO!$B$47),"ORO",IF(U438&gt;=MAX(_xlfn.PERCENTILE.INC($U$2:$U$1194,PARAMS_MODELO!$B$53),PARAMS_MODELO!$B$48),"PLATA",IF(U438&gt;=1,"BRONCE","CERRADO")))))</f>
        <v>PLATINO</v>
      </c>
      <c r="W438" s="5" t="str" cm="1">
        <f t="array" ref="W438">_xlfn.XLOOKUP(1, (HIST_SCORE!$B:$B=PARAMS_MODELO!$B$4) * (HIST_SCORE!$C:$C=A438), HIST_SCORE!$E:$E, "No encontrado")</f>
        <v>PLATINO</v>
      </c>
      <c r="X438" s="5" t="str">
        <f>_xlfn.LET(_xlpm.act,MATCH(V438,{"DIAMANTE";"PLATINO";"ORO";"PLATA";"BRONCE";"CERRADO"},0),_xlpm.ant,MATCH(W438,{"DIAMANTE";"PLATINO";"ORO";"PLATA";"BRONCE";"CERRADO"},0),IF(_xlpm.act&lt;_xlpm.ant,"Mejora ↑",IF(_xlpm.act&gt;_xlpm.ant,"Baja ↓","Estable →")))</f>
        <v>Estable →</v>
      </c>
      <c r="Y438" s="5">
        <f>IFERROR(U438-SUMIFS(HIST_SCORE!$D:$D,HIST_SCORE!$B:$B,PARAMS_MODELO!$B$4,HIST_SCORE!$C:$C,$A438),"")</f>
        <v>0.42384459347211134</v>
      </c>
      <c r="Z438" s="5" t="str">
        <f t="shared" si="149"/>
        <v>→ Estable</v>
      </c>
      <c r="AA438" s="5">
        <f t="shared" si="150"/>
        <v>178</v>
      </c>
      <c r="AB438" s="5">
        <f>IFERROR(SUMIFS(HIST_SCORE!$F:$F,HIST_SCORE!$B:$B,PARAMS_MODELO!$B$4,HIST_SCORE!$C:$C,$A438),"")</f>
        <v>173</v>
      </c>
      <c r="AC438" s="5">
        <f t="shared" si="151"/>
        <v>-5</v>
      </c>
      <c r="AD438" t="str">
        <f t="shared" si="153"/>
        <v/>
      </c>
      <c r="AE4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438="CERRADO",1,IF(V438="BRONCE",_xlpm.cPl,IF(V438="PLATA",_xlpm.cO,IF(V438="ORO",_xlpm.cP,IF(V438="PLATINO",_xlpm.cD,999))))))</f>
        <v>96.054919694466676</v>
      </c>
      <c r="AF4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438="CERRADO",0,IF(V438="BRONCE",1,IF(V438="PLATA",_xlpm.cPl,IF(V438="ORO",_xlpm.cO,IF(V438="PLATINO",_xlpm.cP,_xlpm.cD))))))</f>
        <v>86.439123873763251</v>
      </c>
      <c r="AG438">
        <f t="shared" si="154"/>
        <v>7.3977785162349932</v>
      </c>
      <c r="AH438" t="str">
        <f t="shared" si="155"/>
        <v>VENTAS</v>
      </c>
      <c r="AI438" t="str">
        <f t="shared" si="152"/>
        <v>🎯 Para subir de categoría, eje VENTAS / IMPACTO ABSOLUTO (H). Acción: metas semanales + activación comercial + seguimiento del asesor. ΔR aprox: 7,4</v>
      </c>
      <c r="AJ438" s="26">
        <f>_xlfn.LET(_xlpm.piso,AF438,_xlpm.corte,AE438,_xlpm.prog,IF(_xlpm.corte&lt;=_xlpm.piso,0,MAX(0,MIN(1,(U438-_xlpm.piso)/(_xlpm.corte-_xlpm.piso)))),_xlpm.orden,{"DIAMANTE";"PLATINO";"ORO";"PLATA";"BRONCE";"CERRADO"},_xlpm.act,IFERROR(MATCH(V438,_xlpm.orden,0),6),_xlpm.ant,IFERROR(MATCH(W438,_xlpm.orden,0),6),_xlpm.ajmov,IF(_xlpm.act&lt;_xlpm.ant,0.08,IF(_xlpm.act&gt;_xlpm.ant,-0.08,0)),_xlpm.ajcli,IF(T438&lt;0.95,-0.06,0),_xlpm.prob,MAX(0,MIN(1,_xlpm.prog+_xlpm.ajmov+_xlpm.ajcli)),IF(OR(V438="DIAMANTE",V438="CERRADO"),0,ROUND(_xlpm.prob,2)))</f>
        <v>0.23</v>
      </c>
      <c r="AK438" t="str">
        <f t="shared" si="156"/>
        <v>Faltan 7,4 puntos base para subir a la siguiente categoría</v>
      </c>
      <c r="AL438" t="str">
        <f t="shared" si="157"/>
        <v>Margen de seguridad: 2,2 puntos</v>
      </c>
      <c r="AM438">
        <f t="shared" si="158"/>
        <v>0.6</v>
      </c>
      <c r="AN438" t="str">
        <f t="shared" si="159"/>
        <v>PRIORIDAD MEDIA – seguimiento del asesor</v>
      </c>
      <c r="AO438">
        <f t="shared" si="160"/>
        <v>9.9171670785234127</v>
      </c>
      <c r="AP438">
        <f t="shared" si="161"/>
        <v>0.18826101854048893</v>
      </c>
      <c r="AQ438">
        <f t="shared" si="162"/>
        <v>0</v>
      </c>
      <c r="AR438">
        <f t="shared" si="163"/>
        <v>1.0999999999999996</v>
      </c>
      <c r="AS438">
        <f t="shared" si="164"/>
        <v>0</v>
      </c>
      <c r="AT438" t="str">
        <f t="shared" si="165"/>
        <v>VENTAS</v>
      </c>
      <c r="AU438">
        <f t="shared" si="166"/>
        <v>9.9171670785234127</v>
      </c>
      <c r="AV438" t="str">
        <f t="shared" si="167"/>
        <v>Mayor retorno probable: VENTAS (+9,9 puntos finales potenciales).</v>
      </c>
    </row>
    <row r="439" spans="1:48" x14ac:dyDescent="0.3">
      <c r="A439" s="5">
        <v>51010060</v>
      </c>
      <c r="B439" s="5" t="str">
        <f>IFERROR(VLOOKUP(A439,VENTAS!$A$2:$B$1194,2,0),"")</f>
        <v>AYALA</v>
      </c>
      <c r="C439" s="5">
        <f>IFERROR(INDEX(VENTAS!$C$2:$E$1194,MATCH(A439,VENTAS!$A$2:$A$1194,0),MATCH(PARAMS_MODELO!$B$2,{"Q1","Q2","Q3"},0)),0)</f>
        <v>72808969.75</v>
      </c>
      <c r="D439" s="5">
        <f>IFERROR(INDEX(VENTAS!$F$2:$H$1194,MATCH(A439,VENTAS!$A$2:$A$1194,0),MATCH(PARAMS_MODELO!$B$2,{"Q1","Q2","Q3"},0)),0)</f>
        <v>84031409</v>
      </c>
      <c r="E439" s="8">
        <f t="shared" si="144"/>
        <v>0.15413539414901556</v>
      </c>
      <c r="F439" s="12">
        <f>IF(E439&lt;=PARAMS_MODELO!$B$15,0,IF(E439&gt;=PARAMS_MODELO!$B$17,100,100*MIN(1,(E439-PARAMS_MODELO!$B$15)/(PARAMS_MODELO!$B$16-PARAMS_MODELO!$B$15))))*PARAMS_MODELO!$B$7</f>
        <v>35</v>
      </c>
      <c r="G439" s="5">
        <f t="shared" si="145"/>
        <v>11222439.25</v>
      </c>
      <c r="H439" s="5">
        <f>(PARAMS_MODELO!$B$20*(MAX(0,MIN(3,E439))/3)+PARAMS_MODELO!$B$21*(IFERROR(LN(1+MAX(0,G439))/LN(1+MAX(0,MAX($G$2:$G$1194))),0)))*100*PARAMS_MODELO!$B$8</f>
        <v>4.3448155463454734</v>
      </c>
      <c r="I439" s="8">
        <f>E439-PARAMS_MODELO!$B$5</f>
        <v>-2.342744122651097E-2</v>
      </c>
      <c r="J439" s="5">
        <f>IF(I439&lt;=PARAMS_MODELO!$B$18,0,IF(I439&gt;=PARAMS_MODELO!$B$19,100,100*(I439-PARAMS_MODELO!$B$18)/(PARAMS_MODELO!$B$19-PARAMS_MODELO!$B$18)))*PARAMS_MODELO!$B$9</f>
        <v>3.9858838160233545</v>
      </c>
      <c r="K439" s="5">
        <f>IFERROR(CHOOSE(MATCH(PARAMS_MODELO!$B$2,{"Q1","Q2","Q3"},0),LOTO!$D439,LOTO!$F439,LOTO!$H439),0)</f>
        <v>4165000</v>
      </c>
      <c r="L439" s="8">
        <f t="shared" si="146"/>
        <v>4.9564800228447913E-2</v>
      </c>
      <c r="M439" s="5">
        <f>MIN(100,IF(PARAMS_MODELO!$B$23=0,0,100*L439/PARAMS_MODELO!$B$23))*PARAMS_MODELO!$B$10</f>
        <v>14.869440068534372</v>
      </c>
      <c r="N439" s="5">
        <f>IFERROR(VLOOKUP(A439,COMPLIANCE!$A$2:$F$1996,6,0),100)</f>
        <v>100</v>
      </c>
      <c r="O439" s="5">
        <f>N439*PARAMS_MODELO!$B$11</f>
        <v>10</v>
      </c>
      <c r="P439" s="5">
        <f>IFERROR(VLOOKUP(A439,DIGITAL!$A$2:$J$2000,7,0),100)</f>
        <v>83</v>
      </c>
      <c r="Q439" s="5">
        <f>IFERROR(P439,0)*PARAMS_MODELO!$B$12</f>
        <v>8.3000000000000007</v>
      </c>
      <c r="R439">
        <f t="shared" si="147"/>
        <v>76.500139430903189</v>
      </c>
      <c r="S439" s="5" t="str">
        <f>IFERROR(VLOOKUP(A439,CLIENTE!$A$2:$N$2000,13,0),1)</f>
        <v>Excelente</v>
      </c>
      <c r="T439" s="5">
        <f>IFERROR(VLOOKUP(A439,CLIENTE!$A$2:$N$2000,14,0),1)</f>
        <v>1.2</v>
      </c>
      <c r="U439" s="5">
        <f t="shared" si="148"/>
        <v>91.800167317083819</v>
      </c>
      <c r="V439" s="5" t="str">
        <f>IF(U439&gt;=MAX(_xlfn.PERCENTILE.INC($U$2:$U$1194,PARAMS_MODELO!$B$50),PARAMS_MODELO!$B$45),"DIAMANTE",IF(U439&gt;=MAX(_xlfn.PERCENTILE.INC($U$2:$U$1194,PARAMS_MODELO!$B$51),PARAMS_MODELO!$B$46),"PLATINO",IF(U439&gt;=MAX(_xlfn.PERCENTILE.INC($U$2:$U$1194,PARAMS_MODELO!$B$52),PARAMS_MODELO!$B$47),"ORO",IF(U439&gt;=MAX(_xlfn.PERCENTILE.INC($U$2:$U$1194,PARAMS_MODELO!$B$53),PARAMS_MODELO!$B$48),"PLATA",IF(U439&gt;=1,"BRONCE","CERRADO")))))</f>
        <v>PLATINO</v>
      </c>
      <c r="W439" s="5" t="str" cm="1">
        <f t="array" ref="W439">_xlfn.XLOOKUP(1, (HIST_SCORE!$B:$B=PARAMS_MODELO!$B$4) * (HIST_SCORE!$C:$C=A439), HIST_SCORE!$E:$E, "No encontrado")</f>
        <v>DIAMANTE</v>
      </c>
      <c r="X439" s="5" t="str">
        <f>_xlfn.LET(_xlpm.act,MATCH(V439,{"DIAMANTE";"PLATINO";"ORO";"PLATA";"BRONCE";"CERRADO"},0),_xlpm.ant,MATCH(W439,{"DIAMANTE";"PLATINO";"ORO";"PLATA";"BRONCE";"CERRADO"},0),IF(_xlpm.act&lt;_xlpm.ant,"Mejora ↑",IF(_xlpm.act&gt;_xlpm.ant,"Baja ↓","Estable →")))</f>
        <v>Baja ↓</v>
      </c>
      <c r="Y439" s="5">
        <f>IFERROR(U439-SUMIFS(HIST_SCORE!$D:$D,HIST_SCORE!$B:$B,PARAMS_MODELO!$B$4,HIST_SCORE!$C:$C,$A439),"")</f>
        <v>-8.1998326829161812</v>
      </c>
      <c r="Z439" s="5" t="str">
        <f t="shared" si="149"/>
        <v>↓ Baja</v>
      </c>
      <c r="AA439" s="5">
        <f t="shared" si="150"/>
        <v>108</v>
      </c>
      <c r="AB439" s="5">
        <f>IFERROR(SUMIFS(HIST_SCORE!$F:$F,HIST_SCORE!$B:$B,PARAMS_MODELO!$B$4,HIST_SCORE!$C:$C,$A439),"")</f>
        <v>1</v>
      </c>
      <c r="AC439" s="5">
        <f t="shared" si="151"/>
        <v>-107</v>
      </c>
      <c r="AD439" t="str">
        <f t="shared" si="153"/>
        <v/>
      </c>
      <c r="AE4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439="CERRADO",1,IF(V439="BRONCE",_xlpm.cPl,IF(V439="PLATA",_xlpm.cO,IF(V439="ORO",_xlpm.cP,IF(V439="PLATINO",_xlpm.cD,999))))))</f>
        <v>96.054919694466676</v>
      </c>
      <c r="AF4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439="CERRADO",0,IF(V439="BRONCE",1,IF(V439="PLATA",_xlpm.cPl,IF(V439="ORO",_xlpm.cO,IF(V439="PLATINO",_xlpm.cP,_xlpm.cD))))))</f>
        <v>86.439123873763251</v>
      </c>
      <c r="AG439">
        <f t="shared" si="154"/>
        <v>3.5456269811523811</v>
      </c>
      <c r="AH439" t="str">
        <f t="shared" si="155"/>
        <v>VENTAS</v>
      </c>
      <c r="AI439" t="str">
        <f t="shared" si="152"/>
        <v>🎯 Para subir de categoría, eje VENTAS / DIFERENCIAL vs LOTBA (J). Acción: metas semanales + activación comercial + seguimiento del asesor. ΔR aprox: 3,5</v>
      </c>
      <c r="AJ439" s="26">
        <f>_xlfn.LET(_xlpm.piso,AF439,_xlpm.corte,AE439,_xlpm.prog,IF(_xlpm.corte&lt;=_xlpm.piso,0,MAX(0,MIN(1,(U439-_xlpm.piso)/(_xlpm.corte-_xlpm.piso)))),_xlpm.orden,{"DIAMANTE";"PLATINO";"ORO";"PLATA";"BRONCE";"CERRADO"},_xlpm.act,IFERROR(MATCH(V439,_xlpm.orden,0),6),_xlpm.ant,IFERROR(MATCH(W439,_xlpm.orden,0),6),_xlpm.ajmov,IF(_xlpm.act&lt;_xlpm.ant,0.08,IF(_xlpm.act&gt;_xlpm.ant,-0.08,0)),_xlpm.ajcli,IF(T439&lt;0.95,-0.06,0),_xlpm.prob,MAX(0,MIN(1,_xlpm.prog+_xlpm.ajmov+_xlpm.ajcli)),IF(OR(V439="DIAMANTE",V439="CERRADO"),0,ROUND(_xlpm.prob,2)))</f>
        <v>0.48</v>
      </c>
      <c r="AK439" t="str">
        <f t="shared" si="156"/>
        <v>Faltan 3,5 puntos base para subir a la siguiente categoría</v>
      </c>
      <c r="AL439" t="str">
        <f t="shared" si="157"/>
        <v>Margen de seguridad: 5,4 puntos</v>
      </c>
      <c r="AM439">
        <f t="shared" si="158"/>
        <v>0.35</v>
      </c>
      <c r="AN439" t="str">
        <f t="shared" si="159"/>
        <v>PRIORIDAD BAJA – control normal</v>
      </c>
      <c r="AO439">
        <f t="shared" si="160"/>
        <v>25.838243895512111</v>
      </c>
      <c r="AP439">
        <f t="shared" si="161"/>
        <v>0.15667191775875366</v>
      </c>
      <c r="AQ439">
        <f t="shared" si="162"/>
        <v>0</v>
      </c>
      <c r="AR439">
        <f t="shared" si="163"/>
        <v>2.0399999999999991</v>
      </c>
      <c r="AS439">
        <f t="shared" si="164"/>
        <v>0</v>
      </c>
      <c r="AT439" t="str">
        <f t="shared" si="165"/>
        <v>VENTAS</v>
      </c>
      <c r="AU439">
        <f t="shared" si="166"/>
        <v>25.838243895512111</v>
      </c>
      <c r="AV439" t="str">
        <f t="shared" si="167"/>
        <v>Mayor retorno probable: VENTAS (+25,8 puntos finales potenciales).</v>
      </c>
    </row>
    <row r="440" spans="1:48" x14ac:dyDescent="0.3">
      <c r="A440" s="5">
        <v>51056400</v>
      </c>
      <c r="B440" s="5" t="str">
        <f>IFERROR(VLOOKUP(A440,VENTAS!$A$2:$B$1194,2,0),"")</f>
        <v>PUGH</v>
      </c>
      <c r="C440" s="5">
        <f>IFERROR(INDEX(VENTAS!$C$2:$E$1194,MATCH(A440,VENTAS!$A$2:$A$1194,0),MATCH(PARAMS_MODELO!$B$2,{"Q1","Q2","Q3"},0)),0)</f>
        <v>67552694.140000001</v>
      </c>
      <c r="D440" s="5">
        <f>IFERROR(INDEX(VENTAS!$F$2:$H$1194,MATCH(A440,VENTAS!$A$2:$A$1194,0),MATCH(PARAMS_MODELO!$B$2,{"Q1","Q2","Q3"},0)),0)</f>
        <v>84022645</v>
      </c>
      <c r="E440" s="8">
        <f t="shared" si="144"/>
        <v>0.24380894159256994</v>
      </c>
      <c r="F440" s="12">
        <f>IF(E440&lt;=PARAMS_MODELO!$B$15,0,IF(E440&gt;=PARAMS_MODELO!$B$17,100,100*MIN(1,(E440-PARAMS_MODELO!$B$15)/(PARAMS_MODELO!$B$16-PARAMS_MODELO!$B$15))))*PARAMS_MODELO!$B$7</f>
        <v>35</v>
      </c>
      <c r="G440" s="5">
        <f t="shared" si="145"/>
        <v>16469950.859999999</v>
      </c>
      <c r="H440" s="5">
        <f>(PARAMS_MODELO!$B$20*(MAX(0,MIN(3,E440))/3)+PARAMS_MODELO!$B$21*(IFERROR(LN(1+MAX(0,G440))/LN(1+MAX(0,MAX($G$2:$G$1194))),0)))*100*PARAMS_MODELO!$B$8</f>
        <v>4.7485993743122838</v>
      </c>
      <c r="I440" s="8">
        <f>E440-PARAMS_MODELO!$B$5</f>
        <v>6.624610621704341E-2</v>
      </c>
      <c r="J440" s="5">
        <f>IF(I440&lt;=PARAMS_MODELO!$B$18,0,IF(I440&gt;=PARAMS_MODELO!$B$19,100,100*(I440-PARAMS_MODELO!$B$18)/(PARAMS_MODELO!$B$19-PARAMS_MODELO!$B$18)))*PARAMS_MODELO!$B$9</f>
        <v>15</v>
      </c>
      <c r="K440" s="5">
        <f>IFERROR(CHOOSE(MATCH(PARAMS_MODELO!$B$2,{"Q1","Q2","Q3"},0),LOTO!$D440,LOTO!$F440,LOTO!$H440),0)</f>
        <v>4162500</v>
      </c>
      <c r="L440" s="8">
        <f t="shared" si="146"/>
        <v>4.9540216211950955E-2</v>
      </c>
      <c r="M440" s="5">
        <f>MIN(100,IF(PARAMS_MODELO!$B$23=0,0,100*L440/PARAMS_MODELO!$B$23))*PARAMS_MODELO!$B$10</f>
        <v>14.862064863585283</v>
      </c>
      <c r="N440" s="5">
        <f>IFERROR(VLOOKUP(A440,COMPLIANCE!$A$2:$F$1996,6,0),100)</f>
        <v>100</v>
      </c>
      <c r="O440" s="5">
        <f>N440*PARAMS_MODELO!$B$11</f>
        <v>10</v>
      </c>
      <c r="P440" s="5">
        <f>IFERROR(VLOOKUP(A440,DIGITAL!$A$2:$J$2000,7,0),100)</f>
        <v>73</v>
      </c>
      <c r="Q440" s="5">
        <f>IFERROR(P440,0)*PARAMS_MODELO!$B$12</f>
        <v>7.3000000000000007</v>
      </c>
      <c r="R440">
        <f t="shared" si="147"/>
        <v>86.910664237897564</v>
      </c>
      <c r="S440" s="5" t="str">
        <f>IFERROR(VLOOKUP(A440,CLIENTE!$A$2:$N$2000,13,0),1)</f>
        <v>Bueno</v>
      </c>
      <c r="T440" s="5">
        <f>IFERROR(VLOOKUP(A440,CLIENTE!$A$2:$N$2000,14,0),1)</f>
        <v>1.1000000000000001</v>
      </c>
      <c r="U440" s="5">
        <f t="shared" si="148"/>
        <v>95.601730661687327</v>
      </c>
      <c r="V440" s="5" t="str">
        <f>IF(U440&gt;=MAX(_xlfn.PERCENTILE.INC($U$2:$U$1194,PARAMS_MODELO!$B$50),PARAMS_MODELO!$B$45),"DIAMANTE",IF(U440&gt;=MAX(_xlfn.PERCENTILE.INC($U$2:$U$1194,PARAMS_MODELO!$B$51),PARAMS_MODELO!$B$46),"PLATINO",IF(U440&gt;=MAX(_xlfn.PERCENTILE.INC($U$2:$U$1194,PARAMS_MODELO!$B$52),PARAMS_MODELO!$B$47),"ORO",IF(U440&gt;=MAX(_xlfn.PERCENTILE.INC($U$2:$U$1194,PARAMS_MODELO!$B$53),PARAMS_MODELO!$B$48),"PLATA",IF(U440&gt;=1,"BRONCE","CERRADO")))))</f>
        <v>PLATINO</v>
      </c>
      <c r="W440" s="5" t="str" cm="1">
        <f t="array" ref="W440">_xlfn.XLOOKUP(1, (HIST_SCORE!$B:$B=PARAMS_MODELO!$B$4) * (HIST_SCORE!$C:$C=A440), HIST_SCORE!$E:$E, "No encontrado")</f>
        <v>PLATINO</v>
      </c>
      <c r="X440" s="5" t="str">
        <f>_xlfn.LET(_xlpm.act,MATCH(V440,{"DIAMANTE";"PLATINO";"ORO";"PLATA";"BRONCE";"CERRADO"},0),_xlpm.ant,MATCH(W440,{"DIAMANTE";"PLATINO";"ORO";"PLATA";"BRONCE";"CERRADO"},0),IF(_xlpm.act&lt;_xlpm.ant,"Mejora ↑",IF(_xlpm.act&gt;_xlpm.ant,"Baja ↓","Estable →")))</f>
        <v>Estable →</v>
      </c>
      <c r="Y440" s="5">
        <f>IFERROR(U440-SUMIFS(HIST_SCORE!$D:$D,HIST_SCORE!$B:$B,PARAMS_MODELO!$B$4,HIST_SCORE!$C:$C,$A440),"")</f>
        <v>2.53369665001577</v>
      </c>
      <c r="Z440" s="5" t="str">
        <f t="shared" si="149"/>
        <v>→ Estable</v>
      </c>
      <c r="AA440" s="5">
        <f t="shared" si="150"/>
        <v>65</v>
      </c>
      <c r="AB440" s="5">
        <f>IFERROR(SUMIFS(HIST_SCORE!$F:$F,HIST_SCORE!$B:$B,PARAMS_MODELO!$B$4,HIST_SCORE!$C:$C,$A440),"")</f>
        <v>88</v>
      </c>
      <c r="AC440" s="5">
        <f t="shared" si="151"/>
        <v>23</v>
      </c>
      <c r="AD440" t="str">
        <f t="shared" si="153"/>
        <v/>
      </c>
      <c r="AE4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440="CERRADO",1,IF(V440="BRONCE",_xlpm.cPl,IF(V440="PLATA",_xlpm.cO,IF(V440="ORO",_xlpm.cP,IF(V440="PLATINO",_xlpm.cD,999))))))</f>
        <v>96.054919694466676</v>
      </c>
      <c r="AF4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440="CERRADO",0,IF(V440="BRONCE",1,IF(V440="PLATA",_xlpm.cPl,IF(V440="ORO",_xlpm.cO,IF(V440="PLATINO",_xlpm.cP,_xlpm.cD))))))</f>
        <v>86.439123873763251</v>
      </c>
      <c r="AG440">
        <f t="shared" si="154"/>
        <v>0.41199002979941213</v>
      </c>
      <c r="AH440" t="str">
        <f t="shared" si="155"/>
        <v>VENTAS</v>
      </c>
      <c r="AI440" t="str">
        <f t="shared" si="152"/>
        <v>🎯 Para subir de categoría, eje VENTAS / IMPACTO ABSOLUTO (H). Acción: metas semanales + activación comercial + seguimiento del asesor. ΔR aprox: 0,4</v>
      </c>
      <c r="AJ440" s="26">
        <f>_xlfn.LET(_xlpm.piso,AF440,_xlpm.corte,AE440,_xlpm.prog,IF(_xlpm.corte&lt;=_xlpm.piso,0,MAX(0,MIN(1,(U440-_xlpm.piso)/(_xlpm.corte-_xlpm.piso)))),_xlpm.orden,{"DIAMANTE";"PLATINO";"ORO";"PLATA";"BRONCE";"CERRADO"},_xlpm.act,IFERROR(MATCH(V440,_xlpm.orden,0),6),_xlpm.ant,IFERROR(MATCH(W440,_xlpm.orden,0),6),_xlpm.ajmov,IF(_xlpm.act&lt;_xlpm.ant,0.08,IF(_xlpm.act&gt;_xlpm.ant,-0.08,0)),_xlpm.ajcli,IF(T440&lt;0.95,-0.06,0),_xlpm.prob,MAX(0,MIN(1,_xlpm.prog+_xlpm.ajmov+_xlpm.ajcli)),IF(OR(V440="DIAMANTE",V440="CERRADO"),0,ROUND(_xlpm.prob,2)))</f>
        <v>0.95</v>
      </c>
      <c r="AK440" t="str">
        <f t="shared" si="156"/>
        <v>Faltan 0,4 puntos base para subir a la siguiente categoría</v>
      </c>
      <c r="AL440" t="str">
        <f t="shared" si="157"/>
        <v>Margen de seguridad: 9,2 puntos</v>
      </c>
      <c r="AM440">
        <f t="shared" si="158"/>
        <v>0.04</v>
      </c>
      <c r="AN440" t="str">
        <f t="shared" si="159"/>
        <v>PRIORIDAD BAJA – control normal</v>
      </c>
      <c r="AO440">
        <f t="shared" si="160"/>
        <v>11.125366891081631</v>
      </c>
      <c r="AP440">
        <f t="shared" si="161"/>
        <v>0.15172865005618821</v>
      </c>
      <c r="AQ440">
        <f t="shared" si="162"/>
        <v>0</v>
      </c>
      <c r="AR440">
        <f t="shared" si="163"/>
        <v>2.9699999999999993</v>
      </c>
      <c r="AS440">
        <f t="shared" si="164"/>
        <v>0</v>
      </c>
      <c r="AT440" t="str">
        <f t="shared" si="165"/>
        <v>VENTAS</v>
      </c>
      <c r="AU440">
        <f t="shared" si="166"/>
        <v>11.125366891081631</v>
      </c>
      <c r="AV440" t="str">
        <f t="shared" si="167"/>
        <v>Mayor retorno probable: VENTAS (+11,1 puntos finales potenciales).</v>
      </c>
    </row>
    <row r="441" spans="1:48" x14ac:dyDescent="0.3">
      <c r="A441" s="5">
        <v>51056531</v>
      </c>
      <c r="B441" s="5" t="str">
        <f>IFERROR(VLOOKUP(A441,VENTAS!$A$2:$B$1194,2,0),"")</f>
        <v>BELUZZO</v>
      </c>
      <c r="C441" s="5">
        <f>IFERROR(INDEX(VENTAS!$C$2:$E$1194,MATCH(A441,VENTAS!$A$2:$A$1194,0),MATCH(PARAMS_MODELO!$B$2,{"Q1","Q2","Q3"},0)),0)</f>
        <v>65220812.540000007</v>
      </c>
      <c r="D441" s="5">
        <f>IFERROR(INDEX(VENTAS!$F$2:$H$1194,MATCH(A441,VENTAS!$A$2:$A$1194,0),MATCH(PARAMS_MODELO!$B$2,{"Q1","Q2","Q3"},0)),0)</f>
        <v>83969579</v>
      </c>
      <c r="E441" s="8">
        <f t="shared" si="144"/>
        <v>0.28746600555614599</v>
      </c>
      <c r="F441" s="12">
        <f>IF(E441&lt;=PARAMS_MODELO!$B$15,0,IF(E441&gt;=PARAMS_MODELO!$B$17,100,100*MIN(1,(E441-PARAMS_MODELO!$B$15)/(PARAMS_MODELO!$B$16-PARAMS_MODELO!$B$15))))*PARAMS_MODELO!$B$7</f>
        <v>35</v>
      </c>
      <c r="G441" s="5">
        <f t="shared" si="145"/>
        <v>18748766.459999993</v>
      </c>
      <c r="H441" s="5">
        <f>(PARAMS_MODELO!$B$20*(MAX(0,MIN(3,E441))/3)+PARAMS_MODELO!$B$21*(IFERROR(LN(1+MAX(0,G441))/LN(1+MAX(0,MAX($G$2:$G$1194))),0)))*100*PARAMS_MODELO!$B$8</f>
        <v>4.931776895591562</v>
      </c>
      <c r="I441" s="8">
        <f>E441-PARAMS_MODELO!$B$5</f>
        <v>0.10990317018061946</v>
      </c>
      <c r="J441" s="5">
        <f>IF(I441&lt;=PARAMS_MODELO!$B$18,0,IF(I441&gt;=PARAMS_MODELO!$B$19,100,100*(I441-PARAMS_MODELO!$B$18)/(PARAMS_MODELO!$B$19-PARAMS_MODELO!$B$18)))*PARAMS_MODELO!$B$9</f>
        <v>15</v>
      </c>
      <c r="K441" s="5">
        <f>IFERROR(CHOOSE(MATCH(PARAMS_MODELO!$B$2,{"Q1","Q2","Q3"},0),LOTO!$D441,LOTO!$F441,LOTO!$H441),0)</f>
        <v>4140000</v>
      </c>
      <c r="L441" s="8">
        <f t="shared" si="146"/>
        <v>4.9303569808299266E-2</v>
      </c>
      <c r="M441" s="5">
        <f>MIN(100,IF(PARAMS_MODELO!$B$23=0,0,100*L441/PARAMS_MODELO!$B$23))*PARAMS_MODELO!$B$10</f>
        <v>14.791070942489776</v>
      </c>
      <c r="N441" s="5">
        <f>IFERROR(VLOOKUP(A441,COMPLIANCE!$A$2:$F$1996,6,0),100)</f>
        <v>99.7</v>
      </c>
      <c r="O441" s="5">
        <f>N441*PARAMS_MODELO!$B$11</f>
        <v>9.9700000000000006</v>
      </c>
      <c r="P441" s="5">
        <f>IFERROR(VLOOKUP(A441,DIGITAL!$A$2:$J$2000,7,0),100)</f>
        <v>58</v>
      </c>
      <c r="Q441" s="5">
        <f>IFERROR(P441,0)*PARAMS_MODELO!$B$12</f>
        <v>5.8000000000000007</v>
      </c>
      <c r="R441">
        <f t="shared" si="147"/>
        <v>85.492847838081332</v>
      </c>
      <c r="S441" s="5" t="str">
        <f>IFERROR(VLOOKUP(A441,CLIENTE!$A$2:$N$2000,13,0),1)</f>
        <v>Muy Bueno</v>
      </c>
      <c r="T441" s="5">
        <f>IFERROR(VLOOKUP(A441,CLIENTE!$A$2:$N$2000,14,0),1)</f>
        <v>1.1499999999999999</v>
      </c>
      <c r="U441" s="5">
        <f t="shared" si="148"/>
        <v>98.316775013793517</v>
      </c>
      <c r="V441" s="5" t="str">
        <f>IF(U441&gt;=MAX(_xlfn.PERCENTILE.INC($U$2:$U$1194,PARAMS_MODELO!$B$50),PARAMS_MODELO!$B$45),"DIAMANTE",IF(U441&gt;=MAX(_xlfn.PERCENTILE.INC($U$2:$U$1194,PARAMS_MODELO!$B$51),PARAMS_MODELO!$B$46),"PLATINO",IF(U441&gt;=MAX(_xlfn.PERCENTILE.INC($U$2:$U$1194,PARAMS_MODELO!$B$52),PARAMS_MODELO!$B$47),"ORO",IF(U441&gt;=MAX(_xlfn.PERCENTILE.INC($U$2:$U$1194,PARAMS_MODELO!$B$53),PARAMS_MODELO!$B$48),"PLATA",IF(U441&gt;=1,"BRONCE","CERRADO")))))</f>
        <v>DIAMANTE</v>
      </c>
      <c r="W441" s="5" t="str" cm="1">
        <f t="array" ref="W441">_xlfn.XLOOKUP(1, (HIST_SCORE!$B:$B=PARAMS_MODELO!$B$4) * (HIST_SCORE!$C:$C=A441), HIST_SCORE!$E:$E, "No encontrado")</f>
        <v>PLATA</v>
      </c>
      <c r="X441" s="5" t="str">
        <f>_xlfn.LET(_xlpm.act,MATCH(V441,{"DIAMANTE";"PLATINO";"ORO";"PLATA";"BRONCE";"CERRADO"},0),_xlpm.ant,MATCH(W441,{"DIAMANTE";"PLATINO";"ORO";"PLATA";"BRONCE";"CERRADO"},0),IF(_xlpm.act&lt;_xlpm.ant,"Mejora ↑",IF(_xlpm.act&gt;_xlpm.ant,"Baja ↓","Estable →")))</f>
        <v>Mejora ↑</v>
      </c>
      <c r="Y441" s="5">
        <f>IFERROR(U441-SUMIFS(HIST_SCORE!$D:$D,HIST_SCORE!$B:$B,PARAMS_MODELO!$B$4,HIST_SCORE!$C:$C,$A441),"")</f>
        <v>45.408265122267828</v>
      </c>
      <c r="Z441" s="5" t="str">
        <f t="shared" si="149"/>
        <v>↑ Mejora</v>
      </c>
      <c r="AA441" s="5">
        <f t="shared" si="150"/>
        <v>34</v>
      </c>
      <c r="AB441" s="5">
        <f>IFERROR(SUMIFS(HIST_SCORE!$F:$F,HIST_SCORE!$B:$B,PARAMS_MODELO!$B$4,HIST_SCORE!$C:$C,$A441),"")</f>
        <v>752</v>
      </c>
      <c r="AC441" s="5">
        <f t="shared" si="151"/>
        <v>718</v>
      </c>
      <c r="AD441" t="str">
        <f t="shared" si="153"/>
        <v/>
      </c>
      <c r="AE4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441="CERRADO",1,IF(V441="BRONCE",_xlpm.cPl,IF(V441="PLATA",_xlpm.cO,IF(V441="ORO",_xlpm.cP,IF(V441="PLATINO",_xlpm.cD,999))))))</f>
        <v>999</v>
      </c>
      <c r="AF4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441="CERRADO",0,IF(V441="BRONCE",1,IF(V441="PLATA",_xlpm.cPl,IF(V441="ORO",_xlpm.cO,IF(V441="PLATINO",_xlpm.cP,_xlpm.cD))))))</f>
        <v>96.054919694466676</v>
      </c>
      <c r="AG441">
        <f t="shared" si="154"/>
        <v>783.20280433583184</v>
      </c>
      <c r="AH441" t="str">
        <f t="shared" si="155"/>
        <v>SOSTENER</v>
      </c>
      <c r="AI441" t="str">
        <f t="shared" si="152"/>
        <v>✅ Mantener desempeño y monitorear variaciones para sostener categoría.</v>
      </c>
      <c r="AJ441" s="26">
        <f>_xlfn.LET(_xlpm.piso,AF441,_xlpm.corte,AE441,_xlpm.prog,IF(_xlpm.corte&lt;=_xlpm.piso,0,MAX(0,MIN(1,(U441-_xlpm.piso)/(_xlpm.corte-_xlpm.piso)))),_xlpm.orden,{"DIAMANTE";"PLATINO";"ORO";"PLATA";"BRONCE";"CERRADO"},_xlpm.act,IFERROR(MATCH(V441,_xlpm.orden,0),6),_xlpm.ant,IFERROR(MATCH(W441,_xlpm.orden,0),6),_xlpm.ajmov,IF(_xlpm.act&lt;_xlpm.ant,0.08,IF(_xlpm.act&gt;_xlpm.ant,-0.08,0)),_xlpm.ajcli,IF(T441&lt;0.95,-0.06,0),_xlpm.prob,MAX(0,MIN(1,_xlpm.prog+_xlpm.ajmov+_xlpm.ajcli)),IF(OR(V441="DIAMANTE",V441="CERRADO"),0,ROUND(_xlpm.prob,2)))</f>
        <v>0</v>
      </c>
      <c r="AK441" t="str">
        <f t="shared" si="156"/>
        <v>No aplica</v>
      </c>
      <c r="AL441" t="str">
        <f t="shared" si="157"/>
        <v>Margen de seguridad: 2,3 puntos</v>
      </c>
      <c r="AM441">
        <f t="shared" si="158"/>
        <v>0.8</v>
      </c>
      <c r="AN441" t="str">
        <f t="shared" si="159"/>
        <v>PRIORIDAD ALTA – requiere intervención inmediata</v>
      </c>
      <c r="AO441">
        <f t="shared" si="160"/>
        <v>11.420411236659627</v>
      </c>
      <c r="AP441">
        <f t="shared" si="161"/>
        <v>0.24026841613675715</v>
      </c>
      <c r="AQ441">
        <f t="shared" si="162"/>
        <v>3.449999999999926E-2</v>
      </c>
      <c r="AR441">
        <f t="shared" si="163"/>
        <v>4.8299999999999992</v>
      </c>
      <c r="AS441">
        <f t="shared" si="164"/>
        <v>0</v>
      </c>
      <c r="AT441" t="str">
        <f t="shared" si="165"/>
        <v>VENTAS</v>
      </c>
      <c r="AU441">
        <f t="shared" si="166"/>
        <v>11.420411236659627</v>
      </c>
      <c r="AV441" t="str">
        <f t="shared" si="167"/>
        <v>Mayor retorno probable: VENTAS (+11,4 puntos finales potenciales).</v>
      </c>
    </row>
    <row r="442" spans="1:48" x14ac:dyDescent="0.3">
      <c r="A442" s="5">
        <v>51011643</v>
      </c>
      <c r="B442" s="5" t="str">
        <f>IFERROR(VLOOKUP(A442,VENTAS!$A$2:$B$1194,2,0),"")</f>
        <v>AYALA</v>
      </c>
      <c r="C442" s="5">
        <f>IFERROR(INDEX(VENTAS!$C$2:$E$1194,MATCH(A442,VENTAS!$A$2:$A$1194,0),MATCH(PARAMS_MODELO!$B$2,{"Q1","Q2","Q3"},0)),0)</f>
        <v>70563520.310000002</v>
      </c>
      <c r="D442" s="5">
        <f>IFERROR(INDEX(VENTAS!$F$2:$H$1194,MATCH(A442,VENTAS!$A$2:$A$1194,0),MATCH(PARAMS_MODELO!$B$2,{"Q1","Q2","Q3"},0)),0)</f>
        <v>83617930</v>
      </c>
      <c r="E442" s="8">
        <f t="shared" si="144"/>
        <v>0.18500224524866815</v>
      </c>
      <c r="F442" s="12">
        <f>IF(E442&lt;=PARAMS_MODELO!$B$15,0,IF(E442&gt;=PARAMS_MODELO!$B$17,100,100*MIN(1,(E442-PARAMS_MODELO!$B$15)/(PARAMS_MODELO!$B$16-PARAMS_MODELO!$B$15))))*PARAMS_MODELO!$B$7</f>
        <v>35</v>
      </c>
      <c r="G442" s="5">
        <f t="shared" si="145"/>
        <v>13054409.689999998</v>
      </c>
      <c r="H442" s="5">
        <f>(PARAMS_MODELO!$B$20*(MAX(0,MIN(3,E442))/3)+PARAMS_MODELO!$B$21*(IFERROR(LN(1+MAX(0,G442))/LN(1+MAX(0,MAX($G$2:$G$1194))),0)))*100*PARAMS_MODELO!$B$8</f>
        <v>4.4882954226487506</v>
      </c>
      <c r="I442" s="8">
        <f>E442-PARAMS_MODELO!$B$5</f>
        <v>7.4394098731416225E-3</v>
      </c>
      <c r="J442" s="5">
        <f>IF(I442&lt;=PARAMS_MODELO!$B$18,0,IF(I442&gt;=PARAMS_MODELO!$B$19,100,100*(I442-PARAMS_MODELO!$B$18)/(PARAMS_MODELO!$B$19-PARAMS_MODELO!$B$18)))*PARAMS_MODELO!$B$9</f>
        <v>8.615911480971242</v>
      </c>
      <c r="K442" s="5">
        <f>IFERROR(CHOOSE(MATCH(PARAMS_MODELO!$B$2,{"Q1","Q2","Q3"},0),LOTO!$D442,LOTO!$F442,LOTO!$H442),0)</f>
        <v>4140000</v>
      </c>
      <c r="L442" s="8">
        <f t="shared" si="146"/>
        <v>4.9510912312706136E-2</v>
      </c>
      <c r="M442" s="5">
        <f>MIN(100,IF(PARAMS_MODELO!$B$23=0,0,100*L442/PARAMS_MODELO!$B$23))*PARAMS_MODELO!$B$10</f>
        <v>14.85327369381184</v>
      </c>
      <c r="N442" s="5">
        <f>IFERROR(VLOOKUP(A442,COMPLIANCE!$A$2:$F$1996,6,0),100)</f>
        <v>100</v>
      </c>
      <c r="O442" s="5">
        <f>N442*PARAMS_MODELO!$B$11</f>
        <v>10</v>
      </c>
      <c r="P442" s="5">
        <f>IFERROR(VLOOKUP(A442,DIGITAL!$A$2:$J$2000,7,0),100)</f>
        <v>2</v>
      </c>
      <c r="Q442" s="5">
        <f>IFERROR(P442,0)*PARAMS_MODELO!$B$12</f>
        <v>0.2</v>
      </c>
      <c r="R442">
        <f t="shared" si="147"/>
        <v>73.157480597431828</v>
      </c>
      <c r="S442" s="5" t="str">
        <f>IFERROR(VLOOKUP(A442,CLIENTE!$A$2:$N$2000,13,0),1)</f>
        <v>Regular</v>
      </c>
      <c r="T442" s="5">
        <f>IFERROR(VLOOKUP(A442,CLIENTE!$A$2:$N$2000,14,0),1)</f>
        <v>1</v>
      </c>
      <c r="U442" s="5">
        <f t="shared" si="148"/>
        <v>73.157480597431828</v>
      </c>
      <c r="V442" s="5" t="str">
        <f>IF(U442&gt;=MAX(_xlfn.PERCENTILE.INC($U$2:$U$1194,PARAMS_MODELO!$B$50),PARAMS_MODELO!$B$45),"DIAMANTE",IF(U442&gt;=MAX(_xlfn.PERCENTILE.INC($U$2:$U$1194,PARAMS_MODELO!$B$51),PARAMS_MODELO!$B$46),"PLATINO",IF(U442&gt;=MAX(_xlfn.PERCENTILE.INC($U$2:$U$1194,PARAMS_MODELO!$B$52),PARAMS_MODELO!$B$47),"ORO",IF(U442&gt;=MAX(_xlfn.PERCENTILE.INC($U$2:$U$1194,PARAMS_MODELO!$B$53),PARAMS_MODELO!$B$48),"PLATA",IF(U442&gt;=1,"BRONCE","CERRADO")))))</f>
        <v>ORO</v>
      </c>
      <c r="W442" s="5" t="str" cm="1">
        <f t="array" ref="W442">_xlfn.XLOOKUP(1, (HIST_SCORE!$B:$B=PARAMS_MODELO!$B$4) * (HIST_SCORE!$C:$C=A442), HIST_SCORE!$E:$E, "No encontrado")</f>
        <v>ORO</v>
      </c>
      <c r="X442" s="5" t="str">
        <f>_xlfn.LET(_xlpm.act,MATCH(V442,{"DIAMANTE";"PLATINO";"ORO";"PLATA";"BRONCE";"CERRADO"},0),_xlpm.ant,MATCH(W442,{"DIAMANTE";"PLATINO";"ORO";"PLATA";"BRONCE";"CERRADO"},0),IF(_xlpm.act&lt;_xlpm.ant,"Mejora ↑",IF(_xlpm.act&gt;_xlpm.ant,"Baja ↓","Estable →")))</f>
        <v>Estable →</v>
      </c>
      <c r="Y442" s="5">
        <f>IFERROR(U442-SUMIFS(HIST_SCORE!$D:$D,HIST_SCORE!$B:$B,PARAMS_MODELO!$B$4,HIST_SCORE!$C:$C,$A442),"")</f>
        <v>8.8837914594372336</v>
      </c>
      <c r="Z442" s="5" t="str">
        <f t="shared" si="149"/>
        <v>↑ Mejora</v>
      </c>
      <c r="AA442" s="5">
        <f t="shared" si="150"/>
        <v>489</v>
      </c>
      <c r="AB442" s="5">
        <f>IFERROR(SUMIFS(HIST_SCORE!$F:$F,HIST_SCORE!$B:$B,PARAMS_MODELO!$B$4,HIST_SCORE!$C:$C,$A442),"")</f>
        <v>578</v>
      </c>
      <c r="AC442" s="5">
        <f t="shared" si="151"/>
        <v>89</v>
      </c>
      <c r="AD442" t="str">
        <f t="shared" si="153"/>
        <v/>
      </c>
      <c r="AE4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442="CERRADO",1,IF(V442="BRONCE",_xlpm.cPl,IF(V442="PLATA",_xlpm.cO,IF(V442="ORO",_xlpm.cP,IF(V442="PLATINO",_xlpm.cD,999))))))</f>
        <v>86.439123873763251</v>
      </c>
      <c r="AF4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442="CERRADO",0,IF(V442="BRONCE",1,IF(V442="PLATA",_xlpm.cPl,IF(V442="ORO",_xlpm.cO,IF(V442="PLATINO",_xlpm.cP,_xlpm.cD))))))</f>
        <v>63.199193273331495</v>
      </c>
      <c r="AG442">
        <f t="shared" si="154"/>
        <v>13.281643276331422</v>
      </c>
      <c r="AH442" t="str">
        <f t="shared" si="155"/>
        <v>VENTAS</v>
      </c>
      <c r="AI442" t="str">
        <f t="shared" si="152"/>
        <v>🎯 Para subir de categoría, eje VENTAS / IMPACTO ABSOLUTO (H). Acción: metas semanales + activación comercial + seguimiento del asesor. ΔR aprox: 13,3</v>
      </c>
      <c r="AJ442" s="26">
        <f>_xlfn.LET(_xlpm.piso,AF442,_xlpm.corte,AE442,_xlpm.prog,IF(_xlpm.corte&lt;=_xlpm.piso,0,MAX(0,MIN(1,(U442-_xlpm.piso)/(_xlpm.corte-_xlpm.piso)))),_xlpm.orden,{"DIAMANTE";"PLATINO";"ORO";"PLATA";"BRONCE";"CERRADO"},_xlpm.act,IFERROR(MATCH(V442,_xlpm.orden,0),6),_xlpm.ant,IFERROR(MATCH(W442,_xlpm.orden,0),6),_xlpm.ajmov,IF(_xlpm.act&lt;_xlpm.ant,0.08,IF(_xlpm.act&gt;_xlpm.ant,-0.08,0)),_xlpm.ajcli,IF(T442&lt;0.95,-0.06,0),_xlpm.prob,MAX(0,MIN(1,_xlpm.prog+_xlpm.ajmov+_xlpm.ajcli)),IF(OR(V442="DIAMANTE",V442="CERRADO"),0,ROUND(_xlpm.prob,2)))</f>
        <v>0.43</v>
      </c>
      <c r="AK442" t="str">
        <f t="shared" si="156"/>
        <v>Faltan 13,3 puntos base para subir a la siguiente categoría</v>
      </c>
      <c r="AL442" t="str">
        <f t="shared" si="157"/>
        <v>Margen de seguridad: 10,0 puntos</v>
      </c>
      <c r="AM442">
        <f t="shared" si="158"/>
        <v>0.63</v>
      </c>
      <c r="AN442" t="str">
        <f t="shared" si="159"/>
        <v>PRIORIDAD MEDIA – seguimiento del asesor</v>
      </c>
      <c r="AO442">
        <f t="shared" si="160"/>
        <v>16.758362371675595</v>
      </c>
      <c r="AP442">
        <f t="shared" si="161"/>
        <v>0.14672630618816029</v>
      </c>
      <c r="AQ442">
        <f t="shared" si="162"/>
        <v>0</v>
      </c>
      <c r="AR442">
        <f t="shared" si="163"/>
        <v>9.8000000000000007</v>
      </c>
      <c r="AS442">
        <f t="shared" si="164"/>
        <v>0</v>
      </c>
      <c r="AT442" t="str">
        <f t="shared" si="165"/>
        <v>VENTAS</v>
      </c>
      <c r="AU442">
        <f t="shared" si="166"/>
        <v>16.758362371675595</v>
      </c>
      <c r="AV442" t="str">
        <f t="shared" si="167"/>
        <v>Mayor retorno probable: VENTAS (+16,8 puntos finales potenciales).</v>
      </c>
    </row>
    <row r="443" spans="1:48" x14ac:dyDescent="0.3">
      <c r="A443" s="5">
        <v>51016742</v>
      </c>
      <c r="B443" s="5" t="str">
        <f>IFERROR(VLOOKUP(A443,VENTAS!$A$2:$B$1194,2,0),"")</f>
        <v>NELLI</v>
      </c>
      <c r="C443" s="5">
        <f>IFERROR(INDEX(VENTAS!$C$2:$E$1194,MATCH(A443,VENTAS!$A$2:$A$1194,0),MATCH(PARAMS_MODELO!$B$2,{"Q1","Q2","Q3"},0)),0)</f>
        <v>63941840.25</v>
      </c>
      <c r="D443" s="5">
        <f>IFERROR(INDEX(VENTAS!$F$2:$H$1194,MATCH(A443,VENTAS!$A$2:$A$1194,0),MATCH(PARAMS_MODELO!$B$2,{"Q1","Q2","Q3"},0)),0)</f>
        <v>83456538</v>
      </c>
      <c r="E443" s="8">
        <f t="shared" si="144"/>
        <v>0.30519449665041498</v>
      </c>
      <c r="F443" s="12">
        <f>IF(E443&lt;=PARAMS_MODELO!$B$15,0,IF(E443&gt;=PARAMS_MODELO!$B$17,100,100*MIN(1,(E443-PARAMS_MODELO!$B$15)/(PARAMS_MODELO!$B$16-PARAMS_MODELO!$B$15))))*PARAMS_MODELO!$B$7</f>
        <v>35</v>
      </c>
      <c r="G443" s="5">
        <f t="shared" si="145"/>
        <v>19514697.75</v>
      </c>
      <c r="H443" s="5">
        <f>(PARAMS_MODELO!$B$20*(MAX(0,MIN(3,E443))/3)+PARAMS_MODELO!$B$21*(IFERROR(LN(1+MAX(0,G443))/LN(1+MAX(0,MAX($G$2:$G$1194))),0)))*100*PARAMS_MODELO!$B$8</f>
        <v>5.0032125374246474</v>
      </c>
      <c r="I443" s="8">
        <f>E443-PARAMS_MODELO!$B$5</f>
        <v>0.12763166127488845</v>
      </c>
      <c r="J443" s="5">
        <f>IF(I443&lt;=PARAMS_MODELO!$B$18,0,IF(I443&gt;=PARAMS_MODELO!$B$19,100,100*(I443-PARAMS_MODELO!$B$18)/(PARAMS_MODELO!$B$19-PARAMS_MODELO!$B$18)))*PARAMS_MODELO!$B$9</f>
        <v>15</v>
      </c>
      <c r="K443" s="5">
        <f>IFERROR(CHOOSE(MATCH(PARAMS_MODELO!$B$2,{"Q1","Q2","Q3"},0),LOTO!$D443,LOTO!$F443,LOTO!$H443),0)</f>
        <v>4132500</v>
      </c>
      <c r="L443" s="8">
        <f t="shared" si="146"/>
        <v>4.9516791602354747E-2</v>
      </c>
      <c r="M443" s="5">
        <f>MIN(100,IF(PARAMS_MODELO!$B$23=0,0,100*L443/PARAMS_MODELO!$B$23))*PARAMS_MODELO!$B$10</f>
        <v>14.855037480706425</v>
      </c>
      <c r="N443" s="5">
        <f>IFERROR(VLOOKUP(A443,COMPLIANCE!$A$2:$F$1996,6,0),100)</f>
        <v>100</v>
      </c>
      <c r="O443" s="5">
        <f>N443*PARAMS_MODELO!$B$11</f>
        <v>10</v>
      </c>
      <c r="P443" s="5">
        <f>IFERROR(VLOOKUP(A443,DIGITAL!$A$2:$J$2000,7,0),100)</f>
        <v>21</v>
      </c>
      <c r="Q443" s="5">
        <f>IFERROR(P443,0)*PARAMS_MODELO!$B$12</f>
        <v>2.1</v>
      </c>
      <c r="R443">
        <f t="shared" si="147"/>
        <v>81.958250018131068</v>
      </c>
      <c r="S443" s="5" t="str">
        <f>IFERROR(VLOOKUP(A443,CLIENTE!$A$2:$N$2000,13,0),1)</f>
        <v>Malo</v>
      </c>
      <c r="T443" s="5">
        <f>IFERROR(VLOOKUP(A443,CLIENTE!$A$2:$N$2000,14,0),1)</f>
        <v>0.7</v>
      </c>
      <c r="U443" s="5">
        <f t="shared" si="148"/>
        <v>57.370775012691745</v>
      </c>
      <c r="V443" s="5" t="str">
        <f>IF(U443&gt;=MAX(_xlfn.PERCENTILE.INC($U$2:$U$1194,PARAMS_MODELO!$B$50),PARAMS_MODELO!$B$45),"DIAMANTE",IF(U443&gt;=MAX(_xlfn.PERCENTILE.INC($U$2:$U$1194,PARAMS_MODELO!$B$51),PARAMS_MODELO!$B$46),"PLATINO",IF(U443&gt;=MAX(_xlfn.PERCENTILE.INC($U$2:$U$1194,PARAMS_MODELO!$B$52),PARAMS_MODELO!$B$47),"ORO",IF(U443&gt;=MAX(_xlfn.PERCENTILE.INC($U$2:$U$1194,PARAMS_MODELO!$B$53),PARAMS_MODELO!$B$48),"PLATA",IF(U443&gt;=1,"BRONCE","CERRADO")))))</f>
        <v>PLATA</v>
      </c>
      <c r="W443" s="5" t="str" cm="1">
        <f t="array" ref="W443">_xlfn.XLOOKUP(1, (HIST_SCORE!$B:$B=PARAMS_MODELO!$B$4) * (HIST_SCORE!$C:$C=A443), HIST_SCORE!$E:$E, "No encontrado")</f>
        <v>PLATA</v>
      </c>
      <c r="X443" s="5" t="str">
        <f>_xlfn.LET(_xlpm.act,MATCH(V443,{"DIAMANTE";"PLATINO";"ORO";"PLATA";"BRONCE";"CERRADO"},0),_xlpm.ant,MATCH(W443,{"DIAMANTE";"PLATINO";"ORO";"PLATA";"BRONCE";"CERRADO"},0),IF(_xlpm.act&lt;_xlpm.ant,"Mejora ↑",IF(_xlpm.act&gt;_xlpm.ant,"Baja ↓","Estable →")))</f>
        <v>Estable →</v>
      </c>
      <c r="Y443" s="5">
        <f>IFERROR(U443-SUMIFS(HIST_SCORE!$D:$D,HIST_SCORE!$B:$B,PARAMS_MODELO!$B$4,HIST_SCORE!$C:$C,$A443),"")</f>
        <v>-0.37179940621444274</v>
      </c>
      <c r="Z443" s="5" t="str">
        <f t="shared" si="149"/>
        <v>→ Estable</v>
      </c>
      <c r="AA443" s="5">
        <f t="shared" si="150"/>
        <v>678</v>
      </c>
      <c r="AB443" s="5">
        <f>IFERROR(SUMIFS(HIST_SCORE!$F:$F,HIST_SCORE!$B:$B,PARAMS_MODELO!$B$4,HIST_SCORE!$C:$C,$A443),"")</f>
        <v>691</v>
      </c>
      <c r="AC443" s="5">
        <f t="shared" si="151"/>
        <v>13</v>
      </c>
      <c r="AD443" t="str">
        <f t="shared" si="153"/>
        <v/>
      </c>
      <c r="AE4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443="CERRADO",1,IF(V443="BRONCE",_xlpm.cPl,IF(V443="PLATA",_xlpm.cO,IF(V443="ORO",_xlpm.cP,IF(V443="PLATINO",_xlpm.cD,999))))))</f>
        <v>63.199193273331495</v>
      </c>
      <c r="AF4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443="CERRADO",0,IF(V443="BRONCE",1,IF(V443="PLATA",_xlpm.cPl,IF(V443="ORO",_xlpm.cO,IF(V443="PLATINO",_xlpm.cP,_xlpm.cD))))))</f>
        <v>24.506573482968111</v>
      </c>
      <c r="AG443">
        <f t="shared" si="154"/>
        <v>8.3263118009139276</v>
      </c>
      <c r="AH443" t="str">
        <f t="shared" si="155"/>
        <v>CLIENTE</v>
      </c>
      <c r="AI443" t="str">
        <f t="shared" si="152"/>
        <v>🎯 Para subir de categoría, la eje con mayor impacto probable es CLIENTE (coef T). Acción: reducir quejas, mejorar incógnito y empujar reseñas. ΔR aprox: 8,3</v>
      </c>
      <c r="AJ443" s="26">
        <f>_xlfn.LET(_xlpm.piso,AF443,_xlpm.corte,AE443,_xlpm.prog,IF(_xlpm.corte&lt;=_xlpm.piso,0,MAX(0,MIN(1,(U443-_xlpm.piso)/(_xlpm.corte-_xlpm.piso)))),_xlpm.orden,{"DIAMANTE";"PLATINO";"ORO";"PLATA";"BRONCE";"CERRADO"},_xlpm.act,IFERROR(MATCH(V443,_xlpm.orden,0),6),_xlpm.ant,IFERROR(MATCH(W443,_xlpm.orden,0),6),_xlpm.ajmov,IF(_xlpm.act&lt;_xlpm.ant,0.08,IF(_xlpm.act&gt;_xlpm.ant,-0.08,0)),_xlpm.ajcli,IF(T443&lt;0.95,-0.06,0),_xlpm.prob,MAX(0,MIN(1,_xlpm.prog+_xlpm.ajmov+_xlpm.ajcli)),IF(OR(V443="DIAMANTE",V443="CERRADO"),0,ROUND(_xlpm.prob,2)))</f>
        <v>0.79</v>
      </c>
      <c r="AK443" t="str">
        <f t="shared" si="156"/>
        <v>Faltan 8,3 puntos base para subir a la siguiente categoría</v>
      </c>
      <c r="AL443" t="str">
        <f t="shared" si="157"/>
        <v>Margen de seguridad: 32,9 puntos</v>
      </c>
      <c r="AM443">
        <f t="shared" si="158"/>
        <v>0.62</v>
      </c>
      <c r="AN443" t="str">
        <f t="shared" si="159"/>
        <v>PRIORIDAD MEDIA – seguimiento del asesor</v>
      </c>
      <c r="AO443">
        <f t="shared" si="160"/>
        <v>6.9015497165096571</v>
      </c>
      <c r="AP443">
        <f t="shared" si="161"/>
        <v>0.10147376350550238</v>
      </c>
      <c r="AQ443">
        <f t="shared" si="162"/>
        <v>0</v>
      </c>
      <c r="AR443">
        <f t="shared" si="163"/>
        <v>5.53</v>
      </c>
      <c r="AS443">
        <f t="shared" si="164"/>
        <v>24.587475005439323</v>
      </c>
      <c r="AT443" t="str">
        <f t="shared" si="165"/>
        <v>CLIENTE</v>
      </c>
      <c r="AU443">
        <f t="shared" si="166"/>
        <v>24.587475005439323</v>
      </c>
      <c r="AV443" t="str">
        <f t="shared" si="167"/>
        <v>Mayor retorno probable: CLIENTE (+24,6 puntos finales potenciales).</v>
      </c>
    </row>
    <row r="444" spans="1:48" x14ac:dyDescent="0.3">
      <c r="A444" s="5">
        <v>51010990</v>
      </c>
      <c r="B444" s="5" t="str">
        <f>IFERROR(VLOOKUP(A444,VENTAS!$A$2:$B$1194,2,0),"")</f>
        <v>ARGUELLO</v>
      </c>
      <c r="C444" s="5">
        <f>IFERROR(INDEX(VENTAS!$C$2:$E$1194,MATCH(A444,VENTAS!$A$2:$A$1194,0),MATCH(PARAMS_MODELO!$B$2,{"Q1","Q2","Q3"},0)),0)</f>
        <v>53223317.180000007</v>
      </c>
      <c r="D444" s="5">
        <f>IFERROR(INDEX(VENTAS!$F$2:$H$1194,MATCH(A444,VENTAS!$A$2:$A$1194,0),MATCH(PARAMS_MODELO!$B$2,{"Q1","Q2","Q3"},0)),0)</f>
        <v>83416378</v>
      </c>
      <c r="E444" s="8">
        <f t="shared" si="144"/>
        <v>0.56729009802015473</v>
      </c>
      <c r="F444" s="12">
        <f>IF(E444&lt;=PARAMS_MODELO!$B$15,0,IF(E444&gt;=PARAMS_MODELO!$B$17,100,100*MIN(1,(E444-PARAMS_MODELO!$B$15)/(PARAMS_MODELO!$B$16-PARAMS_MODELO!$B$15))))*PARAMS_MODELO!$B$7</f>
        <v>35</v>
      </c>
      <c r="G444" s="5">
        <f t="shared" si="145"/>
        <v>30193060.819999993</v>
      </c>
      <c r="H444" s="5">
        <f>(PARAMS_MODELO!$B$20*(MAX(0,MIN(3,E444))/3)+PARAMS_MODELO!$B$21*(IFERROR(LN(1+MAX(0,G444))/LN(1+MAX(0,MAX($G$2:$G$1194))),0)))*100*PARAMS_MODELO!$B$8</f>
        <v>6.0228557541818128</v>
      </c>
      <c r="I444" s="8">
        <f>E444-PARAMS_MODELO!$B$5</f>
        <v>0.3897272626446282</v>
      </c>
      <c r="J444" s="5">
        <f>IF(I444&lt;=PARAMS_MODELO!$B$18,0,IF(I444&gt;=PARAMS_MODELO!$B$19,100,100*(I444-PARAMS_MODELO!$B$18)/(PARAMS_MODELO!$B$19-PARAMS_MODELO!$B$18)))*PARAMS_MODELO!$B$9</f>
        <v>15</v>
      </c>
      <c r="K444" s="5">
        <f>IFERROR(CHOOSE(MATCH(PARAMS_MODELO!$B$2,{"Q1","Q2","Q3"},0),LOTO!$D444,LOTO!$F444,LOTO!$H444),0)</f>
        <v>4122500</v>
      </c>
      <c r="L444" s="8">
        <f t="shared" si="146"/>
        <v>4.9420750443036496E-2</v>
      </c>
      <c r="M444" s="5">
        <f>MIN(100,IF(PARAMS_MODELO!$B$23=0,0,100*L444/PARAMS_MODELO!$B$23))*PARAMS_MODELO!$B$10</f>
        <v>14.826225132910949</v>
      </c>
      <c r="N444" s="5">
        <f>IFERROR(VLOOKUP(A444,COMPLIANCE!$A$2:$F$1996,6,0),100)</f>
        <v>100</v>
      </c>
      <c r="O444" s="5">
        <f>N444*PARAMS_MODELO!$B$11</f>
        <v>10</v>
      </c>
      <c r="P444" s="5">
        <f>IFERROR(VLOOKUP(A444,DIGITAL!$A$2:$J$2000,7,0),100)</f>
        <v>29</v>
      </c>
      <c r="Q444" s="5">
        <f>IFERROR(P444,0)*PARAMS_MODELO!$B$12</f>
        <v>2.9000000000000004</v>
      </c>
      <c r="R444">
        <f t="shared" si="147"/>
        <v>83.749080887092759</v>
      </c>
      <c r="S444" s="5" t="str">
        <f>IFERROR(VLOOKUP(A444,CLIENTE!$A$2:$N$2000,13,0),1)</f>
        <v>Regular</v>
      </c>
      <c r="T444" s="5">
        <f>IFERROR(VLOOKUP(A444,CLIENTE!$A$2:$N$2000,14,0),1)</f>
        <v>1</v>
      </c>
      <c r="U444" s="5">
        <f t="shared" si="148"/>
        <v>83.749080887092759</v>
      </c>
      <c r="V444" s="5" t="str">
        <f>IF(U444&gt;=MAX(_xlfn.PERCENTILE.INC($U$2:$U$1194,PARAMS_MODELO!$B$50),PARAMS_MODELO!$B$45),"DIAMANTE",IF(U444&gt;=MAX(_xlfn.PERCENTILE.INC($U$2:$U$1194,PARAMS_MODELO!$B$51),PARAMS_MODELO!$B$46),"PLATINO",IF(U444&gt;=MAX(_xlfn.PERCENTILE.INC($U$2:$U$1194,PARAMS_MODELO!$B$52),PARAMS_MODELO!$B$47),"ORO",IF(U444&gt;=MAX(_xlfn.PERCENTILE.INC($U$2:$U$1194,PARAMS_MODELO!$B$53),PARAMS_MODELO!$B$48),"PLATA",IF(U444&gt;=1,"BRONCE","CERRADO")))))</f>
        <v>ORO</v>
      </c>
      <c r="W444" s="5" t="str" cm="1">
        <f t="array" ref="W444">_xlfn.XLOOKUP(1, (HIST_SCORE!$B:$B=PARAMS_MODELO!$B$4) * (HIST_SCORE!$C:$C=A444), HIST_SCORE!$E:$E, "No encontrado")</f>
        <v>ORO</v>
      </c>
      <c r="X444" s="5" t="str">
        <f>_xlfn.LET(_xlpm.act,MATCH(V444,{"DIAMANTE";"PLATINO";"ORO";"PLATA";"BRONCE";"CERRADO"},0),_xlpm.ant,MATCH(W444,{"DIAMANTE";"PLATINO";"ORO";"PLATA";"BRONCE";"CERRADO"},0),IF(_xlpm.act&lt;_xlpm.ant,"Mejora ↑",IF(_xlpm.act&gt;_xlpm.ant,"Baja ↓","Estable →")))</f>
        <v>Estable →</v>
      </c>
      <c r="Y444" s="5">
        <f>IFERROR(U444-SUMIFS(HIST_SCORE!$D:$D,HIST_SCORE!$B:$B,PARAMS_MODELO!$B$4,HIST_SCORE!$C:$C,$A444),"")</f>
        <v>0.26153953049013978</v>
      </c>
      <c r="Z444" s="5" t="str">
        <f t="shared" si="149"/>
        <v>→ Estable</v>
      </c>
      <c r="AA444" s="5">
        <f t="shared" si="150"/>
        <v>328</v>
      </c>
      <c r="AB444" s="5">
        <f>IFERROR(SUMIFS(HIST_SCORE!$F:$F,HIST_SCORE!$B:$B,PARAMS_MODELO!$B$4,HIST_SCORE!$C:$C,$A444),"")</f>
        <v>307</v>
      </c>
      <c r="AC444" s="5">
        <f t="shared" si="151"/>
        <v>-21</v>
      </c>
      <c r="AD444" t="str">
        <f t="shared" si="153"/>
        <v/>
      </c>
      <c r="AE4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444="CERRADO",1,IF(V444="BRONCE",_xlpm.cPl,IF(V444="PLATA",_xlpm.cO,IF(V444="ORO",_xlpm.cP,IF(V444="PLATINO",_xlpm.cD,999))))))</f>
        <v>86.439123873763251</v>
      </c>
      <c r="AF4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444="CERRADO",0,IF(V444="BRONCE",1,IF(V444="PLATA",_xlpm.cPl,IF(V444="ORO",_xlpm.cO,IF(V444="PLATINO",_xlpm.cP,_xlpm.cD))))))</f>
        <v>63.199193273331495</v>
      </c>
      <c r="AG444">
        <f t="shared" si="154"/>
        <v>2.6900429866704911</v>
      </c>
      <c r="AH444" t="str">
        <f t="shared" si="155"/>
        <v>VENTAS</v>
      </c>
      <c r="AI444" t="str">
        <f t="shared" si="152"/>
        <v>🎯 Para subir de categoría, eje VENTAS / IMPACTO ABSOLUTO (H). Acción: metas semanales + activación comercial + seguimiento del asesor. ΔR aprox: 2,7</v>
      </c>
      <c r="AJ444" s="26">
        <f>_xlfn.LET(_xlpm.piso,AF444,_xlpm.corte,AE444,_xlpm.prog,IF(_xlpm.corte&lt;=_xlpm.piso,0,MAX(0,MIN(1,(U444-_xlpm.piso)/(_xlpm.corte-_xlpm.piso)))),_xlpm.orden,{"DIAMANTE";"PLATINO";"ORO";"PLATA";"BRONCE";"CERRADO"},_xlpm.act,IFERROR(MATCH(V444,_xlpm.orden,0),6),_xlpm.ant,IFERROR(MATCH(W444,_xlpm.orden,0),6),_xlpm.ajmov,IF(_xlpm.act&lt;_xlpm.ant,0.08,IF(_xlpm.act&gt;_xlpm.ant,-0.08,0)),_xlpm.ajcli,IF(T444&lt;0.95,-0.06,0),_xlpm.prob,MAX(0,MIN(1,_xlpm.prog+_xlpm.ajmov+_xlpm.ajcli)),IF(OR(V444="DIAMANTE",V444="CERRADO"),0,ROUND(_xlpm.prob,2)))</f>
        <v>0.88</v>
      </c>
      <c r="AK444" t="str">
        <f t="shared" si="156"/>
        <v>Faltan 2,7 puntos base para subir a la siguiente categoría</v>
      </c>
      <c r="AL444" t="str">
        <f t="shared" si="157"/>
        <v>Margen de seguridad: 20,5 puntos</v>
      </c>
      <c r="AM444">
        <f t="shared" si="158"/>
        <v>0.16</v>
      </c>
      <c r="AN444" t="str">
        <f t="shared" si="159"/>
        <v>PRIORIDAD BAJA – control normal</v>
      </c>
      <c r="AO444">
        <f t="shared" si="160"/>
        <v>8.8397135211137723</v>
      </c>
      <c r="AP444">
        <f t="shared" si="161"/>
        <v>0.1737748670890511</v>
      </c>
      <c r="AQ444">
        <f t="shared" si="162"/>
        <v>0</v>
      </c>
      <c r="AR444">
        <f t="shared" si="163"/>
        <v>7.1</v>
      </c>
      <c r="AS444">
        <f t="shared" si="164"/>
        <v>0</v>
      </c>
      <c r="AT444" t="str">
        <f t="shared" si="165"/>
        <v>VENTAS</v>
      </c>
      <c r="AU444">
        <f t="shared" si="166"/>
        <v>8.8397135211137723</v>
      </c>
      <c r="AV444" t="str">
        <f t="shared" si="167"/>
        <v>Mayor retorno probable: VENTAS (+8,8 puntos finales potenciales).</v>
      </c>
    </row>
    <row r="445" spans="1:48" x14ac:dyDescent="0.3">
      <c r="A445" s="5">
        <v>51039998</v>
      </c>
      <c r="B445" s="5" t="str">
        <f>IFERROR(VLOOKUP(A445,VENTAS!$A$2:$B$1194,2,0),"")</f>
        <v>LÓPEZ</v>
      </c>
      <c r="C445" s="5">
        <f>IFERROR(INDEX(VENTAS!$C$2:$E$1194,MATCH(A445,VENTAS!$A$2:$A$1194,0),MATCH(PARAMS_MODELO!$B$2,{"Q1","Q2","Q3"},0)),0)</f>
        <v>86427706.680000007</v>
      </c>
      <c r="D445" s="5">
        <f>IFERROR(INDEX(VENTAS!$F$2:$H$1194,MATCH(A445,VENTAS!$A$2:$A$1194,0),MATCH(PARAMS_MODELO!$B$2,{"Q1","Q2","Q3"},0)),0)</f>
        <v>83405436</v>
      </c>
      <c r="E445" s="8">
        <f t="shared" si="144"/>
        <v>-3.4968770965889573E-2</v>
      </c>
      <c r="F445" s="12">
        <f>IF(E445&lt;=PARAMS_MODELO!$B$15,0,IF(E445&gt;=PARAMS_MODELO!$B$17,100,100*MIN(1,(E445-PARAMS_MODELO!$B$15)/(PARAMS_MODELO!$B$16-PARAMS_MODELO!$B$15))))*PARAMS_MODELO!$B$7</f>
        <v>0</v>
      </c>
      <c r="G445" s="5">
        <f t="shared" si="145"/>
        <v>0</v>
      </c>
      <c r="H445" s="5">
        <f>(PARAMS_MODELO!$B$20*(MAX(0,MIN(3,E445))/3)+PARAMS_MODELO!$B$21*(IFERROR(LN(1+MAX(0,G445))/LN(1+MAX(0,MAX($G$2:$G$1194))),0)))*100*PARAMS_MODELO!$B$8</f>
        <v>0</v>
      </c>
      <c r="I445" s="8">
        <f>E445-PARAMS_MODELO!$B$5</f>
        <v>-0.2125316063414161</v>
      </c>
      <c r="J445" s="5">
        <f>IF(I445&lt;=PARAMS_MODELO!$B$18,0,IF(I445&gt;=PARAMS_MODELO!$B$19,100,100*(I445-PARAMS_MODELO!$B$18)/(PARAMS_MODELO!$B$19-PARAMS_MODELO!$B$18)))*PARAMS_MODELO!$B$9</f>
        <v>0</v>
      </c>
      <c r="K445" s="5">
        <f>IFERROR(CHOOSE(MATCH(PARAMS_MODELO!$B$2,{"Q1","Q2","Q3"},0),LOTO!$D445,LOTO!$F445,LOTO!$H445),0)</f>
        <v>4122500</v>
      </c>
      <c r="L445" s="8">
        <f t="shared" si="146"/>
        <v>4.9427233975492917E-2</v>
      </c>
      <c r="M445" s="5">
        <f>MIN(100,IF(PARAMS_MODELO!$B$23=0,0,100*L445/PARAMS_MODELO!$B$23))*PARAMS_MODELO!$B$10</f>
        <v>14.828170192647873</v>
      </c>
      <c r="N445" s="5">
        <f>IFERROR(VLOOKUP(A445,COMPLIANCE!$A$2:$F$1996,6,0),100)</f>
        <v>100</v>
      </c>
      <c r="O445" s="5">
        <f>N445*PARAMS_MODELO!$B$11</f>
        <v>10</v>
      </c>
      <c r="P445" s="5">
        <f>IFERROR(VLOOKUP(A445,DIGITAL!$A$2:$J$2000,7,0),100)</f>
        <v>13</v>
      </c>
      <c r="Q445" s="5">
        <f>IFERROR(P445,0)*PARAMS_MODELO!$B$12</f>
        <v>1.3</v>
      </c>
      <c r="R445">
        <f t="shared" si="147"/>
        <v>26.128170192647875</v>
      </c>
      <c r="S445" s="5" t="str">
        <f>IFERROR(VLOOKUP(A445,CLIENTE!$A$2:$N$2000,13,0),1)</f>
        <v>Regular</v>
      </c>
      <c r="T445" s="5">
        <f>IFERROR(VLOOKUP(A445,CLIENTE!$A$2:$N$2000,14,0),1)</f>
        <v>1</v>
      </c>
      <c r="U445" s="5">
        <f t="shared" si="148"/>
        <v>26.128170192647875</v>
      </c>
      <c r="V445" s="5" t="str">
        <f>IF(U445&gt;=MAX(_xlfn.PERCENTILE.INC($U$2:$U$1194,PARAMS_MODELO!$B$50),PARAMS_MODELO!$B$45),"DIAMANTE",IF(U445&gt;=MAX(_xlfn.PERCENTILE.INC($U$2:$U$1194,PARAMS_MODELO!$B$51),PARAMS_MODELO!$B$46),"PLATINO",IF(U445&gt;=MAX(_xlfn.PERCENTILE.INC($U$2:$U$1194,PARAMS_MODELO!$B$52),PARAMS_MODELO!$B$47),"ORO",IF(U445&gt;=MAX(_xlfn.PERCENTILE.INC($U$2:$U$1194,PARAMS_MODELO!$B$53),PARAMS_MODELO!$B$48),"PLATA",IF(U445&gt;=1,"BRONCE","CERRADO")))))</f>
        <v>PLATA</v>
      </c>
      <c r="W445" s="5" t="str" cm="1">
        <f t="array" ref="W445">_xlfn.XLOOKUP(1, (HIST_SCORE!$B:$B=PARAMS_MODELO!$B$4) * (HIST_SCORE!$C:$C=A445), HIST_SCORE!$E:$E, "No encontrado")</f>
        <v>PLATA</v>
      </c>
      <c r="X445" s="5" t="str">
        <f>_xlfn.LET(_xlpm.act,MATCH(V445,{"DIAMANTE";"PLATINO";"ORO";"PLATA";"BRONCE";"CERRADO"},0),_xlpm.ant,MATCH(W445,{"DIAMANTE";"PLATINO";"ORO";"PLATA";"BRONCE";"CERRADO"},0),IF(_xlpm.act&lt;_xlpm.ant,"Mejora ↑",IF(_xlpm.act&gt;_xlpm.ant,"Baja ↓","Estable →")))</f>
        <v>Estable →</v>
      </c>
      <c r="Y445" s="5">
        <f>IFERROR(U445-SUMIFS(HIST_SCORE!$D:$D,HIST_SCORE!$B:$B,PARAMS_MODELO!$B$4,HIST_SCORE!$C:$C,$A445),"")</f>
        <v>-17.66370610322161</v>
      </c>
      <c r="Z445" s="5" t="str">
        <f t="shared" si="149"/>
        <v>↓ Baja</v>
      </c>
      <c r="AA445" s="5">
        <f t="shared" si="150"/>
        <v>907</v>
      </c>
      <c r="AB445" s="5">
        <f>IFERROR(SUMIFS(HIST_SCORE!$F:$F,HIST_SCORE!$B:$B,PARAMS_MODELO!$B$4,HIST_SCORE!$C:$C,$A445),"")</f>
        <v>830</v>
      </c>
      <c r="AC445" s="5">
        <f t="shared" si="151"/>
        <v>-77</v>
      </c>
      <c r="AD445" t="str">
        <f t="shared" si="153"/>
        <v/>
      </c>
      <c r="AE4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445="CERRADO",1,IF(V445="BRONCE",_xlpm.cPl,IF(V445="PLATA",_xlpm.cO,IF(V445="ORO",_xlpm.cP,IF(V445="PLATINO",_xlpm.cD,999))))))</f>
        <v>63.199193273331495</v>
      </c>
      <c r="AF4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445="CERRADO",0,IF(V445="BRONCE",1,IF(V445="PLATA",_xlpm.cPl,IF(V445="ORO",_xlpm.cO,IF(V445="PLATINO",_xlpm.cP,_xlpm.cD))))))</f>
        <v>24.506573482968111</v>
      </c>
      <c r="AG445">
        <f t="shared" si="154"/>
        <v>37.071023080683617</v>
      </c>
      <c r="AH445" t="str">
        <f t="shared" si="155"/>
        <v>VENTAS</v>
      </c>
      <c r="AI445" t="str">
        <f t="shared" si="152"/>
        <v>🎯 Para subir de categoría, eje VENTAS / CRECIMIENTO PERSONAL (F). Acción: metas semanales + activación comercial + seguimiento del asesor. ΔR aprox: 37,1</v>
      </c>
      <c r="AJ445" s="26">
        <f>_xlfn.LET(_xlpm.piso,AF445,_xlpm.corte,AE445,_xlpm.prog,IF(_xlpm.corte&lt;=_xlpm.piso,0,MAX(0,MIN(1,(U445-_xlpm.piso)/(_xlpm.corte-_xlpm.piso)))),_xlpm.orden,{"DIAMANTE";"PLATINO";"ORO";"PLATA";"BRONCE";"CERRADO"},_xlpm.act,IFERROR(MATCH(V445,_xlpm.orden,0),6),_xlpm.ant,IFERROR(MATCH(W445,_xlpm.orden,0),6),_xlpm.ajmov,IF(_xlpm.act&lt;_xlpm.ant,0.08,IF(_xlpm.act&gt;_xlpm.ant,-0.08,0)),_xlpm.ajcli,IF(T445&lt;0.95,-0.06,0),_xlpm.prob,MAX(0,MIN(1,_xlpm.prog+_xlpm.ajmov+_xlpm.ajcli)),IF(OR(V445="DIAMANTE",V445="CERRADO"),0,ROUND(_xlpm.prob,2)))</f>
        <v>0.04</v>
      </c>
      <c r="AK445" t="str">
        <f t="shared" si="156"/>
        <v>Faltan 37,1 puntos base para subir a la siguiente categoría</v>
      </c>
      <c r="AL445" t="str">
        <f t="shared" si="157"/>
        <v>Margen de seguridad: 1,6 puntos</v>
      </c>
      <c r="AM445">
        <f t="shared" si="158"/>
        <v>0.78</v>
      </c>
      <c r="AN445" t="str">
        <f t="shared" si="159"/>
        <v>PRIORIDAD ALTA – requiere intervención inmediata</v>
      </c>
      <c r="AO445">
        <f t="shared" si="160"/>
        <v>64.862569275295584</v>
      </c>
      <c r="AP445">
        <f t="shared" si="161"/>
        <v>0.17182980735212716</v>
      </c>
      <c r="AQ445">
        <f t="shared" si="162"/>
        <v>0</v>
      </c>
      <c r="AR445">
        <f t="shared" si="163"/>
        <v>8.6999999999999993</v>
      </c>
      <c r="AS445">
        <f t="shared" si="164"/>
        <v>0</v>
      </c>
      <c r="AT445" t="str">
        <f t="shared" si="165"/>
        <v>VENTAS</v>
      </c>
      <c r="AU445">
        <f t="shared" si="166"/>
        <v>64.862569275295584</v>
      </c>
      <c r="AV445" t="str">
        <f t="shared" si="167"/>
        <v>Mayor retorno probable: VENTAS (+64,9 puntos finales potenciales).</v>
      </c>
    </row>
    <row r="446" spans="1:48" x14ac:dyDescent="0.3">
      <c r="A446" s="5">
        <v>51056736</v>
      </c>
      <c r="B446" s="5" t="str">
        <f>IFERROR(VLOOKUP(A446,VENTAS!$A$2:$B$1194,2,0),"")</f>
        <v>METTLER</v>
      </c>
      <c r="C446" s="5">
        <f>IFERROR(INDEX(VENTAS!$C$2:$E$1194,MATCH(A446,VENTAS!$A$2:$A$1194,0),MATCH(PARAMS_MODELO!$B$2,{"Q1","Q2","Q3"},0)),0)</f>
        <v>69607085.00999999</v>
      </c>
      <c r="D446" s="5">
        <f>IFERROR(INDEX(VENTAS!$F$2:$H$1194,MATCH(A446,VENTAS!$A$2:$A$1194,0),MATCH(PARAMS_MODELO!$B$2,{"Q1","Q2","Q3"},0)),0)</f>
        <v>83000238</v>
      </c>
      <c r="E446" s="8">
        <f t="shared" si="144"/>
        <v>0.19241077238151694</v>
      </c>
      <c r="F446" s="12">
        <f>IF(E446&lt;=PARAMS_MODELO!$B$15,0,IF(E446&gt;=PARAMS_MODELO!$B$17,100,100*MIN(1,(E446-PARAMS_MODELO!$B$15)/(PARAMS_MODELO!$B$16-PARAMS_MODELO!$B$15))))*PARAMS_MODELO!$B$7</f>
        <v>35</v>
      </c>
      <c r="G446" s="5">
        <f t="shared" si="145"/>
        <v>13393152.99000001</v>
      </c>
      <c r="H446" s="5">
        <f>(PARAMS_MODELO!$B$20*(MAX(0,MIN(3,E446))/3)+PARAMS_MODELO!$B$21*(IFERROR(LN(1+MAX(0,G446))/LN(1+MAX(0,MAX($G$2:$G$1194))),0)))*100*PARAMS_MODELO!$B$8</f>
        <v>4.5202303952790723</v>
      </c>
      <c r="I446" s="8">
        <f>E446-PARAMS_MODELO!$B$5</f>
        <v>1.4847937005990408E-2</v>
      </c>
      <c r="J446" s="5">
        <f>IF(I446&lt;=PARAMS_MODELO!$B$18,0,IF(I446&gt;=PARAMS_MODELO!$B$19,100,100*(I446-PARAMS_MODELO!$B$18)/(PARAMS_MODELO!$B$19-PARAMS_MODELO!$B$18)))*PARAMS_MODELO!$B$9</f>
        <v>9.7271905508985608</v>
      </c>
      <c r="K446" s="5">
        <f>IFERROR(CHOOSE(MATCH(PARAMS_MODELO!$B$2,{"Q1","Q2","Q3"},0),LOTO!$D446,LOTO!$F446,LOTO!$H446),0)</f>
        <v>4112500</v>
      </c>
      <c r="L446" s="8">
        <f t="shared" si="146"/>
        <v>4.9548050693541387E-2</v>
      </c>
      <c r="M446" s="5">
        <f>MIN(100,IF(PARAMS_MODELO!$B$23=0,0,100*L446/PARAMS_MODELO!$B$23))*PARAMS_MODELO!$B$10</f>
        <v>14.864415208062415</v>
      </c>
      <c r="N446" s="5">
        <f>IFERROR(VLOOKUP(A446,COMPLIANCE!$A$2:$F$1996,6,0),100)</f>
        <v>100</v>
      </c>
      <c r="O446" s="5">
        <f>N446*PARAMS_MODELO!$B$11</f>
        <v>10</v>
      </c>
      <c r="P446" s="5">
        <f>IFERROR(VLOOKUP(A446,DIGITAL!$A$2:$J$2000,7,0),100)</f>
        <v>83</v>
      </c>
      <c r="Q446" s="5">
        <f>IFERROR(P446,0)*PARAMS_MODELO!$B$12</f>
        <v>8.3000000000000007</v>
      </c>
      <c r="R446">
        <f t="shared" si="147"/>
        <v>82.411836154240049</v>
      </c>
      <c r="S446" s="5" t="str">
        <f>IFERROR(VLOOKUP(A446,CLIENTE!$A$2:$N$2000,13,0),1)</f>
        <v>Malo</v>
      </c>
      <c r="T446" s="5">
        <f>IFERROR(VLOOKUP(A446,CLIENTE!$A$2:$N$2000,14,0),1)</f>
        <v>0.7</v>
      </c>
      <c r="U446" s="5">
        <f t="shared" si="148"/>
        <v>57.68828530796803</v>
      </c>
      <c r="V446" s="5" t="str">
        <f>IF(U446&gt;=MAX(_xlfn.PERCENTILE.INC($U$2:$U$1194,PARAMS_MODELO!$B$50),PARAMS_MODELO!$B$45),"DIAMANTE",IF(U446&gt;=MAX(_xlfn.PERCENTILE.INC($U$2:$U$1194,PARAMS_MODELO!$B$51),PARAMS_MODELO!$B$46),"PLATINO",IF(U446&gt;=MAX(_xlfn.PERCENTILE.INC($U$2:$U$1194,PARAMS_MODELO!$B$52),PARAMS_MODELO!$B$47),"ORO",IF(U446&gt;=MAX(_xlfn.PERCENTILE.INC($U$2:$U$1194,PARAMS_MODELO!$B$53),PARAMS_MODELO!$B$48),"PLATA",IF(U446&gt;=1,"BRONCE","CERRADO")))))</f>
        <v>PLATA</v>
      </c>
      <c r="W446" s="5" t="str" cm="1">
        <f t="array" ref="W446">_xlfn.XLOOKUP(1, (HIST_SCORE!$B:$B=PARAMS_MODELO!$B$4) * (HIST_SCORE!$C:$C=A446), HIST_SCORE!$E:$E, "No encontrado")</f>
        <v>PLATA</v>
      </c>
      <c r="X446" s="5" t="str">
        <f>_xlfn.LET(_xlpm.act,MATCH(V446,{"DIAMANTE";"PLATINO";"ORO";"PLATA";"BRONCE";"CERRADO"},0),_xlpm.ant,MATCH(W446,{"DIAMANTE";"PLATINO";"ORO";"PLATA";"BRONCE";"CERRADO"},0),IF(_xlpm.act&lt;_xlpm.ant,"Mejora ↑",IF(_xlpm.act&gt;_xlpm.ant,"Baja ↓","Estable →")))</f>
        <v>Estable →</v>
      </c>
      <c r="Y446" s="5">
        <f>IFERROR(U446-SUMIFS(HIST_SCORE!$D:$D,HIST_SCORE!$B:$B,PARAMS_MODELO!$B$4,HIST_SCORE!$C:$C,$A446),"")</f>
        <v>-3.4568222155783133</v>
      </c>
      <c r="Z446" s="5" t="str">
        <f t="shared" si="149"/>
        <v>→ Estable</v>
      </c>
      <c r="AA446" s="5">
        <f t="shared" si="150"/>
        <v>671</v>
      </c>
      <c r="AB446" s="5">
        <f>IFERROR(SUMIFS(HIST_SCORE!$F:$F,HIST_SCORE!$B:$B,PARAMS_MODELO!$B$4,HIST_SCORE!$C:$C,$A446),"")</f>
        <v>628</v>
      </c>
      <c r="AC446" s="5">
        <f t="shared" si="151"/>
        <v>-43</v>
      </c>
      <c r="AD446" t="str">
        <f t="shared" si="153"/>
        <v/>
      </c>
      <c r="AE4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446="CERRADO",1,IF(V446="BRONCE",_xlpm.cPl,IF(V446="PLATA",_xlpm.cO,IF(V446="ORO",_xlpm.cP,IF(V446="PLATINO",_xlpm.cD,999))))))</f>
        <v>63.199193273331495</v>
      </c>
      <c r="AF4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446="CERRADO",0,IF(V446="BRONCE",1,IF(V446="PLATA",_xlpm.cPl,IF(V446="ORO",_xlpm.cO,IF(V446="PLATINO",_xlpm.cP,_xlpm.cD))))))</f>
        <v>24.506573482968111</v>
      </c>
      <c r="AG446">
        <f t="shared" si="154"/>
        <v>7.8727256648049462</v>
      </c>
      <c r="AH446" t="str">
        <f t="shared" si="155"/>
        <v>CLIENTE</v>
      </c>
      <c r="AI446" t="str">
        <f t="shared" si="152"/>
        <v>🎯 Para subir de categoría, la eje con mayor impacto probable es CLIENTE (coef T). Acción: reducir quejas, mejorar incógnito y empujar reseñas. ΔR aprox: 7,9</v>
      </c>
      <c r="AJ446" s="26">
        <f>_xlfn.LET(_xlpm.piso,AF446,_xlpm.corte,AE446,_xlpm.prog,IF(_xlpm.corte&lt;=_xlpm.piso,0,MAX(0,MIN(1,(U446-_xlpm.piso)/(_xlpm.corte-_xlpm.piso)))),_xlpm.orden,{"DIAMANTE";"PLATINO";"ORO";"PLATA";"BRONCE";"CERRADO"},_xlpm.act,IFERROR(MATCH(V446,_xlpm.orden,0),6),_xlpm.ant,IFERROR(MATCH(W446,_xlpm.orden,0),6),_xlpm.ajmov,IF(_xlpm.act&lt;_xlpm.ant,0.08,IF(_xlpm.act&gt;_xlpm.ant,-0.08,0)),_xlpm.ajcli,IF(T446&lt;0.95,-0.06,0),_xlpm.prob,MAX(0,MIN(1,_xlpm.prog+_xlpm.ajmov+_xlpm.ajcli)),IF(OR(V446="DIAMANTE",V446="CERRADO"),0,ROUND(_xlpm.prob,2)))</f>
        <v>0.8</v>
      </c>
      <c r="AK446" t="str">
        <f t="shared" si="156"/>
        <v>Faltan 7,9 puntos base para subir a la siguiente categoría</v>
      </c>
      <c r="AL446" t="str">
        <f t="shared" si="157"/>
        <v>Margen de seguridad: 33,2 puntos</v>
      </c>
      <c r="AM446">
        <f t="shared" si="158"/>
        <v>0.59</v>
      </c>
      <c r="AN446" t="str">
        <f t="shared" si="159"/>
        <v>PRIORIDAD MEDIA – seguimiento del asesor</v>
      </c>
      <c r="AO446">
        <f t="shared" si="160"/>
        <v>10.930603830382564</v>
      </c>
      <c r="AP446">
        <f t="shared" si="161"/>
        <v>9.4909354356309802E-2</v>
      </c>
      <c r="AQ446">
        <f t="shared" si="162"/>
        <v>0</v>
      </c>
      <c r="AR446">
        <f t="shared" si="163"/>
        <v>1.1899999999999995</v>
      </c>
      <c r="AS446">
        <f t="shared" si="164"/>
        <v>24.723550846272019</v>
      </c>
      <c r="AT446" t="str">
        <f t="shared" si="165"/>
        <v>CLIENTE</v>
      </c>
      <c r="AU446">
        <f t="shared" si="166"/>
        <v>24.723550846272019</v>
      </c>
      <c r="AV446" t="str">
        <f t="shared" si="167"/>
        <v>Mayor retorno probable: CLIENTE (+24,7 puntos finales potenciales).</v>
      </c>
    </row>
    <row r="447" spans="1:48" x14ac:dyDescent="0.3">
      <c r="A447" s="5">
        <v>51044436</v>
      </c>
      <c r="B447" s="5" t="str">
        <f>IFERROR(VLOOKUP(A447,VENTAS!$A$2:$B$1194,2,0),"")</f>
        <v>ARGUELLO</v>
      </c>
      <c r="C447" s="5">
        <f>IFERROR(INDEX(VENTAS!$C$2:$E$1194,MATCH(A447,VENTAS!$A$2:$A$1194,0),MATCH(PARAMS_MODELO!$B$2,{"Q1","Q2","Q3"},0)),0)</f>
        <v>61157718.25</v>
      </c>
      <c r="D447" s="5">
        <f>IFERROR(INDEX(VENTAS!$F$2:$H$1194,MATCH(A447,VENTAS!$A$2:$A$1194,0),MATCH(PARAMS_MODELO!$B$2,{"Q1","Q2","Q3"},0)),0)</f>
        <v>82996709</v>
      </c>
      <c r="E447" s="8">
        <f t="shared" si="144"/>
        <v>0.35709296185195716</v>
      </c>
      <c r="F447" s="12">
        <f>IF(E447&lt;=PARAMS_MODELO!$B$15,0,IF(E447&gt;=PARAMS_MODELO!$B$17,100,100*MIN(1,(E447-PARAMS_MODELO!$B$15)/(PARAMS_MODELO!$B$16-PARAMS_MODELO!$B$15))))*PARAMS_MODELO!$B$7</f>
        <v>35</v>
      </c>
      <c r="G447" s="5">
        <f t="shared" si="145"/>
        <v>21838990.75</v>
      </c>
      <c r="H447" s="5">
        <f>(PARAMS_MODELO!$B$20*(MAX(0,MIN(3,E447))/3)+PARAMS_MODELO!$B$21*(IFERROR(LN(1+MAX(0,G447))/LN(1+MAX(0,MAX($G$2:$G$1194))),0)))*100*PARAMS_MODELO!$B$8</f>
        <v>5.2112355391000182</v>
      </c>
      <c r="I447" s="8">
        <f>E447-PARAMS_MODELO!$B$5</f>
        <v>0.17953012647643063</v>
      </c>
      <c r="J447" s="5">
        <f>IF(I447&lt;=PARAMS_MODELO!$B$18,0,IF(I447&gt;=PARAMS_MODELO!$B$19,100,100*(I447-PARAMS_MODELO!$B$18)/(PARAMS_MODELO!$B$19-PARAMS_MODELO!$B$18)))*PARAMS_MODELO!$B$9</f>
        <v>15</v>
      </c>
      <c r="K447" s="5">
        <f>IFERROR(CHOOSE(MATCH(PARAMS_MODELO!$B$2,{"Q1","Q2","Q3"},0),LOTO!$D447,LOTO!$F447,LOTO!$H447),0)</f>
        <v>4105000</v>
      </c>
      <c r="L447" s="8">
        <f t="shared" si="146"/>
        <v>4.9459792435866345E-2</v>
      </c>
      <c r="M447" s="5">
        <f>MIN(100,IF(PARAMS_MODELO!$B$23=0,0,100*L447/PARAMS_MODELO!$B$23))*PARAMS_MODELO!$B$10</f>
        <v>14.837937730759904</v>
      </c>
      <c r="N447" s="5">
        <f>IFERROR(VLOOKUP(A447,COMPLIANCE!$A$2:$F$1996,6,0),100)</f>
        <v>100</v>
      </c>
      <c r="O447" s="5">
        <f>N447*PARAMS_MODELO!$B$11</f>
        <v>10</v>
      </c>
      <c r="P447" s="5">
        <f>IFERROR(VLOOKUP(A447,DIGITAL!$A$2:$J$2000,7,0),100)</f>
        <v>30</v>
      </c>
      <c r="Q447" s="5">
        <f>IFERROR(P447,0)*PARAMS_MODELO!$B$12</f>
        <v>3</v>
      </c>
      <c r="R447">
        <f t="shared" si="147"/>
        <v>83.049173269859921</v>
      </c>
      <c r="S447" s="5" t="str">
        <f>IFERROR(VLOOKUP(A447,CLIENTE!$A$2:$N$2000,13,0),1)</f>
        <v>Malo</v>
      </c>
      <c r="T447" s="5">
        <f>IFERROR(VLOOKUP(A447,CLIENTE!$A$2:$N$2000,14,0),1)</f>
        <v>0.7</v>
      </c>
      <c r="U447" s="5">
        <f t="shared" si="148"/>
        <v>58.13442128890194</v>
      </c>
      <c r="V447" s="5" t="str">
        <f>IF(U447&gt;=MAX(_xlfn.PERCENTILE.INC($U$2:$U$1194,PARAMS_MODELO!$B$50),PARAMS_MODELO!$B$45),"DIAMANTE",IF(U447&gt;=MAX(_xlfn.PERCENTILE.INC($U$2:$U$1194,PARAMS_MODELO!$B$51),PARAMS_MODELO!$B$46),"PLATINO",IF(U447&gt;=MAX(_xlfn.PERCENTILE.INC($U$2:$U$1194,PARAMS_MODELO!$B$52),PARAMS_MODELO!$B$47),"ORO",IF(U447&gt;=MAX(_xlfn.PERCENTILE.INC($U$2:$U$1194,PARAMS_MODELO!$B$53),PARAMS_MODELO!$B$48),"PLATA",IF(U447&gt;=1,"BRONCE","CERRADO")))))</f>
        <v>PLATA</v>
      </c>
      <c r="W447" s="5" t="str" cm="1">
        <f t="array" ref="W447">_xlfn.XLOOKUP(1, (HIST_SCORE!$B:$B=PARAMS_MODELO!$B$4) * (HIST_SCORE!$C:$C=A447), HIST_SCORE!$E:$E, "No encontrado")</f>
        <v>PLATA</v>
      </c>
      <c r="X447" s="5" t="str">
        <f>_xlfn.LET(_xlpm.act,MATCH(V447,{"DIAMANTE";"PLATINO";"ORO";"PLATA";"BRONCE";"CERRADO"},0),_xlpm.ant,MATCH(W447,{"DIAMANTE";"PLATINO";"ORO";"PLATA";"BRONCE";"CERRADO"},0),IF(_xlpm.act&lt;_xlpm.ant,"Mejora ↑",IF(_xlpm.act&gt;_xlpm.ant,"Baja ↓","Estable →")))</f>
        <v>Estable →</v>
      </c>
      <c r="Y447" s="5">
        <f>IFERROR(U447-SUMIFS(HIST_SCORE!$D:$D,HIST_SCORE!$B:$B,PARAMS_MODELO!$B$4,HIST_SCORE!$C:$C,$A447),"")</f>
        <v>1.1136182849789193</v>
      </c>
      <c r="Z447" s="5" t="str">
        <f t="shared" si="149"/>
        <v>→ Estable</v>
      </c>
      <c r="AA447" s="5">
        <f t="shared" si="150"/>
        <v>656</v>
      </c>
      <c r="AB447" s="5">
        <f>IFERROR(SUMIFS(HIST_SCORE!$F:$F,HIST_SCORE!$B:$B,PARAMS_MODELO!$B$4,HIST_SCORE!$C:$C,$A447),"")</f>
        <v>714</v>
      </c>
      <c r="AC447" s="5">
        <f t="shared" si="151"/>
        <v>58</v>
      </c>
      <c r="AD447" t="str">
        <f t="shared" si="153"/>
        <v/>
      </c>
      <c r="AE4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447="CERRADO",1,IF(V447="BRONCE",_xlpm.cPl,IF(V447="PLATA",_xlpm.cO,IF(V447="ORO",_xlpm.cP,IF(V447="PLATINO",_xlpm.cD,999))))))</f>
        <v>63.199193273331495</v>
      </c>
      <c r="AF4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447="CERRADO",0,IF(V447="BRONCE",1,IF(V447="PLATA",_xlpm.cPl,IF(V447="ORO",_xlpm.cO,IF(V447="PLATINO",_xlpm.cP,_xlpm.cD))))))</f>
        <v>24.506573482968111</v>
      </c>
      <c r="AG447">
        <f t="shared" si="154"/>
        <v>7.2353885491850747</v>
      </c>
      <c r="AH447" t="str">
        <f t="shared" si="155"/>
        <v>CLIENTE</v>
      </c>
      <c r="AI447" t="str">
        <f t="shared" si="152"/>
        <v>🎯 Para subir de categoría, la eje con mayor impacto probable es CLIENTE (coef T). Acción: reducir quejas, mejorar incógnito y empujar reseñas. ΔR aprox: 7,2</v>
      </c>
      <c r="AJ447" s="26">
        <f>_xlfn.LET(_xlpm.piso,AF447,_xlpm.corte,AE447,_xlpm.prog,IF(_xlpm.corte&lt;=_xlpm.piso,0,MAX(0,MIN(1,(U447-_xlpm.piso)/(_xlpm.corte-_xlpm.piso)))),_xlpm.orden,{"DIAMANTE";"PLATINO";"ORO";"PLATA";"BRONCE";"CERRADO"},_xlpm.act,IFERROR(MATCH(V447,_xlpm.orden,0),6),_xlpm.ant,IFERROR(MATCH(W447,_xlpm.orden,0),6),_xlpm.ajmov,IF(_xlpm.act&lt;_xlpm.ant,0.08,IF(_xlpm.act&gt;_xlpm.ant,-0.08,0)),_xlpm.ajcli,IF(T447&lt;0.95,-0.06,0),_xlpm.prob,MAX(0,MIN(1,_xlpm.prog+_xlpm.ajmov+_xlpm.ajcli)),IF(OR(V447="DIAMANTE",V447="CERRADO"),0,ROUND(_xlpm.prob,2)))</f>
        <v>0.81</v>
      </c>
      <c r="AK447" t="str">
        <f t="shared" si="156"/>
        <v>Faltan 7,2 puntos base para subir a la siguiente categoría</v>
      </c>
      <c r="AL447" t="str">
        <f t="shared" si="157"/>
        <v>Margen de seguridad: 33,6 puntos</v>
      </c>
      <c r="AM447">
        <f t="shared" si="158"/>
        <v>0.56999999999999995</v>
      </c>
      <c r="AN447" t="str">
        <f t="shared" si="159"/>
        <v>PRIORIDAD MEDIA – seguimiento del asesor</v>
      </c>
      <c r="AO447">
        <f t="shared" si="160"/>
        <v>6.7559336153368967</v>
      </c>
      <c r="AP447">
        <f t="shared" si="161"/>
        <v>0.11344358846806699</v>
      </c>
      <c r="AQ447">
        <f t="shared" si="162"/>
        <v>0</v>
      </c>
      <c r="AR447">
        <f t="shared" si="163"/>
        <v>4.8999999999999995</v>
      </c>
      <c r="AS447">
        <f t="shared" si="164"/>
        <v>24.91475198095798</v>
      </c>
      <c r="AT447" t="str">
        <f t="shared" si="165"/>
        <v>CLIENTE</v>
      </c>
      <c r="AU447">
        <f t="shared" si="166"/>
        <v>24.91475198095798</v>
      </c>
      <c r="AV447" t="str">
        <f t="shared" si="167"/>
        <v>Mayor retorno probable: CLIENTE (+24,9 puntos finales potenciales).</v>
      </c>
    </row>
    <row r="448" spans="1:48" x14ac:dyDescent="0.3">
      <c r="A448" s="5">
        <v>51017552</v>
      </c>
      <c r="B448" s="5" t="str">
        <f>IFERROR(VLOOKUP(A448,VENTAS!$A$2:$B$1194,2,0),"")</f>
        <v>PRADES</v>
      </c>
      <c r="C448" s="5">
        <f>IFERROR(INDEX(VENTAS!$C$2:$E$1194,MATCH(A448,VENTAS!$A$2:$A$1194,0),MATCH(PARAMS_MODELO!$B$2,{"Q1","Q2","Q3"},0)),0)</f>
        <v>54386225.700000003</v>
      </c>
      <c r="D448" s="5">
        <f>IFERROR(INDEX(VENTAS!$F$2:$H$1194,MATCH(A448,VENTAS!$A$2:$A$1194,0),MATCH(PARAMS_MODELO!$B$2,{"Q1","Q2","Q3"},0)),0)</f>
        <v>82980509</v>
      </c>
      <c r="E448" s="8">
        <f t="shared" si="144"/>
        <v>0.52576333312278356</v>
      </c>
      <c r="F448" s="12">
        <f>IF(E448&lt;=PARAMS_MODELO!$B$15,0,IF(E448&gt;=PARAMS_MODELO!$B$17,100,100*MIN(1,(E448-PARAMS_MODELO!$B$15)/(PARAMS_MODELO!$B$16-PARAMS_MODELO!$B$15))))*PARAMS_MODELO!$B$7</f>
        <v>35</v>
      </c>
      <c r="G448" s="5">
        <f t="shared" si="145"/>
        <v>28594283.299999997</v>
      </c>
      <c r="H448" s="5">
        <f>(PARAMS_MODELO!$B$20*(MAX(0,MIN(3,E448))/3)+PARAMS_MODELO!$B$21*(IFERROR(LN(1+MAX(0,G448))/LN(1+MAX(0,MAX($G$2:$G$1194))),0)))*100*PARAMS_MODELO!$B$8</f>
        <v>5.8647587131402936</v>
      </c>
      <c r="I448" s="8">
        <f>E448-PARAMS_MODELO!$B$5</f>
        <v>0.34820049774725703</v>
      </c>
      <c r="J448" s="5">
        <f>IF(I448&lt;=PARAMS_MODELO!$B$18,0,IF(I448&gt;=PARAMS_MODELO!$B$19,100,100*(I448-PARAMS_MODELO!$B$18)/(PARAMS_MODELO!$B$19-PARAMS_MODELO!$B$18)))*PARAMS_MODELO!$B$9</f>
        <v>15</v>
      </c>
      <c r="K448" s="5">
        <f>IFERROR(CHOOSE(MATCH(PARAMS_MODELO!$B$2,{"Q1","Q2","Q3"},0),LOTO!$D448,LOTO!$F448,LOTO!$H448),0)</f>
        <v>4105000</v>
      </c>
      <c r="L448" s="8">
        <f t="shared" si="146"/>
        <v>4.9469448301407745E-2</v>
      </c>
      <c r="M448" s="5">
        <f>MIN(100,IF(PARAMS_MODELO!$B$23=0,0,100*L448/PARAMS_MODELO!$B$23))*PARAMS_MODELO!$B$10</f>
        <v>14.840834490422321</v>
      </c>
      <c r="N448" s="5">
        <f>IFERROR(VLOOKUP(A448,COMPLIANCE!$A$2:$F$1996,6,0),100)</f>
        <v>99.98</v>
      </c>
      <c r="O448" s="5">
        <f>N448*PARAMS_MODELO!$B$11</f>
        <v>9.9980000000000011</v>
      </c>
      <c r="P448" s="5">
        <f>IFERROR(VLOOKUP(A448,DIGITAL!$A$2:$J$2000,7,0),100)</f>
        <v>9</v>
      </c>
      <c r="Q448" s="5">
        <f>IFERROR(P448,0)*PARAMS_MODELO!$B$12</f>
        <v>0.9</v>
      </c>
      <c r="R448">
        <f t="shared" si="147"/>
        <v>81.603593203562625</v>
      </c>
      <c r="S448" s="5" t="str">
        <f>IFERROR(VLOOKUP(A448,CLIENTE!$A$2:$N$2000,13,0),1)</f>
        <v>Regular</v>
      </c>
      <c r="T448" s="5">
        <f>IFERROR(VLOOKUP(A448,CLIENTE!$A$2:$N$2000,14,0),1)</f>
        <v>1</v>
      </c>
      <c r="U448" s="5">
        <f t="shared" si="148"/>
        <v>81.603593203562625</v>
      </c>
      <c r="V448" s="5" t="str">
        <f>IF(U448&gt;=MAX(_xlfn.PERCENTILE.INC($U$2:$U$1194,PARAMS_MODELO!$B$50),PARAMS_MODELO!$B$45),"DIAMANTE",IF(U448&gt;=MAX(_xlfn.PERCENTILE.INC($U$2:$U$1194,PARAMS_MODELO!$B$51),PARAMS_MODELO!$B$46),"PLATINO",IF(U448&gt;=MAX(_xlfn.PERCENTILE.INC($U$2:$U$1194,PARAMS_MODELO!$B$52),PARAMS_MODELO!$B$47),"ORO",IF(U448&gt;=MAX(_xlfn.PERCENTILE.INC($U$2:$U$1194,PARAMS_MODELO!$B$53),PARAMS_MODELO!$B$48),"PLATA",IF(U448&gt;=1,"BRONCE","CERRADO")))))</f>
        <v>ORO</v>
      </c>
      <c r="W448" s="5" t="str" cm="1">
        <f t="array" ref="W448">_xlfn.XLOOKUP(1, (HIST_SCORE!$B:$B=PARAMS_MODELO!$B$4) * (HIST_SCORE!$C:$C=A448), HIST_SCORE!$E:$E, "No encontrado")</f>
        <v>ORO</v>
      </c>
      <c r="X448" s="5" t="str">
        <f>_xlfn.LET(_xlpm.act,MATCH(V448,{"DIAMANTE";"PLATINO";"ORO";"PLATA";"BRONCE";"CERRADO"},0),_xlpm.ant,MATCH(W448,{"DIAMANTE";"PLATINO";"ORO";"PLATA";"BRONCE";"CERRADO"},0),IF(_xlpm.act&lt;_xlpm.ant,"Mejora ↑",IF(_xlpm.act&gt;_xlpm.ant,"Baja ↓","Estable →")))</f>
        <v>Estable →</v>
      </c>
      <c r="Y448" s="5">
        <f>IFERROR(U448-SUMIFS(HIST_SCORE!$D:$D,HIST_SCORE!$B:$B,PARAMS_MODELO!$B$4,HIST_SCORE!$C:$C,$A448),"")</f>
        <v>-0.99520383896904718</v>
      </c>
      <c r="Z448" s="5" t="str">
        <f t="shared" si="149"/>
        <v>→ Estable</v>
      </c>
      <c r="AA448" s="5">
        <f t="shared" si="150"/>
        <v>398</v>
      </c>
      <c r="AB448" s="5">
        <f>IFERROR(SUMIFS(HIST_SCORE!$F:$F,HIST_SCORE!$B:$B,PARAMS_MODELO!$B$4,HIST_SCORE!$C:$C,$A448),"")</f>
        <v>346</v>
      </c>
      <c r="AC448" s="5">
        <f t="shared" si="151"/>
        <v>-52</v>
      </c>
      <c r="AD448" t="str">
        <f t="shared" si="153"/>
        <v>Sostener base y reforzar mix</v>
      </c>
      <c r="AE4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448="CERRADO",1,IF(V448="BRONCE",_xlpm.cPl,IF(V448="PLATA",_xlpm.cO,IF(V448="ORO",_xlpm.cP,IF(V448="PLATINO",_xlpm.cD,999))))))</f>
        <v>86.439123873763251</v>
      </c>
      <c r="AF4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448="CERRADO",0,IF(V448="BRONCE",1,IF(V448="PLATA",_xlpm.cPl,IF(V448="ORO",_xlpm.cO,IF(V448="PLATINO",_xlpm.cP,_xlpm.cD))))))</f>
        <v>63.199193273331495</v>
      </c>
      <c r="AG448">
        <f t="shared" si="154"/>
        <v>4.835530670200626</v>
      </c>
      <c r="AH448" t="str">
        <f t="shared" si="155"/>
        <v>VENTAS</v>
      </c>
      <c r="AI448" t="str">
        <f t="shared" si="152"/>
        <v>🎯 Para subir de categoría, eje VENTAS / IMPACTO ABSOLUTO (H). Acción: metas semanales + activación comercial + seguimiento del asesor. ΔR aprox: 4,8</v>
      </c>
      <c r="AJ448" s="26">
        <f>_xlfn.LET(_xlpm.piso,AF448,_xlpm.corte,AE448,_xlpm.prog,IF(_xlpm.corte&lt;=_xlpm.piso,0,MAX(0,MIN(1,(U448-_xlpm.piso)/(_xlpm.corte-_xlpm.piso)))),_xlpm.orden,{"DIAMANTE";"PLATINO";"ORO";"PLATA";"BRONCE";"CERRADO"},_xlpm.act,IFERROR(MATCH(V448,_xlpm.orden,0),6),_xlpm.ant,IFERROR(MATCH(W448,_xlpm.orden,0),6),_xlpm.ajmov,IF(_xlpm.act&lt;_xlpm.ant,0.08,IF(_xlpm.act&gt;_xlpm.ant,-0.08,0)),_xlpm.ajcli,IF(T448&lt;0.95,-0.06,0),_xlpm.prob,MAX(0,MIN(1,_xlpm.prog+_xlpm.ajmov+_xlpm.ajcli)),IF(OR(V448="DIAMANTE",V448="CERRADO"),0,ROUND(_xlpm.prob,2)))</f>
        <v>0.79</v>
      </c>
      <c r="AK448" t="str">
        <f t="shared" si="156"/>
        <v>Faltan 4,8 puntos base para subir a la siguiente categoría</v>
      </c>
      <c r="AL448" t="str">
        <f t="shared" si="157"/>
        <v>Margen de seguridad: 18,4 puntos</v>
      </c>
      <c r="AM448">
        <f t="shared" si="158"/>
        <v>0.28000000000000003</v>
      </c>
      <c r="AN448" t="str">
        <f t="shared" si="159"/>
        <v>PRIORIDAD BAJA – control normal</v>
      </c>
      <c r="AO448">
        <f t="shared" si="160"/>
        <v>8.9978105621552942</v>
      </c>
      <c r="AP448">
        <f t="shared" si="161"/>
        <v>0.15916550957767939</v>
      </c>
      <c r="AQ448">
        <f t="shared" si="162"/>
        <v>1.9999999999988916E-3</v>
      </c>
      <c r="AR448">
        <f t="shared" si="163"/>
        <v>9.1</v>
      </c>
      <c r="AS448">
        <f t="shared" si="164"/>
        <v>0</v>
      </c>
      <c r="AT448" t="str">
        <f t="shared" si="165"/>
        <v>DIGITAL</v>
      </c>
      <c r="AU448">
        <f t="shared" si="166"/>
        <v>9.1</v>
      </c>
      <c r="AV448" t="str">
        <f t="shared" si="167"/>
        <v>Mayor retorno probable: DIGITAL (+9,1 puntos finales potenciales).</v>
      </c>
    </row>
    <row r="449" spans="1:48" x14ac:dyDescent="0.3">
      <c r="A449" s="5">
        <v>51055276</v>
      </c>
      <c r="B449" s="5" t="str">
        <f>IFERROR(VLOOKUP(A449,VENTAS!$A$2:$B$1194,2,0),"")</f>
        <v>BELUZZO</v>
      </c>
      <c r="C449" s="5">
        <f>IFERROR(INDEX(VENTAS!$C$2:$E$1194,MATCH(A449,VENTAS!$A$2:$A$1194,0),MATCH(PARAMS_MODELO!$B$2,{"Q1","Q2","Q3"},0)),0)</f>
        <v>73654058.200000003</v>
      </c>
      <c r="D449" s="5">
        <f>IFERROR(INDEX(VENTAS!$F$2:$H$1194,MATCH(A449,VENTAS!$A$2:$A$1194,0),MATCH(PARAMS_MODELO!$B$2,{"Q1","Q2","Q3"},0)),0)</f>
        <v>82744011</v>
      </c>
      <c r="E449" s="8">
        <f t="shared" si="144"/>
        <v>0.12341414746377133</v>
      </c>
      <c r="F449" s="12">
        <f>IF(E449&lt;=PARAMS_MODELO!$B$15,0,IF(E449&gt;=PARAMS_MODELO!$B$17,100,100*MIN(1,(E449-PARAMS_MODELO!$B$15)/(PARAMS_MODELO!$B$16-PARAMS_MODELO!$B$15))))*PARAMS_MODELO!$B$7</f>
        <v>35</v>
      </c>
      <c r="G449" s="5">
        <f t="shared" si="145"/>
        <v>9089952.799999997</v>
      </c>
      <c r="H449" s="5">
        <f>(PARAMS_MODELO!$B$20*(MAX(0,MIN(3,E449))/3)+PARAMS_MODELO!$B$21*(IFERROR(LN(1+MAX(0,G449))/LN(1+MAX(0,MAX($G$2:$G$1194))),0)))*100*PARAMS_MODELO!$B$8</f>
        <v>4.1878894857797881</v>
      </c>
      <c r="I449" s="8">
        <f>E449-PARAMS_MODELO!$B$5</f>
        <v>-5.41486879117552E-2</v>
      </c>
      <c r="J449" s="5">
        <f>IF(I449&lt;=PARAMS_MODELO!$B$18,0,IF(I449&gt;=PARAMS_MODELO!$B$19,100,100*(I449-PARAMS_MODELO!$B$18)/(PARAMS_MODELO!$B$19-PARAMS_MODELO!$B$18)))*PARAMS_MODELO!$B$9</f>
        <v>0</v>
      </c>
      <c r="K449" s="5">
        <f>IFERROR(CHOOSE(MATCH(PARAMS_MODELO!$B$2,{"Q1","Q2","Q3"},0),LOTO!$D449,LOTO!$F449,LOTO!$H449),0)</f>
        <v>4105000</v>
      </c>
      <c r="L449" s="8">
        <f t="shared" si="146"/>
        <v>4.9610841321192416E-2</v>
      </c>
      <c r="M449" s="5">
        <f>MIN(100,IF(PARAMS_MODELO!$B$23=0,0,100*L449/PARAMS_MODELO!$B$23))*PARAMS_MODELO!$B$10</f>
        <v>14.883252396357722</v>
      </c>
      <c r="N449" s="5">
        <f>IFERROR(VLOOKUP(A449,COMPLIANCE!$A$2:$F$1996,6,0),100)</f>
        <v>100</v>
      </c>
      <c r="O449" s="5">
        <f>N449*PARAMS_MODELO!$B$11</f>
        <v>10</v>
      </c>
      <c r="P449" s="5">
        <f>IFERROR(VLOOKUP(A449,DIGITAL!$A$2:$J$2000,7,0),100)</f>
        <v>56</v>
      </c>
      <c r="Q449" s="5">
        <f>IFERROR(P449,0)*PARAMS_MODELO!$B$12</f>
        <v>5.6000000000000005</v>
      </c>
      <c r="R449">
        <f t="shared" si="147"/>
        <v>69.671141882137505</v>
      </c>
      <c r="S449" s="5" t="str">
        <f>IFERROR(VLOOKUP(A449,CLIENTE!$A$2:$N$2000,13,0),1)</f>
        <v>Regular</v>
      </c>
      <c r="T449" s="5">
        <f>IFERROR(VLOOKUP(A449,CLIENTE!$A$2:$N$2000,14,0),1)</f>
        <v>1</v>
      </c>
      <c r="U449" s="5">
        <f t="shared" si="148"/>
        <v>69.671141882137505</v>
      </c>
      <c r="V449" s="5" t="str">
        <f>IF(U449&gt;=MAX(_xlfn.PERCENTILE.INC($U$2:$U$1194,PARAMS_MODELO!$B$50),PARAMS_MODELO!$B$45),"DIAMANTE",IF(U449&gt;=MAX(_xlfn.PERCENTILE.INC($U$2:$U$1194,PARAMS_MODELO!$B$51),PARAMS_MODELO!$B$46),"PLATINO",IF(U449&gt;=MAX(_xlfn.PERCENTILE.INC($U$2:$U$1194,PARAMS_MODELO!$B$52),PARAMS_MODELO!$B$47),"ORO",IF(U449&gt;=MAX(_xlfn.PERCENTILE.INC($U$2:$U$1194,PARAMS_MODELO!$B$53),PARAMS_MODELO!$B$48),"PLATA",IF(U449&gt;=1,"BRONCE","CERRADO")))))</f>
        <v>ORO</v>
      </c>
      <c r="W449" s="5" t="str" cm="1">
        <f t="array" ref="W449">_xlfn.XLOOKUP(1, (HIST_SCORE!$B:$B=PARAMS_MODELO!$B$4) * (HIST_SCORE!$C:$C=A449), HIST_SCORE!$E:$E, "No encontrado")</f>
        <v>ORO</v>
      </c>
      <c r="X449" s="5" t="str">
        <f>_xlfn.LET(_xlpm.act,MATCH(V449,{"DIAMANTE";"PLATINO";"ORO";"PLATA";"BRONCE";"CERRADO"},0),_xlpm.ant,MATCH(W449,{"DIAMANTE";"PLATINO";"ORO";"PLATA";"BRONCE";"CERRADO"},0),IF(_xlpm.act&lt;_xlpm.ant,"Mejora ↑",IF(_xlpm.act&gt;_xlpm.ant,"Baja ↓","Estable →")))</f>
        <v>Estable →</v>
      </c>
      <c r="Y449" s="5">
        <f>IFERROR(U449-SUMIFS(HIST_SCORE!$D:$D,HIST_SCORE!$B:$B,PARAMS_MODELO!$B$4,HIST_SCORE!$C:$C,$A449),"")</f>
        <v>-13.377879862063338</v>
      </c>
      <c r="Z449" s="5" t="str">
        <f t="shared" si="149"/>
        <v>↓ Baja</v>
      </c>
      <c r="AA449" s="5">
        <f t="shared" si="150"/>
        <v>513</v>
      </c>
      <c r="AB449" s="5">
        <f>IFERROR(SUMIFS(HIST_SCORE!$F:$F,HIST_SCORE!$B:$B,PARAMS_MODELO!$B$4,HIST_SCORE!$C:$C,$A449),"")</f>
        <v>327</v>
      </c>
      <c r="AC449" s="5">
        <f t="shared" si="151"/>
        <v>-186</v>
      </c>
      <c r="AD449" t="str">
        <f t="shared" si="153"/>
        <v>Sostener base y reforzar mix</v>
      </c>
      <c r="AE4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449="CERRADO",1,IF(V449="BRONCE",_xlpm.cPl,IF(V449="PLATA",_xlpm.cO,IF(V449="ORO",_xlpm.cP,IF(V449="PLATINO",_xlpm.cD,999))))))</f>
        <v>86.439123873763251</v>
      </c>
      <c r="AF4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449="CERRADO",0,IF(V449="BRONCE",1,IF(V449="PLATA",_xlpm.cPl,IF(V449="ORO",_xlpm.cO,IF(V449="PLATINO",_xlpm.cP,_xlpm.cD))))))</f>
        <v>63.199193273331495</v>
      </c>
      <c r="AG449">
        <f t="shared" si="154"/>
        <v>16.767981991625746</v>
      </c>
      <c r="AH449" t="str">
        <f t="shared" si="155"/>
        <v>VENTAS</v>
      </c>
      <c r="AI449" t="str">
        <f t="shared" si="152"/>
        <v>🎯 Para subir de categoría, eje VENTAS / DIFERENCIAL vs LOTBA (J). Acción: metas semanales + activación comercial + seguimiento del asesor. ΔR aprox: 16,8</v>
      </c>
      <c r="AJ449" s="26">
        <f>_xlfn.LET(_xlpm.piso,AF449,_xlpm.corte,AE449,_xlpm.prog,IF(_xlpm.corte&lt;=_xlpm.piso,0,MAX(0,MIN(1,(U449-_xlpm.piso)/(_xlpm.corte-_xlpm.piso)))),_xlpm.orden,{"DIAMANTE";"PLATINO";"ORO";"PLATA";"BRONCE";"CERRADO"},_xlpm.act,IFERROR(MATCH(V449,_xlpm.orden,0),6),_xlpm.ant,IFERROR(MATCH(W449,_xlpm.orden,0),6),_xlpm.ajmov,IF(_xlpm.act&lt;_xlpm.ant,0.08,IF(_xlpm.act&gt;_xlpm.ant,-0.08,0)),_xlpm.ajcli,IF(T449&lt;0.95,-0.06,0),_xlpm.prob,MAX(0,MIN(1,_xlpm.prog+_xlpm.ajmov+_xlpm.ajcli)),IF(OR(V449="DIAMANTE",V449="CERRADO"),0,ROUND(_xlpm.prob,2)))</f>
        <v>0.28000000000000003</v>
      </c>
      <c r="AK449" t="str">
        <f t="shared" si="156"/>
        <v>Faltan 16,8 puntos base para subir a la siguiente categoría</v>
      </c>
      <c r="AL449" t="str">
        <f t="shared" si="157"/>
        <v>Margen de seguridad: 6,5 puntos</v>
      </c>
      <c r="AM449">
        <f t="shared" si="158"/>
        <v>0.69</v>
      </c>
      <c r="AN449" t="str">
        <f t="shared" si="159"/>
        <v>PRIORIDAD MEDIA – seguimiento del asesor</v>
      </c>
      <c r="AO449">
        <f t="shared" si="160"/>
        <v>25.674679789515793</v>
      </c>
      <c r="AP449">
        <f t="shared" si="161"/>
        <v>0.11674760364227765</v>
      </c>
      <c r="AQ449">
        <f t="shared" si="162"/>
        <v>0</v>
      </c>
      <c r="AR449">
        <f t="shared" si="163"/>
        <v>4.3999999999999995</v>
      </c>
      <c r="AS449">
        <f t="shared" si="164"/>
        <v>0</v>
      </c>
      <c r="AT449" t="str">
        <f t="shared" si="165"/>
        <v>VENTAS</v>
      </c>
      <c r="AU449">
        <f t="shared" si="166"/>
        <v>25.674679789515793</v>
      </c>
      <c r="AV449" t="str">
        <f t="shared" si="167"/>
        <v>Mayor retorno probable: VENTAS (+25,7 puntos finales potenciales).</v>
      </c>
    </row>
    <row r="450" spans="1:48" x14ac:dyDescent="0.3">
      <c r="A450" s="5">
        <v>51020189</v>
      </c>
      <c r="B450" s="5" t="str">
        <f>IFERROR(VLOOKUP(A450,VENTAS!$A$2:$B$1194,2,0),"")</f>
        <v>BELUZZO</v>
      </c>
      <c r="C450" s="5">
        <f>IFERROR(INDEX(VENTAS!$C$2:$E$1194,MATCH(A450,VENTAS!$A$2:$A$1194,0),MATCH(PARAMS_MODELO!$B$2,{"Q1","Q2","Q3"},0)),0)</f>
        <v>57815940.969999999</v>
      </c>
      <c r="D450" s="5">
        <f>IFERROR(INDEX(VENTAS!$F$2:$H$1194,MATCH(A450,VENTAS!$A$2:$A$1194,0),MATCH(PARAMS_MODELO!$B$2,{"Q1","Q2","Q3"},0)),0)</f>
        <v>82485093</v>
      </c>
      <c r="E450" s="8">
        <f t="shared" ref="E450:E513" si="168">IFERROR(D450/C450-1,0)</f>
        <v>0.42668426070935217</v>
      </c>
      <c r="F450" s="12">
        <f>IF(E450&lt;=PARAMS_MODELO!$B$15,0,IF(E450&gt;=PARAMS_MODELO!$B$17,100,100*MIN(1,(E450-PARAMS_MODELO!$B$15)/(PARAMS_MODELO!$B$16-PARAMS_MODELO!$B$15))))*PARAMS_MODELO!$B$7</f>
        <v>35</v>
      </c>
      <c r="G450" s="5">
        <f t="shared" ref="G450:G513" si="169">MAX(0,D450-C450)</f>
        <v>24669152.030000001</v>
      </c>
      <c r="H450" s="5">
        <f>(PARAMS_MODELO!$B$20*(MAX(0,MIN(3,E450))/3)+PARAMS_MODELO!$B$21*(IFERROR(LN(1+MAX(0,G450))/LN(1+MAX(0,MAX($G$2:$G$1194))),0)))*100*PARAMS_MODELO!$B$8</f>
        <v>5.4833699764968413</v>
      </c>
      <c r="I450" s="8">
        <f>E450-PARAMS_MODELO!$B$5</f>
        <v>0.24912142533382564</v>
      </c>
      <c r="J450" s="5">
        <f>IF(I450&lt;=PARAMS_MODELO!$B$18,0,IF(I450&gt;=PARAMS_MODELO!$B$19,100,100*(I450-PARAMS_MODELO!$B$18)/(PARAMS_MODELO!$B$19-PARAMS_MODELO!$B$18)))*PARAMS_MODELO!$B$9</f>
        <v>15</v>
      </c>
      <c r="K450" s="5">
        <f>IFERROR(CHOOSE(MATCH(PARAMS_MODELO!$B$2,{"Q1","Q2","Q3"},0),LOTO!$D450,LOTO!$F450,LOTO!$H450),0)</f>
        <v>4102500</v>
      </c>
      <c r="L450" s="8">
        <f t="shared" ref="L450:L513" si="170">IFERROR(K450/D450,0)</f>
        <v>4.9736259617237745E-2</v>
      </c>
      <c r="M450" s="5">
        <f>MIN(100,IF(PARAMS_MODELO!$B$23=0,0,100*L450/PARAMS_MODELO!$B$23))*PARAMS_MODELO!$B$10</f>
        <v>14.920877885171322</v>
      </c>
      <c r="N450" s="5">
        <f>IFERROR(VLOOKUP(A450,COMPLIANCE!$A$2:$F$1996,6,0),100)</f>
        <v>100</v>
      </c>
      <c r="O450" s="5">
        <f>N450*PARAMS_MODELO!$B$11</f>
        <v>10</v>
      </c>
      <c r="P450" s="5">
        <f>IFERROR(VLOOKUP(A450,DIGITAL!$A$2:$J$2000,7,0),100)</f>
        <v>53</v>
      </c>
      <c r="Q450" s="5">
        <f>IFERROR(P450,0)*PARAMS_MODELO!$B$12</f>
        <v>5.3000000000000007</v>
      </c>
      <c r="R450">
        <f t="shared" ref="R450:R513" si="171">MIN(100,MAX(0,F450+H450+J450+M450+O450+Q450))</f>
        <v>85.704247861668151</v>
      </c>
      <c r="S450" s="5" t="str">
        <f>IFERROR(VLOOKUP(A450,CLIENTE!$A$2:$N$2000,13,0),1)</f>
        <v>Regular</v>
      </c>
      <c r="T450" s="5">
        <f>IFERROR(VLOOKUP(A450,CLIENTE!$A$2:$N$2000,14,0),1)</f>
        <v>1</v>
      </c>
      <c r="U450" s="5">
        <f t="shared" ref="U450:U513" si="172">MIN(100,MAX(0,R450*T450))</f>
        <v>85.704247861668151</v>
      </c>
      <c r="V450" s="5" t="str">
        <f>IF(U450&gt;=MAX(_xlfn.PERCENTILE.INC($U$2:$U$1194,PARAMS_MODELO!$B$50),PARAMS_MODELO!$B$45),"DIAMANTE",IF(U450&gt;=MAX(_xlfn.PERCENTILE.INC($U$2:$U$1194,PARAMS_MODELO!$B$51),PARAMS_MODELO!$B$46),"PLATINO",IF(U450&gt;=MAX(_xlfn.PERCENTILE.INC($U$2:$U$1194,PARAMS_MODELO!$B$52),PARAMS_MODELO!$B$47),"ORO",IF(U450&gt;=MAX(_xlfn.PERCENTILE.INC($U$2:$U$1194,PARAMS_MODELO!$B$53),PARAMS_MODELO!$B$48),"PLATA",IF(U450&gt;=1,"BRONCE","CERRADO")))))</f>
        <v>ORO</v>
      </c>
      <c r="W450" s="5" t="str" cm="1">
        <f t="array" ref="W450">_xlfn.XLOOKUP(1, (HIST_SCORE!$B:$B=PARAMS_MODELO!$B$4) * (HIST_SCORE!$C:$C=A450), HIST_SCORE!$E:$E, "No encontrado")</f>
        <v>ORO</v>
      </c>
      <c r="X450" s="5" t="str">
        <f>_xlfn.LET(_xlpm.act,MATCH(V450,{"DIAMANTE";"PLATINO";"ORO";"PLATA";"BRONCE";"CERRADO"},0),_xlpm.ant,MATCH(W450,{"DIAMANTE";"PLATINO";"ORO";"PLATA";"BRONCE";"CERRADO"},0),IF(_xlpm.act&lt;_xlpm.ant,"Mejora ↑",IF(_xlpm.act&gt;_xlpm.ant,"Baja ↓","Estable →")))</f>
        <v>Estable →</v>
      </c>
      <c r="Y450" s="5">
        <f>IFERROR(U450-SUMIFS(HIST_SCORE!$D:$D,HIST_SCORE!$B:$B,PARAMS_MODELO!$B$4,HIST_SCORE!$C:$C,$A450),"")</f>
        <v>22.623733318227565</v>
      </c>
      <c r="Z450" s="5" t="str">
        <f t="shared" ref="Z450:Z513" si="173">IF(Y450="","",IF(Y450&gt;=5,"↑ Mejora",IF(Y450&lt;=-5,"↓ Baja","→ Estable")))</f>
        <v>↑ Mejora</v>
      </c>
      <c r="AA450" s="5">
        <f t="shared" ref="AA450:AA513" si="174">IFERROR(_xlfn.RANK.EQ(U450,$U$2:$U$1194,0),"")</f>
        <v>262</v>
      </c>
      <c r="AB450" s="5">
        <f>IFERROR(SUMIFS(HIST_SCORE!$F:$F,HIST_SCORE!$B:$B,PARAMS_MODELO!$B$4,HIST_SCORE!$C:$C,$A450),"")</f>
        <v>588</v>
      </c>
      <c r="AC450" s="5">
        <f t="shared" ref="AC450:AC513" si="175">IF(OR(AA450="",AB450=""),"",AB450-AA450)</f>
        <v>326</v>
      </c>
      <c r="AD450" t="str">
        <f t="shared" si="153"/>
        <v/>
      </c>
      <c r="AE4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450="CERRADO",1,IF(V450="BRONCE",_xlpm.cPl,IF(V450="PLATA",_xlpm.cO,IF(V450="ORO",_xlpm.cP,IF(V450="PLATINO",_xlpm.cD,999))))))</f>
        <v>86.439123873763251</v>
      </c>
      <c r="AF4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450="CERRADO",0,IF(V450="BRONCE",1,IF(V450="PLATA",_xlpm.cPl,IF(V450="ORO",_xlpm.cO,IF(V450="PLATINO",_xlpm.cP,_xlpm.cD))))))</f>
        <v>63.199193273331495</v>
      </c>
      <c r="AG450">
        <f t="shared" si="154"/>
        <v>0.7348760120950999</v>
      </c>
      <c r="AH450" t="str">
        <f t="shared" si="155"/>
        <v>VENTAS</v>
      </c>
      <c r="AI450" t="str">
        <f t="shared" ref="AI450:AI513" si="176">_xlfn.LET(_xlpm.pal,AH450,_xlpm.deltaR,AG450,_xlpm.minVent,MIN(F450,H450,J450),_xlpm.subV,IF(_xlpm.minVent=F450,"CRECIMIENTO PERSONAL (F)",IF(_xlpm.minVent=H450,"IMPACTO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IMPACTO ABSOLUTO (H). Acción: metas semanales + activación comercial + seguimiento del asesor. ΔR aprox: 0,7</v>
      </c>
      <c r="AJ450" s="26">
        <f>_xlfn.LET(_xlpm.piso,AF450,_xlpm.corte,AE450,_xlpm.prog,IF(_xlpm.corte&lt;=_xlpm.piso,0,MAX(0,MIN(1,(U450-_xlpm.piso)/(_xlpm.corte-_xlpm.piso)))),_xlpm.orden,{"DIAMANTE";"PLATINO";"ORO";"PLATA";"BRONCE";"CERRADO"},_xlpm.act,IFERROR(MATCH(V450,_xlpm.orden,0),6),_xlpm.ant,IFERROR(MATCH(W450,_xlpm.orden,0),6),_xlpm.ajmov,IF(_xlpm.act&lt;_xlpm.ant,0.08,IF(_xlpm.act&gt;_xlpm.ant,-0.08,0)),_xlpm.ajcli,IF(T450&lt;0.95,-0.06,0),_xlpm.prob,MAX(0,MIN(1,_xlpm.prog+_xlpm.ajmov+_xlpm.ajcli)),IF(OR(V450="DIAMANTE",V450="CERRADO"),0,ROUND(_xlpm.prob,2)))</f>
        <v>0.97</v>
      </c>
      <c r="AK450" t="str">
        <f t="shared" si="156"/>
        <v>Faltan 0,7 puntos base para subir a la siguiente categoría</v>
      </c>
      <c r="AL450" t="str">
        <f t="shared" si="157"/>
        <v>Margen de seguridad: 22,5 puntos</v>
      </c>
      <c r="AM450">
        <f t="shared" si="158"/>
        <v>0.04</v>
      </c>
      <c r="AN450" t="str">
        <f t="shared" si="159"/>
        <v>PRIORIDAD BAJA – control normal</v>
      </c>
      <c r="AO450">
        <f t="shared" si="160"/>
        <v>9.3791992987987456</v>
      </c>
      <c r="AP450">
        <f t="shared" si="161"/>
        <v>7.9122114828678036E-2</v>
      </c>
      <c r="AQ450">
        <f t="shared" si="162"/>
        <v>0</v>
      </c>
      <c r="AR450">
        <f t="shared" si="163"/>
        <v>4.6999999999999993</v>
      </c>
      <c r="AS450">
        <f t="shared" si="164"/>
        <v>0</v>
      </c>
      <c r="AT450" t="str">
        <f t="shared" si="165"/>
        <v>VENTAS</v>
      </c>
      <c r="AU450">
        <f t="shared" si="166"/>
        <v>9.3791992987987456</v>
      </c>
      <c r="AV450" t="str">
        <f t="shared" si="167"/>
        <v>Mayor retorno probable: VENTAS (+9,4 puntos finales potenciales).</v>
      </c>
    </row>
    <row r="451" spans="1:48" x14ac:dyDescent="0.3">
      <c r="A451" s="5">
        <v>51041259</v>
      </c>
      <c r="B451" s="5" t="str">
        <f>IFERROR(VLOOKUP(A451,VENTAS!$A$2:$B$1194,2,0),"")</f>
        <v>ARGUELLO</v>
      </c>
      <c r="C451" s="5">
        <f>IFERROR(INDEX(VENTAS!$C$2:$E$1194,MATCH(A451,VENTAS!$A$2:$A$1194,0),MATCH(PARAMS_MODELO!$B$2,{"Q1","Q2","Q3"},0)),0)</f>
        <v>71729732.680000007</v>
      </c>
      <c r="D451" s="5">
        <f>IFERROR(INDEX(VENTAS!$F$2:$H$1194,MATCH(A451,VENTAS!$A$2:$A$1194,0),MATCH(PARAMS_MODELO!$B$2,{"Q1","Q2","Q3"},0)),0)</f>
        <v>82481028</v>
      </c>
      <c r="E451" s="8">
        <f t="shared" si="168"/>
        <v>0.14988617576428975</v>
      </c>
      <c r="F451" s="12">
        <f>IF(E451&lt;=PARAMS_MODELO!$B$15,0,IF(E451&gt;=PARAMS_MODELO!$B$17,100,100*MIN(1,(E451-PARAMS_MODELO!$B$15)/(PARAMS_MODELO!$B$16-PARAMS_MODELO!$B$15))))*PARAMS_MODELO!$B$7</f>
        <v>35</v>
      </c>
      <c r="G451" s="5">
        <f t="shared" si="169"/>
        <v>10751295.319999993</v>
      </c>
      <c r="H451" s="5">
        <f>(PARAMS_MODELO!$B$20*(MAX(0,MIN(3,E451))/3)+PARAMS_MODELO!$B$21*(IFERROR(LN(1+MAX(0,G451))/LN(1+MAX(0,MAX($G$2:$G$1194))),0)))*100*PARAMS_MODELO!$B$8</f>
        <v>4.3198894940616315</v>
      </c>
      <c r="I451" s="8">
        <f>E451-PARAMS_MODELO!$B$5</f>
        <v>-2.7676659611236776E-2</v>
      </c>
      <c r="J451" s="5">
        <f>IF(I451&lt;=PARAMS_MODELO!$B$18,0,IF(I451&gt;=PARAMS_MODELO!$B$19,100,100*(I451-PARAMS_MODELO!$B$18)/(PARAMS_MODELO!$B$19-PARAMS_MODELO!$B$18)))*PARAMS_MODELO!$B$9</f>
        <v>3.3485010583144841</v>
      </c>
      <c r="K451" s="5">
        <f>IFERROR(CHOOSE(MATCH(PARAMS_MODELO!$B$2,{"Q1","Q2","Q3"},0),LOTO!$D451,LOTO!$F451,LOTO!$H451),0)</f>
        <v>4092500</v>
      </c>
      <c r="L451" s="8">
        <f t="shared" si="170"/>
        <v>4.9617470820077558E-2</v>
      </c>
      <c r="M451" s="5">
        <f>MIN(100,IF(PARAMS_MODELO!$B$23=0,0,100*L451/PARAMS_MODELO!$B$23))*PARAMS_MODELO!$B$10</f>
        <v>14.885241246023266</v>
      </c>
      <c r="N451" s="5">
        <f>IFERROR(VLOOKUP(A451,COMPLIANCE!$A$2:$F$1996,6,0),100)</f>
        <v>100</v>
      </c>
      <c r="O451" s="5">
        <f>N451*PARAMS_MODELO!$B$11</f>
        <v>10</v>
      </c>
      <c r="P451" s="5">
        <f>IFERROR(VLOOKUP(A451,DIGITAL!$A$2:$J$2000,7,0),100)</f>
        <v>14</v>
      </c>
      <c r="Q451" s="5">
        <f>IFERROR(P451,0)*PARAMS_MODELO!$B$12</f>
        <v>1.4000000000000001</v>
      </c>
      <c r="R451">
        <f t="shared" si="171"/>
        <v>68.953631798399385</v>
      </c>
      <c r="S451" s="5" t="str">
        <f>IFERROR(VLOOKUP(A451,CLIENTE!$A$2:$N$2000,13,0),1)</f>
        <v>Bueno</v>
      </c>
      <c r="T451" s="5">
        <f>IFERROR(VLOOKUP(A451,CLIENTE!$A$2:$N$2000,14,0),1)</f>
        <v>1.1000000000000001</v>
      </c>
      <c r="U451" s="5">
        <f t="shared" si="172"/>
        <v>75.848994978239332</v>
      </c>
      <c r="V451" s="5" t="str">
        <f>IF(U451&gt;=MAX(_xlfn.PERCENTILE.INC($U$2:$U$1194,PARAMS_MODELO!$B$50),PARAMS_MODELO!$B$45),"DIAMANTE",IF(U451&gt;=MAX(_xlfn.PERCENTILE.INC($U$2:$U$1194,PARAMS_MODELO!$B$51),PARAMS_MODELO!$B$46),"PLATINO",IF(U451&gt;=MAX(_xlfn.PERCENTILE.INC($U$2:$U$1194,PARAMS_MODELO!$B$52),PARAMS_MODELO!$B$47),"ORO",IF(U451&gt;=MAX(_xlfn.PERCENTILE.INC($U$2:$U$1194,PARAMS_MODELO!$B$53),PARAMS_MODELO!$B$48),"PLATA",IF(U451&gt;=1,"BRONCE","CERRADO")))))</f>
        <v>ORO</v>
      </c>
      <c r="W451" s="5" t="str" cm="1">
        <f t="array" ref="W451">_xlfn.XLOOKUP(1, (HIST_SCORE!$B:$B=PARAMS_MODELO!$B$4) * (HIST_SCORE!$C:$C=A451), HIST_SCORE!$E:$E, "No encontrado")</f>
        <v>PLATA</v>
      </c>
      <c r="X451" s="5" t="str">
        <f>_xlfn.LET(_xlpm.act,MATCH(V451,{"DIAMANTE";"PLATINO";"ORO";"PLATA";"BRONCE";"CERRADO"},0),_xlpm.ant,MATCH(W451,{"DIAMANTE";"PLATINO";"ORO";"PLATA";"BRONCE";"CERRADO"},0),IF(_xlpm.act&lt;_xlpm.ant,"Mejora ↑",IF(_xlpm.act&gt;_xlpm.ant,"Baja ↓","Estable →")))</f>
        <v>Mejora ↑</v>
      </c>
      <c r="Y451" s="5">
        <f>IFERROR(U451-SUMIFS(HIST_SCORE!$D:$D,HIST_SCORE!$B:$B,PARAMS_MODELO!$B$4,HIST_SCORE!$C:$C,$A451),"")</f>
        <v>19.453153910369537</v>
      </c>
      <c r="Z451" s="5" t="str">
        <f t="shared" si="173"/>
        <v>↑ Mejora</v>
      </c>
      <c r="AA451" s="5">
        <f t="shared" si="174"/>
        <v>466</v>
      </c>
      <c r="AB451" s="5">
        <f>IFERROR(SUMIFS(HIST_SCORE!$F:$F,HIST_SCORE!$B:$B,PARAMS_MODELO!$B$4,HIST_SCORE!$C:$C,$A451),"")</f>
        <v>722</v>
      </c>
      <c r="AC451" s="5">
        <f t="shared" si="175"/>
        <v>256</v>
      </c>
      <c r="AD451" t="str">
        <f t="shared" ref="AD451:AD514" si="177">IF(V451="CERRADO","Agencia sin actividad o cerrada",IF(AND(V451="BRONCE",Y451=""),"Primer corte: cargá histórico para medir movilidad",IF(AND(V451="BRONCE",Y451&lt;0),"Plan de recuperación: foco crecimiento + mix",IF(AND(V451="ORO",Y451&lt;0),"Sostener base y reforzar mix",""))))</f>
        <v/>
      </c>
      <c r="AE4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451="CERRADO",1,IF(V451="BRONCE",_xlpm.cPl,IF(V451="PLATA",_xlpm.cO,IF(V451="ORO",_xlpm.cP,IF(V451="PLATINO",_xlpm.cD,999))))))</f>
        <v>86.439123873763251</v>
      </c>
      <c r="AF4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451="CERRADO",0,IF(V451="BRONCE",1,IF(V451="PLATA",_xlpm.cPl,IF(V451="ORO",_xlpm.cO,IF(V451="PLATINO",_xlpm.cP,_xlpm.cD))))))</f>
        <v>63.199193273331495</v>
      </c>
      <c r="AG451">
        <f t="shared" ref="AG451:AG514" si="178">_xlfn.LET(_xlpm.corteU,AE451,_xlpm.coef,MAX(0.01,T451),_xlpm.reqR,_xlpm.corteU/_xlpm.coef,MAX(0,_xlpm.reqR-R451))</f>
        <v>9.6273899050217437</v>
      </c>
      <c r="AH451" t="str">
        <f t="shared" ref="AH451:AH514" si="179">_xlfn.LET(_xlpm.deltaR,AG451,_xlpm.ventas,F451+H451+J451,_xlpm.hv,(MAX($F$2:$F$1194)+MAX($H$2:$H$1194)+MAX($J$2:$J$1194))-_xlpm.ventas,_xlpm.hl,MAX($M$2:$M$1194)-M451,_xlpm.hc,MAX($O$2:$O$1194)-O451,_xlpm.hd,MAX($Q$2:$Q$1194)-Q451,_xlpm.impV,MIN(_xlpm.deltaR,MAX(0,_xlpm.hv)),_xlpm.impL,MIN(_xlpm.deltaR,MAX(0,_xlpm.hl)),_xlpm.impC,MIN(_xlpm.deltaR,MAX(0,_xlpm.hc)),_xlpm.impD,MIN(_xlpm.deltaR,MAX(0,_xlpm.hd)),_xlpm.t,T451,_xlpm.tObj,1,_xlpm.impCli,IF(_xlpm.t&lt;0.95,MIN(_xlpm.deltaR,R451*(_xlpm.tObj/_xlpm.t-1)),0),_xlpm.mx,MAX(_xlpm.impV,_xlpm.impL,_xlpm.impC,_xlpm.impD,_xlpm.impCli),IF(V451="DIAMANTE","SOSTENER",IF(V451="CERRADO","CERRADO",IF(_xlpm.mx=_xlpm.impCli,"CLIENTE",IF(_xlpm.mx=_xlpm.impV,"VENTAS",IF(_xlpm.mx=_xlpm.impL,"LOTO",IF(_xlpm.mx=_xlpm.impC,"COMPLIANCE","DIGITAL")))))))</f>
        <v>VENTAS</v>
      </c>
      <c r="AI451" t="str">
        <f t="shared" si="176"/>
        <v>🎯 Para subir de categoría, eje VENTAS / DIFERENCIAL vs LOTBA (J). Acción: metas semanales + activación comercial + seguimiento del asesor. ΔR aprox: 9,6</v>
      </c>
      <c r="AJ451" s="26">
        <f>_xlfn.LET(_xlpm.piso,AF451,_xlpm.corte,AE451,_xlpm.prog,IF(_xlpm.corte&lt;=_xlpm.piso,0,MAX(0,MIN(1,(U451-_xlpm.piso)/(_xlpm.corte-_xlpm.piso)))),_xlpm.orden,{"DIAMANTE";"PLATINO";"ORO";"PLATA";"BRONCE";"CERRADO"},_xlpm.act,IFERROR(MATCH(V451,_xlpm.orden,0),6),_xlpm.ant,IFERROR(MATCH(W451,_xlpm.orden,0),6),_xlpm.ajmov,IF(_xlpm.act&lt;_xlpm.ant,0.08,IF(_xlpm.act&gt;_xlpm.ant,-0.08,0)),_xlpm.ajcli,IF(T451&lt;0.95,-0.06,0),_xlpm.prob,MAX(0,MIN(1,_xlpm.prog+_xlpm.ajmov+_xlpm.ajcli)),IF(OR(V451="DIAMANTE",V451="CERRADO"),0,ROUND(_xlpm.prob,2)))</f>
        <v>0.62</v>
      </c>
      <c r="AK451" t="str">
        <f t="shared" ref="AK451:AK514" si="180">IF(OR(V451="DIAMANTE",V451="CERRADO"),"No aplica","Faltan " &amp; TEXT(AG451,"0,0") &amp; " puntos base para subir a la siguiente categoría")</f>
        <v>Faltan 9,6 puntos base para subir a la siguiente categoría</v>
      </c>
      <c r="AL451" t="str">
        <f t="shared" ref="AL451:AL514" si="181">_xlfn.LET(_xlpm.piso,AF451,_xlpm.dist,U451-_xlpm.piso,IF(OR(V451="BRONCE",V451="CERRADO"),"No aplica",IF(_xlpm.dist&lt;=0,"⚠ Riesgo de descenso","Margen de seguridad: " &amp; TEXT(_xlpm.dist,"0,0") &amp; " puntos")))</f>
        <v>Margen de seguridad: 12,6 puntos</v>
      </c>
      <c r="AM451">
        <f t="shared" ref="AM451:AM514" si="182">_xlfn.LET(_xlpm.prob,AJ451,_xlpm.dist,AG451,_xlpm.coef,T451,_xlpm.prior,(1-_xlpm.prob)*0.4+MIN(1,_xlpm.dist/10)*0.4+IF(_xlpm.coef&lt;0.95,0.2,0),ROUND(_xlpm.prior,2))</f>
        <v>0.54</v>
      </c>
      <c r="AN451" t="str">
        <f t="shared" ref="AN451:AN514" si="183">IF(AM451&gt;=0.7,"PRIORIDAD ALTA – requiere intervención inmediata",IF(AM451&gt;=0.4,"PRIORIDAD MEDIA – seguimiento del asesor","PRIORIDAD BAJA – control normal"))</f>
        <v>PRIORIDAD MEDIA – seguimiento del asesor</v>
      </c>
      <c r="AO451">
        <f t="shared" ref="AO451:AO514" si="184">MAX(0,((MAX($F$2:$F$1194)+MAX($H$2:$H$1194)+MAX($J$2:$J$1194))-(F451+H451+J451))*T451)</f>
        <v>24.413596595211416</v>
      </c>
      <c r="AP451">
        <f t="shared" ref="AP451:AP514" si="185">MAX(0,(MAX($M$2:$M$1194)-M451)*T451)</f>
        <v>0.12623462937440699</v>
      </c>
      <c r="AQ451">
        <f t="shared" ref="AQ451:AQ514" si="186">MAX(0,(MAX($O$2:$O$1194)-O451)*T451)</f>
        <v>0</v>
      </c>
      <c r="AR451">
        <f t="shared" ref="AR451:AR514" si="187">MAX(0,(MAX($Q$2:$Q$1194)-Q451)*T451)</f>
        <v>9.4600000000000009</v>
      </c>
      <c r="AS451">
        <f t="shared" ref="AS451:AS514" si="188">MAX(0,R451*(1-T451))</f>
        <v>0</v>
      </c>
      <c r="AT451" t="str">
        <f t="shared" ref="AT451:AT514" si="189">_xlfn.LET(_xlpm.v,AO451,_xlpm.l,AP451,_xlpm.c,AQ451,_xlpm.d,AR451,_xlpm.cli,AS451,_xlpm.mx,MAX(_xlpm.v,_xlpm.l,_xlpm.c,_xlpm.d,_xlpm.cli),IF(_xlpm.mx=_xlpm.cli,"CLIENTE",IF(_xlpm.mx=_xlpm.v,"VENTAS",IF(_xlpm.mx=_xlpm.l,"LOTO",IF(_xlpm.mx=_xlpm.c,"COMPLIANCE","DIGITAL")))))</f>
        <v>VENTAS</v>
      </c>
      <c r="AU451">
        <f t="shared" ref="AU451:AU514" si="190">MAX(AO451,AP451,AQ451,AR451,AS451)</f>
        <v>24.413596595211416</v>
      </c>
      <c r="AV451" t="str">
        <f t="shared" ref="AV451:AV514" si="191">IF(V451="CERRADO","⛔ Sin impacto comercial estimable por estado CERRADO.","Mayor retorno probable: " &amp; AT451 &amp; " (+" &amp; TEXT(AU451,"0,0") &amp; " puntos finales potenciales).")</f>
        <v>Mayor retorno probable: VENTAS (+24,4 puntos finales potenciales).</v>
      </c>
    </row>
    <row r="452" spans="1:48" x14ac:dyDescent="0.3">
      <c r="A452" s="5">
        <v>51022751</v>
      </c>
      <c r="B452" s="5" t="str">
        <f>IFERROR(VLOOKUP(A452,VENTAS!$A$2:$B$1194,2,0),"")</f>
        <v>CICHETTO</v>
      </c>
      <c r="C452" s="5">
        <f>IFERROR(INDEX(VENTAS!$C$2:$E$1194,MATCH(A452,VENTAS!$A$2:$A$1194,0),MATCH(PARAMS_MODELO!$B$2,{"Q1","Q2","Q3"},0)),0)</f>
        <v>73320456.950000003</v>
      </c>
      <c r="D452" s="5">
        <f>IFERROR(INDEX(VENTAS!$F$2:$H$1194,MATCH(A452,VENTAS!$A$2:$A$1194,0),MATCH(PARAMS_MODELO!$B$2,{"Q1","Q2","Q3"},0)),0)</f>
        <v>82457423</v>
      </c>
      <c r="E452" s="8">
        <f t="shared" si="168"/>
        <v>0.12461687269940014</v>
      </c>
      <c r="F452" s="12">
        <f>IF(E452&lt;=PARAMS_MODELO!$B$15,0,IF(E452&gt;=PARAMS_MODELO!$B$17,100,100*MIN(1,(E452-PARAMS_MODELO!$B$15)/(PARAMS_MODELO!$B$16-PARAMS_MODELO!$B$15))))*PARAMS_MODELO!$B$7</f>
        <v>35</v>
      </c>
      <c r="G452" s="5">
        <f t="shared" si="169"/>
        <v>9136966.049999997</v>
      </c>
      <c r="H452" s="5">
        <f>(PARAMS_MODELO!$B$20*(MAX(0,MIN(3,E452))/3)+PARAMS_MODELO!$B$21*(IFERROR(LN(1+MAX(0,G452))/LN(1+MAX(0,MAX($G$2:$G$1194))),0)))*100*PARAMS_MODELO!$B$8</f>
        <v>4.1933082888692965</v>
      </c>
      <c r="I452" s="8">
        <f>E452-PARAMS_MODELO!$B$5</f>
        <v>-5.294596267612639E-2</v>
      </c>
      <c r="J452" s="5">
        <f>IF(I452&lt;=PARAMS_MODELO!$B$18,0,IF(I452&gt;=PARAMS_MODELO!$B$19,100,100*(I452-PARAMS_MODELO!$B$18)/(PARAMS_MODELO!$B$19-PARAMS_MODELO!$B$18)))*PARAMS_MODELO!$B$9</f>
        <v>0</v>
      </c>
      <c r="K452" s="5">
        <f>IFERROR(CHOOSE(MATCH(PARAMS_MODELO!$B$2,{"Q1","Q2","Q3"},0),LOTO!$D452,LOTO!$F452,LOTO!$H452),0)</f>
        <v>4085000</v>
      </c>
      <c r="L452" s="8">
        <f t="shared" si="170"/>
        <v>4.9540718729470842E-2</v>
      </c>
      <c r="M452" s="5">
        <f>MIN(100,IF(PARAMS_MODELO!$B$23=0,0,100*L452/PARAMS_MODELO!$B$23))*PARAMS_MODELO!$B$10</f>
        <v>14.862215618841251</v>
      </c>
      <c r="N452" s="5">
        <f>IFERROR(VLOOKUP(A452,COMPLIANCE!$A$2:$F$1996,6,0),100)</f>
        <v>100</v>
      </c>
      <c r="O452" s="5">
        <f>N452*PARAMS_MODELO!$B$11</f>
        <v>10</v>
      </c>
      <c r="P452" s="5">
        <f>IFERROR(VLOOKUP(A452,DIGITAL!$A$2:$J$2000,7,0),100)</f>
        <v>2</v>
      </c>
      <c r="Q452" s="5">
        <f>IFERROR(P452,0)*PARAMS_MODELO!$B$12</f>
        <v>0.2</v>
      </c>
      <c r="R452">
        <f t="shared" si="171"/>
        <v>64.255523907710554</v>
      </c>
      <c r="S452" s="5" t="str">
        <f>IFERROR(VLOOKUP(A452,CLIENTE!$A$2:$N$2000,13,0),1)</f>
        <v>Regular</v>
      </c>
      <c r="T452" s="5">
        <f>IFERROR(VLOOKUP(A452,CLIENTE!$A$2:$N$2000,14,0),1)</f>
        <v>1</v>
      </c>
      <c r="U452" s="5">
        <f t="shared" si="172"/>
        <v>64.255523907710554</v>
      </c>
      <c r="V452" s="5" t="str">
        <f>IF(U452&gt;=MAX(_xlfn.PERCENTILE.INC($U$2:$U$1194,PARAMS_MODELO!$B$50),PARAMS_MODELO!$B$45),"DIAMANTE",IF(U452&gt;=MAX(_xlfn.PERCENTILE.INC($U$2:$U$1194,PARAMS_MODELO!$B$51),PARAMS_MODELO!$B$46),"PLATINO",IF(U452&gt;=MAX(_xlfn.PERCENTILE.INC($U$2:$U$1194,PARAMS_MODELO!$B$52),PARAMS_MODELO!$B$47),"ORO",IF(U452&gt;=MAX(_xlfn.PERCENTILE.INC($U$2:$U$1194,PARAMS_MODELO!$B$53),PARAMS_MODELO!$B$48),"PLATA",IF(U452&gt;=1,"BRONCE","CERRADO")))))</f>
        <v>ORO</v>
      </c>
      <c r="W452" s="5" t="str" cm="1">
        <f t="array" ref="W452">_xlfn.XLOOKUP(1, (HIST_SCORE!$B:$B=PARAMS_MODELO!$B$4) * (HIST_SCORE!$C:$C=A452), HIST_SCORE!$E:$E, "No encontrado")</f>
        <v>ORO</v>
      </c>
      <c r="X452" s="5" t="str">
        <f>_xlfn.LET(_xlpm.act,MATCH(V452,{"DIAMANTE";"PLATINO";"ORO";"PLATA";"BRONCE";"CERRADO"},0),_xlpm.ant,MATCH(W452,{"DIAMANTE";"PLATINO";"ORO";"PLATA";"BRONCE";"CERRADO"},0),IF(_xlpm.act&lt;_xlpm.ant,"Mejora ↑",IF(_xlpm.act&gt;_xlpm.ant,"Baja ↓","Estable →")))</f>
        <v>Estable →</v>
      </c>
      <c r="Y452" s="5">
        <f>IFERROR(U452-SUMIFS(HIST_SCORE!$D:$D,HIST_SCORE!$B:$B,PARAMS_MODELO!$B$4,HIST_SCORE!$C:$C,$A452),"")</f>
        <v>1.0762506749327514</v>
      </c>
      <c r="Z452" s="5" t="str">
        <f t="shared" si="173"/>
        <v>→ Estable</v>
      </c>
      <c r="AA452" s="5">
        <f t="shared" si="174"/>
        <v>547</v>
      </c>
      <c r="AB452" s="5">
        <f>IFERROR(SUMIFS(HIST_SCORE!$F:$F,HIST_SCORE!$B:$B,PARAMS_MODELO!$B$4,HIST_SCORE!$C:$C,$A452),"")</f>
        <v>586</v>
      </c>
      <c r="AC452" s="5">
        <f t="shared" si="175"/>
        <v>39</v>
      </c>
      <c r="AD452" t="str">
        <f t="shared" si="177"/>
        <v/>
      </c>
      <c r="AE4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452="CERRADO",1,IF(V452="BRONCE",_xlpm.cPl,IF(V452="PLATA",_xlpm.cO,IF(V452="ORO",_xlpm.cP,IF(V452="PLATINO",_xlpm.cD,999))))))</f>
        <v>86.439123873763251</v>
      </c>
      <c r="AF4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452="CERRADO",0,IF(V452="BRONCE",1,IF(V452="PLATA",_xlpm.cPl,IF(V452="ORO",_xlpm.cO,IF(V452="PLATINO",_xlpm.cP,_xlpm.cD))))))</f>
        <v>63.199193273331495</v>
      </c>
      <c r="AG452">
        <f t="shared" si="178"/>
        <v>22.183599966052697</v>
      </c>
      <c r="AH452" t="str">
        <f t="shared" si="179"/>
        <v>VENTAS</v>
      </c>
      <c r="AI452" t="str">
        <f t="shared" si="176"/>
        <v>🎯 Para subir de categoría, eje VENTAS / DIFERENCIAL vs LOTBA (J). Acción: metas semanales + activación comercial + seguimiento del asesor. ΔR aprox: 22,2</v>
      </c>
      <c r="AJ452" s="26">
        <f>_xlfn.LET(_xlpm.piso,AF452,_xlpm.corte,AE452,_xlpm.prog,IF(_xlpm.corte&lt;=_xlpm.piso,0,MAX(0,MIN(1,(U452-_xlpm.piso)/(_xlpm.corte-_xlpm.piso)))),_xlpm.orden,{"DIAMANTE";"PLATINO";"ORO";"PLATA";"BRONCE";"CERRADO"},_xlpm.act,IFERROR(MATCH(V452,_xlpm.orden,0),6),_xlpm.ant,IFERROR(MATCH(W452,_xlpm.orden,0),6),_xlpm.ajmov,IF(_xlpm.act&lt;_xlpm.ant,0.08,IF(_xlpm.act&gt;_xlpm.ant,-0.08,0)),_xlpm.ajcli,IF(T452&lt;0.95,-0.06,0),_xlpm.prob,MAX(0,MIN(1,_xlpm.prog+_xlpm.ajmov+_xlpm.ajcli)),IF(OR(V452="DIAMANTE",V452="CERRADO"),0,ROUND(_xlpm.prob,2)))</f>
        <v>0.05</v>
      </c>
      <c r="AK452" t="str">
        <f t="shared" si="180"/>
        <v>Faltan 22,2 puntos base para subir a la siguiente categoría</v>
      </c>
      <c r="AL452" t="str">
        <f t="shared" si="181"/>
        <v>Margen de seguridad: 1,1 puntos</v>
      </c>
      <c r="AM452">
        <f t="shared" si="182"/>
        <v>0.78</v>
      </c>
      <c r="AN452" t="str">
        <f t="shared" si="183"/>
        <v>PRIORIDAD ALTA – requiere intervención inmediata</v>
      </c>
      <c r="AO452">
        <f t="shared" si="184"/>
        <v>25.669260986426288</v>
      </c>
      <c r="AP452">
        <f t="shared" si="185"/>
        <v>0.13778438115874891</v>
      </c>
      <c r="AQ452">
        <f t="shared" si="186"/>
        <v>0</v>
      </c>
      <c r="AR452">
        <f t="shared" si="187"/>
        <v>9.8000000000000007</v>
      </c>
      <c r="AS452">
        <f t="shared" si="188"/>
        <v>0</v>
      </c>
      <c r="AT452" t="str">
        <f t="shared" si="189"/>
        <v>VENTAS</v>
      </c>
      <c r="AU452">
        <f t="shared" si="190"/>
        <v>25.669260986426288</v>
      </c>
      <c r="AV452" t="str">
        <f t="shared" si="191"/>
        <v>Mayor retorno probable: VENTAS (+25,7 puntos finales potenciales).</v>
      </c>
    </row>
    <row r="453" spans="1:48" x14ac:dyDescent="0.3">
      <c r="A453" s="5">
        <v>51016645</v>
      </c>
      <c r="B453" s="5" t="str">
        <f>IFERROR(VLOOKUP(A453,VENTAS!$A$2:$B$1194,2,0),"")</f>
        <v>BELUZZO</v>
      </c>
      <c r="C453" s="5">
        <f>IFERROR(INDEX(VENTAS!$C$2:$E$1194,MATCH(A453,VENTAS!$A$2:$A$1194,0),MATCH(PARAMS_MODELO!$B$2,{"Q1","Q2","Q3"},0)),0)</f>
        <v>78585944.940000013</v>
      </c>
      <c r="D453" s="5">
        <f>IFERROR(INDEX(VENTAS!$F$2:$H$1194,MATCH(A453,VENTAS!$A$2:$A$1194,0),MATCH(PARAMS_MODELO!$B$2,{"Q1","Q2","Q3"},0)),0)</f>
        <v>82416636</v>
      </c>
      <c r="E453" s="8">
        <f t="shared" si="168"/>
        <v>4.8745243986373143E-2</v>
      </c>
      <c r="F453" s="12">
        <f>IF(E453&lt;=PARAMS_MODELO!$B$15,0,IF(E453&gt;=PARAMS_MODELO!$B$17,100,100*MIN(1,(E453-PARAMS_MODELO!$B$15)/(PARAMS_MODELO!$B$16-PARAMS_MODELO!$B$15))))*PARAMS_MODELO!$B$7</f>
        <v>17.060835395230598</v>
      </c>
      <c r="G453" s="5">
        <f t="shared" si="169"/>
        <v>3830691.0599999875</v>
      </c>
      <c r="H453" s="5">
        <f>(PARAMS_MODELO!$B$20*(MAX(0,MIN(3,E453))/3)+PARAMS_MODELO!$B$21*(IFERROR(LN(1+MAX(0,G453))/LN(1+MAX(0,MAX($G$2:$G$1194))),0)))*100*PARAMS_MODELO!$B$8</f>
        <v>3.7239855135339059</v>
      </c>
      <c r="I453" s="8">
        <f>E453-PARAMS_MODELO!$B$5</f>
        <v>-0.12881759138915339</v>
      </c>
      <c r="J453" s="5">
        <f>IF(I453&lt;=PARAMS_MODELO!$B$18,0,IF(I453&gt;=PARAMS_MODELO!$B$19,100,100*(I453-PARAMS_MODELO!$B$18)/(PARAMS_MODELO!$B$19-PARAMS_MODELO!$B$18)))*PARAMS_MODELO!$B$9</f>
        <v>0</v>
      </c>
      <c r="K453" s="5">
        <f>IFERROR(CHOOSE(MATCH(PARAMS_MODELO!$B$2,{"Q1","Q2","Q3"},0),LOTO!$D453,LOTO!$F453,LOTO!$H453),0)</f>
        <v>4082500</v>
      </c>
      <c r="L453" s="8">
        <f t="shared" si="170"/>
        <v>4.953490215252173E-2</v>
      </c>
      <c r="M453" s="5">
        <f>MIN(100,IF(PARAMS_MODELO!$B$23=0,0,100*L453/PARAMS_MODELO!$B$23))*PARAMS_MODELO!$B$10</f>
        <v>14.860470645756516</v>
      </c>
      <c r="N453" s="5">
        <f>IFERROR(VLOOKUP(A453,COMPLIANCE!$A$2:$F$1996,6,0),100)</f>
        <v>100</v>
      </c>
      <c r="O453" s="5">
        <f>N453*PARAMS_MODELO!$B$11</f>
        <v>10</v>
      </c>
      <c r="P453" s="5">
        <f>IFERROR(VLOOKUP(A453,DIGITAL!$A$2:$J$2000,7,0),100)</f>
        <v>91</v>
      </c>
      <c r="Q453" s="5">
        <f>IFERROR(P453,0)*PARAMS_MODELO!$B$12</f>
        <v>9.1</v>
      </c>
      <c r="R453">
        <f t="shared" si="171"/>
        <v>54.745291554521017</v>
      </c>
      <c r="S453" s="5" t="str">
        <f>IFERROR(VLOOKUP(A453,CLIENTE!$A$2:$N$2000,13,0),1)</f>
        <v>Regular</v>
      </c>
      <c r="T453" s="5">
        <f>IFERROR(VLOOKUP(A453,CLIENTE!$A$2:$N$2000,14,0),1)</f>
        <v>1</v>
      </c>
      <c r="U453" s="5">
        <f t="shared" si="172"/>
        <v>54.745291554521017</v>
      </c>
      <c r="V453" s="5" t="str">
        <f>IF(U453&gt;=MAX(_xlfn.PERCENTILE.INC($U$2:$U$1194,PARAMS_MODELO!$B$50),PARAMS_MODELO!$B$45),"DIAMANTE",IF(U453&gt;=MAX(_xlfn.PERCENTILE.INC($U$2:$U$1194,PARAMS_MODELO!$B$51),PARAMS_MODELO!$B$46),"PLATINO",IF(U453&gt;=MAX(_xlfn.PERCENTILE.INC($U$2:$U$1194,PARAMS_MODELO!$B$52),PARAMS_MODELO!$B$47),"ORO",IF(U453&gt;=MAX(_xlfn.PERCENTILE.INC($U$2:$U$1194,PARAMS_MODELO!$B$53),PARAMS_MODELO!$B$48),"PLATA",IF(U453&gt;=1,"BRONCE","CERRADO")))))</f>
        <v>PLATA</v>
      </c>
      <c r="W453" s="5" t="str" cm="1">
        <f t="array" ref="W453">_xlfn.XLOOKUP(1, (HIST_SCORE!$B:$B=PARAMS_MODELO!$B$4) * (HIST_SCORE!$C:$C=A453), HIST_SCORE!$E:$E, "No encontrado")</f>
        <v>ORO</v>
      </c>
      <c r="X453" s="5" t="str">
        <f>_xlfn.LET(_xlpm.act,MATCH(V453,{"DIAMANTE";"PLATINO";"ORO";"PLATA";"BRONCE";"CERRADO"},0),_xlpm.ant,MATCH(W453,{"DIAMANTE";"PLATINO";"ORO";"PLATA";"BRONCE";"CERRADO"},0),IF(_xlpm.act&lt;_xlpm.ant,"Mejora ↑",IF(_xlpm.act&gt;_xlpm.ant,"Baja ↓","Estable →")))</f>
        <v>Baja ↓</v>
      </c>
      <c r="Y453" s="5">
        <f>IFERROR(U453-SUMIFS(HIST_SCORE!$D:$D,HIST_SCORE!$B:$B,PARAMS_MODELO!$B$4,HIST_SCORE!$C:$C,$A453),"")</f>
        <v>-22.880142553037714</v>
      </c>
      <c r="Z453" s="5" t="str">
        <f t="shared" si="173"/>
        <v>↓ Baja</v>
      </c>
      <c r="AA453" s="5">
        <f t="shared" si="174"/>
        <v>720</v>
      </c>
      <c r="AB453" s="5">
        <f>IFERROR(SUMIFS(HIST_SCORE!$F:$F,HIST_SCORE!$B:$B,PARAMS_MODELO!$B$4,HIST_SCORE!$C:$C,$A453),"")</f>
        <v>455</v>
      </c>
      <c r="AC453" s="5">
        <f t="shared" si="175"/>
        <v>-265</v>
      </c>
      <c r="AD453" t="str">
        <f t="shared" si="177"/>
        <v/>
      </c>
      <c r="AE4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453="CERRADO",1,IF(V453="BRONCE",_xlpm.cPl,IF(V453="PLATA",_xlpm.cO,IF(V453="ORO",_xlpm.cP,IF(V453="PLATINO",_xlpm.cD,999))))))</f>
        <v>63.199193273331495</v>
      </c>
      <c r="AF4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453="CERRADO",0,IF(V453="BRONCE",1,IF(V453="PLATA",_xlpm.cPl,IF(V453="ORO",_xlpm.cO,IF(V453="PLATINO",_xlpm.cP,_xlpm.cD))))))</f>
        <v>24.506573482968111</v>
      </c>
      <c r="AG453">
        <f t="shared" si="178"/>
        <v>8.4539017188104779</v>
      </c>
      <c r="AH453" t="str">
        <f t="shared" si="179"/>
        <v>VENTAS</v>
      </c>
      <c r="AI453" t="str">
        <f t="shared" si="176"/>
        <v>🎯 Para subir de categoría, eje VENTAS / DIFERENCIAL vs LOTBA (J). Acción: metas semanales + activación comercial + seguimiento del asesor. ΔR aprox: 8,5</v>
      </c>
      <c r="AJ453" s="26">
        <f>_xlfn.LET(_xlpm.piso,AF453,_xlpm.corte,AE453,_xlpm.prog,IF(_xlpm.corte&lt;=_xlpm.piso,0,MAX(0,MIN(1,(U453-_xlpm.piso)/(_xlpm.corte-_xlpm.piso)))),_xlpm.orden,{"DIAMANTE";"PLATINO";"ORO";"PLATA";"BRONCE";"CERRADO"},_xlpm.act,IFERROR(MATCH(V453,_xlpm.orden,0),6),_xlpm.ant,IFERROR(MATCH(W453,_xlpm.orden,0),6),_xlpm.ajmov,IF(_xlpm.act&lt;_xlpm.ant,0.08,IF(_xlpm.act&gt;_xlpm.ant,-0.08,0)),_xlpm.ajcli,IF(T453&lt;0.95,-0.06,0),_xlpm.prob,MAX(0,MIN(1,_xlpm.prog+_xlpm.ajmov+_xlpm.ajcli)),IF(OR(V453="DIAMANTE",V453="CERRADO"),0,ROUND(_xlpm.prob,2)))</f>
        <v>0.7</v>
      </c>
      <c r="AK453" t="str">
        <f t="shared" si="180"/>
        <v>Faltan 8,5 puntos base para subir a la siguiente categoría</v>
      </c>
      <c r="AL453" t="str">
        <f t="shared" si="181"/>
        <v>Margen de seguridad: 30,2 puntos</v>
      </c>
      <c r="AM453">
        <f t="shared" si="182"/>
        <v>0.46</v>
      </c>
      <c r="AN453" t="str">
        <f t="shared" si="183"/>
        <v>PRIORIDAD MEDIA – seguimiento del asesor</v>
      </c>
      <c r="AO453">
        <f t="shared" si="184"/>
        <v>44.077748366531083</v>
      </c>
      <c r="AP453">
        <f t="shared" si="185"/>
        <v>0.13952935424348389</v>
      </c>
      <c r="AQ453">
        <f t="shared" si="186"/>
        <v>0</v>
      </c>
      <c r="AR453">
        <f t="shared" si="187"/>
        <v>0.90000000000000036</v>
      </c>
      <c r="AS453">
        <f t="shared" si="188"/>
        <v>0</v>
      </c>
      <c r="AT453" t="str">
        <f t="shared" si="189"/>
        <v>VENTAS</v>
      </c>
      <c r="AU453">
        <f t="shared" si="190"/>
        <v>44.077748366531083</v>
      </c>
      <c r="AV453" t="str">
        <f t="shared" si="191"/>
        <v>Mayor retorno probable: VENTAS (+44,1 puntos finales potenciales).</v>
      </c>
    </row>
    <row r="454" spans="1:48" x14ac:dyDescent="0.3">
      <c r="A454" s="5">
        <v>51011155</v>
      </c>
      <c r="B454" s="5" t="str">
        <f>IFERROR(VLOOKUP(A454,VENTAS!$A$2:$B$1194,2,0),"")</f>
        <v>CICHETTO</v>
      </c>
      <c r="C454" s="5">
        <f>IFERROR(INDEX(VENTAS!$C$2:$E$1194,MATCH(A454,VENTAS!$A$2:$A$1194,0),MATCH(PARAMS_MODELO!$B$2,{"Q1","Q2","Q3"},0)),0)</f>
        <v>62742066.189999998</v>
      </c>
      <c r="D454" s="5">
        <f>IFERROR(INDEX(VENTAS!$F$2:$H$1194,MATCH(A454,VENTAS!$A$2:$A$1194,0),MATCH(PARAMS_MODELO!$B$2,{"Q1","Q2","Q3"},0)),0)</f>
        <v>82139110</v>
      </c>
      <c r="E454" s="8">
        <f t="shared" si="168"/>
        <v>0.3091553241370868</v>
      </c>
      <c r="F454" s="12">
        <f>IF(E454&lt;=PARAMS_MODELO!$B$15,0,IF(E454&gt;=PARAMS_MODELO!$B$17,100,100*MIN(1,(E454-PARAMS_MODELO!$B$15)/(PARAMS_MODELO!$B$16-PARAMS_MODELO!$B$15))))*PARAMS_MODELO!$B$7</f>
        <v>35</v>
      </c>
      <c r="G454" s="5">
        <f t="shared" si="169"/>
        <v>19397043.810000002</v>
      </c>
      <c r="H454" s="5">
        <f>(PARAMS_MODELO!$B$20*(MAX(0,MIN(3,E454))/3)+PARAMS_MODELO!$B$21*(IFERROR(LN(1+MAX(0,G454))/LN(1+MAX(0,MAX($G$2:$G$1194))),0)))*100*PARAMS_MODELO!$B$8</f>
        <v>5.0156578764799278</v>
      </c>
      <c r="I454" s="8">
        <f>E454-PARAMS_MODELO!$B$5</f>
        <v>0.13159248876156027</v>
      </c>
      <c r="J454" s="5">
        <f>IF(I454&lt;=PARAMS_MODELO!$B$18,0,IF(I454&gt;=PARAMS_MODELO!$B$19,100,100*(I454-PARAMS_MODELO!$B$18)/(PARAMS_MODELO!$B$19-PARAMS_MODELO!$B$18)))*PARAMS_MODELO!$B$9</f>
        <v>15</v>
      </c>
      <c r="K454" s="5">
        <f>IFERROR(CHOOSE(MATCH(PARAMS_MODELO!$B$2,{"Q1","Q2","Q3"},0),LOTO!$D454,LOTO!$F454,LOTO!$H454),0)</f>
        <v>4065000</v>
      </c>
      <c r="L454" s="8">
        <f t="shared" si="170"/>
        <v>4.9489214090583648E-2</v>
      </c>
      <c r="M454" s="5">
        <f>MIN(100,IF(PARAMS_MODELO!$B$23=0,0,100*L454/PARAMS_MODELO!$B$23))*PARAMS_MODELO!$B$10</f>
        <v>14.846764227175093</v>
      </c>
      <c r="N454" s="5">
        <f>IFERROR(VLOOKUP(A454,COMPLIANCE!$A$2:$F$1996,6,0),100)</f>
        <v>100</v>
      </c>
      <c r="O454" s="5">
        <f>N454*PARAMS_MODELO!$B$11</f>
        <v>10</v>
      </c>
      <c r="P454" s="5">
        <f>IFERROR(VLOOKUP(A454,DIGITAL!$A$2:$J$2000,7,0),100)</f>
        <v>32</v>
      </c>
      <c r="Q454" s="5">
        <f>IFERROR(P454,0)*PARAMS_MODELO!$B$12</f>
        <v>3.2</v>
      </c>
      <c r="R454">
        <f t="shared" si="171"/>
        <v>83.062422103655024</v>
      </c>
      <c r="S454" s="5" t="str">
        <f>IFERROR(VLOOKUP(A454,CLIENTE!$A$2:$N$2000,13,0),1)</f>
        <v>Bueno</v>
      </c>
      <c r="T454" s="5">
        <f>IFERROR(VLOOKUP(A454,CLIENTE!$A$2:$N$2000,14,0),1)</f>
        <v>1.1000000000000001</v>
      </c>
      <c r="U454" s="5">
        <f t="shared" si="172"/>
        <v>91.368664314020535</v>
      </c>
      <c r="V454" s="5" t="str">
        <f>IF(U454&gt;=MAX(_xlfn.PERCENTILE.INC($U$2:$U$1194,PARAMS_MODELO!$B$50),PARAMS_MODELO!$B$45),"DIAMANTE",IF(U454&gt;=MAX(_xlfn.PERCENTILE.INC($U$2:$U$1194,PARAMS_MODELO!$B$51),PARAMS_MODELO!$B$46),"PLATINO",IF(U454&gt;=MAX(_xlfn.PERCENTILE.INC($U$2:$U$1194,PARAMS_MODELO!$B$52),PARAMS_MODELO!$B$47),"ORO",IF(U454&gt;=MAX(_xlfn.PERCENTILE.INC($U$2:$U$1194,PARAMS_MODELO!$B$53),PARAMS_MODELO!$B$48),"PLATA",IF(U454&gt;=1,"BRONCE","CERRADO")))))</f>
        <v>PLATINO</v>
      </c>
      <c r="W454" s="5" t="str" cm="1">
        <f t="array" ref="W454">_xlfn.XLOOKUP(1, (HIST_SCORE!$B:$B=PARAMS_MODELO!$B$4) * (HIST_SCORE!$C:$C=A454), HIST_SCORE!$E:$E, "No encontrado")</f>
        <v>PLATINO</v>
      </c>
      <c r="X454" s="5" t="str">
        <f>_xlfn.LET(_xlpm.act,MATCH(V454,{"DIAMANTE";"PLATINO";"ORO";"PLATA";"BRONCE";"CERRADO"},0),_xlpm.ant,MATCH(W454,{"DIAMANTE";"PLATINO";"ORO";"PLATA";"BRONCE";"CERRADO"},0),IF(_xlpm.act&lt;_xlpm.ant,"Mejora ↑",IF(_xlpm.act&gt;_xlpm.ant,"Baja ↓","Estable →")))</f>
        <v>Estable →</v>
      </c>
      <c r="Y454" s="5">
        <f>IFERROR(U454-SUMIFS(HIST_SCORE!$D:$D,HIST_SCORE!$B:$B,PARAMS_MODELO!$B$4,HIST_SCORE!$C:$C,$A454),"")</f>
        <v>2.9830966441683842</v>
      </c>
      <c r="Z454" s="5" t="str">
        <f t="shared" si="173"/>
        <v>→ Estable</v>
      </c>
      <c r="AA454" s="5">
        <f t="shared" si="174"/>
        <v>112</v>
      </c>
      <c r="AB454" s="5">
        <f>IFERROR(SUMIFS(HIST_SCORE!$F:$F,HIST_SCORE!$B:$B,PARAMS_MODELO!$B$4,HIST_SCORE!$C:$C,$A454),"")</f>
        <v>166</v>
      </c>
      <c r="AC454" s="5">
        <f t="shared" si="175"/>
        <v>54</v>
      </c>
      <c r="AD454" t="str">
        <f t="shared" si="177"/>
        <v/>
      </c>
      <c r="AE4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454="CERRADO",1,IF(V454="BRONCE",_xlpm.cPl,IF(V454="PLATA",_xlpm.cO,IF(V454="ORO",_xlpm.cP,IF(V454="PLATINO",_xlpm.cD,999))))))</f>
        <v>96.054919694466676</v>
      </c>
      <c r="AF4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454="CERRADO",0,IF(V454="BRONCE",1,IF(V454="PLATA",_xlpm.cPl,IF(V454="ORO",_xlpm.cO,IF(V454="PLATINO",_xlpm.cP,_xlpm.cD))))))</f>
        <v>86.439123873763251</v>
      </c>
      <c r="AG454">
        <f t="shared" si="178"/>
        <v>4.2602321640419518</v>
      </c>
      <c r="AH454" t="str">
        <f t="shared" si="179"/>
        <v>VENTAS</v>
      </c>
      <c r="AI454" t="str">
        <f t="shared" si="176"/>
        <v>🎯 Para subir de categoría, eje VENTAS / IMPACTO ABSOLUTO (H). Acción: metas semanales + activación comercial + seguimiento del asesor. ΔR aprox: 4,3</v>
      </c>
      <c r="AJ454" s="26">
        <f>_xlfn.LET(_xlpm.piso,AF454,_xlpm.corte,AE454,_xlpm.prog,IF(_xlpm.corte&lt;=_xlpm.piso,0,MAX(0,MIN(1,(U454-_xlpm.piso)/(_xlpm.corte-_xlpm.piso)))),_xlpm.orden,{"DIAMANTE";"PLATINO";"ORO";"PLATA";"BRONCE";"CERRADO"},_xlpm.act,IFERROR(MATCH(V454,_xlpm.orden,0),6),_xlpm.ant,IFERROR(MATCH(W454,_xlpm.orden,0),6),_xlpm.ajmov,IF(_xlpm.act&lt;_xlpm.ant,0.08,IF(_xlpm.act&gt;_xlpm.ant,-0.08,0)),_xlpm.ajcli,IF(T454&lt;0.95,-0.06,0),_xlpm.prob,MAX(0,MIN(1,_xlpm.prog+_xlpm.ajmov+_xlpm.ajcli)),IF(OR(V454="DIAMANTE",V454="CERRADO"),0,ROUND(_xlpm.prob,2)))</f>
        <v>0.51</v>
      </c>
      <c r="AK454" t="str">
        <f t="shared" si="180"/>
        <v>Faltan 4,3 puntos base para subir a la siguiente categoría</v>
      </c>
      <c r="AL454" t="str">
        <f t="shared" si="181"/>
        <v>Margen de seguridad: 4,9 puntos</v>
      </c>
      <c r="AM454">
        <f t="shared" si="182"/>
        <v>0.37</v>
      </c>
      <c r="AN454" t="str">
        <f t="shared" si="183"/>
        <v>PRIORIDAD BAJA – control normal</v>
      </c>
      <c r="AO454">
        <f t="shared" si="184"/>
        <v>10.831602538697222</v>
      </c>
      <c r="AP454">
        <f t="shared" si="185"/>
        <v>0.16855935010739742</v>
      </c>
      <c r="AQ454">
        <f t="shared" si="186"/>
        <v>0</v>
      </c>
      <c r="AR454">
        <f t="shared" si="187"/>
        <v>7.48</v>
      </c>
      <c r="AS454">
        <f t="shared" si="188"/>
        <v>0</v>
      </c>
      <c r="AT454" t="str">
        <f t="shared" si="189"/>
        <v>VENTAS</v>
      </c>
      <c r="AU454">
        <f t="shared" si="190"/>
        <v>10.831602538697222</v>
      </c>
      <c r="AV454" t="str">
        <f t="shared" si="191"/>
        <v>Mayor retorno probable: VENTAS (+10,8 puntos finales potenciales).</v>
      </c>
    </row>
    <row r="455" spans="1:48" x14ac:dyDescent="0.3">
      <c r="A455" s="5">
        <v>51014022</v>
      </c>
      <c r="B455" s="5" t="str">
        <f>IFERROR(VLOOKUP(A455,VENTAS!$A$2:$B$1194,2,0),"")</f>
        <v>NELLI</v>
      </c>
      <c r="C455" s="5">
        <f>IFERROR(INDEX(VENTAS!$C$2:$E$1194,MATCH(A455,VENTAS!$A$2:$A$1194,0),MATCH(PARAMS_MODELO!$B$2,{"Q1","Q2","Q3"},0)),0)</f>
        <v>73278666.310000002</v>
      </c>
      <c r="D455" s="5">
        <f>IFERROR(INDEX(VENTAS!$F$2:$H$1194,MATCH(A455,VENTAS!$A$2:$A$1194,0),MATCH(PARAMS_MODELO!$B$2,{"Q1","Q2","Q3"},0)),0)</f>
        <v>82095216</v>
      </c>
      <c r="E455" s="8">
        <f t="shared" si="168"/>
        <v>0.12031536781390417</v>
      </c>
      <c r="F455" s="12">
        <f>IF(E455&lt;=PARAMS_MODELO!$B$15,0,IF(E455&gt;=PARAMS_MODELO!$B$17,100,100*MIN(1,(E455-PARAMS_MODELO!$B$15)/(PARAMS_MODELO!$B$16-PARAMS_MODELO!$B$15))))*PARAMS_MODELO!$B$7</f>
        <v>35</v>
      </c>
      <c r="G455" s="5">
        <f t="shared" si="169"/>
        <v>8816549.6899999976</v>
      </c>
      <c r="H455" s="5">
        <f>(PARAMS_MODELO!$B$20*(MAX(0,MIN(3,E455))/3)+PARAMS_MODELO!$B$21*(IFERROR(LN(1+MAX(0,G455))/LN(1+MAX(0,MAX($G$2:$G$1194))),0)))*100*PARAMS_MODELO!$B$8</f>
        <v>4.1698849631869264</v>
      </c>
      <c r="I455" s="8">
        <f>E455-PARAMS_MODELO!$B$5</f>
        <v>-5.7247467561622356E-2</v>
      </c>
      <c r="J455" s="5">
        <f>IF(I455&lt;=PARAMS_MODELO!$B$18,0,IF(I455&gt;=PARAMS_MODELO!$B$19,100,100*(I455-PARAMS_MODELO!$B$18)/(PARAMS_MODELO!$B$19-PARAMS_MODELO!$B$18)))*PARAMS_MODELO!$B$9</f>
        <v>0</v>
      </c>
      <c r="K455" s="5">
        <f>IFERROR(CHOOSE(MATCH(PARAMS_MODELO!$B$2,{"Q1","Q2","Q3"},0),LOTO!$D455,LOTO!$F455,LOTO!$H455),0)</f>
        <v>4065000</v>
      </c>
      <c r="L455" s="8">
        <f t="shared" si="170"/>
        <v>4.9515674579624712E-2</v>
      </c>
      <c r="M455" s="5">
        <f>MIN(100,IF(PARAMS_MODELO!$B$23=0,0,100*L455/PARAMS_MODELO!$B$23))*PARAMS_MODELO!$B$10</f>
        <v>14.854702373887411</v>
      </c>
      <c r="N455" s="5">
        <f>IFERROR(VLOOKUP(A455,COMPLIANCE!$A$2:$F$1996,6,0),100)</f>
        <v>100</v>
      </c>
      <c r="O455" s="5">
        <f>N455*PARAMS_MODELO!$B$11</f>
        <v>10</v>
      </c>
      <c r="P455" s="5">
        <f>IFERROR(VLOOKUP(A455,DIGITAL!$A$2:$J$2000,7,0),100)</f>
        <v>55</v>
      </c>
      <c r="Q455" s="5">
        <f>IFERROR(P455,0)*PARAMS_MODELO!$B$12</f>
        <v>5.5</v>
      </c>
      <c r="R455">
        <f t="shared" si="171"/>
        <v>69.524587337074337</v>
      </c>
      <c r="S455" s="5" t="str">
        <f>IFERROR(VLOOKUP(A455,CLIENTE!$A$2:$N$2000,13,0),1)</f>
        <v>Regular</v>
      </c>
      <c r="T455" s="5">
        <f>IFERROR(VLOOKUP(A455,CLIENTE!$A$2:$N$2000,14,0),1)</f>
        <v>1</v>
      </c>
      <c r="U455" s="5">
        <f t="shared" si="172"/>
        <v>69.524587337074337</v>
      </c>
      <c r="V455" s="5" t="str">
        <f>IF(U455&gt;=MAX(_xlfn.PERCENTILE.INC($U$2:$U$1194,PARAMS_MODELO!$B$50),PARAMS_MODELO!$B$45),"DIAMANTE",IF(U455&gt;=MAX(_xlfn.PERCENTILE.INC($U$2:$U$1194,PARAMS_MODELO!$B$51),PARAMS_MODELO!$B$46),"PLATINO",IF(U455&gt;=MAX(_xlfn.PERCENTILE.INC($U$2:$U$1194,PARAMS_MODELO!$B$52),PARAMS_MODELO!$B$47),"ORO",IF(U455&gt;=MAX(_xlfn.PERCENTILE.INC($U$2:$U$1194,PARAMS_MODELO!$B$53),PARAMS_MODELO!$B$48),"PLATA",IF(U455&gt;=1,"BRONCE","CERRADO")))))</f>
        <v>ORO</v>
      </c>
      <c r="W455" s="5" t="str" cm="1">
        <f t="array" ref="W455">_xlfn.XLOOKUP(1, (HIST_SCORE!$B:$B=PARAMS_MODELO!$B$4) * (HIST_SCORE!$C:$C=A455), HIST_SCORE!$E:$E, "No encontrado")</f>
        <v>ORO</v>
      </c>
      <c r="X455" s="5" t="str">
        <f>_xlfn.LET(_xlpm.act,MATCH(V455,{"DIAMANTE";"PLATINO";"ORO";"PLATA";"BRONCE";"CERRADO"},0),_xlpm.ant,MATCH(W455,{"DIAMANTE";"PLATINO";"ORO";"PLATA";"BRONCE";"CERRADO"},0),IF(_xlpm.act&lt;_xlpm.ant,"Mejora ↑",IF(_xlpm.act&gt;_xlpm.ant,"Baja ↓","Estable →")))</f>
        <v>Estable →</v>
      </c>
      <c r="Y455" s="5">
        <f>IFERROR(U455-SUMIFS(HIST_SCORE!$D:$D,HIST_SCORE!$B:$B,PARAMS_MODELO!$B$4,HIST_SCORE!$C:$C,$A455),"")</f>
        <v>-12.521596795537491</v>
      </c>
      <c r="Z455" s="5" t="str">
        <f t="shared" si="173"/>
        <v>↓ Baja</v>
      </c>
      <c r="AA455" s="5">
        <f t="shared" si="174"/>
        <v>516</v>
      </c>
      <c r="AB455" s="5">
        <f>IFERROR(SUMIFS(HIST_SCORE!$F:$F,HIST_SCORE!$B:$B,PARAMS_MODELO!$B$4,HIST_SCORE!$C:$C,$A455),"")</f>
        <v>365</v>
      </c>
      <c r="AC455" s="5">
        <f t="shared" si="175"/>
        <v>-151</v>
      </c>
      <c r="AD455" t="str">
        <f t="shared" si="177"/>
        <v>Sostener base y reforzar mix</v>
      </c>
      <c r="AE4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455="CERRADO",1,IF(V455="BRONCE",_xlpm.cPl,IF(V455="PLATA",_xlpm.cO,IF(V455="ORO",_xlpm.cP,IF(V455="PLATINO",_xlpm.cD,999))))))</f>
        <v>86.439123873763251</v>
      </c>
      <c r="AF4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455="CERRADO",0,IF(V455="BRONCE",1,IF(V455="PLATA",_xlpm.cPl,IF(V455="ORO",_xlpm.cO,IF(V455="PLATINO",_xlpm.cP,_xlpm.cD))))))</f>
        <v>63.199193273331495</v>
      </c>
      <c r="AG455">
        <f t="shared" si="178"/>
        <v>16.914536536688914</v>
      </c>
      <c r="AH455" t="str">
        <f t="shared" si="179"/>
        <v>VENTAS</v>
      </c>
      <c r="AI455" t="str">
        <f t="shared" si="176"/>
        <v>🎯 Para subir de categoría, eje VENTAS / DIFERENCIAL vs LOTBA (J). Acción: metas semanales + activación comercial + seguimiento del asesor. ΔR aprox: 16,9</v>
      </c>
      <c r="AJ455" s="26">
        <f>_xlfn.LET(_xlpm.piso,AF455,_xlpm.corte,AE455,_xlpm.prog,IF(_xlpm.corte&lt;=_xlpm.piso,0,MAX(0,MIN(1,(U455-_xlpm.piso)/(_xlpm.corte-_xlpm.piso)))),_xlpm.orden,{"DIAMANTE";"PLATINO";"ORO";"PLATA";"BRONCE";"CERRADO"},_xlpm.act,IFERROR(MATCH(V455,_xlpm.orden,0),6),_xlpm.ant,IFERROR(MATCH(W455,_xlpm.orden,0),6),_xlpm.ajmov,IF(_xlpm.act&lt;_xlpm.ant,0.08,IF(_xlpm.act&gt;_xlpm.ant,-0.08,0)),_xlpm.ajcli,IF(T455&lt;0.95,-0.06,0),_xlpm.prob,MAX(0,MIN(1,_xlpm.prog+_xlpm.ajmov+_xlpm.ajcli)),IF(OR(V455="DIAMANTE",V455="CERRADO"),0,ROUND(_xlpm.prob,2)))</f>
        <v>0.27</v>
      </c>
      <c r="AK455" t="str">
        <f t="shared" si="180"/>
        <v>Faltan 16,9 puntos base para subir a la siguiente categoría</v>
      </c>
      <c r="AL455" t="str">
        <f t="shared" si="181"/>
        <v>Margen de seguridad: 6,3 puntos</v>
      </c>
      <c r="AM455">
        <f t="shared" si="182"/>
        <v>0.69</v>
      </c>
      <c r="AN455" t="str">
        <f t="shared" si="183"/>
        <v>PRIORIDAD MEDIA – seguimiento del asesor</v>
      </c>
      <c r="AO455">
        <f t="shared" si="184"/>
        <v>25.692684312108661</v>
      </c>
      <c r="AP455">
        <f t="shared" si="185"/>
        <v>0.14529762611258867</v>
      </c>
      <c r="AQ455">
        <f t="shared" si="186"/>
        <v>0</v>
      </c>
      <c r="AR455">
        <f t="shared" si="187"/>
        <v>4.5</v>
      </c>
      <c r="AS455">
        <f t="shared" si="188"/>
        <v>0</v>
      </c>
      <c r="AT455" t="str">
        <f t="shared" si="189"/>
        <v>VENTAS</v>
      </c>
      <c r="AU455">
        <f t="shared" si="190"/>
        <v>25.692684312108661</v>
      </c>
      <c r="AV455" t="str">
        <f t="shared" si="191"/>
        <v>Mayor retorno probable: VENTAS (+25,7 puntos finales potenciales).</v>
      </c>
    </row>
    <row r="456" spans="1:48" x14ac:dyDescent="0.3">
      <c r="A456" s="5">
        <v>51018991</v>
      </c>
      <c r="B456" s="5" t="str">
        <f>IFERROR(VLOOKUP(A456,VENTAS!$A$2:$B$1194,2,0),"")</f>
        <v>PRADES</v>
      </c>
      <c r="C456" s="5">
        <f>IFERROR(INDEX(VENTAS!$C$2:$E$1194,MATCH(A456,VENTAS!$A$2:$A$1194,0),MATCH(PARAMS_MODELO!$B$2,{"Q1","Q2","Q3"},0)),0)</f>
        <v>68151671.919999987</v>
      </c>
      <c r="D456" s="5">
        <f>IFERROR(INDEX(VENTAS!$F$2:$H$1194,MATCH(A456,VENTAS!$A$2:$A$1194,0),MATCH(PARAMS_MODELO!$B$2,{"Q1","Q2","Q3"},0)),0)</f>
        <v>82047265</v>
      </c>
      <c r="E456" s="8">
        <f t="shared" si="168"/>
        <v>0.20389218178405644</v>
      </c>
      <c r="F456" s="12">
        <f>IF(E456&lt;=PARAMS_MODELO!$B$15,0,IF(E456&gt;=PARAMS_MODELO!$B$17,100,100*MIN(1,(E456-PARAMS_MODELO!$B$15)/(PARAMS_MODELO!$B$16-PARAMS_MODELO!$B$15))))*PARAMS_MODELO!$B$7</f>
        <v>35</v>
      </c>
      <c r="G456" s="5">
        <f t="shared" si="169"/>
        <v>13895593.080000013</v>
      </c>
      <c r="H456" s="5">
        <f>(PARAMS_MODELO!$B$20*(MAX(0,MIN(3,E456))/3)+PARAMS_MODELO!$B$21*(IFERROR(LN(1+MAX(0,G456))/LN(1+MAX(0,MAX($G$2:$G$1194))),0)))*100*PARAMS_MODELO!$B$8</f>
        <v>4.5690483576686853</v>
      </c>
      <c r="I456" s="8">
        <f>E456-PARAMS_MODELO!$B$5</f>
        <v>2.6329346408529908E-2</v>
      </c>
      <c r="J456" s="5">
        <f>IF(I456&lt;=PARAMS_MODELO!$B$18,0,IF(I456&gt;=PARAMS_MODELO!$B$19,100,100*(I456-PARAMS_MODELO!$B$18)/(PARAMS_MODELO!$B$19-PARAMS_MODELO!$B$18)))*PARAMS_MODELO!$B$9</f>
        <v>11.449401961279484</v>
      </c>
      <c r="K456" s="5">
        <f>IFERROR(CHOOSE(MATCH(PARAMS_MODELO!$B$2,{"Q1","Q2","Q3"},0),LOTO!$D456,LOTO!$F456,LOTO!$H456),0)</f>
        <v>4055000</v>
      </c>
      <c r="L456" s="8">
        <f t="shared" si="170"/>
        <v>4.94227321288528E-2</v>
      </c>
      <c r="M456" s="5">
        <f>MIN(100,IF(PARAMS_MODELO!$B$23=0,0,100*L456/PARAMS_MODELO!$B$23))*PARAMS_MODELO!$B$10</f>
        <v>14.82681963865584</v>
      </c>
      <c r="N456" s="5">
        <f>IFERROR(VLOOKUP(A456,COMPLIANCE!$A$2:$F$1996,6,0),100)</f>
        <v>100</v>
      </c>
      <c r="O456" s="5">
        <f>N456*PARAMS_MODELO!$B$11</f>
        <v>10</v>
      </c>
      <c r="P456" s="5">
        <f>IFERROR(VLOOKUP(A456,DIGITAL!$A$2:$J$2000,7,0),100)</f>
        <v>23</v>
      </c>
      <c r="Q456" s="5">
        <f>IFERROR(P456,0)*PARAMS_MODELO!$B$12</f>
        <v>2.3000000000000003</v>
      </c>
      <c r="R456">
        <f t="shared" si="171"/>
        <v>78.145269957604</v>
      </c>
      <c r="S456" s="5" t="str">
        <f>IFERROR(VLOOKUP(A456,CLIENTE!$A$2:$N$2000,13,0),1)</f>
        <v>Malo</v>
      </c>
      <c r="T456" s="5">
        <f>IFERROR(VLOOKUP(A456,CLIENTE!$A$2:$N$2000,14,0),1)</f>
        <v>0.7</v>
      </c>
      <c r="U456" s="5">
        <f t="shared" si="172"/>
        <v>54.701688970322799</v>
      </c>
      <c r="V456" s="5" t="str">
        <f>IF(U456&gt;=MAX(_xlfn.PERCENTILE.INC($U$2:$U$1194,PARAMS_MODELO!$B$50),PARAMS_MODELO!$B$45),"DIAMANTE",IF(U456&gt;=MAX(_xlfn.PERCENTILE.INC($U$2:$U$1194,PARAMS_MODELO!$B$51),PARAMS_MODELO!$B$46),"PLATINO",IF(U456&gt;=MAX(_xlfn.PERCENTILE.INC($U$2:$U$1194,PARAMS_MODELO!$B$52),PARAMS_MODELO!$B$47),"ORO",IF(U456&gt;=MAX(_xlfn.PERCENTILE.INC($U$2:$U$1194,PARAMS_MODELO!$B$53),PARAMS_MODELO!$B$48),"PLATA",IF(U456&gt;=1,"BRONCE","CERRADO")))))</f>
        <v>PLATA</v>
      </c>
      <c r="W456" s="5" t="str" cm="1">
        <f t="array" ref="W456">_xlfn.XLOOKUP(1, (HIST_SCORE!$B:$B=PARAMS_MODELO!$B$4) * (HIST_SCORE!$C:$C=A456), HIST_SCORE!$E:$E, "No encontrado")</f>
        <v>PLATA</v>
      </c>
      <c r="X456" s="5" t="str">
        <f>_xlfn.LET(_xlpm.act,MATCH(V456,{"DIAMANTE";"PLATINO";"ORO";"PLATA";"BRONCE";"CERRADO"},0),_xlpm.ant,MATCH(W456,{"DIAMANTE";"PLATINO";"ORO";"PLATA";"BRONCE";"CERRADO"},0),IF(_xlpm.act&lt;_xlpm.ant,"Mejora ↑",IF(_xlpm.act&gt;_xlpm.ant,"Baja ↓","Estable →")))</f>
        <v>Estable →</v>
      </c>
      <c r="Y456" s="5">
        <f>IFERROR(U456-SUMIFS(HIST_SCORE!$D:$D,HIST_SCORE!$B:$B,PARAMS_MODELO!$B$4,HIST_SCORE!$C:$C,$A456),"")</f>
        <v>-1.8597185288369218</v>
      </c>
      <c r="Z456" s="5" t="str">
        <f t="shared" si="173"/>
        <v>→ Estable</v>
      </c>
      <c r="AA456" s="5">
        <f t="shared" si="174"/>
        <v>721</v>
      </c>
      <c r="AB456" s="5">
        <f>IFERROR(SUMIFS(HIST_SCORE!$F:$F,HIST_SCORE!$B:$B,PARAMS_MODELO!$B$4,HIST_SCORE!$C:$C,$A456),"")</f>
        <v>720</v>
      </c>
      <c r="AC456" s="5">
        <f t="shared" si="175"/>
        <v>-1</v>
      </c>
      <c r="AD456" t="str">
        <f t="shared" si="177"/>
        <v/>
      </c>
      <c r="AE4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456="CERRADO",1,IF(V456="BRONCE",_xlpm.cPl,IF(V456="PLATA",_xlpm.cO,IF(V456="ORO",_xlpm.cP,IF(V456="PLATINO",_xlpm.cD,999))))))</f>
        <v>63.199193273331495</v>
      </c>
      <c r="AF4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456="CERRADO",0,IF(V456="BRONCE",1,IF(V456="PLATA",_xlpm.cPl,IF(V456="ORO",_xlpm.cO,IF(V456="PLATINO",_xlpm.cP,_xlpm.cD))))))</f>
        <v>24.506573482968111</v>
      </c>
      <c r="AG456">
        <f t="shared" si="178"/>
        <v>12.139291861440995</v>
      </c>
      <c r="AH456" t="str">
        <f t="shared" si="179"/>
        <v>CLIENTE</v>
      </c>
      <c r="AI456" t="str">
        <f t="shared" si="176"/>
        <v>🎯 Para subir de categoría, la eje con mayor impacto probable es CLIENTE (coef T). Acción: reducir quejas, mejorar incógnito y empujar reseñas. ΔR aprox: 12,1</v>
      </c>
      <c r="AJ456" s="26">
        <f>_xlfn.LET(_xlpm.piso,AF456,_xlpm.corte,AE456,_xlpm.prog,IF(_xlpm.corte&lt;=_xlpm.piso,0,MAX(0,MIN(1,(U456-_xlpm.piso)/(_xlpm.corte-_xlpm.piso)))),_xlpm.orden,{"DIAMANTE";"PLATINO";"ORO";"PLATA";"BRONCE";"CERRADO"},_xlpm.act,IFERROR(MATCH(V456,_xlpm.orden,0),6),_xlpm.ant,IFERROR(MATCH(W456,_xlpm.orden,0),6),_xlpm.ajmov,IF(_xlpm.act&lt;_xlpm.ant,0.08,IF(_xlpm.act&gt;_xlpm.ant,-0.08,0)),_xlpm.ajcli,IF(T456&lt;0.95,-0.06,0),_xlpm.prob,MAX(0,MIN(1,_xlpm.prog+_xlpm.ajmov+_xlpm.ajcli)),IF(OR(V456="DIAMANTE",V456="CERRADO"),0,ROUND(_xlpm.prob,2)))</f>
        <v>0.72</v>
      </c>
      <c r="AK456" t="str">
        <f t="shared" si="180"/>
        <v>Faltan 12,1 puntos base para subir a la siguiente categoría</v>
      </c>
      <c r="AL456" t="str">
        <f t="shared" si="181"/>
        <v>Margen de seguridad: 30,2 puntos</v>
      </c>
      <c r="AM456">
        <f t="shared" si="182"/>
        <v>0.71</v>
      </c>
      <c r="AN456" t="str">
        <f t="shared" si="183"/>
        <v>PRIORIDAD ALTA – requiere intervención inmediata</v>
      </c>
      <c r="AO456">
        <f t="shared" si="184"/>
        <v>9.6908832694431908</v>
      </c>
      <c r="AP456">
        <f t="shared" si="185"/>
        <v>0.12122625294091217</v>
      </c>
      <c r="AQ456">
        <f t="shared" si="186"/>
        <v>0</v>
      </c>
      <c r="AR456">
        <f t="shared" si="187"/>
        <v>5.3899999999999988</v>
      </c>
      <c r="AS456">
        <f t="shared" si="188"/>
        <v>23.443580987281205</v>
      </c>
      <c r="AT456" t="str">
        <f t="shared" si="189"/>
        <v>CLIENTE</v>
      </c>
      <c r="AU456">
        <f t="shared" si="190"/>
        <v>23.443580987281205</v>
      </c>
      <c r="AV456" t="str">
        <f t="shared" si="191"/>
        <v>Mayor retorno probable: CLIENTE (+23,4 puntos finales potenciales).</v>
      </c>
    </row>
    <row r="457" spans="1:48" x14ac:dyDescent="0.3">
      <c r="A457" s="5">
        <v>51030478</v>
      </c>
      <c r="B457" s="5" t="str">
        <f>IFERROR(VLOOKUP(A457,VENTAS!$A$2:$B$1194,2,0),"")</f>
        <v>ROBERTS</v>
      </c>
      <c r="C457" s="5">
        <f>IFERROR(INDEX(VENTAS!$C$2:$E$1194,MATCH(A457,VENTAS!$A$2:$A$1194,0),MATCH(PARAMS_MODELO!$B$2,{"Q1","Q2","Q3"},0)),0)</f>
        <v>71487984.060000002</v>
      </c>
      <c r="D457" s="5">
        <f>IFERROR(INDEX(VENTAS!$F$2:$H$1194,MATCH(A457,VENTAS!$A$2:$A$1194,0),MATCH(PARAMS_MODELO!$B$2,{"Q1","Q2","Q3"},0)),0)</f>
        <v>81553246</v>
      </c>
      <c r="E457" s="8">
        <f t="shared" si="168"/>
        <v>0.14079655584569584</v>
      </c>
      <c r="F457" s="12">
        <f>IF(E457&lt;=PARAMS_MODELO!$B$15,0,IF(E457&gt;=PARAMS_MODELO!$B$17,100,100*MIN(1,(E457-PARAMS_MODELO!$B$15)/(PARAMS_MODELO!$B$16-PARAMS_MODELO!$B$15))))*PARAMS_MODELO!$B$7</f>
        <v>35</v>
      </c>
      <c r="G457" s="5">
        <f t="shared" si="169"/>
        <v>10065261.939999998</v>
      </c>
      <c r="H457" s="5">
        <f>(PARAMS_MODELO!$B$20*(MAX(0,MIN(3,E457))/3)+PARAMS_MODELO!$B$21*(IFERROR(LN(1+MAX(0,G457))/LN(1+MAX(0,MAX($G$2:$G$1194))),0)))*100*PARAMS_MODELO!$B$8</f>
        <v>4.2726194697406878</v>
      </c>
      <c r="I457" s="8">
        <f>E457-PARAMS_MODELO!$B$5</f>
        <v>-3.6766279529830692E-2</v>
      </c>
      <c r="J457" s="5">
        <f>IF(I457&lt;=PARAMS_MODELO!$B$18,0,IF(I457&gt;=PARAMS_MODELO!$B$19,100,100*(I457-PARAMS_MODELO!$B$18)/(PARAMS_MODELO!$B$19-PARAMS_MODELO!$B$18)))*PARAMS_MODELO!$B$9</f>
        <v>1.9850580705253964</v>
      </c>
      <c r="K457" s="5">
        <f>IFERROR(CHOOSE(MATCH(PARAMS_MODELO!$B$2,{"Q1","Q2","Q3"},0),LOTO!$D457,LOTO!$F457,LOTO!$H457),0)</f>
        <v>4045000</v>
      </c>
      <c r="L457" s="8">
        <f t="shared" si="170"/>
        <v>4.9599497241348309E-2</v>
      </c>
      <c r="M457" s="5">
        <f>MIN(100,IF(PARAMS_MODELO!$B$23=0,0,100*L457/PARAMS_MODELO!$B$23))*PARAMS_MODELO!$B$10</f>
        <v>14.879849172404493</v>
      </c>
      <c r="N457" s="5">
        <f>IFERROR(VLOOKUP(A457,COMPLIANCE!$A$2:$F$1996,6,0),100)</f>
        <v>100</v>
      </c>
      <c r="O457" s="5">
        <f>N457*PARAMS_MODELO!$B$11</f>
        <v>10</v>
      </c>
      <c r="P457" s="5">
        <f>IFERROR(VLOOKUP(A457,DIGITAL!$A$2:$J$2000,7,0),100)</f>
        <v>97</v>
      </c>
      <c r="Q457" s="5">
        <f>IFERROR(P457,0)*PARAMS_MODELO!$B$12</f>
        <v>9.7000000000000011</v>
      </c>
      <c r="R457">
        <f t="shared" si="171"/>
        <v>75.837526712670581</v>
      </c>
      <c r="S457" s="5" t="str">
        <f>IFERROR(VLOOKUP(A457,CLIENTE!$A$2:$N$2000,13,0),1)</f>
        <v>Regular</v>
      </c>
      <c r="T457" s="5">
        <f>IFERROR(VLOOKUP(A457,CLIENTE!$A$2:$N$2000,14,0),1)</f>
        <v>1</v>
      </c>
      <c r="U457" s="5">
        <f t="shared" si="172"/>
        <v>75.837526712670581</v>
      </c>
      <c r="V457" s="5" t="str">
        <f>IF(U457&gt;=MAX(_xlfn.PERCENTILE.INC($U$2:$U$1194,PARAMS_MODELO!$B$50),PARAMS_MODELO!$B$45),"DIAMANTE",IF(U457&gt;=MAX(_xlfn.PERCENTILE.INC($U$2:$U$1194,PARAMS_MODELO!$B$51),PARAMS_MODELO!$B$46),"PLATINO",IF(U457&gt;=MAX(_xlfn.PERCENTILE.INC($U$2:$U$1194,PARAMS_MODELO!$B$52),PARAMS_MODELO!$B$47),"ORO",IF(U457&gt;=MAX(_xlfn.PERCENTILE.INC($U$2:$U$1194,PARAMS_MODELO!$B$53),PARAMS_MODELO!$B$48),"PLATA",IF(U457&gt;=1,"BRONCE","CERRADO")))))</f>
        <v>ORO</v>
      </c>
      <c r="W457" s="5" t="str" cm="1">
        <f t="array" ref="W457">_xlfn.XLOOKUP(1, (HIST_SCORE!$B:$B=PARAMS_MODELO!$B$4) * (HIST_SCORE!$C:$C=A457), HIST_SCORE!$E:$E, "No encontrado")</f>
        <v>PLATINO</v>
      </c>
      <c r="X457" s="5" t="str">
        <f>_xlfn.LET(_xlpm.act,MATCH(V457,{"DIAMANTE";"PLATINO";"ORO";"PLATA";"BRONCE";"CERRADO"},0),_xlpm.ant,MATCH(W457,{"DIAMANTE";"PLATINO";"ORO";"PLATA";"BRONCE";"CERRADO"},0),IF(_xlpm.act&lt;_xlpm.ant,"Mejora ↑",IF(_xlpm.act&gt;_xlpm.ant,"Baja ↓","Estable →")))</f>
        <v>Baja ↓</v>
      </c>
      <c r="Y457" s="5">
        <f>IFERROR(U457-SUMIFS(HIST_SCORE!$D:$D,HIST_SCORE!$B:$B,PARAMS_MODELO!$B$4,HIST_SCORE!$C:$C,$A457),"")</f>
        <v>-11.265003108533335</v>
      </c>
      <c r="Z457" s="5" t="str">
        <f t="shared" si="173"/>
        <v>↓ Baja</v>
      </c>
      <c r="AA457" s="5">
        <f t="shared" si="174"/>
        <v>468</v>
      </c>
      <c r="AB457" s="5">
        <f>IFERROR(SUMIFS(HIST_SCORE!$F:$F,HIST_SCORE!$B:$B,PARAMS_MODELO!$B$4,HIST_SCORE!$C:$C,$A457),"")</f>
        <v>197</v>
      </c>
      <c r="AC457" s="5">
        <f t="shared" si="175"/>
        <v>-271</v>
      </c>
      <c r="AD457" t="str">
        <f t="shared" si="177"/>
        <v>Sostener base y reforzar mix</v>
      </c>
      <c r="AE4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457="CERRADO",1,IF(V457="BRONCE",_xlpm.cPl,IF(V457="PLATA",_xlpm.cO,IF(V457="ORO",_xlpm.cP,IF(V457="PLATINO",_xlpm.cD,999))))))</f>
        <v>86.439123873763251</v>
      </c>
      <c r="AF4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457="CERRADO",0,IF(V457="BRONCE",1,IF(V457="PLATA",_xlpm.cPl,IF(V457="ORO",_xlpm.cO,IF(V457="PLATINO",_xlpm.cP,_xlpm.cD))))))</f>
        <v>63.199193273331495</v>
      </c>
      <c r="AG457">
        <f t="shared" si="178"/>
        <v>10.60159716109267</v>
      </c>
      <c r="AH457" t="str">
        <f t="shared" si="179"/>
        <v>VENTAS</v>
      </c>
      <c r="AI457" t="str">
        <f t="shared" si="176"/>
        <v>🎯 Para subir de categoría, eje VENTAS / DIFERENCIAL vs LOTBA (J). Acción: metas semanales + activación comercial + seguimiento del asesor. ΔR aprox: 10,6</v>
      </c>
      <c r="AJ457" s="26">
        <f>_xlfn.LET(_xlpm.piso,AF457,_xlpm.corte,AE457,_xlpm.prog,IF(_xlpm.corte&lt;=_xlpm.piso,0,MAX(0,MIN(1,(U457-_xlpm.piso)/(_xlpm.corte-_xlpm.piso)))),_xlpm.orden,{"DIAMANTE";"PLATINO";"ORO";"PLATA";"BRONCE";"CERRADO"},_xlpm.act,IFERROR(MATCH(V457,_xlpm.orden,0),6),_xlpm.ant,IFERROR(MATCH(W457,_xlpm.orden,0),6),_xlpm.ajmov,IF(_xlpm.act&lt;_xlpm.ant,0.08,IF(_xlpm.act&gt;_xlpm.ant,-0.08,0)),_xlpm.ajcli,IF(T457&lt;0.95,-0.06,0),_xlpm.prob,MAX(0,MIN(1,_xlpm.prog+_xlpm.ajmov+_xlpm.ajcli)),IF(OR(V457="DIAMANTE",V457="CERRADO"),0,ROUND(_xlpm.prob,2)))</f>
        <v>0.46</v>
      </c>
      <c r="AK457" t="str">
        <f t="shared" si="180"/>
        <v>Faltan 10,6 puntos base para subir a la siguiente categoría</v>
      </c>
      <c r="AL457" t="str">
        <f t="shared" si="181"/>
        <v>Margen de seguridad: 12,6 puntos</v>
      </c>
      <c r="AM457">
        <f t="shared" si="182"/>
        <v>0.62</v>
      </c>
      <c r="AN457" t="str">
        <f t="shared" si="183"/>
        <v>PRIORIDAD MEDIA – seguimiento del asesor</v>
      </c>
      <c r="AO457">
        <f t="shared" si="184"/>
        <v>23.604891735029497</v>
      </c>
      <c r="AP457">
        <f t="shared" si="185"/>
        <v>0.12015082759550744</v>
      </c>
      <c r="AQ457">
        <f t="shared" si="186"/>
        <v>0</v>
      </c>
      <c r="AR457">
        <f t="shared" si="187"/>
        <v>0.29999999999999893</v>
      </c>
      <c r="AS457">
        <f t="shared" si="188"/>
        <v>0</v>
      </c>
      <c r="AT457" t="str">
        <f t="shared" si="189"/>
        <v>VENTAS</v>
      </c>
      <c r="AU457">
        <f t="shared" si="190"/>
        <v>23.604891735029497</v>
      </c>
      <c r="AV457" t="str">
        <f t="shared" si="191"/>
        <v>Mayor retorno probable: VENTAS (+23,6 puntos finales potenciales).</v>
      </c>
    </row>
    <row r="458" spans="1:48" x14ac:dyDescent="0.3">
      <c r="A458" s="5">
        <v>51028040</v>
      </c>
      <c r="B458" s="5" t="str">
        <f>IFERROR(VLOOKUP(A458,VENTAS!$A$2:$B$1194,2,0),"")</f>
        <v>PRADES</v>
      </c>
      <c r="C458" s="5">
        <f>IFERROR(INDEX(VENTAS!$C$2:$E$1194,MATCH(A458,VENTAS!$A$2:$A$1194,0),MATCH(PARAMS_MODELO!$B$2,{"Q1","Q2","Q3"},0)),0)</f>
        <v>61597367.109999999</v>
      </c>
      <c r="D458" s="5">
        <f>IFERROR(INDEX(VENTAS!$F$2:$H$1194,MATCH(A458,VENTAS!$A$2:$A$1194,0),MATCH(PARAMS_MODELO!$B$2,{"Q1","Q2","Q3"},0)),0)</f>
        <v>81532338</v>
      </c>
      <c r="E458" s="8">
        <f t="shared" si="168"/>
        <v>0.32363348995745733</v>
      </c>
      <c r="F458" s="12">
        <f>IF(E458&lt;=PARAMS_MODELO!$B$15,0,IF(E458&gt;=PARAMS_MODELO!$B$17,100,100*MIN(1,(E458-PARAMS_MODELO!$B$15)/(PARAMS_MODELO!$B$16-PARAMS_MODELO!$B$15))))*PARAMS_MODELO!$B$7</f>
        <v>35</v>
      </c>
      <c r="G458" s="5">
        <f t="shared" si="169"/>
        <v>19934970.890000001</v>
      </c>
      <c r="H458" s="5">
        <f>(PARAMS_MODELO!$B$20*(MAX(0,MIN(3,E458))/3)+PARAMS_MODELO!$B$21*(IFERROR(LN(1+MAX(0,G458))/LN(1+MAX(0,MAX($G$2:$G$1194))),0)))*100*PARAMS_MODELO!$B$8</f>
        <v>5.0727438145677235</v>
      </c>
      <c r="I458" s="8">
        <f>E458-PARAMS_MODELO!$B$5</f>
        <v>0.1460706545819308</v>
      </c>
      <c r="J458" s="5">
        <f>IF(I458&lt;=PARAMS_MODELO!$B$18,0,IF(I458&gt;=PARAMS_MODELO!$B$19,100,100*(I458-PARAMS_MODELO!$B$18)/(PARAMS_MODELO!$B$19-PARAMS_MODELO!$B$18)))*PARAMS_MODELO!$B$9</f>
        <v>15</v>
      </c>
      <c r="K458" s="5">
        <f>IFERROR(CHOOSE(MATCH(PARAMS_MODELO!$B$2,{"Q1","Q2","Q3"},0),LOTO!$D458,LOTO!$F458,LOTO!$H458),0)</f>
        <v>4042500</v>
      </c>
      <c r="L458" s="8">
        <f t="shared" si="170"/>
        <v>4.9581553763366877E-2</v>
      </c>
      <c r="M458" s="5">
        <f>MIN(100,IF(PARAMS_MODELO!$B$23=0,0,100*L458/PARAMS_MODELO!$B$23))*PARAMS_MODELO!$B$10</f>
        <v>14.874466129010063</v>
      </c>
      <c r="N458" s="5">
        <f>IFERROR(VLOOKUP(A458,COMPLIANCE!$A$2:$F$1996,6,0),100)</f>
        <v>100</v>
      </c>
      <c r="O458" s="5">
        <f>N458*PARAMS_MODELO!$B$11</f>
        <v>10</v>
      </c>
      <c r="P458" s="5">
        <f>IFERROR(VLOOKUP(A458,DIGITAL!$A$2:$J$2000,7,0),100)</f>
        <v>79</v>
      </c>
      <c r="Q458" s="5">
        <f>IFERROR(P458,0)*PARAMS_MODELO!$B$12</f>
        <v>7.9</v>
      </c>
      <c r="R458">
        <f t="shared" si="171"/>
        <v>87.847209943577795</v>
      </c>
      <c r="S458" s="5" t="str">
        <f>IFERROR(VLOOKUP(A458,CLIENTE!$A$2:$N$2000,13,0),1)</f>
        <v>Regular</v>
      </c>
      <c r="T458" s="5">
        <f>IFERROR(VLOOKUP(A458,CLIENTE!$A$2:$N$2000,14,0),1)</f>
        <v>1</v>
      </c>
      <c r="U458" s="5">
        <f t="shared" si="172"/>
        <v>87.847209943577795</v>
      </c>
      <c r="V458" s="5" t="str">
        <f>IF(U458&gt;=MAX(_xlfn.PERCENTILE.INC($U$2:$U$1194,PARAMS_MODELO!$B$50),PARAMS_MODELO!$B$45),"DIAMANTE",IF(U458&gt;=MAX(_xlfn.PERCENTILE.INC($U$2:$U$1194,PARAMS_MODELO!$B$51),PARAMS_MODELO!$B$46),"PLATINO",IF(U458&gt;=MAX(_xlfn.PERCENTILE.INC($U$2:$U$1194,PARAMS_MODELO!$B$52),PARAMS_MODELO!$B$47),"ORO",IF(U458&gt;=MAX(_xlfn.PERCENTILE.INC($U$2:$U$1194,PARAMS_MODELO!$B$53),PARAMS_MODELO!$B$48),"PLATA",IF(U458&gt;=1,"BRONCE","CERRADO")))))</f>
        <v>PLATINO</v>
      </c>
      <c r="W458" s="5" t="str" cm="1">
        <f t="array" ref="W458">_xlfn.XLOOKUP(1, (HIST_SCORE!$B:$B=PARAMS_MODELO!$B$4) * (HIST_SCORE!$C:$C=A458), HIST_SCORE!$E:$E, "No encontrado")</f>
        <v>PLATINO</v>
      </c>
      <c r="X458" s="5" t="str">
        <f>_xlfn.LET(_xlpm.act,MATCH(V458,{"DIAMANTE";"PLATINO";"ORO";"PLATA";"BRONCE";"CERRADO"},0),_xlpm.ant,MATCH(W458,{"DIAMANTE";"PLATINO";"ORO";"PLATA";"BRONCE";"CERRADO"},0),IF(_xlpm.act&lt;_xlpm.ant,"Mejora ↑",IF(_xlpm.act&gt;_xlpm.ant,"Baja ↓","Estable →")))</f>
        <v>Estable →</v>
      </c>
      <c r="Y458" s="5">
        <f>IFERROR(U458-SUMIFS(HIST_SCORE!$D:$D,HIST_SCORE!$B:$B,PARAMS_MODELO!$B$4,HIST_SCORE!$C:$C,$A458),"")</f>
        <v>1.3699579253375163</v>
      </c>
      <c r="Z458" s="5" t="str">
        <f t="shared" si="173"/>
        <v>→ Estable</v>
      </c>
      <c r="AA458" s="5">
        <f t="shared" si="174"/>
        <v>205</v>
      </c>
      <c r="AB458" s="5">
        <f>IFERROR(SUMIFS(HIST_SCORE!$F:$F,HIST_SCORE!$B:$B,PARAMS_MODELO!$B$4,HIST_SCORE!$C:$C,$A458),"")</f>
        <v>217</v>
      </c>
      <c r="AC458" s="5">
        <f t="shared" si="175"/>
        <v>12</v>
      </c>
      <c r="AD458" t="str">
        <f t="shared" si="177"/>
        <v/>
      </c>
      <c r="AE4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458="CERRADO",1,IF(V458="BRONCE",_xlpm.cPl,IF(V458="PLATA",_xlpm.cO,IF(V458="ORO",_xlpm.cP,IF(V458="PLATINO",_xlpm.cD,999))))))</f>
        <v>96.054919694466676</v>
      </c>
      <c r="AF4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458="CERRADO",0,IF(V458="BRONCE",1,IF(V458="PLATA",_xlpm.cPl,IF(V458="ORO",_xlpm.cO,IF(V458="PLATINO",_xlpm.cP,_xlpm.cD))))))</f>
        <v>86.439123873763251</v>
      </c>
      <c r="AG458">
        <f t="shared" si="178"/>
        <v>8.2077097508888812</v>
      </c>
      <c r="AH458" t="str">
        <f t="shared" si="179"/>
        <v>VENTAS</v>
      </c>
      <c r="AI458" t="str">
        <f t="shared" si="176"/>
        <v>🎯 Para subir de categoría, eje VENTAS / IMPACTO ABSOLUTO (H). Acción: metas semanales + activación comercial + seguimiento del asesor. ΔR aprox: 8,2</v>
      </c>
      <c r="AJ458" s="26">
        <f>_xlfn.LET(_xlpm.piso,AF458,_xlpm.corte,AE458,_xlpm.prog,IF(_xlpm.corte&lt;=_xlpm.piso,0,MAX(0,MIN(1,(U458-_xlpm.piso)/(_xlpm.corte-_xlpm.piso)))),_xlpm.orden,{"DIAMANTE";"PLATINO";"ORO";"PLATA";"BRONCE";"CERRADO"},_xlpm.act,IFERROR(MATCH(V458,_xlpm.orden,0),6),_xlpm.ant,IFERROR(MATCH(W458,_xlpm.orden,0),6),_xlpm.ajmov,IF(_xlpm.act&lt;_xlpm.ant,0.08,IF(_xlpm.act&gt;_xlpm.ant,-0.08,0)),_xlpm.ajcli,IF(T458&lt;0.95,-0.06,0),_xlpm.prob,MAX(0,MIN(1,_xlpm.prog+_xlpm.ajmov+_xlpm.ajcli)),IF(OR(V458="DIAMANTE",V458="CERRADO"),0,ROUND(_xlpm.prob,2)))</f>
        <v>0.15</v>
      </c>
      <c r="AK458" t="str">
        <f t="shared" si="180"/>
        <v>Faltan 8,2 puntos base para subir a la siguiente categoría</v>
      </c>
      <c r="AL458" t="str">
        <f t="shared" si="181"/>
        <v>Margen de seguridad: 1,4 puntos</v>
      </c>
      <c r="AM458">
        <f t="shared" si="182"/>
        <v>0.67</v>
      </c>
      <c r="AN458" t="str">
        <f t="shared" si="183"/>
        <v>PRIORIDAD MEDIA – seguimiento del asesor</v>
      </c>
      <c r="AO458">
        <f t="shared" si="184"/>
        <v>9.7898254607278616</v>
      </c>
      <c r="AP458">
        <f t="shared" si="185"/>
        <v>0.12553387098993696</v>
      </c>
      <c r="AQ458">
        <f t="shared" si="186"/>
        <v>0</v>
      </c>
      <c r="AR458">
        <f t="shared" si="187"/>
        <v>2.0999999999999996</v>
      </c>
      <c r="AS458">
        <f t="shared" si="188"/>
        <v>0</v>
      </c>
      <c r="AT458" t="str">
        <f t="shared" si="189"/>
        <v>VENTAS</v>
      </c>
      <c r="AU458">
        <f t="shared" si="190"/>
        <v>9.7898254607278616</v>
      </c>
      <c r="AV458" t="str">
        <f t="shared" si="191"/>
        <v>Mayor retorno probable: VENTAS (+9,8 puntos finales potenciales).</v>
      </c>
    </row>
    <row r="459" spans="1:48" x14ac:dyDescent="0.3">
      <c r="A459" s="5">
        <v>51055616</v>
      </c>
      <c r="B459" s="5" t="str">
        <f>IFERROR(VLOOKUP(A459,VENTAS!$A$2:$B$1194,2,0),"")</f>
        <v>MONTENEGRO</v>
      </c>
      <c r="C459" s="5">
        <f>IFERROR(INDEX(VENTAS!$C$2:$E$1194,MATCH(A459,VENTAS!$A$2:$A$1194,0),MATCH(PARAMS_MODELO!$B$2,{"Q1","Q2","Q3"},0)),0)</f>
        <v>50145847.259999998</v>
      </c>
      <c r="D459" s="5">
        <f>IFERROR(INDEX(VENTAS!$F$2:$H$1194,MATCH(A459,VENTAS!$A$2:$A$1194,0),MATCH(PARAMS_MODELO!$B$2,{"Q1","Q2","Q3"},0)),0)</f>
        <v>81479381</v>
      </c>
      <c r="E459" s="8">
        <f t="shared" si="168"/>
        <v>0.62484802734590406</v>
      </c>
      <c r="F459" s="12">
        <f>IF(E459&lt;=PARAMS_MODELO!$B$15,0,IF(E459&gt;=PARAMS_MODELO!$B$17,100,100*MIN(1,(E459-PARAMS_MODELO!$B$15)/(PARAMS_MODELO!$B$16-PARAMS_MODELO!$B$15))))*PARAMS_MODELO!$B$7</f>
        <v>35</v>
      </c>
      <c r="G459" s="5">
        <f t="shared" si="169"/>
        <v>31333533.740000002</v>
      </c>
      <c r="H459" s="5">
        <f>(PARAMS_MODELO!$B$20*(MAX(0,MIN(3,E459))/3)+PARAMS_MODELO!$B$21*(IFERROR(LN(1+MAX(0,G459))/LN(1+MAX(0,MAX($G$2:$G$1194))),0)))*100*PARAMS_MODELO!$B$8</f>
        <v>6.2329998180443864</v>
      </c>
      <c r="I459" s="8">
        <f>E459-PARAMS_MODELO!$B$5</f>
        <v>0.44728519197037753</v>
      </c>
      <c r="J459" s="5">
        <f>IF(I459&lt;=PARAMS_MODELO!$B$18,0,IF(I459&gt;=PARAMS_MODELO!$B$19,100,100*(I459-PARAMS_MODELO!$B$18)/(PARAMS_MODELO!$B$19-PARAMS_MODELO!$B$18)))*PARAMS_MODELO!$B$9</f>
        <v>15</v>
      </c>
      <c r="K459" s="5">
        <f>IFERROR(CHOOSE(MATCH(PARAMS_MODELO!$B$2,{"Q1","Q2","Q3"},0),LOTO!$D459,LOTO!$F459,LOTO!$H459),0)</f>
        <v>4040000</v>
      </c>
      <c r="L459" s="8">
        <f t="shared" si="170"/>
        <v>4.9583096366429193E-2</v>
      </c>
      <c r="M459" s="5">
        <f>MIN(100,IF(PARAMS_MODELO!$B$23=0,0,100*L459/PARAMS_MODELO!$B$23))*PARAMS_MODELO!$B$10</f>
        <v>14.874928909928759</v>
      </c>
      <c r="N459" s="5">
        <f>IFERROR(VLOOKUP(A459,COMPLIANCE!$A$2:$F$1996,6,0),100)</f>
        <v>99.85</v>
      </c>
      <c r="O459" s="5">
        <f>N459*PARAMS_MODELO!$B$11</f>
        <v>9.9849999999999994</v>
      </c>
      <c r="P459" s="5">
        <f>IFERROR(VLOOKUP(A459,DIGITAL!$A$2:$J$2000,7,0),100)</f>
        <v>74</v>
      </c>
      <c r="Q459" s="5">
        <f>IFERROR(P459,0)*PARAMS_MODELO!$B$12</f>
        <v>7.4</v>
      </c>
      <c r="R459">
        <f t="shared" si="171"/>
        <v>88.492928727973151</v>
      </c>
      <c r="S459" s="5" t="str">
        <f>IFERROR(VLOOKUP(A459,CLIENTE!$A$2:$N$2000,13,0),1)</f>
        <v>Regular</v>
      </c>
      <c r="T459" s="5">
        <f>IFERROR(VLOOKUP(A459,CLIENTE!$A$2:$N$2000,14,0),1)</f>
        <v>1</v>
      </c>
      <c r="U459" s="5">
        <f t="shared" si="172"/>
        <v>88.492928727973151</v>
      </c>
      <c r="V459" s="5" t="str">
        <f>IF(U459&gt;=MAX(_xlfn.PERCENTILE.INC($U$2:$U$1194,PARAMS_MODELO!$B$50),PARAMS_MODELO!$B$45),"DIAMANTE",IF(U459&gt;=MAX(_xlfn.PERCENTILE.INC($U$2:$U$1194,PARAMS_MODELO!$B$51),PARAMS_MODELO!$B$46),"PLATINO",IF(U459&gt;=MAX(_xlfn.PERCENTILE.INC($U$2:$U$1194,PARAMS_MODELO!$B$52),PARAMS_MODELO!$B$47),"ORO",IF(U459&gt;=MAX(_xlfn.PERCENTILE.INC($U$2:$U$1194,PARAMS_MODELO!$B$53),PARAMS_MODELO!$B$48),"PLATA",IF(U459&gt;=1,"BRONCE","CERRADO")))))</f>
        <v>PLATINO</v>
      </c>
      <c r="W459" s="5" t="str" cm="1">
        <f t="array" ref="W459">_xlfn.XLOOKUP(1, (HIST_SCORE!$B:$B=PARAMS_MODELO!$B$4) * (HIST_SCORE!$C:$C=A459), HIST_SCORE!$E:$E, "No encontrado")</f>
        <v>PLATINO</v>
      </c>
      <c r="X459" s="5" t="str">
        <f>_xlfn.LET(_xlpm.act,MATCH(V459,{"DIAMANTE";"PLATINO";"ORO";"PLATA";"BRONCE";"CERRADO"},0),_xlpm.ant,MATCH(W459,{"DIAMANTE";"PLATINO";"ORO";"PLATA";"BRONCE";"CERRADO"},0),IF(_xlpm.act&lt;_xlpm.ant,"Mejora ↑",IF(_xlpm.act&gt;_xlpm.ant,"Baja ↓","Estable →")))</f>
        <v>Estable →</v>
      </c>
      <c r="Y459" s="5">
        <f>IFERROR(U459-SUMIFS(HIST_SCORE!$D:$D,HIST_SCORE!$B:$B,PARAMS_MODELO!$B$4,HIST_SCORE!$C:$C,$A459),"")</f>
        <v>-3.7467471670709074E-3</v>
      </c>
      <c r="Z459" s="5" t="str">
        <f t="shared" si="173"/>
        <v>→ Estable</v>
      </c>
      <c r="AA459" s="5">
        <f t="shared" si="174"/>
        <v>184</v>
      </c>
      <c r="AB459" s="5">
        <f>IFERROR(SUMIFS(HIST_SCORE!$F:$F,HIST_SCORE!$B:$B,PARAMS_MODELO!$B$4,HIST_SCORE!$C:$C,$A459),"")</f>
        <v>163</v>
      </c>
      <c r="AC459" s="5">
        <f t="shared" si="175"/>
        <v>-21</v>
      </c>
      <c r="AD459" t="str">
        <f t="shared" si="177"/>
        <v/>
      </c>
      <c r="AE4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459="CERRADO",1,IF(V459="BRONCE",_xlpm.cPl,IF(V459="PLATA",_xlpm.cO,IF(V459="ORO",_xlpm.cP,IF(V459="PLATINO",_xlpm.cD,999))))))</f>
        <v>96.054919694466676</v>
      </c>
      <c r="AF4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459="CERRADO",0,IF(V459="BRONCE",1,IF(V459="PLATA",_xlpm.cPl,IF(V459="ORO",_xlpm.cO,IF(V459="PLATINO",_xlpm.cP,_xlpm.cD))))))</f>
        <v>86.439123873763251</v>
      </c>
      <c r="AG459">
        <f t="shared" si="178"/>
        <v>7.561990966493525</v>
      </c>
      <c r="AH459" t="str">
        <f t="shared" si="179"/>
        <v>VENTAS</v>
      </c>
      <c r="AI459" t="str">
        <f t="shared" si="176"/>
        <v>🎯 Para subir de categoría, eje VENTAS / IMPACTO ABSOLUTO (H). Acción: metas semanales + activación comercial + seguimiento del asesor. ΔR aprox: 7,6</v>
      </c>
      <c r="AJ459" s="26">
        <f>_xlfn.LET(_xlpm.piso,AF459,_xlpm.corte,AE459,_xlpm.prog,IF(_xlpm.corte&lt;=_xlpm.piso,0,MAX(0,MIN(1,(U459-_xlpm.piso)/(_xlpm.corte-_xlpm.piso)))),_xlpm.orden,{"DIAMANTE";"PLATINO";"ORO";"PLATA";"BRONCE";"CERRADO"},_xlpm.act,IFERROR(MATCH(V459,_xlpm.orden,0),6),_xlpm.ant,IFERROR(MATCH(W459,_xlpm.orden,0),6),_xlpm.ajmov,IF(_xlpm.act&lt;_xlpm.ant,0.08,IF(_xlpm.act&gt;_xlpm.ant,-0.08,0)),_xlpm.ajcli,IF(T459&lt;0.95,-0.06,0),_xlpm.prob,MAX(0,MIN(1,_xlpm.prog+_xlpm.ajmov+_xlpm.ajcli)),IF(OR(V459="DIAMANTE",V459="CERRADO"),0,ROUND(_xlpm.prob,2)))</f>
        <v>0.21</v>
      </c>
      <c r="AK459" t="str">
        <f t="shared" si="180"/>
        <v>Faltan 7,6 puntos base para subir a la siguiente categoría</v>
      </c>
      <c r="AL459" t="str">
        <f t="shared" si="181"/>
        <v>Margen de seguridad: 2,1 puntos</v>
      </c>
      <c r="AM459">
        <f t="shared" si="182"/>
        <v>0.62</v>
      </c>
      <c r="AN459" t="str">
        <f t="shared" si="183"/>
        <v>PRIORIDAD MEDIA – seguimiento del asesor</v>
      </c>
      <c r="AO459">
        <f t="shared" si="184"/>
        <v>8.6295694572512005</v>
      </c>
      <c r="AP459">
        <f t="shared" si="185"/>
        <v>0.12507109007124129</v>
      </c>
      <c r="AQ459">
        <f t="shared" si="186"/>
        <v>1.5000000000000568E-2</v>
      </c>
      <c r="AR459">
        <f t="shared" si="187"/>
        <v>2.5999999999999996</v>
      </c>
      <c r="AS459">
        <f t="shared" si="188"/>
        <v>0</v>
      </c>
      <c r="AT459" t="str">
        <f t="shared" si="189"/>
        <v>VENTAS</v>
      </c>
      <c r="AU459">
        <f t="shared" si="190"/>
        <v>8.6295694572512005</v>
      </c>
      <c r="AV459" t="str">
        <f t="shared" si="191"/>
        <v>Mayor retorno probable: VENTAS (+8,6 puntos finales potenciales).</v>
      </c>
    </row>
    <row r="460" spans="1:48" x14ac:dyDescent="0.3">
      <c r="A460" s="5">
        <v>51036239</v>
      </c>
      <c r="B460" s="5" t="str">
        <f>IFERROR(VLOOKUP(A460,VENTAS!$A$2:$B$1194,2,0),"")</f>
        <v>AYALA</v>
      </c>
      <c r="C460" s="5">
        <f>IFERROR(INDEX(VENTAS!$C$2:$E$1194,MATCH(A460,VENTAS!$A$2:$A$1194,0),MATCH(PARAMS_MODELO!$B$2,{"Q1","Q2","Q3"},0)),0)</f>
        <v>95380184.580000013</v>
      </c>
      <c r="D460" s="5">
        <f>IFERROR(INDEX(VENTAS!$F$2:$H$1194,MATCH(A460,VENTAS!$A$2:$A$1194,0),MATCH(PARAMS_MODELO!$B$2,{"Q1","Q2","Q3"},0)),0)</f>
        <v>81478146</v>
      </c>
      <c r="E460" s="8">
        <f t="shared" si="168"/>
        <v>-0.14575394922138885</v>
      </c>
      <c r="F460" s="12">
        <f>IF(E460&lt;=PARAMS_MODELO!$B$15,0,IF(E460&gt;=PARAMS_MODELO!$B$17,100,100*MIN(1,(E460-PARAMS_MODELO!$B$15)/(PARAMS_MODELO!$B$16-PARAMS_MODELO!$B$15))))*PARAMS_MODELO!$B$7</f>
        <v>0</v>
      </c>
      <c r="G460" s="5">
        <f t="shared" si="169"/>
        <v>0</v>
      </c>
      <c r="H460" s="5">
        <f>(PARAMS_MODELO!$B$20*(MAX(0,MIN(3,E460))/3)+PARAMS_MODELO!$B$21*(IFERROR(LN(1+MAX(0,G460))/LN(1+MAX(0,MAX($G$2:$G$1194))),0)))*100*PARAMS_MODELO!$B$8</f>
        <v>0</v>
      </c>
      <c r="I460" s="8">
        <f>E460-PARAMS_MODELO!$B$5</f>
        <v>-0.32331678459691537</v>
      </c>
      <c r="J460" s="5">
        <f>IF(I460&lt;=PARAMS_MODELO!$B$18,0,IF(I460&gt;=PARAMS_MODELO!$B$19,100,100*(I460-PARAMS_MODELO!$B$18)/(PARAMS_MODELO!$B$19-PARAMS_MODELO!$B$18)))*PARAMS_MODELO!$B$9</f>
        <v>0</v>
      </c>
      <c r="K460" s="5">
        <f>IFERROR(CHOOSE(MATCH(PARAMS_MODELO!$B$2,{"Q1","Q2","Q3"},0),LOTO!$D460,LOTO!$F460,LOTO!$H460),0)</f>
        <v>4040000</v>
      </c>
      <c r="L460" s="8">
        <f t="shared" si="170"/>
        <v>4.9583847919170865E-2</v>
      </c>
      <c r="M460" s="5">
        <f>MIN(100,IF(PARAMS_MODELO!$B$23=0,0,100*L460/PARAMS_MODELO!$B$23))*PARAMS_MODELO!$B$10</f>
        <v>14.875154375751256</v>
      </c>
      <c r="N460" s="5">
        <f>IFERROR(VLOOKUP(A460,COMPLIANCE!$A$2:$F$1996,6,0),100)</f>
        <v>100</v>
      </c>
      <c r="O460" s="5">
        <f>N460*PARAMS_MODELO!$B$11</f>
        <v>10</v>
      </c>
      <c r="P460" s="5">
        <f>IFERROR(VLOOKUP(A460,DIGITAL!$A$2:$J$2000,7,0),100)</f>
        <v>69</v>
      </c>
      <c r="Q460" s="5">
        <f>IFERROR(P460,0)*PARAMS_MODELO!$B$12</f>
        <v>6.9</v>
      </c>
      <c r="R460">
        <f t="shared" si="171"/>
        <v>31.775154375751256</v>
      </c>
      <c r="S460" s="5" t="str">
        <f>IFERROR(VLOOKUP(A460,CLIENTE!$A$2:$N$2000,13,0),1)</f>
        <v>Malo</v>
      </c>
      <c r="T460" s="5">
        <f>IFERROR(VLOOKUP(A460,CLIENTE!$A$2:$N$2000,14,0),1)</f>
        <v>0.7</v>
      </c>
      <c r="U460" s="5">
        <f t="shared" si="172"/>
        <v>22.242608063025877</v>
      </c>
      <c r="V460" s="5" t="str">
        <f>IF(U460&gt;=MAX(_xlfn.PERCENTILE.INC($U$2:$U$1194,PARAMS_MODELO!$B$50),PARAMS_MODELO!$B$45),"DIAMANTE",IF(U460&gt;=MAX(_xlfn.PERCENTILE.INC($U$2:$U$1194,PARAMS_MODELO!$B$51),PARAMS_MODELO!$B$46),"PLATINO",IF(U460&gt;=MAX(_xlfn.PERCENTILE.INC($U$2:$U$1194,PARAMS_MODELO!$B$52),PARAMS_MODELO!$B$47),"ORO",IF(U460&gt;=MAX(_xlfn.PERCENTILE.INC($U$2:$U$1194,PARAMS_MODELO!$B$53),PARAMS_MODELO!$B$48),"PLATA",IF(U460&gt;=1,"BRONCE","CERRADO")))))</f>
        <v>BRONCE</v>
      </c>
      <c r="W460" s="5" t="str" cm="1">
        <f t="array" ref="W460">_xlfn.XLOOKUP(1, (HIST_SCORE!$B:$B=PARAMS_MODELO!$B$4) * (HIST_SCORE!$C:$C=A460), HIST_SCORE!$E:$E, "No encontrado")</f>
        <v>BRONCE</v>
      </c>
      <c r="X460" s="5" t="str">
        <f>_xlfn.LET(_xlpm.act,MATCH(V460,{"DIAMANTE";"PLATINO";"ORO";"PLATA";"BRONCE";"CERRADO"},0),_xlpm.ant,MATCH(W460,{"DIAMANTE";"PLATINO";"ORO";"PLATA";"BRONCE";"CERRADO"},0),IF(_xlpm.act&lt;_xlpm.ant,"Mejora ↑",IF(_xlpm.act&gt;_xlpm.ant,"Baja ↓","Estable →")))</f>
        <v>Estable →</v>
      </c>
      <c r="Y460" s="5">
        <f>IFERROR(U460-SUMIFS(HIST_SCORE!$D:$D,HIST_SCORE!$B:$B,PARAMS_MODELO!$B$4,HIST_SCORE!$C:$C,$A460),"")</f>
        <v>1.2943395339987767</v>
      </c>
      <c r="Z460" s="5" t="str">
        <f t="shared" si="173"/>
        <v>→ Estable</v>
      </c>
      <c r="AA460" s="5">
        <f t="shared" si="174"/>
        <v>945</v>
      </c>
      <c r="AB460" s="5">
        <f>IFERROR(SUMIFS(HIST_SCORE!$F:$F,HIST_SCORE!$B:$B,PARAMS_MODELO!$B$4,HIST_SCORE!$C:$C,$A460),"")</f>
        <v>977</v>
      </c>
      <c r="AC460" s="5">
        <f t="shared" si="175"/>
        <v>32</v>
      </c>
      <c r="AD460" t="str">
        <f t="shared" si="177"/>
        <v/>
      </c>
      <c r="AE4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460="CERRADO",1,IF(V460="BRONCE",_xlpm.cPl,IF(V460="PLATA",_xlpm.cO,IF(V460="ORO",_xlpm.cP,IF(V460="PLATINO",_xlpm.cD,999))))))</f>
        <v>24.506573482968111</v>
      </c>
      <c r="AF4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460="CERRADO",0,IF(V460="BRONCE",1,IF(V460="PLATA",_xlpm.cPl,IF(V460="ORO",_xlpm.cO,IF(V460="PLATINO",_xlpm.cP,_xlpm.cD))))))</f>
        <v>1</v>
      </c>
      <c r="AG460">
        <f t="shared" si="178"/>
        <v>3.2342363142031871</v>
      </c>
      <c r="AH460" t="str">
        <f t="shared" si="179"/>
        <v>CLIENTE</v>
      </c>
      <c r="AI460" t="str">
        <f t="shared" si="176"/>
        <v>🎯 Para subir de categoría, la eje con mayor impacto probable es CLIENTE (coef T). Acción: reducir quejas, mejorar incógnito y empujar reseñas. ΔR aprox: 3,2</v>
      </c>
      <c r="AJ460" s="26">
        <f>_xlfn.LET(_xlpm.piso,AF460,_xlpm.corte,AE460,_xlpm.prog,IF(_xlpm.corte&lt;=_xlpm.piso,0,MAX(0,MIN(1,(U460-_xlpm.piso)/(_xlpm.corte-_xlpm.piso)))),_xlpm.orden,{"DIAMANTE";"PLATINO";"ORO";"PLATA";"BRONCE";"CERRADO"},_xlpm.act,IFERROR(MATCH(V460,_xlpm.orden,0),6),_xlpm.ant,IFERROR(MATCH(W460,_xlpm.orden,0),6),_xlpm.ajmov,IF(_xlpm.act&lt;_xlpm.ant,0.08,IF(_xlpm.act&gt;_xlpm.ant,-0.08,0)),_xlpm.ajcli,IF(T460&lt;0.95,-0.06,0),_xlpm.prob,MAX(0,MIN(1,_xlpm.prog+_xlpm.ajmov+_xlpm.ajcli)),IF(OR(V460="DIAMANTE",V460="CERRADO"),0,ROUND(_xlpm.prob,2)))</f>
        <v>0.84</v>
      </c>
      <c r="AK460" t="str">
        <f t="shared" si="180"/>
        <v>Faltan 3,2 puntos base para subir a la siguiente categoría</v>
      </c>
      <c r="AL460" t="str">
        <f t="shared" si="181"/>
        <v>No aplica</v>
      </c>
      <c r="AM460">
        <f t="shared" si="182"/>
        <v>0.39</v>
      </c>
      <c r="AN460" t="str">
        <f t="shared" si="183"/>
        <v>PRIORIDAD BAJA – control normal</v>
      </c>
      <c r="AO460">
        <f t="shared" si="184"/>
        <v>45.403798492706905</v>
      </c>
      <c r="AP460">
        <f t="shared" si="185"/>
        <v>8.7391936974120732E-2</v>
      </c>
      <c r="AQ460">
        <f t="shared" si="186"/>
        <v>0</v>
      </c>
      <c r="AR460">
        <f t="shared" si="187"/>
        <v>2.1699999999999995</v>
      </c>
      <c r="AS460">
        <f t="shared" si="188"/>
        <v>9.532546312725378</v>
      </c>
      <c r="AT460" t="str">
        <f t="shared" si="189"/>
        <v>VENTAS</v>
      </c>
      <c r="AU460">
        <f t="shared" si="190"/>
        <v>45.403798492706905</v>
      </c>
      <c r="AV460" t="str">
        <f t="shared" si="191"/>
        <v>Mayor retorno probable: VENTAS (+45,4 puntos finales potenciales).</v>
      </c>
    </row>
    <row r="461" spans="1:48" x14ac:dyDescent="0.3">
      <c r="A461" s="5">
        <v>51025873</v>
      </c>
      <c r="B461" s="5" t="str">
        <f>IFERROR(VLOOKUP(A461,VENTAS!$A$2:$B$1194,2,0),"")</f>
        <v>ROBERTS</v>
      </c>
      <c r="C461" s="5">
        <f>IFERROR(INDEX(VENTAS!$C$2:$E$1194,MATCH(A461,VENTAS!$A$2:$A$1194,0),MATCH(PARAMS_MODELO!$B$2,{"Q1","Q2","Q3"},0)),0)</f>
        <v>79270429.769999996</v>
      </c>
      <c r="D461" s="5">
        <f>IFERROR(INDEX(VENTAS!$F$2:$H$1194,MATCH(A461,VENTAS!$A$2:$A$1194,0),MATCH(PARAMS_MODELO!$B$2,{"Q1","Q2","Q3"},0)),0)</f>
        <v>81393917</v>
      </c>
      <c r="E461" s="8">
        <f t="shared" si="168"/>
        <v>2.6787885926204957E-2</v>
      </c>
      <c r="F461" s="12">
        <f>IF(E461&lt;=PARAMS_MODELO!$B$15,0,IF(E461&gt;=PARAMS_MODELO!$B$17,100,100*MIN(1,(E461-PARAMS_MODELO!$B$15)/(PARAMS_MODELO!$B$16-PARAMS_MODELO!$B$15))))*PARAMS_MODELO!$B$7</f>
        <v>9.3757600741717351</v>
      </c>
      <c r="G461" s="5">
        <f t="shared" si="169"/>
        <v>2123487.2300000042</v>
      </c>
      <c r="H461" s="5">
        <f>(PARAMS_MODELO!$B$20*(MAX(0,MIN(3,E461))/3)+PARAMS_MODELO!$B$21*(IFERROR(LN(1+MAX(0,G461))/LN(1+MAX(0,MAX($G$2:$G$1194))),0)))*100*PARAMS_MODELO!$B$8</f>
        <v>3.5088339568894131</v>
      </c>
      <c r="I461" s="8">
        <f>E461-PARAMS_MODELO!$B$5</f>
        <v>-0.15077494944932157</v>
      </c>
      <c r="J461" s="5">
        <f>IF(I461&lt;=PARAMS_MODELO!$B$18,0,IF(I461&gt;=PARAMS_MODELO!$B$19,100,100*(I461-PARAMS_MODELO!$B$18)/(PARAMS_MODELO!$B$19-PARAMS_MODELO!$B$18)))*PARAMS_MODELO!$B$9</f>
        <v>0</v>
      </c>
      <c r="K461" s="5">
        <f>IFERROR(CHOOSE(MATCH(PARAMS_MODELO!$B$2,{"Q1","Q2","Q3"},0),LOTO!$D461,LOTO!$F461,LOTO!$H461),0)</f>
        <v>4037500</v>
      </c>
      <c r="L461" s="8">
        <f t="shared" si="170"/>
        <v>4.9604444027432665E-2</v>
      </c>
      <c r="M461" s="5">
        <f>MIN(100,IF(PARAMS_MODELO!$B$23=0,0,100*L461/PARAMS_MODELO!$B$23))*PARAMS_MODELO!$B$10</f>
        <v>14.881333208229796</v>
      </c>
      <c r="N461" s="5">
        <f>IFERROR(VLOOKUP(A461,COMPLIANCE!$A$2:$F$1996,6,0),100)</f>
        <v>99.83</v>
      </c>
      <c r="O461" s="5">
        <f>N461*PARAMS_MODELO!$B$11</f>
        <v>9.9830000000000005</v>
      </c>
      <c r="P461" s="5">
        <f>IFERROR(VLOOKUP(A461,DIGITAL!$A$2:$J$2000,7,0),100)</f>
        <v>82</v>
      </c>
      <c r="Q461" s="5">
        <f>IFERROR(P461,0)*PARAMS_MODELO!$B$12</f>
        <v>8.2000000000000011</v>
      </c>
      <c r="R461">
        <f t="shared" si="171"/>
        <v>45.948927239290953</v>
      </c>
      <c r="S461" s="5" t="str">
        <f>IFERROR(VLOOKUP(A461,CLIENTE!$A$2:$N$2000,13,0),1)</f>
        <v>Malo</v>
      </c>
      <c r="T461" s="5">
        <f>IFERROR(VLOOKUP(A461,CLIENTE!$A$2:$N$2000,14,0),1)</f>
        <v>0.7</v>
      </c>
      <c r="U461" s="5">
        <f t="shared" si="172"/>
        <v>32.164249067503668</v>
      </c>
      <c r="V461" s="5" t="str">
        <f>IF(U461&gt;=MAX(_xlfn.PERCENTILE.INC($U$2:$U$1194,PARAMS_MODELO!$B$50),PARAMS_MODELO!$B$45),"DIAMANTE",IF(U461&gt;=MAX(_xlfn.PERCENTILE.INC($U$2:$U$1194,PARAMS_MODELO!$B$51),PARAMS_MODELO!$B$46),"PLATINO",IF(U461&gt;=MAX(_xlfn.PERCENTILE.INC($U$2:$U$1194,PARAMS_MODELO!$B$52),PARAMS_MODELO!$B$47),"ORO",IF(U461&gt;=MAX(_xlfn.PERCENTILE.INC($U$2:$U$1194,PARAMS_MODELO!$B$53),PARAMS_MODELO!$B$48),"PLATA",IF(U461&gt;=1,"BRONCE","CERRADO")))))</f>
        <v>PLATA</v>
      </c>
      <c r="W461" s="5" t="str" cm="1">
        <f t="array" ref="W461">_xlfn.XLOOKUP(1, (HIST_SCORE!$B:$B=PARAMS_MODELO!$B$4) * (HIST_SCORE!$C:$C=A461), HIST_SCORE!$E:$E, "No encontrado")</f>
        <v>PLATA</v>
      </c>
      <c r="X461" s="5" t="str">
        <f>_xlfn.LET(_xlpm.act,MATCH(V461,{"DIAMANTE";"PLATINO";"ORO";"PLATA";"BRONCE";"CERRADO"},0),_xlpm.ant,MATCH(W461,{"DIAMANTE";"PLATINO";"ORO";"PLATA";"BRONCE";"CERRADO"},0),IF(_xlpm.act&lt;_xlpm.ant,"Mejora ↑",IF(_xlpm.act&gt;_xlpm.ant,"Baja ↓","Estable →")))</f>
        <v>Estable →</v>
      </c>
      <c r="Y461" s="5">
        <f>IFERROR(U461-SUMIFS(HIST_SCORE!$D:$D,HIST_SCORE!$B:$B,PARAMS_MODELO!$B$4,HIST_SCORE!$C:$C,$A461),"")</f>
        <v>-27.245377461893462</v>
      </c>
      <c r="Z461" s="5" t="str">
        <f t="shared" si="173"/>
        <v>↓ Baja</v>
      </c>
      <c r="AA461" s="5">
        <f t="shared" si="174"/>
        <v>835</v>
      </c>
      <c r="AB461" s="5">
        <f>IFERROR(SUMIFS(HIST_SCORE!$F:$F,HIST_SCORE!$B:$B,PARAMS_MODELO!$B$4,HIST_SCORE!$C:$C,$A461),"")</f>
        <v>660</v>
      </c>
      <c r="AC461" s="5">
        <f t="shared" si="175"/>
        <v>-175</v>
      </c>
      <c r="AD461" t="str">
        <f t="shared" si="177"/>
        <v/>
      </c>
      <c r="AE4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461="CERRADO",1,IF(V461="BRONCE",_xlpm.cPl,IF(V461="PLATA",_xlpm.cO,IF(V461="ORO",_xlpm.cP,IF(V461="PLATINO",_xlpm.cD,999))))))</f>
        <v>63.199193273331495</v>
      </c>
      <c r="AF4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461="CERRADO",0,IF(V461="BRONCE",1,IF(V461="PLATA",_xlpm.cPl,IF(V461="ORO",_xlpm.cO,IF(V461="PLATINO",_xlpm.cP,_xlpm.cD))))))</f>
        <v>24.506573482968111</v>
      </c>
      <c r="AG461">
        <f t="shared" si="178"/>
        <v>44.335634579754043</v>
      </c>
      <c r="AH461" t="str">
        <f t="shared" si="179"/>
        <v>VENTAS</v>
      </c>
      <c r="AI461" t="str">
        <f t="shared" si="176"/>
        <v>🎯 Para subir de categoría, eje VENTAS / DIFERENCIAL vs LOTBA (J). Acción: metas semanales + activación comercial + seguimiento del asesor. ΔR aprox: 44,3</v>
      </c>
      <c r="AJ461" s="26">
        <f>_xlfn.LET(_xlpm.piso,AF461,_xlpm.corte,AE461,_xlpm.prog,IF(_xlpm.corte&lt;=_xlpm.piso,0,MAX(0,MIN(1,(U461-_xlpm.piso)/(_xlpm.corte-_xlpm.piso)))),_xlpm.orden,{"DIAMANTE";"PLATINO";"ORO";"PLATA";"BRONCE";"CERRADO"},_xlpm.act,IFERROR(MATCH(V461,_xlpm.orden,0),6),_xlpm.ant,IFERROR(MATCH(W461,_xlpm.orden,0),6),_xlpm.ajmov,IF(_xlpm.act&lt;_xlpm.ant,0.08,IF(_xlpm.act&gt;_xlpm.ant,-0.08,0)),_xlpm.ajcli,IF(T461&lt;0.95,-0.06,0),_xlpm.prob,MAX(0,MIN(1,_xlpm.prog+_xlpm.ajmov+_xlpm.ajcli)),IF(OR(V461="DIAMANTE",V461="CERRADO"),0,ROUND(_xlpm.prob,2)))</f>
        <v>0.14000000000000001</v>
      </c>
      <c r="AK461" t="str">
        <f t="shared" si="180"/>
        <v>Faltan 44,3 puntos base para subir a la siguiente categoría</v>
      </c>
      <c r="AL461" t="str">
        <f t="shared" si="181"/>
        <v>Margen de seguridad: 7,7 puntos</v>
      </c>
      <c r="AM461">
        <f t="shared" si="182"/>
        <v>0.94</v>
      </c>
      <c r="AN461" t="str">
        <f t="shared" si="183"/>
        <v>PRIORIDAD ALTA – requiere intervención inmediata</v>
      </c>
      <c r="AO461">
        <f t="shared" si="184"/>
        <v>36.3845826709641</v>
      </c>
      <c r="AP461">
        <f t="shared" si="185"/>
        <v>8.3066754239142948E-2</v>
      </c>
      <c r="AQ461">
        <f t="shared" si="186"/>
        <v>1.1899999999999621E-2</v>
      </c>
      <c r="AR461">
        <f t="shared" si="187"/>
        <v>1.2599999999999991</v>
      </c>
      <c r="AS461">
        <f t="shared" si="188"/>
        <v>13.784678171787288</v>
      </c>
      <c r="AT461" t="str">
        <f t="shared" si="189"/>
        <v>VENTAS</v>
      </c>
      <c r="AU461">
        <f t="shared" si="190"/>
        <v>36.3845826709641</v>
      </c>
      <c r="AV461" t="str">
        <f t="shared" si="191"/>
        <v>Mayor retorno probable: VENTAS (+36,4 puntos finales potenciales).</v>
      </c>
    </row>
    <row r="462" spans="1:48" x14ac:dyDescent="0.3">
      <c r="A462" s="5">
        <v>51034155</v>
      </c>
      <c r="B462" s="5" t="str">
        <f>IFERROR(VLOOKUP(A462,VENTAS!$A$2:$B$1194,2,0),"")</f>
        <v>ROBERTS</v>
      </c>
      <c r="C462" s="5">
        <f>IFERROR(INDEX(VENTAS!$C$2:$E$1194,MATCH(A462,VENTAS!$A$2:$A$1194,0),MATCH(PARAMS_MODELO!$B$2,{"Q1","Q2","Q3"},0)),0)</f>
        <v>81089123.140000001</v>
      </c>
      <c r="D462" s="5">
        <f>IFERROR(INDEX(VENTAS!$F$2:$H$1194,MATCH(A462,VENTAS!$A$2:$A$1194,0),MATCH(PARAMS_MODELO!$B$2,{"Q1","Q2","Q3"},0)),0)</f>
        <v>81380304</v>
      </c>
      <c r="E462" s="8">
        <f t="shared" si="168"/>
        <v>3.5908744443724494E-3</v>
      </c>
      <c r="F462" s="12">
        <f>IF(E462&lt;=PARAMS_MODELO!$B$15,0,IF(E462&gt;=PARAMS_MODELO!$B$17,100,100*MIN(1,(E462-PARAMS_MODELO!$B$15)/(PARAMS_MODELO!$B$16-PARAMS_MODELO!$B$15))))*PARAMS_MODELO!$B$7</f>
        <v>1.2568060555303573</v>
      </c>
      <c r="G462" s="5">
        <f t="shared" si="169"/>
        <v>291180.8599999994</v>
      </c>
      <c r="H462" s="5">
        <f>(PARAMS_MODELO!$B$20*(MAX(0,MIN(3,E462))/3)+PARAMS_MODELO!$B$21*(IFERROR(LN(1+MAX(0,G462))/LN(1+MAX(0,MAX($G$2:$G$1194))),0)))*100*PARAMS_MODELO!$B$8</f>
        <v>2.9618949632426244</v>
      </c>
      <c r="I462" s="8">
        <f>E462-PARAMS_MODELO!$B$5</f>
        <v>-0.17397196093115408</v>
      </c>
      <c r="J462" s="5">
        <f>IF(I462&lt;=PARAMS_MODELO!$B$18,0,IF(I462&gt;=PARAMS_MODELO!$B$19,100,100*(I462-PARAMS_MODELO!$B$18)/(PARAMS_MODELO!$B$19-PARAMS_MODELO!$B$18)))*PARAMS_MODELO!$B$9</f>
        <v>0</v>
      </c>
      <c r="K462" s="5">
        <f>IFERROR(CHOOSE(MATCH(PARAMS_MODELO!$B$2,{"Q1","Q2","Q3"},0),LOTO!$D462,LOTO!$F462,LOTO!$H462),0)</f>
        <v>4030000</v>
      </c>
      <c r="L462" s="8">
        <f t="shared" si="170"/>
        <v>4.9520581785981038E-2</v>
      </c>
      <c r="M462" s="5">
        <f>MIN(100,IF(PARAMS_MODELO!$B$23=0,0,100*L462/PARAMS_MODELO!$B$23))*PARAMS_MODELO!$B$10</f>
        <v>14.856174535794308</v>
      </c>
      <c r="N462" s="5">
        <f>IFERROR(VLOOKUP(A462,COMPLIANCE!$A$2:$F$1996,6,0),100)</f>
        <v>100</v>
      </c>
      <c r="O462" s="5">
        <f>N462*PARAMS_MODELO!$B$11</f>
        <v>10</v>
      </c>
      <c r="P462" s="5">
        <f>IFERROR(VLOOKUP(A462,DIGITAL!$A$2:$J$2000,7,0),100)</f>
        <v>72</v>
      </c>
      <c r="Q462" s="5">
        <f>IFERROR(P462,0)*PARAMS_MODELO!$B$12</f>
        <v>7.2</v>
      </c>
      <c r="R462">
        <f t="shared" si="171"/>
        <v>36.274875554567288</v>
      </c>
      <c r="S462" s="5" t="str">
        <f>IFERROR(VLOOKUP(A462,CLIENTE!$A$2:$N$2000,13,0),1)</f>
        <v>Regular</v>
      </c>
      <c r="T462" s="5">
        <f>IFERROR(VLOOKUP(A462,CLIENTE!$A$2:$N$2000,14,0),1)</f>
        <v>1</v>
      </c>
      <c r="U462" s="5">
        <f t="shared" si="172"/>
        <v>36.274875554567288</v>
      </c>
      <c r="V462" s="5" t="str">
        <f>IF(U462&gt;=MAX(_xlfn.PERCENTILE.INC($U$2:$U$1194,PARAMS_MODELO!$B$50),PARAMS_MODELO!$B$45),"DIAMANTE",IF(U462&gt;=MAX(_xlfn.PERCENTILE.INC($U$2:$U$1194,PARAMS_MODELO!$B$51),PARAMS_MODELO!$B$46),"PLATINO",IF(U462&gt;=MAX(_xlfn.PERCENTILE.INC($U$2:$U$1194,PARAMS_MODELO!$B$52),PARAMS_MODELO!$B$47),"ORO",IF(U462&gt;=MAX(_xlfn.PERCENTILE.INC($U$2:$U$1194,PARAMS_MODELO!$B$53),PARAMS_MODELO!$B$48),"PLATA",IF(U462&gt;=1,"BRONCE","CERRADO")))))</f>
        <v>PLATA</v>
      </c>
      <c r="W462" s="5" t="str" cm="1">
        <f t="array" ref="W462">_xlfn.XLOOKUP(1, (HIST_SCORE!$B:$B=PARAMS_MODELO!$B$4) * (HIST_SCORE!$C:$C=A462), HIST_SCORE!$E:$E, "No encontrado")</f>
        <v>ORO</v>
      </c>
      <c r="X462" s="5" t="str">
        <f>_xlfn.LET(_xlpm.act,MATCH(V462,{"DIAMANTE";"PLATINO";"ORO";"PLATA";"BRONCE";"CERRADO"},0),_xlpm.ant,MATCH(W462,{"DIAMANTE";"PLATINO";"ORO";"PLATA";"BRONCE";"CERRADO"},0),IF(_xlpm.act&lt;_xlpm.ant,"Mejora ↑",IF(_xlpm.act&gt;_xlpm.ant,"Baja ↓","Estable →")))</f>
        <v>Baja ↓</v>
      </c>
      <c r="Y462" s="5">
        <f>IFERROR(U462-SUMIFS(HIST_SCORE!$D:$D,HIST_SCORE!$B:$B,PARAMS_MODELO!$B$4,HIST_SCORE!$C:$C,$A462),"")</f>
        <v>-34.134397577443323</v>
      </c>
      <c r="Z462" s="5" t="str">
        <f t="shared" si="173"/>
        <v>↓ Baja</v>
      </c>
      <c r="AA462" s="5">
        <f t="shared" si="174"/>
        <v>803</v>
      </c>
      <c r="AB462" s="5">
        <f>IFERROR(SUMIFS(HIST_SCORE!$F:$F,HIST_SCORE!$B:$B,PARAMS_MODELO!$B$4,HIST_SCORE!$C:$C,$A462),"")</f>
        <v>537</v>
      </c>
      <c r="AC462" s="5">
        <f t="shared" si="175"/>
        <v>-266</v>
      </c>
      <c r="AD462" t="str">
        <f t="shared" si="177"/>
        <v/>
      </c>
      <c r="AE4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462="CERRADO",1,IF(V462="BRONCE",_xlpm.cPl,IF(V462="PLATA",_xlpm.cO,IF(V462="ORO",_xlpm.cP,IF(V462="PLATINO",_xlpm.cD,999))))))</f>
        <v>63.199193273331495</v>
      </c>
      <c r="AF4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462="CERRADO",0,IF(V462="BRONCE",1,IF(V462="PLATA",_xlpm.cPl,IF(V462="ORO",_xlpm.cO,IF(V462="PLATINO",_xlpm.cP,_xlpm.cD))))))</f>
        <v>24.506573482968111</v>
      </c>
      <c r="AG462">
        <f t="shared" si="178"/>
        <v>26.924317718764208</v>
      </c>
      <c r="AH462" t="str">
        <f t="shared" si="179"/>
        <v>VENTAS</v>
      </c>
      <c r="AI462" t="str">
        <f t="shared" si="176"/>
        <v>🎯 Para subir de categoría, eje VENTAS / DIFERENCIAL vs LOTBA (J). Acción: metas semanales + activación comercial + seguimiento del asesor. ΔR aprox: 26,9</v>
      </c>
      <c r="AJ462" s="26">
        <f>_xlfn.LET(_xlpm.piso,AF462,_xlpm.corte,AE462,_xlpm.prog,IF(_xlpm.corte&lt;=_xlpm.piso,0,MAX(0,MIN(1,(U462-_xlpm.piso)/(_xlpm.corte-_xlpm.piso)))),_xlpm.orden,{"DIAMANTE";"PLATINO";"ORO";"PLATA";"BRONCE";"CERRADO"},_xlpm.act,IFERROR(MATCH(V462,_xlpm.orden,0),6),_xlpm.ant,IFERROR(MATCH(W462,_xlpm.orden,0),6),_xlpm.ajmov,IF(_xlpm.act&lt;_xlpm.ant,0.08,IF(_xlpm.act&gt;_xlpm.ant,-0.08,0)),_xlpm.ajcli,IF(T462&lt;0.95,-0.06,0),_xlpm.prob,MAX(0,MIN(1,_xlpm.prog+_xlpm.ajmov+_xlpm.ajcli)),IF(OR(V462="DIAMANTE",V462="CERRADO"),0,ROUND(_xlpm.prob,2)))</f>
        <v>0.22</v>
      </c>
      <c r="AK462" t="str">
        <f t="shared" si="180"/>
        <v>Faltan 26,9 puntos base para subir a la siguiente categoría</v>
      </c>
      <c r="AL462" t="str">
        <f t="shared" si="181"/>
        <v>Margen de seguridad: 11,8 puntos</v>
      </c>
      <c r="AM462">
        <f t="shared" si="182"/>
        <v>0.71</v>
      </c>
      <c r="AN462" t="str">
        <f t="shared" si="183"/>
        <v>PRIORIDAD ALTA – requiere intervención inmediata</v>
      </c>
      <c r="AO462">
        <f t="shared" si="184"/>
        <v>60.643868256522602</v>
      </c>
      <c r="AP462">
        <f t="shared" si="185"/>
        <v>0.1438254642056922</v>
      </c>
      <c r="AQ462">
        <f t="shared" si="186"/>
        <v>0</v>
      </c>
      <c r="AR462">
        <f t="shared" si="187"/>
        <v>2.8</v>
      </c>
      <c r="AS462">
        <f t="shared" si="188"/>
        <v>0</v>
      </c>
      <c r="AT462" t="str">
        <f t="shared" si="189"/>
        <v>VENTAS</v>
      </c>
      <c r="AU462">
        <f t="shared" si="190"/>
        <v>60.643868256522602</v>
      </c>
      <c r="AV462" t="str">
        <f t="shared" si="191"/>
        <v>Mayor retorno probable: VENTAS (+60,6 puntos finales potenciales).</v>
      </c>
    </row>
    <row r="463" spans="1:48" x14ac:dyDescent="0.3">
      <c r="A463" s="5">
        <v>51021207</v>
      </c>
      <c r="B463" s="5" t="str">
        <f>IFERROR(VLOOKUP(A463,VENTAS!$A$2:$B$1194,2,0),"")</f>
        <v>NELLI</v>
      </c>
      <c r="C463" s="5">
        <f>IFERROR(INDEX(VENTAS!$C$2:$E$1194,MATCH(A463,VENTAS!$A$2:$A$1194,0),MATCH(PARAMS_MODELO!$B$2,{"Q1","Q2","Q3"},0)),0)</f>
        <v>98272796.290000007</v>
      </c>
      <c r="D463" s="5">
        <f>IFERROR(INDEX(VENTAS!$F$2:$H$1194,MATCH(A463,VENTAS!$A$2:$A$1194,0),MATCH(PARAMS_MODELO!$B$2,{"Q1","Q2","Q3"},0)),0)</f>
        <v>81229410</v>
      </c>
      <c r="E463" s="8">
        <f t="shared" si="168"/>
        <v>-0.1734293409104336</v>
      </c>
      <c r="F463" s="12">
        <f>IF(E463&lt;=PARAMS_MODELO!$B$15,0,IF(E463&gt;=PARAMS_MODELO!$B$17,100,100*MIN(1,(E463-PARAMS_MODELO!$B$15)/(PARAMS_MODELO!$B$16-PARAMS_MODELO!$B$15))))*PARAMS_MODELO!$B$7</f>
        <v>0</v>
      </c>
      <c r="G463" s="5">
        <f t="shared" si="169"/>
        <v>0</v>
      </c>
      <c r="H463" s="5">
        <f>(PARAMS_MODELO!$B$20*(MAX(0,MIN(3,E463))/3)+PARAMS_MODELO!$B$21*(IFERROR(LN(1+MAX(0,G463))/LN(1+MAX(0,MAX($G$2:$G$1194))),0)))*100*PARAMS_MODELO!$B$8</f>
        <v>0</v>
      </c>
      <c r="I463" s="8">
        <f>E463-PARAMS_MODELO!$B$5</f>
        <v>-0.35099217628596013</v>
      </c>
      <c r="J463" s="5">
        <f>IF(I463&lt;=PARAMS_MODELO!$B$18,0,IF(I463&gt;=PARAMS_MODELO!$B$19,100,100*(I463-PARAMS_MODELO!$B$18)/(PARAMS_MODELO!$B$19-PARAMS_MODELO!$B$18)))*PARAMS_MODELO!$B$9</f>
        <v>0</v>
      </c>
      <c r="K463" s="5">
        <f>IFERROR(CHOOSE(MATCH(PARAMS_MODELO!$B$2,{"Q1","Q2","Q3"},0),LOTO!$D463,LOTO!$F463,LOTO!$H463),0)</f>
        <v>4020000</v>
      </c>
      <c r="L463" s="8">
        <f t="shared" si="170"/>
        <v>4.9489464468595798E-2</v>
      </c>
      <c r="M463" s="5">
        <f>MIN(100,IF(PARAMS_MODELO!$B$23=0,0,100*L463/PARAMS_MODELO!$B$23))*PARAMS_MODELO!$B$10</f>
        <v>14.84683934057874</v>
      </c>
      <c r="N463" s="5">
        <f>IFERROR(VLOOKUP(A463,COMPLIANCE!$A$2:$F$1996,6,0),100)</f>
        <v>100</v>
      </c>
      <c r="O463" s="5">
        <f>N463*PARAMS_MODELO!$B$11</f>
        <v>10</v>
      </c>
      <c r="P463" s="5">
        <f>IFERROR(VLOOKUP(A463,DIGITAL!$A$2:$J$2000,7,0),100)</f>
        <v>9</v>
      </c>
      <c r="Q463" s="5">
        <f>IFERROR(P463,0)*PARAMS_MODELO!$B$12</f>
        <v>0.9</v>
      </c>
      <c r="R463">
        <f t="shared" si="171"/>
        <v>25.746839340578738</v>
      </c>
      <c r="S463" s="5" t="str">
        <f>IFERROR(VLOOKUP(A463,CLIENTE!$A$2:$N$2000,13,0),1)</f>
        <v>Malo</v>
      </c>
      <c r="T463" s="5">
        <f>IFERROR(VLOOKUP(A463,CLIENTE!$A$2:$N$2000,14,0),1)</f>
        <v>0.7</v>
      </c>
      <c r="U463" s="5">
        <f t="shared" si="172"/>
        <v>18.022787538405115</v>
      </c>
      <c r="V463" s="5" t="str">
        <f>IF(U463&gt;=MAX(_xlfn.PERCENTILE.INC($U$2:$U$1194,PARAMS_MODELO!$B$50),PARAMS_MODELO!$B$45),"DIAMANTE",IF(U463&gt;=MAX(_xlfn.PERCENTILE.INC($U$2:$U$1194,PARAMS_MODELO!$B$51),PARAMS_MODELO!$B$46),"PLATINO",IF(U463&gt;=MAX(_xlfn.PERCENTILE.INC($U$2:$U$1194,PARAMS_MODELO!$B$52),PARAMS_MODELO!$B$47),"ORO",IF(U463&gt;=MAX(_xlfn.PERCENTILE.INC($U$2:$U$1194,PARAMS_MODELO!$B$53),PARAMS_MODELO!$B$48),"PLATA",IF(U463&gt;=1,"BRONCE","CERRADO")))))</f>
        <v>BRONCE</v>
      </c>
      <c r="W463" s="5" t="str" cm="1">
        <f t="array" ref="W463">_xlfn.XLOOKUP(1, (HIST_SCORE!$B:$B=PARAMS_MODELO!$B$4) * (HIST_SCORE!$C:$C=A463), HIST_SCORE!$E:$E, "No encontrado")</f>
        <v>PLATA</v>
      </c>
      <c r="X463" s="5" t="str">
        <f>_xlfn.LET(_xlpm.act,MATCH(V463,{"DIAMANTE";"PLATINO";"ORO";"PLATA";"BRONCE";"CERRADO"},0),_xlpm.ant,MATCH(W463,{"DIAMANTE";"PLATINO";"ORO";"PLATA";"BRONCE";"CERRADO"},0),IF(_xlpm.act&lt;_xlpm.ant,"Mejora ↑",IF(_xlpm.act&gt;_xlpm.ant,"Baja ↓","Estable →")))</f>
        <v>Baja ↓</v>
      </c>
      <c r="Y463" s="5">
        <f>IFERROR(U463-SUMIFS(HIST_SCORE!$D:$D,HIST_SCORE!$B:$B,PARAMS_MODELO!$B$4,HIST_SCORE!$C:$C,$A463),"")</f>
        <v>-23.415667858302061</v>
      </c>
      <c r="Z463" s="5" t="str">
        <f t="shared" si="173"/>
        <v>↓ Baja</v>
      </c>
      <c r="AA463" s="5">
        <f t="shared" si="174"/>
        <v>1030</v>
      </c>
      <c r="AB463" s="5">
        <f>IFERROR(SUMIFS(HIST_SCORE!$F:$F,HIST_SCORE!$B:$B,PARAMS_MODELO!$B$4,HIST_SCORE!$C:$C,$A463),"")</f>
        <v>842</v>
      </c>
      <c r="AC463" s="5">
        <f t="shared" si="175"/>
        <v>-188</v>
      </c>
      <c r="AD463" t="str">
        <f t="shared" si="177"/>
        <v>Plan de recuperación: foco crecimiento + mix</v>
      </c>
      <c r="AE4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463="CERRADO",1,IF(V463="BRONCE",_xlpm.cPl,IF(V463="PLATA",_xlpm.cO,IF(V463="ORO",_xlpm.cP,IF(V463="PLATINO",_xlpm.cD,999))))))</f>
        <v>24.506573482968111</v>
      </c>
      <c r="AF4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463="CERRADO",0,IF(V463="BRONCE",1,IF(V463="PLATA",_xlpm.cPl,IF(V463="ORO",_xlpm.cO,IF(V463="PLATINO",_xlpm.cP,_xlpm.cD))))))</f>
        <v>1</v>
      </c>
      <c r="AG463">
        <f t="shared" si="178"/>
        <v>9.2625513493757055</v>
      </c>
      <c r="AH463" t="str">
        <f t="shared" si="179"/>
        <v>CLIENTE</v>
      </c>
      <c r="AI463" t="str">
        <f t="shared" si="176"/>
        <v>🎯 Para subir de categoría, la eje con mayor impacto probable es CLIENTE (coef T). Acción: reducir quejas, mejorar incógnito y empujar reseñas. ΔR aprox: 9,3</v>
      </c>
      <c r="AJ463" s="26">
        <f>_xlfn.LET(_xlpm.piso,AF463,_xlpm.corte,AE463,_xlpm.prog,IF(_xlpm.corte&lt;=_xlpm.piso,0,MAX(0,MIN(1,(U463-_xlpm.piso)/(_xlpm.corte-_xlpm.piso)))),_xlpm.orden,{"DIAMANTE";"PLATINO";"ORO";"PLATA";"BRONCE";"CERRADO"},_xlpm.act,IFERROR(MATCH(V463,_xlpm.orden,0),6),_xlpm.ant,IFERROR(MATCH(W463,_xlpm.orden,0),6),_xlpm.ajmov,IF(_xlpm.act&lt;_xlpm.ant,0.08,IF(_xlpm.act&gt;_xlpm.ant,-0.08,0)),_xlpm.ajcli,IF(T463&lt;0.95,-0.06,0),_xlpm.prob,MAX(0,MIN(1,_xlpm.prog+_xlpm.ajmov+_xlpm.ajcli)),IF(OR(V463="DIAMANTE",V463="CERRADO"),0,ROUND(_xlpm.prob,2)))</f>
        <v>0.57999999999999996</v>
      </c>
      <c r="AK463" t="str">
        <f t="shared" si="180"/>
        <v>Faltan 9,3 puntos base para subir a la siguiente categoría</v>
      </c>
      <c r="AL463" t="str">
        <f t="shared" si="181"/>
        <v>No aplica</v>
      </c>
      <c r="AM463">
        <f t="shared" si="182"/>
        <v>0.74</v>
      </c>
      <c r="AN463" t="str">
        <f t="shared" si="183"/>
        <v>PRIORIDAD ALTA – requiere intervención inmediata</v>
      </c>
      <c r="AO463">
        <f t="shared" si="184"/>
        <v>45.403798492706905</v>
      </c>
      <c r="AP463">
        <f t="shared" si="185"/>
        <v>0.10721246159488231</v>
      </c>
      <c r="AQ463">
        <f t="shared" si="186"/>
        <v>0</v>
      </c>
      <c r="AR463">
        <f t="shared" si="187"/>
        <v>6.3699999999999992</v>
      </c>
      <c r="AS463">
        <f t="shared" si="188"/>
        <v>7.7240518021736229</v>
      </c>
      <c r="AT463" t="str">
        <f t="shared" si="189"/>
        <v>VENTAS</v>
      </c>
      <c r="AU463">
        <f t="shared" si="190"/>
        <v>45.403798492706905</v>
      </c>
      <c r="AV463" t="str">
        <f t="shared" si="191"/>
        <v>Mayor retorno probable: VENTAS (+45,4 puntos finales potenciales).</v>
      </c>
    </row>
    <row r="464" spans="1:48" x14ac:dyDescent="0.3">
      <c r="A464" s="5">
        <v>51054831</v>
      </c>
      <c r="B464" s="5" t="str">
        <f>IFERROR(VLOOKUP(A464,VENTAS!$A$2:$B$1194,2,0),"")</f>
        <v>NELLI</v>
      </c>
      <c r="C464" s="5">
        <f>IFERROR(INDEX(VENTAS!$C$2:$E$1194,MATCH(A464,VENTAS!$A$2:$A$1194,0),MATCH(PARAMS_MODELO!$B$2,{"Q1","Q2","Q3"},0)),0)</f>
        <v>119463875.3</v>
      </c>
      <c r="D464" s="5">
        <f>IFERROR(INDEX(VENTAS!$F$2:$H$1194,MATCH(A464,VENTAS!$A$2:$A$1194,0),MATCH(PARAMS_MODELO!$B$2,{"Q1","Q2","Q3"},0)),0)</f>
        <v>81175770</v>
      </c>
      <c r="E464" s="8">
        <f t="shared" si="168"/>
        <v>-0.32049944139054731</v>
      </c>
      <c r="F464" s="12">
        <f>IF(E464&lt;=PARAMS_MODELO!$B$15,0,IF(E464&gt;=PARAMS_MODELO!$B$17,100,100*MIN(1,(E464-PARAMS_MODELO!$B$15)/(PARAMS_MODELO!$B$16-PARAMS_MODELO!$B$15))))*PARAMS_MODELO!$B$7</f>
        <v>0</v>
      </c>
      <c r="G464" s="5">
        <f t="shared" si="169"/>
        <v>0</v>
      </c>
      <c r="H464" s="5">
        <f>(PARAMS_MODELO!$B$20*(MAX(0,MIN(3,E464))/3)+PARAMS_MODELO!$B$21*(IFERROR(LN(1+MAX(0,G464))/LN(1+MAX(0,MAX($G$2:$G$1194))),0)))*100*PARAMS_MODELO!$B$8</f>
        <v>0</v>
      </c>
      <c r="I464" s="8">
        <f>E464-PARAMS_MODELO!$B$5</f>
        <v>-0.49806227676607384</v>
      </c>
      <c r="J464" s="5">
        <f>IF(I464&lt;=PARAMS_MODELO!$B$18,0,IF(I464&gt;=PARAMS_MODELO!$B$19,100,100*(I464-PARAMS_MODELO!$B$18)/(PARAMS_MODELO!$B$19-PARAMS_MODELO!$B$18)))*PARAMS_MODELO!$B$9</f>
        <v>0</v>
      </c>
      <c r="K464" s="5">
        <f>IFERROR(CHOOSE(MATCH(PARAMS_MODELO!$B$2,{"Q1","Q2","Q3"},0),LOTO!$D464,LOTO!$F464,LOTO!$H464),0)</f>
        <v>4017500</v>
      </c>
      <c r="L464" s="8">
        <f t="shared" si="170"/>
        <v>4.9491369161019351E-2</v>
      </c>
      <c r="M464" s="5">
        <f>MIN(100,IF(PARAMS_MODELO!$B$23=0,0,100*L464/PARAMS_MODELO!$B$23))*PARAMS_MODELO!$B$10</f>
        <v>14.847410748305805</v>
      </c>
      <c r="N464" s="5">
        <f>IFERROR(VLOOKUP(A464,COMPLIANCE!$A$2:$F$1996,6,0),100)</f>
        <v>99.98</v>
      </c>
      <c r="O464" s="5">
        <f>N464*PARAMS_MODELO!$B$11</f>
        <v>9.9980000000000011</v>
      </c>
      <c r="P464" s="5">
        <f>IFERROR(VLOOKUP(A464,DIGITAL!$A$2:$J$2000,7,0),100)</f>
        <v>1</v>
      </c>
      <c r="Q464" s="5">
        <f>IFERROR(P464,0)*PARAMS_MODELO!$B$12</f>
        <v>0.1</v>
      </c>
      <c r="R464">
        <f t="shared" si="171"/>
        <v>24.945410748305807</v>
      </c>
      <c r="S464" s="5" t="str">
        <f>IFERROR(VLOOKUP(A464,CLIENTE!$A$2:$N$2000,13,0),1)</f>
        <v>Bueno</v>
      </c>
      <c r="T464" s="5">
        <f>IFERROR(VLOOKUP(A464,CLIENTE!$A$2:$N$2000,14,0),1)</f>
        <v>1.1000000000000001</v>
      </c>
      <c r="U464" s="5">
        <f t="shared" si="172"/>
        <v>27.43995182313639</v>
      </c>
      <c r="V464" s="5" t="str">
        <f>IF(U464&gt;=MAX(_xlfn.PERCENTILE.INC($U$2:$U$1194,PARAMS_MODELO!$B$50),PARAMS_MODELO!$B$45),"DIAMANTE",IF(U464&gt;=MAX(_xlfn.PERCENTILE.INC($U$2:$U$1194,PARAMS_MODELO!$B$51),PARAMS_MODELO!$B$46),"PLATINO",IF(U464&gt;=MAX(_xlfn.PERCENTILE.INC($U$2:$U$1194,PARAMS_MODELO!$B$52),PARAMS_MODELO!$B$47),"ORO",IF(U464&gt;=MAX(_xlfn.PERCENTILE.INC($U$2:$U$1194,PARAMS_MODELO!$B$53),PARAMS_MODELO!$B$48),"PLATA",IF(U464&gt;=1,"BRONCE","CERRADO")))))</f>
        <v>PLATA</v>
      </c>
      <c r="W464" s="5" t="str" cm="1">
        <f t="array" ref="W464">_xlfn.XLOOKUP(1, (HIST_SCORE!$B:$B=PARAMS_MODELO!$B$4) * (HIST_SCORE!$C:$C=A464), HIST_SCORE!$E:$E, "No encontrado")</f>
        <v>BRONCE</v>
      </c>
      <c r="X464" s="5" t="str">
        <f>_xlfn.LET(_xlpm.act,MATCH(V464,{"DIAMANTE";"PLATINO";"ORO";"PLATA";"BRONCE";"CERRADO"},0),_xlpm.ant,MATCH(W464,{"DIAMANTE";"PLATINO";"ORO";"PLATA";"BRONCE";"CERRADO"},0),IF(_xlpm.act&lt;_xlpm.ant,"Mejora ↑",IF(_xlpm.act&gt;_xlpm.ant,"Baja ↓","Estable →")))</f>
        <v>Mejora ↑</v>
      </c>
      <c r="Y464" s="5">
        <f>IFERROR(U464-SUMIFS(HIST_SCORE!$D:$D,HIST_SCORE!$B:$B,PARAMS_MODELO!$B$4,HIST_SCORE!$C:$C,$A464),"")</f>
        <v>10.485872763309739</v>
      </c>
      <c r="Z464" s="5" t="str">
        <f t="shared" si="173"/>
        <v>↑ Mejora</v>
      </c>
      <c r="AA464" s="5">
        <f t="shared" si="174"/>
        <v>895</v>
      </c>
      <c r="AB464" s="5">
        <f>IFERROR(SUMIFS(HIST_SCORE!$F:$F,HIST_SCORE!$B:$B,PARAMS_MODELO!$B$4,HIST_SCORE!$C:$C,$A464),"")</f>
        <v>1048</v>
      </c>
      <c r="AC464" s="5">
        <f t="shared" si="175"/>
        <v>153</v>
      </c>
      <c r="AD464" t="str">
        <f t="shared" si="177"/>
        <v/>
      </c>
      <c r="AE4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464="CERRADO",1,IF(V464="BRONCE",_xlpm.cPl,IF(V464="PLATA",_xlpm.cO,IF(V464="ORO",_xlpm.cP,IF(V464="PLATINO",_xlpm.cD,999))))))</f>
        <v>63.199193273331495</v>
      </c>
      <c r="AF4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464="CERRADO",0,IF(V464="BRONCE",1,IF(V464="PLATA",_xlpm.cPl,IF(V464="ORO",_xlpm.cO,IF(V464="PLATINO",_xlpm.cP,_xlpm.cD))))))</f>
        <v>24.506573482968111</v>
      </c>
      <c r="AG464">
        <f t="shared" si="178"/>
        <v>32.508401318359191</v>
      </c>
      <c r="AH464" t="str">
        <f t="shared" si="179"/>
        <v>VENTAS</v>
      </c>
      <c r="AI464" t="str">
        <f t="shared" si="176"/>
        <v>🎯 Para subir de categoría, eje VENTAS / CRECIMIENTO PERSONAL (F). Acción: metas semanales + activación comercial + seguimiento del asesor. ΔR aprox: 32,5</v>
      </c>
      <c r="AJ464" s="26">
        <f>_xlfn.LET(_xlpm.piso,AF464,_xlpm.corte,AE464,_xlpm.prog,IF(_xlpm.corte&lt;=_xlpm.piso,0,MAX(0,MIN(1,(U464-_xlpm.piso)/(_xlpm.corte-_xlpm.piso)))),_xlpm.orden,{"DIAMANTE";"PLATINO";"ORO";"PLATA";"BRONCE";"CERRADO"},_xlpm.act,IFERROR(MATCH(V464,_xlpm.orden,0),6),_xlpm.ant,IFERROR(MATCH(W464,_xlpm.orden,0),6),_xlpm.ajmov,IF(_xlpm.act&lt;_xlpm.ant,0.08,IF(_xlpm.act&gt;_xlpm.ant,-0.08,0)),_xlpm.ajcli,IF(T464&lt;0.95,-0.06,0),_xlpm.prob,MAX(0,MIN(1,_xlpm.prog+_xlpm.ajmov+_xlpm.ajcli)),IF(OR(V464="DIAMANTE",V464="CERRADO"),0,ROUND(_xlpm.prob,2)))</f>
        <v>0.16</v>
      </c>
      <c r="AK464" t="str">
        <f t="shared" si="180"/>
        <v>Faltan 32,5 puntos base para subir a la siguiente categoría</v>
      </c>
      <c r="AL464" t="str">
        <f t="shared" si="181"/>
        <v>Margen de seguridad: 2,9 puntos</v>
      </c>
      <c r="AM464">
        <f t="shared" si="182"/>
        <v>0.74</v>
      </c>
      <c r="AN464" t="str">
        <f t="shared" si="183"/>
        <v>PRIORIDAD ALTA – requiere intervención inmediata</v>
      </c>
      <c r="AO464">
        <f t="shared" si="184"/>
        <v>71.348826202825151</v>
      </c>
      <c r="AP464">
        <f t="shared" si="185"/>
        <v>0.16784817686361464</v>
      </c>
      <c r="AQ464">
        <f t="shared" si="186"/>
        <v>2.1999999999987811E-3</v>
      </c>
      <c r="AR464">
        <f t="shared" si="187"/>
        <v>10.89</v>
      </c>
      <c r="AS464">
        <f t="shared" si="188"/>
        <v>0</v>
      </c>
      <c r="AT464" t="str">
        <f t="shared" si="189"/>
        <v>VENTAS</v>
      </c>
      <c r="AU464">
        <f t="shared" si="190"/>
        <v>71.348826202825151</v>
      </c>
      <c r="AV464" t="str">
        <f t="shared" si="191"/>
        <v>Mayor retorno probable: VENTAS (+71,3 puntos finales potenciales).</v>
      </c>
    </row>
    <row r="465" spans="1:48" x14ac:dyDescent="0.3">
      <c r="A465" s="5">
        <v>51010051</v>
      </c>
      <c r="B465" s="5" t="str">
        <f>IFERROR(VLOOKUP(A465,VENTAS!$A$2:$B$1194,2,0),"")</f>
        <v>MONTENEGRO</v>
      </c>
      <c r="C465" s="5">
        <f>IFERROR(INDEX(VENTAS!$C$2:$E$1194,MATCH(A465,VENTAS!$A$2:$A$1194,0),MATCH(PARAMS_MODELO!$B$2,{"Q1","Q2","Q3"},0)),0)</f>
        <v>62326371.450000003</v>
      </c>
      <c r="D465" s="5">
        <f>IFERROR(INDEX(VENTAS!$F$2:$H$1194,MATCH(A465,VENTAS!$A$2:$A$1194,0),MATCH(PARAMS_MODELO!$B$2,{"Q1","Q2","Q3"},0)),0)</f>
        <v>81119435</v>
      </c>
      <c r="E465" s="8">
        <f t="shared" si="168"/>
        <v>0.30152667502994834</v>
      </c>
      <c r="F465" s="12">
        <f>IF(E465&lt;=PARAMS_MODELO!$B$15,0,IF(E465&gt;=PARAMS_MODELO!$B$17,100,100*MIN(1,(E465-PARAMS_MODELO!$B$15)/(PARAMS_MODELO!$B$16-PARAMS_MODELO!$B$15))))*PARAMS_MODELO!$B$7</f>
        <v>35</v>
      </c>
      <c r="G465" s="5">
        <f t="shared" si="169"/>
        <v>18793063.549999997</v>
      </c>
      <c r="H465" s="5">
        <f>(PARAMS_MODELO!$B$20*(MAX(0,MIN(3,E465))/3)+PARAMS_MODELO!$B$21*(IFERROR(LN(1+MAX(0,G465))/LN(1+MAX(0,MAX($G$2:$G$1194))),0)))*100*PARAMS_MODELO!$B$8</f>
        <v>4.9815424275836149</v>
      </c>
      <c r="I465" s="8">
        <f>E465-PARAMS_MODELO!$B$5</f>
        <v>0.12396383965442181</v>
      </c>
      <c r="J465" s="5">
        <f>IF(I465&lt;=PARAMS_MODELO!$B$18,0,IF(I465&gt;=PARAMS_MODELO!$B$19,100,100*(I465-PARAMS_MODELO!$B$18)/(PARAMS_MODELO!$B$19-PARAMS_MODELO!$B$18)))*PARAMS_MODELO!$B$9</f>
        <v>15</v>
      </c>
      <c r="K465" s="5">
        <f>IFERROR(CHOOSE(MATCH(PARAMS_MODELO!$B$2,{"Q1","Q2","Q3"},0),LOTO!$D465,LOTO!$F465,LOTO!$H465),0)</f>
        <v>4017500</v>
      </c>
      <c r="L465" s="8">
        <f t="shared" si="170"/>
        <v>4.952573942360422E-2</v>
      </c>
      <c r="M465" s="5">
        <f>MIN(100,IF(PARAMS_MODELO!$B$23=0,0,100*L465/PARAMS_MODELO!$B$23))*PARAMS_MODELO!$B$10</f>
        <v>14.857721827081264</v>
      </c>
      <c r="N465" s="5">
        <f>IFERROR(VLOOKUP(A465,COMPLIANCE!$A$2:$F$1996,6,0),100)</f>
        <v>100</v>
      </c>
      <c r="O465" s="5">
        <f>N465*PARAMS_MODELO!$B$11</f>
        <v>10</v>
      </c>
      <c r="P465" s="5">
        <f>IFERROR(VLOOKUP(A465,DIGITAL!$A$2:$J$2000,7,0),100)</f>
        <v>94</v>
      </c>
      <c r="Q465" s="5">
        <f>IFERROR(P465,0)*PARAMS_MODELO!$B$12</f>
        <v>9.4</v>
      </c>
      <c r="R465">
        <f t="shared" si="171"/>
        <v>89.239264254664874</v>
      </c>
      <c r="S465" s="5" t="str">
        <f>IFERROR(VLOOKUP(A465,CLIENTE!$A$2:$N$2000,13,0),1)</f>
        <v>Regular</v>
      </c>
      <c r="T465" s="5">
        <f>IFERROR(VLOOKUP(A465,CLIENTE!$A$2:$N$2000,14,0),1)</f>
        <v>1</v>
      </c>
      <c r="U465" s="5">
        <f t="shared" si="172"/>
        <v>89.239264254664874</v>
      </c>
      <c r="V465" s="5" t="str">
        <f>IF(U465&gt;=MAX(_xlfn.PERCENTILE.INC($U$2:$U$1194,PARAMS_MODELO!$B$50),PARAMS_MODELO!$B$45),"DIAMANTE",IF(U465&gt;=MAX(_xlfn.PERCENTILE.INC($U$2:$U$1194,PARAMS_MODELO!$B$51),PARAMS_MODELO!$B$46),"PLATINO",IF(U465&gt;=MAX(_xlfn.PERCENTILE.INC($U$2:$U$1194,PARAMS_MODELO!$B$52),PARAMS_MODELO!$B$47),"ORO",IF(U465&gt;=MAX(_xlfn.PERCENTILE.INC($U$2:$U$1194,PARAMS_MODELO!$B$53),PARAMS_MODELO!$B$48),"PLATA",IF(U465&gt;=1,"BRONCE","CERRADO")))))</f>
        <v>PLATINO</v>
      </c>
      <c r="W465" s="5" t="str" cm="1">
        <f t="array" ref="W465">_xlfn.XLOOKUP(1, (HIST_SCORE!$B:$B=PARAMS_MODELO!$B$4) * (HIST_SCORE!$C:$C=A465), HIST_SCORE!$E:$E, "No encontrado")</f>
        <v>PLATINO</v>
      </c>
      <c r="X465" s="5" t="str">
        <f>_xlfn.LET(_xlpm.act,MATCH(V465,{"DIAMANTE";"PLATINO";"ORO";"PLATA";"BRONCE";"CERRADO"},0),_xlpm.ant,MATCH(W465,{"DIAMANTE";"PLATINO";"ORO";"PLATA";"BRONCE";"CERRADO"},0),IF(_xlpm.act&lt;_xlpm.ant,"Mejora ↑",IF(_xlpm.act&gt;_xlpm.ant,"Baja ↓","Estable →")))</f>
        <v>Estable →</v>
      </c>
      <c r="Y465" s="5">
        <f>IFERROR(U465-SUMIFS(HIST_SCORE!$D:$D,HIST_SCORE!$B:$B,PARAMS_MODELO!$B$4,HIST_SCORE!$C:$C,$A465),"")</f>
        <v>2.9583034019385366</v>
      </c>
      <c r="Z465" s="5" t="str">
        <f t="shared" si="173"/>
        <v>→ Estable</v>
      </c>
      <c r="AA465" s="5">
        <f t="shared" si="174"/>
        <v>159</v>
      </c>
      <c r="AB465" s="5">
        <f>IFERROR(SUMIFS(HIST_SCORE!$F:$F,HIST_SCORE!$B:$B,PARAMS_MODELO!$B$4,HIST_SCORE!$C:$C,$A465),"")</f>
        <v>224</v>
      </c>
      <c r="AC465" s="5">
        <f t="shared" si="175"/>
        <v>65</v>
      </c>
      <c r="AD465" t="str">
        <f t="shared" si="177"/>
        <v/>
      </c>
      <c r="AE4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465="CERRADO",1,IF(V465="BRONCE",_xlpm.cPl,IF(V465="PLATA",_xlpm.cO,IF(V465="ORO",_xlpm.cP,IF(V465="PLATINO",_xlpm.cD,999))))))</f>
        <v>96.054919694466676</v>
      </c>
      <c r="AF4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465="CERRADO",0,IF(V465="BRONCE",1,IF(V465="PLATA",_xlpm.cPl,IF(V465="ORO",_xlpm.cO,IF(V465="PLATINO",_xlpm.cP,_xlpm.cD))))))</f>
        <v>86.439123873763251</v>
      </c>
      <c r="AG465">
        <f t="shared" si="178"/>
        <v>6.8156554398018017</v>
      </c>
      <c r="AH465" t="str">
        <f t="shared" si="179"/>
        <v>VENTAS</v>
      </c>
      <c r="AI465" t="str">
        <f t="shared" si="176"/>
        <v>🎯 Para subir de categoría, eje VENTAS / IMPACTO ABSOLUTO (H). Acción: metas semanales + activación comercial + seguimiento del asesor. ΔR aprox: 6,8</v>
      </c>
      <c r="AJ465" s="26">
        <f>_xlfn.LET(_xlpm.piso,AF465,_xlpm.corte,AE465,_xlpm.prog,IF(_xlpm.corte&lt;=_xlpm.piso,0,MAX(0,MIN(1,(U465-_xlpm.piso)/(_xlpm.corte-_xlpm.piso)))),_xlpm.orden,{"DIAMANTE";"PLATINO";"ORO";"PLATA";"BRONCE";"CERRADO"},_xlpm.act,IFERROR(MATCH(V465,_xlpm.orden,0),6),_xlpm.ant,IFERROR(MATCH(W465,_xlpm.orden,0),6),_xlpm.ajmov,IF(_xlpm.act&lt;_xlpm.ant,0.08,IF(_xlpm.act&gt;_xlpm.ant,-0.08,0)),_xlpm.ajcli,IF(T465&lt;0.95,-0.06,0),_xlpm.prob,MAX(0,MIN(1,_xlpm.prog+_xlpm.ajmov+_xlpm.ajcli)),IF(OR(V465="DIAMANTE",V465="CERRADO"),0,ROUND(_xlpm.prob,2)))</f>
        <v>0.28999999999999998</v>
      </c>
      <c r="AK465" t="str">
        <f t="shared" si="180"/>
        <v>Faltan 6,8 puntos base para subir a la siguiente categoría</v>
      </c>
      <c r="AL465" t="str">
        <f t="shared" si="181"/>
        <v>Margen de seguridad: 2,8 puntos</v>
      </c>
      <c r="AM465">
        <f t="shared" si="182"/>
        <v>0.56000000000000005</v>
      </c>
      <c r="AN465" t="str">
        <f t="shared" si="183"/>
        <v>PRIORIDAD MEDIA – seguimiento del asesor</v>
      </c>
      <c r="AO465">
        <f t="shared" si="184"/>
        <v>9.881026847711972</v>
      </c>
      <c r="AP465">
        <f t="shared" si="185"/>
        <v>0.14227817291873635</v>
      </c>
      <c r="AQ465">
        <f t="shared" si="186"/>
        <v>0</v>
      </c>
      <c r="AR465">
        <f t="shared" si="187"/>
        <v>0.59999999999999964</v>
      </c>
      <c r="AS465">
        <f t="shared" si="188"/>
        <v>0</v>
      </c>
      <c r="AT465" t="str">
        <f t="shared" si="189"/>
        <v>VENTAS</v>
      </c>
      <c r="AU465">
        <f t="shared" si="190"/>
        <v>9.881026847711972</v>
      </c>
      <c r="AV465" t="str">
        <f t="shared" si="191"/>
        <v>Mayor retorno probable: VENTAS (+9,9 puntos finales potenciales).</v>
      </c>
    </row>
    <row r="466" spans="1:48" x14ac:dyDescent="0.3">
      <c r="A466" s="5">
        <v>51015754</v>
      </c>
      <c r="B466" s="5" t="str">
        <f>IFERROR(VLOOKUP(A466,VENTAS!$A$2:$B$1194,2,0),"")</f>
        <v>CICHETTO</v>
      </c>
      <c r="C466" s="5">
        <f>IFERROR(INDEX(VENTAS!$C$2:$E$1194,MATCH(A466,VENTAS!$A$2:$A$1194,0),MATCH(PARAMS_MODELO!$B$2,{"Q1","Q2","Q3"},0)),0)</f>
        <v>91437092.669999987</v>
      </c>
      <c r="D466" s="5">
        <f>IFERROR(INDEX(VENTAS!$F$2:$H$1194,MATCH(A466,VENTAS!$A$2:$A$1194,0),MATCH(PARAMS_MODELO!$B$2,{"Q1","Q2","Q3"},0)),0)</f>
        <v>81113100</v>
      </c>
      <c r="E466" s="8">
        <f t="shared" si="168"/>
        <v>-0.11290814666712645</v>
      </c>
      <c r="F466" s="12">
        <f>IF(E466&lt;=PARAMS_MODELO!$B$15,0,IF(E466&gt;=PARAMS_MODELO!$B$17,100,100*MIN(1,(E466-PARAMS_MODELO!$B$15)/(PARAMS_MODELO!$B$16-PARAMS_MODELO!$B$15))))*PARAMS_MODELO!$B$7</f>
        <v>0</v>
      </c>
      <c r="G466" s="5">
        <f t="shared" si="169"/>
        <v>0</v>
      </c>
      <c r="H466" s="5">
        <f>(PARAMS_MODELO!$B$20*(MAX(0,MIN(3,E466))/3)+PARAMS_MODELO!$B$21*(IFERROR(LN(1+MAX(0,G466))/LN(1+MAX(0,MAX($G$2:$G$1194))),0)))*100*PARAMS_MODELO!$B$8</f>
        <v>0</v>
      </c>
      <c r="I466" s="8">
        <f>E466-PARAMS_MODELO!$B$5</f>
        <v>-0.29047098204265298</v>
      </c>
      <c r="J466" s="5">
        <f>IF(I466&lt;=PARAMS_MODELO!$B$18,0,IF(I466&gt;=PARAMS_MODELO!$B$19,100,100*(I466-PARAMS_MODELO!$B$18)/(PARAMS_MODELO!$B$19-PARAMS_MODELO!$B$18)))*PARAMS_MODELO!$B$9</f>
        <v>0</v>
      </c>
      <c r="K466" s="5">
        <f>IFERROR(CHOOSE(MATCH(PARAMS_MODELO!$B$2,{"Q1","Q2","Q3"},0),LOTO!$D466,LOTO!$F466,LOTO!$H466),0)</f>
        <v>4000000</v>
      </c>
      <c r="L466" s="8">
        <f t="shared" si="170"/>
        <v>4.9313859290299591E-2</v>
      </c>
      <c r="M466" s="5">
        <f>MIN(100,IF(PARAMS_MODELO!$B$23=0,0,100*L466/PARAMS_MODELO!$B$23))*PARAMS_MODELO!$B$10</f>
        <v>14.794157787089876</v>
      </c>
      <c r="N466" s="5">
        <f>IFERROR(VLOOKUP(A466,COMPLIANCE!$A$2:$F$1996,6,0),100)</f>
        <v>100</v>
      </c>
      <c r="O466" s="5">
        <f>N466*PARAMS_MODELO!$B$11</f>
        <v>10</v>
      </c>
      <c r="P466" s="5">
        <f>IFERROR(VLOOKUP(A466,DIGITAL!$A$2:$J$2000,7,0),100)</f>
        <v>76</v>
      </c>
      <c r="Q466" s="5">
        <f>IFERROR(P466,0)*PARAMS_MODELO!$B$12</f>
        <v>7.6000000000000005</v>
      </c>
      <c r="R466">
        <f t="shared" si="171"/>
        <v>32.394157787089874</v>
      </c>
      <c r="S466" s="5" t="str">
        <f>IFERROR(VLOOKUP(A466,CLIENTE!$A$2:$N$2000,13,0),1)</f>
        <v>Malo</v>
      </c>
      <c r="T466" s="5">
        <f>IFERROR(VLOOKUP(A466,CLIENTE!$A$2:$N$2000,14,0),1)</f>
        <v>0.7</v>
      </c>
      <c r="U466" s="5">
        <f t="shared" si="172"/>
        <v>22.67591045096291</v>
      </c>
      <c r="V466" s="5" t="str">
        <f>IF(U466&gt;=MAX(_xlfn.PERCENTILE.INC($U$2:$U$1194,PARAMS_MODELO!$B$50),PARAMS_MODELO!$B$45),"DIAMANTE",IF(U466&gt;=MAX(_xlfn.PERCENTILE.INC($U$2:$U$1194,PARAMS_MODELO!$B$51),PARAMS_MODELO!$B$46),"PLATINO",IF(U466&gt;=MAX(_xlfn.PERCENTILE.INC($U$2:$U$1194,PARAMS_MODELO!$B$52),PARAMS_MODELO!$B$47),"ORO",IF(U466&gt;=MAX(_xlfn.PERCENTILE.INC($U$2:$U$1194,PARAMS_MODELO!$B$53),PARAMS_MODELO!$B$48),"PLATA",IF(U466&gt;=1,"BRONCE","CERRADO")))))</f>
        <v>BRONCE</v>
      </c>
      <c r="W466" s="5" t="str" cm="1">
        <f t="array" ref="W466">_xlfn.XLOOKUP(1, (HIST_SCORE!$B:$B=PARAMS_MODELO!$B$4) * (HIST_SCORE!$C:$C=A466), HIST_SCORE!$E:$E, "No encontrado")</f>
        <v>PLATA</v>
      </c>
      <c r="X466" s="5" t="str">
        <f>_xlfn.LET(_xlpm.act,MATCH(V466,{"DIAMANTE";"PLATINO";"ORO";"PLATA";"BRONCE";"CERRADO"},0),_xlpm.ant,MATCH(W466,{"DIAMANTE";"PLATINO";"ORO";"PLATA";"BRONCE";"CERRADO"},0),IF(_xlpm.act&lt;_xlpm.ant,"Mejora ↑",IF(_xlpm.act&gt;_xlpm.ant,"Baja ↓","Estable →")))</f>
        <v>Baja ↓</v>
      </c>
      <c r="Y466" s="5">
        <f>IFERROR(U466-SUMIFS(HIST_SCORE!$D:$D,HIST_SCORE!$B:$B,PARAMS_MODELO!$B$4,HIST_SCORE!$C:$C,$A466),"")</f>
        <v>-35.148216572885069</v>
      </c>
      <c r="Z466" s="5" t="str">
        <f t="shared" si="173"/>
        <v>↓ Baja</v>
      </c>
      <c r="AA466" s="5">
        <f t="shared" si="174"/>
        <v>938</v>
      </c>
      <c r="AB466" s="5">
        <f>IFERROR(SUMIFS(HIST_SCORE!$F:$F,HIST_SCORE!$B:$B,PARAMS_MODELO!$B$4,HIST_SCORE!$C:$C,$A466),"")</f>
        <v>689</v>
      </c>
      <c r="AC466" s="5">
        <f t="shared" si="175"/>
        <v>-249</v>
      </c>
      <c r="AD466" t="str">
        <f t="shared" si="177"/>
        <v>Plan de recuperación: foco crecimiento + mix</v>
      </c>
      <c r="AE4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466="CERRADO",1,IF(V466="BRONCE",_xlpm.cPl,IF(V466="PLATA",_xlpm.cO,IF(V466="ORO",_xlpm.cP,IF(V466="PLATINO",_xlpm.cD,999))))))</f>
        <v>24.506573482968111</v>
      </c>
      <c r="AF4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466="CERRADO",0,IF(V466="BRONCE",1,IF(V466="PLATA",_xlpm.cPl,IF(V466="ORO",_xlpm.cO,IF(V466="PLATINO",_xlpm.cP,_xlpm.cD))))))</f>
        <v>1</v>
      </c>
      <c r="AG466">
        <f t="shared" si="178"/>
        <v>2.6152329028645696</v>
      </c>
      <c r="AH466" t="str">
        <f t="shared" si="179"/>
        <v>CLIENTE</v>
      </c>
      <c r="AI466" t="str">
        <f t="shared" si="176"/>
        <v>🎯 Para subir de categoría, la eje con mayor impacto probable es CLIENTE (coef T). Acción: reducir quejas, mejorar incógnito y empujar reseñas. ΔR aprox: 2,6</v>
      </c>
      <c r="AJ466" s="26">
        <f>_xlfn.LET(_xlpm.piso,AF466,_xlpm.corte,AE466,_xlpm.prog,IF(_xlpm.corte&lt;=_xlpm.piso,0,MAX(0,MIN(1,(U466-_xlpm.piso)/(_xlpm.corte-_xlpm.piso)))),_xlpm.orden,{"DIAMANTE";"PLATINO";"ORO";"PLATA";"BRONCE";"CERRADO"},_xlpm.act,IFERROR(MATCH(V466,_xlpm.orden,0),6),_xlpm.ant,IFERROR(MATCH(W466,_xlpm.orden,0),6),_xlpm.ajmov,IF(_xlpm.act&lt;_xlpm.ant,0.08,IF(_xlpm.act&gt;_xlpm.ant,-0.08,0)),_xlpm.ajcli,IF(T466&lt;0.95,-0.06,0),_xlpm.prob,MAX(0,MIN(1,_xlpm.prog+_xlpm.ajmov+_xlpm.ajcli)),IF(OR(V466="DIAMANTE",V466="CERRADO"),0,ROUND(_xlpm.prob,2)))</f>
        <v>0.78</v>
      </c>
      <c r="AK466" t="str">
        <f t="shared" si="180"/>
        <v>Faltan 2,6 puntos base para subir a la siguiente categoría</v>
      </c>
      <c r="AL466" t="str">
        <f t="shared" si="181"/>
        <v>No aplica</v>
      </c>
      <c r="AM466">
        <f t="shared" si="182"/>
        <v>0.39</v>
      </c>
      <c r="AN466" t="str">
        <f t="shared" si="183"/>
        <v>PRIORIDAD BAJA – control normal</v>
      </c>
      <c r="AO466">
        <f t="shared" si="184"/>
        <v>45.403798492706905</v>
      </c>
      <c r="AP466">
        <f t="shared" si="185"/>
        <v>0.14408954903708668</v>
      </c>
      <c r="AQ466">
        <f t="shared" si="186"/>
        <v>0</v>
      </c>
      <c r="AR466">
        <f t="shared" si="187"/>
        <v>1.6799999999999995</v>
      </c>
      <c r="AS466">
        <f t="shared" si="188"/>
        <v>9.7182473361269643</v>
      </c>
      <c r="AT466" t="str">
        <f t="shared" si="189"/>
        <v>VENTAS</v>
      </c>
      <c r="AU466">
        <f t="shared" si="190"/>
        <v>45.403798492706905</v>
      </c>
      <c r="AV466" t="str">
        <f t="shared" si="191"/>
        <v>Mayor retorno probable: VENTAS (+45,4 puntos finales potenciales).</v>
      </c>
    </row>
    <row r="467" spans="1:48" x14ac:dyDescent="0.3">
      <c r="A467" s="5">
        <v>51023528</v>
      </c>
      <c r="B467" s="5" t="str">
        <f>IFERROR(VLOOKUP(A467,VENTAS!$A$2:$B$1194,2,0),"")</f>
        <v>LÓPEZ</v>
      </c>
      <c r="C467" s="5">
        <f>IFERROR(INDEX(VENTAS!$C$2:$E$1194,MATCH(A467,VENTAS!$A$2:$A$1194,0),MATCH(PARAMS_MODELO!$B$2,{"Q1","Q2","Q3"},0)),0)</f>
        <v>60380029.810000002</v>
      </c>
      <c r="D467" s="5">
        <f>IFERROR(INDEX(VENTAS!$F$2:$H$1194,MATCH(A467,VENTAS!$A$2:$A$1194,0),MATCH(PARAMS_MODELO!$B$2,{"Q1","Q2","Q3"},0)),0)</f>
        <v>81062895</v>
      </c>
      <c r="E467" s="8">
        <f t="shared" si="168"/>
        <v>0.34254479925040626</v>
      </c>
      <c r="F467" s="12">
        <f>IF(E467&lt;=PARAMS_MODELO!$B$15,0,IF(E467&gt;=PARAMS_MODELO!$B$17,100,100*MIN(1,(E467-PARAMS_MODELO!$B$15)/(PARAMS_MODELO!$B$16-PARAMS_MODELO!$B$15))))*PARAMS_MODELO!$B$7</f>
        <v>35</v>
      </c>
      <c r="G467" s="5">
        <f t="shared" si="169"/>
        <v>20682865.189999998</v>
      </c>
      <c r="H467" s="5">
        <f>(PARAMS_MODELO!$B$20*(MAX(0,MIN(3,E467))/3)+PARAMS_MODELO!$B$21*(IFERROR(LN(1+MAX(0,G467))/LN(1+MAX(0,MAX($G$2:$G$1194))),0)))*100*PARAMS_MODELO!$B$8</f>
        <v>5.1475668788497808</v>
      </c>
      <c r="I467" s="8">
        <f>E467-PARAMS_MODELO!$B$5</f>
        <v>0.16498196387487973</v>
      </c>
      <c r="J467" s="5">
        <f>IF(I467&lt;=PARAMS_MODELO!$B$18,0,IF(I467&gt;=PARAMS_MODELO!$B$19,100,100*(I467-PARAMS_MODELO!$B$18)/(PARAMS_MODELO!$B$19-PARAMS_MODELO!$B$18)))*PARAMS_MODELO!$B$9</f>
        <v>15</v>
      </c>
      <c r="K467" s="5">
        <f>IFERROR(CHOOSE(MATCH(PARAMS_MODELO!$B$2,{"Q1","Q2","Q3"},0),LOTO!$D467,LOTO!$F467,LOTO!$H467),0)</f>
        <v>4000000</v>
      </c>
      <c r="L467" s="8">
        <f t="shared" si="170"/>
        <v>4.9344401035763652E-2</v>
      </c>
      <c r="M467" s="5">
        <f>MIN(100,IF(PARAMS_MODELO!$B$23=0,0,100*L467/PARAMS_MODELO!$B$23))*PARAMS_MODELO!$B$10</f>
        <v>14.803320310729095</v>
      </c>
      <c r="N467" s="5">
        <f>IFERROR(VLOOKUP(A467,COMPLIANCE!$A$2:$F$1996,6,0),100)</f>
        <v>99.7</v>
      </c>
      <c r="O467" s="5">
        <f>N467*PARAMS_MODELO!$B$11</f>
        <v>9.9700000000000006</v>
      </c>
      <c r="P467" s="5">
        <f>IFERROR(VLOOKUP(A467,DIGITAL!$A$2:$J$2000,7,0),100)</f>
        <v>42</v>
      </c>
      <c r="Q467" s="5">
        <f>IFERROR(P467,0)*PARAMS_MODELO!$B$12</f>
        <v>4.2</v>
      </c>
      <c r="R467">
        <f t="shared" si="171"/>
        <v>84.12088718957888</v>
      </c>
      <c r="S467" s="5" t="str">
        <f>IFERROR(VLOOKUP(A467,CLIENTE!$A$2:$N$2000,13,0),1)</f>
        <v>Malo</v>
      </c>
      <c r="T467" s="5">
        <f>IFERROR(VLOOKUP(A467,CLIENTE!$A$2:$N$2000,14,0),1)</f>
        <v>0.7</v>
      </c>
      <c r="U467" s="5">
        <f t="shared" si="172"/>
        <v>58.884621032705212</v>
      </c>
      <c r="V467" s="5" t="str">
        <f>IF(U467&gt;=MAX(_xlfn.PERCENTILE.INC($U$2:$U$1194,PARAMS_MODELO!$B$50),PARAMS_MODELO!$B$45),"DIAMANTE",IF(U467&gt;=MAX(_xlfn.PERCENTILE.INC($U$2:$U$1194,PARAMS_MODELO!$B$51),PARAMS_MODELO!$B$46),"PLATINO",IF(U467&gt;=MAX(_xlfn.PERCENTILE.INC($U$2:$U$1194,PARAMS_MODELO!$B$52),PARAMS_MODELO!$B$47),"ORO",IF(U467&gt;=MAX(_xlfn.PERCENTILE.INC($U$2:$U$1194,PARAMS_MODELO!$B$53),PARAMS_MODELO!$B$48),"PLATA",IF(U467&gt;=1,"BRONCE","CERRADO")))))</f>
        <v>PLATA</v>
      </c>
      <c r="W467" s="5" t="str" cm="1">
        <f t="array" ref="W467">_xlfn.XLOOKUP(1, (HIST_SCORE!$B:$B=PARAMS_MODELO!$B$4) * (HIST_SCORE!$C:$C=A467), HIST_SCORE!$E:$E, "No encontrado")</f>
        <v>PLATA</v>
      </c>
      <c r="X467" s="5" t="str">
        <f>_xlfn.LET(_xlpm.act,MATCH(V467,{"DIAMANTE";"PLATINO";"ORO";"PLATA";"BRONCE";"CERRADO"},0),_xlpm.ant,MATCH(W467,{"DIAMANTE";"PLATINO";"ORO";"PLATA";"BRONCE";"CERRADO"},0),IF(_xlpm.act&lt;_xlpm.ant,"Mejora ↑",IF(_xlpm.act&gt;_xlpm.ant,"Baja ↓","Estable →")))</f>
        <v>Estable →</v>
      </c>
      <c r="Y467" s="5">
        <f>IFERROR(U467-SUMIFS(HIST_SCORE!$D:$D,HIST_SCORE!$B:$B,PARAMS_MODELO!$B$4,HIST_SCORE!$C:$C,$A467),"")</f>
        <v>1.3569906366824043</v>
      </c>
      <c r="Z467" s="5" t="str">
        <f t="shared" si="173"/>
        <v>→ Estable</v>
      </c>
      <c r="AA467" s="5">
        <f t="shared" si="174"/>
        <v>638</v>
      </c>
      <c r="AB467" s="5">
        <f>IFERROR(SUMIFS(HIST_SCORE!$F:$F,HIST_SCORE!$B:$B,PARAMS_MODELO!$B$4,HIST_SCORE!$C:$C,$A467),"")</f>
        <v>699</v>
      </c>
      <c r="AC467" s="5">
        <f t="shared" si="175"/>
        <v>61</v>
      </c>
      <c r="AD467" t="str">
        <f t="shared" si="177"/>
        <v/>
      </c>
      <c r="AE4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467="CERRADO",1,IF(V467="BRONCE",_xlpm.cPl,IF(V467="PLATA",_xlpm.cO,IF(V467="ORO",_xlpm.cP,IF(V467="PLATINO",_xlpm.cD,999))))))</f>
        <v>63.199193273331495</v>
      </c>
      <c r="AF4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467="CERRADO",0,IF(V467="BRONCE",1,IF(V467="PLATA",_xlpm.cPl,IF(V467="ORO",_xlpm.cO,IF(V467="PLATINO",_xlpm.cP,_xlpm.cD))))))</f>
        <v>24.506573482968111</v>
      </c>
      <c r="AG467">
        <f t="shared" si="178"/>
        <v>6.1636746294661151</v>
      </c>
      <c r="AH467" t="str">
        <f t="shared" si="179"/>
        <v>CLIENTE</v>
      </c>
      <c r="AI467" t="str">
        <f t="shared" si="176"/>
        <v>🎯 Para subir de categoría, la eje con mayor impacto probable es CLIENTE (coef T). Acción: reducir quejas, mejorar incógnito y empujar reseñas. ΔR aprox: 6,2</v>
      </c>
      <c r="AJ467" s="26">
        <f>_xlfn.LET(_xlpm.piso,AF467,_xlpm.corte,AE467,_xlpm.prog,IF(_xlpm.corte&lt;=_xlpm.piso,0,MAX(0,MIN(1,(U467-_xlpm.piso)/(_xlpm.corte-_xlpm.piso)))),_xlpm.orden,{"DIAMANTE";"PLATINO";"ORO";"PLATA";"BRONCE";"CERRADO"},_xlpm.act,IFERROR(MATCH(V467,_xlpm.orden,0),6),_xlpm.ant,IFERROR(MATCH(W467,_xlpm.orden,0),6),_xlpm.ajmov,IF(_xlpm.act&lt;_xlpm.ant,0.08,IF(_xlpm.act&gt;_xlpm.ant,-0.08,0)),_xlpm.ajcli,IF(T467&lt;0.95,-0.06,0),_xlpm.prob,MAX(0,MIN(1,_xlpm.prog+_xlpm.ajmov+_xlpm.ajcli)),IF(OR(V467="DIAMANTE",V467="CERRADO"),0,ROUND(_xlpm.prob,2)))</f>
        <v>0.83</v>
      </c>
      <c r="AK467" t="str">
        <f t="shared" si="180"/>
        <v>Faltan 6,2 puntos base para subir a la siguiente categoría</v>
      </c>
      <c r="AL467" t="str">
        <f t="shared" si="181"/>
        <v>Margen de seguridad: 34,4 puntos</v>
      </c>
      <c r="AM467">
        <f t="shared" si="182"/>
        <v>0.51</v>
      </c>
      <c r="AN467" t="str">
        <f t="shared" si="183"/>
        <v>PRIORIDAD MEDIA – seguimiento del asesor</v>
      </c>
      <c r="AO467">
        <f t="shared" si="184"/>
        <v>6.800501677512063</v>
      </c>
      <c r="AP467">
        <f t="shared" si="185"/>
        <v>0.13767578248963339</v>
      </c>
      <c r="AQ467">
        <f t="shared" si="186"/>
        <v>2.099999999999955E-2</v>
      </c>
      <c r="AR467">
        <f t="shared" si="187"/>
        <v>4.0599999999999996</v>
      </c>
      <c r="AS467">
        <f t="shared" si="188"/>
        <v>25.236266156873668</v>
      </c>
      <c r="AT467" t="str">
        <f t="shared" si="189"/>
        <v>CLIENTE</v>
      </c>
      <c r="AU467">
        <f t="shared" si="190"/>
        <v>25.236266156873668</v>
      </c>
      <c r="AV467" t="str">
        <f t="shared" si="191"/>
        <v>Mayor retorno probable: CLIENTE (+25,2 puntos finales potenciales).</v>
      </c>
    </row>
    <row r="468" spans="1:48" x14ac:dyDescent="0.3">
      <c r="A468" s="5">
        <v>51013735</v>
      </c>
      <c r="B468" s="5" t="str">
        <f>IFERROR(VLOOKUP(A468,VENTAS!$A$2:$B$1194,2,0),"")</f>
        <v>AYALA</v>
      </c>
      <c r="C468" s="5">
        <f>IFERROR(INDEX(VENTAS!$C$2:$E$1194,MATCH(A468,VENTAS!$A$2:$A$1194,0),MATCH(PARAMS_MODELO!$B$2,{"Q1","Q2","Q3"},0)),0)</f>
        <v>58658085.099999987</v>
      </c>
      <c r="D468" s="5">
        <f>IFERROR(INDEX(VENTAS!$F$2:$H$1194,MATCH(A468,VENTAS!$A$2:$A$1194,0),MATCH(PARAMS_MODELO!$B$2,{"Q1","Q2","Q3"},0)),0)</f>
        <v>81050893</v>
      </c>
      <c r="E468" s="8">
        <f t="shared" si="168"/>
        <v>0.38175143054576144</v>
      </c>
      <c r="F468" s="12">
        <f>IF(E468&lt;=PARAMS_MODELO!$B$15,0,IF(E468&gt;=PARAMS_MODELO!$B$17,100,100*MIN(1,(E468-PARAMS_MODELO!$B$15)/(PARAMS_MODELO!$B$16-PARAMS_MODELO!$B$15))))*PARAMS_MODELO!$B$7</f>
        <v>35</v>
      </c>
      <c r="G468" s="5">
        <f t="shared" si="169"/>
        <v>22392807.900000013</v>
      </c>
      <c r="H468" s="5">
        <f>(PARAMS_MODELO!$B$20*(MAX(0,MIN(3,E468))/3)+PARAMS_MODELO!$B$21*(IFERROR(LN(1+MAX(0,G468))/LN(1+MAX(0,MAX($G$2:$G$1194))),0)))*100*PARAMS_MODELO!$B$8</f>
        <v>5.3034105829241236</v>
      </c>
      <c r="I468" s="8">
        <f>E468-PARAMS_MODELO!$B$5</f>
        <v>0.20418859517023491</v>
      </c>
      <c r="J468" s="5">
        <f>IF(I468&lt;=PARAMS_MODELO!$B$18,0,IF(I468&gt;=PARAMS_MODELO!$B$19,100,100*(I468-PARAMS_MODELO!$B$18)/(PARAMS_MODELO!$B$19-PARAMS_MODELO!$B$18)))*PARAMS_MODELO!$B$9</f>
        <v>15</v>
      </c>
      <c r="K468" s="5">
        <f>IFERROR(CHOOSE(MATCH(PARAMS_MODELO!$B$2,{"Q1","Q2","Q3"},0),LOTO!$D468,LOTO!$F468,LOTO!$H468),0)</f>
        <v>3992500</v>
      </c>
      <c r="L468" s="8">
        <f t="shared" si="170"/>
        <v>4.9259173492388293E-2</v>
      </c>
      <c r="M468" s="5">
        <f>MIN(100,IF(PARAMS_MODELO!$B$23=0,0,100*L468/PARAMS_MODELO!$B$23))*PARAMS_MODELO!$B$10</f>
        <v>14.777752047716485</v>
      </c>
      <c r="N468" s="5">
        <f>IFERROR(VLOOKUP(A468,COMPLIANCE!$A$2:$F$1996,6,0),100)</f>
        <v>99.68</v>
      </c>
      <c r="O468" s="5">
        <f>N468*PARAMS_MODELO!$B$11</f>
        <v>9.9680000000000017</v>
      </c>
      <c r="P468" s="5">
        <f>IFERROR(VLOOKUP(A468,DIGITAL!$A$2:$J$2000,7,0),100)</f>
        <v>39</v>
      </c>
      <c r="Q468" s="5">
        <f>IFERROR(P468,0)*PARAMS_MODELO!$B$12</f>
        <v>3.9000000000000004</v>
      </c>
      <c r="R468">
        <f t="shared" si="171"/>
        <v>83.949162630640615</v>
      </c>
      <c r="S468" s="5" t="str">
        <f>IFERROR(VLOOKUP(A468,CLIENTE!$A$2:$N$2000,13,0),1)</f>
        <v>Regular</v>
      </c>
      <c r="T468" s="5">
        <f>IFERROR(VLOOKUP(A468,CLIENTE!$A$2:$N$2000,14,0),1)</f>
        <v>1</v>
      </c>
      <c r="U468" s="5">
        <f t="shared" si="172"/>
        <v>83.949162630640615</v>
      </c>
      <c r="V468" s="5" t="str">
        <f>IF(U468&gt;=MAX(_xlfn.PERCENTILE.INC($U$2:$U$1194,PARAMS_MODELO!$B$50),PARAMS_MODELO!$B$45),"DIAMANTE",IF(U468&gt;=MAX(_xlfn.PERCENTILE.INC($U$2:$U$1194,PARAMS_MODELO!$B$51),PARAMS_MODELO!$B$46),"PLATINO",IF(U468&gt;=MAX(_xlfn.PERCENTILE.INC($U$2:$U$1194,PARAMS_MODELO!$B$52),PARAMS_MODELO!$B$47),"ORO",IF(U468&gt;=MAX(_xlfn.PERCENTILE.INC($U$2:$U$1194,PARAMS_MODELO!$B$53),PARAMS_MODELO!$B$48),"PLATA",IF(U468&gt;=1,"BRONCE","CERRADO")))))</f>
        <v>ORO</v>
      </c>
      <c r="W468" s="5" t="str" cm="1">
        <f t="array" ref="W468">_xlfn.XLOOKUP(1, (HIST_SCORE!$B:$B=PARAMS_MODELO!$B$4) * (HIST_SCORE!$C:$C=A468), HIST_SCORE!$E:$E, "No encontrado")</f>
        <v>ORO</v>
      </c>
      <c r="X468" s="5" t="str">
        <f>_xlfn.LET(_xlpm.act,MATCH(V468,{"DIAMANTE";"PLATINO";"ORO";"PLATA";"BRONCE";"CERRADO"},0),_xlpm.ant,MATCH(W468,{"DIAMANTE";"PLATINO";"ORO";"PLATA";"BRONCE";"CERRADO"},0),IF(_xlpm.act&lt;_xlpm.ant,"Mejora ↑",IF(_xlpm.act&gt;_xlpm.ant,"Baja ↓","Estable →")))</f>
        <v>Estable →</v>
      </c>
      <c r="Y468" s="5">
        <f>IFERROR(U468-SUMIFS(HIST_SCORE!$D:$D,HIST_SCORE!$B:$B,PARAMS_MODELO!$B$4,HIST_SCORE!$C:$C,$A468),"")</f>
        <v>0.99160153842207421</v>
      </c>
      <c r="Z468" s="5" t="str">
        <f t="shared" si="173"/>
        <v>→ Estable</v>
      </c>
      <c r="AA468" s="5">
        <f t="shared" si="174"/>
        <v>324</v>
      </c>
      <c r="AB468" s="5">
        <f>IFERROR(SUMIFS(HIST_SCORE!$F:$F,HIST_SCORE!$B:$B,PARAMS_MODELO!$B$4,HIST_SCORE!$C:$C,$A468),"")</f>
        <v>331</v>
      </c>
      <c r="AC468" s="5">
        <f t="shared" si="175"/>
        <v>7</v>
      </c>
      <c r="AD468" t="str">
        <f t="shared" si="177"/>
        <v/>
      </c>
      <c r="AE4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468="CERRADO",1,IF(V468="BRONCE",_xlpm.cPl,IF(V468="PLATA",_xlpm.cO,IF(V468="ORO",_xlpm.cP,IF(V468="PLATINO",_xlpm.cD,999))))))</f>
        <v>86.439123873763251</v>
      </c>
      <c r="AF4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468="CERRADO",0,IF(V468="BRONCE",1,IF(V468="PLATA",_xlpm.cPl,IF(V468="ORO",_xlpm.cO,IF(V468="PLATINO",_xlpm.cP,_xlpm.cD))))))</f>
        <v>63.199193273331495</v>
      </c>
      <c r="AG468">
        <f t="shared" si="178"/>
        <v>2.4899612431226359</v>
      </c>
      <c r="AH468" t="str">
        <f t="shared" si="179"/>
        <v>VENTAS</v>
      </c>
      <c r="AI468" t="str">
        <f t="shared" si="176"/>
        <v>🎯 Para subir de categoría, eje VENTAS / IMPACTO ABSOLUTO (H). Acción: metas semanales + activación comercial + seguimiento del asesor. ΔR aprox: 2,5</v>
      </c>
      <c r="AJ468" s="26">
        <f>_xlfn.LET(_xlpm.piso,AF468,_xlpm.corte,AE468,_xlpm.prog,IF(_xlpm.corte&lt;=_xlpm.piso,0,MAX(0,MIN(1,(U468-_xlpm.piso)/(_xlpm.corte-_xlpm.piso)))),_xlpm.orden,{"DIAMANTE";"PLATINO";"ORO";"PLATA";"BRONCE";"CERRADO"},_xlpm.act,IFERROR(MATCH(V468,_xlpm.orden,0),6),_xlpm.ant,IFERROR(MATCH(W468,_xlpm.orden,0),6),_xlpm.ajmov,IF(_xlpm.act&lt;_xlpm.ant,0.08,IF(_xlpm.act&gt;_xlpm.ant,-0.08,0)),_xlpm.ajcli,IF(T468&lt;0.95,-0.06,0),_xlpm.prob,MAX(0,MIN(1,_xlpm.prog+_xlpm.ajmov+_xlpm.ajcli)),IF(OR(V468="DIAMANTE",V468="CERRADO"),0,ROUND(_xlpm.prob,2)))</f>
        <v>0.89</v>
      </c>
      <c r="AK468" t="str">
        <f t="shared" si="180"/>
        <v>Faltan 2,5 puntos base para subir a la siguiente categoría</v>
      </c>
      <c r="AL468" t="str">
        <f t="shared" si="181"/>
        <v>Margen de seguridad: 20,7 puntos</v>
      </c>
      <c r="AM468">
        <f t="shared" si="182"/>
        <v>0.14000000000000001</v>
      </c>
      <c r="AN468" t="str">
        <f t="shared" si="183"/>
        <v>PRIORIDAD BAJA – control normal</v>
      </c>
      <c r="AO468">
        <f t="shared" si="184"/>
        <v>9.5591586923714615</v>
      </c>
      <c r="AP468">
        <f t="shared" si="185"/>
        <v>0.22224795228351546</v>
      </c>
      <c r="AQ468">
        <f t="shared" si="186"/>
        <v>3.1999999999998252E-2</v>
      </c>
      <c r="AR468">
        <f t="shared" si="187"/>
        <v>6.1</v>
      </c>
      <c r="AS468">
        <f t="shared" si="188"/>
        <v>0</v>
      </c>
      <c r="AT468" t="str">
        <f t="shared" si="189"/>
        <v>VENTAS</v>
      </c>
      <c r="AU468">
        <f t="shared" si="190"/>
        <v>9.5591586923714615</v>
      </c>
      <c r="AV468" t="str">
        <f t="shared" si="191"/>
        <v>Mayor retorno probable: VENTAS (+9,6 puntos finales potenciales).</v>
      </c>
    </row>
    <row r="469" spans="1:48" x14ac:dyDescent="0.3">
      <c r="A469" s="5">
        <v>51036611</v>
      </c>
      <c r="B469" s="5" t="str">
        <f>IFERROR(VLOOKUP(A469,VENTAS!$A$2:$B$1194,2,0),"")</f>
        <v>AYALA</v>
      </c>
      <c r="C469" s="5">
        <f>IFERROR(INDEX(VENTAS!$C$2:$E$1194,MATCH(A469,VENTAS!$A$2:$A$1194,0),MATCH(PARAMS_MODELO!$B$2,{"Q1","Q2","Q3"},0)),0)</f>
        <v>51384156.439999998</v>
      </c>
      <c r="D469" s="5">
        <f>IFERROR(INDEX(VENTAS!$F$2:$H$1194,MATCH(A469,VENTAS!$A$2:$A$1194,0),MATCH(PARAMS_MODELO!$B$2,{"Q1","Q2","Q3"},0)),0)</f>
        <v>81011385</v>
      </c>
      <c r="E469" s="8">
        <f t="shared" si="168"/>
        <v>0.57658295110079272</v>
      </c>
      <c r="F469" s="12">
        <f>IF(E469&lt;=PARAMS_MODELO!$B$15,0,IF(E469&gt;=PARAMS_MODELO!$B$17,100,100*MIN(1,(E469-PARAMS_MODELO!$B$15)/(PARAMS_MODELO!$B$16-PARAMS_MODELO!$B$15))))*PARAMS_MODELO!$B$7</f>
        <v>35</v>
      </c>
      <c r="G469" s="5">
        <f t="shared" si="169"/>
        <v>29627228.560000002</v>
      </c>
      <c r="H469" s="5">
        <f>(PARAMS_MODELO!$B$20*(MAX(0,MIN(3,E469))/3)+PARAMS_MODELO!$B$21*(IFERROR(LN(1+MAX(0,G469))/LN(1+MAX(0,MAX($G$2:$G$1194))),0)))*100*PARAMS_MODELO!$B$8</f>
        <v>6.0509460261218946</v>
      </c>
      <c r="I469" s="8">
        <f>E469-PARAMS_MODELO!$B$5</f>
        <v>0.39902011572526619</v>
      </c>
      <c r="J469" s="5">
        <f>IF(I469&lt;=PARAMS_MODELO!$B$18,0,IF(I469&gt;=PARAMS_MODELO!$B$19,100,100*(I469-PARAMS_MODELO!$B$18)/(PARAMS_MODELO!$B$19-PARAMS_MODELO!$B$18)))*PARAMS_MODELO!$B$9</f>
        <v>15</v>
      </c>
      <c r="K469" s="5">
        <f>IFERROR(CHOOSE(MATCH(PARAMS_MODELO!$B$2,{"Q1","Q2","Q3"},0),LOTO!$D469,LOTO!$F469,LOTO!$H469),0)</f>
        <v>3985000</v>
      </c>
      <c r="L469" s="8">
        <f t="shared" si="170"/>
        <v>4.9190616849718101E-2</v>
      </c>
      <c r="M469" s="5">
        <f>MIN(100,IF(PARAMS_MODELO!$B$23=0,0,100*L469/PARAMS_MODELO!$B$23))*PARAMS_MODELO!$B$10</f>
        <v>14.757185054915428</v>
      </c>
      <c r="N469" s="5">
        <f>IFERROR(VLOOKUP(A469,COMPLIANCE!$A$2:$F$1996,6,0),100)</f>
        <v>100</v>
      </c>
      <c r="O469" s="5">
        <f>N469*PARAMS_MODELO!$B$11</f>
        <v>10</v>
      </c>
      <c r="P469" s="5">
        <f>IFERROR(VLOOKUP(A469,DIGITAL!$A$2:$J$2000,7,0),100)</f>
        <v>85</v>
      </c>
      <c r="Q469" s="5">
        <f>IFERROR(P469,0)*PARAMS_MODELO!$B$12</f>
        <v>8.5</v>
      </c>
      <c r="R469">
        <f t="shared" si="171"/>
        <v>89.308131081037317</v>
      </c>
      <c r="S469" s="5" t="str">
        <f>IFERROR(VLOOKUP(A469,CLIENTE!$A$2:$N$2000,13,0),1)</f>
        <v>Regular</v>
      </c>
      <c r="T469" s="5">
        <f>IFERROR(VLOOKUP(A469,CLIENTE!$A$2:$N$2000,14,0),1)</f>
        <v>1</v>
      </c>
      <c r="U469" s="5">
        <f t="shared" si="172"/>
        <v>89.308131081037317</v>
      </c>
      <c r="V469" s="5" t="str">
        <f>IF(U469&gt;=MAX(_xlfn.PERCENTILE.INC($U$2:$U$1194,PARAMS_MODELO!$B$50),PARAMS_MODELO!$B$45),"DIAMANTE",IF(U469&gt;=MAX(_xlfn.PERCENTILE.INC($U$2:$U$1194,PARAMS_MODELO!$B$51),PARAMS_MODELO!$B$46),"PLATINO",IF(U469&gt;=MAX(_xlfn.PERCENTILE.INC($U$2:$U$1194,PARAMS_MODELO!$B$52),PARAMS_MODELO!$B$47),"ORO",IF(U469&gt;=MAX(_xlfn.PERCENTILE.INC($U$2:$U$1194,PARAMS_MODELO!$B$53),PARAMS_MODELO!$B$48),"PLATA",IF(U469&gt;=1,"BRONCE","CERRADO")))))</f>
        <v>PLATINO</v>
      </c>
      <c r="W469" s="5" t="str" cm="1">
        <f t="array" ref="W469">_xlfn.XLOOKUP(1, (HIST_SCORE!$B:$B=PARAMS_MODELO!$B$4) * (HIST_SCORE!$C:$C=A469), HIST_SCORE!$E:$E, "No encontrado")</f>
        <v>PLATINO</v>
      </c>
      <c r="X469" s="5" t="str">
        <f>_xlfn.LET(_xlpm.act,MATCH(V469,{"DIAMANTE";"PLATINO";"ORO";"PLATA";"BRONCE";"CERRADO"},0),_xlpm.ant,MATCH(W469,{"DIAMANTE";"PLATINO";"ORO";"PLATA";"BRONCE";"CERRADO"},0),IF(_xlpm.act&lt;_xlpm.ant,"Mejora ↑",IF(_xlpm.act&gt;_xlpm.ant,"Baja ↓","Estable →")))</f>
        <v>Estable →</v>
      </c>
      <c r="Y469" s="5">
        <f>IFERROR(U469-SUMIFS(HIST_SCORE!$D:$D,HIST_SCORE!$B:$B,PARAMS_MODELO!$B$4,HIST_SCORE!$C:$C,$A469),"")</f>
        <v>0.32440071359295075</v>
      </c>
      <c r="Z469" s="5" t="str">
        <f t="shared" si="173"/>
        <v>→ Estable</v>
      </c>
      <c r="AA469" s="5">
        <f t="shared" si="174"/>
        <v>157</v>
      </c>
      <c r="AB469" s="5">
        <f>IFERROR(SUMIFS(HIST_SCORE!$F:$F,HIST_SCORE!$B:$B,PARAMS_MODELO!$B$4,HIST_SCORE!$C:$C,$A469),"")</f>
        <v>154</v>
      </c>
      <c r="AC469" s="5">
        <f t="shared" si="175"/>
        <v>-3</v>
      </c>
      <c r="AD469" t="str">
        <f t="shared" si="177"/>
        <v/>
      </c>
      <c r="AE4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469="CERRADO",1,IF(V469="BRONCE",_xlpm.cPl,IF(V469="PLATA",_xlpm.cO,IF(V469="ORO",_xlpm.cP,IF(V469="PLATINO",_xlpm.cD,999))))))</f>
        <v>96.054919694466676</v>
      </c>
      <c r="AF4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469="CERRADO",0,IF(V469="BRONCE",1,IF(V469="PLATA",_xlpm.cPl,IF(V469="ORO",_xlpm.cO,IF(V469="PLATINO",_xlpm.cP,_xlpm.cD))))))</f>
        <v>86.439123873763251</v>
      </c>
      <c r="AG469">
        <f t="shared" si="178"/>
        <v>6.7467886134293593</v>
      </c>
      <c r="AH469" t="str">
        <f t="shared" si="179"/>
        <v>VENTAS</v>
      </c>
      <c r="AI469" t="str">
        <f t="shared" si="176"/>
        <v>🎯 Para subir de categoría, eje VENTAS / IMPACTO ABSOLUTO (H). Acción: metas semanales + activación comercial + seguimiento del asesor. ΔR aprox: 6,7</v>
      </c>
      <c r="AJ469" s="26">
        <f>_xlfn.LET(_xlpm.piso,AF469,_xlpm.corte,AE469,_xlpm.prog,IF(_xlpm.corte&lt;=_xlpm.piso,0,MAX(0,MIN(1,(U469-_xlpm.piso)/(_xlpm.corte-_xlpm.piso)))),_xlpm.orden,{"DIAMANTE";"PLATINO";"ORO";"PLATA";"BRONCE";"CERRADO"},_xlpm.act,IFERROR(MATCH(V469,_xlpm.orden,0),6),_xlpm.ant,IFERROR(MATCH(W469,_xlpm.orden,0),6),_xlpm.ajmov,IF(_xlpm.act&lt;_xlpm.ant,0.08,IF(_xlpm.act&gt;_xlpm.ant,-0.08,0)),_xlpm.ajcli,IF(T469&lt;0.95,-0.06,0),_xlpm.prob,MAX(0,MIN(1,_xlpm.prog+_xlpm.ajmov+_xlpm.ajcli)),IF(OR(V469="DIAMANTE",V469="CERRADO"),0,ROUND(_xlpm.prob,2)))</f>
        <v>0.3</v>
      </c>
      <c r="AK469" t="str">
        <f t="shared" si="180"/>
        <v>Faltan 6,7 puntos base para subir a la siguiente categoría</v>
      </c>
      <c r="AL469" t="str">
        <f t="shared" si="181"/>
        <v>Margen de seguridad: 2,9 puntos</v>
      </c>
      <c r="AM469">
        <f t="shared" si="182"/>
        <v>0.55000000000000004</v>
      </c>
      <c r="AN469" t="str">
        <f t="shared" si="183"/>
        <v>PRIORIDAD MEDIA – seguimiento del asesor</v>
      </c>
      <c r="AO469">
        <f t="shared" si="184"/>
        <v>8.8116232491736923</v>
      </c>
      <c r="AP469">
        <f t="shared" si="185"/>
        <v>0.24281494508457158</v>
      </c>
      <c r="AQ469">
        <f t="shared" si="186"/>
        <v>0</v>
      </c>
      <c r="AR469">
        <f t="shared" si="187"/>
        <v>1.5</v>
      </c>
      <c r="AS469">
        <f t="shared" si="188"/>
        <v>0</v>
      </c>
      <c r="AT469" t="str">
        <f t="shared" si="189"/>
        <v>VENTAS</v>
      </c>
      <c r="AU469">
        <f t="shared" si="190"/>
        <v>8.8116232491736923</v>
      </c>
      <c r="AV469" t="str">
        <f t="shared" si="191"/>
        <v>Mayor retorno probable: VENTAS (+8,8 puntos finales potenciales).</v>
      </c>
    </row>
    <row r="470" spans="1:48" x14ac:dyDescent="0.3">
      <c r="A470" s="5">
        <v>51010035</v>
      </c>
      <c r="B470" s="5" t="str">
        <f>IFERROR(VLOOKUP(A470,VENTAS!$A$2:$B$1194,2,0),"")</f>
        <v>AYALA</v>
      </c>
      <c r="C470" s="5">
        <f>IFERROR(INDEX(VENTAS!$C$2:$E$1194,MATCH(A470,VENTAS!$A$2:$A$1194,0),MATCH(PARAMS_MODELO!$B$2,{"Q1","Q2","Q3"},0)),0)</f>
        <v>47011191.150000013</v>
      </c>
      <c r="D470" s="5">
        <f>IFERROR(INDEX(VENTAS!$F$2:$H$1194,MATCH(A470,VENTAS!$A$2:$A$1194,0),MATCH(PARAMS_MODELO!$B$2,{"Q1","Q2","Q3"},0)),0)</f>
        <v>80975083</v>
      </c>
      <c r="E470" s="8">
        <f t="shared" si="168"/>
        <v>0.72246397121975447</v>
      </c>
      <c r="F470" s="12">
        <f>IF(E470&lt;=PARAMS_MODELO!$B$15,0,IF(E470&gt;=PARAMS_MODELO!$B$17,100,100*MIN(1,(E470-PARAMS_MODELO!$B$15)/(PARAMS_MODELO!$B$16-PARAMS_MODELO!$B$15))))*PARAMS_MODELO!$B$7</f>
        <v>35</v>
      </c>
      <c r="G470" s="5">
        <f t="shared" si="169"/>
        <v>33963891.849999987</v>
      </c>
      <c r="H470" s="5">
        <f>(PARAMS_MODELO!$B$20*(MAX(0,MIN(3,E470))/3)+PARAMS_MODELO!$B$21*(IFERROR(LN(1+MAX(0,G470))/LN(1+MAX(0,MAX($G$2:$G$1194))),0)))*100*PARAMS_MODELO!$B$8</f>
        <v>6.5935515115318779</v>
      </c>
      <c r="I470" s="8">
        <f>E470-PARAMS_MODELO!$B$5</f>
        <v>0.54490113584422795</v>
      </c>
      <c r="J470" s="5">
        <f>IF(I470&lt;=PARAMS_MODELO!$B$18,0,IF(I470&gt;=PARAMS_MODELO!$B$19,100,100*(I470-PARAMS_MODELO!$B$18)/(PARAMS_MODELO!$B$19-PARAMS_MODELO!$B$18)))*PARAMS_MODELO!$B$9</f>
        <v>15</v>
      </c>
      <c r="K470" s="5">
        <f>IFERROR(CHOOSE(MATCH(PARAMS_MODELO!$B$2,{"Q1","Q2","Q3"},0),LOTO!$D470,LOTO!$F470,LOTO!$H470),0)</f>
        <v>3977500</v>
      </c>
      <c r="L470" s="8">
        <f t="shared" si="170"/>
        <v>4.912004844749588E-2</v>
      </c>
      <c r="M470" s="5">
        <f>MIN(100,IF(PARAMS_MODELO!$B$23=0,0,100*L470/PARAMS_MODELO!$B$23))*PARAMS_MODELO!$B$10</f>
        <v>14.736014534248762</v>
      </c>
      <c r="N470" s="5">
        <f>IFERROR(VLOOKUP(A470,COMPLIANCE!$A$2:$F$1996,6,0),100)</f>
        <v>100</v>
      </c>
      <c r="O470" s="5">
        <f>N470*PARAMS_MODELO!$B$11</f>
        <v>10</v>
      </c>
      <c r="P470" s="5">
        <f>IFERROR(VLOOKUP(A470,DIGITAL!$A$2:$J$2000,7,0),100)</f>
        <v>16</v>
      </c>
      <c r="Q470" s="5">
        <f>IFERROR(P470,0)*PARAMS_MODELO!$B$12</f>
        <v>1.6</v>
      </c>
      <c r="R470">
        <f t="shared" si="171"/>
        <v>82.929566045780632</v>
      </c>
      <c r="S470" s="5" t="str">
        <f>IFERROR(VLOOKUP(A470,CLIENTE!$A$2:$N$2000,13,0),1)</f>
        <v>Bueno</v>
      </c>
      <c r="T470" s="5">
        <f>IFERROR(VLOOKUP(A470,CLIENTE!$A$2:$N$2000,14,0),1)</f>
        <v>1.1000000000000001</v>
      </c>
      <c r="U470" s="5">
        <f t="shared" si="172"/>
        <v>91.222522650358698</v>
      </c>
      <c r="V470" s="5" t="str">
        <f>IF(U470&gt;=MAX(_xlfn.PERCENTILE.INC($U$2:$U$1194,PARAMS_MODELO!$B$50),PARAMS_MODELO!$B$45),"DIAMANTE",IF(U470&gt;=MAX(_xlfn.PERCENTILE.INC($U$2:$U$1194,PARAMS_MODELO!$B$51),PARAMS_MODELO!$B$46),"PLATINO",IF(U470&gt;=MAX(_xlfn.PERCENTILE.INC($U$2:$U$1194,PARAMS_MODELO!$B$52),PARAMS_MODELO!$B$47),"ORO",IF(U470&gt;=MAX(_xlfn.PERCENTILE.INC($U$2:$U$1194,PARAMS_MODELO!$B$53),PARAMS_MODELO!$B$48),"PLATA",IF(U470&gt;=1,"BRONCE","CERRADO")))))</f>
        <v>PLATINO</v>
      </c>
      <c r="W470" s="5" t="str" cm="1">
        <f t="array" ref="W470">_xlfn.XLOOKUP(1, (HIST_SCORE!$B:$B=PARAMS_MODELO!$B$4) * (HIST_SCORE!$C:$C=A470), HIST_SCORE!$E:$E, "No encontrado")</f>
        <v>PLATINO</v>
      </c>
      <c r="X470" s="5" t="str">
        <f>_xlfn.LET(_xlpm.act,MATCH(V470,{"DIAMANTE";"PLATINO";"ORO";"PLATA";"BRONCE";"CERRADO"},0),_xlpm.ant,MATCH(W470,{"DIAMANTE";"PLATINO";"ORO";"PLATA";"BRONCE";"CERRADO"},0),IF(_xlpm.act&lt;_xlpm.ant,"Mejora ↑",IF(_xlpm.act&gt;_xlpm.ant,"Baja ↓","Estable →")))</f>
        <v>Estable →</v>
      </c>
      <c r="Y470" s="5">
        <f>IFERROR(U470-SUMIFS(HIST_SCORE!$D:$D,HIST_SCORE!$B:$B,PARAMS_MODELO!$B$4,HIST_SCORE!$C:$C,$A470),"")</f>
        <v>2.1961033557217036</v>
      </c>
      <c r="Z470" s="5" t="str">
        <f t="shared" si="173"/>
        <v>→ Estable</v>
      </c>
      <c r="AA470" s="5">
        <f t="shared" si="174"/>
        <v>113</v>
      </c>
      <c r="AB470" s="5">
        <f>IFERROR(SUMIFS(HIST_SCORE!$F:$F,HIST_SCORE!$B:$B,PARAMS_MODELO!$B$4,HIST_SCORE!$C:$C,$A470),"")</f>
        <v>152</v>
      </c>
      <c r="AC470" s="5">
        <f t="shared" si="175"/>
        <v>39</v>
      </c>
      <c r="AD470" t="str">
        <f t="shared" si="177"/>
        <v/>
      </c>
      <c r="AE4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470="CERRADO",1,IF(V470="BRONCE",_xlpm.cPl,IF(V470="PLATA",_xlpm.cO,IF(V470="ORO",_xlpm.cP,IF(V470="PLATINO",_xlpm.cD,999))))))</f>
        <v>96.054919694466676</v>
      </c>
      <c r="AF4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470="CERRADO",0,IF(V470="BRONCE",1,IF(V470="PLATA",_xlpm.cPl,IF(V470="ORO",_xlpm.cO,IF(V470="PLATINO",_xlpm.cP,_xlpm.cD))))))</f>
        <v>86.439123873763251</v>
      </c>
      <c r="AG470">
        <f t="shared" si="178"/>
        <v>4.3930882219163436</v>
      </c>
      <c r="AH470" t="str">
        <f t="shared" si="179"/>
        <v>VENTAS</v>
      </c>
      <c r="AI470" t="str">
        <f t="shared" si="176"/>
        <v>🎯 Para subir de categoría, eje VENTAS / IMPACTO ABSOLUTO (H). Acción: metas semanales + activación comercial + seguimiento del asesor. ΔR aprox: 4,4</v>
      </c>
      <c r="AJ470" s="26">
        <f>_xlfn.LET(_xlpm.piso,AF470,_xlpm.corte,AE470,_xlpm.prog,IF(_xlpm.corte&lt;=_xlpm.piso,0,MAX(0,MIN(1,(U470-_xlpm.piso)/(_xlpm.corte-_xlpm.piso)))),_xlpm.orden,{"DIAMANTE";"PLATINO";"ORO";"PLATA";"BRONCE";"CERRADO"},_xlpm.act,IFERROR(MATCH(V470,_xlpm.orden,0),6),_xlpm.ant,IFERROR(MATCH(W470,_xlpm.orden,0),6),_xlpm.ajmov,IF(_xlpm.act&lt;_xlpm.ant,0.08,IF(_xlpm.act&gt;_xlpm.ant,-0.08,0)),_xlpm.ajcli,IF(T470&lt;0.95,-0.06,0),_xlpm.prob,MAX(0,MIN(1,_xlpm.prog+_xlpm.ajmov+_xlpm.ajcli)),IF(OR(V470="DIAMANTE",V470="CERRADO"),0,ROUND(_xlpm.prob,2)))</f>
        <v>0.5</v>
      </c>
      <c r="AK470" t="str">
        <f t="shared" si="180"/>
        <v>Faltan 4,4 puntos base para subir a la siguiente categoría</v>
      </c>
      <c r="AL470" t="str">
        <f t="shared" si="181"/>
        <v>Margen de seguridad: 4,8 puntos</v>
      </c>
      <c r="AM470">
        <f t="shared" si="182"/>
        <v>0.38</v>
      </c>
      <c r="AN470" t="str">
        <f t="shared" si="183"/>
        <v>PRIORIDAD BAJA – control normal</v>
      </c>
      <c r="AO470">
        <f t="shared" si="184"/>
        <v>9.095919540140077</v>
      </c>
      <c r="AP470">
        <f t="shared" si="185"/>
        <v>0.29038401232636224</v>
      </c>
      <c r="AQ470">
        <f t="shared" si="186"/>
        <v>0</v>
      </c>
      <c r="AR470">
        <f t="shared" si="187"/>
        <v>9.240000000000002</v>
      </c>
      <c r="AS470">
        <f t="shared" si="188"/>
        <v>0</v>
      </c>
      <c r="AT470" t="str">
        <f t="shared" si="189"/>
        <v>DIGITAL</v>
      </c>
      <c r="AU470">
        <f t="shared" si="190"/>
        <v>9.240000000000002</v>
      </c>
      <c r="AV470" t="str">
        <f t="shared" si="191"/>
        <v>Mayor retorno probable: DIGITAL (+9,2 puntos finales potenciales).</v>
      </c>
    </row>
    <row r="471" spans="1:48" x14ac:dyDescent="0.3">
      <c r="A471" s="5">
        <v>51035682</v>
      </c>
      <c r="B471" s="5" t="str">
        <f>IFERROR(VLOOKUP(A471,VENTAS!$A$2:$B$1194,2,0),"")</f>
        <v>CICHETTO</v>
      </c>
      <c r="C471" s="5">
        <f>IFERROR(INDEX(VENTAS!$C$2:$E$1194,MATCH(A471,VENTAS!$A$2:$A$1194,0),MATCH(PARAMS_MODELO!$B$2,{"Q1","Q2","Q3"},0)),0)</f>
        <v>73404222.929999992</v>
      </c>
      <c r="D471" s="5">
        <f>IFERROR(INDEX(VENTAS!$F$2:$H$1194,MATCH(A471,VENTAS!$A$2:$A$1194,0),MATCH(PARAMS_MODELO!$B$2,{"Q1","Q2","Q3"},0)),0)</f>
        <v>80911377</v>
      </c>
      <c r="E471" s="8">
        <f t="shared" si="168"/>
        <v>0.10227141941355344</v>
      </c>
      <c r="F471" s="12">
        <f>IF(E471&lt;=PARAMS_MODELO!$B$15,0,IF(E471&gt;=PARAMS_MODELO!$B$17,100,100*MIN(1,(E471-PARAMS_MODELO!$B$15)/(PARAMS_MODELO!$B$16-PARAMS_MODELO!$B$15))))*PARAMS_MODELO!$B$7</f>
        <v>35</v>
      </c>
      <c r="G471" s="5">
        <f t="shared" si="169"/>
        <v>7507154.0700000077</v>
      </c>
      <c r="H471" s="5">
        <f>(PARAMS_MODELO!$B$20*(MAX(0,MIN(3,E471))/3)+PARAMS_MODELO!$B$21*(IFERROR(LN(1+MAX(0,G471))/LN(1+MAX(0,MAX($G$2:$G$1194))),0)))*100*PARAMS_MODELO!$B$8</f>
        <v>4.069043440804653</v>
      </c>
      <c r="I471" s="8">
        <f>E471-PARAMS_MODELO!$B$5</f>
        <v>-7.5291415961973085E-2</v>
      </c>
      <c r="J471" s="5">
        <f>IF(I471&lt;=PARAMS_MODELO!$B$18,0,IF(I471&gt;=PARAMS_MODELO!$B$19,100,100*(I471-PARAMS_MODELO!$B$18)/(PARAMS_MODELO!$B$19-PARAMS_MODELO!$B$18)))*PARAMS_MODELO!$B$9</f>
        <v>0</v>
      </c>
      <c r="K471" s="5">
        <f>IFERROR(CHOOSE(MATCH(PARAMS_MODELO!$B$2,{"Q1","Q2","Q3"},0),LOTO!$D471,LOTO!$F471,LOTO!$H471),0)</f>
        <v>3975000</v>
      </c>
      <c r="L471" s="8">
        <f t="shared" si="170"/>
        <v>4.9127825373680142E-2</v>
      </c>
      <c r="M471" s="5">
        <f>MIN(100,IF(PARAMS_MODELO!$B$23=0,0,100*L471/PARAMS_MODELO!$B$23))*PARAMS_MODELO!$B$10</f>
        <v>14.738347612104041</v>
      </c>
      <c r="N471" s="5">
        <f>IFERROR(VLOOKUP(A471,COMPLIANCE!$A$2:$F$1996,6,0),100)</f>
        <v>99.85</v>
      </c>
      <c r="O471" s="5">
        <f>N471*PARAMS_MODELO!$B$11</f>
        <v>9.9849999999999994</v>
      </c>
      <c r="P471" s="5">
        <f>IFERROR(VLOOKUP(A471,DIGITAL!$A$2:$J$2000,7,0),100)</f>
        <v>33</v>
      </c>
      <c r="Q471" s="5">
        <f>IFERROR(P471,0)*PARAMS_MODELO!$B$12</f>
        <v>3.3000000000000003</v>
      </c>
      <c r="R471">
        <f t="shared" si="171"/>
        <v>67.092391052908695</v>
      </c>
      <c r="S471" s="5" t="str">
        <f>IFERROR(VLOOKUP(A471,CLIENTE!$A$2:$N$2000,13,0),1)</f>
        <v>Regular</v>
      </c>
      <c r="T471" s="5">
        <f>IFERROR(VLOOKUP(A471,CLIENTE!$A$2:$N$2000,14,0),1)</f>
        <v>1</v>
      </c>
      <c r="U471" s="5">
        <f t="shared" si="172"/>
        <v>67.092391052908695</v>
      </c>
      <c r="V471" s="5" t="str">
        <f>IF(U471&gt;=MAX(_xlfn.PERCENTILE.INC($U$2:$U$1194,PARAMS_MODELO!$B$50),PARAMS_MODELO!$B$45),"DIAMANTE",IF(U471&gt;=MAX(_xlfn.PERCENTILE.INC($U$2:$U$1194,PARAMS_MODELO!$B$51),PARAMS_MODELO!$B$46),"PLATINO",IF(U471&gt;=MAX(_xlfn.PERCENTILE.INC($U$2:$U$1194,PARAMS_MODELO!$B$52),PARAMS_MODELO!$B$47),"ORO",IF(U471&gt;=MAX(_xlfn.PERCENTILE.INC($U$2:$U$1194,PARAMS_MODELO!$B$53),PARAMS_MODELO!$B$48),"PLATA",IF(U471&gt;=1,"BRONCE","CERRADO")))))</f>
        <v>ORO</v>
      </c>
      <c r="W471" s="5" t="str" cm="1">
        <f t="array" ref="W471">_xlfn.XLOOKUP(1, (HIST_SCORE!$B:$B=PARAMS_MODELO!$B$4) * (HIST_SCORE!$C:$C=A471), HIST_SCORE!$E:$E, "No encontrado")</f>
        <v>PLATA</v>
      </c>
      <c r="X471" s="5" t="str">
        <f>_xlfn.LET(_xlpm.act,MATCH(V471,{"DIAMANTE";"PLATINO";"ORO";"PLATA";"BRONCE";"CERRADO"},0),_xlpm.ant,MATCH(W471,{"DIAMANTE";"PLATINO";"ORO";"PLATA";"BRONCE";"CERRADO"},0),IF(_xlpm.act&lt;_xlpm.ant,"Mejora ↑",IF(_xlpm.act&gt;_xlpm.ant,"Baja ↓","Estable →")))</f>
        <v>Mejora ↑</v>
      </c>
      <c r="Y471" s="5">
        <f>IFERROR(U471-SUMIFS(HIST_SCORE!$D:$D,HIST_SCORE!$B:$B,PARAMS_MODELO!$B$4,HIST_SCORE!$C:$C,$A471),"")</f>
        <v>25.344044342107168</v>
      </c>
      <c r="Z471" s="5" t="str">
        <f t="shared" si="173"/>
        <v>↑ Mejora</v>
      </c>
      <c r="AA471" s="5">
        <f t="shared" si="174"/>
        <v>537</v>
      </c>
      <c r="AB471" s="5">
        <f>IFERROR(SUMIFS(HIST_SCORE!$F:$F,HIST_SCORE!$B:$B,PARAMS_MODELO!$B$4,HIST_SCORE!$C:$C,$A471),"")</f>
        <v>841</v>
      </c>
      <c r="AC471" s="5">
        <f t="shared" si="175"/>
        <v>304</v>
      </c>
      <c r="AD471" t="str">
        <f t="shared" si="177"/>
        <v/>
      </c>
      <c r="AE4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471="CERRADO",1,IF(V471="BRONCE",_xlpm.cPl,IF(V471="PLATA",_xlpm.cO,IF(V471="ORO",_xlpm.cP,IF(V471="PLATINO",_xlpm.cD,999))))))</f>
        <v>86.439123873763251</v>
      </c>
      <c r="AF4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471="CERRADO",0,IF(V471="BRONCE",1,IF(V471="PLATA",_xlpm.cPl,IF(V471="ORO",_xlpm.cO,IF(V471="PLATINO",_xlpm.cP,_xlpm.cD))))))</f>
        <v>63.199193273331495</v>
      </c>
      <c r="AG471">
        <f t="shared" si="178"/>
        <v>19.346732820854555</v>
      </c>
      <c r="AH471" t="str">
        <f t="shared" si="179"/>
        <v>VENTAS</v>
      </c>
      <c r="AI471" t="str">
        <f t="shared" si="176"/>
        <v>🎯 Para subir de categoría, eje VENTAS / DIFERENCIAL vs LOTBA (J). Acción: metas semanales + activación comercial + seguimiento del asesor. ΔR aprox: 19,3</v>
      </c>
      <c r="AJ471" s="26">
        <f>_xlfn.LET(_xlpm.piso,AF471,_xlpm.corte,AE471,_xlpm.prog,IF(_xlpm.corte&lt;=_xlpm.piso,0,MAX(0,MIN(1,(U471-_xlpm.piso)/(_xlpm.corte-_xlpm.piso)))),_xlpm.orden,{"DIAMANTE";"PLATINO";"ORO";"PLATA";"BRONCE";"CERRADO"},_xlpm.act,IFERROR(MATCH(V471,_xlpm.orden,0),6),_xlpm.ant,IFERROR(MATCH(W471,_xlpm.orden,0),6),_xlpm.ajmov,IF(_xlpm.act&lt;_xlpm.ant,0.08,IF(_xlpm.act&gt;_xlpm.ant,-0.08,0)),_xlpm.ajcli,IF(T471&lt;0.95,-0.06,0),_xlpm.prob,MAX(0,MIN(1,_xlpm.prog+_xlpm.ajmov+_xlpm.ajcli)),IF(OR(V471="DIAMANTE",V471="CERRADO"),0,ROUND(_xlpm.prob,2)))</f>
        <v>0.25</v>
      </c>
      <c r="AK471" t="str">
        <f t="shared" si="180"/>
        <v>Faltan 19,3 puntos base para subir a la siguiente categoría</v>
      </c>
      <c r="AL471" t="str">
        <f t="shared" si="181"/>
        <v>Margen de seguridad: 3,9 puntos</v>
      </c>
      <c r="AM471">
        <f t="shared" si="182"/>
        <v>0.7</v>
      </c>
      <c r="AN471" t="str">
        <f t="shared" si="183"/>
        <v>PRIORIDAD ALTA – requiere intervención inmediata</v>
      </c>
      <c r="AO471">
        <f t="shared" si="184"/>
        <v>25.793525834490929</v>
      </c>
      <c r="AP471">
        <f t="shared" si="185"/>
        <v>0.26165238789595868</v>
      </c>
      <c r="AQ471">
        <f t="shared" si="186"/>
        <v>1.5000000000000568E-2</v>
      </c>
      <c r="AR471">
        <f t="shared" si="187"/>
        <v>6.6999999999999993</v>
      </c>
      <c r="AS471">
        <f t="shared" si="188"/>
        <v>0</v>
      </c>
      <c r="AT471" t="str">
        <f t="shared" si="189"/>
        <v>VENTAS</v>
      </c>
      <c r="AU471">
        <f t="shared" si="190"/>
        <v>25.793525834490929</v>
      </c>
      <c r="AV471" t="str">
        <f t="shared" si="191"/>
        <v>Mayor retorno probable: VENTAS (+25,8 puntos finales potenciales).</v>
      </c>
    </row>
    <row r="472" spans="1:48" x14ac:dyDescent="0.3">
      <c r="A472" s="5">
        <v>51016416</v>
      </c>
      <c r="B472" s="5" t="str">
        <f>IFERROR(VLOOKUP(A472,VENTAS!$A$2:$B$1194,2,0),"")</f>
        <v>CICHETTO</v>
      </c>
      <c r="C472" s="5">
        <f>IFERROR(INDEX(VENTAS!$C$2:$E$1194,MATCH(A472,VENTAS!$A$2:$A$1194,0),MATCH(PARAMS_MODELO!$B$2,{"Q1","Q2","Q3"},0)),0)</f>
        <v>71796665.039999992</v>
      </c>
      <c r="D472" s="5">
        <f>IFERROR(INDEX(VENTAS!$F$2:$H$1194,MATCH(A472,VENTAS!$A$2:$A$1194,0),MATCH(PARAMS_MODELO!$B$2,{"Q1","Q2","Q3"},0)),0)</f>
        <v>80605635</v>
      </c>
      <c r="E472" s="8">
        <f t="shared" si="168"/>
        <v>0.12269330274731116</v>
      </c>
      <c r="F472" s="12">
        <f>IF(E472&lt;=PARAMS_MODELO!$B$15,0,IF(E472&gt;=PARAMS_MODELO!$B$17,100,100*MIN(1,(E472-PARAMS_MODELO!$B$15)/(PARAMS_MODELO!$B$16-PARAMS_MODELO!$B$15))))*PARAMS_MODELO!$B$7</f>
        <v>35</v>
      </c>
      <c r="G472" s="5">
        <f t="shared" si="169"/>
        <v>8808969.9600000083</v>
      </c>
      <c r="H472" s="5">
        <f>(PARAMS_MODELO!$B$20*(MAX(0,MIN(3,E472))/3)+PARAMS_MODELO!$B$21*(IFERROR(LN(1+MAX(0,G472))/LN(1+MAX(0,MAX($G$2:$G$1194))),0)))*100*PARAMS_MODELO!$B$8</f>
        <v>4.1780061193343281</v>
      </c>
      <c r="I472" s="8">
        <f>E472-PARAMS_MODELO!$B$5</f>
        <v>-5.4869532628215367E-2</v>
      </c>
      <c r="J472" s="5">
        <f>IF(I472&lt;=PARAMS_MODELO!$B$18,0,IF(I472&gt;=PARAMS_MODELO!$B$19,100,100*(I472-PARAMS_MODELO!$B$18)/(PARAMS_MODELO!$B$19-PARAMS_MODELO!$B$18)))*PARAMS_MODELO!$B$9</f>
        <v>0</v>
      </c>
      <c r="K472" s="5">
        <f>IFERROR(CHOOSE(MATCH(PARAMS_MODELO!$B$2,{"Q1","Q2","Q3"},0),LOTO!$D472,LOTO!$F472,LOTO!$H472),0)</f>
        <v>3970000</v>
      </c>
      <c r="L472" s="8">
        <f t="shared" si="170"/>
        <v>4.9252139754249191E-2</v>
      </c>
      <c r="M472" s="5">
        <f>MIN(100,IF(PARAMS_MODELO!$B$23=0,0,100*L472/PARAMS_MODELO!$B$23))*PARAMS_MODELO!$B$10</f>
        <v>14.775641926274755</v>
      </c>
      <c r="N472" s="5">
        <f>IFERROR(VLOOKUP(A472,COMPLIANCE!$A$2:$F$1996,6,0),100)</f>
        <v>100</v>
      </c>
      <c r="O472" s="5">
        <f>N472*PARAMS_MODELO!$B$11</f>
        <v>10</v>
      </c>
      <c r="P472" s="5">
        <f>IFERROR(VLOOKUP(A472,DIGITAL!$A$2:$J$2000,7,0),100)</f>
        <v>54</v>
      </c>
      <c r="Q472" s="5">
        <f>IFERROR(P472,0)*PARAMS_MODELO!$B$12</f>
        <v>5.4</v>
      </c>
      <c r="R472">
        <f t="shared" si="171"/>
        <v>69.353648045609091</v>
      </c>
      <c r="S472" s="5" t="str">
        <f>IFERROR(VLOOKUP(A472,CLIENTE!$A$2:$N$2000,13,0),1)</f>
        <v>Malo</v>
      </c>
      <c r="T472" s="5">
        <f>IFERROR(VLOOKUP(A472,CLIENTE!$A$2:$N$2000,14,0),1)</f>
        <v>0.7</v>
      </c>
      <c r="U472" s="5">
        <f t="shared" si="172"/>
        <v>48.547553631926363</v>
      </c>
      <c r="V472" s="5" t="str">
        <f>IF(U472&gt;=MAX(_xlfn.PERCENTILE.INC($U$2:$U$1194,PARAMS_MODELO!$B$50),PARAMS_MODELO!$B$45),"DIAMANTE",IF(U472&gt;=MAX(_xlfn.PERCENTILE.INC($U$2:$U$1194,PARAMS_MODELO!$B$51),PARAMS_MODELO!$B$46),"PLATINO",IF(U472&gt;=MAX(_xlfn.PERCENTILE.INC($U$2:$U$1194,PARAMS_MODELO!$B$52),PARAMS_MODELO!$B$47),"ORO",IF(U472&gt;=MAX(_xlfn.PERCENTILE.INC($U$2:$U$1194,PARAMS_MODELO!$B$53),PARAMS_MODELO!$B$48),"PLATA",IF(U472&gt;=1,"BRONCE","CERRADO")))))</f>
        <v>PLATA</v>
      </c>
      <c r="W472" s="5" t="str" cm="1">
        <f t="array" ref="W472">_xlfn.XLOOKUP(1, (HIST_SCORE!$B:$B=PARAMS_MODELO!$B$4) * (HIST_SCORE!$C:$C=A472), HIST_SCORE!$E:$E, "No encontrado")</f>
        <v>PLATA</v>
      </c>
      <c r="X472" s="5" t="str">
        <f>_xlfn.LET(_xlpm.act,MATCH(V472,{"DIAMANTE";"PLATINO";"ORO";"PLATA";"BRONCE";"CERRADO"},0),_xlpm.ant,MATCH(W472,{"DIAMANTE";"PLATINO";"ORO";"PLATA";"BRONCE";"CERRADO"},0),IF(_xlpm.act&lt;_xlpm.ant,"Mejora ↑",IF(_xlpm.act&gt;_xlpm.ant,"Baja ↓","Estable →")))</f>
        <v>Estable →</v>
      </c>
      <c r="Y472" s="5">
        <f>IFERROR(U472-SUMIFS(HIST_SCORE!$D:$D,HIST_SCORE!$B:$B,PARAMS_MODELO!$B$4,HIST_SCORE!$C:$C,$A472),"")</f>
        <v>2.1222746857408836</v>
      </c>
      <c r="Z472" s="5" t="str">
        <f t="shared" si="173"/>
        <v>→ Estable</v>
      </c>
      <c r="AA472" s="5">
        <f t="shared" si="174"/>
        <v>751</v>
      </c>
      <c r="AB472" s="5">
        <f>IFERROR(SUMIFS(HIST_SCORE!$F:$F,HIST_SCORE!$B:$B,PARAMS_MODELO!$B$4,HIST_SCORE!$C:$C,$A472),"")</f>
        <v>812</v>
      </c>
      <c r="AC472" s="5">
        <f t="shared" si="175"/>
        <v>61</v>
      </c>
      <c r="AD472" t="str">
        <f t="shared" si="177"/>
        <v/>
      </c>
      <c r="AE4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472="CERRADO",1,IF(V472="BRONCE",_xlpm.cPl,IF(V472="PLATA",_xlpm.cO,IF(V472="ORO",_xlpm.cP,IF(V472="PLATINO",_xlpm.cD,999))))))</f>
        <v>63.199193273331495</v>
      </c>
      <c r="AF4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472="CERRADO",0,IF(V472="BRONCE",1,IF(V472="PLATA",_xlpm.cPl,IF(V472="ORO",_xlpm.cO,IF(V472="PLATINO",_xlpm.cP,_xlpm.cD))))))</f>
        <v>24.506573482968111</v>
      </c>
      <c r="AG472">
        <f t="shared" si="178"/>
        <v>20.930913773435904</v>
      </c>
      <c r="AH472" t="str">
        <f t="shared" si="179"/>
        <v>CLIENTE</v>
      </c>
      <c r="AI472" t="str">
        <f t="shared" si="176"/>
        <v>🎯 Para subir de categoría, la eje con mayor impacto probable es CLIENTE (coef T). Acción: reducir quejas, mejorar incógnito y empujar reseñas. ΔR aprox: 20,9</v>
      </c>
      <c r="AJ472" s="26">
        <f>_xlfn.LET(_xlpm.piso,AF472,_xlpm.corte,AE472,_xlpm.prog,IF(_xlpm.corte&lt;=_xlpm.piso,0,MAX(0,MIN(1,(U472-_xlpm.piso)/(_xlpm.corte-_xlpm.piso)))),_xlpm.orden,{"DIAMANTE";"PLATINO";"ORO";"PLATA";"BRONCE";"CERRADO"},_xlpm.act,IFERROR(MATCH(V472,_xlpm.orden,0),6),_xlpm.ant,IFERROR(MATCH(W472,_xlpm.orden,0),6),_xlpm.ajmov,IF(_xlpm.act&lt;_xlpm.ant,0.08,IF(_xlpm.act&gt;_xlpm.ant,-0.08,0)),_xlpm.ajcli,IF(T472&lt;0.95,-0.06,0),_xlpm.prob,MAX(0,MIN(1,_xlpm.prog+_xlpm.ajmov+_xlpm.ajcli)),IF(OR(V472="DIAMANTE",V472="CERRADO"),0,ROUND(_xlpm.prob,2)))</f>
        <v>0.56000000000000005</v>
      </c>
      <c r="AK472" t="str">
        <f t="shared" si="180"/>
        <v>Faltan 20,9 puntos base para subir a la siguiente categoría</v>
      </c>
      <c r="AL472" t="str">
        <f t="shared" si="181"/>
        <v>Margen de seguridad: 24,0 puntos</v>
      </c>
      <c r="AM472">
        <f t="shared" si="182"/>
        <v>0.78</v>
      </c>
      <c r="AN472" t="str">
        <f t="shared" si="183"/>
        <v>PRIORIDAD ALTA – requiere intervención inmediata</v>
      </c>
      <c r="AO472">
        <f t="shared" si="184"/>
        <v>17.979194209172878</v>
      </c>
      <c r="AP472">
        <f t="shared" si="185"/>
        <v>0.15705065160767154</v>
      </c>
      <c r="AQ472">
        <f t="shared" si="186"/>
        <v>0</v>
      </c>
      <c r="AR472">
        <f t="shared" si="187"/>
        <v>3.2199999999999998</v>
      </c>
      <c r="AS472">
        <f t="shared" si="188"/>
        <v>20.806094413682729</v>
      </c>
      <c r="AT472" t="str">
        <f t="shared" si="189"/>
        <v>CLIENTE</v>
      </c>
      <c r="AU472">
        <f t="shared" si="190"/>
        <v>20.806094413682729</v>
      </c>
      <c r="AV472" t="str">
        <f t="shared" si="191"/>
        <v>Mayor retorno probable: CLIENTE (+20,8 puntos finales potenciales).</v>
      </c>
    </row>
    <row r="473" spans="1:48" x14ac:dyDescent="0.3">
      <c r="A473" s="5">
        <v>51038762</v>
      </c>
      <c r="B473" s="5" t="str">
        <f>IFERROR(VLOOKUP(A473,VENTAS!$A$2:$B$1194,2,0),"")</f>
        <v>AYALA</v>
      </c>
      <c r="C473" s="5">
        <f>IFERROR(INDEX(VENTAS!$C$2:$E$1194,MATCH(A473,VENTAS!$A$2:$A$1194,0),MATCH(PARAMS_MODELO!$B$2,{"Q1","Q2","Q3"},0)),0)</f>
        <v>64167309.899999999</v>
      </c>
      <c r="D473" s="5">
        <f>IFERROR(INDEX(VENTAS!$F$2:$H$1194,MATCH(A473,VENTAS!$A$2:$A$1194,0),MATCH(PARAMS_MODELO!$B$2,{"Q1","Q2","Q3"},0)),0)</f>
        <v>80543572</v>
      </c>
      <c r="E473" s="8">
        <f t="shared" si="168"/>
        <v>0.25521191593540693</v>
      </c>
      <c r="F473" s="12">
        <f>IF(E473&lt;=PARAMS_MODELO!$B$15,0,IF(E473&gt;=PARAMS_MODELO!$B$17,100,100*MIN(1,(E473-PARAMS_MODELO!$B$15)/(PARAMS_MODELO!$B$16-PARAMS_MODELO!$B$15))))*PARAMS_MODELO!$B$7</f>
        <v>35</v>
      </c>
      <c r="G473" s="5">
        <f t="shared" si="169"/>
        <v>16376262.100000001</v>
      </c>
      <c r="H473" s="5">
        <f>(PARAMS_MODELO!$B$20*(MAX(0,MIN(3,E473))/3)+PARAMS_MODELO!$B$21*(IFERROR(LN(1+MAX(0,G473))/LN(1+MAX(0,MAX($G$2:$G$1194))),0)))*100*PARAMS_MODELO!$B$8</f>
        <v>4.787172521580028</v>
      </c>
      <c r="I473" s="8">
        <f>E473-PARAMS_MODELO!$B$5</f>
        <v>7.7649080559880401E-2</v>
      </c>
      <c r="J473" s="5">
        <f>IF(I473&lt;=PARAMS_MODELO!$B$18,0,IF(I473&gt;=PARAMS_MODELO!$B$19,100,100*(I473-PARAMS_MODELO!$B$18)/(PARAMS_MODELO!$B$19-PARAMS_MODELO!$B$18)))*PARAMS_MODELO!$B$9</f>
        <v>15</v>
      </c>
      <c r="K473" s="5">
        <f>IFERROR(CHOOSE(MATCH(PARAMS_MODELO!$B$2,{"Q1","Q2","Q3"},0),LOTO!$D473,LOTO!$F473,LOTO!$H473),0)</f>
        <v>3965000</v>
      </c>
      <c r="L473" s="8">
        <f t="shared" si="170"/>
        <v>4.9228012882269488E-2</v>
      </c>
      <c r="M473" s="5">
        <f>MIN(100,IF(PARAMS_MODELO!$B$23=0,0,100*L473/PARAMS_MODELO!$B$23))*PARAMS_MODELO!$B$10</f>
        <v>14.768403864680844</v>
      </c>
      <c r="N473" s="5">
        <f>IFERROR(VLOOKUP(A473,COMPLIANCE!$A$2:$F$1996,6,0),100)</f>
        <v>99.98</v>
      </c>
      <c r="O473" s="5">
        <f>N473*PARAMS_MODELO!$B$11</f>
        <v>9.9980000000000011</v>
      </c>
      <c r="P473" s="5">
        <f>IFERROR(VLOOKUP(A473,DIGITAL!$A$2:$J$2000,7,0),100)</f>
        <v>71</v>
      </c>
      <c r="Q473" s="5">
        <f>IFERROR(P473,0)*PARAMS_MODELO!$B$12</f>
        <v>7.1000000000000005</v>
      </c>
      <c r="R473">
        <f t="shared" si="171"/>
        <v>86.653576386260866</v>
      </c>
      <c r="S473" s="5" t="str">
        <f>IFERROR(VLOOKUP(A473,CLIENTE!$A$2:$N$2000,13,0),1)</f>
        <v>Regular</v>
      </c>
      <c r="T473" s="5">
        <f>IFERROR(VLOOKUP(A473,CLIENTE!$A$2:$N$2000,14,0),1)</f>
        <v>1</v>
      </c>
      <c r="U473" s="5">
        <f t="shared" si="172"/>
        <v>86.653576386260866</v>
      </c>
      <c r="V473" s="5" t="str">
        <f>IF(U473&gt;=MAX(_xlfn.PERCENTILE.INC($U$2:$U$1194,PARAMS_MODELO!$B$50),PARAMS_MODELO!$B$45),"DIAMANTE",IF(U473&gt;=MAX(_xlfn.PERCENTILE.INC($U$2:$U$1194,PARAMS_MODELO!$B$51),PARAMS_MODELO!$B$46),"PLATINO",IF(U473&gt;=MAX(_xlfn.PERCENTILE.INC($U$2:$U$1194,PARAMS_MODELO!$B$52),PARAMS_MODELO!$B$47),"ORO",IF(U473&gt;=MAX(_xlfn.PERCENTILE.INC($U$2:$U$1194,PARAMS_MODELO!$B$53),PARAMS_MODELO!$B$48),"PLATA",IF(U473&gt;=1,"BRONCE","CERRADO")))))</f>
        <v>PLATINO</v>
      </c>
      <c r="W473" s="5" t="str" cm="1">
        <f t="array" ref="W473">_xlfn.XLOOKUP(1, (HIST_SCORE!$B:$B=PARAMS_MODELO!$B$4) * (HIST_SCORE!$C:$C=A473), HIST_SCORE!$E:$E, "No encontrado")</f>
        <v>ORO</v>
      </c>
      <c r="X473" s="5" t="str">
        <f>_xlfn.LET(_xlpm.act,MATCH(V473,{"DIAMANTE";"PLATINO";"ORO";"PLATA";"BRONCE";"CERRADO"},0),_xlpm.ant,MATCH(W473,{"DIAMANTE";"PLATINO";"ORO";"PLATA";"BRONCE";"CERRADO"},0),IF(_xlpm.act&lt;_xlpm.ant,"Mejora ↑",IF(_xlpm.act&gt;_xlpm.ant,"Baja ↓","Estable →")))</f>
        <v>Mejora ↑</v>
      </c>
      <c r="Y473" s="5">
        <f>IFERROR(U473-SUMIFS(HIST_SCORE!$D:$D,HIST_SCORE!$B:$B,PARAMS_MODELO!$B$4,HIST_SCORE!$C:$C,$A473),"")</f>
        <v>16.252776311384622</v>
      </c>
      <c r="Z473" s="5" t="str">
        <f t="shared" si="173"/>
        <v>↑ Mejora</v>
      </c>
      <c r="AA473" s="5">
        <f t="shared" si="174"/>
        <v>235</v>
      </c>
      <c r="AB473" s="5">
        <f>IFERROR(SUMIFS(HIST_SCORE!$F:$F,HIST_SCORE!$B:$B,PARAMS_MODELO!$B$4,HIST_SCORE!$C:$C,$A473),"")</f>
        <v>538</v>
      </c>
      <c r="AC473" s="5">
        <f t="shared" si="175"/>
        <v>303</v>
      </c>
      <c r="AD473" t="str">
        <f t="shared" si="177"/>
        <v/>
      </c>
      <c r="AE4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473="CERRADO",1,IF(V473="BRONCE",_xlpm.cPl,IF(V473="PLATA",_xlpm.cO,IF(V473="ORO",_xlpm.cP,IF(V473="PLATINO",_xlpm.cD,999))))))</f>
        <v>96.054919694466676</v>
      </c>
      <c r="AF4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473="CERRADO",0,IF(V473="BRONCE",1,IF(V473="PLATA",_xlpm.cPl,IF(V473="ORO",_xlpm.cO,IF(V473="PLATINO",_xlpm.cP,_xlpm.cD))))))</f>
        <v>86.439123873763251</v>
      </c>
      <c r="AG473">
        <f t="shared" si="178"/>
        <v>9.40134330820581</v>
      </c>
      <c r="AH473" t="str">
        <f t="shared" si="179"/>
        <v>VENTAS</v>
      </c>
      <c r="AI473" t="str">
        <f t="shared" si="176"/>
        <v>🎯 Para subir de categoría, eje VENTAS / IMPACTO ABSOLUTO (H). Acción: metas semanales + activación comercial + seguimiento del asesor. ΔR aprox: 9,4</v>
      </c>
      <c r="AJ473" s="26">
        <f>_xlfn.LET(_xlpm.piso,AF473,_xlpm.corte,AE473,_xlpm.prog,IF(_xlpm.corte&lt;=_xlpm.piso,0,MAX(0,MIN(1,(U473-_xlpm.piso)/(_xlpm.corte-_xlpm.piso)))),_xlpm.orden,{"DIAMANTE";"PLATINO";"ORO";"PLATA";"BRONCE";"CERRADO"},_xlpm.act,IFERROR(MATCH(V473,_xlpm.orden,0),6),_xlpm.ant,IFERROR(MATCH(W473,_xlpm.orden,0),6),_xlpm.ajmov,IF(_xlpm.act&lt;_xlpm.ant,0.08,IF(_xlpm.act&gt;_xlpm.ant,-0.08,0)),_xlpm.ajcli,IF(T473&lt;0.95,-0.06,0),_xlpm.prob,MAX(0,MIN(1,_xlpm.prog+_xlpm.ajmov+_xlpm.ajcli)),IF(OR(V473="DIAMANTE",V473="CERRADO"),0,ROUND(_xlpm.prob,2)))</f>
        <v>0.1</v>
      </c>
      <c r="AK473" t="str">
        <f t="shared" si="180"/>
        <v>Faltan 9,4 puntos base para subir a la siguiente categoría</v>
      </c>
      <c r="AL473" t="str">
        <f t="shared" si="181"/>
        <v>Margen de seguridad: 0,2 puntos</v>
      </c>
      <c r="AM473">
        <f t="shared" si="182"/>
        <v>0.74</v>
      </c>
      <c r="AN473" t="str">
        <f t="shared" si="183"/>
        <v>PRIORIDAD ALTA – requiere intervención inmediata</v>
      </c>
      <c r="AO473">
        <f t="shared" si="184"/>
        <v>10.075396753715559</v>
      </c>
      <c r="AP473">
        <f t="shared" si="185"/>
        <v>0.23159613531915646</v>
      </c>
      <c r="AQ473">
        <f t="shared" si="186"/>
        <v>1.9999999999988916E-3</v>
      </c>
      <c r="AR473">
        <f t="shared" si="187"/>
        <v>2.8999999999999995</v>
      </c>
      <c r="AS473">
        <f t="shared" si="188"/>
        <v>0</v>
      </c>
      <c r="AT473" t="str">
        <f t="shared" si="189"/>
        <v>VENTAS</v>
      </c>
      <c r="AU473">
        <f t="shared" si="190"/>
        <v>10.075396753715559</v>
      </c>
      <c r="AV473" t="str">
        <f t="shared" si="191"/>
        <v>Mayor retorno probable: VENTAS (+10,1 puntos finales potenciales).</v>
      </c>
    </row>
    <row r="474" spans="1:48" x14ac:dyDescent="0.3">
      <c r="A474" s="5">
        <v>51023307</v>
      </c>
      <c r="B474" s="5" t="str">
        <f>IFERROR(VLOOKUP(A474,VENTAS!$A$2:$B$1194,2,0),"")</f>
        <v>NELLI</v>
      </c>
      <c r="C474" s="5">
        <f>IFERROR(INDEX(VENTAS!$C$2:$E$1194,MATCH(A474,VENTAS!$A$2:$A$1194,0),MATCH(PARAMS_MODELO!$B$2,{"Q1","Q2","Q3"},0)),0)</f>
        <v>58659982.990000002</v>
      </c>
      <c r="D474" s="5">
        <f>IFERROR(INDEX(VENTAS!$F$2:$H$1194,MATCH(A474,VENTAS!$A$2:$A$1194,0),MATCH(PARAMS_MODELO!$B$2,{"Q1","Q2","Q3"},0)),0)</f>
        <v>80424121</v>
      </c>
      <c r="E474" s="8">
        <f t="shared" si="168"/>
        <v>0.37102189432462351</v>
      </c>
      <c r="F474" s="12">
        <f>IF(E474&lt;=PARAMS_MODELO!$B$15,0,IF(E474&gt;=PARAMS_MODELO!$B$17,100,100*MIN(1,(E474-PARAMS_MODELO!$B$15)/(PARAMS_MODELO!$B$16-PARAMS_MODELO!$B$15))))*PARAMS_MODELO!$B$7</f>
        <v>35</v>
      </c>
      <c r="G474" s="5">
        <f t="shared" si="169"/>
        <v>21764138.009999998</v>
      </c>
      <c r="H474" s="5">
        <f>(PARAMS_MODELO!$B$20*(MAX(0,MIN(3,E474))/3)+PARAMS_MODELO!$B$21*(IFERROR(LN(1+MAX(0,G474))/LN(1+MAX(0,MAX($G$2:$G$1194))),0)))*100*PARAMS_MODELO!$B$8</f>
        <v>5.2591819731844138</v>
      </c>
      <c r="I474" s="8">
        <f>E474-PARAMS_MODELO!$B$5</f>
        <v>0.19345905894909698</v>
      </c>
      <c r="J474" s="5">
        <f>IF(I474&lt;=PARAMS_MODELO!$B$18,0,IF(I474&gt;=PARAMS_MODELO!$B$19,100,100*(I474-PARAMS_MODELO!$B$18)/(PARAMS_MODELO!$B$19-PARAMS_MODELO!$B$18)))*PARAMS_MODELO!$B$9</f>
        <v>15</v>
      </c>
      <c r="K474" s="5">
        <f>IFERROR(CHOOSE(MATCH(PARAMS_MODELO!$B$2,{"Q1","Q2","Q3"},0),LOTO!$D474,LOTO!$F474,LOTO!$H474),0)</f>
        <v>3960000</v>
      </c>
      <c r="L474" s="8">
        <f t="shared" si="170"/>
        <v>4.9238959043145777E-2</v>
      </c>
      <c r="M474" s="5">
        <f>MIN(100,IF(PARAMS_MODELO!$B$23=0,0,100*L474/PARAMS_MODELO!$B$23))*PARAMS_MODELO!$B$10</f>
        <v>14.771687712943733</v>
      </c>
      <c r="N474" s="5">
        <f>IFERROR(VLOOKUP(A474,COMPLIANCE!$A$2:$F$1996,6,0),100)</f>
        <v>100</v>
      </c>
      <c r="O474" s="5">
        <f>N474*PARAMS_MODELO!$B$11</f>
        <v>10</v>
      </c>
      <c r="P474" s="5">
        <f>IFERROR(VLOOKUP(A474,DIGITAL!$A$2:$J$2000,7,0),100)</f>
        <v>80</v>
      </c>
      <c r="Q474" s="5">
        <f>IFERROR(P474,0)*PARAMS_MODELO!$B$12</f>
        <v>8</v>
      </c>
      <c r="R474">
        <f t="shared" si="171"/>
        <v>88.030869686128142</v>
      </c>
      <c r="S474" s="5" t="str">
        <f>IFERROR(VLOOKUP(A474,CLIENTE!$A$2:$N$2000,13,0),1)</f>
        <v>Regular</v>
      </c>
      <c r="T474" s="5">
        <f>IFERROR(VLOOKUP(A474,CLIENTE!$A$2:$N$2000,14,0),1)</f>
        <v>1</v>
      </c>
      <c r="U474" s="5">
        <f t="shared" si="172"/>
        <v>88.030869686128142</v>
      </c>
      <c r="V474" s="5" t="str">
        <f>IF(U474&gt;=MAX(_xlfn.PERCENTILE.INC($U$2:$U$1194,PARAMS_MODELO!$B$50),PARAMS_MODELO!$B$45),"DIAMANTE",IF(U474&gt;=MAX(_xlfn.PERCENTILE.INC($U$2:$U$1194,PARAMS_MODELO!$B$51),PARAMS_MODELO!$B$46),"PLATINO",IF(U474&gt;=MAX(_xlfn.PERCENTILE.INC($U$2:$U$1194,PARAMS_MODELO!$B$52),PARAMS_MODELO!$B$47),"ORO",IF(U474&gt;=MAX(_xlfn.PERCENTILE.INC($U$2:$U$1194,PARAMS_MODELO!$B$53),PARAMS_MODELO!$B$48),"PLATA",IF(U474&gt;=1,"BRONCE","CERRADO")))))</f>
        <v>PLATINO</v>
      </c>
      <c r="W474" s="5" t="str" cm="1">
        <f t="array" ref="W474">_xlfn.XLOOKUP(1, (HIST_SCORE!$B:$B=PARAMS_MODELO!$B$4) * (HIST_SCORE!$C:$C=A474), HIST_SCORE!$E:$E, "No encontrado")</f>
        <v>ORO</v>
      </c>
      <c r="X474" s="5" t="str">
        <f>_xlfn.LET(_xlpm.act,MATCH(V474,{"DIAMANTE";"PLATINO";"ORO";"PLATA";"BRONCE";"CERRADO"},0),_xlpm.ant,MATCH(W474,{"DIAMANTE";"PLATINO";"ORO";"PLATA";"BRONCE";"CERRADO"},0),IF(_xlpm.act&lt;_xlpm.ant,"Mejora ↑",IF(_xlpm.act&gt;_xlpm.ant,"Baja ↓","Estable →")))</f>
        <v>Mejora ↑</v>
      </c>
      <c r="Y474" s="5">
        <f>IFERROR(U474-SUMIFS(HIST_SCORE!$D:$D,HIST_SCORE!$B:$B,PARAMS_MODELO!$B$4,HIST_SCORE!$C:$C,$A474),"")</f>
        <v>2.2794353681507573</v>
      </c>
      <c r="Z474" s="5" t="str">
        <f t="shared" si="173"/>
        <v>→ Estable</v>
      </c>
      <c r="AA474" s="5">
        <f t="shared" si="174"/>
        <v>197</v>
      </c>
      <c r="AB474" s="5">
        <f>IFERROR(SUMIFS(HIST_SCORE!$F:$F,HIST_SCORE!$B:$B,PARAMS_MODELO!$B$4,HIST_SCORE!$C:$C,$A474),"")</f>
        <v>243</v>
      </c>
      <c r="AC474" s="5">
        <f t="shared" si="175"/>
        <v>46</v>
      </c>
      <c r="AD474" t="str">
        <f t="shared" si="177"/>
        <v/>
      </c>
      <c r="AE4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474="CERRADO",1,IF(V474="BRONCE",_xlpm.cPl,IF(V474="PLATA",_xlpm.cO,IF(V474="ORO",_xlpm.cP,IF(V474="PLATINO",_xlpm.cD,999))))))</f>
        <v>96.054919694466676</v>
      </c>
      <c r="AF4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474="CERRADO",0,IF(V474="BRONCE",1,IF(V474="PLATA",_xlpm.cPl,IF(V474="ORO",_xlpm.cO,IF(V474="PLATINO",_xlpm.cP,_xlpm.cD))))))</f>
        <v>86.439123873763251</v>
      </c>
      <c r="AG474">
        <f t="shared" si="178"/>
        <v>8.0240500083385342</v>
      </c>
      <c r="AH474" t="str">
        <f t="shared" si="179"/>
        <v>VENTAS</v>
      </c>
      <c r="AI474" t="str">
        <f t="shared" si="176"/>
        <v>🎯 Para subir de categoría, eje VENTAS / IMPACTO ABSOLUTO (H). Acción: metas semanales + activación comercial + seguimiento del asesor. ΔR aprox: 8,0</v>
      </c>
      <c r="AJ474" s="26">
        <f>_xlfn.LET(_xlpm.piso,AF474,_xlpm.corte,AE474,_xlpm.prog,IF(_xlpm.corte&lt;=_xlpm.piso,0,MAX(0,MIN(1,(U474-_xlpm.piso)/(_xlpm.corte-_xlpm.piso)))),_xlpm.orden,{"DIAMANTE";"PLATINO";"ORO";"PLATA";"BRONCE";"CERRADO"},_xlpm.act,IFERROR(MATCH(V474,_xlpm.orden,0),6),_xlpm.ant,IFERROR(MATCH(W474,_xlpm.orden,0),6),_xlpm.ajmov,IF(_xlpm.act&lt;_xlpm.ant,0.08,IF(_xlpm.act&gt;_xlpm.ant,-0.08,0)),_xlpm.ajcli,IF(T474&lt;0.95,-0.06,0),_xlpm.prob,MAX(0,MIN(1,_xlpm.prog+_xlpm.ajmov+_xlpm.ajcli)),IF(OR(V474="DIAMANTE",V474="CERRADO"),0,ROUND(_xlpm.prob,2)))</f>
        <v>0.25</v>
      </c>
      <c r="AK474" t="str">
        <f t="shared" si="180"/>
        <v>Faltan 8,0 puntos base para subir a la siguiente categoría</v>
      </c>
      <c r="AL474" t="str">
        <f t="shared" si="181"/>
        <v>Margen de seguridad: 1,6 puntos</v>
      </c>
      <c r="AM474">
        <f t="shared" si="182"/>
        <v>0.62</v>
      </c>
      <c r="AN474" t="str">
        <f t="shared" si="183"/>
        <v>PRIORIDAD MEDIA – seguimiento del asesor</v>
      </c>
      <c r="AO474">
        <f t="shared" si="184"/>
        <v>9.6033873021111731</v>
      </c>
      <c r="AP474">
        <f t="shared" si="185"/>
        <v>0.22831228705626749</v>
      </c>
      <c r="AQ474">
        <f t="shared" si="186"/>
        <v>0</v>
      </c>
      <c r="AR474">
        <f t="shared" si="187"/>
        <v>2</v>
      </c>
      <c r="AS474">
        <f t="shared" si="188"/>
        <v>0</v>
      </c>
      <c r="AT474" t="str">
        <f t="shared" si="189"/>
        <v>VENTAS</v>
      </c>
      <c r="AU474">
        <f t="shared" si="190"/>
        <v>9.6033873021111731</v>
      </c>
      <c r="AV474" t="str">
        <f t="shared" si="191"/>
        <v>Mayor retorno probable: VENTAS (+9,6 puntos finales potenciales).</v>
      </c>
    </row>
    <row r="475" spans="1:48" x14ac:dyDescent="0.3">
      <c r="A475" s="5">
        <v>51012062</v>
      </c>
      <c r="B475" s="5" t="str">
        <f>IFERROR(VLOOKUP(A475,VENTAS!$A$2:$B$1194,2,0),"")</f>
        <v>BELUZZO</v>
      </c>
      <c r="C475" s="5">
        <f>IFERROR(INDEX(VENTAS!$C$2:$E$1194,MATCH(A475,VENTAS!$A$2:$A$1194,0),MATCH(PARAMS_MODELO!$B$2,{"Q1","Q2","Q3"},0)),0)</f>
        <v>71691616.820000008</v>
      </c>
      <c r="D475" s="5">
        <f>IFERROR(INDEX(VENTAS!$F$2:$H$1194,MATCH(A475,VENTAS!$A$2:$A$1194,0),MATCH(PARAMS_MODELO!$B$2,{"Q1","Q2","Q3"},0)),0)</f>
        <v>80274286</v>
      </c>
      <c r="E475" s="8">
        <f t="shared" si="168"/>
        <v>0.11971649630317249</v>
      </c>
      <c r="F475" s="12">
        <f>IF(E475&lt;=PARAMS_MODELO!$B$15,0,IF(E475&gt;=PARAMS_MODELO!$B$17,100,100*MIN(1,(E475-PARAMS_MODELO!$B$15)/(PARAMS_MODELO!$B$16-PARAMS_MODELO!$B$15))))*PARAMS_MODELO!$B$7</f>
        <v>35</v>
      </c>
      <c r="G475" s="5">
        <f t="shared" si="169"/>
        <v>8582669.1799999923</v>
      </c>
      <c r="H475" s="5">
        <f>(PARAMS_MODELO!$B$20*(MAX(0,MIN(3,E475))/3)+PARAMS_MODELO!$B$21*(IFERROR(LN(1+MAX(0,G475))/LN(1+MAX(0,MAX($G$2:$G$1194))),0)))*100*PARAMS_MODELO!$B$8</f>
        <v>4.1614865434422548</v>
      </c>
      <c r="I475" s="8">
        <f>E475-PARAMS_MODELO!$B$5</f>
        <v>-5.7846339072354036E-2</v>
      </c>
      <c r="J475" s="5">
        <f>IF(I475&lt;=PARAMS_MODELO!$B$18,0,IF(I475&gt;=PARAMS_MODELO!$B$19,100,100*(I475-PARAMS_MODELO!$B$18)/(PARAMS_MODELO!$B$19-PARAMS_MODELO!$B$18)))*PARAMS_MODELO!$B$9</f>
        <v>0</v>
      </c>
      <c r="K475" s="5">
        <f>IFERROR(CHOOSE(MATCH(PARAMS_MODELO!$B$2,{"Q1","Q2","Q3"},0),LOTO!$D475,LOTO!$F475,LOTO!$H475),0)</f>
        <v>3952500</v>
      </c>
      <c r="L475" s="8">
        <f t="shared" si="170"/>
        <v>4.9237435758693639E-2</v>
      </c>
      <c r="M475" s="5">
        <f>MIN(100,IF(PARAMS_MODELO!$B$23=0,0,100*L475/PARAMS_MODELO!$B$23))*PARAMS_MODELO!$B$10</f>
        <v>14.77123072760809</v>
      </c>
      <c r="N475" s="5">
        <f>IFERROR(VLOOKUP(A475,COMPLIANCE!$A$2:$F$1996,6,0),100)</f>
        <v>100</v>
      </c>
      <c r="O475" s="5">
        <f>N475*PARAMS_MODELO!$B$11</f>
        <v>10</v>
      </c>
      <c r="P475" s="5">
        <f>IFERROR(VLOOKUP(A475,DIGITAL!$A$2:$J$2000,7,0),100)</f>
        <v>38</v>
      </c>
      <c r="Q475" s="5">
        <f>IFERROR(P475,0)*PARAMS_MODELO!$B$12</f>
        <v>3.8000000000000003</v>
      </c>
      <c r="R475">
        <f t="shared" si="171"/>
        <v>67.732717271050348</v>
      </c>
      <c r="S475" s="5" t="str">
        <f>IFERROR(VLOOKUP(A475,CLIENTE!$A$2:$N$2000,13,0),1)</f>
        <v>Regular</v>
      </c>
      <c r="T475" s="5">
        <f>IFERROR(VLOOKUP(A475,CLIENTE!$A$2:$N$2000,14,0),1)</f>
        <v>1</v>
      </c>
      <c r="U475" s="5">
        <f t="shared" si="172"/>
        <v>67.732717271050348</v>
      </c>
      <c r="V475" s="5" t="str">
        <f>IF(U475&gt;=MAX(_xlfn.PERCENTILE.INC($U$2:$U$1194,PARAMS_MODELO!$B$50),PARAMS_MODELO!$B$45),"DIAMANTE",IF(U475&gt;=MAX(_xlfn.PERCENTILE.INC($U$2:$U$1194,PARAMS_MODELO!$B$51),PARAMS_MODELO!$B$46),"PLATINO",IF(U475&gt;=MAX(_xlfn.PERCENTILE.INC($U$2:$U$1194,PARAMS_MODELO!$B$52),PARAMS_MODELO!$B$47),"ORO",IF(U475&gt;=MAX(_xlfn.PERCENTILE.INC($U$2:$U$1194,PARAMS_MODELO!$B$53),PARAMS_MODELO!$B$48),"PLATA",IF(U475&gt;=1,"BRONCE","CERRADO")))))</f>
        <v>ORO</v>
      </c>
      <c r="W475" s="5" t="str" cm="1">
        <f t="array" ref="W475">_xlfn.XLOOKUP(1, (HIST_SCORE!$B:$B=PARAMS_MODELO!$B$4) * (HIST_SCORE!$C:$C=A475), HIST_SCORE!$E:$E, "No encontrado")</f>
        <v>ORO</v>
      </c>
      <c r="X475" s="5" t="str">
        <f>_xlfn.LET(_xlpm.act,MATCH(V475,{"DIAMANTE";"PLATINO";"ORO";"PLATA";"BRONCE";"CERRADO"},0),_xlpm.ant,MATCH(W475,{"DIAMANTE";"PLATINO";"ORO";"PLATA";"BRONCE";"CERRADO"},0),IF(_xlpm.act&lt;_xlpm.ant,"Mejora ↑",IF(_xlpm.act&gt;_xlpm.ant,"Baja ↓","Estable →")))</f>
        <v>Estable →</v>
      </c>
      <c r="Y475" s="5">
        <f>IFERROR(U475-SUMIFS(HIST_SCORE!$D:$D,HIST_SCORE!$B:$B,PARAMS_MODELO!$B$4,HIST_SCORE!$C:$C,$A475),"")</f>
        <v>-5.2226892313251909</v>
      </c>
      <c r="Z475" s="5" t="str">
        <f t="shared" si="173"/>
        <v>↓ Baja</v>
      </c>
      <c r="AA475" s="5">
        <f t="shared" si="174"/>
        <v>532</v>
      </c>
      <c r="AB475" s="5">
        <f>IFERROR(SUMIFS(HIST_SCORE!$F:$F,HIST_SCORE!$B:$B,PARAMS_MODELO!$B$4,HIST_SCORE!$C:$C,$A475),"")</f>
        <v>512</v>
      </c>
      <c r="AC475" s="5">
        <f t="shared" si="175"/>
        <v>-20</v>
      </c>
      <c r="AD475" t="str">
        <f t="shared" si="177"/>
        <v>Sostener base y reforzar mix</v>
      </c>
      <c r="AE4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475="CERRADO",1,IF(V475="BRONCE",_xlpm.cPl,IF(V475="PLATA",_xlpm.cO,IF(V475="ORO",_xlpm.cP,IF(V475="PLATINO",_xlpm.cD,999))))))</f>
        <v>86.439123873763251</v>
      </c>
      <c r="AF4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475="CERRADO",0,IF(V475="BRONCE",1,IF(V475="PLATA",_xlpm.cPl,IF(V475="ORO",_xlpm.cO,IF(V475="PLATINO",_xlpm.cP,_xlpm.cD))))))</f>
        <v>63.199193273331495</v>
      </c>
      <c r="AG475">
        <f t="shared" si="178"/>
        <v>18.706406602712903</v>
      </c>
      <c r="AH475" t="str">
        <f t="shared" si="179"/>
        <v>VENTAS</v>
      </c>
      <c r="AI475" t="str">
        <f t="shared" si="176"/>
        <v>🎯 Para subir de categoría, eje VENTAS / DIFERENCIAL vs LOTBA (J). Acción: metas semanales + activación comercial + seguimiento del asesor. ΔR aprox: 18,7</v>
      </c>
      <c r="AJ475" s="26">
        <f>_xlfn.LET(_xlpm.piso,AF475,_xlpm.corte,AE475,_xlpm.prog,IF(_xlpm.corte&lt;=_xlpm.piso,0,MAX(0,MIN(1,(U475-_xlpm.piso)/(_xlpm.corte-_xlpm.piso)))),_xlpm.orden,{"DIAMANTE";"PLATINO";"ORO";"PLATA";"BRONCE";"CERRADO"},_xlpm.act,IFERROR(MATCH(V475,_xlpm.orden,0),6),_xlpm.ant,IFERROR(MATCH(W475,_xlpm.orden,0),6),_xlpm.ajmov,IF(_xlpm.act&lt;_xlpm.ant,0.08,IF(_xlpm.act&gt;_xlpm.ant,-0.08,0)),_xlpm.ajcli,IF(T475&lt;0.95,-0.06,0),_xlpm.prob,MAX(0,MIN(1,_xlpm.prog+_xlpm.ajmov+_xlpm.ajcli)),IF(OR(V475="DIAMANTE",V475="CERRADO"),0,ROUND(_xlpm.prob,2)))</f>
        <v>0.2</v>
      </c>
      <c r="AK475" t="str">
        <f t="shared" si="180"/>
        <v>Faltan 18,7 puntos base para subir a la siguiente categoría</v>
      </c>
      <c r="AL475" t="str">
        <f t="shared" si="181"/>
        <v>Margen de seguridad: 4,5 puntos</v>
      </c>
      <c r="AM475">
        <f t="shared" si="182"/>
        <v>0.72</v>
      </c>
      <c r="AN475" t="str">
        <f t="shared" si="183"/>
        <v>PRIORIDAD ALTA – requiere intervención inmediata</v>
      </c>
      <c r="AO475">
        <f t="shared" si="184"/>
        <v>25.701082731853333</v>
      </c>
      <c r="AP475">
        <f t="shared" si="185"/>
        <v>0.22876927239190969</v>
      </c>
      <c r="AQ475">
        <f t="shared" si="186"/>
        <v>0</v>
      </c>
      <c r="AR475">
        <f t="shared" si="187"/>
        <v>6.1999999999999993</v>
      </c>
      <c r="AS475">
        <f t="shared" si="188"/>
        <v>0</v>
      </c>
      <c r="AT475" t="str">
        <f t="shared" si="189"/>
        <v>VENTAS</v>
      </c>
      <c r="AU475">
        <f t="shared" si="190"/>
        <v>25.701082731853333</v>
      </c>
      <c r="AV475" t="str">
        <f t="shared" si="191"/>
        <v>Mayor retorno probable: VENTAS (+25,7 puntos finales potenciales).</v>
      </c>
    </row>
    <row r="476" spans="1:48" x14ac:dyDescent="0.3">
      <c r="A476" s="5">
        <v>51021631</v>
      </c>
      <c r="B476" s="5" t="str">
        <f>IFERROR(VLOOKUP(A476,VENTAS!$A$2:$B$1194,2,0),"")</f>
        <v>METTLER</v>
      </c>
      <c r="C476" s="5">
        <f>IFERROR(INDEX(VENTAS!$C$2:$E$1194,MATCH(A476,VENTAS!$A$2:$A$1194,0),MATCH(PARAMS_MODELO!$B$2,{"Q1","Q2","Q3"},0)),0)</f>
        <v>45612489.189999998</v>
      </c>
      <c r="D476" s="5">
        <f>IFERROR(INDEX(VENTAS!$F$2:$H$1194,MATCH(A476,VENTAS!$A$2:$A$1194,0),MATCH(PARAMS_MODELO!$B$2,{"Q1","Q2","Q3"},0)),0)</f>
        <v>80262230</v>
      </c>
      <c r="E476" s="8">
        <f t="shared" si="168"/>
        <v>0.75965467847338064</v>
      </c>
      <c r="F476" s="12">
        <f>IF(E476&lt;=PARAMS_MODELO!$B$15,0,IF(E476&gt;=PARAMS_MODELO!$B$17,100,100*MIN(1,(E476-PARAMS_MODELO!$B$15)/(PARAMS_MODELO!$B$16-PARAMS_MODELO!$B$15))))*PARAMS_MODELO!$B$7</f>
        <v>35</v>
      </c>
      <c r="G476" s="5">
        <f t="shared" si="169"/>
        <v>34649740.810000002</v>
      </c>
      <c r="H476" s="5">
        <f>(PARAMS_MODELO!$B$20*(MAX(0,MIN(3,E476))/3)+PARAMS_MODELO!$B$21*(IFERROR(LN(1+MAX(0,G476))/LN(1+MAX(0,MAX($G$2:$G$1194))),0)))*100*PARAMS_MODELO!$B$8</f>
        <v>6.7284054585477335</v>
      </c>
      <c r="I476" s="8">
        <f>E476-PARAMS_MODELO!$B$5</f>
        <v>0.58209184309785411</v>
      </c>
      <c r="J476" s="5">
        <f>IF(I476&lt;=PARAMS_MODELO!$B$18,0,IF(I476&gt;=PARAMS_MODELO!$B$19,100,100*(I476-PARAMS_MODELO!$B$18)/(PARAMS_MODELO!$B$19-PARAMS_MODELO!$B$18)))*PARAMS_MODELO!$B$9</f>
        <v>15</v>
      </c>
      <c r="K476" s="5">
        <f>IFERROR(CHOOSE(MATCH(PARAMS_MODELO!$B$2,{"Q1","Q2","Q3"},0),LOTO!$D476,LOTO!$F476,LOTO!$H476),0)</f>
        <v>3942500</v>
      </c>
      <c r="L476" s="8">
        <f t="shared" si="170"/>
        <v>4.9120239993331857E-2</v>
      </c>
      <c r="M476" s="5">
        <f>MIN(100,IF(PARAMS_MODELO!$B$23=0,0,100*L476/PARAMS_MODELO!$B$23))*PARAMS_MODELO!$B$10</f>
        <v>14.736071997999554</v>
      </c>
      <c r="N476" s="5">
        <f>IFERROR(VLOOKUP(A476,COMPLIANCE!$A$2:$F$1996,6,0),100)</f>
        <v>100</v>
      </c>
      <c r="O476" s="5">
        <f>N476*PARAMS_MODELO!$B$11</f>
        <v>10</v>
      </c>
      <c r="P476" s="5">
        <f>IFERROR(VLOOKUP(A476,DIGITAL!$A$2:$J$2000,7,0),100)</f>
        <v>25</v>
      </c>
      <c r="Q476" s="5">
        <f>IFERROR(P476,0)*PARAMS_MODELO!$B$12</f>
        <v>2.5</v>
      </c>
      <c r="R476">
        <f t="shared" si="171"/>
        <v>83.964477456547286</v>
      </c>
      <c r="S476" s="5" t="str">
        <f>IFERROR(VLOOKUP(A476,CLIENTE!$A$2:$N$2000,13,0),1)</f>
        <v>Bueno</v>
      </c>
      <c r="T476" s="5">
        <f>IFERROR(VLOOKUP(A476,CLIENTE!$A$2:$N$2000,14,0),1)</f>
        <v>1.1000000000000001</v>
      </c>
      <c r="U476" s="5">
        <f t="shared" si="172"/>
        <v>92.360925202202026</v>
      </c>
      <c r="V476" s="5" t="str">
        <f>IF(U476&gt;=MAX(_xlfn.PERCENTILE.INC($U$2:$U$1194,PARAMS_MODELO!$B$50),PARAMS_MODELO!$B$45),"DIAMANTE",IF(U476&gt;=MAX(_xlfn.PERCENTILE.INC($U$2:$U$1194,PARAMS_MODELO!$B$51),PARAMS_MODELO!$B$46),"PLATINO",IF(U476&gt;=MAX(_xlfn.PERCENTILE.INC($U$2:$U$1194,PARAMS_MODELO!$B$52),PARAMS_MODELO!$B$47),"ORO",IF(U476&gt;=MAX(_xlfn.PERCENTILE.INC($U$2:$U$1194,PARAMS_MODELO!$B$53),PARAMS_MODELO!$B$48),"PLATA",IF(U476&gt;=1,"BRONCE","CERRADO")))))</f>
        <v>PLATINO</v>
      </c>
      <c r="W476" s="5" t="str" cm="1">
        <f t="array" ref="W476">_xlfn.XLOOKUP(1, (HIST_SCORE!$B:$B=PARAMS_MODELO!$B$4) * (HIST_SCORE!$C:$C=A476), HIST_SCORE!$E:$E, "No encontrado")</f>
        <v>PLATINO</v>
      </c>
      <c r="X476" s="5" t="str">
        <f>_xlfn.LET(_xlpm.act,MATCH(V476,{"DIAMANTE";"PLATINO";"ORO";"PLATA";"BRONCE";"CERRADO"},0),_xlpm.ant,MATCH(W476,{"DIAMANTE";"PLATINO";"ORO";"PLATA";"BRONCE";"CERRADO"},0),IF(_xlpm.act&lt;_xlpm.ant,"Mejora ↑",IF(_xlpm.act&gt;_xlpm.ant,"Baja ↓","Estable →")))</f>
        <v>Estable →</v>
      </c>
      <c r="Y476" s="5">
        <f>IFERROR(U476-SUMIFS(HIST_SCORE!$D:$D,HIST_SCORE!$B:$B,PARAMS_MODELO!$B$4,HIST_SCORE!$C:$C,$A476),"")</f>
        <v>0.64150680302580554</v>
      </c>
      <c r="Z476" s="5" t="str">
        <f t="shared" si="173"/>
        <v>→ Estable</v>
      </c>
      <c r="AA476" s="5">
        <f t="shared" si="174"/>
        <v>100</v>
      </c>
      <c r="AB476" s="5">
        <f>IFERROR(SUMIFS(HIST_SCORE!$F:$F,HIST_SCORE!$B:$B,PARAMS_MODELO!$B$4,HIST_SCORE!$C:$C,$A476),"")</f>
        <v>105</v>
      </c>
      <c r="AC476" s="5">
        <f t="shared" si="175"/>
        <v>5</v>
      </c>
      <c r="AD476" t="str">
        <f t="shared" si="177"/>
        <v/>
      </c>
      <c r="AE4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476="CERRADO",1,IF(V476="BRONCE",_xlpm.cPl,IF(V476="PLATA",_xlpm.cO,IF(V476="ORO",_xlpm.cP,IF(V476="PLATINO",_xlpm.cD,999))))))</f>
        <v>96.054919694466676</v>
      </c>
      <c r="AF4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476="CERRADO",0,IF(V476="BRONCE",1,IF(V476="PLATA",_xlpm.cPl,IF(V476="ORO",_xlpm.cO,IF(V476="PLATINO",_xlpm.cP,_xlpm.cD))))))</f>
        <v>86.439123873763251</v>
      </c>
      <c r="AG476">
        <f t="shared" si="178"/>
        <v>3.3581768111496899</v>
      </c>
      <c r="AH476" t="str">
        <f t="shared" si="179"/>
        <v>VENTAS</v>
      </c>
      <c r="AI476" t="str">
        <f t="shared" si="176"/>
        <v>🎯 Para subir de categoría, eje VENTAS / IMPACTO ABSOLUTO (H). Acción: metas semanales + activación comercial + seguimiento del asesor. ΔR aprox: 3,4</v>
      </c>
      <c r="AJ476" s="26">
        <f>_xlfn.LET(_xlpm.piso,AF476,_xlpm.corte,AE476,_xlpm.prog,IF(_xlpm.corte&lt;=_xlpm.piso,0,MAX(0,MIN(1,(U476-_xlpm.piso)/(_xlpm.corte-_xlpm.piso)))),_xlpm.orden,{"DIAMANTE";"PLATINO";"ORO";"PLATA";"BRONCE";"CERRADO"},_xlpm.act,IFERROR(MATCH(V476,_xlpm.orden,0),6),_xlpm.ant,IFERROR(MATCH(W476,_xlpm.orden,0),6),_xlpm.ajmov,IF(_xlpm.act&lt;_xlpm.ant,0.08,IF(_xlpm.act&gt;_xlpm.ant,-0.08,0)),_xlpm.ajcli,IF(T476&lt;0.95,-0.06,0),_xlpm.prob,MAX(0,MIN(1,_xlpm.prog+_xlpm.ajmov+_xlpm.ajcli)),IF(OR(V476="DIAMANTE",V476="CERRADO"),0,ROUND(_xlpm.prob,2)))</f>
        <v>0.62</v>
      </c>
      <c r="AK476" t="str">
        <f t="shared" si="180"/>
        <v>Faltan 3,4 puntos base para subir a la siguiente categoría</v>
      </c>
      <c r="AL476" t="str">
        <f t="shared" si="181"/>
        <v>Margen de seguridad: 5,9 puntos</v>
      </c>
      <c r="AM476">
        <f t="shared" si="182"/>
        <v>0.28999999999999998</v>
      </c>
      <c r="AN476" t="str">
        <f t="shared" si="183"/>
        <v>PRIORIDAD BAJA – control normal</v>
      </c>
      <c r="AO476">
        <f t="shared" si="184"/>
        <v>8.9475801984226369</v>
      </c>
      <c r="AP476">
        <f t="shared" si="185"/>
        <v>0.29032080220049061</v>
      </c>
      <c r="AQ476">
        <f t="shared" si="186"/>
        <v>0</v>
      </c>
      <c r="AR476">
        <f t="shared" si="187"/>
        <v>8.25</v>
      </c>
      <c r="AS476">
        <f t="shared" si="188"/>
        <v>0</v>
      </c>
      <c r="AT476" t="str">
        <f t="shared" si="189"/>
        <v>VENTAS</v>
      </c>
      <c r="AU476">
        <f t="shared" si="190"/>
        <v>8.9475801984226369</v>
      </c>
      <c r="AV476" t="str">
        <f t="shared" si="191"/>
        <v>Mayor retorno probable: VENTAS (+8,9 puntos finales potenciales).</v>
      </c>
    </row>
    <row r="477" spans="1:48" x14ac:dyDescent="0.3">
      <c r="A477" s="5">
        <v>51008618</v>
      </c>
      <c r="B477" s="5" t="str">
        <f>IFERROR(VLOOKUP(A477,VENTAS!$A$2:$B$1194,2,0),"")</f>
        <v>LÓPEZ</v>
      </c>
      <c r="C477" s="5">
        <f>IFERROR(INDEX(VENTAS!$C$2:$E$1194,MATCH(A477,VENTAS!$A$2:$A$1194,0),MATCH(PARAMS_MODELO!$B$2,{"Q1","Q2","Q3"},0)),0)</f>
        <v>101836022.97</v>
      </c>
      <c r="D477" s="5">
        <f>IFERROR(INDEX(VENTAS!$F$2:$H$1194,MATCH(A477,VENTAS!$A$2:$A$1194,0),MATCH(PARAMS_MODELO!$B$2,{"Q1","Q2","Q3"},0)),0)</f>
        <v>80057430</v>
      </c>
      <c r="E477" s="8">
        <f t="shared" si="168"/>
        <v>-0.21385942159598847</v>
      </c>
      <c r="F477" s="12">
        <f>IF(E477&lt;=PARAMS_MODELO!$B$15,0,IF(E477&gt;=PARAMS_MODELO!$B$17,100,100*MIN(1,(E477-PARAMS_MODELO!$B$15)/(PARAMS_MODELO!$B$16-PARAMS_MODELO!$B$15))))*PARAMS_MODELO!$B$7</f>
        <v>0</v>
      </c>
      <c r="G477" s="5">
        <f t="shared" si="169"/>
        <v>0</v>
      </c>
      <c r="H477" s="5">
        <f>(PARAMS_MODELO!$B$20*(MAX(0,MIN(3,E477))/3)+PARAMS_MODELO!$B$21*(IFERROR(LN(1+MAX(0,G477))/LN(1+MAX(0,MAX($G$2:$G$1194))),0)))*100*PARAMS_MODELO!$B$8</f>
        <v>0</v>
      </c>
      <c r="I477" s="8">
        <f>E477-PARAMS_MODELO!$B$5</f>
        <v>-0.391422256971515</v>
      </c>
      <c r="J477" s="5">
        <f>IF(I477&lt;=PARAMS_MODELO!$B$18,0,IF(I477&gt;=PARAMS_MODELO!$B$19,100,100*(I477-PARAMS_MODELO!$B$18)/(PARAMS_MODELO!$B$19-PARAMS_MODELO!$B$18)))*PARAMS_MODELO!$B$9</f>
        <v>0</v>
      </c>
      <c r="K477" s="5">
        <f>IFERROR(CHOOSE(MATCH(PARAMS_MODELO!$B$2,{"Q1","Q2","Q3"},0),LOTO!$D477,LOTO!$F477,LOTO!$H477),0)</f>
        <v>3937500</v>
      </c>
      <c r="L477" s="8">
        <f t="shared" si="170"/>
        <v>4.918344243626107E-2</v>
      </c>
      <c r="M477" s="5">
        <f>MIN(100,IF(PARAMS_MODELO!$B$23=0,0,100*L477/PARAMS_MODELO!$B$23))*PARAMS_MODELO!$B$10</f>
        <v>14.75503273087832</v>
      </c>
      <c r="N477" s="5">
        <f>IFERROR(VLOOKUP(A477,COMPLIANCE!$A$2:$F$1996,6,0),100)</f>
        <v>99.85</v>
      </c>
      <c r="O477" s="5">
        <f>N477*PARAMS_MODELO!$B$11</f>
        <v>9.9849999999999994</v>
      </c>
      <c r="P477" s="5">
        <f>IFERROR(VLOOKUP(A477,DIGITAL!$A$2:$J$2000,7,0),100)</f>
        <v>52</v>
      </c>
      <c r="Q477" s="5">
        <f>IFERROR(P477,0)*PARAMS_MODELO!$B$12</f>
        <v>5.2</v>
      </c>
      <c r="R477">
        <f t="shared" si="171"/>
        <v>29.940032730878318</v>
      </c>
      <c r="S477" s="5" t="str">
        <f>IFERROR(VLOOKUP(A477,CLIENTE!$A$2:$N$2000,13,0),1)</f>
        <v>Malo</v>
      </c>
      <c r="T477" s="5">
        <f>IFERROR(VLOOKUP(A477,CLIENTE!$A$2:$N$2000,14,0),1)</f>
        <v>0.7</v>
      </c>
      <c r="U477" s="5">
        <f t="shared" si="172"/>
        <v>20.958022911614822</v>
      </c>
      <c r="V477" s="5" t="str">
        <f>IF(U477&gt;=MAX(_xlfn.PERCENTILE.INC($U$2:$U$1194,PARAMS_MODELO!$B$50),PARAMS_MODELO!$B$45),"DIAMANTE",IF(U477&gt;=MAX(_xlfn.PERCENTILE.INC($U$2:$U$1194,PARAMS_MODELO!$B$51),PARAMS_MODELO!$B$46),"PLATINO",IF(U477&gt;=MAX(_xlfn.PERCENTILE.INC($U$2:$U$1194,PARAMS_MODELO!$B$52),PARAMS_MODELO!$B$47),"ORO",IF(U477&gt;=MAX(_xlfn.PERCENTILE.INC($U$2:$U$1194,PARAMS_MODELO!$B$53),PARAMS_MODELO!$B$48),"PLATA",IF(U477&gt;=1,"BRONCE","CERRADO")))))</f>
        <v>BRONCE</v>
      </c>
      <c r="W477" s="5" t="str" cm="1">
        <f t="array" ref="W477">_xlfn.XLOOKUP(1, (HIST_SCORE!$B:$B=PARAMS_MODELO!$B$4) * (HIST_SCORE!$C:$C=A477), HIST_SCORE!$E:$E, "No encontrado")</f>
        <v>PLATA</v>
      </c>
      <c r="X477" s="5" t="str">
        <f>_xlfn.LET(_xlpm.act,MATCH(V477,{"DIAMANTE";"PLATINO";"ORO";"PLATA";"BRONCE";"CERRADO"},0),_xlpm.ant,MATCH(W477,{"DIAMANTE";"PLATINO";"ORO";"PLATA";"BRONCE";"CERRADO"},0),IF(_xlpm.act&lt;_xlpm.ant,"Mejora ↑",IF(_xlpm.act&gt;_xlpm.ant,"Baja ↓","Estable →")))</f>
        <v>Baja ↓</v>
      </c>
      <c r="Y477" s="5">
        <f>IFERROR(U477-SUMIFS(HIST_SCORE!$D:$D,HIST_SCORE!$B:$B,PARAMS_MODELO!$B$4,HIST_SCORE!$C:$C,$A477),"")</f>
        <v>-36.660216438368636</v>
      </c>
      <c r="Z477" s="5" t="str">
        <f t="shared" si="173"/>
        <v>↓ Baja</v>
      </c>
      <c r="AA477" s="5">
        <f t="shared" si="174"/>
        <v>964</v>
      </c>
      <c r="AB477" s="5">
        <f>IFERROR(SUMIFS(HIST_SCORE!$F:$F,HIST_SCORE!$B:$B,PARAMS_MODELO!$B$4,HIST_SCORE!$C:$C,$A477),"")</f>
        <v>695</v>
      </c>
      <c r="AC477" s="5">
        <f t="shared" si="175"/>
        <v>-269</v>
      </c>
      <c r="AD477" t="str">
        <f t="shared" si="177"/>
        <v>Plan de recuperación: foco crecimiento + mix</v>
      </c>
      <c r="AE4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477="CERRADO",1,IF(V477="BRONCE",_xlpm.cPl,IF(V477="PLATA",_xlpm.cO,IF(V477="ORO",_xlpm.cP,IF(V477="PLATINO",_xlpm.cD,999))))))</f>
        <v>24.506573482968111</v>
      </c>
      <c r="AF4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477="CERRADO",0,IF(V477="BRONCE",1,IF(V477="PLATA",_xlpm.cPl,IF(V477="ORO",_xlpm.cO,IF(V477="PLATINO",_xlpm.cP,_xlpm.cD))))))</f>
        <v>1</v>
      </c>
      <c r="AG477">
        <f t="shared" si="178"/>
        <v>5.0693579590761253</v>
      </c>
      <c r="AH477" t="str">
        <f t="shared" si="179"/>
        <v>CLIENTE</v>
      </c>
      <c r="AI477" t="str">
        <f t="shared" si="176"/>
        <v>🎯 Para subir de categoría, la eje con mayor impacto probable es CLIENTE (coef T). Acción: reducir quejas, mejorar incógnito y empujar reseñas. ΔR aprox: 5,1</v>
      </c>
      <c r="AJ477" s="26">
        <f>_xlfn.LET(_xlpm.piso,AF477,_xlpm.corte,AE477,_xlpm.prog,IF(_xlpm.corte&lt;=_xlpm.piso,0,MAX(0,MIN(1,(U477-_xlpm.piso)/(_xlpm.corte-_xlpm.piso)))),_xlpm.orden,{"DIAMANTE";"PLATINO";"ORO";"PLATA";"BRONCE";"CERRADO"},_xlpm.act,IFERROR(MATCH(V477,_xlpm.orden,0),6),_xlpm.ant,IFERROR(MATCH(W477,_xlpm.orden,0),6),_xlpm.ajmov,IF(_xlpm.act&lt;_xlpm.ant,0.08,IF(_xlpm.act&gt;_xlpm.ant,-0.08,0)),_xlpm.ajcli,IF(T477&lt;0.95,-0.06,0),_xlpm.prob,MAX(0,MIN(1,_xlpm.prog+_xlpm.ajmov+_xlpm.ajcli)),IF(OR(V477="DIAMANTE",V477="CERRADO"),0,ROUND(_xlpm.prob,2)))</f>
        <v>0.71</v>
      </c>
      <c r="AK477" t="str">
        <f t="shared" si="180"/>
        <v>Faltan 5,1 puntos base para subir a la siguiente categoría</v>
      </c>
      <c r="AL477" t="str">
        <f t="shared" si="181"/>
        <v>No aplica</v>
      </c>
      <c r="AM477">
        <f t="shared" si="182"/>
        <v>0.52</v>
      </c>
      <c r="AN477" t="str">
        <f t="shared" si="183"/>
        <v>PRIORIDAD MEDIA – seguimiento del asesor</v>
      </c>
      <c r="AO477">
        <f t="shared" si="184"/>
        <v>45.403798492706905</v>
      </c>
      <c r="AP477">
        <f t="shared" si="185"/>
        <v>0.17147708838517628</v>
      </c>
      <c r="AQ477">
        <f t="shared" si="186"/>
        <v>1.0500000000000398E-2</v>
      </c>
      <c r="AR477">
        <f t="shared" si="187"/>
        <v>3.36</v>
      </c>
      <c r="AS477">
        <f t="shared" si="188"/>
        <v>8.9820098192634976</v>
      </c>
      <c r="AT477" t="str">
        <f t="shared" si="189"/>
        <v>VENTAS</v>
      </c>
      <c r="AU477">
        <f t="shared" si="190"/>
        <v>45.403798492706905</v>
      </c>
      <c r="AV477" t="str">
        <f t="shared" si="191"/>
        <v>Mayor retorno probable: VENTAS (+45,4 puntos finales potenciales).</v>
      </c>
    </row>
    <row r="478" spans="1:48" x14ac:dyDescent="0.3">
      <c r="A478" s="5">
        <v>51010574</v>
      </c>
      <c r="B478" s="5" t="str">
        <f>IFERROR(VLOOKUP(A478,VENTAS!$A$2:$B$1194,2,0),"")</f>
        <v>MONTENEGRO</v>
      </c>
      <c r="C478" s="5">
        <f>IFERROR(INDEX(VENTAS!$C$2:$E$1194,MATCH(A478,VENTAS!$A$2:$A$1194,0),MATCH(PARAMS_MODELO!$B$2,{"Q1","Q2","Q3"},0)),0)</f>
        <v>70569860.120000005</v>
      </c>
      <c r="D478" s="5">
        <f>IFERROR(INDEX(VENTAS!$F$2:$H$1194,MATCH(A478,VENTAS!$A$2:$A$1194,0),MATCH(PARAMS_MODELO!$B$2,{"Q1","Q2","Q3"},0)),0)</f>
        <v>79844917</v>
      </c>
      <c r="E478" s="8">
        <f t="shared" si="168"/>
        <v>0.13143085255133413</v>
      </c>
      <c r="F478" s="12">
        <f>IF(E478&lt;=PARAMS_MODELO!$B$15,0,IF(E478&gt;=PARAMS_MODELO!$B$17,100,100*MIN(1,(E478-PARAMS_MODELO!$B$15)/(PARAMS_MODELO!$B$16-PARAMS_MODELO!$B$15))))*PARAMS_MODELO!$B$7</f>
        <v>35</v>
      </c>
      <c r="G478" s="5">
        <f t="shared" si="169"/>
        <v>9275056.8799999952</v>
      </c>
      <c r="H478" s="5">
        <f>(PARAMS_MODELO!$B$20*(MAX(0,MIN(3,E478))/3)+PARAMS_MODELO!$B$21*(IFERROR(LN(1+MAX(0,G478))/LN(1+MAX(0,MAX($G$2:$G$1194))),0)))*100*PARAMS_MODELO!$B$8</f>
        <v>4.2206735100669768</v>
      </c>
      <c r="I478" s="8">
        <f>E478-PARAMS_MODELO!$B$5</f>
        <v>-4.6131982824192397E-2</v>
      </c>
      <c r="J478" s="5">
        <f>IF(I478&lt;=PARAMS_MODELO!$B$18,0,IF(I478&gt;=PARAMS_MODELO!$B$19,100,100*(I478-PARAMS_MODELO!$B$18)/(PARAMS_MODELO!$B$19-PARAMS_MODELO!$B$18)))*PARAMS_MODELO!$B$9</f>
        <v>0.58020257637114081</v>
      </c>
      <c r="K478" s="5">
        <f>IFERROR(CHOOSE(MATCH(PARAMS_MODELO!$B$2,{"Q1","Q2","Q3"},0),LOTO!$D478,LOTO!$F478,LOTO!$H478),0)</f>
        <v>3937500</v>
      </c>
      <c r="L478" s="8">
        <f t="shared" si="170"/>
        <v>4.9314347712328385E-2</v>
      </c>
      <c r="M478" s="5">
        <f>MIN(100,IF(PARAMS_MODELO!$B$23=0,0,100*L478/PARAMS_MODELO!$B$23))*PARAMS_MODELO!$B$10</f>
        <v>14.794304313698515</v>
      </c>
      <c r="N478" s="5">
        <f>IFERROR(VLOOKUP(A478,COMPLIANCE!$A$2:$F$1996,6,0),100)</f>
        <v>100</v>
      </c>
      <c r="O478" s="5">
        <f>N478*PARAMS_MODELO!$B$11</f>
        <v>10</v>
      </c>
      <c r="P478" s="5">
        <f>IFERROR(VLOOKUP(A478,DIGITAL!$A$2:$J$2000,7,0),100)</f>
        <v>98</v>
      </c>
      <c r="Q478" s="5">
        <f>IFERROR(P478,0)*PARAMS_MODELO!$B$12</f>
        <v>9.8000000000000007</v>
      </c>
      <c r="R478">
        <f t="shared" si="171"/>
        <v>74.395180400136624</v>
      </c>
      <c r="S478" s="5" t="str">
        <f>IFERROR(VLOOKUP(A478,CLIENTE!$A$2:$N$2000,13,0),1)</f>
        <v>Bueno</v>
      </c>
      <c r="T478" s="5">
        <f>IFERROR(VLOOKUP(A478,CLIENTE!$A$2:$N$2000,14,0),1)</f>
        <v>1.1000000000000001</v>
      </c>
      <c r="U478" s="5">
        <f t="shared" si="172"/>
        <v>81.834698440150291</v>
      </c>
      <c r="V478" s="5" t="str">
        <f>IF(U478&gt;=MAX(_xlfn.PERCENTILE.INC($U$2:$U$1194,PARAMS_MODELO!$B$50),PARAMS_MODELO!$B$45),"DIAMANTE",IF(U478&gt;=MAX(_xlfn.PERCENTILE.INC($U$2:$U$1194,PARAMS_MODELO!$B$51),PARAMS_MODELO!$B$46),"PLATINO",IF(U478&gt;=MAX(_xlfn.PERCENTILE.INC($U$2:$U$1194,PARAMS_MODELO!$B$52),PARAMS_MODELO!$B$47),"ORO",IF(U478&gt;=MAX(_xlfn.PERCENTILE.INC($U$2:$U$1194,PARAMS_MODELO!$B$53),PARAMS_MODELO!$B$48),"PLATA",IF(U478&gt;=1,"BRONCE","CERRADO")))))</f>
        <v>ORO</v>
      </c>
      <c r="W478" s="5" t="str" cm="1">
        <f t="array" ref="W478">_xlfn.XLOOKUP(1, (HIST_SCORE!$B:$B=PARAMS_MODELO!$B$4) * (HIST_SCORE!$C:$C=A478), HIST_SCORE!$E:$E, "No encontrado")</f>
        <v>PLATINO</v>
      </c>
      <c r="X478" s="5" t="str">
        <f>_xlfn.LET(_xlpm.act,MATCH(V478,{"DIAMANTE";"PLATINO";"ORO";"PLATA";"BRONCE";"CERRADO"},0),_xlpm.ant,MATCH(W478,{"DIAMANTE";"PLATINO";"ORO";"PLATA";"BRONCE";"CERRADO"},0),IF(_xlpm.act&lt;_xlpm.ant,"Mejora ↑",IF(_xlpm.act&gt;_xlpm.ant,"Baja ↓","Estable →")))</f>
        <v>Baja ↓</v>
      </c>
      <c r="Y478" s="5">
        <f>IFERROR(U478-SUMIFS(HIST_SCORE!$D:$D,HIST_SCORE!$B:$B,PARAMS_MODELO!$B$4,HIST_SCORE!$C:$C,$A478),"")</f>
        <v>-12.789216272578372</v>
      </c>
      <c r="Z478" s="5" t="str">
        <f t="shared" si="173"/>
        <v>↓ Baja</v>
      </c>
      <c r="AA478" s="5">
        <f t="shared" si="174"/>
        <v>390</v>
      </c>
      <c r="AB478" s="5">
        <f>IFERROR(SUMIFS(HIST_SCORE!$F:$F,HIST_SCORE!$B:$B,PARAMS_MODELO!$B$4,HIST_SCORE!$C:$C,$A478),"")</f>
        <v>67</v>
      </c>
      <c r="AC478" s="5">
        <f t="shared" si="175"/>
        <v>-323</v>
      </c>
      <c r="AD478" t="str">
        <f t="shared" si="177"/>
        <v>Sostener base y reforzar mix</v>
      </c>
      <c r="AE4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478="CERRADO",1,IF(V478="BRONCE",_xlpm.cPl,IF(V478="PLATA",_xlpm.cO,IF(V478="ORO",_xlpm.cP,IF(V478="PLATINO",_xlpm.cD,999))))))</f>
        <v>86.439123873763251</v>
      </c>
      <c r="AF4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478="CERRADO",0,IF(V478="BRONCE",1,IF(V478="PLATA",_xlpm.cPl,IF(V478="ORO",_xlpm.cO,IF(V478="PLATINO",_xlpm.cP,_xlpm.cD))))))</f>
        <v>63.199193273331495</v>
      </c>
      <c r="AG478">
        <f t="shared" si="178"/>
        <v>4.185841303284505</v>
      </c>
      <c r="AH478" t="str">
        <f t="shared" si="179"/>
        <v>VENTAS</v>
      </c>
      <c r="AI478" t="str">
        <f t="shared" si="176"/>
        <v>🎯 Para subir de categoría, eje VENTAS / DIFERENCIAL vs LOTBA (J). Acción: metas semanales + activación comercial + seguimiento del asesor. ΔR aprox: 4,2</v>
      </c>
      <c r="AJ478" s="26">
        <f>_xlfn.LET(_xlpm.piso,AF478,_xlpm.corte,AE478,_xlpm.prog,IF(_xlpm.corte&lt;=_xlpm.piso,0,MAX(0,MIN(1,(U478-_xlpm.piso)/(_xlpm.corte-_xlpm.piso)))),_xlpm.orden,{"DIAMANTE";"PLATINO";"ORO";"PLATA";"BRONCE";"CERRADO"},_xlpm.act,IFERROR(MATCH(V478,_xlpm.orden,0),6),_xlpm.ant,IFERROR(MATCH(W478,_xlpm.orden,0),6),_xlpm.ajmov,IF(_xlpm.act&lt;_xlpm.ant,0.08,IF(_xlpm.act&gt;_xlpm.ant,-0.08,0)),_xlpm.ajcli,IF(T478&lt;0.95,-0.06,0),_xlpm.prob,MAX(0,MIN(1,_xlpm.prog+_xlpm.ajmov+_xlpm.ajcli)),IF(OR(V478="DIAMANTE",V478="CERRADO"),0,ROUND(_xlpm.prob,2)))</f>
        <v>0.72</v>
      </c>
      <c r="AK478" t="str">
        <f t="shared" si="180"/>
        <v>Faltan 4,2 puntos base para subir a la siguiente categoría</v>
      </c>
      <c r="AL478" t="str">
        <f t="shared" si="181"/>
        <v>Margen de seguridad: 18,6 puntos</v>
      </c>
      <c r="AM478">
        <f t="shared" si="182"/>
        <v>0.28000000000000003</v>
      </c>
      <c r="AN478" t="str">
        <f t="shared" si="183"/>
        <v>PRIORIDAD BAJA – control normal</v>
      </c>
      <c r="AO478">
        <f t="shared" si="184"/>
        <v>27.567862507743218</v>
      </c>
      <c r="AP478">
        <f t="shared" si="185"/>
        <v>0.22626525493163394</v>
      </c>
      <c r="AQ478">
        <f t="shared" si="186"/>
        <v>0</v>
      </c>
      <c r="AR478">
        <f t="shared" si="187"/>
        <v>0.21999999999999922</v>
      </c>
      <c r="AS478">
        <f t="shared" si="188"/>
        <v>0</v>
      </c>
      <c r="AT478" t="str">
        <f t="shared" si="189"/>
        <v>VENTAS</v>
      </c>
      <c r="AU478">
        <f t="shared" si="190"/>
        <v>27.567862507743218</v>
      </c>
      <c r="AV478" t="str">
        <f t="shared" si="191"/>
        <v>Mayor retorno probable: VENTAS (+27,6 puntos finales potenciales).</v>
      </c>
    </row>
    <row r="479" spans="1:48" x14ac:dyDescent="0.3">
      <c r="A479" s="5">
        <v>51056493</v>
      </c>
      <c r="B479" s="5" t="str">
        <f>IFERROR(VLOOKUP(A479,VENTAS!$A$2:$B$1194,2,0),"")</f>
        <v>AYALA</v>
      </c>
      <c r="C479" s="5">
        <f>IFERROR(INDEX(VENTAS!$C$2:$E$1194,MATCH(A479,VENTAS!$A$2:$A$1194,0),MATCH(PARAMS_MODELO!$B$2,{"Q1","Q2","Q3"},0)),0)</f>
        <v>57690496.400000013</v>
      </c>
      <c r="D479" s="5">
        <f>IFERROR(INDEX(VENTAS!$F$2:$H$1194,MATCH(A479,VENTAS!$A$2:$A$1194,0),MATCH(PARAMS_MODELO!$B$2,{"Q1","Q2","Q3"},0)),0)</f>
        <v>79701854</v>
      </c>
      <c r="E479" s="8">
        <f t="shared" si="168"/>
        <v>0.38154217719645045</v>
      </c>
      <c r="F479" s="12">
        <f>IF(E479&lt;=PARAMS_MODELO!$B$15,0,IF(E479&gt;=PARAMS_MODELO!$B$17,100,100*MIN(1,(E479-PARAMS_MODELO!$B$15)/(PARAMS_MODELO!$B$16-PARAMS_MODELO!$B$15))))*PARAMS_MODELO!$B$7</f>
        <v>35</v>
      </c>
      <c r="G479" s="5">
        <f t="shared" si="169"/>
        <v>22011357.599999987</v>
      </c>
      <c r="H479" s="5">
        <f>(PARAMS_MODELO!$B$20*(MAX(0,MIN(3,E479))/3)+PARAMS_MODELO!$B$21*(IFERROR(LN(1+MAX(0,G479))/LN(1+MAX(0,MAX($G$2:$G$1194))),0)))*100*PARAMS_MODELO!$B$8</f>
        <v>5.2986506699450482</v>
      </c>
      <c r="I479" s="8">
        <f>E479-PARAMS_MODELO!$B$5</f>
        <v>0.20397934182092392</v>
      </c>
      <c r="J479" s="5">
        <f>IF(I479&lt;=PARAMS_MODELO!$B$18,0,IF(I479&gt;=PARAMS_MODELO!$B$19,100,100*(I479-PARAMS_MODELO!$B$18)/(PARAMS_MODELO!$B$19-PARAMS_MODELO!$B$18)))*PARAMS_MODELO!$B$9</f>
        <v>15</v>
      </c>
      <c r="K479" s="5">
        <f>IFERROR(CHOOSE(MATCH(PARAMS_MODELO!$B$2,{"Q1","Q2","Q3"},0),LOTO!$D479,LOTO!$F479,LOTO!$H479),0)</f>
        <v>3927500</v>
      </c>
      <c r="L479" s="8">
        <f t="shared" si="170"/>
        <v>4.9277398239694653E-2</v>
      </c>
      <c r="M479" s="5">
        <f>MIN(100,IF(PARAMS_MODELO!$B$23=0,0,100*L479/PARAMS_MODELO!$B$23))*PARAMS_MODELO!$B$10</f>
        <v>14.783219471908394</v>
      </c>
      <c r="N479" s="5">
        <f>IFERROR(VLOOKUP(A479,COMPLIANCE!$A$2:$F$1996,6,0),100)</f>
        <v>100</v>
      </c>
      <c r="O479" s="5">
        <f>N479*PARAMS_MODELO!$B$11</f>
        <v>10</v>
      </c>
      <c r="P479" s="5">
        <f>IFERROR(VLOOKUP(A479,DIGITAL!$A$2:$J$2000,7,0),100)</f>
        <v>57</v>
      </c>
      <c r="Q479" s="5">
        <f>IFERROR(P479,0)*PARAMS_MODELO!$B$12</f>
        <v>5.7</v>
      </c>
      <c r="R479">
        <f t="shared" si="171"/>
        <v>85.781870141853446</v>
      </c>
      <c r="S479" s="5" t="str">
        <f>IFERROR(VLOOKUP(A479,CLIENTE!$A$2:$N$2000,13,0),1)</f>
        <v>Bueno</v>
      </c>
      <c r="T479" s="5">
        <f>IFERROR(VLOOKUP(A479,CLIENTE!$A$2:$N$2000,14,0),1)</f>
        <v>1.1000000000000001</v>
      </c>
      <c r="U479" s="5">
        <f t="shared" si="172"/>
        <v>94.360057156038792</v>
      </c>
      <c r="V479" s="5" t="str">
        <f>IF(U479&gt;=MAX(_xlfn.PERCENTILE.INC($U$2:$U$1194,PARAMS_MODELO!$B$50),PARAMS_MODELO!$B$45),"DIAMANTE",IF(U479&gt;=MAX(_xlfn.PERCENTILE.INC($U$2:$U$1194,PARAMS_MODELO!$B$51),PARAMS_MODELO!$B$46),"PLATINO",IF(U479&gt;=MAX(_xlfn.PERCENTILE.INC($U$2:$U$1194,PARAMS_MODELO!$B$52),PARAMS_MODELO!$B$47),"ORO",IF(U479&gt;=MAX(_xlfn.PERCENTILE.INC($U$2:$U$1194,PARAMS_MODELO!$B$53),PARAMS_MODELO!$B$48),"PLATA",IF(U479&gt;=1,"BRONCE","CERRADO")))))</f>
        <v>PLATINO</v>
      </c>
      <c r="W479" s="5" t="str" cm="1">
        <f t="array" ref="W479">_xlfn.XLOOKUP(1, (HIST_SCORE!$B:$B=PARAMS_MODELO!$B$4) * (HIST_SCORE!$C:$C=A479), HIST_SCORE!$E:$E, "No encontrado")</f>
        <v>PLATINO</v>
      </c>
      <c r="X479" s="5" t="str">
        <f>_xlfn.LET(_xlpm.act,MATCH(V479,{"DIAMANTE";"PLATINO";"ORO";"PLATA";"BRONCE";"CERRADO"},0),_xlpm.ant,MATCH(W479,{"DIAMANTE";"PLATINO";"ORO";"PLATA";"BRONCE";"CERRADO"},0),IF(_xlpm.act&lt;_xlpm.ant,"Mejora ↑",IF(_xlpm.act&gt;_xlpm.ant,"Baja ↓","Estable →")))</f>
        <v>Estable →</v>
      </c>
      <c r="Y479" s="5">
        <f>IFERROR(U479-SUMIFS(HIST_SCORE!$D:$D,HIST_SCORE!$B:$B,PARAMS_MODELO!$B$4,HIST_SCORE!$C:$C,$A479),"")</f>
        <v>2.9131139745380636</v>
      </c>
      <c r="Z479" s="5" t="str">
        <f t="shared" si="173"/>
        <v>→ Estable</v>
      </c>
      <c r="AA479" s="5">
        <f t="shared" si="174"/>
        <v>74</v>
      </c>
      <c r="AB479" s="5">
        <f>IFERROR(SUMIFS(HIST_SCORE!$F:$F,HIST_SCORE!$B:$B,PARAMS_MODELO!$B$4,HIST_SCORE!$C:$C,$A479),"")</f>
        <v>113</v>
      </c>
      <c r="AC479" s="5">
        <f t="shared" si="175"/>
        <v>39</v>
      </c>
      <c r="AD479" t="str">
        <f t="shared" si="177"/>
        <v/>
      </c>
      <c r="AE4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479="CERRADO",1,IF(V479="BRONCE",_xlpm.cPl,IF(V479="PLATA",_xlpm.cO,IF(V479="ORO",_xlpm.cP,IF(V479="PLATINO",_xlpm.cD,999))))))</f>
        <v>96.054919694466676</v>
      </c>
      <c r="AF4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479="CERRADO",0,IF(V479="BRONCE",1,IF(V479="PLATA",_xlpm.cPl,IF(V479="ORO",_xlpm.cO,IF(V479="PLATINO",_xlpm.cP,_xlpm.cD))))))</f>
        <v>86.439123873763251</v>
      </c>
      <c r="AG479">
        <f t="shared" si="178"/>
        <v>1.5407841258435298</v>
      </c>
      <c r="AH479" t="str">
        <f t="shared" si="179"/>
        <v>VENTAS</v>
      </c>
      <c r="AI479" t="str">
        <f t="shared" si="176"/>
        <v>🎯 Para subir de categoría, eje VENTAS / IMPACTO ABSOLUTO (H). Acción: metas semanales + activación comercial + seguimiento del asesor. ΔR aprox: 1,5</v>
      </c>
      <c r="AJ479" s="26">
        <f>_xlfn.LET(_xlpm.piso,AF479,_xlpm.corte,AE479,_xlpm.prog,IF(_xlpm.corte&lt;=_xlpm.piso,0,MAX(0,MIN(1,(U479-_xlpm.piso)/(_xlpm.corte-_xlpm.piso)))),_xlpm.orden,{"DIAMANTE";"PLATINO";"ORO";"PLATA";"BRONCE";"CERRADO"},_xlpm.act,IFERROR(MATCH(V479,_xlpm.orden,0),6),_xlpm.ant,IFERROR(MATCH(W479,_xlpm.orden,0),6),_xlpm.ajmov,IF(_xlpm.act&lt;_xlpm.ant,0.08,IF(_xlpm.act&gt;_xlpm.ant,-0.08,0)),_xlpm.ajcli,IF(T479&lt;0.95,-0.06,0),_xlpm.prob,MAX(0,MIN(1,_xlpm.prog+_xlpm.ajmov+_xlpm.ajcli)),IF(OR(V479="DIAMANTE",V479="CERRADO"),0,ROUND(_xlpm.prob,2)))</f>
        <v>0.82</v>
      </c>
      <c r="AK479" t="str">
        <f t="shared" si="180"/>
        <v>Faltan 1,5 puntos base para subir a la siguiente categoría</v>
      </c>
      <c r="AL479" t="str">
        <f t="shared" si="181"/>
        <v>Margen de seguridad: 7,9 puntos</v>
      </c>
      <c r="AM479">
        <f t="shared" si="182"/>
        <v>0.13</v>
      </c>
      <c r="AN479" t="str">
        <f t="shared" si="183"/>
        <v>PRIORIDAD BAJA – control normal</v>
      </c>
      <c r="AO479">
        <f t="shared" si="184"/>
        <v>10.520310465885592</v>
      </c>
      <c r="AP479">
        <f t="shared" si="185"/>
        <v>0.23845858090076658</v>
      </c>
      <c r="AQ479">
        <f t="shared" si="186"/>
        <v>0</v>
      </c>
      <c r="AR479">
        <f t="shared" si="187"/>
        <v>4.7300000000000004</v>
      </c>
      <c r="AS479">
        <f t="shared" si="188"/>
        <v>0</v>
      </c>
      <c r="AT479" t="str">
        <f t="shared" si="189"/>
        <v>VENTAS</v>
      </c>
      <c r="AU479">
        <f t="shared" si="190"/>
        <v>10.520310465885592</v>
      </c>
      <c r="AV479" t="str">
        <f t="shared" si="191"/>
        <v>Mayor retorno probable: VENTAS (+10,5 puntos finales potenciales).</v>
      </c>
    </row>
    <row r="480" spans="1:48" x14ac:dyDescent="0.3">
      <c r="A480" s="5">
        <v>51024206</v>
      </c>
      <c r="B480" s="5" t="str">
        <f>IFERROR(VLOOKUP(A480,VENTAS!$A$2:$B$1194,2,0),"")</f>
        <v>MONTENEGRO</v>
      </c>
      <c r="C480" s="5">
        <f>IFERROR(INDEX(VENTAS!$C$2:$E$1194,MATCH(A480,VENTAS!$A$2:$A$1194,0),MATCH(PARAMS_MODELO!$B$2,{"Q1","Q2","Q3"},0)),0)</f>
        <v>66279144.299999997</v>
      </c>
      <c r="D480" s="5">
        <f>IFERROR(INDEX(VENTAS!$F$2:$H$1194,MATCH(A480,VENTAS!$A$2:$A$1194,0),MATCH(PARAMS_MODELO!$B$2,{"Q1","Q2","Q3"},0)),0)</f>
        <v>79614069</v>
      </c>
      <c r="E480" s="8">
        <f t="shared" si="168"/>
        <v>0.20119337448959795</v>
      </c>
      <c r="F480" s="12">
        <f>IF(E480&lt;=PARAMS_MODELO!$B$15,0,IF(E480&gt;=PARAMS_MODELO!$B$17,100,100*MIN(1,(E480-PARAMS_MODELO!$B$15)/(PARAMS_MODELO!$B$16-PARAMS_MODELO!$B$15))))*PARAMS_MODELO!$B$7</f>
        <v>35</v>
      </c>
      <c r="G480" s="5">
        <f t="shared" si="169"/>
        <v>13334924.700000003</v>
      </c>
      <c r="H480" s="5">
        <f>(PARAMS_MODELO!$B$20*(MAX(0,MIN(3,E480))/3)+PARAMS_MODELO!$B$21*(IFERROR(LN(1+MAX(0,G480))/LN(1+MAX(0,MAX($G$2:$G$1194))),0)))*100*PARAMS_MODELO!$B$8</f>
        <v>4.5499481389203797</v>
      </c>
      <c r="I480" s="8">
        <f>E480-PARAMS_MODELO!$B$5</f>
        <v>2.3630539114071425E-2</v>
      </c>
      <c r="J480" s="5">
        <f>IF(I480&lt;=PARAMS_MODELO!$B$18,0,IF(I480&gt;=PARAMS_MODELO!$B$19,100,100*(I480-PARAMS_MODELO!$B$18)/(PARAMS_MODELO!$B$19-PARAMS_MODELO!$B$18)))*PARAMS_MODELO!$B$9</f>
        <v>11.044580867110714</v>
      </c>
      <c r="K480" s="5">
        <f>IFERROR(CHOOSE(MATCH(PARAMS_MODELO!$B$2,{"Q1","Q2","Q3"},0),LOTO!$D480,LOTO!$F480,LOTO!$H480),0)</f>
        <v>3917500</v>
      </c>
      <c r="L480" s="8">
        <f t="shared" si="170"/>
        <v>4.920612712308424E-2</v>
      </c>
      <c r="M480" s="5">
        <f>MIN(100,IF(PARAMS_MODELO!$B$23=0,0,100*L480/PARAMS_MODELO!$B$23))*PARAMS_MODELO!$B$10</f>
        <v>14.76183813692527</v>
      </c>
      <c r="N480" s="5">
        <f>IFERROR(VLOOKUP(A480,COMPLIANCE!$A$2:$F$1996,6,0),100)</f>
        <v>100</v>
      </c>
      <c r="O480" s="5">
        <f>N480*PARAMS_MODELO!$B$11</f>
        <v>10</v>
      </c>
      <c r="P480" s="5">
        <f>IFERROR(VLOOKUP(A480,DIGITAL!$A$2:$J$2000,7,0),100)</f>
        <v>25</v>
      </c>
      <c r="Q480" s="5">
        <f>IFERROR(P480,0)*PARAMS_MODELO!$B$12</f>
        <v>2.5</v>
      </c>
      <c r="R480">
        <f t="shared" si="171"/>
        <v>77.856367142956373</v>
      </c>
      <c r="S480" s="5" t="str">
        <f>IFERROR(VLOOKUP(A480,CLIENTE!$A$2:$N$2000,13,0),1)</f>
        <v>Regular</v>
      </c>
      <c r="T480" s="5">
        <f>IFERROR(VLOOKUP(A480,CLIENTE!$A$2:$N$2000,14,0),1)</f>
        <v>1</v>
      </c>
      <c r="U480" s="5">
        <f t="shared" si="172"/>
        <v>77.856367142956373</v>
      </c>
      <c r="V480" s="5" t="str">
        <f>IF(U480&gt;=MAX(_xlfn.PERCENTILE.INC($U$2:$U$1194,PARAMS_MODELO!$B$50),PARAMS_MODELO!$B$45),"DIAMANTE",IF(U480&gt;=MAX(_xlfn.PERCENTILE.INC($U$2:$U$1194,PARAMS_MODELO!$B$51),PARAMS_MODELO!$B$46),"PLATINO",IF(U480&gt;=MAX(_xlfn.PERCENTILE.INC($U$2:$U$1194,PARAMS_MODELO!$B$52),PARAMS_MODELO!$B$47),"ORO",IF(U480&gt;=MAX(_xlfn.PERCENTILE.INC($U$2:$U$1194,PARAMS_MODELO!$B$53),PARAMS_MODELO!$B$48),"PLATA",IF(U480&gt;=1,"BRONCE","CERRADO")))))</f>
        <v>ORO</v>
      </c>
      <c r="W480" s="5" t="str" cm="1">
        <f t="array" ref="W480">_xlfn.XLOOKUP(1, (HIST_SCORE!$B:$B=PARAMS_MODELO!$B$4) * (HIST_SCORE!$C:$C=A480), HIST_SCORE!$E:$E, "No encontrado")</f>
        <v>ORO</v>
      </c>
      <c r="X480" s="5" t="str">
        <f>_xlfn.LET(_xlpm.act,MATCH(V480,{"DIAMANTE";"PLATINO";"ORO";"PLATA";"BRONCE";"CERRADO"},0),_xlpm.ant,MATCH(W480,{"DIAMANTE";"PLATINO";"ORO";"PLATA";"BRONCE";"CERRADO"},0),IF(_xlpm.act&lt;_xlpm.ant,"Mejora ↑",IF(_xlpm.act&gt;_xlpm.ant,"Baja ↓","Estable →")))</f>
        <v>Estable →</v>
      </c>
      <c r="Y480" s="5">
        <f>IFERROR(U480-SUMIFS(HIST_SCORE!$D:$D,HIST_SCORE!$B:$B,PARAMS_MODELO!$B$4,HIST_SCORE!$C:$C,$A480),"")</f>
        <v>-2.5357215465179621</v>
      </c>
      <c r="Z480" s="5" t="str">
        <f t="shared" si="173"/>
        <v>→ Estable</v>
      </c>
      <c r="AA480" s="5">
        <f t="shared" si="174"/>
        <v>453</v>
      </c>
      <c r="AB480" s="5">
        <f>IFERROR(SUMIFS(HIST_SCORE!$F:$F,HIST_SCORE!$B:$B,PARAMS_MODELO!$B$4,HIST_SCORE!$C:$C,$A480),"")</f>
        <v>408</v>
      </c>
      <c r="AC480" s="5">
        <f t="shared" si="175"/>
        <v>-45</v>
      </c>
      <c r="AD480" t="str">
        <f t="shared" si="177"/>
        <v>Sostener base y reforzar mix</v>
      </c>
      <c r="AE4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480="CERRADO",1,IF(V480="BRONCE",_xlpm.cPl,IF(V480="PLATA",_xlpm.cO,IF(V480="ORO",_xlpm.cP,IF(V480="PLATINO",_xlpm.cD,999))))))</f>
        <v>86.439123873763251</v>
      </c>
      <c r="AF4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480="CERRADO",0,IF(V480="BRONCE",1,IF(V480="PLATA",_xlpm.cPl,IF(V480="ORO",_xlpm.cO,IF(V480="PLATINO",_xlpm.cP,_xlpm.cD))))))</f>
        <v>63.199193273331495</v>
      </c>
      <c r="AG480">
        <f t="shared" si="178"/>
        <v>8.582756730806878</v>
      </c>
      <c r="AH480" t="str">
        <f t="shared" si="179"/>
        <v>VENTAS</v>
      </c>
      <c r="AI480" t="str">
        <f t="shared" si="176"/>
        <v>🎯 Para subir de categoría, eje VENTAS / IMPACTO ABSOLUTO (H). Acción: metas semanales + activación comercial + seguimiento del asesor. ΔR aprox: 8,6</v>
      </c>
      <c r="AJ480" s="26">
        <f>_xlfn.LET(_xlpm.piso,AF480,_xlpm.corte,AE480,_xlpm.prog,IF(_xlpm.corte&lt;=_xlpm.piso,0,MAX(0,MIN(1,(U480-_xlpm.piso)/(_xlpm.corte-_xlpm.piso)))),_xlpm.orden,{"DIAMANTE";"PLATINO";"ORO";"PLATA";"BRONCE";"CERRADO"},_xlpm.act,IFERROR(MATCH(V480,_xlpm.orden,0),6),_xlpm.ant,IFERROR(MATCH(W480,_xlpm.orden,0),6),_xlpm.ajmov,IF(_xlpm.act&lt;_xlpm.ant,0.08,IF(_xlpm.act&gt;_xlpm.ant,-0.08,0)),_xlpm.ajcli,IF(T480&lt;0.95,-0.06,0),_xlpm.prob,MAX(0,MIN(1,_xlpm.prog+_xlpm.ajmov+_xlpm.ajcli)),IF(OR(V480="DIAMANTE",V480="CERRADO"),0,ROUND(_xlpm.prob,2)))</f>
        <v>0.63</v>
      </c>
      <c r="AK480" t="str">
        <f t="shared" si="180"/>
        <v>Faltan 8,6 puntos base para subir a la siguiente categoría</v>
      </c>
      <c r="AL480" t="str">
        <f t="shared" si="181"/>
        <v>Margen de seguridad: 14,7 puntos</v>
      </c>
      <c r="AM480">
        <f t="shared" si="182"/>
        <v>0.49</v>
      </c>
      <c r="AN480" t="str">
        <f t="shared" si="183"/>
        <v>PRIORIDAD MEDIA – seguimiento del asesor</v>
      </c>
      <c r="AO480">
        <f t="shared" si="184"/>
        <v>14.268040269264489</v>
      </c>
      <c r="AP480">
        <f t="shared" si="185"/>
        <v>0.23816186307472975</v>
      </c>
      <c r="AQ480">
        <f t="shared" si="186"/>
        <v>0</v>
      </c>
      <c r="AR480">
        <f t="shared" si="187"/>
        <v>7.5</v>
      </c>
      <c r="AS480">
        <f t="shared" si="188"/>
        <v>0</v>
      </c>
      <c r="AT480" t="str">
        <f t="shared" si="189"/>
        <v>VENTAS</v>
      </c>
      <c r="AU480">
        <f t="shared" si="190"/>
        <v>14.268040269264489</v>
      </c>
      <c r="AV480" t="str">
        <f t="shared" si="191"/>
        <v>Mayor retorno probable: VENTAS (+14,3 puntos finales potenciales).</v>
      </c>
    </row>
    <row r="481" spans="1:48" x14ac:dyDescent="0.3">
      <c r="A481" s="5">
        <v>51056442</v>
      </c>
      <c r="B481" s="5" t="str">
        <f>IFERROR(VLOOKUP(A481,VENTAS!$A$2:$B$1194,2,0),"")</f>
        <v>PUGH</v>
      </c>
      <c r="C481" s="5">
        <f>IFERROR(INDEX(VENTAS!$C$2:$E$1194,MATCH(A481,VENTAS!$A$2:$A$1194,0),MATCH(PARAMS_MODELO!$B$2,{"Q1","Q2","Q3"},0)),0)</f>
        <v>57135358</v>
      </c>
      <c r="D481" s="5">
        <f>IFERROR(INDEX(VENTAS!$F$2:$H$1194,MATCH(A481,VENTAS!$A$2:$A$1194,0),MATCH(PARAMS_MODELO!$B$2,{"Q1","Q2","Q3"},0)),0)</f>
        <v>79581966</v>
      </c>
      <c r="E481" s="8">
        <f t="shared" si="168"/>
        <v>0.39286719792671998</v>
      </c>
      <c r="F481" s="12">
        <f>IF(E481&lt;=PARAMS_MODELO!$B$15,0,IF(E481&gt;=PARAMS_MODELO!$B$17,100,100*MIN(1,(E481-PARAMS_MODELO!$B$15)/(PARAMS_MODELO!$B$16-PARAMS_MODELO!$B$15))))*PARAMS_MODELO!$B$7</f>
        <v>35</v>
      </c>
      <c r="G481" s="5">
        <f t="shared" si="169"/>
        <v>22446608</v>
      </c>
      <c r="H481" s="5">
        <f>(PARAMS_MODELO!$B$20*(MAX(0,MIN(3,E481))/3)+PARAMS_MODELO!$B$21*(IFERROR(LN(1+MAX(0,G481))/LN(1+MAX(0,MAX($G$2:$G$1194))),0)))*100*PARAMS_MODELO!$B$8</f>
        <v>5.3428782872364984</v>
      </c>
      <c r="I481" s="8">
        <f>E481-PARAMS_MODELO!$B$5</f>
        <v>0.21530436255119345</v>
      </c>
      <c r="J481" s="5">
        <f>IF(I481&lt;=PARAMS_MODELO!$B$18,0,IF(I481&gt;=PARAMS_MODELO!$B$19,100,100*(I481-PARAMS_MODELO!$B$18)/(PARAMS_MODELO!$B$19-PARAMS_MODELO!$B$18)))*PARAMS_MODELO!$B$9</f>
        <v>15</v>
      </c>
      <c r="K481" s="5">
        <f>IFERROR(CHOOSE(MATCH(PARAMS_MODELO!$B$2,{"Q1","Q2","Q3"},0),LOTO!$D481,LOTO!$F481,LOTO!$H481),0)</f>
        <v>3915000</v>
      </c>
      <c r="L481" s="8">
        <f t="shared" si="170"/>
        <v>4.9194562496734498E-2</v>
      </c>
      <c r="M481" s="5">
        <f>MIN(100,IF(PARAMS_MODELO!$B$23=0,0,100*L481/PARAMS_MODELO!$B$23))*PARAMS_MODELO!$B$10</f>
        <v>14.758368749020349</v>
      </c>
      <c r="N481" s="5">
        <f>IFERROR(VLOOKUP(A481,COMPLIANCE!$A$2:$F$1996,6,0),100)</f>
        <v>100</v>
      </c>
      <c r="O481" s="5">
        <f>N481*PARAMS_MODELO!$B$11</f>
        <v>10</v>
      </c>
      <c r="P481" s="5">
        <f>IFERROR(VLOOKUP(A481,DIGITAL!$A$2:$J$2000,7,0),100)</f>
        <v>4</v>
      </c>
      <c r="Q481" s="5">
        <f>IFERROR(P481,0)*PARAMS_MODELO!$B$12</f>
        <v>0.4</v>
      </c>
      <c r="R481">
        <f t="shared" si="171"/>
        <v>80.501247036256856</v>
      </c>
      <c r="S481" s="5" t="str">
        <f>IFERROR(VLOOKUP(A481,CLIENTE!$A$2:$N$2000,13,0),1)</f>
        <v>Malo</v>
      </c>
      <c r="T481" s="5">
        <f>IFERROR(VLOOKUP(A481,CLIENTE!$A$2:$N$2000,14,0),1)</f>
        <v>0.7</v>
      </c>
      <c r="U481" s="5">
        <f t="shared" si="172"/>
        <v>56.350872925379797</v>
      </c>
      <c r="V481" s="5" t="str">
        <f>IF(U481&gt;=MAX(_xlfn.PERCENTILE.INC($U$2:$U$1194,PARAMS_MODELO!$B$50),PARAMS_MODELO!$B$45),"DIAMANTE",IF(U481&gt;=MAX(_xlfn.PERCENTILE.INC($U$2:$U$1194,PARAMS_MODELO!$B$51),PARAMS_MODELO!$B$46),"PLATINO",IF(U481&gt;=MAX(_xlfn.PERCENTILE.INC($U$2:$U$1194,PARAMS_MODELO!$B$52),PARAMS_MODELO!$B$47),"ORO",IF(U481&gt;=MAX(_xlfn.PERCENTILE.INC($U$2:$U$1194,PARAMS_MODELO!$B$53),PARAMS_MODELO!$B$48),"PLATA",IF(U481&gt;=1,"BRONCE","CERRADO")))))</f>
        <v>PLATA</v>
      </c>
      <c r="W481" s="5" t="str" cm="1">
        <f t="array" ref="W481">_xlfn.XLOOKUP(1, (HIST_SCORE!$B:$B=PARAMS_MODELO!$B$4) * (HIST_SCORE!$C:$C=A481), HIST_SCORE!$E:$E, "No encontrado")</f>
        <v>PLATA</v>
      </c>
      <c r="X481" s="5" t="str">
        <f>_xlfn.LET(_xlpm.act,MATCH(V481,{"DIAMANTE";"PLATINO";"ORO";"PLATA";"BRONCE";"CERRADO"},0),_xlpm.ant,MATCH(W481,{"DIAMANTE";"PLATINO";"ORO";"PLATA";"BRONCE";"CERRADO"},0),IF(_xlpm.act&lt;_xlpm.ant,"Mejora ↑",IF(_xlpm.act&gt;_xlpm.ant,"Baja ↓","Estable →")))</f>
        <v>Estable →</v>
      </c>
      <c r="Y481" s="5">
        <f>IFERROR(U481-SUMIFS(HIST_SCORE!$D:$D,HIST_SCORE!$B:$B,PARAMS_MODELO!$B$4,HIST_SCORE!$C:$C,$A481),"")</f>
        <v>1.4692258719476357</v>
      </c>
      <c r="Z481" s="5" t="str">
        <f t="shared" si="173"/>
        <v>→ Estable</v>
      </c>
      <c r="AA481" s="5">
        <f t="shared" si="174"/>
        <v>694</v>
      </c>
      <c r="AB481" s="5">
        <f>IFERROR(SUMIFS(HIST_SCORE!$F:$F,HIST_SCORE!$B:$B,PARAMS_MODELO!$B$4,HIST_SCORE!$C:$C,$A481),"")</f>
        <v>736</v>
      </c>
      <c r="AC481" s="5">
        <f t="shared" si="175"/>
        <v>42</v>
      </c>
      <c r="AD481" t="str">
        <f t="shared" si="177"/>
        <v/>
      </c>
      <c r="AE4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481="CERRADO",1,IF(V481="BRONCE",_xlpm.cPl,IF(V481="PLATA",_xlpm.cO,IF(V481="ORO",_xlpm.cP,IF(V481="PLATINO",_xlpm.cD,999))))))</f>
        <v>63.199193273331495</v>
      </c>
      <c r="AF4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481="CERRADO",0,IF(V481="BRONCE",1,IF(V481="PLATA",_xlpm.cPl,IF(V481="ORO",_xlpm.cO,IF(V481="PLATINO",_xlpm.cP,_xlpm.cD))))))</f>
        <v>24.506573482968111</v>
      </c>
      <c r="AG481">
        <f t="shared" si="178"/>
        <v>9.783314782788139</v>
      </c>
      <c r="AH481" t="str">
        <f t="shared" si="179"/>
        <v>CLIENTE</v>
      </c>
      <c r="AI481" t="str">
        <f t="shared" si="176"/>
        <v>🎯 Para subir de categoría, la eje con mayor impacto probable es CLIENTE (coef T). Acción: reducir quejas, mejorar incógnito y empujar reseñas. ΔR aprox: 9,8</v>
      </c>
      <c r="AJ481" s="26">
        <f>_xlfn.LET(_xlpm.piso,AF481,_xlpm.corte,AE481,_xlpm.prog,IF(_xlpm.corte&lt;=_xlpm.piso,0,MAX(0,MIN(1,(U481-_xlpm.piso)/(_xlpm.corte-_xlpm.piso)))),_xlpm.orden,{"DIAMANTE";"PLATINO";"ORO";"PLATA";"BRONCE";"CERRADO"},_xlpm.act,IFERROR(MATCH(V481,_xlpm.orden,0),6),_xlpm.ant,IFERROR(MATCH(W481,_xlpm.orden,0),6),_xlpm.ajmov,IF(_xlpm.act&lt;_xlpm.ant,0.08,IF(_xlpm.act&gt;_xlpm.ant,-0.08,0)),_xlpm.ajcli,IF(T481&lt;0.95,-0.06,0),_xlpm.prob,MAX(0,MIN(1,_xlpm.prog+_xlpm.ajmov+_xlpm.ajcli)),IF(OR(V481="DIAMANTE",V481="CERRADO"),0,ROUND(_xlpm.prob,2)))</f>
        <v>0.76</v>
      </c>
      <c r="AK481" t="str">
        <f t="shared" si="180"/>
        <v>Faltan 9,8 puntos base para subir a la siguiente categoría</v>
      </c>
      <c r="AL481" t="str">
        <f t="shared" si="181"/>
        <v>Margen de seguridad: 31,8 puntos</v>
      </c>
      <c r="AM481">
        <f t="shared" si="182"/>
        <v>0.69</v>
      </c>
      <c r="AN481" t="str">
        <f t="shared" si="183"/>
        <v>PRIORIDAD MEDIA – seguimiento del asesor</v>
      </c>
      <c r="AO481">
        <f t="shared" si="184"/>
        <v>6.6637836916413571</v>
      </c>
      <c r="AP481">
        <f t="shared" si="185"/>
        <v>0.16914187568575584</v>
      </c>
      <c r="AQ481">
        <f t="shared" si="186"/>
        <v>0</v>
      </c>
      <c r="AR481">
        <f t="shared" si="187"/>
        <v>6.72</v>
      </c>
      <c r="AS481">
        <f t="shared" si="188"/>
        <v>24.15037411087706</v>
      </c>
      <c r="AT481" t="str">
        <f t="shared" si="189"/>
        <v>CLIENTE</v>
      </c>
      <c r="AU481">
        <f t="shared" si="190"/>
        <v>24.15037411087706</v>
      </c>
      <c r="AV481" t="str">
        <f t="shared" si="191"/>
        <v>Mayor retorno probable: CLIENTE (+24,2 puntos finales potenciales).</v>
      </c>
    </row>
    <row r="482" spans="1:48" x14ac:dyDescent="0.3">
      <c r="A482" s="5">
        <v>51033621</v>
      </c>
      <c r="B482" s="5" t="str">
        <f>IFERROR(VLOOKUP(A482,VENTAS!$A$2:$B$1194,2,0),"")</f>
        <v>AYALA</v>
      </c>
      <c r="C482" s="5">
        <f>IFERROR(INDEX(VENTAS!$C$2:$E$1194,MATCH(A482,VENTAS!$A$2:$A$1194,0),MATCH(PARAMS_MODELO!$B$2,{"Q1","Q2","Q3"},0)),0)</f>
        <v>55840926.789999999</v>
      </c>
      <c r="D482" s="5">
        <f>IFERROR(INDEX(VENTAS!$F$2:$H$1194,MATCH(A482,VENTAS!$A$2:$A$1194,0),MATCH(PARAMS_MODELO!$B$2,{"Q1","Q2","Q3"},0)),0)</f>
        <v>79543704</v>
      </c>
      <c r="E482" s="8">
        <f t="shared" si="168"/>
        <v>0.42446962420839873</v>
      </c>
      <c r="F482" s="12">
        <f>IF(E482&lt;=PARAMS_MODELO!$B$15,0,IF(E482&gt;=PARAMS_MODELO!$B$17,100,100*MIN(1,(E482-PARAMS_MODELO!$B$15)/(PARAMS_MODELO!$B$16-PARAMS_MODELO!$B$15))))*PARAMS_MODELO!$B$7</f>
        <v>35</v>
      </c>
      <c r="G482" s="5">
        <f t="shared" si="169"/>
        <v>23702777.210000001</v>
      </c>
      <c r="H482" s="5">
        <f>(PARAMS_MODELO!$B$20*(MAX(0,MIN(3,E482))/3)+PARAMS_MODELO!$B$21*(IFERROR(LN(1+MAX(0,G482))/LN(1+MAX(0,MAX($G$2:$G$1194))),0)))*100*PARAMS_MODELO!$B$8</f>
        <v>5.4662512544828354</v>
      </c>
      <c r="I482" s="8">
        <f>E482-PARAMS_MODELO!$B$5</f>
        <v>0.2469067888328722</v>
      </c>
      <c r="J482" s="5">
        <f>IF(I482&lt;=PARAMS_MODELO!$B$18,0,IF(I482&gt;=PARAMS_MODELO!$B$19,100,100*(I482-PARAMS_MODELO!$B$18)/(PARAMS_MODELO!$B$19-PARAMS_MODELO!$B$18)))*PARAMS_MODELO!$B$9</f>
        <v>15</v>
      </c>
      <c r="K482" s="5">
        <f>IFERROR(CHOOSE(MATCH(PARAMS_MODELO!$B$2,{"Q1","Q2","Q3"},0),LOTO!$D482,LOTO!$F482,LOTO!$H482),0)</f>
        <v>3910000</v>
      </c>
      <c r="L482" s="8">
        <f t="shared" si="170"/>
        <v>4.915536746943542E-2</v>
      </c>
      <c r="M482" s="5">
        <f>MIN(100,IF(PARAMS_MODELO!$B$23=0,0,100*L482/PARAMS_MODELO!$B$23))*PARAMS_MODELO!$B$10</f>
        <v>14.746610240830625</v>
      </c>
      <c r="N482" s="5">
        <f>IFERROR(VLOOKUP(A482,COMPLIANCE!$A$2:$F$1996,6,0),100)</f>
        <v>99.9</v>
      </c>
      <c r="O482" s="5">
        <f>N482*PARAMS_MODELO!$B$11</f>
        <v>9.990000000000002</v>
      </c>
      <c r="P482" s="5">
        <f>IFERROR(VLOOKUP(A482,DIGITAL!$A$2:$J$2000,7,0),100)</f>
        <v>43</v>
      </c>
      <c r="Q482" s="5">
        <f>IFERROR(P482,0)*PARAMS_MODELO!$B$12</f>
        <v>4.3</v>
      </c>
      <c r="R482">
        <f t="shared" si="171"/>
        <v>84.502861495313468</v>
      </c>
      <c r="S482" s="5" t="str">
        <f>IFERROR(VLOOKUP(A482,CLIENTE!$A$2:$N$2000,13,0),1)</f>
        <v>Malo</v>
      </c>
      <c r="T482" s="5">
        <f>IFERROR(VLOOKUP(A482,CLIENTE!$A$2:$N$2000,14,0),1)</f>
        <v>0.7</v>
      </c>
      <c r="U482" s="5">
        <f t="shared" si="172"/>
        <v>59.152003046719422</v>
      </c>
      <c r="V482" s="5" t="str">
        <f>IF(U482&gt;=MAX(_xlfn.PERCENTILE.INC($U$2:$U$1194,PARAMS_MODELO!$B$50),PARAMS_MODELO!$B$45),"DIAMANTE",IF(U482&gt;=MAX(_xlfn.PERCENTILE.INC($U$2:$U$1194,PARAMS_MODELO!$B$51),PARAMS_MODELO!$B$46),"PLATINO",IF(U482&gt;=MAX(_xlfn.PERCENTILE.INC($U$2:$U$1194,PARAMS_MODELO!$B$52),PARAMS_MODELO!$B$47),"ORO",IF(U482&gt;=MAX(_xlfn.PERCENTILE.INC($U$2:$U$1194,PARAMS_MODELO!$B$53),PARAMS_MODELO!$B$48),"PLATA",IF(U482&gt;=1,"BRONCE","CERRADO")))))</f>
        <v>PLATA</v>
      </c>
      <c r="W482" s="5" t="str" cm="1">
        <f t="array" ref="W482">_xlfn.XLOOKUP(1, (HIST_SCORE!$B:$B=PARAMS_MODELO!$B$4) * (HIST_SCORE!$C:$C=A482), HIST_SCORE!$E:$E, "No encontrado")</f>
        <v>PLATA</v>
      </c>
      <c r="X482" s="5" t="str">
        <f>_xlfn.LET(_xlpm.act,MATCH(V482,{"DIAMANTE";"PLATINO";"ORO";"PLATA";"BRONCE";"CERRADO"},0),_xlpm.ant,MATCH(W482,{"DIAMANTE";"PLATINO";"ORO";"PLATA";"BRONCE";"CERRADO"},0),IF(_xlpm.act&lt;_xlpm.ant,"Mejora ↑",IF(_xlpm.act&gt;_xlpm.ant,"Baja ↓","Estable →")))</f>
        <v>Estable →</v>
      </c>
      <c r="Y482" s="5">
        <f>IFERROR(U482-SUMIFS(HIST_SCORE!$D:$D,HIST_SCORE!$B:$B,PARAMS_MODELO!$B$4,HIST_SCORE!$C:$C,$A482),"")</f>
        <v>1.8652179672591203</v>
      </c>
      <c r="Z482" s="5" t="str">
        <f t="shared" si="173"/>
        <v>→ Estable</v>
      </c>
      <c r="AA482" s="5">
        <f t="shared" si="174"/>
        <v>635</v>
      </c>
      <c r="AB482" s="5">
        <f>IFERROR(SUMIFS(HIST_SCORE!$F:$F,HIST_SCORE!$B:$B,PARAMS_MODELO!$B$4,HIST_SCORE!$C:$C,$A482),"")</f>
        <v>708</v>
      </c>
      <c r="AC482" s="5">
        <f t="shared" si="175"/>
        <v>73</v>
      </c>
      <c r="AD482" t="str">
        <f t="shared" si="177"/>
        <v/>
      </c>
      <c r="AE4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482="CERRADO",1,IF(V482="BRONCE",_xlpm.cPl,IF(V482="PLATA",_xlpm.cO,IF(V482="ORO",_xlpm.cP,IF(V482="PLATINO",_xlpm.cD,999))))))</f>
        <v>63.199193273331495</v>
      </c>
      <c r="AF4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482="CERRADO",0,IF(V482="BRONCE",1,IF(V482="PLATA",_xlpm.cPl,IF(V482="ORO",_xlpm.cO,IF(V482="PLATINO",_xlpm.cP,_xlpm.cD))))))</f>
        <v>24.506573482968111</v>
      </c>
      <c r="AG482">
        <f t="shared" si="178"/>
        <v>5.7817003237315276</v>
      </c>
      <c r="AH482" t="str">
        <f t="shared" si="179"/>
        <v>CLIENTE</v>
      </c>
      <c r="AI482" t="str">
        <f t="shared" si="176"/>
        <v>🎯 Para subir de categoría, la eje con mayor impacto probable es CLIENTE (coef T). Acción: reducir quejas, mejorar incógnito y empujar reseñas. ΔR aprox: 5,8</v>
      </c>
      <c r="AJ482" s="26">
        <f>_xlfn.LET(_xlpm.piso,AF482,_xlpm.corte,AE482,_xlpm.prog,IF(_xlpm.corte&lt;=_xlpm.piso,0,MAX(0,MIN(1,(U482-_xlpm.piso)/(_xlpm.corte-_xlpm.piso)))),_xlpm.orden,{"DIAMANTE";"PLATINO";"ORO";"PLATA";"BRONCE";"CERRADO"},_xlpm.act,IFERROR(MATCH(V482,_xlpm.orden,0),6),_xlpm.ant,IFERROR(MATCH(W482,_xlpm.orden,0),6),_xlpm.ajmov,IF(_xlpm.act&lt;_xlpm.ant,0.08,IF(_xlpm.act&gt;_xlpm.ant,-0.08,0)),_xlpm.ajcli,IF(T482&lt;0.95,-0.06,0),_xlpm.prob,MAX(0,MIN(1,_xlpm.prog+_xlpm.ajmov+_xlpm.ajcli)),IF(OR(V482="DIAMANTE",V482="CERRADO"),0,ROUND(_xlpm.prob,2)))</f>
        <v>0.84</v>
      </c>
      <c r="AK482" t="str">
        <f t="shared" si="180"/>
        <v>Faltan 5,8 puntos base para subir a la siguiente categoría</v>
      </c>
      <c r="AL482" t="str">
        <f t="shared" si="181"/>
        <v>Margen de seguridad: 34,6 puntos</v>
      </c>
      <c r="AM482">
        <f t="shared" si="182"/>
        <v>0.5</v>
      </c>
      <c r="AN482" t="str">
        <f t="shared" si="183"/>
        <v>PRIORIDAD MEDIA – seguimiento del asesor</v>
      </c>
      <c r="AO482">
        <f t="shared" si="184"/>
        <v>6.5774226145689241</v>
      </c>
      <c r="AP482">
        <f t="shared" si="185"/>
        <v>0.17737283141856233</v>
      </c>
      <c r="AQ482">
        <f t="shared" si="186"/>
        <v>6.9999999999986072E-3</v>
      </c>
      <c r="AR482">
        <f t="shared" si="187"/>
        <v>3.9899999999999998</v>
      </c>
      <c r="AS482">
        <f t="shared" si="188"/>
        <v>25.350858448594042</v>
      </c>
      <c r="AT482" t="str">
        <f t="shared" si="189"/>
        <v>CLIENTE</v>
      </c>
      <c r="AU482">
        <f t="shared" si="190"/>
        <v>25.350858448594042</v>
      </c>
      <c r="AV482" t="str">
        <f t="shared" si="191"/>
        <v>Mayor retorno probable: CLIENTE (+25,4 puntos finales potenciales).</v>
      </c>
    </row>
    <row r="483" spans="1:48" x14ac:dyDescent="0.3">
      <c r="A483" s="5">
        <v>51016394</v>
      </c>
      <c r="B483" s="5" t="str">
        <f>IFERROR(VLOOKUP(A483,VENTAS!$A$2:$B$1194,2,0),"")</f>
        <v>METTLER</v>
      </c>
      <c r="C483" s="5">
        <f>IFERROR(INDEX(VENTAS!$C$2:$E$1194,MATCH(A483,VENTAS!$A$2:$A$1194,0),MATCH(PARAMS_MODELO!$B$2,{"Q1","Q2","Q3"},0)),0)</f>
        <v>57050982.909999996</v>
      </c>
      <c r="D483" s="5">
        <f>IFERROR(INDEX(VENTAS!$F$2:$H$1194,MATCH(A483,VENTAS!$A$2:$A$1194,0),MATCH(PARAMS_MODELO!$B$2,{"Q1","Q2","Q3"},0)),0)</f>
        <v>79517609</v>
      </c>
      <c r="E483" s="8">
        <f t="shared" si="168"/>
        <v>0.39379910641402849</v>
      </c>
      <c r="F483" s="12">
        <f>IF(E483&lt;=PARAMS_MODELO!$B$15,0,IF(E483&gt;=PARAMS_MODELO!$B$17,100,100*MIN(1,(E483-PARAMS_MODELO!$B$15)/(PARAMS_MODELO!$B$16-PARAMS_MODELO!$B$15))))*PARAMS_MODELO!$B$7</f>
        <v>35</v>
      </c>
      <c r="G483" s="5">
        <f t="shared" si="169"/>
        <v>22466626.090000004</v>
      </c>
      <c r="H483" s="5">
        <f>(PARAMS_MODELO!$B$20*(MAX(0,MIN(3,E483))/3)+PARAMS_MODELO!$B$21*(IFERROR(LN(1+MAX(0,G483))/LN(1+MAX(0,MAX($G$2:$G$1194))),0)))*100*PARAMS_MODELO!$B$8</f>
        <v>5.3463489262815349</v>
      </c>
      <c r="I483" s="8">
        <f>E483-PARAMS_MODELO!$B$5</f>
        <v>0.21623627103850196</v>
      </c>
      <c r="J483" s="5">
        <f>IF(I483&lt;=PARAMS_MODELO!$B$18,0,IF(I483&gt;=PARAMS_MODELO!$B$19,100,100*(I483-PARAMS_MODELO!$B$18)/(PARAMS_MODELO!$B$19-PARAMS_MODELO!$B$18)))*PARAMS_MODELO!$B$9</f>
        <v>15</v>
      </c>
      <c r="K483" s="5">
        <f>IFERROR(CHOOSE(MATCH(PARAMS_MODELO!$B$2,{"Q1","Q2","Q3"},0),LOTO!$D483,LOTO!$F483,LOTO!$H483),0)</f>
        <v>3905000</v>
      </c>
      <c r="L483" s="8">
        <f t="shared" si="170"/>
        <v>4.9108619450567235E-2</v>
      </c>
      <c r="M483" s="5">
        <f>MIN(100,IF(PARAMS_MODELO!$B$23=0,0,100*L483/PARAMS_MODELO!$B$23))*PARAMS_MODELO!$B$10</f>
        <v>14.73258583517017</v>
      </c>
      <c r="N483" s="5">
        <f>IFERROR(VLOOKUP(A483,COMPLIANCE!$A$2:$F$1996,6,0),100)</f>
        <v>100</v>
      </c>
      <c r="O483" s="5">
        <f>N483*PARAMS_MODELO!$B$11</f>
        <v>10</v>
      </c>
      <c r="P483" s="5">
        <f>IFERROR(VLOOKUP(A483,DIGITAL!$A$2:$J$2000,7,0),100)</f>
        <v>61</v>
      </c>
      <c r="Q483" s="5">
        <f>IFERROR(P483,0)*PARAMS_MODELO!$B$12</f>
        <v>6.1000000000000005</v>
      </c>
      <c r="R483">
        <f t="shared" si="171"/>
        <v>86.1789347614517</v>
      </c>
      <c r="S483" s="5" t="str">
        <f>IFERROR(VLOOKUP(A483,CLIENTE!$A$2:$N$2000,13,0),1)</f>
        <v>Regular</v>
      </c>
      <c r="T483" s="5">
        <f>IFERROR(VLOOKUP(A483,CLIENTE!$A$2:$N$2000,14,0),1)</f>
        <v>1</v>
      </c>
      <c r="U483" s="5">
        <f t="shared" si="172"/>
        <v>86.1789347614517</v>
      </c>
      <c r="V483" s="5" t="str">
        <f>IF(U483&gt;=MAX(_xlfn.PERCENTILE.INC($U$2:$U$1194,PARAMS_MODELO!$B$50),PARAMS_MODELO!$B$45),"DIAMANTE",IF(U483&gt;=MAX(_xlfn.PERCENTILE.INC($U$2:$U$1194,PARAMS_MODELO!$B$51),PARAMS_MODELO!$B$46),"PLATINO",IF(U483&gt;=MAX(_xlfn.PERCENTILE.INC($U$2:$U$1194,PARAMS_MODELO!$B$52),PARAMS_MODELO!$B$47),"ORO",IF(U483&gt;=MAX(_xlfn.PERCENTILE.INC($U$2:$U$1194,PARAMS_MODELO!$B$53),PARAMS_MODELO!$B$48),"PLATA",IF(U483&gt;=1,"BRONCE","CERRADO")))))</f>
        <v>ORO</v>
      </c>
      <c r="W483" s="5" t="str" cm="1">
        <f t="array" ref="W483">_xlfn.XLOOKUP(1, (HIST_SCORE!$B:$B=PARAMS_MODELO!$B$4) * (HIST_SCORE!$C:$C=A483), HIST_SCORE!$E:$E, "No encontrado")</f>
        <v>PLATINO</v>
      </c>
      <c r="X483" s="5" t="str">
        <f>_xlfn.LET(_xlpm.act,MATCH(V483,{"DIAMANTE";"PLATINO";"ORO";"PLATA";"BRONCE";"CERRADO"},0),_xlpm.ant,MATCH(W483,{"DIAMANTE";"PLATINO";"ORO";"PLATA";"BRONCE";"CERRADO"},0),IF(_xlpm.act&lt;_xlpm.ant,"Mejora ↑",IF(_xlpm.act&gt;_xlpm.ant,"Baja ↓","Estable →")))</f>
        <v>Baja ↓</v>
      </c>
      <c r="Y483" s="5">
        <f>IFERROR(U483-SUMIFS(HIST_SCORE!$D:$D,HIST_SCORE!$B:$B,PARAMS_MODELO!$B$4,HIST_SCORE!$C:$C,$A483),"")</f>
        <v>-0.49267275933874544</v>
      </c>
      <c r="Z483" s="5" t="str">
        <f t="shared" si="173"/>
        <v>→ Estable</v>
      </c>
      <c r="AA483" s="5">
        <f t="shared" si="174"/>
        <v>245</v>
      </c>
      <c r="AB483" s="5">
        <f>IFERROR(SUMIFS(HIST_SCORE!$F:$F,HIST_SCORE!$B:$B,PARAMS_MODELO!$B$4,HIST_SCORE!$C:$C,$A483),"")</f>
        <v>210</v>
      </c>
      <c r="AC483" s="5">
        <f t="shared" si="175"/>
        <v>-35</v>
      </c>
      <c r="AD483" t="str">
        <f t="shared" si="177"/>
        <v>Sostener base y reforzar mix</v>
      </c>
      <c r="AE4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483="CERRADO",1,IF(V483="BRONCE",_xlpm.cPl,IF(V483="PLATA",_xlpm.cO,IF(V483="ORO",_xlpm.cP,IF(V483="PLATINO",_xlpm.cD,999))))))</f>
        <v>86.439123873763251</v>
      </c>
      <c r="AF4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483="CERRADO",0,IF(V483="BRONCE",1,IF(V483="PLATA",_xlpm.cPl,IF(V483="ORO",_xlpm.cO,IF(V483="PLATINO",_xlpm.cP,_xlpm.cD))))))</f>
        <v>63.199193273331495</v>
      </c>
      <c r="AG483">
        <f t="shared" si="178"/>
        <v>0.26018911231155073</v>
      </c>
      <c r="AH483" t="str">
        <f t="shared" si="179"/>
        <v>VENTAS</v>
      </c>
      <c r="AI483" t="str">
        <f t="shared" si="176"/>
        <v>🎯 Para subir de categoría, eje VENTAS / IMPACTO ABSOLUTO (H). Acción: metas semanales + activación comercial + seguimiento del asesor. ΔR aprox: 0,3</v>
      </c>
      <c r="AJ483" s="26">
        <f>_xlfn.LET(_xlpm.piso,AF483,_xlpm.corte,AE483,_xlpm.prog,IF(_xlpm.corte&lt;=_xlpm.piso,0,MAX(0,MIN(1,(U483-_xlpm.piso)/(_xlpm.corte-_xlpm.piso)))),_xlpm.orden,{"DIAMANTE";"PLATINO";"ORO";"PLATA";"BRONCE";"CERRADO"},_xlpm.act,IFERROR(MATCH(V483,_xlpm.orden,0),6),_xlpm.ant,IFERROR(MATCH(W483,_xlpm.orden,0),6),_xlpm.ajmov,IF(_xlpm.act&lt;_xlpm.ant,0.08,IF(_xlpm.act&gt;_xlpm.ant,-0.08,0)),_xlpm.ajcli,IF(T483&lt;0.95,-0.06,0),_xlpm.prob,MAX(0,MIN(1,_xlpm.prog+_xlpm.ajmov+_xlpm.ajcli)),IF(OR(V483="DIAMANTE",V483="CERRADO"),0,ROUND(_xlpm.prob,2)))</f>
        <v>0.91</v>
      </c>
      <c r="AK483" t="str">
        <f t="shared" si="180"/>
        <v>Faltan 0,3 puntos base para subir a la siguiente categoría</v>
      </c>
      <c r="AL483" t="str">
        <f t="shared" si="181"/>
        <v>Margen de seguridad: 23,0 puntos</v>
      </c>
      <c r="AM483">
        <f t="shared" si="182"/>
        <v>0.05</v>
      </c>
      <c r="AN483" t="str">
        <f t="shared" si="183"/>
        <v>PRIORIDAD BAJA – control normal</v>
      </c>
      <c r="AO483">
        <f t="shared" si="184"/>
        <v>9.5162203490140485</v>
      </c>
      <c r="AP483">
        <f t="shared" si="185"/>
        <v>0.26741416482983027</v>
      </c>
      <c r="AQ483">
        <f t="shared" si="186"/>
        <v>0</v>
      </c>
      <c r="AR483">
        <f t="shared" si="187"/>
        <v>3.8999999999999995</v>
      </c>
      <c r="AS483">
        <f t="shared" si="188"/>
        <v>0</v>
      </c>
      <c r="AT483" t="str">
        <f t="shared" si="189"/>
        <v>VENTAS</v>
      </c>
      <c r="AU483">
        <f t="shared" si="190"/>
        <v>9.5162203490140485</v>
      </c>
      <c r="AV483" t="str">
        <f t="shared" si="191"/>
        <v>Mayor retorno probable: VENTAS (+9,5 puntos finales potenciales).</v>
      </c>
    </row>
    <row r="484" spans="1:48" x14ac:dyDescent="0.3">
      <c r="A484" s="5">
        <v>51001389</v>
      </c>
      <c r="B484" s="5" t="str">
        <f>IFERROR(VLOOKUP(A484,VENTAS!$A$2:$B$1194,2,0),"")</f>
        <v>NELLI</v>
      </c>
      <c r="C484" s="5">
        <f>IFERROR(INDEX(VENTAS!$C$2:$E$1194,MATCH(A484,VENTAS!$A$2:$A$1194,0),MATCH(PARAMS_MODELO!$B$2,{"Q1","Q2","Q3"},0)),0)</f>
        <v>54456710.239999987</v>
      </c>
      <c r="D484" s="5">
        <f>IFERROR(INDEX(VENTAS!$F$2:$H$1194,MATCH(A484,VENTAS!$A$2:$A$1194,0),MATCH(PARAMS_MODELO!$B$2,{"Q1","Q2","Q3"},0)),0)</f>
        <v>79473142</v>
      </c>
      <c r="E484" s="8">
        <f t="shared" si="168"/>
        <v>0.45938198708200217</v>
      </c>
      <c r="F484" s="12">
        <f>IF(E484&lt;=PARAMS_MODELO!$B$15,0,IF(E484&gt;=PARAMS_MODELO!$B$17,100,100*MIN(1,(E484-PARAMS_MODELO!$B$15)/(PARAMS_MODELO!$B$16-PARAMS_MODELO!$B$15))))*PARAMS_MODELO!$B$7</f>
        <v>35</v>
      </c>
      <c r="G484" s="5">
        <f t="shared" si="169"/>
        <v>25016431.760000013</v>
      </c>
      <c r="H484" s="5">
        <f>(PARAMS_MODELO!$B$20*(MAX(0,MIN(3,E484))/3)+PARAMS_MODELO!$B$21*(IFERROR(LN(1+MAX(0,G484))/LN(1+MAX(0,MAX($G$2:$G$1194))),0)))*100*PARAMS_MODELO!$B$8</f>
        <v>5.6010889668900008</v>
      </c>
      <c r="I484" s="8">
        <f>E484-PARAMS_MODELO!$B$5</f>
        <v>0.28181915170647565</v>
      </c>
      <c r="J484" s="5">
        <f>IF(I484&lt;=PARAMS_MODELO!$B$18,0,IF(I484&gt;=PARAMS_MODELO!$B$19,100,100*(I484-PARAMS_MODELO!$B$18)/(PARAMS_MODELO!$B$19-PARAMS_MODELO!$B$18)))*PARAMS_MODELO!$B$9</f>
        <v>15</v>
      </c>
      <c r="K484" s="5">
        <f>IFERROR(CHOOSE(MATCH(PARAMS_MODELO!$B$2,{"Q1","Q2","Q3"},0),LOTO!$D484,LOTO!$F484,LOTO!$H484),0)</f>
        <v>3902500</v>
      </c>
      <c r="L484" s="8">
        <f t="shared" si="170"/>
        <v>4.9104639652978614E-2</v>
      </c>
      <c r="M484" s="5">
        <f>MIN(100,IF(PARAMS_MODELO!$B$23=0,0,100*L484/PARAMS_MODELO!$B$23))*PARAMS_MODELO!$B$10</f>
        <v>14.731391895893584</v>
      </c>
      <c r="N484" s="5">
        <f>IFERROR(VLOOKUP(A484,COMPLIANCE!$A$2:$F$1996,6,0),100)</f>
        <v>99.9</v>
      </c>
      <c r="O484" s="5">
        <f>N484*PARAMS_MODELO!$B$11</f>
        <v>9.990000000000002</v>
      </c>
      <c r="P484" s="5">
        <f>IFERROR(VLOOKUP(A484,DIGITAL!$A$2:$J$2000,7,0),100)</f>
        <v>68</v>
      </c>
      <c r="Q484" s="5">
        <f>IFERROR(P484,0)*PARAMS_MODELO!$B$12</f>
        <v>6.8000000000000007</v>
      </c>
      <c r="R484">
        <f t="shared" si="171"/>
        <v>87.122480862783576</v>
      </c>
      <c r="S484" s="5" t="str">
        <f>IFERROR(VLOOKUP(A484,CLIENTE!$A$2:$N$2000,13,0),1)</f>
        <v>Bueno</v>
      </c>
      <c r="T484" s="5">
        <f>IFERROR(VLOOKUP(A484,CLIENTE!$A$2:$N$2000,14,0),1)</f>
        <v>1.1000000000000001</v>
      </c>
      <c r="U484" s="5">
        <f t="shared" si="172"/>
        <v>95.83472894906194</v>
      </c>
      <c r="V484" s="5" t="str">
        <f>IF(U484&gt;=MAX(_xlfn.PERCENTILE.INC($U$2:$U$1194,PARAMS_MODELO!$B$50),PARAMS_MODELO!$B$45),"DIAMANTE",IF(U484&gt;=MAX(_xlfn.PERCENTILE.INC($U$2:$U$1194,PARAMS_MODELO!$B$51),PARAMS_MODELO!$B$46),"PLATINO",IF(U484&gt;=MAX(_xlfn.PERCENTILE.INC($U$2:$U$1194,PARAMS_MODELO!$B$52),PARAMS_MODELO!$B$47),"ORO",IF(U484&gt;=MAX(_xlfn.PERCENTILE.INC($U$2:$U$1194,PARAMS_MODELO!$B$53),PARAMS_MODELO!$B$48),"PLATA",IF(U484&gt;=1,"BRONCE","CERRADO")))))</f>
        <v>PLATINO</v>
      </c>
      <c r="W484" s="5" t="str" cm="1">
        <f t="array" ref="W484">_xlfn.XLOOKUP(1, (HIST_SCORE!$B:$B=PARAMS_MODELO!$B$4) * (HIST_SCORE!$C:$C=A484), HIST_SCORE!$E:$E, "No encontrado")</f>
        <v>DIAMANTE</v>
      </c>
      <c r="X484" s="5" t="str">
        <f>_xlfn.LET(_xlpm.act,MATCH(V484,{"DIAMANTE";"PLATINO";"ORO";"PLATA";"BRONCE";"CERRADO"},0),_xlpm.ant,MATCH(W484,{"DIAMANTE";"PLATINO";"ORO";"PLATA";"BRONCE";"CERRADO"},0),IF(_xlpm.act&lt;_xlpm.ant,"Mejora ↑",IF(_xlpm.act&gt;_xlpm.ant,"Baja ↓","Estable →")))</f>
        <v>Baja ↓</v>
      </c>
      <c r="Y484" s="5">
        <f>IFERROR(U484-SUMIFS(HIST_SCORE!$D:$D,HIST_SCORE!$B:$B,PARAMS_MODELO!$B$4,HIST_SCORE!$C:$C,$A484),"")</f>
        <v>-4.1465608037739798E-2</v>
      </c>
      <c r="Z484" s="5" t="str">
        <f t="shared" si="173"/>
        <v>→ Estable</v>
      </c>
      <c r="AA484" s="5">
        <f t="shared" si="174"/>
        <v>62</v>
      </c>
      <c r="AB484" s="5">
        <f>IFERROR(SUMIFS(HIST_SCORE!$F:$F,HIST_SCORE!$B:$B,PARAMS_MODELO!$B$4,HIST_SCORE!$C:$C,$A484),"")</f>
        <v>54</v>
      </c>
      <c r="AC484" s="5">
        <f t="shared" si="175"/>
        <v>-8</v>
      </c>
      <c r="AD484" t="str">
        <f t="shared" si="177"/>
        <v/>
      </c>
      <c r="AE4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484="CERRADO",1,IF(V484="BRONCE",_xlpm.cPl,IF(V484="PLATA",_xlpm.cO,IF(V484="ORO",_xlpm.cP,IF(V484="PLATINO",_xlpm.cD,999))))))</f>
        <v>96.054919694466676</v>
      </c>
      <c r="AF4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484="CERRADO",0,IF(V484="BRONCE",1,IF(V484="PLATA",_xlpm.cPl,IF(V484="ORO",_xlpm.cO,IF(V484="PLATINO",_xlpm.cP,_xlpm.cD))))))</f>
        <v>86.439123873763251</v>
      </c>
      <c r="AG484">
        <f t="shared" si="178"/>
        <v>0.20017340491340008</v>
      </c>
      <c r="AH484" t="str">
        <f t="shared" si="179"/>
        <v>VENTAS</v>
      </c>
      <c r="AI484" t="str">
        <f t="shared" si="176"/>
        <v>🎯 Para subir de categoría, eje VENTAS / IMPACTO ABSOLUTO (H). Acción: metas semanales + activación comercial + seguimiento del asesor. ΔR aprox: 0,2</v>
      </c>
      <c r="AJ484" s="26">
        <f>_xlfn.LET(_xlpm.piso,AF484,_xlpm.corte,AE484,_xlpm.prog,IF(_xlpm.corte&lt;=_xlpm.piso,0,MAX(0,MIN(1,(U484-_xlpm.piso)/(_xlpm.corte-_xlpm.piso)))),_xlpm.orden,{"DIAMANTE";"PLATINO";"ORO";"PLATA";"BRONCE";"CERRADO"},_xlpm.act,IFERROR(MATCH(V484,_xlpm.orden,0),6),_xlpm.ant,IFERROR(MATCH(W484,_xlpm.orden,0),6),_xlpm.ajmov,IF(_xlpm.act&lt;_xlpm.ant,0.08,IF(_xlpm.act&gt;_xlpm.ant,-0.08,0)),_xlpm.ajcli,IF(T484&lt;0.95,-0.06,0),_xlpm.prob,MAX(0,MIN(1,_xlpm.prog+_xlpm.ajmov+_xlpm.ajcli)),IF(OR(V484="DIAMANTE",V484="CERRADO"),0,ROUND(_xlpm.prob,2)))</f>
        <v>0.9</v>
      </c>
      <c r="AK484" t="str">
        <f t="shared" si="180"/>
        <v>Faltan 0,2 puntos base para subir a la siguiente categoría</v>
      </c>
      <c r="AL484" t="str">
        <f t="shared" si="181"/>
        <v>Margen de seguridad: 9,4 puntos</v>
      </c>
      <c r="AM484">
        <f t="shared" si="182"/>
        <v>0.05</v>
      </c>
      <c r="AN484" t="str">
        <f t="shared" si="183"/>
        <v>PRIORIDAD BAJA – control normal</v>
      </c>
      <c r="AO484">
        <f t="shared" si="184"/>
        <v>10.187628339246139</v>
      </c>
      <c r="AP484">
        <f t="shared" si="185"/>
        <v>0.29546891451705798</v>
      </c>
      <c r="AQ484">
        <f t="shared" si="186"/>
        <v>1.0999999999997812E-2</v>
      </c>
      <c r="AR484">
        <f t="shared" si="187"/>
        <v>3.5199999999999996</v>
      </c>
      <c r="AS484">
        <f t="shared" si="188"/>
        <v>0</v>
      </c>
      <c r="AT484" t="str">
        <f t="shared" si="189"/>
        <v>VENTAS</v>
      </c>
      <c r="AU484">
        <f t="shared" si="190"/>
        <v>10.187628339246139</v>
      </c>
      <c r="AV484" t="str">
        <f t="shared" si="191"/>
        <v>Mayor retorno probable: VENTAS (+10,2 puntos finales potenciales).</v>
      </c>
    </row>
    <row r="485" spans="1:48" x14ac:dyDescent="0.3">
      <c r="A485" s="5">
        <v>51042891</v>
      </c>
      <c r="B485" s="5" t="str">
        <f>IFERROR(VLOOKUP(A485,VENTAS!$A$2:$B$1194,2,0),"")</f>
        <v>ROBERTS</v>
      </c>
      <c r="C485" s="5">
        <f>IFERROR(INDEX(VENTAS!$C$2:$E$1194,MATCH(A485,VENTAS!$A$2:$A$1194,0),MATCH(PARAMS_MODELO!$B$2,{"Q1","Q2","Q3"},0)),0)</f>
        <v>51668690.359999999</v>
      </c>
      <c r="D485" s="5">
        <f>IFERROR(INDEX(VENTAS!$F$2:$H$1194,MATCH(A485,VENTAS!$A$2:$A$1194,0),MATCH(PARAMS_MODELO!$B$2,{"Q1","Q2","Q3"},0)),0)</f>
        <v>79415160</v>
      </c>
      <c r="E485" s="8">
        <f t="shared" si="168"/>
        <v>0.53700741100030469</v>
      </c>
      <c r="F485" s="12">
        <f>IF(E485&lt;=PARAMS_MODELO!$B$15,0,IF(E485&gt;=PARAMS_MODELO!$B$17,100,100*MIN(1,(E485-PARAMS_MODELO!$B$15)/(PARAMS_MODELO!$B$16-PARAMS_MODELO!$B$15))))*PARAMS_MODELO!$B$7</f>
        <v>35</v>
      </c>
      <c r="G485" s="5">
        <f t="shared" si="169"/>
        <v>27746469.640000001</v>
      </c>
      <c r="H485" s="5">
        <f>(PARAMS_MODELO!$B$20*(MAX(0,MIN(3,E485))/3)+PARAMS_MODELO!$B$21*(IFERROR(LN(1+MAX(0,G485))/LN(1+MAX(0,MAX($G$2:$G$1194))),0)))*100*PARAMS_MODELO!$B$8</f>
        <v>5.897057547382869</v>
      </c>
      <c r="I485" s="8">
        <f>E485-PARAMS_MODELO!$B$5</f>
        <v>0.35944457562477816</v>
      </c>
      <c r="J485" s="5">
        <f>IF(I485&lt;=PARAMS_MODELO!$B$18,0,IF(I485&gt;=PARAMS_MODELO!$B$19,100,100*(I485-PARAMS_MODELO!$B$18)/(PARAMS_MODELO!$B$19-PARAMS_MODELO!$B$18)))*PARAMS_MODELO!$B$9</f>
        <v>15</v>
      </c>
      <c r="K485" s="5">
        <f>IFERROR(CHOOSE(MATCH(PARAMS_MODELO!$B$2,{"Q1","Q2","Q3"},0),LOTO!$D485,LOTO!$F485,LOTO!$H485),0)</f>
        <v>3900000</v>
      </c>
      <c r="L485" s="8">
        <f t="shared" si="170"/>
        <v>4.9109011428044719E-2</v>
      </c>
      <c r="M485" s="5">
        <f>MIN(100,IF(PARAMS_MODELO!$B$23=0,0,100*L485/PARAMS_MODELO!$B$23))*PARAMS_MODELO!$B$10</f>
        <v>14.732703428413414</v>
      </c>
      <c r="N485" s="5">
        <f>IFERROR(VLOOKUP(A485,COMPLIANCE!$A$2:$F$1996,6,0),100)</f>
        <v>100</v>
      </c>
      <c r="O485" s="5">
        <f>N485*PARAMS_MODELO!$B$11</f>
        <v>10</v>
      </c>
      <c r="P485" s="5">
        <f>IFERROR(VLOOKUP(A485,DIGITAL!$A$2:$J$2000,7,0),100)</f>
        <v>34</v>
      </c>
      <c r="Q485" s="5">
        <f>IFERROR(P485,0)*PARAMS_MODELO!$B$12</f>
        <v>3.4000000000000004</v>
      </c>
      <c r="R485">
        <f t="shared" si="171"/>
        <v>84.029760975796293</v>
      </c>
      <c r="S485" s="5" t="str">
        <f>IFERROR(VLOOKUP(A485,CLIENTE!$A$2:$N$2000,13,0),1)</f>
        <v>Bueno</v>
      </c>
      <c r="T485" s="5">
        <f>IFERROR(VLOOKUP(A485,CLIENTE!$A$2:$N$2000,14,0),1)</f>
        <v>1.1000000000000001</v>
      </c>
      <c r="U485" s="5">
        <f t="shared" si="172"/>
        <v>92.432737073375932</v>
      </c>
      <c r="V485" s="5" t="str">
        <f>IF(U485&gt;=MAX(_xlfn.PERCENTILE.INC($U$2:$U$1194,PARAMS_MODELO!$B$50),PARAMS_MODELO!$B$45),"DIAMANTE",IF(U485&gt;=MAX(_xlfn.PERCENTILE.INC($U$2:$U$1194,PARAMS_MODELO!$B$51),PARAMS_MODELO!$B$46),"PLATINO",IF(U485&gt;=MAX(_xlfn.PERCENTILE.INC($U$2:$U$1194,PARAMS_MODELO!$B$52),PARAMS_MODELO!$B$47),"ORO",IF(U485&gt;=MAX(_xlfn.PERCENTILE.INC($U$2:$U$1194,PARAMS_MODELO!$B$53),PARAMS_MODELO!$B$48),"PLATA",IF(U485&gt;=1,"BRONCE","CERRADO")))))</f>
        <v>PLATINO</v>
      </c>
      <c r="W485" s="5" t="str" cm="1">
        <f t="array" ref="W485">_xlfn.XLOOKUP(1, (HIST_SCORE!$B:$B=PARAMS_MODELO!$B$4) * (HIST_SCORE!$C:$C=A485), HIST_SCORE!$E:$E, "No encontrado")</f>
        <v>PLATINO</v>
      </c>
      <c r="X485" s="5" t="str">
        <f>_xlfn.LET(_xlpm.act,MATCH(V485,{"DIAMANTE";"PLATINO";"ORO";"PLATA";"BRONCE";"CERRADO"},0),_xlpm.ant,MATCH(W485,{"DIAMANTE";"PLATINO";"ORO";"PLATA";"BRONCE";"CERRADO"},0),IF(_xlpm.act&lt;_xlpm.ant,"Mejora ↑",IF(_xlpm.act&gt;_xlpm.ant,"Baja ↓","Estable →")))</f>
        <v>Estable →</v>
      </c>
      <c r="Y485" s="5">
        <f>IFERROR(U485-SUMIFS(HIST_SCORE!$D:$D,HIST_SCORE!$B:$B,PARAMS_MODELO!$B$4,HIST_SCORE!$C:$C,$A485),"")</f>
        <v>-3.0062536443438148E-3</v>
      </c>
      <c r="Z485" s="5" t="str">
        <f t="shared" si="173"/>
        <v>→ Estable</v>
      </c>
      <c r="AA485" s="5">
        <f t="shared" si="174"/>
        <v>97</v>
      </c>
      <c r="AB485" s="5">
        <f>IFERROR(SUMIFS(HIST_SCORE!$F:$F,HIST_SCORE!$B:$B,PARAMS_MODELO!$B$4,HIST_SCORE!$C:$C,$A485),"")</f>
        <v>96</v>
      </c>
      <c r="AC485" s="5">
        <f t="shared" si="175"/>
        <v>-1</v>
      </c>
      <c r="AD485" t="str">
        <f t="shared" si="177"/>
        <v/>
      </c>
      <c r="AE4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485="CERRADO",1,IF(V485="BRONCE",_xlpm.cPl,IF(V485="PLATA",_xlpm.cO,IF(V485="ORO",_xlpm.cP,IF(V485="PLATINO",_xlpm.cD,999))))))</f>
        <v>96.054919694466676</v>
      </c>
      <c r="AF4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485="CERRADO",0,IF(V485="BRONCE",1,IF(V485="PLATA",_xlpm.cPl,IF(V485="ORO",_xlpm.cO,IF(V485="PLATINO",_xlpm.cP,_xlpm.cD))))))</f>
        <v>86.439123873763251</v>
      </c>
      <c r="AG485">
        <f t="shared" si="178"/>
        <v>3.2928932919006826</v>
      </c>
      <c r="AH485" t="str">
        <f t="shared" si="179"/>
        <v>VENTAS</v>
      </c>
      <c r="AI485" t="str">
        <f t="shared" si="176"/>
        <v>🎯 Para subir de categoría, eje VENTAS / IMPACTO ABSOLUTO (H). Acción: metas semanales + activación comercial + seguimiento del asesor. ΔR aprox: 3,3</v>
      </c>
      <c r="AJ485" s="26">
        <f>_xlfn.LET(_xlpm.piso,AF485,_xlpm.corte,AE485,_xlpm.prog,IF(_xlpm.corte&lt;=_xlpm.piso,0,MAX(0,MIN(1,(U485-_xlpm.piso)/(_xlpm.corte-_xlpm.piso)))),_xlpm.orden,{"DIAMANTE";"PLATINO";"ORO";"PLATA";"BRONCE";"CERRADO"},_xlpm.act,IFERROR(MATCH(V485,_xlpm.orden,0),6),_xlpm.ant,IFERROR(MATCH(W485,_xlpm.orden,0),6),_xlpm.ajmov,IF(_xlpm.act&lt;_xlpm.ant,0.08,IF(_xlpm.act&gt;_xlpm.ant,-0.08,0)),_xlpm.ajcli,IF(T485&lt;0.95,-0.06,0),_xlpm.prob,MAX(0,MIN(1,_xlpm.prog+_xlpm.ajmov+_xlpm.ajcli)),IF(OR(V485="DIAMANTE",V485="CERRADO"),0,ROUND(_xlpm.prob,2)))</f>
        <v>0.62</v>
      </c>
      <c r="AK485" t="str">
        <f t="shared" si="180"/>
        <v>Faltan 3,3 puntos base para subir a la siguiente categoría</v>
      </c>
      <c r="AL485" t="str">
        <f t="shared" si="181"/>
        <v>Margen de seguridad: 6,0 puntos</v>
      </c>
      <c r="AM485">
        <f t="shared" si="182"/>
        <v>0.28000000000000003</v>
      </c>
      <c r="AN485" t="str">
        <f t="shared" si="183"/>
        <v>PRIORIDAD BAJA – control normal</v>
      </c>
      <c r="AO485">
        <f t="shared" si="184"/>
        <v>9.8620629007039842</v>
      </c>
      <c r="AP485">
        <f t="shared" si="185"/>
        <v>0.29402622874524464</v>
      </c>
      <c r="AQ485">
        <f t="shared" si="186"/>
        <v>0</v>
      </c>
      <c r="AR485">
        <f t="shared" si="187"/>
        <v>7.26</v>
      </c>
      <c r="AS485">
        <f t="shared" si="188"/>
        <v>0</v>
      </c>
      <c r="AT485" t="str">
        <f t="shared" si="189"/>
        <v>VENTAS</v>
      </c>
      <c r="AU485">
        <f t="shared" si="190"/>
        <v>9.8620629007039842</v>
      </c>
      <c r="AV485" t="str">
        <f t="shared" si="191"/>
        <v>Mayor retorno probable: VENTAS (+9,9 puntos finales potenciales).</v>
      </c>
    </row>
    <row r="486" spans="1:48" x14ac:dyDescent="0.3">
      <c r="A486" s="5">
        <v>51055411</v>
      </c>
      <c r="B486" s="5" t="str">
        <f>IFERROR(VLOOKUP(A486,VENTAS!$A$2:$B$1194,2,0),"")</f>
        <v>AYALA</v>
      </c>
      <c r="C486" s="5">
        <f>IFERROR(INDEX(VENTAS!$C$2:$E$1194,MATCH(A486,VENTAS!$A$2:$A$1194,0),MATCH(PARAMS_MODELO!$B$2,{"Q1","Q2","Q3"},0)),0)</f>
        <v>64208956.369999997</v>
      </c>
      <c r="D486" s="5">
        <f>IFERROR(INDEX(VENTAS!$F$2:$H$1194,MATCH(A486,VENTAS!$A$2:$A$1194,0),MATCH(PARAMS_MODELO!$B$2,{"Q1","Q2","Q3"},0)),0)</f>
        <v>79245846</v>
      </c>
      <c r="E486" s="8">
        <f t="shared" si="168"/>
        <v>0.2341867938695481</v>
      </c>
      <c r="F486" s="12">
        <f>IF(E486&lt;=PARAMS_MODELO!$B$15,0,IF(E486&gt;=PARAMS_MODELO!$B$17,100,100*MIN(1,(E486-PARAMS_MODELO!$B$15)/(PARAMS_MODELO!$B$16-PARAMS_MODELO!$B$15))))*PARAMS_MODELO!$B$7</f>
        <v>35</v>
      </c>
      <c r="G486" s="5">
        <f t="shared" si="169"/>
        <v>15036889.630000003</v>
      </c>
      <c r="H486" s="5">
        <f>(PARAMS_MODELO!$B$20*(MAX(0,MIN(3,E486))/3)+PARAMS_MODELO!$B$21*(IFERROR(LN(1+MAX(0,G486))/LN(1+MAX(0,MAX($G$2:$G$1194))),0)))*100*PARAMS_MODELO!$B$8</f>
        <v>4.6935829049825779</v>
      </c>
      <c r="I486" s="8">
        <f>E486-PARAMS_MODELO!$B$5</f>
        <v>5.6623958494021576E-2</v>
      </c>
      <c r="J486" s="5">
        <f>IF(I486&lt;=PARAMS_MODELO!$B$18,0,IF(I486&gt;=PARAMS_MODELO!$B$19,100,100*(I486-PARAMS_MODELO!$B$18)/(PARAMS_MODELO!$B$19-PARAMS_MODELO!$B$18)))*PARAMS_MODELO!$B$9</f>
        <v>15</v>
      </c>
      <c r="K486" s="5">
        <f>IFERROR(CHOOSE(MATCH(PARAMS_MODELO!$B$2,{"Q1","Q2","Q3"},0),LOTO!$D486,LOTO!$F486,LOTO!$H486),0)</f>
        <v>3900000</v>
      </c>
      <c r="L486" s="8">
        <f t="shared" si="170"/>
        <v>4.9213936084422649E-2</v>
      </c>
      <c r="M486" s="5">
        <f>MIN(100,IF(PARAMS_MODELO!$B$23=0,0,100*L486/PARAMS_MODELO!$B$23))*PARAMS_MODELO!$B$10</f>
        <v>14.764180825326791</v>
      </c>
      <c r="N486" s="5">
        <f>IFERROR(VLOOKUP(A486,COMPLIANCE!$A$2:$F$1996,6,0),100)</f>
        <v>100</v>
      </c>
      <c r="O486" s="5">
        <f>N486*PARAMS_MODELO!$B$11</f>
        <v>10</v>
      </c>
      <c r="P486" s="5">
        <f>IFERROR(VLOOKUP(A486,DIGITAL!$A$2:$J$2000,7,0),100)</f>
        <v>80</v>
      </c>
      <c r="Q486" s="5">
        <f>IFERROR(P486,0)*PARAMS_MODELO!$B$12</f>
        <v>8</v>
      </c>
      <c r="R486">
        <f t="shared" si="171"/>
        <v>87.457763730309367</v>
      </c>
      <c r="S486" s="5" t="str">
        <f>IFERROR(VLOOKUP(A486,CLIENTE!$A$2:$N$2000,13,0),1)</f>
        <v>Regular</v>
      </c>
      <c r="T486" s="5">
        <f>IFERROR(VLOOKUP(A486,CLIENTE!$A$2:$N$2000,14,0),1)</f>
        <v>1</v>
      </c>
      <c r="U486" s="5">
        <f t="shared" si="172"/>
        <v>87.457763730309367</v>
      </c>
      <c r="V486" s="5" t="str">
        <f>IF(U486&gt;=MAX(_xlfn.PERCENTILE.INC($U$2:$U$1194,PARAMS_MODELO!$B$50),PARAMS_MODELO!$B$45),"DIAMANTE",IF(U486&gt;=MAX(_xlfn.PERCENTILE.INC($U$2:$U$1194,PARAMS_MODELO!$B$51),PARAMS_MODELO!$B$46),"PLATINO",IF(U486&gt;=MAX(_xlfn.PERCENTILE.INC($U$2:$U$1194,PARAMS_MODELO!$B$52),PARAMS_MODELO!$B$47),"ORO",IF(U486&gt;=MAX(_xlfn.PERCENTILE.INC($U$2:$U$1194,PARAMS_MODELO!$B$53),PARAMS_MODELO!$B$48),"PLATA",IF(U486&gt;=1,"BRONCE","CERRADO")))))</f>
        <v>PLATINO</v>
      </c>
      <c r="W486" s="5" t="str" cm="1">
        <f t="array" ref="W486">_xlfn.XLOOKUP(1, (HIST_SCORE!$B:$B=PARAMS_MODELO!$B$4) * (HIST_SCORE!$C:$C=A486), HIST_SCORE!$E:$E, "No encontrado")</f>
        <v>ORO</v>
      </c>
      <c r="X486" s="5" t="str">
        <f>_xlfn.LET(_xlpm.act,MATCH(V486,{"DIAMANTE";"PLATINO";"ORO";"PLATA";"BRONCE";"CERRADO"},0),_xlpm.ant,MATCH(W486,{"DIAMANTE";"PLATINO";"ORO";"PLATA";"BRONCE";"CERRADO"},0),IF(_xlpm.act&lt;_xlpm.ant,"Mejora ↑",IF(_xlpm.act&gt;_xlpm.ant,"Baja ↓","Estable →")))</f>
        <v>Mejora ↑</v>
      </c>
      <c r="Y486" s="5">
        <f>IFERROR(U486-SUMIFS(HIST_SCORE!$D:$D,HIST_SCORE!$B:$B,PARAMS_MODELO!$B$4,HIST_SCORE!$C:$C,$A486),"")</f>
        <v>2.0848184258867519</v>
      </c>
      <c r="Z486" s="5" t="str">
        <f t="shared" si="173"/>
        <v>→ Estable</v>
      </c>
      <c r="AA486" s="5">
        <f t="shared" si="174"/>
        <v>213</v>
      </c>
      <c r="AB486" s="5">
        <f>IFERROR(SUMIFS(HIST_SCORE!$F:$F,HIST_SCORE!$B:$B,PARAMS_MODELO!$B$4,HIST_SCORE!$C:$C,$A486),"")</f>
        <v>258</v>
      </c>
      <c r="AC486" s="5">
        <f t="shared" si="175"/>
        <v>45</v>
      </c>
      <c r="AD486" t="str">
        <f t="shared" si="177"/>
        <v/>
      </c>
      <c r="AE4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486="CERRADO",1,IF(V486="BRONCE",_xlpm.cPl,IF(V486="PLATA",_xlpm.cO,IF(V486="ORO",_xlpm.cP,IF(V486="PLATINO",_xlpm.cD,999))))))</f>
        <v>96.054919694466676</v>
      </c>
      <c r="AF4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486="CERRADO",0,IF(V486="BRONCE",1,IF(V486="PLATA",_xlpm.cPl,IF(V486="ORO",_xlpm.cO,IF(V486="PLATINO",_xlpm.cP,_xlpm.cD))))))</f>
        <v>86.439123873763251</v>
      </c>
      <c r="AG486">
        <f t="shared" si="178"/>
        <v>8.5971559641573094</v>
      </c>
      <c r="AH486" t="str">
        <f t="shared" si="179"/>
        <v>VENTAS</v>
      </c>
      <c r="AI486" t="str">
        <f t="shared" si="176"/>
        <v>🎯 Para subir de categoría, eje VENTAS / IMPACTO ABSOLUTO (H). Acción: metas semanales + activación comercial + seguimiento del asesor. ΔR aprox: 8,6</v>
      </c>
      <c r="AJ486" s="26">
        <f>_xlfn.LET(_xlpm.piso,AF486,_xlpm.corte,AE486,_xlpm.prog,IF(_xlpm.corte&lt;=_xlpm.piso,0,MAX(0,MIN(1,(U486-_xlpm.piso)/(_xlpm.corte-_xlpm.piso)))),_xlpm.orden,{"DIAMANTE";"PLATINO";"ORO";"PLATA";"BRONCE";"CERRADO"},_xlpm.act,IFERROR(MATCH(V486,_xlpm.orden,0),6),_xlpm.ant,IFERROR(MATCH(W486,_xlpm.orden,0),6),_xlpm.ajmov,IF(_xlpm.act&lt;_xlpm.ant,0.08,IF(_xlpm.act&gt;_xlpm.ant,-0.08,0)),_xlpm.ajcli,IF(T486&lt;0.95,-0.06,0),_xlpm.prob,MAX(0,MIN(1,_xlpm.prog+_xlpm.ajmov+_xlpm.ajcli)),IF(OR(V486="DIAMANTE",V486="CERRADO"),0,ROUND(_xlpm.prob,2)))</f>
        <v>0.19</v>
      </c>
      <c r="AK486" t="str">
        <f t="shared" si="180"/>
        <v>Faltan 8,6 puntos base para subir a la siguiente categoría</v>
      </c>
      <c r="AL486" t="str">
        <f t="shared" si="181"/>
        <v>Margen de seguridad: 1,0 puntos</v>
      </c>
      <c r="AM486">
        <f t="shared" si="182"/>
        <v>0.67</v>
      </c>
      <c r="AN486" t="str">
        <f t="shared" si="183"/>
        <v>PRIORIDAD MEDIA – seguimiento del asesor</v>
      </c>
      <c r="AO486">
        <f t="shared" si="184"/>
        <v>10.168986370313007</v>
      </c>
      <c r="AP486">
        <f t="shared" si="185"/>
        <v>0.23581917467320856</v>
      </c>
      <c r="AQ486">
        <f t="shared" si="186"/>
        <v>0</v>
      </c>
      <c r="AR486">
        <f t="shared" si="187"/>
        <v>2</v>
      </c>
      <c r="AS486">
        <f t="shared" si="188"/>
        <v>0</v>
      </c>
      <c r="AT486" t="str">
        <f t="shared" si="189"/>
        <v>VENTAS</v>
      </c>
      <c r="AU486">
        <f t="shared" si="190"/>
        <v>10.168986370313007</v>
      </c>
      <c r="AV486" t="str">
        <f t="shared" si="191"/>
        <v>Mayor retorno probable: VENTAS (+10,2 puntos finales potenciales).</v>
      </c>
    </row>
    <row r="487" spans="1:48" x14ac:dyDescent="0.3">
      <c r="A487" s="5">
        <v>51038657</v>
      </c>
      <c r="B487" s="5" t="str">
        <f>IFERROR(VLOOKUP(A487,VENTAS!$A$2:$B$1194,2,0),"")</f>
        <v>LÓPEZ</v>
      </c>
      <c r="C487" s="5">
        <f>IFERROR(INDEX(VENTAS!$C$2:$E$1194,MATCH(A487,VENTAS!$A$2:$A$1194,0),MATCH(PARAMS_MODELO!$B$2,{"Q1","Q2","Q3"},0)),0)</f>
        <v>69392119.030000001</v>
      </c>
      <c r="D487" s="5">
        <f>IFERROR(INDEX(VENTAS!$F$2:$H$1194,MATCH(A487,VENTAS!$A$2:$A$1194,0),MATCH(PARAMS_MODELO!$B$2,{"Q1","Q2","Q3"},0)),0)</f>
        <v>79200774</v>
      </c>
      <c r="E487" s="8">
        <f t="shared" si="168"/>
        <v>0.14135113766679264</v>
      </c>
      <c r="F487" s="12">
        <f>IF(E487&lt;=PARAMS_MODELO!$B$15,0,IF(E487&gt;=PARAMS_MODELO!$B$17,100,100*MIN(1,(E487-PARAMS_MODELO!$B$15)/(PARAMS_MODELO!$B$16-PARAMS_MODELO!$B$15))))*PARAMS_MODELO!$B$7</f>
        <v>35</v>
      </c>
      <c r="G487" s="5">
        <f t="shared" si="169"/>
        <v>9808654.9699999988</v>
      </c>
      <c r="H487" s="5">
        <f>(PARAMS_MODELO!$B$20*(MAX(0,MIN(3,E487))/3)+PARAMS_MODELO!$B$21*(IFERROR(LN(1+MAX(0,G487))/LN(1+MAX(0,MAX($G$2:$G$1194))),0)))*100*PARAMS_MODELO!$B$8</f>
        <v>4.2685067831915058</v>
      </c>
      <c r="I487" s="8">
        <f>E487-PARAMS_MODELO!$B$5</f>
        <v>-3.6211697708733892E-2</v>
      </c>
      <c r="J487" s="5">
        <f>IF(I487&lt;=PARAMS_MODELO!$B$18,0,IF(I487&gt;=PARAMS_MODELO!$B$19,100,100*(I487-PARAMS_MODELO!$B$18)/(PARAMS_MODELO!$B$19-PARAMS_MODELO!$B$18)))*PARAMS_MODELO!$B$9</f>
        <v>2.0682453436899162</v>
      </c>
      <c r="K487" s="5">
        <f>IFERROR(CHOOSE(MATCH(PARAMS_MODELO!$B$2,{"Q1","Q2","Q3"},0),LOTO!$D487,LOTO!$F487,LOTO!$H487),0)</f>
        <v>3895000</v>
      </c>
      <c r="L487" s="8">
        <f t="shared" si="170"/>
        <v>4.9178812318172546E-2</v>
      </c>
      <c r="M487" s="5">
        <f>MIN(100,IF(PARAMS_MODELO!$B$23=0,0,100*L487/PARAMS_MODELO!$B$23))*PARAMS_MODELO!$B$10</f>
        <v>14.753643695451764</v>
      </c>
      <c r="N487" s="5">
        <f>IFERROR(VLOOKUP(A487,COMPLIANCE!$A$2:$F$1996,6,0),100)</f>
        <v>100</v>
      </c>
      <c r="O487" s="5">
        <f>N487*PARAMS_MODELO!$B$11</f>
        <v>10</v>
      </c>
      <c r="P487" s="5">
        <f>IFERROR(VLOOKUP(A487,DIGITAL!$A$2:$J$2000,7,0),100)</f>
        <v>100</v>
      </c>
      <c r="Q487" s="5">
        <f>IFERROR(P487,0)*PARAMS_MODELO!$B$12</f>
        <v>10</v>
      </c>
      <c r="R487">
        <f t="shared" si="171"/>
        <v>76.090395822333193</v>
      </c>
      <c r="S487" s="5" t="str">
        <f>IFERROR(VLOOKUP(A487,CLIENTE!$A$2:$N$2000,13,0),1)</f>
        <v>Regular</v>
      </c>
      <c r="T487" s="5">
        <f>IFERROR(VLOOKUP(A487,CLIENTE!$A$2:$N$2000,14,0),1)</f>
        <v>1</v>
      </c>
      <c r="U487" s="5">
        <f t="shared" si="172"/>
        <v>76.090395822333193</v>
      </c>
      <c r="V487" s="5" t="str">
        <f>IF(U487&gt;=MAX(_xlfn.PERCENTILE.INC($U$2:$U$1194,PARAMS_MODELO!$B$50),PARAMS_MODELO!$B$45),"DIAMANTE",IF(U487&gt;=MAX(_xlfn.PERCENTILE.INC($U$2:$U$1194,PARAMS_MODELO!$B$51),PARAMS_MODELO!$B$46),"PLATINO",IF(U487&gt;=MAX(_xlfn.PERCENTILE.INC($U$2:$U$1194,PARAMS_MODELO!$B$52),PARAMS_MODELO!$B$47),"ORO",IF(U487&gt;=MAX(_xlfn.PERCENTILE.INC($U$2:$U$1194,PARAMS_MODELO!$B$53),PARAMS_MODELO!$B$48),"PLATA",IF(U487&gt;=1,"BRONCE","CERRADO")))))</f>
        <v>ORO</v>
      </c>
      <c r="W487" s="5" t="str" cm="1">
        <f t="array" ref="W487">_xlfn.XLOOKUP(1, (HIST_SCORE!$B:$B=PARAMS_MODELO!$B$4) * (HIST_SCORE!$C:$C=A487), HIST_SCORE!$E:$E, "No encontrado")</f>
        <v>PLATA</v>
      </c>
      <c r="X487" s="5" t="str">
        <f>_xlfn.LET(_xlpm.act,MATCH(V487,{"DIAMANTE";"PLATINO";"ORO";"PLATA";"BRONCE";"CERRADO"},0),_xlpm.ant,MATCH(W487,{"DIAMANTE";"PLATINO";"ORO";"PLATA";"BRONCE";"CERRADO"},0),IF(_xlpm.act&lt;_xlpm.ant,"Mejora ↑",IF(_xlpm.act&gt;_xlpm.ant,"Baja ↓","Estable →")))</f>
        <v>Mejora ↑</v>
      </c>
      <c r="Y487" s="5">
        <f>IFERROR(U487-SUMIFS(HIST_SCORE!$D:$D,HIST_SCORE!$B:$B,PARAMS_MODELO!$B$4,HIST_SCORE!$C:$C,$A487),"")</f>
        <v>42.668978361760708</v>
      </c>
      <c r="Z487" s="5" t="str">
        <f t="shared" si="173"/>
        <v>↑ Mejora</v>
      </c>
      <c r="AA487" s="5">
        <f t="shared" si="174"/>
        <v>465</v>
      </c>
      <c r="AB487" s="5">
        <f>IFERROR(SUMIFS(HIST_SCORE!$F:$F,HIST_SCORE!$B:$B,PARAMS_MODELO!$B$4,HIST_SCORE!$C:$C,$A487),"")</f>
        <v>872</v>
      </c>
      <c r="AC487" s="5">
        <f t="shared" si="175"/>
        <v>407</v>
      </c>
      <c r="AD487" t="str">
        <f t="shared" si="177"/>
        <v/>
      </c>
      <c r="AE4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487="CERRADO",1,IF(V487="BRONCE",_xlpm.cPl,IF(V487="PLATA",_xlpm.cO,IF(V487="ORO",_xlpm.cP,IF(V487="PLATINO",_xlpm.cD,999))))))</f>
        <v>86.439123873763251</v>
      </c>
      <c r="AF4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487="CERRADO",0,IF(V487="BRONCE",1,IF(V487="PLATA",_xlpm.cPl,IF(V487="ORO",_xlpm.cO,IF(V487="PLATINO",_xlpm.cP,_xlpm.cD))))))</f>
        <v>63.199193273331495</v>
      </c>
      <c r="AG487">
        <f t="shared" si="178"/>
        <v>10.348728051430058</v>
      </c>
      <c r="AH487" t="str">
        <f t="shared" si="179"/>
        <v>VENTAS</v>
      </c>
      <c r="AI487" t="str">
        <f t="shared" si="176"/>
        <v>🎯 Para subir de categoría, eje VENTAS / DIFERENCIAL vs LOTBA (J). Acción: metas semanales + activación comercial + seguimiento del asesor. ΔR aprox: 10,3</v>
      </c>
      <c r="AJ487" s="26">
        <f>_xlfn.LET(_xlpm.piso,AF487,_xlpm.corte,AE487,_xlpm.prog,IF(_xlpm.corte&lt;=_xlpm.piso,0,MAX(0,MIN(1,(U487-_xlpm.piso)/(_xlpm.corte-_xlpm.piso)))),_xlpm.orden,{"DIAMANTE";"PLATINO";"ORO";"PLATA";"BRONCE";"CERRADO"},_xlpm.act,IFERROR(MATCH(V487,_xlpm.orden,0),6),_xlpm.ant,IFERROR(MATCH(W487,_xlpm.orden,0),6),_xlpm.ajmov,IF(_xlpm.act&lt;_xlpm.ant,0.08,IF(_xlpm.act&gt;_xlpm.ant,-0.08,0)),_xlpm.ajcli,IF(T487&lt;0.95,-0.06,0),_xlpm.prob,MAX(0,MIN(1,_xlpm.prog+_xlpm.ajmov+_xlpm.ajcli)),IF(OR(V487="DIAMANTE",V487="CERRADO"),0,ROUND(_xlpm.prob,2)))</f>
        <v>0.63</v>
      </c>
      <c r="AK487" t="str">
        <f t="shared" si="180"/>
        <v>Faltan 10,3 puntos base para subir a la siguiente categoría</v>
      </c>
      <c r="AL487" t="str">
        <f t="shared" si="181"/>
        <v>Margen de seguridad: 12,9 puntos</v>
      </c>
      <c r="AM487">
        <f t="shared" si="182"/>
        <v>0.55000000000000004</v>
      </c>
      <c r="AN487" t="str">
        <f t="shared" si="183"/>
        <v>PRIORIDAD MEDIA – seguimiento del asesor</v>
      </c>
      <c r="AO487">
        <f t="shared" si="184"/>
        <v>23.525817148414163</v>
      </c>
      <c r="AP487">
        <f t="shared" si="185"/>
        <v>0.24635630454823598</v>
      </c>
      <c r="AQ487">
        <f t="shared" si="186"/>
        <v>0</v>
      </c>
      <c r="AR487">
        <f t="shared" si="187"/>
        <v>0</v>
      </c>
      <c r="AS487">
        <f t="shared" si="188"/>
        <v>0</v>
      </c>
      <c r="AT487" t="str">
        <f t="shared" si="189"/>
        <v>VENTAS</v>
      </c>
      <c r="AU487">
        <f t="shared" si="190"/>
        <v>23.525817148414163</v>
      </c>
      <c r="AV487" t="str">
        <f t="shared" si="191"/>
        <v>Mayor retorno probable: VENTAS (+23,5 puntos finales potenciales).</v>
      </c>
    </row>
    <row r="488" spans="1:48" x14ac:dyDescent="0.3">
      <c r="A488" s="5">
        <v>51055632</v>
      </c>
      <c r="B488" s="5" t="str">
        <f>IFERROR(VLOOKUP(A488,VENTAS!$A$2:$B$1194,2,0),"")</f>
        <v>MONTENEGRO</v>
      </c>
      <c r="C488" s="5">
        <f>IFERROR(INDEX(VENTAS!$C$2:$E$1194,MATCH(A488,VENTAS!$A$2:$A$1194,0),MATCH(PARAMS_MODELO!$B$2,{"Q1","Q2","Q3"},0)),0)</f>
        <v>80439138.229999989</v>
      </c>
      <c r="D488" s="5">
        <f>IFERROR(INDEX(VENTAS!$F$2:$H$1194,MATCH(A488,VENTAS!$A$2:$A$1194,0),MATCH(PARAMS_MODELO!$B$2,{"Q1","Q2","Q3"},0)),0)</f>
        <v>79121149</v>
      </c>
      <c r="E488" s="8">
        <f t="shared" si="168"/>
        <v>-1.6384924789117683E-2</v>
      </c>
      <c r="F488" s="12">
        <f>IF(E488&lt;=PARAMS_MODELO!$B$15,0,IF(E488&gt;=PARAMS_MODELO!$B$17,100,100*MIN(1,(E488-PARAMS_MODELO!$B$15)/(PARAMS_MODELO!$B$16-PARAMS_MODELO!$B$15))))*PARAMS_MODELO!$B$7</f>
        <v>0</v>
      </c>
      <c r="G488" s="5">
        <f t="shared" si="169"/>
        <v>0</v>
      </c>
      <c r="H488" s="5">
        <f>(PARAMS_MODELO!$B$20*(MAX(0,MIN(3,E488))/3)+PARAMS_MODELO!$B$21*(IFERROR(LN(1+MAX(0,G488))/LN(1+MAX(0,MAX($G$2:$G$1194))),0)))*100*PARAMS_MODELO!$B$8</f>
        <v>0</v>
      </c>
      <c r="I488" s="8">
        <f>E488-PARAMS_MODELO!$B$5</f>
        <v>-0.19394776016464421</v>
      </c>
      <c r="J488" s="5">
        <f>IF(I488&lt;=PARAMS_MODELO!$B$18,0,IF(I488&gt;=PARAMS_MODELO!$B$19,100,100*(I488-PARAMS_MODELO!$B$18)/(PARAMS_MODELO!$B$19-PARAMS_MODELO!$B$18)))*PARAMS_MODELO!$B$9</f>
        <v>0</v>
      </c>
      <c r="K488" s="5">
        <f>IFERROR(CHOOSE(MATCH(PARAMS_MODELO!$B$2,{"Q1","Q2","Q3"},0),LOTO!$D488,LOTO!$F488,LOTO!$H488),0)</f>
        <v>3887500</v>
      </c>
      <c r="L488" s="8">
        <f t="shared" si="170"/>
        <v>4.9133512962507661E-2</v>
      </c>
      <c r="M488" s="5">
        <f>MIN(100,IF(PARAMS_MODELO!$B$23=0,0,100*L488/PARAMS_MODELO!$B$23))*PARAMS_MODELO!$B$10</f>
        <v>14.740053888752294</v>
      </c>
      <c r="N488" s="5">
        <f>IFERROR(VLOOKUP(A488,COMPLIANCE!$A$2:$F$1996,6,0),100)</f>
        <v>100</v>
      </c>
      <c r="O488" s="5">
        <f>N488*PARAMS_MODELO!$B$11</f>
        <v>10</v>
      </c>
      <c r="P488" s="5">
        <f>IFERROR(VLOOKUP(A488,DIGITAL!$A$2:$J$2000,7,0),100)</f>
        <v>92</v>
      </c>
      <c r="Q488" s="5">
        <f>IFERROR(P488,0)*PARAMS_MODELO!$B$12</f>
        <v>9.2000000000000011</v>
      </c>
      <c r="R488">
        <f t="shared" si="171"/>
        <v>33.940053888752296</v>
      </c>
      <c r="S488" s="5" t="str">
        <f>IFERROR(VLOOKUP(A488,CLIENTE!$A$2:$N$2000,13,0),1)</f>
        <v>Regular</v>
      </c>
      <c r="T488" s="5">
        <f>IFERROR(VLOOKUP(A488,CLIENTE!$A$2:$N$2000,14,0),1)</f>
        <v>1</v>
      </c>
      <c r="U488" s="5">
        <f t="shared" si="172"/>
        <v>33.940053888752296</v>
      </c>
      <c r="V488" s="5" t="str">
        <f>IF(U488&gt;=MAX(_xlfn.PERCENTILE.INC($U$2:$U$1194,PARAMS_MODELO!$B$50),PARAMS_MODELO!$B$45),"DIAMANTE",IF(U488&gt;=MAX(_xlfn.PERCENTILE.INC($U$2:$U$1194,PARAMS_MODELO!$B$51),PARAMS_MODELO!$B$46),"PLATINO",IF(U488&gt;=MAX(_xlfn.PERCENTILE.INC($U$2:$U$1194,PARAMS_MODELO!$B$52),PARAMS_MODELO!$B$47),"ORO",IF(U488&gt;=MAX(_xlfn.PERCENTILE.INC($U$2:$U$1194,PARAMS_MODELO!$B$53),PARAMS_MODELO!$B$48),"PLATA",IF(U488&gt;=1,"BRONCE","CERRADO")))))</f>
        <v>PLATA</v>
      </c>
      <c r="W488" s="5" t="str" cm="1">
        <f t="array" ref="W488">_xlfn.XLOOKUP(1, (HIST_SCORE!$B:$B=PARAMS_MODELO!$B$4) * (HIST_SCORE!$C:$C=A488), HIST_SCORE!$E:$E, "No encontrado")</f>
        <v>PLATA</v>
      </c>
      <c r="X488" s="5" t="str">
        <f>_xlfn.LET(_xlpm.act,MATCH(V488,{"DIAMANTE";"PLATINO";"ORO";"PLATA";"BRONCE";"CERRADO"},0),_xlpm.ant,MATCH(W488,{"DIAMANTE";"PLATINO";"ORO";"PLATA";"BRONCE";"CERRADO"},0),IF(_xlpm.act&lt;_xlpm.ant,"Mejora ↑",IF(_xlpm.act&gt;_xlpm.ant,"Baja ↓","Estable →")))</f>
        <v>Estable →</v>
      </c>
      <c r="Y488" s="5">
        <f>IFERROR(U488-SUMIFS(HIST_SCORE!$D:$D,HIST_SCORE!$B:$B,PARAMS_MODELO!$B$4,HIST_SCORE!$C:$C,$A488),"")</f>
        <v>-7.8671214889960055</v>
      </c>
      <c r="Z488" s="5" t="str">
        <f t="shared" si="173"/>
        <v>↓ Baja</v>
      </c>
      <c r="AA488" s="5">
        <f t="shared" si="174"/>
        <v>814</v>
      </c>
      <c r="AB488" s="5">
        <f>IFERROR(SUMIFS(HIST_SCORE!$F:$F,HIST_SCORE!$B:$B,PARAMS_MODELO!$B$4,HIST_SCORE!$C:$C,$A488),"")</f>
        <v>840</v>
      </c>
      <c r="AC488" s="5">
        <f t="shared" si="175"/>
        <v>26</v>
      </c>
      <c r="AD488" t="str">
        <f t="shared" si="177"/>
        <v/>
      </c>
      <c r="AE4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488="CERRADO",1,IF(V488="BRONCE",_xlpm.cPl,IF(V488="PLATA",_xlpm.cO,IF(V488="ORO",_xlpm.cP,IF(V488="PLATINO",_xlpm.cD,999))))))</f>
        <v>63.199193273331495</v>
      </c>
      <c r="AF4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488="CERRADO",0,IF(V488="BRONCE",1,IF(V488="PLATA",_xlpm.cPl,IF(V488="ORO",_xlpm.cO,IF(V488="PLATINO",_xlpm.cP,_xlpm.cD))))))</f>
        <v>24.506573482968111</v>
      </c>
      <c r="AG488">
        <f t="shared" si="178"/>
        <v>29.2591393845792</v>
      </c>
      <c r="AH488" t="str">
        <f t="shared" si="179"/>
        <v>VENTAS</v>
      </c>
      <c r="AI488" t="str">
        <f t="shared" si="176"/>
        <v>🎯 Para subir de categoría, eje VENTAS / CRECIMIENTO PERSONAL (F). Acción: metas semanales + activación comercial + seguimiento del asesor. ΔR aprox: 29,3</v>
      </c>
      <c r="AJ488" s="26">
        <f>_xlfn.LET(_xlpm.piso,AF488,_xlpm.corte,AE488,_xlpm.prog,IF(_xlpm.corte&lt;=_xlpm.piso,0,MAX(0,MIN(1,(U488-_xlpm.piso)/(_xlpm.corte-_xlpm.piso)))),_xlpm.orden,{"DIAMANTE";"PLATINO";"ORO";"PLATA";"BRONCE";"CERRADO"},_xlpm.act,IFERROR(MATCH(V488,_xlpm.orden,0),6),_xlpm.ant,IFERROR(MATCH(W488,_xlpm.orden,0),6),_xlpm.ajmov,IF(_xlpm.act&lt;_xlpm.ant,0.08,IF(_xlpm.act&gt;_xlpm.ant,-0.08,0)),_xlpm.ajcli,IF(T488&lt;0.95,-0.06,0),_xlpm.prob,MAX(0,MIN(1,_xlpm.prog+_xlpm.ajmov+_xlpm.ajcli)),IF(OR(V488="DIAMANTE",V488="CERRADO"),0,ROUND(_xlpm.prob,2)))</f>
        <v>0.24</v>
      </c>
      <c r="AK488" t="str">
        <f t="shared" si="180"/>
        <v>Faltan 29,3 puntos base para subir a la siguiente categoría</v>
      </c>
      <c r="AL488" t="str">
        <f t="shared" si="181"/>
        <v>Margen de seguridad: 9,4 puntos</v>
      </c>
      <c r="AM488">
        <f t="shared" si="182"/>
        <v>0.7</v>
      </c>
      <c r="AN488" t="str">
        <f t="shared" si="183"/>
        <v>PRIORIDAD ALTA – requiere intervención inmediata</v>
      </c>
      <c r="AO488">
        <f t="shared" si="184"/>
        <v>64.862569275295584</v>
      </c>
      <c r="AP488">
        <f t="shared" si="185"/>
        <v>0.2599461112477055</v>
      </c>
      <c r="AQ488">
        <f t="shared" si="186"/>
        <v>0</v>
      </c>
      <c r="AR488">
        <f t="shared" si="187"/>
        <v>0.79999999999999893</v>
      </c>
      <c r="AS488">
        <f t="shared" si="188"/>
        <v>0</v>
      </c>
      <c r="AT488" t="str">
        <f t="shared" si="189"/>
        <v>VENTAS</v>
      </c>
      <c r="AU488">
        <f t="shared" si="190"/>
        <v>64.862569275295584</v>
      </c>
      <c r="AV488" t="str">
        <f t="shared" si="191"/>
        <v>Mayor retorno probable: VENTAS (+64,9 puntos finales potenciales).</v>
      </c>
    </row>
    <row r="489" spans="1:48" x14ac:dyDescent="0.3">
      <c r="A489" s="5">
        <v>51026799</v>
      </c>
      <c r="B489" s="5" t="str">
        <f>IFERROR(VLOOKUP(A489,VENTAS!$A$2:$B$1194,2,0),"")</f>
        <v>PUGH</v>
      </c>
      <c r="C489" s="5">
        <f>IFERROR(INDEX(VENTAS!$C$2:$E$1194,MATCH(A489,VENTAS!$A$2:$A$1194,0),MATCH(PARAMS_MODELO!$B$2,{"Q1","Q2","Q3"},0)),0)</f>
        <v>59744938.999999993</v>
      </c>
      <c r="D489" s="5">
        <f>IFERROR(INDEX(VENTAS!$F$2:$H$1194,MATCH(A489,VENTAS!$A$2:$A$1194,0),MATCH(PARAMS_MODELO!$B$2,{"Q1","Q2","Q3"},0)),0)</f>
        <v>78789515</v>
      </c>
      <c r="E489" s="8">
        <f t="shared" si="168"/>
        <v>0.31876467394167074</v>
      </c>
      <c r="F489" s="12">
        <f>IF(E489&lt;=PARAMS_MODELO!$B$15,0,IF(E489&gt;=PARAMS_MODELO!$B$17,100,100*MIN(1,(E489-PARAMS_MODELO!$B$15)/(PARAMS_MODELO!$B$16-PARAMS_MODELO!$B$15))))*PARAMS_MODELO!$B$7</f>
        <v>35</v>
      </c>
      <c r="G489" s="5">
        <f t="shared" si="169"/>
        <v>19044576.000000007</v>
      </c>
      <c r="H489" s="5">
        <f>(PARAMS_MODELO!$B$20*(MAX(0,MIN(3,E489))/3)+PARAMS_MODELO!$B$21*(IFERROR(LN(1+MAX(0,G489))/LN(1+MAX(0,MAX($G$2:$G$1194))),0)))*100*PARAMS_MODELO!$B$8</f>
        <v>5.044991838832324</v>
      </c>
      <c r="I489" s="8">
        <f>E489-PARAMS_MODELO!$B$5</f>
        <v>0.14120183856614421</v>
      </c>
      <c r="J489" s="5">
        <f>IF(I489&lt;=PARAMS_MODELO!$B$18,0,IF(I489&gt;=PARAMS_MODELO!$B$19,100,100*(I489-PARAMS_MODELO!$B$18)/(PARAMS_MODELO!$B$19-PARAMS_MODELO!$B$18)))*PARAMS_MODELO!$B$9</f>
        <v>15</v>
      </c>
      <c r="K489" s="5">
        <f>IFERROR(CHOOSE(MATCH(PARAMS_MODELO!$B$2,{"Q1","Q2","Q3"},0),LOTO!$D489,LOTO!$F489,LOTO!$H489),0)</f>
        <v>3877500</v>
      </c>
      <c r="L489" s="8">
        <f t="shared" si="170"/>
        <v>4.9213401047080947E-2</v>
      </c>
      <c r="M489" s="5">
        <f>MIN(100,IF(PARAMS_MODELO!$B$23=0,0,100*L489/PARAMS_MODELO!$B$23))*PARAMS_MODELO!$B$10</f>
        <v>14.764020314124283</v>
      </c>
      <c r="N489" s="5">
        <f>IFERROR(VLOOKUP(A489,COMPLIANCE!$A$2:$F$1996,6,0),100)</f>
        <v>100</v>
      </c>
      <c r="O489" s="5">
        <f>N489*PARAMS_MODELO!$B$11</f>
        <v>10</v>
      </c>
      <c r="P489" s="5">
        <f>IFERROR(VLOOKUP(A489,DIGITAL!$A$2:$J$2000,7,0),100)</f>
        <v>69</v>
      </c>
      <c r="Q489" s="5">
        <f>IFERROR(P489,0)*PARAMS_MODELO!$B$12</f>
        <v>6.9</v>
      </c>
      <c r="R489">
        <f t="shared" si="171"/>
        <v>86.709012152956618</v>
      </c>
      <c r="S489" s="5" t="str">
        <f>IFERROR(VLOOKUP(A489,CLIENTE!$A$2:$N$2000,13,0),1)</f>
        <v>Regular</v>
      </c>
      <c r="T489" s="5">
        <f>IFERROR(VLOOKUP(A489,CLIENTE!$A$2:$N$2000,14,0),1)</f>
        <v>1</v>
      </c>
      <c r="U489" s="5">
        <f t="shared" si="172"/>
        <v>86.709012152956618</v>
      </c>
      <c r="V489" s="5" t="str">
        <f>IF(U489&gt;=MAX(_xlfn.PERCENTILE.INC($U$2:$U$1194,PARAMS_MODELO!$B$50),PARAMS_MODELO!$B$45),"DIAMANTE",IF(U489&gt;=MAX(_xlfn.PERCENTILE.INC($U$2:$U$1194,PARAMS_MODELO!$B$51),PARAMS_MODELO!$B$46),"PLATINO",IF(U489&gt;=MAX(_xlfn.PERCENTILE.INC($U$2:$U$1194,PARAMS_MODELO!$B$52),PARAMS_MODELO!$B$47),"ORO",IF(U489&gt;=MAX(_xlfn.PERCENTILE.INC($U$2:$U$1194,PARAMS_MODELO!$B$53),PARAMS_MODELO!$B$48),"PLATA",IF(U489&gt;=1,"BRONCE","CERRADO")))))</f>
        <v>PLATINO</v>
      </c>
      <c r="W489" s="5" t="str" cm="1">
        <f t="array" ref="W489">_xlfn.XLOOKUP(1, (HIST_SCORE!$B:$B=PARAMS_MODELO!$B$4) * (HIST_SCORE!$C:$C=A489), HIST_SCORE!$E:$E, "No encontrado")</f>
        <v>ORO</v>
      </c>
      <c r="X489" s="5" t="str">
        <f>_xlfn.LET(_xlpm.act,MATCH(V489,{"DIAMANTE";"PLATINO";"ORO";"PLATA";"BRONCE";"CERRADO"},0),_xlpm.ant,MATCH(W489,{"DIAMANTE";"PLATINO";"ORO";"PLATA";"BRONCE";"CERRADO"},0),IF(_xlpm.act&lt;_xlpm.ant,"Mejora ↑",IF(_xlpm.act&gt;_xlpm.ant,"Baja ↓","Estable →")))</f>
        <v>Mejora ↑</v>
      </c>
      <c r="Y489" s="5">
        <f>IFERROR(U489-SUMIFS(HIST_SCORE!$D:$D,HIST_SCORE!$B:$B,PARAMS_MODELO!$B$4,HIST_SCORE!$C:$C,$A489),"")</f>
        <v>15.359290850234444</v>
      </c>
      <c r="Z489" s="5" t="str">
        <f t="shared" si="173"/>
        <v>↑ Mejora</v>
      </c>
      <c r="AA489" s="5">
        <f t="shared" si="174"/>
        <v>231</v>
      </c>
      <c r="AB489" s="5">
        <f>IFERROR(SUMIFS(HIST_SCORE!$F:$F,HIST_SCORE!$B:$B,PARAMS_MODELO!$B$4,HIST_SCORE!$C:$C,$A489),"")</f>
        <v>527</v>
      </c>
      <c r="AC489" s="5">
        <f t="shared" si="175"/>
        <v>296</v>
      </c>
      <c r="AD489" t="str">
        <f t="shared" si="177"/>
        <v/>
      </c>
      <c r="AE4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489="CERRADO",1,IF(V489="BRONCE",_xlpm.cPl,IF(V489="PLATA",_xlpm.cO,IF(V489="ORO",_xlpm.cP,IF(V489="PLATINO",_xlpm.cD,999))))))</f>
        <v>96.054919694466676</v>
      </c>
      <c r="AF4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489="CERRADO",0,IF(V489="BRONCE",1,IF(V489="PLATA",_xlpm.cPl,IF(V489="ORO",_xlpm.cO,IF(V489="PLATINO",_xlpm.cP,_xlpm.cD))))))</f>
        <v>86.439123873763251</v>
      </c>
      <c r="AG489">
        <f t="shared" si="178"/>
        <v>9.3459075415100585</v>
      </c>
      <c r="AH489" t="str">
        <f t="shared" si="179"/>
        <v>VENTAS</v>
      </c>
      <c r="AI489" t="str">
        <f t="shared" si="176"/>
        <v>🎯 Para subir de categoría, eje VENTAS / IMPACTO ABSOLUTO (H). Acción: metas semanales + activación comercial + seguimiento del asesor. ΔR aprox: 9,3</v>
      </c>
      <c r="AJ489" s="26">
        <f>_xlfn.LET(_xlpm.piso,AF489,_xlpm.corte,AE489,_xlpm.prog,IF(_xlpm.corte&lt;=_xlpm.piso,0,MAX(0,MIN(1,(U489-_xlpm.piso)/(_xlpm.corte-_xlpm.piso)))),_xlpm.orden,{"DIAMANTE";"PLATINO";"ORO";"PLATA";"BRONCE";"CERRADO"},_xlpm.act,IFERROR(MATCH(V489,_xlpm.orden,0),6),_xlpm.ant,IFERROR(MATCH(W489,_xlpm.orden,0),6),_xlpm.ajmov,IF(_xlpm.act&lt;_xlpm.ant,0.08,IF(_xlpm.act&gt;_xlpm.ant,-0.08,0)),_xlpm.ajcli,IF(T489&lt;0.95,-0.06,0),_xlpm.prob,MAX(0,MIN(1,_xlpm.prog+_xlpm.ajmov+_xlpm.ajcli)),IF(OR(V489="DIAMANTE",V489="CERRADO"),0,ROUND(_xlpm.prob,2)))</f>
        <v>0.11</v>
      </c>
      <c r="AK489" t="str">
        <f t="shared" si="180"/>
        <v>Faltan 9,3 puntos base para subir a la siguiente categoría</v>
      </c>
      <c r="AL489" t="str">
        <f t="shared" si="181"/>
        <v>Margen de seguridad: 0,3 puntos</v>
      </c>
      <c r="AM489">
        <f t="shared" si="182"/>
        <v>0.73</v>
      </c>
      <c r="AN489" t="str">
        <f t="shared" si="183"/>
        <v>PRIORIDAD ALTA – requiere intervención inmediata</v>
      </c>
      <c r="AO489">
        <f t="shared" si="184"/>
        <v>9.8175774364632602</v>
      </c>
      <c r="AP489">
        <f t="shared" si="185"/>
        <v>0.23597968587571749</v>
      </c>
      <c r="AQ489">
        <f t="shared" si="186"/>
        <v>0</v>
      </c>
      <c r="AR489">
        <f t="shared" si="187"/>
        <v>3.0999999999999996</v>
      </c>
      <c r="AS489">
        <f t="shared" si="188"/>
        <v>0</v>
      </c>
      <c r="AT489" t="str">
        <f t="shared" si="189"/>
        <v>VENTAS</v>
      </c>
      <c r="AU489">
        <f t="shared" si="190"/>
        <v>9.8175774364632602</v>
      </c>
      <c r="AV489" t="str">
        <f t="shared" si="191"/>
        <v>Mayor retorno probable: VENTAS (+9,8 puntos finales potenciales).</v>
      </c>
    </row>
    <row r="490" spans="1:48" x14ac:dyDescent="0.3">
      <c r="A490" s="5">
        <v>51018869</v>
      </c>
      <c r="B490" s="5" t="str">
        <f>IFERROR(VLOOKUP(A490,VENTAS!$A$2:$B$1194,2,0),"")</f>
        <v>LÓPEZ</v>
      </c>
      <c r="C490" s="5">
        <f>IFERROR(INDEX(VENTAS!$C$2:$E$1194,MATCH(A490,VENTAS!$A$2:$A$1194,0),MATCH(PARAMS_MODELO!$B$2,{"Q1","Q2","Q3"},0)),0)</f>
        <v>69836691.5</v>
      </c>
      <c r="D490" s="5">
        <f>IFERROR(INDEX(VENTAS!$F$2:$H$1194,MATCH(A490,VENTAS!$A$2:$A$1194,0),MATCH(PARAMS_MODELO!$B$2,{"Q1","Q2","Q3"},0)),0)</f>
        <v>78689129</v>
      </c>
      <c r="E490" s="8">
        <f t="shared" si="168"/>
        <v>0.12675911916589011</v>
      </c>
      <c r="F490" s="12">
        <f>IF(E490&lt;=PARAMS_MODELO!$B$15,0,IF(E490&gt;=PARAMS_MODELO!$B$17,100,100*MIN(1,(E490-PARAMS_MODELO!$B$15)/(PARAMS_MODELO!$B$16-PARAMS_MODELO!$B$15))))*PARAMS_MODELO!$B$7</f>
        <v>35</v>
      </c>
      <c r="G490" s="5">
        <f t="shared" si="169"/>
        <v>8852437.5</v>
      </c>
      <c r="H490" s="5">
        <f>(PARAMS_MODELO!$B$20*(MAX(0,MIN(3,E490))/3)+PARAMS_MODELO!$B$21*(IFERROR(LN(1+MAX(0,G490))/LN(1+MAX(0,MAX($G$2:$G$1194))),0)))*100*PARAMS_MODELO!$B$8</f>
        <v>4.1933903392710432</v>
      </c>
      <c r="I490" s="8">
        <f>E490-PARAMS_MODELO!$B$5</f>
        <v>-5.0803716209636418E-2</v>
      </c>
      <c r="J490" s="5">
        <f>IF(I490&lt;=PARAMS_MODELO!$B$18,0,IF(I490&gt;=PARAMS_MODELO!$B$19,100,100*(I490-PARAMS_MODELO!$B$18)/(PARAMS_MODELO!$B$19-PARAMS_MODELO!$B$18)))*PARAMS_MODELO!$B$9</f>
        <v>0</v>
      </c>
      <c r="K490" s="5">
        <f>IFERROR(CHOOSE(MATCH(PARAMS_MODELO!$B$2,{"Q1","Q2","Q3"},0),LOTO!$D490,LOTO!$F490,LOTO!$H490),0)</f>
        <v>3877500</v>
      </c>
      <c r="L490" s="8">
        <f t="shared" si="170"/>
        <v>4.927618400757746E-2</v>
      </c>
      <c r="M490" s="5">
        <f>MIN(100,IF(PARAMS_MODELO!$B$23=0,0,100*L490/PARAMS_MODELO!$B$23))*PARAMS_MODELO!$B$10</f>
        <v>14.782855202273236</v>
      </c>
      <c r="N490" s="5">
        <f>IFERROR(VLOOKUP(A490,COMPLIANCE!$A$2:$F$1996,6,0),100)</f>
        <v>100</v>
      </c>
      <c r="O490" s="5">
        <f>N490*PARAMS_MODELO!$B$11</f>
        <v>10</v>
      </c>
      <c r="P490" s="5">
        <f>IFERROR(VLOOKUP(A490,DIGITAL!$A$2:$J$2000,7,0),100)</f>
        <v>3</v>
      </c>
      <c r="Q490" s="5">
        <f>IFERROR(P490,0)*PARAMS_MODELO!$B$12</f>
        <v>0.30000000000000004</v>
      </c>
      <c r="R490">
        <f t="shared" si="171"/>
        <v>64.27624554154427</v>
      </c>
      <c r="S490" s="5" t="str">
        <f>IFERROR(VLOOKUP(A490,CLIENTE!$A$2:$N$2000,13,0),1)</f>
        <v>Regular</v>
      </c>
      <c r="T490" s="5">
        <f>IFERROR(VLOOKUP(A490,CLIENTE!$A$2:$N$2000,14,0),1)</f>
        <v>1</v>
      </c>
      <c r="U490" s="5">
        <f t="shared" si="172"/>
        <v>64.27624554154427</v>
      </c>
      <c r="V490" s="5" t="str">
        <f>IF(U490&gt;=MAX(_xlfn.PERCENTILE.INC($U$2:$U$1194,PARAMS_MODELO!$B$50),PARAMS_MODELO!$B$45),"DIAMANTE",IF(U490&gt;=MAX(_xlfn.PERCENTILE.INC($U$2:$U$1194,PARAMS_MODELO!$B$51),PARAMS_MODELO!$B$46),"PLATINO",IF(U490&gt;=MAX(_xlfn.PERCENTILE.INC($U$2:$U$1194,PARAMS_MODELO!$B$52),PARAMS_MODELO!$B$47),"ORO",IF(U490&gt;=MAX(_xlfn.PERCENTILE.INC($U$2:$U$1194,PARAMS_MODELO!$B$53),PARAMS_MODELO!$B$48),"PLATA",IF(U490&gt;=1,"BRONCE","CERRADO")))))</f>
        <v>ORO</v>
      </c>
      <c r="W490" s="5" t="str" cm="1">
        <f t="array" ref="W490">_xlfn.XLOOKUP(1, (HIST_SCORE!$B:$B=PARAMS_MODELO!$B$4) * (HIST_SCORE!$C:$C=A490), HIST_SCORE!$E:$E, "No encontrado")</f>
        <v>ORO</v>
      </c>
      <c r="X490" s="5" t="str">
        <f>_xlfn.LET(_xlpm.act,MATCH(V490,{"DIAMANTE";"PLATINO";"ORO";"PLATA";"BRONCE";"CERRADO"},0),_xlpm.ant,MATCH(W490,{"DIAMANTE";"PLATINO";"ORO";"PLATA";"BRONCE";"CERRADO"},0),IF(_xlpm.act&lt;_xlpm.ant,"Mejora ↑",IF(_xlpm.act&gt;_xlpm.ant,"Baja ↓","Estable →")))</f>
        <v>Estable →</v>
      </c>
      <c r="Y490" s="5">
        <f>IFERROR(U490-SUMIFS(HIST_SCORE!$D:$D,HIST_SCORE!$B:$B,PARAMS_MODELO!$B$4,HIST_SCORE!$C:$C,$A490),"")</f>
        <v>0.73303420728042568</v>
      </c>
      <c r="Z490" s="5" t="str">
        <f t="shared" si="173"/>
        <v>→ Estable</v>
      </c>
      <c r="AA490" s="5">
        <f t="shared" si="174"/>
        <v>546</v>
      </c>
      <c r="AB490" s="5">
        <f>IFERROR(SUMIFS(HIST_SCORE!$F:$F,HIST_SCORE!$B:$B,PARAMS_MODELO!$B$4,HIST_SCORE!$C:$C,$A490),"")</f>
        <v>583</v>
      </c>
      <c r="AC490" s="5">
        <f t="shared" si="175"/>
        <v>37</v>
      </c>
      <c r="AD490" t="str">
        <f t="shared" si="177"/>
        <v/>
      </c>
      <c r="AE4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490="CERRADO",1,IF(V490="BRONCE",_xlpm.cPl,IF(V490="PLATA",_xlpm.cO,IF(V490="ORO",_xlpm.cP,IF(V490="PLATINO",_xlpm.cD,999))))))</f>
        <v>86.439123873763251</v>
      </c>
      <c r="AF4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490="CERRADO",0,IF(V490="BRONCE",1,IF(V490="PLATA",_xlpm.cPl,IF(V490="ORO",_xlpm.cO,IF(V490="PLATINO",_xlpm.cP,_xlpm.cD))))))</f>
        <v>63.199193273331495</v>
      </c>
      <c r="AG490">
        <f t="shared" si="178"/>
        <v>22.16287833221898</v>
      </c>
      <c r="AH490" t="str">
        <f t="shared" si="179"/>
        <v>VENTAS</v>
      </c>
      <c r="AI490" t="str">
        <f t="shared" si="176"/>
        <v>🎯 Para subir de categoría, eje VENTAS / DIFERENCIAL vs LOTBA (J). Acción: metas semanales + activación comercial + seguimiento del asesor. ΔR aprox: 22,2</v>
      </c>
      <c r="AJ490" s="26">
        <f>_xlfn.LET(_xlpm.piso,AF490,_xlpm.corte,AE490,_xlpm.prog,IF(_xlpm.corte&lt;=_xlpm.piso,0,MAX(0,MIN(1,(U490-_xlpm.piso)/(_xlpm.corte-_xlpm.piso)))),_xlpm.orden,{"DIAMANTE";"PLATINO";"ORO";"PLATA";"BRONCE";"CERRADO"},_xlpm.act,IFERROR(MATCH(V490,_xlpm.orden,0),6),_xlpm.ant,IFERROR(MATCH(W490,_xlpm.orden,0),6),_xlpm.ajmov,IF(_xlpm.act&lt;_xlpm.ant,0.08,IF(_xlpm.act&gt;_xlpm.ant,-0.08,0)),_xlpm.ajcli,IF(T490&lt;0.95,-0.06,0),_xlpm.prob,MAX(0,MIN(1,_xlpm.prog+_xlpm.ajmov+_xlpm.ajcli)),IF(OR(V490="DIAMANTE",V490="CERRADO"),0,ROUND(_xlpm.prob,2)))</f>
        <v>0.05</v>
      </c>
      <c r="AK490" t="str">
        <f t="shared" si="180"/>
        <v>Faltan 22,2 puntos base para subir a la siguiente categoría</v>
      </c>
      <c r="AL490" t="str">
        <f t="shared" si="181"/>
        <v>Margen de seguridad: 1,1 puntos</v>
      </c>
      <c r="AM490">
        <f t="shared" si="182"/>
        <v>0.78</v>
      </c>
      <c r="AN490" t="str">
        <f t="shared" si="183"/>
        <v>PRIORIDAD ALTA – requiere intervención inmediata</v>
      </c>
      <c r="AO490">
        <f t="shared" si="184"/>
        <v>25.669178936024544</v>
      </c>
      <c r="AP490">
        <f t="shared" si="185"/>
        <v>0.21714479772676398</v>
      </c>
      <c r="AQ490">
        <f t="shared" si="186"/>
        <v>0</v>
      </c>
      <c r="AR490">
        <f t="shared" si="187"/>
        <v>9.6999999999999993</v>
      </c>
      <c r="AS490">
        <f t="shared" si="188"/>
        <v>0</v>
      </c>
      <c r="AT490" t="str">
        <f t="shared" si="189"/>
        <v>VENTAS</v>
      </c>
      <c r="AU490">
        <f t="shared" si="190"/>
        <v>25.669178936024544</v>
      </c>
      <c r="AV490" t="str">
        <f t="shared" si="191"/>
        <v>Mayor retorno probable: VENTAS (+25,7 puntos finales potenciales).</v>
      </c>
    </row>
    <row r="491" spans="1:48" x14ac:dyDescent="0.3">
      <c r="A491" s="5">
        <v>51055144</v>
      </c>
      <c r="B491" s="5" t="str">
        <f>IFERROR(VLOOKUP(A491,VENTAS!$A$2:$B$1194,2,0),"")</f>
        <v>ARGUELLO</v>
      </c>
      <c r="C491" s="5">
        <f>IFERROR(INDEX(VENTAS!$C$2:$E$1194,MATCH(A491,VENTAS!$A$2:$A$1194,0),MATCH(PARAMS_MODELO!$B$2,{"Q1","Q2","Q3"},0)),0)</f>
        <v>46451613.939999998</v>
      </c>
      <c r="D491" s="5">
        <f>IFERROR(INDEX(VENTAS!$F$2:$H$1194,MATCH(A491,VENTAS!$A$2:$A$1194,0),MATCH(PARAMS_MODELO!$B$2,{"Q1","Q2","Q3"},0)),0)</f>
        <v>78639623</v>
      </c>
      <c r="E491" s="8">
        <f t="shared" si="168"/>
        <v>0.69293629068682483</v>
      </c>
      <c r="F491" s="12">
        <f>IF(E491&lt;=PARAMS_MODELO!$B$15,0,IF(E491&gt;=PARAMS_MODELO!$B$17,100,100*MIN(1,(E491-PARAMS_MODELO!$B$15)/(PARAMS_MODELO!$B$16-PARAMS_MODELO!$B$15))))*PARAMS_MODELO!$B$7</f>
        <v>35</v>
      </c>
      <c r="G491" s="5">
        <f t="shared" si="169"/>
        <v>32188009.060000002</v>
      </c>
      <c r="H491" s="5">
        <f>(PARAMS_MODELO!$B$20*(MAX(0,MIN(3,E491))/3)+PARAMS_MODELO!$B$21*(IFERROR(LN(1+MAX(0,G491))/LN(1+MAX(0,MAX($G$2:$G$1194))),0)))*100*PARAMS_MODELO!$B$8</f>
        <v>6.4776156715812343</v>
      </c>
      <c r="I491" s="8">
        <f>E491-PARAMS_MODELO!$B$5</f>
        <v>0.5153734553112983</v>
      </c>
      <c r="J491" s="5">
        <f>IF(I491&lt;=PARAMS_MODELO!$B$18,0,IF(I491&gt;=PARAMS_MODELO!$B$19,100,100*(I491-PARAMS_MODELO!$B$18)/(PARAMS_MODELO!$B$19-PARAMS_MODELO!$B$18)))*PARAMS_MODELO!$B$9</f>
        <v>15</v>
      </c>
      <c r="K491" s="5">
        <f>IFERROR(CHOOSE(MATCH(PARAMS_MODELO!$B$2,{"Q1","Q2","Q3"},0),LOTO!$D491,LOTO!$F491,LOTO!$H491),0)</f>
        <v>3855000</v>
      </c>
      <c r="L491" s="8">
        <f t="shared" si="170"/>
        <v>4.9021089533961781E-2</v>
      </c>
      <c r="M491" s="5">
        <f>MIN(100,IF(PARAMS_MODELO!$B$23=0,0,100*L491/PARAMS_MODELO!$B$23))*PARAMS_MODELO!$B$10</f>
        <v>14.706326860188533</v>
      </c>
      <c r="N491" s="5">
        <f>IFERROR(VLOOKUP(A491,COMPLIANCE!$A$2:$F$1996,6,0),100)</f>
        <v>100</v>
      </c>
      <c r="O491" s="5">
        <f>N491*PARAMS_MODELO!$B$11</f>
        <v>10</v>
      </c>
      <c r="P491" s="5">
        <f>IFERROR(VLOOKUP(A491,DIGITAL!$A$2:$J$2000,7,0),100)</f>
        <v>12</v>
      </c>
      <c r="Q491" s="5">
        <f>IFERROR(P491,0)*PARAMS_MODELO!$B$12</f>
        <v>1.2000000000000002</v>
      </c>
      <c r="R491">
        <f t="shared" si="171"/>
        <v>82.383942531769762</v>
      </c>
      <c r="S491" s="5" t="str">
        <f>IFERROR(VLOOKUP(A491,CLIENTE!$A$2:$N$2000,13,0),1)</f>
        <v>Regular</v>
      </c>
      <c r="T491" s="5">
        <f>IFERROR(VLOOKUP(A491,CLIENTE!$A$2:$N$2000,14,0),1)</f>
        <v>1</v>
      </c>
      <c r="U491" s="5">
        <f t="shared" si="172"/>
        <v>82.383942531769762</v>
      </c>
      <c r="V491" s="5" t="str">
        <f>IF(U491&gt;=MAX(_xlfn.PERCENTILE.INC($U$2:$U$1194,PARAMS_MODELO!$B$50),PARAMS_MODELO!$B$45),"DIAMANTE",IF(U491&gt;=MAX(_xlfn.PERCENTILE.INC($U$2:$U$1194,PARAMS_MODELO!$B$51),PARAMS_MODELO!$B$46),"PLATINO",IF(U491&gt;=MAX(_xlfn.PERCENTILE.INC($U$2:$U$1194,PARAMS_MODELO!$B$52),PARAMS_MODELO!$B$47),"ORO",IF(U491&gt;=MAX(_xlfn.PERCENTILE.INC($U$2:$U$1194,PARAMS_MODELO!$B$53),PARAMS_MODELO!$B$48),"PLATA",IF(U491&gt;=1,"BRONCE","CERRADO")))))</f>
        <v>ORO</v>
      </c>
      <c r="W491" s="5" t="str" cm="1">
        <f t="array" ref="W491">_xlfn.XLOOKUP(1, (HIST_SCORE!$B:$B=PARAMS_MODELO!$B$4) * (HIST_SCORE!$C:$C=A491), HIST_SCORE!$E:$E, "No encontrado")</f>
        <v>PLATINO</v>
      </c>
      <c r="X491" s="5" t="str">
        <f>_xlfn.LET(_xlpm.act,MATCH(V491,{"DIAMANTE";"PLATINO";"ORO";"PLATA";"BRONCE";"CERRADO"},0),_xlpm.ant,MATCH(W491,{"DIAMANTE";"PLATINO";"ORO";"PLATA";"BRONCE";"CERRADO"},0),IF(_xlpm.act&lt;_xlpm.ant,"Mejora ↑",IF(_xlpm.act&gt;_xlpm.ant,"Baja ↓","Estable →")))</f>
        <v>Baja ↓</v>
      </c>
      <c r="Y491" s="5">
        <f>IFERROR(U491-SUMIFS(HIST_SCORE!$D:$D,HIST_SCORE!$B:$B,PARAMS_MODELO!$B$4,HIST_SCORE!$C:$C,$A491),"")</f>
        <v>-5.9548335523238336</v>
      </c>
      <c r="Z491" s="5" t="str">
        <f t="shared" si="173"/>
        <v>↓ Baja</v>
      </c>
      <c r="AA491" s="5">
        <f t="shared" si="174"/>
        <v>379</v>
      </c>
      <c r="AB491" s="5">
        <f>IFERROR(SUMIFS(HIST_SCORE!$F:$F,HIST_SCORE!$B:$B,PARAMS_MODELO!$B$4,HIST_SCORE!$C:$C,$A491),"")</f>
        <v>167</v>
      </c>
      <c r="AC491" s="5">
        <f t="shared" si="175"/>
        <v>-212</v>
      </c>
      <c r="AD491" t="str">
        <f t="shared" si="177"/>
        <v>Sostener base y reforzar mix</v>
      </c>
      <c r="AE4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491="CERRADO",1,IF(V491="BRONCE",_xlpm.cPl,IF(V491="PLATA",_xlpm.cO,IF(V491="ORO",_xlpm.cP,IF(V491="PLATINO",_xlpm.cD,999))))))</f>
        <v>86.439123873763251</v>
      </c>
      <c r="AF4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491="CERRADO",0,IF(V491="BRONCE",1,IF(V491="PLATA",_xlpm.cPl,IF(V491="ORO",_xlpm.cO,IF(V491="PLATINO",_xlpm.cP,_xlpm.cD))))))</f>
        <v>63.199193273331495</v>
      </c>
      <c r="AG491">
        <f t="shared" si="178"/>
        <v>4.0551813419934888</v>
      </c>
      <c r="AH491" t="str">
        <f t="shared" si="179"/>
        <v>VENTAS</v>
      </c>
      <c r="AI491" t="str">
        <f t="shared" si="176"/>
        <v>🎯 Para subir de categoría, eje VENTAS / IMPACTO ABSOLUTO (H). Acción: metas semanales + activación comercial + seguimiento del asesor. ΔR aprox: 4,1</v>
      </c>
      <c r="AJ491" s="26">
        <f>_xlfn.LET(_xlpm.piso,AF491,_xlpm.corte,AE491,_xlpm.prog,IF(_xlpm.corte&lt;=_xlpm.piso,0,MAX(0,MIN(1,(U491-_xlpm.piso)/(_xlpm.corte-_xlpm.piso)))),_xlpm.orden,{"DIAMANTE";"PLATINO";"ORO";"PLATA";"BRONCE";"CERRADO"},_xlpm.act,IFERROR(MATCH(V491,_xlpm.orden,0),6),_xlpm.ant,IFERROR(MATCH(W491,_xlpm.orden,0),6),_xlpm.ajmov,IF(_xlpm.act&lt;_xlpm.ant,0.08,IF(_xlpm.act&gt;_xlpm.ant,-0.08,0)),_xlpm.ajcli,IF(T491&lt;0.95,-0.06,0),_xlpm.prob,MAX(0,MIN(1,_xlpm.prog+_xlpm.ajmov+_xlpm.ajcli)),IF(OR(V491="DIAMANTE",V491="CERRADO"),0,ROUND(_xlpm.prob,2)))</f>
        <v>0.75</v>
      </c>
      <c r="AK491" t="str">
        <f t="shared" si="180"/>
        <v>Faltan 4,1 puntos base para subir a la siguiente categoría</v>
      </c>
      <c r="AL491" t="str">
        <f t="shared" si="181"/>
        <v>Margen de seguridad: 19,2 puntos</v>
      </c>
      <c r="AM491">
        <f t="shared" si="182"/>
        <v>0.26</v>
      </c>
      <c r="AN491" t="str">
        <f t="shared" si="183"/>
        <v>PRIORIDAD BAJA – control normal</v>
      </c>
      <c r="AO491">
        <f t="shared" si="184"/>
        <v>8.3849536037143508</v>
      </c>
      <c r="AP491">
        <f t="shared" si="185"/>
        <v>0.29367313981146737</v>
      </c>
      <c r="AQ491">
        <f t="shared" si="186"/>
        <v>0</v>
      </c>
      <c r="AR491">
        <f t="shared" si="187"/>
        <v>8.8000000000000007</v>
      </c>
      <c r="AS491">
        <f t="shared" si="188"/>
        <v>0</v>
      </c>
      <c r="AT491" t="str">
        <f t="shared" si="189"/>
        <v>DIGITAL</v>
      </c>
      <c r="AU491">
        <f t="shared" si="190"/>
        <v>8.8000000000000007</v>
      </c>
      <c r="AV491" t="str">
        <f t="shared" si="191"/>
        <v>Mayor retorno probable: DIGITAL (+8,8 puntos finales potenciales).</v>
      </c>
    </row>
    <row r="492" spans="1:48" x14ac:dyDescent="0.3">
      <c r="A492" s="5">
        <v>51056884</v>
      </c>
      <c r="B492" s="5" t="str">
        <f>IFERROR(VLOOKUP(A492,VENTAS!$A$2:$B$1194,2,0),"")</f>
        <v>CICHETTO</v>
      </c>
      <c r="C492" s="5">
        <f>IFERROR(INDEX(VENTAS!$C$2:$E$1194,MATCH(A492,VENTAS!$A$2:$A$1194,0),MATCH(PARAMS_MODELO!$B$2,{"Q1","Q2","Q3"},0)),0)</f>
        <v>51055403.340000004</v>
      </c>
      <c r="D492" s="5">
        <f>IFERROR(INDEX(VENTAS!$F$2:$H$1194,MATCH(A492,VENTAS!$A$2:$A$1194,0),MATCH(PARAMS_MODELO!$B$2,{"Q1","Q2","Q3"},0)),0)</f>
        <v>78541622</v>
      </c>
      <c r="E492" s="8">
        <f t="shared" si="168"/>
        <v>0.53836062124428596</v>
      </c>
      <c r="F492" s="12">
        <f>IF(E492&lt;=PARAMS_MODELO!$B$15,0,IF(E492&gt;=PARAMS_MODELO!$B$17,100,100*MIN(1,(E492-PARAMS_MODELO!$B$15)/(PARAMS_MODELO!$B$16-PARAMS_MODELO!$B$15))))*PARAMS_MODELO!$B$7</f>
        <v>35</v>
      </c>
      <c r="G492" s="5">
        <f t="shared" si="169"/>
        <v>27486218.659999996</v>
      </c>
      <c r="H492" s="5">
        <f>(PARAMS_MODELO!$B$20*(MAX(0,MIN(3,E492))/3)+PARAMS_MODELO!$B$21*(IFERROR(LN(1+MAX(0,G492))/LN(1+MAX(0,MAX($G$2:$G$1194))),0)))*100*PARAMS_MODELO!$B$8</f>
        <v>5.8995846960400877</v>
      </c>
      <c r="I492" s="8">
        <f>E492-PARAMS_MODELO!$B$5</f>
        <v>0.36079778586875944</v>
      </c>
      <c r="J492" s="5">
        <f>IF(I492&lt;=PARAMS_MODELO!$B$18,0,IF(I492&gt;=PARAMS_MODELO!$B$19,100,100*(I492-PARAMS_MODELO!$B$18)/(PARAMS_MODELO!$B$19-PARAMS_MODELO!$B$18)))*PARAMS_MODELO!$B$9</f>
        <v>15</v>
      </c>
      <c r="K492" s="5">
        <f>IFERROR(CHOOSE(MATCH(PARAMS_MODELO!$B$2,{"Q1","Q2","Q3"},0),LOTO!$D492,LOTO!$F492,LOTO!$H492),0)</f>
        <v>3845000</v>
      </c>
      <c r="L492" s="8">
        <f t="shared" si="170"/>
        <v>4.8954935002488237E-2</v>
      </c>
      <c r="M492" s="5">
        <f>MIN(100,IF(PARAMS_MODELO!$B$23=0,0,100*L492/PARAMS_MODELO!$B$23))*PARAMS_MODELO!$B$10</f>
        <v>14.68648050074647</v>
      </c>
      <c r="N492" s="5">
        <f>IFERROR(VLOOKUP(A492,COMPLIANCE!$A$2:$F$1996,6,0),100)</f>
        <v>100</v>
      </c>
      <c r="O492" s="5">
        <f>N492*PARAMS_MODELO!$B$11</f>
        <v>10</v>
      </c>
      <c r="P492" s="5">
        <f>IFERROR(VLOOKUP(A492,DIGITAL!$A$2:$J$2000,7,0),100)</f>
        <v>97</v>
      </c>
      <c r="Q492" s="5">
        <f>IFERROR(P492,0)*PARAMS_MODELO!$B$12</f>
        <v>9.7000000000000011</v>
      </c>
      <c r="R492">
        <f t="shared" si="171"/>
        <v>90.286065196786566</v>
      </c>
      <c r="S492" s="5" t="str">
        <f>IFERROR(VLOOKUP(A492,CLIENTE!$A$2:$N$2000,13,0),1)</f>
        <v>Malo</v>
      </c>
      <c r="T492" s="5">
        <f>IFERROR(VLOOKUP(A492,CLIENTE!$A$2:$N$2000,14,0),1)</f>
        <v>0.7</v>
      </c>
      <c r="U492" s="5">
        <f t="shared" si="172"/>
        <v>63.200245637750591</v>
      </c>
      <c r="V492" s="5" t="str">
        <f>IF(U492&gt;=MAX(_xlfn.PERCENTILE.INC($U$2:$U$1194,PARAMS_MODELO!$B$50),PARAMS_MODELO!$B$45),"DIAMANTE",IF(U492&gt;=MAX(_xlfn.PERCENTILE.INC($U$2:$U$1194,PARAMS_MODELO!$B$51),PARAMS_MODELO!$B$46),"PLATINO",IF(U492&gt;=MAX(_xlfn.PERCENTILE.INC($U$2:$U$1194,PARAMS_MODELO!$B$52),PARAMS_MODELO!$B$47),"ORO",IF(U492&gt;=MAX(_xlfn.PERCENTILE.INC($U$2:$U$1194,PARAMS_MODELO!$B$53),PARAMS_MODELO!$B$48),"PLATA",IF(U492&gt;=1,"BRONCE","CERRADO")))))</f>
        <v>ORO</v>
      </c>
      <c r="W492" s="5" t="str" cm="1">
        <f t="array" ref="W492">_xlfn.XLOOKUP(1, (HIST_SCORE!$B:$B=PARAMS_MODELO!$B$4) * (HIST_SCORE!$C:$C=A492), HIST_SCORE!$E:$E, "No encontrado")</f>
        <v>PLATA</v>
      </c>
      <c r="X492" s="5" t="str">
        <f>_xlfn.LET(_xlpm.act,MATCH(V492,{"DIAMANTE";"PLATINO";"ORO";"PLATA";"BRONCE";"CERRADO"},0),_xlpm.ant,MATCH(W492,{"DIAMANTE";"PLATINO";"ORO";"PLATA";"BRONCE";"CERRADO"},0),IF(_xlpm.act&lt;_xlpm.ant,"Mejora ↑",IF(_xlpm.act&gt;_xlpm.ant,"Baja ↓","Estable →")))</f>
        <v>Mejora ↑</v>
      </c>
      <c r="Y492" s="5">
        <f>IFERROR(U492-SUMIFS(HIST_SCORE!$D:$D,HIST_SCORE!$B:$B,PARAMS_MODELO!$B$4,HIST_SCORE!$C:$C,$A492),"")</f>
        <v>1.6048769932652363</v>
      </c>
      <c r="Z492" s="5" t="str">
        <f t="shared" si="173"/>
        <v>→ Estable</v>
      </c>
      <c r="AA492" s="5">
        <f t="shared" si="174"/>
        <v>555</v>
      </c>
      <c r="AB492" s="5">
        <f>IFERROR(SUMIFS(HIST_SCORE!$F:$F,HIST_SCORE!$B:$B,PARAMS_MODELO!$B$4,HIST_SCORE!$C:$C,$A492),"")</f>
        <v>620</v>
      </c>
      <c r="AC492" s="5">
        <f t="shared" si="175"/>
        <v>65</v>
      </c>
      <c r="AD492" t="str">
        <f t="shared" si="177"/>
        <v/>
      </c>
      <c r="AE4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492="CERRADO",1,IF(V492="BRONCE",_xlpm.cPl,IF(V492="PLATA",_xlpm.cO,IF(V492="ORO",_xlpm.cP,IF(V492="PLATINO",_xlpm.cD,999))))))</f>
        <v>86.439123873763251</v>
      </c>
      <c r="AF4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492="CERRADO",0,IF(V492="BRONCE",1,IF(V492="PLATA",_xlpm.cPl,IF(V492="ORO",_xlpm.cO,IF(V492="PLATINO",_xlpm.cP,_xlpm.cD))))))</f>
        <v>63.199193273331495</v>
      </c>
      <c r="AG492">
        <f t="shared" si="178"/>
        <v>33.198397480018087</v>
      </c>
      <c r="AH492" t="str">
        <f t="shared" si="179"/>
        <v>CLIENTE</v>
      </c>
      <c r="AI492" t="str">
        <f t="shared" si="176"/>
        <v>🎯 Para subir de categoría, la eje con mayor impacto probable es CLIENTE (coef T). Acción: reducir quejas, mejorar incógnito y empujar reseñas. ΔR aprox: 33,2</v>
      </c>
      <c r="AJ492" s="26">
        <f>_xlfn.LET(_xlpm.piso,AF492,_xlpm.corte,AE492,_xlpm.prog,IF(_xlpm.corte&lt;=_xlpm.piso,0,MAX(0,MIN(1,(U492-_xlpm.piso)/(_xlpm.corte-_xlpm.piso)))),_xlpm.orden,{"DIAMANTE";"PLATINO";"ORO";"PLATA";"BRONCE";"CERRADO"},_xlpm.act,IFERROR(MATCH(V492,_xlpm.orden,0),6),_xlpm.ant,IFERROR(MATCH(W492,_xlpm.orden,0),6),_xlpm.ajmov,IF(_xlpm.act&lt;_xlpm.ant,0.08,IF(_xlpm.act&gt;_xlpm.ant,-0.08,0)),_xlpm.ajcli,IF(T492&lt;0.95,-0.06,0),_xlpm.prob,MAX(0,MIN(1,_xlpm.prog+_xlpm.ajmov+_xlpm.ajcli)),IF(OR(V492="DIAMANTE",V492="CERRADO"),0,ROUND(_xlpm.prob,2)))</f>
        <v>0.02</v>
      </c>
      <c r="AK492" t="str">
        <f t="shared" si="180"/>
        <v>Faltan 33,2 puntos base para subir a la siguiente categoría</v>
      </c>
      <c r="AL492" t="str">
        <f t="shared" si="181"/>
        <v>Margen de seguridad: 0,0 puntos</v>
      </c>
      <c r="AM492">
        <f t="shared" si="182"/>
        <v>0.99</v>
      </c>
      <c r="AN492" t="str">
        <f t="shared" si="183"/>
        <v>PRIORIDAD ALTA – requiere intervención inmediata</v>
      </c>
      <c r="AO492">
        <f t="shared" si="184"/>
        <v>6.2740892054788482</v>
      </c>
      <c r="AP492">
        <f t="shared" si="185"/>
        <v>0.21946364947747127</v>
      </c>
      <c r="AQ492">
        <f t="shared" si="186"/>
        <v>0</v>
      </c>
      <c r="AR492">
        <f t="shared" si="187"/>
        <v>0.20999999999999924</v>
      </c>
      <c r="AS492">
        <f t="shared" si="188"/>
        <v>27.085819559035976</v>
      </c>
      <c r="AT492" t="str">
        <f t="shared" si="189"/>
        <v>CLIENTE</v>
      </c>
      <c r="AU492">
        <f t="shared" si="190"/>
        <v>27.085819559035976</v>
      </c>
      <c r="AV492" t="str">
        <f t="shared" si="191"/>
        <v>Mayor retorno probable: CLIENTE (+27,1 puntos finales potenciales).</v>
      </c>
    </row>
    <row r="493" spans="1:48" x14ac:dyDescent="0.3">
      <c r="A493" s="5">
        <v>51030443</v>
      </c>
      <c r="B493" s="5" t="str">
        <f>IFERROR(VLOOKUP(A493,VENTAS!$A$2:$B$1194,2,0),"")</f>
        <v>CICHETTO</v>
      </c>
      <c r="C493" s="5">
        <f>IFERROR(INDEX(VENTAS!$C$2:$E$1194,MATCH(A493,VENTAS!$A$2:$A$1194,0),MATCH(PARAMS_MODELO!$B$2,{"Q1","Q2","Q3"},0)),0)</f>
        <v>46496077.020000003</v>
      </c>
      <c r="D493" s="5">
        <f>IFERROR(INDEX(VENTAS!$F$2:$H$1194,MATCH(A493,VENTAS!$A$2:$A$1194,0),MATCH(PARAMS_MODELO!$B$2,{"Q1","Q2","Q3"},0)),0)</f>
        <v>78160654</v>
      </c>
      <c r="E493" s="8">
        <f t="shared" si="168"/>
        <v>0.68101609876419622</v>
      </c>
      <c r="F493" s="12">
        <f>IF(E493&lt;=PARAMS_MODELO!$B$15,0,IF(E493&gt;=PARAMS_MODELO!$B$17,100,100*MIN(1,(E493-PARAMS_MODELO!$B$15)/(PARAMS_MODELO!$B$16-PARAMS_MODELO!$B$15))))*PARAMS_MODELO!$B$7</f>
        <v>35</v>
      </c>
      <c r="G493" s="5">
        <f t="shared" si="169"/>
        <v>31664576.979999997</v>
      </c>
      <c r="H493" s="5">
        <f>(PARAMS_MODELO!$B$20*(MAX(0,MIN(3,E493))/3)+PARAMS_MODELO!$B$21*(IFERROR(LN(1+MAX(0,G493))/LN(1+MAX(0,MAX($G$2:$G$1194))),0)))*100*PARAMS_MODELO!$B$8</f>
        <v>6.4320516932815748</v>
      </c>
      <c r="I493" s="8">
        <f>E493-PARAMS_MODELO!$B$5</f>
        <v>0.50345326338866969</v>
      </c>
      <c r="J493" s="5">
        <f>IF(I493&lt;=PARAMS_MODELO!$B$18,0,IF(I493&gt;=PARAMS_MODELO!$B$19,100,100*(I493-PARAMS_MODELO!$B$18)/(PARAMS_MODELO!$B$19-PARAMS_MODELO!$B$18)))*PARAMS_MODELO!$B$9</f>
        <v>15</v>
      </c>
      <c r="K493" s="5">
        <f>IFERROR(CHOOSE(MATCH(PARAMS_MODELO!$B$2,{"Q1","Q2","Q3"},0),LOTO!$D493,LOTO!$F493,LOTO!$H493),0)</f>
        <v>3845000</v>
      </c>
      <c r="L493" s="8">
        <f t="shared" si="170"/>
        <v>4.9193549480791195E-2</v>
      </c>
      <c r="M493" s="5">
        <f>MIN(100,IF(PARAMS_MODELO!$B$23=0,0,100*L493/PARAMS_MODELO!$B$23))*PARAMS_MODELO!$B$10</f>
        <v>14.758064844237357</v>
      </c>
      <c r="N493" s="5">
        <f>IFERROR(VLOOKUP(A493,COMPLIANCE!$A$2:$F$1996,6,0),100)</f>
        <v>100</v>
      </c>
      <c r="O493" s="5">
        <f>N493*PARAMS_MODELO!$B$11</f>
        <v>10</v>
      </c>
      <c r="P493" s="5">
        <f>IFERROR(VLOOKUP(A493,DIGITAL!$A$2:$J$2000,7,0),100)</f>
        <v>22</v>
      </c>
      <c r="Q493" s="5">
        <f>IFERROR(P493,0)*PARAMS_MODELO!$B$12</f>
        <v>2.2000000000000002</v>
      </c>
      <c r="R493">
        <f t="shared" si="171"/>
        <v>83.390116537518935</v>
      </c>
      <c r="S493" s="5" t="str">
        <f>IFERROR(VLOOKUP(A493,CLIENTE!$A$2:$N$2000,13,0),1)</f>
        <v>Regular</v>
      </c>
      <c r="T493" s="5">
        <f>IFERROR(VLOOKUP(A493,CLIENTE!$A$2:$N$2000,14,0),1)</f>
        <v>1</v>
      </c>
      <c r="U493" s="5">
        <f t="shared" si="172"/>
        <v>83.390116537518935</v>
      </c>
      <c r="V493" s="5" t="str">
        <f>IF(U493&gt;=MAX(_xlfn.PERCENTILE.INC($U$2:$U$1194,PARAMS_MODELO!$B$50),PARAMS_MODELO!$B$45),"DIAMANTE",IF(U493&gt;=MAX(_xlfn.PERCENTILE.INC($U$2:$U$1194,PARAMS_MODELO!$B$51),PARAMS_MODELO!$B$46),"PLATINO",IF(U493&gt;=MAX(_xlfn.PERCENTILE.INC($U$2:$U$1194,PARAMS_MODELO!$B$52),PARAMS_MODELO!$B$47),"ORO",IF(U493&gt;=MAX(_xlfn.PERCENTILE.INC($U$2:$U$1194,PARAMS_MODELO!$B$53),PARAMS_MODELO!$B$48),"PLATA",IF(U493&gt;=1,"BRONCE","CERRADO")))))</f>
        <v>ORO</v>
      </c>
      <c r="W493" s="5" t="str" cm="1">
        <f t="array" ref="W493">_xlfn.XLOOKUP(1, (HIST_SCORE!$B:$B=PARAMS_MODELO!$B$4) * (HIST_SCORE!$C:$C=A493), HIST_SCORE!$E:$E, "No encontrado")</f>
        <v>PLATA</v>
      </c>
      <c r="X493" s="5" t="str">
        <f>_xlfn.LET(_xlpm.act,MATCH(V493,{"DIAMANTE";"PLATINO";"ORO";"PLATA";"BRONCE";"CERRADO"},0),_xlpm.ant,MATCH(W493,{"DIAMANTE";"PLATINO";"ORO";"PLATA";"BRONCE";"CERRADO"},0),IF(_xlpm.act&lt;_xlpm.ant,"Mejora ↑",IF(_xlpm.act&gt;_xlpm.ant,"Baja ↓","Estable →")))</f>
        <v>Mejora ↑</v>
      </c>
      <c r="Y493" s="5">
        <f>IFERROR(U493-SUMIFS(HIST_SCORE!$D:$D,HIST_SCORE!$B:$B,PARAMS_MODELO!$B$4,HIST_SCORE!$C:$C,$A493),"")</f>
        <v>56.190116537518932</v>
      </c>
      <c r="Z493" s="5" t="str">
        <f t="shared" si="173"/>
        <v>↑ Mejora</v>
      </c>
      <c r="AA493" s="5">
        <f t="shared" si="174"/>
        <v>335</v>
      </c>
      <c r="AB493" s="5">
        <f>IFERROR(SUMIFS(HIST_SCORE!$F:$F,HIST_SCORE!$B:$B,PARAMS_MODELO!$B$4,HIST_SCORE!$C:$C,$A493),"")</f>
        <v>936</v>
      </c>
      <c r="AC493" s="5">
        <f t="shared" si="175"/>
        <v>601</v>
      </c>
      <c r="AD493" t="str">
        <f t="shared" si="177"/>
        <v/>
      </c>
      <c r="AE4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493="CERRADO",1,IF(V493="BRONCE",_xlpm.cPl,IF(V493="PLATA",_xlpm.cO,IF(V493="ORO",_xlpm.cP,IF(V493="PLATINO",_xlpm.cD,999))))))</f>
        <v>86.439123873763251</v>
      </c>
      <c r="AF4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493="CERRADO",0,IF(V493="BRONCE",1,IF(V493="PLATA",_xlpm.cPl,IF(V493="ORO",_xlpm.cO,IF(V493="PLATINO",_xlpm.cP,_xlpm.cD))))))</f>
        <v>63.199193273331495</v>
      </c>
      <c r="AG493">
        <f t="shared" si="178"/>
        <v>3.0490073362443155</v>
      </c>
      <c r="AH493" t="str">
        <f t="shared" si="179"/>
        <v>VENTAS</v>
      </c>
      <c r="AI493" t="str">
        <f t="shared" si="176"/>
        <v>🎯 Para subir de categoría, eje VENTAS / IMPACTO ABSOLUTO (H). Acción: metas semanales + activación comercial + seguimiento del asesor. ΔR aprox: 3,0</v>
      </c>
      <c r="AJ493" s="26">
        <f>_xlfn.LET(_xlpm.piso,AF493,_xlpm.corte,AE493,_xlpm.prog,IF(_xlpm.corte&lt;=_xlpm.piso,0,MAX(0,MIN(1,(U493-_xlpm.piso)/(_xlpm.corte-_xlpm.piso)))),_xlpm.orden,{"DIAMANTE";"PLATINO";"ORO";"PLATA";"BRONCE";"CERRADO"},_xlpm.act,IFERROR(MATCH(V493,_xlpm.orden,0),6),_xlpm.ant,IFERROR(MATCH(W493,_xlpm.orden,0),6),_xlpm.ajmov,IF(_xlpm.act&lt;_xlpm.ant,0.08,IF(_xlpm.act&gt;_xlpm.ant,-0.08,0)),_xlpm.ajcli,IF(T493&lt;0.95,-0.06,0),_xlpm.prob,MAX(0,MIN(1,_xlpm.prog+_xlpm.ajmov+_xlpm.ajcli)),IF(OR(V493="DIAMANTE",V493="CERRADO"),0,ROUND(_xlpm.prob,2)))</f>
        <v>0.95</v>
      </c>
      <c r="AK493" t="str">
        <f t="shared" si="180"/>
        <v>Faltan 3,0 puntos base para subir a la siguiente categoría</v>
      </c>
      <c r="AL493" t="str">
        <f t="shared" si="181"/>
        <v>Margen de seguridad: 20,2 puntos</v>
      </c>
      <c r="AM493">
        <f t="shared" si="182"/>
        <v>0.14000000000000001</v>
      </c>
      <c r="AN493" t="str">
        <f t="shared" si="183"/>
        <v>PRIORIDAD BAJA – control normal</v>
      </c>
      <c r="AO493">
        <f t="shared" si="184"/>
        <v>8.4305175820140121</v>
      </c>
      <c r="AP493">
        <f t="shared" si="185"/>
        <v>0.24193515576264346</v>
      </c>
      <c r="AQ493">
        <f t="shared" si="186"/>
        <v>0</v>
      </c>
      <c r="AR493">
        <f t="shared" si="187"/>
        <v>7.8</v>
      </c>
      <c r="AS493">
        <f t="shared" si="188"/>
        <v>0</v>
      </c>
      <c r="AT493" t="str">
        <f t="shared" si="189"/>
        <v>VENTAS</v>
      </c>
      <c r="AU493">
        <f t="shared" si="190"/>
        <v>8.4305175820140121</v>
      </c>
      <c r="AV493" t="str">
        <f t="shared" si="191"/>
        <v>Mayor retorno probable: VENTAS (+8,4 puntos finales potenciales).</v>
      </c>
    </row>
    <row r="494" spans="1:48" x14ac:dyDescent="0.3">
      <c r="A494" s="5">
        <v>51016475</v>
      </c>
      <c r="B494" s="5" t="str">
        <f>IFERROR(VLOOKUP(A494,VENTAS!$A$2:$B$1194,2,0),"")</f>
        <v>PUGH</v>
      </c>
      <c r="C494" s="5">
        <f>IFERROR(INDEX(VENTAS!$C$2:$E$1194,MATCH(A494,VENTAS!$A$2:$A$1194,0),MATCH(PARAMS_MODELO!$B$2,{"Q1","Q2","Q3"},0)),0)</f>
        <v>47286283.090000004</v>
      </c>
      <c r="D494" s="5">
        <f>IFERROR(INDEX(VENTAS!$F$2:$H$1194,MATCH(A494,VENTAS!$A$2:$A$1194,0),MATCH(PARAMS_MODELO!$B$2,{"Q1","Q2","Q3"},0)),0)</f>
        <v>77818220</v>
      </c>
      <c r="E494" s="8">
        <f t="shared" si="168"/>
        <v>0.64568274169252304</v>
      </c>
      <c r="F494" s="12">
        <f>IF(E494&lt;=PARAMS_MODELO!$B$15,0,IF(E494&gt;=PARAMS_MODELO!$B$17,100,100*MIN(1,(E494-PARAMS_MODELO!$B$15)/(PARAMS_MODELO!$B$16-PARAMS_MODELO!$B$15))))*PARAMS_MODELO!$B$7</f>
        <v>35</v>
      </c>
      <c r="G494" s="5">
        <f t="shared" si="169"/>
        <v>30531936.909999996</v>
      </c>
      <c r="H494" s="5">
        <f>(PARAMS_MODELO!$B$20*(MAX(0,MIN(3,E494))/3)+PARAMS_MODELO!$B$21*(IFERROR(LN(1+MAX(0,G494))/LN(1+MAX(0,MAX($G$2:$G$1194))),0)))*100*PARAMS_MODELO!$B$8</f>
        <v>6.2998463301778758</v>
      </c>
      <c r="I494" s="8">
        <f>E494-PARAMS_MODELO!$B$5</f>
        <v>0.46811990631699651</v>
      </c>
      <c r="J494" s="5">
        <f>IF(I494&lt;=PARAMS_MODELO!$B$18,0,IF(I494&gt;=PARAMS_MODELO!$B$19,100,100*(I494-PARAMS_MODELO!$B$18)/(PARAMS_MODELO!$B$19-PARAMS_MODELO!$B$18)))*PARAMS_MODELO!$B$9</f>
        <v>15</v>
      </c>
      <c r="K494" s="5">
        <f>IFERROR(CHOOSE(MATCH(PARAMS_MODELO!$B$2,{"Q1","Q2","Q3"},0),LOTO!$D494,LOTO!$F494,LOTO!$H494),0)</f>
        <v>3835000</v>
      </c>
      <c r="L494" s="8">
        <f t="shared" si="170"/>
        <v>4.928151787589076E-2</v>
      </c>
      <c r="M494" s="5">
        <f>MIN(100,IF(PARAMS_MODELO!$B$23=0,0,100*L494/PARAMS_MODELO!$B$23))*PARAMS_MODELO!$B$10</f>
        <v>14.784455362767229</v>
      </c>
      <c r="N494" s="5">
        <f>IFERROR(VLOOKUP(A494,COMPLIANCE!$A$2:$F$1996,6,0),100)</f>
        <v>100</v>
      </c>
      <c r="O494" s="5">
        <f>N494*PARAMS_MODELO!$B$11</f>
        <v>10</v>
      </c>
      <c r="P494" s="5">
        <f>IFERROR(VLOOKUP(A494,DIGITAL!$A$2:$J$2000,7,0),100)</f>
        <v>90</v>
      </c>
      <c r="Q494" s="5">
        <f>IFERROR(P494,0)*PARAMS_MODELO!$B$12</f>
        <v>9</v>
      </c>
      <c r="R494">
        <f t="shared" si="171"/>
        <v>90.084301692945104</v>
      </c>
      <c r="S494" s="5" t="str">
        <f>IFERROR(VLOOKUP(A494,CLIENTE!$A$2:$N$2000,13,0),1)</f>
        <v>Bueno</v>
      </c>
      <c r="T494" s="5">
        <f>IFERROR(VLOOKUP(A494,CLIENTE!$A$2:$N$2000,14,0),1)</f>
        <v>1.1000000000000001</v>
      </c>
      <c r="U494" s="5">
        <f t="shared" si="172"/>
        <v>99.092731862239617</v>
      </c>
      <c r="V494" s="5" t="str">
        <f>IF(U494&gt;=MAX(_xlfn.PERCENTILE.INC($U$2:$U$1194,PARAMS_MODELO!$B$50),PARAMS_MODELO!$B$45),"DIAMANTE",IF(U494&gt;=MAX(_xlfn.PERCENTILE.INC($U$2:$U$1194,PARAMS_MODELO!$B$51),PARAMS_MODELO!$B$46),"PLATINO",IF(U494&gt;=MAX(_xlfn.PERCENTILE.INC($U$2:$U$1194,PARAMS_MODELO!$B$52),PARAMS_MODELO!$B$47),"ORO",IF(U494&gt;=MAX(_xlfn.PERCENTILE.INC($U$2:$U$1194,PARAMS_MODELO!$B$53),PARAMS_MODELO!$B$48),"PLATA",IF(U494&gt;=1,"BRONCE","CERRADO")))))</f>
        <v>DIAMANTE</v>
      </c>
      <c r="W494" s="5" t="str" cm="1">
        <f t="array" ref="W494">_xlfn.XLOOKUP(1, (HIST_SCORE!$B:$B=PARAMS_MODELO!$B$4) * (HIST_SCORE!$C:$C=A494), HIST_SCORE!$E:$E, "No encontrado")</f>
        <v>DIAMANTE</v>
      </c>
      <c r="X494" s="5" t="str">
        <f>_xlfn.LET(_xlpm.act,MATCH(V494,{"DIAMANTE";"PLATINO";"ORO";"PLATA";"BRONCE";"CERRADO"},0),_xlpm.ant,MATCH(W494,{"DIAMANTE";"PLATINO";"ORO";"PLATA";"BRONCE";"CERRADO"},0),IF(_xlpm.act&lt;_xlpm.ant,"Mejora ↑",IF(_xlpm.act&gt;_xlpm.ant,"Baja ↓","Estable →")))</f>
        <v>Estable →</v>
      </c>
      <c r="Y494" s="5">
        <f>IFERROR(U494-SUMIFS(HIST_SCORE!$D:$D,HIST_SCORE!$B:$B,PARAMS_MODELO!$B$4,HIST_SCORE!$C:$C,$A494),"")</f>
        <v>0.3207524115774163</v>
      </c>
      <c r="Z494" s="5" t="str">
        <f t="shared" si="173"/>
        <v>→ Estable</v>
      </c>
      <c r="AA494" s="5">
        <f t="shared" si="174"/>
        <v>23</v>
      </c>
      <c r="AB494" s="5">
        <f>IFERROR(SUMIFS(HIST_SCORE!$F:$F,HIST_SCORE!$B:$B,PARAMS_MODELO!$B$4,HIST_SCORE!$C:$C,$A494),"")</f>
        <v>24</v>
      </c>
      <c r="AC494" s="5">
        <f t="shared" si="175"/>
        <v>1</v>
      </c>
      <c r="AD494" t="str">
        <f t="shared" si="177"/>
        <v/>
      </c>
      <c r="AE4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494="CERRADO",1,IF(V494="BRONCE",_xlpm.cPl,IF(V494="PLATA",_xlpm.cO,IF(V494="ORO",_xlpm.cP,IF(V494="PLATINO",_xlpm.cD,999))))))</f>
        <v>999</v>
      </c>
      <c r="AF4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494="CERRADO",0,IF(V494="BRONCE",1,IF(V494="PLATA",_xlpm.cPl,IF(V494="ORO",_xlpm.cO,IF(V494="PLATINO",_xlpm.cP,_xlpm.cD))))))</f>
        <v>96.054919694466676</v>
      </c>
      <c r="AG494">
        <f t="shared" si="178"/>
        <v>818.097516488873</v>
      </c>
      <c r="AH494" t="str">
        <f t="shared" si="179"/>
        <v>SOSTENER</v>
      </c>
      <c r="AI494" t="str">
        <f t="shared" si="176"/>
        <v>✅ Mantener desempeño y monitorear variaciones para sostener categoría.</v>
      </c>
      <c r="AJ494" s="26">
        <f>_xlfn.LET(_xlpm.piso,AF494,_xlpm.corte,AE494,_xlpm.prog,IF(_xlpm.corte&lt;=_xlpm.piso,0,MAX(0,MIN(1,(U494-_xlpm.piso)/(_xlpm.corte-_xlpm.piso)))),_xlpm.orden,{"DIAMANTE";"PLATINO";"ORO";"PLATA";"BRONCE";"CERRADO"},_xlpm.act,IFERROR(MATCH(V494,_xlpm.orden,0),6),_xlpm.ant,IFERROR(MATCH(W494,_xlpm.orden,0),6),_xlpm.ajmov,IF(_xlpm.act&lt;_xlpm.ant,0.08,IF(_xlpm.act&gt;_xlpm.ant,-0.08,0)),_xlpm.ajcli,IF(T494&lt;0.95,-0.06,0),_xlpm.prob,MAX(0,MIN(1,_xlpm.prog+_xlpm.ajmov+_xlpm.ajcli)),IF(OR(V494="DIAMANTE",V494="CERRADO"),0,ROUND(_xlpm.prob,2)))</f>
        <v>0</v>
      </c>
      <c r="AK494" t="str">
        <f t="shared" si="180"/>
        <v>No aplica</v>
      </c>
      <c r="AL494" t="str">
        <f t="shared" si="181"/>
        <v>Margen de seguridad: 3,0 puntos</v>
      </c>
      <c r="AM494">
        <f t="shared" si="182"/>
        <v>0.8</v>
      </c>
      <c r="AN494" t="str">
        <f t="shared" si="183"/>
        <v>PRIORIDAD ALTA – requiere intervención inmediata</v>
      </c>
      <c r="AO494">
        <f t="shared" si="184"/>
        <v>9.4189952396294778</v>
      </c>
      <c r="AP494">
        <f t="shared" si="185"/>
        <v>0.23709910095604805</v>
      </c>
      <c r="AQ494">
        <f t="shared" si="186"/>
        <v>0</v>
      </c>
      <c r="AR494">
        <f t="shared" si="187"/>
        <v>1.1000000000000001</v>
      </c>
      <c r="AS494">
        <f t="shared" si="188"/>
        <v>0</v>
      </c>
      <c r="AT494" t="str">
        <f t="shared" si="189"/>
        <v>VENTAS</v>
      </c>
      <c r="AU494">
        <f t="shared" si="190"/>
        <v>9.4189952396294778</v>
      </c>
      <c r="AV494" t="str">
        <f t="shared" si="191"/>
        <v>Mayor retorno probable: VENTAS (+9,4 puntos finales potenciales).</v>
      </c>
    </row>
    <row r="495" spans="1:48" x14ac:dyDescent="0.3">
      <c r="A495" s="5">
        <v>51018893</v>
      </c>
      <c r="B495" s="5" t="str">
        <f>IFERROR(VLOOKUP(A495,VENTAS!$A$2:$B$1194,2,0),"")</f>
        <v>PUGH</v>
      </c>
      <c r="C495" s="5">
        <f>IFERROR(INDEX(VENTAS!$C$2:$E$1194,MATCH(A495,VENTAS!$A$2:$A$1194,0),MATCH(PARAMS_MODELO!$B$2,{"Q1","Q2","Q3"},0)),0)</f>
        <v>61908224.150000013</v>
      </c>
      <c r="D495" s="5">
        <f>IFERROR(INDEX(VENTAS!$F$2:$H$1194,MATCH(A495,VENTAS!$A$2:$A$1194,0),MATCH(PARAMS_MODELO!$B$2,{"Q1","Q2","Q3"},0)),0)</f>
        <v>77781802</v>
      </c>
      <c r="E495" s="8">
        <f t="shared" si="168"/>
        <v>0.25640499413356177</v>
      </c>
      <c r="F495" s="12">
        <f>IF(E495&lt;=PARAMS_MODELO!$B$15,0,IF(E495&gt;=PARAMS_MODELO!$B$17,100,100*MIN(1,(E495-PARAMS_MODELO!$B$15)/(PARAMS_MODELO!$B$16-PARAMS_MODELO!$B$15))))*PARAMS_MODELO!$B$7</f>
        <v>35</v>
      </c>
      <c r="G495" s="5">
        <f t="shared" si="169"/>
        <v>15873577.849999987</v>
      </c>
      <c r="H495" s="5">
        <f>(PARAMS_MODELO!$B$20*(MAX(0,MIN(3,E495))/3)+PARAMS_MODELO!$B$21*(IFERROR(LN(1+MAX(0,G495))/LN(1+MAX(0,MAX($G$2:$G$1194))),0)))*100*PARAMS_MODELO!$B$8</f>
        <v>4.7840399958549495</v>
      </c>
      <c r="I495" s="8">
        <f>E495-PARAMS_MODELO!$B$5</f>
        <v>7.8842158758035241E-2</v>
      </c>
      <c r="J495" s="5">
        <f>IF(I495&lt;=PARAMS_MODELO!$B$18,0,IF(I495&gt;=PARAMS_MODELO!$B$19,100,100*(I495-PARAMS_MODELO!$B$18)/(PARAMS_MODELO!$B$19-PARAMS_MODELO!$B$18)))*PARAMS_MODELO!$B$9</f>
        <v>15</v>
      </c>
      <c r="K495" s="5">
        <f>IFERROR(CHOOSE(MATCH(PARAMS_MODELO!$B$2,{"Q1","Q2","Q3"},0),LOTO!$D495,LOTO!$F495,LOTO!$H495),0)</f>
        <v>3822500</v>
      </c>
      <c r="L495" s="8">
        <f t="shared" si="170"/>
        <v>4.9143885866773825E-2</v>
      </c>
      <c r="M495" s="5">
        <f>MIN(100,IF(PARAMS_MODELO!$B$23=0,0,100*L495/PARAMS_MODELO!$B$23))*PARAMS_MODELO!$B$10</f>
        <v>14.743165760032149</v>
      </c>
      <c r="N495" s="5">
        <f>IFERROR(VLOOKUP(A495,COMPLIANCE!$A$2:$F$1996,6,0),100)</f>
        <v>100</v>
      </c>
      <c r="O495" s="5">
        <f>N495*PARAMS_MODELO!$B$11</f>
        <v>10</v>
      </c>
      <c r="P495" s="5">
        <f>IFERROR(VLOOKUP(A495,DIGITAL!$A$2:$J$2000,7,0),100)</f>
        <v>23</v>
      </c>
      <c r="Q495" s="5">
        <f>IFERROR(P495,0)*PARAMS_MODELO!$B$12</f>
        <v>2.3000000000000003</v>
      </c>
      <c r="R495">
        <f t="shared" si="171"/>
        <v>81.827205755887093</v>
      </c>
      <c r="S495" s="5" t="str">
        <f>IFERROR(VLOOKUP(A495,CLIENTE!$A$2:$N$2000,13,0),1)</f>
        <v>Bueno</v>
      </c>
      <c r="T495" s="5">
        <f>IFERROR(VLOOKUP(A495,CLIENTE!$A$2:$N$2000,14,0),1)</f>
        <v>1.1000000000000001</v>
      </c>
      <c r="U495" s="5">
        <f t="shared" si="172"/>
        <v>90.00992633147581</v>
      </c>
      <c r="V495" s="5" t="str">
        <f>IF(U495&gt;=MAX(_xlfn.PERCENTILE.INC($U$2:$U$1194,PARAMS_MODELO!$B$50),PARAMS_MODELO!$B$45),"DIAMANTE",IF(U495&gt;=MAX(_xlfn.PERCENTILE.INC($U$2:$U$1194,PARAMS_MODELO!$B$51),PARAMS_MODELO!$B$46),"PLATINO",IF(U495&gt;=MAX(_xlfn.PERCENTILE.INC($U$2:$U$1194,PARAMS_MODELO!$B$52),PARAMS_MODELO!$B$47),"ORO",IF(U495&gt;=MAX(_xlfn.PERCENTILE.INC($U$2:$U$1194,PARAMS_MODELO!$B$53),PARAMS_MODELO!$B$48),"PLATA",IF(U495&gt;=1,"BRONCE","CERRADO")))))</f>
        <v>PLATINO</v>
      </c>
      <c r="W495" s="5" t="str" cm="1">
        <f t="array" ref="W495">_xlfn.XLOOKUP(1, (HIST_SCORE!$B:$B=PARAMS_MODELO!$B$4) * (HIST_SCORE!$C:$C=A495), HIST_SCORE!$E:$E, "No encontrado")</f>
        <v>PLATINO</v>
      </c>
      <c r="X495" s="5" t="str">
        <f>_xlfn.LET(_xlpm.act,MATCH(V495,{"DIAMANTE";"PLATINO";"ORO";"PLATA";"BRONCE";"CERRADO"},0),_xlpm.ant,MATCH(W495,{"DIAMANTE";"PLATINO";"ORO";"PLATA";"BRONCE";"CERRADO"},0),IF(_xlpm.act&lt;_xlpm.ant,"Mejora ↑",IF(_xlpm.act&gt;_xlpm.ant,"Baja ↓","Estable →")))</f>
        <v>Estable →</v>
      </c>
      <c r="Y495" s="5">
        <f>IFERROR(U495-SUMIFS(HIST_SCORE!$D:$D,HIST_SCORE!$B:$B,PARAMS_MODELO!$B$4,HIST_SCORE!$C:$C,$A495),"")</f>
        <v>3.3043372654896928</v>
      </c>
      <c r="Z495" s="5" t="str">
        <f t="shared" si="173"/>
        <v>→ Estable</v>
      </c>
      <c r="AA495" s="5">
        <f t="shared" si="174"/>
        <v>135</v>
      </c>
      <c r="AB495" s="5">
        <f>IFERROR(SUMIFS(HIST_SCORE!$F:$F,HIST_SCORE!$B:$B,PARAMS_MODELO!$B$4,HIST_SCORE!$C:$C,$A495),"")</f>
        <v>209</v>
      </c>
      <c r="AC495" s="5">
        <f t="shared" si="175"/>
        <v>74</v>
      </c>
      <c r="AD495" t="str">
        <f t="shared" si="177"/>
        <v/>
      </c>
      <c r="AE4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495="CERRADO",1,IF(V495="BRONCE",_xlpm.cPl,IF(V495="PLATA",_xlpm.cO,IF(V495="ORO",_xlpm.cP,IF(V495="PLATINO",_xlpm.cD,999))))))</f>
        <v>96.054919694466676</v>
      </c>
      <c r="AF4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495="CERRADO",0,IF(V495="BRONCE",1,IF(V495="PLATA",_xlpm.cPl,IF(V495="ORO",_xlpm.cO,IF(V495="PLATINO",_xlpm.cP,_xlpm.cD))))))</f>
        <v>86.439123873763251</v>
      </c>
      <c r="AG495">
        <f t="shared" si="178"/>
        <v>5.495448511809883</v>
      </c>
      <c r="AH495" t="str">
        <f t="shared" si="179"/>
        <v>VENTAS</v>
      </c>
      <c r="AI495" t="str">
        <f t="shared" si="176"/>
        <v>🎯 Para subir de categoría, eje VENTAS / IMPACTO ABSOLUTO (H). Acción: metas semanales + activación comercial + seguimiento del asesor. ΔR aprox: 5,5</v>
      </c>
      <c r="AJ495" s="26">
        <f>_xlfn.LET(_xlpm.piso,AF495,_xlpm.corte,AE495,_xlpm.prog,IF(_xlpm.corte&lt;=_xlpm.piso,0,MAX(0,MIN(1,(U495-_xlpm.piso)/(_xlpm.corte-_xlpm.piso)))),_xlpm.orden,{"DIAMANTE";"PLATINO";"ORO";"PLATA";"BRONCE";"CERRADO"},_xlpm.act,IFERROR(MATCH(V495,_xlpm.orden,0),6),_xlpm.ant,IFERROR(MATCH(W495,_xlpm.orden,0),6),_xlpm.ajmov,IF(_xlpm.act&lt;_xlpm.ant,0.08,IF(_xlpm.act&gt;_xlpm.ant,-0.08,0)),_xlpm.ajcli,IF(T495&lt;0.95,-0.06,0),_xlpm.prob,MAX(0,MIN(1,_xlpm.prog+_xlpm.ajmov+_xlpm.ajcli)),IF(OR(V495="DIAMANTE",V495="CERRADO"),0,ROUND(_xlpm.prob,2)))</f>
        <v>0.37</v>
      </c>
      <c r="AK495" t="str">
        <f t="shared" si="180"/>
        <v>Faltan 5,5 puntos base para subir a la siguiente categoría</v>
      </c>
      <c r="AL495" t="str">
        <f t="shared" si="181"/>
        <v>Margen de seguridad: 3,6 puntos</v>
      </c>
      <c r="AM495">
        <f t="shared" si="182"/>
        <v>0.47</v>
      </c>
      <c r="AN495" t="str">
        <f t="shared" si="183"/>
        <v>PRIORIDAD MEDIA – seguimiento del asesor</v>
      </c>
      <c r="AO495">
        <f t="shared" si="184"/>
        <v>11.086382207384702</v>
      </c>
      <c r="AP495">
        <f t="shared" si="185"/>
        <v>0.28251766396463651</v>
      </c>
      <c r="AQ495">
        <f t="shared" si="186"/>
        <v>0</v>
      </c>
      <c r="AR495">
        <f t="shared" si="187"/>
        <v>8.4700000000000006</v>
      </c>
      <c r="AS495">
        <f t="shared" si="188"/>
        <v>0</v>
      </c>
      <c r="AT495" t="str">
        <f t="shared" si="189"/>
        <v>VENTAS</v>
      </c>
      <c r="AU495">
        <f t="shared" si="190"/>
        <v>11.086382207384702</v>
      </c>
      <c r="AV495" t="str">
        <f t="shared" si="191"/>
        <v>Mayor retorno probable: VENTAS (+11,1 puntos finales potenciales).</v>
      </c>
    </row>
    <row r="496" spans="1:48" x14ac:dyDescent="0.3">
      <c r="A496" s="5">
        <v>51039157</v>
      </c>
      <c r="B496" s="5" t="str">
        <f>IFERROR(VLOOKUP(A496,VENTAS!$A$2:$B$1194,2,0),"")</f>
        <v>ROBERTS</v>
      </c>
      <c r="C496" s="5">
        <f>IFERROR(INDEX(VENTAS!$C$2:$E$1194,MATCH(A496,VENTAS!$A$2:$A$1194,0),MATCH(PARAMS_MODELO!$B$2,{"Q1","Q2","Q3"},0)),0)</f>
        <v>81980221.099999994</v>
      </c>
      <c r="D496" s="5">
        <f>IFERROR(INDEX(VENTAS!$F$2:$H$1194,MATCH(A496,VENTAS!$A$2:$A$1194,0),MATCH(PARAMS_MODELO!$B$2,{"Q1","Q2","Q3"},0)),0)</f>
        <v>77382127</v>
      </c>
      <c r="E496" s="8">
        <f t="shared" si="168"/>
        <v>-5.6087847023383985E-2</v>
      </c>
      <c r="F496" s="12">
        <f>IF(E496&lt;=PARAMS_MODELO!$B$15,0,IF(E496&gt;=PARAMS_MODELO!$B$17,100,100*MIN(1,(E496-PARAMS_MODELO!$B$15)/(PARAMS_MODELO!$B$16-PARAMS_MODELO!$B$15))))*PARAMS_MODELO!$B$7</f>
        <v>0</v>
      </c>
      <c r="G496" s="5">
        <f t="shared" si="169"/>
        <v>0</v>
      </c>
      <c r="H496" s="5">
        <f>(PARAMS_MODELO!$B$20*(MAX(0,MIN(3,E496))/3)+PARAMS_MODELO!$B$21*(IFERROR(LN(1+MAX(0,G496))/LN(1+MAX(0,MAX($G$2:$G$1194))),0)))*100*PARAMS_MODELO!$B$8</f>
        <v>0</v>
      </c>
      <c r="I496" s="8">
        <f>E496-PARAMS_MODELO!$B$5</f>
        <v>-0.23365068239891051</v>
      </c>
      <c r="J496" s="5">
        <f>IF(I496&lt;=PARAMS_MODELO!$B$18,0,IF(I496&gt;=PARAMS_MODELO!$B$19,100,100*(I496-PARAMS_MODELO!$B$18)/(PARAMS_MODELO!$B$19-PARAMS_MODELO!$B$18)))*PARAMS_MODELO!$B$9</f>
        <v>0</v>
      </c>
      <c r="K496" s="5">
        <f>IFERROR(CHOOSE(MATCH(PARAMS_MODELO!$B$2,{"Q1","Q2","Q3"},0),LOTO!$D496,LOTO!$F496,LOTO!$H496),0)</f>
        <v>3822500</v>
      </c>
      <c r="L496" s="8">
        <f t="shared" si="170"/>
        <v>4.9397711696397284E-2</v>
      </c>
      <c r="M496" s="5">
        <f>MIN(100,IF(PARAMS_MODELO!$B$23=0,0,100*L496/PARAMS_MODELO!$B$23))*PARAMS_MODELO!$B$10</f>
        <v>14.819313508919183</v>
      </c>
      <c r="N496" s="5">
        <f>IFERROR(VLOOKUP(A496,COMPLIANCE!$A$2:$F$1996,6,0),100)</f>
        <v>100</v>
      </c>
      <c r="O496" s="5">
        <f>N496*PARAMS_MODELO!$B$11</f>
        <v>10</v>
      </c>
      <c r="P496" s="5">
        <f>IFERROR(VLOOKUP(A496,DIGITAL!$A$2:$J$2000,7,0),100)</f>
        <v>27</v>
      </c>
      <c r="Q496" s="5">
        <f>IFERROR(P496,0)*PARAMS_MODELO!$B$12</f>
        <v>2.7</v>
      </c>
      <c r="R496">
        <f t="shared" si="171"/>
        <v>27.519313508919183</v>
      </c>
      <c r="S496" s="5" t="str">
        <f>IFERROR(VLOOKUP(A496,CLIENTE!$A$2:$N$2000,13,0),1)</f>
        <v>Malo</v>
      </c>
      <c r="T496" s="5">
        <f>IFERROR(VLOOKUP(A496,CLIENTE!$A$2:$N$2000,14,0),1)</f>
        <v>0.7</v>
      </c>
      <c r="U496" s="5">
        <f t="shared" si="172"/>
        <v>19.263519456243426</v>
      </c>
      <c r="V496" s="5" t="str">
        <f>IF(U496&gt;=MAX(_xlfn.PERCENTILE.INC($U$2:$U$1194,PARAMS_MODELO!$B$50),PARAMS_MODELO!$B$45),"DIAMANTE",IF(U496&gt;=MAX(_xlfn.PERCENTILE.INC($U$2:$U$1194,PARAMS_MODELO!$B$51),PARAMS_MODELO!$B$46),"PLATINO",IF(U496&gt;=MAX(_xlfn.PERCENTILE.INC($U$2:$U$1194,PARAMS_MODELO!$B$52),PARAMS_MODELO!$B$47),"ORO",IF(U496&gt;=MAX(_xlfn.PERCENTILE.INC($U$2:$U$1194,PARAMS_MODELO!$B$53),PARAMS_MODELO!$B$48),"PLATA",IF(U496&gt;=1,"BRONCE","CERRADO")))))</f>
        <v>BRONCE</v>
      </c>
      <c r="W496" s="5" t="str" cm="1">
        <f t="array" ref="W496">_xlfn.XLOOKUP(1, (HIST_SCORE!$B:$B=PARAMS_MODELO!$B$4) * (HIST_SCORE!$C:$C=A496), HIST_SCORE!$E:$E, "No encontrado")</f>
        <v>PLATA</v>
      </c>
      <c r="X496" s="5" t="str">
        <f>_xlfn.LET(_xlpm.act,MATCH(V496,{"DIAMANTE";"PLATINO";"ORO";"PLATA";"BRONCE";"CERRADO"},0),_xlpm.ant,MATCH(W496,{"DIAMANTE";"PLATINO";"ORO";"PLATA";"BRONCE";"CERRADO"},0),IF(_xlpm.act&lt;_xlpm.ant,"Mejora ↑",IF(_xlpm.act&gt;_xlpm.ant,"Baja ↓","Estable →")))</f>
        <v>Baja ↓</v>
      </c>
      <c r="Y496" s="5">
        <f>IFERROR(U496-SUMIFS(HIST_SCORE!$D:$D,HIST_SCORE!$B:$B,PARAMS_MODELO!$B$4,HIST_SCORE!$C:$C,$A496),"")</f>
        <v>-25.545743869813005</v>
      </c>
      <c r="Z496" s="5" t="str">
        <f t="shared" si="173"/>
        <v>↓ Baja</v>
      </c>
      <c r="AA496" s="5">
        <f t="shared" si="174"/>
        <v>994</v>
      </c>
      <c r="AB496" s="5">
        <f>IFERROR(SUMIFS(HIST_SCORE!$F:$F,HIST_SCORE!$B:$B,PARAMS_MODELO!$B$4,HIST_SCORE!$C:$C,$A496),"")</f>
        <v>825</v>
      </c>
      <c r="AC496" s="5">
        <f t="shared" si="175"/>
        <v>-169</v>
      </c>
      <c r="AD496" t="str">
        <f t="shared" si="177"/>
        <v>Plan de recuperación: foco crecimiento + mix</v>
      </c>
      <c r="AE4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496="CERRADO",1,IF(V496="BRONCE",_xlpm.cPl,IF(V496="PLATA",_xlpm.cO,IF(V496="ORO",_xlpm.cP,IF(V496="PLATINO",_xlpm.cD,999))))))</f>
        <v>24.506573482968111</v>
      </c>
      <c r="AF4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496="CERRADO",0,IF(V496="BRONCE",1,IF(V496="PLATA",_xlpm.cPl,IF(V496="ORO",_xlpm.cO,IF(V496="PLATINO",_xlpm.cP,_xlpm.cD))))))</f>
        <v>1</v>
      </c>
      <c r="AG496">
        <f t="shared" si="178"/>
        <v>7.4900771810352609</v>
      </c>
      <c r="AH496" t="str">
        <f t="shared" si="179"/>
        <v>CLIENTE</v>
      </c>
      <c r="AI496" t="str">
        <f t="shared" si="176"/>
        <v>🎯 Para subir de categoría, la eje con mayor impacto probable es CLIENTE (coef T). Acción: reducir quejas, mejorar incógnito y empujar reseñas. ΔR aprox: 7,5</v>
      </c>
      <c r="AJ496" s="26">
        <f>_xlfn.LET(_xlpm.piso,AF496,_xlpm.corte,AE496,_xlpm.prog,IF(_xlpm.corte&lt;=_xlpm.piso,0,MAX(0,MIN(1,(U496-_xlpm.piso)/(_xlpm.corte-_xlpm.piso)))),_xlpm.orden,{"DIAMANTE";"PLATINO";"ORO";"PLATA";"BRONCE";"CERRADO"},_xlpm.act,IFERROR(MATCH(V496,_xlpm.orden,0),6),_xlpm.ant,IFERROR(MATCH(W496,_xlpm.orden,0),6),_xlpm.ajmov,IF(_xlpm.act&lt;_xlpm.ant,0.08,IF(_xlpm.act&gt;_xlpm.ant,-0.08,0)),_xlpm.ajcli,IF(T496&lt;0.95,-0.06,0),_xlpm.prob,MAX(0,MIN(1,_xlpm.prog+_xlpm.ajmov+_xlpm.ajcli)),IF(OR(V496="DIAMANTE",V496="CERRADO"),0,ROUND(_xlpm.prob,2)))</f>
        <v>0.64</v>
      </c>
      <c r="AK496" t="str">
        <f t="shared" si="180"/>
        <v>Faltan 7,5 puntos base para subir a la siguiente categoría</v>
      </c>
      <c r="AL496" t="str">
        <f t="shared" si="181"/>
        <v>No aplica</v>
      </c>
      <c r="AM496">
        <f t="shared" si="182"/>
        <v>0.64</v>
      </c>
      <c r="AN496" t="str">
        <f t="shared" si="183"/>
        <v>PRIORIDAD MEDIA – seguimiento del asesor</v>
      </c>
      <c r="AO496">
        <f t="shared" si="184"/>
        <v>45.403798492706905</v>
      </c>
      <c r="AP496">
        <f t="shared" si="185"/>
        <v>0.12648054375657161</v>
      </c>
      <c r="AQ496">
        <f t="shared" si="186"/>
        <v>0</v>
      </c>
      <c r="AR496">
        <f t="shared" si="187"/>
        <v>5.1099999999999994</v>
      </c>
      <c r="AS496">
        <f t="shared" si="188"/>
        <v>8.2557940526757552</v>
      </c>
      <c r="AT496" t="str">
        <f t="shared" si="189"/>
        <v>VENTAS</v>
      </c>
      <c r="AU496">
        <f t="shared" si="190"/>
        <v>45.403798492706905</v>
      </c>
      <c r="AV496" t="str">
        <f t="shared" si="191"/>
        <v>Mayor retorno probable: VENTAS (+45,4 puntos finales potenciales).</v>
      </c>
    </row>
    <row r="497" spans="1:48" x14ac:dyDescent="0.3">
      <c r="A497" s="5">
        <v>51054822</v>
      </c>
      <c r="B497" s="5" t="str">
        <f>IFERROR(VLOOKUP(A497,VENTAS!$A$2:$B$1194,2,0),"")</f>
        <v>NELLI</v>
      </c>
      <c r="C497" s="5">
        <f>IFERROR(INDEX(VENTAS!$C$2:$E$1194,MATCH(A497,VENTAS!$A$2:$A$1194,0),MATCH(PARAMS_MODELO!$B$2,{"Q1","Q2","Q3"},0)),0)</f>
        <v>62584571.109999999</v>
      </c>
      <c r="D497" s="5">
        <f>IFERROR(INDEX(VENTAS!$F$2:$H$1194,MATCH(A497,VENTAS!$A$2:$A$1194,0),MATCH(PARAMS_MODELO!$B$2,{"Q1","Q2","Q3"},0)),0)</f>
        <v>77244917</v>
      </c>
      <c r="E497" s="8">
        <f t="shared" si="168"/>
        <v>0.2342485636632814</v>
      </c>
      <c r="F497" s="12">
        <f>IF(E497&lt;=PARAMS_MODELO!$B$15,0,IF(E497&gt;=PARAMS_MODELO!$B$17,100,100*MIN(1,(E497-PARAMS_MODELO!$B$15)/(PARAMS_MODELO!$B$16-PARAMS_MODELO!$B$15))))*PARAMS_MODELO!$B$7</f>
        <v>35</v>
      </c>
      <c r="G497" s="5">
        <f t="shared" si="169"/>
        <v>14660345.890000001</v>
      </c>
      <c r="H497" s="5">
        <f>(PARAMS_MODELO!$B$20*(MAX(0,MIN(3,E497))/3)+PARAMS_MODELO!$B$21*(IFERROR(LN(1+MAX(0,G497))/LN(1+MAX(0,MAX($G$2:$G$1194))),0)))*100*PARAMS_MODELO!$B$8</f>
        <v>4.6878543146636931</v>
      </c>
      <c r="I497" s="8">
        <f>E497-PARAMS_MODELO!$B$5</f>
        <v>5.6685728287754866E-2</v>
      </c>
      <c r="J497" s="5">
        <f>IF(I497&lt;=PARAMS_MODELO!$B$18,0,IF(I497&gt;=PARAMS_MODELO!$B$19,100,100*(I497-PARAMS_MODELO!$B$18)/(PARAMS_MODELO!$B$19-PARAMS_MODELO!$B$18)))*PARAMS_MODELO!$B$9</f>
        <v>15</v>
      </c>
      <c r="K497" s="5">
        <f>IFERROR(CHOOSE(MATCH(PARAMS_MODELO!$B$2,{"Q1","Q2","Q3"},0),LOTO!$D497,LOTO!$F497,LOTO!$H497),0)</f>
        <v>3822500</v>
      </c>
      <c r="L497" s="8">
        <f t="shared" si="170"/>
        <v>4.9485456758274461E-2</v>
      </c>
      <c r="M497" s="5">
        <f>MIN(100,IF(PARAMS_MODELO!$B$23=0,0,100*L497/PARAMS_MODELO!$B$23))*PARAMS_MODELO!$B$10</f>
        <v>14.845637027482335</v>
      </c>
      <c r="N497" s="5">
        <f>IFERROR(VLOOKUP(A497,COMPLIANCE!$A$2:$F$1996,6,0),100)</f>
        <v>100</v>
      </c>
      <c r="O497" s="5">
        <f>N497*PARAMS_MODELO!$B$11</f>
        <v>10</v>
      </c>
      <c r="P497" s="5">
        <f>IFERROR(VLOOKUP(A497,DIGITAL!$A$2:$J$2000,7,0),100)</f>
        <v>57</v>
      </c>
      <c r="Q497" s="5">
        <f>IFERROR(P497,0)*PARAMS_MODELO!$B$12</f>
        <v>5.7</v>
      </c>
      <c r="R497">
        <f t="shared" si="171"/>
        <v>85.233491342146039</v>
      </c>
      <c r="S497" s="5" t="str">
        <f>IFERROR(VLOOKUP(A497,CLIENTE!$A$2:$N$2000,13,0),1)</f>
        <v>Bueno</v>
      </c>
      <c r="T497" s="5">
        <f>IFERROR(VLOOKUP(A497,CLIENTE!$A$2:$N$2000,14,0),1)</f>
        <v>1.1000000000000001</v>
      </c>
      <c r="U497" s="5">
        <f t="shared" si="172"/>
        <v>93.756840476360651</v>
      </c>
      <c r="V497" s="5" t="str">
        <f>IF(U497&gt;=MAX(_xlfn.PERCENTILE.INC($U$2:$U$1194,PARAMS_MODELO!$B$50),PARAMS_MODELO!$B$45),"DIAMANTE",IF(U497&gt;=MAX(_xlfn.PERCENTILE.INC($U$2:$U$1194,PARAMS_MODELO!$B$51),PARAMS_MODELO!$B$46),"PLATINO",IF(U497&gt;=MAX(_xlfn.PERCENTILE.INC($U$2:$U$1194,PARAMS_MODELO!$B$52),PARAMS_MODELO!$B$47),"ORO",IF(U497&gt;=MAX(_xlfn.PERCENTILE.INC($U$2:$U$1194,PARAMS_MODELO!$B$53),PARAMS_MODELO!$B$48),"PLATA",IF(U497&gt;=1,"BRONCE","CERRADO")))))</f>
        <v>PLATINO</v>
      </c>
      <c r="W497" s="5" t="str" cm="1">
        <f t="array" ref="W497">_xlfn.XLOOKUP(1, (HIST_SCORE!$B:$B=PARAMS_MODELO!$B$4) * (HIST_SCORE!$C:$C=A497), HIST_SCORE!$E:$E, "No encontrado")</f>
        <v>PLATINO</v>
      </c>
      <c r="X497" s="5" t="str">
        <f>_xlfn.LET(_xlpm.act,MATCH(V497,{"DIAMANTE";"PLATINO";"ORO";"PLATA";"BRONCE";"CERRADO"},0),_xlpm.ant,MATCH(W497,{"DIAMANTE";"PLATINO";"ORO";"PLATA";"BRONCE";"CERRADO"},0),IF(_xlpm.act&lt;_xlpm.ant,"Mejora ↑",IF(_xlpm.act&gt;_xlpm.ant,"Baja ↓","Estable →")))</f>
        <v>Estable →</v>
      </c>
      <c r="Y497" s="5">
        <f>IFERROR(U497-SUMIFS(HIST_SCORE!$D:$D,HIST_SCORE!$B:$B,PARAMS_MODELO!$B$4,HIST_SCORE!$C:$C,$A497),"")</f>
        <v>-1.1494008607946142</v>
      </c>
      <c r="Z497" s="5" t="str">
        <f t="shared" si="173"/>
        <v>→ Estable</v>
      </c>
      <c r="AA497" s="5">
        <f t="shared" si="174"/>
        <v>80</v>
      </c>
      <c r="AB497" s="5">
        <f>IFERROR(SUMIFS(HIST_SCORE!$F:$F,HIST_SCORE!$B:$B,PARAMS_MODELO!$B$4,HIST_SCORE!$C:$C,$A497),"")</f>
        <v>66</v>
      </c>
      <c r="AC497" s="5">
        <f t="shared" si="175"/>
        <v>-14</v>
      </c>
      <c r="AD497" t="str">
        <f t="shared" si="177"/>
        <v/>
      </c>
      <c r="AE4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497="CERRADO",1,IF(V497="BRONCE",_xlpm.cPl,IF(V497="PLATA",_xlpm.cO,IF(V497="ORO",_xlpm.cP,IF(V497="PLATINO",_xlpm.cD,999))))))</f>
        <v>96.054919694466676</v>
      </c>
      <c r="AF4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497="CERRADO",0,IF(V497="BRONCE",1,IF(V497="PLATA",_xlpm.cPl,IF(V497="ORO",_xlpm.cO,IF(V497="PLATINO",_xlpm.cP,_xlpm.cD))))))</f>
        <v>86.439123873763251</v>
      </c>
      <c r="AG497">
        <f t="shared" si="178"/>
        <v>2.0891629255509372</v>
      </c>
      <c r="AH497" t="str">
        <f t="shared" si="179"/>
        <v>VENTAS</v>
      </c>
      <c r="AI497" t="str">
        <f t="shared" si="176"/>
        <v>🎯 Para subir de categoría, eje VENTAS / IMPACTO ABSOLUTO (H). Acción: metas semanales + activación comercial + seguimiento del asesor. ΔR aprox: 2,1</v>
      </c>
      <c r="AJ497" s="26">
        <f>_xlfn.LET(_xlpm.piso,AF497,_xlpm.corte,AE497,_xlpm.prog,IF(_xlpm.corte&lt;=_xlpm.piso,0,MAX(0,MIN(1,(U497-_xlpm.piso)/(_xlpm.corte-_xlpm.piso)))),_xlpm.orden,{"DIAMANTE";"PLATINO";"ORO";"PLATA";"BRONCE";"CERRADO"},_xlpm.act,IFERROR(MATCH(V497,_xlpm.orden,0),6),_xlpm.ant,IFERROR(MATCH(W497,_xlpm.orden,0),6),_xlpm.ajmov,IF(_xlpm.act&lt;_xlpm.ant,0.08,IF(_xlpm.act&gt;_xlpm.ant,-0.08,0)),_xlpm.ajcli,IF(T497&lt;0.95,-0.06,0),_xlpm.prob,MAX(0,MIN(1,_xlpm.prog+_xlpm.ajmov+_xlpm.ajcli)),IF(OR(V497="DIAMANTE",V497="CERRADO"),0,ROUND(_xlpm.prob,2)))</f>
        <v>0.76</v>
      </c>
      <c r="AK497" t="str">
        <f t="shared" si="180"/>
        <v>Faltan 2,1 puntos base para subir a la siguiente categoría</v>
      </c>
      <c r="AL497" t="str">
        <f t="shared" si="181"/>
        <v>Margen de seguridad: 7,3 puntos</v>
      </c>
      <c r="AM497">
        <f t="shared" si="182"/>
        <v>0.18</v>
      </c>
      <c r="AN497" t="str">
        <f t="shared" si="183"/>
        <v>PRIORIDAD BAJA – control normal</v>
      </c>
      <c r="AO497">
        <f t="shared" si="184"/>
        <v>11.192186456695078</v>
      </c>
      <c r="AP497">
        <f t="shared" si="185"/>
        <v>0.16979926976943194</v>
      </c>
      <c r="AQ497">
        <f t="shared" si="186"/>
        <v>0</v>
      </c>
      <c r="AR497">
        <f t="shared" si="187"/>
        <v>4.7300000000000004</v>
      </c>
      <c r="AS497">
        <f t="shared" si="188"/>
        <v>0</v>
      </c>
      <c r="AT497" t="str">
        <f t="shared" si="189"/>
        <v>VENTAS</v>
      </c>
      <c r="AU497">
        <f t="shared" si="190"/>
        <v>11.192186456695078</v>
      </c>
      <c r="AV497" t="str">
        <f t="shared" si="191"/>
        <v>Mayor retorno probable: VENTAS (+11,2 puntos finales potenciales).</v>
      </c>
    </row>
    <row r="498" spans="1:48" x14ac:dyDescent="0.3">
      <c r="A498" s="5">
        <v>51003390</v>
      </c>
      <c r="B498" s="5" t="str">
        <f>IFERROR(VLOOKUP(A498,VENTAS!$A$2:$B$1194,2,0),"")</f>
        <v>LÓPEZ</v>
      </c>
      <c r="C498" s="5">
        <f>IFERROR(INDEX(VENTAS!$C$2:$E$1194,MATCH(A498,VENTAS!$A$2:$A$1194,0),MATCH(PARAMS_MODELO!$B$2,{"Q1","Q2","Q3"},0)),0)</f>
        <v>55234070.689999998</v>
      </c>
      <c r="D498" s="5">
        <f>IFERROR(INDEX(VENTAS!$F$2:$H$1194,MATCH(A498,VENTAS!$A$2:$A$1194,0),MATCH(PARAMS_MODELO!$B$2,{"Q1","Q2","Q3"},0)),0)</f>
        <v>77136485</v>
      </c>
      <c r="E498" s="8">
        <f t="shared" si="168"/>
        <v>0.39653811563023877</v>
      </c>
      <c r="F498" s="12">
        <f>IF(E498&lt;=PARAMS_MODELO!$B$15,0,IF(E498&gt;=PARAMS_MODELO!$B$17,100,100*MIN(1,(E498-PARAMS_MODELO!$B$15)/(PARAMS_MODELO!$B$16-PARAMS_MODELO!$B$15))))*PARAMS_MODELO!$B$7</f>
        <v>35</v>
      </c>
      <c r="G498" s="5">
        <f t="shared" si="169"/>
        <v>21902414.310000002</v>
      </c>
      <c r="H498" s="5">
        <f>(PARAMS_MODELO!$B$20*(MAX(0,MIN(3,E498))/3)+PARAMS_MODELO!$B$21*(IFERROR(LN(1+MAX(0,G498))/LN(1+MAX(0,MAX($G$2:$G$1194))),0)))*100*PARAMS_MODELO!$B$8</f>
        <v>5.3499733624209735</v>
      </c>
      <c r="I498" s="8">
        <f>E498-PARAMS_MODELO!$B$5</f>
        <v>0.21897528025471225</v>
      </c>
      <c r="J498" s="5">
        <f>IF(I498&lt;=PARAMS_MODELO!$B$18,0,IF(I498&gt;=PARAMS_MODELO!$B$19,100,100*(I498-PARAMS_MODELO!$B$18)/(PARAMS_MODELO!$B$19-PARAMS_MODELO!$B$18)))*PARAMS_MODELO!$B$9</f>
        <v>15</v>
      </c>
      <c r="K498" s="5">
        <f>IFERROR(CHOOSE(MATCH(PARAMS_MODELO!$B$2,{"Q1","Q2","Q3"},0),LOTO!$D498,LOTO!$F498,LOTO!$H498),0)</f>
        <v>3807500</v>
      </c>
      <c r="L498" s="8">
        <f t="shared" si="170"/>
        <v>4.9360558755043089E-2</v>
      </c>
      <c r="M498" s="5">
        <f>MIN(100,IF(PARAMS_MODELO!$B$23=0,0,100*L498/PARAMS_MODELO!$B$23))*PARAMS_MODELO!$B$10</f>
        <v>14.808167626512926</v>
      </c>
      <c r="N498" s="5">
        <f>IFERROR(VLOOKUP(A498,COMPLIANCE!$A$2:$F$1996,6,0),100)</f>
        <v>100</v>
      </c>
      <c r="O498" s="5">
        <f>N498*PARAMS_MODELO!$B$11</f>
        <v>10</v>
      </c>
      <c r="P498" s="5">
        <f>IFERROR(VLOOKUP(A498,DIGITAL!$A$2:$J$2000,7,0),100)</f>
        <v>15</v>
      </c>
      <c r="Q498" s="5">
        <f>IFERROR(P498,0)*PARAMS_MODELO!$B$12</f>
        <v>1.5</v>
      </c>
      <c r="R498">
        <f t="shared" si="171"/>
        <v>81.658140988933894</v>
      </c>
      <c r="S498" s="5" t="str">
        <f>IFERROR(VLOOKUP(A498,CLIENTE!$A$2:$N$2000,13,0),1)</f>
        <v>Bueno</v>
      </c>
      <c r="T498" s="5">
        <f>IFERROR(VLOOKUP(A498,CLIENTE!$A$2:$N$2000,14,0),1)</f>
        <v>1.1000000000000001</v>
      </c>
      <c r="U498" s="5">
        <f t="shared" si="172"/>
        <v>89.823955087827287</v>
      </c>
      <c r="V498" s="5" t="str">
        <f>IF(U498&gt;=MAX(_xlfn.PERCENTILE.INC($U$2:$U$1194,PARAMS_MODELO!$B$50),PARAMS_MODELO!$B$45),"DIAMANTE",IF(U498&gt;=MAX(_xlfn.PERCENTILE.INC($U$2:$U$1194,PARAMS_MODELO!$B$51),PARAMS_MODELO!$B$46),"PLATINO",IF(U498&gt;=MAX(_xlfn.PERCENTILE.INC($U$2:$U$1194,PARAMS_MODELO!$B$52),PARAMS_MODELO!$B$47),"ORO",IF(U498&gt;=MAX(_xlfn.PERCENTILE.INC($U$2:$U$1194,PARAMS_MODELO!$B$53),PARAMS_MODELO!$B$48),"PLATA",IF(U498&gt;=1,"BRONCE","CERRADO")))))</f>
        <v>PLATINO</v>
      </c>
      <c r="W498" s="5" t="str" cm="1">
        <f t="array" ref="W498">_xlfn.XLOOKUP(1, (HIST_SCORE!$B:$B=PARAMS_MODELO!$B$4) * (HIST_SCORE!$C:$C=A498), HIST_SCORE!$E:$E, "No encontrado")</f>
        <v>PLATINO</v>
      </c>
      <c r="X498" s="5" t="str">
        <f>_xlfn.LET(_xlpm.act,MATCH(V498,{"DIAMANTE";"PLATINO";"ORO";"PLATA";"BRONCE";"CERRADO"},0),_xlpm.ant,MATCH(W498,{"DIAMANTE";"PLATINO";"ORO";"PLATA";"BRONCE";"CERRADO"},0),IF(_xlpm.act&lt;_xlpm.ant,"Mejora ↑",IF(_xlpm.act&gt;_xlpm.ant,"Baja ↓","Estable →")))</f>
        <v>Estable →</v>
      </c>
      <c r="Y498" s="5">
        <f>IFERROR(U498-SUMIFS(HIST_SCORE!$D:$D,HIST_SCORE!$B:$B,PARAMS_MODELO!$B$4,HIST_SCORE!$C:$C,$A498),"")</f>
        <v>1.957469572853114</v>
      </c>
      <c r="Z498" s="5" t="str">
        <f t="shared" si="173"/>
        <v>→ Estable</v>
      </c>
      <c r="AA498" s="5">
        <f t="shared" si="174"/>
        <v>139</v>
      </c>
      <c r="AB498" s="5">
        <f>IFERROR(SUMIFS(HIST_SCORE!$F:$F,HIST_SCORE!$B:$B,PARAMS_MODELO!$B$4,HIST_SCORE!$C:$C,$A498),"")</f>
        <v>178</v>
      </c>
      <c r="AC498" s="5">
        <f t="shared" si="175"/>
        <v>39</v>
      </c>
      <c r="AD498" t="str">
        <f t="shared" si="177"/>
        <v/>
      </c>
      <c r="AE4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498="CERRADO",1,IF(V498="BRONCE",_xlpm.cPl,IF(V498="PLATA",_xlpm.cO,IF(V498="ORO",_xlpm.cP,IF(V498="PLATINO",_xlpm.cD,999))))))</f>
        <v>96.054919694466676</v>
      </c>
      <c r="AF4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498="CERRADO",0,IF(V498="BRONCE",1,IF(V498="PLATA",_xlpm.cPl,IF(V498="ORO",_xlpm.cO,IF(V498="PLATINO",_xlpm.cP,_xlpm.cD))))))</f>
        <v>86.439123873763251</v>
      </c>
      <c r="AG498">
        <f t="shared" si="178"/>
        <v>5.6645132787630814</v>
      </c>
      <c r="AH498" t="str">
        <f t="shared" si="179"/>
        <v>VENTAS</v>
      </c>
      <c r="AI498" t="str">
        <f t="shared" si="176"/>
        <v>🎯 Para subir de categoría, eje VENTAS / IMPACTO ABSOLUTO (H). Acción: metas semanales + activación comercial + seguimiento del asesor. ΔR aprox: 5,7</v>
      </c>
      <c r="AJ498" s="26">
        <f>_xlfn.LET(_xlpm.piso,AF498,_xlpm.corte,AE498,_xlpm.prog,IF(_xlpm.corte&lt;=_xlpm.piso,0,MAX(0,MIN(1,(U498-_xlpm.piso)/(_xlpm.corte-_xlpm.piso)))),_xlpm.orden,{"DIAMANTE";"PLATINO";"ORO";"PLATA";"BRONCE";"CERRADO"},_xlpm.act,IFERROR(MATCH(V498,_xlpm.orden,0),6),_xlpm.ant,IFERROR(MATCH(W498,_xlpm.orden,0),6),_xlpm.ajmov,IF(_xlpm.act&lt;_xlpm.ant,0.08,IF(_xlpm.act&gt;_xlpm.ant,-0.08,0)),_xlpm.ajcli,IF(T498&lt;0.95,-0.06,0),_xlpm.prob,MAX(0,MIN(1,_xlpm.prog+_xlpm.ajmov+_xlpm.ajcli)),IF(OR(V498="DIAMANTE",V498="CERRADO"),0,ROUND(_xlpm.prob,2)))</f>
        <v>0.35</v>
      </c>
      <c r="AK498" t="str">
        <f t="shared" si="180"/>
        <v>Faltan 5,7 puntos base para subir a la siguiente categoría</v>
      </c>
      <c r="AL498" t="str">
        <f t="shared" si="181"/>
        <v>Margen de seguridad: 3,4 puntos</v>
      </c>
      <c r="AM498">
        <f t="shared" si="182"/>
        <v>0.49</v>
      </c>
      <c r="AN498" t="str">
        <f t="shared" si="183"/>
        <v>PRIORIDAD MEDIA – seguimiento del asesor</v>
      </c>
      <c r="AO498">
        <f t="shared" si="184"/>
        <v>10.463855504162071</v>
      </c>
      <c r="AP498">
        <f t="shared" si="185"/>
        <v>0.21101561083578135</v>
      </c>
      <c r="AQ498">
        <f t="shared" si="186"/>
        <v>0</v>
      </c>
      <c r="AR498">
        <f t="shared" si="187"/>
        <v>9.3500000000000014</v>
      </c>
      <c r="AS498">
        <f t="shared" si="188"/>
        <v>0</v>
      </c>
      <c r="AT498" t="str">
        <f t="shared" si="189"/>
        <v>VENTAS</v>
      </c>
      <c r="AU498">
        <f t="shared" si="190"/>
        <v>10.463855504162071</v>
      </c>
      <c r="AV498" t="str">
        <f t="shared" si="191"/>
        <v>Mayor retorno probable: VENTAS (+10,5 puntos finales potenciales).</v>
      </c>
    </row>
    <row r="499" spans="1:48" x14ac:dyDescent="0.3">
      <c r="A499" s="5">
        <v>51056477</v>
      </c>
      <c r="B499" s="5" t="str">
        <f>IFERROR(VLOOKUP(A499,VENTAS!$A$2:$B$1194,2,0),"")</f>
        <v>BELUZZO</v>
      </c>
      <c r="C499" s="5">
        <f>IFERROR(INDEX(VENTAS!$C$2:$E$1194,MATCH(A499,VENTAS!$A$2:$A$1194,0),MATCH(PARAMS_MODELO!$B$2,{"Q1","Q2","Q3"},0)),0)</f>
        <v>52615652.579999998</v>
      </c>
      <c r="D499" s="5">
        <f>IFERROR(INDEX(VENTAS!$F$2:$H$1194,MATCH(A499,VENTAS!$A$2:$A$1194,0),MATCH(PARAMS_MODELO!$B$2,{"Q1","Q2","Q3"},0)),0)</f>
        <v>76731020</v>
      </c>
      <c r="E499" s="8">
        <f t="shared" si="168"/>
        <v>0.45833067229059932</v>
      </c>
      <c r="F499" s="12">
        <f>IF(E499&lt;=PARAMS_MODELO!$B$15,0,IF(E499&gt;=PARAMS_MODELO!$B$17,100,100*MIN(1,(E499-PARAMS_MODELO!$B$15)/(PARAMS_MODELO!$B$16-PARAMS_MODELO!$B$15))))*PARAMS_MODELO!$B$7</f>
        <v>35</v>
      </c>
      <c r="G499" s="5">
        <f t="shared" si="169"/>
        <v>24115367.420000002</v>
      </c>
      <c r="H499" s="5">
        <f>(PARAMS_MODELO!$B$20*(MAX(0,MIN(3,E499))/3)+PARAMS_MODELO!$B$21*(IFERROR(LN(1+MAX(0,G499))/LN(1+MAX(0,MAX($G$2:$G$1194))),0)))*100*PARAMS_MODELO!$B$8</f>
        <v>5.5888102198937455</v>
      </c>
      <c r="I499" s="8">
        <f>E499-PARAMS_MODELO!$B$5</f>
        <v>0.28076783691507279</v>
      </c>
      <c r="J499" s="5">
        <f>IF(I499&lt;=PARAMS_MODELO!$B$18,0,IF(I499&gt;=PARAMS_MODELO!$B$19,100,100*(I499-PARAMS_MODELO!$B$18)/(PARAMS_MODELO!$B$19-PARAMS_MODELO!$B$18)))*PARAMS_MODELO!$B$9</f>
        <v>15</v>
      </c>
      <c r="K499" s="5">
        <f>IFERROR(CHOOSE(MATCH(PARAMS_MODELO!$B$2,{"Q1","Q2","Q3"},0),LOTO!$D499,LOTO!$F499,LOTO!$H499),0)</f>
        <v>3805000</v>
      </c>
      <c r="L499" s="8">
        <f t="shared" si="170"/>
        <v>4.958881036639419E-2</v>
      </c>
      <c r="M499" s="5">
        <f>MIN(100,IF(PARAMS_MODELO!$B$23=0,0,100*L499/PARAMS_MODELO!$B$23))*PARAMS_MODELO!$B$10</f>
        <v>14.876643109918257</v>
      </c>
      <c r="N499" s="5">
        <f>IFERROR(VLOOKUP(A499,COMPLIANCE!$A$2:$F$1996,6,0),100)</f>
        <v>100</v>
      </c>
      <c r="O499" s="5">
        <f>N499*PARAMS_MODELO!$B$11</f>
        <v>10</v>
      </c>
      <c r="P499" s="5">
        <f>IFERROR(VLOOKUP(A499,DIGITAL!$A$2:$J$2000,7,0),100)</f>
        <v>83</v>
      </c>
      <c r="Q499" s="5">
        <f>IFERROR(P499,0)*PARAMS_MODELO!$B$12</f>
        <v>8.3000000000000007</v>
      </c>
      <c r="R499">
        <f t="shared" si="171"/>
        <v>88.765453329812004</v>
      </c>
      <c r="S499" s="5" t="str">
        <f>IFERROR(VLOOKUP(A499,CLIENTE!$A$2:$N$2000,13,0),1)</f>
        <v>Regular</v>
      </c>
      <c r="T499" s="5">
        <f>IFERROR(VLOOKUP(A499,CLIENTE!$A$2:$N$2000,14,0),1)</f>
        <v>1</v>
      </c>
      <c r="U499" s="5">
        <f t="shared" si="172"/>
        <v>88.765453329812004</v>
      </c>
      <c r="V499" s="5" t="str">
        <f>IF(U499&gt;=MAX(_xlfn.PERCENTILE.INC($U$2:$U$1194,PARAMS_MODELO!$B$50),PARAMS_MODELO!$B$45),"DIAMANTE",IF(U499&gt;=MAX(_xlfn.PERCENTILE.INC($U$2:$U$1194,PARAMS_MODELO!$B$51),PARAMS_MODELO!$B$46),"PLATINO",IF(U499&gt;=MAX(_xlfn.PERCENTILE.INC($U$2:$U$1194,PARAMS_MODELO!$B$52),PARAMS_MODELO!$B$47),"ORO",IF(U499&gt;=MAX(_xlfn.PERCENTILE.INC($U$2:$U$1194,PARAMS_MODELO!$B$53),PARAMS_MODELO!$B$48),"PLATA",IF(U499&gt;=1,"BRONCE","CERRADO")))))</f>
        <v>PLATINO</v>
      </c>
      <c r="W499" s="5" t="str" cm="1">
        <f t="array" ref="W499">_xlfn.XLOOKUP(1, (HIST_SCORE!$B:$B=PARAMS_MODELO!$B$4) * (HIST_SCORE!$C:$C=A499), HIST_SCORE!$E:$E, "No encontrado")</f>
        <v>PLATINO</v>
      </c>
      <c r="X499" s="5" t="str">
        <f>_xlfn.LET(_xlpm.act,MATCH(V499,{"DIAMANTE";"PLATINO";"ORO";"PLATA";"BRONCE";"CERRADO"},0),_xlpm.ant,MATCH(W499,{"DIAMANTE";"PLATINO";"ORO";"PLATA";"BRONCE";"CERRADO"},0),IF(_xlpm.act&lt;_xlpm.ant,"Mejora ↑",IF(_xlpm.act&gt;_xlpm.ant,"Baja ↓","Estable →")))</f>
        <v>Estable →</v>
      </c>
      <c r="Y499" s="5">
        <f>IFERROR(U499-SUMIFS(HIST_SCORE!$D:$D,HIST_SCORE!$B:$B,PARAMS_MODELO!$B$4,HIST_SCORE!$C:$C,$A499),"")</f>
        <v>0.57128782438167036</v>
      </c>
      <c r="Z499" s="5" t="str">
        <f t="shared" si="173"/>
        <v>→ Estable</v>
      </c>
      <c r="AA499" s="5">
        <f t="shared" si="174"/>
        <v>173</v>
      </c>
      <c r="AB499" s="5">
        <f>IFERROR(SUMIFS(HIST_SCORE!$F:$F,HIST_SCORE!$B:$B,PARAMS_MODELO!$B$4,HIST_SCORE!$C:$C,$A499),"")</f>
        <v>174</v>
      </c>
      <c r="AC499" s="5">
        <f t="shared" si="175"/>
        <v>1</v>
      </c>
      <c r="AD499" t="str">
        <f t="shared" si="177"/>
        <v/>
      </c>
      <c r="AE4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499="CERRADO",1,IF(V499="BRONCE",_xlpm.cPl,IF(V499="PLATA",_xlpm.cO,IF(V499="ORO",_xlpm.cP,IF(V499="PLATINO",_xlpm.cD,999))))))</f>
        <v>96.054919694466676</v>
      </c>
      <c r="AF4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499="CERRADO",0,IF(V499="BRONCE",1,IF(V499="PLATA",_xlpm.cPl,IF(V499="ORO",_xlpm.cO,IF(V499="PLATINO",_xlpm.cP,_xlpm.cD))))))</f>
        <v>86.439123873763251</v>
      </c>
      <c r="AG499">
        <f t="shared" si="178"/>
        <v>7.2894663646546718</v>
      </c>
      <c r="AH499" t="str">
        <f t="shared" si="179"/>
        <v>VENTAS</v>
      </c>
      <c r="AI499" t="str">
        <f t="shared" si="176"/>
        <v>🎯 Para subir de categoría, eje VENTAS / IMPACTO ABSOLUTO (H). Acción: metas semanales + activación comercial + seguimiento del asesor. ΔR aprox: 7,3</v>
      </c>
      <c r="AJ499" s="26">
        <f>_xlfn.LET(_xlpm.piso,AF499,_xlpm.corte,AE499,_xlpm.prog,IF(_xlpm.corte&lt;=_xlpm.piso,0,MAX(0,MIN(1,(U499-_xlpm.piso)/(_xlpm.corte-_xlpm.piso)))),_xlpm.orden,{"DIAMANTE";"PLATINO";"ORO";"PLATA";"BRONCE";"CERRADO"},_xlpm.act,IFERROR(MATCH(V499,_xlpm.orden,0),6),_xlpm.ant,IFERROR(MATCH(W499,_xlpm.orden,0),6),_xlpm.ajmov,IF(_xlpm.act&lt;_xlpm.ant,0.08,IF(_xlpm.act&gt;_xlpm.ant,-0.08,0)),_xlpm.ajcli,IF(T499&lt;0.95,-0.06,0),_xlpm.prob,MAX(0,MIN(1,_xlpm.prog+_xlpm.ajmov+_xlpm.ajcli)),IF(OR(V499="DIAMANTE",V499="CERRADO"),0,ROUND(_xlpm.prob,2)))</f>
        <v>0.24</v>
      </c>
      <c r="AK499" t="str">
        <f t="shared" si="180"/>
        <v>Faltan 7,3 puntos base para subir a la siguiente categoría</v>
      </c>
      <c r="AL499" t="str">
        <f t="shared" si="181"/>
        <v>Margen de seguridad: 2,3 puntos</v>
      </c>
      <c r="AM499">
        <f t="shared" si="182"/>
        <v>0.6</v>
      </c>
      <c r="AN499" t="str">
        <f t="shared" si="183"/>
        <v>PRIORIDAD MEDIA – seguimiento del asesor</v>
      </c>
      <c r="AO499">
        <f t="shared" si="184"/>
        <v>9.2737590554018396</v>
      </c>
      <c r="AP499">
        <f t="shared" si="185"/>
        <v>0.12335689008174278</v>
      </c>
      <c r="AQ499">
        <f t="shared" si="186"/>
        <v>0</v>
      </c>
      <c r="AR499">
        <f t="shared" si="187"/>
        <v>1.6999999999999993</v>
      </c>
      <c r="AS499">
        <f t="shared" si="188"/>
        <v>0</v>
      </c>
      <c r="AT499" t="str">
        <f t="shared" si="189"/>
        <v>VENTAS</v>
      </c>
      <c r="AU499">
        <f t="shared" si="190"/>
        <v>9.2737590554018396</v>
      </c>
      <c r="AV499" t="str">
        <f t="shared" si="191"/>
        <v>Mayor retorno probable: VENTAS (+9,3 puntos finales potenciales).</v>
      </c>
    </row>
    <row r="500" spans="1:48" x14ac:dyDescent="0.3">
      <c r="A500" s="5">
        <v>51026527</v>
      </c>
      <c r="B500" s="5" t="str">
        <f>IFERROR(VLOOKUP(A500,VENTAS!$A$2:$B$1194,2,0),"")</f>
        <v>AYALA</v>
      </c>
      <c r="C500" s="5">
        <f>IFERROR(INDEX(VENTAS!$C$2:$E$1194,MATCH(A500,VENTAS!$A$2:$A$1194,0),MATCH(PARAMS_MODELO!$B$2,{"Q1","Q2","Q3"},0)),0)</f>
        <v>75343432.099999994</v>
      </c>
      <c r="D500" s="5">
        <f>IFERROR(INDEX(VENTAS!$F$2:$H$1194,MATCH(A500,VENTAS!$A$2:$A$1194,0),MATCH(PARAMS_MODELO!$B$2,{"Q1","Q2","Q3"},0)),0)</f>
        <v>76684027</v>
      </c>
      <c r="E500" s="8">
        <f t="shared" si="168"/>
        <v>1.7793122275352236E-2</v>
      </c>
      <c r="F500" s="12">
        <f>IF(E500&lt;=PARAMS_MODELO!$B$15,0,IF(E500&gt;=PARAMS_MODELO!$B$17,100,100*MIN(1,(E500-PARAMS_MODELO!$B$15)/(PARAMS_MODELO!$B$16-PARAMS_MODELO!$B$15))))*PARAMS_MODELO!$B$7</f>
        <v>6.2275927963732824</v>
      </c>
      <c r="G500" s="5">
        <f t="shared" si="169"/>
        <v>1340594.900000006</v>
      </c>
      <c r="H500" s="5">
        <f>(PARAMS_MODELO!$B$20*(MAX(0,MIN(3,E500))/3)+PARAMS_MODELO!$B$21*(IFERROR(LN(1+MAX(0,G500))/LN(1+MAX(0,MAX($G$2:$G$1194))),0)))*100*PARAMS_MODELO!$B$8</f>
        <v>3.3695345413118063</v>
      </c>
      <c r="I500" s="8">
        <f>E500-PARAMS_MODELO!$B$5</f>
        <v>-0.15976971310017429</v>
      </c>
      <c r="J500" s="5">
        <f>IF(I500&lt;=PARAMS_MODELO!$B$18,0,IF(I500&gt;=PARAMS_MODELO!$B$19,100,100*(I500-PARAMS_MODELO!$B$18)/(PARAMS_MODELO!$B$19-PARAMS_MODELO!$B$18)))*PARAMS_MODELO!$B$9</f>
        <v>0</v>
      </c>
      <c r="K500" s="5">
        <f>IFERROR(CHOOSE(MATCH(PARAMS_MODELO!$B$2,{"Q1","Q2","Q3"},0),LOTO!$D500,LOTO!$F500,LOTO!$H500),0)</f>
        <v>3802500</v>
      </c>
      <c r="L500" s="8">
        <f t="shared" si="170"/>
        <v>4.9586597740882858E-2</v>
      </c>
      <c r="M500" s="5">
        <f>MIN(100,IF(PARAMS_MODELO!$B$23=0,0,100*L500/PARAMS_MODELO!$B$23))*PARAMS_MODELO!$B$10</f>
        <v>14.875979322264858</v>
      </c>
      <c r="N500" s="5">
        <f>IFERROR(VLOOKUP(A500,COMPLIANCE!$A$2:$F$1996,6,0),100)</f>
        <v>100</v>
      </c>
      <c r="O500" s="5">
        <f>N500*PARAMS_MODELO!$B$11</f>
        <v>10</v>
      </c>
      <c r="P500" s="5">
        <f>IFERROR(VLOOKUP(A500,DIGITAL!$A$2:$J$2000,7,0),100)</f>
        <v>100</v>
      </c>
      <c r="Q500" s="5">
        <f>IFERROR(P500,0)*PARAMS_MODELO!$B$12</f>
        <v>10</v>
      </c>
      <c r="R500">
        <f t="shared" si="171"/>
        <v>44.473106659949948</v>
      </c>
      <c r="S500" s="5" t="str">
        <f>IFERROR(VLOOKUP(A500,CLIENTE!$A$2:$N$2000,13,0),1)</f>
        <v>Regular</v>
      </c>
      <c r="T500" s="5">
        <f>IFERROR(VLOOKUP(A500,CLIENTE!$A$2:$N$2000,14,0),1)</f>
        <v>1</v>
      </c>
      <c r="U500" s="5">
        <f t="shared" si="172"/>
        <v>44.473106659949948</v>
      </c>
      <c r="V500" s="5" t="str">
        <f>IF(U500&gt;=MAX(_xlfn.PERCENTILE.INC($U$2:$U$1194,PARAMS_MODELO!$B$50),PARAMS_MODELO!$B$45),"DIAMANTE",IF(U500&gt;=MAX(_xlfn.PERCENTILE.INC($U$2:$U$1194,PARAMS_MODELO!$B$51),PARAMS_MODELO!$B$46),"PLATINO",IF(U500&gt;=MAX(_xlfn.PERCENTILE.INC($U$2:$U$1194,PARAMS_MODELO!$B$52),PARAMS_MODELO!$B$47),"ORO",IF(U500&gt;=MAX(_xlfn.PERCENTILE.INC($U$2:$U$1194,PARAMS_MODELO!$B$53),PARAMS_MODELO!$B$48),"PLATA",IF(U500&gt;=1,"BRONCE","CERRADO")))))</f>
        <v>PLATA</v>
      </c>
      <c r="W500" s="5" t="str" cm="1">
        <f t="array" ref="W500">_xlfn.XLOOKUP(1, (HIST_SCORE!$B:$B=PARAMS_MODELO!$B$4) * (HIST_SCORE!$C:$C=A500), HIST_SCORE!$E:$E, "No encontrado")</f>
        <v>PLATINO</v>
      </c>
      <c r="X500" s="5" t="str">
        <f>_xlfn.LET(_xlpm.act,MATCH(V500,{"DIAMANTE";"PLATINO";"ORO";"PLATA";"BRONCE";"CERRADO"},0),_xlpm.ant,MATCH(W500,{"DIAMANTE";"PLATINO";"ORO";"PLATA";"BRONCE";"CERRADO"},0),IF(_xlpm.act&lt;_xlpm.ant,"Mejora ↑",IF(_xlpm.act&gt;_xlpm.ant,"Baja ↓","Estable →")))</f>
        <v>Baja ↓</v>
      </c>
      <c r="Y500" s="5">
        <f>IFERROR(U500-SUMIFS(HIST_SCORE!$D:$D,HIST_SCORE!$B:$B,PARAMS_MODELO!$B$4,HIST_SCORE!$C:$C,$A500),"")</f>
        <v>-43.562379311194732</v>
      </c>
      <c r="Z500" s="5" t="str">
        <f t="shared" si="173"/>
        <v>↓ Baja</v>
      </c>
      <c r="AA500" s="5">
        <f t="shared" si="174"/>
        <v>774</v>
      </c>
      <c r="AB500" s="5">
        <f>IFERROR(SUMIFS(HIST_SCORE!$F:$F,HIST_SCORE!$B:$B,PARAMS_MODELO!$B$4,HIST_SCORE!$C:$C,$A500),"")</f>
        <v>175</v>
      </c>
      <c r="AC500" s="5">
        <f t="shared" si="175"/>
        <v>-599</v>
      </c>
      <c r="AD500" t="str">
        <f t="shared" si="177"/>
        <v/>
      </c>
      <c r="AE5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500="CERRADO",1,IF(V500="BRONCE",_xlpm.cPl,IF(V500="PLATA",_xlpm.cO,IF(V500="ORO",_xlpm.cP,IF(V500="PLATINO",_xlpm.cD,999))))))</f>
        <v>63.199193273331495</v>
      </c>
      <c r="AF5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500="CERRADO",0,IF(V500="BRONCE",1,IF(V500="PLATA",_xlpm.cPl,IF(V500="ORO",_xlpm.cO,IF(V500="PLATINO",_xlpm.cP,_xlpm.cD))))))</f>
        <v>24.506573482968111</v>
      </c>
      <c r="AG500">
        <f t="shared" si="178"/>
        <v>18.726086613381547</v>
      </c>
      <c r="AH500" t="str">
        <f t="shared" si="179"/>
        <v>VENTAS</v>
      </c>
      <c r="AI500" t="str">
        <f t="shared" si="176"/>
        <v>🎯 Para subir de categoría, eje VENTAS / DIFERENCIAL vs LOTBA (J). Acción: metas semanales + activación comercial + seguimiento del asesor. ΔR aprox: 18,7</v>
      </c>
      <c r="AJ500" s="26">
        <f>_xlfn.LET(_xlpm.piso,AF500,_xlpm.corte,AE500,_xlpm.prog,IF(_xlpm.corte&lt;=_xlpm.piso,0,MAX(0,MIN(1,(U500-_xlpm.piso)/(_xlpm.corte-_xlpm.piso)))),_xlpm.orden,{"DIAMANTE";"PLATINO";"ORO";"PLATA";"BRONCE";"CERRADO"},_xlpm.act,IFERROR(MATCH(V500,_xlpm.orden,0),6),_xlpm.ant,IFERROR(MATCH(W500,_xlpm.orden,0),6),_xlpm.ajmov,IF(_xlpm.act&lt;_xlpm.ant,0.08,IF(_xlpm.act&gt;_xlpm.ant,-0.08,0)),_xlpm.ajcli,IF(T500&lt;0.95,-0.06,0),_xlpm.prob,MAX(0,MIN(1,_xlpm.prog+_xlpm.ajmov+_xlpm.ajcli)),IF(OR(V500="DIAMANTE",V500="CERRADO"),0,ROUND(_xlpm.prob,2)))</f>
        <v>0.44</v>
      </c>
      <c r="AK500" t="str">
        <f t="shared" si="180"/>
        <v>Faltan 18,7 puntos base para subir a la siguiente categoría</v>
      </c>
      <c r="AL500" t="str">
        <f t="shared" si="181"/>
        <v>Margen de seguridad: 20,0 puntos</v>
      </c>
      <c r="AM500">
        <f t="shared" si="182"/>
        <v>0.62</v>
      </c>
      <c r="AN500" t="str">
        <f t="shared" si="183"/>
        <v>PRIORIDAD MEDIA – seguimiento del asesor</v>
      </c>
      <c r="AO500">
        <f t="shared" si="184"/>
        <v>55.265441937610497</v>
      </c>
      <c r="AP500">
        <f t="shared" si="185"/>
        <v>0.12402067773514247</v>
      </c>
      <c r="AQ500">
        <f t="shared" si="186"/>
        <v>0</v>
      </c>
      <c r="AR500">
        <f t="shared" si="187"/>
        <v>0</v>
      </c>
      <c r="AS500">
        <f t="shared" si="188"/>
        <v>0</v>
      </c>
      <c r="AT500" t="str">
        <f t="shared" si="189"/>
        <v>VENTAS</v>
      </c>
      <c r="AU500">
        <f t="shared" si="190"/>
        <v>55.265441937610497</v>
      </c>
      <c r="AV500" t="str">
        <f t="shared" si="191"/>
        <v>Mayor retorno probable: VENTAS (+55,3 puntos finales potenciales).</v>
      </c>
    </row>
    <row r="501" spans="1:48" x14ac:dyDescent="0.3">
      <c r="A501" s="5">
        <v>51030982</v>
      </c>
      <c r="B501" s="5" t="str">
        <f>IFERROR(VLOOKUP(A501,VENTAS!$A$2:$B$1194,2,0),"")</f>
        <v>ROBERTS</v>
      </c>
      <c r="C501" s="5">
        <f>IFERROR(INDEX(VENTAS!$C$2:$E$1194,MATCH(A501,VENTAS!$A$2:$A$1194,0),MATCH(PARAMS_MODELO!$B$2,{"Q1","Q2","Q3"},0)),0)</f>
        <v>47501434.369999997</v>
      </c>
      <c r="D501" s="5">
        <f>IFERROR(INDEX(VENTAS!$F$2:$H$1194,MATCH(A501,VENTAS!$A$2:$A$1194,0),MATCH(PARAMS_MODELO!$B$2,{"Q1","Q2","Q3"},0)),0)</f>
        <v>76589364</v>
      </c>
      <c r="E501" s="8">
        <f t="shared" si="168"/>
        <v>0.61235897432964204</v>
      </c>
      <c r="F501" s="12">
        <f>IF(E501&lt;=PARAMS_MODELO!$B$15,0,IF(E501&gt;=PARAMS_MODELO!$B$17,100,100*MIN(1,(E501-PARAMS_MODELO!$B$15)/(PARAMS_MODELO!$B$16-PARAMS_MODELO!$B$15))))*PARAMS_MODELO!$B$7</f>
        <v>35</v>
      </c>
      <c r="G501" s="5">
        <f t="shared" si="169"/>
        <v>29087929.630000003</v>
      </c>
      <c r="H501" s="5">
        <f>(PARAMS_MODELO!$B$20*(MAX(0,MIN(3,E501))/3)+PARAMS_MODELO!$B$21*(IFERROR(LN(1+MAX(0,G501))/LN(1+MAX(0,MAX($G$2:$G$1194))),0)))*100*PARAMS_MODELO!$B$8</f>
        <v>6.1718558003962558</v>
      </c>
      <c r="I501" s="8">
        <f>E501-PARAMS_MODELO!$B$5</f>
        <v>0.43479613895411551</v>
      </c>
      <c r="J501" s="5">
        <f>IF(I501&lt;=PARAMS_MODELO!$B$18,0,IF(I501&gt;=PARAMS_MODELO!$B$19,100,100*(I501-PARAMS_MODELO!$B$18)/(PARAMS_MODELO!$B$19-PARAMS_MODELO!$B$18)))*PARAMS_MODELO!$B$9</f>
        <v>15</v>
      </c>
      <c r="K501" s="5">
        <f>IFERROR(CHOOSE(MATCH(PARAMS_MODELO!$B$2,{"Q1","Q2","Q3"},0),LOTO!$D501,LOTO!$F501,LOTO!$H501),0)</f>
        <v>3800000</v>
      </c>
      <c r="L501" s="8">
        <f t="shared" si="170"/>
        <v>4.9615244226339311E-2</v>
      </c>
      <c r="M501" s="5">
        <f>MIN(100,IF(PARAMS_MODELO!$B$23=0,0,100*L501/PARAMS_MODELO!$B$23))*PARAMS_MODELO!$B$10</f>
        <v>14.884573267901791</v>
      </c>
      <c r="N501" s="5">
        <f>IFERROR(VLOOKUP(A501,COMPLIANCE!$A$2:$F$1996,6,0),100)</f>
        <v>99.98</v>
      </c>
      <c r="O501" s="5">
        <f>N501*PARAMS_MODELO!$B$11</f>
        <v>9.9980000000000011</v>
      </c>
      <c r="P501" s="5">
        <f>IFERROR(VLOOKUP(A501,DIGITAL!$A$2:$J$2000,7,0),100)</f>
        <v>80</v>
      </c>
      <c r="Q501" s="5">
        <f>IFERROR(P501,0)*PARAMS_MODELO!$B$12</f>
        <v>8</v>
      </c>
      <c r="R501">
        <f t="shared" si="171"/>
        <v>89.054429068298049</v>
      </c>
      <c r="S501" s="5" t="str">
        <f>IFERROR(VLOOKUP(A501,CLIENTE!$A$2:$N$2000,13,0),1)</f>
        <v>Regular</v>
      </c>
      <c r="T501" s="5">
        <f>IFERROR(VLOOKUP(A501,CLIENTE!$A$2:$N$2000,14,0),1)</f>
        <v>1</v>
      </c>
      <c r="U501" s="5">
        <f t="shared" si="172"/>
        <v>89.054429068298049</v>
      </c>
      <c r="V501" s="5" t="str">
        <f>IF(U501&gt;=MAX(_xlfn.PERCENTILE.INC($U$2:$U$1194,PARAMS_MODELO!$B$50),PARAMS_MODELO!$B$45),"DIAMANTE",IF(U501&gt;=MAX(_xlfn.PERCENTILE.INC($U$2:$U$1194,PARAMS_MODELO!$B$51),PARAMS_MODELO!$B$46),"PLATINO",IF(U501&gt;=MAX(_xlfn.PERCENTILE.INC($U$2:$U$1194,PARAMS_MODELO!$B$52),PARAMS_MODELO!$B$47),"ORO",IF(U501&gt;=MAX(_xlfn.PERCENTILE.INC($U$2:$U$1194,PARAMS_MODELO!$B$53),PARAMS_MODELO!$B$48),"PLATA",IF(U501&gt;=1,"BRONCE","CERRADO")))))</f>
        <v>PLATINO</v>
      </c>
      <c r="W501" s="5" t="str" cm="1">
        <f t="array" ref="W501">_xlfn.XLOOKUP(1, (HIST_SCORE!$B:$B=PARAMS_MODELO!$B$4) * (HIST_SCORE!$C:$C=A501), HIST_SCORE!$E:$E, "No encontrado")</f>
        <v>PLATINO</v>
      </c>
      <c r="X501" s="5" t="str">
        <f>_xlfn.LET(_xlpm.act,MATCH(V501,{"DIAMANTE";"PLATINO";"ORO";"PLATA";"BRONCE";"CERRADO"},0),_xlpm.ant,MATCH(W501,{"DIAMANTE";"PLATINO";"ORO";"PLATA";"BRONCE";"CERRADO"},0),IF(_xlpm.act&lt;_xlpm.ant,"Mejora ↑",IF(_xlpm.act&gt;_xlpm.ant,"Baja ↓","Estable →")))</f>
        <v>Estable →</v>
      </c>
      <c r="Y501" s="5">
        <f>IFERROR(U501-SUMIFS(HIST_SCORE!$D:$D,HIST_SCORE!$B:$B,PARAMS_MODELO!$B$4,HIST_SCORE!$C:$C,$A501),"")</f>
        <v>8.739381103454491E-2</v>
      </c>
      <c r="Z501" s="5" t="str">
        <f t="shared" si="173"/>
        <v>→ Estable</v>
      </c>
      <c r="AA501" s="5">
        <f t="shared" si="174"/>
        <v>165</v>
      </c>
      <c r="AB501" s="5">
        <f>IFERROR(SUMIFS(HIST_SCORE!$F:$F,HIST_SCORE!$B:$B,PARAMS_MODELO!$B$4,HIST_SCORE!$C:$C,$A501),"")</f>
        <v>155</v>
      </c>
      <c r="AC501" s="5">
        <f t="shared" si="175"/>
        <v>-10</v>
      </c>
      <c r="AD501" t="str">
        <f t="shared" si="177"/>
        <v/>
      </c>
      <c r="AE5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501="CERRADO",1,IF(V501="BRONCE",_xlpm.cPl,IF(V501="PLATA",_xlpm.cO,IF(V501="ORO",_xlpm.cP,IF(V501="PLATINO",_xlpm.cD,999))))))</f>
        <v>96.054919694466676</v>
      </c>
      <c r="AF5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501="CERRADO",0,IF(V501="BRONCE",1,IF(V501="PLATA",_xlpm.cPl,IF(V501="ORO",_xlpm.cO,IF(V501="PLATINO",_xlpm.cP,_xlpm.cD))))))</f>
        <v>86.439123873763251</v>
      </c>
      <c r="AG501">
        <f t="shared" si="178"/>
        <v>7.0004906261686273</v>
      </c>
      <c r="AH501" t="str">
        <f t="shared" si="179"/>
        <v>VENTAS</v>
      </c>
      <c r="AI501" t="str">
        <f t="shared" si="176"/>
        <v>🎯 Para subir de categoría, eje VENTAS / IMPACTO ABSOLUTO (H). Acción: metas semanales + activación comercial + seguimiento del asesor. ΔR aprox: 7,0</v>
      </c>
      <c r="AJ501" s="26">
        <f>_xlfn.LET(_xlpm.piso,AF501,_xlpm.corte,AE501,_xlpm.prog,IF(_xlpm.corte&lt;=_xlpm.piso,0,MAX(0,MIN(1,(U501-_xlpm.piso)/(_xlpm.corte-_xlpm.piso)))),_xlpm.orden,{"DIAMANTE";"PLATINO";"ORO";"PLATA";"BRONCE";"CERRADO"},_xlpm.act,IFERROR(MATCH(V501,_xlpm.orden,0),6),_xlpm.ant,IFERROR(MATCH(W501,_xlpm.orden,0),6),_xlpm.ajmov,IF(_xlpm.act&lt;_xlpm.ant,0.08,IF(_xlpm.act&gt;_xlpm.ant,-0.08,0)),_xlpm.ajcli,IF(T501&lt;0.95,-0.06,0),_xlpm.prob,MAX(0,MIN(1,_xlpm.prog+_xlpm.ajmov+_xlpm.ajcli)),IF(OR(V501="DIAMANTE",V501="CERRADO"),0,ROUND(_xlpm.prob,2)))</f>
        <v>0.27</v>
      </c>
      <c r="AK501" t="str">
        <f t="shared" si="180"/>
        <v>Faltan 7,0 puntos base para subir a la siguiente categoría</v>
      </c>
      <c r="AL501" t="str">
        <f t="shared" si="181"/>
        <v>Margen de seguridad: 2,6 puntos</v>
      </c>
      <c r="AM501">
        <f t="shared" si="182"/>
        <v>0.56999999999999995</v>
      </c>
      <c r="AN501" t="str">
        <f t="shared" si="183"/>
        <v>PRIORIDAD MEDIA – seguimiento del asesor</v>
      </c>
      <c r="AO501">
        <f t="shared" si="184"/>
        <v>8.6907134748993258</v>
      </c>
      <c r="AP501">
        <f t="shared" si="185"/>
        <v>0.11542673209820897</v>
      </c>
      <c r="AQ501">
        <f t="shared" si="186"/>
        <v>1.9999999999988916E-3</v>
      </c>
      <c r="AR501">
        <f t="shared" si="187"/>
        <v>2</v>
      </c>
      <c r="AS501">
        <f t="shared" si="188"/>
        <v>0</v>
      </c>
      <c r="AT501" t="str">
        <f t="shared" si="189"/>
        <v>VENTAS</v>
      </c>
      <c r="AU501">
        <f t="shared" si="190"/>
        <v>8.6907134748993258</v>
      </c>
      <c r="AV501" t="str">
        <f t="shared" si="191"/>
        <v>Mayor retorno probable: VENTAS (+8,7 puntos finales potenciales).</v>
      </c>
    </row>
    <row r="502" spans="1:48" x14ac:dyDescent="0.3">
      <c r="A502" s="5">
        <v>51023196</v>
      </c>
      <c r="B502" s="5" t="str">
        <f>IFERROR(VLOOKUP(A502,VENTAS!$A$2:$B$1194,2,0),"")</f>
        <v>BELUZZO</v>
      </c>
      <c r="C502" s="5">
        <f>IFERROR(INDEX(VENTAS!$C$2:$E$1194,MATCH(A502,VENTAS!$A$2:$A$1194,0),MATCH(PARAMS_MODELO!$B$2,{"Q1","Q2","Q3"},0)),0)</f>
        <v>39036970.850000001</v>
      </c>
      <c r="D502" s="5">
        <f>IFERROR(INDEX(VENTAS!$F$2:$H$1194,MATCH(A502,VENTAS!$A$2:$A$1194,0),MATCH(PARAMS_MODELO!$B$2,{"Q1","Q2","Q3"},0)),0)</f>
        <v>76555622</v>
      </c>
      <c r="E502" s="8">
        <f t="shared" si="168"/>
        <v>0.9611055963887627</v>
      </c>
      <c r="F502" s="12">
        <f>IF(E502&lt;=PARAMS_MODELO!$B$15,0,IF(E502&gt;=PARAMS_MODELO!$B$17,100,100*MIN(1,(E502-PARAMS_MODELO!$B$15)/(PARAMS_MODELO!$B$16-PARAMS_MODELO!$B$15))))*PARAMS_MODELO!$B$7</f>
        <v>35</v>
      </c>
      <c r="G502" s="5">
        <f t="shared" si="169"/>
        <v>37518651.149999999</v>
      </c>
      <c r="H502" s="5">
        <f>(PARAMS_MODELO!$B$20*(MAX(0,MIN(3,E502))/3)+PARAMS_MODELO!$B$21*(IFERROR(LN(1+MAX(0,G502))/LN(1+MAX(0,MAX($G$2:$G$1194))),0)))*100*PARAMS_MODELO!$B$8</f>
        <v>7.4521308155911274</v>
      </c>
      <c r="I502" s="8">
        <f>E502-PARAMS_MODELO!$B$5</f>
        <v>0.78354276101323617</v>
      </c>
      <c r="J502" s="5">
        <f>IF(I502&lt;=PARAMS_MODELO!$B$18,0,IF(I502&gt;=PARAMS_MODELO!$B$19,100,100*(I502-PARAMS_MODELO!$B$18)/(PARAMS_MODELO!$B$19-PARAMS_MODELO!$B$18)))*PARAMS_MODELO!$B$9</f>
        <v>15</v>
      </c>
      <c r="K502" s="5">
        <f>IFERROR(CHOOSE(MATCH(PARAMS_MODELO!$B$2,{"Q1","Q2","Q3"},0),LOTO!$D502,LOTO!$F502,LOTO!$H502),0)</f>
        <v>3797500</v>
      </c>
      <c r="L502" s="8">
        <f t="shared" si="170"/>
        <v>4.9604456221386324E-2</v>
      </c>
      <c r="M502" s="5">
        <f>MIN(100,IF(PARAMS_MODELO!$B$23=0,0,100*L502/PARAMS_MODELO!$B$23))*PARAMS_MODELO!$B$10</f>
        <v>14.881336866415896</v>
      </c>
      <c r="N502" s="5">
        <f>IFERROR(VLOOKUP(A502,COMPLIANCE!$A$2:$F$1996,6,0),100)</f>
        <v>100</v>
      </c>
      <c r="O502" s="5">
        <f>N502*PARAMS_MODELO!$B$11</f>
        <v>10</v>
      </c>
      <c r="P502" s="5">
        <f>IFERROR(VLOOKUP(A502,DIGITAL!$A$2:$J$2000,7,0),100)</f>
        <v>98</v>
      </c>
      <c r="Q502" s="5">
        <f>IFERROR(P502,0)*PARAMS_MODELO!$B$12</f>
        <v>9.8000000000000007</v>
      </c>
      <c r="R502">
        <f t="shared" si="171"/>
        <v>92.133467682007023</v>
      </c>
      <c r="S502" s="5" t="str">
        <f>IFERROR(VLOOKUP(A502,CLIENTE!$A$2:$N$2000,13,0),1)</f>
        <v>Malo</v>
      </c>
      <c r="T502" s="5">
        <f>IFERROR(VLOOKUP(A502,CLIENTE!$A$2:$N$2000,14,0),1)</f>
        <v>0.7</v>
      </c>
      <c r="U502" s="5">
        <f t="shared" si="172"/>
        <v>64.493427377404913</v>
      </c>
      <c r="V502" s="5" t="str">
        <f>IF(U502&gt;=MAX(_xlfn.PERCENTILE.INC($U$2:$U$1194,PARAMS_MODELO!$B$50),PARAMS_MODELO!$B$45),"DIAMANTE",IF(U502&gt;=MAX(_xlfn.PERCENTILE.INC($U$2:$U$1194,PARAMS_MODELO!$B$51),PARAMS_MODELO!$B$46),"PLATINO",IF(U502&gt;=MAX(_xlfn.PERCENTILE.INC($U$2:$U$1194,PARAMS_MODELO!$B$52),PARAMS_MODELO!$B$47),"ORO",IF(U502&gt;=MAX(_xlfn.PERCENTILE.INC($U$2:$U$1194,PARAMS_MODELO!$B$53),PARAMS_MODELO!$B$48),"PLATA",IF(U502&gt;=1,"BRONCE","CERRADO")))))</f>
        <v>ORO</v>
      </c>
      <c r="W502" s="5" t="str" cm="1">
        <f t="array" ref="W502">_xlfn.XLOOKUP(1, (HIST_SCORE!$B:$B=PARAMS_MODELO!$B$4) * (HIST_SCORE!$C:$C=A502), HIST_SCORE!$E:$E, "No encontrado")</f>
        <v>ORO</v>
      </c>
      <c r="X502" s="5" t="str">
        <f>_xlfn.LET(_xlpm.act,MATCH(V502,{"DIAMANTE";"PLATINO";"ORO";"PLATA";"BRONCE";"CERRADO"},0),_xlpm.ant,MATCH(W502,{"DIAMANTE";"PLATINO";"ORO";"PLATA";"BRONCE";"CERRADO"},0),IF(_xlpm.act&lt;_xlpm.ant,"Mejora ↑",IF(_xlpm.act&gt;_xlpm.ant,"Baja ↓","Estable →")))</f>
        <v>Estable →</v>
      </c>
      <c r="Y502" s="5">
        <f>IFERROR(U502-SUMIFS(HIST_SCORE!$D:$D,HIST_SCORE!$B:$B,PARAMS_MODELO!$B$4,HIST_SCORE!$C:$C,$A502),"")</f>
        <v>1.6147184057777011</v>
      </c>
      <c r="Z502" s="5" t="str">
        <f t="shared" si="173"/>
        <v>→ Estable</v>
      </c>
      <c r="AA502" s="5">
        <f t="shared" si="174"/>
        <v>544</v>
      </c>
      <c r="AB502" s="5">
        <f>IFERROR(SUMIFS(HIST_SCORE!$F:$F,HIST_SCORE!$B:$B,PARAMS_MODELO!$B$4,HIST_SCORE!$C:$C,$A502),"")</f>
        <v>591</v>
      </c>
      <c r="AC502" s="5">
        <f t="shared" si="175"/>
        <v>47</v>
      </c>
      <c r="AD502" t="str">
        <f t="shared" si="177"/>
        <v/>
      </c>
      <c r="AE5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502="CERRADO",1,IF(V502="BRONCE",_xlpm.cPl,IF(V502="PLATA",_xlpm.cO,IF(V502="ORO",_xlpm.cP,IF(V502="PLATINO",_xlpm.cD,999))))))</f>
        <v>86.439123873763251</v>
      </c>
      <c r="AF5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502="CERRADO",0,IF(V502="BRONCE",1,IF(V502="PLATA",_xlpm.cPl,IF(V502="ORO",_xlpm.cO,IF(V502="PLATINO",_xlpm.cP,_xlpm.cD))))))</f>
        <v>63.199193273331495</v>
      </c>
      <c r="AG502">
        <f t="shared" si="178"/>
        <v>31.350994994797631</v>
      </c>
      <c r="AH502" t="str">
        <f t="shared" si="179"/>
        <v>CLIENTE</v>
      </c>
      <c r="AI502" t="str">
        <f t="shared" si="176"/>
        <v>🎯 Para subir de categoría, la eje con mayor impacto probable es CLIENTE (coef T). Acción: reducir quejas, mejorar incógnito y empujar reseñas. ΔR aprox: 31,4</v>
      </c>
      <c r="AJ502" s="26">
        <f>_xlfn.LET(_xlpm.piso,AF502,_xlpm.corte,AE502,_xlpm.prog,IF(_xlpm.corte&lt;=_xlpm.piso,0,MAX(0,MIN(1,(U502-_xlpm.piso)/(_xlpm.corte-_xlpm.piso)))),_xlpm.orden,{"DIAMANTE";"PLATINO";"ORO";"PLATA";"BRONCE";"CERRADO"},_xlpm.act,IFERROR(MATCH(V502,_xlpm.orden,0),6),_xlpm.ant,IFERROR(MATCH(W502,_xlpm.orden,0),6),_xlpm.ajmov,IF(_xlpm.act&lt;_xlpm.ant,0.08,IF(_xlpm.act&gt;_xlpm.ant,-0.08,0)),_xlpm.ajcli,IF(T502&lt;0.95,-0.06,0),_xlpm.prob,MAX(0,MIN(1,_xlpm.prog+_xlpm.ajmov+_xlpm.ajcli)),IF(OR(V502="DIAMANTE",V502="CERRADO"),0,ROUND(_xlpm.prob,2)))</f>
        <v>0</v>
      </c>
      <c r="AK502" t="str">
        <f t="shared" si="180"/>
        <v>Faltan 31,4 puntos base para subir a la siguiente categoría</v>
      </c>
      <c r="AL502" t="str">
        <f t="shared" si="181"/>
        <v>Margen de seguridad: 1,3 puntos</v>
      </c>
      <c r="AM502">
        <f t="shared" si="182"/>
        <v>1</v>
      </c>
      <c r="AN502" t="str">
        <f t="shared" si="183"/>
        <v>PRIORIDAD ALTA – requiere intervención inmediata</v>
      </c>
      <c r="AO502">
        <f t="shared" si="184"/>
        <v>5.1873069217931205</v>
      </c>
      <c r="AP502">
        <f t="shared" si="185"/>
        <v>8.3064193508872453E-2</v>
      </c>
      <c r="AQ502">
        <f t="shared" si="186"/>
        <v>0</v>
      </c>
      <c r="AR502">
        <f t="shared" si="187"/>
        <v>0.13999999999999949</v>
      </c>
      <c r="AS502">
        <f t="shared" si="188"/>
        <v>27.64004030460211</v>
      </c>
      <c r="AT502" t="str">
        <f t="shared" si="189"/>
        <v>CLIENTE</v>
      </c>
      <c r="AU502">
        <f t="shared" si="190"/>
        <v>27.64004030460211</v>
      </c>
      <c r="AV502" t="str">
        <f t="shared" si="191"/>
        <v>Mayor retorno probable: CLIENTE (+27,6 puntos finales potenciales).</v>
      </c>
    </row>
    <row r="503" spans="1:48" x14ac:dyDescent="0.3">
      <c r="A503" s="5">
        <v>51014596</v>
      </c>
      <c r="B503" s="5" t="str">
        <f>IFERROR(VLOOKUP(A503,VENTAS!$A$2:$B$1194,2,0),"")</f>
        <v>ROBERTS</v>
      </c>
      <c r="C503" s="5">
        <f>IFERROR(INDEX(VENTAS!$C$2:$E$1194,MATCH(A503,VENTAS!$A$2:$A$1194,0),MATCH(PARAMS_MODELO!$B$2,{"Q1","Q2","Q3"},0)),0)</f>
        <v>70433773.840000004</v>
      </c>
      <c r="D503" s="5">
        <f>IFERROR(INDEX(VENTAS!$F$2:$H$1194,MATCH(A503,VENTAS!$A$2:$A$1194,0),MATCH(PARAMS_MODELO!$B$2,{"Q1","Q2","Q3"},0)),0)</f>
        <v>76554061</v>
      </c>
      <c r="E503" s="8">
        <f t="shared" si="168"/>
        <v>8.6894210352878032E-2</v>
      </c>
      <c r="F503" s="12">
        <f>IF(E503&lt;=PARAMS_MODELO!$B$15,0,IF(E503&gt;=PARAMS_MODELO!$B$17,100,100*MIN(1,(E503-PARAMS_MODELO!$B$15)/(PARAMS_MODELO!$B$16-PARAMS_MODELO!$B$15))))*PARAMS_MODELO!$B$7</f>
        <v>30.412973623507309</v>
      </c>
      <c r="G503" s="5">
        <f t="shared" si="169"/>
        <v>6120287.1599999964</v>
      </c>
      <c r="H503" s="5">
        <f>(PARAMS_MODELO!$B$20*(MAX(0,MIN(3,E503))/3)+PARAMS_MODELO!$B$21*(IFERROR(LN(1+MAX(0,G503))/LN(1+MAX(0,MAX($G$2:$G$1194))),0)))*100*PARAMS_MODELO!$B$8</f>
        <v>3.9673447683358183</v>
      </c>
      <c r="I503" s="8">
        <f>E503-PARAMS_MODELO!$B$5</f>
        <v>-9.0668625022648497E-2</v>
      </c>
      <c r="J503" s="5">
        <f>IF(I503&lt;=PARAMS_MODELO!$B$18,0,IF(I503&gt;=PARAMS_MODELO!$B$19,100,100*(I503-PARAMS_MODELO!$B$18)/(PARAMS_MODELO!$B$19-PARAMS_MODELO!$B$18)))*PARAMS_MODELO!$B$9</f>
        <v>0</v>
      </c>
      <c r="K503" s="5">
        <f>IFERROR(CHOOSE(MATCH(PARAMS_MODELO!$B$2,{"Q1","Q2","Q3"},0),LOTO!$D503,LOTO!$F503,LOTO!$H503),0)</f>
        <v>3782500</v>
      </c>
      <c r="L503" s="8">
        <f t="shared" si="170"/>
        <v>4.9409527732304101E-2</v>
      </c>
      <c r="M503" s="5">
        <f>MIN(100,IF(PARAMS_MODELO!$B$23=0,0,100*L503/PARAMS_MODELO!$B$23))*PARAMS_MODELO!$B$10</f>
        <v>14.822858319691226</v>
      </c>
      <c r="N503" s="5">
        <f>IFERROR(VLOOKUP(A503,COMPLIANCE!$A$2:$F$1996,6,0),100)</f>
        <v>99.85</v>
      </c>
      <c r="O503" s="5">
        <f>N503*PARAMS_MODELO!$B$11</f>
        <v>9.9849999999999994</v>
      </c>
      <c r="P503" s="5">
        <f>IFERROR(VLOOKUP(A503,DIGITAL!$A$2:$J$2000,7,0),100)</f>
        <v>32</v>
      </c>
      <c r="Q503" s="5">
        <f>IFERROR(P503,0)*PARAMS_MODELO!$B$12</f>
        <v>3.2</v>
      </c>
      <c r="R503">
        <f t="shared" si="171"/>
        <v>62.388176711534356</v>
      </c>
      <c r="S503" s="5" t="str">
        <f>IFERROR(VLOOKUP(A503,CLIENTE!$A$2:$N$2000,13,0),1)</f>
        <v>Bueno</v>
      </c>
      <c r="T503" s="5">
        <f>IFERROR(VLOOKUP(A503,CLIENTE!$A$2:$N$2000,14,0),1)</f>
        <v>1.1000000000000001</v>
      </c>
      <c r="U503" s="5">
        <f t="shared" si="172"/>
        <v>68.626994382687798</v>
      </c>
      <c r="V503" s="5" t="str">
        <f>IF(U503&gt;=MAX(_xlfn.PERCENTILE.INC($U$2:$U$1194,PARAMS_MODELO!$B$50),PARAMS_MODELO!$B$45),"DIAMANTE",IF(U503&gt;=MAX(_xlfn.PERCENTILE.INC($U$2:$U$1194,PARAMS_MODELO!$B$51),PARAMS_MODELO!$B$46),"PLATINO",IF(U503&gt;=MAX(_xlfn.PERCENTILE.INC($U$2:$U$1194,PARAMS_MODELO!$B$52),PARAMS_MODELO!$B$47),"ORO",IF(U503&gt;=MAX(_xlfn.PERCENTILE.INC($U$2:$U$1194,PARAMS_MODELO!$B$53),PARAMS_MODELO!$B$48),"PLATA",IF(U503&gt;=1,"BRONCE","CERRADO")))))</f>
        <v>ORO</v>
      </c>
      <c r="W503" s="5" t="str" cm="1">
        <f t="array" ref="W503">_xlfn.XLOOKUP(1, (HIST_SCORE!$B:$B=PARAMS_MODELO!$B$4) * (HIST_SCORE!$C:$C=A503), HIST_SCORE!$E:$E, "No encontrado")</f>
        <v>PLATINO</v>
      </c>
      <c r="X503" s="5" t="str">
        <f>_xlfn.LET(_xlpm.act,MATCH(V503,{"DIAMANTE";"PLATINO";"ORO";"PLATA";"BRONCE";"CERRADO"},0),_xlpm.ant,MATCH(W503,{"DIAMANTE";"PLATINO";"ORO";"PLATA";"BRONCE";"CERRADO"},0),IF(_xlpm.act&lt;_xlpm.ant,"Mejora ↑",IF(_xlpm.act&gt;_xlpm.ant,"Baja ↓","Estable →")))</f>
        <v>Baja ↓</v>
      </c>
      <c r="Y503" s="5">
        <f>IFERROR(U503-SUMIFS(HIST_SCORE!$D:$D,HIST_SCORE!$B:$B,PARAMS_MODELO!$B$4,HIST_SCORE!$C:$C,$A503),"")</f>
        <v>-23.911517316873571</v>
      </c>
      <c r="Z503" s="5" t="str">
        <f t="shared" si="173"/>
        <v>↓ Baja</v>
      </c>
      <c r="AA503" s="5">
        <f t="shared" si="174"/>
        <v>521</v>
      </c>
      <c r="AB503" s="5">
        <f>IFERROR(SUMIFS(HIST_SCORE!$F:$F,HIST_SCORE!$B:$B,PARAMS_MODELO!$B$4,HIST_SCORE!$C:$C,$A503),"")</f>
        <v>94</v>
      </c>
      <c r="AC503" s="5">
        <f t="shared" si="175"/>
        <v>-427</v>
      </c>
      <c r="AD503" t="str">
        <f t="shared" si="177"/>
        <v>Sostener base y reforzar mix</v>
      </c>
      <c r="AE5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503="CERRADO",1,IF(V503="BRONCE",_xlpm.cPl,IF(V503="PLATA",_xlpm.cO,IF(V503="ORO",_xlpm.cP,IF(V503="PLATINO",_xlpm.cD,999))))))</f>
        <v>86.439123873763251</v>
      </c>
      <c r="AF5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503="CERRADO",0,IF(V503="BRONCE",1,IF(V503="PLATA",_xlpm.cPl,IF(V503="ORO",_xlpm.cO,IF(V503="PLATINO",_xlpm.cP,_xlpm.cD))))))</f>
        <v>63.199193273331495</v>
      </c>
      <c r="AG503">
        <f t="shared" si="178"/>
        <v>16.192844991886773</v>
      </c>
      <c r="AH503" t="str">
        <f t="shared" si="179"/>
        <v>VENTAS</v>
      </c>
      <c r="AI503" t="str">
        <f t="shared" si="176"/>
        <v>🎯 Para subir de categoría, eje VENTAS / DIFERENCIAL vs LOTBA (J). Acción: metas semanales + activación comercial + seguimiento del asesor. ΔR aprox: 16,2</v>
      </c>
      <c r="AJ503" s="26">
        <f>_xlfn.LET(_xlpm.piso,AF503,_xlpm.corte,AE503,_xlpm.prog,IF(_xlpm.corte&lt;=_xlpm.piso,0,MAX(0,MIN(1,(U503-_xlpm.piso)/(_xlpm.corte-_xlpm.piso)))),_xlpm.orden,{"DIAMANTE";"PLATINO";"ORO";"PLATA";"BRONCE";"CERRADO"},_xlpm.act,IFERROR(MATCH(V503,_xlpm.orden,0),6),_xlpm.ant,IFERROR(MATCH(W503,_xlpm.orden,0),6),_xlpm.ajmov,IF(_xlpm.act&lt;_xlpm.ant,0.08,IF(_xlpm.act&gt;_xlpm.ant,-0.08,0)),_xlpm.ajcli,IF(T503&lt;0.95,-0.06,0),_xlpm.prob,MAX(0,MIN(1,_xlpm.prog+_xlpm.ajmov+_xlpm.ajcli)),IF(OR(V503="DIAMANTE",V503="CERRADO"),0,ROUND(_xlpm.prob,2)))</f>
        <v>0.15</v>
      </c>
      <c r="AK503" t="str">
        <f t="shared" si="180"/>
        <v>Faltan 16,2 puntos base para subir a la siguiente categoría</v>
      </c>
      <c r="AL503" t="str">
        <f t="shared" si="181"/>
        <v>Margen de seguridad: 5,4 puntos</v>
      </c>
      <c r="AM503">
        <f t="shared" si="182"/>
        <v>0.74</v>
      </c>
      <c r="AN503" t="str">
        <f t="shared" si="183"/>
        <v>PRIORIDAD ALTA – requiere intervención inmediata</v>
      </c>
      <c r="AO503">
        <f t="shared" si="184"/>
        <v>33.530475971797706</v>
      </c>
      <c r="AP503">
        <f t="shared" si="185"/>
        <v>0.19485584833965089</v>
      </c>
      <c r="AQ503">
        <f t="shared" si="186"/>
        <v>1.6500000000000625E-2</v>
      </c>
      <c r="AR503">
        <f t="shared" si="187"/>
        <v>7.48</v>
      </c>
      <c r="AS503">
        <f t="shared" si="188"/>
        <v>0</v>
      </c>
      <c r="AT503" t="str">
        <f t="shared" si="189"/>
        <v>VENTAS</v>
      </c>
      <c r="AU503">
        <f t="shared" si="190"/>
        <v>33.530475971797706</v>
      </c>
      <c r="AV503" t="str">
        <f t="shared" si="191"/>
        <v>Mayor retorno probable: VENTAS (+33,5 puntos finales potenciales).</v>
      </c>
    </row>
    <row r="504" spans="1:48" x14ac:dyDescent="0.3">
      <c r="A504" s="5">
        <v>51030125</v>
      </c>
      <c r="B504" s="5" t="str">
        <f>IFERROR(VLOOKUP(A504,VENTAS!$A$2:$B$1194,2,0),"")</f>
        <v>MONTENEGRO</v>
      </c>
      <c r="C504" s="5">
        <f>IFERROR(INDEX(VENTAS!$C$2:$E$1194,MATCH(A504,VENTAS!$A$2:$A$1194,0),MATCH(PARAMS_MODELO!$B$2,{"Q1","Q2","Q3"},0)),0)</f>
        <v>71558797.180000007</v>
      </c>
      <c r="D504" s="5">
        <f>IFERROR(INDEX(VENTAS!$F$2:$H$1194,MATCH(A504,VENTAS!$A$2:$A$1194,0),MATCH(PARAMS_MODELO!$B$2,{"Q1","Q2","Q3"},0)),0)</f>
        <v>76431658</v>
      </c>
      <c r="E504" s="8">
        <f t="shared" si="168"/>
        <v>6.8095901720409469E-2</v>
      </c>
      <c r="F504" s="12">
        <f>IF(E504&lt;=PARAMS_MODELO!$B$15,0,IF(E504&gt;=PARAMS_MODELO!$B$17,100,100*MIN(1,(E504-PARAMS_MODELO!$B$15)/(PARAMS_MODELO!$B$16-PARAMS_MODELO!$B$15))))*PARAMS_MODELO!$B$7</f>
        <v>23.833565602143313</v>
      </c>
      <c r="G504" s="5">
        <f t="shared" si="169"/>
        <v>4872860.8199999928</v>
      </c>
      <c r="H504" s="5">
        <f>(PARAMS_MODELO!$B$20*(MAX(0,MIN(3,E504))/3)+PARAMS_MODELO!$B$21*(IFERROR(LN(1+MAX(0,G504))/LN(1+MAX(0,MAX($G$2:$G$1194))),0)))*100*PARAMS_MODELO!$B$8</f>
        <v>3.8481212360607193</v>
      </c>
      <c r="I504" s="8">
        <f>E504-PARAMS_MODELO!$B$5</f>
        <v>-0.10946693365511706</v>
      </c>
      <c r="J504" s="5">
        <f>IF(I504&lt;=PARAMS_MODELO!$B$18,0,IF(I504&gt;=PARAMS_MODELO!$B$19,100,100*(I504-PARAMS_MODELO!$B$18)/(PARAMS_MODELO!$B$19-PARAMS_MODELO!$B$18)))*PARAMS_MODELO!$B$9</f>
        <v>0</v>
      </c>
      <c r="K504" s="5">
        <f>IFERROR(CHOOSE(MATCH(PARAMS_MODELO!$B$2,{"Q1","Q2","Q3"},0),LOTO!$D504,LOTO!$F504,LOTO!$H504),0)</f>
        <v>3777500</v>
      </c>
      <c r="L504" s="8">
        <f t="shared" si="170"/>
        <v>4.9423237685096405E-2</v>
      </c>
      <c r="M504" s="5">
        <f>MIN(100,IF(PARAMS_MODELO!$B$23=0,0,100*L504/PARAMS_MODELO!$B$23))*PARAMS_MODELO!$B$10</f>
        <v>14.82697130552892</v>
      </c>
      <c r="N504" s="5">
        <f>IFERROR(VLOOKUP(A504,COMPLIANCE!$A$2:$F$1996,6,0),100)</f>
        <v>100</v>
      </c>
      <c r="O504" s="5">
        <f>N504*PARAMS_MODELO!$B$11</f>
        <v>10</v>
      </c>
      <c r="P504" s="5">
        <f>IFERROR(VLOOKUP(A504,DIGITAL!$A$2:$J$2000,7,0),100)</f>
        <v>93</v>
      </c>
      <c r="Q504" s="5">
        <f>IFERROR(P504,0)*PARAMS_MODELO!$B$12</f>
        <v>9.3000000000000007</v>
      </c>
      <c r="R504">
        <f t="shared" si="171"/>
        <v>61.808658143732956</v>
      </c>
      <c r="S504" s="5" t="str">
        <f>IFERROR(VLOOKUP(A504,CLIENTE!$A$2:$N$2000,13,0),1)</f>
        <v>Regular</v>
      </c>
      <c r="T504" s="5">
        <f>IFERROR(VLOOKUP(A504,CLIENTE!$A$2:$N$2000,14,0),1)</f>
        <v>1</v>
      </c>
      <c r="U504" s="5">
        <f t="shared" si="172"/>
        <v>61.808658143732956</v>
      </c>
      <c r="V504" s="5" t="str">
        <f>IF(U504&gt;=MAX(_xlfn.PERCENTILE.INC($U$2:$U$1194,PARAMS_MODELO!$B$50),PARAMS_MODELO!$B$45),"DIAMANTE",IF(U504&gt;=MAX(_xlfn.PERCENTILE.INC($U$2:$U$1194,PARAMS_MODELO!$B$51),PARAMS_MODELO!$B$46),"PLATINO",IF(U504&gt;=MAX(_xlfn.PERCENTILE.INC($U$2:$U$1194,PARAMS_MODELO!$B$52),PARAMS_MODELO!$B$47),"ORO",IF(U504&gt;=MAX(_xlfn.PERCENTILE.INC($U$2:$U$1194,PARAMS_MODELO!$B$53),PARAMS_MODELO!$B$48),"PLATA",IF(U504&gt;=1,"BRONCE","CERRADO")))))</f>
        <v>PLATA</v>
      </c>
      <c r="W504" s="5" t="str" cm="1">
        <f t="array" ref="W504">_xlfn.XLOOKUP(1, (HIST_SCORE!$B:$B=PARAMS_MODELO!$B$4) * (HIST_SCORE!$C:$C=A504), HIST_SCORE!$E:$E, "No encontrado")</f>
        <v>PLATA</v>
      </c>
      <c r="X504" s="5" t="str">
        <f>_xlfn.LET(_xlpm.act,MATCH(V504,{"DIAMANTE";"PLATINO";"ORO";"PLATA";"BRONCE";"CERRADO"},0),_xlpm.ant,MATCH(W504,{"DIAMANTE";"PLATINO";"ORO";"PLATA";"BRONCE";"CERRADO"},0),IF(_xlpm.act&lt;_xlpm.ant,"Mejora ↑",IF(_xlpm.act&gt;_xlpm.ant,"Baja ↓","Estable →")))</f>
        <v>Estable →</v>
      </c>
      <c r="Y504" s="5">
        <f>IFERROR(U504-SUMIFS(HIST_SCORE!$D:$D,HIST_SCORE!$B:$B,PARAMS_MODELO!$B$4,HIST_SCORE!$C:$C,$A504),"")</f>
        <v>30.847621071759189</v>
      </c>
      <c r="Z504" s="5" t="str">
        <f t="shared" si="173"/>
        <v>↑ Mejora</v>
      </c>
      <c r="AA504" s="5">
        <f t="shared" si="174"/>
        <v>585</v>
      </c>
      <c r="AB504" s="5">
        <f>IFERROR(SUMIFS(HIST_SCORE!$F:$F,HIST_SCORE!$B:$B,PARAMS_MODELO!$B$4,HIST_SCORE!$C:$C,$A504),"")</f>
        <v>902</v>
      </c>
      <c r="AC504" s="5">
        <f t="shared" si="175"/>
        <v>317</v>
      </c>
      <c r="AD504" t="str">
        <f t="shared" si="177"/>
        <v/>
      </c>
      <c r="AE5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504="CERRADO",1,IF(V504="BRONCE",_xlpm.cPl,IF(V504="PLATA",_xlpm.cO,IF(V504="ORO",_xlpm.cP,IF(V504="PLATINO",_xlpm.cD,999))))))</f>
        <v>63.199193273331495</v>
      </c>
      <c r="AF5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504="CERRADO",0,IF(V504="BRONCE",1,IF(V504="PLATA",_xlpm.cPl,IF(V504="ORO",_xlpm.cO,IF(V504="PLATINO",_xlpm.cP,_xlpm.cD))))))</f>
        <v>24.506573482968111</v>
      </c>
      <c r="AG504">
        <f t="shared" si="178"/>
        <v>1.3905351295985398</v>
      </c>
      <c r="AH504" t="str">
        <f t="shared" si="179"/>
        <v>VENTAS</v>
      </c>
      <c r="AI504" t="str">
        <f t="shared" si="176"/>
        <v>🎯 Para subir de categoría, eje VENTAS / DIFERENCIAL vs LOTBA (J). Acción: metas semanales + activación comercial + seguimiento del asesor. ΔR aprox: 1,4</v>
      </c>
      <c r="AJ504" s="26">
        <f>_xlfn.LET(_xlpm.piso,AF504,_xlpm.corte,AE504,_xlpm.prog,IF(_xlpm.corte&lt;=_xlpm.piso,0,MAX(0,MIN(1,(U504-_xlpm.piso)/(_xlpm.corte-_xlpm.piso)))),_xlpm.orden,{"DIAMANTE";"PLATINO";"ORO";"PLATA";"BRONCE";"CERRADO"},_xlpm.act,IFERROR(MATCH(V504,_xlpm.orden,0),6),_xlpm.ant,IFERROR(MATCH(W504,_xlpm.orden,0),6),_xlpm.ajmov,IF(_xlpm.act&lt;_xlpm.ant,0.08,IF(_xlpm.act&gt;_xlpm.ant,-0.08,0)),_xlpm.ajcli,IF(T504&lt;0.95,-0.06,0),_xlpm.prob,MAX(0,MIN(1,_xlpm.prog+_xlpm.ajmov+_xlpm.ajcli)),IF(OR(V504="DIAMANTE",V504="CERRADO"),0,ROUND(_xlpm.prob,2)))</f>
        <v>0.96</v>
      </c>
      <c r="AK504" t="str">
        <f t="shared" si="180"/>
        <v>Faltan 1,4 puntos base para subir a la siguiente categoría</v>
      </c>
      <c r="AL504" t="str">
        <f t="shared" si="181"/>
        <v>Margen de seguridad: 37,3 puntos</v>
      </c>
      <c r="AM504">
        <f t="shared" si="182"/>
        <v>7.0000000000000007E-2</v>
      </c>
      <c r="AN504" t="str">
        <f t="shared" si="183"/>
        <v>PRIORIDAD BAJA – control normal</v>
      </c>
      <c r="AO504">
        <f t="shared" si="184"/>
        <v>37.180882437091554</v>
      </c>
      <c r="AP504">
        <f t="shared" si="185"/>
        <v>0.17302869447108016</v>
      </c>
      <c r="AQ504">
        <f t="shared" si="186"/>
        <v>0</v>
      </c>
      <c r="AR504">
        <f t="shared" si="187"/>
        <v>0.69999999999999929</v>
      </c>
      <c r="AS504">
        <f t="shared" si="188"/>
        <v>0</v>
      </c>
      <c r="AT504" t="str">
        <f t="shared" si="189"/>
        <v>VENTAS</v>
      </c>
      <c r="AU504">
        <f t="shared" si="190"/>
        <v>37.180882437091554</v>
      </c>
      <c r="AV504" t="str">
        <f t="shared" si="191"/>
        <v>Mayor retorno probable: VENTAS (+37,2 puntos finales potenciales).</v>
      </c>
    </row>
    <row r="505" spans="1:48" x14ac:dyDescent="0.3">
      <c r="A505" s="5">
        <v>51021550</v>
      </c>
      <c r="B505" s="5" t="str">
        <f>IFERROR(VLOOKUP(A505,VENTAS!$A$2:$B$1194,2,0),"")</f>
        <v>PRADES</v>
      </c>
      <c r="C505" s="5">
        <f>IFERROR(INDEX(VENTAS!$C$2:$E$1194,MATCH(A505,VENTAS!$A$2:$A$1194,0),MATCH(PARAMS_MODELO!$B$2,{"Q1","Q2","Q3"},0)),0)</f>
        <v>63266093.190000013</v>
      </c>
      <c r="D505" s="5">
        <f>IFERROR(INDEX(VENTAS!$F$2:$H$1194,MATCH(A505,VENTAS!$A$2:$A$1194,0),MATCH(PARAMS_MODELO!$B$2,{"Q1","Q2","Q3"},0)),0)</f>
        <v>76393195</v>
      </c>
      <c r="E505" s="8">
        <f t="shared" si="168"/>
        <v>0.20749031824324637</v>
      </c>
      <c r="F505" s="12">
        <f>IF(E505&lt;=PARAMS_MODELO!$B$15,0,IF(E505&gt;=PARAMS_MODELO!$B$17,100,100*MIN(1,(E505-PARAMS_MODELO!$B$15)/(PARAMS_MODELO!$B$16-PARAMS_MODELO!$B$15))))*PARAMS_MODELO!$B$7</f>
        <v>35</v>
      </c>
      <c r="G505" s="5">
        <f t="shared" si="169"/>
        <v>13127101.809999987</v>
      </c>
      <c r="H505" s="5">
        <f>(PARAMS_MODELO!$B$20*(MAX(0,MIN(3,E505))/3)+PARAMS_MODELO!$B$21*(IFERROR(LN(1+MAX(0,G505))/LN(1+MAX(0,MAX($G$2:$G$1194))),0)))*100*PARAMS_MODELO!$B$8</f>
        <v>4.5683053669375315</v>
      </c>
      <c r="I505" s="8">
        <f>E505-PARAMS_MODELO!$B$5</f>
        <v>2.9927482867719846E-2</v>
      </c>
      <c r="J505" s="5">
        <f>IF(I505&lt;=PARAMS_MODELO!$B$18,0,IF(I505&gt;=PARAMS_MODELO!$B$19,100,100*(I505-PARAMS_MODELO!$B$18)/(PARAMS_MODELO!$B$19-PARAMS_MODELO!$B$18)))*PARAMS_MODELO!$B$9</f>
        <v>11.989122430157977</v>
      </c>
      <c r="K505" s="5">
        <f>IFERROR(CHOOSE(MATCH(PARAMS_MODELO!$B$2,{"Q1","Q2","Q3"},0),LOTO!$D505,LOTO!$F505,LOTO!$H505),0)</f>
        <v>3772500</v>
      </c>
      <c r="L505" s="8">
        <f t="shared" si="170"/>
        <v>4.9382670799408244E-2</v>
      </c>
      <c r="M505" s="5">
        <f>MIN(100,IF(PARAMS_MODELO!$B$23=0,0,100*L505/PARAMS_MODELO!$B$23))*PARAMS_MODELO!$B$10</f>
        <v>14.81480123982247</v>
      </c>
      <c r="N505" s="5">
        <f>IFERROR(VLOOKUP(A505,COMPLIANCE!$A$2:$F$1996,6,0),100)</f>
        <v>100</v>
      </c>
      <c r="O505" s="5">
        <f>N505*PARAMS_MODELO!$B$11</f>
        <v>10</v>
      </c>
      <c r="P505" s="5">
        <f>IFERROR(VLOOKUP(A505,DIGITAL!$A$2:$J$2000,7,0),100)</f>
        <v>5</v>
      </c>
      <c r="Q505" s="5">
        <f>IFERROR(P505,0)*PARAMS_MODELO!$B$12</f>
        <v>0.5</v>
      </c>
      <c r="R505">
        <f t="shared" si="171"/>
        <v>76.872229036917972</v>
      </c>
      <c r="S505" s="5" t="str">
        <f>IFERROR(VLOOKUP(A505,CLIENTE!$A$2:$N$2000,13,0),1)</f>
        <v>Regular</v>
      </c>
      <c r="T505" s="5">
        <f>IFERROR(VLOOKUP(A505,CLIENTE!$A$2:$N$2000,14,0),1)</f>
        <v>1</v>
      </c>
      <c r="U505" s="5">
        <f t="shared" si="172"/>
        <v>76.872229036917972</v>
      </c>
      <c r="V505" s="5" t="str">
        <f>IF(U505&gt;=MAX(_xlfn.PERCENTILE.INC($U$2:$U$1194,PARAMS_MODELO!$B$50),PARAMS_MODELO!$B$45),"DIAMANTE",IF(U505&gt;=MAX(_xlfn.PERCENTILE.INC($U$2:$U$1194,PARAMS_MODELO!$B$51),PARAMS_MODELO!$B$46),"PLATINO",IF(U505&gt;=MAX(_xlfn.PERCENTILE.INC($U$2:$U$1194,PARAMS_MODELO!$B$52),PARAMS_MODELO!$B$47),"ORO",IF(U505&gt;=MAX(_xlfn.PERCENTILE.INC($U$2:$U$1194,PARAMS_MODELO!$B$53),PARAMS_MODELO!$B$48),"PLATA",IF(U505&gt;=1,"BRONCE","CERRADO")))))</f>
        <v>ORO</v>
      </c>
      <c r="W505" s="5" t="str" cm="1">
        <f t="array" ref="W505">_xlfn.XLOOKUP(1, (HIST_SCORE!$B:$B=PARAMS_MODELO!$B$4) * (HIST_SCORE!$C:$C=A505), HIST_SCORE!$E:$E, "No encontrado")</f>
        <v>ORO</v>
      </c>
      <c r="X505" s="5" t="str">
        <f>_xlfn.LET(_xlpm.act,MATCH(V505,{"DIAMANTE";"PLATINO";"ORO";"PLATA";"BRONCE";"CERRADO"},0),_xlpm.ant,MATCH(W505,{"DIAMANTE";"PLATINO";"ORO";"PLATA";"BRONCE";"CERRADO"},0),IF(_xlpm.act&lt;_xlpm.ant,"Mejora ↑",IF(_xlpm.act&gt;_xlpm.ant,"Baja ↓","Estable →")))</f>
        <v>Estable →</v>
      </c>
      <c r="Y505" s="5">
        <f>IFERROR(U505-SUMIFS(HIST_SCORE!$D:$D,HIST_SCORE!$B:$B,PARAMS_MODELO!$B$4,HIST_SCORE!$C:$C,$A505),"")</f>
        <v>-2.8470118060669591</v>
      </c>
      <c r="Z505" s="5" t="str">
        <f t="shared" si="173"/>
        <v>→ Estable</v>
      </c>
      <c r="AA505" s="5">
        <f t="shared" si="174"/>
        <v>458</v>
      </c>
      <c r="AB505" s="5">
        <f>IFERROR(SUMIFS(HIST_SCORE!$F:$F,HIST_SCORE!$B:$B,PARAMS_MODELO!$B$4,HIST_SCORE!$C:$C,$A505),"")</f>
        <v>425</v>
      </c>
      <c r="AC505" s="5">
        <f t="shared" si="175"/>
        <v>-33</v>
      </c>
      <c r="AD505" t="str">
        <f t="shared" si="177"/>
        <v>Sostener base y reforzar mix</v>
      </c>
      <c r="AE5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505="CERRADO",1,IF(V505="BRONCE",_xlpm.cPl,IF(V505="PLATA",_xlpm.cO,IF(V505="ORO",_xlpm.cP,IF(V505="PLATINO",_xlpm.cD,999))))))</f>
        <v>86.439123873763251</v>
      </c>
      <c r="AF5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505="CERRADO",0,IF(V505="BRONCE",1,IF(V505="PLATA",_xlpm.cPl,IF(V505="ORO",_xlpm.cO,IF(V505="PLATINO",_xlpm.cP,_xlpm.cD))))))</f>
        <v>63.199193273331495</v>
      </c>
      <c r="AG505">
        <f t="shared" si="178"/>
        <v>9.5668948368452789</v>
      </c>
      <c r="AH505" t="str">
        <f t="shared" si="179"/>
        <v>VENTAS</v>
      </c>
      <c r="AI505" t="str">
        <f t="shared" si="176"/>
        <v>🎯 Para subir de categoría, eje VENTAS / IMPACTO ABSOLUTO (H). Acción: metas semanales + activación comercial + seguimiento del asesor. ΔR aprox: 9,6</v>
      </c>
      <c r="AJ505" s="26">
        <f>_xlfn.LET(_xlpm.piso,AF505,_xlpm.corte,AE505,_xlpm.prog,IF(_xlpm.corte&lt;=_xlpm.piso,0,MAX(0,MIN(1,(U505-_xlpm.piso)/(_xlpm.corte-_xlpm.piso)))),_xlpm.orden,{"DIAMANTE";"PLATINO";"ORO";"PLATA";"BRONCE";"CERRADO"},_xlpm.act,IFERROR(MATCH(V505,_xlpm.orden,0),6),_xlpm.ant,IFERROR(MATCH(W505,_xlpm.orden,0),6),_xlpm.ajmov,IF(_xlpm.act&lt;_xlpm.ant,0.08,IF(_xlpm.act&gt;_xlpm.ant,-0.08,0)),_xlpm.ajcli,IF(T505&lt;0.95,-0.06,0),_xlpm.prob,MAX(0,MIN(1,_xlpm.prog+_xlpm.ajmov+_xlpm.ajcli)),IF(OR(V505="DIAMANTE",V505="CERRADO"),0,ROUND(_xlpm.prob,2)))</f>
        <v>0.59</v>
      </c>
      <c r="AK505" t="str">
        <f t="shared" si="180"/>
        <v>Faltan 9,6 puntos base para subir a la siguiente categoría</v>
      </c>
      <c r="AL505" t="str">
        <f t="shared" si="181"/>
        <v>Margen de seguridad: 13,7 puntos</v>
      </c>
      <c r="AM505">
        <f t="shared" si="182"/>
        <v>0.55000000000000004</v>
      </c>
      <c r="AN505" t="str">
        <f t="shared" si="183"/>
        <v>PRIORIDAD MEDIA – seguimiento del asesor</v>
      </c>
      <c r="AO505">
        <f t="shared" si="184"/>
        <v>13.305141478200078</v>
      </c>
      <c r="AP505">
        <f t="shared" si="185"/>
        <v>0.18519876017752956</v>
      </c>
      <c r="AQ505">
        <f t="shared" si="186"/>
        <v>0</v>
      </c>
      <c r="AR505">
        <f t="shared" si="187"/>
        <v>9.5</v>
      </c>
      <c r="AS505">
        <f t="shared" si="188"/>
        <v>0</v>
      </c>
      <c r="AT505" t="str">
        <f t="shared" si="189"/>
        <v>VENTAS</v>
      </c>
      <c r="AU505">
        <f t="shared" si="190"/>
        <v>13.305141478200078</v>
      </c>
      <c r="AV505" t="str">
        <f t="shared" si="191"/>
        <v>Mayor retorno probable: VENTAS (+13,3 puntos finales potenciales).</v>
      </c>
    </row>
    <row r="506" spans="1:48" x14ac:dyDescent="0.3">
      <c r="A506" s="5">
        <v>51031407</v>
      </c>
      <c r="B506" s="5" t="str">
        <f>IFERROR(VLOOKUP(A506,VENTAS!$A$2:$B$1194,2,0),"")</f>
        <v>PUGH</v>
      </c>
      <c r="C506" s="5">
        <f>IFERROR(INDEX(VENTAS!$C$2:$E$1194,MATCH(A506,VENTAS!$A$2:$A$1194,0),MATCH(PARAMS_MODELO!$B$2,{"Q1","Q2","Q3"},0)),0)</f>
        <v>65520079.630000003</v>
      </c>
      <c r="D506" s="5">
        <f>IFERROR(INDEX(VENTAS!$F$2:$H$1194,MATCH(A506,VENTAS!$A$2:$A$1194,0),MATCH(PARAMS_MODELO!$B$2,{"Q1","Q2","Q3"},0)),0)</f>
        <v>76289903</v>
      </c>
      <c r="E506" s="8">
        <f t="shared" si="168"/>
        <v>0.16437439378612662</v>
      </c>
      <c r="F506" s="12">
        <f>IF(E506&lt;=PARAMS_MODELO!$B$15,0,IF(E506&gt;=PARAMS_MODELO!$B$17,100,100*MIN(1,(E506-PARAMS_MODELO!$B$15)/(PARAMS_MODELO!$B$16-PARAMS_MODELO!$B$15))))*PARAMS_MODELO!$B$7</f>
        <v>35</v>
      </c>
      <c r="G506" s="5">
        <f t="shared" si="169"/>
        <v>10769823.369999997</v>
      </c>
      <c r="H506" s="5">
        <f>(PARAMS_MODELO!$B$20*(MAX(0,MIN(3,E506))/3)+PARAMS_MODELO!$B$21*(IFERROR(LN(1+MAX(0,G506))/LN(1+MAX(0,MAX($G$2:$G$1194))),0)))*100*PARAMS_MODELO!$B$8</f>
        <v>4.3710018824622292</v>
      </c>
      <c r="I506" s="8">
        <f>E506-PARAMS_MODELO!$B$5</f>
        <v>-1.3188441589399913E-2</v>
      </c>
      <c r="J506" s="5">
        <f>IF(I506&lt;=PARAMS_MODELO!$B$18,0,IF(I506&gt;=PARAMS_MODELO!$B$19,100,100*(I506-PARAMS_MODELO!$B$18)/(PARAMS_MODELO!$B$19-PARAMS_MODELO!$B$18)))*PARAMS_MODELO!$B$9</f>
        <v>5.5217337615900135</v>
      </c>
      <c r="K506" s="5">
        <f>IFERROR(CHOOSE(MATCH(PARAMS_MODELO!$B$2,{"Q1","Q2","Q3"},0),LOTO!$D506,LOTO!$F506,LOTO!$H506),0)</f>
        <v>3755000</v>
      </c>
      <c r="L506" s="8">
        <f t="shared" si="170"/>
        <v>4.9220143850490936E-2</v>
      </c>
      <c r="M506" s="5">
        <f>MIN(100,IF(PARAMS_MODELO!$B$23=0,0,100*L506/PARAMS_MODELO!$B$23))*PARAMS_MODELO!$B$10</f>
        <v>14.76604315514728</v>
      </c>
      <c r="N506" s="5">
        <f>IFERROR(VLOOKUP(A506,COMPLIANCE!$A$2:$F$1996,6,0),100)</f>
        <v>100</v>
      </c>
      <c r="O506" s="5">
        <f>N506*PARAMS_MODELO!$B$11</f>
        <v>10</v>
      </c>
      <c r="P506" s="5">
        <f>IFERROR(VLOOKUP(A506,DIGITAL!$A$2:$J$2000,7,0),100)</f>
        <v>23</v>
      </c>
      <c r="Q506" s="5">
        <f>IFERROR(P506,0)*PARAMS_MODELO!$B$12</f>
        <v>2.3000000000000003</v>
      </c>
      <c r="R506">
        <f t="shared" si="171"/>
        <v>71.958778799199521</v>
      </c>
      <c r="S506" s="5" t="str">
        <f>IFERROR(VLOOKUP(A506,CLIENTE!$A$2:$N$2000,13,0),1)</f>
        <v>Regular</v>
      </c>
      <c r="T506" s="5">
        <f>IFERROR(VLOOKUP(A506,CLIENTE!$A$2:$N$2000,14,0),1)</f>
        <v>1</v>
      </c>
      <c r="U506" s="5">
        <f t="shared" si="172"/>
        <v>71.958778799199521</v>
      </c>
      <c r="V506" s="5" t="str">
        <f>IF(U506&gt;=MAX(_xlfn.PERCENTILE.INC($U$2:$U$1194,PARAMS_MODELO!$B$50),PARAMS_MODELO!$B$45),"DIAMANTE",IF(U506&gt;=MAX(_xlfn.PERCENTILE.INC($U$2:$U$1194,PARAMS_MODELO!$B$51),PARAMS_MODELO!$B$46),"PLATINO",IF(U506&gt;=MAX(_xlfn.PERCENTILE.INC($U$2:$U$1194,PARAMS_MODELO!$B$52),PARAMS_MODELO!$B$47),"ORO",IF(U506&gt;=MAX(_xlfn.PERCENTILE.INC($U$2:$U$1194,PARAMS_MODELO!$B$53),PARAMS_MODELO!$B$48),"PLATA",IF(U506&gt;=1,"BRONCE","CERRADO")))))</f>
        <v>ORO</v>
      </c>
      <c r="W506" s="5" t="str" cm="1">
        <f t="array" ref="W506">_xlfn.XLOOKUP(1, (HIST_SCORE!$B:$B=PARAMS_MODELO!$B$4) * (HIST_SCORE!$C:$C=A506), HIST_SCORE!$E:$E, "No encontrado")</f>
        <v>ORO</v>
      </c>
      <c r="X506" s="5" t="str">
        <f>_xlfn.LET(_xlpm.act,MATCH(V506,{"DIAMANTE";"PLATINO";"ORO";"PLATA";"BRONCE";"CERRADO"},0),_xlpm.ant,MATCH(W506,{"DIAMANTE";"PLATINO";"ORO";"PLATA";"BRONCE";"CERRADO"},0),IF(_xlpm.act&lt;_xlpm.ant,"Mejora ↑",IF(_xlpm.act&gt;_xlpm.ant,"Baja ↓","Estable →")))</f>
        <v>Estable →</v>
      </c>
      <c r="Y506" s="5">
        <f>IFERROR(U506-SUMIFS(HIST_SCORE!$D:$D,HIST_SCORE!$B:$B,PARAMS_MODELO!$B$4,HIST_SCORE!$C:$C,$A506),"")</f>
        <v>-10.039239832340201</v>
      </c>
      <c r="Z506" s="5" t="str">
        <f t="shared" si="173"/>
        <v>↓ Baja</v>
      </c>
      <c r="AA506" s="5">
        <f t="shared" si="174"/>
        <v>499</v>
      </c>
      <c r="AB506" s="5">
        <f>IFERROR(SUMIFS(HIST_SCORE!$F:$F,HIST_SCORE!$B:$B,PARAMS_MODELO!$B$4,HIST_SCORE!$C:$C,$A506),"")</f>
        <v>370</v>
      </c>
      <c r="AC506" s="5">
        <f t="shared" si="175"/>
        <v>-129</v>
      </c>
      <c r="AD506" t="str">
        <f t="shared" si="177"/>
        <v>Sostener base y reforzar mix</v>
      </c>
      <c r="AE5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506="CERRADO",1,IF(V506="BRONCE",_xlpm.cPl,IF(V506="PLATA",_xlpm.cO,IF(V506="ORO",_xlpm.cP,IF(V506="PLATINO",_xlpm.cD,999))))))</f>
        <v>86.439123873763251</v>
      </c>
      <c r="AF5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506="CERRADO",0,IF(V506="BRONCE",1,IF(V506="PLATA",_xlpm.cPl,IF(V506="ORO",_xlpm.cO,IF(V506="PLATINO",_xlpm.cP,_xlpm.cD))))))</f>
        <v>63.199193273331495</v>
      </c>
      <c r="AG506">
        <f t="shared" si="178"/>
        <v>14.480345074563729</v>
      </c>
      <c r="AH506" t="str">
        <f t="shared" si="179"/>
        <v>VENTAS</v>
      </c>
      <c r="AI506" t="str">
        <f t="shared" si="176"/>
        <v>🎯 Para subir de categoría, eje VENTAS / IMPACTO ABSOLUTO (H). Acción: metas semanales + activación comercial + seguimiento del asesor. ΔR aprox: 14,5</v>
      </c>
      <c r="AJ506" s="26">
        <f>_xlfn.LET(_xlpm.piso,AF506,_xlpm.corte,AE506,_xlpm.prog,IF(_xlpm.corte&lt;=_xlpm.piso,0,MAX(0,MIN(1,(U506-_xlpm.piso)/(_xlpm.corte-_xlpm.piso)))),_xlpm.orden,{"DIAMANTE";"PLATINO";"ORO";"PLATA";"BRONCE";"CERRADO"},_xlpm.act,IFERROR(MATCH(V506,_xlpm.orden,0),6),_xlpm.ant,IFERROR(MATCH(W506,_xlpm.orden,0),6),_xlpm.ajmov,IF(_xlpm.act&lt;_xlpm.ant,0.08,IF(_xlpm.act&gt;_xlpm.ant,-0.08,0)),_xlpm.ajcli,IF(T506&lt;0.95,-0.06,0),_xlpm.prob,MAX(0,MIN(1,_xlpm.prog+_xlpm.ajmov+_xlpm.ajcli)),IF(OR(V506="DIAMANTE",V506="CERRADO"),0,ROUND(_xlpm.prob,2)))</f>
        <v>0.38</v>
      </c>
      <c r="AK506" t="str">
        <f t="shared" si="180"/>
        <v>Faltan 14,5 puntos base para subir a la siguiente categoría</v>
      </c>
      <c r="AL506" t="str">
        <f t="shared" si="181"/>
        <v>Margen de seguridad: 8,8 puntos</v>
      </c>
      <c r="AM506">
        <f t="shared" si="182"/>
        <v>0.65</v>
      </c>
      <c r="AN506" t="str">
        <f t="shared" si="183"/>
        <v>PRIORIDAD MEDIA – seguimiento del asesor</v>
      </c>
      <c r="AO506">
        <f t="shared" si="184"/>
        <v>19.96983363124334</v>
      </c>
      <c r="AP506">
        <f t="shared" si="185"/>
        <v>0.23395684485272028</v>
      </c>
      <c r="AQ506">
        <f t="shared" si="186"/>
        <v>0</v>
      </c>
      <c r="AR506">
        <f t="shared" si="187"/>
        <v>7.6999999999999993</v>
      </c>
      <c r="AS506">
        <f t="shared" si="188"/>
        <v>0</v>
      </c>
      <c r="AT506" t="str">
        <f t="shared" si="189"/>
        <v>VENTAS</v>
      </c>
      <c r="AU506">
        <f t="shared" si="190"/>
        <v>19.96983363124334</v>
      </c>
      <c r="AV506" t="str">
        <f t="shared" si="191"/>
        <v>Mayor retorno probable: VENTAS (+20,0 puntos finales potenciales).</v>
      </c>
    </row>
    <row r="507" spans="1:48" x14ac:dyDescent="0.3">
      <c r="A507" s="5">
        <v>51038754</v>
      </c>
      <c r="B507" s="5" t="str">
        <f>IFERROR(VLOOKUP(A507,VENTAS!$A$2:$B$1194,2,0),"")</f>
        <v>ROBERTS</v>
      </c>
      <c r="C507" s="5">
        <f>IFERROR(INDEX(VENTAS!$C$2:$E$1194,MATCH(A507,VENTAS!$A$2:$A$1194,0),MATCH(PARAMS_MODELO!$B$2,{"Q1","Q2","Q3"},0)),0)</f>
        <v>65738812.240000002</v>
      </c>
      <c r="D507" s="5">
        <f>IFERROR(INDEX(VENTAS!$F$2:$H$1194,MATCH(A507,VENTAS!$A$2:$A$1194,0),MATCH(PARAMS_MODELO!$B$2,{"Q1","Q2","Q3"},0)),0)</f>
        <v>76280027</v>
      </c>
      <c r="E507" s="8">
        <f t="shared" si="168"/>
        <v>0.16034994245889345</v>
      </c>
      <c r="F507" s="12">
        <f>IF(E507&lt;=PARAMS_MODELO!$B$15,0,IF(E507&gt;=PARAMS_MODELO!$B$17,100,100*MIN(1,(E507-PARAMS_MODELO!$B$15)/(PARAMS_MODELO!$B$16-PARAMS_MODELO!$B$15))))*PARAMS_MODELO!$B$7</f>
        <v>35</v>
      </c>
      <c r="G507" s="5">
        <f t="shared" si="169"/>
        <v>10541214.759999998</v>
      </c>
      <c r="H507" s="5">
        <f>(PARAMS_MODELO!$B$20*(MAX(0,MIN(3,E507))/3)+PARAMS_MODELO!$B$21*(IFERROR(LN(1+MAX(0,G507))/LN(1+MAX(0,MAX($G$2:$G$1194))),0)))*100*PARAMS_MODELO!$B$8</f>
        <v>4.3518868809683084</v>
      </c>
      <c r="I507" s="8">
        <f>E507-PARAMS_MODELO!$B$5</f>
        <v>-1.7212892916633082E-2</v>
      </c>
      <c r="J507" s="5">
        <f>IF(I507&lt;=PARAMS_MODELO!$B$18,0,IF(I507&gt;=PARAMS_MODELO!$B$19,100,100*(I507-PARAMS_MODELO!$B$18)/(PARAMS_MODELO!$B$19-PARAMS_MODELO!$B$18)))*PARAMS_MODELO!$B$9</f>
        <v>4.9180660625050381</v>
      </c>
      <c r="K507" s="5">
        <f>IFERROR(CHOOSE(MATCH(PARAMS_MODELO!$B$2,{"Q1","Q2","Q3"},0),LOTO!$D507,LOTO!$F507,LOTO!$H507),0)</f>
        <v>3747500</v>
      </c>
      <c r="L507" s="8">
        <f t="shared" si="170"/>
        <v>4.9128194461703585E-2</v>
      </c>
      <c r="M507" s="5">
        <f>MIN(100,IF(PARAMS_MODELO!$B$23=0,0,100*L507/PARAMS_MODELO!$B$23))*PARAMS_MODELO!$B$10</f>
        <v>14.738458338511073</v>
      </c>
      <c r="N507" s="5">
        <f>IFERROR(VLOOKUP(A507,COMPLIANCE!$A$2:$F$1996,6,0),100)</f>
        <v>99.98</v>
      </c>
      <c r="O507" s="5">
        <f>N507*PARAMS_MODELO!$B$11</f>
        <v>9.9980000000000011</v>
      </c>
      <c r="P507" s="5">
        <f>IFERROR(VLOOKUP(A507,DIGITAL!$A$2:$J$2000,7,0),100)</f>
        <v>48</v>
      </c>
      <c r="Q507" s="5">
        <f>IFERROR(P507,0)*PARAMS_MODELO!$B$12</f>
        <v>4.8000000000000007</v>
      </c>
      <c r="R507">
        <f t="shared" si="171"/>
        <v>73.806411281984424</v>
      </c>
      <c r="S507" s="5" t="str">
        <f>IFERROR(VLOOKUP(A507,CLIENTE!$A$2:$N$2000,13,0),1)</f>
        <v>Bueno</v>
      </c>
      <c r="T507" s="5">
        <f>IFERROR(VLOOKUP(A507,CLIENTE!$A$2:$N$2000,14,0),1)</f>
        <v>1.1000000000000001</v>
      </c>
      <c r="U507" s="5">
        <f t="shared" si="172"/>
        <v>81.187052410182872</v>
      </c>
      <c r="V507" s="5" t="str">
        <f>IF(U507&gt;=MAX(_xlfn.PERCENTILE.INC($U$2:$U$1194,PARAMS_MODELO!$B$50),PARAMS_MODELO!$B$45),"DIAMANTE",IF(U507&gt;=MAX(_xlfn.PERCENTILE.INC($U$2:$U$1194,PARAMS_MODELO!$B$51),PARAMS_MODELO!$B$46),"PLATINO",IF(U507&gt;=MAX(_xlfn.PERCENTILE.INC($U$2:$U$1194,PARAMS_MODELO!$B$52),PARAMS_MODELO!$B$47),"ORO",IF(U507&gt;=MAX(_xlfn.PERCENTILE.INC($U$2:$U$1194,PARAMS_MODELO!$B$53),PARAMS_MODELO!$B$48),"PLATA",IF(U507&gt;=1,"BRONCE","CERRADO")))))</f>
        <v>ORO</v>
      </c>
      <c r="W507" s="5" t="str" cm="1">
        <f t="array" ref="W507">_xlfn.XLOOKUP(1, (HIST_SCORE!$B:$B=PARAMS_MODELO!$B$4) * (HIST_SCORE!$C:$C=A507), HIST_SCORE!$E:$E, "No encontrado")</f>
        <v>ORO</v>
      </c>
      <c r="X507" s="5" t="str">
        <f>_xlfn.LET(_xlpm.act,MATCH(V507,{"DIAMANTE";"PLATINO";"ORO";"PLATA";"BRONCE";"CERRADO"},0),_xlpm.ant,MATCH(W507,{"DIAMANTE";"PLATINO";"ORO";"PLATA";"BRONCE";"CERRADO"},0),IF(_xlpm.act&lt;_xlpm.ant,"Mejora ↑",IF(_xlpm.act&gt;_xlpm.ant,"Baja ↓","Estable →")))</f>
        <v>Estable →</v>
      </c>
      <c r="Y507" s="5">
        <f>IFERROR(U507-SUMIFS(HIST_SCORE!$D:$D,HIST_SCORE!$B:$B,PARAMS_MODELO!$B$4,HIST_SCORE!$C:$C,$A507),"")</f>
        <v>2.0475372311377384</v>
      </c>
      <c r="Z507" s="5" t="str">
        <f t="shared" si="173"/>
        <v>→ Estable</v>
      </c>
      <c r="AA507" s="5">
        <f t="shared" si="174"/>
        <v>408</v>
      </c>
      <c r="AB507" s="5">
        <f>IFERROR(SUMIFS(HIST_SCORE!$F:$F,HIST_SCORE!$B:$B,PARAMS_MODELO!$B$4,HIST_SCORE!$C:$C,$A507),"")</f>
        <v>436</v>
      </c>
      <c r="AC507" s="5">
        <f t="shared" si="175"/>
        <v>28</v>
      </c>
      <c r="AD507" t="str">
        <f t="shared" si="177"/>
        <v/>
      </c>
      <c r="AE5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507="CERRADO",1,IF(V507="BRONCE",_xlpm.cPl,IF(V507="PLATA",_xlpm.cO,IF(V507="ORO",_xlpm.cP,IF(V507="PLATINO",_xlpm.cD,999))))))</f>
        <v>86.439123873763251</v>
      </c>
      <c r="AF5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507="CERRADO",0,IF(V507="BRONCE",1,IF(V507="PLATA",_xlpm.cPl,IF(V507="ORO",_xlpm.cO,IF(V507="PLATINO",_xlpm.cP,_xlpm.cD))))))</f>
        <v>63.199193273331495</v>
      </c>
      <c r="AG507">
        <f t="shared" si="178"/>
        <v>4.7746104214367051</v>
      </c>
      <c r="AH507" t="str">
        <f t="shared" si="179"/>
        <v>VENTAS</v>
      </c>
      <c r="AI507" t="str">
        <f t="shared" si="176"/>
        <v>🎯 Para subir de categoría, eje VENTAS / IMPACTO ABSOLUTO (H). Acción: metas semanales + activación comercial + seguimiento del asesor. ΔR aprox: 4,8</v>
      </c>
      <c r="AJ507" s="26">
        <f>_xlfn.LET(_xlpm.piso,AF507,_xlpm.corte,AE507,_xlpm.prog,IF(_xlpm.corte&lt;=_xlpm.piso,0,MAX(0,MIN(1,(U507-_xlpm.piso)/(_xlpm.corte-_xlpm.piso)))),_xlpm.orden,{"DIAMANTE";"PLATINO";"ORO";"PLATA";"BRONCE";"CERRADO"},_xlpm.act,IFERROR(MATCH(V507,_xlpm.orden,0),6),_xlpm.ant,IFERROR(MATCH(W507,_xlpm.orden,0),6),_xlpm.ajmov,IF(_xlpm.act&lt;_xlpm.ant,0.08,IF(_xlpm.act&gt;_xlpm.ant,-0.08,0)),_xlpm.ajcli,IF(T507&lt;0.95,-0.06,0),_xlpm.prob,MAX(0,MIN(1,_xlpm.prog+_xlpm.ajmov+_xlpm.ajcli)),IF(OR(V507="DIAMANTE",V507="CERRADO"),0,ROUND(_xlpm.prob,2)))</f>
        <v>0.77</v>
      </c>
      <c r="AK507" t="str">
        <f t="shared" si="180"/>
        <v>Faltan 4,8 puntos base para subir a la siguiente categoría</v>
      </c>
      <c r="AL507" t="str">
        <f t="shared" si="181"/>
        <v>Margen de seguridad: 18,0 puntos</v>
      </c>
      <c r="AM507">
        <f t="shared" si="182"/>
        <v>0.28000000000000003</v>
      </c>
      <c r="AN507" t="str">
        <f t="shared" si="183"/>
        <v>PRIORIDAD BAJA – control normal</v>
      </c>
      <c r="AO507">
        <f t="shared" si="184"/>
        <v>22.651877965004459</v>
      </c>
      <c r="AP507">
        <f t="shared" si="185"/>
        <v>0.2876958276378197</v>
      </c>
      <c r="AQ507">
        <f t="shared" si="186"/>
        <v>2.1999999999987811E-3</v>
      </c>
      <c r="AR507">
        <f t="shared" si="187"/>
        <v>5.72</v>
      </c>
      <c r="AS507">
        <f t="shared" si="188"/>
        <v>0</v>
      </c>
      <c r="AT507" t="str">
        <f t="shared" si="189"/>
        <v>VENTAS</v>
      </c>
      <c r="AU507">
        <f t="shared" si="190"/>
        <v>22.651877965004459</v>
      </c>
      <c r="AV507" t="str">
        <f t="shared" si="191"/>
        <v>Mayor retorno probable: VENTAS (+22,7 puntos finales potenciales).</v>
      </c>
    </row>
    <row r="508" spans="1:48" x14ac:dyDescent="0.3">
      <c r="A508" s="5">
        <v>51004761</v>
      </c>
      <c r="B508" s="5" t="str">
        <f>IFERROR(VLOOKUP(A508,VENTAS!$A$2:$B$1194,2,0),"")</f>
        <v>CICHETTO</v>
      </c>
      <c r="C508" s="5">
        <f>IFERROR(INDEX(VENTAS!$C$2:$E$1194,MATCH(A508,VENTAS!$A$2:$A$1194,0),MATCH(PARAMS_MODELO!$B$2,{"Q1","Q2","Q3"},0)),0)</f>
        <v>74640433.140000001</v>
      </c>
      <c r="D508" s="5">
        <f>IFERROR(INDEX(VENTAS!$F$2:$H$1194,MATCH(A508,VENTAS!$A$2:$A$1194,0),MATCH(PARAMS_MODELO!$B$2,{"Q1","Q2","Q3"},0)),0)</f>
        <v>76231594</v>
      </c>
      <c r="E508" s="8">
        <f t="shared" si="168"/>
        <v>2.1317679882906448E-2</v>
      </c>
      <c r="F508" s="12">
        <f>IF(E508&lt;=PARAMS_MODELO!$B$15,0,IF(E508&gt;=PARAMS_MODELO!$B$17,100,100*MIN(1,(E508-PARAMS_MODELO!$B$15)/(PARAMS_MODELO!$B$16-PARAMS_MODELO!$B$15))))*PARAMS_MODELO!$B$7</f>
        <v>7.4611879590172556</v>
      </c>
      <c r="G508" s="5">
        <f t="shared" si="169"/>
        <v>1591160.8599999994</v>
      </c>
      <c r="H508" s="5">
        <f>(PARAMS_MODELO!$B$20*(MAX(0,MIN(3,E508))/3)+PARAMS_MODELO!$B$21*(IFERROR(LN(1+MAX(0,G508))/LN(1+MAX(0,MAX($G$2:$G$1194))),0)))*100*PARAMS_MODELO!$B$8</f>
        <v>3.4220373865978813</v>
      </c>
      <c r="I508" s="8">
        <f>E508-PARAMS_MODELO!$B$5</f>
        <v>-0.15624515549262008</v>
      </c>
      <c r="J508" s="5">
        <f>IF(I508&lt;=PARAMS_MODELO!$B$18,0,IF(I508&gt;=PARAMS_MODELO!$B$19,100,100*(I508-PARAMS_MODELO!$B$18)/(PARAMS_MODELO!$B$19-PARAMS_MODELO!$B$18)))*PARAMS_MODELO!$B$9</f>
        <v>0</v>
      </c>
      <c r="K508" s="5">
        <f>IFERROR(CHOOSE(MATCH(PARAMS_MODELO!$B$2,{"Q1","Q2","Q3"},0),LOTO!$D508,LOTO!$F508,LOTO!$H508),0)</f>
        <v>3747500</v>
      </c>
      <c r="L508" s="8">
        <f t="shared" si="170"/>
        <v>4.9159407581061472E-2</v>
      </c>
      <c r="M508" s="5">
        <f>MIN(100,IF(PARAMS_MODELO!$B$23=0,0,100*L508/PARAMS_MODELO!$B$23))*PARAMS_MODELO!$B$10</f>
        <v>14.747822274318441</v>
      </c>
      <c r="N508" s="5">
        <f>IFERROR(VLOOKUP(A508,COMPLIANCE!$A$2:$F$1996,6,0),100)</f>
        <v>100</v>
      </c>
      <c r="O508" s="5">
        <f>N508*PARAMS_MODELO!$B$11</f>
        <v>10</v>
      </c>
      <c r="P508" s="5">
        <f>IFERROR(VLOOKUP(A508,DIGITAL!$A$2:$J$2000,7,0),100)</f>
        <v>86</v>
      </c>
      <c r="Q508" s="5">
        <f>IFERROR(P508,0)*PARAMS_MODELO!$B$12</f>
        <v>8.6</v>
      </c>
      <c r="R508">
        <f t="shared" si="171"/>
        <v>44.231047619933584</v>
      </c>
      <c r="S508" s="5" t="str">
        <f>IFERROR(VLOOKUP(A508,CLIENTE!$A$2:$N$2000,13,0),1)</f>
        <v>Regular</v>
      </c>
      <c r="T508" s="5">
        <f>IFERROR(VLOOKUP(A508,CLIENTE!$A$2:$N$2000,14,0),1)</f>
        <v>1</v>
      </c>
      <c r="U508" s="5">
        <f t="shared" si="172"/>
        <v>44.231047619933584</v>
      </c>
      <c r="V508" s="5" t="str">
        <f>IF(U508&gt;=MAX(_xlfn.PERCENTILE.INC($U$2:$U$1194,PARAMS_MODELO!$B$50),PARAMS_MODELO!$B$45),"DIAMANTE",IF(U508&gt;=MAX(_xlfn.PERCENTILE.INC($U$2:$U$1194,PARAMS_MODELO!$B$51),PARAMS_MODELO!$B$46),"PLATINO",IF(U508&gt;=MAX(_xlfn.PERCENTILE.INC($U$2:$U$1194,PARAMS_MODELO!$B$52),PARAMS_MODELO!$B$47),"ORO",IF(U508&gt;=MAX(_xlfn.PERCENTILE.INC($U$2:$U$1194,PARAMS_MODELO!$B$53),PARAMS_MODELO!$B$48),"PLATA",IF(U508&gt;=1,"BRONCE","CERRADO")))))</f>
        <v>PLATA</v>
      </c>
      <c r="W508" s="5" t="str" cm="1">
        <f t="array" ref="W508">_xlfn.XLOOKUP(1, (HIST_SCORE!$B:$B=PARAMS_MODELO!$B$4) * (HIST_SCORE!$C:$C=A508), HIST_SCORE!$E:$E, "No encontrado")</f>
        <v>PLATA</v>
      </c>
      <c r="X508" s="5" t="str">
        <f>_xlfn.LET(_xlpm.act,MATCH(V508,{"DIAMANTE";"PLATINO";"ORO";"PLATA";"BRONCE";"CERRADO"},0),_xlpm.ant,MATCH(W508,{"DIAMANTE";"PLATINO";"ORO";"PLATA";"BRONCE";"CERRADO"},0),IF(_xlpm.act&lt;_xlpm.ant,"Mejora ↑",IF(_xlpm.act&gt;_xlpm.ant,"Baja ↓","Estable →")))</f>
        <v>Estable →</v>
      </c>
      <c r="Y508" s="5">
        <f>IFERROR(U508-SUMIFS(HIST_SCORE!$D:$D,HIST_SCORE!$B:$B,PARAMS_MODELO!$B$4,HIST_SCORE!$C:$C,$A508),"")</f>
        <v>11.576581146369151</v>
      </c>
      <c r="Z508" s="5" t="str">
        <f t="shared" si="173"/>
        <v>↑ Mejora</v>
      </c>
      <c r="AA508" s="5">
        <f t="shared" si="174"/>
        <v>775</v>
      </c>
      <c r="AB508" s="5">
        <f>IFERROR(SUMIFS(HIST_SCORE!$F:$F,HIST_SCORE!$B:$B,PARAMS_MODELO!$B$4,HIST_SCORE!$C:$C,$A508),"")</f>
        <v>882</v>
      </c>
      <c r="AC508" s="5">
        <f t="shared" si="175"/>
        <v>107</v>
      </c>
      <c r="AD508" t="str">
        <f t="shared" si="177"/>
        <v/>
      </c>
      <c r="AE5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508="CERRADO",1,IF(V508="BRONCE",_xlpm.cPl,IF(V508="PLATA",_xlpm.cO,IF(V508="ORO",_xlpm.cP,IF(V508="PLATINO",_xlpm.cD,999))))))</f>
        <v>63.199193273331495</v>
      </c>
      <c r="AF5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508="CERRADO",0,IF(V508="BRONCE",1,IF(V508="PLATA",_xlpm.cPl,IF(V508="ORO",_xlpm.cO,IF(V508="PLATINO",_xlpm.cP,_xlpm.cD))))))</f>
        <v>24.506573482968111</v>
      </c>
      <c r="AG508">
        <f t="shared" si="178"/>
        <v>18.968145653397912</v>
      </c>
      <c r="AH508" t="str">
        <f t="shared" si="179"/>
        <v>VENTAS</v>
      </c>
      <c r="AI508" t="str">
        <f t="shared" si="176"/>
        <v>🎯 Para subir de categoría, eje VENTAS / DIFERENCIAL vs LOTBA (J). Acción: metas semanales + activación comercial + seguimiento del asesor. ΔR aprox: 19,0</v>
      </c>
      <c r="AJ508" s="26">
        <f>_xlfn.LET(_xlpm.piso,AF508,_xlpm.corte,AE508,_xlpm.prog,IF(_xlpm.corte&lt;=_xlpm.piso,0,MAX(0,MIN(1,(U508-_xlpm.piso)/(_xlpm.corte-_xlpm.piso)))),_xlpm.orden,{"DIAMANTE";"PLATINO";"ORO";"PLATA";"BRONCE";"CERRADO"},_xlpm.act,IFERROR(MATCH(V508,_xlpm.orden,0),6),_xlpm.ant,IFERROR(MATCH(W508,_xlpm.orden,0),6),_xlpm.ajmov,IF(_xlpm.act&lt;_xlpm.ant,0.08,IF(_xlpm.act&gt;_xlpm.ant,-0.08,0)),_xlpm.ajcli,IF(T508&lt;0.95,-0.06,0),_xlpm.prob,MAX(0,MIN(1,_xlpm.prog+_xlpm.ajmov+_xlpm.ajcli)),IF(OR(V508="DIAMANTE",V508="CERRADO"),0,ROUND(_xlpm.prob,2)))</f>
        <v>0.51</v>
      </c>
      <c r="AK508" t="str">
        <f t="shared" si="180"/>
        <v>Faltan 19,0 puntos base para subir a la siguiente categoría</v>
      </c>
      <c r="AL508" t="str">
        <f t="shared" si="181"/>
        <v>Margen de seguridad: 19,7 puntos</v>
      </c>
      <c r="AM508">
        <f t="shared" si="182"/>
        <v>0.6</v>
      </c>
      <c r="AN508" t="str">
        <f t="shared" si="183"/>
        <v>PRIORIDAD MEDIA – seguimiento del asesor</v>
      </c>
      <c r="AO508">
        <f t="shared" si="184"/>
        <v>53.979343929680446</v>
      </c>
      <c r="AP508">
        <f t="shared" si="185"/>
        <v>0.25217772568155894</v>
      </c>
      <c r="AQ508">
        <f t="shared" si="186"/>
        <v>0</v>
      </c>
      <c r="AR508">
        <f t="shared" si="187"/>
        <v>1.4000000000000004</v>
      </c>
      <c r="AS508">
        <f t="shared" si="188"/>
        <v>0</v>
      </c>
      <c r="AT508" t="str">
        <f t="shared" si="189"/>
        <v>VENTAS</v>
      </c>
      <c r="AU508">
        <f t="shared" si="190"/>
        <v>53.979343929680446</v>
      </c>
      <c r="AV508" t="str">
        <f t="shared" si="191"/>
        <v>Mayor retorno probable: VENTAS (+54,0 puntos finales potenciales).</v>
      </c>
    </row>
    <row r="509" spans="1:48" x14ac:dyDescent="0.3">
      <c r="A509" s="5">
        <v>51023358</v>
      </c>
      <c r="B509" s="5" t="str">
        <f>IFERROR(VLOOKUP(A509,VENTAS!$A$2:$B$1194,2,0),"")</f>
        <v>ROBERTS</v>
      </c>
      <c r="C509" s="5">
        <f>IFERROR(INDEX(VENTAS!$C$2:$E$1194,MATCH(A509,VENTAS!$A$2:$A$1194,0),MATCH(PARAMS_MODELO!$B$2,{"Q1","Q2","Q3"},0)),0)</f>
        <v>78217735.549999997</v>
      </c>
      <c r="D509" s="5">
        <f>IFERROR(INDEX(VENTAS!$F$2:$H$1194,MATCH(A509,VENTAS!$A$2:$A$1194,0),MATCH(PARAMS_MODELO!$B$2,{"Q1","Q2","Q3"},0)),0)</f>
        <v>75400211</v>
      </c>
      <c r="E509" s="8">
        <f t="shared" si="168"/>
        <v>-3.6021556111131892E-2</v>
      </c>
      <c r="F509" s="12">
        <f>IF(E509&lt;=PARAMS_MODELO!$B$15,0,IF(E509&gt;=PARAMS_MODELO!$B$17,100,100*MIN(1,(E509-PARAMS_MODELO!$B$15)/(PARAMS_MODELO!$B$16-PARAMS_MODELO!$B$15))))*PARAMS_MODELO!$B$7</f>
        <v>0</v>
      </c>
      <c r="G509" s="5">
        <f t="shared" si="169"/>
        <v>0</v>
      </c>
      <c r="H509" s="5">
        <f>(PARAMS_MODELO!$B$20*(MAX(0,MIN(3,E509))/3)+PARAMS_MODELO!$B$21*(IFERROR(LN(1+MAX(0,G509))/LN(1+MAX(0,MAX($G$2:$G$1194))),0)))*100*PARAMS_MODELO!$B$8</f>
        <v>0</v>
      </c>
      <c r="I509" s="8">
        <f>E509-PARAMS_MODELO!$B$5</f>
        <v>-0.21358439148665842</v>
      </c>
      <c r="J509" s="5">
        <f>IF(I509&lt;=PARAMS_MODELO!$B$18,0,IF(I509&gt;=PARAMS_MODELO!$B$19,100,100*(I509-PARAMS_MODELO!$B$18)/(PARAMS_MODELO!$B$19-PARAMS_MODELO!$B$18)))*PARAMS_MODELO!$B$9</f>
        <v>0</v>
      </c>
      <c r="K509" s="5">
        <f>IFERROR(CHOOSE(MATCH(PARAMS_MODELO!$B$2,{"Q1","Q2","Q3"},0),LOTO!$D509,LOTO!$F509,LOTO!$H509),0)</f>
        <v>3732500</v>
      </c>
      <c r="L509" s="8">
        <f t="shared" si="170"/>
        <v>4.9502513991638568E-2</v>
      </c>
      <c r="M509" s="5">
        <f>MIN(100,IF(PARAMS_MODELO!$B$23=0,0,100*L509/PARAMS_MODELO!$B$23))*PARAMS_MODELO!$B$10</f>
        <v>14.850754197491566</v>
      </c>
      <c r="N509" s="5">
        <f>IFERROR(VLOOKUP(A509,COMPLIANCE!$A$2:$F$1996,6,0),100)</f>
        <v>100</v>
      </c>
      <c r="O509" s="5">
        <f>N509*PARAMS_MODELO!$B$11</f>
        <v>10</v>
      </c>
      <c r="P509" s="5">
        <f>IFERROR(VLOOKUP(A509,DIGITAL!$A$2:$J$2000,7,0),100)</f>
        <v>55</v>
      </c>
      <c r="Q509" s="5">
        <f>IFERROR(P509,0)*PARAMS_MODELO!$B$12</f>
        <v>5.5</v>
      </c>
      <c r="R509">
        <f t="shared" si="171"/>
        <v>30.350754197491568</v>
      </c>
      <c r="S509" s="5" t="str">
        <f>IFERROR(VLOOKUP(A509,CLIENTE!$A$2:$N$2000,13,0),1)</f>
        <v>Regular</v>
      </c>
      <c r="T509" s="5">
        <f>IFERROR(VLOOKUP(A509,CLIENTE!$A$2:$N$2000,14,0),1)</f>
        <v>1</v>
      </c>
      <c r="U509" s="5">
        <f t="shared" si="172"/>
        <v>30.350754197491568</v>
      </c>
      <c r="V509" s="5" t="str">
        <f>IF(U509&gt;=MAX(_xlfn.PERCENTILE.INC($U$2:$U$1194,PARAMS_MODELO!$B$50),PARAMS_MODELO!$B$45),"DIAMANTE",IF(U509&gt;=MAX(_xlfn.PERCENTILE.INC($U$2:$U$1194,PARAMS_MODELO!$B$51),PARAMS_MODELO!$B$46),"PLATINO",IF(U509&gt;=MAX(_xlfn.PERCENTILE.INC($U$2:$U$1194,PARAMS_MODELO!$B$52),PARAMS_MODELO!$B$47),"ORO",IF(U509&gt;=MAX(_xlfn.PERCENTILE.INC($U$2:$U$1194,PARAMS_MODELO!$B$53),PARAMS_MODELO!$B$48),"PLATA",IF(U509&gt;=1,"BRONCE","CERRADO")))))</f>
        <v>PLATA</v>
      </c>
      <c r="W509" s="5" t="str" cm="1">
        <f t="array" ref="W509">_xlfn.XLOOKUP(1, (HIST_SCORE!$B:$B=PARAMS_MODELO!$B$4) * (HIST_SCORE!$C:$C=A509), HIST_SCORE!$E:$E, "No encontrado")</f>
        <v>PLATA</v>
      </c>
      <c r="X509" s="5" t="str">
        <f>_xlfn.LET(_xlpm.act,MATCH(V509,{"DIAMANTE";"PLATINO";"ORO";"PLATA";"BRONCE";"CERRADO"},0),_xlpm.ant,MATCH(W509,{"DIAMANTE";"PLATINO";"ORO";"PLATA";"BRONCE";"CERRADO"},0),IF(_xlpm.act&lt;_xlpm.ant,"Mejora ↑",IF(_xlpm.act&gt;_xlpm.ant,"Baja ↓","Estable →")))</f>
        <v>Estable →</v>
      </c>
      <c r="Y509" s="5">
        <f>IFERROR(U509-SUMIFS(HIST_SCORE!$D:$D,HIST_SCORE!$B:$B,PARAMS_MODELO!$B$4,HIST_SCORE!$C:$C,$A509),"")</f>
        <v>-15.924825676398143</v>
      </c>
      <c r="Z509" s="5" t="str">
        <f t="shared" si="173"/>
        <v>↓ Baja</v>
      </c>
      <c r="AA509" s="5">
        <f t="shared" si="174"/>
        <v>860</v>
      </c>
      <c r="AB509" s="5">
        <f>IFERROR(SUMIFS(HIST_SCORE!$F:$F,HIST_SCORE!$B:$B,PARAMS_MODELO!$B$4,HIST_SCORE!$C:$C,$A509),"")</f>
        <v>814</v>
      </c>
      <c r="AC509" s="5">
        <f t="shared" si="175"/>
        <v>-46</v>
      </c>
      <c r="AD509" t="str">
        <f t="shared" si="177"/>
        <v/>
      </c>
      <c r="AE5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509="CERRADO",1,IF(V509="BRONCE",_xlpm.cPl,IF(V509="PLATA",_xlpm.cO,IF(V509="ORO",_xlpm.cP,IF(V509="PLATINO",_xlpm.cD,999))))))</f>
        <v>63.199193273331495</v>
      </c>
      <c r="AF5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509="CERRADO",0,IF(V509="BRONCE",1,IF(V509="PLATA",_xlpm.cPl,IF(V509="ORO",_xlpm.cO,IF(V509="PLATINO",_xlpm.cP,_xlpm.cD))))))</f>
        <v>24.506573482968111</v>
      </c>
      <c r="AG509">
        <f t="shared" si="178"/>
        <v>32.848439075839927</v>
      </c>
      <c r="AH509" t="str">
        <f t="shared" si="179"/>
        <v>VENTAS</v>
      </c>
      <c r="AI509" t="str">
        <f t="shared" si="176"/>
        <v>🎯 Para subir de categoría, eje VENTAS / CRECIMIENTO PERSONAL (F). Acción: metas semanales + activación comercial + seguimiento del asesor. ΔR aprox: 32,8</v>
      </c>
      <c r="AJ509" s="26">
        <f>_xlfn.LET(_xlpm.piso,AF509,_xlpm.corte,AE509,_xlpm.prog,IF(_xlpm.corte&lt;=_xlpm.piso,0,MAX(0,MIN(1,(U509-_xlpm.piso)/(_xlpm.corte-_xlpm.piso)))),_xlpm.orden,{"DIAMANTE";"PLATINO";"ORO";"PLATA";"BRONCE";"CERRADO"},_xlpm.act,IFERROR(MATCH(V509,_xlpm.orden,0),6),_xlpm.ant,IFERROR(MATCH(W509,_xlpm.orden,0),6),_xlpm.ajmov,IF(_xlpm.act&lt;_xlpm.ant,0.08,IF(_xlpm.act&gt;_xlpm.ant,-0.08,0)),_xlpm.ajcli,IF(T509&lt;0.95,-0.06,0),_xlpm.prob,MAX(0,MIN(1,_xlpm.prog+_xlpm.ajmov+_xlpm.ajcli)),IF(OR(V509="DIAMANTE",V509="CERRADO"),0,ROUND(_xlpm.prob,2)))</f>
        <v>0.15</v>
      </c>
      <c r="AK509" t="str">
        <f t="shared" si="180"/>
        <v>Faltan 32,8 puntos base para subir a la siguiente categoría</v>
      </c>
      <c r="AL509" t="str">
        <f t="shared" si="181"/>
        <v>Margen de seguridad: 5,8 puntos</v>
      </c>
      <c r="AM509">
        <f t="shared" si="182"/>
        <v>0.74</v>
      </c>
      <c r="AN509" t="str">
        <f t="shared" si="183"/>
        <v>PRIORIDAD ALTA – requiere intervención inmediata</v>
      </c>
      <c r="AO509">
        <f t="shared" si="184"/>
        <v>64.862569275295584</v>
      </c>
      <c r="AP509">
        <f t="shared" si="185"/>
        <v>0.14924580250843356</v>
      </c>
      <c r="AQ509">
        <f t="shared" si="186"/>
        <v>0</v>
      </c>
      <c r="AR509">
        <f t="shared" si="187"/>
        <v>4.5</v>
      </c>
      <c r="AS509">
        <f t="shared" si="188"/>
        <v>0</v>
      </c>
      <c r="AT509" t="str">
        <f t="shared" si="189"/>
        <v>VENTAS</v>
      </c>
      <c r="AU509">
        <f t="shared" si="190"/>
        <v>64.862569275295584</v>
      </c>
      <c r="AV509" t="str">
        <f t="shared" si="191"/>
        <v>Mayor retorno probable: VENTAS (+64,9 puntos finales potenciales).</v>
      </c>
    </row>
    <row r="510" spans="1:48" x14ac:dyDescent="0.3">
      <c r="A510" s="5">
        <v>51022670</v>
      </c>
      <c r="B510" s="5" t="str">
        <f>IFERROR(VLOOKUP(A510,VENTAS!$A$2:$B$1194,2,0),"")</f>
        <v>MONTENEGRO</v>
      </c>
      <c r="C510" s="5">
        <f>IFERROR(INDEX(VENTAS!$C$2:$E$1194,MATCH(A510,VENTAS!$A$2:$A$1194,0),MATCH(PARAMS_MODELO!$B$2,{"Q1","Q2","Q3"},0)),0)</f>
        <v>58040125.760000013</v>
      </c>
      <c r="D510" s="5">
        <f>IFERROR(INDEX(VENTAS!$F$2:$H$1194,MATCH(A510,VENTAS!$A$2:$A$1194,0),MATCH(PARAMS_MODELO!$B$2,{"Q1","Q2","Q3"},0)),0)</f>
        <v>75359402</v>
      </c>
      <c r="E510" s="8">
        <f t="shared" si="168"/>
        <v>0.29840176969320176</v>
      </c>
      <c r="F510" s="12">
        <f>IF(E510&lt;=PARAMS_MODELO!$B$15,0,IF(E510&gt;=PARAMS_MODELO!$B$17,100,100*MIN(1,(E510-PARAMS_MODELO!$B$15)/(PARAMS_MODELO!$B$16-PARAMS_MODELO!$B$15))))*PARAMS_MODELO!$B$7</f>
        <v>35</v>
      </c>
      <c r="G510" s="5">
        <f t="shared" si="169"/>
        <v>17319276.239999987</v>
      </c>
      <c r="H510" s="5">
        <f>(PARAMS_MODELO!$B$20*(MAX(0,MIN(3,E510))/3)+PARAMS_MODELO!$B$21*(IFERROR(LN(1+MAX(0,G510))/LN(1+MAX(0,MAX($G$2:$G$1194))),0)))*100*PARAMS_MODELO!$B$8</f>
        <v>4.9514612046395046</v>
      </c>
      <c r="I510" s="8">
        <f>E510-PARAMS_MODELO!$B$5</f>
        <v>0.12083893431767523</v>
      </c>
      <c r="J510" s="5">
        <f>IF(I510&lt;=PARAMS_MODELO!$B$18,0,IF(I510&gt;=PARAMS_MODELO!$B$19,100,100*(I510-PARAMS_MODELO!$B$18)/(PARAMS_MODELO!$B$19-PARAMS_MODELO!$B$18)))*PARAMS_MODELO!$B$9</f>
        <v>15</v>
      </c>
      <c r="K510" s="5">
        <f>IFERROR(CHOOSE(MATCH(PARAMS_MODELO!$B$2,{"Q1","Q2","Q3"},0),LOTO!$D510,LOTO!$F510,LOTO!$H510),0)</f>
        <v>3725000</v>
      </c>
      <c r="L510" s="8">
        <f t="shared" si="170"/>
        <v>4.9429797757683906E-2</v>
      </c>
      <c r="M510" s="5">
        <f>MIN(100,IF(PARAMS_MODELO!$B$23=0,0,100*L510/PARAMS_MODELO!$B$23))*PARAMS_MODELO!$B$10</f>
        <v>14.82893932730517</v>
      </c>
      <c r="N510" s="5">
        <f>IFERROR(VLOOKUP(A510,COMPLIANCE!$A$2:$F$1996,6,0),100)</f>
        <v>100</v>
      </c>
      <c r="O510" s="5">
        <f>N510*PARAMS_MODELO!$B$11</f>
        <v>10</v>
      </c>
      <c r="P510" s="5">
        <f>IFERROR(VLOOKUP(A510,DIGITAL!$A$2:$J$2000,7,0),100)</f>
        <v>92</v>
      </c>
      <c r="Q510" s="5">
        <f>IFERROR(P510,0)*PARAMS_MODELO!$B$12</f>
        <v>9.2000000000000011</v>
      </c>
      <c r="R510">
        <f t="shared" si="171"/>
        <v>88.980400531944682</v>
      </c>
      <c r="S510" s="5" t="str">
        <f>IFERROR(VLOOKUP(A510,CLIENTE!$A$2:$N$2000,13,0),1)</f>
        <v>Bueno</v>
      </c>
      <c r="T510" s="5">
        <f>IFERROR(VLOOKUP(A510,CLIENTE!$A$2:$N$2000,14,0),1)</f>
        <v>1.1000000000000001</v>
      </c>
      <c r="U510" s="5">
        <f t="shared" si="172"/>
        <v>97.87844058513916</v>
      </c>
      <c r="V510" s="5" t="str">
        <f>IF(U510&gt;=MAX(_xlfn.PERCENTILE.INC($U$2:$U$1194,PARAMS_MODELO!$B$50),PARAMS_MODELO!$B$45),"DIAMANTE",IF(U510&gt;=MAX(_xlfn.PERCENTILE.INC($U$2:$U$1194,PARAMS_MODELO!$B$51),PARAMS_MODELO!$B$46),"PLATINO",IF(U510&gt;=MAX(_xlfn.PERCENTILE.INC($U$2:$U$1194,PARAMS_MODELO!$B$52),PARAMS_MODELO!$B$47),"ORO",IF(U510&gt;=MAX(_xlfn.PERCENTILE.INC($U$2:$U$1194,PARAMS_MODELO!$B$53),PARAMS_MODELO!$B$48),"PLATA",IF(U510&gt;=1,"BRONCE","CERRADO")))))</f>
        <v>DIAMANTE</v>
      </c>
      <c r="W510" s="5" t="str" cm="1">
        <f t="array" ref="W510">_xlfn.XLOOKUP(1, (HIST_SCORE!$B:$B=PARAMS_MODELO!$B$4) * (HIST_SCORE!$C:$C=A510), HIST_SCORE!$E:$E, "No encontrado")</f>
        <v>PLATINO</v>
      </c>
      <c r="X510" s="5" t="str">
        <f>_xlfn.LET(_xlpm.act,MATCH(V510,{"DIAMANTE";"PLATINO";"ORO";"PLATA";"BRONCE";"CERRADO"},0),_xlpm.ant,MATCH(W510,{"DIAMANTE";"PLATINO";"ORO";"PLATA";"BRONCE";"CERRADO"},0),IF(_xlpm.act&lt;_xlpm.ant,"Mejora ↑",IF(_xlpm.act&gt;_xlpm.ant,"Baja ↓","Estable →")))</f>
        <v>Mejora ↑</v>
      </c>
      <c r="Y510" s="5">
        <f>IFERROR(U510-SUMIFS(HIST_SCORE!$D:$D,HIST_SCORE!$B:$B,PARAMS_MODELO!$B$4,HIST_SCORE!$C:$C,$A510),"")</f>
        <v>4.6425958145482156</v>
      </c>
      <c r="Z510" s="5" t="str">
        <f t="shared" si="173"/>
        <v>→ Estable</v>
      </c>
      <c r="AA510" s="5">
        <f t="shared" si="174"/>
        <v>39</v>
      </c>
      <c r="AB510" s="5">
        <f>IFERROR(SUMIFS(HIST_SCORE!$F:$F,HIST_SCORE!$B:$B,PARAMS_MODELO!$B$4,HIST_SCORE!$C:$C,$A510),"")</f>
        <v>86</v>
      </c>
      <c r="AC510" s="5">
        <f t="shared" si="175"/>
        <v>47</v>
      </c>
      <c r="AD510" t="str">
        <f t="shared" si="177"/>
        <v/>
      </c>
      <c r="AE5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510="CERRADO",1,IF(V510="BRONCE",_xlpm.cPl,IF(V510="PLATA",_xlpm.cO,IF(V510="ORO",_xlpm.cP,IF(V510="PLATINO",_xlpm.cD,999))))))</f>
        <v>999</v>
      </c>
      <c r="AF5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510="CERRADO",0,IF(V510="BRONCE",1,IF(V510="PLATA",_xlpm.cPl,IF(V510="ORO",_xlpm.cO,IF(V510="PLATINO",_xlpm.cP,_xlpm.cD))))))</f>
        <v>96.054919694466676</v>
      </c>
      <c r="AG510">
        <f t="shared" si="178"/>
        <v>819.20141764987341</v>
      </c>
      <c r="AH510" t="str">
        <f t="shared" si="179"/>
        <v>SOSTENER</v>
      </c>
      <c r="AI510" t="str">
        <f t="shared" si="176"/>
        <v>✅ Mantener desempeño y monitorear variaciones para sostener categoría.</v>
      </c>
      <c r="AJ510" s="26">
        <f>_xlfn.LET(_xlpm.piso,AF510,_xlpm.corte,AE510,_xlpm.prog,IF(_xlpm.corte&lt;=_xlpm.piso,0,MAX(0,MIN(1,(U510-_xlpm.piso)/(_xlpm.corte-_xlpm.piso)))),_xlpm.orden,{"DIAMANTE";"PLATINO";"ORO";"PLATA";"BRONCE";"CERRADO"},_xlpm.act,IFERROR(MATCH(V510,_xlpm.orden,0),6),_xlpm.ant,IFERROR(MATCH(W510,_xlpm.orden,0),6),_xlpm.ajmov,IF(_xlpm.act&lt;_xlpm.ant,0.08,IF(_xlpm.act&gt;_xlpm.ant,-0.08,0)),_xlpm.ajcli,IF(T510&lt;0.95,-0.06,0),_xlpm.prob,MAX(0,MIN(1,_xlpm.prog+_xlpm.ajmov+_xlpm.ajcli)),IF(OR(V510="DIAMANTE",V510="CERRADO"),0,ROUND(_xlpm.prob,2)))</f>
        <v>0</v>
      </c>
      <c r="AK510" t="str">
        <f t="shared" si="180"/>
        <v>No aplica</v>
      </c>
      <c r="AL510" t="str">
        <f t="shared" si="181"/>
        <v>Margen de seguridad: 1,8 puntos</v>
      </c>
      <c r="AM510">
        <f t="shared" si="182"/>
        <v>0.8</v>
      </c>
      <c r="AN510" t="str">
        <f t="shared" si="183"/>
        <v>PRIORIDAD ALTA – requiere intervención inmediata</v>
      </c>
      <c r="AO510">
        <f t="shared" si="184"/>
        <v>10.902218877721685</v>
      </c>
      <c r="AP510">
        <f t="shared" si="185"/>
        <v>0.18816673996431332</v>
      </c>
      <c r="AQ510">
        <f t="shared" si="186"/>
        <v>0</v>
      </c>
      <c r="AR510">
        <f t="shared" si="187"/>
        <v>0.87999999999999889</v>
      </c>
      <c r="AS510">
        <f t="shared" si="188"/>
        <v>0</v>
      </c>
      <c r="AT510" t="str">
        <f t="shared" si="189"/>
        <v>VENTAS</v>
      </c>
      <c r="AU510">
        <f t="shared" si="190"/>
        <v>10.902218877721685</v>
      </c>
      <c r="AV510" t="str">
        <f t="shared" si="191"/>
        <v>Mayor retorno probable: VENTAS (+10,9 puntos finales potenciales).</v>
      </c>
    </row>
    <row r="511" spans="1:48" x14ac:dyDescent="0.3">
      <c r="A511" s="5">
        <v>51029976</v>
      </c>
      <c r="B511" s="5" t="str">
        <f>IFERROR(VLOOKUP(A511,VENTAS!$A$2:$B$1194,2,0),"")</f>
        <v>MONTENEGRO</v>
      </c>
      <c r="C511" s="5">
        <f>IFERROR(INDEX(VENTAS!$C$2:$E$1194,MATCH(A511,VENTAS!$A$2:$A$1194,0),MATCH(PARAMS_MODELO!$B$2,{"Q1","Q2","Q3"},0)),0)</f>
        <v>54505875.950000003</v>
      </c>
      <c r="D511" s="5">
        <f>IFERROR(INDEX(VENTAS!$F$2:$H$1194,MATCH(A511,VENTAS!$A$2:$A$1194,0),MATCH(PARAMS_MODELO!$B$2,{"Q1","Q2","Q3"},0)),0)</f>
        <v>75329399</v>
      </c>
      <c r="E511" s="8">
        <f t="shared" si="168"/>
        <v>0.38204180167844815</v>
      </c>
      <c r="F511" s="12">
        <f>IF(E511&lt;=PARAMS_MODELO!$B$15,0,IF(E511&gt;=PARAMS_MODELO!$B$17,100,100*MIN(1,(E511-PARAMS_MODELO!$B$15)/(PARAMS_MODELO!$B$16-PARAMS_MODELO!$B$15))))*PARAMS_MODELO!$B$7</f>
        <v>35</v>
      </c>
      <c r="G511" s="5">
        <f t="shared" si="169"/>
        <v>20823523.049999997</v>
      </c>
      <c r="H511" s="5">
        <f>(PARAMS_MODELO!$B$20*(MAX(0,MIN(3,E511))/3)+PARAMS_MODELO!$B$21*(IFERROR(LN(1+MAX(0,G511))/LN(1+MAX(0,MAX($G$2:$G$1194))),0)))*100*PARAMS_MODELO!$B$8</f>
        <v>5.2873951688388923</v>
      </c>
      <c r="I511" s="8">
        <f>E511-PARAMS_MODELO!$B$5</f>
        <v>0.20447896630292162</v>
      </c>
      <c r="J511" s="5">
        <f>IF(I511&lt;=PARAMS_MODELO!$B$18,0,IF(I511&gt;=PARAMS_MODELO!$B$19,100,100*(I511-PARAMS_MODELO!$B$18)/(PARAMS_MODELO!$B$19-PARAMS_MODELO!$B$18)))*PARAMS_MODELO!$B$9</f>
        <v>15</v>
      </c>
      <c r="K511" s="5">
        <f>IFERROR(CHOOSE(MATCH(PARAMS_MODELO!$B$2,{"Q1","Q2","Q3"},0),LOTO!$D511,LOTO!$F511,LOTO!$H511),0)</f>
        <v>3712500</v>
      </c>
      <c r="L511" s="8">
        <f t="shared" si="170"/>
        <v>4.9283547317296401E-2</v>
      </c>
      <c r="M511" s="5">
        <f>MIN(100,IF(PARAMS_MODELO!$B$23=0,0,100*L511/PARAMS_MODELO!$B$23))*PARAMS_MODELO!$B$10</f>
        <v>14.785064195188918</v>
      </c>
      <c r="N511" s="5">
        <f>IFERROR(VLOOKUP(A511,COMPLIANCE!$A$2:$F$1996,6,0),100)</f>
        <v>99.85</v>
      </c>
      <c r="O511" s="5">
        <f>N511*PARAMS_MODELO!$B$11</f>
        <v>9.9849999999999994</v>
      </c>
      <c r="P511" s="5">
        <f>IFERROR(VLOOKUP(A511,DIGITAL!$A$2:$J$2000,7,0),100)</f>
        <v>8</v>
      </c>
      <c r="Q511" s="5">
        <f>IFERROR(P511,0)*PARAMS_MODELO!$B$12</f>
        <v>0.8</v>
      </c>
      <c r="R511">
        <f t="shared" si="171"/>
        <v>80.857459364027804</v>
      </c>
      <c r="S511" s="5" t="str">
        <f>IFERROR(VLOOKUP(A511,CLIENTE!$A$2:$N$2000,13,0),1)</f>
        <v>Regular</v>
      </c>
      <c r="T511" s="5">
        <f>IFERROR(VLOOKUP(A511,CLIENTE!$A$2:$N$2000,14,0),1)</f>
        <v>1</v>
      </c>
      <c r="U511" s="5">
        <f t="shared" si="172"/>
        <v>80.857459364027804</v>
      </c>
      <c r="V511" s="5" t="str">
        <f>IF(U511&gt;=MAX(_xlfn.PERCENTILE.INC($U$2:$U$1194,PARAMS_MODELO!$B$50),PARAMS_MODELO!$B$45),"DIAMANTE",IF(U511&gt;=MAX(_xlfn.PERCENTILE.INC($U$2:$U$1194,PARAMS_MODELO!$B$51),PARAMS_MODELO!$B$46),"PLATINO",IF(U511&gt;=MAX(_xlfn.PERCENTILE.INC($U$2:$U$1194,PARAMS_MODELO!$B$52),PARAMS_MODELO!$B$47),"ORO",IF(U511&gt;=MAX(_xlfn.PERCENTILE.INC($U$2:$U$1194,PARAMS_MODELO!$B$53),PARAMS_MODELO!$B$48),"PLATA",IF(U511&gt;=1,"BRONCE","CERRADO")))))</f>
        <v>ORO</v>
      </c>
      <c r="W511" s="5" t="str" cm="1">
        <f t="array" ref="W511">_xlfn.XLOOKUP(1, (HIST_SCORE!$B:$B=PARAMS_MODELO!$B$4) * (HIST_SCORE!$C:$C=A511), HIST_SCORE!$E:$E, "No encontrado")</f>
        <v>ORO</v>
      </c>
      <c r="X511" s="5" t="str">
        <f>_xlfn.LET(_xlpm.act,MATCH(V511,{"DIAMANTE";"PLATINO";"ORO";"PLATA";"BRONCE";"CERRADO"},0),_xlpm.ant,MATCH(W511,{"DIAMANTE";"PLATINO";"ORO";"PLATA";"BRONCE";"CERRADO"},0),IF(_xlpm.act&lt;_xlpm.ant,"Mejora ↑",IF(_xlpm.act&gt;_xlpm.ant,"Baja ↓","Estable →")))</f>
        <v>Estable →</v>
      </c>
      <c r="Y511" s="5">
        <f>IFERROR(U511-SUMIFS(HIST_SCORE!$D:$D,HIST_SCORE!$B:$B,PARAMS_MODELO!$B$4,HIST_SCORE!$C:$C,$A511),"")</f>
        <v>5.5330386755391743</v>
      </c>
      <c r="Z511" s="5" t="str">
        <f t="shared" si="173"/>
        <v>↑ Mejora</v>
      </c>
      <c r="AA511" s="5">
        <f t="shared" si="174"/>
        <v>417</v>
      </c>
      <c r="AB511" s="5">
        <f>IFERROR(SUMIFS(HIST_SCORE!$F:$F,HIST_SCORE!$B:$B,PARAMS_MODELO!$B$4,HIST_SCORE!$C:$C,$A511),"")</f>
        <v>489</v>
      </c>
      <c r="AC511" s="5">
        <f t="shared" si="175"/>
        <v>72</v>
      </c>
      <c r="AD511" t="str">
        <f t="shared" si="177"/>
        <v/>
      </c>
      <c r="AE5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511="CERRADO",1,IF(V511="BRONCE",_xlpm.cPl,IF(V511="PLATA",_xlpm.cO,IF(V511="ORO",_xlpm.cP,IF(V511="PLATINO",_xlpm.cD,999))))))</f>
        <v>86.439123873763251</v>
      </c>
      <c r="AF5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511="CERRADO",0,IF(V511="BRONCE",1,IF(V511="PLATA",_xlpm.cPl,IF(V511="ORO",_xlpm.cO,IF(V511="PLATINO",_xlpm.cP,_xlpm.cD))))))</f>
        <v>63.199193273331495</v>
      </c>
      <c r="AG511">
        <f t="shared" si="178"/>
        <v>5.5816645097354467</v>
      </c>
      <c r="AH511" t="str">
        <f t="shared" si="179"/>
        <v>VENTAS</v>
      </c>
      <c r="AI511" t="str">
        <f t="shared" si="176"/>
        <v>🎯 Para subir de categoría, eje VENTAS / IMPACTO ABSOLUTO (H). Acción: metas semanales + activación comercial + seguimiento del asesor. ΔR aprox: 5,6</v>
      </c>
      <c r="AJ511" s="26">
        <f>_xlfn.LET(_xlpm.piso,AF511,_xlpm.corte,AE511,_xlpm.prog,IF(_xlpm.corte&lt;=_xlpm.piso,0,MAX(0,MIN(1,(U511-_xlpm.piso)/(_xlpm.corte-_xlpm.piso)))),_xlpm.orden,{"DIAMANTE";"PLATINO";"ORO";"PLATA";"BRONCE";"CERRADO"},_xlpm.act,IFERROR(MATCH(V511,_xlpm.orden,0),6),_xlpm.ant,IFERROR(MATCH(W511,_xlpm.orden,0),6),_xlpm.ajmov,IF(_xlpm.act&lt;_xlpm.ant,0.08,IF(_xlpm.act&gt;_xlpm.ant,-0.08,0)),_xlpm.ajcli,IF(T511&lt;0.95,-0.06,0),_xlpm.prob,MAX(0,MIN(1,_xlpm.prog+_xlpm.ajmov+_xlpm.ajcli)),IF(OR(V511="DIAMANTE",V511="CERRADO"),0,ROUND(_xlpm.prob,2)))</f>
        <v>0.76</v>
      </c>
      <c r="AK511" t="str">
        <f t="shared" si="180"/>
        <v>Faltan 5,6 puntos base para subir a la siguiente categoría</v>
      </c>
      <c r="AL511" t="str">
        <f t="shared" si="181"/>
        <v>Margen de seguridad: 17,7 puntos</v>
      </c>
      <c r="AM511">
        <f t="shared" si="182"/>
        <v>0.32</v>
      </c>
      <c r="AN511" t="str">
        <f t="shared" si="183"/>
        <v>PRIORIDAD BAJA – control normal</v>
      </c>
      <c r="AO511">
        <f t="shared" si="184"/>
        <v>9.5751741064566929</v>
      </c>
      <c r="AP511">
        <f t="shared" si="185"/>
        <v>0.21493580481108232</v>
      </c>
      <c r="AQ511">
        <f t="shared" si="186"/>
        <v>1.5000000000000568E-2</v>
      </c>
      <c r="AR511">
        <f t="shared" si="187"/>
        <v>9.1999999999999993</v>
      </c>
      <c r="AS511">
        <f t="shared" si="188"/>
        <v>0</v>
      </c>
      <c r="AT511" t="str">
        <f t="shared" si="189"/>
        <v>VENTAS</v>
      </c>
      <c r="AU511">
        <f t="shared" si="190"/>
        <v>9.5751741064566929</v>
      </c>
      <c r="AV511" t="str">
        <f t="shared" si="191"/>
        <v>Mayor retorno probable: VENTAS (+9,6 puntos finales potenciales).</v>
      </c>
    </row>
    <row r="512" spans="1:48" x14ac:dyDescent="0.3">
      <c r="A512" s="5">
        <v>51032195</v>
      </c>
      <c r="B512" s="5" t="str">
        <f>IFERROR(VLOOKUP(A512,VENTAS!$A$2:$B$1194,2,0),"")</f>
        <v>METTLER</v>
      </c>
      <c r="C512" s="5">
        <f>IFERROR(INDEX(VENTAS!$C$2:$E$1194,MATCH(A512,VENTAS!$A$2:$A$1194,0),MATCH(PARAMS_MODELO!$B$2,{"Q1","Q2","Q3"},0)),0)</f>
        <v>0</v>
      </c>
      <c r="D512" s="5">
        <f>IFERROR(INDEX(VENTAS!$F$2:$H$1194,MATCH(A512,VENTAS!$A$2:$A$1194,0),MATCH(PARAMS_MODELO!$B$2,{"Q1","Q2","Q3"},0)),0)</f>
        <v>75322105</v>
      </c>
      <c r="E512" s="8">
        <f t="shared" si="168"/>
        <v>0</v>
      </c>
      <c r="F512" s="12">
        <f>IF(E512&lt;=PARAMS_MODELO!$B$15,0,IF(E512&gt;=PARAMS_MODELO!$B$17,100,100*MIN(1,(E512-PARAMS_MODELO!$B$15)/(PARAMS_MODELO!$B$16-PARAMS_MODELO!$B$15))))*PARAMS_MODELO!$B$7</f>
        <v>0</v>
      </c>
      <c r="G512" s="5">
        <f t="shared" si="169"/>
        <v>75322105</v>
      </c>
      <c r="H512" s="5">
        <f>(PARAMS_MODELO!$B$20*(MAX(0,MIN(3,E512))/3)+PARAMS_MODELO!$B$21*(IFERROR(LN(1+MAX(0,G512))/LN(1+MAX(0,MAX($G$2:$G$1194))),0)))*100*PARAMS_MODELO!$B$8</f>
        <v>4.2516326307212715</v>
      </c>
      <c r="I512" s="8">
        <f>E512-PARAMS_MODELO!$B$5</f>
        <v>-0.17756283537552653</v>
      </c>
      <c r="J512" s="5">
        <f>IF(I512&lt;=PARAMS_MODELO!$B$18,0,IF(I512&gt;=PARAMS_MODELO!$B$19,100,100*(I512-PARAMS_MODELO!$B$18)/(PARAMS_MODELO!$B$19-PARAMS_MODELO!$B$18)))*PARAMS_MODELO!$B$9</f>
        <v>0</v>
      </c>
      <c r="K512" s="5">
        <f>IFERROR(CHOOSE(MATCH(PARAMS_MODELO!$B$2,{"Q1","Q2","Q3"},0),LOTO!$D512,LOTO!$F512,LOTO!$H512),0)</f>
        <v>3710000</v>
      </c>
      <c r="L512" s="8">
        <f t="shared" si="170"/>
        <v>4.9255129022217313E-2</v>
      </c>
      <c r="M512" s="5">
        <f>MIN(100,IF(PARAMS_MODELO!$B$23=0,0,100*L512/PARAMS_MODELO!$B$23))*PARAMS_MODELO!$B$10</f>
        <v>14.776538706665193</v>
      </c>
      <c r="N512" s="5">
        <f>IFERROR(VLOOKUP(A512,COMPLIANCE!$A$2:$F$1996,6,0),100)</f>
        <v>100</v>
      </c>
      <c r="O512" s="5">
        <f>N512*PARAMS_MODELO!$B$11</f>
        <v>10</v>
      </c>
      <c r="P512" s="5">
        <f>IFERROR(VLOOKUP(A512,DIGITAL!$A$2:$J$2000,7,0),100)</f>
        <v>35</v>
      </c>
      <c r="Q512" s="5">
        <f>IFERROR(P512,0)*PARAMS_MODELO!$B$12</f>
        <v>3.5</v>
      </c>
      <c r="R512">
        <f t="shared" si="171"/>
        <v>32.528171337386468</v>
      </c>
      <c r="S512" s="5" t="str">
        <f>IFERROR(VLOOKUP(A512,CLIENTE!$A$2:$N$2000,13,0),1)</f>
        <v>Regular</v>
      </c>
      <c r="T512" s="5">
        <f>IFERROR(VLOOKUP(A512,CLIENTE!$A$2:$N$2000,14,0),1)</f>
        <v>1</v>
      </c>
      <c r="U512" s="5">
        <f t="shared" si="172"/>
        <v>32.528171337386468</v>
      </c>
      <c r="V512" s="5" t="str">
        <f>IF(U512&gt;=MAX(_xlfn.PERCENTILE.INC($U$2:$U$1194,PARAMS_MODELO!$B$50),PARAMS_MODELO!$B$45),"DIAMANTE",IF(U512&gt;=MAX(_xlfn.PERCENTILE.INC($U$2:$U$1194,PARAMS_MODELO!$B$51),PARAMS_MODELO!$B$46),"PLATINO",IF(U512&gt;=MAX(_xlfn.PERCENTILE.INC($U$2:$U$1194,PARAMS_MODELO!$B$52),PARAMS_MODELO!$B$47),"ORO",IF(U512&gt;=MAX(_xlfn.PERCENTILE.INC($U$2:$U$1194,PARAMS_MODELO!$B$53),PARAMS_MODELO!$B$48),"PLATA",IF(U512&gt;=1,"BRONCE","CERRADO")))))</f>
        <v>PLATA</v>
      </c>
      <c r="W512" s="5" t="str" cm="1">
        <f t="array" ref="W512">_xlfn.XLOOKUP(1, (HIST_SCORE!$B:$B=PARAMS_MODELO!$B$4) * (HIST_SCORE!$C:$C=A512), HIST_SCORE!$E:$E, "No encontrado")</f>
        <v>PLATA</v>
      </c>
      <c r="X512" s="5" t="str">
        <f>_xlfn.LET(_xlpm.act,MATCH(V512,{"DIAMANTE";"PLATINO";"ORO";"PLATA";"BRONCE";"CERRADO"},0),_xlpm.ant,MATCH(W512,{"DIAMANTE";"PLATINO";"ORO";"PLATA";"BRONCE";"CERRADO"},0),IF(_xlpm.act&lt;_xlpm.ant,"Mejora ↑",IF(_xlpm.act&gt;_xlpm.ant,"Baja ↓","Estable →")))</f>
        <v>Estable →</v>
      </c>
      <c r="Y512" s="5">
        <f>IFERROR(U512-SUMIFS(HIST_SCORE!$D:$D,HIST_SCORE!$B:$B,PARAMS_MODELO!$B$4,HIST_SCORE!$C:$C,$A512),"")</f>
        <v>0.72485407623819498</v>
      </c>
      <c r="Z512" s="5" t="str">
        <f t="shared" si="173"/>
        <v>→ Estable</v>
      </c>
      <c r="AA512" s="5">
        <f t="shared" si="174"/>
        <v>828</v>
      </c>
      <c r="AB512" s="5">
        <f>IFERROR(SUMIFS(HIST_SCORE!$F:$F,HIST_SCORE!$B:$B,PARAMS_MODELO!$B$4,HIST_SCORE!$C:$C,$A512),"")</f>
        <v>891</v>
      </c>
      <c r="AC512" s="5">
        <f t="shared" si="175"/>
        <v>63</v>
      </c>
      <c r="AD512" t="str">
        <f t="shared" si="177"/>
        <v/>
      </c>
      <c r="AE5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512="CERRADO",1,IF(V512="BRONCE",_xlpm.cPl,IF(V512="PLATA",_xlpm.cO,IF(V512="ORO",_xlpm.cP,IF(V512="PLATINO",_xlpm.cD,999))))))</f>
        <v>63.199193273331495</v>
      </c>
      <c r="AF5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512="CERRADO",0,IF(V512="BRONCE",1,IF(V512="PLATA",_xlpm.cPl,IF(V512="ORO",_xlpm.cO,IF(V512="PLATINO",_xlpm.cP,_xlpm.cD))))))</f>
        <v>24.506573482968111</v>
      </c>
      <c r="AG512">
        <f t="shared" si="178"/>
        <v>30.671021935945028</v>
      </c>
      <c r="AH512" t="str">
        <f t="shared" si="179"/>
        <v>VENTAS</v>
      </c>
      <c r="AI512" t="str">
        <f t="shared" si="176"/>
        <v>🎯 Para subir de categoría, eje VENTAS / CRECIMIENTO PERSONAL (F). Acción: metas semanales + activación comercial + seguimiento del asesor. ΔR aprox: 30,7</v>
      </c>
      <c r="AJ512" s="26">
        <f>_xlfn.LET(_xlpm.piso,AF512,_xlpm.corte,AE512,_xlpm.prog,IF(_xlpm.corte&lt;=_xlpm.piso,0,MAX(0,MIN(1,(U512-_xlpm.piso)/(_xlpm.corte-_xlpm.piso)))),_xlpm.orden,{"DIAMANTE";"PLATINO";"ORO";"PLATA";"BRONCE";"CERRADO"},_xlpm.act,IFERROR(MATCH(V512,_xlpm.orden,0),6),_xlpm.ant,IFERROR(MATCH(W512,_xlpm.orden,0),6),_xlpm.ajmov,IF(_xlpm.act&lt;_xlpm.ant,0.08,IF(_xlpm.act&gt;_xlpm.ant,-0.08,0)),_xlpm.ajcli,IF(T512&lt;0.95,-0.06,0),_xlpm.prob,MAX(0,MIN(1,_xlpm.prog+_xlpm.ajmov+_xlpm.ajcli)),IF(OR(V512="DIAMANTE",V512="CERRADO"),0,ROUND(_xlpm.prob,2)))</f>
        <v>0.21</v>
      </c>
      <c r="AK512" t="str">
        <f t="shared" si="180"/>
        <v>Faltan 30,7 puntos base para subir a la siguiente categoría</v>
      </c>
      <c r="AL512" t="str">
        <f t="shared" si="181"/>
        <v>Margen de seguridad: 8,0 puntos</v>
      </c>
      <c r="AM512">
        <f t="shared" si="182"/>
        <v>0.72</v>
      </c>
      <c r="AN512" t="str">
        <f t="shared" si="183"/>
        <v>PRIORIDAD ALTA – requiere intervención inmediata</v>
      </c>
      <c r="AO512">
        <f t="shared" si="184"/>
        <v>60.610936644574309</v>
      </c>
      <c r="AP512">
        <f t="shared" si="185"/>
        <v>0.22346129333480746</v>
      </c>
      <c r="AQ512">
        <f t="shared" si="186"/>
        <v>0</v>
      </c>
      <c r="AR512">
        <f t="shared" si="187"/>
        <v>6.5</v>
      </c>
      <c r="AS512">
        <f t="shared" si="188"/>
        <v>0</v>
      </c>
      <c r="AT512" t="str">
        <f t="shared" si="189"/>
        <v>VENTAS</v>
      </c>
      <c r="AU512">
        <f t="shared" si="190"/>
        <v>60.610936644574309</v>
      </c>
      <c r="AV512" t="str">
        <f t="shared" si="191"/>
        <v>Mayor retorno probable: VENTAS (+60,6 puntos finales potenciales).</v>
      </c>
    </row>
    <row r="513" spans="1:48" x14ac:dyDescent="0.3">
      <c r="A513" s="5">
        <v>51042875</v>
      </c>
      <c r="B513" s="5" t="str">
        <f>IFERROR(VLOOKUP(A513,VENTAS!$A$2:$B$1194,2,0),"")</f>
        <v>CICHETTO</v>
      </c>
      <c r="C513" s="5">
        <f>IFERROR(INDEX(VENTAS!$C$2:$E$1194,MATCH(A513,VENTAS!$A$2:$A$1194,0),MATCH(PARAMS_MODELO!$B$2,{"Q1","Q2","Q3"},0)),0)</f>
        <v>68996173</v>
      </c>
      <c r="D513" s="5">
        <f>IFERROR(INDEX(VENTAS!$F$2:$H$1194,MATCH(A513,VENTAS!$A$2:$A$1194,0),MATCH(PARAMS_MODELO!$B$2,{"Q1","Q2","Q3"},0)),0)</f>
        <v>75223218</v>
      </c>
      <c r="E513" s="8">
        <f t="shared" si="168"/>
        <v>9.0252034703432127E-2</v>
      </c>
      <c r="F513" s="12">
        <f>IF(E513&lt;=PARAMS_MODELO!$B$15,0,IF(E513&gt;=PARAMS_MODELO!$B$17,100,100*MIN(1,(E513-PARAMS_MODELO!$B$15)/(PARAMS_MODELO!$B$16-PARAMS_MODELO!$B$15))))*PARAMS_MODELO!$B$7</f>
        <v>31.588212146201244</v>
      </c>
      <c r="G513" s="5">
        <f t="shared" si="169"/>
        <v>6227045</v>
      </c>
      <c r="H513" s="5">
        <f>(PARAMS_MODELO!$B$20*(MAX(0,MIN(3,E513))/3)+PARAMS_MODELO!$B$21*(IFERROR(LN(1+MAX(0,G513))/LN(1+MAX(0,MAX($G$2:$G$1194))),0)))*100*PARAMS_MODELO!$B$8</f>
        <v>3.9831508466800201</v>
      </c>
      <c r="I513" s="8">
        <f>E513-PARAMS_MODELO!$B$5</f>
        <v>-8.7310800672094402E-2</v>
      </c>
      <c r="J513" s="5">
        <f>IF(I513&lt;=PARAMS_MODELO!$B$18,0,IF(I513&gt;=PARAMS_MODELO!$B$19,100,100*(I513-PARAMS_MODELO!$B$18)/(PARAMS_MODELO!$B$19-PARAMS_MODELO!$B$18)))*PARAMS_MODELO!$B$9</f>
        <v>0</v>
      </c>
      <c r="K513" s="5">
        <f>IFERROR(CHOOSE(MATCH(PARAMS_MODELO!$B$2,{"Q1","Q2","Q3"},0),LOTO!$D513,LOTO!$F513,LOTO!$H513),0)</f>
        <v>3697500</v>
      </c>
      <c r="L513" s="8">
        <f t="shared" si="170"/>
        <v>4.9153706771757621E-2</v>
      </c>
      <c r="M513" s="5">
        <f>MIN(100,IF(PARAMS_MODELO!$B$23=0,0,100*L513/PARAMS_MODELO!$B$23))*PARAMS_MODELO!$B$10</f>
        <v>14.746112031527286</v>
      </c>
      <c r="N513" s="5">
        <f>IFERROR(VLOOKUP(A513,COMPLIANCE!$A$2:$F$1996,6,0),100)</f>
        <v>99.5</v>
      </c>
      <c r="O513" s="5">
        <f>N513*PARAMS_MODELO!$B$11</f>
        <v>9.9500000000000011</v>
      </c>
      <c r="P513" s="5">
        <f>IFERROR(VLOOKUP(A513,DIGITAL!$A$2:$J$2000,7,0),100)</f>
        <v>54</v>
      </c>
      <c r="Q513" s="5">
        <f>IFERROR(P513,0)*PARAMS_MODELO!$B$12</f>
        <v>5.4</v>
      </c>
      <c r="R513">
        <f t="shared" si="171"/>
        <v>65.66747502440856</v>
      </c>
      <c r="S513" s="5" t="str">
        <f>IFERROR(VLOOKUP(A513,CLIENTE!$A$2:$N$2000,13,0),1)</f>
        <v>Malo</v>
      </c>
      <c r="T513" s="5">
        <f>IFERROR(VLOOKUP(A513,CLIENTE!$A$2:$N$2000,14,0),1)</f>
        <v>0.7</v>
      </c>
      <c r="U513" s="5">
        <f t="shared" si="172"/>
        <v>45.967232517085989</v>
      </c>
      <c r="V513" s="5" t="str">
        <f>IF(U513&gt;=MAX(_xlfn.PERCENTILE.INC($U$2:$U$1194,PARAMS_MODELO!$B$50),PARAMS_MODELO!$B$45),"DIAMANTE",IF(U513&gt;=MAX(_xlfn.PERCENTILE.INC($U$2:$U$1194,PARAMS_MODELO!$B$51),PARAMS_MODELO!$B$46),"PLATINO",IF(U513&gt;=MAX(_xlfn.PERCENTILE.INC($U$2:$U$1194,PARAMS_MODELO!$B$52),PARAMS_MODELO!$B$47),"ORO",IF(U513&gt;=MAX(_xlfn.PERCENTILE.INC($U$2:$U$1194,PARAMS_MODELO!$B$53),PARAMS_MODELO!$B$48),"PLATA",IF(U513&gt;=1,"BRONCE","CERRADO")))))</f>
        <v>PLATA</v>
      </c>
      <c r="W513" s="5" t="str" cm="1">
        <f t="array" ref="W513">_xlfn.XLOOKUP(1, (HIST_SCORE!$B:$B=PARAMS_MODELO!$B$4) * (HIST_SCORE!$C:$C=A513), HIST_SCORE!$E:$E, "No encontrado")</f>
        <v>PLATA</v>
      </c>
      <c r="X513" s="5" t="str">
        <f>_xlfn.LET(_xlpm.act,MATCH(V513,{"DIAMANTE";"PLATINO";"ORO";"PLATA";"BRONCE";"CERRADO"},0),_xlpm.ant,MATCH(W513,{"DIAMANTE";"PLATINO";"ORO";"PLATA";"BRONCE";"CERRADO"},0),IF(_xlpm.act&lt;_xlpm.ant,"Mejora ↑",IF(_xlpm.act&gt;_xlpm.ant,"Baja ↓","Estable →")))</f>
        <v>Estable →</v>
      </c>
      <c r="Y513" s="5">
        <f>IFERROR(U513-SUMIFS(HIST_SCORE!$D:$D,HIST_SCORE!$B:$B,PARAMS_MODELO!$B$4,HIST_SCORE!$C:$C,$A513),"")</f>
        <v>-2.3270726049993016</v>
      </c>
      <c r="Z513" s="5" t="str">
        <f t="shared" si="173"/>
        <v>→ Estable</v>
      </c>
      <c r="AA513" s="5">
        <f t="shared" si="174"/>
        <v>767</v>
      </c>
      <c r="AB513" s="5">
        <f>IFERROR(SUMIFS(HIST_SCORE!$F:$F,HIST_SCORE!$B:$B,PARAMS_MODELO!$B$4,HIST_SCORE!$C:$C,$A513),"")</f>
        <v>788</v>
      </c>
      <c r="AC513" s="5">
        <f t="shared" si="175"/>
        <v>21</v>
      </c>
      <c r="AD513" t="str">
        <f t="shared" si="177"/>
        <v/>
      </c>
      <c r="AE5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513="CERRADO",1,IF(V513="BRONCE",_xlpm.cPl,IF(V513="PLATA",_xlpm.cO,IF(V513="ORO",_xlpm.cP,IF(V513="PLATINO",_xlpm.cD,999))))))</f>
        <v>63.199193273331495</v>
      </c>
      <c r="AF5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513="CERRADO",0,IF(V513="BRONCE",1,IF(V513="PLATA",_xlpm.cPl,IF(V513="ORO",_xlpm.cO,IF(V513="PLATINO",_xlpm.cP,_xlpm.cD))))))</f>
        <v>24.506573482968111</v>
      </c>
      <c r="AG513">
        <f t="shared" si="178"/>
        <v>24.617086794636435</v>
      </c>
      <c r="AH513" t="str">
        <f t="shared" si="179"/>
        <v>CLIENTE</v>
      </c>
      <c r="AI513" t="str">
        <f t="shared" si="176"/>
        <v>🎯 Para subir de categoría, la eje con mayor impacto probable es CLIENTE (coef T). Acción: reducir quejas, mejorar incógnito y empujar reseñas. ΔR aprox: 24,6</v>
      </c>
      <c r="AJ513" s="26">
        <f>_xlfn.LET(_xlpm.piso,AF513,_xlpm.corte,AE513,_xlpm.prog,IF(_xlpm.corte&lt;=_xlpm.piso,0,MAX(0,MIN(1,(U513-_xlpm.piso)/(_xlpm.corte-_xlpm.piso)))),_xlpm.orden,{"DIAMANTE";"PLATINO";"ORO";"PLATA";"BRONCE";"CERRADO"},_xlpm.act,IFERROR(MATCH(V513,_xlpm.orden,0),6),_xlpm.ant,IFERROR(MATCH(W513,_xlpm.orden,0),6),_xlpm.ajmov,IF(_xlpm.act&lt;_xlpm.ant,0.08,IF(_xlpm.act&gt;_xlpm.ant,-0.08,0)),_xlpm.ajcli,IF(T513&lt;0.95,-0.06,0),_xlpm.prob,MAX(0,MIN(1,_xlpm.prog+_xlpm.ajmov+_xlpm.ajcli)),IF(OR(V513="DIAMANTE",V513="CERRADO"),0,ROUND(_xlpm.prob,2)))</f>
        <v>0.49</v>
      </c>
      <c r="AK513" t="str">
        <f t="shared" si="180"/>
        <v>Faltan 24,6 puntos base para subir a la siguiente categoría</v>
      </c>
      <c r="AL513" t="str">
        <f t="shared" si="181"/>
        <v>Margen de seguridad: 21,5 puntos</v>
      </c>
      <c r="AM513">
        <f t="shared" si="182"/>
        <v>0.8</v>
      </c>
      <c r="AN513" t="str">
        <f t="shared" si="183"/>
        <v>PRIORIDAD ALTA – requiere intervención inmediata</v>
      </c>
      <c r="AO513">
        <f t="shared" si="184"/>
        <v>20.503844397690024</v>
      </c>
      <c r="AP513">
        <f t="shared" si="185"/>
        <v>0.17772157793089993</v>
      </c>
      <c r="AQ513">
        <f t="shared" si="186"/>
        <v>3.4999999999999254E-2</v>
      </c>
      <c r="AR513">
        <f t="shared" si="187"/>
        <v>3.2199999999999998</v>
      </c>
      <c r="AS513">
        <f t="shared" si="188"/>
        <v>19.700242507322571</v>
      </c>
      <c r="AT513" t="str">
        <f t="shared" si="189"/>
        <v>VENTAS</v>
      </c>
      <c r="AU513">
        <f t="shared" si="190"/>
        <v>20.503844397690024</v>
      </c>
      <c r="AV513" t="str">
        <f t="shared" si="191"/>
        <v>Mayor retorno probable: VENTAS (+20,5 puntos finales potenciales).</v>
      </c>
    </row>
    <row r="514" spans="1:48" x14ac:dyDescent="0.3">
      <c r="A514" s="5">
        <v>51010728</v>
      </c>
      <c r="B514" s="5" t="str">
        <f>IFERROR(VLOOKUP(A514,VENTAS!$A$2:$B$1194,2,0),"")</f>
        <v>PUGH</v>
      </c>
      <c r="C514" s="5">
        <f>IFERROR(INDEX(VENTAS!$C$2:$E$1194,MATCH(A514,VENTAS!$A$2:$A$1194,0),MATCH(PARAMS_MODELO!$B$2,{"Q1","Q2","Q3"},0)),0)</f>
        <v>43158826.280000001</v>
      </c>
      <c r="D514" s="5">
        <f>IFERROR(INDEX(VENTAS!$F$2:$H$1194,MATCH(A514,VENTAS!$A$2:$A$1194,0),MATCH(PARAMS_MODELO!$B$2,{"Q1","Q2","Q3"},0)),0)</f>
        <v>75153005</v>
      </c>
      <c r="E514" s="8">
        <f t="shared" ref="E514:E577" si="192">IFERROR(D514/C514-1,0)</f>
        <v>0.74131253042963885</v>
      </c>
      <c r="F514" s="12">
        <f>IF(E514&lt;=PARAMS_MODELO!$B$15,0,IF(E514&gt;=PARAMS_MODELO!$B$17,100,100*MIN(1,(E514-PARAMS_MODELO!$B$15)/(PARAMS_MODELO!$B$16-PARAMS_MODELO!$B$15))))*PARAMS_MODELO!$B$7</f>
        <v>35</v>
      </c>
      <c r="G514" s="5">
        <f t="shared" ref="G514:G577" si="193">MAX(0,D514-C514)</f>
        <v>31994178.719999999</v>
      </c>
      <c r="H514" s="5">
        <f>(PARAMS_MODELO!$B$20*(MAX(0,MIN(3,E514))/3)+PARAMS_MODELO!$B$21*(IFERROR(LN(1+MAX(0,G514))/LN(1+MAX(0,MAX($G$2:$G$1194))),0)))*100*PARAMS_MODELO!$B$8</f>
        <v>6.6455166451273575</v>
      </c>
      <c r="I514" s="8">
        <f>E514-PARAMS_MODELO!$B$5</f>
        <v>0.56374969505411232</v>
      </c>
      <c r="J514" s="5">
        <f>IF(I514&lt;=PARAMS_MODELO!$B$18,0,IF(I514&gt;=PARAMS_MODELO!$B$19,100,100*(I514-PARAMS_MODELO!$B$18)/(PARAMS_MODELO!$B$19-PARAMS_MODELO!$B$18)))*PARAMS_MODELO!$B$9</f>
        <v>15</v>
      </c>
      <c r="K514" s="5">
        <f>IFERROR(CHOOSE(MATCH(PARAMS_MODELO!$B$2,{"Q1","Q2","Q3"},0),LOTO!$D514,LOTO!$F514,LOTO!$H514),0)</f>
        <v>3697500</v>
      </c>
      <c r="L514" s="8">
        <f t="shared" ref="L514:L577" si="194">IFERROR(K514/D514,0)</f>
        <v>4.9199629475893882E-2</v>
      </c>
      <c r="M514" s="5">
        <f>MIN(100,IF(PARAMS_MODELO!$B$23=0,0,100*L514/PARAMS_MODELO!$B$23))*PARAMS_MODELO!$B$10</f>
        <v>14.759888842768163</v>
      </c>
      <c r="N514" s="5">
        <f>IFERROR(VLOOKUP(A514,COMPLIANCE!$A$2:$F$1996,6,0),100)</f>
        <v>100</v>
      </c>
      <c r="O514" s="5">
        <f>N514*PARAMS_MODELO!$B$11</f>
        <v>10</v>
      </c>
      <c r="P514" s="5">
        <f>IFERROR(VLOOKUP(A514,DIGITAL!$A$2:$J$2000,7,0),100)</f>
        <v>83</v>
      </c>
      <c r="Q514" s="5">
        <f>IFERROR(P514,0)*PARAMS_MODELO!$B$12</f>
        <v>8.3000000000000007</v>
      </c>
      <c r="R514">
        <f t="shared" ref="R514:R577" si="195">MIN(100,MAX(0,F514+H514+J514+M514+O514+Q514))</f>
        <v>89.705405487895518</v>
      </c>
      <c r="S514" s="5" t="str">
        <f>IFERROR(VLOOKUP(A514,CLIENTE!$A$2:$N$2000,13,0),1)</f>
        <v>Malo</v>
      </c>
      <c r="T514" s="5">
        <f>IFERROR(VLOOKUP(A514,CLIENTE!$A$2:$N$2000,14,0),1)</f>
        <v>0.7</v>
      </c>
      <c r="U514" s="5">
        <f t="shared" ref="U514:U577" si="196">MIN(100,MAX(0,R514*T514))</f>
        <v>62.79378384152686</v>
      </c>
      <c r="V514" s="5" t="str">
        <f>IF(U514&gt;=MAX(_xlfn.PERCENTILE.INC($U$2:$U$1194,PARAMS_MODELO!$B$50),PARAMS_MODELO!$B$45),"DIAMANTE",IF(U514&gt;=MAX(_xlfn.PERCENTILE.INC($U$2:$U$1194,PARAMS_MODELO!$B$51),PARAMS_MODELO!$B$46),"PLATINO",IF(U514&gt;=MAX(_xlfn.PERCENTILE.INC($U$2:$U$1194,PARAMS_MODELO!$B$52),PARAMS_MODELO!$B$47),"ORO",IF(U514&gt;=MAX(_xlfn.PERCENTILE.INC($U$2:$U$1194,PARAMS_MODELO!$B$53),PARAMS_MODELO!$B$48),"PLATA",IF(U514&gt;=1,"BRONCE","CERRADO")))))</f>
        <v>PLATA</v>
      </c>
      <c r="W514" s="5" t="str" cm="1">
        <f t="array" ref="W514">_xlfn.XLOOKUP(1, (HIST_SCORE!$B:$B=PARAMS_MODELO!$B$4) * (HIST_SCORE!$C:$C=A514), HIST_SCORE!$E:$E, "No encontrado")</f>
        <v>PLATA</v>
      </c>
      <c r="X514" s="5" t="str">
        <f>_xlfn.LET(_xlpm.act,MATCH(V514,{"DIAMANTE";"PLATINO";"ORO";"PLATA";"BRONCE";"CERRADO"},0),_xlpm.ant,MATCH(W514,{"DIAMANTE";"PLATINO";"ORO";"PLATA";"BRONCE";"CERRADO"},0),IF(_xlpm.act&lt;_xlpm.ant,"Mejora ↑",IF(_xlpm.act&gt;_xlpm.ant,"Baja ↓","Estable →")))</f>
        <v>Estable →</v>
      </c>
      <c r="Y514" s="5">
        <f>IFERROR(U514-SUMIFS(HIST_SCORE!$D:$D,HIST_SCORE!$B:$B,PARAMS_MODELO!$B$4,HIST_SCORE!$C:$C,$A514),"")</f>
        <v>1.4432050220230082</v>
      </c>
      <c r="Z514" s="5" t="str">
        <f t="shared" ref="Z514:Z577" si="197">IF(Y514="","",IF(Y514&gt;=5,"↑ Mejora",IF(Y514&lt;=-5,"↓ Baja","→ Estable")))</f>
        <v>→ Estable</v>
      </c>
      <c r="AA514" s="5">
        <f t="shared" ref="AA514:AA577" si="198">IFERROR(_xlfn.RANK.EQ(U514,$U$2:$U$1194,0),"")</f>
        <v>563</v>
      </c>
      <c r="AB514" s="5">
        <f>IFERROR(SUMIFS(HIST_SCORE!$F:$F,HIST_SCORE!$B:$B,PARAMS_MODELO!$B$4,HIST_SCORE!$C:$C,$A514),"")</f>
        <v>624</v>
      </c>
      <c r="AC514" s="5">
        <f t="shared" ref="AC514:AC577" si="199">IF(OR(AA514="",AB514=""),"",AB514-AA514)</f>
        <v>61</v>
      </c>
      <c r="AD514" t="str">
        <f t="shared" si="177"/>
        <v/>
      </c>
      <c r="AE5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514="CERRADO",1,IF(V514="BRONCE",_xlpm.cPl,IF(V514="PLATA",_xlpm.cO,IF(V514="ORO",_xlpm.cP,IF(V514="PLATINO",_xlpm.cD,999))))))</f>
        <v>63.199193273331495</v>
      </c>
      <c r="AF5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514="CERRADO",0,IF(V514="BRONCE",1,IF(V514="PLATA",_xlpm.cPl,IF(V514="ORO",_xlpm.cO,IF(V514="PLATINO",_xlpm.cP,_xlpm.cD))))))</f>
        <v>24.506573482968111</v>
      </c>
      <c r="AG514">
        <f t="shared" si="178"/>
        <v>0.57915633114947696</v>
      </c>
      <c r="AH514" t="str">
        <f t="shared" si="179"/>
        <v>CLIENTE</v>
      </c>
      <c r="AI514" t="str">
        <f t="shared" ref="AI514:AI577" si="200">_xlfn.LET(_xlpm.pal,AH514,_xlpm.deltaR,AG514,_xlpm.minVent,MIN(F514,H514,J514),_xlpm.subV,IF(_xlpm.minVent=F514,"CRECIMIENTO PERSONAL (F)",IF(_xlpm.minVent=H514,"IMPACTO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la eje con mayor impacto probable es CLIENTE (coef T). Acción: reducir quejas, mejorar incógnito y empujar reseñas. ΔR aprox: 0,6</v>
      </c>
      <c r="AJ514" s="26">
        <f>_xlfn.LET(_xlpm.piso,AF514,_xlpm.corte,AE514,_xlpm.prog,IF(_xlpm.corte&lt;=_xlpm.piso,0,MAX(0,MIN(1,(U514-_xlpm.piso)/(_xlpm.corte-_xlpm.piso)))),_xlpm.orden,{"DIAMANTE";"PLATINO";"ORO";"PLATA";"BRONCE";"CERRADO"},_xlpm.act,IFERROR(MATCH(V514,_xlpm.orden,0),6),_xlpm.ant,IFERROR(MATCH(W514,_xlpm.orden,0),6),_xlpm.ajmov,IF(_xlpm.act&lt;_xlpm.ant,0.08,IF(_xlpm.act&gt;_xlpm.ant,-0.08,0)),_xlpm.ajcli,IF(T514&lt;0.95,-0.06,0),_xlpm.prob,MAX(0,MIN(1,_xlpm.prog+_xlpm.ajmov+_xlpm.ajcli)),IF(OR(V514="DIAMANTE",V514="CERRADO"),0,ROUND(_xlpm.prob,2)))</f>
        <v>0.93</v>
      </c>
      <c r="AK514" t="str">
        <f t="shared" si="180"/>
        <v>Faltan 0,6 puntos base para subir a la siguiente categoría</v>
      </c>
      <c r="AL514" t="str">
        <f t="shared" si="181"/>
        <v>Margen de seguridad: 38,3 puntos</v>
      </c>
      <c r="AM514">
        <f t="shared" si="182"/>
        <v>0.25</v>
      </c>
      <c r="AN514" t="str">
        <f t="shared" si="183"/>
        <v>PRIORIDAD BAJA – control normal</v>
      </c>
      <c r="AO514">
        <f t="shared" si="184"/>
        <v>5.7519368411177574</v>
      </c>
      <c r="AP514">
        <f t="shared" si="185"/>
        <v>0.16807781006228595</v>
      </c>
      <c r="AQ514">
        <f t="shared" si="186"/>
        <v>0</v>
      </c>
      <c r="AR514">
        <f t="shared" si="187"/>
        <v>1.1899999999999995</v>
      </c>
      <c r="AS514">
        <f t="shared" si="188"/>
        <v>26.911621646368658</v>
      </c>
      <c r="AT514" t="str">
        <f t="shared" si="189"/>
        <v>CLIENTE</v>
      </c>
      <c r="AU514">
        <f t="shared" si="190"/>
        <v>26.911621646368658</v>
      </c>
      <c r="AV514" t="str">
        <f t="shared" si="191"/>
        <v>Mayor retorno probable: CLIENTE (+26,9 puntos finales potenciales).</v>
      </c>
    </row>
    <row r="515" spans="1:48" x14ac:dyDescent="0.3">
      <c r="A515" s="5">
        <v>51056655</v>
      </c>
      <c r="B515" s="5" t="str">
        <f>IFERROR(VLOOKUP(A515,VENTAS!$A$2:$B$1194,2,0),"")</f>
        <v>NELLI</v>
      </c>
      <c r="C515" s="5">
        <f>IFERROR(INDEX(VENTAS!$C$2:$E$1194,MATCH(A515,VENTAS!$A$2:$A$1194,0),MATCH(PARAMS_MODELO!$B$2,{"Q1","Q2","Q3"},0)),0)</f>
        <v>81842076.370000005</v>
      </c>
      <c r="D515" s="5">
        <f>IFERROR(INDEX(VENTAS!$F$2:$H$1194,MATCH(A515,VENTAS!$A$2:$A$1194,0),MATCH(PARAMS_MODELO!$B$2,{"Q1","Q2","Q3"},0)),0)</f>
        <v>75126732</v>
      </c>
      <c r="E515" s="8">
        <f t="shared" si="192"/>
        <v>-8.2052468215011887E-2</v>
      </c>
      <c r="F515" s="12">
        <f>IF(E515&lt;=PARAMS_MODELO!$B$15,0,IF(E515&gt;=PARAMS_MODELO!$B$17,100,100*MIN(1,(E515-PARAMS_MODELO!$B$15)/(PARAMS_MODELO!$B$16-PARAMS_MODELO!$B$15))))*PARAMS_MODELO!$B$7</f>
        <v>0</v>
      </c>
      <c r="G515" s="5">
        <f t="shared" si="193"/>
        <v>0</v>
      </c>
      <c r="H515" s="5">
        <f>(PARAMS_MODELO!$B$20*(MAX(0,MIN(3,E515))/3)+PARAMS_MODELO!$B$21*(IFERROR(LN(1+MAX(0,G515))/LN(1+MAX(0,MAX($G$2:$G$1194))),0)))*100*PARAMS_MODELO!$B$8</f>
        <v>0</v>
      </c>
      <c r="I515" s="8">
        <f>E515-PARAMS_MODELO!$B$5</f>
        <v>-0.25961530359053842</v>
      </c>
      <c r="J515" s="5">
        <f>IF(I515&lt;=PARAMS_MODELO!$B$18,0,IF(I515&gt;=PARAMS_MODELO!$B$19,100,100*(I515-PARAMS_MODELO!$B$18)/(PARAMS_MODELO!$B$19-PARAMS_MODELO!$B$18)))*PARAMS_MODELO!$B$9</f>
        <v>0</v>
      </c>
      <c r="K515" s="5">
        <f>IFERROR(CHOOSE(MATCH(PARAMS_MODELO!$B$2,{"Q1","Q2","Q3"},0),LOTO!$D515,LOTO!$F515,LOTO!$H515),0)</f>
        <v>3687500</v>
      </c>
      <c r="L515" s="8">
        <f t="shared" si="194"/>
        <v>4.9083726948218644E-2</v>
      </c>
      <c r="M515" s="5">
        <f>MIN(100,IF(PARAMS_MODELO!$B$23=0,0,100*L515/PARAMS_MODELO!$B$23))*PARAMS_MODELO!$B$10</f>
        <v>14.725118084465592</v>
      </c>
      <c r="N515" s="5">
        <f>IFERROR(VLOOKUP(A515,COMPLIANCE!$A$2:$F$1996,6,0),100)</f>
        <v>99.85</v>
      </c>
      <c r="O515" s="5">
        <f>N515*PARAMS_MODELO!$B$11</f>
        <v>9.9849999999999994</v>
      </c>
      <c r="P515" s="5">
        <f>IFERROR(VLOOKUP(A515,DIGITAL!$A$2:$J$2000,7,0),100)</f>
        <v>71</v>
      </c>
      <c r="Q515" s="5">
        <f>IFERROR(P515,0)*PARAMS_MODELO!$B$12</f>
        <v>7.1000000000000005</v>
      </c>
      <c r="R515">
        <f t="shared" si="195"/>
        <v>31.810118084465593</v>
      </c>
      <c r="S515" s="5" t="str">
        <f>IFERROR(VLOOKUP(A515,CLIENTE!$A$2:$N$2000,13,0),1)</f>
        <v>Bueno</v>
      </c>
      <c r="T515" s="5">
        <f>IFERROR(VLOOKUP(A515,CLIENTE!$A$2:$N$2000,14,0),1)</f>
        <v>1.1000000000000001</v>
      </c>
      <c r="U515" s="5">
        <f t="shared" si="196"/>
        <v>34.991129892912156</v>
      </c>
      <c r="V515" s="5" t="str">
        <f>IF(U515&gt;=MAX(_xlfn.PERCENTILE.INC($U$2:$U$1194,PARAMS_MODELO!$B$50),PARAMS_MODELO!$B$45),"DIAMANTE",IF(U515&gt;=MAX(_xlfn.PERCENTILE.INC($U$2:$U$1194,PARAMS_MODELO!$B$51),PARAMS_MODELO!$B$46),"PLATINO",IF(U515&gt;=MAX(_xlfn.PERCENTILE.INC($U$2:$U$1194,PARAMS_MODELO!$B$52),PARAMS_MODELO!$B$47),"ORO",IF(U515&gt;=MAX(_xlfn.PERCENTILE.INC($U$2:$U$1194,PARAMS_MODELO!$B$53),PARAMS_MODELO!$B$48),"PLATA",IF(U515&gt;=1,"BRONCE","CERRADO")))))</f>
        <v>PLATA</v>
      </c>
      <c r="W515" s="5" t="str" cm="1">
        <f t="array" ref="W515">_xlfn.XLOOKUP(1, (HIST_SCORE!$B:$B=PARAMS_MODELO!$B$4) * (HIST_SCORE!$C:$C=A515), HIST_SCORE!$E:$E, "No encontrado")</f>
        <v>PLATINO</v>
      </c>
      <c r="X515" s="5" t="str">
        <f>_xlfn.LET(_xlpm.act,MATCH(V515,{"DIAMANTE";"PLATINO";"ORO";"PLATA";"BRONCE";"CERRADO"},0),_xlpm.ant,MATCH(W515,{"DIAMANTE";"PLATINO";"ORO";"PLATA";"BRONCE";"CERRADO"},0),IF(_xlpm.act&lt;_xlpm.ant,"Mejora ↑",IF(_xlpm.act&gt;_xlpm.ant,"Baja ↓","Estable →")))</f>
        <v>Baja ↓</v>
      </c>
      <c r="Y515" s="5">
        <f>IFERROR(U515-SUMIFS(HIST_SCORE!$D:$D,HIST_SCORE!$B:$B,PARAMS_MODELO!$B$4,HIST_SCORE!$C:$C,$A515),"")</f>
        <v>-58.767829031253143</v>
      </c>
      <c r="Z515" s="5" t="str">
        <f t="shared" si="197"/>
        <v>↓ Baja</v>
      </c>
      <c r="AA515" s="5">
        <f t="shared" si="198"/>
        <v>806</v>
      </c>
      <c r="AB515" s="5">
        <f>IFERROR(SUMIFS(HIST_SCORE!$F:$F,HIST_SCORE!$B:$B,PARAMS_MODELO!$B$4,HIST_SCORE!$C:$C,$A515),"")</f>
        <v>74</v>
      </c>
      <c r="AC515" s="5">
        <f t="shared" si="199"/>
        <v>-732</v>
      </c>
      <c r="AD515" t="str">
        <f t="shared" ref="AD515:AD578" si="201">IF(V515="CERRADO","Agencia sin actividad o cerrada",IF(AND(V515="BRONCE",Y515=""),"Primer corte: cargá histórico para medir movilidad",IF(AND(V515="BRONCE",Y515&lt;0),"Plan de recuperación: foco crecimiento + mix",IF(AND(V515="ORO",Y515&lt;0),"Sostener base y reforzar mix",""))))</f>
        <v/>
      </c>
      <c r="AE5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515="CERRADO",1,IF(V515="BRONCE",_xlpm.cPl,IF(V515="PLATA",_xlpm.cO,IF(V515="ORO",_xlpm.cP,IF(V515="PLATINO",_xlpm.cD,999))))))</f>
        <v>63.199193273331495</v>
      </c>
      <c r="AF5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515="CERRADO",0,IF(V515="BRONCE",1,IF(V515="PLATA",_xlpm.cPl,IF(V515="ORO",_xlpm.cO,IF(V515="PLATINO",_xlpm.cP,_xlpm.cD))))))</f>
        <v>24.506573482968111</v>
      </c>
      <c r="AG515">
        <f t="shared" ref="AG515:AG578" si="202">_xlfn.LET(_xlpm.corteU,AE515,_xlpm.coef,MAX(0.01,T515),_xlpm.reqR,_xlpm.corteU/_xlpm.coef,MAX(0,_xlpm.reqR-R515))</f>
        <v>25.643693982199402</v>
      </c>
      <c r="AH515" t="str">
        <f t="shared" ref="AH515:AH578" si="203">_xlfn.LET(_xlpm.deltaR,AG515,_xlpm.ventas,F515+H515+J515,_xlpm.hv,(MAX($F$2:$F$1194)+MAX($H$2:$H$1194)+MAX($J$2:$J$1194))-_xlpm.ventas,_xlpm.hl,MAX($M$2:$M$1194)-M515,_xlpm.hc,MAX($O$2:$O$1194)-O515,_xlpm.hd,MAX($Q$2:$Q$1194)-Q515,_xlpm.impV,MIN(_xlpm.deltaR,MAX(0,_xlpm.hv)),_xlpm.impL,MIN(_xlpm.deltaR,MAX(0,_xlpm.hl)),_xlpm.impC,MIN(_xlpm.deltaR,MAX(0,_xlpm.hc)),_xlpm.impD,MIN(_xlpm.deltaR,MAX(0,_xlpm.hd)),_xlpm.t,T515,_xlpm.tObj,1,_xlpm.impCli,IF(_xlpm.t&lt;0.95,MIN(_xlpm.deltaR,R515*(_xlpm.tObj/_xlpm.t-1)),0),_xlpm.mx,MAX(_xlpm.impV,_xlpm.impL,_xlpm.impC,_xlpm.impD,_xlpm.impCli),IF(V515="DIAMANTE","SOSTENER",IF(V515="CERRADO","CERRADO",IF(_xlpm.mx=_xlpm.impCli,"CLIENTE",IF(_xlpm.mx=_xlpm.impV,"VENTAS",IF(_xlpm.mx=_xlpm.impL,"LOTO",IF(_xlpm.mx=_xlpm.impC,"COMPLIANCE","DIGITAL")))))))</f>
        <v>VENTAS</v>
      </c>
      <c r="AI515" t="str">
        <f t="shared" si="200"/>
        <v>🎯 Para subir de categoría, eje VENTAS / CRECIMIENTO PERSONAL (F). Acción: metas semanales + activación comercial + seguimiento del asesor. ΔR aprox: 25,6</v>
      </c>
      <c r="AJ515" s="26">
        <f>_xlfn.LET(_xlpm.piso,AF515,_xlpm.corte,AE515,_xlpm.prog,IF(_xlpm.corte&lt;=_xlpm.piso,0,MAX(0,MIN(1,(U515-_xlpm.piso)/(_xlpm.corte-_xlpm.piso)))),_xlpm.orden,{"DIAMANTE";"PLATINO";"ORO";"PLATA";"BRONCE";"CERRADO"},_xlpm.act,IFERROR(MATCH(V515,_xlpm.orden,0),6),_xlpm.ant,IFERROR(MATCH(W515,_xlpm.orden,0),6),_xlpm.ajmov,IF(_xlpm.act&lt;_xlpm.ant,0.08,IF(_xlpm.act&gt;_xlpm.ant,-0.08,0)),_xlpm.ajcli,IF(T515&lt;0.95,-0.06,0),_xlpm.prob,MAX(0,MIN(1,_xlpm.prog+_xlpm.ajmov+_xlpm.ajcli)),IF(OR(V515="DIAMANTE",V515="CERRADO"),0,ROUND(_xlpm.prob,2)))</f>
        <v>0.19</v>
      </c>
      <c r="AK515" t="str">
        <f t="shared" ref="AK515:AK578" si="204">IF(OR(V515="DIAMANTE",V515="CERRADO"),"No aplica","Faltan " &amp; TEXT(AG515,"0,0") &amp; " puntos base para subir a la siguiente categoría")</f>
        <v>Faltan 25,6 puntos base para subir a la siguiente categoría</v>
      </c>
      <c r="AL515" t="str">
        <f t="shared" ref="AL515:AL578" si="205">_xlfn.LET(_xlpm.piso,AF515,_xlpm.dist,U515-_xlpm.piso,IF(OR(V515="BRONCE",V515="CERRADO"),"No aplica",IF(_xlpm.dist&lt;=0,"⚠ Riesgo de descenso","Margen de seguridad: " &amp; TEXT(_xlpm.dist,"0,0") &amp; " puntos")))</f>
        <v>Margen de seguridad: 10,5 puntos</v>
      </c>
      <c r="AM515">
        <f t="shared" ref="AM515:AM578" si="206">_xlfn.LET(_xlpm.prob,AJ515,_xlpm.dist,AG515,_xlpm.coef,T515,_xlpm.prior,(1-_xlpm.prob)*0.4+MIN(1,_xlpm.dist/10)*0.4+IF(_xlpm.coef&lt;0.95,0.2,0),ROUND(_xlpm.prior,2))</f>
        <v>0.72</v>
      </c>
      <c r="AN515" t="str">
        <f t="shared" ref="AN515:AN578" si="207">IF(AM515&gt;=0.7,"PRIORIDAD ALTA – requiere intervención inmediata",IF(AM515&gt;=0.4,"PRIORIDAD MEDIA – seguimiento del asesor","PRIORIDAD BAJA – control normal"))</f>
        <v>PRIORIDAD ALTA – requiere intervención inmediata</v>
      </c>
      <c r="AO515">
        <f t="shared" ref="AO515:AO578" si="208">MAX(0,((MAX($F$2:$F$1194)+MAX($H$2:$H$1194)+MAX($J$2:$J$1194))-(F515+H515+J515))*T515)</f>
        <v>71.348826202825151</v>
      </c>
      <c r="AP515">
        <f t="shared" ref="AP515:AP578" si="209">MAX(0,(MAX($M$2:$M$1194)-M515)*T515)</f>
        <v>0.30237010708784884</v>
      </c>
      <c r="AQ515">
        <f t="shared" ref="AQ515:AQ578" si="210">MAX(0,(MAX($O$2:$O$1194)-O515)*T515)</f>
        <v>1.6500000000000625E-2</v>
      </c>
      <c r="AR515">
        <f t="shared" ref="AR515:AR578" si="211">MAX(0,(MAX($Q$2:$Q$1194)-Q515)*T515)</f>
        <v>3.1899999999999995</v>
      </c>
      <c r="AS515">
        <f t="shared" ref="AS515:AS578" si="212">MAX(0,R515*(1-T515))</f>
        <v>0</v>
      </c>
      <c r="AT515" t="str">
        <f t="shared" ref="AT515:AT578" si="213">_xlfn.LET(_xlpm.v,AO515,_xlpm.l,AP515,_xlpm.c,AQ515,_xlpm.d,AR515,_xlpm.cli,AS515,_xlpm.mx,MAX(_xlpm.v,_xlpm.l,_xlpm.c,_xlpm.d,_xlpm.cli),IF(_xlpm.mx=_xlpm.cli,"CLIENTE",IF(_xlpm.mx=_xlpm.v,"VENTAS",IF(_xlpm.mx=_xlpm.l,"LOTO",IF(_xlpm.mx=_xlpm.c,"COMPLIANCE","DIGITAL")))))</f>
        <v>VENTAS</v>
      </c>
      <c r="AU515">
        <f t="shared" ref="AU515:AU578" si="214">MAX(AO515,AP515,AQ515,AR515,AS515)</f>
        <v>71.348826202825151</v>
      </c>
      <c r="AV515" t="str">
        <f t="shared" ref="AV515:AV578" si="215">IF(V515="CERRADO","⛔ Sin impacto comercial estimable por estado CERRADO.","Mayor retorno probable: " &amp; AT515 &amp; " (+" &amp; TEXT(AU515,"0,0") &amp; " puntos finales potenciales).")</f>
        <v>Mayor retorno probable: VENTAS (+71,3 puntos finales potenciales).</v>
      </c>
    </row>
    <row r="516" spans="1:48" x14ac:dyDescent="0.3">
      <c r="A516" s="5">
        <v>51056817</v>
      </c>
      <c r="B516" s="5" t="str">
        <f>IFERROR(VLOOKUP(A516,VENTAS!$A$2:$B$1194,2,0),"")</f>
        <v>AYALA</v>
      </c>
      <c r="C516" s="5">
        <f>IFERROR(INDEX(VENTAS!$C$2:$E$1194,MATCH(A516,VENTAS!$A$2:$A$1194,0),MATCH(PARAMS_MODELO!$B$2,{"Q1","Q2","Q3"},0)),0)</f>
        <v>73169396.719999999</v>
      </c>
      <c r="D516" s="5">
        <f>IFERROR(INDEX(VENTAS!$F$2:$H$1194,MATCH(A516,VENTAS!$A$2:$A$1194,0),MATCH(PARAMS_MODELO!$B$2,{"Q1","Q2","Q3"},0)),0)</f>
        <v>74983891</v>
      </c>
      <c r="E516" s="8">
        <f t="shared" si="192"/>
        <v>2.4798540938414382E-2</v>
      </c>
      <c r="F516" s="12">
        <f>IF(E516&lt;=PARAMS_MODELO!$B$15,0,IF(E516&gt;=PARAMS_MODELO!$B$17,100,100*MIN(1,(E516-PARAMS_MODELO!$B$15)/(PARAMS_MODELO!$B$16-PARAMS_MODELO!$B$15))))*PARAMS_MODELO!$B$7</f>
        <v>8.6794893284450332</v>
      </c>
      <c r="G516" s="5">
        <f t="shared" si="193"/>
        <v>1814494.2800000012</v>
      </c>
      <c r="H516" s="5">
        <f>(PARAMS_MODELO!$B$20*(MAX(0,MIN(3,E516))/3)+PARAMS_MODELO!$B$21*(IFERROR(LN(1+MAX(0,G516))/LN(1+MAX(0,MAX($G$2:$G$1194))),0)))*100*PARAMS_MODELO!$B$8</f>
        <v>3.4650090020625606</v>
      </c>
      <c r="I516" s="8">
        <f>E516-PARAMS_MODELO!$B$5</f>
        <v>-0.15276429443711215</v>
      </c>
      <c r="J516" s="5">
        <f>IF(I516&lt;=PARAMS_MODELO!$B$18,0,IF(I516&gt;=PARAMS_MODELO!$B$19,100,100*(I516-PARAMS_MODELO!$B$18)/(PARAMS_MODELO!$B$19-PARAMS_MODELO!$B$18)))*PARAMS_MODELO!$B$9</f>
        <v>0</v>
      </c>
      <c r="K516" s="5">
        <f>IFERROR(CHOOSE(MATCH(PARAMS_MODELO!$B$2,{"Q1","Q2","Q3"},0),LOTO!$D516,LOTO!$F516,LOTO!$H516),0)</f>
        <v>3675000</v>
      </c>
      <c r="L516" s="8">
        <f t="shared" si="194"/>
        <v>4.9010526807684598E-2</v>
      </c>
      <c r="M516" s="5">
        <f>MIN(100,IF(PARAMS_MODELO!$B$23=0,0,100*L516/PARAMS_MODELO!$B$23))*PARAMS_MODELO!$B$10</f>
        <v>14.703158042305379</v>
      </c>
      <c r="N516" s="5">
        <f>IFERROR(VLOOKUP(A516,COMPLIANCE!$A$2:$F$1996,6,0),100)</f>
        <v>100</v>
      </c>
      <c r="O516" s="5">
        <f>N516*PARAMS_MODELO!$B$11</f>
        <v>10</v>
      </c>
      <c r="P516" s="5">
        <f>IFERROR(VLOOKUP(A516,DIGITAL!$A$2:$J$2000,7,0),100)</f>
        <v>73</v>
      </c>
      <c r="Q516" s="5">
        <f>IFERROR(P516,0)*PARAMS_MODELO!$B$12</f>
        <v>7.3000000000000007</v>
      </c>
      <c r="R516">
        <f t="shared" si="195"/>
        <v>44.147656372812975</v>
      </c>
      <c r="S516" s="5" t="str">
        <f>IFERROR(VLOOKUP(A516,CLIENTE!$A$2:$N$2000,13,0),1)</f>
        <v>Regular</v>
      </c>
      <c r="T516" s="5">
        <f>IFERROR(VLOOKUP(A516,CLIENTE!$A$2:$N$2000,14,0),1)</f>
        <v>1</v>
      </c>
      <c r="U516" s="5">
        <f t="shared" si="196"/>
        <v>44.147656372812975</v>
      </c>
      <c r="V516" s="5" t="str">
        <f>IF(U516&gt;=MAX(_xlfn.PERCENTILE.INC($U$2:$U$1194,PARAMS_MODELO!$B$50),PARAMS_MODELO!$B$45),"DIAMANTE",IF(U516&gt;=MAX(_xlfn.PERCENTILE.INC($U$2:$U$1194,PARAMS_MODELO!$B$51),PARAMS_MODELO!$B$46),"PLATINO",IF(U516&gt;=MAX(_xlfn.PERCENTILE.INC($U$2:$U$1194,PARAMS_MODELO!$B$52),PARAMS_MODELO!$B$47),"ORO",IF(U516&gt;=MAX(_xlfn.PERCENTILE.INC($U$2:$U$1194,PARAMS_MODELO!$B$53),PARAMS_MODELO!$B$48),"PLATA",IF(U516&gt;=1,"BRONCE","CERRADO")))))</f>
        <v>PLATA</v>
      </c>
      <c r="W516" s="5" t="str" cm="1">
        <f t="array" ref="W516">_xlfn.XLOOKUP(1, (HIST_SCORE!$B:$B=PARAMS_MODELO!$B$4) * (HIST_SCORE!$C:$C=A516), HIST_SCORE!$E:$E, "No encontrado")</f>
        <v>ORO</v>
      </c>
      <c r="X516" s="5" t="str">
        <f>_xlfn.LET(_xlpm.act,MATCH(V516,{"DIAMANTE";"PLATINO";"ORO";"PLATA";"BRONCE";"CERRADO"},0),_xlpm.ant,MATCH(W516,{"DIAMANTE";"PLATINO";"ORO";"PLATA";"BRONCE";"CERRADO"},0),IF(_xlpm.act&lt;_xlpm.ant,"Mejora ↑",IF(_xlpm.act&gt;_xlpm.ant,"Baja ↓","Estable →")))</f>
        <v>Baja ↓</v>
      </c>
      <c r="Y516" s="5">
        <f>IFERROR(U516-SUMIFS(HIST_SCORE!$D:$D,HIST_SCORE!$B:$B,PARAMS_MODELO!$B$4,HIST_SCORE!$C:$C,$A516),"")</f>
        <v>-39.20373034334817</v>
      </c>
      <c r="Z516" s="5" t="str">
        <f t="shared" si="197"/>
        <v>↓ Baja</v>
      </c>
      <c r="AA516" s="5">
        <f t="shared" si="198"/>
        <v>776</v>
      </c>
      <c r="AB516" s="5">
        <f>IFERROR(SUMIFS(HIST_SCORE!$F:$F,HIST_SCORE!$B:$B,PARAMS_MODELO!$B$4,HIST_SCORE!$C:$C,$A516),"")</f>
        <v>314</v>
      </c>
      <c r="AC516" s="5">
        <f t="shared" si="199"/>
        <v>-462</v>
      </c>
      <c r="AD516" t="str">
        <f t="shared" si="201"/>
        <v/>
      </c>
      <c r="AE5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516="CERRADO",1,IF(V516="BRONCE",_xlpm.cPl,IF(V516="PLATA",_xlpm.cO,IF(V516="ORO",_xlpm.cP,IF(V516="PLATINO",_xlpm.cD,999))))))</f>
        <v>63.199193273331495</v>
      </c>
      <c r="AF5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516="CERRADO",0,IF(V516="BRONCE",1,IF(V516="PLATA",_xlpm.cPl,IF(V516="ORO",_xlpm.cO,IF(V516="PLATINO",_xlpm.cP,_xlpm.cD))))))</f>
        <v>24.506573482968111</v>
      </c>
      <c r="AG516">
        <f t="shared" si="202"/>
        <v>19.051536900518521</v>
      </c>
      <c r="AH516" t="str">
        <f t="shared" si="203"/>
        <v>VENTAS</v>
      </c>
      <c r="AI516" t="str">
        <f t="shared" si="200"/>
        <v>🎯 Para subir de categoría, eje VENTAS / DIFERENCIAL vs LOTBA (J). Acción: metas semanales + activación comercial + seguimiento del asesor. ΔR aprox: 19,1</v>
      </c>
      <c r="AJ516" s="26">
        <f>_xlfn.LET(_xlpm.piso,AF516,_xlpm.corte,AE516,_xlpm.prog,IF(_xlpm.corte&lt;=_xlpm.piso,0,MAX(0,MIN(1,(U516-_xlpm.piso)/(_xlpm.corte-_xlpm.piso)))),_xlpm.orden,{"DIAMANTE";"PLATINO";"ORO";"PLATA";"BRONCE";"CERRADO"},_xlpm.act,IFERROR(MATCH(V516,_xlpm.orden,0),6),_xlpm.ant,IFERROR(MATCH(W516,_xlpm.orden,0),6),_xlpm.ajmov,IF(_xlpm.act&lt;_xlpm.ant,0.08,IF(_xlpm.act&gt;_xlpm.ant,-0.08,0)),_xlpm.ajcli,IF(T516&lt;0.95,-0.06,0),_xlpm.prob,MAX(0,MIN(1,_xlpm.prog+_xlpm.ajmov+_xlpm.ajcli)),IF(OR(V516="DIAMANTE",V516="CERRADO"),0,ROUND(_xlpm.prob,2)))</f>
        <v>0.43</v>
      </c>
      <c r="AK516" t="str">
        <f t="shared" si="204"/>
        <v>Faltan 19,1 puntos base para subir a la siguiente categoría</v>
      </c>
      <c r="AL516" t="str">
        <f t="shared" si="205"/>
        <v>Margen de seguridad: 19,6 puntos</v>
      </c>
      <c r="AM516">
        <f t="shared" si="206"/>
        <v>0.63</v>
      </c>
      <c r="AN516" t="str">
        <f t="shared" si="207"/>
        <v>PRIORIDAD MEDIA – seguimiento del asesor</v>
      </c>
      <c r="AO516">
        <f t="shared" si="208"/>
        <v>52.718070944787989</v>
      </c>
      <c r="AP516">
        <f t="shared" si="209"/>
        <v>0.29684195769462107</v>
      </c>
      <c r="AQ516">
        <f t="shared" si="210"/>
        <v>0</v>
      </c>
      <c r="AR516">
        <f t="shared" si="211"/>
        <v>2.6999999999999993</v>
      </c>
      <c r="AS516">
        <f t="shared" si="212"/>
        <v>0</v>
      </c>
      <c r="AT516" t="str">
        <f t="shared" si="213"/>
        <v>VENTAS</v>
      </c>
      <c r="AU516">
        <f t="shared" si="214"/>
        <v>52.718070944787989</v>
      </c>
      <c r="AV516" t="str">
        <f t="shared" si="215"/>
        <v>Mayor retorno probable: VENTAS (+52,7 puntos finales potenciales).</v>
      </c>
    </row>
    <row r="517" spans="1:48" x14ac:dyDescent="0.3">
      <c r="A517" s="5">
        <v>51018826</v>
      </c>
      <c r="B517" s="5" t="str">
        <f>IFERROR(VLOOKUP(A517,VENTAS!$A$2:$B$1194,2,0),"")</f>
        <v>ARGUELLO</v>
      </c>
      <c r="C517" s="5">
        <f>IFERROR(INDEX(VENTAS!$C$2:$E$1194,MATCH(A517,VENTAS!$A$2:$A$1194,0),MATCH(PARAMS_MODELO!$B$2,{"Q1","Q2","Q3"},0)),0)</f>
        <v>51891000.649999999</v>
      </c>
      <c r="D517" s="5">
        <f>IFERROR(INDEX(VENTAS!$F$2:$H$1194,MATCH(A517,VENTAS!$A$2:$A$1194,0),MATCH(PARAMS_MODELO!$B$2,{"Q1","Q2","Q3"},0)),0)</f>
        <v>74827740</v>
      </c>
      <c r="E517" s="8">
        <f t="shared" si="192"/>
        <v>0.44201767286597904</v>
      </c>
      <c r="F517" s="12">
        <f>IF(E517&lt;=PARAMS_MODELO!$B$15,0,IF(E517&gt;=PARAMS_MODELO!$B$17,100,100*MIN(1,(E517-PARAMS_MODELO!$B$15)/(PARAMS_MODELO!$B$16-PARAMS_MODELO!$B$15))))*PARAMS_MODELO!$B$7</f>
        <v>35</v>
      </c>
      <c r="G517" s="5">
        <f t="shared" si="193"/>
        <v>22936739.350000001</v>
      </c>
      <c r="H517" s="5">
        <f>(PARAMS_MODELO!$B$20*(MAX(0,MIN(3,E517))/3)+PARAMS_MODELO!$B$21*(IFERROR(LN(1+MAX(0,G517))/LN(1+MAX(0,MAX($G$2:$G$1194))),0)))*100*PARAMS_MODELO!$B$8</f>
        <v>5.5199683967958872</v>
      </c>
      <c r="I517" s="8">
        <f>E517-PARAMS_MODELO!$B$5</f>
        <v>0.26445483749045251</v>
      </c>
      <c r="J517" s="5">
        <f>IF(I517&lt;=PARAMS_MODELO!$B$18,0,IF(I517&gt;=PARAMS_MODELO!$B$19,100,100*(I517-PARAMS_MODELO!$B$18)/(PARAMS_MODELO!$B$19-PARAMS_MODELO!$B$18)))*PARAMS_MODELO!$B$9</f>
        <v>15</v>
      </c>
      <c r="K517" s="5">
        <f>IFERROR(CHOOSE(MATCH(PARAMS_MODELO!$B$2,{"Q1","Q2","Q3"},0),LOTO!$D517,LOTO!$F517,LOTO!$H517),0)</f>
        <v>3672500</v>
      </c>
      <c r="L517" s="8">
        <f t="shared" si="194"/>
        <v>4.9079392214705399E-2</v>
      </c>
      <c r="M517" s="5">
        <f>MIN(100,IF(PARAMS_MODELO!$B$23=0,0,100*L517/PARAMS_MODELO!$B$23))*PARAMS_MODELO!$B$10</f>
        <v>14.723817664411618</v>
      </c>
      <c r="N517" s="5">
        <f>IFERROR(VLOOKUP(A517,COMPLIANCE!$A$2:$F$1996,6,0),100)</f>
        <v>100</v>
      </c>
      <c r="O517" s="5">
        <f>N517*PARAMS_MODELO!$B$11</f>
        <v>10</v>
      </c>
      <c r="P517" s="5">
        <f>IFERROR(VLOOKUP(A517,DIGITAL!$A$2:$J$2000,7,0),100)</f>
        <v>0</v>
      </c>
      <c r="Q517" s="5">
        <f>IFERROR(P517,0)*PARAMS_MODELO!$B$12</f>
        <v>0</v>
      </c>
      <c r="R517">
        <f t="shared" si="195"/>
        <v>80.243786061207501</v>
      </c>
      <c r="S517" s="5" t="str">
        <f>IFERROR(VLOOKUP(A517,CLIENTE!$A$2:$N$2000,13,0),1)</f>
        <v>Bueno</v>
      </c>
      <c r="T517" s="5">
        <f>IFERROR(VLOOKUP(A517,CLIENTE!$A$2:$N$2000,14,0),1)</f>
        <v>1.1000000000000001</v>
      </c>
      <c r="U517" s="5">
        <f t="shared" si="196"/>
        <v>88.268164667328264</v>
      </c>
      <c r="V517" s="5" t="str">
        <f>IF(U517&gt;=MAX(_xlfn.PERCENTILE.INC($U$2:$U$1194,PARAMS_MODELO!$B$50),PARAMS_MODELO!$B$45),"DIAMANTE",IF(U517&gt;=MAX(_xlfn.PERCENTILE.INC($U$2:$U$1194,PARAMS_MODELO!$B$51),PARAMS_MODELO!$B$46),"PLATINO",IF(U517&gt;=MAX(_xlfn.PERCENTILE.INC($U$2:$U$1194,PARAMS_MODELO!$B$52),PARAMS_MODELO!$B$47),"ORO",IF(U517&gt;=MAX(_xlfn.PERCENTILE.INC($U$2:$U$1194,PARAMS_MODELO!$B$53),PARAMS_MODELO!$B$48),"PLATA",IF(U517&gt;=1,"BRONCE","CERRADO")))))</f>
        <v>PLATINO</v>
      </c>
      <c r="W517" s="5" t="str" cm="1">
        <f t="array" ref="W517">_xlfn.XLOOKUP(1, (HIST_SCORE!$B:$B=PARAMS_MODELO!$B$4) * (HIST_SCORE!$C:$C=A517), HIST_SCORE!$E:$E, "No encontrado")</f>
        <v>ORO</v>
      </c>
      <c r="X517" s="5" t="str">
        <f>_xlfn.LET(_xlpm.act,MATCH(V517,{"DIAMANTE";"PLATINO";"ORO";"PLATA";"BRONCE";"CERRADO"},0),_xlpm.ant,MATCH(W517,{"DIAMANTE";"PLATINO";"ORO";"PLATA";"BRONCE";"CERRADO"},0),IF(_xlpm.act&lt;_xlpm.ant,"Mejora ↑",IF(_xlpm.act&gt;_xlpm.ant,"Baja ↓","Estable →")))</f>
        <v>Mejora ↑</v>
      </c>
      <c r="Y517" s="5">
        <f>IFERROR(U517-SUMIFS(HIST_SCORE!$D:$D,HIST_SCORE!$B:$B,PARAMS_MODELO!$B$4,HIST_SCORE!$C:$C,$A517),"")</f>
        <v>4.9939577078210675</v>
      </c>
      <c r="Z517" s="5" t="str">
        <f t="shared" si="197"/>
        <v>→ Estable</v>
      </c>
      <c r="AA517" s="5">
        <f t="shared" si="198"/>
        <v>190</v>
      </c>
      <c r="AB517" s="5">
        <f>IFERROR(SUMIFS(HIST_SCORE!$F:$F,HIST_SCORE!$B:$B,PARAMS_MODELO!$B$4,HIST_SCORE!$C:$C,$A517),"")</f>
        <v>320</v>
      </c>
      <c r="AC517" s="5">
        <f t="shared" si="199"/>
        <v>130</v>
      </c>
      <c r="AD517" t="str">
        <f t="shared" si="201"/>
        <v/>
      </c>
      <c r="AE5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517="CERRADO",1,IF(V517="BRONCE",_xlpm.cPl,IF(V517="PLATA",_xlpm.cO,IF(V517="ORO",_xlpm.cP,IF(V517="PLATINO",_xlpm.cD,999))))))</f>
        <v>96.054919694466676</v>
      </c>
      <c r="AF5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517="CERRADO",0,IF(V517="BRONCE",1,IF(V517="PLATA",_xlpm.cPl,IF(V517="ORO",_xlpm.cO,IF(V517="PLATINO",_xlpm.cP,_xlpm.cD))))))</f>
        <v>86.439123873763251</v>
      </c>
      <c r="AG517">
        <f t="shared" si="202"/>
        <v>7.0788682064894743</v>
      </c>
      <c r="AH517" t="str">
        <f t="shared" si="203"/>
        <v>VENTAS</v>
      </c>
      <c r="AI517" t="str">
        <f t="shared" si="200"/>
        <v>🎯 Para subir de categoría, eje VENTAS / IMPACTO ABSOLUTO (H). Acción: metas semanales + activación comercial + seguimiento del asesor. ΔR aprox: 7,1</v>
      </c>
      <c r="AJ517" s="26">
        <f>_xlfn.LET(_xlpm.piso,AF517,_xlpm.corte,AE517,_xlpm.prog,IF(_xlpm.corte&lt;=_xlpm.piso,0,MAX(0,MIN(1,(U517-_xlpm.piso)/(_xlpm.corte-_xlpm.piso)))),_xlpm.orden,{"DIAMANTE";"PLATINO";"ORO";"PLATA";"BRONCE";"CERRADO"},_xlpm.act,IFERROR(MATCH(V517,_xlpm.orden,0),6),_xlpm.ant,IFERROR(MATCH(W517,_xlpm.orden,0),6),_xlpm.ajmov,IF(_xlpm.act&lt;_xlpm.ant,0.08,IF(_xlpm.act&gt;_xlpm.ant,-0.08,0)),_xlpm.ajcli,IF(T517&lt;0.95,-0.06,0),_xlpm.prob,MAX(0,MIN(1,_xlpm.prog+_xlpm.ajmov+_xlpm.ajcli)),IF(OR(V517="DIAMANTE",V517="CERRADO"),0,ROUND(_xlpm.prob,2)))</f>
        <v>0.27</v>
      </c>
      <c r="AK517" t="str">
        <f t="shared" si="204"/>
        <v>Faltan 7,1 puntos base para subir a la siguiente categoría</v>
      </c>
      <c r="AL517" t="str">
        <f t="shared" si="205"/>
        <v>Margen de seguridad: 1,8 puntos</v>
      </c>
      <c r="AM517">
        <f t="shared" si="206"/>
        <v>0.57999999999999996</v>
      </c>
      <c r="AN517" t="str">
        <f t="shared" si="207"/>
        <v>PRIORIDAD MEDIA – seguimiento del asesor</v>
      </c>
      <c r="AO517">
        <f t="shared" si="208"/>
        <v>10.276860966349666</v>
      </c>
      <c r="AP517">
        <f t="shared" si="209"/>
        <v>0.30380056914722059</v>
      </c>
      <c r="AQ517">
        <f t="shared" si="210"/>
        <v>0</v>
      </c>
      <c r="AR517">
        <f t="shared" si="211"/>
        <v>11</v>
      </c>
      <c r="AS517">
        <f t="shared" si="212"/>
        <v>0</v>
      </c>
      <c r="AT517" t="str">
        <f t="shared" si="213"/>
        <v>DIGITAL</v>
      </c>
      <c r="AU517">
        <f t="shared" si="214"/>
        <v>11</v>
      </c>
      <c r="AV517" t="str">
        <f t="shared" si="215"/>
        <v>Mayor retorno probable: DIGITAL (+11,0 puntos finales potenciales).</v>
      </c>
    </row>
    <row r="518" spans="1:48" x14ac:dyDescent="0.3">
      <c r="A518" s="5">
        <v>51019814</v>
      </c>
      <c r="B518" s="5" t="str">
        <f>IFERROR(VLOOKUP(A518,VENTAS!$A$2:$B$1194,2,0),"")</f>
        <v>MONTENEGRO</v>
      </c>
      <c r="C518" s="5">
        <f>IFERROR(INDEX(VENTAS!$C$2:$E$1194,MATCH(A518,VENTAS!$A$2:$A$1194,0),MATCH(PARAMS_MODELO!$B$2,{"Q1","Q2","Q3"},0)),0)</f>
        <v>77388241.199999988</v>
      </c>
      <c r="D518" s="5">
        <f>IFERROR(INDEX(VENTAS!$F$2:$H$1194,MATCH(A518,VENTAS!$A$2:$A$1194,0),MATCH(PARAMS_MODELO!$B$2,{"Q1","Q2","Q3"},0)),0)</f>
        <v>74758340</v>
      </c>
      <c r="E518" s="8">
        <f t="shared" si="192"/>
        <v>-3.3983214493831793E-2</v>
      </c>
      <c r="F518" s="12">
        <f>IF(E518&lt;=PARAMS_MODELO!$B$15,0,IF(E518&gt;=PARAMS_MODELO!$B$17,100,100*MIN(1,(E518-PARAMS_MODELO!$B$15)/(PARAMS_MODELO!$B$16-PARAMS_MODELO!$B$15))))*PARAMS_MODELO!$B$7</f>
        <v>0</v>
      </c>
      <c r="G518" s="5">
        <f t="shared" si="193"/>
        <v>0</v>
      </c>
      <c r="H518" s="5">
        <f>(PARAMS_MODELO!$B$20*(MAX(0,MIN(3,E518))/3)+PARAMS_MODELO!$B$21*(IFERROR(LN(1+MAX(0,G518))/LN(1+MAX(0,MAX($G$2:$G$1194))),0)))*100*PARAMS_MODELO!$B$8</f>
        <v>0</v>
      </c>
      <c r="I518" s="8">
        <f>E518-PARAMS_MODELO!$B$5</f>
        <v>-0.21154604986935832</v>
      </c>
      <c r="J518" s="5">
        <f>IF(I518&lt;=PARAMS_MODELO!$B$18,0,IF(I518&gt;=PARAMS_MODELO!$B$19,100,100*(I518-PARAMS_MODELO!$B$18)/(PARAMS_MODELO!$B$19-PARAMS_MODELO!$B$18)))*PARAMS_MODELO!$B$9</f>
        <v>0</v>
      </c>
      <c r="K518" s="5">
        <f>IFERROR(CHOOSE(MATCH(PARAMS_MODELO!$B$2,{"Q1","Q2","Q3"},0),LOTO!$D518,LOTO!$F518,LOTO!$H518),0)</f>
        <v>3672500</v>
      </c>
      <c r="L518" s="8">
        <f t="shared" si="194"/>
        <v>4.9124953817861659E-2</v>
      </c>
      <c r="M518" s="5">
        <f>MIN(100,IF(PARAMS_MODELO!$B$23=0,0,100*L518/PARAMS_MODELO!$B$23))*PARAMS_MODELO!$B$10</f>
        <v>14.737486145358497</v>
      </c>
      <c r="N518" s="5">
        <f>IFERROR(VLOOKUP(A518,COMPLIANCE!$A$2:$F$1996,6,0),100)</f>
        <v>100</v>
      </c>
      <c r="O518" s="5">
        <f>N518*PARAMS_MODELO!$B$11</f>
        <v>10</v>
      </c>
      <c r="P518" s="5">
        <f>IFERROR(VLOOKUP(A518,DIGITAL!$A$2:$J$2000,7,0),100)</f>
        <v>86</v>
      </c>
      <c r="Q518" s="5">
        <f>IFERROR(P518,0)*PARAMS_MODELO!$B$12</f>
        <v>8.6</v>
      </c>
      <c r="R518">
        <f t="shared" si="195"/>
        <v>33.337486145358497</v>
      </c>
      <c r="S518" s="5" t="str">
        <f>IFERROR(VLOOKUP(A518,CLIENTE!$A$2:$N$2000,13,0),1)</f>
        <v>Malo</v>
      </c>
      <c r="T518" s="5">
        <f>IFERROR(VLOOKUP(A518,CLIENTE!$A$2:$N$2000,14,0),1)</f>
        <v>0.7</v>
      </c>
      <c r="U518" s="5">
        <f t="shared" si="196"/>
        <v>23.336240301750948</v>
      </c>
      <c r="V518" s="5" t="str">
        <f>IF(U518&gt;=MAX(_xlfn.PERCENTILE.INC($U$2:$U$1194,PARAMS_MODELO!$B$50),PARAMS_MODELO!$B$45),"DIAMANTE",IF(U518&gt;=MAX(_xlfn.PERCENTILE.INC($U$2:$U$1194,PARAMS_MODELO!$B$51),PARAMS_MODELO!$B$46),"PLATINO",IF(U518&gt;=MAX(_xlfn.PERCENTILE.INC($U$2:$U$1194,PARAMS_MODELO!$B$52),PARAMS_MODELO!$B$47),"ORO",IF(U518&gt;=MAX(_xlfn.PERCENTILE.INC($U$2:$U$1194,PARAMS_MODELO!$B$53),PARAMS_MODELO!$B$48),"PLATA",IF(U518&gt;=1,"BRONCE","CERRADO")))))</f>
        <v>BRONCE</v>
      </c>
      <c r="W518" s="5" t="str" cm="1">
        <f t="array" ref="W518">_xlfn.XLOOKUP(1, (HIST_SCORE!$B:$B=PARAMS_MODELO!$B$4) * (HIST_SCORE!$C:$C=A518), HIST_SCORE!$E:$E, "No encontrado")</f>
        <v>PLATA</v>
      </c>
      <c r="X518" s="5" t="str">
        <f>_xlfn.LET(_xlpm.act,MATCH(V518,{"DIAMANTE";"PLATINO";"ORO";"PLATA";"BRONCE";"CERRADO"},0),_xlpm.ant,MATCH(W518,{"DIAMANTE";"PLATINO";"ORO";"PLATA";"BRONCE";"CERRADO"},0),IF(_xlpm.act&lt;_xlpm.ant,"Mejora ↑",IF(_xlpm.act&gt;_xlpm.ant,"Baja ↓","Estable →")))</f>
        <v>Baja ↓</v>
      </c>
      <c r="Y518" s="5">
        <f>IFERROR(U518-SUMIFS(HIST_SCORE!$D:$D,HIST_SCORE!$B:$B,PARAMS_MODELO!$B$4,HIST_SCORE!$C:$C,$A518),"")</f>
        <v>0.12773453811135482</v>
      </c>
      <c r="Z518" s="5" t="str">
        <f t="shared" si="197"/>
        <v>→ Estable</v>
      </c>
      <c r="AA518" s="5">
        <f t="shared" si="198"/>
        <v>930</v>
      </c>
      <c r="AB518" s="5">
        <f>IFERROR(SUMIFS(HIST_SCORE!$F:$F,HIST_SCORE!$B:$B,PARAMS_MODELO!$B$4,HIST_SCORE!$C:$C,$A518),"")</f>
        <v>951</v>
      </c>
      <c r="AC518" s="5">
        <f t="shared" si="199"/>
        <v>21</v>
      </c>
      <c r="AD518" t="str">
        <f t="shared" si="201"/>
        <v/>
      </c>
      <c r="AE5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518="CERRADO",1,IF(V518="BRONCE",_xlpm.cPl,IF(V518="PLATA",_xlpm.cO,IF(V518="ORO",_xlpm.cP,IF(V518="PLATINO",_xlpm.cD,999))))))</f>
        <v>24.506573482968111</v>
      </c>
      <c r="AF5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518="CERRADO",0,IF(V518="BRONCE",1,IF(V518="PLATA",_xlpm.cPl,IF(V518="ORO",_xlpm.cO,IF(V518="PLATINO",_xlpm.cP,_xlpm.cD))))))</f>
        <v>1</v>
      </c>
      <c r="AG518">
        <f t="shared" si="202"/>
        <v>1.6719045445959466</v>
      </c>
      <c r="AH518" t="str">
        <f t="shared" si="203"/>
        <v>CLIENTE</v>
      </c>
      <c r="AI518" t="str">
        <f t="shared" si="200"/>
        <v>🎯 Para subir de categoría, la eje con mayor impacto probable es CLIENTE (coef T). Acción: reducir quejas, mejorar incógnito y empujar reseñas. ΔR aprox: 1,7</v>
      </c>
      <c r="AJ518" s="26">
        <f>_xlfn.LET(_xlpm.piso,AF518,_xlpm.corte,AE518,_xlpm.prog,IF(_xlpm.corte&lt;=_xlpm.piso,0,MAX(0,MIN(1,(U518-_xlpm.piso)/(_xlpm.corte-_xlpm.piso)))),_xlpm.orden,{"DIAMANTE";"PLATINO";"ORO";"PLATA";"BRONCE";"CERRADO"},_xlpm.act,IFERROR(MATCH(V518,_xlpm.orden,0),6),_xlpm.ant,IFERROR(MATCH(W518,_xlpm.orden,0),6),_xlpm.ajmov,IF(_xlpm.act&lt;_xlpm.ant,0.08,IF(_xlpm.act&gt;_xlpm.ant,-0.08,0)),_xlpm.ajcli,IF(T518&lt;0.95,-0.06,0),_xlpm.prob,MAX(0,MIN(1,_xlpm.prog+_xlpm.ajmov+_xlpm.ajcli)),IF(OR(V518="DIAMANTE",V518="CERRADO"),0,ROUND(_xlpm.prob,2)))</f>
        <v>0.81</v>
      </c>
      <c r="AK518" t="str">
        <f t="shared" si="204"/>
        <v>Faltan 1,7 puntos base para subir a la siguiente categoría</v>
      </c>
      <c r="AL518" t="str">
        <f t="shared" si="205"/>
        <v>No aplica</v>
      </c>
      <c r="AM518">
        <f t="shared" si="206"/>
        <v>0.34</v>
      </c>
      <c r="AN518" t="str">
        <f t="shared" si="207"/>
        <v>PRIORIDAD BAJA – control normal</v>
      </c>
      <c r="AO518">
        <f t="shared" si="208"/>
        <v>45.403798492706905</v>
      </c>
      <c r="AP518">
        <f t="shared" si="209"/>
        <v>0.18375969824905186</v>
      </c>
      <c r="AQ518">
        <f t="shared" si="210"/>
        <v>0</v>
      </c>
      <c r="AR518">
        <f t="shared" si="211"/>
        <v>0.9800000000000002</v>
      </c>
      <c r="AS518">
        <f t="shared" si="212"/>
        <v>10.001245843607551</v>
      </c>
      <c r="AT518" t="str">
        <f t="shared" si="213"/>
        <v>VENTAS</v>
      </c>
      <c r="AU518">
        <f t="shared" si="214"/>
        <v>45.403798492706905</v>
      </c>
      <c r="AV518" t="str">
        <f t="shared" si="215"/>
        <v>Mayor retorno probable: VENTAS (+45,4 puntos finales potenciales).</v>
      </c>
    </row>
    <row r="519" spans="1:48" x14ac:dyDescent="0.3">
      <c r="A519" s="5">
        <v>51033281</v>
      </c>
      <c r="B519" s="5" t="str">
        <f>IFERROR(VLOOKUP(A519,VENTAS!$A$2:$B$1194,2,0),"")</f>
        <v>METTLER</v>
      </c>
      <c r="C519" s="5">
        <f>IFERROR(INDEX(VENTAS!$C$2:$E$1194,MATCH(A519,VENTAS!$A$2:$A$1194,0),MATCH(PARAMS_MODELO!$B$2,{"Q1","Q2","Q3"},0)),0)</f>
        <v>47689641.229999997</v>
      </c>
      <c r="D519" s="5">
        <f>IFERROR(INDEX(VENTAS!$F$2:$H$1194,MATCH(A519,VENTAS!$A$2:$A$1194,0),MATCH(PARAMS_MODELO!$B$2,{"Q1","Q2","Q3"},0)),0)</f>
        <v>74705343</v>
      </c>
      <c r="E519" s="8">
        <f t="shared" si="192"/>
        <v>0.56648993519803015</v>
      </c>
      <c r="F519" s="12">
        <f>IF(E519&lt;=PARAMS_MODELO!$B$15,0,IF(E519&gt;=PARAMS_MODELO!$B$17,100,100*MIN(1,(E519-PARAMS_MODELO!$B$15)/(PARAMS_MODELO!$B$16-PARAMS_MODELO!$B$15))))*PARAMS_MODELO!$B$7</f>
        <v>35</v>
      </c>
      <c r="G519" s="5">
        <f t="shared" si="193"/>
        <v>27015701.770000003</v>
      </c>
      <c r="H519" s="5">
        <f>(PARAMS_MODELO!$B$20*(MAX(0,MIN(3,E519))/3)+PARAMS_MODELO!$B$21*(IFERROR(LN(1+MAX(0,G519))/LN(1+MAX(0,MAX($G$2:$G$1194))),0)))*100*PARAMS_MODELO!$B$8</f>
        <v>5.9939897874491246</v>
      </c>
      <c r="I519" s="8">
        <f>E519-PARAMS_MODELO!$B$5</f>
        <v>0.38892709982250362</v>
      </c>
      <c r="J519" s="5">
        <f>IF(I519&lt;=PARAMS_MODELO!$B$18,0,IF(I519&gt;=PARAMS_MODELO!$B$19,100,100*(I519-PARAMS_MODELO!$B$18)/(PARAMS_MODELO!$B$19-PARAMS_MODELO!$B$18)))*PARAMS_MODELO!$B$9</f>
        <v>15</v>
      </c>
      <c r="K519" s="5">
        <f>IFERROR(CHOOSE(MATCH(PARAMS_MODELO!$B$2,{"Q1","Q2","Q3"},0),LOTO!$D519,LOTO!$F519,LOTO!$H519),0)</f>
        <v>3670000</v>
      </c>
      <c r="L519" s="8">
        <f t="shared" si="194"/>
        <v>4.9126338928662708E-2</v>
      </c>
      <c r="M519" s="5">
        <f>MIN(100,IF(PARAMS_MODELO!$B$23=0,0,100*L519/PARAMS_MODELO!$B$23))*PARAMS_MODELO!$B$10</f>
        <v>14.737901678598814</v>
      </c>
      <c r="N519" s="5">
        <f>IFERROR(VLOOKUP(A519,COMPLIANCE!$A$2:$F$1996,6,0),100)</f>
        <v>99.85</v>
      </c>
      <c r="O519" s="5">
        <f>N519*PARAMS_MODELO!$B$11</f>
        <v>9.9849999999999994</v>
      </c>
      <c r="P519" s="5">
        <f>IFERROR(VLOOKUP(A519,DIGITAL!$A$2:$J$2000,7,0),100)</f>
        <v>64</v>
      </c>
      <c r="Q519" s="5">
        <f>IFERROR(P519,0)*PARAMS_MODELO!$B$12</f>
        <v>6.4</v>
      </c>
      <c r="R519">
        <f t="shared" si="195"/>
        <v>87.116891466047946</v>
      </c>
      <c r="S519" s="5" t="str">
        <f>IFERROR(VLOOKUP(A519,CLIENTE!$A$2:$N$2000,13,0),1)</f>
        <v>Malo</v>
      </c>
      <c r="T519" s="5">
        <f>IFERROR(VLOOKUP(A519,CLIENTE!$A$2:$N$2000,14,0),1)</f>
        <v>0.7</v>
      </c>
      <c r="U519" s="5">
        <f t="shared" si="196"/>
        <v>60.981824026233561</v>
      </c>
      <c r="V519" s="5" t="str">
        <f>IF(U519&gt;=MAX(_xlfn.PERCENTILE.INC($U$2:$U$1194,PARAMS_MODELO!$B$50),PARAMS_MODELO!$B$45),"DIAMANTE",IF(U519&gt;=MAX(_xlfn.PERCENTILE.INC($U$2:$U$1194,PARAMS_MODELO!$B$51),PARAMS_MODELO!$B$46),"PLATINO",IF(U519&gt;=MAX(_xlfn.PERCENTILE.INC($U$2:$U$1194,PARAMS_MODELO!$B$52),PARAMS_MODELO!$B$47),"ORO",IF(U519&gt;=MAX(_xlfn.PERCENTILE.INC($U$2:$U$1194,PARAMS_MODELO!$B$53),PARAMS_MODELO!$B$48),"PLATA",IF(U519&gt;=1,"BRONCE","CERRADO")))))</f>
        <v>PLATA</v>
      </c>
      <c r="W519" s="5" t="str" cm="1">
        <f t="array" ref="W519">_xlfn.XLOOKUP(1, (HIST_SCORE!$B:$B=PARAMS_MODELO!$B$4) * (HIST_SCORE!$C:$C=A519), HIST_SCORE!$E:$E, "No encontrado")</f>
        <v>PLATA</v>
      </c>
      <c r="X519" s="5" t="str">
        <f>_xlfn.LET(_xlpm.act,MATCH(V519,{"DIAMANTE";"PLATINO";"ORO";"PLATA";"BRONCE";"CERRADO"},0),_xlpm.ant,MATCH(W519,{"DIAMANTE";"PLATINO";"ORO";"PLATA";"BRONCE";"CERRADO"},0),IF(_xlpm.act&lt;_xlpm.ant,"Mejora ↑",IF(_xlpm.act&gt;_xlpm.ant,"Baja ↓","Estable →")))</f>
        <v>Estable →</v>
      </c>
      <c r="Y519" s="5">
        <f>IFERROR(U519-SUMIFS(HIST_SCORE!$D:$D,HIST_SCORE!$B:$B,PARAMS_MODELO!$B$4,HIST_SCORE!$C:$C,$A519),"")</f>
        <v>11.645209869891559</v>
      </c>
      <c r="Z519" s="5" t="str">
        <f t="shared" si="197"/>
        <v>↑ Mejora</v>
      </c>
      <c r="AA519" s="5">
        <f t="shared" si="198"/>
        <v>597</v>
      </c>
      <c r="AB519" s="5">
        <f>IFERROR(SUMIFS(HIST_SCORE!$F:$F,HIST_SCORE!$B:$B,PARAMS_MODELO!$B$4,HIST_SCORE!$C:$C,$A519),"")</f>
        <v>778</v>
      </c>
      <c r="AC519" s="5">
        <f t="shared" si="199"/>
        <v>181</v>
      </c>
      <c r="AD519" t="str">
        <f t="shared" si="201"/>
        <v/>
      </c>
      <c r="AE5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519="CERRADO",1,IF(V519="BRONCE",_xlpm.cPl,IF(V519="PLATA",_xlpm.cO,IF(V519="ORO",_xlpm.cP,IF(V519="PLATINO",_xlpm.cD,999))))))</f>
        <v>63.199193273331495</v>
      </c>
      <c r="AF5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519="CERRADO",0,IF(V519="BRONCE",1,IF(V519="PLATA",_xlpm.cPl,IF(V519="ORO",_xlpm.cO,IF(V519="PLATINO",_xlpm.cP,_xlpm.cD))))))</f>
        <v>24.506573482968111</v>
      </c>
      <c r="AG519">
        <f t="shared" si="202"/>
        <v>3.1676703529970496</v>
      </c>
      <c r="AH519" t="str">
        <f t="shared" si="203"/>
        <v>CLIENTE</v>
      </c>
      <c r="AI519" t="str">
        <f t="shared" si="200"/>
        <v>🎯 Para subir de categoría, la eje con mayor impacto probable es CLIENTE (coef T). Acción: reducir quejas, mejorar incógnito y empujar reseñas. ΔR aprox: 3,2</v>
      </c>
      <c r="AJ519" s="26">
        <f>_xlfn.LET(_xlpm.piso,AF519,_xlpm.corte,AE519,_xlpm.prog,IF(_xlpm.corte&lt;=_xlpm.piso,0,MAX(0,MIN(1,(U519-_xlpm.piso)/(_xlpm.corte-_xlpm.piso)))),_xlpm.orden,{"DIAMANTE";"PLATINO";"ORO";"PLATA";"BRONCE";"CERRADO"},_xlpm.act,IFERROR(MATCH(V519,_xlpm.orden,0),6),_xlpm.ant,IFERROR(MATCH(W519,_xlpm.orden,0),6),_xlpm.ajmov,IF(_xlpm.act&lt;_xlpm.ant,0.08,IF(_xlpm.act&gt;_xlpm.ant,-0.08,0)),_xlpm.ajcli,IF(T519&lt;0.95,-0.06,0),_xlpm.prob,MAX(0,MIN(1,_xlpm.prog+_xlpm.ajmov+_xlpm.ajcli)),IF(OR(V519="DIAMANTE",V519="CERRADO"),0,ROUND(_xlpm.prob,2)))</f>
        <v>0.88</v>
      </c>
      <c r="AK519" t="str">
        <f t="shared" si="204"/>
        <v>Faltan 3,2 puntos base para subir a la siguiente categoría</v>
      </c>
      <c r="AL519" t="str">
        <f t="shared" si="205"/>
        <v>Margen de seguridad: 36,5 puntos</v>
      </c>
      <c r="AM519">
        <f t="shared" si="206"/>
        <v>0.37</v>
      </c>
      <c r="AN519" t="str">
        <f t="shared" si="207"/>
        <v>PRIORIDAD BAJA – control normal</v>
      </c>
      <c r="AO519">
        <f t="shared" si="208"/>
        <v>6.2080056414925222</v>
      </c>
      <c r="AP519">
        <f t="shared" si="209"/>
        <v>0.18346882498083053</v>
      </c>
      <c r="AQ519">
        <f t="shared" si="210"/>
        <v>1.0500000000000398E-2</v>
      </c>
      <c r="AR519">
        <f t="shared" si="211"/>
        <v>2.5199999999999996</v>
      </c>
      <c r="AS519">
        <f t="shared" si="212"/>
        <v>26.135067439814389</v>
      </c>
      <c r="AT519" t="str">
        <f t="shared" si="213"/>
        <v>CLIENTE</v>
      </c>
      <c r="AU519">
        <f t="shared" si="214"/>
        <v>26.135067439814389</v>
      </c>
      <c r="AV519" t="str">
        <f t="shared" si="215"/>
        <v>Mayor retorno probable: CLIENTE (+26,1 puntos finales potenciales).</v>
      </c>
    </row>
    <row r="520" spans="1:48" x14ac:dyDescent="0.3">
      <c r="A520" s="5">
        <v>51056523</v>
      </c>
      <c r="B520" s="5" t="str">
        <f>IFERROR(VLOOKUP(A520,VENTAS!$A$2:$B$1194,2,0),"")</f>
        <v>CICHETTO</v>
      </c>
      <c r="C520" s="5">
        <f>IFERROR(INDEX(VENTAS!$C$2:$E$1194,MATCH(A520,VENTAS!$A$2:$A$1194,0),MATCH(PARAMS_MODELO!$B$2,{"Q1","Q2","Q3"},0)),0)</f>
        <v>78035192.439999998</v>
      </c>
      <c r="D520" s="5">
        <f>IFERROR(INDEX(VENTAS!$F$2:$H$1194,MATCH(A520,VENTAS!$A$2:$A$1194,0),MATCH(PARAMS_MODELO!$B$2,{"Q1","Q2","Q3"},0)),0)</f>
        <v>74649558</v>
      </c>
      <c r="E520" s="8">
        <f t="shared" si="192"/>
        <v>-4.3385994628041158E-2</v>
      </c>
      <c r="F520" s="12">
        <f>IF(E520&lt;=PARAMS_MODELO!$B$15,0,IF(E520&gt;=PARAMS_MODELO!$B$17,100,100*MIN(1,(E520-PARAMS_MODELO!$B$15)/(PARAMS_MODELO!$B$16-PARAMS_MODELO!$B$15))))*PARAMS_MODELO!$B$7</f>
        <v>0</v>
      </c>
      <c r="G520" s="5">
        <f t="shared" si="193"/>
        <v>0</v>
      </c>
      <c r="H520" s="5">
        <f>(PARAMS_MODELO!$B$20*(MAX(0,MIN(3,E520))/3)+PARAMS_MODELO!$B$21*(IFERROR(LN(1+MAX(0,G520))/LN(1+MAX(0,MAX($G$2:$G$1194))),0)))*100*PARAMS_MODELO!$B$8</f>
        <v>0</v>
      </c>
      <c r="I520" s="8">
        <f>E520-PARAMS_MODELO!$B$5</f>
        <v>-0.22094883000356769</v>
      </c>
      <c r="J520" s="5">
        <f>IF(I520&lt;=PARAMS_MODELO!$B$18,0,IF(I520&gt;=PARAMS_MODELO!$B$19,100,100*(I520-PARAMS_MODELO!$B$18)/(PARAMS_MODELO!$B$19-PARAMS_MODELO!$B$18)))*PARAMS_MODELO!$B$9</f>
        <v>0</v>
      </c>
      <c r="K520" s="5">
        <f>IFERROR(CHOOSE(MATCH(PARAMS_MODELO!$B$2,{"Q1","Q2","Q3"},0),LOTO!$D520,LOTO!$F520,LOTO!$H520),0)</f>
        <v>3660000</v>
      </c>
      <c r="L520" s="8">
        <f t="shared" si="194"/>
        <v>4.9029091371177308E-2</v>
      </c>
      <c r="M520" s="5">
        <f>MIN(100,IF(PARAMS_MODELO!$B$23=0,0,100*L520/PARAMS_MODELO!$B$23))*PARAMS_MODELO!$B$10</f>
        <v>14.708727411353189</v>
      </c>
      <c r="N520" s="5">
        <f>IFERROR(VLOOKUP(A520,COMPLIANCE!$A$2:$F$1996,6,0),100)</f>
        <v>100</v>
      </c>
      <c r="O520" s="5">
        <f>N520*PARAMS_MODELO!$B$11</f>
        <v>10</v>
      </c>
      <c r="P520" s="5">
        <f>IFERROR(VLOOKUP(A520,DIGITAL!$A$2:$J$2000,7,0),100)</f>
        <v>55</v>
      </c>
      <c r="Q520" s="5">
        <f>IFERROR(P520,0)*PARAMS_MODELO!$B$12</f>
        <v>5.5</v>
      </c>
      <c r="R520">
        <f t="shared" si="195"/>
        <v>30.208727411353188</v>
      </c>
      <c r="S520" s="5" t="str">
        <f>IFERROR(VLOOKUP(A520,CLIENTE!$A$2:$N$2000,13,0),1)</f>
        <v>Malo</v>
      </c>
      <c r="T520" s="5">
        <f>IFERROR(VLOOKUP(A520,CLIENTE!$A$2:$N$2000,14,0),1)</f>
        <v>0.7</v>
      </c>
      <c r="U520" s="5">
        <f t="shared" si="196"/>
        <v>21.146109187947228</v>
      </c>
      <c r="V520" s="5" t="str">
        <f>IF(U520&gt;=MAX(_xlfn.PERCENTILE.INC($U$2:$U$1194,PARAMS_MODELO!$B$50),PARAMS_MODELO!$B$45),"DIAMANTE",IF(U520&gt;=MAX(_xlfn.PERCENTILE.INC($U$2:$U$1194,PARAMS_MODELO!$B$51),PARAMS_MODELO!$B$46),"PLATINO",IF(U520&gt;=MAX(_xlfn.PERCENTILE.INC($U$2:$U$1194,PARAMS_MODELO!$B$52),PARAMS_MODELO!$B$47),"ORO",IF(U520&gt;=MAX(_xlfn.PERCENTILE.INC($U$2:$U$1194,PARAMS_MODELO!$B$53),PARAMS_MODELO!$B$48),"PLATA",IF(U520&gt;=1,"BRONCE","CERRADO")))))</f>
        <v>BRONCE</v>
      </c>
      <c r="W520" s="5" t="str" cm="1">
        <f t="array" ref="W520">_xlfn.XLOOKUP(1, (HIST_SCORE!$B:$B=PARAMS_MODELO!$B$4) * (HIST_SCORE!$C:$C=A520), HIST_SCORE!$E:$E, "No encontrado")</f>
        <v>BRONCE</v>
      </c>
      <c r="X520" s="5" t="str">
        <f>_xlfn.LET(_xlpm.act,MATCH(V520,{"DIAMANTE";"PLATINO";"ORO";"PLATA";"BRONCE";"CERRADO"},0),_xlpm.ant,MATCH(W520,{"DIAMANTE";"PLATINO";"ORO";"PLATA";"BRONCE";"CERRADO"},0),IF(_xlpm.act&lt;_xlpm.ant,"Mejora ↑",IF(_xlpm.act&gt;_xlpm.ant,"Baja ↓","Estable →")))</f>
        <v>Estable →</v>
      </c>
      <c r="Y520" s="5">
        <f>IFERROR(U520-SUMIFS(HIST_SCORE!$D:$D,HIST_SCORE!$B:$B,PARAMS_MODELO!$B$4,HIST_SCORE!$C:$C,$A520),"")</f>
        <v>-1.0418721653265024</v>
      </c>
      <c r="Z520" s="5" t="str">
        <f t="shared" si="197"/>
        <v>→ Estable</v>
      </c>
      <c r="AA520" s="5">
        <f t="shared" si="198"/>
        <v>960</v>
      </c>
      <c r="AB520" s="5">
        <f>IFERROR(SUMIFS(HIST_SCORE!$F:$F,HIST_SCORE!$B:$B,PARAMS_MODELO!$B$4,HIST_SCORE!$C:$C,$A520),"")</f>
        <v>964</v>
      </c>
      <c r="AC520" s="5">
        <f t="shared" si="199"/>
        <v>4</v>
      </c>
      <c r="AD520" t="str">
        <f t="shared" si="201"/>
        <v>Plan de recuperación: foco crecimiento + mix</v>
      </c>
      <c r="AE5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520="CERRADO",1,IF(V520="BRONCE",_xlpm.cPl,IF(V520="PLATA",_xlpm.cO,IF(V520="ORO",_xlpm.cP,IF(V520="PLATINO",_xlpm.cD,999))))))</f>
        <v>24.506573482968111</v>
      </c>
      <c r="AF5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520="CERRADO",0,IF(V520="BRONCE",1,IF(V520="PLATA",_xlpm.cPl,IF(V520="ORO",_xlpm.cO,IF(V520="PLATINO",_xlpm.cP,_xlpm.cD))))))</f>
        <v>1</v>
      </c>
      <c r="AG520">
        <f t="shared" si="202"/>
        <v>4.800663278601256</v>
      </c>
      <c r="AH520" t="str">
        <f t="shared" si="203"/>
        <v>CLIENTE</v>
      </c>
      <c r="AI520" t="str">
        <f t="shared" si="200"/>
        <v>🎯 Para subir de categoría, la eje con mayor impacto probable es CLIENTE (coef T). Acción: reducir quejas, mejorar incógnito y empujar reseñas. ΔR aprox: 4,8</v>
      </c>
      <c r="AJ520" s="26">
        <f>_xlfn.LET(_xlpm.piso,AF520,_xlpm.corte,AE520,_xlpm.prog,IF(_xlpm.corte&lt;=_xlpm.piso,0,MAX(0,MIN(1,(U520-_xlpm.piso)/(_xlpm.corte-_xlpm.piso)))),_xlpm.orden,{"DIAMANTE";"PLATINO";"ORO";"PLATA";"BRONCE";"CERRADO"},_xlpm.act,IFERROR(MATCH(V520,_xlpm.orden,0),6),_xlpm.ant,IFERROR(MATCH(W520,_xlpm.orden,0),6),_xlpm.ajmov,IF(_xlpm.act&lt;_xlpm.ant,0.08,IF(_xlpm.act&gt;_xlpm.ant,-0.08,0)),_xlpm.ajcli,IF(T520&lt;0.95,-0.06,0),_xlpm.prob,MAX(0,MIN(1,_xlpm.prog+_xlpm.ajmov+_xlpm.ajcli)),IF(OR(V520="DIAMANTE",V520="CERRADO"),0,ROUND(_xlpm.prob,2)))</f>
        <v>0.8</v>
      </c>
      <c r="AK520" t="str">
        <f t="shared" si="204"/>
        <v>Faltan 4,8 puntos base para subir a la siguiente categoría</v>
      </c>
      <c r="AL520" t="str">
        <f t="shared" si="205"/>
        <v>No aplica</v>
      </c>
      <c r="AM520">
        <f t="shared" si="206"/>
        <v>0.47</v>
      </c>
      <c r="AN520" t="str">
        <f t="shared" si="207"/>
        <v>PRIORIDAD MEDIA – seguimiento del asesor</v>
      </c>
      <c r="AO520">
        <f t="shared" si="208"/>
        <v>45.403798492706905</v>
      </c>
      <c r="AP520">
        <f t="shared" si="209"/>
        <v>0.20389081205276741</v>
      </c>
      <c r="AQ520">
        <f t="shared" si="210"/>
        <v>0</v>
      </c>
      <c r="AR520">
        <f t="shared" si="211"/>
        <v>3.15</v>
      </c>
      <c r="AS520">
        <f t="shared" si="212"/>
        <v>9.0626182234059574</v>
      </c>
      <c r="AT520" t="str">
        <f t="shared" si="213"/>
        <v>VENTAS</v>
      </c>
      <c r="AU520">
        <f t="shared" si="214"/>
        <v>45.403798492706905</v>
      </c>
      <c r="AV520" t="str">
        <f t="shared" si="215"/>
        <v>Mayor retorno probable: VENTAS (+45,4 puntos finales potenciales).</v>
      </c>
    </row>
    <row r="521" spans="1:48" x14ac:dyDescent="0.3">
      <c r="A521" s="5">
        <v>51025792</v>
      </c>
      <c r="B521" s="5" t="str">
        <f>IFERROR(VLOOKUP(A521,VENTAS!$A$2:$B$1194,2,0),"")</f>
        <v>METTLER</v>
      </c>
      <c r="C521" s="5">
        <f>IFERROR(INDEX(VENTAS!$C$2:$E$1194,MATCH(A521,VENTAS!$A$2:$A$1194,0),MATCH(PARAMS_MODELO!$B$2,{"Q1","Q2","Q3"},0)),0)</f>
        <v>80789118.060000002</v>
      </c>
      <c r="D521" s="5">
        <f>IFERROR(INDEX(VENTAS!$F$2:$H$1194,MATCH(A521,VENTAS!$A$2:$A$1194,0),MATCH(PARAMS_MODELO!$B$2,{"Q1","Q2","Q3"},0)),0)</f>
        <v>74620298</v>
      </c>
      <c r="E521" s="8">
        <f t="shared" si="192"/>
        <v>-7.6357066497725334E-2</v>
      </c>
      <c r="F521" s="12">
        <f>IF(E521&lt;=PARAMS_MODELO!$B$15,0,IF(E521&gt;=PARAMS_MODELO!$B$17,100,100*MIN(1,(E521-PARAMS_MODELO!$B$15)/(PARAMS_MODELO!$B$16-PARAMS_MODELO!$B$15))))*PARAMS_MODELO!$B$7</f>
        <v>0</v>
      </c>
      <c r="G521" s="5">
        <f t="shared" si="193"/>
        <v>0</v>
      </c>
      <c r="H521" s="5">
        <f>(PARAMS_MODELO!$B$20*(MAX(0,MIN(3,E521))/3)+PARAMS_MODELO!$B$21*(IFERROR(LN(1+MAX(0,G521))/LN(1+MAX(0,MAX($G$2:$G$1194))),0)))*100*PARAMS_MODELO!$B$8</f>
        <v>0</v>
      </c>
      <c r="I521" s="8">
        <f>E521-PARAMS_MODELO!$B$5</f>
        <v>-0.25391990187325186</v>
      </c>
      <c r="J521" s="5">
        <f>IF(I521&lt;=PARAMS_MODELO!$B$18,0,IF(I521&gt;=PARAMS_MODELO!$B$19,100,100*(I521-PARAMS_MODELO!$B$18)/(PARAMS_MODELO!$B$19-PARAMS_MODELO!$B$18)))*PARAMS_MODELO!$B$9</f>
        <v>0</v>
      </c>
      <c r="K521" s="5">
        <f>IFERROR(CHOOSE(MATCH(PARAMS_MODELO!$B$2,{"Q1","Q2","Q3"},0),LOTO!$D521,LOTO!$F521,LOTO!$H521),0)</f>
        <v>3657500</v>
      </c>
      <c r="L521" s="8">
        <f t="shared" si="194"/>
        <v>4.9014813636900779E-2</v>
      </c>
      <c r="M521" s="5">
        <f>MIN(100,IF(PARAMS_MODELO!$B$23=0,0,100*L521/PARAMS_MODELO!$B$23))*PARAMS_MODELO!$B$10</f>
        <v>14.704444091070233</v>
      </c>
      <c r="N521" s="5">
        <f>IFERROR(VLOOKUP(A521,COMPLIANCE!$A$2:$F$1996,6,0),100)</f>
        <v>100</v>
      </c>
      <c r="O521" s="5">
        <f>N521*PARAMS_MODELO!$B$11</f>
        <v>10</v>
      </c>
      <c r="P521" s="5">
        <f>IFERROR(VLOOKUP(A521,DIGITAL!$A$2:$J$2000,7,0),100)</f>
        <v>54</v>
      </c>
      <c r="Q521" s="5">
        <f>IFERROR(P521,0)*PARAMS_MODELO!$B$12</f>
        <v>5.4</v>
      </c>
      <c r="R521">
        <f t="shared" si="195"/>
        <v>30.104444091070235</v>
      </c>
      <c r="S521" s="5" t="str">
        <f>IFERROR(VLOOKUP(A521,CLIENTE!$A$2:$N$2000,13,0),1)</f>
        <v>Regular</v>
      </c>
      <c r="T521" s="5">
        <f>IFERROR(VLOOKUP(A521,CLIENTE!$A$2:$N$2000,14,0),1)</f>
        <v>1</v>
      </c>
      <c r="U521" s="5">
        <f t="shared" si="196"/>
        <v>30.104444091070235</v>
      </c>
      <c r="V521" s="5" t="str">
        <f>IF(U521&gt;=MAX(_xlfn.PERCENTILE.INC($U$2:$U$1194,PARAMS_MODELO!$B$50),PARAMS_MODELO!$B$45),"DIAMANTE",IF(U521&gt;=MAX(_xlfn.PERCENTILE.INC($U$2:$U$1194,PARAMS_MODELO!$B$51),PARAMS_MODELO!$B$46),"PLATINO",IF(U521&gt;=MAX(_xlfn.PERCENTILE.INC($U$2:$U$1194,PARAMS_MODELO!$B$52),PARAMS_MODELO!$B$47),"ORO",IF(U521&gt;=MAX(_xlfn.PERCENTILE.INC($U$2:$U$1194,PARAMS_MODELO!$B$53),PARAMS_MODELO!$B$48),"PLATA",IF(U521&gt;=1,"BRONCE","CERRADO")))))</f>
        <v>PLATA</v>
      </c>
      <c r="W521" s="5" t="str" cm="1">
        <f t="array" ref="W521">_xlfn.XLOOKUP(1, (HIST_SCORE!$B:$B=PARAMS_MODELO!$B$4) * (HIST_SCORE!$C:$C=A521), HIST_SCORE!$E:$E, "No encontrado")</f>
        <v>ORO</v>
      </c>
      <c r="X521" s="5" t="str">
        <f>_xlfn.LET(_xlpm.act,MATCH(V521,{"DIAMANTE";"PLATINO";"ORO";"PLATA";"BRONCE";"CERRADO"},0),_xlpm.ant,MATCH(W521,{"DIAMANTE";"PLATINO";"ORO";"PLATA";"BRONCE";"CERRADO"},0),IF(_xlpm.act&lt;_xlpm.ant,"Mejora ↑",IF(_xlpm.act&gt;_xlpm.ant,"Baja ↓","Estable →")))</f>
        <v>Baja ↓</v>
      </c>
      <c r="Y521" s="5">
        <f>IFERROR(U521-SUMIFS(HIST_SCORE!$D:$D,HIST_SCORE!$B:$B,PARAMS_MODELO!$B$4,HIST_SCORE!$C:$C,$A521),"")</f>
        <v>-37.096227861279019</v>
      </c>
      <c r="Z521" s="5" t="str">
        <f t="shared" si="197"/>
        <v>↓ Baja</v>
      </c>
      <c r="AA521" s="5">
        <f t="shared" si="198"/>
        <v>863</v>
      </c>
      <c r="AB521" s="5">
        <f>IFERROR(SUMIFS(HIST_SCORE!$F:$F,HIST_SCORE!$B:$B,PARAMS_MODELO!$B$4,HIST_SCORE!$C:$C,$A521),"")</f>
        <v>560</v>
      </c>
      <c r="AC521" s="5">
        <f t="shared" si="199"/>
        <v>-303</v>
      </c>
      <c r="AD521" t="str">
        <f t="shared" si="201"/>
        <v/>
      </c>
      <c r="AE5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521="CERRADO",1,IF(V521="BRONCE",_xlpm.cPl,IF(V521="PLATA",_xlpm.cO,IF(V521="ORO",_xlpm.cP,IF(V521="PLATINO",_xlpm.cD,999))))))</f>
        <v>63.199193273331495</v>
      </c>
      <c r="AF5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521="CERRADO",0,IF(V521="BRONCE",1,IF(V521="PLATA",_xlpm.cPl,IF(V521="ORO",_xlpm.cO,IF(V521="PLATINO",_xlpm.cP,_xlpm.cD))))))</f>
        <v>24.506573482968111</v>
      </c>
      <c r="AG521">
        <f t="shared" si="202"/>
        <v>33.094749182261261</v>
      </c>
      <c r="AH521" t="str">
        <f t="shared" si="203"/>
        <v>VENTAS</v>
      </c>
      <c r="AI521" t="str">
        <f t="shared" si="200"/>
        <v>🎯 Para subir de categoría, eje VENTAS / CRECIMIENTO PERSONAL (F). Acción: metas semanales + activación comercial + seguimiento del asesor. ΔR aprox: 33,1</v>
      </c>
      <c r="AJ521" s="26">
        <f>_xlfn.LET(_xlpm.piso,AF521,_xlpm.corte,AE521,_xlpm.prog,IF(_xlpm.corte&lt;=_xlpm.piso,0,MAX(0,MIN(1,(U521-_xlpm.piso)/(_xlpm.corte-_xlpm.piso)))),_xlpm.orden,{"DIAMANTE";"PLATINO";"ORO";"PLATA";"BRONCE";"CERRADO"},_xlpm.act,IFERROR(MATCH(V521,_xlpm.orden,0),6),_xlpm.ant,IFERROR(MATCH(W521,_xlpm.orden,0),6),_xlpm.ajmov,IF(_xlpm.act&lt;_xlpm.ant,0.08,IF(_xlpm.act&gt;_xlpm.ant,-0.08,0)),_xlpm.ajcli,IF(T521&lt;0.95,-0.06,0),_xlpm.prob,MAX(0,MIN(1,_xlpm.prog+_xlpm.ajmov+_xlpm.ajcli)),IF(OR(V521="DIAMANTE",V521="CERRADO"),0,ROUND(_xlpm.prob,2)))</f>
        <v>0.06</v>
      </c>
      <c r="AK521" t="str">
        <f t="shared" si="204"/>
        <v>Faltan 33,1 puntos base para subir a la siguiente categoría</v>
      </c>
      <c r="AL521" t="str">
        <f t="shared" si="205"/>
        <v>Margen de seguridad: 5,6 puntos</v>
      </c>
      <c r="AM521">
        <f t="shared" si="206"/>
        <v>0.78</v>
      </c>
      <c r="AN521" t="str">
        <f t="shared" si="207"/>
        <v>PRIORIDAD ALTA – requiere intervención inmediata</v>
      </c>
      <c r="AO521">
        <f t="shared" si="208"/>
        <v>64.862569275295584</v>
      </c>
      <c r="AP521">
        <f t="shared" si="209"/>
        <v>0.29555590892976724</v>
      </c>
      <c r="AQ521">
        <f t="shared" si="210"/>
        <v>0</v>
      </c>
      <c r="AR521">
        <f t="shared" si="211"/>
        <v>4.5999999999999996</v>
      </c>
      <c r="AS521">
        <f t="shared" si="212"/>
        <v>0</v>
      </c>
      <c r="AT521" t="str">
        <f t="shared" si="213"/>
        <v>VENTAS</v>
      </c>
      <c r="AU521">
        <f t="shared" si="214"/>
        <v>64.862569275295584</v>
      </c>
      <c r="AV521" t="str">
        <f t="shared" si="215"/>
        <v>Mayor retorno probable: VENTAS (+64,9 puntos finales potenciales).</v>
      </c>
    </row>
    <row r="522" spans="1:48" x14ac:dyDescent="0.3">
      <c r="A522" s="5">
        <v>51056728</v>
      </c>
      <c r="B522" s="5" t="str">
        <f>IFERROR(VLOOKUP(A522,VENTAS!$A$2:$B$1194,2,0),"")</f>
        <v>CICHETTO</v>
      </c>
      <c r="C522" s="5">
        <f>IFERROR(INDEX(VENTAS!$C$2:$E$1194,MATCH(A522,VENTAS!$A$2:$A$1194,0),MATCH(PARAMS_MODELO!$B$2,{"Q1","Q2","Q3"},0)),0)</f>
        <v>76225653.070000008</v>
      </c>
      <c r="D522" s="5">
        <f>IFERROR(INDEX(VENTAS!$F$2:$H$1194,MATCH(A522,VENTAS!$A$2:$A$1194,0),MATCH(PARAMS_MODELO!$B$2,{"Q1","Q2","Q3"},0)),0)</f>
        <v>74587937</v>
      </c>
      <c r="E522" s="8">
        <f t="shared" si="192"/>
        <v>-2.1485103820574003E-2</v>
      </c>
      <c r="F522" s="12">
        <f>IF(E522&lt;=PARAMS_MODELO!$B$15,0,IF(E522&gt;=PARAMS_MODELO!$B$17,100,100*MIN(1,(E522-PARAMS_MODELO!$B$15)/(PARAMS_MODELO!$B$16-PARAMS_MODELO!$B$15))))*PARAMS_MODELO!$B$7</f>
        <v>0</v>
      </c>
      <c r="G522" s="5">
        <f t="shared" si="193"/>
        <v>0</v>
      </c>
      <c r="H522" s="5">
        <f>(PARAMS_MODELO!$B$20*(MAX(0,MIN(3,E522))/3)+PARAMS_MODELO!$B$21*(IFERROR(LN(1+MAX(0,G522))/LN(1+MAX(0,MAX($G$2:$G$1194))),0)))*100*PARAMS_MODELO!$B$8</f>
        <v>0</v>
      </c>
      <c r="I522" s="8">
        <f>E522-PARAMS_MODELO!$B$5</f>
        <v>-0.19904793919610053</v>
      </c>
      <c r="J522" s="5">
        <f>IF(I522&lt;=PARAMS_MODELO!$B$18,0,IF(I522&gt;=PARAMS_MODELO!$B$19,100,100*(I522-PARAMS_MODELO!$B$18)/(PARAMS_MODELO!$B$19-PARAMS_MODELO!$B$18)))*PARAMS_MODELO!$B$9</f>
        <v>0</v>
      </c>
      <c r="K522" s="5">
        <f>IFERROR(CHOOSE(MATCH(PARAMS_MODELO!$B$2,{"Q1","Q2","Q3"},0),LOTO!$D522,LOTO!$F522,LOTO!$H522),0)</f>
        <v>3652500</v>
      </c>
      <c r="L522" s="8">
        <f t="shared" si="194"/>
        <v>4.8969044418000193E-2</v>
      </c>
      <c r="M522" s="5">
        <f>MIN(100,IF(PARAMS_MODELO!$B$23=0,0,100*L522/PARAMS_MODELO!$B$23))*PARAMS_MODELO!$B$10</f>
        <v>14.690713325400056</v>
      </c>
      <c r="N522" s="5">
        <f>IFERROR(VLOOKUP(A522,COMPLIANCE!$A$2:$F$1996,6,0),100)</f>
        <v>99.85</v>
      </c>
      <c r="O522" s="5">
        <f>N522*PARAMS_MODELO!$B$11</f>
        <v>9.9849999999999994</v>
      </c>
      <c r="P522" s="5">
        <f>IFERROR(VLOOKUP(A522,DIGITAL!$A$2:$J$2000,7,0),100)</f>
        <v>15</v>
      </c>
      <c r="Q522" s="5">
        <f>IFERROR(P522,0)*PARAMS_MODELO!$B$12</f>
        <v>1.5</v>
      </c>
      <c r="R522">
        <f t="shared" si="195"/>
        <v>26.175713325400054</v>
      </c>
      <c r="S522" s="5" t="str">
        <f>IFERROR(VLOOKUP(A522,CLIENTE!$A$2:$N$2000,13,0),1)</f>
        <v>Regular</v>
      </c>
      <c r="T522" s="5">
        <f>IFERROR(VLOOKUP(A522,CLIENTE!$A$2:$N$2000,14,0),1)</f>
        <v>1</v>
      </c>
      <c r="U522" s="5">
        <f t="shared" si="196"/>
        <v>26.175713325400054</v>
      </c>
      <c r="V522" s="5" t="str">
        <f>IF(U522&gt;=MAX(_xlfn.PERCENTILE.INC($U$2:$U$1194,PARAMS_MODELO!$B$50),PARAMS_MODELO!$B$45),"DIAMANTE",IF(U522&gt;=MAX(_xlfn.PERCENTILE.INC($U$2:$U$1194,PARAMS_MODELO!$B$51),PARAMS_MODELO!$B$46),"PLATINO",IF(U522&gt;=MAX(_xlfn.PERCENTILE.INC($U$2:$U$1194,PARAMS_MODELO!$B$52),PARAMS_MODELO!$B$47),"ORO",IF(U522&gt;=MAX(_xlfn.PERCENTILE.INC($U$2:$U$1194,PARAMS_MODELO!$B$53),PARAMS_MODELO!$B$48),"PLATA",IF(U522&gt;=1,"BRONCE","CERRADO")))))</f>
        <v>PLATA</v>
      </c>
      <c r="W522" s="5" t="str" cm="1">
        <f t="array" ref="W522">_xlfn.XLOOKUP(1, (HIST_SCORE!$B:$B=PARAMS_MODELO!$B$4) * (HIST_SCORE!$C:$C=A522), HIST_SCORE!$E:$E, "No encontrado")</f>
        <v>PLATA</v>
      </c>
      <c r="X522" s="5" t="str">
        <f>_xlfn.LET(_xlpm.act,MATCH(V522,{"DIAMANTE";"PLATINO";"ORO";"PLATA";"BRONCE";"CERRADO"},0),_xlpm.ant,MATCH(W522,{"DIAMANTE";"PLATINO";"ORO";"PLATA";"BRONCE";"CERRADO"},0),IF(_xlpm.act&lt;_xlpm.ant,"Mejora ↑",IF(_xlpm.act&gt;_xlpm.ant,"Baja ↓","Estable →")))</f>
        <v>Estable →</v>
      </c>
      <c r="Y522" s="5">
        <f>IFERROR(U522-SUMIFS(HIST_SCORE!$D:$D,HIST_SCORE!$B:$B,PARAMS_MODELO!$B$4,HIST_SCORE!$C:$C,$A522),"")</f>
        <v>-35.619905667594757</v>
      </c>
      <c r="Z522" s="5" t="str">
        <f t="shared" si="197"/>
        <v>↓ Baja</v>
      </c>
      <c r="AA522" s="5">
        <f t="shared" si="198"/>
        <v>906</v>
      </c>
      <c r="AB522" s="5">
        <f>IFERROR(SUMIFS(HIST_SCORE!$F:$F,HIST_SCORE!$B:$B,PARAMS_MODELO!$B$4,HIST_SCORE!$C:$C,$A522),"")</f>
        <v>616</v>
      </c>
      <c r="AC522" s="5">
        <f t="shared" si="199"/>
        <v>-290</v>
      </c>
      <c r="AD522" t="str">
        <f t="shared" si="201"/>
        <v/>
      </c>
      <c r="AE5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522="CERRADO",1,IF(V522="BRONCE",_xlpm.cPl,IF(V522="PLATA",_xlpm.cO,IF(V522="ORO",_xlpm.cP,IF(V522="PLATINO",_xlpm.cD,999))))))</f>
        <v>63.199193273331495</v>
      </c>
      <c r="AF5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522="CERRADO",0,IF(V522="BRONCE",1,IF(V522="PLATA",_xlpm.cPl,IF(V522="ORO",_xlpm.cO,IF(V522="PLATINO",_xlpm.cP,_xlpm.cD))))))</f>
        <v>24.506573482968111</v>
      </c>
      <c r="AG522">
        <f t="shared" si="202"/>
        <v>37.023479947931442</v>
      </c>
      <c r="AH522" t="str">
        <f t="shared" si="203"/>
        <v>VENTAS</v>
      </c>
      <c r="AI522" t="str">
        <f t="shared" si="200"/>
        <v>🎯 Para subir de categoría, eje VENTAS / CRECIMIENTO PERSONAL (F). Acción: metas semanales + activación comercial + seguimiento del asesor. ΔR aprox: 37,0</v>
      </c>
      <c r="AJ522" s="26">
        <f>_xlfn.LET(_xlpm.piso,AF522,_xlpm.corte,AE522,_xlpm.prog,IF(_xlpm.corte&lt;=_xlpm.piso,0,MAX(0,MIN(1,(U522-_xlpm.piso)/(_xlpm.corte-_xlpm.piso)))),_xlpm.orden,{"DIAMANTE";"PLATINO";"ORO";"PLATA";"BRONCE";"CERRADO"},_xlpm.act,IFERROR(MATCH(V522,_xlpm.orden,0),6),_xlpm.ant,IFERROR(MATCH(W522,_xlpm.orden,0),6),_xlpm.ajmov,IF(_xlpm.act&lt;_xlpm.ant,0.08,IF(_xlpm.act&gt;_xlpm.ant,-0.08,0)),_xlpm.ajcli,IF(T522&lt;0.95,-0.06,0),_xlpm.prob,MAX(0,MIN(1,_xlpm.prog+_xlpm.ajmov+_xlpm.ajcli)),IF(OR(V522="DIAMANTE",V522="CERRADO"),0,ROUND(_xlpm.prob,2)))</f>
        <v>0.04</v>
      </c>
      <c r="AK522" t="str">
        <f t="shared" si="204"/>
        <v>Faltan 37,0 puntos base para subir a la siguiente categoría</v>
      </c>
      <c r="AL522" t="str">
        <f t="shared" si="205"/>
        <v>Margen de seguridad: 1,7 puntos</v>
      </c>
      <c r="AM522">
        <f t="shared" si="206"/>
        <v>0.78</v>
      </c>
      <c r="AN522" t="str">
        <f t="shared" si="207"/>
        <v>PRIORIDAD ALTA – requiere intervención inmediata</v>
      </c>
      <c r="AO522">
        <f t="shared" si="208"/>
        <v>64.862569275295584</v>
      </c>
      <c r="AP522">
        <f t="shared" si="209"/>
        <v>0.30928667459994408</v>
      </c>
      <c r="AQ522">
        <f t="shared" si="210"/>
        <v>1.5000000000000568E-2</v>
      </c>
      <c r="AR522">
        <f t="shared" si="211"/>
        <v>8.5</v>
      </c>
      <c r="AS522">
        <f t="shared" si="212"/>
        <v>0</v>
      </c>
      <c r="AT522" t="str">
        <f t="shared" si="213"/>
        <v>VENTAS</v>
      </c>
      <c r="AU522">
        <f t="shared" si="214"/>
        <v>64.862569275295584</v>
      </c>
      <c r="AV522" t="str">
        <f t="shared" si="215"/>
        <v>Mayor retorno probable: VENTAS (+64,9 puntos finales potenciales).</v>
      </c>
    </row>
    <row r="523" spans="1:48" x14ac:dyDescent="0.3">
      <c r="A523" s="5">
        <v>51011708</v>
      </c>
      <c r="B523" s="5" t="str">
        <f>IFERROR(VLOOKUP(A523,VENTAS!$A$2:$B$1194,2,0),"")</f>
        <v>ARGUELLO</v>
      </c>
      <c r="C523" s="5">
        <f>IFERROR(INDEX(VENTAS!$C$2:$E$1194,MATCH(A523,VENTAS!$A$2:$A$1194,0),MATCH(PARAMS_MODELO!$B$2,{"Q1","Q2","Q3"},0)),0)</f>
        <v>86190714.449999988</v>
      </c>
      <c r="D523" s="5">
        <f>IFERROR(INDEX(VENTAS!$F$2:$H$1194,MATCH(A523,VENTAS!$A$2:$A$1194,0),MATCH(PARAMS_MODELO!$B$2,{"Q1","Q2","Q3"},0)),0)</f>
        <v>74314026</v>
      </c>
      <c r="E523" s="8">
        <f t="shared" si="192"/>
        <v>-0.1377954519322353</v>
      </c>
      <c r="F523" s="12">
        <f>IF(E523&lt;=PARAMS_MODELO!$B$15,0,IF(E523&gt;=PARAMS_MODELO!$B$17,100,100*MIN(1,(E523-PARAMS_MODELO!$B$15)/(PARAMS_MODELO!$B$16-PARAMS_MODELO!$B$15))))*PARAMS_MODELO!$B$7</f>
        <v>0</v>
      </c>
      <c r="G523" s="5">
        <f t="shared" si="193"/>
        <v>0</v>
      </c>
      <c r="H523" s="5">
        <f>(PARAMS_MODELO!$B$20*(MAX(0,MIN(3,E523))/3)+PARAMS_MODELO!$B$21*(IFERROR(LN(1+MAX(0,G523))/LN(1+MAX(0,MAX($G$2:$G$1194))),0)))*100*PARAMS_MODELO!$B$8</f>
        <v>0</v>
      </c>
      <c r="I523" s="8">
        <f>E523-PARAMS_MODELO!$B$5</f>
        <v>-0.31535828730776183</v>
      </c>
      <c r="J523" s="5">
        <f>IF(I523&lt;=PARAMS_MODELO!$B$18,0,IF(I523&gt;=PARAMS_MODELO!$B$19,100,100*(I523-PARAMS_MODELO!$B$18)/(PARAMS_MODELO!$B$19-PARAMS_MODELO!$B$18)))*PARAMS_MODELO!$B$9</f>
        <v>0</v>
      </c>
      <c r="K523" s="5">
        <f>IFERROR(CHOOSE(MATCH(PARAMS_MODELO!$B$2,{"Q1","Q2","Q3"},0),LOTO!$D523,LOTO!$F523,LOTO!$H523),0)</f>
        <v>3645000</v>
      </c>
      <c r="L523" s="8">
        <f t="shared" si="194"/>
        <v>4.9048614322146938E-2</v>
      </c>
      <c r="M523" s="5">
        <f>MIN(100,IF(PARAMS_MODELO!$B$23=0,0,100*L523/PARAMS_MODELO!$B$23))*PARAMS_MODELO!$B$10</f>
        <v>14.714584296644079</v>
      </c>
      <c r="N523" s="5">
        <f>IFERROR(VLOOKUP(A523,COMPLIANCE!$A$2:$F$1996,6,0),100)</f>
        <v>100</v>
      </c>
      <c r="O523" s="5">
        <f>N523*PARAMS_MODELO!$B$11</f>
        <v>10</v>
      </c>
      <c r="P523" s="5">
        <f>IFERROR(VLOOKUP(A523,DIGITAL!$A$2:$J$2000,7,0),100)</f>
        <v>21</v>
      </c>
      <c r="Q523" s="5">
        <f>IFERROR(P523,0)*PARAMS_MODELO!$B$12</f>
        <v>2.1</v>
      </c>
      <c r="R523">
        <f t="shared" si="195"/>
        <v>26.814584296644078</v>
      </c>
      <c r="S523" s="5" t="str">
        <f>IFERROR(VLOOKUP(A523,CLIENTE!$A$2:$N$2000,13,0),1)</f>
        <v>Malo</v>
      </c>
      <c r="T523" s="5">
        <f>IFERROR(VLOOKUP(A523,CLIENTE!$A$2:$N$2000,14,0),1)</f>
        <v>0.7</v>
      </c>
      <c r="U523" s="5">
        <f t="shared" si="196"/>
        <v>18.770209007650852</v>
      </c>
      <c r="V523" s="5" t="str">
        <f>IF(U523&gt;=MAX(_xlfn.PERCENTILE.INC($U$2:$U$1194,PARAMS_MODELO!$B$50),PARAMS_MODELO!$B$45),"DIAMANTE",IF(U523&gt;=MAX(_xlfn.PERCENTILE.INC($U$2:$U$1194,PARAMS_MODELO!$B$51),PARAMS_MODELO!$B$46),"PLATINO",IF(U523&gt;=MAX(_xlfn.PERCENTILE.INC($U$2:$U$1194,PARAMS_MODELO!$B$52),PARAMS_MODELO!$B$47),"ORO",IF(U523&gt;=MAX(_xlfn.PERCENTILE.INC($U$2:$U$1194,PARAMS_MODELO!$B$53),PARAMS_MODELO!$B$48),"PLATA",IF(U523&gt;=1,"BRONCE","CERRADO")))))</f>
        <v>BRONCE</v>
      </c>
      <c r="W523" s="5" t="str" cm="1">
        <f t="array" ref="W523">_xlfn.XLOOKUP(1, (HIST_SCORE!$B:$B=PARAMS_MODELO!$B$4) * (HIST_SCORE!$C:$C=A523), HIST_SCORE!$E:$E, "No encontrado")</f>
        <v>PLATA</v>
      </c>
      <c r="X523" s="5" t="str">
        <f>_xlfn.LET(_xlpm.act,MATCH(V523,{"DIAMANTE";"PLATINO";"ORO";"PLATA";"BRONCE";"CERRADO"},0),_xlpm.ant,MATCH(W523,{"DIAMANTE";"PLATINO";"ORO";"PLATA";"BRONCE";"CERRADO"},0),IF(_xlpm.act&lt;_xlpm.ant,"Mejora ↑",IF(_xlpm.act&gt;_xlpm.ant,"Baja ↓","Estable →")))</f>
        <v>Baja ↓</v>
      </c>
      <c r="Y523" s="5">
        <f>IFERROR(U523-SUMIFS(HIST_SCORE!$D:$D,HIST_SCORE!$B:$B,PARAMS_MODELO!$B$4,HIST_SCORE!$C:$C,$A523),"")</f>
        <v>-27.707568679324662</v>
      </c>
      <c r="Z523" s="5" t="str">
        <f t="shared" si="197"/>
        <v>↓ Baja</v>
      </c>
      <c r="AA523" s="5">
        <f t="shared" si="198"/>
        <v>1011</v>
      </c>
      <c r="AB523" s="5">
        <f>IFERROR(SUMIFS(HIST_SCORE!$F:$F,HIST_SCORE!$B:$B,PARAMS_MODELO!$B$4,HIST_SCORE!$C:$C,$A523),"")</f>
        <v>810</v>
      </c>
      <c r="AC523" s="5">
        <f t="shared" si="199"/>
        <v>-201</v>
      </c>
      <c r="AD523" t="str">
        <f t="shared" si="201"/>
        <v>Plan de recuperación: foco crecimiento + mix</v>
      </c>
      <c r="AE5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523="CERRADO",1,IF(V523="BRONCE",_xlpm.cPl,IF(V523="PLATA",_xlpm.cO,IF(V523="ORO",_xlpm.cP,IF(V523="PLATINO",_xlpm.cD,999))))))</f>
        <v>24.506573482968111</v>
      </c>
      <c r="AF5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523="CERRADO",0,IF(V523="BRONCE",1,IF(V523="PLATA",_xlpm.cPl,IF(V523="ORO",_xlpm.cO,IF(V523="PLATINO",_xlpm.cP,_xlpm.cD))))))</f>
        <v>1</v>
      </c>
      <c r="AG523">
        <f t="shared" si="202"/>
        <v>8.1948063933103654</v>
      </c>
      <c r="AH523" t="str">
        <f t="shared" si="203"/>
        <v>CLIENTE</v>
      </c>
      <c r="AI523" t="str">
        <f t="shared" si="200"/>
        <v>🎯 Para subir de categoría, la eje con mayor impacto probable es CLIENTE (coef T). Acción: reducir quejas, mejorar incógnito y empujar reseñas. ΔR aprox: 8,2</v>
      </c>
      <c r="AJ523" s="26">
        <f>_xlfn.LET(_xlpm.piso,AF523,_xlpm.corte,AE523,_xlpm.prog,IF(_xlpm.corte&lt;=_xlpm.piso,0,MAX(0,MIN(1,(U523-_xlpm.piso)/(_xlpm.corte-_xlpm.piso)))),_xlpm.orden,{"DIAMANTE";"PLATINO";"ORO";"PLATA";"BRONCE";"CERRADO"},_xlpm.act,IFERROR(MATCH(V523,_xlpm.orden,0),6),_xlpm.ant,IFERROR(MATCH(W523,_xlpm.orden,0),6),_xlpm.ajmov,IF(_xlpm.act&lt;_xlpm.ant,0.08,IF(_xlpm.act&gt;_xlpm.ant,-0.08,0)),_xlpm.ajcli,IF(T523&lt;0.95,-0.06,0),_xlpm.prob,MAX(0,MIN(1,_xlpm.prog+_xlpm.ajmov+_xlpm.ajcli)),IF(OR(V523="DIAMANTE",V523="CERRADO"),0,ROUND(_xlpm.prob,2)))</f>
        <v>0.62</v>
      </c>
      <c r="AK523" t="str">
        <f t="shared" si="204"/>
        <v>Faltan 8,2 puntos base para subir a la siguiente categoría</v>
      </c>
      <c r="AL523" t="str">
        <f t="shared" si="205"/>
        <v>No aplica</v>
      </c>
      <c r="AM523">
        <f t="shared" si="206"/>
        <v>0.68</v>
      </c>
      <c r="AN523" t="str">
        <f t="shared" si="207"/>
        <v>PRIORIDAD MEDIA – seguimiento del asesor</v>
      </c>
      <c r="AO523">
        <f t="shared" si="208"/>
        <v>45.403798492706905</v>
      </c>
      <c r="AP523">
        <f t="shared" si="209"/>
        <v>0.19979099234914502</v>
      </c>
      <c r="AQ523">
        <f t="shared" si="210"/>
        <v>0</v>
      </c>
      <c r="AR523">
        <f t="shared" si="211"/>
        <v>5.53</v>
      </c>
      <c r="AS523">
        <f t="shared" si="212"/>
        <v>8.0443752889932245</v>
      </c>
      <c r="AT523" t="str">
        <f t="shared" si="213"/>
        <v>VENTAS</v>
      </c>
      <c r="AU523">
        <f t="shared" si="214"/>
        <v>45.403798492706905</v>
      </c>
      <c r="AV523" t="str">
        <f t="shared" si="215"/>
        <v>Mayor retorno probable: VENTAS (+45,4 puntos finales potenciales).</v>
      </c>
    </row>
    <row r="524" spans="1:48" x14ac:dyDescent="0.3">
      <c r="A524" s="5">
        <v>51056558</v>
      </c>
      <c r="B524" s="5" t="str">
        <f>IFERROR(VLOOKUP(A524,VENTAS!$A$2:$B$1194,2,0),"")</f>
        <v>CICHETTO</v>
      </c>
      <c r="C524" s="5">
        <f>IFERROR(INDEX(VENTAS!$C$2:$E$1194,MATCH(A524,VENTAS!$A$2:$A$1194,0),MATCH(PARAMS_MODELO!$B$2,{"Q1","Q2","Q3"},0)),0)</f>
        <v>60025745.420000002</v>
      </c>
      <c r="D524" s="5">
        <f>IFERROR(INDEX(VENTAS!$F$2:$H$1194,MATCH(A524,VENTAS!$A$2:$A$1194,0),MATCH(PARAMS_MODELO!$B$2,{"Q1","Q2","Q3"},0)),0)</f>
        <v>74239589</v>
      </c>
      <c r="E524" s="8">
        <f t="shared" si="192"/>
        <v>0.23679578621716013</v>
      </c>
      <c r="F524" s="12">
        <f>IF(E524&lt;=PARAMS_MODELO!$B$15,0,IF(E524&gt;=PARAMS_MODELO!$B$17,100,100*MIN(1,(E524-PARAMS_MODELO!$B$15)/(PARAMS_MODELO!$B$16-PARAMS_MODELO!$B$15))))*PARAMS_MODELO!$B$7</f>
        <v>35</v>
      </c>
      <c r="G524" s="5">
        <f t="shared" si="193"/>
        <v>14213843.579999998</v>
      </c>
      <c r="H524" s="5">
        <f>(PARAMS_MODELO!$B$20*(MAX(0,MIN(3,E524))/3)+PARAMS_MODELO!$B$21*(IFERROR(LN(1+MAX(0,G524))/LN(1+MAX(0,MAX($G$2:$G$1194))),0)))*100*PARAMS_MODELO!$B$8</f>
        <v>4.6895191935979952</v>
      </c>
      <c r="I524" s="8">
        <f>E524-PARAMS_MODELO!$B$5</f>
        <v>5.9232950841633603E-2</v>
      </c>
      <c r="J524" s="5">
        <f>IF(I524&lt;=PARAMS_MODELO!$B$18,0,IF(I524&gt;=PARAMS_MODELO!$B$19,100,100*(I524-PARAMS_MODELO!$B$18)/(PARAMS_MODELO!$B$19-PARAMS_MODELO!$B$18)))*PARAMS_MODELO!$B$9</f>
        <v>15</v>
      </c>
      <c r="K524" s="5">
        <f>IFERROR(CHOOSE(MATCH(PARAMS_MODELO!$B$2,{"Q1","Q2","Q3"},0),LOTO!$D524,LOTO!$F524,LOTO!$H524),0)</f>
        <v>3642500</v>
      </c>
      <c r="L524" s="8">
        <f t="shared" si="194"/>
        <v>4.9064118606583343E-2</v>
      </c>
      <c r="M524" s="5">
        <f>MIN(100,IF(PARAMS_MODELO!$B$23=0,0,100*L524/PARAMS_MODELO!$B$23))*PARAMS_MODELO!$B$10</f>
        <v>14.719235581975003</v>
      </c>
      <c r="N524" s="5">
        <f>IFERROR(VLOOKUP(A524,COMPLIANCE!$A$2:$F$1996,6,0),100)</f>
        <v>100</v>
      </c>
      <c r="O524" s="5">
        <f>N524*PARAMS_MODELO!$B$11</f>
        <v>10</v>
      </c>
      <c r="P524" s="5">
        <f>IFERROR(VLOOKUP(A524,DIGITAL!$A$2:$J$2000,7,0),100)</f>
        <v>54</v>
      </c>
      <c r="Q524" s="5">
        <f>IFERROR(P524,0)*PARAMS_MODELO!$B$12</f>
        <v>5.4</v>
      </c>
      <c r="R524">
        <f t="shared" si="195"/>
        <v>84.808754775573007</v>
      </c>
      <c r="S524" s="5" t="str">
        <f>IFERROR(VLOOKUP(A524,CLIENTE!$A$2:$N$2000,13,0),1)</f>
        <v>Bueno</v>
      </c>
      <c r="T524" s="5">
        <f>IFERROR(VLOOKUP(A524,CLIENTE!$A$2:$N$2000,14,0),1)</f>
        <v>1.1000000000000001</v>
      </c>
      <c r="U524" s="5">
        <f t="shared" si="196"/>
        <v>93.289630253130312</v>
      </c>
      <c r="V524" s="5" t="str">
        <f>IF(U524&gt;=MAX(_xlfn.PERCENTILE.INC($U$2:$U$1194,PARAMS_MODELO!$B$50),PARAMS_MODELO!$B$45),"DIAMANTE",IF(U524&gt;=MAX(_xlfn.PERCENTILE.INC($U$2:$U$1194,PARAMS_MODELO!$B$51),PARAMS_MODELO!$B$46),"PLATINO",IF(U524&gt;=MAX(_xlfn.PERCENTILE.INC($U$2:$U$1194,PARAMS_MODELO!$B$52),PARAMS_MODELO!$B$47),"ORO",IF(U524&gt;=MAX(_xlfn.PERCENTILE.INC($U$2:$U$1194,PARAMS_MODELO!$B$53),PARAMS_MODELO!$B$48),"PLATA",IF(U524&gt;=1,"BRONCE","CERRADO")))))</f>
        <v>PLATINO</v>
      </c>
      <c r="W524" s="5" t="str" cm="1">
        <f t="array" ref="W524">_xlfn.XLOOKUP(1, (HIST_SCORE!$B:$B=PARAMS_MODELO!$B$4) * (HIST_SCORE!$C:$C=A524), HIST_SCORE!$E:$E, "No encontrado")</f>
        <v>ORO</v>
      </c>
      <c r="X524" s="5" t="str">
        <f>_xlfn.LET(_xlpm.act,MATCH(V524,{"DIAMANTE";"PLATINO";"ORO";"PLATA";"BRONCE";"CERRADO"},0),_xlpm.ant,MATCH(W524,{"DIAMANTE";"PLATINO";"ORO";"PLATA";"BRONCE";"CERRADO"},0),IF(_xlpm.act&lt;_xlpm.ant,"Mejora ↑",IF(_xlpm.act&gt;_xlpm.ant,"Baja ↓","Estable →")))</f>
        <v>Mejora ↑</v>
      </c>
      <c r="Y524" s="5">
        <f>IFERROR(U524-SUMIFS(HIST_SCORE!$D:$D,HIST_SCORE!$B:$B,PARAMS_MODELO!$B$4,HIST_SCORE!$C:$C,$A524),"")</f>
        <v>13.403899520881666</v>
      </c>
      <c r="Z524" s="5" t="str">
        <f t="shared" si="197"/>
        <v>↑ Mejora</v>
      </c>
      <c r="AA524" s="5">
        <f t="shared" si="198"/>
        <v>88</v>
      </c>
      <c r="AB524" s="5">
        <f>IFERROR(SUMIFS(HIST_SCORE!$F:$F,HIST_SCORE!$B:$B,PARAMS_MODELO!$B$4,HIST_SCORE!$C:$C,$A524),"")</f>
        <v>422</v>
      </c>
      <c r="AC524" s="5">
        <f t="shared" si="199"/>
        <v>334</v>
      </c>
      <c r="AD524" t="str">
        <f t="shared" si="201"/>
        <v/>
      </c>
      <c r="AE5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524="CERRADO",1,IF(V524="BRONCE",_xlpm.cPl,IF(V524="PLATA",_xlpm.cO,IF(V524="ORO",_xlpm.cP,IF(V524="PLATINO",_xlpm.cD,999))))))</f>
        <v>96.054919694466676</v>
      </c>
      <c r="AF5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524="CERRADO",0,IF(V524="BRONCE",1,IF(V524="PLATA",_xlpm.cPl,IF(V524="ORO",_xlpm.cO,IF(V524="PLATINO",_xlpm.cP,_xlpm.cD))))))</f>
        <v>86.439123873763251</v>
      </c>
      <c r="AG524">
        <f t="shared" si="202"/>
        <v>2.5138994921239686</v>
      </c>
      <c r="AH524" t="str">
        <f t="shared" si="203"/>
        <v>VENTAS</v>
      </c>
      <c r="AI524" t="str">
        <f t="shared" si="200"/>
        <v>🎯 Para subir de categoría, eje VENTAS / IMPACTO ABSOLUTO (H). Acción: metas semanales + activación comercial + seguimiento del asesor. ΔR aprox: 2,5</v>
      </c>
      <c r="AJ524" s="26">
        <f>_xlfn.LET(_xlpm.piso,AF524,_xlpm.corte,AE524,_xlpm.prog,IF(_xlpm.corte&lt;=_xlpm.piso,0,MAX(0,MIN(1,(U524-_xlpm.piso)/(_xlpm.corte-_xlpm.piso)))),_xlpm.orden,{"DIAMANTE";"PLATINO";"ORO";"PLATA";"BRONCE";"CERRADO"},_xlpm.act,IFERROR(MATCH(V524,_xlpm.orden,0),6),_xlpm.ant,IFERROR(MATCH(W524,_xlpm.orden,0),6),_xlpm.ajmov,IF(_xlpm.act&lt;_xlpm.ant,0.08,IF(_xlpm.act&gt;_xlpm.ant,-0.08,0)),_xlpm.ajcli,IF(T524&lt;0.95,-0.06,0),_xlpm.prob,MAX(0,MIN(1,_xlpm.prog+_xlpm.ajmov+_xlpm.ajcli)),IF(OR(V524="DIAMANTE",V524="CERRADO"),0,ROUND(_xlpm.prob,2)))</f>
        <v>0.79</v>
      </c>
      <c r="AK524" t="str">
        <f t="shared" si="204"/>
        <v>Faltan 2,5 puntos base para subir a la siguiente categoría</v>
      </c>
      <c r="AL524" t="str">
        <f t="shared" si="205"/>
        <v>Margen de seguridad: 6,9 puntos</v>
      </c>
      <c r="AM524">
        <f t="shared" si="206"/>
        <v>0.18</v>
      </c>
      <c r="AN524" t="str">
        <f t="shared" si="207"/>
        <v>PRIORIDAD BAJA – control normal</v>
      </c>
      <c r="AO524">
        <f t="shared" si="208"/>
        <v>11.190355089867349</v>
      </c>
      <c r="AP524">
        <f t="shared" si="209"/>
        <v>0.30884085982749704</v>
      </c>
      <c r="AQ524">
        <f t="shared" si="210"/>
        <v>0</v>
      </c>
      <c r="AR524">
        <f t="shared" si="211"/>
        <v>5.0599999999999996</v>
      </c>
      <c r="AS524">
        <f t="shared" si="212"/>
        <v>0</v>
      </c>
      <c r="AT524" t="str">
        <f t="shared" si="213"/>
        <v>VENTAS</v>
      </c>
      <c r="AU524">
        <f t="shared" si="214"/>
        <v>11.190355089867349</v>
      </c>
      <c r="AV524" t="str">
        <f t="shared" si="215"/>
        <v>Mayor retorno probable: VENTAS (+11,2 puntos finales potenciales).</v>
      </c>
    </row>
    <row r="525" spans="1:48" x14ac:dyDescent="0.3">
      <c r="A525" s="5">
        <v>51041801</v>
      </c>
      <c r="B525" s="5" t="str">
        <f>IFERROR(VLOOKUP(A525,VENTAS!$A$2:$B$1194,2,0),"")</f>
        <v>ARGUELLO</v>
      </c>
      <c r="C525" s="5">
        <f>IFERROR(INDEX(VENTAS!$C$2:$E$1194,MATCH(A525,VENTAS!$A$2:$A$1194,0),MATCH(PARAMS_MODELO!$B$2,{"Q1","Q2","Q3"},0)),0)</f>
        <v>47272028.619999997</v>
      </c>
      <c r="D525" s="5">
        <f>IFERROR(INDEX(VENTAS!$F$2:$H$1194,MATCH(A525,VENTAS!$A$2:$A$1194,0),MATCH(PARAMS_MODELO!$B$2,{"Q1","Q2","Q3"},0)),0)</f>
        <v>74211883</v>
      </c>
      <c r="E525" s="8">
        <f t="shared" si="192"/>
        <v>0.56988995747481419</v>
      </c>
      <c r="F525" s="12">
        <f>IF(E525&lt;=PARAMS_MODELO!$B$15,0,IF(E525&gt;=PARAMS_MODELO!$B$17,100,100*MIN(1,(E525-PARAMS_MODELO!$B$15)/(PARAMS_MODELO!$B$16-PARAMS_MODELO!$B$15))))*PARAMS_MODELO!$B$7</f>
        <v>35</v>
      </c>
      <c r="G525" s="5">
        <f t="shared" si="193"/>
        <v>26939854.380000003</v>
      </c>
      <c r="H525" s="5">
        <f>(PARAMS_MODELO!$B$20*(MAX(0,MIN(3,E525))/3)+PARAMS_MODELO!$B$21*(IFERROR(LN(1+MAX(0,G525))/LN(1+MAX(0,MAX($G$2:$G$1194))),0)))*100*PARAMS_MODELO!$B$8</f>
        <v>6.0052308156584262</v>
      </c>
      <c r="I525" s="8">
        <f>E525-PARAMS_MODELO!$B$5</f>
        <v>0.39232712209928766</v>
      </c>
      <c r="J525" s="5">
        <f>IF(I525&lt;=PARAMS_MODELO!$B$18,0,IF(I525&gt;=PARAMS_MODELO!$B$19,100,100*(I525-PARAMS_MODELO!$B$18)/(PARAMS_MODELO!$B$19-PARAMS_MODELO!$B$18)))*PARAMS_MODELO!$B$9</f>
        <v>15</v>
      </c>
      <c r="K525" s="5">
        <f>IFERROR(CHOOSE(MATCH(PARAMS_MODELO!$B$2,{"Q1","Q2","Q3"},0),LOTO!$D525,LOTO!$F525,LOTO!$H525),0)</f>
        <v>3642500</v>
      </c>
      <c r="L525" s="8">
        <f t="shared" si="194"/>
        <v>4.9082436029820181E-2</v>
      </c>
      <c r="M525" s="5">
        <f>MIN(100,IF(PARAMS_MODELO!$B$23=0,0,100*L525/PARAMS_MODELO!$B$23))*PARAMS_MODELO!$B$10</f>
        <v>14.724730808946051</v>
      </c>
      <c r="N525" s="5">
        <f>IFERROR(VLOOKUP(A525,COMPLIANCE!$A$2:$F$1996,6,0),100)</f>
        <v>100</v>
      </c>
      <c r="O525" s="5">
        <f>N525*PARAMS_MODELO!$B$11</f>
        <v>10</v>
      </c>
      <c r="P525" s="5">
        <f>IFERROR(VLOOKUP(A525,DIGITAL!$A$2:$J$2000,7,0),100)</f>
        <v>68</v>
      </c>
      <c r="Q525" s="5">
        <f>IFERROR(P525,0)*PARAMS_MODELO!$B$12</f>
        <v>6.8000000000000007</v>
      </c>
      <c r="R525">
        <f t="shared" si="195"/>
        <v>87.529961624604482</v>
      </c>
      <c r="S525" s="5" t="str">
        <f>IFERROR(VLOOKUP(A525,CLIENTE!$A$2:$N$2000,13,0),1)</f>
        <v>Regular</v>
      </c>
      <c r="T525" s="5">
        <f>IFERROR(VLOOKUP(A525,CLIENTE!$A$2:$N$2000,14,0),1)</f>
        <v>1</v>
      </c>
      <c r="U525" s="5">
        <f t="shared" si="196"/>
        <v>87.529961624604482</v>
      </c>
      <c r="V525" s="5" t="str">
        <f>IF(U525&gt;=MAX(_xlfn.PERCENTILE.INC($U$2:$U$1194,PARAMS_MODELO!$B$50),PARAMS_MODELO!$B$45),"DIAMANTE",IF(U525&gt;=MAX(_xlfn.PERCENTILE.INC($U$2:$U$1194,PARAMS_MODELO!$B$51),PARAMS_MODELO!$B$46),"PLATINO",IF(U525&gt;=MAX(_xlfn.PERCENTILE.INC($U$2:$U$1194,PARAMS_MODELO!$B$52),PARAMS_MODELO!$B$47),"ORO",IF(U525&gt;=MAX(_xlfn.PERCENTILE.INC($U$2:$U$1194,PARAMS_MODELO!$B$53),PARAMS_MODELO!$B$48),"PLATA",IF(U525&gt;=1,"BRONCE","CERRADO")))))</f>
        <v>PLATINO</v>
      </c>
      <c r="W525" s="5" t="str" cm="1">
        <f t="array" ref="W525">_xlfn.XLOOKUP(1, (HIST_SCORE!$B:$B=PARAMS_MODELO!$B$4) * (HIST_SCORE!$C:$C=A525), HIST_SCORE!$E:$E, "No encontrado")</f>
        <v>ORO</v>
      </c>
      <c r="X525" s="5" t="str">
        <f>_xlfn.LET(_xlpm.act,MATCH(V525,{"DIAMANTE";"PLATINO";"ORO";"PLATA";"BRONCE";"CERRADO"},0),_xlpm.ant,MATCH(W525,{"DIAMANTE";"PLATINO";"ORO";"PLATA";"BRONCE";"CERRADO"},0),IF(_xlpm.act&lt;_xlpm.ant,"Mejora ↑",IF(_xlpm.act&gt;_xlpm.ant,"Baja ↓","Estable →")))</f>
        <v>Mejora ↑</v>
      </c>
      <c r="Y525" s="5">
        <f>IFERROR(U525-SUMIFS(HIST_SCORE!$D:$D,HIST_SCORE!$B:$B,PARAMS_MODELO!$B$4,HIST_SCORE!$C:$C,$A525),"")</f>
        <v>3.3769959487332244</v>
      </c>
      <c r="Z525" s="5" t="str">
        <f t="shared" si="197"/>
        <v>→ Estable</v>
      </c>
      <c r="AA525" s="5">
        <f t="shared" si="198"/>
        <v>210</v>
      </c>
      <c r="AB525" s="5">
        <f>IFERROR(SUMIFS(HIST_SCORE!$F:$F,HIST_SCORE!$B:$B,PARAMS_MODELO!$B$4,HIST_SCORE!$C:$C,$A525),"")</f>
        <v>286</v>
      </c>
      <c r="AC525" s="5">
        <f t="shared" si="199"/>
        <v>76</v>
      </c>
      <c r="AD525" t="str">
        <f t="shared" si="201"/>
        <v/>
      </c>
      <c r="AE5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525="CERRADO",1,IF(V525="BRONCE",_xlpm.cPl,IF(V525="PLATA",_xlpm.cO,IF(V525="ORO",_xlpm.cP,IF(V525="PLATINO",_xlpm.cD,999))))))</f>
        <v>96.054919694466676</v>
      </c>
      <c r="AF5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525="CERRADO",0,IF(V525="BRONCE",1,IF(V525="PLATA",_xlpm.cPl,IF(V525="ORO",_xlpm.cO,IF(V525="PLATINO",_xlpm.cP,_xlpm.cD))))))</f>
        <v>86.439123873763251</v>
      </c>
      <c r="AG525">
        <f t="shared" si="202"/>
        <v>8.5249580698621941</v>
      </c>
      <c r="AH525" t="str">
        <f t="shared" si="203"/>
        <v>VENTAS</v>
      </c>
      <c r="AI525" t="str">
        <f t="shared" si="200"/>
        <v>🎯 Para subir de categoría, eje VENTAS / IMPACTO ABSOLUTO (H). Acción: metas semanales + activación comercial + seguimiento del asesor. ΔR aprox: 8,5</v>
      </c>
      <c r="AJ525" s="26">
        <f>_xlfn.LET(_xlpm.piso,AF525,_xlpm.corte,AE525,_xlpm.prog,IF(_xlpm.corte&lt;=_xlpm.piso,0,MAX(0,MIN(1,(U525-_xlpm.piso)/(_xlpm.corte-_xlpm.piso)))),_xlpm.orden,{"DIAMANTE";"PLATINO";"ORO";"PLATA";"BRONCE";"CERRADO"},_xlpm.act,IFERROR(MATCH(V525,_xlpm.orden,0),6),_xlpm.ant,IFERROR(MATCH(W525,_xlpm.orden,0),6),_xlpm.ajmov,IF(_xlpm.act&lt;_xlpm.ant,0.08,IF(_xlpm.act&gt;_xlpm.ant,-0.08,0)),_xlpm.ajcli,IF(T525&lt;0.95,-0.06,0),_xlpm.prob,MAX(0,MIN(1,_xlpm.prog+_xlpm.ajmov+_xlpm.ajcli)),IF(OR(V525="DIAMANTE",V525="CERRADO"),0,ROUND(_xlpm.prob,2)))</f>
        <v>0.19</v>
      </c>
      <c r="AK525" t="str">
        <f t="shared" si="204"/>
        <v>Faltan 8,5 puntos base para subir a la siguiente categoría</v>
      </c>
      <c r="AL525" t="str">
        <f t="shared" si="205"/>
        <v>Margen de seguridad: 1,1 puntos</v>
      </c>
      <c r="AM525">
        <f t="shared" si="206"/>
        <v>0.66</v>
      </c>
      <c r="AN525" t="str">
        <f t="shared" si="207"/>
        <v>PRIORIDAD MEDIA – seguimiento del asesor</v>
      </c>
      <c r="AO525">
        <f t="shared" si="208"/>
        <v>8.8573384596371554</v>
      </c>
      <c r="AP525">
        <f t="shared" si="209"/>
        <v>0.27526919105394931</v>
      </c>
      <c r="AQ525">
        <f t="shared" si="210"/>
        <v>0</v>
      </c>
      <c r="AR525">
        <f t="shared" si="211"/>
        <v>3.1999999999999993</v>
      </c>
      <c r="AS525">
        <f t="shared" si="212"/>
        <v>0</v>
      </c>
      <c r="AT525" t="str">
        <f t="shared" si="213"/>
        <v>VENTAS</v>
      </c>
      <c r="AU525">
        <f t="shared" si="214"/>
        <v>8.8573384596371554</v>
      </c>
      <c r="AV525" t="str">
        <f t="shared" si="215"/>
        <v>Mayor retorno probable: VENTAS (+8,9 puntos finales potenciales).</v>
      </c>
    </row>
    <row r="526" spans="1:48" x14ac:dyDescent="0.3">
      <c r="A526" s="5">
        <v>51055390</v>
      </c>
      <c r="B526" s="5" t="str">
        <f>IFERROR(VLOOKUP(A526,VENTAS!$A$2:$B$1194,2,0),"")</f>
        <v>AYALA</v>
      </c>
      <c r="C526" s="5">
        <f>IFERROR(INDEX(VENTAS!$C$2:$E$1194,MATCH(A526,VENTAS!$A$2:$A$1194,0),MATCH(PARAMS_MODELO!$B$2,{"Q1","Q2","Q3"},0)),0)</f>
        <v>50560508.75</v>
      </c>
      <c r="D526" s="5">
        <f>IFERROR(INDEX(VENTAS!$F$2:$H$1194,MATCH(A526,VENTAS!$A$2:$A$1194,0),MATCH(PARAMS_MODELO!$B$2,{"Q1","Q2","Q3"},0)),0)</f>
        <v>74040787</v>
      </c>
      <c r="E526" s="8">
        <f t="shared" si="192"/>
        <v>0.46439956461078924</v>
      </c>
      <c r="F526" s="12">
        <f>IF(E526&lt;=PARAMS_MODELO!$B$15,0,IF(E526&gt;=PARAMS_MODELO!$B$17,100,100*MIN(1,(E526-PARAMS_MODELO!$B$15)/(PARAMS_MODELO!$B$16-PARAMS_MODELO!$B$15))))*PARAMS_MODELO!$B$7</f>
        <v>35</v>
      </c>
      <c r="G526" s="5">
        <f t="shared" si="193"/>
        <v>23480278.25</v>
      </c>
      <c r="H526" s="5">
        <f>(PARAMS_MODELO!$B$20*(MAX(0,MIN(3,E526))/3)+PARAMS_MODELO!$B$21*(IFERROR(LN(1+MAX(0,G526))/LN(1+MAX(0,MAX($G$2:$G$1194))),0)))*100*PARAMS_MODELO!$B$8</f>
        <v>5.6037951993760506</v>
      </c>
      <c r="I526" s="8">
        <f>E526-PARAMS_MODELO!$B$5</f>
        <v>0.28683672923526271</v>
      </c>
      <c r="J526" s="5">
        <f>IF(I526&lt;=PARAMS_MODELO!$B$18,0,IF(I526&gt;=PARAMS_MODELO!$B$19,100,100*(I526-PARAMS_MODELO!$B$18)/(PARAMS_MODELO!$B$19-PARAMS_MODELO!$B$18)))*PARAMS_MODELO!$B$9</f>
        <v>15</v>
      </c>
      <c r="K526" s="5">
        <f>IFERROR(CHOOSE(MATCH(PARAMS_MODELO!$B$2,{"Q1","Q2","Q3"},0),LOTO!$D526,LOTO!$F526,LOTO!$H526),0)</f>
        <v>3640000</v>
      </c>
      <c r="L526" s="8">
        <f t="shared" si="194"/>
        <v>4.9162092239781296E-2</v>
      </c>
      <c r="M526" s="5">
        <f>MIN(100,IF(PARAMS_MODELO!$B$23=0,0,100*L526/PARAMS_MODELO!$B$23))*PARAMS_MODELO!$B$10</f>
        <v>14.748627671934388</v>
      </c>
      <c r="N526" s="5">
        <f>IFERROR(VLOOKUP(A526,COMPLIANCE!$A$2:$F$1996,6,0),100)</f>
        <v>99.55</v>
      </c>
      <c r="O526" s="5">
        <f>N526*PARAMS_MODELO!$B$11</f>
        <v>9.9550000000000001</v>
      </c>
      <c r="P526" s="5">
        <f>IFERROR(VLOOKUP(A526,DIGITAL!$A$2:$J$2000,7,0),100)</f>
        <v>80</v>
      </c>
      <c r="Q526" s="5">
        <f>IFERROR(P526,0)*PARAMS_MODELO!$B$12</f>
        <v>8</v>
      </c>
      <c r="R526">
        <f t="shared" si="195"/>
        <v>88.307422871310436</v>
      </c>
      <c r="S526" s="5" t="str">
        <f>IFERROR(VLOOKUP(A526,CLIENTE!$A$2:$N$2000,13,0),1)</f>
        <v>Regular</v>
      </c>
      <c r="T526" s="5">
        <f>IFERROR(VLOOKUP(A526,CLIENTE!$A$2:$N$2000,14,0),1)</f>
        <v>1</v>
      </c>
      <c r="U526" s="5">
        <f t="shared" si="196"/>
        <v>88.307422871310436</v>
      </c>
      <c r="V526" s="5" t="str">
        <f>IF(U526&gt;=MAX(_xlfn.PERCENTILE.INC($U$2:$U$1194,PARAMS_MODELO!$B$50),PARAMS_MODELO!$B$45),"DIAMANTE",IF(U526&gt;=MAX(_xlfn.PERCENTILE.INC($U$2:$U$1194,PARAMS_MODELO!$B$51),PARAMS_MODELO!$B$46),"PLATINO",IF(U526&gt;=MAX(_xlfn.PERCENTILE.INC($U$2:$U$1194,PARAMS_MODELO!$B$52),PARAMS_MODELO!$B$47),"ORO",IF(U526&gt;=MAX(_xlfn.PERCENTILE.INC($U$2:$U$1194,PARAMS_MODELO!$B$53),PARAMS_MODELO!$B$48),"PLATA",IF(U526&gt;=1,"BRONCE","CERRADO")))))</f>
        <v>PLATINO</v>
      </c>
      <c r="W526" s="5" t="str" cm="1">
        <f t="array" ref="W526">_xlfn.XLOOKUP(1, (HIST_SCORE!$B:$B=PARAMS_MODELO!$B$4) * (HIST_SCORE!$C:$C=A526), HIST_SCORE!$E:$E, "No encontrado")</f>
        <v>PLATINO</v>
      </c>
      <c r="X526" s="5" t="str">
        <f>_xlfn.LET(_xlpm.act,MATCH(V526,{"DIAMANTE";"PLATINO";"ORO";"PLATA";"BRONCE";"CERRADO"},0),_xlpm.ant,MATCH(W526,{"DIAMANTE";"PLATINO";"ORO";"PLATA";"BRONCE";"CERRADO"},0),IF(_xlpm.act&lt;_xlpm.ant,"Mejora ↑",IF(_xlpm.act&gt;_xlpm.ant,"Baja ↓","Estable →")))</f>
        <v>Estable →</v>
      </c>
      <c r="Y526" s="5">
        <f>IFERROR(U526-SUMIFS(HIST_SCORE!$D:$D,HIST_SCORE!$B:$B,PARAMS_MODELO!$B$4,HIST_SCORE!$C:$C,$A526),"")</f>
        <v>0.47424800742581397</v>
      </c>
      <c r="Z526" s="5" t="str">
        <f t="shared" si="197"/>
        <v>→ Estable</v>
      </c>
      <c r="AA526" s="5">
        <f t="shared" si="198"/>
        <v>188</v>
      </c>
      <c r="AB526" s="5">
        <f>IFERROR(SUMIFS(HIST_SCORE!$F:$F,HIST_SCORE!$B:$B,PARAMS_MODELO!$B$4,HIST_SCORE!$C:$C,$A526),"")</f>
        <v>183</v>
      </c>
      <c r="AC526" s="5">
        <f t="shared" si="199"/>
        <v>-5</v>
      </c>
      <c r="AD526" t="str">
        <f t="shared" si="201"/>
        <v/>
      </c>
      <c r="AE5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526="CERRADO",1,IF(V526="BRONCE",_xlpm.cPl,IF(V526="PLATA",_xlpm.cO,IF(V526="ORO",_xlpm.cP,IF(V526="PLATINO",_xlpm.cD,999))))))</f>
        <v>96.054919694466676</v>
      </c>
      <c r="AF5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526="CERRADO",0,IF(V526="BRONCE",1,IF(V526="PLATA",_xlpm.cPl,IF(V526="ORO",_xlpm.cO,IF(V526="PLATINO",_xlpm.cP,_xlpm.cD))))))</f>
        <v>86.439123873763251</v>
      </c>
      <c r="AG526">
        <f t="shared" si="202"/>
        <v>7.74749682315624</v>
      </c>
      <c r="AH526" t="str">
        <f t="shared" si="203"/>
        <v>VENTAS</v>
      </c>
      <c r="AI526" t="str">
        <f t="shared" si="200"/>
        <v>🎯 Para subir de categoría, eje VENTAS / IMPACTO ABSOLUTO (H). Acción: metas semanales + activación comercial + seguimiento del asesor. ΔR aprox: 7,7</v>
      </c>
      <c r="AJ526" s="26">
        <f>_xlfn.LET(_xlpm.piso,AF526,_xlpm.corte,AE526,_xlpm.prog,IF(_xlpm.corte&lt;=_xlpm.piso,0,MAX(0,MIN(1,(U526-_xlpm.piso)/(_xlpm.corte-_xlpm.piso)))),_xlpm.orden,{"DIAMANTE";"PLATINO";"ORO";"PLATA";"BRONCE";"CERRADO"},_xlpm.act,IFERROR(MATCH(V526,_xlpm.orden,0),6),_xlpm.ant,IFERROR(MATCH(W526,_xlpm.orden,0),6),_xlpm.ajmov,IF(_xlpm.act&lt;_xlpm.ant,0.08,IF(_xlpm.act&gt;_xlpm.ant,-0.08,0)),_xlpm.ajcli,IF(T526&lt;0.95,-0.06,0),_xlpm.prob,MAX(0,MIN(1,_xlpm.prog+_xlpm.ajmov+_xlpm.ajcli)),IF(OR(V526="DIAMANTE",V526="CERRADO"),0,ROUND(_xlpm.prob,2)))</f>
        <v>0.19</v>
      </c>
      <c r="AK526" t="str">
        <f t="shared" si="204"/>
        <v>Faltan 7,7 puntos base para subir a la siguiente categoría</v>
      </c>
      <c r="AL526" t="str">
        <f t="shared" si="205"/>
        <v>Margen de seguridad: 1,9 puntos</v>
      </c>
      <c r="AM526">
        <f t="shared" si="206"/>
        <v>0.63</v>
      </c>
      <c r="AN526" t="str">
        <f t="shared" si="207"/>
        <v>PRIORIDAD MEDIA – seguimiento del asesor</v>
      </c>
      <c r="AO526">
        <f t="shared" si="208"/>
        <v>9.2587740759195327</v>
      </c>
      <c r="AP526">
        <f t="shared" si="209"/>
        <v>0.25137232806561194</v>
      </c>
      <c r="AQ526">
        <f t="shared" si="210"/>
        <v>4.4999999999999929E-2</v>
      </c>
      <c r="AR526">
        <f t="shared" si="211"/>
        <v>2</v>
      </c>
      <c r="AS526">
        <f t="shared" si="212"/>
        <v>0</v>
      </c>
      <c r="AT526" t="str">
        <f t="shared" si="213"/>
        <v>VENTAS</v>
      </c>
      <c r="AU526">
        <f t="shared" si="214"/>
        <v>9.2587740759195327</v>
      </c>
      <c r="AV526" t="str">
        <f t="shared" si="215"/>
        <v>Mayor retorno probable: VENTAS (+9,3 puntos finales potenciales).</v>
      </c>
    </row>
    <row r="527" spans="1:48" x14ac:dyDescent="0.3">
      <c r="A527" s="5">
        <v>51017081</v>
      </c>
      <c r="B527" s="5" t="str">
        <f>IFERROR(VLOOKUP(A527,VENTAS!$A$2:$B$1194,2,0),"")</f>
        <v>AYALA</v>
      </c>
      <c r="C527" s="5">
        <f>IFERROR(INDEX(VENTAS!$C$2:$E$1194,MATCH(A527,VENTAS!$A$2:$A$1194,0),MATCH(PARAMS_MODELO!$B$2,{"Q1","Q2","Q3"},0)),0)</f>
        <v>53753535.710000001</v>
      </c>
      <c r="D527" s="5">
        <f>IFERROR(INDEX(VENTAS!$F$2:$H$1194,MATCH(A527,VENTAS!$A$2:$A$1194,0),MATCH(PARAMS_MODELO!$B$2,{"Q1","Q2","Q3"},0)),0)</f>
        <v>73995199</v>
      </c>
      <c r="E527" s="8">
        <f t="shared" si="192"/>
        <v>0.37656431381934863</v>
      </c>
      <c r="F527" s="12">
        <f>IF(E527&lt;=PARAMS_MODELO!$B$15,0,IF(E527&gt;=PARAMS_MODELO!$B$17,100,100*MIN(1,(E527-PARAMS_MODELO!$B$15)/(PARAMS_MODELO!$B$16-PARAMS_MODELO!$B$15))))*PARAMS_MODELO!$B$7</f>
        <v>35</v>
      </c>
      <c r="G527" s="5">
        <f t="shared" si="193"/>
        <v>20241663.289999999</v>
      </c>
      <c r="H527" s="5">
        <f>(PARAMS_MODELO!$B$20*(MAX(0,MIN(3,E527))/3)+PARAMS_MODELO!$B$21*(IFERROR(LN(1+MAX(0,G527))/LN(1+MAX(0,MAX($G$2:$G$1194))),0)))*100*PARAMS_MODELO!$B$8</f>
        <v>5.2615806127735318</v>
      </c>
      <c r="I527" s="8">
        <f>E527-PARAMS_MODELO!$B$5</f>
        <v>0.1990014784438221</v>
      </c>
      <c r="J527" s="5">
        <f>IF(I527&lt;=PARAMS_MODELO!$B$18,0,IF(I527&gt;=PARAMS_MODELO!$B$19,100,100*(I527-PARAMS_MODELO!$B$18)/(PARAMS_MODELO!$B$19-PARAMS_MODELO!$B$18)))*PARAMS_MODELO!$B$9</f>
        <v>15</v>
      </c>
      <c r="K527" s="5">
        <f>IFERROR(CHOOSE(MATCH(PARAMS_MODELO!$B$2,{"Q1","Q2","Q3"},0),LOTO!$D527,LOTO!$F527,LOTO!$H527),0)</f>
        <v>3635000</v>
      </c>
      <c r="L527" s="8">
        <f t="shared" si="194"/>
        <v>4.9124808759552087E-2</v>
      </c>
      <c r="M527" s="5">
        <f>MIN(100,IF(PARAMS_MODELO!$B$23=0,0,100*L527/PARAMS_MODELO!$B$23))*PARAMS_MODELO!$B$10</f>
        <v>14.737442627865624</v>
      </c>
      <c r="N527" s="5">
        <f>IFERROR(VLOOKUP(A527,COMPLIANCE!$A$2:$F$1996,6,0),100)</f>
        <v>99.4</v>
      </c>
      <c r="O527" s="5">
        <f>N527*PARAMS_MODELO!$B$11</f>
        <v>9.9400000000000013</v>
      </c>
      <c r="P527" s="5">
        <f>IFERROR(VLOOKUP(A527,DIGITAL!$A$2:$J$2000,7,0),100)</f>
        <v>92</v>
      </c>
      <c r="Q527" s="5">
        <f>IFERROR(P527,0)*PARAMS_MODELO!$B$12</f>
        <v>9.2000000000000011</v>
      </c>
      <c r="R527">
        <f t="shared" si="195"/>
        <v>89.139023240639148</v>
      </c>
      <c r="S527" s="5" t="str">
        <f>IFERROR(VLOOKUP(A527,CLIENTE!$A$2:$N$2000,13,0),1)</f>
        <v>Malo</v>
      </c>
      <c r="T527" s="5">
        <f>IFERROR(VLOOKUP(A527,CLIENTE!$A$2:$N$2000,14,0),1)</f>
        <v>0.7</v>
      </c>
      <c r="U527" s="5">
        <f t="shared" si="196"/>
        <v>62.397316268447398</v>
      </c>
      <c r="V527" s="5" t="str">
        <f>IF(U527&gt;=MAX(_xlfn.PERCENTILE.INC($U$2:$U$1194,PARAMS_MODELO!$B$50),PARAMS_MODELO!$B$45),"DIAMANTE",IF(U527&gt;=MAX(_xlfn.PERCENTILE.INC($U$2:$U$1194,PARAMS_MODELO!$B$51),PARAMS_MODELO!$B$46),"PLATINO",IF(U527&gt;=MAX(_xlfn.PERCENTILE.INC($U$2:$U$1194,PARAMS_MODELO!$B$52),PARAMS_MODELO!$B$47),"ORO",IF(U527&gt;=MAX(_xlfn.PERCENTILE.INC($U$2:$U$1194,PARAMS_MODELO!$B$53),PARAMS_MODELO!$B$48),"PLATA",IF(U527&gt;=1,"BRONCE","CERRADO")))))</f>
        <v>PLATA</v>
      </c>
      <c r="W527" s="5" t="str" cm="1">
        <f t="array" ref="W527">_xlfn.XLOOKUP(1, (HIST_SCORE!$B:$B=PARAMS_MODELO!$B$4) * (HIST_SCORE!$C:$C=A527), HIST_SCORE!$E:$E, "No encontrado")</f>
        <v>PLATA</v>
      </c>
      <c r="X527" s="5" t="str">
        <f>_xlfn.LET(_xlpm.act,MATCH(V527,{"DIAMANTE";"PLATINO";"ORO";"PLATA";"BRONCE";"CERRADO"},0),_xlpm.ant,MATCH(W527,{"DIAMANTE";"PLATINO";"ORO";"PLATA";"BRONCE";"CERRADO"},0),IF(_xlpm.act&lt;_xlpm.ant,"Mejora ↑",IF(_xlpm.act&gt;_xlpm.ant,"Baja ↓","Estable →")))</f>
        <v>Estable →</v>
      </c>
      <c r="Y527" s="5">
        <f>IFERROR(U527-SUMIFS(HIST_SCORE!$D:$D,HIST_SCORE!$B:$B,PARAMS_MODELO!$B$4,HIST_SCORE!$C:$C,$A527),"")</f>
        <v>3.729941850076834</v>
      </c>
      <c r="Z527" s="5" t="str">
        <f t="shared" si="197"/>
        <v>→ Estable</v>
      </c>
      <c r="AA527" s="5">
        <f t="shared" si="198"/>
        <v>572</v>
      </c>
      <c r="AB527" s="5">
        <f>IFERROR(SUMIFS(HIST_SCORE!$F:$F,HIST_SCORE!$B:$B,PARAMS_MODELO!$B$4,HIST_SCORE!$C:$C,$A527),"")</f>
        <v>667</v>
      </c>
      <c r="AC527" s="5">
        <f t="shared" si="199"/>
        <v>95</v>
      </c>
      <c r="AD527" t="str">
        <f t="shared" si="201"/>
        <v/>
      </c>
      <c r="AE5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527="CERRADO",1,IF(V527="BRONCE",_xlpm.cPl,IF(V527="PLATA",_xlpm.cO,IF(V527="ORO",_xlpm.cP,IF(V527="PLATINO",_xlpm.cD,999))))))</f>
        <v>63.199193273331495</v>
      </c>
      <c r="AF5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527="CERRADO",0,IF(V527="BRONCE",1,IF(V527="PLATA",_xlpm.cPl,IF(V527="ORO",_xlpm.cO,IF(V527="PLATINO",_xlpm.cP,_xlpm.cD))))))</f>
        <v>24.506573482968111</v>
      </c>
      <c r="AG527">
        <f t="shared" si="202"/>
        <v>1.1455385784058478</v>
      </c>
      <c r="AH527" t="str">
        <f t="shared" si="203"/>
        <v>CLIENTE</v>
      </c>
      <c r="AI527" t="str">
        <f t="shared" si="200"/>
        <v>🎯 Para subir de categoría, la eje con mayor impacto probable es CLIENTE (coef T). Acción: reducir quejas, mejorar incógnito y empujar reseñas. ΔR aprox: 1,1</v>
      </c>
      <c r="AJ527" s="26">
        <f>_xlfn.LET(_xlpm.piso,AF527,_xlpm.corte,AE527,_xlpm.prog,IF(_xlpm.corte&lt;=_xlpm.piso,0,MAX(0,MIN(1,(U527-_xlpm.piso)/(_xlpm.corte-_xlpm.piso)))),_xlpm.orden,{"DIAMANTE";"PLATINO";"ORO";"PLATA";"BRONCE";"CERRADO"},_xlpm.act,IFERROR(MATCH(V527,_xlpm.orden,0),6),_xlpm.ant,IFERROR(MATCH(W527,_xlpm.orden,0),6),_xlpm.ajmov,IF(_xlpm.act&lt;_xlpm.ant,0.08,IF(_xlpm.act&gt;_xlpm.ant,-0.08,0)),_xlpm.ajcli,IF(T527&lt;0.95,-0.06,0),_xlpm.prob,MAX(0,MIN(1,_xlpm.prog+_xlpm.ajmov+_xlpm.ajcli)),IF(OR(V527="DIAMANTE",V527="CERRADO"),0,ROUND(_xlpm.prob,2)))</f>
        <v>0.92</v>
      </c>
      <c r="AK527" t="str">
        <f t="shared" si="204"/>
        <v>Faltan 1,1 puntos base para subir a la siguiente categoría</v>
      </c>
      <c r="AL527" t="str">
        <f t="shared" si="205"/>
        <v>Margen de seguridad: 37,9 puntos</v>
      </c>
      <c r="AM527">
        <f t="shared" si="206"/>
        <v>0.28000000000000003</v>
      </c>
      <c r="AN527" t="str">
        <f t="shared" si="207"/>
        <v>PRIORIDAD BAJA – control normal</v>
      </c>
      <c r="AO527">
        <f t="shared" si="208"/>
        <v>6.7206920637654388</v>
      </c>
      <c r="AP527">
        <f t="shared" si="209"/>
        <v>0.18379016049406313</v>
      </c>
      <c r="AQ527">
        <f t="shared" si="210"/>
        <v>4.1999999999999101E-2</v>
      </c>
      <c r="AR527">
        <f t="shared" si="211"/>
        <v>0.55999999999999917</v>
      </c>
      <c r="AS527">
        <f t="shared" si="212"/>
        <v>26.74170697219175</v>
      </c>
      <c r="AT527" t="str">
        <f t="shared" si="213"/>
        <v>CLIENTE</v>
      </c>
      <c r="AU527">
        <f t="shared" si="214"/>
        <v>26.74170697219175</v>
      </c>
      <c r="AV527" t="str">
        <f t="shared" si="215"/>
        <v>Mayor retorno probable: CLIENTE (+26,7 puntos finales potenciales).</v>
      </c>
    </row>
    <row r="528" spans="1:48" x14ac:dyDescent="0.3">
      <c r="A528" s="5">
        <v>51056345</v>
      </c>
      <c r="B528" s="5" t="str">
        <f>IFERROR(VLOOKUP(A528,VENTAS!$A$2:$B$1194,2,0),"")</f>
        <v>AYALA</v>
      </c>
      <c r="C528" s="5">
        <f>IFERROR(INDEX(VENTAS!$C$2:$E$1194,MATCH(A528,VENTAS!$A$2:$A$1194,0),MATCH(PARAMS_MODELO!$B$2,{"Q1","Q2","Q3"},0)),0)</f>
        <v>68585188.400000006</v>
      </c>
      <c r="D528" s="5">
        <f>IFERROR(INDEX(VENTAS!$F$2:$H$1194,MATCH(A528,VENTAS!$A$2:$A$1194,0),MATCH(PARAMS_MODELO!$B$2,{"Q1","Q2","Q3"},0)),0)</f>
        <v>73994920</v>
      </c>
      <c r="E528" s="8">
        <f t="shared" si="192"/>
        <v>7.8876091561483452E-2</v>
      </c>
      <c r="F528" s="12">
        <f>IF(E528&lt;=PARAMS_MODELO!$B$15,0,IF(E528&gt;=PARAMS_MODELO!$B$17,100,100*MIN(1,(E528-PARAMS_MODELO!$B$15)/(PARAMS_MODELO!$B$16-PARAMS_MODELO!$B$15))))*PARAMS_MODELO!$B$7</f>
        <v>27.606632046519206</v>
      </c>
      <c r="G528" s="5">
        <f t="shared" si="193"/>
        <v>5409731.599999994</v>
      </c>
      <c r="H528" s="5">
        <f>(PARAMS_MODELO!$B$20*(MAX(0,MIN(3,E528))/3)+PARAMS_MODELO!$B$21*(IFERROR(LN(1+MAX(0,G528))/LN(1+MAX(0,MAX($G$2:$G$1194))),0)))*100*PARAMS_MODELO!$B$8</f>
        <v>3.9103524391955982</v>
      </c>
      <c r="I528" s="8">
        <f>E528-PARAMS_MODELO!$B$5</f>
        <v>-9.8686743814043076E-2</v>
      </c>
      <c r="J528" s="5">
        <f>IF(I528&lt;=PARAMS_MODELO!$B$18,0,IF(I528&gt;=PARAMS_MODELO!$B$19,100,100*(I528-PARAMS_MODELO!$B$18)/(PARAMS_MODELO!$B$19-PARAMS_MODELO!$B$18)))*PARAMS_MODELO!$B$9</f>
        <v>0</v>
      </c>
      <c r="K528" s="5">
        <f>IFERROR(CHOOSE(MATCH(PARAMS_MODELO!$B$2,{"Q1","Q2","Q3"},0),LOTO!$D528,LOTO!$F528,LOTO!$H528),0)</f>
        <v>3632500</v>
      </c>
      <c r="L528" s="8">
        <f t="shared" si="194"/>
        <v>4.9091207882919527E-2</v>
      </c>
      <c r="M528" s="5">
        <f>MIN(100,IF(PARAMS_MODELO!$B$23=0,0,100*L528/PARAMS_MODELO!$B$23))*PARAMS_MODELO!$B$10</f>
        <v>14.727362364875855</v>
      </c>
      <c r="N528" s="5">
        <f>IFERROR(VLOOKUP(A528,COMPLIANCE!$A$2:$F$1996,6,0),100)</f>
        <v>100</v>
      </c>
      <c r="O528" s="5">
        <f>N528*PARAMS_MODELO!$B$11</f>
        <v>10</v>
      </c>
      <c r="P528" s="5">
        <f>IFERROR(VLOOKUP(A528,DIGITAL!$A$2:$J$2000,7,0),100)</f>
        <v>55</v>
      </c>
      <c r="Q528" s="5">
        <f>IFERROR(P528,0)*PARAMS_MODELO!$B$12</f>
        <v>5.5</v>
      </c>
      <c r="R528">
        <f t="shared" si="195"/>
        <v>61.744346850590659</v>
      </c>
      <c r="S528" s="5" t="str">
        <f>IFERROR(VLOOKUP(A528,CLIENTE!$A$2:$N$2000,13,0),1)</f>
        <v>Regular</v>
      </c>
      <c r="T528" s="5">
        <f>IFERROR(VLOOKUP(A528,CLIENTE!$A$2:$N$2000,14,0),1)</f>
        <v>1</v>
      </c>
      <c r="U528" s="5">
        <f t="shared" si="196"/>
        <v>61.744346850590659</v>
      </c>
      <c r="V528" s="5" t="str">
        <f>IF(U528&gt;=MAX(_xlfn.PERCENTILE.INC($U$2:$U$1194,PARAMS_MODELO!$B$50),PARAMS_MODELO!$B$45),"DIAMANTE",IF(U528&gt;=MAX(_xlfn.PERCENTILE.INC($U$2:$U$1194,PARAMS_MODELO!$B$51),PARAMS_MODELO!$B$46),"PLATINO",IF(U528&gt;=MAX(_xlfn.PERCENTILE.INC($U$2:$U$1194,PARAMS_MODELO!$B$52),PARAMS_MODELO!$B$47),"ORO",IF(U528&gt;=MAX(_xlfn.PERCENTILE.INC($U$2:$U$1194,PARAMS_MODELO!$B$53),PARAMS_MODELO!$B$48),"PLATA",IF(U528&gt;=1,"BRONCE","CERRADO")))))</f>
        <v>PLATA</v>
      </c>
      <c r="W528" s="5" t="str" cm="1">
        <f t="array" ref="W528">_xlfn.XLOOKUP(1, (HIST_SCORE!$B:$B=PARAMS_MODELO!$B$4) * (HIST_SCORE!$C:$C=A528), HIST_SCORE!$E:$E, "No encontrado")</f>
        <v>ORO</v>
      </c>
      <c r="X528" s="5" t="str">
        <f>_xlfn.LET(_xlpm.act,MATCH(V528,{"DIAMANTE";"PLATINO";"ORO";"PLATA";"BRONCE";"CERRADO"},0),_xlpm.ant,MATCH(W528,{"DIAMANTE";"PLATINO";"ORO";"PLATA";"BRONCE";"CERRADO"},0),IF(_xlpm.act&lt;_xlpm.ant,"Mejora ↑",IF(_xlpm.act&gt;_xlpm.ant,"Baja ↓","Estable →")))</f>
        <v>Baja ↓</v>
      </c>
      <c r="Y528" s="5">
        <f>IFERROR(U528-SUMIFS(HIST_SCORE!$D:$D,HIST_SCORE!$B:$B,PARAMS_MODELO!$B$4,HIST_SCORE!$C:$C,$A528),"")</f>
        <v>-18.751679723430755</v>
      </c>
      <c r="Z528" s="5" t="str">
        <f t="shared" si="197"/>
        <v>↓ Baja</v>
      </c>
      <c r="AA528" s="5">
        <f t="shared" si="198"/>
        <v>586</v>
      </c>
      <c r="AB528" s="5">
        <f>IFERROR(SUMIFS(HIST_SCORE!$F:$F,HIST_SCORE!$B:$B,PARAMS_MODELO!$B$4,HIST_SCORE!$C:$C,$A528),"")</f>
        <v>405</v>
      </c>
      <c r="AC528" s="5">
        <f t="shared" si="199"/>
        <v>-181</v>
      </c>
      <c r="AD528" t="str">
        <f t="shared" si="201"/>
        <v/>
      </c>
      <c r="AE5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528="CERRADO",1,IF(V528="BRONCE",_xlpm.cPl,IF(V528="PLATA",_xlpm.cO,IF(V528="ORO",_xlpm.cP,IF(V528="PLATINO",_xlpm.cD,999))))))</f>
        <v>63.199193273331495</v>
      </c>
      <c r="AF5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528="CERRADO",0,IF(V528="BRONCE",1,IF(V528="PLATA",_xlpm.cPl,IF(V528="ORO",_xlpm.cO,IF(V528="PLATINO",_xlpm.cP,_xlpm.cD))))))</f>
        <v>24.506573482968111</v>
      </c>
      <c r="AG528">
        <f t="shared" si="202"/>
        <v>1.454846422740836</v>
      </c>
      <c r="AH528" t="str">
        <f t="shared" si="203"/>
        <v>VENTAS</v>
      </c>
      <c r="AI528" t="str">
        <f t="shared" si="200"/>
        <v>🎯 Para subir de categoría, eje VENTAS / DIFERENCIAL vs LOTBA (J). Acción: metas semanales + activación comercial + seguimiento del asesor. ΔR aprox: 1,5</v>
      </c>
      <c r="AJ528" s="26">
        <f>_xlfn.LET(_xlpm.piso,AF528,_xlpm.corte,AE528,_xlpm.prog,IF(_xlpm.corte&lt;=_xlpm.piso,0,MAX(0,MIN(1,(U528-_xlpm.piso)/(_xlpm.corte-_xlpm.piso)))),_xlpm.orden,{"DIAMANTE";"PLATINO";"ORO";"PLATA";"BRONCE";"CERRADO"},_xlpm.act,IFERROR(MATCH(V528,_xlpm.orden,0),6),_xlpm.ant,IFERROR(MATCH(W528,_xlpm.orden,0),6),_xlpm.ajmov,IF(_xlpm.act&lt;_xlpm.ant,0.08,IF(_xlpm.act&gt;_xlpm.ant,-0.08,0)),_xlpm.ajcli,IF(T528&lt;0.95,-0.06,0),_xlpm.prob,MAX(0,MIN(1,_xlpm.prog+_xlpm.ajmov+_xlpm.ajcli)),IF(OR(V528="DIAMANTE",V528="CERRADO"),0,ROUND(_xlpm.prob,2)))</f>
        <v>0.88</v>
      </c>
      <c r="AK528" t="str">
        <f t="shared" si="204"/>
        <v>Faltan 1,5 puntos base para subir a la siguiente categoría</v>
      </c>
      <c r="AL528" t="str">
        <f t="shared" si="205"/>
        <v>Margen de seguridad: 37,2 puntos</v>
      </c>
      <c r="AM528">
        <f t="shared" si="206"/>
        <v>0.11</v>
      </c>
      <c r="AN528" t="str">
        <f t="shared" si="207"/>
        <v>PRIORIDAD BAJA – control normal</v>
      </c>
      <c r="AO528">
        <f t="shared" si="208"/>
        <v>33.345584789580784</v>
      </c>
      <c r="AP528">
        <f t="shared" si="209"/>
        <v>0.27263763512414485</v>
      </c>
      <c r="AQ528">
        <f t="shared" si="210"/>
        <v>0</v>
      </c>
      <c r="AR528">
        <f t="shared" si="211"/>
        <v>4.5</v>
      </c>
      <c r="AS528">
        <f t="shared" si="212"/>
        <v>0</v>
      </c>
      <c r="AT528" t="str">
        <f t="shared" si="213"/>
        <v>VENTAS</v>
      </c>
      <c r="AU528">
        <f t="shared" si="214"/>
        <v>33.345584789580784</v>
      </c>
      <c r="AV528" t="str">
        <f t="shared" si="215"/>
        <v>Mayor retorno probable: VENTAS (+33,3 puntos finales potenciales).</v>
      </c>
    </row>
    <row r="529" spans="1:48" x14ac:dyDescent="0.3">
      <c r="A529" s="5">
        <v>51055942</v>
      </c>
      <c r="B529" s="5" t="str">
        <f>IFERROR(VLOOKUP(A529,VENTAS!$A$2:$B$1194,2,0),"")</f>
        <v>PUGH</v>
      </c>
      <c r="C529" s="5">
        <f>IFERROR(INDEX(VENTAS!$C$2:$E$1194,MATCH(A529,VENTAS!$A$2:$A$1194,0),MATCH(PARAMS_MODELO!$B$2,{"Q1","Q2","Q3"},0)),0)</f>
        <v>52069775.840000004</v>
      </c>
      <c r="D529" s="5">
        <f>IFERROR(INDEX(VENTAS!$F$2:$H$1194,MATCH(A529,VENTAS!$A$2:$A$1194,0),MATCH(PARAMS_MODELO!$B$2,{"Q1","Q2","Q3"},0)),0)</f>
        <v>73940012</v>
      </c>
      <c r="E529" s="8">
        <f t="shared" si="192"/>
        <v>0.42001786654897177</v>
      </c>
      <c r="F529" s="12">
        <f>IF(E529&lt;=PARAMS_MODELO!$B$15,0,IF(E529&gt;=PARAMS_MODELO!$B$17,100,100*MIN(1,(E529-PARAMS_MODELO!$B$15)/(PARAMS_MODELO!$B$16-PARAMS_MODELO!$B$15))))*PARAMS_MODELO!$B$7</f>
        <v>35</v>
      </c>
      <c r="G529" s="5">
        <f t="shared" si="193"/>
        <v>21870236.159999996</v>
      </c>
      <c r="H529" s="5">
        <f>(PARAMS_MODELO!$B$20*(MAX(0,MIN(3,E529))/3)+PARAMS_MODELO!$B$21*(IFERROR(LN(1+MAX(0,G529))/LN(1+MAX(0,MAX($G$2:$G$1194))),0)))*100*PARAMS_MODELO!$B$8</f>
        <v>5.4318078458173478</v>
      </c>
      <c r="I529" s="8">
        <f>E529-PARAMS_MODELO!$B$5</f>
        <v>0.24245503117344525</v>
      </c>
      <c r="J529" s="5">
        <f>IF(I529&lt;=PARAMS_MODELO!$B$18,0,IF(I529&gt;=PARAMS_MODELO!$B$19,100,100*(I529-PARAMS_MODELO!$B$18)/(PARAMS_MODELO!$B$19-PARAMS_MODELO!$B$18)))*PARAMS_MODELO!$B$9</f>
        <v>15</v>
      </c>
      <c r="K529" s="5">
        <f>IFERROR(CHOOSE(MATCH(PARAMS_MODELO!$B$2,{"Q1","Q2","Q3"},0),LOTO!$D529,LOTO!$F529,LOTO!$H529),0)</f>
        <v>3617500</v>
      </c>
      <c r="L529" s="8">
        <f t="shared" si="194"/>
        <v>4.8924795954861357E-2</v>
      </c>
      <c r="M529" s="5">
        <f>MIN(100,IF(PARAMS_MODELO!$B$23=0,0,100*L529/PARAMS_MODELO!$B$23))*PARAMS_MODELO!$B$10</f>
        <v>14.677438786458405</v>
      </c>
      <c r="N529" s="5">
        <f>IFERROR(VLOOKUP(A529,COMPLIANCE!$A$2:$F$1996,6,0),100)</f>
        <v>100</v>
      </c>
      <c r="O529" s="5">
        <f>N529*PARAMS_MODELO!$B$11</f>
        <v>10</v>
      </c>
      <c r="P529" s="5">
        <f>IFERROR(VLOOKUP(A529,DIGITAL!$A$2:$J$2000,7,0),100)</f>
        <v>84</v>
      </c>
      <c r="Q529" s="5">
        <f>IFERROR(P529,0)*PARAMS_MODELO!$B$12</f>
        <v>8.4</v>
      </c>
      <c r="R529">
        <f t="shared" si="195"/>
        <v>88.509246632275762</v>
      </c>
      <c r="S529" s="5" t="str">
        <f>IFERROR(VLOOKUP(A529,CLIENTE!$A$2:$N$2000,13,0),1)</f>
        <v>Regular</v>
      </c>
      <c r="T529" s="5">
        <f>IFERROR(VLOOKUP(A529,CLIENTE!$A$2:$N$2000,14,0),1)</f>
        <v>1</v>
      </c>
      <c r="U529" s="5">
        <f t="shared" si="196"/>
        <v>88.509246632275762</v>
      </c>
      <c r="V529" s="5" t="str">
        <f>IF(U529&gt;=MAX(_xlfn.PERCENTILE.INC($U$2:$U$1194,PARAMS_MODELO!$B$50),PARAMS_MODELO!$B$45),"DIAMANTE",IF(U529&gt;=MAX(_xlfn.PERCENTILE.INC($U$2:$U$1194,PARAMS_MODELO!$B$51),PARAMS_MODELO!$B$46),"PLATINO",IF(U529&gt;=MAX(_xlfn.PERCENTILE.INC($U$2:$U$1194,PARAMS_MODELO!$B$52),PARAMS_MODELO!$B$47),"ORO",IF(U529&gt;=MAX(_xlfn.PERCENTILE.INC($U$2:$U$1194,PARAMS_MODELO!$B$53),PARAMS_MODELO!$B$48),"PLATA",IF(U529&gt;=1,"BRONCE","CERRADO")))))</f>
        <v>PLATINO</v>
      </c>
      <c r="W529" s="5" t="str" cm="1">
        <f t="array" ref="W529">_xlfn.XLOOKUP(1, (HIST_SCORE!$B:$B=PARAMS_MODELO!$B$4) * (HIST_SCORE!$C:$C=A529), HIST_SCORE!$E:$E, "No encontrado")</f>
        <v>PLATINO</v>
      </c>
      <c r="X529" s="5" t="str">
        <f>_xlfn.LET(_xlpm.act,MATCH(V529,{"DIAMANTE";"PLATINO";"ORO";"PLATA";"BRONCE";"CERRADO"},0),_xlpm.ant,MATCH(W529,{"DIAMANTE";"PLATINO";"ORO";"PLATA";"BRONCE";"CERRADO"},0),IF(_xlpm.act&lt;_xlpm.ant,"Mejora ↑",IF(_xlpm.act&gt;_xlpm.ant,"Baja ↓","Estable →")))</f>
        <v>Estable →</v>
      </c>
      <c r="Y529" s="5">
        <f>IFERROR(U529-SUMIFS(HIST_SCORE!$D:$D,HIST_SCORE!$B:$B,PARAMS_MODELO!$B$4,HIST_SCORE!$C:$C,$A529),"")</f>
        <v>1.8675974570909801</v>
      </c>
      <c r="Z529" s="5" t="str">
        <f t="shared" si="197"/>
        <v>→ Estable</v>
      </c>
      <c r="AA529" s="5">
        <f t="shared" si="198"/>
        <v>183</v>
      </c>
      <c r="AB529" s="5">
        <f>IFERROR(SUMIFS(HIST_SCORE!$F:$F,HIST_SCORE!$B:$B,PARAMS_MODELO!$B$4,HIST_SCORE!$C:$C,$A529),"")</f>
        <v>212</v>
      </c>
      <c r="AC529" s="5">
        <f t="shared" si="199"/>
        <v>29</v>
      </c>
      <c r="AD529" t="str">
        <f t="shared" si="201"/>
        <v/>
      </c>
      <c r="AE5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529="CERRADO",1,IF(V529="BRONCE",_xlpm.cPl,IF(V529="PLATA",_xlpm.cO,IF(V529="ORO",_xlpm.cP,IF(V529="PLATINO",_xlpm.cD,999))))))</f>
        <v>96.054919694466676</v>
      </c>
      <c r="AF5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529="CERRADO",0,IF(V529="BRONCE",1,IF(V529="PLATA",_xlpm.cPl,IF(V529="ORO",_xlpm.cO,IF(V529="PLATINO",_xlpm.cP,_xlpm.cD))))))</f>
        <v>86.439123873763251</v>
      </c>
      <c r="AG529">
        <f t="shared" si="202"/>
        <v>7.5456730621909145</v>
      </c>
      <c r="AH529" t="str">
        <f t="shared" si="203"/>
        <v>VENTAS</v>
      </c>
      <c r="AI529" t="str">
        <f t="shared" si="200"/>
        <v>🎯 Para subir de categoría, eje VENTAS / IMPACTO ABSOLUTO (H). Acción: metas semanales + activación comercial + seguimiento del asesor. ΔR aprox: 7,5</v>
      </c>
      <c r="AJ529" s="26">
        <f>_xlfn.LET(_xlpm.piso,AF529,_xlpm.corte,AE529,_xlpm.prog,IF(_xlpm.corte&lt;=_xlpm.piso,0,MAX(0,MIN(1,(U529-_xlpm.piso)/(_xlpm.corte-_xlpm.piso)))),_xlpm.orden,{"DIAMANTE";"PLATINO";"ORO";"PLATA";"BRONCE";"CERRADO"},_xlpm.act,IFERROR(MATCH(V529,_xlpm.orden,0),6),_xlpm.ant,IFERROR(MATCH(W529,_xlpm.orden,0),6),_xlpm.ajmov,IF(_xlpm.act&lt;_xlpm.ant,0.08,IF(_xlpm.act&gt;_xlpm.ant,-0.08,0)),_xlpm.ajcli,IF(T529&lt;0.95,-0.06,0),_xlpm.prob,MAX(0,MIN(1,_xlpm.prog+_xlpm.ajmov+_xlpm.ajcli)),IF(OR(V529="DIAMANTE",V529="CERRADO"),0,ROUND(_xlpm.prob,2)))</f>
        <v>0.22</v>
      </c>
      <c r="AK529" t="str">
        <f t="shared" si="204"/>
        <v>Faltan 7,5 puntos base para subir a la siguiente categoría</v>
      </c>
      <c r="AL529" t="str">
        <f t="shared" si="205"/>
        <v>Margen de seguridad: 2,1 puntos</v>
      </c>
      <c r="AM529">
        <f t="shared" si="206"/>
        <v>0.61</v>
      </c>
      <c r="AN529" t="str">
        <f t="shared" si="207"/>
        <v>PRIORIDAD MEDIA – seguimiento del asesor</v>
      </c>
      <c r="AO529">
        <f t="shared" si="208"/>
        <v>9.4307614294782383</v>
      </c>
      <c r="AP529">
        <f t="shared" si="209"/>
        <v>0.32256121354159539</v>
      </c>
      <c r="AQ529">
        <f t="shared" si="210"/>
        <v>0</v>
      </c>
      <c r="AR529">
        <f t="shared" si="211"/>
        <v>1.5999999999999996</v>
      </c>
      <c r="AS529">
        <f t="shared" si="212"/>
        <v>0</v>
      </c>
      <c r="AT529" t="str">
        <f t="shared" si="213"/>
        <v>VENTAS</v>
      </c>
      <c r="AU529">
        <f t="shared" si="214"/>
        <v>9.4307614294782383</v>
      </c>
      <c r="AV529" t="str">
        <f t="shared" si="215"/>
        <v>Mayor retorno probable: VENTAS (+9,4 puntos finales potenciales).</v>
      </c>
    </row>
    <row r="530" spans="1:48" x14ac:dyDescent="0.3">
      <c r="A530" s="5">
        <v>51036735</v>
      </c>
      <c r="B530" s="5" t="str">
        <f>IFERROR(VLOOKUP(A530,VENTAS!$A$2:$B$1194,2,0),"")</f>
        <v>MONTENEGRO</v>
      </c>
      <c r="C530" s="5">
        <f>IFERROR(INDEX(VENTAS!$C$2:$E$1194,MATCH(A530,VENTAS!$A$2:$A$1194,0),MATCH(PARAMS_MODELO!$B$2,{"Q1","Q2","Q3"},0)),0)</f>
        <v>50090195.270000003</v>
      </c>
      <c r="D530" s="5">
        <f>IFERROR(INDEX(VENTAS!$F$2:$H$1194,MATCH(A530,VENTAS!$A$2:$A$1194,0),MATCH(PARAMS_MODELO!$B$2,{"Q1","Q2","Q3"},0)),0)</f>
        <v>73932575</v>
      </c>
      <c r="E530" s="8">
        <f t="shared" si="192"/>
        <v>0.4759889555527379</v>
      </c>
      <c r="F530" s="12">
        <f>IF(E530&lt;=PARAMS_MODELO!$B$15,0,IF(E530&gt;=PARAMS_MODELO!$B$17,100,100*MIN(1,(E530-PARAMS_MODELO!$B$15)/(PARAMS_MODELO!$B$16-PARAMS_MODELO!$B$15))))*PARAMS_MODELO!$B$7</f>
        <v>35</v>
      </c>
      <c r="G530" s="5">
        <f t="shared" si="193"/>
        <v>23842379.729999997</v>
      </c>
      <c r="H530" s="5">
        <f>(PARAMS_MODELO!$B$20*(MAX(0,MIN(3,E530))/3)+PARAMS_MODELO!$B$21*(IFERROR(LN(1+MAX(0,G530))/LN(1+MAX(0,MAX($G$2:$G$1194))),0)))*100*PARAMS_MODELO!$B$8</f>
        <v>5.6479454948708812</v>
      </c>
      <c r="I530" s="8">
        <f>E530-PARAMS_MODELO!$B$5</f>
        <v>0.29842612017721137</v>
      </c>
      <c r="J530" s="5">
        <f>IF(I530&lt;=PARAMS_MODELO!$B$18,0,IF(I530&gt;=PARAMS_MODELO!$B$19,100,100*(I530-PARAMS_MODELO!$B$18)/(PARAMS_MODELO!$B$19-PARAMS_MODELO!$B$18)))*PARAMS_MODELO!$B$9</f>
        <v>15</v>
      </c>
      <c r="K530" s="5">
        <f>IFERROR(CHOOSE(MATCH(PARAMS_MODELO!$B$2,{"Q1","Q2","Q3"},0),LOTO!$D530,LOTO!$F530,LOTO!$H530),0)</f>
        <v>3607500</v>
      </c>
      <c r="L530" s="8">
        <f t="shared" si="194"/>
        <v>4.8794459005384296E-2</v>
      </c>
      <c r="M530" s="5">
        <f>MIN(100,IF(PARAMS_MODELO!$B$23=0,0,100*L530/PARAMS_MODELO!$B$23))*PARAMS_MODELO!$B$10</f>
        <v>14.638337701615287</v>
      </c>
      <c r="N530" s="5">
        <f>IFERROR(VLOOKUP(A530,COMPLIANCE!$A$2:$F$1996,6,0),100)</f>
        <v>100</v>
      </c>
      <c r="O530" s="5">
        <f>N530*PARAMS_MODELO!$B$11</f>
        <v>10</v>
      </c>
      <c r="P530" s="5">
        <f>IFERROR(VLOOKUP(A530,DIGITAL!$A$2:$J$2000,7,0),100)</f>
        <v>78</v>
      </c>
      <c r="Q530" s="5">
        <f>IFERROR(P530,0)*PARAMS_MODELO!$B$12</f>
        <v>7.8000000000000007</v>
      </c>
      <c r="R530">
        <f t="shared" si="195"/>
        <v>88.086283196486164</v>
      </c>
      <c r="S530" s="5" t="str">
        <f>IFERROR(VLOOKUP(A530,CLIENTE!$A$2:$N$2000,13,0),1)</f>
        <v>Regular</v>
      </c>
      <c r="T530" s="5">
        <f>IFERROR(VLOOKUP(A530,CLIENTE!$A$2:$N$2000,14,0),1)</f>
        <v>1</v>
      </c>
      <c r="U530" s="5">
        <f t="shared" si="196"/>
        <v>88.086283196486164</v>
      </c>
      <c r="V530" s="5" t="str">
        <f>IF(U530&gt;=MAX(_xlfn.PERCENTILE.INC($U$2:$U$1194,PARAMS_MODELO!$B$50),PARAMS_MODELO!$B$45),"DIAMANTE",IF(U530&gt;=MAX(_xlfn.PERCENTILE.INC($U$2:$U$1194,PARAMS_MODELO!$B$51),PARAMS_MODELO!$B$46),"PLATINO",IF(U530&gt;=MAX(_xlfn.PERCENTILE.INC($U$2:$U$1194,PARAMS_MODELO!$B$52),PARAMS_MODELO!$B$47),"ORO",IF(U530&gt;=MAX(_xlfn.PERCENTILE.INC($U$2:$U$1194,PARAMS_MODELO!$B$53),PARAMS_MODELO!$B$48),"PLATA",IF(U530&gt;=1,"BRONCE","CERRADO")))))</f>
        <v>PLATINO</v>
      </c>
      <c r="W530" s="5" t="str" cm="1">
        <f t="array" ref="W530">_xlfn.XLOOKUP(1, (HIST_SCORE!$B:$B=PARAMS_MODELO!$B$4) * (HIST_SCORE!$C:$C=A530), HIST_SCORE!$E:$E, "No encontrado")</f>
        <v>ORO</v>
      </c>
      <c r="X530" s="5" t="str">
        <f>_xlfn.LET(_xlpm.act,MATCH(V530,{"DIAMANTE";"PLATINO";"ORO";"PLATA";"BRONCE";"CERRADO"},0),_xlpm.ant,MATCH(W530,{"DIAMANTE";"PLATINO";"ORO";"PLATA";"BRONCE";"CERRADO"},0),IF(_xlpm.act&lt;_xlpm.ant,"Mejora ↑",IF(_xlpm.act&gt;_xlpm.ant,"Baja ↓","Estable →")))</f>
        <v>Mejora ↑</v>
      </c>
      <c r="Y530" s="5">
        <f>IFERROR(U530-SUMIFS(HIST_SCORE!$D:$D,HIST_SCORE!$B:$B,PARAMS_MODELO!$B$4,HIST_SCORE!$C:$C,$A530),"")</f>
        <v>5.2218668250526434</v>
      </c>
      <c r="Z530" s="5" t="str">
        <f t="shared" si="197"/>
        <v>↑ Mejora</v>
      </c>
      <c r="AA530" s="5">
        <f t="shared" si="198"/>
        <v>195</v>
      </c>
      <c r="AB530" s="5">
        <f>IFERROR(SUMIFS(HIST_SCORE!$F:$F,HIST_SCORE!$B:$B,PARAMS_MODELO!$B$4,HIST_SCORE!$C:$C,$A530),"")</f>
        <v>337</v>
      </c>
      <c r="AC530" s="5">
        <f t="shared" si="199"/>
        <v>142</v>
      </c>
      <c r="AD530" t="str">
        <f t="shared" si="201"/>
        <v/>
      </c>
      <c r="AE5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530="CERRADO",1,IF(V530="BRONCE",_xlpm.cPl,IF(V530="PLATA",_xlpm.cO,IF(V530="ORO",_xlpm.cP,IF(V530="PLATINO",_xlpm.cD,999))))))</f>
        <v>96.054919694466676</v>
      </c>
      <c r="AF5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530="CERRADO",0,IF(V530="BRONCE",1,IF(V530="PLATA",_xlpm.cPl,IF(V530="ORO",_xlpm.cO,IF(V530="PLATINO",_xlpm.cP,_xlpm.cD))))))</f>
        <v>86.439123873763251</v>
      </c>
      <c r="AG530">
        <f t="shared" si="202"/>
        <v>7.968636497980512</v>
      </c>
      <c r="AH530" t="str">
        <f t="shared" si="203"/>
        <v>VENTAS</v>
      </c>
      <c r="AI530" t="str">
        <f t="shared" si="200"/>
        <v>🎯 Para subir de categoría, eje VENTAS / IMPACTO ABSOLUTO (H). Acción: metas semanales + activación comercial + seguimiento del asesor. ΔR aprox: 8,0</v>
      </c>
      <c r="AJ530" s="26">
        <f>_xlfn.LET(_xlpm.piso,AF530,_xlpm.corte,AE530,_xlpm.prog,IF(_xlpm.corte&lt;=_xlpm.piso,0,MAX(0,MIN(1,(U530-_xlpm.piso)/(_xlpm.corte-_xlpm.piso)))),_xlpm.orden,{"DIAMANTE";"PLATINO";"ORO";"PLATA";"BRONCE";"CERRADO"},_xlpm.act,IFERROR(MATCH(V530,_xlpm.orden,0),6),_xlpm.ant,IFERROR(MATCH(W530,_xlpm.orden,0),6),_xlpm.ajmov,IF(_xlpm.act&lt;_xlpm.ant,0.08,IF(_xlpm.act&gt;_xlpm.ant,-0.08,0)),_xlpm.ajcli,IF(T530&lt;0.95,-0.06,0),_xlpm.prob,MAX(0,MIN(1,_xlpm.prog+_xlpm.ajmov+_xlpm.ajcli)),IF(OR(V530="DIAMANTE",V530="CERRADO"),0,ROUND(_xlpm.prob,2)))</f>
        <v>0.25</v>
      </c>
      <c r="AK530" t="str">
        <f t="shared" si="204"/>
        <v>Faltan 8,0 puntos base para subir a la siguiente categoría</v>
      </c>
      <c r="AL530" t="str">
        <f t="shared" si="205"/>
        <v>Margen de seguridad: 1,6 puntos</v>
      </c>
      <c r="AM530">
        <f t="shared" si="206"/>
        <v>0.62</v>
      </c>
      <c r="AN530" t="str">
        <f t="shared" si="207"/>
        <v>PRIORIDAD MEDIA – seguimiento del asesor</v>
      </c>
      <c r="AO530">
        <f t="shared" si="208"/>
        <v>9.2146237804247022</v>
      </c>
      <c r="AP530">
        <f t="shared" si="209"/>
        <v>0.36166229838471331</v>
      </c>
      <c r="AQ530">
        <f t="shared" si="210"/>
        <v>0</v>
      </c>
      <c r="AR530">
        <f t="shared" si="211"/>
        <v>2.1999999999999993</v>
      </c>
      <c r="AS530">
        <f t="shared" si="212"/>
        <v>0</v>
      </c>
      <c r="AT530" t="str">
        <f t="shared" si="213"/>
        <v>VENTAS</v>
      </c>
      <c r="AU530">
        <f t="shared" si="214"/>
        <v>9.2146237804247022</v>
      </c>
      <c r="AV530" t="str">
        <f t="shared" si="215"/>
        <v>Mayor retorno probable: VENTAS (+9,2 puntos finales potenciales).</v>
      </c>
    </row>
    <row r="531" spans="1:48" x14ac:dyDescent="0.3">
      <c r="A531" s="5">
        <v>51001427</v>
      </c>
      <c r="B531" s="5" t="str">
        <f>IFERROR(VLOOKUP(A531,VENTAS!$A$2:$B$1194,2,0),"")</f>
        <v>BELUZZO</v>
      </c>
      <c r="C531" s="5">
        <f>IFERROR(INDEX(VENTAS!$C$2:$E$1194,MATCH(A531,VENTAS!$A$2:$A$1194,0),MATCH(PARAMS_MODELO!$B$2,{"Q1","Q2","Q3"},0)),0)</f>
        <v>52084187.609999999</v>
      </c>
      <c r="D531" s="5">
        <f>IFERROR(INDEX(VENTAS!$F$2:$H$1194,MATCH(A531,VENTAS!$A$2:$A$1194,0),MATCH(PARAMS_MODELO!$B$2,{"Q1","Q2","Q3"},0)),0)</f>
        <v>73829650</v>
      </c>
      <c r="E531" s="8">
        <f t="shared" si="192"/>
        <v>0.41750602990733676</v>
      </c>
      <c r="F531" s="12">
        <f>IF(E531&lt;=PARAMS_MODELO!$B$15,0,IF(E531&gt;=PARAMS_MODELO!$B$17,100,100*MIN(1,(E531-PARAMS_MODELO!$B$15)/(PARAMS_MODELO!$B$16-PARAMS_MODELO!$B$15))))*PARAMS_MODELO!$B$7</f>
        <v>35</v>
      </c>
      <c r="G531" s="5">
        <f t="shared" si="193"/>
        <v>21745462.390000001</v>
      </c>
      <c r="H531" s="5">
        <f>(PARAMS_MODELO!$B$20*(MAX(0,MIN(3,E531))/3)+PARAMS_MODELO!$B$21*(IFERROR(LN(1+MAX(0,G531))/LN(1+MAX(0,MAX($G$2:$G$1194))),0)))*100*PARAMS_MODELO!$B$8</f>
        <v>5.4216752127743817</v>
      </c>
      <c r="I531" s="8">
        <f>E531-PARAMS_MODELO!$B$5</f>
        <v>0.23994319453181023</v>
      </c>
      <c r="J531" s="5">
        <f>IF(I531&lt;=PARAMS_MODELO!$B$18,0,IF(I531&gt;=PARAMS_MODELO!$B$19,100,100*(I531-PARAMS_MODELO!$B$18)/(PARAMS_MODELO!$B$19-PARAMS_MODELO!$B$18)))*PARAMS_MODELO!$B$9</f>
        <v>15</v>
      </c>
      <c r="K531" s="5">
        <f>IFERROR(CHOOSE(MATCH(PARAMS_MODELO!$B$2,{"Q1","Q2","Q3"},0),LOTO!$D531,LOTO!$F531,LOTO!$H531),0)</f>
        <v>3605000</v>
      </c>
      <c r="L531" s="8">
        <f t="shared" si="194"/>
        <v>4.8828621021500172E-2</v>
      </c>
      <c r="M531" s="5">
        <f>MIN(100,IF(PARAMS_MODELO!$B$23=0,0,100*L531/PARAMS_MODELO!$B$23))*PARAMS_MODELO!$B$10</f>
        <v>14.648586306450053</v>
      </c>
      <c r="N531" s="5">
        <f>IFERROR(VLOOKUP(A531,COMPLIANCE!$A$2:$F$1996,6,0),100)</f>
        <v>99.98</v>
      </c>
      <c r="O531" s="5">
        <f>N531*PARAMS_MODELO!$B$11</f>
        <v>9.9980000000000011</v>
      </c>
      <c r="P531" s="5">
        <f>IFERROR(VLOOKUP(A531,DIGITAL!$A$2:$J$2000,7,0),100)</f>
        <v>26</v>
      </c>
      <c r="Q531" s="5">
        <f>IFERROR(P531,0)*PARAMS_MODELO!$B$12</f>
        <v>2.6</v>
      </c>
      <c r="R531">
        <f t="shared" si="195"/>
        <v>82.66826151922443</v>
      </c>
      <c r="S531" s="5" t="str">
        <f>IFERROR(VLOOKUP(A531,CLIENTE!$A$2:$N$2000,13,0),1)</f>
        <v>Regular</v>
      </c>
      <c r="T531" s="5">
        <f>IFERROR(VLOOKUP(A531,CLIENTE!$A$2:$N$2000,14,0),1)</f>
        <v>1</v>
      </c>
      <c r="U531" s="5">
        <f t="shared" si="196"/>
        <v>82.66826151922443</v>
      </c>
      <c r="V531" s="5" t="str">
        <f>IF(U531&gt;=MAX(_xlfn.PERCENTILE.INC($U$2:$U$1194,PARAMS_MODELO!$B$50),PARAMS_MODELO!$B$45),"DIAMANTE",IF(U531&gt;=MAX(_xlfn.PERCENTILE.INC($U$2:$U$1194,PARAMS_MODELO!$B$51),PARAMS_MODELO!$B$46),"PLATINO",IF(U531&gt;=MAX(_xlfn.PERCENTILE.INC($U$2:$U$1194,PARAMS_MODELO!$B$52),PARAMS_MODELO!$B$47),"ORO",IF(U531&gt;=MAX(_xlfn.PERCENTILE.INC($U$2:$U$1194,PARAMS_MODELO!$B$53),PARAMS_MODELO!$B$48),"PLATA",IF(U531&gt;=1,"BRONCE","CERRADO")))))</f>
        <v>ORO</v>
      </c>
      <c r="W531" s="5" t="str" cm="1">
        <f t="array" ref="W531">_xlfn.XLOOKUP(1, (HIST_SCORE!$B:$B=PARAMS_MODELO!$B$4) * (HIST_SCORE!$C:$C=A531), HIST_SCORE!$E:$E, "No encontrado")</f>
        <v>ORO</v>
      </c>
      <c r="X531" s="5" t="str">
        <f>_xlfn.LET(_xlpm.act,MATCH(V531,{"DIAMANTE";"PLATINO";"ORO";"PLATA";"BRONCE";"CERRADO"},0),_xlpm.ant,MATCH(W531,{"DIAMANTE";"PLATINO";"ORO";"PLATA";"BRONCE";"CERRADO"},0),IF(_xlpm.act&lt;_xlpm.ant,"Mejora ↑",IF(_xlpm.act&gt;_xlpm.ant,"Baja ↓","Estable →")))</f>
        <v>Estable →</v>
      </c>
      <c r="Y531" s="5">
        <f>IFERROR(U531-SUMIFS(HIST_SCORE!$D:$D,HIST_SCORE!$B:$B,PARAMS_MODELO!$B$4,HIST_SCORE!$C:$C,$A531),"")</f>
        <v>0.27530345281587643</v>
      </c>
      <c r="Z531" s="5" t="str">
        <f t="shared" si="197"/>
        <v>→ Estable</v>
      </c>
      <c r="AA531" s="5">
        <f t="shared" si="198"/>
        <v>369</v>
      </c>
      <c r="AB531" s="5">
        <f>IFERROR(SUMIFS(HIST_SCORE!$F:$F,HIST_SCORE!$B:$B,PARAMS_MODELO!$B$4,HIST_SCORE!$C:$C,$A531),"")</f>
        <v>353</v>
      </c>
      <c r="AC531" s="5">
        <f t="shared" si="199"/>
        <v>-16</v>
      </c>
      <c r="AD531" t="str">
        <f t="shared" si="201"/>
        <v/>
      </c>
      <c r="AE5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531="CERRADO",1,IF(V531="BRONCE",_xlpm.cPl,IF(V531="PLATA",_xlpm.cO,IF(V531="ORO",_xlpm.cP,IF(V531="PLATINO",_xlpm.cD,999))))))</f>
        <v>86.439123873763251</v>
      </c>
      <c r="AF5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531="CERRADO",0,IF(V531="BRONCE",1,IF(V531="PLATA",_xlpm.cPl,IF(V531="ORO",_xlpm.cO,IF(V531="PLATINO",_xlpm.cP,_xlpm.cD))))))</f>
        <v>63.199193273331495</v>
      </c>
      <c r="AG531">
        <f t="shared" si="202"/>
        <v>3.7708623545388207</v>
      </c>
      <c r="AH531" t="str">
        <f t="shared" si="203"/>
        <v>VENTAS</v>
      </c>
      <c r="AI531" t="str">
        <f t="shared" si="200"/>
        <v>🎯 Para subir de categoría, eje VENTAS / IMPACTO ABSOLUTO (H). Acción: metas semanales + activación comercial + seguimiento del asesor. ΔR aprox: 3,8</v>
      </c>
      <c r="AJ531" s="26">
        <f>_xlfn.LET(_xlpm.piso,AF531,_xlpm.corte,AE531,_xlpm.prog,IF(_xlpm.corte&lt;=_xlpm.piso,0,MAX(0,MIN(1,(U531-_xlpm.piso)/(_xlpm.corte-_xlpm.piso)))),_xlpm.orden,{"DIAMANTE";"PLATINO";"ORO";"PLATA";"BRONCE";"CERRADO"},_xlpm.act,IFERROR(MATCH(V531,_xlpm.orden,0),6),_xlpm.ant,IFERROR(MATCH(W531,_xlpm.orden,0),6),_xlpm.ajmov,IF(_xlpm.act&lt;_xlpm.ant,0.08,IF(_xlpm.act&gt;_xlpm.ant,-0.08,0)),_xlpm.ajcli,IF(T531&lt;0.95,-0.06,0),_xlpm.prob,MAX(0,MIN(1,_xlpm.prog+_xlpm.ajmov+_xlpm.ajcli)),IF(OR(V531="DIAMANTE",V531="CERRADO"),0,ROUND(_xlpm.prob,2)))</f>
        <v>0.84</v>
      </c>
      <c r="AK531" t="str">
        <f t="shared" si="204"/>
        <v>Faltan 3,8 puntos base para subir a la siguiente categoría</v>
      </c>
      <c r="AL531" t="str">
        <f t="shared" si="205"/>
        <v>Margen de seguridad: 19,5 puntos</v>
      </c>
      <c r="AM531">
        <f t="shared" si="206"/>
        <v>0.21</v>
      </c>
      <c r="AN531" t="str">
        <f t="shared" si="207"/>
        <v>PRIORIDAD BAJA – control normal</v>
      </c>
      <c r="AO531">
        <f t="shared" si="208"/>
        <v>9.4408940625212026</v>
      </c>
      <c r="AP531">
        <f t="shared" si="209"/>
        <v>0.35141369354994723</v>
      </c>
      <c r="AQ531">
        <f t="shared" si="210"/>
        <v>1.9999999999988916E-3</v>
      </c>
      <c r="AR531">
        <f t="shared" si="211"/>
        <v>7.4</v>
      </c>
      <c r="AS531">
        <f t="shared" si="212"/>
        <v>0</v>
      </c>
      <c r="AT531" t="str">
        <f t="shared" si="213"/>
        <v>VENTAS</v>
      </c>
      <c r="AU531">
        <f t="shared" si="214"/>
        <v>9.4408940625212026</v>
      </c>
      <c r="AV531" t="str">
        <f t="shared" si="215"/>
        <v>Mayor retorno probable: VENTAS (+9,4 puntos finales potenciales).</v>
      </c>
    </row>
    <row r="532" spans="1:48" x14ac:dyDescent="0.3">
      <c r="A532" s="5">
        <v>51010272</v>
      </c>
      <c r="B532" s="5" t="str">
        <f>IFERROR(VLOOKUP(A532,VENTAS!$A$2:$B$1194,2,0),"")</f>
        <v>ROBERTS</v>
      </c>
      <c r="C532" s="5">
        <f>IFERROR(INDEX(VENTAS!$C$2:$E$1194,MATCH(A532,VENTAS!$A$2:$A$1194,0),MATCH(PARAMS_MODELO!$B$2,{"Q1","Q2","Q3"},0)),0)</f>
        <v>48639237.93</v>
      </c>
      <c r="D532" s="5">
        <f>IFERROR(INDEX(VENTAS!$F$2:$H$1194,MATCH(A532,VENTAS!$A$2:$A$1194,0),MATCH(PARAMS_MODELO!$B$2,{"Q1","Q2","Q3"},0)),0)</f>
        <v>73811229</v>
      </c>
      <c r="E532" s="8">
        <f t="shared" si="192"/>
        <v>0.51752437211756286</v>
      </c>
      <c r="F532" s="12">
        <f>IF(E532&lt;=PARAMS_MODELO!$B$15,0,IF(E532&gt;=PARAMS_MODELO!$B$17,100,100*MIN(1,(E532-PARAMS_MODELO!$B$15)/(PARAMS_MODELO!$B$16-PARAMS_MODELO!$B$15))))*PARAMS_MODELO!$B$7</f>
        <v>35</v>
      </c>
      <c r="G532" s="5">
        <f t="shared" si="193"/>
        <v>25171991.07</v>
      </c>
      <c r="H532" s="5">
        <f>(PARAMS_MODELO!$B$20*(MAX(0,MIN(3,E532))/3)+PARAMS_MODELO!$B$21*(IFERROR(LN(1+MAX(0,G532))/LN(1+MAX(0,MAX($G$2:$G$1194))),0)))*100*PARAMS_MODELO!$B$8</f>
        <v>5.8060404539934272</v>
      </c>
      <c r="I532" s="8">
        <f>E532-PARAMS_MODELO!$B$5</f>
        <v>0.33996153674203633</v>
      </c>
      <c r="J532" s="5">
        <f>IF(I532&lt;=PARAMS_MODELO!$B$18,0,IF(I532&gt;=PARAMS_MODELO!$B$19,100,100*(I532-PARAMS_MODELO!$B$18)/(PARAMS_MODELO!$B$19-PARAMS_MODELO!$B$18)))*PARAMS_MODELO!$B$9</f>
        <v>15</v>
      </c>
      <c r="K532" s="5">
        <f>IFERROR(CHOOSE(MATCH(PARAMS_MODELO!$B$2,{"Q1","Q2","Q3"},0),LOTO!$D532,LOTO!$F532,LOTO!$H532),0)</f>
        <v>3605000</v>
      </c>
      <c r="L532" s="8">
        <f t="shared" si="194"/>
        <v>4.8840807135185349E-2</v>
      </c>
      <c r="M532" s="5">
        <f>MIN(100,IF(PARAMS_MODELO!$B$23=0,0,100*L532/PARAMS_MODELO!$B$23))*PARAMS_MODELO!$B$10</f>
        <v>14.652242140555602</v>
      </c>
      <c r="N532" s="5">
        <f>IFERROR(VLOOKUP(A532,COMPLIANCE!$A$2:$F$1996,6,0),100)</f>
        <v>99.98</v>
      </c>
      <c r="O532" s="5">
        <f>N532*PARAMS_MODELO!$B$11</f>
        <v>9.9980000000000011</v>
      </c>
      <c r="P532" s="5">
        <f>IFERROR(VLOOKUP(A532,DIGITAL!$A$2:$J$2000,7,0),100)</f>
        <v>91</v>
      </c>
      <c r="Q532" s="5">
        <f>IFERROR(P532,0)*PARAMS_MODELO!$B$12</f>
        <v>9.1</v>
      </c>
      <c r="R532">
        <f t="shared" si="195"/>
        <v>89.556282594549032</v>
      </c>
      <c r="S532" s="5" t="str">
        <f>IFERROR(VLOOKUP(A532,CLIENTE!$A$2:$N$2000,13,0),1)</f>
        <v>Bueno</v>
      </c>
      <c r="T532" s="5">
        <f>IFERROR(VLOOKUP(A532,CLIENTE!$A$2:$N$2000,14,0),1)</f>
        <v>1.1000000000000001</v>
      </c>
      <c r="U532" s="5">
        <f t="shared" si="196"/>
        <v>98.511910854003943</v>
      </c>
      <c r="V532" s="5" t="str">
        <f>IF(U532&gt;=MAX(_xlfn.PERCENTILE.INC($U$2:$U$1194,PARAMS_MODELO!$B$50),PARAMS_MODELO!$B$45),"DIAMANTE",IF(U532&gt;=MAX(_xlfn.PERCENTILE.INC($U$2:$U$1194,PARAMS_MODELO!$B$51),PARAMS_MODELO!$B$46),"PLATINO",IF(U532&gt;=MAX(_xlfn.PERCENTILE.INC($U$2:$U$1194,PARAMS_MODELO!$B$52),PARAMS_MODELO!$B$47),"ORO",IF(U532&gt;=MAX(_xlfn.PERCENTILE.INC($U$2:$U$1194,PARAMS_MODELO!$B$53),PARAMS_MODELO!$B$48),"PLATA",IF(U532&gt;=1,"BRONCE","CERRADO")))))</f>
        <v>DIAMANTE</v>
      </c>
      <c r="W532" s="5" t="str" cm="1">
        <f t="array" ref="W532">_xlfn.XLOOKUP(1, (HIST_SCORE!$B:$B=PARAMS_MODELO!$B$4) * (HIST_SCORE!$C:$C=A532), HIST_SCORE!$E:$E, "No encontrado")</f>
        <v>DIAMANTE</v>
      </c>
      <c r="X532" s="5" t="str">
        <f>_xlfn.LET(_xlpm.act,MATCH(V532,{"DIAMANTE";"PLATINO";"ORO";"PLATA";"BRONCE";"CERRADO"},0),_xlpm.ant,MATCH(W532,{"DIAMANTE";"PLATINO";"ORO";"PLATA";"BRONCE";"CERRADO"},0),IF(_xlpm.act&lt;_xlpm.ant,"Mejora ↑",IF(_xlpm.act&gt;_xlpm.ant,"Baja ↓","Estable →")))</f>
        <v>Estable →</v>
      </c>
      <c r="Y532" s="5">
        <f>IFERROR(U532-SUMIFS(HIST_SCORE!$D:$D,HIST_SCORE!$B:$B,PARAMS_MODELO!$B$4,HIST_SCORE!$C:$C,$A532),"")</f>
        <v>0.22603584857205306</v>
      </c>
      <c r="Z532" s="5" t="str">
        <f t="shared" si="197"/>
        <v>→ Estable</v>
      </c>
      <c r="AA532" s="5">
        <f t="shared" si="198"/>
        <v>30</v>
      </c>
      <c r="AB532" s="5">
        <f>IFERROR(SUMIFS(HIST_SCORE!$F:$F,HIST_SCORE!$B:$B,PARAMS_MODELO!$B$4,HIST_SCORE!$C:$C,$A532),"")</f>
        <v>28</v>
      </c>
      <c r="AC532" s="5">
        <f t="shared" si="199"/>
        <v>-2</v>
      </c>
      <c r="AD532" t="str">
        <f t="shared" si="201"/>
        <v/>
      </c>
      <c r="AE5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532="CERRADO",1,IF(V532="BRONCE",_xlpm.cPl,IF(V532="PLATA",_xlpm.cO,IF(V532="ORO",_xlpm.cP,IF(V532="PLATINO",_xlpm.cD,999))))))</f>
        <v>999</v>
      </c>
      <c r="AF5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532="CERRADO",0,IF(V532="BRONCE",1,IF(V532="PLATA",_xlpm.cPl,IF(V532="ORO",_xlpm.cO,IF(V532="PLATINO",_xlpm.cP,_xlpm.cD))))))</f>
        <v>96.054919694466676</v>
      </c>
      <c r="AG532">
        <f t="shared" si="202"/>
        <v>818.62553558726904</v>
      </c>
      <c r="AH532" t="str">
        <f t="shared" si="203"/>
        <v>SOSTENER</v>
      </c>
      <c r="AI532" t="str">
        <f t="shared" si="200"/>
        <v>✅ Mantener desempeño y monitorear variaciones para sostener categoría.</v>
      </c>
      <c r="AJ532" s="26">
        <f>_xlfn.LET(_xlpm.piso,AF532,_xlpm.corte,AE532,_xlpm.prog,IF(_xlpm.corte&lt;=_xlpm.piso,0,MAX(0,MIN(1,(U532-_xlpm.piso)/(_xlpm.corte-_xlpm.piso)))),_xlpm.orden,{"DIAMANTE";"PLATINO";"ORO";"PLATA";"BRONCE";"CERRADO"},_xlpm.act,IFERROR(MATCH(V532,_xlpm.orden,0),6),_xlpm.ant,IFERROR(MATCH(W532,_xlpm.orden,0),6),_xlpm.ajmov,IF(_xlpm.act&lt;_xlpm.ant,0.08,IF(_xlpm.act&gt;_xlpm.ant,-0.08,0)),_xlpm.ajcli,IF(T532&lt;0.95,-0.06,0),_xlpm.prob,MAX(0,MIN(1,_xlpm.prog+_xlpm.ajmov+_xlpm.ajcli)),IF(OR(V532="DIAMANTE",V532="CERRADO"),0,ROUND(_xlpm.prob,2)))</f>
        <v>0</v>
      </c>
      <c r="AK532" t="str">
        <f t="shared" si="204"/>
        <v>No aplica</v>
      </c>
      <c r="AL532" t="str">
        <f t="shared" si="205"/>
        <v>Margen de seguridad: 2,5 puntos</v>
      </c>
      <c r="AM532">
        <f t="shared" si="206"/>
        <v>0.8</v>
      </c>
      <c r="AN532" t="str">
        <f t="shared" si="207"/>
        <v>PRIORIDAD ALTA – requiere intervención inmediata</v>
      </c>
      <c r="AO532">
        <f t="shared" si="208"/>
        <v>9.9621817034323747</v>
      </c>
      <c r="AP532">
        <f t="shared" si="209"/>
        <v>0.38253364538883777</v>
      </c>
      <c r="AQ532">
        <f t="shared" si="210"/>
        <v>2.1999999999987811E-3</v>
      </c>
      <c r="AR532">
        <f t="shared" si="211"/>
        <v>0.99000000000000044</v>
      </c>
      <c r="AS532">
        <f t="shared" si="212"/>
        <v>0</v>
      </c>
      <c r="AT532" t="str">
        <f t="shared" si="213"/>
        <v>VENTAS</v>
      </c>
      <c r="AU532">
        <f t="shared" si="214"/>
        <v>9.9621817034323747</v>
      </c>
      <c r="AV532" t="str">
        <f t="shared" si="215"/>
        <v>Mayor retorno probable: VENTAS (+10,0 puntos finales potenciales).</v>
      </c>
    </row>
    <row r="533" spans="1:48" x14ac:dyDescent="0.3">
      <c r="A533" s="5">
        <v>51056451</v>
      </c>
      <c r="B533" s="5" t="str">
        <f>IFERROR(VLOOKUP(A533,VENTAS!$A$2:$B$1194,2,0),"")</f>
        <v>METTLER</v>
      </c>
      <c r="C533" s="5">
        <f>IFERROR(INDEX(VENTAS!$C$2:$E$1194,MATCH(A533,VENTAS!$A$2:$A$1194,0),MATCH(PARAMS_MODELO!$B$2,{"Q1","Q2","Q3"},0)),0)</f>
        <v>57064248.43</v>
      </c>
      <c r="D533" s="5">
        <f>IFERROR(INDEX(VENTAS!$F$2:$H$1194,MATCH(A533,VENTAS!$A$2:$A$1194,0),MATCH(PARAMS_MODELO!$B$2,{"Q1","Q2","Q3"},0)),0)</f>
        <v>73753477</v>
      </c>
      <c r="E533" s="8">
        <f t="shared" si="192"/>
        <v>0.29246382856461284</v>
      </c>
      <c r="F533" s="12">
        <f>IF(E533&lt;=PARAMS_MODELO!$B$15,0,IF(E533&gt;=PARAMS_MODELO!$B$17,100,100*MIN(1,(E533-PARAMS_MODELO!$B$15)/(PARAMS_MODELO!$B$16-PARAMS_MODELO!$B$15))))*PARAMS_MODELO!$B$7</f>
        <v>35</v>
      </c>
      <c r="G533" s="5">
        <f t="shared" si="193"/>
        <v>16689228.57</v>
      </c>
      <c r="H533" s="5">
        <f>(PARAMS_MODELO!$B$20*(MAX(0,MIN(3,E533))/3)+PARAMS_MODELO!$B$21*(IFERROR(LN(1+MAX(0,G533))/LN(1+MAX(0,MAX($G$2:$G$1194))),0)))*100*PARAMS_MODELO!$B$8</f>
        <v>4.9219918270080516</v>
      </c>
      <c r="I533" s="8">
        <f>E533-PARAMS_MODELO!$B$5</f>
        <v>0.11490099318908631</v>
      </c>
      <c r="J533" s="5">
        <f>IF(I533&lt;=PARAMS_MODELO!$B$18,0,IF(I533&gt;=PARAMS_MODELO!$B$19,100,100*(I533-PARAMS_MODELO!$B$18)/(PARAMS_MODELO!$B$19-PARAMS_MODELO!$B$18)))*PARAMS_MODELO!$B$9</f>
        <v>15</v>
      </c>
      <c r="K533" s="5">
        <f>IFERROR(CHOOSE(MATCH(PARAMS_MODELO!$B$2,{"Q1","Q2","Q3"},0),LOTO!$D533,LOTO!$F533,LOTO!$H533),0)</f>
        <v>3602500</v>
      </c>
      <c r="L533" s="8">
        <f t="shared" si="194"/>
        <v>4.8845154785041527E-2</v>
      </c>
      <c r="M533" s="5">
        <f>MIN(100,IF(PARAMS_MODELO!$B$23=0,0,100*L533/PARAMS_MODELO!$B$23))*PARAMS_MODELO!$B$10</f>
        <v>14.653546435512457</v>
      </c>
      <c r="N533" s="5">
        <f>IFERROR(VLOOKUP(A533,COMPLIANCE!$A$2:$F$1996,6,0),100)</f>
        <v>99.43</v>
      </c>
      <c r="O533" s="5">
        <f>N533*PARAMS_MODELO!$B$11</f>
        <v>9.9430000000000014</v>
      </c>
      <c r="P533" s="5">
        <f>IFERROR(VLOOKUP(A533,DIGITAL!$A$2:$J$2000,7,0),100)</f>
        <v>37</v>
      </c>
      <c r="Q533" s="5">
        <f>IFERROR(P533,0)*PARAMS_MODELO!$B$12</f>
        <v>3.7</v>
      </c>
      <c r="R533">
        <f t="shared" si="195"/>
        <v>83.218538262520511</v>
      </c>
      <c r="S533" s="5" t="str">
        <f>IFERROR(VLOOKUP(A533,CLIENTE!$A$2:$N$2000,13,0),1)</f>
        <v>Malo</v>
      </c>
      <c r="T533" s="5">
        <f>IFERROR(VLOOKUP(A533,CLIENTE!$A$2:$N$2000,14,0),1)</f>
        <v>0.7</v>
      </c>
      <c r="U533" s="5">
        <f t="shared" si="196"/>
        <v>58.252976783764353</v>
      </c>
      <c r="V533" s="5" t="str">
        <f>IF(U533&gt;=MAX(_xlfn.PERCENTILE.INC($U$2:$U$1194,PARAMS_MODELO!$B$50),PARAMS_MODELO!$B$45),"DIAMANTE",IF(U533&gt;=MAX(_xlfn.PERCENTILE.INC($U$2:$U$1194,PARAMS_MODELO!$B$51),PARAMS_MODELO!$B$46),"PLATINO",IF(U533&gt;=MAX(_xlfn.PERCENTILE.INC($U$2:$U$1194,PARAMS_MODELO!$B$52),PARAMS_MODELO!$B$47),"ORO",IF(U533&gt;=MAX(_xlfn.PERCENTILE.INC($U$2:$U$1194,PARAMS_MODELO!$B$53),PARAMS_MODELO!$B$48),"PLATA",IF(U533&gt;=1,"BRONCE","CERRADO")))))</f>
        <v>PLATA</v>
      </c>
      <c r="W533" s="5" t="str" cm="1">
        <f t="array" ref="W533">_xlfn.XLOOKUP(1, (HIST_SCORE!$B:$B=PARAMS_MODELO!$B$4) * (HIST_SCORE!$C:$C=A533), HIST_SCORE!$E:$E, "No encontrado")</f>
        <v>PLATA</v>
      </c>
      <c r="X533" s="5" t="str">
        <f>_xlfn.LET(_xlpm.act,MATCH(V533,{"DIAMANTE";"PLATINO";"ORO";"PLATA";"BRONCE";"CERRADO"},0),_xlpm.ant,MATCH(W533,{"DIAMANTE";"PLATINO";"ORO";"PLATA";"BRONCE";"CERRADO"},0),IF(_xlpm.act&lt;_xlpm.ant,"Mejora ↑",IF(_xlpm.act&gt;_xlpm.ant,"Baja ↓","Estable →")))</f>
        <v>Estable →</v>
      </c>
      <c r="Y533" s="5">
        <f>IFERROR(U533-SUMIFS(HIST_SCORE!$D:$D,HIST_SCORE!$B:$B,PARAMS_MODELO!$B$4,HIST_SCORE!$C:$C,$A533),"")</f>
        <v>-0.33096163854240501</v>
      </c>
      <c r="Z533" s="5" t="str">
        <f t="shared" si="197"/>
        <v>→ Estable</v>
      </c>
      <c r="AA533" s="5">
        <f t="shared" si="198"/>
        <v>652</v>
      </c>
      <c r="AB533" s="5">
        <f>IFERROR(SUMIFS(HIST_SCORE!$F:$F,HIST_SCORE!$B:$B,PARAMS_MODELO!$B$4,HIST_SCORE!$C:$C,$A533),"")</f>
        <v>670</v>
      </c>
      <c r="AC533" s="5">
        <f t="shared" si="199"/>
        <v>18</v>
      </c>
      <c r="AD533" t="str">
        <f t="shared" si="201"/>
        <v/>
      </c>
      <c r="AE5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533="CERRADO",1,IF(V533="BRONCE",_xlpm.cPl,IF(V533="PLATA",_xlpm.cO,IF(V533="ORO",_xlpm.cP,IF(V533="PLATINO",_xlpm.cD,999))))))</f>
        <v>63.199193273331495</v>
      </c>
      <c r="AF5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533="CERRADO",0,IF(V533="BRONCE",1,IF(V533="PLATA",_xlpm.cPl,IF(V533="ORO",_xlpm.cO,IF(V533="PLATINO",_xlpm.cP,_xlpm.cD))))))</f>
        <v>24.506573482968111</v>
      </c>
      <c r="AG533">
        <f t="shared" si="202"/>
        <v>7.0660235565244847</v>
      </c>
      <c r="AH533" t="str">
        <f t="shared" si="203"/>
        <v>CLIENTE</v>
      </c>
      <c r="AI533" t="str">
        <f t="shared" si="200"/>
        <v>🎯 Para subir de categoría, la eje con mayor impacto probable es CLIENTE (coef T). Acción: reducir quejas, mejorar incógnito y empujar reseñas. ΔR aprox: 7,1</v>
      </c>
      <c r="AJ533" s="26">
        <f>_xlfn.LET(_xlpm.piso,AF533,_xlpm.corte,AE533,_xlpm.prog,IF(_xlpm.corte&lt;=_xlpm.piso,0,MAX(0,MIN(1,(U533-_xlpm.piso)/(_xlpm.corte-_xlpm.piso)))),_xlpm.orden,{"DIAMANTE";"PLATINO";"ORO";"PLATA";"BRONCE";"CERRADO"},_xlpm.act,IFERROR(MATCH(V533,_xlpm.orden,0),6),_xlpm.ant,IFERROR(MATCH(W533,_xlpm.orden,0),6),_xlpm.ajmov,IF(_xlpm.act&lt;_xlpm.ant,0.08,IF(_xlpm.act&gt;_xlpm.ant,-0.08,0)),_xlpm.ajcli,IF(T533&lt;0.95,-0.06,0),_xlpm.prob,MAX(0,MIN(1,_xlpm.prog+_xlpm.ajmov+_xlpm.ajcli)),IF(OR(V533="DIAMANTE",V533="CERRADO"),0,ROUND(_xlpm.prob,2)))</f>
        <v>0.81</v>
      </c>
      <c r="AK533" t="str">
        <f t="shared" si="204"/>
        <v>Faltan 7,1 puntos base para subir a la siguiente categoría</v>
      </c>
      <c r="AL533" t="str">
        <f t="shared" si="205"/>
        <v>Margen de seguridad: 33,7 puntos</v>
      </c>
      <c r="AM533">
        <f t="shared" si="206"/>
        <v>0.56000000000000005</v>
      </c>
      <c r="AN533" t="str">
        <f t="shared" si="207"/>
        <v>PRIORIDAD MEDIA – seguimiento del asesor</v>
      </c>
      <c r="AO533">
        <f t="shared" si="208"/>
        <v>6.9584042138012734</v>
      </c>
      <c r="AP533">
        <f t="shared" si="209"/>
        <v>0.24251749514128026</v>
      </c>
      <c r="AQ533">
        <f t="shared" si="210"/>
        <v>3.989999999999902E-2</v>
      </c>
      <c r="AR533">
        <f t="shared" si="211"/>
        <v>4.4099999999999993</v>
      </c>
      <c r="AS533">
        <f t="shared" si="212"/>
        <v>24.965561478756157</v>
      </c>
      <c r="AT533" t="str">
        <f t="shared" si="213"/>
        <v>CLIENTE</v>
      </c>
      <c r="AU533">
        <f t="shared" si="214"/>
        <v>24.965561478756157</v>
      </c>
      <c r="AV533" t="str">
        <f t="shared" si="215"/>
        <v>Mayor retorno probable: CLIENTE (+25,0 puntos finales potenciales).</v>
      </c>
    </row>
    <row r="534" spans="1:48" x14ac:dyDescent="0.3">
      <c r="A534" s="5">
        <v>51018907</v>
      </c>
      <c r="B534" s="5" t="str">
        <f>IFERROR(VLOOKUP(A534,VENTAS!$A$2:$B$1194,2,0),"")</f>
        <v>ROBERTS</v>
      </c>
      <c r="C534" s="5">
        <f>IFERROR(INDEX(VENTAS!$C$2:$E$1194,MATCH(A534,VENTAS!$A$2:$A$1194,0),MATCH(PARAMS_MODELO!$B$2,{"Q1","Q2","Q3"},0)),0)</f>
        <v>64149968.560000002</v>
      </c>
      <c r="D534" s="5">
        <f>IFERROR(INDEX(VENTAS!$F$2:$H$1194,MATCH(A534,VENTAS!$A$2:$A$1194,0),MATCH(PARAMS_MODELO!$B$2,{"Q1","Q2","Q3"},0)),0)</f>
        <v>73705899</v>
      </c>
      <c r="E534" s="8">
        <f t="shared" si="192"/>
        <v>0.14896235578139461</v>
      </c>
      <c r="F534" s="12">
        <f>IF(E534&lt;=PARAMS_MODELO!$B$15,0,IF(E534&gt;=PARAMS_MODELO!$B$17,100,100*MIN(1,(E534-PARAMS_MODELO!$B$15)/(PARAMS_MODELO!$B$16-PARAMS_MODELO!$B$15))))*PARAMS_MODELO!$B$7</f>
        <v>35</v>
      </c>
      <c r="G534" s="5">
        <f t="shared" si="193"/>
        <v>9555930.4399999976</v>
      </c>
      <c r="H534" s="5">
        <f>(PARAMS_MODELO!$B$20*(MAX(0,MIN(3,E534))/3)+PARAMS_MODELO!$B$21*(IFERROR(LN(1+MAX(0,G534))/LN(1+MAX(0,MAX($G$2:$G$1194))),0)))*100*PARAMS_MODELO!$B$8</f>
        <v>4.2890270913467408</v>
      </c>
      <c r="I534" s="8">
        <f>E534-PARAMS_MODELO!$B$5</f>
        <v>-2.8600479594131922E-2</v>
      </c>
      <c r="J534" s="5">
        <f>IF(I534&lt;=PARAMS_MODELO!$B$18,0,IF(I534&gt;=PARAMS_MODELO!$B$19,100,100*(I534-PARAMS_MODELO!$B$18)/(PARAMS_MODELO!$B$19-PARAMS_MODELO!$B$18)))*PARAMS_MODELO!$B$9</f>
        <v>3.2099280608802121</v>
      </c>
      <c r="K534" s="5">
        <f>IFERROR(CHOOSE(MATCH(PARAMS_MODELO!$B$2,{"Q1","Q2","Q3"},0),LOTO!$D534,LOTO!$F534,LOTO!$H534),0)</f>
        <v>3597500</v>
      </c>
      <c r="L534" s="8">
        <f t="shared" si="194"/>
        <v>4.8808847715160489E-2</v>
      </c>
      <c r="M534" s="5">
        <f>MIN(100,IF(PARAMS_MODELO!$B$23=0,0,100*L534/PARAMS_MODELO!$B$23))*PARAMS_MODELO!$B$10</f>
        <v>14.642654314548146</v>
      </c>
      <c r="N534" s="5">
        <f>IFERROR(VLOOKUP(A534,COMPLIANCE!$A$2:$F$1996,6,0),100)</f>
        <v>100</v>
      </c>
      <c r="O534" s="5">
        <f>N534*PARAMS_MODELO!$B$11</f>
        <v>10</v>
      </c>
      <c r="P534" s="5">
        <f>IFERROR(VLOOKUP(A534,DIGITAL!$A$2:$J$2000,7,0),100)</f>
        <v>65</v>
      </c>
      <c r="Q534" s="5">
        <f>IFERROR(P534,0)*PARAMS_MODELO!$B$12</f>
        <v>6.5</v>
      </c>
      <c r="R534">
        <f t="shared" si="195"/>
        <v>73.641609466775094</v>
      </c>
      <c r="S534" s="5" t="str">
        <f>IFERROR(VLOOKUP(A534,CLIENTE!$A$2:$N$2000,13,0),1)</f>
        <v>Regular</v>
      </c>
      <c r="T534" s="5">
        <f>IFERROR(VLOOKUP(A534,CLIENTE!$A$2:$N$2000,14,0),1)</f>
        <v>1</v>
      </c>
      <c r="U534" s="5">
        <f t="shared" si="196"/>
        <v>73.641609466775094</v>
      </c>
      <c r="V534" s="5" t="str">
        <f>IF(U534&gt;=MAX(_xlfn.PERCENTILE.INC($U$2:$U$1194,PARAMS_MODELO!$B$50),PARAMS_MODELO!$B$45),"DIAMANTE",IF(U534&gt;=MAX(_xlfn.PERCENTILE.INC($U$2:$U$1194,PARAMS_MODELO!$B$51),PARAMS_MODELO!$B$46),"PLATINO",IF(U534&gt;=MAX(_xlfn.PERCENTILE.INC($U$2:$U$1194,PARAMS_MODELO!$B$52),PARAMS_MODELO!$B$47),"ORO",IF(U534&gt;=MAX(_xlfn.PERCENTILE.INC($U$2:$U$1194,PARAMS_MODELO!$B$53),PARAMS_MODELO!$B$48),"PLATA",IF(U534&gt;=1,"BRONCE","CERRADO")))))</f>
        <v>ORO</v>
      </c>
      <c r="W534" s="5" t="str" cm="1">
        <f t="array" ref="W534">_xlfn.XLOOKUP(1, (HIST_SCORE!$B:$B=PARAMS_MODELO!$B$4) * (HIST_SCORE!$C:$C=A534), HIST_SCORE!$E:$E, "No encontrado")</f>
        <v>ORO</v>
      </c>
      <c r="X534" s="5" t="str">
        <f>_xlfn.LET(_xlpm.act,MATCH(V534,{"DIAMANTE";"PLATINO";"ORO";"PLATA";"BRONCE";"CERRADO"},0),_xlpm.ant,MATCH(W534,{"DIAMANTE";"PLATINO";"ORO";"PLATA";"BRONCE";"CERRADO"},0),IF(_xlpm.act&lt;_xlpm.ant,"Mejora ↑",IF(_xlpm.act&gt;_xlpm.ant,"Baja ↓","Estable →")))</f>
        <v>Estable →</v>
      </c>
      <c r="Y534" s="5">
        <f>IFERROR(U534-SUMIFS(HIST_SCORE!$D:$D,HIST_SCORE!$B:$B,PARAMS_MODELO!$B$4,HIST_SCORE!$C:$C,$A534),"")</f>
        <v>-10.444196605770529</v>
      </c>
      <c r="Z534" s="5" t="str">
        <f t="shared" si="197"/>
        <v>↓ Baja</v>
      </c>
      <c r="AA534" s="5">
        <f t="shared" si="198"/>
        <v>483</v>
      </c>
      <c r="AB534" s="5">
        <f>IFERROR(SUMIFS(HIST_SCORE!$F:$F,HIST_SCORE!$B:$B,PARAMS_MODELO!$B$4,HIST_SCORE!$C:$C,$A534),"")</f>
        <v>288</v>
      </c>
      <c r="AC534" s="5">
        <f t="shared" si="199"/>
        <v>-195</v>
      </c>
      <c r="AD534" t="str">
        <f t="shared" si="201"/>
        <v>Sostener base y reforzar mix</v>
      </c>
      <c r="AE5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534="CERRADO",1,IF(V534="BRONCE",_xlpm.cPl,IF(V534="PLATA",_xlpm.cO,IF(V534="ORO",_xlpm.cP,IF(V534="PLATINO",_xlpm.cD,999))))))</f>
        <v>86.439123873763251</v>
      </c>
      <c r="AF5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534="CERRADO",0,IF(V534="BRONCE",1,IF(V534="PLATA",_xlpm.cPl,IF(V534="ORO",_xlpm.cO,IF(V534="PLATINO",_xlpm.cP,_xlpm.cD))))))</f>
        <v>63.199193273331495</v>
      </c>
      <c r="AG534">
        <f t="shared" si="202"/>
        <v>12.797514406988157</v>
      </c>
      <c r="AH534" t="str">
        <f t="shared" si="203"/>
        <v>VENTAS</v>
      </c>
      <c r="AI534" t="str">
        <f t="shared" si="200"/>
        <v>🎯 Para subir de categoría, eje VENTAS / DIFERENCIAL vs LOTBA (J). Acción: metas semanales + activación comercial + seguimiento del asesor. ΔR aprox: 12,8</v>
      </c>
      <c r="AJ534" s="26">
        <f>_xlfn.LET(_xlpm.piso,AF534,_xlpm.corte,AE534,_xlpm.prog,IF(_xlpm.corte&lt;=_xlpm.piso,0,MAX(0,MIN(1,(U534-_xlpm.piso)/(_xlpm.corte-_xlpm.piso)))),_xlpm.orden,{"DIAMANTE";"PLATINO";"ORO";"PLATA";"BRONCE";"CERRADO"},_xlpm.act,IFERROR(MATCH(V534,_xlpm.orden,0),6),_xlpm.ant,IFERROR(MATCH(W534,_xlpm.orden,0),6),_xlpm.ajmov,IF(_xlpm.act&lt;_xlpm.ant,0.08,IF(_xlpm.act&gt;_xlpm.ant,-0.08,0)),_xlpm.ajcli,IF(T534&lt;0.95,-0.06,0),_xlpm.prob,MAX(0,MIN(1,_xlpm.prog+_xlpm.ajmov+_xlpm.ajcli)),IF(OR(V534="DIAMANTE",V534="CERRADO"),0,ROUND(_xlpm.prob,2)))</f>
        <v>0.45</v>
      </c>
      <c r="AK534" t="str">
        <f t="shared" si="204"/>
        <v>Faltan 12,8 puntos base para subir a la siguiente categoría</v>
      </c>
      <c r="AL534" t="str">
        <f t="shared" si="205"/>
        <v>Margen de seguridad: 10,4 puntos</v>
      </c>
      <c r="AM534">
        <f t="shared" si="206"/>
        <v>0.62</v>
      </c>
      <c r="AN534" t="str">
        <f t="shared" si="207"/>
        <v>PRIORIDAD MEDIA – seguimiento del asesor</v>
      </c>
      <c r="AO534">
        <f t="shared" si="208"/>
        <v>22.363614123068636</v>
      </c>
      <c r="AP534">
        <f t="shared" si="209"/>
        <v>0.35734568545185397</v>
      </c>
      <c r="AQ534">
        <f t="shared" si="210"/>
        <v>0</v>
      </c>
      <c r="AR534">
        <f t="shared" si="211"/>
        <v>3.5</v>
      </c>
      <c r="AS534">
        <f t="shared" si="212"/>
        <v>0</v>
      </c>
      <c r="AT534" t="str">
        <f t="shared" si="213"/>
        <v>VENTAS</v>
      </c>
      <c r="AU534">
        <f t="shared" si="214"/>
        <v>22.363614123068636</v>
      </c>
      <c r="AV534" t="str">
        <f t="shared" si="215"/>
        <v>Mayor retorno probable: VENTAS (+22,4 puntos finales potenciales).</v>
      </c>
    </row>
    <row r="535" spans="1:48" x14ac:dyDescent="0.3">
      <c r="A535" s="5">
        <v>51004108</v>
      </c>
      <c r="B535" s="5" t="str">
        <f>IFERROR(VLOOKUP(A535,VENTAS!$A$2:$B$1194,2,0),"")</f>
        <v>PUGH</v>
      </c>
      <c r="C535" s="5">
        <f>IFERROR(INDEX(VENTAS!$C$2:$E$1194,MATCH(A535,VENTAS!$A$2:$A$1194,0),MATCH(PARAMS_MODELO!$B$2,{"Q1","Q2","Q3"},0)),0)</f>
        <v>41465922.010000013</v>
      </c>
      <c r="D535" s="5">
        <f>IFERROR(INDEX(VENTAS!$F$2:$H$1194,MATCH(A535,VENTAS!$A$2:$A$1194,0),MATCH(PARAMS_MODELO!$B$2,{"Q1","Q2","Q3"},0)),0)</f>
        <v>73691637</v>
      </c>
      <c r="E535" s="8">
        <f t="shared" si="192"/>
        <v>0.77716142383686448</v>
      </c>
      <c r="F535" s="12">
        <f>IF(E535&lt;=PARAMS_MODELO!$B$15,0,IF(E535&gt;=PARAMS_MODELO!$B$17,100,100*MIN(1,(E535-PARAMS_MODELO!$B$15)/(PARAMS_MODELO!$B$16-PARAMS_MODELO!$B$15))))*PARAMS_MODELO!$B$7</f>
        <v>35</v>
      </c>
      <c r="G535" s="5">
        <f t="shared" si="193"/>
        <v>32225714.989999987</v>
      </c>
      <c r="H535" s="5">
        <f>(PARAMS_MODELO!$B$20*(MAX(0,MIN(3,E535))/3)+PARAMS_MODELO!$B$21*(IFERROR(LN(1+MAX(0,G535))/LN(1+MAX(0,MAX($G$2:$G$1194))),0)))*100*PARAMS_MODELO!$B$8</f>
        <v>6.7726780759270389</v>
      </c>
      <c r="I535" s="8">
        <f>E535-PARAMS_MODELO!$B$5</f>
        <v>0.59959858846133796</v>
      </c>
      <c r="J535" s="5">
        <f>IF(I535&lt;=PARAMS_MODELO!$B$18,0,IF(I535&gt;=PARAMS_MODELO!$B$19,100,100*(I535-PARAMS_MODELO!$B$18)/(PARAMS_MODELO!$B$19-PARAMS_MODELO!$B$18)))*PARAMS_MODELO!$B$9</f>
        <v>15</v>
      </c>
      <c r="K535" s="5">
        <f>IFERROR(CHOOSE(MATCH(PARAMS_MODELO!$B$2,{"Q1","Q2","Q3"},0),LOTO!$D535,LOTO!$F535,LOTO!$H535),0)</f>
        <v>3595000</v>
      </c>
      <c r="L535" s="8">
        <f t="shared" si="194"/>
        <v>4.8784368842288033E-2</v>
      </c>
      <c r="M535" s="5">
        <f>MIN(100,IF(PARAMS_MODELO!$B$23=0,0,100*L535/PARAMS_MODELO!$B$23))*PARAMS_MODELO!$B$10</f>
        <v>14.635310652686407</v>
      </c>
      <c r="N535" s="5">
        <f>IFERROR(VLOOKUP(A535,COMPLIANCE!$A$2:$F$1996,6,0),100)</f>
        <v>99.58</v>
      </c>
      <c r="O535" s="5">
        <f>N535*PARAMS_MODELO!$B$11</f>
        <v>9.9580000000000002</v>
      </c>
      <c r="P535" s="5">
        <f>IFERROR(VLOOKUP(A535,DIGITAL!$A$2:$J$2000,7,0),100)</f>
        <v>46</v>
      </c>
      <c r="Q535" s="5">
        <f>IFERROR(P535,0)*PARAMS_MODELO!$B$12</f>
        <v>4.6000000000000005</v>
      </c>
      <c r="R535">
        <f t="shared" si="195"/>
        <v>85.965988728613439</v>
      </c>
      <c r="S535" s="5" t="str">
        <f>IFERROR(VLOOKUP(A535,CLIENTE!$A$2:$N$2000,13,0),1)</f>
        <v>Regular</v>
      </c>
      <c r="T535" s="5">
        <f>IFERROR(VLOOKUP(A535,CLIENTE!$A$2:$N$2000,14,0),1)</f>
        <v>1</v>
      </c>
      <c r="U535" s="5">
        <f t="shared" si="196"/>
        <v>85.965988728613439</v>
      </c>
      <c r="V535" s="5" t="str">
        <f>IF(U535&gt;=MAX(_xlfn.PERCENTILE.INC($U$2:$U$1194,PARAMS_MODELO!$B$50),PARAMS_MODELO!$B$45),"DIAMANTE",IF(U535&gt;=MAX(_xlfn.PERCENTILE.INC($U$2:$U$1194,PARAMS_MODELO!$B$51),PARAMS_MODELO!$B$46),"PLATINO",IF(U535&gt;=MAX(_xlfn.PERCENTILE.INC($U$2:$U$1194,PARAMS_MODELO!$B$52),PARAMS_MODELO!$B$47),"ORO",IF(U535&gt;=MAX(_xlfn.PERCENTILE.INC($U$2:$U$1194,PARAMS_MODELO!$B$53),PARAMS_MODELO!$B$48),"PLATA",IF(U535&gt;=1,"BRONCE","CERRADO")))))</f>
        <v>ORO</v>
      </c>
      <c r="W535" s="5" t="str" cm="1">
        <f t="array" ref="W535">_xlfn.XLOOKUP(1, (HIST_SCORE!$B:$B=PARAMS_MODELO!$B$4) * (HIST_SCORE!$C:$C=A535), HIST_SCORE!$E:$E, "No encontrado")</f>
        <v>ORO</v>
      </c>
      <c r="X535" s="5" t="str">
        <f>_xlfn.LET(_xlpm.act,MATCH(V535,{"DIAMANTE";"PLATINO";"ORO";"PLATA";"BRONCE";"CERRADO"},0),_xlpm.ant,MATCH(W535,{"DIAMANTE";"PLATINO";"ORO";"PLATA";"BRONCE";"CERRADO"},0),IF(_xlpm.act&lt;_xlpm.ant,"Mejora ↑",IF(_xlpm.act&gt;_xlpm.ant,"Baja ↓","Estable →")))</f>
        <v>Estable →</v>
      </c>
      <c r="Y535" s="5">
        <f>IFERROR(U535-SUMIFS(HIST_SCORE!$D:$D,HIST_SCORE!$B:$B,PARAMS_MODELO!$B$4,HIST_SCORE!$C:$C,$A535),"")</f>
        <v>0.22462993926876607</v>
      </c>
      <c r="Z535" s="5" t="str">
        <f t="shared" si="197"/>
        <v>→ Estable</v>
      </c>
      <c r="AA535" s="5">
        <f t="shared" si="198"/>
        <v>253</v>
      </c>
      <c r="AB535" s="5">
        <f>IFERROR(SUMIFS(HIST_SCORE!$F:$F,HIST_SCORE!$B:$B,PARAMS_MODELO!$B$4,HIST_SCORE!$C:$C,$A535),"")</f>
        <v>246</v>
      </c>
      <c r="AC535" s="5">
        <f t="shared" si="199"/>
        <v>-7</v>
      </c>
      <c r="AD535" t="str">
        <f t="shared" si="201"/>
        <v/>
      </c>
      <c r="AE5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535="CERRADO",1,IF(V535="BRONCE",_xlpm.cPl,IF(V535="PLATA",_xlpm.cO,IF(V535="ORO",_xlpm.cP,IF(V535="PLATINO",_xlpm.cD,999))))))</f>
        <v>86.439123873763251</v>
      </c>
      <c r="AF5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535="CERRADO",0,IF(V535="BRONCE",1,IF(V535="PLATA",_xlpm.cPl,IF(V535="ORO",_xlpm.cO,IF(V535="PLATINO",_xlpm.cP,_xlpm.cD))))))</f>
        <v>63.199193273331495</v>
      </c>
      <c r="AG535">
        <f t="shared" si="202"/>
        <v>0.47313514514981136</v>
      </c>
      <c r="AH535" t="str">
        <f t="shared" si="203"/>
        <v>VENTAS</v>
      </c>
      <c r="AI535" t="str">
        <f t="shared" si="200"/>
        <v>🎯 Para subir de categoría, eje VENTAS / IMPACTO ABSOLUTO (H). Acción: metas semanales + activación comercial + seguimiento del asesor. ΔR aprox: 0,5</v>
      </c>
      <c r="AJ535" s="26">
        <f>_xlfn.LET(_xlpm.piso,AF535,_xlpm.corte,AE535,_xlpm.prog,IF(_xlpm.corte&lt;=_xlpm.piso,0,MAX(0,MIN(1,(U535-_xlpm.piso)/(_xlpm.corte-_xlpm.piso)))),_xlpm.orden,{"DIAMANTE";"PLATINO";"ORO";"PLATA";"BRONCE";"CERRADO"},_xlpm.act,IFERROR(MATCH(V535,_xlpm.orden,0),6),_xlpm.ant,IFERROR(MATCH(W535,_xlpm.orden,0),6),_xlpm.ajmov,IF(_xlpm.act&lt;_xlpm.ant,0.08,IF(_xlpm.act&gt;_xlpm.ant,-0.08,0)),_xlpm.ajcli,IF(T535&lt;0.95,-0.06,0),_xlpm.prob,MAX(0,MIN(1,_xlpm.prog+_xlpm.ajmov+_xlpm.ajcli)),IF(OR(V535="DIAMANTE",V535="CERRADO"),0,ROUND(_xlpm.prob,2)))</f>
        <v>0.98</v>
      </c>
      <c r="AK535" t="str">
        <f t="shared" si="204"/>
        <v>Faltan 0,5 puntos base para subir a la siguiente categoría</v>
      </c>
      <c r="AL535" t="str">
        <f t="shared" si="205"/>
        <v>Margen de seguridad: 22,8 puntos</v>
      </c>
      <c r="AM535">
        <f t="shared" si="206"/>
        <v>0.03</v>
      </c>
      <c r="AN535" t="str">
        <f t="shared" si="207"/>
        <v>PRIORIDAD BAJA – control normal</v>
      </c>
      <c r="AO535">
        <f t="shared" si="208"/>
        <v>8.0898911993685445</v>
      </c>
      <c r="AP535">
        <f t="shared" si="209"/>
        <v>0.36468934731359326</v>
      </c>
      <c r="AQ535">
        <f t="shared" si="210"/>
        <v>4.1999999999999815E-2</v>
      </c>
      <c r="AR535">
        <f t="shared" si="211"/>
        <v>5.3999999999999995</v>
      </c>
      <c r="AS535">
        <f t="shared" si="212"/>
        <v>0</v>
      </c>
      <c r="AT535" t="str">
        <f t="shared" si="213"/>
        <v>VENTAS</v>
      </c>
      <c r="AU535">
        <f t="shared" si="214"/>
        <v>8.0898911993685445</v>
      </c>
      <c r="AV535" t="str">
        <f t="shared" si="215"/>
        <v>Mayor retorno probable: VENTAS (+8,1 puntos finales potenciales).</v>
      </c>
    </row>
    <row r="536" spans="1:48" x14ac:dyDescent="0.3">
      <c r="A536" s="5">
        <v>51030869</v>
      </c>
      <c r="B536" s="5" t="str">
        <f>IFERROR(VLOOKUP(A536,VENTAS!$A$2:$B$1194,2,0),"")</f>
        <v>MONTENEGRO</v>
      </c>
      <c r="C536" s="5">
        <f>IFERROR(INDEX(VENTAS!$C$2:$E$1194,MATCH(A536,VENTAS!$A$2:$A$1194,0),MATCH(PARAMS_MODELO!$B$2,{"Q1","Q2","Q3"},0)),0)</f>
        <v>61963285.759999998</v>
      </c>
      <c r="D536" s="5">
        <f>IFERROR(INDEX(VENTAS!$F$2:$H$1194,MATCH(A536,VENTAS!$A$2:$A$1194,0),MATCH(PARAMS_MODELO!$B$2,{"Q1","Q2","Q3"},0)),0)</f>
        <v>73510227</v>
      </c>
      <c r="E536" s="8">
        <f t="shared" si="192"/>
        <v>0.1863513385123623</v>
      </c>
      <c r="F536" s="12">
        <f>IF(E536&lt;=PARAMS_MODELO!$B$15,0,IF(E536&gt;=PARAMS_MODELO!$B$17,100,100*MIN(1,(E536-PARAMS_MODELO!$B$15)/(PARAMS_MODELO!$B$16-PARAMS_MODELO!$B$15))))*PARAMS_MODELO!$B$7</f>
        <v>35</v>
      </c>
      <c r="G536" s="5">
        <f t="shared" si="193"/>
        <v>11546941.240000002</v>
      </c>
      <c r="H536" s="5">
        <f>(PARAMS_MODELO!$B$20*(MAX(0,MIN(3,E536))/3)+PARAMS_MODELO!$B$21*(IFERROR(LN(1+MAX(0,G536))/LN(1+MAX(0,MAX($G$2:$G$1194))),0)))*100*PARAMS_MODELO!$B$8</f>
        <v>4.4642533903105317</v>
      </c>
      <c r="I536" s="8">
        <f>E536-PARAMS_MODELO!$B$5</f>
        <v>8.788503136835768E-3</v>
      </c>
      <c r="J536" s="5">
        <f>IF(I536&lt;=PARAMS_MODELO!$B$18,0,IF(I536&gt;=PARAMS_MODELO!$B$19,100,100*(I536-PARAMS_MODELO!$B$18)/(PARAMS_MODELO!$B$19-PARAMS_MODELO!$B$18)))*PARAMS_MODELO!$B$9</f>
        <v>8.8182754705253643</v>
      </c>
      <c r="K536" s="5">
        <f>IFERROR(CHOOSE(MATCH(PARAMS_MODELO!$B$2,{"Q1","Q2","Q3"},0),LOTO!$D536,LOTO!$F536,LOTO!$H536),0)</f>
        <v>3577500</v>
      </c>
      <c r="L536" s="8">
        <f t="shared" si="194"/>
        <v>4.8666697764380457E-2</v>
      </c>
      <c r="M536" s="5">
        <f>MIN(100,IF(PARAMS_MODELO!$B$23=0,0,100*L536/PARAMS_MODELO!$B$23))*PARAMS_MODELO!$B$10</f>
        <v>14.600009329314135</v>
      </c>
      <c r="N536" s="5">
        <f>IFERROR(VLOOKUP(A536,COMPLIANCE!$A$2:$F$1996,6,0),100)</f>
        <v>100</v>
      </c>
      <c r="O536" s="5">
        <f>N536*PARAMS_MODELO!$B$11</f>
        <v>10</v>
      </c>
      <c r="P536" s="5">
        <f>IFERROR(VLOOKUP(A536,DIGITAL!$A$2:$J$2000,7,0),100)</f>
        <v>54</v>
      </c>
      <c r="Q536" s="5">
        <f>IFERROR(P536,0)*PARAMS_MODELO!$B$12</f>
        <v>5.4</v>
      </c>
      <c r="R536">
        <f t="shared" si="195"/>
        <v>78.282538190150035</v>
      </c>
      <c r="S536" s="5" t="str">
        <f>IFERROR(VLOOKUP(A536,CLIENTE!$A$2:$N$2000,13,0),1)</f>
        <v>Malo</v>
      </c>
      <c r="T536" s="5">
        <f>IFERROR(VLOOKUP(A536,CLIENTE!$A$2:$N$2000,14,0),1)</f>
        <v>0.7</v>
      </c>
      <c r="U536" s="5">
        <f t="shared" si="196"/>
        <v>54.797776733105025</v>
      </c>
      <c r="V536" s="5" t="str">
        <f>IF(U536&gt;=MAX(_xlfn.PERCENTILE.INC($U$2:$U$1194,PARAMS_MODELO!$B$50),PARAMS_MODELO!$B$45),"DIAMANTE",IF(U536&gt;=MAX(_xlfn.PERCENTILE.INC($U$2:$U$1194,PARAMS_MODELO!$B$51),PARAMS_MODELO!$B$46),"PLATINO",IF(U536&gt;=MAX(_xlfn.PERCENTILE.INC($U$2:$U$1194,PARAMS_MODELO!$B$52),PARAMS_MODELO!$B$47),"ORO",IF(U536&gt;=MAX(_xlfn.PERCENTILE.INC($U$2:$U$1194,PARAMS_MODELO!$B$53),PARAMS_MODELO!$B$48),"PLATA",IF(U536&gt;=1,"BRONCE","CERRADO")))))</f>
        <v>PLATA</v>
      </c>
      <c r="W536" s="5" t="str" cm="1">
        <f t="array" ref="W536">_xlfn.XLOOKUP(1, (HIST_SCORE!$B:$B=PARAMS_MODELO!$B$4) * (HIST_SCORE!$C:$C=A536), HIST_SCORE!$E:$E, "No encontrado")</f>
        <v>PLATA</v>
      </c>
      <c r="X536" s="5" t="str">
        <f>_xlfn.LET(_xlpm.act,MATCH(V536,{"DIAMANTE";"PLATINO";"ORO";"PLATA";"BRONCE";"CERRADO"},0),_xlpm.ant,MATCH(W536,{"DIAMANTE";"PLATINO";"ORO";"PLATA";"BRONCE";"CERRADO"},0),IF(_xlpm.act&lt;_xlpm.ant,"Mejora ↑",IF(_xlpm.act&gt;_xlpm.ant,"Baja ↓","Estable →")))</f>
        <v>Estable →</v>
      </c>
      <c r="Y536" s="5">
        <f>IFERROR(U536-SUMIFS(HIST_SCORE!$D:$D,HIST_SCORE!$B:$B,PARAMS_MODELO!$B$4,HIST_SCORE!$C:$C,$A536),"")</f>
        <v>6.2173190847389108</v>
      </c>
      <c r="Z536" s="5" t="str">
        <f t="shared" si="197"/>
        <v>↑ Mejora</v>
      </c>
      <c r="AA536" s="5">
        <f t="shared" si="198"/>
        <v>719</v>
      </c>
      <c r="AB536" s="5">
        <f>IFERROR(SUMIFS(HIST_SCORE!$F:$F,HIST_SCORE!$B:$B,PARAMS_MODELO!$B$4,HIST_SCORE!$C:$C,$A536),"")</f>
        <v>785</v>
      </c>
      <c r="AC536" s="5">
        <f t="shared" si="199"/>
        <v>66</v>
      </c>
      <c r="AD536" t="str">
        <f t="shared" si="201"/>
        <v/>
      </c>
      <c r="AE5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536="CERRADO",1,IF(V536="BRONCE",_xlpm.cPl,IF(V536="PLATA",_xlpm.cO,IF(V536="ORO",_xlpm.cP,IF(V536="PLATINO",_xlpm.cD,999))))))</f>
        <v>63.199193273331495</v>
      </c>
      <c r="AF5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536="CERRADO",0,IF(V536="BRONCE",1,IF(V536="PLATA",_xlpm.cPl,IF(V536="ORO",_xlpm.cO,IF(V536="PLATINO",_xlpm.cP,_xlpm.cD))))))</f>
        <v>24.506573482968111</v>
      </c>
      <c r="AG536">
        <f t="shared" si="202"/>
        <v>12.00202362889496</v>
      </c>
      <c r="AH536" t="str">
        <f t="shared" si="203"/>
        <v>CLIENTE</v>
      </c>
      <c r="AI536" t="str">
        <f t="shared" si="200"/>
        <v>🎯 Para subir de categoría, la eje con mayor impacto probable es CLIENTE (coef T). Acción: reducir quejas, mejorar incógnito y empujar reseñas. ΔR aprox: 12,0</v>
      </c>
      <c r="AJ536" s="26">
        <f>_xlfn.LET(_xlpm.piso,AF536,_xlpm.corte,AE536,_xlpm.prog,IF(_xlpm.corte&lt;=_xlpm.piso,0,MAX(0,MIN(1,(U536-_xlpm.piso)/(_xlpm.corte-_xlpm.piso)))),_xlpm.orden,{"DIAMANTE";"PLATINO";"ORO";"PLATA";"BRONCE";"CERRADO"},_xlpm.act,IFERROR(MATCH(V536,_xlpm.orden,0),6),_xlpm.ant,IFERROR(MATCH(W536,_xlpm.orden,0),6),_xlpm.ajmov,IF(_xlpm.act&lt;_xlpm.ant,0.08,IF(_xlpm.act&gt;_xlpm.ant,-0.08,0)),_xlpm.ajcli,IF(T536&lt;0.95,-0.06,0),_xlpm.prob,MAX(0,MIN(1,_xlpm.prog+_xlpm.ajmov+_xlpm.ajcli)),IF(OR(V536="DIAMANTE",V536="CERRADO"),0,ROUND(_xlpm.prob,2)))</f>
        <v>0.72</v>
      </c>
      <c r="AK536" t="str">
        <f t="shared" si="204"/>
        <v>Faltan 12,0 puntos base para subir a la siguiente categoría</v>
      </c>
      <c r="AL536" t="str">
        <f t="shared" si="205"/>
        <v>Margen de seguridad: 30,3 puntos</v>
      </c>
      <c r="AM536">
        <f t="shared" si="206"/>
        <v>0.71</v>
      </c>
      <c r="AN536" t="str">
        <f t="shared" si="207"/>
        <v>PRIORIDAD ALTA – requiere intervención inmediata</v>
      </c>
      <c r="AO536">
        <f t="shared" si="208"/>
        <v>11.606028290121781</v>
      </c>
      <c r="AP536">
        <f t="shared" si="209"/>
        <v>0.27999346948010539</v>
      </c>
      <c r="AQ536">
        <f t="shared" si="210"/>
        <v>0</v>
      </c>
      <c r="AR536">
        <f t="shared" si="211"/>
        <v>3.2199999999999998</v>
      </c>
      <c r="AS536">
        <f t="shared" si="212"/>
        <v>23.484761457045014</v>
      </c>
      <c r="AT536" t="str">
        <f t="shared" si="213"/>
        <v>CLIENTE</v>
      </c>
      <c r="AU536">
        <f t="shared" si="214"/>
        <v>23.484761457045014</v>
      </c>
      <c r="AV536" t="str">
        <f t="shared" si="215"/>
        <v>Mayor retorno probable: CLIENTE (+23,5 puntos finales potenciales).</v>
      </c>
    </row>
    <row r="537" spans="1:48" x14ac:dyDescent="0.3">
      <c r="A537" s="5">
        <v>51031113</v>
      </c>
      <c r="B537" s="5" t="str">
        <f>IFERROR(VLOOKUP(A537,VENTAS!$A$2:$B$1194,2,0),"")</f>
        <v>METTLER</v>
      </c>
      <c r="C537" s="5">
        <f>IFERROR(INDEX(VENTAS!$C$2:$E$1194,MATCH(A537,VENTAS!$A$2:$A$1194,0),MATCH(PARAMS_MODELO!$B$2,{"Q1","Q2","Q3"},0)),0)</f>
        <v>58527028.600000001</v>
      </c>
      <c r="D537" s="5">
        <f>IFERROR(INDEX(VENTAS!$F$2:$H$1194,MATCH(A537,VENTAS!$A$2:$A$1194,0),MATCH(PARAMS_MODELO!$B$2,{"Q1","Q2","Q3"},0)),0)</f>
        <v>73507161</v>
      </c>
      <c r="E537" s="8">
        <f t="shared" si="192"/>
        <v>0.25595238231520256</v>
      </c>
      <c r="F537" s="12">
        <f>IF(E537&lt;=PARAMS_MODELO!$B$15,0,IF(E537&gt;=PARAMS_MODELO!$B$17,100,100*MIN(1,(E537-PARAMS_MODELO!$B$15)/(PARAMS_MODELO!$B$16-PARAMS_MODELO!$B$15))))*PARAMS_MODELO!$B$7</f>
        <v>35</v>
      </c>
      <c r="G537" s="5">
        <f t="shared" si="193"/>
        <v>14980132.399999999</v>
      </c>
      <c r="H537" s="5">
        <f>(PARAMS_MODELO!$B$20*(MAX(0,MIN(3,E537))/3)+PARAMS_MODELO!$B$21*(IFERROR(LN(1+MAX(0,G537))/LN(1+MAX(0,MAX($G$2:$G$1194))),0)))*100*PARAMS_MODELO!$B$8</f>
        <v>4.7688759873936055</v>
      </c>
      <c r="I537" s="8">
        <f>E537-PARAMS_MODELO!$B$5</f>
        <v>7.8389546939676036E-2</v>
      </c>
      <c r="J537" s="5">
        <f>IF(I537&lt;=PARAMS_MODELO!$B$18,0,IF(I537&gt;=PARAMS_MODELO!$B$19,100,100*(I537-PARAMS_MODELO!$B$18)/(PARAMS_MODELO!$B$19-PARAMS_MODELO!$B$18)))*PARAMS_MODELO!$B$9</f>
        <v>15</v>
      </c>
      <c r="K537" s="5">
        <f>IFERROR(CHOOSE(MATCH(PARAMS_MODELO!$B$2,{"Q1","Q2","Q3"},0),LOTO!$D537,LOTO!$F537,LOTO!$H537),0)</f>
        <v>3577500</v>
      </c>
      <c r="L537" s="8">
        <f t="shared" si="194"/>
        <v>4.8668727663145638E-2</v>
      </c>
      <c r="M537" s="5">
        <f>MIN(100,IF(PARAMS_MODELO!$B$23=0,0,100*L537/PARAMS_MODELO!$B$23))*PARAMS_MODELO!$B$10</f>
        <v>14.600618298943688</v>
      </c>
      <c r="N537" s="5">
        <f>IFERROR(VLOOKUP(A537,COMPLIANCE!$A$2:$F$1996,6,0),100)</f>
        <v>100</v>
      </c>
      <c r="O537" s="5">
        <f>N537*PARAMS_MODELO!$B$11</f>
        <v>10</v>
      </c>
      <c r="P537" s="5">
        <f>IFERROR(VLOOKUP(A537,DIGITAL!$A$2:$J$2000,7,0),100)</f>
        <v>100</v>
      </c>
      <c r="Q537" s="5">
        <f>IFERROR(P537,0)*PARAMS_MODELO!$B$12</f>
        <v>10</v>
      </c>
      <c r="R537">
        <f t="shared" si="195"/>
        <v>89.3694942863373</v>
      </c>
      <c r="S537" s="5" t="str">
        <f>IFERROR(VLOOKUP(A537,CLIENTE!$A$2:$N$2000,13,0),1)</f>
        <v>Bueno</v>
      </c>
      <c r="T537" s="5">
        <f>IFERROR(VLOOKUP(A537,CLIENTE!$A$2:$N$2000,14,0),1)</f>
        <v>1.1000000000000001</v>
      </c>
      <c r="U537" s="5">
        <f t="shared" si="196"/>
        <v>98.306443714971039</v>
      </c>
      <c r="V537" s="5" t="str">
        <f>IF(U537&gt;=MAX(_xlfn.PERCENTILE.INC($U$2:$U$1194,PARAMS_MODELO!$B$50),PARAMS_MODELO!$B$45),"DIAMANTE",IF(U537&gt;=MAX(_xlfn.PERCENTILE.INC($U$2:$U$1194,PARAMS_MODELO!$B$51),PARAMS_MODELO!$B$46),"PLATINO",IF(U537&gt;=MAX(_xlfn.PERCENTILE.INC($U$2:$U$1194,PARAMS_MODELO!$B$52),PARAMS_MODELO!$B$47),"ORO",IF(U537&gt;=MAX(_xlfn.PERCENTILE.INC($U$2:$U$1194,PARAMS_MODELO!$B$53),PARAMS_MODELO!$B$48),"PLATA",IF(U537&gt;=1,"BRONCE","CERRADO")))))</f>
        <v>DIAMANTE</v>
      </c>
      <c r="W537" s="5" t="str" cm="1">
        <f t="array" ref="W537">_xlfn.XLOOKUP(1, (HIST_SCORE!$B:$B=PARAMS_MODELO!$B$4) * (HIST_SCORE!$C:$C=A537), HIST_SCORE!$E:$E, "No encontrado")</f>
        <v>DIAMANTE</v>
      </c>
      <c r="X537" s="5" t="str">
        <f>_xlfn.LET(_xlpm.act,MATCH(V537,{"DIAMANTE";"PLATINO";"ORO";"PLATA";"BRONCE";"CERRADO"},0),_xlpm.ant,MATCH(W537,{"DIAMANTE";"PLATINO";"ORO";"PLATA";"BRONCE";"CERRADO"},0),IF(_xlpm.act&lt;_xlpm.ant,"Mejora ↑",IF(_xlpm.act&gt;_xlpm.ant,"Baja ↓","Estable →")))</f>
        <v>Estable →</v>
      </c>
      <c r="Y537" s="5">
        <f>IFERROR(U537-SUMIFS(HIST_SCORE!$D:$D,HIST_SCORE!$B:$B,PARAMS_MODELO!$B$4,HIST_SCORE!$C:$C,$A537),"")</f>
        <v>0.55756767331467927</v>
      </c>
      <c r="Z537" s="5" t="str">
        <f t="shared" si="197"/>
        <v>→ Estable</v>
      </c>
      <c r="AA537" s="5">
        <f t="shared" si="198"/>
        <v>35</v>
      </c>
      <c r="AB537" s="5">
        <f>IFERROR(SUMIFS(HIST_SCORE!$F:$F,HIST_SCORE!$B:$B,PARAMS_MODELO!$B$4,HIST_SCORE!$C:$C,$A537),"")</f>
        <v>31</v>
      </c>
      <c r="AC537" s="5">
        <f t="shared" si="199"/>
        <v>-4</v>
      </c>
      <c r="AD537" t="str">
        <f t="shared" si="201"/>
        <v/>
      </c>
      <c r="AE5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537="CERRADO",1,IF(V537="BRONCE",_xlpm.cPl,IF(V537="PLATA",_xlpm.cO,IF(V537="ORO",_xlpm.cP,IF(V537="PLATINO",_xlpm.cD,999))))))</f>
        <v>999</v>
      </c>
      <c r="AF5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537="CERRADO",0,IF(V537="BRONCE",1,IF(V537="PLATA",_xlpm.cPl,IF(V537="ORO",_xlpm.cO,IF(V537="PLATINO",_xlpm.cP,_xlpm.cD))))))</f>
        <v>96.054919694466676</v>
      </c>
      <c r="AG537">
        <f t="shared" si="202"/>
        <v>818.81232389548086</v>
      </c>
      <c r="AH537" t="str">
        <f t="shared" si="203"/>
        <v>SOSTENER</v>
      </c>
      <c r="AI537" t="str">
        <f t="shared" si="200"/>
        <v>✅ Mantener desempeño y monitorear variaciones para sostener categoría.</v>
      </c>
      <c r="AJ537" s="26">
        <f>_xlfn.LET(_xlpm.piso,AF537,_xlpm.corte,AE537,_xlpm.prog,IF(_xlpm.corte&lt;=_xlpm.piso,0,MAX(0,MIN(1,(U537-_xlpm.piso)/(_xlpm.corte-_xlpm.piso)))),_xlpm.orden,{"DIAMANTE";"PLATINO";"ORO";"PLATA";"BRONCE";"CERRADO"},_xlpm.act,IFERROR(MATCH(V537,_xlpm.orden,0),6),_xlpm.ant,IFERROR(MATCH(W537,_xlpm.orden,0),6),_xlpm.ajmov,IF(_xlpm.act&lt;_xlpm.ant,0.08,IF(_xlpm.act&gt;_xlpm.ant,-0.08,0)),_xlpm.ajcli,IF(T537&lt;0.95,-0.06,0),_xlpm.prob,MAX(0,MIN(1,_xlpm.prog+_xlpm.ajmov+_xlpm.ajcli)),IF(OR(V537="DIAMANTE",V537="CERRADO"),0,ROUND(_xlpm.prob,2)))</f>
        <v>0</v>
      </c>
      <c r="AK537" t="str">
        <f t="shared" si="204"/>
        <v>No aplica</v>
      </c>
      <c r="AL537" t="str">
        <f t="shared" si="205"/>
        <v>Margen de seguridad: 2,3 puntos</v>
      </c>
      <c r="AM537">
        <f t="shared" si="206"/>
        <v>0.8</v>
      </c>
      <c r="AN537" t="str">
        <f t="shared" si="207"/>
        <v>PRIORIDAD ALTA – requiere intervención inmediata</v>
      </c>
      <c r="AO537">
        <f t="shared" si="208"/>
        <v>11.103062616692176</v>
      </c>
      <c r="AP537">
        <f t="shared" si="209"/>
        <v>0.43931987116194288</v>
      </c>
      <c r="AQ537">
        <f t="shared" si="210"/>
        <v>0</v>
      </c>
      <c r="AR537">
        <f t="shared" si="211"/>
        <v>0</v>
      </c>
      <c r="AS537">
        <f t="shared" si="212"/>
        <v>0</v>
      </c>
      <c r="AT537" t="str">
        <f t="shared" si="213"/>
        <v>VENTAS</v>
      </c>
      <c r="AU537">
        <f t="shared" si="214"/>
        <v>11.103062616692176</v>
      </c>
      <c r="AV537" t="str">
        <f t="shared" si="215"/>
        <v>Mayor retorno probable: VENTAS (+11,1 puntos finales potenciales).</v>
      </c>
    </row>
    <row r="538" spans="1:48" x14ac:dyDescent="0.3">
      <c r="A538" s="5">
        <v>51033329</v>
      </c>
      <c r="B538" s="5" t="str">
        <f>IFERROR(VLOOKUP(A538,VENTAS!$A$2:$B$1194,2,0),"")</f>
        <v>AYALA</v>
      </c>
      <c r="C538" s="5">
        <f>IFERROR(INDEX(VENTAS!$C$2:$E$1194,MATCH(A538,VENTAS!$A$2:$A$1194,0),MATCH(PARAMS_MODELO!$B$2,{"Q1","Q2","Q3"},0)),0)</f>
        <v>49740125.210000001</v>
      </c>
      <c r="D538" s="5">
        <f>IFERROR(INDEX(VENTAS!$F$2:$H$1194,MATCH(A538,VENTAS!$A$2:$A$1194,0),MATCH(PARAMS_MODELO!$B$2,{"Q1","Q2","Q3"},0)),0)</f>
        <v>73318672</v>
      </c>
      <c r="E538" s="8">
        <f t="shared" si="192"/>
        <v>0.47403472931466717</v>
      </c>
      <c r="F538" s="12">
        <f>IF(E538&lt;=PARAMS_MODELO!$B$15,0,IF(E538&gt;=PARAMS_MODELO!$B$17,100,100*MIN(1,(E538-PARAMS_MODELO!$B$15)/(PARAMS_MODELO!$B$16-PARAMS_MODELO!$B$15))))*PARAMS_MODELO!$B$7</f>
        <v>35</v>
      </c>
      <c r="G538" s="5">
        <f t="shared" si="193"/>
        <v>23578546.789999999</v>
      </c>
      <c r="H538" s="5">
        <f>(PARAMS_MODELO!$B$20*(MAX(0,MIN(3,E538))/3)+PARAMS_MODELO!$B$21*(IFERROR(LN(1+MAX(0,G538))/LN(1+MAX(0,MAX($G$2:$G$1194))),0)))*100*PARAMS_MODELO!$B$8</f>
        <v>5.6384972866907193</v>
      </c>
      <c r="I538" s="8">
        <f>E538-PARAMS_MODELO!$B$5</f>
        <v>0.29647189393914064</v>
      </c>
      <c r="J538" s="5">
        <f>IF(I538&lt;=PARAMS_MODELO!$B$18,0,IF(I538&gt;=PARAMS_MODELO!$B$19,100,100*(I538-PARAMS_MODELO!$B$18)/(PARAMS_MODELO!$B$19-PARAMS_MODELO!$B$18)))*PARAMS_MODELO!$B$9</f>
        <v>15</v>
      </c>
      <c r="K538" s="5">
        <f>IFERROR(CHOOSE(MATCH(PARAMS_MODELO!$B$2,{"Q1","Q2","Q3"},0),LOTO!$D538,LOTO!$F538,LOTO!$H538),0)</f>
        <v>3572500</v>
      </c>
      <c r="L538" s="8">
        <f t="shared" si="194"/>
        <v>4.8725650677360878E-2</v>
      </c>
      <c r="M538" s="5">
        <f>MIN(100,IF(PARAMS_MODELO!$B$23=0,0,100*L538/PARAMS_MODELO!$B$23))*PARAMS_MODELO!$B$10</f>
        <v>14.617695203208262</v>
      </c>
      <c r="N538" s="5">
        <f>IFERROR(VLOOKUP(A538,COMPLIANCE!$A$2:$F$1996,6,0),100)</f>
        <v>99.68</v>
      </c>
      <c r="O538" s="5">
        <f>N538*PARAMS_MODELO!$B$11</f>
        <v>9.9680000000000017</v>
      </c>
      <c r="P538" s="5">
        <f>IFERROR(VLOOKUP(A538,DIGITAL!$A$2:$J$2000,7,0),100)</f>
        <v>30</v>
      </c>
      <c r="Q538" s="5">
        <f>IFERROR(P538,0)*PARAMS_MODELO!$B$12</f>
        <v>3</v>
      </c>
      <c r="R538">
        <f t="shared" si="195"/>
        <v>83.224192489898982</v>
      </c>
      <c r="S538" s="5" t="str">
        <f>IFERROR(VLOOKUP(A538,CLIENTE!$A$2:$N$2000,13,0),1)</f>
        <v>Regular</v>
      </c>
      <c r="T538" s="5">
        <f>IFERROR(VLOOKUP(A538,CLIENTE!$A$2:$N$2000,14,0),1)</f>
        <v>1</v>
      </c>
      <c r="U538" s="5">
        <f t="shared" si="196"/>
        <v>83.224192489898982</v>
      </c>
      <c r="V538" s="5" t="str">
        <f>IF(U538&gt;=MAX(_xlfn.PERCENTILE.INC($U$2:$U$1194,PARAMS_MODELO!$B$50),PARAMS_MODELO!$B$45),"DIAMANTE",IF(U538&gt;=MAX(_xlfn.PERCENTILE.INC($U$2:$U$1194,PARAMS_MODELO!$B$51),PARAMS_MODELO!$B$46),"PLATINO",IF(U538&gt;=MAX(_xlfn.PERCENTILE.INC($U$2:$U$1194,PARAMS_MODELO!$B$52),PARAMS_MODELO!$B$47),"ORO",IF(U538&gt;=MAX(_xlfn.PERCENTILE.INC($U$2:$U$1194,PARAMS_MODELO!$B$53),PARAMS_MODELO!$B$48),"PLATA",IF(U538&gt;=1,"BRONCE","CERRADO")))))</f>
        <v>ORO</v>
      </c>
      <c r="W538" s="5" t="str" cm="1">
        <f t="array" ref="W538">_xlfn.XLOOKUP(1, (HIST_SCORE!$B:$B=PARAMS_MODELO!$B$4) * (HIST_SCORE!$C:$C=A538), HIST_SCORE!$E:$E, "No encontrado")</f>
        <v>ORO</v>
      </c>
      <c r="X538" s="5" t="str">
        <f>_xlfn.LET(_xlpm.act,MATCH(V538,{"DIAMANTE";"PLATINO";"ORO";"PLATA";"BRONCE";"CERRADO"},0),_xlpm.ant,MATCH(W538,{"DIAMANTE";"PLATINO";"ORO";"PLATA";"BRONCE";"CERRADO"},0),IF(_xlpm.act&lt;_xlpm.ant,"Mejora ↑",IF(_xlpm.act&gt;_xlpm.ant,"Baja ↓","Estable →")))</f>
        <v>Estable →</v>
      </c>
      <c r="Y538" s="5">
        <f>IFERROR(U538-SUMIFS(HIST_SCORE!$D:$D,HIST_SCORE!$B:$B,PARAMS_MODELO!$B$4,HIST_SCORE!$C:$C,$A538),"")</f>
        <v>0.34991075094063717</v>
      </c>
      <c r="Z538" s="5" t="str">
        <f t="shared" si="197"/>
        <v>→ Estable</v>
      </c>
      <c r="AA538" s="5">
        <f t="shared" si="198"/>
        <v>340</v>
      </c>
      <c r="AB538" s="5">
        <f>IFERROR(SUMIFS(HIST_SCORE!$F:$F,HIST_SCORE!$B:$B,PARAMS_MODELO!$B$4,HIST_SCORE!$C:$C,$A538),"")</f>
        <v>335</v>
      </c>
      <c r="AC538" s="5">
        <f t="shared" si="199"/>
        <v>-5</v>
      </c>
      <c r="AD538" t="str">
        <f t="shared" si="201"/>
        <v/>
      </c>
      <c r="AE5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538="CERRADO",1,IF(V538="BRONCE",_xlpm.cPl,IF(V538="PLATA",_xlpm.cO,IF(V538="ORO",_xlpm.cP,IF(V538="PLATINO",_xlpm.cD,999))))))</f>
        <v>86.439123873763251</v>
      </c>
      <c r="AF5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538="CERRADO",0,IF(V538="BRONCE",1,IF(V538="PLATA",_xlpm.cPl,IF(V538="ORO",_xlpm.cO,IF(V538="PLATINO",_xlpm.cP,_xlpm.cD))))))</f>
        <v>63.199193273331495</v>
      </c>
      <c r="AG538">
        <f t="shared" si="202"/>
        <v>3.2149313838642684</v>
      </c>
      <c r="AH538" t="str">
        <f t="shared" si="203"/>
        <v>VENTAS</v>
      </c>
      <c r="AI538" t="str">
        <f t="shared" si="200"/>
        <v>🎯 Para subir de categoría, eje VENTAS / IMPACTO ABSOLUTO (H). Acción: metas semanales + activación comercial + seguimiento del asesor. ΔR aprox: 3,2</v>
      </c>
      <c r="AJ538" s="26">
        <f>_xlfn.LET(_xlpm.piso,AF538,_xlpm.corte,AE538,_xlpm.prog,IF(_xlpm.corte&lt;=_xlpm.piso,0,MAX(0,MIN(1,(U538-_xlpm.piso)/(_xlpm.corte-_xlpm.piso)))),_xlpm.orden,{"DIAMANTE";"PLATINO";"ORO";"PLATA";"BRONCE";"CERRADO"},_xlpm.act,IFERROR(MATCH(V538,_xlpm.orden,0),6),_xlpm.ant,IFERROR(MATCH(W538,_xlpm.orden,0),6),_xlpm.ajmov,IF(_xlpm.act&lt;_xlpm.ant,0.08,IF(_xlpm.act&gt;_xlpm.ant,-0.08,0)),_xlpm.ajcli,IF(T538&lt;0.95,-0.06,0),_xlpm.prob,MAX(0,MIN(1,_xlpm.prog+_xlpm.ajmov+_xlpm.ajcli)),IF(OR(V538="DIAMANTE",V538="CERRADO"),0,ROUND(_xlpm.prob,2)))</f>
        <v>0.86</v>
      </c>
      <c r="AK538" t="str">
        <f t="shared" si="204"/>
        <v>Faltan 3,2 puntos base para subir a la siguiente categoría</v>
      </c>
      <c r="AL538" t="str">
        <f t="shared" si="205"/>
        <v>Margen de seguridad: 20,0 puntos</v>
      </c>
      <c r="AM538">
        <f t="shared" si="206"/>
        <v>0.18</v>
      </c>
      <c r="AN538" t="str">
        <f t="shared" si="207"/>
        <v>PRIORIDAD BAJA – control normal</v>
      </c>
      <c r="AO538">
        <f t="shared" si="208"/>
        <v>9.2240719886048623</v>
      </c>
      <c r="AP538">
        <f t="shared" si="209"/>
        <v>0.3823047967917379</v>
      </c>
      <c r="AQ538">
        <f t="shared" si="210"/>
        <v>3.1999999999998252E-2</v>
      </c>
      <c r="AR538">
        <f t="shared" si="211"/>
        <v>7</v>
      </c>
      <c r="AS538">
        <f t="shared" si="212"/>
        <v>0</v>
      </c>
      <c r="AT538" t="str">
        <f t="shared" si="213"/>
        <v>VENTAS</v>
      </c>
      <c r="AU538">
        <f t="shared" si="214"/>
        <v>9.2240719886048623</v>
      </c>
      <c r="AV538" t="str">
        <f t="shared" si="215"/>
        <v>Mayor retorno probable: VENTAS (+9,2 puntos finales potenciales).</v>
      </c>
    </row>
    <row r="539" spans="1:48" x14ac:dyDescent="0.3">
      <c r="A539" s="5">
        <v>51042905</v>
      </c>
      <c r="B539" s="5" t="str">
        <f>IFERROR(VLOOKUP(A539,VENTAS!$A$2:$B$1194,2,0),"")</f>
        <v>NELLI</v>
      </c>
      <c r="C539" s="5">
        <f>IFERROR(INDEX(VENTAS!$C$2:$E$1194,MATCH(A539,VENTAS!$A$2:$A$1194,0),MATCH(PARAMS_MODELO!$B$2,{"Q1","Q2","Q3"},0)),0)</f>
        <v>47980605.559999987</v>
      </c>
      <c r="D539" s="5">
        <f>IFERROR(INDEX(VENTAS!$F$2:$H$1194,MATCH(A539,VENTAS!$A$2:$A$1194,0),MATCH(PARAMS_MODELO!$B$2,{"Q1","Q2","Q3"},0)),0)</f>
        <v>73238789</v>
      </c>
      <c r="E539" s="8">
        <f t="shared" si="192"/>
        <v>0.52642485740232114</v>
      </c>
      <c r="F539" s="12">
        <f>IF(E539&lt;=PARAMS_MODELO!$B$15,0,IF(E539&gt;=PARAMS_MODELO!$B$17,100,100*MIN(1,(E539-PARAMS_MODELO!$B$15)/(PARAMS_MODELO!$B$16-PARAMS_MODELO!$B$15))))*PARAMS_MODELO!$B$7</f>
        <v>35</v>
      </c>
      <c r="G539" s="5">
        <f t="shared" si="193"/>
        <v>25258183.440000013</v>
      </c>
      <c r="H539" s="5">
        <f>(PARAMS_MODELO!$B$20*(MAX(0,MIN(3,E539))/3)+PARAMS_MODELO!$B$21*(IFERROR(LN(1+MAX(0,G539))/LN(1+MAX(0,MAX($G$2:$G$1194))),0)))*100*PARAMS_MODELO!$B$8</f>
        <v>5.8379934471079205</v>
      </c>
      <c r="I539" s="8">
        <f>E539-PARAMS_MODELO!$B$5</f>
        <v>0.34886202202679462</v>
      </c>
      <c r="J539" s="5">
        <f>IF(I539&lt;=PARAMS_MODELO!$B$18,0,IF(I539&gt;=PARAMS_MODELO!$B$19,100,100*(I539-PARAMS_MODELO!$B$18)/(PARAMS_MODELO!$B$19-PARAMS_MODELO!$B$18)))*PARAMS_MODELO!$B$9</f>
        <v>15</v>
      </c>
      <c r="K539" s="5">
        <f>IFERROR(CHOOSE(MATCH(PARAMS_MODELO!$B$2,{"Q1","Q2","Q3"},0),LOTO!$D539,LOTO!$F539,LOTO!$H539),0)</f>
        <v>3567500</v>
      </c>
      <c r="L539" s="8">
        <f t="shared" si="194"/>
        <v>4.8710526876680059E-2</v>
      </c>
      <c r="M539" s="5">
        <f>MIN(100,IF(PARAMS_MODELO!$B$23=0,0,100*L539/PARAMS_MODELO!$B$23))*PARAMS_MODELO!$B$10</f>
        <v>14.613158063004017</v>
      </c>
      <c r="N539" s="5">
        <f>IFERROR(VLOOKUP(A539,COMPLIANCE!$A$2:$F$1996,6,0),100)</f>
        <v>100</v>
      </c>
      <c r="O539" s="5">
        <f>N539*PARAMS_MODELO!$B$11</f>
        <v>10</v>
      </c>
      <c r="P539" s="5">
        <f>IFERROR(VLOOKUP(A539,DIGITAL!$A$2:$J$2000,7,0),100)</f>
        <v>5</v>
      </c>
      <c r="Q539" s="5">
        <f>IFERROR(P539,0)*PARAMS_MODELO!$B$12</f>
        <v>0.5</v>
      </c>
      <c r="R539">
        <f t="shared" si="195"/>
        <v>80.951151510111941</v>
      </c>
      <c r="S539" s="5" t="str">
        <f>IFERROR(VLOOKUP(A539,CLIENTE!$A$2:$N$2000,13,0),1)</f>
        <v>Malo</v>
      </c>
      <c r="T539" s="5">
        <f>IFERROR(VLOOKUP(A539,CLIENTE!$A$2:$N$2000,14,0),1)</f>
        <v>0.7</v>
      </c>
      <c r="U539" s="5">
        <f t="shared" si="196"/>
        <v>56.665806057078356</v>
      </c>
      <c r="V539" s="5" t="str">
        <f>IF(U539&gt;=MAX(_xlfn.PERCENTILE.INC($U$2:$U$1194,PARAMS_MODELO!$B$50),PARAMS_MODELO!$B$45),"DIAMANTE",IF(U539&gt;=MAX(_xlfn.PERCENTILE.INC($U$2:$U$1194,PARAMS_MODELO!$B$51),PARAMS_MODELO!$B$46),"PLATINO",IF(U539&gt;=MAX(_xlfn.PERCENTILE.INC($U$2:$U$1194,PARAMS_MODELO!$B$52),PARAMS_MODELO!$B$47),"ORO",IF(U539&gt;=MAX(_xlfn.PERCENTILE.INC($U$2:$U$1194,PARAMS_MODELO!$B$53),PARAMS_MODELO!$B$48),"PLATA",IF(U539&gt;=1,"BRONCE","CERRADO")))))</f>
        <v>PLATA</v>
      </c>
      <c r="W539" s="5" t="str" cm="1">
        <f t="array" ref="W539">_xlfn.XLOOKUP(1, (HIST_SCORE!$B:$B=PARAMS_MODELO!$B$4) * (HIST_SCORE!$C:$C=A539), HIST_SCORE!$E:$E, "No encontrado")</f>
        <v>PLATA</v>
      </c>
      <c r="X539" s="5" t="str">
        <f>_xlfn.LET(_xlpm.act,MATCH(V539,{"DIAMANTE";"PLATINO";"ORO";"PLATA";"BRONCE";"CERRADO"},0),_xlpm.ant,MATCH(W539,{"DIAMANTE";"PLATINO";"ORO";"PLATA";"BRONCE";"CERRADO"},0),IF(_xlpm.act&lt;_xlpm.ant,"Mejora ↑",IF(_xlpm.act&gt;_xlpm.ant,"Baja ↓","Estable →")))</f>
        <v>Estable →</v>
      </c>
      <c r="Y539" s="5">
        <f>IFERROR(U539-SUMIFS(HIST_SCORE!$D:$D,HIST_SCORE!$B:$B,PARAMS_MODELO!$B$4,HIST_SCORE!$C:$C,$A539),"")</f>
        <v>7.2720951918356036E-2</v>
      </c>
      <c r="Z539" s="5" t="str">
        <f t="shared" si="197"/>
        <v>→ Estable</v>
      </c>
      <c r="AA539" s="5">
        <f t="shared" si="198"/>
        <v>688</v>
      </c>
      <c r="AB539" s="5">
        <f>IFERROR(SUMIFS(HIST_SCORE!$F:$F,HIST_SCORE!$B:$B,PARAMS_MODELO!$B$4,HIST_SCORE!$C:$C,$A539),"")</f>
        <v>719</v>
      </c>
      <c r="AC539" s="5">
        <f t="shared" si="199"/>
        <v>31</v>
      </c>
      <c r="AD539" t="str">
        <f t="shared" si="201"/>
        <v/>
      </c>
      <c r="AE5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539="CERRADO",1,IF(V539="BRONCE",_xlpm.cPl,IF(V539="PLATA",_xlpm.cO,IF(V539="ORO",_xlpm.cP,IF(V539="PLATINO",_xlpm.cD,999))))))</f>
        <v>63.199193273331495</v>
      </c>
      <c r="AF5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539="CERRADO",0,IF(V539="BRONCE",1,IF(V539="PLATA",_xlpm.cPl,IF(V539="ORO",_xlpm.cO,IF(V539="PLATINO",_xlpm.cP,_xlpm.cD))))))</f>
        <v>24.506573482968111</v>
      </c>
      <c r="AG539">
        <f t="shared" si="202"/>
        <v>9.333410308933054</v>
      </c>
      <c r="AH539" t="str">
        <f t="shared" si="203"/>
        <v>CLIENTE</v>
      </c>
      <c r="AI539" t="str">
        <f t="shared" si="200"/>
        <v>🎯 Para subir de categoría, la eje con mayor impacto probable es CLIENTE (coef T). Acción: reducir quejas, mejorar incógnito y empujar reseñas. ΔR aprox: 9,3</v>
      </c>
      <c r="AJ539" s="26">
        <f>_xlfn.LET(_xlpm.piso,AF539,_xlpm.corte,AE539,_xlpm.prog,IF(_xlpm.corte&lt;=_xlpm.piso,0,MAX(0,MIN(1,(U539-_xlpm.piso)/(_xlpm.corte-_xlpm.piso)))),_xlpm.orden,{"DIAMANTE";"PLATINO";"ORO";"PLATA";"BRONCE";"CERRADO"},_xlpm.act,IFERROR(MATCH(V539,_xlpm.orden,0),6),_xlpm.ant,IFERROR(MATCH(W539,_xlpm.orden,0),6),_xlpm.ajmov,IF(_xlpm.act&lt;_xlpm.ant,0.08,IF(_xlpm.act&gt;_xlpm.ant,-0.08,0)),_xlpm.ajcli,IF(T539&lt;0.95,-0.06,0),_xlpm.prob,MAX(0,MIN(1,_xlpm.prog+_xlpm.ajmov+_xlpm.ajcli)),IF(OR(V539="DIAMANTE",V539="CERRADO"),0,ROUND(_xlpm.prob,2)))</f>
        <v>0.77</v>
      </c>
      <c r="AK539" t="str">
        <f t="shared" si="204"/>
        <v>Faltan 9,3 puntos base para subir a la siguiente categoría</v>
      </c>
      <c r="AL539" t="str">
        <f t="shared" si="205"/>
        <v>Margen de seguridad: 32,2 puntos</v>
      </c>
      <c r="AM539">
        <f t="shared" si="206"/>
        <v>0.67</v>
      </c>
      <c r="AN539" t="str">
        <f t="shared" si="207"/>
        <v>PRIORIDAD MEDIA – seguimiento del asesor</v>
      </c>
      <c r="AO539">
        <f t="shared" si="208"/>
        <v>6.3172030797313647</v>
      </c>
      <c r="AP539">
        <f t="shared" si="209"/>
        <v>0.27078935589718839</v>
      </c>
      <c r="AQ539">
        <f t="shared" si="210"/>
        <v>0</v>
      </c>
      <c r="AR539">
        <f t="shared" si="211"/>
        <v>6.6499999999999995</v>
      </c>
      <c r="AS539">
        <f t="shared" si="212"/>
        <v>24.285345453033585</v>
      </c>
      <c r="AT539" t="str">
        <f t="shared" si="213"/>
        <v>CLIENTE</v>
      </c>
      <c r="AU539">
        <f t="shared" si="214"/>
        <v>24.285345453033585</v>
      </c>
      <c r="AV539" t="str">
        <f t="shared" si="215"/>
        <v>Mayor retorno probable: CLIENTE (+24,3 puntos finales potenciales).</v>
      </c>
    </row>
    <row r="540" spans="1:48" x14ac:dyDescent="0.3">
      <c r="A540" s="5">
        <v>51010833</v>
      </c>
      <c r="B540" s="5" t="str">
        <f>IFERROR(VLOOKUP(A540,VENTAS!$A$2:$B$1194,2,0),"")</f>
        <v>PRADES</v>
      </c>
      <c r="C540" s="5">
        <f>IFERROR(INDEX(VENTAS!$C$2:$E$1194,MATCH(A540,VENTAS!$A$2:$A$1194,0),MATCH(PARAMS_MODELO!$B$2,{"Q1","Q2","Q3"},0)),0)</f>
        <v>54502026.200000003</v>
      </c>
      <c r="D540" s="5">
        <f>IFERROR(INDEX(VENTAS!$F$2:$H$1194,MATCH(A540,VENTAS!$A$2:$A$1194,0),MATCH(PARAMS_MODELO!$B$2,{"Q1","Q2","Q3"},0)),0)</f>
        <v>73221536</v>
      </c>
      <c r="E540" s="8">
        <f t="shared" si="192"/>
        <v>0.34346447472075803</v>
      </c>
      <c r="F540" s="12">
        <f>IF(E540&lt;=PARAMS_MODELO!$B$15,0,IF(E540&gt;=PARAMS_MODELO!$B$17,100,100*MIN(1,(E540-PARAMS_MODELO!$B$15)/(PARAMS_MODELO!$B$16-PARAMS_MODELO!$B$15))))*PARAMS_MODELO!$B$7</f>
        <v>35</v>
      </c>
      <c r="G540" s="5">
        <f t="shared" si="193"/>
        <v>18719509.799999997</v>
      </c>
      <c r="H540" s="5">
        <f>(PARAMS_MODELO!$B$20*(MAX(0,MIN(3,E540))/3)+PARAMS_MODELO!$B$21*(IFERROR(LN(1+MAX(0,G540))/LN(1+MAX(0,MAX($G$2:$G$1194))),0)))*100*PARAMS_MODELO!$B$8</f>
        <v>5.1274054588800153</v>
      </c>
      <c r="I540" s="8">
        <f>E540-PARAMS_MODELO!$B$5</f>
        <v>0.1659016393452315</v>
      </c>
      <c r="J540" s="5">
        <f>IF(I540&lt;=PARAMS_MODELO!$B$18,0,IF(I540&gt;=PARAMS_MODELO!$B$19,100,100*(I540-PARAMS_MODELO!$B$18)/(PARAMS_MODELO!$B$19-PARAMS_MODELO!$B$18)))*PARAMS_MODELO!$B$9</f>
        <v>15</v>
      </c>
      <c r="K540" s="5">
        <f>IFERROR(CHOOSE(MATCH(PARAMS_MODELO!$B$2,{"Q1","Q2","Q3"},0),LOTO!$D540,LOTO!$F540,LOTO!$H540),0)</f>
        <v>3562500</v>
      </c>
      <c r="L540" s="8">
        <f t="shared" si="194"/>
        <v>4.8653718490691042E-2</v>
      </c>
      <c r="M540" s="5">
        <f>MIN(100,IF(PARAMS_MODELO!$B$23=0,0,100*L540/PARAMS_MODELO!$B$23))*PARAMS_MODELO!$B$10</f>
        <v>14.596115547207312</v>
      </c>
      <c r="N540" s="5">
        <f>IFERROR(VLOOKUP(A540,COMPLIANCE!$A$2:$F$1996,6,0),100)</f>
        <v>100</v>
      </c>
      <c r="O540" s="5">
        <f>N540*PARAMS_MODELO!$B$11</f>
        <v>10</v>
      </c>
      <c r="P540" s="5">
        <f>IFERROR(VLOOKUP(A540,DIGITAL!$A$2:$J$2000,7,0),100)</f>
        <v>57</v>
      </c>
      <c r="Q540" s="5">
        <f>IFERROR(P540,0)*PARAMS_MODELO!$B$12</f>
        <v>5.7</v>
      </c>
      <c r="R540">
        <f t="shared" si="195"/>
        <v>85.423521006087327</v>
      </c>
      <c r="S540" s="5" t="str">
        <f>IFERROR(VLOOKUP(A540,CLIENTE!$A$2:$N$2000,13,0),1)</f>
        <v>Malo</v>
      </c>
      <c r="T540" s="5">
        <f>IFERROR(VLOOKUP(A540,CLIENTE!$A$2:$N$2000,14,0),1)</f>
        <v>0.7</v>
      </c>
      <c r="U540" s="5">
        <f t="shared" si="196"/>
        <v>59.796464704261126</v>
      </c>
      <c r="V540" s="5" t="str">
        <f>IF(U540&gt;=MAX(_xlfn.PERCENTILE.INC($U$2:$U$1194,PARAMS_MODELO!$B$50),PARAMS_MODELO!$B$45),"DIAMANTE",IF(U540&gt;=MAX(_xlfn.PERCENTILE.INC($U$2:$U$1194,PARAMS_MODELO!$B$51),PARAMS_MODELO!$B$46),"PLATINO",IF(U540&gt;=MAX(_xlfn.PERCENTILE.INC($U$2:$U$1194,PARAMS_MODELO!$B$52),PARAMS_MODELO!$B$47),"ORO",IF(U540&gt;=MAX(_xlfn.PERCENTILE.INC($U$2:$U$1194,PARAMS_MODELO!$B$53),PARAMS_MODELO!$B$48),"PLATA",IF(U540&gt;=1,"BRONCE","CERRADO")))))</f>
        <v>PLATA</v>
      </c>
      <c r="W540" s="5" t="str" cm="1">
        <f t="array" ref="W540">_xlfn.XLOOKUP(1, (HIST_SCORE!$B:$B=PARAMS_MODELO!$B$4) * (HIST_SCORE!$C:$C=A540), HIST_SCORE!$E:$E, "No encontrado")</f>
        <v>PLATA</v>
      </c>
      <c r="X540" s="5" t="str">
        <f>_xlfn.LET(_xlpm.act,MATCH(V540,{"DIAMANTE";"PLATINO";"ORO";"PLATA";"BRONCE";"CERRADO"},0),_xlpm.ant,MATCH(W540,{"DIAMANTE";"PLATINO";"ORO";"PLATA";"BRONCE";"CERRADO"},0),IF(_xlpm.act&lt;_xlpm.ant,"Mejora ↑",IF(_xlpm.act&gt;_xlpm.ant,"Baja ↓","Estable →")))</f>
        <v>Estable →</v>
      </c>
      <c r="Y540" s="5">
        <f>IFERROR(U540-SUMIFS(HIST_SCORE!$D:$D,HIST_SCORE!$B:$B,PARAMS_MODELO!$B$4,HIST_SCORE!$C:$C,$A540),"")</f>
        <v>10.797372746472291</v>
      </c>
      <c r="Z540" s="5" t="str">
        <f t="shared" si="197"/>
        <v>↑ Mejora</v>
      </c>
      <c r="AA540" s="5">
        <f t="shared" si="198"/>
        <v>623</v>
      </c>
      <c r="AB540" s="5">
        <f>IFERROR(SUMIFS(HIST_SCORE!$F:$F,HIST_SCORE!$B:$B,PARAMS_MODELO!$B$4,HIST_SCORE!$C:$C,$A540),"")</f>
        <v>780</v>
      </c>
      <c r="AC540" s="5">
        <f t="shared" si="199"/>
        <v>157</v>
      </c>
      <c r="AD540" t="str">
        <f t="shared" si="201"/>
        <v/>
      </c>
      <c r="AE5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540="CERRADO",1,IF(V540="BRONCE",_xlpm.cPl,IF(V540="PLATA",_xlpm.cO,IF(V540="ORO",_xlpm.cP,IF(V540="PLATINO",_xlpm.cD,999))))))</f>
        <v>63.199193273331495</v>
      </c>
      <c r="AF5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540="CERRADO",0,IF(V540="BRONCE",1,IF(V540="PLATA",_xlpm.cPl,IF(V540="ORO",_xlpm.cO,IF(V540="PLATINO",_xlpm.cP,_xlpm.cD))))))</f>
        <v>24.506573482968111</v>
      </c>
      <c r="AG540">
        <f t="shared" si="202"/>
        <v>4.8610408129576683</v>
      </c>
      <c r="AH540" t="str">
        <f t="shared" si="203"/>
        <v>CLIENTE</v>
      </c>
      <c r="AI540" t="str">
        <f t="shared" si="200"/>
        <v>🎯 Para subir de categoría, la eje con mayor impacto probable es CLIENTE (coef T). Acción: reducir quejas, mejorar incógnito y empujar reseñas. ΔR aprox: 4,9</v>
      </c>
      <c r="AJ540" s="26">
        <f>_xlfn.LET(_xlpm.piso,AF540,_xlpm.corte,AE540,_xlpm.prog,IF(_xlpm.corte&lt;=_xlpm.piso,0,MAX(0,MIN(1,(U540-_xlpm.piso)/(_xlpm.corte-_xlpm.piso)))),_xlpm.orden,{"DIAMANTE";"PLATINO";"ORO";"PLATA";"BRONCE";"CERRADO"},_xlpm.act,IFERROR(MATCH(V540,_xlpm.orden,0),6),_xlpm.ant,IFERROR(MATCH(W540,_xlpm.orden,0),6),_xlpm.ajmov,IF(_xlpm.act&lt;_xlpm.ant,0.08,IF(_xlpm.act&gt;_xlpm.ant,-0.08,0)),_xlpm.ajcli,IF(T540&lt;0.95,-0.06,0),_xlpm.prob,MAX(0,MIN(1,_xlpm.prog+_xlpm.ajmov+_xlpm.ajcli)),IF(OR(V540="DIAMANTE",V540="CERRADO"),0,ROUND(_xlpm.prob,2)))</f>
        <v>0.85</v>
      </c>
      <c r="AK540" t="str">
        <f t="shared" si="204"/>
        <v>Faltan 4,9 puntos base para subir a la siguiente categoría</v>
      </c>
      <c r="AL540" t="str">
        <f t="shared" si="205"/>
        <v>Margen de seguridad: 35,3 puntos</v>
      </c>
      <c r="AM540">
        <f t="shared" si="206"/>
        <v>0.45</v>
      </c>
      <c r="AN540" t="str">
        <f t="shared" si="207"/>
        <v>PRIORIDAD MEDIA – seguimiento del asesor</v>
      </c>
      <c r="AO540">
        <f t="shared" si="208"/>
        <v>6.8146146714908999</v>
      </c>
      <c r="AP540">
        <f t="shared" si="209"/>
        <v>0.28271911695488183</v>
      </c>
      <c r="AQ540">
        <f t="shared" si="210"/>
        <v>0</v>
      </c>
      <c r="AR540">
        <f t="shared" si="211"/>
        <v>3.01</v>
      </c>
      <c r="AS540">
        <f t="shared" si="212"/>
        <v>25.627056301826201</v>
      </c>
      <c r="AT540" t="str">
        <f t="shared" si="213"/>
        <v>CLIENTE</v>
      </c>
      <c r="AU540">
        <f t="shared" si="214"/>
        <v>25.627056301826201</v>
      </c>
      <c r="AV540" t="str">
        <f t="shared" si="215"/>
        <v>Mayor retorno probable: CLIENTE (+25,6 puntos finales potenciales).</v>
      </c>
    </row>
    <row r="541" spans="1:48" x14ac:dyDescent="0.3">
      <c r="A541" s="5">
        <v>51042956</v>
      </c>
      <c r="B541" s="5" t="str">
        <f>IFERROR(VLOOKUP(A541,VENTAS!$A$2:$B$1194,2,0),"")</f>
        <v>NELLI</v>
      </c>
      <c r="C541" s="5">
        <f>IFERROR(INDEX(VENTAS!$C$2:$E$1194,MATCH(A541,VENTAS!$A$2:$A$1194,0),MATCH(PARAMS_MODELO!$B$2,{"Q1","Q2","Q3"},0)),0)</f>
        <v>55433505.799999997</v>
      </c>
      <c r="D541" s="5">
        <f>IFERROR(INDEX(VENTAS!$F$2:$H$1194,MATCH(A541,VENTAS!$A$2:$A$1194,0),MATCH(PARAMS_MODELO!$B$2,{"Q1","Q2","Q3"},0)),0)</f>
        <v>73181985</v>
      </c>
      <c r="E541" s="8">
        <f t="shared" si="192"/>
        <v>0.32017601888711877</v>
      </c>
      <c r="F541" s="12">
        <f>IF(E541&lt;=PARAMS_MODELO!$B$15,0,IF(E541&gt;=PARAMS_MODELO!$B$17,100,100*MIN(1,(E541-PARAMS_MODELO!$B$15)/(PARAMS_MODELO!$B$16-PARAMS_MODELO!$B$15))))*PARAMS_MODELO!$B$7</f>
        <v>35</v>
      </c>
      <c r="G541" s="5">
        <f t="shared" si="193"/>
        <v>17748479.200000003</v>
      </c>
      <c r="H541" s="5">
        <f>(PARAMS_MODELO!$B$20*(MAX(0,MIN(3,E541))/3)+PARAMS_MODELO!$B$21*(IFERROR(LN(1+MAX(0,G541))/LN(1+MAX(0,MAX($G$2:$G$1194))),0)))*100*PARAMS_MODELO!$B$8</f>
        <v>5.0334094642952074</v>
      </c>
      <c r="I541" s="8">
        <f>E541-PARAMS_MODELO!$B$5</f>
        <v>0.14261318351159225</v>
      </c>
      <c r="J541" s="5">
        <f>IF(I541&lt;=PARAMS_MODELO!$B$18,0,IF(I541&gt;=PARAMS_MODELO!$B$19,100,100*(I541-PARAMS_MODELO!$B$18)/(PARAMS_MODELO!$B$19-PARAMS_MODELO!$B$18)))*PARAMS_MODELO!$B$9</f>
        <v>15</v>
      </c>
      <c r="K541" s="5">
        <f>IFERROR(CHOOSE(MATCH(PARAMS_MODELO!$B$2,{"Q1","Q2","Q3"},0),LOTO!$D541,LOTO!$F541,LOTO!$H541),0)</f>
        <v>3560000</v>
      </c>
      <c r="L541" s="8">
        <f t="shared" si="194"/>
        <v>4.86458518445489E-2</v>
      </c>
      <c r="M541" s="5">
        <f>MIN(100,IF(PARAMS_MODELO!$B$23=0,0,100*L541/PARAMS_MODELO!$B$23))*PARAMS_MODELO!$B$10</f>
        <v>14.593755553364669</v>
      </c>
      <c r="N541" s="5">
        <f>IFERROR(VLOOKUP(A541,COMPLIANCE!$A$2:$F$1996,6,0),100)</f>
        <v>99.98</v>
      </c>
      <c r="O541" s="5">
        <f>N541*PARAMS_MODELO!$B$11</f>
        <v>9.9980000000000011</v>
      </c>
      <c r="P541" s="5">
        <f>IFERROR(VLOOKUP(A541,DIGITAL!$A$2:$J$2000,7,0),100)</f>
        <v>88</v>
      </c>
      <c r="Q541" s="5">
        <f>IFERROR(P541,0)*PARAMS_MODELO!$B$12</f>
        <v>8.8000000000000007</v>
      </c>
      <c r="R541">
        <f t="shared" si="195"/>
        <v>88.425165017659879</v>
      </c>
      <c r="S541" s="5" t="str">
        <f>IFERROR(VLOOKUP(A541,CLIENTE!$A$2:$N$2000,13,0),1)</f>
        <v>Regular</v>
      </c>
      <c r="T541" s="5">
        <f>IFERROR(VLOOKUP(A541,CLIENTE!$A$2:$N$2000,14,0),1)</f>
        <v>1</v>
      </c>
      <c r="U541" s="5">
        <f t="shared" si="196"/>
        <v>88.425165017659879</v>
      </c>
      <c r="V541" s="5" t="str">
        <f>IF(U541&gt;=MAX(_xlfn.PERCENTILE.INC($U$2:$U$1194,PARAMS_MODELO!$B$50),PARAMS_MODELO!$B$45),"DIAMANTE",IF(U541&gt;=MAX(_xlfn.PERCENTILE.INC($U$2:$U$1194,PARAMS_MODELO!$B$51),PARAMS_MODELO!$B$46),"PLATINO",IF(U541&gt;=MAX(_xlfn.PERCENTILE.INC($U$2:$U$1194,PARAMS_MODELO!$B$52),PARAMS_MODELO!$B$47),"ORO",IF(U541&gt;=MAX(_xlfn.PERCENTILE.INC($U$2:$U$1194,PARAMS_MODELO!$B$53),PARAMS_MODELO!$B$48),"PLATA",IF(U541&gt;=1,"BRONCE","CERRADO")))))</f>
        <v>PLATINO</v>
      </c>
      <c r="W541" s="5" t="str" cm="1">
        <f t="array" ref="W541">_xlfn.XLOOKUP(1, (HIST_SCORE!$B:$B=PARAMS_MODELO!$B$4) * (HIST_SCORE!$C:$C=A541), HIST_SCORE!$E:$E, "No encontrado")</f>
        <v>PLATINO</v>
      </c>
      <c r="X541" s="5" t="str">
        <f>_xlfn.LET(_xlpm.act,MATCH(V541,{"DIAMANTE";"PLATINO";"ORO";"PLATA";"BRONCE";"CERRADO"},0),_xlpm.ant,MATCH(W541,{"DIAMANTE";"PLATINO";"ORO";"PLATA";"BRONCE";"CERRADO"},0),IF(_xlpm.act&lt;_xlpm.ant,"Mejora ↑",IF(_xlpm.act&gt;_xlpm.ant,"Baja ↓","Estable →")))</f>
        <v>Estable →</v>
      </c>
      <c r="Y541" s="5">
        <f>IFERROR(U541-SUMIFS(HIST_SCORE!$D:$D,HIST_SCORE!$B:$B,PARAMS_MODELO!$B$4,HIST_SCORE!$C:$C,$A541),"")</f>
        <v>0.63307916322378333</v>
      </c>
      <c r="Z541" s="5" t="str">
        <f t="shared" si="197"/>
        <v>→ Estable</v>
      </c>
      <c r="AA541" s="5">
        <f t="shared" si="198"/>
        <v>186</v>
      </c>
      <c r="AB541" s="5">
        <f>IFERROR(SUMIFS(HIST_SCORE!$F:$F,HIST_SCORE!$B:$B,PARAMS_MODELO!$B$4,HIST_SCORE!$C:$C,$A541),"")</f>
        <v>185</v>
      </c>
      <c r="AC541" s="5">
        <f t="shared" si="199"/>
        <v>-1</v>
      </c>
      <c r="AD541" t="str">
        <f t="shared" si="201"/>
        <v/>
      </c>
      <c r="AE5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541="CERRADO",1,IF(V541="BRONCE",_xlpm.cPl,IF(V541="PLATA",_xlpm.cO,IF(V541="ORO",_xlpm.cP,IF(V541="PLATINO",_xlpm.cD,999))))))</f>
        <v>96.054919694466676</v>
      </c>
      <c r="AF5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541="CERRADO",0,IF(V541="BRONCE",1,IF(V541="PLATA",_xlpm.cPl,IF(V541="ORO",_xlpm.cO,IF(V541="PLATINO",_xlpm.cP,_xlpm.cD))))))</f>
        <v>86.439123873763251</v>
      </c>
      <c r="AG541">
        <f t="shared" si="202"/>
        <v>7.6297546768067974</v>
      </c>
      <c r="AH541" t="str">
        <f t="shared" si="203"/>
        <v>VENTAS</v>
      </c>
      <c r="AI541" t="str">
        <f t="shared" si="200"/>
        <v>🎯 Para subir de categoría, eje VENTAS / IMPACTO ABSOLUTO (H). Acción: metas semanales + activación comercial + seguimiento del asesor. ΔR aprox: 7,6</v>
      </c>
      <c r="AJ541" s="26">
        <f>_xlfn.LET(_xlpm.piso,AF541,_xlpm.corte,AE541,_xlpm.prog,IF(_xlpm.corte&lt;=_xlpm.piso,0,MAX(0,MIN(1,(U541-_xlpm.piso)/(_xlpm.corte-_xlpm.piso)))),_xlpm.orden,{"DIAMANTE";"PLATINO";"ORO";"PLATA";"BRONCE";"CERRADO"},_xlpm.act,IFERROR(MATCH(V541,_xlpm.orden,0),6),_xlpm.ant,IFERROR(MATCH(W541,_xlpm.orden,0),6),_xlpm.ajmov,IF(_xlpm.act&lt;_xlpm.ant,0.08,IF(_xlpm.act&gt;_xlpm.ant,-0.08,0)),_xlpm.ajcli,IF(T541&lt;0.95,-0.06,0),_xlpm.prob,MAX(0,MIN(1,_xlpm.prog+_xlpm.ajmov+_xlpm.ajcli)),IF(OR(V541="DIAMANTE",V541="CERRADO"),0,ROUND(_xlpm.prob,2)))</f>
        <v>0.21</v>
      </c>
      <c r="AK541" t="str">
        <f t="shared" si="204"/>
        <v>Faltan 7,6 puntos base para subir a la siguiente categoría</v>
      </c>
      <c r="AL541" t="str">
        <f t="shared" si="205"/>
        <v>Margen de seguridad: 2,0 puntos</v>
      </c>
      <c r="AM541">
        <f t="shared" si="206"/>
        <v>0.62</v>
      </c>
      <c r="AN541" t="str">
        <f t="shared" si="207"/>
        <v>PRIORIDAD MEDIA – seguimiento del asesor</v>
      </c>
      <c r="AO541">
        <f t="shared" si="208"/>
        <v>9.8291598110003804</v>
      </c>
      <c r="AP541">
        <f t="shared" si="209"/>
        <v>0.40624444663533055</v>
      </c>
      <c r="AQ541">
        <f t="shared" si="210"/>
        <v>1.9999999999988916E-3</v>
      </c>
      <c r="AR541">
        <f t="shared" si="211"/>
        <v>1.1999999999999993</v>
      </c>
      <c r="AS541">
        <f t="shared" si="212"/>
        <v>0</v>
      </c>
      <c r="AT541" t="str">
        <f t="shared" si="213"/>
        <v>VENTAS</v>
      </c>
      <c r="AU541">
        <f t="shared" si="214"/>
        <v>9.8291598110003804</v>
      </c>
      <c r="AV541" t="str">
        <f t="shared" si="215"/>
        <v>Mayor retorno probable: VENTAS (+9,8 puntos finales potenciales).</v>
      </c>
    </row>
    <row r="542" spans="1:48" x14ac:dyDescent="0.3">
      <c r="A542" s="5">
        <v>51039645</v>
      </c>
      <c r="B542" s="5" t="str">
        <f>IFERROR(VLOOKUP(A542,VENTAS!$A$2:$B$1194,2,0),"")</f>
        <v>LÓPEZ</v>
      </c>
      <c r="C542" s="5">
        <f>IFERROR(INDEX(VENTAS!$C$2:$E$1194,MATCH(A542,VENTAS!$A$2:$A$1194,0),MATCH(PARAMS_MODELO!$B$2,{"Q1","Q2","Q3"},0)),0)</f>
        <v>62365061.169999987</v>
      </c>
      <c r="D542" s="5">
        <f>IFERROR(INDEX(VENTAS!$F$2:$H$1194,MATCH(A542,VENTAS!$A$2:$A$1194,0),MATCH(PARAMS_MODELO!$B$2,{"Q1","Q2","Q3"},0)),0)</f>
        <v>73012531</v>
      </c>
      <c r="E542" s="8">
        <f t="shared" si="192"/>
        <v>0.17072812293050155</v>
      </c>
      <c r="F542" s="12">
        <f>IF(E542&lt;=PARAMS_MODELO!$B$15,0,IF(E542&gt;=PARAMS_MODELO!$B$17,100,100*MIN(1,(E542-PARAMS_MODELO!$B$15)/(PARAMS_MODELO!$B$16-PARAMS_MODELO!$B$15))))*PARAMS_MODELO!$B$7</f>
        <v>35</v>
      </c>
      <c r="G542" s="5">
        <f t="shared" si="193"/>
        <v>10647469.830000013</v>
      </c>
      <c r="H542" s="5">
        <f>(PARAMS_MODELO!$B$20*(MAX(0,MIN(3,E542))/3)+PARAMS_MODELO!$B$21*(IFERROR(LN(1+MAX(0,G542))/LN(1+MAX(0,MAX($G$2:$G$1194))),0)))*100*PARAMS_MODELO!$B$8</f>
        <v>4.3905615673184988</v>
      </c>
      <c r="I542" s="8">
        <f>E542-PARAMS_MODELO!$B$5</f>
        <v>-6.8347124450249819E-3</v>
      </c>
      <c r="J542" s="5">
        <f>IF(I542&lt;=PARAMS_MODELO!$B$18,0,IF(I542&gt;=PARAMS_MODELO!$B$19,100,100*(I542-PARAMS_MODELO!$B$18)/(PARAMS_MODELO!$B$19-PARAMS_MODELO!$B$18)))*PARAMS_MODELO!$B$9</f>
        <v>6.4747931332462523</v>
      </c>
      <c r="K542" s="5">
        <f>IFERROR(CHOOSE(MATCH(PARAMS_MODELO!$B$2,{"Q1","Q2","Q3"},0),LOTO!$D542,LOTO!$F542,LOTO!$H542),0)</f>
        <v>3557500</v>
      </c>
      <c r="L542" s="8">
        <f t="shared" si="194"/>
        <v>4.8724512782607136E-2</v>
      </c>
      <c r="M542" s="5">
        <f>MIN(100,IF(PARAMS_MODELO!$B$23=0,0,100*L542/PARAMS_MODELO!$B$23))*PARAMS_MODELO!$B$10</f>
        <v>14.61735383478214</v>
      </c>
      <c r="N542" s="5">
        <f>IFERROR(VLOOKUP(A542,COMPLIANCE!$A$2:$F$1996,6,0),100)</f>
        <v>100</v>
      </c>
      <c r="O542" s="5">
        <f>N542*PARAMS_MODELO!$B$11</f>
        <v>10</v>
      </c>
      <c r="P542" s="5">
        <f>IFERROR(VLOOKUP(A542,DIGITAL!$A$2:$J$2000,7,0),100)</f>
        <v>47</v>
      </c>
      <c r="Q542" s="5">
        <f>IFERROR(P542,0)*PARAMS_MODELO!$B$12</f>
        <v>4.7</v>
      </c>
      <c r="R542">
        <f t="shared" si="195"/>
        <v>75.18270853534689</v>
      </c>
      <c r="S542" s="5" t="str">
        <f>IFERROR(VLOOKUP(A542,CLIENTE!$A$2:$N$2000,13,0),1)</f>
        <v>Bueno</v>
      </c>
      <c r="T542" s="5">
        <f>IFERROR(VLOOKUP(A542,CLIENTE!$A$2:$N$2000,14,0),1)</f>
        <v>1.1000000000000001</v>
      </c>
      <c r="U542" s="5">
        <f t="shared" si="196"/>
        <v>82.700979388881592</v>
      </c>
      <c r="V542" s="5" t="str">
        <f>IF(U542&gt;=MAX(_xlfn.PERCENTILE.INC($U$2:$U$1194,PARAMS_MODELO!$B$50),PARAMS_MODELO!$B$45),"DIAMANTE",IF(U542&gt;=MAX(_xlfn.PERCENTILE.INC($U$2:$U$1194,PARAMS_MODELO!$B$51),PARAMS_MODELO!$B$46),"PLATINO",IF(U542&gt;=MAX(_xlfn.PERCENTILE.INC($U$2:$U$1194,PARAMS_MODELO!$B$52),PARAMS_MODELO!$B$47),"ORO",IF(U542&gt;=MAX(_xlfn.PERCENTILE.INC($U$2:$U$1194,PARAMS_MODELO!$B$53),PARAMS_MODELO!$B$48),"PLATA",IF(U542&gt;=1,"BRONCE","CERRADO")))))</f>
        <v>ORO</v>
      </c>
      <c r="W542" s="5" t="str" cm="1">
        <f t="array" ref="W542">_xlfn.XLOOKUP(1, (HIST_SCORE!$B:$B=PARAMS_MODELO!$B$4) * (HIST_SCORE!$C:$C=A542), HIST_SCORE!$E:$E, "No encontrado")</f>
        <v>PLATINO</v>
      </c>
      <c r="X542" s="5" t="str">
        <f>_xlfn.LET(_xlpm.act,MATCH(V542,{"DIAMANTE";"PLATINO";"ORO";"PLATA";"BRONCE";"CERRADO"},0),_xlpm.ant,MATCH(W542,{"DIAMANTE";"PLATINO";"ORO";"PLATA";"BRONCE";"CERRADO"},0),IF(_xlpm.act&lt;_xlpm.ant,"Mejora ↑",IF(_xlpm.act&gt;_xlpm.ant,"Baja ↓","Estable →")))</f>
        <v>Baja ↓</v>
      </c>
      <c r="Y542" s="5">
        <f>IFERROR(U542-SUMIFS(HIST_SCORE!$D:$D,HIST_SCORE!$B:$B,PARAMS_MODELO!$B$4,HIST_SCORE!$C:$C,$A542),"")</f>
        <v>-6.9517025961961139</v>
      </c>
      <c r="Z542" s="5" t="str">
        <f t="shared" si="197"/>
        <v>↓ Baja</v>
      </c>
      <c r="AA542" s="5">
        <f t="shared" si="198"/>
        <v>368</v>
      </c>
      <c r="AB542" s="5">
        <f>IFERROR(SUMIFS(HIST_SCORE!$F:$F,HIST_SCORE!$B:$B,PARAMS_MODELO!$B$4,HIST_SCORE!$C:$C,$A542),"")</f>
        <v>137</v>
      </c>
      <c r="AC542" s="5">
        <f t="shared" si="199"/>
        <v>-231</v>
      </c>
      <c r="AD542" t="str">
        <f t="shared" si="201"/>
        <v>Sostener base y reforzar mix</v>
      </c>
      <c r="AE5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542="CERRADO",1,IF(V542="BRONCE",_xlpm.cPl,IF(V542="PLATA",_xlpm.cO,IF(V542="ORO",_xlpm.cP,IF(V542="PLATINO",_xlpm.cD,999))))))</f>
        <v>86.439123873763251</v>
      </c>
      <c r="AF5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542="CERRADO",0,IF(V542="BRONCE",1,IF(V542="PLATA",_xlpm.cPl,IF(V542="ORO",_xlpm.cO,IF(V542="PLATINO",_xlpm.cP,_xlpm.cD))))))</f>
        <v>63.199193273331495</v>
      </c>
      <c r="AG542">
        <f t="shared" si="202"/>
        <v>3.3983131680742389</v>
      </c>
      <c r="AH542" t="str">
        <f t="shared" si="203"/>
        <v>VENTAS</v>
      </c>
      <c r="AI542" t="str">
        <f t="shared" si="200"/>
        <v>🎯 Para subir de categoría, eje VENTAS / IMPACTO ABSOLUTO (H). Acción: metas semanales + activación comercial + seguimiento del asesor. ΔR aprox: 3,4</v>
      </c>
      <c r="AJ542" s="26">
        <f>_xlfn.LET(_xlpm.piso,AF542,_xlpm.corte,AE542,_xlpm.prog,IF(_xlpm.corte&lt;=_xlpm.piso,0,MAX(0,MIN(1,(U542-_xlpm.piso)/(_xlpm.corte-_xlpm.piso)))),_xlpm.orden,{"DIAMANTE";"PLATINO";"ORO";"PLATA";"BRONCE";"CERRADO"},_xlpm.act,IFERROR(MATCH(V542,_xlpm.orden,0),6),_xlpm.ant,IFERROR(MATCH(W542,_xlpm.orden,0),6),_xlpm.ajmov,IF(_xlpm.act&lt;_xlpm.ant,0.08,IF(_xlpm.act&gt;_xlpm.ant,-0.08,0)),_xlpm.ajcli,IF(T542&lt;0.95,-0.06,0),_xlpm.prob,MAX(0,MIN(1,_xlpm.prog+_xlpm.ajmov+_xlpm.ajcli)),IF(OR(V542="DIAMANTE",V542="CERRADO"),0,ROUND(_xlpm.prob,2)))</f>
        <v>0.76</v>
      </c>
      <c r="AK542" t="str">
        <f t="shared" si="204"/>
        <v>Faltan 3,4 puntos base para subir a la siguiente categoría</v>
      </c>
      <c r="AL542" t="str">
        <f t="shared" si="205"/>
        <v>Margen de seguridad: 19,5 puntos</v>
      </c>
      <c r="AM542">
        <f t="shared" si="206"/>
        <v>0.23</v>
      </c>
      <c r="AN542" t="str">
        <f t="shared" si="207"/>
        <v>PRIORIDAD BAJA – control normal</v>
      </c>
      <c r="AO542">
        <f t="shared" si="208"/>
        <v>20.896936032203918</v>
      </c>
      <c r="AP542">
        <f t="shared" si="209"/>
        <v>0.42091078173964613</v>
      </c>
      <c r="AQ542">
        <f t="shared" si="210"/>
        <v>0</v>
      </c>
      <c r="AR542">
        <f t="shared" si="211"/>
        <v>5.83</v>
      </c>
      <c r="AS542">
        <f t="shared" si="212"/>
        <v>0</v>
      </c>
      <c r="AT542" t="str">
        <f t="shared" si="213"/>
        <v>VENTAS</v>
      </c>
      <c r="AU542">
        <f t="shared" si="214"/>
        <v>20.896936032203918</v>
      </c>
      <c r="AV542" t="str">
        <f t="shared" si="215"/>
        <v>Mayor retorno probable: VENTAS (+20,9 puntos finales potenciales).</v>
      </c>
    </row>
    <row r="543" spans="1:48" x14ac:dyDescent="0.3">
      <c r="A543" s="5">
        <v>51021622</v>
      </c>
      <c r="B543" s="5" t="str">
        <f>IFERROR(VLOOKUP(A543,VENTAS!$A$2:$B$1194,2,0),"")</f>
        <v>PRADES</v>
      </c>
      <c r="C543" s="5">
        <f>IFERROR(INDEX(VENTAS!$C$2:$E$1194,MATCH(A543,VENTAS!$A$2:$A$1194,0),MATCH(PARAMS_MODELO!$B$2,{"Q1","Q2","Q3"},0)),0)</f>
        <v>65751068.760000013</v>
      </c>
      <c r="D543" s="5">
        <f>IFERROR(INDEX(VENTAS!$F$2:$H$1194,MATCH(A543,VENTAS!$A$2:$A$1194,0),MATCH(PARAMS_MODELO!$B$2,{"Q1","Q2","Q3"},0)),0)</f>
        <v>72897262</v>
      </c>
      <c r="E543" s="8">
        <f t="shared" si="192"/>
        <v>0.10868558298397435</v>
      </c>
      <c r="F543" s="12">
        <f>IF(E543&lt;=PARAMS_MODELO!$B$15,0,IF(E543&gt;=PARAMS_MODELO!$B$17,100,100*MIN(1,(E543-PARAMS_MODELO!$B$15)/(PARAMS_MODELO!$B$16-PARAMS_MODELO!$B$15))))*PARAMS_MODELO!$B$7</f>
        <v>35</v>
      </c>
      <c r="G543" s="5">
        <f t="shared" si="193"/>
        <v>7146193.2399999872</v>
      </c>
      <c r="H543" s="5">
        <f>(PARAMS_MODELO!$B$20*(MAX(0,MIN(3,E543))/3)+PARAMS_MODELO!$B$21*(IFERROR(LN(1+MAX(0,G543))/LN(1+MAX(0,MAX($G$2:$G$1194))),0)))*100*PARAMS_MODELO!$B$8</f>
        <v>4.0799418823025482</v>
      </c>
      <c r="I543" s="8">
        <f>E543-PARAMS_MODELO!$B$5</f>
        <v>-6.8877252391552179E-2</v>
      </c>
      <c r="J543" s="5">
        <f>IF(I543&lt;=PARAMS_MODELO!$B$18,0,IF(I543&gt;=PARAMS_MODELO!$B$19,100,100*(I543-PARAMS_MODELO!$B$18)/(PARAMS_MODELO!$B$19-PARAMS_MODELO!$B$18)))*PARAMS_MODELO!$B$9</f>
        <v>0</v>
      </c>
      <c r="K543" s="5">
        <f>IFERROR(CHOOSE(MATCH(PARAMS_MODELO!$B$2,{"Q1","Q2","Q3"},0),LOTO!$D543,LOTO!$F543,LOTO!$H543),0)</f>
        <v>3555000</v>
      </c>
      <c r="L543" s="8">
        <f t="shared" si="194"/>
        <v>4.876726371423936E-2</v>
      </c>
      <c r="M543" s="5">
        <f>MIN(100,IF(PARAMS_MODELO!$B$23=0,0,100*L543/PARAMS_MODELO!$B$23))*PARAMS_MODELO!$B$10</f>
        <v>14.630179114271806</v>
      </c>
      <c r="N543" s="5">
        <f>IFERROR(VLOOKUP(A543,COMPLIANCE!$A$2:$F$1996,6,0),100)</f>
        <v>99.98</v>
      </c>
      <c r="O543" s="5">
        <f>N543*PARAMS_MODELO!$B$11</f>
        <v>9.9980000000000011</v>
      </c>
      <c r="P543" s="5">
        <f>IFERROR(VLOOKUP(A543,DIGITAL!$A$2:$J$2000,7,0),100)</f>
        <v>78</v>
      </c>
      <c r="Q543" s="5">
        <f>IFERROR(P543,0)*PARAMS_MODELO!$B$12</f>
        <v>7.8000000000000007</v>
      </c>
      <c r="R543">
        <f t="shared" si="195"/>
        <v>71.508120996574348</v>
      </c>
      <c r="S543" s="5" t="str">
        <f>IFERROR(VLOOKUP(A543,CLIENTE!$A$2:$N$2000,13,0),1)</f>
        <v>Malo</v>
      </c>
      <c r="T543" s="5">
        <f>IFERROR(VLOOKUP(A543,CLIENTE!$A$2:$N$2000,14,0),1)</f>
        <v>0.7</v>
      </c>
      <c r="U543" s="5">
        <f t="shared" si="196"/>
        <v>50.05568469760204</v>
      </c>
      <c r="V543" s="5" t="str">
        <f>IF(U543&gt;=MAX(_xlfn.PERCENTILE.INC($U$2:$U$1194,PARAMS_MODELO!$B$50),PARAMS_MODELO!$B$45),"DIAMANTE",IF(U543&gt;=MAX(_xlfn.PERCENTILE.INC($U$2:$U$1194,PARAMS_MODELO!$B$51),PARAMS_MODELO!$B$46),"PLATINO",IF(U543&gt;=MAX(_xlfn.PERCENTILE.INC($U$2:$U$1194,PARAMS_MODELO!$B$52),PARAMS_MODELO!$B$47),"ORO",IF(U543&gt;=MAX(_xlfn.PERCENTILE.INC($U$2:$U$1194,PARAMS_MODELO!$B$53),PARAMS_MODELO!$B$48),"PLATA",IF(U543&gt;=1,"BRONCE","CERRADO")))))</f>
        <v>PLATA</v>
      </c>
      <c r="W543" s="5" t="str" cm="1">
        <f t="array" ref="W543">_xlfn.XLOOKUP(1, (HIST_SCORE!$B:$B=PARAMS_MODELO!$B$4) * (HIST_SCORE!$C:$C=A543), HIST_SCORE!$E:$E, "No encontrado")</f>
        <v>PLATA</v>
      </c>
      <c r="X543" s="5" t="str">
        <f>_xlfn.LET(_xlpm.act,MATCH(V543,{"DIAMANTE";"PLATINO";"ORO";"PLATA";"BRONCE";"CERRADO"},0),_xlpm.ant,MATCH(W543,{"DIAMANTE";"PLATINO";"ORO";"PLATA";"BRONCE";"CERRADO"},0),IF(_xlpm.act&lt;_xlpm.ant,"Mejora ↑",IF(_xlpm.act&gt;_xlpm.ant,"Baja ↓","Estable →")))</f>
        <v>Estable →</v>
      </c>
      <c r="Y543" s="5">
        <f>IFERROR(U543-SUMIFS(HIST_SCORE!$D:$D,HIST_SCORE!$B:$B,PARAMS_MODELO!$B$4,HIST_SCORE!$C:$C,$A543),"")</f>
        <v>-11.820656081691439</v>
      </c>
      <c r="Z543" s="5" t="str">
        <f t="shared" si="197"/>
        <v>↓ Baja</v>
      </c>
      <c r="AA543" s="5">
        <f t="shared" si="198"/>
        <v>742</v>
      </c>
      <c r="AB543" s="5">
        <f>IFERROR(SUMIFS(HIST_SCORE!$F:$F,HIST_SCORE!$B:$B,PARAMS_MODELO!$B$4,HIST_SCORE!$C:$C,$A543),"")</f>
        <v>614</v>
      </c>
      <c r="AC543" s="5">
        <f t="shared" si="199"/>
        <v>-128</v>
      </c>
      <c r="AD543" t="str">
        <f t="shared" si="201"/>
        <v/>
      </c>
      <c r="AE5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543="CERRADO",1,IF(V543="BRONCE",_xlpm.cPl,IF(V543="PLATA",_xlpm.cO,IF(V543="ORO",_xlpm.cP,IF(V543="PLATINO",_xlpm.cD,999))))))</f>
        <v>63.199193273331495</v>
      </c>
      <c r="AF5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543="CERRADO",0,IF(V543="BRONCE",1,IF(V543="PLATA",_xlpm.cPl,IF(V543="ORO",_xlpm.cO,IF(V543="PLATINO",_xlpm.cP,_xlpm.cD))))))</f>
        <v>24.506573482968111</v>
      </c>
      <c r="AG543">
        <f t="shared" si="202"/>
        <v>18.776440822470647</v>
      </c>
      <c r="AH543" t="str">
        <f t="shared" si="203"/>
        <v>CLIENTE</v>
      </c>
      <c r="AI543" t="str">
        <f t="shared" si="200"/>
        <v>🎯 Para subir de categoría, la eje con mayor impacto probable es CLIENTE (coef T). Acción: reducir quejas, mejorar incógnito y empujar reseñas. ΔR aprox: 18,8</v>
      </c>
      <c r="AJ543" s="26">
        <f>_xlfn.LET(_xlpm.piso,AF543,_xlpm.corte,AE543,_xlpm.prog,IF(_xlpm.corte&lt;=_xlpm.piso,0,MAX(0,MIN(1,(U543-_xlpm.piso)/(_xlpm.corte-_xlpm.piso)))),_xlpm.orden,{"DIAMANTE";"PLATINO";"ORO";"PLATA";"BRONCE";"CERRADO"},_xlpm.act,IFERROR(MATCH(V543,_xlpm.orden,0),6),_xlpm.ant,IFERROR(MATCH(W543,_xlpm.orden,0),6),_xlpm.ajmov,IF(_xlpm.act&lt;_xlpm.ant,0.08,IF(_xlpm.act&gt;_xlpm.ant,-0.08,0)),_xlpm.ajcli,IF(T543&lt;0.95,-0.06,0),_xlpm.prob,MAX(0,MIN(1,_xlpm.prog+_xlpm.ajmov+_xlpm.ajcli)),IF(OR(V543="DIAMANTE",V543="CERRADO"),0,ROUND(_xlpm.prob,2)))</f>
        <v>0.6</v>
      </c>
      <c r="AK543" t="str">
        <f t="shared" si="204"/>
        <v>Faltan 18,8 puntos base para subir a la siguiente categoría</v>
      </c>
      <c r="AL543" t="str">
        <f t="shared" si="205"/>
        <v>Margen de seguridad: 25,5 puntos</v>
      </c>
      <c r="AM543">
        <f t="shared" si="206"/>
        <v>0.76</v>
      </c>
      <c r="AN543" t="str">
        <f t="shared" si="207"/>
        <v>PRIORIDAD ALTA – requiere intervención inmediata</v>
      </c>
      <c r="AO543">
        <f t="shared" si="208"/>
        <v>18.047839175095124</v>
      </c>
      <c r="AP543">
        <f t="shared" si="209"/>
        <v>0.2588746200097356</v>
      </c>
      <c r="AQ543">
        <f t="shared" si="210"/>
        <v>1.3999999999992239E-3</v>
      </c>
      <c r="AR543">
        <f t="shared" si="211"/>
        <v>1.5399999999999994</v>
      </c>
      <c r="AS543">
        <f t="shared" si="212"/>
        <v>21.452436298972309</v>
      </c>
      <c r="AT543" t="str">
        <f t="shared" si="213"/>
        <v>CLIENTE</v>
      </c>
      <c r="AU543">
        <f t="shared" si="214"/>
        <v>21.452436298972309</v>
      </c>
      <c r="AV543" t="str">
        <f t="shared" si="215"/>
        <v>Mayor retorno probable: CLIENTE (+21,5 puntos finales potenciales).</v>
      </c>
    </row>
    <row r="544" spans="1:48" x14ac:dyDescent="0.3">
      <c r="A544" s="5">
        <v>51031491</v>
      </c>
      <c r="B544" s="5" t="str">
        <f>IFERROR(VLOOKUP(A544,VENTAS!$A$2:$B$1194,2,0),"")</f>
        <v>ARGUELLO</v>
      </c>
      <c r="C544" s="5">
        <f>IFERROR(INDEX(VENTAS!$C$2:$E$1194,MATCH(A544,VENTAS!$A$2:$A$1194,0),MATCH(PARAMS_MODELO!$B$2,{"Q1","Q2","Q3"},0)),0)</f>
        <v>58263004.260000013</v>
      </c>
      <c r="D544" s="5">
        <f>IFERROR(INDEX(VENTAS!$F$2:$H$1194,MATCH(A544,VENTAS!$A$2:$A$1194,0),MATCH(PARAMS_MODELO!$B$2,{"Q1","Q2","Q3"},0)),0)</f>
        <v>72821664</v>
      </c>
      <c r="E544" s="8">
        <f t="shared" si="192"/>
        <v>0.24987828768718523</v>
      </c>
      <c r="F544" s="12">
        <f>IF(E544&lt;=PARAMS_MODELO!$B$15,0,IF(E544&gt;=PARAMS_MODELO!$B$17,100,100*MIN(1,(E544-PARAMS_MODELO!$B$15)/(PARAMS_MODELO!$B$16-PARAMS_MODELO!$B$15))))*PARAMS_MODELO!$B$7</f>
        <v>35</v>
      </c>
      <c r="G544" s="5">
        <f t="shared" si="193"/>
        <v>14558659.739999987</v>
      </c>
      <c r="H544" s="5">
        <f>(PARAMS_MODELO!$B$20*(MAX(0,MIN(3,E544))/3)+PARAMS_MODELO!$B$21*(IFERROR(LN(1+MAX(0,G544))/LN(1+MAX(0,MAX($G$2:$G$1194))),0)))*100*PARAMS_MODELO!$B$8</f>
        <v>4.7409267567574362</v>
      </c>
      <c r="I544" s="8">
        <f>E544-PARAMS_MODELO!$B$5</f>
        <v>7.2315452311658701E-2</v>
      </c>
      <c r="J544" s="5">
        <f>IF(I544&lt;=PARAMS_MODELO!$B$18,0,IF(I544&gt;=PARAMS_MODELO!$B$19,100,100*(I544-PARAMS_MODELO!$B$18)/(PARAMS_MODELO!$B$19-PARAMS_MODELO!$B$18)))*PARAMS_MODELO!$B$9</f>
        <v>15</v>
      </c>
      <c r="K544" s="5">
        <f>IFERROR(CHOOSE(MATCH(PARAMS_MODELO!$B$2,{"Q1","Q2","Q3"},0),LOTO!$D544,LOTO!$F544,LOTO!$H544),0)</f>
        <v>3552500</v>
      </c>
      <c r="L544" s="8">
        <f t="shared" si="194"/>
        <v>4.8783559793415324E-2</v>
      </c>
      <c r="M544" s="5">
        <f>MIN(100,IF(PARAMS_MODELO!$B$23=0,0,100*L544/PARAMS_MODELO!$B$23))*PARAMS_MODELO!$B$10</f>
        <v>14.635067938024596</v>
      </c>
      <c r="N544" s="5">
        <f>IFERROR(VLOOKUP(A544,COMPLIANCE!$A$2:$F$1996,6,0),100)</f>
        <v>99.85</v>
      </c>
      <c r="O544" s="5">
        <f>N544*PARAMS_MODELO!$B$11</f>
        <v>9.9849999999999994</v>
      </c>
      <c r="P544" s="5">
        <f>IFERROR(VLOOKUP(A544,DIGITAL!$A$2:$J$2000,7,0),100)</f>
        <v>84</v>
      </c>
      <c r="Q544" s="5">
        <f>IFERROR(P544,0)*PARAMS_MODELO!$B$12</f>
        <v>8.4</v>
      </c>
      <c r="R544">
        <f t="shared" si="195"/>
        <v>87.760994694782042</v>
      </c>
      <c r="S544" s="5" t="str">
        <f>IFERROR(VLOOKUP(A544,CLIENTE!$A$2:$N$2000,13,0),1)</f>
        <v>Regular</v>
      </c>
      <c r="T544" s="5">
        <f>IFERROR(VLOOKUP(A544,CLIENTE!$A$2:$N$2000,14,0),1)</f>
        <v>1</v>
      </c>
      <c r="U544" s="5">
        <f t="shared" si="196"/>
        <v>87.760994694782042</v>
      </c>
      <c r="V544" s="5" t="str">
        <f>IF(U544&gt;=MAX(_xlfn.PERCENTILE.INC($U$2:$U$1194,PARAMS_MODELO!$B$50),PARAMS_MODELO!$B$45),"DIAMANTE",IF(U544&gt;=MAX(_xlfn.PERCENTILE.INC($U$2:$U$1194,PARAMS_MODELO!$B$51),PARAMS_MODELO!$B$46),"PLATINO",IF(U544&gt;=MAX(_xlfn.PERCENTILE.INC($U$2:$U$1194,PARAMS_MODELO!$B$52),PARAMS_MODELO!$B$47),"ORO",IF(U544&gt;=MAX(_xlfn.PERCENTILE.INC($U$2:$U$1194,PARAMS_MODELO!$B$53),PARAMS_MODELO!$B$48),"PLATA",IF(U544&gt;=1,"BRONCE","CERRADO")))))</f>
        <v>PLATINO</v>
      </c>
      <c r="W544" s="5" t="str" cm="1">
        <f t="array" ref="W544">_xlfn.XLOOKUP(1, (HIST_SCORE!$B:$B=PARAMS_MODELO!$B$4) * (HIST_SCORE!$C:$C=A544), HIST_SCORE!$E:$E, "No encontrado")</f>
        <v>PLATINO</v>
      </c>
      <c r="X544" s="5" t="str">
        <f>_xlfn.LET(_xlpm.act,MATCH(V544,{"DIAMANTE";"PLATINO";"ORO";"PLATA";"BRONCE";"CERRADO"},0),_xlpm.ant,MATCH(W544,{"DIAMANTE";"PLATINO";"ORO";"PLATA";"BRONCE";"CERRADO"},0),IF(_xlpm.act&lt;_xlpm.ant,"Mejora ↑",IF(_xlpm.act&gt;_xlpm.ant,"Baja ↓","Estable →")))</f>
        <v>Estable →</v>
      </c>
      <c r="Y544" s="5">
        <f>IFERROR(U544-SUMIFS(HIST_SCORE!$D:$D,HIST_SCORE!$B:$B,PARAMS_MODELO!$B$4,HIST_SCORE!$C:$C,$A544),"")</f>
        <v>-0.89021544803610198</v>
      </c>
      <c r="Z544" s="5" t="str">
        <f t="shared" si="197"/>
        <v>→ Estable</v>
      </c>
      <c r="AA544" s="5">
        <f t="shared" si="198"/>
        <v>207</v>
      </c>
      <c r="AB544" s="5">
        <f>IFERROR(SUMIFS(HIST_SCORE!$F:$F,HIST_SCORE!$B:$B,PARAMS_MODELO!$B$4,HIST_SCORE!$C:$C,$A544),"")</f>
        <v>159</v>
      </c>
      <c r="AC544" s="5">
        <f t="shared" si="199"/>
        <v>-48</v>
      </c>
      <c r="AD544" t="str">
        <f t="shared" si="201"/>
        <v/>
      </c>
      <c r="AE5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544="CERRADO",1,IF(V544="BRONCE",_xlpm.cPl,IF(V544="PLATA",_xlpm.cO,IF(V544="ORO",_xlpm.cP,IF(V544="PLATINO",_xlpm.cD,999))))))</f>
        <v>96.054919694466676</v>
      </c>
      <c r="AF5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544="CERRADO",0,IF(V544="BRONCE",1,IF(V544="PLATA",_xlpm.cPl,IF(V544="ORO",_xlpm.cO,IF(V544="PLATINO",_xlpm.cP,_xlpm.cD))))))</f>
        <v>86.439123873763251</v>
      </c>
      <c r="AG544">
        <f t="shared" si="202"/>
        <v>8.2939249996846343</v>
      </c>
      <c r="AH544" t="str">
        <f t="shared" si="203"/>
        <v>VENTAS</v>
      </c>
      <c r="AI544" t="str">
        <f t="shared" si="200"/>
        <v>🎯 Para subir de categoría, eje VENTAS / IMPACTO ABSOLUTO (H). Acción: metas semanales + activación comercial + seguimiento del asesor. ΔR aprox: 8,3</v>
      </c>
      <c r="AJ544" s="26">
        <f>_xlfn.LET(_xlpm.piso,AF544,_xlpm.corte,AE544,_xlpm.prog,IF(_xlpm.corte&lt;=_xlpm.piso,0,MAX(0,MIN(1,(U544-_xlpm.piso)/(_xlpm.corte-_xlpm.piso)))),_xlpm.orden,{"DIAMANTE";"PLATINO";"ORO";"PLATA";"BRONCE";"CERRADO"},_xlpm.act,IFERROR(MATCH(V544,_xlpm.orden,0),6),_xlpm.ant,IFERROR(MATCH(W544,_xlpm.orden,0),6),_xlpm.ajmov,IF(_xlpm.act&lt;_xlpm.ant,0.08,IF(_xlpm.act&gt;_xlpm.ant,-0.08,0)),_xlpm.ajcli,IF(T544&lt;0.95,-0.06,0),_xlpm.prob,MAX(0,MIN(1,_xlpm.prog+_xlpm.ajmov+_xlpm.ajcli)),IF(OR(V544="DIAMANTE",V544="CERRADO"),0,ROUND(_xlpm.prob,2)))</f>
        <v>0.14000000000000001</v>
      </c>
      <c r="AK544" t="str">
        <f t="shared" si="204"/>
        <v>Faltan 8,3 puntos base para subir a la siguiente categoría</v>
      </c>
      <c r="AL544" t="str">
        <f t="shared" si="205"/>
        <v>Margen de seguridad: 1,3 puntos</v>
      </c>
      <c r="AM544">
        <f t="shared" si="206"/>
        <v>0.68</v>
      </c>
      <c r="AN544" t="str">
        <f t="shared" si="207"/>
        <v>PRIORIDAD MEDIA – seguimiento del asesor</v>
      </c>
      <c r="AO544">
        <f t="shared" si="208"/>
        <v>10.121642518538145</v>
      </c>
      <c r="AP544">
        <f t="shared" si="209"/>
        <v>0.36493206197540395</v>
      </c>
      <c r="AQ544">
        <f t="shared" si="210"/>
        <v>1.5000000000000568E-2</v>
      </c>
      <c r="AR544">
        <f t="shared" si="211"/>
        <v>1.5999999999999996</v>
      </c>
      <c r="AS544">
        <f t="shared" si="212"/>
        <v>0</v>
      </c>
      <c r="AT544" t="str">
        <f t="shared" si="213"/>
        <v>VENTAS</v>
      </c>
      <c r="AU544">
        <f t="shared" si="214"/>
        <v>10.121642518538145</v>
      </c>
      <c r="AV544" t="str">
        <f t="shared" si="215"/>
        <v>Mayor retorno probable: VENTAS (+10,1 puntos finales potenciales).</v>
      </c>
    </row>
    <row r="545" spans="1:48" x14ac:dyDescent="0.3">
      <c r="A545" s="5">
        <v>51020162</v>
      </c>
      <c r="B545" s="5" t="str">
        <f>IFERROR(VLOOKUP(A545,VENTAS!$A$2:$B$1194,2,0),"")</f>
        <v>METTLER</v>
      </c>
      <c r="C545" s="5">
        <f>IFERROR(INDEX(VENTAS!$C$2:$E$1194,MATCH(A545,VENTAS!$A$2:$A$1194,0),MATCH(PARAMS_MODELO!$B$2,{"Q1","Q2","Q3"},0)),0)</f>
        <v>79584273.050000012</v>
      </c>
      <c r="D545" s="5">
        <f>IFERROR(INDEX(VENTAS!$F$2:$H$1194,MATCH(A545,VENTAS!$A$2:$A$1194,0),MATCH(PARAMS_MODELO!$B$2,{"Q1","Q2","Q3"},0)),0)</f>
        <v>72580724</v>
      </c>
      <c r="E545" s="8">
        <f t="shared" si="192"/>
        <v>-8.8001671455865793E-2</v>
      </c>
      <c r="F545" s="12">
        <f>IF(E545&lt;=PARAMS_MODELO!$B$15,0,IF(E545&gt;=PARAMS_MODELO!$B$17,100,100*MIN(1,(E545-PARAMS_MODELO!$B$15)/(PARAMS_MODELO!$B$16-PARAMS_MODELO!$B$15))))*PARAMS_MODELO!$B$7</f>
        <v>0</v>
      </c>
      <c r="G545" s="5">
        <f t="shared" si="193"/>
        <v>0</v>
      </c>
      <c r="H545" s="5">
        <f>(PARAMS_MODELO!$B$20*(MAX(0,MIN(3,E545))/3)+PARAMS_MODELO!$B$21*(IFERROR(LN(1+MAX(0,G545))/LN(1+MAX(0,MAX($G$2:$G$1194))),0)))*100*PARAMS_MODELO!$B$8</f>
        <v>0</v>
      </c>
      <c r="I545" s="8">
        <f>E545-PARAMS_MODELO!$B$5</f>
        <v>-0.26556450683139232</v>
      </c>
      <c r="J545" s="5">
        <f>IF(I545&lt;=PARAMS_MODELO!$B$18,0,IF(I545&gt;=PARAMS_MODELO!$B$19,100,100*(I545-PARAMS_MODELO!$B$18)/(PARAMS_MODELO!$B$19-PARAMS_MODELO!$B$18)))*PARAMS_MODELO!$B$9</f>
        <v>0</v>
      </c>
      <c r="K545" s="5">
        <f>IFERROR(CHOOSE(MATCH(PARAMS_MODELO!$B$2,{"Q1","Q2","Q3"},0),LOTO!$D545,LOTO!$F545,LOTO!$H545),0)</f>
        <v>3552500</v>
      </c>
      <c r="L545" s="8">
        <f t="shared" si="194"/>
        <v>4.8945502389863185E-2</v>
      </c>
      <c r="M545" s="5">
        <f>MIN(100,IF(PARAMS_MODELO!$B$23=0,0,100*L545/PARAMS_MODELO!$B$23))*PARAMS_MODELO!$B$10</f>
        <v>14.683650716958953</v>
      </c>
      <c r="N545" s="5">
        <f>IFERROR(VLOOKUP(A545,COMPLIANCE!$A$2:$F$1996,6,0),100)</f>
        <v>100</v>
      </c>
      <c r="O545" s="5">
        <f>N545*PARAMS_MODELO!$B$11</f>
        <v>10</v>
      </c>
      <c r="P545" s="5">
        <f>IFERROR(VLOOKUP(A545,DIGITAL!$A$2:$J$2000,7,0),100)</f>
        <v>11</v>
      </c>
      <c r="Q545" s="5">
        <f>IFERROR(P545,0)*PARAMS_MODELO!$B$12</f>
        <v>1.1000000000000001</v>
      </c>
      <c r="R545">
        <f t="shared" si="195"/>
        <v>25.783650716958952</v>
      </c>
      <c r="S545" s="5" t="str">
        <f>IFERROR(VLOOKUP(A545,CLIENTE!$A$2:$N$2000,13,0),1)</f>
        <v>Regular</v>
      </c>
      <c r="T545" s="5">
        <f>IFERROR(VLOOKUP(A545,CLIENTE!$A$2:$N$2000,14,0),1)</f>
        <v>1</v>
      </c>
      <c r="U545" s="5">
        <f t="shared" si="196"/>
        <v>25.783650716958952</v>
      </c>
      <c r="V545" s="5" t="str">
        <f>IF(U545&gt;=MAX(_xlfn.PERCENTILE.INC($U$2:$U$1194,PARAMS_MODELO!$B$50),PARAMS_MODELO!$B$45),"DIAMANTE",IF(U545&gt;=MAX(_xlfn.PERCENTILE.INC($U$2:$U$1194,PARAMS_MODELO!$B$51),PARAMS_MODELO!$B$46),"PLATINO",IF(U545&gt;=MAX(_xlfn.PERCENTILE.INC($U$2:$U$1194,PARAMS_MODELO!$B$52),PARAMS_MODELO!$B$47),"ORO",IF(U545&gt;=MAX(_xlfn.PERCENTILE.INC($U$2:$U$1194,PARAMS_MODELO!$B$53),PARAMS_MODELO!$B$48),"PLATA",IF(U545&gt;=1,"BRONCE","CERRADO")))))</f>
        <v>PLATA</v>
      </c>
      <c r="W545" s="5" t="str" cm="1">
        <f t="array" ref="W545">_xlfn.XLOOKUP(1, (HIST_SCORE!$B:$B=PARAMS_MODELO!$B$4) * (HIST_SCORE!$C:$C=A545), HIST_SCORE!$E:$E, "No encontrado")</f>
        <v>PLATA</v>
      </c>
      <c r="X545" s="5" t="str">
        <f>_xlfn.LET(_xlpm.act,MATCH(V545,{"DIAMANTE";"PLATINO";"ORO";"PLATA";"BRONCE";"CERRADO"},0),_xlpm.ant,MATCH(W545,{"DIAMANTE";"PLATINO";"ORO";"PLATA";"BRONCE";"CERRADO"},0),IF(_xlpm.act&lt;_xlpm.ant,"Mejora ↑",IF(_xlpm.act&gt;_xlpm.ant,"Baja ↓","Estable →")))</f>
        <v>Estable →</v>
      </c>
      <c r="Y545" s="5">
        <f>IFERROR(U545-SUMIFS(HIST_SCORE!$D:$D,HIST_SCORE!$B:$B,PARAMS_MODELO!$B$4,HIST_SCORE!$C:$C,$A545),"")</f>
        <v>-13.157188599062877</v>
      </c>
      <c r="Z545" s="5" t="str">
        <f t="shared" si="197"/>
        <v>↓ Baja</v>
      </c>
      <c r="AA545" s="5">
        <f t="shared" si="198"/>
        <v>909</v>
      </c>
      <c r="AB545" s="5">
        <f>IFERROR(SUMIFS(HIST_SCORE!$F:$F,HIST_SCORE!$B:$B,PARAMS_MODELO!$B$4,HIST_SCORE!$C:$C,$A545),"")</f>
        <v>847</v>
      </c>
      <c r="AC545" s="5">
        <f t="shared" si="199"/>
        <v>-62</v>
      </c>
      <c r="AD545" t="str">
        <f t="shared" si="201"/>
        <v/>
      </c>
      <c r="AE5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545="CERRADO",1,IF(V545="BRONCE",_xlpm.cPl,IF(V545="PLATA",_xlpm.cO,IF(V545="ORO",_xlpm.cP,IF(V545="PLATINO",_xlpm.cD,999))))))</f>
        <v>63.199193273331495</v>
      </c>
      <c r="AF5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545="CERRADO",0,IF(V545="BRONCE",1,IF(V545="PLATA",_xlpm.cPl,IF(V545="ORO",_xlpm.cO,IF(V545="PLATINO",_xlpm.cP,_xlpm.cD))))))</f>
        <v>24.506573482968111</v>
      </c>
      <c r="AG545">
        <f t="shared" si="202"/>
        <v>37.415542556372543</v>
      </c>
      <c r="AH545" t="str">
        <f t="shared" si="203"/>
        <v>VENTAS</v>
      </c>
      <c r="AI545" t="str">
        <f t="shared" si="200"/>
        <v>🎯 Para subir de categoría, eje VENTAS / CRECIMIENTO PERSONAL (F). Acción: metas semanales + activación comercial + seguimiento del asesor. ΔR aprox: 37,4</v>
      </c>
      <c r="AJ545" s="26">
        <f>_xlfn.LET(_xlpm.piso,AF545,_xlpm.corte,AE545,_xlpm.prog,IF(_xlpm.corte&lt;=_xlpm.piso,0,MAX(0,MIN(1,(U545-_xlpm.piso)/(_xlpm.corte-_xlpm.piso)))),_xlpm.orden,{"DIAMANTE";"PLATINO";"ORO";"PLATA";"BRONCE";"CERRADO"},_xlpm.act,IFERROR(MATCH(V545,_xlpm.orden,0),6),_xlpm.ant,IFERROR(MATCH(W545,_xlpm.orden,0),6),_xlpm.ajmov,IF(_xlpm.act&lt;_xlpm.ant,0.08,IF(_xlpm.act&gt;_xlpm.ant,-0.08,0)),_xlpm.ajcli,IF(T545&lt;0.95,-0.06,0),_xlpm.prob,MAX(0,MIN(1,_xlpm.prog+_xlpm.ajmov+_xlpm.ajcli)),IF(OR(V545="DIAMANTE",V545="CERRADO"),0,ROUND(_xlpm.prob,2)))</f>
        <v>0.03</v>
      </c>
      <c r="AK545" t="str">
        <f t="shared" si="204"/>
        <v>Faltan 37,4 puntos base para subir a la siguiente categoría</v>
      </c>
      <c r="AL545" t="str">
        <f t="shared" si="205"/>
        <v>Margen de seguridad: 1,3 puntos</v>
      </c>
      <c r="AM545">
        <f t="shared" si="206"/>
        <v>0.79</v>
      </c>
      <c r="AN545" t="str">
        <f t="shared" si="207"/>
        <v>PRIORIDAD ALTA – requiere intervención inmediata</v>
      </c>
      <c r="AO545">
        <f t="shared" si="208"/>
        <v>64.862569275295584</v>
      </c>
      <c r="AP545">
        <f t="shared" si="209"/>
        <v>0.31634928304104726</v>
      </c>
      <c r="AQ545">
        <f t="shared" si="210"/>
        <v>0</v>
      </c>
      <c r="AR545">
        <f t="shared" si="211"/>
        <v>8.9</v>
      </c>
      <c r="AS545">
        <f t="shared" si="212"/>
        <v>0</v>
      </c>
      <c r="AT545" t="str">
        <f t="shared" si="213"/>
        <v>VENTAS</v>
      </c>
      <c r="AU545">
        <f t="shared" si="214"/>
        <v>64.862569275295584</v>
      </c>
      <c r="AV545" t="str">
        <f t="shared" si="215"/>
        <v>Mayor retorno probable: VENTAS (+64,9 puntos finales potenciales).</v>
      </c>
    </row>
    <row r="546" spans="1:48" x14ac:dyDescent="0.3">
      <c r="A546" s="5">
        <v>51017056</v>
      </c>
      <c r="B546" s="5" t="str">
        <f>IFERROR(VLOOKUP(A546,VENTAS!$A$2:$B$1194,2,0),"")</f>
        <v>PRADES</v>
      </c>
      <c r="C546" s="5">
        <f>IFERROR(INDEX(VENTAS!$C$2:$E$1194,MATCH(A546,VENTAS!$A$2:$A$1194,0),MATCH(PARAMS_MODELO!$B$2,{"Q1","Q2","Q3"},0)),0)</f>
        <v>86929753.680000007</v>
      </c>
      <c r="D546" s="5">
        <f>IFERROR(INDEX(VENTAS!$F$2:$H$1194,MATCH(A546,VENTAS!$A$2:$A$1194,0),MATCH(PARAMS_MODELO!$B$2,{"Q1","Q2","Q3"},0)),0)</f>
        <v>72527880</v>
      </c>
      <c r="E546" s="8">
        <f t="shared" si="192"/>
        <v>-0.16567254674406673</v>
      </c>
      <c r="F546" s="12">
        <f>IF(E546&lt;=PARAMS_MODELO!$B$15,0,IF(E546&gt;=PARAMS_MODELO!$B$17,100,100*MIN(1,(E546-PARAMS_MODELO!$B$15)/(PARAMS_MODELO!$B$16-PARAMS_MODELO!$B$15))))*PARAMS_MODELO!$B$7</f>
        <v>0</v>
      </c>
      <c r="G546" s="5">
        <f t="shared" si="193"/>
        <v>0</v>
      </c>
      <c r="H546" s="5">
        <f>(PARAMS_MODELO!$B$20*(MAX(0,MIN(3,E546))/3)+PARAMS_MODELO!$B$21*(IFERROR(LN(1+MAX(0,G546))/LN(1+MAX(0,MAX($G$2:$G$1194))),0)))*100*PARAMS_MODELO!$B$8</f>
        <v>0</v>
      </c>
      <c r="I546" s="8">
        <f>E546-PARAMS_MODELO!$B$5</f>
        <v>-0.34323538211959326</v>
      </c>
      <c r="J546" s="5">
        <f>IF(I546&lt;=PARAMS_MODELO!$B$18,0,IF(I546&gt;=PARAMS_MODELO!$B$19,100,100*(I546-PARAMS_MODELO!$B$18)/(PARAMS_MODELO!$B$19-PARAMS_MODELO!$B$18)))*PARAMS_MODELO!$B$9</f>
        <v>0</v>
      </c>
      <c r="K546" s="5">
        <f>IFERROR(CHOOSE(MATCH(PARAMS_MODELO!$B$2,{"Q1","Q2","Q3"},0),LOTO!$D546,LOTO!$F546,LOTO!$H546),0)</f>
        <v>3542500</v>
      </c>
      <c r="L546" s="8">
        <f t="shared" si="194"/>
        <v>4.8843286195598162E-2</v>
      </c>
      <c r="M546" s="5">
        <f>MIN(100,IF(PARAMS_MODELO!$B$23=0,0,100*L546/PARAMS_MODELO!$B$23))*PARAMS_MODELO!$B$10</f>
        <v>14.652985858679445</v>
      </c>
      <c r="N546" s="5">
        <f>IFERROR(VLOOKUP(A546,COMPLIANCE!$A$2:$F$1996,6,0),100)</f>
        <v>99.98</v>
      </c>
      <c r="O546" s="5">
        <f>N546*PARAMS_MODELO!$B$11</f>
        <v>9.9980000000000011</v>
      </c>
      <c r="P546" s="5">
        <f>IFERROR(VLOOKUP(A546,DIGITAL!$A$2:$J$2000,7,0),100)</f>
        <v>57</v>
      </c>
      <c r="Q546" s="5">
        <f>IFERROR(P546,0)*PARAMS_MODELO!$B$12</f>
        <v>5.7</v>
      </c>
      <c r="R546">
        <f t="shared" si="195"/>
        <v>30.350985858679447</v>
      </c>
      <c r="S546" s="5" t="str">
        <f>IFERROR(VLOOKUP(A546,CLIENTE!$A$2:$N$2000,13,0),1)</f>
        <v>Regular</v>
      </c>
      <c r="T546" s="5">
        <f>IFERROR(VLOOKUP(A546,CLIENTE!$A$2:$N$2000,14,0),1)</f>
        <v>1</v>
      </c>
      <c r="U546" s="5">
        <f t="shared" si="196"/>
        <v>30.350985858679447</v>
      </c>
      <c r="V546" s="5" t="str">
        <f>IF(U546&gt;=MAX(_xlfn.PERCENTILE.INC($U$2:$U$1194,PARAMS_MODELO!$B$50),PARAMS_MODELO!$B$45),"DIAMANTE",IF(U546&gt;=MAX(_xlfn.PERCENTILE.INC($U$2:$U$1194,PARAMS_MODELO!$B$51),PARAMS_MODELO!$B$46),"PLATINO",IF(U546&gt;=MAX(_xlfn.PERCENTILE.INC($U$2:$U$1194,PARAMS_MODELO!$B$52),PARAMS_MODELO!$B$47),"ORO",IF(U546&gt;=MAX(_xlfn.PERCENTILE.INC($U$2:$U$1194,PARAMS_MODELO!$B$53),PARAMS_MODELO!$B$48),"PLATA",IF(U546&gt;=1,"BRONCE","CERRADO")))))</f>
        <v>PLATA</v>
      </c>
      <c r="W546" s="5" t="str" cm="1">
        <f t="array" ref="W546">_xlfn.XLOOKUP(1, (HIST_SCORE!$B:$B=PARAMS_MODELO!$B$4) * (HIST_SCORE!$C:$C=A546), HIST_SCORE!$E:$E, "No encontrado")</f>
        <v>PLATA</v>
      </c>
      <c r="X546" s="5" t="str">
        <f>_xlfn.LET(_xlpm.act,MATCH(V546,{"DIAMANTE";"PLATINO";"ORO";"PLATA";"BRONCE";"CERRADO"},0),_xlpm.ant,MATCH(W546,{"DIAMANTE";"PLATINO";"ORO";"PLATA";"BRONCE";"CERRADO"},0),IF(_xlpm.act&lt;_xlpm.ant,"Mejora ↑",IF(_xlpm.act&gt;_xlpm.ant,"Baja ↓","Estable →")))</f>
        <v>Estable →</v>
      </c>
      <c r="Y546" s="5">
        <f>IFERROR(U546-SUMIFS(HIST_SCORE!$D:$D,HIST_SCORE!$B:$B,PARAMS_MODELO!$B$4,HIST_SCORE!$C:$C,$A546),"")</f>
        <v>-0.34701414132055319</v>
      </c>
      <c r="Z546" s="5" t="str">
        <f t="shared" si="197"/>
        <v>→ Estable</v>
      </c>
      <c r="AA546" s="5">
        <f t="shared" si="198"/>
        <v>859</v>
      </c>
      <c r="AB546" s="5">
        <f>IFERROR(SUMIFS(HIST_SCORE!$F:$F,HIST_SCORE!$B:$B,PARAMS_MODELO!$B$4,HIST_SCORE!$C:$C,$A546),"")</f>
        <v>904</v>
      </c>
      <c r="AC546" s="5">
        <f t="shared" si="199"/>
        <v>45</v>
      </c>
      <c r="AD546" t="str">
        <f t="shared" si="201"/>
        <v/>
      </c>
      <c r="AE5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546="CERRADO",1,IF(V546="BRONCE",_xlpm.cPl,IF(V546="PLATA",_xlpm.cO,IF(V546="ORO",_xlpm.cP,IF(V546="PLATINO",_xlpm.cD,999))))))</f>
        <v>63.199193273331495</v>
      </c>
      <c r="AF5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546="CERRADO",0,IF(V546="BRONCE",1,IF(V546="PLATA",_xlpm.cPl,IF(V546="ORO",_xlpm.cO,IF(V546="PLATINO",_xlpm.cP,_xlpm.cD))))))</f>
        <v>24.506573482968111</v>
      </c>
      <c r="AG546">
        <f t="shared" si="202"/>
        <v>32.848207414652052</v>
      </c>
      <c r="AH546" t="str">
        <f t="shared" si="203"/>
        <v>VENTAS</v>
      </c>
      <c r="AI546" t="str">
        <f t="shared" si="200"/>
        <v>🎯 Para subir de categoría, eje VENTAS / CRECIMIENTO PERSONAL (F). Acción: metas semanales + activación comercial + seguimiento del asesor. ΔR aprox: 32,8</v>
      </c>
      <c r="AJ546" s="26">
        <f>_xlfn.LET(_xlpm.piso,AF546,_xlpm.corte,AE546,_xlpm.prog,IF(_xlpm.corte&lt;=_xlpm.piso,0,MAX(0,MIN(1,(U546-_xlpm.piso)/(_xlpm.corte-_xlpm.piso)))),_xlpm.orden,{"DIAMANTE";"PLATINO";"ORO";"PLATA";"BRONCE";"CERRADO"},_xlpm.act,IFERROR(MATCH(V546,_xlpm.orden,0),6),_xlpm.ant,IFERROR(MATCH(W546,_xlpm.orden,0),6),_xlpm.ajmov,IF(_xlpm.act&lt;_xlpm.ant,0.08,IF(_xlpm.act&gt;_xlpm.ant,-0.08,0)),_xlpm.ajcli,IF(T546&lt;0.95,-0.06,0),_xlpm.prob,MAX(0,MIN(1,_xlpm.prog+_xlpm.ajmov+_xlpm.ajcli)),IF(OR(V546="DIAMANTE",V546="CERRADO"),0,ROUND(_xlpm.prob,2)))</f>
        <v>0.15</v>
      </c>
      <c r="AK546" t="str">
        <f t="shared" si="204"/>
        <v>Faltan 32,8 puntos base para subir a la siguiente categoría</v>
      </c>
      <c r="AL546" t="str">
        <f t="shared" si="205"/>
        <v>Margen de seguridad: 5,8 puntos</v>
      </c>
      <c r="AM546">
        <f t="shared" si="206"/>
        <v>0.74</v>
      </c>
      <c r="AN546" t="str">
        <f t="shared" si="207"/>
        <v>PRIORIDAD ALTA – requiere intervención inmediata</v>
      </c>
      <c r="AO546">
        <f t="shared" si="208"/>
        <v>64.862569275295584</v>
      </c>
      <c r="AP546">
        <f t="shared" si="209"/>
        <v>0.34701414132055497</v>
      </c>
      <c r="AQ546">
        <f t="shared" si="210"/>
        <v>1.9999999999988916E-3</v>
      </c>
      <c r="AR546">
        <f t="shared" si="211"/>
        <v>4.3</v>
      </c>
      <c r="AS546">
        <f t="shared" si="212"/>
        <v>0</v>
      </c>
      <c r="AT546" t="str">
        <f t="shared" si="213"/>
        <v>VENTAS</v>
      </c>
      <c r="AU546">
        <f t="shared" si="214"/>
        <v>64.862569275295584</v>
      </c>
      <c r="AV546" t="str">
        <f t="shared" si="215"/>
        <v>Mayor retorno probable: VENTAS (+64,9 puntos finales potenciales).</v>
      </c>
    </row>
    <row r="547" spans="1:48" x14ac:dyDescent="0.3">
      <c r="A547" s="5">
        <v>51056019</v>
      </c>
      <c r="B547" s="5" t="str">
        <f>IFERROR(VLOOKUP(A547,VENTAS!$A$2:$B$1194,2,0),"")</f>
        <v>ROBERTS</v>
      </c>
      <c r="C547" s="5">
        <f>IFERROR(INDEX(VENTAS!$C$2:$E$1194,MATCH(A547,VENTAS!$A$2:$A$1194,0),MATCH(PARAMS_MODELO!$B$2,{"Q1","Q2","Q3"},0)),0)</f>
        <v>55733247.590000004</v>
      </c>
      <c r="D547" s="5">
        <f>IFERROR(INDEX(VENTAS!$F$2:$H$1194,MATCH(A547,VENTAS!$A$2:$A$1194,0),MATCH(PARAMS_MODELO!$B$2,{"Q1","Q2","Q3"},0)),0)</f>
        <v>72433404</v>
      </c>
      <c r="E547" s="8">
        <f t="shared" si="192"/>
        <v>0.29964441571491052</v>
      </c>
      <c r="F547" s="12">
        <f>IF(E547&lt;=PARAMS_MODELO!$B$15,0,IF(E547&gt;=PARAMS_MODELO!$B$17,100,100*MIN(1,(E547-PARAMS_MODELO!$B$15)/(PARAMS_MODELO!$B$16-PARAMS_MODELO!$B$15))))*PARAMS_MODELO!$B$7</f>
        <v>35</v>
      </c>
      <c r="G547" s="5">
        <f t="shared" si="193"/>
        <v>16700156.409999996</v>
      </c>
      <c r="H547" s="5">
        <f>(PARAMS_MODELO!$B$20*(MAX(0,MIN(3,E547))/3)+PARAMS_MODELO!$B$21*(IFERROR(LN(1+MAX(0,G547))/LN(1+MAX(0,MAX($G$2:$G$1194))),0)))*100*PARAMS_MODELO!$B$8</f>
        <v>4.9472773223083477</v>
      </c>
      <c r="I547" s="8">
        <f>E547-PARAMS_MODELO!$B$5</f>
        <v>0.12208158033938399</v>
      </c>
      <c r="J547" s="5">
        <f>IF(I547&lt;=PARAMS_MODELO!$B$18,0,IF(I547&gt;=PARAMS_MODELO!$B$19,100,100*(I547-PARAMS_MODELO!$B$18)/(PARAMS_MODELO!$B$19-PARAMS_MODELO!$B$18)))*PARAMS_MODELO!$B$9</f>
        <v>15</v>
      </c>
      <c r="K547" s="5">
        <f>IFERROR(CHOOSE(MATCH(PARAMS_MODELO!$B$2,{"Q1","Q2","Q3"},0),LOTO!$D547,LOTO!$F547,LOTO!$H547),0)</f>
        <v>3537500</v>
      </c>
      <c r="L547" s="8">
        <f t="shared" si="194"/>
        <v>4.8837964318230856E-2</v>
      </c>
      <c r="M547" s="5">
        <f>MIN(100,IF(PARAMS_MODELO!$B$23=0,0,100*L547/PARAMS_MODELO!$B$23))*PARAMS_MODELO!$B$10</f>
        <v>14.651389295469258</v>
      </c>
      <c r="N547" s="5">
        <f>IFERROR(VLOOKUP(A547,COMPLIANCE!$A$2:$F$1996,6,0),100)</f>
        <v>100</v>
      </c>
      <c r="O547" s="5">
        <f>N547*PARAMS_MODELO!$B$11</f>
        <v>10</v>
      </c>
      <c r="P547" s="5">
        <f>IFERROR(VLOOKUP(A547,DIGITAL!$A$2:$J$2000,7,0),100)</f>
        <v>11</v>
      </c>
      <c r="Q547" s="5">
        <f>IFERROR(P547,0)*PARAMS_MODELO!$B$12</f>
        <v>1.1000000000000001</v>
      </c>
      <c r="R547">
        <f t="shared" si="195"/>
        <v>80.698666617777604</v>
      </c>
      <c r="S547" s="5" t="str">
        <f>IFERROR(VLOOKUP(A547,CLIENTE!$A$2:$N$2000,13,0),1)</f>
        <v>Malo</v>
      </c>
      <c r="T547" s="5">
        <f>IFERROR(VLOOKUP(A547,CLIENTE!$A$2:$N$2000,14,0),1)</f>
        <v>0.7</v>
      </c>
      <c r="U547" s="5">
        <f t="shared" si="196"/>
        <v>56.48906663244432</v>
      </c>
      <c r="V547" s="5" t="str">
        <f>IF(U547&gt;=MAX(_xlfn.PERCENTILE.INC($U$2:$U$1194,PARAMS_MODELO!$B$50),PARAMS_MODELO!$B$45),"DIAMANTE",IF(U547&gt;=MAX(_xlfn.PERCENTILE.INC($U$2:$U$1194,PARAMS_MODELO!$B$51),PARAMS_MODELO!$B$46),"PLATINO",IF(U547&gt;=MAX(_xlfn.PERCENTILE.INC($U$2:$U$1194,PARAMS_MODELO!$B$52),PARAMS_MODELO!$B$47),"ORO",IF(U547&gt;=MAX(_xlfn.PERCENTILE.INC($U$2:$U$1194,PARAMS_MODELO!$B$53),PARAMS_MODELO!$B$48),"PLATA",IF(U547&gt;=1,"BRONCE","CERRADO")))))</f>
        <v>PLATA</v>
      </c>
      <c r="W547" s="5" t="str" cm="1">
        <f t="array" ref="W547">_xlfn.XLOOKUP(1, (HIST_SCORE!$B:$B=PARAMS_MODELO!$B$4) * (HIST_SCORE!$C:$C=A547), HIST_SCORE!$E:$E, "No encontrado")</f>
        <v>PLATA</v>
      </c>
      <c r="X547" s="5" t="str">
        <f>_xlfn.LET(_xlpm.act,MATCH(V547,{"DIAMANTE";"PLATINO";"ORO";"PLATA";"BRONCE";"CERRADO"},0),_xlpm.ant,MATCH(W547,{"DIAMANTE";"PLATINO";"ORO";"PLATA";"BRONCE";"CERRADO"},0),IF(_xlpm.act&lt;_xlpm.ant,"Mejora ↑",IF(_xlpm.act&gt;_xlpm.ant,"Baja ↓","Estable →")))</f>
        <v>Estable →</v>
      </c>
      <c r="Y547" s="5">
        <f>IFERROR(U547-SUMIFS(HIST_SCORE!$D:$D,HIST_SCORE!$B:$B,PARAMS_MODELO!$B$4,HIST_SCORE!$C:$C,$A547),"")</f>
        <v>12.472686745834991</v>
      </c>
      <c r="Z547" s="5" t="str">
        <f t="shared" si="197"/>
        <v>↑ Mejora</v>
      </c>
      <c r="AA547" s="5">
        <f t="shared" si="198"/>
        <v>691</v>
      </c>
      <c r="AB547" s="5">
        <f>IFERROR(SUMIFS(HIST_SCORE!$F:$F,HIST_SCORE!$B:$B,PARAMS_MODELO!$B$4,HIST_SCORE!$C:$C,$A547),"")</f>
        <v>829</v>
      </c>
      <c r="AC547" s="5">
        <f t="shared" si="199"/>
        <v>138</v>
      </c>
      <c r="AD547" t="str">
        <f t="shared" si="201"/>
        <v/>
      </c>
      <c r="AE5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547="CERRADO",1,IF(V547="BRONCE",_xlpm.cPl,IF(V547="PLATA",_xlpm.cO,IF(V547="ORO",_xlpm.cP,IF(V547="PLATINO",_xlpm.cD,999))))))</f>
        <v>63.199193273331495</v>
      </c>
      <c r="AF5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547="CERRADO",0,IF(V547="BRONCE",1,IF(V547="PLATA",_xlpm.cPl,IF(V547="ORO",_xlpm.cO,IF(V547="PLATINO",_xlpm.cP,_xlpm.cD))))))</f>
        <v>24.506573482968111</v>
      </c>
      <c r="AG547">
        <f t="shared" si="202"/>
        <v>9.585895201267391</v>
      </c>
      <c r="AH547" t="str">
        <f t="shared" si="203"/>
        <v>CLIENTE</v>
      </c>
      <c r="AI547" t="str">
        <f t="shared" si="200"/>
        <v>🎯 Para subir de categoría, la eje con mayor impacto probable es CLIENTE (coef T). Acción: reducir quejas, mejorar incógnito y empujar reseñas. ΔR aprox: 9,6</v>
      </c>
      <c r="AJ547" s="26">
        <f>_xlfn.LET(_xlpm.piso,AF547,_xlpm.corte,AE547,_xlpm.prog,IF(_xlpm.corte&lt;=_xlpm.piso,0,MAX(0,MIN(1,(U547-_xlpm.piso)/(_xlpm.corte-_xlpm.piso)))),_xlpm.orden,{"DIAMANTE";"PLATINO";"ORO";"PLATA";"BRONCE";"CERRADO"},_xlpm.act,IFERROR(MATCH(V547,_xlpm.orden,0),6),_xlpm.ant,IFERROR(MATCH(W547,_xlpm.orden,0),6),_xlpm.ajmov,IF(_xlpm.act&lt;_xlpm.ant,0.08,IF(_xlpm.act&gt;_xlpm.ant,-0.08,0)),_xlpm.ajcli,IF(T547&lt;0.95,-0.06,0),_xlpm.prob,MAX(0,MIN(1,_xlpm.prog+_xlpm.ajmov+_xlpm.ajcli)),IF(OR(V547="DIAMANTE",V547="CERRADO"),0,ROUND(_xlpm.prob,2)))</f>
        <v>0.77</v>
      </c>
      <c r="AK547" t="str">
        <f t="shared" si="204"/>
        <v>Faltan 9,6 puntos base para subir a la siguiente categoría</v>
      </c>
      <c r="AL547" t="str">
        <f t="shared" si="205"/>
        <v>Margen de seguridad: 32,0 puntos</v>
      </c>
      <c r="AM547">
        <f t="shared" si="206"/>
        <v>0.68</v>
      </c>
      <c r="AN547" t="str">
        <f t="shared" si="207"/>
        <v>PRIORIDAD MEDIA – seguimiento del asesor</v>
      </c>
      <c r="AO547">
        <f t="shared" si="208"/>
        <v>6.9407043670910671</v>
      </c>
      <c r="AP547">
        <f t="shared" si="209"/>
        <v>0.24402749317151942</v>
      </c>
      <c r="AQ547">
        <f t="shared" si="210"/>
        <v>0</v>
      </c>
      <c r="AR547">
        <f t="shared" si="211"/>
        <v>6.2299999999999995</v>
      </c>
      <c r="AS547">
        <f t="shared" si="212"/>
        <v>24.209599985333284</v>
      </c>
      <c r="AT547" t="str">
        <f t="shared" si="213"/>
        <v>CLIENTE</v>
      </c>
      <c r="AU547">
        <f t="shared" si="214"/>
        <v>24.209599985333284</v>
      </c>
      <c r="AV547" t="str">
        <f t="shared" si="215"/>
        <v>Mayor retorno probable: CLIENTE (+24,2 puntos finales potenciales).</v>
      </c>
    </row>
    <row r="548" spans="1:48" x14ac:dyDescent="0.3">
      <c r="A548" s="5">
        <v>51017579</v>
      </c>
      <c r="B548" s="5" t="str">
        <f>IFERROR(VLOOKUP(A548,VENTAS!$A$2:$B$1194,2,0),"")</f>
        <v>ROBERTS</v>
      </c>
      <c r="C548" s="5">
        <f>IFERROR(INDEX(VENTAS!$C$2:$E$1194,MATCH(A548,VENTAS!$A$2:$A$1194,0),MATCH(PARAMS_MODELO!$B$2,{"Q1","Q2","Q3"},0)),0)</f>
        <v>53631056.950000003</v>
      </c>
      <c r="D548" s="5">
        <f>IFERROR(INDEX(VENTAS!$F$2:$H$1194,MATCH(A548,VENTAS!$A$2:$A$1194,0),MATCH(PARAMS_MODELO!$B$2,{"Q1","Q2","Q3"},0)),0)</f>
        <v>72396315</v>
      </c>
      <c r="E548" s="8">
        <f t="shared" si="192"/>
        <v>0.34989536132943955</v>
      </c>
      <c r="F548" s="12">
        <f>IF(E548&lt;=PARAMS_MODELO!$B$15,0,IF(E548&gt;=PARAMS_MODELO!$B$17,100,100*MIN(1,(E548-PARAMS_MODELO!$B$15)/(PARAMS_MODELO!$B$16-PARAMS_MODELO!$B$15))))*PARAMS_MODELO!$B$7</f>
        <v>35</v>
      </c>
      <c r="G548" s="5">
        <f t="shared" si="193"/>
        <v>18765258.049999997</v>
      </c>
      <c r="H548" s="5">
        <f>(PARAMS_MODELO!$B$20*(MAX(0,MIN(3,E548))/3)+PARAMS_MODELO!$B$21*(IFERROR(LN(1+MAX(0,G548))/LN(1+MAX(0,MAX($G$2:$G$1194))),0)))*100*PARAMS_MODELO!$B$8</f>
        <v>5.1504857428638351</v>
      </c>
      <c r="I548" s="8">
        <f>E548-PARAMS_MODELO!$B$5</f>
        <v>0.17233252595391302</v>
      </c>
      <c r="J548" s="5">
        <f>IF(I548&lt;=PARAMS_MODELO!$B$18,0,IF(I548&gt;=PARAMS_MODELO!$B$19,100,100*(I548-PARAMS_MODELO!$B$18)/(PARAMS_MODELO!$B$19-PARAMS_MODELO!$B$18)))*PARAMS_MODELO!$B$9</f>
        <v>15</v>
      </c>
      <c r="K548" s="5">
        <f>IFERROR(CHOOSE(MATCH(PARAMS_MODELO!$B$2,{"Q1","Q2","Q3"},0),LOTO!$D548,LOTO!$F548,LOTO!$H548),0)</f>
        <v>3535000</v>
      </c>
      <c r="L548" s="8">
        <f t="shared" si="194"/>
        <v>4.8828452111133007E-2</v>
      </c>
      <c r="M548" s="5">
        <f>MIN(100,IF(PARAMS_MODELO!$B$23=0,0,100*L548/PARAMS_MODELO!$B$23))*PARAMS_MODELO!$B$10</f>
        <v>14.6485356333399</v>
      </c>
      <c r="N548" s="5">
        <f>IFERROR(VLOOKUP(A548,COMPLIANCE!$A$2:$F$1996,6,0),100)</f>
        <v>100</v>
      </c>
      <c r="O548" s="5">
        <f>N548*PARAMS_MODELO!$B$11</f>
        <v>10</v>
      </c>
      <c r="P548" s="5">
        <f>IFERROR(VLOOKUP(A548,DIGITAL!$A$2:$J$2000,7,0),100)</f>
        <v>41</v>
      </c>
      <c r="Q548" s="5">
        <f>IFERROR(P548,0)*PARAMS_MODELO!$B$12</f>
        <v>4.1000000000000005</v>
      </c>
      <c r="R548">
        <f t="shared" si="195"/>
        <v>83.899021376203734</v>
      </c>
      <c r="S548" s="5" t="str">
        <f>IFERROR(VLOOKUP(A548,CLIENTE!$A$2:$N$2000,13,0),1)</f>
        <v>Bueno</v>
      </c>
      <c r="T548" s="5">
        <f>IFERROR(VLOOKUP(A548,CLIENTE!$A$2:$N$2000,14,0),1)</f>
        <v>1.1000000000000001</v>
      </c>
      <c r="U548" s="5">
        <f t="shared" si="196"/>
        <v>92.288923513824116</v>
      </c>
      <c r="V548" s="5" t="str">
        <f>IF(U548&gt;=MAX(_xlfn.PERCENTILE.INC($U$2:$U$1194,PARAMS_MODELO!$B$50),PARAMS_MODELO!$B$45),"DIAMANTE",IF(U548&gt;=MAX(_xlfn.PERCENTILE.INC($U$2:$U$1194,PARAMS_MODELO!$B$51),PARAMS_MODELO!$B$46),"PLATINO",IF(U548&gt;=MAX(_xlfn.PERCENTILE.INC($U$2:$U$1194,PARAMS_MODELO!$B$52),PARAMS_MODELO!$B$47),"ORO",IF(U548&gt;=MAX(_xlfn.PERCENTILE.INC($U$2:$U$1194,PARAMS_MODELO!$B$53),PARAMS_MODELO!$B$48),"PLATA",IF(U548&gt;=1,"BRONCE","CERRADO")))))</f>
        <v>PLATINO</v>
      </c>
      <c r="W548" s="5" t="str" cm="1">
        <f t="array" ref="W548">_xlfn.XLOOKUP(1, (HIST_SCORE!$B:$B=PARAMS_MODELO!$B$4) * (HIST_SCORE!$C:$C=A548), HIST_SCORE!$E:$E, "No encontrado")</f>
        <v>ORO</v>
      </c>
      <c r="X548" s="5" t="str">
        <f>_xlfn.LET(_xlpm.act,MATCH(V548,{"DIAMANTE";"PLATINO";"ORO";"PLATA";"BRONCE";"CERRADO"},0),_xlpm.ant,MATCH(W548,{"DIAMANTE";"PLATINO";"ORO";"PLATA";"BRONCE";"CERRADO"},0),IF(_xlpm.act&lt;_xlpm.ant,"Mejora ↑",IF(_xlpm.act&gt;_xlpm.ant,"Baja ↓","Estable →")))</f>
        <v>Mejora ↑</v>
      </c>
      <c r="Y548" s="5">
        <f>IFERROR(U548-SUMIFS(HIST_SCORE!$D:$D,HIST_SCORE!$B:$B,PARAMS_MODELO!$B$4,HIST_SCORE!$C:$C,$A548),"")</f>
        <v>19.191058446998611</v>
      </c>
      <c r="Z548" s="5" t="str">
        <f t="shared" si="197"/>
        <v>↑ Mejora</v>
      </c>
      <c r="AA548" s="5">
        <f t="shared" si="198"/>
        <v>103</v>
      </c>
      <c r="AB548" s="5">
        <f>IFERROR(SUMIFS(HIST_SCORE!$F:$F,HIST_SCORE!$B:$B,PARAMS_MODELO!$B$4,HIST_SCORE!$C:$C,$A548),"")</f>
        <v>510</v>
      </c>
      <c r="AC548" s="5">
        <f t="shared" si="199"/>
        <v>407</v>
      </c>
      <c r="AD548" t="str">
        <f t="shared" si="201"/>
        <v/>
      </c>
      <c r="AE5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548="CERRADO",1,IF(V548="BRONCE",_xlpm.cPl,IF(V548="PLATA",_xlpm.cO,IF(V548="ORO",_xlpm.cP,IF(V548="PLATINO",_xlpm.cD,999))))))</f>
        <v>96.054919694466676</v>
      </c>
      <c r="AF5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548="CERRADO",0,IF(V548="BRONCE",1,IF(V548="PLATA",_xlpm.cPl,IF(V548="ORO",_xlpm.cO,IF(V548="PLATINO",_xlpm.cP,_xlpm.cD))))))</f>
        <v>86.439123873763251</v>
      </c>
      <c r="AG548">
        <f t="shared" si="202"/>
        <v>3.4236328914932415</v>
      </c>
      <c r="AH548" t="str">
        <f t="shared" si="203"/>
        <v>VENTAS</v>
      </c>
      <c r="AI548" t="str">
        <f t="shared" si="200"/>
        <v>🎯 Para subir de categoría, eje VENTAS / IMPACTO ABSOLUTO (H). Acción: metas semanales + activación comercial + seguimiento del asesor. ΔR aprox: 3,4</v>
      </c>
      <c r="AJ548" s="26">
        <f>_xlfn.LET(_xlpm.piso,AF548,_xlpm.corte,AE548,_xlpm.prog,IF(_xlpm.corte&lt;=_xlpm.piso,0,MAX(0,MIN(1,(U548-_xlpm.piso)/(_xlpm.corte-_xlpm.piso)))),_xlpm.orden,{"DIAMANTE";"PLATINO";"ORO";"PLATA";"BRONCE";"CERRADO"},_xlpm.act,IFERROR(MATCH(V548,_xlpm.orden,0),6),_xlpm.ant,IFERROR(MATCH(W548,_xlpm.orden,0),6),_xlpm.ajmov,IF(_xlpm.act&lt;_xlpm.ant,0.08,IF(_xlpm.act&gt;_xlpm.ant,-0.08,0)),_xlpm.ajcli,IF(T548&lt;0.95,-0.06,0),_xlpm.prob,MAX(0,MIN(1,_xlpm.prog+_xlpm.ajmov+_xlpm.ajcli)),IF(OR(V548="DIAMANTE",V548="CERRADO"),0,ROUND(_xlpm.prob,2)))</f>
        <v>0.69</v>
      </c>
      <c r="AK548" t="str">
        <f t="shared" si="204"/>
        <v>Faltan 3,4 puntos base para subir a la siguiente categoría</v>
      </c>
      <c r="AL548" t="str">
        <f t="shared" si="205"/>
        <v>Margen de seguridad: 5,8 puntos</v>
      </c>
      <c r="AM548">
        <f t="shared" si="206"/>
        <v>0.26</v>
      </c>
      <c r="AN548" t="str">
        <f t="shared" si="207"/>
        <v>PRIORIDAD BAJA – control normal</v>
      </c>
      <c r="AO548">
        <f t="shared" si="208"/>
        <v>10.683291885674924</v>
      </c>
      <c r="AP548">
        <f t="shared" si="209"/>
        <v>0.38661080332610959</v>
      </c>
      <c r="AQ548">
        <f t="shared" si="210"/>
        <v>0</v>
      </c>
      <c r="AR548">
        <f t="shared" si="211"/>
        <v>6.49</v>
      </c>
      <c r="AS548">
        <f t="shared" si="212"/>
        <v>0</v>
      </c>
      <c r="AT548" t="str">
        <f t="shared" si="213"/>
        <v>VENTAS</v>
      </c>
      <c r="AU548">
        <f t="shared" si="214"/>
        <v>10.683291885674924</v>
      </c>
      <c r="AV548" t="str">
        <f t="shared" si="215"/>
        <v>Mayor retorno probable: VENTAS (+10,7 puntos finales potenciales).</v>
      </c>
    </row>
    <row r="549" spans="1:48" x14ac:dyDescent="0.3">
      <c r="A549" s="5">
        <v>51015487</v>
      </c>
      <c r="B549" s="5" t="str">
        <f>IFERROR(VLOOKUP(A549,VENTAS!$A$2:$B$1194,2,0),"")</f>
        <v>LÓPEZ</v>
      </c>
      <c r="C549" s="5">
        <f>IFERROR(INDEX(VENTAS!$C$2:$E$1194,MATCH(A549,VENTAS!$A$2:$A$1194,0),MATCH(PARAMS_MODELO!$B$2,{"Q1","Q2","Q3"},0)),0)</f>
        <v>62987081.109999999</v>
      </c>
      <c r="D549" s="5">
        <f>IFERROR(INDEX(VENTAS!$F$2:$H$1194,MATCH(A549,VENTAS!$A$2:$A$1194,0),MATCH(PARAMS_MODELO!$B$2,{"Q1","Q2","Q3"},0)),0)</f>
        <v>72343480</v>
      </c>
      <c r="E549" s="8">
        <f t="shared" si="192"/>
        <v>0.14854472893671766</v>
      </c>
      <c r="F549" s="12">
        <f>IF(E549&lt;=PARAMS_MODELO!$B$15,0,IF(E549&gt;=PARAMS_MODELO!$B$17,100,100*MIN(1,(E549-PARAMS_MODELO!$B$15)/(PARAMS_MODELO!$B$16-PARAMS_MODELO!$B$15))))*PARAMS_MODELO!$B$7</f>
        <v>35</v>
      </c>
      <c r="G549" s="5">
        <f t="shared" si="193"/>
        <v>9356398.8900000006</v>
      </c>
      <c r="H549" s="5">
        <f>(PARAMS_MODELO!$B$20*(MAX(0,MIN(3,E549))/3)+PARAMS_MODELO!$B$21*(IFERROR(LN(1+MAX(0,G549))/LN(1+MAX(0,MAX($G$2:$G$1194))),0)))*100*PARAMS_MODELO!$B$8</f>
        <v>4.2826189192806723</v>
      </c>
      <c r="I549" s="8">
        <f>E549-PARAMS_MODELO!$B$5</f>
        <v>-2.9018106438808866E-2</v>
      </c>
      <c r="J549" s="5">
        <f>IF(I549&lt;=PARAMS_MODELO!$B$18,0,IF(I549&gt;=PARAMS_MODELO!$B$19,100,100*(I549-PARAMS_MODELO!$B$18)/(PARAMS_MODELO!$B$19-PARAMS_MODELO!$B$18)))*PARAMS_MODELO!$B$9</f>
        <v>3.1472840341786701</v>
      </c>
      <c r="K549" s="5">
        <f>IFERROR(CHOOSE(MATCH(PARAMS_MODELO!$B$2,{"Q1","Q2","Q3"},0),LOTO!$D549,LOTO!$F549,LOTO!$H549),0)</f>
        <v>3530000</v>
      </c>
      <c r="L549" s="8">
        <f t="shared" si="194"/>
        <v>4.8794998526473982E-2</v>
      </c>
      <c r="M549" s="5">
        <f>MIN(100,IF(PARAMS_MODELO!$B$23=0,0,100*L549/PARAMS_MODELO!$B$23))*PARAMS_MODELO!$B$10</f>
        <v>14.638499557942191</v>
      </c>
      <c r="N549" s="5">
        <f>IFERROR(VLOOKUP(A549,COMPLIANCE!$A$2:$F$1996,6,0),100)</f>
        <v>100</v>
      </c>
      <c r="O549" s="5">
        <f>N549*PARAMS_MODELO!$B$11</f>
        <v>10</v>
      </c>
      <c r="P549" s="5">
        <f>IFERROR(VLOOKUP(A549,DIGITAL!$A$2:$J$2000,7,0),100)</f>
        <v>1</v>
      </c>
      <c r="Q549" s="5">
        <f>IFERROR(P549,0)*PARAMS_MODELO!$B$12</f>
        <v>0.1</v>
      </c>
      <c r="R549">
        <f t="shared" si="195"/>
        <v>67.168402511401524</v>
      </c>
      <c r="S549" s="5" t="str">
        <f>IFERROR(VLOOKUP(A549,CLIENTE!$A$2:$N$2000,13,0),1)</f>
        <v>Regular</v>
      </c>
      <c r="T549" s="5">
        <f>IFERROR(VLOOKUP(A549,CLIENTE!$A$2:$N$2000,14,0),1)</f>
        <v>1</v>
      </c>
      <c r="U549" s="5">
        <f t="shared" si="196"/>
        <v>67.168402511401524</v>
      </c>
      <c r="V549" s="5" t="str">
        <f>IF(U549&gt;=MAX(_xlfn.PERCENTILE.INC($U$2:$U$1194,PARAMS_MODELO!$B$50),PARAMS_MODELO!$B$45),"DIAMANTE",IF(U549&gt;=MAX(_xlfn.PERCENTILE.INC($U$2:$U$1194,PARAMS_MODELO!$B$51),PARAMS_MODELO!$B$46),"PLATINO",IF(U549&gt;=MAX(_xlfn.PERCENTILE.INC($U$2:$U$1194,PARAMS_MODELO!$B$52),PARAMS_MODELO!$B$47),"ORO",IF(U549&gt;=MAX(_xlfn.PERCENTILE.INC($U$2:$U$1194,PARAMS_MODELO!$B$53),PARAMS_MODELO!$B$48),"PLATA",IF(U549&gt;=1,"BRONCE","CERRADO")))))</f>
        <v>ORO</v>
      </c>
      <c r="W549" s="5" t="str" cm="1">
        <f t="array" ref="W549">_xlfn.XLOOKUP(1, (HIST_SCORE!$B:$B=PARAMS_MODELO!$B$4) * (HIST_SCORE!$C:$C=A549), HIST_SCORE!$E:$E, "No encontrado")</f>
        <v>PLATA</v>
      </c>
      <c r="X549" s="5" t="str">
        <f>_xlfn.LET(_xlpm.act,MATCH(V549,{"DIAMANTE";"PLATINO";"ORO";"PLATA";"BRONCE";"CERRADO"},0),_xlpm.ant,MATCH(W549,{"DIAMANTE";"PLATINO";"ORO";"PLATA";"BRONCE";"CERRADO"},0),IF(_xlpm.act&lt;_xlpm.ant,"Mejora ↑",IF(_xlpm.act&gt;_xlpm.ant,"Baja ↓","Estable →")))</f>
        <v>Mejora ↑</v>
      </c>
      <c r="Y549" s="5">
        <f>IFERROR(U549-SUMIFS(HIST_SCORE!$D:$D,HIST_SCORE!$B:$B,PARAMS_MODELO!$B$4,HIST_SCORE!$C:$C,$A549),"")</f>
        <v>6.1417389675486831</v>
      </c>
      <c r="Z549" s="5" t="str">
        <f t="shared" si="197"/>
        <v>↑ Mejora</v>
      </c>
      <c r="AA549" s="5">
        <f t="shared" si="198"/>
        <v>536</v>
      </c>
      <c r="AB549" s="5">
        <f>IFERROR(SUMIFS(HIST_SCORE!$F:$F,HIST_SCORE!$B:$B,PARAMS_MODELO!$B$4,HIST_SCORE!$C:$C,$A549),"")</f>
        <v>631</v>
      </c>
      <c r="AC549" s="5">
        <f t="shared" si="199"/>
        <v>95</v>
      </c>
      <c r="AD549" t="str">
        <f t="shared" si="201"/>
        <v/>
      </c>
      <c r="AE5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549="CERRADO",1,IF(V549="BRONCE",_xlpm.cPl,IF(V549="PLATA",_xlpm.cO,IF(V549="ORO",_xlpm.cP,IF(V549="PLATINO",_xlpm.cD,999))))))</f>
        <v>86.439123873763251</v>
      </c>
      <c r="AF5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549="CERRADO",0,IF(V549="BRONCE",1,IF(V549="PLATA",_xlpm.cPl,IF(V549="ORO",_xlpm.cO,IF(V549="PLATINO",_xlpm.cP,_xlpm.cD))))))</f>
        <v>63.199193273331495</v>
      </c>
      <c r="AG549">
        <f t="shared" si="202"/>
        <v>19.270721362361726</v>
      </c>
      <c r="AH549" t="str">
        <f t="shared" si="203"/>
        <v>VENTAS</v>
      </c>
      <c r="AI549" t="str">
        <f t="shared" si="200"/>
        <v>🎯 Para subir de categoría, eje VENTAS / DIFERENCIAL vs LOTBA (J). Acción: metas semanales + activación comercial + seguimiento del asesor. ΔR aprox: 19,3</v>
      </c>
      <c r="AJ549" s="26">
        <f>_xlfn.LET(_xlpm.piso,AF549,_xlpm.corte,AE549,_xlpm.prog,IF(_xlpm.corte&lt;=_xlpm.piso,0,MAX(0,MIN(1,(U549-_xlpm.piso)/(_xlpm.corte-_xlpm.piso)))),_xlpm.orden,{"DIAMANTE";"PLATINO";"ORO";"PLATA";"BRONCE";"CERRADO"},_xlpm.act,IFERROR(MATCH(V549,_xlpm.orden,0),6),_xlpm.ant,IFERROR(MATCH(W549,_xlpm.orden,0),6),_xlpm.ajmov,IF(_xlpm.act&lt;_xlpm.ant,0.08,IF(_xlpm.act&gt;_xlpm.ant,-0.08,0)),_xlpm.ajcli,IF(T549&lt;0.95,-0.06,0),_xlpm.prob,MAX(0,MIN(1,_xlpm.prog+_xlpm.ajmov+_xlpm.ajcli)),IF(OR(V549="DIAMANTE",V549="CERRADO"),0,ROUND(_xlpm.prob,2)))</f>
        <v>0.25</v>
      </c>
      <c r="AK549" t="str">
        <f t="shared" si="204"/>
        <v>Faltan 19,3 puntos base para subir a la siguiente categoría</v>
      </c>
      <c r="AL549" t="str">
        <f t="shared" si="205"/>
        <v>Margen de seguridad: 4,0 puntos</v>
      </c>
      <c r="AM549">
        <f t="shared" si="206"/>
        <v>0.7</v>
      </c>
      <c r="AN549" t="str">
        <f t="shared" si="207"/>
        <v>PRIORIDAD ALTA – requiere intervención inmediata</v>
      </c>
      <c r="AO549">
        <f t="shared" si="208"/>
        <v>22.432666321836244</v>
      </c>
      <c r="AP549">
        <f t="shared" si="209"/>
        <v>0.36150044205780851</v>
      </c>
      <c r="AQ549">
        <f t="shared" si="210"/>
        <v>0</v>
      </c>
      <c r="AR549">
        <f t="shared" si="211"/>
        <v>9.9</v>
      </c>
      <c r="AS549">
        <f t="shared" si="212"/>
        <v>0</v>
      </c>
      <c r="AT549" t="str">
        <f t="shared" si="213"/>
        <v>VENTAS</v>
      </c>
      <c r="AU549">
        <f t="shared" si="214"/>
        <v>22.432666321836244</v>
      </c>
      <c r="AV549" t="str">
        <f t="shared" si="215"/>
        <v>Mayor retorno probable: VENTAS (+22,4 puntos finales potenciales).</v>
      </c>
    </row>
    <row r="550" spans="1:48" x14ac:dyDescent="0.3">
      <c r="A550" s="5">
        <v>51040333</v>
      </c>
      <c r="B550" s="5" t="str">
        <f>IFERROR(VLOOKUP(A550,VENTAS!$A$2:$B$1194,2,0),"")</f>
        <v>LÓPEZ</v>
      </c>
      <c r="C550" s="5">
        <f>IFERROR(INDEX(VENTAS!$C$2:$E$1194,MATCH(A550,VENTAS!$A$2:$A$1194,0),MATCH(PARAMS_MODELO!$B$2,{"Q1","Q2","Q3"},0)),0)</f>
        <v>58246713.420000002</v>
      </c>
      <c r="D550" s="5">
        <f>IFERROR(INDEX(VENTAS!$F$2:$H$1194,MATCH(A550,VENTAS!$A$2:$A$1194,0),MATCH(PARAMS_MODELO!$B$2,{"Q1","Q2","Q3"},0)),0)</f>
        <v>72035102</v>
      </c>
      <c r="E550" s="8">
        <f t="shared" si="192"/>
        <v>0.23672388999145699</v>
      </c>
      <c r="F550" s="12">
        <f>IF(E550&lt;=PARAMS_MODELO!$B$15,0,IF(E550&gt;=PARAMS_MODELO!$B$17,100,100*MIN(1,(E550-PARAMS_MODELO!$B$15)/(PARAMS_MODELO!$B$16-PARAMS_MODELO!$B$15))))*PARAMS_MODELO!$B$7</f>
        <v>35</v>
      </c>
      <c r="G550" s="5">
        <f t="shared" si="193"/>
        <v>13788388.579999998</v>
      </c>
      <c r="H550" s="5">
        <f>(PARAMS_MODELO!$B$20*(MAX(0,MIN(3,E550))/3)+PARAMS_MODELO!$B$21*(IFERROR(LN(1+MAX(0,G550))/LN(1+MAX(0,MAX($G$2:$G$1194))),0)))*100*PARAMS_MODELO!$B$8</f>
        <v>4.6821438204359955</v>
      </c>
      <c r="I550" s="8">
        <f>E550-PARAMS_MODELO!$B$5</f>
        <v>5.9161054615930464E-2</v>
      </c>
      <c r="J550" s="5">
        <f>IF(I550&lt;=PARAMS_MODELO!$B$18,0,IF(I550&gt;=PARAMS_MODELO!$B$19,100,100*(I550-PARAMS_MODELO!$B$18)/(PARAMS_MODELO!$B$19-PARAMS_MODELO!$B$18)))*PARAMS_MODELO!$B$9</f>
        <v>15</v>
      </c>
      <c r="K550" s="5">
        <f>IFERROR(CHOOSE(MATCH(PARAMS_MODELO!$B$2,{"Q1","Q2","Q3"},0),LOTO!$D550,LOTO!$F550,LOTO!$H550),0)</f>
        <v>3525000</v>
      </c>
      <c r="L550" s="8">
        <f t="shared" si="194"/>
        <v>4.8934476416789136E-2</v>
      </c>
      <c r="M550" s="5">
        <f>MIN(100,IF(PARAMS_MODELO!$B$23=0,0,100*L550/PARAMS_MODELO!$B$23))*PARAMS_MODELO!$B$10</f>
        <v>14.680342925036738</v>
      </c>
      <c r="N550" s="5">
        <f>IFERROR(VLOOKUP(A550,COMPLIANCE!$A$2:$F$1996,6,0),100)</f>
        <v>100</v>
      </c>
      <c r="O550" s="5">
        <f>N550*PARAMS_MODELO!$B$11</f>
        <v>10</v>
      </c>
      <c r="P550" s="5">
        <f>IFERROR(VLOOKUP(A550,DIGITAL!$A$2:$J$2000,7,0),100)</f>
        <v>78</v>
      </c>
      <c r="Q550" s="5">
        <f>IFERROR(P550,0)*PARAMS_MODELO!$B$12</f>
        <v>7.8000000000000007</v>
      </c>
      <c r="R550">
        <f t="shared" si="195"/>
        <v>87.162486745472734</v>
      </c>
      <c r="S550" s="5" t="str">
        <f>IFERROR(VLOOKUP(A550,CLIENTE!$A$2:$N$2000,13,0),1)</f>
        <v>Regular</v>
      </c>
      <c r="T550" s="5">
        <f>IFERROR(VLOOKUP(A550,CLIENTE!$A$2:$N$2000,14,0),1)</f>
        <v>1</v>
      </c>
      <c r="U550" s="5">
        <f t="shared" si="196"/>
        <v>87.162486745472734</v>
      </c>
      <c r="V550" s="5" t="str">
        <f>IF(U550&gt;=MAX(_xlfn.PERCENTILE.INC($U$2:$U$1194,PARAMS_MODELO!$B$50),PARAMS_MODELO!$B$45),"DIAMANTE",IF(U550&gt;=MAX(_xlfn.PERCENTILE.INC($U$2:$U$1194,PARAMS_MODELO!$B$51),PARAMS_MODELO!$B$46),"PLATINO",IF(U550&gt;=MAX(_xlfn.PERCENTILE.INC($U$2:$U$1194,PARAMS_MODELO!$B$52),PARAMS_MODELO!$B$47),"ORO",IF(U550&gt;=MAX(_xlfn.PERCENTILE.INC($U$2:$U$1194,PARAMS_MODELO!$B$53),PARAMS_MODELO!$B$48),"PLATA",IF(U550&gt;=1,"BRONCE","CERRADO")))))</f>
        <v>PLATINO</v>
      </c>
      <c r="W550" s="5" t="str" cm="1">
        <f t="array" ref="W550">_xlfn.XLOOKUP(1, (HIST_SCORE!$B:$B=PARAMS_MODELO!$B$4) * (HIST_SCORE!$C:$C=A550), HIST_SCORE!$E:$E, "No encontrado")</f>
        <v>ORO</v>
      </c>
      <c r="X550" s="5" t="str">
        <f>_xlfn.LET(_xlpm.act,MATCH(V550,{"DIAMANTE";"PLATINO";"ORO";"PLATA";"BRONCE";"CERRADO"},0),_xlpm.ant,MATCH(W550,{"DIAMANTE";"PLATINO";"ORO";"PLATA";"BRONCE";"CERRADO"},0),IF(_xlpm.act&lt;_xlpm.ant,"Mejora ↑",IF(_xlpm.act&gt;_xlpm.ant,"Baja ↓","Estable →")))</f>
        <v>Mejora ↑</v>
      </c>
      <c r="Y550" s="5">
        <f>IFERROR(U550-SUMIFS(HIST_SCORE!$D:$D,HIST_SCORE!$B:$B,PARAMS_MODELO!$B$4,HIST_SCORE!$C:$C,$A550),"")</f>
        <v>9.6922775027363031</v>
      </c>
      <c r="Z550" s="5" t="str">
        <f t="shared" si="197"/>
        <v>↑ Mejora</v>
      </c>
      <c r="AA550" s="5">
        <f t="shared" si="198"/>
        <v>222</v>
      </c>
      <c r="AB550" s="5">
        <f>IFERROR(SUMIFS(HIST_SCORE!$F:$F,HIST_SCORE!$B:$B,PARAMS_MODELO!$B$4,HIST_SCORE!$C:$C,$A550),"")</f>
        <v>458</v>
      </c>
      <c r="AC550" s="5">
        <f t="shared" si="199"/>
        <v>236</v>
      </c>
      <c r="AD550" t="str">
        <f t="shared" si="201"/>
        <v/>
      </c>
      <c r="AE5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550="CERRADO",1,IF(V550="BRONCE",_xlpm.cPl,IF(V550="PLATA",_xlpm.cO,IF(V550="ORO",_xlpm.cP,IF(V550="PLATINO",_xlpm.cD,999))))))</f>
        <v>96.054919694466676</v>
      </c>
      <c r="AF5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550="CERRADO",0,IF(V550="BRONCE",1,IF(V550="PLATA",_xlpm.cPl,IF(V550="ORO",_xlpm.cO,IF(V550="PLATINO",_xlpm.cP,_xlpm.cD))))))</f>
        <v>86.439123873763251</v>
      </c>
      <c r="AG550">
        <f t="shared" si="202"/>
        <v>8.8924329489939424</v>
      </c>
      <c r="AH550" t="str">
        <f t="shared" si="203"/>
        <v>VENTAS</v>
      </c>
      <c r="AI550" t="str">
        <f t="shared" si="200"/>
        <v>🎯 Para subir de categoría, eje VENTAS / IMPACTO ABSOLUTO (H). Acción: metas semanales + activación comercial + seguimiento del asesor. ΔR aprox: 8,9</v>
      </c>
      <c r="AJ550" s="26">
        <f>_xlfn.LET(_xlpm.piso,AF550,_xlpm.corte,AE550,_xlpm.prog,IF(_xlpm.corte&lt;=_xlpm.piso,0,MAX(0,MIN(1,(U550-_xlpm.piso)/(_xlpm.corte-_xlpm.piso)))),_xlpm.orden,{"DIAMANTE";"PLATINO";"ORO";"PLATA";"BRONCE";"CERRADO"},_xlpm.act,IFERROR(MATCH(V550,_xlpm.orden,0),6),_xlpm.ant,IFERROR(MATCH(W550,_xlpm.orden,0),6),_xlpm.ajmov,IF(_xlpm.act&lt;_xlpm.ant,0.08,IF(_xlpm.act&gt;_xlpm.ant,-0.08,0)),_xlpm.ajcli,IF(T550&lt;0.95,-0.06,0),_xlpm.prob,MAX(0,MIN(1,_xlpm.prog+_xlpm.ajmov+_xlpm.ajcli)),IF(OR(V550="DIAMANTE",V550="CERRADO"),0,ROUND(_xlpm.prob,2)))</f>
        <v>0.16</v>
      </c>
      <c r="AK550" t="str">
        <f t="shared" si="204"/>
        <v>Faltan 8,9 puntos base para subir a la siguiente categoría</v>
      </c>
      <c r="AL550" t="str">
        <f t="shared" si="205"/>
        <v>Margen de seguridad: 0,7 puntos</v>
      </c>
      <c r="AM550">
        <f t="shared" si="206"/>
        <v>0.69</v>
      </c>
      <c r="AN550" t="str">
        <f t="shared" si="207"/>
        <v>PRIORIDAD MEDIA – seguimiento del asesor</v>
      </c>
      <c r="AO550">
        <f t="shared" si="208"/>
        <v>10.180425454859588</v>
      </c>
      <c r="AP550">
        <f t="shared" si="209"/>
        <v>0.31965707496326168</v>
      </c>
      <c r="AQ550">
        <f t="shared" si="210"/>
        <v>0</v>
      </c>
      <c r="AR550">
        <f t="shared" si="211"/>
        <v>2.1999999999999993</v>
      </c>
      <c r="AS550">
        <f t="shared" si="212"/>
        <v>0</v>
      </c>
      <c r="AT550" t="str">
        <f t="shared" si="213"/>
        <v>VENTAS</v>
      </c>
      <c r="AU550">
        <f t="shared" si="214"/>
        <v>10.180425454859588</v>
      </c>
      <c r="AV550" t="str">
        <f t="shared" si="215"/>
        <v>Mayor retorno probable: VENTAS (+10,2 puntos finales potenciales).</v>
      </c>
    </row>
    <row r="551" spans="1:48" x14ac:dyDescent="0.3">
      <c r="A551" s="5">
        <v>51017153</v>
      </c>
      <c r="B551" s="5" t="str">
        <f>IFERROR(VLOOKUP(A551,VENTAS!$A$2:$B$1194,2,0),"")</f>
        <v>METTLER</v>
      </c>
      <c r="C551" s="5">
        <f>IFERROR(INDEX(VENTAS!$C$2:$E$1194,MATCH(A551,VENTAS!$A$2:$A$1194,0),MATCH(PARAMS_MODELO!$B$2,{"Q1","Q2","Q3"},0)),0)</f>
        <v>62392809.140000001</v>
      </c>
      <c r="D551" s="5">
        <f>IFERROR(INDEX(VENTAS!$F$2:$H$1194,MATCH(A551,VENTAS!$A$2:$A$1194,0),MATCH(PARAMS_MODELO!$B$2,{"Q1","Q2","Q3"},0)),0)</f>
        <v>71973448</v>
      </c>
      <c r="E551" s="8">
        <f t="shared" si="192"/>
        <v>0.15355357439512773</v>
      </c>
      <c r="F551" s="12">
        <f>IF(E551&lt;=PARAMS_MODELO!$B$15,0,IF(E551&gt;=PARAMS_MODELO!$B$17,100,100*MIN(1,(E551-PARAMS_MODELO!$B$15)/(PARAMS_MODELO!$B$16-PARAMS_MODELO!$B$15))))*PARAMS_MODELO!$B$7</f>
        <v>35</v>
      </c>
      <c r="G551" s="5">
        <f t="shared" si="193"/>
        <v>9580638.8599999994</v>
      </c>
      <c r="H551" s="5">
        <f>(PARAMS_MODELO!$B$20*(MAX(0,MIN(3,E551))/3)+PARAMS_MODELO!$B$21*(IFERROR(LN(1+MAX(0,G551))/LN(1+MAX(0,MAX($G$2:$G$1194))),0)))*100*PARAMS_MODELO!$B$8</f>
        <v>4.3057016897828344</v>
      </c>
      <c r="I551" s="8">
        <f>E551-PARAMS_MODELO!$B$5</f>
        <v>-2.4009260980398794E-2</v>
      </c>
      <c r="J551" s="5">
        <f>IF(I551&lt;=PARAMS_MODELO!$B$18,0,IF(I551&gt;=PARAMS_MODELO!$B$19,100,100*(I551-PARAMS_MODELO!$B$18)/(PARAMS_MODELO!$B$19-PARAMS_MODELO!$B$18)))*PARAMS_MODELO!$B$9</f>
        <v>3.8986108529401808</v>
      </c>
      <c r="K551" s="5">
        <f>IFERROR(CHOOSE(MATCH(PARAMS_MODELO!$B$2,{"Q1","Q2","Q3"},0),LOTO!$D551,LOTO!$F551,LOTO!$H551),0)</f>
        <v>3522500</v>
      </c>
      <c r="L551" s="8">
        <f t="shared" si="194"/>
        <v>4.8941659707618844E-2</v>
      </c>
      <c r="M551" s="5">
        <f>MIN(100,IF(PARAMS_MODELO!$B$23=0,0,100*L551/PARAMS_MODELO!$B$23))*PARAMS_MODELO!$B$10</f>
        <v>14.682497912285651</v>
      </c>
      <c r="N551" s="5">
        <f>IFERROR(VLOOKUP(A551,COMPLIANCE!$A$2:$F$1996,6,0),100)</f>
        <v>100</v>
      </c>
      <c r="O551" s="5">
        <f>N551*PARAMS_MODELO!$B$11</f>
        <v>10</v>
      </c>
      <c r="P551" s="5">
        <f>IFERROR(VLOOKUP(A551,DIGITAL!$A$2:$J$2000,7,0),100)</f>
        <v>75</v>
      </c>
      <c r="Q551" s="5">
        <f>IFERROR(P551,0)*PARAMS_MODELO!$B$12</f>
        <v>7.5</v>
      </c>
      <c r="R551">
        <f t="shared" si="195"/>
        <v>75.386810455008671</v>
      </c>
      <c r="S551" s="5" t="str">
        <f>IFERROR(VLOOKUP(A551,CLIENTE!$A$2:$N$2000,13,0),1)</f>
        <v>Regular</v>
      </c>
      <c r="T551" s="5">
        <f>IFERROR(VLOOKUP(A551,CLIENTE!$A$2:$N$2000,14,0),1)</f>
        <v>1</v>
      </c>
      <c r="U551" s="5">
        <f t="shared" si="196"/>
        <v>75.386810455008671</v>
      </c>
      <c r="V551" s="5" t="str">
        <f>IF(U551&gt;=MAX(_xlfn.PERCENTILE.INC($U$2:$U$1194,PARAMS_MODELO!$B$50),PARAMS_MODELO!$B$45),"DIAMANTE",IF(U551&gt;=MAX(_xlfn.PERCENTILE.INC($U$2:$U$1194,PARAMS_MODELO!$B$51),PARAMS_MODELO!$B$46),"PLATINO",IF(U551&gt;=MAX(_xlfn.PERCENTILE.INC($U$2:$U$1194,PARAMS_MODELO!$B$52),PARAMS_MODELO!$B$47),"ORO",IF(U551&gt;=MAX(_xlfn.PERCENTILE.INC($U$2:$U$1194,PARAMS_MODELO!$B$53),PARAMS_MODELO!$B$48),"PLATA",IF(U551&gt;=1,"BRONCE","CERRADO")))))</f>
        <v>ORO</v>
      </c>
      <c r="W551" s="5" t="str" cm="1">
        <f t="array" ref="W551">_xlfn.XLOOKUP(1, (HIST_SCORE!$B:$B=PARAMS_MODELO!$B$4) * (HIST_SCORE!$C:$C=A551), HIST_SCORE!$E:$E, "No encontrado")</f>
        <v>ORO</v>
      </c>
      <c r="X551" s="5" t="str">
        <f>_xlfn.LET(_xlpm.act,MATCH(V551,{"DIAMANTE";"PLATINO";"ORO";"PLATA";"BRONCE";"CERRADO"},0),_xlpm.ant,MATCH(W551,{"DIAMANTE";"PLATINO";"ORO";"PLATA";"BRONCE";"CERRADO"},0),IF(_xlpm.act&lt;_xlpm.ant,"Mejora ↑",IF(_xlpm.act&gt;_xlpm.ant,"Baja ↓","Estable →")))</f>
        <v>Estable →</v>
      </c>
      <c r="Y551" s="5">
        <f>IFERROR(U551-SUMIFS(HIST_SCORE!$D:$D,HIST_SCORE!$B:$B,PARAMS_MODELO!$B$4,HIST_SCORE!$C:$C,$A551),"")</f>
        <v>5.3073488871159356</v>
      </c>
      <c r="Z551" s="5" t="str">
        <f t="shared" si="197"/>
        <v>↑ Mejora</v>
      </c>
      <c r="AA551" s="5">
        <f t="shared" si="198"/>
        <v>473</v>
      </c>
      <c r="AB551" s="5">
        <f>IFERROR(SUMIFS(HIST_SCORE!$F:$F,HIST_SCORE!$B:$B,PARAMS_MODELO!$B$4,HIST_SCORE!$C:$C,$A551),"")</f>
        <v>541</v>
      </c>
      <c r="AC551" s="5">
        <f t="shared" si="199"/>
        <v>68</v>
      </c>
      <c r="AD551" t="str">
        <f t="shared" si="201"/>
        <v/>
      </c>
      <c r="AE5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551="CERRADO",1,IF(V551="BRONCE",_xlpm.cPl,IF(V551="PLATA",_xlpm.cO,IF(V551="ORO",_xlpm.cP,IF(V551="PLATINO",_xlpm.cD,999))))))</f>
        <v>86.439123873763251</v>
      </c>
      <c r="AF5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551="CERRADO",0,IF(V551="BRONCE",1,IF(V551="PLATA",_xlpm.cPl,IF(V551="ORO",_xlpm.cO,IF(V551="PLATINO",_xlpm.cP,_xlpm.cD))))))</f>
        <v>63.199193273331495</v>
      </c>
      <c r="AG551">
        <f t="shared" si="202"/>
        <v>11.052313418754579</v>
      </c>
      <c r="AH551" t="str">
        <f t="shared" si="203"/>
        <v>VENTAS</v>
      </c>
      <c r="AI551" t="str">
        <f t="shared" si="200"/>
        <v>🎯 Para subir de categoría, eje VENTAS / DIFERENCIAL vs LOTBA (J). Acción: metas semanales + activación comercial + seguimiento del asesor. ΔR aprox: 11,1</v>
      </c>
      <c r="AJ551" s="26">
        <f>_xlfn.LET(_xlpm.piso,AF551,_xlpm.corte,AE551,_xlpm.prog,IF(_xlpm.corte&lt;=_xlpm.piso,0,MAX(0,MIN(1,(U551-_xlpm.piso)/(_xlpm.corte-_xlpm.piso)))),_xlpm.orden,{"DIAMANTE";"PLATINO";"ORO";"PLATA";"BRONCE";"CERRADO"},_xlpm.act,IFERROR(MATCH(V551,_xlpm.orden,0),6),_xlpm.ant,IFERROR(MATCH(W551,_xlpm.orden,0),6),_xlpm.ajmov,IF(_xlpm.act&lt;_xlpm.ant,0.08,IF(_xlpm.act&gt;_xlpm.ant,-0.08,0)),_xlpm.ajcli,IF(T551&lt;0.95,-0.06,0),_xlpm.prob,MAX(0,MIN(1,_xlpm.prog+_xlpm.ajmov+_xlpm.ajcli)),IF(OR(V551="DIAMANTE",V551="CERRADO"),0,ROUND(_xlpm.prob,2)))</f>
        <v>0.52</v>
      </c>
      <c r="AK551" t="str">
        <f t="shared" si="204"/>
        <v>Faltan 11,1 puntos base para subir a la siguiente categoría</v>
      </c>
      <c r="AL551" t="str">
        <f t="shared" si="205"/>
        <v>Margen de seguridad: 12,2 puntos</v>
      </c>
      <c r="AM551">
        <f t="shared" si="206"/>
        <v>0.59</v>
      </c>
      <c r="AN551" t="str">
        <f t="shared" si="207"/>
        <v>PRIORIDAD MEDIA – seguimiento del asesor</v>
      </c>
      <c r="AO551">
        <f t="shared" si="208"/>
        <v>21.658256732572568</v>
      </c>
      <c r="AP551">
        <f t="shared" si="209"/>
        <v>0.31750208771434885</v>
      </c>
      <c r="AQ551">
        <f t="shared" si="210"/>
        <v>0</v>
      </c>
      <c r="AR551">
        <f t="shared" si="211"/>
        <v>2.5</v>
      </c>
      <c r="AS551">
        <f t="shared" si="212"/>
        <v>0</v>
      </c>
      <c r="AT551" t="str">
        <f t="shared" si="213"/>
        <v>VENTAS</v>
      </c>
      <c r="AU551">
        <f t="shared" si="214"/>
        <v>21.658256732572568</v>
      </c>
      <c r="AV551" t="str">
        <f t="shared" si="215"/>
        <v>Mayor retorno probable: VENTAS (+21,7 puntos finales potenciales).</v>
      </c>
    </row>
    <row r="552" spans="1:48" x14ac:dyDescent="0.3">
      <c r="A552" s="5">
        <v>51021886</v>
      </c>
      <c r="B552" s="5" t="str">
        <f>IFERROR(VLOOKUP(A552,VENTAS!$A$2:$B$1194,2,0),"")</f>
        <v>MONTENEGRO</v>
      </c>
      <c r="C552" s="5">
        <f>IFERROR(INDEX(VENTAS!$C$2:$E$1194,MATCH(A552,VENTAS!$A$2:$A$1194,0),MATCH(PARAMS_MODELO!$B$2,{"Q1","Q2","Q3"},0)),0)</f>
        <v>51910145.880000003</v>
      </c>
      <c r="D552" s="5">
        <f>IFERROR(INDEX(VENTAS!$F$2:$H$1194,MATCH(A552,VENTAS!$A$2:$A$1194,0),MATCH(PARAMS_MODELO!$B$2,{"Q1","Q2","Q3"},0)),0)</f>
        <v>71972145</v>
      </c>
      <c r="E552" s="8">
        <f t="shared" si="192"/>
        <v>0.38647549106059254</v>
      </c>
      <c r="F552" s="12">
        <f>IF(E552&lt;=PARAMS_MODELO!$B$15,0,IF(E552&gt;=PARAMS_MODELO!$B$17,100,100*MIN(1,(E552-PARAMS_MODELO!$B$15)/(PARAMS_MODELO!$B$16-PARAMS_MODELO!$B$15))))*PARAMS_MODELO!$B$7</f>
        <v>35</v>
      </c>
      <c r="G552" s="5">
        <f t="shared" si="193"/>
        <v>20061999.119999997</v>
      </c>
      <c r="H552" s="5">
        <f>(PARAMS_MODELO!$B$20*(MAX(0,MIN(3,E552))/3)+PARAMS_MODELO!$B$21*(IFERROR(LN(1+MAX(0,G552))/LN(1+MAX(0,MAX($G$2:$G$1194))),0)))*100*PARAMS_MODELO!$B$8</f>
        <v>5.2941797956755057</v>
      </c>
      <c r="I552" s="8">
        <f>E552-PARAMS_MODELO!$B$5</f>
        <v>0.20891265568506601</v>
      </c>
      <c r="J552" s="5">
        <f>IF(I552&lt;=PARAMS_MODELO!$B$18,0,IF(I552&gt;=PARAMS_MODELO!$B$19,100,100*(I552-PARAMS_MODELO!$B$18)/(PARAMS_MODELO!$B$19-PARAMS_MODELO!$B$18)))*PARAMS_MODELO!$B$9</f>
        <v>15</v>
      </c>
      <c r="K552" s="5">
        <f>IFERROR(CHOOSE(MATCH(PARAMS_MODELO!$B$2,{"Q1","Q2","Q3"},0),LOTO!$D552,LOTO!$F552,LOTO!$H552),0)</f>
        <v>3515000</v>
      </c>
      <c r="L552" s="8">
        <f t="shared" si="194"/>
        <v>4.8838338776758701E-2</v>
      </c>
      <c r="M552" s="5">
        <f>MIN(100,IF(PARAMS_MODELO!$B$23=0,0,100*L552/PARAMS_MODELO!$B$23))*PARAMS_MODELO!$B$10</f>
        <v>14.651501633027609</v>
      </c>
      <c r="N552" s="5">
        <f>IFERROR(VLOOKUP(A552,COMPLIANCE!$A$2:$F$1996,6,0),100)</f>
        <v>100</v>
      </c>
      <c r="O552" s="5">
        <f>N552*PARAMS_MODELO!$B$11</f>
        <v>10</v>
      </c>
      <c r="P552" s="5">
        <f>IFERROR(VLOOKUP(A552,DIGITAL!$A$2:$J$2000,7,0),100)</f>
        <v>2</v>
      </c>
      <c r="Q552" s="5">
        <f>IFERROR(P552,0)*PARAMS_MODELO!$B$12</f>
        <v>0.2</v>
      </c>
      <c r="R552">
        <f t="shared" si="195"/>
        <v>80.145681428703114</v>
      </c>
      <c r="S552" s="5" t="str">
        <f>IFERROR(VLOOKUP(A552,CLIENTE!$A$2:$N$2000,13,0),1)</f>
        <v>Malo</v>
      </c>
      <c r="T552" s="5">
        <f>IFERROR(VLOOKUP(A552,CLIENTE!$A$2:$N$2000,14,0),1)</f>
        <v>0.7</v>
      </c>
      <c r="U552" s="5">
        <f t="shared" si="196"/>
        <v>56.101977000092177</v>
      </c>
      <c r="V552" s="5" t="str">
        <f>IF(U552&gt;=MAX(_xlfn.PERCENTILE.INC($U$2:$U$1194,PARAMS_MODELO!$B$50),PARAMS_MODELO!$B$45),"DIAMANTE",IF(U552&gt;=MAX(_xlfn.PERCENTILE.INC($U$2:$U$1194,PARAMS_MODELO!$B$51),PARAMS_MODELO!$B$46),"PLATINO",IF(U552&gt;=MAX(_xlfn.PERCENTILE.INC($U$2:$U$1194,PARAMS_MODELO!$B$52),PARAMS_MODELO!$B$47),"ORO",IF(U552&gt;=MAX(_xlfn.PERCENTILE.INC($U$2:$U$1194,PARAMS_MODELO!$B$53),PARAMS_MODELO!$B$48),"PLATA",IF(U552&gt;=1,"BRONCE","CERRADO")))))</f>
        <v>PLATA</v>
      </c>
      <c r="W552" s="5" t="str" cm="1">
        <f t="array" ref="W552">_xlfn.XLOOKUP(1, (HIST_SCORE!$B:$B=PARAMS_MODELO!$B$4) * (HIST_SCORE!$C:$C=A552), HIST_SCORE!$E:$E, "No encontrado")</f>
        <v>PLATA</v>
      </c>
      <c r="X552" s="5" t="str">
        <f>_xlfn.LET(_xlpm.act,MATCH(V552,{"DIAMANTE";"PLATINO";"ORO";"PLATA";"BRONCE";"CERRADO"},0),_xlpm.ant,MATCH(W552,{"DIAMANTE";"PLATINO";"ORO";"PLATA";"BRONCE";"CERRADO"},0),IF(_xlpm.act&lt;_xlpm.ant,"Mejora ↑",IF(_xlpm.act&gt;_xlpm.ant,"Baja ↓","Estable →")))</f>
        <v>Estable →</v>
      </c>
      <c r="Y552" s="5">
        <f>IFERROR(U552-SUMIFS(HIST_SCORE!$D:$D,HIST_SCORE!$B:$B,PARAMS_MODELO!$B$4,HIST_SCORE!$C:$C,$A552),"")</f>
        <v>1.3026318904818268</v>
      </c>
      <c r="Z552" s="5" t="str">
        <f t="shared" si="197"/>
        <v>→ Estable</v>
      </c>
      <c r="AA552" s="5">
        <f t="shared" si="198"/>
        <v>699</v>
      </c>
      <c r="AB552" s="5">
        <f>IFERROR(SUMIFS(HIST_SCORE!$F:$F,HIST_SCORE!$B:$B,PARAMS_MODELO!$B$4,HIST_SCORE!$C:$C,$A552),"")</f>
        <v>738</v>
      </c>
      <c r="AC552" s="5">
        <f t="shared" si="199"/>
        <v>39</v>
      </c>
      <c r="AD552" t="str">
        <f t="shared" si="201"/>
        <v/>
      </c>
      <c r="AE5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552="CERRADO",1,IF(V552="BRONCE",_xlpm.cPl,IF(V552="PLATA",_xlpm.cO,IF(V552="ORO",_xlpm.cP,IF(V552="PLATINO",_xlpm.cD,999))))))</f>
        <v>63.199193273331495</v>
      </c>
      <c r="AF5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552="CERRADO",0,IF(V552="BRONCE",1,IF(V552="PLATA",_xlpm.cPl,IF(V552="ORO",_xlpm.cO,IF(V552="PLATINO",_xlpm.cP,_xlpm.cD))))))</f>
        <v>24.506573482968111</v>
      </c>
      <c r="AG552">
        <f t="shared" si="202"/>
        <v>10.138880390341882</v>
      </c>
      <c r="AH552" t="str">
        <f t="shared" si="203"/>
        <v>CLIENTE</v>
      </c>
      <c r="AI552" t="str">
        <f t="shared" si="200"/>
        <v>🎯 Para subir de categoría, la eje con mayor impacto probable es CLIENTE (coef T). Acción: reducir quejas, mejorar incógnito y empujar reseñas. ΔR aprox: 10,1</v>
      </c>
      <c r="AJ552" s="26">
        <f>_xlfn.LET(_xlpm.piso,AF552,_xlpm.corte,AE552,_xlpm.prog,IF(_xlpm.corte&lt;=_xlpm.piso,0,MAX(0,MIN(1,(U552-_xlpm.piso)/(_xlpm.corte-_xlpm.piso)))),_xlpm.orden,{"DIAMANTE";"PLATINO";"ORO";"PLATA";"BRONCE";"CERRADO"},_xlpm.act,IFERROR(MATCH(V552,_xlpm.orden,0),6),_xlpm.ant,IFERROR(MATCH(W552,_xlpm.orden,0),6),_xlpm.ajmov,IF(_xlpm.act&lt;_xlpm.ant,0.08,IF(_xlpm.act&gt;_xlpm.ant,-0.08,0)),_xlpm.ajcli,IF(T552&lt;0.95,-0.06,0),_xlpm.prob,MAX(0,MIN(1,_xlpm.prog+_xlpm.ajmov+_xlpm.ajcli)),IF(OR(V552="DIAMANTE",V552="CERRADO"),0,ROUND(_xlpm.prob,2)))</f>
        <v>0.76</v>
      </c>
      <c r="AK552" t="str">
        <f t="shared" si="204"/>
        <v>Faltan 10,1 puntos base para subir a la siguiente categoría</v>
      </c>
      <c r="AL552" t="str">
        <f t="shared" si="205"/>
        <v>Margen de seguridad: 31,6 puntos</v>
      </c>
      <c r="AM552">
        <f t="shared" si="206"/>
        <v>0.7</v>
      </c>
      <c r="AN552" t="str">
        <f t="shared" si="207"/>
        <v>PRIORIDAD ALTA – requiere intervención inmediata</v>
      </c>
      <c r="AO552">
        <f t="shared" si="208"/>
        <v>6.6978726357340559</v>
      </c>
      <c r="AP552">
        <f t="shared" si="209"/>
        <v>0.24394885688067391</v>
      </c>
      <c r="AQ552">
        <f t="shared" si="210"/>
        <v>0</v>
      </c>
      <c r="AR552">
        <f t="shared" si="211"/>
        <v>6.86</v>
      </c>
      <c r="AS552">
        <f t="shared" si="212"/>
        <v>24.043704428610937</v>
      </c>
      <c r="AT552" t="str">
        <f t="shared" si="213"/>
        <v>CLIENTE</v>
      </c>
      <c r="AU552">
        <f t="shared" si="214"/>
        <v>24.043704428610937</v>
      </c>
      <c r="AV552" t="str">
        <f t="shared" si="215"/>
        <v>Mayor retorno probable: CLIENTE (+24,0 puntos finales potenciales).</v>
      </c>
    </row>
    <row r="553" spans="1:48" x14ac:dyDescent="0.3">
      <c r="A553" s="5">
        <v>51023188</v>
      </c>
      <c r="B553" s="5" t="str">
        <f>IFERROR(VLOOKUP(A553,VENTAS!$A$2:$B$1194,2,0),"")</f>
        <v>MONTENEGRO</v>
      </c>
      <c r="C553" s="5">
        <f>IFERROR(INDEX(VENTAS!$C$2:$E$1194,MATCH(A553,VENTAS!$A$2:$A$1194,0),MATCH(PARAMS_MODELO!$B$2,{"Q1","Q2","Q3"},0)),0)</f>
        <v>57465620.909999996</v>
      </c>
      <c r="D553" s="5">
        <f>IFERROR(INDEX(VENTAS!$F$2:$H$1194,MATCH(A553,VENTAS!$A$2:$A$1194,0),MATCH(PARAMS_MODELO!$B$2,{"Q1","Q2","Q3"},0)),0)</f>
        <v>71866792</v>
      </c>
      <c r="E553" s="8">
        <f t="shared" si="192"/>
        <v>0.25060498541474829</v>
      </c>
      <c r="F553" s="12">
        <f>IF(E553&lt;=PARAMS_MODELO!$B$15,0,IF(E553&gt;=PARAMS_MODELO!$B$17,100,100*MIN(1,(E553-PARAMS_MODELO!$B$15)/(PARAMS_MODELO!$B$16-PARAMS_MODELO!$B$15))))*PARAMS_MODELO!$B$7</f>
        <v>35</v>
      </c>
      <c r="G553" s="5">
        <f t="shared" si="193"/>
        <v>14401171.090000004</v>
      </c>
      <c r="H553" s="5">
        <f>(PARAMS_MODELO!$B$20*(MAX(0,MIN(3,E553))/3)+PARAMS_MODELO!$B$21*(IFERROR(LN(1+MAX(0,G553))/LN(1+MAX(0,MAX($G$2:$G$1194))),0)))*100*PARAMS_MODELO!$B$8</f>
        <v>4.7409206052089443</v>
      </c>
      <c r="I553" s="8">
        <f>E553-PARAMS_MODELO!$B$5</f>
        <v>7.3042150039221765E-2</v>
      </c>
      <c r="J553" s="5">
        <f>IF(I553&lt;=PARAMS_MODELO!$B$18,0,IF(I553&gt;=PARAMS_MODELO!$B$19,100,100*(I553-PARAMS_MODELO!$B$18)/(PARAMS_MODELO!$B$19-PARAMS_MODELO!$B$18)))*PARAMS_MODELO!$B$9</f>
        <v>15</v>
      </c>
      <c r="K553" s="5">
        <f>IFERROR(CHOOSE(MATCH(PARAMS_MODELO!$B$2,{"Q1","Q2","Q3"},0),LOTO!$D553,LOTO!$F553,LOTO!$H553),0)</f>
        <v>3515000</v>
      </c>
      <c r="L553" s="8">
        <f t="shared" si="194"/>
        <v>4.8909933255403971E-2</v>
      </c>
      <c r="M553" s="5">
        <f>MIN(100,IF(PARAMS_MODELO!$B$23=0,0,100*L553/PARAMS_MODELO!$B$23))*PARAMS_MODELO!$B$10</f>
        <v>14.672979976621191</v>
      </c>
      <c r="N553" s="5">
        <f>IFERROR(VLOOKUP(A553,COMPLIANCE!$A$2:$F$1996,6,0),100)</f>
        <v>100</v>
      </c>
      <c r="O553" s="5">
        <f>N553*PARAMS_MODELO!$B$11</f>
        <v>10</v>
      </c>
      <c r="P553" s="5">
        <f>IFERROR(VLOOKUP(A553,DIGITAL!$A$2:$J$2000,7,0),100)</f>
        <v>82</v>
      </c>
      <c r="Q553" s="5">
        <f>IFERROR(P553,0)*PARAMS_MODELO!$B$12</f>
        <v>8.2000000000000011</v>
      </c>
      <c r="R553">
        <f t="shared" si="195"/>
        <v>87.613900581830137</v>
      </c>
      <c r="S553" s="5" t="str">
        <f>IFERROR(VLOOKUP(A553,CLIENTE!$A$2:$N$2000,13,0),1)</f>
        <v>Bueno</v>
      </c>
      <c r="T553" s="5">
        <f>IFERROR(VLOOKUP(A553,CLIENTE!$A$2:$N$2000,14,0),1)</f>
        <v>1.1000000000000001</v>
      </c>
      <c r="U553" s="5">
        <f t="shared" si="196"/>
        <v>96.375290640013162</v>
      </c>
      <c r="V553" s="5" t="str">
        <f>IF(U553&gt;=MAX(_xlfn.PERCENTILE.INC($U$2:$U$1194,PARAMS_MODELO!$B$50),PARAMS_MODELO!$B$45),"DIAMANTE",IF(U553&gt;=MAX(_xlfn.PERCENTILE.INC($U$2:$U$1194,PARAMS_MODELO!$B$51),PARAMS_MODELO!$B$46),"PLATINO",IF(U553&gt;=MAX(_xlfn.PERCENTILE.INC($U$2:$U$1194,PARAMS_MODELO!$B$52),PARAMS_MODELO!$B$47),"ORO",IF(U553&gt;=MAX(_xlfn.PERCENTILE.INC($U$2:$U$1194,PARAMS_MODELO!$B$53),PARAMS_MODELO!$B$48),"PLATA",IF(U553&gt;=1,"BRONCE","CERRADO")))))</f>
        <v>DIAMANTE</v>
      </c>
      <c r="W553" s="5" t="str" cm="1">
        <f t="array" ref="W553">_xlfn.XLOOKUP(1, (HIST_SCORE!$B:$B=PARAMS_MODELO!$B$4) * (HIST_SCORE!$C:$C=A553), HIST_SCORE!$E:$E, "No encontrado")</f>
        <v>DIAMANTE</v>
      </c>
      <c r="X553" s="5" t="str">
        <f>_xlfn.LET(_xlpm.act,MATCH(V553,{"DIAMANTE";"PLATINO";"ORO";"PLATA";"BRONCE";"CERRADO"},0),_xlpm.ant,MATCH(W553,{"DIAMANTE";"PLATINO";"ORO";"PLATA";"BRONCE";"CERRADO"},0),IF(_xlpm.act&lt;_xlpm.ant,"Mejora ↑",IF(_xlpm.act&gt;_xlpm.ant,"Baja ↓","Estable →")))</f>
        <v>Estable →</v>
      </c>
      <c r="Y553" s="5">
        <f>IFERROR(U553-SUMIFS(HIST_SCORE!$D:$D,HIST_SCORE!$B:$B,PARAMS_MODELO!$B$4,HIST_SCORE!$C:$C,$A553),"")</f>
        <v>0.91632021677588682</v>
      </c>
      <c r="Z553" s="5" t="str">
        <f t="shared" si="197"/>
        <v>→ Estable</v>
      </c>
      <c r="AA553" s="5">
        <f t="shared" si="198"/>
        <v>55</v>
      </c>
      <c r="AB553" s="5">
        <f>IFERROR(SUMIFS(HIST_SCORE!$F:$F,HIST_SCORE!$B:$B,PARAMS_MODELO!$B$4,HIST_SCORE!$C:$C,$A553),"")</f>
        <v>57</v>
      </c>
      <c r="AC553" s="5">
        <f t="shared" si="199"/>
        <v>2</v>
      </c>
      <c r="AD553" t="str">
        <f t="shared" si="201"/>
        <v/>
      </c>
      <c r="AE5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553="CERRADO",1,IF(V553="BRONCE",_xlpm.cPl,IF(V553="PLATA",_xlpm.cO,IF(V553="ORO",_xlpm.cP,IF(V553="PLATINO",_xlpm.cD,999))))))</f>
        <v>999</v>
      </c>
      <c r="AF5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553="CERRADO",0,IF(V553="BRONCE",1,IF(V553="PLATA",_xlpm.cPl,IF(V553="ORO",_xlpm.cO,IF(V553="PLATINO",_xlpm.cP,_xlpm.cD))))))</f>
        <v>96.054919694466676</v>
      </c>
      <c r="AG553">
        <f t="shared" si="202"/>
        <v>820.56791759998805</v>
      </c>
      <c r="AH553" t="str">
        <f t="shared" si="203"/>
        <v>SOSTENER</v>
      </c>
      <c r="AI553" t="str">
        <f t="shared" si="200"/>
        <v>✅ Mantener desempeño y monitorear variaciones para sostener categoría.</v>
      </c>
      <c r="AJ553" s="26">
        <f>_xlfn.LET(_xlpm.piso,AF553,_xlpm.corte,AE553,_xlpm.prog,IF(_xlpm.corte&lt;=_xlpm.piso,0,MAX(0,MIN(1,(U553-_xlpm.piso)/(_xlpm.corte-_xlpm.piso)))),_xlpm.orden,{"DIAMANTE";"PLATINO";"ORO";"PLATA";"BRONCE";"CERRADO"},_xlpm.act,IFERROR(MATCH(V553,_xlpm.orden,0),6),_xlpm.ant,IFERROR(MATCH(W553,_xlpm.orden,0),6),_xlpm.ajmov,IF(_xlpm.act&lt;_xlpm.ant,0.08,IF(_xlpm.act&gt;_xlpm.ant,-0.08,0)),_xlpm.ajcli,IF(T553&lt;0.95,-0.06,0),_xlpm.prob,MAX(0,MIN(1,_xlpm.prog+_xlpm.ajmov+_xlpm.ajcli)),IF(OR(V553="DIAMANTE",V553="CERRADO"),0,ROUND(_xlpm.prob,2)))</f>
        <v>0</v>
      </c>
      <c r="AK553" t="str">
        <f t="shared" si="204"/>
        <v>No aplica</v>
      </c>
      <c r="AL553" t="str">
        <f t="shared" si="205"/>
        <v>Margen de seguridad: 0,3 puntos</v>
      </c>
      <c r="AM553">
        <f t="shared" si="206"/>
        <v>0.8</v>
      </c>
      <c r="AN553" t="str">
        <f t="shared" si="207"/>
        <v>PRIORIDAD ALTA – requiere intervención inmediata</v>
      </c>
      <c r="AO553">
        <f t="shared" si="208"/>
        <v>11.133813537095309</v>
      </c>
      <c r="AP553">
        <f t="shared" si="209"/>
        <v>0.35972202571669015</v>
      </c>
      <c r="AQ553">
        <f t="shared" si="210"/>
        <v>0</v>
      </c>
      <c r="AR553">
        <f t="shared" si="211"/>
        <v>1.9799999999999991</v>
      </c>
      <c r="AS553">
        <f t="shared" si="212"/>
        <v>0</v>
      </c>
      <c r="AT553" t="str">
        <f t="shared" si="213"/>
        <v>VENTAS</v>
      </c>
      <c r="AU553">
        <f t="shared" si="214"/>
        <v>11.133813537095309</v>
      </c>
      <c r="AV553" t="str">
        <f t="shared" si="215"/>
        <v>Mayor retorno probable: VENTAS (+11,1 puntos finales potenciales).</v>
      </c>
    </row>
    <row r="554" spans="1:48" x14ac:dyDescent="0.3">
      <c r="A554" s="5">
        <v>51055667</v>
      </c>
      <c r="B554" s="5" t="str">
        <f>IFERROR(VLOOKUP(A554,VENTAS!$A$2:$B$1194,2,0),"")</f>
        <v>AYALA</v>
      </c>
      <c r="C554" s="5">
        <f>IFERROR(INDEX(VENTAS!$C$2:$E$1194,MATCH(A554,VENTAS!$A$2:$A$1194,0),MATCH(PARAMS_MODELO!$B$2,{"Q1","Q2","Q3"},0)),0)</f>
        <v>83825253.140000001</v>
      </c>
      <c r="D554" s="5">
        <f>IFERROR(INDEX(VENTAS!$F$2:$H$1194,MATCH(A554,VENTAS!$A$2:$A$1194,0),MATCH(PARAMS_MODELO!$B$2,{"Q1","Q2","Q3"},0)),0)</f>
        <v>71830587</v>
      </c>
      <c r="E554" s="8">
        <f t="shared" si="192"/>
        <v>-0.14309132022503068</v>
      </c>
      <c r="F554" s="12">
        <f>IF(E554&lt;=PARAMS_MODELO!$B$15,0,IF(E554&gt;=PARAMS_MODELO!$B$17,100,100*MIN(1,(E554-PARAMS_MODELO!$B$15)/(PARAMS_MODELO!$B$16-PARAMS_MODELO!$B$15))))*PARAMS_MODELO!$B$7</f>
        <v>0</v>
      </c>
      <c r="G554" s="5">
        <f t="shared" si="193"/>
        <v>0</v>
      </c>
      <c r="H554" s="5">
        <f>(PARAMS_MODELO!$B$20*(MAX(0,MIN(3,E554))/3)+PARAMS_MODELO!$B$21*(IFERROR(LN(1+MAX(0,G554))/LN(1+MAX(0,MAX($G$2:$G$1194))),0)))*100*PARAMS_MODELO!$B$8</f>
        <v>0</v>
      </c>
      <c r="I554" s="8">
        <f>E554-PARAMS_MODELO!$B$5</f>
        <v>-0.32065415560055721</v>
      </c>
      <c r="J554" s="5">
        <f>IF(I554&lt;=PARAMS_MODELO!$B$18,0,IF(I554&gt;=PARAMS_MODELO!$B$19,100,100*(I554-PARAMS_MODELO!$B$18)/(PARAMS_MODELO!$B$19-PARAMS_MODELO!$B$18)))*PARAMS_MODELO!$B$9</f>
        <v>0</v>
      </c>
      <c r="K554" s="5">
        <f>IFERROR(CHOOSE(MATCH(PARAMS_MODELO!$B$2,{"Q1","Q2","Q3"},0),LOTO!$D554,LOTO!$F554,LOTO!$H554),0)</f>
        <v>3512500</v>
      </c>
      <c r="L554" s="8">
        <f t="shared" si="194"/>
        <v>4.8899781370295638E-2</v>
      </c>
      <c r="M554" s="5">
        <f>MIN(100,IF(PARAMS_MODELO!$B$23=0,0,100*L554/PARAMS_MODELO!$B$23))*PARAMS_MODELO!$B$10</f>
        <v>14.66993441108869</v>
      </c>
      <c r="N554" s="5">
        <f>IFERROR(VLOOKUP(A554,COMPLIANCE!$A$2:$F$1996,6,0),100)</f>
        <v>100</v>
      </c>
      <c r="O554" s="5">
        <f>N554*PARAMS_MODELO!$B$11</f>
        <v>10</v>
      </c>
      <c r="P554" s="5">
        <f>IFERROR(VLOOKUP(A554,DIGITAL!$A$2:$J$2000,7,0),100)</f>
        <v>55</v>
      </c>
      <c r="Q554" s="5">
        <f>IFERROR(P554,0)*PARAMS_MODELO!$B$12</f>
        <v>5.5</v>
      </c>
      <c r="R554">
        <f t="shared" si="195"/>
        <v>30.16993441108869</v>
      </c>
      <c r="S554" s="5" t="str">
        <f>IFERROR(VLOOKUP(A554,CLIENTE!$A$2:$N$2000,13,0),1)</f>
        <v>Regular</v>
      </c>
      <c r="T554" s="5">
        <f>IFERROR(VLOOKUP(A554,CLIENTE!$A$2:$N$2000,14,0),1)</f>
        <v>1</v>
      </c>
      <c r="U554" s="5">
        <f t="shared" si="196"/>
        <v>30.16993441108869</v>
      </c>
      <c r="V554" s="5" t="str">
        <f>IF(U554&gt;=MAX(_xlfn.PERCENTILE.INC($U$2:$U$1194,PARAMS_MODELO!$B$50),PARAMS_MODELO!$B$45),"DIAMANTE",IF(U554&gt;=MAX(_xlfn.PERCENTILE.INC($U$2:$U$1194,PARAMS_MODELO!$B$51),PARAMS_MODELO!$B$46),"PLATINO",IF(U554&gt;=MAX(_xlfn.PERCENTILE.INC($U$2:$U$1194,PARAMS_MODELO!$B$52),PARAMS_MODELO!$B$47),"ORO",IF(U554&gt;=MAX(_xlfn.PERCENTILE.INC($U$2:$U$1194,PARAMS_MODELO!$B$53),PARAMS_MODELO!$B$48),"PLATA",IF(U554&gt;=1,"BRONCE","CERRADO")))))</f>
        <v>PLATA</v>
      </c>
      <c r="W554" s="5" t="str" cm="1">
        <f t="array" ref="W554">_xlfn.XLOOKUP(1, (HIST_SCORE!$B:$B=PARAMS_MODELO!$B$4) * (HIST_SCORE!$C:$C=A554), HIST_SCORE!$E:$E, "No encontrado")</f>
        <v>PLATA</v>
      </c>
      <c r="X554" s="5" t="str">
        <f>_xlfn.LET(_xlpm.act,MATCH(V554,{"DIAMANTE";"PLATINO";"ORO";"PLATA";"BRONCE";"CERRADO"},0),_xlpm.ant,MATCH(W554,{"DIAMANTE";"PLATINO";"ORO";"PLATA";"BRONCE";"CERRADO"},0),IF(_xlpm.act&lt;_xlpm.ant,"Mejora ↑",IF(_xlpm.act&gt;_xlpm.ant,"Baja ↓","Estable →")))</f>
        <v>Estable →</v>
      </c>
      <c r="Y554" s="5">
        <f>IFERROR(U554-SUMIFS(HIST_SCORE!$D:$D,HIST_SCORE!$B:$B,PARAMS_MODELO!$B$4,HIST_SCORE!$C:$C,$A554),"")</f>
        <v>1.882857192764984</v>
      </c>
      <c r="Z554" s="5" t="str">
        <f t="shared" si="197"/>
        <v>→ Estable</v>
      </c>
      <c r="AA554" s="5">
        <f t="shared" si="198"/>
        <v>861</v>
      </c>
      <c r="AB554" s="5">
        <f>IFERROR(SUMIFS(HIST_SCORE!$F:$F,HIST_SCORE!$B:$B,PARAMS_MODELO!$B$4,HIST_SCORE!$C:$C,$A554),"")</f>
        <v>926</v>
      </c>
      <c r="AC554" s="5">
        <f t="shared" si="199"/>
        <v>65</v>
      </c>
      <c r="AD554" t="str">
        <f t="shared" si="201"/>
        <v/>
      </c>
      <c r="AE5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554="CERRADO",1,IF(V554="BRONCE",_xlpm.cPl,IF(V554="PLATA",_xlpm.cO,IF(V554="ORO",_xlpm.cP,IF(V554="PLATINO",_xlpm.cD,999))))))</f>
        <v>63.199193273331495</v>
      </c>
      <c r="AF5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554="CERRADO",0,IF(V554="BRONCE",1,IF(V554="PLATA",_xlpm.cPl,IF(V554="ORO",_xlpm.cO,IF(V554="PLATINO",_xlpm.cP,_xlpm.cD))))))</f>
        <v>24.506573482968111</v>
      </c>
      <c r="AG554">
        <f t="shared" si="202"/>
        <v>33.029258862242806</v>
      </c>
      <c r="AH554" t="str">
        <f t="shared" si="203"/>
        <v>VENTAS</v>
      </c>
      <c r="AI554" t="str">
        <f t="shared" si="200"/>
        <v>🎯 Para subir de categoría, eje VENTAS / CRECIMIENTO PERSONAL (F). Acción: metas semanales + activación comercial + seguimiento del asesor. ΔR aprox: 33,0</v>
      </c>
      <c r="AJ554" s="26">
        <f>_xlfn.LET(_xlpm.piso,AF554,_xlpm.corte,AE554,_xlpm.prog,IF(_xlpm.corte&lt;=_xlpm.piso,0,MAX(0,MIN(1,(U554-_xlpm.piso)/(_xlpm.corte-_xlpm.piso)))),_xlpm.orden,{"DIAMANTE";"PLATINO";"ORO";"PLATA";"BRONCE";"CERRADO"},_xlpm.act,IFERROR(MATCH(V554,_xlpm.orden,0),6),_xlpm.ant,IFERROR(MATCH(W554,_xlpm.orden,0),6),_xlpm.ajmov,IF(_xlpm.act&lt;_xlpm.ant,0.08,IF(_xlpm.act&gt;_xlpm.ant,-0.08,0)),_xlpm.ajcli,IF(T554&lt;0.95,-0.06,0),_xlpm.prob,MAX(0,MIN(1,_xlpm.prog+_xlpm.ajmov+_xlpm.ajcli)),IF(OR(V554="DIAMANTE",V554="CERRADO"),0,ROUND(_xlpm.prob,2)))</f>
        <v>0.15</v>
      </c>
      <c r="AK554" t="str">
        <f t="shared" si="204"/>
        <v>Faltan 33,0 puntos base para subir a la siguiente categoría</v>
      </c>
      <c r="AL554" t="str">
        <f t="shared" si="205"/>
        <v>Margen de seguridad: 5,7 puntos</v>
      </c>
      <c r="AM554">
        <f t="shared" si="206"/>
        <v>0.74</v>
      </c>
      <c r="AN554" t="str">
        <f t="shared" si="207"/>
        <v>PRIORIDAD ALTA – requiere intervención inmediata</v>
      </c>
      <c r="AO554">
        <f t="shared" si="208"/>
        <v>64.862569275295584</v>
      </c>
      <c r="AP554">
        <f t="shared" si="209"/>
        <v>0.33006558891131021</v>
      </c>
      <c r="AQ554">
        <f t="shared" si="210"/>
        <v>0</v>
      </c>
      <c r="AR554">
        <f t="shared" si="211"/>
        <v>4.5</v>
      </c>
      <c r="AS554">
        <f t="shared" si="212"/>
        <v>0</v>
      </c>
      <c r="AT554" t="str">
        <f t="shared" si="213"/>
        <v>VENTAS</v>
      </c>
      <c r="AU554">
        <f t="shared" si="214"/>
        <v>64.862569275295584</v>
      </c>
      <c r="AV554" t="str">
        <f t="shared" si="215"/>
        <v>Mayor retorno probable: VENTAS (+64,9 puntos finales potenciales).</v>
      </c>
    </row>
    <row r="555" spans="1:48" x14ac:dyDescent="0.3">
      <c r="A555" s="5">
        <v>51020081</v>
      </c>
      <c r="B555" s="5" t="str">
        <f>IFERROR(VLOOKUP(A555,VENTAS!$A$2:$B$1194,2,0),"")</f>
        <v>BELUZZO</v>
      </c>
      <c r="C555" s="5">
        <f>IFERROR(INDEX(VENTAS!$C$2:$E$1194,MATCH(A555,VENTAS!$A$2:$A$1194,0),MATCH(PARAMS_MODELO!$B$2,{"Q1","Q2","Q3"},0)),0)</f>
        <v>59956570.909999996</v>
      </c>
      <c r="D555" s="5">
        <f>IFERROR(INDEX(VENTAS!$F$2:$H$1194,MATCH(A555,VENTAS!$A$2:$A$1194,0),MATCH(PARAMS_MODELO!$B$2,{"Q1","Q2","Q3"},0)),0)</f>
        <v>71715264</v>
      </c>
      <c r="E555" s="8">
        <f t="shared" si="192"/>
        <v>0.196120173511104</v>
      </c>
      <c r="F555" s="12">
        <f>IF(E555&lt;=PARAMS_MODELO!$B$15,0,IF(E555&gt;=PARAMS_MODELO!$B$17,100,100*MIN(1,(E555-PARAMS_MODELO!$B$15)/(PARAMS_MODELO!$B$16-PARAMS_MODELO!$B$15))))*PARAMS_MODELO!$B$7</f>
        <v>35</v>
      </c>
      <c r="G555" s="5">
        <f t="shared" si="193"/>
        <v>11758693.090000004</v>
      </c>
      <c r="H555" s="5">
        <f>(PARAMS_MODELO!$B$20*(MAX(0,MIN(3,E555))/3)+PARAMS_MODELO!$B$21*(IFERROR(LN(1+MAX(0,G555))/LN(1+MAX(0,MAX($G$2:$G$1194))),0)))*100*PARAMS_MODELO!$B$8</f>
        <v>4.502704136920519</v>
      </c>
      <c r="I555" s="8">
        <f>E555-PARAMS_MODELO!$B$5</f>
        <v>1.8557338135577472E-2</v>
      </c>
      <c r="J555" s="5">
        <f>IF(I555&lt;=PARAMS_MODELO!$B$18,0,IF(I555&gt;=PARAMS_MODELO!$B$19,100,100*(I555-PARAMS_MODELO!$B$18)/(PARAMS_MODELO!$B$19-PARAMS_MODELO!$B$18)))*PARAMS_MODELO!$B$9</f>
        <v>10.28360072033662</v>
      </c>
      <c r="K555" s="5">
        <f>IFERROR(CHOOSE(MATCH(PARAMS_MODELO!$B$2,{"Q1","Q2","Q3"},0),LOTO!$D555,LOTO!$F555,LOTO!$H555),0)</f>
        <v>3510000</v>
      </c>
      <c r="L555" s="8">
        <f t="shared" si="194"/>
        <v>4.8943555447275494E-2</v>
      </c>
      <c r="M555" s="5">
        <f>MIN(100,IF(PARAMS_MODELO!$B$23=0,0,100*L555/PARAMS_MODELO!$B$23))*PARAMS_MODELO!$B$10</f>
        <v>14.683066634182648</v>
      </c>
      <c r="N555" s="5">
        <f>IFERROR(VLOOKUP(A555,COMPLIANCE!$A$2:$F$1996,6,0),100)</f>
        <v>100</v>
      </c>
      <c r="O555" s="5">
        <f>N555*PARAMS_MODELO!$B$11</f>
        <v>10</v>
      </c>
      <c r="P555" s="5">
        <f>IFERROR(VLOOKUP(A555,DIGITAL!$A$2:$J$2000,7,0),100)</f>
        <v>86</v>
      </c>
      <c r="Q555" s="5">
        <f>IFERROR(P555,0)*PARAMS_MODELO!$B$12</f>
        <v>8.6</v>
      </c>
      <c r="R555">
        <f t="shared" si="195"/>
        <v>83.069371491439782</v>
      </c>
      <c r="S555" s="5" t="str">
        <f>IFERROR(VLOOKUP(A555,CLIENTE!$A$2:$N$2000,13,0),1)</f>
        <v>Regular</v>
      </c>
      <c r="T555" s="5">
        <f>IFERROR(VLOOKUP(A555,CLIENTE!$A$2:$N$2000,14,0),1)</f>
        <v>1</v>
      </c>
      <c r="U555" s="5">
        <f t="shared" si="196"/>
        <v>83.069371491439782</v>
      </c>
      <c r="V555" s="5" t="str">
        <f>IF(U555&gt;=MAX(_xlfn.PERCENTILE.INC($U$2:$U$1194,PARAMS_MODELO!$B$50),PARAMS_MODELO!$B$45),"DIAMANTE",IF(U555&gt;=MAX(_xlfn.PERCENTILE.INC($U$2:$U$1194,PARAMS_MODELO!$B$51),PARAMS_MODELO!$B$46),"PLATINO",IF(U555&gt;=MAX(_xlfn.PERCENTILE.INC($U$2:$U$1194,PARAMS_MODELO!$B$52),PARAMS_MODELO!$B$47),"ORO",IF(U555&gt;=MAX(_xlfn.PERCENTILE.INC($U$2:$U$1194,PARAMS_MODELO!$B$53),PARAMS_MODELO!$B$48),"PLATA",IF(U555&gt;=1,"BRONCE","CERRADO")))))</f>
        <v>ORO</v>
      </c>
      <c r="W555" s="5" t="str" cm="1">
        <f t="array" ref="W555">_xlfn.XLOOKUP(1, (HIST_SCORE!$B:$B=PARAMS_MODELO!$B$4) * (HIST_SCORE!$C:$C=A555), HIST_SCORE!$E:$E, "No encontrado")</f>
        <v>PLATINO</v>
      </c>
      <c r="X555" s="5" t="str">
        <f>_xlfn.LET(_xlpm.act,MATCH(V555,{"DIAMANTE";"PLATINO";"ORO";"PLATA";"BRONCE";"CERRADO"},0),_xlpm.ant,MATCH(W555,{"DIAMANTE";"PLATINO";"ORO";"PLATA";"BRONCE";"CERRADO"},0),IF(_xlpm.act&lt;_xlpm.ant,"Mejora ↑",IF(_xlpm.act&gt;_xlpm.ant,"Baja ↓","Estable →")))</f>
        <v>Baja ↓</v>
      </c>
      <c r="Y555" s="5">
        <f>IFERROR(U555-SUMIFS(HIST_SCORE!$D:$D,HIST_SCORE!$B:$B,PARAMS_MODELO!$B$4,HIST_SCORE!$C:$C,$A555),"")</f>
        <v>-4.5463058825173874</v>
      </c>
      <c r="Z555" s="5" t="str">
        <f t="shared" si="197"/>
        <v>→ Estable</v>
      </c>
      <c r="AA555" s="5">
        <f t="shared" si="198"/>
        <v>352</v>
      </c>
      <c r="AB555" s="5">
        <f>IFERROR(SUMIFS(HIST_SCORE!$F:$F,HIST_SCORE!$B:$B,PARAMS_MODELO!$B$4,HIST_SCORE!$C:$C,$A555),"")</f>
        <v>193</v>
      </c>
      <c r="AC555" s="5">
        <f t="shared" si="199"/>
        <v>-159</v>
      </c>
      <c r="AD555" t="str">
        <f t="shared" si="201"/>
        <v>Sostener base y reforzar mix</v>
      </c>
      <c r="AE5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555="CERRADO",1,IF(V555="BRONCE",_xlpm.cPl,IF(V555="PLATA",_xlpm.cO,IF(V555="ORO",_xlpm.cP,IF(V555="PLATINO",_xlpm.cD,999))))))</f>
        <v>86.439123873763251</v>
      </c>
      <c r="AF5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555="CERRADO",0,IF(V555="BRONCE",1,IF(V555="PLATA",_xlpm.cPl,IF(V555="ORO",_xlpm.cO,IF(V555="PLATINO",_xlpm.cP,_xlpm.cD))))))</f>
        <v>63.199193273331495</v>
      </c>
      <c r="AG555">
        <f t="shared" si="202"/>
        <v>3.369752382323469</v>
      </c>
      <c r="AH555" t="str">
        <f t="shared" si="203"/>
        <v>VENTAS</v>
      </c>
      <c r="AI555" t="str">
        <f t="shared" si="200"/>
        <v>🎯 Para subir de categoría, eje VENTAS / IMPACTO ABSOLUTO (H). Acción: metas semanales + activación comercial + seguimiento del asesor. ΔR aprox: 3,4</v>
      </c>
      <c r="AJ555" s="26">
        <f>_xlfn.LET(_xlpm.piso,AF555,_xlpm.corte,AE555,_xlpm.prog,IF(_xlpm.corte&lt;=_xlpm.piso,0,MAX(0,MIN(1,(U555-_xlpm.piso)/(_xlpm.corte-_xlpm.piso)))),_xlpm.orden,{"DIAMANTE";"PLATINO";"ORO";"PLATA";"BRONCE";"CERRADO"},_xlpm.act,IFERROR(MATCH(V555,_xlpm.orden,0),6),_xlpm.ant,IFERROR(MATCH(W555,_xlpm.orden,0),6),_xlpm.ajmov,IF(_xlpm.act&lt;_xlpm.ant,0.08,IF(_xlpm.act&gt;_xlpm.ant,-0.08,0)),_xlpm.ajcli,IF(T555&lt;0.95,-0.06,0),_xlpm.prob,MAX(0,MIN(1,_xlpm.prog+_xlpm.ajmov+_xlpm.ajcli)),IF(OR(V555="DIAMANTE",V555="CERRADO"),0,ROUND(_xlpm.prob,2)))</f>
        <v>0.78</v>
      </c>
      <c r="AK555" t="str">
        <f t="shared" si="204"/>
        <v>Faltan 3,4 puntos base para subir a la siguiente categoría</v>
      </c>
      <c r="AL555" t="str">
        <f t="shared" si="205"/>
        <v>Margen de seguridad: 19,9 puntos</v>
      </c>
      <c r="AM555">
        <f t="shared" si="206"/>
        <v>0.22</v>
      </c>
      <c r="AN555" t="str">
        <f t="shared" si="207"/>
        <v>PRIORIDAD BAJA – control normal</v>
      </c>
      <c r="AO555">
        <f t="shared" si="208"/>
        <v>15.076264418038441</v>
      </c>
      <c r="AP555">
        <f t="shared" si="209"/>
        <v>0.3169333658173521</v>
      </c>
      <c r="AQ555">
        <f t="shared" si="210"/>
        <v>0</v>
      </c>
      <c r="AR555">
        <f t="shared" si="211"/>
        <v>1.4000000000000004</v>
      </c>
      <c r="AS555">
        <f t="shared" si="212"/>
        <v>0</v>
      </c>
      <c r="AT555" t="str">
        <f t="shared" si="213"/>
        <v>VENTAS</v>
      </c>
      <c r="AU555">
        <f t="shared" si="214"/>
        <v>15.076264418038441</v>
      </c>
      <c r="AV555" t="str">
        <f t="shared" si="215"/>
        <v>Mayor retorno probable: VENTAS (+15,1 puntos finales potenciales).</v>
      </c>
    </row>
    <row r="556" spans="1:48" x14ac:dyDescent="0.3">
      <c r="A556" s="5">
        <v>51018729</v>
      </c>
      <c r="B556" s="5" t="str">
        <f>IFERROR(VLOOKUP(A556,VENTAS!$A$2:$B$1194,2,0),"")</f>
        <v>PRADES</v>
      </c>
      <c r="C556" s="5">
        <f>IFERROR(INDEX(VENTAS!$C$2:$E$1194,MATCH(A556,VENTAS!$A$2:$A$1194,0),MATCH(PARAMS_MODELO!$B$2,{"Q1","Q2","Q3"},0)),0)</f>
        <v>66339046.75999999</v>
      </c>
      <c r="D556" s="5">
        <f>IFERROR(INDEX(VENTAS!$F$2:$H$1194,MATCH(A556,VENTAS!$A$2:$A$1194,0),MATCH(PARAMS_MODELO!$B$2,{"Q1","Q2","Q3"},0)),0)</f>
        <v>71525116</v>
      </c>
      <c r="E556" s="8">
        <f t="shared" si="192"/>
        <v>7.8175214949380623E-2</v>
      </c>
      <c r="F556" s="12">
        <f>IF(E556&lt;=PARAMS_MODELO!$B$15,0,IF(E556&gt;=PARAMS_MODELO!$B$17,100,100*MIN(1,(E556-PARAMS_MODELO!$B$15)/(PARAMS_MODELO!$B$16-PARAMS_MODELO!$B$15))))*PARAMS_MODELO!$B$7</f>
        <v>27.361325232283214</v>
      </c>
      <c r="G556" s="5">
        <f t="shared" si="193"/>
        <v>5186069.2400000095</v>
      </c>
      <c r="H556" s="5">
        <f>(PARAMS_MODELO!$B$20*(MAX(0,MIN(3,E556))/3)+PARAMS_MODELO!$B$21*(IFERROR(LN(1+MAX(0,G556))/LN(1+MAX(0,MAX($G$2:$G$1194))),0)))*100*PARAMS_MODELO!$B$8</f>
        <v>3.8980016087799947</v>
      </c>
      <c r="I556" s="8">
        <f>E556-PARAMS_MODELO!$B$5</f>
        <v>-9.9387620426145906E-2</v>
      </c>
      <c r="J556" s="5">
        <f>IF(I556&lt;=PARAMS_MODELO!$B$18,0,IF(I556&gt;=PARAMS_MODELO!$B$19,100,100*(I556-PARAMS_MODELO!$B$18)/(PARAMS_MODELO!$B$19-PARAMS_MODELO!$B$18)))*PARAMS_MODELO!$B$9</f>
        <v>0</v>
      </c>
      <c r="K556" s="5">
        <f>IFERROR(CHOOSE(MATCH(PARAMS_MODELO!$B$2,{"Q1","Q2","Q3"},0),LOTO!$D556,LOTO!$F556,LOTO!$H556),0)</f>
        <v>3487500</v>
      </c>
      <c r="L556" s="8">
        <f t="shared" si="194"/>
        <v>4.8759096035580006E-2</v>
      </c>
      <c r="M556" s="5">
        <f>MIN(100,IF(PARAMS_MODELO!$B$23=0,0,100*L556/PARAMS_MODELO!$B$23))*PARAMS_MODELO!$B$10</f>
        <v>14.627728810674002</v>
      </c>
      <c r="N556" s="5">
        <f>IFERROR(VLOOKUP(A556,COMPLIANCE!$A$2:$F$1996,6,0),100)</f>
        <v>99.6</v>
      </c>
      <c r="O556" s="5">
        <f>N556*PARAMS_MODELO!$B$11</f>
        <v>9.9600000000000009</v>
      </c>
      <c r="P556" s="5">
        <f>IFERROR(VLOOKUP(A556,DIGITAL!$A$2:$J$2000,7,0),100)</f>
        <v>59</v>
      </c>
      <c r="Q556" s="5">
        <f>IFERROR(P556,0)*PARAMS_MODELO!$B$12</f>
        <v>5.9</v>
      </c>
      <c r="R556">
        <f t="shared" si="195"/>
        <v>61.747055651737213</v>
      </c>
      <c r="S556" s="5" t="str">
        <f>IFERROR(VLOOKUP(A556,CLIENTE!$A$2:$N$2000,13,0),1)</f>
        <v>Bueno</v>
      </c>
      <c r="T556" s="5">
        <f>IFERROR(VLOOKUP(A556,CLIENTE!$A$2:$N$2000,14,0),1)</f>
        <v>1.1000000000000001</v>
      </c>
      <c r="U556" s="5">
        <f t="shared" si="196"/>
        <v>67.921761216910937</v>
      </c>
      <c r="V556" s="5" t="str">
        <f>IF(U556&gt;=MAX(_xlfn.PERCENTILE.INC($U$2:$U$1194,PARAMS_MODELO!$B$50),PARAMS_MODELO!$B$45),"DIAMANTE",IF(U556&gt;=MAX(_xlfn.PERCENTILE.INC($U$2:$U$1194,PARAMS_MODELO!$B$51),PARAMS_MODELO!$B$46),"PLATINO",IF(U556&gt;=MAX(_xlfn.PERCENTILE.INC($U$2:$U$1194,PARAMS_MODELO!$B$52),PARAMS_MODELO!$B$47),"ORO",IF(U556&gt;=MAX(_xlfn.PERCENTILE.INC($U$2:$U$1194,PARAMS_MODELO!$B$53),PARAMS_MODELO!$B$48),"PLATA",IF(U556&gt;=1,"BRONCE","CERRADO")))))</f>
        <v>ORO</v>
      </c>
      <c r="W556" s="5" t="str" cm="1">
        <f t="array" ref="W556">_xlfn.XLOOKUP(1, (HIST_SCORE!$B:$B=PARAMS_MODELO!$B$4) * (HIST_SCORE!$C:$C=A556), HIST_SCORE!$E:$E, "No encontrado")</f>
        <v>PLATINO</v>
      </c>
      <c r="X556" s="5" t="str">
        <f>_xlfn.LET(_xlpm.act,MATCH(V556,{"DIAMANTE";"PLATINO";"ORO";"PLATA";"BRONCE";"CERRADO"},0),_xlpm.ant,MATCH(W556,{"DIAMANTE";"PLATINO";"ORO";"PLATA";"BRONCE";"CERRADO"},0),IF(_xlpm.act&lt;_xlpm.ant,"Mejora ↑",IF(_xlpm.act&gt;_xlpm.ant,"Baja ↓","Estable →")))</f>
        <v>Baja ↓</v>
      </c>
      <c r="Y556" s="5">
        <f>IFERROR(U556-SUMIFS(HIST_SCORE!$D:$D,HIST_SCORE!$B:$B,PARAMS_MODELO!$B$4,HIST_SCORE!$C:$C,$A556),"")</f>
        <v>-18.291242725766665</v>
      </c>
      <c r="Z556" s="5" t="str">
        <f t="shared" si="197"/>
        <v>↓ Baja</v>
      </c>
      <c r="AA556" s="5">
        <f t="shared" si="198"/>
        <v>529</v>
      </c>
      <c r="AB556" s="5">
        <f>IFERROR(SUMIFS(HIST_SCORE!$F:$F,HIST_SCORE!$B:$B,PARAMS_MODELO!$B$4,HIST_SCORE!$C:$C,$A556),"")</f>
        <v>231</v>
      </c>
      <c r="AC556" s="5">
        <f t="shared" si="199"/>
        <v>-298</v>
      </c>
      <c r="AD556" t="str">
        <f t="shared" si="201"/>
        <v>Sostener base y reforzar mix</v>
      </c>
      <c r="AE5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556="CERRADO",1,IF(V556="BRONCE",_xlpm.cPl,IF(V556="PLATA",_xlpm.cO,IF(V556="ORO",_xlpm.cP,IF(V556="PLATINO",_xlpm.cD,999))))))</f>
        <v>86.439123873763251</v>
      </c>
      <c r="AF5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556="CERRADO",0,IF(V556="BRONCE",1,IF(V556="PLATA",_xlpm.cPl,IF(V556="ORO",_xlpm.cO,IF(V556="PLATINO",_xlpm.cP,_xlpm.cD))))))</f>
        <v>63.199193273331495</v>
      </c>
      <c r="AG556">
        <f t="shared" si="202"/>
        <v>16.833966051683916</v>
      </c>
      <c r="AH556" t="str">
        <f t="shared" si="203"/>
        <v>VENTAS</v>
      </c>
      <c r="AI556" t="str">
        <f t="shared" si="200"/>
        <v>🎯 Para subir de categoría, eje VENTAS / DIFERENCIAL vs LOTBA (J). Acción: metas semanales + activación comercial + seguimiento del asesor. ΔR aprox: 16,8</v>
      </c>
      <c r="AJ556" s="26">
        <f>_xlfn.LET(_xlpm.piso,AF556,_xlpm.corte,AE556,_xlpm.prog,IF(_xlpm.corte&lt;=_xlpm.piso,0,MAX(0,MIN(1,(U556-_xlpm.piso)/(_xlpm.corte-_xlpm.piso)))),_xlpm.orden,{"DIAMANTE";"PLATINO";"ORO";"PLATA";"BRONCE";"CERRADO"},_xlpm.act,IFERROR(MATCH(V556,_xlpm.orden,0),6),_xlpm.ant,IFERROR(MATCH(W556,_xlpm.orden,0),6),_xlpm.ajmov,IF(_xlpm.act&lt;_xlpm.ant,0.08,IF(_xlpm.act&gt;_xlpm.ant,-0.08,0)),_xlpm.ajcli,IF(T556&lt;0.95,-0.06,0),_xlpm.prob,MAX(0,MIN(1,_xlpm.prog+_xlpm.ajmov+_xlpm.ajcli)),IF(OR(V556="DIAMANTE",V556="CERRADO"),0,ROUND(_xlpm.prob,2)))</f>
        <v>0.12</v>
      </c>
      <c r="AK556" t="str">
        <f t="shared" si="204"/>
        <v>Faltan 16,8 puntos base para subir a la siguiente categoría</v>
      </c>
      <c r="AL556" t="str">
        <f t="shared" si="205"/>
        <v>Margen de seguridad: 4,7 puntos</v>
      </c>
      <c r="AM556">
        <f t="shared" si="206"/>
        <v>0.75</v>
      </c>
      <c r="AN556" t="str">
        <f t="shared" si="207"/>
        <v>PRIORIDAD ALTA – requiere intervención inmediata</v>
      </c>
      <c r="AO556">
        <f t="shared" si="208"/>
        <v>36.963566677655614</v>
      </c>
      <c r="AP556">
        <f t="shared" si="209"/>
        <v>0.40949830825859784</v>
      </c>
      <c r="AQ556">
        <f t="shared" si="210"/>
        <v>4.3999999999999068E-2</v>
      </c>
      <c r="AR556">
        <f t="shared" si="211"/>
        <v>4.51</v>
      </c>
      <c r="AS556">
        <f t="shared" si="212"/>
        <v>0</v>
      </c>
      <c r="AT556" t="str">
        <f t="shared" si="213"/>
        <v>VENTAS</v>
      </c>
      <c r="AU556">
        <f t="shared" si="214"/>
        <v>36.963566677655614</v>
      </c>
      <c r="AV556" t="str">
        <f t="shared" si="215"/>
        <v>Mayor retorno probable: VENTAS (+37,0 puntos finales potenciales).</v>
      </c>
    </row>
    <row r="557" spans="1:48" x14ac:dyDescent="0.3">
      <c r="A557" s="5">
        <v>51030222</v>
      </c>
      <c r="B557" s="5" t="str">
        <f>IFERROR(VLOOKUP(A557,VENTAS!$A$2:$B$1194,2,0),"")</f>
        <v>METTLER</v>
      </c>
      <c r="C557" s="5">
        <f>IFERROR(INDEX(VENTAS!$C$2:$E$1194,MATCH(A557,VENTAS!$A$2:$A$1194,0),MATCH(PARAMS_MODELO!$B$2,{"Q1","Q2","Q3"},0)),0)</f>
        <v>64744321.709999993</v>
      </c>
      <c r="D557" s="5">
        <f>IFERROR(INDEX(VENTAS!$F$2:$H$1194,MATCH(A557,VENTAS!$A$2:$A$1194,0),MATCH(PARAMS_MODELO!$B$2,{"Q1","Q2","Q3"},0)),0)</f>
        <v>71504137</v>
      </c>
      <c r="E557" s="8">
        <f t="shared" si="192"/>
        <v>0.10440784784615209</v>
      </c>
      <c r="F557" s="12">
        <f>IF(E557&lt;=PARAMS_MODELO!$B$15,0,IF(E557&gt;=PARAMS_MODELO!$B$17,100,100*MIN(1,(E557-PARAMS_MODELO!$B$15)/(PARAMS_MODELO!$B$16-PARAMS_MODELO!$B$15))))*PARAMS_MODELO!$B$7</f>
        <v>35</v>
      </c>
      <c r="G557" s="5">
        <f t="shared" si="193"/>
        <v>6759815.2900000066</v>
      </c>
      <c r="H557" s="5">
        <f>(PARAMS_MODELO!$B$20*(MAX(0,MIN(3,E557))/3)+PARAMS_MODELO!$B$21*(IFERROR(LN(1+MAX(0,G557))/LN(1+MAX(0,MAX($G$2:$G$1194))),0)))*100*PARAMS_MODELO!$B$8</f>
        <v>4.0519400904650125</v>
      </c>
      <c r="I557" s="8">
        <f>E557-PARAMS_MODELO!$B$5</f>
        <v>-7.3154987529374438E-2</v>
      </c>
      <c r="J557" s="5">
        <f>IF(I557&lt;=PARAMS_MODELO!$B$18,0,IF(I557&gt;=PARAMS_MODELO!$B$19,100,100*(I557-PARAMS_MODELO!$B$18)/(PARAMS_MODELO!$B$19-PARAMS_MODELO!$B$18)))*PARAMS_MODELO!$B$9</f>
        <v>0</v>
      </c>
      <c r="K557" s="5">
        <f>IFERROR(CHOOSE(MATCH(PARAMS_MODELO!$B$2,{"Q1","Q2","Q3"},0),LOTO!$D557,LOTO!$F557,LOTO!$H557),0)</f>
        <v>3475000</v>
      </c>
      <c r="L557" s="8">
        <f t="shared" si="194"/>
        <v>4.8598586680376268E-2</v>
      </c>
      <c r="M557" s="5">
        <f>MIN(100,IF(PARAMS_MODELO!$B$23=0,0,100*L557/PARAMS_MODELO!$B$23))*PARAMS_MODELO!$B$10</f>
        <v>14.579576004112878</v>
      </c>
      <c r="N557" s="5">
        <f>IFERROR(VLOOKUP(A557,COMPLIANCE!$A$2:$F$1996,6,0),100)</f>
        <v>99.7</v>
      </c>
      <c r="O557" s="5">
        <f>N557*PARAMS_MODELO!$B$11</f>
        <v>9.9700000000000006</v>
      </c>
      <c r="P557" s="5">
        <f>IFERROR(VLOOKUP(A557,DIGITAL!$A$2:$J$2000,7,0),100)</f>
        <v>11</v>
      </c>
      <c r="Q557" s="5">
        <f>IFERROR(P557,0)*PARAMS_MODELO!$B$12</f>
        <v>1.1000000000000001</v>
      </c>
      <c r="R557">
        <f t="shared" si="195"/>
        <v>64.701516094577883</v>
      </c>
      <c r="S557" s="5" t="str">
        <f>IFERROR(VLOOKUP(A557,CLIENTE!$A$2:$N$2000,13,0),1)</f>
        <v>Malo</v>
      </c>
      <c r="T557" s="5">
        <f>IFERROR(VLOOKUP(A557,CLIENTE!$A$2:$N$2000,14,0),1)</f>
        <v>0.7</v>
      </c>
      <c r="U557" s="5">
        <f t="shared" si="196"/>
        <v>45.291061266204515</v>
      </c>
      <c r="V557" s="5" t="str">
        <f>IF(U557&gt;=MAX(_xlfn.PERCENTILE.INC($U$2:$U$1194,PARAMS_MODELO!$B$50),PARAMS_MODELO!$B$45),"DIAMANTE",IF(U557&gt;=MAX(_xlfn.PERCENTILE.INC($U$2:$U$1194,PARAMS_MODELO!$B$51),PARAMS_MODELO!$B$46),"PLATINO",IF(U557&gt;=MAX(_xlfn.PERCENTILE.INC($U$2:$U$1194,PARAMS_MODELO!$B$52),PARAMS_MODELO!$B$47),"ORO",IF(U557&gt;=MAX(_xlfn.PERCENTILE.INC($U$2:$U$1194,PARAMS_MODELO!$B$53),PARAMS_MODELO!$B$48),"PLATA",IF(U557&gt;=1,"BRONCE","CERRADO")))))</f>
        <v>PLATA</v>
      </c>
      <c r="W557" s="5" t="str" cm="1">
        <f t="array" ref="W557">_xlfn.XLOOKUP(1, (HIST_SCORE!$B:$B=PARAMS_MODELO!$B$4) * (HIST_SCORE!$C:$C=A557), HIST_SCORE!$E:$E, "No encontrado")</f>
        <v>PLATA</v>
      </c>
      <c r="X557" s="5" t="str">
        <f>_xlfn.LET(_xlpm.act,MATCH(V557,{"DIAMANTE";"PLATINO";"ORO";"PLATA";"BRONCE";"CERRADO"},0),_xlpm.ant,MATCH(W557,{"DIAMANTE";"PLATINO";"ORO";"PLATA";"BRONCE";"CERRADO"},0),IF(_xlpm.act&lt;_xlpm.ant,"Mejora ↑",IF(_xlpm.act&gt;_xlpm.ant,"Baja ↓","Estable →")))</f>
        <v>Estable →</v>
      </c>
      <c r="Y557" s="5">
        <f>IFERROR(U557-SUMIFS(HIST_SCORE!$D:$D,HIST_SCORE!$B:$B,PARAMS_MODELO!$B$4,HIST_SCORE!$C:$C,$A557),"")</f>
        <v>0.38097100090809732</v>
      </c>
      <c r="Z557" s="5" t="str">
        <f t="shared" si="197"/>
        <v>→ Estable</v>
      </c>
      <c r="AA557" s="5">
        <f t="shared" si="198"/>
        <v>773</v>
      </c>
      <c r="AB557" s="5">
        <f>IFERROR(SUMIFS(HIST_SCORE!$F:$F,HIST_SCORE!$B:$B,PARAMS_MODELO!$B$4,HIST_SCORE!$C:$C,$A557),"")</f>
        <v>823</v>
      </c>
      <c r="AC557" s="5">
        <f t="shared" si="199"/>
        <v>50</v>
      </c>
      <c r="AD557" t="str">
        <f t="shared" si="201"/>
        <v/>
      </c>
      <c r="AE5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557="CERRADO",1,IF(V557="BRONCE",_xlpm.cPl,IF(V557="PLATA",_xlpm.cO,IF(V557="ORO",_xlpm.cP,IF(V557="PLATINO",_xlpm.cD,999))))))</f>
        <v>63.199193273331495</v>
      </c>
      <c r="AF5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557="CERRADO",0,IF(V557="BRONCE",1,IF(V557="PLATA",_xlpm.cPl,IF(V557="ORO",_xlpm.cO,IF(V557="PLATINO",_xlpm.cP,_xlpm.cD))))))</f>
        <v>24.506573482968111</v>
      </c>
      <c r="AG557">
        <f t="shared" si="202"/>
        <v>25.583045724467112</v>
      </c>
      <c r="AH557" t="str">
        <f t="shared" si="203"/>
        <v>CLIENTE</v>
      </c>
      <c r="AI557" t="str">
        <f t="shared" si="200"/>
        <v>🎯 Para subir de categoría, la eje con mayor impacto probable es CLIENTE (coef T). Acción: reducir quejas, mejorar incógnito y empujar reseñas. ΔR aprox: 25,6</v>
      </c>
      <c r="AJ557" s="26">
        <f>_xlfn.LET(_xlpm.piso,AF557,_xlpm.corte,AE557,_xlpm.prog,IF(_xlpm.corte&lt;=_xlpm.piso,0,MAX(0,MIN(1,(U557-_xlpm.piso)/(_xlpm.corte-_xlpm.piso)))),_xlpm.orden,{"DIAMANTE";"PLATINO";"ORO";"PLATA";"BRONCE";"CERRADO"},_xlpm.act,IFERROR(MATCH(V557,_xlpm.orden,0),6),_xlpm.ant,IFERROR(MATCH(W557,_xlpm.orden,0),6),_xlpm.ajmov,IF(_xlpm.act&lt;_xlpm.ant,0.08,IF(_xlpm.act&gt;_xlpm.ant,-0.08,0)),_xlpm.ajcli,IF(T557&lt;0.95,-0.06,0),_xlpm.prob,MAX(0,MIN(1,_xlpm.prog+_xlpm.ajmov+_xlpm.ajcli)),IF(OR(V557="DIAMANTE",V557="CERRADO"),0,ROUND(_xlpm.prob,2)))</f>
        <v>0.48</v>
      </c>
      <c r="AK557" t="str">
        <f t="shared" si="204"/>
        <v>Faltan 25,6 puntos base para subir a la siguiente categoría</v>
      </c>
      <c r="AL557" t="str">
        <f t="shared" si="205"/>
        <v>Margen de seguridad: 20,8 puntos</v>
      </c>
      <c r="AM557">
        <f t="shared" si="206"/>
        <v>0.81</v>
      </c>
      <c r="AN557" t="str">
        <f t="shared" si="207"/>
        <v>PRIORIDAD ALTA – requiere intervención inmediata</v>
      </c>
      <c r="AO557">
        <f t="shared" si="208"/>
        <v>18.067440429381399</v>
      </c>
      <c r="AP557">
        <f t="shared" si="209"/>
        <v>0.29429679712098511</v>
      </c>
      <c r="AQ557">
        <f t="shared" si="210"/>
        <v>2.099999999999955E-2</v>
      </c>
      <c r="AR557">
        <f t="shared" si="211"/>
        <v>6.2299999999999995</v>
      </c>
      <c r="AS557">
        <f t="shared" si="212"/>
        <v>19.410454828373368</v>
      </c>
      <c r="AT557" t="str">
        <f t="shared" si="213"/>
        <v>CLIENTE</v>
      </c>
      <c r="AU557">
        <f t="shared" si="214"/>
        <v>19.410454828373368</v>
      </c>
      <c r="AV557" t="str">
        <f t="shared" si="215"/>
        <v>Mayor retorno probable: CLIENTE (+19,4 puntos finales potenciales).</v>
      </c>
    </row>
    <row r="558" spans="1:48" x14ac:dyDescent="0.3">
      <c r="A558" s="5">
        <v>51002717</v>
      </c>
      <c r="B558" s="5" t="str">
        <f>IFERROR(VLOOKUP(A558,VENTAS!$A$2:$B$1194,2,0),"")</f>
        <v>MONTENEGRO</v>
      </c>
      <c r="C558" s="5">
        <f>IFERROR(INDEX(VENTAS!$C$2:$E$1194,MATCH(A558,VENTAS!$A$2:$A$1194,0),MATCH(PARAMS_MODELO!$B$2,{"Q1","Q2","Q3"},0)),0)</f>
        <v>246104281.75</v>
      </c>
      <c r="D558" s="5">
        <f>IFERROR(INDEX(VENTAS!$F$2:$H$1194,MATCH(A558,VENTAS!$A$2:$A$1194,0),MATCH(PARAMS_MODELO!$B$2,{"Q1","Q2","Q3"},0)),0)</f>
        <v>71482073</v>
      </c>
      <c r="E558" s="8">
        <f t="shared" si="192"/>
        <v>-0.70954559387709637</v>
      </c>
      <c r="F558" s="12">
        <f>IF(E558&lt;=PARAMS_MODELO!$B$15,0,IF(E558&gt;=PARAMS_MODELO!$B$17,100,100*MIN(1,(E558-PARAMS_MODELO!$B$15)/(PARAMS_MODELO!$B$16-PARAMS_MODELO!$B$15))))*PARAMS_MODELO!$B$7</f>
        <v>0</v>
      </c>
      <c r="G558" s="5">
        <f t="shared" si="193"/>
        <v>0</v>
      </c>
      <c r="H558" s="5">
        <f>(PARAMS_MODELO!$B$20*(MAX(0,MIN(3,E558))/3)+PARAMS_MODELO!$B$21*(IFERROR(LN(1+MAX(0,G558))/LN(1+MAX(0,MAX($G$2:$G$1194))),0)))*100*PARAMS_MODELO!$B$8</f>
        <v>0</v>
      </c>
      <c r="I558" s="8">
        <f>E558-PARAMS_MODELO!$B$5</f>
        <v>-0.8871084292526229</v>
      </c>
      <c r="J558" s="5">
        <f>IF(I558&lt;=PARAMS_MODELO!$B$18,0,IF(I558&gt;=PARAMS_MODELO!$B$19,100,100*(I558-PARAMS_MODELO!$B$18)/(PARAMS_MODELO!$B$19-PARAMS_MODELO!$B$18)))*PARAMS_MODELO!$B$9</f>
        <v>0</v>
      </c>
      <c r="K558" s="5">
        <f>IFERROR(CHOOSE(MATCH(PARAMS_MODELO!$B$2,{"Q1","Q2","Q3"},0),LOTO!$D558,LOTO!$F558,LOTO!$H558),0)</f>
        <v>3472500</v>
      </c>
      <c r="L558" s="8">
        <f t="shared" si="194"/>
        <v>4.8578613549721761E-2</v>
      </c>
      <c r="M558" s="5">
        <f>MIN(100,IF(PARAMS_MODELO!$B$23=0,0,100*L558/PARAMS_MODELO!$B$23))*PARAMS_MODELO!$B$10</f>
        <v>14.573584064916528</v>
      </c>
      <c r="N558" s="5">
        <f>IFERROR(VLOOKUP(A558,COMPLIANCE!$A$2:$F$1996,6,0),100)</f>
        <v>99.81</v>
      </c>
      <c r="O558" s="5">
        <f>N558*PARAMS_MODELO!$B$11</f>
        <v>9.9810000000000016</v>
      </c>
      <c r="P558" s="5">
        <f>IFERROR(VLOOKUP(A558,DIGITAL!$A$2:$J$2000,7,0),100)</f>
        <v>89</v>
      </c>
      <c r="Q558" s="5">
        <f>IFERROR(P558,0)*PARAMS_MODELO!$B$12</f>
        <v>8.9</v>
      </c>
      <c r="R558">
        <f t="shared" si="195"/>
        <v>33.454584064916531</v>
      </c>
      <c r="S558" s="5" t="str">
        <f>IFERROR(VLOOKUP(A558,CLIENTE!$A$2:$N$2000,13,0),1)</f>
        <v>Excelente</v>
      </c>
      <c r="T558" s="5">
        <f>IFERROR(VLOOKUP(A558,CLIENTE!$A$2:$N$2000,14,0),1)</f>
        <v>1.2</v>
      </c>
      <c r="U558" s="5">
        <f t="shared" si="196"/>
        <v>40.145500877899835</v>
      </c>
      <c r="V558" s="5" t="str">
        <f>IF(U558&gt;=MAX(_xlfn.PERCENTILE.INC($U$2:$U$1194,PARAMS_MODELO!$B$50),PARAMS_MODELO!$B$45),"DIAMANTE",IF(U558&gt;=MAX(_xlfn.PERCENTILE.INC($U$2:$U$1194,PARAMS_MODELO!$B$51),PARAMS_MODELO!$B$46),"PLATINO",IF(U558&gt;=MAX(_xlfn.PERCENTILE.INC($U$2:$U$1194,PARAMS_MODELO!$B$52),PARAMS_MODELO!$B$47),"ORO",IF(U558&gt;=MAX(_xlfn.PERCENTILE.INC($U$2:$U$1194,PARAMS_MODELO!$B$53),PARAMS_MODELO!$B$48),"PLATA",IF(U558&gt;=1,"BRONCE","CERRADO")))))</f>
        <v>PLATA</v>
      </c>
      <c r="W558" s="5" t="str" cm="1">
        <f t="array" ref="W558">_xlfn.XLOOKUP(1, (HIST_SCORE!$B:$B=PARAMS_MODELO!$B$4) * (HIST_SCORE!$C:$C=A558), HIST_SCORE!$E:$E, "No encontrado")</f>
        <v>PLATA</v>
      </c>
      <c r="X558" s="5" t="str">
        <f>_xlfn.LET(_xlpm.act,MATCH(V558,{"DIAMANTE";"PLATINO";"ORO";"PLATA";"BRONCE";"CERRADO"},0),_xlpm.ant,MATCH(W558,{"DIAMANTE";"PLATINO";"ORO";"PLATA";"BRONCE";"CERRADO"},0),IF(_xlpm.act&lt;_xlpm.ant,"Mejora ↑",IF(_xlpm.act&gt;_xlpm.ant,"Baja ↓","Estable →")))</f>
        <v>Estable →</v>
      </c>
      <c r="Y558" s="5">
        <f>IFERROR(U558-SUMIFS(HIST_SCORE!$D:$D,HIST_SCORE!$B:$B,PARAMS_MODELO!$B$4,HIST_SCORE!$C:$C,$A558),"")</f>
        <v>8.8930955478297307</v>
      </c>
      <c r="Z558" s="5" t="str">
        <f t="shared" si="197"/>
        <v>↑ Mejora</v>
      </c>
      <c r="AA558" s="5">
        <f t="shared" si="198"/>
        <v>784</v>
      </c>
      <c r="AB558" s="5">
        <f>IFERROR(SUMIFS(HIST_SCORE!$F:$F,HIST_SCORE!$B:$B,PARAMS_MODELO!$B$4,HIST_SCORE!$C:$C,$A558),"")</f>
        <v>897</v>
      </c>
      <c r="AC558" s="5">
        <f t="shared" si="199"/>
        <v>113</v>
      </c>
      <c r="AD558" t="str">
        <f t="shared" si="201"/>
        <v/>
      </c>
      <c r="AE5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558="CERRADO",1,IF(V558="BRONCE",_xlpm.cPl,IF(V558="PLATA",_xlpm.cO,IF(V558="ORO",_xlpm.cP,IF(V558="PLATINO",_xlpm.cD,999))))))</f>
        <v>63.199193273331495</v>
      </c>
      <c r="AF5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558="CERRADO",0,IF(V558="BRONCE",1,IF(V558="PLATA",_xlpm.cPl,IF(V558="ORO",_xlpm.cO,IF(V558="PLATINO",_xlpm.cP,_xlpm.cD))))))</f>
        <v>24.506573482968111</v>
      </c>
      <c r="AG558">
        <f t="shared" si="202"/>
        <v>19.21141032952638</v>
      </c>
      <c r="AH558" t="str">
        <f t="shared" si="203"/>
        <v>VENTAS</v>
      </c>
      <c r="AI558" t="str">
        <f t="shared" si="200"/>
        <v>🎯 Para subir de categoría, eje VENTAS / CRECIMIENTO PERSONAL (F). Acción: metas semanales + activación comercial + seguimiento del asesor. ΔR aprox: 19,2</v>
      </c>
      <c r="AJ558" s="26">
        <f>_xlfn.LET(_xlpm.piso,AF558,_xlpm.corte,AE558,_xlpm.prog,IF(_xlpm.corte&lt;=_xlpm.piso,0,MAX(0,MIN(1,(U558-_xlpm.piso)/(_xlpm.corte-_xlpm.piso)))),_xlpm.orden,{"DIAMANTE";"PLATINO";"ORO";"PLATA";"BRONCE";"CERRADO"},_xlpm.act,IFERROR(MATCH(V558,_xlpm.orden,0),6),_xlpm.ant,IFERROR(MATCH(W558,_xlpm.orden,0),6),_xlpm.ajmov,IF(_xlpm.act&lt;_xlpm.ant,0.08,IF(_xlpm.act&gt;_xlpm.ant,-0.08,0)),_xlpm.ajcli,IF(T558&lt;0.95,-0.06,0),_xlpm.prob,MAX(0,MIN(1,_xlpm.prog+_xlpm.ajmov+_xlpm.ajcli)),IF(OR(V558="DIAMANTE",V558="CERRADO"),0,ROUND(_xlpm.prob,2)))</f>
        <v>0.4</v>
      </c>
      <c r="AK558" t="str">
        <f t="shared" si="204"/>
        <v>Faltan 19,2 puntos base para subir a la siguiente categoría</v>
      </c>
      <c r="AL558" t="str">
        <f t="shared" si="205"/>
        <v>Margen de seguridad: 15,6 puntos</v>
      </c>
      <c r="AM558">
        <f t="shared" si="206"/>
        <v>0.64</v>
      </c>
      <c r="AN558" t="str">
        <f t="shared" si="207"/>
        <v>PRIORIDAD MEDIA – seguimiento del asesor</v>
      </c>
      <c r="AO558">
        <f t="shared" si="208"/>
        <v>77.835083130354704</v>
      </c>
      <c r="AP558">
        <f t="shared" si="209"/>
        <v>0.51169912210016688</v>
      </c>
      <c r="AQ558">
        <f t="shared" si="210"/>
        <v>2.279999999999802E-2</v>
      </c>
      <c r="AR558">
        <f t="shared" si="211"/>
        <v>1.3199999999999996</v>
      </c>
      <c r="AS558">
        <f t="shared" si="212"/>
        <v>0</v>
      </c>
      <c r="AT558" t="str">
        <f t="shared" si="213"/>
        <v>VENTAS</v>
      </c>
      <c r="AU558">
        <f t="shared" si="214"/>
        <v>77.835083130354704</v>
      </c>
      <c r="AV558" t="str">
        <f t="shared" si="215"/>
        <v>Mayor retorno probable: VENTAS (+77,8 puntos finales potenciales).</v>
      </c>
    </row>
    <row r="559" spans="1:48" x14ac:dyDescent="0.3">
      <c r="A559" s="5">
        <v>51055454</v>
      </c>
      <c r="B559" s="5" t="str">
        <f>IFERROR(VLOOKUP(A559,VENTAS!$A$2:$B$1194,2,0),"")</f>
        <v>METTLER</v>
      </c>
      <c r="C559" s="5">
        <f>IFERROR(INDEX(VENTAS!$C$2:$E$1194,MATCH(A559,VENTAS!$A$2:$A$1194,0),MATCH(PARAMS_MODELO!$B$2,{"Q1","Q2","Q3"},0)),0)</f>
        <v>0</v>
      </c>
      <c r="D559" s="5">
        <f>IFERROR(INDEX(VENTAS!$F$2:$H$1194,MATCH(A559,VENTAS!$A$2:$A$1194,0),MATCH(PARAMS_MODELO!$B$2,{"Q1","Q2","Q3"},0)),0)</f>
        <v>71470808</v>
      </c>
      <c r="E559" s="8">
        <f t="shared" si="192"/>
        <v>0</v>
      </c>
      <c r="F559" s="12">
        <f>IF(E559&lt;=PARAMS_MODELO!$B$15,0,IF(E559&gt;=PARAMS_MODELO!$B$17,100,100*MIN(1,(E559-PARAMS_MODELO!$B$15)/(PARAMS_MODELO!$B$16-PARAMS_MODELO!$B$15))))*PARAMS_MODELO!$B$7</f>
        <v>0</v>
      </c>
      <c r="G559" s="5">
        <f t="shared" si="193"/>
        <v>71470808</v>
      </c>
      <c r="H559" s="5">
        <f>(PARAMS_MODELO!$B$20*(MAX(0,MIN(3,E559))/3)+PARAMS_MODELO!$B$21*(IFERROR(LN(1+MAX(0,G559))/LN(1+MAX(0,MAX($G$2:$G$1194))),0)))*100*PARAMS_MODELO!$B$8</f>
        <v>4.239329516316773</v>
      </c>
      <c r="I559" s="8">
        <f>E559-PARAMS_MODELO!$B$5</f>
        <v>-0.17756283537552653</v>
      </c>
      <c r="J559" s="5">
        <f>IF(I559&lt;=PARAMS_MODELO!$B$18,0,IF(I559&gt;=PARAMS_MODELO!$B$19,100,100*(I559-PARAMS_MODELO!$B$18)/(PARAMS_MODELO!$B$19-PARAMS_MODELO!$B$18)))*PARAMS_MODELO!$B$9</f>
        <v>0</v>
      </c>
      <c r="K559" s="5">
        <f>IFERROR(CHOOSE(MATCH(PARAMS_MODELO!$B$2,{"Q1","Q2","Q3"},0),LOTO!$D559,LOTO!$F559,LOTO!$H559),0)</f>
        <v>3467500</v>
      </c>
      <c r="L559" s="8">
        <f t="shared" si="194"/>
        <v>4.8516311722682635E-2</v>
      </c>
      <c r="M559" s="5">
        <f>MIN(100,IF(PARAMS_MODELO!$B$23=0,0,100*L559/PARAMS_MODELO!$B$23))*PARAMS_MODELO!$B$10</f>
        <v>14.554893516804791</v>
      </c>
      <c r="N559" s="5">
        <f>IFERROR(VLOOKUP(A559,COMPLIANCE!$A$2:$F$1996,6,0),100)</f>
        <v>100</v>
      </c>
      <c r="O559" s="5">
        <f>N559*PARAMS_MODELO!$B$11</f>
        <v>10</v>
      </c>
      <c r="P559" s="5">
        <f>IFERROR(VLOOKUP(A559,DIGITAL!$A$2:$J$2000,7,0),100)</f>
        <v>16</v>
      </c>
      <c r="Q559" s="5">
        <f>IFERROR(P559,0)*PARAMS_MODELO!$B$12</f>
        <v>1.6</v>
      </c>
      <c r="R559">
        <f t="shared" si="195"/>
        <v>30.394223033121566</v>
      </c>
      <c r="S559" s="5" t="str">
        <f>IFERROR(VLOOKUP(A559,CLIENTE!$A$2:$N$2000,13,0),1)</f>
        <v>Regular</v>
      </c>
      <c r="T559" s="5">
        <f>IFERROR(VLOOKUP(A559,CLIENTE!$A$2:$N$2000,14,0),1)</f>
        <v>1</v>
      </c>
      <c r="U559" s="5">
        <f t="shared" si="196"/>
        <v>30.394223033121566</v>
      </c>
      <c r="V559" s="5" t="str">
        <f>IF(U559&gt;=MAX(_xlfn.PERCENTILE.INC($U$2:$U$1194,PARAMS_MODELO!$B$50),PARAMS_MODELO!$B$45),"DIAMANTE",IF(U559&gt;=MAX(_xlfn.PERCENTILE.INC($U$2:$U$1194,PARAMS_MODELO!$B$51),PARAMS_MODELO!$B$46),"PLATINO",IF(U559&gt;=MAX(_xlfn.PERCENTILE.INC($U$2:$U$1194,PARAMS_MODELO!$B$52),PARAMS_MODELO!$B$47),"ORO",IF(U559&gt;=MAX(_xlfn.PERCENTILE.INC($U$2:$U$1194,PARAMS_MODELO!$B$53),PARAMS_MODELO!$B$48),"PLATA",IF(U559&gt;=1,"BRONCE","CERRADO")))))</f>
        <v>PLATA</v>
      </c>
      <c r="W559" s="5" t="str" cm="1">
        <f t="array" ref="W559">_xlfn.XLOOKUP(1, (HIST_SCORE!$B:$B=PARAMS_MODELO!$B$4) * (HIST_SCORE!$C:$C=A559), HIST_SCORE!$E:$E, "No encontrado")</f>
        <v>PLATA</v>
      </c>
      <c r="X559" s="5" t="str">
        <f>_xlfn.LET(_xlpm.act,MATCH(V559,{"DIAMANTE";"PLATINO";"ORO";"PLATA";"BRONCE";"CERRADO"},0),_xlpm.ant,MATCH(W559,{"DIAMANTE";"PLATINO";"ORO";"PLATA";"BRONCE";"CERRADO"},0),IF(_xlpm.act&lt;_xlpm.ant,"Mejora ↑",IF(_xlpm.act&gt;_xlpm.ant,"Baja ↓","Estable →")))</f>
        <v>Estable →</v>
      </c>
      <c r="Y559" s="5">
        <f>IFERROR(U559-SUMIFS(HIST_SCORE!$D:$D,HIST_SCORE!$B:$B,PARAMS_MODELO!$B$4,HIST_SCORE!$C:$C,$A559),"")</f>
        <v>-0.21497533499971766</v>
      </c>
      <c r="Z559" s="5" t="str">
        <f t="shared" si="197"/>
        <v>→ Estable</v>
      </c>
      <c r="AA559" s="5">
        <f t="shared" si="198"/>
        <v>856</v>
      </c>
      <c r="AB559" s="5">
        <f>IFERROR(SUMIFS(HIST_SCORE!$F:$F,HIST_SCORE!$B:$B,PARAMS_MODELO!$B$4,HIST_SCORE!$C:$C,$A559),"")</f>
        <v>905</v>
      </c>
      <c r="AC559" s="5">
        <f t="shared" si="199"/>
        <v>49</v>
      </c>
      <c r="AD559" t="str">
        <f t="shared" si="201"/>
        <v/>
      </c>
      <c r="AE5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559="CERRADO",1,IF(V559="BRONCE",_xlpm.cPl,IF(V559="PLATA",_xlpm.cO,IF(V559="ORO",_xlpm.cP,IF(V559="PLATINO",_xlpm.cD,999))))))</f>
        <v>63.199193273331495</v>
      </c>
      <c r="AF5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559="CERRADO",0,IF(V559="BRONCE",1,IF(V559="PLATA",_xlpm.cPl,IF(V559="ORO",_xlpm.cO,IF(V559="PLATINO",_xlpm.cP,_xlpm.cD))))))</f>
        <v>24.506573482968111</v>
      </c>
      <c r="AG559">
        <f t="shared" si="202"/>
        <v>32.804970240209926</v>
      </c>
      <c r="AH559" t="str">
        <f t="shared" si="203"/>
        <v>VENTAS</v>
      </c>
      <c r="AI559" t="str">
        <f t="shared" si="200"/>
        <v>🎯 Para subir de categoría, eje VENTAS / CRECIMIENTO PERSONAL (F). Acción: metas semanales + activación comercial + seguimiento del asesor. ΔR aprox: 32,8</v>
      </c>
      <c r="AJ559" s="26">
        <f>_xlfn.LET(_xlpm.piso,AF559,_xlpm.corte,AE559,_xlpm.prog,IF(_xlpm.corte&lt;=_xlpm.piso,0,MAX(0,MIN(1,(U559-_xlpm.piso)/(_xlpm.corte-_xlpm.piso)))),_xlpm.orden,{"DIAMANTE";"PLATINO";"ORO";"PLATA";"BRONCE";"CERRADO"},_xlpm.act,IFERROR(MATCH(V559,_xlpm.orden,0),6),_xlpm.ant,IFERROR(MATCH(W559,_xlpm.orden,0),6),_xlpm.ajmov,IF(_xlpm.act&lt;_xlpm.ant,0.08,IF(_xlpm.act&gt;_xlpm.ant,-0.08,0)),_xlpm.ajcli,IF(T559&lt;0.95,-0.06,0),_xlpm.prob,MAX(0,MIN(1,_xlpm.prog+_xlpm.ajmov+_xlpm.ajcli)),IF(OR(V559="DIAMANTE",V559="CERRADO"),0,ROUND(_xlpm.prob,2)))</f>
        <v>0.15</v>
      </c>
      <c r="AK559" t="str">
        <f t="shared" si="204"/>
        <v>Faltan 32,8 puntos base para subir a la siguiente categoría</v>
      </c>
      <c r="AL559" t="str">
        <f t="shared" si="205"/>
        <v>Margen de seguridad: 5,9 puntos</v>
      </c>
      <c r="AM559">
        <f t="shared" si="206"/>
        <v>0.74</v>
      </c>
      <c r="AN559" t="str">
        <f t="shared" si="207"/>
        <v>PRIORIDAD ALTA – requiere intervención inmediata</v>
      </c>
      <c r="AO559">
        <f t="shared" si="208"/>
        <v>60.623239758978812</v>
      </c>
      <c r="AP559">
        <f t="shared" si="209"/>
        <v>0.44510648319520918</v>
      </c>
      <c r="AQ559">
        <f t="shared" si="210"/>
        <v>0</v>
      </c>
      <c r="AR559">
        <f t="shared" si="211"/>
        <v>8.4</v>
      </c>
      <c r="AS559">
        <f t="shared" si="212"/>
        <v>0</v>
      </c>
      <c r="AT559" t="str">
        <f t="shared" si="213"/>
        <v>VENTAS</v>
      </c>
      <c r="AU559">
        <f t="shared" si="214"/>
        <v>60.623239758978812</v>
      </c>
      <c r="AV559" t="str">
        <f t="shared" si="215"/>
        <v>Mayor retorno probable: VENTAS (+60,6 puntos finales potenciales).</v>
      </c>
    </row>
    <row r="560" spans="1:48" x14ac:dyDescent="0.3">
      <c r="A560" s="5">
        <v>51055756</v>
      </c>
      <c r="B560" s="5" t="str">
        <f>IFERROR(VLOOKUP(A560,VENTAS!$A$2:$B$1194,2,0),"")</f>
        <v>LÓPEZ</v>
      </c>
      <c r="C560" s="5">
        <f>IFERROR(INDEX(VENTAS!$C$2:$E$1194,MATCH(A560,VENTAS!$A$2:$A$1194,0),MATCH(PARAMS_MODELO!$B$2,{"Q1","Q2","Q3"},0)),0)</f>
        <v>45873119.599999987</v>
      </c>
      <c r="D560" s="5">
        <f>IFERROR(INDEX(VENTAS!$F$2:$H$1194,MATCH(A560,VENTAS!$A$2:$A$1194,0),MATCH(PARAMS_MODELO!$B$2,{"Q1","Q2","Q3"},0)),0)</f>
        <v>71300970</v>
      </c>
      <c r="E560" s="8">
        <f t="shared" si="192"/>
        <v>0.55430828820283717</v>
      </c>
      <c r="F560" s="12">
        <f>IF(E560&lt;=PARAMS_MODELO!$B$15,0,IF(E560&gt;=PARAMS_MODELO!$B$17,100,100*MIN(1,(E560-PARAMS_MODELO!$B$15)/(PARAMS_MODELO!$B$16-PARAMS_MODELO!$B$15))))*PARAMS_MODELO!$B$7</f>
        <v>35</v>
      </c>
      <c r="G560" s="5">
        <f t="shared" si="193"/>
        <v>25427850.400000013</v>
      </c>
      <c r="H560" s="5">
        <f>(PARAMS_MODELO!$B$20*(MAX(0,MIN(3,E560))/3)+PARAMS_MODELO!$B$21*(IFERROR(LN(1+MAX(0,G560))/LN(1+MAX(0,MAX($G$2:$G$1194))),0)))*100*PARAMS_MODELO!$B$8</f>
        <v>5.9371548201988427</v>
      </c>
      <c r="I560" s="8">
        <f>E560-PARAMS_MODELO!$B$5</f>
        <v>0.37674545282731065</v>
      </c>
      <c r="J560" s="5">
        <f>IF(I560&lt;=PARAMS_MODELO!$B$18,0,IF(I560&gt;=PARAMS_MODELO!$B$19,100,100*(I560-PARAMS_MODELO!$B$18)/(PARAMS_MODELO!$B$19-PARAMS_MODELO!$B$18)))*PARAMS_MODELO!$B$9</f>
        <v>15</v>
      </c>
      <c r="K560" s="5">
        <f>IFERROR(CHOOSE(MATCH(PARAMS_MODELO!$B$2,{"Q1","Q2","Q3"},0),LOTO!$D560,LOTO!$F560,LOTO!$H560),0)</f>
        <v>3467500</v>
      </c>
      <c r="L560" s="8">
        <f t="shared" si="194"/>
        <v>4.8631876957634657E-2</v>
      </c>
      <c r="M560" s="5">
        <f>MIN(100,IF(PARAMS_MODELO!$B$23=0,0,100*L560/PARAMS_MODELO!$B$23))*PARAMS_MODELO!$B$10</f>
        <v>14.589563087290395</v>
      </c>
      <c r="N560" s="5">
        <f>IFERROR(VLOOKUP(A560,COMPLIANCE!$A$2:$F$1996,6,0),100)</f>
        <v>99.98</v>
      </c>
      <c r="O560" s="5">
        <f>N560*PARAMS_MODELO!$B$11</f>
        <v>9.9980000000000011</v>
      </c>
      <c r="P560" s="5">
        <f>IFERROR(VLOOKUP(A560,DIGITAL!$A$2:$J$2000,7,0),100)</f>
        <v>82</v>
      </c>
      <c r="Q560" s="5">
        <f>IFERROR(P560,0)*PARAMS_MODELO!$B$12</f>
        <v>8.2000000000000011</v>
      </c>
      <c r="R560">
        <f t="shared" si="195"/>
        <v>88.72471790748925</v>
      </c>
      <c r="S560" s="5" t="str">
        <f>IFERROR(VLOOKUP(A560,CLIENTE!$A$2:$N$2000,13,0),1)</f>
        <v>Bueno</v>
      </c>
      <c r="T560" s="5">
        <f>IFERROR(VLOOKUP(A560,CLIENTE!$A$2:$N$2000,14,0),1)</f>
        <v>1.1000000000000001</v>
      </c>
      <c r="U560" s="5">
        <f t="shared" si="196"/>
        <v>97.597189698238182</v>
      </c>
      <c r="V560" s="5" t="str">
        <f>IF(U560&gt;=MAX(_xlfn.PERCENTILE.INC($U$2:$U$1194,PARAMS_MODELO!$B$50),PARAMS_MODELO!$B$45),"DIAMANTE",IF(U560&gt;=MAX(_xlfn.PERCENTILE.INC($U$2:$U$1194,PARAMS_MODELO!$B$51),PARAMS_MODELO!$B$46),"PLATINO",IF(U560&gt;=MAX(_xlfn.PERCENTILE.INC($U$2:$U$1194,PARAMS_MODELO!$B$52),PARAMS_MODELO!$B$47),"ORO",IF(U560&gt;=MAX(_xlfn.PERCENTILE.INC($U$2:$U$1194,PARAMS_MODELO!$B$53),PARAMS_MODELO!$B$48),"PLATA",IF(U560&gt;=1,"BRONCE","CERRADO")))))</f>
        <v>DIAMANTE</v>
      </c>
      <c r="W560" s="5" t="str" cm="1">
        <f t="array" ref="W560">_xlfn.XLOOKUP(1, (HIST_SCORE!$B:$B=PARAMS_MODELO!$B$4) * (HIST_SCORE!$C:$C=A560), HIST_SCORE!$E:$E, "No encontrado")</f>
        <v>DIAMANTE</v>
      </c>
      <c r="X560" s="5" t="str">
        <f>_xlfn.LET(_xlpm.act,MATCH(V560,{"DIAMANTE";"PLATINO";"ORO";"PLATA";"BRONCE";"CERRADO"},0),_xlpm.ant,MATCH(W560,{"DIAMANTE";"PLATINO";"ORO";"PLATA";"BRONCE";"CERRADO"},0),IF(_xlpm.act&lt;_xlpm.ant,"Mejora ↑",IF(_xlpm.act&gt;_xlpm.ant,"Baja ↓","Estable →")))</f>
        <v>Estable →</v>
      </c>
      <c r="Y560" s="5">
        <f>IFERROR(U560-SUMIFS(HIST_SCORE!$D:$D,HIST_SCORE!$B:$B,PARAMS_MODELO!$B$4,HIST_SCORE!$C:$C,$A560),"")</f>
        <v>-0.31462846556422619</v>
      </c>
      <c r="Z560" s="5" t="str">
        <f t="shared" si="197"/>
        <v>→ Estable</v>
      </c>
      <c r="AA560" s="5">
        <f t="shared" si="198"/>
        <v>40</v>
      </c>
      <c r="AB560" s="5">
        <f>IFERROR(SUMIFS(HIST_SCORE!$F:$F,HIST_SCORE!$B:$B,PARAMS_MODELO!$B$4,HIST_SCORE!$C:$C,$A560),"")</f>
        <v>29</v>
      </c>
      <c r="AC560" s="5">
        <f t="shared" si="199"/>
        <v>-11</v>
      </c>
      <c r="AD560" t="str">
        <f t="shared" si="201"/>
        <v/>
      </c>
      <c r="AE5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560="CERRADO",1,IF(V560="BRONCE",_xlpm.cPl,IF(V560="PLATA",_xlpm.cO,IF(V560="ORO",_xlpm.cP,IF(V560="PLATINO",_xlpm.cD,999))))))</f>
        <v>999</v>
      </c>
      <c r="AF5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560="CERRADO",0,IF(V560="BRONCE",1,IF(V560="PLATA",_xlpm.cPl,IF(V560="ORO",_xlpm.cO,IF(V560="PLATINO",_xlpm.cP,_xlpm.cD))))))</f>
        <v>96.054919694466676</v>
      </c>
      <c r="AG560">
        <f t="shared" si="202"/>
        <v>819.45710027432892</v>
      </c>
      <c r="AH560" t="str">
        <f t="shared" si="203"/>
        <v>SOSTENER</v>
      </c>
      <c r="AI560" t="str">
        <f t="shared" si="200"/>
        <v>✅ Mantener desempeño y monitorear variaciones para sostener categoría.</v>
      </c>
      <c r="AJ560" s="26">
        <f>_xlfn.LET(_xlpm.piso,AF560,_xlpm.corte,AE560,_xlpm.prog,IF(_xlpm.corte&lt;=_xlpm.piso,0,MAX(0,MIN(1,(U560-_xlpm.piso)/(_xlpm.corte-_xlpm.piso)))),_xlpm.orden,{"DIAMANTE";"PLATINO";"ORO";"PLATA";"BRONCE";"CERRADO"},_xlpm.act,IFERROR(MATCH(V560,_xlpm.orden,0),6),_xlpm.ant,IFERROR(MATCH(W560,_xlpm.orden,0),6),_xlpm.ajmov,IF(_xlpm.act&lt;_xlpm.ant,0.08,IF(_xlpm.act&gt;_xlpm.ant,-0.08,0)),_xlpm.ajcli,IF(T560&lt;0.95,-0.06,0),_xlpm.prob,MAX(0,MIN(1,_xlpm.prog+_xlpm.ajmov+_xlpm.ajcli)),IF(OR(V560="DIAMANTE",V560="CERRADO"),0,ROUND(_xlpm.prob,2)))</f>
        <v>0</v>
      </c>
      <c r="AK560" t="str">
        <f t="shared" si="204"/>
        <v>No aplica</v>
      </c>
      <c r="AL560" t="str">
        <f t="shared" si="205"/>
        <v>Margen de seguridad: 1,5 puntos</v>
      </c>
      <c r="AM560">
        <f t="shared" si="206"/>
        <v>0.8</v>
      </c>
      <c r="AN560" t="str">
        <f t="shared" si="207"/>
        <v>PRIORIDAD ALTA – requiere intervención inmediata</v>
      </c>
      <c r="AO560">
        <f t="shared" si="208"/>
        <v>9.8179559006064174</v>
      </c>
      <c r="AP560">
        <f t="shared" si="209"/>
        <v>0.45148060398056505</v>
      </c>
      <c r="AQ560">
        <f t="shared" si="210"/>
        <v>2.1999999999987811E-3</v>
      </c>
      <c r="AR560">
        <f t="shared" si="211"/>
        <v>1.9799999999999991</v>
      </c>
      <c r="AS560">
        <f t="shared" si="212"/>
        <v>0</v>
      </c>
      <c r="AT560" t="str">
        <f t="shared" si="213"/>
        <v>VENTAS</v>
      </c>
      <c r="AU560">
        <f t="shared" si="214"/>
        <v>9.8179559006064174</v>
      </c>
      <c r="AV560" t="str">
        <f t="shared" si="215"/>
        <v>Mayor retorno probable: VENTAS (+9,8 puntos finales potenciales).</v>
      </c>
    </row>
    <row r="561" spans="1:48" x14ac:dyDescent="0.3">
      <c r="A561" s="5">
        <v>51011490</v>
      </c>
      <c r="B561" s="5" t="str">
        <f>IFERROR(VLOOKUP(A561,VENTAS!$A$2:$B$1194,2,0),"")</f>
        <v>MONTENEGRO</v>
      </c>
      <c r="C561" s="5">
        <f>IFERROR(INDEX(VENTAS!$C$2:$E$1194,MATCH(A561,VENTAS!$A$2:$A$1194,0),MATCH(PARAMS_MODELO!$B$2,{"Q1","Q2","Q3"},0)),0)</f>
        <v>68937875.669999987</v>
      </c>
      <c r="D561" s="5">
        <f>IFERROR(INDEX(VENTAS!$F$2:$H$1194,MATCH(A561,VENTAS!$A$2:$A$1194,0),MATCH(PARAMS_MODELO!$B$2,{"Q1","Q2","Q3"},0)),0)</f>
        <v>71292934</v>
      </c>
      <c r="E561" s="8">
        <f t="shared" si="192"/>
        <v>3.4162038024981856E-2</v>
      </c>
      <c r="F561" s="12">
        <f>IF(E561&lt;=PARAMS_MODELO!$B$15,0,IF(E561&gt;=PARAMS_MODELO!$B$17,100,100*MIN(1,(E561-PARAMS_MODELO!$B$15)/(PARAMS_MODELO!$B$16-PARAMS_MODELO!$B$15))))*PARAMS_MODELO!$B$7</f>
        <v>11.956713308743648</v>
      </c>
      <c r="G561" s="5">
        <f t="shared" si="193"/>
        <v>2355058.3300000131</v>
      </c>
      <c r="H561" s="5">
        <f>(PARAMS_MODELO!$B$20*(MAX(0,MIN(3,E561))/3)+PARAMS_MODELO!$B$21*(IFERROR(LN(1+MAX(0,G561))/LN(1+MAX(0,MAX($G$2:$G$1194))),0)))*100*PARAMS_MODELO!$B$8</f>
        <v>3.5589066919716368</v>
      </c>
      <c r="I561" s="8">
        <f>E561-PARAMS_MODELO!$B$5</f>
        <v>-0.14340079735054467</v>
      </c>
      <c r="J561" s="5">
        <f>IF(I561&lt;=PARAMS_MODELO!$B$18,0,IF(I561&gt;=PARAMS_MODELO!$B$19,100,100*(I561-PARAMS_MODELO!$B$18)/(PARAMS_MODELO!$B$19-PARAMS_MODELO!$B$18)))*PARAMS_MODELO!$B$9</f>
        <v>0</v>
      </c>
      <c r="K561" s="5">
        <f>IFERROR(CHOOSE(MATCH(PARAMS_MODELO!$B$2,{"Q1","Q2","Q3"},0),LOTO!$D561,LOTO!$F561,LOTO!$H561),0)</f>
        <v>3465000</v>
      </c>
      <c r="L561" s="8">
        <f t="shared" si="194"/>
        <v>4.8602292058845552E-2</v>
      </c>
      <c r="M561" s="5">
        <f>MIN(100,IF(PARAMS_MODELO!$B$23=0,0,100*L561/PARAMS_MODELO!$B$23))*PARAMS_MODELO!$B$10</f>
        <v>14.580687617653664</v>
      </c>
      <c r="N561" s="5">
        <f>IFERROR(VLOOKUP(A561,COMPLIANCE!$A$2:$F$1996,6,0),100)</f>
        <v>100</v>
      </c>
      <c r="O561" s="5">
        <f>N561*PARAMS_MODELO!$B$11</f>
        <v>10</v>
      </c>
      <c r="P561" s="5">
        <f>IFERROR(VLOOKUP(A561,DIGITAL!$A$2:$J$2000,7,0),100)</f>
        <v>73</v>
      </c>
      <c r="Q561" s="5">
        <f>IFERROR(P561,0)*PARAMS_MODELO!$B$12</f>
        <v>7.3000000000000007</v>
      </c>
      <c r="R561">
        <f t="shared" si="195"/>
        <v>47.396307618368951</v>
      </c>
      <c r="S561" s="5" t="str">
        <f>IFERROR(VLOOKUP(A561,CLIENTE!$A$2:$N$2000,13,0),1)</f>
        <v>Muy Bueno</v>
      </c>
      <c r="T561" s="5">
        <f>IFERROR(VLOOKUP(A561,CLIENTE!$A$2:$N$2000,14,0),1)</f>
        <v>1.1499999999999999</v>
      </c>
      <c r="U561" s="5">
        <f t="shared" si="196"/>
        <v>54.505753761124289</v>
      </c>
      <c r="V561" s="5" t="str">
        <f>IF(U561&gt;=MAX(_xlfn.PERCENTILE.INC($U$2:$U$1194,PARAMS_MODELO!$B$50),PARAMS_MODELO!$B$45),"DIAMANTE",IF(U561&gt;=MAX(_xlfn.PERCENTILE.INC($U$2:$U$1194,PARAMS_MODELO!$B$51),PARAMS_MODELO!$B$46),"PLATINO",IF(U561&gt;=MAX(_xlfn.PERCENTILE.INC($U$2:$U$1194,PARAMS_MODELO!$B$52),PARAMS_MODELO!$B$47),"ORO",IF(U561&gt;=MAX(_xlfn.PERCENTILE.INC($U$2:$U$1194,PARAMS_MODELO!$B$53),PARAMS_MODELO!$B$48),"PLATA",IF(U561&gt;=1,"BRONCE","CERRADO")))))</f>
        <v>PLATA</v>
      </c>
      <c r="W561" s="5" t="str" cm="1">
        <f t="array" ref="W561">_xlfn.XLOOKUP(1, (HIST_SCORE!$B:$B=PARAMS_MODELO!$B$4) * (HIST_SCORE!$C:$C=A561), HIST_SCORE!$E:$E, "No encontrado")</f>
        <v>ORO</v>
      </c>
      <c r="X561" s="5" t="str">
        <f>_xlfn.LET(_xlpm.act,MATCH(V561,{"DIAMANTE";"PLATINO";"ORO";"PLATA";"BRONCE";"CERRADO"},0),_xlpm.ant,MATCH(W561,{"DIAMANTE";"PLATINO";"ORO";"PLATA";"BRONCE";"CERRADO"},0),IF(_xlpm.act&lt;_xlpm.ant,"Mejora ↑",IF(_xlpm.act&gt;_xlpm.ant,"Baja ↓","Estable →")))</f>
        <v>Baja ↓</v>
      </c>
      <c r="Y561" s="5">
        <f>IFERROR(U561-SUMIFS(HIST_SCORE!$D:$D,HIST_SCORE!$B:$B,PARAMS_MODELO!$B$4,HIST_SCORE!$C:$C,$A561),"")</f>
        <v>-26.22098563234146</v>
      </c>
      <c r="Z561" s="5" t="str">
        <f t="shared" si="197"/>
        <v>↓ Baja</v>
      </c>
      <c r="AA561" s="5">
        <f t="shared" si="198"/>
        <v>722</v>
      </c>
      <c r="AB561" s="5">
        <f>IFERROR(SUMIFS(HIST_SCORE!$F:$F,HIST_SCORE!$B:$B,PARAMS_MODELO!$B$4,HIST_SCORE!$C:$C,$A561),"")</f>
        <v>399</v>
      </c>
      <c r="AC561" s="5">
        <f t="shared" si="199"/>
        <v>-323</v>
      </c>
      <c r="AD561" t="str">
        <f t="shared" si="201"/>
        <v/>
      </c>
      <c r="AE5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561="CERRADO",1,IF(V561="BRONCE",_xlpm.cPl,IF(V561="PLATA",_xlpm.cO,IF(V561="ORO",_xlpm.cP,IF(V561="PLATINO",_xlpm.cD,999))))))</f>
        <v>63.199193273331495</v>
      </c>
      <c r="AF5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561="CERRADO",0,IF(V561="BRONCE",1,IF(V561="PLATA",_xlpm.cPl,IF(V561="ORO",_xlpm.cO,IF(V561="PLATINO",_xlpm.cP,_xlpm.cD))))))</f>
        <v>24.506573482968111</v>
      </c>
      <c r="AG561">
        <f t="shared" si="202"/>
        <v>7.5595126193106168</v>
      </c>
      <c r="AH561" t="str">
        <f t="shared" si="203"/>
        <v>VENTAS</v>
      </c>
      <c r="AI561" t="str">
        <f t="shared" si="200"/>
        <v>🎯 Para subir de categoría, eje VENTAS / DIFERENCIAL vs LOTBA (J). Acción: metas semanales + activación comercial + seguimiento del asesor. ΔR aprox: 7,6</v>
      </c>
      <c r="AJ561" s="26">
        <f>_xlfn.LET(_xlpm.piso,AF561,_xlpm.corte,AE561,_xlpm.prog,IF(_xlpm.corte&lt;=_xlpm.piso,0,MAX(0,MIN(1,(U561-_xlpm.piso)/(_xlpm.corte-_xlpm.piso)))),_xlpm.orden,{"DIAMANTE";"PLATINO";"ORO";"PLATA";"BRONCE";"CERRADO"},_xlpm.act,IFERROR(MATCH(V561,_xlpm.orden,0),6),_xlpm.ant,IFERROR(MATCH(W561,_xlpm.orden,0),6),_xlpm.ajmov,IF(_xlpm.act&lt;_xlpm.ant,0.08,IF(_xlpm.act&gt;_xlpm.ant,-0.08,0)),_xlpm.ajcli,IF(T561&lt;0.95,-0.06,0),_xlpm.prob,MAX(0,MIN(1,_xlpm.prog+_xlpm.ajmov+_xlpm.ajcli)),IF(OR(V561="DIAMANTE",V561="CERRADO"),0,ROUND(_xlpm.prob,2)))</f>
        <v>0.7</v>
      </c>
      <c r="AK561" t="str">
        <f t="shared" si="204"/>
        <v>Faltan 7,6 puntos base para subir a la siguiente categoría</v>
      </c>
      <c r="AL561" t="str">
        <f t="shared" si="205"/>
        <v>Margen de seguridad: 30,0 puntos</v>
      </c>
      <c r="AM561">
        <f t="shared" si="206"/>
        <v>0.42</v>
      </c>
      <c r="AN561" t="str">
        <f t="shared" si="207"/>
        <v>PRIORIDAD MEDIA – seguimiento del asesor</v>
      </c>
      <c r="AO561">
        <f t="shared" si="208"/>
        <v>56.748991665767335</v>
      </c>
      <c r="AP561">
        <f t="shared" si="209"/>
        <v>0.48220923969828594</v>
      </c>
      <c r="AQ561">
        <f t="shared" si="210"/>
        <v>0</v>
      </c>
      <c r="AR561">
        <f t="shared" si="211"/>
        <v>3.1049999999999991</v>
      </c>
      <c r="AS561">
        <f t="shared" si="212"/>
        <v>0</v>
      </c>
      <c r="AT561" t="str">
        <f t="shared" si="213"/>
        <v>VENTAS</v>
      </c>
      <c r="AU561">
        <f t="shared" si="214"/>
        <v>56.748991665767335</v>
      </c>
      <c r="AV561" t="str">
        <f t="shared" si="215"/>
        <v>Mayor retorno probable: VENTAS (+56,7 puntos finales potenciales).</v>
      </c>
    </row>
    <row r="562" spans="1:48" x14ac:dyDescent="0.3">
      <c r="A562" s="5">
        <v>51010736</v>
      </c>
      <c r="B562" s="5" t="str">
        <f>IFERROR(VLOOKUP(A562,VENTAS!$A$2:$B$1194,2,0),"")</f>
        <v>AYALA</v>
      </c>
      <c r="C562" s="5">
        <f>IFERROR(INDEX(VENTAS!$C$2:$E$1194,MATCH(A562,VENTAS!$A$2:$A$1194,0),MATCH(PARAMS_MODELO!$B$2,{"Q1","Q2","Q3"},0)),0)</f>
        <v>60680413.729999997</v>
      </c>
      <c r="D562" s="5">
        <f>IFERROR(INDEX(VENTAS!$F$2:$H$1194,MATCH(A562,VENTAS!$A$2:$A$1194,0),MATCH(PARAMS_MODELO!$B$2,{"Q1","Q2","Q3"},0)),0)</f>
        <v>71229841</v>
      </c>
      <c r="E562" s="8">
        <f t="shared" si="192"/>
        <v>0.17385226338337301</v>
      </c>
      <c r="F562" s="12">
        <f>IF(E562&lt;=PARAMS_MODELO!$B$15,0,IF(E562&gt;=PARAMS_MODELO!$B$17,100,100*MIN(1,(E562-PARAMS_MODELO!$B$15)/(PARAMS_MODELO!$B$16-PARAMS_MODELO!$B$15))))*PARAMS_MODELO!$B$7</f>
        <v>35</v>
      </c>
      <c r="G562" s="5">
        <f t="shared" si="193"/>
        <v>10549427.270000003</v>
      </c>
      <c r="H562" s="5">
        <f>(PARAMS_MODELO!$B$20*(MAX(0,MIN(3,E562))/3)+PARAMS_MODELO!$B$21*(IFERROR(LN(1+MAX(0,G562))/LN(1+MAX(0,MAX($G$2:$G$1194))),0)))*100*PARAMS_MODELO!$B$8</f>
        <v>4.399327561653716</v>
      </c>
      <c r="I562" s="8">
        <f>E562-PARAMS_MODELO!$B$5</f>
        <v>-3.7105719921535218E-3</v>
      </c>
      <c r="J562" s="5">
        <f>IF(I562&lt;=PARAMS_MODELO!$B$18,0,IF(I562&gt;=PARAMS_MODELO!$B$19,100,100*(I562-PARAMS_MODELO!$B$18)/(PARAMS_MODELO!$B$19-PARAMS_MODELO!$B$18)))*PARAMS_MODELO!$B$9</f>
        <v>6.9434142011769708</v>
      </c>
      <c r="K562" s="5">
        <f>IFERROR(CHOOSE(MATCH(PARAMS_MODELO!$B$2,{"Q1","Q2","Q3"},0),LOTO!$D562,LOTO!$F562,LOTO!$H562),0)</f>
        <v>3460000</v>
      </c>
      <c r="L562" s="8">
        <f t="shared" si="194"/>
        <v>4.857514703704028E-2</v>
      </c>
      <c r="M562" s="5">
        <f>MIN(100,IF(PARAMS_MODELO!$B$23=0,0,100*L562/PARAMS_MODELO!$B$23))*PARAMS_MODELO!$B$10</f>
        <v>14.572544111112082</v>
      </c>
      <c r="N562" s="5">
        <f>IFERROR(VLOOKUP(A562,COMPLIANCE!$A$2:$F$1996,6,0),100)</f>
        <v>99.58</v>
      </c>
      <c r="O562" s="5">
        <f>N562*PARAMS_MODELO!$B$11</f>
        <v>9.9580000000000002</v>
      </c>
      <c r="P562" s="5">
        <f>IFERROR(VLOOKUP(A562,DIGITAL!$A$2:$J$2000,7,0),100)</f>
        <v>51</v>
      </c>
      <c r="Q562" s="5">
        <f>IFERROR(P562,0)*PARAMS_MODELO!$B$12</f>
        <v>5.1000000000000005</v>
      </c>
      <c r="R562">
        <f t="shared" si="195"/>
        <v>75.973285873942757</v>
      </c>
      <c r="S562" s="5" t="str">
        <f>IFERROR(VLOOKUP(A562,CLIENTE!$A$2:$N$2000,13,0),1)</f>
        <v>Muy Bueno</v>
      </c>
      <c r="T562" s="5">
        <f>IFERROR(VLOOKUP(A562,CLIENTE!$A$2:$N$2000,14,0),1)</f>
        <v>1.1499999999999999</v>
      </c>
      <c r="U562" s="5">
        <f t="shared" si="196"/>
        <v>87.369278755034159</v>
      </c>
      <c r="V562" s="5" t="str">
        <f>IF(U562&gt;=MAX(_xlfn.PERCENTILE.INC($U$2:$U$1194,PARAMS_MODELO!$B$50),PARAMS_MODELO!$B$45),"DIAMANTE",IF(U562&gt;=MAX(_xlfn.PERCENTILE.INC($U$2:$U$1194,PARAMS_MODELO!$B$51),PARAMS_MODELO!$B$46),"PLATINO",IF(U562&gt;=MAX(_xlfn.PERCENTILE.INC($U$2:$U$1194,PARAMS_MODELO!$B$52),PARAMS_MODELO!$B$47),"ORO",IF(U562&gt;=MAX(_xlfn.PERCENTILE.INC($U$2:$U$1194,PARAMS_MODELO!$B$53),PARAMS_MODELO!$B$48),"PLATA",IF(U562&gt;=1,"BRONCE","CERRADO")))))</f>
        <v>PLATINO</v>
      </c>
      <c r="W562" s="5" t="str" cm="1">
        <f t="array" ref="W562">_xlfn.XLOOKUP(1, (HIST_SCORE!$B:$B=PARAMS_MODELO!$B$4) * (HIST_SCORE!$C:$C=A562), HIST_SCORE!$E:$E, "No encontrado")</f>
        <v>PLATINO</v>
      </c>
      <c r="X562" s="5" t="str">
        <f>_xlfn.LET(_xlpm.act,MATCH(V562,{"DIAMANTE";"PLATINO";"ORO";"PLATA";"BRONCE";"CERRADO"},0),_xlpm.ant,MATCH(W562,{"DIAMANTE";"PLATINO";"ORO";"PLATA";"BRONCE";"CERRADO"},0),IF(_xlpm.act&lt;_xlpm.ant,"Mejora ↑",IF(_xlpm.act&gt;_xlpm.ant,"Baja ↓","Estable →")))</f>
        <v>Estable →</v>
      </c>
      <c r="Y562" s="5">
        <f>IFERROR(U562-SUMIFS(HIST_SCORE!$D:$D,HIST_SCORE!$B:$B,PARAMS_MODELO!$B$4,HIST_SCORE!$C:$C,$A562),"")</f>
        <v>-5.1021830731964997</v>
      </c>
      <c r="Z562" s="5" t="str">
        <f t="shared" si="197"/>
        <v>↓ Baja</v>
      </c>
      <c r="AA562" s="5">
        <f t="shared" si="198"/>
        <v>216</v>
      </c>
      <c r="AB562" s="5">
        <f>IFERROR(SUMIFS(HIST_SCORE!$F:$F,HIST_SCORE!$B:$B,PARAMS_MODELO!$B$4,HIST_SCORE!$C:$C,$A562),"")</f>
        <v>95</v>
      </c>
      <c r="AC562" s="5">
        <f t="shared" si="199"/>
        <v>-121</v>
      </c>
      <c r="AD562" t="str">
        <f t="shared" si="201"/>
        <v/>
      </c>
      <c r="AE5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562="CERRADO",1,IF(V562="BRONCE",_xlpm.cPl,IF(V562="PLATA",_xlpm.cO,IF(V562="ORO",_xlpm.cP,IF(V562="PLATINO",_xlpm.cD,999))))))</f>
        <v>96.054919694466676</v>
      </c>
      <c r="AF5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562="CERRADO",0,IF(V562="BRONCE",1,IF(V562="PLATA",_xlpm.cPl,IF(V562="ORO",_xlpm.cO,IF(V562="PLATINO",_xlpm.cP,_xlpm.cD))))))</f>
        <v>86.439123873763251</v>
      </c>
      <c r="AG562">
        <f t="shared" si="202"/>
        <v>7.5527312516804415</v>
      </c>
      <c r="AH562" t="str">
        <f t="shared" si="203"/>
        <v>VENTAS</v>
      </c>
      <c r="AI562" t="str">
        <f t="shared" si="200"/>
        <v>🎯 Para subir de categoría, eje VENTAS / IMPACTO ABSOLUTO (H). Acción: metas semanales + activación comercial + seguimiento del asesor. ΔR aprox: 7,6</v>
      </c>
      <c r="AJ562" s="26">
        <f>_xlfn.LET(_xlpm.piso,AF562,_xlpm.corte,AE562,_xlpm.prog,IF(_xlpm.corte&lt;=_xlpm.piso,0,MAX(0,MIN(1,(U562-_xlpm.piso)/(_xlpm.corte-_xlpm.piso)))),_xlpm.orden,{"DIAMANTE";"PLATINO";"ORO";"PLATA";"BRONCE";"CERRADO"},_xlpm.act,IFERROR(MATCH(V562,_xlpm.orden,0),6),_xlpm.ant,IFERROR(MATCH(W562,_xlpm.orden,0),6),_xlpm.ajmov,IF(_xlpm.act&lt;_xlpm.ant,0.08,IF(_xlpm.act&gt;_xlpm.ant,-0.08,0)),_xlpm.ajcli,IF(T562&lt;0.95,-0.06,0),_xlpm.prob,MAX(0,MIN(1,_xlpm.prog+_xlpm.ajmov+_xlpm.ajcli)),IF(OR(V562="DIAMANTE",V562="CERRADO"),0,ROUND(_xlpm.prob,2)))</f>
        <v>0.1</v>
      </c>
      <c r="AK562" t="str">
        <f t="shared" si="204"/>
        <v>Faltan 7,6 puntos base para subir a la siguiente categoría</v>
      </c>
      <c r="AL562" t="str">
        <f t="shared" si="205"/>
        <v>Margen de seguridad: 0,9 puntos</v>
      </c>
      <c r="AM562">
        <f t="shared" si="206"/>
        <v>0.66</v>
      </c>
      <c r="AN562" t="str">
        <f t="shared" si="207"/>
        <v>PRIORIDAD MEDIA – seguimiento del asesor</v>
      </c>
      <c r="AO562">
        <f t="shared" si="208"/>
        <v>21.297801639334633</v>
      </c>
      <c r="AP562">
        <f t="shared" si="209"/>
        <v>0.49157427222110578</v>
      </c>
      <c r="AQ562">
        <f t="shared" si="210"/>
        <v>4.8299999999999781E-2</v>
      </c>
      <c r="AR562">
        <f t="shared" si="211"/>
        <v>5.6349999999999989</v>
      </c>
      <c r="AS562">
        <f t="shared" si="212"/>
        <v>0</v>
      </c>
      <c r="AT562" t="str">
        <f t="shared" si="213"/>
        <v>VENTAS</v>
      </c>
      <c r="AU562">
        <f t="shared" si="214"/>
        <v>21.297801639334633</v>
      </c>
      <c r="AV562" t="str">
        <f t="shared" si="215"/>
        <v>Mayor retorno probable: VENTAS (+21,3 puntos finales potenciales).</v>
      </c>
    </row>
    <row r="563" spans="1:48" x14ac:dyDescent="0.3">
      <c r="A563" s="5">
        <v>51016149</v>
      </c>
      <c r="B563" s="5" t="str">
        <f>IFERROR(VLOOKUP(A563,VENTAS!$A$2:$B$1194,2,0),"")</f>
        <v>PRADES</v>
      </c>
      <c r="C563" s="5">
        <f>IFERROR(INDEX(VENTAS!$C$2:$E$1194,MATCH(A563,VENTAS!$A$2:$A$1194,0),MATCH(PARAMS_MODELO!$B$2,{"Q1","Q2","Q3"},0)),0)</f>
        <v>55672255.289999999</v>
      </c>
      <c r="D563" s="5">
        <f>IFERROR(INDEX(VENTAS!$F$2:$H$1194,MATCH(A563,VENTAS!$A$2:$A$1194,0),MATCH(PARAMS_MODELO!$B$2,{"Q1","Q2","Q3"},0)),0)</f>
        <v>70988812</v>
      </c>
      <c r="E563" s="8">
        <f t="shared" si="192"/>
        <v>0.27512010480292504</v>
      </c>
      <c r="F563" s="12">
        <f>IF(E563&lt;=PARAMS_MODELO!$B$15,0,IF(E563&gt;=PARAMS_MODELO!$B$17,100,100*MIN(1,(E563-PARAMS_MODELO!$B$15)/(PARAMS_MODELO!$B$16-PARAMS_MODELO!$B$15))))*PARAMS_MODELO!$B$7</f>
        <v>35</v>
      </c>
      <c r="G563" s="5">
        <f t="shared" si="193"/>
        <v>15316556.710000001</v>
      </c>
      <c r="H563" s="5">
        <f>(PARAMS_MODELO!$B$20*(MAX(0,MIN(3,E563))/3)+PARAMS_MODELO!$B$21*(IFERROR(LN(1+MAX(0,G563))/LN(1+MAX(0,MAX($G$2:$G$1194))),0)))*100*PARAMS_MODELO!$B$8</f>
        <v>4.841169247787386</v>
      </c>
      <c r="I563" s="8">
        <f>E563-PARAMS_MODELO!$B$5</f>
        <v>9.7557269427398507E-2</v>
      </c>
      <c r="J563" s="5">
        <f>IF(I563&lt;=PARAMS_MODELO!$B$18,0,IF(I563&gt;=PARAMS_MODELO!$B$19,100,100*(I563-PARAMS_MODELO!$B$18)/(PARAMS_MODELO!$B$19-PARAMS_MODELO!$B$18)))*PARAMS_MODELO!$B$9</f>
        <v>15</v>
      </c>
      <c r="K563" s="5">
        <f>IFERROR(CHOOSE(MATCH(PARAMS_MODELO!$B$2,{"Q1","Q2","Q3"},0),LOTO!$D563,LOTO!$F563,LOTO!$H563),0)</f>
        <v>3447500</v>
      </c>
      <c r="L563" s="8">
        <f t="shared" si="194"/>
        <v>4.8563990618690732E-2</v>
      </c>
      <c r="M563" s="5">
        <f>MIN(100,IF(PARAMS_MODELO!$B$23=0,0,100*L563/PARAMS_MODELO!$B$23))*PARAMS_MODELO!$B$10</f>
        <v>14.569197185607219</v>
      </c>
      <c r="N563" s="5">
        <f>IFERROR(VLOOKUP(A563,COMPLIANCE!$A$2:$F$1996,6,0),100)</f>
        <v>100</v>
      </c>
      <c r="O563" s="5">
        <f>N563*PARAMS_MODELO!$B$11</f>
        <v>10</v>
      </c>
      <c r="P563" s="5">
        <f>IFERROR(VLOOKUP(A563,DIGITAL!$A$2:$J$2000,7,0),100)</f>
        <v>19</v>
      </c>
      <c r="Q563" s="5">
        <f>IFERROR(P563,0)*PARAMS_MODELO!$B$12</f>
        <v>1.9000000000000001</v>
      </c>
      <c r="R563">
        <f t="shared" si="195"/>
        <v>81.310366433394606</v>
      </c>
      <c r="S563" s="5" t="str">
        <f>IFERROR(VLOOKUP(A563,CLIENTE!$A$2:$N$2000,13,0),1)</f>
        <v>Regular</v>
      </c>
      <c r="T563" s="5">
        <f>IFERROR(VLOOKUP(A563,CLIENTE!$A$2:$N$2000,14,0),1)</f>
        <v>1</v>
      </c>
      <c r="U563" s="5">
        <f t="shared" si="196"/>
        <v>81.310366433394606</v>
      </c>
      <c r="V563" s="5" t="str">
        <f>IF(U563&gt;=MAX(_xlfn.PERCENTILE.INC($U$2:$U$1194,PARAMS_MODELO!$B$50),PARAMS_MODELO!$B$45),"DIAMANTE",IF(U563&gt;=MAX(_xlfn.PERCENTILE.INC($U$2:$U$1194,PARAMS_MODELO!$B$51),PARAMS_MODELO!$B$46),"PLATINO",IF(U563&gt;=MAX(_xlfn.PERCENTILE.INC($U$2:$U$1194,PARAMS_MODELO!$B$52),PARAMS_MODELO!$B$47),"ORO",IF(U563&gt;=MAX(_xlfn.PERCENTILE.INC($U$2:$U$1194,PARAMS_MODELO!$B$53),PARAMS_MODELO!$B$48),"PLATA",IF(U563&gt;=1,"BRONCE","CERRADO")))))</f>
        <v>ORO</v>
      </c>
      <c r="W563" s="5" t="str" cm="1">
        <f t="array" ref="W563">_xlfn.XLOOKUP(1, (HIST_SCORE!$B:$B=PARAMS_MODELO!$B$4) * (HIST_SCORE!$C:$C=A563), HIST_SCORE!$E:$E, "No encontrado")</f>
        <v>ORO</v>
      </c>
      <c r="X563" s="5" t="str">
        <f>_xlfn.LET(_xlpm.act,MATCH(V563,{"DIAMANTE";"PLATINO";"ORO";"PLATA";"BRONCE";"CERRADO"},0),_xlpm.ant,MATCH(W563,{"DIAMANTE";"PLATINO";"ORO";"PLATA";"BRONCE";"CERRADO"},0),IF(_xlpm.act&lt;_xlpm.ant,"Mejora ↑",IF(_xlpm.act&gt;_xlpm.ant,"Baja ↓","Estable →")))</f>
        <v>Estable →</v>
      </c>
      <c r="Y563" s="5">
        <f>IFERROR(U563-SUMIFS(HIST_SCORE!$D:$D,HIST_SCORE!$B:$B,PARAMS_MODELO!$B$4,HIST_SCORE!$C:$C,$A563),"")</f>
        <v>17.095661429751132</v>
      </c>
      <c r="Z563" s="5" t="str">
        <f t="shared" si="197"/>
        <v>↑ Mejora</v>
      </c>
      <c r="AA563" s="5">
        <f t="shared" si="198"/>
        <v>406</v>
      </c>
      <c r="AB563" s="5">
        <f>IFERROR(SUMIFS(HIST_SCORE!$F:$F,HIST_SCORE!$B:$B,PARAMS_MODELO!$B$4,HIST_SCORE!$C:$C,$A563),"")</f>
        <v>580</v>
      </c>
      <c r="AC563" s="5">
        <f t="shared" si="199"/>
        <v>174</v>
      </c>
      <c r="AD563" t="str">
        <f t="shared" si="201"/>
        <v/>
      </c>
      <c r="AE5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563="CERRADO",1,IF(V563="BRONCE",_xlpm.cPl,IF(V563="PLATA",_xlpm.cO,IF(V563="ORO",_xlpm.cP,IF(V563="PLATINO",_xlpm.cD,999))))))</f>
        <v>86.439123873763251</v>
      </c>
      <c r="AF5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563="CERRADO",0,IF(V563="BRONCE",1,IF(V563="PLATA",_xlpm.cPl,IF(V563="ORO",_xlpm.cO,IF(V563="PLATINO",_xlpm.cP,_xlpm.cD))))))</f>
        <v>63.199193273331495</v>
      </c>
      <c r="AG563">
        <f t="shared" si="202"/>
        <v>5.1287574403686449</v>
      </c>
      <c r="AH563" t="str">
        <f t="shared" si="203"/>
        <v>VENTAS</v>
      </c>
      <c r="AI563" t="str">
        <f t="shared" si="200"/>
        <v>🎯 Para subir de categoría, eje VENTAS / IMPACTO ABSOLUTO (H). Acción: metas semanales + activación comercial + seguimiento del asesor. ΔR aprox: 5,1</v>
      </c>
      <c r="AJ563" s="26">
        <f>_xlfn.LET(_xlpm.piso,AF563,_xlpm.corte,AE563,_xlpm.prog,IF(_xlpm.corte&lt;=_xlpm.piso,0,MAX(0,MIN(1,(U563-_xlpm.piso)/(_xlpm.corte-_xlpm.piso)))),_xlpm.orden,{"DIAMANTE";"PLATINO";"ORO";"PLATA";"BRONCE";"CERRADO"},_xlpm.act,IFERROR(MATCH(V563,_xlpm.orden,0),6),_xlpm.ant,IFERROR(MATCH(W563,_xlpm.orden,0),6),_xlpm.ajmov,IF(_xlpm.act&lt;_xlpm.ant,0.08,IF(_xlpm.act&gt;_xlpm.ant,-0.08,0)),_xlpm.ajcli,IF(T563&lt;0.95,-0.06,0),_xlpm.prob,MAX(0,MIN(1,_xlpm.prog+_xlpm.ajmov+_xlpm.ajcli)),IF(OR(V563="DIAMANTE",V563="CERRADO"),0,ROUND(_xlpm.prob,2)))</f>
        <v>0.78</v>
      </c>
      <c r="AK563" t="str">
        <f t="shared" si="204"/>
        <v>Faltan 5,1 puntos base para subir a la siguiente categoría</v>
      </c>
      <c r="AL563" t="str">
        <f t="shared" si="205"/>
        <v>Margen de seguridad: 18,1 puntos</v>
      </c>
      <c r="AM563">
        <f t="shared" si="206"/>
        <v>0.28999999999999998</v>
      </c>
      <c r="AN563" t="str">
        <f t="shared" si="207"/>
        <v>PRIORIDAD BAJA – control normal</v>
      </c>
      <c r="AO563">
        <f t="shared" si="208"/>
        <v>10.0214000275082</v>
      </c>
      <c r="AP563">
        <f t="shared" si="209"/>
        <v>0.43080281439278068</v>
      </c>
      <c r="AQ563">
        <f t="shared" si="210"/>
        <v>0</v>
      </c>
      <c r="AR563">
        <f t="shared" si="211"/>
        <v>8.1</v>
      </c>
      <c r="AS563">
        <f t="shared" si="212"/>
        <v>0</v>
      </c>
      <c r="AT563" t="str">
        <f t="shared" si="213"/>
        <v>VENTAS</v>
      </c>
      <c r="AU563">
        <f t="shared" si="214"/>
        <v>10.0214000275082</v>
      </c>
      <c r="AV563" t="str">
        <f t="shared" si="215"/>
        <v>Mayor retorno probable: VENTAS (+10,0 puntos finales potenciales).</v>
      </c>
    </row>
    <row r="564" spans="1:48" x14ac:dyDescent="0.3">
      <c r="A564" s="5">
        <v>51013930</v>
      </c>
      <c r="B564" s="5" t="str">
        <f>IFERROR(VLOOKUP(A564,VENTAS!$A$2:$B$1194,2,0),"")</f>
        <v>NELLI</v>
      </c>
      <c r="C564" s="5">
        <f>IFERROR(INDEX(VENTAS!$C$2:$E$1194,MATCH(A564,VENTAS!$A$2:$A$1194,0),MATCH(PARAMS_MODELO!$B$2,{"Q1","Q2","Q3"},0)),0)</f>
        <v>65619549.5</v>
      </c>
      <c r="D564" s="5">
        <f>IFERROR(INDEX(VENTAS!$F$2:$H$1194,MATCH(A564,VENTAS!$A$2:$A$1194,0),MATCH(PARAMS_MODELO!$B$2,{"Q1","Q2","Q3"},0)),0)</f>
        <v>70924029</v>
      </c>
      <c r="E564" s="8">
        <f t="shared" si="192"/>
        <v>8.0836877735650958E-2</v>
      </c>
      <c r="F564" s="12">
        <f>IF(E564&lt;=PARAMS_MODELO!$B$15,0,IF(E564&gt;=PARAMS_MODELO!$B$17,100,100*MIN(1,(E564-PARAMS_MODELO!$B$15)/(PARAMS_MODELO!$B$16-PARAMS_MODELO!$B$15))))*PARAMS_MODELO!$B$7</f>
        <v>28.292907207477832</v>
      </c>
      <c r="G564" s="5">
        <f t="shared" si="193"/>
        <v>5304479.5</v>
      </c>
      <c r="H564" s="5">
        <f>(PARAMS_MODELO!$B$20*(MAX(0,MIN(3,E564))/3)+PARAMS_MODELO!$B$21*(IFERROR(LN(1+MAX(0,G564))/LN(1+MAX(0,MAX($G$2:$G$1194))),0)))*100*PARAMS_MODELO!$B$8</f>
        <v>3.9126094665943563</v>
      </c>
      <c r="I564" s="8">
        <f>E564-PARAMS_MODELO!$B$5</f>
        <v>-9.672595763987557E-2</v>
      </c>
      <c r="J564" s="5">
        <f>IF(I564&lt;=PARAMS_MODELO!$B$18,0,IF(I564&gt;=PARAMS_MODELO!$B$19,100,100*(I564-PARAMS_MODELO!$B$18)/(PARAMS_MODELO!$B$19-PARAMS_MODELO!$B$18)))*PARAMS_MODELO!$B$9</f>
        <v>0</v>
      </c>
      <c r="K564" s="5">
        <f>IFERROR(CHOOSE(MATCH(PARAMS_MODELO!$B$2,{"Q1","Q2","Q3"},0),LOTO!$D564,LOTO!$F564,LOTO!$H564),0)</f>
        <v>3437500</v>
      </c>
      <c r="L564" s="8">
        <f t="shared" si="194"/>
        <v>4.8467353708853737E-2</v>
      </c>
      <c r="M564" s="5">
        <f>MIN(100,IF(PARAMS_MODELO!$B$23=0,0,100*L564/PARAMS_MODELO!$B$23))*PARAMS_MODELO!$B$10</f>
        <v>14.54020611265612</v>
      </c>
      <c r="N564" s="5">
        <f>IFERROR(VLOOKUP(A564,COMPLIANCE!$A$2:$F$1996,6,0),100)</f>
        <v>100</v>
      </c>
      <c r="O564" s="5">
        <f>N564*PARAMS_MODELO!$B$11</f>
        <v>10</v>
      </c>
      <c r="P564" s="5">
        <f>IFERROR(VLOOKUP(A564,DIGITAL!$A$2:$J$2000,7,0),100)</f>
        <v>95</v>
      </c>
      <c r="Q564" s="5">
        <f>IFERROR(P564,0)*PARAMS_MODELO!$B$12</f>
        <v>9.5</v>
      </c>
      <c r="R564">
        <f t="shared" si="195"/>
        <v>66.245722786728308</v>
      </c>
      <c r="S564" s="5" t="str">
        <f>IFERROR(VLOOKUP(A564,CLIENTE!$A$2:$N$2000,13,0),1)</f>
        <v>Malo</v>
      </c>
      <c r="T564" s="5">
        <f>IFERROR(VLOOKUP(A564,CLIENTE!$A$2:$N$2000,14,0),1)</f>
        <v>0.7</v>
      </c>
      <c r="U564" s="5">
        <f t="shared" si="196"/>
        <v>46.372005950709813</v>
      </c>
      <c r="V564" s="5" t="str">
        <f>IF(U564&gt;=MAX(_xlfn.PERCENTILE.INC($U$2:$U$1194,PARAMS_MODELO!$B$50),PARAMS_MODELO!$B$45),"DIAMANTE",IF(U564&gt;=MAX(_xlfn.PERCENTILE.INC($U$2:$U$1194,PARAMS_MODELO!$B$51),PARAMS_MODELO!$B$46),"PLATINO",IF(U564&gt;=MAX(_xlfn.PERCENTILE.INC($U$2:$U$1194,PARAMS_MODELO!$B$52),PARAMS_MODELO!$B$47),"ORO",IF(U564&gt;=MAX(_xlfn.PERCENTILE.INC($U$2:$U$1194,PARAMS_MODELO!$B$53),PARAMS_MODELO!$B$48),"PLATA",IF(U564&gt;=1,"BRONCE","CERRADO")))))</f>
        <v>PLATA</v>
      </c>
      <c r="W564" s="5" t="str" cm="1">
        <f t="array" ref="W564">_xlfn.XLOOKUP(1, (HIST_SCORE!$B:$B=PARAMS_MODELO!$B$4) * (HIST_SCORE!$C:$C=A564), HIST_SCORE!$E:$E, "No encontrado")</f>
        <v>PLATA</v>
      </c>
      <c r="X564" s="5" t="str">
        <f>_xlfn.LET(_xlpm.act,MATCH(V564,{"DIAMANTE";"PLATINO";"ORO";"PLATA";"BRONCE";"CERRADO"},0),_xlpm.ant,MATCH(W564,{"DIAMANTE";"PLATINO";"ORO";"PLATA";"BRONCE";"CERRADO"},0),IF(_xlpm.act&lt;_xlpm.ant,"Mejora ↑",IF(_xlpm.act&gt;_xlpm.ant,"Baja ↓","Estable →")))</f>
        <v>Estable →</v>
      </c>
      <c r="Y564" s="5">
        <f>IFERROR(U564-SUMIFS(HIST_SCORE!$D:$D,HIST_SCORE!$B:$B,PARAMS_MODELO!$B$4,HIST_SCORE!$C:$C,$A564),"")</f>
        <v>-15.504004561375766</v>
      </c>
      <c r="Z564" s="5" t="str">
        <f t="shared" si="197"/>
        <v>↓ Baja</v>
      </c>
      <c r="AA564" s="5">
        <f t="shared" si="198"/>
        <v>763</v>
      </c>
      <c r="AB564" s="5">
        <f>IFERROR(SUMIFS(HIST_SCORE!$F:$F,HIST_SCORE!$B:$B,PARAMS_MODELO!$B$4,HIST_SCORE!$C:$C,$A564),"")</f>
        <v>615</v>
      </c>
      <c r="AC564" s="5">
        <f t="shared" si="199"/>
        <v>-148</v>
      </c>
      <c r="AD564" t="str">
        <f t="shared" si="201"/>
        <v/>
      </c>
      <c r="AE5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564="CERRADO",1,IF(V564="BRONCE",_xlpm.cPl,IF(V564="PLATA",_xlpm.cO,IF(V564="ORO",_xlpm.cP,IF(V564="PLATINO",_xlpm.cD,999))))))</f>
        <v>63.199193273331495</v>
      </c>
      <c r="AF5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564="CERRADO",0,IF(V564="BRONCE",1,IF(V564="PLATA",_xlpm.cPl,IF(V564="ORO",_xlpm.cO,IF(V564="PLATINO",_xlpm.cP,_xlpm.cD))))))</f>
        <v>24.506573482968111</v>
      </c>
      <c r="AG564">
        <f t="shared" si="202"/>
        <v>24.038839032316687</v>
      </c>
      <c r="AH564" t="str">
        <f t="shared" si="203"/>
        <v>CLIENTE</v>
      </c>
      <c r="AI564" t="str">
        <f t="shared" si="200"/>
        <v>🎯 Para subir de categoría, la eje con mayor impacto probable es CLIENTE (coef T). Acción: reducir quejas, mejorar incógnito y empujar reseñas. ΔR aprox: 24,0</v>
      </c>
      <c r="AJ564" s="26">
        <f>_xlfn.LET(_xlpm.piso,AF564,_xlpm.corte,AE564,_xlpm.prog,IF(_xlpm.corte&lt;=_xlpm.piso,0,MAX(0,MIN(1,(U564-_xlpm.piso)/(_xlpm.corte-_xlpm.piso)))),_xlpm.orden,{"DIAMANTE";"PLATINO";"ORO";"PLATA";"BRONCE";"CERRADO"},_xlpm.act,IFERROR(MATCH(V564,_xlpm.orden,0),6),_xlpm.ant,IFERROR(MATCH(W564,_xlpm.orden,0),6),_xlpm.ajmov,IF(_xlpm.act&lt;_xlpm.ant,0.08,IF(_xlpm.act&gt;_xlpm.ant,-0.08,0)),_xlpm.ajcli,IF(T564&lt;0.95,-0.06,0),_xlpm.prob,MAX(0,MIN(1,_xlpm.prog+_xlpm.ajmov+_xlpm.ajcli)),IF(OR(V564="DIAMANTE",V564="CERRADO"),0,ROUND(_xlpm.prob,2)))</f>
        <v>0.51</v>
      </c>
      <c r="AK564" t="str">
        <f t="shared" si="204"/>
        <v>Faltan 24,0 puntos base para subir a la siguiente categoría</v>
      </c>
      <c r="AL564" t="str">
        <f t="shared" si="205"/>
        <v>Margen de seguridad: 21,9 puntos</v>
      </c>
      <c r="AM564">
        <f t="shared" si="206"/>
        <v>0.8</v>
      </c>
      <c r="AN564" t="str">
        <f t="shared" si="207"/>
        <v>PRIORIDAD ALTA – requiere intervención inmediata</v>
      </c>
      <c r="AO564">
        <f t="shared" si="208"/>
        <v>22.859936820856376</v>
      </c>
      <c r="AP564">
        <f t="shared" si="209"/>
        <v>0.3218557211407157</v>
      </c>
      <c r="AQ564">
        <f t="shared" si="210"/>
        <v>0</v>
      </c>
      <c r="AR564">
        <f t="shared" si="211"/>
        <v>0.35</v>
      </c>
      <c r="AS564">
        <f t="shared" si="212"/>
        <v>19.873716836018495</v>
      </c>
      <c r="AT564" t="str">
        <f t="shared" si="213"/>
        <v>VENTAS</v>
      </c>
      <c r="AU564">
        <f t="shared" si="214"/>
        <v>22.859936820856376</v>
      </c>
      <c r="AV564" t="str">
        <f t="shared" si="215"/>
        <v>Mayor retorno probable: VENTAS (+22,9 puntos finales potenciales).</v>
      </c>
    </row>
    <row r="565" spans="1:48" x14ac:dyDescent="0.3">
      <c r="A565" s="5">
        <v>51055641</v>
      </c>
      <c r="B565" s="5" t="str">
        <f>IFERROR(VLOOKUP(A565,VENTAS!$A$2:$B$1194,2,0),"")</f>
        <v>ROBERTS</v>
      </c>
      <c r="C565" s="5">
        <f>IFERROR(INDEX(VENTAS!$C$2:$E$1194,MATCH(A565,VENTAS!$A$2:$A$1194,0),MATCH(PARAMS_MODELO!$B$2,{"Q1","Q2","Q3"},0)),0)</f>
        <v>72970286.019999996</v>
      </c>
      <c r="D565" s="5">
        <f>IFERROR(INDEX(VENTAS!$F$2:$H$1194,MATCH(A565,VENTAS!$A$2:$A$1194,0),MATCH(PARAMS_MODELO!$B$2,{"Q1","Q2","Q3"},0)),0)</f>
        <v>70831829</v>
      </c>
      <c r="E565" s="8">
        <f t="shared" si="192"/>
        <v>-2.9305860462351507E-2</v>
      </c>
      <c r="F565" s="12">
        <f>IF(E565&lt;=PARAMS_MODELO!$B$15,0,IF(E565&gt;=PARAMS_MODELO!$B$17,100,100*MIN(1,(E565-PARAMS_MODELO!$B$15)/(PARAMS_MODELO!$B$16-PARAMS_MODELO!$B$15))))*PARAMS_MODELO!$B$7</f>
        <v>0</v>
      </c>
      <c r="G565" s="5">
        <f t="shared" si="193"/>
        <v>0</v>
      </c>
      <c r="H565" s="5">
        <f>(PARAMS_MODELO!$B$20*(MAX(0,MIN(3,E565))/3)+PARAMS_MODELO!$B$21*(IFERROR(LN(1+MAX(0,G565))/LN(1+MAX(0,MAX($G$2:$G$1194))),0)))*100*PARAMS_MODELO!$B$8</f>
        <v>0</v>
      </c>
      <c r="I565" s="8">
        <f>E565-PARAMS_MODELO!$B$5</f>
        <v>-0.20686869583787804</v>
      </c>
      <c r="J565" s="5">
        <f>IF(I565&lt;=PARAMS_MODELO!$B$18,0,IF(I565&gt;=PARAMS_MODELO!$B$19,100,100*(I565-PARAMS_MODELO!$B$18)/(PARAMS_MODELO!$B$19-PARAMS_MODELO!$B$18)))*PARAMS_MODELO!$B$9</f>
        <v>0</v>
      </c>
      <c r="K565" s="5">
        <f>IFERROR(CHOOSE(MATCH(PARAMS_MODELO!$B$2,{"Q1","Q2","Q3"},0),LOTO!$D565,LOTO!$F565,LOTO!$H565),0)</f>
        <v>3437500</v>
      </c>
      <c r="L565" s="8">
        <f t="shared" si="194"/>
        <v>4.853044243711397E-2</v>
      </c>
      <c r="M565" s="5">
        <f>MIN(100,IF(PARAMS_MODELO!$B$23=0,0,100*L565/PARAMS_MODELO!$B$23))*PARAMS_MODELO!$B$10</f>
        <v>14.55913273113419</v>
      </c>
      <c r="N565" s="5">
        <f>IFERROR(VLOOKUP(A565,COMPLIANCE!$A$2:$F$1996,6,0),100)</f>
        <v>100</v>
      </c>
      <c r="O565" s="5">
        <f>N565*PARAMS_MODELO!$B$11</f>
        <v>10</v>
      </c>
      <c r="P565" s="5">
        <f>IFERROR(VLOOKUP(A565,DIGITAL!$A$2:$J$2000,7,0),100)</f>
        <v>97</v>
      </c>
      <c r="Q565" s="5">
        <f>IFERROR(P565,0)*PARAMS_MODELO!$B$12</f>
        <v>9.7000000000000011</v>
      </c>
      <c r="R565">
        <f t="shared" si="195"/>
        <v>34.259132731134194</v>
      </c>
      <c r="S565" s="5" t="str">
        <f>IFERROR(VLOOKUP(A565,CLIENTE!$A$2:$N$2000,13,0),1)</f>
        <v>Malo</v>
      </c>
      <c r="T565" s="5">
        <f>IFERROR(VLOOKUP(A565,CLIENTE!$A$2:$N$2000,14,0),1)</f>
        <v>0.7</v>
      </c>
      <c r="U565" s="5">
        <f t="shared" si="196"/>
        <v>23.981392911793936</v>
      </c>
      <c r="V565" s="5" t="str">
        <f>IF(U565&gt;=MAX(_xlfn.PERCENTILE.INC($U$2:$U$1194,PARAMS_MODELO!$B$50),PARAMS_MODELO!$B$45),"DIAMANTE",IF(U565&gt;=MAX(_xlfn.PERCENTILE.INC($U$2:$U$1194,PARAMS_MODELO!$B$51),PARAMS_MODELO!$B$46),"PLATINO",IF(U565&gt;=MAX(_xlfn.PERCENTILE.INC($U$2:$U$1194,PARAMS_MODELO!$B$52),PARAMS_MODELO!$B$47),"ORO",IF(U565&gt;=MAX(_xlfn.PERCENTILE.INC($U$2:$U$1194,PARAMS_MODELO!$B$53),PARAMS_MODELO!$B$48),"PLATA",IF(U565&gt;=1,"BRONCE","CERRADO")))))</f>
        <v>BRONCE</v>
      </c>
      <c r="W565" s="5" t="str" cm="1">
        <f t="array" ref="W565">_xlfn.XLOOKUP(1, (HIST_SCORE!$B:$B=PARAMS_MODELO!$B$4) * (HIST_SCORE!$C:$C=A565), HIST_SCORE!$E:$E, "No encontrado")</f>
        <v>PLATA</v>
      </c>
      <c r="X565" s="5" t="str">
        <f>_xlfn.LET(_xlpm.act,MATCH(V565,{"DIAMANTE";"PLATINO";"ORO";"PLATA";"BRONCE";"CERRADO"},0),_xlpm.ant,MATCH(W565,{"DIAMANTE";"PLATINO";"ORO";"PLATA";"BRONCE";"CERRADO"},0),IF(_xlpm.act&lt;_xlpm.ant,"Mejora ↑",IF(_xlpm.act&gt;_xlpm.ant,"Baja ↓","Estable →")))</f>
        <v>Baja ↓</v>
      </c>
      <c r="Y565" s="5">
        <f>IFERROR(U565-SUMIFS(HIST_SCORE!$D:$D,HIST_SCORE!$B:$B,PARAMS_MODELO!$B$4,HIST_SCORE!$C:$C,$A565),"")</f>
        <v>-23.905035206802719</v>
      </c>
      <c r="Z565" s="5" t="str">
        <f t="shared" si="197"/>
        <v>↓ Baja</v>
      </c>
      <c r="AA565" s="5">
        <f t="shared" si="198"/>
        <v>921</v>
      </c>
      <c r="AB565" s="5">
        <f>IFERROR(SUMIFS(HIST_SCORE!$F:$F,HIST_SCORE!$B:$B,PARAMS_MODELO!$B$4,HIST_SCORE!$C:$C,$A565),"")</f>
        <v>792</v>
      </c>
      <c r="AC565" s="5">
        <f t="shared" si="199"/>
        <v>-129</v>
      </c>
      <c r="AD565" t="str">
        <f t="shared" si="201"/>
        <v>Plan de recuperación: foco crecimiento + mix</v>
      </c>
      <c r="AE5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565="CERRADO",1,IF(V565="BRONCE",_xlpm.cPl,IF(V565="PLATA",_xlpm.cO,IF(V565="ORO",_xlpm.cP,IF(V565="PLATINO",_xlpm.cD,999))))))</f>
        <v>24.506573482968111</v>
      </c>
      <c r="AF5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565="CERRADO",0,IF(V565="BRONCE",1,IF(V565="PLATA",_xlpm.cPl,IF(V565="ORO",_xlpm.cO,IF(V565="PLATINO",_xlpm.cP,_xlpm.cD))))))</f>
        <v>1</v>
      </c>
      <c r="AG565">
        <f t="shared" si="202"/>
        <v>0.75025795882024937</v>
      </c>
      <c r="AH565" t="str">
        <f t="shared" si="203"/>
        <v>CLIENTE</v>
      </c>
      <c r="AI565" t="str">
        <f t="shared" si="200"/>
        <v>🎯 Para subir de categoría, la eje con mayor impacto probable es CLIENTE (coef T). Acción: reducir quejas, mejorar incógnito y empujar reseñas. ΔR aprox: 0,8</v>
      </c>
      <c r="AJ565" s="26">
        <f>_xlfn.LET(_xlpm.piso,AF565,_xlpm.corte,AE565,_xlpm.prog,IF(_xlpm.corte&lt;=_xlpm.piso,0,MAX(0,MIN(1,(U565-_xlpm.piso)/(_xlpm.corte-_xlpm.piso)))),_xlpm.orden,{"DIAMANTE";"PLATINO";"ORO";"PLATA";"BRONCE";"CERRADO"},_xlpm.act,IFERROR(MATCH(V565,_xlpm.orden,0),6),_xlpm.ant,IFERROR(MATCH(W565,_xlpm.orden,0),6),_xlpm.ajmov,IF(_xlpm.act&lt;_xlpm.ant,0.08,IF(_xlpm.act&gt;_xlpm.ant,-0.08,0)),_xlpm.ajcli,IF(T565&lt;0.95,-0.06,0),_xlpm.prob,MAX(0,MIN(1,_xlpm.prog+_xlpm.ajmov+_xlpm.ajcli)),IF(OR(V565="DIAMANTE",V565="CERRADO"),0,ROUND(_xlpm.prob,2)))</f>
        <v>0.84</v>
      </c>
      <c r="AK565" t="str">
        <f t="shared" si="204"/>
        <v>Faltan 0,8 puntos base para subir a la siguiente categoría</v>
      </c>
      <c r="AL565" t="str">
        <f t="shared" si="205"/>
        <v>No aplica</v>
      </c>
      <c r="AM565">
        <f t="shared" si="206"/>
        <v>0.28999999999999998</v>
      </c>
      <c r="AN565" t="str">
        <f t="shared" si="207"/>
        <v>PRIORIDAD BAJA – control normal</v>
      </c>
      <c r="AO565">
        <f t="shared" si="208"/>
        <v>45.403798492706905</v>
      </c>
      <c r="AP565">
        <f t="shared" si="209"/>
        <v>0.30860708820606725</v>
      </c>
      <c r="AQ565">
        <f t="shared" si="210"/>
        <v>0</v>
      </c>
      <c r="AR565">
        <f t="shared" si="211"/>
        <v>0.20999999999999924</v>
      </c>
      <c r="AS565">
        <f t="shared" si="212"/>
        <v>10.27773981934026</v>
      </c>
      <c r="AT565" t="str">
        <f t="shared" si="213"/>
        <v>VENTAS</v>
      </c>
      <c r="AU565">
        <f t="shared" si="214"/>
        <v>45.403798492706905</v>
      </c>
      <c r="AV565" t="str">
        <f t="shared" si="215"/>
        <v>Mayor retorno probable: VENTAS (+45,4 puntos finales potenciales).</v>
      </c>
    </row>
    <row r="566" spans="1:48" x14ac:dyDescent="0.3">
      <c r="A566" s="5">
        <v>51021461</v>
      </c>
      <c r="B566" s="5" t="str">
        <f>IFERROR(VLOOKUP(A566,VENTAS!$A$2:$B$1194,2,0),"")</f>
        <v>METTLER</v>
      </c>
      <c r="C566" s="5">
        <f>IFERROR(INDEX(VENTAS!$C$2:$E$1194,MATCH(A566,VENTAS!$A$2:$A$1194,0),MATCH(PARAMS_MODELO!$B$2,{"Q1","Q2","Q3"},0)),0)</f>
        <v>34145044.979999997</v>
      </c>
      <c r="D566" s="5">
        <f>IFERROR(INDEX(VENTAS!$F$2:$H$1194,MATCH(A566,VENTAS!$A$2:$A$1194,0),MATCH(PARAMS_MODELO!$B$2,{"Q1","Q2","Q3"},0)),0)</f>
        <v>70826707</v>
      </c>
      <c r="E566" s="8">
        <f t="shared" si="192"/>
        <v>1.0742894625409281</v>
      </c>
      <c r="F566" s="12">
        <f>IF(E566&lt;=PARAMS_MODELO!$B$15,0,IF(E566&gt;=PARAMS_MODELO!$B$17,100,100*MIN(1,(E566-PARAMS_MODELO!$B$15)/(PARAMS_MODELO!$B$16-PARAMS_MODELO!$B$15))))*PARAMS_MODELO!$B$7</f>
        <v>35</v>
      </c>
      <c r="G566" s="5">
        <f t="shared" si="193"/>
        <v>36681662.020000003</v>
      </c>
      <c r="H566" s="5">
        <f>(PARAMS_MODELO!$B$20*(MAX(0,MIN(3,E566))/3)+PARAMS_MODELO!$B$21*(IFERROR(LN(1+MAX(0,G566))/LN(1+MAX(0,MAX($G$2:$G$1194))),0)))*100*PARAMS_MODELO!$B$8</f>
        <v>7.8429856833526532</v>
      </c>
      <c r="I566" s="8">
        <f>E566-PARAMS_MODELO!$B$5</f>
        <v>0.89672662716540152</v>
      </c>
      <c r="J566" s="5">
        <f>IF(I566&lt;=PARAMS_MODELO!$B$18,0,IF(I566&gt;=PARAMS_MODELO!$B$19,100,100*(I566-PARAMS_MODELO!$B$18)/(PARAMS_MODELO!$B$19-PARAMS_MODELO!$B$18)))*PARAMS_MODELO!$B$9</f>
        <v>15</v>
      </c>
      <c r="K566" s="5">
        <f>IFERROR(CHOOSE(MATCH(PARAMS_MODELO!$B$2,{"Q1","Q2","Q3"},0),LOTO!$D566,LOTO!$F566,LOTO!$H566),0)</f>
        <v>3430000</v>
      </c>
      <c r="L566" s="8">
        <f t="shared" si="194"/>
        <v>4.842805977129503E-2</v>
      </c>
      <c r="M566" s="5">
        <f>MIN(100,IF(PARAMS_MODELO!$B$23=0,0,100*L566/PARAMS_MODELO!$B$23))*PARAMS_MODELO!$B$10</f>
        <v>14.528417931388507</v>
      </c>
      <c r="N566" s="5">
        <f>IFERROR(VLOOKUP(A566,COMPLIANCE!$A$2:$F$1996,6,0),100)</f>
        <v>100</v>
      </c>
      <c r="O566" s="5">
        <f>N566*PARAMS_MODELO!$B$11</f>
        <v>10</v>
      </c>
      <c r="P566" s="5">
        <f>IFERROR(VLOOKUP(A566,DIGITAL!$A$2:$J$2000,7,0),100)</f>
        <v>92</v>
      </c>
      <c r="Q566" s="5">
        <f>IFERROR(P566,0)*PARAMS_MODELO!$B$12</f>
        <v>9.2000000000000011</v>
      </c>
      <c r="R566">
        <f t="shared" si="195"/>
        <v>91.571403614741158</v>
      </c>
      <c r="S566" s="5" t="str">
        <f>IFERROR(VLOOKUP(A566,CLIENTE!$A$2:$N$2000,13,0),1)</f>
        <v>Bueno</v>
      </c>
      <c r="T566" s="5">
        <f>IFERROR(VLOOKUP(A566,CLIENTE!$A$2:$N$2000,14,0),1)</f>
        <v>1.1000000000000001</v>
      </c>
      <c r="U566" s="5">
        <f t="shared" si="196"/>
        <v>100</v>
      </c>
      <c r="V566" s="5" t="str">
        <f>IF(U566&gt;=MAX(_xlfn.PERCENTILE.INC($U$2:$U$1194,PARAMS_MODELO!$B$50),PARAMS_MODELO!$B$45),"DIAMANTE",IF(U566&gt;=MAX(_xlfn.PERCENTILE.INC($U$2:$U$1194,PARAMS_MODELO!$B$51),PARAMS_MODELO!$B$46),"PLATINO",IF(U566&gt;=MAX(_xlfn.PERCENTILE.INC($U$2:$U$1194,PARAMS_MODELO!$B$52),PARAMS_MODELO!$B$47),"ORO",IF(U566&gt;=MAX(_xlfn.PERCENTILE.INC($U$2:$U$1194,PARAMS_MODELO!$B$53),PARAMS_MODELO!$B$48),"PLATA",IF(U566&gt;=1,"BRONCE","CERRADO")))))</f>
        <v>DIAMANTE</v>
      </c>
      <c r="W566" s="5" t="str" cm="1">
        <f t="array" ref="W566">_xlfn.XLOOKUP(1, (HIST_SCORE!$B:$B=PARAMS_MODELO!$B$4) * (HIST_SCORE!$C:$C=A566), HIST_SCORE!$E:$E, "No encontrado")</f>
        <v>DIAMANTE</v>
      </c>
      <c r="X566" s="5" t="str">
        <f>_xlfn.LET(_xlpm.act,MATCH(V566,{"DIAMANTE";"PLATINO";"ORO";"PLATA";"BRONCE";"CERRADO"},0),_xlpm.ant,MATCH(W566,{"DIAMANTE";"PLATINO";"ORO";"PLATA";"BRONCE";"CERRADO"},0),IF(_xlpm.act&lt;_xlpm.ant,"Mejora ↑",IF(_xlpm.act&gt;_xlpm.ant,"Baja ↓","Estable →")))</f>
        <v>Estable →</v>
      </c>
      <c r="Y566" s="5">
        <f>IFERROR(U566-SUMIFS(HIST_SCORE!$D:$D,HIST_SCORE!$B:$B,PARAMS_MODELO!$B$4,HIST_SCORE!$C:$C,$A566),"")</f>
        <v>0</v>
      </c>
      <c r="Z566" s="5" t="str">
        <f t="shared" si="197"/>
        <v>→ Estable</v>
      </c>
      <c r="AA566" s="5">
        <f t="shared" si="198"/>
        <v>1</v>
      </c>
      <c r="AB566" s="5">
        <f>IFERROR(SUMIFS(HIST_SCORE!$F:$F,HIST_SCORE!$B:$B,PARAMS_MODELO!$B$4,HIST_SCORE!$C:$C,$A566),"")</f>
        <v>1</v>
      </c>
      <c r="AC566" s="5">
        <f t="shared" si="199"/>
        <v>0</v>
      </c>
      <c r="AD566" t="str">
        <f t="shared" si="201"/>
        <v/>
      </c>
      <c r="AE5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566="CERRADO",1,IF(V566="BRONCE",_xlpm.cPl,IF(V566="PLATA",_xlpm.cO,IF(V566="ORO",_xlpm.cP,IF(V566="PLATINO",_xlpm.cD,999))))))</f>
        <v>999</v>
      </c>
      <c r="AF5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566="CERRADO",0,IF(V566="BRONCE",1,IF(V566="PLATA",_xlpm.cPl,IF(V566="ORO",_xlpm.cO,IF(V566="PLATINO",_xlpm.cP,_xlpm.cD))))))</f>
        <v>96.054919694466676</v>
      </c>
      <c r="AG566">
        <f t="shared" si="202"/>
        <v>816.61041456707699</v>
      </c>
      <c r="AH566" t="str">
        <f t="shared" si="203"/>
        <v>SOSTENER</v>
      </c>
      <c r="AI566" t="str">
        <f t="shared" si="200"/>
        <v>✅ Mantener desempeño y monitorear variaciones para sostener categoría.</v>
      </c>
      <c r="AJ566" s="26">
        <f>_xlfn.LET(_xlpm.piso,AF566,_xlpm.corte,AE566,_xlpm.prog,IF(_xlpm.corte&lt;=_xlpm.piso,0,MAX(0,MIN(1,(U566-_xlpm.piso)/(_xlpm.corte-_xlpm.piso)))),_xlpm.orden,{"DIAMANTE";"PLATINO";"ORO";"PLATA";"BRONCE";"CERRADO"},_xlpm.act,IFERROR(MATCH(V566,_xlpm.orden,0),6),_xlpm.ant,IFERROR(MATCH(W566,_xlpm.orden,0),6),_xlpm.ajmov,IF(_xlpm.act&lt;_xlpm.ant,0.08,IF(_xlpm.act&gt;_xlpm.ant,-0.08,0)),_xlpm.ajcli,IF(T566&lt;0.95,-0.06,0),_xlpm.prob,MAX(0,MIN(1,_xlpm.prog+_xlpm.ajmov+_xlpm.ajcli)),IF(OR(V566="DIAMANTE",V566="CERRADO"),0,ROUND(_xlpm.prob,2)))</f>
        <v>0</v>
      </c>
      <c r="AK566" t="str">
        <f t="shared" si="204"/>
        <v>No aplica</v>
      </c>
      <c r="AL566" t="str">
        <f t="shared" si="205"/>
        <v>Margen de seguridad: 3,9 puntos</v>
      </c>
      <c r="AM566">
        <f t="shared" si="206"/>
        <v>0.8</v>
      </c>
      <c r="AN566" t="str">
        <f t="shared" si="207"/>
        <v>PRIORIDAD ALTA – requiere intervención inmediata</v>
      </c>
      <c r="AO566">
        <f t="shared" si="208"/>
        <v>7.721541951137227</v>
      </c>
      <c r="AP566">
        <f t="shared" si="209"/>
        <v>0.51874027547264245</v>
      </c>
      <c r="AQ566">
        <f t="shared" si="210"/>
        <v>0</v>
      </c>
      <c r="AR566">
        <f t="shared" si="211"/>
        <v>0.87999999999999889</v>
      </c>
      <c r="AS566">
        <f t="shared" si="212"/>
        <v>0</v>
      </c>
      <c r="AT566" t="str">
        <f t="shared" si="213"/>
        <v>VENTAS</v>
      </c>
      <c r="AU566">
        <f t="shared" si="214"/>
        <v>7.721541951137227</v>
      </c>
      <c r="AV566" t="str">
        <f t="shared" si="215"/>
        <v>Mayor retorno probable: VENTAS (+7,7 puntos finales potenciales).</v>
      </c>
    </row>
    <row r="567" spans="1:48" x14ac:dyDescent="0.3">
      <c r="A567" s="5">
        <v>51039637</v>
      </c>
      <c r="B567" s="5" t="str">
        <f>IFERROR(VLOOKUP(A567,VENTAS!$A$2:$B$1194,2,0),"")</f>
        <v>NELLI</v>
      </c>
      <c r="C567" s="5">
        <f>IFERROR(INDEX(VENTAS!$C$2:$E$1194,MATCH(A567,VENTAS!$A$2:$A$1194,0),MATCH(PARAMS_MODELO!$B$2,{"Q1","Q2","Q3"},0)),0)</f>
        <v>46263958.059999987</v>
      </c>
      <c r="D567" s="5">
        <f>IFERROR(INDEX(VENTAS!$F$2:$H$1194,MATCH(A567,VENTAS!$A$2:$A$1194,0),MATCH(PARAMS_MODELO!$B$2,{"Q1","Q2","Q3"},0)),0)</f>
        <v>70822318</v>
      </c>
      <c r="E567" s="8">
        <f t="shared" si="192"/>
        <v>0.53083136354546534</v>
      </c>
      <c r="F567" s="12">
        <f>IF(E567&lt;=PARAMS_MODELO!$B$15,0,IF(E567&gt;=PARAMS_MODELO!$B$17,100,100*MIN(1,(E567-PARAMS_MODELO!$B$15)/(PARAMS_MODELO!$B$16-PARAMS_MODELO!$B$15))))*PARAMS_MODELO!$B$7</f>
        <v>35</v>
      </c>
      <c r="G567" s="5">
        <f t="shared" si="193"/>
        <v>24558359.940000013</v>
      </c>
      <c r="H567" s="5">
        <f>(PARAMS_MODELO!$B$20*(MAX(0,MIN(3,E567))/3)+PARAMS_MODELO!$B$21*(IFERROR(LN(1+MAX(0,G567))/LN(1+MAX(0,MAX($G$2:$G$1194))),0)))*100*PARAMS_MODELO!$B$8</f>
        <v>5.8468296843594265</v>
      </c>
      <c r="I567" s="8">
        <f>E567-PARAMS_MODELO!$B$5</f>
        <v>0.35326852816993881</v>
      </c>
      <c r="J567" s="5">
        <f>IF(I567&lt;=PARAMS_MODELO!$B$18,0,IF(I567&gt;=PARAMS_MODELO!$B$19,100,100*(I567-PARAMS_MODELO!$B$18)/(PARAMS_MODELO!$B$19-PARAMS_MODELO!$B$18)))*PARAMS_MODELO!$B$9</f>
        <v>15</v>
      </c>
      <c r="K567" s="5">
        <f>IFERROR(CHOOSE(MATCH(PARAMS_MODELO!$B$2,{"Q1","Q2","Q3"},0),LOTO!$D567,LOTO!$F567,LOTO!$H567),0)</f>
        <v>3427500</v>
      </c>
      <c r="L567" s="8">
        <f t="shared" si="194"/>
        <v>4.8395761347432883E-2</v>
      </c>
      <c r="M567" s="5">
        <f>MIN(100,IF(PARAMS_MODELO!$B$23=0,0,100*L567/PARAMS_MODELO!$B$23))*PARAMS_MODELO!$B$10</f>
        <v>14.518728404229863</v>
      </c>
      <c r="N567" s="5">
        <f>IFERROR(VLOOKUP(A567,COMPLIANCE!$A$2:$F$1996,6,0),100)</f>
        <v>100</v>
      </c>
      <c r="O567" s="5">
        <f>N567*PARAMS_MODELO!$B$11</f>
        <v>10</v>
      </c>
      <c r="P567" s="5">
        <f>IFERROR(VLOOKUP(A567,DIGITAL!$A$2:$J$2000,7,0),100)</f>
        <v>73</v>
      </c>
      <c r="Q567" s="5">
        <f>IFERROR(P567,0)*PARAMS_MODELO!$B$12</f>
        <v>7.3000000000000007</v>
      </c>
      <c r="R567">
        <f t="shared" si="195"/>
        <v>87.665558088589293</v>
      </c>
      <c r="S567" s="5" t="str">
        <f>IFERROR(VLOOKUP(A567,CLIENTE!$A$2:$N$2000,13,0),1)</f>
        <v>Bueno</v>
      </c>
      <c r="T567" s="5">
        <f>IFERROR(VLOOKUP(A567,CLIENTE!$A$2:$N$2000,14,0),1)</f>
        <v>1.1000000000000001</v>
      </c>
      <c r="U567" s="5">
        <f t="shared" si="196"/>
        <v>96.432113897448232</v>
      </c>
      <c r="V567" s="5" t="str">
        <f>IF(U567&gt;=MAX(_xlfn.PERCENTILE.INC($U$2:$U$1194,PARAMS_MODELO!$B$50),PARAMS_MODELO!$B$45),"DIAMANTE",IF(U567&gt;=MAX(_xlfn.PERCENTILE.INC($U$2:$U$1194,PARAMS_MODELO!$B$51),PARAMS_MODELO!$B$46),"PLATINO",IF(U567&gt;=MAX(_xlfn.PERCENTILE.INC($U$2:$U$1194,PARAMS_MODELO!$B$52),PARAMS_MODELO!$B$47),"ORO",IF(U567&gt;=MAX(_xlfn.PERCENTILE.INC($U$2:$U$1194,PARAMS_MODELO!$B$53),PARAMS_MODELO!$B$48),"PLATA",IF(U567&gt;=1,"BRONCE","CERRADO")))))</f>
        <v>DIAMANTE</v>
      </c>
      <c r="W567" s="5" t="str" cm="1">
        <f t="array" ref="W567">_xlfn.XLOOKUP(1, (HIST_SCORE!$B:$B=PARAMS_MODELO!$B$4) * (HIST_SCORE!$C:$C=A567), HIST_SCORE!$E:$E, "No encontrado")</f>
        <v>PLATINO</v>
      </c>
      <c r="X567" s="5" t="str">
        <f>_xlfn.LET(_xlpm.act,MATCH(V567,{"DIAMANTE";"PLATINO";"ORO";"PLATA";"BRONCE";"CERRADO"},0),_xlpm.ant,MATCH(W567,{"DIAMANTE";"PLATINO";"ORO";"PLATA";"BRONCE";"CERRADO"},0),IF(_xlpm.act&lt;_xlpm.ant,"Mejora ↑",IF(_xlpm.act&gt;_xlpm.ant,"Baja ↓","Estable →")))</f>
        <v>Mejora ↑</v>
      </c>
      <c r="Y567" s="5">
        <f>IFERROR(U567-SUMIFS(HIST_SCORE!$D:$D,HIST_SCORE!$B:$B,PARAMS_MODELO!$B$4,HIST_SCORE!$C:$C,$A567),"")</f>
        <v>8.1132489342772516</v>
      </c>
      <c r="Z567" s="5" t="str">
        <f t="shared" si="197"/>
        <v>↑ Mejora</v>
      </c>
      <c r="AA567" s="5">
        <f t="shared" si="198"/>
        <v>54</v>
      </c>
      <c r="AB567" s="5">
        <f>IFERROR(SUMIFS(HIST_SCORE!$F:$F,HIST_SCORE!$B:$B,PARAMS_MODELO!$B$4,HIST_SCORE!$C:$C,$A567),"")</f>
        <v>169</v>
      </c>
      <c r="AC567" s="5">
        <f t="shared" si="199"/>
        <v>115</v>
      </c>
      <c r="AD567" t="str">
        <f t="shared" si="201"/>
        <v/>
      </c>
      <c r="AE5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567="CERRADO",1,IF(V567="BRONCE",_xlpm.cPl,IF(V567="PLATA",_xlpm.cO,IF(V567="ORO",_xlpm.cP,IF(V567="PLATINO",_xlpm.cD,999))))))</f>
        <v>999</v>
      </c>
      <c r="AF5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567="CERRADO",0,IF(V567="BRONCE",1,IF(V567="PLATA",_xlpm.cPl,IF(V567="ORO",_xlpm.cO,IF(V567="PLATINO",_xlpm.cP,_xlpm.cD))))))</f>
        <v>96.054919694466676</v>
      </c>
      <c r="AG567">
        <f t="shared" si="202"/>
        <v>820.51626009322888</v>
      </c>
      <c r="AH567" t="str">
        <f t="shared" si="203"/>
        <v>SOSTENER</v>
      </c>
      <c r="AI567" t="str">
        <f t="shared" si="200"/>
        <v>✅ Mantener desempeño y monitorear variaciones para sostener categoría.</v>
      </c>
      <c r="AJ567" s="26">
        <f>_xlfn.LET(_xlpm.piso,AF567,_xlpm.corte,AE567,_xlpm.prog,IF(_xlpm.corte&lt;=_xlpm.piso,0,MAX(0,MIN(1,(U567-_xlpm.piso)/(_xlpm.corte-_xlpm.piso)))),_xlpm.orden,{"DIAMANTE";"PLATINO";"ORO";"PLATA";"BRONCE";"CERRADO"},_xlpm.act,IFERROR(MATCH(V567,_xlpm.orden,0),6),_xlpm.ant,IFERROR(MATCH(W567,_xlpm.orden,0),6),_xlpm.ajmov,IF(_xlpm.act&lt;_xlpm.ant,0.08,IF(_xlpm.act&gt;_xlpm.ant,-0.08,0)),_xlpm.ajcli,IF(T567&lt;0.95,-0.06,0),_xlpm.prob,MAX(0,MIN(1,_xlpm.prog+_xlpm.ajmov+_xlpm.ajcli)),IF(OR(V567="DIAMANTE",V567="CERRADO"),0,ROUND(_xlpm.prob,2)))</f>
        <v>0</v>
      </c>
      <c r="AK567" t="str">
        <f t="shared" si="204"/>
        <v>No aplica</v>
      </c>
      <c r="AL567" t="str">
        <f t="shared" si="205"/>
        <v>Margen de seguridad: 0,4 puntos</v>
      </c>
      <c r="AM567">
        <f t="shared" si="206"/>
        <v>0.8</v>
      </c>
      <c r="AN567" t="str">
        <f t="shared" si="207"/>
        <v>PRIORIDAD ALTA – requiere intervención inmediata</v>
      </c>
      <c r="AO567">
        <f t="shared" si="208"/>
        <v>9.9173135500297729</v>
      </c>
      <c r="AP567">
        <f t="shared" si="209"/>
        <v>0.52939875534715053</v>
      </c>
      <c r="AQ567">
        <f t="shared" si="210"/>
        <v>0</v>
      </c>
      <c r="AR567">
        <f t="shared" si="211"/>
        <v>2.9699999999999993</v>
      </c>
      <c r="AS567">
        <f t="shared" si="212"/>
        <v>0</v>
      </c>
      <c r="AT567" t="str">
        <f t="shared" si="213"/>
        <v>VENTAS</v>
      </c>
      <c r="AU567">
        <f t="shared" si="214"/>
        <v>9.9173135500297729</v>
      </c>
      <c r="AV567" t="str">
        <f t="shared" si="215"/>
        <v>Mayor retorno probable: VENTAS (+9,9 puntos finales potenciales).</v>
      </c>
    </row>
    <row r="568" spans="1:48" x14ac:dyDescent="0.3">
      <c r="A568" s="5">
        <v>51020308</v>
      </c>
      <c r="B568" s="5" t="str">
        <f>IFERROR(VLOOKUP(A568,VENTAS!$A$2:$B$1194,2,0),"")</f>
        <v>AYALA</v>
      </c>
      <c r="C568" s="5">
        <f>IFERROR(INDEX(VENTAS!$C$2:$E$1194,MATCH(A568,VENTAS!$A$2:$A$1194,0),MATCH(PARAMS_MODELO!$B$2,{"Q1","Q2","Q3"},0)),0)</f>
        <v>51413329.890000001</v>
      </c>
      <c r="D568" s="5">
        <f>IFERROR(INDEX(VENTAS!$F$2:$H$1194,MATCH(A568,VENTAS!$A$2:$A$1194,0),MATCH(PARAMS_MODELO!$B$2,{"Q1","Q2","Q3"},0)),0)</f>
        <v>70814787</v>
      </c>
      <c r="E568" s="8">
        <f t="shared" si="192"/>
        <v>0.37736239126136861</v>
      </c>
      <c r="F568" s="12">
        <f>IF(E568&lt;=PARAMS_MODELO!$B$15,0,IF(E568&gt;=PARAMS_MODELO!$B$17,100,100*MIN(1,(E568-PARAMS_MODELO!$B$15)/(PARAMS_MODELO!$B$16-PARAMS_MODELO!$B$15))))*PARAMS_MODELO!$B$7</f>
        <v>35</v>
      </c>
      <c r="G568" s="5">
        <f t="shared" si="193"/>
        <v>19401457.109999999</v>
      </c>
      <c r="H568" s="5">
        <f>(PARAMS_MODELO!$B$20*(MAX(0,MIN(3,E568))/3)+PARAMS_MODELO!$B$21*(IFERROR(LN(1+MAX(0,G568))/LN(1+MAX(0,MAX($G$2:$G$1194))),0)))*100*PARAMS_MODELO!$B$8</f>
        <v>5.2544359402322298</v>
      </c>
      <c r="I568" s="8">
        <f>E568-PARAMS_MODELO!$B$5</f>
        <v>0.19979955588584208</v>
      </c>
      <c r="J568" s="5">
        <f>IF(I568&lt;=PARAMS_MODELO!$B$18,0,IF(I568&gt;=PARAMS_MODELO!$B$19,100,100*(I568-PARAMS_MODELO!$B$18)/(PARAMS_MODELO!$B$19-PARAMS_MODELO!$B$18)))*PARAMS_MODELO!$B$9</f>
        <v>15</v>
      </c>
      <c r="K568" s="5">
        <f>IFERROR(CHOOSE(MATCH(PARAMS_MODELO!$B$2,{"Q1","Q2","Q3"},0),LOTO!$D568,LOTO!$F568,LOTO!$H568),0)</f>
        <v>3427500</v>
      </c>
      <c r="L568" s="8">
        <f t="shared" si="194"/>
        <v>4.840090813236507E-2</v>
      </c>
      <c r="M568" s="5">
        <f>MIN(100,IF(PARAMS_MODELO!$B$23=0,0,100*L568/PARAMS_MODELO!$B$23))*PARAMS_MODELO!$B$10</f>
        <v>14.520272439709517</v>
      </c>
      <c r="N568" s="5">
        <f>IFERROR(VLOOKUP(A568,COMPLIANCE!$A$2:$F$1996,6,0),100)</f>
        <v>99.83</v>
      </c>
      <c r="O568" s="5">
        <f>N568*PARAMS_MODELO!$B$11</f>
        <v>9.9830000000000005</v>
      </c>
      <c r="P568" s="5">
        <f>IFERROR(VLOOKUP(A568,DIGITAL!$A$2:$J$2000,7,0),100)</f>
        <v>56</v>
      </c>
      <c r="Q568" s="5">
        <f>IFERROR(P568,0)*PARAMS_MODELO!$B$12</f>
        <v>5.6000000000000005</v>
      </c>
      <c r="R568">
        <f t="shared" si="195"/>
        <v>85.357708379941741</v>
      </c>
      <c r="S568" s="5" t="str">
        <f>IFERROR(VLOOKUP(A568,CLIENTE!$A$2:$N$2000,13,0),1)</f>
        <v>Regular</v>
      </c>
      <c r="T568" s="5">
        <f>IFERROR(VLOOKUP(A568,CLIENTE!$A$2:$N$2000,14,0),1)</f>
        <v>1</v>
      </c>
      <c r="U568" s="5">
        <f t="shared" si="196"/>
        <v>85.357708379941741</v>
      </c>
      <c r="V568" s="5" t="str">
        <f>IF(U568&gt;=MAX(_xlfn.PERCENTILE.INC($U$2:$U$1194,PARAMS_MODELO!$B$50),PARAMS_MODELO!$B$45),"DIAMANTE",IF(U568&gt;=MAX(_xlfn.PERCENTILE.INC($U$2:$U$1194,PARAMS_MODELO!$B$51),PARAMS_MODELO!$B$46),"PLATINO",IF(U568&gt;=MAX(_xlfn.PERCENTILE.INC($U$2:$U$1194,PARAMS_MODELO!$B$52),PARAMS_MODELO!$B$47),"ORO",IF(U568&gt;=MAX(_xlfn.PERCENTILE.INC($U$2:$U$1194,PARAMS_MODELO!$B$53),PARAMS_MODELO!$B$48),"PLATA",IF(U568&gt;=1,"BRONCE","CERRADO")))))</f>
        <v>ORO</v>
      </c>
      <c r="W568" s="5" t="str" cm="1">
        <f t="array" ref="W568">_xlfn.XLOOKUP(1, (HIST_SCORE!$B:$B=PARAMS_MODELO!$B$4) * (HIST_SCORE!$C:$C=A568), HIST_SCORE!$E:$E, "No encontrado")</f>
        <v>ORO</v>
      </c>
      <c r="X568" s="5" t="str">
        <f>_xlfn.LET(_xlpm.act,MATCH(V568,{"DIAMANTE";"PLATINO";"ORO";"PLATA";"BRONCE";"CERRADO"},0),_xlpm.ant,MATCH(W568,{"DIAMANTE";"PLATINO";"ORO";"PLATA";"BRONCE";"CERRADO"},0),IF(_xlpm.act&lt;_xlpm.ant,"Mejora ↑",IF(_xlpm.act&gt;_xlpm.ant,"Baja ↓","Estable →")))</f>
        <v>Estable →</v>
      </c>
      <c r="Y568" s="5">
        <f>IFERROR(U568-SUMIFS(HIST_SCORE!$D:$D,HIST_SCORE!$B:$B,PARAMS_MODELO!$B$4,HIST_SCORE!$C:$C,$A568),"")</f>
        <v>12.417874688252965</v>
      </c>
      <c r="Z568" s="5" t="str">
        <f t="shared" si="197"/>
        <v>↑ Mejora</v>
      </c>
      <c r="AA568" s="5">
        <f t="shared" si="198"/>
        <v>274</v>
      </c>
      <c r="AB568" s="5">
        <f>IFERROR(SUMIFS(HIST_SCORE!$F:$F,HIST_SCORE!$B:$B,PARAMS_MODELO!$B$4,HIST_SCORE!$C:$C,$A568),"")</f>
        <v>513</v>
      </c>
      <c r="AC568" s="5">
        <f t="shared" si="199"/>
        <v>239</v>
      </c>
      <c r="AD568" t="str">
        <f t="shared" si="201"/>
        <v/>
      </c>
      <c r="AE5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568="CERRADO",1,IF(V568="BRONCE",_xlpm.cPl,IF(V568="PLATA",_xlpm.cO,IF(V568="ORO",_xlpm.cP,IF(V568="PLATINO",_xlpm.cD,999))))))</f>
        <v>86.439123873763251</v>
      </c>
      <c r="AF5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568="CERRADO",0,IF(V568="BRONCE",1,IF(V568="PLATA",_xlpm.cPl,IF(V568="ORO",_xlpm.cO,IF(V568="PLATINO",_xlpm.cP,_xlpm.cD))))))</f>
        <v>63.199193273331495</v>
      </c>
      <c r="AG568">
        <f t="shared" si="202"/>
        <v>1.0814154938215097</v>
      </c>
      <c r="AH568" t="str">
        <f t="shared" si="203"/>
        <v>VENTAS</v>
      </c>
      <c r="AI568" t="str">
        <f t="shared" si="200"/>
        <v>🎯 Para subir de categoría, eje VENTAS / IMPACTO ABSOLUTO (H). Acción: metas semanales + activación comercial + seguimiento del asesor. ΔR aprox: 1,1</v>
      </c>
      <c r="AJ568" s="26">
        <f>_xlfn.LET(_xlpm.piso,AF568,_xlpm.corte,AE568,_xlpm.prog,IF(_xlpm.corte&lt;=_xlpm.piso,0,MAX(0,MIN(1,(U568-_xlpm.piso)/(_xlpm.corte-_xlpm.piso)))),_xlpm.orden,{"DIAMANTE";"PLATINO";"ORO";"PLATA";"BRONCE";"CERRADO"},_xlpm.act,IFERROR(MATCH(V568,_xlpm.orden,0),6),_xlpm.ant,IFERROR(MATCH(W568,_xlpm.orden,0),6),_xlpm.ajmov,IF(_xlpm.act&lt;_xlpm.ant,0.08,IF(_xlpm.act&gt;_xlpm.ant,-0.08,0)),_xlpm.ajcli,IF(T568&lt;0.95,-0.06,0),_xlpm.prob,MAX(0,MIN(1,_xlpm.prog+_xlpm.ajmov+_xlpm.ajcli)),IF(OR(V568="DIAMANTE",V568="CERRADO"),0,ROUND(_xlpm.prob,2)))</f>
        <v>0.95</v>
      </c>
      <c r="AK568" t="str">
        <f t="shared" si="204"/>
        <v>Faltan 1,1 puntos base para subir a la siguiente categoría</v>
      </c>
      <c r="AL568" t="str">
        <f t="shared" si="205"/>
        <v>Margen de seguridad: 22,2 puntos</v>
      </c>
      <c r="AM568">
        <f t="shared" si="206"/>
        <v>0.06</v>
      </c>
      <c r="AN568" t="str">
        <f t="shared" si="207"/>
        <v>PRIORIDAD BAJA – control normal</v>
      </c>
      <c r="AO568">
        <f t="shared" si="208"/>
        <v>9.6081333350633571</v>
      </c>
      <c r="AP568">
        <f t="shared" si="209"/>
        <v>0.47972756029048291</v>
      </c>
      <c r="AQ568">
        <f t="shared" si="210"/>
        <v>1.699999999999946E-2</v>
      </c>
      <c r="AR568">
        <f t="shared" si="211"/>
        <v>4.3999999999999995</v>
      </c>
      <c r="AS568">
        <f t="shared" si="212"/>
        <v>0</v>
      </c>
      <c r="AT568" t="str">
        <f t="shared" si="213"/>
        <v>VENTAS</v>
      </c>
      <c r="AU568">
        <f t="shared" si="214"/>
        <v>9.6081333350633571</v>
      </c>
      <c r="AV568" t="str">
        <f t="shared" si="215"/>
        <v>Mayor retorno probable: VENTAS (+9,6 puntos finales potenciales).</v>
      </c>
    </row>
    <row r="569" spans="1:48" x14ac:dyDescent="0.3">
      <c r="A569" s="5">
        <v>51040597</v>
      </c>
      <c r="B569" s="5" t="str">
        <f>IFERROR(VLOOKUP(A569,VENTAS!$A$2:$B$1194,2,0),"")</f>
        <v>MONTENEGRO</v>
      </c>
      <c r="C569" s="5">
        <f>IFERROR(INDEX(VENTAS!$C$2:$E$1194,MATCH(A569,VENTAS!$A$2:$A$1194,0),MATCH(PARAMS_MODELO!$B$2,{"Q1","Q2","Q3"},0)),0)</f>
        <v>39619876.229999997</v>
      </c>
      <c r="D569" s="5">
        <f>IFERROR(INDEX(VENTAS!$F$2:$H$1194,MATCH(A569,VENTAS!$A$2:$A$1194,0),MATCH(PARAMS_MODELO!$B$2,{"Q1","Q2","Q3"},0)),0)</f>
        <v>70715015</v>
      </c>
      <c r="E569" s="8">
        <f t="shared" si="192"/>
        <v>0.78483684778537754</v>
      </c>
      <c r="F569" s="12">
        <f>IF(E569&lt;=PARAMS_MODELO!$B$15,0,IF(E569&gt;=PARAMS_MODELO!$B$17,100,100*MIN(1,(E569-PARAMS_MODELO!$B$15)/(PARAMS_MODELO!$B$16-PARAMS_MODELO!$B$15))))*PARAMS_MODELO!$B$7</f>
        <v>35</v>
      </c>
      <c r="G569" s="5">
        <f t="shared" si="193"/>
        <v>31095138.770000003</v>
      </c>
      <c r="H569" s="5">
        <f>(PARAMS_MODELO!$B$20*(MAX(0,MIN(3,E569))/3)+PARAMS_MODELO!$B$21*(IFERROR(LN(1+MAX(0,G569))/LN(1+MAX(0,MAX($G$2:$G$1194))),0)))*100*PARAMS_MODELO!$B$8</f>
        <v>6.7911703782807971</v>
      </c>
      <c r="I569" s="8">
        <f>E569-PARAMS_MODELO!$B$5</f>
        <v>0.60727401240985102</v>
      </c>
      <c r="J569" s="5">
        <f>IF(I569&lt;=PARAMS_MODELO!$B$18,0,IF(I569&gt;=PARAMS_MODELO!$B$19,100,100*(I569-PARAMS_MODELO!$B$18)/(PARAMS_MODELO!$B$19-PARAMS_MODELO!$B$18)))*PARAMS_MODELO!$B$9</f>
        <v>15</v>
      </c>
      <c r="K569" s="5">
        <f>IFERROR(CHOOSE(MATCH(PARAMS_MODELO!$B$2,{"Q1","Q2","Q3"},0),LOTO!$D569,LOTO!$F569,LOTO!$H569),0)</f>
        <v>3420000</v>
      </c>
      <c r="L569" s="8">
        <f t="shared" si="194"/>
        <v>4.8363137588247701E-2</v>
      </c>
      <c r="M569" s="5">
        <f>MIN(100,IF(PARAMS_MODELO!$B$23=0,0,100*L569/PARAMS_MODELO!$B$23))*PARAMS_MODELO!$B$10</f>
        <v>14.508941276474308</v>
      </c>
      <c r="N569" s="5">
        <f>IFERROR(VLOOKUP(A569,COMPLIANCE!$A$2:$F$1996,6,0),100)</f>
        <v>100</v>
      </c>
      <c r="O569" s="5">
        <f>N569*PARAMS_MODELO!$B$11</f>
        <v>10</v>
      </c>
      <c r="P569" s="5">
        <f>IFERROR(VLOOKUP(A569,DIGITAL!$A$2:$J$2000,7,0),100)</f>
        <v>27</v>
      </c>
      <c r="Q569" s="5">
        <f>IFERROR(P569,0)*PARAMS_MODELO!$B$12</f>
        <v>2.7</v>
      </c>
      <c r="R569">
        <f t="shared" si="195"/>
        <v>84.000111654755102</v>
      </c>
      <c r="S569" s="5" t="str">
        <f>IFERROR(VLOOKUP(A569,CLIENTE!$A$2:$N$2000,13,0),1)</f>
        <v>Malo</v>
      </c>
      <c r="T569" s="5">
        <f>IFERROR(VLOOKUP(A569,CLIENTE!$A$2:$N$2000,14,0),1)</f>
        <v>0.7</v>
      </c>
      <c r="U569" s="5">
        <f t="shared" si="196"/>
        <v>58.800078158328567</v>
      </c>
      <c r="V569" s="5" t="str">
        <f>IF(U569&gt;=MAX(_xlfn.PERCENTILE.INC($U$2:$U$1194,PARAMS_MODELO!$B$50),PARAMS_MODELO!$B$45),"DIAMANTE",IF(U569&gt;=MAX(_xlfn.PERCENTILE.INC($U$2:$U$1194,PARAMS_MODELO!$B$51),PARAMS_MODELO!$B$46),"PLATINO",IF(U569&gt;=MAX(_xlfn.PERCENTILE.INC($U$2:$U$1194,PARAMS_MODELO!$B$52),PARAMS_MODELO!$B$47),"ORO",IF(U569&gt;=MAX(_xlfn.PERCENTILE.INC($U$2:$U$1194,PARAMS_MODELO!$B$53),PARAMS_MODELO!$B$48),"PLATA",IF(U569&gt;=1,"BRONCE","CERRADO")))))</f>
        <v>PLATA</v>
      </c>
      <c r="W569" s="5" t="str" cm="1">
        <f t="array" ref="W569">_xlfn.XLOOKUP(1, (HIST_SCORE!$B:$B=PARAMS_MODELO!$B$4) * (HIST_SCORE!$C:$C=A569), HIST_SCORE!$E:$E, "No encontrado")</f>
        <v>PLATA</v>
      </c>
      <c r="X569" s="5" t="str">
        <f>_xlfn.LET(_xlpm.act,MATCH(V569,{"DIAMANTE";"PLATINO";"ORO";"PLATA";"BRONCE";"CERRADO"},0),_xlpm.ant,MATCH(W569,{"DIAMANTE";"PLATINO";"ORO";"PLATA";"BRONCE";"CERRADO"},0),IF(_xlpm.act&lt;_xlpm.ant,"Mejora ↑",IF(_xlpm.act&gt;_xlpm.ant,"Baja ↓","Estable →")))</f>
        <v>Estable →</v>
      </c>
      <c r="Y569" s="5">
        <f>IFERROR(U569-SUMIFS(HIST_SCORE!$D:$D,HIST_SCORE!$B:$B,PARAMS_MODELO!$B$4,HIST_SCORE!$C:$C,$A569),"")</f>
        <v>0.68716605605170145</v>
      </c>
      <c r="Z569" s="5" t="str">
        <f t="shared" si="197"/>
        <v>→ Estable</v>
      </c>
      <c r="AA569" s="5">
        <f t="shared" si="198"/>
        <v>639</v>
      </c>
      <c r="AB569" s="5">
        <f>IFERROR(SUMIFS(HIST_SCORE!$F:$F,HIST_SCORE!$B:$B,PARAMS_MODELO!$B$4,HIST_SCORE!$C:$C,$A569),"")</f>
        <v>684</v>
      </c>
      <c r="AC569" s="5">
        <f t="shared" si="199"/>
        <v>45</v>
      </c>
      <c r="AD569" t="str">
        <f t="shared" si="201"/>
        <v/>
      </c>
      <c r="AE5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569="CERRADO",1,IF(V569="BRONCE",_xlpm.cPl,IF(V569="PLATA",_xlpm.cO,IF(V569="ORO",_xlpm.cP,IF(V569="PLATINO",_xlpm.cD,999))))))</f>
        <v>63.199193273331495</v>
      </c>
      <c r="AF5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569="CERRADO",0,IF(V569="BRONCE",1,IF(V569="PLATA",_xlpm.cPl,IF(V569="ORO",_xlpm.cO,IF(V569="PLATINO",_xlpm.cP,_xlpm.cD))))))</f>
        <v>24.506573482968111</v>
      </c>
      <c r="AG569">
        <f t="shared" si="202"/>
        <v>6.2844501642898933</v>
      </c>
      <c r="AH569" t="str">
        <f t="shared" si="203"/>
        <v>CLIENTE</v>
      </c>
      <c r="AI569" t="str">
        <f t="shared" si="200"/>
        <v>🎯 Para subir de categoría, la eje con mayor impacto probable es CLIENTE (coef T). Acción: reducir quejas, mejorar incógnito y empujar reseñas. ΔR aprox: 6,3</v>
      </c>
      <c r="AJ569" s="26">
        <f>_xlfn.LET(_xlpm.piso,AF569,_xlpm.corte,AE569,_xlpm.prog,IF(_xlpm.corte&lt;=_xlpm.piso,0,MAX(0,MIN(1,(U569-_xlpm.piso)/(_xlpm.corte-_xlpm.piso)))),_xlpm.orden,{"DIAMANTE";"PLATINO";"ORO";"PLATA";"BRONCE";"CERRADO"},_xlpm.act,IFERROR(MATCH(V569,_xlpm.orden,0),6),_xlpm.ant,IFERROR(MATCH(W569,_xlpm.orden,0),6),_xlpm.ajmov,IF(_xlpm.act&lt;_xlpm.ant,0.08,IF(_xlpm.act&gt;_xlpm.ant,-0.08,0)),_xlpm.ajcli,IF(T569&lt;0.95,-0.06,0),_xlpm.prob,MAX(0,MIN(1,_xlpm.prog+_xlpm.ajmov+_xlpm.ajcli)),IF(OR(V569="DIAMANTE",V569="CERRADO"),0,ROUND(_xlpm.prob,2)))</f>
        <v>0.83</v>
      </c>
      <c r="AK569" t="str">
        <f t="shared" si="204"/>
        <v>Faltan 6,3 puntos base para subir a la siguiente categoría</v>
      </c>
      <c r="AL569" t="str">
        <f t="shared" si="205"/>
        <v>Margen de seguridad: 34,3 puntos</v>
      </c>
      <c r="AM569">
        <f t="shared" si="206"/>
        <v>0.52</v>
      </c>
      <c r="AN569" t="str">
        <f t="shared" si="207"/>
        <v>PRIORIDAD MEDIA – seguimiento del asesor</v>
      </c>
      <c r="AO569">
        <f t="shared" si="208"/>
        <v>5.6499792279103511</v>
      </c>
      <c r="AP569">
        <f t="shared" si="209"/>
        <v>0.34374110646798406</v>
      </c>
      <c r="AQ569">
        <f t="shared" si="210"/>
        <v>0</v>
      </c>
      <c r="AR569">
        <f t="shared" si="211"/>
        <v>5.1099999999999994</v>
      </c>
      <c r="AS569">
        <f t="shared" si="212"/>
        <v>25.200033496426535</v>
      </c>
      <c r="AT569" t="str">
        <f t="shared" si="213"/>
        <v>CLIENTE</v>
      </c>
      <c r="AU569">
        <f t="shared" si="214"/>
        <v>25.200033496426535</v>
      </c>
      <c r="AV569" t="str">
        <f t="shared" si="215"/>
        <v>Mayor retorno probable: CLIENTE (+25,2 puntos finales potenciales).</v>
      </c>
    </row>
    <row r="570" spans="1:48" x14ac:dyDescent="0.3">
      <c r="A570" s="5">
        <v>51014197</v>
      </c>
      <c r="B570" s="5" t="str">
        <f>IFERROR(VLOOKUP(A570,VENTAS!$A$2:$B$1194,2,0),"")</f>
        <v>PUGH</v>
      </c>
      <c r="C570" s="5">
        <f>IFERROR(INDEX(VENTAS!$C$2:$E$1194,MATCH(A570,VENTAS!$A$2:$A$1194,0),MATCH(PARAMS_MODELO!$B$2,{"Q1","Q2","Q3"},0)),0)</f>
        <v>41334286.159999996</v>
      </c>
      <c r="D570" s="5">
        <f>IFERROR(INDEX(VENTAS!$F$2:$H$1194,MATCH(A570,VENTAS!$A$2:$A$1194,0),MATCH(PARAMS_MODELO!$B$2,{"Q1","Q2","Q3"},0)),0)</f>
        <v>70592930</v>
      </c>
      <c r="E570" s="8">
        <f t="shared" si="192"/>
        <v>0.70785409784853548</v>
      </c>
      <c r="F570" s="12">
        <f>IF(E570&lt;=PARAMS_MODELO!$B$15,0,IF(E570&gt;=PARAMS_MODELO!$B$17,100,100*MIN(1,(E570-PARAMS_MODELO!$B$15)/(PARAMS_MODELO!$B$16-PARAMS_MODELO!$B$15))))*PARAMS_MODELO!$B$7</f>
        <v>35</v>
      </c>
      <c r="G570" s="5">
        <f t="shared" si="193"/>
        <v>29258643.840000004</v>
      </c>
      <c r="H570" s="5">
        <f>(PARAMS_MODELO!$B$20*(MAX(0,MIN(3,E570))/3)+PARAMS_MODELO!$B$21*(IFERROR(LN(1+MAX(0,G570))/LN(1+MAX(0,MAX($G$2:$G$1194))),0)))*100*PARAMS_MODELO!$B$8</f>
        <v>6.507460463888866</v>
      </c>
      <c r="I570" s="8">
        <f>E570-PARAMS_MODELO!$B$5</f>
        <v>0.53029126247300895</v>
      </c>
      <c r="J570" s="5">
        <f>IF(I570&lt;=PARAMS_MODELO!$B$18,0,IF(I570&gt;=PARAMS_MODELO!$B$19,100,100*(I570-PARAMS_MODELO!$B$18)/(PARAMS_MODELO!$B$19-PARAMS_MODELO!$B$18)))*PARAMS_MODELO!$B$9</f>
        <v>15</v>
      </c>
      <c r="K570" s="5">
        <f>IFERROR(CHOOSE(MATCH(PARAMS_MODELO!$B$2,{"Q1","Q2","Q3"},0),LOTO!$D570,LOTO!$F570,LOTO!$H570),0)</f>
        <v>3420000</v>
      </c>
      <c r="L570" s="8">
        <f t="shared" si="194"/>
        <v>4.8446777885547465E-2</v>
      </c>
      <c r="M570" s="5">
        <f>MIN(100,IF(PARAMS_MODELO!$B$23=0,0,100*L570/PARAMS_MODELO!$B$23))*PARAMS_MODELO!$B$10</f>
        <v>14.534033365664238</v>
      </c>
      <c r="N570" s="5">
        <f>IFERROR(VLOOKUP(A570,COMPLIANCE!$A$2:$F$1996,6,0),100)</f>
        <v>100</v>
      </c>
      <c r="O570" s="5">
        <f>N570*PARAMS_MODELO!$B$11</f>
        <v>10</v>
      </c>
      <c r="P570" s="5">
        <f>IFERROR(VLOOKUP(A570,DIGITAL!$A$2:$J$2000,7,0),100)</f>
        <v>15</v>
      </c>
      <c r="Q570" s="5">
        <f>IFERROR(P570,0)*PARAMS_MODELO!$B$12</f>
        <v>1.5</v>
      </c>
      <c r="R570">
        <f t="shared" si="195"/>
        <v>82.541493829553104</v>
      </c>
      <c r="S570" s="5" t="str">
        <f>IFERROR(VLOOKUP(A570,CLIENTE!$A$2:$N$2000,13,0),1)</f>
        <v>Malo</v>
      </c>
      <c r="T570" s="5">
        <f>IFERROR(VLOOKUP(A570,CLIENTE!$A$2:$N$2000,14,0),1)</f>
        <v>0.7</v>
      </c>
      <c r="U570" s="5">
        <f t="shared" si="196"/>
        <v>57.779045680687169</v>
      </c>
      <c r="V570" s="5" t="str">
        <f>IF(U570&gt;=MAX(_xlfn.PERCENTILE.INC($U$2:$U$1194,PARAMS_MODELO!$B$50),PARAMS_MODELO!$B$45),"DIAMANTE",IF(U570&gt;=MAX(_xlfn.PERCENTILE.INC($U$2:$U$1194,PARAMS_MODELO!$B$51),PARAMS_MODELO!$B$46),"PLATINO",IF(U570&gt;=MAX(_xlfn.PERCENTILE.INC($U$2:$U$1194,PARAMS_MODELO!$B$52),PARAMS_MODELO!$B$47),"ORO",IF(U570&gt;=MAX(_xlfn.PERCENTILE.INC($U$2:$U$1194,PARAMS_MODELO!$B$53),PARAMS_MODELO!$B$48),"PLATA",IF(U570&gt;=1,"BRONCE","CERRADO")))))</f>
        <v>PLATA</v>
      </c>
      <c r="W570" s="5" t="str" cm="1">
        <f t="array" ref="W570">_xlfn.XLOOKUP(1, (HIST_SCORE!$B:$B=PARAMS_MODELO!$B$4) * (HIST_SCORE!$C:$C=A570), HIST_SCORE!$E:$E, "No encontrado")</f>
        <v>PLATA</v>
      </c>
      <c r="X570" s="5" t="str">
        <f>_xlfn.LET(_xlpm.act,MATCH(V570,{"DIAMANTE";"PLATINO";"ORO";"PLATA";"BRONCE";"CERRADO"},0),_xlpm.ant,MATCH(W570,{"DIAMANTE";"PLATINO";"ORO";"PLATA";"BRONCE";"CERRADO"},0),IF(_xlpm.act&lt;_xlpm.ant,"Mejora ↑",IF(_xlpm.act&gt;_xlpm.ant,"Baja ↓","Estable →")))</f>
        <v>Estable →</v>
      </c>
      <c r="Y570" s="5">
        <f>IFERROR(U570-SUMIFS(HIST_SCORE!$D:$D,HIST_SCORE!$B:$B,PARAMS_MODELO!$B$4,HIST_SCORE!$C:$C,$A570),"")</f>
        <v>-0.4987819547688872</v>
      </c>
      <c r="Z570" s="5" t="str">
        <f t="shared" si="197"/>
        <v>→ Estable</v>
      </c>
      <c r="AA570" s="5">
        <f t="shared" si="198"/>
        <v>669</v>
      </c>
      <c r="AB570" s="5">
        <f>IFERROR(SUMIFS(HIST_SCORE!$F:$F,HIST_SCORE!$B:$B,PARAMS_MODELO!$B$4,HIST_SCORE!$C:$C,$A570),"")</f>
        <v>677</v>
      </c>
      <c r="AC570" s="5">
        <f t="shared" si="199"/>
        <v>8</v>
      </c>
      <c r="AD570" t="str">
        <f t="shared" si="201"/>
        <v/>
      </c>
      <c r="AE5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570="CERRADO",1,IF(V570="BRONCE",_xlpm.cPl,IF(V570="PLATA",_xlpm.cO,IF(V570="ORO",_xlpm.cP,IF(V570="PLATINO",_xlpm.cD,999))))))</f>
        <v>63.199193273331495</v>
      </c>
      <c r="AF5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570="CERRADO",0,IF(V570="BRONCE",1,IF(V570="PLATA",_xlpm.cPl,IF(V570="ORO",_xlpm.cO,IF(V570="PLATINO",_xlpm.cP,_xlpm.cD))))))</f>
        <v>24.506573482968111</v>
      </c>
      <c r="AG570">
        <f t="shared" si="202"/>
        <v>7.743067989491891</v>
      </c>
      <c r="AH570" t="str">
        <f t="shared" si="203"/>
        <v>CLIENTE</v>
      </c>
      <c r="AI570" t="str">
        <f t="shared" si="200"/>
        <v>🎯 Para subir de categoría, la eje con mayor impacto probable es CLIENTE (coef T). Acción: reducir quejas, mejorar incógnito y empujar reseñas. ΔR aprox: 7,7</v>
      </c>
      <c r="AJ570" s="26">
        <f>_xlfn.LET(_xlpm.piso,AF570,_xlpm.corte,AE570,_xlpm.prog,IF(_xlpm.corte&lt;=_xlpm.piso,0,MAX(0,MIN(1,(U570-_xlpm.piso)/(_xlpm.corte-_xlpm.piso)))),_xlpm.orden,{"DIAMANTE";"PLATINO";"ORO";"PLATA";"BRONCE";"CERRADO"},_xlpm.act,IFERROR(MATCH(V570,_xlpm.orden,0),6),_xlpm.ant,IFERROR(MATCH(W570,_xlpm.orden,0),6),_xlpm.ajmov,IF(_xlpm.act&lt;_xlpm.ant,0.08,IF(_xlpm.act&gt;_xlpm.ant,-0.08,0)),_xlpm.ajcli,IF(T570&lt;0.95,-0.06,0),_xlpm.prob,MAX(0,MIN(1,_xlpm.prog+_xlpm.ajmov+_xlpm.ajcli)),IF(OR(V570="DIAMANTE",V570="CERRADO"),0,ROUND(_xlpm.prob,2)))</f>
        <v>0.8</v>
      </c>
      <c r="AK570" t="str">
        <f t="shared" si="204"/>
        <v>Faltan 7,7 puntos base para subir a la siguiente categoría</v>
      </c>
      <c r="AL570" t="str">
        <f t="shared" si="205"/>
        <v>Margen de seguridad: 33,3 puntos</v>
      </c>
      <c r="AM570">
        <f t="shared" si="206"/>
        <v>0.59</v>
      </c>
      <c r="AN570" t="str">
        <f t="shared" si="207"/>
        <v>PRIORIDAD MEDIA – seguimiento del asesor</v>
      </c>
      <c r="AO570">
        <f t="shared" si="208"/>
        <v>5.8485761679847004</v>
      </c>
      <c r="AP570">
        <f t="shared" si="209"/>
        <v>0.32617664403503371</v>
      </c>
      <c r="AQ570">
        <f t="shared" si="210"/>
        <v>0</v>
      </c>
      <c r="AR570">
        <f t="shared" si="211"/>
        <v>5.9499999999999993</v>
      </c>
      <c r="AS570">
        <f t="shared" si="212"/>
        <v>24.762448148865936</v>
      </c>
      <c r="AT570" t="str">
        <f t="shared" si="213"/>
        <v>CLIENTE</v>
      </c>
      <c r="AU570">
        <f t="shared" si="214"/>
        <v>24.762448148865936</v>
      </c>
      <c r="AV570" t="str">
        <f t="shared" si="215"/>
        <v>Mayor retorno probable: CLIENTE (+24,8 puntos finales potenciales).</v>
      </c>
    </row>
    <row r="571" spans="1:48" x14ac:dyDescent="0.3">
      <c r="A571" s="5">
        <v>51056621</v>
      </c>
      <c r="B571" s="5" t="str">
        <f>IFERROR(VLOOKUP(A571,VENTAS!$A$2:$B$1194,2,0),"")</f>
        <v>PRADES</v>
      </c>
      <c r="C571" s="5">
        <f>IFERROR(INDEX(VENTAS!$C$2:$E$1194,MATCH(A571,VENTAS!$A$2:$A$1194,0),MATCH(PARAMS_MODELO!$B$2,{"Q1","Q2","Q3"},0)),0)</f>
        <v>65502069.409999996</v>
      </c>
      <c r="D571" s="5">
        <f>IFERROR(INDEX(VENTAS!$F$2:$H$1194,MATCH(A571,VENTAS!$A$2:$A$1194,0),MATCH(PARAMS_MODELO!$B$2,{"Q1","Q2","Q3"},0)),0)</f>
        <v>70485365</v>
      </c>
      <c r="E571" s="8">
        <f t="shared" si="192"/>
        <v>7.6078445076411816E-2</v>
      </c>
      <c r="F571" s="12">
        <f>IF(E571&lt;=PARAMS_MODELO!$B$15,0,IF(E571&gt;=PARAMS_MODELO!$B$17,100,100*MIN(1,(E571-PARAMS_MODELO!$B$15)/(PARAMS_MODELO!$B$16-PARAMS_MODELO!$B$15))))*PARAMS_MODELO!$B$7</f>
        <v>26.627455776744132</v>
      </c>
      <c r="G571" s="5">
        <f t="shared" si="193"/>
        <v>4983295.5900000036</v>
      </c>
      <c r="H571" s="5">
        <f>(PARAMS_MODELO!$B$20*(MAX(0,MIN(3,E571))/3)+PARAMS_MODELO!$B$21*(IFERROR(LN(1+MAX(0,G571))/LN(1+MAX(0,MAX($G$2:$G$1194))),0)))*100*PARAMS_MODELO!$B$8</f>
        <v>3.8813134087420456</v>
      </c>
      <c r="I571" s="8">
        <f>E571-PARAMS_MODELO!$B$5</f>
        <v>-0.10148439029911471</v>
      </c>
      <c r="J571" s="5">
        <f>IF(I571&lt;=PARAMS_MODELO!$B$18,0,IF(I571&gt;=PARAMS_MODELO!$B$19,100,100*(I571-PARAMS_MODELO!$B$18)/(PARAMS_MODELO!$B$19-PARAMS_MODELO!$B$18)))*PARAMS_MODELO!$B$9</f>
        <v>0</v>
      </c>
      <c r="K571" s="5">
        <f>IFERROR(CHOOSE(MATCH(PARAMS_MODELO!$B$2,{"Q1","Q2","Q3"},0),LOTO!$D571,LOTO!$F571,LOTO!$H571),0)</f>
        <v>3412500</v>
      </c>
      <c r="L571" s="8">
        <f t="shared" si="194"/>
        <v>4.841430557960507E-2</v>
      </c>
      <c r="M571" s="5">
        <f>MIN(100,IF(PARAMS_MODELO!$B$23=0,0,100*L571/PARAMS_MODELO!$B$23))*PARAMS_MODELO!$B$10</f>
        <v>14.524291673881521</v>
      </c>
      <c r="N571" s="5">
        <f>IFERROR(VLOOKUP(A571,COMPLIANCE!$A$2:$F$1996,6,0),100)</f>
        <v>100</v>
      </c>
      <c r="O571" s="5">
        <f>N571*PARAMS_MODELO!$B$11</f>
        <v>10</v>
      </c>
      <c r="P571" s="5">
        <f>IFERROR(VLOOKUP(A571,DIGITAL!$A$2:$J$2000,7,0),100)</f>
        <v>23</v>
      </c>
      <c r="Q571" s="5">
        <f>IFERROR(P571,0)*PARAMS_MODELO!$B$12</f>
        <v>2.3000000000000003</v>
      </c>
      <c r="R571">
        <f t="shared" si="195"/>
        <v>57.333060859367691</v>
      </c>
      <c r="S571" s="5" t="str">
        <f>IFERROR(VLOOKUP(A571,CLIENTE!$A$2:$N$2000,13,0),1)</f>
        <v>Muy Bueno</v>
      </c>
      <c r="T571" s="5">
        <f>IFERROR(VLOOKUP(A571,CLIENTE!$A$2:$N$2000,14,0),1)</f>
        <v>1.1499999999999999</v>
      </c>
      <c r="U571" s="5">
        <f t="shared" si="196"/>
        <v>65.933019988272846</v>
      </c>
      <c r="V571" s="5" t="str">
        <f>IF(U571&gt;=MAX(_xlfn.PERCENTILE.INC($U$2:$U$1194,PARAMS_MODELO!$B$50),PARAMS_MODELO!$B$45),"DIAMANTE",IF(U571&gt;=MAX(_xlfn.PERCENTILE.INC($U$2:$U$1194,PARAMS_MODELO!$B$51),PARAMS_MODELO!$B$46),"PLATINO",IF(U571&gt;=MAX(_xlfn.PERCENTILE.INC($U$2:$U$1194,PARAMS_MODELO!$B$52),PARAMS_MODELO!$B$47),"ORO",IF(U571&gt;=MAX(_xlfn.PERCENTILE.INC($U$2:$U$1194,PARAMS_MODELO!$B$53),PARAMS_MODELO!$B$48),"PLATA",IF(U571&gt;=1,"BRONCE","CERRADO")))))</f>
        <v>ORO</v>
      </c>
      <c r="W571" s="5" t="str" cm="1">
        <f t="array" ref="W571">_xlfn.XLOOKUP(1, (HIST_SCORE!$B:$B=PARAMS_MODELO!$B$4) * (HIST_SCORE!$C:$C=A571), HIST_SCORE!$E:$E, "No encontrado")</f>
        <v>ORO</v>
      </c>
      <c r="X571" s="5" t="str">
        <f>_xlfn.LET(_xlpm.act,MATCH(V571,{"DIAMANTE";"PLATINO";"ORO";"PLATA";"BRONCE";"CERRADO"},0),_xlpm.ant,MATCH(W571,{"DIAMANTE";"PLATINO";"ORO";"PLATA";"BRONCE";"CERRADO"},0),IF(_xlpm.act&lt;_xlpm.ant,"Mejora ↑",IF(_xlpm.act&gt;_xlpm.ant,"Baja ↓","Estable →")))</f>
        <v>Estable →</v>
      </c>
      <c r="Y571" s="5">
        <f>IFERROR(U571-SUMIFS(HIST_SCORE!$D:$D,HIST_SCORE!$B:$B,PARAMS_MODELO!$B$4,HIST_SCORE!$C:$C,$A571),"")</f>
        <v>-15.878927039811131</v>
      </c>
      <c r="Z571" s="5" t="str">
        <f t="shared" si="197"/>
        <v>↓ Baja</v>
      </c>
      <c r="AA571" s="5">
        <f t="shared" si="198"/>
        <v>541</v>
      </c>
      <c r="AB571" s="5">
        <f>IFERROR(SUMIFS(HIST_SCORE!$F:$F,HIST_SCORE!$B:$B,PARAMS_MODELO!$B$4,HIST_SCORE!$C:$C,$A571),"")</f>
        <v>374</v>
      </c>
      <c r="AC571" s="5">
        <f t="shared" si="199"/>
        <v>-167</v>
      </c>
      <c r="AD571" t="str">
        <f t="shared" si="201"/>
        <v>Sostener base y reforzar mix</v>
      </c>
      <c r="AE5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571="CERRADO",1,IF(V571="BRONCE",_xlpm.cPl,IF(V571="PLATA",_xlpm.cO,IF(V571="ORO",_xlpm.cP,IF(V571="PLATINO",_xlpm.cD,999))))))</f>
        <v>86.439123873763251</v>
      </c>
      <c r="AF5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571="CERRADO",0,IF(V571="BRONCE",1,IF(V571="PLATA",_xlpm.cPl,IF(V571="ORO",_xlpm.cO,IF(V571="PLATINO",_xlpm.cP,_xlpm.cD))))))</f>
        <v>63.199193273331495</v>
      </c>
      <c r="AG571">
        <f t="shared" si="202"/>
        <v>17.831394683035143</v>
      </c>
      <c r="AH571" t="str">
        <f t="shared" si="203"/>
        <v>VENTAS</v>
      </c>
      <c r="AI571" t="str">
        <f t="shared" si="200"/>
        <v>🎯 Para subir de categoría, eje VENTAS / DIFERENCIAL vs LOTBA (J). Acción: metas semanales + activación comercial + seguimiento del asesor. ΔR aprox: 17,8</v>
      </c>
      <c r="AJ571" s="26">
        <f>_xlfn.LET(_xlpm.piso,AF571,_xlpm.corte,AE571,_xlpm.prog,IF(_xlpm.corte&lt;=_xlpm.piso,0,MAX(0,MIN(1,(U571-_xlpm.piso)/(_xlpm.corte-_xlpm.piso)))),_xlpm.orden,{"DIAMANTE";"PLATINO";"ORO";"PLATA";"BRONCE";"CERRADO"},_xlpm.act,IFERROR(MATCH(V571,_xlpm.orden,0),6),_xlpm.ant,IFERROR(MATCH(W571,_xlpm.orden,0),6),_xlpm.ajmov,IF(_xlpm.act&lt;_xlpm.ant,0.08,IF(_xlpm.act&gt;_xlpm.ant,-0.08,0)),_xlpm.ajcli,IF(T571&lt;0.95,-0.06,0),_xlpm.prob,MAX(0,MIN(1,_xlpm.prog+_xlpm.ajmov+_xlpm.ajcli)),IF(OR(V571="DIAMANTE",V571="CERRADO"),0,ROUND(_xlpm.prob,2)))</f>
        <v>0.12</v>
      </c>
      <c r="AK571" t="str">
        <f t="shared" si="204"/>
        <v>Faltan 17,8 puntos base para subir a la siguiente categoría</v>
      </c>
      <c r="AL571" t="str">
        <f t="shared" si="205"/>
        <v>Margen de seguridad: 2,7 puntos</v>
      </c>
      <c r="AM571">
        <f t="shared" si="206"/>
        <v>0.75</v>
      </c>
      <c r="AN571" t="str">
        <f t="shared" si="207"/>
        <v>PRIORIDAD ALTA – requiere intervención inmediata</v>
      </c>
      <c r="AO571">
        <f t="shared" si="208"/>
        <v>39.506870103280818</v>
      </c>
      <c r="AP571">
        <f t="shared" si="209"/>
        <v>0.54706457503625072</v>
      </c>
      <c r="AQ571">
        <f t="shared" si="210"/>
        <v>0</v>
      </c>
      <c r="AR571">
        <f t="shared" si="211"/>
        <v>8.8549999999999986</v>
      </c>
      <c r="AS571">
        <f t="shared" si="212"/>
        <v>0</v>
      </c>
      <c r="AT571" t="str">
        <f t="shared" si="213"/>
        <v>VENTAS</v>
      </c>
      <c r="AU571">
        <f t="shared" si="214"/>
        <v>39.506870103280818</v>
      </c>
      <c r="AV571" t="str">
        <f t="shared" si="215"/>
        <v>Mayor retorno probable: VENTAS (+39,5 puntos finales potenciales).</v>
      </c>
    </row>
    <row r="572" spans="1:48" x14ac:dyDescent="0.3">
      <c r="A572" s="5">
        <v>51018524</v>
      </c>
      <c r="B572" s="5" t="str">
        <f>IFERROR(VLOOKUP(A572,VENTAS!$A$2:$B$1194,2,0),"")</f>
        <v>CICHETTO</v>
      </c>
      <c r="C572" s="5">
        <f>IFERROR(INDEX(VENTAS!$C$2:$E$1194,MATCH(A572,VENTAS!$A$2:$A$1194,0),MATCH(PARAMS_MODELO!$B$2,{"Q1","Q2","Q3"},0)),0)</f>
        <v>57602242.439999998</v>
      </c>
      <c r="D572" s="5">
        <f>IFERROR(INDEX(VENTAS!$F$2:$H$1194,MATCH(A572,VENTAS!$A$2:$A$1194,0),MATCH(PARAMS_MODELO!$B$2,{"Q1","Q2","Q3"},0)),0)</f>
        <v>70417291</v>
      </c>
      <c r="E572" s="8">
        <f t="shared" si="192"/>
        <v>0.22247482072158031</v>
      </c>
      <c r="F572" s="12">
        <f>IF(E572&lt;=PARAMS_MODELO!$B$15,0,IF(E572&gt;=PARAMS_MODELO!$B$17,100,100*MIN(1,(E572-PARAMS_MODELO!$B$15)/(PARAMS_MODELO!$B$16-PARAMS_MODELO!$B$15))))*PARAMS_MODELO!$B$7</f>
        <v>35</v>
      </c>
      <c r="G572" s="5">
        <f t="shared" si="193"/>
        <v>12815048.560000002</v>
      </c>
      <c r="H572" s="5">
        <f>(PARAMS_MODELO!$B$20*(MAX(0,MIN(3,E572))/3)+PARAMS_MODELO!$B$21*(IFERROR(LN(1+MAX(0,G572))/LN(1+MAX(0,MAX($G$2:$G$1194))),0)))*100*PARAMS_MODELO!$B$8</f>
        <v>4.6151114110956621</v>
      </c>
      <c r="I572" s="8">
        <f>E572-PARAMS_MODELO!$B$5</f>
        <v>4.4911985346053784E-2</v>
      </c>
      <c r="J572" s="5">
        <f>IF(I572&lt;=PARAMS_MODELO!$B$18,0,IF(I572&gt;=PARAMS_MODELO!$B$19,100,100*(I572-PARAMS_MODELO!$B$18)/(PARAMS_MODELO!$B$19-PARAMS_MODELO!$B$18)))*PARAMS_MODELO!$B$9</f>
        <v>14.236797801908066</v>
      </c>
      <c r="K572" s="5">
        <f>IFERROR(CHOOSE(MATCH(PARAMS_MODELO!$B$2,{"Q1","Q2","Q3"},0),LOTO!$D572,LOTO!$F572,LOTO!$H572),0)</f>
        <v>3412500</v>
      </c>
      <c r="L572" s="8">
        <f t="shared" si="194"/>
        <v>4.8461108792157315E-2</v>
      </c>
      <c r="M572" s="5">
        <f>MIN(100,IF(PARAMS_MODELO!$B$23=0,0,100*L572/PARAMS_MODELO!$B$23))*PARAMS_MODELO!$B$10</f>
        <v>14.538332637647192</v>
      </c>
      <c r="N572" s="5">
        <f>IFERROR(VLOOKUP(A572,COMPLIANCE!$A$2:$F$1996,6,0),100)</f>
        <v>100</v>
      </c>
      <c r="O572" s="5">
        <f>N572*PARAMS_MODELO!$B$11</f>
        <v>10</v>
      </c>
      <c r="P572" s="5">
        <f>IFERROR(VLOOKUP(A572,DIGITAL!$A$2:$J$2000,7,0),100)</f>
        <v>85</v>
      </c>
      <c r="Q572" s="5">
        <f>IFERROR(P572,0)*PARAMS_MODELO!$B$12</f>
        <v>8.5</v>
      </c>
      <c r="R572">
        <f t="shared" si="195"/>
        <v>86.890241850650924</v>
      </c>
      <c r="S572" s="5" t="str">
        <f>IFERROR(VLOOKUP(A572,CLIENTE!$A$2:$N$2000,13,0),1)</f>
        <v>Regular</v>
      </c>
      <c r="T572" s="5">
        <f>IFERROR(VLOOKUP(A572,CLIENTE!$A$2:$N$2000,14,0),1)</f>
        <v>1</v>
      </c>
      <c r="U572" s="5">
        <f t="shared" si="196"/>
        <v>86.890241850650924</v>
      </c>
      <c r="V572" s="5" t="str">
        <f>IF(U572&gt;=MAX(_xlfn.PERCENTILE.INC($U$2:$U$1194,PARAMS_MODELO!$B$50),PARAMS_MODELO!$B$45),"DIAMANTE",IF(U572&gt;=MAX(_xlfn.PERCENTILE.INC($U$2:$U$1194,PARAMS_MODELO!$B$51),PARAMS_MODELO!$B$46),"PLATINO",IF(U572&gt;=MAX(_xlfn.PERCENTILE.INC($U$2:$U$1194,PARAMS_MODELO!$B$52),PARAMS_MODELO!$B$47),"ORO",IF(U572&gt;=MAX(_xlfn.PERCENTILE.INC($U$2:$U$1194,PARAMS_MODELO!$B$53),PARAMS_MODELO!$B$48),"PLATA",IF(U572&gt;=1,"BRONCE","CERRADO")))))</f>
        <v>PLATINO</v>
      </c>
      <c r="W572" s="5" t="str" cm="1">
        <f t="array" ref="W572">_xlfn.XLOOKUP(1, (HIST_SCORE!$B:$B=PARAMS_MODELO!$B$4) * (HIST_SCORE!$C:$C=A572), HIST_SCORE!$E:$E, "No encontrado")</f>
        <v>PLATINO</v>
      </c>
      <c r="X572" s="5" t="str">
        <f>_xlfn.LET(_xlpm.act,MATCH(V572,{"DIAMANTE";"PLATINO";"ORO";"PLATA";"BRONCE";"CERRADO"},0),_xlpm.ant,MATCH(W572,{"DIAMANTE";"PLATINO";"ORO";"PLATA";"BRONCE";"CERRADO"},0),IF(_xlpm.act&lt;_xlpm.ant,"Mejora ↑",IF(_xlpm.act&gt;_xlpm.ant,"Baja ↓","Estable →")))</f>
        <v>Estable →</v>
      </c>
      <c r="Y572" s="5">
        <f>IFERROR(U572-SUMIFS(HIST_SCORE!$D:$D,HIST_SCORE!$B:$B,PARAMS_MODELO!$B$4,HIST_SCORE!$C:$C,$A572),"")</f>
        <v>-0.15368922819956765</v>
      </c>
      <c r="Z572" s="5" t="str">
        <f t="shared" si="197"/>
        <v>→ Estable</v>
      </c>
      <c r="AA572" s="5">
        <f t="shared" si="198"/>
        <v>227</v>
      </c>
      <c r="AB572" s="5">
        <f>IFERROR(SUMIFS(HIST_SCORE!$F:$F,HIST_SCORE!$B:$B,PARAMS_MODELO!$B$4,HIST_SCORE!$C:$C,$A572),"")</f>
        <v>200</v>
      </c>
      <c r="AC572" s="5">
        <f t="shared" si="199"/>
        <v>-27</v>
      </c>
      <c r="AD572" t="str">
        <f t="shared" si="201"/>
        <v/>
      </c>
      <c r="AE5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572="CERRADO",1,IF(V572="BRONCE",_xlpm.cPl,IF(V572="PLATA",_xlpm.cO,IF(V572="ORO",_xlpm.cP,IF(V572="PLATINO",_xlpm.cD,999))))))</f>
        <v>96.054919694466676</v>
      </c>
      <c r="AF5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572="CERRADO",0,IF(V572="BRONCE",1,IF(V572="PLATA",_xlpm.cPl,IF(V572="ORO",_xlpm.cO,IF(V572="PLATINO",_xlpm.cP,_xlpm.cD))))))</f>
        <v>86.439123873763251</v>
      </c>
      <c r="AG572">
        <f t="shared" si="202"/>
        <v>9.1646778438157526</v>
      </c>
      <c r="AH572" t="str">
        <f t="shared" si="203"/>
        <v>VENTAS</v>
      </c>
      <c r="AI572" t="str">
        <f t="shared" si="200"/>
        <v>🎯 Para subir de categoría, eje VENTAS / IMPACTO ABSOLUTO (H). Acción: metas semanales + activación comercial + seguimiento del asesor. ΔR aprox: 9,2</v>
      </c>
      <c r="AJ572" s="26">
        <f>_xlfn.LET(_xlpm.piso,AF572,_xlpm.corte,AE572,_xlpm.prog,IF(_xlpm.corte&lt;=_xlpm.piso,0,MAX(0,MIN(1,(U572-_xlpm.piso)/(_xlpm.corte-_xlpm.piso)))),_xlpm.orden,{"DIAMANTE";"PLATINO";"ORO";"PLATA";"BRONCE";"CERRADO"},_xlpm.act,IFERROR(MATCH(V572,_xlpm.orden,0),6),_xlpm.ant,IFERROR(MATCH(W572,_xlpm.orden,0),6),_xlpm.ajmov,IF(_xlpm.act&lt;_xlpm.ant,0.08,IF(_xlpm.act&gt;_xlpm.ant,-0.08,0)),_xlpm.ajcli,IF(T572&lt;0.95,-0.06,0),_xlpm.prob,MAX(0,MIN(1,_xlpm.prog+_xlpm.ajmov+_xlpm.ajcli)),IF(OR(V572="DIAMANTE",V572="CERRADO"),0,ROUND(_xlpm.prob,2)))</f>
        <v>0.05</v>
      </c>
      <c r="AK572" t="str">
        <f t="shared" si="204"/>
        <v>Faltan 9,2 puntos base para subir a la siguiente categoría</v>
      </c>
      <c r="AL572" t="str">
        <f t="shared" si="205"/>
        <v>Margen de seguridad: 0,5 puntos</v>
      </c>
      <c r="AM572">
        <f t="shared" si="206"/>
        <v>0.75</v>
      </c>
      <c r="AN572" t="str">
        <f t="shared" si="207"/>
        <v>PRIORIDAD ALTA – requiere intervención inmediata</v>
      </c>
      <c r="AO572">
        <f t="shared" si="208"/>
        <v>11.010660062291855</v>
      </c>
      <c r="AP572">
        <f t="shared" si="209"/>
        <v>0.46166736235280759</v>
      </c>
      <c r="AQ572">
        <f t="shared" si="210"/>
        <v>0</v>
      </c>
      <c r="AR572">
        <f t="shared" si="211"/>
        <v>1.5</v>
      </c>
      <c r="AS572">
        <f t="shared" si="212"/>
        <v>0</v>
      </c>
      <c r="AT572" t="str">
        <f t="shared" si="213"/>
        <v>VENTAS</v>
      </c>
      <c r="AU572">
        <f t="shared" si="214"/>
        <v>11.010660062291855</v>
      </c>
      <c r="AV572" t="str">
        <f t="shared" si="215"/>
        <v>Mayor retorno probable: VENTAS (+11,0 puntos finales potenciales).</v>
      </c>
    </row>
    <row r="573" spans="1:48" x14ac:dyDescent="0.3">
      <c r="A573" s="5">
        <v>51056701</v>
      </c>
      <c r="B573" s="5" t="str">
        <f>IFERROR(VLOOKUP(A573,VENTAS!$A$2:$B$1194,2,0),"")</f>
        <v>CICHETTO</v>
      </c>
      <c r="C573" s="5">
        <f>IFERROR(INDEX(VENTAS!$C$2:$E$1194,MATCH(A573,VENTAS!$A$2:$A$1194,0),MATCH(PARAMS_MODELO!$B$2,{"Q1","Q2","Q3"},0)),0)</f>
        <v>53907565.039999999</v>
      </c>
      <c r="D573" s="5">
        <f>IFERROR(INDEX(VENTAS!$F$2:$H$1194,MATCH(A573,VENTAS!$A$2:$A$1194,0),MATCH(PARAMS_MODELO!$B$2,{"Q1","Q2","Q3"},0)),0)</f>
        <v>70309771</v>
      </c>
      <c r="E573" s="8">
        <f t="shared" si="192"/>
        <v>0.30426538367721467</v>
      </c>
      <c r="F573" s="12">
        <f>IF(E573&lt;=PARAMS_MODELO!$B$15,0,IF(E573&gt;=PARAMS_MODELO!$B$17,100,100*MIN(1,(E573-PARAMS_MODELO!$B$15)/(PARAMS_MODELO!$B$16-PARAMS_MODELO!$B$15))))*PARAMS_MODELO!$B$7</f>
        <v>35</v>
      </c>
      <c r="G573" s="5">
        <f t="shared" si="193"/>
        <v>16402205.960000001</v>
      </c>
      <c r="H573" s="5">
        <f>(PARAMS_MODELO!$B$20*(MAX(0,MIN(3,E573))/3)+PARAMS_MODELO!$B$21*(IFERROR(LN(1+MAX(0,G573))/LN(1+MAX(0,MAX($G$2:$G$1194))),0)))*100*PARAMS_MODELO!$B$8</f>
        <v>4.9592307317762963</v>
      </c>
      <c r="I573" s="8">
        <f>E573-PARAMS_MODELO!$B$5</f>
        <v>0.12670254830168814</v>
      </c>
      <c r="J573" s="5">
        <f>IF(I573&lt;=PARAMS_MODELO!$B$18,0,IF(I573&gt;=PARAMS_MODELO!$B$19,100,100*(I573-PARAMS_MODELO!$B$18)/(PARAMS_MODELO!$B$19-PARAMS_MODELO!$B$18)))*PARAMS_MODELO!$B$9</f>
        <v>15</v>
      </c>
      <c r="K573" s="5">
        <f>IFERROR(CHOOSE(MATCH(PARAMS_MODELO!$B$2,{"Q1","Q2","Q3"},0),LOTO!$D573,LOTO!$F573,LOTO!$H573),0)</f>
        <v>3407500</v>
      </c>
      <c r="L573" s="8">
        <f t="shared" si="194"/>
        <v>4.8464103232536485E-2</v>
      </c>
      <c r="M573" s="5">
        <f>MIN(100,IF(PARAMS_MODELO!$B$23=0,0,100*L573/PARAMS_MODELO!$B$23))*PARAMS_MODELO!$B$10</f>
        <v>14.539230969760943</v>
      </c>
      <c r="N573" s="5">
        <f>IFERROR(VLOOKUP(A573,COMPLIANCE!$A$2:$F$1996,6,0),100)</f>
        <v>100</v>
      </c>
      <c r="O573" s="5">
        <f>N573*PARAMS_MODELO!$B$11</f>
        <v>10</v>
      </c>
      <c r="P573" s="5">
        <f>IFERROR(VLOOKUP(A573,DIGITAL!$A$2:$J$2000,7,0),100)</f>
        <v>38</v>
      </c>
      <c r="Q573" s="5">
        <f>IFERROR(P573,0)*PARAMS_MODELO!$B$12</f>
        <v>3.8000000000000003</v>
      </c>
      <c r="R573">
        <f t="shared" si="195"/>
        <v>83.298461701537235</v>
      </c>
      <c r="S573" s="5" t="str">
        <f>IFERROR(VLOOKUP(A573,CLIENTE!$A$2:$N$2000,13,0),1)</f>
        <v>Malo</v>
      </c>
      <c r="T573" s="5">
        <f>IFERROR(VLOOKUP(A573,CLIENTE!$A$2:$N$2000,14,0),1)</f>
        <v>0.7</v>
      </c>
      <c r="U573" s="5">
        <f t="shared" si="196"/>
        <v>58.308923191076062</v>
      </c>
      <c r="V573" s="5" t="str">
        <f>IF(U573&gt;=MAX(_xlfn.PERCENTILE.INC($U$2:$U$1194,PARAMS_MODELO!$B$50),PARAMS_MODELO!$B$45),"DIAMANTE",IF(U573&gt;=MAX(_xlfn.PERCENTILE.INC($U$2:$U$1194,PARAMS_MODELO!$B$51),PARAMS_MODELO!$B$46),"PLATINO",IF(U573&gt;=MAX(_xlfn.PERCENTILE.INC($U$2:$U$1194,PARAMS_MODELO!$B$52),PARAMS_MODELO!$B$47),"ORO",IF(U573&gt;=MAX(_xlfn.PERCENTILE.INC($U$2:$U$1194,PARAMS_MODELO!$B$53),PARAMS_MODELO!$B$48),"PLATA",IF(U573&gt;=1,"BRONCE","CERRADO")))))</f>
        <v>PLATA</v>
      </c>
      <c r="W573" s="5" t="str" cm="1">
        <f t="array" ref="W573">_xlfn.XLOOKUP(1, (HIST_SCORE!$B:$B=PARAMS_MODELO!$B$4) * (HIST_SCORE!$C:$C=A573), HIST_SCORE!$E:$E, "No encontrado")</f>
        <v>PLATA</v>
      </c>
      <c r="X573" s="5" t="str">
        <f>_xlfn.LET(_xlpm.act,MATCH(V573,{"DIAMANTE";"PLATINO";"ORO";"PLATA";"BRONCE";"CERRADO"},0),_xlpm.ant,MATCH(W573,{"DIAMANTE";"PLATINO";"ORO";"PLATA";"BRONCE";"CERRADO"},0),IF(_xlpm.act&lt;_xlpm.ant,"Mejora ↑",IF(_xlpm.act&gt;_xlpm.ant,"Baja ↓","Estable →")))</f>
        <v>Estable →</v>
      </c>
      <c r="Y573" s="5">
        <f>IFERROR(U573-SUMIFS(HIST_SCORE!$D:$D,HIST_SCORE!$B:$B,PARAMS_MODELO!$B$4,HIST_SCORE!$C:$C,$A573),"")</f>
        <v>10.626306521800565</v>
      </c>
      <c r="Z573" s="5" t="str">
        <f t="shared" si="197"/>
        <v>↑ Mejora</v>
      </c>
      <c r="AA573" s="5">
        <f t="shared" si="198"/>
        <v>650</v>
      </c>
      <c r="AB573" s="5">
        <f>IFERROR(SUMIFS(HIST_SCORE!$F:$F,HIST_SCORE!$B:$B,PARAMS_MODELO!$B$4,HIST_SCORE!$C:$C,$A573),"")</f>
        <v>794</v>
      </c>
      <c r="AC573" s="5">
        <f t="shared" si="199"/>
        <v>144</v>
      </c>
      <c r="AD573" t="str">
        <f t="shared" si="201"/>
        <v/>
      </c>
      <c r="AE5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573="CERRADO",1,IF(V573="BRONCE",_xlpm.cPl,IF(V573="PLATA",_xlpm.cO,IF(V573="ORO",_xlpm.cP,IF(V573="PLATINO",_xlpm.cD,999))))))</f>
        <v>63.199193273331495</v>
      </c>
      <c r="AF5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573="CERRADO",0,IF(V573="BRONCE",1,IF(V573="PLATA",_xlpm.cPl,IF(V573="ORO",_xlpm.cO,IF(V573="PLATINO",_xlpm.cP,_xlpm.cD))))))</f>
        <v>24.506573482968111</v>
      </c>
      <c r="AG573">
        <f t="shared" si="202"/>
        <v>6.9861001175077604</v>
      </c>
      <c r="AH573" t="str">
        <f t="shared" si="203"/>
        <v>CLIENTE</v>
      </c>
      <c r="AI573" t="str">
        <f t="shared" si="200"/>
        <v>🎯 Para subir de categoría, la eje con mayor impacto probable es CLIENTE (coef T). Acción: reducir quejas, mejorar incógnito y empujar reseñas. ΔR aprox: 7,0</v>
      </c>
      <c r="AJ573" s="26">
        <f>_xlfn.LET(_xlpm.piso,AF573,_xlpm.corte,AE573,_xlpm.prog,IF(_xlpm.corte&lt;=_xlpm.piso,0,MAX(0,MIN(1,(U573-_xlpm.piso)/(_xlpm.corte-_xlpm.piso)))),_xlpm.orden,{"DIAMANTE";"PLATINO";"ORO";"PLATA";"BRONCE";"CERRADO"},_xlpm.act,IFERROR(MATCH(V573,_xlpm.orden,0),6),_xlpm.ant,IFERROR(MATCH(W573,_xlpm.orden,0),6),_xlpm.ajmov,IF(_xlpm.act&lt;_xlpm.ant,0.08,IF(_xlpm.act&gt;_xlpm.ant,-0.08,0)),_xlpm.ajcli,IF(T573&lt;0.95,-0.06,0),_xlpm.prob,MAX(0,MIN(1,_xlpm.prog+_xlpm.ajmov+_xlpm.ajcli)),IF(OR(V573="DIAMANTE",V573="CERRADO"),0,ROUND(_xlpm.prob,2)))</f>
        <v>0.81</v>
      </c>
      <c r="AK573" t="str">
        <f t="shared" si="204"/>
        <v>Faltan 7,0 puntos base para subir a la siguiente categoría</v>
      </c>
      <c r="AL573" t="str">
        <f t="shared" si="205"/>
        <v>Margen de seguridad: 33,8 puntos</v>
      </c>
      <c r="AM573">
        <f t="shared" si="206"/>
        <v>0.56000000000000005</v>
      </c>
      <c r="AN573" t="str">
        <f t="shared" si="207"/>
        <v>PRIORIDAD MEDIA – seguimiento del asesor</v>
      </c>
      <c r="AO573">
        <f t="shared" si="208"/>
        <v>6.9323369804635027</v>
      </c>
      <c r="AP573">
        <f t="shared" si="209"/>
        <v>0.3225383211673396</v>
      </c>
      <c r="AQ573">
        <f t="shared" si="210"/>
        <v>0</v>
      </c>
      <c r="AR573">
        <f t="shared" si="211"/>
        <v>4.339999999999999</v>
      </c>
      <c r="AS573">
        <f t="shared" si="212"/>
        <v>24.989538510461173</v>
      </c>
      <c r="AT573" t="str">
        <f t="shared" si="213"/>
        <v>CLIENTE</v>
      </c>
      <c r="AU573">
        <f t="shared" si="214"/>
        <v>24.989538510461173</v>
      </c>
      <c r="AV573" t="str">
        <f t="shared" si="215"/>
        <v>Mayor retorno probable: CLIENTE (+25,0 puntos finales potenciales).</v>
      </c>
    </row>
    <row r="574" spans="1:48" x14ac:dyDescent="0.3">
      <c r="A574" s="5">
        <v>51057007</v>
      </c>
      <c r="B574" s="5" t="str">
        <f>IFERROR(VLOOKUP(A574,VENTAS!$A$2:$B$1194,2,0),"")</f>
        <v>MONTENEGRO</v>
      </c>
      <c r="C574" s="5">
        <f>IFERROR(INDEX(VENTAS!$C$2:$E$1194,MATCH(A574,VENTAS!$A$2:$A$1194,0),MATCH(PARAMS_MODELO!$B$2,{"Q1","Q2","Q3"},0)),0)</f>
        <v>82488094.870000005</v>
      </c>
      <c r="D574" s="5">
        <f>IFERROR(INDEX(VENTAS!$F$2:$H$1194,MATCH(A574,VENTAS!$A$2:$A$1194,0),MATCH(PARAMS_MODELO!$B$2,{"Q1","Q2","Q3"},0)),0)</f>
        <v>70291276</v>
      </c>
      <c r="E574" s="8">
        <f t="shared" si="192"/>
        <v>-0.14786156583228172</v>
      </c>
      <c r="F574" s="12">
        <f>IF(E574&lt;=PARAMS_MODELO!$B$15,0,IF(E574&gt;=PARAMS_MODELO!$B$17,100,100*MIN(1,(E574-PARAMS_MODELO!$B$15)/(PARAMS_MODELO!$B$16-PARAMS_MODELO!$B$15))))*PARAMS_MODELO!$B$7</f>
        <v>0</v>
      </c>
      <c r="G574" s="5">
        <f t="shared" si="193"/>
        <v>0</v>
      </c>
      <c r="H574" s="5">
        <f>(PARAMS_MODELO!$B$20*(MAX(0,MIN(3,E574))/3)+PARAMS_MODELO!$B$21*(IFERROR(LN(1+MAX(0,G574))/LN(1+MAX(0,MAX($G$2:$G$1194))),0)))*100*PARAMS_MODELO!$B$8</f>
        <v>0</v>
      </c>
      <c r="I574" s="8">
        <f>E574-PARAMS_MODELO!$B$5</f>
        <v>-0.32542440120780824</v>
      </c>
      <c r="J574" s="5">
        <f>IF(I574&lt;=PARAMS_MODELO!$B$18,0,IF(I574&gt;=PARAMS_MODELO!$B$19,100,100*(I574-PARAMS_MODELO!$B$18)/(PARAMS_MODELO!$B$19-PARAMS_MODELO!$B$18)))*PARAMS_MODELO!$B$9</f>
        <v>0</v>
      </c>
      <c r="K574" s="5">
        <f>IFERROR(CHOOSE(MATCH(PARAMS_MODELO!$B$2,{"Q1","Q2","Q3"},0),LOTO!$D574,LOTO!$F574,LOTO!$H574),0)</f>
        <v>3405000</v>
      </c>
      <c r="L574" s="8">
        <f t="shared" si="194"/>
        <v>4.844128878809939E-2</v>
      </c>
      <c r="M574" s="5">
        <f>MIN(100,IF(PARAMS_MODELO!$B$23=0,0,100*L574/PARAMS_MODELO!$B$23))*PARAMS_MODELO!$B$10</f>
        <v>14.532386636429814</v>
      </c>
      <c r="N574" s="5">
        <f>IFERROR(VLOOKUP(A574,COMPLIANCE!$A$2:$F$1996,6,0),100)</f>
        <v>99.7</v>
      </c>
      <c r="O574" s="5">
        <f>N574*PARAMS_MODELO!$B$11</f>
        <v>9.9700000000000006</v>
      </c>
      <c r="P574" s="5">
        <f>IFERROR(VLOOKUP(A574,DIGITAL!$A$2:$J$2000,7,0),100)</f>
        <v>76</v>
      </c>
      <c r="Q574" s="5">
        <f>IFERROR(P574,0)*PARAMS_MODELO!$B$12</f>
        <v>7.6000000000000005</v>
      </c>
      <c r="R574">
        <f t="shared" si="195"/>
        <v>32.102386636429813</v>
      </c>
      <c r="S574" s="5" t="str">
        <f>IFERROR(VLOOKUP(A574,CLIENTE!$A$2:$N$2000,13,0),1)</f>
        <v>Malo</v>
      </c>
      <c r="T574" s="5">
        <f>IFERROR(VLOOKUP(A574,CLIENTE!$A$2:$N$2000,14,0),1)</f>
        <v>0.7</v>
      </c>
      <c r="U574" s="5">
        <f t="shared" si="196"/>
        <v>22.471670645500868</v>
      </c>
      <c r="V574" s="5" t="str">
        <f>IF(U574&gt;=MAX(_xlfn.PERCENTILE.INC($U$2:$U$1194,PARAMS_MODELO!$B$50),PARAMS_MODELO!$B$45),"DIAMANTE",IF(U574&gt;=MAX(_xlfn.PERCENTILE.INC($U$2:$U$1194,PARAMS_MODELO!$B$51),PARAMS_MODELO!$B$46),"PLATINO",IF(U574&gt;=MAX(_xlfn.PERCENTILE.INC($U$2:$U$1194,PARAMS_MODELO!$B$52),PARAMS_MODELO!$B$47),"ORO",IF(U574&gt;=MAX(_xlfn.PERCENTILE.INC($U$2:$U$1194,PARAMS_MODELO!$B$53),PARAMS_MODELO!$B$48),"PLATA",IF(U574&gt;=1,"BRONCE","CERRADO")))))</f>
        <v>BRONCE</v>
      </c>
      <c r="W574" s="5" t="str" cm="1">
        <f t="array" ref="W574">_xlfn.XLOOKUP(1, (HIST_SCORE!$B:$B=PARAMS_MODELO!$B$4) * (HIST_SCORE!$C:$C=A574), HIST_SCORE!$E:$E, "No encontrado")</f>
        <v>PLATA</v>
      </c>
      <c r="X574" s="5" t="str">
        <f>_xlfn.LET(_xlpm.act,MATCH(V574,{"DIAMANTE";"PLATINO";"ORO";"PLATA";"BRONCE";"CERRADO"},0),_xlpm.ant,MATCH(W574,{"DIAMANTE";"PLATINO";"ORO";"PLATA";"BRONCE";"CERRADO"},0),IF(_xlpm.act&lt;_xlpm.ant,"Mejora ↑",IF(_xlpm.act&gt;_xlpm.ant,"Baja ↓","Estable →")))</f>
        <v>Baja ↓</v>
      </c>
      <c r="Y574" s="5">
        <f>IFERROR(U574-SUMIFS(HIST_SCORE!$D:$D,HIST_SCORE!$B:$B,PARAMS_MODELO!$B$4,HIST_SCORE!$C:$C,$A574),"")</f>
        <v>-28.18045527743271</v>
      </c>
      <c r="Z574" s="5" t="str">
        <f t="shared" si="197"/>
        <v>↓ Baja</v>
      </c>
      <c r="AA574" s="5">
        <f t="shared" si="198"/>
        <v>944</v>
      </c>
      <c r="AB574" s="5">
        <f>IFERROR(SUMIFS(HIST_SCORE!$F:$F,HIST_SCORE!$B:$B,PARAMS_MODELO!$B$4,HIST_SCORE!$C:$C,$A574),"")</f>
        <v>765</v>
      </c>
      <c r="AC574" s="5">
        <f t="shared" si="199"/>
        <v>-179</v>
      </c>
      <c r="AD574" t="str">
        <f t="shared" si="201"/>
        <v>Plan de recuperación: foco crecimiento + mix</v>
      </c>
      <c r="AE5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574="CERRADO",1,IF(V574="BRONCE",_xlpm.cPl,IF(V574="PLATA",_xlpm.cO,IF(V574="ORO",_xlpm.cP,IF(V574="PLATINO",_xlpm.cD,999))))))</f>
        <v>24.506573482968111</v>
      </c>
      <c r="AF5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574="CERRADO",0,IF(V574="BRONCE",1,IF(V574="PLATA",_xlpm.cPl,IF(V574="ORO",_xlpm.cO,IF(V574="PLATINO",_xlpm.cP,_xlpm.cD))))))</f>
        <v>1</v>
      </c>
      <c r="AG574">
        <f t="shared" si="202"/>
        <v>2.9070040535246306</v>
      </c>
      <c r="AH574" t="str">
        <f t="shared" si="203"/>
        <v>CLIENTE</v>
      </c>
      <c r="AI574" t="str">
        <f t="shared" si="200"/>
        <v>🎯 Para subir de categoría, la eje con mayor impacto probable es CLIENTE (coef T). Acción: reducir quejas, mejorar incógnito y empujar reseñas. ΔR aprox: 2,9</v>
      </c>
      <c r="AJ574" s="26">
        <f>_xlfn.LET(_xlpm.piso,AF574,_xlpm.corte,AE574,_xlpm.prog,IF(_xlpm.corte&lt;=_xlpm.piso,0,MAX(0,MIN(1,(U574-_xlpm.piso)/(_xlpm.corte-_xlpm.piso)))),_xlpm.orden,{"DIAMANTE";"PLATINO";"ORO";"PLATA";"BRONCE";"CERRADO"},_xlpm.act,IFERROR(MATCH(V574,_xlpm.orden,0),6),_xlpm.ant,IFERROR(MATCH(W574,_xlpm.orden,0),6),_xlpm.ajmov,IF(_xlpm.act&lt;_xlpm.ant,0.08,IF(_xlpm.act&gt;_xlpm.ant,-0.08,0)),_xlpm.ajcli,IF(T574&lt;0.95,-0.06,0),_xlpm.prob,MAX(0,MIN(1,_xlpm.prog+_xlpm.ajmov+_xlpm.ajcli)),IF(OR(V574="DIAMANTE",V574="CERRADO"),0,ROUND(_xlpm.prob,2)))</f>
        <v>0.77</v>
      </c>
      <c r="AK574" t="str">
        <f t="shared" si="204"/>
        <v>Faltan 2,9 puntos base para subir a la siguiente categoría</v>
      </c>
      <c r="AL574" t="str">
        <f t="shared" si="205"/>
        <v>No aplica</v>
      </c>
      <c r="AM574">
        <f t="shared" si="206"/>
        <v>0.41</v>
      </c>
      <c r="AN574" t="str">
        <f t="shared" si="207"/>
        <v>PRIORIDAD MEDIA – seguimiento del asesor</v>
      </c>
      <c r="AO574">
        <f t="shared" si="208"/>
        <v>45.403798492706905</v>
      </c>
      <c r="AP574">
        <f t="shared" si="209"/>
        <v>0.32732935449912987</v>
      </c>
      <c r="AQ574">
        <f t="shared" si="210"/>
        <v>2.099999999999955E-2</v>
      </c>
      <c r="AR574">
        <f t="shared" si="211"/>
        <v>1.6799999999999995</v>
      </c>
      <c r="AS574">
        <f t="shared" si="212"/>
        <v>9.6307159909289446</v>
      </c>
      <c r="AT574" t="str">
        <f t="shared" si="213"/>
        <v>VENTAS</v>
      </c>
      <c r="AU574">
        <f t="shared" si="214"/>
        <v>45.403798492706905</v>
      </c>
      <c r="AV574" t="str">
        <f t="shared" si="215"/>
        <v>Mayor retorno probable: VENTAS (+45,4 puntos finales potenciales).</v>
      </c>
    </row>
    <row r="575" spans="1:48" x14ac:dyDescent="0.3">
      <c r="A575" s="5">
        <v>51011091</v>
      </c>
      <c r="B575" s="5" t="str">
        <f>IFERROR(VLOOKUP(A575,VENTAS!$A$2:$B$1194,2,0),"")</f>
        <v>METTLER</v>
      </c>
      <c r="C575" s="5">
        <f>IFERROR(INDEX(VENTAS!$C$2:$E$1194,MATCH(A575,VENTAS!$A$2:$A$1194,0),MATCH(PARAMS_MODELO!$B$2,{"Q1","Q2","Q3"},0)),0)</f>
        <v>52126135.869999997</v>
      </c>
      <c r="D575" s="5">
        <f>IFERROR(INDEX(VENTAS!$F$2:$H$1194,MATCH(A575,VENTAS!$A$2:$A$1194,0),MATCH(PARAMS_MODELO!$B$2,{"Q1","Q2","Q3"},0)),0)</f>
        <v>70258490</v>
      </c>
      <c r="E575" s="8">
        <f t="shared" si="192"/>
        <v>0.34785532875909309</v>
      </c>
      <c r="F575" s="12">
        <f>IF(E575&lt;=PARAMS_MODELO!$B$15,0,IF(E575&gt;=PARAMS_MODELO!$B$17,100,100*MIN(1,(E575-PARAMS_MODELO!$B$15)/(PARAMS_MODELO!$B$16-PARAMS_MODELO!$B$15))))*PARAMS_MODELO!$B$7</f>
        <v>35</v>
      </c>
      <c r="G575" s="5">
        <f t="shared" si="193"/>
        <v>18132354.130000003</v>
      </c>
      <c r="H575" s="5">
        <f>(PARAMS_MODELO!$B$20*(MAX(0,MIN(3,E575))/3)+PARAMS_MODELO!$B$21*(IFERROR(LN(1+MAX(0,G575))/LN(1+MAX(0,MAX($G$2:$G$1194))),0)))*100*PARAMS_MODELO!$B$8</f>
        <v>5.1353030455717175</v>
      </c>
      <c r="I575" s="8">
        <f>E575-PARAMS_MODELO!$B$5</f>
        <v>0.17029249338356656</v>
      </c>
      <c r="J575" s="5">
        <f>IF(I575&lt;=PARAMS_MODELO!$B$18,0,IF(I575&gt;=PARAMS_MODELO!$B$19,100,100*(I575-PARAMS_MODELO!$B$18)/(PARAMS_MODELO!$B$19-PARAMS_MODELO!$B$18)))*PARAMS_MODELO!$B$9</f>
        <v>15</v>
      </c>
      <c r="K575" s="5">
        <f>IFERROR(CHOOSE(MATCH(PARAMS_MODELO!$B$2,{"Q1","Q2","Q3"},0),LOTO!$D575,LOTO!$F575,LOTO!$H575),0)</f>
        <v>3402500</v>
      </c>
      <c r="L575" s="8">
        <f t="shared" si="194"/>
        <v>4.8428310941496182E-2</v>
      </c>
      <c r="M575" s="5">
        <f>MIN(100,IF(PARAMS_MODELO!$B$23=0,0,100*L575/PARAMS_MODELO!$B$23))*PARAMS_MODELO!$B$10</f>
        <v>14.528493282448853</v>
      </c>
      <c r="N575" s="5">
        <f>IFERROR(VLOOKUP(A575,COMPLIANCE!$A$2:$F$1996,6,0),100)</f>
        <v>100</v>
      </c>
      <c r="O575" s="5">
        <f>N575*PARAMS_MODELO!$B$11</f>
        <v>10</v>
      </c>
      <c r="P575" s="5">
        <f>IFERROR(VLOOKUP(A575,DIGITAL!$A$2:$J$2000,7,0),100)</f>
        <v>77</v>
      </c>
      <c r="Q575" s="5">
        <f>IFERROR(P575,0)*PARAMS_MODELO!$B$12</f>
        <v>7.7</v>
      </c>
      <c r="R575">
        <f t="shared" si="195"/>
        <v>87.36379632802057</v>
      </c>
      <c r="S575" s="5" t="str">
        <f>IFERROR(VLOOKUP(A575,CLIENTE!$A$2:$N$2000,13,0),1)</f>
        <v>Malo</v>
      </c>
      <c r="T575" s="5">
        <f>IFERROR(VLOOKUP(A575,CLIENTE!$A$2:$N$2000,14,0),1)</f>
        <v>0.7</v>
      </c>
      <c r="U575" s="5">
        <f t="shared" si="196"/>
        <v>61.154657429614396</v>
      </c>
      <c r="V575" s="5" t="str">
        <f>IF(U575&gt;=MAX(_xlfn.PERCENTILE.INC($U$2:$U$1194,PARAMS_MODELO!$B$50),PARAMS_MODELO!$B$45),"DIAMANTE",IF(U575&gt;=MAX(_xlfn.PERCENTILE.INC($U$2:$U$1194,PARAMS_MODELO!$B$51),PARAMS_MODELO!$B$46),"PLATINO",IF(U575&gt;=MAX(_xlfn.PERCENTILE.INC($U$2:$U$1194,PARAMS_MODELO!$B$52),PARAMS_MODELO!$B$47),"ORO",IF(U575&gt;=MAX(_xlfn.PERCENTILE.INC($U$2:$U$1194,PARAMS_MODELO!$B$53),PARAMS_MODELO!$B$48),"PLATA",IF(U575&gt;=1,"BRONCE","CERRADO")))))</f>
        <v>PLATA</v>
      </c>
      <c r="W575" s="5" t="str" cm="1">
        <f t="array" ref="W575">_xlfn.XLOOKUP(1, (HIST_SCORE!$B:$B=PARAMS_MODELO!$B$4) * (HIST_SCORE!$C:$C=A575), HIST_SCORE!$E:$E, "No encontrado")</f>
        <v>PLATA</v>
      </c>
      <c r="X575" s="5" t="str">
        <f>_xlfn.LET(_xlpm.act,MATCH(V575,{"DIAMANTE";"PLATINO";"ORO";"PLATA";"BRONCE";"CERRADO"},0),_xlpm.ant,MATCH(W575,{"DIAMANTE";"PLATINO";"ORO";"PLATA";"BRONCE";"CERRADO"},0),IF(_xlpm.act&lt;_xlpm.ant,"Mejora ↑",IF(_xlpm.act&gt;_xlpm.ant,"Baja ↓","Estable →")))</f>
        <v>Estable →</v>
      </c>
      <c r="Y575" s="5">
        <f>IFERROR(U575-SUMIFS(HIST_SCORE!$D:$D,HIST_SCORE!$B:$B,PARAMS_MODELO!$B$4,HIST_SCORE!$C:$C,$A575),"")</f>
        <v>0.71540195999608613</v>
      </c>
      <c r="Z575" s="5" t="str">
        <f t="shared" si="197"/>
        <v>→ Estable</v>
      </c>
      <c r="AA575" s="5">
        <f t="shared" si="198"/>
        <v>594</v>
      </c>
      <c r="AB575" s="5">
        <f>IFERROR(SUMIFS(HIST_SCORE!$F:$F,HIST_SCORE!$B:$B,PARAMS_MODELO!$B$4,HIST_SCORE!$C:$C,$A575),"")</f>
        <v>642</v>
      </c>
      <c r="AC575" s="5">
        <f t="shared" si="199"/>
        <v>48</v>
      </c>
      <c r="AD575" t="str">
        <f t="shared" si="201"/>
        <v/>
      </c>
      <c r="AE5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575="CERRADO",1,IF(V575="BRONCE",_xlpm.cPl,IF(V575="PLATA",_xlpm.cO,IF(V575="ORO",_xlpm.cP,IF(V575="PLATINO",_xlpm.cD,999))))))</f>
        <v>63.199193273331495</v>
      </c>
      <c r="AF5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575="CERRADO",0,IF(V575="BRONCE",1,IF(V575="PLATA",_xlpm.cPl,IF(V575="ORO",_xlpm.cO,IF(V575="PLATINO",_xlpm.cP,_xlpm.cD))))))</f>
        <v>24.506573482968111</v>
      </c>
      <c r="AG575">
        <f t="shared" si="202"/>
        <v>2.9207654910244258</v>
      </c>
      <c r="AH575" t="str">
        <f t="shared" si="203"/>
        <v>CLIENTE</v>
      </c>
      <c r="AI575" t="str">
        <f t="shared" si="200"/>
        <v>🎯 Para subir de categoría, la eje con mayor impacto probable es CLIENTE (coef T). Acción: reducir quejas, mejorar incógnito y empujar reseñas. ΔR aprox: 2,9</v>
      </c>
      <c r="AJ575" s="26">
        <f>_xlfn.LET(_xlpm.piso,AF575,_xlpm.corte,AE575,_xlpm.prog,IF(_xlpm.corte&lt;=_xlpm.piso,0,MAX(0,MIN(1,(U575-_xlpm.piso)/(_xlpm.corte-_xlpm.piso)))),_xlpm.orden,{"DIAMANTE";"PLATINO";"ORO";"PLATA";"BRONCE";"CERRADO"},_xlpm.act,IFERROR(MATCH(V575,_xlpm.orden,0),6),_xlpm.ant,IFERROR(MATCH(W575,_xlpm.orden,0),6),_xlpm.ajmov,IF(_xlpm.act&lt;_xlpm.ant,0.08,IF(_xlpm.act&gt;_xlpm.ant,-0.08,0)),_xlpm.ajcli,IF(T575&lt;0.95,-0.06,0),_xlpm.prob,MAX(0,MIN(1,_xlpm.prog+_xlpm.ajmov+_xlpm.ajcli)),IF(OR(V575="DIAMANTE",V575="CERRADO"),0,ROUND(_xlpm.prob,2)))</f>
        <v>0.89</v>
      </c>
      <c r="AK575" t="str">
        <f t="shared" si="204"/>
        <v>Faltan 2,9 puntos base para subir a la siguiente categoría</v>
      </c>
      <c r="AL575" t="str">
        <f t="shared" si="205"/>
        <v>Margen de seguridad: 36,6 puntos</v>
      </c>
      <c r="AM575">
        <f t="shared" si="206"/>
        <v>0.36</v>
      </c>
      <c r="AN575" t="str">
        <f t="shared" si="207"/>
        <v>PRIORIDAD BAJA – control normal</v>
      </c>
      <c r="AO575">
        <f t="shared" si="208"/>
        <v>6.809086360806706</v>
      </c>
      <c r="AP575">
        <f t="shared" si="209"/>
        <v>0.33005470228580297</v>
      </c>
      <c r="AQ575">
        <f t="shared" si="210"/>
        <v>0</v>
      </c>
      <c r="AR575">
        <f t="shared" si="211"/>
        <v>1.6099999999999999</v>
      </c>
      <c r="AS575">
        <f t="shared" si="212"/>
        <v>26.209138898406174</v>
      </c>
      <c r="AT575" t="str">
        <f t="shared" si="213"/>
        <v>CLIENTE</v>
      </c>
      <c r="AU575">
        <f t="shared" si="214"/>
        <v>26.209138898406174</v>
      </c>
      <c r="AV575" t="str">
        <f t="shared" si="215"/>
        <v>Mayor retorno probable: CLIENTE (+26,2 puntos finales potenciales).</v>
      </c>
    </row>
    <row r="576" spans="1:48" x14ac:dyDescent="0.3">
      <c r="A576" s="5">
        <v>51011953</v>
      </c>
      <c r="B576" s="5" t="str">
        <f>IFERROR(VLOOKUP(A576,VENTAS!$A$2:$B$1194,2,0),"")</f>
        <v>NELLI</v>
      </c>
      <c r="C576" s="5">
        <f>IFERROR(INDEX(VENTAS!$C$2:$E$1194,MATCH(A576,VENTAS!$A$2:$A$1194,0),MATCH(PARAMS_MODELO!$B$2,{"Q1","Q2","Q3"},0)),0)</f>
        <v>0</v>
      </c>
      <c r="D576" s="5">
        <f>IFERROR(INDEX(VENTAS!$F$2:$H$1194,MATCH(A576,VENTAS!$A$2:$A$1194,0),MATCH(PARAMS_MODELO!$B$2,{"Q1","Q2","Q3"},0)),0)</f>
        <v>70209417</v>
      </c>
      <c r="E576" s="8">
        <f t="shared" si="192"/>
        <v>0</v>
      </c>
      <c r="F576" s="12">
        <f>IF(E576&lt;=PARAMS_MODELO!$B$15,0,IF(E576&gt;=PARAMS_MODELO!$B$17,100,100*MIN(1,(E576-PARAMS_MODELO!$B$15)/(PARAMS_MODELO!$B$16-PARAMS_MODELO!$B$15))))*PARAMS_MODELO!$B$7</f>
        <v>0</v>
      </c>
      <c r="G576" s="5">
        <f t="shared" si="193"/>
        <v>70209417</v>
      </c>
      <c r="H576" s="5">
        <f>(PARAMS_MODELO!$B$20*(MAX(0,MIN(3,E576))/3)+PARAMS_MODELO!$B$21*(IFERROR(LN(1+MAX(0,G576))/LN(1+MAX(0,MAX($G$2:$G$1194))),0)))*100*PARAMS_MODELO!$B$8</f>
        <v>4.235155391536229</v>
      </c>
      <c r="I576" s="8">
        <f>E576-PARAMS_MODELO!$B$5</f>
        <v>-0.17756283537552653</v>
      </c>
      <c r="J576" s="5">
        <f>IF(I576&lt;=PARAMS_MODELO!$B$18,0,IF(I576&gt;=PARAMS_MODELO!$B$19,100,100*(I576-PARAMS_MODELO!$B$18)/(PARAMS_MODELO!$B$19-PARAMS_MODELO!$B$18)))*PARAMS_MODELO!$B$9</f>
        <v>0</v>
      </c>
      <c r="K576" s="5">
        <f>IFERROR(CHOOSE(MATCH(PARAMS_MODELO!$B$2,{"Q1","Q2","Q3"},0),LOTO!$D576,LOTO!$F576,LOTO!$H576),0)</f>
        <v>3390000</v>
      </c>
      <c r="L576" s="8">
        <f t="shared" si="194"/>
        <v>4.8284121202715587E-2</v>
      </c>
      <c r="M576" s="5">
        <f>MIN(100,IF(PARAMS_MODELO!$B$23=0,0,100*L576/PARAMS_MODELO!$B$23))*PARAMS_MODELO!$B$10</f>
        <v>14.485236360814676</v>
      </c>
      <c r="N576" s="5">
        <f>IFERROR(VLOOKUP(A576,COMPLIANCE!$A$2:$F$1996,6,0),100)</f>
        <v>99.98</v>
      </c>
      <c r="O576" s="5">
        <f>N576*PARAMS_MODELO!$B$11</f>
        <v>9.9980000000000011</v>
      </c>
      <c r="P576" s="5">
        <f>IFERROR(VLOOKUP(A576,DIGITAL!$A$2:$J$2000,7,0),100)</f>
        <v>40</v>
      </c>
      <c r="Q576" s="5">
        <f>IFERROR(P576,0)*PARAMS_MODELO!$B$12</f>
        <v>4</v>
      </c>
      <c r="R576">
        <f t="shared" si="195"/>
        <v>32.718391752350911</v>
      </c>
      <c r="S576" s="5" t="str">
        <f>IFERROR(VLOOKUP(A576,CLIENTE!$A$2:$N$2000,13,0),1)</f>
        <v>Malo</v>
      </c>
      <c r="T576" s="5">
        <f>IFERROR(VLOOKUP(A576,CLIENTE!$A$2:$N$2000,14,0),1)</f>
        <v>0.7</v>
      </c>
      <c r="U576" s="5">
        <f t="shared" si="196"/>
        <v>22.902874226645636</v>
      </c>
      <c r="V576" s="5" t="str">
        <f>IF(U576&gt;=MAX(_xlfn.PERCENTILE.INC($U$2:$U$1194,PARAMS_MODELO!$B$50),PARAMS_MODELO!$B$45),"DIAMANTE",IF(U576&gt;=MAX(_xlfn.PERCENTILE.INC($U$2:$U$1194,PARAMS_MODELO!$B$51),PARAMS_MODELO!$B$46),"PLATINO",IF(U576&gt;=MAX(_xlfn.PERCENTILE.INC($U$2:$U$1194,PARAMS_MODELO!$B$52),PARAMS_MODELO!$B$47),"ORO",IF(U576&gt;=MAX(_xlfn.PERCENTILE.INC($U$2:$U$1194,PARAMS_MODELO!$B$53),PARAMS_MODELO!$B$48),"PLATA",IF(U576&gt;=1,"BRONCE","CERRADO")))))</f>
        <v>BRONCE</v>
      </c>
      <c r="W576" s="5" t="str" cm="1">
        <f t="array" ref="W576">_xlfn.XLOOKUP(1, (HIST_SCORE!$B:$B=PARAMS_MODELO!$B$4) * (HIST_SCORE!$C:$C=A576), HIST_SCORE!$E:$E, "No encontrado")</f>
        <v>PLATA</v>
      </c>
      <c r="X576" s="5" t="str">
        <f>_xlfn.LET(_xlpm.act,MATCH(V576,{"DIAMANTE";"PLATINO";"ORO";"PLATA";"BRONCE";"CERRADO"},0),_xlpm.ant,MATCH(W576,{"DIAMANTE";"PLATINO";"ORO";"PLATA";"BRONCE";"CERRADO"},0),IF(_xlpm.act&lt;_xlpm.ant,"Mejora ↑",IF(_xlpm.act&gt;_xlpm.ant,"Baja ↓","Estable →")))</f>
        <v>Baja ↓</v>
      </c>
      <c r="Y576" s="5">
        <f>IFERROR(U576-SUMIFS(HIST_SCORE!$D:$D,HIST_SCORE!$B:$B,PARAMS_MODELO!$B$4,HIST_SCORE!$C:$C,$A576),"")</f>
        <v>-0.28152709799984521</v>
      </c>
      <c r="Z576" s="5" t="str">
        <f t="shared" si="197"/>
        <v>→ Estable</v>
      </c>
      <c r="AA576" s="5">
        <f t="shared" si="198"/>
        <v>932</v>
      </c>
      <c r="AB576" s="5">
        <f>IFERROR(SUMIFS(HIST_SCORE!$F:$F,HIST_SCORE!$B:$B,PARAMS_MODELO!$B$4,HIST_SCORE!$C:$C,$A576),"")</f>
        <v>952</v>
      </c>
      <c r="AC576" s="5">
        <f t="shared" si="199"/>
        <v>20</v>
      </c>
      <c r="AD576" t="str">
        <f t="shared" si="201"/>
        <v>Plan de recuperación: foco crecimiento + mix</v>
      </c>
      <c r="AE5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576="CERRADO",1,IF(V576="BRONCE",_xlpm.cPl,IF(V576="PLATA",_xlpm.cO,IF(V576="ORO",_xlpm.cP,IF(V576="PLATINO",_xlpm.cD,999))))))</f>
        <v>24.506573482968111</v>
      </c>
      <c r="AF5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576="CERRADO",0,IF(V576="BRONCE",1,IF(V576="PLATA",_xlpm.cPl,IF(V576="ORO",_xlpm.cO,IF(V576="PLATINO",_xlpm.cP,_xlpm.cD))))))</f>
        <v>1</v>
      </c>
      <c r="AG576">
        <f t="shared" si="202"/>
        <v>2.2909989376035327</v>
      </c>
      <c r="AH576" t="str">
        <f t="shared" si="203"/>
        <v>CLIENTE</v>
      </c>
      <c r="AI576" t="str">
        <f t="shared" si="200"/>
        <v>🎯 Para subir de categoría, la eje con mayor impacto probable es CLIENTE (coef T). Acción: reducir quejas, mejorar incógnito y empujar reseñas. ΔR aprox: 2,3</v>
      </c>
      <c r="AJ576" s="26">
        <f>_xlfn.LET(_xlpm.piso,AF576,_xlpm.corte,AE576,_xlpm.prog,IF(_xlpm.corte&lt;=_xlpm.piso,0,MAX(0,MIN(1,(U576-_xlpm.piso)/(_xlpm.corte-_xlpm.piso)))),_xlpm.orden,{"DIAMANTE";"PLATINO";"ORO";"PLATA";"BRONCE";"CERRADO"},_xlpm.act,IFERROR(MATCH(V576,_xlpm.orden,0),6),_xlpm.ant,IFERROR(MATCH(W576,_xlpm.orden,0),6),_xlpm.ajmov,IF(_xlpm.act&lt;_xlpm.ant,0.08,IF(_xlpm.act&gt;_xlpm.ant,-0.08,0)),_xlpm.ajcli,IF(T576&lt;0.95,-0.06,0),_xlpm.prob,MAX(0,MIN(1,_xlpm.prog+_xlpm.ajmov+_xlpm.ajcli)),IF(OR(V576="DIAMANTE",V576="CERRADO"),0,ROUND(_xlpm.prob,2)))</f>
        <v>0.79</v>
      </c>
      <c r="AK576" t="str">
        <f t="shared" si="204"/>
        <v>Faltan 2,3 puntos base para subir a la siguiente categoría</v>
      </c>
      <c r="AL576" t="str">
        <f t="shared" si="205"/>
        <v>No aplica</v>
      </c>
      <c r="AM576">
        <f t="shared" si="206"/>
        <v>0.38</v>
      </c>
      <c r="AN576" t="str">
        <f t="shared" si="207"/>
        <v>PRIORIDAD BAJA – control normal</v>
      </c>
      <c r="AO576">
        <f t="shared" si="208"/>
        <v>42.439189718631546</v>
      </c>
      <c r="AP576">
        <f t="shared" si="209"/>
        <v>0.36033454742972654</v>
      </c>
      <c r="AQ576">
        <f t="shared" si="210"/>
        <v>1.3999999999992239E-3</v>
      </c>
      <c r="AR576">
        <f t="shared" si="211"/>
        <v>4.1999999999999993</v>
      </c>
      <c r="AS576">
        <f t="shared" si="212"/>
        <v>9.8155175257052747</v>
      </c>
      <c r="AT576" t="str">
        <f t="shared" si="213"/>
        <v>VENTAS</v>
      </c>
      <c r="AU576">
        <f t="shared" si="214"/>
        <v>42.439189718631546</v>
      </c>
      <c r="AV576" t="str">
        <f t="shared" si="215"/>
        <v>Mayor retorno probable: VENTAS (+42,4 puntos finales potenciales).</v>
      </c>
    </row>
    <row r="577" spans="1:48" x14ac:dyDescent="0.3">
      <c r="A577" s="5">
        <v>51022955</v>
      </c>
      <c r="B577" s="5" t="str">
        <f>IFERROR(VLOOKUP(A577,VENTAS!$A$2:$B$1194,2,0),"")</f>
        <v>MONTENEGRO</v>
      </c>
      <c r="C577" s="5">
        <f>IFERROR(INDEX(VENTAS!$C$2:$E$1194,MATCH(A577,VENTAS!$A$2:$A$1194,0),MATCH(PARAMS_MODELO!$B$2,{"Q1","Q2","Q3"},0)),0)</f>
        <v>62067643.350000001</v>
      </c>
      <c r="D577" s="5">
        <f>IFERROR(INDEX(VENTAS!$F$2:$H$1194,MATCH(A577,VENTAS!$A$2:$A$1194,0),MATCH(PARAMS_MODELO!$B$2,{"Q1","Q2","Q3"},0)),0)</f>
        <v>70193232</v>
      </c>
      <c r="E577" s="8">
        <f t="shared" si="192"/>
        <v>0.13091505028118644</v>
      </c>
      <c r="F577" s="12">
        <f>IF(E577&lt;=PARAMS_MODELO!$B$15,0,IF(E577&gt;=PARAMS_MODELO!$B$17,100,100*MIN(1,(E577-PARAMS_MODELO!$B$15)/(PARAMS_MODELO!$B$16-PARAMS_MODELO!$B$15))))*PARAMS_MODELO!$B$7</f>
        <v>35</v>
      </c>
      <c r="G577" s="5">
        <f t="shared" si="193"/>
        <v>8125588.6499999985</v>
      </c>
      <c r="H577" s="5">
        <f>(PARAMS_MODELO!$B$20*(MAX(0,MIN(3,E577))/3)+PARAMS_MODELO!$B$21*(IFERROR(LN(1+MAX(0,G577))/LN(1+MAX(0,MAX($G$2:$G$1194))),0)))*100*PARAMS_MODELO!$B$8</f>
        <v>4.1878527618164574</v>
      </c>
      <c r="I577" s="8">
        <f>E577-PARAMS_MODELO!$B$5</f>
        <v>-4.6647785094340088E-2</v>
      </c>
      <c r="J577" s="5">
        <f>IF(I577&lt;=PARAMS_MODELO!$B$18,0,IF(I577&gt;=PARAMS_MODELO!$B$19,100,100*(I577-PARAMS_MODELO!$B$18)/(PARAMS_MODELO!$B$19-PARAMS_MODELO!$B$18)))*PARAMS_MODELO!$B$9</f>
        <v>0.50283223584898706</v>
      </c>
      <c r="K577" s="5">
        <f>IFERROR(CHOOSE(MATCH(PARAMS_MODELO!$B$2,{"Q1","Q2","Q3"},0),LOTO!$D577,LOTO!$F577,LOTO!$H577),0)</f>
        <v>3390000</v>
      </c>
      <c r="L577" s="8">
        <f t="shared" si="194"/>
        <v>4.8295254448463068E-2</v>
      </c>
      <c r="M577" s="5">
        <f>MIN(100,IF(PARAMS_MODELO!$B$23=0,0,100*L577/PARAMS_MODELO!$B$23))*PARAMS_MODELO!$B$10</f>
        <v>14.488576334538918</v>
      </c>
      <c r="N577" s="5">
        <f>IFERROR(VLOOKUP(A577,COMPLIANCE!$A$2:$F$1996,6,0),100)</f>
        <v>100</v>
      </c>
      <c r="O577" s="5">
        <f>N577*PARAMS_MODELO!$B$11</f>
        <v>10</v>
      </c>
      <c r="P577" s="5">
        <f>IFERROR(VLOOKUP(A577,DIGITAL!$A$2:$J$2000,7,0),100)</f>
        <v>41</v>
      </c>
      <c r="Q577" s="5">
        <f>IFERROR(P577,0)*PARAMS_MODELO!$B$12</f>
        <v>4.1000000000000005</v>
      </c>
      <c r="R577">
        <f t="shared" si="195"/>
        <v>68.279261332204356</v>
      </c>
      <c r="S577" s="5" t="str">
        <f>IFERROR(VLOOKUP(A577,CLIENTE!$A$2:$N$2000,13,0),1)</f>
        <v>Regular</v>
      </c>
      <c r="T577" s="5">
        <f>IFERROR(VLOOKUP(A577,CLIENTE!$A$2:$N$2000,14,0),1)</f>
        <v>1</v>
      </c>
      <c r="U577" s="5">
        <f t="shared" si="196"/>
        <v>68.279261332204356</v>
      </c>
      <c r="V577" s="5" t="str">
        <f>IF(U577&gt;=MAX(_xlfn.PERCENTILE.INC($U$2:$U$1194,PARAMS_MODELO!$B$50),PARAMS_MODELO!$B$45),"DIAMANTE",IF(U577&gt;=MAX(_xlfn.PERCENTILE.INC($U$2:$U$1194,PARAMS_MODELO!$B$51),PARAMS_MODELO!$B$46),"PLATINO",IF(U577&gt;=MAX(_xlfn.PERCENTILE.INC($U$2:$U$1194,PARAMS_MODELO!$B$52),PARAMS_MODELO!$B$47),"ORO",IF(U577&gt;=MAX(_xlfn.PERCENTILE.INC($U$2:$U$1194,PARAMS_MODELO!$B$53),PARAMS_MODELO!$B$48),"PLATA",IF(U577&gt;=1,"BRONCE","CERRADO")))))</f>
        <v>ORO</v>
      </c>
      <c r="W577" s="5" t="str" cm="1">
        <f t="array" ref="W577">_xlfn.XLOOKUP(1, (HIST_SCORE!$B:$B=PARAMS_MODELO!$B$4) * (HIST_SCORE!$C:$C=A577), HIST_SCORE!$E:$E, "No encontrado")</f>
        <v>ORO</v>
      </c>
      <c r="X577" s="5" t="str">
        <f>_xlfn.LET(_xlpm.act,MATCH(V577,{"DIAMANTE";"PLATINO";"ORO";"PLATA";"BRONCE";"CERRADO"},0),_xlpm.ant,MATCH(W577,{"DIAMANTE";"PLATINO";"ORO";"PLATA";"BRONCE";"CERRADO"},0),IF(_xlpm.act&lt;_xlpm.ant,"Mejora ↑",IF(_xlpm.act&gt;_xlpm.ant,"Baja ↓","Estable →")))</f>
        <v>Estable →</v>
      </c>
      <c r="Y577" s="5">
        <f>IFERROR(U577-SUMIFS(HIST_SCORE!$D:$D,HIST_SCORE!$B:$B,PARAMS_MODELO!$B$4,HIST_SCORE!$C:$C,$A577),"")</f>
        <v>-2.2907795934335127</v>
      </c>
      <c r="Z577" s="5" t="str">
        <f t="shared" si="197"/>
        <v>→ Estable</v>
      </c>
      <c r="AA577" s="5">
        <f t="shared" si="198"/>
        <v>524</v>
      </c>
      <c r="AB577" s="5">
        <f>IFERROR(SUMIFS(HIST_SCORE!$F:$F,HIST_SCORE!$B:$B,PARAMS_MODELO!$B$4,HIST_SCORE!$C:$C,$A577),"")</f>
        <v>535</v>
      </c>
      <c r="AC577" s="5">
        <f t="shared" si="199"/>
        <v>11</v>
      </c>
      <c r="AD577" t="str">
        <f t="shared" si="201"/>
        <v>Sostener base y reforzar mix</v>
      </c>
      <c r="AE5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577="CERRADO",1,IF(V577="BRONCE",_xlpm.cPl,IF(V577="PLATA",_xlpm.cO,IF(V577="ORO",_xlpm.cP,IF(V577="PLATINO",_xlpm.cD,999))))))</f>
        <v>86.439123873763251</v>
      </c>
      <c r="AF5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577="CERRADO",0,IF(V577="BRONCE",1,IF(V577="PLATA",_xlpm.cPl,IF(V577="ORO",_xlpm.cO,IF(V577="PLATINO",_xlpm.cP,_xlpm.cD))))))</f>
        <v>63.199193273331495</v>
      </c>
      <c r="AG577">
        <f t="shared" si="202"/>
        <v>18.159862541558894</v>
      </c>
      <c r="AH577" t="str">
        <f t="shared" si="203"/>
        <v>VENTAS</v>
      </c>
      <c r="AI577" t="str">
        <f t="shared" si="200"/>
        <v>🎯 Para subir de categoría, eje VENTAS / DIFERENCIAL vs LOTBA (J). Acción: metas semanales + activación comercial + seguimiento del asesor. ΔR aprox: 18,2</v>
      </c>
      <c r="AJ577" s="26">
        <f>_xlfn.LET(_xlpm.piso,AF577,_xlpm.corte,AE577,_xlpm.prog,IF(_xlpm.corte&lt;=_xlpm.piso,0,MAX(0,MIN(1,(U577-_xlpm.piso)/(_xlpm.corte-_xlpm.piso)))),_xlpm.orden,{"DIAMANTE";"PLATINO";"ORO";"PLATA";"BRONCE";"CERRADO"},_xlpm.act,IFERROR(MATCH(V577,_xlpm.orden,0),6),_xlpm.ant,IFERROR(MATCH(W577,_xlpm.orden,0),6),_xlpm.ajmov,IF(_xlpm.act&lt;_xlpm.ant,0.08,IF(_xlpm.act&gt;_xlpm.ant,-0.08,0)),_xlpm.ajcli,IF(T577&lt;0.95,-0.06,0),_xlpm.prob,MAX(0,MIN(1,_xlpm.prog+_xlpm.ajmov+_xlpm.ajcli)),IF(OR(V577="DIAMANTE",V577="CERRADO"),0,ROUND(_xlpm.prob,2)))</f>
        <v>0.22</v>
      </c>
      <c r="AK577" t="str">
        <f t="shared" si="204"/>
        <v>Faltan 18,2 puntos base para subir a la siguiente categoría</v>
      </c>
      <c r="AL577" t="str">
        <f t="shared" si="205"/>
        <v>Margen de seguridad: 5,1 puntos</v>
      </c>
      <c r="AM577">
        <f t="shared" si="206"/>
        <v>0.71</v>
      </c>
      <c r="AN577" t="str">
        <f t="shared" si="207"/>
        <v>PRIORIDAD ALTA – requiere intervención inmediata</v>
      </c>
      <c r="AO577">
        <f t="shared" si="208"/>
        <v>25.171884277630141</v>
      </c>
      <c r="AP577">
        <f t="shared" si="209"/>
        <v>0.51142366546108242</v>
      </c>
      <c r="AQ577">
        <f t="shared" si="210"/>
        <v>0</v>
      </c>
      <c r="AR577">
        <f t="shared" si="211"/>
        <v>5.8999999999999995</v>
      </c>
      <c r="AS577">
        <f t="shared" si="212"/>
        <v>0</v>
      </c>
      <c r="AT577" t="str">
        <f t="shared" si="213"/>
        <v>VENTAS</v>
      </c>
      <c r="AU577">
        <f t="shared" si="214"/>
        <v>25.171884277630141</v>
      </c>
      <c r="AV577" t="str">
        <f t="shared" si="215"/>
        <v>Mayor retorno probable: VENTAS (+25,2 puntos finales potenciales).</v>
      </c>
    </row>
    <row r="578" spans="1:48" x14ac:dyDescent="0.3">
      <c r="A578" s="5">
        <v>51021673</v>
      </c>
      <c r="B578" s="5" t="str">
        <f>IFERROR(VLOOKUP(A578,VENTAS!$A$2:$B$1194,2,0),"")</f>
        <v>ARGUELLO</v>
      </c>
      <c r="C578" s="5">
        <f>IFERROR(INDEX(VENTAS!$C$2:$E$1194,MATCH(A578,VENTAS!$A$2:$A$1194,0),MATCH(PARAMS_MODELO!$B$2,{"Q1","Q2","Q3"},0)),0)</f>
        <v>59385754.840000004</v>
      </c>
      <c r="D578" s="5">
        <f>IFERROR(INDEX(VENTAS!$F$2:$H$1194,MATCH(A578,VENTAS!$A$2:$A$1194,0),MATCH(PARAMS_MODELO!$B$2,{"Q1","Q2","Q3"},0)),0)</f>
        <v>70094207</v>
      </c>
      <c r="E578" s="8">
        <f t="shared" ref="E578:E641" si="216">IFERROR(D578/C578-1,0)</f>
        <v>0.18032021633557127</v>
      </c>
      <c r="F578" s="12">
        <f>IF(E578&lt;=PARAMS_MODELO!$B$15,0,IF(E578&gt;=PARAMS_MODELO!$B$17,100,100*MIN(1,(E578-PARAMS_MODELO!$B$15)/(PARAMS_MODELO!$B$16-PARAMS_MODELO!$B$15))))*PARAMS_MODELO!$B$7</f>
        <v>35</v>
      </c>
      <c r="G578" s="5">
        <f t="shared" ref="G578:G641" si="217">MAX(0,D578-C578)</f>
        <v>10708452.159999996</v>
      </c>
      <c r="H578" s="5">
        <f>(PARAMS_MODELO!$B$20*(MAX(0,MIN(3,E578))/3)+PARAMS_MODELO!$B$21*(IFERROR(LN(1+MAX(0,G578))/LN(1+MAX(0,MAX($G$2:$G$1194))),0)))*100*PARAMS_MODELO!$B$8</f>
        <v>4.4254726467405758</v>
      </c>
      <c r="I578" s="8">
        <f>E578-PARAMS_MODELO!$B$5</f>
        <v>2.7573809600447419E-3</v>
      </c>
      <c r="J578" s="5">
        <f>IF(I578&lt;=PARAMS_MODELO!$B$18,0,IF(I578&gt;=PARAMS_MODELO!$B$19,100,100*(I578-PARAMS_MODELO!$B$18)/(PARAMS_MODELO!$B$19-PARAMS_MODELO!$B$18)))*PARAMS_MODELO!$B$9</f>
        <v>7.9136071440067113</v>
      </c>
      <c r="K578" s="5">
        <f>IFERROR(CHOOSE(MATCH(PARAMS_MODELO!$B$2,{"Q1","Q2","Q3"},0),LOTO!$D578,LOTO!$F578,LOTO!$H578),0)</f>
        <v>3387500</v>
      </c>
      <c r="L578" s="8">
        <f t="shared" ref="L578:L641" si="218">IFERROR(K578/D578,0)</f>
        <v>4.8327816876507355E-2</v>
      </c>
      <c r="M578" s="5">
        <f>MIN(100,IF(PARAMS_MODELO!$B$23=0,0,100*L578/PARAMS_MODELO!$B$23))*PARAMS_MODELO!$B$10</f>
        <v>14.498345062952204</v>
      </c>
      <c r="N578" s="5">
        <f>IFERROR(VLOOKUP(A578,COMPLIANCE!$A$2:$F$1996,6,0),100)</f>
        <v>99.9</v>
      </c>
      <c r="O578" s="5">
        <f>N578*PARAMS_MODELO!$B$11</f>
        <v>9.990000000000002</v>
      </c>
      <c r="P578" s="5">
        <f>IFERROR(VLOOKUP(A578,DIGITAL!$A$2:$J$2000,7,0),100)</f>
        <v>69</v>
      </c>
      <c r="Q578" s="5">
        <f>IFERROR(P578,0)*PARAMS_MODELO!$B$12</f>
        <v>6.9</v>
      </c>
      <c r="R578">
        <f t="shared" ref="R578:R641" si="219">MIN(100,MAX(0,F578+H578+J578+M578+O578+Q578))</f>
        <v>78.727424853699489</v>
      </c>
      <c r="S578" s="5" t="str">
        <f>IFERROR(VLOOKUP(A578,CLIENTE!$A$2:$N$2000,13,0),1)</f>
        <v>Malo</v>
      </c>
      <c r="T578" s="5">
        <f>IFERROR(VLOOKUP(A578,CLIENTE!$A$2:$N$2000,14,0),1)</f>
        <v>0.7</v>
      </c>
      <c r="U578" s="5">
        <f t="shared" ref="U578:U641" si="220">MIN(100,MAX(0,R578*T578))</f>
        <v>55.109197397589639</v>
      </c>
      <c r="V578" s="5" t="str">
        <f>IF(U578&gt;=MAX(_xlfn.PERCENTILE.INC($U$2:$U$1194,PARAMS_MODELO!$B$50),PARAMS_MODELO!$B$45),"DIAMANTE",IF(U578&gt;=MAX(_xlfn.PERCENTILE.INC($U$2:$U$1194,PARAMS_MODELO!$B$51),PARAMS_MODELO!$B$46),"PLATINO",IF(U578&gt;=MAX(_xlfn.PERCENTILE.INC($U$2:$U$1194,PARAMS_MODELO!$B$52),PARAMS_MODELO!$B$47),"ORO",IF(U578&gt;=MAX(_xlfn.PERCENTILE.INC($U$2:$U$1194,PARAMS_MODELO!$B$53),PARAMS_MODELO!$B$48),"PLATA",IF(U578&gt;=1,"BRONCE","CERRADO")))))</f>
        <v>PLATA</v>
      </c>
      <c r="W578" s="5" t="str" cm="1">
        <f t="array" ref="W578">_xlfn.XLOOKUP(1, (HIST_SCORE!$B:$B=PARAMS_MODELO!$B$4) * (HIST_SCORE!$C:$C=A578), HIST_SCORE!$E:$E, "No encontrado")</f>
        <v>BRONCE</v>
      </c>
      <c r="X578" s="5" t="str">
        <f>_xlfn.LET(_xlpm.act,MATCH(V578,{"DIAMANTE";"PLATINO";"ORO";"PLATA";"BRONCE";"CERRADO"},0),_xlpm.ant,MATCH(W578,{"DIAMANTE";"PLATINO";"ORO";"PLATA";"BRONCE";"CERRADO"},0),IF(_xlpm.act&lt;_xlpm.ant,"Mejora ↑",IF(_xlpm.act&gt;_xlpm.ant,"Baja ↓","Estable →")))</f>
        <v>Mejora ↑</v>
      </c>
      <c r="Y578" s="5">
        <f>IFERROR(U578-SUMIFS(HIST_SCORE!$D:$D,HIST_SCORE!$B:$B,PARAMS_MODELO!$B$4,HIST_SCORE!$C:$C,$A578),"")</f>
        <v>32.786197397589639</v>
      </c>
      <c r="Z578" s="5" t="str">
        <f t="shared" ref="Z578:Z641" si="221">IF(Y578="","",IF(Y578&gt;=5,"↑ Mejora",IF(Y578&lt;=-5,"↓ Baja","→ Estable")))</f>
        <v>↑ Mejora</v>
      </c>
      <c r="AA578" s="5">
        <f t="shared" ref="AA578:AA641" si="222">IFERROR(_xlfn.RANK.EQ(U578,$U$2:$U$1194,0),"")</f>
        <v>715</v>
      </c>
      <c r="AB578" s="5">
        <f>IFERROR(SUMIFS(HIST_SCORE!$F:$F,HIST_SCORE!$B:$B,PARAMS_MODELO!$B$4,HIST_SCORE!$C:$C,$A578),"")</f>
        <v>961</v>
      </c>
      <c r="AC578" s="5">
        <f t="shared" ref="AC578:AC641" si="223">IF(OR(AA578="",AB578=""),"",AB578-AA578)</f>
        <v>246</v>
      </c>
      <c r="AD578" t="str">
        <f t="shared" si="201"/>
        <v/>
      </c>
      <c r="AE5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578="CERRADO",1,IF(V578="BRONCE",_xlpm.cPl,IF(V578="PLATA",_xlpm.cO,IF(V578="ORO",_xlpm.cP,IF(V578="PLATINO",_xlpm.cD,999))))))</f>
        <v>63.199193273331495</v>
      </c>
      <c r="AF5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578="CERRADO",0,IF(V578="BRONCE",1,IF(V578="PLATA",_xlpm.cPl,IF(V578="ORO",_xlpm.cO,IF(V578="PLATINO",_xlpm.cP,_xlpm.cD))))))</f>
        <v>24.506573482968111</v>
      </c>
      <c r="AG578">
        <f t="shared" si="202"/>
        <v>11.557136965345506</v>
      </c>
      <c r="AH578" t="str">
        <f t="shared" si="203"/>
        <v>CLIENTE</v>
      </c>
      <c r="AI578" t="str">
        <f t="shared" ref="AI578:AI641" si="224">_xlfn.LET(_xlpm.pal,AH578,_xlpm.deltaR,AG578,_xlpm.minVent,MIN(F578,H578,J578),_xlpm.subV,IF(_xlpm.minVent=F578,"CRECIMIENTO PERSONAL (F)",IF(_xlpm.minVent=H578,"IMPACTO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la eje con mayor impacto probable es CLIENTE (coef T). Acción: reducir quejas, mejorar incógnito y empujar reseñas. ΔR aprox: 11,6</v>
      </c>
      <c r="AJ578" s="26">
        <f>_xlfn.LET(_xlpm.piso,AF578,_xlpm.corte,AE578,_xlpm.prog,IF(_xlpm.corte&lt;=_xlpm.piso,0,MAX(0,MIN(1,(U578-_xlpm.piso)/(_xlpm.corte-_xlpm.piso)))),_xlpm.orden,{"DIAMANTE";"PLATINO";"ORO";"PLATA";"BRONCE";"CERRADO"},_xlpm.act,IFERROR(MATCH(V578,_xlpm.orden,0),6),_xlpm.ant,IFERROR(MATCH(W578,_xlpm.orden,0),6),_xlpm.ajmov,IF(_xlpm.act&lt;_xlpm.ant,0.08,IF(_xlpm.act&gt;_xlpm.ant,-0.08,0)),_xlpm.ajcli,IF(T578&lt;0.95,-0.06,0),_xlpm.prob,MAX(0,MIN(1,_xlpm.prog+_xlpm.ajmov+_xlpm.ajcli)),IF(OR(V578="DIAMANTE",V578="CERRADO"),0,ROUND(_xlpm.prob,2)))</f>
        <v>0.81</v>
      </c>
      <c r="AK578" t="str">
        <f t="shared" si="204"/>
        <v>Faltan 11,6 puntos base para subir a la siguiente categoría</v>
      </c>
      <c r="AL578" t="str">
        <f t="shared" si="205"/>
        <v>Margen de seguridad: 30,6 puntos</v>
      </c>
      <c r="AM578">
        <f t="shared" si="206"/>
        <v>0.68</v>
      </c>
      <c r="AN578" t="str">
        <f t="shared" si="207"/>
        <v>PRIORIDAD MEDIA – seguimiento del asesor</v>
      </c>
      <c r="AO578">
        <f t="shared" si="208"/>
        <v>12.26644263918381</v>
      </c>
      <c r="AP578">
        <f t="shared" si="209"/>
        <v>0.35115845593345724</v>
      </c>
      <c r="AQ578">
        <f t="shared" si="210"/>
        <v>6.9999999999986072E-3</v>
      </c>
      <c r="AR578">
        <f t="shared" si="211"/>
        <v>2.1699999999999995</v>
      </c>
      <c r="AS578">
        <f t="shared" si="212"/>
        <v>23.61822745610985</v>
      </c>
      <c r="AT578" t="str">
        <f t="shared" si="213"/>
        <v>CLIENTE</v>
      </c>
      <c r="AU578">
        <f t="shared" si="214"/>
        <v>23.61822745610985</v>
      </c>
      <c r="AV578" t="str">
        <f t="shared" si="215"/>
        <v>Mayor retorno probable: CLIENTE (+23,6 puntos finales potenciales).</v>
      </c>
    </row>
    <row r="579" spans="1:48" x14ac:dyDescent="0.3">
      <c r="A579" s="5">
        <v>51013476</v>
      </c>
      <c r="B579" s="5" t="str">
        <f>IFERROR(VLOOKUP(A579,VENTAS!$A$2:$B$1194,2,0),"")</f>
        <v>ROBERTS</v>
      </c>
      <c r="C579" s="5">
        <f>IFERROR(INDEX(VENTAS!$C$2:$E$1194,MATCH(A579,VENTAS!$A$2:$A$1194,0),MATCH(PARAMS_MODELO!$B$2,{"Q1","Q2","Q3"},0)),0)</f>
        <v>45667620.900000013</v>
      </c>
      <c r="D579" s="5">
        <f>IFERROR(INDEX(VENTAS!$F$2:$H$1194,MATCH(A579,VENTAS!$A$2:$A$1194,0),MATCH(PARAMS_MODELO!$B$2,{"Q1","Q2","Q3"},0)),0)</f>
        <v>69976737</v>
      </c>
      <c r="E579" s="8">
        <f t="shared" si="216"/>
        <v>0.5323052880996475</v>
      </c>
      <c r="F579" s="12">
        <f>IF(E579&lt;=PARAMS_MODELO!$B$15,0,IF(E579&gt;=PARAMS_MODELO!$B$17,100,100*MIN(1,(E579-PARAMS_MODELO!$B$15)/(PARAMS_MODELO!$B$16-PARAMS_MODELO!$B$15))))*PARAMS_MODELO!$B$7</f>
        <v>35</v>
      </c>
      <c r="G579" s="5">
        <f t="shared" si="217"/>
        <v>24309116.099999987</v>
      </c>
      <c r="H579" s="5">
        <f>(PARAMS_MODELO!$B$20*(MAX(0,MIN(3,E579))/3)+PARAMS_MODELO!$B$21*(IFERROR(LN(1+MAX(0,G579))/LN(1+MAX(0,MAX($G$2:$G$1194))),0)))*100*PARAMS_MODELO!$B$8</f>
        <v>5.84959718814632</v>
      </c>
      <c r="I579" s="8">
        <f>E579-PARAMS_MODELO!$B$5</f>
        <v>0.35474245272412097</v>
      </c>
      <c r="J579" s="5">
        <f>IF(I579&lt;=PARAMS_MODELO!$B$18,0,IF(I579&gt;=PARAMS_MODELO!$B$19,100,100*(I579-PARAMS_MODELO!$B$18)/(PARAMS_MODELO!$B$19-PARAMS_MODELO!$B$18)))*PARAMS_MODELO!$B$9</f>
        <v>15</v>
      </c>
      <c r="K579" s="5">
        <f>IFERROR(CHOOSE(MATCH(PARAMS_MODELO!$B$2,{"Q1","Q2","Q3"},0),LOTO!$D579,LOTO!$F579,LOTO!$H579),0)</f>
        <v>3382500</v>
      </c>
      <c r="L579" s="8">
        <f t="shared" si="218"/>
        <v>4.8337492501257955E-2</v>
      </c>
      <c r="M579" s="5">
        <f>MIN(100,IF(PARAMS_MODELO!$B$23=0,0,100*L579/PARAMS_MODELO!$B$23))*PARAMS_MODELO!$B$10</f>
        <v>14.501247750377386</v>
      </c>
      <c r="N579" s="5">
        <f>IFERROR(VLOOKUP(A579,COMPLIANCE!$A$2:$F$1996,6,0),100)</f>
        <v>99.98</v>
      </c>
      <c r="O579" s="5">
        <f>N579*PARAMS_MODELO!$B$11</f>
        <v>9.9980000000000011</v>
      </c>
      <c r="P579" s="5">
        <f>IFERROR(VLOOKUP(A579,DIGITAL!$A$2:$J$2000,7,0),100)</f>
        <v>7</v>
      </c>
      <c r="Q579" s="5">
        <f>IFERROR(P579,0)*PARAMS_MODELO!$B$12</f>
        <v>0.70000000000000007</v>
      </c>
      <c r="R579">
        <f t="shared" si="219"/>
        <v>81.048844938523715</v>
      </c>
      <c r="S579" s="5" t="str">
        <f>IFERROR(VLOOKUP(A579,CLIENTE!$A$2:$N$2000,13,0),1)</f>
        <v>Regular</v>
      </c>
      <c r="T579" s="5">
        <f>IFERROR(VLOOKUP(A579,CLIENTE!$A$2:$N$2000,14,0),1)</f>
        <v>1</v>
      </c>
      <c r="U579" s="5">
        <f t="shared" si="220"/>
        <v>81.048844938523715</v>
      </c>
      <c r="V579" s="5" t="str">
        <f>IF(U579&gt;=MAX(_xlfn.PERCENTILE.INC($U$2:$U$1194,PARAMS_MODELO!$B$50),PARAMS_MODELO!$B$45),"DIAMANTE",IF(U579&gt;=MAX(_xlfn.PERCENTILE.INC($U$2:$U$1194,PARAMS_MODELO!$B$51),PARAMS_MODELO!$B$46),"PLATINO",IF(U579&gt;=MAX(_xlfn.PERCENTILE.INC($U$2:$U$1194,PARAMS_MODELO!$B$52),PARAMS_MODELO!$B$47),"ORO",IF(U579&gt;=MAX(_xlfn.PERCENTILE.INC($U$2:$U$1194,PARAMS_MODELO!$B$53),PARAMS_MODELO!$B$48),"PLATA",IF(U579&gt;=1,"BRONCE","CERRADO")))))</f>
        <v>ORO</v>
      </c>
      <c r="W579" s="5" t="str" cm="1">
        <f t="array" ref="W579">_xlfn.XLOOKUP(1, (HIST_SCORE!$B:$B=PARAMS_MODELO!$B$4) * (HIST_SCORE!$C:$C=A579), HIST_SCORE!$E:$E, "No encontrado")</f>
        <v>ORO</v>
      </c>
      <c r="X579" s="5" t="str">
        <f>_xlfn.LET(_xlpm.act,MATCH(V579,{"DIAMANTE";"PLATINO";"ORO";"PLATA";"BRONCE";"CERRADO"},0),_xlpm.ant,MATCH(W579,{"DIAMANTE";"PLATINO";"ORO";"PLATA";"BRONCE";"CERRADO"},0),IF(_xlpm.act&lt;_xlpm.ant,"Mejora ↑",IF(_xlpm.act&gt;_xlpm.ant,"Baja ↓","Estable →")))</f>
        <v>Estable →</v>
      </c>
      <c r="Y579" s="5">
        <f>IFERROR(U579-SUMIFS(HIST_SCORE!$D:$D,HIST_SCORE!$B:$B,PARAMS_MODELO!$B$4,HIST_SCORE!$C:$C,$A579),"")</f>
        <v>0.34107350294478067</v>
      </c>
      <c r="Z579" s="5" t="str">
        <f t="shared" si="221"/>
        <v>→ Estable</v>
      </c>
      <c r="AA579" s="5">
        <f t="shared" si="222"/>
        <v>413</v>
      </c>
      <c r="AB579" s="5">
        <f>IFERROR(SUMIFS(HIST_SCORE!$F:$F,HIST_SCORE!$B:$B,PARAMS_MODELO!$B$4,HIST_SCORE!$C:$C,$A579),"")</f>
        <v>400</v>
      </c>
      <c r="AC579" s="5">
        <f t="shared" si="223"/>
        <v>-13</v>
      </c>
      <c r="AD579" t="str">
        <f t="shared" ref="AD579:AD642" si="225">IF(V579="CERRADO","Agencia sin actividad o cerrada",IF(AND(V579="BRONCE",Y579=""),"Primer corte: cargá histórico para medir movilidad",IF(AND(V579="BRONCE",Y579&lt;0),"Plan de recuperación: foco crecimiento + mix",IF(AND(V579="ORO",Y579&lt;0),"Sostener base y reforzar mix",""))))</f>
        <v/>
      </c>
      <c r="AE5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579="CERRADO",1,IF(V579="BRONCE",_xlpm.cPl,IF(V579="PLATA",_xlpm.cO,IF(V579="ORO",_xlpm.cP,IF(V579="PLATINO",_xlpm.cD,999))))))</f>
        <v>86.439123873763251</v>
      </c>
      <c r="AF5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579="CERRADO",0,IF(V579="BRONCE",1,IF(V579="PLATA",_xlpm.cPl,IF(V579="ORO",_xlpm.cO,IF(V579="PLATINO",_xlpm.cP,_xlpm.cD))))))</f>
        <v>63.199193273331495</v>
      </c>
      <c r="AG579">
        <f t="shared" ref="AG579:AG642" si="226">_xlfn.LET(_xlpm.corteU,AE579,_xlpm.coef,MAX(0.01,T579),_xlpm.reqR,_xlpm.corteU/_xlpm.coef,MAX(0,_xlpm.reqR-R579))</f>
        <v>5.3902789352395359</v>
      </c>
      <c r="AH579" t="str">
        <f t="shared" ref="AH579:AH642" si="227">_xlfn.LET(_xlpm.deltaR,AG579,_xlpm.ventas,F579+H579+J579,_xlpm.hv,(MAX($F$2:$F$1194)+MAX($H$2:$H$1194)+MAX($J$2:$J$1194))-_xlpm.ventas,_xlpm.hl,MAX($M$2:$M$1194)-M579,_xlpm.hc,MAX($O$2:$O$1194)-O579,_xlpm.hd,MAX($Q$2:$Q$1194)-Q579,_xlpm.impV,MIN(_xlpm.deltaR,MAX(0,_xlpm.hv)),_xlpm.impL,MIN(_xlpm.deltaR,MAX(0,_xlpm.hl)),_xlpm.impC,MIN(_xlpm.deltaR,MAX(0,_xlpm.hc)),_xlpm.impD,MIN(_xlpm.deltaR,MAX(0,_xlpm.hd)),_xlpm.t,T579,_xlpm.tObj,1,_xlpm.impCli,IF(_xlpm.t&lt;0.95,MIN(_xlpm.deltaR,R579*(_xlpm.tObj/_xlpm.t-1)),0),_xlpm.mx,MAX(_xlpm.impV,_xlpm.impL,_xlpm.impC,_xlpm.impD,_xlpm.impCli),IF(V579="DIAMANTE","SOSTENER",IF(V579="CERRADO","CERRADO",IF(_xlpm.mx=_xlpm.impCli,"CLIENTE",IF(_xlpm.mx=_xlpm.impV,"VENTAS",IF(_xlpm.mx=_xlpm.impL,"LOTO",IF(_xlpm.mx=_xlpm.impC,"COMPLIANCE","DIGITAL")))))))</f>
        <v>VENTAS</v>
      </c>
      <c r="AI579" t="str">
        <f t="shared" si="224"/>
        <v>🎯 Para subir de categoría, eje VENTAS / IMPACTO ABSOLUTO (H). Acción: metas semanales + activación comercial + seguimiento del asesor. ΔR aprox: 5,4</v>
      </c>
      <c r="AJ579" s="26">
        <f>_xlfn.LET(_xlpm.piso,AF579,_xlpm.corte,AE579,_xlpm.prog,IF(_xlpm.corte&lt;=_xlpm.piso,0,MAX(0,MIN(1,(U579-_xlpm.piso)/(_xlpm.corte-_xlpm.piso)))),_xlpm.orden,{"DIAMANTE";"PLATINO";"ORO";"PLATA";"BRONCE";"CERRADO"},_xlpm.act,IFERROR(MATCH(V579,_xlpm.orden,0),6),_xlpm.ant,IFERROR(MATCH(W579,_xlpm.orden,0),6),_xlpm.ajmov,IF(_xlpm.act&lt;_xlpm.ant,0.08,IF(_xlpm.act&gt;_xlpm.ant,-0.08,0)),_xlpm.ajcli,IF(T579&lt;0.95,-0.06,0),_xlpm.prob,MAX(0,MIN(1,_xlpm.prog+_xlpm.ajmov+_xlpm.ajcli)),IF(OR(V579="DIAMANTE",V579="CERRADO"),0,ROUND(_xlpm.prob,2)))</f>
        <v>0.77</v>
      </c>
      <c r="AK579" t="str">
        <f t="shared" ref="AK579:AK642" si="228">IF(OR(V579="DIAMANTE",V579="CERRADO"),"No aplica","Faltan " &amp; TEXT(AG579,"0,0") &amp; " puntos base para subir a la siguiente categoría")</f>
        <v>Faltan 5,4 puntos base para subir a la siguiente categoría</v>
      </c>
      <c r="AL579" t="str">
        <f t="shared" ref="AL579:AL642" si="229">_xlfn.LET(_xlpm.piso,AF579,_xlpm.dist,U579-_xlpm.piso,IF(OR(V579="BRONCE",V579="CERRADO"),"No aplica",IF(_xlpm.dist&lt;=0,"⚠ Riesgo de descenso","Margen de seguridad: " &amp; TEXT(_xlpm.dist,"0,0") &amp; " puntos")))</f>
        <v>Margen de seguridad: 17,8 puntos</v>
      </c>
      <c r="AM579">
        <f t="shared" ref="AM579:AM642" si="230">_xlfn.LET(_xlpm.prob,AJ579,_xlpm.dist,AG579,_xlpm.coef,T579,_xlpm.prior,(1-_xlpm.prob)*0.4+MIN(1,_xlpm.dist/10)*0.4+IF(_xlpm.coef&lt;0.95,0.2,0),ROUND(_xlpm.prior,2))</f>
        <v>0.31</v>
      </c>
      <c r="AN579" t="str">
        <f t="shared" ref="AN579:AN642" si="231">IF(AM579&gt;=0.7,"PRIORIDAD ALTA – requiere intervención inmediata",IF(AM579&gt;=0.4,"PRIORIDAD MEDIA – seguimiento del asesor","PRIORIDAD BAJA – control normal"))</f>
        <v>PRIORIDAD BAJA – control normal</v>
      </c>
      <c r="AO579">
        <f t="shared" ref="AO579:AO642" si="232">MAX(0,((MAX($F$2:$F$1194)+MAX($H$2:$H$1194)+MAX($J$2:$J$1194))-(F579+H579+J579))*T579)</f>
        <v>9.0129720871492651</v>
      </c>
      <c r="AP579">
        <f t="shared" ref="AP579:AP642" si="233">MAX(0,(MAX($M$2:$M$1194)-M579)*T579)</f>
        <v>0.49875224962261377</v>
      </c>
      <c r="AQ579">
        <f t="shared" ref="AQ579:AQ642" si="234">MAX(0,(MAX($O$2:$O$1194)-O579)*T579)</f>
        <v>1.9999999999988916E-3</v>
      </c>
      <c r="AR579">
        <f t="shared" ref="AR579:AR642" si="235">MAX(0,(MAX($Q$2:$Q$1194)-Q579)*T579)</f>
        <v>9.3000000000000007</v>
      </c>
      <c r="AS579">
        <f t="shared" ref="AS579:AS642" si="236">MAX(0,R579*(1-T579))</f>
        <v>0</v>
      </c>
      <c r="AT579" t="str">
        <f t="shared" ref="AT579:AT642" si="237">_xlfn.LET(_xlpm.v,AO579,_xlpm.l,AP579,_xlpm.c,AQ579,_xlpm.d,AR579,_xlpm.cli,AS579,_xlpm.mx,MAX(_xlpm.v,_xlpm.l,_xlpm.c,_xlpm.d,_xlpm.cli),IF(_xlpm.mx=_xlpm.cli,"CLIENTE",IF(_xlpm.mx=_xlpm.v,"VENTAS",IF(_xlpm.mx=_xlpm.l,"LOTO",IF(_xlpm.mx=_xlpm.c,"COMPLIANCE","DIGITAL")))))</f>
        <v>DIGITAL</v>
      </c>
      <c r="AU579">
        <f t="shared" ref="AU579:AU642" si="238">MAX(AO579,AP579,AQ579,AR579,AS579)</f>
        <v>9.3000000000000007</v>
      </c>
      <c r="AV579" t="str">
        <f t="shared" ref="AV579:AV642" si="239">IF(V579="CERRADO","⛔ Sin impacto comercial estimable por estado CERRADO.","Mayor retorno probable: " &amp; AT579 &amp; " (+" &amp; TEXT(AU579,"0,0") &amp; " puntos finales potenciales).")</f>
        <v>Mayor retorno probable: DIGITAL (+9,3 puntos finales potenciales).</v>
      </c>
    </row>
    <row r="580" spans="1:48" x14ac:dyDescent="0.3">
      <c r="A580" s="5">
        <v>51022998</v>
      </c>
      <c r="B580" s="5" t="str">
        <f>IFERROR(VLOOKUP(A580,VENTAS!$A$2:$B$1194,2,0),"")</f>
        <v>BELUZZO</v>
      </c>
      <c r="C580" s="5">
        <f>IFERROR(INDEX(VENTAS!$C$2:$E$1194,MATCH(A580,VENTAS!$A$2:$A$1194,0),MATCH(PARAMS_MODELO!$B$2,{"Q1","Q2","Q3"},0)),0)</f>
        <v>38231227.909999996</v>
      </c>
      <c r="D580" s="5">
        <f>IFERROR(INDEX(VENTAS!$F$2:$H$1194,MATCH(A580,VENTAS!$A$2:$A$1194,0),MATCH(PARAMS_MODELO!$B$2,{"Q1","Q2","Q3"},0)),0)</f>
        <v>69826134</v>
      </c>
      <c r="E580" s="8">
        <f t="shared" si="216"/>
        <v>0.82641619998126825</v>
      </c>
      <c r="F580" s="12">
        <f>IF(E580&lt;=PARAMS_MODELO!$B$15,0,IF(E580&gt;=PARAMS_MODELO!$B$17,100,100*MIN(1,(E580-PARAMS_MODELO!$B$15)/(PARAMS_MODELO!$B$16-PARAMS_MODELO!$B$15))))*PARAMS_MODELO!$B$7</f>
        <v>35</v>
      </c>
      <c r="G580" s="5">
        <f t="shared" si="217"/>
        <v>31594906.090000004</v>
      </c>
      <c r="H580" s="5">
        <f>(PARAMS_MODELO!$B$20*(MAX(0,MIN(3,E580))/3)+PARAMS_MODELO!$B$21*(IFERROR(LN(1+MAX(0,G580))/LN(1+MAX(0,MAX($G$2:$G$1194))),0)))*100*PARAMS_MODELO!$B$8</f>
        <v>6.9404357032854342</v>
      </c>
      <c r="I580" s="8">
        <f>E580-PARAMS_MODELO!$B$5</f>
        <v>0.64885336460574172</v>
      </c>
      <c r="J580" s="5">
        <f>IF(I580&lt;=PARAMS_MODELO!$B$18,0,IF(I580&gt;=PARAMS_MODELO!$B$19,100,100*(I580-PARAMS_MODELO!$B$18)/(PARAMS_MODELO!$B$19-PARAMS_MODELO!$B$18)))*PARAMS_MODELO!$B$9</f>
        <v>15</v>
      </c>
      <c r="K580" s="5">
        <f>IFERROR(CHOOSE(MATCH(PARAMS_MODELO!$B$2,{"Q1","Q2","Q3"},0),LOTO!$D580,LOTO!$F580,LOTO!$H580),0)</f>
        <v>3382500</v>
      </c>
      <c r="L580" s="8">
        <f t="shared" si="218"/>
        <v>4.8441748185571898E-2</v>
      </c>
      <c r="M580" s="5">
        <f>MIN(100,IF(PARAMS_MODELO!$B$23=0,0,100*L580/PARAMS_MODELO!$B$23))*PARAMS_MODELO!$B$10</f>
        <v>14.532524455671568</v>
      </c>
      <c r="N580" s="5">
        <f>IFERROR(VLOOKUP(A580,COMPLIANCE!$A$2:$F$1996,6,0),100)</f>
        <v>99.88</v>
      </c>
      <c r="O580" s="5">
        <f>N580*PARAMS_MODELO!$B$11</f>
        <v>9.9879999999999995</v>
      </c>
      <c r="P580" s="5">
        <f>IFERROR(VLOOKUP(A580,DIGITAL!$A$2:$J$2000,7,0),100)</f>
        <v>77</v>
      </c>
      <c r="Q580" s="5">
        <f>IFERROR(P580,0)*PARAMS_MODELO!$B$12</f>
        <v>7.7</v>
      </c>
      <c r="R580">
        <f t="shared" si="219"/>
        <v>89.160960158956996</v>
      </c>
      <c r="S580" s="5" t="str">
        <f>IFERROR(VLOOKUP(A580,CLIENTE!$A$2:$N$2000,13,0),1)</f>
        <v>Bueno</v>
      </c>
      <c r="T580" s="5">
        <f>IFERROR(VLOOKUP(A580,CLIENTE!$A$2:$N$2000,14,0),1)</f>
        <v>1.1000000000000001</v>
      </c>
      <c r="U580" s="5">
        <f t="shared" si="220"/>
        <v>98.0770561748527</v>
      </c>
      <c r="V580" s="5" t="str">
        <f>IF(U580&gt;=MAX(_xlfn.PERCENTILE.INC($U$2:$U$1194,PARAMS_MODELO!$B$50),PARAMS_MODELO!$B$45),"DIAMANTE",IF(U580&gt;=MAX(_xlfn.PERCENTILE.INC($U$2:$U$1194,PARAMS_MODELO!$B$51),PARAMS_MODELO!$B$46),"PLATINO",IF(U580&gt;=MAX(_xlfn.PERCENTILE.INC($U$2:$U$1194,PARAMS_MODELO!$B$52),PARAMS_MODELO!$B$47),"ORO",IF(U580&gt;=MAX(_xlfn.PERCENTILE.INC($U$2:$U$1194,PARAMS_MODELO!$B$53),PARAMS_MODELO!$B$48),"PLATA",IF(U580&gt;=1,"BRONCE","CERRADO")))))</f>
        <v>DIAMANTE</v>
      </c>
      <c r="W580" s="5" t="str" cm="1">
        <f t="array" ref="W580">_xlfn.XLOOKUP(1, (HIST_SCORE!$B:$B=PARAMS_MODELO!$B$4) * (HIST_SCORE!$C:$C=A580), HIST_SCORE!$E:$E, "No encontrado")</f>
        <v>DIAMANTE</v>
      </c>
      <c r="X580" s="5" t="str">
        <f>_xlfn.LET(_xlpm.act,MATCH(V580,{"DIAMANTE";"PLATINO";"ORO";"PLATA";"BRONCE";"CERRADO"},0),_xlpm.ant,MATCH(W580,{"DIAMANTE";"PLATINO";"ORO";"PLATA";"BRONCE";"CERRADO"},0),IF(_xlpm.act&lt;_xlpm.ant,"Mejora ↑",IF(_xlpm.act&gt;_xlpm.ant,"Baja ↓","Estable →")))</f>
        <v>Estable →</v>
      </c>
      <c r="Y580" s="5">
        <f>IFERROR(U580-SUMIFS(HIST_SCORE!$D:$D,HIST_SCORE!$B:$B,PARAMS_MODELO!$B$4,HIST_SCORE!$C:$C,$A580),"")</f>
        <v>1.5297900457407962</v>
      </c>
      <c r="Z580" s="5" t="str">
        <f t="shared" si="221"/>
        <v>→ Estable</v>
      </c>
      <c r="AA580" s="5">
        <f t="shared" si="222"/>
        <v>37</v>
      </c>
      <c r="AB580" s="5">
        <f>IFERROR(SUMIFS(HIST_SCORE!$F:$F,HIST_SCORE!$B:$B,PARAMS_MODELO!$B$4,HIST_SCORE!$C:$C,$A580),"")</f>
        <v>47</v>
      </c>
      <c r="AC580" s="5">
        <f t="shared" si="223"/>
        <v>10</v>
      </c>
      <c r="AD580" t="str">
        <f t="shared" si="225"/>
        <v/>
      </c>
      <c r="AE5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580="CERRADO",1,IF(V580="BRONCE",_xlpm.cPl,IF(V580="PLATA",_xlpm.cO,IF(V580="ORO",_xlpm.cP,IF(V580="PLATINO",_xlpm.cD,999))))))</f>
        <v>999</v>
      </c>
      <c r="AF5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580="CERRADO",0,IF(V580="BRONCE",1,IF(V580="PLATA",_xlpm.cPl,IF(V580="ORO",_xlpm.cO,IF(V580="PLATINO",_xlpm.cP,_xlpm.cD))))))</f>
        <v>96.054919694466676</v>
      </c>
      <c r="AG580">
        <f t="shared" si="226"/>
        <v>819.02085802286115</v>
      </c>
      <c r="AH580" t="str">
        <f t="shared" si="227"/>
        <v>SOSTENER</v>
      </c>
      <c r="AI580" t="str">
        <f t="shared" si="224"/>
        <v>✅ Mantener desempeño y monitorear variaciones para sostener categoría.</v>
      </c>
      <c r="AJ580" s="26">
        <f>_xlfn.LET(_xlpm.piso,AF580,_xlpm.corte,AE580,_xlpm.prog,IF(_xlpm.corte&lt;=_xlpm.piso,0,MAX(0,MIN(1,(U580-_xlpm.piso)/(_xlpm.corte-_xlpm.piso)))),_xlpm.orden,{"DIAMANTE";"PLATINO";"ORO";"PLATA";"BRONCE";"CERRADO"},_xlpm.act,IFERROR(MATCH(V580,_xlpm.orden,0),6),_xlpm.ant,IFERROR(MATCH(W580,_xlpm.orden,0),6),_xlpm.ajmov,IF(_xlpm.act&lt;_xlpm.ant,0.08,IF(_xlpm.act&gt;_xlpm.ant,-0.08,0)),_xlpm.ajcli,IF(T580&lt;0.95,-0.06,0),_xlpm.prob,MAX(0,MIN(1,_xlpm.prog+_xlpm.ajmov+_xlpm.ajcli)),IF(OR(V580="DIAMANTE",V580="CERRADO"),0,ROUND(_xlpm.prob,2)))</f>
        <v>0</v>
      </c>
      <c r="AK580" t="str">
        <f t="shared" si="228"/>
        <v>No aplica</v>
      </c>
      <c r="AL580" t="str">
        <f t="shared" si="229"/>
        <v>Margen de seguridad: 2,0 puntos</v>
      </c>
      <c r="AM580">
        <f t="shared" si="230"/>
        <v>0.8</v>
      </c>
      <c r="AN580" t="str">
        <f t="shared" si="231"/>
        <v>PRIORIDAD ALTA – requiere intervención inmediata</v>
      </c>
      <c r="AO580">
        <f t="shared" si="232"/>
        <v>8.7143469292111693</v>
      </c>
      <c r="AP580">
        <f t="shared" si="233"/>
        <v>0.5142230987612747</v>
      </c>
      <c r="AQ580">
        <f t="shared" si="234"/>
        <v>1.3200000000000501E-2</v>
      </c>
      <c r="AR580">
        <f t="shared" si="235"/>
        <v>2.5299999999999998</v>
      </c>
      <c r="AS580">
        <f t="shared" si="236"/>
        <v>0</v>
      </c>
      <c r="AT580" t="str">
        <f t="shared" si="237"/>
        <v>VENTAS</v>
      </c>
      <c r="AU580">
        <f t="shared" si="238"/>
        <v>8.7143469292111693</v>
      </c>
      <c r="AV580" t="str">
        <f t="shared" si="239"/>
        <v>Mayor retorno probable: VENTAS (+8,7 puntos finales potenciales).</v>
      </c>
    </row>
    <row r="581" spans="1:48" x14ac:dyDescent="0.3">
      <c r="A581" s="5">
        <v>51056485</v>
      </c>
      <c r="B581" s="5" t="str">
        <f>IFERROR(VLOOKUP(A581,VENTAS!$A$2:$B$1194,2,0),"")</f>
        <v>PUGH</v>
      </c>
      <c r="C581" s="5">
        <f>IFERROR(INDEX(VENTAS!$C$2:$E$1194,MATCH(A581,VENTAS!$A$2:$A$1194,0),MATCH(PARAMS_MODELO!$B$2,{"Q1","Q2","Q3"},0)),0)</f>
        <v>58602466.599999987</v>
      </c>
      <c r="D581" s="5">
        <f>IFERROR(INDEX(VENTAS!$F$2:$H$1194,MATCH(A581,VENTAS!$A$2:$A$1194,0),MATCH(PARAMS_MODELO!$B$2,{"Q1","Q2","Q3"},0)),0)</f>
        <v>69620045</v>
      </c>
      <c r="E581" s="8">
        <f t="shared" si="216"/>
        <v>0.18800536972619541</v>
      </c>
      <c r="F581" s="12">
        <f>IF(E581&lt;=PARAMS_MODELO!$B$15,0,IF(E581&gt;=PARAMS_MODELO!$B$17,100,100*MIN(1,(E581-PARAMS_MODELO!$B$15)/(PARAMS_MODELO!$B$16-PARAMS_MODELO!$B$15))))*PARAMS_MODELO!$B$7</f>
        <v>35</v>
      </c>
      <c r="G581" s="5">
        <f t="shared" si="217"/>
        <v>11017578.400000013</v>
      </c>
      <c r="H581" s="5">
        <f>(PARAMS_MODELO!$B$20*(MAX(0,MIN(3,E581))/3)+PARAMS_MODELO!$B$21*(IFERROR(LN(1+MAX(0,G581))/LN(1+MAX(0,MAX($G$2:$G$1194))),0)))*100*PARAMS_MODELO!$B$8</f>
        <v>4.4590417954794797</v>
      </c>
      <c r="I581" s="8">
        <f>E581-PARAMS_MODELO!$B$5</f>
        <v>1.0442534350668886E-2</v>
      </c>
      <c r="J581" s="5">
        <f>IF(I581&lt;=PARAMS_MODELO!$B$18,0,IF(I581&gt;=PARAMS_MODELO!$B$19,100,100*(I581-PARAMS_MODELO!$B$18)/(PARAMS_MODELO!$B$19-PARAMS_MODELO!$B$18)))*PARAMS_MODELO!$B$9</f>
        <v>9.0663801526003329</v>
      </c>
      <c r="K581" s="5">
        <f>IFERROR(CHOOSE(MATCH(PARAMS_MODELO!$B$2,{"Q1","Q2","Q3"},0),LOTO!$D581,LOTO!$F581,LOTO!$H581),0)</f>
        <v>3380000</v>
      </c>
      <c r="L581" s="8">
        <f t="shared" si="218"/>
        <v>4.8549236071306762E-2</v>
      </c>
      <c r="M581" s="5">
        <f>MIN(100,IF(PARAMS_MODELO!$B$23=0,0,100*L581/PARAMS_MODELO!$B$23))*PARAMS_MODELO!$B$10</f>
        <v>14.564770821392027</v>
      </c>
      <c r="N581" s="5">
        <f>IFERROR(VLOOKUP(A581,COMPLIANCE!$A$2:$F$1996,6,0),100)</f>
        <v>100</v>
      </c>
      <c r="O581" s="5">
        <f>N581*PARAMS_MODELO!$B$11</f>
        <v>10</v>
      </c>
      <c r="P581" s="5">
        <f>IFERROR(VLOOKUP(A581,DIGITAL!$A$2:$J$2000,7,0),100)</f>
        <v>76</v>
      </c>
      <c r="Q581" s="5">
        <f>IFERROR(P581,0)*PARAMS_MODELO!$B$12</f>
        <v>7.6000000000000005</v>
      </c>
      <c r="R581">
        <f t="shared" si="219"/>
        <v>80.690192769471835</v>
      </c>
      <c r="S581" s="5" t="str">
        <f>IFERROR(VLOOKUP(A581,CLIENTE!$A$2:$N$2000,13,0),1)</f>
        <v>Malo</v>
      </c>
      <c r="T581" s="5">
        <f>IFERROR(VLOOKUP(A581,CLIENTE!$A$2:$N$2000,14,0),1)</f>
        <v>0.7</v>
      </c>
      <c r="U581" s="5">
        <f t="shared" si="220"/>
        <v>56.483134938630279</v>
      </c>
      <c r="V581" s="5" t="str">
        <f>IF(U581&gt;=MAX(_xlfn.PERCENTILE.INC($U$2:$U$1194,PARAMS_MODELO!$B$50),PARAMS_MODELO!$B$45),"DIAMANTE",IF(U581&gt;=MAX(_xlfn.PERCENTILE.INC($U$2:$U$1194,PARAMS_MODELO!$B$51),PARAMS_MODELO!$B$46),"PLATINO",IF(U581&gt;=MAX(_xlfn.PERCENTILE.INC($U$2:$U$1194,PARAMS_MODELO!$B$52),PARAMS_MODELO!$B$47),"ORO",IF(U581&gt;=MAX(_xlfn.PERCENTILE.INC($U$2:$U$1194,PARAMS_MODELO!$B$53),PARAMS_MODELO!$B$48),"PLATA",IF(U581&gt;=1,"BRONCE","CERRADO")))))</f>
        <v>PLATA</v>
      </c>
      <c r="W581" s="5" t="str" cm="1">
        <f t="array" ref="W581">_xlfn.XLOOKUP(1, (HIST_SCORE!$B:$B=PARAMS_MODELO!$B$4) * (HIST_SCORE!$C:$C=A581), HIST_SCORE!$E:$E, "No encontrado")</f>
        <v>PLATA</v>
      </c>
      <c r="X581" s="5" t="str">
        <f>_xlfn.LET(_xlpm.act,MATCH(V581,{"DIAMANTE";"PLATINO";"ORO";"PLATA";"BRONCE";"CERRADO"},0),_xlpm.ant,MATCH(W581,{"DIAMANTE";"PLATINO";"ORO";"PLATA";"BRONCE";"CERRADO"},0),IF(_xlpm.act&lt;_xlpm.ant,"Mejora ↑",IF(_xlpm.act&gt;_xlpm.ant,"Baja ↓","Estable →")))</f>
        <v>Estable →</v>
      </c>
      <c r="Y581" s="5">
        <f>IFERROR(U581-SUMIFS(HIST_SCORE!$D:$D,HIST_SCORE!$B:$B,PARAMS_MODELO!$B$4,HIST_SCORE!$C:$C,$A581),"")</f>
        <v>-3.0869615459066821</v>
      </c>
      <c r="Z581" s="5" t="str">
        <f t="shared" si="221"/>
        <v>→ Estable</v>
      </c>
      <c r="AA581" s="5">
        <f t="shared" si="222"/>
        <v>692</v>
      </c>
      <c r="AB581" s="5">
        <f>IFERROR(SUMIFS(HIST_SCORE!$F:$F,HIST_SCORE!$B:$B,PARAMS_MODELO!$B$4,HIST_SCORE!$C:$C,$A581),"")</f>
        <v>656</v>
      </c>
      <c r="AC581" s="5">
        <f t="shared" si="223"/>
        <v>-36</v>
      </c>
      <c r="AD581" t="str">
        <f t="shared" si="225"/>
        <v/>
      </c>
      <c r="AE5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581="CERRADO",1,IF(V581="BRONCE",_xlpm.cPl,IF(V581="PLATA",_xlpm.cO,IF(V581="ORO",_xlpm.cP,IF(V581="PLATINO",_xlpm.cD,999))))))</f>
        <v>63.199193273331495</v>
      </c>
      <c r="AF5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581="CERRADO",0,IF(V581="BRONCE",1,IF(V581="PLATA",_xlpm.cPl,IF(V581="ORO",_xlpm.cO,IF(V581="PLATINO",_xlpm.cP,_xlpm.cD))))))</f>
        <v>24.506573482968111</v>
      </c>
      <c r="AG581">
        <f t="shared" si="226"/>
        <v>9.5943690495731602</v>
      </c>
      <c r="AH581" t="str">
        <f t="shared" si="227"/>
        <v>CLIENTE</v>
      </c>
      <c r="AI581" t="str">
        <f t="shared" si="224"/>
        <v>🎯 Para subir de categoría, la eje con mayor impacto probable es CLIENTE (coef T). Acción: reducir quejas, mejorar incógnito y empujar reseñas. ΔR aprox: 9,6</v>
      </c>
      <c r="AJ581" s="26">
        <f>_xlfn.LET(_xlpm.piso,AF581,_xlpm.corte,AE581,_xlpm.prog,IF(_xlpm.corte&lt;=_xlpm.piso,0,MAX(0,MIN(1,(U581-_xlpm.piso)/(_xlpm.corte-_xlpm.piso)))),_xlpm.orden,{"DIAMANTE";"PLATINO";"ORO";"PLATA";"BRONCE";"CERRADO"},_xlpm.act,IFERROR(MATCH(V581,_xlpm.orden,0),6),_xlpm.ant,IFERROR(MATCH(W581,_xlpm.orden,0),6),_xlpm.ajmov,IF(_xlpm.act&lt;_xlpm.ant,0.08,IF(_xlpm.act&gt;_xlpm.ant,-0.08,0)),_xlpm.ajcli,IF(T581&lt;0.95,-0.06,0),_xlpm.prob,MAX(0,MIN(1,_xlpm.prog+_xlpm.ajmov+_xlpm.ajcli)),IF(OR(V581="DIAMANTE",V581="CERRADO"),0,ROUND(_xlpm.prob,2)))</f>
        <v>0.77</v>
      </c>
      <c r="AK581" t="str">
        <f t="shared" si="228"/>
        <v>Faltan 9,6 puntos base para subir a la siguiente categoría</v>
      </c>
      <c r="AL581" t="str">
        <f t="shared" si="229"/>
        <v>Margen de seguridad: 32,0 puntos</v>
      </c>
      <c r="AM581">
        <f t="shared" si="230"/>
        <v>0.68</v>
      </c>
      <c r="AN581" t="str">
        <f t="shared" si="231"/>
        <v>PRIORIDAD MEDIA – seguimiento del asesor</v>
      </c>
      <c r="AO581">
        <f t="shared" si="232"/>
        <v>11.436003129051041</v>
      </c>
      <c r="AP581">
        <f t="shared" si="233"/>
        <v>0.30466042502558072</v>
      </c>
      <c r="AQ581">
        <f t="shared" si="234"/>
        <v>0</v>
      </c>
      <c r="AR581">
        <f t="shared" si="235"/>
        <v>1.6799999999999995</v>
      </c>
      <c r="AS581">
        <f t="shared" si="236"/>
        <v>24.207057830841553</v>
      </c>
      <c r="AT581" t="str">
        <f t="shared" si="237"/>
        <v>CLIENTE</v>
      </c>
      <c r="AU581">
        <f t="shared" si="238"/>
        <v>24.207057830841553</v>
      </c>
      <c r="AV581" t="str">
        <f t="shared" si="239"/>
        <v>Mayor retorno probable: CLIENTE (+24,2 puntos finales potenciales).</v>
      </c>
    </row>
    <row r="582" spans="1:48" x14ac:dyDescent="0.3">
      <c r="A582" s="5">
        <v>51055705</v>
      </c>
      <c r="B582" s="5" t="str">
        <f>IFERROR(VLOOKUP(A582,VENTAS!$A$2:$B$1194,2,0),"")</f>
        <v>LÓPEZ</v>
      </c>
      <c r="C582" s="5">
        <f>IFERROR(INDEX(VENTAS!$C$2:$E$1194,MATCH(A582,VENTAS!$A$2:$A$1194,0),MATCH(PARAMS_MODELO!$B$2,{"Q1","Q2","Q3"},0)),0)</f>
        <v>60690479.759999998</v>
      </c>
      <c r="D582" s="5">
        <f>IFERROR(INDEX(VENTAS!$F$2:$H$1194,MATCH(A582,VENTAS!$A$2:$A$1194,0),MATCH(PARAMS_MODELO!$B$2,{"Q1","Q2","Q3"},0)),0)</f>
        <v>69617034</v>
      </c>
      <c r="E582" s="8">
        <f t="shared" si="216"/>
        <v>0.14708327031356472</v>
      </c>
      <c r="F582" s="12">
        <f>IF(E582&lt;=PARAMS_MODELO!$B$15,0,IF(E582&gt;=PARAMS_MODELO!$B$17,100,100*MIN(1,(E582-PARAMS_MODELO!$B$15)/(PARAMS_MODELO!$B$16-PARAMS_MODELO!$B$15))))*PARAMS_MODELO!$B$7</f>
        <v>35</v>
      </c>
      <c r="G582" s="5">
        <f t="shared" si="217"/>
        <v>8926554.2400000021</v>
      </c>
      <c r="H582" s="5">
        <f>(PARAMS_MODELO!$B$20*(MAX(0,MIN(3,E582))/3)+PARAMS_MODELO!$B$21*(IFERROR(LN(1+MAX(0,G582))/LN(1+MAX(0,MAX($G$2:$G$1194))),0)))*100*PARAMS_MODELO!$B$8</f>
        <v>4.2664793207702338</v>
      </c>
      <c r="I582" s="8">
        <f>E582-PARAMS_MODELO!$B$5</f>
        <v>-3.0479565061961811E-2</v>
      </c>
      <c r="J582" s="5">
        <f>IF(I582&lt;=PARAMS_MODELO!$B$18,0,IF(I582&gt;=PARAMS_MODELO!$B$19,100,100*(I582-PARAMS_MODELO!$B$18)/(PARAMS_MODELO!$B$19-PARAMS_MODELO!$B$18)))*PARAMS_MODELO!$B$9</f>
        <v>2.9280652407057284</v>
      </c>
      <c r="K582" s="5">
        <f>IFERROR(CHOOSE(MATCH(PARAMS_MODELO!$B$2,{"Q1","Q2","Q3"},0),LOTO!$D582,LOTO!$F582,LOTO!$H582),0)</f>
        <v>3377500</v>
      </c>
      <c r="L582" s="8">
        <f t="shared" si="218"/>
        <v>4.8515425118513381E-2</v>
      </c>
      <c r="M582" s="5">
        <f>MIN(100,IF(PARAMS_MODELO!$B$23=0,0,100*L582/PARAMS_MODELO!$B$23))*PARAMS_MODELO!$B$10</f>
        <v>14.554627535554015</v>
      </c>
      <c r="N582" s="5">
        <f>IFERROR(VLOOKUP(A582,COMPLIANCE!$A$2:$F$1996,6,0),100)</f>
        <v>100</v>
      </c>
      <c r="O582" s="5">
        <f>N582*PARAMS_MODELO!$B$11</f>
        <v>10</v>
      </c>
      <c r="P582" s="5">
        <f>IFERROR(VLOOKUP(A582,DIGITAL!$A$2:$J$2000,7,0),100)</f>
        <v>89</v>
      </c>
      <c r="Q582" s="5">
        <f>IFERROR(P582,0)*PARAMS_MODELO!$B$12</f>
        <v>8.9</v>
      </c>
      <c r="R582">
        <f t="shared" si="219"/>
        <v>75.649172097029975</v>
      </c>
      <c r="S582" s="5" t="str">
        <f>IFERROR(VLOOKUP(A582,CLIENTE!$A$2:$N$2000,13,0),1)</f>
        <v>Bueno</v>
      </c>
      <c r="T582" s="5">
        <f>IFERROR(VLOOKUP(A582,CLIENTE!$A$2:$N$2000,14,0),1)</f>
        <v>1.1000000000000001</v>
      </c>
      <c r="U582" s="5">
        <f t="shared" si="220"/>
        <v>83.214089306732973</v>
      </c>
      <c r="V582" s="5" t="str">
        <f>IF(U582&gt;=MAX(_xlfn.PERCENTILE.INC($U$2:$U$1194,PARAMS_MODELO!$B$50),PARAMS_MODELO!$B$45),"DIAMANTE",IF(U582&gt;=MAX(_xlfn.PERCENTILE.INC($U$2:$U$1194,PARAMS_MODELO!$B$51),PARAMS_MODELO!$B$46),"PLATINO",IF(U582&gt;=MAX(_xlfn.PERCENTILE.INC($U$2:$U$1194,PARAMS_MODELO!$B$52),PARAMS_MODELO!$B$47),"ORO",IF(U582&gt;=MAX(_xlfn.PERCENTILE.INC($U$2:$U$1194,PARAMS_MODELO!$B$53),PARAMS_MODELO!$B$48),"PLATA",IF(U582&gt;=1,"BRONCE","CERRADO")))))</f>
        <v>ORO</v>
      </c>
      <c r="W582" s="5" t="str" cm="1">
        <f t="array" ref="W582">_xlfn.XLOOKUP(1, (HIST_SCORE!$B:$B=PARAMS_MODELO!$B$4) * (HIST_SCORE!$C:$C=A582), HIST_SCORE!$E:$E, "No encontrado")</f>
        <v>PLATINO</v>
      </c>
      <c r="X582" s="5" t="str">
        <f>_xlfn.LET(_xlpm.act,MATCH(V582,{"DIAMANTE";"PLATINO";"ORO";"PLATA";"BRONCE";"CERRADO"},0),_xlpm.ant,MATCH(W582,{"DIAMANTE";"PLATINO";"ORO";"PLATA";"BRONCE";"CERRADO"},0),IF(_xlpm.act&lt;_xlpm.ant,"Mejora ↑",IF(_xlpm.act&gt;_xlpm.ant,"Baja ↓","Estable →")))</f>
        <v>Baja ↓</v>
      </c>
      <c r="Y582" s="5">
        <f>IFERROR(U582-SUMIFS(HIST_SCORE!$D:$D,HIST_SCORE!$B:$B,PARAMS_MODELO!$B$4,HIST_SCORE!$C:$C,$A582),"")</f>
        <v>-9.5676745808085286</v>
      </c>
      <c r="Z582" s="5" t="str">
        <f t="shared" si="221"/>
        <v>↓ Baja</v>
      </c>
      <c r="AA582" s="5">
        <f t="shared" si="222"/>
        <v>341</v>
      </c>
      <c r="AB582" s="5">
        <f>IFERROR(SUMIFS(HIST_SCORE!$F:$F,HIST_SCORE!$B:$B,PARAMS_MODELO!$B$4,HIST_SCORE!$C:$C,$A582),"")</f>
        <v>91</v>
      </c>
      <c r="AC582" s="5">
        <f t="shared" si="223"/>
        <v>-250</v>
      </c>
      <c r="AD582" t="str">
        <f t="shared" si="225"/>
        <v>Sostener base y reforzar mix</v>
      </c>
      <c r="AE5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582="CERRADO",1,IF(V582="BRONCE",_xlpm.cPl,IF(V582="PLATA",_xlpm.cO,IF(V582="ORO",_xlpm.cP,IF(V582="PLATINO",_xlpm.cD,999))))))</f>
        <v>86.439123873763251</v>
      </c>
      <c r="AF5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582="CERRADO",0,IF(V582="BRONCE",1,IF(V582="PLATA",_xlpm.cPl,IF(V582="ORO",_xlpm.cO,IF(V582="PLATINO",_xlpm.cP,_xlpm.cD))))))</f>
        <v>63.199193273331495</v>
      </c>
      <c r="AG582">
        <f t="shared" si="226"/>
        <v>2.9318496063911539</v>
      </c>
      <c r="AH582" t="str">
        <f t="shared" si="227"/>
        <v>VENTAS</v>
      </c>
      <c r="AI582" t="str">
        <f t="shared" si="224"/>
        <v>🎯 Para subir de categoría, eje VENTAS / DIFERENCIAL vs LOTBA (J). Acción: metas semanales + activación comercial + seguimiento del asesor. ΔR aprox: 2,9</v>
      </c>
      <c r="AJ582" s="26">
        <f>_xlfn.LET(_xlpm.piso,AF582,_xlpm.corte,AE582,_xlpm.prog,IF(_xlpm.corte&lt;=_xlpm.piso,0,MAX(0,MIN(1,(U582-_xlpm.piso)/(_xlpm.corte-_xlpm.piso)))),_xlpm.orden,{"DIAMANTE";"PLATINO";"ORO";"PLATA";"BRONCE";"CERRADO"},_xlpm.act,IFERROR(MATCH(V582,_xlpm.orden,0),6),_xlpm.ant,IFERROR(MATCH(W582,_xlpm.orden,0),6),_xlpm.ajmov,IF(_xlpm.act&lt;_xlpm.ant,0.08,IF(_xlpm.act&gt;_xlpm.ant,-0.08,0)),_xlpm.ajcli,IF(T582&lt;0.95,-0.06,0),_xlpm.prob,MAX(0,MIN(1,_xlpm.prog+_xlpm.ajmov+_xlpm.ajcli)),IF(OR(V582="DIAMANTE",V582="CERRADO"),0,ROUND(_xlpm.prob,2)))</f>
        <v>0.78</v>
      </c>
      <c r="AK582" t="str">
        <f t="shared" si="228"/>
        <v>Faltan 2,9 puntos base para subir a la siguiente categoría</v>
      </c>
      <c r="AL582" t="str">
        <f t="shared" si="229"/>
        <v>Margen de seguridad: 20,0 puntos</v>
      </c>
      <c r="AM582">
        <f t="shared" si="230"/>
        <v>0.21</v>
      </c>
      <c r="AN582" t="str">
        <f t="shared" si="231"/>
        <v>PRIORIDAD BAJA – control normal</v>
      </c>
      <c r="AO582">
        <f t="shared" si="232"/>
        <v>24.934827185201591</v>
      </c>
      <c r="AP582">
        <f t="shared" si="233"/>
        <v>0.48990971089058316</v>
      </c>
      <c r="AQ582">
        <f t="shared" si="234"/>
        <v>0</v>
      </c>
      <c r="AR582">
        <f t="shared" si="235"/>
        <v>1.2099999999999997</v>
      </c>
      <c r="AS582">
        <f t="shared" si="236"/>
        <v>0</v>
      </c>
      <c r="AT582" t="str">
        <f t="shared" si="237"/>
        <v>VENTAS</v>
      </c>
      <c r="AU582">
        <f t="shared" si="238"/>
        <v>24.934827185201591</v>
      </c>
      <c r="AV582" t="str">
        <f t="shared" si="239"/>
        <v>Mayor retorno probable: VENTAS (+24,9 puntos finales potenciales).</v>
      </c>
    </row>
    <row r="583" spans="1:48" x14ac:dyDescent="0.3">
      <c r="A583" s="5">
        <v>51041798</v>
      </c>
      <c r="B583" s="5" t="str">
        <f>IFERROR(VLOOKUP(A583,VENTAS!$A$2:$B$1194,2,0),"")</f>
        <v>LÓPEZ</v>
      </c>
      <c r="C583" s="5">
        <f>IFERROR(INDEX(VENTAS!$C$2:$E$1194,MATCH(A583,VENTAS!$A$2:$A$1194,0),MATCH(PARAMS_MODELO!$B$2,{"Q1","Q2","Q3"},0)),0)</f>
        <v>57625841.539999999</v>
      </c>
      <c r="D583" s="5">
        <f>IFERROR(INDEX(VENTAS!$F$2:$H$1194,MATCH(A583,VENTAS!$A$2:$A$1194,0),MATCH(PARAMS_MODELO!$B$2,{"Q1","Q2","Q3"},0)),0)</f>
        <v>69593454</v>
      </c>
      <c r="E583" s="8">
        <f t="shared" si="216"/>
        <v>0.20767787749690192</v>
      </c>
      <c r="F583" s="12">
        <f>IF(E583&lt;=PARAMS_MODELO!$B$15,0,IF(E583&gt;=PARAMS_MODELO!$B$17,100,100*MIN(1,(E583-PARAMS_MODELO!$B$15)/(PARAMS_MODELO!$B$16-PARAMS_MODELO!$B$15))))*PARAMS_MODELO!$B$7</f>
        <v>35</v>
      </c>
      <c r="G583" s="5">
        <f t="shared" si="217"/>
        <v>11967612.460000001</v>
      </c>
      <c r="H583" s="5">
        <f>(PARAMS_MODELO!$B$20*(MAX(0,MIN(3,E583))/3)+PARAMS_MODELO!$B$21*(IFERROR(LN(1+MAX(0,G583))/LN(1+MAX(0,MAX($G$2:$G$1194))),0)))*100*PARAMS_MODELO!$B$8</f>
        <v>4.5472844198403051</v>
      </c>
      <c r="I583" s="8">
        <f>E583-PARAMS_MODELO!$B$5</f>
        <v>3.011504212137539E-2</v>
      </c>
      <c r="J583" s="5">
        <f>IF(I583&lt;=PARAMS_MODELO!$B$18,0,IF(I583&gt;=PARAMS_MODELO!$B$19,100,100*(I583-PARAMS_MODELO!$B$18)/(PARAMS_MODELO!$B$19-PARAMS_MODELO!$B$18)))*PARAMS_MODELO!$B$9</f>
        <v>12.017256318206309</v>
      </c>
      <c r="K583" s="5">
        <f>IFERROR(CHOOSE(MATCH(PARAMS_MODELO!$B$2,{"Q1","Q2","Q3"},0),LOTO!$D583,LOTO!$F583,LOTO!$H583),0)</f>
        <v>3365000</v>
      </c>
      <c r="L583" s="8">
        <f t="shared" si="218"/>
        <v>4.835224876178728E-2</v>
      </c>
      <c r="M583" s="5">
        <f>MIN(100,IF(PARAMS_MODELO!$B$23=0,0,100*L583/PARAMS_MODELO!$B$23))*PARAMS_MODELO!$B$10</f>
        <v>14.505674628536184</v>
      </c>
      <c r="N583" s="5">
        <f>IFERROR(VLOOKUP(A583,COMPLIANCE!$A$2:$F$1996,6,0),100)</f>
        <v>100</v>
      </c>
      <c r="O583" s="5">
        <f>N583*PARAMS_MODELO!$B$11</f>
        <v>10</v>
      </c>
      <c r="P583" s="5">
        <f>IFERROR(VLOOKUP(A583,DIGITAL!$A$2:$J$2000,7,0),100)</f>
        <v>71</v>
      </c>
      <c r="Q583" s="5">
        <f>IFERROR(P583,0)*PARAMS_MODELO!$B$12</f>
        <v>7.1000000000000005</v>
      </c>
      <c r="R583">
        <f t="shared" si="219"/>
        <v>83.170215366582795</v>
      </c>
      <c r="S583" s="5" t="str">
        <f>IFERROR(VLOOKUP(A583,CLIENTE!$A$2:$N$2000,13,0),1)</f>
        <v>Regular</v>
      </c>
      <c r="T583" s="5">
        <f>IFERROR(VLOOKUP(A583,CLIENTE!$A$2:$N$2000,14,0),1)</f>
        <v>1</v>
      </c>
      <c r="U583" s="5">
        <f t="shared" si="220"/>
        <v>83.170215366582795</v>
      </c>
      <c r="V583" s="5" t="str">
        <f>IF(U583&gt;=MAX(_xlfn.PERCENTILE.INC($U$2:$U$1194,PARAMS_MODELO!$B$50),PARAMS_MODELO!$B$45),"DIAMANTE",IF(U583&gt;=MAX(_xlfn.PERCENTILE.INC($U$2:$U$1194,PARAMS_MODELO!$B$51),PARAMS_MODELO!$B$46),"PLATINO",IF(U583&gt;=MAX(_xlfn.PERCENTILE.INC($U$2:$U$1194,PARAMS_MODELO!$B$52),PARAMS_MODELO!$B$47),"ORO",IF(U583&gt;=MAX(_xlfn.PERCENTILE.INC($U$2:$U$1194,PARAMS_MODELO!$B$53),PARAMS_MODELO!$B$48),"PLATA",IF(U583&gt;=1,"BRONCE","CERRADO")))))</f>
        <v>ORO</v>
      </c>
      <c r="W583" s="5" t="str" cm="1">
        <f t="array" ref="W583">_xlfn.XLOOKUP(1, (HIST_SCORE!$B:$B=PARAMS_MODELO!$B$4) * (HIST_SCORE!$C:$C=A583), HIST_SCORE!$E:$E, "No encontrado")</f>
        <v>PLATA</v>
      </c>
      <c r="X583" s="5" t="str">
        <f>_xlfn.LET(_xlpm.act,MATCH(V583,{"DIAMANTE";"PLATINO";"ORO";"PLATA";"BRONCE";"CERRADO"},0),_xlpm.ant,MATCH(W583,{"DIAMANTE";"PLATINO";"ORO";"PLATA";"BRONCE";"CERRADO"},0),IF(_xlpm.act&lt;_xlpm.ant,"Mejora ↑",IF(_xlpm.act&gt;_xlpm.ant,"Baja ↓","Estable →")))</f>
        <v>Mejora ↑</v>
      </c>
      <c r="Y583" s="5">
        <f>IFERROR(U583-SUMIFS(HIST_SCORE!$D:$D,HIST_SCORE!$B:$B,PARAMS_MODELO!$B$4,HIST_SCORE!$C:$C,$A583),"")</f>
        <v>45.951220457916413</v>
      </c>
      <c r="Z583" s="5" t="str">
        <f t="shared" si="221"/>
        <v>↑ Mejora</v>
      </c>
      <c r="AA583" s="5">
        <f t="shared" si="222"/>
        <v>346</v>
      </c>
      <c r="AB583" s="5">
        <f>IFERROR(SUMIFS(HIST_SCORE!$F:$F,HIST_SCORE!$B:$B,PARAMS_MODELO!$B$4,HIST_SCORE!$C:$C,$A583),"")</f>
        <v>857</v>
      </c>
      <c r="AC583" s="5">
        <f t="shared" si="223"/>
        <v>511</v>
      </c>
      <c r="AD583" t="str">
        <f t="shared" si="225"/>
        <v/>
      </c>
      <c r="AE5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583="CERRADO",1,IF(V583="BRONCE",_xlpm.cPl,IF(V583="PLATA",_xlpm.cO,IF(V583="ORO",_xlpm.cP,IF(V583="PLATINO",_xlpm.cD,999))))))</f>
        <v>86.439123873763251</v>
      </c>
      <c r="AF5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583="CERRADO",0,IF(V583="BRONCE",1,IF(V583="PLATA",_xlpm.cPl,IF(V583="ORO",_xlpm.cO,IF(V583="PLATINO",_xlpm.cP,_xlpm.cD))))))</f>
        <v>63.199193273331495</v>
      </c>
      <c r="AG583">
        <f t="shared" si="226"/>
        <v>3.2689085071804556</v>
      </c>
      <c r="AH583" t="str">
        <f t="shared" si="227"/>
        <v>VENTAS</v>
      </c>
      <c r="AI583" t="str">
        <f t="shared" si="224"/>
        <v>🎯 Para subir de categoría, eje VENTAS / IMPACTO ABSOLUTO (H). Acción: metas semanales + activación comercial + seguimiento del asesor. ΔR aprox: 3,3</v>
      </c>
      <c r="AJ583" s="26">
        <f>_xlfn.LET(_xlpm.piso,AF583,_xlpm.corte,AE583,_xlpm.prog,IF(_xlpm.corte&lt;=_xlpm.piso,0,MAX(0,MIN(1,(U583-_xlpm.piso)/(_xlpm.corte-_xlpm.piso)))),_xlpm.orden,{"DIAMANTE";"PLATINO";"ORO";"PLATA";"BRONCE";"CERRADO"},_xlpm.act,IFERROR(MATCH(V583,_xlpm.orden,0),6),_xlpm.ant,IFERROR(MATCH(W583,_xlpm.orden,0),6),_xlpm.ajmov,IF(_xlpm.act&lt;_xlpm.ant,0.08,IF(_xlpm.act&gt;_xlpm.ant,-0.08,0)),_xlpm.ajcli,IF(T583&lt;0.95,-0.06,0),_xlpm.prob,MAX(0,MIN(1,_xlpm.prog+_xlpm.ajmov+_xlpm.ajcli)),IF(OR(V583="DIAMANTE",V583="CERRADO"),0,ROUND(_xlpm.prob,2)))</f>
        <v>0.94</v>
      </c>
      <c r="AK583" t="str">
        <f t="shared" si="228"/>
        <v>Faltan 3,3 puntos base para subir a la siguiente categoría</v>
      </c>
      <c r="AL583" t="str">
        <f t="shared" si="229"/>
        <v>Margen de seguridad: 20,0 puntos</v>
      </c>
      <c r="AM583">
        <f t="shared" si="230"/>
        <v>0.15</v>
      </c>
      <c r="AN583" t="str">
        <f t="shared" si="231"/>
        <v>PRIORIDAD BAJA – control normal</v>
      </c>
      <c r="AO583">
        <f t="shared" si="232"/>
        <v>13.298028537248975</v>
      </c>
      <c r="AP583">
        <f t="shared" si="233"/>
        <v>0.49432537146381605</v>
      </c>
      <c r="AQ583">
        <f t="shared" si="234"/>
        <v>0</v>
      </c>
      <c r="AR583">
        <f t="shared" si="235"/>
        <v>2.8999999999999995</v>
      </c>
      <c r="AS583">
        <f t="shared" si="236"/>
        <v>0</v>
      </c>
      <c r="AT583" t="str">
        <f t="shared" si="237"/>
        <v>VENTAS</v>
      </c>
      <c r="AU583">
        <f t="shared" si="238"/>
        <v>13.298028537248975</v>
      </c>
      <c r="AV583" t="str">
        <f t="shared" si="239"/>
        <v>Mayor retorno probable: VENTAS (+13,3 puntos finales potenciales).</v>
      </c>
    </row>
    <row r="584" spans="1:48" x14ac:dyDescent="0.3">
      <c r="A584" s="5">
        <v>51020600</v>
      </c>
      <c r="B584" s="5" t="str">
        <f>IFERROR(VLOOKUP(A584,VENTAS!$A$2:$B$1194,2,0),"")</f>
        <v>PRADES</v>
      </c>
      <c r="C584" s="5">
        <f>IFERROR(INDEX(VENTAS!$C$2:$E$1194,MATCH(A584,VENTAS!$A$2:$A$1194,0),MATCH(PARAMS_MODELO!$B$2,{"Q1","Q2","Q3"},0)),0)</f>
        <v>43059969.840000004</v>
      </c>
      <c r="D584" s="5">
        <f>IFERROR(INDEX(VENTAS!$F$2:$H$1194,MATCH(A584,VENTAS!$A$2:$A$1194,0),MATCH(PARAMS_MODELO!$B$2,{"Q1","Q2","Q3"},0)),0)</f>
        <v>69555554</v>
      </c>
      <c r="E584" s="8">
        <f t="shared" si="216"/>
        <v>0.61531822382716261</v>
      </c>
      <c r="F584" s="12">
        <f>IF(E584&lt;=PARAMS_MODELO!$B$15,0,IF(E584&gt;=PARAMS_MODELO!$B$17,100,100*MIN(1,(E584-PARAMS_MODELO!$B$15)/(PARAMS_MODELO!$B$16-PARAMS_MODELO!$B$15))))*PARAMS_MODELO!$B$7</f>
        <v>35</v>
      </c>
      <c r="G584" s="5">
        <f t="shared" si="217"/>
        <v>26495584.159999996</v>
      </c>
      <c r="H584" s="5">
        <f>(PARAMS_MODELO!$B$20*(MAX(0,MIN(3,E584))/3)+PARAMS_MODELO!$B$21*(IFERROR(LN(1+MAX(0,G584))/LN(1+MAX(0,MAX($G$2:$G$1194))),0)))*100*PARAMS_MODELO!$B$8</f>
        <v>6.1603317528318238</v>
      </c>
      <c r="I584" s="8">
        <f>E584-PARAMS_MODELO!$B$5</f>
        <v>0.43775538845163608</v>
      </c>
      <c r="J584" s="5">
        <f>IF(I584&lt;=PARAMS_MODELO!$B$18,0,IF(I584&gt;=PARAMS_MODELO!$B$19,100,100*(I584-PARAMS_MODELO!$B$18)/(PARAMS_MODELO!$B$19-PARAMS_MODELO!$B$18)))*PARAMS_MODELO!$B$9</f>
        <v>15</v>
      </c>
      <c r="K584" s="5">
        <f>IFERROR(CHOOSE(MATCH(PARAMS_MODELO!$B$2,{"Q1","Q2","Q3"},0),LOTO!$D584,LOTO!$F584,LOTO!$H584),0)</f>
        <v>3362500</v>
      </c>
      <c r="L584" s="8">
        <f t="shared" si="218"/>
        <v>4.8342652838334089E-2</v>
      </c>
      <c r="M584" s="5">
        <f>MIN(100,IF(PARAMS_MODELO!$B$23=0,0,100*L584/PARAMS_MODELO!$B$23))*PARAMS_MODELO!$B$10</f>
        <v>14.502795851500224</v>
      </c>
      <c r="N584" s="5">
        <f>IFERROR(VLOOKUP(A584,COMPLIANCE!$A$2:$F$1996,6,0),100)</f>
        <v>99.98</v>
      </c>
      <c r="O584" s="5">
        <f>N584*PARAMS_MODELO!$B$11</f>
        <v>9.9980000000000011</v>
      </c>
      <c r="P584" s="5">
        <f>IFERROR(VLOOKUP(A584,DIGITAL!$A$2:$J$2000,7,0),100)</f>
        <v>30</v>
      </c>
      <c r="Q584" s="5">
        <f>IFERROR(P584,0)*PARAMS_MODELO!$B$12</f>
        <v>3</v>
      </c>
      <c r="R584">
        <f t="shared" si="219"/>
        <v>83.661127604332052</v>
      </c>
      <c r="S584" s="5" t="str">
        <f>IFERROR(VLOOKUP(A584,CLIENTE!$A$2:$N$2000,13,0),1)</f>
        <v>Malo</v>
      </c>
      <c r="T584" s="5">
        <f>IFERROR(VLOOKUP(A584,CLIENTE!$A$2:$N$2000,14,0),1)</f>
        <v>0.7</v>
      </c>
      <c r="U584" s="5">
        <f t="shared" si="220"/>
        <v>58.562789323032433</v>
      </c>
      <c r="V584" s="5" t="str">
        <f>IF(U584&gt;=MAX(_xlfn.PERCENTILE.INC($U$2:$U$1194,PARAMS_MODELO!$B$50),PARAMS_MODELO!$B$45),"DIAMANTE",IF(U584&gt;=MAX(_xlfn.PERCENTILE.INC($U$2:$U$1194,PARAMS_MODELO!$B$51),PARAMS_MODELO!$B$46),"PLATINO",IF(U584&gt;=MAX(_xlfn.PERCENTILE.INC($U$2:$U$1194,PARAMS_MODELO!$B$52),PARAMS_MODELO!$B$47),"ORO",IF(U584&gt;=MAX(_xlfn.PERCENTILE.INC($U$2:$U$1194,PARAMS_MODELO!$B$53),PARAMS_MODELO!$B$48),"PLATA",IF(U584&gt;=1,"BRONCE","CERRADO")))))</f>
        <v>PLATA</v>
      </c>
      <c r="W584" s="5" t="str" cm="1">
        <f t="array" ref="W584">_xlfn.XLOOKUP(1, (HIST_SCORE!$B:$B=PARAMS_MODELO!$B$4) * (HIST_SCORE!$C:$C=A584), HIST_SCORE!$E:$E, "No encontrado")</f>
        <v>PLATA</v>
      </c>
      <c r="X584" s="5" t="str">
        <f>_xlfn.LET(_xlpm.act,MATCH(V584,{"DIAMANTE";"PLATINO";"ORO";"PLATA";"BRONCE";"CERRADO"},0),_xlpm.ant,MATCH(W584,{"DIAMANTE";"PLATINO";"ORO";"PLATA";"BRONCE";"CERRADO"},0),IF(_xlpm.act&lt;_xlpm.ant,"Mejora ↑",IF(_xlpm.act&gt;_xlpm.ant,"Baja ↓","Estable →")))</f>
        <v>Estable →</v>
      </c>
      <c r="Y584" s="5">
        <f>IFERROR(U584-SUMIFS(HIST_SCORE!$D:$D,HIST_SCORE!$B:$B,PARAMS_MODELO!$B$4,HIST_SCORE!$C:$C,$A584),"")</f>
        <v>4.9435460841849022E-3</v>
      </c>
      <c r="Z584" s="5" t="str">
        <f t="shared" si="221"/>
        <v>→ Estable</v>
      </c>
      <c r="AA584" s="5">
        <f t="shared" si="222"/>
        <v>646</v>
      </c>
      <c r="AB584" s="5">
        <f>IFERROR(SUMIFS(HIST_SCORE!$F:$F,HIST_SCORE!$B:$B,PARAMS_MODELO!$B$4,HIST_SCORE!$C:$C,$A584),"")</f>
        <v>673</v>
      </c>
      <c r="AC584" s="5">
        <f t="shared" si="223"/>
        <v>27</v>
      </c>
      <c r="AD584" t="str">
        <f t="shared" si="225"/>
        <v/>
      </c>
      <c r="AE5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584="CERRADO",1,IF(V584="BRONCE",_xlpm.cPl,IF(V584="PLATA",_xlpm.cO,IF(V584="ORO",_xlpm.cP,IF(V584="PLATINO",_xlpm.cD,999))))))</f>
        <v>63.199193273331495</v>
      </c>
      <c r="AF5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584="CERRADO",0,IF(V584="BRONCE",1,IF(V584="PLATA",_xlpm.cPl,IF(V584="ORO",_xlpm.cO,IF(V584="PLATINO",_xlpm.cP,_xlpm.cD))))))</f>
        <v>24.506573482968111</v>
      </c>
      <c r="AG584">
        <f t="shared" si="226"/>
        <v>6.6234342147129439</v>
      </c>
      <c r="AH584" t="str">
        <f t="shared" si="227"/>
        <v>CLIENTE</v>
      </c>
      <c r="AI584" t="str">
        <f t="shared" si="224"/>
        <v>🎯 Para subir de categoría, la eje con mayor impacto probable es CLIENTE (coef T). Acción: reducir quejas, mejorar incógnito y empujar reseñas. ΔR aprox: 6,6</v>
      </c>
      <c r="AJ584" s="26">
        <f>_xlfn.LET(_xlpm.piso,AF584,_xlpm.corte,AE584,_xlpm.prog,IF(_xlpm.corte&lt;=_xlpm.piso,0,MAX(0,MIN(1,(U584-_xlpm.piso)/(_xlpm.corte-_xlpm.piso)))),_xlpm.orden,{"DIAMANTE";"PLATINO";"ORO";"PLATA";"BRONCE";"CERRADO"},_xlpm.act,IFERROR(MATCH(V584,_xlpm.orden,0),6),_xlpm.ant,IFERROR(MATCH(W584,_xlpm.orden,0),6),_xlpm.ajmov,IF(_xlpm.act&lt;_xlpm.ant,0.08,IF(_xlpm.act&gt;_xlpm.ant,-0.08,0)),_xlpm.ajcli,IF(T584&lt;0.95,-0.06,0),_xlpm.prob,MAX(0,MIN(1,_xlpm.prog+_xlpm.ajmov+_xlpm.ajcli)),IF(OR(V584="DIAMANTE",V584="CERRADO"),0,ROUND(_xlpm.prob,2)))</f>
        <v>0.82</v>
      </c>
      <c r="AK584" t="str">
        <f t="shared" si="228"/>
        <v>Faltan 6,6 puntos base para subir a la siguiente categoría</v>
      </c>
      <c r="AL584" t="str">
        <f t="shared" si="229"/>
        <v>Margen de seguridad: 34,1 puntos</v>
      </c>
      <c r="AM584">
        <f t="shared" si="230"/>
        <v>0.54</v>
      </c>
      <c r="AN584" t="str">
        <f t="shared" si="231"/>
        <v>PRIORIDAD MEDIA – seguimiento del asesor</v>
      </c>
      <c r="AO584">
        <f t="shared" si="232"/>
        <v>6.0915662657246328</v>
      </c>
      <c r="AP584">
        <f t="shared" si="233"/>
        <v>0.34804290394984316</v>
      </c>
      <c r="AQ584">
        <f t="shared" si="234"/>
        <v>1.3999999999992239E-3</v>
      </c>
      <c r="AR584">
        <f t="shared" si="235"/>
        <v>4.8999999999999995</v>
      </c>
      <c r="AS584">
        <f t="shared" si="236"/>
        <v>25.098338281299618</v>
      </c>
      <c r="AT584" t="str">
        <f t="shared" si="237"/>
        <v>CLIENTE</v>
      </c>
      <c r="AU584">
        <f t="shared" si="238"/>
        <v>25.098338281299618</v>
      </c>
      <c r="AV584" t="str">
        <f t="shared" si="239"/>
        <v>Mayor retorno probable: CLIENTE (+25,1 puntos finales potenciales).</v>
      </c>
    </row>
    <row r="585" spans="1:48" x14ac:dyDescent="0.3">
      <c r="A585" s="5">
        <v>51033795</v>
      </c>
      <c r="B585" s="5" t="str">
        <f>IFERROR(VLOOKUP(A585,VENTAS!$A$2:$B$1194,2,0),"")</f>
        <v>AYALA</v>
      </c>
      <c r="C585" s="5">
        <f>IFERROR(INDEX(VENTAS!$C$2:$E$1194,MATCH(A585,VENTAS!$A$2:$A$1194,0),MATCH(PARAMS_MODELO!$B$2,{"Q1","Q2","Q3"},0)),0)</f>
        <v>60629996.760000013</v>
      </c>
      <c r="D585" s="5">
        <f>IFERROR(INDEX(VENTAS!$F$2:$H$1194,MATCH(A585,VENTAS!$A$2:$A$1194,0),MATCH(PARAMS_MODELO!$B$2,{"Q1","Q2","Q3"},0)),0)</f>
        <v>69532325</v>
      </c>
      <c r="E585" s="8">
        <f t="shared" si="216"/>
        <v>0.14683042579136663</v>
      </c>
      <c r="F585" s="12">
        <f>IF(E585&lt;=PARAMS_MODELO!$B$15,0,IF(E585&gt;=PARAMS_MODELO!$B$17,100,100*MIN(1,(E585-PARAMS_MODELO!$B$15)/(PARAMS_MODELO!$B$16-PARAMS_MODELO!$B$15))))*PARAMS_MODELO!$B$7</f>
        <v>35</v>
      </c>
      <c r="G585" s="5">
        <f t="shared" si="217"/>
        <v>8902328.2399999872</v>
      </c>
      <c r="H585" s="5">
        <f>(PARAMS_MODELO!$B$20*(MAX(0,MIN(3,E585))/3)+PARAMS_MODELO!$B$21*(IFERROR(LN(1+MAX(0,G585))/LN(1+MAX(0,MAX($G$2:$G$1194))),0)))*100*PARAMS_MODELO!$B$8</f>
        <v>4.264957318231823</v>
      </c>
      <c r="I585" s="8">
        <f>E585-PARAMS_MODELO!$B$5</f>
        <v>-3.0732409584159903E-2</v>
      </c>
      <c r="J585" s="5">
        <f>IF(I585&lt;=PARAMS_MODELO!$B$18,0,IF(I585&gt;=PARAMS_MODELO!$B$19,100,100*(I585-PARAMS_MODELO!$B$18)/(PARAMS_MODELO!$B$19-PARAMS_MODELO!$B$18)))*PARAMS_MODELO!$B$9</f>
        <v>2.8901385623760145</v>
      </c>
      <c r="K585" s="5">
        <f>IFERROR(CHOOSE(MATCH(PARAMS_MODELO!$B$2,{"Q1","Q2","Q3"},0),LOTO!$D585,LOTO!$F585,LOTO!$H585),0)</f>
        <v>3360000</v>
      </c>
      <c r="L585" s="8">
        <f t="shared" si="218"/>
        <v>4.8322848401804487E-2</v>
      </c>
      <c r="M585" s="5">
        <f>MIN(100,IF(PARAMS_MODELO!$B$23=0,0,100*L585/PARAMS_MODELO!$B$23))*PARAMS_MODELO!$B$10</f>
        <v>14.496854520541342</v>
      </c>
      <c r="N585" s="5">
        <f>IFERROR(VLOOKUP(A585,COMPLIANCE!$A$2:$F$1996,6,0),100)</f>
        <v>100</v>
      </c>
      <c r="O585" s="5">
        <f>N585*PARAMS_MODELO!$B$11</f>
        <v>10</v>
      </c>
      <c r="P585" s="5">
        <f>IFERROR(VLOOKUP(A585,DIGITAL!$A$2:$J$2000,7,0),100)</f>
        <v>86</v>
      </c>
      <c r="Q585" s="5">
        <f>IFERROR(P585,0)*PARAMS_MODELO!$B$12</f>
        <v>8.6</v>
      </c>
      <c r="R585">
        <f t="shared" si="219"/>
        <v>75.251950401149173</v>
      </c>
      <c r="S585" s="5" t="str">
        <f>IFERROR(VLOOKUP(A585,CLIENTE!$A$2:$N$2000,13,0),1)</f>
        <v>Regular</v>
      </c>
      <c r="T585" s="5">
        <f>IFERROR(VLOOKUP(A585,CLIENTE!$A$2:$N$2000,14,0),1)</f>
        <v>1</v>
      </c>
      <c r="U585" s="5">
        <f t="shared" si="220"/>
        <v>75.251950401149173</v>
      </c>
      <c r="V585" s="5" t="str">
        <f>IF(U585&gt;=MAX(_xlfn.PERCENTILE.INC($U$2:$U$1194,PARAMS_MODELO!$B$50),PARAMS_MODELO!$B$45),"DIAMANTE",IF(U585&gt;=MAX(_xlfn.PERCENTILE.INC($U$2:$U$1194,PARAMS_MODELO!$B$51),PARAMS_MODELO!$B$46),"PLATINO",IF(U585&gt;=MAX(_xlfn.PERCENTILE.INC($U$2:$U$1194,PARAMS_MODELO!$B$52),PARAMS_MODELO!$B$47),"ORO",IF(U585&gt;=MAX(_xlfn.PERCENTILE.INC($U$2:$U$1194,PARAMS_MODELO!$B$53),PARAMS_MODELO!$B$48),"PLATA",IF(U585&gt;=1,"BRONCE","CERRADO")))))</f>
        <v>ORO</v>
      </c>
      <c r="W585" s="5" t="str" cm="1">
        <f t="array" ref="W585">_xlfn.XLOOKUP(1, (HIST_SCORE!$B:$B=PARAMS_MODELO!$B$4) * (HIST_SCORE!$C:$C=A585), HIST_SCORE!$E:$E, "No encontrado")</f>
        <v>PLATA</v>
      </c>
      <c r="X585" s="5" t="str">
        <f>_xlfn.LET(_xlpm.act,MATCH(V585,{"DIAMANTE";"PLATINO";"ORO";"PLATA";"BRONCE";"CERRADO"},0),_xlpm.ant,MATCH(W585,{"DIAMANTE";"PLATINO";"ORO";"PLATA";"BRONCE";"CERRADO"},0),IF(_xlpm.act&lt;_xlpm.ant,"Mejora ↑",IF(_xlpm.act&gt;_xlpm.ant,"Baja ↓","Estable →")))</f>
        <v>Mejora ↑</v>
      </c>
      <c r="Y585" s="5">
        <f>IFERROR(U585-SUMIFS(HIST_SCORE!$D:$D,HIST_SCORE!$B:$B,PARAMS_MODELO!$B$4,HIST_SCORE!$C:$C,$A585),"")</f>
        <v>31.872199771473447</v>
      </c>
      <c r="Z585" s="5" t="str">
        <f t="shared" si="221"/>
        <v>↑ Mejora</v>
      </c>
      <c r="AA585" s="5">
        <f t="shared" si="222"/>
        <v>474</v>
      </c>
      <c r="AB585" s="5">
        <f>IFERROR(SUMIFS(HIST_SCORE!$F:$F,HIST_SCORE!$B:$B,PARAMS_MODELO!$B$4,HIST_SCORE!$C:$C,$A585),"")</f>
        <v>833</v>
      </c>
      <c r="AC585" s="5">
        <f t="shared" si="223"/>
        <v>359</v>
      </c>
      <c r="AD585" t="str">
        <f t="shared" si="225"/>
        <v/>
      </c>
      <c r="AE5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585="CERRADO",1,IF(V585="BRONCE",_xlpm.cPl,IF(V585="PLATA",_xlpm.cO,IF(V585="ORO",_xlpm.cP,IF(V585="PLATINO",_xlpm.cD,999))))))</f>
        <v>86.439123873763251</v>
      </c>
      <c r="AF5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585="CERRADO",0,IF(V585="BRONCE",1,IF(V585="PLATA",_xlpm.cPl,IF(V585="ORO",_xlpm.cO,IF(V585="PLATINO",_xlpm.cP,_xlpm.cD))))))</f>
        <v>63.199193273331495</v>
      </c>
      <c r="AG585">
        <f t="shared" si="226"/>
        <v>11.187173472614077</v>
      </c>
      <c r="AH585" t="str">
        <f t="shared" si="227"/>
        <v>VENTAS</v>
      </c>
      <c r="AI585" t="str">
        <f t="shared" si="224"/>
        <v>🎯 Para subir de categoría, eje VENTAS / DIFERENCIAL vs LOTBA (J). Acción: metas semanales + activación comercial + seguimiento del asesor. ΔR aprox: 11,2</v>
      </c>
      <c r="AJ585" s="26">
        <f>_xlfn.LET(_xlpm.piso,AF585,_xlpm.corte,AE585,_xlpm.prog,IF(_xlpm.corte&lt;=_xlpm.piso,0,MAX(0,MIN(1,(U585-_xlpm.piso)/(_xlpm.corte-_xlpm.piso)))),_xlpm.orden,{"DIAMANTE";"PLATINO";"ORO";"PLATA";"BRONCE";"CERRADO"},_xlpm.act,IFERROR(MATCH(V585,_xlpm.orden,0),6),_xlpm.ant,IFERROR(MATCH(W585,_xlpm.orden,0),6),_xlpm.ajmov,IF(_xlpm.act&lt;_xlpm.ant,0.08,IF(_xlpm.act&gt;_xlpm.ant,-0.08,0)),_xlpm.ajcli,IF(T585&lt;0.95,-0.06,0),_xlpm.prob,MAX(0,MIN(1,_xlpm.prog+_xlpm.ajmov+_xlpm.ajcli)),IF(OR(V585="DIAMANTE",V585="CERRADO"),0,ROUND(_xlpm.prob,2)))</f>
        <v>0.6</v>
      </c>
      <c r="AK585" t="str">
        <f t="shared" si="228"/>
        <v>Faltan 11,2 puntos base para subir a la siguiente categoría</v>
      </c>
      <c r="AL585" t="str">
        <f t="shared" si="229"/>
        <v>Margen de seguridad: 12,1 puntos</v>
      </c>
      <c r="AM585">
        <f t="shared" si="230"/>
        <v>0.56000000000000005</v>
      </c>
      <c r="AN585" t="str">
        <f t="shared" si="231"/>
        <v>PRIORIDAD MEDIA – seguimiento del asesor</v>
      </c>
      <c r="AO585">
        <f t="shared" si="232"/>
        <v>22.707473394687746</v>
      </c>
      <c r="AP585">
        <f t="shared" si="233"/>
        <v>0.50314547945865762</v>
      </c>
      <c r="AQ585">
        <f t="shared" si="234"/>
        <v>0</v>
      </c>
      <c r="AR585">
        <f t="shared" si="235"/>
        <v>1.4000000000000004</v>
      </c>
      <c r="AS585">
        <f t="shared" si="236"/>
        <v>0</v>
      </c>
      <c r="AT585" t="str">
        <f t="shared" si="237"/>
        <v>VENTAS</v>
      </c>
      <c r="AU585">
        <f t="shared" si="238"/>
        <v>22.707473394687746</v>
      </c>
      <c r="AV585" t="str">
        <f t="shared" si="239"/>
        <v>Mayor retorno probable: VENTAS (+22,7 puntos finales potenciales).</v>
      </c>
    </row>
    <row r="586" spans="1:48" x14ac:dyDescent="0.3">
      <c r="A586" s="5">
        <v>51030419</v>
      </c>
      <c r="B586" s="5" t="str">
        <f>IFERROR(VLOOKUP(A586,VENTAS!$A$2:$B$1194,2,0),"")</f>
        <v>PRADES</v>
      </c>
      <c r="C586" s="5">
        <f>IFERROR(INDEX(VENTAS!$C$2:$E$1194,MATCH(A586,VENTAS!$A$2:$A$1194,0),MATCH(PARAMS_MODELO!$B$2,{"Q1","Q2","Q3"},0)),0)</f>
        <v>67603601.020000011</v>
      </c>
      <c r="D586" s="5">
        <f>IFERROR(INDEX(VENTAS!$F$2:$H$1194,MATCH(A586,VENTAS!$A$2:$A$1194,0),MATCH(PARAMS_MODELO!$B$2,{"Q1","Q2","Q3"},0)),0)</f>
        <v>69215276</v>
      </c>
      <c r="E586" s="8">
        <f t="shared" si="216"/>
        <v>2.3840075908429625E-2</v>
      </c>
      <c r="F586" s="12">
        <f>IF(E586&lt;=PARAMS_MODELO!$B$15,0,IF(E586&gt;=PARAMS_MODELO!$B$17,100,100*MIN(1,(E586-PARAMS_MODELO!$B$15)/(PARAMS_MODELO!$B$16-PARAMS_MODELO!$B$15))))*PARAMS_MODELO!$B$7</f>
        <v>8.3440265679503689</v>
      </c>
      <c r="G586" s="5">
        <f t="shared" si="217"/>
        <v>1611674.9799999893</v>
      </c>
      <c r="H586" s="5">
        <f>(PARAMS_MODELO!$B$20*(MAX(0,MIN(3,E586))/3)+PARAMS_MODELO!$B$21*(IFERROR(LN(1+MAX(0,G586))/LN(1+MAX(0,MAX($G$2:$G$1194))),0)))*100*PARAMS_MODELO!$B$8</f>
        <v>3.4338686483365928</v>
      </c>
      <c r="I586" s="8">
        <f>E586-PARAMS_MODELO!$B$5</f>
        <v>-0.1537227594670969</v>
      </c>
      <c r="J586" s="5">
        <f>IF(I586&lt;=PARAMS_MODELO!$B$18,0,IF(I586&gt;=PARAMS_MODELO!$B$19,100,100*(I586-PARAMS_MODELO!$B$18)/(PARAMS_MODELO!$B$19-PARAMS_MODELO!$B$18)))*PARAMS_MODELO!$B$9</f>
        <v>0</v>
      </c>
      <c r="K586" s="5">
        <f>IFERROR(CHOOSE(MATCH(PARAMS_MODELO!$B$2,{"Q1","Q2","Q3"},0),LOTO!$D586,LOTO!$F586,LOTO!$H586),0)</f>
        <v>3355000</v>
      </c>
      <c r="L586" s="8">
        <f t="shared" si="218"/>
        <v>4.8471958704607347E-2</v>
      </c>
      <c r="M586" s="5">
        <f>MIN(100,IF(PARAMS_MODELO!$B$23=0,0,100*L586/PARAMS_MODELO!$B$23))*PARAMS_MODELO!$B$10</f>
        <v>14.541587611382203</v>
      </c>
      <c r="N586" s="5">
        <f>IFERROR(VLOOKUP(A586,COMPLIANCE!$A$2:$F$1996,6,0),100)</f>
        <v>100</v>
      </c>
      <c r="O586" s="5">
        <f>N586*PARAMS_MODELO!$B$11</f>
        <v>10</v>
      </c>
      <c r="P586" s="5">
        <f>IFERROR(VLOOKUP(A586,DIGITAL!$A$2:$J$2000,7,0),100)</f>
        <v>93</v>
      </c>
      <c r="Q586" s="5">
        <f>IFERROR(P586,0)*PARAMS_MODELO!$B$12</f>
        <v>9.3000000000000007</v>
      </c>
      <c r="R586">
        <f t="shared" si="219"/>
        <v>45.61948282766916</v>
      </c>
      <c r="S586" s="5" t="str">
        <f>IFERROR(VLOOKUP(A586,CLIENTE!$A$2:$N$2000,13,0),1)</f>
        <v>Bueno</v>
      </c>
      <c r="T586" s="5">
        <f>IFERROR(VLOOKUP(A586,CLIENTE!$A$2:$N$2000,14,0),1)</f>
        <v>1.1000000000000001</v>
      </c>
      <c r="U586" s="5">
        <f t="shared" si="220"/>
        <v>50.18143111043608</v>
      </c>
      <c r="V586" s="5" t="str">
        <f>IF(U586&gt;=MAX(_xlfn.PERCENTILE.INC($U$2:$U$1194,PARAMS_MODELO!$B$50),PARAMS_MODELO!$B$45),"DIAMANTE",IF(U586&gt;=MAX(_xlfn.PERCENTILE.INC($U$2:$U$1194,PARAMS_MODELO!$B$51),PARAMS_MODELO!$B$46),"PLATINO",IF(U586&gt;=MAX(_xlfn.PERCENTILE.INC($U$2:$U$1194,PARAMS_MODELO!$B$52),PARAMS_MODELO!$B$47),"ORO",IF(U586&gt;=MAX(_xlfn.PERCENTILE.INC($U$2:$U$1194,PARAMS_MODELO!$B$53),PARAMS_MODELO!$B$48),"PLATA",IF(U586&gt;=1,"BRONCE","CERRADO")))))</f>
        <v>PLATA</v>
      </c>
      <c r="W586" s="5" t="str" cm="1">
        <f t="array" ref="W586">_xlfn.XLOOKUP(1, (HIST_SCORE!$B:$B=PARAMS_MODELO!$B$4) * (HIST_SCORE!$C:$C=A586), HIST_SCORE!$E:$E, "No encontrado")</f>
        <v>ORO</v>
      </c>
      <c r="X586" s="5" t="str">
        <f>_xlfn.LET(_xlpm.act,MATCH(V586,{"DIAMANTE";"PLATINO";"ORO";"PLATA";"BRONCE";"CERRADO"},0),_xlpm.ant,MATCH(W586,{"DIAMANTE";"PLATINO";"ORO";"PLATA";"BRONCE";"CERRADO"},0),IF(_xlpm.act&lt;_xlpm.ant,"Mejora ↑",IF(_xlpm.act&gt;_xlpm.ant,"Baja ↓","Estable →")))</f>
        <v>Baja ↓</v>
      </c>
      <c r="Y586" s="5">
        <f>IFERROR(U586-SUMIFS(HIST_SCORE!$D:$D,HIST_SCORE!$B:$B,PARAMS_MODELO!$B$4,HIST_SCORE!$C:$C,$A586),"")</f>
        <v>-25.634743970330931</v>
      </c>
      <c r="Z586" s="5" t="str">
        <f t="shared" si="221"/>
        <v>↓ Baja</v>
      </c>
      <c r="AA586" s="5">
        <f t="shared" si="222"/>
        <v>741</v>
      </c>
      <c r="AB586" s="5">
        <f>IFERROR(SUMIFS(HIST_SCORE!$F:$F,HIST_SCORE!$B:$B,PARAMS_MODELO!$B$4,HIST_SCORE!$C:$C,$A586),"")</f>
        <v>484</v>
      </c>
      <c r="AC586" s="5">
        <f t="shared" si="223"/>
        <v>-257</v>
      </c>
      <c r="AD586" t="str">
        <f t="shared" si="225"/>
        <v/>
      </c>
      <c r="AE5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586="CERRADO",1,IF(V586="BRONCE",_xlpm.cPl,IF(V586="PLATA",_xlpm.cO,IF(V586="ORO",_xlpm.cP,IF(V586="PLATINO",_xlpm.cD,999))))))</f>
        <v>63.199193273331495</v>
      </c>
      <c r="AF5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586="CERRADO",0,IF(V586="BRONCE",1,IF(V586="PLATA",_xlpm.cPl,IF(V586="ORO",_xlpm.cO,IF(V586="PLATINO",_xlpm.cP,_xlpm.cD))))))</f>
        <v>24.506573482968111</v>
      </c>
      <c r="AG586">
        <f t="shared" si="226"/>
        <v>11.834329238995835</v>
      </c>
      <c r="AH586" t="str">
        <f t="shared" si="227"/>
        <v>VENTAS</v>
      </c>
      <c r="AI586" t="str">
        <f t="shared" si="224"/>
        <v>🎯 Para subir de categoría, eje VENTAS / DIFERENCIAL vs LOTBA (J). Acción: metas semanales + activación comercial + seguimiento del asesor. ΔR aprox: 11,8</v>
      </c>
      <c r="AJ586" s="26">
        <f>_xlfn.LET(_xlpm.piso,AF586,_xlpm.corte,AE586,_xlpm.prog,IF(_xlpm.corte&lt;=_xlpm.piso,0,MAX(0,MIN(1,(U586-_xlpm.piso)/(_xlpm.corte-_xlpm.piso)))),_xlpm.orden,{"DIAMANTE";"PLATINO";"ORO";"PLATA";"BRONCE";"CERRADO"},_xlpm.act,IFERROR(MATCH(V586,_xlpm.orden,0),6),_xlpm.ant,IFERROR(MATCH(W586,_xlpm.orden,0),6),_xlpm.ajmov,IF(_xlpm.act&lt;_xlpm.ant,0.08,IF(_xlpm.act&gt;_xlpm.ant,-0.08,0)),_xlpm.ajcli,IF(T586&lt;0.95,-0.06,0),_xlpm.prob,MAX(0,MIN(1,_xlpm.prog+_xlpm.ajmov+_xlpm.ajcli)),IF(OR(V586="DIAMANTE",V586="CERRADO"),0,ROUND(_xlpm.prob,2)))</f>
        <v>0.57999999999999996</v>
      </c>
      <c r="AK586" t="str">
        <f t="shared" si="228"/>
        <v>Faltan 11,8 puntos base para subir a la siguiente categoría</v>
      </c>
      <c r="AL586" t="str">
        <f t="shared" si="229"/>
        <v>Margen de seguridad: 25,7 puntos</v>
      </c>
      <c r="AM586">
        <f t="shared" si="230"/>
        <v>0.56999999999999995</v>
      </c>
      <c r="AN586" t="str">
        <f t="shared" si="231"/>
        <v>PRIORIDAD MEDIA – seguimiento del asesor</v>
      </c>
      <c r="AO586">
        <f t="shared" si="232"/>
        <v>58.393141464909483</v>
      </c>
      <c r="AP586">
        <f t="shared" si="233"/>
        <v>0.50425362747957636</v>
      </c>
      <c r="AQ586">
        <f t="shared" si="234"/>
        <v>0</v>
      </c>
      <c r="AR586">
        <f t="shared" si="235"/>
        <v>0.76999999999999924</v>
      </c>
      <c r="AS586">
        <f t="shared" si="236"/>
        <v>0</v>
      </c>
      <c r="AT586" t="str">
        <f t="shared" si="237"/>
        <v>VENTAS</v>
      </c>
      <c r="AU586">
        <f t="shared" si="238"/>
        <v>58.393141464909483</v>
      </c>
      <c r="AV586" t="str">
        <f t="shared" si="239"/>
        <v>Mayor retorno probable: VENTAS (+58,4 puntos finales potenciales).</v>
      </c>
    </row>
    <row r="587" spans="1:48" x14ac:dyDescent="0.3">
      <c r="A587" s="5">
        <v>51038819</v>
      </c>
      <c r="B587" s="5" t="str">
        <f>IFERROR(VLOOKUP(A587,VENTAS!$A$2:$B$1194,2,0),"")</f>
        <v>PRADES</v>
      </c>
      <c r="C587" s="5">
        <f>IFERROR(INDEX(VENTAS!$C$2:$E$1194,MATCH(A587,VENTAS!$A$2:$A$1194,0),MATCH(PARAMS_MODELO!$B$2,{"Q1","Q2","Q3"},0)),0)</f>
        <v>55374174.850000001</v>
      </c>
      <c r="D587" s="5">
        <f>IFERROR(INDEX(VENTAS!$F$2:$H$1194,MATCH(A587,VENTAS!$A$2:$A$1194,0),MATCH(PARAMS_MODELO!$B$2,{"Q1","Q2","Q3"},0)),0)</f>
        <v>68796151</v>
      </c>
      <c r="E587" s="8">
        <f t="shared" si="216"/>
        <v>0.24238692831736164</v>
      </c>
      <c r="F587" s="12">
        <f>IF(E587&lt;=PARAMS_MODELO!$B$15,0,IF(E587&gt;=PARAMS_MODELO!$B$17,100,100*MIN(1,(E587-PARAMS_MODELO!$B$15)/(PARAMS_MODELO!$B$16-PARAMS_MODELO!$B$15))))*PARAMS_MODELO!$B$7</f>
        <v>35</v>
      </c>
      <c r="G587" s="5">
        <f t="shared" si="217"/>
        <v>13421976.149999999</v>
      </c>
      <c r="H587" s="5">
        <f>(PARAMS_MODELO!$B$20*(MAX(0,MIN(3,E587))/3)+PARAMS_MODELO!$B$21*(IFERROR(LN(1+MAX(0,G587))/LN(1+MAX(0,MAX($G$2:$G$1194))),0)))*100*PARAMS_MODELO!$B$8</f>
        <v>4.6956508769601299</v>
      </c>
      <c r="I587" s="8">
        <f>E587-PARAMS_MODELO!$B$5</f>
        <v>6.482409294183511E-2</v>
      </c>
      <c r="J587" s="5">
        <f>IF(I587&lt;=PARAMS_MODELO!$B$18,0,IF(I587&gt;=PARAMS_MODELO!$B$19,100,100*(I587-PARAMS_MODELO!$B$18)/(PARAMS_MODELO!$B$19-PARAMS_MODELO!$B$18)))*PARAMS_MODELO!$B$9</f>
        <v>15</v>
      </c>
      <c r="K587" s="5">
        <f>IFERROR(CHOOSE(MATCH(PARAMS_MODELO!$B$2,{"Q1","Q2","Q3"},0),LOTO!$D587,LOTO!$F587,LOTO!$H587),0)</f>
        <v>3352500</v>
      </c>
      <c r="L587" s="8">
        <f t="shared" si="218"/>
        <v>4.8730923914624233E-2</v>
      </c>
      <c r="M587" s="5">
        <f>MIN(100,IF(PARAMS_MODELO!$B$23=0,0,100*L587/PARAMS_MODELO!$B$23))*PARAMS_MODELO!$B$10</f>
        <v>14.619277174387268</v>
      </c>
      <c r="N587" s="5">
        <f>IFERROR(VLOOKUP(A587,COMPLIANCE!$A$2:$F$1996,6,0),100)</f>
        <v>100</v>
      </c>
      <c r="O587" s="5">
        <f>N587*PARAMS_MODELO!$B$11</f>
        <v>10</v>
      </c>
      <c r="P587" s="5">
        <f>IFERROR(VLOOKUP(A587,DIGITAL!$A$2:$J$2000,7,0),100)</f>
        <v>30</v>
      </c>
      <c r="Q587" s="5">
        <f>IFERROR(P587,0)*PARAMS_MODELO!$B$12</f>
        <v>3</v>
      </c>
      <c r="R587">
        <f t="shared" si="219"/>
        <v>82.314928051347394</v>
      </c>
      <c r="S587" s="5" t="str">
        <f>IFERROR(VLOOKUP(A587,CLIENTE!$A$2:$N$2000,13,0),1)</f>
        <v>Regular</v>
      </c>
      <c r="T587" s="5">
        <f>IFERROR(VLOOKUP(A587,CLIENTE!$A$2:$N$2000,14,0),1)</f>
        <v>1</v>
      </c>
      <c r="U587" s="5">
        <f t="shared" si="220"/>
        <v>82.314928051347394</v>
      </c>
      <c r="V587" s="5" t="str">
        <f>IF(U587&gt;=MAX(_xlfn.PERCENTILE.INC($U$2:$U$1194,PARAMS_MODELO!$B$50),PARAMS_MODELO!$B$45),"DIAMANTE",IF(U587&gt;=MAX(_xlfn.PERCENTILE.INC($U$2:$U$1194,PARAMS_MODELO!$B$51),PARAMS_MODELO!$B$46),"PLATINO",IF(U587&gt;=MAX(_xlfn.PERCENTILE.INC($U$2:$U$1194,PARAMS_MODELO!$B$52),PARAMS_MODELO!$B$47),"ORO",IF(U587&gt;=MAX(_xlfn.PERCENTILE.INC($U$2:$U$1194,PARAMS_MODELO!$B$53),PARAMS_MODELO!$B$48),"PLATA",IF(U587&gt;=1,"BRONCE","CERRADO")))))</f>
        <v>ORO</v>
      </c>
      <c r="W587" s="5" t="str" cm="1">
        <f t="array" ref="W587">_xlfn.XLOOKUP(1, (HIST_SCORE!$B:$B=PARAMS_MODELO!$B$4) * (HIST_SCORE!$C:$C=A587), HIST_SCORE!$E:$E, "No encontrado")</f>
        <v>ORO</v>
      </c>
      <c r="X587" s="5" t="str">
        <f>_xlfn.LET(_xlpm.act,MATCH(V587,{"DIAMANTE";"PLATINO";"ORO";"PLATA";"BRONCE";"CERRADO"},0),_xlpm.ant,MATCH(W587,{"DIAMANTE";"PLATINO";"ORO";"PLATA";"BRONCE";"CERRADO"},0),IF(_xlpm.act&lt;_xlpm.ant,"Mejora ↑",IF(_xlpm.act&gt;_xlpm.ant,"Baja ↓","Estable →")))</f>
        <v>Estable →</v>
      </c>
      <c r="Y587" s="5">
        <f>IFERROR(U587-SUMIFS(HIST_SCORE!$D:$D,HIST_SCORE!$B:$B,PARAMS_MODELO!$B$4,HIST_SCORE!$C:$C,$A587),"")</f>
        <v>2.5129282153263546</v>
      </c>
      <c r="Z587" s="5" t="str">
        <f t="shared" si="221"/>
        <v>→ Estable</v>
      </c>
      <c r="AA587" s="5">
        <f t="shared" si="222"/>
        <v>381</v>
      </c>
      <c r="AB587" s="5">
        <f>IFERROR(SUMIFS(HIST_SCORE!$F:$F,HIST_SCORE!$B:$B,PARAMS_MODELO!$B$4,HIST_SCORE!$C:$C,$A587),"")</f>
        <v>424</v>
      </c>
      <c r="AC587" s="5">
        <f t="shared" si="223"/>
        <v>43</v>
      </c>
      <c r="AD587" t="str">
        <f t="shared" si="225"/>
        <v/>
      </c>
      <c r="AE5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587="CERRADO",1,IF(V587="BRONCE",_xlpm.cPl,IF(V587="PLATA",_xlpm.cO,IF(V587="ORO",_xlpm.cP,IF(V587="PLATINO",_xlpm.cD,999))))))</f>
        <v>86.439123873763251</v>
      </c>
      <c r="AF5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587="CERRADO",0,IF(V587="BRONCE",1,IF(V587="PLATA",_xlpm.cPl,IF(V587="ORO",_xlpm.cO,IF(V587="PLATINO",_xlpm.cP,_xlpm.cD))))))</f>
        <v>63.199193273331495</v>
      </c>
      <c r="AG587">
        <f t="shared" si="226"/>
        <v>4.1241958224158566</v>
      </c>
      <c r="AH587" t="str">
        <f t="shared" si="227"/>
        <v>VENTAS</v>
      </c>
      <c r="AI587" t="str">
        <f t="shared" si="224"/>
        <v>🎯 Para subir de categoría, eje VENTAS / IMPACTO ABSOLUTO (H). Acción: metas semanales + activación comercial + seguimiento del asesor. ΔR aprox: 4,1</v>
      </c>
      <c r="AJ587" s="26">
        <f>_xlfn.LET(_xlpm.piso,AF587,_xlpm.corte,AE587,_xlpm.prog,IF(_xlpm.corte&lt;=_xlpm.piso,0,MAX(0,MIN(1,(U587-_xlpm.piso)/(_xlpm.corte-_xlpm.piso)))),_xlpm.orden,{"DIAMANTE";"PLATINO";"ORO";"PLATA";"BRONCE";"CERRADO"},_xlpm.act,IFERROR(MATCH(V587,_xlpm.orden,0),6),_xlpm.ant,IFERROR(MATCH(W587,_xlpm.orden,0),6),_xlpm.ajmov,IF(_xlpm.act&lt;_xlpm.ant,0.08,IF(_xlpm.act&gt;_xlpm.ant,-0.08,0)),_xlpm.ajcli,IF(T587&lt;0.95,-0.06,0),_xlpm.prob,MAX(0,MIN(1,_xlpm.prog+_xlpm.ajmov+_xlpm.ajcli)),IF(OR(V587="DIAMANTE",V587="CERRADO"),0,ROUND(_xlpm.prob,2)))</f>
        <v>0.82</v>
      </c>
      <c r="AK587" t="str">
        <f t="shared" si="228"/>
        <v>Faltan 4,1 puntos base para subir a la siguiente categoría</v>
      </c>
      <c r="AL587" t="str">
        <f t="shared" si="229"/>
        <v>Margen de seguridad: 19,1 puntos</v>
      </c>
      <c r="AM587">
        <f t="shared" si="230"/>
        <v>0.24</v>
      </c>
      <c r="AN587" t="str">
        <f t="shared" si="231"/>
        <v>PRIORIDAD BAJA – control normal</v>
      </c>
      <c r="AO587">
        <f t="shared" si="232"/>
        <v>10.166918398335454</v>
      </c>
      <c r="AP587">
        <f t="shared" si="233"/>
        <v>0.38072282561273241</v>
      </c>
      <c r="AQ587">
        <f t="shared" si="234"/>
        <v>0</v>
      </c>
      <c r="AR587">
        <f t="shared" si="235"/>
        <v>7</v>
      </c>
      <c r="AS587">
        <f t="shared" si="236"/>
        <v>0</v>
      </c>
      <c r="AT587" t="str">
        <f t="shared" si="237"/>
        <v>VENTAS</v>
      </c>
      <c r="AU587">
        <f t="shared" si="238"/>
        <v>10.166918398335454</v>
      </c>
      <c r="AV587" t="str">
        <f t="shared" si="239"/>
        <v>Mayor retorno probable: VENTAS (+10,2 puntos finales potenciales).</v>
      </c>
    </row>
    <row r="588" spans="1:48" x14ac:dyDescent="0.3">
      <c r="A588" s="5">
        <v>51021851</v>
      </c>
      <c r="B588" s="5" t="str">
        <f>IFERROR(VLOOKUP(A588,VENTAS!$A$2:$B$1194,2,0),"")</f>
        <v>AYALA</v>
      </c>
      <c r="C588" s="5">
        <f>IFERROR(INDEX(VENTAS!$C$2:$E$1194,MATCH(A588,VENTAS!$A$2:$A$1194,0),MATCH(PARAMS_MODELO!$B$2,{"Q1","Q2","Q3"},0)),0)</f>
        <v>41718226.020000003</v>
      </c>
      <c r="D588" s="5">
        <f>IFERROR(INDEX(VENTAS!$F$2:$H$1194,MATCH(A588,VENTAS!$A$2:$A$1194,0),MATCH(PARAMS_MODELO!$B$2,{"Q1","Q2","Q3"},0)),0)</f>
        <v>68689745</v>
      </c>
      <c r="E588" s="8">
        <f t="shared" si="216"/>
        <v>0.64651644025011201</v>
      </c>
      <c r="F588" s="12">
        <f>IF(E588&lt;=PARAMS_MODELO!$B$15,0,IF(E588&gt;=PARAMS_MODELO!$B$17,100,100*MIN(1,(E588-PARAMS_MODELO!$B$15)/(PARAMS_MODELO!$B$16-PARAMS_MODELO!$B$15))))*PARAMS_MODELO!$B$7</f>
        <v>35</v>
      </c>
      <c r="G588" s="5">
        <f t="shared" si="217"/>
        <v>26971518.979999997</v>
      </c>
      <c r="H588" s="5">
        <f>(PARAMS_MODELO!$B$20*(MAX(0,MIN(3,E588))/3)+PARAMS_MODELO!$B$21*(IFERROR(LN(1+MAX(0,G588))/LN(1+MAX(0,MAX($G$2:$G$1194))),0)))*100*PARAMS_MODELO!$B$8</f>
        <v>6.2736988693412146</v>
      </c>
      <c r="I588" s="8">
        <f>E588-PARAMS_MODELO!$B$5</f>
        <v>0.46895360487458548</v>
      </c>
      <c r="J588" s="5">
        <f>IF(I588&lt;=PARAMS_MODELO!$B$18,0,IF(I588&gt;=PARAMS_MODELO!$B$19,100,100*(I588-PARAMS_MODELO!$B$18)/(PARAMS_MODELO!$B$19-PARAMS_MODELO!$B$18)))*PARAMS_MODELO!$B$9</f>
        <v>15</v>
      </c>
      <c r="K588" s="5">
        <f>IFERROR(CHOOSE(MATCH(PARAMS_MODELO!$B$2,{"Q1","Q2","Q3"},0),LOTO!$D588,LOTO!$F588,LOTO!$H588),0)</f>
        <v>3352500</v>
      </c>
      <c r="L588" s="8">
        <f t="shared" si="218"/>
        <v>4.8806412077960111E-2</v>
      </c>
      <c r="M588" s="5">
        <f>MIN(100,IF(PARAMS_MODELO!$B$23=0,0,100*L588/PARAMS_MODELO!$B$23))*PARAMS_MODELO!$B$10</f>
        <v>14.641923623388033</v>
      </c>
      <c r="N588" s="5">
        <f>IFERROR(VLOOKUP(A588,COMPLIANCE!$A$2:$F$1996,6,0),100)</f>
        <v>100</v>
      </c>
      <c r="O588" s="5">
        <f>N588*PARAMS_MODELO!$B$11</f>
        <v>10</v>
      </c>
      <c r="P588" s="5">
        <f>IFERROR(VLOOKUP(A588,DIGITAL!$A$2:$J$2000,7,0),100)</f>
        <v>97</v>
      </c>
      <c r="Q588" s="5">
        <f>IFERROR(P588,0)*PARAMS_MODELO!$B$12</f>
        <v>9.7000000000000011</v>
      </c>
      <c r="R588">
        <f t="shared" si="219"/>
        <v>90.615622492729258</v>
      </c>
      <c r="S588" s="5" t="str">
        <f>IFERROR(VLOOKUP(A588,CLIENTE!$A$2:$N$2000,13,0),1)</f>
        <v>Regular</v>
      </c>
      <c r="T588" s="5">
        <f>IFERROR(VLOOKUP(A588,CLIENTE!$A$2:$N$2000,14,0),1)</f>
        <v>1</v>
      </c>
      <c r="U588" s="5">
        <f t="shared" si="220"/>
        <v>90.615622492729258</v>
      </c>
      <c r="V588" s="5" t="str">
        <f>IF(U588&gt;=MAX(_xlfn.PERCENTILE.INC($U$2:$U$1194,PARAMS_MODELO!$B$50),PARAMS_MODELO!$B$45),"DIAMANTE",IF(U588&gt;=MAX(_xlfn.PERCENTILE.INC($U$2:$U$1194,PARAMS_MODELO!$B$51),PARAMS_MODELO!$B$46),"PLATINO",IF(U588&gt;=MAX(_xlfn.PERCENTILE.INC($U$2:$U$1194,PARAMS_MODELO!$B$52),PARAMS_MODELO!$B$47),"ORO",IF(U588&gt;=MAX(_xlfn.PERCENTILE.INC($U$2:$U$1194,PARAMS_MODELO!$B$53),PARAMS_MODELO!$B$48),"PLATA",IF(U588&gt;=1,"BRONCE","CERRADO")))))</f>
        <v>PLATINO</v>
      </c>
      <c r="W588" s="5" t="str" cm="1">
        <f t="array" ref="W588">_xlfn.XLOOKUP(1, (HIST_SCORE!$B:$B=PARAMS_MODELO!$B$4) * (HIST_SCORE!$C:$C=A588), HIST_SCORE!$E:$E, "No encontrado")</f>
        <v>PLATINO</v>
      </c>
      <c r="X588" s="5" t="str">
        <f>_xlfn.LET(_xlpm.act,MATCH(V588,{"DIAMANTE";"PLATINO";"ORO";"PLATA";"BRONCE";"CERRADO"},0),_xlpm.ant,MATCH(W588,{"DIAMANTE";"PLATINO";"ORO";"PLATA";"BRONCE";"CERRADO"},0),IF(_xlpm.act&lt;_xlpm.ant,"Mejora ↑",IF(_xlpm.act&gt;_xlpm.ant,"Baja ↓","Estable →")))</f>
        <v>Estable →</v>
      </c>
      <c r="Y588" s="5">
        <f>IFERROR(U588-SUMIFS(HIST_SCORE!$D:$D,HIST_SCORE!$B:$B,PARAMS_MODELO!$B$4,HIST_SCORE!$C:$C,$A588),"")</f>
        <v>1.3319494141322252</v>
      </c>
      <c r="Z588" s="5" t="str">
        <f t="shared" si="221"/>
        <v>→ Estable</v>
      </c>
      <c r="AA588" s="5">
        <f t="shared" si="222"/>
        <v>121</v>
      </c>
      <c r="AB588" s="5">
        <f>IFERROR(SUMIFS(HIST_SCORE!$F:$F,HIST_SCORE!$B:$B,PARAMS_MODELO!$B$4,HIST_SCORE!$C:$C,$A588),"")</f>
        <v>145</v>
      </c>
      <c r="AC588" s="5">
        <f t="shared" si="223"/>
        <v>24</v>
      </c>
      <c r="AD588" t="str">
        <f t="shared" si="225"/>
        <v/>
      </c>
      <c r="AE5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588="CERRADO",1,IF(V588="BRONCE",_xlpm.cPl,IF(V588="PLATA",_xlpm.cO,IF(V588="ORO",_xlpm.cP,IF(V588="PLATINO",_xlpm.cD,999))))))</f>
        <v>96.054919694466676</v>
      </c>
      <c r="AF5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588="CERRADO",0,IF(V588="BRONCE",1,IF(V588="PLATA",_xlpm.cPl,IF(V588="ORO",_xlpm.cO,IF(V588="PLATINO",_xlpm.cP,_xlpm.cD))))))</f>
        <v>86.439123873763251</v>
      </c>
      <c r="AG588">
        <f t="shared" si="226"/>
        <v>5.4392972017374177</v>
      </c>
      <c r="AH588" t="str">
        <f t="shared" si="227"/>
        <v>VENTAS</v>
      </c>
      <c r="AI588" t="str">
        <f t="shared" si="224"/>
        <v>🎯 Para subir de categoría, eje VENTAS / IMPACTO ABSOLUTO (H). Acción: metas semanales + activación comercial + seguimiento del asesor. ΔR aprox: 5,4</v>
      </c>
      <c r="AJ588" s="26">
        <f>_xlfn.LET(_xlpm.piso,AF588,_xlpm.corte,AE588,_xlpm.prog,IF(_xlpm.corte&lt;=_xlpm.piso,0,MAX(0,MIN(1,(U588-_xlpm.piso)/(_xlpm.corte-_xlpm.piso)))),_xlpm.orden,{"DIAMANTE";"PLATINO";"ORO";"PLATA";"BRONCE";"CERRADO"},_xlpm.act,IFERROR(MATCH(V588,_xlpm.orden,0),6),_xlpm.ant,IFERROR(MATCH(W588,_xlpm.orden,0),6),_xlpm.ajmov,IF(_xlpm.act&lt;_xlpm.ant,0.08,IF(_xlpm.act&gt;_xlpm.ant,-0.08,0)),_xlpm.ajcli,IF(T588&lt;0.95,-0.06,0),_xlpm.prob,MAX(0,MIN(1,_xlpm.prog+_xlpm.ajmov+_xlpm.ajcli)),IF(OR(V588="DIAMANTE",V588="CERRADO"),0,ROUND(_xlpm.prob,2)))</f>
        <v>0.43</v>
      </c>
      <c r="AK588" t="str">
        <f t="shared" si="228"/>
        <v>Faltan 5,4 puntos base para subir a la siguiente categoría</v>
      </c>
      <c r="AL588" t="str">
        <f t="shared" si="229"/>
        <v>Margen de seguridad: 4,2 puntos</v>
      </c>
      <c r="AM588">
        <f t="shared" si="230"/>
        <v>0.45</v>
      </c>
      <c r="AN588" t="str">
        <f t="shared" si="231"/>
        <v>PRIORIDAD MEDIA – seguimiento del asesor</v>
      </c>
      <c r="AO588">
        <f t="shared" si="232"/>
        <v>8.588870405954367</v>
      </c>
      <c r="AP588">
        <f t="shared" si="233"/>
        <v>0.35807637661196701</v>
      </c>
      <c r="AQ588">
        <f t="shared" si="234"/>
        <v>0</v>
      </c>
      <c r="AR588">
        <f t="shared" si="235"/>
        <v>0.29999999999999893</v>
      </c>
      <c r="AS588">
        <f t="shared" si="236"/>
        <v>0</v>
      </c>
      <c r="AT588" t="str">
        <f t="shared" si="237"/>
        <v>VENTAS</v>
      </c>
      <c r="AU588">
        <f t="shared" si="238"/>
        <v>8.588870405954367</v>
      </c>
      <c r="AV588" t="str">
        <f t="shared" si="239"/>
        <v>Mayor retorno probable: VENTAS (+8,6 puntos finales potenciales).</v>
      </c>
    </row>
    <row r="589" spans="1:48" x14ac:dyDescent="0.3">
      <c r="A589" s="5">
        <v>51004086</v>
      </c>
      <c r="B589" s="5" t="str">
        <f>IFERROR(VLOOKUP(A589,VENTAS!$A$2:$B$1194,2,0),"")</f>
        <v>NELLI</v>
      </c>
      <c r="C589" s="5">
        <f>IFERROR(INDEX(VENTAS!$C$2:$E$1194,MATCH(A589,VENTAS!$A$2:$A$1194,0),MATCH(PARAMS_MODELO!$B$2,{"Q1","Q2","Q3"},0)),0)</f>
        <v>68106120.699999988</v>
      </c>
      <c r="D589" s="5">
        <f>IFERROR(INDEX(VENTAS!$F$2:$H$1194,MATCH(A589,VENTAS!$A$2:$A$1194,0),MATCH(PARAMS_MODELO!$B$2,{"Q1","Q2","Q3"},0)),0)</f>
        <v>68613425</v>
      </c>
      <c r="E589" s="8">
        <f t="shared" si="216"/>
        <v>7.4487328713763734E-3</v>
      </c>
      <c r="F589" s="12">
        <f>IF(E589&lt;=PARAMS_MODELO!$B$15,0,IF(E589&gt;=PARAMS_MODELO!$B$17,100,100*MIN(1,(E589-PARAMS_MODELO!$B$15)/(PARAMS_MODELO!$B$16-PARAMS_MODELO!$B$15))))*PARAMS_MODELO!$B$7</f>
        <v>2.6070565049817307</v>
      </c>
      <c r="G589" s="5">
        <f t="shared" si="217"/>
        <v>507304.30000001192</v>
      </c>
      <c r="H589" s="5">
        <f>(PARAMS_MODELO!$B$20*(MAX(0,MIN(3,E589))/3)+PARAMS_MODELO!$B$21*(IFERROR(LN(1+MAX(0,G589))/LN(1+MAX(0,MAX($G$2:$G$1194))),0)))*100*PARAMS_MODELO!$B$8</f>
        <v>3.105535887558676</v>
      </c>
      <c r="I589" s="8">
        <f>E589-PARAMS_MODELO!$B$5</f>
        <v>-0.17011410250415016</v>
      </c>
      <c r="J589" s="5">
        <f>IF(I589&lt;=PARAMS_MODELO!$B$18,0,IF(I589&gt;=PARAMS_MODELO!$B$19,100,100*(I589-PARAMS_MODELO!$B$18)/(PARAMS_MODELO!$B$19-PARAMS_MODELO!$B$18)))*PARAMS_MODELO!$B$9</f>
        <v>0</v>
      </c>
      <c r="K589" s="5">
        <f>IFERROR(CHOOSE(MATCH(PARAMS_MODELO!$B$2,{"Q1","Q2","Q3"},0),LOTO!$D589,LOTO!$F589,LOTO!$H589),0)</f>
        <v>3350000</v>
      </c>
      <c r="L589" s="8">
        <f t="shared" si="218"/>
        <v>4.8824264347684145E-2</v>
      </c>
      <c r="M589" s="5">
        <f>MIN(100,IF(PARAMS_MODELO!$B$23=0,0,100*L589/PARAMS_MODELO!$B$23))*PARAMS_MODELO!$B$10</f>
        <v>14.647279304305242</v>
      </c>
      <c r="N589" s="5">
        <f>IFERROR(VLOOKUP(A589,COMPLIANCE!$A$2:$F$1996,6,0),100)</f>
        <v>99.8</v>
      </c>
      <c r="O589" s="5">
        <f>N589*PARAMS_MODELO!$B$11</f>
        <v>9.98</v>
      </c>
      <c r="P589" s="5">
        <f>IFERROR(VLOOKUP(A589,DIGITAL!$A$2:$J$2000,7,0),100)</f>
        <v>11</v>
      </c>
      <c r="Q589" s="5">
        <f>IFERROR(P589,0)*PARAMS_MODELO!$B$12</f>
        <v>1.1000000000000001</v>
      </c>
      <c r="R589">
        <f t="shared" si="219"/>
        <v>31.43987169684565</v>
      </c>
      <c r="S589" s="5" t="str">
        <f>IFERROR(VLOOKUP(A589,CLIENTE!$A$2:$N$2000,13,0),1)</f>
        <v>Bueno</v>
      </c>
      <c r="T589" s="5">
        <f>IFERROR(VLOOKUP(A589,CLIENTE!$A$2:$N$2000,14,0),1)</f>
        <v>1.1000000000000001</v>
      </c>
      <c r="U589" s="5">
        <f t="shared" si="220"/>
        <v>34.583858866530214</v>
      </c>
      <c r="V589" s="5" t="str">
        <f>IF(U589&gt;=MAX(_xlfn.PERCENTILE.INC($U$2:$U$1194,PARAMS_MODELO!$B$50),PARAMS_MODELO!$B$45),"DIAMANTE",IF(U589&gt;=MAX(_xlfn.PERCENTILE.INC($U$2:$U$1194,PARAMS_MODELO!$B$51),PARAMS_MODELO!$B$46),"PLATINO",IF(U589&gt;=MAX(_xlfn.PERCENTILE.INC($U$2:$U$1194,PARAMS_MODELO!$B$52),PARAMS_MODELO!$B$47),"ORO",IF(U589&gt;=MAX(_xlfn.PERCENTILE.INC($U$2:$U$1194,PARAMS_MODELO!$B$53),PARAMS_MODELO!$B$48),"PLATA",IF(U589&gt;=1,"BRONCE","CERRADO")))))</f>
        <v>PLATA</v>
      </c>
      <c r="W589" s="5" t="str" cm="1">
        <f t="array" ref="W589">_xlfn.XLOOKUP(1, (HIST_SCORE!$B:$B=PARAMS_MODELO!$B$4) * (HIST_SCORE!$C:$C=A589), HIST_SCORE!$E:$E, "No encontrado")</f>
        <v>PLATA</v>
      </c>
      <c r="X589" s="5" t="str">
        <f>_xlfn.LET(_xlpm.act,MATCH(V589,{"DIAMANTE";"PLATINO";"ORO";"PLATA";"BRONCE";"CERRADO"},0),_xlpm.ant,MATCH(W589,{"DIAMANTE";"PLATINO";"ORO";"PLATA";"BRONCE";"CERRADO"},0),IF(_xlpm.act&lt;_xlpm.ant,"Mejora ↑",IF(_xlpm.act&gt;_xlpm.ant,"Baja ↓","Estable →")))</f>
        <v>Estable →</v>
      </c>
      <c r="Y589" s="5">
        <f>IFERROR(U589-SUMIFS(HIST_SCORE!$D:$D,HIST_SCORE!$B:$B,PARAMS_MODELO!$B$4,HIST_SCORE!$C:$C,$A589),"")</f>
        <v>5.8958588665302081</v>
      </c>
      <c r="Z589" s="5" t="str">
        <f t="shared" si="221"/>
        <v>↑ Mejora</v>
      </c>
      <c r="AA589" s="5">
        <f t="shared" si="222"/>
        <v>809</v>
      </c>
      <c r="AB589" s="5">
        <f>IFERROR(SUMIFS(HIST_SCORE!$F:$F,HIST_SCORE!$B:$B,PARAMS_MODELO!$B$4,HIST_SCORE!$C:$C,$A589),"")</f>
        <v>920</v>
      </c>
      <c r="AC589" s="5">
        <f t="shared" si="223"/>
        <v>111</v>
      </c>
      <c r="AD589" t="str">
        <f t="shared" si="225"/>
        <v/>
      </c>
      <c r="AE5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589="CERRADO",1,IF(V589="BRONCE",_xlpm.cPl,IF(V589="PLATA",_xlpm.cO,IF(V589="ORO",_xlpm.cP,IF(V589="PLATINO",_xlpm.cD,999))))))</f>
        <v>63.199193273331495</v>
      </c>
      <c r="AF5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589="CERRADO",0,IF(V589="BRONCE",1,IF(V589="PLATA",_xlpm.cPl,IF(V589="ORO",_xlpm.cO,IF(V589="PLATINO",_xlpm.cP,_xlpm.cD))))))</f>
        <v>24.506573482968111</v>
      </c>
      <c r="AG589">
        <f t="shared" si="226"/>
        <v>26.013940369819345</v>
      </c>
      <c r="AH589" t="str">
        <f t="shared" si="227"/>
        <v>VENTAS</v>
      </c>
      <c r="AI589" t="str">
        <f t="shared" si="224"/>
        <v>🎯 Para subir de categoría, eje VENTAS / DIFERENCIAL vs LOTBA (J). Acción: metas semanales + activación comercial + seguimiento del asesor. ΔR aprox: 26,0</v>
      </c>
      <c r="AJ589" s="26">
        <f>_xlfn.LET(_xlpm.piso,AF589,_xlpm.corte,AE589,_xlpm.prog,IF(_xlpm.corte&lt;=_xlpm.piso,0,MAX(0,MIN(1,(U589-_xlpm.piso)/(_xlpm.corte-_xlpm.piso)))),_xlpm.orden,{"DIAMANTE";"PLATINO";"ORO";"PLATA";"BRONCE";"CERRADO"},_xlpm.act,IFERROR(MATCH(V589,_xlpm.orden,0),6),_xlpm.ant,IFERROR(MATCH(W589,_xlpm.orden,0),6),_xlpm.ajmov,IF(_xlpm.act&lt;_xlpm.ant,0.08,IF(_xlpm.act&gt;_xlpm.ant,-0.08,0)),_xlpm.ajcli,IF(T589&lt;0.95,-0.06,0),_xlpm.prob,MAX(0,MIN(1,_xlpm.prog+_xlpm.ajmov+_xlpm.ajcli)),IF(OR(V589="DIAMANTE",V589="CERRADO"),0,ROUND(_xlpm.prob,2)))</f>
        <v>0.26</v>
      </c>
      <c r="AK589" t="str">
        <f t="shared" si="228"/>
        <v>Faltan 26,0 puntos base para subir a la siguiente categoría</v>
      </c>
      <c r="AL589" t="str">
        <f t="shared" si="229"/>
        <v>Margen de seguridad: 10,1 puntos</v>
      </c>
      <c r="AM589">
        <f t="shared" si="230"/>
        <v>0.7</v>
      </c>
      <c r="AN589" t="str">
        <f t="shared" si="231"/>
        <v>PRIORIDAD ALTA – requiere intervención inmediata</v>
      </c>
      <c r="AO589">
        <f t="shared" si="232"/>
        <v>65.064974571030703</v>
      </c>
      <c r="AP589">
        <f t="shared" si="233"/>
        <v>0.38799276526423426</v>
      </c>
      <c r="AQ589">
        <f t="shared" si="234"/>
        <v>2.1999999999999534E-2</v>
      </c>
      <c r="AR589">
        <f t="shared" si="235"/>
        <v>9.7900000000000009</v>
      </c>
      <c r="AS589">
        <f t="shared" si="236"/>
        <v>0</v>
      </c>
      <c r="AT589" t="str">
        <f t="shared" si="237"/>
        <v>VENTAS</v>
      </c>
      <c r="AU589">
        <f t="shared" si="238"/>
        <v>65.064974571030703</v>
      </c>
      <c r="AV589" t="str">
        <f t="shared" si="239"/>
        <v>Mayor retorno probable: VENTAS (+65,1 puntos finales potenciales).</v>
      </c>
    </row>
    <row r="590" spans="1:48" x14ac:dyDescent="0.3">
      <c r="A590" s="5">
        <v>51017111</v>
      </c>
      <c r="B590" s="5" t="str">
        <f>IFERROR(VLOOKUP(A590,VENTAS!$A$2:$B$1194,2,0),"")</f>
        <v>CICHETTO</v>
      </c>
      <c r="C590" s="5">
        <f>IFERROR(INDEX(VENTAS!$C$2:$E$1194,MATCH(A590,VENTAS!$A$2:$A$1194,0),MATCH(PARAMS_MODELO!$B$2,{"Q1","Q2","Q3"},0)),0)</f>
        <v>59846627.030000001</v>
      </c>
      <c r="D590" s="5">
        <f>IFERROR(INDEX(VENTAS!$F$2:$H$1194,MATCH(A590,VENTAS!$A$2:$A$1194,0),MATCH(PARAMS_MODELO!$B$2,{"Q1","Q2","Q3"},0)),0)</f>
        <v>68560503</v>
      </c>
      <c r="E590" s="8">
        <f t="shared" si="216"/>
        <v>0.14560346008525915</v>
      </c>
      <c r="F590" s="12">
        <f>IF(E590&lt;=PARAMS_MODELO!$B$15,0,IF(E590&gt;=PARAMS_MODELO!$B$17,100,100*MIN(1,(E590-PARAMS_MODELO!$B$15)/(PARAMS_MODELO!$B$16-PARAMS_MODELO!$B$15))))*PARAMS_MODELO!$B$7</f>
        <v>35</v>
      </c>
      <c r="G590" s="5">
        <f t="shared" si="217"/>
        <v>8713875.9699999988</v>
      </c>
      <c r="H590" s="5">
        <f>(PARAMS_MODELO!$B$20*(MAX(0,MIN(3,E590))/3)+PARAMS_MODELO!$B$21*(IFERROR(LN(1+MAX(0,G590))/LN(1+MAX(0,MAX($G$2:$G$1194))),0)))*100*PARAMS_MODELO!$B$8</f>
        <v>4.255647382951528</v>
      </c>
      <c r="I590" s="8">
        <f>E590-PARAMS_MODELO!$B$5</f>
        <v>-3.1959375290267378E-2</v>
      </c>
      <c r="J590" s="5">
        <f>IF(I590&lt;=PARAMS_MODELO!$B$18,0,IF(I590&gt;=PARAMS_MODELO!$B$19,100,100*(I590-PARAMS_MODELO!$B$18)/(PARAMS_MODELO!$B$19-PARAMS_MODELO!$B$18)))*PARAMS_MODELO!$B$9</f>
        <v>2.7060937064598933</v>
      </c>
      <c r="K590" s="5">
        <f>IFERROR(CHOOSE(MATCH(PARAMS_MODELO!$B$2,{"Q1","Q2","Q3"},0),LOTO!$D590,LOTO!$F590,LOTO!$H590),0)</f>
        <v>3350000</v>
      </c>
      <c r="L590" s="8">
        <f t="shared" si="218"/>
        <v>4.8861951902540737E-2</v>
      </c>
      <c r="M590" s="5">
        <f>MIN(100,IF(PARAMS_MODELO!$B$23=0,0,100*L590/PARAMS_MODELO!$B$23))*PARAMS_MODELO!$B$10</f>
        <v>14.658585570762218</v>
      </c>
      <c r="N590" s="5">
        <f>IFERROR(VLOOKUP(A590,COMPLIANCE!$A$2:$F$1996,6,0),100)</f>
        <v>100</v>
      </c>
      <c r="O590" s="5">
        <f>N590*PARAMS_MODELO!$B$11</f>
        <v>10</v>
      </c>
      <c r="P590" s="5">
        <f>IFERROR(VLOOKUP(A590,DIGITAL!$A$2:$J$2000,7,0),100)</f>
        <v>10</v>
      </c>
      <c r="Q590" s="5">
        <f>IFERROR(P590,0)*PARAMS_MODELO!$B$12</f>
        <v>1</v>
      </c>
      <c r="R590">
        <f t="shared" si="219"/>
        <v>67.620326660173646</v>
      </c>
      <c r="S590" s="5" t="str">
        <f>IFERROR(VLOOKUP(A590,CLIENTE!$A$2:$N$2000,13,0),1)</f>
        <v>Regular</v>
      </c>
      <c r="T590" s="5">
        <f>IFERROR(VLOOKUP(A590,CLIENTE!$A$2:$N$2000,14,0),1)</f>
        <v>1</v>
      </c>
      <c r="U590" s="5">
        <f t="shared" si="220"/>
        <v>67.620326660173646</v>
      </c>
      <c r="V590" s="5" t="str">
        <f>IF(U590&gt;=MAX(_xlfn.PERCENTILE.INC($U$2:$U$1194,PARAMS_MODELO!$B$50),PARAMS_MODELO!$B$45),"DIAMANTE",IF(U590&gt;=MAX(_xlfn.PERCENTILE.INC($U$2:$U$1194,PARAMS_MODELO!$B$51),PARAMS_MODELO!$B$46),"PLATINO",IF(U590&gt;=MAX(_xlfn.PERCENTILE.INC($U$2:$U$1194,PARAMS_MODELO!$B$52),PARAMS_MODELO!$B$47),"ORO",IF(U590&gt;=MAX(_xlfn.PERCENTILE.INC($U$2:$U$1194,PARAMS_MODELO!$B$53),PARAMS_MODELO!$B$48),"PLATA",IF(U590&gt;=1,"BRONCE","CERRADO")))))</f>
        <v>ORO</v>
      </c>
      <c r="W590" s="5" t="str" cm="1">
        <f t="array" ref="W590">_xlfn.XLOOKUP(1, (HIST_SCORE!$B:$B=PARAMS_MODELO!$B$4) * (HIST_SCORE!$C:$C=A590), HIST_SCORE!$E:$E, "No encontrado")</f>
        <v>ORO</v>
      </c>
      <c r="X590" s="5" t="str">
        <f>_xlfn.LET(_xlpm.act,MATCH(V590,{"DIAMANTE";"PLATINO";"ORO";"PLATA";"BRONCE";"CERRADO"},0),_xlpm.ant,MATCH(W590,{"DIAMANTE";"PLATINO";"ORO";"PLATA";"BRONCE";"CERRADO"},0),IF(_xlpm.act&lt;_xlpm.ant,"Mejora ↑",IF(_xlpm.act&gt;_xlpm.ant,"Baja ↓","Estable →")))</f>
        <v>Estable →</v>
      </c>
      <c r="Y590" s="5">
        <f>IFERROR(U590-SUMIFS(HIST_SCORE!$D:$D,HIST_SCORE!$B:$B,PARAMS_MODELO!$B$4,HIST_SCORE!$C:$C,$A590),"")</f>
        <v>-9.942863703772332</v>
      </c>
      <c r="Z590" s="5" t="str">
        <f t="shared" si="221"/>
        <v>↓ Baja</v>
      </c>
      <c r="AA590" s="5">
        <f t="shared" si="222"/>
        <v>534</v>
      </c>
      <c r="AB590" s="5">
        <f>IFERROR(SUMIFS(HIST_SCORE!$F:$F,HIST_SCORE!$B:$B,PARAMS_MODELO!$B$4,HIST_SCORE!$C:$C,$A590),"")</f>
        <v>456</v>
      </c>
      <c r="AC590" s="5">
        <f t="shared" si="223"/>
        <v>-78</v>
      </c>
      <c r="AD590" t="str">
        <f t="shared" si="225"/>
        <v>Sostener base y reforzar mix</v>
      </c>
      <c r="AE5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590="CERRADO",1,IF(V590="BRONCE",_xlpm.cPl,IF(V590="PLATA",_xlpm.cO,IF(V590="ORO",_xlpm.cP,IF(V590="PLATINO",_xlpm.cD,999))))))</f>
        <v>86.439123873763251</v>
      </c>
      <c r="AF5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590="CERRADO",0,IF(V590="BRONCE",1,IF(V590="PLATA",_xlpm.cPl,IF(V590="ORO",_xlpm.cO,IF(V590="PLATINO",_xlpm.cP,_xlpm.cD))))))</f>
        <v>63.199193273331495</v>
      </c>
      <c r="AG590">
        <f t="shared" si="226"/>
        <v>18.818797213589605</v>
      </c>
      <c r="AH590" t="str">
        <f t="shared" si="227"/>
        <v>VENTAS</v>
      </c>
      <c r="AI590" t="str">
        <f t="shared" si="224"/>
        <v>🎯 Para subir de categoría, eje VENTAS / DIFERENCIAL vs LOTBA (J). Acción: metas semanales + activación comercial + seguimiento del asesor. ΔR aprox: 18,8</v>
      </c>
      <c r="AJ590" s="26">
        <f>_xlfn.LET(_xlpm.piso,AF590,_xlpm.corte,AE590,_xlpm.prog,IF(_xlpm.corte&lt;=_xlpm.piso,0,MAX(0,MIN(1,(U590-_xlpm.piso)/(_xlpm.corte-_xlpm.piso)))),_xlpm.orden,{"DIAMANTE";"PLATINO";"ORO";"PLATA";"BRONCE";"CERRADO"},_xlpm.act,IFERROR(MATCH(V590,_xlpm.orden,0),6),_xlpm.ant,IFERROR(MATCH(W590,_xlpm.orden,0),6),_xlpm.ajmov,IF(_xlpm.act&lt;_xlpm.ant,0.08,IF(_xlpm.act&gt;_xlpm.ant,-0.08,0)),_xlpm.ajcli,IF(T590&lt;0.95,-0.06,0),_xlpm.prob,MAX(0,MIN(1,_xlpm.prog+_xlpm.ajmov+_xlpm.ajcli)),IF(OR(V590="DIAMANTE",V590="CERRADO"),0,ROUND(_xlpm.prob,2)))</f>
        <v>0.19</v>
      </c>
      <c r="AK590" t="str">
        <f t="shared" si="228"/>
        <v>Faltan 18,8 puntos base para subir a la siguiente categoría</v>
      </c>
      <c r="AL590" t="str">
        <f t="shared" si="229"/>
        <v>Margen de seguridad: 4,4 puntos</v>
      </c>
      <c r="AM590">
        <f t="shared" si="230"/>
        <v>0.72</v>
      </c>
      <c r="AN590" t="str">
        <f t="shared" si="231"/>
        <v>PRIORIDAD ALTA – requiere intervención inmediata</v>
      </c>
      <c r="AO590">
        <f t="shared" si="232"/>
        <v>22.900828185884158</v>
      </c>
      <c r="AP590">
        <f t="shared" si="233"/>
        <v>0.34141442923778165</v>
      </c>
      <c r="AQ590">
        <f t="shared" si="234"/>
        <v>0</v>
      </c>
      <c r="AR590">
        <f t="shared" si="235"/>
        <v>9</v>
      </c>
      <c r="AS590">
        <f t="shared" si="236"/>
        <v>0</v>
      </c>
      <c r="AT590" t="str">
        <f t="shared" si="237"/>
        <v>VENTAS</v>
      </c>
      <c r="AU590">
        <f t="shared" si="238"/>
        <v>22.900828185884158</v>
      </c>
      <c r="AV590" t="str">
        <f t="shared" si="239"/>
        <v>Mayor retorno probable: VENTAS (+22,9 puntos finales potenciales).</v>
      </c>
    </row>
    <row r="591" spans="1:48" x14ac:dyDescent="0.3">
      <c r="A591" s="5">
        <v>51022106</v>
      </c>
      <c r="B591" s="5" t="str">
        <f>IFERROR(VLOOKUP(A591,VENTAS!$A$2:$B$1194,2,0),"")</f>
        <v>PUGH</v>
      </c>
      <c r="C591" s="5">
        <f>IFERROR(INDEX(VENTAS!$C$2:$E$1194,MATCH(A591,VENTAS!$A$2:$A$1194,0),MATCH(PARAMS_MODELO!$B$2,{"Q1","Q2","Q3"},0)),0)</f>
        <v>69092256.600000009</v>
      </c>
      <c r="D591" s="5">
        <f>IFERROR(INDEX(VENTAS!$F$2:$H$1194,MATCH(A591,VENTAS!$A$2:$A$1194,0),MATCH(PARAMS_MODELO!$B$2,{"Q1","Q2","Q3"},0)),0)</f>
        <v>68423287</v>
      </c>
      <c r="E591" s="8">
        <f t="shared" si="216"/>
        <v>-9.682265899533693E-3</v>
      </c>
      <c r="F591" s="12">
        <f>IF(E591&lt;=PARAMS_MODELO!$B$15,0,IF(E591&gt;=PARAMS_MODELO!$B$17,100,100*MIN(1,(E591-PARAMS_MODELO!$B$15)/(PARAMS_MODELO!$B$16-PARAMS_MODELO!$B$15))))*PARAMS_MODELO!$B$7</f>
        <v>0</v>
      </c>
      <c r="G591" s="5">
        <f t="shared" si="217"/>
        <v>0</v>
      </c>
      <c r="H591" s="5">
        <f>(PARAMS_MODELO!$B$20*(MAX(0,MIN(3,E591))/3)+PARAMS_MODELO!$B$21*(IFERROR(LN(1+MAX(0,G591))/LN(1+MAX(0,MAX($G$2:$G$1194))),0)))*100*PARAMS_MODELO!$B$8</f>
        <v>0</v>
      </c>
      <c r="I591" s="8">
        <f>E591-PARAMS_MODELO!$B$5</f>
        <v>-0.18724510127506022</v>
      </c>
      <c r="J591" s="5">
        <f>IF(I591&lt;=PARAMS_MODELO!$B$18,0,IF(I591&gt;=PARAMS_MODELO!$B$19,100,100*(I591-PARAMS_MODELO!$B$18)/(PARAMS_MODELO!$B$19-PARAMS_MODELO!$B$18)))*PARAMS_MODELO!$B$9</f>
        <v>0</v>
      </c>
      <c r="K591" s="5">
        <f>IFERROR(CHOOSE(MATCH(PARAMS_MODELO!$B$2,{"Q1","Q2","Q3"},0),LOTO!$D591,LOTO!$F591,LOTO!$H591),0)</f>
        <v>3347500</v>
      </c>
      <c r="L591" s="8">
        <f t="shared" si="218"/>
        <v>4.8923402349846185E-2</v>
      </c>
      <c r="M591" s="5">
        <f>MIN(100,IF(PARAMS_MODELO!$B$23=0,0,100*L591/PARAMS_MODELO!$B$23))*PARAMS_MODELO!$B$10</f>
        <v>14.677020704953852</v>
      </c>
      <c r="N591" s="5">
        <f>IFERROR(VLOOKUP(A591,COMPLIANCE!$A$2:$F$1996,6,0),100)</f>
        <v>100</v>
      </c>
      <c r="O591" s="5">
        <f>N591*PARAMS_MODELO!$B$11</f>
        <v>10</v>
      </c>
      <c r="P591" s="5">
        <f>IFERROR(VLOOKUP(A591,DIGITAL!$A$2:$J$2000,7,0),100)</f>
        <v>4</v>
      </c>
      <c r="Q591" s="5">
        <f>IFERROR(P591,0)*PARAMS_MODELO!$B$12</f>
        <v>0.4</v>
      </c>
      <c r="R591">
        <f t="shared" si="219"/>
        <v>25.077020704953853</v>
      </c>
      <c r="S591" s="5" t="str">
        <f>IFERROR(VLOOKUP(A591,CLIENTE!$A$2:$N$2000,13,0),1)</f>
        <v>Malo</v>
      </c>
      <c r="T591" s="5">
        <f>IFERROR(VLOOKUP(A591,CLIENTE!$A$2:$N$2000,14,0),1)</f>
        <v>0.7</v>
      </c>
      <c r="U591" s="5">
        <f t="shared" si="220"/>
        <v>17.553914493467694</v>
      </c>
      <c r="V591" s="5" t="str">
        <f>IF(U591&gt;=MAX(_xlfn.PERCENTILE.INC($U$2:$U$1194,PARAMS_MODELO!$B$50),PARAMS_MODELO!$B$45),"DIAMANTE",IF(U591&gt;=MAX(_xlfn.PERCENTILE.INC($U$2:$U$1194,PARAMS_MODELO!$B$51),PARAMS_MODELO!$B$46),"PLATINO",IF(U591&gt;=MAX(_xlfn.PERCENTILE.INC($U$2:$U$1194,PARAMS_MODELO!$B$52),PARAMS_MODELO!$B$47),"ORO",IF(U591&gt;=MAX(_xlfn.PERCENTILE.INC($U$2:$U$1194,PARAMS_MODELO!$B$53),PARAMS_MODELO!$B$48),"PLATA",IF(U591&gt;=1,"BRONCE","CERRADO")))))</f>
        <v>BRONCE</v>
      </c>
      <c r="W591" s="5" t="str" cm="1">
        <f t="array" ref="W591">_xlfn.XLOOKUP(1, (HIST_SCORE!$B:$B=PARAMS_MODELO!$B$4) * (HIST_SCORE!$C:$C=A591), HIST_SCORE!$E:$E, "No encontrado")</f>
        <v>PLATA</v>
      </c>
      <c r="X591" s="5" t="str">
        <f>_xlfn.LET(_xlpm.act,MATCH(V591,{"DIAMANTE";"PLATINO";"ORO";"PLATA";"BRONCE";"CERRADO"},0),_xlpm.ant,MATCH(W591,{"DIAMANTE";"PLATINO";"ORO";"PLATA";"BRONCE";"CERRADO"},0),IF(_xlpm.act&lt;_xlpm.ant,"Mejora ↑",IF(_xlpm.act&gt;_xlpm.ant,"Baja ↓","Estable →")))</f>
        <v>Baja ↓</v>
      </c>
      <c r="Y591" s="5">
        <f>IFERROR(U591-SUMIFS(HIST_SCORE!$D:$D,HIST_SCORE!$B:$B,PARAMS_MODELO!$B$4,HIST_SCORE!$C:$C,$A591),"")</f>
        <v>-32.458116096619491</v>
      </c>
      <c r="Z591" s="5" t="str">
        <f t="shared" si="221"/>
        <v>↓ Baja</v>
      </c>
      <c r="AA591" s="5">
        <f t="shared" si="222"/>
        <v>1039</v>
      </c>
      <c r="AB591" s="5">
        <f>IFERROR(SUMIFS(HIST_SCORE!$F:$F,HIST_SCORE!$B:$B,PARAMS_MODELO!$B$4,HIST_SCORE!$C:$C,$A591),"")</f>
        <v>770</v>
      </c>
      <c r="AC591" s="5">
        <f t="shared" si="223"/>
        <v>-269</v>
      </c>
      <c r="AD591" t="str">
        <f t="shared" si="225"/>
        <v>Plan de recuperación: foco crecimiento + mix</v>
      </c>
      <c r="AE5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591="CERRADO",1,IF(V591="BRONCE",_xlpm.cPl,IF(V591="PLATA",_xlpm.cO,IF(V591="ORO",_xlpm.cP,IF(V591="PLATINO",_xlpm.cD,999))))))</f>
        <v>24.506573482968111</v>
      </c>
      <c r="AF5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591="CERRADO",0,IF(V591="BRONCE",1,IF(V591="PLATA",_xlpm.cPl,IF(V591="ORO",_xlpm.cO,IF(V591="PLATINO",_xlpm.cP,_xlpm.cD))))))</f>
        <v>1</v>
      </c>
      <c r="AG591">
        <f t="shared" si="226"/>
        <v>9.9323699850005909</v>
      </c>
      <c r="AH591" t="str">
        <f t="shared" si="227"/>
        <v>CLIENTE</v>
      </c>
      <c r="AI591" t="str">
        <f t="shared" si="224"/>
        <v>🎯 Para subir de categoría, la eje con mayor impacto probable es CLIENTE (coef T). Acción: reducir quejas, mejorar incógnito y empujar reseñas. ΔR aprox: 9,9</v>
      </c>
      <c r="AJ591" s="26">
        <f>_xlfn.LET(_xlpm.piso,AF591,_xlpm.corte,AE591,_xlpm.prog,IF(_xlpm.corte&lt;=_xlpm.piso,0,MAX(0,MIN(1,(U591-_xlpm.piso)/(_xlpm.corte-_xlpm.piso)))),_xlpm.orden,{"DIAMANTE";"PLATINO";"ORO";"PLATA";"BRONCE";"CERRADO"},_xlpm.act,IFERROR(MATCH(V591,_xlpm.orden,0),6),_xlpm.ant,IFERROR(MATCH(W591,_xlpm.orden,0),6),_xlpm.ajmov,IF(_xlpm.act&lt;_xlpm.ant,0.08,IF(_xlpm.act&gt;_xlpm.ant,-0.08,0)),_xlpm.ajcli,IF(T591&lt;0.95,-0.06,0),_xlpm.prob,MAX(0,MIN(1,_xlpm.prog+_xlpm.ajmov+_xlpm.ajcli)),IF(OR(V591="DIAMANTE",V591="CERRADO"),0,ROUND(_xlpm.prob,2)))</f>
        <v>0.56000000000000005</v>
      </c>
      <c r="AK591" t="str">
        <f t="shared" si="228"/>
        <v>Faltan 9,9 puntos base para subir a la siguiente categoría</v>
      </c>
      <c r="AL591" t="str">
        <f t="shared" si="229"/>
        <v>No aplica</v>
      </c>
      <c r="AM591">
        <f t="shared" si="230"/>
        <v>0.77</v>
      </c>
      <c r="AN591" t="str">
        <f t="shared" si="231"/>
        <v>PRIORIDAD ALTA – requiere intervención inmediata</v>
      </c>
      <c r="AO591">
        <f t="shared" si="232"/>
        <v>45.403798492706905</v>
      </c>
      <c r="AP591">
        <f t="shared" si="233"/>
        <v>0.22608550653230333</v>
      </c>
      <c r="AQ591">
        <f t="shared" si="234"/>
        <v>0</v>
      </c>
      <c r="AR591">
        <f t="shared" si="235"/>
        <v>6.72</v>
      </c>
      <c r="AS591">
        <f t="shared" si="236"/>
        <v>7.5231062114861569</v>
      </c>
      <c r="AT591" t="str">
        <f t="shared" si="237"/>
        <v>VENTAS</v>
      </c>
      <c r="AU591">
        <f t="shared" si="238"/>
        <v>45.403798492706905</v>
      </c>
      <c r="AV591" t="str">
        <f t="shared" si="239"/>
        <v>Mayor retorno probable: VENTAS (+45,4 puntos finales potenciales).</v>
      </c>
    </row>
    <row r="592" spans="1:48" x14ac:dyDescent="0.3">
      <c r="A592" s="5">
        <v>51056205</v>
      </c>
      <c r="B592" s="5" t="str">
        <f>IFERROR(VLOOKUP(A592,VENTAS!$A$2:$B$1194,2,0),"")</f>
        <v>PRADES</v>
      </c>
      <c r="C592" s="5">
        <f>IFERROR(INDEX(VENTAS!$C$2:$E$1194,MATCH(A592,VENTAS!$A$2:$A$1194,0),MATCH(PARAMS_MODELO!$B$2,{"Q1","Q2","Q3"},0)),0)</f>
        <v>48089394.390000001</v>
      </c>
      <c r="D592" s="5">
        <f>IFERROR(INDEX(VENTAS!$F$2:$H$1194,MATCH(A592,VENTAS!$A$2:$A$1194,0),MATCH(PARAMS_MODELO!$B$2,{"Q1","Q2","Q3"},0)),0)</f>
        <v>68341472</v>
      </c>
      <c r="E592" s="8">
        <f t="shared" si="216"/>
        <v>0.42113397074119407</v>
      </c>
      <c r="F592" s="12">
        <f>IF(E592&lt;=PARAMS_MODELO!$B$15,0,IF(E592&gt;=PARAMS_MODELO!$B$17,100,100*MIN(1,(E592-PARAMS_MODELO!$B$15)/(PARAMS_MODELO!$B$16-PARAMS_MODELO!$B$15))))*PARAMS_MODELO!$B$7</f>
        <v>35</v>
      </c>
      <c r="G592" s="5">
        <f t="shared" si="217"/>
        <v>20252077.609999999</v>
      </c>
      <c r="H592" s="5">
        <f>(PARAMS_MODELO!$B$20*(MAX(0,MIN(3,E592))/3)+PARAMS_MODELO!$B$21*(IFERROR(LN(1+MAX(0,G592))/LN(1+MAX(0,MAX($G$2:$G$1194))),0)))*100*PARAMS_MODELO!$B$8</f>
        <v>5.4176949867791118</v>
      </c>
      <c r="I592" s="8">
        <f>E592-PARAMS_MODELO!$B$5</f>
        <v>0.24357113536566755</v>
      </c>
      <c r="J592" s="5">
        <f>IF(I592&lt;=PARAMS_MODELO!$B$18,0,IF(I592&gt;=PARAMS_MODELO!$B$19,100,100*(I592-PARAMS_MODELO!$B$18)/(PARAMS_MODELO!$B$19-PARAMS_MODELO!$B$18)))*PARAMS_MODELO!$B$9</f>
        <v>15</v>
      </c>
      <c r="K592" s="5">
        <f>IFERROR(CHOOSE(MATCH(PARAMS_MODELO!$B$2,{"Q1","Q2","Q3"},0),LOTO!$D592,LOTO!$F592,LOTO!$H592),0)</f>
        <v>3347500</v>
      </c>
      <c r="L592" s="8">
        <f t="shared" si="218"/>
        <v>4.8981971005833763E-2</v>
      </c>
      <c r="M592" s="5">
        <f>MIN(100,IF(PARAMS_MODELO!$B$23=0,0,100*L592/PARAMS_MODELO!$B$23))*PARAMS_MODELO!$B$10</f>
        <v>14.694591301750126</v>
      </c>
      <c r="N592" s="5">
        <f>IFERROR(VLOOKUP(A592,COMPLIANCE!$A$2:$F$1996,6,0),100)</f>
        <v>99.85</v>
      </c>
      <c r="O592" s="5">
        <f>N592*PARAMS_MODELO!$B$11</f>
        <v>9.9849999999999994</v>
      </c>
      <c r="P592" s="5">
        <f>IFERROR(VLOOKUP(A592,DIGITAL!$A$2:$J$2000,7,0),100)</f>
        <v>5</v>
      </c>
      <c r="Q592" s="5">
        <f>IFERROR(P592,0)*PARAMS_MODELO!$B$12</f>
        <v>0.5</v>
      </c>
      <c r="R592">
        <f t="shared" si="219"/>
        <v>80.597286288529233</v>
      </c>
      <c r="S592" s="5" t="str">
        <f>IFERROR(VLOOKUP(A592,CLIENTE!$A$2:$N$2000,13,0),1)</f>
        <v>Regular</v>
      </c>
      <c r="T592" s="5">
        <f>IFERROR(VLOOKUP(A592,CLIENTE!$A$2:$N$2000,14,0),1)</f>
        <v>1</v>
      </c>
      <c r="U592" s="5">
        <f t="shared" si="220"/>
        <v>80.597286288529233</v>
      </c>
      <c r="V592" s="5" t="str">
        <f>IF(U592&gt;=MAX(_xlfn.PERCENTILE.INC($U$2:$U$1194,PARAMS_MODELO!$B$50),PARAMS_MODELO!$B$45),"DIAMANTE",IF(U592&gt;=MAX(_xlfn.PERCENTILE.INC($U$2:$U$1194,PARAMS_MODELO!$B$51),PARAMS_MODELO!$B$46),"PLATINO",IF(U592&gt;=MAX(_xlfn.PERCENTILE.INC($U$2:$U$1194,PARAMS_MODELO!$B$52),PARAMS_MODELO!$B$47),"ORO",IF(U592&gt;=MAX(_xlfn.PERCENTILE.INC($U$2:$U$1194,PARAMS_MODELO!$B$53),PARAMS_MODELO!$B$48),"PLATA",IF(U592&gt;=1,"BRONCE","CERRADO")))))</f>
        <v>ORO</v>
      </c>
      <c r="W592" s="5" t="str" cm="1">
        <f t="array" ref="W592">_xlfn.XLOOKUP(1, (HIST_SCORE!$B:$B=PARAMS_MODELO!$B$4) * (HIST_SCORE!$C:$C=A592), HIST_SCORE!$E:$E, "No encontrado")</f>
        <v>ORO</v>
      </c>
      <c r="X592" s="5" t="str">
        <f>_xlfn.LET(_xlpm.act,MATCH(V592,{"DIAMANTE";"PLATINO";"ORO";"PLATA";"BRONCE";"CERRADO"},0),_xlpm.ant,MATCH(W592,{"DIAMANTE";"PLATINO";"ORO";"PLATA";"BRONCE";"CERRADO"},0),IF(_xlpm.act&lt;_xlpm.ant,"Mejora ↑",IF(_xlpm.act&gt;_xlpm.ant,"Baja ↓","Estable →")))</f>
        <v>Estable →</v>
      </c>
      <c r="Y592" s="5">
        <f>IFERROR(U592-SUMIFS(HIST_SCORE!$D:$D,HIST_SCORE!$B:$B,PARAMS_MODELO!$B$4,HIST_SCORE!$C:$C,$A592),"")</f>
        <v>-0.80535135225228771</v>
      </c>
      <c r="Z592" s="5" t="str">
        <f t="shared" si="221"/>
        <v>→ Estable</v>
      </c>
      <c r="AA592" s="5">
        <f t="shared" si="222"/>
        <v>427</v>
      </c>
      <c r="AB592" s="5">
        <f>IFERROR(SUMIFS(HIST_SCORE!$F:$F,HIST_SCORE!$B:$B,PARAMS_MODELO!$B$4,HIST_SCORE!$C:$C,$A592),"")</f>
        <v>386</v>
      </c>
      <c r="AC592" s="5">
        <f t="shared" si="223"/>
        <v>-41</v>
      </c>
      <c r="AD592" t="str">
        <f t="shared" si="225"/>
        <v>Sostener base y reforzar mix</v>
      </c>
      <c r="AE5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592="CERRADO",1,IF(V592="BRONCE",_xlpm.cPl,IF(V592="PLATA",_xlpm.cO,IF(V592="ORO",_xlpm.cP,IF(V592="PLATINO",_xlpm.cD,999))))))</f>
        <v>86.439123873763251</v>
      </c>
      <c r="AF5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592="CERRADO",0,IF(V592="BRONCE",1,IF(V592="PLATA",_xlpm.cPl,IF(V592="ORO",_xlpm.cO,IF(V592="PLATINO",_xlpm.cP,_xlpm.cD))))))</f>
        <v>63.199193273331495</v>
      </c>
      <c r="AG592">
        <f t="shared" si="226"/>
        <v>5.8418375852340176</v>
      </c>
      <c r="AH592" t="str">
        <f t="shared" si="227"/>
        <v>VENTAS</v>
      </c>
      <c r="AI592" t="str">
        <f t="shared" si="224"/>
        <v>🎯 Para subir de categoría, eje VENTAS / IMPACTO ABSOLUTO (H). Acción: metas semanales + activación comercial + seguimiento del asesor. ΔR aprox: 5,8</v>
      </c>
      <c r="AJ592" s="26">
        <f>_xlfn.LET(_xlpm.piso,AF592,_xlpm.corte,AE592,_xlpm.prog,IF(_xlpm.corte&lt;=_xlpm.piso,0,MAX(0,MIN(1,(U592-_xlpm.piso)/(_xlpm.corte-_xlpm.piso)))),_xlpm.orden,{"DIAMANTE";"PLATINO";"ORO";"PLATA";"BRONCE";"CERRADO"},_xlpm.act,IFERROR(MATCH(V592,_xlpm.orden,0),6),_xlpm.ant,IFERROR(MATCH(W592,_xlpm.orden,0),6),_xlpm.ajmov,IF(_xlpm.act&lt;_xlpm.ant,0.08,IF(_xlpm.act&gt;_xlpm.ant,-0.08,0)),_xlpm.ajcli,IF(T592&lt;0.95,-0.06,0),_xlpm.prob,MAX(0,MIN(1,_xlpm.prog+_xlpm.ajmov+_xlpm.ajcli)),IF(OR(V592="DIAMANTE",V592="CERRADO"),0,ROUND(_xlpm.prob,2)))</f>
        <v>0.75</v>
      </c>
      <c r="AK592" t="str">
        <f t="shared" si="228"/>
        <v>Faltan 5,8 puntos base para subir a la siguiente categoría</v>
      </c>
      <c r="AL592" t="str">
        <f t="shared" si="229"/>
        <v>Margen de seguridad: 17,4 puntos</v>
      </c>
      <c r="AM592">
        <f t="shared" si="230"/>
        <v>0.33</v>
      </c>
      <c r="AN592" t="str">
        <f t="shared" si="231"/>
        <v>PRIORIDAD BAJA – control normal</v>
      </c>
      <c r="AO592">
        <f t="shared" si="232"/>
        <v>9.4448742885164734</v>
      </c>
      <c r="AP592">
        <f t="shared" si="233"/>
        <v>0.30540869824987382</v>
      </c>
      <c r="AQ592">
        <f t="shared" si="234"/>
        <v>1.5000000000000568E-2</v>
      </c>
      <c r="AR592">
        <f t="shared" si="235"/>
        <v>9.5</v>
      </c>
      <c r="AS592">
        <f t="shared" si="236"/>
        <v>0</v>
      </c>
      <c r="AT592" t="str">
        <f t="shared" si="237"/>
        <v>DIGITAL</v>
      </c>
      <c r="AU592">
        <f t="shared" si="238"/>
        <v>9.5</v>
      </c>
      <c r="AV592" t="str">
        <f t="shared" si="239"/>
        <v>Mayor retorno probable: DIGITAL (+9,5 puntos finales potenciales).</v>
      </c>
    </row>
    <row r="593" spans="1:48" x14ac:dyDescent="0.3">
      <c r="A593" s="5">
        <v>51055870</v>
      </c>
      <c r="B593" s="5" t="str">
        <f>IFERROR(VLOOKUP(A593,VENTAS!$A$2:$B$1194,2,0),"")</f>
        <v>LÓPEZ</v>
      </c>
      <c r="C593" s="5">
        <f>IFERROR(INDEX(VENTAS!$C$2:$E$1194,MATCH(A593,VENTAS!$A$2:$A$1194,0),MATCH(PARAMS_MODELO!$B$2,{"Q1","Q2","Q3"},0)),0)</f>
        <v>35293045.359999999</v>
      </c>
      <c r="D593" s="5">
        <f>IFERROR(INDEX(VENTAS!$F$2:$H$1194,MATCH(A593,VENTAS!$A$2:$A$1194,0),MATCH(PARAMS_MODELO!$B$2,{"Q1","Q2","Q3"},0)),0)</f>
        <v>68265978</v>
      </c>
      <c r="E593" s="8">
        <f t="shared" si="216"/>
        <v>0.93426147570054874</v>
      </c>
      <c r="F593" s="12">
        <f>IF(E593&lt;=PARAMS_MODELO!$B$15,0,IF(E593&gt;=PARAMS_MODELO!$B$17,100,100*MIN(1,(E593-PARAMS_MODELO!$B$15)/(PARAMS_MODELO!$B$16-PARAMS_MODELO!$B$15))))*PARAMS_MODELO!$B$7</f>
        <v>35</v>
      </c>
      <c r="G593" s="5">
        <f t="shared" si="217"/>
        <v>32972932.640000001</v>
      </c>
      <c r="H593" s="5">
        <f>(PARAMS_MODELO!$B$20*(MAX(0,MIN(3,E593))/3)+PARAMS_MODELO!$B$21*(IFERROR(LN(1+MAX(0,G593))/LN(1+MAX(0,MAX($G$2:$G$1194))),0)))*100*PARAMS_MODELO!$B$8</f>
        <v>7.3279015564129351</v>
      </c>
      <c r="I593" s="8">
        <f>E593-PARAMS_MODELO!$B$5</f>
        <v>0.75669864032502221</v>
      </c>
      <c r="J593" s="5">
        <f>IF(I593&lt;=PARAMS_MODELO!$B$18,0,IF(I593&gt;=PARAMS_MODELO!$B$19,100,100*(I593-PARAMS_MODELO!$B$18)/(PARAMS_MODELO!$B$19-PARAMS_MODELO!$B$18)))*PARAMS_MODELO!$B$9</f>
        <v>15</v>
      </c>
      <c r="K593" s="5">
        <f>IFERROR(CHOOSE(MATCH(PARAMS_MODELO!$B$2,{"Q1","Q2","Q3"},0),LOTO!$D593,LOTO!$F593,LOTO!$H593),0)</f>
        <v>3342500</v>
      </c>
      <c r="L593" s="8">
        <f t="shared" si="218"/>
        <v>4.8962896276092314E-2</v>
      </c>
      <c r="M593" s="5">
        <f>MIN(100,IF(PARAMS_MODELO!$B$23=0,0,100*L593/PARAMS_MODELO!$B$23))*PARAMS_MODELO!$B$10</f>
        <v>14.688868882827695</v>
      </c>
      <c r="N593" s="5">
        <f>IFERROR(VLOOKUP(A593,COMPLIANCE!$A$2:$F$1996,6,0),100)</f>
        <v>100</v>
      </c>
      <c r="O593" s="5">
        <f>N593*PARAMS_MODELO!$B$11</f>
        <v>10</v>
      </c>
      <c r="P593" s="5">
        <f>IFERROR(VLOOKUP(A593,DIGITAL!$A$2:$J$2000,7,0),100)</f>
        <v>60</v>
      </c>
      <c r="Q593" s="5">
        <f>IFERROR(P593,0)*PARAMS_MODELO!$B$12</f>
        <v>6</v>
      </c>
      <c r="R593">
        <f t="shared" si="219"/>
        <v>88.016770439240631</v>
      </c>
      <c r="S593" s="5" t="str">
        <f>IFERROR(VLOOKUP(A593,CLIENTE!$A$2:$N$2000,13,0),1)</f>
        <v>Regular</v>
      </c>
      <c r="T593" s="5">
        <f>IFERROR(VLOOKUP(A593,CLIENTE!$A$2:$N$2000,14,0),1)</f>
        <v>1</v>
      </c>
      <c r="U593" s="5">
        <f t="shared" si="220"/>
        <v>88.016770439240631</v>
      </c>
      <c r="V593" s="5" t="str">
        <f>IF(U593&gt;=MAX(_xlfn.PERCENTILE.INC($U$2:$U$1194,PARAMS_MODELO!$B$50),PARAMS_MODELO!$B$45),"DIAMANTE",IF(U593&gt;=MAX(_xlfn.PERCENTILE.INC($U$2:$U$1194,PARAMS_MODELO!$B$51),PARAMS_MODELO!$B$46),"PLATINO",IF(U593&gt;=MAX(_xlfn.PERCENTILE.INC($U$2:$U$1194,PARAMS_MODELO!$B$52),PARAMS_MODELO!$B$47),"ORO",IF(U593&gt;=MAX(_xlfn.PERCENTILE.INC($U$2:$U$1194,PARAMS_MODELO!$B$53),PARAMS_MODELO!$B$48),"PLATA",IF(U593&gt;=1,"BRONCE","CERRADO")))))</f>
        <v>PLATINO</v>
      </c>
      <c r="W593" s="5" t="str" cm="1">
        <f t="array" ref="W593">_xlfn.XLOOKUP(1, (HIST_SCORE!$B:$B=PARAMS_MODELO!$B$4) * (HIST_SCORE!$C:$C=A593), HIST_SCORE!$E:$E, "No encontrado")</f>
        <v>PLATINO</v>
      </c>
      <c r="X593" s="5" t="str">
        <f>_xlfn.LET(_xlpm.act,MATCH(V593,{"DIAMANTE";"PLATINO";"ORO";"PLATA";"BRONCE";"CERRADO"},0),_xlpm.ant,MATCH(W593,{"DIAMANTE";"PLATINO";"ORO";"PLATA";"BRONCE";"CERRADO"},0),IF(_xlpm.act&lt;_xlpm.ant,"Mejora ↑",IF(_xlpm.act&gt;_xlpm.ant,"Baja ↓","Estable →")))</f>
        <v>Estable →</v>
      </c>
      <c r="Y593" s="5">
        <f>IFERROR(U593-SUMIFS(HIST_SCORE!$D:$D,HIST_SCORE!$B:$B,PARAMS_MODELO!$B$4,HIST_SCORE!$C:$C,$A593),"")</f>
        <v>1.7772578878350345</v>
      </c>
      <c r="Z593" s="5" t="str">
        <f t="shared" si="221"/>
        <v>→ Estable</v>
      </c>
      <c r="AA593" s="5">
        <f t="shared" si="222"/>
        <v>199</v>
      </c>
      <c r="AB593" s="5">
        <f>IFERROR(SUMIFS(HIST_SCORE!$F:$F,HIST_SCORE!$B:$B,PARAMS_MODELO!$B$4,HIST_SCORE!$C:$C,$A593),"")</f>
        <v>229</v>
      </c>
      <c r="AC593" s="5">
        <f t="shared" si="223"/>
        <v>30</v>
      </c>
      <c r="AD593" t="str">
        <f t="shared" si="225"/>
        <v/>
      </c>
      <c r="AE5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593="CERRADO",1,IF(V593="BRONCE",_xlpm.cPl,IF(V593="PLATA",_xlpm.cO,IF(V593="ORO",_xlpm.cP,IF(V593="PLATINO",_xlpm.cD,999))))))</f>
        <v>96.054919694466676</v>
      </c>
      <c r="AF5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593="CERRADO",0,IF(V593="BRONCE",1,IF(V593="PLATA",_xlpm.cPl,IF(V593="ORO",_xlpm.cO,IF(V593="PLATINO",_xlpm.cP,_xlpm.cD))))))</f>
        <v>86.439123873763251</v>
      </c>
      <c r="AG593">
        <f t="shared" si="226"/>
        <v>8.0381492552260454</v>
      </c>
      <c r="AH593" t="str">
        <f t="shared" si="227"/>
        <v>VENTAS</v>
      </c>
      <c r="AI593" t="str">
        <f t="shared" si="224"/>
        <v>🎯 Para subir de categoría, eje VENTAS / IMPACTO ABSOLUTO (H). Acción: metas semanales + activación comercial + seguimiento del asesor. ΔR aprox: 8,0</v>
      </c>
      <c r="AJ593" s="26">
        <f>_xlfn.LET(_xlpm.piso,AF593,_xlpm.corte,AE593,_xlpm.prog,IF(_xlpm.corte&lt;=_xlpm.piso,0,MAX(0,MIN(1,(U593-_xlpm.piso)/(_xlpm.corte-_xlpm.piso)))),_xlpm.orden,{"DIAMANTE";"PLATINO";"ORO";"PLATA";"BRONCE";"CERRADO"},_xlpm.act,IFERROR(MATCH(V593,_xlpm.orden,0),6),_xlpm.ant,IFERROR(MATCH(W593,_xlpm.orden,0),6),_xlpm.ajmov,IF(_xlpm.act&lt;_xlpm.ant,0.08,IF(_xlpm.act&gt;_xlpm.ant,-0.08,0)),_xlpm.ajcli,IF(T593&lt;0.95,-0.06,0),_xlpm.prob,MAX(0,MIN(1,_xlpm.prog+_xlpm.ajmov+_xlpm.ajcli)),IF(OR(V593="DIAMANTE",V593="CERRADO"),0,ROUND(_xlpm.prob,2)))</f>
        <v>0.16</v>
      </c>
      <c r="AK593" t="str">
        <f t="shared" si="228"/>
        <v>Faltan 8,0 puntos base para subir a la siguiente categoría</v>
      </c>
      <c r="AL593" t="str">
        <f t="shared" si="229"/>
        <v>Margen de seguridad: 1,6 puntos</v>
      </c>
      <c r="AM593">
        <f t="shared" si="230"/>
        <v>0.66</v>
      </c>
      <c r="AN593" t="str">
        <f t="shared" si="231"/>
        <v>PRIORIDAD MEDIA – seguimiento del asesor</v>
      </c>
      <c r="AO593">
        <f t="shared" si="232"/>
        <v>7.5346677188826519</v>
      </c>
      <c r="AP593">
        <f t="shared" si="233"/>
        <v>0.31113111717230524</v>
      </c>
      <c r="AQ593">
        <f t="shared" si="234"/>
        <v>0</v>
      </c>
      <c r="AR593">
        <f t="shared" si="235"/>
        <v>4</v>
      </c>
      <c r="AS593">
        <f t="shared" si="236"/>
        <v>0</v>
      </c>
      <c r="AT593" t="str">
        <f t="shared" si="237"/>
        <v>VENTAS</v>
      </c>
      <c r="AU593">
        <f t="shared" si="238"/>
        <v>7.5346677188826519</v>
      </c>
      <c r="AV593" t="str">
        <f t="shared" si="239"/>
        <v>Mayor retorno probable: VENTAS (+7,5 puntos finales potenciales).</v>
      </c>
    </row>
    <row r="594" spans="1:48" x14ac:dyDescent="0.3">
      <c r="A594" s="5">
        <v>51017226</v>
      </c>
      <c r="B594" s="5" t="str">
        <f>IFERROR(VLOOKUP(A594,VENTAS!$A$2:$B$1194,2,0),"")</f>
        <v>MONTENEGRO</v>
      </c>
      <c r="C594" s="5">
        <f>IFERROR(INDEX(VENTAS!$C$2:$E$1194,MATCH(A594,VENTAS!$A$2:$A$1194,0),MATCH(PARAMS_MODELO!$B$2,{"Q1","Q2","Q3"},0)),0)</f>
        <v>56131408.649999999</v>
      </c>
      <c r="D594" s="5">
        <f>IFERROR(INDEX(VENTAS!$F$2:$H$1194,MATCH(A594,VENTAS!$A$2:$A$1194,0),MATCH(PARAMS_MODELO!$B$2,{"Q1","Q2","Q3"},0)),0)</f>
        <v>68225112</v>
      </c>
      <c r="E594" s="8">
        <f t="shared" si="216"/>
        <v>0.21545340907812771</v>
      </c>
      <c r="F594" s="12">
        <f>IF(E594&lt;=PARAMS_MODELO!$B$15,0,IF(E594&gt;=PARAMS_MODELO!$B$17,100,100*MIN(1,(E594-PARAMS_MODELO!$B$15)/(PARAMS_MODELO!$B$16-PARAMS_MODELO!$B$15))))*PARAMS_MODELO!$B$7</f>
        <v>35</v>
      </c>
      <c r="G594" s="5">
        <f t="shared" si="217"/>
        <v>12093703.350000001</v>
      </c>
      <c r="H594" s="5">
        <f>(PARAMS_MODELO!$B$20*(MAX(0,MIN(3,E594))/3)+PARAMS_MODELO!$B$21*(IFERROR(LN(1+MAX(0,G594))/LN(1+MAX(0,MAX($G$2:$G$1194))),0)))*100*PARAMS_MODELO!$B$8</f>
        <v>4.576955647927484</v>
      </c>
      <c r="I594" s="8">
        <f>E594-PARAMS_MODELO!$B$5</f>
        <v>3.7890573702601182E-2</v>
      </c>
      <c r="J594" s="5">
        <f>IF(I594&lt;=PARAMS_MODELO!$B$18,0,IF(I594&gt;=PARAMS_MODELO!$B$19,100,100*(I594-PARAMS_MODELO!$B$18)/(PARAMS_MODELO!$B$19-PARAMS_MODELO!$B$18)))*PARAMS_MODELO!$B$9</f>
        <v>13.183586055390178</v>
      </c>
      <c r="K594" s="5">
        <f>IFERROR(CHOOSE(MATCH(PARAMS_MODELO!$B$2,{"Q1","Q2","Q3"},0),LOTO!$D594,LOTO!$F594,LOTO!$H594),0)</f>
        <v>3342500</v>
      </c>
      <c r="L594" s="8">
        <f t="shared" si="218"/>
        <v>4.8992224446623114E-2</v>
      </c>
      <c r="M594" s="5">
        <f>MIN(100,IF(PARAMS_MODELO!$B$23=0,0,100*L594/PARAMS_MODELO!$B$23))*PARAMS_MODELO!$B$10</f>
        <v>14.697667333986933</v>
      </c>
      <c r="N594" s="5">
        <f>IFERROR(VLOOKUP(A594,COMPLIANCE!$A$2:$F$1996,6,0),100)</f>
        <v>100</v>
      </c>
      <c r="O594" s="5">
        <f>N594*PARAMS_MODELO!$B$11</f>
        <v>10</v>
      </c>
      <c r="P594" s="5">
        <f>IFERROR(VLOOKUP(A594,DIGITAL!$A$2:$J$2000,7,0),100)</f>
        <v>30</v>
      </c>
      <c r="Q594" s="5">
        <f>IFERROR(P594,0)*PARAMS_MODELO!$B$12</f>
        <v>3</v>
      </c>
      <c r="R594">
        <f t="shared" si="219"/>
        <v>80.458209037304599</v>
      </c>
      <c r="S594" s="5" t="str">
        <f>IFERROR(VLOOKUP(A594,CLIENTE!$A$2:$N$2000,13,0),1)</f>
        <v>Regular</v>
      </c>
      <c r="T594" s="5">
        <f>IFERROR(VLOOKUP(A594,CLIENTE!$A$2:$N$2000,14,0),1)</f>
        <v>1</v>
      </c>
      <c r="U594" s="5">
        <f t="shared" si="220"/>
        <v>80.458209037304599</v>
      </c>
      <c r="V594" s="5" t="str">
        <f>IF(U594&gt;=MAX(_xlfn.PERCENTILE.INC($U$2:$U$1194,PARAMS_MODELO!$B$50),PARAMS_MODELO!$B$45),"DIAMANTE",IF(U594&gt;=MAX(_xlfn.PERCENTILE.INC($U$2:$U$1194,PARAMS_MODELO!$B$51),PARAMS_MODELO!$B$46),"PLATINO",IF(U594&gt;=MAX(_xlfn.PERCENTILE.INC($U$2:$U$1194,PARAMS_MODELO!$B$52),PARAMS_MODELO!$B$47),"ORO",IF(U594&gt;=MAX(_xlfn.PERCENTILE.INC($U$2:$U$1194,PARAMS_MODELO!$B$53),PARAMS_MODELO!$B$48),"PLATA",IF(U594&gt;=1,"BRONCE","CERRADO")))))</f>
        <v>ORO</v>
      </c>
      <c r="W594" s="5" t="str" cm="1">
        <f t="array" ref="W594">_xlfn.XLOOKUP(1, (HIST_SCORE!$B:$B=PARAMS_MODELO!$B$4) * (HIST_SCORE!$C:$C=A594), HIST_SCORE!$E:$E, "No encontrado")</f>
        <v>PLATA</v>
      </c>
      <c r="X594" s="5" t="str">
        <f>_xlfn.LET(_xlpm.act,MATCH(V594,{"DIAMANTE";"PLATINO";"ORO";"PLATA";"BRONCE";"CERRADO"},0),_xlpm.ant,MATCH(W594,{"DIAMANTE";"PLATINO";"ORO";"PLATA";"BRONCE";"CERRADO"},0),IF(_xlpm.act&lt;_xlpm.ant,"Mejora ↑",IF(_xlpm.act&gt;_xlpm.ant,"Baja ↓","Estable →")))</f>
        <v>Mejora ↑</v>
      </c>
      <c r="Y594" s="5">
        <f>IFERROR(U594-SUMIFS(HIST_SCORE!$D:$D,HIST_SCORE!$B:$B,PARAMS_MODELO!$B$4,HIST_SCORE!$C:$C,$A594),"")</f>
        <v>42.593948526192634</v>
      </c>
      <c r="Z594" s="5" t="str">
        <f t="shared" si="221"/>
        <v>↑ Mejora</v>
      </c>
      <c r="AA594" s="5">
        <f t="shared" si="222"/>
        <v>431</v>
      </c>
      <c r="AB594" s="5">
        <f>IFERROR(SUMIFS(HIST_SCORE!$F:$F,HIST_SCORE!$B:$B,PARAMS_MODELO!$B$4,HIST_SCORE!$C:$C,$A594),"")</f>
        <v>854</v>
      </c>
      <c r="AC594" s="5">
        <f t="shared" si="223"/>
        <v>423</v>
      </c>
      <c r="AD594" t="str">
        <f t="shared" si="225"/>
        <v/>
      </c>
      <c r="AE5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594="CERRADO",1,IF(V594="BRONCE",_xlpm.cPl,IF(V594="PLATA",_xlpm.cO,IF(V594="ORO",_xlpm.cP,IF(V594="PLATINO",_xlpm.cD,999))))))</f>
        <v>86.439123873763251</v>
      </c>
      <c r="AF5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594="CERRADO",0,IF(V594="BRONCE",1,IF(V594="PLATA",_xlpm.cPl,IF(V594="ORO",_xlpm.cO,IF(V594="PLATINO",_xlpm.cP,_xlpm.cD))))))</f>
        <v>63.199193273331495</v>
      </c>
      <c r="AG594">
        <f t="shared" si="226"/>
        <v>5.980914836458652</v>
      </c>
      <c r="AH594" t="str">
        <f t="shared" si="227"/>
        <v>VENTAS</v>
      </c>
      <c r="AI594" t="str">
        <f t="shared" si="224"/>
        <v>🎯 Para subir de categoría, eje VENTAS / IMPACTO ABSOLUTO (H). Acción: metas semanales + activación comercial + seguimiento del asesor. ΔR aprox: 6,0</v>
      </c>
      <c r="AJ594" s="26">
        <f>_xlfn.LET(_xlpm.piso,AF594,_xlpm.corte,AE594,_xlpm.prog,IF(_xlpm.corte&lt;=_xlpm.piso,0,MAX(0,MIN(1,(U594-_xlpm.piso)/(_xlpm.corte-_xlpm.piso)))),_xlpm.orden,{"DIAMANTE";"PLATINO";"ORO";"PLATA";"BRONCE";"CERRADO"},_xlpm.act,IFERROR(MATCH(V594,_xlpm.orden,0),6),_xlpm.ant,IFERROR(MATCH(W594,_xlpm.orden,0),6),_xlpm.ajmov,IF(_xlpm.act&lt;_xlpm.ant,0.08,IF(_xlpm.act&gt;_xlpm.ant,-0.08,0)),_xlpm.ajcli,IF(T594&lt;0.95,-0.06,0),_xlpm.prob,MAX(0,MIN(1,_xlpm.prog+_xlpm.ajmov+_xlpm.ajcli)),IF(OR(V594="DIAMANTE",V594="CERRADO"),0,ROUND(_xlpm.prob,2)))</f>
        <v>0.82</v>
      </c>
      <c r="AK594" t="str">
        <f t="shared" si="228"/>
        <v>Faltan 6,0 puntos base para subir a la siguiente categoría</v>
      </c>
      <c r="AL594" t="str">
        <f t="shared" si="229"/>
        <v>Margen de seguridad: 17,3 puntos</v>
      </c>
      <c r="AM594">
        <f t="shared" si="230"/>
        <v>0.31</v>
      </c>
      <c r="AN594" t="str">
        <f t="shared" si="231"/>
        <v>PRIORIDAD BAJA – control normal</v>
      </c>
      <c r="AO594">
        <f t="shared" si="232"/>
        <v>12.102027571977921</v>
      </c>
      <c r="AP594">
        <f t="shared" si="233"/>
        <v>0.30233266601306674</v>
      </c>
      <c r="AQ594">
        <f t="shared" si="234"/>
        <v>0</v>
      </c>
      <c r="AR594">
        <f t="shared" si="235"/>
        <v>7</v>
      </c>
      <c r="AS594">
        <f t="shared" si="236"/>
        <v>0</v>
      </c>
      <c r="AT594" t="str">
        <f t="shared" si="237"/>
        <v>VENTAS</v>
      </c>
      <c r="AU594">
        <f t="shared" si="238"/>
        <v>12.102027571977921</v>
      </c>
      <c r="AV594" t="str">
        <f t="shared" si="239"/>
        <v>Mayor retorno probable: VENTAS (+12,1 puntos finales potenciales).</v>
      </c>
    </row>
    <row r="595" spans="1:48" x14ac:dyDescent="0.3">
      <c r="A595" s="5">
        <v>51056965</v>
      </c>
      <c r="B595" s="5" t="str">
        <f>IFERROR(VLOOKUP(A595,VENTAS!$A$2:$B$1194,2,0),"")</f>
        <v>MONTENEGRO</v>
      </c>
      <c r="C595" s="5">
        <f>IFERROR(INDEX(VENTAS!$C$2:$E$1194,MATCH(A595,VENTAS!$A$2:$A$1194,0),MATCH(PARAMS_MODELO!$B$2,{"Q1","Q2","Q3"},0)),0)</f>
        <v>187730069.30000001</v>
      </c>
      <c r="D595" s="5">
        <f>IFERROR(INDEX(VENTAS!$F$2:$H$1194,MATCH(A595,VENTAS!$A$2:$A$1194,0),MATCH(PARAMS_MODELO!$B$2,{"Q1","Q2","Q3"},0)),0)</f>
        <v>68182067</v>
      </c>
      <c r="E595" s="8">
        <f t="shared" si="216"/>
        <v>-0.63680795913923416</v>
      </c>
      <c r="F595" s="12">
        <f>IF(E595&lt;=PARAMS_MODELO!$B$15,0,IF(E595&gt;=PARAMS_MODELO!$B$17,100,100*MIN(1,(E595-PARAMS_MODELO!$B$15)/(PARAMS_MODELO!$B$16-PARAMS_MODELO!$B$15))))*PARAMS_MODELO!$B$7</f>
        <v>0</v>
      </c>
      <c r="G595" s="5">
        <f t="shared" si="217"/>
        <v>0</v>
      </c>
      <c r="H595" s="5">
        <f>(PARAMS_MODELO!$B$20*(MAX(0,MIN(3,E595))/3)+PARAMS_MODELO!$B$21*(IFERROR(LN(1+MAX(0,G595))/LN(1+MAX(0,MAX($G$2:$G$1194))),0)))*100*PARAMS_MODELO!$B$8</f>
        <v>0</v>
      </c>
      <c r="I595" s="8">
        <f>E595-PARAMS_MODELO!$B$5</f>
        <v>-0.81437079451476069</v>
      </c>
      <c r="J595" s="5">
        <f>IF(I595&lt;=PARAMS_MODELO!$B$18,0,IF(I595&gt;=PARAMS_MODELO!$B$19,100,100*(I595-PARAMS_MODELO!$B$18)/(PARAMS_MODELO!$B$19-PARAMS_MODELO!$B$18)))*PARAMS_MODELO!$B$9</f>
        <v>0</v>
      </c>
      <c r="K595" s="5">
        <f>IFERROR(CHOOSE(MATCH(PARAMS_MODELO!$B$2,{"Q1","Q2","Q3"},0),LOTO!$D595,LOTO!$F595,LOTO!$H595),0)</f>
        <v>3342500</v>
      </c>
      <c r="L595" s="8">
        <f t="shared" si="218"/>
        <v>4.9023154431501764E-2</v>
      </c>
      <c r="M595" s="5">
        <f>MIN(100,IF(PARAMS_MODELO!$B$23=0,0,100*L595/PARAMS_MODELO!$B$23))*PARAMS_MODELO!$B$10</f>
        <v>14.706946329450529</v>
      </c>
      <c r="N595" s="5">
        <f>IFERROR(VLOOKUP(A595,COMPLIANCE!$A$2:$F$1996,6,0),100)</f>
        <v>100</v>
      </c>
      <c r="O595" s="5">
        <f>N595*PARAMS_MODELO!$B$11</f>
        <v>10</v>
      </c>
      <c r="P595" s="5">
        <f>IFERROR(VLOOKUP(A595,DIGITAL!$A$2:$J$2000,7,0),100)</f>
        <v>27</v>
      </c>
      <c r="Q595" s="5">
        <f>IFERROR(P595,0)*PARAMS_MODELO!$B$12</f>
        <v>2.7</v>
      </c>
      <c r="R595">
        <f t="shared" si="219"/>
        <v>27.40694632945053</v>
      </c>
      <c r="S595" s="5" t="str">
        <f>IFERROR(VLOOKUP(A595,CLIENTE!$A$2:$N$2000,13,0),1)</f>
        <v>Regular</v>
      </c>
      <c r="T595" s="5">
        <f>IFERROR(VLOOKUP(A595,CLIENTE!$A$2:$N$2000,14,0),1)</f>
        <v>1</v>
      </c>
      <c r="U595" s="5">
        <f t="shared" si="220"/>
        <v>27.40694632945053</v>
      </c>
      <c r="V595" s="5" t="str">
        <f>IF(U595&gt;=MAX(_xlfn.PERCENTILE.INC($U$2:$U$1194,PARAMS_MODELO!$B$50),PARAMS_MODELO!$B$45),"DIAMANTE",IF(U595&gt;=MAX(_xlfn.PERCENTILE.INC($U$2:$U$1194,PARAMS_MODELO!$B$51),PARAMS_MODELO!$B$46),"PLATINO",IF(U595&gt;=MAX(_xlfn.PERCENTILE.INC($U$2:$U$1194,PARAMS_MODELO!$B$52),PARAMS_MODELO!$B$47),"ORO",IF(U595&gt;=MAX(_xlfn.PERCENTILE.INC($U$2:$U$1194,PARAMS_MODELO!$B$53),PARAMS_MODELO!$B$48),"PLATA",IF(U595&gt;=1,"BRONCE","CERRADO")))))</f>
        <v>PLATA</v>
      </c>
      <c r="W595" s="5" t="str" cm="1">
        <f t="array" ref="W595">_xlfn.XLOOKUP(1, (HIST_SCORE!$B:$B=PARAMS_MODELO!$B$4) * (HIST_SCORE!$C:$C=A595), HIST_SCORE!$E:$E, "No encontrado")</f>
        <v>BRONCE</v>
      </c>
      <c r="X595" s="5" t="str">
        <f>_xlfn.LET(_xlpm.act,MATCH(V595,{"DIAMANTE";"PLATINO";"ORO";"PLATA";"BRONCE";"CERRADO"},0),_xlpm.ant,MATCH(W595,{"DIAMANTE";"PLATINO";"ORO";"PLATA";"BRONCE";"CERRADO"},0),IF(_xlpm.act&lt;_xlpm.ant,"Mejora ↑",IF(_xlpm.act&gt;_xlpm.ant,"Baja ↓","Estable →")))</f>
        <v>Mejora ↑</v>
      </c>
      <c r="Y595" s="5">
        <f>IFERROR(U595-SUMIFS(HIST_SCORE!$D:$D,HIST_SCORE!$B:$B,PARAMS_MODELO!$B$4,HIST_SCORE!$C:$C,$A595),"")</f>
        <v>5.6399593255889009</v>
      </c>
      <c r="Z595" s="5" t="str">
        <f t="shared" si="221"/>
        <v>↑ Mejora</v>
      </c>
      <c r="AA595" s="5">
        <f t="shared" si="222"/>
        <v>896</v>
      </c>
      <c r="AB595" s="5">
        <f>IFERROR(SUMIFS(HIST_SCORE!$F:$F,HIST_SCORE!$B:$B,PARAMS_MODELO!$B$4,HIST_SCORE!$C:$C,$A595),"")</f>
        <v>968</v>
      </c>
      <c r="AC595" s="5">
        <f t="shared" si="223"/>
        <v>72</v>
      </c>
      <c r="AD595" t="str">
        <f t="shared" si="225"/>
        <v/>
      </c>
      <c r="AE5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595="CERRADO",1,IF(V595="BRONCE",_xlpm.cPl,IF(V595="PLATA",_xlpm.cO,IF(V595="ORO",_xlpm.cP,IF(V595="PLATINO",_xlpm.cD,999))))))</f>
        <v>63.199193273331495</v>
      </c>
      <c r="AF5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595="CERRADO",0,IF(V595="BRONCE",1,IF(V595="PLATA",_xlpm.cPl,IF(V595="ORO",_xlpm.cO,IF(V595="PLATINO",_xlpm.cP,_xlpm.cD))))))</f>
        <v>24.506573482968111</v>
      </c>
      <c r="AG595">
        <f t="shared" si="226"/>
        <v>35.792246943880969</v>
      </c>
      <c r="AH595" t="str">
        <f t="shared" si="227"/>
        <v>VENTAS</v>
      </c>
      <c r="AI595" t="str">
        <f t="shared" si="224"/>
        <v>🎯 Para subir de categoría, eje VENTAS / CRECIMIENTO PERSONAL (F). Acción: metas semanales + activación comercial + seguimiento del asesor. ΔR aprox: 35,8</v>
      </c>
      <c r="AJ595" s="26">
        <f>_xlfn.LET(_xlpm.piso,AF595,_xlpm.corte,AE595,_xlpm.prog,IF(_xlpm.corte&lt;=_xlpm.piso,0,MAX(0,MIN(1,(U595-_xlpm.piso)/(_xlpm.corte-_xlpm.piso)))),_xlpm.orden,{"DIAMANTE";"PLATINO";"ORO";"PLATA";"BRONCE";"CERRADO"},_xlpm.act,IFERROR(MATCH(V595,_xlpm.orden,0),6),_xlpm.ant,IFERROR(MATCH(W595,_xlpm.orden,0),6),_xlpm.ajmov,IF(_xlpm.act&lt;_xlpm.ant,0.08,IF(_xlpm.act&gt;_xlpm.ant,-0.08,0)),_xlpm.ajcli,IF(T595&lt;0.95,-0.06,0),_xlpm.prob,MAX(0,MIN(1,_xlpm.prog+_xlpm.ajmov+_xlpm.ajcli)),IF(OR(V595="DIAMANTE",V595="CERRADO"),0,ROUND(_xlpm.prob,2)))</f>
        <v>0.15</v>
      </c>
      <c r="AK595" t="str">
        <f t="shared" si="228"/>
        <v>Faltan 35,8 puntos base para subir a la siguiente categoría</v>
      </c>
      <c r="AL595" t="str">
        <f t="shared" si="229"/>
        <v>Margen de seguridad: 2,9 puntos</v>
      </c>
      <c r="AM595">
        <f t="shared" si="230"/>
        <v>0.74</v>
      </c>
      <c r="AN595" t="str">
        <f t="shared" si="231"/>
        <v>PRIORIDAD ALTA – requiere intervención inmediata</v>
      </c>
      <c r="AO595">
        <f t="shared" si="232"/>
        <v>64.862569275295584</v>
      </c>
      <c r="AP595">
        <f t="shared" si="233"/>
        <v>0.29305367054947062</v>
      </c>
      <c r="AQ595">
        <f t="shared" si="234"/>
        <v>0</v>
      </c>
      <c r="AR595">
        <f t="shared" si="235"/>
        <v>7.3</v>
      </c>
      <c r="AS595">
        <f t="shared" si="236"/>
        <v>0</v>
      </c>
      <c r="AT595" t="str">
        <f t="shared" si="237"/>
        <v>VENTAS</v>
      </c>
      <c r="AU595">
        <f t="shared" si="238"/>
        <v>64.862569275295584</v>
      </c>
      <c r="AV595" t="str">
        <f t="shared" si="239"/>
        <v>Mayor retorno probable: VENTAS (+64,9 puntos finales potenciales).</v>
      </c>
    </row>
    <row r="596" spans="1:48" x14ac:dyDescent="0.3">
      <c r="A596" s="5">
        <v>51033671</v>
      </c>
      <c r="B596" s="5" t="str">
        <f>IFERROR(VLOOKUP(A596,VENTAS!$A$2:$B$1194,2,0),"")</f>
        <v>MONTENEGRO</v>
      </c>
      <c r="C596" s="5">
        <f>IFERROR(INDEX(VENTAS!$C$2:$E$1194,MATCH(A596,VENTAS!$A$2:$A$1194,0),MATCH(PARAMS_MODELO!$B$2,{"Q1","Q2","Q3"},0)),0)</f>
        <v>49390620.899999999</v>
      </c>
      <c r="D596" s="5">
        <f>IFERROR(INDEX(VENTAS!$F$2:$H$1194,MATCH(A596,VENTAS!$A$2:$A$1194,0),MATCH(PARAMS_MODELO!$B$2,{"Q1","Q2","Q3"},0)),0)</f>
        <v>67896442</v>
      </c>
      <c r="E596" s="8">
        <f t="shared" si="216"/>
        <v>0.37468290057475273</v>
      </c>
      <c r="F596" s="12">
        <f>IF(E596&lt;=PARAMS_MODELO!$B$15,0,IF(E596&gt;=PARAMS_MODELO!$B$17,100,100*MIN(1,(E596-PARAMS_MODELO!$B$15)/(PARAMS_MODELO!$B$16-PARAMS_MODELO!$B$15))))*PARAMS_MODELO!$B$7</f>
        <v>35</v>
      </c>
      <c r="G596" s="5">
        <f t="shared" si="217"/>
        <v>18505821.100000001</v>
      </c>
      <c r="H596" s="5">
        <f>(PARAMS_MODELO!$B$20*(MAX(0,MIN(3,E596))/3)+PARAMS_MODELO!$B$21*(IFERROR(LN(1+MAX(0,G596))/LN(1+MAX(0,MAX($G$2:$G$1194))),0)))*100*PARAMS_MODELO!$B$8</f>
        <v>5.2339786549819465</v>
      </c>
      <c r="I596" s="8">
        <f>E596-PARAMS_MODELO!$B$5</f>
        <v>0.1971200651992262</v>
      </c>
      <c r="J596" s="5">
        <f>IF(I596&lt;=PARAMS_MODELO!$B$18,0,IF(I596&gt;=PARAMS_MODELO!$B$19,100,100*(I596-PARAMS_MODELO!$B$18)/(PARAMS_MODELO!$B$19-PARAMS_MODELO!$B$18)))*PARAMS_MODELO!$B$9</f>
        <v>15</v>
      </c>
      <c r="K596" s="5">
        <f>IFERROR(CHOOSE(MATCH(PARAMS_MODELO!$B$2,{"Q1","Q2","Q3"},0),LOTO!$D596,LOTO!$F596,LOTO!$H596),0)</f>
        <v>3335000</v>
      </c>
      <c r="L596" s="8">
        <f t="shared" si="218"/>
        <v>4.9118921430374808E-2</v>
      </c>
      <c r="M596" s="5">
        <f>MIN(100,IF(PARAMS_MODELO!$B$23=0,0,100*L596/PARAMS_MODELO!$B$23))*PARAMS_MODELO!$B$10</f>
        <v>14.735676429112441</v>
      </c>
      <c r="N596" s="5">
        <f>IFERROR(VLOOKUP(A596,COMPLIANCE!$A$2:$F$1996,6,0),100)</f>
        <v>100</v>
      </c>
      <c r="O596" s="5">
        <f>N596*PARAMS_MODELO!$B$11</f>
        <v>10</v>
      </c>
      <c r="P596" s="5">
        <f>IFERROR(VLOOKUP(A596,DIGITAL!$A$2:$J$2000,7,0),100)</f>
        <v>26</v>
      </c>
      <c r="Q596" s="5">
        <f>IFERROR(P596,0)*PARAMS_MODELO!$B$12</f>
        <v>2.6</v>
      </c>
      <c r="R596">
        <f t="shared" si="219"/>
        <v>82.569655084094379</v>
      </c>
      <c r="S596" s="5" t="str">
        <f>IFERROR(VLOOKUP(A596,CLIENTE!$A$2:$N$2000,13,0),1)</f>
        <v>Malo</v>
      </c>
      <c r="T596" s="5">
        <f>IFERROR(VLOOKUP(A596,CLIENTE!$A$2:$N$2000,14,0),1)</f>
        <v>0.7</v>
      </c>
      <c r="U596" s="5">
        <f t="shared" si="220"/>
        <v>57.798758558866062</v>
      </c>
      <c r="V596" s="5" t="str">
        <f>IF(U596&gt;=MAX(_xlfn.PERCENTILE.INC($U$2:$U$1194,PARAMS_MODELO!$B$50),PARAMS_MODELO!$B$45),"DIAMANTE",IF(U596&gt;=MAX(_xlfn.PERCENTILE.INC($U$2:$U$1194,PARAMS_MODELO!$B$51),PARAMS_MODELO!$B$46),"PLATINO",IF(U596&gt;=MAX(_xlfn.PERCENTILE.INC($U$2:$U$1194,PARAMS_MODELO!$B$52),PARAMS_MODELO!$B$47),"ORO",IF(U596&gt;=MAX(_xlfn.PERCENTILE.INC($U$2:$U$1194,PARAMS_MODELO!$B$53),PARAMS_MODELO!$B$48),"PLATA",IF(U596&gt;=1,"BRONCE","CERRADO")))))</f>
        <v>PLATA</v>
      </c>
      <c r="W596" s="5" t="str" cm="1">
        <f t="array" ref="W596">_xlfn.XLOOKUP(1, (HIST_SCORE!$B:$B=PARAMS_MODELO!$B$4) * (HIST_SCORE!$C:$C=A596), HIST_SCORE!$E:$E, "No encontrado")</f>
        <v>PLATA</v>
      </c>
      <c r="X596" s="5" t="str">
        <f>_xlfn.LET(_xlpm.act,MATCH(V596,{"DIAMANTE";"PLATINO";"ORO";"PLATA";"BRONCE";"CERRADO"},0),_xlpm.ant,MATCH(W596,{"DIAMANTE";"PLATINO";"ORO";"PLATA";"BRONCE";"CERRADO"},0),IF(_xlpm.act&lt;_xlpm.ant,"Mejora ↑",IF(_xlpm.act&gt;_xlpm.ant,"Baja ↓","Estable →")))</f>
        <v>Estable →</v>
      </c>
      <c r="Y596" s="5">
        <f>IFERROR(U596-SUMIFS(HIST_SCORE!$D:$D,HIST_SCORE!$B:$B,PARAMS_MODELO!$B$4,HIST_SCORE!$C:$C,$A596),"")</f>
        <v>-0.13305373695155964</v>
      </c>
      <c r="Z596" s="5" t="str">
        <f t="shared" si="221"/>
        <v>→ Estable</v>
      </c>
      <c r="AA596" s="5">
        <f t="shared" si="222"/>
        <v>667</v>
      </c>
      <c r="AB596" s="5">
        <f>IFERROR(SUMIFS(HIST_SCORE!$F:$F,HIST_SCORE!$B:$B,PARAMS_MODELO!$B$4,HIST_SCORE!$C:$C,$A596),"")</f>
        <v>688</v>
      </c>
      <c r="AC596" s="5">
        <f t="shared" si="223"/>
        <v>21</v>
      </c>
      <c r="AD596" t="str">
        <f t="shared" si="225"/>
        <v/>
      </c>
      <c r="AE5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596="CERRADO",1,IF(V596="BRONCE",_xlpm.cPl,IF(V596="PLATA",_xlpm.cO,IF(V596="ORO",_xlpm.cP,IF(V596="PLATINO",_xlpm.cD,999))))))</f>
        <v>63.199193273331495</v>
      </c>
      <c r="AF5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596="CERRADO",0,IF(V596="BRONCE",1,IF(V596="PLATA",_xlpm.cPl,IF(V596="ORO",_xlpm.cO,IF(V596="PLATINO",_xlpm.cP,_xlpm.cD))))))</f>
        <v>24.506573482968111</v>
      </c>
      <c r="AG596">
        <f t="shared" si="226"/>
        <v>7.7149067349506169</v>
      </c>
      <c r="AH596" t="str">
        <f t="shared" si="227"/>
        <v>CLIENTE</v>
      </c>
      <c r="AI596" t="str">
        <f t="shared" si="224"/>
        <v>🎯 Para subir de categoría, la eje con mayor impacto probable es CLIENTE (coef T). Acción: reducir quejas, mejorar incógnito y empujar reseñas. ΔR aprox: 7,7</v>
      </c>
      <c r="AJ596" s="26">
        <f>_xlfn.LET(_xlpm.piso,AF596,_xlpm.corte,AE596,_xlpm.prog,IF(_xlpm.corte&lt;=_xlpm.piso,0,MAX(0,MIN(1,(U596-_xlpm.piso)/(_xlpm.corte-_xlpm.piso)))),_xlpm.orden,{"DIAMANTE";"PLATINO";"ORO";"PLATA";"BRONCE";"CERRADO"},_xlpm.act,IFERROR(MATCH(V596,_xlpm.orden,0),6),_xlpm.ant,IFERROR(MATCH(W596,_xlpm.orden,0),6),_xlpm.ajmov,IF(_xlpm.act&lt;_xlpm.ant,0.08,IF(_xlpm.act&gt;_xlpm.ant,-0.08,0)),_xlpm.ajcli,IF(T596&lt;0.95,-0.06,0),_xlpm.prob,MAX(0,MIN(1,_xlpm.prog+_xlpm.ajmov+_xlpm.ajcli)),IF(OR(V596="DIAMANTE",V596="CERRADO"),0,ROUND(_xlpm.prob,2)))</f>
        <v>0.8</v>
      </c>
      <c r="AK596" t="str">
        <f t="shared" si="228"/>
        <v>Faltan 7,7 puntos base para subir a la siguiente categoría</v>
      </c>
      <c r="AL596" t="str">
        <f t="shared" si="229"/>
        <v>Margen de seguridad: 33,3 puntos</v>
      </c>
      <c r="AM596">
        <f t="shared" si="230"/>
        <v>0.59</v>
      </c>
      <c r="AN596" t="str">
        <f t="shared" si="231"/>
        <v>PRIORIDAD MEDIA – seguimiento del asesor</v>
      </c>
      <c r="AO596">
        <f t="shared" si="232"/>
        <v>6.7400134342195459</v>
      </c>
      <c r="AP596">
        <f t="shared" si="233"/>
        <v>0.18502649962129103</v>
      </c>
      <c r="AQ596">
        <f t="shared" si="234"/>
        <v>0</v>
      </c>
      <c r="AR596">
        <f t="shared" si="235"/>
        <v>5.18</v>
      </c>
      <c r="AS596">
        <f t="shared" si="236"/>
        <v>24.770896525228316</v>
      </c>
      <c r="AT596" t="str">
        <f t="shared" si="237"/>
        <v>CLIENTE</v>
      </c>
      <c r="AU596">
        <f t="shared" si="238"/>
        <v>24.770896525228316</v>
      </c>
      <c r="AV596" t="str">
        <f t="shared" si="239"/>
        <v>Mayor retorno probable: CLIENTE (+24,8 puntos finales potenciales).</v>
      </c>
    </row>
    <row r="597" spans="1:48" x14ac:dyDescent="0.3">
      <c r="A597" s="5">
        <v>51038797</v>
      </c>
      <c r="B597" s="5" t="str">
        <f>IFERROR(VLOOKUP(A597,VENTAS!$A$2:$B$1194,2,0),"")</f>
        <v>NELLI</v>
      </c>
      <c r="C597" s="5">
        <f>IFERROR(INDEX(VENTAS!$C$2:$E$1194,MATCH(A597,VENTAS!$A$2:$A$1194,0),MATCH(PARAMS_MODELO!$B$2,{"Q1","Q2","Q3"},0)),0)</f>
        <v>46610602.419999987</v>
      </c>
      <c r="D597" s="5">
        <f>IFERROR(INDEX(VENTAS!$F$2:$H$1194,MATCH(A597,VENTAS!$A$2:$A$1194,0),MATCH(PARAMS_MODELO!$B$2,{"Q1","Q2","Q3"},0)),0)</f>
        <v>67869920</v>
      </c>
      <c r="E597" s="8">
        <f t="shared" si="216"/>
        <v>0.45610475892235902</v>
      </c>
      <c r="F597" s="12">
        <f>IF(E597&lt;=PARAMS_MODELO!$B$15,0,IF(E597&gt;=PARAMS_MODELO!$B$17,100,100*MIN(1,(E597-PARAMS_MODELO!$B$15)/(PARAMS_MODELO!$B$16-PARAMS_MODELO!$B$15))))*PARAMS_MODELO!$B$7</f>
        <v>35</v>
      </c>
      <c r="G597" s="5">
        <f t="shared" si="217"/>
        <v>21259317.580000013</v>
      </c>
      <c r="H597" s="5">
        <f>(PARAMS_MODELO!$B$20*(MAX(0,MIN(3,E597))/3)+PARAMS_MODELO!$B$21*(IFERROR(LN(1+MAX(0,G597))/LN(1+MAX(0,MAX($G$2:$G$1194))),0)))*100*PARAMS_MODELO!$B$8</f>
        <v>5.5514707032721642</v>
      </c>
      <c r="I597" s="8">
        <f>E597-PARAMS_MODELO!$B$5</f>
        <v>0.27854192354683249</v>
      </c>
      <c r="J597" s="5">
        <f>IF(I597&lt;=PARAMS_MODELO!$B$18,0,IF(I597&gt;=PARAMS_MODELO!$B$19,100,100*(I597-PARAMS_MODELO!$B$18)/(PARAMS_MODELO!$B$19-PARAMS_MODELO!$B$18)))*PARAMS_MODELO!$B$9</f>
        <v>15</v>
      </c>
      <c r="K597" s="5">
        <f>IFERROR(CHOOSE(MATCH(PARAMS_MODELO!$B$2,{"Q1","Q2","Q3"},0),LOTO!$D597,LOTO!$F597,LOTO!$H597),0)</f>
        <v>3335000</v>
      </c>
      <c r="L597" s="8">
        <f t="shared" si="218"/>
        <v>4.9138115972436683E-2</v>
      </c>
      <c r="M597" s="5">
        <f>MIN(100,IF(PARAMS_MODELO!$B$23=0,0,100*L597/PARAMS_MODELO!$B$23))*PARAMS_MODELO!$B$10</f>
        <v>14.741434791731006</v>
      </c>
      <c r="N597" s="5">
        <f>IFERROR(VLOOKUP(A597,COMPLIANCE!$A$2:$F$1996,6,0),100)</f>
        <v>100</v>
      </c>
      <c r="O597" s="5">
        <f>N597*PARAMS_MODELO!$B$11</f>
        <v>10</v>
      </c>
      <c r="P597" s="5">
        <f>IFERROR(VLOOKUP(A597,DIGITAL!$A$2:$J$2000,7,0),100)</f>
        <v>35</v>
      </c>
      <c r="Q597" s="5">
        <f>IFERROR(P597,0)*PARAMS_MODELO!$B$12</f>
        <v>3.5</v>
      </c>
      <c r="R597">
        <f t="shared" si="219"/>
        <v>83.792905495003168</v>
      </c>
      <c r="S597" s="5" t="str">
        <f>IFERROR(VLOOKUP(A597,CLIENTE!$A$2:$N$2000,13,0),1)</f>
        <v>Bueno</v>
      </c>
      <c r="T597" s="5">
        <f>IFERROR(VLOOKUP(A597,CLIENTE!$A$2:$N$2000,14,0),1)</f>
        <v>1.1000000000000001</v>
      </c>
      <c r="U597" s="5">
        <f t="shared" si="220"/>
        <v>92.172196044503494</v>
      </c>
      <c r="V597" s="5" t="str">
        <f>IF(U597&gt;=MAX(_xlfn.PERCENTILE.INC($U$2:$U$1194,PARAMS_MODELO!$B$50),PARAMS_MODELO!$B$45),"DIAMANTE",IF(U597&gt;=MAX(_xlfn.PERCENTILE.INC($U$2:$U$1194,PARAMS_MODELO!$B$51),PARAMS_MODELO!$B$46),"PLATINO",IF(U597&gt;=MAX(_xlfn.PERCENTILE.INC($U$2:$U$1194,PARAMS_MODELO!$B$52),PARAMS_MODELO!$B$47),"ORO",IF(U597&gt;=MAX(_xlfn.PERCENTILE.INC($U$2:$U$1194,PARAMS_MODELO!$B$53),PARAMS_MODELO!$B$48),"PLATA",IF(U597&gt;=1,"BRONCE","CERRADO")))))</f>
        <v>PLATINO</v>
      </c>
      <c r="W597" s="5" t="str" cm="1">
        <f t="array" ref="W597">_xlfn.XLOOKUP(1, (HIST_SCORE!$B:$B=PARAMS_MODELO!$B$4) * (HIST_SCORE!$C:$C=A597), HIST_SCORE!$E:$E, "No encontrado")</f>
        <v>PLATINO</v>
      </c>
      <c r="X597" s="5" t="str">
        <f>_xlfn.LET(_xlpm.act,MATCH(V597,{"DIAMANTE";"PLATINO";"ORO";"PLATA";"BRONCE";"CERRADO"},0),_xlpm.ant,MATCH(W597,{"DIAMANTE";"PLATINO";"ORO";"PLATA";"BRONCE";"CERRADO"},0),IF(_xlpm.act&lt;_xlpm.ant,"Mejora ↑",IF(_xlpm.act&gt;_xlpm.ant,"Baja ↓","Estable →")))</f>
        <v>Estable →</v>
      </c>
      <c r="Y597" s="5">
        <f>IFERROR(U597-SUMIFS(HIST_SCORE!$D:$D,HIST_SCORE!$B:$B,PARAMS_MODELO!$B$4,HIST_SCORE!$C:$C,$A597),"")</f>
        <v>1.0387752749377768</v>
      </c>
      <c r="Z597" s="5" t="str">
        <f t="shared" si="221"/>
        <v>→ Estable</v>
      </c>
      <c r="AA597" s="5">
        <f t="shared" si="222"/>
        <v>104</v>
      </c>
      <c r="AB597" s="5">
        <f>IFERROR(SUMIFS(HIST_SCORE!$F:$F,HIST_SCORE!$B:$B,PARAMS_MODELO!$B$4,HIST_SCORE!$C:$C,$A597),"")</f>
        <v>117</v>
      </c>
      <c r="AC597" s="5">
        <f t="shared" si="223"/>
        <v>13</v>
      </c>
      <c r="AD597" t="str">
        <f t="shared" si="225"/>
        <v/>
      </c>
      <c r="AE5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597="CERRADO",1,IF(V597="BRONCE",_xlpm.cPl,IF(V597="PLATA",_xlpm.cO,IF(V597="ORO",_xlpm.cP,IF(V597="PLATINO",_xlpm.cD,999))))))</f>
        <v>96.054919694466676</v>
      </c>
      <c r="AF5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597="CERRADO",0,IF(V597="BRONCE",1,IF(V597="PLATA",_xlpm.cPl,IF(V597="ORO",_xlpm.cO,IF(V597="PLATINO",_xlpm.cP,_xlpm.cD))))))</f>
        <v>86.439123873763251</v>
      </c>
      <c r="AG597">
        <f t="shared" si="226"/>
        <v>3.5297487726938073</v>
      </c>
      <c r="AH597" t="str">
        <f t="shared" si="227"/>
        <v>VENTAS</v>
      </c>
      <c r="AI597" t="str">
        <f t="shared" si="224"/>
        <v>🎯 Para subir de categoría, eje VENTAS / IMPACTO ABSOLUTO (H). Acción: metas semanales + activación comercial + seguimiento del asesor. ΔR aprox: 3,5</v>
      </c>
      <c r="AJ597" s="26">
        <f>_xlfn.LET(_xlpm.piso,AF597,_xlpm.corte,AE597,_xlpm.prog,IF(_xlpm.corte&lt;=_xlpm.piso,0,MAX(0,MIN(1,(U597-_xlpm.piso)/(_xlpm.corte-_xlpm.piso)))),_xlpm.orden,{"DIAMANTE";"PLATINO";"ORO";"PLATA";"BRONCE";"CERRADO"},_xlpm.act,IFERROR(MATCH(V597,_xlpm.orden,0),6),_xlpm.ant,IFERROR(MATCH(W597,_xlpm.orden,0),6),_xlpm.ajmov,IF(_xlpm.act&lt;_xlpm.ant,0.08,IF(_xlpm.act&gt;_xlpm.ant,-0.08,0)),_xlpm.ajcli,IF(T597&lt;0.95,-0.06,0),_xlpm.prob,MAX(0,MIN(1,_xlpm.prog+_xlpm.ajmov+_xlpm.ajcli)),IF(OR(V597="DIAMANTE",V597="CERRADO"),0,ROUND(_xlpm.prob,2)))</f>
        <v>0.6</v>
      </c>
      <c r="AK597" t="str">
        <f t="shared" si="228"/>
        <v>Faltan 3,5 puntos base para subir a la siguiente categoría</v>
      </c>
      <c r="AL597" t="str">
        <f t="shared" si="229"/>
        <v>Margen de seguridad: 5,7 puntos</v>
      </c>
      <c r="AM597">
        <f t="shared" si="230"/>
        <v>0.3</v>
      </c>
      <c r="AN597" t="str">
        <f t="shared" si="231"/>
        <v>PRIORIDAD BAJA – control normal</v>
      </c>
      <c r="AO597">
        <f t="shared" si="232"/>
        <v>10.24220842922576</v>
      </c>
      <c r="AP597">
        <f t="shared" si="233"/>
        <v>0.28442172909589342</v>
      </c>
      <c r="AQ597">
        <f t="shared" si="234"/>
        <v>0</v>
      </c>
      <c r="AR597">
        <f t="shared" si="235"/>
        <v>7.15</v>
      </c>
      <c r="AS597">
        <f t="shared" si="236"/>
        <v>0</v>
      </c>
      <c r="AT597" t="str">
        <f t="shared" si="237"/>
        <v>VENTAS</v>
      </c>
      <c r="AU597">
        <f t="shared" si="238"/>
        <v>10.24220842922576</v>
      </c>
      <c r="AV597" t="str">
        <f t="shared" si="239"/>
        <v>Mayor retorno probable: VENTAS (+10,2 puntos finales potenciales).</v>
      </c>
    </row>
    <row r="598" spans="1:48" x14ac:dyDescent="0.3">
      <c r="A598" s="5">
        <v>51013492</v>
      </c>
      <c r="B598" s="5" t="str">
        <f>IFERROR(VLOOKUP(A598,VENTAS!$A$2:$B$1194,2,0),"")</f>
        <v>PUGH</v>
      </c>
      <c r="C598" s="5">
        <f>IFERROR(INDEX(VENTAS!$C$2:$E$1194,MATCH(A598,VENTAS!$A$2:$A$1194,0),MATCH(PARAMS_MODELO!$B$2,{"Q1","Q2","Q3"},0)),0)</f>
        <v>52411668</v>
      </c>
      <c r="D598" s="5">
        <f>IFERROR(INDEX(VENTAS!$F$2:$H$1194,MATCH(A598,VENTAS!$A$2:$A$1194,0),MATCH(PARAMS_MODELO!$B$2,{"Q1","Q2","Q3"},0)),0)</f>
        <v>67818585</v>
      </c>
      <c r="E598" s="8">
        <f t="shared" si="216"/>
        <v>0.29395967707038051</v>
      </c>
      <c r="F598" s="12">
        <f>IF(E598&lt;=PARAMS_MODELO!$B$15,0,IF(E598&gt;=PARAMS_MODELO!$B$17,100,100*MIN(1,(E598-PARAMS_MODELO!$B$15)/(PARAMS_MODELO!$B$16-PARAMS_MODELO!$B$15))))*PARAMS_MODELO!$B$7</f>
        <v>35</v>
      </c>
      <c r="G598" s="5">
        <f t="shared" si="217"/>
        <v>15406917</v>
      </c>
      <c r="H598" s="5">
        <f>(PARAMS_MODELO!$B$20*(MAX(0,MIN(3,E598))/3)+PARAMS_MODELO!$B$21*(IFERROR(LN(1+MAX(0,G598))/LN(1+MAX(0,MAX($G$2:$G$1194))),0)))*100*PARAMS_MODELO!$B$8</f>
        <v>4.9084866164965</v>
      </c>
      <c r="I598" s="8">
        <f>E598-PARAMS_MODELO!$B$5</f>
        <v>0.11639684169485398</v>
      </c>
      <c r="J598" s="5">
        <f>IF(I598&lt;=PARAMS_MODELO!$B$18,0,IF(I598&gt;=PARAMS_MODELO!$B$19,100,100*(I598-PARAMS_MODELO!$B$18)/(PARAMS_MODELO!$B$19-PARAMS_MODELO!$B$18)))*PARAMS_MODELO!$B$9</f>
        <v>15</v>
      </c>
      <c r="K598" s="5">
        <f>IFERROR(CHOOSE(MATCH(PARAMS_MODELO!$B$2,{"Q1","Q2","Q3"},0),LOTO!$D598,LOTO!$F598,LOTO!$H598),0)</f>
        <v>3315000</v>
      </c>
      <c r="L598" s="8">
        <f t="shared" si="218"/>
        <v>4.8880406454956261E-2</v>
      </c>
      <c r="M598" s="5">
        <f>MIN(100,IF(PARAMS_MODELO!$B$23=0,0,100*L598/PARAMS_MODELO!$B$23))*PARAMS_MODELO!$B$10</f>
        <v>14.664121936486877</v>
      </c>
      <c r="N598" s="5">
        <f>IFERROR(VLOOKUP(A598,COMPLIANCE!$A$2:$F$1996,6,0),100)</f>
        <v>100</v>
      </c>
      <c r="O598" s="5">
        <f>N598*PARAMS_MODELO!$B$11</f>
        <v>10</v>
      </c>
      <c r="P598" s="5">
        <f>IFERROR(VLOOKUP(A598,DIGITAL!$A$2:$J$2000,7,0),100)</f>
        <v>99</v>
      </c>
      <c r="Q598" s="5">
        <f>IFERROR(P598,0)*PARAMS_MODELO!$B$12</f>
        <v>9.9</v>
      </c>
      <c r="R598">
        <f t="shared" si="219"/>
        <v>89.472608552983388</v>
      </c>
      <c r="S598" s="5" t="str">
        <f>IFERROR(VLOOKUP(A598,CLIENTE!$A$2:$N$2000,13,0),1)</f>
        <v>Malo</v>
      </c>
      <c r="T598" s="5">
        <f>IFERROR(VLOOKUP(A598,CLIENTE!$A$2:$N$2000,14,0),1)</f>
        <v>0.7</v>
      </c>
      <c r="U598" s="5">
        <f t="shared" si="220"/>
        <v>62.630825987088365</v>
      </c>
      <c r="V598" s="5" t="str">
        <f>IF(U598&gt;=MAX(_xlfn.PERCENTILE.INC($U$2:$U$1194,PARAMS_MODELO!$B$50),PARAMS_MODELO!$B$45),"DIAMANTE",IF(U598&gt;=MAX(_xlfn.PERCENTILE.INC($U$2:$U$1194,PARAMS_MODELO!$B$51),PARAMS_MODELO!$B$46),"PLATINO",IF(U598&gt;=MAX(_xlfn.PERCENTILE.INC($U$2:$U$1194,PARAMS_MODELO!$B$52),PARAMS_MODELO!$B$47),"ORO",IF(U598&gt;=MAX(_xlfn.PERCENTILE.INC($U$2:$U$1194,PARAMS_MODELO!$B$53),PARAMS_MODELO!$B$48),"PLATA",IF(U598&gt;=1,"BRONCE","CERRADO")))))</f>
        <v>PLATA</v>
      </c>
      <c r="W598" s="5" t="str" cm="1">
        <f t="array" ref="W598">_xlfn.XLOOKUP(1, (HIST_SCORE!$B:$B=PARAMS_MODELO!$B$4) * (HIST_SCORE!$C:$C=A598), HIST_SCORE!$E:$E, "No encontrado")</f>
        <v>PLATA</v>
      </c>
      <c r="X598" s="5" t="str">
        <f>_xlfn.LET(_xlpm.act,MATCH(V598,{"DIAMANTE";"PLATINO";"ORO";"PLATA";"BRONCE";"CERRADO"},0),_xlpm.ant,MATCH(W598,{"DIAMANTE";"PLATINO";"ORO";"PLATA";"BRONCE";"CERRADO"},0),IF(_xlpm.act&lt;_xlpm.ant,"Mejora ↑",IF(_xlpm.act&gt;_xlpm.ant,"Baja ↓","Estable →")))</f>
        <v>Estable →</v>
      </c>
      <c r="Y598" s="5">
        <f>IFERROR(U598-SUMIFS(HIST_SCORE!$D:$D,HIST_SCORE!$B:$B,PARAMS_MODELO!$B$4,HIST_SCORE!$C:$C,$A598),"")</f>
        <v>9.6823787299873914</v>
      </c>
      <c r="Z598" s="5" t="str">
        <f t="shared" si="221"/>
        <v>↑ Mejora</v>
      </c>
      <c r="AA598" s="5">
        <f t="shared" si="222"/>
        <v>564</v>
      </c>
      <c r="AB598" s="5">
        <f>IFERROR(SUMIFS(HIST_SCORE!$F:$F,HIST_SCORE!$B:$B,PARAMS_MODELO!$B$4,HIST_SCORE!$C:$C,$A598),"")</f>
        <v>751</v>
      </c>
      <c r="AC598" s="5">
        <f t="shared" si="223"/>
        <v>187</v>
      </c>
      <c r="AD598" t="str">
        <f t="shared" si="225"/>
        <v/>
      </c>
      <c r="AE5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598="CERRADO",1,IF(V598="BRONCE",_xlpm.cPl,IF(V598="PLATA",_xlpm.cO,IF(V598="ORO",_xlpm.cP,IF(V598="PLATINO",_xlpm.cD,999))))))</f>
        <v>63.199193273331495</v>
      </c>
      <c r="AF5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598="CERRADO",0,IF(V598="BRONCE",1,IF(V598="PLATA",_xlpm.cPl,IF(V598="ORO",_xlpm.cO,IF(V598="PLATINO",_xlpm.cP,_xlpm.cD))))))</f>
        <v>24.506573482968111</v>
      </c>
      <c r="AG598">
        <f t="shared" si="226"/>
        <v>0.81195326606160734</v>
      </c>
      <c r="AH598" t="str">
        <f t="shared" si="227"/>
        <v>CLIENTE</v>
      </c>
      <c r="AI598" t="str">
        <f t="shared" si="224"/>
        <v>🎯 Para subir de categoría, la eje con mayor impacto probable es CLIENTE (coef T). Acción: reducir quejas, mejorar incógnito y empujar reseñas. ΔR aprox: 0,8</v>
      </c>
      <c r="AJ598" s="26">
        <f>_xlfn.LET(_xlpm.piso,AF598,_xlpm.corte,AE598,_xlpm.prog,IF(_xlpm.corte&lt;=_xlpm.piso,0,MAX(0,MIN(1,(U598-_xlpm.piso)/(_xlpm.corte-_xlpm.piso)))),_xlpm.orden,{"DIAMANTE";"PLATINO";"ORO";"PLATA";"BRONCE";"CERRADO"},_xlpm.act,IFERROR(MATCH(V598,_xlpm.orden,0),6),_xlpm.ant,IFERROR(MATCH(W598,_xlpm.orden,0),6),_xlpm.ajmov,IF(_xlpm.act&lt;_xlpm.ant,0.08,IF(_xlpm.act&gt;_xlpm.ant,-0.08,0)),_xlpm.ajcli,IF(T598&lt;0.95,-0.06,0),_xlpm.prob,MAX(0,MIN(1,_xlpm.prog+_xlpm.ajmov+_xlpm.ajcli)),IF(OR(V598="DIAMANTE",V598="CERRADO"),0,ROUND(_xlpm.prob,2)))</f>
        <v>0.93</v>
      </c>
      <c r="AK598" t="str">
        <f t="shared" si="228"/>
        <v>Faltan 0,8 puntos base para subir a la siguiente categoría</v>
      </c>
      <c r="AL598" t="str">
        <f t="shared" si="229"/>
        <v>Margen de seguridad: 38,1 puntos</v>
      </c>
      <c r="AM598">
        <f t="shared" si="230"/>
        <v>0.26</v>
      </c>
      <c r="AN598" t="str">
        <f t="shared" si="231"/>
        <v>PRIORIDAD BAJA – control normal</v>
      </c>
      <c r="AO598">
        <f t="shared" si="232"/>
        <v>6.9678578611593558</v>
      </c>
      <c r="AP598">
        <f t="shared" si="233"/>
        <v>0.23511464445918601</v>
      </c>
      <c r="AQ598">
        <f t="shared" si="234"/>
        <v>0</v>
      </c>
      <c r="AR598">
        <f t="shared" si="235"/>
        <v>6.9999999999999743E-2</v>
      </c>
      <c r="AS598">
        <f t="shared" si="236"/>
        <v>26.84178256589502</v>
      </c>
      <c r="AT598" t="str">
        <f t="shared" si="237"/>
        <v>CLIENTE</v>
      </c>
      <c r="AU598">
        <f t="shared" si="238"/>
        <v>26.84178256589502</v>
      </c>
      <c r="AV598" t="str">
        <f t="shared" si="239"/>
        <v>Mayor retorno probable: CLIENTE (+26,8 puntos finales potenciales).</v>
      </c>
    </row>
    <row r="599" spans="1:48" x14ac:dyDescent="0.3">
      <c r="A599" s="5">
        <v>51019415</v>
      </c>
      <c r="B599" s="5" t="str">
        <f>IFERROR(VLOOKUP(A599,VENTAS!$A$2:$B$1194,2,0),"")</f>
        <v>MONTENEGRO</v>
      </c>
      <c r="C599" s="5">
        <f>IFERROR(INDEX(VENTAS!$C$2:$E$1194,MATCH(A599,VENTAS!$A$2:$A$1194,0),MATCH(PARAMS_MODELO!$B$2,{"Q1","Q2","Q3"},0)),0)</f>
        <v>53085494.299999997</v>
      </c>
      <c r="D599" s="5">
        <f>IFERROR(INDEX(VENTAS!$F$2:$H$1194,MATCH(A599,VENTAS!$A$2:$A$1194,0),MATCH(PARAMS_MODELO!$B$2,{"Q1","Q2","Q3"},0)),0)</f>
        <v>67593013</v>
      </c>
      <c r="E599" s="8">
        <f t="shared" si="216"/>
        <v>0.27328593039021598</v>
      </c>
      <c r="F599" s="12">
        <f>IF(E599&lt;=PARAMS_MODELO!$B$15,0,IF(E599&gt;=PARAMS_MODELO!$B$17,100,100*MIN(1,(E599-PARAMS_MODELO!$B$15)/(PARAMS_MODELO!$B$16-PARAMS_MODELO!$B$15))))*PARAMS_MODELO!$B$7</f>
        <v>35</v>
      </c>
      <c r="G599" s="5">
        <f t="shared" si="217"/>
        <v>14507518.700000003</v>
      </c>
      <c r="H599" s="5">
        <f>(PARAMS_MODELO!$B$20*(MAX(0,MIN(3,E599))/3)+PARAMS_MODELO!$B$21*(IFERROR(LN(1+MAX(0,G599))/LN(1+MAX(0,MAX($G$2:$G$1194))),0)))*100*PARAMS_MODELO!$B$8</f>
        <v>4.8220286172281819</v>
      </c>
      <c r="I599" s="8">
        <f>E599-PARAMS_MODELO!$B$5</f>
        <v>9.5723095014689452E-2</v>
      </c>
      <c r="J599" s="5">
        <f>IF(I599&lt;=PARAMS_MODELO!$B$18,0,IF(I599&gt;=PARAMS_MODELO!$B$19,100,100*(I599-PARAMS_MODELO!$B$18)/(PARAMS_MODELO!$B$19-PARAMS_MODELO!$B$18)))*PARAMS_MODELO!$B$9</f>
        <v>15</v>
      </c>
      <c r="K599" s="5">
        <f>IFERROR(CHOOSE(MATCH(PARAMS_MODELO!$B$2,{"Q1","Q2","Q3"},0),LOTO!$D599,LOTO!$F599,LOTO!$H599),0)</f>
        <v>3302500</v>
      </c>
      <c r="L599" s="8">
        <f t="shared" si="218"/>
        <v>4.8858600222481577E-2</v>
      </c>
      <c r="M599" s="5">
        <f>MIN(100,IF(PARAMS_MODELO!$B$23=0,0,100*L599/PARAMS_MODELO!$B$23))*PARAMS_MODELO!$B$10</f>
        <v>14.657580066744472</v>
      </c>
      <c r="N599" s="5">
        <f>IFERROR(VLOOKUP(A599,COMPLIANCE!$A$2:$F$1996,6,0),100)</f>
        <v>100</v>
      </c>
      <c r="O599" s="5">
        <f>N599*PARAMS_MODELO!$B$11</f>
        <v>10</v>
      </c>
      <c r="P599" s="5">
        <f>IFERROR(VLOOKUP(A599,DIGITAL!$A$2:$J$2000,7,0),100)</f>
        <v>23</v>
      </c>
      <c r="Q599" s="5">
        <f>IFERROR(P599,0)*PARAMS_MODELO!$B$12</f>
        <v>2.3000000000000003</v>
      </c>
      <c r="R599">
        <f t="shared" si="219"/>
        <v>81.779608683972654</v>
      </c>
      <c r="S599" s="5" t="str">
        <f>IFERROR(VLOOKUP(A599,CLIENTE!$A$2:$N$2000,13,0),1)</f>
        <v>Malo</v>
      </c>
      <c r="T599" s="5">
        <f>IFERROR(VLOOKUP(A599,CLIENTE!$A$2:$N$2000,14,0),1)</f>
        <v>0.7</v>
      </c>
      <c r="U599" s="5">
        <f t="shared" si="220"/>
        <v>57.245726078780855</v>
      </c>
      <c r="V599" s="5" t="str">
        <f>IF(U599&gt;=MAX(_xlfn.PERCENTILE.INC($U$2:$U$1194,PARAMS_MODELO!$B$50),PARAMS_MODELO!$B$45),"DIAMANTE",IF(U599&gt;=MAX(_xlfn.PERCENTILE.INC($U$2:$U$1194,PARAMS_MODELO!$B$51),PARAMS_MODELO!$B$46),"PLATINO",IF(U599&gt;=MAX(_xlfn.PERCENTILE.INC($U$2:$U$1194,PARAMS_MODELO!$B$52),PARAMS_MODELO!$B$47),"ORO",IF(U599&gt;=MAX(_xlfn.PERCENTILE.INC($U$2:$U$1194,PARAMS_MODELO!$B$53),PARAMS_MODELO!$B$48),"PLATA",IF(U599&gt;=1,"BRONCE","CERRADO")))))</f>
        <v>PLATA</v>
      </c>
      <c r="W599" s="5" t="str" cm="1">
        <f t="array" ref="W599">_xlfn.XLOOKUP(1, (HIST_SCORE!$B:$B=PARAMS_MODELO!$B$4) * (HIST_SCORE!$C:$C=A599), HIST_SCORE!$E:$E, "No encontrado")</f>
        <v>PLATA</v>
      </c>
      <c r="X599" s="5" t="str">
        <f>_xlfn.LET(_xlpm.act,MATCH(V599,{"DIAMANTE";"PLATINO";"ORO";"PLATA";"BRONCE";"CERRADO"},0),_xlpm.ant,MATCH(W599,{"DIAMANTE";"PLATINO";"ORO";"PLATA";"BRONCE";"CERRADO"},0),IF(_xlpm.act&lt;_xlpm.ant,"Mejora ↑",IF(_xlpm.act&gt;_xlpm.ant,"Baja ↓","Estable →")))</f>
        <v>Estable →</v>
      </c>
      <c r="Y599" s="5">
        <f>IFERROR(U599-SUMIFS(HIST_SCORE!$D:$D,HIST_SCORE!$B:$B,PARAMS_MODELO!$B$4,HIST_SCORE!$C:$C,$A599),"")</f>
        <v>0.18453974606546097</v>
      </c>
      <c r="Z599" s="5" t="str">
        <f t="shared" si="221"/>
        <v>→ Estable</v>
      </c>
      <c r="AA599" s="5">
        <f t="shared" si="222"/>
        <v>680</v>
      </c>
      <c r="AB599" s="5">
        <f>IFERROR(SUMIFS(HIST_SCORE!$F:$F,HIST_SCORE!$B:$B,PARAMS_MODELO!$B$4,HIST_SCORE!$C:$C,$A599),"")</f>
        <v>712</v>
      </c>
      <c r="AC599" s="5">
        <f t="shared" si="223"/>
        <v>32</v>
      </c>
      <c r="AD599" t="str">
        <f t="shared" si="225"/>
        <v/>
      </c>
      <c r="AE5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599="CERRADO",1,IF(V599="BRONCE",_xlpm.cPl,IF(V599="PLATA",_xlpm.cO,IF(V599="ORO",_xlpm.cP,IF(V599="PLATINO",_xlpm.cD,999))))))</f>
        <v>63.199193273331495</v>
      </c>
      <c r="AF5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599="CERRADO",0,IF(V599="BRONCE",1,IF(V599="PLATA",_xlpm.cPl,IF(V599="ORO",_xlpm.cO,IF(V599="PLATINO",_xlpm.cP,_xlpm.cD))))))</f>
        <v>24.506573482968111</v>
      </c>
      <c r="AG599">
        <f t="shared" si="226"/>
        <v>8.5049531350723413</v>
      </c>
      <c r="AH599" t="str">
        <f t="shared" si="227"/>
        <v>CLIENTE</v>
      </c>
      <c r="AI599" t="str">
        <f t="shared" si="224"/>
        <v>🎯 Para subir de categoría, la eje con mayor impacto probable es CLIENTE (coef T). Acción: reducir quejas, mejorar incógnito y empujar reseñas. ΔR aprox: 8,5</v>
      </c>
      <c r="AJ599" s="26">
        <f>_xlfn.LET(_xlpm.piso,AF599,_xlpm.corte,AE599,_xlpm.prog,IF(_xlpm.corte&lt;=_xlpm.piso,0,MAX(0,MIN(1,(U599-_xlpm.piso)/(_xlpm.corte-_xlpm.piso)))),_xlpm.orden,{"DIAMANTE";"PLATINO";"ORO";"PLATA";"BRONCE";"CERRADO"},_xlpm.act,IFERROR(MATCH(V599,_xlpm.orden,0),6),_xlpm.ant,IFERROR(MATCH(W599,_xlpm.orden,0),6),_xlpm.ajmov,IF(_xlpm.act&lt;_xlpm.ant,0.08,IF(_xlpm.act&gt;_xlpm.ant,-0.08,0)),_xlpm.ajcli,IF(T599&lt;0.95,-0.06,0),_xlpm.prob,MAX(0,MIN(1,_xlpm.prog+_xlpm.ajmov+_xlpm.ajcli)),IF(OR(V599="DIAMANTE",V599="CERRADO"),0,ROUND(_xlpm.prob,2)))</f>
        <v>0.79</v>
      </c>
      <c r="AK599" t="str">
        <f t="shared" si="228"/>
        <v>Faltan 8,5 puntos base para subir a la siguiente categoría</v>
      </c>
      <c r="AL599" t="str">
        <f t="shared" si="229"/>
        <v>Margen de seguridad: 32,7 puntos</v>
      </c>
      <c r="AM599">
        <f t="shared" si="230"/>
        <v>0.62</v>
      </c>
      <c r="AN599" t="str">
        <f t="shared" si="231"/>
        <v>PRIORIDAD MEDIA – seguimiento del asesor</v>
      </c>
      <c r="AO599">
        <f t="shared" si="232"/>
        <v>7.0283784606471791</v>
      </c>
      <c r="AP599">
        <f t="shared" si="233"/>
        <v>0.23969395327886928</v>
      </c>
      <c r="AQ599">
        <f t="shared" si="234"/>
        <v>0</v>
      </c>
      <c r="AR599">
        <f t="shared" si="235"/>
        <v>5.3899999999999988</v>
      </c>
      <c r="AS599">
        <f t="shared" si="236"/>
        <v>24.533882605191799</v>
      </c>
      <c r="AT599" t="str">
        <f t="shared" si="237"/>
        <v>CLIENTE</v>
      </c>
      <c r="AU599">
        <f t="shared" si="238"/>
        <v>24.533882605191799</v>
      </c>
      <c r="AV599" t="str">
        <f t="shared" si="239"/>
        <v>Mayor retorno probable: CLIENTE (+24,5 puntos finales potenciales).</v>
      </c>
    </row>
    <row r="600" spans="1:48" x14ac:dyDescent="0.3">
      <c r="A600" s="5">
        <v>51036107</v>
      </c>
      <c r="B600" s="5" t="str">
        <f>IFERROR(VLOOKUP(A600,VENTAS!$A$2:$B$1194,2,0),"")</f>
        <v>MONTENEGRO</v>
      </c>
      <c r="C600" s="5">
        <f>IFERROR(INDEX(VENTAS!$C$2:$E$1194,MATCH(A600,VENTAS!$A$2:$A$1194,0),MATCH(PARAMS_MODELO!$B$2,{"Q1","Q2","Q3"},0)),0)</f>
        <v>56948785.409999996</v>
      </c>
      <c r="D600" s="5">
        <f>IFERROR(INDEX(VENTAS!$F$2:$H$1194,MATCH(A600,VENTAS!$A$2:$A$1194,0),MATCH(PARAMS_MODELO!$B$2,{"Q1","Q2","Q3"},0)),0)</f>
        <v>67501498</v>
      </c>
      <c r="E600" s="8">
        <f t="shared" si="216"/>
        <v>0.18530180255867212</v>
      </c>
      <c r="F600" s="12">
        <f>IF(E600&lt;=PARAMS_MODELO!$B$15,0,IF(E600&gt;=PARAMS_MODELO!$B$17,100,100*MIN(1,(E600-PARAMS_MODELO!$B$15)/(PARAMS_MODELO!$B$16-PARAMS_MODELO!$B$15))))*PARAMS_MODELO!$B$7</f>
        <v>35</v>
      </c>
      <c r="G600" s="5">
        <f t="shared" si="217"/>
        <v>10552712.590000004</v>
      </c>
      <c r="H600" s="5">
        <f>(PARAMS_MODELO!$B$20*(MAX(0,MIN(3,E600))/3)+PARAMS_MODELO!$B$21*(IFERROR(LN(1+MAX(0,G600))/LN(1+MAX(0,MAX($G$2:$G$1194))),0)))*100*PARAMS_MODELO!$B$8</f>
        <v>4.4394739389769482</v>
      </c>
      <c r="I600" s="8">
        <f>E600-PARAMS_MODELO!$B$5</f>
        <v>7.7389671831455953E-3</v>
      </c>
      <c r="J600" s="5">
        <f>IF(I600&lt;=PARAMS_MODELO!$B$18,0,IF(I600&gt;=PARAMS_MODELO!$B$19,100,100*(I600-PARAMS_MODELO!$B$18)/(PARAMS_MODELO!$B$19-PARAMS_MODELO!$B$18)))*PARAMS_MODELO!$B$9</f>
        <v>8.6608450774718388</v>
      </c>
      <c r="K600" s="5">
        <f>IFERROR(CHOOSE(MATCH(PARAMS_MODELO!$B$2,{"Q1","Q2","Q3"},0),LOTO!$D600,LOTO!$F600,LOTO!$H600),0)</f>
        <v>3302500</v>
      </c>
      <c r="L600" s="8">
        <f t="shared" si="218"/>
        <v>4.8924840156880665E-2</v>
      </c>
      <c r="M600" s="5">
        <f>MIN(100,IF(PARAMS_MODELO!$B$23=0,0,100*L600/PARAMS_MODELO!$B$23))*PARAMS_MODELO!$B$10</f>
        <v>14.677452047064198</v>
      </c>
      <c r="N600" s="5">
        <f>IFERROR(VLOOKUP(A600,COMPLIANCE!$A$2:$F$1996,6,0),100)</f>
        <v>100</v>
      </c>
      <c r="O600" s="5">
        <f>N600*PARAMS_MODELO!$B$11</f>
        <v>10</v>
      </c>
      <c r="P600" s="5">
        <f>IFERROR(VLOOKUP(A600,DIGITAL!$A$2:$J$2000,7,0),100)</f>
        <v>9</v>
      </c>
      <c r="Q600" s="5">
        <f>IFERROR(P600,0)*PARAMS_MODELO!$B$12</f>
        <v>0.9</v>
      </c>
      <c r="R600">
        <f t="shared" si="219"/>
        <v>73.677771063512992</v>
      </c>
      <c r="S600" s="5" t="str">
        <f>IFERROR(VLOOKUP(A600,CLIENTE!$A$2:$N$2000,13,0),1)</f>
        <v>Malo</v>
      </c>
      <c r="T600" s="5">
        <f>IFERROR(VLOOKUP(A600,CLIENTE!$A$2:$N$2000,14,0),1)</f>
        <v>0.7</v>
      </c>
      <c r="U600" s="5">
        <f t="shared" si="220"/>
        <v>51.574439744459092</v>
      </c>
      <c r="V600" s="5" t="str">
        <f>IF(U600&gt;=MAX(_xlfn.PERCENTILE.INC($U$2:$U$1194,PARAMS_MODELO!$B$50),PARAMS_MODELO!$B$45),"DIAMANTE",IF(U600&gt;=MAX(_xlfn.PERCENTILE.INC($U$2:$U$1194,PARAMS_MODELO!$B$51),PARAMS_MODELO!$B$46),"PLATINO",IF(U600&gt;=MAX(_xlfn.PERCENTILE.INC($U$2:$U$1194,PARAMS_MODELO!$B$52),PARAMS_MODELO!$B$47),"ORO",IF(U600&gt;=MAX(_xlfn.PERCENTILE.INC($U$2:$U$1194,PARAMS_MODELO!$B$53),PARAMS_MODELO!$B$48),"PLATA",IF(U600&gt;=1,"BRONCE","CERRADO")))))</f>
        <v>PLATA</v>
      </c>
      <c r="W600" s="5" t="str" cm="1">
        <f t="array" ref="W600">_xlfn.XLOOKUP(1, (HIST_SCORE!$B:$B=PARAMS_MODELO!$B$4) * (HIST_SCORE!$C:$C=A600), HIST_SCORE!$E:$E, "No encontrado")</f>
        <v>BRONCE</v>
      </c>
      <c r="X600" s="5" t="str">
        <f>_xlfn.LET(_xlpm.act,MATCH(V600,{"DIAMANTE";"PLATINO";"ORO";"PLATA";"BRONCE";"CERRADO"},0),_xlpm.ant,MATCH(W600,{"DIAMANTE";"PLATINO";"ORO";"PLATA";"BRONCE";"CERRADO"},0),IF(_xlpm.act&lt;_xlpm.ant,"Mejora ↑",IF(_xlpm.act&gt;_xlpm.ant,"Baja ↓","Estable →")))</f>
        <v>Mejora ↑</v>
      </c>
      <c r="Y600" s="5">
        <f>IFERROR(U600-SUMIFS(HIST_SCORE!$D:$D,HIST_SCORE!$B:$B,PARAMS_MODELO!$B$4,HIST_SCORE!$C:$C,$A600),"")</f>
        <v>33.522464812256047</v>
      </c>
      <c r="Z600" s="5" t="str">
        <f t="shared" si="221"/>
        <v>↑ Mejora</v>
      </c>
      <c r="AA600" s="5">
        <f t="shared" si="222"/>
        <v>732</v>
      </c>
      <c r="AB600" s="5">
        <f>IFERROR(SUMIFS(HIST_SCORE!$F:$F,HIST_SCORE!$B:$B,PARAMS_MODELO!$B$4,HIST_SCORE!$C:$C,$A600),"")</f>
        <v>1030</v>
      </c>
      <c r="AC600" s="5">
        <f t="shared" si="223"/>
        <v>298</v>
      </c>
      <c r="AD600" t="str">
        <f t="shared" si="225"/>
        <v/>
      </c>
      <c r="AE6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600="CERRADO",1,IF(V600="BRONCE",_xlpm.cPl,IF(V600="PLATA",_xlpm.cO,IF(V600="ORO",_xlpm.cP,IF(V600="PLATINO",_xlpm.cD,999))))))</f>
        <v>63.199193273331495</v>
      </c>
      <c r="AF6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600="CERRADO",0,IF(V600="BRONCE",1,IF(V600="PLATA",_xlpm.cPl,IF(V600="ORO",_xlpm.cO,IF(V600="PLATINO",_xlpm.cP,_xlpm.cD))))))</f>
        <v>24.506573482968111</v>
      </c>
      <c r="AG600">
        <f t="shared" si="226"/>
        <v>16.606790755532003</v>
      </c>
      <c r="AH600" t="str">
        <f t="shared" si="227"/>
        <v>CLIENTE</v>
      </c>
      <c r="AI600" t="str">
        <f t="shared" si="224"/>
        <v>🎯 Para subir de categoría, la eje con mayor impacto probable es CLIENTE (coef T). Acción: reducir quejas, mejorar incógnito y empujar reseñas. ΔR aprox: 16,6</v>
      </c>
      <c r="AJ600" s="26">
        <f>_xlfn.LET(_xlpm.piso,AF600,_xlpm.corte,AE600,_xlpm.prog,IF(_xlpm.corte&lt;=_xlpm.piso,0,MAX(0,MIN(1,(U600-_xlpm.piso)/(_xlpm.corte-_xlpm.piso)))),_xlpm.orden,{"DIAMANTE";"PLATINO";"ORO";"PLATA";"BRONCE";"CERRADO"},_xlpm.act,IFERROR(MATCH(V600,_xlpm.orden,0),6),_xlpm.ant,IFERROR(MATCH(W600,_xlpm.orden,0),6),_xlpm.ajmov,IF(_xlpm.act&lt;_xlpm.ant,0.08,IF(_xlpm.act&gt;_xlpm.ant,-0.08,0)),_xlpm.ajcli,IF(T600&lt;0.95,-0.06,0),_xlpm.prob,MAX(0,MIN(1,_xlpm.prog+_xlpm.ajmov+_xlpm.ajcli)),IF(OR(V600="DIAMANTE",V600="CERRADO"),0,ROUND(_xlpm.prob,2)))</f>
        <v>0.72</v>
      </c>
      <c r="AK600" t="str">
        <f t="shared" si="228"/>
        <v>Faltan 16,6 puntos base para subir a la siguiente categoría</v>
      </c>
      <c r="AL600" t="str">
        <f t="shared" si="229"/>
        <v>Margen de seguridad: 27,1 puntos</v>
      </c>
      <c r="AM600">
        <f t="shared" si="230"/>
        <v>0.71</v>
      </c>
      <c r="AN600" t="str">
        <f t="shared" si="231"/>
        <v>PRIORIDAD ALTA – requiere intervención inmediata</v>
      </c>
      <c r="AO600">
        <f t="shared" si="232"/>
        <v>11.733575181192759</v>
      </c>
      <c r="AP600">
        <f t="shared" si="233"/>
        <v>0.22578356705506106</v>
      </c>
      <c r="AQ600">
        <f t="shared" si="234"/>
        <v>0</v>
      </c>
      <c r="AR600">
        <f t="shared" si="235"/>
        <v>6.3699999999999992</v>
      </c>
      <c r="AS600">
        <f t="shared" si="236"/>
        <v>22.1033313190539</v>
      </c>
      <c r="AT600" t="str">
        <f t="shared" si="237"/>
        <v>CLIENTE</v>
      </c>
      <c r="AU600">
        <f t="shared" si="238"/>
        <v>22.1033313190539</v>
      </c>
      <c r="AV600" t="str">
        <f t="shared" si="239"/>
        <v>Mayor retorno probable: CLIENTE (+22,1 puntos finales potenciales).</v>
      </c>
    </row>
    <row r="601" spans="1:48" x14ac:dyDescent="0.3">
      <c r="A601" s="5">
        <v>51056990</v>
      </c>
      <c r="B601" s="5" t="str">
        <f>IFERROR(VLOOKUP(A601,VENTAS!$A$2:$B$1194,2,0),"")</f>
        <v>BELUZZO</v>
      </c>
      <c r="C601" s="5">
        <f>IFERROR(INDEX(VENTAS!$C$2:$E$1194,MATCH(A601,VENTAS!$A$2:$A$1194,0),MATCH(PARAMS_MODELO!$B$2,{"Q1","Q2","Q3"},0)),0)</f>
        <v>61711093.309999987</v>
      </c>
      <c r="D601" s="5">
        <f>IFERROR(INDEX(VENTAS!$F$2:$H$1194,MATCH(A601,VENTAS!$A$2:$A$1194,0),MATCH(PARAMS_MODELO!$B$2,{"Q1","Q2","Q3"},0)),0)</f>
        <v>67446860</v>
      </c>
      <c r="E601" s="8">
        <f t="shared" si="216"/>
        <v>9.2945471913565392E-2</v>
      </c>
      <c r="F601" s="12">
        <f>IF(E601&lt;=PARAMS_MODELO!$B$15,0,IF(E601&gt;=PARAMS_MODELO!$B$17,100,100*MIN(1,(E601-PARAMS_MODELO!$B$15)/(PARAMS_MODELO!$B$16-PARAMS_MODELO!$B$15))))*PARAMS_MODELO!$B$7</f>
        <v>32.530915169747885</v>
      </c>
      <c r="G601" s="5">
        <f t="shared" si="217"/>
        <v>5735766.6900000125</v>
      </c>
      <c r="H601" s="5">
        <f>(PARAMS_MODELO!$B$20*(MAX(0,MIN(3,E601))/3)+PARAMS_MODELO!$B$21*(IFERROR(LN(1+MAX(0,G601))/LN(1+MAX(0,MAX($G$2:$G$1194))),0)))*100*PARAMS_MODELO!$B$8</f>
        <v>3.9733136295797395</v>
      </c>
      <c r="I601" s="8">
        <f>E601-PARAMS_MODELO!$B$5</f>
        <v>-8.4617363461961137E-2</v>
      </c>
      <c r="J601" s="5">
        <f>IF(I601&lt;=PARAMS_MODELO!$B$18,0,IF(I601&gt;=PARAMS_MODELO!$B$19,100,100*(I601-PARAMS_MODELO!$B$18)/(PARAMS_MODELO!$B$19-PARAMS_MODELO!$B$18)))*PARAMS_MODELO!$B$9</f>
        <v>0</v>
      </c>
      <c r="K601" s="5">
        <f>IFERROR(CHOOSE(MATCH(PARAMS_MODELO!$B$2,{"Q1","Q2","Q3"},0),LOTO!$D601,LOTO!$F601,LOTO!$H601),0)</f>
        <v>3290000</v>
      </c>
      <c r="L601" s="8">
        <f t="shared" si="218"/>
        <v>4.8779142572389585E-2</v>
      </c>
      <c r="M601" s="5">
        <f>MIN(100,IF(PARAMS_MODELO!$B$23=0,0,100*L601/PARAMS_MODELO!$B$23))*PARAMS_MODELO!$B$10</f>
        <v>14.633742771716873</v>
      </c>
      <c r="N601" s="5">
        <f>IFERROR(VLOOKUP(A601,COMPLIANCE!$A$2:$F$1996,6,0),100)</f>
        <v>99.98</v>
      </c>
      <c r="O601" s="5">
        <f>N601*PARAMS_MODELO!$B$11</f>
        <v>9.9980000000000011</v>
      </c>
      <c r="P601" s="5">
        <f>IFERROR(VLOOKUP(A601,DIGITAL!$A$2:$J$2000,7,0),100)</f>
        <v>66</v>
      </c>
      <c r="Q601" s="5">
        <f>IFERROR(P601,0)*PARAMS_MODELO!$B$12</f>
        <v>6.6000000000000005</v>
      </c>
      <c r="R601">
        <f t="shared" si="219"/>
        <v>67.735971571044502</v>
      </c>
      <c r="S601" s="5" t="str">
        <f>IFERROR(VLOOKUP(A601,CLIENTE!$A$2:$N$2000,13,0),1)</f>
        <v>Regular</v>
      </c>
      <c r="T601" s="5">
        <f>IFERROR(VLOOKUP(A601,CLIENTE!$A$2:$N$2000,14,0),1)</f>
        <v>1</v>
      </c>
      <c r="U601" s="5">
        <f t="shared" si="220"/>
        <v>67.735971571044502</v>
      </c>
      <c r="V601" s="5" t="str">
        <f>IF(U601&gt;=MAX(_xlfn.PERCENTILE.INC($U$2:$U$1194,PARAMS_MODELO!$B$50),PARAMS_MODELO!$B$45),"DIAMANTE",IF(U601&gt;=MAX(_xlfn.PERCENTILE.INC($U$2:$U$1194,PARAMS_MODELO!$B$51),PARAMS_MODELO!$B$46),"PLATINO",IF(U601&gt;=MAX(_xlfn.PERCENTILE.INC($U$2:$U$1194,PARAMS_MODELO!$B$52),PARAMS_MODELO!$B$47),"ORO",IF(U601&gt;=MAX(_xlfn.PERCENTILE.INC($U$2:$U$1194,PARAMS_MODELO!$B$53),PARAMS_MODELO!$B$48),"PLATA",IF(U601&gt;=1,"BRONCE","CERRADO")))))</f>
        <v>ORO</v>
      </c>
      <c r="W601" s="5" t="str" cm="1">
        <f t="array" ref="W601">_xlfn.XLOOKUP(1, (HIST_SCORE!$B:$B=PARAMS_MODELO!$B$4) * (HIST_SCORE!$C:$C=A601), HIST_SCORE!$E:$E, "No encontrado")</f>
        <v>ORO</v>
      </c>
      <c r="X601" s="5" t="str">
        <f>_xlfn.LET(_xlpm.act,MATCH(V601,{"DIAMANTE";"PLATINO";"ORO";"PLATA";"BRONCE";"CERRADO"},0),_xlpm.ant,MATCH(W601,{"DIAMANTE";"PLATINO";"ORO";"PLATA";"BRONCE";"CERRADO"},0),IF(_xlpm.act&lt;_xlpm.ant,"Mejora ↑",IF(_xlpm.act&gt;_xlpm.ant,"Baja ↓","Estable →")))</f>
        <v>Estable →</v>
      </c>
      <c r="Y601" s="5">
        <f>IFERROR(U601-SUMIFS(HIST_SCORE!$D:$D,HIST_SCORE!$B:$B,PARAMS_MODELO!$B$4,HIST_SCORE!$C:$C,$A601),"")</f>
        <v>-15.471192974112313</v>
      </c>
      <c r="Z601" s="5" t="str">
        <f t="shared" si="221"/>
        <v>↓ Baja</v>
      </c>
      <c r="AA601" s="5">
        <f t="shared" si="222"/>
        <v>531</v>
      </c>
      <c r="AB601" s="5">
        <f>IFERROR(SUMIFS(HIST_SCORE!$F:$F,HIST_SCORE!$B:$B,PARAMS_MODELO!$B$4,HIST_SCORE!$C:$C,$A601),"")</f>
        <v>323</v>
      </c>
      <c r="AC601" s="5">
        <f t="shared" si="223"/>
        <v>-208</v>
      </c>
      <c r="AD601" t="str">
        <f t="shared" si="225"/>
        <v>Sostener base y reforzar mix</v>
      </c>
      <c r="AE6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601="CERRADO",1,IF(V601="BRONCE",_xlpm.cPl,IF(V601="PLATA",_xlpm.cO,IF(V601="ORO",_xlpm.cP,IF(V601="PLATINO",_xlpm.cD,999))))))</f>
        <v>86.439123873763251</v>
      </c>
      <c r="AF6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601="CERRADO",0,IF(V601="BRONCE",1,IF(V601="PLATA",_xlpm.cPl,IF(V601="ORO",_xlpm.cO,IF(V601="PLATINO",_xlpm.cP,_xlpm.cD))))))</f>
        <v>63.199193273331495</v>
      </c>
      <c r="AG601">
        <f t="shared" si="226"/>
        <v>18.703152302718749</v>
      </c>
      <c r="AH601" t="str">
        <f t="shared" si="227"/>
        <v>VENTAS</v>
      </c>
      <c r="AI601" t="str">
        <f t="shared" si="224"/>
        <v>🎯 Para subir de categoría, eje VENTAS / DIFERENCIAL vs LOTBA (J). Acción: metas semanales + activación comercial + seguimiento del asesor. ΔR aprox: 18,7</v>
      </c>
      <c r="AJ601" s="26">
        <f>_xlfn.LET(_xlpm.piso,AF601,_xlpm.corte,AE601,_xlpm.prog,IF(_xlpm.corte&lt;=_xlpm.piso,0,MAX(0,MIN(1,(U601-_xlpm.piso)/(_xlpm.corte-_xlpm.piso)))),_xlpm.orden,{"DIAMANTE";"PLATINO";"ORO";"PLATA";"BRONCE";"CERRADO"},_xlpm.act,IFERROR(MATCH(V601,_xlpm.orden,0),6),_xlpm.ant,IFERROR(MATCH(W601,_xlpm.orden,0),6),_xlpm.ajmov,IF(_xlpm.act&lt;_xlpm.ant,0.08,IF(_xlpm.act&gt;_xlpm.ant,-0.08,0)),_xlpm.ajcli,IF(T601&lt;0.95,-0.06,0),_xlpm.prob,MAX(0,MIN(1,_xlpm.prog+_xlpm.ajmov+_xlpm.ajcli)),IF(OR(V601="DIAMANTE",V601="CERRADO"),0,ROUND(_xlpm.prob,2)))</f>
        <v>0.2</v>
      </c>
      <c r="AK601" t="str">
        <f t="shared" si="228"/>
        <v>Faltan 18,7 puntos base para subir a la siguiente categoría</v>
      </c>
      <c r="AL601" t="str">
        <f t="shared" si="229"/>
        <v>Margen de seguridad: 4,5 puntos</v>
      </c>
      <c r="AM601">
        <f t="shared" si="230"/>
        <v>0.72</v>
      </c>
      <c r="AN601" t="str">
        <f t="shared" si="231"/>
        <v>PRIORIDAD ALTA – requiere intervención inmediata</v>
      </c>
      <c r="AO601">
        <f t="shared" si="232"/>
        <v>28.358340475967957</v>
      </c>
      <c r="AP601">
        <f t="shared" si="233"/>
        <v>0.36625722828312668</v>
      </c>
      <c r="AQ601">
        <f t="shared" si="234"/>
        <v>1.9999999999988916E-3</v>
      </c>
      <c r="AR601">
        <f t="shared" si="235"/>
        <v>3.3999999999999995</v>
      </c>
      <c r="AS601">
        <f t="shared" si="236"/>
        <v>0</v>
      </c>
      <c r="AT601" t="str">
        <f t="shared" si="237"/>
        <v>VENTAS</v>
      </c>
      <c r="AU601">
        <f t="shared" si="238"/>
        <v>28.358340475967957</v>
      </c>
      <c r="AV601" t="str">
        <f t="shared" si="239"/>
        <v>Mayor retorno probable: VENTAS (+28,4 puntos finales potenciales).</v>
      </c>
    </row>
    <row r="602" spans="1:48" x14ac:dyDescent="0.3">
      <c r="A602" s="5">
        <v>51025296</v>
      </c>
      <c r="B602" s="5" t="str">
        <f>IFERROR(VLOOKUP(A602,VENTAS!$A$2:$B$1194,2,0),"")</f>
        <v>MONTENEGRO</v>
      </c>
      <c r="C602" s="5">
        <f>IFERROR(INDEX(VENTAS!$C$2:$E$1194,MATCH(A602,VENTAS!$A$2:$A$1194,0),MATCH(PARAMS_MODELO!$B$2,{"Q1","Q2","Q3"},0)),0)</f>
        <v>61509856.060000002</v>
      </c>
      <c r="D602" s="5">
        <f>IFERROR(INDEX(VENTAS!$F$2:$H$1194,MATCH(A602,VENTAS!$A$2:$A$1194,0),MATCH(PARAMS_MODELO!$B$2,{"Q1","Q2","Q3"},0)),0)</f>
        <v>67443243</v>
      </c>
      <c r="E602" s="8">
        <f t="shared" si="216"/>
        <v>9.6462377252391152E-2</v>
      </c>
      <c r="F602" s="12">
        <f>IF(E602&lt;=PARAMS_MODELO!$B$15,0,IF(E602&gt;=PARAMS_MODELO!$B$17,100,100*MIN(1,(E602-PARAMS_MODELO!$B$15)/(PARAMS_MODELO!$B$16-PARAMS_MODELO!$B$15))))*PARAMS_MODELO!$B$7</f>
        <v>33.761832038336898</v>
      </c>
      <c r="G602" s="5">
        <f t="shared" si="217"/>
        <v>5933386.9399999976</v>
      </c>
      <c r="H602" s="5">
        <f>(PARAMS_MODELO!$B$20*(MAX(0,MIN(3,E602))/3)+PARAMS_MODELO!$B$21*(IFERROR(LN(1+MAX(0,G602))/LN(1+MAX(0,MAX($G$2:$G$1194))),0)))*100*PARAMS_MODELO!$B$8</f>
        <v>3.9935632828150789</v>
      </c>
      <c r="I602" s="8">
        <f>E602-PARAMS_MODELO!$B$5</f>
        <v>-8.1100458123135377E-2</v>
      </c>
      <c r="J602" s="5">
        <f>IF(I602&lt;=PARAMS_MODELO!$B$18,0,IF(I602&gt;=PARAMS_MODELO!$B$19,100,100*(I602-PARAMS_MODELO!$B$18)/(PARAMS_MODELO!$B$19-PARAMS_MODELO!$B$18)))*PARAMS_MODELO!$B$9</f>
        <v>0</v>
      </c>
      <c r="K602" s="5">
        <f>IFERROR(CHOOSE(MATCH(PARAMS_MODELO!$B$2,{"Q1","Q2","Q3"},0),LOTO!$D602,LOTO!$F602,LOTO!$H602),0)</f>
        <v>3267500</v>
      </c>
      <c r="L602" s="8">
        <f t="shared" si="218"/>
        <v>4.8448144760773144E-2</v>
      </c>
      <c r="M602" s="5">
        <f>MIN(100,IF(PARAMS_MODELO!$B$23=0,0,100*L602/PARAMS_MODELO!$B$23))*PARAMS_MODELO!$B$10</f>
        <v>14.534443428231944</v>
      </c>
      <c r="N602" s="5">
        <f>IFERROR(VLOOKUP(A602,COMPLIANCE!$A$2:$F$1996,6,0),100)</f>
        <v>100</v>
      </c>
      <c r="O602" s="5">
        <f>N602*PARAMS_MODELO!$B$11</f>
        <v>10</v>
      </c>
      <c r="P602" s="5">
        <f>IFERROR(VLOOKUP(A602,DIGITAL!$A$2:$J$2000,7,0),100)</f>
        <v>52</v>
      </c>
      <c r="Q602" s="5">
        <f>IFERROR(P602,0)*PARAMS_MODELO!$B$12</f>
        <v>5.2</v>
      </c>
      <c r="R602">
        <f t="shared" si="219"/>
        <v>67.489838749383921</v>
      </c>
      <c r="S602" s="5" t="str">
        <f>IFERROR(VLOOKUP(A602,CLIENTE!$A$2:$N$2000,13,0),1)</f>
        <v>Malo</v>
      </c>
      <c r="T602" s="5">
        <f>IFERROR(VLOOKUP(A602,CLIENTE!$A$2:$N$2000,14,0),1)</f>
        <v>0.7</v>
      </c>
      <c r="U602" s="5">
        <f t="shared" si="220"/>
        <v>47.242887124568739</v>
      </c>
      <c r="V602" s="5" t="str">
        <f>IF(U602&gt;=MAX(_xlfn.PERCENTILE.INC($U$2:$U$1194,PARAMS_MODELO!$B$50),PARAMS_MODELO!$B$45),"DIAMANTE",IF(U602&gt;=MAX(_xlfn.PERCENTILE.INC($U$2:$U$1194,PARAMS_MODELO!$B$51),PARAMS_MODELO!$B$46),"PLATINO",IF(U602&gt;=MAX(_xlfn.PERCENTILE.INC($U$2:$U$1194,PARAMS_MODELO!$B$52),PARAMS_MODELO!$B$47),"ORO",IF(U602&gt;=MAX(_xlfn.PERCENTILE.INC($U$2:$U$1194,PARAMS_MODELO!$B$53),PARAMS_MODELO!$B$48),"PLATA",IF(U602&gt;=1,"BRONCE","CERRADO")))))</f>
        <v>PLATA</v>
      </c>
      <c r="W602" s="5" t="str" cm="1">
        <f t="array" ref="W602">_xlfn.XLOOKUP(1, (HIST_SCORE!$B:$B=PARAMS_MODELO!$B$4) * (HIST_SCORE!$C:$C=A602), HIST_SCORE!$E:$E, "No encontrado")</f>
        <v>PLATA</v>
      </c>
      <c r="X602" s="5" t="str">
        <f>_xlfn.LET(_xlpm.act,MATCH(V602,{"DIAMANTE";"PLATINO";"ORO";"PLATA";"BRONCE";"CERRADO"},0),_xlpm.ant,MATCH(W602,{"DIAMANTE";"PLATINO";"ORO";"PLATA";"BRONCE";"CERRADO"},0),IF(_xlpm.act&lt;_xlpm.ant,"Mejora ↑",IF(_xlpm.act&gt;_xlpm.ant,"Baja ↓","Estable →")))</f>
        <v>Estable →</v>
      </c>
      <c r="Y602" s="5">
        <f>IFERROR(U602-SUMIFS(HIST_SCORE!$D:$D,HIST_SCORE!$B:$B,PARAMS_MODELO!$B$4,HIST_SCORE!$C:$C,$A602),"")</f>
        <v>-10.080956838422694</v>
      </c>
      <c r="Z602" s="5" t="str">
        <f t="shared" si="221"/>
        <v>↓ Baja</v>
      </c>
      <c r="AA602" s="5">
        <f t="shared" si="222"/>
        <v>759</v>
      </c>
      <c r="AB602" s="5">
        <f>IFERROR(SUMIFS(HIST_SCORE!$F:$F,HIST_SCORE!$B:$B,PARAMS_MODELO!$B$4,HIST_SCORE!$C:$C,$A602),"")</f>
        <v>706</v>
      </c>
      <c r="AC602" s="5">
        <f t="shared" si="223"/>
        <v>-53</v>
      </c>
      <c r="AD602" t="str">
        <f t="shared" si="225"/>
        <v/>
      </c>
      <c r="AE6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602="CERRADO",1,IF(V602="BRONCE",_xlpm.cPl,IF(V602="PLATA",_xlpm.cO,IF(V602="ORO",_xlpm.cP,IF(V602="PLATINO",_xlpm.cD,999))))))</f>
        <v>63.199193273331495</v>
      </c>
      <c r="AF6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602="CERRADO",0,IF(V602="BRONCE",1,IF(V602="PLATA",_xlpm.cPl,IF(V602="ORO",_xlpm.cO,IF(V602="PLATINO",_xlpm.cP,_xlpm.cD))))))</f>
        <v>24.506573482968111</v>
      </c>
      <c r="AG602">
        <f t="shared" si="226"/>
        <v>22.794723069661075</v>
      </c>
      <c r="AH602" t="str">
        <f t="shared" si="227"/>
        <v>CLIENTE</v>
      </c>
      <c r="AI602" t="str">
        <f t="shared" si="224"/>
        <v>🎯 Para subir de categoría, la eje con mayor impacto probable es CLIENTE (coef T). Acción: reducir quejas, mejorar incógnito y empujar reseñas. ΔR aprox: 22,8</v>
      </c>
      <c r="AJ602" s="26">
        <f>_xlfn.LET(_xlpm.piso,AF602,_xlpm.corte,AE602,_xlpm.prog,IF(_xlpm.corte&lt;=_xlpm.piso,0,MAX(0,MIN(1,(U602-_xlpm.piso)/(_xlpm.corte-_xlpm.piso)))),_xlpm.orden,{"DIAMANTE";"PLATINO";"ORO";"PLATA";"BRONCE";"CERRADO"},_xlpm.act,IFERROR(MATCH(V602,_xlpm.orden,0),6),_xlpm.ant,IFERROR(MATCH(W602,_xlpm.orden,0),6),_xlpm.ajmov,IF(_xlpm.act&lt;_xlpm.ant,0.08,IF(_xlpm.act&gt;_xlpm.ant,-0.08,0)),_xlpm.ajcli,IF(T602&lt;0.95,-0.06,0),_xlpm.prob,MAX(0,MIN(1,_xlpm.prog+_xlpm.ajmov+_xlpm.ajcli)),IF(OR(V602="DIAMANTE",V602="CERRADO"),0,ROUND(_xlpm.prob,2)))</f>
        <v>0.53</v>
      </c>
      <c r="AK602" t="str">
        <f t="shared" si="228"/>
        <v>Faltan 22,8 puntos base para subir a la siguiente categoría</v>
      </c>
      <c r="AL602" t="str">
        <f t="shared" si="229"/>
        <v>Margen de seguridad: 22,7 puntos</v>
      </c>
      <c r="AM602">
        <f t="shared" si="230"/>
        <v>0.79</v>
      </c>
      <c r="AN602" t="str">
        <f t="shared" si="231"/>
        <v>PRIORIDAD ALTA – requiere intervención inmediata</v>
      </c>
      <c r="AO602">
        <f t="shared" si="232"/>
        <v>18.975021767900522</v>
      </c>
      <c r="AP602">
        <f t="shared" si="233"/>
        <v>0.32588960023763941</v>
      </c>
      <c r="AQ602">
        <f t="shared" si="234"/>
        <v>0</v>
      </c>
      <c r="AR602">
        <f t="shared" si="235"/>
        <v>3.36</v>
      </c>
      <c r="AS602">
        <f t="shared" si="236"/>
        <v>20.246951624815178</v>
      </c>
      <c r="AT602" t="str">
        <f t="shared" si="237"/>
        <v>CLIENTE</v>
      </c>
      <c r="AU602">
        <f t="shared" si="238"/>
        <v>20.246951624815178</v>
      </c>
      <c r="AV602" t="str">
        <f t="shared" si="239"/>
        <v>Mayor retorno probable: CLIENTE (+20,2 puntos finales potenciales).</v>
      </c>
    </row>
    <row r="603" spans="1:48" x14ac:dyDescent="0.3">
      <c r="A603" s="5">
        <v>51056639</v>
      </c>
      <c r="B603" s="5" t="str">
        <f>IFERROR(VLOOKUP(A603,VENTAS!$A$2:$B$1194,2,0),"")</f>
        <v>BELUZZO</v>
      </c>
      <c r="C603" s="5">
        <f>IFERROR(INDEX(VENTAS!$C$2:$E$1194,MATCH(A603,VENTAS!$A$2:$A$1194,0),MATCH(PARAMS_MODELO!$B$2,{"Q1","Q2","Q3"},0)),0)</f>
        <v>64691589.119999997</v>
      </c>
      <c r="D603" s="5">
        <f>IFERROR(INDEX(VENTAS!$F$2:$H$1194,MATCH(A603,VENTAS!$A$2:$A$1194,0),MATCH(PARAMS_MODELO!$B$2,{"Q1","Q2","Q3"},0)),0)</f>
        <v>67233938</v>
      </c>
      <c r="E603" s="8">
        <f t="shared" si="216"/>
        <v>3.929952741281495E-2</v>
      </c>
      <c r="F603" s="12">
        <f>IF(E603&lt;=PARAMS_MODELO!$B$15,0,IF(E603&gt;=PARAMS_MODELO!$B$17,100,100*MIN(1,(E603-PARAMS_MODELO!$B$15)/(PARAMS_MODELO!$B$16-PARAMS_MODELO!$B$15))))*PARAMS_MODELO!$B$7</f>
        <v>13.754834594485233</v>
      </c>
      <c r="G603" s="5">
        <f t="shared" si="217"/>
        <v>2542348.8800000027</v>
      </c>
      <c r="H603" s="5">
        <f>(PARAMS_MODELO!$B$20*(MAX(0,MIN(3,E603))/3)+PARAMS_MODELO!$B$21*(IFERROR(LN(1+MAX(0,G603))/LN(1+MAX(0,MAX($G$2:$G$1194))),0)))*100*PARAMS_MODELO!$B$8</f>
        <v>3.5948259368212891</v>
      </c>
      <c r="I603" s="8">
        <f>E603-PARAMS_MODELO!$B$5</f>
        <v>-0.13826330796271158</v>
      </c>
      <c r="J603" s="5">
        <f>IF(I603&lt;=PARAMS_MODELO!$B$18,0,IF(I603&gt;=PARAMS_MODELO!$B$19,100,100*(I603-PARAMS_MODELO!$B$18)/(PARAMS_MODELO!$B$19-PARAMS_MODELO!$B$18)))*PARAMS_MODELO!$B$9</f>
        <v>0</v>
      </c>
      <c r="K603" s="5">
        <f>IFERROR(CHOOSE(MATCH(PARAMS_MODELO!$B$2,{"Q1","Q2","Q3"},0),LOTO!$D603,LOTO!$F603,LOTO!$H603),0)</f>
        <v>3265000</v>
      </c>
      <c r="L603" s="8">
        <f t="shared" si="218"/>
        <v>4.8561784377407734E-2</v>
      </c>
      <c r="M603" s="5">
        <f>MIN(100,IF(PARAMS_MODELO!$B$23=0,0,100*L603/PARAMS_MODELO!$B$23))*PARAMS_MODELO!$B$10</f>
        <v>14.56853531322232</v>
      </c>
      <c r="N603" s="5">
        <f>IFERROR(VLOOKUP(A603,COMPLIANCE!$A$2:$F$1996,6,0),100)</f>
        <v>100</v>
      </c>
      <c r="O603" s="5">
        <f>N603*PARAMS_MODELO!$B$11</f>
        <v>10</v>
      </c>
      <c r="P603" s="5">
        <f>IFERROR(VLOOKUP(A603,DIGITAL!$A$2:$J$2000,7,0),100)</f>
        <v>97</v>
      </c>
      <c r="Q603" s="5">
        <f>IFERROR(P603,0)*PARAMS_MODELO!$B$12</f>
        <v>9.7000000000000011</v>
      </c>
      <c r="R603">
        <f t="shared" si="219"/>
        <v>51.618195844528842</v>
      </c>
      <c r="S603" s="5" t="str">
        <f>IFERROR(VLOOKUP(A603,CLIENTE!$A$2:$N$2000,13,0),1)</f>
        <v>Bueno</v>
      </c>
      <c r="T603" s="5">
        <f>IFERROR(VLOOKUP(A603,CLIENTE!$A$2:$N$2000,14,0),1)</f>
        <v>1.1000000000000001</v>
      </c>
      <c r="U603" s="5">
        <f t="shared" si="220"/>
        <v>56.780015428981727</v>
      </c>
      <c r="V603" s="5" t="str">
        <f>IF(U603&gt;=MAX(_xlfn.PERCENTILE.INC($U$2:$U$1194,PARAMS_MODELO!$B$50),PARAMS_MODELO!$B$45),"DIAMANTE",IF(U603&gt;=MAX(_xlfn.PERCENTILE.INC($U$2:$U$1194,PARAMS_MODELO!$B$51),PARAMS_MODELO!$B$46),"PLATINO",IF(U603&gt;=MAX(_xlfn.PERCENTILE.INC($U$2:$U$1194,PARAMS_MODELO!$B$52),PARAMS_MODELO!$B$47),"ORO",IF(U603&gt;=MAX(_xlfn.PERCENTILE.INC($U$2:$U$1194,PARAMS_MODELO!$B$53),PARAMS_MODELO!$B$48),"PLATA",IF(U603&gt;=1,"BRONCE","CERRADO")))))</f>
        <v>PLATA</v>
      </c>
      <c r="W603" s="5" t="str" cm="1">
        <f t="array" ref="W603">_xlfn.XLOOKUP(1, (HIST_SCORE!$B:$B=PARAMS_MODELO!$B$4) * (HIST_SCORE!$C:$C=A603), HIST_SCORE!$E:$E, "No encontrado")</f>
        <v>PLATA</v>
      </c>
      <c r="X603" s="5" t="str">
        <f>_xlfn.LET(_xlpm.act,MATCH(V603,{"DIAMANTE";"PLATINO";"ORO";"PLATA";"BRONCE";"CERRADO"},0),_xlpm.ant,MATCH(W603,{"DIAMANTE";"PLATINO";"ORO";"PLATA";"BRONCE";"CERRADO"},0),IF(_xlpm.act&lt;_xlpm.ant,"Mejora ↑",IF(_xlpm.act&gt;_xlpm.ant,"Baja ↓","Estable →")))</f>
        <v>Estable →</v>
      </c>
      <c r="Y603" s="5">
        <f>IFERROR(U603-SUMIFS(HIST_SCORE!$D:$D,HIST_SCORE!$B:$B,PARAMS_MODELO!$B$4,HIST_SCORE!$C:$C,$A603),"")</f>
        <v>19.547173288424474</v>
      </c>
      <c r="Z603" s="5" t="str">
        <f t="shared" si="221"/>
        <v>↑ Mejora</v>
      </c>
      <c r="AA603" s="5">
        <f t="shared" si="222"/>
        <v>687</v>
      </c>
      <c r="AB603" s="5">
        <f>IFERROR(SUMIFS(HIST_SCORE!$F:$F,HIST_SCORE!$B:$B,PARAMS_MODELO!$B$4,HIST_SCORE!$C:$C,$A603),"")</f>
        <v>856</v>
      </c>
      <c r="AC603" s="5">
        <f t="shared" si="223"/>
        <v>169</v>
      </c>
      <c r="AD603" t="str">
        <f t="shared" si="225"/>
        <v/>
      </c>
      <c r="AE6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603="CERRADO",1,IF(V603="BRONCE",_xlpm.cPl,IF(V603="PLATA",_xlpm.cO,IF(V603="ORO",_xlpm.cP,IF(V603="PLATINO",_xlpm.cD,999))))))</f>
        <v>63.199193273331495</v>
      </c>
      <c r="AF6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603="CERRADO",0,IF(V603="BRONCE",1,IF(V603="PLATA",_xlpm.cPl,IF(V603="ORO",_xlpm.cO,IF(V603="PLATINO",_xlpm.cP,_xlpm.cD))))))</f>
        <v>24.506573482968111</v>
      </c>
      <c r="AG603">
        <f t="shared" si="226"/>
        <v>5.8356162221361529</v>
      </c>
      <c r="AH603" t="str">
        <f t="shared" si="227"/>
        <v>VENTAS</v>
      </c>
      <c r="AI603" t="str">
        <f t="shared" si="224"/>
        <v>🎯 Para subir de categoría, eje VENTAS / DIFERENCIAL vs LOTBA (J). Acción: metas semanales + activación comercial + seguimiento del asesor. ΔR aprox: 5,8</v>
      </c>
      <c r="AJ603" s="26">
        <f>_xlfn.LET(_xlpm.piso,AF603,_xlpm.corte,AE603,_xlpm.prog,IF(_xlpm.corte&lt;=_xlpm.piso,0,MAX(0,MIN(1,(U603-_xlpm.piso)/(_xlpm.corte-_xlpm.piso)))),_xlpm.orden,{"DIAMANTE";"PLATINO";"ORO";"PLATA";"BRONCE";"CERRADO"},_xlpm.act,IFERROR(MATCH(V603,_xlpm.orden,0),6),_xlpm.ant,IFERROR(MATCH(W603,_xlpm.orden,0),6),_xlpm.ajmov,IF(_xlpm.act&lt;_xlpm.ant,0.08,IF(_xlpm.act&gt;_xlpm.ant,-0.08,0)),_xlpm.ajcli,IF(T603&lt;0.95,-0.06,0),_xlpm.prob,MAX(0,MIN(1,_xlpm.prog+_xlpm.ajmov+_xlpm.ajcli)),IF(OR(V603="DIAMANTE",V603="CERRADO"),0,ROUND(_xlpm.prob,2)))</f>
        <v>0.83</v>
      </c>
      <c r="AK603" t="str">
        <f t="shared" si="228"/>
        <v>Faltan 5,8 puntos base para subir a la siguiente categoría</v>
      </c>
      <c r="AL603" t="str">
        <f t="shared" si="229"/>
        <v>Margen de seguridad: 32,3 puntos</v>
      </c>
      <c r="AM603">
        <f t="shared" si="230"/>
        <v>0.3</v>
      </c>
      <c r="AN603" t="str">
        <f t="shared" si="231"/>
        <v>PRIORIDAD BAJA – control normal</v>
      </c>
      <c r="AO603">
        <f t="shared" si="232"/>
        <v>52.26419961838797</v>
      </c>
      <c r="AP603">
        <f t="shared" si="233"/>
        <v>0.47461115545544819</v>
      </c>
      <c r="AQ603">
        <f t="shared" si="234"/>
        <v>0</v>
      </c>
      <c r="AR603">
        <f t="shared" si="235"/>
        <v>0.32999999999999885</v>
      </c>
      <c r="AS603">
        <f t="shared" si="236"/>
        <v>0</v>
      </c>
      <c r="AT603" t="str">
        <f t="shared" si="237"/>
        <v>VENTAS</v>
      </c>
      <c r="AU603">
        <f t="shared" si="238"/>
        <v>52.26419961838797</v>
      </c>
      <c r="AV603" t="str">
        <f t="shared" si="239"/>
        <v>Mayor retorno probable: VENTAS (+52,3 puntos finales potenciales).</v>
      </c>
    </row>
    <row r="604" spans="1:48" x14ac:dyDescent="0.3">
      <c r="A604" s="5">
        <v>51015029</v>
      </c>
      <c r="B604" s="5" t="str">
        <f>IFERROR(VLOOKUP(A604,VENTAS!$A$2:$B$1194,2,0),"")</f>
        <v>PUGH</v>
      </c>
      <c r="C604" s="5">
        <f>IFERROR(INDEX(VENTAS!$C$2:$E$1194,MATCH(A604,VENTAS!$A$2:$A$1194,0),MATCH(PARAMS_MODELO!$B$2,{"Q1","Q2","Q3"},0)),0)</f>
        <v>40848438.070000008</v>
      </c>
      <c r="D604" s="5">
        <f>IFERROR(INDEX(VENTAS!$F$2:$H$1194,MATCH(A604,VENTAS!$A$2:$A$1194,0),MATCH(PARAMS_MODELO!$B$2,{"Q1","Q2","Q3"},0)),0)</f>
        <v>67161117</v>
      </c>
      <c r="E604" s="8">
        <f t="shared" si="216"/>
        <v>0.64415385687230486</v>
      </c>
      <c r="F604" s="12">
        <f>IF(E604&lt;=PARAMS_MODELO!$B$15,0,IF(E604&gt;=PARAMS_MODELO!$B$17,100,100*MIN(1,(E604-PARAMS_MODELO!$B$15)/(PARAMS_MODELO!$B$16-PARAMS_MODELO!$B$15))))*PARAMS_MODELO!$B$7</f>
        <v>35</v>
      </c>
      <c r="G604" s="5">
        <f t="shared" si="217"/>
        <v>26312678.929999992</v>
      </c>
      <c r="H604" s="5">
        <f>(PARAMS_MODELO!$B$20*(MAX(0,MIN(3,E604))/3)+PARAMS_MODELO!$B$21*(IFERROR(LN(1+MAX(0,G604))/LN(1+MAX(0,MAX($G$2:$G$1194))),0)))*100*PARAMS_MODELO!$B$8</f>
        <v>6.2596326427203595</v>
      </c>
      <c r="I604" s="8">
        <f>E604-PARAMS_MODELO!$B$5</f>
        <v>0.46659102149677834</v>
      </c>
      <c r="J604" s="5">
        <f>IF(I604&lt;=PARAMS_MODELO!$B$18,0,IF(I604&gt;=PARAMS_MODELO!$B$19,100,100*(I604-PARAMS_MODELO!$B$18)/(PARAMS_MODELO!$B$19-PARAMS_MODELO!$B$18)))*PARAMS_MODELO!$B$9</f>
        <v>15</v>
      </c>
      <c r="K604" s="5">
        <f>IFERROR(CHOOSE(MATCH(PARAMS_MODELO!$B$2,{"Q1","Q2","Q3"},0),LOTO!$D604,LOTO!$F604,LOTO!$H604),0)</f>
        <v>3242500</v>
      </c>
      <c r="L604" s="8">
        <f t="shared" si="218"/>
        <v>4.8279423345505106E-2</v>
      </c>
      <c r="M604" s="5">
        <f>MIN(100,IF(PARAMS_MODELO!$B$23=0,0,100*L604/PARAMS_MODELO!$B$23))*PARAMS_MODELO!$B$10</f>
        <v>14.48382700365153</v>
      </c>
      <c r="N604" s="5">
        <f>IFERROR(VLOOKUP(A604,COMPLIANCE!$A$2:$F$1996,6,0),100)</f>
        <v>100</v>
      </c>
      <c r="O604" s="5">
        <f>N604*PARAMS_MODELO!$B$11</f>
        <v>10</v>
      </c>
      <c r="P604" s="5">
        <f>IFERROR(VLOOKUP(A604,DIGITAL!$A$2:$J$2000,7,0),100)</f>
        <v>53</v>
      </c>
      <c r="Q604" s="5">
        <f>IFERROR(P604,0)*PARAMS_MODELO!$B$12</f>
        <v>5.3000000000000007</v>
      </c>
      <c r="R604">
        <f t="shared" si="219"/>
        <v>86.043459646371886</v>
      </c>
      <c r="S604" s="5" t="str">
        <f>IFERROR(VLOOKUP(A604,CLIENTE!$A$2:$N$2000,13,0),1)</f>
        <v>Regular</v>
      </c>
      <c r="T604" s="5">
        <f>IFERROR(VLOOKUP(A604,CLIENTE!$A$2:$N$2000,14,0),1)</f>
        <v>1</v>
      </c>
      <c r="U604" s="5">
        <f t="shared" si="220"/>
        <v>86.043459646371886</v>
      </c>
      <c r="V604" s="5" t="str">
        <f>IF(U604&gt;=MAX(_xlfn.PERCENTILE.INC($U$2:$U$1194,PARAMS_MODELO!$B$50),PARAMS_MODELO!$B$45),"DIAMANTE",IF(U604&gt;=MAX(_xlfn.PERCENTILE.INC($U$2:$U$1194,PARAMS_MODELO!$B$51),PARAMS_MODELO!$B$46),"PLATINO",IF(U604&gt;=MAX(_xlfn.PERCENTILE.INC($U$2:$U$1194,PARAMS_MODELO!$B$52),PARAMS_MODELO!$B$47),"ORO",IF(U604&gt;=MAX(_xlfn.PERCENTILE.INC($U$2:$U$1194,PARAMS_MODELO!$B$53),PARAMS_MODELO!$B$48),"PLATA",IF(U604&gt;=1,"BRONCE","CERRADO")))))</f>
        <v>ORO</v>
      </c>
      <c r="W604" s="5" t="str" cm="1">
        <f t="array" ref="W604">_xlfn.XLOOKUP(1, (HIST_SCORE!$B:$B=PARAMS_MODELO!$B$4) * (HIST_SCORE!$C:$C=A604), HIST_SCORE!$E:$E, "No encontrado")</f>
        <v>ORO</v>
      </c>
      <c r="X604" s="5" t="str">
        <f>_xlfn.LET(_xlpm.act,MATCH(V604,{"DIAMANTE";"PLATINO";"ORO";"PLATA";"BRONCE";"CERRADO"},0),_xlpm.ant,MATCH(W604,{"DIAMANTE";"PLATINO";"ORO";"PLATA";"BRONCE";"CERRADO"},0),IF(_xlpm.act&lt;_xlpm.ant,"Mejora ↑",IF(_xlpm.act&gt;_xlpm.ant,"Baja ↓","Estable →")))</f>
        <v>Estable →</v>
      </c>
      <c r="Y604" s="5">
        <f>IFERROR(U604-SUMIFS(HIST_SCORE!$D:$D,HIST_SCORE!$B:$B,PARAMS_MODELO!$B$4,HIST_SCORE!$C:$C,$A604),"")</f>
        <v>0.2964831266168062</v>
      </c>
      <c r="Z604" s="5" t="str">
        <f t="shared" si="221"/>
        <v>→ Estable</v>
      </c>
      <c r="AA604" s="5">
        <f t="shared" si="222"/>
        <v>252</v>
      </c>
      <c r="AB604" s="5">
        <f>IFERROR(SUMIFS(HIST_SCORE!$F:$F,HIST_SCORE!$B:$B,PARAMS_MODELO!$B$4,HIST_SCORE!$C:$C,$A604),"")</f>
        <v>245</v>
      </c>
      <c r="AC604" s="5">
        <f t="shared" si="223"/>
        <v>-7</v>
      </c>
      <c r="AD604" t="str">
        <f t="shared" si="225"/>
        <v/>
      </c>
      <c r="AE6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604="CERRADO",1,IF(V604="BRONCE",_xlpm.cPl,IF(V604="PLATA",_xlpm.cO,IF(V604="ORO",_xlpm.cP,IF(V604="PLATINO",_xlpm.cD,999))))))</f>
        <v>86.439123873763251</v>
      </c>
      <c r="AF6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604="CERRADO",0,IF(V604="BRONCE",1,IF(V604="PLATA",_xlpm.cPl,IF(V604="ORO",_xlpm.cO,IF(V604="PLATINO",_xlpm.cP,_xlpm.cD))))))</f>
        <v>63.199193273331495</v>
      </c>
      <c r="AG604">
        <f t="shared" si="226"/>
        <v>0.39566422739136442</v>
      </c>
      <c r="AH604" t="str">
        <f t="shared" si="227"/>
        <v>VENTAS</v>
      </c>
      <c r="AI604" t="str">
        <f t="shared" si="224"/>
        <v>🎯 Para subir de categoría, eje VENTAS / IMPACTO ABSOLUTO (H). Acción: metas semanales + activación comercial + seguimiento del asesor. ΔR aprox: 0,4</v>
      </c>
      <c r="AJ604" s="26">
        <f>_xlfn.LET(_xlpm.piso,AF604,_xlpm.corte,AE604,_xlpm.prog,IF(_xlpm.corte&lt;=_xlpm.piso,0,MAX(0,MIN(1,(U604-_xlpm.piso)/(_xlpm.corte-_xlpm.piso)))),_xlpm.orden,{"DIAMANTE";"PLATINO";"ORO";"PLATA";"BRONCE";"CERRADO"},_xlpm.act,IFERROR(MATCH(V604,_xlpm.orden,0),6),_xlpm.ant,IFERROR(MATCH(W604,_xlpm.orden,0),6),_xlpm.ajmov,IF(_xlpm.act&lt;_xlpm.ant,0.08,IF(_xlpm.act&gt;_xlpm.ant,-0.08,0)),_xlpm.ajcli,IF(T604&lt;0.95,-0.06,0),_xlpm.prob,MAX(0,MIN(1,_xlpm.prog+_xlpm.ajmov+_xlpm.ajcli)),IF(OR(V604="DIAMANTE",V604="CERRADO"),0,ROUND(_xlpm.prob,2)))</f>
        <v>0.98</v>
      </c>
      <c r="AK604" t="str">
        <f t="shared" si="228"/>
        <v>Faltan 0,4 puntos base para subir a la siguiente categoría</v>
      </c>
      <c r="AL604" t="str">
        <f t="shared" si="229"/>
        <v>Margen de seguridad: 22,8 puntos</v>
      </c>
      <c r="AM604">
        <f t="shared" si="230"/>
        <v>0.02</v>
      </c>
      <c r="AN604" t="str">
        <f t="shared" si="231"/>
        <v>PRIORIDAD BAJA – control normal</v>
      </c>
      <c r="AO604">
        <f t="shared" si="232"/>
        <v>8.6029366325752221</v>
      </c>
      <c r="AP604">
        <f t="shared" si="233"/>
        <v>0.51617299634846958</v>
      </c>
      <c r="AQ604">
        <f t="shared" si="234"/>
        <v>0</v>
      </c>
      <c r="AR604">
        <f t="shared" si="235"/>
        <v>4.6999999999999993</v>
      </c>
      <c r="AS604">
        <f t="shared" si="236"/>
        <v>0</v>
      </c>
      <c r="AT604" t="str">
        <f t="shared" si="237"/>
        <v>VENTAS</v>
      </c>
      <c r="AU604">
        <f t="shared" si="238"/>
        <v>8.6029366325752221</v>
      </c>
      <c r="AV604" t="str">
        <f t="shared" si="239"/>
        <v>Mayor retorno probable: VENTAS (+8,6 puntos finales potenciales).</v>
      </c>
    </row>
    <row r="605" spans="1:48" x14ac:dyDescent="0.3">
      <c r="A605" s="5">
        <v>51055730</v>
      </c>
      <c r="B605" s="5" t="str">
        <f>IFERROR(VLOOKUP(A605,VENTAS!$A$2:$B$1194,2,0),"")</f>
        <v>PRADES</v>
      </c>
      <c r="C605" s="5">
        <f>IFERROR(INDEX(VENTAS!$C$2:$E$1194,MATCH(A605,VENTAS!$A$2:$A$1194,0),MATCH(PARAMS_MODELO!$B$2,{"Q1","Q2","Q3"},0)),0)</f>
        <v>58990937.390000001</v>
      </c>
      <c r="D605" s="5">
        <f>IFERROR(INDEX(VENTAS!$F$2:$H$1194,MATCH(A605,VENTAS!$A$2:$A$1194,0),MATCH(PARAMS_MODELO!$B$2,{"Q1","Q2","Q3"},0)),0)</f>
        <v>67028145</v>
      </c>
      <c r="E605" s="8">
        <f t="shared" si="216"/>
        <v>0.13624478548059904</v>
      </c>
      <c r="F605" s="12">
        <f>IF(E605&lt;=PARAMS_MODELO!$B$15,0,IF(E605&gt;=PARAMS_MODELO!$B$17,100,100*MIN(1,(E605-PARAMS_MODELO!$B$15)/(PARAMS_MODELO!$B$16-PARAMS_MODELO!$B$15))))*PARAMS_MODELO!$B$7</f>
        <v>35</v>
      </c>
      <c r="G605" s="5">
        <f t="shared" si="217"/>
        <v>8037207.6099999994</v>
      </c>
      <c r="H605" s="5">
        <f>(PARAMS_MODELO!$B$20*(MAX(0,MIN(3,E605))/3)+PARAMS_MODELO!$B$21*(IFERROR(LN(1+MAX(0,G605))/LN(1+MAX(0,MAX($G$2:$G$1194))),0)))*100*PARAMS_MODELO!$B$8</f>
        <v>4.2039431754548895</v>
      </c>
      <c r="I605" s="8">
        <f>E605-PARAMS_MODELO!$B$5</f>
        <v>-4.1318049894927489E-2</v>
      </c>
      <c r="J605" s="5">
        <f>IF(I605&lt;=PARAMS_MODELO!$B$18,0,IF(I605&gt;=PARAMS_MODELO!$B$19,100,100*(I605-PARAMS_MODELO!$B$18)/(PARAMS_MODELO!$B$19-PARAMS_MODELO!$B$18)))*PARAMS_MODELO!$B$9</f>
        <v>1.3022925157608769</v>
      </c>
      <c r="K605" s="5">
        <f>IFERROR(CHOOSE(MATCH(PARAMS_MODELO!$B$2,{"Q1","Q2","Q3"},0),LOTO!$D605,LOTO!$F605,LOTO!$H605),0)</f>
        <v>3240000</v>
      </c>
      <c r="L605" s="8">
        <f t="shared" si="218"/>
        <v>4.8337903428477692E-2</v>
      </c>
      <c r="M605" s="5">
        <f>MIN(100,IF(PARAMS_MODELO!$B$23=0,0,100*L605/PARAMS_MODELO!$B$23))*PARAMS_MODELO!$B$10</f>
        <v>14.501371028543305</v>
      </c>
      <c r="N605" s="5">
        <f>IFERROR(VLOOKUP(A605,COMPLIANCE!$A$2:$F$1996,6,0),100)</f>
        <v>100</v>
      </c>
      <c r="O605" s="5">
        <f>N605*PARAMS_MODELO!$B$11</f>
        <v>10</v>
      </c>
      <c r="P605" s="5">
        <f>IFERROR(VLOOKUP(A605,DIGITAL!$A$2:$J$2000,7,0),100)</f>
        <v>33</v>
      </c>
      <c r="Q605" s="5">
        <f>IFERROR(P605,0)*PARAMS_MODELO!$B$12</f>
        <v>3.3000000000000003</v>
      </c>
      <c r="R605">
        <f t="shared" si="219"/>
        <v>68.307606719759065</v>
      </c>
      <c r="S605" s="5" t="str">
        <f>IFERROR(VLOOKUP(A605,CLIENTE!$A$2:$N$2000,13,0),1)</f>
        <v>Malo</v>
      </c>
      <c r="T605" s="5">
        <f>IFERROR(VLOOKUP(A605,CLIENTE!$A$2:$N$2000,14,0),1)</f>
        <v>0.7</v>
      </c>
      <c r="U605" s="5">
        <f t="shared" si="220"/>
        <v>47.815324703831344</v>
      </c>
      <c r="V605" s="5" t="str">
        <f>IF(U605&gt;=MAX(_xlfn.PERCENTILE.INC($U$2:$U$1194,PARAMS_MODELO!$B$50),PARAMS_MODELO!$B$45),"DIAMANTE",IF(U605&gt;=MAX(_xlfn.PERCENTILE.INC($U$2:$U$1194,PARAMS_MODELO!$B$51),PARAMS_MODELO!$B$46),"PLATINO",IF(U605&gt;=MAX(_xlfn.PERCENTILE.INC($U$2:$U$1194,PARAMS_MODELO!$B$52),PARAMS_MODELO!$B$47),"ORO",IF(U605&gt;=MAX(_xlfn.PERCENTILE.INC($U$2:$U$1194,PARAMS_MODELO!$B$53),PARAMS_MODELO!$B$48),"PLATA",IF(U605&gt;=1,"BRONCE","CERRADO")))))</f>
        <v>PLATA</v>
      </c>
      <c r="W605" s="5" t="str" cm="1">
        <f t="array" ref="W605">_xlfn.XLOOKUP(1, (HIST_SCORE!$B:$B=PARAMS_MODELO!$B$4) * (HIST_SCORE!$C:$C=A605), HIST_SCORE!$E:$E, "No encontrado")</f>
        <v>PLATA</v>
      </c>
      <c r="X605" s="5" t="str">
        <f>_xlfn.LET(_xlpm.act,MATCH(V605,{"DIAMANTE";"PLATINO";"ORO";"PLATA";"BRONCE";"CERRADO"},0),_xlpm.ant,MATCH(W605,{"DIAMANTE";"PLATINO";"ORO";"PLATA";"BRONCE";"CERRADO"},0),IF(_xlpm.act&lt;_xlpm.ant,"Mejora ↑",IF(_xlpm.act&gt;_xlpm.ant,"Baja ↓","Estable →")))</f>
        <v>Estable →</v>
      </c>
      <c r="Y605" s="5">
        <f>IFERROR(U605-SUMIFS(HIST_SCORE!$D:$D,HIST_SCORE!$B:$B,PARAMS_MODELO!$B$4,HIST_SCORE!$C:$C,$A605),"")</f>
        <v>-10.688369540700357</v>
      </c>
      <c r="Z605" s="5" t="str">
        <f t="shared" si="221"/>
        <v>↓ Baja</v>
      </c>
      <c r="AA605" s="5">
        <f t="shared" si="222"/>
        <v>755</v>
      </c>
      <c r="AB605" s="5">
        <f>IFERROR(SUMIFS(HIST_SCORE!$F:$F,HIST_SCORE!$B:$B,PARAMS_MODELO!$B$4,HIST_SCORE!$C:$C,$A605),"")</f>
        <v>674</v>
      </c>
      <c r="AC605" s="5">
        <f t="shared" si="223"/>
        <v>-81</v>
      </c>
      <c r="AD605" t="str">
        <f t="shared" si="225"/>
        <v/>
      </c>
      <c r="AE6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605="CERRADO",1,IF(V605="BRONCE",_xlpm.cPl,IF(V605="PLATA",_xlpm.cO,IF(V605="ORO",_xlpm.cP,IF(V605="PLATINO",_xlpm.cD,999))))))</f>
        <v>63.199193273331495</v>
      </c>
      <c r="AF6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605="CERRADO",0,IF(V605="BRONCE",1,IF(V605="PLATA",_xlpm.cPl,IF(V605="ORO",_xlpm.cO,IF(V605="PLATINO",_xlpm.cP,_xlpm.cD))))))</f>
        <v>24.506573482968111</v>
      </c>
      <c r="AG605">
        <f t="shared" si="226"/>
        <v>21.976955099285931</v>
      </c>
      <c r="AH605" t="str">
        <f t="shared" si="227"/>
        <v>CLIENTE</v>
      </c>
      <c r="AI605" t="str">
        <f t="shared" si="224"/>
        <v>🎯 Para subir de categoría, la eje con mayor impacto probable es CLIENTE (coef T). Acción: reducir quejas, mejorar incógnito y empujar reseñas. ΔR aprox: 22,0</v>
      </c>
      <c r="AJ605" s="26">
        <f>_xlfn.LET(_xlpm.piso,AF605,_xlpm.corte,AE605,_xlpm.prog,IF(_xlpm.corte&lt;=_xlpm.piso,0,MAX(0,MIN(1,(U605-_xlpm.piso)/(_xlpm.corte-_xlpm.piso)))),_xlpm.orden,{"DIAMANTE";"PLATINO";"ORO";"PLATA";"BRONCE";"CERRADO"},_xlpm.act,IFERROR(MATCH(V605,_xlpm.orden,0),6),_xlpm.ant,IFERROR(MATCH(W605,_xlpm.orden,0),6),_xlpm.ajmov,IF(_xlpm.act&lt;_xlpm.ant,0.08,IF(_xlpm.act&gt;_xlpm.ant,-0.08,0)),_xlpm.ajcli,IF(T605&lt;0.95,-0.06,0),_xlpm.prob,MAX(0,MIN(1,_xlpm.prog+_xlpm.ajmov+_xlpm.ajcli)),IF(OR(V605="DIAMANTE",V605="CERRADO"),0,ROUND(_xlpm.prob,2)))</f>
        <v>0.54</v>
      </c>
      <c r="AK605" t="str">
        <f t="shared" si="228"/>
        <v>Faltan 22,0 puntos base para subir a la siguiente categoría</v>
      </c>
      <c r="AL605" t="str">
        <f t="shared" si="229"/>
        <v>Margen de seguridad: 23,3 puntos</v>
      </c>
      <c r="AM605">
        <f t="shared" si="230"/>
        <v>0.78</v>
      </c>
      <c r="AN605" t="str">
        <f t="shared" si="231"/>
        <v>PRIORIDAD ALTA – requiere intervención inmediata</v>
      </c>
      <c r="AO605">
        <f t="shared" si="232"/>
        <v>17.049433508855873</v>
      </c>
      <c r="AP605">
        <f t="shared" si="233"/>
        <v>0.34904028001968629</v>
      </c>
      <c r="AQ605">
        <f t="shared" si="234"/>
        <v>0</v>
      </c>
      <c r="AR605">
        <f t="shared" si="235"/>
        <v>4.6899999999999995</v>
      </c>
      <c r="AS605">
        <f t="shared" si="236"/>
        <v>20.492282015927721</v>
      </c>
      <c r="AT605" t="str">
        <f t="shared" si="237"/>
        <v>CLIENTE</v>
      </c>
      <c r="AU605">
        <f t="shared" si="238"/>
        <v>20.492282015927721</v>
      </c>
      <c r="AV605" t="str">
        <f t="shared" si="239"/>
        <v>Mayor retorno probable: CLIENTE (+20,5 puntos finales potenciales).</v>
      </c>
    </row>
    <row r="606" spans="1:48" x14ac:dyDescent="0.3">
      <c r="A606" s="5">
        <v>51018257</v>
      </c>
      <c r="B606" s="5" t="str">
        <f>IFERROR(VLOOKUP(A606,VENTAS!$A$2:$B$1194,2,0),"")</f>
        <v>ARGUELLO</v>
      </c>
      <c r="C606" s="5">
        <f>IFERROR(INDEX(VENTAS!$C$2:$E$1194,MATCH(A606,VENTAS!$A$2:$A$1194,0),MATCH(PARAMS_MODELO!$B$2,{"Q1","Q2","Q3"},0)),0)</f>
        <v>54715622.049999997</v>
      </c>
      <c r="D606" s="5">
        <f>IFERROR(INDEX(VENTAS!$F$2:$H$1194,MATCH(A606,VENTAS!$A$2:$A$1194,0),MATCH(PARAMS_MODELO!$B$2,{"Q1","Q2","Q3"},0)),0)</f>
        <v>66992538</v>
      </c>
      <c r="E606" s="8">
        <f t="shared" si="216"/>
        <v>0.22437679569431124</v>
      </c>
      <c r="F606" s="12">
        <f>IF(E606&lt;=PARAMS_MODELO!$B$15,0,IF(E606&gt;=PARAMS_MODELO!$B$17,100,100*MIN(1,(E606-PARAMS_MODELO!$B$15)/(PARAMS_MODELO!$B$16-PARAMS_MODELO!$B$15))))*PARAMS_MODELO!$B$7</f>
        <v>35</v>
      </c>
      <c r="G606" s="5">
        <f t="shared" si="217"/>
        <v>12276915.950000003</v>
      </c>
      <c r="H606" s="5">
        <f>(PARAMS_MODELO!$B$20*(MAX(0,MIN(3,E606))/3)+PARAMS_MODELO!$B$21*(IFERROR(LN(1+MAX(0,G606))/LN(1+MAX(0,MAX($G$2:$G$1194))),0)))*100*PARAMS_MODELO!$B$8</f>
        <v>4.6117121055495103</v>
      </c>
      <c r="I606" s="8">
        <f>E606-PARAMS_MODELO!$B$5</f>
        <v>4.6813960318784709E-2</v>
      </c>
      <c r="J606" s="5">
        <f>IF(I606&lt;=PARAMS_MODELO!$B$18,0,IF(I606&gt;=PARAMS_MODELO!$B$19,100,100*(I606-PARAMS_MODELO!$B$18)/(PARAMS_MODELO!$B$19-PARAMS_MODELO!$B$18)))*PARAMS_MODELO!$B$9</f>
        <v>14.522094047817706</v>
      </c>
      <c r="K606" s="5">
        <f>IFERROR(CHOOSE(MATCH(PARAMS_MODELO!$B$2,{"Q1","Q2","Q3"},0),LOTO!$D606,LOTO!$F606,LOTO!$H606),0)</f>
        <v>3217500</v>
      </c>
      <c r="L606" s="8">
        <f t="shared" si="218"/>
        <v>4.8027737059312486E-2</v>
      </c>
      <c r="M606" s="5">
        <f>MIN(100,IF(PARAMS_MODELO!$B$23=0,0,100*L606/PARAMS_MODELO!$B$23))*PARAMS_MODELO!$B$10</f>
        <v>14.408321117793745</v>
      </c>
      <c r="N606" s="5">
        <f>IFERROR(VLOOKUP(A606,COMPLIANCE!$A$2:$F$1996,6,0),100)</f>
        <v>99.98</v>
      </c>
      <c r="O606" s="5">
        <f>N606*PARAMS_MODELO!$B$11</f>
        <v>9.9980000000000011</v>
      </c>
      <c r="P606" s="5">
        <f>IFERROR(VLOOKUP(A606,DIGITAL!$A$2:$J$2000,7,0),100)</f>
        <v>62</v>
      </c>
      <c r="Q606" s="5">
        <f>IFERROR(P606,0)*PARAMS_MODELO!$B$12</f>
        <v>6.2</v>
      </c>
      <c r="R606">
        <f t="shared" si="219"/>
        <v>84.740127271160972</v>
      </c>
      <c r="S606" s="5" t="str">
        <f>IFERROR(VLOOKUP(A606,CLIENTE!$A$2:$N$2000,13,0),1)</f>
        <v>Regular</v>
      </c>
      <c r="T606" s="5">
        <f>IFERROR(VLOOKUP(A606,CLIENTE!$A$2:$N$2000,14,0),1)</f>
        <v>1</v>
      </c>
      <c r="U606" s="5">
        <f t="shared" si="220"/>
        <v>84.740127271160972</v>
      </c>
      <c r="V606" s="5" t="str">
        <f>IF(U606&gt;=MAX(_xlfn.PERCENTILE.INC($U$2:$U$1194,PARAMS_MODELO!$B$50),PARAMS_MODELO!$B$45),"DIAMANTE",IF(U606&gt;=MAX(_xlfn.PERCENTILE.INC($U$2:$U$1194,PARAMS_MODELO!$B$51),PARAMS_MODELO!$B$46),"PLATINO",IF(U606&gt;=MAX(_xlfn.PERCENTILE.INC($U$2:$U$1194,PARAMS_MODELO!$B$52),PARAMS_MODELO!$B$47),"ORO",IF(U606&gt;=MAX(_xlfn.PERCENTILE.INC($U$2:$U$1194,PARAMS_MODELO!$B$53),PARAMS_MODELO!$B$48),"PLATA",IF(U606&gt;=1,"BRONCE","CERRADO")))))</f>
        <v>ORO</v>
      </c>
      <c r="W606" s="5" t="str" cm="1">
        <f t="array" ref="W606">_xlfn.XLOOKUP(1, (HIST_SCORE!$B:$B=PARAMS_MODELO!$B$4) * (HIST_SCORE!$C:$C=A606), HIST_SCORE!$E:$E, "No encontrado")</f>
        <v>ORO</v>
      </c>
      <c r="X606" s="5" t="str">
        <f>_xlfn.LET(_xlpm.act,MATCH(V606,{"DIAMANTE";"PLATINO";"ORO";"PLATA";"BRONCE";"CERRADO"},0),_xlpm.ant,MATCH(W606,{"DIAMANTE";"PLATINO";"ORO";"PLATA";"BRONCE";"CERRADO"},0),IF(_xlpm.act&lt;_xlpm.ant,"Mejora ↑",IF(_xlpm.act&gt;_xlpm.ant,"Baja ↓","Estable →")))</f>
        <v>Estable →</v>
      </c>
      <c r="Y606" s="5">
        <f>IFERROR(U606-SUMIFS(HIST_SCORE!$D:$D,HIST_SCORE!$B:$B,PARAMS_MODELO!$B$4,HIST_SCORE!$C:$C,$A606),"")</f>
        <v>19.194731876322493</v>
      </c>
      <c r="Z606" s="5" t="str">
        <f t="shared" si="221"/>
        <v>↑ Mejora</v>
      </c>
      <c r="AA606" s="5">
        <f t="shared" si="222"/>
        <v>292</v>
      </c>
      <c r="AB606" s="5">
        <f>IFERROR(SUMIFS(HIST_SCORE!$F:$F,HIST_SCORE!$B:$B,PARAMS_MODELO!$B$4,HIST_SCORE!$C:$C,$A606),"")</f>
        <v>571</v>
      </c>
      <c r="AC606" s="5">
        <f t="shared" si="223"/>
        <v>279</v>
      </c>
      <c r="AD606" t="str">
        <f t="shared" si="225"/>
        <v/>
      </c>
      <c r="AE6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606="CERRADO",1,IF(V606="BRONCE",_xlpm.cPl,IF(V606="PLATA",_xlpm.cO,IF(V606="ORO",_xlpm.cP,IF(V606="PLATINO",_xlpm.cD,999))))))</f>
        <v>86.439123873763251</v>
      </c>
      <c r="AF6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606="CERRADO",0,IF(V606="BRONCE",1,IF(V606="PLATA",_xlpm.cPl,IF(V606="ORO",_xlpm.cO,IF(V606="PLATINO",_xlpm.cP,_xlpm.cD))))))</f>
        <v>63.199193273331495</v>
      </c>
      <c r="AG606">
        <f t="shared" si="226"/>
        <v>1.6989966026022785</v>
      </c>
      <c r="AH606" t="str">
        <f t="shared" si="227"/>
        <v>VENTAS</v>
      </c>
      <c r="AI606" t="str">
        <f t="shared" si="224"/>
        <v>🎯 Para subir de categoría, eje VENTAS / IMPACTO ABSOLUTO (H). Acción: metas semanales + activación comercial + seguimiento del asesor. ΔR aprox: 1,7</v>
      </c>
      <c r="AJ606" s="26">
        <f>_xlfn.LET(_xlpm.piso,AF606,_xlpm.corte,AE606,_xlpm.prog,IF(_xlpm.corte&lt;=_xlpm.piso,0,MAX(0,MIN(1,(U606-_xlpm.piso)/(_xlpm.corte-_xlpm.piso)))),_xlpm.orden,{"DIAMANTE";"PLATINO";"ORO";"PLATA";"BRONCE";"CERRADO"},_xlpm.act,IFERROR(MATCH(V606,_xlpm.orden,0),6),_xlpm.ant,IFERROR(MATCH(W606,_xlpm.orden,0),6),_xlpm.ajmov,IF(_xlpm.act&lt;_xlpm.ant,0.08,IF(_xlpm.act&gt;_xlpm.ant,-0.08,0)),_xlpm.ajcli,IF(T606&lt;0.95,-0.06,0),_xlpm.prob,MAX(0,MIN(1,_xlpm.prog+_xlpm.ajmov+_xlpm.ajcli)),IF(OR(V606="DIAMANTE",V606="CERRADO"),0,ROUND(_xlpm.prob,2)))</f>
        <v>0.93</v>
      </c>
      <c r="AK606" t="str">
        <f t="shared" si="228"/>
        <v>Faltan 1,7 puntos base para subir a la siguiente categoría</v>
      </c>
      <c r="AL606" t="str">
        <f t="shared" si="229"/>
        <v>Margen de seguridad: 21,5 puntos</v>
      </c>
      <c r="AM606">
        <f t="shared" si="230"/>
        <v>0.1</v>
      </c>
      <c r="AN606" t="str">
        <f t="shared" si="231"/>
        <v>PRIORIDAD BAJA – control normal</v>
      </c>
      <c r="AO606">
        <f t="shared" si="232"/>
        <v>10.728763121928367</v>
      </c>
      <c r="AP606">
        <f t="shared" si="233"/>
        <v>0.59167888220625464</v>
      </c>
      <c r="AQ606">
        <f t="shared" si="234"/>
        <v>1.9999999999988916E-3</v>
      </c>
      <c r="AR606">
        <f t="shared" si="235"/>
        <v>3.8</v>
      </c>
      <c r="AS606">
        <f t="shared" si="236"/>
        <v>0</v>
      </c>
      <c r="AT606" t="str">
        <f t="shared" si="237"/>
        <v>VENTAS</v>
      </c>
      <c r="AU606">
        <f t="shared" si="238"/>
        <v>10.728763121928367</v>
      </c>
      <c r="AV606" t="str">
        <f t="shared" si="239"/>
        <v>Mayor retorno probable: VENTAS (+10,7 puntos finales potenciales).</v>
      </c>
    </row>
    <row r="607" spans="1:48" x14ac:dyDescent="0.3">
      <c r="A607" s="5">
        <v>51055845</v>
      </c>
      <c r="B607" s="5" t="str">
        <f>IFERROR(VLOOKUP(A607,VENTAS!$A$2:$B$1194,2,0),"")</f>
        <v>BELUZZO</v>
      </c>
      <c r="C607" s="5">
        <f>IFERROR(INDEX(VENTAS!$C$2:$E$1194,MATCH(A607,VENTAS!$A$2:$A$1194,0),MATCH(PARAMS_MODELO!$B$2,{"Q1","Q2","Q3"},0)),0)</f>
        <v>48651387.799999997</v>
      </c>
      <c r="D607" s="5">
        <f>IFERROR(INDEX(VENTAS!$F$2:$H$1194,MATCH(A607,VENTAS!$A$2:$A$1194,0),MATCH(PARAMS_MODELO!$B$2,{"Q1","Q2","Q3"},0)),0)</f>
        <v>66854358</v>
      </c>
      <c r="E607" s="8">
        <f t="shared" si="216"/>
        <v>0.37415109872775321</v>
      </c>
      <c r="F607" s="12">
        <f>IF(E607&lt;=PARAMS_MODELO!$B$15,0,IF(E607&gt;=PARAMS_MODELO!$B$17,100,100*MIN(1,(E607-PARAMS_MODELO!$B$15)/(PARAMS_MODELO!$B$16-PARAMS_MODELO!$B$15))))*PARAMS_MODELO!$B$7</f>
        <v>35</v>
      </c>
      <c r="G607" s="5">
        <f t="shared" si="217"/>
        <v>18202970.200000003</v>
      </c>
      <c r="H607" s="5">
        <f>(PARAMS_MODELO!$B$20*(MAX(0,MIN(3,E607))/3)+PARAMS_MODELO!$B$21*(IFERROR(LN(1+MAX(0,G607))/LN(1+MAX(0,MAX($G$2:$G$1194))),0)))*100*PARAMS_MODELO!$B$8</f>
        <v>5.2282493875560627</v>
      </c>
      <c r="I607" s="8">
        <f>E607-PARAMS_MODELO!$B$5</f>
        <v>0.19658826335222668</v>
      </c>
      <c r="J607" s="5">
        <f>IF(I607&lt;=PARAMS_MODELO!$B$18,0,IF(I607&gt;=PARAMS_MODELO!$B$19,100,100*(I607-PARAMS_MODELO!$B$18)/(PARAMS_MODELO!$B$19-PARAMS_MODELO!$B$18)))*PARAMS_MODELO!$B$9</f>
        <v>15</v>
      </c>
      <c r="K607" s="5">
        <f>IFERROR(CHOOSE(MATCH(PARAMS_MODELO!$B$2,{"Q1","Q2","Q3"},0),LOTO!$D607,LOTO!$F607,LOTO!$H607),0)</f>
        <v>3210000</v>
      </c>
      <c r="L607" s="8">
        <f t="shared" si="218"/>
        <v>4.801482051476734E-2</v>
      </c>
      <c r="M607" s="5">
        <f>MIN(100,IF(PARAMS_MODELO!$B$23=0,0,100*L607/PARAMS_MODELO!$B$23))*PARAMS_MODELO!$B$10</f>
        <v>14.4044461544302</v>
      </c>
      <c r="N607" s="5">
        <f>IFERROR(VLOOKUP(A607,COMPLIANCE!$A$2:$F$1996,6,0),100)</f>
        <v>100</v>
      </c>
      <c r="O607" s="5">
        <f>N607*PARAMS_MODELO!$B$11</f>
        <v>10</v>
      </c>
      <c r="P607" s="5">
        <f>IFERROR(VLOOKUP(A607,DIGITAL!$A$2:$J$2000,7,0),100)</f>
        <v>100</v>
      </c>
      <c r="Q607" s="5">
        <f>IFERROR(P607,0)*PARAMS_MODELO!$B$12</f>
        <v>10</v>
      </c>
      <c r="R607">
        <f t="shared" si="219"/>
        <v>89.632695541986266</v>
      </c>
      <c r="S607" s="5" t="str">
        <f>IFERROR(VLOOKUP(A607,CLIENTE!$A$2:$N$2000,13,0),1)</f>
        <v>Regular</v>
      </c>
      <c r="T607" s="5">
        <f>IFERROR(VLOOKUP(A607,CLIENTE!$A$2:$N$2000,14,0),1)</f>
        <v>1</v>
      </c>
      <c r="U607" s="5">
        <f t="shared" si="220"/>
        <v>89.632695541986266</v>
      </c>
      <c r="V607" s="5" t="str">
        <f>IF(U607&gt;=MAX(_xlfn.PERCENTILE.INC($U$2:$U$1194,PARAMS_MODELO!$B$50),PARAMS_MODELO!$B$45),"DIAMANTE",IF(U607&gt;=MAX(_xlfn.PERCENTILE.INC($U$2:$U$1194,PARAMS_MODELO!$B$51),PARAMS_MODELO!$B$46),"PLATINO",IF(U607&gt;=MAX(_xlfn.PERCENTILE.INC($U$2:$U$1194,PARAMS_MODELO!$B$52),PARAMS_MODELO!$B$47),"ORO",IF(U607&gt;=MAX(_xlfn.PERCENTILE.INC($U$2:$U$1194,PARAMS_MODELO!$B$53),PARAMS_MODELO!$B$48),"PLATA",IF(U607&gt;=1,"BRONCE","CERRADO")))))</f>
        <v>PLATINO</v>
      </c>
      <c r="W607" s="5" t="str" cm="1">
        <f t="array" ref="W607">_xlfn.XLOOKUP(1, (HIST_SCORE!$B:$B=PARAMS_MODELO!$B$4) * (HIST_SCORE!$C:$C=A607), HIST_SCORE!$E:$E, "No encontrado")</f>
        <v>PLATINO</v>
      </c>
      <c r="X607" s="5" t="str">
        <f>_xlfn.LET(_xlpm.act,MATCH(V607,{"DIAMANTE";"PLATINO";"ORO";"PLATA";"BRONCE";"CERRADO"},0),_xlpm.ant,MATCH(W607,{"DIAMANTE";"PLATINO";"ORO";"PLATA";"BRONCE";"CERRADO"},0),IF(_xlpm.act&lt;_xlpm.ant,"Mejora ↑",IF(_xlpm.act&gt;_xlpm.ant,"Baja ↓","Estable →")))</f>
        <v>Estable →</v>
      </c>
      <c r="Y607" s="5">
        <f>IFERROR(U607-SUMIFS(HIST_SCORE!$D:$D,HIST_SCORE!$B:$B,PARAMS_MODELO!$B$4,HIST_SCORE!$C:$C,$A607),"")</f>
        <v>0.60543451065156262</v>
      </c>
      <c r="Z607" s="5" t="str">
        <f t="shared" si="221"/>
        <v>→ Estable</v>
      </c>
      <c r="AA607" s="5">
        <f t="shared" si="222"/>
        <v>145</v>
      </c>
      <c r="AB607" s="5">
        <f>IFERROR(SUMIFS(HIST_SCORE!$F:$F,HIST_SCORE!$B:$B,PARAMS_MODELO!$B$4,HIST_SCORE!$C:$C,$A607),"")</f>
        <v>151</v>
      </c>
      <c r="AC607" s="5">
        <f t="shared" si="223"/>
        <v>6</v>
      </c>
      <c r="AD607" t="str">
        <f t="shared" si="225"/>
        <v/>
      </c>
      <c r="AE6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607="CERRADO",1,IF(V607="BRONCE",_xlpm.cPl,IF(V607="PLATA",_xlpm.cO,IF(V607="ORO",_xlpm.cP,IF(V607="PLATINO",_xlpm.cD,999))))))</f>
        <v>96.054919694466676</v>
      </c>
      <c r="AF6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607="CERRADO",0,IF(V607="BRONCE",1,IF(V607="PLATA",_xlpm.cPl,IF(V607="ORO",_xlpm.cO,IF(V607="PLATINO",_xlpm.cP,_xlpm.cD))))))</f>
        <v>86.439123873763251</v>
      </c>
      <c r="AG607">
        <f t="shared" si="226"/>
        <v>6.4222241524804105</v>
      </c>
      <c r="AH607" t="str">
        <f t="shared" si="227"/>
        <v>VENTAS</v>
      </c>
      <c r="AI607" t="str">
        <f t="shared" si="224"/>
        <v>🎯 Para subir de categoría, eje VENTAS / IMPACTO ABSOLUTO (H). Acción: metas semanales + activación comercial + seguimiento del asesor. ΔR aprox: 6,4</v>
      </c>
      <c r="AJ607" s="26">
        <f>_xlfn.LET(_xlpm.piso,AF607,_xlpm.corte,AE607,_xlpm.prog,IF(_xlpm.corte&lt;=_xlpm.piso,0,MAX(0,MIN(1,(U607-_xlpm.piso)/(_xlpm.corte-_xlpm.piso)))),_xlpm.orden,{"DIAMANTE";"PLATINO";"ORO";"PLATA";"BRONCE";"CERRADO"},_xlpm.act,IFERROR(MATCH(V607,_xlpm.orden,0),6),_xlpm.ant,IFERROR(MATCH(W607,_xlpm.orden,0),6),_xlpm.ajmov,IF(_xlpm.act&lt;_xlpm.ant,0.08,IF(_xlpm.act&gt;_xlpm.ant,-0.08,0)),_xlpm.ajcli,IF(T607&lt;0.95,-0.06,0),_xlpm.prob,MAX(0,MIN(1,_xlpm.prog+_xlpm.ajmov+_xlpm.ajcli)),IF(OR(V607="DIAMANTE",V607="CERRADO"),0,ROUND(_xlpm.prob,2)))</f>
        <v>0.33</v>
      </c>
      <c r="AK607" t="str">
        <f t="shared" si="228"/>
        <v>Faltan 6,4 puntos base para subir a la siguiente categoría</v>
      </c>
      <c r="AL607" t="str">
        <f t="shared" si="229"/>
        <v>Margen de seguridad: 3,2 puntos</v>
      </c>
      <c r="AM607">
        <f t="shared" si="230"/>
        <v>0.52</v>
      </c>
      <c r="AN607" t="str">
        <f t="shared" si="231"/>
        <v>PRIORIDAD MEDIA – seguimiento del asesor</v>
      </c>
      <c r="AO607">
        <f t="shared" si="232"/>
        <v>9.6343198877395224</v>
      </c>
      <c r="AP607">
        <f t="shared" si="233"/>
        <v>0.59555384556979973</v>
      </c>
      <c r="AQ607">
        <f t="shared" si="234"/>
        <v>0</v>
      </c>
      <c r="AR607">
        <f t="shared" si="235"/>
        <v>0</v>
      </c>
      <c r="AS607">
        <f t="shared" si="236"/>
        <v>0</v>
      </c>
      <c r="AT607" t="str">
        <f t="shared" si="237"/>
        <v>VENTAS</v>
      </c>
      <c r="AU607">
        <f t="shared" si="238"/>
        <v>9.6343198877395224</v>
      </c>
      <c r="AV607" t="str">
        <f t="shared" si="239"/>
        <v>Mayor retorno probable: VENTAS (+9,6 puntos finales potenciales).</v>
      </c>
    </row>
    <row r="608" spans="1:48" x14ac:dyDescent="0.3">
      <c r="A608" s="5">
        <v>51028015</v>
      </c>
      <c r="B608" s="5" t="str">
        <f>IFERROR(VLOOKUP(A608,VENTAS!$A$2:$B$1194,2,0),"")</f>
        <v>CICHETTO</v>
      </c>
      <c r="C608" s="5">
        <f>IFERROR(INDEX(VENTAS!$C$2:$E$1194,MATCH(A608,VENTAS!$A$2:$A$1194,0),MATCH(PARAMS_MODELO!$B$2,{"Q1","Q2","Q3"},0)),0)</f>
        <v>41609311.100000001</v>
      </c>
      <c r="D608" s="5">
        <f>IFERROR(INDEX(VENTAS!$F$2:$H$1194,MATCH(A608,VENTAS!$A$2:$A$1194,0),MATCH(PARAMS_MODELO!$B$2,{"Q1","Q2","Q3"},0)),0)</f>
        <v>66783805</v>
      </c>
      <c r="E608" s="8">
        <f t="shared" si="216"/>
        <v>0.60502068490146188</v>
      </c>
      <c r="F608" s="12">
        <f>IF(E608&lt;=PARAMS_MODELO!$B$15,0,IF(E608&gt;=PARAMS_MODELO!$B$17,100,100*MIN(1,(E608-PARAMS_MODELO!$B$15)/(PARAMS_MODELO!$B$16-PARAMS_MODELO!$B$15))))*PARAMS_MODELO!$B$7</f>
        <v>35</v>
      </c>
      <c r="G608" s="5">
        <f t="shared" si="217"/>
        <v>25174493.899999999</v>
      </c>
      <c r="H608" s="5">
        <f>(PARAMS_MODELO!$B$20*(MAX(0,MIN(3,E608))/3)+PARAMS_MODELO!$B$21*(IFERROR(LN(1+MAX(0,G608))/LN(1+MAX(0,MAX($G$2:$G$1194))),0)))*100*PARAMS_MODELO!$B$8</f>
        <v>6.1123008551613767</v>
      </c>
      <c r="I608" s="8">
        <f>E608-PARAMS_MODELO!$B$5</f>
        <v>0.42745784952593535</v>
      </c>
      <c r="J608" s="5">
        <f>IF(I608&lt;=PARAMS_MODELO!$B$18,0,IF(I608&gt;=PARAMS_MODELO!$B$19,100,100*(I608-PARAMS_MODELO!$B$18)/(PARAMS_MODELO!$B$19-PARAMS_MODELO!$B$18)))*PARAMS_MODELO!$B$9</f>
        <v>15</v>
      </c>
      <c r="K608" s="5">
        <f>IFERROR(CHOOSE(MATCH(PARAMS_MODELO!$B$2,{"Q1","Q2","Q3"},0),LOTO!$D608,LOTO!$F608,LOTO!$H608),0)</f>
        <v>3205000</v>
      </c>
      <c r="L608" s="8">
        <f t="shared" si="218"/>
        <v>4.799067678159398E-2</v>
      </c>
      <c r="M608" s="5">
        <f>MIN(100,IF(PARAMS_MODELO!$B$23=0,0,100*L608/PARAMS_MODELO!$B$23))*PARAMS_MODELO!$B$10</f>
        <v>14.397203034478192</v>
      </c>
      <c r="N608" s="5">
        <f>IFERROR(VLOOKUP(A608,COMPLIANCE!$A$2:$F$1996,6,0),100)</f>
        <v>100</v>
      </c>
      <c r="O608" s="5">
        <f>N608*PARAMS_MODELO!$B$11</f>
        <v>10</v>
      </c>
      <c r="P608" s="5">
        <f>IFERROR(VLOOKUP(A608,DIGITAL!$A$2:$J$2000,7,0),100)</f>
        <v>43</v>
      </c>
      <c r="Q608" s="5">
        <f>IFERROR(P608,0)*PARAMS_MODELO!$B$12</f>
        <v>4.3</v>
      </c>
      <c r="R608">
        <f t="shared" si="219"/>
        <v>84.809503889639572</v>
      </c>
      <c r="S608" s="5" t="str">
        <f>IFERROR(VLOOKUP(A608,CLIENTE!$A$2:$N$2000,13,0),1)</f>
        <v>Regular</v>
      </c>
      <c r="T608" s="5">
        <f>IFERROR(VLOOKUP(A608,CLIENTE!$A$2:$N$2000,14,0),1)</f>
        <v>1</v>
      </c>
      <c r="U608" s="5">
        <f t="shared" si="220"/>
        <v>84.809503889639572</v>
      </c>
      <c r="V608" s="5" t="str">
        <f>IF(U608&gt;=MAX(_xlfn.PERCENTILE.INC($U$2:$U$1194,PARAMS_MODELO!$B$50),PARAMS_MODELO!$B$45),"DIAMANTE",IF(U608&gt;=MAX(_xlfn.PERCENTILE.INC($U$2:$U$1194,PARAMS_MODELO!$B$51),PARAMS_MODELO!$B$46),"PLATINO",IF(U608&gt;=MAX(_xlfn.PERCENTILE.INC($U$2:$U$1194,PARAMS_MODELO!$B$52),PARAMS_MODELO!$B$47),"ORO",IF(U608&gt;=MAX(_xlfn.PERCENTILE.INC($U$2:$U$1194,PARAMS_MODELO!$B$53),PARAMS_MODELO!$B$48),"PLATA",IF(U608&gt;=1,"BRONCE","CERRADO")))))</f>
        <v>ORO</v>
      </c>
      <c r="W608" s="5" t="str" cm="1">
        <f t="array" ref="W608">_xlfn.XLOOKUP(1, (HIST_SCORE!$B:$B=PARAMS_MODELO!$B$4) * (HIST_SCORE!$C:$C=A608), HIST_SCORE!$E:$E, "No encontrado")</f>
        <v>ORO</v>
      </c>
      <c r="X608" s="5" t="str">
        <f>_xlfn.LET(_xlpm.act,MATCH(V608,{"DIAMANTE";"PLATINO";"ORO";"PLATA";"BRONCE";"CERRADO"},0),_xlpm.ant,MATCH(W608,{"DIAMANTE";"PLATINO";"ORO";"PLATA";"BRONCE";"CERRADO"},0),IF(_xlpm.act&lt;_xlpm.ant,"Mejora ↑",IF(_xlpm.act&gt;_xlpm.ant,"Baja ↓","Estable →")))</f>
        <v>Estable →</v>
      </c>
      <c r="Y608" s="5">
        <f>IFERROR(U608-SUMIFS(HIST_SCORE!$D:$D,HIST_SCORE!$B:$B,PARAMS_MODELO!$B$4,HIST_SCORE!$C:$C,$A608),"")</f>
        <v>0.99075084474829112</v>
      </c>
      <c r="Z608" s="5" t="str">
        <f t="shared" si="221"/>
        <v>→ Estable</v>
      </c>
      <c r="AA608" s="5">
        <f t="shared" si="222"/>
        <v>290</v>
      </c>
      <c r="AB608" s="5">
        <f>IFERROR(SUMIFS(HIST_SCORE!$F:$F,HIST_SCORE!$B:$B,PARAMS_MODELO!$B$4,HIST_SCORE!$C:$C,$A608),"")</f>
        <v>297</v>
      </c>
      <c r="AC608" s="5">
        <f t="shared" si="223"/>
        <v>7</v>
      </c>
      <c r="AD608" t="str">
        <f t="shared" si="225"/>
        <v/>
      </c>
      <c r="AE6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608="CERRADO",1,IF(V608="BRONCE",_xlpm.cPl,IF(V608="PLATA",_xlpm.cO,IF(V608="ORO",_xlpm.cP,IF(V608="PLATINO",_xlpm.cD,999))))))</f>
        <v>86.439123873763251</v>
      </c>
      <c r="AF6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608="CERRADO",0,IF(V608="BRONCE",1,IF(V608="PLATA",_xlpm.cPl,IF(V608="ORO",_xlpm.cO,IF(V608="PLATINO",_xlpm.cP,_xlpm.cD))))))</f>
        <v>63.199193273331495</v>
      </c>
      <c r="AG608">
        <f t="shared" si="226"/>
        <v>1.6296199841236785</v>
      </c>
      <c r="AH608" t="str">
        <f t="shared" si="227"/>
        <v>VENTAS</v>
      </c>
      <c r="AI608" t="str">
        <f t="shared" si="224"/>
        <v>🎯 Para subir de categoría, eje VENTAS / IMPACTO ABSOLUTO (H). Acción: metas semanales + activación comercial + seguimiento del asesor. ΔR aprox: 1,6</v>
      </c>
      <c r="AJ608" s="26">
        <f>_xlfn.LET(_xlpm.piso,AF608,_xlpm.corte,AE608,_xlpm.prog,IF(_xlpm.corte&lt;=_xlpm.piso,0,MAX(0,MIN(1,(U608-_xlpm.piso)/(_xlpm.corte-_xlpm.piso)))),_xlpm.orden,{"DIAMANTE";"PLATINO";"ORO";"PLATA";"BRONCE";"CERRADO"},_xlpm.act,IFERROR(MATCH(V608,_xlpm.orden,0),6),_xlpm.ant,IFERROR(MATCH(W608,_xlpm.orden,0),6),_xlpm.ajmov,IF(_xlpm.act&lt;_xlpm.ant,0.08,IF(_xlpm.act&gt;_xlpm.ant,-0.08,0)),_xlpm.ajcli,IF(T608&lt;0.95,-0.06,0),_xlpm.prob,MAX(0,MIN(1,_xlpm.prog+_xlpm.ajmov+_xlpm.ajcli)),IF(OR(V608="DIAMANTE",V608="CERRADO"),0,ROUND(_xlpm.prob,2)))</f>
        <v>0.93</v>
      </c>
      <c r="AK608" t="str">
        <f t="shared" si="228"/>
        <v>Faltan 1,6 puntos base para subir a la siguiente categoría</v>
      </c>
      <c r="AL608" t="str">
        <f t="shared" si="229"/>
        <v>Margen de seguridad: 21,6 puntos</v>
      </c>
      <c r="AM608">
        <f t="shared" si="230"/>
        <v>0.09</v>
      </c>
      <c r="AN608" t="str">
        <f t="shared" si="231"/>
        <v>PRIORIDAD BAJA – control normal</v>
      </c>
      <c r="AO608">
        <f t="shared" si="232"/>
        <v>8.7502684201342049</v>
      </c>
      <c r="AP608">
        <f t="shared" si="233"/>
        <v>0.60279696552180795</v>
      </c>
      <c r="AQ608">
        <f t="shared" si="234"/>
        <v>0</v>
      </c>
      <c r="AR608">
        <f t="shared" si="235"/>
        <v>5.7</v>
      </c>
      <c r="AS608">
        <f t="shared" si="236"/>
        <v>0</v>
      </c>
      <c r="AT608" t="str">
        <f t="shared" si="237"/>
        <v>VENTAS</v>
      </c>
      <c r="AU608">
        <f t="shared" si="238"/>
        <v>8.7502684201342049</v>
      </c>
      <c r="AV608" t="str">
        <f t="shared" si="239"/>
        <v>Mayor retorno probable: VENTAS (+8,8 puntos finales potenciales).</v>
      </c>
    </row>
    <row r="609" spans="1:48" x14ac:dyDescent="0.3">
      <c r="A609" s="5">
        <v>51012887</v>
      </c>
      <c r="B609" s="5" t="str">
        <f>IFERROR(VLOOKUP(A609,VENTAS!$A$2:$B$1194,2,0),"")</f>
        <v>ARGUELLO</v>
      </c>
      <c r="C609" s="5">
        <f>IFERROR(INDEX(VENTAS!$C$2:$E$1194,MATCH(A609,VENTAS!$A$2:$A$1194,0),MATCH(PARAMS_MODELO!$B$2,{"Q1","Q2","Q3"},0)),0)</f>
        <v>51852843.600000001</v>
      </c>
      <c r="D609" s="5">
        <f>IFERROR(INDEX(VENTAS!$F$2:$H$1194,MATCH(A609,VENTAS!$A$2:$A$1194,0),MATCH(PARAMS_MODELO!$B$2,{"Q1","Q2","Q3"},0)),0)</f>
        <v>66686846</v>
      </c>
      <c r="E609" s="8">
        <f t="shared" si="216"/>
        <v>0.28607886029224439</v>
      </c>
      <c r="F609" s="12">
        <f>IF(E609&lt;=PARAMS_MODELO!$B$15,0,IF(E609&gt;=PARAMS_MODELO!$B$17,100,100*MIN(1,(E609-PARAMS_MODELO!$B$15)/(PARAMS_MODELO!$B$16-PARAMS_MODELO!$B$15))))*PARAMS_MODELO!$B$7</f>
        <v>35</v>
      </c>
      <c r="G609" s="5">
        <f t="shared" si="217"/>
        <v>14834002.399999999</v>
      </c>
      <c r="H609" s="5">
        <f>(PARAMS_MODELO!$B$20*(MAX(0,MIN(3,E609))/3)+PARAMS_MODELO!$B$21*(IFERROR(LN(1+MAX(0,G609))/LN(1+MAX(0,MAX($G$2:$G$1194))),0)))*100*PARAMS_MODELO!$B$8</f>
        <v>4.8720207446220289</v>
      </c>
      <c r="I609" s="8">
        <f>E609-PARAMS_MODELO!$B$5</f>
        <v>0.10851602491671786</v>
      </c>
      <c r="J609" s="5">
        <f>IF(I609&lt;=PARAMS_MODELO!$B$18,0,IF(I609&gt;=PARAMS_MODELO!$B$19,100,100*(I609-PARAMS_MODELO!$B$18)/(PARAMS_MODELO!$B$19-PARAMS_MODELO!$B$18)))*PARAMS_MODELO!$B$9</f>
        <v>15</v>
      </c>
      <c r="K609" s="5">
        <f>IFERROR(CHOOSE(MATCH(PARAMS_MODELO!$B$2,{"Q1","Q2","Q3"},0),LOTO!$D609,LOTO!$F609,LOTO!$H609),0)</f>
        <v>3200000</v>
      </c>
      <c r="L609" s="8">
        <f t="shared" si="218"/>
        <v>4.7985475276488561E-2</v>
      </c>
      <c r="M609" s="5">
        <f>MIN(100,IF(PARAMS_MODELO!$B$23=0,0,100*L609/PARAMS_MODELO!$B$23))*PARAMS_MODELO!$B$10</f>
        <v>14.395642582946566</v>
      </c>
      <c r="N609" s="5">
        <f>IFERROR(VLOOKUP(A609,COMPLIANCE!$A$2:$F$1996,6,0),100)</f>
        <v>99.98</v>
      </c>
      <c r="O609" s="5">
        <f>N609*PARAMS_MODELO!$B$11</f>
        <v>9.9980000000000011</v>
      </c>
      <c r="P609" s="5">
        <f>IFERROR(VLOOKUP(A609,DIGITAL!$A$2:$J$2000,7,0),100)</f>
        <v>21</v>
      </c>
      <c r="Q609" s="5">
        <f>IFERROR(P609,0)*PARAMS_MODELO!$B$12</f>
        <v>2.1</v>
      </c>
      <c r="R609">
        <f t="shared" si="219"/>
        <v>81.365663327568598</v>
      </c>
      <c r="S609" s="5" t="str">
        <f>IFERROR(VLOOKUP(A609,CLIENTE!$A$2:$N$2000,13,0),1)</f>
        <v>Muy Bueno</v>
      </c>
      <c r="T609" s="5">
        <f>IFERROR(VLOOKUP(A609,CLIENTE!$A$2:$N$2000,14,0),1)</f>
        <v>1.1499999999999999</v>
      </c>
      <c r="U609" s="5">
        <f t="shared" si="220"/>
        <v>93.570512826703876</v>
      </c>
      <c r="V609" s="5" t="str">
        <f>IF(U609&gt;=MAX(_xlfn.PERCENTILE.INC($U$2:$U$1194,PARAMS_MODELO!$B$50),PARAMS_MODELO!$B$45),"DIAMANTE",IF(U609&gt;=MAX(_xlfn.PERCENTILE.INC($U$2:$U$1194,PARAMS_MODELO!$B$51),PARAMS_MODELO!$B$46),"PLATINO",IF(U609&gt;=MAX(_xlfn.PERCENTILE.INC($U$2:$U$1194,PARAMS_MODELO!$B$52),PARAMS_MODELO!$B$47),"ORO",IF(U609&gt;=MAX(_xlfn.PERCENTILE.INC($U$2:$U$1194,PARAMS_MODELO!$B$53),PARAMS_MODELO!$B$48),"PLATA",IF(U609&gt;=1,"BRONCE","CERRADO")))))</f>
        <v>PLATINO</v>
      </c>
      <c r="W609" s="5" t="str" cm="1">
        <f t="array" ref="W609">_xlfn.XLOOKUP(1, (HIST_SCORE!$B:$B=PARAMS_MODELO!$B$4) * (HIST_SCORE!$C:$C=A609), HIST_SCORE!$E:$E, "No encontrado")</f>
        <v>ORO</v>
      </c>
      <c r="X609" s="5" t="str">
        <f>_xlfn.LET(_xlpm.act,MATCH(V609,{"DIAMANTE";"PLATINO";"ORO";"PLATA";"BRONCE";"CERRADO"},0),_xlpm.ant,MATCH(W609,{"DIAMANTE";"PLATINO";"ORO";"PLATA";"BRONCE";"CERRADO"},0),IF(_xlpm.act&lt;_xlpm.ant,"Mejora ↑",IF(_xlpm.act&gt;_xlpm.ant,"Baja ↓","Estable →")))</f>
        <v>Mejora ↑</v>
      </c>
      <c r="Y609" s="5">
        <f>IFERROR(U609-SUMIFS(HIST_SCORE!$D:$D,HIST_SCORE!$B:$B,PARAMS_MODELO!$B$4,HIST_SCORE!$C:$C,$A609),"")</f>
        <v>17.136680441717985</v>
      </c>
      <c r="Z609" s="5" t="str">
        <f t="shared" si="221"/>
        <v>↑ Mejora</v>
      </c>
      <c r="AA609" s="5">
        <f t="shared" si="222"/>
        <v>83</v>
      </c>
      <c r="AB609" s="5">
        <f>IFERROR(SUMIFS(HIST_SCORE!$F:$F,HIST_SCORE!$B:$B,PARAMS_MODELO!$B$4,HIST_SCORE!$C:$C,$A609),"")</f>
        <v>476</v>
      </c>
      <c r="AC609" s="5">
        <f t="shared" si="223"/>
        <v>393</v>
      </c>
      <c r="AD609" t="str">
        <f t="shared" si="225"/>
        <v/>
      </c>
      <c r="AE6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609="CERRADO",1,IF(V609="BRONCE",_xlpm.cPl,IF(V609="PLATA",_xlpm.cO,IF(V609="ORO",_xlpm.cP,IF(V609="PLATINO",_xlpm.cD,999))))))</f>
        <v>96.054919694466676</v>
      </c>
      <c r="AF6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609="CERRADO",0,IF(V609="BRONCE",1,IF(V609="PLATA",_xlpm.cPl,IF(V609="ORO",_xlpm.cO,IF(V609="PLATINO",_xlpm.cP,_xlpm.cD))))))</f>
        <v>86.439123873763251</v>
      </c>
      <c r="AG609">
        <f t="shared" si="226"/>
        <v>2.1603537980546008</v>
      </c>
      <c r="AH609" t="str">
        <f t="shared" si="227"/>
        <v>VENTAS</v>
      </c>
      <c r="AI609" t="str">
        <f t="shared" si="224"/>
        <v>🎯 Para subir de categoría, eje VENTAS / IMPACTO ABSOLUTO (H). Acción: metas semanales + activación comercial + seguimiento del asesor. ΔR aprox: 2,2</v>
      </c>
      <c r="AJ609" s="26">
        <f>_xlfn.LET(_xlpm.piso,AF609,_xlpm.corte,AE609,_xlpm.prog,IF(_xlpm.corte&lt;=_xlpm.piso,0,MAX(0,MIN(1,(U609-_xlpm.piso)/(_xlpm.corte-_xlpm.piso)))),_xlpm.orden,{"DIAMANTE";"PLATINO";"ORO";"PLATA";"BRONCE";"CERRADO"},_xlpm.act,IFERROR(MATCH(V609,_xlpm.orden,0),6),_xlpm.ant,IFERROR(MATCH(W609,_xlpm.orden,0),6),_xlpm.ajmov,IF(_xlpm.act&lt;_xlpm.ant,0.08,IF(_xlpm.act&gt;_xlpm.ant,-0.08,0)),_xlpm.ajcli,IF(T609&lt;0.95,-0.06,0),_xlpm.prob,MAX(0,MIN(1,_xlpm.prog+_xlpm.ajmov+_xlpm.ajcli)),IF(OR(V609="DIAMANTE",V609="CERRADO"),0,ROUND(_xlpm.prob,2)))</f>
        <v>0.82</v>
      </c>
      <c r="AK609" t="str">
        <f t="shared" si="228"/>
        <v>Faltan 2,2 puntos base para subir a la siguiente categoría</v>
      </c>
      <c r="AL609" t="str">
        <f t="shared" si="229"/>
        <v>Margen de seguridad: 7,1 puntos</v>
      </c>
      <c r="AM609">
        <f t="shared" si="230"/>
        <v>0.16</v>
      </c>
      <c r="AN609" t="str">
        <f t="shared" si="231"/>
        <v>PRIORIDAD BAJA – control normal</v>
      </c>
      <c r="AO609">
        <f t="shared" si="232"/>
        <v>11.48913081027459</v>
      </c>
      <c r="AP609">
        <f t="shared" si="233"/>
        <v>0.69501102961144889</v>
      </c>
      <c r="AQ609">
        <f t="shared" si="234"/>
        <v>2.2999999999987249E-3</v>
      </c>
      <c r="AR609">
        <f t="shared" si="235"/>
        <v>9.0849999999999991</v>
      </c>
      <c r="AS609">
        <f t="shared" si="236"/>
        <v>0</v>
      </c>
      <c r="AT609" t="str">
        <f t="shared" si="237"/>
        <v>VENTAS</v>
      </c>
      <c r="AU609">
        <f t="shared" si="238"/>
        <v>11.48913081027459</v>
      </c>
      <c r="AV609" t="str">
        <f t="shared" si="239"/>
        <v>Mayor retorno probable: VENTAS (+11,5 puntos finales potenciales).</v>
      </c>
    </row>
    <row r="610" spans="1:48" x14ac:dyDescent="0.3">
      <c r="A610" s="5">
        <v>51010311</v>
      </c>
      <c r="B610" s="5" t="str">
        <f>IFERROR(VLOOKUP(A610,VENTAS!$A$2:$B$1194,2,0),"")</f>
        <v>ROBERTS</v>
      </c>
      <c r="C610" s="5">
        <f>IFERROR(INDEX(VENTAS!$C$2:$E$1194,MATCH(A610,VENTAS!$A$2:$A$1194,0),MATCH(PARAMS_MODELO!$B$2,{"Q1","Q2","Q3"},0)),0)</f>
        <v>56441831.82</v>
      </c>
      <c r="D610" s="5">
        <f>IFERROR(INDEX(VENTAS!$F$2:$H$1194,MATCH(A610,VENTAS!$A$2:$A$1194,0),MATCH(PARAMS_MODELO!$B$2,{"Q1","Q2","Q3"},0)),0)</f>
        <v>66644390</v>
      </c>
      <c r="E610" s="8">
        <f t="shared" si="216"/>
        <v>0.18076235038822319</v>
      </c>
      <c r="F610" s="12">
        <f>IF(E610&lt;=PARAMS_MODELO!$B$15,0,IF(E610&gt;=PARAMS_MODELO!$B$17,100,100*MIN(1,(E610-PARAMS_MODELO!$B$15)/(PARAMS_MODELO!$B$16-PARAMS_MODELO!$B$15))))*PARAMS_MODELO!$B$7</f>
        <v>35</v>
      </c>
      <c r="G610" s="5">
        <f t="shared" si="217"/>
        <v>10202558.18</v>
      </c>
      <c r="H610" s="5">
        <f>(PARAMS_MODELO!$B$20*(MAX(0,MIN(3,E610))/3)+PARAMS_MODELO!$B$21*(IFERROR(LN(1+MAX(0,G610))/LN(1+MAX(0,MAX($G$2:$G$1194))),0)))*100*PARAMS_MODELO!$B$8</f>
        <v>4.415675686122202</v>
      </c>
      <c r="I610" s="8">
        <f>E610-PARAMS_MODELO!$B$5</f>
        <v>3.1995150126966632E-3</v>
      </c>
      <c r="J610" s="5">
        <f>IF(I610&lt;=PARAMS_MODELO!$B$18,0,IF(I610&gt;=PARAMS_MODELO!$B$19,100,100*(I610-PARAMS_MODELO!$B$18)/(PARAMS_MODELO!$B$19-PARAMS_MODELO!$B$18)))*PARAMS_MODELO!$B$9</f>
        <v>7.9799272519044981</v>
      </c>
      <c r="K610" s="5">
        <f>IFERROR(CHOOSE(MATCH(PARAMS_MODELO!$B$2,{"Q1","Q2","Q3"},0),LOTO!$D610,LOTO!$F610,LOTO!$H610),0)</f>
        <v>3200000</v>
      </c>
      <c r="L610" s="8">
        <f t="shared" si="218"/>
        <v>4.8016044561290154E-2</v>
      </c>
      <c r="M610" s="5">
        <f>MIN(100,IF(PARAMS_MODELO!$B$23=0,0,100*L610/PARAMS_MODELO!$B$23))*PARAMS_MODELO!$B$10</f>
        <v>14.404813368387044</v>
      </c>
      <c r="N610" s="5">
        <f>IFERROR(VLOOKUP(A610,COMPLIANCE!$A$2:$F$1996,6,0),100)</f>
        <v>100</v>
      </c>
      <c r="O610" s="5">
        <f>N610*PARAMS_MODELO!$B$11</f>
        <v>10</v>
      </c>
      <c r="P610" s="5">
        <f>IFERROR(VLOOKUP(A610,DIGITAL!$A$2:$J$2000,7,0),100)</f>
        <v>59</v>
      </c>
      <c r="Q610" s="5">
        <f>IFERROR(P610,0)*PARAMS_MODELO!$B$12</f>
        <v>5.9</v>
      </c>
      <c r="R610">
        <f t="shared" si="219"/>
        <v>77.700416306413757</v>
      </c>
      <c r="S610" s="5" t="str">
        <f>IFERROR(VLOOKUP(A610,CLIENTE!$A$2:$N$2000,13,0),1)</f>
        <v>Regular</v>
      </c>
      <c r="T610" s="5">
        <f>IFERROR(VLOOKUP(A610,CLIENTE!$A$2:$N$2000,14,0),1)</f>
        <v>1</v>
      </c>
      <c r="U610" s="5">
        <f t="shared" si="220"/>
        <v>77.700416306413757</v>
      </c>
      <c r="V610" s="5" t="str">
        <f>IF(U610&gt;=MAX(_xlfn.PERCENTILE.INC($U$2:$U$1194,PARAMS_MODELO!$B$50),PARAMS_MODELO!$B$45),"DIAMANTE",IF(U610&gt;=MAX(_xlfn.PERCENTILE.INC($U$2:$U$1194,PARAMS_MODELO!$B$51),PARAMS_MODELO!$B$46),"PLATINO",IF(U610&gt;=MAX(_xlfn.PERCENTILE.INC($U$2:$U$1194,PARAMS_MODELO!$B$52),PARAMS_MODELO!$B$47),"ORO",IF(U610&gt;=MAX(_xlfn.PERCENTILE.INC($U$2:$U$1194,PARAMS_MODELO!$B$53),PARAMS_MODELO!$B$48),"PLATA",IF(U610&gt;=1,"BRONCE","CERRADO")))))</f>
        <v>ORO</v>
      </c>
      <c r="W610" s="5" t="str" cm="1">
        <f t="array" ref="W610">_xlfn.XLOOKUP(1, (HIST_SCORE!$B:$B=PARAMS_MODELO!$B$4) * (HIST_SCORE!$C:$C=A610), HIST_SCORE!$E:$E, "No encontrado")</f>
        <v>ORO</v>
      </c>
      <c r="X610" s="5" t="str">
        <f>_xlfn.LET(_xlpm.act,MATCH(V610,{"DIAMANTE";"PLATINO";"ORO";"PLATA";"BRONCE";"CERRADO"},0),_xlpm.ant,MATCH(W610,{"DIAMANTE";"PLATINO";"ORO";"PLATA";"BRONCE";"CERRADO"},0),IF(_xlpm.act&lt;_xlpm.ant,"Mejora ↑",IF(_xlpm.act&gt;_xlpm.ant,"Baja ↓","Estable →")))</f>
        <v>Estable →</v>
      </c>
      <c r="Y610" s="5">
        <f>IFERROR(U610-SUMIFS(HIST_SCORE!$D:$D,HIST_SCORE!$B:$B,PARAMS_MODELO!$B$4,HIST_SCORE!$C:$C,$A610),"")</f>
        <v>9.0174775321712275</v>
      </c>
      <c r="Z610" s="5" t="str">
        <f t="shared" si="221"/>
        <v>↑ Mejora</v>
      </c>
      <c r="AA610" s="5">
        <f t="shared" si="222"/>
        <v>454</v>
      </c>
      <c r="AB610" s="5">
        <f>IFERROR(SUMIFS(HIST_SCORE!$F:$F,HIST_SCORE!$B:$B,PARAMS_MODELO!$B$4,HIST_SCORE!$C:$C,$A610),"")</f>
        <v>553</v>
      </c>
      <c r="AC610" s="5">
        <f t="shared" si="223"/>
        <v>99</v>
      </c>
      <c r="AD610" t="str">
        <f t="shared" si="225"/>
        <v/>
      </c>
      <c r="AE6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610="CERRADO",1,IF(V610="BRONCE",_xlpm.cPl,IF(V610="PLATA",_xlpm.cO,IF(V610="ORO",_xlpm.cP,IF(V610="PLATINO",_xlpm.cD,999))))))</f>
        <v>86.439123873763251</v>
      </c>
      <c r="AF6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610="CERRADO",0,IF(V610="BRONCE",1,IF(V610="PLATA",_xlpm.cPl,IF(V610="ORO",_xlpm.cO,IF(V610="PLATINO",_xlpm.cP,_xlpm.cD))))))</f>
        <v>63.199193273331495</v>
      </c>
      <c r="AG610">
        <f t="shared" si="226"/>
        <v>8.7387075673494934</v>
      </c>
      <c r="AH610" t="str">
        <f t="shared" si="227"/>
        <v>VENTAS</v>
      </c>
      <c r="AI610" t="str">
        <f t="shared" si="224"/>
        <v>🎯 Para subir de categoría, eje VENTAS / IMPACTO ABSOLUTO (H). Acción: metas semanales + activación comercial + seguimiento del asesor. ΔR aprox: 8,7</v>
      </c>
      <c r="AJ610" s="26">
        <f>_xlfn.LET(_xlpm.piso,AF610,_xlpm.corte,AE610,_xlpm.prog,IF(_xlpm.corte&lt;=_xlpm.piso,0,MAX(0,MIN(1,(U610-_xlpm.piso)/(_xlpm.corte-_xlpm.piso)))),_xlpm.orden,{"DIAMANTE";"PLATINO";"ORO";"PLATA";"BRONCE";"CERRADO"},_xlpm.act,IFERROR(MATCH(V610,_xlpm.orden,0),6),_xlpm.ant,IFERROR(MATCH(W610,_xlpm.orden,0),6),_xlpm.ajmov,IF(_xlpm.act&lt;_xlpm.ant,0.08,IF(_xlpm.act&gt;_xlpm.ant,-0.08,0)),_xlpm.ajcli,IF(T610&lt;0.95,-0.06,0),_xlpm.prob,MAX(0,MIN(1,_xlpm.prog+_xlpm.ajmov+_xlpm.ajcli)),IF(OR(V610="DIAMANTE",V610="CERRADO"),0,ROUND(_xlpm.prob,2)))</f>
        <v>0.62</v>
      </c>
      <c r="AK610" t="str">
        <f t="shared" si="228"/>
        <v>Faltan 8,7 puntos base para subir a la siguiente categoría</v>
      </c>
      <c r="AL610" t="str">
        <f t="shared" si="229"/>
        <v>Margen de seguridad: 14,5 puntos</v>
      </c>
      <c r="AM610">
        <f t="shared" si="230"/>
        <v>0.5</v>
      </c>
      <c r="AN610" t="str">
        <f t="shared" si="231"/>
        <v>PRIORIDAD MEDIA – seguimiento del asesor</v>
      </c>
      <c r="AO610">
        <f t="shared" si="232"/>
        <v>17.466966337268886</v>
      </c>
      <c r="AP610">
        <f t="shared" si="233"/>
        <v>0.59518663161295571</v>
      </c>
      <c r="AQ610">
        <f t="shared" si="234"/>
        <v>0</v>
      </c>
      <c r="AR610">
        <f t="shared" si="235"/>
        <v>4.0999999999999996</v>
      </c>
      <c r="AS610">
        <f t="shared" si="236"/>
        <v>0</v>
      </c>
      <c r="AT610" t="str">
        <f t="shared" si="237"/>
        <v>VENTAS</v>
      </c>
      <c r="AU610">
        <f t="shared" si="238"/>
        <v>17.466966337268886</v>
      </c>
      <c r="AV610" t="str">
        <f t="shared" si="239"/>
        <v>Mayor retorno probable: VENTAS (+17,5 puntos finales potenciales).</v>
      </c>
    </row>
    <row r="611" spans="1:48" x14ac:dyDescent="0.3">
      <c r="A611" s="5">
        <v>51036638</v>
      </c>
      <c r="B611" s="5" t="str">
        <f>IFERROR(VLOOKUP(A611,VENTAS!$A$2:$B$1194,2,0),"")</f>
        <v>BELUZZO</v>
      </c>
      <c r="C611" s="5">
        <f>IFERROR(INDEX(VENTAS!$C$2:$E$1194,MATCH(A611,VENTAS!$A$2:$A$1194,0),MATCH(PARAMS_MODELO!$B$2,{"Q1","Q2","Q3"},0)),0)</f>
        <v>64018950.450000003</v>
      </c>
      <c r="D611" s="5">
        <f>IFERROR(INDEX(VENTAS!$F$2:$H$1194,MATCH(A611,VENTAS!$A$2:$A$1194,0),MATCH(PARAMS_MODELO!$B$2,{"Q1","Q2","Q3"},0)),0)</f>
        <v>66633019</v>
      </c>
      <c r="E611" s="8">
        <f t="shared" si="216"/>
        <v>4.0832730490351299E-2</v>
      </c>
      <c r="F611" s="12">
        <f>IF(E611&lt;=PARAMS_MODELO!$B$15,0,IF(E611&gt;=PARAMS_MODELO!$B$17,100,100*MIN(1,(E611-PARAMS_MODELO!$B$15)/(PARAMS_MODELO!$B$16-PARAMS_MODELO!$B$15))))*PARAMS_MODELO!$B$7</f>
        <v>14.291455671622952</v>
      </c>
      <c r="G611" s="5">
        <f t="shared" si="217"/>
        <v>2614068.549999997</v>
      </c>
      <c r="H611" s="5">
        <f>(PARAMS_MODELO!$B$20*(MAX(0,MIN(3,E611))/3)+PARAMS_MODELO!$B$21*(IFERROR(LN(1+MAX(0,G611))/LN(1+MAX(0,MAX($G$2:$G$1194))),0)))*100*PARAMS_MODELO!$B$8</f>
        <v>3.6067134076982588</v>
      </c>
      <c r="I611" s="8">
        <f>E611-PARAMS_MODELO!$B$5</f>
        <v>-0.13673010488517523</v>
      </c>
      <c r="J611" s="5">
        <f>IF(I611&lt;=PARAMS_MODELO!$B$18,0,IF(I611&gt;=PARAMS_MODELO!$B$19,100,100*(I611-PARAMS_MODELO!$B$18)/(PARAMS_MODELO!$B$19-PARAMS_MODELO!$B$18)))*PARAMS_MODELO!$B$9</f>
        <v>0</v>
      </c>
      <c r="K611" s="5">
        <f>IFERROR(CHOOSE(MATCH(PARAMS_MODELO!$B$2,{"Q1","Q2","Q3"},0),LOTO!$D611,LOTO!$F611,LOTO!$H611),0)</f>
        <v>3200000</v>
      </c>
      <c r="L611" s="8">
        <f t="shared" si="218"/>
        <v>4.8024238553561562E-2</v>
      </c>
      <c r="M611" s="5">
        <f>MIN(100,IF(PARAMS_MODELO!$B$23=0,0,100*L611/PARAMS_MODELO!$B$23))*PARAMS_MODELO!$B$10</f>
        <v>14.407271566068465</v>
      </c>
      <c r="N611" s="5">
        <f>IFERROR(VLOOKUP(A611,COMPLIANCE!$A$2:$F$1996,6,0),100)</f>
        <v>100</v>
      </c>
      <c r="O611" s="5">
        <f>N611*PARAMS_MODELO!$B$11</f>
        <v>10</v>
      </c>
      <c r="P611" s="5">
        <f>IFERROR(VLOOKUP(A611,DIGITAL!$A$2:$J$2000,7,0),100)</f>
        <v>11</v>
      </c>
      <c r="Q611" s="5">
        <f>IFERROR(P611,0)*PARAMS_MODELO!$B$12</f>
        <v>1.1000000000000001</v>
      </c>
      <c r="R611">
        <f t="shared" si="219"/>
        <v>43.405440645389675</v>
      </c>
      <c r="S611" s="5" t="str">
        <f>IFERROR(VLOOKUP(A611,CLIENTE!$A$2:$N$2000,13,0),1)</f>
        <v>Malo</v>
      </c>
      <c r="T611" s="5">
        <f>IFERROR(VLOOKUP(A611,CLIENTE!$A$2:$N$2000,14,0),1)</f>
        <v>0.7</v>
      </c>
      <c r="U611" s="5">
        <f t="shared" si="220"/>
        <v>30.383808451772769</v>
      </c>
      <c r="V611" s="5" t="str">
        <f>IF(U611&gt;=MAX(_xlfn.PERCENTILE.INC($U$2:$U$1194,PARAMS_MODELO!$B$50),PARAMS_MODELO!$B$45),"DIAMANTE",IF(U611&gt;=MAX(_xlfn.PERCENTILE.INC($U$2:$U$1194,PARAMS_MODELO!$B$51),PARAMS_MODELO!$B$46),"PLATINO",IF(U611&gt;=MAX(_xlfn.PERCENTILE.INC($U$2:$U$1194,PARAMS_MODELO!$B$52),PARAMS_MODELO!$B$47),"ORO",IF(U611&gt;=MAX(_xlfn.PERCENTILE.INC($U$2:$U$1194,PARAMS_MODELO!$B$53),PARAMS_MODELO!$B$48),"PLATA",IF(U611&gt;=1,"BRONCE","CERRADO")))))</f>
        <v>PLATA</v>
      </c>
      <c r="W611" s="5" t="str" cm="1">
        <f t="array" ref="W611">_xlfn.XLOOKUP(1, (HIST_SCORE!$B:$B=PARAMS_MODELO!$B$4) * (HIST_SCORE!$C:$C=A611), HIST_SCORE!$E:$E, "No encontrado")</f>
        <v>PLATA</v>
      </c>
      <c r="X611" s="5" t="str">
        <f>_xlfn.LET(_xlpm.act,MATCH(V611,{"DIAMANTE";"PLATINO";"ORO";"PLATA";"BRONCE";"CERRADO"},0),_xlpm.ant,MATCH(W611,{"DIAMANTE";"PLATINO";"ORO";"PLATA";"BRONCE";"CERRADO"},0),IF(_xlpm.act&lt;_xlpm.ant,"Mejora ↑",IF(_xlpm.act&gt;_xlpm.ant,"Baja ↓","Estable →")))</f>
        <v>Estable →</v>
      </c>
      <c r="Y611" s="5">
        <f>IFERROR(U611-SUMIFS(HIST_SCORE!$D:$D,HIST_SCORE!$B:$B,PARAMS_MODELO!$B$4,HIST_SCORE!$C:$C,$A611),"")</f>
        <v>-20.129347316416112</v>
      </c>
      <c r="Z611" s="5" t="str">
        <f t="shared" si="221"/>
        <v>↓ Baja</v>
      </c>
      <c r="AA611" s="5">
        <f t="shared" si="222"/>
        <v>858</v>
      </c>
      <c r="AB611" s="5">
        <f>IFERROR(SUMIFS(HIST_SCORE!$F:$F,HIST_SCORE!$B:$B,PARAMS_MODELO!$B$4,HIST_SCORE!$C:$C,$A611),"")</f>
        <v>767</v>
      </c>
      <c r="AC611" s="5">
        <f t="shared" si="223"/>
        <v>-91</v>
      </c>
      <c r="AD611" t="str">
        <f t="shared" si="225"/>
        <v/>
      </c>
      <c r="AE6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611="CERRADO",1,IF(V611="BRONCE",_xlpm.cPl,IF(V611="PLATA",_xlpm.cO,IF(V611="ORO",_xlpm.cP,IF(V611="PLATINO",_xlpm.cD,999))))))</f>
        <v>63.199193273331495</v>
      </c>
      <c r="AF6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611="CERRADO",0,IF(V611="BRONCE",1,IF(V611="PLATA",_xlpm.cPl,IF(V611="ORO",_xlpm.cO,IF(V611="PLATINO",_xlpm.cP,_xlpm.cD))))))</f>
        <v>24.506573482968111</v>
      </c>
      <c r="AG611">
        <f t="shared" si="226"/>
        <v>46.879121173655321</v>
      </c>
      <c r="AH611" t="str">
        <f t="shared" si="227"/>
        <v>VENTAS</v>
      </c>
      <c r="AI611" t="str">
        <f t="shared" si="224"/>
        <v>🎯 Para subir de categoría, eje VENTAS / DIFERENCIAL vs LOTBA (J). Acción: metas semanales + activación comercial + seguimiento del asesor. ΔR aprox: 46,9</v>
      </c>
      <c r="AJ611" s="26">
        <f>_xlfn.LET(_xlpm.piso,AF611,_xlpm.corte,AE611,_xlpm.prog,IF(_xlpm.corte&lt;=_xlpm.piso,0,MAX(0,MIN(1,(U611-_xlpm.piso)/(_xlpm.corte-_xlpm.piso)))),_xlpm.orden,{"DIAMANTE";"PLATINO";"ORO";"PLATA";"BRONCE";"CERRADO"},_xlpm.act,IFERROR(MATCH(V611,_xlpm.orden,0),6),_xlpm.ant,IFERROR(MATCH(W611,_xlpm.orden,0),6),_xlpm.ajmov,IF(_xlpm.act&lt;_xlpm.ant,0.08,IF(_xlpm.act&gt;_xlpm.ant,-0.08,0)),_xlpm.ajcli,IF(T611&lt;0.95,-0.06,0),_xlpm.prob,MAX(0,MIN(1,_xlpm.prog+_xlpm.ajmov+_xlpm.ajcli)),IF(OR(V611="DIAMANTE",V611="CERRADO"),0,ROUND(_xlpm.prob,2)))</f>
        <v>0.09</v>
      </c>
      <c r="AK611" t="str">
        <f t="shared" si="228"/>
        <v>Faltan 46,9 puntos base para subir a la siguiente categoría</v>
      </c>
      <c r="AL611" t="str">
        <f t="shared" si="229"/>
        <v>Margen de seguridad: 5,9 puntos</v>
      </c>
      <c r="AM611">
        <f t="shared" si="230"/>
        <v>0.96</v>
      </c>
      <c r="AN611" t="str">
        <f t="shared" si="231"/>
        <v>PRIORIDAD ALTA – requiere intervención inmediata</v>
      </c>
      <c r="AO611">
        <f t="shared" si="232"/>
        <v>32.87508013718206</v>
      </c>
      <c r="AP611">
        <f t="shared" si="233"/>
        <v>0.4149099037520747</v>
      </c>
      <c r="AQ611">
        <f t="shared" si="234"/>
        <v>0</v>
      </c>
      <c r="AR611">
        <f t="shared" si="235"/>
        <v>6.2299999999999995</v>
      </c>
      <c r="AS611">
        <f t="shared" si="236"/>
        <v>13.021632193616904</v>
      </c>
      <c r="AT611" t="str">
        <f t="shared" si="237"/>
        <v>VENTAS</v>
      </c>
      <c r="AU611">
        <f t="shared" si="238"/>
        <v>32.87508013718206</v>
      </c>
      <c r="AV611" t="str">
        <f t="shared" si="239"/>
        <v>Mayor retorno probable: VENTAS (+32,9 puntos finales potenciales).</v>
      </c>
    </row>
    <row r="612" spans="1:48" x14ac:dyDescent="0.3">
      <c r="A612" s="5">
        <v>51033442</v>
      </c>
      <c r="B612" s="5" t="str">
        <f>IFERROR(VLOOKUP(A612,VENTAS!$A$2:$B$1194,2,0),"")</f>
        <v>METTLER</v>
      </c>
      <c r="C612" s="5">
        <f>IFERROR(INDEX(VENTAS!$C$2:$E$1194,MATCH(A612,VENTAS!$A$2:$A$1194,0),MATCH(PARAMS_MODELO!$B$2,{"Q1","Q2","Q3"},0)),0)</f>
        <v>36717622.600000001</v>
      </c>
      <c r="D612" s="5">
        <f>IFERROR(INDEX(VENTAS!$F$2:$H$1194,MATCH(A612,VENTAS!$A$2:$A$1194,0),MATCH(PARAMS_MODELO!$B$2,{"Q1","Q2","Q3"},0)),0)</f>
        <v>66549900</v>
      </c>
      <c r="E612" s="8">
        <f t="shared" si="216"/>
        <v>0.81247845823220577</v>
      </c>
      <c r="F612" s="12">
        <f>IF(E612&lt;=PARAMS_MODELO!$B$15,0,IF(E612&gt;=PARAMS_MODELO!$B$17,100,100*MIN(1,(E612-PARAMS_MODELO!$B$15)/(PARAMS_MODELO!$B$16-PARAMS_MODELO!$B$15))))*PARAMS_MODELO!$B$7</f>
        <v>35</v>
      </c>
      <c r="G612" s="5">
        <f t="shared" si="217"/>
        <v>29832277.399999999</v>
      </c>
      <c r="H612" s="5">
        <f>(PARAMS_MODELO!$B$20*(MAX(0,MIN(3,E612))/3)+PARAMS_MODELO!$B$21*(IFERROR(LN(1+MAX(0,G612))/LN(1+MAX(0,MAX($G$2:$G$1194))),0)))*100*PARAMS_MODELO!$B$8</f>
        <v>6.878197082078283</v>
      </c>
      <c r="I612" s="8">
        <f>E612-PARAMS_MODELO!$B$5</f>
        <v>0.63491562285667924</v>
      </c>
      <c r="J612" s="5">
        <f>IF(I612&lt;=PARAMS_MODELO!$B$18,0,IF(I612&gt;=PARAMS_MODELO!$B$19,100,100*(I612-PARAMS_MODELO!$B$18)/(PARAMS_MODELO!$B$19-PARAMS_MODELO!$B$18)))*PARAMS_MODELO!$B$9</f>
        <v>15</v>
      </c>
      <c r="K612" s="5">
        <f>IFERROR(CHOOSE(MATCH(PARAMS_MODELO!$B$2,{"Q1","Q2","Q3"},0),LOTO!$D612,LOTO!$F612,LOTO!$H612),0)</f>
        <v>3192500</v>
      </c>
      <c r="L612" s="8">
        <f t="shared" si="218"/>
        <v>4.7971522120994925E-2</v>
      </c>
      <c r="M612" s="5">
        <f>MIN(100,IF(PARAMS_MODELO!$B$23=0,0,100*L612/PARAMS_MODELO!$B$23))*PARAMS_MODELO!$B$10</f>
        <v>14.391456636298475</v>
      </c>
      <c r="N612" s="5">
        <f>IFERROR(VLOOKUP(A612,COMPLIANCE!$A$2:$F$1996,6,0),100)</f>
        <v>100</v>
      </c>
      <c r="O612" s="5">
        <f>N612*PARAMS_MODELO!$B$11</f>
        <v>10</v>
      </c>
      <c r="P612" s="5">
        <f>IFERROR(VLOOKUP(A612,DIGITAL!$A$2:$J$2000,7,0),100)</f>
        <v>27</v>
      </c>
      <c r="Q612" s="5">
        <f>IFERROR(P612,0)*PARAMS_MODELO!$B$12</f>
        <v>2.7</v>
      </c>
      <c r="R612">
        <f t="shared" si="219"/>
        <v>83.969653718376762</v>
      </c>
      <c r="S612" s="5" t="str">
        <f>IFERROR(VLOOKUP(A612,CLIENTE!$A$2:$N$2000,13,0),1)</f>
        <v>Regular</v>
      </c>
      <c r="T612" s="5">
        <f>IFERROR(VLOOKUP(A612,CLIENTE!$A$2:$N$2000,14,0),1)</f>
        <v>1</v>
      </c>
      <c r="U612" s="5">
        <f t="shared" si="220"/>
        <v>83.969653718376762</v>
      </c>
      <c r="V612" s="5" t="str">
        <f>IF(U612&gt;=MAX(_xlfn.PERCENTILE.INC($U$2:$U$1194,PARAMS_MODELO!$B$50),PARAMS_MODELO!$B$45),"DIAMANTE",IF(U612&gt;=MAX(_xlfn.PERCENTILE.INC($U$2:$U$1194,PARAMS_MODELO!$B$51),PARAMS_MODELO!$B$46),"PLATINO",IF(U612&gt;=MAX(_xlfn.PERCENTILE.INC($U$2:$U$1194,PARAMS_MODELO!$B$52),PARAMS_MODELO!$B$47),"ORO",IF(U612&gt;=MAX(_xlfn.PERCENTILE.INC($U$2:$U$1194,PARAMS_MODELO!$B$53),PARAMS_MODELO!$B$48),"PLATA",IF(U612&gt;=1,"BRONCE","CERRADO")))))</f>
        <v>ORO</v>
      </c>
      <c r="W612" s="5" t="str" cm="1">
        <f t="array" ref="W612">_xlfn.XLOOKUP(1, (HIST_SCORE!$B:$B=PARAMS_MODELO!$B$4) * (HIST_SCORE!$C:$C=A612), HIST_SCORE!$E:$E, "No encontrado")</f>
        <v>ORO</v>
      </c>
      <c r="X612" s="5" t="str">
        <f>_xlfn.LET(_xlpm.act,MATCH(V612,{"DIAMANTE";"PLATINO";"ORO";"PLATA";"BRONCE";"CERRADO"},0),_xlpm.ant,MATCH(W612,{"DIAMANTE";"PLATINO";"ORO";"PLATA";"BRONCE";"CERRADO"},0),IF(_xlpm.act&lt;_xlpm.ant,"Mejora ↑",IF(_xlpm.act&gt;_xlpm.ant,"Baja ↓","Estable →")))</f>
        <v>Estable →</v>
      </c>
      <c r="Y612" s="5">
        <f>IFERROR(U612-SUMIFS(HIST_SCORE!$D:$D,HIST_SCORE!$B:$B,PARAMS_MODELO!$B$4,HIST_SCORE!$C:$C,$A612),"")</f>
        <v>-1.5408014705511732</v>
      </c>
      <c r="Z612" s="5" t="str">
        <f t="shared" si="221"/>
        <v>→ Estable</v>
      </c>
      <c r="AA612" s="5">
        <f t="shared" si="222"/>
        <v>323</v>
      </c>
      <c r="AB612" s="5">
        <f>IFERROR(SUMIFS(HIST_SCORE!$F:$F,HIST_SCORE!$B:$B,PARAMS_MODELO!$B$4,HIST_SCORE!$C:$C,$A612),"")</f>
        <v>254</v>
      </c>
      <c r="AC612" s="5">
        <f t="shared" si="223"/>
        <v>-69</v>
      </c>
      <c r="AD612" t="str">
        <f t="shared" si="225"/>
        <v>Sostener base y reforzar mix</v>
      </c>
      <c r="AE6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612="CERRADO",1,IF(V612="BRONCE",_xlpm.cPl,IF(V612="PLATA",_xlpm.cO,IF(V612="ORO",_xlpm.cP,IF(V612="PLATINO",_xlpm.cD,999))))))</f>
        <v>86.439123873763251</v>
      </c>
      <c r="AF6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612="CERRADO",0,IF(V612="BRONCE",1,IF(V612="PLATA",_xlpm.cPl,IF(V612="ORO",_xlpm.cO,IF(V612="PLATINO",_xlpm.cP,_xlpm.cD))))))</f>
        <v>63.199193273331495</v>
      </c>
      <c r="AG612">
        <f t="shared" si="226"/>
        <v>2.4694701553864888</v>
      </c>
      <c r="AH612" t="str">
        <f t="shared" si="227"/>
        <v>VENTAS</v>
      </c>
      <c r="AI612" t="str">
        <f t="shared" si="224"/>
        <v>🎯 Para subir de categoría, eje VENTAS / IMPACTO ABSOLUTO (H). Acción: metas semanales + activación comercial + seguimiento del asesor. ΔR aprox: 2,5</v>
      </c>
      <c r="AJ612" s="26">
        <f>_xlfn.LET(_xlpm.piso,AF612,_xlpm.corte,AE612,_xlpm.prog,IF(_xlpm.corte&lt;=_xlpm.piso,0,MAX(0,MIN(1,(U612-_xlpm.piso)/(_xlpm.corte-_xlpm.piso)))),_xlpm.orden,{"DIAMANTE";"PLATINO";"ORO";"PLATA";"BRONCE";"CERRADO"},_xlpm.act,IFERROR(MATCH(V612,_xlpm.orden,0),6),_xlpm.ant,IFERROR(MATCH(W612,_xlpm.orden,0),6),_xlpm.ajmov,IF(_xlpm.act&lt;_xlpm.ant,0.08,IF(_xlpm.act&gt;_xlpm.ant,-0.08,0)),_xlpm.ajcli,IF(T612&lt;0.95,-0.06,0),_xlpm.prob,MAX(0,MIN(1,_xlpm.prog+_xlpm.ajmov+_xlpm.ajcli)),IF(OR(V612="DIAMANTE",V612="CERRADO"),0,ROUND(_xlpm.prob,2)))</f>
        <v>0.89</v>
      </c>
      <c r="AK612" t="str">
        <f t="shared" si="228"/>
        <v>Faltan 2,5 puntos base para subir a la siguiente categoría</v>
      </c>
      <c r="AL612" t="str">
        <f t="shared" si="229"/>
        <v>Margen de seguridad: 20,8 puntos</v>
      </c>
      <c r="AM612">
        <f t="shared" si="230"/>
        <v>0.14000000000000001</v>
      </c>
      <c r="AN612" t="str">
        <f t="shared" si="231"/>
        <v>PRIORIDAD BAJA – control normal</v>
      </c>
      <c r="AO612">
        <f t="shared" si="232"/>
        <v>7.984372193217304</v>
      </c>
      <c r="AP612">
        <f t="shared" si="233"/>
        <v>0.60854336370152495</v>
      </c>
      <c r="AQ612">
        <f t="shared" si="234"/>
        <v>0</v>
      </c>
      <c r="AR612">
        <f t="shared" si="235"/>
        <v>7.3</v>
      </c>
      <c r="AS612">
        <f t="shared" si="236"/>
        <v>0</v>
      </c>
      <c r="AT612" t="str">
        <f t="shared" si="237"/>
        <v>VENTAS</v>
      </c>
      <c r="AU612">
        <f t="shared" si="238"/>
        <v>7.984372193217304</v>
      </c>
      <c r="AV612" t="str">
        <f t="shared" si="239"/>
        <v>Mayor retorno probable: VENTAS (+8,0 puntos finales potenciales).</v>
      </c>
    </row>
    <row r="613" spans="1:48" x14ac:dyDescent="0.3">
      <c r="A613" s="5">
        <v>51014774</v>
      </c>
      <c r="B613" s="5" t="str">
        <f>IFERROR(VLOOKUP(A613,VENTAS!$A$2:$B$1194,2,0),"")</f>
        <v>PUGH</v>
      </c>
      <c r="C613" s="5">
        <f>IFERROR(INDEX(VENTAS!$C$2:$E$1194,MATCH(A613,VENTAS!$A$2:$A$1194,0),MATCH(PARAMS_MODELO!$B$2,{"Q1","Q2","Q3"},0)),0)</f>
        <v>52851713.500000007</v>
      </c>
      <c r="D613" s="5">
        <f>IFERROR(INDEX(VENTAS!$F$2:$H$1194,MATCH(A613,VENTAS!$A$2:$A$1194,0),MATCH(PARAMS_MODELO!$B$2,{"Q1","Q2","Q3"},0)),0)</f>
        <v>66538265</v>
      </c>
      <c r="E613" s="8">
        <f t="shared" si="216"/>
        <v>0.25896135798889452</v>
      </c>
      <c r="F613" s="12">
        <f>IF(E613&lt;=PARAMS_MODELO!$B$15,0,IF(E613&gt;=PARAMS_MODELO!$B$17,100,100*MIN(1,(E613-PARAMS_MODELO!$B$15)/(PARAMS_MODELO!$B$16-PARAMS_MODELO!$B$15))))*PARAMS_MODELO!$B$7</f>
        <v>35</v>
      </c>
      <c r="G613" s="5">
        <f t="shared" si="217"/>
        <v>13686551.499999993</v>
      </c>
      <c r="H613" s="5">
        <f>(PARAMS_MODELO!$B$20*(MAX(0,MIN(3,E613))/3)+PARAMS_MODELO!$B$21*(IFERROR(LN(1+MAX(0,G613))/LN(1+MAX(0,MAX($G$2:$G$1194))),0)))*100*PARAMS_MODELO!$B$8</f>
        <v>4.7582372191792865</v>
      </c>
      <c r="I613" s="8">
        <f>E613-PARAMS_MODELO!$B$5</f>
        <v>8.1398522613367996E-2</v>
      </c>
      <c r="J613" s="5">
        <f>IF(I613&lt;=PARAMS_MODELO!$B$18,0,IF(I613&gt;=PARAMS_MODELO!$B$19,100,100*(I613-PARAMS_MODELO!$B$18)/(PARAMS_MODELO!$B$19-PARAMS_MODELO!$B$18)))*PARAMS_MODELO!$B$9</f>
        <v>15</v>
      </c>
      <c r="K613" s="5">
        <f>IFERROR(CHOOSE(MATCH(PARAMS_MODELO!$B$2,{"Q1","Q2","Q3"},0),LOTO!$D613,LOTO!$F613,LOTO!$H613),0)</f>
        <v>3190000</v>
      </c>
      <c r="L613" s="8">
        <f t="shared" si="218"/>
        <v>4.7942338141819599E-2</v>
      </c>
      <c r="M613" s="5">
        <f>MIN(100,IF(PARAMS_MODELO!$B$23=0,0,100*L613/PARAMS_MODELO!$B$23))*PARAMS_MODELO!$B$10</f>
        <v>14.382701442545878</v>
      </c>
      <c r="N613" s="5">
        <f>IFERROR(VLOOKUP(A613,COMPLIANCE!$A$2:$F$1996,6,0),100)</f>
        <v>100</v>
      </c>
      <c r="O613" s="5">
        <f>N613*PARAMS_MODELO!$B$11</f>
        <v>10</v>
      </c>
      <c r="P613" s="5">
        <f>IFERROR(VLOOKUP(A613,DIGITAL!$A$2:$J$2000,7,0),100)</f>
        <v>14</v>
      </c>
      <c r="Q613" s="5">
        <f>IFERROR(P613,0)*PARAMS_MODELO!$B$12</f>
        <v>1.4000000000000001</v>
      </c>
      <c r="R613">
        <f t="shared" si="219"/>
        <v>80.540938661725164</v>
      </c>
      <c r="S613" s="5" t="str">
        <f>IFERROR(VLOOKUP(A613,CLIENTE!$A$2:$N$2000,13,0),1)</f>
        <v>Regular</v>
      </c>
      <c r="T613" s="5">
        <f>IFERROR(VLOOKUP(A613,CLIENTE!$A$2:$N$2000,14,0),1)</f>
        <v>1</v>
      </c>
      <c r="U613" s="5">
        <f t="shared" si="220"/>
        <v>80.540938661725164</v>
      </c>
      <c r="V613" s="5" t="str">
        <f>IF(U613&gt;=MAX(_xlfn.PERCENTILE.INC($U$2:$U$1194,PARAMS_MODELO!$B$50),PARAMS_MODELO!$B$45),"DIAMANTE",IF(U613&gt;=MAX(_xlfn.PERCENTILE.INC($U$2:$U$1194,PARAMS_MODELO!$B$51),PARAMS_MODELO!$B$46),"PLATINO",IF(U613&gt;=MAX(_xlfn.PERCENTILE.INC($U$2:$U$1194,PARAMS_MODELO!$B$52),PARAMS_MODELO!$B$47),"ORO",IF(U613&gt;=MAX(_xlfn.PERCENTILE.INC($U$2:$U$1194,PARAMS_MODELO!$B$53),PARAMS_MODELO!$B$48),"PLATA",IF(U613&gt;=1,"BRONCE","CERRADO")))))</f>
        <v>ORO</v>
      </c>
      <c r="W613" s="5" t="str" cm="1">
        <f t="array" ref="W613">_xlfn.XLOOKUP(1, (HIST_SCORE!$B:$B=PARAMS_MODELO!$B$4) * (HIST_SCORE!$C:$C=A613), HIST_SCORE!$E:$E, "No encontrado")</f>
        <v>ORO</v>
      </c>
      <c r="X613" s="5" t="str">
        <f>_xlfn.LET(_xlpm.act,MATCH(V613,{"DIAMANTE";"PLATINO";"ORO";"PLATA";"BRONCE";"CERRADO"},0),_xlpm.ant,MATCH(W613,{"DIAMANTE";"PLATINO";"ORO";"PLATA";"BRONCE";"CERRADO"},0),IF(_xlpm.act&lt;_xlpm.ant,"Mejora ↑",IF(_xlpm.act&gt;_xlpm.ant,"Baja ↓","Estable →")))</f>
        <v>Estable →</v>
      </c>
      <c r="Y613" s="5">
        <f>IFERROR(U613-SUMIFS(HIST_SCORE!$D:$D,HIST_SCORE!$B:$B,PARAMS_MODELO!$B$4,HIST_SCORE!$C:$C,$A613),"")</f>
        <v>0.26312046923283106</v>
      </c>
      <c r="Z613" s="5" t="str">
        <f t="shared" si="221"/>
        <v>→ Estable</v>
      </c>
      <c r="AA613" s="5">
        <f t="shared" si="222"/>
        <v>429</v>
      </c>
      <c r="AB613" s="5">
        <f>IFERROR(SUMIFS(HIST_SCORE!$F:$F,HIST_SCORE!$B:$B,PARAMS_MODELO!$B$4,HIST_SCORE!$C:$C,$A613),"")</f>
        <v>413</v>
      </c>
      <c r="AC613" s="5">
        <f t="shared" si="223"/>
        <v>-16</v>
      </c>
      <c r="AD613" t="str">
        <f t="shared" si="225"/>
        <v/>
      </c>
      <c r="AE6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613="CERRADO",1,IF(V613="BRONCE",_xlpm.cPl,IF(V613="PLATA",_xlpm.cO,IF(V613="ORO",_xlpm.cP,IF(V613="PLATINO",_xlpm.cD,999))))))</f>
        <v>86.439123873763251</v>
      </c>
      <c r="AF6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613="CERRADO",0,IF(V613="BRONCE",1,IF(V613="PLATA",_xlpm.cPl,IF(V613="ORO",_xlpm.cO,IF(V613="PLATINO",_xlpm.cP,_xlpm.cD))))))</f>
        <v>63.199193273331495</v>
      </c>
      <c r="AG613">
        <f t="shared" si="226"/>
        <v>5.8981852120380864</v>
      </c>
      <c r="AH613" t="str">
        <f t="shared" si="227"/>
        <v>VENTAS</v>
      </c>
      <c r="AI613" t="str">
        <f t="shared" si="224"/>
        <v>🎯 Para subir de categoría, eje VENTAS / IMPACTO ABSOLUTO (H). Acción: metas semanales + activación comercial + seguimiento del asesor. ΔR aprox: 5,9</v>
      </c>
      <c r="AJ613" s="26">
        <f>_xlfn.LET(_xlpm.piso,AF613,_xlpm.corte,AE613,_xlpm.prog,IF(_xlpm.corte&lt;=_xlpm.piso,0,MAX(0,MIN(1,(U613-_xlpm.piso)/(_xlpm.corte-_xlpm.piso)))),_xlpm.orden,{"DIAMANTE";"PLATINO";"ORO";"PLATA";"BRONCE";"CERRADO"},_xlpm.act,IFERROR(MATCH(V613,_xlpm.orden,0),6),_xlpm.ant,IFERROR(MATCH(W613,_xlpm.orden,0),6),_xlpm.ajmov,IF(_xlpm.act&lt;_xlpm.ant,0.08,IF(_xlpm.act&gt;_xlpm.ant,-0.08,0)),_xlpm.ajcli,IF(T613&lt;0.95,-0.06,0),_xlpm.prob,MAX(0,MIN(1,_xlpm.prog+_xlpm.ajmov+_xlpm.ajcli)),IF(OR(V613="DIAMANTE",V613="CERRADO"),0,ROUND(_xlpm.prob,2)))</f>
        <v>0.75</v>
      </c>
      <c r="AK613" t="str">
        <f t="shared" si="228"/>
        <v>Faltan 5,9 puntos base para subir a la siguiente categoría</v>
      </c>
      <c r="AL613" t="str">
        <f t="shared" si="229"/>
        <v>Margen de seguridad: 17,3 puntos</v>
      </c>
      <c r="AM613">
        <f t="shared" si="230"/>
        <v>0.34</v>
      </c>
      <c r="AN613" t="str">
        <f t="shared" si="231"/>
        <v>PRIORIDAD BAJA – control normal</v>
      </c>
      <c r="AO613">
        <f t="shared" si="232"/>
        <v>10.104332056116299</v>
      </c>
      <c r="AP613">
        <f t="shared" si="233"/>
        <v>0.61729855745412188</v>
      </c>
      <c r="AQ613">
        <f t="shared" si="234"/>
        <v>0</v>
      </c>
      <c r="AR613">
        <f t="shared" si="235"/>
        <v>8.6</v>
      </c>
      <c r="AS613">
        <f t="shared" si="236"/>
        <v>0</v>
      </c>
      <c r="AT613" t="str">
        <f t="shared" si="237"/>
        <v>VENTAS</v>
      </c>
      <c r="AU613">
        <f t="shared" si="238"/>
        <v>10.104332056116299</v>
      </c>
      <c r="AV613" t="str">
        <f t="shared" si="239"/>
        <v>Mayor retorno probable: VENTAS (+10,1 puntos finales potenciales).</v>
      </c>
    </row>
    <row r="614" spans="1:48" x14ac:dyDescent="0.3">
      <c r="A614" s="5">
        <v>51043847</v>
      </c>
      <c r="B614" s="5" t="str">
        <f>IFERROR(VLOOKUP(A614,VENTAS!$A$2:$B$1194,2,0),"")</f>
        <v>AYALA</v>
      </c>
      <c r="C614" s="5">
        <f>IFERROR(INDEX(VENTAS!$C$2:$E$1194,MATCH(A614,VENTAS!$A$2:$A$1194,0),MATCH(PARAMS_MODELO!$B$2,{"Q1","Q2","Q3"},0)),0)</f>
        <v>56492227.219999999</v>
      </c>
      <c r="D614" s="5">
        <f>IFERROR(INDEX(VENTAS!$F$2:$H$1194,MATCH(A614,VENTAS!$A$2:$A$1194,0),MATCH(PARAMS_MODELO!$B$2,{"Q1","Q2","Q3"},0)),0)</f>
        <v>66340504</v>
      </c>
      <c r="E614" s="8">
        <f t="shared" si="216"/>
        <v>0.17432976649420207</v>
      </c>
      <c r="F614" s="12">
        <f>IF(E614&lt;=PARAMS_MODELO!$B$15,0,IF(E614&gt;=PARAMS_MODELO!$B$17,100,100*MIN(1,(E614-PARAMS_MODELO!$B$15)/(PARAMS_MODELO!$B$16-PARAMS_MODELO!$B$15))))*PARAMS_MODELO!$B$7</f>
        <v>35</v>
      </c>
      <c r="G614" s="5">
        <f t="shared" si="217"/>
        <v>9848276.7800000012</v>
      </c>
      <c r="H614" s="5">
        <f>(PARAMS_MODELO!$B$20*(MAX(0,MIN(3,E614))/3)+PARAMS_MODELO!$B$21*(IFERROR(LN(1+MAX(0,G614))/LN(1+MAX(0,MAX($G$2:$G$1194))),0)))*100*PARAMS_MODELO!$B$8</f>
        <v>4.3848769857961223</v>
      </c>
      <c r="I614" s="8">
        <f>E614-PARAMS_MODELO!$B$5</f>
        <v>-3.2330688813244635E-3</v>
      </c>
      <c r="J614" s="5">
        <f>IF(I614&lt;=PARAMS_MODELO!$B$18,0,IF(I614&gt;=PARAMS_MODELO!$B$19,100,100*(I614-PARAMS_MODELO!$B$18)/(PARAMS_MODELO!$B$19-PARAMS_MODELO!$B$18)))*PARAMS_MODELO!$B$9</f>
        <v>7.0150396678013305</v>
      </c>
      <c r="K614" s="5">
        <f>IFERROR(CHOOSE(MATCH(PARAMS_MODELO!$B$2,{"Q1","Q2","Q3"},0),LOTO!$D614,LOTO!$F614,LOTO!$H614),0)</f>
        <v>3182500</v>
      </c>
      <c r="L614" s="8">
        <f t="shared" si="218"/>
        <v>4.7972201115626133E-2</v>
      </c>
      <c r="M614" s="5">
        <f>MIN(100,IF(PARAMS_MODELO!$B$23=0,0,100*L614/PARAMS_MODELO!$B$23))*PARAMS_MODELO!$B$10</f>
        <v>14.39166033468784</v>
      </c>
      <c r="N614" s="5">
        <f>IFERROR(VLOOKUP(A614,COMPLIANCE!$A$2:$F$1996,6,0),100)</f>
        <v>99.98</v>
      </c>
      <c r="O614" s="5">
        <f>N614*PARAMS_MODELO!$B$11</f>
        <v>9.9980000000000011</v>
      </c>
      <c r="P614" s="5">
        <f>IFERROR(VLOOKUP(A614,DIGITAL!$A$2:$J$2000,7,0),100)</f>
        <v>29</v>
      </c>
      <c r="Q614" s="5">
        <f>IFERROR(P614,0)*PARAMS_MODELO!$B$12</f>
        <v>2.9000000000000004</v>
      </c>
      <c r="R614">
        <f t="shared" si="219"/>
        <v>73.68957698828531</v>
      </c>
      <c r="S614" s="5" t="str">
        <f>IFERROR(VLOOKUP(A614,CLIENTE!$A$2:$N$2000,13,0),1)</f>
        <v>Regular</v>
      </c>
      <c r="T614" s="5">
        <f>IFERROR(VLOOKUP(A614,CLIENTE!$A$2:$N$2000,14,0),1)</f>
        <v>1</v>
      </c>
      <c r="U614" s="5">
        <f t="shared" si="220"/>
        <v>73.68957698828531</v>
      </c>
      <c r="V614" s="5" t="str">
        <f>IF(U614&gt;=MAX(_xlfn.PERCENTILE.INC($U$2:$U$1194,PARAMS_MODELO!$B$50),PARAMS_MODELO!$B$45),"DIAMANTE",IF(U614&gt;=MAX(_xlfn.PERCENTILE.INC($U$2:$U$1194,PARAMS_MODELO!$B$51),PARAMS_MODELO!$B$46),"PLATINO",IF(U614&gt;=MAX(_xlfn.PERCENTILE.INC($U$2:$U$1194,PARAMS_MODELO!$B$52),PARAMS_MODELO!$B$47),"ORO",IF(U614&gt;=MAX(_xlfn.PERCENTILE.INC($U$2:$U$1194,PARAMS_MODELO!$B$53),PARAMS_MODELO!$B$48),"PLATA",IF(U614&gt;=1,"BRONCE","CERRADO")))))</f>
        <v>ORO</v>
      </c>
      <c r="W614" s="5" t="str" cm="1">
        <f t="array" ref="W614">_xlfn.XLOOKUP(1, (HIST_SCORE!$B:$B=PARAMS_MODELO!$B$4) * (HIST_SCORE!$C:$C=A614), HIST_SCORE!$E:$E, "No encontrado")</f>
        <v>ORO</v>
      </c>
      <c r="X614" s="5" t="str">
        <f>_xlfn.LET(_xlpm.act,MATCH(V614,{"DIAMANTE";"PLATINO";"ORO";"PLATA";"BRONCE";"CERRADO"},0),_xlpm.ant,MATCH(W614,{"DIAMANTE";"PLATINO";"ORO";"PLATA";"BRONCE";"CERRADO"},0),IF(_xlpm.act&lt;_xlpm.ant,"Mejora ↑",IF(_xlpm.act&gt;_xlpm.ant,"Baja ↓","Estable →")))</f>
        <v>Estable →</v>
      </c>
      <c r="Y614" s="5">
        <f>IFERROR(U614-SUMIFS(HIST_SCORE!$D:$D,HIST_SCORE!$B:$B,PARAMS_MODELO!$B$4,HIST_SCORE!$C:$C,$A614),"")</f>
        <v>2.935789193843874</v>
      </c>
      <c r="Z614" s="5" t="str">
        <f t="shared" si="221"/>
        <v>→ Estable</v>
      </c>
      <c r="AA614" s="5">
        <f t="shared" si="222"/>
        <v>482</v>
      </c>
      <c r="AB614" s="5">
        <f>IFERROR(SUMIFS(HIST_SCORE!$F:$F,HIST_SCORE!$B:$B,PARAMS_MODELO!$B$4,HIST_SCORE!$C:$C,$A614),"")</f>
        <v>533</v>
      </c>
      <c r="AC614" s="5">
        <f t="shared" si="223"/>
        <v>51</v>
      </c>
      <c r="AD614" t="str">
        <f t="shared" si="225"/>
        <v/>
      </c>
      <c r="AE6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614="CERRADO",1,IF(V614="BRONCE",_xlpm.cPl,IF(V614="PLATA",_xlpm.cO,IF(V614="ORO",_xlpm.cP,IF(V614="PLATINO",_xlpm.cD,999))))))</f>
        <v>86.439123873763251</v>
      </c>
      <c r="AF6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614="CERRADO",0,IF(V614="BRONCE",1,IF(V614="PLATA",_xlpm.cPl,IF(V614="ORO",_xlpm.cO,IF(V614="PLATINO",_xlpm.cP,_xlpm.cD))))))</f>
        <v>63.199193273331495</v>
      </c>
      <c r="AG614">
        <f t="shared" si="226"/>
        <v>12.74954688547794</v>
      </c>
      <c r="AH614" t="str">
        <f t="shared" si="227"/>
        <v>VENTAS</v>
      </c>
      <c r="AI614" t="str">
        <f t="shared" si="224"/>
        <v>🎯 Para subir de categoría, eje VENTAS / IMPACTO ABSOLUTO (H). Acción: metas semanales + activación comercial + seguimiento del asesor. ΔR aprox: 12,7</v>
      </c>
      <c r="AJ614" s="26">
        <f>_xlfn.LET(_xlpm.piso,AF614,_xlpm.corte,AE614,_xlpm.prog,IF(_xlpm.corte&lt;=_xlpm.piso,0,MAX(0,MIN(1,(U614-_xlpm.piso)/(_xlpm.corte-_xlpm.piso)))),_xlpm.orden,{"DIAMANTE";"PLATINO";"ORO";"PLATA";"BRONCE";"CERRADO"},_xlpm.act,IFERROR(MATCH(V614,_xlpm.orden,0),6),_xlpm.ant,IFERROR(MATCH(W614,_xlpm.orden,0),6),_xlpm.ajmov,IF(_xlpm.act&lt;_xlpm.ant,0.08,IF(_xlpm.act&gt;_xlpm.ant,-0.08,0)),_xlpm.ajcli,IF(T614&lt;0.95,-0.06,0),_xlpm.prob,MAX(0,MIN(1,_xlpm.prog+_xlpm.ajmov+_xlpm.ajcli)),IF(OR(V614="DIAMANTE",V614="CERRADO"),0,ROUND(_xlpm.prob,2)))</f>
        <v>0.45</v>
      </c>
      <c r="AK614" t="str">
        <f t="shared" si="228"/>
        <v>Faltan 12,7 puntos base para subir a la siguiente categoría</v>
      </c>
      <c r="AL614" t="str">
        <f t="shared" si="229"/>
        <v>Margen de seguridad: 10,5 puntos</v>
      </c>
      <c r="AM614">
        <f t="shared" si="230"/>
        <v>0.62</v>
      </c>
      <c r="AN614" t="str">
        <f t="shared" si="231"/>
        <v>PRIORIDAD MEDIA – seguimiento del asesor</v>
      </c>
      <c r="AO614">
        <f t="shared" si="232"/>
        <v>18.462652621698126</v>
      </c>
      <c r="AP614">
        <f t="shared" si="233"/>
        <v>0.60833966531215999</v>
      </c>
      <c r="AQ614">
        <f t="shared" si="234"/>
        <v>1.9999999999988916E-3</v>
      </c>
      <c r="AR614">
        <f t="shared" si="235"/>
        <v>7.1</v>
      </c>
      <c r="AS614">
        <f t="shared" si="236"/>
        <v>0</v>
      </c>
      <c r="AT614" t="str">
        <f t="shared" si="237"/>
        <v>VENTAS</v>
      </c>
      <c r="AU614">
        <f t="shared" si="238"/>
        <v>18.462652621698126</v>
      </c>
      <c r="AV614" t="str">
        <f t="shared" si="239"/>
        <v>Mayor retorno probable: VENTAS (+18,5 puntos finales potenciales).</v>
      </c>
    </row>
    <row r="615" spans="1:48" x14ac:dyDescent="0.3">
      <c r="A615" s="5">
        <v>51032381</v>
      </c>
      <c r="B615" s="5" t="str">
        <f>IFERROR(VLOOKUP(A615,VENTAS!$A$2:$B$1194,2,0),"")</f>
        <v>CICHETTO</v>
      </c>
      <c r="C615" s="5">
        <f>IFERROR(INDEX(VENTAS!$C$2:$E$1194,MATCH(A615,VENTAS!$A$2:$A$1194,0),MATCH(PARAMS_MODELO!$B$2,{"Q1","Q2","Q3"},0)),0)</f>
        <v>67850694.909999996</v>
      </c>
      <c r="D615" s="5">
        <f>IFERROR(INDEX(VENTAS!$F$2:$H$1194,MATCH(A615,VENTAS!$A$2:$A$1194,0),MATCH(PARAMS_MODELO!$B$2,{"Q1","Q2","Q3"},0)),0)</f>
        <v>66226675</v>
      </c>
      <c r="E615" s="8">
        <f t="shared" si="216"/>
        <v>-2.3935199369058302E-2</v>
      </c>
      <c r="F615" s="12">
        <f>IF(E615&lt;=PARAMS_MODELO!$B$15,0,IF(E615&gt;=PARAMS_MODELO!$B$17,100,100*MIN(1,(E615-PARAMS_MODELO!$B$15)/(PARAMS_MODELO!$B$16-PARAMS_MODELO!$B$15))))*PARAMS_MODELO!$B$7</f>
        <v>0</v>
      </c>
      <c r="G615" s="5">
        <f t="shared" si="217"/>
        <v>0</v>
      </c>
      <c r="H615" s="5">
        <f>(PARAMS_MODELO!$B$20*(MAX(0,MIN(3,E615))/3)+PARAMS_MODELO!$B$21*(IFERROR(LN(1+MAX(0,G615))/LN(1+MAX(0,MAX($G$2:$G$1194))),0)))*100*PARAMS_MODELO!$B$8</f>
        <v>0</v>
      </c>
      <c r="I615" s="8">
        <f>E615-PARAMS_MODELO!$B$5</f>
        <v>-0.20149803474458483</v>
      </c>
      <c r="J615" s="5">
        <f>IF(I615&lt;=PARAMS_MODELO!$B$18,0,IF(I615&gt;=PARAMS_MODELO!$B$19,100,100*(I615-PARAMS_MODELO!$B$18)/(PARAMS_MODELO!$B$19-PARAMS_MODELO!$B$18)))*PARAMS_MODELO!$B$9</f>
        <v>0</v>
      </c>
      <c r="K615" s="5">
        <f>IFERROR(CHOOSE(MATCH(PARAMS_MODELO!$B$2,{"Q1","Q2","Q3"},0),LOTO!$D615,LOTO!$F615,LOTO!$H615),0)</f>
        <v>3177500</v>
      </c>
      <c r="L615" s="8">
        <f t="shared" si="218"/>
        <v>4.7979156435076956E-2</v>
      </c>
      <c r="M615" s="5">
        <f>MIN(100,IF(PARAMS_MODELO!$B$23=0,0,100*L615/PARAMS_MODELO!$B$23))*PARAMS_MODELO!$B$10</f>
        <v>14.393746930523085</v>
      </c>
      <c r="N615" s="5">
        <f>IFERROR(VLOOKUP(A615,COMPLIANCE!$A$2:$F$1996,6,0),100)</f>
        <v>99.85</v>
      </c>
      <c r="O615" s="5">
        <f>N615*PARAMS_MODELO!$B$11</f>
        <v>9.9849999999999994</v>
      </c>
      <c r="P615" s="5">
        <f>IFERROR(VLOOKUP(A615,DIGITAL!$A$2:$J$2000,7,0),100)</f>
        <v>32</v>
      </c>
      <c r="Q615" s="5">
        <f>IFERROR(P615,0)*PARAMS_MODELO!$B$12</f>
        <v>3.2</v>
      </c>
      <c r="R615">
        <f t="shared" si="219"/>
        <v>27.578746930523085</v>
      </c>
      <c r="S615" s="5" t="str">
        <f>IFERROR(VLOOKUP(A615,CLIENTE!$A$2:$N$2000,13,0),1)</f>
        <v>Regular</v>
      </c>
      <c r="T615" s="5">
        <f>IFERROR(VLOOKUP(A615,CLIENTE!$A$2:$N$2000,14,0),1)</f>
        <v>1</v>
      </c>
      <c r="U615" s="5">
        <f t="shared" si="220"/>
        <v>27.578746930523085</v>
      </c>
      <c r="V615" s="5" t="str">
        <f>IF(U615&gt;=MAX(_xlfn.PERCENTILE.INC($U$2:$U$1194,PARAMS_MODELO!$B$50),PARAMS_MODELO!$B$45),"DIAMANTE",IF(U615&gt;=MAX(_xlfn.PERCENTILE.INC($U$2:$U$1194,PARAMS_MODELO!$B$51),PARAMS_MODELO!$B$46),"PLATINO",IF(U615&gt;=MAX(_xlfn.PERCENTILE.INC($U$2:$U$1194,PARAMS_MODELO!$B$52),PARAMS_MODELO!$B$47),"ORO",IF(U615&gt;=MAX(_xlfn.PERCENTILE.INC($U$2:$U$1194,PARAMS_MODELO!$B$53),PARAMS_MODELO!$B$48),"PLATA",IF(U615&gt;=1,"BRONCE","CERRADO")))))</f>
        <v>PLATA</v>
      </c>
      <c r="W615" s="5" t="str" cm="1">
        <f t="array" ref="W615">_xlfn.XLOOKUP(1, (HIST_SCORE!$B:$B=PARAMS_MODELO!$B$4) * (HIST_SCORE!$C:$C=A615), HIST_SCORE!$E:$E, "No encontrado")</f>
        <v>ORO</v>
      </c>
      <c r="X615" s="5" t="str">
        <f>_xlfn.LET(_xlpm.act,MATCH(V615,{"DIAMANTE";"PLATINO";"ORO";"PLATA";"BRONCE";"CERRADO"},0),_xlpm.ant,MATCH(W615,{"DIAMANTE";"PLATINO";"ORO";"PLATA";"BRONCE";"CERRADO"},0),IF(_xlpm.act&lt;_xlpm.ant,"Mejora ↑",IF(_xlpm.act&gt;_xlpm.ant,"Baja ↓","Estable →")))</f>
        <v>Baja ↓</v>
      </c>
      <c r="Y615" s="5">
        <f>IFERROR(U615-SUMIFS(HIST_SCORE!$D:$D,HIST_SCORE!$B:$B,PARAMS_MODELO!$B$4,HIST_SCORE!$C:$C,$A615),"")</f>
        <v>-49.108424122918237</v>
      </c>
      <c r="Z615" s="5" t="str">
        <f t="shared" si="221"/>
        <v>↓ Baja</v>
      </c>
      <c r="AA615" s="5">
        <f t="shared" si="222"/>
        <v>891</v>
      </c>
      <c r="AB615" s="5">
        <f>IFERROR(SUMIFS(HIST_SCORE!$F:$F,HIST_SCORE!$B:$B,PARAMS_MODELO!$B$4,HIST_SCORE!$C:$C,$A615),"")</f>
        <v>472</v>
      </c>
      <c r="AC615" s="5">
        <f t="shared" si="223"/>
        <v>-419</v>
      </c>
      <c r="AD615" t="str">
        <f t="shared" si="225"/>
        <v/>
      </c>
      <c r="AE6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615="CERRADO",1,IF(V615="BRONCE",_xlpm.cPl,IF(V615="PLATA",_xlpm.cO,IF(V615="ORO",_xlpm.cP,IF(V615="PLATINO",_xlpm.cD,999))))))</f>
        <v>63.199193273331495</v>
      </c>
      <c r="AF6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615="CERRADO",0,IF(V615="BRONCE",1,IF(V615="PLATA",_xlpm.cPl,IF(V615="ORO",_xlpm.cO,IF(V615="PLATINO",_xlpm.cP,_xlpm.cD))))))</f>
        <v>24.506573482968111</v>
      </c>
      <c r="AG615">
        <f t="shared" si="226"/>
        <v>35.620446342808407</v>
      </c>
      <c r="AH615" t="str">
        <f t="shared" si="227"/>
        <v>VENTAS</v>
      </c>
      <c r="AI615" t="str">
        <f t="shared" si="224"/>
        <v>🎯 Para subir de categoría, eje VENTAS / CRECIMIENTO PERSONAL (F). Acción: metas semanales + activación comercial + seguimiento del asesor. ΔR aprox: 35,6</v>
      </c>
      <c r="AJ615" s="26">
        <f>_xlfn.LET(_xlpm.piso,AF615,_xlpm.corte,AE615,_xlpm.prog,IF(_xlpm.corte&lt;=_xlpm.piso,0,MAX(0,MIN(1,(U615-_xlpm.piso)/(_xlpm.corte-_xlpm.piso)))),_xlpm.orden,{"DIAMANTE";"PLATINO";"ORO";"PLATA";"BRONCE";"CERRADO"},_xlpm.act,IFERROR(MATCH(V615,_xlpm.orden,0),6),_xlpm.ant,IFERROR(MATCH(W615,_xlpm.orden,0),6),_xlpm.ajmov,IF(_xlpm.act&lt;_xlpm.ant,0.08,IF(_xlpm.act&gt;_xlpm.ant,-0.08,0)),_xlpm.ajcli,IF(T615&lt;0.95,-0.06,0),_xlpm.prob,MAX(0,MIN(1,_xlpm.prog+_xlpm.ajmov+_xlpm.ajcli)),IF(OR(V615="DIAMANTE",V615="CERRADO"),0,ROUND(_xlpm.prob,2)))</f>
        <v>0</v>
      </c>
      <c r="AK615" t="str">
        <f t="shared" si="228"/>
        <v>Faltan 35,6 puntos base para subir a la siguiente categoría</v>
      </c>
      <c r="AL615" t="str">
        <f t="shared" si="229"/>
        <v>Margen de seguridad: 3,1 puntos</v>
      </c>
      <c r="AM615">
        <f t="shared" si="230"/>
        <v>0.8</v>
      </c>
      <c r="AN615" t="str">
        <f t="shared" si="231"/>
        <v>PRIORIDAD ALTA – requiere intervención inmediata</v>
      </c>
      <c r="AO615">
        <f t="shared" si="232"/>
        <v>64.862569275295584</v>
      </c>
      <c r="AP615">
        <f t="shared" si="233"/>
        <v>0.60625306947691548</v>
      </c>
      <c r="AQ615">
        <f t="shared" si="234"/>
        <v>1.5000000000000568E-2</v>
      </c>
      <c r="AR615">
        <f t="shared" si="235"/>
        <v>6.8</v>
      </c>
      <c r="AS615">
        <f t="shared" si="236"/>
        <v>0</v>
      </c>
      <c r="AT615" t="str">
        <f t="shared" si="237"/>
        <v>VENTAS</v>
      </c>
      <c r="AU615">
        <f t="shared" si="238"/>
        <v>64.862569275295584</v>
      </c>
      <c r="AV615" t="str">
        <f t="shared" si="239"/>
        <v>Mayor retorno probable: VENTAS (+64,9 puntos finales potenciales).</v>
      </c>
    </row>
    <row r="616" spans="1:48" x14ac:dyDescent="0.3">
      <c r="A616" s="5">
        <v>51018508</v>
      </c>
      <c r="B616" s="5" t="str">
        <f>IFERROR(VLOOKUP(A616,VENTAS!$A$2:$B$1194,2,0),"")</f>
        <v>CICHETTO</v>
      </c>
      <c r="C616" s="5">
        <f>IFERROR(INDEX(VENTAS!$C$2:$E$1194,MATCH(A616,VENTAS!$A$2:$A$1194,0),MATCH(PARAMS_MODELO!$B$2,{"Q1","Q2","Q3"},0)),0)</f>
        <v>52462040.609999999</v>
      </c>
      <c r="D616" s="5">
        <f>IFERROR(INDEX(VENTAS!$F$2:$H$1194,MATCH(A616,VENTAS!$A$2:$A$1194,0),MATCH(PARAMS_MODELO!$B$2,{"Q1","Q2","Q3"},0)),0)</f>
        <v>66135057</v>
      </c>
      <c r="E616" s="8">
        <f t="shared" si="216"/>
        <v>0.26062685002370523</v>
      </c>
      <c r="F616" s="12">
        <f>IF(E616&lt;=PARAMS_MODELO!$B$15,0,IF(E616&gt;=PARAMS_MODELO!$B$17,100,100*MIN(1,(E616-PARAMS_MODELO!$B$15)/(PARAMS_MODELO!$B$16-PARAMS_MODELO!$B$15))))*PARAMS_MODELO!$B$7</f>
        <v>35</v>
      </c>
      <c r="G616" s="5">
        <f t="shared" si="217"/>
        <v>13673016.390000001</v>
      </c>
      <c r="H616" s="5">
        <f>(PARAMS_MODELO!$B$20*(MAX(0,MIN(3,E616))/3)+PARAMS_MODELO!$B$21*(IFERROR(LN(1+MAX(0,G616))/LN(1+MAX(0,MAX($G$2:$G$1194))),0)))*100*PARAMS_MODELO!$B$8</f>
        <v>4.7638345064413929</v>
      </c>
      <c r="I616" s="8">
        <f>E616-PARAMS_MODELO!$B$5</f>
        <v>8.3064014648178697E-2</v>
      </c>
      <c r="J616" s="5">
        <f>IF(I616&lt;=PARAMS_MODELO!$B$18,0,IF(I616&gt;=PARAMS_MODELO!$B$19,100,100*(I616-PARAMS_MODELO!$B$18)/(PARAMS_MODELO!$B$19-PARAMS_MODELO!$B$18)))*PARAMS_MODELO!$B$9</f>
        <v>15</v>
      </c>
      <c r="K616" s="5">
        <f>IFERROR(CHOOSE(MATCH(PARAMS_MODELO!$B$2,{"Q1","Q2","Q3"},0),LOTO!$D616,LOTO!$F616,LOTO!$H616),0)</f>
        <v>3167500</v>
      </c>
      <c r="L616" s="8">
        <f t="shared" si="218"/>
        <v>4.7894417026056242E-2</v>
      </c>
      <c r="M616" s="5">
        <f>MIN(100,IF(PARAMS_MODELO!$B$23=0,0,100*L616/PARAMS_MODELO!$B$23))*PARAMS_MODELO!$B$10</f>
        <v>14.368325107816871</v>
      </c>
      <c r="N616" s="5">
        <f>IFERROR(VLOOKUP(A616,COMPLIANCE!$A$2:$F$1996,6,0),100)</f>
        <v>100</v>
      </c>
      <c r="O616" s="5">
        <f>N616*PARAMS_MODELO!$B$11</f>
        <v>10</v>
      </c>
      <c r="P616" s="5">
        <f>IFERROR(VLOOKUP(A616,DIGITAL!$A$2:$J$2000,7,0),100)</f>
        <v>51</v>
      </c>
      <c r="Q616" s="5">
        <f>IFERROR(P616,0)*PARAMS_MODELO!$B$12</f>
        <v>5.1000000000000005</v>
      </c>
      <c r="R616">
        <f t="shared" si="219"/>
        <v>84.232159614258251</v>
      </c>
      <c r="S616" s="5" t="str">
        <f>IFERROR(VLOOKUP(A616,CLIENTE!$A$2:$N$2000,13,0),1)</f>
        <v>Regular</v>
      </c>
      <c r="T616" s="5">
        <f>IFERROR(VLOOKUP(A616,CLIENTE!$A$2:$N$2000,14,0),1)</f>
        <v>1</v>
      </c>
      <c r="U616" s="5">
        <f t="shared" si="220"/>
        <v>84.232159614258251</v>
      </c>
      <c r="V616" s="5" t="str">
        <f>IF(U616&gt;=MAX(_xlfn.PERCENTILE.INC($U$2:$U$1194,PARAMS_MODELO!$B$50),PARAMS_MODELO!$B$45),"DIAMANTE",IF(U616&gt;=MAX(_xlfn.PERCENTILE.INC($U$2:$U$1194,PARAMS_MODELO!$B$51),PARAMS_MODELO!$B$46),"PLATINO",IF(U616&gt;=MAX(_xlfn.PERCENTILE.INC($U$2:$U$1194,PARAMS_MODELO!$B$52),PARAMS_MODELO!$B$47),"ORO",IF(U616&gt;=MAX(_xlfn.PERCENTILE.INC($U$2:$U$1194,PARAMS_MODELO!$B$53),PARAMS_MODELO!$B$48),"PLATA",IF(U616&gt;=1,"BRONCE","CERRADO")))))</f>
        <v>ORO</v>
      </c>
      <c r="W616" s="5" t="str" cm="1">
        <f t="array" ref="W616">_xlfn.XLOOKUP(1, (HIST_SCORE!$B:$B=PARAMS_MODELO!$B$4) * (HIST_SCORE!$C:$C=A616), HIST_SCORE!$E:$E, "No encontrado")</f>
        <v>ORO</v>
      </c>
      <c r="X616" s="5" t="str">
        <f>_xlfn.LET(_xlpm.act,MATCH(V616,{"DIAMANTE";"PLATINO";"ORO";"PLATA";"BRONCE";"CERRADO"},0),_xlpm.ant,MATCH(W616,{"DIAMANTE";"PLATINO";"ORO";"PLATA";"BRONCE";"CERRADO"},0),IF(_xlpm.act&lt;_xlpm.ant,"Mejora ↑",IF(_xlpm.act&gt;_xlpm.ant,"Baja ↓","Estable →")))</f>
        <v>Estable →</v>
      </c>
      <c r="Y616" s="5">
        <f>IFERROR(U616-SUMIFS(HIST_SCORE!$D:$D,HIST_SCORE!$B:$B,PARAMS_MODELO!$B$4,HIST_SCORE!$C:$C,$A616),"")</f>
        <v>13.901422484588323</v>
      </c>
      <c r="Z616" s="5" t="str">
        <f t="shared" si="221"/>
        <v>↑ Mejora</v>
      </c>
      <c r="AA616" s="5">
        <f t="shared" si="222"/>
        <v>310</v>
      </c>
      <c r="AB616" s="5">
        <f>IFERROR(SUMIFS(HIST_SCORE!$F:$F,HIST_SCORE!$B:$B,PARAMS_MODELO!$B$4,HIST_SCORE!$C:$C,$A616),"")</f>
        <v>539</v>
      </c>
      <c r="AC616" s="5">
        <f t="shared" si="223"/>
        <v>229</v>
      </c>
      <c r="AD616" t="str">
        <f t="shared" si="225"/>
        <v/>
      </c>
      <c r="AE6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616="CERRADO",1,IF(V616="BRONCE",_xlpm.cPl,IF(V616="PLATA",_xlpm.cO,IF(V616="ORO",_xlpm.cP,IF(V616="PLATINO",_xlpm.cD,999))))))</f>
        <v>86.439123873763251</v>
      </c>
      <c r="AF6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616="CERRADO",0,IF(V616="BRONCE",1,IF(V616="PLATA",_xlpm.cPl,IF(V616="ORO",_xlpm.cO,IF(V616="PLATINO",_xlpm.cP,_xlpm.cD))))))</f>
        <v>63.199193273331495</v>
      </c>
      <c r="AG616">
        <f t="shared" si="226"/>
        <v>2.2069642595049999</v>
      </c>
      <c r="AH616" t="str">
        <f t="shared" si="227"/>
        <v>VENTAS</v>
      </c>
      <c r="AI616" t="str">
        <f t="shared" si="224"/>
        <v>🎯 Para subir de categoría, eje VENTAS / IMPACTO ABSOLUTO (H). Acción: metas semanales + activación comercial + seguimiento del asesor. ΔR aprox: 2,2</v>
      </c>
      <c r="AJ616" s="26">
        <f>_xlfn.LET(_xlpm.piso,AF616,_xlpm.corte,AE616,_xlpm.prog,IF(_xlpm.corte&lt;=_xlpm.piso,0,MAX(0,MIN(1,(U616-_xlpm.piso)/(_xlpm.corte-_xlpm.piso)))),_xlpm.orden,{"DIAMANTE";"PLATINO";"ORO";"PLATA";"BRONCE";"CERRADO"},_xlpm.act,IFERROR(MATCH(V616,_xlpm.orden,0),6),_xlpm.ant,IFERROR(MATCH(W616,_xlpm.orden,0),6),_xlpm.ajmov,IF(_xlpm.act&lt;_xlpm.ant,0.08,IF(_xlpm.act&gt;_xlpm.ant,-0.08,0)),_xlpm.ajcli,IF(T616&lt;0.95,-0.06,0),_xlpm.prob,MAX(0,MIN(1,_xlpm.prog+_xlpm.ajmov+_xlpm.ajcli)),IF(OR(V616="DIAMANTE",V616="CERRADO"),0,ROUND(_xlpm.prob,2)))</f>
        <v>0.91</v>
      </c>
      <c r="AK616" t="str">
        <f t="shared" si="228"/>
        <v>Faltan 2,2 puntos base para subir a la siguiente categoría</v>
      </c>
      <c r="AL616" t="str">
        <f t="shared" si="229"/>
        <v>Margen de seguridad: 21,0 puntos</v>
      </c>
      <c r="AM616">
        <f t="shared" si="230"/>
        <v>0.12</v>
      </c>
      <c r="AN616" t="str">
        <f t="shared" si="231"/>
        <v>PRIORIDAD BAJA – control normal</v>
      </c>
      <c r="AO616">
        <f t="shared" si="232"/>
        <v>10.098734768854193</v>
      </c>
      <c r="AP616">
        <f t="shared" si="233"/>
        <v>0.63167489218312944</v>
      </c>
      <c r="AQ616">
        <f t="shared" si="234"/>
        <v>0</v>
      </c>
      <c r="AR616">
        <f t="shared" si="235"/>
        <v>4.8999999999999995</v>
      </c>
      <c r="AS616">
        <f t="shared" si="236"/>
        <v>0</v>
      </c>
      <c r="AT616" t="str">
        <f t="shared" si="237"/>
        <v>VENTAS</v>
      </c>
      <c r="AU616">
        <f t="shared" si="238"/>
        <v>10.098734768854193</v>
      </c>
      <c r="AV616" t="str">
        <f t="shared" si="239"/>
        <v>Mayor retorno probable: VENTAS (+10,1 puntos finales potenciales).</v>
      </c>
    </row>
    <row r="617" spans="1:48" x14ac:dyDescent="0.3">
      <c r="A617" s="5">
        <v>51003616</v>
      </c>
      <c r="B617" s="5" t="str">
        <f>IFERROR(VLOOKUP(A617,VENTAS!$A$2:$B$1194,2,0),"")</f>
        <v>MONTENEGRO</v>
      </c>
      <c r="C617" s="5">
        <f>IFERROR(INDEX(VENTAS!$C$2:$E$1194,MATCH(A617,VENTAS!$A$2:$A$1194,0),MATCH(PARAMS_MODELO!$B$2,{"Q1","Q2","Q3"},0)),0)</f>
        <v>49289294.819999993</v>
      </c>
      <c r="D617" s="5">
        <f>IFERROR(INDEX(VENTAS!$F$2:$H$1194,MATCH(A617,VENTAS!$A$2:$A$1194,0),MATCH(PARAMS_MODELO!$B$2,{"Q1","Q2","Q3"},0)),0)</f>
        <v>66037146</v>
      </c>
      <c r="E617" s="8">
        <f t="shared" si="216"/>
        <v>0.33978678820952157</v>
      </c>
      <c r="F617" s="12">
        <f>IF(E617&lt;=PARAMS_MODELO!$B$15,0,IF(E617&gt;=PARAMS_MODELO!$B$17,100,100*MIN(1,(E617-PARAMS_MODELO!$B$15)/(PARAMS_MODELO!$B$16-PARAMS_MODELO!$B$15))))*PARAMS_MODELO!$B$7</f>
        <v>35</v>
      </c>
      <c r="G617" s="5">
        <f t="shared" si="217"/>
        <v>16747851.180000007</v>
      </c>
      <c r="H617" s="5">
        <f>(PARAMS_MODELO!$B$20*(MAX(0,MIN(3,E617))/3)+PARAMS_MODELO!$B$21*(IFERROR(LN(1+MAX(0,G617))/LN(1+MAX(0,MAX($G$2:$G$1194))),0)))*100*PARAMS_MODELO!$B$8</f>
        <v>5.088444145790274</v>
      </c>
      <c r="I617" s="8">
        <f>E617-PARAMS_MODELO!$B$5</f>
        <v>0.16222395283399504</v>
      </c>
      <c r="J617" s="5">
        <f>IF(I617&lt;=PARAMS_MODELO!$B$18,0,IF(I617&gt;=PARAMS_MODELO!$B$19,100,100*(I617-PARAMS_MODELO!$B$18)/(PARAMS_MODELO!$B$19-PARAMS_MODELO!$B$18)))*PARAMS_MODELO!$B$9</f>
        <v>15</v>
      </c>
      <c r="K617" s="5">
        <f>IFERROR(CHOOSE(MATCH(PARAMS_MODELO!$B$2,{"Q1","Q2","Q3"},0),LOTO!$D617,LOTO!$F617,LOTO!$H617),0)</f>
        <v>3165000</v>
      </c>
      <c r="L617" s="8">
        <f t="shared" si="218"/>
        <v>4.7927570946206546E-2</v>
      </c>
      <c r="M617" s="5">
        <f>MIN(100,IF(PARAMS_MODELO!$B$23=0,0,100*L617/PARAMS_MODELO!$B$23))*PARAMS_MODELO!$B$10</f>
        <v>14.378271283861963</v>
      </c>
      <c r="N617" s="5">
        <f>IFERROR(VLOOKUP(A617,COMPLIANCE!$A$2:$F$1996,6,0),100)</f>
        <v>100</v>
      </c>
      <c r="O617" s="5">
        <f>N617*PARAMS_MODELO!$B$11</f>
        <v>10</v>
      </c>
      <c r="P617" s="5">
        <f>IFERROR(VLOOKUP(A617,DIGITAL!$A$2:$J$2000,7,0),100)</f>
        <v>63</v>
      </c>
      <c r="Q617" s="5">
        <f>IFERROR(P617,0)*PARAMS_MODELO!$B$12</f>
        <v>6.3000000000000007</v>
      </c>
      <c r="R617">
        <f t="shared" si="219"/>
        <v>85.766715429652237</v>
      </c>
      <c r="S617" s="5" t="str">
        <f>IFERROR(VLOOKUP(A617,CLIENTE!$A$2:$N$2000,13,0),1)</f>
        <v>Regular</v>
      </c>
      <c r="T617" s="5">
        <f>IFERROR(VLOOKUP(A617,CLIENTE!$A$2:$N$2000,14,0),1)</f>
        <v>1</v>
      </c>
      <c r="U617" s="5">
        <f t="shared" si="220"/>
        <v>85.766715429652237</v>
      </c>
      <c r="V617" s="5" t="str">
        <f>IF(U617&gt;=MAX(_xlfn.PERCENTILE.INC($U$2:$U$1194,PARAMS_MODELO!$B$50),PARAMS_MODELO!$B$45),"DIAMANTE",IF(U617&gt;=MAX(_xlfn.PERCENTILE.INC($U$2:$U$1194,PARAMS_MODELO!$B$51),PARAMS_MODELO!$B$46),"PLATINO",IF(U617&gt;=MAX(_xlfn.PERCENTILE.INC($U$2:$U$1194,PARAMS_MODELO!$B$52),PARAMS_MODELO!$B$47),"ORO",IF(U617&gt;=MAX(_xlfn.PERCENTILE.INC($U$2:$U$1194,PARAMS_MODELO!$B$53),PARAMS_MODELO!$B$48),"PLATA",IF(U617&gt;=1,"BRONCE","CERRADO")))))</f>
        <v>ORO</v>
      </c>
      <c r="W617" s="5" t="str" cm="1">
        <f t="array" ref="W617">_xlfn.XLOOKUP(1, (HIST_SCORE!$B:$B=PARAMS_MODELO!$B$4) * (HIST_SCORE!$C:$C=A617), HIST_SCORE!$E:$E, "No encontrado")</f>
        <v>PLATINO</v>
      </c>
      <c r="X617" s="5" t="str">
        <f>_xlfn.LET(_xlpm.act,MATCH(V617,{"DIAMANTE";"PLATINO";"ORO";"PLATA";"BRONCE";"CERRADO"},0),_xlpm.ant,MATCH(W617,{"DIAMANTE";"PLATINO";"ORO";"PLATA";"BRONCE";"CERRADO"},0),IF(_xlpm.act&lt;_xlpm.ant,"Mejora ↑",IF(_xlpm.act&gt;_xlpm.ant,"Baja ↓","Estable →")))</f>
        <v>Baja ↓</v>
      </c>
      <c r="Y617" s="5">
        <f>IFERROR(U617-SUMIFS(HIST_SCORE!$D:$D,HIST_SCORE!$B:$B,PARAMS_MODELO!$B$4,HIST_SCORE!$C:$C,$A617),"")</f>
        <v>-0.73986624349309693</v>
      </c>
      <c r="Z617" s="5" t="str">
        <f t="shared" si="221"/>
        <v>→ Estable</v>
      </c>
      <c r="AA617" s="5">
        <f t="shared" si="222"/>
        <v>258</v>
      </c>
      <c r="AB617" s="5">
        <f>IFERROR(SUMIFS(HIST_SCORE!$F:$F,HIST_SCORE!$B:$B,PARAMS_MODELO!$B$4,HIST_SCORE!$C:$C,$A617),"")</f>
        <v>215</v>
      </c>
      <c r="AC617" s="5">
        <f t="shared" si="223"/>
        <v>-43</v>
      </c>
      <c r="AD617" t="str">
        <f t="shared" si="225"/>
        <v>Sostener base y reforzar mix</v>
      </c>
      <c r="AE6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617="CERRADO",1,IF(V617="BRONCE",_xlpm.cPl,IF(V617="PLATA",_xlpm.cO,IF(V617="ORO",_xlpm.cP,IF(V617="PLATINO",_xlpm.cD,999))))))</f>
        <v>86.439123873763251</v>
      </c>
      <c r="AF6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617="CERRADO",0,IF(V617="BRONCE",1,IF(V617="PLATA",_xlpm.cPl,IF(V617="ORO",_xlpm.cO,IF(V617="PLATINO",_xlpm.cP,_xlpm.cD))))))</f>
        <v>63.199193273331495</v>
      </c>
      <c r="AG617">
        <f t="shared" si="226"/>
        <v>0.67240844411101364</v>
      </c>
      <c r="AH617" t="str">
        <f t="shared" si="227"/>
        <v>VENTAS</v>
      </c>
      <c r="AI617" t="str">
        <f t="shared" si="224"/>
        <v>🎯 Para subir de categoría, eje VENTAS / IMPACTO ABSOLUTO (H). Acción: metas semanales + activación comercial + seguimiento del asesor. ΔR aprox: 0,7</v>
      </c>
      <c r="AJ617" s="26">
        <f>_xlfn.LET(_xlpm.piso,AF617,_xlpm.corte,AE617,_xlpm.prog,IF(_xlpm.corte&lt;=_xlpm.piso,0,MAX(0,MIN(1,(U617-_xlpm.piso)/(_xlpm.corte-_xlpm.piso)))),_xlpm.orden,{"DIAMANTE";"PLATINO";"ORO";"PLATA";"BRONCE";"CERRADO"},_xlpm.act,IFERROR(MATCH(V617,_xlpm.orden,0),6),_xlpm.ant,IFERROR(MATCH(W617,_xlpm.orden,0),6),_xlpm.ajmov,IF(_xlpm.act&lt;_xlpm.ant,0.08,IF(_xlpm.act&gt;_xlpm.ant,-0.08,0)),_xlpm.ajcli,IF(T617&lt;0.95,-0.06,0),_xlpm.prob,MAX(0,MIN(1,_xlpm.prog+_xlpm.ajmov+_xlpm.ajcli)),IF(OR(V617="DIAMANTE",V617="CERRADO"),0,ROUND(_xlpm.prob,2)))</f>
        <v>0.89</v>
      </c>
      <c r="AK617" t="str">
        <f t="shared" si="228"/>
        <v>Faltan 0,7 puntos base para subir a la siguiente categoría</v>
      </c>
      <c r="AL617" t="str">
        <f t="shared" si="229"/>
        <v>Margen de seguridad: 22,6 puntos</v>
      </c>
      <c r="AM617">
        <f t="shared" si="230"/>
        <v>7.0000000000000007E-2</v>
      </c>
      <c r="AN617" t="str">
        <f t="shared" si="231"/>
        <v>PRIORIDAD BAJA – control normal</v>
      </c>
      <c r="AO617">
        <f t="shared" si="232"/>
        <v>9.7741251295053075</v>
      </c>
      <c r="AP617">
        <f t="shared" si="233"/>
        <v>0.62172871613803693</v>
      </c>
      <c r="AQ617">
        <f t="shared" si="234"/>
        <v>0</v>
      </c>
      <c r="AR617">
        <f t="shared" si="235"/>
        <v>3.6999999999999993</v>
      </c>
      <c r="AS617">
        <f t="shared" si="236"/>
        <v>0</v>
      </c>
      <c r="AT617" t="str">
        <f t="shared" si="237"/>
        <v>VENTAS</v>
      </c>
      <c r="AU617">
        <f t="shared" si="238"/>
        <v>9.7741251295053075</v>
      </c>
      <c r="AV617" t="str">
        <f t="shared" si="239"/>
        <v>Mayor retorno probable: VENTAS (+9,8 puntos finales potenciales).</v>
      </c>
    </row>
    <row r="618" spans="1:48" x14ac:dyDescent="0.3">
      <c r="A618" s="5">
        <v>51038932</v>
      </c>
      <c r="B618" s="5" t="str">
        <f>IFERROR(VLOOKUP(A618,VENTAS!$A$2:$B$1194,2,0),"")</f>
        <v>BELUZZO</v>
      </c>
      <c r="C618" s="5">
        <f>IFERROR(INDEX(VENTAS!$C$2:$E$1194,MATCH(A618,VENTAS!$A$2:$A$1194,0),MATCH(PARAMS_MODELO!$B$2,{"Q1","Q2","Q3"},0)),0)</f>
        <v>55750857.759999998</v>
      </c>
      <c r="D618" s="5">
        <f>IFERROR(INDEX(VENTAS!$F$2:$H$1194,MATCH(A618,VENTAS!$A$2:$A$1194,0),MATCH(PARAMS_MODELO!$B$2,{"Q1","Q2","Q3"},0)),0)</f>
        <v>66023206</v>
      </c>
      <c r="E618" s="8">
        <f t="shared" si="216"/>
        <v>0.18425453262479108</v>
      </c>
      <c r="F618" s="12">
        <f>IF(E618&lt;=PARAMS_MODELO!$B$15,0,IF(E618&gt;=PARAMS_MODELO!$B$17,100,100*MIN(1,(E618-PARAMS_MODELO!$B$15)/(PARAMS_MODELO!$B$16-PARAMS_MODELO!$B$15))))*PARAMS_MODELO!$B$7</f>
        <v>35</v>
      </c>
      <c r="G618" s="5">
        <f t="shared" si="217"/>
        <v>10272348.240000002</v>
      </c>
      <c r="H618" s="5">
        <f>(PARAMS_MODELO!$B$20*(MAX(0,MIN(3,E618))/3)+PARAMS_MODELO!$B$21*(IFERROR(LN(1+MAX(0,G618))/LN(1+MAX(0,MAX($G$2:$G$1194))),0)))*100*PARAMS_MODELO!$B$8</f>
        <v>4.4294963606694902</v>
      </c>
      <c r="I618" s="8">
        <f>E618-PARAMS_MODELO!$B$5</f>
        <v>6.6916972492645499E-3</v>
      </c>
      <c r="J618" s="5">
        <f>IF(I618&lt;=PARAMS_MODELO!$B$18,0,IF(I618&gt;=PARAMS_MODELO!$B$19,100,100*(I618-PARAMS_MODELO!$B$18)/(PARAMS_MODELO!$B$19-PARAMS_MODELO!$B$18)))*PARAMS_MODELO!$B$9</f>
        <v>8.5037545873896825</v>
      </c>
      <c r="K618" s="5">
        <f>IFERROR(CHOOSE(MATCH(PARAMS_MODELO!$B$2,{"Q1","Q2","Q3"},0),LOTO!$D618,LOTO!$F618,LOTO!$H618),0)</f>
        <v>3165000</v>
      </c>
      <c r="L618" s="8">
        <f t="shared" si="218"/>
        <v>4.7937690272114322E-2</v>
      </c>
      <c r="M618" s="5">
        <f>MIN(100,IF(PARAMS_MODELO!$B$23=0,0,100*L618/PARAMS_MODELO!$B$23))*PARAMS_MODELO!$B$10</f>
        <v>14.381307081634297</v>
      </c>
      <c r="N618" s="5">
        <f>IFERROR(VLOOKUP(A618,COMPLIANCE!$A$2:$F$1996,6,0),100)</f>
        <v>100</v>
      </c>
      <c r="O618" s="5">
        <f>N618*PARAMS_MODELO!$B$11</f>
        <v>10</v>
      </c>
      <c r="P618" s="5">
        <f>IFERROR(VLOOKUP(A618,DIGITAL!$A$2:$J$2000,7,0),100)</f>
        <v>65</v>
      </c>
      <c r="Q618" s="5">
        <f>IFERROR(P618,0)*PARAMS_MODELO!$B$12</f>
        <v>6.5</v>
      </c>
      <c r="R618">
        <f t="shared" si="219"/>
        <v>78.814558029693472</v>
      </c>
      <c r="S618" s="5" t="str">
        <f>IFERROR(VLOOKUP(A618,CLIENTE!$A$2:$N$2000,13,0),1)</f>
        <v>Regular</v>
      </c>
      <c r="T618" s="5">
        <f>IFERROR(VLOOKUP(A618,CLIENTE!$A$2:$N$2000,14,0),1)</f>
        <v>1</v>
      </c>
      <c r="U618" s="5">
        <f t="shared" si="220"/>
        <v>78.814558029693472</v>
      </c>
      <c r="V618" s="5" t="str">
        <f>IF(U618&gt;=MAX(_xlfn.PERCENTILE.INC($U$2:$U$1194,PARAMS_MODELO!$B$50),PARAMS_MODELO!$B$45),"DIAMANTE",IF(U618&gt;=MAX(_xlfn.PERCENTILE.INC($U$2:$U$1194,PARAMS_MODELO!$B$51),PARAMS_MODELO!$B$46),"PLATINO",IF(U618&gt;=MAX(_xlfn.PERCENTILE.INC($U$2:$U$1194,PARAMS_MODELO!$B$52),PARAMS_MODELO!$B$47),"ORO",IF(U618&gt;=MAX(_xlfn.PERCENTILE.INC($U$2:$U$1194,PARAMS_MODELO!$B$53),PARAMS_MODELO!$B$48),"PLATA",IF(U618&gt;=1,"BRONCE","CERRADO")))))</f>
        <v>ORO</v>
      </c>
      <c r="W618" s="5" t="str" cm="1">
        <f t="array" ref="W618">_xlfn.XLOOKUP(1, (HIST_SCORE!$B:$B=PARAMS_MODELO!$B$4) * (HIST_SCORE!$C:$C=A618), HIST_SCORE!$E:$E, "No encontrado")</f>
        <v>ORO</v>
      </c>
      <c r="X618" s="5" t="str">
        <f>_xlfn.LET(_xlpm.act,MATCH(V618,{"DIAMANTE";"PLATINO";"ORO";"PLATA";"BRONCE";"CERRADO"},0),_xlpm.ant,MATCH(W618,{"DIAMANTE";"PLATINO";"ORO";"PLATA";"BRONCE";"CERRADO"},0),IF(_xlpm.act&lt;_xlpm.ant,"Mejora ↑",IF(_xlpm.act&gt;_xlpm.ant,"Baja ↓","Estable →")))</f>
        <v>Estable →</v>
      </c>
      <c r="Y618" s="5">
        <f>IFERROR(U618-SUMIFS(HIST_SCORE!$D:$D,HIST_SCORE!$B:$B,PARAMS_MODELO!$B$4,HIST_SCORE!$C:$C,$A618),"")</f>
        <v>9.7798914917761834</v>
      </c>
      <c r="Z618" s="5" t="str">
        <f t="shared" si="221"/>
        <v>↑ Mejora</v>
      </c>
      <c r="AA618" s="5">
        <f t="shared" si="222"/>
        <v>449</v>
      </c>
      <c r="AB618" s="5">
        <f>IFERROR(SUMIFS(HIST_SCORE!$F:$F,HIST_SCORE!$B:$B,PARAMS_MODELO!$B$4,HIST_SCORE!$C:$C,$A618),"")</f>
        <v>549</v>
      </c>
      <c r="AC618" s="5">
        <f t="shared" si="223"/>
        <v>100</v>
      </c>
      <c r="AD618" t="str">
        <f t="shared" si="225"/>
        <v/>
      </c>
      <c r="AE6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618="CERRADO",1,IF(V618="BRONCE",_xlpm.cPl,IF(V618="PLATA",_xlpm.cO,IF(V618="ORO",_xlpm.cP,IF(V618="PLATINO",_xlpm.cD,999))))))</f>
        <v>86.439123873763251</v>
      </c>
      <c r="AF6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618="CERRADO",0,IF(V618="BRONCE",1,IF(V618="PLATA",_xlpm.cPl,IF(V618="ORO",_xlpm.cO,IF(V618="PLATINO",_xlpm.cP,_xlpm.cD))))))</f>
        <v>63.199193273331495</v>
      </c>
      <c r="AG618">
        <f t="shared" si="226"/>
        <v>7.6245658440697781</v>
      </c>
      <c r="AH618" t="str">
        <f t="shared" si="227"/>
        <v>VENTAS</v>
      </c>
      <c r="AI618" t="str">
        <f t="shared" si="224"/>
        <v>🎯 Para subir de categoría, eje VENTAS / IMPACTO ABSOLUTO (H). Acción: metas semanales + activación comercial + seguimiento del asesor. ΔR aprox: 7,6</v>
      </c>
      <c r="AJ618" s="26">
        <f>_xlfn.LET(_xlpm.piso,AF618,_xlpm.corte,AE618,_xlpm.prog,IF(_xlpm.corte&lt;=_xlpm.piso,0,MAX(0,MIN(1,(U618-_xlpm.piso)/(_xlpm.corte-_xlpm.piso)))),_xlpm.orden,{"DIAMANTE";"PLATINO";"ORO";"PLATA";"BRONCE";"CERRADO"},_xlpm.act,IFERROR(MATCH(V618,_xlpm.orden,0),6),_xlpm.ant,IFERROR(MATCH(W618,_xlpm.orden,0),6),_xlpm.ajmov,IF(_xlpm.act&lt;_xlpm.ant,0.08,IF(_xlpm.act&gt;_xlpm.ant,-0.08,0)),_xlpm.ajcli,IF(T618&lt;0.95,-0.06,0),_xlpm.prob,MAX(0,MIN(1,_xlpm.prog+_xlpm.ajmov+_xlpm.ajcli)),IF(OR(V618="DIAMANTE",V618="CERRADO"),0,ROUND(_xlpm.prob,2)))</f>
        <v>0.67</v>
      </c>
      <c r="AK618" t="str">
        <f t="shared" si="228"/>
        <v>Faltan 7,6 puntos base para subir a la siguiente categoría</v>
      </c>
      <c r="AL618" t="str">
        <f t="shared" si="229"/>
        <v>Margen de seguridad: 15,6 puntos</v>
      </c>
      <c r="AM618">
        <f t="shared" si="230"/>
        <v>0.44</v>
      </c>
      <c r="AN618" t="str">
        <f t="shared" si="231"/>
        <v>PRIORIDAD MEDIA – seguimiento del asesor</v>
      </c>
      <c r="AO618">
        <f t="shared" si="232"/>
        <v>16.929318327236416</v>
      </c>
      <c r="AP618">
        <f t="shared" si="233"/>
        <v>0.61869291836570284</v>
      </c>
      <c r="AQ618">
        <f t="shared" si="234"/>
        <v>0</v>
      </c>
      <c r="AR618">
        <f t="shared" si="235"/>
        <v>3.5</v>
      </c>
      <c r="AS618">
        <f t="shared" si="236"/>
        <v>0</v>
      </c>
      <c r="AT618" t="str">
        <f t="shared" si="237"/>
        <v>VENTAS</v>
      </c>
      <c r="AU618">
        <f t="shared" si="238"/>
        <v>16.929318327236416</v>
      </c>
      <c r="AV618" t="str">
        <f t="shared" si="239"/>
        <v>Mayor retorno probable: VENTAS (+16,9 puntos finales potenciales).</v>
      </c>
    </row>
    <row r="619" spans="1:48" x14ac:dyDescent="0.3">
      <c r="A619" s="5">
        <v>51039211</v>
      </c>
      <c r="B619" s="5" t="str">
        <f>IFERROR(VLOOKUP(A619,VENTAS!$A$2:$B$1194,2,0),"")</f>
        <v>AYALA</v>
      </c>
      <c r="C619" s="5">
        <f>IFERROR(INDEX(VENTAS!$C$2:$E$1194,MATCH(A619,VENTAS!$A$2:$A$1194,0),MATCH(PARAMS_MODELO!$B$2,{"Q1","Q2","Q3"},0)),0)</f>
        <v>65860211.810000002</v>
      </c>
      <c r="D619" s="5">
        <f>IFERROR(INDEX(VENTAS!$F$2:$H$1194,MATCH(A619,VENTAS!$A$2:$A$1194,0),MATCH(PARAMS_MODELO!$B$2,{"Q1","Q2","Q3"},0)),0)</f>
        <v>66016609</v>
      </c>
      <c r="E619" s="8">
        <f t="shared" si="216"/>
        <v>2.3746839814482446E-3</v>
      </c>
      <c r="F619" s="12">
        <f>IF(E619&lt;=PARAMS_MODELO!$B$15,0,IF(E619&gt;=PARAMS_MODELO!$B$17,100,100*MIN(1,(E619-PARAMS_MODELO!$B$15)/(PARAMS_MODELO!$B$16-PARAMS_MODELO!$B$15))))*PARAMS_MODELO!$B$7</f>
        <v>0.83113939350688559</v>
      </c>
      <c r="G619" s="5">
        <f t="shared" si="217"/>
        <v>156397.18999999762</v>
      </c>
      <c r="H619" s="5">
        <f>(PARAMS_MODELO!$B$20*(MAX(0,MIN(3,E619))/3)+PARAMS_MODELO!$B$21*(IFERROR(LN(1+MAX(0,G619))/LN(1+MAX(0,MAX($G$2:$G$1194))),0)))*100*PARAMS_MODELO!$B$8</f>
        <v>2.8119399952744799</v>
      </c>
      <c r="I619" s="8">
        <f>E619-PARAMS_MODELO!$B$5</f>
        <v>-0.17518815139407828</v>
      </c>
      <c r="J619" s="5">
        <f>IF(I619&lt;=PARAMS_MODELO!$B$18,0,IF(I619&gt;=PARAMS_MODELO!$B$19,100,100*(I619-PARAMS_MODELO!$B$18)/(PARAMS_MODELO!$B$19-PARAMS_MODELO!$B$18)))*PARAMS_MODELO!$B$9</f>
        <v>0</v>
      </c>
      <c r="K619" s="5">
        <f>IFERROR(CHOOSE(MATCH(PARAMS_MODELO!$B$2,{"Q1","Q2","Q3"},0),LOTO!$D619,LOTO!$F619,LOTO!$H619),0)</f>
        <v>3162500</v>
      </c>
      <c r="L619" s="8">
        <f t="shared" si="218"/>
        <v>4.7904611398625459E-2</v>
      </c>
      <c r="M619" s="5">
        <f>MIN(100,IF(PARAMS_MODELO!$B$23=0,0,100*L619/PARAMS_MODELO!$B$23))*PARAMS_MODELO!$B$10</f>
        <v>14.371383419587636</v>
      </c>
      <c r="N619" s="5">
        <f>IFERROR(VLOOKUP(A619,COMPLIANCE!$A$2:$F$1996,6,0),100)</f>
        <v>99.85</v>
      </c>
      <c r="O619" s="5">
        <f>N619*PARAMS_MODELO!$B$11</f>
        <v>9.9849999999999994</v>
      </c>
      <c r="P619" s="5">
        <f>IFERROR(VLOOKUP(A619,DIGITAL!$A$2:$J$2000,7,0),100)</f>
        <v>64</v>
      </c>
      <c r="Q619" s="5">
        <f>IFERROR(P619,0)*PARAMS_MODELO!$B$12</f>
        <v>6.4</v>
      </c>
      <c r="R619">
        <f t="shared" si="219"/>
        <v>34.399462808369002</v>
      </c>
      <c r="S619" s="5" t="str">
        <f>IFERROR(VLOOKUP(A619,CLIENTE!$A$2:$N$2000,13,0),1)</f>
        <v>Malo</v>
      </c>
      <c r="T619" s="5">
        <f>IFERROR(VLOOKUP(A619,CLIENTE!$A$2:$N$2000,14,0),1)</f>
        <v>0.7</v>
      </c>
      <c r="U619" s="5">
        <f t="shared" si="220"/>
        <v>24.0796239658583</v>
      </c>
      <c r="V619" s="5" t="str">
        <f>IF(U619&gt;=MAX(_xlfn.PERCENTILE.INC($U$2:$U$1194,PARAMS_MODELO!$B$50),PARAMS_MODELO!$B$45),"DIAMANTE",IF(U619&gt;=MAX(_xlfn.PERCENTILE.INC($U$2:$U$1194,PARAMS_MODELO!$B$51),PARAMS_MODELO!$B$46),"PLATINO",IF(U619&gt;=MAX(_xlfn.PERCENTILE.INC($U$2:$U$1194,PARAMS_MODELO!$B$52),PARAMS_MODELO!$B$47),"ORO",IF(U619&gt;=MAX(_xlfn.PERCENTILE.INC($U$2:$U$1194,PARAMS_MODELO!$B$53),PARAMS_MODELO!$B$48),"PLATA",IF(U619&gt;=1,"BRONCE","CERRADO")))))</f>
        <v>BRONCE</v>
      </c>
      <c r="W619" s="5" t="str" cm="1">
        <f t="array" ref="W619">_xlfn.XLOOKUP(1, (HIST_SCORE!$B:$B=PARAMS_MODELO!$B$4) * (HIST_SCORE!$C:$C=A619), HIST_SCORE!$E:$E, "No encontrado")</f>
        <v>PLATA</v>
      </c>
      <c r="X619" s="5" t="str">
        <f>_xlfn.LET(_xlpm.act,MATCH(V619,{"DIAMANTE";"PLATINO";"ORO";"PLATA";"BRONCE";"CERRADO"},0),_xlpm.ant,MATCH(W619,{"DIAMANTE";"PLATINO";"ORO";"PLATA";"BRONCE";"CERRADO"},0),IF(_xlpm.act&lt;_xlpm.ant,"Mejora ↑",IF(_xlpm.act&gt;_xlpm.ant,"Baja ↓","Estable →")))</f>
        <v>Baja ↓</v>
      </c>
      <c r="Y619" s="5">
        <f>IFERROR(U619-SUMIFS(HIST_SCORE!$D:$D,HIST_SCORE!$B:$B,PARAMS_MODELO!$B$4,HIST_SCORE!$C:$C,$A619),"")</f>
        <v>-6.805729415125672</v>
      </c>
      <c r="Z619" s="5" t="str">
        <f t="shared" si="221"/>
        <v>↓ Baja</v>
      </c>
      <c r="AA619" s="5">
        <f t="shared" si="222"/>
        <v>920</v>
      </c>
      <c r="AB619" s="5">
        <f>IFERROR(SUMIFS(HIST_SCORE!$F:$F,HIST_SCORE!$B:$B,PARAMS_MODELO!$B$4,HIST_SCORE!$C:$C,$A619),"")</f>
        <v>903</v>
      </c>
      <c r="AC619" s="5">
        <f t="shared" si="223"/>
        <v>-17</v>
      </c>
      <c r="AD619" t="str">
        <f t="shared" si="225"/>
        <v>Plan de recuperación: foco crecimiento + mix</v>
      </c>
      <c r="AE6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619="CERRADO",1,IF(V619="BRONCE",_xlpm.cPl,IF(V619="PLATA",_xlpm.cO,IF(V619="ORO",_xlpm.cP,IF(V619="PLATINO",_xlpm.cD,999))))))</f>
        <v>24.506573482968111</v>
      </c>
      <c r="AF6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619="CERRADO",0,IF(V619="BRONCE",1,IF(V619="PLATA",_xlpm.cPl,IF(V619="ORO",_xlpm.cO,IF(V619="PLATINO",_xlpm.cP,_xlpm.cD))))))</f>
        <v>1</v>
      </c>
      <c r="AG619">
        <f t="shared" si="226"/>
        <v>0.60992788158544187</v>
      </c>
      <c r="AH619" t="str">
        <f t="shared" si="227"/>
        <v>CLIENTE</v>
      </c>
      <c r="AI619" t="str">
        <f t="shared" si="224"/>
        <v>🎯 Para subir de categoría, la eje con mayor impacto probable es CLIENTE (coef T). Acción: reducir quejas, mejorar incógnito y empujar reseñas. ΔR aprox: 0,6</v>
      </c>
      <c r="AJ619" s="26">
        <f>_xlfn.LET(_xlpm.piso,AF619,_xlpm.corte,AE619,_xlpm.prog,IF(_xlpm.corte&lt;=_xlpm.piso,0,MAX(0,MIN(1,(U619-_xlpm.piso)/(_xlpm.corte-_xlpm.piso)))),_xlpm.orden,{"DIAMANTE";"PLATINO";"ORO";"PLATA";"BRONCE";"CERRADO"},_xlpm.act,IFERROR(MATCH(V619,_xlpm.orden,0),6),_xlpm.ant,IFERROR(MATCH(W619,_xlpm.orden,0),6),_xlpm.ajmov,IF(_xlpm.act&lt;_xlpm.ant,0.08,IF(_xlpm.act&gt;_xlpm.ant,-0.08,0)),_xlpm.ajcli,IF(T619&lt;0.95,-0.06,0),_xlpm.prob,MAX(0,MIN(1,_xlpm.prog+_xlpm.ajmov+_xlpm.ajcli)),IF(OR(V619="DIAMANTE",V619="CERRADO"),0,ROUND(_xlpm.prob,2)))</f>
        <v>0.84</v>
      </c>
      <c r="AK619" t="str">
        <f t="shared" si="228"/>
        <v>Faltan 0,6 puntos base para subir a la siguiente categoría</v>
      </c>
      <c r="AL619" t="str">
        <f t="shared" si="229"/>
        <v>No aplica</v>
      </c>
      <c r="AM619">
        <f t="shared" si="230"/>
        <v>0.28999999999999998</v>
      </c>
      <c r="AN619" t="str">
        <f t="shared" si="231"/>
        <v>PRIORIDAD BAJA – control normal</v>
      </c>
      <c r="AO619">
        <f t="shared" si="232"/>
        <v>42.853642920559949</v>
      </c>
      <c r="AP619">
        <f t="shared" si="233"/>
        <v>0.44003160628865506</v>
      </c>
      <c r="AQ619">
        <f t="shared" si="234"/>
        <v>1.0500000000000398E-2</v>
      </c>
      <c r="AR619">
        <f t="shared" si="235"/>
        <v>2.5199999999999996</v>
      </c>
      <c r="AS619">
        <f t="shared" si="236"/>
        <v>10.319838842510702</v>
      </c>
      <c r="AT619" t="str">
        <f t="shared" si="237"/>
        <v>VENTAS</v>
      </c>
      <c r="AU619">
        <f t="shared" si="238"/>
        <v>42.853642920559949</v>
      </c>
      <c r="AV619" t="str">
        <f t="shared" si="239"/>
        <v>Mayor retorno probable: VENTAS (+42,9 puntos finales potenciales).</v>
      </c>
    </row>
    <row r="620" spans="1:48" x14ac:dyDescent="0.3">
      <c r="A620" s="5">
        <v>51018664</v>
      </c>
      <c r="B620" s="5" t="str">
        <f>IFERROR(VLOOKUP(A620,VENTAS!$A$2:$B$1194,2,0),"")</f>
        <v/>
      </c>
      <c r="C620" s="5">
        <f>IFERROR(INDEX(VENTAS!$C$2:$E$1194,MATCH(A620,VENTAS!$A$2:$A$1194,0),MATCH(PARAMS_MODELO!$B$2,{"Q1","Q2","Q3"},0)),0)</f>
        <v>115248111.5</v>
      </c>
      <c r="D620" s="5">
        <f>IFERROR(INDEX(VENTAS!$F$2:$H$1194,MATCH(A620,VENTAS!$A$2:$A$1194,0),MATCH(PARAMS_MODELO!$B$2,{"Q1","Q2","Q3"},0)),0)</f>
        <v>66013452</v>
      </c>
      <c r="E620" s="8">
        <f t="shared" si="216"/>
        <v>-0.42720578115503438</v>
      </c>
      <c r="F620" s="12">
        <f>IF(E620&lt;=PARAMS_MODELO!$B$15,0,IF(E620&gt;=PARAMS_MODELO!$B$17,100,100*MIN(1,(E620-PARAMS_MODELO!$B$15)/(PARAMS_MODELO!$B$16-PARAMS_MODELO!$B$15))))*PARAMS_MODELO!$B$7</f>
        <v>0</v>
      </c>
      <c r="G620" s="5">
        <f t="shared" si="217"/>
        <v>0</v>
      </c>
      <c r="H620" s="5">
        <f>(PARAMS_MODELO!$B$20*(MAX(0,MIN(3,E620))/3)+PARAMS_MODELO!$B$21*(IFERROR(LN(1+MAX(0,G620))/LN(1+MAX(0,MAX($G$2:$G$1194))),0)))*100*PARAMS_MODELO!$B$8</f>
        <v>0</v>
      </c>
      <c r="I620" s="8">
        <f>E620-PARAMS_MODELO!$B$5</f>
        <v>-0.60476861653056091</v>
      </c>
      <c r="J620" s="5">
        <f>IF(I620&lt;=PARAMS_MODELO!$B$18,0,IF(I620&gt;=PARAMS_MODELO!$B$19,100,100*(I620-PARAMS_MODELO!$B$18)/(PARAMS_MODELO!$B$19-PARAMS_MODELO!$B$18)))*PARAMS_MODELO!$B$9</f>
        <v>0</v>
      </c>
      <c r="K620" s="5">
        <f>IFERROR(CHOOSE(MATCH(PARAMS_MODELO!$B$2,{"Q1","Q2","Q3"},0),LOTO!$D620,LOTO!$F620,LOTO!$H620),0)</f>
        <v>3150000</v>
      </c>
      <c r="L620" s="8">
        <f t="shared" si="218"/>
        <v>4.7717547023597554E-2</v>
      </c>
      <c r="M620" s="5">
        <f>MIN(100,IF(PARAMS_MODELO!$B$23=0,0,100*L620/PARAMS_MODELO!$B$23))*PARAMS_MODELO!$B$10</f>
        <v>14.315264107079265</v>
      </c>
      <c r="N620" s="5">
        <f>IFERROR(VLOOKUP(A620,COMPLIANCE!$A$2:$F$1996,6,0),100)</f>
        <v>100</v>
      </c>
      <c r="O620" s="5">
        <f>N620*PARAMS_MODELO!$B$11</f>
        <v>10</v>
      </c>
      <c r="P620" s="5">
        <f>IFERROR(VLOOKUP(A620,DIGITAL!$A$2:$J$2000,7,0),100)</f>
        <v>52</v>
      </c>
      <c r="Q620" s="5">
        <f>IFERROR(P620,0)*PARAMS_MODELO!$B$12</f>
        <v>5.2</v>
      </c>
      <c r="R620">
        <f t="shared" si="219"/>
        <v>29.515264107079265</v>
      </c>
      <c r="S620" s="5" t="str">
        <f>IFERROR(VLOOKUP(A620,CLIENTE!$A$2:$N$2000,13,0),1)</f>
        <v>Regular</v>
      </c>
      <c r="T620" s="5">
        <f>IFERROR(VLOOKUP(A620,CLIENTE!$A$2:$N$2000,14,0),1)</f>
        <v>1</v>
      </c>
      <c r="U620" s="5">
        <f t="shared" si="220"/>
        <v>29.515264107079265</v>
      </c>
      <c r="V620" s="5" t="str">
        <f>IF(U620&gt;=MAX(_xlfn.PERCENTILE.INC($U$2:$U$1194,PARAMS_MODELO!$B$50),PARAMS_MODELO!$B$45),"DIAMANTE",IF(U620&gt;=MAX(_xlfn.PERCENTILE.INC($U$2:$U$1194,PARAMS_MODELO!$B$51),PARAMS_MODELO!$B$46),"PLATINO",IF(U620&gt;=MAX(_xlfn.PERCENTILE.INC($U$2:$U$1194,PARAMS_MODELO!$B$52),PARAMS_MODELO!$B$47),"ORO",IF(U620&gt;=MAX(_xlfn.PERCENTILE.INC($U$2:$U$1194,PARAMS_MODELO!$B$53),PARAMS_MODELO!$B$48),"PLATA",IF(U620&gt;=1,"BRONCE","CERRADO")))))</f>
        <v>PLATA</v>
      </c>
      <c r="W620" s="5" t="str" cm="1">
        <f t="array" ref="W620">_xlfn.XLOOKUP(1, (HIST_SCORE!$B:$B=PARAMS_MODELO!$B$4) * (HIST_SCORE!$C:$C=A620), HIST_SCORE!$E:$E, "No encontrado")</f>
        <v>PLATA</v>
      </c>
      <c r="X620" s="5" t="str">
        <f>_xlfn.LET(_xlpm.act,MATCH(V620,{"DIAMANTE";"PLATINO";"ORO";"PLATA";"BRONCE";"CERRADO"},0),_xlpm.ant,MATCH(W620,{"DIAMANTE";"PLATINO";"ORO";"PLATA";"BRONCE";"CERRADO"},0),IF(_xlpm.act&lt;_xlpm.ant,"Mejora ↑",IF(_xlpm.act&gt;_xlpm.ant,"Baja ↓","Estable →")))</f>
        <v>Estable →</v>
      </c>
      <c r="Y620" s="5">
        <f>IFERROR(U620-SUMIFS(HIST_SCORE!$D:$D,HIST_SCORE!$B:$B,PARAMS_MODELO!$B$4,HIST_SCORE!$C:$C,$A620),"")</f>
        <v>-0.68473589292073456</v>
      </c>
      <c r="Z620" s="5" t="str">
        <f t="shared" si="221"/>
        <v>→ Estable</v>
      </c>
      <c r="AA620" s="5">
        <f t="shared" si="222"/>
        <v>872</v>
      </c>
      <c r="AB620" s="5">
        <f>IFERROR(SUMIFS(HIST_SCORE!$F:$F,HIST_SCORE!$B:$B,PARAMS_MODELO!$B$4,HIST_SCORE!$C:$C,$A620),"")</f>
        <v>907</v>
      </c>
      <c r="AC620" s="5">
        <f t="shared" si="223"/>
        <v>35</v>
      </c>
      <c r="AD620" t="str">
        <f t="shared" si="225"/>
        <v/>
      </c>
      <c r="AE6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620="CERRADO",1,IF(V620="BRONCE",_xlpm.cPl,IF(V620="PLATA",_xlpm.cO,IF(V620="ORO",_xlpm.cP,IF(V620="PLATINO",_xlpm.cD,999))))))</f>
        <v>63.199193273331495</v>
      </c>
      <c r="AF6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620="CERRADO",0,IF(V620="BRONCE",1,IF(V620="PLATA",_xlpm.cPl,IF(V620="ORO",_xlpm.cO,IF(V620="PLATINO",_xlpm.cP,_xlpm.cD))))))</f>
        <v>24.506573482968111</v>
      </c>
      <c r="AG620">
        <f t="shared" si="226"/>
        <v>33.683929166252227</v>
      </c>
      <c r="AH620" t="str">
        <f t="shared" si="227"/>
        <v>VENTAS</v>
      </c>
      <c r="AI620" t="str">
        <f t="shared" si="224"/>
        <v>🎯 Para subir de categoría, eje VENTAS / CRECIMIENTO PERSONAL (F). Acción: metas semanales + activación comercial + seguimiento del asesor. ΔR aprox: 33,7</v>
      </c>
      <c r="AJ620" s="26">
        <f>_xlfn.LET(_xlpm.piso,AF620,_xlpm.corte,AE620,_xlpm.prog,IF(_xlpm.corte&lt;=_xlpm.piso,0,MAX(0,MIN(1,(U620-_xlpm.piso)/(_xlpm.corte-_xlpm.piso)))),_xlpm.orden,{"DIAMANTE";"PLATINO";"ORO";"PLATA";"BRONCE";"CERRADO"},_xlpm.act,IFERROR(MATCH(V620,_xlpm.orden,0),6),_xlpm.ant,IFERROR(MATCH(W620,_xlpm.orden,0),6),_xlpm.ajmov,IF(_xlpm.act&lt;_xlpm.ant,0.08,IF(_xlpm.act&gt;_xlpm.ant,-0.08,0)),_xlpm.ajcli,IF(T620&lt;0.95,-0.06,0),_xlpm.prob,MAX(0,MIN(1,_xlpm.prog+_xlpm.ajmov+_xlpm.ajcli)),IF(OR(V620="DIAMANTE",V620="CERRADO"),0,ROUND(_xlpm.prob,2)))</f>
        <v>0.13</v>
      </c>
      <c r="AK620" t="str">
        <f t="shared" si="228"/>
        <v>Faltan 33,7 puntos base para subir a la siguiente categoría</v>
      </c>
      <c r="AL620" t="str">
        <f t="shared" si="229"/>
        <v>Margen de seguridad: 5,0 puntos</v>
      </c>
      <c r="AM620">
        <f t="shared" si="230"/>
        <v>0.75</v>
      </c>
      <c r="AN620" t="str">
        <f t="shared" si="231"/>
        <v>PRIORIDAD ALTA – requiere intervención inmediata</v>
      </c>
      <c r="AO620">
        <f t="shared" si="232"/>
        <v>64.862569275295584</v>
      </c>
      <c r="AP620">
        <f t="shared" si="233"/>
        <v>0.68473589292073456</v>
      </c>
      <c r="AQ620">
        <f t="shared" si="234"/>
        <v>0</v>
      </c>
      <c r="AR620">
        <f t="shared" si="235"/>
        <v>4.8</v>
      </c>
      <c r="AS620">
        <f t="shared" si="236"/>
        <v>0</v>
      </c>
      <c r="AT620" t="str">
        <f t="shared" si="237"/>
        <v>VENTAS</v>
      </c>
      <c r="AU620">
        <f t="shared" si="238"/>
        <v>64.862569275295584</v>
      </c>
      <c r="AV620" t="str">
        <f t="shared" si="239"/>
        <v>Mayor retorno probable: VENTAS (+64,9 puntos finales potenciales).</v>
      </c>
    </row>
    <row r="621" spans="1:48" x14ac:dyDescent="0.3">
      <c r="A621" s="5">
        <v>51056671</v>
      </c>
      <c r="B621" s="5" t="str">
        <f>IFERROR(VLOOKUP(A621,VENTAS!$A$2:$B$1194,2,0),"")</f>
        <v>METTLER</v>
      </c>
      <c r="C621" s="5">
        <f>IFERROR(INDEX(VENTAS!$C$2:$E$1194,MATCH(A621,VENTAS!$A$2:$A$1194,0),MATCH(PARAMS_MODELO!$B$2,{"Q1","Q2","Q3"},0)),0)</f>
        <v>45457437.369999997</v>
      </c>
      <c r="D621" s="5">
        <f>IFERROR(INDEX(VENTAS!$F$2:$H$1194,MATCH(A621,VENTAS!$A$2:$A$1194,0),MATCH(PARAMS_MODELO!$B$2,{"Q1","Q2","Q3"},0)),0)</f>
        <v>65960148</v>
      </c>
      <c r="E621" s="8">
        <f t="shared" si="216"/>
        <v>0.45103093830649876</v>
      </c>
      <c r="F621" s="12">
        <f>IF(E621&lt;=PARAMS_MODELO!$B$15,0,IF(E621&gt;=PARAMS_MODELO!$B$17,100,100*MIN(1,(E621-PARAMS_MODELO!$B$15)/(PARAMS_MODELO!$B$16-PARAMS_MODELO!$B$15))))*PARAMS_MODELO!$B$7</f>
        <v>35</v>
      </c>
      <c r="G621" s="5">
        <f t="shared" si="217"/>
        <v>20502710.630000003</v>
      </c>
      <c r="H621" s="5">
        <f>(PARAMS_MODELO!$B$20*(MAX(0,MIN(3,E621))/3)+PARAMS_MODELO!$B$21*(IFERROR(LN(1+MAX(0,G621))/LN(1+MAX(0,MAX($G$2:$G$1194))),0)))*100*PARAMS_MODELO!$B$8</f>
        <v>5.5252175984800935</v>
      </c>
      <c r="I621" s="8">
        <f>E621-PARAMS_MODELO!$B$5</f>
        <v>0.27346810293097223</v>
      </c>
      <c r="J621" s="5">
        <f>IF(I621&lt;=PARAMS_MODELO!$B$18,0,IF(I621&gt;=PARAMS_MODELO!$B$19,100,100*(I621-PARAMS_MODELO!$B$18)/(PARAMS_MODELO!$B$19-PARAMS_MODELO!$B$18)))*PARAMS_MODELO!$B$9</f>
        <v>15</v>
      </c>
      <c r="K621" s="5">
        <f>IFERROR(CHOOSE(MATCH(PARAMS_MODELO!$B$2,{"Q1","Q2","Q3"},0),LOTO!$D621,LOTO!$F621,LOTO!$H621),0)</f>
        <v>3127500</v>
      </c>
      <c r="L621" s="8">
        <f t="shared" si="218"/>
        <v>4.7414993671633363E-2</v>
      </c>
      <c r="M621" s="5">
        <f>MIN(100,IF(PARAMS_MODELO!$B$23=0,0,100*L621/PARAMS_MODELO!$B$23))*PARAMS_MODELO!$B$10</f>
        <v>14.224498101490008</v>
      </c>
      <c r="N621" s="5">
        <f>IFERROR(VLOOKUP(A621,COMPLIANCE!$A$2:$F$1996,6,0),100)</f>
        <v>99.9</v>
      </c>
      <c r="O621" s="5">
        <f>N621*PARAMS_MODELO!$B$11</f>
        <v>9.990000000000002</v>
      </c>
      <c r="P621" s="5">
        <f>IFERROR(VLOOKUP(A621,DIGITAL!$A$2:$J$2000,7,0),100)</f>
        <v>71</v>
      </c>
      <c r="Q621" s="5">
        <f>IFERROR(P621,0)*PARAMS_MODELO!$B$12</f>
        <v>7.1000000000000005</v>
      </c>
      <c r="R621">
        <f t="shared" si="219"/>
        <v>86.8397156999701</v>
      </c>
      <c r="S621" s="5" t="str">
        <f>IFERROR(VLOOKUP(A621,CLIENTE!$A$2:$N$2000,13,0),1)</f>
        <v>Muy Bueno</v>
      </c>
      <c r="T621" s="5">
        <f>IFERROR(VLOOKUP(A621,CLIENTE!$A$2:$N$2000,14,0),1)</f>
        <v>1.1499999999999999</v>
      </c>
      <c r="U621" s="5">
        <f t="shared" si="220"/>
        <v>99.865673054965612</v>
      </c>
      <c r="V621" s="5" t="str">
        <f>IF(U621&gt;=MAX(_xlfn.PERCENTILE.INC($U$2:$U$1194,PARAMS_MODELO!$B$50),PARAMS_MODELO!$B$45),"DIAMANTE",IF(U621&gt;=MAX(_xlfn.PERCENTILE.INC($U$2:$U$1194,PARAMS_MODELO!$B$51),PARAMS_MODELO!$B$46),"PLATINO",IF(U621&gt;=MAX(_xlfn.PERCENTILE.INC($U$2:$U$1194,PARAMS_MODELO!$B$52),PARAMS_MODELO!$B$47),"ORO",IF(U621&gt;=MAX(_xlfn.PERCENTILE.INC($U$2:$U$1194,PARAMS_MODELO!$B$53),PARAMS_MODELO!$B$48),"PLATA",IF(U621&gt;=1,"BRONCE","CERRADO")))))</f>
        <v>DIAMANTE</v>
      </c>
      <c r="W621" s="5" t="str" cm="1">
        <f t="array" ref="W621">_xlfn.XLOOKUP(1, (HIST_SCORE!$B:$B=PARAMS_MODELO!$B$4) * (HIST_SCORE!$C:$C=A621), HIST_SCORE!$E:$E, "No encontrado")</f>
        <v>DIAMANTE</v>
      </c>
      <c r="X621" s="5" t="str">
        <f>_xlfn.LET(_xlpm.act,MATCH(V621,{"DIAMANTE";"PLATINO";"ORO";"PLATA";"BRONCE";"CERRADO"},0),_xlpm.ant,MATCH(W621,{"DIAMANTE";"PLATINO";"ORO";"PLATA";"BRONCE";"CERRADO"},0),IF(_xlpm.act&lt;_xlpm.ant,"Mejora ↑",IF(_xlpm.act&gt;_xlpm.ant,"Baja ↓","Estable →")))</f>
        <v>Estable →</v>
      </c>
      <c r="Y621" s="5">
        <f>IFERROR(U621-SUMIFS(HIST_SCORE!$D:$D,HIST_SCORE!$B:$B,PARAMS_MODELO!$B$4,HIST_SCORE!$C:$C,$A621),"")</f>
        <v>2.6006424942618622</v>
      </c>
      <c r="Z621" s="5" t="str">
        <f t="shared" si="221"/>
        <v>→ Estable</v>
      </c>
      <c r="AA621" s="5">
        <f t="shared" si="222"/>
        <v>19</v>
      </c>
      <c r="AB621" s="5">
        <f>IFERROR(SUMIFS(HIST_SCORE!$F:$F,HIST_SCORE!$B:$B,PARAMS_MODELO!$B$4,HIST_SCORE!$C:$C,$A621),"")</f>
        <v>39</v>
      </c>
      <c r="AC621" s="5">
        <f t="shared" si="223"/>
        <v>20</v>
      </c>
      <c r="AD621" t="str">
        <f t="shared" si="225"/>
        <v/>
      </c>
      <c r="AE6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621="CERRADO",1,IF(V621="BRONCE",_xlpm.cPl,IF(V621="PLATA",_xlpm.cO,IF(V621="ORO",_xlpm.cP,IF(V621="PLATINO",_xlpm.cD,999))))))</f>
        <v>999</v>
      </c>
      <c r="AF6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621="CERRADO",0,IF(V621="BRONCE",1,IF(V621="PLATA",_xlpm.cPl,IF(V621="ORO",_xlpm.cO,IF(V621="PLATINO",_xlpm.cP,_xlpm.cD))))))</f>
        <v>96.054919694466676</v>
      </c>
      <c r="AG621">
        <f t="shared" si="226"/>
        <v>781.85593647394307</v>
      </c>
      <c r="AH621" t="str">
        <f t="shared" si="227"/>
        <v>SOSTENER</v>
      </c>
      <c r="AI621" t="str">
        <f t="shared" si="224"/>
        <v>✅ Mantener desempeño y monitorear variaciones para sostener categoría.</v>
      </c>
      <c r="AJ621" s="26">
        <f>_xlfn.LET(_xlpm.piso,AF621,_xlpm.corte,AE621,_xlpm.prog,IF(_xlpm.corte&lt;=_xlpm.piso,0,MAX(0,MIN(1,(U621-_xlpm.piso)/(_xlpm.corte-_xlpm.piso)))),_xlpm.orden,{"DIAMANTE";"PLATINO";"ORO";"PLATA";"BRONCE";"CERRADO"},_xlpm.act,IFERROR(MATCH(V621,_xlpm.orden,0),6),_xlpm.ant,IFERROR(MATCH(W621,_xlpm.orden,0),6),_xlpm.ajmov,IF(_xlpm.act&lt;_xlpm.ant,0.08,IF(_xlpm.act&gt;_xlpm.ant,-0.08,0)),_xlpm.ajcli,IF(T621&lt;0.95,-0.06,0),_xlpm.prob,MAX(0,MIN(1,_xlpm.prog+_xlpm.ajmov+_xlpm.ajcli)),IF(OR(V621="DIAMANTE",V621="CERRADO"),0,ROUND(_xlpm.prob,2)))</f>
        <v>0</v>
      </c>
      <c r="AK621" t="str">
        <f t="shared" si="228"/>
        <v>No aplica</v>
      </c>
      <c r="AL621" t="str">
        <f t="shared" si="229"/>
        <v>Margen de seguridad: 3,8 puntos</v>
      </c>
      <c r="AM621">
        <f t="shared" si="230"/>
        <v>0.8</v>
      </c>
      <c r="AN621" t="str">
        <f t="shared" si="231"/>
        <v>PRIORIDAD ALTA – requiere intervención inmediata</v>
      </c>
      <c r="AO621">
        <f t="shared" si="232"/>
        <v>10.73795442833781</v>
      </c>
      <c r="AP621">
        <f t="shared" si="233"/>
        <v>0.89182718328649069</v>
      </c>
      <c r="AQ621">
        <f t="shared" si="234"/>
        <v>1.1499999999997712E-2</v>
      </c>
      <c r="AR621">
        <f t="shared" si="235"/>
        <v>3.3349999999999991</v>
      </c>
      <c r="AS621">
        <f t="shared" si="236"/>
        <v>0</v>
      </c>
      <c r="AT621" t="str">
        <f t="shared" si="237"/>
        <v>VENTAS</v>
      </c>
      <c r="AU621">
        <f t="shared" si="238"/>
        <v>10.73795442833781</v>
      </c>
      <c r="AV621" t="str">
        <f t="shared" si="239"/>
        <v>Mayor retorno probable: VENTAS (+10,7 puntos finales potenciales).</v>
      </c>
    </row>
    <row r="622" spans="1:48" x14ac:dyDescent="0.3">
      <c r="A622" s="5">
        <v>51055462</v>
      </c>
      <c r="B622" s="5" t="str">
        <f>IFERROR(VLOOKUP(A622,VENTAS!$A$2:$B$1194,2,0),"")</f>
        <v>CICHETTO</v>
      </c>
      <c r="C622" s="5">
        <f>IFERROR(INDEX(VENTAS!$C$2:$E$1194,MATCH(A622,VENTAS!$A$2:$A$1194,0),MATCH(PARAMS_MODELO!$B$2,{"Q1","Q2","Q3"},0)),0)</f>
        <v>55255770.869999997</v>
      </c>
      <c r="D622" s="5">
        <f>IFERROR(INDEX(VENTAS!$F$2:$H$1194,MATCH(A622,VENTAS!$A$2:$A$1194,0),MATCH(PARAMS_MODELO!$B$2,{"Q1","Q2","Q3"},0)),0)</f>
        <v>65928622</v>
      </c>
      <c r="E622" s="8">
        <f t="shared" si="216"/>
        <v>0.19315360118873315</v>
      </c>
      <c r="F622" s="12">
        <f>IF(E622&lt;=PARAMS_MODELO!$B$15,0,IF(E622&gt;=PARAMS_MODELO!$B$17,100,100*MIN(1,(E622-PARAMS_MODELO!$B$15)/(PARAMS_MODELO!$B$16-PARAMS_MODELO!$B$15))))*PARAMS_MODELO!$B$7</f>
        <v>35</v>
      </c>
      <c r="G622" s="5">
        <f t="shared" si="217"/>
        <v>10672851.130000003</v>
      </c>
      <c r="H622" s="5">
        <f>(PARAMS_MODELO!$B$20*(MAX(0,MIN(3,E622))/3)+PARAMS_MODELO!$B$21*(IFERROR(LN(1+MAX(0,G622))/LN(1+MAX(0,MAX($G$2:$G$1194))),0)))*100*PARAMS_MODELO!$B$8</f>
        <v>4.4696088691533387</v>
      </c>
      <c r="I622" s="8">
        <f>E622-PARAMS_MODELO!$B$5</f>
        <v>1.559076581320662E-2</v>
      </c>
      <c r="J622" s="5">
        <f>IF(I622&lt;=PARAMS_MODELO!$B$18,0,IF(I622&gt;=PARAMS_MODELO!$B$19,100,100*(I622-PARAMS_MODELO!$B$18)/(PARAMS_MODELO!$B$19-PARAMS_MODELO!$B$18)))*PARAMS_MODELO!$B$9</f>
        <v>9.838614871980992</v>
      </c>
      <c r="K622" s="5">
        <f>IFERROR(CHOOSE(MATCH(PARAMS_MODELO!$B$2,{"Q1","Q2","Q3"},0),LOTO!$D622,LOTO!$F622,LOTO!$H622),0)</f>
        <v>3112500</v>
      </c>
      <c r="L622" s="8">
        <f t="shared" si="218"/>
        <v>4.7210147968813912E-2</v>
      </c>
      <c r="M622" s="5">
        <f>MIN(100,IF(PARAMS_MODELO!$B$23=0,0,100*L622/PARAMS_MODELO!$B$23))*PARAMS_MODELO!$B$10</f>
        <v>14.163044390644174</v>
      </c>
      <c r="N622" s="5">
        <f>IFERROR(VLOOKUP(A622,COMPLIANCE!$A$2:$F$1996,6,0),100)</f>
        <v>100</v>
      </c>
      <c r="O622" s="5">
        <f>N622*PARAMS_MODELO!$B$11</f>
        <v>10</v>
      </c>
      <c r="P622" s="5">
        <f>IFERROR(VLOOKUP(A622,DIGITAL!$A$2:$J$2000,7,0),100)</f>
        <v>70</v>
      </c>
      <c r="Q622" s="5">
        <f>IFERROR(P622,0)*PARAMS_MODELO!$B$12</f>
        <v>7</v>
      </c>
      <c r="R622">
        <f t="shared" si="219"/>
        <v>80.471268131778515</v>
      </c>
      <c r="S622" s="5" t="str">
        <f>IFERROR(VLOOKUP(A622,CLIENTE!$A$2:$N$2000,13,0),1)</f>
        <v>Bueno</v>
      </c>
      <c r="T622" s="5">
        <f>IFERROR(VLOOKUP(A622,CLIENTE!$A$2:$N$2000,14,0),1)</f>
        <v>1.1000000000000001</v>
      </c>
      <c r="U622" s="5">
        <f t="shared" si="220"/>
        <v>88.51839494495637</v>
      </c>
      <c r="V622" s="5" t="str">
        <f>IF(U622&gt;=MAX(_xlfn.PERCENTILE.INC($U$2:$U$1194,PARAMS_MODELO!$B$50),PARAMS_MODELO!$B$45),"DIAMANTE",IF(U622&gt;=MAX(_xlfn.PERCENTILE.INC($U$2:$U$1194,PARAMS_MODELO!$B$51),PARAMS_MODELO!$B$46),"PLATINO",IF(U622&gt;=MAX(_xlfn.PERCENTILE.INC($U$2:$U$1194,PARAMS_MODELO!$B$52),PARAMS_MODELO!$B$47),"ORO",IF(U622&gt;=MAX(_xlfn.PERCENTILE.INC($U$2:$U$1194,PARAMS_MODELO!$B$53),PARAMS_MODELO!$B$48),"PLATA",IF(U622&gt;=1,"BRONCE","CERRADO")))))</f>
        <v>PLATINO</v>
      </c>
      <c r="W622" s="5" t="str" cm="1">
        <f t="array" ref="W622">_xlfn.XLOOKUP(1, (HIST_SCORE!$B:$B=PARAMS_MODELO!$B$4) * (HIST_SCORE!$C:$C=A622), HIST_SCORE!$E:$E, "No encontrado")</f>
        <v>PLATINO</v>
      </c>
      <c r="X622" s="5" t="str">
        <f>_xlfn.LET(_xlpm.act,MATCH(V622,{"DIAMANTE";"PLATINO";"ORO";"PLATA";"BRONCE";"CERRADO"},0),_xlpm.ant,MATCH(W622,{"DIAMANTE";"PLATINO";"ORO";"PLATA";"BRONCE";"CERRADO"},0),IF(_xlpm.act&lt;_xlpm.ant,"Mejora ↑",IF(_xlpm.act&gt;_xlpm.ant,"Baja ↓","Estable →")))</f>
        <v>Estable →</v>
      </c>
      <c r="Y622" s="5">
        <f>IFERROR(U622-SUMIFS(HIST_SCORE!$D:$D,HIST_SCORE!$B:$B,PARAMS_MODELO!$B$4,HIST_SCORE!$C:$C,$A622),"")</f>
        <v>-3.1430282374390828</v>
      </c>
      <c r="Z622" s="5" t="str">
        <f t="shared" si="221"/>
        <v>→ Estable</v>
      </c>
      <c r="AA622" s="5">
        <f t="shared" si="222"/>
        <v>181</v>
      </c>
      <c r="AB622" s="5">
        <f>IFERROR(SUMIFS(HIST_SCORE!$F:$F,HIST_SCORE!$B:$B,PARAMS_MODELO!$B$4,HIST_SCORE!$C:$C,$A622),"")</f>
        <v>106</v>
      </c>
      <c r="AC622" s="5">
        <f t="shared" si="223"/>
        <v>-75</v>
      </c>
      <c r="AD622" t="str">
        <f t="shared" si="225"/>
        <v/>
      </c>
      <c r="AE6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622="CERRADO",1,IF(V622="BRONCE",_xlpm.cPl,IF(V622="PLATA",_xlpm.cO,IF(V622="ORO",_xlpm.cP,IF(V622="PLATINO",_xlpm.cD,999))))))</f>
        <v>96.054919694466676</v>
      </c>
      <c r="AF6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622="CERRADO",0,IF(V622="BRONCE",1,IF(V622="PLATA",_xlpm.cPl,IF(V622="ORO",_xlpm.cO,IF(V622="PLATINO",_xlpm.cP,_xlpm.cD))))))</f>
        <v>86.439123873763251</v>
      </c>
      <c r="AG622">
        <f t="shared" si="226"/>
        <v>6.8513861359184602</v>
      </c>
      <c r="AH622" t="str">
        <f t="shared" si="227"/>
        <v>VENTAS</v>
      </c>
      <c r="AI622" t="str">
        <f t="shared" si="224"/>
        <v>🎯 Para subir de categoría, eje VENTAS / IMPACTO ABSOLUTO (H). Acción: metas semanales + activación comercial + seguimiento del asesor. ΔR aprox: 6,9</v>
      </c>
      <c r="AJ622" s="26">
        <f>_xlfn.LET(_xlpm.piso,AF622,_xlpm.corte,AE622,_xlpm.prog,IF(_xlpm.corte&lt;=_xlpm.piso,0,MAX(0,MIN(1,(U622-_xlpm.piso)/(_xlpm.corte-_xlpm.piso)))),_xlpm.orden,{"DIAMANTE";"PLATINO";"ORO";"PLATA";"BRONCE";"CERRADO"},_xlpm.act,IFERROR(MATCH(V622,_xlpm.orden,0),6),_xlpm.ant,IFERROR(MATCH(W622,_xlpm.orden,0),6),_xlpm.ajmov,IF(_xlpm.act&lt;_xlpm.ant,0.08,IF(_xlpm.act&gt;_xlpm.ant,-0.08,0)),_xlpm.ajcli,IF(T622&lt;0.95,-0.06,0),_xlpm.prob,MAX(0,MIN(1,_xlpm.prog+_xlpm.ajmov+_xlpm.ajcli)),IF(OR(V622="DIAMANTE",V622="CERRADO"),0,ROUND(_xlpm.prob,2)))</f>
        <v>0.22</v>
      </c>
      <c r="AK622" t="str">
        <f t="shared" si="228"/>
        <v>Faltan 6,9 puntos base para subir a la siguiente categoría</v>
      </c>
      <c r="AL622" t="str">
        <f t="shared" si="229"/>
        <v>Margen de seguridad: 2,1 puntos</v>
      </c>
      <c r="AM622">
        <f t="shared" si="230"/>
        <v>0.59</v>
      </c>
      <c r="AN622" t="str">
        <f t="shared" si="231"/>
        <v>PRIORIDAD MEDIA – seguimiento del asesor</v>
      </c>
      <c r="AO622">
        <f t="shared" si="232"/>
        <v>17.109780087577377</v>
      </c>
      <c r="AP622">
        <f t="shared" si="233"/>
        <v>0.92065117029140853</v>
      </c>
      <c r="AQ622">
        <f t="shared" si="234"/>
        <v>0</v>
      </c>
      <c r="AR622">
        <f t="shared" si="235"/>
        <v>3.3000000000000003</v>
      </c>
      <c r="AS622">
        <f t="shared" si="236"/>
        <v>0</v>
      </c>
      <c r="AT622" t="str">
        <f t="shared" si="237"/>
        <v>VENTAS</v>
      </c>
      <c r="AU622">
        <f t="shared" si="238"/>
        <v>17.109780087577377</v>
      </c>
      <c r="AV622" t="str">
        <f t="shared" si="239"/>
        <v>Mayor retorno probable: VENTAS (+17,1 puntos finales potenciales).</v>
      </c>
    </row>
    <row r="623" spans="1:48" x14ac:dyDescent="0.3">
      <c r="A623" s="5">
        <v>51014081</v>
      </c>
      <c r="B623" s="5" t="str">
        <f>IFERROR(VLOOKUP(A623,VENTAS!$A$2:$B$1194,2,0),"")</f>
        <v>NELLI</v>
      </c>
      <c r="C623" s="5">
        <f>IFERROR(INDEX(VENTAS!$C$2:$E$1194,MATCH(A623,VENTAS!$A$2:$A$1194,0),MATCH(PARAMS_MODELO!$B$2,{"Q1","Q2","Q3"},0)),0)</f>
        <v>40709522.119999997</v>
      </c>
      <c r="D623" s="5">
        <f>IFERROR(INDEX(VENTAS!$F$2:$H$1194,MATCH(A623,VENTAS!$A$2:$A$1194,0),MATCH(PARAMS_MODELO!$B$2,{"Q1","Q2","Q3"},0)),0)</f>
        <v>65828706</v>
      </c>
      <c r="E623" s="8">
        <f t="shared" si="216"/>
        <v>0.61703460448284919</v>
      </c>
      <c r="F623" s="12">
        <f>IF(E623&lt;=PARAMS_MODELO!$B$15,0,IF(E623&gt;=PARAMS_MODELO!$B$17,100,100*MIN(1,(E623-PARAMS_MODELO!$B$15)/(PARAMS_MODELO!$B$16-PARAMS_MODELO!$B$15))))*PARAMS_MODELO!$B$7</f>
        <v>35</v>
      </c>
      <c r="G623" s="5">
        <f t="shared" si="217"/>
        <v>25119183.880000003</v>
      </c>
      <c r="H623" s="5">
        <f>(PARAMS_MODELO!$B$20*(MAX(0,MIN(3,E623))/3)+PARAMS_MODELO!$B$21*(IFERROR(LN(1+MAX(0,G623))/LN(1+MAX(0,MAX($G$2:$G$1194))),0)))*100*PARAMS_MODELO!$B$8</f>
        <v>6.1538339842170808</v>
      </c>
      <c r="I623" s="8">
        <f>E623-PARAMS_MODELO!$B$5</f>
        <v>0.43947176910732266</v>
      </c>
      <c r="J623" s="5">
        <f>IF(I623&lt;=PARAMS_MODELO!$B$18,0,IF(I623&gt;=PARAMS_MODELO!$B$19,100,100*(I623-PARAMS_MODELO!$B$18)/(PARAMS_MODELO!$B$19-PARAMS_MODELO!$B$18)))*PARAMS_MODELO!$B$9</f>
        <v>15</v>
      </c>
      <c r="K623" s="5">
        <f>IFERROR(CHOOSE(MATCH(PARAMS_MODELO!$B$2,{"Q1","Q2","Q3"},0),LOTO!$D623,LOTO!$F623,LOTO!$H623),0)</f>
        <v>3107500</v>
      </c>
      <c r="L623" s="8">
        <f t="shared" si="218"/>
        <v>4.7205849679013895E-2</v>
      </c>
      <c r="M623" s="5">
        <f>MIN(100,IF(PARAMS_MODELO!$B$23=0,0,100*L623/PARAMS_MODELO!$B$23))*PARAMS_MODELO!$B$10</f>
        <v>14.161754903704168</v>
      </c>
      <c r="N623" s="5">
        <f>IFERROR(VLOOKUP(A623,COMPLIANCE!$A$2:$F$1996,6,0),100)</f>
        <v>99.85</v>
      </c>
      <c r="O623" s="5">
        <f>N623*PARAMS_MODELO!$B$11</f>
        <v>9.9849999999999994</v>
      </c>
      <c r="P623" s="5">
        <f>IFERROR(VLOOKUP(A623,DIGITAL!$A$2:$J$2000,7,0),100)</f>
        <v>47</v>
      </c>
      <c r="Q623" s="5">
        <f>IFERROR(P623,0)*PARAMS_MODELO!$B$12</f>
        <v>4.7</v>
      </c>
      <c r="R623">
        <f t="shared" si="219"/>
        <v>85.000588887921253</v>
      </c>
      <c r="S623" s="5" t="str">
        <f>IFERROR(VLOOKUP(A623,CLIENTE!$A$2:$N$2000,13,0),1)</f>
        <v>Regular</v>
      </c>
      <c r="T623" s="5">
        <f>IFERROR(VLOOKUP(A623,CLIENTE!$A$2:$N$2000,14,0),1)</f>
        <v>1</v>
      </c>
      <c r="U623" s="5">
        <f t="shared" si="220"/>
        <v>85.000588887921253</v>
      </c>
      <c r="V623" s="5" t="str">
        <f>IF(U623&gt;=MAX(_xlfn.PERCENTILE.INC($U$2:$U$1194,PARAMS_MODELO!$B$50),PARAMS_MODELO!$B$45),"DIAMANTE",IF(U623&gt;=MAX(_xlfn.PERCENTILE.INC($U$2:$U$1194,PARAMS_MODELO!$B$51),PARAMS_MODELO!$B$46),"PLATINO",IF(U623&gt;=MAX(_xlfn.PERCENTILE.INC($U$2:$U$1194,PARAMS_MODELO!$B$52),PARAMS_MODELO!$B$47),"ORO",IF(U623&gt;=MAX(_xlfn.PERCENTILE.INC($U$2:$U$1194,PARAMS_MODELO!$B$53),PARAMS_MODELO!$B$48),"PLATA",IF(U623&gt;=1,"BRONCE","CERRADO")))))</f>
        <v>ORO</v>
      </c>
      <c r="W623" s="5" t="str" cm="1">
        <f t="array" ref="W623">_xlfn.XLOOKUP(1, (HIST_SCORE!$B:$B=PARAMS_MODELO!$B$4) * (HIST_SCORE!$C:$C=A623), HIST_SCORE!$E:$E, "No encontrado")</f>
        <v>PLATA</v>
      </c>
      <c r="X623" s="5" t="str">
        <f>_xlfn.LET(_xlpm.act,MATCH(V623,{"DIAMANTE";"PLATINO";"ORO";"PLATA";"BRONCE";"CERRADO"},0),_xlpm.ant,MATCH(W623,{"DIAMANTE";"PLATINO";"ORO";"PLATA";"BRONCE";"CERRADO"},0),IF(_xlpm.act&lt;_xlpm.ant,"Mejora ↑",IF(_xlpm.act&gt;_xlpm.ant,"Baja ↓","Estable →")))</f>
        <v>Mejora ↑</v>
      </c>
      <c r="Y623" s="5">
        <f>IFERROR(U623-SUMIFS(HIST_SCORE!$D:$D,HIST_SCORE!$B:$B,PARAMS_MODELO!$B$4,HIST_SCORE!$C:$C,$A623),"")</f>
        <v>55.315588887921251</v>
      </c>
      <c r="Z623" s="5" t="str">
        <f t="shared" si="221"/>
        <v>↑ Mejora</v>
      </c>
      <c r="AA623" s="5">
        <f t="shared" si="222"/>
        <v>284</v>
      </c>
      <c r="AB623" s="5">
        <f>IFERROR(SUMIFS(HIST_SCORE!$F:$F,HIST_SCORE!$B:$B,PARAMS_MODELO!$B$4,HIST_SCORE!$C:$C,$A623),"")</f>
        <v>912</v>
      </c>
      <c r="AC623" s="5">
        <f t="shared" si="223"/>
        <v>628</v>
      </c>
      <c r="AD623" t="str">
        <f t="shared" si="225"/>
        <v/>
      </c>
      <c r="AE6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623="CERRADO",1,IF(V623="BRONCE",_xlpm.cPl,IF(V623="PLATA",_xlpm.cO,IF(V623="ORO",_xlpm.cP,IF(V623="PLATINO",_xlpm.cD,999))))))</f>
        <v>86.439123873763251</v>
      </c>
      <c r="AF6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623="CERRADO",0,IF(V623="BRONCE",1,IF(V623="PLATA",_xlpm.cPl,IF(V623="ORO",_xlpm.cO,IF(V623="PLATINO",_xlpm.cP,_xlpm.cD))))))</f>
        <v>63.199193273331495</v>
      </c>
      <c r="AG623">
        <f t="shared" si="226"/>
        <v>1.4385349858419971</v>
      </c>
      <c r="AH623" t="str">
        <f t="shared" si="227"/>
        <v>VENTAS</v>
      </c>
      <c r="AI623" t="str">
        <f t="shared" si="224"/>
        <v>🎯 Para subir de categoría, eje VENTAS / IMPACTO ABSOLUTO (H). Acción: metas semanales + activación comercial + seguimiento del asesor. ΔR aprox: 1,4</v>
      </c>
      <c r="AJ623" s="26">
        <f>_xlfn.LET(_xlpm.piso,AF623,_xlpm.corte,AE623,_xlpm.prog,IF(_xlpm.corte&lt;=_xlpm.piso,0,MAX(0,MIN(1,(U623-_xlpm.piso)/(_xlpm.corte-_xlpm.piso)))),_xlpm.orden,{"DIAMANTE";"PLATINO";"ORO";"PLATA";"BRONCE";"CERRADO"},_xlpm.act,IFERROR(MATCH(V623,_xlpm.orden,0),6),_xlpm.ant,IFERROR(MATCH(W623,_xlpm.orden,0),6),_xlpm.ajmov,IF(_xlpm.act&lt;_xlpm.ant,0.08,IF(_xlpm.act&gt;_xlpm.ant,-0.08,0)),_xlpm.ajcli,IF(T623&lt;0.95,-0.06,0),_xlpm.prob,MAX(0,MIN(1,_xlpm.prog+_xlpm.ajmov+_xlpm.ajcli)),IF(OR(V623="DIAMANTE",V623="CERRADO"),0,ROUND(_xlpm.prob,2)))</f>
        <v>1</v>
      </c>
      <c r="AK623" t="str">
        <f t="shared" si="228"/>
        <v>Faltan 1,4 puntos base para subir a la siguiente categoría</v>
      </c>
      <c r="AL623" t="str">
        <f t="shared" si="229"/>
        <v>Margen de seguridad: 21,8 puntos</v>
      </c>
      <c r="AM623">
        <f t="shared" si="230"/>
        <v>0.06</v>
      </c>
      <c r="AN623" t="str">
        <f t="shared" si="231"/>
        <v>PRIORIDAD BAJA – control normal</v>
      </c>
      <c r="AO623">
        <f t="shared" si="232"/>
        <v>8.7087352910785043</v>
      </c>
      <c r="AP623">
        <f t="shared" si="233"/>
        <v>0.83824509629583233</v>
      </c>
      <c r="AQ623">
        <f t="shared" si="234"/>
        <v>1.5000000000000568E-2</v>
      </c>
      <c r="AR623">
        <f t="shared" si="235"/>
        <v>5.3</v>
      </c>
      <c r="AS623">
        <f t="shared" si="236"/>
        <v>0</v>
      </c>
      <c r="AT623" t="str">
        <f t="shared" si="237"/>
        <v>VENTAS</v>
      </c>
      <c r="AU623">
        <f t="shared" si="238"/>
        <v>8.7087352910785043</v>
      </c>
      <c r="AV623" t="str">
        <f t="shared" si="239"/>
        <v>Mayor retorno probable: VENTAS (+8,7 puntos finales potenciales).</v>
      </c>
    </row>
    <row r="624" spans="1:48" x14ac:dyDescent="0.3">
      <c r="A624" s="5">
        <v>51055918</v>
      </c>
      <c r="B624" s="5" t="str">
        <f>IFERROR(VLOOKUP(A624,VENTAS!$A$2:$B$1194,2,0),"")</f>
        <v>BELUZZO</v>
      </c>
      <c r="C624" s="5">
        <f>IFERROR(INDEX(VENTAS!$C$2:$E$1194,MATCH(A624,VENTAS!$A$2:$A$1194,0),MATCH(PARAMS_MODELO!$B$2,{"Q1","Q2","Q3"},0)),0)</f>
        <v>54997433.520000003</v>
      </c>
      <c r="D624" s="5">
        <f>IFERROR(INDEX(VENTAS!$F$2:$H$1194,MATCH(A624,VENTAS!$A$2:$A$1194,0),MATCH(PARAMS_MODELO!$B$2,{"Q1","Q2","Q3"},0)),0)</f>
        <v>65804498</v>
      </c>
      <c r="E624" s="8">
        <f t="shared" si="216"/>
        <v>0.19650125084600489</v>
      </c>
      <c r="F624" s="12">
        <f>IF(E624&lt;=PARAMS_MODELO!$B$15,0,IF(E624&gt;=PARAMS_MODELO!$B$17,100,100*MIN(1,(E624-PARAMS_MODELO!$B$15)/(PARAMS_MODELO!$B$16-PARAMS_MODELO!$B$15))))*PARAMS_MODELO!$B$7</f>
        <v>35</v>
      </c>
      <c r="G624" s="5">
        <f t="shared" si="217"/>
        <v>10807064.479999997</v>
      </c>
      <c r="H624" s="5">
        <f>(PARAMS_MODELO!$B$20*(MAX(0,MIN(3,E624))/3)+PARAMS_MODELO!$B$21*(IFERROR(LN(1+MAX(0,G624))/LN(1+MAX(0,MAX($G$2:$G$1194))),0)))*100*PARAMS_MODELO!$B$8</f>
        <v>4.4842550668898147</v>
      </c>
      <c r="I624" s="8">
        <f>E624-PARAMS_MODELO!$B$5</f>
        <v>1.8938415470478365E-2</v>
      </c>
      <c r="J624" s="5">
        <f>IF(I624&lt;=PARAMS_MODELO!$B$18,0,IF(I624&gt;=PARAMS_MODELO!$B$19,100,100*(I624-PARAMS_MODELO!$B$18)/(PARAMS_MODELO!$B$19-PARAMS_MODELO!$B$18)))*PARAMS_MODELO!$B$9</f>
        <v>10.340762320571754</v>
      </c>
      <c r="K624" s="5">
        <f>IFERROR(CHOOSE(MATCH(PARAMS_MODELO!$B$2,{"Q1","Q2","Q3"},0),LOTO!$D624,LOTO!$F624,LOTO!$H624),0)</f>
        <v>3102500</v>
      </c>
      <c r="L624" s="8">
        <f t="shared" si="218"/>
        <v>4.7147233005257486E-2</v>
      </c>
      <c r="M624" s="5">
        <f>MIN(100,IF(PARAMS_MODELO!$B$23=0,0,100*L624/PARAMS_MODELO!$B$23))*PARAMS_MODELO!$B$10</f>
        <v>14.144169901577245</v>
      </c>
      <c r="N624" s="5">
        <f>IFERROR(VLOOKUP(A624,COMPLIANCE!$A$2:$F$1996,6,0),100)</f>
        <v>100</v>
      </c>
      <c r="O624" s="5">
        <f>N624*PARAMS_MODELO!$B$11</f>
        <v>10</v>
      </c>
      <c r="P624" s="5">
        <f>IFERROR(VLOOKUP(A624,DIGITAL!$A$2:$J$2000,7,0),100)</f>
        <v>91</v>
      </c>
      <c r="Q624" s="5">
        <f>IFERROR(P624,0)*PARAMS_MODELO!$B$12</f>
        <v>9.1</v>
      </c>
      <c r="R624">
        <f t="shared" si="219"/>
        <v>83.069187289038808</v>
      </c>
      <c r="S624" s="5" t="str">
        <f>IFERROR(VLOOKUP(A624,CLIENTE!$A$2:$N$2000,13,0),1)</f>
        <v>Regular</v>
      </c>
      <c r="T624" s="5">
        <f>IFERROR(VLOOKUP(A624,CLIENTE!$A$2:$N$2000,14,0),1)</f>
        <v>1</v>
      </c>
      <c r="U624" s="5">
        <f t="shared" si="220"/>
        <v>83.069187289038808</v>
      </c>
      <c r="V624" s="5" t="str">
        <f>IF(U624&gt;=MAX(_xlfn.PERCENTILE.INC($U$2:$U$1194,PARAMS_MODELO!$B$50),PARAMS_MODELO!$B$45),"DIAMANTE",IF(U624&gt;=MAX(_xlfn.PERCENTILE.INC($U$2:$U$1194,PARAMS_MODELO!$B$51),PARAMS_MODELO!$B$46),"PLATINO",IF(U624&gt;=MAX(_xlfn.PERCENTILE.INC($U$2:$U$1194,PARAMS_MODELO!$B$52),PARAMS_MODELO!$B$47),"ORO",IF(U624&gt;=MAX(_xlfn.PERCENTILE.INC($U$2:$U$1194,PARAMS_MODELO!$B$53),PARAMS_MODELO!$B$48),"PLATA",IF(U624&gt;=1,"BRONCE","CERRADO")))))</f>
        <v>ORO</v>
      </c>
      <c r="W624" s="5" t="str" cm="1">
        <f t="array" ref="W624">_xlfn.XLOOKUP(1, (HIST_SCORE!$B:$B=PARAMS_MODELO!$B$4) * (HIST_SCORE!$C:$C=A624), HIST_SCORE!$E:$E, "No encontrado")</f>
        <v>PLATINO</v>
      </c>
      <c r="X624" s="5" t="str">
        <f>_xlfn.LET(_xlpm.act,MATCH(V624,{"DIAMANTE";"PLATINO";"ORO";"PLATA";"BRONCE";"CERRADO"},0),_xlpm.ant,MATCH(W624,{"DIAMANTE";"PLATINO";"ORO";"PLATA";"BRONCE";"CERRADO"},0),IF(_xlpm.act&lt;_xlpm.ant,"Mejora ↑",IF(_xlpm.act&gt;_xlpm.ant,"Baja ↓","Estable →")))</f>
        <v>Baja ↓</v>
      </c>
      <c r="Y624" s="5">
        <f>IFERROR(U624-SUMIFS(HIST_SCORE!$D:$D,HIST_SCORE!$B:$B,PARAMS_MODELO!$B$4,HIST_SCORE!$C:$C,$A624),"")</f>
        <v>-3.0108090114772921</v>
      </c>
      <c r="Z624" s="5" t="str">
        <f t="shared" si="221"/>
        <v>→ Estable</v>
      </c>
      <c r="AA624" s="5">
        <f t="shared" si="222"/>
        <v>353</v>
      </c>
      <c r="AB624" s="5">
        <f>IFERROR(SUMIFS(HIST_SCORE!$F:$F,HIST_SCORE!$B:$B,PARAMS_MODELO!$B$4,HIST_SCORE!$C:$C,$A624),"")</f>
        <v>236</v>
      </c>
      <c r="AC624" s="5">
        <f t="shared" si="223"/>
        <v>-117</v>
      </c>
      <c r="AD624" t="str">
        <f t="shared" si="225"/>
        <v>Sostener base y reforzar mix</v>
      </c>
      <c r="AE6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624="CERRADO",1,IF(V624="BRONCE",_xlpm.cPl,IF(V624="PLATA",_xlpm.cO,IF(V624="ORO",_xlpm.cP,IF(V624="PLATINO",_xlpm.cD,999))))))</f>
        <v>86.439123873763251</v>
      </c>
      <c r="AF6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624="CERRADO",0,IF(V624="BRONCE",1,IF(V624="PLATA",_xlpm.cPl,IF(V624="ORO",_xlpm.cO,IF(V624="PLATINO",_xlpm.cP,_xlpm.cD))))))</f>
        <v>63.199193273331495</v>
      </c>
      <c r="AG624">
        <f t="shared" si="226"/>
        <v>3.3699365847244422</v>
      </c>
      <c r="AH624" t="str">
        <f t="shared" si="227"/>
        <v>VENTAS</v>
      </c>
      <c r="AI624" t="str">
        <f t="shared" si="224"/>
        <v>🎯 Para subir de categoría, eje VENTAS / IMPACTO ABSOLUTO (H). Acción: metas semanales + activación comercial + seguimiento del asesor. ΔR aprox: 3,4</v>
      </c>
      <c r="AJ624" s="26">
        <f>_xlfn.LET(_xlpm.piso,AF624,_xlpm.corte,AE624,_xlpm.prog,IF(_xlpm.corte&lt;=_xlpm.piso,0,MAX(0,MIN(1,(U624-_xlpm.piso)/(_xlpm.corte-_xlpm.piso)))),_xlpm.orden,{"DIAMANTE";"PLATINO";"ORO";"PLATA";"BRONCE";"CERRADO"},_xlpm.act,IFERROR(MATCH(V624,_xlpm.orden,0),6),_xlpm.ant,IFERROR(MATCH(W624,_xlpm.orden,0),6),_xlpm.ajmov,IF(_xlpm.act&lt;_xlpm.ant,0.08,IF(_xlpm.act&gt;_xlpm.ant,-0.08,0)),_xlpm.ajcli,IF(T624&lt;0.95,-0.06,0),_xlpm.prob,MAX(0,MIN(1,_xlpm.prog+_xlpm.ajmov+_xlpm.ajcli)),IF(OR(V624="DIAMANTE",V624="CERRADO"),0,ROUND(_xlpm.prob,2)))</f>
        <v>0.77</v>
      </c>
      <c r="AK624" t="str">
        <f t="shared" si="228"/>
        <v>Faltan 3,4 puntos base para subir a la siguiente categoría</v>
      </c>
      <c r="AL624" t="str">
        <f t="shared" si="229"/>
        <v>Margen de seguridad: 19,9 puntos</v>
      </c>
      <c r="AM624">
        <f t="shared" si="230"/>
        <v>0.23</v>
      </c>
      <c r="AN624" t="str">
        <f t="shared" si="231"/>
        <v>PRIORIDAD BAJA – control normal</v>
      </c>
      <c r="AO624">
        <f t="shared" si="232"/>
        <v>15.037551887834013</v>
      </c>
      <c r="AP624">
        <f t="shared" si="233"/>
        <v>0.85583009842275537</v>
      </c>
      <c r="AQ624">
        <f t="shared" si="234"/>
        <v>0</v>
      </c>
      <c r="AR624">
        <f t="shared" si="235"/>
        <v>0.90000000000000036</v>
      </c>
      <c r="AS624">
        <f t="shared" si="236"/>
        <v>0</v>
      </c>
      <c r="AT624" t="str">
        <f t="shared" si="237"/>
        <v>VENTAS</v>
      </c>
      <c r="AU624">
        <f t="shared" si="238"/>
        <v>15.037551887834013</v>
      </c>
      <c r="AV624" t="str">
        <f t="shared" si="239"/>
        <v>Mayor retorno probable: VENTAS (+15,0 puntos finales potenciales).</v>
      </c>
    </row>
    <row r="625" spans="1:48" x14ac:dyDescent="0.3">
      <c r="A625" s="5">
        <v>51016785</v>
      </c>
      <c r="B625" s="5" t="str">
        <f>IFERROR(VLOOKUP(A625,VENTAS!$A$2:$B$1194,2,0),"")</f>
        <v>BELUZZO</v>
      </c>
      <c r="C625" s="5">
        <f>IFERROR(INDEX(VENTAS!$C$2:$E$1194,MATCH(A625,VENTAS!$A$2:$A$1194,0),MATCH(PARAMS_MODELO!$B$2,{"Q1","Q2","Q3"},0)),0)</f>
        <v>41734846.049999997</v>
      </c>
      <c r="D625" s="5">
        <f>IFERROR(INDEX(VENTAS!$F$2:$H$1194,MATCH(A625,VENTAS!$A$2:$A$1194,0),MATCH(PARAMS_MODELO!$B$2,{"Q1","Q2","Q3"},0)),0)</f>
        <v>65798461</v>
      </c>
      <c r="E625" s="8">
        <f t="shared" si="216"/>
        <v>0.57658329256015084</v>
      </c>
      <c r="F625" s="12">
        <f>IF(E625&lt;=PARAMS_MODELO!$B$15,0,IF(E625&gt;=PARAMS_MODELO!$B$17,100,100*MIN(1,(E625-PARAMS_MODELO!$B$15)/(PARAMS_MODELO!$B$16-PARAMS_MODELO!$B$15))))*PARAMS_MODELO!$B$7</f>
        <v>35</v>
      </c>
      <c r="G625" s="5">
        <f t="shared" si="217"/>
        <v>24063614.950000003</v>
      </c>
      <c r="H625" s="5">
        <f>(PARAMS_MODELO!$B$20*(MAX(0,MIN(3,E625))/3)+PARAMS_MODELO!$B$21*(IFERROR(LN(1+MAX(0,G625))/LN(1+MAX(0,MAX($G$2:$G$1194))),0)))*100*PARAMS_MODELO!$B$8</f>
        <v>6.0021907892651223</v>
      </c>
      <c r="I625" s="8">
        <f>E625-PARAMS_MODELO!$B$5</f>
        <v>0.39902045718462431</v>
      </c>
      <c r="J625" s="5">
        <f>IF(I625&lt;=PARAMS_MODELO!$B$18,0,IF(I625&gt;=PARAMS_MODELO!$B$19,100,100*(I625-PARAMS_MODELO!$B$18)/(PARAMS_MODELO!$B$19-PARAMS_MODELO!$B$18)))*PARAMS_MODELO!$B$9</f>
        <v>15</v>
      </c>
      <c r="K625" s="5">
        <f>IFERROR(CHOOSE(MATCH(PARAMS_MODELO!$B$2,{"Q1","Q2","Q3"},0),LOTO!$D625,LOTO!$F625,LOTO!$H625),0)</f>
        <v>3095000</v>
      </c>
      <c r="L625" s="8">
        <f t="shared" si="218"/>
        <v>4.7037574328676168E-2</v>
      </c>
      <c r="M625" s="5">
        <f>MIN(100,IF(PARAMS_MODELO!$B$23=0,0,100*L625/PARAMS_MODELO!$B$23))*PARAMS_MODELO!$B$10</f>
        <v>14.111272298602849</v>
      </c>
      <c r="N625" s="5">
        <f>IFERROR(VLOOKUP(A625,COMPLIANCE!$A$2:$F$1996,6,0),100)</f>
        <v>100</v>
      </c>
      <c r="O625" s="5">
        <f>N625*PARAMS_MODELO!$B$11</f>
        <v>10</v>
      </c>
      <c r="P625" s="5">
        <f>IFERROR(VLOOKUP(A625,DIGITAL!$A$2:$J$2000,7,0),100)</f>
        <v>77</v>
      </c>
      <c r="Q625" s="5">
        <f>IFERROR(P625,0)*PARAMS_MODELO!$B$12</f>
        <v>7.7</v>
      </c>
      <c r="R625">
        <f t="shared" si="219"/>
        <v>87.813463087867973</v>
      </c>
      <c r="S625" s="5" t="str">
        <f>IFERROR(VLOOKUP(A625,CLIENTE!$A$2:$N$2000,13,0),1)</f>
        <v>Regular</v>
      </c>
      <c r="T625" s="5">
        <f>IFERROR(VLOOKUP(A625,CLIENTE!$A$2:$N$2000,14,0),1)</f>
        <v>1</v>
      </c>
      <c r="U625" s="5">
        <f t="shared" si="220"/>
        <v>87.813463087867973</v>
      </c>
      <c r="V625" s="5" t="str">
        <f>IF(U625&gt;=MAX(_xlfn.PERCENTILE.INC($U$2:$U$1194,PARAMS_MODELO!$B$50),PARAMS_MODELO!$B$45),"DIAMANTE",IF(U625&gt;=MAX(_xlfn.PERCENTILE.INC($U$2:$U$1194,PARAMS_MODELO!$B$51),PARAMS_MODELO!$B$46),"PLATINO",IF(U625&gt;=MAX(_xlfn.PERCENTILE.INC($U$2:$U$1194,PARAMS_MODELO!$B$52),PARAMS_MODELO!$B$47),"ORO",IF(U625&gt;=MAX(_xlfn.PERCENTILE.INC($U$2:$U$1194,PARAMS_MODELO!$B$53),PARAMS_MODELO!$B$48),"PLATA",IF(U625&gt;=1,"BRONCE","CERRADO")))))</f>
        <v>PLATINO</v>
      </c>
      <c r="W625" s="5" t="str" cm="1">
        <f t="array" ref="W625">_xlfn.XLOOKUP(1, (HIST_SCORE!$B:$B=PARAMS_MODELO!$B$4) * (HIST_SCORE!$C:$C=A625), HIST_SCORE!$E:$E, "No encontrado")</f>
        <v>ORO</v>
      </c>
      <c r="X625" s="5" t="str">
        <f>_xlfn.LET(_xlpm.act,MATCH(V625,{"DIAMANTE";"PLATINO";"ORO";"PLATA";"BRONCE";"CERRADO"},0),_xlpm.ant,MATCH(W625,{"DIAMANTE";"PLATINO";"ORO";"PLATA";"BRONCE";"CERRADO"},0),IF(_xlpm.act&lt;_xlpm.ant,"Mejora ↑",IF(_xlpm.act&gt;_xlpm.ant,"Baja ↓","Estable →")))</f>
        <v>Mejora ↑</v>
      </c>
      <c r="Y625" s="5">
        <f>IFERROR(U625-SUMIFS(HIST_SCORE!$D:$D,HIST_SCORE!$B:$B,PARAMS_MODELO!$B$4,HIST_SCORE!$C:$C,$A625),"")</f>
        <v>4.2505586076420485</v>
      </c>
      <c r="Z625" s="5" t="str">
        <f t="shared" si="221"/>
        <v>→ Estable</v>
      </c>
      <c r="AA625" s="5">
        <f t="shared" si="222"/>
        <v>206</v>
      </c>
      <c r="AB625" s="5">
        <f>IFERROR(SUMIFS(HIST_SCORE!$F:$F,HIST_SCORE!$B:$B,PARAMS_MODELO!$B$4,HIST_SCORE!$C:$C,$A625),"")</f>
        <v>302</v>
      </c>
      <c r="AC625" s="5">
        <f t="shared" si="223"/>
        <v>96</v>
      </c>
      <c r="AD625" t="str">
        <f t="shared" si="225"/>
        <v/>
      </c>
      <c r="AE6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625="CERRADO",1,IF(V625="BRONCE",_xlpm.cPl,IF(V625="PLATA",_xlpm.cO,IF(V625="ORO",_xlpm.cP,IF(V625="PLATINO",_xlpm.cD,999))))))</f>
        <v>96.054919694466676</v>
      </c>
      <c r="AF6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625="CERRADO",0,IF(V625="BRONCE",1,IF(V625="PLATA",_xlpm.cPl,IF(V625="ORO",_xlpm.cO,IF(V625="PLATINO",_xlpm.cP,_xlpm.cD))))))</f>
        <v>86.439123873763251</v>
      </c>
      <c r="AG625">
        <f t="shared" si="226"/>
        <v>8.2414566065987032</v>
      </c>
      <c r="AH625" t="str">
        <f t="shared" si="227"/>
        <v>VENTAS</v>
      </c>
      <c r="AI625" t="str">
        <f t="shared" si="224"/>
        <v>🎯 Para subir de categoría, eje VENTAS / IMPACTO ABSOLUTO (H). Acción: metas semanales + activación comercial + seguimiento del asesor. ΔR aprox: 8,2</v>
      </c>
      <c r="AJ625" s="26">
        <f>_xlfn.LET(_xlpm.piso,AF625,_xlpm.corte,AE625,_xlpm.prog,IF(_xlpm.corte&lt;=_xlpm.piso,0,MAX(0,MIN(1,(U625-_xlpm.piso)/(_xlpm.corte-_xlpm.piso)))),_xlpm.orden,{"DIAMANTE";"PLATINO";"ORO";"PLATA";"BRONCE";"CERRADO"},_xlpm.act,IFERROR(MATCH(V625,_xlpm.orden,0),6),_xlpm.ant,IFERROR(MATCH(W625,_xlpm.orden,0),6),_xlpm.ajmov,IF(_xlpm.act&lt;_xlpm.ant,0.08,IF(_xlpm.act&gt;_xlpm.ant,-0.08,0)),_xlpm.ajcli,IF(T625&lt;0.95,-0.06,0),_xlpm.prob,MAX(0,MIN(1,_xlpm.prog+_xlpm.ajmov+_xlpm.ajcli)),IF(OR(V625="DIAMANTE",V625="CERRADO"),0,ROUND(_xlpm.prob,2)))</f>
        <v>0.22</v>
      </c>
      <c r="AK625" t="str">
        <f t="shared" si="228"/>
        <v>Faltan 8,2 puntos base para subir a la siguiente categoría</v>
      </c>
      <c r="AL625" t="str">
        <f t="shared" si="229"/>
        <v>Margen de seguridad: 1,4 puntos</v>
      </c>
      <c r="AM625">
        <f t="shared" si="230"/>
        <v>0.64</v>
      </c>
      <c r="AN625" t="str">
        <f t="shared" si="231"/>
        <v>PRIORIDAD MEDIA – seguimiento del asesor</v>
      </c>
      <c r="AO625">
        <f t="shared" si="232"/>
        <v>8.8603784860304629</v>
      </c>
      <c r="AP625">
        <f t="shared" si="233"/>
        <v>0.88872770139715129</v>
      </c>
      <c r="AQ625">
        <f t="shared" si="234"/>
        <v>0</v>
      </c>
      <c r="AR625">
        <f t="shared" si="235"/>
        <v>2.2999999999999998</v>
      </c>
      <c r="AS625">
        <f t="shared" si="236"/>
        <v>0</v>
      </c>
      <c r="AT625" t="str">
        <f t="shared" si="237"/>
        <v>VENTAS</v>
      </c>
      <c r="AU625">
        <f t="shared" si="238"/>
        <v>8.8603784860304629</v>
      </c>
      <c r="AV625" t="str">
        <f t="shared" si="239"/>
        <v>Mayor retorno probable: VENTAS (+8,9 puntos finales potenciales).</v>
      </c>
    </row>
    <row r="626" spans="1:48" x14ac:dyDescent="0.3">
      <c r="A626" s="5">
        <v>51055268</v>
      </c>
      <c r="B626" s="5" t="str">
        <f>IFERROR(VLOOKUP(A626,VENTAS!$A$2:$B$1194,2,0),"")</f>
        <v>CICHETTO</v>
      </c>
      <c r="C626" s="5">
        <f>IFERROR(INDEX(VENTAS!$C$2:$E$1194,MATCH(A626,VENTAS!$A$2:$A$1194,0),MATCH(PARAMS_MODELO!$B$2,{"Q1","Q2","Q3"},0)),0)</f>
        <v>107451866.89</v>
      </c>
      <c r="D626" s="5">
        <f>IFERROR(INDEX(VENTAS!$F$2:$H$1194,MATCH(A626,VENTAS!$A$2:$A$1194,0),MATCH(PARAMS_MODELO!$B$2,{"Q1","Q2","Q3"},0)),0)</f>
        <v>65757053</v>
      </c>
      <c r="E626" s="8">
        <f t="shared" si="216"/>
        <v>-0.38803247534715779</v>
      </c>
      <c r="F626" s="12">
        <f>IF(E626&lt;=PARAMS_MODELO!$B$15,0,IF(E626&gt;=PARAMS_MODELO!$B$17,100,100*MIN(1,(E626-PARAMS_MODELO!$B$15)/(PARAMS_MODELO!$B$16-PARAMS_MODELO!$B$15))))*PARAMS_MODELO!$B$7</f>
        <v>0</v>
      </c>
      <c r="G626" s="5">
        <f t="shared" si="217"/>
        <v>0</v>
      </c>
      <c r="H626" s="5">
        <f>(PARAMS_MODELO!$B$20*(MAX(0,MIN(3,E626))/3)+PARAMS_MODELO!$B$21*(IFERROR(LN(1+MAX(0,G626))/LN(1+MAX(0,MAX($G$2:$G$1194))),0)))*100*PARAMS_MODELO!$B$8</f>
        <v>0</v>
      </c>
      <c r="I626" s="8">
        <f>E626-PARAMS_MODELO!$B$5</f>
        <v>-0.56559531072268432</v>
      </c>
      <c r="J626" s="5">
        <f>IF(I626&lt;=PARAMS_MODELO!$B$18,0,IF(I626&gt;=PARAMS_MODELO!$B$19,100,100*(I626-PARAMS_MODELO!$B$18)/(PARAMS_MODELO!$B$19-PARAMS_MODELO!$B$18)))*PARAMS_MODELO!$B$9</f>
        <v>0</v>
      </c>
      <c r="K626" s="5">
        <f>IFERROR(CHOOSE(MATCH(PARAMS_MODELO!$B$2,{"Q1","Q2","Q3"},0),LOTO!$D626,LOTO!$F626,LOTO!$H626),0)</f>
        <v>3087500</v>
      </c>
      <c r="L626" s="8">
        <f t="shared" si="218"/>
        <v>4.695313824358887E-2</v>
      </c>
      <c r="M626" s="5">
        <f>MIN(100,IF(PARAMS_MODELO!$B$23=0,0,100*L626/PARAMS_MODELO!$B$23))*PARAMS_MODELO!$B$10</f>
        <v>14.085941473076657</v>
      </c>
      <c r="N626" s="5">
        <f>IFERROR(VLOOKUP(A626,COMPLIANCE!$A$2:$F$1996,6,0),100)</f>
        <v>100</v>
      </c>
      <c r="O626" s="5">
        <f>N626*PARAMS_MODELO!$B$11</f>
        <v>10</v>
      </c>
      <c r="P626" s="5">
        <f>IFERROR(VLOOKUP(A626,DIGITAL!$A$2:$J$2000,7,0),100)</f>
        <v>68</v>
      </c>
      <c r="Q626" s="5">
        <f>IFERROR(P626,0)*PARAMS_MODELO!$B$12</f>
        <v>6.8000000000000007</v>
      </c>
      <c r="R626">
        <f t="shared" si="219"/>
        <v>30.885941473076659</v>
      </c>
      <c r="S626" s="5" t="str">
        <f>IFERROR(VLOOKUP(A626,CLIENTE!$A$2:$N$2000,13,0),1)</f>
        <v>Malo</v>
      </c>
      <c r="T626" s="5">
        <f>IFERROR(VLOOKUP(A626,CLIENTE!$A$2:$N$2000,14,0),1)</f>
        <v>0.7</v>
      </c>
      <c r="U626" s="5">
        <f t="shared" si="220"/>
        <v>21.620159031153662</v>
      </c>
      <c r="V626" s="5" t="str">
        <f>IF(U626&gt;=MAX(_xlfn.PERCENTILE.INC($U$2:$U$1194,PARAMS_MODELO!$B$50),PARAMS_MODELO!$B$45),"DIAMANTE",IF(U626&gt;=MAX(_xlfn.PERCENTILE.INC($U$2:$U$1194,PARAMS_MODELO!$B$51),PARAMS_MODELO!$B$46),"PLATINO",IF(U626&gt;=MAX(_xlfn.PERCENTILE.INC($U$2:$U$1194,PARAMS_MODELO!$B$52),PARAMS_MODELO!$B$47),"ORO",IF(U626&gt;=MAX(_xlfn.PERCENTILE.INC($U$2:$U$1194,PARAMS_MODELO!$B$53),PARAMS_MODELO!$B$48),"PLATA",IF(U626&gt;=1,"BRONCE","CERRADO")))))</f>
        <v>BRONCE</v>
      </c>
      <c r="W626" s="5" t="str" cm="1">
        <f t="array" ref="W626">_xlfn.XLOOKUP(1, (HIST_SCORE!$B:$B=PARAMS_MODELO!$B$4) * (HIST_SCORE!$C:$C=A626), HIST_SCORE!$E:$E, "No encontrado")</f>
        <v>BRONCE</v>
      </c>
      <c r="X626" s="5" t="str">
        <f>_xlfn.LET(_xlpm.act,MATCH(V626,{"DIAMANTE";"PLATINO";"ORO";"PLATA";"BRONCE";"CERRADO"},0),_xlpm.ant,MATCH(W626,{"DIAMANTE";"PLATINO";"ORO";"PLATA";"BRONCE";"CERRADO"},0),IF(_xlpm.act&lt;_xlpm.ant,"Mejora ↑",IF(_xlpm.act&gt;_xlpm.ant,"Baja ↓","Estable →")))</f>
        <v>Estable →</v>
      </c>
      <c r="Y626" s="5">
        <f>IFERROR(U626-SUMIFS(HIST_SCORE!$D:$D,HIST_SCORE!$B:$B,PARAMS_MODELO!$B$4,HIST_SCORE!$C:$C,$A626),"")</f>
        <v>1.8241341986141073</v>
      </c>
      <c r="Z626" s="5" t="str">
        <f t="shared" si="221"/>
        <v>→ Estable</v>
      </c>
      <c r="AA626" s="5">
        <f t="shared" si="222"/>
        <v>953</v>
      </c>
      <c r="AB626" s="5">
        <f>IFERROR(SUMIFS(HIST_SCORE!$F:$F,HIST_SCORE!$B:$B,PARAMS_MODELO!$B$4,HIST_SCORE!$C:$C,$A626),"")</f>
        <v>991</v>
      </c>
      <c r="AC626" s="5">
        <f t="shared" si="223"/>
        <v>38</v>
      </c>
      <c r="AD626" t="str">
        <f t="shared" si="225"/>
        <v/>
      </c>
      <c r="AE6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626="CERRADO",1,IF(V626="BRONCE",_xlpm.cPl,IF(V626="PLATA",_xlpm.cO,IF(V626="ORO",_xlpm.cP,IF(V626="PLATINO",_xlpm.cD,999))))))</f>
        <v>24.506573482968111</v>
      </c>
      <c r="AF6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626="CERRADO",0,IF(V626="BRONCE",1,IF(V626="PLATA",_xlpm.cPl,IF(V626="ORO",_xlpm.cO,IF(V626="PLATINO",_xlpm.cP,_xlpm.cD))))))</f>
        <v>1</v>
      </c>
      <c r="AG626">
        <f t="shared" si="226"/>
        <v>4.1234492168777841</v>
      </c>
      <c r="AH626" t="str">
        <f t="shared" si="227"/>
        <v>CLIENTE</v>
      </c>
      <c r="AI626" t="str">
        <f t="shared" si="224"/>
        <v>🎯 Para subir de categoría, la eje con mayor impacto probable es CLIENTE (coef T). Acción: reducir quejas, mejorar incógnito y empujar reseñas. ΔR aprox: 4,1</v>
      </c>
      <c r="AJ626" s="26">
        <f>_xlfn.LET(_xlpm.piso,AF626,_xlpm.corte,AE626,_xlpm.prog,IF(_xlpm.corte&lt;=_xlpm.piso,0,MAX(0,MIN(1,(U626-_xlpm.piso)/(_xlpm.corte-_xlpm.piso)))),_xlpm.orden,{"DIAMANTE";"PLATINO";"ORO";"PLATA";"BRONCE";"CERRADO"},_xlpm.act,IFERROR(MATCH(V626,_xlpm.orden,0),6),_xlpm.ant,IFERROR(MATCH(W626,_xlpm.orden,0),6),_xlpm.ajmov,IF(_xlpm.act&lt;_xlpm.ant,0.08,IF(_xlpm.act&gt;_xlpm.ant,-0.08,0)),_xlpm.ajcli,IF(T626&lt;0.95,-0.06,0),_xlpm.prob,MAX(0,MIN(1,_xlpm.prog+_xlpm.ajmov+_xlpm.ajcli)),IF(OR(V626="DIAMANTE",V626="CERRADO"),0,ROUND(_xlpm.prob,2)))</f>
        <v>0.82</v>
      </c>
      <c r="AK626" t="str">
        <f t="shared" si="228"/>
        <v>Faltan 4,1 puntos base para subir a la siguiente categoría</v>
      </c>
      <c r="AL626" t="str">
        <f t="shared" si="229"/>
        <v>No aplica</v>
      </c>
      <c r="AM626">
        <f t="shared" si="230"/>
        <v>0.44</v>
      </c>
      <c r="AN626" t="str">
        <f t="shared" si="231"/>
        <v>PRIORIDAD MEDIA – seguimiento del asesor</v>
      </c>
      <c r="AO626">
        <f t="shared" si="232"/>
        <v>45.403798492706905</v>
      </c>
      <c r="AP626">
        <f t="shared" si="233"/>
        <v>0.63984096884634001</v>
      </c>
      <c r="AQ626">
        <f t="shared" si="234"/>
        <v>0</v>
      </c>
      <c r="AR626">
        <f t="shared" si="235"/>
        <v>2.2399999999999993</v>
      </c>
      <c r="AS626">
        <f t="shared" si="236"/>
        <v>9.2657824419229993</v>
      </c>
      <c r="AT626" t="str">
        <f t="shared" si="237"/>
        <v>VENTAS</v>
      </c>
      <c r="AU626">
        <f t="shared" si="238"/>
        <v>45.403798492706905</v>
      </c>
      <c r="AV626" t="str">
        <f t="shared" si="239"/>
        <v>Mayor retorno probable: VENTAS (+45,4 puntos finales potenciales).</v>
      </c>
    </row>
    <row r="627" spans="1:48" x14ac:dyDescent="0.3">
      <c r="A627" s="5">
        <v>51015533</v>
      </c>
      <c r="B627" s="5" t="str">
        <f>IFERROR(VLOOKUP(A627,VENTAS!$A$2:$B$1194,2,0),"")</f>
        <v>ARGUELLO</v>
      </c>
      <c r="C627" s="5">
        <f>IFERROR(INDEX(VENTAS!$C$2:$E$1194,MATCH(A627,VENTAS!$A$2:$A$1194,0),MATCH(PARAMS_MODELO!$B$2,{"Q1","Q2","Q3"},0)),0)</f>
        <v>59810850.210000001</v>
      </c>
      <c r="D627" s="5">
        <f>IFERROR(INDEX(VENTAS!$F$2:$H$1194,MATCH(A627,VENTAS!$A$2:$A$1194,0),MATCH(PARAMS_MODELO!$B$2,{"Q1","Q2","Q3"},0)),0)</f>
        <v>65745152</v>
      </c>
      <c r="E627" s="8">
        <f t="shared" si="216"/>
        <v>9.9217813643582398E-2</v>
      </c>
      <c r="F627" s="12">
        <f>IF(E627&lt;=PARAMS_MODELO!$B$15,0,IF(E627&gt;=PARAMS_MODELO!$B$17,100,100*MIN(1,(E627-PARAMS_MODELO!$B$15)/(PARAMS_MODELO!$B$16-PARAMS_MODELO!$B$15))))*PARAMS_MODELO!$B$7</f>
        <v>34.726234775253836</v>
      </c>
      <c r="G627" s="5">
        <f t="shared" si="217"/>
        <v>5934301.7899999991</v>
      </c>
      <c r="H627" s="5">
        <f>(PARAMS_MODELO!$B$20*(MAX(0,MIN(3,E627))/3)+PARAMS_MODELO!$B$21*(IFERROR(LN(1+MAX(0,G627))/LN(1+MAX(0,MAX($G$2:$G$1194))),0)))*100*PARAMS_MODELO!$B$8</f>
        <v>4.0032434509326453</v>
      </c>
      <c r="I627" s="8">
        <f>E627-PARAMS_MODELO!$B$5</f>
        <v>-7.8345021731944131E-2</v>
      </c>
      <c r="J627" s="5">
        <f>IF(I627&lt;=PARAMS_MODELO!$B$18,0,IF(I627&gt;=PARAMS_MODELO!$B$19,100,100*(I627-PARAMS_MODELO!$B$18)/(PARAMS_MODELO!$B$19-PARAMS_MODELO!$B$18)))*PARAMS_MODELO!$B$9</f>
        <v>0</v>
      </c>
      <c r="K627" s="5">
        <f>IFERROR(CHOOSE(MATCH(PARAMS_MODELO!$B$2,{"Q1","Q2","Q3"},0),LOTO!$D627,LOTO!$F627,LOTO!$H627),0)</f>
        <v>3085000</v>
      </c>
      <c r="L627" s="8">
        <f t="shared" si="218"/>
        <v>4.6923611949364723E-2</v>
      </c>
      <c r="M627" s="5">
        <f>MIN(100,IF(PARAMS_MODELO!$B$23=0,0,100*L627/PARAMS_MODELO!$B$23))*PARAMS_MODELO!$B$10</f>
        <v>14.077083584809415</v>
      </c>
      <c r="N627" s="5">
        <f>IFERROR(VLOOKUP(A627,COMPLIANCE!$A$2:$F$1996,6,0),100)</f>
        <v>100</v>
      </c>
      <c r="O627" s="5">
        <f>N627*PARAMS_MODELO!$B$11</f>
        <v>10</v>
      </c>
      <c r="P627" s="5">
        <f>IFERROR(VLOOKUP(A627,DIGITAL!$A$2:$J$2000,7,0),100)</f>
        <v>41</v>
      </c>
      <c r="Q627" s="5">
        <f>IFERROR(P627,0)*PARAMS_MODELO!$B$12</f>
        <v>4.1000000000000005</v>
      </c>
      <c r="R627">
        <f t="shared" si="219"/>
        <v>66.906561810995896</v>
      </c>
      <c r="S627" s="5" t="str">
        <f>IFERROR(VLOOKUP(A627,CLIENTE!$A$2:$N$2000,13,0),1)</f>
        <v>Bueno</v>
      </c>
      <c r="T627" s="5">
        <f>IFERROR(VLOOKUP(A627,CLIENTE!$A$2:$N$2000,14,0),1)</f>
        <v>1.1000000000000001</v>
      </c>
      <c r="U627" s="5">
        <f t="shared" si="220"/>
        <v>73.597217992095494</v>
      </c>
      <c r="V627" s="5" t="str">
        <f>IF(U627&gt;=MAX(_xlfn.PERCENTILE.INC($U$2:$U$1194,PARAMS_MODELO!$B$50),PARAMS_MODELO!$B$45),"DIAMANTE",IF(U627&gt;=MAX(_xlfn.PERCENTILE.INC($U$2:$U$1194,PARAMS_MODELO!$B$51),PARAMS_MODELO!$B$46),"PLATINO",IF(U627&gt;=MAX(_xlfn.PERCENTILE.INC($U$2:$U$1194,PARAMS_MODELO!$B$52),PARAMS_MODELO!$B$47),"ORO",IF(U627&gt;=MAX(_xlfn.PERCENTILE.INC($U$2:$U$1194,PARAMS_MODELO!$B$53),PARAMS_MODELO!$B$48),"PLATA",IF(U627&gt;=1,"BRONCE","CERRADO")))))</f>
        <v>ORO</v>
      </c>
      <c r="W627" s="5" t="str" cm="1">
        <f t="array" ref="W627">_xlfn.XLOOKUP(1, (HIST_SCORE!$B:$B=PARAMS_MODELO!$B$4) * (HIST_SCORE!$C:$C=A627), HIST_SCORE!$E:$E, "No encontrado")</f>
        <v>PLATINO</v>
      </c>
      <c r="X627" s="5" t="str">
        <f>_xlfn.LET(_xlpm.act,MATCH(V627,{"DIAMANTE";"PLATINO";"ORO";"PLATA";"BRONCE";"CERRADO"},0),_xlpm.ant,MATCH(W627,{"DIAMANTE";"PLATINO";"ORO";"PLATA";"BRONCE";"CERRADO"},0),IF(_xlpm.act&lt;_xlpm.ant,"Mejora ↑",IF(_xlpm.act&gt;_xlpm.ant,"Baja ↓","Estable →")))</f>
        <v>Baja ↓</v>
      </c>
      <c r="Y627" s="5">
        <f>IFERROR(U627-SUMIFS(HIST_SCORE!$D:$D,HIST_SCORE!$B:$B,PARAMS_MODELO!$B$4,HIST_SCORE!$C:$C,$A627),"")</f>
        <v>-16.68366682665561</v>
      </c>
      <c r="Z627" s="5" t="str">
        <f t="shared" si="221"/>
        <v>↓ Baja</v>
      </c>
      <c r="AA627" s="5">
        <f t="shared" si="222"/>
        <v>484</v>
      </c>
      <c r="AB627" s="5">
        <f>IFERROR(SUMIFS(HIST_SCORE!$F:$F,HIST_SCORE!$B:$B,PARAMS_MODELO!$B$4,HIST_SCORE!$C:$C,$A627),"")</f>
        <v>125</v>
      </c>
      <c r="AC627" s="5">
        <f t="shared" si="223"/>
        <v>-359</v>
      </c>
      <c r="AD627" t="str">
        <f t="shared" si="225"/>
        <v>Sostener base y reforzar mix</v>
      </c>
      <c r="AE6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627="CERRADO",1,IF(V627="BRONCE",_xlpm.cPl,IF(V627="PLATA",_xlpm.cO,IF(V627="ORO",_xlpm.cP,IF(V627="PLATINO",_xlpm.cD,999))))))</f>
        <v>86.439123873763251</v>
      </c>
      <c r="AF6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627="CERRADO",0,IF(V627="BRONCE",1,IF(V627="PLATA",_xlpm.cPl,IF(V627="ORO",_xlpm.cO,IF(V627="PLATINO",_xlpm.cP,_xlpm.cD))))))</f>
        <v>63.199193273331495</v>
      </c>
      <c r="AG627">
        <f t="shared" si="226"/>
        <v>11.674459892425233</v>
      </c>
      <c r="AH627" t="str">
        <f t="shared" si="227"/>
        <v>VENTAS</v>
      </c>
      <c r="AI627" t="str">
        <f t="shared" si="224"/>
        <v>🎯 Para subir de categoría, eje VENTAS / DIFERENCIAL vs LOTBA (J). Acción: metas semanales + activación comercial + seguimiento del asesor. ΔR aprox: 11,7</v>
      </c>
      <c r="AJ627" s="26">
        <f>_xlfn.LET(_xlpm.piso,AF627,_xlpm.corte,AE627,_xlpm.prog,IF(_xlpm.corte&lt;=_xlpm.piso,0,MAX(0,MIN(1,(U627-_xlpm.piso)/(_xlpm.corte-_xlpm.piso)))),_xlpm.orden,{"DIAMANTE";"PLATINO";"ORO";"PLATA";"BRONCE";"CERRADO"},_xlpm.act,IFERROR(MATCH(V627,_xlpm.orden,0),6),_xlpm.ant,IFERROR(MATCH(W627,_xlpm.orden,0),6),_xlpm.ajmov,IF(_xlpm.act&lt;_xlpm.ant,0.08,IF(_xlpm.act&gt;_xlpm.ant,-0.08,0)),_xlpm.ajcli,IF(T627&lt;0.95,-0.06,0),_xlpm.prob,MAX(0,MIN(1,_xlpm.prog+_xlpm.ajmov+_xlpm.ajcli)),IF(OR(V627="DIAMANTE",V627="CERRADO"),0,ROUND(_xlpm.prob,2)))</f>
        <v>0.37</v>
      </c>
      <c r="AK627" t="str">
        <f t="shared" si="228"/>
        <v>Faltan 11,7 puntos base para subir a la siguiente categoría</v>
      </c>
      <c r="AL627" t="str">
        <f t="shared" si="229"/>
        <v>Margen de seguridad: 10,4 puntos</v>
      </c>
      <c r="AM627">
        <f t="shared" si="230"/>
        <v>0.65</v>
      </c>
      <c r="AN627" t="str">
        <f t="shared" si="231"/>
        <v>PRIORIDAD MEDIA – seguimiento del asesor</v>
      </c>
      <c r="AO627">
        <f t="shared" si="232"/>
        <v>28.746400154020016</v>
      </c>
      <c r="AP627">
        <f t="shared" si="233"/>
        <v>1.0152080567096435</v>
      </c>
      <c r="AQ627">
        <f t="shared" si="234"/>
        <v>0</v>
      </c>
      <c r="AR627">
        <f t="shared" si="235"/>
        <v>6.49</v>
      </c>
      <c r="AS627">
        <f t="shared" si="236"/>
        <v>0</v>
      </c>
      <c r="AT627" t="str">
        <f t="shared" si="237"/>
        <v>VENTAS</v>
      </c>
      <c r="AU627">
        <f t="shared" si="238"/>
        <v>28.746400154020016</v>
      </c>
      <c r="AV627" t="str">
        <f t="shared" si="239"/>
        <v>Mayor retorno probable: VENTAS (+28,7 puntos finales potenciales).</v>
      </c>
    </row>
    <row r="628" spans="1:48" x14ac:dyDescent="0.3">
      <c r="A628" s="5">
        <v>51018371</v>
      </c>
      <c r="B628" s="5" t="str">
        <f>IFERROR(VLOOKUP(A628,VENTAS!$A$2:$B$1194,2,0),"")</f>
        <v>NELLI</v>
      </c>
      <c r="C628" s="5">
        <f>IFERROR(INDEX(VENTAS!$C$2:$E$1194,MATCH(A628,VENTAS!$A$2:$A$1194,0),MATCH(PARAMS_MODELO!$B$2,{"Q1","Q2","Q3"},0)),0)</f>
        <v>87350709.5</v>
      </c>
      <c r="D628" s="5">
        <f>IFERROR(INDEX(VENTAS!$F$2:$H$1194,MATCH(A628,VENTAS!$A$2:$A$1194,0),MATCH(PARAMS_MODELO!$B$2,{"Q1","Q2","Q3"},0)),0)</f>
        <v>65585650</v>
      </c>
      <c r="E628" s="8">
        <f t="shared" si="216"/>
        <v>-0.24916866302041885</v>
      </c>
      <c r="F628" s="12">
        <f>IF(E628&lt;=PARAMS_MODELO!$B$15,0,IF(E628&gt;=PARAMS_MODELO!$B$17,100,100*MIN(1,(E628-PARAMS_MODELO!$B$15)/(PARAMS_MODELO!$B$16-PARAMS_MODELO!$B$15))))*PARAMS_MODELO!$B$7</f>
        <v>0</v>
      </c>
      <c r="G628" s="5">
        <f t="shared" si="217"/>
        <v>0</v>
      </c>
      <c r="H628" s="5">
        <f>(PARAMS_MODELO!$B$20*(MAX(0,MIN(3,E628))/3)+PARAMS_MODELO!$B$21*(IFERROR(LN(1+MAX(0,G628))/LN(1+MAX(0,MAX($G$2:$G$1194))),0)))*100*PARAMS_MODELO!$B$8</f>
        <v>0</v>
      </c>
      <c r="I628" s="8">
        <f>E628-PARAMS_MODELO!$B$5</f>
        <v>-0.42673149839594537</v>
      </c>
      <c r="J628" s="5">
        <f>IF(I628&lt;=PARAMS_MODELO!$B$18,0,IF(I628&gt;=PARAMS_MODELO!$B$19,100,100*(I628-PARAMS_MODELO!$B$18)/(PARAMS_MODELO!$B$19-PARAMS_MODELO!$B$18)))*PARAMS_MODELO!$B$9</f>
        <v>0</v>
      </c>
      <c r="K628" s="5">
        <f>IFERROR(CHOOSE(MATCH(PARAMS_MODELO!$B$2,{"Q1","Q2","Q3"},0),LOTO!$D628,LOTO!$F628,LOTO!$H628),0)</f>
        <v>3082500</v>
      </c>
      <c r="L628" s="8">
        <f t="shared" si="218"/>
        <v>4.699961043307492E-2</v>
      </c>
      <c r="M628" s="5">
        <f>MIN(100,IF(PARAMS_MODELO!$B$23=0,0,100*L628/PARAMS_MODELO!$B$23))*PARAMS_MODELO!$B$10</f>
        <v>14.099883129922473</v>
      </c>
      <c r="N628" s="5">
        <f>IFERROR(VLOOKUP(A628,COMPLIANCE!$A$2:$F$1996,6,0),100)</f>
        <v>99.7</v>
      </c>
      <c r="O628" s="5">
        <f>N628*PARAMS_MODELO!$B$11</f>
        <v>9.9700000000000006</v>
      </c>
      <c r="P628" s="5">
        <f>IFERROR(VLOOKUP(A628,DIGITAL!$A$2:$J$2000,7,0),100)</f>
        <v>67</v>
      </c>
      <c r="Q628" s="5">
        <f>IFERROR(P628,0)*PARAMS_MODELO!$B$12</f>
        <v>6.7</v>
      </c>
      <c r="R628">
        <f t="shared" si="219"/>
        <v>30.769883129922473</v>
      </c>
      <c r="S628" s="5" t="str">
        <f>IFERROR(VLOOKUP(A628,CLIENTE!$A$2:$N$2000,13,0),1)</f>
        <v>Regular</v>
      </c>
      <c r="T628" s="5">
        <f>IFERROR(VLOOKUP(A628,CLIENTE!$A$2:$N$2000,14,0),1)</f>
        <v>1</v>
      </c>
      <c r="U628" s="5">
        <f t="shared" si="220"/>
        <v>30.769883129922473</v>
      </c>
      <c r="V628" s="5" t="str">
        <f>IF(U628&gt;=MAX(_xlfn.PERCENTILE.INC($U$2:$U$1194,PARAMS_MODELO!$B$50),PARAMS_MODELO!$B$45),"DIAMANTE",IF(U628&gt;=MAX(_xlfn.PERCENTILE.INC($U$2:$U$1194,PARAMS_MODELO!$B$51),PARAMS_MODELO!$B$46),"PLATINO",IF(U628&gt;=MAX(_xlfn.PERCENTILE.INC($U$2:$U$1194,PARAMS_MODELO!$B$52),PARAMS_MODELO!$B$47),"ORO",IF(U628&gt;=MAX(_xlfn.PERCENTILE.INC($U$2:$U$1194,PARAMS_MODELO!$B$53),PARAMS_MODELO!$B$48),"PLATA",IF(U628&gt;=1,"BRONCE","CERRADO")))))</f>
        <v>PLATA</v>
      </c>
      <c r="W628" s="5" t="str" cm="1">
        <f t="array" ref="W628">_xlfn.XLOOKUP(1, (HIST_SCORE!$B:$B=PARAMS_MODELO!$B$4) * (HIST_SCORE!$C:$C=A628), HIST_SCORE!$E:$E, "No encontrado")</f>
        <v>PLATA</v>
      </c>
      <c r="X628" s="5" t="str">
        <f>_xlfn.LET(_xlpm.act,MATCH(V628,{"DIAMANTE";"PLATINO";"ORO";"PLATA";"BRONCE";"CERRADO"},0),_xlpm.ant,MATCH(W628,{"DIAMANTE";"PLATINO";"ORO";"PLATA";"BRONCE";"CERRADO"},0),IF(_xlpm.act&lt;_xlpm.ant,"Mejora ↑",IF(_xlpm.act&gt;_xlpm.ant,"Baja ↓","Estable →")))</f>
        <v>Estable →</v>
      </c>
      <c r="Y628" s="5">
        <f>IFERROR(U628-SUMIFS(HIST_SCORE!$D:$D,HIST_SCORE!$B:$B,PARAMS_MODELO!$B$4,HIST_SCORE!$C:$C,$A628),"")</f>
        <v>2.5493190901880922</v>
      </c>
      <c r="Z628" s="5" t="str">
        <f t="shared" si="221"/>
        <v>→ Estable</v>
      </c>
      <c r="AA628" s="5">
        <f t="shared" si="222"/>
        <v>850</v>
      </c>
      <c r="AB628" s="5">
        <f>IFERROR(SUMIFS(HIST_SCORE!$F:$F,HIST_SCORE!$B:$B,PARAMS_MODELO!$B$4,HIST_SCORE!$C:$C,$A628),"")</f>
        <v>928</v>
      </c>
      <c r="AC628" s="5">
        <f t="shared" si="223"/>
        <v>78</v>
      </c>
      <c r="AD628" t="str">
        <f t="shared" si="225"/>
        <v/>
      </c>
      <c r="AE6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628="CERRADO",1,IF(V628="BRONCE",_xlpm.cPl,IF(V628="PLATA",_xlpm.cO,IF(V628="ORO",_xlpm.cP,IF(V628="PLATINO",_xlpm.cD,999))))))</f>
        <v>63.199193273331495</v>
      </c>
      <c r="AF6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628="CERRADO",0,IF(V628="BRONCE",1,IF(V628="PLATA",_xlpm.cPl,IF(V628="ORO",_xlpm.cO,IF(V628="PLATINO",_xlpm.cP,_xlpm.cD))))))</f>
        <v>24.506573482968111</v>
      </c>
      <c r="AG628">
        <f t="shared" si="226"/>
        <v>32.429310143409026</v>
      </c>
      <c r="AH628" t="str">
        <f t="shared" si="227"/>
        <v>VENTAS</v>
      </c>
      <c r="AI628" t="str">
        <f t="shared" si="224"/>
        <v>🎯 Para subir de categoría, eje VENTAS / CRECIMIENTO PERSONAL (F). Acción: metas semanales + activación comercial + seguimiento del asesor. ΔR aprox: 32,4</v>
      </c>
      <c r="AJ628" s="26">
        <f>_xlfn.LET(_xlpm.piso,AF628,_xlpm.corte,AE628,_xlpm.prog,IF(_xlpm.corte&lt;=_xlpm.piso,0,MAX(0,MIN(1,(U628-_xlpm.piso)/(_xlpm.corte-_xlpm.piso)))),_xlpm.orden,{"DIAMANTE";"PLATINO";"ORO";"PLATA";"BRONCE";"CERRADO"},_xlpm.act,IFERROR(MATCH(V628,_xlpm.orden,0),6),_xlpm.ant,IFERROR(MATCH(W628,_xlpm.orden,0),6),_xlpm.ajmov,IF(_xlpm.act&lt;_xlpm.ant,0.08,IF(_xlpm.act&gt;_xlpm.ant,-0.08,0)),_xlpm.ajcli,IF(T628&lt;0.95,-0.06,0),_xlpm.prob,MAX(0,MIN(1,_xlpm.prog+_xlpm.ajmov+_xlpm.ajcli)),IF(OR(V628="DIAMANTE",V628="CERRADO"),0,ROUND(_xlpm.prob,2)))</f>
        <v>0.16</v>
      </c>
      <c r="AK628" t="str">
        <f t="shared" si="228"/>
        <v>Faltan 32,4 puntos base para subir a la siguiente categoría</v>
      </c>
      <c r="AL628" t="str">
        <f t="shared" si="229"/>
        <v>Margen de seguridad: 6,3 puntos</v>
      </c>
      <c r="AM628">
        <f t="shared" si="230"/>
        <v>0.74</v>
      </c>
      <c r="AN628" t="str">
        <f t="shared" si="231"/>
        <v>PRIORIDAD ALTA – requiere intervención inmediata</v>
      </c>
      <c r="AO628">
        <f t="shared" si="232"/>
        <v>64.862569275295584</v>
      </c>
      <c r="AP628">
        <f t="shared" si="233"/>
        <v>0.90011687007752705</v>
      </c>
      <c r="AQ628">
        <f t="shared" si="234"/>
        <v>2.9999999999999361E-2</v>
      </c>
      <c r="AR628">
        <f t="shared" si="235"/>
        <v>3.3</v>
      </c>
      <c r="AS628">
        <f t="shared" si="236"/>
        <v>0</v>
      </c>
      <c r="AT628" t="str">
        <f t="shared" si="237"/>
        <v>VENTAS</v>
      </c>
      <c r="AU628">
        <f t="shared" si="238"/>
        <v>64.862569275295584</v>
      </c>
      <c r="AV628" t="str">
        <f t="shared" si="239"/>
        <v>Mayor retorno probable: VENTAS (+64,9 puntos finales potenciales).</v>
      </c>
    </row>
    <row r="629" spans="1:48" x14ac:dyDescent="0.3">
      <c r="A629" s="5">
        <v>51004027</v>
      </c>
      <c r="B629" s="5" t="str">
        <f>IFERROR(VLOOKUP(A629,VENTAS!$A$2:$B$1194,2,0),"")</f>
        <v>AYALA</v>
      </c>
      <c r="C629" s="5">
        <f>IFERROR(INDEX(VENTAS!$C$2:$E$1194,MATCH(A629,VENTAS!$A$2:$A$1194,0),MATCH(PARAMS_MODELO!$B$2,{"Q1","Q2","Q3"},0)),0)</f>
        <v>54629873.899999999</v>
      </c>
      <c r="D629" s="5">
        <f>IFERROR(INDEX(VENTAS!$F$2:$H$1194,MATCH(A629,VENTAS!$A$2:$A$1194,0),MATCH(PARAMS_MODELO!$B$2,{"Q1","Q2","Q3"},0)),0)</f>
        <v>65429160</v>
      </c>
      <c r="E629" s="8">
        <f t="shared" si="216"/>
        <v>0.19768096334558805</v>
      </c>
      <c r="F629" s="12">
        <f>IF(E629&lt;=PARAMS_MODELO!$B$15,0,IF(E629&gt;=PARAMS_MODELO!$B$17,100,100*MIN(1,(E629-PARAMS_MODELO!$B$15)/(PARAMS_MODELO!$B$16-PARAMS_MODELO!$B$15))))*PARAMS_MODELO!$B$7</f>
        <v>35</v>
      </c>
      <c r="G629" s="5">
        <f t="shared" si="217"/>
        <v>10799286.100000001</v>
      </c>
      <c r="H629" s="5">
        <f>(PARAMS_MODELO!$B$20*(MAX(0,MIN(3,E629))/3)+PARAMS_MODELO!$B$21*(IFERROR(LN(1+MAX(0,G629))/LN(1+MAX(0,MAX($G$2:$G$1194))),0)))*100*PARAMS_MODELO!$B$8</f>
        <v>4.4882152805598485</v>
      </c>
      <c r="I629" s="8">
        <f>E629-PARAMS_MODELO!$B$5</f>
        <v>2.0118127970061517E-2</v>
      </c>
      <c r="J629" s="5">
        <f>IF(I629&lt;=PARAMS_MODELO!$B$18,0,IF(I629&gt;=PARAMS_MODELO!$B$19,100,100*(I629-PARAMS_MODELO!$B$18)/(PARAMS_MODELO!$B$19-PARAMS_MODELO!$B$18)))*PARAMS_MODELO!$B$9</f>
        <v>10.517719195509226</v>
      </c>
      <c r="K629" s="5">
        <f>IFERROR(CHOOSE(MATCH(PARAMS_MODELO!$B$2,{"Q1","Q2","Q3"},0),LOTO!$D629,LOTO!$F629,LOTO!$H629),0)</f>
        <v>3072500</v>
      </c>
      <c r="L629" s="8">
        <f t="shared" si="218"/>
        <v>4.6959184559300468E-2</v>
      </c>
      <c r="M629" s="5">
        <f>MIN(100,IF(PARAMS_MODELO!$B$23=0,0,100*L629/PARAMS_MODELO!$B$23))*PARAMS_MODELO!$B$10</f>
        <v>14.087755367790137</v>
      </c>
      <c r="N629" s="5">
        <f>IFERROR(VLOOKUP(A629,COMPLIANCE!$A$2:$F$1996,6,0),100)</f>
        <v>100</v>
      </c>
      <c r="O629" s="5">
        <f>N629*PARAMS_MODELO!$B$11</f>
        <v>10</v>
      </c>
      <c r="P629" s="5">
        <f>IFERROR(VLOOKUP(A629,DIGITAL!$A$2:$J$2000,7,0),100)</f>
        <v>73</v>
      </c>
      <c r="Q629" s="5">
        <f>IFERROR(P629,0)*PARAMS_MODELO!$B$12</f>
        <v>7.3000000000000007</v>
      </c>
      <c r="R629">
        <f t="shared" si="219"/>
        <v>81.393689843859207</v>
      </c>
      <c r="S629" s="5" t="str">
        <f>IFERROR(VLOOKUP(A629,CLIENTE!$A$2:$N$2000,13,0),1)</f>
        <v>Regular</v>
      </c>
      <c r="T629" s="5">
        <f>IFERROR(VLOOKUP(A629,CLIENTE!$A$2:$N$2000,14,0),1)</f>
        <v>1</v>
      </c>
      <c r="U629" s="5">
        <f t="shared" si="220"/>
        <v>81.393689843859207</v>
      </c>
      <c r="V629" s="5" t="str">
        <f>IF(U629&gt;=MAX(_xlfn.PERCENTILE.INC($U$2:$U$1194,PARAMS_MODELO!$B$50),PARAMS_MODELO!$B$45),"DIAMANTE",IF(U629&gt;=MAX(_xlfn.PERCENTILE.INC($U$2:$U$1194,PARAMS_MODELO!$B$51),PARAMS_MODELO!$B$46),"PLATINO",IF(U629&gt;=MAX(_xlfn.PERCENTILE.INC($U$2:$U$1194,PARAMS_MODELO!$B$52),PARAMS_MODELO!$B$47),"ORO",IF(U629&gt;=MAX(_xlfn.PERCENTILE.INC($U$2:$U$1194,PARAMS_MODELO!$B$53),PARAMS_MODELO!$B$48),"PLATA",IF(U629&gt;=1,"BRONCE","CERRADO")))))</f>
        <v>ORO</v>
      </c>
      <c r="W629" s="5" t="str" cm="1">
        <f t="array" ref="W629">_xlfn.XLOOKUP(1, (HIST_SCORE!$B:$B=PARAMS_MODELO!$B$4) * (HIST_SCORE!$C:$C=A629), HIST_SCORE!$E:$E, "No encontrado")</f>
        <v>ORO</v>
      </c>
      <c r="X629" s="5" t="str">
        <f>_xlfn.LET(_xlpm.act,MATCH(V629,{"DIAMANTE";"PLATINO";"ORO";"PLATA";"BRONCE";"CERRADO"},0),_xlpm.ant,MATCH(W629,{"DIAMANTE";"PLATINO";"ORO";"PLATA";"BRONCE";"CERRADO"},0),IF(_xlpm.act&lt;_xlpm.ant,"Mejora ↑",IF(_xlpm.act&gt;_xlpm.ant,"Baja ↓","Estable →")))</f>
        <v>Estable →</v>
      </c>
      <c r="Y629" s="5">
        <f>IFERROR(U629-SUMIFS(HIST_SCORE!$D:$D,HIST_SCORE!$B:$B,PARAMS_MODELO!$B$4,HIST_SCORE!$C:$C,$A629),"")</f>
        <v>4.087238979570742</v>
      </c>
      <c r="Z629" s="5" t="str">
        <f t="shared" si="221"/>
        <v>→ Estable</v>
      </c>
      <c r="AA629" s="5">
        <f t="shared" si="222"/>
        <v>403</v>
      </c>
      <c r="AB629" s="5">
        <f>IFERROR(SUMIFS(HIST_SCORE!$F:$F,HIST_SCORE!$B:$B,PARAMS_MODELO!$B$4,HIST_SCORE!$C:$C,$A629),"")</f>
        <v>465</v>
      </c>
      <c r="AC629" s="5">
        <f t="shared" si="223"/>
        <v>62</v>
      </c>
      <c r="AD629" t="str">
        <f t="shared" si="225"/>
        <v/>
      </c>
      <c r="AE6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629="CERRADO",1,IF(V629="BRONCE",_xlpm.cPl,IF(V629="PLATA",_xlpm.cO,IF(V629="ORO",_xlpm.cP,IF(V629="PLATINO",_xlpm.cD,999))))))</f>
        <v>86.439123873763251</v>
      </c>
      <c r="AF6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629="CERRADO",0,IF(V629="BRONCE",1,IF(V629="PLATA",_xlpm.cPl,IF(V629="ORO",_xlpm.cO,IF(V629="PLATINO",_xlpm.cP,_xlpm.cD))))))</f>
        <v>63.199193273331495</v>
      </c>
      <c r="AG629">
        <f t="shared" si="226"/>
        <v>5.0454340299040439</v>
      </c>
      <c r="AH629" t="str">
        <f t="shared" si="227"/>
        <v>VENTAS</v>
      </c>
      <c r="AI629" t="str">
        <f t="shared" si="224"/>
        <v>🎯 Para subir de categoría, eje VENTAS / IMPACTO ABSOLUTO (H). Acción: metas semanales + activación comercial + seguimiento del asesor. ΔR aprox: 5,0</v>
      </c>
      <c r="AJ629" s="26">
        <f>_xlfn.LET(_xlpm.piso,AF629,_xlpm.corte,AE629,_xlpm.prog,IF(_xlpm.corte&lt;=_xlpm.piso,0,MAX(0,MIN(1,(U629-_xlpm.piso)/(_xlpm.corte-_xlpm.piso)))),_xlpm.orden,{"DIAMANTE";"PLATINO";"ORO";"PLATA";"BRONCE";"CERRADO"},_xlpm.act,IFERROR(MATCH(V629,_xlpm.orden,0),6),_xlpm.ant,IFERROR(MATCH(W629,_xlpm.orden,0),6),_xlpm.ajmov,IF(_xlpm.act&lt;_xlpm.ant,0.08,IF(_xlpm.act&gt;_xlpm.ant,-0.08,0)),_xlpm.ajcli,IF(T629&lt;0.95,-0.06,0),_xlpm.prob,MAX(0,MIN(1,_xlpm.prog+_xlpm.ajmov+_xlpm.ajcli)),IF(OR(V629="DIAMANTE",V629="CERRADO"),0,ROUND(_xlpm.prob,2)))</f>
        <v>0.78</v>
      </c>
      <c r="AK629" t="str">
        <f t="shared" si="228"/>
        <v>Faltan 5,0 puntos base para subir a la siguiente categoría</v>
      </c>
      <c r="AL629" t="str">
        <f t="shared" si="229"/>
        <v>Margen de seguridad: 18,2 puntos</v>
      </c>
      <c r="AM629">
        <f t="shared" si="230"/>
        <v>0.28999999999999998</v>
      </c>
      <c r="AN629" t="str">
        <f t="shared" si="231"/>
        <v>PRIORIDAD BAJA – control normal</v>
      </c>
      <c r="AO629">
        <f t="shared" si="232"/>
        <v>14.856634799226512</v>
      </c>
      <c r="AP629">
        <f t="shared" si="233"/>
        <v>0.91224463220986252</v>
      </c>
      <c r="AQ629">
        <f t="shared" si="234"/>
        <v>0</v>
      </c>
      <c r="AR629">
        <f t="shared" si="235"/>
        <v>2.6999999999999993</v>
      </c>
      <c r="AS629">
        <f t="shared" si="236"/>
        <v>0</v>
      </c>
      <c r="AT629" t="str">
        <f t="shared" si="237"/>
        <v>VENTAS</v>
      </c>
      <c r="AU629">
        <f t="shared" si="238"/>
        <v>14.856634799226512</v>
      </c>
      <c r="AV629" t="str">
        <f t="shared" si="239"/>
        <v>Mayor retorno probable: VENTAS (+14,9 puntos finales potenciales).</v>
      </c>
    </row>
    <row r="630" spans="1:48" x14ac:dyDescent="0.3">
      <c r="A630" s="5">
        <v>51011660</v>
      </c>
      <c r="B630" s="5" t="str">
        <f>IFERROR(VLOOKUP(A630,VENTAS!$A$2:$B$1194,2,0),"")</f>
        <v>PUGH</v>
      </c>
      <c r="C630" s="5">
        <f>IFERROR(INDEX(VENTAS!$C$2:$E$1194,MATCH(A630,VENTAS!$A$2:$A$1194,0),MATCH(PARAMS_MODELO!$B$2,{"Q1","Q2","Q3"},0)),0)</f>
        <v>56341912.990000002</v>
      </c>
      <c r="D630" s="5">
        <f>IFERROR(INDEX(VENTAS!$F$2:$H$1194,MATCH(A630,VENTAS!$A$2:$A$1194,0),MATCH(PARAMS_MODELO!$B$2,{"Q1","Q2","Q3"},0)),0)</f>
        <v>65340772</v>
      </c>
      <c r="E630" s="8">
        <f t="shared" si="216"/>
        <v>0.15971873393076286</v>
      </c>
      <c r="F630" s="12">
        <f>IF(E630&lt;=PARAMS_MODELO!$B$15,0,IF(E630&gt;=PARAMS_MODELO!$B$17,100,100*MIN(1,(E630-PARAMS_MODELO!$B$15)/(PARAMS_MODELO!$B$16-PARAMS_MODELO!$B$15))))*PARAMS_MODELO!$B$7</f>
        <v>35</v>
      </c>
      <c r="G630" s="5">
        <f t="shared" si="217"/>
        <v>8998859.0099999979</v>
      </c>
      <c r="H630" s="5">
        <f>(PARAMS_MODELO!$B$20*(MAX(0,MIN(3,E630))/3)+PARAMS_MODELO!$B$21*(IFERROR(LN(1+MAX(0,G630))/LN(1+MAX(0,MAX($G$2:$G$1194))),0)))*100*PARAMS_MODELO!$B$8</f>
        <v>4.3125945393074643</v>
      </c>
      <c r="I630" s="8">
        <f>E630-PARAMS_MODELO!$B$5</f>
        <v>-1.7844101444763671E-2</v>
      </c>
      <c r="J630" s="5">
        <f>IF(I630&lt;=PARAMS_MODELO!$B$18,0,IF(I630&gt;=PARAMS_MODELO!$B$19,100,100*(I630-PARAMS_MODELO!$B$18)/(PARAMS_MODELO!$B$19-PARAMS_MODELO!$B$18)))*PARAMS_MODELO!$B$9</f>
        <v>4.8233847832854497</v>
      </c>
      <c r="K630" s="5">
        <f>IFERROR(CHOOSE(MATCH(PARAMS_MODELO!$B$2,{"Q1","Q2","Q3"},0),LOTO!$D630,LOTO!$F630,LOTO!$H630),0)</f>
        <v>3067500</v>
      </c>
      <c r="L630" s="8">
        <f t="shared" si="218"/>
        <v>4.6946185453701099E-2</v>
      </c>
      <c r="M630" s="5">
        <f>MIN(100,IF(PARAMS_MODELO!$B$23=0,0,100*L630/PARAMS_MODELO!$B$23))*PARAMS_MODELO!$B$10</f>
        <v>14.083855636110329</v>
      </c>
      <c r="N630" s="5">
        <f>IFERROR(VLOOKUP(A630,COMPLIANCE!$A$2:$F$1996,6,0),100)</f>
        <v>100</v>
      </c>
      <c r="O630" s="5">
        <f>N630*PARAMS_MODELO!$B$11</f>
        <v>10</v>
      </c>
      <c r="P630" s="5">
        <f>IFERROR(VLOOKUP(A630,DIGITAL!$A$2:$J$2000,7,0),100)</f>
        <v>3</v>
      </c>
      <c r="Q630" s="5">
        <f>IFERROR(P630,0)*PARAMS_MODELO!$B$12</f>
        <v>0.30000000000000004</v>
      </c>
      <c r="R630">
        <f t="shared" si="219"/>
        <v>68.519834958703242</v>
      </c>
      <c r="S630" s="5" t="str">
        <f>IFERROR(VLOOKUP(A630,CLIENTE!$A$2:$N$2000,13,0),1)</f>
        <v>Malo</v>
      </c>
      <c r="T630" s="5">
        <f>IFERROR(VLOOKUP(A630,CLIENTE!$A$2:$N$2000,14,0),1)</f>
        <v>0.7</v>
      </c>
      <c r="U630" s="5">
        <f t="shared" si="220"/>
        <v>47.963884471092264</v>
      </c>
      <c r="V630" s="5" t="str">
        <f>IF(U630&gt;=MAX(_xlfn.PERCENTILE.INC($U$2:$U$1194,PARAMS_MODELO!$B$50),PARAMS_MODELO!$B$45),"DIAMANTE",IF(U630&gt;=MAX(_xlfn.PERCENTILE.INC($U$2:$U$1194,PARAMS_MODELO!$B$51),PARAMS_MODELO!$B$46),"PLATINO",IF(U630&gt;=MAX(_xlfn.PERCENTILE.INC($U$2:$U$1194,PARAMS_MODELO!$B$52),PARAMS_MODELO!$B$47),"ORO",IF(U630&gt;=MAX(_xlfn.PERCENTILE.INC($U$2:$U$1194,PARAMS_MODELO!$B$53),PARAMS_MODELO!$B$48),"PLATA",IF(U630&gt;=1,"BRONCE","CERRADO")))))</f>
        <v>PLATA</v>
      </c>
      <c r="W630" s="5" t="str" cm="1">
        <f t="array" ref="W630">_xlfn.XLOOKUP(1, (HIST_SCORE!$B:$B=PARAMS_MODELO!$B$4) * (HIST_SCORE!$C:$C=A630), HIST_SCORE!$E:$E, "No encontrado")</f>
        <v>PLATA</v>
      </c>
      <c r="X630" s="5" t="str">
        <f>_xlfn.LET(_xlpm.act,MATCH(V630,{"DIAMANTE";"PLATINO";"ORO";"PLATA";"BRONCE";"CERRADO"},0),_xlpm.ant,MATCH(W630,{"DIAMANTE";"PLATINO";"ORO";"PLATA";"BRONCE";"CERRADO"},0),IF(_xlpm.act&lt;_xlpm.ant,"Mejora ↑",IF(_xlpm.act&gt;_xlpm.ant,"Baja ↓","Estable →")))</f>
        <v>Estable →</v>
      </c>
      <c r="Y630" s="5">
        <f>IFERROR(U630-SUMIFS(HIST_SCORE!$D:$D,HIST_SCORE!$B:$B,PARAMS_MODELO!$B$4,HIST_SCORE!$C:$C,$A630),"")</f>
        <v>4.7041919679586144</v>
      </c>
      <c r="Z630" s="5" t="str">
        <f t="shared" si="221"/>
        <v>→ Estable</v>
      </c>
      <c r="AA630" s="5">
        <f t="shared" si="222"/>
        <v>754</v>
      </c>
      <c r="AB630" s="5">
        <f>IFERROR(SUMIFS(HIST_SCORE!$F:$F,HIST_SCORE!$B:$B,PARAMS_MODELO!$B$4,HIST_SCORE!$C:$C,$A630),"")</f>
        <v>834</v>
      </c>
      <c r="AC630" s="5">
        <f t="shared" si="223"/>
        <v>80</v>
      </c>
      <c r="AD630" t="str">
        <f t="shared" si="225"/>
        <v/>
      </c>
      <c r="AE6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630="CERRADO",1,IF(V630="BRONCE",_xlpm.cPl,IF(V630="PLATA",_xlpm.cO,IF(V630="ORO",_xlpm.cP,IF(V630="PLATINO",_xlpm.cD,999))))))</f>
        <v>63.199193273331495</v>
      </c>
      <c r="AF6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630="CERRADO",0,IF(V630="BRONCE",1,IF(V630="PLATA",_xlpm.cPl,IF(V630="ORO",_xlpm.cO,IF(V630="PLATINO",_xlpm.cP,_xlpm.cD))))))</f>
        <v>24.506573482968111</v>
      </c>
      <c r="AG630">
        <f t="shared" si="226"/>
        <v>21.764726860341753</v>
      </c>
      <c r="AH630" t="str">
        <f t="shared" si="227"/>
        <v>CLIENTE</v>
      </c>
      <c r="AI630" t="str">
        <f t="shared" si="224"/>
        <v>🎯 Para subir de categoría, la eje con mayor impacto probable es CLIENTE (coef T). Acción: reducir quejas, mejorar incógnito y empujar reseñas. ΔR aprox: 21,8</v>
      </c>
      <c r="AJ630" s="26">
        <f>_xlfn.LET(_xlpm.piso,AF630,_xlpm.corte,AE630,_xlpm.prog,IF(_xlpm.corte&lt;=_xlpm.piso,0,MAX(0,MIN(1,(U630-_xlpm.piso)/(_xlpm.corte-_xlpm.piso)))),_xlpm.orden,{"DIAMANTE";"PLATINO";"ORO";"PLATA";"BRONCE";"CERRADO"},_xlpm.act,IFERROR(MATCH(V630,_xlpm.orden,0),6),_xlpm.ant,IFERROR(MATCH(W630,_xlpm.orden,0),6),_xlpm.ajmov,IF(_xlpm.act&lt;_xlpm.ant,0.08,IF(_xlpm.act&gt;_xlpm.ant,-0.08,0)),_xlpm.ajcli,IF(T630&lt;0.95,-0.06,0),_xlpm.prob,MAX(0,MIN(1,_xlpm.prog+_xlpm.ajmov+_xlpm.ajcli)),IF(OR(V630="DIAMANTE",V630="CERRADO"),0,ROUND(_xlpm.prob,2)))</f>
        <v>0.55000000000000004</v>
      </c>
      <c r="AK630" t="str">
        <f t="shared" si="228"/>
        <v>Faltan 21,8 puntos base para subir a la siguiente categoría</v>
      </c>
      <c r="AL630" t="str">
        <f t="shared" si="229"/>
        <v>Margen de seguridad: 23,5 puntos</v>
      </c>
      <c r="AM630">
        <f t="shared" si="230"/>
        <v>0.78</v>
      </c>
      <c r="AN630" t="str">
        <f t="shared" si="231"/>
        <v>PRIORIDAD ALTA – requiere intervención inmediata</v>
      </c>
      <c r="AO630">
        <f t="shared" si="232"/>
        <v>14.508612966891871</v>
      </c>
      <c r="AP630">
        <f t="shared" si="233"/>
        <v>0.64130105472276988</v>
      </c>
      <c r="AQ630">
        <f t="shared" si="234"/>
        <v>0</v>
      </c>
      <c r="AR630">
        <f t="shared" si="235"/>
        <v>6.7899999999999991</v>
      </c>
      <c r="AS630">
        <f t="shared" si="236"/>
        <v>20.555950487610975</v>
      </c>
      <c r="AT630" t="str">
        <f t="shared" si="237"/>
        <v>CLIENTE</v>
      </c>
      <c r="AU630">
        <f t="shared" si="238"/>
        <v>20.555950487610975</v>
      </c>
      <c r="AV630" t="str">
        <f t="shared" si="239"/>
        <v>Mayor retorno probable: CLIENTE (+20,6 puntos finales potenciales).</v>
      </c>
    </row>
    <row r="631" spans="1:48" x14ac:dyDescent="0.3">
      <c r="A631" s="5">
        <v>51022556</v>
      </c>
      <c r="B631" s="5" t="str">
        <f>IFERROR(VLOOKUP(A631,VENTAS!$A$2:$B$1194,2,0),"")</f>
        <v>NELLI</v>
      </c>
      <c r="C631" s="5">
        <f>IFERROR(INDEX(VENTAS!$C$2:$E$1194,MATCH(A631,VENTAS!$A$2:$A$1194,0),MATCH(PARAMS_MODELO!$B$2,{"Q1","Q2","Q3"},0)),0)</f>
        <v>27757044.600000001</v>
      </c>
      <c r="D631" s="5">
        <f>IFERROR(INDEX(VENTAS!$F$2:$H$1194,MATCH(A631,VENTAS!$A$2:$A$1194,0),MATCH(PARAMS_MODELO!$B$2,{"Q1","Q2","Q3"},0)),0)</f>
        <v>65208485</v>
      </c>
      <c r="E631" s="8">
        <f t="shared" si="216"/>
        <v>1.3492589337122727</v>
      </c>
      <c r="F631" s="12">
        <f>IF(E631&lt;=PARAMS_MODELO!$B$15,0,IF(E631&gt;=PARAMS_MODELO!$B$17,100,100*MIN(1,(E631-PARAMS_MODELO!$B$15)/(PARAMS_MODELO!$B$16-PARAMS_MODELO!$B$15))))*PARAMS_MODELO!$B$7</f>
        <v>35</v>
      </c>
      <c r="G631" s="5">
        <f t="shared" si="217"/>
        <v>37451440.399999999</v>
      </c>
      <c r="H631" s="5">
        <f>(PARAMS_MODELO!$B$20*(MAX(0,MIN(3,E631))/3)+PARAMS_MODELO!$B$21*(IFERROR(LN(1+MAX(0,G631))/LN(1+MAX(0,MAX($G$2:$G$1194))),0)))*100*PARAMS_MODELO!$B$8</f>
        <v>8.8102471914969929</v>
      </c>
      <c r="I631" s="8">
        <f>E631-PARAMS_MODELO!$B$5</f>
        <v>1.1716960983367462</v>
      </c>
      <c r="J631" s="5">
        <f>IF(I631&lt;=PARAMS_MODELO!$B$18,0,IF(I631&gt;=PARAMS_MODELO!$B$19,100,100*(I631-PARAMS_MODELO!$B$18)/(PARAMS_MODELO!$B$19-PARAMS_MODELO!$B$18)))*PARAMS_MODELO!$B$9</f>
        <v>15</v>
      </c>
      <c r="K631" s="5">
        <f>IFERROR(CHOOSE(MATCH(PARAMS_MODELO!$B$2,{"Q1","Q2","Q3"},0),LOTO!$D631,LOTO!$F631,LOTO!$H631),0)</f>
        <v>3062500</v>
      </c>
      <c r="L631" s="8">
        <f t="shared" si="218"/>
        <v>4.6964746995732227E-2</v>
      </c>
      <c r="M631" s="5">
        <f>MIN(100,IF(PARAMS_MODELO!$B$23=0,0,100*L631/PARAMS_MODELO!$B$23))*PARAMS_MODELO!$B$10</f>
        <v>14.089424098719668</v>
      </c>
      <c r="N631" s="5">
        <f>IFERROR(VLOOKUP(A631,COMPLIANCE!$A$2:$F$1996,6,0),100)</f>
        <v>99.98</v>
      </c>
      <c r="O631" s="5">
        <f>N631*PARAMS_MODELO!$B$11</f>
        <v>9.9980000000000011</v>
      </c>
      <c r="P631" s="5">
        <f>IFERROR(VLOOKUP(A631,DIGITAL!$A$2:$J$2000,7,0),100)</f>
        <v>75</v>
      </c>
      <c r="Q631" s="5">
        <f>IFERROR(P631,0)*PARAMS_MODELO!$B$12</f>
        <v>7.5</v>
      </c>
      <c r="R631">
        <f t="shared" si="219"/>
        <v>90.397671290216664</v>
      </c>
      <c r="S631" s="5" t="str">
        <f>IFERROR(VLOOKUP(A631,CLIENTE!$A$2:$N$2000,13,0),1)</f>
        <v>Regular</v>
      </c>
      <c r="T631" s="5">
        <f>IFERROR(VLOOKUP(A631,CLIENTE!$A$2:$N$2000,14,0),1)</f>
        <v>1</v>
      </c>
      <c r="U631" s="5">
        <f t="shared" si="220"/>
        <v>90.397671290216664</v>
      </c>
      <c r="V631" s="5" t="str">
        <f>IF(U631&gt;=MAX(_xlfn.PERCENTILE.INC($U$2:$U$1194,PARAMS_MODELO!$B$50),PARAMS_MODELO!$B$45),"DIAMANTE",IF(U631&gt;=MAX(_xlfn.PERCENTILE.INC($U$2:$U$1194,PARAMS_MODELO!$B$51),PARAMS_MODELO!$B$46),"PLATINO",IF(U631&gt;=MAX(_xlfn.PERCENTILE.INC($U$2:$U$1194,PARAMS_MODELO!$B$52),PARAMS_MODELO!$B$47),"ORO",IF(U631&gt;=MAX(_xlfn.PERCENTILE.INC($U$2:$U$1194,PARAMS_MODELO!$B$53),PARAMS_MODELO!$B$48),"PLATA",IF(U631&gt;=1,"BRONCE","CERRADO")))))</f>
        <v>PLATINO</v>
      </c>
      <c r="W631" s="5" t="str" cm="1">
        <f t="array" ref="W631">_xlfn.XLOOKUP(1, (HIST_SCORE!$B:$B=PARAMS_MODELO!$B$4) * (HIST_SCORE!$C:$C=A631), HIST_SCORE!$E:$E, "No encontrado")</f>
        <v>PLATINO</v>
      </c>
      <c r="X631" s="5" t="str">
        <f>_xlfn.LET(_xlpm.act,MATCH(V631,{"DIAMANTE";"PLATINO";"ORO";"PLATA";"BRONCE";"CERRADO"},0),_xlpm.ant,MATCH(W631,{"DIAMANTE";"PLATINO";"ORO";"PLATA";"BRONCE";"CERRADO"},0),IF(_xlpm.act&lt;_xlpm.ant,"Mejora ↑",IF(_xlpm.act&gt;_xlpm.ant,"Baja ↓","Estable →")))</f>
        <v>Estable →</v>
      </c>
      <c r="Y631" s="5">
        <f>IFERROR(U631-SUMIFS(HIST_SCORE!$D:$D,HIST_SCORE!$B:$B,PARAMS_MODELO!$B$4,HIST_SCORE!$C:$C,$A631),"")</f>
        <v>2.6402993657941494</v>
      </c>
      <c r="Z631" s="5" t="str">
        <f t="shared" si="221"/>
        <v>→ Estable</v>
      </c>
      <c r="AA631" s="5">
        <f t="shared" si="222"/>
        <v>128</v>
      </c>
      <c r="AB631" s="5">
        <f>IFERROR(SUMIFS(HIST_SCORE!$F:$F,HIST_SCORE!$B:$B,PARAMS_MODELO!$B$4,HIST_SCORE!$C:$C,$A631),"")</f>
        <v>186</v>
      </c>
      <c r="AC631" s="5">
        <f t="shared" si="223"/>
        <v>58</v>
      </c>
      <c r="AD631" t="str">
        <f t="shared" si="225"/>
        <v/>
      </c>
      <c r="AE6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631="CERRADO",1,IF(V631="BRONCE",_xlpm.cPl,IF(V631="PLATA",_xlpm.cO,IF(V631="ORO",_xlpm.cP,IF(V631="PLATINO",_xlpm.cD,999))))))</f>
        <v>96.054919694466676</v>
      </c>
      <c r="AF6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631="CERRADO",0,IF(V631="BRONCE",1,IF(V631="PLATA",_xlpm.cPl,IF(V631="ORO",_xlpm.cO,IF(V631="PLATINO",_xlpm.cP,_xlpm.cD))))))</f>
        <v>86.439123873763251</v>
      </c>
      <c r="AG631">
        <f t="shared" si="226"/>
        <v>5.6572484042500122</v>
      </c>
      <c r="AH631" t="str">
        <f t="shared" si="227"/>
        <v>VENTAS</v>
      </c>
      <c r="AI631" t="str">
        <f t="shared" si="224"/>
        <v>🎯 Para subir de categoría, eje VENTAS / IMPACTO ABSOLUTO (H). Acción: metas semanales + activación comercial + seguimiento del asesor. ΔR aprox: 5,7</v>
      </c>
      <c r="AJ631" s="26">
        <f>_xlfn.LET(_xlpm.piso,AF631,_xlpm.corte,AE631,_xlpm.prog,IF(_xlpm.corte&lt;=_xlpm.piso,0,MAX(0,MIN(1,(U631-_xlpm.piso)/(_xlpm.corte-_xlpm.piso)))),_xlpm.orden,{"DIAMANTE";"PLATINO";"ORO";"PLATA";"BRONCE";"CERRADO"},_xlpm.act,IFERROR(MATCH(V631,_xlpm.orden,0),6),_xlpm.ant,IFERROR(MATCH(W631,_xlpm.orden,0),6),_xlpm.ajmov,IF(_xlpm.act&lt;_xlpm.ant,0.08,IF(_xlpm.act&gt;_xlpm.ant,-0.08,0)),_xlpm.ajcli,IF(T631&lt;0.95,-0.06,0),_xlpm.prob,MAX(0,MIN(1,_xlpm.prog+_xlpm.ajmov+_xlpm.ajcli)),IF(OR(V631="DIAMANTE",V631="CERRADO"),0,ROUND(_xlpm.prob,2)))</f>
        <v>0.41</v>
      </c>
      <c r="AK631" t="str">
        <f t="shared" si="228"/>
        <v>Faltan 5,7 puntos base para subir a la siguiente categoría</v>
      </c>
      <c r="AL631" t="str">
        <f t="shared" si="229"/>
        <v>Margen de seguridad: 4,0 puntos</v>
      </c>
      <c r="AM631">
        <f t="shared" si="230"/>
        <v>0.46</v>
      </c>
      <c r="AN631" t="str">
        <f t="shared" si="231"/>
        <v>PRIORIDAD MEDIA – seguimiento del asesor</v>
      </c>
      <c r="AO631">
        <f t="shared" si="232"/>
        <v>6.0523220837985932</v>
      </c>
      <c r="AP631">
        <f t="shared" si="233"/>
        <v>0.91057590128033183</v>
      </c>
      <c r="AQ631">
        <f t="shared" si="234"/>
        <v>1.9999999999988916E-3</v>
      </c>
      <c r="AR631">
        <f t="shared" si="235"/>
        <v>2.5</v>
      </c>
      <c r="AS631">
        <f t="shared" si="236"/>
        <v>0</v>
      </c>
      <c r="AT631" t="str">
        <f t="shared" si="237"/>
        <v>VENTAS</v>
      </c>
      <c r="AU631">
        <f t="shared" si="238"/>
        <v>6.0523220837985932</v>
      </c>
      <c r="AV631" t="str">
        <f t="shared" si="239"/>
        <v>Mayor retorno probable: VENTAS (+6,1 puntos finales potenciales).</v>
      </c>
    </row>
    <row r="632" spans="1:48" x14ac:dyDescent="0.3">
      <c r="A632" s="5">
        <v>51018427</v>
      </c>
      <c r="B632" s="5" t="str">
        <f>IFERROR(VLOOKUP(A632,VENTAS!$A$2:$B$1194,2,0),"")</f>
        <v>ROBERTS</v>
      </c>
      <c r="C632" s="5">
        <f>IFERROR(INDEX(VENTAS!$C$2:$E$1194,MATCH(A632,VENTAS!$A$2:$A$1194,0),MATCH(PARAMS_MODELO!$B$2,{"Q1","Q2","Q3"},0)),0)</f>
        <v>55547035.229999997</v>
      </c>
      <c r="D632" s="5">
        <f>IFERROR(INDEX(VENTAS!$F$2:$H$1194,MATCH(A632,VENTAS!$A$2:$A$1194,0),MATCH(PARAMS_MODELO!$B$2,{"Q1","Q2","Q3"},0)),0)</f>
        <v>65191117</v>
      </c>
      <c r="E632" s="8">
        <f t="shared" si="216"/>
        <v>0.17362009925583566</v>
      </c>
      <c r="F632" s="12">
        <f>IF(E632&lt;=PARAMS_MODELO!$B$15,0,IF(E632&gt;=PARAMS_MODELO!$B$17,100,100*MIN(1,(E632-PARAMS_MODELO!$B$15)/(PARAMS_MODELO!$B$16-PARAMS_MODELO!$B$15))))*PARAMS_MODELO!$B$7</f>
        <v>35</v>
      </c>
      <c r="G632" s="5">
        <f t="shared" si="217"/>
        <v>9644081.7700000033</v>
      </c>
      <c r="H632" s="5">
        <f>(PARAMS_MODELO!$B$20*(MAX(0,MIN(3,E632))/3)+PARAMS_MODELO!$B$21*(IFERROR(LN(1+MAX(0,G632))/LN(1+MAX(0,MAX($G$2:$G$1194))),0)))*100*PARAMS_MODELO!$B$8</f>
        <v>4.3774816968726009</v>
      </c>
      <c r="I632" s="8">
        <f>E632-PARAMS_MODELO!$B$5</f>
        <v>-3.9427361196908706E-3</v>
      </c>
      <c r="J632" s="5">
        <f>IF(I632&lt;=PARAMS_MODELO!$B$18,0,IF(I632&gt;=PARAMS_MODELO!$B$19,100,100*(I632-PARAMS_MODELO!$B$18)/(PARAMS_MODELO!$B$19-PARAMS_MODELO!$B$18)))*PARAMS_MODELO!$B$9</f>
        <v>6.9085895820463694</v>
      </c>
      <c r="K632" s="5">
        <f>IFERROR(CHOOSE(MATCH(PARAMS_MODELO!$B$2,{"Q1","Q2","Q3"},0),LOTO!$D632,LOTO!$F632,LOTO!$H632),0)</f>
        <v>3060000</v>
      </c>
      <c r="L632" s="8">
        <f t="shared" si="218"/>
        <v>4.6938910404004892E-2</v>
      </c>
      <c r="M632" s="5">
        <f>MIN(100,IF(PARAMS_MODELO!$B$23=0,0,100*L632/PARAMS_MODELO!$B$23))*PARAMS_MODELO!$B$10</f>
        <v>14.081673121201465</v>
      </c>
      <c r="N632" s="5">
        <f>IFERROR(VLOOKUP(A632,COMPLIANCE!$A$2:$F$1996,6,0),100)</f>
        <v>100</v>
      </c>
      <c r="O632" s="5">
        <f>N632*PARAMS_MODELO!$B$11</f>
        <v>10</v>
      </c>
      <c r="P632" s="5">
        <f>IFERROR(VLOOKUP(A632,DIGITAL!$A$2:$J$2000,7,0),100)</f>
        <v>63</v>
      </c>
      <c r="Q632" s="5">
        <f>IFERROR(P632,0)*PARAMS_MODELO!$B$12</f>
        <v>6.3000000000000007</v>
      </c>
      <c r="R632">
        <f t="shared" si="219"/>
        <v>76.667744400120426</v>
      </c>
      <c r="S632" s="5" t="str">
        <f>IFERROR(VLOOKUP(A632,CLIENTE!$A$2:$N$2000,13,0),1)</f>
        <v>Muy Bueno</v>
      </c>
      <c r="T632" s="5">
        <f>IFERROR(VLOOKUP(A632,CLIENTE!$A$2:$N$2000,14,0),1)</f>
        <v>1.1499999999999999</v>
      </c>
      <c r="U632" s="5">
        <f t="shared" si="220"/>
        <v>88.167906060138478</v>
      </c>
      <c r="V632" s="5" t="str">
        <f>IF(U632&gt;=MAX(_xlfn.PERCENTILE.INC($U$2:$U$1194,PARAMS_MODELO!$B$50),PARAMS_MODELO!$B$45),"DIAMANTE",IF(U632&gt;=MAX(_xlfn.PERCENTILE.INC($U$2:$U$1194,PARAMS_MODELO!$B$51),PARAMS_MODELO!$B$46),"PLATINO",IF(U632&gt;=MAX(_xlfn.PERCENTILE.INC($U$2:$U$1194,PARAMS_MODELO!$B$52),PARAMS_MODELO!$B$47),"ORO",IF(U632&gt;=MAX(_xlfn.PERCENTILE.INC($U$2:$U$1194,PARAMS_MODELO!$B$53),PARAMS_MODELO!$B$48),"PLATA",IF(U632&gt;=1,"BRONCE","CERRADO")))))</f>
        <v>PLATINO</v>
      </c>
      <c r="W632" s="5" t="str" cm="1">
        <f t="array" ref="W632">_xlfn.XLOOKUP(1, (HIST_SCORE!$B:$B=PARAMS_MODELO!$B$4) * (HIST_SCORE!$C:$C=A632), HIST_SCORE!$E:$E, "No encontrado")</f>
        <v>PLATINO</v>
      </c>
      <c r="X632" s="5" t="str">
        <f>_xlfn.LET(_xlpm.act,MATCH(V632,{"DIAMANTE";"PLATINO";"ORO";"PLATA";"BRONCE";"CERRADO"},0),_xlpm.ant,MATCH(W632,{"DIAMANTE";"PLATINO";"ORO";"PLATA";"BRONCE";"CERRADO"},0),IF(_xlpm.act&lt;_xlpm.ant,"Mejora ↑",IF(_xlpm.act&gt;_xlpm.ant,"Baja ↓","Estable →")))</f>
        <v>Estable →</v>
      </c>
      <c r="Y632" s="5">
        <f>IFERROR(U632-SUMIFS(HIST_SCORE!$D:$D,HIST_SCORE!$B:$B,PARAMS_MODELO!$B$4,HIST_SCORE!$C:$C,$A632),"")</f>
        <v>-4.4462254772647043</v>
      </c>
      <c r="Z632" s="5" t="str">
        <f t="shared" si="221"/>
        <v>→ Estable</v>
      </c>
      <c r="AA632" s="5">
        <f t="shared" si="222"/>
        <v>193</v>
      </c>
      <c r="AB632" s="5">
        <f>IFERROR(SUMIFS(HIST_SCORE!$F:$F,HIST_SCORE!$B:$B,PARAMS_MODELO!$B$4,HIST_SCORE!$C:$C,$A632),"")</f>
        <v>92</v>
      </c>
      <c r="AC632" s="5">
        <f t="shared" si="223"/>
        <v>-101</v>
      </c>
      <c r="AD632" t="str">
        <f t="shared" si="225"/>
        <v/>
      </c>
      <c r="AE6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632="CERRADO",1,IF(V632="BRONCE",_xlpm.cPl,IF(V632="PLATA",_xlpm.cO,IF(V632="ORO",_xlpm.cP,IF(V632="PLATINO",_xlpm.cD,999))))))</f>
        <v>96.054919694466676</v>
      </c>
      <c r="AF6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632="CERRADO",0,IF(V632="BRONCE",1,IF(V632="PLATA",_xlpm.cPl,IF(V632="ORO",_xlpm.cO,IF(V632="PLATINO",_xlpm.cP,_xlpm.cD))))))</f>
        <v>86.439123873763251</v>
      </c>
      <c r="AG632">
        <f t="shared" si="226"/>
        <v>6.858272725502772</v>
      </c>
      <c r="AH632" t="str">
        <f t="shared" si="227"/>
        <v>VENTAS</v>
      </c>
      <c r="AI632" t="str">
        <f t="shared" si="224"/>
        <v>🎯 Para subir de categoría, eje VENTAS / IMPACTO ABSOLUTO (H). Acción: metas semanales + activación comercial + seguimiento del asesor. ΔR aprox: 6,9</v>
      </c>
      <c r="AJ632" s="26">
        <f>_xlfn.LET(_xlpm.piso,AF632,_xlpm.corte,AE632,_xlpm.prog,IF(_xlpm.corte&lt;=_xlpm.piso,0,MAX(0,MIN(1,(U632-_xlpm.piso)/(_xlpm.corte-_xlpm.piso)))),_xlpm.orden,{"DIAMANTE";"PLATINO";"ORO";"PLATA";"BRONCE";"CERRADO"},_xlpm.act,IFERROR(MATCH(V632,_xlpm.orden,0),6),_xlpm.ant,IFERROR(MATCH(W632,_xlpm.orden,0),6),_xlpm.ajmov,IF(_xlpm.act&lt;_xlpm.ant,0.08,IF(_xlpm.act&gt;_xlpm.ant,-0.08,0)),_xlpm.ajcli,IF(T632&lt;0.95,-0.06,0),_xlpm.prob,MAX(0,MIN(1,_xlpm.prog+_xlpm.ajmov+_xlpm.ajcli)),IF(OR(V632="DIAMANTE",V632="CERRADO"),0,ROUND(_xlpm.prob,2)))</f>
        <v>0.18</v>
      </c>
      <c r="AK632" t="str">
        <f t="shared" si="228"/>
        <v>Faltan 6,9 puntos base para subir a la siguiente categoría</v>
      </c>
      <c r="AL632" t="str">
        <f t="shared" si="229"/>
        <v>Margen de seguridad: 1,7 puntos</v>
      </c>
      <c r="AM632">
        <f t="shared" si="230"/>
        <v>0.6</v>
      </c>
      <c r="AN632" t="str">
        <f t="shared" si="231"/>
        <v>PRIORIDAD MEDIA – seguimiento del asesor</v>
      </c>
      <c r="AO632">
        <f t="shared" si="232"/>
        <v>21.362972695833108</v>
      </c>
      <c r="AP632">
        <f t="shared" si="233"/>
        <v>1.0560759106183149</v>
      </c>
      <c r="AQ632">
        <f t="shared" si="234"/>
        <v>0</v>
      </c>
      <c r="AR632">
        <f t="shared" si="235"/>
        <v>4.254999999999999</v>
      </c>
      <c r="AS632">
        <f t="shared" si="236"/>
        <v>0</v>
      </c>
      <c r="AT632" t="str">
        <f t="shared" si="237"/>
        <v>VENTAS</v>
      </c>
      <c r="AU632">
        <f t="shared" si="238"/>
        <v>21.362972695833108</v>
      </c>
      <c r="AV632" t="str">
        <f t="shared" si="239"/>
        <v>Mayor retorno probable: VENTAS (+21,4 puntos finales potenciales).</v>
      </c>
    </row>
    <row r="633" spans="1:48" x14ac:dyDescent="0.3">
      <c r="A633" s="5">
        <v>51024516</v>
      </c>
      <c r="B633" s="5" t="str">
        <f>IFERROR(VLOOKUP(A633,VENTAS!$A$2:$B$1194,2,0),"")</f>
        <v>NELLI</v>
      </c>
      <c r="C633" s="5">
        <f>IFERROR(INDEX(VENTAS!$C$2:$E$1194,MATCH(A633,VENTAS!$A$2:$A$1194,0),MATCH(PARAMS_MODELO!$B$2,{"Q1","Q2","Q3"},0)),0)</f>
        <v>39671924.880000003</v>
      </c>
      <c r="D633" s="5">
        <f>IFERROR(INDEX(VENTAS!$F$2:$H$1194,MATCH(A633,VENTAS!$A$2:$A$1194,0),MATCH(PARAMS_MODELO!$B$2,{"Q1","Q2","Q3"},0)),0)</f>
        <v>65089637</v>
      </c>
      <c r="E633" s="8">
        <f t="shared" si="216"/>
        <v>0.64069772759662458</v>
      </c>
      <c r="F633" s="12">
        <f>IF(E633&lt;=PARAMS_MODELO!$B$15,0,IF(E633&gt;=PARAMS_MODELO!$B$17,100,100*MIN(1,(E633-PARAMS_MODELO!$B$15)/(PARAMS_MODELO!$B$16-PARAMS_MODELO!$B$15))))*PARAMS_MODELO!$B$7</f>
        <v>35</v>
      </c>
      <c r="G633" s="5">
        <f t="shared" si="217"/>
        <v>25417712.119999997</v>
      </c>
      <c r="H633" s="5">
        <f>(PARAMS_MODELO!$B$20*(MAX(0,MIN(3,E633))/3)+PARAMS_MODELO!$B$21*(IFERROR(LN(1+MAX(0,G633))/LN(1+MAX(0,MAX($G$2:$G$1194))),0)))*100*PARAMS_MODELO!$B$8</f>
        <v>6.2394243767902511</v>
      </c>
      <c r="I633" s="8">
        <f>E633-PARAMS_MODELO!$B$5</f>
        <v>0.46313489222109805</v>
      </c>
      <c r="J633" s="5">
        <f>IF(I633&lt;=PARAMS_MODELO!$B$18,0,IF(I633&gt;=PARAMS_MODELO!$B$19,100,100*(I633-PARAMS_MODELO!$B$18)/(PARAMS_MODELO!$B$19-PARAMS_MODELO!$B$18)))*PARAMS_MODELO!$B$9</f>
        <v>15</v>
      </c>
      <c r="K633" s="5">
        <f>IFERROR(CHOOSE(MATCH(PARAMS_MODELO!$B$2,{"Q1","Q2","Q3"},0),LOTO!$D633,LOTO!$F633,LOTO!$H633),0)</f>
        <v>3060000</v>
      </c>
      <c r="L633" s="8">
        <f t="shared" si="218"/>
        <v>4.7012091955590411E-2</v>
      </c>
      <c r="M633" s="5">
        <f>MIN(100,IF(PARAMS_MODELO!$B$23=0,0,100*L633/PARAMS_MODELO!$B$23))*PARAMS_MODELO!$B$10</f>
        <v>14.103627586677124</v>
      </c>
      <c r="N633" s="5">
        <f>IFERROR(VLOOKUP(A633,COMPLIANCE!$A$2:$F$1996,6,0),100)</f>
        <v>99.96</v>
      </c>
      <c r="O633" s="5">
        <f>N633*PARAMS_MODELO!$B$11</f>
        <v>9.9960000000000004</v>
      </c>
      <c r="P633" s="5">
        <f>IFERROR(VLOOKUP(A633,DIGITAL!$A$2:$J$2000,7,0),100)</f>
        <v>0</v>
      </c>
      <c r="Q633" s="5">
        <f>IFERROR(P633,0)*PARAMS_MODELO!$B$12</f>
        <v>0</v>
      </c>
      <c r="R633">
        <f t="shared" si="219"/>
        <v>80.339051963467369</v>
      </c>
      <c r="S633" s="5" t="str">
        <f>IFERROR(VLOOKUP(A633,CLIENTE!$A$2:$N$2000,13,0),1)</f>
        <v>Regular</v>
      </c>
      <c r="T633" s="5">
        <f>IFERROR(VLOOKUP(A633,CLIENTE!$A$2:$N$2000,14,0),1)</f>
        <v>1</v>
      </c>
      <c r="U633" s="5">
        <f t="shared" si="220"/>
        <v>80.339051963467369</v>
      </c>
      <c r="V633" s="5" t="str">
        <f>IF(U633&gt;=MAX(_xlfn.PERCENTILE.INC($U$2:$U$1194,PARAMS_MODELO!$B$50),PARAMS_MODELO!$B$45),"DIAMANTE",IF(U633&gt;=MAX(_xlfn.PERCENTILE.INC($U$2:$U$1194,PARAMS_MODELO!$B$51),PARAMS_MODELO!$B$46),"PLATINO",IF(U633&gt;=MAX(_xlfn.PERCENTILE.INC($U$2:$U$1194,PARAMS_MODELO!$B$52),PARAMS_MODELO!$B$47),"ORO",IF(U633&gt;=MAX(_xlfn.PERCENTILE.INC($U$2:$U$1194,PARAMS_MODELO!$B$53),PARAMS_MODELO!$B$48),"PLATA",IF(U633&gt;=1,"BRONCE","CERRADO")))))</f>
        <v>ORO</v>
      </c>
      <c r="W633" s="5" t="str" cm="1">
        <f t="array" ref="W633">_xlfn.XLOOKUP(1, (HIST_SCORE!$B:$B=PARAMS_MODELO!$B$4) * (HIST_SCORE!$C:$C=A633), HIST_SCORE!$E:$E, "No encontrado")</f>
        <v>ORO</v>
      </c>
      <c r="X633" s="5" t="str">
        <f>_xlfn.LET(_xlpm.act,MATCH(V633,{"DIAMANTE";"PLATINO";"ORO";"PLATA";"BRONCE";"CERRADO"},0),_xlpm.ant,MATCH(W633,{"DIAMANTE";"PLATINO";"ORO";"PLATA";"BRONCE";"CERRADO"},0),IF(_xlpm.act&lt;_xlpm.ant,"Mejora ↑",IF(_xlpm.act&gt;_xlpm.ant,"Baja ↓","Estable →")))</f>
        <v>Estable →</v>
      </c>
      <c r="Y633" s="5">
        <f>IFERROR(U633-SUMIFS(HIST_SCORE!$D:$D,HIST_SCORE!$B:$B,PARAMS_MODELO!$B$4,HIST_SCORE!$C:$C,$A633),"")</f>
        <v>-0.45850949325425461</v>
      </c>
      <c r="Z633" s="5" t="str">
        <f t="shared" si="221"/>
        <v>→ Estable</v>
      </c>
      <c r="AA633" s="5">
        <f t="shared" si="222"/>
        <v>432</v>
      </c>
      <c r="AB633" s="5">
        <f>IFERROR(SUMIFS(HIST_SCORE!$F:$F,HIST_SCORE!$B:$B,PARAMS_MODELO!$B$4,HIST_SCORE!$C:$C,$A633),"")</f>
        <v>397</v>
      </c>
      <c r="AC633" s="5">
        <f t="shared" si="223"/>
        <v>-35</v>
      </c>
      <c r="AD633" t="str">
        <f t="shared" si="225"/>
        <v>Sostener base y reforzar mix</v>
      </c>
      <c r="AE6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633="CERRADO",1,IF(V633="BRONCE",_xlpm.cPl,IF(V633="PLATA",_xlpm.cO,IF(V633="ORO",_xlpm.cP,IF(V633="PLATINO",_xlpm.cD,999))))))</f>
        <v>86.439123873763251</v>
      </c>
      <c r="AF6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633="CERRADO",0,IF(V633="BRONCE",1,IF(V633="PLATA",_xlpm.cPl,IF(V633="ORO",_xlpm.cO,IF(V633="PLATINO",_xlpm.cP,_xlpm.cD))))))</f>
        <v>63.199193273331495</v>
      </c>
      <c r="AG633">
        <f t="shared" si="226"/>
        <v>6.1000719102958811</v>
      </c>
      <c r="AH633" t="str">
        <f t="shared" si="227"/>
        <v>VENTAS</v>
      </c>
      <c r="AI633" t="str">
        <f t="shared" si="224"/>
        <v>🎯 Para subir de categoría, eje VENTAS / IMPACTO ABSOLUTO (H). Acción: metas semanales + activación comercial + seguimiento del asesor. ΔR aprox: 6,1</v>
      </c>
      <c r="AJ633" s="26">
        <f>_xlfn.LET(_xlpm.piso,AF633,_xlpm.corte,AE633,_xlpm.prog,IF(_xlpm.corte&lt;=_xlpm.piso,0,MAX(0,MIN(1,(U633-_xlpm.piso)/(_xlpm.corte-_xlpm.piso)))),_xlpm.orden,{"DIAMANTE";"PLATINO";"ORO";"PLATA";"BRONCE";"CERRADO"},_xlpm.act,IFERROR(MATCH(V633,_xlpm.orden,0),6),_xlpm.ant,IFERROR(MATCH(W633,_xlpm.orden,0),6),_xlpm.ajmov,IF(_xlpm.act&lt;_xlpm.ant,0.08,IF(_xlpm.act&gt;_xlpm.ant,-0.08,0)),_xlpm.ajcli,IF(T633&lt;0.95,-0.06,0),_xlpm.prob,MAX(0,MIN(1,_xlpm.prog+_xlpm.ajmov+_xlpm.ajcli)),IF(OR(V633="DIAMANTE",V633="CERRADO"),0,ROUND(_xlpm.prob,2)))</f>
        <v>0.74</v>
      </c>
      <c r="AK633" t="str">
        <f t="shared" si="228"/>
        <v>Faltan 6,1 puntos base para subir a la siguiente categoría</v>
      </c>
      <c r="AL633" t="str">
        <f t="shared" si="229"/>
        <v>Margen de seguridad: 17,1 puntos</v>
      </c>
      <c r="AM633">
        <f t="shared" si="230"/>
        <v>0.35</v>
      </c>
      <c r="AN633" t="str">
        <f t="shared" si="231"/>
        <v>PRIORIDAD BAJA – control normal</v>
      </c>
      <c r="AO633">
        <f t="shared" si="232"/>
        <v>8.6231448985053305</v>
      </c>
      <c r="AP633">
        <f t="shared" si="233"/>
        <v>0.89637241332287587</v>
      </c>
      <c r="AQ633">
        <f t="shared" si="234"/>
        <v>3.9999999999995595E-3</v>
      </c>
      <c r="AR633">
        <f t="shared" si="235"/>
        <v>10</v>
      </c>
      <c r="AS633">
        <f t="shared" si="236"/>
        <v>0</v>
      </c>
      <c r="AT633" t="str">
        <f t="shared" si="237"/>
        <v>DIGITAL</v>
      </c>
      <c r="AU633">
        <f t="shared" si="238"/>
        <v>10</v>
      </c>
      <c r="AV633" t="str">
        <f t="shared" si="239"/>
        <v>Mayor retorno probable: DIGITAL (+10,0 puntos finales potenciales).</v>
      </c>
    </row>
    <row r="634" spans="1:48" x14ac:dyDescent="0.3">
      <c r="A634" s="5">
        <v>51011856</v>
      </c>
      <c r="B634" s="5" t="str">
        <f>IFERROR(VLOOKUP(A634,VENTAS!$A$2:$B$1194,2,0),"")</f>
        <v>ARGUELLO</v>
      </c>
      <c r="C634" s="5">
        <f>IFERROR(INDEX(VENTAS!$C$2:$E$1194,MATCH(A634,VENTAS!$A$2:$A$1194,0),MATCH(PARAMS_MODELO!$B$2,{"Q1","Q2","Q3"},0)),0)</f>
        <v>47516615.469999999</v>
      </c>
      <c r="D634" s="5">
        <f>IFERROR(INDEX(VENTAS!$F$2:$H$1194,MATCH(A634,VENTAS!$A$2:$A$1194,0),MATCH(PARAMS_MODELO!$B$2,{"Q1","Q2","Q3"},0)),0)</f>
        <v>64932281</v>
      </c>
      <c r="E634" s="8">
        <f t="shared" si="216"/>
        <v>0.36651738255632971</v>
      </c>
      <c r="F634" s="12">
        <f>IF(E634&lt;=PARAMS_MODELO!$B$15,0,IF(E634&gt;=PARAMS_MODELO!$B$17,100,100*MIN(1,(E634-PARAMS_MODELO!$B$15)/(PARAMS_MODELO!$B$16-PARAMS_MODELO!$B$15))))*PARAMS_MODELO!$B$7</f>
        <v>35</v>
      </c>
      <c r="G634" s="5">
        <f t="shared" si="217"/>
        <v>17415665.530000001</v>
      </c>
      <c r="H634" s="5">
        <f>(PARAMS_MODELO!$B$20*(MAX(0,MIN(3,E634))/3)+PARAMS_MODELO!$B$21*(IFERROR(LN(1+MAX(0,G634))/LN(1+MAX(0,MAX($G$2:$G$1194))),0)))*100*PARAMS_MODELO!$B$8</f>
        <v>5.191166848066298</v>
      </c>
      <c r="I634" s="8">
        <f>E634-PARAMS_MODELO!$B$5</f>
        <v>0.18895454718080318</v>
      </c>
      <c r="J634" s="5">
        <f>IF(I634&lt;=PARAMS_MODELO!$B$18,0,IF(I634&gt;=PARAMS_MODELO!$B$19,100,100*(I634-PARAMS_MODELO!$B$18)/(PARAMS_MODELO!$B$19-PARAMS_MODELO!$B$18)))*PARAMS_MODELO!$B$9</f>
        <v>15</v>
      </c>
      <c r="K634" s="5">
        <f>IFERROR(CHOOSE(MATCH(PARAMS_MODELO!$B$2,{"Q1","Q2","Q3"},0),LOTO!$D634,LOTO!$F634,LOTO!$H634),0)</f>
        <v>3055000</v>
      </c>
      <c r="L634" s="8">
        <f t="shared" si="218"/>
        <v>4.7049017113691111E-2</v>
      </c>
      <c r="M634" s="5">
        <f>MIN(100,IF(PARAMS_MODELO!$B$23=0,0,100*L634/PARAMS_MODELO!$B$23))*PARAMS_MODELO!$B$10</f>
        <v>14.114705134107332</v>
      </c>
      <c r="N634" s="5">
        <f>IFERROR(VLOOKUP(A634,COMPLIANCE!$A$2:$F$1996,6,0),100)</f>
        <v>100</v>
      </c>
      <c r="O634" s="5">
        <f>N634*PARAMS_MODELO!$B$11</f>
        <v>10</v>
      </c>
      <c r="P634" s="5">
        <f>IFERROR(VLOOKUP(A634,DIGITAL!$A$2:$J$2000,7,0),100)</f>
        <v>20</v>
      </c>
      <c r="Q634" s="5">
        <f>IFERROR(P634,0)*PARAMS_MODELO!$B$12</f>
        <v>2</v>
      </c>
      <c r="R634">
        <f t="shared" si="219"/>
        <v>81.305871982173628</v>
      </c>
      <c r="S634" s="5" t="str">
        <f>IFERROR(VLOOKUP(A634,CLIENTE!$A$2:$N$2000,13,0),1)</f>
        <v>Malo</v>
      </c>
      <c r="T634" s="5">
        <f>IFERROR(VLOOKUP(A634,CLIENTE!$A$2:$N$2000,14,0),1)</f>
        <v>0.7</v>
      </c>
      <c r="U634" s="5">
        <f t="shared" si="220"/>
        <v>56.914110387521532</v>
      </c>
      <c r="V634" s="5" t="str">
        <f>IF(U634&gt;=MAX(_xlfn.PERCENTILE.INC($U$2:$U$1194,PARAMS_MODELO!$B$50),PARAMS_MODELO!$B$45),"DIAMANTE",IF(U634&gt;=MAX(_xlfn.PERCENTILE.INC($U$2:$U$1194,PARAMS_MODELO!$B$51),PARAMS_MODELO!$B$46),"PLATINO",IF(U634&gt;=MAX(_xlfn.PERCENTILE.INC($U$2:$U$1194,PARAMS_MODELO!$B$52),PARAMS_MODELO!$B$47),"ORO",IF(U634&gt;=MAX(_xlfn.PERCENTILE.INC($U$2:$U$1194,PARAMS_MODELO!$B$53),PARAMS_MODELO!$B$48),"PLATA",IF(U634&gt;=1,"BRONCE","CERRADO")))))</f>
        <v>PLATA</v>
      </c>
      <c r="W634" s="5" t="str" cm="1">
        <f t="array" ref="W634">_xlfn.XLOOKUP(1, (HIST_SCORE!$B:$B=PARAMS_MODELO!$B$4) * (HIST_SCORE!$C:$C=A634), HIST_SCORE!$E:$E, "No encontrado")</f>
        <v>PLATA</v>
      </c>
      <c r="X634" s="5" t="str">
        <f>_xlfn.LET(_xlpm.act,MATCH(V634,{"DIAMANTE";"PLATINO";"ORO";"PLATA";"BRONCE";"CERRADO"},0),_xlpm.ant,MATCH(W634,{"DIAMANTE";"PLATINO";"ORO";"PLATA";"BRONCE";"CERRADO"},0),IF(_xlpm.act&lt;_xlpm.ant,"Mejora ↑",IF(_xlpm.act&gt;_xlpm.ant,"Baja ↓","Estable →")))</f>
        <v>Estable →</v>
      </c>
      <c r="Y634" s="5">
        <f>IFERROR(U634-SUMIFS(HIST_SCORE!$D:$D,HIST_SCORE!$B:$B,PARAMS_MODELO!$B$4,HIST_SCORE!$C:$C,$A634),"")</f>
        <v>1.154941842766938</v>
      </c>
      <c r="Z634" s="5" t="str">
        <f t="shared" si="221"/>
        <v>→ Estable</v>
      </c>
      <c r="AA634" s="5">
        <f t="shared" si="222"/>
        <v>685</v>
      </c>
      <c r="AB634" s="5">
        <f>IFERROR(SUMIFS(HIST_SCORE!$F:$F,HIST_SCORE!$B:$B,PARAMS_MODELO!$B$4,HIST_SCORE!$C:$C,$A634),"")</f>
        <v>727</v>
      </c>
      <c r="AC634" s="5">
        <f t="shared" si="223"/>
        <v>42</v>
      </c>
      <c r="AD634" t="str">
        <f t="shared" si="225"/>
        <v/>
      </c>
      <c r="AE6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634="CERRADO",1,IF(V634="BRONCE",_xlpm.cPl,IF(V634="PLATA",_xlpm.cO,IF(V634="ORO",_xlpm.cP,IF(V634="PLATINO",_xlpm.cD,999))))))</f>
        <v>63.199193273331495</v>
      </c>
      <c r="AF6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634="CERRADO",0,IF(V634="BRONCE",1,IF(V634="PLATA",_xlpm.cPl,IF(V634="ORO",_xlpm.cO,IF(V634="PLATINO",_xlpm.cP,_xlpm.cD))))))</f>
        <v>24.506573482968111</v>
      </c>
      <c r="AG634">
        <f t="shared" si="226"/>
        <v>8.9786898368713679</v>
      </c>
      <c r="AH634" t="str">
        <f t="shared" si="227"/>
        <v>CLIENTE</v>
      </c>
      <c r="AI634" t="str">
        <f t="shared" si="224"/>
        <v>🎯 Para subir de categoría, la eje con mayor impacto probable es CLIENTE (coef T). Acción: reducir quejas, mejorar incógnito y empujar reseñas. ΔR aprox: 9,0</v>
      </c>
      <c r="AJ634" s="26">
        <f>_xlfn.LET(_xlpm.piso,AF634,_xlpm.corte,AE634,_xlpm.prog,IF(_xlpm.corte&lt;=_xlpm.piso,0,MAX(0,MIN(1,(U634-_xlpm.piso)/(_xlpm.corte-_xlpm.piso)))),_xlpm.orden,{"DIAMANTE";"PLATINO";"ORO";"PLATA";"BRONCE";"CERRADO"},_xlpm.act,IFERROR(MATCH(V634,_xlpm.orden,0),6),_xlpm.ant,IFERROR(MATCH(W634,_xlpm.orden,0),6),_xlpm.ajmov,IF(_xlpm.act&lt;_xlpm.ant,0.08,IF(_xlpm.act&gt;_xlpm.ant,-0.08,0)),_xlpm.ajcli,IF(T634&lt;0.95,-0.06,0),_xlpm.prob,MAX(0,MIN(1,_xlpm.prog+_xlpm.ajmov+_xlpm.ajcli)),IF(OR(V634="DIAMANTE",V634="CERRADO"),0,ROUND(_xlpm.prob,2)))</f>
        <v>0.78</v>
      </c>
      <c r="AK634" t="str">
        <f t="shared" si="228"/>
        <v>Faltan 9,0 puntos base para subir a la siguiente categoría</v>
      </c>
      <c r="AL634" t="str">
        <f t="shared" si="229"/>
        <v>Margen de seguridad: 32,4 puntos</v>
      </c>
      <c r="AM634">
        <f t="shared" si="230"/>
        <v>0.65</v>
      </c>
      <c r="AN634" t="str">
        <f t="shared" si="231"/>
        <v>PRIORIDAD MEDIA – seguimiento del asesor</v>
      </c>
      <c r="AO634">
        <f t="shared" si="232"/>
        <v>6.7699816990605015</v>
      </c>
      <c r="AP634">
        <f t="shared" si="233"/>
        <v>0.61970640612486738</v>
      </c>
      <c r="AQ634">
        <f t="shared" si="234"/>
        <v>0</v>
      </c>
      <c r="AR634">
        <f t="shared" si="235"/>
        <v>5.6</v>
      </c>
      <c r="AS634">
        <f t="shared" si="236"/>
        <v>24.391761594652092</v>
      </c>
      <c r="AT634" t="str">
        <f t="shared" si="237"/>
        <v>CLIENTE</v>
      </c>
      <c r="AU634">
        <f t="shared" si="238"/>
        <v>24.391761594652092</v>
      </c>
      <c r="AV634" t="str">
        <f t="shared" si="239"/>
        <v>Mayor retorno probable: CLIENTE (+24,4 puntos finales potenciales).</v>
      </c>
    </row>
    <row r="635" spans="1:48" x14ac:dyDescent="0.3">
      <c r="A635" s="5">
        <v>51032322</v>
      </c>
      <c r="B635" s="5" t="str">
        <f>IFERROR(VLOOKUP(A635,VENTAS!$A$2:$B$1194,2,0),"")</f>
        <v>LÓPEZ</v>
      </c>
      <c r="C635" s="5">
        <f>IFERROR(INDEX(VENTAS!$C$2:$E$1194,MATCH(A635,VENTAS!$A$2:$A$1194,0),MATCH(PARAMS_MODELO!$B$2,{"Q1","Q2","Q3"},0)),0)</f>
        <v>43412392.530000001</v>
      </c>
      <c r="D635" s="5">
        <f>IFERROR(INDEX(VENTAS!$F$2:$H$1194,MATCH(A635,VENTAS!$A$2:$A$1194,0),MATCH(PARAMS_MODELO!$B$2,{"Q1","Q2","Q3"},0)),0)</f>
        <v>64858504</v>
      </c>
      <c r="E635" s="8">
        <f t="shared" si="216"/>
        <v>0.4940089734787072</v>
      </c>
      <c r="F635" s="12">
        <f>IF(E635&lt;=PARAMS_MODELO!$B$15,0,IF(E635&gt;=PARAMS_MODELO!$B$17,100,100*MIN(1,(E635-PARAMS_MODELO!$B$15)/(PARAMS_MODELO!$B$16-PARAMS_MODELO!$B$15))))*PARAMS_MODELO!$B$7</f>
        <v>35</v>
      </c>
      <c r="G635" s="5">
        <f t="shared" si="217"/>
        <v>21446111.469999999</v>
      </c>
      <c r="H635" s="5">
        <f>(PARAMS_MODELO!$B$20*(MAX(0,MIN(3,E635))/3)+PARAMS_MODELO!$B$21*(IFERROR(LN(1+MAX(0,G635))/LN(1+MAX(0,MAX($G$2:$G$1194))),0)))*100*PARAMS_MODELO!$B$8</f>
        <v>5.6861861242985272</v>
      </c>
      <c r="I635" s="8">
        <f>E635-PARAMS_MODELO!$B$5</f>
        <v>0.31644613810318067</v>
      </c>
      <c r="J635" s="5">
        <f>IF(I635&lt;=PARAMS_MODELO!$B$18,0,IF(I635&gt;=PARAMS_MODELO!$B$19,100,100*(I635-PARAMS_MODELO!$B$18)/(PARAMS_MODELO!$B$19-PARAMS_MODELO!$B$18)))*PARAMS_MODELO!$B$9</f>
        <v>15</v>
      </c>
      <c r="K635" s="5">
        <f>IFERROR(CHOOSE(MATCH(PARAMS_MODELO!$B$2,{"Q1","Q2","Q3"},0),LOTO!$D635,LOTO!$F635,LOTO!$H635),0)</f>
        <v>3055000</v>
      </c>
      <c r="L635" s="8">
        <f t="shared" si="218"/>
        <v>4.7102535698325697E-2</v>
      </c>
      <c r="M635" s="5">
        <f>MIN(100,IF(PARAMS_MODELO!$B$23=0,0,100*L635/PARAMS_MODELO!$B$23))*PARAMS_MODELO!$B$10</f>
        <v>14.130760709497705</v>
      </c>
      <c r="N635" s="5">
        <f>IFERROR(VLOOKUP(A635,COMPLIANCE!$A$2:$F$1996,6,0),100)</f>
        <v>100</v>
      </c>
      <c r="O635" s="5">
        <f>N635*PARAMS_MODELO!$B$11</f>
        <v>10</v>
      </c>
      <c r="P635" s="5">
        <f>IFERROR(VLOOKUP(A635,DIGITAL!$A$2:$J$2000,7,0),100)</f>
        <v>99</v>
      </c>
      <c r="Q635" s="5">
        <f>IFERROR(P635,0)*PARAMS_MODELO!$B$12</f>
        <v>9.9</v>
      </c>
      <c r="R635">
        <f t="shared" si="219"/>
        <v>89.716946833796243</v>
      </c>
      <c r="S635" s="5" t="str">
        <f>IFERROR(VLOOKUP(A635,CLIENTE!$A$2:$N$2000,13,0),1)</f>
        <v>Malo</v>
      </c>
      <c r="T635" s="5">
        <f>IFERROR(VLOOKUP(A635,CLIENTE!$A$2:$N$2000,14,0),1)</f>
        <v>0.7</v>
      </c>
      <c r="U635" s="5">
        <f t="shared" si="220"/>
        <v>62.801862783657363</v>
      </c>
      <c r="V635" s="5" t="str">
        <f>IF(U635&gt;=MAX(_xlfn.PERCENTILE.INC($U$2:$U$1194,PARAMS_MODELO!$B$50),PARAMS_MODELO!$B$45),"DIAMANTE",IF(U635&gt;=MAX(_xlfn.PERCENTILE.INC($U$2:$U$1194,PARAMS_MODELO!$B$51),PARAMS_MODELO!$B$46),"PLATINO",IF(U635&gt;=MAX(_xlfn.PERCENTILE.INC($U$2:$U$1194,PARAMS_MODELO!$B$52),PARAMS_MODELO!$B$47),"ORO",IF(U635&gt;=MAX(_xlfn.PERCENTILE.INC($U$2:$U$1194,PARAMS_MODELO!$B$53),PARAMS_MODELO!$B$48),"PLATA",IF(U635&gt;=1,"BRONCE","CERRADO")))))</f>
        <v>PLATA</v>
      </c>
      <c r="W635" s="5" t="str" cm="1">
        <f t="array" ref="W635">_xlfn.XLOOKUP(1, (HIST_SCORE!$B:$B=PARAMS_MODELO!$B$4) * (HIST_SCORE!$C:$C=A635), HIST_SCORE!$E:$E, "No encontrado")</f>
        <v>ORO</v>
      </c>
      <c r="X635" s="5" t="str">
        <f>_xlfn.LET(_xlpm.act,MATCH(V635,{"DIAMANTE";"PLATINO";"ORO";"PLATA";"BRONCE";"CERRADO"},0),_xlpm.ant,MATCH(W635,{"DIAMANTE";"PLATINO";"ORO";"PLATA";"BRONCE";"CERRADO"},0),IF(_xlpm.act&lt;_xlpm.ant,"Mejora ↑",IF(_xlpm.act&gt;_xlpm.ant,"Baja ↓","Estable →")))</f>
        <v>Baja ↓</v>
      </c>
      <c r="Y635" s="5">
        <f>IFERROR(U635-SUMIFS(HIST_SCORE!$D:$D,HIST_SCORE!$B:$B,PARAMS_MODELO!$B$4,HIST_SCORE!$C:$C,$A635),"")</f>
        <v>-0.11381224529169032</v>
      </c>
      <c r="Z635" s="5" t="str">
        <f t="shared" si="221"/>
        <v>→ Estable</v>
      </c>
      <c r="AA635" s="5">
        <f t="shared" si="222"/>
        <v>562</v>
      </c>
      <c r="AB635" s="5">
        <f>IFERROR(SUMIFS(HIST_SCORE!$F:$F,HIST_SCORE!$B:$B,PARAMS_MODELO!$B$4,HIST_SCORE!$C:$C,$A635),"")</f>
        <v>590</v>
      </c>
      <c r="AC635" s="5">
        <f t="shared" si="223"/>
        <v>28</v>
      </c>
      <c r="AD635" t="str">
        <f t="shared" si="225"/>
        <v/>
      </c>
      <c r="AE6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635="CERRADO",1,IF(V635="BRONCE",_xlpm.cPl,IF(V635="PLATA",_xlpm.cO,IF(V635="ORO",_xlpm.cP,IF(V635="PLATINO",_xlpm.cD,999))))))</f>
        <v>63.199193273331495</v>
      </c>
      <c r="AF6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635="CERRADO",0,IF(V635="BRONCE",1,IF(V635="PLATA",_xlpm.cPl,IF(V635="ORO",_xlpm.cO,IF(V635="PLATINO",_xlpm.cP,_xlpm.cD))))))</f>
        <v>24.506573482968111</v>
      </c>
      <c r="AG635">
        <f t="shared" si="226"/>
        <v>0.56761498524875265</v>
      </c>
      <c r="AH635" t="str">
        <f t="shared" si="227"/>
        <v>CLIENTE</v>
      </c>
      <c r="AI635" t="str">
        <f t="shared" si="224"/>
        <v>🎯 Para subir de categoría, la eje con mayor impacto probable es CLIENTE (coef T). Acción: reducir quejas, mejorar incógnito y empujar reseñas. ΔR aprox: 0,6</v>
      </c>
      <c r="AJ635" s="26">
        <f>_xlfn.LET(_xlpm.piso,AF635,_xlpm.corte,AE635,_xlpm.prog,IF(_xlpm.corte&lt;=_xlpm.piso,0,MAX(0,MIN(1,(U635-_xlpm.piso)/(_xlpm.corte-_xlpm.piso)))),_xlpm.orden,{"DIAMANTE";"PLATINO";"ORO";"PLATA";"BRONCE";"CERRADO"},_xlpm.act,IFERROR(MATCH(V635,_xlpm.orden,0),6),_xlpm.ant,IFERROR(MATCH(W635,_xlpm.orden,0),6),_xlpm.ajmov,IF(_xlpm.act&lt;_xlpm.ant,0.08,IF(_xlpm.act&gt;_xlpm.ant,-0.08,0)),_xlpm.ajcli,IF(T635&lt;0.95,-0.06,0),_xlpm.prob,MAX(0,MIN(1,_xlpm.prog+_xlpm.ajmov+_xlpm.ajcli)),IF(OR(V635="DIAMANTE",V635="CERRADO"),0,ROUND(_xlpm.prob,2)))</f>
        <v>0.85</v>
      </c>
      <c r="AK635" t="str">
        <f t="shared" si="228"/>
        <v>Faltan 0,6 puntos base para subir a la siguiente categoría</v>
      </c>
      <c r="AL635" t="str">
        <f t="shared" si="229"/>
        <v>Margen de seguridad: 38,3 puntos</v>
      </c>
      <c r="AM635">
        <f t="shared" si="230"/>
        <v>0.28000000000000003</v>
      </c>
      <c r="AN635" t="str">
        <f t="shared" si="231"/>
        <v>PRIORIDAD BAJA – control normal</v>
      </c>
      <c r="AO635">
        <f t="shared" si="232"/>
        <v>6.4234682056979375</v>
      </c>
      <c r="AP635">
        <f t="shared" si="233"/>
        <v>0.60846750335160615</v>
      </c>
      <c r="AQ635">
        <f t="shared" si="234"/>
        <v>0</v>
      </c>
      <c r="AR635">
        <f t="shared" si="235"/>
        <v>6.9999999999999743E-2</v>
      </c>
      <c r="AS635">
        <f t="shared" si="236"/>
        <v>26.915084050138876</v>
      </c>
      <c r="AT635" t="str">
        <f t="shared" si="237"/>
        <v>CLIENTE</v>
      </c>
      <c r="AU635">
        <f t="shared" si="238"/>
        <v>26.915084050138876</v>
      </c>
      <c r="AV635" t="str">
        <f t="shared" si="239"/>
        <v>Mayor retorno probable: CLIENTE (+26,9 puntos finales potenciales).</v>
      </c>
    </row>
    <row r="636" spans="1:48" x14ac:dyDescent="0.3">
      <c r="A636" s="5">
        <v>51013859</v>
      </c>
      <c r="B636" s="5" t="str">
        <f>IFERROR(VLOOKUP(A636,VENTAS!$A$2:$B$1194,2,0),"")</f>
        <v>LÓPEZ</v>
      </c>
      <c r="C636" s="5">
        <f>IFERROR(INDEX(VENTAS!$C$2:$E$1194,MATCH(A636,VENTAS!$A$2:$A$1194,0),MATCH(PARAMS_MODELO!$B$2,{"Q1","Q2","Q3"},0)),0)</f>
        <v>50370616.079999998</v>
      </c>
      <c r="D636" s="5">
        <f>IFERROR(INDEX(VENTAS!$F$2:$H$1194,MATCH(A636,VENTAS!$A$2:$A$1194,0),MATCH(PARAMS_MODELO!$B$2,{"Q1","Q2","Q3"},0)),0)</f>
        <v>64674062</v>
      </c>
      <c r="E636" s="8">
        <f t="shared" si="216"/>
        <v>0.28396408527707662</v>
      </c>
      <c r="F636" s="12">
        <f>IF(E636&lt;=PARAMS_MODELO!$B$15,0,IF(E636&gt;=PARAMS_MODELO!$B$17,100,100*MIN(1,(E636-PARAMS_MODELO!$B$15)/(PARAMS_MODELO!$B$16-PARAMS_MODELO!$B$15))))*PARAMS_MODELO!$B$7</f>
        <v>35</v>
      </c>
      <c r="G636" s="5">
        <f t="shared" si="217"/>
        <v>14303445.920000002</v>
      </c>
      <c r="H636" s="5">
        <f>(PARAMS_MODELO!$B$20*(MAX(0,MIN(3,E636))/3)+PARAMS_MODELO!$B$21*(IFERROR(LN(1+MAX(0,G636))/LN(1+MAX(0,MAX($G$2:$G$1194))),0)))*100*PARAMS_MODELO!$B$8</f>
        <v>4.8560813190906034</v>
      </c>
      <c r="I636" s="8">
        <f>E636-PARAMS_MODELO!$B$5</f>
        <v>0.10640124990155009</v>
      </c>
      <c r="J636" s="5">
        <f>IF(I636&lt;=PARAMS_MODELO!$B$18,0,IF(I636&gt;=PARAMS_MODELO!$B$19,100,100*(I636-PARAMS_MODELO!$B$18)/(PARAMS_MODELO!$B$19-PARAMS_MODELO!$B$18)))*PARAMS_MODELO!$B$9</f>
        <v>15</v>
      </c>
      <c r="K636" s="5">
        <f>IFERROR(CHOOSE(MATCH(PARAMS_MODELO!$B$2,{"Q1","Q2","Q3"},0),LOTO!$D636,LOTO!$F636,LOTO!$H636),0)</f>
        <v>3047500</v>
      </c>
      <c r="L636" s="8">
        <f t="shared" si="218"/>
        <v>4.7120899874821535E-2</v>
      </c>
      <c r="M636" s="5">
        <f>MIN(100,IF(PARAMS_MODELO!$B$23=0,0,100*L636/PARAMS_MODELO!$B$23))*PARAMS_MODELO!$B$10</f>
        <v>14.136269962446459</v>
      </c>
      <c r="N636" s="5">
        <f>IFERROR(VLOOKUP(A636,COMPLIANCE!$A$2:$F$1996,6,0),100)</f>
        <v>100</v>
      </c>
      <c r="O636" s="5">
        <f>N636*PARAMS_MODELO!$B$11</f>
        <v>10</v>
      </c>
      <c r="P636" s="5">
        <f>IFERROR(VLOOKUP(A636,DIGITAL!$A$2:$J$2000,7,0),100)</f>
        <v>38</v>
      </c>
      <c r="Q636" s="5">
        <f>IFERROR(P636,0)*PARAMS_MODELO!$B$12</f>
        <v>3.8000000000000003</v>
      </c>
      <c r="R636">
        <f t="shared" si="219"/>
        <v>82.792351281537066</v>
      </c>
      <c r="S636" s="5" t="str">
        <f>IFERROR(VLOOKUP(A636,CLIENTE!$A$2:$N$2000,13,0),1)</f>
        <v>Malo</v>
      </c>
      <c r="T636" s="5">
        <f>IFERROR(VLOOKUP(A636,CLIENTE!$A$2:$N$2000,14,0),1)</f>
        <v>0.7</v>
      </c>
      <c r="U636" s="5">
        <f t="shared" si="220"/>
        <v>57.954645897075942</v>
      </c>
      <c r="V636" s="5" t="str">
        <f>IF(U636&gt;=MAX(_xlfn.PERCENTILE.INC($U$2:$U$1194,PARAMS_MODELO!$B$50),PARAMS_MODELO!$B$45),"DIAMANTE",IF(U636&gt;=MAX(_xlfn.PERCENTILE.INC($U$2:$U$1194,PARAMS_MODELO!$B$51),PARAMS_MODELO!$B$46),"PLATINO",IF(U636&gt;=MAX(_xlfn.PERCENTILE.INC($U$2:$U$1194,PARAMS_MODELO!$B$52),PARAMS_MODELO!$B$47),"ORO",IF(U636&gt;=MAX(_xlfn.PERCENTILE.INC($U$2:$U$1194,PARAMS_MODELO!$B$53),PARAMS_MODELO!$B$48),"PLATA",IF(U636&gt;=1,"BRONCE","CERRADO")))))</f>
        <v>PLATA</v>
      </c>
      <c r="W636" s="5" t="str" cm="1">
        <f t="array" ref="W636">_xlfn.XLOOKUP(1, (HIST_SCORE!$B:$B=PARAMS_MODELO!$B$4) * (HIST_SCORE!$C:$C=A636), HIST_SCORE!$E:$E, "No encontrado")</f>
        <v>PLATA</v>
      </c>
      <c r="X636" s="5" t="str">
        <f>_xlfn.LET(_xlpm.act,MATCH(V636,{"DIAMANTE";"PLATINO";"ORO";"PLATA";"BRONCE";"CERRADO"},0),_xlpm.ant,MATCH(W636,{"DIAMANTE";"PLATINO";"ORO";"PLATA";"BRONCE";"CERRADO"},0),IF(_xlpm.act&lt;_xlpm.ant,"Mejora ↑",IF(_xlpm.act&gt;_xlpm.ant,"Baja ↓","Estable →")))</f>
        <v>Estable →</v>
      </c>
      <c r="Y636" s="5">
        <f>IFERROR(U636-SUMIFS(HIST_SCORE!$D:$D,HIST_SCORE!$B:$B,PARAMS_MODELO!$B$4,HIST_SCORE!$C:$C,$A636),"")</f>
        <v>34.154242491133125</v>
      </c>
      <c r="Z636" s="5" t="str">
        <f t="shared" si="221"/>
        <v>↑ Mejora</v>
      </c>
      <c r="AA636" s="5">
        <f t="shared" si="222"/>
        <v>664</v>
      </c>
      <c r="AB636" s="5">
        <f>IFERROR(SUMIFS(HIST_SCORE!$F:$F,HIST_SCORE!$B:$B,PARAMS_MODELO!$B$4,HIST_SCORE!$C:$C,$A636),"")</f>
        <v>950</v>
      </c>
      <c r="AC636" s="5">
        <f t="shared" si="223"/>
        <v>286</v>
      </c>
      <c r="AD636" t="str">
        <f t="shared" si="225"/>
        <v/>
      </c>
      <c r="AE6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636="CERRADO",1,IF(V636="BRONCE",_xlpm.cPl,IF(V636="PLATA",_xlpm.cO,IF(V636="ORO",_xlpm.cP,IF(V636="PLATINO",_xlpm.cD,999))))))</f>
        <v>63.199193273331495</v>
      </c>
      <c r="AF6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636="CERRADO",0,IF(V636="BRONCE",1,IF(V636="PLATA",_xlpm.cPl,IF(V636="ORO",_xlpm.cO,IF(V636="PLATINO",_xlpm.cP,_xlpm.cD))))))</f>
        <v>24.506573482968111</v>
      </c>
      <c r="AG636">
        <f t="shared" si="226"/>
        <v>7.4922105375079298</v>
      </c>
      <c r="AH636" t="str">
        <f t="shared" si="227"/>
        <v>CLIENTE</v>
      </c>
      <c r="AI636" t="str">
        <f t="shared" si="224"/>
        <v>🎯 Para subir de categoría, la eje con mayor impacto probable es CLIENTE (coef T). Acción: reducir quejas, mejorar incógnito y empujar reseñas. ΔR aprox: 7,5</v>
      </c>
      <c r="AJ636" s="26">
        <f>_xlfn.LET(_xlpm.piso,AF636,_xlpm.corte,AE636,_xlpm.prog,IF(_xlpm.corte&lt;=_xlpm.piso,0,MAX(0,MIN(1,(U636-_xlpm.piso)/(_xlpm.corte-_xlpm.piso)))),_xlpm.orden,{"DIAMANTE";"PLATINO";"ORO";"PLATA";"BRONCE";"CERRADO"},_xlpm.act,IFERROR(MATCH(V636,_xlpm.orden,0),6),_xlpm.ant,IFERROR(MATCH(W636,_xlpm.orden,0),6),_xlpm.ajmov,IF(_xlpm.act&lt;_xlpm.ant,0.08,IF(_xlpm.act&gt;_xlpm.ant,-0.08,0)),_xlpm.ajcli,IF(T636&lt;0.95,-0.06,0),_xlpm.prob,MAX(0,MIN(1,_xlpm.prog+_xlpm.ajmov+_xlpm.ajcli)),IF(OR(V636="DIAMANTE",V636="CERRADO"),0,ROUND(_xlpm.prob,2)))</f>
        <v>0.8</v>
      </c>
      <c r="AK636" t="str">
        <f t="shared" si="228"/>
        <v>Faltan 7,5 puntos base para subir a la siguiente categoría</v>
      </c>
      <c r="AL636" t="str">
        <f t="shared" si="229"/>
        <v>Margen de seguridad: 33,4 puntos</v>
      </c>
      <c r="AM636">
        <f t="shared" si="230"/>
        <v>0.57999999999999996</v>
      </c>
      <c r="AN636" t="str">
        <f t="shared" si="231"/>
        <v>PRIORIDAD MEDIA – seguimiento del asesor</v>
      </c>
      <c r="AO636">
        <f t="shared" si="232"/>
        <v>7.004541569343484</v>
      </c>
      <c r="AP636">
        <f t="shared" si="233"/>
        <v>0.60461102628747865</v>
      </c>
      <c r="AQ636">
        <f t="shared" si="234"/>
        <v>0</v>
      </c>
      <c r="AR636">
        <f t="shared" si="235"/>
        <v>4.339999999999999</v>
      </c>
      <c r="AS636">
        <f t="shared" si="236"/>
        <v>24.837705384461124</v>
      </c>
      <c r="AT636" t="str">
        <f t="shared" si="237"/>
        <v>CLIENTE</v>
      </c>
      <c r="AU636">
        <f t="shared" si="238"/>
        <v>24.837705384461124</v>
      </c>
      <c r="AV636" t="str">
        <f t="shared" si="239"/>
        <v>Mayor retorno probable: CLIENTE (+24,8 puntos finales potenciales).</v>
      </c>
    </row>
    <row r="637" spans="1:48" x14ac:dyDescent="0.3">
      <c r="A637" s="5">
        <v>51008430</v>
      </c>
      <c r="B637" s="5" t="str">
        <f>IFERROR(VLOOKUP(A637,VENTAS!$A$2:$B$1194,2,0),"")</f>
        <v>METTLER</v>
      </c>
      <c r="C637" s="5">
        <f>IFERROR(INDEX(VENTAS!$C$2:$E$1194,MATCH(A637,VENTAS!$A$2:$A$1194,0),MATCH(PARAMS_MODELO!$B$2,{"Q1","Q2","Q3"},0)),0)</f>
        <v>50340623.200000003</v>
      </c>
      <c r="D637" s="5">
        <f>IFERROR(INDEX(VENTAS!$F$2:$H$1194,MATCH(A637,VENTAS!$A$2:$A$1194,0),MATCH(PARAMS_MODELO!$B$2,{"Q1","Q2","Q3"},0)),0)</f>
        <v>64673045</v>
      </c>
      <c r="E637" s="8">
        <f t="shared" si="216"/>
        <v>0.2847088670924518</v>
      </c>
      <c r="F637" s="12">
        <f>IF(E637&lt;=PARAMS_MODELO!$B$15,0,IF(E637&gt;=PARAMS_MODELO!$B$17,100,100*MIN(1,(E637-PARAMS_MODELO!$B$15)/(PARAMS_MODELO!$B$16-PARAMS_MODELO!$B$15))))*PARAMS_MODELO!$B$7</f>
        <v>35</v>
      </c>
      <c r="G637" s="5">
        <f t="shared" si="217"/>
        <v>14332421.799999997</v>
      </c>
      <c r="H637" s="5">
        <f>(PARAMS_MODELO!$B$20*(MAX(0,MIN(3,E637))/3)+PARAMS_MODELO!$B$21*(IFERROR(LN(1+MAX(0,G637))/LN(1+MAX(0,MAX($G$2:$G$1194))),0)))*100*PARAMS_MODELO!$B$8</f>
        <v>4.8591624501933817</v>
      </c>
      <c r="I637" s="8">
        <f>E637-PARAMS_MODELO!$B$5</f>
        <v>0.10714603171692527</v>
      </c>
      <c r="J637" s="5">
        <f>IF(I637&lt;=PARAMS_MODELO!$B$18,0,IF(I637&gt;=PARAMS_MODELO!$B$19,100,100*(I637-PARAMS_MODELO!$B$18)/(PARAMS_MODELO!$B$19-PARAMS_MODELO!$B$18)))*PARAMS_MODELO!$B$9</f>
        <v>15</v>
      </c>
      <c r="K637" s="5">
        <f>IFERROR(CHOOSE(MATCH(PARAMS_MODELO!$B$2,{"Q1","Q2","Q3"},0),LOTO!$D637,LOTO!$F637,LOTO!$H637),0)</f>
        <v>3047500</v>
      </c>
      <c r="L637" s="8">
        <f t="shared" si="218"/>
        <v>4.7121640862897364E-2</v>
      </c>
      <c r="M637" s="5">
        <f>MIN(100,IF(PARAMS_MODELO!$B$23=0,0,100*L637/PARAMS_MODELO!$B$23))*PARAMS_MODELO!$B$10</f>
        <v>14.136492258869209</v>
      </c>
      <c r="N637" s="5">
        <f>IFERROR(VLOOKUP(A637,COMPLIANCE!$A$2:$F$1996,6,0),100)</f>
        <v>99.98</v>
      </c>
      <c r="O637" s="5">
        <f>N637*PARAMS_MODELO!$B$11</f>
        <v>9.9980000000000011</v>
      </c>
      <c r="P637" s="5">
        <f>IFERROR(VLOOKUP(A637,DIGITAL!$A$2:$J$2000,7,0),100)</f>
        <v>22</v>
      </c>
      <c r="Q637" s="5">
        <f>IFERROR(P637,0)*PARAMS_MODELO!$B$12</f>
        <v>2.2000000000000002</v>
      </c>
      <c r="R637">
        <f t="shared" si="219"/>
        <v>81.193654709062599</v>
      </c>
      <c r="S637" s="5" t="str">
        <f>IFERROR(VLOOKUP(A637,CLIENTE!$A$2:$N$2000,13,0),1)</f>
        <v>Regular</v>
      </c>
      <c r="T637" s="5">
        <f>IFERROR(VLOOKUP(A637,CLIENTE!$A$2:$N$2000,14,0),1)</f>
        <v>1</v>
      </c>
      <c r="U637" s="5">
        <f t="shared" si="220"/>
        <v>81.193654709062599</v>
      </c>
      <c r="V637" s="5" t="str">
        <f>IF(U637&gt;=MAX(_xlfn.PERCENTILE.INC($U$2:$U$1194,PARAMS_MODELO!$B$50),PARAMS_MODELO!$B$45),"DIAMANTE",IF(U637&gt;=MAX(_xlfn.PERCENTILE.INC($U$2:$U$1194,PARAMS_MODELO!$B$51),PARAMS_MODELO!$B$46),"PLATINO",IF(U637&gt;=MAX(_xlfn.PERCENTILE.INC($U$2:$U$1194,PARAMS_MODELO!$B$52),PARAMS_MODELO!$B$47),"ORO",IF(U637&gt;=MAX(_xlfn.PERCENTILE.INC($U$2:$U$1194,PARAMS_MODELO!$B$53),PARAMS_MODELO!$B$48),"PLATA",IF(U637&gt;=1,"BRONCE","CERRADO")))))</f>
        <v>ORO</v>
      </c>
      <c r="W637" s="5" t="str" cm="1">
        <f t="array" ref="W637">_xlfn.XLOOKUP(1, (HIST_SCORE!$B:$B=PARAMS_MODELO!$B$4) * (HIST_SCORE!$C:$C=A637), HIST_SCORE!$E:$E, "No encontrado")</f>
        <v>ORO</v>
      </c>
      <c r="X637" s="5" t="str">
        <f>_xlfn.LET(_xlpm.act,MATCH(V637,{"DIAMANTE";"PLATINO";"ORO";"PLATA";"BRONCE";"CERRADO"},0),_xlpm.ant,MATCH(W637,{"DIAMANTE";"PLATINO";"ORO";"PLATA";"BRONCE";"CERRADO"},0),IF(_xlpm.act&lt;_xlpm.ant,"Mejora ↑",IF(_xlpm.act&gt;_xlpm.ant,"Baja ↓","Estable →")))</f>
        <v>Estable →</v>
      </c>
      <c r="Y637" s="5">
        <f>IFERROR(U637-SUMIFS(HIST_SCORE!$D:$D,HIST_SCORE!$B:$B,PARAMS_MODELO!$B$4,HIST_SCORE!$C:$C,$A637),"")</f>
        <v>0.15289237856065085</v>
      </c>
      <c r="Z637" s="5" t="str">
        <f t="shared" si="221"/>
        <v>→ Estable</v>
      </c>
      <c r="AA637" s="5">
        <f t="shared" si="222"/>
        <v>407</v>
      </c>
      <c r="AB637" s="5">
        <f>IFERROR(SUMIFS(HIST_SCORE!$F:$F,HIST_SCORE!$B:$B,PARAMS_MODELO!$B$4,HIST_SCORE!$C:$C,$A637),"")</f>
        <v>391</v>
      </c>
      <c r="AC637" s="5">
        <f t="shared" si="223"/>
        <v>-16</v>
      </c>
      <c r="AD637" t="str">
        <f t="shared" si="225"/>
        <v/>
      </c>
      <c r="AE6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637="CERRADO",1,IF(V637="BRONCE",_xlpm.cPl,IF(V637="PLATA",_xlpm.cO,IF(V637="ORO",_xlpm.cP,IF(V637="PLATINO",_xlpm.cD,999))))))</f>
        <v>86.439123873763251</v>
      </c>
      <c r="AF6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637="CERRADO",0,IF(V637="BRONCE",1,IF(V637="PLATA",_xlpm.cPl,IF(V637="ORO",_xlpm.cO,IF(V637="PLATINO",_xlpm.cP,_xlpm.cD))))))</f>
        <v>63.199193273331495</v>
      </c>
      <c r="AG637">
        <f t="shared" si="226"/>
        <v>5.2454691647006513</v>
      </c>
      <c r="AH637" t="str">
        <f t="shared" si="227"/>
        <v>VENTAS</v>
      </c>
      <c r="AI637" t="str">
        <f t="shared" si="224"/>
        <v>🎯 Para subir de categoría, eje VENTAS / IMPACTO ABSOLUTO (H). Acción: metas semanales + activación comercial + seguimiento del asesor. ΔR aprox: 5,2</v>
      </c>
      <c r="AJ637" s="26">
        <f>_xlfn.LET(_xlpm.piso,AF637,_xlpm.corte,AE637,_xlpm.prog,IF(_xlpm.corte&lt;=_xlpm.piso,0,MAX(0,MIN(1,(U637-_xlpm.piso)/(_xlpm.corte-_xlpm.piso)))),_xlpm.orden,{"DIAMANTE";"PLATINO";"ORO";"PLATA";"BRONCE";"CERRADO"},_xlpm.act,IFERROR(MATCH(V637,_xlpm.orden,0),6),_xlpm.ant,IFERROR(MATCH(W637,_xlpm.orden,0),6),_xlpm.ajmov,IF(_xlpm.act&lt;_xlpm.ant,0.08,IF(_xlpm.act&gt;_xlpm.ant,-0.08,0)),_xlpm.ajcli,IF(T637&lt;0.95,-0.06,0),_xlpm.prob,MAX(0,MIN(1,_xlpm.prog+_xlpm.ajmov+_xlpm.ajcli)),IF(OR(V637="DIAMANTE",V637="CERRADO"),0,ROUND(_xlpm.prob,2)))</f>
        <v>0.77</v>
      </c>
      <c r="AK637" t="str">
        <f t="shared" si="228"/>
        <v>Faltan 5,2 puntos base para subir a la siguiente categoría</v>
      </c>
      <c r="AL637" t="str">
        <f t="shared" si="229"/>
        <v>Margen de seguridad: 18,0 puntos</v>
      </c>
      <c r="AM637">
        <f t="shared" si="230"/>
        <v>0.3</v>
      </c>
      <c r="AN637" t="str">
        <f t="shared" si="231"/>
        <v>PRIORIDAD BAJA – control normal</v>
      </c>
      <c r="AO637">
        <f t="shared" si="232"/>
        <v>10.003406825102203</v>
      </c>
      <c r="AP637">
        <f t="shared" si="233"/>
        <v>0.86350774113079076</v>
      </c>
      <c r="AQ637">
        <f t="shared" si="234"/>
        <v>1.9999999999988916E-3</v>
      </c>
      <c r="AR637">
        <f t="shared" si="235"/>
        <v>7.8</v>
      </c>
      <c r="AS637">
        <f t="shared" si="236"/>
        <v>0</v>
      </c>
      <c r="AT637" t="str">
        <f t="shared" si="237"/>
        <v>VENTAS</v>
      </c>
      <c r="AU637">
        <f t="shared" si="238"/>
        <v>10.003406825102203</v>
      </c>
      <c r="AV637" t="str">
        <f t="shared" si="239"/>
        <v>Mayor retorno probable: VENTAS (+10,0 puntos finales potenciales).</v>
      </c>
    </row>
    <row r="638" spans="1:48" x14ac:dyDescent="0.3">
      <c r="A638" s="5">
        <v>51042158</v>
      </c>
      <c r="B638" s="5" t="str">
        <f>IFERROR(VLOOKUP(A638,VENTAS!$A$2:$B$1194,2,0),"")</f>
        <v>CICHETTO</v>
      </c>
      <c r="C638" s="5">
        <f>IFERROR(INDEX(VENTAS!$C$2:$E$1194,MATCH(A638,VENTAS!$A$2:$A$1194,0),MATCH(PARAMS_MODELO!$B$2,{"Q1","Q2","Q3"},0)),0)</f>
        <v>51513200.710000001</v>
      </c>
      <c r="D638" s="5">
        <f>IFERROR(INDEX(VENTAS!$F$2:$H$1194,MATCH(A638,VENTAS!$A$2:$A$1194,0),MATCH(PARAMS_MODELO!$B$2,{"Q1","Q2","Q3"},0)),0)</f>
        <v>64654115</v>
      </c>
      <c r="E638" s="8">
        <f t="shared" si="216"/>
        <v>0.25509799641413111</v>
      </c>
      <c r="F638" s="12">
        <f>IF(E638&lt;=PARAMS_MODELO!$B$15,0,IF(E638&gt;=PARAMS_MODELO!$B$17,100,100*MIN(1,(E638-PARAMS_MODELO!$B$15)/(PARAMS_MODELO!$B$16-PARAMS_MODELO!$B$15))))*PARAMS_MODELO!$B$7</f>
        <v>35</v>
      </c>
      <c r="G638" s="5">
        <f t="shared" si="217"/>
        <v>13140914.289999999</v>
      </c>
      <c r="H638" s="5">
        <f>(PARAMS_MODELO!$B$20*(MAX(0,MIN(3,E638))/3)+PARAMS_MODELO!$B$21*(IFERROR(LN(1+MAX(0,G638))/LN(1+MAX(0,MAX($G$2:$G$1194))),0)))*100*PARAMS_MODELO!$B$8</f>
        <v>4.73517876377388</v>
      </c>
      <c r="I638" s="8">
        <f>E638-PARAMS_MODELO!$B$5</f>
        <v>7.7535161038604583E-2</v>
      </c>
      <c r="J638" s="5">
        <f>IF(I638&lt;=PARAMS_MODELO!$B$18,0,IF(I638&gt;=PARAMS_MODELO!$B$19,100,100*(I638-PARAMS_MODELO!$B$18)/(PARAMS_MODELO!$B$19-PARAMS_MODELO!$B$18)))*PARAMS_MODELO!$B$9</f>
        <v>15</v>
      </c>
      <c r="K638" s="5">
        <f>IFERROR(CHOOSE(MATCH(PARAMS_MODELO!$B$2,{"Q1","Q2","Q3"},0),LOTO!$D638,LOTO!$F638,LOTO!$H638),0)</f>
        <v>3045000</v>
      </c>
      <c r="L638" s="8">
        <f t="shared" si="218"/>
        <v>4.7096770251978545E-2</v>
      </c>
      <c r="M638" s="5">
        <f>MIN(100,IF(PARAMS_MODELO!$B$23=0,0,100*L638/PARAMS_MODELO!$B$23))*PARAMS_MODELO!$B$10</f>
        <v>14.129031075593561</v>
      </c>
      <c r="N638" s="5">
        <f>IFERROR(VLOOKUP(A638,COMPLIANCE!$A$2:$F$1996,6,0),100)</f>
        <v>100</v>
      </c>
      <c r="O638" s="5">
        <f>N638*PARAMS_MODELO!$B$11</f>
        <v>10</v>
      </c>
      <c r="P638" s="5">
        <f>IFERROR(VLOOKUP(A638,DIGITAL!$A$2:$J$2000,7,0),100)</f>
        <v>70</v>
      </c>
      <c r="Q638" s="5">
        <f>IFERROR(P638,0)*PARAMS_MODELO!$B$12</f>
        <v>7</v>
      </c>
      <c r="R638">
        <f t="shared" si="219"/>
        <v>85.864209839367447</v>
      </c>
      <c r="S638" s="5" t="str">
        <f>IFERROR(VLOOKUP(A638,CLIENTE!$A$2:$N$2000,13,0),1)</f>
        <v>Muy Bueno</v>
      </c>
      <c r="T638" s="5">
        <f>IFERROR(VLOOKUP(A638,CLIENTE!$A$2:$N$2000,14,0),1)</f>
        <v>1.1499999999999999</v>
      </c>
      <c r="U638" s="5">
        <f t="shared" si="220"/>
        <v>98.743841315272562</v>
      </c>
      <c r="V638" s="5" t="str">
        <f>IF(U638&gt;=MAX(_xlfn.PERCENTILE.INC($U$2:$U$1194,PARAMS_MODELO!$B$50),PARAMS_MODELO!$B$45),"DIAMANTE",IF(U638&gt;=MAX(_xlfn.PERCENTILE.INC($U$2:$U$1194,PARAMS_MODELO!$B$51),PARAMS_MODELO!$B$46),"PLATINO",IF(U638&gt;=MAX(_xlfn.PERCENTILE.INC($U$2:$U$1194,PARAMS_MODELO!$B$52),PARAMS_MODELO!$B$47),"ORO",IF(U638&gt;=MAX(_xlfn.PERCENTILE.INC($U$2:$U$1194,PARAMS_MODELO!$B$53),PARAMS_MODELO!$B$48),"PLATA",IF(U638&gt;=1,"BRONCE","CERRADO")))))</f>
        <v>DIAMANTE</v>
      </c>
      <c r="W638" s="5" t="str" cm="1">
        <f t="array" ref="W638">_xlfn.XLOOKUP(1, (HIST_SCORE!$B:$B=PARAMS_MODELO!$B$4) * (HIST_SCORE!$C:$C=A638), HIST_SCORE!$E:$E, "No encontrado")</f>
        <v>PLATINO</v>
      </c>
      <c r="X638" s="5" t="str">
        <f>_xlfn.LET(_xlpm.act,MATCH(V638,{"DIAMANTE";"PLATINO";"ORO";"PLATA";"BRONCE";"CERRADO"},0),_xlpm.ant,MATCH(W638,{"DIAMANTE";"PLATINO";"ORO";"PLATA";"BRONCE";"CERRADO"},0),IF(_xlpm.act&lt;_xlpm.ant,"Mejora ↑",IF(_xlpm.act&gt;_xlpm.ant,"Baja ↓","Estable →")))</f>
        <v>Mejora ↑</v>
      </c>
      <c r="Y638" s="5">
        <f>IFERROR(U638-SUMIFS(HIST_SCORE!$D:$D,HIST_SCORE!$B:$B,PARAMS_MODELO!$B$4,HIST_SCORE!$C:$C,$A638),"")</f>
        <v>4.9317655206810542</v>
      </c>
      <c r="Z638" s="5" t="str">
        <f t="shared" si="221"/>
        <v>→ Estable</v>
      </c>
      <c r="AA638" s="5">
        <f t="shared" si="222"/>
        <v>27</v>
      </c>
      <c r="AB638" s="5">
        <f>IFERROR(SUMIFS(HIST_SCORE!$F:$F,HIST_SCORE!$B:$B,PARAMS_MODELO!$B$4,HIST_SCORE!$C:$C,$A638),"")</f>
        <v>73</v>
      </c>
      <c r="AC638" s="5">
        <f t="shared" si="223"/>
        <v>46</v>
      </c>
      <c r="AD638" t="str">
        <f t="shared" si="225"/>
        <v/>
      </c>
      <c r="AE6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638="CERRADO",1,IF(V638="BRONCE",_xlpm.cPl,IF(V638="PLATA",_xlpm.cO,IF(V638="ORO",_xlpm.cP,IF(V638="PLATINO",_xlpm.cD,999))))))</f>
        <v>999</v>
      </c>
      <c r="AF6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638="CERRADO",0,IF(V638="BRONCE",1,IF(V638="PLATA",_xlpm.cPl,IF(V638="ORO",_xlpm.cO,IF(V638="PLATINO",_xlpm.cP,_xlpm.cD))))))</f>
        <v>96.054919694466676</v>
      </c>
      <c r="AG638">
        <f t="shared" si="226"/>
        <v>782.83144233454573</v>
      </c>
      <c r="AH638" t="str">
        <f t="shared" si="227"/>
        <v>SOSTENER</v>
      </c>
      <c r="AI638" t="str">
        <f t="shared" si="224"/>
        <v>✅ Mantener desempeño y monitorear variaciones para sostener categoría.</v>
      </c>
      <c r="AJ638" s="26">
        <f>_xlfn.LET(_xlpm.piso,AF638,_xlpm.corte,AE638,_xlpm.prog,IF(_xlpm.corte&lt;=_xlpm.piso,0,MAX(0,MIN(1,(U638-_xlpm.piso)/(_xlpm.corte-_xlpm.piso)))),_xlpm.orden,{"DIAMANTE";"PLATINO";"ORO";"PLATA";"BRONCE";"CERRADO"},_xlpm.act,IFERROR(MATCH(V638,_xlpm.orden,0),6),_xlpm.ant,IFERROR(MATCH(W638,_xlpm.orden,0),6),_xlpm.ajmov,IF(_xlpm.act&lt;_xlpm.ant,0.08,IF(_xlpm.act&gt;_xlpm.ant,-0.08,0)),_xlpm.ajcli,IF(T638&lt;0.95,-0.06,0),_xlpm.prob,MAX(0,MIN(1,_xlpm.prog+_xlpm.ajmov+_xlpm.ajcli)),IF(OR(V638="DIAMANTE",V638="CERRADO"),0,ROUND(_xlpm.prob,2)))</f>
        <v>0</v>
      </c>
      <c r="AK638" t="str">
        <f t="shared" si="228"/>
        <v>No aplica</v>
      </c>
      <c r="AL638" t="str">
        <f t="shared" si="229"/>
        <v>Margen de seguridad: 2,7 puntos</v>
      </c>
      <c r="AM638">
        <f t="shared" si="230"/>
        <v>0.8</v>
      </c>
      <c r="AN638" t="str">
        <f t="shared" si="231"/>
        <v>PRIORIDAD ALTA – requiere intervención inmediata</v>
      </c>
      <c r="AO638">
        <f t="shared" si="232"/>
        <v>11.646499088249957</v>
      </c>
      <c r="AP638">
        <f t="shared" si="233"/>
        <v>1.0016142630674048</v>
      </c>
      <c r="AQ638">
        <f t="shared" si="234"/>
        <v>0</v>
      </c>
      <c r="AR638">
        <f t="shared" si="235"/>
        <v>3.4499999999999997</v>
      </c>
      <c r="AS638">
        <f t="shared" si="236"/>
        <v>0</v>
      </c>
      <c r="AT638" t="str">
        <f t="shared" si="237"/>
        <v>VENTAS</v>
      </c>
      <c r="AU638">
        <f t="shared" si="238"/>
        <v>11.646499088249957</v>
      </c>
      <c r="AV638" t="str">
        <f t="shared" si="239"/>
        <v>Mayor retorno probable: VENTAS (+11,6 puntos finales potenciales).</v>
      </c>
    </row>
    <row r="639" spans="1:48" x14ac:dyDescent="0.3">
      <c r="A639" s="5">
        <v>51011627</v>
      </c>
      <c r="B639" s="5" t="str">
        <f>IFERROR(VLOOKUP(A639,VENTAS!$A$2:$B$1194,2,0),"")</f>
        <v>BELUZZO</v>
      </c>
      <c r="C639" s="5">
        <f>IFERROR(INDEX(VENTAS!$C$2:$E$1194,MATCH(A639,VENTAS!$A$2:$A$1194,0),MATCH(PARAMS_MODELO!$B$2,{"Q1","Q2","Q3"},0)),0)</f>
        <v>65229185.969999999</v>
      </c>
      <c r="D639" s="5">
        <f>IFERROR(INDEX(VENTAS!$F$2:$H$1194,MATCH(A639,VENTAS!$A$2:$A$1194,0),MATCH(PARAMS_MODELO!$B$2,{"Q1","Q2","Q3"},0)),0)</f>
        <v>64449656</v>
      </c>
      <c r="E639" s="8">
        <f t="shared" si="216"/>
        <v>-1.1950631583207527E-2</v>
      </c>
      <c r="F639" s="12">
        <f>IF(E639&lt;=PARAMS_MODELO!$B$15,0,IF(E639&gt;=PARAMS_MODELO!$B$17,100,100*MIN(1,(E639-PARAMS_MODELO!$B$15)/(PARAMS_MODELO!$B$16-PARAMS_MODELO!$B$15))))*PARAMS_MODELO!$B$7</f>
        <v>0</v>
      </c>
      <c r="G639" s="5">
        <f t="shared" si="217"/>
        <v>0</v>
      </c>
      <c r="H639" s="5">
        <f>(PARAMS_MODELO!$B$20*(MAX(0,MIN(3,E639))/3)+PARAMS_MODELO!$B$21*(IFERROR(LN(1+MAX(0,G639))/LN(1+MAX(0,MAX($G$2:$G$1194))),0)))*100*PARAMS_MODELO!$B$8</f>
        <v>0</v>
      </c>
      <c r="I639" s="8">
        <f>E639-PARAMS_MODELO!$B$5</f>
        <v>-0.18951346695873406</v>
      </c>
      <c r="J639" s="5">
        <f>IF(I639&lt;=PARAMS_MODELO!$B$18,0,IF(I639&gt;=PARAMS_MODELO!$B$19,100,100*(I639-PARAMS_MODELO!$B$18)/(PARAMS_MODELO!$B$19-PARAMS_MODELO!$B$18)))*PARAMS_MODELO!$B$9</f>
        <v>0</v>
      </c>
      <c r="K639" s="5">
        <f>IFERROR(CHOOSE(MATCH(PARAMS_MODELO!$B$2,{"Q1","Q2","Q3"},0),LOTO!$D639,LOTO!$F639,LOTO!$H639),0)</f>
        <v>3040000</v>
      </c>
      <c r="L639" s="8">
        <f t="shared" si="218"/>
        <v>4.7168599317271763E-2</v>
      </c>
      <c r="M639" s="5">
        <f>MIN(100,IF(PARAMS_MODELO!$B$23=0,0,100*L639/PARAMS_MODELO!$B$23))*PARAMS_MODELO!$B$10</f>
        <v>14.150579795181528</v>
      </c>
      <c r="N639" s="5">
        <f>IFERROR(VLOOKUP(A639,COMPLIANCE!$A$2:$F$1996,6,0),100)</f>
        <v>100</v>
      </c>
      <c r="O639" s="5">
        <f>N639*PARAMS_MODELO!$B$11</f>
        <v>10</v>
      </c>
      <c r="P639" s="5">
        <f>IFERROR(VLOOKUP(A639,DIGITAL!$A$2:$J$2000,7,0),100)</f>
        <v>35</v>
      </c>
      <c r="Q639" s="5">
        <f>IFERROR(P639,0)*PARAMS_MODELO!$B$12</f>
        <v>3.5</v>
      </c>
      <c r="R639">
        <f t="shared" si="219"/>
        <v>27.650579795181528</v>
      </c>
      <c r="S639" s="5" t="str">
        <f>IFERROR(VLOOKUP(A639,CLIENTE!$A$2:$N$2000,13,0),1)</f>
        <v>Regular</v>
      </c>
      <c r="T639" s="5">
        <f>IFERROR(VLOOKUP(A639,CLIENTE!$A$2:$N$2000,14,0),1)</f>
        <v>1</v>
      </c>
      <c r="U639" s="5">
        <f t="shared" si="220"/>
        <v>27.650579795181528</v>
      </c>
      <c r="V639" s="5" t="str">
        <f>IF(U639&gt;=MAX(_xlfn.PERCENTILE.INC($U$2:$U$1194,PARAMS_MODELO!$B$50),PARAMS_MODELO!$B$45),"DIAMANTE",IF(U639&gt;=MAX(_xlfn.PERCENTILE.INC($U$2:$U$1194,PARAMS_MODELO!$B$51),PARAMS_MODELO!$B$46),"PLATINO",IF(U639&gt;=MAX(_xlfn.PERCENTILE.INC($U$2:$U$1194,PARAMS_MODELO!$B$52),PARAMS_MODELO!$B$47),"ORO",IF(U639&gt;=MAX(_xlfn.PERCENTILE.INC($U$2:$U$1194,PARAMS_MODELO!$B$53),PARAMS_MODELO!$B$48),"PLATA",IF(U639&gt;=1,"BRONCE","CERRADO")))))</f>
        <v>PLATA</v>
      </c>
      <c r="W639" s="5" t="str" cm="1">
        <f t="array" ref="W639">_xlfn.XLOOKUP(1, (HIST_SCORE!$B:$B=PARAMS_MODELO!$B$4) * (HIST_SCORE!$C:$C=A639), HIST_SCORE!$E:$E, "No encontrado")</f>
        <v>PLATA</v>
      </c>
      <c r="X639" s="5" t="str">
        <f>_xlfn.LET(_xlpm.act,MATCH(V639,{"DIAMANTE";"PLATINO";"ORO";"PLATA";"BRONCE";"CERRADO"},0),_xlpm.ant,MATCH(W639,{"DIAMANTE";"PLATINO";"ORO";"PLATA";"BRONCE";"CERRADO"},0),IF(_xlpm.act&lt;_xlpm.ant,"Mejora ↑",IF(_xlpm.act&gt;_xlpm.ant,"Baja ↓","Estable →")))</f>
        <v>Estable →</v>
      </c>
      <c r="Y639" s="5">
        <f>IFERROR(U639-SUMIFS(HIST_SCORE!$D:$D,HIST_SCORE!$B:$B,PARAMS_MODELO!$B$4,HIST_SCORE!$C:$C,$A639),"")</f>
        <v>1.8979814907953241</v>
      </c>
      <c r="Z639" s="5" t="str">
        <f t="shared" si="221"/>
        <v>→ Estable</v>
      </c>
      <c r="AA639" s="5">
        <f t="shared" si="222"/>
        <v>889</v>
      </c>
      <c r="AB639" s="5">
        <f>IFERROR(SUMIFS(HIST_SCORE!$F:$F,HIST_SCORE!$B:$B,PARAMS_MODELO!$B$4,HIST_SCORE!$C:$C,$A639),"")</f>
        <v>942</v>
      </c>
      <c r="AC639" s="5">
        <f t="shared" si="223"/>
        <v>53</v>
      </c>
      <c r="AD639" t="str">
        <f t="shared" si="225"/>
        <v/>
      </c>
      <c r="AE6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639="CERRADO",1,IF(V639="BRONCE",_xlpm.cPl,IF(V639="PLATA",_xlpm.cO,IF(V639="ORO",_xlpm.cP,IF(V639="PLATINO",_xlpm.cD,999))))))</f>
        <v>63.199193273331495</v>
      </c>
      <c r="AF6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639="CERRADO",0,IF(V639="BRONCE",1,IF(V639="PLATA",_xlpm.cPl,IF(V639="ORO",_xlpm.cO,IF(V639="PLATINO",_xlpm.cP,_xlpm.cD))))))</f>
        <v>24.506573482968111</v>
      </c>
      <c r="AG639">
        <f t="shared" si="226"/>
        <v>35.548613478149967</v>
      </c>
      <c r="AH639" t="str">
        <f t="shared" si="227"/>
        <v>VENTAS</v>
      </c>
      <c r="AI639" t="str">
        <f t="shared" si="224"/>
        <v>🎯 Para subir de categoría, eje VENTAS / CRECIMIENTO PERSONAL (F). Acción: metas semanales + activación comercial + seguimiento del asesor. ΔR aprox: 35,5</v>
      </c>
      <c r="AJ639" s="26">
        <f>_xlfn.LET(_xlpm.piso,AF639,_xlpm.corte,AE639,_xlpm.prog,IF(_xlpm.corte&lt;=_xlpm.piso,0,MAX(0,MIN(1,(U639-_xlpm.piso)/(_xlpm.corte-_xlpm.piso)))),_xlpm.orden,{"DIAMANTE";"PLATINO";"ORO";"PLATA";"BRONCE";"CERRADO"},_xlpm.act,IFERROR(MATCH(V639,_xlpm.orden,0),6),_xlpm.ant,IFERROR(MATCH(W639,_xlpm.orden,0),6),_xlpm.ajmov,IF(_xlpm.act&lt;_xlpm.ant,0.08,IF(_xlpm.act&gt;_xlpm.ant,-0.08,0)),_xlpm.ajcli,IF(T639&lt;0.95,-0.06,0),_xlpm.prob,MAX(0,MIN(1,_xlpm.prog+_xlpm.ajmov+_xlpm.ajcli)),IF(OR(V639="DIAMANTE",V639="CERRADO"),0,ROUND(_xlpm.prob,2)))</f>
        <v>0.08</v>
      </c>
      <c r="AK639" t="str">
        <f t="shared" si="228"/>
        <v>Faltan 35,5 puntos base para subir a la siguiente categoría</v>
      </c>
      <c r="AL639" t="str">
        <f t="shared" si="229"/>
        <v>Margen de seguridad: 3,1 puntos</v>
      </c>
      <c r="AM639">
        <f t="shared" si="230"/>
        <v>0.77</v>
      </c>
      <c r="AN639" t="str">
        <f t="shared" si="231"/>
        <v>PRIORIDAD ALTA – requiere intervención inmediata</v>
      </c>
      <c r="AO639">
        <f t="shared" si="232"/>
        <v>64.862569275295584</v>
      </c>
      <c r="AP639">
        <f t="shared" si="233"/>
        <v>0.8494202048184718</v>
      </c>
      <c r="AQ639">
        <f t="shared" si="234"/>
        <v>0</v>
      </c>
      <c r="AR639">
        <f t="shared" si="235"/>
        <v>6.5</v>
      </c>
      <c r="AS639">
        <f t="shared" si="236"/>
        <v>0</v>
      </c>
      <c r="AT639" t="str">
        <f t="shared" si="237"/>
        <v>VENTAS</v>
      </c>
      <c r="AU639">
        <f t="shared" si="238"/>
        <v>64.862569275295584</v>
      </c>
      <c r="AV639" t="str">
        <f t="shared" si="239"/>
        <v>Mayor retorno probable: VENTAS (+64,9 puntos finales potenciales).</v>
      </c>
    </row>
    <row r="640" spans="1:48" x14ac:dyDescent="0.3">
      <c r="A640" s="5">
        <v>51010426</v>
      </c>
      <c r="B640" s="5" t="str">
        <f>IFERROR(VLOOKUP(A640,VENTAS!$A$2:$B$1194,2,0),"")</f>
        <v>METTLER</v>
      </c>
      <c r="C640" s="5">
        <f>IFERROR(INDEX(VENTAS!$C$2:$E$1194,MATCH(A640,VENTAS!$A$2:$A$1194,0),MATCH(PARAMS_MODELO!$B$2,{"Q1","Q2","Q3"},0)),0)</f>
        <v>50428798.950000003</v>
      </c>
      <c r="D640" s="5">
        <f>IFERROR(INDEX(VENTAS!$F$2:$H$1194,MATCH(A640,VENTAS!$A$2:$A$1194,0),MATCH(PARAMS_MODELO!$B$2,{"Q1","Q2","Q3"},0)),0)</f>
        <v>64193098</v>
      </c>
      <c r="E640" s="8">
        <f t="shared" si="216"/>
        <v>0.27294520862270111</v>
      </c>
      <c r="F640" s="12">
        <f>IF(E640&lt;=PARAMS_MODELO!$B$15,0,IF(E640&gt;=PARAMS_MODELO!$B$17,100,100*MIN(1,(E640-PARAMS_MODELO!$B$15)/(PARAMS_MODELO!$B$16-PARAMS_MODELO!$B$15))))*PARAMS_MODELO!$B$7</f>
        <v>35</v>
      </c>
      <c r="G640" s="5">
        <f t="shared" si="217"/>
        <v>13764299.049999997</v>
      </c>
      <c r="H640" s="5">
        <f>(PARAMS_MODELO!$B$20*(MAX(0,MIN(3,E640))/3)+PARAMS_MODELO!$B$21*(IFERROR(LN(1+MAX(0,G640))/LN(1+MAX(0,MAX($G$2:$G$1194))),0)))*100*PARAMS_MODELO!$B$8</f>
        <v>4.8085085356571282</v>
      </c>
      <c r="I640" s="8">
        <f>E640-PARAMS_MODELO!$B$5</f>
        <v>9.5382373247174579E-2</v>
      </c>
      <c r="J640" s="5">
        <f>IF(I640&lt;=PARAMS_MODELO!$B$18,0,IF(I640&gt;=PARAMS_MODELO!$B$19,100,100*(I640-PARAMS_MODELO!$B$18)/(PARAMS_MODELO!$B$19-PARAMS_MODELO!$B$18)))*PARAMS_MODELO!$B$9</f>
        <v>15</v>
      </c>
      <c r="K640" s="5">
        <f>IFERROR(CHOOSE(MATCH(PARAMS_MODELO!$B$2,{"Q1","Q2","Q3"},0),LOTO!$D640,LOTO!$F640,LOTO!$H640),0)</f>
        <v>3030000</v>
      </c>
      <c r="L640" s="8">
        <f t="shared" si="218"/>
        <v>4.7201336193495445E-2</v>
      </c>
      <c r="M640" s="5">
        <f>MIN(100,IF(PARAMS_MODELO!$B$23=0,0,100*L640/PARAMS_MODELO!$B$23))*PARAMS_MODELO!$B$10</f>
        <v>14.160400858048632</v>
      </c>
      <c r="N640" s="5">
        <f>IFERROR(VLOOKUP(A640,COMPLIANCE!$A$2:$F$1996,6,0),100)</f>
        <v>100</v>
      </c>
      <c r="O640" s="5">
        <f>N640*PARAMS_MODELO!$B$11</f>
        <v>10</v>
      </c>
      <c r="P640" s="5">
        <f>IFERROR(VLOOKUP(A640,DIGITAL!$A$2:$J$2000,7,0),100)</f>
        <v>62</v>
      </c>
      <c r="Q640" s="5">
        <f>IFERROR(P640,0)*PARAMS_MODELO!$B$12</f>
        <v>6.2</v>
      </c>
      <c r="R640">
        <f t="shared" si="219"/>
        <v>85.168909393705761</v>
      </c>
      <c r="S640" s="5" t="str">
        <f>IFERROR(VLOOKUP(A640,CLIENTE!$A$2:$N$2000,13,0),1)</f>
        <v>Regular</v>
      </c>
      <c r="T640" s="5">
        <f>IFERROR(VLOOKUP(A640,CLIENTE!$A$2:$N$2000,14,0),1)</f>
        <v>1</v>
      </c>
      <c r="U640" s="5">
        <f t="shared" si="220"/>
        <v>85.168909393705761</v>
      </c>
      <c r="V640" s="5" t="str">
        <f>IF(U640&gt;=MAX(_xlfn.PERCENTILE.INC($U$2:$U$1194,PARAMS_MODELO!$B$50),PARAMS_MODELO!$B$45),"DIAMANTE",IF(U640&gt;=MAX(_xlfn.PERCENTILE.INC($U$2:$U$1194,PARAMS_MODELO!$B$51),PARAMS_MODELO!$B$46),"PLATINO",IF(U640&gt;=MAX(_xlfn.PERCENTILE.INC($U$2:$U$1194,PARAMS_MODELO!$B$52),PARAMS_MODELO!$B$47),"ORO",IF(U640&gt;=MAX(_xlfn.PERCENTILE.INC($U$2:$U$1194,PARAMS_MODELO!$B$53),PARAMS_MODELO!$B$48),"PLATA",IF(U640&gt;=1,"BRONCE","CERRADO")))))</f>
        <v>ORO</v>
      </c>
      <c r="W640" s="5" t="str" cm="1">
        <f t="array" ref="W640">_xlfn.XLOOKUP(1, (HIST_SCORE!$B:$B=PARAMS_MODELO!$B$4) * (HIST_SCORE!$C:$C=A640), HIST_SCORE!$E:$E, "No encontrado")</f>
        <v>ORO</v>
      </c>
      <c r="X640" s="5" t="str">
        <f>_xlfn.LET(_xlpm.act,MATCH(V640,{"DIAMANTE";"PLATINO";"ORO";"PLATA";"BRONCE";"CERRADO"},0),_xlpm.ant,MATCH(W640,{"DIAMANTE";"PLATINO";"ORO";"PLATA";"BRONCE";"CERRADO"},0),IF(_xlpm.act&lt;_xlpm.ant,"Mejora ↑",IF(_xlpm.act&gt;_xlpm.ant,"Baja ↓","Estable →")))</f>
        <v>Estable →</v>
      </c>
      <c r="Y640" s="5">
        <f>IFERROR(U640-SUMIFS(HIST_SCORE!$D:$D,HIST_SCORE!$B:$B,PARAMS_MODELO!$B$4,HIST_SCORE!$C:$C,$A640),"")</f>
        <v>2.5300492058116788</v>
      </c>
      <c r="Z640" s="5" t="str">
        <f t="shared" si="221"/>
        <v>→ Estable</v>
      </c>
      <c r="AA640" s="5">
        <f t="shared" si="222"/>
        <v>279</v>
      </c>
      <c r="AB640" s="5">
        <f>IFERROR(SUMIFS(HIST_SCORE!$F:$F,HIST_SCORE!$B:$B,PARAMS_MODELO!$B$4,HIST_SCORE!$C:$C,$A640),"")</f>
        <v>343</v>
      </c>
      <c r="AC640" s="5">
        <f t="shared" si="223"/>
        <v>64</v>
      </c>
      <c r="AD640" t="str">
        <f t="shared" si="225"/>
        <v/>
      </c>
      <c r="AE6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640="CERRADO",1,IF(V640="BRONCE",_xlpm.cPl,IF(V640="PLATA",_xlpm.cO,IF(V640="ORO",_xlpm.cP,IF(V640="PLATINO",_xlpm.cD,999))))))</f>
        <v>86.439123873763251</v>
      </c>
      <c r="AF6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640="CERRADO",0,IF(V640="BRONCE",1,IF(V640="PLATA",_xlpm.cPl,IF(V640="ORO",_xlpm.cO,IF(V640="PLATINO",_xlpm.cP,_xlpm.cD))))))</f>
        <v>63.199193273331495</v>
      </c>
      <c r="AG640">
        <f t="shared" si="226"/>
        <v>1.2702144800574899</v>
      </c>
      <c r="AH640" t="str">
        <f t="shared" si="227"/>
        <v>VENTAS</v>
      </c>
      <c r="AI640" t="str">
        <f t="shared" si="224"/>
        <v>🎯 Para subir de categoría, eje VENTAS / IMPACTO ABSOLUTO (H). Acción: metas semanales + activación comercial + seguimiento del asesor. ΔR aprox: 1,3</v>
      </c>
      <c r="AJ640" s="26">
        <f>_xlfn.LET(_xlpm.piso,AF640,_xlpm.corte,AE640,_xlpm.prog,IF(_xlpm.corte&lt;=_xlpm.piso,0,MAX(0,MIN(1,(U640-_xlpm.piso)/(_xlpm.corte-_xlpm.piso)))),_xlpm.orden,{"DIAMANTE";"PLATINO";"ORO";"PLATA";"BRONCE";"CERRADO"},_xlpm.act,IFERROR(MATCH(V640,_xlpm.orden,0),6),_xlpm.ant,IFERROR(MATCH(W640,_xlpm.orden,0),6),_xlpm.ajmov,IF(_xlpm.act&lt;_xlpm.ant,0.08,IF(_xlpm.act&gt;_xlpm.ant,-0.08,0)),_xlpm.ajcli,IF(T640&lt;0.95,-0.06,0),_xlpm.prob,MAX(0,MIN(1,_xlpm.prog+_xlpm.ajmov+_xlpm.ajcli)),IF(OR(V640="DIAMANTE",V640="CERRADO"),0,ROUND(_xlpm.prob,2)))</f>
        <v>0.95</v>
      </c>
      <c r="AK640" t="str">
        <f t="shared" si="228"/>
        <v>Faltan 1,3 puntos base para subir a la siguiente categoría</v>
      </c>
      <c r="AL640" t="str">
        <f t="shared" si="229"/>
        <v>Margen de seguridad: 22,0 puntos</v>
      </c>
      <c r="AM640">
        <f t="shared" si="230"/>
        <v>7.0000000000000007E-2</v>
      </c>
      <c r="AN640" t="str">
        <f t="shared" si="231"/>
        <v>PRIORIDAD BAJA – control normal</v>
      </c>
      <c r="AO640">
        <f t="shared" si="232"/>
        <v>10.054060739638459</v>
      </c>
      <c r="AP640">
        <f t="shared" si="233"/>
        <v>0.83959914195136776</v>
      </c>
      <c r="AQ640">
        <f t="shared" si="234"/>
        <v>0</v>
      </c>
      <c r="AR640">
        <f t="shared" si="235"/>
        <v>3.8</v>
      </c>
      <c r="AS640">
        <f t="shared" si="236"/>
        <v>0</v>
      </c>
      <c r="AT640" t="str">
        <f t="shared" si="237"/>
        <v>VENTAS</v>
      </c>
      <c r="AU640">
        <f t="shared" si="238"/>
        <v>10.054060739638459</v>
      </c>
      <c r="AV640" t="str">
        <f t="shared" si="239"/>
        <v>Mayor retorno probable: VENTAS (+10,1 puntos finales potenciales).</v>
      </c>
    </row>
    <row r="641" spans="1:48" x14ac:dyDescent="0.3">
      <c r="A641" s="5">
        <v>51033205</v>
      </c>
      <c r="B641" s="5" t="str">
        <f>IFERROR(VLOOKUP(A641,VENTAS!$A$2:$B$1194,2,0),"")</f>
        <v>ROBERTS</v>
      </c>
      <c r="C641" s="5">
        <f>IFERROR(INDEX(VENTAS!$C$2:$E$1194,MATCH(A641,VENTAS!$A$2:$A$1194,0),MATCH(PARAMS_MODELO!$B$2,{"Q1","Q2","Q3"},0)),0)</f>
        <v>39040174.689999998</v>
      </c>
      <c r="D641" s="5">
        <f>IFERROR(INDEX(VENTAS!$F$2:$H$1194,MATCH(A641,VENTAS!$A$2:$A$1194,0),MATCH(PARAMS_MODELO!$B$2,{"Q1","Q2","Q3"},0)),0)</f>
        <v>64150701</v>
      </c>
      <c r="E641" s="8">
        <f t="shared" si="216"/>
        <v>0.64319707863479358</v>
      </c>
      <c r="F641" s="12">
        <f>IF(E641&lt;=PARAMS_MODELO!$B$15,0,IF(E641&gt;=PARAMS_MODELO!$B$17,100,100*MIN(1,(E641-PARAMS_MODELO!$B$15)/(PARAMS_MODELO!$B$16-PARAMS_MODELO!$B$15))))*PARAMS_MODELO!$B$7</f>
        <v>35</v>
      </c>
      <c r="G641" s="5">
        <f t="shared" si="217"/>
        <v>25110526.310000002</v>
      </c>
      <c r="H641" s="5">
        <f>(PARAMS_MODELO!$B$20*(MAX(0,MIN(3,E641))/3)+PARAMS_MODELO!$B$21*(IFERROR(LN(1+MAX(0,G641))/LN(1+MAX(0,MAX($G$2:$G$1194))),0)))*100*PARAMS_MODELO!$B$8</f>
        <v>6.245321836784032</v>
      </c>
      <c r="I641" s="8">
        <f>E641-PARAMS_MODELO!$B$5</f>
        <v>0.46563424325926706</v>
      </c>
      <c r="J641" s="5">
        <f>IF(I641&lt;=PARAMS_MODELO!$B$18,0,IF(I641&gt;=PARAMS_MODELO!$B$19,100,100*(I641-PARAMS_MODELO!$B$18)/(PARAMS_MODELO!$B$19-PARAMS_MODELO!$B$18)))*PARAMS_MODELO!$B$9</f>
        <v>15</v>
      </c>
      <c r="K641" s="5">
        <f>IFERROR(CHOOSE(MATCH(PARAMS_MODELO!$B$2,{"Q1","Q2","Q3"},0),LOTO!$D641,LOTO!$F641,LOTO!$H641),0)</f>
        <v>3017500</v>
      </c>
      <c r="L641" s="8">
        <f t="shared" si="218"/>
        <v>4.7037677733248774E-2</v>
      </c>
      <c r="M641" s="5">
        <f>MIN(100,IF(PARAMS_MODELO!$B$23=0,0,100*L641/PARAMS_MODELO!$B$23))*PARAMS_MODELO!$B$10</f>
        <v>14.111303319974631</v>
      </c>
      <c r="N641" s="5">
        <f>IFERROR(VLOOKUP(A641,COMPLIANCE!$A$2:$F$1996,6,0),100)</f>
        <v>99.98</v>
      </c>
      <c r="O641" s="5">
        <f>N641*PARAMS_MODELO!$B$11</f>
        <v>9.9980000000000011</v>
      </c>
      <c r="P641" s="5">
        <f>IFERROR(VLOOKUP(A641,DIGITAL!$A$2:$J$2000,7,0),100)</f>
        <v>80</v>
      </c>
      <c r="Q641" s="5">
        <f>IFERROR(P641,0)*PARAMS_MODELO!$B$12</f>
        <v>8</v>
      </c>
      <c r="R641">
        <f t="shared" si="219"/>
        <v>88.354625156758672</v>
      </c>
      <c r="S641" s="5" t="str">
        <f>IFERROR(VLOOKUP(A641,CLIENTE!$A$2:$N$2000,13,0),1)</f>
        <v>Malo</v>
      </c>
      <c r="T641" s="5">
        <f>IFERROR(VLOOKUP(A641,CLIENTE!$A$2:$N$2000,14,0),1)</f>
        <v>0.7</v>
      </c>
      <c r="U641" s="5">
        <f t="shared" si="220"/>
        <v>61.848237609731065</v>
      </c>
      <c r="V641" s="5" t="str">
        <f>IF(U641&gt;=MAX(_xlfn.PERCENTILE.INC($U$2:$U$1194,PARAMS_MODELO!$B$50),PARAMS_MODELO!$B$45),"DIAMANTE",IF(U641&gt;=MAX(_xlfn.PERCENTILE.INC($U$2:$U$1194,PARAMS_MODELO!$B$51),PARAMS_MODELO!$B$46),"PLATINO",IF(U641&gt;=MAX(_xlfn.PERCENTILE.INC($U$2:$U$1194,PARAMS_MODELO!$B$52),PARAMS_MODELO!$B$47),"ORO",IF(U641&gt;=MAX(_xlfn.PERCENTILE.INC($U$2:$U$1194,PARAMS_MODELO!$B$53),PARAMS_MODELO!$B$48),"PLATA",IF(U641&gt;=1,"BRONCE","CERRADO")))))</f>
        <v>PLATA</v>
      </c>
      <c r="W641" s="5" t="str" cm="1">
        <f t="array" ref="W641">_xlfn.XLOOKUP(1, (HIST_SCORE!$B:$B=PARAMS_MODELO!$B$4) * (HIST_SCORE!$C:$C=A641), HIST_SCORE!$E:$E, "No encontrado")</f>
        <v>PLATA</v>
      </c>
      <c r="X641" s="5" t="str">
        <f>_xlfn.LET(_xlpm.act,MATCH(V641,{"DIAMANTE";"PLATINO";"ORO";"PLATA";"BRONCE";"CERRADO"},0),_xlpm.ant,MATCH(W641,{"DIAMANTE";"PLATINO";"ORO";"PLATA";"BRONCE";"CERRADO"},0),IF(_xlpm.act&lt;_xlpm.ant,"Mejora ↑",IF(_xlpm.act&gt;_xlpm.ant,"Baja ↓","Estable →")))</f>
        <v>Estable →</v>
      </c>
      <c r="Y641" s="5">
        <f>IFERROR(U641-SUMIFS(HIST_SCORE!$D:$D,HIST_SCORE!$B:$B,PARAMS_MODELO!$B$4,HIST_SCORE!$C:$C,$A641),"")</f>
        <v>-0.58935311316663075</v>
      </c>
      <c r="Z641" s="5" t="str">
        <f t="shared" si="221"/>
        <v>→ Estable</v>
      </c>
      <c r="AA641" s="5">
        <f t="shared" si="222"/>
        <v>583</v>
      </c>
      <c r="AB641" s="5">
        <f>IFERROR(SUMIFS(HIST_SCORE!$F:$F,HIST_SCORE!$B:$B,PARAMS_MODELO!$B$4,HIST_SCORE!$C:$C,$A641),"")</f>
        <v>602</v>
      </c>
      <c r="AC641" s="5">
        <f t="shared" si="223"/>
        <v>19</v>
      </c>
      <c r="AD641" t="str">
        <f t="shared" si="225"/>
        <v/>
      </c>
      <c r="AE6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641="CERRADO",1,IF(V641="BRONCE",_xlpm.cPl,IF(V641="PLATA",_xlpm.cO,IF(V641="ORO",_xlpm.cP,IF(V641="PLATINO",_xlpm.cD,999))))))</f>
        <v>63.199193273331495</v>
      </c>
      <c r="AF6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641="CERRADO",0,IF(V641="BRONCE",1,IF(V641="PLATA",_xlpm.cPl,IF(V641="ORO",_xlpm.cO,IF(V641="PLATINO",_xlpm.cP,_xlpm.cD))))))</f>
        <v>24.506573482968111</v>
      </c>
      <c r="AG641">
        <f t="shared" si="226"/>
        <v>1.9299366622863232</v>
      </c>
      <c r="AH641" t="str">
        <f t="shared" si="227"/>
        <v>CLIENTE</v>
      </c>
      <c r="AI641" t="str">
        <f t="shared" si="224"/>
        <v>🎯 Para subir de categoría, la eje con mayor impacto probable es CLIENTE (coef T). Acción: reducir quejas, mejorar incógnito y empujar reseñas. ΔR aprox: 1,9</v>
      </c>
      <c r="AJ641" s="26">
        <f>_xlfn.LET(_xlpm.piso,AF641,_xlpm.corte,AE641,_xlpm.prog,IF(_xlpm.corte&lt;=_xlpm.piso,0,MAX(0,MIN(1,(U641-_xlpm.piso)/(_xlpm.corte-_xlpm.piso)))),_xlpm.orden,{"DIAMANTE";"PLATINO";"ORO";"PLATA";"BRONCE";"CERRADO"},_xlpm.act,IFERROR(MATCH(V641,_xlpm.orden,0),6),_xlpm.ant,IFERROR(MATCH(W641,_xlpm.orden,0),6),_xlpm.ajmov,IF(_xlpm.act&lt;_xlpm.ant,0.08,IF(_xlpm.act&gt;_xlpm.ant,-0.08,0)),_xlpm.ajcli,IF(T641&lt;0.95,-0.06,0),_xlpm.prob,MAX(0,MIN(1,_xlpm.prog+_xlpm.ajmov+_xlpm.ajcli)),IF(OR(V641="DIAMANTE",V641="CERRADO"),0,ROUND(_xlpm.prob,2)))</f>
        <v>0.91</v>
      </c>
      <c r="AK641" t="str">
        <f t="shared" si="228"/>
        <v>Faltan 1,9 puntos base para subir a la siguiente categoría</v>
      </c>
      <c r="AL641" t="str">
        <f t="shared" si="229"/>
        <v>Margen de seguridad: 37,3 puntos</v>
      </c>
      <c r="AM641">
        <f t="shared" si="230"/>
        <v>0.31</v>
      </c>
      <c r="AN641" t="str">
        <f t="shared" si="231"/>
        <v>PRIORIDAD BAJA – control normal</v>
      </c>
      <c r="AO641">
        <f t="shared" si="232"/>
        <v>6.0320732069580885</v>
      </c>
      <c r="AP641">
        <f t="shared" si="233"/>
        <v>0.62208767601775816</v>
      </c>
      <c r="AQ641">
        <f t="shared" si="234"/>
        <v>1.3999999999992239E-3</v>
      </c>
      <c r="AR641">
        <f t="shared" si="235"/>
        <v>1.4</v>
      </c>
      <c r="AS641">
        <f t="shared" si="236"/>
        <v>26.506387547027607</v>
      </c>
      <c r="AT641" t="str">
        <f t="shared" si="237"/>
        <v>CLIENTE</v>
      </c>
      <c r="AU641">
        <f t="shared" si="238"/>
        <v>26.506387547027607</v>
      </c>
      <c r="AV641" t="str">
        <f t="shared" si="239"/>
        <v>Mayor retorno probable: CLIENTE (+26,5 puntos finales potenciales).</v>
      </c>
    </row>
    <row r="642" spans="1:48" x14ac:dyDescent="0.3">
      <c r="A642" s="5">
        <v>51035976</v>
      </c>
      <c r="B642" s="5" t="str">
        <f>IFERROR(VLOOKUP(A642,VENTAS!$A$2:$B$1194,2,0),"")</f>
        <v>PRADES</v>
      </c>
      <c r="C642" s="5">
        <f>IFERROR(INDEX(VENTAS!$C$2:$E$1194,MATCH(A642,VENTAS!$A$2:$A$1194,0),MATCH(PARAMS_MODELO!$B$2,{"Q1","Q2","Q3"},0)),0)</f>
        <v>37938714.439999998</v>
      </c>
      <c r="D642" s="5">
        <f>IFERROR(INDEX(VENTAS!$F$2:$H$1194,MATCH(A642,VENTAS!$A$2:$A$1194,0),MATCH(PARAMS_MODELO!$B$2,{"Q1","Q2","Q3"},0)),0)</f>
        <v>64070030</v>
      </c>
      <c r="E642" s="8">
        <f t="shared" ref="E642:E705" si="240">IFERROR(D642/C642-1,0)</f>
        <v>0.68877704333726508</v>
      </c>
      <c r="F642" s="12">
        <f>IF(E642&lt;=PARAMS_MODELO!$B$15,0,IF(E642&gt;=PARAMS_MODELO!$B$17,100,100*MIN(1,(E642-PARAMS_MODELO!$B$15)/(PARAMS_MODELO!$B$16-PARAMS_MODELO!$B$15))))*PARAMS_MODELO!$B$7</f>
        <v>35</v>
      </c>
      <c r="G642" s="5">
        <f t="shared" ref="G642:G705" si="241">MAX(0,D642-C642)</f>
        <v>26131315.560000002</v>
      </c>
      <c r="H642" s="5">
        <f>(PARAMS_MODELO!$B$20*(MAX(0,MIN(3,E642))/3)+PARAMS_MODELO!$B$21*(IFERROR(LN(1+MAX(0,G642))/LN(1+MAX(0,MAX($G$2:$G$1194))),0)))*100*PARAMS_MODELO!$B$8</f>
        <v>6.4141924743877077</v>
      </c>
      <c r="I642" s="8">
        <f>E642-PARAMS_MODELO!$B$5</f>
        <v>0.51121420796173855</v>
      </c>
      <c r="J642" s="5">
        <f>IF(I642&lt;=PARAMS_MODELO!$B$18,0,IF(I642&gt;=PARAMS_MODELO!$B$19,100,100*(I642-PARAMS_MODELO!$B$18)/(PARAMS_MODELO!$B$19-PARAMS_MODELO!$B$18)))*PARAMS_MODELO!$B$9</f>
        <v>15</v>
      </c>
      <c r="K642" s="5">
        <f>IFERROR(CHOOSE(MATCH(PARAMS_MODELO!$B$2,{"Q1","Q2","Q3"},0),LOTO!$D642,LOTO!$F642,LOTO!$H642),0)</f>
        <v>3012500</v>
      </c>
      <c r="L642" s="8">
        <f t="shared" ref="L642:L705" si="242">IFERROR(K642/D642,0)</f>
        <v>4.7018863577869406E-2</v>
      </c>
      <c r="M642" s="5">
        <f>MIN(100,IF(PARAMS_MODELO!$B$23=0,0,100*L642/PARAMS_MODELO!$B$23))*PARAMS_MODELO!$B$10</f>
        <v>14.105659073360821</v>
      </c>
      <c r="N642" s="5">
        <f>IFERROR(VLOOKUP(A642,COMPLIANCE!$A$2:$F$1996,6,0),100)</f>
        <v>100</v>
      </c>
      <c r="O642" s="5">
        <f>N642*PARAMS_MODELO!$B$11</f>
        <v>10</v>
      </c>
      <c r="P642" s="5">
        <f>IFERROR(VLOOKUP(A642,DIGITAL!$A$2:$J$2000,7,0),100)</f>
        <v>88</v>
      </c>
      <c r="Q642" s="5">
        <f>IFERROR(P642,0)*PARAMS_MODELO!$B$12</f>
        <v>8.8000000000000007</v>
      </c>
      <c r="R642">
        <f t="shared" ref="R642:R705" si="243">MIN(100,MAX(0,F642+H642+J642+M642+O642+Q642))</f>
        <v>89.319851547748527</v>
      </c>
      <c r="S642" s="5" t="str">
        <f>IFERROR(VLOOKUP(A642,CLIENTE!$A$2:$N$2000,13,0),1)</f>
        <v>Regular</v>
      </c>
      <c r="T642" s="5">
        <f>IFERROR(VLOOKUP(A642,CLIENTE!$A$2:$N$2000,14,0),1)</f>
        <v>1</v>
      </c>
      <c r="U642" s="5">
        <f t="shared" ref="U642:U705" si="244">MIN(100,MAX(0,R642*T642))</f>
        <v>89.319851547748527</v>
      </c>
      <c r="V642" s="5" t="str">
        <f>IF(U642&gt;=MAX(_xlfn.PERCENTILE.INC($U$2:$U$1194,PARAMS_MODELO!$B$50),PARAMS_MODELO!$B$45),"DIAMANTE",IF(U642&gt;=MAX(_xlfn.PERCENTILE.INC($U$2:$U$1194,PARAMS_MODELO!$B$51),PARAMS_MODELO!$B$46),"PLATINO",IF(U642&gt;=MAX(_xlfn.PERCENTILE.INC($U$2:$U$1194,PARAMS_MODELO!$B$52),PARAMS_MODELO!$B$47),"ORO",IF(U642&gt;=MAX(_xlfn.PERCENTILE.INC($U$2:$U$1194,PARAMS_MODELO!$B$53),PARAMS_MODELO!$B$48),"PLATA",IF(U642&gt;=1,"BRONCE","CERRADO")))))</f>
        <v>PLATINO</v>
      </c>
      <c r="W642" s="5" t="str" cm="1">
        <f t="array" ref="W642">_xlfn.XLOOKUP(1, (HIST_SCORE!$B:$B=PARAMS_MODELO!$B$4) * (HIST_SCORE!$C:$C=A642), HIST_SCORE!$E:$E, "No encontrado")</f>
        <v>ORO</v>
      </c>
      <c r="X642" s="5" t="str">
        <f>_xlfn.LET(_xlpm.act,MATCH(V642,{"DIAMANTE";"PLATINO";"ORO";"PLATA";"BRONCE";"CERRADO"},0),_xlpm.ant,MATCH(W642,{"DIAMANTE";"PLATINO";"ORO";"PLATA";"BRONCE";"CERRADO"},0),IF(_xlpm.act&lt;_xlpm.ant,"Mejora ↑",IF(_xlpm.act&gt;_xlpm.ant,"Baja ↓","Estable →")))</f>
        <v>Mejora ↑</v>
      </c>
      <c r="Y642" s="5">
        <f>IFERROR(U642-SUMIFS(HIST_SCORE!$D:$D,HIST_SCORE!$B:$B,PARAMS_MODELO!$B$4,HIST_SCORE!$C:$C,$A642),"")</f>
        <v>17.528162367682498</v>
      </c>
      <c r="Z642" s="5" t="str">
        <f t="shared" ref="Z642:Z705" si="245">IF(Y642="","",IF(Y642&gt;=5,"↑ Mejora",IF(Y642&lt;=-5,"↓ Baja","→ Estable")))</f>
        <v>↑ Mejora</v>
      </c>
      <c r="AA642" s="5">
        <f t="shared" ref="AA642:AA705" si="246">IFERROR(_xlfn.RANK.EQ(U642,$U$2:$U$1194,0),"")</f>
        <v>155</v>
      </c>
      <c r="AB642" s="5">
        <f>IFERROR(SUMIFS(HIST_SCORE!$F:$F,HIST_SCORE!$B:$B,PARAMS_MODELO!$B$4,HIST_SCORE!$C:$C,$A642),"")</f>
        <v>524</v>
      </c>
      <c r="AC642" s="5">
        <f t="shared" ref="AC642:AC705" si="247">IF(OR(AA642="",AB642=""),"",AB642-AA642)</f>
        <v>369</v>
      </c>
      <c r="AD642" t="str">
        <f t="shared" si="225"/>
        <v/>
      </c>
      <c r="AE6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642="CERRADO",1,IF(V642="BRONCE",_xlpm.cPl,IF(V642="PLATA",_xlpm.cO,IF(V642="ORO",_xlpm.cP,IF(V642="PLATINO",_xlpm.cD,999))))))</f>
        <v>96.054919694466676</v>
      </c>
      <c r="AF6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642="CERRADO",0,IF(V642="BRONCE",1,IF(V642="PLATA",_xlpm.cPl,IF(V642="ORO",_xlpm.cO,IF(V642="PLATINO",_xlpm.cP,_xlpm.cD))))))</f>
        <v>86.439123873763251</v>
      </c>
      <c r="AG642">
        <f t="shared" si="226"/>
        <v>6.7350681467181488</v>
      </c>
      <c r="AH642" t="str">
        <f t="shared" si="227"/>
        <v>VENTAS</v>
      </c>
      <c r="AI642" t="str">
        <f t="shared" ref="AI642:AI705" si="248">_xlfn.LET(_xlpm.pal,AH642,_xlpm.deltaR,AG642,_xlpm.minVent,MIN(F642,H642,J642),_xlpm.subV,IF(_xlpm.minVent=F642,"CRECIMIENTO PERSONAL (F)",IF(_xlpm.minVent=H642,"IMPACTO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IMPACTO ABSOLUTO (H). Acción: metas semanales + activación comercial + seguimiento del asesor. ΔR aprox: 6,7</v>
      </c>
      <c r="AJ642" s="26">
        <f>_xlfn.LET(_xlpm.piso,AF642,_xlpm.corte,AE642,_xlpm.prog,IF(_xlpm.corte&lt;=_xlpm.piso,0,MAX(0,MIN(1,(U642-_xlpm.piso)/(_xlpm.corte-_xlpm.piso)))),_xlpm.orden,{"DIAMANTE";"PLATINO";"ORO";"PLATA";"BRONCE";"CERRADO"},_xlpm.act,IFERROR(MATCH(V642,_xlpm.orden,0),6),_xlpm.ant,IFERROR(MATCH(W642,_xlpm.orden,0),6),_xlpm.ajmov,IF(_xlpm.act&lt;_xlpm.ant,0.08,IF(_xlpm.act&gt;_xlpm.ant,-0.08,0)),_xlpm.ajcli,IF(T642&lt;0.95,-0.06,0),_xlpm.prob,MAX(0,MIN(1,_xlpm.prog+_xlpm.ajmov+_xlpm.ajcli)),IF(OR(V642="DIAMANTE",V642="CERRADO"),0,ROUND(_xlpm.prob,2)))</f>
        <v>0.38</v>
      </c>
      <c r="AK642" t="str">
        <f t="shared" si="228"/>
        <v>Faltan 6,7 puntos base para subir a la siguiente categoría</v>
      </c>
      <c r="AL642" t="str">
        <f t="shared" si="229"/>
        <v>Margen de seguridad: 2,9 puntos</v>
      </c>
      <c r="AM642">
        <f t="shared" si="230"/>
        <v>0.52</v>
      </c>
      <c r="AN642" t="str">
        <f t="shared" si="231"/>
        <v>PRIORIDAD MEDIA – seguimiento del asesor</v>
      </c>
      <c r="AO642">
        <f t="shared" si="232"/>
        <v>8.4483768009078801</v>
      </c>
      <c r="AP642">
        <f t="shared" si="233"/>
        <v>0.8943409266391793</v>
      </c>
      <c r="AQ642">
        <f t="shared" si="234"/>
        <v>0</v>
      </c>
      <c r="AR642">
        <f t="shared" si="235"/>
        <v>1.1999999999999993</v>
      </c>
      <c r="AS642">
        <f t="shared" si="236"/>
        <v>0</v>
      </c>
      <c r="AT642" t="str">
        <f t="shared" si="237"/>
        <v>VENTAS</v>
      </c>
      <c r="AU642">
        <f t="shared" si="238"/>
        <v>8.4483768009078801</v>
      </c>
      <c r="AV642" t="str">
        <f t="shared" si="239"/>
        <v>Mayor retorno probable: VENTAS (+8,4 puntos finales potenciales).</v>
      </c>
    </row>
    <row r="643" spans="1:48" x14ac:dyDescent="0.3">
      <c r="A643" s="5">
        <v>51010914</v>
      </c>
      <c r="B643" s="5" t="str">
        <f>IFERROR(VLOOKUP(A643,VENTAS!$A$2:$B$1194,2,0),"")</f>
        <v>LÓPEZ</v>
      </c>
      <c r="C643" s="5">
        <f>IFERROR(INDEX(VENTAS!$C$2:$E$1194,MATCH(A643,VENTAS!$A$2:$A$1194,0),MATCH(PARAMS_MODELO!$B$2,{"Q1","Q2","Q3"},0)),0)</f>
        <v>58121614.739999987</v>
      </c>
      <c r="D643" s="5">
        <f>IFERROR(INDEX(VENTAS!$F$2:$H$1194,MATCH(A643,VENTAS!$A$2:$A$1194,0),MATCH(PARAMS_MODELO!$B$2,{"Q1","Q2","Q3"},0)),0)</f>
        <v>64016340</v>
      </c>
      <c r="E643" s="8">
        <f t="shared" si="240"/>
        <v>0.10142053496568115</v>
      </c>
      <c r="F643" s="12">
        <f>IF(E643&lt;=PARAMS_MODELO!$B$15,0,IF(E643&gt;=PARAMS_MODELO!$B$17,100,100*MIN(1,(E643-PARAMS_MODELO!$B$15)/(PARAMS_MODELO!$B$16-PARAMS_MODELO!$B$15))))*PARAMS_MODELO!$B$7</f>
        <v>35</v>
      </c>
      <c r="G643" s="5">
        <f t="shared" si="241"/>
        <v>5894725.2600000128</v>
      </c>
      <c r="H643" s="5">
        <f>(PARAMS_MODELO!$B$20*(MAX(0,MIN(3,E643))/3)+PARAMS_MODELO!$B$21*(IFERROR(LN(1+MAX(0,G643))/LN(1+MAX(0,MAX($G$2:$G$1194))),0)))*100*PARAMS_MODELO!$B$8</f>
        <v>4.0093844062843811</v>
      </c>
      <c r="I643" s="8">
        <f>E643-PARAMS_MODELO!$B$5</f>
        <v>-7.6142300409845376E-2</v>
      </c>
      <c r="J643" s="5">
        <f>IF(I643&lt;=PARAMS_MODELO!$B$18,0,IF(I643&gt;=PARAMS_MODELO!$B$19,100,100*(I643-PARAMS_MODELO!$B$18)/(PARAMS_MODELO!$B$19-PARAMS_MODELO!$B$18)))*PARAMS_MODELO!$B$9</f>
        <v>0</v>
      </c>
      <c r="K643" s="5">
        <f>IFERROR(CHOOSE(MATCH(PARAMS_MODELO!$B$2,{"Q1","Q2","Q3"},0),LOTO!$D643,LOTO!$F643,LOTO!$H643),0)</f>
        <v>3010000</v>
      </c>
      <c r="L643" s="8">
        <f t="shared" si="242"/>
        <v>4.7019245398909094E-2</v>
      </c>
      <c r="M643" s="5">
        <f>MIN(100,IF(PARAMS_MODELO!$B$23=0,0,100*L643/PARAMS_MODELO!$B$23))*PARAMS_MODELO!$B$10</f>
        <v>14.105773619672727</v>
      </c>
      <c r="N643" s="5">
        <f>IFERROR(VLOOKUP(A643,COMPLIANCE!$A$2:$F$1996,6,0),100)</f>
        <v>99.55</v>
      </c>
      <c r="O643" s="5">
        <f>N643*PARAMS_MODELO!$B$11</f>
        <v>9.9550000000000001</v>
      </c>
      <c r="P643" s="5">
        <f>IFERROR(VLOOKUP(A643,DIGITAL!$A$2:$J$2000,7,0),100)</f>
        <v>63</v>
      </c>
      <c r="Q643" s="5">
        <f>IFERROR(P643,0)*PARAMS_MODELO!$B$12</f>
        <v>6.3000000000000007</v>
      </c>
      <c r="R643">
        <f t="shared" si="243"/>
        <v>69.37015802595711</v>
      </c>
      <c r="S643" s="5" t="str">
        <f>IFERROR(VLOOKUP(A643,CLIENTE!$A$2:$N$2000,13,0),1)</f>
        <v>Malo</v>
      </c>
      <c r="T643" s="5">
        <f>IFERROR(VLOOKUP(A643,CLIENTE!$A$2:$N$2000,14,0),1)</f>
        <v>0.7</v>
      </c>
      <c r="U643" s="5">
        <f t="shared" si="244"/>
        <v>48.559110618169974</v>
      </c>
      <c r="V643" s="5" t="str">
        <f>IF(U643&gt;=MAX(_xlfn.PERCENTILE.INC($U$2:$U$1194,PARAMS_MODELO!$B$50),PARAMS_MODELO!$B$45),"DIAMANTE",IF(U643&gt;=MAX(_xlfn.PERCENTILE.INC($U$2:$U$1194,PARAMS_MODELO!$B$51),PARAMS_MODELO!$B$46),"PLATINO",IF(U643&gt;=MAX(_xlfn.PERCENTILE.INC($U$2:$U$1194,PARAMS_MODELO!$B$52),PARAMS_MODELO!$B$47),"ORO",IF(U643&gt;=MAX(_xlfn.PERCENTILE.INC($U$2:$U$1194,PARAMS_MODELO!$B$53),PARAMS_MODELO!$B$48),"PLATA",IF(U643&gt;=1,"BRONCE","CERRADO")))))</f>
        <v>PLATA</v>
      </c>
      <c r="W643" s="5" t="str" cm="1">
        <f t="array" ref="W643">_xlfn.XLOOKUP(1, (HIST_SCORE!$B:$B=PARAMS_MODELO!$B$4) * (HIST_SCORE!$C:$C=A643), HIST_SCORE!$E:$E, "No encontrado")</f>
        <v>PLATA</v>
      </c>
      <c r="X643" s="5" t="str">
        <f>_xlfn.LET(_xlpm.act,MATCH(V643,{"DIAMANTE";"PLATINO";"ORO";"PLATA";"BRONCE";"CERRADO"},0),_xlpm.ant,MATCH(W643,{"DIAMANTE";"PLATINO";"ORO";"PLATA";"BRONCE";"CERRADO"},0),IF(_xlpm.act&lt;_xlpm.ant,"Mejora ↑",IF(_xlpm.act&gt;_xlpm.ant,"Baja ↓","Estable →")))</f>
        <v>Estable →</v>
      </c>
      <c r="Y643" s="5">
        <f>IFERROR(U643-SUMIFS(HIST_SCORE!$D:$D,HIST_SCORE!$B:$B,PARAMS_MODELO!$B$4,HIST_SCORE!$C:$C,$A643),"")</f>
        <v>-11.723421184465174</v>
      </c>
      <c r="Z643" s="5" t="str">
        <f t="shared" si="245"/>
        <v>↓ Baja</v>
      </c>
      <c r="AA643" s="5">
        <f t="shared" si="246"/>
        <v>750</v>
      </c>
      <c r="AB643" s="5">
        <f>IFERROR(SUMIFS(HIST_SCORE!$F:$F,HIST_SCORE!$B:$B,PARAMS_MODELO!$B$4,HIST_SCORE!$C:$C,$A643),"")</f>
        <v>647</v>
      </c>
      <c r="AC643" s="5">
        <f t="shared" si="247"/>
        <v>-103</v>
      </c>
      <c r="AD643" t="str">
        <f t="shared" ref="AD643:AD706" si="249">IF(V643="CERRADO","Agencia sin actividad o cerrada",IF(AND(V643="BRONCE",Y643=""),"Primer corte: cargá histórico para medir movilidad",IF(AND(V643="BRONCE",Y643&lt;0),"Plan de recuperación: foco crecimiento + mix",IF(AND(V643="ORO",Y643&lt;0),"Sostener base y reforzar mix",""))))</f>
        <v/>
      </c>
      <c r="AE6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643="CERRADO",1,IF(V643="BRONCE",_xlpm.cPl,IF(V643="PLATA",_xlpm.cO,IF(V643="ORO",_xlpm.cP,IF(V643="PLATINO",_xlpm.cD,999))))))</f>
        <v>63.199193273331495</v>
      </c>
      <c r="AF6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643="CERRADO",0,IF(V643="BRONCE",1,IF(V643="PLATA",_xlpm.cPl,IF(V643="ORO",_xlpm.cO,IF(V643="PLATINO",_xlpm.cP,_xlpm.cD))))))</f>
        <v>24.506573482968111</v>
      </c>
      <c r="AG643">
        <f t="shared" ref="AG643:AG706" si="250">_xlfn.LET(_xlpm.corteU,AE643,_xlpm.coef,MAX(0.01,T643),_xlpm.reqR,_xlpm.corteU/_xlpm.coef,MAX(0,_xlpm.reqR-R643))</f>
        <v>20.914403793087885</v>
      </c>
      <c r="AH643" t="str">
        <f t="shared" ref="AH643:AH706" si="251">_xlfn.LET(_xlpm.deltaR,AG643,_xlpm.ventas,F643+H643+J643,_xlpm.hv,(MAX($F$2:$F$1194)+MAX($H$2:$H$1194)+MAX($J$2:$J$1194))-_xlpm.ventas,_xlpm.hl,MAX($M$2:$M$1194)-M643,_xlpm.hc,MAX($O$2:$O$1194)-O643,_xlpm.hd,MAX($Q$2:$Q$1194)-Q643,_xlpm.impV,MIN(_xlpm.deltaR,MAX(0,_xlpm.hv)),_xlpm.impL,MIN(_xlpm.deltaR,MAX(0,_xlpm.hl)),_xlpm.impC,MIN(_xlpm.deltaR,MAX(0,_xlpm.hc)),_xlpm.impD,MIN(_xlpm.deltaR,MAX(0,_xlpm.hd)),_xlpm.t,T643,_xlpm.tObj,1,_xlpm.impCli,IF(_xlpm.t&lt;0.95,MIN(_xlpm.deltaR,R643*(_xlpm.tObj/_xlpm.t-1)),0),_xlpm.mx,MAX(_xlpm.impV,_xlpm.impL,_xlpm.impC,_xlpm.impD,_xlpm.impCli),IF(V643="DIAMANTE","SOSTENER",IF(V643="CERRADO","CERRADO",IF(_xlpm.mx=_xlpm.impCli,"CLIENTE",IF(_xlpm.mx=_xlpm.impV,"VENTAS",IF(_xlpm.mx=_xlpm.impL,"LOTO",IF(_xlpm.mx=_xlpm.impC,"COMPLIANCE","DIGITAL")))))))</f>
        <v>CLIENTE</v>
      </c>
      <c r="AI643" t="str">
        <f t="shared" si="248"/>
        <v>🎯 Para subir de categoría, la eje con mayor impacto probable es CLIENTE (coef T). Acción: reducir quejas, mejorar incógnito y empujar reseñas. ΔR aprox: 20,9</v>
      </c>
      <c r="AJ643" s="26">
        <f>_xlfn.LET(_xlpm.piso,AF643,_xlpm.corte,AE643,_xlpm.prog,IF(_xlpm.corte&lt;=_xlpm.piso,0,MAX(0,MIN(1,(U643-_xlpm.piso)/(_xlpm.corte-_xlpm.piso)))),_xlpm.orden,{"DIAMANTE";"PLATINO";"ORO";"PLATA";"BRONCE";"CERRADO"},_xlpm.act,IFERROR(MATCH(V643,_xlpm.orden,0),6),_xlpm.ant,IFERROR(MATCH(W643,_xlpm.orden,0),6),_xlpm.ajmov,IF(_xlpm.act&lt;_xlpm.ant,0.08,IF(_xlpm.act&gt;_xlpm.ant,-0.08,0)),_xlpm.ajcli,IF(T643&lt;0.95,-0.06,0),_xlpm.prob,MAX(0,MIN(1,_xlpm.prog+_xlpm.ajmov+_xlpm.ajcli)),IF(OR(V643="DIAMANTE",V643="CERRADO"),0,ROUND(_xlpm.prob,2)))</f>
        <v>0.56000000000000005</v>
      </c>
      <c r="AK643" t="str">
        <f t="shared" ref="AK643:AK706" si="252">IF(OR(V643="DIAMANTE",V643="CERRADO"),"No aplica","Faltan " &amp; TEXT(AG643,"0,0") &amp; " puntos base para subir a la siguiente categoría")</f>
        <v>Faltan 20,9 puntos base para subir a la siguiente categoría</v>
      </c>
      <c r="AL643" t="str">
        <f t="shared" ref="AL643:AL706" si="253">_xlfn.LET(_xlpm.piso,AF643,_xlpm.dist,U643-_xlpm.piso,IF(OR(V643="BRONCE",V643="CERRADO"),"No aplica",IF(_xlpm.dist&lt;=0,"⚠ Riesgo de descenso","Margen de seguridad: " &amp; TEXT(_xlpm.dist,"0,0") &amp; " puntos")))</f>
        <v>Margen de seguridad: 24,1 puntos</v>
      </c>
      <c r="AM643">
        <f t="shared" ref="AM643:AM706" si="254">_xlfn.LET(_xlpm.prob,AJ643,_xlpm.dist,AG643,_xlpm.coef,T643,_xlpm.prior,(1-_xlpm.prob)*0.4+MIN(1,_xlpm.dist/10)*0.4+IF(_xlpm.coef&lt;0.95,0.2,0),ROUND(_xlpm.prior,2))</f>
        <v>0.78</v>
      </c>
      <c r="AN643" t="str">
        <f t="shared" ref="AN643:AN706" si="255">IF(AM643&gt;=0.7,"PRIORIDAD ALTA – requiere intervención inmediata",IF(AM643&gt;=0.4,"PRIORIDAD MEDIA – seguimiento del asesor","PRIORIDAD BAJA – control normal"))</f>
        <v>PRIORIDAD ALTA – requiere intervención inmediata</v>
      </c>
      <c r="AO643">
        <f t="shared" ref="AO643:AO706" si="256">MAX(0,((MAX($F$2:$F$1194)+MAX($H$2:$H$1194)+MAX($J$2:$J$1194))-(F643+H643+J643))*T643)</f>
        <v>18.09722940830784</v>
      </c>
      <c r="AP643">
        <f t="shared" ref="AP643:AP706" si="257">MAX(0,(MAX($M$2:$M$1194)-M643)*T643)</f>
        <v>0.62595846622909135</v>
      </c>
      <c r="AQ643">
        <f t="shared" ref="AQ643:AQ706" si="258">MAX(0,(MAX($O$2:$O$1194)-O643)*T643)</f>
        <v>3.1499999999999952E-2</v>
      </c>
      <c r="AR643">
        <f t="shared" ref="AR643:AR706" si="259">MAX(0,(MAX($Q$2:$Q$1194)-Q643)*T643)</f>
        <v>2.5899999999999994</v>
      </c>
      <c r="AS643">
        <f t="shared" ref="AS643:AS706" si="260">MAX(0,R643*(1-T643))</f>
        <v>20.811047407787136</v>
      </c>
      <c r="AT643" t="str">
        <f t="shared" ref="AT643:AT706" si="261">_xlfn.LET(_xlpm.v,AO643,_xlpm.l,AP643,_xlpm.c,AQ643,_xlpm.d,AR643,_xlpm.cli,AS643,_xlpm.mx,MAX(_xlpm.v,_xlpm.l,_xlpm.c,_xlpm.d,_xlpm.cli),IF(_xlpm.mx=_xlpm.cli,"CLIENTE",IF(_xlpm.mx=_xlpm.v,"VENTAS",IF(_xlpm.mx=_xlpm.l,"LOTO",IF(_xlpm.mx=_xlpm.c,"COMPLIANCE","DIGITAL")))))</f>
        <v>CLIENTE</v>
      </c>
      <c r="AU643">
        <f t="shared" ref="AU643:AU706" si="262">MAX(AO643,AP643,AQ643,AR643,AS643)</f>
        <v>20.811047407787136</v>
      </c>
      <c r="AV643" t="str">
        <f t="shared" ref="AV643:AV706" si="263">IF(V643="CERRADO","⛔ Sin impacto comercial estimable por estado CERRADO.","Mayor retorno probable: " &amp; AT643 &amp; " (+" &amp; TEXT(AU643,"0,0") &amp; " puntos finales potenciales).")</f>
        <v>Mayor retorno probable: CLIENTE (+20,8 puntos finales potenciales).</v>
      </c>
    </row>
    <row r="644" spans="1:48" x14ac:dyDescent="0.3">
      <c r="A644" s="5">
        <v>51023129</v>
      </c>
      <c r="B644" s="5" t="str">
        <f>IFERROR(VLOOKUP(A644,VENTAS!$A$2:$B$1194,2,0),"")</f>
        <v>PUGH</v>
      </c>
      <c r="C644" s="5">
        <f>IFERROR(INDEX(VENTAS!$C$2:$E$1194,MATCH(A644,VENTAS!$A$2:$A$1194,0),MATCH(PARAMS_MODELO!$B$2,{"Q1","Q2","Q3"},0)),0)</f>
        <v>42020504.729999997</v>
      </c>
      <c r="D644" s="5">
        <f>IFERROR(INDEX(VENTAS!$F$2:$H$1194,MATCH(A644,VENTAS!$A$2:$A$1194,0),MATCH(PARAMS_MODELO!$B$2,{"Q1","Q2","Q3"},0)),0)</f>
        <v>64002655</v>
      </c>
      <c r="E644" s="8">
        <f t="shared" si="240"/>
        <v>0.52312913448433984</v>
      </c>
      <c r="F644" s="12">
        <f>IF(E644&lt;=PARAMS_MODELO!$B$15,0,IF(E644&gt;=PARAMS_MODELO!$B$17,100,100*MIN(1,(E644-PARAMS_MODELO!$B$15)/(PARAMS_MODELO!$B$16-PARAMS_MODELO!$B$15))))*PARAMS_MODELO!$B$7</f>
        <v>35</v>
      </c>
      <c r="G644" s="5">
        <f t="shared" si="241"/>
        <v>21982150.270000003</v>
      </c>
      <c r="H644" s="5">
        <f>(PARAMS_MODELO!$B$20*(MAX(0,MIN(3,E644))/3)+PARAMS_MODELO!$B$21*(IFERROR(LN(1+MAX(0,G644))/LN(1+MAX(0,MAX($G$2:$G$1194))),0)))*100*PARAMS_MODELO!$B$8</f>
        <v>5.7938937651364686</v>
      </c>
      <c r="I644" s="8">
        <f>E644-PARAMS_MODELO!$B$5</f>
        <v>0.34556629910881331</v>
      </c>
      <c r="J644" s="5">
        <f>IF(I644&lt;=PARAMS_MODELO!$B$18,0,IF(I644&gt;=PARAMS_MODELO!$B$19,100,100*(I644-PARAMS_MODELO!$B$18)/(PARAMS_MODELO!$B$19-PARAMS_MODELO!$B$18)))*PARAMS_MODELO!$B$9</f>
        <v>15</v>
      </c>
      <c r="K644" s="5">
        <f>IFERROR(CHOOSE(MATCH(PARAMS_MODELO!$B$2,{"Q1","Q2","Q3"},0),LOTO!$D644,LOTO!$F644,LOTO!$H644),0)</f>
        <v>3010000</v>
      </c>
      <c r="L644" s="8">
        <f t="shared" si="242"/>
        <v>4.7029299018923512E-2</v>
      </c>
      <c r="M644" s="5">
        <f>MIN(100,IF(PARAMS_MODELO!$B$23=0,0,100*L644/PARAMS_MODELO!$B$23))*PARAMS_MODELO!$B$10</f>
        <v>14.108789705677053</v>
      </c>
      <c r="N644" s="5">
        <f>IFERROR(VLOOKUP(A644,COMPLIANCE!$A$2:$F$1996,6,0),100)</f>
        <v>100</v>
      </c>
      <c r="O644" s="5">
        <f>N644*PARAMS_MODELO!$B$11</f>
        <v>10</v>
      </c>
      <c r="P644" s="5">
        <f>IFERROR(VLOOKUP(A644,DIGITAL!$A$2:$J$2000,7,0),100)</f>
        <v>92</v>
      </c>
      <c r="Q644" s="5">
        <f>IFERROR(P644,0)*PARAMS_MODELO!$B$12</f>
        <v>9.2000000000000011</v>
      </c>
      <c r="R644">
        <f t="shared" si="243"/>
        <v>89.102683470813517</v>
      </c>
      <c r="S644" s="5" t="str">
        <f>IFERROR(VLOOKUP(A644,CLIENTE!$A$2:$N$2000,13,0),1)</f>
        <v>Regular</v>
      </c>
      <c r="T644" s="5">
        <f>IFERROR(VLOOKUP(A644,CLIENTE!$A$2:$N$2000,14,0),1)</f>
        <v>1</v>
      </c>
      <c r="U644" s="5">
        <f t="shared" si="244"/>
        <v>89.102683470813517</v>
      </c>
      <c r="V644" s="5" t="str">
        <f>IF(U644&gt;=MAX(_xlfn.PERCENTILE.INC($U$2:$U$1194,PARAMS_MODELO!$B$50),PARAMS_MODELO!$B$45),"DIAMANTE",IF(U644&gt;=MAX(_xlfn.PERCENTILE.INC($U$2:$U$1194,PARAMS_MODELO!$B$51),PARAMS_MODELO!$B$46),"PLATINO",IF(U644&gt;=MAX(_xlfn.PERCENTILE.INC($U$2:$U$1194,PARAMS_MODELO!$B$52),PARAMS_MODELO!$B$47),"ORO",IF(U644&gt;=MAX(_xlfn.PERCENTILE.INC($U$2:$U$1194,PARAMS_MODELO!$B$53),PARAMS_MODELO!$B$48),"PLATA",IF(U644&gt;=1,"BRONCE","CERRADO")))))</f>
        <v>PLATINO</v>
      </c>
      <c r="W644" s="5" t="str" cm="1">
        <f t="array" ref="W644">_xlfn.XLOOKUP(1, (HIST_SCORE!$B:$B=PARAMS_MODELO!$B$4) * (HIST_SCORE!$C:$C=A644), HIST_SCORE!$E:$E, "No encontrado")</f>
        <v>PLATINO</v>
      </c>
      <c r="X644" s="5" t="str">
        <f>_xlfn.LET(_xlpm.act,MATCH(V644,{"DIAMANTE";"PLATINO";"ORO";"PLATA";"BRONCE";"CERRADO"},0),_xlpm.ant,MATCH(W644,{"DIAMANTE";"PLATINO";"ORO";"PLATA";"BRONCE";"CERRADO"},0),IF(_xlpm.act&lt;_xlpm.ant,"Mejora ↑",IF(_xlpm.act&gt;_xlpm.ant,"Baja ↓","Estable →")))</f>
        <v>Estable →</v>
      </c>
      <c r="Y644" s="5">
        <f>IFERROR(U644-SUMIFS(HIST_SCORE!$D:$D,HIST_SCORE!$B:$B,PARAMS_MODELO!$B$4,HIST_SCORE!$C:$C,$A644),"")</f>
        <v>2.8522110895862056</v>
      </c>
      <c r="Z644" s="5" t="str">
        <f t="shared" si="245"/>
        <v>→ Estable</v>
      </c>
      <c r="AA644" s="5">
        <f t="shared" si="246"/>
        <v>164</v>
      </c>
      <c r="AB644" s="5">
        <f>IFERROR(SUMIFS(HIST_SCORE!$F:$F,HIST_SCORE!$B:$B,PARAMS_MODELO!$B$4,HIST_SCORE!$C:$C,$A644),"")</f>
        <v>228</v>
      </c>
      <c r="AC644" s="5">
        <f t="shared" si="247"/>
        <v>64</v>
      </c>
      <c r="AD644" t="str">
        <f t="shared" si="249"/>
        <v/>
      </c>
      <c r="AE6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644="CERRADO",1,IF(V644="BRONCE",_xlpm.cPl,IF(V644="PLATA",_xlpm.cO,IF(V644="ORO",_xlpm.cP,IF(V644="PLATINO",_xlpm.cD,999))))))</f>
        <v>96.054919694466676</v>
      </c>
      <c r="AF6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644="CERRADO",0,IF(V644="BRONCE",1,IF(V644="PLATA",_xlpm.cPl,IF(V644="ORO",_xlpm.cO,IF(V644="PLATINO",_xlpm.cP,_xlpm.cD))))))</f>
        <v>86.439123873763251</v>
      </c>
      <c r="AG644">
        <f t="shared" si="250"/>
        <v>6.9522362236531592</v>
      </c>
      <c r="AH644" t="str">
        <f t="shared" si="251"/>
        <v>VENTAS</v>
      </c>
      <c r="AI644" t="str">
        <f t="shared" si="248"/>
        <v>🎯 Para subir de categoría, eje VENTAS / IMPACTO ABSOLUTO (H). Acción: metas semanales + activación comercial + seguimiento del asesor. ΔR aprox: 7,0</v>
      </c>
      <c r="AJ644" s="26">
        <f>_xlfn.LET(_xlpm.piso,AF644,_xlpm.corte,AE644,_xlpm.prog,IF(_xlpm.corte&lt;=_xlpm.piso,0,MAX(0,MIN(1,(U644-_xlpm.piso)/(_xlpm.corte-_xlpm.piso)))),_xlpm.orden,{"DIAMANTE";"PLATINO";"ORO";"PLATA";"BRONCE";"CERRADO"},_xlpm.act,IFERROR(MATCH(V644,_xlpm.orden,0),6),_xlpm.ant,IFERROR(MATCH(W644,_xlpm.orden,0),6),_xlpm.ajmov,IF(_xlpm.act&lt;_xlpm.ant,0.08,IF(_xlpm.act&gt;_xlpm.ant,-0.08,0)),_xlpm.ajcli,IF(T644&lt;0.95,-0.06,0),_xlpm.prob,MAX(0,MIN(1,_xlpm.prog+_xlpm.ajmov+_xlpm.ajcli)),IF(OR(V644="DIAMANTE",V644="CERRADO"),0,ROUND(_xlpm.prob,2)))</f>
        <v>0.28000000000000003</v>
      </c>
      <c r="AK644" t="str">
        <f t="shared" si="252"/>
        <v>Faltan 7,0 puntos base para subir a la siguiente categoría</v>
      </c>
      <c r="AL644" t="str">
        <f t="shared" si="253"/>
        <v>Margen de seguridad: 2,7 puntos</v>
      </c>
      <c r="AM644">
        <f t="shared" si="254"/>
        <v>0.56999999999999995</v>
      </c>
      <c r="AN644" t="str">
        <f t="shared" si="255"/>
        <v>PRIORIDAD MEDIA – seguimiento del asesor</v>
      </c>
      <c r="AO644">
        <f t="shared" si="256"/>
        <v>9.0686755101591174</v>
      </c>
      <c r="AP644">
        <f t="shared" si="257"/>
        <v>0.89121029432294741</v>
      </c>
      <c r="AQ644">
        <f t="shared" si="258"/>
        <v>0</v>
      </c>
      <c r="AR644">
        <f t="shared" si="259"/>
        <v>0.79999999999999893</v>
      </c>
      <c r="AS644">
        <f t="shared" si="260"/>
        <v>0</v>
      </c>
      <c r="AT644" t="str">
        <f t="shared" si="261"/>
        <v>VENTAS</v>
      </c>
      <c r="AU644">
        <f t="shared" si="262"/>
        <v>9.0686755101591174</v>
      </c>
      <c r="AV644" t="str">
        <f t="shared" si="263"/>
        <v>Mayor retorno probable: VENTAS (+9,1 puntos finales potenciales).</v>
      </c>
    </row>
    <row r="645" spans="1:48" x14ac:dyDescent="0.3">
      <c r="A645" s="5">
        <v>51054857</v>
      </c>
      <c r="B645" s="5" t="str">
        <f>IFERROR(VLOOKUP(A645,VENTAS!$A$2:$B$1194,2,0),"")</f>
        <v>LÓPEZ</v>
      </c>
      <c r="C645" s="5">
        <f>IFERROR(INDEX(VENTAS!$C$2:$E$1194,MATCH(A645,VENTAS!$A$2:$A$1194,0),MATCH(PARAMS_MODELO!$B$2,{"Q1","Q2","Q3"},0)),0)</f>
        <v>57155776.760000013</v>
      </c>
      <c r="D645" s="5">
        <f>IFERROR(INDEX(VENTAS!$F$2:$H$1194,MATCH(A645,VENTAS!$A$2:$A$1194,0),MATCH(PARAMS_MODELO!$B$2,{"Q1","Q2","Q3"},0)),0)</f>
        <v>63843481</v>
      </c>
      <c r="E645" s="8">
        <f t="shared" si="240"/>
        <v>0.11700836939163639</v>
      </c>
      <c r="F645" s="12">
        <f>IF(E645&lt;=PARAMS_MODELO!$B$15,0,IF(E645&gt;=PARAMS_MODELO!$B$17,100,100*MIN(1,(E645-PARAMS_MODELO!$B$15)/(PARAMS_MODELO!$B$16-PARAMS_MODELO!$B$15))))*PARAMS_MODELO!$B$7</f>
        <v>35</v>
      </c>
      <c r="G645" s="5">
        <f t="shared" si="241"/>
        <v>6687704.2399999872</v>
      </c>
      <c r="H645" s="5">
        <f>(PARAMS_MODELO!$B$20*(MAX(0,MIN(3,E645))/3)+PARAMS_MODELO!$B$21*(IFERROR(LN(1+MAX(0,G645))/LN(1+MAX(0,MAX($G$2:$G$1194))),0)))*100*PARAMS_MODELO!$B$8</f>
        <v>4.0935278468198026</v>
      </c>
      <c r="I645" s="8">
        <f>E645-PARAMS_MODELO!$B$5</f>
        <v>-6.0554465983890138E-2</v>
      </c>
      <c r="J645" s="5">
        <f>IF(I645&lt;=PARAMS_MODELO!$B$18,0,IF(I645&gt;=PARAMS_MODELO!$B$19,100,100*(I645-PARAMS_MODELO!$B$18)/(PARAMS_MODELO!$B$19-PARAMS_MODELO!$B$18)))*PARAMS_MODELO!$B$9</f>
        <v>0</v>
      </c>
      <c r="K645" s="5">
        <f>IFERROR(CHOOSE(MATCH(PARAMS_MODELO!$B$2,{"Q1","Q2","Q3"},0),LOTO!$D645,LOTO!$F645,LOTO!$H645),0)</f>
        <v>3005000</v>
      </c>
      <c r="L645" s="8">
        <f t="shared" si="242"/>
        <v>4.7068235518047646E-2</v>
      </c>
      <c r="M645" s="5">
        <f>MIN(100,IF(PARAMS_MODELO!$B$23=0,0,100*L645/PARAMS_MODELO!$B$23))*PARAMS_MODELO!$B$10</f>
        <v>14.120470655414293</v>
      </c>
      <c r="N645" s="5">
        <f>IFERROR(VLOOKUP(A645,COMPLIANCE!$A$2:$F$1996,6,0),100)</f>
        <v>99.85</v>
      </c>
      <c r="O645" s="5">
        <f>N645*PARAMS_MODELO!$B$11</f>
        <v>9.9849999999999994</v>
      </c>
      <c r="P645" s="5">
        <f>IFERROR(VLOOKUP(A645,DIGITAL!$A$2:$J$2000,7,0),100)</f>
        <v>25</v>
      </c>
      <c r="Q645" s="5">
        <f>IFERROR(P645,0)*PARAMS_MODELO!$B$12</f>
        <v>2.5</v>
      </c>
      <c r="R645">
        <f t="shared" si="243"/>
        <v>65.698998502234105</v>
      </c>
      <c r="S645" s="5" t="str">
        <f>IFERROR(VLOOKUP(A645,CLIENTE!$A$2:$N$2000,13,0),1)</f>
        <v>Malo</v>
      </c>
      <c r="T645" s="5">
        <f>IFERROR(VLOOKUP(A645,CLIENTE!$A$2:$N$2000,14,0),1)</f>
        <v>0.7</v>
      </c>
      <c r="U645" s="5">
        <f t="shared" si="244"/>
        <v>45.989298951563867</v>
      </c>
      <c r="V645" s="5" t="str">
        <f>IF(U645&gt;=MAX(_xlfn.PERCENTILE.INC($U$2:$U$1194,PARAMS_MODELO!$B$50),PARAMS_MODELO!$B$45),"DIAMANTE",IF(U645&gt;=MAX(_xlfn.PERCENTILE.INC($U$2:$U$1194,PARAMS_MODELO!$B$51),PARAMS_MODELO!$B$46),"PLATINO",IF(U645&gt;=MAX(_xlfn.PERCENTILE.INC($U$2:$U$1194,PARAMS_MODELO!$B$52),PARAMS_MODELO!$B$47),"ORO",IF(U645&gt;=MAX(_xlfn.PERCENTILE.INC($U$2:$U$1194,PARAMS_MODELO!$B$53),PARAMS_MODELO!$B$48),"PLATA",IF(U645&gt;=1,"BRONCE","CERRADO")))))</f>
        <v>PLATA</v>
      </c>
      <c r="W645" s="5" t="str" cm="1">
        <f t="array" ref="W645">_xlfn.XLOOKUP(1, (HIST_SCORE!$B:$B=PARAMS_MODELO!$B$4) * (HIST_SCORE!$C:$C=A645), HIST_SCORE!$E:$E, "No encontrado")</f>
        <v>PLATA</v>
      </c>
      <c r="X645" s="5" t="str">
        <f>_xlfn.LET(_xlpm.act,MATCH(V645,{"DIAMANTE";"PLATINO";"ORO";"PLATA";"BRONCE";"CERRADO"},0),_xlpm.ant,MATCH(W645,{"DIAMANTE";"PLATINO";"ORO";"PLATA";"BRONCE";"CERRADO"},0),IF(_xlpm.act&lt;_xlpm.ant,"Mejora ↑",IF(_xlpm.act&gt;_xlpm.ant,"Baja ↓","Estable →")))</f>
        <v>Estable →</v>
      </c>
      <c r="Y645" s="5">
        <f>IFERROR(U645-SUMIFS(HIST_SCORE!$D:$D,HIST_SCORE!$B:$B,PARAMS_MODELO!$B$4,HIST_SCORE!$C:$C,$A645),"")</f>
        <v>-11.39385975948467</v>
      </c>
      <c r="Z645" s="5" t="str">
        <f t="shared" si="245"/>
        <v>↓ Baja</v>
      </c>
      <c r="AA645" s="5">
        <f t="shared" si="246"/>
        <v>766</v>
      </c>
      <c r="AB645" s="5">
        <f>IFERROR(SUMIFS(HIST_SCORE!$F:$F,HIST_SCORE!$B:$B,PARAMS_MODELO!$B$4,HIST_SCORE!$C:$C,$A645),"")</f>
        <v>704</v>
      </c>
      <c r="AC645" s="5">
        <f t="shared" si="247"/>
        <v>-62</v>
      </c>
      <c r="AD645" t="str">
        <f t="shared" si="249"/>
        <v/>
      </c>
      <c r="AE6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645="CERRADO",1,IF(V645="BRONCE",_xlpm.cPl,IF(V645="PLATA",_xlpm.cO,IF(V645="ORO",_xlpm.cP,IF(V645="PLATINO",_xlpm.cD,999))))))</f>
        <v>63.199193273331495</v>
      </c>
      <c r="AF6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645="CERRADO",0,IF(V645="BRONCE",1,IF(V645="PLATA",_xlpm.cPl,IF(V645="ORO",_xlpm.cO,IF(V645="PLATINO",_xlpm.cP,_xlpm.cD))))))</f>
        <v>24.506573482968111</v>
      </c>
      <c r="AG645">
        <f t="shared" si="250"/>
        <v>24.585563316810891</v>
      </c>
      <c r="AH645" t="str">
        <f t="shared" si="251"/>
        <v>CLIENTE</v>
      </c>
      <c r="AI645" t="str">
        <f t="shared" si="248"/>
        <v>🎯 Para subir de categoría, la eje con mayor impacto probable es CLIENTE (coef T). Acción: reducir quejas, mejorar incógnito y empujar reseñas. ΔR aprox: 24,6</v>
      </c>
      <c r="AJ645" s="26">
        <f>_xlfn.LET(_xlpm.piso,AF645,_xlpm.corte,AE645,_xlpm.prog,IF(_xlpm.corte&lt;=_xlpm.piso,0,MAX(0,MIN(1,(U645-_xlpm.piso)/(_xlpm.corte-_xlpm.piso)))),_xlpm.orden,{"DIAMANTE";"PLATINO";"ORO";"PLATA";"BRONCE";"CERRADO"},_xlpm.act,IFERROR(MATCH(V645,_xlpm.orden,0),6),_xlpm.ant,IFERROR(MATCH(W645,_xlpm.orden,0),6),_xlpm.ajmov,IF(_xlpm.act&lt;_xlpm.ant,0.08,IF(_xlpm.act&gt;_xlpm.ant,-0.08,0)),_xlpm.ajcli,IF(T645&lt;0.95,-0.06,0),_xlpm.prob,MAX(0,MIN(1,_xlpm.prog+_xlpm.ajmov+_xlpm.ajcli)),IF(OR(V645="DIAMANTE",V645="CERRADO"),0,ROUND(_xlpm.prob,2)))</f>
        <v>0.5</v>
      </c>
      <c r="AK645" t="str">
        <f t="shared" si="252"/>
        <v>Faltan 24,6 puntos base para subir a la siguiente categoría</v>
      </c>
      <c r="AL645" t="str">
        <f t="shared" si="253"/>
        <v>Margen de seguridad: 21,5 puntos</v>
      </c>
      <c r="AM645">
        <f t="shared" si="254"/>
        <v>0.8</v>
      </c>
      <c r="AN645" t="str">
        <f t="shared" si="255"/>
        <v>PRIORIDAD ALTA – requiere intervención inmediata</v>
      </c>
      <c r="AO645">
        <f t="shared" si="256"/>
        <v>18.038328999933047</v>
      </c>
      <c r="AP645">
        <f t="shared" si="257"/>
        <v>0.61567054120999509</v>
      </c>
      <c r="AQ645">
        <f t="shared" si="258"/>
        <v>1.0500000000000398E-2</v>
      </c>
      <c r="AR645">
        <f t="shared" si="259"/>
        <v>5.25</v>
      </c>
      <c r="AS645">
        <f t="shared" si="260"/>
        <v>19.709699550670233</v>
      </c>
      <c r="AT645" t="str">
        <f t="shared" si="261"/>
        <v>CLIENTE</v>
      </c>
      <c r="AU645">
        <f t="shared" si="262"/>
        <v>19.709699550670233</v>
      </c>
      <c r="AV645" t="str">
        <f t="shared" si="263"/>
        <v>Mayor retorno probable: CLIENTE (+19,7 puntos finales potenciales).</v>
      </c>
    </row>
    <row r="646" spans="1:48" x14ac:dyDescent="0.3">
      <c r="A646" s="5">
        <v>51055926</v>
      </c>
      <c r="B646" s="5" t="str">
        <f>IFERROR(VLOOKUP(A646,VENTAS!$A$2:$B$1194,2,0),"")</f>
        <v>PUGH</v>
      </c>
      <c r="C646" s="5">
        <f>IFERROR(INDEX(VENTAS!$C$2:$E$1194,MATCH(A646,VENTAS!$A$2:$A$1194,0),MATCH(PARAMS_MODELO!$B$2,{"Q1","Q2","Q3"},0)),0)</f>
        <v>46201970.950000003</v>
      </c>
      <c r="D646" s="5">
        <f>IFERROR(INDEX(VENTAS!$F$2:$H$1194,MATCH(A646,VENTAS!$A$2:$A$1194,0),MATCH(PARAMS_MODELO!$B$2,{"Q1","Q2","Q3"},0)),0)</f>
        <v>63831195</v>
      </c>
      <c r="E646" s="8">
        <f t="shared" si="240"/>
        <v>0.38156865794921235</v>
      </c>
      <c r="F646" s="12">
        <f>IF(E646&lt;=PARAMS_MODELO!$B$15,0,IF(E646&gt;=PARAMS_MODELO!$B$17,100,100*MIN(1,(E646-PARAMS_MODELO!$B$15)/(PARAMS_MODELO!$B$16-PARAMS_MODELO!$B$15))))*PARAMS_MODELO!$B$7</f>
        <v>35</v>
      </c>
      <c r="G646" s="5">
        <f t="shared" si="241"/>
        <v>17629224.049999997</v>
      </c>
      <c r="H646" s="5">
        <f>(PARAMS_MODELO!$B$20*(MAX(0,MIN(3,E646))/3)+PARAMS_MODELO!$B$21*(IFERROR(LN(1+MAX(0,G646))/LN(1+MAX(0,MAX($G$2:$G$1194))),0)))*100*PARAMS_MODELO!$B$8</f>
        <v>5.2467033171107076</v>
      </c>
      <c r="I646" s="8">
        <f>E646-PARAMS_MODELO!$B$5</f>
        <v>0.20400582257368582</v>
      </c>
      <c r="J646" s="5">
        <f>IF(I646&lt;=PARAMS_MODELO!$B$18,0,IF(I646&gt;=PARAMS_MODELO!$B$19,100,100*(I646-PARAMS_MODELO!$B$18)/(PARAMS_MODELO!$B$19-PARAMS_MODELO!$B$18)))*PARAMS_MODELO!$B$9</f>
        <v>15</v>
      </c>
      <c r="K646" s="5">
        <f>IFERROR(CHOOSE(MATCH(PARAMS_MODELO!$B$2,{"Q1","Q2","Q3"},0),LOTO!$D646,LOTO!$F646,LOTO!$H646),0)</f>
        <v>2997500</v>
      </c>
      <c r="L646" s="8">
        <f t="shared" si="242"/>
        <v>4.695979763499649E-2</v>
      </c>
      <c r="M646" s="5">
        <f>MIN(100,IF(PARAMS_MODELO!$B$23=0,0,100*L646/PARAMS_MODELO!$B$23))*PARAMS_MODELO!$B$10</f>
        <v>14.087939290498944</v>
      </c>
      <c r="N646" s="5">
        <f>IFERROR(VLOOKUP(A646,COMPLIANCE!$A$2:$F$1996,6,0),100)</f>
        <v>100</v>
      </c>
      <c r="O646" s="5">
        <f>N646*PARAMS_MODELO!$B$11</f>
        <v>10</v>
      </c>
      <c r="P646" s="5">
        <f>IFERROR(VLOOKUP(A646,DIGITAL!$A$2:$J$2000,7,0),100)</f>
        <v>71</v>
      </c>
      <c r="Q646" s="5">
        <f>IFERROR(P646,0)*PARAMS_MODELO!$B$12</f>
        <v>7.1000000000000005</v>
      </c>
      <c r="R646">
        <f t="shared" si="243"/>
        <v>86.434642607609646</v>
      </c>
      <c r="S646" s="5" t="str">
        <f>IFERROR(VLOOKUP(A646,CLIENTE!$A$2:$N$2000,13,0),1)</f>
        <v>Regular</v>
      </c>
      <c r="T646" s="5">
        <f>IFERROR(VLOOKUP(A646,CLIENTE!$A$2:$N$2000,14,0),1)</f>
        <v>1</v>
      </c>
      <c r="U646" s="5">
        <f t="shared" si="244"/>
        <v>86.434642607609646</v>
      </c>
      <c r="V646" s="5" t="str">
        <f>IF(U646&gt;=MAX(_xlfn.PERCENTILE.INC($U$2:$U$1194,PARAMS_MODELO!$B$50),PARAMS_MODELO!$B$45),"DIAMANTE",IF(U646&gt;=MAX(_xlfn.PERCENTILE.INC($U$2:$U$1194,PARAMS_MODELO!$B$51),PARAMS_MODELO!$B$46),"PLATINO",IF(U646&gt;=MAX(_xlfn.PERCENTILE.INC($U$2:$U$1194,PARAMS_MODELO!$B$52),PARAMS_MODELO!$B$47),"ORO",IF(U646&gt;=MAX(_xlfn.PERCENTILE.INC($U$2:$U$1194,PARAMS_MODELO!$B$53),PARAMS_MODELO!$B$48),"PLATA",IF(U646&gt;=1,"BRONCE","CERRADO")))))</f>
        <v>ORO</v>
      </c>
      <c r="W646" s="5" t="str" cm="1">
        <f t="array" ref="W646">_xlfn.XLOOKUP(1, (HIST_SCORE!$B:$B=PARAMS_MODELO!$B$4) * (HIST_SCORE!$C:$C=A646), HIST_SCORE!$E:$E, "No encontrado")</f>
        <v>ORO</v>
      </c>
      <c r="X646" s="5" t="str">
        <f>_xlfn.LET(_xlpm.act,MATCH(V646,{"DIAMANTE";"PLATINO";"ORO";"PLATA";"BRONCE";"CERRADO"},0),_xlpm.ant,MATCH(W646,{"DIAMANTE";"PLATINO";"ORO";"PLATA";"BRONCE";"CERRADO"},0),IF(_xlpm.act&lt;_xlpm.ant,"Mejora ↑",IF(_xlpm.act&gt;_xlpm.ant,"Baja ↓","Estable →")))</f>
        <v>Estable →</v>
      </c>
      <c r="Y646" s="5">
        <f>IFERROR(U646-SUMIFS(HIST_SCORE!$D:$D,HIST_SCORE!$B:$B,PARAMS_MODELO!$B$4,HIST_SCORE!$C:$C,$A646),"")</f>
        <v>15.344859737748337</v>
      </c>
      <c r="Z646" s="5" t="str">
        <f t="shared" si="245"/>
        <v>↑ Mejora</v>
      </c>
      <c r="AA646" s="5">
        <f t="shared" si="246"/>
        <v>240</v>
      </c>
      <c r="AB646" s="5">
        <f>IFERROR(SUMIFS(HIST_SCORE!$F:$F,HIST_SCORE!$B:$B,PARAMS_MODELO!$B$4,HIST_SCORE!$C:$C,$A646),"")</f>
        <v>531</v>
      </c>
      <c r="AC646" s="5">
        <f t="shared" si="247"/>
        <v>291</v>
      </c>
      <c r="AD646" t="str">
        <f t="shared" si="249"/>
        <v/>
      </c>
      <c r="AE6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646="CERRADO",1,IF(V646="BRONCE",_xlpm.cPl,IF(V646="PLATA",_xlpm.cO,IF(V646="ORO",_xlpm.cP,IF(V646="PLATINO",_xlpm.cD,999))))))</f>
        <v>86.439123873763251</v>
      </c>
      <c r="AF6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646="CERRADO",0,IF(V646="BRONCE",1,IF(V646="PLATA",_xlpm.cPl,IF(V646="ORO",_xlpm.cO,IF(V646="PLATINO",_xlpm.cP,_xlpm.cD))))))</f>
        <v>63.199193273331495</v>
      </c>
      <c r="AG646">
        <f t="shared" si="250"/>
        <v>4.4812661536042242E-3</v>
      </c>
      <c r="AH646" t="str">
        <f t="shared" si="251"/>
        <v>VENTAS</v>
      </c>
      <c r="AI646" t="str">
        <f t="shared" si="248"/>
        <v>🎯 Para subir de categoría, eje VENTAS / IMPACTO ABSOLUTO (H). Acción: metas semanales + activación comercial + seguimiento del asesor. ΔR aprox: 0,0</v>
      </c>
      <c r="AJ646" s="26">
        <f>_xlfn.LET(_xlpm.piso,AF646,_xlpm.corte,AE646,_xlpm.prog,IF(_xlpm.corte&lt;=_xlpm.piso,0,MAX(0,MIN(1,(U646-_xlpm.piso)/(_xlpm.corte-_xlpm.piso)))),_xlpm.orden,{"DIAMANTE";"PLATINO";"ORO";"PLATA";"BRONCE";"CERRADO"},_xlpm.act,IFERROR(MATCH(V646,_xlpm.orden,0),6),_xlpm.ant,IFERROR(MATCH(W646,_xlpm.orden,0),6),_xlpm.ajmov,IF(_xlpm.act&lt;_xlpm.ant,0.08,IF(_xlpm.act&gt;_xlpm.ant,-0.08,0)),_xlpm.ajcli,IF(T646&lt;0.95,-0.06,0),_xlpm.prob,MAX(0,MIN(1,_xlpm.prog+_xlpm.ajmov+_xlpm.ajcli)),IF(OR(V646="DIAMANTE",V646="CERRADO"),0,ROUND(_xlpm.prob,2)))</f>
        <v>1</v>
      </c>
      <c r="AK646" t="str">
        <f t="shared" si="252"/>
        <v>Faltan 0,0 puntos base para subir a la siguiente categoría</v>
      </c>
      <c r="AL646" t="str">
        <f t="shared" si="253"/>
        <v>Margen de seguridad: 23,2 puntos</v>
      </c>
      <c r="AM646">
        <f t="shared" si="254"/>
        <v>0</v>
      </c>
      <c r="AN646" t="str">
        <f t="shared" si="255"/>
        <v>PRIORIDAD BAJA – control normal</v>
      </c>
      <c r="AO646">
        <f t="shared" si="256"/>
        <v>9.6158659581848767</v>
      </c>
      <c r="AP646">
        <f t="shared" si="257"/>
        <v>0.91206070950105556</v>
      </c>
      <c r="AQ646">
        <f t="shared" si="258"/>
        <v>0</v>
      </c>
      <c r="AR646">
        <f t="shared" si="259"/>
        <v>2.8999999999999995</v>
      </c>
      <c r="AS646">
        <f t="shared" si="260"/>
        <v>0</v>
      </c>
      <c r="AT646" t="str">
        <f t="shared" si="261"/>
        <v>VENTAS</v>
      </c>
      <c r="AU646">
        <f t="shared" si="262"/>
        <v>9.6158659581848767</v>
      </c>
      <c r="AV646" t="str">
        <f t="shared" si="263"/>
        <v>Mayor retorno probable: VENTAS (+9,6 puntos finales potenciales).</v>
      </c>
    </row>
    <row r="647" spans="1:48" x14ac:dyDescent="0.3">
      <c r="A647" s="5">
        <v>51021282</v>
      </c>
      <c r="B647" s="5" t="str">
        <f>IFERROR(VLOOKUP(A647,VENTAS!$A$2:$B$1194,2,0),"")</f>
        <v>PRADES</v>
      </c>
      <c r="C647" s="5">
        <f>IFERROR(INDEX(VENTAS!$C$2:$E$1194,MATCH(A647,VENTAS!$A$2:$A$1194,0),MATCH(PARAMS_MODELO!$B$2,{"Q1","Q2","Q3"},0)),0)</f>
        <v>84434891.459999993</v>
      </c>
      <c r="D647" s="5">
        <f>IFERROR(INDEX(VENTAS!$F$2:$H$1194,MATCH(A647,VENTAS!$A$2:$A$1194,0),MATCH(PARAMS_MODELO!$B$2,{"Q1","Q2","Q3"},0)),0)</f>
        <v>63696049</v>
      </c>
      <c r="E647" s="8">
        <f t="shared" si="240"/>
        <v>-0.24561934173652333</v>
      </c>
      <c r="F647" s="12">
        <f>IF(E647&lt;=PARAMS_MODELO!$B$15,0,IF(E647&gt;=PARAMS_MODELO!$B$17,100,100*MIN(1,(E647-PARAMS_MODELO!$B$15)/(PARAMS_MODELO!$B$16-PARAMS_MODELO!$B$15))))*PARAMS_MODELO!$B$7</f>
        <v>0</v>
      </c>
      <c r="G647" s="5">
        <f t="shared" si="241"/>
        <v>0</v>
      </c>
      <c r="H647" s="5">
        <f>(PARAMS_MODELO!$B$20*(MAX(0,MIN(3,E647))/3)+PARAMS_MODELO!$B$21*(IFERROR(LN(1+MAX(0,G647))/LN(1+MAX(0,MAX($G$2:$G$1194))),0)))*100*PARAMS_MODELO!$B$8</f>
        <v>0</v>
      </c>
      <c r="I647" s="8">
        <f>E647-PARAMS_MODELO!$B$5</f>
        <v>-0.42318217711204986</v>
      </c>
      <c r="J647" s="5">
        <f>IF(I647&lt;=PARAMS_MODELO!$B$18,0,IF(I647&gt;=PARAMS_MODELO!$B$19,100,100*(I647-PARAMS_MODELO!$B$18)/(PARAMS_MODELO!$B$19-PARAMS_MODELO!$B$18)))*PARAMS_MODELO!$B$9</f>
        <v>0</v>
      </c>
      <c r="K647" s="5">
        <f>IFERROR(CHOOSE(MATCH(PARAMS_MODELO!$B$2,{"Q1","Q2","Q3"},0),LOTO!$D647,LOTO!$F647,LOTO!$H647),0)</f>
        <v>2995000</v>
      </c>
      <c r="L647" s="8">
        <f t="shared" si="242"/>
        <v>4.7020184878343085E-2</v>
      </c>
      <c r="M647" s="5">
        <f>MIN(100,IF(PARAMS_MODELO!$B$23=0,0,100*L647/PARAMS_MODELO!$B$23))*PARAMS_MODELO!$B$10</f>
        <v>14.106055463502926</v>
      </c>
      <c r="N647" s="5">
        <f>IFERROR(VLOOKUP(A647,COMPLIANCE!$A$2:$F$1996,6,0),100)</f>
        <v>99.8</v>
      </c>
      <c r="O647" s="5">
        <f>N647*PARAMS_MODELO!$B$11</f>
        <v>9.98</v>
      </c>
      <c r="P647" s="5">
        <f>IFERROR(VLOOKUP(A647,DIGITAL!$A$2:$J$2000,7,0),100)</f>
        <v>92</v>
      </c>
      <c r="Q647" s="5">
        <f>IFERROR(P647,0)*PARAMS_MODELO!$B$12</f>
        <v>9.2000000000000011</v>
      </c>
      <c r="R647">
        <f t="shared" si="243"/>
        <v>33.286055463502926</v>
      </c>
      <c r="S647" s="5" t="str">
        <f>IFERROR(VLOOKUP(A647,CLIENTE!$A$2:$N$2000,13,0),1)</f>
        <v>Regular</v>
      </c>
      <c r="T647" s="5">
        <f>IFERROR(VLOOKUP(A647,CLIENTE!$A$2:$N$2000,14,0),1)</f>
        <v>1</v>
      </c>
      <c r="U647" s="5">
        <f t="shared" si="244"/>
        <v>33.286055463502926</v>
      </c>
      <c r="V647" s="5" t="str">
        <f>IF(U647&gt;=MAX(_xlfn.PERCENTILE.INC($U$2:$U$1194,PARAMS_MODELO!$B$50),PARAMS_MODELO!$B$45),"DIAMANTE",IF(U647&gt;=MAX(_xlfn.PERCENTILE.INC($U$2:$U$1194,PARAMS_MODELO!$B$51),PARAMS_MODELO!$B$46),"PLATINO",IF(U647&gt;=MAX(_xlfn.PERCENTILE.INC($U$2:$U$1194,PARAMS_MODELO!$B$52),PARAMS_MODELO!$B$47),"ORO",IF(U647&gt;=MAX(_xlfn.PERCENTILE.INC($U$2:$U$1194,PARAMS_MODELO!$B$53),PARAMS_MODELO!$B$48),"PLATA",IF(U647&gt;=1,"BRONCE","CERRADO")))))</f>
        <v>PLATA</v>
      </c>
      <c r="W647" s="5" t="str" cm="1">
        <f t="array" ref="W647">_xlfn.XLOOKUP(1, (HIST_SCORE!$B:$B=PARAMS_MODELO!$B$4) * (HIST_SCORE!$C:$C=A647), HIST_SCORE!$E:$E, "No encontrado")</f>
        <v>PLATA</v>
      </c>
      <c r="X647" s="5" t="str">
        <f>_xlfn.LET(_xlpm.act,MATCH(V647,{"DIAMANTE";"PLATINO";"ORO";"PLATA";"BRONCE";"CERRADO"},0),_xlpm.ant,MATCH(W647,{"DIAMANTE";"PLATINO";"ORO";"PLATA";"BRONCE";"CERRADO"},0),IF(_xlpm.act&lt;_xlpm.ant,"Mejora ↑",IF(_xlpm.act&gt;_xlpm.ant,"Baja ↓","Estable →")))</f>
        <v>Estable →</v>
      </c>
      <c r="Y647" s="5">
        <f>IFERROR(U647-SUMIFS(HIST_SCORE!$D:$D,HIST_SCORE!$B:$B,PARAMS_MODELO!$B$4,HIST_SCORE!$C:$C,$A647),"")</f>
        <v>-4.8996426299822815E-2</v>
      </c>
      <c r="Z647" s="5" t="str">
        <f t="shared" si="245"/>
        <v>→ Estable</v>
      </c>
      <c r="AA647" s="5">
        <f t="shared" si="246"/>
        <v>819</v>
      </c>
      <c r="AB647" s="5">
        <f>IFERROR(SUMIFS(HIST_SCORE!$F:$F,HIST_SCORE!$B:$B,PARAMS_MODELO!$B$4,HIST_SCORE!$C:$C,$A647),"")</f>
        <v>873</v>
      </c>
      <c r="AC647" s="5">
        <f t="shared" si="247"/>
        <v>54</v>
      </c>
      <c r="AD647" t="str">
        <f t="shared" si="249"/>
        <v/>
      </c>
      <c r="AE6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647="CERRADO",1,IF(V647="BRONCE",_xlpm.cPl,IF(V647="PLATA",_xlpm.cO,IF(V647="ORO",_xlpm.cP,IF(V647="PLATINO",_xlpm.cD,999))))))</f>
        <v>63.199193273331495</v>
      </c>
      <c r="AF6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647="CERRADO",0,IF(V647="BRONCE",1,IF(V647="PLATA",_xlpm.cPl,IF(V647="ORO",_xlpm.cO,IF(V647="PLATINO",_xlpm.cP,_xlpm.cD))))))</f>
        <v>24.506573482968111</v>
      </c>
      <c r="AG647">
        <f t="shared" si="250"/>
        <v>29.913137809828569</v>
      </c>
      <c r="AH647" t="str">
        <f t="shared" si="251"/>
        <v>VENTAS</v>
      </c>
      <c r="AI647" t="str">
        <f t="shared" si="248"/>
        <v>🎯 Para subir de categoría, eje VENTAS / CRECIMIENTO PERSONAL (F). Acción: metas semanales + activación comercial + seguimiento del asesor. ΔR aprox: 29,9</v>
      </c>
      <c r="AJ647" s="26">
        <f>_xlfn.LET(_xlpm.piso,AF647,_xlpm.corte,AE647,_xlpm.prog,IF(_xlpm.corte&lt;=_xlpm.piso,0,MAX(0,MIN(1,(U647-_xlpm.piso)/(_xlpm.corte-_xlpm.piso)))),_xlpm.orden,{"DIAMANTE";"PLATINO";"ORO";"PLATA";"BRONCE";"CERRADO"},_xlpm.act,IFERROR(MATCH(V647,_xlpm.orden,0),6),_xlpm.ant,IFERROR(MATCH(W647,_xlpm.orden,0),6),_xlpm.ajmov,IF(_xlpm.act&lt;_xlpm.ant,0.08,IF(_xlpm.act&gt;_xlpm.ant,-0.08,0)),_xlpm.ajcli,IF(T647&lt;0.95,-0.06,0),_xlpm.prob,MAX(0,MIN(1,_xlpm.prog+_xlpm.ajmov+_xlpm.ajcli)),IF(OR(V647="DIAMANTE",V647="CERRADO"),0,ROUND(_xlpm.prob,2)))</f>
        <v>0.23</v>
      </c>
      <c r="AK647" t="str">
        <f t="shared" si="252"/>
        <v>Faltan 29,9 puntos base para subir a la siguiente categoría</v>
      </c>
      <c r="AL647" t="str">
        <f t="shared" si="253"/>
        <v>Margen de seguridad: 8,8 puntos</v>
      </c>
      <c r="AM647">
        <f t="shared" si="254"/>
        <v>0.71</v>
      </c>
      <c r="AN647" t="str">
        <f t="shared" si="255"/>
        <v>PRIORIDAD ALTA – requiere intervención inmediata</v>
      </c>
      <c r="AO647">
        <f t="shared" si="256"/>
        <v>64.862569275295584</v>
      </c>
      <c r="AP647">
        <f t="shared" si="257"/>
        <v>0.89394453649707373</v>
      </c>
      <c r="AQ647">
        <f t="shared" si="258"/>
        <v>1.9999999999999574E-2</v>
      </c>
      <c r="AR647">
        <f t="shared" si="259"/>
        <v>0.79999999999999893</v>
      </c>
      <c r="AS647">
        <f t="shared" si="260"/>
        <v>0</v>
      </c>
      <c r="AT647" t="str">
        <f t="shared" si="261"/>
        <v>VENTAS</v>
      </c>
      <c r="AU647">
        <f t="shared" si="262"/>
        <v>64.862569275295584</v>
      </c>
      <c r="AV647" t="str">
        <f t="shared" si="263"/>
        <v>Mayor retorno probable: VENTAS (+64,9 puntos finales potenciales).</v>
      </c>
    </row>
    <row r="648" spans="1:48" x14ac:dyDescent="0.3">
      <c r="A648" s="5">
        <v>51031369</v>
      </c>
      <c r="B648" s="5" t="str">
        <f>IFERROR(VLOOKUP(A648,VENTAS!$A$2:$B$1194,2,0),"")</f>
        <v>BELUZZO</v>
      </c>
      <c r="C648" s="5">
        <f>IFERROR(INDEX(VENTAS!$C$2:$E$1194,MATCH(A648,VENTAS!$A$2:$A$1194,0),MATCH(PARAMS_MODELO!$B$2,{"Q1","Q2","Q3"},0)),0)</f>
        <v>43371035.630000003</v>
      </c>
      <c r="D648" s="5">
        <f>IFERROR(INDEX(VENTAS!$F$2:$H$1194,MATCH(A648,VENTAS!$A$2:$A$1194,0),MATCH(PARAMS_MODELO!$B$2,{"Q1","Q2","Q3"},0)),0)</f>
        <v>63647207</v>
      </c>
      <c r="E648" s="8">
        <f t="shared" si="240"/>
        <v>0.46750489296536069</v>
      </c>
      <c r="F648" s="12">
        <f>IF(E648&lt;=PARAMS_MODELO!$B$15,0,IF(E648&gt;=PARAMS_MODELO!$B$17,100,100*MIN(1,(E648-PARAMS_MODELO!$B$15)/(PARAMS_MODELO!$B$16-PARAMS_MODELO!$B$15))))*PARAMS_MODELO!$B$7</f>
        <v>35</v>
      </c>
      <c r="G648" s="5">
        <f t="shared" si="241"/>
        <v>20276171.369999997</v>
      </c>
      <c r="H648" s="5">
        <f>(PARAMS_MODELO!$B$20*(MAX(0,MIN(3,E648))/3)+PARAMS_MODELO!$B$21*(IFERROR(LN(1+MAX(0,G648))/LN(1+MAX(0,MAX($G$2:$G$1194))),0)))*100*PARAMS_MODELO!$B$8</f>
        <v>5.5802719294965319</v>
      </c>
      <c r="I648" s="8">
        <f>E648-PARAMS_MODELO!$B$5</f>
        <v>0.28994205758983416</v>
      </c>
      <c r="J648" s="5">
        <f>IF(I648&lt;=PARAMS_MODELO!$B$18,0,IF(I648&gt;=PARAMS_MODELO!$B$19,100,100*(I648-PARAMS_MODELO!$B$18)/(PARAMS_MODELO!$B$19-PARAMS_MODELO!$B$18)))*PARAMS_MODELO!$B$9</f>
        <v>15</v>
      </c>
      <c r="K648" s="5">
        <f>IFERROR(CHOOSE(MATCH(PARAMS_MODELO!$B$2,{"Q1","Q2","Q3"},0),LOTO!$D648,LOTO!$F648,LOTO!$H648),0)</f>
        <v>2992500</v>
      </c>
      <c r="L648" s="8">
        <f t="shared" si="242"/>
        <v>4.7016988506659842E-2</v>
      </c>
      <c r="M648" s="5">
        <f>MIN(100,IF(PARAMS_MODELO!$B$23=0,0,100*L648/PARAMS_MODELO!$B$23))*PARAMS_MODELO!$B$10</f>
        <v>14.105096551997953</v>
      </c>
      <c r="N648" s="5">
        <f>IFERROR(VLOOKUP(A648,COMPLIANCE!$A$2:$F$1996,6,0),100)</f>
        <v>100</v>
      </c>
      <c r="O648" s="5">
        <f>N648*PARAMS_MODELO!$B$11</f>
        <v>10</v>
      </c>
      <c r="P648" s="5">
        <f>IFERROR(VLOOKUP(A648,DIGITAL!$A$2:$J$2000,7,0),100)</f>
        <v>46</v>
      </c>
      <c r="Q648" s="5">
        <f>IFERROR(P648,0)*PARAMS_MODELO!$B$12</f>
        <v>4.6000000000000005</v>
      </c>
      <c r="R648">
        <f t="shared" si="243"/>
        <v>84.285368481494487</v>
      </c>
      <c r="S648" s="5" t="str">
        <f>IFERROR(VLOOKUP(A648,CLIENTE!$A$2:$N$2000,13,0),1)</f>
        <v>Regular</v>
      </c>
      <c r="T648" s="5">
        <f>IFERROR(VLOOKUP(A648,CLIENTE!$A$2:$N$2000,14,0),1)</f>
        <v>1</v>
      </c>
      <c r="U648" s="5">
        <f t="shared" si="244"/>
        <v>84.285368481494487</v>
      </c>
      <c r="V648" s="5" t="str">
        <f>IF(U648&gt;=MAX(_xlfn.PERCENTILE.INC($U$2:$U$1194,PARAMS_MODELO!$B$50),PARAMS_MODELO!$B$45),"DIAMANTE",IF(U648&gt;=MAX(_xlfn.PERCENTILE.INC($U$2:$U$1194,PARAMS_MODELO!$B$51),PARAMS_MODELO!$B$46),"PLATINO",IF(U648&gt;=MAX(_xlfn.PERCENTILE.INC($U$2:$U$1194,PARAMS_MODELO!$B$52),PARAMS_MODELO!$B$47),"ORO",IF(U648&gt;=MAX(_xlfn.PERCENTILE.INC($U$2:$U$1194,PARAMS_MODELO!$B$53),PARAMS_MODELO!$B$48),"PLATA",IF(U648&gt;=1,"BRONCE","CERRADO")))))</f>
        <v>ORO</v>
      </c>
      <c r="W648" s="5" t="str" cm="1">
        <f t="array" ref="W648">_xlfn.XLOOKUP(1, (HIST_SCORE!$B:$B=PARAMS_MODELO!$B$4) * (HIST_SCORE!$C:$C=A648), HIST_SCORE!$E:$E, "No encontrado")</f>
        <v>ORO</v>
      </c>
      <c r="X648" s="5" t="str">
        <f>_xlfn.LET(_xlpm.act,MATCH(V648,{"DIAMANTE";"PLATINO";"ORO";"PLATA";"BRONCE";"CERRADO"},0),_xlpm.ant,MATCH(W648,{"DIAMANTE";"PLATINO";"ORO";"PLATA";"BRONCE";"CERRADO"},0),IF(_xlpm.act&lt;_xlpm.ant,"Mejora ↑",IF(_xlpm.act&gt;_xlpm.ant,"Baja ↓","Estable →")))</f>
        <v>Estable →</v>
      </c>
      <c r="Y648" s="5">
        <f>IFERROR(U648-SUMIFS(HIST_SCORE!$D:$D,HIST_SCORE!$B:$B,PARAMS_MODELO!$B$4,HIST_SCORE!$C:$C,$A648),"")</f>
        <v>15.411388771096767</v>
      </c>
      <c r="Z648" s="5" t="str">
        <f t="shared" si="245"/>
        <v>↑ Mejora</v>
      </c>
      <c r="AA648" s="5">
        <f t="shared" si="246"/>
        <v>307</v>
      </c>
      <c r="AB648" s="5">
        <f>IFERROR(SUMIFS(HIST_SCORE!$F:$F,HIST_SCORE!$B:$B,PARAMS_MODELO!$B$4,HIST_SCORE!$C:$C,$A648),"")</f>
        <v>551</v>
      </c>
      <c r="AC648" s="5">
        <f t="shared" si="247"/>
        <v>244</v>
      </c>
      <c r="AD648" t="str">
        <f t="shared" si="249"/>
        <v/>
      </c>
      <c r="AE6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648="CERRADO",1,IF(V648="BRONCE",_xlpm.cPl,IF(V648="PLATA",_xlpm.cO,IF(V648="ORO",_xlpm.cP,IF(V648="PLATINO",_xlpm.cD,999))))))</f>
        <v>86.439123873763251</v>
      </c>
      <c r="AF6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648="CERRADO",0,IF(V648="BRONCE",1,IF(V648="PLATA",_xlpm.cPl,IF(V648="ORO",_xlpm.cO,IF(V648="PLATINO",_xlpm.cP,_xlpm.cD))))))</f>
        <v>63.199193273331495</v>
      </c>
      <c r="AG648">
        <f t="shared" si="250"/>
        <v>2.1537553922687636</v>
      </c>
      <c r="AH648" t="str">
        <f t="shared" si="251"/>
        <v>VENTAS</v>
      </c>
      <c r="AI648" t="str">
        <f t="shared" si="248"/>
        <v>🎯 Para subir de categoría, eje VENTAS / IMPACTO ABSOLUTO (H). Acción: metas semanales + activación comercial + seguimiento del asesor. ΔR aprox: 2,2</v>
      </c>
      <c r="AJ648" s="26">
        <f>_xlfn.LET(_xlpm.piso,AF648,_xlpm.corte,AE648,_xlpm.prog,IF(_xlpm.corte&lt;=_xlpm.piso,0,MAX(0,MIN(1,(U648-_xlpm.piso)/(_xlpm.corte-_xlpm.piso)))),_xlpm.orden,{"DIAMANTE";"PLATINO";"ORO";"PLATA";"BRONCE";"CERRADO"},_xlpm.act,IFERROR(MATCH(V648,_xlpm.orden,0),6),_xlpm.ant,IFERROR(MATCH(W648,_xlpm.orden,0),6),_xlpm.ajmov,IF(_xlpm.act&lt;_xlpm.ant,0.08,IF(_xlpm.act&gt;_xlpm.ant,-0.08,0)),_xlpm.ajcli,IF(T648&lt;0.95,-0.06,0),_xlpm.prob,MAX(0,MIN(1,_xlpm.prog+_xlpm.ajmov+_xlpm.ajcli)),IF(OR(V648="DIAMANTE",V648="CERRADO"),0,ROUND(_xlpm.prob,2)))</f>
        <v>0.91</v>
      </c>
      <c r="AK648" t="str">
        <f t="shared" si="252"/>
        <v>Faltan 2,2 puntos base para subir a la siguiente categoría</v>
      </c>
      <c r="AL648" t="str">
        <f t="shared" si="253"/>
        <v>Margen de seguridad: 21,1 puntos</v>
      </c>
      <c r="AM648">
        <f t="shared" si="254"/>
        <v>0.12</v>
      </c>
      <c r="AN648" t="str">
        <f t="shared" si="255"/>
        <v>PRIORIDAD BAJA – control normal</v>
      </c>
      <c r="AO648">
        <f t="shared" si="256"/>
        <v>9.2822973457990514</v>
      </c>
      <c r="AP648">
        <f t="shared" si="257"/>
        <v>0.89490344800204724</v>
      </c>
      <c r="AQ648">
        <f t="shared" si="258"/>
        <v>0</v>
      </c>
      <c r="AR648">
        <f t="shared" si="259"/>
        <v>5.3999999999999995</v>
      </c>
      <c r="AS648">
        <f t="shared" si="260"/>
        <v>0</v>
      </c>
      <c r="AT648" t="str">
        <f t="shared" si="261"/>
        <v>VENTAS</v>
      </c>
      <c r="AU648">
        <f t="shared" si="262"/>
        <v>9.2822973457990514</v>
      </c>
      <c r="AV648" t="str">
        <f t="shared" si="263"/>
        <v>Mayor retorno probable: VENTAS (+9,3 puntos finales potenciales).</v>
      </c>
    </row>
    <row r="649" spans="1:48" x14ac:dyDescent="0.3">
      <c r="A649" s="5">
        <v>51024621</v>
      </c>
      <c r="B649" s="5" t="str">
        <f>IFERROR(VLOOKUP(A649,VENTAS!$A$2:$B$1194,2,0),"")</f>
        <v>ARGUELLO</v>
      </c>
      <c r="C649" s="5">
        <f>IFERROR(INDEX(VENTAS!$C$2:$E$1194,MATCH(A649,VENTAS!$A$2:$A$1194,0),MATCH(PARAMS_MODELO!$B$2,{"Q1","Q2","Q3"},0)),0)</f>
        <v>61861525.799999997</v>
      </c>
      <c r="D649" s="5">
        <f>IFERROR(INDEX(VENTAS!$F$2:$H$1194,MATCH(A649,VENTAS!$A$2:$A$1194,0),MATCH(PARAMS_MODELO!$B$2,{"Q1","Q2","Q3"},0)),0)</f>
        <v>63549950</v>
      </c>
      <c r="E649" s="8">
        <f t="shared" si="240"/>
        <v>2.7293607426669864E-2</v>
      </c>
      <c r="F649" s="12">
        <f>IF(E649&lt;=PARAMS_MODELO!$B$15,0,IF(E649&gt;=PARAMS_MODELO!$B$17,100,100*MIN(1,(E649-PARAMS_MODELO!$B$15)/(PARAMS_MODELO!$B$16-PARAMS_MODELO!$B$15))))*PARAMS_MODELO!$B$7</f>
        <v>9.5527625993344518</v>
      </c>
      <c r="G649" s="5">
        <f t="shared" si="241"/>
        <v>1688424.200000003</v>
      </c>
      <c r="H649" s="5">
        <f>(PARAMS_MODELO!$B$20*(MAX(0,MIN(3,E649))/3)+PARAMS_MODELO!$B$21*(IFERROR(LN(1+MAX(0,G649))/LN(1+MAX(0,MAX($G$2:$G$1194))),0)))*100*PARAMS_MODELO!$B$8</f>
        <v>3.4568613308386253</v>
      </c>
      <c r="I649" s="8">
        <f>E649-PARAMS_MODELO!$B$5</f>
        <v>-0.15026922794885667</v>
      </c>
      <c r="J649" s="5">
        <f>IF(I649&lt;=PARAMS_MODELO!$B$18,0,IF(I649&gt;=PARAMS_MODELO!$B$19,100,100*(I649-PARAMS_MODELO!$B$18)/(PARAMS_MODELO!$B$19-PARAMS_MODELO!$B$18)))*PARAMS_MODELO!$B$9</f>
        <v>0</v>
      </c>
      <c r="K649" s="5">
        <f>IFERROR(CHOOSE(MATCH(PARAMS_MODELO!$B$2,{"Q1","Q2","Q3"},0),LOTO!$D649,LOTO!$F649,LOTO!$H649),0)</f>
        <v>2990000</v>
      </c>
      <c r="L649" s="8">
        <f t="shared" si="242"/>
        <v>4.7049604287650898E-2</v>
      </c>
      <c r="M649" s="5">
        <f>MIN(100,IF(PARAMS_MODELO!$B$23=0,0,100*L649/PARAMS_MODELO!$B$23))*PARAMS_MODELO!$B$10</f>
        <v>14.114881286295267</v>
      </c>
      <c r="N649" s="5">
        <f>IFERROR(VLOOKUP(A649,COMPLIANCE!$A$2:$F$1996,6,0),100)</f>
        <v>99.83</v>
      </c>
      <c r="O649" s="5">
        <f>N649*PARAMS_MODELO!$B$11</f>
        <v>9.9830000000000005</v>
      </c>
      <c r="P649" s="5">
        <f>IFERROR(VLOOKUP(A649,DIGITAL!$A$2:$J$2000,7,0),100)</f>
        <v>53</v>
      </c>
      <c r="Q649" s="5">
        <f>IFERROR(P649,0)*PARAMS_MODELO!$B$12</f>
        <v>5.3000000000000007</v>
      </c>
      <c r="R649">
        <f t="shared" si="243"/>
        <v>42.407505216468337</v>
      </c>
      <c r="S649" s="5" t="str">
        <f>IFERROR(VLOOKUP(A649,CLIENTE!$A$2:$N$2000,13,0),1)</f>
        <v>Malo</v>
      </c>
      <c r="T649" s="5">
        <f>IFERROR(VLOOKUP(A649,CLIENTE!$A$2:$N$2000,14,0),1)</f>
        <v>0.7</v>
      </c>
      <c r="U649" s="5">
        <f t="shared" si="244"/>
        <v>29.685253651527834</v>
      </c>
      <c r="V649" s="5" t="str">
        <f>IF(U649&gt;=MAX(_xlfn.PERCENTILE.INC($U$2:$U$1194,PARAMS_MODELO!$B$50),PARAMS_MODELO!$B$45),"DIAMANTE",IF(U649&gt;=MAX(_xlfn.PERCENTILE.INC($U$2:$U$1194,PARAMS_MODELO!$B$51),PARAMS_MODELO!$B$46),"PLATINO",IF(U649&gt;=MAX(_xlfn.PERCENTILE.INC($U$2:$U$1194,PARAMS_MODELO!$B$52),PARAMS_MODELO!$B$47),"ORO",IF(U649&gt;=MAX(_xlfn.PERCENTILE.INC($U$2:$U$1194,PARAMS_MODELO!$B$53),PARAMS_MODELO!$B$48),"PLATA",IF(U649&gt;=1,"BRONCE","CERRADO")))))</f>
        <v>PLATA</v>
      </c>
      <c r="W649" s="5" t="str" cm="1">
        <f t="array" ref="W649">_xlfn.XLOOKUP(1, (HIST_SCORE!$B:$B=PARAMS_MODELO!$B$4) * (HIST_SCORE!$C:$C=A649), HIST_SCORE!$E:$E, "No encontrado")</f>
        <v>PLATA</v>
      </c>
      <c r="X649" s="5" t="str">
        <f>_xlfn.LET(_xlpm.act,MATCH(V649,{"DIAMANTE";"PLATINO";"ORO";"PLATA";"BRONCE";"CERRADO"},0),_xlpm.ant,MATCH(W649,{"DIAMANTE";"PLATINO";"ORO";"PLATA";"BRONCE";"CERRADO"},0),IF(_xlpm.act&lt;_xlpm.ant,"Mejora ↑",IF(_xlpm.act&gt;_xlpm.ant,"Baja ↓","Estable →")))</f>
        <v>Estable →</v>
      </c>
      <c r="Y649" s="5">
        <f>IFERROR(U649-SUMIFS(HIST_SCORE!$D:$D,HIST_SCORE!$B:$B,PARAMS_MODELO!$B$4,HIST_SCORE!$C:$C,$A649),"")</f>
        <v>-27.996547610213053</v>
      </c>
      <c r="Z649" s="5" t="str">
        <f t="shared" si="245"/>
        <v>↓ Baja</v>
      </c>
      <c r="AA649" s="5">
        <f t="shared" si="246"/>
        <v>871</v>
      </c>
      <c r="AB649" s="5">
        <f>IFERROR(SUMIFS(HIST_SCORE!$F:$F,HIST_SCORE!$B:$B,PARAMS_MODELO!$B$4,HIST_SCORE!$C:$C,$A649),"")</f>
        <v>693</v>
      </c>
      <c r="AC649" s="5">
        <f t="shared" si="247"/>
        <v>-178</v>
      </c>
      <c r="AD649" t="str">
        <f t="shared" si="249"/>
        <v/>
      </c>
      <c r="AE6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649="CERRADO",1,IF(V649="BRONCE",_xlpm.cPl,IF(V649="PLATA",_xlpm.cO,IF(V649="ORO",_xlpm.cP,IF(V649="PLATINO",_xlpm.cD,999))))))</f>
        <v>63.199193273331495</v>
      </c>
      <c r="AF6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649="CERRADO",0,IF(V649="BRONCE",1,IF(V649="PLATA",_xlpm.cPl,IF(V649="ORO",_xlpm.cO,IF(V649="PLATINO",_xlpm.cP,_xlpm.cD))))))</f>
        <v>24.506573482968111</v>
      </c>
      <c r="AG649">
        <f t="shared" si="250"/>
        <v>47.877056602576658</v>
      </c>
      <c r="AH649" t="str">
        <f t="shared" si="251"/>
        <v>VENTAS</v>
      </c>
      <c r="AI649" t="str">
        <f t="shared" si="248"/>
        <v>🎯 Para subir de categoría, eje VENTAS / DIFERENCIAL vs LOTBA (J). Acción: metas semanales + activación comercial + seguimiento del asesor. ΔR aprox: 47,9</v>
      </c>
      <c r="AJ649" s="26">
        <f>_xlfn.LET(_xlpm.piso,AF649,_xlpm.corte,AE649,_xlpm.prog,IF(_xlpm.corte&lt;=_xlpm.piso,0,MAX(0,MIN(1,(U649-_xlpm.piso)/(_xlpm.corte-_xlpm.piso)))),_xlpm.orden,{"DIAMANTE";"PLATINO";"ORO";"PLATA";"BRONCE";"CERRADO"},_xlpm.act,IFERROR(MATCH(V649,_xlpm.orden,0),6),_xlpm.ant,IFERROR(MATCH(W649,_xlpm.orden,0),6),_xlpm.ajmov,IF(_xlpm.act&lt;_xlpm.ant,0.08,IF(_xlpm.act&gt;_xlpm.ant,-0.08,0)),_xlpm.ajcli,IF(T649&lt;0.95,-0.06,0),_xlpm.prob,MAX(0,MIN(1,_xlpm.prog+_xlpm.ajmov+_xlpm.ajcli)),IF(OR(V649="DIAMANTE",V649="CERRADO"),0,ROUND(_xlpm.prob,2)))</f>
        <v>7.0000000000000007E-2</v>
      </c>
      <c r="AK649" t="str">
        <f t="shared" si="252"/>
        <v>Faltan 47,9 puntos base para subir a la siguiente categoría</v>
      </c>
      <c r="AL649" t="str">
        <f t="shared" si="253"/>
        <v>Margen de seguridad: 5,2 puntos</v>
      </c>
      <c r="AM649">
        <f t="shared" si="254"/>
        <v>0.97</v>
      </c>
      <c r="AN649" t="str">
        <f t="shared" si="255"/>
        <v>PRIORIDAD ALTA – requiere intervención inmediata</v>
      </c>
      <c r="AO649">
        <f t="shared" si="256"/>
        <v>36.29706174158575</v>
      </c>
      <c r="AP649">
        <f t="shared" si="257"/>
        <v>0.61958309959331304</v>
      </c>
      <c r="AQ649">
        <f t="shared" si="258"/>
        <v>1.1899999999999621E-2</v>
      </c>
      <c r="AR649">
        <f t="shared" si="259"/>
        <v>3.2899999999999991</v>
      </c>
      <c r="AS649">
        <f t="shared" si="260"/>
        <v>12.722251564940503</v>
      </c>
      <c r="AT649" t="str">
        <f t="shared" si="261"/>
        <v>VENTAS</v>
      </c>
      <c r="AU649">
        <f t="shared" si="262"/>
        <v>36.29706174158575</v>
      </c>
      <c r="AV649" t="str">
        <f t="shared" si="263"/>
        <v>Mayor retorno probable: VENTAS (+36,3 puntos finales potenciales).</v>
      </c>
    </row>
    <row r="650" spans="1:48" x14ac:dyDescent="0.3">
      <c r="A650" s="5">
        <v>51032284</v>
      </c>
      <c r="B650" s="5" t="str">
        <f>IFERROR(VLOOKUP(A650,VENTAS!$A$2:$B$1194,2,0),"")</f>
        <v>NELLI</v>
      </c>
      <c r="C650" s="5">
        <f>IFERROR(INDEX(VENTAS!$C$2:$E$1194,MATCH(A650,VENTAS!$A$2:$A$1194,0),MATCH(PARAMS_MODELO!$B$2,{"Q1","Q2","Q3"},0)),0)</f>
        <v>56372121.520000003</v>
      </c>
      <c r="D650" s="5">
        <f>IFERROR(INDEX(VENTAS!$F$2:$H$1194,MATCH(A650,VENTAS!$A$2:$A$1194,0),MATCH(PARAMS_MODELO!$B$2,{"Q1","Q2","Q3"},0)),0)</f>
        <v>63514108</v>
      </c>
      <c r="E650" s="8">
        <f t="shared" si="240"/>
        <v>0.126693590509382</v>
      </c>
      <c r="F650" s="12">
        <f>IF(E650&lt;=PARAMS_MODELO!$B$15,0,IF(E650&gt;=PARAMS_MODELO!$B$17,100,100*MIN(1,(E650-PARAMS_MODELO!$B$15)/(PARAMS_MODELO!$B$16-PARAMS_MODELO!$B$15))))*PARAMS_MODELO!$B$7</f>
        <v>35</v>
      </c>
      <c r="G650" s="5">
        <f t="shared" si="241"/>
        <v>7141986.4799999967</v>
      </c>
      <c r="H650" s="5">
        <f>(PARAMS_MODELO!$B$20*(MAX(0,MIN(3,E650))/3)+PARAMS_MODELO!$B$21*(IFERROR(LN(1+MAX(0,G650))/LN(1+MAX(0,MAX($G$2:$G$1194))),0)))*100*PARAMS_MODELO!$B$8</f>
        <v>4.1428318752204136</v>
      </c>
      <c r="I650" s="8">
        <f>E650-PARAMS_MODELO!$B$5</f>
        <v>-5.0869244866144525E-2</v>
      </c>
      <c r="J650" s="5">
        <f>IF(I650&lt;=PARAMS_MODELO!$B$18,0,IF(I650&gt;=PARAMS_MODELO!$B$19,100,100*(I650-PARAMS_MODELO!$B$18)/(PARAMS_MODELO!$B$19-PARAMS_MODELO!$B$18)))*PARAMS_MODELO!$B$9</f>
        <v>0</v>
      </c>
      <c r="K650" s="5">
        <f>IFERROR(CHOOSE(MATCH(PARAMS_MODELO!$B$2,{"Q1","Q2","Q3"},0),LOTO!$D650,LOTO!$F650,LOTO!$H650),0)</f>
        <v>2990000</v>
      </c>
      <c r="L650" s="8">
        <f t="shared" si="242"/>
        <v>4.7076155111869002E-2</v>
      </c>
      <c r="M650" s="5">
        <f>MIN(100,IF(PARAMS_MODELO!$B$23=0,0,100*L650/PARAMS_MODELO!$B$23))*PARAMS_MODELO!$B$10</f>
        <v>14.122846533560699</v>
      </c>
      <c r="N650" s="5">
        <f>IFERROR(VLOOKUP(A650,COMPLIANCE!$A$2:$F$1996,6,0),100)</f>
        <v>100</v>
      </c>
      <c r="O650" s="5">
        <f>N650*PARAMS_MODELO!$B$11</f>
        <v>10</v>
      </c>
      <c r="P650" s="5">
        <f>IFERROR(VLOOKUP(A650,DIGITAL!$A$2:$J$2000,7,0),100)</f>
        <v>93</v>
      </c>
      <c r="Q650" s="5">
        <f>IFERROR(P650,0)*PARAMS_MODELO!$B$12</f>
        <v>9.3000000000000007</v>
      </c>
      <c r="R650">
        <f t="shared" si="243"/>
        <v>72.56567840878111</v>
      </c>
      <c r="S650" s="5" t="str">
        <f>IFERROR(VLOOKUP(A650,CLIENTE!$A$2:$N$2000,13,0),1)</f>
        <v>Regular</v>
      </c>
      <c r="T650" s="5">
        <f>IFERROR(VLOOKUP(A650,CLIENTE!$A$2:$N$2000,14,0),1)</f>
        <v>1</v>
      </c>
      <c r="U650" s="5">
        <f t="shared" si="244"/>
        <v>72.56567840878111</v>
      </c>
      <c r="V650" s="5" t="str">
        <f>IF(U650&gt;=MAX(_xlfn.PERCENTILE.INC($U$2:$U$1194,PARAMS_MODELO!$B$50),PARAMS_MODELO!$B$45),"DIAMANTE",IF(U650&gt;=MAX(_xlfn.PERCENTILE.INC($U$2:$U$1194,PARAMS_MODELO!$B$51),PARAMS_MODELO!$B$46),"PLATINO",IF(U650&gt;=MAX(_xlfn.PERCENTILE.INC($U$2:$U$1194,PARAMS_MODELO!$B$52),PARAMS_MODELO!$B$47),"ORO",IF(U650&gt;=MAX(_xlfn.PERCENTILE.INC($U$2:$U$1194,PARAMS_MODELO!$B$53),PARAMS_MODELO!$B$48),"PLATA",IF(U650&gt;=1,"BRONCE","CERRADO")))))</f>
        <v>ORO</v>
      </c>
      <c r="W650" s="5" t="str" cm="1">
        <f t="array" ref="W650">_xlfn.XLOOKUP(1, (HIST_SCORE!$B:$B=PARAMS_MODELO!$B$4) * (HIST_SCORE!$C:$C=A650), HIST_SCORE!$E:$E, "No encontrado")</f>
        <v>ORO</v>
      </c>
      <c r="X650" s="5" t="str">
        <f>_xlfn.LET(_xlpm.act,MATCH(V650,{"DIAMANTE";"PLATINO";"ORO";"PLATA";"BRONCE";"CERRADO"},0),_xlpm.ant,MATCH(W650,{"DIAMANTE";"PLATINO";"ORO";"PLATA";"BRONCE";"CERRADO"},0),IF(_xlpm.act&lt;_xlpm.ant,"Mejora ↑",IF(_xlpm.act&gt;_xlpm.ant,"Baja ↓","Estable →")))</f>
        <v>Estable →</v>
      </c>
      <c r="Y650" s="5">
        <f>IFERROR(U650-SUMIFS(HIST_SCORE!$D:$D,HIST_SCORE!$B:$B,PARAMS_MODELO!$B$4,HIST_SCORE!$C:$C,$A650),"")</f>
        <v>-4.5574675603050423</v>
      </c>
      <c r="Z650" s="5" t="str">
        <f t="shared" si="245"/>
        <v>→ Estable</v>
      </c>
      <c r="AA650" s="5">
        <f t="shared" si="246"/>
        <v>496</v>
      </c>
      <c r="AB650" s="5">
        <f>IFERROR(SUMIFS(HIST_SCORE!$F:$F,HIST_SCORE!$B:$B,PARAMS_MODELO!$B$4,HIST_SCORE!$C:$C,$A650),"")</f>
        <v>467</v>
      </c>
      <c r="AC650" s="5">
        <f t="shared" si="247"/>
        <v>-29</v>
      </c>
      <c r="AD650" t="str">
        <f t="shared" si="249"/>
        <v>Sostener base y reforzar mix</v>
      </c>
      <c r="AE6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650="CERRADO",1,IF(V650="BRONCE",_xlpm.cPl,IF(V650="PLATA",_xlpm.cO,IF(V650="ORO",_xlpm.cP,IF(V650="PLATINO",_xlpm.cD,999))))))</f>
        <v>86.439123873763251</v>
      </c>
      <c r="AF6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650="CERRADO",0,IF(V650="BRONCE",1,IF(V650="PLATA",_xlpm.cPl,IF(V650="ORO",_xlpm.cO,IF(V650="PLATINO",_xlpm.cP,_xlpm.cD))))))</f>
        <v>63.199193273331495</v>
      </c>
      <c r="AG650">
        <f t="shared" si="250"/>
        <v>13.87344546498214</v>
      </c>
      <c r="AH650" t="str">
        <f t="shared" si="251"/>
        <v>VENTAS</v>
      </c>
      <c r="AI650" t="str">
        <f t="shared" si="248"/>
        <v>🎯 Para subir de categoría, eje VENTAS / DIFERENCIAL vs LOTBA (J). Acción: metas semanales + activación comercial + seguimiento del asesor. ΔR aprox: 13,9</v>
      </c>
      <c r="AJ650" s="26">
        <f>_xlfn.LET(_xlpm.piso,AF650,_xlpm.corte,AE650,_xlpm.prog,IF(_xlpm.corte&lt;=_xlpm.piso,0,MAX(0,MIN(1,(U650-_xlpm.piso)/(_xlpm.corte-_xlpm.piso)))),_xlpm.orden,{"DIAMANTE";"PLATINO";"ORO";"PLATA";"BRONCE";"CERRADO"},_xlpm.act,IFERROR(MATCH(V650,_xlpm.orden,0),6),_xlpm.ant,IFERROR(MATCH(W650,_xlpm.orden,0),6),_xlpm.ajmov,IF(_xlpm.act&lt;_xlpm.ant,0.08,IF(_xlpm.act&gt;_xlpm.ant,-0.08,0)),_xlpm.ajcli,IF(T650&lt;0.95,-0.06,0),_xlpm.prob,MAX(0,MIN(1,_xlpm.prog+_xlpm.ajmov+_xlpm.ajcli)),IF(OR(V650="DIAMANTE",V650="CERRADO"),0,ROUND(_xlpm.prob,2)))</f>
        <v>0.4</v>
      </c>
      <c r="AK650" t="str">
        <f t="shared" si="252"/>
        <v>Faltan 13,9 puntos base para subir a la siguiente categoría</v>
      </c>
      <c r="AL650" t="str">
        <f t="shared" si="253"/>
        <v>Margen de seguridad: 9,4 puntos</v>
      </c>
      <c r="AM650">
        <f t="shared" si="254"/>
        <v>0.64</v>
      </c>
      <c r="AN650" t="str">
        <f t="shared" si="255"/>
        <v>PRIORIDAD MEDIA – seguimiento del asesor</v>
      </c>
      <c r="AO650">
        <f t="shared" si="256"/>
        <v>25.719737400075168</v>
      </c>
      <c r="AP650">
        <f t="shared" si="257"/>
        <v>0.87715346643930125</v>
      </c>
      <c r="AQ650">
        <f t="shared" si="258"/>
        <v>0</v>
      </c>
      <c r="AR650">
        <f t="shared" si="259"/>
        <v>0.69999999999999929</v>
      </c>
      <c r="AS650">
        <f t="shared" si="260"/>
        <v>0</v>
      </c>
      <c r="AT650" t="str">
        <f t="shared" si="261"/>
        <v>VENTAS</v>
      </c>
      <c r="AU650">
        <f t="shared" si="262"/>
        <v>25.719737400075168</v>
      </c>
      <c r="AV650" t="str">
        <f t="shared" si="263"/>
        <v>Mayor retorno probable: VENTAS (+25,7 puntos finales potenciales).</v>
      </c>
    </row>
    <row r="651" spans="1:48" x14ac:dyDescent="0.3">
      <c r="A651" s="5">
        <v>51018966</v>
      </c>
      <c r="B651" s="5" t="str">
        <f>IFERROR(VLOOKUP(A651,VENTAS!$A$2:$B$1194,2,0),"")</f>
        <v>CICHETTO</v>
      </c>
      <c r="C651" s="5">
        <f>IFERROR(INDEX(VENTAS!$C$2:$E$1194,MATCH(A651,VENTAS!$A$2:$A$1194,0),MATCH(PARAMS_MODELO!$B$2,{"Q1","Q2","Q3"},0)),0)</f>
        <v>43187163.460000001</v>
      </c>
      <c r="D651" s="5">
        <f>IFERROR(INDEX(VENTAS!$F$2:$H$1194,MATCH(A651,VENTAS!$A$2:$A$1194,0),MATCH(PARAMS_MODELO!$B$2,{"Q1","Q2","Q3"},0)),0)</f>
        <v>63187649</v>
      </c>
      <c r="E651" s="8">
        <f t="shared" si="240"/>
        <v>0.46311181234499155</v>
      </c>
      <c r="F651" s="12">
        <f>IF(E651&lt;=PARAMS_MODELO!$B$15,0,IF(E651&gt;=PARAMS_MODELO!$B$17,100,100*MIN(1,(E651-PARAMS_MODELO!$B$15)/(PARAMS_MODELO!$B$16-PARAMS_MODELO!$B$15))))*PARAMS_MODELO!$B$7</f>
        <v>35</v>
      </c>
      <c r="G651" s="5">
        <f t="shared" si="241"/>
        <v>20000485.539999999</v>
      </c>
      <c r="H651" s="5">
        <f>(PARAMS_MODELO!$B$20*(MAX(0,MIN(3,E651))/3)+PARAMS_MODELO!$B$21*(IFERROR(LN(1+MAX(0,G651))/LN(1+MAX(0,MAX($G$2:$G$1194))),0)))*100*PARAMS_MODELO!$B$8</f>
        <v>5.5616870620463432</v>
      </c>
      <c r="I651" s="8">
        <f>E651-PARAMS_MODELO!$B$5</f>
        <v>0.28554897696946502</v>
      </c>
      <c r="J651" s="5">
        <f>IF(I651&lt;=PARAMS_MODELO!$B$18,0,IF(I651&gt;=PARAMS_MODELO!$B$19,100,100*(I651-PARAMS_MODELO!$B$18)/(PARAMS_MODELO!$B$19-PARAMS_MODELO!$B$18)))*PARAMS_MODELO!$B$9</f>
        <v>15</v>
      </c>
      <c r="K651" s="5">
        <f>IFERROR(CHOOSE(MATCH(PARAMS_MODELO!$B$2,{"Q1","Q2","Q3"},0),LOTO!$D651,LOTO!$F651,LOTO!$H651),0)</f>
        <v>2977500</v>
      </c>
      <c r="L651" s="8">
        <f t="shared" si="242"/>
        <v>4.7121550605562175E-2</v>
      </c>
      <c r="M651" s="5">
        <f>MIN(100,IF(PARAMS_MODELO!$B$23=0,0,100*L651/PARAMS_MODELO!$B$23))*PARAMS_MODELO!$B$10</f>
        <v>14.136465181668653</v>
      </c>
      <c r="N651" s="5">
        <f>IFERROR(VLOOKUP(A651,COMPLIANCE!$A$2:$F$1996,6,0),100)</f>
        <v>100</v>
      </c>
      <c r="O651" s="5">
        <f>N651*PARAMS_MODELO!$B$11</f>
        <v>10</v>
      </c>
      <c r="P651" s="5">
        <f>IFERROR(VLOOKUP(A651,DIGITAL!$A$2:$J$2000,7,0),100)</f>
        <v>77</v>
      </c>
      <c r="Q651" s="5">
        <f>IFERROR(P651,0)*PARAMS_MODELO!$B$12</f>
        <v>7.7</v>
      </c>
      <c r="R651">
        <f t="shared" si="243"/>
        <v>87.398152243715003</v>
      </c>
      <c r="S651" s="5" t="str">
        <f>IFERROR(VLOOKUP(A651,CLIENTE!$A$2:$N$2000,13,0),1)</f>
        <v>Regular</v>
      </c>
      <c r="T651" s="5">
        <f>IFERROR(VLOOKUP(A651,CLIENTE!$A$2:$N$2000,14,0),1)</f>
        <v>1</v>
      </c>
      <c r="U651" s="5">
        <f t="shared" si="244"/>
        <v>87.398152243715003</v>
      </c>
      <c r="V651" s="5" t="str">
        <f>IF(U651&gt;=MAX(_xlfn.PERCENTILE.INC($U$2:$U$1194,PARAMS_MODELO!$B$50),PARAMS_MODELO!$B$45),"DIAMANTE",IF(U651&gt;=MAX(_xlfn.PERCENTILE.INC($U$2:$U$1194,PARAMS_MODELO!$B$51),PARAMS_MODELO!$B$46),"PLATINO",IF(U651&gt;=MAX(_xlfn.PERCENTILE.INC($U$2:$U$1194,PARAMS_MODELO!$B$52),PARAMS_MODELO!$B$47),"ORO",IF(U651&gt;=MAX(_xlfn.PERCENTILE.INC($U$2:$U$1194,PARAMS_MODELO!$B$53),PARAMS_MODELO!$B$48),"PLATA",IF(U651&gt;=1,"BRONCE","CERRADO")))))</f>
        <v>PLATINO</v>
      </c>
      <c r="W651" s="5" t="str" cm="1">
        <f t="array" ref="W651">_xlfn.XLOOKUP(1, (HIST_SCORE!$B:$B=PARAMS_MODELO!$B$4) * (HIST_SCORE!$C:$C=A651), HIST_SCORE!$E:$E, "No encontrado")</f>
        <v>PLATINO</v>
      </c>
      <c r="X651" s="5" t="str">
        <f>_xlfn.LET(_xlpm.act,MATCH(V651,{"DIAMANTE";"PLATINO";"ORO";"PLATA";"BRONCE";"CERRADO"},0),_xlpm.ant,MATCH(W651,{"DIAMANTE";"PLATINO";"ORO";"PLATA";"BRONCE";"CERRADO"},0),IF(_xlpm.act&lt;_xlpm.ant,"Mejora ↑",IF(_xlpm.act&gt;_xlpm.ant,"Baja ↓","Estable →")))</f>
        <v>Estable →</v>
      </c>
      <c r="Y651" s="5">
        <f>IFERROR(U651-SUMIFS(HIST_SCORE!$D:$D,HIST_SCORE!$B:$B,PARAMS_MODELO!$B$4,HIST_SCORE!$C:$C,$A651),"")</f>
        <v>0.5324487435623837</v>
      </c>
      <c r="Z651" s="5" t="str">
        <f t="shared" si="245"/>
        <v>→ Estable</v>
      </c>
      <c r="AA651" s="5">
        <f t="shared" si="246"/>
        <v>215</v>
      </c>
      <c r="AB651" s="5">
        <f>IFERROR(SUMIFS(HIST_SCORE!$F:$F,HIST_SCORE!$B:$B,PARAMS_MODELO!$B$4,HIST_SCORE!$C:$C,$A651),"")</f>
        <v>202</v>
      </c>
      <c r="AC651" s="5">
        <f t="shared" si="247"/>
        <v>-13</v>
      </c>
      <c r="AD651" t="str">
        <f t="shared" si="249"/>
        <v/>
      </c>
      <c r="AE6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651="CERRADO",1,IF(V651="BRONCE",_xlpm.cPl,IF(V651="PLATA",_xlpm.cO,IF(V651="ORO",_xlpm.cP,IF(V651="PLATINO",_xlpm.cD,999))))))</f>
        <v>96.054919694466676</v>
      </c>
      <c r="AF6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651="CERRADO",0,IF(V651="BRONCE",1,IF(V651="PLATA",_xlpm.cPl,IF(V651="ORO",_xlpm.cO,IF(V651="PLATINO",_xlpm.cP,_xlpm.cD))))))</f>
        <v>86.439123873763251</v>
      </c>
      <c r="AG651">
        <f t="shared" si="250"/>
        <v>8.6567674507516728</v>
      </c>
      <c r="AH651" t="str">
        <f t="shared" si="251"/>
        <v>VENTAS</v>
      </c>
      <c r="AI651" t="str">
        <f t="shared" si="248"/>
        <v>🎯 Para subir de categoría, eje VENTAS / IMPACTO ABSOLUTO (H). Acción: metas semanales + activación comercial + seguimiento del asesor. ΔR aprox: 8,7</v>
      </c>
      <c r="AJ651" s="26">
        <f>_xlfn.LET(_xlpm.piso,AF651,_xlpm.corte,AE651,_xlpm.prog,IF(_xlpm.corte&lt;=_xlpm.piso,0,MAX(0,MIN(1,(U651-_xlpm.piso)/(_xlpm.corte-_xlpm.piso)))),_xlpm.orden,{"DIAMANTE";"PLATINO";"ORO";"PLATA";"BRONCE";"CERRADO"},_xlpm.act,IFERROR(MATCH(V651,_xlpm.orden,0),6),_xlpm.ant,IFERROR(MATCH(W651,_xlpm.orden,0),6),_xlpm.ajmov,IF(_xlpm.act&lt;_xlpm.ant,0.08,IF(_xlpm.act&gt;_xlpm.ant,-0.08,0)),_xlpm.ajcli,IF(T651&lt;0.95,-0.06,0),_xlpm.prob,MAX(0,MIN(1,_xlpm.prog+_xlpm.ajmov+_xlpm.ajcli)),IF(OR(V651="DIAMANTE",V651="CERRADO"),0,ROUND(_xlpm.prob,2)))</f>
        <v>0.1</v>
      </c>
      <c r="AK651" t="str">
        <f t="shared" si="252"/>
        <v>Faltan 8,7 puntos base para subir a la siguiente categoría</v>
      </c>
      <c r="AL651" t="str">
        <f t="shared" si="253"/>
        <v>Margen de seguridad: 1,0 puntos</v>
      </c>
      <c r="AM651">
        <f t="shared" si="254"/>
        <v>0.71</v>
      </c>
      <c r="AN651" t="str">
        <f t="shared" si="255"/>
        <v>PRIORIDAD ALTA – requiere intervención inmediata</v>
      </c>
      <c r="AO651">
        <f t="shared" si="256"/>
        <v>9.3008822132492384</v>
      </c>
      <c r="AP651">
        <f t="shared" si="257"/>
        <v>0.86353481833134715</v>
      </c>
      <c r="AQ651">
        <f t="shared" si="258"/>
        <v>0</v>
      </c>
      <c r="AR651">
        <f t="shared" si="259"/>
        <v>2.2999999999999998</v>
      </c>
      <c r="AS651">
        <f t="shared" si="260"/>
        <v>0</v>
      </c>
      <c r="AT651" t="str">
        <f t="shared" si="261"/>
        <v>VENTAS</v>
      </c>
      <c r="AU651">
        <f t="shared" si="262"/>
        <v>9.3008822132492384</v>
      </c>
      <c r="AV651" t="str">
        <f t="shared" si="263"/>
        <v>Mayor retorno probable: VENTAS (+9,3 puntos finales potenciales).</v>
      </c>
    </row>
    <row r="652" spans="1:48" x14ac:dyDescent="0.3">
      <c r="A652" s="5">
        <v>51012623</v>
      </c>
      <c r="B652" s="5" t="str">
        <f>IFERROR(VLOOKUP(A652,VENTAS!$A$2:$B$1194,2,0),"")</f>
        <v>METTLER</v>
      </c>
      <c r="C652" s="5">
        <f>IFERROR(INDEX(VENTAS!$C$2:$E$1194,MATCH(A652,VENTAS!$A$2:$A$1194,0),MATCH(PARAMS_MODELO!$B$2,{"Q1","Q2","Q3"},0)),0)</f>
        <v>70791171.629999995</v>
      </c>
      <c r="D652" s="5">
        <f>IFERROR(INDEX(VENTAS!$F$2:$H$1194,MATCH(A652,VENTAS!$A$2:$A$1194,0),MATCH(PARAMS_MODELO!$B$2,{"Q1","Q2","Q3"},0)),0)</f>
        <v>63099103</v>
      </c>
      <c r="E652" s="8">
        <f t="shared" si="240"/>
        <v>-0.10865858627405789</v>
      </c>
      <c r="F652" s="12">
        <f>IF(E652&lt;=PARAMS_MODELO!$B$15,0,IF(E652&gt;=PARAMS_MODELO!$B$17,100,100*MIN(1,(E652-PARAMS_MODELO!$B$15)/(PARAMS_MODELO!$B$16-PARAMS_MODELO!$B$15))))*PARAMS_MODELO!$B$7</f>
        <v>0</v>
      </c>
      <c r="G652" s="5">
        <f t="shared" si="241"/>
        <v>0</v>
      </c>
      <c r="H652" s="5">
        <f>(PARAMS_MODELO!$B$20*(MAX(0,MIN(3,E652))/3)+PARAMS_MODELO!$B$21*(IFERROR(LN(1+MAX(0,G652))/LN(1+MAX(0,MAX($G$2:$G$1194))),0)))*100*PARAMS_MODELO!$B$8</f>
        <v>0</v>
      </c>
      <c r="I652" s="8">
        <f>E652-PARAMS_MODELO!$B$5</f>
        <v>-0.28622142164958442</v>
      </c>
      <c r="J652" s="5">
        <f>IF(I652&lt;=PARAMS_MODELO!$B$18,0,IF(I652&gt;=PARAMS_MODELO!$B$19,100,100*(I652-PARAMS_MODELO!$B$18)/(PARAMS_MODELO!$B$19-PARAMS_MODELO!$B$18)))*PARAMS_MODELO!$B$9</f>
        <v>0</v>
      </c>
      <c r="K652" s="5">
        <f>IFERROR(CHOOSE(MATCH(PARAMS_MODELO!$B$2,{"Q1","Q2","Q3"},0),LOTO!$D652,LOTO!$F652,LOTO!$H652),0)</f>
        <v>2965000</v>
      </c>
      <c r="L652" s="8">
        <f t="shared" si="242"/>
        <v>4.6989574479370966E-2</v>
      </c>
      <c r="M652" s="5">
        <f>MIN(100,IF(PARAMS_MODELO!$B$23=0,0,100*L652/PARAMS_MODELO!$B$23))*PARAMS_MODELO!$B$10</f>
        <v>14.096872343811286</v>
      </c>
      <c r="N652" s="5">
        <f>IFERROR(VLOOKUP(A652,COMPLIANCE!$A$2:$F$1996,6,0),100)</f>
        <v>99.98</v>
      </c>
      <c r="O652" s="5">
        <f>N652*PARAMS_MODELO!$B$11</f>
        <v>9.9980000000000011</v>
      </c>
      <c r="P652" s="5">
        <f>IFERROR(VLOOKUP(A652,DIGITAL!$A$2:$J$2000,7,0),100)</f>
        <v>34</v>
      </c>
      <c r="Q652" s="5">
        <f>IFERROR(P652,0)*PARAMS_MODELO!$B$12</f>
        <v>3.4000000000000004</v>
      </c>
      <c r="R652">
        <f t="shared" si="243"/>
        <v>27.494872343811288</v>
      </c>
      <c r="S652" s="5" t="str">
        <f>IFERROR(VLOOKUP(A652,CLIENTE!$A$2:$N$2000,13,0),1)</f>
        <v>Regular</v>
      </c>
      <c r="T652" s="5">
        <f>IFERROR(VLOOKUP(A652,CLIENTE!$A$2:$N$2000,14,0),1)</f>
        <v>1</v>
      </c>
      <c r="U652" s="5">
        <f t="shared" si="244"/>
        <v>27.494872343811288</v>
      </c>
      <c r="V652" s="5" t="str">
        <f>IF(U652&gt;=MAX(_xlfn.PERCENTILE.INC($U$2:$U$1194,PARAMS_MODELO!$B$50),PARAMS_MODELO!$B$45),"DIAMANTE",IF(U652&gt;=MAX(_xlfn.PERCENTILE.INC($U$2:$U$1194,PARAMS_MODELO!$B$51),PARAMS_MODELO!$B$46),"PLATINO",IF(U652&gt;=MAX(_xlfn.PERCENTILE.INC($U$2:$U$1194,PARAMS_MODELO!$B$52),PARAMS_MODELO!$B$47),"ORO",IF(U652&gt;=MAX(_xlfn.PERCENTILE.INC($U$2:$U$1194,PARAMS_MODELO!$B$53),PARAMS_MODELO!$B$48),"PLATA",IF(U652&gt;=1,"BRONCE","CERRADO")))))</f>
        <v>PLATA</v>
      </c>
      <c r="W652" s="5" t="str" cm="1">
        <f t="array" ref="W652">_xlfn.XLOOKUP(1, (HIST_SCORE!$B:$B=PARAMS_MODELO!$B$4) * (HIST_SCORE!$C:$C=A652), HIST_SCORE!$E:$E, "No encontrado")</f>
        <v>ORO</v>
      </c>
      <c r="X652" s="5" t="str">
        <f>_xlfn.LET(_xlpm.act,MATCH(V652,{"DIAMANTE";"PLATINO";"ORO";"PLATA";"BRONCE";"CERRADO"},0),_xlpm.ant,MATCH(W652,{"DIAMANTE";"PLATINO";"ORO";"PLATA";"BRONCE";"CERRADO"},0),IF(_xlpm.act&lt;_xlpm.ant,"Mejora ↑",IF(_xlpm.act&gt;_xlpm.ant,"Baja ↓","Estable →")))</f>
        <v>Baja ↓</v>
      </c>
      <c r="Y652" s="5">
        <f>IFERROR(U652-SUMIFS(HIST_SCORE!$D:$D,HIST_SCORE!$B:$B,PARAMS_MODELO!$B$4,HIST_SCORE!$C:$C,$A652),"")</f>
        <v>-42.520535393036901</v>
      </c>
      <c r="Z652" s="5" t="str">
        <f t="shared" si="245"/>
        <v>↓ Baja</v>
      </c>
      <c r="AA652" s="5">
        <f t="shared" si="246"/>
        <v>892</v>
      </c>
      <c r="AB652" s="5">
        <f>IFERROR(SUMIFS(HIST_SCORE!$F:$F,HIST_SCORE!$B:$B,PARAMS_MODELO!$B$4,HIST_SCORE!$C:$C,$A652),"")</f>
        <v>543</v>
      </c>
      <c r="AC652" s="5">
        <f t="shared" si="247"/>
        <v>-349</v>
      </c>
      <c r="AD652" t="str">
        <f t="shared" si="249"/>
        <v/>
      </c>
      <c r="AE6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652="CERRADO",1,IF(V652="BRONCE",_xlpm.cPl,IF(V652="PLATA",_xlpm.cO,IF(V652="ORO",_xlpm.cP,IF(V652="PLATINO",_xlpm.cD,999))))))</f>
        <v>63.199193273331495</v>
      </c>
      <c r="AF6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652="CERRADO",0,IF(V652="BRONCE",1,IF(V652="PLATA",_xlpm.cPl,IF(V652="ORO",_xlpm.cO,IF(V652="PLATINO",_xlpm.cP,_xlpm.cD))))))</f>
        <v>24.506573482968111</v>
      </c>
      <c r="AG652">
        <f t="shared" si="250"/>
        <v>35.704320929520208</v>
      </c>
      <c r="AH652" t="str">
        <f t="shared" si="251"/>
        <v>VENTAS</v>
      </c>
      <c r="AI652" t="str">
        <f t="shared" si="248"/>
        <v>🎯 Para subir de categoría, eje VENTAS / CRECIMIENTO PERSONAL (F). Acción: metas semanales + activación comercial + seguimiento del asesor. ΔR aprox: 35,7</v>
      </c>
      <c r="AJ652" s="26">
        <f>_xlfn.LET(_xlpm.piso,AF652,_xlpm.corte,AE652,_xlpm.prog,IF(_xlpm.corte&lt;=_xlpm.piso,0,MAX(0,MIN(1,(U652-_xlpm.piso)/(_xlpm.corte-_xlpm.piso)))),_xlpm.orden,{"DIAMANTE";"PLATINO";"ORO";"PLATA";"BRONCE";"CERRADO"},_xlpm.act,IFERROR(MATCH(V652,_xlpm.orden,0),6),_xlpm.ant,IFERROR(MATCH(W652,_xlpm.orden,0),6),_xlpm.ajmov,IF(_xlpm.act&lt;_xlpm.ant,0.08,IF(_xlpm.act&gt;_xlpm.ant,-0.08,0)),_xlpm.ajcli,IF(T652&lt;0.95,-0.06,0),_xlpm.prob,MAX(0,MIN(1,_xlpm.prog+_xlpm.ajmov+_xlpm.ajcli)),IF(OR(V652="DIAMANTE",V652="CERRADO"),0,ROUND(_xlpm.prob,2)))</f>
        <v>0</v>
      </c>
      <c r="AK652" t="str">
        <f t="shared" si="252"/>
        <v>Faltan 35,7 puntos base para subir a la siguiente categoría</v>
      </c>
      <c r="AL652" t="str">
        <f t="shared" si="253"/>
        <v>Margen de seguridad: 3,0 puntos</v>
      </c>
      <c r="AM652">
        <f t="shared" si="254"/>
        <v>0.8</v>
      </c>
      <c r="AN652" t="str">
        <f t="shared" si="255"/>
        <v>PRIORIDAD ALTA – requiere intervención inmediata</v>
      </c>
      <c r="AO652">
        <f t="shared" si="256"/>
        <v>64.862569275295584</v>
      </c>
      <c r="AP652">
        <f t="shared" si="257"/>
        <v>0.9031276561887136</v>
      </c>
      <c r="AQ652">
        <f t="shared" si="258"/>
        <v>1.9999999999988916E-3</v>
      </c>
      <c r="AR652">
        <f t="shared" si="259"/>
        <v>6.6</v>
      </c>
      <c r="AS652">
        <f t="shared" si="260"/>
        <v>0</v>
      </c>
      <c r="AT652" t="str">
        <f t="shared" si="261"/>
        <v>VENTAS</v>
      </c>
      <c r="AU652">
        <f t="shared" si="262"/>
        <v>64.862569275295584</v>
      </c>
      <c r="AV652" t="str">
        <f t="shared" si="263"/>
        <v>Mayor retorno probable: VENTAS (+64,9 puntos finales potenciales).</v>
      </c>
    </row>
    <row r="653" spans="1:48" x14ac:dyDescent="0.3">
      <c r="A653" s="5">
        <v>51019121</v>
      </c>
      <c r="B653" s="5" t="str">
        <f>IFERROR(VLOOKUP(A653,VENTAS!$A$2:$B$1194,2,0),"")</f>
        <v>BELUZZO</v>
      </c>
      <c r="C653" s="5">
        <f>IFERROR(INDEX(VENTAS!$C$2:$E$1194,MATCH(A653,VENTAS!$A$2:$A$1194,0),MATCH(PARAMS_MODELO!$B$2,{"Q1","Q2","Q3"},0)),0)</f>
        <v>38398310.600000001</v>
      </c>
      <c r="D653" s="5">
        <f>IFERROR(INDEX(VENTAS!$F$2:$H$1194,MATCH(A653,VENTAS!$A$2:$A$1194,0),MATCH(PARAMS_MODELO!$B$2,{"Q1","Q2","Q3"},0)),0)</f>
        <v>63054285</v>
      </c>
      <c r="E653" s="8">
        <f t="shared" si="240"/>
        <v>0.64211091620265193</v>
      </c>
      <c r="F653" s="12">
        <f>IF(E653&lt;=PARAMS_MODELO!$B$15,0,IF(E653&gt;=PARAMS_MODELO!$B$17,100,100*MIN(1,(E653-PARAMS_MODELO!$B$15)/(PARAMS_MODELO!$B$16-PARAMS_MODELO!$B$15))))*PARAMS_MODELO!$B$7</f>
        <v>35</v>
      </c>
      <c r="G653" s="5">
        <f t="shared" si="241"/>
        <v>24655974.399999999</v>
      </c>
      <c r="H653" s="5">
        <f>(PARAMS_MODELO!$B$20*(MAX(0,MIN(3,E653))/3)+PARAMS_MODELO!$B$21*(IFERROR(LN(1+MAX(0,G653))/LN(1+MAX(0,MAX($G$2:$G$1194))),0)))*100*PARAMS_MODELO!$B$8</f>
        <v>6.2372380193307375</v>
      </c>
      <c r="I653" s="8">
        <f>E653-PARAMS_MODELO!$B$5</f>
        <v>0.4645480808271254</v>
      </c>
      <c r="J653" s="5">
        <f>IF(I653&lt;=PARAMS_MODELO!$B$18,0,IF(I653&gt;=PARAMS_MODELO!$B$19,100,100*(I653-PARAMS_MODELO!$B$18)/(PARAMS_MODELO!$B$19-PARAMS_MODELO!$B$18)))*PARAMS_MODELO!$B$9</f>
        <v>15</v>
      </c>
      <c r="K653" s="5">
        <f>IFERROR(CHOOSE(MATCH(PARAMS_MODELO!$B$2,{"Q1","Q2","Q3"},0),LOTO!$D653,LOTO!$F653,LOTO!$H653),0)</f>
        <v>2965000</v>
      </c>
      <c r="L653" s="8">
        <f t="shared" si="242"/>
        <v>4.7022973934285353E-2</v>
      </c>
      <c r="M653" s="5">
        <f>MIN(100,IF(PARAMS_MODELO!$B$23=0,0,100*L653/PARAMS_MODELO!$B$23))*PARAMS_MODELO!$B$10</f>
        <v>14.106892180285605</v>
      </c>
      <c r="N653" s="5">
        <f>IFERROR(VLOOKUP(A653,COMPLIANCE!$A$2:$F$1996,6,0),100)</f>
        <v>100</v>
      </c>
      <c r="O653" s="5">
        <f>N653*PARAMS_MODELO!$B$11</f>
        <v>10</v>
      </c>
      <c r="P653" s="5">
        <f>IFERROR(VLOOKUP(A653,DIGITAL!$A$2:$J$2000,7,0),100)</f>
        <v>95</v>
      </c>
      <c r="Q653" s="5">
        <f>IFERROR(P653,0)*PARAMS_MODELO!$B$12</f>
        <v>9.5</v>
      </c>
      <c r="R653">
        <f t="shared" si="243"/>
        <v>89.844130199616345</v>
      </c>
      <c r="S653" s="5" t="str">
        <f>IFERROR(VLOOKUP(A653,CLIENTE!$A$2:$N$2000,13,0),1)</f>
        <v>Regular</v>
      </c>
      <c r="T653" s="5">
        <f>IFERROR(VLOOKUP(A653,CLIENTE!$A$2:$N$2000,14,0),1)</f>
        <v>1</v>
      </c>
      <c r="U653" s="5">
        <f t="shared" si="244"/>
        <v>89.844130199616345</v>
      </c>
      <c r="V653" s="5" t="str">
        <f>IF(U653&gt;=MAX(_xlfn.PERCENTILE.INC($U$2:$U$1194,PARAMS_MODELO!$B$50),PARAMS_MODELO!$B$45),"DIAMANTE",IF(U653&gt;=MAX(_xlfn.PERCENTILE.INC($U$2:$U$1194,PARAMS_MODELO!$B$51),PARAMS_MODELO!$B$46),"PLATINO",IF(U653&gt;=MAX(_xlfn.PERCENTILE.INC($U$2:$U$1194,PARAMS_MODELO!$B$52),PARAMS_MODELO!$B$47),"ORO",IF(U653&gt;=MAX(_xlfn.PERCENTILE.INC($U$2:$U$1194,PARAMS_MODELO!$B$53),PARAMS_MODELO!$B$48),"PLATA",IF(U653&gt;=1,"BRONCE","CERRADO")))))</f>
        <v>PLATINO</v>
      </c>
      <c r="W653" s="5" t="str" cm="1">
        <f t="array" ref="W653">_xlfn.XLOOKUP(1, (HIST_SCORE!$B:$B=PARAMS_MODELO!$B$4) * (HIST_SCORE!$C:$C=A653), HIST_SCORE!$E:$E, "No encontrado")</f>
        <v>PLATINO</v>
      </c>
      <c r="X653" s="5" t="str">
        <f>_xlfn.LET(_xlpm.act,MATCH(V653,{"DIAMANTE";"PLATINO";"ORO";"PLATA";"BRONCE";"CERRADO"},0),_xlpm.ant,MATCH(W653,{"DIAMANTE";"PLATINO";"ORO";"PLATA";"BRONCE";"CERRADO"},0),IF(_xlpm.act&lt;_xlpm.ant,"Mejora ↑",IF(_xlpm.act&gt;_xlpm.ant,"Baja ↓","Estable →")))</f>
        <v>Estable →</v>
      </c>
      <c r="Y653" s="5">
        <f>IFERROR(U653-SUMIFS(HIST_SCORE!$D:$D,HIST_SCORE!$B:$B,PARAMS_MODELO!$B$4,HIST_SCORE!$C:$C,$A653),"")</f>
        <v>0.11882694127706372</v>
      </c>
      <c r="Z653" s="5" t="str">
        <f t="shared" si="245"/>
        <v>→ Estable</v>
      </c>
      <c r="AA653" s="5">
        <f t="shared" si="246"/>
        <v>138</v>
      </c>
      <c r="AB653" s="5">
        <f>IFERROR(SUMIFS(HIST_SCORE!$F:$F,HIST_SCORE!$B:$B,PARAMS_MODELO!$B$4,HIST_SCORE!$C:$C,$A653),"")</f>
        <v>135</v>
      </c>
      <c r="AC653" s="5">
        <f t="shared" si="247"/>
        <v>-3</v>
      </c>
      <c r="AD653" t="str">
        <f t="shared" si="249"/>
        <v/>
      </c>
      <c r="AE6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653="CERRADO",1,IF(V653="BRONCE",_xlpm.cPl,IF(V653="PLATA",_xlpm.cO,IF(V653="ORO",_xlpm.cP,IF(V653="PLATINO",_xlpm.cD,999))))))</f>
        <v>96.054919694466676</v>
      </c>
      <c r="AF6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653="CERRADO",0,IF(V653="BRONCE",1,IF(V653="PLATA",_xlpm.cPl,IF(V653="ORO",_xlpm.cO,IF(V653="PLATINO",_xlpm.cP,_xlpm.cD))))))</f>
        <v>86.439123873763251</v>
      </c>
      <c r="AG653">
        <f t="shared" si="250"/>
        <v>6.2107894948503315</v>
      </c>
      <c r="AH653" t="str">
        <f t="shared" si="251"/>
        <v>VENTAS</v>
      </c>
      <c r="AI653" t="str">
        <f t="shared" si="248"/>
        <v>🎯 Para subir de categoría, eje VENTAS / IMPACTO ABSOLUTO (H). Acción: metas semanales + activación comercial + seguimiento del asesor. ΔR aprox: 6,2</v>
      </c>
      <c r="AJ653" s="26">
        <f>_xlfn.LET(_xlpm.piso,AF653,_xlpm.corte,AE653,_xlpm.prog,IF(_xlpm.corte&lt;=_xlpm.piso,0,MAX(0,MIN(1,(U653-_xlpm.piso)/(_xlpm.corte-_xlpm.piso)))),_xlpm.orden,{"DIAMANTE";"PLATINO";"ORO";"PLATA";"BRONCE";"CERRADO"},_xlpm.act,IFERROR(MATCH(V653,_xlpm.orden,0),6),_xlpm.ant,IFERROR(MATCH(W653,_xlpm.orden,0),6),_xlpm.ajmov,IF(_xlpm.act&lt;_xlpm.ant,0.08,IF(_xlpm.act&gt;_xlpm.ant,-0.08,0)),_xlpm.ajcli,IF(T653&lt;0.95,-0.06,0),_xlpm.prob,MAX(0,MIN(1,_xlpm.prog+_xlpm.ajmov+_xlpm.ajcli)),IF(OR(V653="DIAMANTE",V653="CERRADO"),0,ROUND(_xlpm.prob,2)))</f>
        <v>0.35</v>
      </c>
      <c r="AK653" t="str">
        <f t="shared" si="252"/>
        <v>Faltan 6,2 puntos base para subir a la siguiente categoría</v>
      </c>
      <c r="AL653" t="str">
        <f t="shared" si="253"/>
        <v>Margen de seguridad: 3,4 puntos</v>
      </c>
      <c r="AM653">
        <f t="shared" si="254"/>
        <v>0.51</v>
      </c>
      <c r="AN653" t="str">
        <f t="shared" si="255"/>
        <v>PRIORIDAD MEDIA – seguimiento del asesor</v>
      </c>
      <c r="AO653">
        <f t="shared" si="256"/>
        <v>8.625331255964845</v>
      </c>
      <c r="AP653">
        <f t="shared" si="257"/>
        <v>0.89310781971439468</v>
      </c>
      <c r="AQ653">
        <f t="shared" si="258"/>
        <v>0</v>
      </c>
      <c r="AR653">
        <f t="shared" si="259"/>
        <v>0.5</v>
      </c>
      <c r="AS653">
        <f t="shared" si="260"/>
        <v>0</v>
      </c>
      <c r="AT653" t="str">
        <f t="shared" si="261"/>
        <v>VENTAS</v>
      </c>
      <c r="AU653">
        <f t="shared" si="262"/>
        <v>8.625331255964845</v>
      </c>
      <c r="AV653" t="str">
        <f t="shared" si="263"/>
        <v>Mayor retorno probable: VENTAS (+8,6 puntos finales potenciales).</v>
      </c>
    </row>
    <row r="654" spans="1:48" x14ac:dyDescent="0.3">
      <c r="A654" s="5">
        <v>51036085</v>
      </c>
      <c r="B654" s="5" t="str">
        <f>IFERROR(VLOOKUP(A654,VENTAS!$A$2:$B$1194,2,0),"")</f>
        <v>AYALA</v>
      </c>
      <c r="C654" s="5">
        <f>IFERROR(INDEX(VENTAS!$C$2:$E$1194,MATCH(A654,VENTAS!$A$2:$A$1194,0),MATCH(PARAMS_MODELO!$B$2,{"Q1","Q2","Q3"},0)),0)</f>
        <v>43782790.849999987</v>
      </c>
      <c r="D654" s="5">
        <f>IFERROR(INDEX(VENTAS!$F$2:$H$1194,MATCH(A654,VENTAS!$A$2:$A$1194,0),MATCH(PARAMS_MODELO!$B$2,{"Q1","Q2","Q3"},0)),0)</f>
        <v>62869606</v>
      </c>
      <c r="E654" s="8">
        <f t="shared" si="240"/>
        <v>0.43594331881198523</v>
      </c>
      <c r="F654" s="12">
        <f>IF(E654&lt;=PARAMS_MODELO!$B$15,0,IF(E654&gt;=PARAMS_MODELO!$B$17,100,100*MIN(1,(E654-PARAMS_MODELO!$B$15)/(PARAMS_MODELO!$B$16-PARAMS_MODELO!$B$15))))*PARAMS_MODELO!$B$7</f>
        <v>35</v>
      </c>
      <c r="G654" s="5">
        <f t="shared" si="241"/>
        <v>19086815.150000013</v>
      </c>
      <c r="H654" s="5">
        <f>(PARAMS_MODELO!$B$20*(MAX(0,MIN(3,E654))/3)+PARAMS_MODELO!$B$21*(IFERROR(LN(1+MAX(0,G654))/LN(1+MAX(0,MAX($G$2:$G$1194))),0)))*100*PARAMS_MODELO!$B$8</f>
        <v>5.4556364291458364</v>
      </c>
      <c r="I654" s="8">
        <f>E654-PARAMS_MODELO!$B$5</f>
        <v>0.2583804834364587</v>
      </c>
      <c r="J654" s="5">
        <f>IF(I654&lt;=PARAMS_MODELO!$B$18,0,IF(I654&gt;=PARAMS_MODELO!$B$19,100,100*(I654-PARAMS_MODELO!$B$18)/(PARAMS_MODELO!$B$19-PARAMS_MODELO!$B$18)))*PARAMS_MODELO!$B$9</f>
        <v>15</v>
      </c>
      <c r="K654" s="5">
        <f>IFERROR(CHOOSE(MATCH(PARAMS_MODELO!$B$2,{"Q1","Q2","Q3"},0),LOTO!$D654,LOTO!$F654,LOTO!$H654),0)</f>
        <v>2962500</v>
      </c>
      <c r="L654" s="8">
        <f t="shared" si="242"/>
        <v>4.7121338727651639E-2</v>
      </c>
      <c r="M654" s="5">
        <f>MIN(100,IF(PARAMS_MODELO!$B$23=0,0,100*L654/PARAMS_MODELO!$B$23))*PARAMS_MODELO!$B$10</f>
        <v>14.136401618295489</v>
      </c>
      <c r="N654" s="5">
        <f>IFERROR(VLOOKUP(A654,COMPLIANCE!$A$2:$F$1996,6,0),100)</f>
        <v>100</v>
      </c>
      <c r="O654" s="5">
        <f>N654*PARAMS_MODELO!$B$11</f>
        <v>10</v>
      </c>
      <c r="P654" s="5">
        <f>IFERROR(VLOOKUP(A654,DIGITAL!$A$2:$J$2000,7,0),100)</f>
        <v>76</v>
      </c>
      <c r="Q654" s="5">
        <f>IFERROR(P654,0)*PARAMS_MODELO!$B$12</f>
        <v>7.6000000000000005</v>
      </c>
      <c r="R654">
        <f t="shared" si="243"/>
        <v>87.192038047441315</v>
      </c>
      <c r="S654" s="5" t="str">
        <f>IFERROR(VLOOKUP(A654,CLIENTE!$A$2:$N$2000,13,0),1)</f>
        <v>Regular</v>
      </c>
      <c r="T654" s="5">
        <f>IFERROR(VLOOKUP(A654,CLIENTE!$A$2:$N$2000,14,0),1)</f>
        <v>1</v>
      </c>
      <c r="U654" s="5">
        <f t="shared" si="244"/>
        <v>87.192038047441315</v>
      </c>
      <c r="V654" s="5" t="str">
        <f>IF(U654&gt;=MAX(_xlfn.PERCENTILE.INC($U$2:$U$1194,PARAMS_MODELO!$B$50),PARAMS_MODELO!$B$45),"DIAMANTE",IF(U654&gt;=MAX(_xlfn.PERCENTILE.INC($U$2:$U$1194,PARAMS_MODELO!$B$51),PARAMS_MODELO!$B$46),"PLATINO",IF(U654&gt;=MAX(_xlfn.PERCENTILE.INC($U$2:$U$1194,PARAMS_MODELO!$B$52),PARAMS_MODELO!$B$47),"ORO",IF(U654&gt;=MAX(_xlfn.PERCENTILE.INC($U$2:$U$1194,PARAMS_MODELO!$B$53),PARAMS_MODELO!$B$48),"PLATA",IF(U654&gt;=1,"BRONCE","CERRADO")))))</f>
        <v>PLATINO</v>
      </c>
      <c r="W654" s="5" t="str" cm="1">
        <f t="array" ref="W654">_xlfn.XLOOKUP(1, (HIST_SCORE!$B:$B=PARAMS_MODELO!$B$4) * (HIST_SCORE!$C:$C=A654), HIST_SCORE!$E:$E, "No encontrado")</f>
        <v>ORO</v>
      </c>
      <c r="X654" s="5" t="str">
        <f>_xlfn.LET(_xlpm.act,MATCH(V654,{"DIAMANTE";"PLATINO";"ORO";"PLATA";"BRONCE";"CERRADO"},0),_xlpm.ant,MATCH(W654,{"DIAMANTE";"PLATINO";"ORO";"PLATA";"BRONCE";"CERRADO"},0),IF(_xlpm.act&lt;_xlpm.ant,"Mejora ↑",IF(_xlpm.act&gt;_xlpm.ant,"Baja ↓","Estable →")))</f>
        <v>Mejora ↑</v>
      </c>
      <c r="Y654" s="5">
        <f>IFERROR(U654-SUMIFS(HIST_SCORE!$D:$D,HIST_SCORE!$B:$B,PARAMS_MODELO!$B$4,HIST_SCORE!$C:$C,$A654),"")</f>
        <v>12.488652479497333</v>
      </c>
      <c r="Z654" s="5" t="str">
        <f t="shared" si="245"/>
        <v>↑ Mejora</v>
      </c>
      <c r="AA654" s="5">
        <f t="shared" si="246"/>
        <v>221</v>
      </c>
      <c r="AB654" s="5">
        <f>IFERROR(SUMIFS(HIST_SCORE!$F:$F,HIST_SCORE!$B:$B,PARAMS_MODELO!$B$4,HIST_SCORE!$C:$C,$A654),"")</f>
        <v>495</v>
      </c>
      <c r="AC654" s="5">
        <f t="shared" si="247"/>
        <v>274</v>
      </c>
      <c r="AD654" t="str">
        <f t="shared" si="249"/>
        <v/>
      </c>
      <c r="AE6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654="CERRADO",1,IF(V654="BRONCE",_xlpm.cPl,IF(V654="PLATA",_xlpm.cO,IF(V654="ORO",_xlpm.cP,IF(V654="PLATINO",_xlpm.cD,999))))))</f>
        <v>96.054919694466676</v>
      </c>
      <c r="AF6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654="CERRADO",0,IF(V654="BRONCE",1,IF(V654="PLATA",_xlpm.cPl,IF(V654="ORO",_xlpm.cO,IF(V654="PLATINO",_xlpm.cP,_xlpm.cD))))))</f>
        <v>86.439123873763251</v>
      </c>
      <c r="AG654">
        <f t="shared" si="250"/>
        <v>8.8628816470253611</v>
      </c>
      <c r="AH654" t="str">
        <f t="shared" si="251"/>
        <v>VENTAS</v>
      </c>
      <c r="AI654" t="str">
        <f t="shared" si="248"/>
        <v>🎯 Para subir de categoría, eje VENTAS / IMPACTO ABSOLUTO (H). Acción: metas semanales + activación comercial + seguimiento del asesor. ΔR aprox: 8,9</v>
      </c>
      <c r="AJ654" s="26">
        <f>_xlfn.LET(_xlpm.piso,AF654,_xlpm.corte,AE654,_xlpm.prog,IF(_xlpm.corte&lt;=_xlpm.piso,0,MAX(0,MIN(1,(U654-_xlpm.piso)/(_xlpm.corte-_xlpm.piso)))),_xlpm.orden,{"DIAMANTE";"PLATINO";"ORO";"PLATA";"BRONCE";"CERRADO"},_xlpm.act,IFERROR(MATCH(V654,_xlpm.orden,0),6),_xlpm.ant,IFERROR(MATCH(W654,_xlpm.orden,0),6),_xlpm.ajmov,IF(_xlpm.act&lt;_xlpm.ant,0.08,IF(_xlpm.act&gt;_xlpm.ant,-0.08,0)),_xlpm.ajcli,IF(T654&lt;0.95,-0.06,0),_xlpm.prob,MAX(0,MIN(1,_xlpm.prog+_xlpm.ajmov+_xlpm.ajcli)),IF(OR(V654="DIAMANTE",V654="CERRADO"),0,ROUND(_xlpm.prob,2)))</f>
        <v>0.16</v>
      </c>
      <c r="AK654" t="str">
        <f t="shared" si="252"/>
        <v>Faltan 8,9 puntos base para subir a la siguiente categoría</v>
      </c>
      <c r="AL654" t="str">
        <f t="shared" si="253"/>
        <v>Margen de seguridad: 0,8 puntos</v>
      </c>
      <c r="AM654">
        <f t="shared" si="254"/>
        <v>0.69</v>
      </c>
      <c r="AN654" t="str">
        <f t="shared" si="255"/>
        <v>PRIORIDAD MEDIA – seguimiento del asesor</v>
      </c>
      <c r="AO654">
        <f t="shared" si="256"/>
        <v>9.4069328461497506</v>
      </c>
      <c r="AP654">
        <f t="shared" si="257"/>
        <v>0.8635983817045112</v>
      </c>
      <c r="AQ654">
        <f t="shared" si="258"/>
        <v>0</v>
      </c>
      <c r="AR654">
        <f t="shared" si="259"/>
        <v>2.3999999999999995</v>
      </c>
      <c r="AS654">
        <f t="shared" si="260"/>
        <v>0</v>
      </c>
      <c r="AT654" t="str">
        <f t="shared" si="261"/>
        <v>VENTAS</v>
      </c>
      <c r="AU654">
        <f t="shared" si="262"/>
        <v>9.4069328461497506</v>
      </c>
      <c r="AV654" t="str">
        <f t="shared" si="263"/>
        <v>Mayor retorno probable: VENTAS (+9,4 puntos finales potenciales).</v>
      </c>
    </row>
    <row r="655" spans="1:48" x14ac:dyDescent="0.3">
      <c r="A655" s="5">
        <v>51002164</v>
      </c>
      <c r="B655" s="5" t="str">
        <f>IFERROR(VLOOKUP(A655,VENTAS!$A$2:$B$1194,2,0),"")</f>
        <v>PRADES</v>
      </c>
      <c r="C655" s="5">
        <f>IFERROR(INDEX(VENTAS!$C$2:$E$1194,MATCH(A655,VENTAS!$A$2:$A$1194,0),MATCH(PARAMS_MODELO!$B$2,{"Q1","Q2","Q3"},0)),0)</f>
        <v>70649029.390000001</v>
      </c>
      <c r="D655" s="5">
        <f>IFERROR(INDEX(VENTAS!$F$2:$H$1194,MATCH(A655,VENTAS!$A$2:$A$1194,0),MATCH(PARAMS_MODELO!$B$2,{"Q1","Q2","Q3"},0)),0)</f>
        <v>62684787</v>
      </c>
      <c r="E655" s="8">
        <f t="shared" si="240"/>
        <v>-0.11272967879056661</v>
      </c>
      <c r="F655" s="12">
        <f>IF(E655&lt;=PARAMS_MODELO!$B$15,0,IF(E655&gt;=PARAMS_MODELO!$B$17,100,100*MIN(1,(E655-PARAMS_MODELO!$B$15)/(PARAMS_MODELO!$B$16-PARAMS_MODELO!$B$15))))*PARAMS_MODELO!$B$7</f>
        <v>0</v>
      </c>
      <c r="G655" s="5">
        <f t="shared" si="241"/>
        <v>0</v>
      </c>
      <c r="H655" s="5">
        <f>(PARAMS_MODELO!$B$20*(MAX(0,MIN(3,E655))/3)+PARAMS_MODELO!$B$21*(IFERROR(LN(1+MAX(0,G655))/LN(1+MAX(0,MAX($G$2:$G$1194))),0)))*100*PARAMS_MODELO!$B$8</f>
        <v>0</v>
      </c>
      <c r="I655" s="8">
        <f>E655-PARAMS_MODELO!$B$5</f>
        <v>-0.29029251416609314</v>
      </c>
      <c r="J655" s="5">
        <f>IF(I655&lt;=PARAMS_MODELO!$B$18,0,IF(I655&gt;=PARAMS_MODELO!$B$19,100,100*(I655-PARAMS_MODELO!$B$18)/(PARAMS_MODELO!$B$19-PARAMS_MODELO!$B$18)))*PARAMS_MODELO!$B$9</f>
        <v>0</v>
      </c>
      <c r="K655" s="5">
        <f>IFERROR(CHOOSE(MATCH(PARAMS_MODELO!$B$2,{"Q1","Q2","Q3"},0),LOTO!$D655,LOTO!$F655,LOTO!$H655),0)</f>
        <v>2962500</v>
      </c>
      <c r="L655" s="8">
        <f t="shared" si="242"/>
        <v>4.7260270661843358E-2</v>
      </c>
      <c r="M655" s="5">
        <f>MIN(100,IF(PARAMS_MODELO!$B$23=0,0,100*L655/PARAMS_MODELO!$B$23))*PARAMS_MODELO!$B$10</f>
        <v>14.178081198553004</v>
      </c>
      <c r="N655" s="5">
        <f>IFERROR(VLOOKUP(A655,COMPLIANCE!$A$2:$F$1996,6,0),100)</f>
        <v>100</v>
      </c>
      <c r="O655" s="5">
        <f>N655*PARAMS_MODELO!$B$11</f>
        <v>10</v>
      </c>
      <c r="P655" s="5">
        <f>IFERROR(VLOOKUP(A655,DIGITAL!$A$2:$J$2000,7,0),100)</f>
        <v>65</v>
      </c>
      <c r="Q655" s="5">
        <f>IFERROR(P655,0)*PARAMS_MODELO!$B$12</f>
        <v>6.5</v>
      </c>
      <c r="R655">
        <f t="shared" si="243"/>
        <v>30.678081198553002</v>
      </c>
      <c r="S655" s="5" t="str">
        <f>IFERROR(VLOOKUP(A655,CLIENTE!$A$2:$N$2000,13,0),1)</f>
        <v>Regular</v>
      </c>
      <c r="T655" s="5">
        <f>IFERROR(VLOOKUP(A655,CLIENTE!$A$2:$N$2000,14,0),1)</f>
        <v>1</v>
      </c>
      <c r="U655" s="5">
        <f t="shared" si="244"/>
        <v>30.678081198553002</v>
      </c>
      <c r="V655" s="5" t="str">
        <f>IF(U655&gt;=MAX(_xlfn.PERCENTILE.INC($U$2:$U$1194,PARAMS_MODELO!$B$50),PARAMS_MODELO!$B$45),"DIAMANTE",IF(U655&gt;=MAX(_xlfn.PERCENTILE.INC($U$2:$U$1194,PARAMS_MODELO!$B$51),PARAMS_MODELO!$B$46),"PLATINO",IF(U655&gt;=MAX(_xlfn.PERCENTILE.INC($U$2:$U$1194,PARAMS_MODELO!$B$52),PARAMS_MODELO!$B$47),"ORO",IF(U655&gt;=MAX(_xlfn.PERCENTILE.INC($U$2:$U$1194,PARAMS_MODELO!$B$53),PARAMS_MODELO!$B$48),"PLATA",IF(U655&gt;=1,"BRONCE","CERRADO")))))</f>
        <v>PLATA</v>
      </c>
      <c r="W655" s="5" t="str" cm="1">
        <f t="array" ref="W655">_xlfn.XLOOKUP(1, (HIST_SCORE!$B:$B=PARAMS_MODELO!$B$4) * (HIST_SCORE!$C:$C=A655), HIST_SCORE!$E:$E, "No encontrado")</f>
        <v>ORO</v>
      </c>
      <c r="X655" s="5" t="str">
        <f>_xlfn.LET(_xlpm.act,MATCH(V655,{"DIAMANTE";"PLATINO";"ORO";"PLATA";"BRONCE";"CERRADO"},0),_xlpm.ant,MATCH(W655,{"DIAMANTE";"PLATINO";"ORO";"PLATA";"BRONCE";"CERRADO"},0),IF(_xlpm.act&lt;_xlpm.ant,"Mejora ↑",IF(_xlpm.act&gt;_xlpm.ant,"Baja ↓","Estable →")))</f>
        <v>Baja ↓</v>
      </c>
      <c r="Y655" s="5">
        <f>IFERROR(U655-SUMIFS(HIST_SCORE!$D:$D,HIST_SCORE!$B:$B,PARAMS_MODELO!$B$4,HIST_SCORE!$C:$C,$A655),"")</f>
        <v>-45.439365551010965</v>
      </c>
      <c r="Z655" s="5" t="str">
        <f t="shared" si="245"/>
        <v>↓ Baja</v>
      </c>
      <c r="AA655" s="5">
        <f t="shared" si="246"/>
        <v>852</v>
      </c>
      <c r="AB655" s="5">
        <f>IFERROR(SUMIFS(HIST_SCORE!$F:$F,HIST_SCORE!$B:$B,PARAMS_MODELO!$B$4,HIST_SCORE!$C:$C,$A655),"")</f>
        <v>481</v>
      </c>
      <c r="AC655" s="5">
        <f t="shared" si="247"/>
        <v>-371</v>
      </c>
      <c r="AD655" t="str">
        <f t="shared" si="249"/>
        <v/>
      </c>
      <c r="AE6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655="CERRADO",1,IF(V655="BRONCE",_xlpm.cPl,IF(V655="PLATA",_xlpm.cO,IF(V655="ORO",_xlpm.cP,IF(V655="PLATINO",_xlpm.cD,999))))))</f>
        <v>63.199193273331495</v>
      </c>
      <c r="AF6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655="CERRADO",0,IF(V655="BRONCE",1,IF(V655="PLATA",_xlpm.cPl,IF(V655="ORO",_xlpm.cO,IF(V655="PLATINO",_xlpm.cP,_xlpm.cD))))))</f>
        <v>24.506573482968111</v>
      </c>
      <c r="AG655">
        <f t="shared" si="250"/>
        <v>32.521112074778493</v>
      </c>
      <c r="AH655" t="str">
        <f t="shared" si="251"/>
        <v>VENTAS</v>
      </c>
      <c r="AI655" t="str">
        <f t="shared" si="248"/>
        <v>🎯 Para subir de categoría, eje VENTAS / CRECIMIENTO PERSONAL (F). Acción: metas semanales + activación comercial + seguimiento del asesor. ΔR aprox: 32,5</v>
      </c>
      <c r="AJ655" s="26">
        <f>_xlfn.LET(_xlpm.piso,AF655,_xlpm.corte,AE655,_xlpm.prog,IF(_xlpm.corte&lt;=_xlpm.piso,0,MAX(0,MIN(1,(U655-_xlpm.piso)/(_xlpm.corte-_xlpm.piso)))),_xlpm.orden,{"DIAMANTE";"PLATINO";"ORO";"PLATA";"BRONCE";"CERRADO"},_xlpm.act,IFERROR(MATCH(V655,_xlpm.orden,0),6),_xlpm.ant,IFERROR(MATCH(W655,_xlpm.orden,0),6),_xlpm.ajmov,IF(_xlpm.act&lt;_xlpm.ant,0.08,IF(_xlpm.act&gt;_xlpm.ant,-0.08,0)),_xlpm.ajcli,IF(T655&lt;0.95,-0.06,0),_xlpm.prob,MAX(0,MIN(1,_xlpm.prog+_xlpm.ajmov+_xlpm.ajcli)),IF(OR(V655="DIAMANTE",V655="CERRADO"),0,ROUND(_xlpm.prob,2)))</f>
        <v>0.08</v>
      </c>
      <c r="AK655" t="str">
        <f t="shared" si="252"/>
        <v>Faltan 32,5 puntos base para subir a la siguiente categoría</v>
      </c>
      <c r="AL655" t="str">
        <f t="shared" si="253"/>
        <v>Margen de seguridad: 6,2 puntos</v>
      </c>
      <c r="AM655">
        <f t="shared" si="254"/>
        <v>0.77</v>
      </c>
      <c r="AN655" t="str">
        <f t="shared" si="255"/>
        <v>PRIORIDAD ALTA – requiere intervención inmediata</v>
      </c>
      <c r="AO655">
        <f t="shared" si="256"/>
        <v>64.862569275295584</v>
      </c>
      <c r="AP655">
        <f t="shared" si="257"/>
        <v>0.82191880144699603</v>
      </c>
      <c r="AQ655">
        <f t="shared" si="258"/>
        <v>0</v>
      </c>
      <c r="AR655">
        <f t="shared" si="259"/>
        <v>3.5</v>
      </c>
      <c r="AS655">
        <f t="shared" si="260"/>
        <v>0</v>
      </c>
      <c r="AT655" t="str">
        <f t="shared" si="261"/>
        <v>VENTAS</v>
      </c>
      <c r="AU655">
        <f t="shared" si="262"/>
        <v>64.862569275295584</v>
      </c>
      <c r="AV655" t="str">
        <f t="shared" si="263"/>
        <v>Mayor retorno probable: VENTAS (+64,9 puntos finales potenciales).</v>
      </c>
    </row>
    <row r="656" spans="1:48" x14ac:dyDescent="0.3">
      <c r="A656" s="5">
        <v>51013182</v>
      </c>
      <c r="B656" s="5" t="str">
        <f>IFERROR(VLOOKUP(A656,VENTAS!$A$2:$B$1194,2,0),"")</f>
        <v>ROBERTS</v>
      </c>
      <c r="C656" s="5">
        <f>IFERROR(INDEX(VENTAS!$C$2:$E$1194,MATCH(A656,VENTAS!$A$2:$A$1194,0),MATCH(PARAMS_MODELO!$B$2,{"Q1","Q2","Q3"},0)),0)</f>
        <v>18451404.199999999</v>
      </c>
      <c r="D656" s="5">
        <f>IFERROR(INDEX(VENTAS!$F$2:$H$1194,MATCH(A656,VENTAS!$A$2:$A$1194,0),MATCH(PARAMS_MODELO!$B$2,{"Q1","Q2","Q3"},0)),0)</f>
        <v>62662960</v>
      </c>
      <c r="E656" s="8">
        <f t="shared" si="240"/>
        <v>2.3961079233200042</v>
      </c>
      <c r="F656" s="12">
        <f>IF(E656&lt;=PARAMS_MODELO!$B$15,0,IF(E656&gt;=PARAMS_MODELO!$B$17,100,100*MIN(1,(E656-PARAMS_MODELO!$B$15)/(PARAMS_MODELO!$B$16-PARAMS_MODELO!$B$15))))*PARAMS_MODELO!$B$7</f>
        <v>35</v>
      </c>
      <c r="G656" s="5">
        <f t="shared" si="241"/>
        <v>44211555.799999997</v>
      </c>
      <c r="H656" s="5">
        <f>(PARAMS_MODELO!$B$20*(MAX(0,MIN(3,E656))/3)+PARAMS_MODELO!$B$21*(IFERROR(LN(1+MAX(0,G656))/LN(1+MAX(0,MAX($G$2:$G$1194))),0)))*100*PARAMS_MODELO!$B$8</f>
        <v>12.513117547589696</v>
      </c>
      <c r="I656" s="8">
        <f>E656-PARAMS_MODELO!$B$5</f>
        <v>2.2185450879444777</v>
      </c>
      <c r="J656" s="5">
        <f>IF(I656&lt;=PARAMS_MODELO!$B$18,0,IF(I656&gt;=PARAMS_MODELO!$B$19,100,100*(I656-PARAMS_MODELO!$B$18)/(PARAMS_MODELO!$B$19-PARAMS_MODELO!$B$18)))*PARAMS_MODELO!$B$9</f>
        <v>15</v>
      </c>
      <c r="K656" s="5">
        <f>IFERROR(CHOOSE(MATCH(PARAMS_MODELO!$B$2,{"Q1","Q2","Q3"},0),LOTO!$D656,LOTO!$F656,LOTO!$H656),0)</f>
        <v>2957500</v>
      </c>
      <c r="L656" s="8">
        <f t="shared" si="242"/>
        <v>4.7196940584996301E-2</v>
      </c>
      <c r="M656" s="5">
        <f>MIN(100,IF(PARAMS_MODELO!$B$23=0,0,100*L656/PARAMS_MODELO!$B$23))*PARAMS_MODELO!$B$10</f>
        <v>14.159082175498892</v>
      </c>
      <c r="N656" s="5">
        <f>IFERROR(VLOOKUP(A656,COMPLIANCE!$A$2:$F$1996,6,0),100)</f>
        <v>100</v>
      </c>
      <c r="O656" s="5">
        <f>N656*PARAMS_MODELO!$B$11</f>
        <v>10</v>
      </c>
      <c r="P656" s="5">
        <f>IFERROR(VLOOKUP(A656,DIGITAL!$A$2:$J$2000,7,0),100)</f>
        <v>46</v>
      </c>
      <c r="Q656" s="5">
        <f>IFERROR(P656,0)*PARAMS_MODELO!$B$12</f>
        <v>4.6000000000000005</v>
      </c>
      <c r="R656">
        <f t="shared" si="243"/>
        <v>91.272199723088576</v>
      </c>
      <c r="S656" s="5" t="str">
        <f>IFERROR(VLOOKUP(A656,CLIENTE!$A$2:$N$2000,13,0),1)</f>
        <v>Malo</v>
      </c>
      <c r="T656" s="5">
        <f>IFERROR(VLOOKUP(A656,CLIENTE!$A$2:$N$2000,14,0),1)</f>
        <v>0.7</v>
      </c>
      <c r="U656" s="5">
        <f t="shared" si="244"/>
        <v>63.890539806161996</v>
      </c>
      <c r="V656" s="5" t="str">
        <f>IF(U656&gt;=MAX(_xlfn.PERCENTILE.INC($U$2:$U$1194,PARAMS_MODELO!$B$50),PARAMS_MODELO!$B$45),"DIAMANTE",IF(U656&gt;=MAX(_xlfn.PERCENTILE.INC($U$2:$U$1194,PARAMS_MODELO!$B$51),PARAMS_MODELO!$B$46),"PLATINO",IF(U656&gt;=MAX(_xlfn.PERCENTILE.INC($U$2:$U$1194,PARAMS_MODELO!$B$52),PARAMS_MODELO!$B$47),"ORO",IF(U656&gt;=MAX(_xlfn.PERCENTILE.INC($U$2:$U$1194,PARAMS_MODELO!$B$53),PARAMS_MODELO!$B$48),"PLATA",IF(U656&gt;=1,"BRONCE","CERRADO")))))</f>
        <v>ORO</v>
      </c>
      <c r="W656" s="5" t="str" cm="1">
        <f t="array" ref="W656">_xlfn.XLOOKUP(1, (HIST_SCORE!$B:$B=PARAMS_MODELO!$B$4) * (HIST_SCORE!$C:$C=A656), HIST_SCORE!$E:$E, "No encontrado")</f>
        <v>PLATA</v>
      </c>
      <c r="X656" s="5" t="str">
        <f>_xlfn.LET(_xlpm.act,MATCH(V656,{"DIAMANTE";"PLATINO";"ORO";"PLATA";"BRONCE";"CERRADO"},0),_xlpm.ant,MATCH(W656,{"DIAMANTE";"PLATINO";"ORO";"PLATA";"BRONCE";"CERRADO"},0),IF(_xlpm.act&lt;_xlpm.ant,"Mejora ↑",IF(_xlpm.act&gt;_xlpm.ant,"Baja ↓","Estable →")))</f>
        <v>Mejora ↑</v>
      </c>
      <c r="Y656" s="5">
        <f>IFERROR(U656-SUMIFS(HIST_SCORE!$D:$D,HIST_SCORE!$B:$B,PARAMS_MODELO!$B$4,HIST_SCORE!$C:$C,$A656),"")</f>
        <v>1.3575724918916592</v>
      </c>
      <c r="Z656" s="5" t="str">
        <f t="shared" si="245"/>
        <v>→ Estable</v>
      </c>
      <c r="AA656" s="5">
        <f t="shared" si="246"/>
        <v>549</v>
      </c>
      <c r="AB656" s="5">
        <f>IFERROR(SUMIFS(HIST_SCORE!$F:$F,HIST_SCORE!$B:$B,PARAMS_MODELO!$B$4,HIST_SCORE!$C:$C,$A656),"")</f>
        <v>599</v>
      </c>
      <c r="AC656" s="5">
        <f t="shared" si="247"/>
        <v>50</v>
      </c>
      <c r="AD656" t="str">
        <f t="shared" si="249"/>
        <v/>
      </c>
      <c r="AE6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656="CERRADO",1,IF(V656="BRONCE",_xlpm.cPl,IF(V656="PLATA",_xlpm.cO,IF(V656="ORO",_xlpm.cP,IF(V656="PLATINO",_xlpm.cD,999))))))</f>
        <v>86.439123873763251</v>
      </c>
      <c r="AF6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656="CERRADO",0,IF(V656="BRONCE",1,IF(V656="PLATA",_xlpm.cPl,IF(V656="ORO",_xlpm.cO,IF(V656="PLATINO",_xlpm.cP,_xlpm.cD))))))</f>
        <v>63.199193273331495</v>
      </c>
      <c r="AG656">
        <f t="shared" si="250"/>
        <v>32.212262953716078</v>
      </c>
      <c r="AH656" t="str">
        <f t="shared" si="251"/>
        <v>CLIENTE</v>
      </c>
      <c r="AI656" t="str">
        <f t="shared" si="248"/>
        <v>🎯 Para subir de categoría, la eje con mayor impacto probable es CLIENTE (coef T). Acción: reducir quejas, mejorar incógnito y empujar reseñas. ΔR aprox: 32,2</v>
      </c>
      <c r="AJ656" s="26">
        <f>_xlfn.LET(_xlpm.piso,AF656,_xlpm.corte,AE656,_xlpm.prog,IF(_xlpm.corte&lt;=_xlpm.piso,0,MAX(0,MIN(1,(U656-_xlpm.piso)/(_xlpm.corte-_xlpm.piso)))),_xlpm.orden,{"DIAMANTE";"PLATINO";"ORO";"PLATA";"BRONCE";"CERRADO"},_xlpm.act,IFERROR(MATCH(V656,_xlpm.orden,0),6),_xlpm.ant,IFERROR(MATCH(W656,_xlpm.orden,0),6),_xlpm.ajmov,IF(_xlpm.act&lt;_xlpm.ant,0.08,IF(_xlpm.act&gt;_xlpm.ant,-0.08,0)),_xlpm.ajcli,IF(T656&lt;0.95,-0.06,0),_xlpm.prob,MAX(0,MIN(1,_xlpm.prog+_xlpm.ajmov+_xlpm.ajcli)),IF(OR(V656="DIAMANTE",V656="CERRADO"),0,ROUND(_xlpm.prob,2)))</f>
        <v>0.05</v>
      </c>
      <c r="AK656" t="str">
        <f t="shared" si="252"/>
        <v>Faltan 32,2 puntos base para subir a la siguiente categoría</v>
      </c>
      <c r="AL656" t="str">
        <f t="shared" si="253"/>
        <v>Margen de seguridad: 0,7 puntos</v>
      </c>
      <c r="AM656">
        <f t="shared" si="254"/>
        <v>0.98</v>
      </c>
      <c r="AN656" t="str">
        <f t="shared" si="255"/>
        <v>PRIORIDAD ALTA – requiere intervención inmediata</v>
      </c>
      <c r="AO656">
        <f t="shared" si="256"/>
        <v>1.6446162093941232</v>
      </c>
      <c r="AP656">
        <f t="shared" si="257"/>
        <v>0.58864247715077589</v>
      </c>
      <c r="AQ656">
        <f t="shared" si="258"/>
        <v>0</v>
      </c>
      <c r="AR656">
        <f t="shared" si="259"/>
        <v>3.7799999999999994</v>
      </c>
      <c r="AS656">
        <f t="shared" si="260"/>
        <v>27.381659916926576</v>
      </c>
      <c r="AT656" t="str">
        <f t="shared" si="261"/>
        <v>CLIENTE</v>
      </c>
      <c r="AU656">
        <f t="shared" si="262"/>
        <v>27.381659916926576</v>
      </c>
      <c r="AV656" t="str">
        <f t="shared" si="263"/>
        <v>Mayor retorno probable: CLIENTE (+27,4 puntos finales potenciales).</v>
      </c>
    </row>
    <row r="657" spans="1:48" x14ac:dyDescent="0.3">
      <c r="A657" s="5">
        <v>51033086</v>
      </c>
      <c r="B657" s="5" t="str">
        <f>IFERROR(VLOOKUP(A657,VENTAS!$A$2:$B$1194,2,0),"")</f>
        <v>MONTENEGRO</v>
      </c>
      <c r="C657" s="5">
        <f>IFERROR(INDEX(VENTAS!$C$2:$E$1194,MATCH(A657,VENTAS!$A$2:$A$1194,0),MATCH(PARAMS_MODELO!$B$2,{"Q1","Q2","Q3"},0)),0)</f>
        <v>73928616.560000002</v>
      </c>
      <c r="D657" s="5">
        <f>IFERROR(INDEX(VENTAS!$F$2:$H$1194,MATCH(A657,VENTAS!$A$2:$A$1194,0),MATCH(PARAMS_MODELO!$B$2,{"Q1","Q2","Q3"},0)),0)</f>
        <v>62445201</v>
      </c>
      <c r="E657" s="8">
        <f t="shared" si="240"/>
        <v>-0.1553311301406558</v>
      </c>
      <c r="F657" s="12">
        <f>IF(E657&lt;=PARAMS_MODELO!$B$15,0,IF(E657&gt;=PARAMS_MODELO!$B$17,100,100*MIN(1,(E657-PARAMS_MODELO!$B$15)/(PARAMS_MODELO!$B$16-PARAMS_MODELO!$B$15))))*PARAMS_MODELO!$B$7</f>
        <v>0</v>
      </c>
      <c r="G657" s="5">
        <f t="shared" si="241"/>
        <v>0</v>
      </c>
      <c r="H657" s="5">
        <f>(PARAMS_MODELO!$B$20*(MAX(0,MIN(3,E657))/3)+PARAMS_MODELO!$B$21*(IFERROR(LN(1+MAX(0,G657))/LN(1+MAX(0,MAX($G$2:$G$1194))),0)))*100*PARAMS_MODELO!$B$8</f>
        <v>0</v>
      </c>
      <c r="I657" s="8">
        <f>E657-PARAMS_MODELO!$B$5</f>
        <v>-0.33289396551618233</v>
      </c>
      <c r="J657" s="5">
        <f>IF(I657&lt;=PARAMS_MODELO!$B$18,0,IF(I657&gt;=PARAMS_MODELO!$B$19,100,100*(I657-PARAMS_MODELO!$B$18)/(PARAMS_MODELO!$B$19-PARAMS_MODELO!$B$18)))*PARAMS_MODELO!$B$9</f>
        <v>0</v>
      </c>
      <c r="K657" s="5">
        <f>IFERROR(CHOOSE(MATCH(PARAMS_MODELO!$B$2,{"Q1","Q2","Q3"},0),LOTO!$D657,LOTO!$F657,LOTO!$H657),0)</f>
        <v>2957500</v>
      </c>
      <c r="L657" s="8">
        <f t="shared" si="242"/>
        <v>4.7361525828061628E-2</v>
      </c>
      <c r="M657" s="5">
        <f>MIN(100,IF(PARAMS_MODELO!$B$23=0,0,100*L657/PARAMS_MODELO!$B$23))*PARAMS_MODELO!$B$10</f>
        <v>14.208457748418489</v>
      </c>
      <c r="N657" s="5">
        <f>IFERROR(VLOOKUP(A657,COMPLIANCE!$A$2:$F$1996,6,0),100)</f>
        <v>99.8</v>
      </c>
      <c r="O657" s="5">
        <f>N657*PARAMS_MODELO!$B$11</f>
        <v>9.98</v>
      </c>
      <c r="P657" s="5">
        <f>IFERROR(VLOOKUP(A657,DIGITAL!$A$2:$J$2000,7,0),100)</f>
        <v>99</v>
      </c>
      <c r="Q657" s="5">
        <f>IFERROR(P657,0)*PARAMS_MODELO!$B$12</f>
        <v>9.9</v>
      </c>
      <c r="R657">
        <f t="shared" si="243"/>
        <v>34.088457748418492</v>
      </c>
      <c r="S657" s="5" t="str">
        <f>IFERROR(VLOOKUP(A657,CLIENTE!$A$2:$N$2000,13,0),1)</f>
        <v>Malo</v>
      </c>
      <c r="T657" s="5">
        <f>IFERROR(VLOOKUP(A657,CLIENTE!$A$2:$N$2000,14,0),1)</f>
        <v>0.7</v>
      </c>
      <c r="U657" s="5">
        <f t="shared" si="244"/>
        <v>23.861920423892943</v>
      </c>
      <c r="V657" s="5" t="str">
        <f>IF(U657&gt;=MAX(_xlfn.PERCENTILE.INC($U$2:$U$1194,PARAMS_MODELO!$B$50),PARAMS_MODELO!$B$45),"DIAMANTE",IF(U657&gt;=MAX(_xlfn.PERCENTILE.INC($U$2:$U$1194,PARAMS_MODELO!$B$51),PARAMS_MODELO!$B$46),"PLATINO",IF(U657&gt;=MAX(_xlfn.PERCENTILE.INC($U$2:$U$1194,PARAMS_MODELO!$B$52),PARAMS_MODELO!$B$47),"ORO",IF(U657&gt;=MAX(_xlfn.PERCENTILE.INC($U$2:$U$1194,PARAMS_MODELO!$B$53),PARAMS_MODELO!$B$48),"PLATA",IF(U657&gt;=1,"BRONCE","CERRADO")))))</f>
        <v>BRONCE</v>
      </c>
      <c r="W657" s="5" t="str" cm="1">
        <f t="array" ref="W657">_xlfn.XLOOKUP(1, (HIST_SCORE!$B:$B=PARAMS_MODELO!$B$4) * (HIST_SCORE!$C:$C=A657), HIST_SCORE!$E:$E, "No encontrado")</f>
        <v>BRONCE</v>
      </c>
      <c r="X657" s="5" t="str">
        <f>_xlfn.LET(_xlpm.act,MATCH(V657,{"DIAMANTE";"PLATINO";"ORO";"PLATA";"BRONCE";"CERRADO"},0),_xlpm.ant,MATCH(W657,{"DIAMANTE";"PLATINO";"ORO";"PLATA";"BRONCE";"CERRADO"},0),IF(_xlpm.act&lt;_xlpm.ant,"Mejora ↑",IF(_xlpm.act&gt;_xlpm.ant,"Baja ↓","Estable →")))</f>
        <v>Estable →</v>
      </c>
      <c r="Y657" s="5">
        <f>IFERROR(U657-SUMIFS(HIST_SCORE!$D:$D,HIST_SCORE!$B:$B,PARAMS_MODELO!$B$4,HIST_SCORE!$C:$C,$A657),"")</f>
        <v>2.1730713884286672</v>
      </c>
      <c r="Z657" s="5" t="str">
        <f t="shared" si="245"/>
        <v>→ Estable</v>
      </c>
      <c r="AA657" s="5">
        <f t="shared" si="246"/>
        <v>924</v>
      </c>
      <c r="AB657" s="5">
        <f>IFERROR(SUMIFS(HIST_SCORE!$F:$F,HIST_SCORE!$B:$B,PARAMS_MODELO!$B$4,HIST_SCORE!$C:$C,$A657),"")</f>
        <v>972</v>
      </c>
      <c r="AC657" s="5">
        <f t="shared" si="247"/>
        <v>48</v>
      </c>
      <c r="AD657" t="str">
        <f t="shared" si="249"/>
        <v/>
      </c>
      <c r="AE6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657="CERRADO",1,IF(V657="BRONCE",_xlpm.cPl,IF(V657="PLATA",_xlpm.cO,IF(V657="ORO",_xlpm.cP,IF(V657="PLATINO",_xlpm.cD,999))))))</f>
        <v>24.506573482968111</v>
      </c>
      <c r="AF6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657="CERRADO",0,IF(V657="BRONCE",1,IF(V657="PLATA",_xlpm.cPl,IF(V657="ORO",_xlpm.cO,IF(V657="PLATINO",_xlpm.cP,_xlpm.cD))))))</f>
        <v>1</v>
      </c>
      <c r="AG657">
        <f t="shared" si="250"/>
        <v>0.92093294153595195</v>
      </c>
      <c r="AH657" t="str">
        <f t="shared" si="251"/>
        <v>CLIENTE</v>
      </c>
      <c r="AI657" t="str">
        <f t="shared" si="248"/>
        <v>🎯 Para subir de categoría, la eje con mayor impacto probable es CLIENTE (coef T). Acción: reducir quejas, mejorar incógnito y empujar reseñas. ΔR aprox: 0,9</v>
      </c>
      <c r="AJ657" s="26">
        <f>_xlfn.LET(_xlpm.piso,AF657,_xlpm.corte,AE657,_xlpm.prog,IF(_xlpm.corte&lt;=_xlpm.piso,0,MAX(0,MIN(1,(U657-_xlpm.piso)/(_xlpm.corte-_xlpm.piso)))),_xlpm.orden,{"DIAMANTE";"PLATINO";"ORO";"PLATA";"BRONCE";"CERRADO"},_xlpm.act,IFERROR(MATCH(V657,_xlpm.orden,0),6),_xlpm.ant,IFERROR(MATCH(W657,_xlpm.orden,0),6),_xlpm.ajmov,IF(_xlpm.act&lt;_xlpm.ant,0.08,IF(_xlpm.act&gt;_xlpm.ant,-0.08,0)),_xlpm.ajcli,IF(T657&lt;0.95,-0.06,0),_xlpm.prob,MAX(0,MIN(1,_xlpm.prog+_xlpm.ajmov+_xlpm.ajcli)),IF(OR(V657="DIAMANTE",V657="CERRADO"),0,ROUND(_xlpm.prob,2)))</f>
        <v>0.91</v>
      </c>
      <c r="AK657" t="str">
        <f t="shared" si="252"/>
        <v>Faltan 0,9 puntos base para subir a la siguiente categoría</v>
      </c>
      <c r="AL657" t="str">
        <f t="shared" si="253"/>
        <v>No aplica</v>
      </c>
      <c r="AM657">
        <f t="shared" si="254"/>
        <v>0.27</v>
      </c>
      <c r="AN657" t="str">
        <f t="shared" si="255"/>
        <v>PRIORIDAD BAJA – control normal</v>
      </c>
      <c r="AO657">
        <f t="shared" si="256"/>
        <v>45.403798492706905</v>
      </c>
      <c r="AP657">
        <f t="shared" si="257"/>
        <v>0.5540795761070576</v>
      </c>
      <c r="AQ657">
        <f t="shared" si="258"/>
        <v>1.39999999999997E-2</v>
      </c>
      <c r="AR657">
        <f t="shared" si="259"/>
        <v>6.9999999999999743E-2</v>
      </c>
      <c r="AS657">
        <f t="shared" si="260"/>
        <v>10.226537324525548</v>
      </c>
      <c r="AT657" t="str">
        <f t="shared" si="261"/>
        <v>VENTAS</v>
      </c>
      <c r="AU657">
        <f t="shared" si="262"/>
        <v>45.403798492706905</v>
      </c>
      <c r="AV657" t="str">
        <f t="shared" si="263"/>
        <v>Mayor retorno probable: VENTAS (+45,4 puntos finales potenciales).</v>
      </c>
    </row>
    <row r="658" spans="1:48" x14ac:dyDescent="0.3">
      <c r="A658" s="5">
        <v>51029038</v>
      </c>
      <c r="B658" s="5" t="str">
        <f>IFERROR(VLOOKUP(A658,VENTAS!$A$2:$B$1194,2,0),"")</f>
        <v>ROBERTS</v>
      </c>
      <c r="C658" s="5">
        <f>IFERROR(INDEX(VENTAS!$C$2:$E$1194,MATCH(A658,VENTAS!$A$2:$A$1194,0),MATCH(PARAMS_MODELO!$B$2,{"Q1","Q2","Q3"},0)),0)</f>
        <v>46569726.25</v>
      </c>
      <c r="D658" s="5">
        <f>IFERROR(INDEX(VENTAS!$F$2:$H$1194,MATCH(A658,VENTAS!$A$2:$A$1194,0),MATCH(PARAMS_MODELO!$B$2,{"Q1","Q2","Q3"},0)),0)</f>
        <v>62431071</v>
      </c>
      <c r="E658" s="8">
        <f t="shared" si="240"/>
        <v>0.34059347192318956</v>
      </c>
      <c r="F658" s="12">
        <f>IF(E658&lt;=PARAMS_MODELO!$B$15,0,IF(E658&gt;=PARAMS_MODELO!$B$17,100,100*MIN(1,(E658-PARAMS_MODELO!$B$15)/(PARAMS_MODELO!$B$16-PARAMS_MODELO!$B$15))))*PARAMS_MODELO!$B$7</f>
        <v>35</v>
      </c>
      <c r="G658" s="5">
        <f t="shared" si="241"/>
        <v>15861344.75</v>
      </c>
      <c r="H658" s="5">
        <f>(PARAMS_MODELO!$B$20*(MAX(0,MIN(3,E658))/3)+PARAMS_MODELO!$B$21*(IFERROR(LN(1+MAX(0,G658))/LN(1+MAX(0,MAX($G$2:$G$1194))),0)))*100*PARAMS_MODELO!$B$8</f>
        <v>5.0785189454857278</v>
      </c>
      <c r="I658" s="8">
        <f>E658-PARAMS_MODELO!$B$5</f>
        <v>0.16303063654766303</v>
      </c>
      <c r="J658" s="5">
        <f>IF(I658&lt;=PARAMS_MODELO!$B$18,0,IF(I658&gt;=PARAMS_MODELO!$B$19,100,100*(I658-PARAMS_MODELO!$B$18)/(PARAMS_MODELO!$B$19-PARAMS_MODELO!$B$18)))*PARAMS_MODELO!$B$9</f>
        <v>15</v>
      </c>
      <c r="K658" s="5">
        <f>IFERROR(CHOOSE(MATCH(PARAMS_MODELO!$B$2,{"Q1","Q2","Q3"},0),LOTO!$D658,LOTO!$F658,LOTO!$H658),0)</f>
        <v>2945000</v>
      </c>
      <c r="L658" s="8">
        <f t="shared" si="242"/>
        <v>4.7172024327437855E-2</v>
      </c>
      <c r="M658" s="5">
        <f>MIN(100,IF(PARAMS_MODELO!$B$23=0,0,100*L658/PARAMS_MODELO!$B$23))*PARAMS_MODELO!$B$10</f>
        <v>14.151607298231353</v>
      </c>
      <c r="N658" s="5">
        <f>IFERROR(VLOOKUP(A658,COMPLIANCE!$A$2:$F$1996,6,0),100)</f>
        <v>100</v>
      </c>
      <c r="O658" s="5">
        <f>N658*PARAMS_MODELO!$B$11</f>
        <v>10</v>
      </c>
      <c r="P658" s="5">
        <f>IFERROR(VLOOKUP(A658,DIGITAL!$A$2:$J$2000,7,0),100)</f>
        <v>85</v>
      </c>
      <c r="Q658" s="5">
        <f>IFERROR(P658,0)*PARAMS_MODELO!$B$12</f>
        <v>8.5</v>
      </c>
      <c r="R658">
        <f t="shared" si="243"/>
        <v>87.730126243717081</v>
      </c>
      <c r="S658" s="5" t="str">
        <f>IFERROR(VLOOKUP(A658,CLIENTE!$A$2:$N$2000,13,0),1)</f>
        <v>Malo</v>
      </c>
      <c r="T658" s="5">
        <f>IFERROR(VLOOKUP(A658,CLIENTE!$A$2:$N$2000,14,0),1)</f>
        <v>0.7</v>
      </c>
      <c r="U658" s="5">
        <f t="shared" si="244"/>
        <v>61.411088370601952</v>
      </c>
      <c r="V658" s="5" t="str">
        <f>IF(U658&gt;=MAX(_xlfn.PERCENTILE.INC($U$2:$U$1194,PARAMS_MODELO!$B$50),PARAMS_MODELO!$B$45),"DIAMANTE",IF(U658&gt;=MAX(_xlfn.PERCENTILE.INC($U$2:$U$1194,PARAMS_MODELO!$B$51),PARAMS_MODELO!$B$46),"PLATINO",IF(U658&gt;=MAX(_xlfn.PERCENTILE.INC($U$2:$U$1194,PARAMS_MODELO!$B$52),PARAMS_MODELO!$B$47),"ORO",IF(U658&gt;=MAX(_xlfn.PERCENTILE.INC($U$2:$U$1194,PARAMS_MODELO!$B$53),PARAMS_MODELO!$B$48),"PLATA",IF(U658&gt;=1,"BRONCE","CERRADO")))))</f>
        <v>PLATA</v>
      </c>
      <c r="W658" s="5" t="str" cm="1">
        <f t="array" ref="W658">_xlfn.XLOOKUP(1, (HIST_SCORE!$B:$B=PARAMS_MODELO!$B$4) * (HIST_SCORE!$C:$C=A658), HIST_SCORE!$E:$E, "No encontrado")</f>
        <v>PLATA</v>
      </c>
      <c r="X658" s="5" t="str">
        <f>_xlfn.LET(_xlpm.act,MATCH(V658,{"DIAMANTE";"PLATINO";"ORO";"PLATA";"BRONCE";"CERRADO"},0),_xlpm.ant,MATCH(W658,{"DIAMANTE";"PLATINO";"ORO";"PLATA";"BRONCE";"CERRADO"},0),IF(_xlpm.act&lt;_xlpm.ant,"Mejora ↑",IF(_xlpm.act&gt;_xlpm.ant,"Baja ↓","Estable →")))</f>
        <v>Estable →</v>
      </c>
      <c r="Y658" s="5">
        <f>IFERROR(U658-SUMIFS(HIST_SCORE!$D:$D,HIST_SCORE!$B:$B,PARAMS_MODELO!$B$4,HIST_SCORE!$C:$C,$A658),"")</f>
        <v>-0.62779150185488675</v>
      </c>
      <c r="Z658" s="5" t="str">
        <f t="shared" si="245"/>
        <v>→ Estable</v>
      </c>
      <c r="AA658" s="5">
        <f t="shared" si="246"/>
        <v>591</v>
      </c>
      <c r="AB658" s="5">
        <f>IFERROR(SUMIFS(HIST_SCORE!$F:$F,HIST_SCORE!$B:$B,PARAMS_MODELO!$B$4,HIST_SCORE!$C:$C,$A658),"")</f>
        <v>610</v>
      </c>
      <c r="AC658" s="5">
        <f t="shared" si="247"/>
        <v>19</v>
      </c>
      <c r="AD658" t="str">
        <f t="shared" si="249"/>
        <v/>
      </c>
      <c r="AE6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658="CERRADO",1,IF(V658="BRONCE",_xlpm.cPl,IF(V658="PLATA",_xlpm.cO,IF(V658="ORO",_xlpm.cP,IF(V658="PLATINO",_xlpm.cD,999))))))</f>
        <v>63.199193273331495</v>
      </c>
      <c r="AF6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658="CERRADO",0,IF(V658="BRONCE",1,IF(V658="PLATA",_xlpm.cPl,IF(V658="ORO",_xlpm.cO,IF(V658="PLATINO",_xlpm.cP,_xlpm.cD))))))</f>
        <v>24.506573482968111</v>
      </c>
      <c r="AG658">
        <f t="shared" si="250"/>
        <v>2.5544355753279149</v>
      </c>
      <c r="AH658" t="str">
        <f t="shared" si="251"/>
        <v>CLIENTE</v>
      </c>
      <c r="AI658" t="str">
        <f t="shared" si="248"/>
        <v>🎯 Para subir de categoría, la eje con mayor impacto probable es CLIENTE (coef T). Acción: reducir quejas, mejorar incógnito y empujar reseñas. ΔR aprox: 2,6</v>
      </c>
      <c r="AJ658" s="26">
        <f>_xlfn.LET(_xlpm.piso,AF658,_xlpm.corte,AE658,_xlpm.prog,IF(_xlpm.corte&lt;=_xlpm.piso,0,MAX(0,MIN(1,(U658-_xlpm.piso)/(_xlpm.corte-_xlpm.piso)))),_xlpm.orden,{"DIAMANTE";"PLATINO";"ORO";"PLATA";"BRONCE";"CERRADO"},_xlpm.act,IFERROR(MATCH(V658,_xlpm.orden,0),6),_xlpm.ant,IFERROR(MATCH(W658,_xlpm.orden,0),6),_xlpm.ajmov,IF(_xlpm.act&lt;_xlpm.ant,0.08,IF(_xlpm.act&gt;_xlpm.ant,-0.08,0)),_xlpm.ajcli,IF(T658&lt;0.95,-0.06,0),_xlpm.prob,MAX(0,MIN(1,_xlpm.prog+_xlpm.ajmov+_xlpm.ajcli)),IF(OR(V658="DIAMANTE",V658="CERRADO"),0,ROUND(_xlpm.prob,2)))</f>
        <v>0.89</v>
      </c>
      <c r="AK658" t="str">
        <f t="shared" si="252"/>
        <v>Faltan 2,6 puntos base para subir a la siguiente categoría</v>
      </c>
      <c r="AL658" t="str">
        <f t="shared" si="253"/>
        <v>Margen de seguridad: 36,9 puntos</v>
      </c>
      <c r="AM658">
        <f t="shared" si="254"/>
        <v>0.35</v>
      </c>
      <c r="AN658" t="str">
        <f t="shared" si="255"/>
        <v>PRIORIDAD BAJA – control normal</v>
      </c>
      <c r="AO658">
        <f t="shared" si="256"/>
        <v>6.8488352308669</v>
      </c>
      <c r="AP658">
        <f t="shared" si="257"/>
        <v>0.59387489123805304</v>
      </c>
      <c r="AQ658">
        <f t="shared" si="258"/>
        <v>0</v>
      </c>
      <c r="AR658">
        <f t="shared" si="259"/>
        <v>1.0499999999999998</v>
      </c>
      <c r="AS658">
        <f t="shared" si="260"/>
        <v>26.319037873115128</v>
      </c>
      <c r="AT658" t="str">
        <f t="shared" si="261"/>
        <v>CLIENTE</v>
      </c>
      <c r="AU658">
        <f t="shared" si="262"/>
        <v>26.319037873115128</v>
      </c>
      <c r="AV658" t="str">
        <f t="shared" si="263"/>
        <v>Mayor retorno probable: CLIENTE (+26,3 puntos finales potenciales).</v>
      </c>
    </row>
    <row r="659" spans="1:48" x14ac:dyDescent="0.3">
      <c r="A659" s="5">
        <v>51024168</v>
      </c>
      <c r="B659" s="5" t="str">
        <f>IFERROR(VLOOKUP(A659,VENTAS!$A$2:$B$1194,2,0),"")</f>
        <v>CICHETTO</v>
      </c>
      <c r="C659" s="5">
        <f>IFERROR(INDEX(VENTAS!$C$2:$E$1194,MATCH(A659,VENTAS!$A$2:$A$1194,0),MATCH(PARAMS_MODELO!$B$2,{"Q1","Q2","Q3"},0)),0)</f>
        <v>56342266.540000007</v>
      </c>
      <c r="D659" s="5">
        <f>IFERROR(INDEX(VENTAS!$F$2:$H$1194,MATCH(A659,VENTAS!$A$2:$A$1194,0),MATCH(PARAMS_MODELO!$B$2,{"Q1","Q2","Q3"},0)),0)</f>
        <v>62372931</v>
      </c>
      <c r="E659" s="8">
        <f t="shared" si="240"/>
        <v>0.10703624171240156</v>
      </c>
      <c r="F659" s="12">
        <f>IF(E659&lt;=PARAMS_MODELO!$B$15,0,IF(E659&gt;=PARAMS_MODELO!$B$17,100,100*MIN(1,(E659-PARAMS_MODELO!$B$15)/(PARAMS_MODELO!$B$16-PARAMS_MODELO!$B$15))))*PARAMS_MODELO!$B$7</f>
        <v>35</v>
      </c>
      <c r="G659" s="5">
        <f t="shared" si="241"/>
        <v>6030664.4599999934</v>
      </c>
      <c r="H659" s="5">
        <f>(PARAMS_MODELO!$B$20*(MAX(0,MIN(3,E659))/3)+PARAMS_MODELO!$B$21*(IFERROR(LN(1+MAX(0,G659))/LN(1+MAX(0,MAX($G$2:$G$1194))),0)))*100*PARAMS_MODELO!$B$8</f>
        <v>4.0343838461209041</v>
      </c>
      <c r="I659" s="8">
        <f>E659-PARAMS_MODELO!$B$5</f>
        <v>-7.052659366312497E-2</v>
      </c>
      <c r="J659" s="5">
        <f>IF(I659&lt;=PARAMS_MODELO!$B$18,0,IF(I659&gt;=PARAMS_MODELO!$B$19,100,100*(I659-PARAMS_MODELO!$B$18)/(PARAMS_MODELO!$B$19-PARAMS_MODELO!$B$18)))*PARAMS_MODELO!$B$9</f>
        <v>0</v>
      </c>
      <c r="K659" s="5">
        <f>IFERROR(CHOOSE(MATCH(PARAMS_MODELO!$B$2,{"Q1","Q2","Q3"},0),LOTO!$D659,LOTO!$F659,LOTO!$H659),0)</f>
        <v>2942500</v>
      </c>
      <c r="L659" s="8">
        <f t="shared" si="242"/>
        <v>4.717591353851882E-2</v>
      </c>
      <c r="M659" s="5">
        <f>MIN(100,IF(PARAMS_MODELO!$B$23=0,0,100*L659/PARAMS_MODELO!$B$23))*PARAMS_MODELO!$B$10</f>
        <v>14.152774061555643</v>
      </c>
      <c r="N659" s="5">
        <f>IFERROR(VLOOKUP(A659,COMPLIANCE!$A$2:$F$1996,6,0),100)</f>
        <v>100</v>
      </c>
      <c r="O659" s="5">
        <f>N659*PARAMS_MODELO!$B$11</f>
        <v>10</v>
      </c>
      <c r="P659" s="5">
        <f>IFERROR(VLOOKUP(A659,DIGITAL!$A$2:$J$2000,7,0),100)</f>
        <v>94</v>
      </c>
      <c r="Q659" s="5">
        <f>IFERROR(P659,0)*PARAMS_MODELO!$B$12</f>
        <v>9.4</v>
      </c>
      <c r="R659">
        <f t="shared" si="243"/>
        <v>72.587157907676556</v>
      </c>
      <c r="S659" s="5" t="str">
        <f>IFERROR(VLOOKUP(A659,CLIENTE!$A$2:$N$2000,13,0),1)</f>
        <v>Regular</v>
      </c>
      <c r="T659" s="5">
        <f>IFERROR(VLOOKUP(A659,CLIENTE!$A$2:$N$2000,14,0),1)</f>
        <v>1</v>
      </c>
      <c r="U659" s="5">
        <f t="shared" si="244"/>
        <v>72.587157907676556</v>
      </c>
      <c r="V659" s="5" t="str">
        <f>IF(U659&gt;=MAX(_xlfn.PERCENTILE.INC($U$2:$U$1194,PARAMS_MODELO!$B$50),PARAMS_MODELO!$B$45),"DIAMANTE",IF(U659&gt;=MAX(_xlfn.PERCENTILE.INC($U$2:$U$1194,PARAMS_MODELO!$B$51),PARAMS_MODELO!$B$46),"PLATINO",IF(U659&gt;=MAX(_xlfn.PERCENTILE.INC($U$2:$U$1194,PARAMS_MODELO!$B$52),PARAMS_MODELO!$B$47),"ORO",IF(U659&gt;=MAX(_xlfn.PERCENTILE.INC($U$2:$U$1194,PARAMS_MODELO!$B$53),PARAMS_MODELO!$B$48),"PLATA",IF(U659&gt;=1,"BRONCE","CERRADO")))))</f>
        <v>ORO</v>
      </c>
      <c r="W659" s="5" t="str" cm="1">
        <f t="array" ref="W659">_xlfn.XLOOKUP(1, (HIST_SCORE!$B:$B=PARAMS_MODELO!$B$4) * (HIST_SCORE!$C:$C=A659), HIST_SCORE!$E:$E, "No encontrado")</f>
        <v>PLATA</v>
      </c>
      <c r="X659" s="5" t="str">
        <f>_xlfn.LET(_xlpm.act,MATCH(V659,{"DIAMANTE";"PLATINO";"ORO";"PLATA";"BRONCE";"CERRADO"},0),_xlpm.ant,MATCH(W659,{"DIAMANTE";"PLATINO";"ORO";"PLATA";"BRONCE";"CERRADO"},0),IF(_xlpm.act&lt;_xlpm.ant,"Mejora ↑",IF(_xlpm.act&gt;_xlpm.ant,"Baja ↓","Estable →")))</f>
        <v>Mejora ↑</v>
      </c>
      <c r="Y659" s="5">
        <f>IFERROR(U659-SUMIFS(HIST_SCORE!$D:$D,HIST_SCORE!$B:$B,PARAMS_MODELO!$B$4,HIST_SCORE!$C:$C,$A659),"")</f>
        <v>29.116662375735501</v>
      </c>
      <c r="Z659" s="5" t="str">
        <f t="shared" si="245"/>
        <v>↑ Mejora</v>
      </c>
      <c r="AA659" s="5">
        <f t="shared" si="246"/>
        <v>493</v>
      </c>
      <c r="AB659" s="5">
        <f>IFERROR(SUMIFS(HIST_SCORE!$F:$F,HIST_SCORE!$B:$B,PARAMS_MODELO!$B$4,HIST_SCORE!$C:$C,$A659),"")</f>
        <v>832</v>
      </c>
      <c r="AC659" s="5">
        <f t="shared" si="247"/>
        <v>339</v>
      </c>
      <c r="AD659" t="str">
        <f t="shared" si="249"/>
        <v/>
      </c>
      <c r="AE6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659="CERRADO",1,IF(V659="BRONCE",_xlpm.cPl,IF(V659="PLATA",_xlpm.cO,IF(V659="ORO",_xlpm.cP,IF(V659="PLATINO",_xlpm.cD,999))))))</f>
        <v>86.439123873763251</v>
      </c>
      <c r="AF6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659="CERRADO",0,IF(V659="BRONCE",1,IF(V659="PLATA",_xlpm.cPl,IF(V659="ORO",_xlpm.cO,IF(V659="PLATINO",_xlpm.cP,_xlpm.cD))))))</f>
        <v>63.199193273331495</v>
      </c>
      <c r="AG659">
        <f t="shared" si="250"/>
        <v>13.851965966086695</v>
      </c>
      <c r="AH659" t="str">
        <f t="shared" si="251"/>
        <v>VENTAS</v>
      </c>
      <c r="AI659" t="str">
        <f t="shared" si="248"/>
        <v>🎯 Para subir de categoría, eje VENTAS / DIFERENCIAL vs LOTBA (J). Acción: metas semanales + activación comercial + seguimiento del asesor. ΔR aprox: 13,9</v>
      </c>
      <c r="AJ659" s="26">
        <f>_xlfn.LET(_xlpm.piso,AF659,_xlpm.corte,AE659,_xlpm.prog,IF(_xlpm.corte&lt;=_xlpm.piso,0,MAX(0,MIN(1,(U659-_xlpm.piso)/(_xlpm.corte-_xlpm.piso)))),_xlpm.orden,{"DIAMANTE";"PLATINO";"ORO";"PLATA";"BRONCE";"CERRADO"},_xlpm.act,IFERROR(MATCH(V659,_xlpm.orden,0),6),_xlpm.ant,IFERROR(MATCH(W659,_xlpm.orden,0),6),_xlpm.ajmov,IF(_xlpm.act&lt;_xlpm.ant,0.08,IF(_xlpm.act&gt;_xlpm.ant,-0.08,0)),_xlpm.ajcli,IF(T659&lt;0.95,-0.06,0),_xlpm.prob,MAX(0,MIN(1,_xlpm.prog+_xlpm.ajmov+_xlpm.ajcli)),IF(OR(V659="DIAMANTE",V659="CERRADO"),0,ROUND(_xlpm.prob,2)))</f>
        <v>0.48</v>
      </c>
      <c r="AK659" t="str">
        <f t="shared" si="252"/>
        <v>Faltan 13,9 puntos base para subir a la siguiente categoría</v>
      </c>
      <c r="AL659" t="str">
        <f t="shared" si="253"/>
        <v>Margen de seguridad: 9,4 puntos</v>
      </c>
      <c r="AM659">
        <f t="shared" si="254"/>
        <v>0.61</v>
      </c>
      <c r="AN659" t="str">
        <f t="shared" si="255"/>
        <v>PRIORIDAD MEDIA – seguimiento del asesor</v>
      </c>
      <c r="AO659">
        <f t="shared" si="256"/>
        <v>25.828185429174681</v>
      </c>
      <c r="AP659">
        <f t="shared" si="257"/>
        <v>0.84722593844435679</v>
      </c>
      <c r="AQ659">
        <f t="shared" si="258"/>
        <v>0</v>
      </c>
      <c r="AR659">
        <f t="shared" si="259"/>
        <v>0.59999999999999964</v>
      </c>
      <c r="AS659">
        <f t="shared" si="260"/>
        <v>0</v>
      </c>
      <c r="AT659" t="str">
        <f t="shared" si="261"/>
        <v>VENTAS</v>
      </c>
      <c r="AU659">
        <f t="shared" si="262"/>
        <v>25.828185429174681</v>
      </c>
      <c r="AV659" t="str">
        <f t="shared" si="263"/>
        <v>Mayor retorno probable: VENTAS (+25,8 puntos finales potenciales).</v>
      </c>
    </row>
    <row r="660" spans="1:48" x14ac:dyDescent="0.3">
      <c r="A660" s="5">
        <v>51023455</v>
      </c>
      <c r="B660" s="5" t="str">
        <f>IFERROR(VLOOKUP(A660,VENTAS!$A$2:$B$1194,2,0),"")</f>
        <v>AYALA</v>
      </c>
      <c r="C660" s="5">
        <f>IFERROR(INDEX(VENTAS!$C$2:$E$1194,MATCH(A660,VENTAS!$A$2:$A$1194,0),MATCH(PARAMS_MODELO!$B$2,{"Q1","Q2","Q3"},0)),0)</f>
        <v>55605180.5</v>
      </c>
      <c r="D660" s="5">
        <f>IFERROR(INDEX(VENTAS!$F$2:$H$1194,MATCH(A660,VENTAS!$A$2:$A$1194,0),MATCH(PARAMS_MODELO!$B$2,{"Q1","Q2","Q3"},0)),0)</f>
        <v>62227422</v>
      </c>
      <c r="E660" s="8">
        <f t="shared" si="240"/>
        <v>0.11909396643357728</v>
      </c>
      <c r="F660" s="12">
        <f>IF(E660&lt;=PARAMS_MODELO!$B$15,0,IF(E660&gt;=PARAMS_MODELO!$B$17,100,100*MIN(1,(E660-PARAMS_MODELO!$B$15)/(PARAMS_MODELO!$B$16-PARAMS_MODELO!$B$15))))*PARAMS_MODELO!$B$7</f>
        <v>35</v>
      </c>
      <c r="G660" s="5">
        <f t="shared" si="241"/>
        <v>6622241.5</v>
      </c>
      <c r="H660" s="5">
        <f>(PARAMS_MODELO!$B$20*(MAX(0,MIN(3,E660))/3)+PARAMS_MODELO!$B$21*(IFERROR(LN(1+MAX(0,G660))/LN(1+MAX(0,MAX($G$2:$G$1194))),0)))*100*PARAMS_MODELO!$B$8</f>
        <v>4.0985215665717361</v>
      </c>
      <c r="I660" s="8">
        <f>E660-PARAMS_MODELO!$B$5</f>
        <v>-5.8468868941949248E-2</v>
      </c>
      <c r="J660" s="5">
        <f>IF(I660&lt;=PARAMS_MODELO!$B$18,0,IF(I660&gt;=PARAMS_MODELO!$B$19,100,100*(I660-PARAMS_MODELO!$B$18)/(PARAMS_MODELO!$B$19-PARAMS_MODELO!$B$18)))*PARAMS_MODELO!$B$9</f>
        <v>0</v>
      </c>
      <c r="K660" s="5">
        <f>IFERROR(CHOOSE(MATCH(PARAMS_MODELO!$B$2,{"Q1","Q2","Q3"},0),LOTO!$D660,LOTO!$F660,LOTO!$H660),0)</f>
        <v>2940000</v>
      </c>
      <c r="L660" s="8">
        <f t="shared" si="242"/>
        <v>4.72460517486969E-2</v>
      </c>
      <c r="M660" s="5">
        <f>MIN(100,IF(PARAMS_MODELO!$B$23=0,0,100*L660/PARAMS_MODELO!$B$23))*PARAMS_MODELO!$B$10</f>
        <v>14.173815524609067</v>
      </c>
      <c r="N660" s="5">
        <f>IFERROR(VLOOKUP(A660,COMPLIANCE!$A$2:$F$1996,6,0),100)</f>
        <v>100</v>
      </c>
      <c r="O660" s="5">
        <f>N660*PARAMS_MODELO!$B$11</f>
        <v>10</v>
      </c>
      <c r="P660" s="5">
        <f>IFERROR(VLOOKUP(A660,DIGITAL!$A$2:$J$2000,7,0),100)</f>
        <v>58</v>
      </c>
      <c r="Q660" s="5">
        <f>IFERROR(P660,0)*PARAMS_MODELO!$B$12</f>
        <v>5.8000000000000007</v>
      </c>
      <c r="R660">
        <f t="shared" si="243"/>
        <v>69.072337091180799</v>
      </c>
      <c r="S660" s="5" t="str">
        <f>IFERROR(VLOOKUP(A660,CLIENTE!$A$2:$N$2000,13,0),1)</f>
        <v>Malo</v>
      </c>
      <c r="T660" s="5">
        <f>IFERROR(VLOOKUP(A660,CLIENTE!$A$2:$N$2000,14,0),1)</f>
        <v>0.7</v>
      </c>
      <c r="U660" s="5">
        <f t="shared" si="244"/>
        <v>48.350635963826555</v>
      </c>
      <c r="V660" s="5" t="str">
        <f>IF(U660&gt;=MAX(_xlfn.PERCENTILE.INC($U$2:$U$1194,PARAMS_MODELO!$B$50),PARAMS_MODELO!$B$45),"DIAMANTE",IF(U660&gt;=MAX(_xlfn.PERCENTILE.INC($U$2:$U$1194,PARAMS_MODELO!$B$51),PARAMS_MODELO!$B$46),"PLATINO",IF(U660&gt;=MAX(_xlfn.PERCENTILE.INC($U$2:$U$1194,PARAMS_MODELO!$B$52),PARAMS_MODELO!$B$47),"ORO",IF(U660&gt;=MAX(_xlfn.PERCENTILE.INC($U$2:$U$1194,PARAMS_MODELO!$B$53),PARAMS_MODELO!$B$48),"PLATA",IF(U660&gt;=1,"BRONCE","CERRADO")))))</f>
        <v>PLATA</v>
      </c>
      <c r="W660" s="5" t="str" cm="1">
        <f t="array" ref="W660">_xlfn.XLOOKUP(1, (HIST_SCORE!$B:$B=PARAMS_MODELO!$B$4) * (HIST_SCORE!$C:$C=A660), HIST_SCORE!$E:$E, "No encontrado")</f>
        <v>PLATA</v>
      </c>
      <c r="X660" s="5" t="str">
        <f>_xlfn.LET(_xlpm.act,MATCH(V660,{"DIAMANTE";"PLATINO";"ORO";"PLATA";"BRONCE";"CERRADO"},0),_xlpm.ant,MATCH(W660,{"DIAMANTE";"PLATINO";"ORO";"PLATA";"BRONCE";"CERRADO"},0),IF(_xlpm.act&lt;_xlpm.ant,"Mejora ↑",IF(_xlpm.act&gt;_xlpm.ant,"Baja ↓","Estable →")))</f>
        <v>Estable →</v>
      </c>
      <c r="Y660" s="5">
        <f>IFERROR(U660-SUMIFS(HIST_SCORE!$D:$D,HIST_SCORE!$B:$B,PARAMS_MODELO!$B$4,HIST_SCORE!$C:$C,$A660),"")</f>
        <v>5.1344434679086532</v>
      </c>
      <c r="Z660" s="5" t="str">
        <f t="shared" si="245"/>
        <v>↑ Mejora</v>
      </c>
      <c r="AA660" s="5">
        <f t="shared" si="246"/>
        <v>753</v>
      </c>
      <c r="AB660" s="5">
        <f>IFERROR(SUMIFS(HIST_SCORE!$F:$F,HIST_SCORE!$B:$B,PARAMS_MODELO!$B$4,HIST_SCORE!$C:$C,$A660),"")</f>
        <v>836</v>
      </c>
      <c r="AC660" s="5">
        <f t="shared" si="247"/>
        <v>83</v>
      </c>
      <c r="AD660" t="str">
        <f t="shared" si="249"/>
        <v/>
      </c>
      <c r="AE6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660="CERRADO",1,IF(V660="BRONCE",_xlpm.cPl,IF(V660="PLATA",_xlpm.cO,IF(V660="ORO",_xlpm.cP,IF(V660="PLATINO",_xlpm.cD,999))))))</f>
        <v>63.199193273331495</v>
      </c>
      <c r="AF6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660="CERRADO",0,IF(V660="BRONCE",1,IF(V660="PLATA",_xlpm.cPl,IF(V660="ORO",_xlpm.cO,IF(V660="PLATINO",_xlpm.cP,_xlpm.cD))))))</f>
        <v>24.506573482968111</v>
      </c>
      <c r="AG660">
        <f t="shared" si="250"/>
        <v>21.212224727864196</v>
      </c>
      <c r="AH660" t="str">
        <f t="shared" si="251"/>
        <v>CLIENTE</v>
      </c>
      <c r="AI660" t="str">
        <f t="shared" si="248"/>
        <v>🎯 Para subir de categoría, la eje con mayor impacto probable es CLIENTE (coef T). Acción: reducir quejas, mejorar incógnito y empujar reseñas. ΔR aprox: 21,2</v>
      </c>
      <c r="AJ660" s="26">
        <f>_xlfn.LET(_xlpm.piso,AF660,_xlpm.corte,AE660,_xlpm.prog,IF(_xlpm.corte&lt;=_xlpm.piso,0,MAX(0,MIN(1,(U660-_xlpm.piso)/(_xlpm.corte-_xlpm.piso)))),_xlpm.orden,{"DIAMANTE";"PLATINO";"ORO";"PLATA";"BRONCE";"CERRADO"},_xlpm.act,IFERROR(MATCH(V660,_xlpm.orden,0),6),_xlpm.ant,IFERROR(MATCH(W660,_xlpm.orden,0),6),_xlpm.ajmov,IF(_xlpm.act&lt;_xlpm.ant,0.08,IF(_xlpm.act&gt;_xlpm.ant,-0.08,0)),_xlpm.ajcli,IF(T660&lt;0.95,-0.06,0),_xlpm.prob,MAX(0,MIN(1,_xlpm.prog+_xlpm.ajmov+_xlpm.ajcli)),IF(OR(V660="DIAMANTE",V660="CERRADO"),0,ROUND(_xlpm.prob,2)))</f>
        <v>0.56000000000000005</v>
      </c>
      <c r="AK660" t="str">
        <f t="shared" si="252"/>
        <v>Faltan 21,2 puntos base para subir a la siguiente categoría</v>
      </c>
      <c r="AL660" t="str">
        <f t="shared" si="253"/>
        <v>Margen de seguridad: 23,8 puntos</v>
      </c>
      <c r="AM660">
        <f t="shared" si="254"/>
        <v>0.78</v>
      </c>
      <c r="AN660" t="str">
        <f t="shared" si="255"/>
        <v>PRIORIDAD ALTA – requiere intervención inmediata</v>
      </c>
      <c r="AO660">
        <f t="shared" si="256"/>
        <v>18.034833396106695</v>
      </c>
      <c r="AP660">
        <f t="shared" si="257"/>
        <v>0.57832913277365328</v>
      </c>
      <c r="AQ660">
        <f t="shared" si="258"/>
        <v>0</v>
      </c>
      <c r="AR660">
        <f t="shared" si="259"/>
        <v>2.9399999999999995</v>
      </c>
      <c r="AS660">
        <f t="shared" si="260"/>
        <v>20.721701127354244</v>
      </c>
      <c r="AT660" t="str">
        <f t="shared" si="261"/>
        <v>CLIENTE</v>
      </c>
      <c r="AU660">
        <f t="shared" si="262"/>
        <v>20.721701127354244</v>
      </c>
      <c r="AV660" t="str">
        <f t="shared" si="263"/>
        <v>Mayor retorno probable: CLIENTE (+20,7 puntos finales potenciales).</v>
      </c>
    </row>
    <row r="661" spans="1:48" x14ac:dyDescent="0.3">
      <c r="A661" s="5">
        <v>51016131</v>
      </c>
      <c r="B661" s="5" t="str">
        <f>IFERROR(VLOOKUP(A661,VENTAS!$A$2:$B$1194,2,0),"")</f>
        <v>MONTENEGRO</v>
      </c>
      <c r="C661" s="5">
        <f>IFERROR(INDEX(VENTAS!$C$2:$E$1194,MATCH(A661,VENTAS!$A$2:$A$1194,0),MATCH(PARAMS_MODELO!$B$2,{"Q1","Q2","Q3"},0)),0)</f>
        <v>56483037.469999999</v>
      </c>
      <c r="D661" s="5">
        <f>IFERROR(INDEX(VENTAS!$F$2:$H$1194,MATCH(A661,VENTAS!$A$2:$A$1194,0),MATCH(PARAMS_MODELO!$B$2,{"Q1","Q2","Q3"},0)),0)</f>
        <v>62027660</v>
      </c>
      <c r="E661" s="8">
        <f t="shared" si="240"/>
        <v>9.8164383120240783E-2</v>
      </c>
      <c r="F661" s="12">
        <f>IF(E661&lt;=PARAMS_MODELO!$B$15,0,IF(E661&gt;=PARAMS_MODELO!$B$17,100,100*MIN(1,(E661-PARAMS_MODELO!$B$15)/(PARAMS_MODELO!$B$16-PARAMS_MODELO!$B$15))))*PARAMS_MODELO!$B$7</f>
        <v>34.357534092084272</v>
      </c>
      <c r="G661" s="5">
        <f t="shared" si="241"/>
        <v>5544622.5300000012</v>
      </c>
      <c r="H661" s="5">
        <f>(PARAMS_MODELO!$B$20*(MAX(0,MIN(3,E661))/3)+PARAMS_MODELO!$B$21*(IFERROR(LN(1+MAX(0,G661))/LN(1+MAX(0,MAX($G$2:$G$1194))),0)))*100*PARAMS_MODELO!$B$8</f>
        <v>3.9836348552125793</v>
      </c>
      <c r="I661" s="8">
        <f>E661-PARAMS_MODELO!$B$5</f>
        <v>-7.9398452255285745E-2</v>
      </c>
      <c r="J661" s="5">
        <f>IF(I661&lt;=PARAMS_MODELO!$B$18,0,IF(I661&gt;=PARAMS_MODELO!$B$19,100,100*(I661-PARAMS_MODELO!$B$18)/(PARAMS_MODELO!$B$19-PARAMS_MODELO!$B$18)))*PARAMS_MODELO!$B$9</f>
        <v>0</v>
      </c>
      <c r="K661" s="5">
        <f>IFERROR(CHOOSE(MATCH(PARAMS_MODELO!$B$2,{"Q1","Q2","Q3"},0),LOTO!$D661,LOTO!$F661,LOTO!$H661),0)</f>
        <v>2932500</v>
      </c>
      <c r="L661" s="8">
        <f t="shared" si="242"/>
        <v>4.7277295322764069E-2</v>
      </c>
      <c r="M661" s="5">
        <f>MIN(100,IF(PARAMS_MODELO!$B$23=0,0,100*L661/PARAMS_MODELO!$B$23))*PARAMS_MODELO!$B$10</f>
        <v>14.18318859682922</v>
      </c>
      <c r="N661" s="5">
        <f>IFERROR(VLOOKUP(A661,COMPLIANCE!$A$2:$F$1996,6,0),100)</f>
        <v>100</v>
      </c>
      <c r="O661" s="5">
        <f>N661*PARAMS_MODELO!$B$11</f>
        <v>10</v>
      </c>
      <c r="P661" s="5">
        <f>IFERROR(VLOOKUP(A661,DIGITAL!$A$2:$J$2000,7,0),100)</f>
        <v>71</v>
      </c>
      <c r="Q661" s="5">
        <f>IFERROR(P661,0)*PARAMS_MODELO!$B$12</f>
        <v>7.1000000000000005</v>
      </c>
      <c r="R661">
        <f t="shared" si="243"/>
        <v>69.62435754412607</v>
      </c>
      <c r="S661" s="5" t="str">
        <f>IFERROR(VLOOKUP(A661,CLIENTE!$A$2:$N$2000,13,0),1)</f>
        <v>Muy Bueno</v>
      </c>
      <c r="T661" s="5">
        <f>IFERROR(VLOOKUP(A661,CLIENTE!$A$2:$N$2000,14,0),1)</f>
        <v>1.1499999999999999</v>
      </c>
      <c r="U661" s="5">
        <f t="shared" si="244"/>
        <v>80.068011175744971</v>
      </c>
      <c r="V661" s="5" t="str">
        <f>IF(U661&gt;=MAX(_xlfn.PERCENTILE.INC($U$2:$U$1194,PARAMS_MODELO!$B$50),PARAMS_MODELO!$B$45),"DIAMANTE",IF(U661&gt;=MAX(_xlfn.PERCENTILE.INC($U$2:$U$1194,PARAMS_MODELO!$B$51),PARAMS_MODELO!$B$46),"PLATINO",IF(U661&gt;=MAX(_xlfn.PERCENTILE.INC($U$2:$U$1194,PARAMS_MODELO!$B$52),PARAMS_MODELO!$B$47),"ORO",IF(U661&gt;=MAX(_xlfn.PERCENTILE.INC($U$2:$U$1194,PARAMS_MODELO!$B$53),PARAMS_MODELO!$B$48),"PLATA",IF(U661&gt;=1,"BRONCE","CERRADO")))))</f>
        <v>ORO</v>
      </c>
      <c r="W661" s="5" t="str" cm="1">
        <f t="array" ref="W661">_xlfn.XLOOKUP(1, (HIST_SCORE!$B:$B=PARAMS_MODELO!$B$4) * (HIST_SCORE!$C:$C=A661), HIST_SCORE!$E:$E, "No encontrado")</f>
        <v>DIAMANTE</v>
      </c>
      <c r="X661" s="5" t="str">
        <f>_xlfn.LET(_xlpm.act,MATCH(V661,{"DIAMANTE";"PLATINO";"ORO";"PLATA";"BRONCE";"CERRADO"},0),_xlpm.ant,MATCH(W661,{"DIAMANTE";"PLATINO";"ORO";"PLATA";"BRONCE";"CERRADO"},0),IF(_xlpm.act&lt;_xlpm.ant,"Mejora ↑",IF(_xlpm.act&gt;_xlpm.ant,"Baja ↓","Estable →")))</f>
        <v>Baja ↓</v>
      </c>
      <c r="Y661" s="5">
        <f>IFERROR(U661-SUMIFS(HIST_SCORE!$D:$D,HIST_SCORE!$B:$B,PARAMS_MODELO!$B$4,HIST_SCORE!$C:$C,$A661),"")</f>
        <v>-16.618769487614756</v>
      </c>
      <c r="Z661" s="5" t="str">
        <f t="shared" si="245"/>
        <v>↓ Baja</v>
      </c>
      <c r="AA661" s="5">
        <f t="shared" si="246"/>
        <v>439</v>
      </c>
      <c r="AB661" s="5">
        <f>IFERROR(SUMIFS(HIST_SCORE!$F:$F,HIST_SCORE!$B:$B,PARAMS_MODELO!$B$4,HIST_SCORE!$C:$C,$A661),"")</f>
        <v>44</v>
      </c>
      <c r="AC661" s="5">
        <f t="shared" si="247"/>
        <v>-395</v>
      </c>
      <c r="AD661" t="str">
        <f t="shared" si="249"/>
        <v>Sostener base y reforzar mix</v>
      </c>
      <c r="AE6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661="CERRADO",1,IF(V661="BRONCE",_xlpm.cPl,IF(V661="PLATA",_xlpm.cO,IF(V661="ORO",_xlpm.cP,IF(V661="PLATINO",_xlpm.cD,999))))))</f>
        <v>86.439123873763251</v>
      </c>
      <c r="AF6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661="CERRADO",0,IF(V661="BRONCE",1,IF(V661="PLATA",_xlpm.cPl,IF(V661="ORO",_xlpm.cO,IF(V661="PLATINO",_xlpm.cP,_xlpm.cD))))))</f>
        <v>63.199193273331495</v>
      </c>
      <c r="AG661">
        <f t="shared" si="250"/>
        <v>5.5400979982767637</v>
      </c>
      <c r="AH661" t="str">
        <f t="shared" si="251"/>
        <v>VENTAS</v>
      </c>
      <c r="AI661" t="str">
        <f t="shared" si="248"/>
        <v>🎯 Para subir de categoría, eje VENTAS / DIFERENCIAL vs LOTBA (J). Acción: metas semanales + activación comercial + seguimiento del asesor. ΔR aprox: 5,5</v>
      </c>
      <c r="AJ661" s="26">
        <f>_xlfn.LET(_xlpm.piso,AF661,_xlpm.corte,AE661,_xlpm.prog,IF(_xlpm.corte&lt;=_xlpm.piso,0,MAX(0,MIN(1,(U661-_xlpm.piso)/(_xlpm.corte-_xlpm.piso)))),_xlpm.orden,{"DIAMANTE";"PLATINO";"ORO";"PLATA";"BRONCE";"CERRADO"},_xlpm.act,IFERROR(MATCH(V661,_xlpm.orden,0),6),_xlpm.ant,IFERROR(MATCH(W661,_xlpm.orden,0),6),_xlpm.ajmov,IF(_xlpm.act&lt;_xlpm.ant,0.08,IF(_xlpm.act&gt;_xlpm.ant,-0.08,0)),_xlpm.ajcli,IF(T661&lt;0.95,-0.06,0),_xlpm.prob,MAX(0,MIN(1,_xlpm.prog+_xlpm.ajmov+_xlpm.ajcli)),IF(OR(V661="DIAMANTE",V661="CERRADO"),0,ROUND(_xlpm.prob,2)))</f>
        <v>0.65</v>
      </c>
      <c r="AK661" t="str">
        <f t="shared" si="252"/>
        <v>Faltan 5,5 puntos base para subir a la siguiente categoría</v>
      </c>
      <c r="AL661" t="str">
        <f t="shared" si="253"/>
        <v>Margen de seguridad: 16,9 puntos</v>
      </c>
      <c r="AM661">
        <f t="shared" si="254"/>
        <v>0.36</v>
      </c>
      <c r="AN661" t="str">
        <f t="shared" si="255"/>
        <v>PRIORIDAD BAJA – control normal</v>
      </c>
      <c r="AO661">
        <f t="shared" si="256"/>
        <v>30.499610377198543</v>
      </c>
      <c r="AP661">
        <f t="shared" si="257"/>
        <v>0.93933311364639671</v>
      </c>
      <c r="AQ661">
        <f t="shared" si="258"/>
        <v>0</v>
      </c>
      <c r="AR661">
        <f t="shared" si="259"/>
        <v>3.3349999999999991</v>
      </c>
      <c r="AS661">
        <f t="shared" si="260"/>
        <v>0</v>
      </c>
      <c r="AT661" t="str">
        <f t="shared" si="261"/>
        <v>VENTAS</v>
      </c>
      <c r="AU661">
        <f t="shared" si="262"/>
        <v>30.499610377198543</v>
      </c>
      <c r="AV661" t="str">
        <f t="shared" si="263"/>
        <v>Mayor retorno probable: VENTAS (+30,5 puntos finales potenciales).</v>
      </c>
    </row>
    <row r="662" spans="1:48" x14ac:dyDescent="0.3">
      <c r="A662" s="5">
        <v>51016408</v>
      </c>
      <c r="B662" s="5" t="str">
        <f>IFERROR(VLOOKUP(A662,VENTAS!$A$2:$B$1194,2,0),"")</f>
        <v>MONTENEGRO</v>
      </c>
      <c r="C662" s="5">
        <f>IFERROR(INDEX(VENTAS!$C$2:$E$1194,MATCH(A662,VENTAS!$A$2:$A$1194,0),MATCH(PARAMS_MODELO!$B$2,{"Q1","Q2","Q3"},0)),0)</f>
        <v>33991575.880000003</v>
      </c>
      <c r="D662" s="5">
        <f>IFERROR(INDEX(VENTAS!$F$2:$H$1194,MATCH(A662,VENTAS!$A$2:$A$1194,0),MATCH(PARAMS_MODELO!$B$2,{"Q1","Q2","Q3"},0)),0)</f>
        <v>61978457</v>
      </c>
      <c r="E662" s="8">
        <f t="shared" si="240"/>
        <v>0.8233475617253434</v>
      </c>
      <c r="F662" s="12">
        <f>IF(E662&lt;=PARAMS_MODELO!$B$15,0,IF(E662&gt;=PARAMS_MODELO!$B$17,100,100*MIN(1,(E662-PARAMS_MODELO!$B$15)/(PARAMS_MODELO!$B$16-PARAMS_MODELO!$B$15))))*PARAMS_MODELO!$B$7</f>
        <v>35</v>
      </c>
      <c r="G662" s="5">
        <f t="shared" si="241"/>
        <v>27986881.119999997</v>
      </c>
      <c r="H662" s="5">
        <f>(PARAMS_MODELO!$B$20*(MAX(0,MIN(3,E662))/3)+PARAMS_MODELO!$B$21*(IFERROR(LN(1+MAX(0,G662))/LN(1+MAX(0,MAX($G$2:$G$1194))),0)))*100*PARAMS_MODELO!$B$8</f>
        <v>6.9012704243388194</v>
      </c>
      <c r="I662" s="8">
        <f>E662-PARAMS_MODELO!$B$5</f>
        <v>0.64578472634981687</v>
      </c>
      <c r="J662" s="5">
        <f>IF(I662&lt;=PARAMS_MODELO!$B$18,0,IF(I662&gt;=PARAMS_MODELO!$B$19,100,100*(I662-PARAMS_MODELO!$B$18)/(PARAMS_MODELO!$B$19-PARAMS_MODELO!$B$18)))*PARAMS_MODELO!$B$9</f>
        <v>15</v>
      </c>
      <c r="K662" s="5">
        <f>IFERROR(CHOOSE(MATCH(PARAMS_MODELO!$B$2,{"Q1","Q2","Q3"},0),LOTO!$D662,LOTO!$F662,LOTO!$H662),0)</f>
        <v>2932500</v>
      </c>
      <c r="L662" s="8">
        <f t="shared" si="242"/>
        <v>4.7314827473036315E-2</v>
      </c>
      <c r="M662" s="5">
        <f>MIN(100,IF(PARAMS_MODELO!$B$23=0,0,100*L662/PARAMS_MODELO!$B$23))*PARAMS_MODELO!$B$10</f>
        <v>14.194448241910893</v>
      </c>
      <c r="N662" s="5">
        <f>IFERROR(VLOOKUP(A662,COMPLIANCE!$A$2:$F$1996,6,0),100)</f>
        <v>99.85</v>
      </c>
      <c r="O662" s="5">
        <f>N662*PARAMS_MODELO!$B$11</f>
        <v>9.9849999999999994</v>
      </c>
      <c r="P662" s="5">
        <f>IFERROR(VLOOKUP(A662,DIGITAL!$A$2:$J$2000,7,0),100)</f>
        <v>56</v>
      </c>
      <c r="Q662" s="5">
        <f>IFERROR(P662,0)*PARAMS_MODELO!$B$12</f>
        <v>5.6000000000000005</v>
      </c>
      <c r="R662">
        <f t="shared" si="243"/>
        <v>86.680718666249703</v>
      </c>
      <c r="S662" s="5" t="str">
        <f>IFERROR(VLOOKUP(A662,CLIENTE!$A$2:$N$2000,13,0),1)</f>
        <v>Regular</v>
      </c>
      <c r="T662" s="5">
        <f>IFERROR(VLOOKUP(A662,CLIENTE!$A$2:$N$2000,14,0),1)</f>
        <v>1</v>
      </c>
      <c r="U662" s="5">
        <f t="shared" si="244"/>
        <v>86.680718666249703</v>
      </c>
      <c r="V662" s="5" t="str">
        <f>IF(U662&gt;=MAX(_xlfn.PERCENTILE.INC($U$2:$U$1194,PARAMS_MODELO!$B$50),PARAMS_MODELO!$B$45),"DIAMANTE",IF(U662&gt;=MAX(_xlfn.PERCENTILE.INC($U$2:$U$1194,PARAMS_MODELO!$B$51),PARAMS_MODELO!$B$46),"PLATINO",IF(U662&gt;=MAX(_xlfn.PERCENTILE.INC($U$2:$U$1194,PARAMS_MODELO!$B$52),PARAMS_MODELO!$B$47),"ORO",IF(U662&gt;=MAX(_xlfn.PERCENTILE.INC($U$2:$U$1194,PARAMS_MODELO!$B$53),PARAMS_MODELO!$B$48),"PLATA",IF(U662&gt;=1,"BRONCE","CERRADO")))))</f>
        <v>PLATINO</v>
      </c>
      <c r="W662" s="5" t="str" cm="1">
        <f t="array" ref="W662">_xlfn.XLOOKUP(1, (HIST_SCORE!$B:$B=PARAMS_MODELO!$B$4) * (HIST_SCORE!$C:$C=A662), HIST_SCORE!$E:$E, "No encontrado")</f>
        <v>PLATINO</v>
      </c>
      <c r="X662" s="5" t="str">
        <f>_xlfn.LET(_xlpm.act,MATCH(V662,{"DIAMANTE";"PLATINO";"ORO";"PLATA";"BRONCE";"CERRADO"},0),_xlpm.ant,MATCH(W662,{"DIAMANTE";"PLATINO";"ORO";"PLATA";"BRONCE";"CERRADO"},0),IF(_xlpm.act&lt;_xlpm.ant,"Mejora ↑",IF(_xlpm.act&gt;_xlpm.ant,"Baja ↓","Estable →")))</f>
        <v>Estable →</v>
      </c>
      <c r="Y662" s="5">
        <f>IFERROR(U662-SUMIFS(HIST_SCORE!$D:$D,HIST_SCORE!$B:$B,PARAMS_MODELO!$B$4,HIST_SCORE!$C:$C,$A662),"")</f>
        <v>-6.7449512789538346</v>
      </c>
      <c r="Z662" s="5" t="str">
        <f t="shared" si="245"/>
        <v>↓ Baja</v>
      </c>
      <c r="AA662" s="5">
        <f t="shared" si="246"/>
        <v>233</v>
      </c>
      <c r="AB662" s="5">
        <f>IFERROR(SUMIFS(HIST_SCORE!$F:$F,HIST_SCORE!$B:$B,PARAMS_MODELO!$B$4,HIST_SCORE!$C:$C,$A662),"")</f>
        <v>80</v>
      </c>
      <c r="AC662" s="5">
        <f t="shared" si="247"/>
        <v>-153</v>
      </c>
      <c r="AD662" t="str">
        <f t="shared" si="249"/>
        <v/>
      </c>
      <c r="AE6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662="CERRADO",1,IF(V662="BRONCE",_xlpm.cPl,IF(V662="PLATA",_xlpm.cO,IF(V662="ORO",_xlpm.cP,IF(V662="PLATINO",_xlpm.cD,999))))))</f>
        <v>96.054919694466676</v>
      </c>
      <c r="AF6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662="CERRADO",0,IF(V662="BRONCE",1,IF(V662="PLATA",_xlpm.cPl,IF(V662="ORO",_xlpm.cO,IF(V662="PLATINO",_xlpm.cP,_xlpm.cD))))))</f>
        <v>86.439123873763251</v>
      </c>
      <c r="AG662">
        <f t="shared" si="250"/>
        <v>9.374201028216973</v>
      </c>
      <c r="AH662" t="str">
        <f t="shared" si="251"/>
        <v>VENTAS</v>
      </c>
      <c r="AI662" t="str">
        <f t="shared" si="248"/>
        <v>🎯 Para subir de categoría, eje VENTAS / IMPACTO ABSOLUTO (H). Acción: metas semanales + activación comercial + seguimiento del asesor. ΔR aprox: 9,4</v>
      </c>
      <c r="AJ662" s="26">
        <f>_xlfn.LET(_xlpm.piso,AF662,_xlpm.corte,AE662,_xlpm.prog,IF(_xlpm.corte&lt;=_xlpm.piso,0,MAX(0,MIN(1,(U662-_xlpm.piso)/(_xlpm.corte-_xlpm.piso)))),_xlpm.orden,{"DIAMANTE";"PLATINO";"ORO";"PLATA";"BRONCE";"CERRADO"},_xlpm.act,IFERROR(MATCH(V662,_xlpm.orden,0),6),_xlpm.ant,IFERROR(MATCH(W662,_xlpm.orden,0),6),_xlpm.ajmov,IF(_xlpm.act&lt;_xlpm.ant,0.08,IF(_xlpm.act&gt;_xlpm.ant,-0.08,0)),_xlpm.ajcli,IF(T662&lt;0.95,-0.06,0),_xlpm.prob,MAX(0,MIN(1,_xlpm.prog+_xlpm.ajmov+_xlpm.ajcli)),IF(OR(V662="DIAMANTE",V662="CERRADO"),0,ROUND(_xlpm.prob,2)))</f>
        <v>0.03</v>
      </c>
      <c r="AK662" t="str">
        <f t="shared" si="252"/>
        <v>Faltan 9,4 puntos base para subir a la siguiente categoría</v>
      </c>
      <c r="AL662" t="str">
        <f t="shared" si="253"/>
        <v>Margen de seguridad: 0,2 puntos</v>
      </c>
      <c r="AM662">
        <f t="shared" si="254"/>
        <v>0.76</v>
      </c>
      <c r="AN662" t="str">
        <f t="shared" si="255"/>
        <v>PRIORIDAD ALTA – requiere intervención inmediata</v>
      </c>
      <c r="AO662">
        <f t="shared" si="256"/>
        <v>7.9612988509567657</v>
      </c>
      <c r="AP662">
        <f t="shared" si="257"/>
        <v>0.80555175808910739</v>
      </c>
      <c r="AQ662">
        <f t="shared" si="258"/>
        <v>1.5000000000000568E-2</v>
      </c>
      <c r="AR662">
        <f t="shared" si="259"/>
        <v>4.3999999999999995</v>
      </c>
      <c r="AS662">
        <f t="shared" si="260"/>
        <v>0</v>
      </c>
      <c r="AT662" t="str">
        <f t="shared" si="261"/>
        <v>VENTAS</v>
      </c>
      <c r="AU662">
        <f t="shared" si="262"/>
        <v>7.9612988509567657</v>
      </c>
      <c r="AV662" t="str">
        <f t="shared" si="263"/>
        <v>Mayor retorno probable: VENTAS (+8,0 puntos finales potenciales).</v>
      </c>
    </row>
    <row r="663" spans="1:48" x14ac:dyDescent="0.3">
      <c r="A663" s="5">
        <v>51056914</v>
      </c>
      <c r="B663" s="5" t="str">
        <f>IFERROR(VLOOKUP(A663,VENTAS!$A$2:$B$1194,2,0),"")</f>
        <v>CICHETTO</v>
      </c>
      <c r="C663" s="5">
        <f>IFERROR(INDEX(VENTAS!$C$2:$E$1194,MATCH(A663,VENTAS!$A$2:$A$1194,0),MATCH(PARAMS_MODELO!$B$2,{"Q1","Q2","Q3"},0)),0)</f>
        <v>42785196.159999996</v>
      </c>
      <c r="D663" s="5">
        <f>IFERROR(INDEX(VENTAS!$F$2:$H$1194,MATCH(A663,VENTAS!$A$2:$A$1194,0),MATCH(PARAMS_MODELO!$B$2,{"Q1","Q2","Q3"},0)),0)</f>
        <v>61805693</v>
      </c>
      <c r="E663" s="8">
        <f t="shared" si="240"/>
        <v>0.44455789728930406</v>
      </c>
      <c r="F663" s="12">
        <f>IF(E663&lt;=PARAMS_MODELO!$B$15,0,IF(E663&gt;=PARAMS_MODELO!$B$17,100,100*MIN(1,(E663-PARAMS_MODELO!$B$15)/(PARAMS_MODELO!$B$16-PARAMS_MODELO!$B$15))))*PARAMS_MODELO!$B$7</f>
        <v>35</v>
      </c>
      <c r="G663" s="5">
        <f t="shared" si="241"/>
        <v>19020496.840000004</v>
      </c>
      <c r="H663" s="5">
        <f>(PARAMS_MODELO!$B$20*(MAX(0,MIN(3,E663))/3)+PARAMS_MODELO!$B$21*(IFERROR(LN(1+MAX(0,G663))/LN(1+MAX(0,MAX($G$2:$G$1194))),0)))*100*PARAMS_MODELO!$B$8</f>
        <v>5.4849715498977352</v>
      </c>
      <c r="I663" s="8">
        <f>E663-PARAMS_MODELO!$B$5</f>
        <v>0.26699506191377753</v>
      </c>
      <c r="J663" s="5">
        <f>IF(I663&lt;=PARAMS_MODELO!$B$18,0,IF(I663&gt;=PARAMS_MODELO!$B$19,100,100*(I663-PARAMS_MODELO!$B$18)/(PARAMS_MODELO!$B$19-PARAMS_MODELO!$B$18)))*PARAMS_MODELO!$B$9</f>
        <v>15</v>
      </c>
      <c r="K663" s="5">
        <f>IFERROR(CHOOSE(MATCH(PARAMS_MODELO!$B$2,{"Q1","Q2","Q3"},0),LOTO!$D663,LOTO!$F663,LOTO!$H663),0)</f>
        <v>2932500</v>
      </c>
      <c r="L663" s="8">
        <f t="shared" si="242"/>
        <v>4.7447085497447625E-2</v>
      </c>
      <c r="M663" s="5">
        <f>MIN(100,IF(PARAMS_MODELO!$B$23=0,0,100*L663/PARAMS_MODELO!$B$23))*PARAMS_MODELO!$B$10</f>
        <v>14.234125649234286</v>
      </c>
      <c r="N663" s="5">
        <f>IFERROR(VLOOKUP(A663,COMPLIANCE!$A$2:$F$1996,6,0),100)</f>
        <v>99.4</v>
      </c>
      <c r="O663" s="5">
        <f>N663*PARAMS_MODELO!$B$11</f>
        <v>9.9400000000000013</v>
      </c>
      <c r="P663" s="5">
        <f>IFERROR(VLOOKUP(A663,DIGITAL!$A$2:$J$2000,7,0),100)</f>
        <v>91</v>
      </c>
      <c r="Q663" s="5">
        <f>IFERROR(P663,0)*PARAMS_MODELO!$B$12</f>
        <v>9.1</v>
      </c>
      <c r="R663">
        <f t="shared" si="243"/>
        <v>88.759097199132015</v>
      </c>
      <c r="S663" s="5" t="str">
        <f>IFERROR(VLOOKUP(A663,CLIENTE!$A$2:$N$2000,13,0),1)</f>
        <v>Regular</v>
      </c>
      <c r="T663" s="5">
        <f>IFERROR(VLOOKUP(A663,CLIENTE!$A$2:$N$2000,14,0),1)</f>
        <v>1</v>
      </c>
      <c r="U663" s="5">
        <f t="shared" si="244"/>
        <v>88.759097199132015</v>
      </c>
      <c r="V663" s="5" t="str">
        <f>IF(U663&gt;=MAX(_xlfn.PERCENTILE.INC($U$2:$U$1194,PARAMS_MODELO!$B$50),PARAMS_MODELO!$B$45),"DIAMANTE",IF(U663&gt;=MAX(_xlfn.PERCENTILE.INC($U$2:$U$1194,PARAMS_MODELO!$B$51),PARAMS_MODELO!$B$46),"PLATINO",IF(U663&gt;=MAX(_xlfn.PERCENTILE.INC($U$2:$U$1194,PARAMS_MODELO!$B$52),PARAMS_MODELO!$B$47),"ORO",IF(U663&gt;=MAX(_xlfn.PERCENTILE.INC($U$2:$U$1194,PARAMS_MODELO!$B$53),PARAMS_MODELO!$B$48),"PLATA",IF(U663&gt;=1,"BRONCE","CERRADO")))))</f>
        <v>PLATINO</v>
      </c>
      <c r="W663" s="5" t="str" cm="1">
        <f t="array" ref="W663">_xlfn.XLOOKUP(1, (HIST_SCORE!$B:$B=PARAMS_MODELO!$B$4) * (HIST_SCORE!$C:$C=A663), HIST_SCORE!$E:$E, "No encontrado")</f>
        <v>PLATINO</v>
      </c>
      <c r="X663" s="5" t="str">
        <f>_xlfn.LET(_xlpm.act,MATCH(V663,{"DIAMANTE";"PLATINO";"ORO";"PLATA";"BRONCE";"CERRADO"},0),_xlpm.ant,MATCH(W663,{"DIAMANTE";"PLATINO";"ORO";"PLATA";"BRONCE";"CERRADO"},0),IF(_xlpm.act&lt;_xlpm.ant,"Mejora ↑",IF(_xlpm.act&gt;_xlpm.ant,"Baja ↓","Estable →")))</f>
        <v>Estable →</v>
      </c>
      <c r="Y663" s="5">
        <f>IFERROR(U663-SUMIFS(HIST_SCORE!$D:$D,HIST_SCORE!$B:$B,PARAMS_MODELO!$B$4,HIST_SCORE!$C:$C,$A663),"")</f>
        <v>0.72609788192217195</v>
      </c>
      <c r="Z663" s="5" t="str">
        <f t="shared" si="245"/>
        <v>→ Estable</v>
      </c>
      <c r="AA663" s="5">
        <f t="shared" si="246"/>
        <v>174</v>
      </c>
      <c r="AB663" s="5">
        <f>IFERROR(SUMIFS(HIST_SCORE!$F:$F,HIST_SCORE!$B:$B,PARAMS_MODELO!$B$4,HIST_SCORE!$C:$C,$A663),"")</f>
        <v>176</v>
      </c>
      <c r="AC663" s="5">
        <f t="shared" si="247"/>
        <v>2</v>
      </c>
      <c r="AD663" t="str">
        <f t="shared" si="249"/>
        <v/>
      </c>
      <c r="AE6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663="CERRADO",1,IF(V663="BRONCE",_xlpm.cPl,IF(V663="PLATA",_xlpm.cO,IF(V663="ORO",_xlpm.cP,IF(V663="PLATINO",_xlpm.cD,999))))))</f>
        <v>96.054919694466676</v>
      </c>
      <c r="AF6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663="CERRADO",0,IF(V663="BRONCE",1,IF(V663="PLATA",_xlpm.cPl,IF(V663="ORO",_xlpm.cO,IF(V663="PLATINO",_xlpm.cP,_xlpm.cD))))))</f>
        <v>86.439123873763251</v>
      </c>
      <c r="AG663">
        <f t="shared" si="250"/>
        <v>7.2958224953346615</v>
      </c>
      <c r="AH663" t="str">
        <f t="shared" si="251"/>
        <v>VENTAS</v>
      </c>
      <c r="AI663" t="str">
        <f t="shared" si="248"/>
        <v>🎯 Para subir de categoría, eje VENTAS / IMPACTO ABSOLUTO (H). Acción: metas semanales + activación comercial + seguimiento del asesor. ΔR aprox: 7,3</v>
      </c>
      <c r="AJ663" s="26">
        <f>_xlfn.LET(_xlpm.piso,AF663,_xlpm.corte,AE663,_xlpm.prog,IF(_xlpm.corte&lt;=_xlpm.piso,0,MAX(0,MIN(1,(U663-_xlpm.piso)/(_xlpm.corte-_xlpm.piso)))),_xlpm.orden,{"DIAMANTE";"PLATINO";"ORO";"PLATA";"BRONCE";"CERRADO"},_xlpm.act,IFERROR(MATCH(V663,_xlpm.orden,0),6),_xlpm.ant,IFERROR(MATCH(W663,_xlpm.orden,0),6),_xlpm.ajmov,IF(_xlpm.act&lt;_xlpm.ant,0.08,IF(_xlpm.act&gt;_xlpm.ant,-0.08,0)),_xlpm.ajcli,IF(T663&lt;0.95,-0.06,0),_xlpm.prob,MAX(0,MIN(1,_xlpm.prog+_xlpm.ajmov+_xlpm.ajcli)),IF(OR(V663="DIAMANTE",V663="CERRADO"),0,ROUND(_xlpm.prob,2)))</f>
        <v>0.24</v>
      </c>
      <c r="AK663" t="str">
        <f t="shared" si="252"/>
        <v>Faltan 7,3 puntos base para subir a la siguiente categoría</v>
      </c>
      <c r="AL663" t="str">
        <f t="shared" si="253"/>
        <v>Margen de seguridad: 2,3 puntos</v>
      </c>
      <c r="AM663">
        <f t="shared" si="254"/>
        <v>0.6</v>
      </c>
      <c r="AN663" t="str">
        <f t="shared" si="255"/>
        <v>PRIORIDAD MEDIA – seguimiento del asesor</v>
      </c>
      <c r="AO663">
        <f t="shared" si="256"/>
        <v>9.3775977253978482</v>
      </c>
      <c r="AP663">
        <f t="shared" si="257"/>
        <v>0.76587435076571353</v>
      </c>
      <c r="AQ663">
        <f t="shared" si="258"/>
        <v>5.9999999999998721E-2</v>
      </c>
      <c r="AR663">
        <f t="shared" si="259"/>
        <v>0.90000000000000036</v>
      </c>
      <c r="AS663">
        <f t="shared" si="260"/>
        <v>0</v>
      </c>
      <c r="AT663" t="str">
        <f t="shared" si="261"/>
        <v>VENTAS</v>
      </c>
      <c r="AU663">
        <f t="shared" si="262"/>
        <v>9.3775977253978482</v>
      </c>
      <c r="AV663" t="str">
        <f t="shared" si="263"/>
        <v>Mayor retorno probable: VENTAS (+9,4 puntos finales potenciales).</v>
      </c>
    </row>
    <row r="664" spans="1:48" x14ac:dyDescent="0.3">
      <c r="A664" s="5">
        <v>51016858</v>
      </c>
      <c r="B664" s="5" t="str">
        <f>IFERROR(VLOOKUP(A664,VENTAS!$A$2:$B$1194,2,0),"")</f>
        <v>PRADES</v>
      </c>
      <c r="C664" s="5">
        <f>IFERROR(INDEX(VENTAS!$C$2:$E$1194,MATCH(A664,VENTAS!$A$2:$A$1194,0),MATCH(PARAMS_MODELO!$B$2,{"Q1","Q2","Q3"},0)),0)</f>
        <v>38237408.799999997</v>
      </c>
      <c r="D664" s="5">
        <f>IFERROR(INDEX(VENTAS!$F$2:$H$1194,MATCH(A664,VENTAS!$A$2:$A$1194,0),MATCH(PARAMS_MODELO!$B$2,{"Q1","Q2","Q3"},0)),0)</f>
        <v>61662498</v>
      </c>
      <c r="E664" s="8">
        <f t="shared" si="240"/>
        <v>0.61262229672843316</v>
      </c>
      <c r="F664" s="12">
        <f>IF(E664&lt;=PARAMS_MODELO!$B$15,0,IF(E664&gt;=PARAMS_MODELO!$B$17,100,100*MIN(1,(E664-PARAMS_MODELO!$B$15)/(PARAMS_MODELO!$B$16-PARAMS_MODELO!$B$15))))*PARAMS_MODELO!$B$7</f>
        <v>35</v>
      </c>
      <c r="G664" s="5">
        <f t="shared" si="241"/>
        <v>23425089.200000003</v>
      </c>
      <c r="H664" s="5">
        <f>(PARAMS_MODELO!$B$20*(MAX(0,MIN(3,E664))/3)+PARAMS_MODELO!$B$21*(IFERROR(LN(1+MAX(0,G664))/LN(1+MAX(0,MAX($G$2:$G$1194))),0)))*100*PARAMS_MODELO!$B$8</f>
        <v>6.122023136678818</v>
      </c>
      <c r="I664" s="8">
        <f>E664-PARAMS_MODELO!$B$5</f>
        <v>0.43505946135290663</v>
      </c>
      <c r="J664" s="5">
        <f>IF(I664&lt;=PARAMS_MODELO!$B$18,0,IF(I664&gt;=PARAMS_MODELO!$B$19,100,100*(I664-PARAMS_MODELO!$B$18)/(PARAMS_MODELO!$B$19-PARAMS_MODELO!$B$18)))*PARAMS_MODELO!$B$9</f>
        <v>15</v>
      </c>
      <c r="K664" s="5">
        <f>IFERROR(CHOOSE(MATCH(PARAMS_MODELO!$B$2,{"Q1","Q2","Q3"},0),LOTO!$D664,LOTO!$F664,LOTO!$H664),0)</f>
        <v>2912500</v>
      </c>
      <c r="L664" s="8">
        <f t="shared" si="242"/>
        <v>4.7232922675302581E-2</v>
      </c>
      <c r="M664" s="5">
        <f>MIN(100,IF(PARAMS_MODELO!$B$23=0,0,100*L664/PARAMS_MODELO!$B$23))*PARAMS_MODELO!$B$10</f>
        <v>14.169876802590775</v>
      </c>
      <c r="N664" s="5">
        <f>IFERROR(VLOOKUP(A664,COMPLIANCE!$A$2:$F$1996,6,0),100)</f>
        <v>100</v>
      </c>
      <c r="O664" s="5">
        <f>N664*PARAMS_MODELO!$B$11</f>
        <v>10</v>
      </c>
      <c r="P664" s="5">
        <f>IFERROR(VLOOKUP(A664,DIGITAL!$A$2:$J$2000,7,0),100)</f>
        <v>96</v>
      </c>
      <c r="Q664" s="5">
        <f>IFERROR(P664,0)*PARAMS_MODELO!$B$12</f>
        <v>9.6000000000000014</v>
      </c>
      <c r="R664">
        <f t="shared" si="243"/>
        <v>89.891899939269592</v>
      </c>
      <c r="S664" s="5" t="str">
        <f>IFERROR(VLOOKUP(A664,CLIENTE!$A$2:$N$2000,13,0),1)</f>
        <v>Bueno</v>
      </c>
      <c r="T664" s="5">
        <f>IFERROR(VLOOKUP(A664,CLIENTE!$A$2:$N$2000,14,0),1)</f>
        <v>1.1000000000000001</v>
      </c>
      <c r="U664" s="5">
        <f t="shared" si="244"/>
        <v>98.881089933196563</v>
      </c>
      <c r="V664" s="5" t="str">
        <f>IF(U664&gt;=MAX(_xlfn.PERCENTILE.INC($U$2:$U$1194,PARAMS_MODELO!$B$50),PARAMS_MODELO!$B$45),"DIAMANTE",IF(U664&gt;=MAX(_xlfn.PERCENTILE.INC($U$2:$U$1194,PARAMS_MODELO!$B$51),PARAMS_MODELO!$B$46),"PLATINO",IF(U664&gt;=MAX(_xlfn.PERCENTILE.INC($U$2:$U$1194,PARAMS_MODELO!$B$52),PARAMS_MODELO!$B$47),"ORO",IF(U664&gt;=MAX(_xlfn.PERCENTILE.INC($U$2:$U$1194,PARAMS_MODELO!$B$53),PARAMS_MODELO!$B$48),"PLATA",IF(U664&gt;=1,"BRONCE","CERRADO")))))</f>
        <v>DIAMANTE</v>
      </c>
      <c r="W664" s="5" t="str" cm="1">
        <f t="array" ref="W664">_xlfn.XLOOKUP(1, (HIST_SCORE!$B:$B=PARAMS_MODELO!$B$4) * (HIST_SCORE!$C:$C=A664), HIST_SCORE!$E:$E, "No encontrado")</f>
        <v>DIAMANTE</v>
      </c>
      <c r="X664" s="5" t="str">
        <f>_xlfn.LET(_xlpm.act,MATCH(V664,{"DIAMANTE";"PLATINO";"ORO";"PLATA";"BRONCE";"CERRADO"},0),_xlpm.ant,MATCH(W664,{"DIAMANTE";"PLATINO";"ORO";"PLATA";"BRONCE";"CERRADO"},0),IF(_xlpm.act&lt;_xlpm.ant,"Mejora ↑",IF(_xlpm.act&gt;_xlpm.ant,"Baja ↓","Estable →")))</f>
        <v>Estable →</v>
      </c>
      <c r="Y664" s="5">
        <f>IFERROR(U664-SUMIFS(HIST_SCORE!$D:$D,HIST_SCORE!$B:$B,PARAMS_MODELO!$B$4,HIST_SCORE!$C:$C,$A664),"")</f>
        <v>-0.44390938911008959</v>
      </c>
      <c r="Z664" s="5" t="str">
        <f t="shared" si="245"/>
        <v>→ Estable</v>
      </c>
      <c r="AA664" s="5">
        <f t="shared" si="246"/>
        <v>24</v>
      </c>
      <c r="AB664" s="5">
        <f>IFERROR(SUMIFS(HIST_SCORE!$F:$F,HIST_SCORE!$B:$B,PARAMS_MODELO!$B$4,HIST_SCORE!$C:$C,$A664),"")</f>
        <v>21</v>
      </c>
      <c r="AC664" s="5">
        <f t="shared" si="247"/>
        <v>-3</v>
      </c>
      <c r="AD664" t="str">
        <f t="shared" si="249"/>
        <v/>
      </c>
      <c r="AE6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664="CERRADO",1,IF(V664="BRONCE",_xlpm.cPl,IF(V664="PLATA",_xlpm.cO,IF(V664="ORO",_xlpm.cP,IF(V664="PLATINO",_xlpm.cD,999))))))</f>
        <v>999</v>
      </c>
      <c r="AF6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664="CERRADO",0,IF(V664="BRONCE",1,IF(V664="PLATA",_xlpm.cPl,IF(V664="ORO",_xlpm.cO,IF(V664="PLATINO",_xlpm.cP,_xlpm.cD))))))</f>
        <v>96.054919694466676</v>
      </c>
      <c r="AG664">
        <f t="shared" si="250"/>
        <v>818.28991824254854</v>
      </c>
      <c r="AH664" t="str">
        <f t="shared" si="251"/>
        <v>SOSTENER</v>
      </c>
      <c r="AI664" t="str">
        <f t="shared" si="248"/>
        <v>✅ Mantener desempeño y monitorear variaciones para sostener categoría.</v>
      </c>
      <c r="AJ664" s="26">
        <f>_xlfn.LET(_xlpm.piso,AF664,_xlpm.corte,AE664,_xlpm.prog,IF(_xlpm.corte&lt;=_xlpm.piso,0,MAX(0,MIN(1,(U664-_xlpm.piso)/(_xlpm.corte-_xlpm.piso)))),_xlpm.orden,{"DIAMANTE";"PLATINO";"ORO";"PLATA";"BRONCE";"CERRADO"},_xlpm.act,IFERROR(MATCH(V664,_xlpm.orden,0),6),_xlpm.ant,IFERROR(MATCH(W664,_xlpm.orden,0),6),_xlpm.ajmov,IF(_xlpm.act&lt;_xlpm.ant,0.08,IF(_xlpm.act&gt;_xlpm.ant,-0.08,0)),_xlpm.ajcli,IF(T664&lt;0.95,-0.06,0),_xlpm.prob,MAX(0,MIN(1,_xlpm.prog+_xlpm.ajmov+_xlpm.ajcli)),IF(OR(V664="DIAMANTE",V664="CERRADO"),0,ROUND(_xlpm.prob,2)))</f>
        <v>0</v>
      </c>
      <c r="AK664" t="str">
        <f t="shared" si="252"/>
        <v>No aplica</v>
      </c>
      <c r="AL664" t="str">
        <f t="shared" si="253"/>
        <v>Margen de seguridad: 2,8 puntos</v>
      </c>
      <c r="AM664">
        <f t="shared" si="254"/>
        <v>0.8</v>
      </c>
      <c r="AN664" t="str">
        <f t="shared" si="255"/>
        <v>PRIORIDAD ALTA – requiere intervención inmediata</v>
      </c>
      <c r="AO664">
        <f t="shared" si="256"/>
        <v>9.6146007524784416</v>
      </c>
      <c r="AP664">
        <f t="shared" si="257"/>
        <v>0.91313551715014796</v>
      </c>
      <c r="AQ664">
        <f t="shared" si="258"/>
        <v>0</v>
      </c>
      <c r="AR664">
        <f t="shared" si="259"/>
        <v>0.43999999999999845</v>
      </c>
      <c r="AS664">
        <f t="shared" si="260"/>
        <v>0</v>
      </c>
      <c r="AT664" t="str">
        <f t="shared" si="261"/>
        <v>VENTAS</v>
      </c>
      <c r="AU664">
        <f t="shared" si="262"/>
        <v>9.6146007524784416</v>
      </c>
      <c r="AV664" t="str">
        <f t="shared" si="263"/>
        <v>Mayor retorno probable: VENTAS (+9,6 puntos finales potenciales).</v>
      </c>
    </row>
    <row r="665" spans="1:48" x14ac:dyDescent="0.3">
      <c r="A665" s="5">
        <v>51035666</v>
      </c>
      <c r="B665" s="5" t="str">
        <f>IFERROR(VLOOKUP(A665,VENTAS!$A$2:$B$1194,2,0),"")</f>
        <v>METTLER</v>
      </c>
      <c r="C665" s="5">
        <f>IFERROR(INDEX(VENTAS!$C$2:$E$1194,MATCH(A665,VENTAS!$A$2:$A$1194,0),MATCH(PARAMS_MODELO!$B$2,{"Q1","Q2","Q3"},0)),0)</f>
        <v>46484628.619999997</v>
      </c>
      <c r="D665" s="5">
        <f>IFERROR(INDEX(VENTAS!$F$2:$H$1194,MATCH(A665,VENTAS!$A$2:$A$1194,0),MATCH(PARAMS_MODELO!$B$2,{"Q1","Q2","Q3"},0)),0)</f>
        <v>61374282</v>
      </c>
      <c r="E665" s="8">
        <f t="shared" si="240"/>
        <v>0.32031348473748444</v>
      </c>
      <c r="F665" s="12">
        <f>IF(E665&lt;=PARAMS_MODELO!$B$15,0,IF(E665&gt;=PARAMS_MODELO!$B$17,100,100*MIN(1,(E665-PARAMS_MODELO!$B$15)/(PARAMS_MODELO!$B$16-PARAMS_MODELO!$B$15))))*PARAMS_MODELO!$B$7</f>
        <v>35</v>
      </c>
      <c r="G665" s="5">
        <f t="shared" si="241"/>
        <v>14889653.380000003</v>
      </c>
      <c r="H665" s="5">
        <f>(PARAMS_MODELO!$B$20*(MAX(0,MIN(3,E665))/3)+PARAMS_MODELO!$B$21*(IFERROR(LN(1+MAX(0,G665))/LN(1+MAX(0,MAX($G$2:$G$1194))),0)))*100*PARAMS_MODELO!$B$8</f>
        <v>4.992719707873686</v>
      </c>
      <c r="I665" s="8">
        <f>E665-PARAMS_MODELO!$B$5</f>
        <v>0.14275064936195792</v>
      </c>
      <c r="J665" s="5">
        <f>IF(I665&lt;=PARAMS_MODELO!$B$18,0,IF(I665&gt;=PARAMS_MODELO!$B$19,100,100*(I665-PARAMS_MODELO!$B$18)/(PARAMS_MODELO!$B$19-PARAMS_MODELO!$B$18)))*PARAMS_MODELO!$B$9</f>
        <v>15</v>
      </c>
      <c r="K665" s="5">
        <f>IFERROR(CHOOSE(MATCH(PARAMS_MODELO!$B$2,{"Q1","Q2","Q3"},0),LOTO!$D665,LOTO!$F665,LOTO!$H665),0)</f>
        <v>2905000</v>
      </c>
      <c r="L665" s="8">
        <f t="shared" si="242"/>
        <v>4.7332529283193897E-2</v>
      </c>
      <c r="M665" s="5">
        <f>MIN(100,IF(PARAMS_MODELO!$B$23=0,0,100*L665/PARAMS_MODELO!$B$23))*PARAMS_MODELO!$B$10</f>
        <v>14.199758784958167</v>
      </c>
      <c r="N665" s="5">
        <f>IFERROR(VLOOKUP(A665,COMPLIANCE!$A$2:$F$1996,6,0),100)</f>
        <v>99.7</v>
      </c>
      <c r="O665" s="5">
        <f>N665*PARAMS_MODELO!$B$11</f>
        <v>9.9700000000000006</v>
      </c>
      <c r="P665" s="5">
        <f>IFERROR(VLOOKUP(A665,DIGITAL!$A$2:$J$2000,7,0),100)</f>
        <v>73</v>
      </c>
      <c r="Q665" s="5">
        <f>IFERROR(P665,0)*PARAMS_MODELO!$B$12</f>
        <v>7.3000000000000007</v>
      </c>
      <c r="R665">
        <f t="shared" si="243"/>
        <v>86.462478492831849</v>
      </c>
      <c r="S665" s="5" t="str">
        <f>IFERROR(VLOOKUP(A665,CLIENTE!$A$2:$N$2000,13,0),1)</f>
        <v>Regular</v>
      </c>
      <c r="T665" s="5">
        <f>IFERROR(VLOOKUP(A665,CLIENTE!$A$2:$N$2000,14,0),1)</f>
        <v>1</v>
      </c>
      <c r="U665" s="5">
        <f t="shared" si="244"/>
        <v>86.462478492831849</v>
      </c>
      <c r="V665" s="5" t="str">
        <f>IF(U665&gt;=MAX(_xlfn.PERCENTILE.INC($U$2:$U$1194,PARAMS_MODELO!$B$50),PARAMS_MODELO!$B$45),"DIAMANTE",IF(U665&gt;=MAX(_xlfn.PERCENTILE.INC($U$2:$U$1194,PARAMS_MODELO!$B$51),PARAMS_MODELO!$B$46),"PLATINO",IF(U665&gt;=MAX(_xlfn.PERCENTILE.INC($U$2:$U$1194,PARAMS_MODELO!$B$52),PARAMS_MODELO!$B$47),"ORO",IF(U665&gt;=MAX(_xlfn.PERCENTILE.INC($U$2:$U$1194,PARAMS_MODELO!$B$53),PARAMS_MODELO!$B$48),"PLATA",IF(U665&gt;=1,"BRONCE","CERRADO")))))</f>
        <v>PLATINO</v>
      </c>
      <c r="W665" s="5" t="str" cm="1">
        <f t="array" ref="W665">_xlfn.XLOOKUP(1, (HIST_SCORE!$B:$B=PARAMS_MODELO!$B$4) * (HIST_SCORE!$C:$C=A665), HIST_SCORE!$E:$E, "No encontrado")</f>
        <v>ORO</v>
      </c>
      <c r="X665" s="5" t="str">
        <f>_xlfn.LET(_xlpm.act,MATCH(V665,{"DIAMANTE";"PLATINO";"ORO";"PLATA";"BRONCE";"CERRADO"},0),_xlpm.ant,MATCH(W665,{"DIAMANTE";"PLATINO";"ORO";"PLATA";"BRONCE";"CERRADO"},0),IF(_xlpm.act&lt;_xlpm.ant,"Mejora ↑",IF(_xlpm.act&gt;_xlpm.ant,"Baja ↓","Estable →")))</f>
        <v>Mejora ↑</v>
      </c>
      <c r="Y665" s="5">
        <f>IFERROR(U665-SUMIFS(HIST_SCORE!$D:$D,HIST_SCORE!$B:$B,PARAMS_MODELO!$B$4,HIST_SCORE!$C:$C,$A665),"")</f>
        <v>2.3480678652139346</v>
      </c>
      <c r="Z665" s="5" t="str">
        <f t="shared" si="245"/>
        <v>→ Estable</v>
      </c>
      <c r="AA665" s="5">
        <f t="shared" si="246"/>
        <v>238</v>
      </c>
      <c r="AB665" s="5">
        <f>IFERROR(SUMIFS(HIST_SCORE!$F:$F,HIST_SCORE!$B:$B,PARAMS_MODELO!$B$4,HIST_SCORE!$C:$C,$A665),"")</f>
        <v>287</v>
      </c>
      <c r="AC665" s="5">
        <f t="shared" si="247"/>
        <v>49</v>
      </c>
      <c r="AD665" t="str">
        <f t="shared" si="249"/>
        <v/>
      </c>
      <c r="AE6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665="CERRADO",1,IF(V665="BRONCE",_xlpm.cPl,IF(V665="PLATA",_xlpm.cO,IF(V665="ORO",_xlpm.cP,IF(V665="PLATINO",_xlpm.cD,999))))))</f>
        <v>96.054919694466676</v>
      </c>
      <c r="AF6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665="CERRADO",0,IF(V665="BRONCE",1,IF(V665="PLATA",_xlpm.cPl,IF(V665="ORO",_xlpm.cO,IF(V665="PLATINO",_xlpm.cP,_xlpm.cD))))))</f>
        <v>86.439123873763251</v>
      </c>
      <c r="AG665">
        <f t="shared" si="250"/>
        <v>9.5924412016348271</v>
      </c>
      <c r="AH665" t="str">
        <f t="shared" si="251"/>
        <v>VENTAS</v>
      </c>
      <c r="AI665" t="str">
        <f t="shared" si="248"/>
        <v>🎯 Para subir de categoría, eje VENTAS / IMPACTO ABSOLUTO (H). Acción: metas semanales + activación comercial + seguimiento del asesor. ΔR aprox: 9,6</v>
      </c>
      <c r="AJ665" s="26">
        <f>_xlfn.LET(_xlpm.piso,AF665,_xlpm.corte,AE665,_xlpm.prog,IF(_xlpm.corte&lt;=_xlpm.piso,0,MAX(0,MIN(1,(U665-_xlpm.piso)/(_xlpm.corte-_xlpm.piso)))),_xlpm.orden,{"DIAMANTE";"PLATINO";"ORO";"PLATA";"BRONCE";"CERRADO"},_xlpm.act,IFERROR(MATCH(V665,_xlpm.orden,0),6),_xlpm.ant,IFERROR(MATCH(W665,_xlpm.orden,0),6),_xlpm.ajmov,IF(_xlpm.act&lt;_xlpm.ant,0.08,IF(_xlpm.act&gt;_xlpm.ant,-0.08,0)),_xlpm.ajcli,IF(T665&lt;0.95,-0.06,0),_xlpm.prob,MAX(0,MIN(1,_xlpm.prog+_xlpm.ajmov+_xlpm.ajcli)),IF(OR(V665="DIAMANTE",V665="CERRADO"),0,ROUND(_xlpm.prob,2)))</f>
        <v>0.08</v>
      </c>
      <c r="AK665" t="str">
        <f t="shared" si="252"/>
        <v>Faltan 9,6 puntos base para subir a la siguiente categoría</v>
      </c>
      <c r="AL665" t="str">
        <f t="shared" si="253"/>
        <v>Margen de seguridad: 0,0 puntos</v>
      </c>
      <c r="AM665">
        <f t="shared" si="254"/>
        <v>0.75</v>
      </c>
      <c r="AN665" t="str">
        <f t="shared" si="255"/>
        <v>PRIORIDAD ALTA – requiere intervención inmediata</v>
      </c>
      <c r="AO665">
        <f t="shared" si="256"/>
        <v>9.8698495674218947</v>
      </c>
      <c r="AP665">
        <f t="shared" si="257"/>
        <v>0.80024121504183299</v>
      </c>
      <c r="AQ665">
        <f t="shared" si="258"/>
        <v>2.9999999999999361E-2</v>
      </c>
      <c r="AR665">
        <f t="shared" si="259"/>
        <v>2.6999999999999993</v>
      </c>
      <c r="AS665">
        <f t="shared" si="260"/>
        <v>0</v>
      </c>
      <c r="AT665" t="str">
        <f t="shared" si="261"/>
        <v>VENTAS</v>
      </c>
      <c r="AU665">
        <f t="shared" si="262"/>
        <v>9.8698495674218947</v>
      </c>
      <c r="AV665" t="str">
        <f t="shared" si="263"/>
        <v>Mayor retorno probable: VENTAS (+9,9 puntos finales potenciales).</v>
      </c>
    </row>
    <row r="666" spans="1:48" x14ac:dyDescent="0.3">
      <c r="A666" s="5">
        <v>51022068</v>
      </c>
      <c r="B666" s="5" t="str">
        <f>IFERROR(VLOOKUP(A666,VENTAS!$A$2:$B$1194,2,0),"")</f>
        <v>PRADES</v>
      </c>
      <c r="C666" s="5">
        <f>IFERROR(INDEX(VENTAS!$C$2:$E$1194,MATCH(A666,VENTAS!$A$2:$A$1194,0),MATCH(PARAMS_MODELO!$B$2,{"Q1","Q2","Q3"},0)),0)</f>
        <v>48650484.119999997</v>
      </c>
      <c r="D666" s="5">
        <f>IFERROR(INDEX(VENTAS!$F$2:$H$1194,MATCH(A666,VENTAS!$A$2:$A$1194,0),MATCH(PARAMS_MODELO!$B$2,{"Q1","Q2","Q3"},0)),0)</f>
        <v>61295032</v>
      </c>
      <c r="E666" s="8">
        <f t="shared" si="240"/>
        <v>0.25990590039785211</v>
      </c>
      <c r="F666" s="12">
        <f>IF(E666&lt;=PARAMS_MODELO!$B$15,0,IF(E666&gt;=PARAMS_MODELO!$B$17,100,100*MIN(1,(E666-PARAMS_MODELO!$B$15)/(PARAMS_MODELO!$B$16-PARAMS_MODELO!$B$15))))*PARAMS_MODELO!$B$7</f>
        <v>35</v>
      </c>
      <c r="G666" s="5">
        <f t="shared" si="241"/>
        <v>12644547.880000003</v>
      </c>
      <c r="H666" s="5">
        <f>(PARAMS_MODELO!$B$20*(MAX(0,MIN(3,E666))/3)+PARAMS_MODELO!$B$21*(IFERROR(LN(1+MAX(0,G666))/LN(1+MAX(0,MAX($G$2:$G$1194))),0)))*100*PARAMS_MODELO!$B$8</f>
        <v>4.7429804438814305</v>
      </c>
      <c r="I666" s="8">
        <f>E666-PARAMS_MODELO!$B$5</f>
        <v>8.2343065022325579E-2</v>
      </c>
      <c r="J666" s="5">
        <f>IF(I666&lt;=PARAMS_MODELO!$B$18,0,IF(I666&gt;=PARAMS_MODELO!$B$19,100,100*(I666-PARAMS_MODELO!$B$18)/(PARAMS_MODELO!$B$19-PARAMS_MODELO!$B$18)))*PARAMS_MODELO!$B$9</f>
        <v>15</v>
      </c>
      <c r="K666" s="5">
        <f>IFERROR(CHOOSE(MATCH(PARAMS_MODELO!$B$2,{"Q1","Q2","Q3"},0),LOTO!$D666,LOTO!$F666,LOTO!$H666),0)</f>
        <v>2900000</v>
      </c>
      <c r="L666" s="8">
        <f t="shared" si="242"/>
        <v>4.7312154107367138E-2</v>
      </c>
      <c r="M666" s="5">
        <f>MIN(100,IF(PARAMS_MODELO!$B$23=0,0,100*L666/PARAMS_MODELO!$B$23))*PARAMS_MODELO!$B$10</f>
        <v>14.19364623221014</v>
      </c>
      <c r="N666" s="5">
        <f>IFERROR(VLOOKUP(A666,COMPLIANCE!$A$2:$F$1996,6,0),100)</f>
        <v>100</v>
      </c>
      <c r="O666" s="5">
        <f>N666*PARAMS_MODELO!$B$11</f>
        <v>10</v>
      </c>
      <c r="P666" s="5">
        <f>IFERROR(VLOOKUP(A666,DIGITAL!$A$2:$J$2000,7,0),100)</f>
        <v>70</v>
      </c>
      <c r="Q666" s="5">
        <f>IFERROR(P666,0)*PARAMS_MODELO!$B$12</f>
        <v>7</v>
      </c>
      <c r="R666">
        <f t="shared" si="243"/>
        <v>85.936626676091564</v>
      </c>
      <c r="S666" s="5" t="str">
        <f>IFERROR(VLOOKUP(A666,CLIENTE!$A$2:$N$2000,13,0),1)</f>
        <v>Bueno</v>
      </c>
      <c r="T666" s="5">
        <f>IFERROR(VLOOKUP(A666,CLIENTE!$A$2:$N$2000,14,0),1)</f>
        <v>1.1000000000000001</v>
      </c>
      <c r="U666" s="5">
        <f t="shared" si="244"/>
        <v>94.53028934370073</v>
      </c>
      <c r="V666" s="5" t="str">
        <f>IF(U666&gt;=MAX(_xlfn.PERCENTILE.INC($U$2:$U$1194,PARAMS_MODELO!$B$50),PARAMS_MODELO!$B$45),"DIAMANTE",IF(U666&gt;=MAX(_xlfn.PERCENTILE.INC($U$2:$U$1194,PARAMS_MODELO!$B$51),PARAMS_MODELO!$B$46),"PLATINO",IF(U666&gt;=MAX(_xlfn.PERCENTILE.INC($U$2:$U$1194,PARAMS_MODELO!$B$52),PARAMS_MODELO!$B$47),"ORO",IF(U666&gt;=MAX(_xlfn.PERCENTILE.INC($U$2:$U$1194,PARAMS_MODELO!$B$53),PARAMS_MODELO!$B$48),"PLATA",IF(U666&gt;=1,"BRONCE","CERRADO")))))</f>
        <v>PLATINO</v>
      </c>
      <c r="W666" s="5" t="str" cm="1">
        <f t="array" ref="W666">_xlfn.XLOOKUP(1, (HIST_SCORE!$B:$B=PARAMS_MODELO!$B$4) * (HIST_SCORE!$C:$C=A666), HIST_SCORE!$E:$E, "No encontrado")</f>
        <v>PLATINO</v>
      </c>
      <c r="X666" s="5" t="str">
        <f>_xlfn.LET(_xlpm.act,MATCH(V666,{"DIAMANTE";"PLATINO";"ORO";"PLATA";"BRONCE";"CERRADO"},0),_xlpm.ant,MATCH(W666,{"DIAMANTE";"PLATINO";"ORO";"PLATA";"BRONCE";"CERRADO"},0),IF(_xlpm.act&lt;_xlpm.ant,"Mejora ↑",IF(_xlpm.act&gt;_xlpm.ant,"Baja ↓","Estable →")))</f>
        <v>Estable →</v>
      </c>
      <c r="Y666" s="5">
        <f>IFERROR(U666-SUMIFS(HIST_SCORE!$D:$D,HIST_SCORE!$B:$B,PARAMS_MODELO!$B$4,HIST_SCORE!$C:$C,$A666),"")</f>
        <v>1.3891237100646521</v>
      </c>
      <c r="Z666" s="5" t="str">
        <f t="shared" si="245"/>
        <v>→ Estable</v>
      </c>
      <c r="AA666" s="5">
        <f t="shared" si="246"/>
        <v>72</v>
      </c>
      <c r="AB666" s="5">
        <f>IFERROR(SUMIFS(HIST_SCORE!$F:$F,HIST_SCORE!$B:$B,PARAMS_MODELO!$B$4,HIST_SCORE!$C:$C,$A666),"")</f>
        <v>87</v>
      </c>
      <c r="AC666" s="5">
        <f t="shared" si="247"/>
        <v>15</v>
      </c>
      <c r="AD666" t="str">
        <f t="shared" si="249"/>
        <v/>
      </c>
      <c r="AE6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666="CERRADO",1,IF(V666="BRONCE",_xlpm.cPl,IF(V666="PLATA",_xlpm.cO,IF(V666="ORO",_xlpm.cP,IF(V666="PLATINO",_xlpm.cD,999))))))</f>
        <v>96.054919694466676</v>
      </c>
      <c r="AF6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666="CERRADO",0,IF(V666="BRONCE",1,IF(V666="PLATA",_xlpm.cPl,IF(V666="ORO",_xlpm.cO,IF(V666="PLATINO",_xlpm.cP,_xlpm.cD))))))</f>
        <v>86.439123873763251</v>
      </c>
      <c r="AG666">
        <f t="shared" si="250"/>
        <v>1.3860275916054121</v>
      </c>
      <c r="AH666" t="str">
        <f t="shared" si="251"/>
        <v>VENTAS</v>
      </c>
      <c r="AI666" t="str">
        <f t="shared" si="248"/>
        <v>🎯 Para subir de categoría, eje VENTAS / IMPACTO ABSOLUTO (H). Acción: metas semanales + activación comercial + seguimiento del asesor. ΔR aprox: 1,4</v>
      </c>
      <c r="AJ666" s="26">
        <f>_xlfn.LET(_xlpm.piso,AF666,_xlpm.corte,AE666,_xlpm.prog,IF(_xlpm.corte&lt;=_xlpm.piso,0,MAX(0,MIN(1,(U666-_xlpm.piso)/(_xlpm.corte-_xlpm.piso)))),_xlpm.orden,{"DIAMANTE";"PLATINO";"ORO";"PLATA";"BRONCE";"CERRADO"},_xlpm.act,IFERROR(MATCH(V666,_xlpm.orden,0),6),_xlpm.ant,IFERROR(MATCH(W666,_xlpm.orden,0),6),_xlpm.ajmov,IF(_xlpm.act&lt;_xlpm.ant,0.08,IF(_xlpm.act&gt;_xlpm.ant,-0.08,0)),_xlpm.ajcli,IF(T666&lt;0.95,-0.06,0),_xlpm.prob,MAX(0,MIN(1,_xlpm.prog+_xlpm.ajmov+_xlpm.ajcli)),IF(OR(V666="DIAMANTE",V666="CERRADO"),0,ROUND(_xlpm.prob,2)))</f>
        <v>0.84</v>
      </c>
      <c r="AK666" t="str">
        <f t="shared" si="252"/>
        <v>Faltan 1,4 puntos base para subir a la siguiente categoría</v>
      </c>
      <c r="AL666" t="str">
        <f t="shared" si="253"/>
        <v>Margen de seguridad: 8,1 puntos</v>
      </c>
      <c r="AM666">
        <f t="shared" si="254"/>
        <v>0.12</v>
      </c>
      <c r="AN666" t="str">
        <f t="shared" si="255"/>
        <v>PRIORIDAD BAJA – control normal</v>
      </c>
      <c r="AO666">
        <f t="shared" si="256"/>
        <v>11.131547714555571</v>
      </c>
      <c r="AP666">
        <f t="shared" si="257"/>
        <v>0.88698914456884581</v>
      </c>
      <c r="AQ666">
        <f t="shared" si="258"/>
        <v>0</v>
      </c>
      <c r="AR666">
        <f t="shared" si="259"/>
        <v>3.3000000000000003</v>
      </c>
      <c r="AS666">
        <f t="shared" si="260"/>
        <v>0</v>
      </c>
      <c r="AT666" t="str">
        <f t="shared" si="261"/>
        <v>VENTAS</v>
      </c>
      <c r="AU666">
        <f t="shared" si="262"/>
        <v>11.131547714555571</v>
      </c>
      <c r="AV666" t="str">
        <f t="shared" si="263"/>
        <v>Mayor retorno probable: VENTAS (+11,1 puntos finales potenciales).</v>
      </c>
    </row>
    <row r="667" spans="1:48" x14ac:dyDescent="0.3">
      <c r="A667" s="5">
        <v>51013611</v>
      </c>
      <c r="B667" s="5" t="str">
        <f>IFERROR(VLOOKUP(A667,VENTAS!$A$2:$B$1194,2,0),"")</f>
        <v>METTLER</v>
      </c>
      <c r="C667" s="5">
        <f>IFERROR(INDEX(VENTAS!$C$2:$E$1194,MATCH(A667,VENTAS!$A$2:$A$1194,0),MATCH(PARAMS_MODELO!$B$2,{"Q1","Q2","Q3"},0)),0)</f>
        <v>53489892.260000013</v>
      </c>
      <c r="D667" s="5">
        <f>IFERROR(INDEX(VENTAS!$F$2:$H$1194,MATCH(A667,VENTAS!$A$2:$A$1194,0),MATCH(PARAMS_MODELO!$B$2,{"Q1","Q2","Q3"},0)),0)</f>
        <v>61174161</v>
      </c>
      <c r="E667" s="8">
        <f t="shared" si="240"/>
        <v>0.14365833273039352</v>
      </c>
      <c r="F667" s="12">
        <f>IF(E667&lt;=PARAMS_MODELO!$B$15,0,IF(E667&gt;=PARAMS_MODELO!$B$17,100,100*MIN(1,(E667-PARAMS_MODELO!$B$15)/(PARAMS_MODELO!$B$16-PARAMS_MODELO!$B$15))))*PARAMS_MODELO!$B$7</f>
        <v>35</v>
      </c>
      <c r="G667" s="5">
        <f t="shared" si="241"/>
        <v>7684268.7399999872</v>
      </c>
      <c r="H667" s="5">
        <f>(PARAMS_MODELO!$B$20*(MAX(0,MIN(3,E667))/3)+PARAMS_MODELO!$B$21*(IFERROR(LN(1+MAX(0,G667))/LN(1+MAX(0,MAX($G$2:$G$1194))),0)))*100*PARAMS_MODELO!$B$8</f>
        <v>4.219363883422468</v>
      </c>
      <c r="I667" s="8">
        <f>E667-PARAMS_MODELO!$B$5</f>
        <v>-3.3904502645133006E-2</v>
      </c>
      <c r="J667" s="5">
        <f>IF(I667&lt;=PARAMS_MODELO!$B$18,0,IF(I667&gt;=PARAMS_MODELO!$B$19,100,100*(I667-PARAMS_MODELO!$B$18)/(PARAMS_MODELO!$B$19-PARAMS_MODELO!$B$18)))*PARAMS_MODELO!$B$9</f>
        <v>2.4143246032300492</v>
      </c>
      <c r="K667" s="5">
        <f>IFERROR(CHOOSE(MATCH(PARAMS_MODELO!$B$2,{"Q1","Q2","Q3"},0),LOTO!$D667,LOTO!$F667,LOTO!$H667),0)</f>
        <v>2897500</v>
      </c>
      <c r="L667" s="8">
        <f t="shared" si="242"/>
        <v>4.7364768925886862E-2</v>
      </c>
      <c r="M667" s="5">
        <f>MIN(100,IF(PARAMS_MODELO!$B$23=0,0,100*L667/PARAMS_MODELO!$B$23))*PARAMS_MODELO!$B$10</f>
        <v>14.209430677766056</v>
      </c>
      <c r="N667" s="5">
        <f>IFERROR(VLOOKUP(A667,COMPLIANCE!$A$2:$F$1996,6,0),100)</f>
        <v>100</v>
      </c>
      <c r="O667" s="5">
        <f>N667*PARAMS_MODELO!$B$11</f>
        <v>10</v>
      </c>
      <c r="P667" s="5">
        <f>IFERROR(VLOOKUP(A667,DIGITAL!$A$2:$J$2000,7,0),100)</f>
        <v>74</v>
      </c>
      <c r="Q667" s="5">
        <f>IFERROR(P667,0)*PARAMS_MODELO!$B$12</f>
        <v>7.4</v>
      </c>
      <c r="R667">
        <f t="shared" si="243"/>
        <v>73.243119164418573</v>
      </c>
      <c r="S667" s="5" t="str">
        <f>IFERROR(VLOOKUP(A667,CLIENTE!$A$2:$N$2000,13,0),1)</f>
        <v>Bueno</v>
      </c>
      <c r="T667" s="5">
        <f>IFERROR(VLOOKUP(A667,CLIENTE!$A$2:$N$2000,14,0),1)</f>
        <v>1.1000000000000001</v>
      </c>
      <c r="U667" s="5">
        <f t="shared" si="244"/>
        <v>80.56743108086043</v>
      </c>
      <c r="V667" s="5" t="str">
        <f>IF(U667&gt;=MAX(_xlfn.PERCENTILE.INC($U$2:$U$1194,PARAMS_MODELO!$B$50),PARAMS_MODELO!$B$45),"DIAMANTE",IF(U667&gt;=MAX(_xlfn.PERCENTILE.INC($U$2:$U$1194,PARAMS_MODELO!$B$51),PARAMS_MODELO!$B$46),"PLATINO",IF(U667&gt;=MAX(_xlfn.PERCENTILE.INC($U$2:$U$1194,PARAMS_MODELO!$B$52),PARAMS_MODELO!$B$47),"ORO",IF(U667&gt;=MAX(_xlfn.PERCENTILE.INC($U$2:$U$1194,PARAMS_MODELO!$B$53),PARAMS_MODELO!$B$48),"PLATA",IF(U667&gt;=1,"BRONCE","CERRADO")))))</f>
        <v>ORO</v>
      </c>
      <c r="W667" s="5" t="str" cm="1">
        <f t="array" ref="W667">_xlfn.XLOOKUP(1, (HIST_SCORE!$B:$B=PARAMS_MODELO!$B$4) * (HIST_SCORE!$C:$C=A667), HIST_SCORE!$E:$E, "No encontrado")</f>
        <v>ORO</v>
      </c>
      <c r="X667" s="5" t="str">
        <f>_xlfn.LET(_xlpm.act,MATCH(V667,{"DIAMANTE";"PLATINO";"ORO";"PLATA";"BRONCE";"CERRADO"},0),_xlpm.ant,MATCH(W667,{"DIAMANTE";"PLATINO";"ORO";"PLATA";"BRONCE";"CERRADO"},0),IF(_xlpm.act&lt;_xlpm.ant,"Mejora ↑",IF(_xlpm.act&gt;_xlpm.ant,"Baja ↓","Estable →")))</f>
        <v>Estable →</v>
      </c>
      <c r="Y667" s="5">
        <f>IFERROR(U667-SUMIFS(HIST_SCORE!$D:$D,HIST_SCORE!$B:$B,PARAMS_MODELO!$B$4,HIST_SCORE!$C:$C,$A667),"")</f>
        <v>-0.10211024346941144</v>
      </c>
      <c r="Z667" s="5" t="str">
        <f t="shared" si="245"/>
        <v>→ Estable</v>
      </c>
      <c r="AA667" s="5">
        <f t="shared" si="246"/>
        <v>428</v>
      </c>
      <c r="AB667" s="5">
        <f>IFERROR(SUMIFS(HIST_SCORE!$F:$F,HIST_SCORE!$B:$B,PARAMS_MODELO!$B$4,HIST_SCORE!$C:$C,$A667),"")</f>
        <v>403</v>
      </c>
      <c r="AC667" s="5">
        <f t="shared" si="247"/>
        <v>-25</v>
      </c>
      <c r="AD667" t="str">
        <f t="shared" si="249"/>
        <v>Sostener base y reforzar mix</v>
      </c>
      <c r="AE6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667="CERRADO",1,IF(V667="BRONCE",_xlpm.cPl,IF(V667="PLATA",_xlpm.cO,IF(V667="ORO",_xlpm.cP,IF(V667="PLATINO",_xlpm.cD,999))))))</f>
        <v>86.439123873763251</v>
      </c>
      <c r="AF6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667="CERRADO",0,IF(V667="BRONCE",1,IF(V667="PLATA",_xlpm.cPl,IF(V667="ORO",_xlpm.cO,IF(V667="PLATINO",_xlpm.cP,_xlpm.cD))))))</f>
        <v>63.199193273331495</v>
      </c>
      <c r="AG667">
        <f t="shared" si="250"/>
        <v>5.3379025390025561</v>
      </c>
      <c r="AH667" t="str">
        <f t="shared" si="251"/>
        <v>VENTAS</v>
      </c>
      <c r="AI667" t="str">
        <f t="shared" si="248"/>
        <v>🎯 Para subir de categoría, eje VENTAS / DIFERENCIAL vs LOTBA (J). Acción: metas semanales + activación comercial + seguimiento del asesor. ΔR aprox: 5,3</v>
      </c>
      <c r="AJ667" s="26">
        <f>_xlfn.LET(_xlpm.piso,AF667,_xlpm.corte,AE667,_xlpm.prog,IF(_xlpm.corte&lt;=_xlpm.piso,0,MAX(0,MIN(1,(U667-_xlpm.piso)/(_xlpm.corte-_xlpm.piso)))),_xlpm.orden,{"DIAMANTE";"PLATINO";"ORO";"PLATA";"BRONCE";"CERRADO"},_xlpm.act,IFERROR(MATCH(V667,_xlpm.orden,0),6),_xlpm.ant,IFERROR(MATCH(W667,_xlpm.orden,0),6),_xlpm.ajmov,IF(_xlpm.act&lt;_xlpm.ant,0.08,IF(_xlpm.act&gt;_xlpm.ant,-0.08,0)),_xlpm.ajcli,IF(T667&lt;0.95,-0.06,0),_xlpm.prob,MAX(0,MIN(1,_xlpm.prog+_xlpm.ajmov+_xlpm.ajcli)),IF(OR(V667="DIAMANTE",V667="CERRADO"),0,ROUND(_xlpm.prob,2)))</f>
        <v>0.75</v>
      </c>
      <c r="AK667" t="str">
        <f t="shared" si="252"/>
        <v>Faltan 5,3 puntos base para subir a la siguiente categoría</v>
      </c>
      <c r="AL667" t="str">
        <f t="shared" si="253"/>
        <v>Margen de seguridad: 17,4 puntos</v>
      </c>
      <c r="AM667">
        <f t="shared" si="254"/>
        <v>0.31</v>
      </c>
      <c r="AN667" t="str">
        <f t="shared" si="255"/>
        <v>PRIORIDAD BAJA – control normal</v>
      </c>
      <c r="AO667">
        <f t="shared" si="256"/>
        <v>25.551768867507377</v>
      </c>
      <c r="AP667">
        <f t="shared" si="257"/>
        <v>0.86962625445733854</v>
      </c>
      <c r="AQ667">
        <f t="shared" si="258"/>
        <v>0</v>
      </c>
      <c r="AR667">
        <f t="shared" si="259"/>
        <v>2.86</v>
      </c>
      <c r="AS667">
        <f t="shared" si="260"/>
        <v>0</v>
      </c>
      <c r="AT667" t="str">
        <f t="shared" si="261"/>
        <v>VENTAS</v>
      </c>
      <c r="AU667">
        <f t="shared" si="262"/>
        <v>25.551768867507377</v>
      </c>
      <c r="AV667" t="str">
        <f t="shared" si="263"/>
        <v>Mayor retorno probable: VENTAS (+25,6 puntos finales potenciales).</v>
      </c>
    </row>
    <row r="668" spans="1:48" x14ac:dyDescent="0.3">
      <c r="A668" s="5">
        <v>51013115</v>
      </c>
      <c r="B668" s="5" t="str">
        <f>IFERROR(VLOOKUP(A668,VENTAS!$A$2:$B$1194,2,0),"")</f>
        <v>ARGUELLO</v>
      </c>
      <c r="C668" s="5">
        <f>IFERROR(INDEX(VENTAS!$C$2:$E$1194,MATCH(A668,VENTAS!$A$2:$A$1194,0),MATCH(PARAMS_MODELO!$B$2,{"Q1","Q2","Q3"},0)),0)</f>
        <v>67683408.939999998</v>
      </c>
      <c r="D668" s="5">
        <f>IFERROR(INDEX(VENTAS!$F$2:$H$1194,MATCH(A668,VENTAS!$A$2:$A$1194,0),MATCH(PARAMS_MODELO!$B$2,{"Q1","Q2","Q3"},0)),0)</f>
        <v>60900698</v>
      </c>
      <c r="E668" s="8">
        <f t="shared" si="240"/>
        <v>-0.10021231268083342</v>
      </c>
      <c r="F668" s="12">
        <f>IF(E668&lt;=PARAMS_MODELO!$B$15,0,IF(E668&gt;=PARAMS_MODELO!$B$17,100,100*MIN(1,(E668-PARAMS_MODELO!$B$15)/(PARAMS_MODELO!$B$16-PARAMS_MODELO!$B$15))))*PARAMS_MODELO!$B$7</f>
        <v>0</v>
      </c>
      <c r="G668" s="5">
        <f t="shared" si="241"/>
        <v>0</v>
      </c>
      <c r="H668" s="5">
        <f>(PARAMS_MODELO!$B$20*(MAX(0,MIN(3,E668))/3)+PARAMS_MODELO!$B$21*(IFERROR(LN(1+MAX(0,G668))/LN(1+MAX(0,MAX($G$2:$G$1194))),0)))*100*PARAMS_MODELO!$B$8</f>
        <v>0</v>
      </c>
      <c r="I668" s="8">
        <f>E668-PARAMS_MODELO!$B$5</f>
        <v>-0.27777514805635994</v>
      </c>
      <c r="J668" s="5">
        <f>IF(I668&lt;=PARAMS_MODELO!$B$18,0,IF(I668&gt;=PARAMS_MODELO!$B$19,100,100*(I668-PARAMS_MODELO!$B$18)/(PARAMS_MODELO!$B$19-PARAMS_MODELO!$B$18)))*PARAMS_MODELO!$B$9</f>
        <v>0</v>
      </c>
      <c r="K668" s="5">
        <f>IFERROR(CHOOSE(MATCH(PARAMS_MODELO!$B$2,{"Q1","Q2","Q3"},0),LOTO!$D668,LOTO!$F668,LOTO!$H668),0)</f>
        <v>2887500</v>
      </c>
      <c r="L668" s="8">
        <f t="shared" si="242"/>
        <v>4.7413249680652261E-2</v>
      </c>
      <c r="M668" s="5">
        <f>MIN(100,IF(PARAMS_MODELO!$B$23=0,0,100*L668/PARAMS_MODELO!$B$23))*PARAMS_MODELO!$B$10</f>
        <v>14.223974904195677</v>
      </c>
      <c r="N668" s="5">
        <f>IFERROR(VLOOKUP(A668,COMPLIANCE!$A$2:$F$1996,6,0),100)</f>
        <v>99.85</v>
      </c>
      <c r="O668" s="5">
        <f>N668*PARAMS_MODELO!$B$11</f>
        <v>9.9849999999999994</v>
      </c>
      <c r="P668" s="5">
        <f>IFERROR(VLOOKUP(A668,DIGITAL!$A$2:$J$2000,7,0),100)</f>
        <v>37</v>
      </c>
      <c r="Q668" s="5">
        <f>IFERROR(P668,0)*PARAMS_MODELO!$B$12</f>
        <v>3.7</v>
      </c>
      <c r="R668">
        <f t="shared" si="243"/>
        <v>27.908974904195677</v>
      </c>
      <c r="S668" s="5" t="str">
        <f>IFERROR(VLOOKUP(A668,CLIENTE!$A$2:$N$2000,13,0),1)</f>
        <v>Bueno</v>
      </c>
      <c r="T668" s="5">
        <f>IFERROR(VLOOKUP(A668,CLIENTE!$A$2:$N$2000,14,0),1)</f>
        <v>1.1000000000000001</v>
      </c>
      <c r="U668" s="5">
        <f t="shared" si="244"/>
        <v>30.699872394615248</v>
      </c>
      <c r="V668" s="5" t="str">
        <f>IF(U668&gt;=MAX(_xlfn.PERCENTILE.INC($U$2:$U$1194,PARAMS_MODELO!$B$50),PARAMS_MODELO!$B$45),"DIAMANTE",IF(U668&gt;=MAX(_xlfn.PERCENTILE.INC($U$2:$U$1194,PARAMS_MODELO!$B$51),PARAMS_MODELO!$B$46),"PLATINO",IF(U668&gt;=MAX(_xlfn.PERCENTILE.INC($U$2:$U$1194,PARAMS_MODELO!$B$52),PARAMS_MODELO!$B$47),"ORO",IF(U668&gt;=MAX(_xlfn.PERCENTILE.INC($U$2:$U$1194,PARAMS_MODELO!$B$53),PARAMS_MODELO!$B$48),"PLATA",IF(U668&gt;=1,"BRONCE","CERRADO")))))</f>
        <v>PLATA</v>
      </c>
      <c r="W668" s="5" t="str" cm="1">
        <f t="array" ref="W668">_xlfn.XLOOKUP(1, (HIST_SCORE!$B:$B=PARAMS_MODELO!$B$4) * (HIST_SCORE!$C:$C=A668), HIST_SCORE!$E:$E, "No encontrado")</f>
        <v>ORO</v>
      </c>
      <c r="X668" s="5" t="str">
        <f>_xlfn.LET(_xlpm.act,MATCH(V668,{"DIAMANTE";"PLATINO";"ORO";"PLATA";"BRONCE";"CERRADO"},0),_xlpm.ant,MATCH(W668,{"DIAMANTE";"PLATINO";"ORO";"PLATA";"BRONCE";"CERRADO"},0),IF(_xlpm.act&lt;_xlpm.ant,"Mejora ↑",IF(_xlpm.act&gt;_xlpm.ant,"Baja ↓","Estable →")))</f>
        <v>Baja ↓</v>
      </c>
      <c r="Y668" s="5">
        <f>IFERROR(U668-SUMIFS(HIST_SCORE!$D:$D,HIST_SCORE!$B:$B,PARAMS_MODELO!$B$4,HIST_SCORE!$C:$C,$A668),"")</f>
        <v>-44.135513864946198</v>
      </c>
      <c r="Z668" s="5" t="str">
        <f t="shared" si="245"/>
        <v>↓ Baja</v>
      </c>
      <c r="AA668" s="5">
        <f t="shared" si="246"/>
        <v>851</v>
      </c>
      <c r="AB668" s="5">
        <f>IFERROR(SUMIFS(HIST_SCORE!$F:$F,HIST_SCORE!$B:$B,PARAMS_MODELO!$B$4,HIST_SCORE!$C:$C,$A668),"")</f>
        <v>494</v>
      </c>
      <c r="AC668" s="5">
        <f t="shared" si="247"/>
        <v>-357</v>
      </c>
      <c r="AD668" t="str">
        <f t="shared" si="249"/>
        <v/>
      </c>
      <c r="AE6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668="CERRADO",1,IF(V668="BRONCE",_xlpm.cPl,IF(V668="PLATA",_xlpm.cO,IF(V668="ORO",_xlpm.cP,IF(V668="PLATINO",_xlpm.cD,999))))))</f>
        <v>63.199193273331495</v>
      </c>
      <c r="AF6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668="CERRADO",0,IF(V668="BRONCE",1,IF(V668="PLATA",_xlpm.cPl,IF(V668="ORO",_xlpm.cO,IF(V668="PLATINO",_xlpm.cP,_xlpm.cD))))))</f>
        <v>24.506573482968111</v>
      </c>
      <c r="AG668">
        <f t="shared" si="250"/>
        <v>29.544837162469317</v>
      </c>
      <c r="AH668" t="str">
        <f t="shared" si="251"/>
        <v>VENTAS</v>
      </c>
      <c r="AI668" t="str">
        <f t="shared" si="248"/>
        <v>🎯 Para subir de categoría, eje VENTAS / CRECIMIENTO PERSONAL (F). Acción: metas semanales + activación comercial + seguimiento del asesor. ΔR aprox: 29,5</v>
      </c>
      <c r="AJ668" s="26">
        <f>_xlfn.LET(_xlpm.piso,AF668,_xlpm.corte,AE668,_xlpm.prog,IF(_xlpm.corte&lt;=_xlpm.piso,0,MAX(0,MIN(1,(U668-_xlpm.piso)/(_xlpm.corte-_xlpm.piso)))),_xlpm.orden,{"DIAMANTE";"PLATINO";"ORO";"PLATA";"BRONCE";"CERRADO"},_xlpm.act,IFERROR(MATCH(V668,_xlpm.orden,0),6),_xlpm.ant,IFERROR(MATCH(W668,_xlpm.orden,0),6),_xlpm.ajmov,IF(_xlpm.act&lt;_xlpm.ant,0.08,IF(_xlpm.act&gt;_xlpm.ant,-0.08,0)),_xlpm.ajcli,IF(T668&lt;0.95,-0.06,0),_xlpm.prob,MAX(0,MIN(1,_xlpm.prog+_xlpm.ajmov+_xlpm.ajcli)),IF(OR(V668="DIAMANTE",V668="CERRADO"),0,ROUND(_xlpm.prob,2)))</f>
        <v>0.08</v>
      </c>
      <c r="AK668" t="str">
        <f t="shared" si="252"/>
        <v>Faltan 29,5 puntos base para subir a la siguiente categoría</v>
      </c>
      <c r="AL668" t="str">
        <f t="shared" si="253"/>
        <v>Margen de seguridad: 6,2 puntos</v>
      </c>
      <c r="AM668">
        <f t="shared" si="254"/>
        <v>0.77</v>
      </c>
      <c r="AN668" t="str">
        <f t="shared" si="255"/>
        <v>PRIORIDAD ALTA – requiere intervención inmediata</v>
      </c>
      <c r="AO668">
        <f t="shared" si="256"/>
        <v>71.348826202825151</v>
      </c>
      <c r="AP668">
        <f t="shared" si="257"/>
        <v>0.85362760538475568</v>
      </c>
      <c r="AQ668">
        <f t="shared" si="258"/>
        <v>1.6500000000000625E-2</v>
      </c>
      <c r="AR668">
        <f t="shared" si="259"/>
        <v>6.9300000000000006</v>
      </c>
      <c r="AS668">
        <f t="shared" si="260"/>
        <v>0</v>
      </c>
      <c r="AT668" t="str">
        <f t="shared" si="261"/>
        <v>VENTAS</v>
      </c>
      <c r="AU668">
        <f t="shared" si="262"/>
        <v>71.348826202825151</v>
      </c>
      <c r="AV668" t="str">
        <f t="shared" si="263"/>
        <v>Mayor retorno probable: VENTAS (+71,3 puntos finales potenciales).</v>
      </c>
    </row>
    <row r="669" spans="1:48" x14ac:dyDescent="0.3">
      <c r="A669" s="5">
        <v>51056744</v>
      </c>
      <c r="B669" s="5" t="str">
        <f>IFERROR(VLOOKUP(A669,VENTAS!$A$2:$B$1194,2,0),"")</f>
        <v>ROBERTS</v>
      </c>
      <c r="C669" s="5">
        <f>IFERROR(INDEX(VENTAS!$C$2:$E$1194,MATCH(A669,VENTAS!$A$2:$A$1194,0),MATCH(PARAMS_MODELO!$B$2,{"Q1","Q2","Q3"},0)),0)</f>
        <v>44038261.510000013</v>
      </c>
      <c r="D669" s="5">
        <f>IFERROR(INDEX(VENTAS!$F$2:$H$1194,MATCH(A669,VENTAS!$A$2:$A$1194,0),MATCH(PARAMS_MODELO!$B$2,{"Q1","Q2","Q3"},0)),0)</f>
        <v>60822047</v>
      </c>
      <c r="E669" s="8">
        <f t="shared" si="240"/>
        <v>0.38111825749953376</v>
      </c>
      <c r="F669" s="12">
        <f>IF(E669&lt;=PARAMS_MODELO!$B$15,0,IF(E669&gt;=PARAMS_MODELO!$B$17,100,100*MIN(1,(E669-PARAMS_MODELO!$B$15)/(PARAMS_MODELO!$B$16-PARAMS_MODELO!$B$15))))*PARAMS_MODELO!$B$7</f>
        <v>35</v>
      </c>
      <c r="G669" s="5">
        <f t="shared" si="241"/>
        <v>16783785.489999987</v>
      </c>
      <c r="H669" s="5">
        <f>(PARAMS_MODELO!$B$20*(MAX(0,MIN(3,E669))/3)+PARAMS_MODELO!$B$21*(IFERROR(LN(1+MAX(0,G669))/LN(1+MAX(0,MAX($G$2:$G$1194))),0)))*100*PARAMS_MODELO!$B$8</f>
        <v>5.2336067097491021</v>
      </c>
      <c r="I669" s="8">
        <f>E669-PARAMS_MODELO!$B$5</f>
        <v>0.20355542212400723</v>
      </c>
      <c r="J669" s="5">
        <f>IF(I669&lt;=PARAMS_MODELO!$B$18,0,IF(I669&gt;=PARAMS_MODELO!$B$19,100,100*(I669-PARAMS_MODELO!$B$18)/(PARAMS_MODELO!$B$19-PARAMS_MODELO!$B$18)))*PARAMS_MODELO!$B$9</f>
        <v>15</v>
      </c>
      <c r="K669" s="5">
        <f>IFERROR(CHOOSE(MATCH(PARAMS_MODELO!$B$2,{"Q1","Q2","Q3"},0),LOTO!$D669,LOTO!$F669,LOTO!$H669),0)</f>
        <v>2867500</v>
      </c>
      <c r="L669" s="8">
        <f t="shared" si="242"/>
        <v>4.7145733191123938E-2</v>
      </c>
      <c r="M669" s="5">
        <f>MIN(100,IF(PARAMS_MODELO!$B$23=0,0,100*L669/PARAMS_MODELO!$B$23))*PARAMS_MODELO!$B$10</f>
        <v>14.143719957337181</v>
      </c>
      <c r="N669" s="5">
        <f>IFERROR(VLOOKUP(A669,COMPLIANCE!$A$2:$F$1996,6,0),100)</f>
        <v>100</v>
      </c>
      <c r="O669" s="5">
        <f>N669*PARAMS_MODELO!$B$11</f>
        <v>10</v>
      </c>
      <c r="P669" s="5">
        <f>IFERROR(VLOOKUP(A669,DIGITAL!$A$2:$J$2000,7,0),100)</f>
        <v>38</v>
      </c>
      <c r="Q669" s="5">
        <f>IFERROR(P669,0)*PARAMS_MODELO!$B$12</f>
        <v>3.8000000000000003</v>
      </c>
      <c r="R669">
        <f t="shared" si="243"/>
        <v>83.177326667086277</v>
      </c>
      <c r="S669" s="5" t="str">
        <f>IFERROR(VLOOKUP(A669,CLIENTE!$A$2:$N$2000,13,0),1)</f>
        <v>Regular</v>
      </c>
      <c r="T669" s="5">
        <f>IFERROR(VLOOKUP(A669,CLIENTE!$A$2:$N$2000,14,0),1)</f>
        <v>1</v>
      </c>
      <c r="U669" s="5">
        <f t="shared" si="244"/>
        <v>83.177326667086277</v>
      </c>
      <c r="V669" s="5" t="str">
        <f>IF(U669&gt;=MAX(_xlfn.PERCENTILE.INC($U$2:$U$1194,PARAMS_MODELO!$B$50),PARAMS_MODELO!$B$45),"DIAMANTE",IF(U669&gt;=MAX(_xlfn.PERCENTILE.INC($U$2:$U$1194,PARAMS_MODELO!$B$51),PARAMS_MODELO!$B$46),"PLATINO",IF(U669&gt;=MAX(_xlfn.PERCENTILE.INC($U$2:$U$1194,PARAMS_MODELO!$B$52),PARAMS_MODELO!$B$47),"ORO",IF(U669&gt;=MAX(_xlfn.PERCENTILE.INC($U$2:$U$1194,PARAMS_MODELO!$B$53),PARAMS_MODELO!$B$48),"PLATA",IF(U669&gt;=1,"BRONCE","CERRADO")))))</f>
        <v>ORO</v>
      </c>
      <c r="W669" s="5" t="str" cm="1">
        <f t="array" ref="W669">_xlfn.XLOOKUP(1, (HIST_SCORE!$B:$B=PARAMS_MODELO!$B$4) * (HIST_SCORE!$C:$C=A669), HIST_SCORE!$E:$E, "No encontrado")</f>
        <v>ORO</v>
      </c>
      <c r="X669" s="5" t="str">
        <f>_xlfn.LET(_xlpm.act,MATCH(V669,{"DIAMANTE";"PLATINO";"ORO";"PLATA";"BRONCE";"CERRADO"},0),_xlpm.ant,MATCH(W669,{"DIAMANTE";"PLATINO";"ORO";"PLATA";"BRONCE";"CERRADO"},0),IF(_xlpm.act&lt;_xlpm.ant,"Mejora ↑",IF(_xlpm.act&gt;_xlpm.ant,"Baja ↓","Estable →")))</f>
        <v>Estable →</v>
      </c>
      <c r="Y669" s="5">
        <f>IFERROR(U669-SUMIFS(HIST_SCORE!$D:$D,HIST_SCORE!$B:$B,PARAMS_MODELO!$B$4,HIST_SCORE!$C:$C,$A669),"")</f>
        <v>15.053042562213889</v>
      </c>
      <c r="Z669" s="5" t="str">
        <f t="shared" si="245"/>
        <v>↑ Mejora</v>
      </c>
      <c r="AA669" s="5">
        <f t="shared" si="246"/>
        <v>344</v>
      </c>
      <c r="AB669" s="5">
        <f>IFERROR(SUMIFS(HIST_SCORE!$F:$F,HIST_SCORE!$B:$B,PARAMS_MODELO!$B$4,HIST_SCORE!$C:$C,$A669),"")</f>
        <v>555</v>
      </c>
      <c r="AC669" s="5">
        <f t="shared" si="247"/>
        <v>211</v>
      </c>
      <c r="AD669" t="str">
        <f t="shared" si="249"/>
        <v/>
      </c>
      <c r="AE6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669="CERRADO",1,IF(V669="BRONCE",_xlpm.cPl,IF(V669="PLATA",_xlpm.cO,IF(V669="ORO",_xlpm.cP,IF(V669="PLATINO",_xlpm.cD,999))))))</f>
        <v>86.439123873763251</v>
      </c>
      <c r="AF6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669="CERRADO",0,IF(V669="BRONCE",1,IF(V669="PLATA",_xlpm.cPl,IF(V669="ORO",_xlpm.cO,IF(V669="PLATINO",_xlpm.cP,_xlpm.cD))))))</f>
        <v>63.199193273331495</v>
      </c>
      <c r="AG669">
        <f t="shared" si="250"/>
        <v>3.2617972066769738</v>
      </c>
      <c r="AH669" t="str">
        <f t="shared" si="251"/>
        <v>VENTAS</v>
      </c>
      <c r="AI669" t="str">
        <f t="shared" si="248"/>
        <v>🎯 Para subir de categoría, eje VENTAS / IMPACTO ABSOLUTO (H). Acción: metas semanales + activación comercial + seguimiento del asesor. ΔR aprox: 3,3</v>
      </c>
      <c r="AJ669" s="26">
        <f>_xlfn.LET(_xlpm.piso,AF669,_xlpm.corte,AE669,_xlpm.prog,IF(_xlpm.corte&lt;=_xlpm.piso,0,MAX(0,MIN(1,(U669-_xlpm.piso)/(_xlpm.corte-_xlpm.piso)))),_xlpm.orden,{"DIAMANTE";"PLATINO";"ORO";"PLATA";"BRONCE";"CERRADO"},_xlpm.act,IFERROR(MATCH(V669,_xlpm.orden,0),6),_xlpm.ant,IFERROR(MATCH(W669,_xlpm.orden,0),6),_xlpm.ajmov,IF(_xlpm.act&lt;_xlpm.ant,0.08,IF(_xlpm.act&gt;_xlpm.ant,-0.08,0)),_xlpm.ajcli,IF(T669&lt;0.95,-0.06,0),_xlpm.prob,MAX(0,MIN(1,_xlpm.prog+_xlpm.ajmov+_xlpm.ajcli)),IF(OR(V669="DIAMANTE",V669="CERRADO"),0,ROUND(_xlpm.prob,2)))</f>
        <v>0.86</v>
      </c>
      <c r="AK669" t="str">
        <f t="shared" si="252"/>
        <v>Faltan 3,3 puntos base para subir a la siguiente categoría</v>
      </c>
      <c r="AL669" t="str">
        <f t="shared" si="253"/>
        <v>Margen de seguridad: 20,0 puntos</v>
      </c>
      <c r="AM669">
        <f t="shared" si="254"/>
        <v>0.19</v>
      </c>
      <c r="AN669" t="str">
        <f t="shared" si="255"/>
        <v>PRIORIDAD BAJA – control normal</v>
      </c>
      <c r="AO669">
        <f t="shared" si="256"/>
        <v>9.6289625655464803</v>
      </c>
      <c r="AP669">
        <f t="shared" si="257"/>
        <v>0.85628004266281899</v>
      </c>
      <c r="AQ669">
        <f t="shared" si="258"/>
        <v>0</v>
      </c>
      <c r="AR669">
        <f t="shared" si="259"/>
        <v>6.1999999999999993</v>
      </c>
      <c r="AS669">
        <f t="shared" si="260"/>
        <v>0</v>
      </c>
      <c r="AT669" t="str">
        <f t="shared" si="261"/>
        <v>VENTAS</v>
      </c>
      <c r="AU669">
        <f t="shared" si="262"/>
        <v>9.6289625655464803</v>
      </c>
      <c r="AV669" t="str">
        <f t="shared" si="263"/>
        <v>Mayor retorno probable: VENTAS (+9,6 puntos finales potenciales).</v>
      </c>
    </row>
    <row r="670" spans="1:48" x14ac:dyDescent="0.3">
      <c r="A670" s="5">
        <v>51031822</v>
      </c>
      <c r="B670" s="5" t="str">
        <f>IFERROR(VLOOKUP(A670,VENTAS!$A$2:$B$1194,2,0),"")</f>
        <v>MONTENEGRO</v>
      </c>
      <c r="C670" s="5">
        <f>IFERROR(INDEX(VENTAS!$C$2:$E$1194,MATCH(A670,VENTAS!$A$2:$A$1194,0),MATCH(PARAMS_MODELO!$B$2,{"Q1","Q2","Q3"},0)),0)</f>
        <v>40365894.200000003</v>
      </c>
      <c r="D670" s="5">
        <f>IFERROR(INDEX(VENTAS!$F$2:$H$1194,MATCH(A670,VENTAS!$A$2:$A$1194,0),MATCH(PARAMS_MODELO!$B$2,{"Q1","Q2","Q3"},0)),0)</f>
        <v>60698980</v>
      </c>
      <c r="E670" s="8">
        <f t="shared" si="240"/>
        <v>0.50371944442147387</v>
      </c>
      <c r="F670" s="12">
        <f>IF(E670&lt;=PARAMS_MODELO!$B$15,0,IF(E670&gt;=PARAMS_MODELO!$B$17,100,100*MIN(1,(E670-PARAMS_MODELO!$B$15)/(PARAMS_MODELO!$B$16-PARAMS_MODELO!$B$15))))*PARAMS_MODELO!$B$7</f>
        <v>35</v>
      </c>
      <c r="G670" s="5">
        <f t="shared" si="241"/>
        <v>20333085.799999997</v>
      </c>
      <c r="H670" s="5">
        <f>(PARAMS_MODELO!$B$20*(MAX(0,MIN(3,E670))/3)+PARAMS_MODELO!$B$21*(IFERROR(LN(1+MAX(0,G670))/LN(1+MAX(0,MAX($G$2:$G$1194))),0)))*100*PARAMS_MODELO!$B$8</f>
        <v>5.7076799287424249</v>
      </c>
      <c r="I670" s="8">
        <f>E670-PARAMS_MODELO!$B$5</f>
        <v>0.32615660904594734</v>
      </c>
      <c r="J670" s="5">
        <f>IF(I670&lt;=PARAMS_MODELO!$B$18,0,IF(I670&gt;=PARAMS_MODELO!$B$19,100,100*(I670-PARAMS_MODELO!$B$18)/(PARAMS_MODELO!$B$19-PARAMS_MODELO!$B$18)))*PARAMS_MODELO!$B$9</f>
        <v>15</v>
      </c>
      <c r="K670" s="5">
        <f>IFERROR(CHOOSE(MATCH(PARAMS_MODELO!$B$2,{"Q1","Q2","Q3"},0),LOTO!$D670,LOTO!$F670,LOTO!$H670),0)</f>
        <v>2865000</v>
      </c>
      <c r="L670" s="8">
        <f t="shared" si="242"/>
        <v>4.7200134170294131E-2</v>
      </c>
      <c r="M670" s="5">
        <f>MIN(100,IF(PARAMS_MODELO!$B$23=0,0,100*L670/PARAMS_MODELO!$B$23))*PARAMS_MODELO!$B$10</f>
        <v>14.16004025108824</v>
      </c>
      <c r="N670" s="5">
        <f>IFERROR(VLOOKUP(A670,COMPLIANCE!$A$2:$F$1996,6,0),100)</f>
        <v>100</v>
      </c>
      <c r="O670" s="5">
        <f>N670*PARAMS_MODELO!$B$11</f>
        <v>10</v>
      </c>
      <c r="P670" s="5">
        <f>IFERROR(VLOOKUP(A670,DIGITAL!$A$2:$J$2000,7,0),100)</f>
        <v>100</v>
      </c>
      <c r="Q670" s="5">
        <f>IFERROR(P670,0)*PARAMS_MODELO!$B$12</f>
        <v>10</v>
      </c>
      <c r="R670">
        <f t="shared" si="243"/>
        <v>89.867720179830656</v>
      </c>
      <c r="S670" s="5" t="str">
        <f>IFERROR(VLOOKUP(A670,CLIENTE!$A$2:$N$2000,13,0),1)</f>
        <v>Regular</v>
      </c>
      <c r="T670" s="5">
        <f>IFERROR(VLOOKUP(A670,CLIENTE!$A$2:$N$2000,14,0),1)</f>
        <v>1</v>
      </c>
      <c r="U670" s="5">
        <f t="shared" si="244"/>
        <v>89.867720179830656</v>
      </c>
      <c r="V670" s="5" t="str">
        <f>IF(U670&gt;=MAX(_xlfn.PERCENTILE.INC($U$2:$U$1194,PARAMS_MODELO!$B$50),PARAMS_MODELO!$B$45),"DIAMANTE",IF(U670&gt;=MAX(_xlfn.PERCENTILE.INC($U$2:$U$1194,PARAMS_MODELO!$B$51),PARAMS_MODELO!$B$46),"PLATINO",IF(U670&gt;=MAX(_xlfn.PERCENTILE.INC($U$2:$U$1194,PARAMS_MODELO!$B$52),PARAMS_MODELO!$B$47),"ORO",IF(U670&gt;=MAX(_xlfn.PERCENTILE.INC($U$2:$U$1194,PARAMS_MODELO!$B$53),PARAMS_MODELO!$B$48),"PLATA",IF(U670&gt;=1,"BRONCE","CERRADO")))))</f>
        <v>PLATINO</v>
      </c>
      <c r="W670" s="5" t="str" cm="1">
        <f t="array" ref="W670">_xlfn.XLOOKUP(1, (HIST_SCORE!$B:$B=PARAMS_MODELO!$B$4) * (HIST_SCORE!$C:$C=A670), HIST_SCORE!$E:$E, "No encontrado")</f>
        <v>PLATINO</v>
      </c>
      <c r="X670" s="5" t="str">
        <f>_xlfn.LET(_xlpm.act,MATCH(V670,{"DIAMANTE";"PLATINO";"ORO";"PLATA";"BRONCE";"CERRADO"},0),_xlpm.ant,MATCH(W670,{"DIAMANTE";"PLATINO";"ORO";"PLATA";"BRONCE";"CERRADO"},0),IF(_xlpm.act&lt;_xlpm.ant,"Mejora ↑",IF(_xlpm.act&gt;_xlpm.ant,"Baja ↓","Estable →")))</f>
        <v>Estable →</v>
      </c>
      <c r="Y670" s="5">
        <f>IFERROR(U670-SUMIFS(HIST_SCORE!$D:$D,HIST_SCORE!$B:$B,PARAMS_MODELO!$B$4,HIST_SCORE!$C:$C,$A670),"")</f>
        <v>0.33548289809159826</v>
      </c>
      <c r="Z670" s="5" t="str">
        <f t="shared" si="245"/>
        <v>→ Estable</v>
      </c>
      <c r="AA670" s="5">
        <f t="shared" si="246"/>
        <v>137</v>
      </c>
      <c r="AB670" s="5">
        <f>IFERROR(SUMIFS(HIST_SCORE!$F:$F,HIST_SCORE!$B:$B,PARAMS_MODELO!$B$4,HIST_SCORE!$C:$C,$A670),"")</f>
        <v>142</v>
      </c>
      <c r="AC670" s="5">
        <f t="shared" si="247"/>
        <v>5</v>
      </c>
      <c r="AD670" t="str">
        <f t="shared" si="249"/>
        <v/>
      </c>
      <c r="AE6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670="CERRADO",1,IF(V670="BRONCE",_xlpm.cPl,IF(V670="PLATA",_xlpm.cO,IF(V670="ORO",_xlpm.cP,IF(V670="PLATINO",_xlpm.cD,999))))))</f>
        <v>96.054919694466676</v>
      </c>
      <c r="AF6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670="CERRADO",0,IF(V670="BRONCE",1,IF(V670="PLATA",_xlpm.cPl,IF(V670="ORO",_xlpm.cO,IF(V670="PLATINO",_xlpm.cP,_xlpm.cD))))))</f>
        <v>86.439123873763251</v>
      </c>
      <c r="AG670">
        <f t="shared" si="250"/>
        <v>6.1871995146360206</v>
      </c>
      <c r="AH670" t="str">
        <f t="shared" si="251"/>
        <v>VENTAS</v>
      </c>
      <c r="AI670" t="str">
        <f t="shared" si="248"/>
        <v>🎯 Para subir de categoría, eje VENTAS / IMPACTO ABSOLUTO (H). Acción: metas semanales + activación comercial + seguimiento del asesor. ΔR aprox: 6,2</v>
      </c>
      <c r="AJ670" s="26">
        <f>_xlfn.LET(_xlpm.piso,AF670,_xlpm.corte,AE670,_xlpm.prog,IF(_xlpm.corte&lt;=_xlpm.piso,0,MAX(0,MIN(1,(U670-_xlpm.piso)/(_xlpm.corte-_xlpm.piso)))),_xlpm.orden,{"DIAMANTE";"PLATINO";"ORO";"PLATA";"BRONCE";"CERRADO"},_xlpm.act,IFERROR(MATCH(V670,_xlpm.orden,0),6),_xlpm.ant,IFERROR(MATCH(W670,_xlpm.orden,0),6),_xlpm.ajmov,IF(_xlpm.act&lt;_xlpm.ant,0.08,IF(_xlpm.act&gt;_xlpm.ant,-0.08,0)),_xlpm.ajcli,IF(T670&lt;0.95,-0.06,0),_xlpm.prob,MAX(0,MIN(1,_xlpm.prog+_xlpm.ajmov+_xlpm.ajcli)),IF(OR(V670="DIAMANTE",V670="CERRADO"),0,ROUND(_xlpm.prob,2)))</f>
        <v>0.36</v>
      </c>
      <c r="AK670" t="str">
        <f t="shared" si="252"/>
        <v>Faltan 6,2 puntos base para subir a la siguiente categoría</v>
      </c>
      <c r="AL670" t="str">
        <f t="shared" si="253"/>
        <v>Margen de seguridad: 3,4 puntos</v>
      </c>
      <c r="AM670">
        <f t="shared" si="254"/>
        <v>0.5</v>
      </c>
      <c r="AN670" t="str">
        <f t="shared" si="255"/>
        <v>PRIORIDAD MEDIA – seguimiento del asesor</v>
      </c>
      <c r="AO670">
        <f t="shared" si="256"/>
        <v>9.154889346553162</v>
      </c>
      <c r="AP670">
        <f t="shared" si="257"/>
        <v>0.83995974891175962</v>
      </c>
      <c r="AQ670">
        <f t="shared" si="258"/>
        <v>0</v>
      </c>
      <c r="AR670">
        <f t="shared" si="259"/>
        <v>0</v>
      </c>
      <c r="AS670">
        <f t="shared" si="260"/>
        <v>0</v>
      </c>
      <c r="AT670" t="str">
        <f t="shared" si="261"/>
        <v>VENTAS</v>
      </c>
      <c r="AU670">
        <f t="shared" si="262"/>
        <v>9.154889346553162</v>
      </c>
      <c r="AV670" t="str">
        <f t="shared" si="263"/>
        <v>Mayor retorno probable: VENTAS (+9,2 puntos finales potenciales).</v>
      </c>
    </row>
    <row r="671" spans="1:48" x14ac:dyDescent="0.3">
      <c r="A671" s="5">
        <v>51025938</v>
      </c>
      <c r="B671" s="5" t="str">
        <f>IFERROR(VLOOKUP(A671,VENTAS!$A$2:$B$1194,2,0),"")</f>
        <v>PRADES</v>
      </c>
      <c r="C671" s="5">
        <f>IFERROR(INDEX(VENTAS!$C$2:$E$1194,MATCH(A671,VENTAS!$A$2:$A$1194,0),MATCH(PARAMS_MODELO!$B$2,{"Q1","Q2","Q3"},0)),0)</f>
        <v>59950898.200000003</v>
      </c>
      <c r="D671" s="5">
        <f>IFERROR(INDEX(VENTAS!$F$2:$H$1194,MATCH(A671,VENTAS!$A$2:$A$1194,0),MATCH(PARAMS_MODELO!$B$2,{"Q1","Q2","Q3"},0)),0)</f>
        <v>60555504</v>
      </c>
      <c r="E671" s="8">
        <f t="shared" si="240"/>
        <v>1.0085016541086622E-2</v>
      </c>
      <c r="F671" s="12">
        <f>IF(E671&lt;=PARAMS_MODELO!$B$15,0,IF(E671&gt;=PARAMS_MODELO!$B$17,100,100*MIN(1,(E671-PARAMS_MODELO!$B$15)/(PARAMS_MODELO!$B$16-PARAMS_MODELO!$B$15))))*PARAMS_MODELO!$B$7</f>
        <v>3.5297557893803173</v>
      </c>
      <c r="G671" s="5">
        <f t="shared" si="241"/>
        <v>604605.79999999702</v>
      </c>
      <c r="H671" s="5">
        <f>(PARAMS_MODELO!$B$20*(MAX(0,MIN(3,E671))/3)+PARAMS_MODELO!$B$21*(IFERROR(LN(1+MAX(0,G671))/LN(1+MAX(0,MAX($G$2:$G$1194))),0)))*100*PARAMS_MODELO!$B$8</f>
        <v>3.1558944051076514</v>
      </c>
      <c r="I671" s="8">
        <f>E671-PARAMS_MODELO!$B$5</f>
        <v>-0.16747781883443991</v>
      </c>
      <c r="J671" s="5">
        <f>IF(I671&lt;=PARAMS_MODELO!$B$18,0,IF(I671&gt;=PARAMS_MODELO!$B$19,100,100*(I671-PARAMS_MODELO!$B$18)/(PARAMS_MODELO!$B$19-PARAMS_MODELO!$B$18)))*PARAMS_MODELO!$B$9</f>
        <v>0</v>
      </c>
      <c r="K671" s="5">
        <f>IFERROR(CHOOSE(MATCH(PARAMS_MODELO!$B$2,{"Q1","Q2","Q3"},0),LOTO!$D671,LOTO!$F671,LOTO!$H671),0)</f>
        <v>2862500</v>
      </c>
      <c r="L671" s="8">
        <f t="shared" si="242"/>
        <v>4.727068244696634E-2</v>
      </c>
      <c r="M671" s="5">
        <f>MIN(100,IF(PARAMS_MODELO!$B$23=0,0,100*L671/PARAMS_MODELO!$B$23))*PARAMS_MODELO!$B$10</f>
        <v>14.181204734089899</v>
      </c>
      <c r="N671" s="5">
        <f>IFERROR(VLOOKUP(A671,COMPLIANCE!$A$2:$F$1996,6,0),100)</f>
        <v>100</v>
      </c>
      <c r="O671" s="5">
        <f>N671*PARAMS_MODELO!$B$11</f>
        <v>10</v>
      </c>
      <c r="P671" s="5">
        <f>IFERROR(VLOOKUP(A671,DIGITAL!$A$2:$J$2000,7,0),100)</f>
        <v>36</v>
      </c>
      <c r="Q671" s="5">
        <f>IFERROR(P671,0)*PARAMS_MODELO!$B$12</f>
        <v>3.6</v>
      </c>
      <c r="R671">
        <f t="shared" si="243"/>
        <v>34.466854928577867</v>
      </c>
      <c r="S671" s="5" t="str">
        <f>IFERROR(VLOOKUP(A671,CLIENTE!$A$2:$N$2000,13,0),1)</f>
        <v>Malo</v>
      </c>
      <c r="T671" s="5">
        <f>IFERROR(VLOOKUP(A671,CLIENTE!$A$2:$N$2000,14,0),1)</f>
        <v>0.7</v>
      </c>
      <c r="U671" s="5">
        <f t="shared" si="244"/>
        <v>24.126798450004504</v>
      </c>
      <c r="V671" s="5" t="str">
        <f>IF(U671&gt;=MAX(_xlfn.PERCENTILE.INC($U$2:$U$1194,PARAMS_MODELO!$B$50),PARAMS_MODELO!$B$45),"DIAMANTE",IF(U671&gt;=MAX(_xlfn.PERCENTILE.INC($U$2:$U$1194,PARAMS_MODELO!$B$51),PARAMS_MODELO!$B$46),"PLATINO",IF(U671&gt;=MAX(_xlfn.PERCENTILE.INC($U$2:$U$1194,PARAMS_MODELO!$B$52),PARAMS_MODELO!$B$47),"ORO",IF(U671&gt;=MAX(_xlfn.PERCENTILE.INC($U$2:$U$1194,PARAMS_MODELO!$B$53),PARAMS_MODELO!$B$48),"PLATA",IF(U671&gt;=1,"BRONCE","CERRADO")))))</f>
        <v>BRONCE</v>
      </c>
      <c r="W671" s="5" t="str" cm="1">
        <f t="array" ref="W671">_xlfn.XLOOKUP(1, (HIST_SCORE!$B:$B=PARAMS_MODELO!$B$4) * (HIST_SCORE!$C:$C=A671), HIST_SCORE!$E:$E, "No encontrado")</f>
        <v>PLATA</v>
      </c>
      <c r="X671" s="5" t="str">
        <f>_xlfn.LET(_xlpm.act,MATCH(V671,{"DIAMANTE";"PLATINO";"ORO";"PLATA";"BRONCE";"CERRADO"},0),_xlpm.ant,MATCH(W671,{"DIAMANTE";"PLATINO";"ORO";"PLATA";"BRONCE";"CERRADO"},0),IF(_xlpm.act&lt;_xlpm.ant,"Mejora ↑",IF(_xlpm.act&gt;_xlpm.ant,"Baja ↓","Estable →")))</f>
        <v>Baja ↓</v>
      </c>
      <c r="Y671" s="5">
        <f>IFERROR(U671-SUMIFS(HIST_SCORE!$D:$D,HIST_SCORE!$B:$B,PARAMS_MODELO!$B$4,HIST_SCORE!$C:$C,$A671),"")</f>
        <v>-7.959127214384015</v>
      </c>
      <c r="Z671" s="5" t="str">
        <f t="shared" si="245"/>
        <v>↓ Baja</v>
      </c>
      <c r="AA671" s="5">
        <f t="shared" si="246"/>
        <v>918</v>
      </c>
      <c r="AB671" s="5">
        <f>IFERROR(SUMIFS(HIST_SCORE!$F:$F,HIST_SCORE!$B:$B,PARAMS_MODELO!$B$4,HIST_SCORE!$C:$C,$A671),"")</f>
        <v>886</v>
      </c>
      <c r="AC671" s="5">
        <f t="shared" si="247"/>
        <v>-32</v>
      </c>
      <c r="AD671" t="str">
        <f t="shared" si="249"/>
        <v>Plan de recuperación: foco crecimiento + mix</v>
      </c>
      <c r="AE6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671="CERRADO",1,IF(V671="BRONCE",_xlpm.cPl,IF(V671="PLATA",_xlpm.cO,IF(V671="ORO",_xlpm.cP,IF(V671="PLATINO",_xlpm.cD,999))))))</f>
        <v>24.506573482968111</v>
      </c>
      <c r="AF6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671="CERRADO",0,IF(V671="BRONCE",1,IF(V671="PLATA",_xlpm.cPl,IF(V671="ORO",_xlpm.cO,IF(V671="PLATINO",_xlpm.cP,_xlpm.cD))))))</f>
        <v>1</v>
      </c>
      <c r="AG671">
        <f t="shared" si="250"/>
        <v>0.54253576137657689</v>
      </c>
      <c r="AH671" t="str">
        <f t="shared" si="251"/>
        <v>CLIENTE</v>
      </c>
      <c r="AI671" t="str">
        <f t="shared" si="248"/>
        <v>🎯 Para subir de categoría, la eje con mayor impacto probable es CLIENTE (coef T). Acción: reducir quejas, mejorar incógnito y empujar reseñas. ΔR aprox: 0,5</v>
      </c>
      <c r="AJ671" s="26">
        <f>_xlfn.LET(_xlpm.piso,AF671,_xlpm.corte,AE671,_xlpm.prog,IF(_xlpm.corte&lt;=_xlpm.piso,0,MAX(0,MIN(1,(U671-_xlpm.piso)/(_xlpm.corte-_xlpm.piso)))),_xlpm.orden,{"DIAMANTE";"PLATINO";"ORO";"PLATA";"BRONCE";"CERRADO"},_xlpm.act,IFERROR(MATCH(V671,_xlpm.orden,0),6),_xlpm.ant,IFERROR(MATCH(W671,_xlpm.orden,0),6),_xlpm.ajmov,IF(_xlpm.act&lt;_xlpm.ant,0.08,IF(_xlpm.act&gt;_xlpm.ant,-0.08,0)),_xlpm.ajcli,IF(T671&lt;0.95,-0.06,0),_xlpm.prob,MAX(0,MIN(1,_xlpm.prog+_xlpm.ajmov+_xlpm.ajcli)),IF(OR(V671="DIAMANTE",V671="CERRADO"),0,ROUND(_xlpm.prob,2)))</f>
        <v>0.84</v>
      </c>
      <c r="AK671" t="str">
        <f t="shared" si="252"/>
        <v>Faltan 0,5 puntos base para subir a la siguiente categoría</v>
      </c>
      <c r="AL671" t="str">
        <f t="shared" si="253"/>
        <v>No aplica</v>
      </c>
      <c r="AM671">
        <f t="shared" si="254"/>
        <v>0.28999999999999998</v>
      </c>
      <c r="AN671" t="str">
        <f t="shared" si="255"/>
        <v>PRIORIDAD BAJA – control normal</v>
      </c>
      <c r="AO671">
        <f t="shared" si="256"/>
        <v>40.723843356565325</v>
      </c>
      <c r="AP671">
        <f t="shared" si="257"/>
        <v>0.57315668613707049</v>
      </c>
      <c r="AQ671">
        <f t="shared" si="258"/>
        <v>0</v>
      </c>
      <c r="AR671">
        <f t="shared" si="259"/>
        <v>4.4799999999999995</v>
      </c>
      <c r="AS671">
        <f t="shared" si="260"/>
        <v>10.340056478573361</v>
      </c>
      <c r="AT671" t="str">
        <f t="shared" si="261"/>
        <v>VENTAS</v>
      </c>
      <c r="AU671">
        <f t="shared" si="262"/>
        <v>40.723843356565325</v>
      </c>
      <c r="AV671" t="str">
        <f t="shared" si="263"/>
        <v>Mayor retorno probable: VENTAS (+40,7 puntos finales potenciales).</v>
      </c>
    </row>
    <row r="672" spans="1:48" x14ac:dyDescent="0.3">
      <c r="A672" s="5">
        <v>51030141</v>
      </c>
      <c r="B672" s="5" t="str">
        <f>IFERROR(VLOOKUP(A672,VENTAS!$A$2:$B$1194,2,0),"")</f>
        <v>ROBERTS</v>
      </c>
      <c r="C672" s="5">
        <f>IFERROR(INDEX(VENTAS!$C$2:$E$1194,MATCH(A672,VENTAS!$A$2:$A$1194,0),MATCH(PARAMS_MODELO!$B$2,{"Q1","Q2","Q3"},0)),0)</f>
        <v>44747329.649999999</v>
      </c>
      <c r="D672" s="5">
        <f>IFERROR(INDEX(VENTAS!$F$2:$H$1194,MATCH(A672,VENTAS!$A$2:$A$1194,0),MATCH(PARAMS_MODELO!$B$2,{"Q1","Q2","Q3"},0)),0)</f>
        <v>60464095</v>
      </c>
      <c r="E672" s="8">
        <f t="shared" si="240"/>
        <v>0.3512335925502541</v>
      </c>
      <c r="F672" s="12">
        <f>IF(E672&lt;=PARAMS_MODELO!$B$15,0,IF(E672&gt;=PARAMS_MODELO!$B$17,100,100*MIN(1,(E672-PARAMS_MODELO!$B$15)/(PARAMS_MODELO!$B$16-PARAMS_MODELO!$B$15))))*PARAMS_MODELO!$B$7</f>
        <v>35</v>
      </c>
      <c r="G672" s="5">
        <f t="shared" si="241"/>
        <v>15716765.350000001</v>
      </c>
      <c r="H672" s="5">
        <f>(PARAMS_MODELO!$B$20*(MAX(0,MIN(3,E672))/3)+PARAMS_MODELO!$B$21*(IFERROR(LN(1+MAX(0,G672))/LN(1+MAX(0,MAX($G$2:$G$1194))),0)))*100*PARAMS_MODELO!$B$8</f>
        <v>5.1136128386859827</v>
      </c>
      <c r="I672" s="8">
        <f>E672-PARAMS_MODELO!$B$5</f>
        <v>0.17367075717472757</v>
      </c>
      <c r="J672" s="5">
        <f>IF(I672&lt;=PARAMS_MODELO!$B$18,0,IF(I672&gt;=PARAMS_MODELO!$B$19,100,100*(I672-PARAMS_MODELO!$B$18)/(PARAMS_MODELO!$B$19-PARAMS_MODELO!$B$18)))*PARAMS_MODELO!$B$9</f>
        <v>15</v>
      </c>
      <c r="K672" s="5">
        <f>IFERROR(CHOOSE(MATCH(PARAMS_MODELO!$B$2,{"Q1","Q2","Q3"},0),LOTO!$D672,LOTO!$F672,LOTO!$H672),0)</f>
        <v>2862500</v>
      </c>
      <c r="L672" s="8">
        <f t="shared" si="242"/>
        <v>4.7342145780896912E-2</v>
      </c>
      <c r="M672" s="5">
        <f>MIN(100,IF(PARAMS_MODELO!$B$23=0,0,100*L672/PARAMS_MODELO!$B$23))*PARAMS_MODELO!$B$10</f>
        <v>14.202643734269074</v>
      </c>
      <c r="N672" s="5">
        <f>IFERROR(VLOOKUP(A672,COMPLIANCE!$A$2:$F$1996,6,0),100)</f>
        <v>100</v>
      </c>
      <c r="O672" s="5">
        <f>N672*PARAMS_MODELO!$B$11</f>
        <v>10</v>
      </c>
      <c r="P672" s="5">
        <f>IFERROR(VLOOKUP(A672,DIGITAL!$A$2:$J$2000,7,0),100)</f>
        <v>48</v>
      </c>
      <c r="Q672" s="5">
        <f>IFERROR(P672,0)*PARAMS_MODELO!$B$12</f>
        <v>4.8000000000000007</v>
      </c>
      <c r="R672">
        <f t="shared" si="243"/>
        <v>84.116256572955052</v>
      </c>
      <c r="S672" s="5" t="str">
        <f>IFERROR(VLOOKUP(A672,CLIENTE!$A$2:$N$2000,13,0),1)</f>
        <v>Regular</v>
      </c>
      <c r="T672" s="5">
        <f>IFERROR(VLOOKUP(A672,CLIENTE!$A$2:$N$2000,14,0),1)</f>
        <v>1</v>
      </c>
      <c r="U672" s="5">
        <f t="shared" si="244"/>
        <v>84.116256572955052</v>
      </c>
      <c r="V672" s="5" t="str">
        <f>IF(U672&gt;=MAX(_xlfn.PERCENTILE.INC($U$2:$U$1194,PARAMS_MODELO!$B$50),PARAMS_MODELO!$B$45),"DIAMANTE",IF(U672&gt;=MAX(_xlfn.PERCENTILE.INC($U$2:$U$1194,PARAMS_MODELO!$B$51),PARAMS_MODELO!$B$46),"PLATINO",IF(U672&gt;=MAX(_xlfn.PERCENTILE.INC($U$2:$U$1194,PARAMS_MODELO!$B$52),PARAMS_MODELO!$B$47),"ORO",IF(U672&gt;=MAX(_xlfn.PERCENTILE.INC($U$2:$U$1194,PARAMS_MODELO!$B$53),PARAMS_MODELO!$B$48),"PLATA",IF(U672&gt;=1,"BRONCE","CERRADO")))))</f>
        <v>ORO</v>
      </c>
      <c r="W672" s="5" t="str" cm="1">
        <f t="array" ref="W672">_xlfn.XLOOKUP(1, (HIST_SCORE!$B:$B=PARAMS_MODELO!$B$4) * (HIST_SCORE!$C:$C=A672), HIST_SCORE!$E:$E, "No encontrado")</f>
        <v>ORO</v>
      </c>
      <c r="X672" s="5" t="str">
        <f>_xlfn.LET(_xlpm.act,MATCH(V672,{"DIAMANTE";"PLATINO";"ORO";"PLATA";"BRONCE";"CERRADO"},0),_xlpm.ant,MATCH(W672,{"DIAMANTE";"PLATINO";"ORO";"PLATA";"BRONCE";"CERRADO"},0),IF(_xlpm.act&lt;_xlpm.ant,"Mejora ↑",IF(_xlpm.act&gt;_xlpm.ant,"Baja ↓","Estable →")))</f>
        <v>Estable →</v>
      </c>
      <c r="Y672" s="5">
        <f>IFERROR(U672-SUMIFS(HIST_SCORE!$D:$D,HIST_SCORE!$B:$B,PARAMS_MODELO!$B$4,HIST_SCORE!$C:$C,$A672),"")</f>
        <v>-0.25101104681131403</v>
      </c>
      <c r="Z672" s="5" t="str">
        <f t="shared" si="245"/>
        <v>→ Estable</v>
      </c>
      <c r="AA672" s="5">
        <f t="shared" si="246"/>
        <v>317</v>
      </c>
      <c r="AB672" s="5">
        <f>IFERROR(SUMIFS(HIST_SCORE!$F:$F,HIST_SCORE!$B:$B,PARAMS_MODELO!$B$4,HIST_SCORE!$C:$C,$A672),"")</f>
        <v>277</v>
      </c>
      <c r="AC672" s="5">
        <f t="shared" si="247"/>
        <v>-40</v>
      </c>
      <c r="AD672" t="str">
        <f t="shared" si="249"/>
        <v>Sostener base y reforzar mix</v>
      </c>
      <c r="AE6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672="CERRADO",1,IF(V672="BRONCE",_xlpm.cPl,IF(V672="PLATA",_xlpm.cO,IF(V672="ORO",_xlpm.cP,IF(V672="PLATINO",_xlpm.cD,999))))))</f>
        <v>86.439123873763251</v>
      </c>
      <c r="AF6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672="CERRADO",0,IF(V672="BRONCE",1,IF(V672="PLATA",_xlpm.cPl,IF(V672="ORO",_xlpm.cO,IF(V672="PLATINO",_xlpm.cP,_xlpm.cD))))))</f>
        <v>63.199193273331495</v>
      </c>
      <c r="AG672">
        <f t="shared" si="250"/>
        <v>2.3228673008081984</v>
      </c>
      <c r="AH672" t="str">
        <f t="shared" si="251"/>
        <v>VENTAS</v>
      </c>
      <c r="AI672" t="str">
        <f t="shared" si="248"/>
        <v>🎯 Para subir de categoría, eje VENTAS / IMPACTO ABSOLUTO (H). Acción: metas semanales + activación comercial + seguimiento del asesor. ΔR aprox: 2,3</v>
      </c>
      <c r="AJ672" s="26">
        <f>_xlfn.LET(_xlpm.piso,AF672,_xlpm.corte,AE672,_xlpm.prog,IF(_xlpm.corte&lt;=_xlpm.piso,0,MAX(0,MIN(1,(U672-_xlpm.piso)/(_xlpm.corte-_xlpm.piso)))),_xlpm.orden,{"DIAMANTE";"PLATINO";"ORO";"PLATA";"BRONCE";"CERRADO"},_xlpm.act,IFERROR(MATCH(V672,_xlpm.orden,0),6),_xlpm.ant,IFERROR(MATCH(W672,_xlpm.orden,0),6),_xlpm.ajmov,IF(_xlpm.act&lt;_xlpm.ant,0.08,IF(_xlpm.act&gt;_xlpm.ant,-0.08,0)),_xlpm.ajcli,IF(T672&lt;0.95,-0.06,0),_xlpm.prob,MAX(0,MIN(1,_xlpm.prog+_xlpm.ajmov+_xlpm.ajcli)),IF(OR(V672="DIAMANTE",V672="CERRADO"),0,ROUND(_xlpm.prob,2)))</f>
        <v>0.9</v>
      </c>
      <c r="AK672" t="str">
        <f t="shared" si="252"/>
        <v>Faltan 2,3 puntos base para subir a la siguiente categoría</v>
      </c>
      <c r="AL672" t="str">
        <f t="shared" si="253"/>
        <v>Margen de seguridad: 20,9 puntos</v>
      </c>
      <c r="AM672">
        <f t="shared" si="254"/>
        <v>0.13</v>
      </c>
      <c r="AN672" t="str">
        <f t="shared" si="255"/>
        <v>PRIORIDAD BAJA – control normal</v>
      </c>
      <c r="AO672">
        <f t="shared" si="256"/>
        <v>9.7489564366096033</v>
      </c>
      <c r="AP672">
        <f t="shared" si="257"/>
        <v>0.79735626573092588</v>
      </c>
      <c r="AQ672">
        <f t="shared" si="258"/>
        <v>0</v>
      </c>
      <c r="AR672">
        <f t="shared" si="259"/>
        <v>5.1999999999999993</v>
      </c>
      <c r="AS672">
        <f t="shared" si="260"/>
        <v>0</v>
      </c>
      <c r="AT672" t="str">
        <f t="shared" si="261"/>
        <v>VENTAS</v>
      </c>
      <c r="AU672">
        <f t="shared" si="262"/>
        <v>9.7489564366096033</v>
      </c>
      <c r="AV672" t="str">
        <f t="shared" si="263"/>
        <v>Mayor retorno probable: VENTAS (+9,7 puntos finales potenciales).</v>
      </c>
    </row>
    <row r="673" spans="1:48" x14ac:dyDescent="0.3">
      <c r="A673" s="5">
        <v>51004698</v>
      </c>
      <c r="B673" s="5" t="str">
        <f>IFERROR(VLOOKUP(A673,VENTAS!$A$2:$B$1194,2,0),"")</f>
        <v>AYALA</v>
      </c>
      <c r="C673" s="5">
        <f>IFERROR(INDEX(VENTAS!$C$2:$E$1194,MATCH(A673,VENTAS!$A$2:$A$1194,0),MATCH(PARAMS_MODELO!$B$2,{"Q1","Q2","Q3"},0)),0)</f>
        <v>66733101.909999996</v>
      </c>
      <c r="D673" s="5">
        <f>IFERROR(INDEX(VENTAS!$F$2:$H$1194,MATCH(A673,VENTAS!$A$2:$A$1194,0),MATCH(PARAMS_MODELO!$B$2,{"Q1","Q2","Q3"},0)),0)</f>
        <v>60086114</v>
      </c>
      <c r="E673" s="8">
        <f t="shared" si="240"/>
        <v>-9.9605558856899812E-2</v>
      </c>
      <c r="F673" s="12">
        <f>IF(E673&lt;=PARAMS_MODELO!$B$15,0,IF(E673&gt;=PARAMS_MODELO!$B$17,100,100*MIN(1,(E673-PARAMS_MODELO!$B$15)/(PARAMS_MODELO!$B$16-PARAMS_MODELO!$B$15))))*PARAMS_MODELO!$B$7</f>
        <v>0</v>
      </c>
      <c r="G673" s="5">
        <f t="shared" si="241"/>
        <v>0</v>
      </c>
      <c r="H673" s="5">
        <f>(PARAMS_MODELO!$B$20*(MAX(0,MIN(3,E673))/3)+PARAMS_MODELO!$B$21*(IFERROR(LN(1+MAX(0,G673))/LN(1+MAX(0,MAX($G$2:$G$1194))),0)))*100*PARAMS_MODELO!$B$8</f>
        <v>0</v>
      </c>
      <c r="I673" s="8">
        <f>E673-PARAMS_MODELO!$B$5</f>
        <v>-0.27716839423242634</v>
      </c>
      <c r="J673" s="5">
        <f>IF(I673&lt;=PARAMS_MODELO!$B$18,0,IF(I673&gt;=PARAMS_MODELO!$B$19,100,100*(I673-PARAMS_MODELO!$B$18)/(PARAMS_MODELO!$B$19-PARAMS_MODELO!$B$18)))*PARAMS_MODELO!$B$9</f>
        <v>0</v>
      </c>
      <c r="K673" s="5">
        <f>IFERROR(CHOOSE(MATCH(PARAMS_MODELO!$B$2,{"Q1","Q2","Q3"},0),LOTO!$D673,LOTO!$F673,LOTO!$H673),0)</f>
        <v>2852500</v>
      </c>
      <c r="L673" s="8">
        <f t="shared" si="242"/>
        <v>4.7473531072420493E-2</v>
      </c>
      <c r="M673" s="5">
        <f>MIN(100,IF(PARAMS_MODELO!$B$23=0,0,100*L673/PARAMS_MODELO!$B$23))*PARAMS_MODELO!$B$10</f>
        <v>14.242059321726147</v>
      </c>
      <c r="N673" s="5">
        <f>IFERROR(VLOOKUP(A673,COMPLIANCE!$A$2:$F$1996,6,0),100)</f>
        <v>99.7</v>
      </c>
      <c r="O673" s="5">
        <f>N673*PARAMS_MODELO!$B$11</f>
        <v>9.9700000000000006</v>
      </c>
      <c r="P673" s="5">
        <f>IFERROR(VLOOKUP(A673,DIGITAL!$A$2:$J$2000,7,0),100)</f>
        <v>81</v>
      </c>
      <c r="Q673" s="5">
        <f>IFERROR(P673,0)*PARAMS_MODELO!$B$12</f>
        <v>8.1</v>
      </c>
      <c r="R673">
        <f t="shared" si="243"/>
        <v>32.312059321726146</v>
      </c>
      <c r="S673" s="5" t="str">
        <f>IFERROR(VLOOKUP(A673,CLIENTE!$A$2:$N$2000,13,0),1)</f>
        <v>Muy Bueno</v>
      </c>
      <c r="T673" s="5">
        <f>IFERROR(VLOOKUP(A673,CLIENTE!$A$2:$N$2000,14,0),1)</f>
        <v>1.1499999999999999</v>
      </c>
      <c r="U673" s="5">
        <f t="shared" si="244"/>
        <v>37.158868219985067</v>
      </c>
      <c r="V673" s="5" t="str">
        <f>IF(U673&gt;=MAX(_xlfn.PERCENTILE.INC($U$2:$U$1194,PARAMS_MODELO!$B$50),PARAMS_MODELO!$B$45),"DIAMANTE",IF(U673&gt;=MAX(_xlfn.PERCENTILE.INC($U$2:$U$1194,PARAMS_MODELO!$B$51),PARAMS_MODELO!$B$46),"PLATINO",IF(U673&gt;=MAX(_xlfn.PERCENTILE.INC($U$2:$U$1194,PARAMS_MODELO!$B$52),PARAMS_MODELO!$B$47),"ORO",IF(U673&gt;=MAX(_xlfn.PERCENTILE.INC($U$2:$U$1194,PARAMS_MODELO!$B$53),PARAMS_MODELO!$B$48),"PLATA",IF(U673&gt;=1,"BRONCE","CERRADO")))))</f>
        <v>PLATA</v>
      </c>
      <c r="W673" s="5" t="str" cm="1">
        <f t="array" ref="W673">_xlfn.XLOOKUP(1, (HIST_SCORE!$B:$B=PARAMS_MODELO!$B$4) * (HIST_SCORE!$C:$C=A673), HIST_SCORE!$E:$E, "No encontrado")</f>
        <v>ORO</v>
      </c>
      <c r="X673" s="5" t="str">
        <f>_xlfn.LET(_xlpm.act,MATCH(V673,{"DIAMANTE";"PLATINO";"ORO";"PLATA";"BRONCE";"CERRADO"},0),_xlpm.ant,MATCH(W673,{"DIAMANTE";"PLATINO";"ORO";"PLATA";"BRONCE";"CERRADO"},0),IF(_xlpm.act&lt;_xlpm.ant,"Mejora ↑",IF(_xlpm.act&gt;_xlpm.ant,"Baja ↓","Estable →")))</f>
        <v>Baja ↓</v>
      </c>
      <c r="Y673" s="5">
        <f>IFERROR(U673-SUMIFS(HIST_SCORE!$D:$D,HIST_SCORE!$B:$B,PARAMS_MODELO!$B$4,HIST_SCORE!$C:$C,$A673),"")</f>
        <v>-40.62150772931551</v>
      </c>
      <c r="Z673" s="5" t="str">
        <f t="shared" si="245"/>
        <v>↓ Baja</v>
      </c>
      <c r="AA673" s="5">
        <f t="shared" si="246"/>
        <v>798</v>
      </c>
      <c r="AB673" s="5">
        <f>IFERROR(SUMIFS(HIST_SCORE!$F:$F,HIST_SCORE!$B:$B,PARAMS_MODELO!$B$4,HIST_SCORE!$C:$C,$A673),"")</f>
        <v>453</v>
      </c>
      <c r="AC673" s="5">
        <f t="shared" si="247"/>
        <v>-345</v>
      </c>
      <c r="AD673" t="str">
        <f t="shared" si="249"/>
        <v/>
      </c>
      <c r="AE6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673="CERRADO",1,IF(V673="BRONCE",_xlpm.cPl,IF(V673="PLATA",_xlpm.cO,IF(V673="ORO",_xlpm.cP,IF(V673="PLATINO",_xlpm.cD,999))))))</f>
        <v>63.199193273331495</v>
      </c>
      <c r="AF6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673="CERRADO",0,IF(V673="BRONCE",1,IF(V673="PLATA",_xlpm.cPl,IF(V673="ORO",_xlpm.cO,IF(V673="PLATINO",_xlpm.cP,_xlpm.cD))))))</f>
        <v>24.506573482968111</v>
      </c>
      <c r="AG673">
        <f t="shared" si="250"/>
        <v>22.643760915953422</v>
      </c>
      <c r="AH673" t="str">
        <f t="shared" si="251"/>
        <v>VENTAS</v>
      </c>
      <c r="AI673" t="str">
        <f t="shared" si="248"/>
        <v>🎯 Para subir de categoría, eje VENTAS / CRECIMIENTO PERSONAL (F). Acción: metas semanales + activación comercial + seguimiento del asesor. ΔR aprox: 22,6</v>
      </c>
      <c r="AJ673" s="26">
        <f>_xlfn.LET(_xlpm.piso,AF673,_xlpm.corte,AE673,_xlpm.prog,IF(_xlpm.corte&lt;=_xlpm.piso,0,MAX(0,MIN(1,(U673-_xlpm.piso)/(_xlpm.corte-_xlpm.piso)))),_xlpm.orden,{"DIAMANTE";"PLATINO";"ORO";"PLATA";"BRONCE";"CERRADO"},_xlpm.act,IFERROR(MATCH(V673,_xlpm.orden,0),6),_xlpm.ant,IFERROR(MATCH(W673,_xlpm.orden,0),6),_xlpm.ajmov,IF(_xlpm.act&lt;_xlpm.ant,0.08,IF(_xlpm.act&gt;_xlpm.ant,-0.08,0)),_xlpm.ajcli,IF(T673&lt;0.95,-0.06,0),_xlpm.prob,MAX(0,MIN(1,_xlpm.prog+_xlpm.ajmov+_xlpm.ajcli)),IF(OR(V673="DIAMANTE",V673="CERRADO"),0,ROUND(_xlpm.prob,2)))</f>
        <v>0.25</v>
      </c>
      <c r="AK673" t="str">
        <f t="shared" si="252"/>
        <v>Faltan 22,6 puntos base para subir a la siguiente categoría</v>
      </c>
      <c r="AL673" t="str">
        <f t="shared" si="253"/>
        <v>Margen de seguridad: 12,7 puntos</v>
      </c>
      <c r="AM673">
        <f t="shared" si="254"/>
        <v>0.7</v>
      </c>
      <c r="AN673" t="str">
        <f t="shared" si="255"/>
        <v>PRIORIDAD ALTA – requiere intervención inmediata</v>
      </c>
      <c r="AO673">
        <f t="shared" si="256"/>
        <v>74.591954666589913</v>
      </c>
      <c r="AP673">
        <f t="shared" si="257"/>
        <v>0.87163178001493058</v>
      </c>
      <c r="AQ673">
        <f t="shared" si="258"/>
        <v>3.449999999999926E-2</v>
      </c>
      <c r="AR673">
        <f t="shared" si="259"/>
        <v>2.1850000000000001</v>
      </c>
      <c r="AS673">
        <f t="shared" si="260"/>
        <v>0</v>
      </c>
      <c r="AT673" t="str">
        <f t="shared" si="261"/>
        <v>VENTAS</v>
      </c>
      <c r="AU673">
        <f t="shared" si="262"/>
        <v>74.591954666589913</v>
      </c>
      <c r="AV673" t="str">
        <f t="shared" si="263"/>
        <v>Mayor retorno probable: VENTAS (+74,6 puntos finales potenciales).</v>
      </c>
    </row>
    <row r="674" spans="1:48" x14ac:dyDescent="0.3">
      <c r="A674" s="5">
        <v>51029585</v>
      </c>
      <c r="B674" s="5" t="str">
        <f>IFERROR(VLOOKUP(A674,VENTAS!$A$2:$B$1194,2,0),"")</f>
        <v>CICHETTO</v>
      </c>
      <c r="C674" s="5">
        <f>IFERROR(INDEX(VENTAS!$C$2:$E$1194,MATCH(A674,VENTAS!$A$2:$A$1194,0),MATCH(PARAMS_MODELO!$B$2,{"Q1","Q2","Q3"},0)),0)</f>
        <v>47908703.700000003</v>
      </c>
      <c r="D674" s="5">
        <f>IFERROR(INDEX(VENTAS!$F$2:$H$1194,MATCH(A674,VENTAS!$A$2:$A$1194,0),MATCH(PARAMS_MODELO!$B$2,{"Q1","Q2","Q3"},0)),0)</f>
        <v>60067648</v>
      </c>
      <c r="E674" s="8">
        <f t="shared" si="240"/>
        <v>0.25379405746684802</v>
      </c>
      <c r="F674" s="12">
        <f>IF(E674&lt;=PARAMS_MODELO!$B$15,0,IF(E674&gt;=PARAMS_MODELO!$B$17,100,100*MIN(1,(E674-PARAMS_MODELO!$B$15)/(PARAMS_MODELO!$B$16-PARAMS_MODELO!$B$15))))*PARAMS_MODELO!$B$7</f>
        <v>35</v>
      </c>
      <c r="G674" s="5">
        <f t="shared" si="241"/>
        <v>12158944.299999997</v>
      </c>
      <c r="H674" s="5">
        <f>(PARAMS_MODELO!$B$20*(MAX(0,MIN(3,E674))/3)+PARAMS_MODELO!$B$21*(IFERROR(LN(1+MAX(0,G674))/LN(1+MAX(0,MAX($G$2:$G$1194))),0)))*100*PARAMS_MODELO!$B$8</f>
        <v>4.712409093002778</v>
      </c>
      <c r="I674" s="8">
        <f>E674-PARAMS_MODELO!$B$5</f>
        <v>7.6231222091321493E-2</v>
      </c>
      <c r="J674" s="5">
        <f>IF(I674&lt;=PARAMS_MODELO!$B$18,0,IF(I674&gt;=PARAMS_MODELO!$B$19,100,100*(I674-PARAMS_MODELO!$B$18)/(PARAMS_MODELO!$B$19-PARAMS_MODELO!$B$18)))*PARAMS_MODELO!$B$9</f>
        <v>15</v>
      </c>
      <c r="K674" s="5">
        <f>IFERROR(CHOOSE(MATCH(PARAMS_MODELO!$B$2,{"Q1","Q2","Q3"},0),LOTO!$D674,LOTO!$F674,LOTO!$H674),0)</f>
        <v>2847500</v>
      </c>
      <c r="L674" s="8">
        <f t="shared" si="242"/>
        <v>4.7404885904638719E-2</v>
      </c>
      <c r="M674" s="5">
        <f>MIN(100,IF(PARAMS_MODELO!$B$23=0,0,100*L674/PARAMS_MODELO!$B$23))*PARAMS_MODELO!$B$10</f>
        <v>14.221465771391612</v>
      </c>
      <c r="N674" s="5">
        <f>IFERROR(VLOOKUP(A674,COMPLIANCE!$A$2:$F$1996,6,0),100)</f>
        <v>100</v>
      </c>
      <c r="O674" s="5">
        <f>N674*PARAMS_MODELO!$B$11</f>
        <v>10</v>
      </c>
      <c r="P674" s="5">
        <f>IFERROR(VLOOKUP(A674,DIGITAL!$A$2:$J$2000,7,0),100)</f>
        <v>67</v>
      </c>
      <c r="Q674" s="5">
        <f>IFERROR(P674,0)*PARAMS_MODELO!$B$12</f>
        <v>6.7</v>
      </c>
      <c r="R674">
        <f t="shared" si="243"/>
        <v>85.633874864394386</v>
      </c>
      <c r="S674" s="5" t="str">
        <f>IFERROR(VLOOKUP(A674,CLIENTE!$A$2:$N$2000,13,0),1)</f>
        <v>Regular</v>
      </c>
      <c r="T674" s="5">
        <f>IFERROR(VLOOKUP(A674,CLIENTE!$A$2:$N$2000,14,0),1)</f>
        <v>1</v>
      </c>
      <c r="U674" s="5">
        <f t="shared" si="244"/>
        <v>85.633874864394386</v>
      </c>
      <c r="V674" s="5" t="str">
        <f>IF(U674&gt;=MAX(_xlfn.PERCENTILE.INC($U$2:$U$1194,PARAMS_MODELO!$B$50),PARAMS_MODELO!$B$45),"DIAMANTE",IF(U674&gt;=MAX(_xlfn.PERCENTILE.INC($U$2:$U$1194,PARAMS_MODELO!$B$51),PARAMS_MODELO!$B$46),"PLATINO",IF(U674&gt;=MAX(_xlfn.PERCENTILE.INC($U$2:$U$1194,PARAMS_MODELO!$B$52),PARAMS_MODELO!$B$47),"ORO",IF(U674&gt;=MAX(_xlfn.PERCENTILE.INC($U$2:$U$1194,PARAMS_MODELO!$B$53),PARAMS_MODELO!$B$48),"PLATA",IF(U674&gt;=1,"BRONCE","CERRADO")))))</f>
        <v>ORO</v>
      </c>
      <c r="W674" s="5" t="str" cm="1">
        <f t="array" ref="W674">_xlfn.XLOOKUP(1, (HIST_SCORE!$B:$B=PARAMS_MODELO!$B$4) * (HIST_SCORE!$C:$C=A674), HIST_SCORE!$E:$E, "No encontrado")</f>
        <v>ORO</v>
      </c>
      <c r="X674" s="5" t="str">
        <f>_xlfn.LET(_xlpm.act,MATCH(V674,{"DIAMANTE";"PLATINO";"ORO";"PLATA";"BRONCE";"CERRADO"},0),_xlpm.ant,MATCH(W674,{"DIAMANTE";"PLATINO";"ORO";"PLATA";"BRONCE";"CERRADO"},0),IF(_xlpm.act&lt;_xlpm.ant,"Mejora ↑",IF(_xlpm.act&gt;_xlpm.ant,"Baja ↓","Estable →")))</f>
        <v>Estable →</v>
      </c>
      <c r="Y674" s="5">
        <f>IFERROR(U674-SUMIFS(HIST_SCORE!$D:$D,HIST_SCORE!$B:$B,PARAMS_MODELO!$B$4,HIST_SCORE!$C:$C,$A674),"")</f>
        <v>1.7779288448990371</v>
      </c>
      <c r="Z674" s="5" t="str">
        <f t="shared" si="245"/>
        <v>→ Estable</v>
      </c>
      <c r="AA674" s="5">
        <f t="shared" si="246"/>
        <v>264</v>
      </c>
      <c r="AB674" s="5">
        <f>IFERROR(SUMIFS(HIST_SCORE!$F:$F,HIST_SCORE!$B:$B,PARAMS_MODELO!$B$4,HIST_SCORE!$C:$C,$A674),"")</f>
        <v>296</v>
      </c>
      <c r="AC674" s="5">
        <f t="shared" si="247"/>
        <v>32</v>
      </c>
      <c r="AD674" t="str">
        <f t="shared" si="249"/>
        <v/>
      </c>
      <c r="AE6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674="CERRADO",1,IF(V674="BRONCE",_xlpm.cPl,IF(V674="PLATA",_xlpm.cO,IF(V674="ORO",_xlpm.cP,IF(V674="PLATINO",_xlpm.cD,999))))))</f>
        <v>86.439123873763251</v>
      </c>
      <c r="AF6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674="CERRADO",0,IF(V674="BRONCE",1,IF(V674="PLATA",_xlpm.cPl,IF(V674="ORO",_xlpm.cO,IF(V674="PLATINO",_xlpm.cP,_xlpm.cD))))))</f>
        <v>63.199193273331495</v>
      </c>
      <c r="AG674">
        <f t="shared" si="250"/>
        <v>0.80524900936886468</v>
      </c>
      <c r="AH674" t="str">
        <f t="shared" si="251"/>
        <v>VENTAS</v>
      </c>
      <c r="AI674" t="str">
        <f t="shared" si="248"/>
        <v>🎯 Para subir de categoría, eje VENTAS / IMPACTO ABSOLUTO (H). Acción: metas semanales + activación comercial + seguimiento del asesor. ΔR aprox: 0,8</v>
      </c>
      <c r="AJ674" s="26">
        <f>_xlfn.LET(_xlpm.piso,AF674,_xlpm.corte,AE674,_xlpm.prog,IF(_xlpm.corte&lt;=_xlpm.piso,0,MAX(0,MIN(1,(U674-_xlpm.piso)/(_xlpm.corte-_xlpm.piso)))),_xlpm.orden,{"DIAMANTE";"PLATINO";"ORO";"PLATA";"BRONCE";"CERRADO"},_xlpm.act,IFERROR(MATCH(V674,_xlpm.orden,0),6),_xlpm.ant,IFERROR(MATCH(W674,_xlpm.orden,0),6),_xlpm.ajmov,IF(_xlpm.act&lt;_xlpm.ant,0.08,IF(_xlpm.act&gt;_xlpm.ant,-0.08,0)),_xlpm.ajcli,IF(T674&lt;0.95,-0.06,0),_xlpm.prob,MAX(0,MIN(1,_xlpm.prog+_xlpm.ajmov+_xlpm.ajcli)),IF(OR(V674="DIAMANTE",V674="CERRADO"),0,ROUND(_xlpm.prob,2)))</f>
        <v>0.97</v>
      </c>
      <c r="AK674" t="str">
        <f t="shared" si="252"/>
        <v>Faltan 0,8 puntos base para subir a la siguiente categoría</v>
      </c>
      <c r="AL674" t="str">
        <f t="shared" si="253"/>
        <v>Margen de seguridad: 22,4 puntos</v>
      </c>
      <c r="AM674">
        <f t="shared" si="254"/>
        <v>0.04</v>
      </c>
      <c r="AN674" t="str">
        <f t="shared" si="255"/>
        <v>PRIORIDAD BAJA – control normal</v>
      </c>
      <c r="AO674">
        <f t="shared" si="256"/>
        <v>10.150160182292808</v>
      </c>
      <c r="AP674">
        <f t="shared" si="257"/>
        <v>0.77853422860838783</v>
      </c>
      <c r="AQ674">
        <f t="shared" si="258"/>
        <v>0</v>
      </c>
      <c r="AR674">
        <f t="shared" si="259"/>
        <v>3.3</v>
      </c>
      <c r="AS674">
        <f t="shared" si="260"/>
        <v>0</v>
      </c>
      <c r="AT674" t="str">
        <f t="shared" si="261"/>
        <v>VENTAS</v>
      </c>
      <c r="AU674">
        <f t="shared" si="262"/>
        <v>10.150160182292808</v>
      </c>
      <c r="AV674" t="str">
        <f t="shared" si="263"/>
        <v>Mayor retorno probable: VENTAS (+10,2 puntos finales potenciales).</v>
      </c>
    </row>
    <row r="675" spans="1:48" x14ac:dyDescent="0.3">
      <c r="A675" s="5">
        <v>51018389</v>
      </c>
      <c r="B675" s="5" t="str">
        <f>IFERROR(VLOOKUP(A675,VENTAS!$A$2:$B$1194,2,0),"")</f>
        <v>METTLER</v>
      </c>
      <c r="C675" s="5">
        <f>IFERROR(INDEX(VENTAS!$C$2:$E$1194,MATCH(A675,VENTAS!$A$2:$A$1194,0),MATCH(PARAMS_MODELO!$B$2,{"Q1","Q2","Q3"},0)),0)</f>
        <v>51844655.669999987</v>
      </c>
      <c r="D675" s="5">
        <f>IFERROR(INDEX(VENTAS!$F$2:$H$1194,MATCH(A675,VENTAS!$A$2:$A$1194,0),MATCH(PARAMS_MODELO!$B$2,{"Q1","Q2","Q3"},0)),0)</f>
        <v>60054317</v>
      </c>
      <c r="E675" s="8">
        <f t="shared" si="240"/>
        <v>0.1583511593221083</v>
      </c>
      <c r="F675" s="12">
        <f>IF(E675&lt;=PARAMS_MODELO!$B$15,0,IF(E675&gt;=PARAMS_MODELO!$B$17,100,100*MIN(1,(E675-PARAMS_MODELO!$B$15)/(PARAMS_MODELO!$B$16-PARAMS_MODELO!$B$15))))*PARAMS_MODELO!$B$7</f>
        <v>35</v>
      </c>
      <c r="G675" s="5">
        <f t="shared" si="241"/>
        <v>8209661.3300000131</v>
      </c>
      <c r="H675" s="5">
        <f>(PARAMS_MODELO!$B$20*(MAX(0,MIN(3,E675))/3)+PARAMS_MODELO!$B$21*(IFERROR(LN(1+MAX(0,G675))/LN(1+MAX(0,MAX($G$2:$G$1194))),0)))*100*PARAMS_MODELO!$B$8</f>
        <v>4.2862920825367476</v>
      </c>
      <c r="I675" s="8">
        <f>E675-PARAMS_MODELO!$B$5</f>
        <v>-1.9211676053418225E-2</v>
      </c>
      <c r="J675" s="5">
        <f>IF(I675&lt;=PARAMS_MODELO!$B$18,0,IF(I675&gt;=PARAMS_MODELO!$B$19,100,100*(I675-PARAMS_MODELO!$B$18)/(PARAMS_MODELO!$B$19-PARAMS_MODELO!$B$18)))*PARAMS_MODELO!$B$9</f>
        <v>4.6182485919872667</v>
      </c>
      <c r="K675" s="5">
        <f>IFERROR(CHOOSE(MATCH(PARAMS_MODELO!$B$2,{"Q1","Q2","Q3"},0),LOTO!$D675,LOTO!$F675,LOTO!$H675),0)</f>
        <v>2837500</v>
      </c>
      <c r="L675" s="8">
        <f t="shared" si="242"/>
        <v>4.7248893031286994E-2</v>
      </c>
      <c r="M675" s="5">
        <f>MIN(100,IF(PARAMS_MODELO!$B$23=0,0,100*L675/PARAMS_MODELO!$B$23))*PARAMS_MODELO!$B$10</f>
        <v>14.174667909386097</v>
      </c>
      <c r="N675" s="5">
        <f>IFERROR(VLOOKUP(A675,COMPLIANCE!$A$2:$F$1996,6,0),100)</f>
        <v>100</v>
      </c>
      <c r="O675" s="5">
        <f>N675*PARAMS_MODELO!$B$11</f>
        <v>10</v>
      </c>
      <c r="P675" s="5">
        <f>IFERROR(VLOOKUP(A675,DIGITAL!$A$2:$J$2000,7,0),100)</f>
        <v>15</v>
      </c>
      <c r="Q675" s="5">
        <f>IFERROR(P675,0)*PARAMS_MODELO!$B$12</f>
        <v>1.5</v>
      </c>
      <c r="R675">
        <f t="shared" si="243"/>
        <v>69.579208583910116</v>
      </c>
      <c r="S675" s="5" t="str">
        <f>IFERROR(VLOOKUP(A675,CLIENTE!$A$2:$N$2000,13,0),1)</f>
        <v>Regular</v>
      </c>
      <c r="T675" s="5">
        <f>IFERROR(VLOOKUP(A675,CLIENTE!$A$2:$N$2000,14,0),1)</f>
        <v>1</v>
      </c>
      <c r="U675" s="5">
        <f t="shared" si="244"/>
        <v>69.579208583910116</v>
      </c>
      <c r="V675" s="5" t="str">
        <f>IF(U675&gt;=MAX(_xlfn.PERCENTILE.INC($U$2:$U$1194,PARAMS_MODELO!$B$50),PARAMS_MODELO!$B$45),"DIAMANTE",IF(U675&gt;=MAX(_xlfn.PERCENTILE.INC($U$2:$U$1194,PARAMS_MODELO!$B$51),PARAMS_MODELO!$B$46),"PLATINO",IF(U675&gt;=MAX(_xlfn.PERCENTILE.INC($U$2:$U$1194,PARAMS_MODELO!$B$52),PARAMS_MODELO!$B$47),"ORO",IF(U675&gt;=MAX(_xlfn.PERCENTILE.INC($U$2:$U$1194,PARAMS_MODELO!$B$53),PARAMS_MODELO!$B$48),"PLATA",IF(U675&gt;=1,"BRONCE","CERRADO")))))</f>
        <v>ORO</v>
      </c>
      <c r="W675" s="5" t="str" cm="1">
        <f t="array" ref="W675">_xlfn.XLOOKUP(1, (HIST_SCORE!$B:$B=PARAMS_MODELO!$B$4) * (HIST_SCORE!$C:$C=A675), HIST_SCORE!$E:$E, "No encontrado")</f>
        <v>ORO</v>
      </c>
      <c r="X675" s="5" t="str">
        <f>_xlfn.LET(_xlpm.act,MATCH(V675,{"DIAMANTE";"PLATINO";"ORO";"PLATA";"BRONCE";"CERRADO"},0),_xlpm.ant,MATCH(W675,{"DIAMANTE";"PLATINO";"ORO";"PLATA";"BRONCE";"CERRADO"},0),IF(_xlpm.act&lt;_xlpm.ant,"Mejora ↑",IF(_xlpm.act&gt;_xlpm.ant,"Baja ↓","Estable →")))</f>
        <v>Estable →</v>
      </c>
      <c r="Y675" s="5">
        <f>IFERROR(U675-SUMIFS(HIST_SCORE!$D:$D,HIST_SCORE!$B:$B,PARAMS_MODELO!$B$4,HIST_SCORE!$C:$C,$A675),"")</f>
        <v>1.9168292215137086</v>
      </c>
      <c r="Z675" s="5" t="str">
        <f t="shared" si="245"/>
        <v>→ Estable</v>
      </c>
      <c r="AA675" s="5">
        <f t="shared" si="246"/>
        <v>515</v>
      </c>
      <c r="AB675" s="5">
        <f>IFERROR(SUMIFS(HIST_SCORE!$F:$F,HIST_SCORE!$B:$B,PARAMS_MODELO!$B$4,HIST_SCORE!$C:$C,$A675),"")</f>
        <v>558</v>
      </c>
      <c r="AC675" s="5">
        <f t="shared" si="247"/>
        <v>43</v>
      </c>
      <c r="AD675" t="str">
        <f t="shared" si="249"/>
        <v/>
      </c>
      <c r="AE6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675="CERRADO",1,IF(V675="BRONCE",_xlpm.cPl,IF(V675="PLATA",_xlpm.cO,IF(V675="ORO",_xlpm.cP,IF(V675="PLATINO",_xlpm.cD,999))))))</f>
        <v>86.439123873763251</v>
      </c>
      <c r="AF6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675="CERRADO",0,IF(V675="BRONCE",1,IF(V675="PLATA",_xlpm.cPl,IF(V675="ORO",_xlpm.cO,IF(V675="PLATINO",_xlpm.cP,_xlpm.cD))))))</f>
        <v>63.199193273331495</v>
      </c>
      <c r="AG675">
        <f t="shared" si="250"/>
        <v>16.859915289853134</v>
      </c>
      <c r="AH675" t="str">
        <f t="shared" si="251"/>
        <v>VENTAS</v>
      </c>
      <c r="AI675" t="str">
        <f t="shared" si="248"/>
        <v>🎯 Para subir de categoría, eje VENTAS / IMPACTO ABSOLUTO (H). Acción: metas semanales + activación comercial + seguimiento del asesor. ΔR aprox: 16,9</v>
      </c>
      <c r="AJ675" s="26">
        <f>_xlfn.LET(_xlpm.piso,AF675,_xlpm.corte,AE675,_xlpm.prog,IF(_xlpm.corte&lt;=_xlpm.piso,0,MAX(0,MIN(1,(U675-_xlpm.piso)/(_xlpm.corte-_xlpm.piso)))),_xlpm.orden,{"DIAMANTE";"PLATINO";"ORO";"PLATA";"BRONCE";"CERRADO"},_xlpm.act,IFERROR(MATCH(V675,_xlpm.orden,0),6),_xlpm.ant,IFERROR(MATCH(W675,_xlpm.orden,0),6),_xlpm.ajmov,IF(_xlpm.act&lt;_xlpm.ant,0.08,IF(_xlpm.act&gt;_xlpm.ant,-0.08,0)),_xlpm.ajcli,IF(T675&lt;0.95,-0.06,0),_xlpm.prob,MAX(0,MIN(1,_xlpm.prog+_xlpm.ajmov+_xlpm.ajcli)),IF(OR(V675="DIAMANTE",V675="CERRADO"),0,ROUND(_xlpm.prob,2)))</f>
        <v>0.27</v>
      </c>
      <c r="AK675" t="str">
        <f t="shared" si="252"/>
        <v>Faltan 16,9 puntos base para subir a la siguiente categoría</v>
      </c>
      <c r="AL675" t="str">
        <f t="shared" si="253"/>
        <v>Margen de seguridad: 6,4 puntos</v>
      </c>
      <c r="AM675">
        <f t="shared" si="254"/>
        <v>0.69</v>
      </c>
      <c r="AN675" t="str">
        <f t="shared" si="255"/>
        <v>PRIORIDAD MEDIA – seguimiento del asesor</v>
      </c>
      <c r="AO675">
        <f t="shared" si="256"/>
        <v>20.95802860077157</v>
      </c>
      <c r="AP675">
        <f t="shared" si="257"/>
        <v>0.82533209061390345</v>
      </c>
      <c r="AQ675">
        <f t="shared" si="258"/>
        <v>0</v>
      </c>
      <c r="AR675">
        <f t="shared" si="259"/>
        <v>8.5</v>
      </c>
      <c r="AS675">
        <f t="shared" si="260"/>
        <v>0</v>
      </c>
      <c r="AT675" t="str">
        <f t="shared" si="261"/>
        <v>VENTAS</v>
      </c>
      <c r="AU675">
        <f t="shared" si="262"/>
        <v>20.95802860077157</v>
      </c>
      <c r="AV675" t="str">
        <f t="shared" si="263"/>
        <v>Mayor retorno probable: VENTAS (+21,0 puntos finales potenciales).</v>
      </c>
    </row>
    <row r="676" spans="1:48" x14ac:dyDescent="0.3">
      <c r="A676" s="5">
        <v>51017137</v>
      </c>
      <c r="B676" s="5" t="str">
        <f>IFERROR(VLOOKUP(A676,VENTAS!$A$2:$B$1194,2,0),"")</f>
        <v>CICHETTO</v>
      </c>
      <c r="C676" s="5">
        <f>IFERROR(INDEX(VENTAS!$C$2:$E$1194,MATCH(A676,VENTAS!$A$2:$A$1194,0),MATCH(PARAMS_MODELO!$B$2,{"Q1","Q2","Q3"},0)),0)</f>
        <v>52026000.810000002</v>
      </c>
      <c r="D676" s="5">
        <f>IFERROR(INDEX(VENTAS!$F$2:$H$1194,MATCH(A676,VENTAS!$A$2:$A$1194,0),MATCH(PARAMS_MODELO!$B$2,{"Q1","Q2","Q3"},0)),0)</f>
        <v>59949803</v>
      </c>
      <c r="E676" s="8">
        <f t="shared" si="240"/>
        <v>0.15230465664539317</v>
      </c>
      <c r="F676" s="12">
        <f>IF(E676&lt;=PARAMS_MODELO!$B$15,0,IF(E676&gt;=PARAMS_MODELO!$B$17,100,100*MIN(1,(E676-PARAMS_MODELO!$B$15)/(PARAMS_MODELO!$B$16-PARAMS_MODELO!$B$15))))*PARAMS_MODELO!$B$7</f>
        <v>35</v>
      </c>
      <c r="G676" s="5">
        <f t="shared" si="241"/>
        <v>7923802.1899999976</v>
      </c>
      <c r="H676" s="5">
        <f>(PARAMS_MODELO!$B$20*(MAX(0,MIN(3,E676))/3)+PARAMS_MODELO!$B$21*(IFERROR(LN(1+MAX(0,G676))/LN(1+MAX(0,MAX($G$2:$G$1194))),0)))*100*PARAMS_MODELO!$B$8</f>
        <v>4.2568215746824949</v>
      </c>
      <c r="I676" s="8">
        <f>E676-PARAMS_MODELO!$B$5</f>
        <v>-2.5258178730133363E-2</v>
      </c>
      <c r="J676" s="5">
        <f>IF(I676&lt;=PARAMS_MODELO!$B$18,0,IF(I676&gt;=PARAMS_MODELO!$B$19,100,100*(I676-PARAMS_MODELO!$B$18)/(PARAMS_MODELO!$B$19-PARAMS_MODELO!$B$18)))*PARAMS_MODELO!$B$9</f>
        <v>3.711273190479996</v>
      </c>
      <c r="K676" s="5">
        <f>IFERROR(CHOOSE(MATCH(PARAMS_MODELO!$B$2,{"Q1","Q2","Q3"},0),LOTO!$D676,LOTO!$F676,LOTO!$H676),0)</f>
        <v>2827500</v>
      </c>
      <c r="L676" s="8">
        <f t="shared" si="242"/>
        <v>4.7164458572115743E-2</v>
      </c>
      <c r="M676" s="5">
        <f>MIN(100,IF(PARAMS_MODELO!$B$23=0,0,100*L676/PARAMS_MODELO!$B$23))*PARAMS_MODELO!$B$10</f>
        <v>14.149337571634719</v>
      </c>
      <c r="N676" s="5">
        <f>IFERROR(VLOOKUP(A676,COMPLIANCE!$A$2:$F$1996,6,0),100)</f>
        <v>100</v>
      </c>
      <c r="O676" s="5">
        <f>N676*PARAMS_MODELO!$B$11</f>
        <v>10</v>
      </c>
      <c r="P676" s="5">
        <f>IFERROR(VLOOKUP(A676,DIGITAL!$A$2:$J$2000,7,0),100)</f>
        <v>25</v>
      </c>
      <c r="Q676" s="5">
        <f>IFERROR(P676,0)*PARAMS_MODELO!$B$12</f>
        <v>2.5</v>
      </c>
      <c r="R676">
        <f t="shared" si="243"/>
        <v>69.617432336797208</v>
      </c>
      <c r="S676" s="5" t="str">
        <f>IFERROR(VLOOKUP(A676,CLIENTE!$A$2:$N$2000,13,0),1)</f>
        <v>Bueno</v>
      </c>
      <c r="T676" s="5">
        <f>IFERROR(VLOOKUP(A676,CLIENTE!$A$2:$N$2000,14,0),1)</f>
        <v>1.1000000000000001</v>
      </c>
      <c r="U676" s="5">
        <f t="shared" si="244"/>
        <v>76.579175570476934</v>
      </c>
      <c r="V676" s="5" t="str">
        <f>IF(U676&gt;=MAX(_xlfn.PERCENTILE.INC($U$2:$U$1194,PARAMS_MODELO!$B$50),PARAMS_MODELO!$B$45),"DIAMANTE",IF(U676&gt;=MAX(_xlfn.PERCENTILE.INC($U$2:$U$1194,PARAMS_MODELO!$B$51),PARAMS_MODELO!$B$46),"PLATINO",IF(U676&gt;=MAX(_xlfn.PERCENTILE.INC($U$2:$U$1194,PARAMS_MODELO!$B$52),PARAMS_MODELO!$B$47),"ORO",IF(U676&gt;=MAX(_xlfn.PERCENTILE.INC($U$2:$U$1194,PARAMS_MODELO!$B$53),PARAMS_MODELO!$B$48),"PLATA",IF(U676&gt;=1,"BRONCE","CERRADO")))))</f>
        <v>ORO</v>
      </c>
      <c r="W676" s="5" t="str" cm="1">
        <f t="array" ref="W676">_xlfn.XLOOKUP(1, (HIST_SCORE!$B:$B=PARAMS_MODELO!$B$4) * (HIST_SCORE!$C:$C=A676), HIST_SCORE!$E:$E, "No encontrado")</f>
        <v>ORO</v>
      </c>
      <c r="X676" s="5" t="str">
        <f>_xlfn.LET(_xlpm.act,MATCH(V676,{"DIAMANTE";"PLATINO";"ORO";"PLATA";"BRONCE";"CERRADO"},0),_xlpm.ant,MATCH(W676,{"DIAMANTE";"PLATINO";"ORO";"PLATA";"BRONCE";"CERRADO"},0),IF(_xlpm.act&lt;_xlpm.ant,"Mejora ↑",IF(_xlpm.act&gt;_xlpm.ant,"Baja ↓","Estable →")))</f>
        <v>Estable →</v>
      </c>
      <c r="Y676" s="5">
        <f>IFERROR(U676-SUMIFS(HIST_SCORE!$D:$D,HIST_SCORE!$B:$B,PARAMS_MODELO!$B$4,HIST_SCORE!$C:$C,$A676),"")</f>
        <v>3.0874713862310728</v>
      </c>
      <c r="Z676" s="5" t="str">
        <f t="shared" si="245"/>
        <v>→ Estable</v>
      </c>
      <c r="AA676" s="5">
        <f t="shared" si="246"/>
        <v>459</v>
      </c>
      <c r="AB676" s="5">
        <f>IFERROR(SUMIFS(HIST_SCORE!$F:$F,HIST_SCORE!$B:$B,PARAMS_MODELO!$B$4,HIST_SCORE!$C:$C,$A676),"")</f>
        <v>506</v>
      </c>
      <c r="AC676" s="5">
        <f t="shared" si="247"/>
        <v>47</v>
      </c>
      <c r="AD676" t="str">
        <f t="shared" si="249"/>
        <v/>
      </c>
      <c r="AE6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676="CERRADO",1,IF(V676="BRONCE",_xlpm.cPl,IF(V676="PLATA",_xlpm.cO,IF(V676="ORO",_xlpm.cP,IF(V676="PLATINO",_xlpm.cD,999))))))</f>
        <v>86.439123873763251</v>
      </c>
      <c r="AF6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676="CERRADO",0,IF(V676="BRONCE",1,IF(V676="PLATA",_xlpm.cPl,IF(V676="ORO",_xlpm.cO,IF(V676="PLATINO",_xlpm.cP,_xlpm.cD))))))</f>
        <v>63.199193273331495</v>
      </c>
      <c r="AG676">
        <f t="shared" si="250"/>
        <v>8.9635893666239213</v>
      </c>
      <c r="AH676" t="str">
        <f t="shared" si="251"/>
        <v>VENTAS</v>
      </c>
      <c r="AI676" t="str">
        <f t="shared" si="248"/>
        <v>🎯 Para subir de categoría, eje VENTAS / DIFERENCIAL vs LOTBA (J). Acción: metas semanales + activación comercial + seguimiento del asesor. ΔR aprox: 9,0</v>
      </c>
      <c r="AJ676" s="26">
        <f>_xlfn.LET(_xlpm.piso,AF676,_xlpm.corte,AE676,_xlpm.prog,IF(_xlpm.corte&lt;=_xlpm.piso,0,MAX(0,MIN(1,(U676-_xlpm.piso)/(_xlpm.corte-_xlpm.piso)))),_xlpm.orden,{"DIAMANTE";"PLATINO";"ORO";"PLATA";"BRONCE";"CERRADO"},_xlpm.act,IFERROR(MATCH(V676,_xlpm.orden,0),6),_xlpm.ant,IFERROR(MATCH(W676,_xlpm.orden,0),6),_xlpm.ajmov,IF(_xlpm.act&lt;_xlpm.ant,0.08,IF(_xlpm.act&gt;_xlpm.ant,-0.08,0)),_xlpm.ajcli,IF(T676&lt;0.95,-0.06,0),_xlpm.prob,MAX(0,MIN(1,_xlpm.prog+_xlpm.ajmov+_xlpm.ajcli)),IF(OR(V676="DIAMANTE",V676="CERRADO"),0,ROUND(_xlpm.prob,2)))</f>
        <v>0.57999999999999996</v>
      </c>
      <c r="AK676" t="str">
        <f t="shared" si="252"/>
        <v>Faltan 9,0 puntos base para subir a la siguiente categoría</v>
      </c>
      <c r="AL676" t="str">
        <f t="shared" si="253"/>
        <v>Margen de seguridad: 13,4 puntos</v>
      </c>
      <c r="AM676">
        <f t="shared" si="254"/>
        <v>0.53</v>
      </c>
      <c r="AN676" t="str">
        <f t="shared" si="255"/>
        <v>PRIORIDAD MEDIA – seguimiento del asesor</v>
      </c>
      <c r="AO676">
        <f t="shared" si="256"/>
        <v>24.083921961146405</v>
      </c>
      <c r="AP676">
        <f t="shared" si="257"/>
        <v>0.93572867120180903</v>
      </c>
      <c r="AQ676">
        <f t="shared" si="258"/>
        <v>0</v>
      </c>
      <c r="AR676">
        <f t="shared" si="259"/>
        <v>8.25</v>
      </c>
      <c r="AS676">
        <f t="shared" si="260"/>
        <v>0</v>
      </c>
      <c r="AT676" t="str">
        <f t="shared" si="261"/>
        <v>VENTAS</v>
      </c>
      <c r="AU676">
        <f t="shared" si="262"/>
        <v>24.083921961146405</v>
      </c>
      <c r="AV676" t="str">
        <f t="shared" si="263"/>
        <v>Mayor retorno probable: VENTAS (+24,1 puntos finales potenciales).</v>
      </c>
    </row>
    <row r="677" spans="1:48" x14ac:dyDescent="0.3">
      <c r="A677" s="5">
        <v>51041232</v>
      </c>
      <c r="B677" s="5" t="str">
        <f>IFERROR(VLOOKUP(A677,VENTAS!$A$2:$B$1194,2,0),"")</f>
        <v>ARGUELLO</v>
      </c>
      <c r="C677" s="5">
        <f>IFERROR(INDEX(VENTAS!$C$2:$E$1194,MATCH(A677,VENTAS!$A$2:$A$1194,0),MATCH(PARAMS_MODELO!$B$2,{"Q1","Q2","Q3"},0)),0)</f>
        <v>41192607.409999996</v>
      </c>
      <c r="D677" s="5">
        <f>IFERROR(INDEX(VENTAS!$F$2:$H$1194,MATCH(A677,VENTAS!$A$2:$A$1194,0),MATCH(PARAMS_MODELO!$B$2,{"Q1","Q2","Q3"},0)),0)</f>
        <v>59749271</v>
      </c>
      <c r="E677" s="8">
        <f t="shared" si="240"/>
        <v>0.45048528745221295</v>
      </c>
      <c r="F677" s="12">
        <f>IF(E677&lt;=PARAMS_MODELO!$B$15,0,IF(E677&gt;=PARAMS_MODELO!$B$17,100,100*MIN(1,(E677-PARAMS_MODELO!$B$15)/(PARAMS_MODELO!$B$16-PARAMS_MODELO!$B$15))))*PARAMS_MODELO!$B$7</f>
        <v>35</v>
      </c>
      <c r="G677" s="5">
        <f t="shared" si="241"/>
        <v>18556663.590000004</v>
      </c>
      <c r="H677" s="5">
        <f>(PARAMS_MODELO!$B$20*(MAX(0,MIN(3,E677))/3)+PARAMS_MODELO!$B$21*(IFERROR(LN(1+MAX(0,G677))/LN(1+MAX(0,MAX($G$2:$G$1194))),0)))*100*PARAMS_MODELO!$B$8</f>
        <v>5.4999301497590878</v>
      </c>
      <c r="I677" s="8">
        <f>E677-PARAMS_MODELO!$B$5</f>
        <v>0.27292245207668642</v>
      </c>
      <c r="J677" s="5">
        <f>IF(I677&lt;=PARAMS_MODELO!$B$18,0,IF(I677&gt;=PARAMS_MODELO!$B$19,100,100*(I677-PARAMS_MODELO!$B$18)/(PARAMS_MODELO!$B$19-PARAMS_MODELO!$B$18)))*PARAMS_MODELO!$B$9</f>
        <v>15</v>
      </c>
      <c r="K677" s="5">
        <f>IFERROR(CHOOSE(MATCH(PARAMS_MODELO!$B$2,{"Q1","Q2","Q3"},0),LOTO!$D677,LOTO!$F677,LOTO!$H677),0)</f>
        <v>2827500</v>
      </c>
      <c r="L677" s="8">
        <f t="shared" si="242"/>
        <v>4.7322753109406139E-2</v>
      </c>
      <c r="M677" s="5">
        <f>MIN(100,IF(PARAMS_MODELO!$B$23=0,0,100*L677/PARAMS_MODELO!$B$23))*PARAMS_MODELO!$B$10</f>
        <v>14.19682593282184</v>
      </c>
      <c r="N677" s="5">
        <f>IFERROR(VLOOKUP(A677,COMPLIANCE!$A$2:$F$1996,6,0),100)</f>
        <v>100</v>
      </c>
      <c r="O677" s="5">
        <f>N677*PARAMS_MODELO!$B$11</f>
        <v>10</v>
      </c>
      <c r="P677" s="5">
        <f>IFERROR(VLOOKUP(A677,DIGITAL!$A$2:$J$2000,7,0),100)</f>
        <v>97</v>
      </c>
      <c r="Q677" s="5">
        <f>IFERROR(P677,0)*PARAMS_MODELO!$B$12</f>
        <v>9.7000000000000011</v>
      </c>
      <c r="R677">
        <f t="shared" si="243"/>
        <v>89.396756082580936</v>
      </c>
      <c r="S677" s="5" t="str">
        <f>IFERROR(VLOOKUP(A677,CLIENTE!$A$2:$N$2000,13,0),1)</f>
        <v>Regular</v>
      </c>
      <c r="T677" s="5">
        <f>IFERROR(VLOOKUP(A677,CLIENTE!$A$2:$N$2000,14,0),1)</f>
        <v>1</v>
      </c>
      <c r="U677" s="5">
        <f t="shared" si="244"/>
        <v>89.396756082580936</v>
      </c>
      <c r="V677" s="5" t="str">
        <f>IF(U677&gt;=MAX(_xlfn.PERCENTILE.INC($U$2:$U$1194,PARAMS_MODELO!$B$50),PARAMS_MODELO!$B$45),"DIAMANTE",IF(U677&gt;=MAX(_xlfn.PERCENTILE.INC($U$2:$U$1194,PARAMS_MODELO!$B$51),PARAMS_MODELO!$B$46),"PLATINO",IF(U677&gt;=MAX(_xlfn.PERCENTILE.INC($U$2:$U$1194,PARAMS_MODELO!$B$52),PARAMS_MODELO!$B$47),"ORO",IF(U677&gt;=MAX(_xlfn.PERCENTILE.INC($U$2:$U$1194,PARAMS_MODELO!$B$53),PARAMS_MODELO!$B$48),"PLATA",IF(U677&gt;=1,"BRONCE","CERRADO")))))</f>
        <v>PLATINO</v>
      </c>
      <c r="W677" s="5" t="str" cm="1">
        <f t="array" ref="W677">_xlfn.XLOOKUP(1, (HIST_SCORE!$B:$B=PARAMS_MODELO!$B$4) * (HIST_SCORE!$C:$C=A677), HIST_SCORE!$E:$E, "No encontrado")</f>
        <v>PLATINO</v>
      </c>
      <c r="X677" s="5" t="str">
        <f>_xlfn.LET(_xlpm.act,MATCH(V677,{"DIAMANTE";"PLATINO";"ORO";"PLATA";"BRONCE";"CERRADO"},0),_xlpm.ant,MATCH(W677,{"DIAMANTE";"PLATINO";"ORO";"PLATA";"BRONCE";"CERRADO"},0),IF(_xlpm.act&lt;_xlpm.ant,"Mejora ↑",IF(_xlpm.act&gt;_xlpm.ant,"Baja ↓","Estable →")))</f>
        <v>Estable →</v>
      </c>
      <c r="Y677" s="5">
        <f>IFERROR(U677-SUMIFS(HIST_SCORE!$D:$D,HIST_SCORE!$B:$B,PARAMS_MODELO!$B$4,HIST_SCORE!$C:$C,$A677),"")</f>
        <v>2.625421150961543</v>
      </c>
      <c r="Z677" s="5" t="str">
        <f t="shared" si="245"/>
        <v>→ Estable</v>
      </c>
      <c r="AA677" s="5">
        <f t="shared" si="246"/>
        <v>152</v>
      </c>
      <c r="AB677" s="5">
        <f>IFERROR(SUMIFS(HIST_SCORE!$F:$F,HIST_SCORE!$B:$B,PARAMS_MODELO!$B$4,HIST_SCORE!$C:$C,$A677),"")</f>
        <v>205</v>
      </c>
      <c r="AC677" s="5">
        <f t="shared" si="247"/>
        <v>53</v>
      </c>
      <c r="AD677" t="str">
        <f t="shared" si="249"/>
        <v/>
      </c>
      <c r="AE6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677="CERRADO",1,IF(V677="BRONCE",_xlpm.cPl,IF(V677="PLATA",_xlpm.cO,IF(V677="ORO",_xlpm.cP,IF(V677="PLATINO",_xlpm.cD,999))))))</f>
        <v>96.054919694466676</v>
      </c>
      <c r="AF6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677="CERRADO",0,IF(V677="BRONCE",1,IF(V677="PLATA",_xlpm.cPl,IF(V677="ORO",_xlpm.cO,IF(V677="PLATINO",_xlpm.cP,_xlpm.cD))))))</f>
        <v>86.439123873763251</v>
      </c>
      <c r="AG677">
        <f t="shared" si="250"/>
        <v>6.6581636118857404</v>
      </c>
      <c r="AH677" t="str">
        <f t="shared" si="251"/>
        <v>VENTAS</v>
      </c>
      <c r="AI677" t="str">
        <f t="shared" si="248"/>
        <v>🎯 Para subir de categoría, eje VENTAS / IMPACTO ABSOLUTO (H). Acción: metas semanales + activación comercial + seguimiento del asesor. ΔR aprox: 6,7</v>
      </c>
      <c r="AJ677" s="26">
        <f>_xlfn.LET(_xlpm.piso,AF677,_xlpm.corte,AE677,_xlpm.prog,IF(_xlpm.corte&lt;=_xlpm.piso,0,MAX(0,MIN(1,(U677-_xlpm.piso)/(_xlpm.corte-_xlpm.piso)))),_xlpm.orden,{"DIAMANTE";"PLATINO";"ORO";"PLATA";"BRONCE";"CERRADO"},_xlpm.act,IFERROR(MATCH(V677,_xlpm.orden,0),6),_xlpm.ant,IFERROR(MATCH(W677,_xlpm.orden,0),6),_xlpm.ajmov,IF(_xlpm.act&lt;_xlpm.ant,0.08,IF(_xlpm.act&gt;_xlpm.ant,-0.08,0)),_xlpm.ajcli,IF(T677&lt;0.95,-0.06,0),_xlpm.prob,MAX(0,MIN(1,_xlpm.prog+_xlpm.ajmov+_xlpm.ajcli)),IF(OR(V677="DIAMANTE",V677="CERRADO"),0,ROUND(_xlpm.prob,2)))</f>
        <v>0.31</v>
      </c>
      <c r="AK677" t="str">
        <f t="shared" si="252"/>
        <v>Faltan 6,7 puntos base para subir a la siguiente categoría</v>
      </c>
      <c r="AL677" t="str">
        <f t="shared" si="253"/>
        <v>Margen de seguridad: 3,0 puntos</v>
      </c>
      <c r="AM677">
        <f t="shared" si="254"/>
        <v>0.54</v>
      </c>
      <c r="AN677" t="str">
        <f t="shared" si="255"/>
        <v>PRIORIDAD MEDIA – seguimiento del asesor</v>
      </c>
      <c r="AO677">
        <f t="shared" si="256"/>
        <v>9.3626391255364965</v>
      </c>
      <c r="AP677">
        <f t="shared" si="257"/>
        <v>0.8031740671781602</v>
      </c>
      <c r="AQ677">
        <f t="shared" si="258"/>
        <v>0</v>
      </c>
      <c r="AR677">
        <f t="shared" si="259"/>
        <v>0.29999999999999893</v>
      </c>
      <c r="AS677">
        <f t="shared" si="260"/>
        <v>0</v>
      </c>
      <c r="AT677" t="str">
        <f t="shared" si="261"/>
        <v>VENTAS</v>
      </c>
      <c r="AU677">
        <f t="shared" si="262"/>
        <v>9.3626391255364965</v>
      </c>
      <c r="AV677" t="str">
        <f t="shared" si="263"/>
        <v>Mayor retorno probable: VENTAS (+9,4 puntos finales potenciales).</v>
      </c>
    </row>
    <row r="678" spans="1:48" x14ac:dyDescent="0.3">
      <c r="A678" s="5">
        <v>51022769</v>
      </c>
      <c r="B678" s="5" t="str">
        <f>IFERROR(VLOOKUP(A678,VENTAS!$A$2:$B$1194,2,0),"")</f>
        <v>BELUZZO</v>
      </c>
      <c r="C678" s="5">
        <f>IFERROR(INDEX(VENTAS!$C$2:$E$1194,MATCH(A678,VENTAS!$A$2:$A$1194,0),MATCH(PARAMS_MODELO!$B$2,{"Q1","Q2","Q3"},0)),0)</f>
        <v>47350355.799999997</v>
      </c>
      <c r="D678" s="5">
        <f>IFERROR(INDEX(VENTAS!$F$2:$H$1194,MATCH(A678,VENTAS!$A$2:$A$1194,0),MATCH(PARAMS_MODELO!$B$2,{"Q1","Q2","Q3"},0)),0)</f>
        <v>59663937</v>
      </c>
      <c r="E678" s="8">
        <f t="shared" si="240"/>
        <v>0.26005255909819391</v>
      </c>
      <c r="F678" s="12">
        <f>IF(E678&lt;=PARAMS_MODELO!$B$15,0,IF(E678&gt;=PARAMS_MODELO!$B$17,100,100*MIN(1,(E678-PARAMS_MODELO!$B$15)/(PARAMS_MODELO!$B$16-PARAMS_MODELO!$B$15))))*PARAMS_MODELO!$B$7</f>
        <v>35</v>
      </c>
      <c r="G678" s="5">
        <f t="shared" si="241"/>
        <v>12313581.200000003</v>
      </c>
      <c r="H678" s="5">
        <f>(PARAMS_MODELO!$B$20*(MAX(0,MIN(3,E678))/3)+PARAMS_MODELO!$B$21*(IFERROR(LN(1+MAX(0,G678))/LN(1+MAX(0,MAX($G$2:$G$1194))),0)))*100*PARAMS_MODELO!$B$8</f>
        <v>4.7372763159648548</v>
      </c>
      <c r="I678" s="8">
        <f>E678-PARAMS_MODELO!$B$5</f>
        <v>8.2489723722667385E-2</v>
      </c>
      <c r="J678" s="5">
        <f>IF(I678&lt;=PARAMS_MODELO!$B$18,0,IF(I678&gt;=PARAMS_MODELO!$B$19,100,100*(I678-PARAMS_MODELO!$B$18)/(PARAMS_MODELO!$B$19-PARAMS_MODELO!$B$18)))*PARAMS_MODELO!$B$9</f>
        <v>15</v>
      </c>
      <c r="K678" s="5">
        <f>IFERROR(CHOOSE(MATCH(PARAMS_MODELO!$B$2,{"Q1","Q2","Q3"},0),LOTO!$D678,LOTO!$F678,LOTO!$H678),0)</f>
        <v>2822500</v>
      </c>
      <c r="L678" s="8">
        <f t="shared" si="242"/>
        <v>4.7306633486154291E-2</v>
      </c>
      <c r="M678" s="5">
        <f>MIN(100,IF(PARAMS_MODELO!$B$23=0,0,100*L678/PARAMS_MODELO!$B$23))*PARAMS_MODELO!$B$10</f>
        <v>14.191990045846284</v>
      </c>
      <c r="N678" s="5">
        <f>IFERROR(VLOOKUP(A678,COMPLIANCE!$A$2:$F$1996,6,0),100)</f>
        <v>100</v>
      </c>
      <c r="O678" s="5">
        <f>N678*PARAMS_MODELO!$B$11</f>
        <v>10</v>
      </c>
      <c r="P678" s="5">
        <f>IFERROR(VLOOKUP(A678,DIGITAL!$A$2:$J$2000,7,0),100)</f>
        <v>83</v>
      </c>
      <c r="Q678" s="5">
        <f>IFERROR(P678,0)*PARAMS_MODELO!$B$12</f>
        <v>8.3000000000000007</v>
      </c>
      <c r="R678">
        <f t="shared" si="243"/>
        <v>87.229266361811142</v>
      </c>
      <c r="S678" s="5" t="str">
        <f>IFERROR(VLOOKUP(A678,CLIENTE!$A$2:$N$2000,13,0),1)</f>
        <v>Regular</v>
      </c>
      <c r="T678" s="5">
        <f>IFERROR(VLOOKUP(A678,CLIENTE!$A$2:$N$2000,14,0),1)</f>
        <v>1</v>
      </c>
      <c r="U678" s="5">
        <f t="shared" si="244"/>
        <v>87.229266361811142</v>
      </c>
      <c r="V678" s="5" t="str">
        <f>IF(U678&gt;=MAX(_xlfn.PERCENTILE.INC($U$2:$U$1194,PARAMS_MODELO!$B$50),PARAMS_MODELO!$B$45),"DIAMANTE",IF(U678&gt;=MAX(_xlfn.PERCENTILE.INC($U$2:$U$1194,PARAMS_MODELO!$B$51),PARAMS_MODELO!$B$46),"PLATINO",IF(U678&gt;=MAX(_xlfn.PERCENTILE.INC($U$2:$U$1194,PARAMS_MODELO!$B$52),PARAMS_MODELO!$B$47),"ORO",IF(U678&gt;=MAX(_xlfn.PERCENTILE.INC($U$2:$U$1194,PARAMS_MODELO!$B$53),PARAMS_MODELO!$B$48),"PLATA",IF(U678&gt;=1,"BRONCE","CERRADO")))))</f>
        <v>PLATINO</v>
      </c>
      <c r="W678" s="5" t="str" cm="1">
        <f t="array" ref="W678">_xlfn.XLOOKUP(1, (HIST_SCORE!$B:$B=PARAMS_MODELO!$B$4) * (HIST_SCORE!$C:$C=A678), HIST_SCORE!$E:$E, "No encontrado")</f>
        <v>ORO</v>
      </c>
      <c r="X678" s="5" t="str">
        <f>_xlfn.LET(_xlpm.act,MATCH(V678,{"DIAMANTE";"PLATINO";"ORO";"PLATA";"BRONCE";"CERRADO"},0),_xlpm.ant,MATCH(W678,{"DIAMANTE";"PLATINO";"ORO";"PLATA";"BRONCE";"CERRADO"},0),IF(_xlpm.act&lt;_xlpm.ant,"Mejora ↑",IF(_xlpm.act&gt;_xlpm.ant,"Baja ↓","Estable →")))</f>
        <v>Mejora ↑</v>
      </c>
      <c r="Y678" s="5">
        <f>IFERROR(U678-SUMIFS(HIST_SCORE!$D:$D,HIST_SCORE!$B:$B,PARAMS_MODELO!$B$4,HIST_SCORE!$C:$C,$A678),"")</f>
        <v>20.342331652919881</v>
      </c>
      <c r="Z678" s="5" t="str">
        <f t="shared" si="245"/>
        <v>↑ Mejora</v>
      </c>
      <c r="AA678" s="5">
        <f t="shared" si="246"/>
        <v>219</v>
      </c>
      <c r="AB678" s="5">
        <f>IFERROR(SUMIFS(HIST_SCORE!$F:$F,HIST_SCORE!$B:$B,PARAMS_MODELO!$B$4,HIST_SCORE!$C:$C,$A678),"")</f>
        <v>564</v>
      </c>
      <c r="AC678" s="5">
        <f t="shared" si="247"/>
        <v>345</v>
      </c>
      <c r="AD678" t="str">
        <f t="shared" si="249"/>
        <v/>
      </c>
      <c r="AE6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678="CERRADO",1,IF(V678="BRONCE",_xlpm.cPl,IF(V678="PLATA",_xlpm.cO,IF(V678="ORO",_xlpm.cP,IF(V678="PLATINO",_xlpm.cD,999))))))</f>
        <v>96.054919694466676</v>
      </c>
      <c r="AF6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678="CERRADO",0,IF(V678="BRONCE",1,IF(V678="PLATA",_xlpm.cPl,IF(V678="ORO",_xlpm.cO,IF(V678="PLATINO",_xlpm.cP,_xlpm.cD))))))</f>
        <v>86.439123873763251</v>
      </c>
      <c r="AG678">
        <f t="shared" si="250"/>
        <v>8.8256533326555342</v>
      </c>
      <c r="AH678" t="str">
        <f t="shared" si="251"/>
        <v>VENTAS</v>
      </c>
      <c r="AI678" t="str">
        <f t="shared" si="248"/>
        <v>🎯 Para subir de categoría, eje VENTAS / IMPACTO ABSOLUTO (H). Acción: metas semanales + activación comercial + seguimiento del asesor. ΔR aprox: 8,8</v>
      </c>
      <c r="AJ678" s="26">
        <f>_xlfn.LET(_xlpm.piso,AF678,_xlpm.corte,AE678,_xlpm.prog,IF(_xlpm.corte&lt;=_xlpm.piso,0,MAX(0,MIN(1,(U678-_xlpm.piso)/(_xlpm.corte-_xlpm.piso)))),_xlpm.orden,{"DIAMANTE";"PLATINO";"ORO";"PLATA";"BRONCE";"CERRADO"},_xlpm.act,IFERROR(MATCH(V678,_xlpm.orden,0),6),_xlpm.ant,IFERROR(MATCH(W678,_xlpm.orden,0),6),_xlpm.ajmov,IF(_xlpm.act&lt;_xlpm.ant,0.08,IF(_xlpm.act&gt;_xlpm.ant,-0.08,0)),_xlpm.ajcli,IF(T678&lt;0.95,-0.06,0),_xlpm.prob,MAX(0,MIN(1,_xlpm.prog+_xlpm.ajmov+_xlpm.ajcli)),IF(OR(V678="DIAMANTE",V678="CERRADO"),0,ROUND(_xlpm.prob,2)))</f>
        <v>0.16</v>
      </c>
      <c r="AK678" t="str">
        <f t="shared" si="252"/>
        <v>Faltan 8,8 puntos base para subir a la siguiente categoría</v>
      </c>
      <c r="AL678" t="str">
        <f t="shared" si="253"/>
        <v>Margen de seguridad: 0,8 puntos</v>
      </c>
      <c r="AM678">
        <f t="shared" si="254"/>
        <v>0.69</v>
      </c>
      <c r="AN678" t="str">
        <f t="shared" si="255"/>
        <v>PRIORIDAD MEDIA – seguimiento del asesor</v>
      </c>
      <c r="AO678">
        <f t="shared" si="256"/>
        <v>10.125292959330729</v>
      </c>
      <c r="AP678">
        <f t="shared" si="257"/>
        <v>0.80800995415371624</v>
      </c>
      <c r="AQ678">
        <f t="shared" si="258"/>
        <v>0</v>
      </c>
      <c r="AR678">
        <f t="shared" si="259"/>
        <v>1.6999999999999993</v>
      </c>
      <c r="AS678">
        <f t="shared" si="260"/>
        <v>0</v>
      </c>
      <c r="AT678" t="str">
        <f t="shared" si="261"/>
        <v>VENTAS</v>
      </c>
      <c r="AU678">
        <f t="shared" si="262"/>
        <v>10.125292959330729</v>
      </c>
      <c r="AV678" t="str">
        <f t="shared" si="263"/>
        <v>Mayor retorno probable: VENTAS (+10,1 puntos finales potenciales).</v>
      </c>
    </row>
    <row r="679" spans="1:48" x14ac:dyDescent="0.3">
      <c r="A679" s="5">
        <v>51031164</v>
      </c>
      <c r="B679" s="5" t="str">
        <f>IFERROR(VLOOKUP(A679,VENTAS!$A$2:$B$1194,2,0),"")</f>
        <v>BELUZZO</v>
      </c>
      <c r="C679" s="5">
        <f>IFERROR(INDEX(VENTAS!$C$2:$E$1194,MATCH(A679,VENTAS!$A$2:$A$1194,0),MATCH(PARAMS_MODELO!$B$2,{"Q1","Q2","Q3"},0)),0)</f>
        <v>107028306.59999999</v>
      </c>
      <c r="D679" s="5">
        <f>IFERROR(INDEX(VENTAS!$F$2:$H$1194,MATCH(A679,VENTAS!$A$2:$A$1194,0),MATCH(PARAMS_MODELO!$B$2,{"Q1","Q2","Q3"},0)),0)</f>
        <v>59627588</v>
      </c>
      <c r="E679" s="8">
        <f t="shared" si="240"/>
        <v>-0.44288020716941812</v>
      </c>
      <c r="F679" s="12">
        <f>IF(E679&lt;=PARAMS_MODELO!$B$15,0,IF(E679&gt;=PARAMS_MODELO!$B$17,100,100*MIN(1,(E679-PARAMS_MODELO!$B$15)/(PARAMS_MODELO!$B$16-PARAMS_MODELO!$B$15))))*PARAMS_MODELO!$B$7</f>
        <v>0</v>
      </c>
      <c r="G679" s="5">
        <f t="shared" si="241"/>
        <v>0</v>
      </c>
      <c r="H679" s="5">
        <f>(PARAMS_MODELO!$B$20*(MAX(0,MIN(3,E679))/3)+PARAMS_MODELO!$B$21*(IFERROR(LN(1+MAX(0,G679))/LN(1+MAX(0,MAX($G$2:$G$1194))),0)))*100*PARAMS_MODELO!$B$8</f>
        <v>0</v>
      </c>
      <c r="I679" s="8">
        <f>E679-PARAMS_MODELO!$B$5</f>
        <v>-0.62044304254494465</v>
      </c>
      <c r="J679" s="5">
        <f>IF(I679&lt;=PARAMS_MODELO!$B$18,0,IF(I679&gt;=PARAMS_MODELO!$B$19,100,100*(I679-PARAMS_MODELO!$B$18)/(PARAMS_MODELO!$B$19-PARAMS_MODELO!$B$18)))*PARAMS_MODELO!$B$9</f>
        <v>0</v>
      </c>
      <c r="K679" s="5">
        <f>IFERROR(CHOOSE(MATCH(PARAMS_MODELO!$B$2,{"Q1","Q2","Q3"},0),LOTO!$D679,LOTO!$F679,LOTO!$H679),0)</f>
        <v>2810000</v>
      </c>
      <c r="L679" s="8">
        <f t="shared" si="242"/>
        <v>4.7125837120897796E-2</v>
      </c>
      <c r="M679" s="5">
        <f>MIN(100,IF(PARAMS_MODELO!$B$23=0,0,100*L679/PARAMS_MODELO!$B$23))*PARAMS_MODELO!$B$10</f>
        <v>14.137751136269337</v>
      </c>
      <c r="N679" s="5">
        <f>IFERROR(VLOOKUP(A679,COMPLIANCE!$A$2:$F$1996,6,0),100)</f>
        <v>100</v>
      </c>
      <c r="O679" s="5">
        <f>N679*PARAMS_MODELO!$B$11</f>
        <v>10</v>
      </c>
      <c r="P679" s="5">
        <f>IFERROR(VLOOKUP(A679,DIGITAL!$A$2:$J$2000,7,0),100)</f>
        <v>7</v>
      </c>
      <c r="Q679" s="5">
        <f>IFERROR(P679,0)*PARAMS_MODELO!$B$12</f>
        <v>0.70000000000000007</v>
      </c>
      <c r="R679">
        <f t="shared" si="243"/>
        <v>24.837751136269336</v>
      </c>
      <c r="S679" s="5" t="str">
        <f>IFERROR(VLOOKUP(A679,CLIENTE!$A$2:$N$2000,13,0),1)</f>
        <v>Muy Bueno</v>
      </c>
      <c r="T679" s="5">
        <f>IFERROR(VLOOKUP(A679,CLIENTE!$A$2:$N$2000,14,0),1)</f>
        <v>1.1499999999999999</v>
      </c>
      <c r="U679" s="5">
        <f t="shared" si="244"/>
        <v>28.563413806709736</v>
      </c>
      <c r="V679" s="5" t="str">
        <f>IF(U679&gt;=MAX(_xlfn.PERCENTILE.INC($U$2:$U$1194,PARAMS_MODELO!$B$50),PARAMS_MODELO!$B$45),"DIAMANTE",IF(U679&gt;=MAX(_xlfn.PERCENTILE.INC($U$2:$U$1194,PARAMS_MODELO!$B$51),PARAMS_MODELO!$B$46),"PLATINO",IF(U679&gt;=MAX(_xlfn.PERCENTILE.INC($U$2:$U$1194,PARAMS_MODELO!$B$52),PARAMS_MODELO!$B$47),"ORO",IF(U679&gt;=MAX(_xlfn.PERCENTILE.INC($U$2:$U$1194,PARAMS_MODELO!$B$53),PARAMS_MODELO!$B$48),"PLATA",IF(U679&gt;=1,"BRONCE","CERRADO")))))</f>
        <v>PLATA</v>
      </c>
      <c r="W679" s="5" t="str" cm="1">
        <f t="array" ref="W679">_xlfn.XLOOKUP(1, (HIST_SCORE!$B:$B=PARAMS_MODELO!$B$4) * (HIST_SCORE!$C:$C=A679), HIST_SCORE!$E:$E, "No encontrado")</f>
        <v>PLATA</v>
      </c>
      <c r="X679" s="5" t="str">
        <f>_xlfn.LET(_xlpm.act,MATCH(V679,{"DIAMANTE";"PLATINO";"ORO";"PLATA";"BRONCE";"CERRADO"},0),_xlpm.ant,MATCH(W679,{"DIAMANTE";"PLATINO";"ORO";"PLATA";"BRONCE";"CERRADO"},0),IF(_xlpm.act&lt;_xlpm.ant,"Mejora ↑",IF(_xlpm.act&gt;_xlpm.ant,"Baja ↓","Estable →")))</f>
        <v>Estable →</v>
      </c>
      <c r="Y679" s="5">
        <f>IFERROR(U679-SUMIFS(HIST_SCORE!$D:$D,HIST_SCORE!$B:$B,PARAMS_MODELO!$B$4,HIST_SCORE!$C:$C,$A679),"")</f>
        <v>-0.9915861932902601</v>
      </c>
      <c r="Z679" s="5" t="str">
        <f t="shared" si="245"/>
        <v>→ Estable</v>
      </c>
      <c r="AA679" s="5">
        <f t="shared" si="246"/>
        <v>881</v>
      </c>
      <c r="AB679" s="5">
        <f>IFERROR(SUMIFS(HIST_SCORE!$F:$F,HIST_SCORE!$B:$B,PARAMS_MODELO!$B$4,HIST_SCORE!$C:$C,$A679),"")</f>
        <v>914</v>
      </c>
      <c r="AC679" s="5">
        <f t="shared" si="247"/>
        <v>33</v>
      </c>
      <c r="AD679" t="str">
        <f t="shared" si="249"/>
        <v/>
      </c>
      <c r="AE6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679="CERRADO",1,IF(V679="BRONCE",_xlpm.cPl,IF(V679="PLATA",_xlpm.cO,IF(V679="ORO",_xlpm.cP,IF(V679="PLATINO",_xlpm.cD,999))))))</f>
        <v>63.199193273331495</v>
      </c>
      <c r="AF6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679="CERRADO",0,IF(V679="BRONCE",1,IF(V679="PLATA",_xlpm.cPl,IF(V679="ORO",_xlpm.cO,IF(V679="PLATINO",_xlpm.cP,_xlpm.cD))))))</f>
        <v>24.506573482968111</v>
      </c>
      <c r="AG679">
        <f t="shared" si="250"/>
        <v>30.118069101410232</v>
      </c>
      <c r="AH679" t="str">
        <f t="shared" si="251"/>
        <v>VENTAS</v>
      </c>
      <c r="AI679" t="str">
        <f t="shared" si="248"/>
        <v>🎯 Para subir de categoría, eje VENTAS / CRECIMIENTO PERSONAL (F). Acción: metas semanales + activación comercial + seguimiento del asesor. ΔR aprox: 30,1</v>
      </c>
      <c r="AJ679" s="26">
        <f>_xlfn.LET(_xlpm.piso,AF679,_xlpm.corte,AE679,_xlpm.prog,IF(_xlpm.corte&lt;=_xlpm.piso,0,MAX(0,MIN(1,(U679-_xlpm.piso)/(_xlpm.corte-_xlpm.piso)))),_xlpm.orden,{"DIAMANTE";"PLATINO";"ORO";"PLATA";"BRONCE";"CERRADO"},_xlpm.act,IFERROR(MATCH(V679,_xlpm.orden,0),6),_xlpm.ant,IFERROR(MATCH(W679,_xlpm.orden,0),6),_xlpm.ajmov,IF(_xlpm.act&lt;_xlpm.ant,0.08,IF(_xlpm.act&gt;_xlpm.ant,-0.08,0)),_xlpm.ajcli,IF(T679&lt;0.95,-0.06,0),_xlpm.prob,MAX(0,MIN(1,_xlpm.prog+_xlpm.ajmov+_xlpm.ajcli)),IF(OR(V679="DIAMANTE",V679="CERRADO"),0,ROUND(_xlpm.prob,2)))</f>
        <v>0.1</v>
      </c>
      <c r="AK679" t="str">
        <f t="shared" si="252"/>
        <v>Faltan 30,1 puntos base para subir a la siguiente categoría</v>
      </c>
      <c r="AL679" t="str">
        <f t="shared" si="253"/>
        <v>Margen de seguridad: 4,1 puntos</v>
      </c>
      <c r="AM679">
        <f t="shared" si="254"/>
        <v>0.76</v>
      </c>
      <c r="AN679" t="str">
        <f t="shared" si="255"/>
        <v>PRIORIDAD ALTA – requiere intervención inmediata</v>
      </c>
      <c r="AO679">
        <f t="shared" si="256"/>
        <v>74.591954666589913</v>
      </c>
      <c r="AP679">
        <f t="shared" si="257"/>
        <v>0.99158619329026254</v>
      </c>
      <c r="AQ679">
        <f t="shared" si="258"/>
        <v>0</v>
      </c>
      <c r="AR679">
        <f t="shared" si="259"/>
        <v>10.695</v>
      </c>
      <c r="AS679">
        <f t="shared" si="260"/>
        <v>0</v>
      </c>
      <c r="AT679" t="str">
        <f t="shared" si="261"/>
        <v>VENTAS</v>
      </c>
      <c r="AU679">
        <f t="shared" si="262"/>
        <v>74.591954666589913</v>
      </c>
      <c r="AV679" t="str">
        <f t="shared" si="263"/>
        <v>Mayor retorno probable: VENTAS (+74,6 puntos finales potenciales).</v>
      </c>
    </row>
    <row r="680" spans="1:48" x14ac:dyDescent="0.3">
      <c r="A680" s="5">
        <v>51030371</v>
      </c>
      <c r="B680" s="5" t="str">
        <f>IFERROR(VLOOKUP(A680,VENTAS!$A$2:$B$1194,2,0),"")</f>
        <v>PUGH</v>
      </c>
      <c r="C680" s="5">
        <f>IFERROR(INDEX(VENTAS!$C$2:$E$1194,MATCH(A680,VENTAS!$A$2:$A$1194,0),MATCH(PARAMS_MODELO!$B$2,{"Q1","Q2","Q3"},0)),0)</f>
        <v>46953637.880000003</v>
      </c>
      <c r="D680" s="5">
        <f>IFERROR(INDEX(VENTAS!$F$2:$H$1194,MATCH(A680,VENTAS!$A$2:$A$1194,0),MATCH(PARAMS_MODELO!$B$2,{"Q1","Q2","Q3"},0)),0)</f>
        <v>59609329</v>
      </c>
      <c r="E680" s="8">
        <f t="shared" si="240"/>
        <v>0.26953590161308272</v>
      </c>
      <c r="F680" s="12">
        <f>IF(E680&lt;=PARAMS_MODELO!$B$15,0,IF(E680&gt;=PARAMS_MODELO!$B$17,100,100*MIN(1,(E680-PARAMS_MODELO!$B$15)/(PARAMS_MODELO!$B$16-PARAMS_MODELO!$B$15))))*PARAMS_MODELO!$B$7</f>
        <v>35</v>
      </c>
      <c r="G680" s="5">
        <f t="shared" si="241"/>
        <v>12655691.119999997</v>
      </c>
      <c r="H680" s="5">
        <f>(PARAMS_MODELO!$B$20*(MAX(0,MIN(3,E680))/3)+PARAMS_MODELO!$B$21*(IFERROR(LN(1+MAX(0,G680))/LN(1+MAX(0,MAX($G$2:$G$1194))),0)))*100*PARAMS_MODELO!$B$8</f>
        <v>4.77689193875214</v>
      </c>
      <c r="I680" s="8">
        <f>E680-PARAMS_MODELO!$B$5</f>
        <v>9.1973066237556189E-2</v>
      </c>
      <c r="J680" s="5">
        <f>IF(I680&lt;=PARAMS_MODELO!$B$18,0,IF(I680&gt;=PARAMS_MODELO!$B$19,100,100*(I680-PARAMS_MODELO!$B$18)/(PARAMS_MODELO!$B$19-PARAMS_MODELO!$B$18)))*PARAMS_MODELO!$B$9</f>
        <v>15</v>
      </c>
      <c r="K680" s="5">
        <f>IFERROR(CHOOSE(MATCH(PARAMS_MODELO!$B$2,{"Q1","Q2","Q3"},0),LOTO!$D680,LOTO!$F680,LOTO!$H680),0)</f>
        <v>2810000</v>
      </c>
      <c r="L680" s="8">
        <f t="shared" si="242"/>
        <v>4.7140272288587581E-2</v>
      </c>
      <c r="M680" s="5">
        <f>MIN(100,IF(PARAMS_MODELO!$B$23=0,0,100*L680/PARAMS_MODELO!$B$23))*PARAMS_MODELO!$B$10</f>
        <v>14.142081686576274</v>
      </c>
      <c r="N680" s="5">
        <f>IFERROR(VLOOKUP(A680,COMPLIANCE!$A$2:$F$1996,6,0),100)</f>
        <v>100</v>
      </c>
      <c r="O680" s="5">
        <f>N680*PARAMS_MODELO!$B$11</f>
        <v>10</v>
      </c>
      <c r="P680" s="5">
        <f>IFERROR(VLOOKUP(A680,DIGITAL!$A$2:$J$2000,7,0),100)</f>
        <v>48</v>
      </c>
      <c r="Q680" s="5">
        <f>IFERROR(P680,0)*PARAMS_MODELO!$B$12</f>
        <v>4.8000000000000007</v>
      </c>
      <c r="R680">
        <f t="shared" si="243"/>
        <v>83.718973625328417</v>
      </c>
      <c r="S680" s="5" t="str">
        <f>IFERROR(VLOOKUP(A680,CLIENTE!$A$2:$N$2000,13,0),1)</f>
        <v>Malo</v>
      </c>
      <c r="T680" s="5">
        <f>IFERROR(VLOOKUP(A680,CLIENTE!$A$2:$N$2000,14,0),1)</f>
        <v>0.7</v>
      </c>
      <c r="U680" s="5">
        <f t="shared" si="244"/>
        <v>58.603281537729885</v>
      </c>
      <c r="V680" s="5" t="str">
        <f>IF(U680&gt;=MAX(_xlfn.PERCENTILE.INC($U$2:$U$1194,PARAMS_MODELO!$B$50),PARAMS_MODELO!$B$45),"DIAMANTE",IF(U680&gt;=MAX(_xlfn.PERCENTILE.INC($U$2:$U$1194,PARAMS_MODELO!$B$51),PARAMS_MODELO!$B$46),"PLATINO",IF(U680&gt;=MAX(_xlfn.PERCENTILE.INC($U$2:$U$1194,PARAMS_MODELO!$B$52),PARAMS_MODELO!$B$47),"ORO",IF(U680&gt;=MAX(_xlfn.PERCENTILE.INC($U$2:$U$1194,PARAMS_MODELO!$B$53),PARAMS_MODELO!$B$48),"PLATA",IF(U680&gt;=1,"BRONCE","CERRADO")))))</f>
        <v>PLATA</v>
      </c>
      <c r="W680" s="5" t="str" cm="1">
        <f t="array" ref="W680">_xlfn.XLOOKUP(1, (HIST_SCORE!$B:$B=PARAMS_MODELO!$B$4) * (HIST_SCORE!$C:$C=A680), HIST_SCORE!$E:$E, "No encontrado")</f>
        <v>PLATA</v>
      </c>
      <c r="X680" s="5" t="str">
        <f>_xlfn.LET(_xlpm.act,MATCH(V680,{"DIAMANTE";"PLATINO";"ORO";"PLATA";"BRONCE";"CERRADO"},0),_xlpm.ant,MATCH(W680,{"DIAMANTE";"PLATINO";"ORO";"PLATA";"BRONCE";"CERRADO"},0),IF(_xlpm.act&lt;_xlpm.ant,"Mejora ↑",IF(_xlpm.act&gt;_xlpm.ant,"Baja ↓","Estable →")))</f>
        <v>Estable →</v>
      </c>
      <c r="Y680" s="5">
        <f>IFERROR(U680-SUMIFS(HIST_SCORE!$D:$D,HIST_SCORE!$B:$B,PARAMS_MODELO!$B$4,HIST_SCORE!$C:$C,$A680),"")</f>
        <v>1.0292618619950886</v>
      </c>
      <c r="Z680" s="5" t="str">
        <f t="shared" si="245"/>
        <v>→ Estable</v>
      </c>
      <c r="AA680" s="5">
        <f t="shared" si="246"/>
        <v>644</v>
      </c>
      <c r="AB680" s="5">
        <f>IFERROR(SUMIFS(HIST_SCORE!$F:$F,HIST_SCORE!$B:$B,PARAMS_MODELO!$B$4,HIST_SCORE!$C:$C,$A680),"")</f>
        <v>696</v>
      </c>
      <c r="AC680" s="5">
        <f t="shared" si="247"/>
        <v>52</v>
      </c>
      <c r="AD680" t="str">
        <f t="shared" si="249"/>
        <v/>
      </c>
      <c r="AE6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680="CERRADO",1,IF(V680="BRONCE",_xlpm.cPl,IF(V680="PLATA",_xlpm.cO,IF(V680="ORO",_xlpm.cP,IF(V680="PLATINO",_xlpm.cD,999))))))</f>
        <v>63.199193273331495</v>
      </c>
      <c r="AF6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680="CERRADO",0,IF(V680="BRONCE",1,IF(V680="PLATA",_xlpm.cPl,IF(V680="ORO",_xlpm.cO,IF(V680="PLATINO",_xlpm.cP,_xlpm.cD))))))</f>
        <v>24.506573482968111</v>
      </c>
      <c r="AG680">
        <f t="shared" si="250"/>
        <v>6.5655881937165788</v>
      </c>
      <c r="AH680" t="str">
        <f t="shared" si="251"/>
        <v>CLIENTE</v>
      </c>
      <c r="AI680" t="str">
        <f t="shared" si="248"/>
        <v>🎯 Para subir de categoría, la eje con mayor impacto probable es CLIENTE (coef T). Acción: reducir quejas, mejorar incógnito y empujar reseñas. ΔR aprox: 6,6</v>
      </c>
      <c r="AJ680" s="26">
        <f>_xlfn.LET(_xlpm.piso,AF680,_xlpm.corte,AE680,_xlpm.prog,IF(_xlpm.corte&lt;=_xlpm.piso,0,MAX(0,MIN(1,(U680-_xlpm.piso)/(_xlpm.corte-_xlpm.piso)))),_xlpm.orden,{"DIAMANTE";"PLATINO";"ORO";"PLATA";"BRONCE";"CERRADO"},_xlpm.act,IFERROR(MATCH(V680,_xlpm.orden,0),6),_xlpm.ant,IFERROR(MATCH(W680,_xlpm.orden,0),6),_xlpm.ajmov,IF(_xlpm.act&lt;_xlpm.ant,0.08,IF(_xlpm.act&gt;_xlpm.ant,-0.08,0)),_xlpm.ajcli,IF(T680&lt;0.95,-0.06,0),_xlpm.prob,MAX(0,MIN(1,_xlpm.prog+_xlpm.ajmov+_xlpm.ajcli)),IF(OR(V680="DIAMANTE",V680="CERRADO"),0,ROUND(_xlpm.prob,2)))</f>
        <v>0.82</v>
      </c>
      <c r="AK680" t="str">
        <f t="shared" si="252"/>
        <v>Faltan 6,6 puntos base para subir a la siguiente categoría</v>
      </c>
      <c r="AL680" t="str">
        <f t="shared" si="253"/>
        <v>Margen de seguridad: 34,1 puntos</v>
      </c>
      <c r="AM680">
        <f t="shared" si="254"/>
        <v>0.53</v>
      </c>
      <c r="AN680" t="str">
        <f t="shared" si="255"/>
        <v>PRIORIDAD MEDIA – seguimiento del asesor</v>
      </c>
      <c r="AO680">
        <f t="shared" si="256"/>
        <v>7.0599741355804078</v>
      </c>
      <c r="AP680">
        <f t="shared" si="257"/>
        <v>0.60054281939660803</v>
      </c>
      <c r="AQ680">
        <f t="shared" si="258"/>
        <v>0</v>
      </c>
      <c r="AR680">
        <f t="shared" si="259"/>
        <v>3.6399999999999992</v>
      </c>
      <c r="AS680">
        <f t="shared" si="260"/>
        <v>25.115692087598529</v>
      </c>
      <c r="AT680" t="str">
        <f t="shared" si="261"/>
        <v>CLIENTE</v>
      </c>
      <c r="AU680">
        <f t="shared" si="262"/>
        <v>25.115692087598529</v>
      </c>
      <c r="AV680" t="str">
        <f t="shared" si="263"/>
        <v>Mayor retorno probable: CLIENTE (+25,1 puntos finales potenciales).</v>
      </c>
    </row>
    <row r="681" spans="1:48" x14ac:dyDescent="0.3">
      <c r="A681" s="5">
        <v>51040392</v>
      </c>
      <c r="B681" s="5" t="str">
        <f>IFERROR(VLOOKUP(A681,VENTAS!$A$2:$B$1194,2,0),"")</f>
        <v>ARGUELLO</v>
      </c>
      <c r="C681" s="5">
        <f>IFERROR(INDEX(VENTAS!$C$2:$E$1194,MATCH(A681,VENTAS!$A$2:$A$1194,0),MATCH(PARAMS_MODELO!$B$2,{"Q1","Q2","Q3"},0)),0)</f>
        <v>59276754.810000002</v>
      </c>
      <c r="D681" s="5">
        <f>IFERROR(INDEX(VENTAS!$F$2:$H$1194,MATCH(A681,VENTAS!$A$2:$A$1194,0),MATCH(PARAMS_MODELO!$B$2,{"Q1","Q2","Q3"},0)),0)</f>
        <v>59487095</v>
      </c>
      <c r="E681" s="8">
        <f t="shared" si="240"/>
        <v>3.548443073076557E-3</v>
      </c>
      <c r="F681" s="12">
        <f>IF(E681&lt;=PARAMS_MODELO!$B$15,0,IF(E681&gt;=PARAMS_MODELO!$B$17,100,100*MIN(1,(E681-PARAMS_MODELO!$B$15)/(PARAMS_MODELO!$B$16-PARAMS_MODELO!$B$15))))*PARAMS_MODELO!$B$7</f>
        <v>1.241955075576795</v>
      </c>
      <c r="G681" s="5">
        <f t="shared" si="241"/>
        <v>210340.18999999762</v>
      </c>
      <c r="H681" s="5">
        <f>(PARAMS_MODELO!$B$20*(MAX(0,MIN(3,E681))/3)+PARAMS_MODELO!$B$21*(IFERROR(LN(1+MAX(0,G681))/LN(1+MAX(0,MAX($G$2:$G$1194))),0)))*100*PARAMS_MODELO!$B$8</f>
        <v>2.8855110263899677</v>
      </c>
      <c r="I681" s="8">
        <f>E681-PARAMS_MODELO!$B$5</f>
        <v>-0.17401439230244997</v>
      </c>
      <c r="J681" s="5">
        <f>IF(I681&lt;=PARAMS_MODELO!$B$18,0,IF(I681&gt;=PARAMS_MODELO!$B$19,100,100*(I681-PARAMS_MODELO!$B$18)/(PARAMS_MODELO!$B$19-PARAMS_MODELO!$B$18)))*PARAMS_MODELO!$B$9</f>
        <v>0</v>
      </c>
      <c r="K681" s="5">
        <f>IFERROR(CHOOSE(MATCH(PARAMS_MODELO!$B$2,{"Q1","Q2","Q3"},0),LOTO!$D681,LOTO!$F681,LOTO!$H681),0)</f>
        <v>2797500</v>
      </c>
      <c r="L681" s="8">
        <f t="shared" si="242"/>
        <v>4.7027006445683722E-2</v>
      </c>
      <c r="M681" s="5">
        <f>MIN(100,IF(PARAMS_MODELO!$B$23=0,0,100*L681/PARAMS_MODELO!$B$23))*PARAMS_MODELO!$B$10</f>
        <v>14.108101933705115</v>
      </c>
      <c r="N681" s="5">
        <f>IFERROR(VLOOKUP(A681,COMPLIANCE!$A$2:$F$1996,6,0),100)</f>
        <v>100</v>
      </c>
      <c r="O681" s="5">
        <f>N681*PARAMS_MODELO!$B$11</f>
        <v>10</v>
      </c>
      <c r="P681" s="5">
        <f>IFERROR(VLOOKUP(A681,DIGITAL!$A$2:$J$2000,7,0),100)</f>
        <v>22</v>
      </c>
      <c r="Q681" s="5">
        <f>IFERROR(P681,0)*PARAMS_MODELO!$B$12</f>
        <v>2.2000000000000002</v>
      </c>
      <c r="R681">
        <f t="shared" si="243"/>
        <v>30.435568035671874</v>
      </c>
      <c r="S681" s="5" t="str">
        <f>IFERROR(VLOOKUP(A681,CLIENTE!$A$2:$N$2000,13,0),1)</f>
        <v>Bueno</v>
      </c>
      <c r="T681" s="5">
        <f>IFERROR(VLOOKUP(A681,CLIENTE!$A$2:$N$2000,14,0),1)</f>
        <v>1.1000000000000001</v>
      </c>
      <c r="U681" s="5">
        <f t="shared" si="244"/>
        <v>33.479124839239063</v>
      </c>
      <c r="V681" s="5" t="str">
        <f>IF(U681&gt;=MAX(_xlfn.PERCENTILE.INC($U$2:$U$1194,PARAMS_MODELO!$B$50),PARAMS_MODELO!$B$45),"DIAMANTE",IF(U681&gt;=MAX(_xlfn.PERCENTILE.INC($U$2:$U$1194,PARAMS_MODELO!$B$51),PARAMS_MODELO!$B$46),"PLATINO",IF(U681&gt;=MAX(_xlfn.PERCENTILE.INC($U$2:$U$1194,PARAMS_MODELO!$B$52),PARAMS_MODELO!$B$47),"ORO",IF(U681&gt;=MAX(_xlfn.PERCENTILE.INC($U$2:$U$1194,PARAMS_MODELO!$B$53),PARAMS_MODELO!$B$48),"PLATA",IF(U681&gt;=1,"BRONCE","CERRADO")))))</f>
        <v>PLATA</v>
      </c>
      <c r="W681" s="5" t="str" cm="1">
        <f t="array" ref="W681">_xlfn.XLOOKUP(1, (HIST_SCORE!$B:$B=PARAMS_MODELO!$B$4) * (HIST_SCORE!$C:$C=A681), HIST_SCORE!$E:$E, "No encontrado")</f>
        <v>PLATA</v>
      </c>
      <c r="X681" s="5" t="str">
        <f>_xlfn.LET(_xlpm.act,MATCH(V681,{"DIAMANTE";"PLATINO";"ORO";"PLATA";"BRONCE";"CERRADO"},0),_xlpm.ant,MATCH(W681,{"DIAMANTE";"PLATINO";"ORO";"PLATA";"BRONCE";"CERRADO"},0),IF(_xlpm.act&lt;_xlpm.ant,"Mejora ↑",IF(_xlpm.act&gt;_xlpm.ant,"Baja ↓","Estable →")))</f>
        <v>Estable →</v>
      </c>
      <c r="Y681" s="5">
        <f>IFERROR(U681-SUMIFS(HIST_SCORE!$D:$D,HIST_SCORE!$B:$B,PARAMS_MODELO!$B$4,HIST_SCORE!$C:$C,$A681),"")</f>
        <v>-12.154054786655109</v>
      </c>
      <c r="Z681" s="5" t="str">
        <f t="shared" si="245"/>
        <v>↓ Baja</v>
      </c>
      <c r="AA681" s="5">
        <f t="shared" si="246"/>
        <v>818</v>
      </c>
      <c r="AB681" s="5">
        <f>IFERROR(SUMIFS(HIST_SCORE!$F:$F,HIST_SCORE!$B:$B,PARAMS_MODELO!$B$4,HIST_SCORE!$C:$C,$A681),"")</f>
        <v>818</v>
      </c>
      <c r="AC681" s="5">
        <f t="shared" si="247"/>
        <v>0</v>
      </c>
      <c r="AD681" t="str">
        <f t="shared" si="249"/>
        <v/>
      </c>
      <c r="AE6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681="CERRADO",1,IF(V681="BRONCE",_xlpm.cPl,IF(V681="PLATA",_xlpm.cO,IF(V681="ORO",_xlpm.cP,IF(V681="PLATINO",_xlpm.cD,999))))))</f>
        <v>63.199193273331495</v>
      </c>
      <c r="AF6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681="CERRADO",0,IF(V681="BRONCE",1,IF(V681="PLATA",_xlpm.cPl,IF(V681="ORO",_xlpm.cO,IF(V681="PLATINO",_xlpm.cP,_xlpm.cD))))))</f>
        <v>24.506573482968111</v>
      </c>
      <c r="AG681">
        <f t="shared" si="250"/>
        <v>27.01824403099312</v>
      </c>
      <c r="AH681" t="str">
        <f t="shared" si="251"/>
        <v>VENTAS</v>
      </c>
      <c r="AI681" t="str">
        <f t="shared" si="248"/>
        <v>🎯 Para subir de categoría, eje VENTAS / DIFERENCIAL vs LOTBA (J). Acción: metas semanales + activación comercial + seguimiento del asesor. ΔR aprox: 27,0</v>
      </c>
      <c r="AJ681" s="26">
        <f>_xlfn.LET(_xlpm.piso,AF681,_xlpm.corte,AE681,_xlpm.prog,IF(_xlpm.corte&lt;=_xlpm.piso,0,MAX(0,MIN(1,(U681-_xlpm.piso)/(_xlpm.corte-_xlpm.piso)))),_xlpm.orden,{"DIAMANTE";"PLATINO";"ORO";"PLATA";"BRONCE";"CERRADO"},_xlpm.act,IFERROR(MATCH(V681,_xlpm.orden,0),6),_xlpm.ant,IFERROR(MATCH(W681,_xlpm.orden,0),6),_xlpm.ajmov,IF(_xlpm.act&lt;_xlpm.ant,0.08,IF(_xlpm.act&gt;_xlpm.ant,-0.08,0)),_xlpm.ajcli,IF(T681&lt;0.95,-0.06,0),_xlpm.prob,MAX(0,MIN(1,_xlpm.prog+_xlpm.ajmov+_xlpm.ajcli)),IF(OR(V681="DIAMANTE",V681="CERRADO"),0,ROUND(_xlpm.prob,2)))</f>
        <v>0.23</v>
      </c>
      <c r="AK681" t="str">
        <f t="shared" si="252"/>
        <v>Faltan 27,0 puntos base para subir a la siguiente categoría</v>
      </c>
      <c r="AL681" t="str">
        <f t="shared" si="253"/>
        <v>Margen de seguridad: 9,0 puntos</v>
      </c>
      <c r="AM681">
        <f t="shared" si="254"/>
        <v>0.71</v>
      </c>
      <c r="AN681" t="str">
        <f t="shared" si="255"/>
        <v>PRIORIDAD ALTA – requiere intervención inmediata</v>
      </c>
      <c r="AO681">
        <f t="shared" si="256"/>
        <v>66.808613490661713</v>
      </c>
      <c r="AP681">
        <f t="shared" si="257"/>
        <v>0.98108787292437405</v>
      </c>
      <c r="AQ681">
        <f t="shared" si="258"/>
        <v>0</v>
      </c>
      <c r="AR681">
        <f t="shared" si="259"/>
        <v>8.58</v>
      </c>
      <c r="AS681">
        <f t="shared" si="260"/>
        <v>0</v>
      </c>
      <c r="AT681" t="str">
        <f t="shared" si="261"/>
        <v>VENTAS</v>
      </c>
      <c r="AU681">
        <f t="shared" si="262"/>
        <v>66.808613490661713</v>
      </c>
      <c r="AV681" t="str">
        <f t="shared" si="263"/>
        <v>Mayor retorno probable: VENTAS (+66,8 puntos finales potenciales).</v>
      </c>
    </row>
    <row r="682" spans="1:48" x14ac:dyDescent="0.3">
      <c r="A682" s="5">
        <v>51014693</v>
      </c>
      <c r="B682" s="5" t="str">
        <f>IFERROR(VLOOKUP(A682,VENTAS!$A$2:$B$1194,2,0),"")</f>
        <v>PUGH</v>
      </c>
      <c r="C682" s="5">
        <f>IFERROR(INDEX(VENTAS!$C$2:$E$1194,MATCH(A682,VENTAS!$A$2:$A$1194,0),MATCH(PARAMS_MODELO!$B$2,{"Q1","Q2","Q3"},0)),0)</f>
        <v>47562896.700000003</v>
      </c>
      <c r="D682" s="5">
        <f>IFERROR(INDEX(VENTAS!$F$2:$H$1194,MATCH(A682,VENTAS!$A$2:$A$1194,0),MATCH(PARAMS_MODELO!$B$2,{"Q1","Q2","Q3"},0)),0)</f>
        <v>59458011</v>
      </c>
      <c r="E682" s="8">
        <f t="shared" si="240"/>
        <v>0.25009230146405259</v>
      </c>
      <c r="F682" s="12">
        <f>IF(E682&lt;=PARAMS_MODELO!$B$15,0,IF(E682&gt;=PARAMS_MODELO!$B$17,100,100*MIN(1,(E682-PARAMS_MODELO!$B$15)/(PARAMS_MODELO!$B$16-PARAMS_MODELO!$B$15))))*PARAMS_MODELO!$B$7</f>
        <v>35</v>
      </c>
      <c r="G682" s="5">
        <f t="shared" si="241"/>
        <v>11895114.299999997</v>
      </c>
      <c r="H682" s="5">
        <f>(PARAMS_MODELO!$B$20*(MAX(0,MIN(3,E682))/3)+PARAMS_MODELO!$B$21*(IFERROR(LN(1+MAX(0,G682))/LN(1+MAX(0,MAX($G$2:$G$1194))),0)))*100*PARAMS_MODELO!$B$8</f>
        <v>4.6943105374436778</v>
      </c>
      <c r="I682" s="8">
        <f>E682-PARAMS_MODELO!$B$5</f>
        <v>7.2529466088526062E-2</v>
      </c>
      <c r="J682" s="5">
        <f>IF(I682&lt;=PARAMS_MODELO!$B$18,0,IF(I682&gt;=PARAMS_MODELO!$B$19,100,100*(I682-PARAMS_MODELO!$B$18)/(PARAMS_MODELO!$B$19-PARAMS_MODELO!$B$18)))*PARAMS_MODELO!$B$9</f>
        <v>15</v>
      </c>
      <c r="K682" s="5">
        <f>IFERROR(CHOOSE(MATCH(PARAMS_MODELO!$B$2,{"Q1","Q2","Q3"},0),LOTO!$D682,LOTO!$F682,LOTO!$H682),0)</f>
        <v>2785000</v>
      </c>
      <c r="L682" s="8">
        <f t="shared" si="242"/>
        <v>4.6839777401904682E-2</v>
      </c>
      <c r="M682" s="5">
        <f>MIN(100,IF(PARAMS_MODELO!$B$23=0,0,100*L682/PARAMS_MODELO!$B$23))*PARAMS_MODELO!$B$10</f>
        <v>14.051933220571405</v>
      </c>
      <c r="N682" s="5">
        <f>IFERROR(VLOOKUP(A682,COMPLIANCE!$A$2:$F$1996,6,0),100)</f>
        <v>99.98</v>
      </c>
      <c r="O682" s="5">
        <f>N682*PARAMS_MODELO!$B$11</f>
        <v>9.9980000000000011</v>
      </c>
      <c r="P682" s="5">
        <f>IFERROR(VLOOKUP(A682,DIGITAL!$A$2:$J$2000,7,0),100)</f>
        <v>38</v>
      </c>
      <c r="Q682" s="5">
        <f>IFERROR(P682,0)*PARAMS_MODELO!$B$12</f>
        <v>3.8000000000000003</v>
      </c>
      <c r="R682">
        <f t="shared" si="243"/>
        <v>82.544243758015085</v>
      </c>
      <c r="S682" s="5" t="str">
        <f>IFERROR(VLOOKUP(A682,CLIENTE!$A$2:$N$2000,13,0),1)</f>
        <v>Malo</v>
      </c>
      <c r="T682" s="5">
        <f>IFERROR(VLOOKUP(A682,CLIENTE!$A$2:$N$2000,14,0),1)</f>
        <v>0.7</v>
      </c>
      <c r="U682" s="5">
        <f t="shared" si="244"/>
        <v>57.780970630610554</v>
      </c>
      <c r="V682" s="5" t="str">
        <f>IF(U682&gt;=MAX(_xlfn.PERCENTILE.INC($U$2:$U$1194,PARAMS_MODELO!$B$50),PARAMS_MODELO!$B$45),"DIAMANTE",IF(U682&gt;=MAX(_xlfn.PERCENTILE.INC($U$2:$U$1194,PARAMS_MODELO!$B$51),PARAMS_MODELO!$B$46),"PLATINO",IF(U682&gt;=MAX(_xlfn.PERCENTILE.INC($U$2:$U$1194,PARAMS_MODELO!$B$52),PARAMS_MODELO!$B$47),"ORO",IF(U682&gt;=MAX(_xlfn.PERCENTILE.INC($U$2:$U$1194,PARAMS_MODELO!$B$53),PARAMS_MODELO!$B$48),"PLATA",IF(U682&gt;=1,"BRONCE","CERRADO")))))</f>
        <v>PLATA</v>
      </c>
      <c r="W682" s="5" t="str" cm="1">
        <f t="array" ref="W682">_xlfn.XLOOKUP(1, (HIST_SCORE!$B:$B=PARAMS_MODELO!$B$4) * (HIST_SCORE!$C:$C=A682), HIST_SCORE!$E:$E, "No encontrado")</f>
        <v>PLATA</v>
      </c>
      <c r="X682" s="5" t="str">
        <f>_xlfn.LET(_xlpm.act,MATCH(V682,{"DIAMANTE";"PLATINO";"ORO";"PLATA";"BRONCE";"CERRADO"},0),_xlpm.ant,MATCH(W682,{"DIAMANTE";"PLATINO";"ORO";"PLATA";"BRONCE";"CERRADO"},0),IF(_xlpm.act&lt;_xlpm.ant,"Mejora ↑",IF(_xlpm.act&gt;_xlpm.ant,"Baja ↓","Estable →")))</f>
        <v>Estable →</v>
      </c>
      <c r="Y682" s="5">
        <f>IFERROR(U682-SUMIFS(HIST_SCORE!$D:$D,HIST_SCORE!$B:$B,PARAMS_MODELO!$B$4,HIST_SCORE!$C:$C,$A682),"")</f>
        <v>0.39262917101180506</v>
      </c>
      <c r="Z682" s="5" t="str">
        <f t="shared" si="245"/>
        <v>→ Estable</v>
      </c>
      <c r="AA682" s="5">
        <f t="shared" si="246"/>
        <v>668</v>
      </c>
      <c r="AB682" s="5">
        <f>IFERROR(SUMIFS(HIST_SCORE!$F:$F,HIST_SCORE!$B:$B,PARAMS_MODELO!$B$4,HIST_SCORE!$C:$C,$A682),"")</f>
        <v>703</v>
      </c>
      <c r="AC682" s="5">
        <f t="shared" si="247"/>
        <v>35</v>
      </c>
      <c r="AD682" t="str">
        <f t="shared" si="249"/>
        <v/>
      </c>
      <c r="AE6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682="CERRADO",1,IF(V682="BRONCE",_xlpm.cPl,IF(V682="PLATA",_xlpm.cO,IF(V682="ORO",_xlpm.cP,IF(V682="PLATINO",_xlpm.cD,999))))))</f>
        <v>63.199193273331495</v>
      </c>
      <c r="AF6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682="CERRADO",0,IF(V682="BRONCE",1,IF(V682="PLATA",_xlpm.cPl,IF(V682="ORO",_xlpm.cO,IF(V682="PLATINO",_xlpm.cP,_xlpm.cD))))))</f>
        <v>24.506573482968111</v>
      </c>
      <c r="AG682">
        <f t="shared" si="250"/>
        <v>7.7403180610299103</v>
      </c>
      <c r="AH682" t="str">
        <f t="shared" si="251"/>
        <v>CLIENTE</v>
      </c>
      <c r="AI682" t="str">
        <f t="shared" si="248"/>
        <v>🎯 Para subir de categoría, la eje con mayor impacto probable es CLIENTE (coef T). Acción: reducir quejas, mejorar incógnito y empujar reseñas. ΔR aprox: 7,7</v>
      </c>
      <c r="AJ682" s="26">
        <f>_xlfn.LET(_xlpm.piso,AF682,_xlpm.corte,AE682,_xlpm.prog,IF(_xlpm.corte&lt;=_xlpm.piso,0,MAX(0,MIN(1,(U682-_xlpm.piso)/(_xlpm.corte-_xlpm.piso)))),_xlpm.orden,{"DIAMANTE";"PLATINO";"ORO";"PLATA";"BRONCE";"CERRADO"},_xlpm.act,IFERROR(MATCH(V682,_xlpm.orden,0),6),_xlpm.ant,IFERROR(MATCH(W682,_xlpm.orden,0),6),_xlpm.ajmov,IF(_xlpm.act&lt;_xlpm.ant,0.08,IF(_xlpm.act&gt;_xlpm.ant,-0.08,0)),_xlpm.ajcli,IF(T682&lt;0.95,-0.06,0),_xlpm.prob,MAX(0,MIN(1,_xlpm.prog+_xlpm.ajmov+_xlpm.ajcli)),IF(OR(V682="DIAMANTE",V682="CERRADO"),0,ROUND(_xlpm.prob,2)))</f>
        <v>0.8</v>
      </c>
      <c r="AK682" t="str">
        <f t="shared" si="252"/>
        <v>Faltan 7,7 puntos base para subir a la siguiente categoría</v>
      </c>
      <c r="AL682" t="str">
        <f t="shared" si="253"/>
        <v>Margen de seguridad: 33,3 puntos</v>
      </c>
      <c r="AM682">
        <f t="shared" si="254"/>
        <v>0.59</v>
      </c>
      <c r="AN682" t="str">
        <f t="shared" si="255"/>
        <v>PRIORIDAD MEDIA – seguimiento del asesor</v>
      </c>
      <c r="AO682">
        <f t="shared" si="256"/>
        <v>7.1177811164963343</v>
      </c>
      <c r="AP682">
        <f t="shared" si="257"/>
        <v>0.66364674560001669</v>
      </c>
      <c r="AQ682">
        <f t="shared" si="258"/>
        <v>1.3999999999992239E-3</v>
      </c>
      <c r="AR682">
        <f t="shared" si="259"/>
        <v>4.339999999999999</v>
      </c>
      <c r="AS682">
        <f t="shared" si="260"/>
        <v>24.763273127404528</v>
      </c>
      <c r="AT682" t="str">
        <f t="shared" si="261"/>
        <v>CLIENTE</v>
      </c>
      <c r="AU682">
        <f t="shared" si="262"/>
        <v>24.763273127404528</v>
      </c>
      <c r="AV682" t="str">
        <f t="shared" si="263"/>
        <v>Mayor retorno probable: CLIENTE (+24,8 puntos finales potenciales).</v>
      </c>
    </row>
    <row r="683" spans="1:48" x14ac:dyDescent="0.3">
      <c r="A683" s="5">
        <v>51055551</v>
      </c>
      <c r="B683" s="5" t="str">
        <f>IFERROR(VLOOKUP(A683,VENTAS!$A$2:$B$1194,2,0),"")</f>
        <v>NELLI</v>
      </c>
      <c r="C683" s="5">
        <f>IFERROR(INDEX(VENTAS!$C$2:$E$1194,MATCH(A683,VENTAS!$A$2:$A$1194,0),MATCH(PARAMS_MODELO!$B$2,{"Q1","Q2","Q3"},0)),0)</f>
        <v>104260436.93000001</v>
      </c>
      <c r="D683" s="5">
        <f>IFERROR(INDEX(VENTAS!$F$2:$H$1194,MATCH(A683,VENTAS!$A$2:$A$1194,0),MATCH(PARAMS_MODELO!$B$2,{"Q1","Q2","Q3"},0)),0)</f>
        <v>58998021</v>
      </c>
      <c r="E683" s="8">
        <f t="shared" si="240"/>
        <v>-0.43412839292424021</v>
      </c>
      <c r="F683" s="12">
        <f>IF(E683&lt;=PARAMS_MODELO!$B$15,0,IF(E683&gt;=PARAMS_MODELO!$B$17,100,100*MIN(1,(E683-PARAMS_MODELO!$B$15)/(PARAMS_MODELO!$B$16-PARAMS_MODELO!$B$15))))*PARAMS_MODELO!$B$7</f>
        <v>0</v>
      </c>
      <c r="G683" s="5">
        <f t="shared" si="241"/>
        <v>0</v>
      </c>
      <c r="H683" s="5">
        <f>(PARAMS_MODELO!$B$20*(MAX(0,MIN(3,E683))/3)+PARAMS_MODELO!$B$21*(IFERROR(LN(1+MAX(0,G683))/LN(1+MAX(0,MAX($G$2:$G$1194))),0)))*100*PARAMS_MODELO!$B$8</f>
        <v>0</v>
      </c>
      <c r="I683" s="8">
        <f>E683-PARAMS_MODELO!$B$5</f>
        <v>-0.61169122829976674</v>
      </c>
      <c r="J683" s="5">
        <f>IF(I683&lt;=PARAMS_MODELO!$B$18,0,IF(I683&gt;=PARAMS_MODELO!$B$19,100,100*(I683-PARAMS_MODELO!$B$18)/(PARAMS_MODELO!$B$19-PARAMS_MODELO!$B$18)))*PARAMS_MODELO!$B$9</f>
        <v>0</v>
      </c>
      <c r="K683" s="5">
        <f>IFERROR(CHOOSE(MATCH(PARAMS_MODELO!$B$2,{"Q1","Q2","Q3"},0),LOTO!$D683,LOTO!$F683,LOTO!$H683),0)</f>
        <v>2780000</v>
      </c>
      <c r="L683" s="8">
        <f t="shared" si="242"/>
        <v>4.7120224591940124E-2</v>
      </c>
      <c r="M683" s="5">
        <f>MIN(100,IF(PARAMS_MODELO!$B$23=0,0,100*L683/PARAMS_MODELO!$B$23))*PARAMS_MODELO!$B$10</f>
        <v>14.136067377582036</v>
      </c>
      <c r="N683" s="5">
        <f>IFERROR(VLOOKUP(A683,COMPLIANCE!$A$2:$F$1996,6,0),100)</f>
        <v>100</v>
      </c>
      <c r="O683" s="5">
        <f>N683*PARAMS_MODELO!$B$11</f>
        <v>10</v>
      </c>
      <c r="P683" s="5">
        <f>IFERROR(VLOOKUP(A683,DIGITAL!$A$2:$J$2000,7,0),100)</f>
        <v>31</v>
      </c>
      <c r="Q683" s="5">
        <f>IFERROR(P683,0)*PARAMS_MODELO!$B$12</f>
        <v>3.1</v>
      </c>
      <c r="R683">
        <f t="shared" si="243"/>
        <v>27.236067377582039</v>
      </c>
      <c r="S683" s="5" t="str">
        <f>IFERROR(VLOOKUP(A683,CLIENTE!$A$2:$N$2000,13,0),1)</f>
        <v>Regular</v>
      </c>
      <c r="T683" s="5">
        <f>IFERROR(VLOOKUP(A683,CLIENTE!$A$2:$N$2000,14,0),1)</f>
        <v>1</v>
      </c>
      <c r="U683" s="5">
        <f t="shared" si="244"/>
        <v>27.236067377582039</v>
      </c>
      <c r="V683" s="5" t="str">
        <f>IF(U683&gt;=MAX(_xlfn.PERCENTILE.INC($U$2:$U$1194,PARAMS_MODELO!$B$50),PARAMS_MODELO!$B$45),"DIAMANTE",IF(U683&gt;=MAX(_xlfn.PERCENTILE.INC($U$2:$U$1194,PARAMS_MODELO!$B$51),PARAMS_MODELO!$B$46),"PLATINO",IF(U683&gt;=MAX(_xlfn.PERCENTILE.INC($U$2:$U$1194,PARAMS_MODELO!$B$52),PARAMS_MODELO!$B$47),"ORO",IF(U683&gt;=MAX(_xlfn.PERCENTILE.INC($U$2:$U$1194,PARAMS_MODELO!$B$53),PARAMS_MODELO!$B$48),"PLATA",IF(U683&gt;=1,"BRONCE","CERRADO")))))</f>
        <v>PLATA</v>
      </c>
      <c r="W683" s="5" t="str" cm="1">
        <f t="array" ref="W683">_xlfn.XLOOKUP(1, (HIST_SCORE!$B:$B=PARAMS_MODELO!$B$4) * (HIST_SCORE!$C:$C=A683), HIST_SCORE!$E:$E, "No encontrado")</f>
        <v>PLATA</v>
      </c>
      <c r="X683" s="5" t="str">
        <f>_xlfn.LET(_xlpm.act,MATCH(V683,{"DIAMANTE";"PLATINO";"ORO";"PLATA";"BRONCE";"CERRADO"},0),_xlpm.ant,MATCH(W683,{"DIAMANTE";"PLATINO";"ORO";"PLATA";"BRONCE";"CERRADO"},0),IF(_xlpm.act&lt;_xlpm.ant,"Mejora ↑",IF(_xlpm.act&gt;_xlpm.ant,"Baja ↓","Estable →")))</f>
        <v>Estable →</v>
      </c>
      <c r="Y683" s="5">
        <f>IFERROR(U683-SUMIFS(HIST_SCORE!$D:$D,HIST_SCORE!$B:$B,PARAMS_MODELO!$B$4,HIST_SCORE!$C:$C,$A683),"")</f>
        <v>-0.86393262241796265</v>
      </c>
      <c r="Z683" s="5" t="str">
        <f t="shared" si="245"/>
        <v>→ Estable</v>
      </c>
      <c r="AA683" s="5">
        <f t="shared" si="246"/>
        <v>897</v>
      </c>
      <c r="AB683" s="5">
        <f>IFERROR(SUMIFS(HIST_SCORE!$F:$F,HIST_SCORE!$B:$B,PARAMS_MODELO!$B$4,HIST_SCORE!$C:$C,$A683),"")</f>
        <v>930</v>
      </c>
      <c r="AC683" s="5">
        <f t="shared" si="247"/>
        <v>33</v>
      </c>
      <c r="AD683" t="str">
        <f t="shared" si="249"/>
        <v/>
      </c>
      <c r="AE6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683="CERRADO",1,IF(V683="BRONCE",_xlpm.cPl,IF(V683="PLATA",_xlpm.cO,IF(V683="ORO",_xlpm.cP,IF(V683="PLATINO",_xlpm.cD,999))))))</f>
        <v>63.199193273331495</v>
      </c>
      <c r="AF6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683="CERRADO",0,IF(V683="BRONCE",1,IF(V683="PLATA",_xlpm.cPl,IF(V683="ORO",_xlpm.cO,IF(V683="PLATINO",_xlpm.cP,_xlpm.cD))))))</f>
        <v>24.506573482968111</v>
      </c>
      <c r="AG683">
        <f t="shared" si="250"/>
        <v>35.963125895749457</v>
      </c>
      <c r="AH683" t="str">
        <f t="shared" si="251"/>
        <v>VENTAS</v>
      </c>
      <c r="AI683" t="str">
        <f t="shared" si="248"/>
        <v>🎯 Para subir de categoría, eje VENTAS / CRECIMIENTO PERSONAL (F). Acción: metas semanales + activación comercial + seguimiento del asesor. ΔR aprox: 36,0</v>
      </c>
      <c r="AJ683" s="26">
        <f>_xlfn.LET(_xlpm.piso,AF683,_xlpm.corte,AE683,_xlpm.prog,IF(_xlpm.corte&lt;=_xlpm.piso,0,MAX(0,MIN(1,(U683-_xlpm.piso)/(_xlpm.corte-_xlpm.piso)))),_xlpm.orden,{"DIAMANTE";"PLATINO";"ORO";"PLATA";"BRONCE";"CERRADO"},_xlpm.act,IFERROR(MATCH(V683,_xlpm.orden,0),6),_xlpm.ant,IFERROR(MATCH(W683,_xlpm.orden,0),6),_xlpm.ajmov,IF(_xlpm.act&lt;_xlpm.ant,0.08,IF(_xlpm.act&gt;_xlpm.ant,-0.08,0)),_xlpm.ajcli,IF(T683&lt;0.95,-0.06,0),_xlpm.prob,MAX(0,MIN(1,_xlpm.prog+_xlpm.ajmov+_xlpm.ajcli)),IF(OR(V683="DIAMANTE",V683="CERRADO"),0,ROUND(_xlpm.prob,2)))</f>
        <v>7.0000000000000007E-2</v>
      </c>
      <c r="AK683" t="str">
        <f t="shared" si="252"/>
        <v>Faltan 36,0 puntos base para subir a la siguiente categoría</v>
      </c>
      <c r="AL683" t="str">
        <f t="shared" si="253"/>
        <v>Margen de seguridad: 2,7 puntos</v>
      </c>
      <c r="AM683">
        <f t="shared" si="254"/>
        <v>0.77</v>
      </c>
      <c r="AN683" t="str">
        <f t="shared" si="255"/>
        <v>PRIORIDAD ALTA – requiere intervención inmediata</v>
      </c>
      <c r="AO683">
        <f t="shared" si="256"/>
        <v>64.862569275295584</v>
      </c>
      <c r="AP683">
        <f t="shared" si="257"/>
        <v>0.86393262241796442</v>
      </c>
      <c r="AQ683">
        <f t="shared" si="258"/>
        <v>0</v>
      </c>
      <c r="AR683">
        <f t="shared" si="259"/>
        <v>6.9</v>
      </c>
      <c r="AS683">
        <f t="shared" si="260"/>
        <v>0</v>
      </c>
      <c r="AT683" t="str">
        <f t="shared" si="261"/>
        <v>VENTAS</v>
      </c>
      <c r="AU683">
        <f t="shared" si="262"/>
        <v>64.862569275295584</v>
      </c>
      <c r="AV683" t="str">
        <f t="shared" si="263"/>
        <v>Mayor retorno probable: VENTAS (+64,9 puntos finales potenciales).</v>
      </c>
    </row>
    <row r="684" spans="1:48" x14ac:dyDescent="0.3">
      <c r="A684" s="5">
        <v>51012593</v>
      </c>
      <c r="B684" s="5" t="str">
        <f>IFERROR(VLOOKUP(A684,VENTAS!$A$2:$B$1194,2,0),"")</f>
        <v>ROBERTS</v>
      </c>
      <c r="C684" s="5">
        <f>IFERROR(INDEX(VENTAS!$C$2:$E$1194,MATCH(A684,VENTAS!$A$2:$A$1194,0),MATCH(PARAMS_MODELO!$B$2,{"Q1","Q2","Q3"},0)),0)</f>
        <v>45500130.640000001</v>
      </c>
      <c r="D684" s="5">
        <f>IFERROR(INDEX(VENTAS!$F$2:$H$1194,MATCH(A684,VENTAS!$A$2:$A$1194,0),MATCH(PARAMS_MODELO!$B$2,{"Q1","Q2","Q3"},0)),0)</f>
        <v>58923950</v>
      </c>
      <c r="E684" s="8">
        <f t="shared" si="240"/>
        <v>0.2950281498356595</v>
      </c>
      <c r="F684" s="12">
        <f>IF(E684&lt;=PARAMS_MODELO!$B$15,0,IF(E684&gt;=PARAMS_MODELO!$B$17,100,100*MIN(1,(E684-PARAMS_MODELO!$B$15)/(PARAMS_MODELO!$B$16-PARAMS_MODELO!$B$15))))*PARAMS_MODELO!$B$7</f>
        <v>35</v>
      </c>
      <c r="G684" s="5">
        <f t="shared" si="241"/>
        <v>13423819.359999999</v>
      </c>
      <c r="H684" s="5">
        <f>(PARAMS_MODELO!$B$20*(MAX(0,MIN(3,E684))/3)+PARAMS_MODELO!$B$21*(IFERROR(LN(1+MAX(0,G684))/LN(1+MAX(0,MAX($G$2:$G$1194))),0)))*100*PARAMS_MODELO!$B$8</f>
        <v>4.8799273416071216</v>
      </c>
      <c r="I684" s="8">
        <f>E684-PARAMS_MODELO!$B$5</f>
        <v>0.11746531446013297</v>
      </c>
      <c r="J684" s="5">
        <f>IF(I684&lt;=PARAMS_MODELO!$B$18,0,IF(I684&gt;=PARAMS_MODELO!$B$19,100,100*(I684-PARAMS_MODELO!$B$18)/(PARAMS_MODELO!$B$19-PARAMS_MODELO!$B$18)))*PARAMS_MODELO!$B$9</f>
        <v>15</v>
      </c>
      <c r="K684" s="5">
        <f>IFERROR(CHOOSE(MATCH(PARAMS_MODELO!$B$2,{"Q1","Q2","Q3"},0),LOTO!$D684,LOTO!$F684,LOTO!$H684),0)</f>
        <v>2775000</v>
      </c>
      <c r="L684" s="8">
        <f t="shared" si="242"/>
        <v>4.7094602449428459E-2</v>
      </c>
      <c r="M684" s="5">
        <f>MIN(100,IF(PARAMS_MODELO!$B$23=0,0,100*L684/PARAMS_MODELO!$B$23))*PARAMS_MODELO!$B$10</f>
        <v>14.128380734828534</v>
      </c>
      <c r="N684" s="5">
        <f>IFERROR(VLOOKUP(A684,COMPLIANCE!$A$2:$F$1996,6,0),100)</f>
        <v>100</v>
      </c>
      <c r="O684" s="5">
        <f>N684*PARAMS_MODELO!$B$11</f>
        <v>10</v>
      </c>
      <c r="P684" s="5">
        <f>IFERROR(VLOOKUP(A684,DIGITAL!$A$2:$J$2000,7,0),100)</f>
        <v>97</v>
      </c>
      <c r="Q684" s="5">
        <f>IFERROR(P684,0)*PARAMS_MODELO!$B$12</f>
        <v>9.7000000000000011</v>
      </c>
      <c r="R684">
        <f t="shared" si="243"/>
        <v>88.708308076435657</v>
      </c>
      <c r="S684" s="5" t="str">
        <f>IFERROR(VLOOKUP(A684,CLIENTE!$A$2:$N$2000,13,0),1)</f>
        <v>Malo</v>
      </c>
      <c r="T684" s="5">
        <f>IFERROR(VLOOKUP(A684,CLIENTE!$A$2:$N$2000,14,0),1)</f>
        <v>0.7</v>
      </c>
      <c r="U684" s="5">
        <f t="shared" si="244"/>
        <v>62.095815653504957</v>
      </c>
      <c r="V684" s="5" t="str">
        <f>IF(U684&gt;=MAX(_xlfn.PERCENTILE.INC($U$2:$U$1194,PARAMS_MODELO!$B$50),PARAMS_MODELO!$B$45),"DIAMANTE",IF(U684&gt;=MAX(_xlfn.PERCENTILE.INC($U$2:$U$1194,PARAMS_MODELO!$B$51),PARAMS_MODELO!$B$46),"PLATINO",IF(U684&gt;=MAX(_xlfn.PERCENTILE.INC($U$2:$U$1194,PARAMS_MODELO!$B$52),PARAMS_MODELO!$B$47),"ORO",IF(U684&gt;=MAX(_xlfn.PERCENTILE.INC($U$2:$U$1194,PARAMS_MODELO!$B$53),PARAMS_MODELO!$B$48),"PLATA",IF(U684&gt;=1,"BRONCE","CERRADO")))))</f>
        <v>PLATA</v>
      </c>
      <c r="W684" s="5" t="str" cm="1">
        <f t="array" ref="W684">_xlfn.XLOOKUP(1, (HIST_SCORE!$B:$B=PARAMS_MODELO!$B$4) * (HIST_SCORE!$C:$C=A684), HIST_SCORE!$E:$E, "No encontrado")</f>
        <v>PLATA</v>
      </c>
      <c r="X684" s="5" t="str">
        <f>_xlfn.LET(_xlpm.act,MATCH(V684,{"DIAMANTE";"PLATINO";"ORO";"PLATA";"BRONCE";"CERRADO"},0),_xlpm.ant,MATCH(W684,{"DIAMANTE";"PLATINO";"ORO";"PLATA";"BRONCE";"CERRADO"},0),IF(_xlpm.act&lt;_xlpm.ant,"Mejora ↑",IF(_xlpm.act&gt;_xlpm.ant,"Baja ↓","Estable →")))</f>
        <v>Estable →</v>
      </c>
      <c r="Y684" s="5">
        <f>IFERROR(U684-SUMIFS(HIST_SCORE!$D:$D,HIST_SCORE!$B:$B,PARAMS_MODELO!$B$4,HIST_SCORE!$C:$C,$A684),"")</f>
        <v>1.351393623165265</v>
      </c>
      <c r="Z684" s="5" t="str">
        <f t="shared" si="245"/>
        <v>→ Estable</v>
      </c>
      <c r="AA684" s="5">
        <f t="shared" si="246"/>
        <v>578</v>
      </c>
      <c r="AB684" s="5">
        <f>IFERROR(SUMIFS(HIST_SCORE!$F:$F,HIST_SCORE!$B:$B,PARAMS_MODELO!$B$4,HIST_SCORE!$C:$C,$A684),"")</f>
        <v>637</v>
      </c>
      <c r="AC684" s="5">
        <f t="shared" si="247"/>
        <v>59</v>
      </c>
      <c r="AD684" t="str">
        <f t="shared" si="249"/>
        <v/>
      </c>
      <c r="AE6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684="CERRADO",1,IF(V684="BRONCE",_xlpm.cPl,IF(V684="PLATA",_xlpm.cO,IF(V684="ORO",_xlpm.cP,IF(V684="PLATINO",_xlpm.cD,999))))))</f>
        <v>63.199193273331495</v>
      </c>
      <c r="AF6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684="CERRADO",0,IF(V684="BRONCE",1,IF(V684="PLATA",_xlpm.cPl,IF(V684="ORO",_xlpm.cO,IF(V684="PLATINO",_xlpm.cP,_xlpm.cD))))))</f>
        <v>24.506573482968111</v>
      </c>
      <c r="AG684">
        <f t="shared" si="250"/>
        <v>1.5762537426093388</v>
      </c>
      <c r="AH684" t="str">
        <f t="shared" si="251"/>
        <v>CLIENTE</v>
      </c>
      <c r="AI684" t="str">
        <f t="shared" si="248"/>
        <v>🎯 Para subir de categoría, la eje con mayor impacto probable es CLIENTE (coef T). Acción: reducir quejas, mejorar incógnito y empujar reseñas. ΔR aprox: 1,6</v>
      </c>
      <c r="AJ684" s="26">
        <f>_xlfn.LET(_xlpm.piso,AF684,_xlpm.corte,AE684,_xlpm.prog,IF(_xlpm.corte&lt;=_xlpm.piso,0,MAX(0,MIN(1,(U684-_xlpm.piso)/(_xlpm.corte-_xlpm.piso)))),_xlpm.orden,{"DIAMANTE";"PLATINO";"ORO";"PLATA";"BRONCE";"CERRADO"},_xlpm.act,IFERROR(MATCH(V684,_xlpm.orden,0),6),_xlpm.ant,IFERROR(MATCH(W684,_xlpm.orden,0),6),_xlpm.ajmov,IF(_xlpm.act&lt;_xlpm.ant,0.08,IF(_xlpm.act&gt;_xlpm.ant,-0.08,0)),_xlpm.ajcli,IF(T684&lt;0.95,-0.06,0),_xlpm.prob,MAX(0,MIN(1,_xlpm.prog+_xlpm.ajmov+_xlpm.ajcli)),IF(OR(V684="DIAMANTE",V684="CERRADO"),0,ROUND(_xlpm.prob,2)))</f>
        <v>0.91</v>
      </c>
      <c r="AK684" t="str">
        <f t="shared" si="252"/>
        <v>Faltan 1,6 puntos base para subir a la siguiente categoría</v>
      </c>
      <c r="AL684" t="str">
        <f t="shared" si="253"/>
        <v>Margen de seguridad: 37,6 puntos</v>
      </c>
      <c r="AM684">
        <f t="shared" si="254"/>
        <v>0.3</v>
      </c>
      <c r="AN684" t="str">
        <f t="shared" si="255"/>
        <v>PRIORIDAD BAJA – control normal</v>
      </c>
      <c r="AO684">
        <f t="shared" si="256"/>
        <v>6.9878493535819235</v>
      </c>
      <c r="AP684">
        <f t="shared" si="257"/>
        <v>0.61013348562002623</v>
      </c>
      <c r="AQ684">
        <f t="shared" si="258"/>
        <v>0</v>
      </c>
      <c r="AR684">
        <f t="shared" si="259"/>
        <v>0.20999999999999924</v>
      </c>
      <c r="AS684">
        <f t="shared" si="260"/>
        <v>26.6124924229307</v>
      </c>
      <c r="AT684" t="str">
        <f t="shared" si="261"/>
        <v>CLIENTE</v>
      </c>
      <c r="AU684">
        <f t="shared" si="262"/>
        <v>26.6124924229307</v>
      </c>
      <c r="AV684" t="str">
        <f t="shared" si="263"/>
        <v>Mayor retorno probable: CLIENTE (+26,6 puntos finales potenciales).</v>
      </c>
    </row>
    <row r="685" spans="1:48" x14ac:dyDescent="0.3">
      <c r="A685" s="5">
        <v>51015908</v>
      </c>
      <c r="B685" s="5" t="str">
        <f>IFERROR(VLOOKUP(A685,VENTAS!$A$2:$B$1194,2,0),"")</f>
        <v>BELUZZO</v>
      </c>
      <c r="C685" s="5">
        <f>IFERROR(INDEX(VENTAS!$C$2:$E$1194,MATCH(A685,VENTAS!$A$2:$A$1194,0),MATCH(PARAMS_MODELO!$B$2,{"Q1","Q2","Q3"},0)),0)</f>
        <v>34981808.990000002</v>
      </c>
      <c r="D685" s="5">
        <f>IFERROR(INDEX(VENTAS!$F$2:$H$1194,MATCH(A685,VENTAS!$A$2:$A$1194,0),MATCH(PARAMS_MODELO!$B$2,{"Q1","Q2","Q3"},0)),0)</f>
        <v>58881585</v>
      </c>
      <c r="E685" s="8">
        <f t="shared" si="240"/>
        <v>0.68320583469059737</v>
      </c>
      <c r="F685" s="12">
        <f>IF(E685&lt;=PARAMS_MODELO!$B$15,0,IF(E685&gt;=PARAMS_MODELO!$B$17,100,100*MIN(1,(E685-PARAMS_MODELO!$B$15)/(PARAMS_MODELO!$B$16-PARAMS_MODELO!$B$15))))*PARAMS_MODELO!$B$7</f>
        <v>35</v>
      </c>
      <c r="G685" s="5">
        <f t="shared" si="241"/>
        <v>23899776.009999998</v>
      </c>
      <c r="H685" s="5">
        <f>(PARAMS_MODELO!$B$20*(MAX(0,MIN(3,E685))/3)+PARAMS_MODELO!$B$21*(IFERROR(LN(1+MAX(0,G685))/LN(1+MAX(0,MAX($G$2:$G$1194))),0)))*100*PARAMS_MODELO!$B$8</f>
        <v>6.3737682035132384</v>
      </c>
      <c r="I685" s="8">
        <f>E685-PARAMS_MODELO!$B$5</f>
        <v>0.50564299931507084</v>
      </c>
      <c r="J685" s="5">
        <f>IF(I685&lt;=PARAMS_MODELO!$B$18,0,IF(I685&gt;=PARAMS_MODELO!$B$19,100,100*(I685-PARAMS_MODELO!$B$18)/(PARAMS_MODELO!$B$19-PARAMS_MODELO!$B$18)))*PARAMS_MODELO!$B$9</f>
        <v>15</v>
      </c>
      <c r="K685" s="5">
        <f>IFERROR(CHOOSE(MATCH(PARAMS_MODELO!$B$2,{"Q1","Q2","Q3"},0),LOTO!$D685,LOTO!$F685,LOTO!$H685),0)</f>
        <v>2772500</v>
      </c>
      <c r="L685" s="8">
        <f t="shared" si="242"/>
        <v>4.7086028679424984E-2</v>
      </c>
      <c r="M685" s="5">
        <f>MIN(100,IF(PARAMS_MODELO!$B$23=0,0,100*L685/PARAMS_MODELO!$B$23))*PARAMS_MODELO!$B$10</f>
        <v>14.125808603827492</v>
      </c>
      <c r="N685" s="5">
        <f>IFERROR(VLOOKUP(A685,COMPLIANCE!$A$2:$F$1996,6,0),100)</f>
        <v>99.85</v>
      </c>
      <c r="O685" s="5">
        <f>N685*PARAMS_MODELO!$B$11</f>
        <v>9.9849999999999994</v>
      </c>
      <c r="P685" s="5">
        <f>IFERROR(VLOOKUP(A685,DIGITAL!$A$2:$J$2000,7,0),100)</f>
        <v>82</v>
      </c>
      <c r="Q685" s="5">
        <f>IFERROR(P685,0)*PARAMS_MODELO!$B$12</f>
        <v>8.2000000000000011</v>
      </c>
      <c r="R685">
        <f t="shared" si="243"/>
        <v>88.684576807340733</v>
      </c>
      <c r="S685" s="5" t="str">
        <f>IFERROR(VLOOKUP(A685,CLIENTE!$A$2:$N$2000,13,0),1)</f>
        <v>Regular</v>
      </c>
      <c r="T685" s="5">
        <f>IFERROR(VLOOKUP(A685,CLIENTE!$A$2:$N$2000,14,0),1)</f>
        <v>1</v>
      </c>
      <c r="U685" s="5">
        <f t="shared" si="244"/>
        <v>88.684576807340733</v>
      </c>
      <c r="V685" s="5" t="str">
        <f>IF(U685&gt;=MAX(_xlfn.PERCENTILE.INC($U$2:$U$1194,PARAMS_MODELO!$B$50),PARAMS_MODELO!$B$45),"DIAMANTE",IF(U685&gt;=MAX(_xlfn.PERCENTILE.INC($U$2:$U$1194,PARAMS_MODELO!$B$51),PARAMS_MODELO!$B$46),"PLATINO",IF(U685&gt;=MAX(_xlfn.PERCENTILE.INC($U$2:$U$1194,PARAMS_MODELO!$B$52),PARAMS_MODELO!$B$47),"ORO",IF(U685&gt;=MAX(_xlfn.PERCENTILE.INC($U$2:$U$1194,PARAMS_MODELO!$B$53),PARAMS_MODELO!$B$48),"PLATA",IF(U685&gt;=1,"BRONCE","CERRADO")))))</f>
        <v>PLATINO</v>
      </c>
      <c r="W685" s="5" t="str" cm="1">
        <f t="array" ref="W685">_xlfn.XLOOKUP(1, (HIST_SCORE!$B:$B=PARAMS_MODELO!$B$4) * (HIST_SCORE!$C:$C=A685), HIST_SCORE!$E:$E, "No encontrado")</f>
        <v>PLATINO</v>
      </c>
      <c r="X685" s="5" t="str">
        <f>_xlfn.LET(_xlpm.act,MATCH(V685,{"DIAMANTE";"PLATINO";"ORO";"PLATA";"BRONCE";"CERRADO"},0),_xlpm.ant,MATCH(W685,{"DIAMANTE";"PLATINO";"ORO";"PLATA";"BRONCE";"CERRADO"},0),IF(_xlpm.act&lt;_xlpm.ant,"Mejora ↑",IF(_xlpm.act&gt;_xlpm.ant,"Baja ↓","Estable →")))</f>
        <v>Estable →</v>
      </c>
      <c r="Y685" s="5">
        <f>IFERROR(U685-SUMIFS(HIST_SCORE!$D:$D,HIST_SCORE!$B:$B,PARAMS_MODELO!$B$4,HIST_SCORE!$C:$C,$A685),"")</f>
        <v>-0.44901177316694429</v>
      </c>
      <c r="Z685" s="5" t="str">
        <f t="shared" si="245"/>
        <v>→ Estable</v>
      </c>
      <c r="AA685" s="5">
        <f t="shared" si="246"/>
        <v>177</v>
      </c>
      <c r="AB685" s="5">
        <f>IFERROR(SUMIFS(HIST_SCORE!$F:$F,HIST_SCORE!$B:$B,PARAMS_MODELO!$B$4,HIST_SCORE!$C:$C,$A685),"")</f>
        <v>148</v>
      </c>
      <c r="AC685" s="5">
        <f t="shared" si="247"/>
        <v>-29</v>
      </c>
      <c r="AD685" t="str">
        <f t="shared" si="249"/>
        <v/>
      </c>
      <c r="AE6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685="CERRADO",1,IF(V685="BRONCE",_xlpm.cPl,IF(V685="PLATA",_xlpm.cO,IF(V685="ORO",_xlpm.cP,IF(V685="PLATINO",_xlpm.cD,999))))))</f>
        <v>96.054919694466676</v>
      </c>
      <c r="AF6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685="CERRADO",0,IF(V685="BRONCE",1,IF(V685="PLATA",_xlpm.cPl,IF(V685="ORO",_xlpm.cO,IF(V685="PLATINO",_xlpm.cP,_xlpm.cD))))))</f>
        <v>86.439123873763251</v>
      </c>
      <c r="AG685">
        <f t="shared" si="250"/>
        <v>7.3703428871259433</v>
      </c>
      <c r="AH685" t="str">
        <f t="shared" si="251"/>
        <v>VENTAS</v>
      </c>
      <c r="AI685" t="str">
        <f t="shared" si="248"/>
        <v>🎯 Para subir de categoría, eje VENTAS / IMPACTO ABSOLUTO (H). Acción: metas semanales + activación comercial + seguimiento del asesor. ΔR aprox: 7,4</v>
      </c>
      <c r="AJ685" s="26">
        <f>_xlfn.LET(_xlpm.piso,AF685,_xlpm.corte,AE685,_xlpm.prog,IF(_xlpm.corte&lt;=_xlpm.piso,0,MAX(0,MIN(1,(U685-_xlpm.piso)/(_xlpm.corte-_xlpm.piso)))),_xlpm.orden,{"DIAMANTE";"PLATINO";"ORO";"PLATA";"BRONCE";"CERRADO"},_xlpm.act,IFERROR(MATCH(V685,_xlpm.orden,0),6),_xlpm.ant,IFERROR(MATCH(W685,_xlpm.orden,0),6),_xlpm.ajmov,IF(_xlpm.act&lt;_xlpm.ant,0.08,IF(_xlpm.act&gt;_xlpm.ant,-0.08,0)),_xlpm.ajcli,IF(T685&lt;0.95,-0.06,0),_xlpm.prob,MAX(0,MIN(1,_xlpm.prog+_xlpm.ajmov+_xlpm.ajcli)),IF(OR(V685="DIAMANTE",V685="CERRADO"),0,ROUND(_xlpm.prob,2)))</f>
        <v>0.23</v>
      </c>
      <c r="AK685" t="str">
        <f t="shared" si="252"/>
        <v>Faltan 7,4 puntos base para subir a la siguiente categoría</v>
      </c>
      <c r="AL685" t="str">
        <f t="shared" si="253"/>
        <v>Margen de seguridad: 2,2 puntos</v>
      </c>
      <c r="AM685">
        <f t="shared" si="254"/>
        <v>0.6</v>
      </c>
      <c r="AN685" t="str">
        <f t="shared" si="255"/>
        <v>PRIORIDAD MEDIA – seguimiento del asesor</v>
      </c>
      <c r="AO685">
        <f t="shared" si="256"/>
        <v>8.4888010717823477</v>
      </c>
      <c r="AP685">
        <f t="shared" si="257"/>
        <v>0.87419139617250785</v>
      </c>
      <c r="AQ685">
        <f t="shared" si="258"/>
        <v>1.5000000000000568E-2</v>
      </c>
      <c r="AR685">
        <f t="shared" si="259"/>
        <v>1.7999999999999989</v>
      </c>
      <c r="AS685">
        <f t="shared" si="260"/>
        <v>0</v>
      </c>
      <c r="AT685" t="str">
        <f t="shared" si="261"/>
        <v>VENTAS</v>
      </c>
      <c r="AU685">
        <f t="shared" si="262"/>
        <v>8.4888010717823477</v>
      </c>
      <c r="AV685" t="str">
        <f t="shared" si="263"/>
        <v>Mayor retorno probable: VENTAS (+8,5 puntos finales potenciales).</v>
      </c>
    </row>
    <row r="686" spans="1:48" x14ac:dyDescent="0.3">
      <c r="A686" s="5">
        <v>51015924</v>
      </c>
      <c r="B686" s="5" t="str">
        <f>IFERROR(VLOOKUP(A686,VENTAS!$A$2:$B$1194,2,0),"")</f>
        <v>ROBERTS</v>
      </c>
      <c r="C686" s="5">
        <f>IFERROR(INDEX(VENTAS!$C$2:$E$1194,MATCH(A686,VENTAS!$A$2:$A$1194,0),MATCH(PARAMS_MODELO!$B$2,{"Q1","Q2","Q3"},0)),0)</f>
        <v>33219812.57</v>
      </c>
      <c r="D686" s="5">
        <f>IFERROR(INDEX(VENTAS!$F$2:$H$1194,MATCH(A686,VENTAS!$A$2:$A$1194,0),MATCH(PARAMS_MODELO!$B$2,{"Q1","Q2","Q3"},0)),0)</f>
        <v>58871856</v>
      </c>
      <c r="E686" s="8">
        <f t="shared" si="240"/>
        <v>0.77219109457486024</v>
      </c>
      <c r="F686" s="12">
        <f>IF(E686&lt;=PARAMS_MODELO!$B$15,0,IF(E686&gt;=PARAMS_MODELO!$B$17,100,100*MIN(1,(E686-PARAMS_MODELO!$B$15)/(PARAMS_MODELO!$B$16-PARAMS_MODELO!$B$15))))*PARAMS_MODELO!$B$7</f>
        <v>35</v>
      </c>
      <c r="G686" s="5">
        <f t="shared" si="241"/>
        <v>25652043.43</v>
      </c>
      <c r="H686" s="5">
        <f>(PARAMS_MODELO!$B$20*(MAX(0,MIN(3,E686))/3)+PARAMS_MODELO!$B$21*(IFERROR(LN(1+MAX(0,G686))/LN(1+MAX(0,MAX($G$2:$G$1194))),0)))*100*PARAMS_MODELO!$B$8</f>
        <v>6.7018023723665392</v>
      </c>
      <c r="I686" s="8">
        <f>E686-PARAMS_MODELO!$B$5</f>
        <v>0.59462825919933371</v>
      </c>
      <c r="J686" s="5">
        <f>IF(I686&lt;=PARAMS_MODELO!$B$18,0,IF(I686&gt;=PARAMS_MODELO!$B$19,100,100*(I686-PARAMS_MODELO!$B$18)/(PARAMS_MODELO!$B$19-PARAMS_MODELO!$B$18)))*PARAMS_MODELO!$B$9</f>
        <v>15</v>
      </c>
      <c r="K686" s="5">
        <f>IFERROR(CHOOSE(MATCH(PARAMS_MODELO!$B$2,{"Q1","Q2","Q3"},0),LOTO!$D686,LOTO!$F686,LOTO!$H686),0)</f>
        <v>2770000</v>
      </c>
      <c r="L686" s="8">
        <f t="shared" si="242"/>
        <v>4.7051344873516469E-2</v>
      </c>
      <c r="M686" s="5">
        <f>MIN(100,IF(PARAMS_MODELO!$B$23=0,0,100*L686/PARAMS_MODELO!$B$23))*PARAMS_MODELO!$B$10</f>
        <v>14.115403462054941</v>
      </c>
      <c r="N686" s="5">
        <f>IFERROR(VLOOKUP(A686,COMPLIANCE!$A$2:$F$1996,6,0),100)</f>
        <v>100</v>
      </c>
      <c r="O686" s="5">
        <f>N686*PARAMS_MODELO!$B$11</f>
        <v>10</v>
      </c>
      <c r="P686" s="5">
        <f>IFERROR(VLOOKUP(A686,DIGITAL!$A$2:$J$2000,7,0),100)</f>
        <v>55</v>
      </c>
      <c r="Q686" s="5">
        <f>IFERROR(P686,0)*PARAMS_MODELO!$B$12</f>
        <v>5.5</v>
      </c>
      <c r="R686">
        <f t="shared" si="243"/>
        <v>86.317205834421472</v>
      </c>
      <c r="S686" s="5" t="str">
        <f>IFERROR(VLOOKUP(A686,CLIENTE!$A$2:$N$2000,13,0),1)</f>
        <v>Regular</v>
      </c>
      <c r="T686" s="5">
        <f>IFERROR(VLOOKUP(A686,CLIENTE!$A$2:$N$2000,14,0),1)</f>
        <v>1</v>
      </c>
      <c r="U686" s="5">
        <f t="shared" si="244"/>
        <v>86.317205834421472</v>
      </c>
      <c r="V686" s="5" t="str">
        <f>IF(U686&gt;=MAX(_xlfn.PERCENTILE.INC($U$2:$U$1194,PARAMS_MODELO!$B$50),PARAMS_MODELO!$B$45),"DIAMANTE",IF(U686&gt;=MAX(_xlfn.PERCENTILE.INC($U$2:$U$1194,PARAMS_MODELO!$B$51),PARAMS_MODELO!$B$46),"PLATINO",IF(U686&gt;=MAX(_xlfn.PERCENTILE.INC($U$2:$U$1194,PARAMS_MODELO!$B$52),PARAMS_MODELO!$B$47),"ORO",IF(U686&gt;=MAX(_xlfn.PERCENTILE.INC($U$2:$U$1194,PARAMS_MODELO!$B$53),PARAMS_MODELO!$B$48),"PLATA",IF(U686&gt;=1,"BRONCE","CERRADO")))))</f>
        <v>ORO</v>
      </c>
      <c r="W686" s="5" t="str" cm="1">
        <f t="array" ref="W686">_xlfn.XLOOKUP(1, (HIST_SCORE!$B:$B=PARAMS_MODELO!$B$4) * (HIST_SCORE!$C:$C=A686), HIST_SCORE!$E:$E, "No encontrado")</f>
        <v>PLATINO</v>
      </c>
      <c r="X686" s="5" t="str">
        <f>_xlfn.LET(_xlpm.act,MATCH(V686,{"DIAMANTE";"PLATINO";"ORO";"PLATA";"BRONCE";"CERRADO"},0),_xlpm.ant,MATCH(W686,{"DIAMANTE";"PLATINO";"ORO";"PLATA";"BRONCE";"CERRADO"},0),IF(_xlpm.act&lt;_xlpm.ant,"Mejora ↑",IF(_xlpm.act&gt;_xlpm.ant,"Baja ↓","Estable →")))</f>
        <v>Baja ↓</v>
      </c>
      <c r="Y686" s="5">
        <f>IFERROR(U686-SUMIFS(HIST_SCORE!$D:$D,HIST_SCORE!$B:$B,PARAMS_MODELO!$B$4,HIST_SCORE!$C:$C,$A686),"")</f>
        <v>-3.7724255808753782</v>
      </c>
      <c r="Z686" s="5" t="str">
        <f t="shared" si="245"/>
        <v>→ Estable</v>
      </c>
      <c r="AA686" s="5">
        <f t="shared" si="246"/>
        <v>242</v>
      </c>
      <c r="AB686" s="5">
        <f>IFERROR(SUMIFS(HIST_SCORE!$F:$F,HIST_SCORE!$B:$B,PARAMS_MODELO!$B$4,HIST_SCORE!$C:$C,$A686),"")</f>
        <v>129</v>
      </c>
      <c r="AC686" s="5">
        <f t="shared" si="247"/>
        <v>-113</v>
      </c>
      <c r="AD686" t="str">
        <f t="shared" si="249"/>
        <v>Sostener base y reforzar mix</v>
      </c>
      <c r="AE6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686="CERRADO",1,IF(V686="BRONCE",_xlpm.cPl,IF(V686="PLATA",_xlpm.cO,IF(V686="ORO",_xlpm.cP,IF(V686="PLATINO",_xlpm.cD,999))))))</f>
        <v>86.439123873763251</v>
      </c>
      <c r="AF6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686="CERRADO",0,IF(V686="BRONCE",1,IF(V686="PLATA",_xlpm.cPl,IF(V686="ORO",_xlpm.cO,IF(V686="PLATINO",_xlpm.cP,_xlpm.cD))))))</f>
        <v>63.199193273331495</v>
      </c>
      <c r="AG686">
        <f t="shared" si="250"/>
        <v>0.12191803934177869</v>
      </c>
      <c r="AH686" t="str">
        <f t="shared" si="251"/>
        <v>VENTAS</v>
      </c>
      <c r="AI686" t="str">
        <f t="shared" si="248"/>
        <v>🎯 Para subir de categoría, eje VENTAS / IMPACTO ABSOLUTO (H). Acción: metas semanales + activación comercial + seguimiento del asesor. ΔR aprox: 0,1</v>
      </c>
      <c r="AJ686" s="26">
        <f>_xlfn.LET(_xlpm.piso,AF686,_xlpm.corte,AE686,_xlpm.prog,IF(_xlpm.corte&lt;=_xlpm.piso,0,MAX(0,MIN(1,(U686-_xlpm.piso)/(_xlpm.corte-_xlpm.piso)))),_xlpm.orden,{"DIAMANTE";"PLATINO";"ORO";"PLATA";"BRONCE";"CERRADO"},_xlpm.act,IFERROR(MATCH(V686,_xlpm.orden,0),6),_xlpm.ant,IFERROR(MATCH(W686,_xlpm.orden,0),6),_xlpm.ajmov,IF(_xlpm.act&lt;_xlpm.ant,0.08,IF(_xlpm.act&gt;_xlpm.ant,-0.08,0)),_xlpm.ajcli,IF(T686&lt;0.95,-0.06,0),_xlpm.prob,MAX(0,MIN(1,_xlpm.prog+_xlpm.ajmov+_xlpm.ajcli)),IF(OR(V686="DIAMANTE",V686="CERRADO"),0,ROUND(_xlpm.prob,2)))</f>
        <v>0.91</v>
      </c>
      <c r="AK686" t="str">
        <f t="shared" si="252"/>
        <v>Faltan 0,1 puntos base para subir a la siguiente categoría</v>
      </c>
      <c r="AL686" t="str">
        <f t="shared" si="253"/>
        <v>Margen de seguridad: 23,1 puntos</v>
      </c>
      <c r="AM686">
        <f t="shared" si="254"/>
        <v>0.04</v>
      </c>
      <c r="AN686" t="str">
        <f t="shared" si="255"/>
        <v>PRIORIDAD BAJA – control normal</v>
      </c>
      <c r="AO686">
        <f t="shared" si="256"/>
        <v>8.1607669029290477</v>
      </c>
      <c r="AP686">
        <f t="shared" si="257"/>
        <v>0.88459653794505932</v>
      </c>
      <c r="AQ686">
        <f t="shared" si="258"/>
        <v>0</v>
      </c>
      <c r="AR686">
        <f t="shared" si="259"/>
        <v>4.5</v>
      </c>
      <c r="AS686">
        <f t="shared" si="260"/>
        <v>0</v>
      </c>
      <c r="AT686" t="str">
        <f t="shared" si="261"/>
        <v>VENTAS</v>
      </c>
      <c r="AU686">
        <f t="shared" si="262"/>
        <v>8.1607669029290477</v>
      </c>
      <c r="AV686" t="str">
        <f t="shared" si="263"/>
        <v>Mayor retorno probable: VENTAS (+8,2 puntos finales potenciales).</v>
      </c>
    </row>
    <row r="687" spans="1:48" x14ac:dyDescent="0.3">
      <c r="A687" s="5">
        <v>51034252</v>
      </c>
      <c r="B687" s="5" t="str">
        <f>IFERROR(VLOOKUP(A687,VENTAS!$A$2:$B$1194,2,0),"")</f>
        <v>LÓPEZ</v>
      </c>
      <c r="C687" s="5">
        <f>IFERROR(INDEX(VENTAS!$C$2:$E$1194,MATCH(A687,VENTAS!$A$2:$A$1194,0),MATCH(PARAMS_MODELO!$B$2,{"Q1","Q2","Q3"},0)),0)</f>
        <v>28582990.390000001</v>
      </c>
      <c r="D687" s="5">
        <f>IFERROR(INDEX(VENTAS!$F$2:$H$1194,MATCH(A687,VENTAS!$A$2:$A$1194,0),MATCH(PARAMS_MODELO!$B$2,{"Q1","Q2","Q3"},0)),0)</f>
        <v>58821291</v>
      </c>
      <c r="E687" s="8">
        <f t="shared" si="240"/>
        <v>1.057912422647671</v>
      </c>
      <c r="F687" s="12">
        <f>IF(E687&lt;=PARAMS_MODELO!$B$15,0,IF(E687&gt;=PARAMS_MODELO!$B$17,100,100*MIN(1,(E687-PARAMS_MODELO!$B$15)/(PARAMS_MODELO!$B$16-PARAMS_MODELO!$B$15))))*PARAMS_MODELO!$B$7</f>
        <v>35</v>
      </c>
      <c r="G687" s="5">
        <f t="shared" si="241"/>
        <v>30238300.609999999</v>
      </c>
      <c r="H687" s="5">
        <f>(PARAMS_MODELO!$B$20*(MAX(0,MIN(3,E687))/3)+PARAMS_MODELO!$B$21*(IFERROR(LN(1+MAX(0,G687))/LN(1+MAX(0,MAX($G$2:$G$1194))),0)))*100*PARAMS_MODELO!$B$8</f>
        <v>7.7403848617854827</v>
      </c>
      <c r="I687" s="8">
        <f>E687-PARAMS_MODELO!$B$5</f>
        <v>0.88034958727214452</v>
      </c>
      <c r="J687" s="5">
        <f>IF(I687&lt;=PARAMS_MODELO!$B$18,0,IF(I687&gt;=PARAMS_MODELO!$B$19,100,100*(I687-PARAMS_MODELO!$B$18)/(PARAMS_MODELO!$B$19-PARAMS_MODELO!$B$18)))*PARAMS_MODELO!$B$9</f>
        <v>15</v>
      </c>
      <c r="K687" s="5">
        <f>IFERROR(CHOOSE(MATCH(PARAMS_MODELO!$B$2,{"Q1","Q2","Q3"},0),LOTO!$D687,LOTO!$F687,LOTO!$H687),0)</f>
        <v>2767500</v>
      </c>
      <c r="L687" s="8">
        <f t="shared" si="242"/>
        <v>4.7049290366646325E-2</v>
      </c>
      <c r="M687" s="5">
        <f>MIN(100,IF(PARAMS_MODELO!$B$23=0,0,100*L687/PARAMS_MODELO!$B$23))*PARAMS_MODELO!$B$10</f>
        <v>14.114787109993895</v>
      </c>
      <c r="N687" s="5">
        <f>IFERROR(VLOOKUP(A687,COMPLIANCE!$A$2:$F$1996,6,0),100)</f>
        <v>100</v>
      </c>
      <c r="O687" s="5">
        <f>N687*PARAMS_MODELO!$B$11</f>
        <v>10</v>
      </c>
      <c r="P687" s="5">
        <f>IFERROR(VLOOKUP(A687,DIGITAL!$A$2:$J$2000,7,0),100)</f>
        <v>86</v>
      </c>
      <c r="Q687" s="5">
        <f>IFERROR(P687,0)*PARAMS_MODELO!$B$12</f>
        <v>8.6</v>
      </c>
      <c r="R687">
        <f t="shared" si="243"/>
        <v>90.455171971779379</v>
      </c>
      <c r="S687" s="5" t="str">
        <f>IFERROR(VLOOKUP(A687,CLIENTE!$A$2:$N$2000,13,0),1)</f>
        <v>Regular</v>
      </c>
      <c r="T687" s="5">
        <f>IFERROR(VLOOKUP(A687,CLIENTE!$A$2:$N$2000,14,0),1)</f>
        <v>1</v>
      </c>
      <c r="U687" s="5">
        <f t="shared" si="244"/>
        <v>90.455171971779379</v>
      </c>
      <c r="V687" s="5" t="str">
        <f>IF(U687&gt;=MAX(_xlfn.PERCENTILE.INC($U$2:$U$1194,PARAMS_MODELO!$B$50),PARAMS_MODELO!$B$45),"DIAMANTE",IF(U687&gt;=MAX(_xlfn.PERCENTILE.INC($U$2:$U$1194,PARAMS_MODELO!$B$51),PARAMS_MODELO!$B$46),"PLATINO",IF(U687&gt;=MAX(_xlfn.PERCENTILE.INC($U$2:$U$1194,PARAMS_MODELO!$B$52),PARAMS_MODELO!$B$47),"ORO",IF(U687&gt;=MAX(_xlfn.PERCENTILE.INC($U$2:$U$1194,PARAMS_MODELO!$B$53),PARAMS_MODELO!$B$48),"PLATA",IF(U687&gt;=1,"BRONCE","CERRADO")))))</f>
        <v>PLATINO</v>
      </c>
      <c r="W687" s="5" t="str" cm="1">
        <f t="array" ref="W687">_xlfn.XLOOKUP(1, (HIST_SCORE!$B:$B=PARAMS_MODELO!$B$4) * (HIST_SCORE!$C:$C=A687), HIST_SCORE!$E:$E, "No encontrado")</f>
        <v>PLATINO</v>
      </c>
      <c r="X687" s="5" t="str">
        <f>_xlfn.LET(_xlpm.act,MATCH(V687,{"DIAMANTE";"PLATINO";"ORO";"PLATA";"BRONCE";"CERRADO"},0),_xlpm.ant,MATCH(W687,{"DIAMANTE";"PLATINO";"ORO";"PLATA";"BRONCE";"CERRADO"},0),IF(_xlpm.act&lt;_xlpm.ant,"Mejora ↑",IF(_xlpm.act&gt;_xlpm.ant,"Baja ↓","Estable →")))</f>
        <v>Estable →</v>
      </c>
      <c r="Y687" s="5">
        <f>IFERROR(U687-SUMIFS(HIST_SCORE!$D:$D,HIST_SCORE!$B:$B,PARAMS_MODELO!$B$4,HIST_SCORE!$C:$C,$A687),"")</f>
        <v>2.7305198008295548</v>
      </c>
      <c r="Z687" s="5" t="str">
        <f t="shared" si="245"/>
        <v>→ Estable</v>
      </c>
      <c r="AA687" s="5">
        <f t="shared" si="246"/>
        <v>126</v>
      </c>
      <c r="AB687" s="5">
        <f>IFERROR(SUMIFS(HIST_SCORE!$F:$F,HIST_SCORE!$B:$B,PARAMS_MODELO!$B$4,HIST_SCORE!$C:$C,$A687),"")</f>
        <v>189</v>
      </c>
      <c r="AC687" s="5">
        <f t="shared" si="247"/>
        <v>63</v>
      </c>
      <c r="AD687" t="str">
        <f t="shared" si="249"/>
        <v/>
      </c>
      <c r="AE6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687="CERRADO",1,IF(V687="BRONCE",_xlpm.cPl,IF(V687="PLATA",_xlpm.cO,IF(V687="ORO",_xlpm.cP,IF(V687="PLATINO",_xlpm.cD,999))))))</f>
        <v>96.054919694466676</v>
      </c>
      <c r="AF6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687="CERRADO",0,IF(V687="BRONCE",1,IF(V687="PLATA",_xlpm.cPl,IF(V687="ORO",_xlpm.cO,IF(V687="PLATINO",_xlpm.cP,_xlpm.cD))))))</f>
        <v>86.439123873763251</v>
      </c>
      <c r="AG687">
        <f t="shared" si="250"/>
        <v>5.5997477226872974</v>
      </c>
      <c r="AH687" t="str">
        <f t="shared" si="251"/>
        <v>VENTAS</v>
      </c>
      <c r="AI687" t="str">
        <f t="shared" si="248"/>
        <v>🎯 Para subir de categoría, eje VENTAS / IMPACTO ABSOLUTO (H). Acción: metas semanales + activación comercial + seguimiento del asesor. ΔR aprox: 5,6</v>
      </c>
      <c r="AJ687" s="26">
        <f>_xlfn.LET(_xlpm.piso,AF687,_xlpm.corte,AE687,_xlpm.prog,IF(_xlpm.corte&lt;=_xlpm.piso,0,MAX(0,MIN(1,(U687-_xlpm.piso)/(_xlpm.corte-_xlpm.piso)))),_xlpm.orden,{"DIAMANTE";"PLATINO";"ORO";"PLATA";"BRONCE";"CERRADO"},_xlpm.act,IFERROR(MATCH(V687,_xlpm.orden,0),6),_xlpm.ant,IFERROR(MATCH(W687,_xlpm.orden,0),6),_xlpm.ajmov,IF(_xlpm.act&lt;_xlpm.ant,0.08,IF(_xlpm.act&gt;_xlpm.ant,-0.08,0)),_xlpm.ajcli,IF(T687&lt;0.95,-0.06,0),_xlpm.prob,MAX(0,MIN(1,_xlpm.prog+_xlpm.ajmov+_xlpm.ajcli)),IF(OR(V687="DIAMANTE",V687="CERRADO"),0,ROUND(_xlpm.prob,2)))</f>
        <v>0.42</v>
      </c>
      <c r="AK687" t="str">
        <f t="shared" si="252"/>
        <v>Faltan 5,6 puntos base para subir a la siguiente categoría</v>
      </c>
      <c r="AL687" t="str">
        <f t="shared" si="253"/>
        <v>Margen de seguridad: 4,0 puntos</v>
      </c>
      <c r="AM687">
        <f t="shared" si="254"/>
        <v>0.46</v>
      </c>
      <c r="AN687" t="str">
        <f t="shared" si="255"/>
        <v>PRIORIDAD MEDIA – seguimiento del asesor</v>
      </c>
      <c r="AO687">
        <f t="shared" si="256"/>
        <v>7.122184413510098</v>
      </c>
      <c r="AP687">
        <f t="shared" si="257"/>
        <v>0.88521289000610537</v>
      </c>
      <c r="AQ687">
        <f t="shared" si="258"/>
        <v>0</v>
      </c>
      <c r="AR687">
        <f t="shared" si="259"/>
        <v>1.4000000000000004</v>
      </c>
      <c r="AS687">
        <f t="shared" si="260"/>
        <v>0</v>
      </c>
      <c r="AT687" t="str">
        <f t="shared" si="261"/>
        <v>VENTAS</v>
      </c>
      <c r="AU687">
        <f t="shared" si="262"/>
        <v>7.122184413510098</v>
      </c>
      <c r="AV687" t="str">
        <f t="shared" si="263"/>
        <v>Mayor retorno probable: VENTAS (+7,1 puntos finales potenciales).</v>
      </c>
    </row>
    <row r="688" spans="1:48" x14ac:dyDescent="0.3">
      <c r="A688" s="5">
        <v>51017676</v>
      </c>
      <c r="B688" s="5" t="str">
        <f>IFERROR(VLOOKUP(A688,VENTAS!$A$2:$B$1194,2,0),"")</f>
        <v>PRADES</v>
      </c>
      <c r="C688" s="5">
        <f>IFERROR(INDEX(VENTAS!$C$2:$E$1194,MATCH(A688,VENTAS!$A$2:$A$1194,0),MATCH(PARAMS_MODELO!$B$2,{"Q1","Q2","Q3"},0)),0)</f>
        <v>43488749.039999999</v>
      </c>
      <c r="D688" s="5">
        <f>IFERROR(INDEX(VENTAS!$F$2:$H$1194,MATCH(A688,VENTAS!$A$2:$A$1194,0),MATCH(PARAMS_MODELO!$B$2,{"Q1","Q2","Q3"},0)),0)</f>
        <v>58812564</v>
      </c>
      <c r="E688" s="8">
        <f t="shared" si="240"/>
        <v>0.35236274434809545</v>
      </c>
      <c r="F688" s="12">
        <f>IF(E688&lt;=PARAMS_MODELO!$B$15,0,IF(E688&gt;=PARAMS_MODELO!$B$17,100,100*MIN(1,(E688-PARAMS_MODELO!$B$15)/(PARAMS_MODELO!$B$16-PARAMS_MODELO!$B$15))))*PARAMS_MODELO!$B$7</f>
        <v>35</v>
      </c>
      <c r="G688" s="5">
        <f t="shared" si="241"/>
        <v>15323814.960000001</v>
      </c>
      <c r="H688" s="5">
        <f>(PARAMS_MODELO!$B$20*(MAX(0,MIN(3,E688))/3)+PARAMS_MODELO!$B$21*(IFERROR(LN(1+MAX(0,G688))/LN(1+MAX(0,MAX($G$2:$G$1194))),0)))*100*PARAMS_MODELO!$B$8</f>
        <v>5.1116295445774949</v>
      </c>
      <c r="I688" s="8">
        <f>E688-PARAMS_MODELO!$B$5</f>
        <v>0.17479990897256892</v>
      </c>
      <c r="J688" s="5">
        <f>IF(I688&lt;=PARAMS_MODELO!$B$18,0,IF(I688&gt;=PARAMS_MODELO!$B$19,100,100*(I688-PARAMS_MODELO!$B$18)/(PARAMS_MODELO!$B$19-PARAMS_MODELO!$B$18)))*PARAMS_MODELO!$B$9</f>
        <v>15</v>
      </c>
      <c r="K688" s="5">
        <f>IFERROR(CHOOSE(MATCH(PARAMS_MODELO!$B$2,{"Q1","Q2","Q3"},0),LOTO!$D688,LOTO!$F688,LOTO!$H688),0)</f>
        <v>2760000</v>
      </c>
      <c r="L688" s="8">
        <f t="shared" si="242"/>
        <v>4.6928748081787423E-2</v>
      </c>
      <c r="M688" s="5">
        <f>MIN(100,IF(PARAMS_MODELO!$B$23=0,0,100*L688/PARAMS_MODELO!$B$23))*PARAMS_MODELO!$B$10</f>
        <v>14.078624424536224</v>
      </c>
      <c r="N688" s="5">
        <f>IFERROR(VLOOKUP(A688,COMPLIANCE!$A$2:$F$1996,6,0),100)</f>
        <v>100</v>
      </c>
      <c r="O688" s="5">
        <f>N688*PARAMS_MODELO!$B$11</f>
        <v>10</v>
      </c>
      <c r="P688" s="5">
        <f>IFERROR(VLOOKUP(A688,DIGITAL!$A$2:$J$2000,7,0),100)</f>
        <v>63</v>
      </c>
      <c r="Q688" s="5">
        <f>IFERROR(P688,0)*PARAMS_MODELO!$B$12</f>
        <v>6.3000000000000007</v>
      </c>
      <c r="R688">
        <f t="shared" si="243"/>
        <v>85.490253969113724</v>
      </c>
      <c r="S688" s="5" t="str">
        <f>IFERROR(VLOOKUP(A688,CLIENTE!$A$2:$N$2000,13,0),1)</f>
        <v>Regular</v>
      </c>
      <c r="T688" s="5">
        <f>IFERROR(VLOOKUP(A688,CLIENTE!$A$2:$N$2000,14,0),1)</f>
        <v>1</v>
      </c>
      <c r="U688" s="5">
        <f t="shared" si="244"/>
        <v>85.490253969113724</v>
      </c>
      <c r="V688" s="5" t="str">
        <f>IF(U688&gt;=MAX(_xlfn.PERCENTILE.INC($U$2:$U$1194,PARAMS_MODELO!$B$50),PARAMS_MODELO!$B$45),"DIAMANTE",IF(U688&gt;=MAX(_xlfn.PERCENTILE.INC($U$2:$U$1194,PARAMS_MODELO!$B$51),PARAMS_MODELO!$B$46),"PLATINO",IF(U688&gt;=MAX(_xlfn.PERCENTILE.INC($U$2:$U$1194,PARAMS_MODELO!$B$52),PARAMS_MODELO!$B$47),"ORO",IF(U688&gt;=MAX(_xlfn.PERCENTILE.INC($U$2:$U$1194,PARAMS_MODELO!$B$53),PARAMS_MODELO!$B$48),"PLATA",IF(U688&gt;=1,"BRONCE","CERRADO")))))</f>
        <v>ORO</v>
      </c>
      <c r="W688" s="5" t="str" cm="1">
        <f t="array" ref="W688">_xlfn.XLOOKUP(1, (HIST_SCORE!$B:$B=PARAMS_MODELO!$B$4) * (HIST_SCORE!$C:$C=A688), HIST_SCORE!$E:$E, "No encontrado")</f>
        <v>PLATINO</v>
      </c>
      <c r="X688" s="5" t="str">
        <f>_xlfn.LET(_xlpm.act,MATCH(V688,{"DIAMANTE";"PLATINO";"ORO";"PLATA";"BRONCE";"CERRADO"},0),_xlpm.ant,MATCH(W688,{"DIAMANTE";"PLATINO";"ORO";"PLATA";"BRONCE";"CERRADO"},0),IF(_xlpm.act&lt;_xlpm.ant,"Mejora ↑",IF(_xlpm.act&gt;_xlpm.ant,"Baja ↓","Estable →")))</f>
        <v>Baja ↓</v>
      </c>
      <c r="Y688" s="5">
        <f>IFERROR(U688-SUMIFS(HIST_SCORE!$D:$D,HIST_SCORE!$B:$B,PARAMS_MODELO!$B$4,HIST_SCORE!$C:$C,$A688),"")</f>
        <v>-1.2789157933200102</v>
      </c>
      <c r="Z688" s="5" t="str">
        <f t="shared" si="245"/>
        <v>→ Estable</v>
      </c>
      <c r="AA688" s="5">
        <f t="shared" si="246"/>
        <v>267</v>
      </c>
      <c r="AB688" s="5">
        <f>IFERROR(SUMIFS(HIST_SCORE!$F:$F,HIST_SCORE!$B:$B,PARAMS_MODELO!$B$4,HIST_SCORE!$C:$C,$A688),"")</f>
        <v>206</v>
      </c>
      <c r="AC688" s="5">
        <f t="shared" si="247"/>
        <v>-61</v>
      </c>
      <c r="AD688" t="str">
        <f t="shared" si="249"/>
        <v>Sostener base y reforzar mix</v>
      </c>
      <c r="AE6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688="CERRADO",1,IF(V688="BRONCE",_xlpm.cPl,IF(V688="PLATA",_xlpm.cO,IF(V688="ORO",_xlpm.cP,IF(V688="PLATINO",_xlpm.cD,999))))))</f>
        <v>86.439123873763251</v>
      </c>
      <c r="AF6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688="CERRADO",0,IF(V688="BRONCE",1,IF(V688="PLATA",_xlpm.cPl,IF(V688="ORO",_xlpm.cO,IF(V688="PLATINO",_xlpm.cP,_xlpm.cD))))))</f>
        <v>63.199193273331495</v>
      </c>
      <c r="AG688">
        <f t="shared" si="250"/>
        <v>0.94886990464952703</v>
      </c>
      <c r="AH688" t="str">
        <f t="shared" si="251"/>
        <v>VENTAS</v>
      </c>
      <c r="AI688" t="str">
        <f t="shared" si="248"/>
        <v>🎯 Para subir de categoría, eje VENTAS / IMPACTO ABSOLUTO (H). Acción: metas semanales + activación comercial + seguimiento del asesor. ΔR aprox: 0,9</v>
      </c>
      <c r="AJ688" s="26">
        <f>_xlfn.LET(_xlpm.piso,AF688,_xlpm.corte,AE688,_xlpm.prog,IF(_xlpm.corte&lt;=_xlpm.piso,0,MAX(0,MIN(1,(U688-_xlpm.piso)/(_xlpm.corte-_xlpm.piso)))),_xlpm.orden,{"DIAMANTE";"PLATINO";"ORO";"PLATA";"BRONCE";"CERRADO"},_xlpm.act,IFERROR(MATCH(V688,_xlpm.orden,0),6),_xlpm.ant,IFERROR(MATCH(W688,_xlpm.orden,0),6),_xlpm.ajmov,IF(_xlpm.act&lt;_xlpm.ant,0.08,IF(_xlpm.act&gt;_xlpm.ant,-0.08,0)),_xlpm.ajcli,IF(T688&lt;0.95,-0.06,0),_xlpm.prob,MAX(0,MIN(1,_xlpm.prog+_xlpm.ajmov+_xlpm.ajcli)),IF(OR(V688="DIAMANTE",V688="CERRADO"),0,ROUND(_xlpm.prob,2)))</f>
        <v>0.88</v>
      </c>
      <c r="AK688" t="str">
        <f t="shared" si="252"/>
        <v>Faltan 0,9 puntos base para subir a la siguiente categoría</v>
      </c>
      <c r="AL688" t="str">
        <f t="shared" si="253"/>
        <v>Margen de seguridad: 22,3 puntos</v>
      </c>
      <c r="AM688">
        <f t="shared" si="254"/>
        <v>0.09</v>
      </c>
      <c r="AN688" t="str">
        <f t="shared" si="255"/>
        <v>PRIORIDAD BAJA – control normal</v>
      </c>
      <c r="AO688">
        <f t="shared" si="256"/>
        <v>9.7509397307180876</v>
      </c>
      <c r="AP688">
        <f t="shared" si="257"/>
        <v>0.92137557546377558</v>
      </c>
      <c r="AQ688">
        <f t="shared" si="258"/>
        <v>0</v>
      </c>
      <c r="AR688">
        <f t="shared" si="259"/>
        <v>3.6999999999999993</v>
      </c>
      <c r="AS688">
        <f t="shared" si="260"/>
        <v>0</v>
      </c>
      <c r="AT688" t="str">
        <f t="shared" si="261"/>
        <v>VENTAS</v>
      </c>
      <c r="AU688">
        <f t="shared" si="262"/>
        <v>9.7509397307180876</v>
      </c>
      <c r="AV688" t="str">
        <f t="shared" si="263"/>
        <v>Mayor retorno probable: VENTAS (+9,8 puntos finales potenciales).</v>
      </c>
    </row>
    <row r="689" spans="1:48" x14ac:dyDescent="0.3">
      <c r="A689" s="5">
        <v>51033655</v>
      </c>
      <c r="B689" s="5" t="str">
        <f>IFERROR(VLOOKUP(A689,VENTAS!$A$2:$B$1194,2,0),"")</f>
        <v>METTLER</v>
      </c>
      <c r="C689" s="5">
        <f>IFERROR(INDEX(VENTAS!$C$2:$E$1194,MATCH(A689,VENTAS!$A$2:$A$1194,0),MATCH(PARAMS_MODELO!$B$2,{"Q1","Q2","Q3"},0)),0)</f>
        <v>39106683.399999999</v>
      </c>
      <c r="D689" s="5">
        <f>IFERROR(INDEX(VENTAS!$F$2:$H$1194,MATCH(A689,VENTAS!$A$2:$A$1194,0),MATCH(PARAMS_MODELO!$B$2,{"Q1","Q2","Q3"},0)),0)</f>
        <v>58532669</v>
      </c>
      <c r="E689" s="8">
        <f t="shared" si="240"/>
        <v>0.49674336740098002</v>
      </c>
      <c r="F689" s="12">
        <f>IF(E689&lt;=PARAMS_MODELO!$B$15,0,IF(E689&gt;=PARAMS_MODELO!$B$17,100,100*MIN(1,(E689-PARAMS_MODELO!$B$15)/(PARAMS_MODELO!$B$16-PARAMS_MODELO!$B$15))))*PARAMS_MODELO!$B$7</f>
        <v>35</v>
      </c>
      <c r="G689" s="5">
        <f t="shared" si="241"/>
        <v>19425985.600000001</v>
      </c>
      <c r="H689" s="5">
        <f>(PARAMS_MODELO!$B$20*(MAX(0,MIN(3,E689))/3)+PARAMS_MODELO!$B$21*(IFERROR(LN(1+MAX(0,G689))/LN(1+MAX(0,MAX($G$2:$G$1194))),0)))*100*PARAMS_MODELO!$B$8</f>
        <v>5.6725655297654045</v>
      </c>
      <c r="I689" s="8">
        <f>E689-PARAMS_MODELO!$B$5</f>
        <v>0.31918053202545349</v>
      </c>
      <c r="J689" s="5">
        <f>IF(I689&lt;=PARAMS_MODELO!$B$18,0,IF(I689&gt;=PARAMS_MODELO!$B$19,100,100*(I689-PARAMS_MODELO!$B$18)/(PARAMS_MODELO!$B$19-PARAMS_MODELO!$B$18)))*PARAMS_MODELO!$B$9</f>
        <v>15</v>
      </c>
      <c r="K689" s="5">
        <f>IFERROR(CHOOSE(MATCH(PARAMS_MODELO!$B$2,{"Q1","Q2","Q3"},0),LOTO!$D689,LOTO!$F689,LOTO!$H689),0)</f>
        <v>2747500</v>
      </c>
      <c r="L689" s="8">
        <f t="shared" si="242"/>
        <v>4.693959880763339E-2</v>
      </c>
      <c r="M689" s="5">
        <f>MIN(100,IF(PARAMS_MODELO!$B$23=0,0,100*L689/PARAMS_MODELO!$B$23))*PARAMS_MODELO!$B$10</f>
        <v>14.081879642290016</v>
      </c>
      <c r="N689" s="5">
        <f>IFERROR(VLOOKUP(A689,COMPLIANCE!$A$2:$F$1996,6,0),100)</f>
        <v>100</v>
      </c>
      <c r="O689" s="5">
        <f>N689*PARAMS_MODELO!$B$11</f>
        <v>10</v>
      </c>
      <c r="P689" s="5">
        <f>IFERROR(VLOOKUP(A689,DIGITAL!$A$2:$J$2000,7,0),100)</f>
        <v>86</v>
      </c>
      <c r="Q689" s="5">
        <f>IFERROR(P689,0)*PARAMS_MODELO!$B$12</f>
        <v>8.6</v>
      </c>
      <c r="R689">
        <f t="shared" si="243"/>
        <v>88.354445172055421</v>
      </c>
      <c r="S689" s="5" t="str">
        <f>IFERROR(VLOOKUP(A689,CLIENTE!$A$2:$N$2000,13,0),1)</f>
        <v>Muy Bueno</v>
      </c>
      <c r="T689" s="5">
        <f>IFERROR(VLOOKUP(A689,CLIENTE!$A$2:$N$2000,14,0),1)</f>
        <v>1.1499999999999999</v>
      </c>
      <c r="U689" s="5">
        <f t="shared" si="244"/>
        <v>100</v>
      </c>
      <c r="V689" s="5" t="str">
        <f>IF(U689&gt;=MAX(_xlfn.PERCENTILE.INC($U$2:$U$1194,PARAMS_MODELO!$B$50),PARAMS_MODELO!$B$45),"DIAMANTE",IF(U689&gt;=MAX(_xlfn.PERCENTILE.INC($U$2:$U$1194,PARAMS_MODELO!$B$51),PARAMS_MODELO!$B$46),"PLATINO",IF(U689&gt;=MAX(_xlfn.PERCENTILE.INC($U$2:$U$1194,PARAMS_MODELO!$B$52),PARAMS_MODELO!$B$47),"ORO",IF(U689&gt;=MAX(_xlfn.PERCENTILE.INC($U$2:$U$1194,PARAMS_MODELO!$B$53),PARAMS_MODELO!$B$48),"PLATA",IF(U689&gt;=1,"BRONCE","CERRADO")))))</f>
        <v>DIAMANTE</v>
      </c>
      <c r="W689" s="5" t="str" cm="1">
        <f t="array" ref="W689">_xlfn.XLOOKUP(1, (HIST_SCORE!$B:$B=PARAMS_MODELO!$B$4) * (HIST_SCORE!$C:$C=A689), HIST_SCORE!$E:$E, "No encontrado")</f>
        <v>PLATINO</v>
      </c>
      <c r="X689" s="5" t="str">
        <f>_xlfn.LET(_xlpm.act,MATCH(V689,{"DIAMANTE";"PLATINO";"ORO";"PLATA";"BRONCE";"CERRADO"},0),_xlpm.ant,MATCH(W689,{"DIAMANTE";"PLATINO";"ORO";"PLATA";"BRONCE";"CERRADO"},0),IF(_xlpm.act&lt;_xlpm.ant,"Mejora ↑",IF(_xlpm.act&gt;_xlpm.ant,"Baja ↓","Estable →")))</f>
        <v>Mejora ↑</v>
      </c>
      <c r="Y689" s="5">
        <f>IFERROR(U689-SUMIFS(HIST_SCORE!$D:$D,HIST_SCORE!$B:$B,PARAMS_MODELO!$B$4,HIST_SCORE!$C:$C,$A689),"")</f>
        <v>7.9063064081975369</v>
      </c>
      <c r="Z689" s="5" t="str">
        <f t="shared" si="245"/>
        <v>↑ Mejora</v>
      </c>
      <c r="AA689" s="5">
        <f t="shared" si="246"/>
        <v>1</v>
      </c>
      <c r="AB689" s="5">
        <f>IFERROR(SUMIFS(HIST_SCORE!$F:$F,HIST_SCORE!$B:$B,PARAMS_MODELO!$B$4,HIST_SCORE!$C:$C,$A689),"")</f>
        <v>98</v>
      </c>
      <c r="AC689" s="5">
        <f t="shared" si="247"/>
        <v>97</v>
      </c>
      <c r="AD689" t="str">
        <f t="shared" si="249"/>
        <v/>
      </c>
      <c r="AE6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689="CERRADO",1,IF(V689="BRONCE",_xlpm.cPl,IF(V689="PLATA",_xlpm.cO,IF(V689="ORO",_xlpm.cP,IF(V689="PLATINO",_xlpm.cD,999))))))</f>
        <v>999</v>
      </c>
      <c r="AF6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689="CERRADO",0,IF(V689="BRONCE",1,IF(V689="PLATA",_xlpm.cPl,IF(V689="ORO",_xlpm.cO,IF(V689="PLATINO",_xlpm.cP,_xlpm.cD))))))</f>
        <v>96.054919694466676</v>
      </c>
      <c r="AG689">
        <f t="shared" si="250"/>
        <v>780.3412070018577</v>
      </c>
      <c r="AH689" t="str">
        <f t="shared" si="251"/>
        <v>SOSTENER</v>
      </c>
      <c r="AI689" t="str">
        <f t="shared" si="248"/>
        <v>✅ Mantener desempeño y monitorear variaciones para sostener categoría.</v>
      </c>
      <c r="AJ689" s="26">
        <f>_xlfn.LET(_xlpm.piso,AF689,_xlpm.corte,AE689,_xlpm.prog,IF(_xlpm.corte&lt;=_xlpm.piso,0,MAX(0,MIN(1,(U689-_xlpm.piso)/(_xlpm.corte-_xlpm.piso)))),_xlpm.orden,{"DIAMANTE";"PLATINO";"ORO";"PLATA";"BRONCE";"CERRADO"},_xlpm.act,IFERROR(MATCH(V689,_xlpm.orden,0),6),_xlpm.ant,IFERROR(MATCH(W689,_xlpm.orden,0),6),_xlpm.ajmov,IF(_xlpm.act&lt;_xlpm.ant,0.08,IF(_xlpm.act&gt;_xlpm.ant,-0.08,0)),_xlpm.ajcli,IF(T689&lt;0.95,-0.06,0),_xlpm.prob,MAX(0,MIN(1,_xlpm.prog+_xlpm.ajmov+_xlpm.ajcli)),IF(OR(V689="DIAMANTE",V689="CERRADO"),0,ROUND(_xlpm.prob,2)))</f>
        <v>0</v>
      </c>
      <c r="AK689" t="str">
        <f t="shared" si="252"/>
        <v>No aplica</v>
      </c>
      <c r="AL689" t="str">
        <f t="shared" si="253"/>
        <v>Margen de seguridad: 3,9 puntos</v>
      </c>
      <c r="AM689">
        <f t="shared" si="254"/>
        <v>0.8</v>
      </c>
      <c r="AN689" t="str">
        <f t="shared" si="255"/>
        <v>PRIORIDAD ALTA – requiere intervención inmediata</v>
      </c>
      <c r="AO689">
        <f t="shared" si="256"/>
        <v>10.568504307359703</v>
      </c>
      <c r="AP689">
        <f t="shared" si="257"/>
        <v>1.0558384113664818</v>
      </c>
      <c r="AQ689">
        <f t="shared" si="258"/>
        <v>0</v>
      </c>
      <c r="AR689">
        <f t="shared" si="259"/>
        <v>1.6100000000000003</v>
      </c>
      <c r="AS689">
        <f t="shared" si="260"/>
        <v>0</v>
      </c>
      <c r="AT689" t="str">
        <f t="shared" si="261"/>
        <v>VENTAS</v>
      </c>
      <c r="AU689">
        <f t="shared" si="262"/>
        <v>10.568504307359703</v>
      </c>
      <c r="AV689" t="str">
        <f t="shared" si="263"/>
        <v>Mayor retorno probable: VENTAS (+10,6 puntos finales potenciales).</v>
      </c>
    </row>
    <row r="690" spans="1:48" x14ac:dyDescent="0.3">
      <c r="A690" s="5">
        <v>51014740</v>
      </c>
      <c r="B690" s="5" t="str">
        <f>IFERROR(VLOOKUP(A690,VENTAS!$A$2:$B$1194,2,0),"")</f>
        <v>AYALA</v>
      </c>
      <c r="C690" s="5">
        <f>IFERROR(INDEX(VENTAS!$C$2:$E$1194,MATCH(A690,VENTAS!$A$2:$A$1194,0),MATCH(PARAMS_MODELO!$B$2,{"Q1","Q2","Q3"},0)),0)</f>
        <v>48161529.829999998</v>
      </c>
      <c r="D690" s="5">
        <f>IFERROR(INDEX(VENTAS!$F$2:$H$1194,MATCH(A690,VENTAS!$A$2:$A$1194,0),MATCH(PARAMS_MODELO!$B$2,{"Q1","Q2","Q3"},0)),0)</f>
        <v>58524373</v>
      </c>
      <c r="E690" s="8">
        <f t="shared" si="240"/>
        <v>0.21516848004161493</v>
      </c>
      <c r="F690" s="12">
        <f>IF(E690&lt;=PARAMS_MODELO!$B$15,0,IF(E690&gt;=PARAMS_MODELO!$B$17,100,100*MIN(1,(E690-PARAMS_MODELO!$B$15)/(PARAMS_MODELO!$B$16-PARAMS_MODELO!$B$15))))*PARAMS_MODELO!$B$7</f>
        <v>35</v>
      </c>
      <c r="G690" s="5">
        <f t="shared" si="241"/>
        <v>10362843.170000002</v>
      </c>
      <c r="H690" s="5">
        <f>(PARAMS_MODELO!$B$20*(MAX(0,MIN(3,E690))/3)+PARAMS_MODELO!$B$21*(IFERROR(LN(1+MAX(0,G690))/LN(1+MAX(0,MAX($G$2:$G$1194))),0)))*100*PARAMS_MODELO!$B$8</f>
        <v>4.5397512185115287</v>
      </c>
      <c r="I690" s="8">
        <f>E690-PARAMS_MODELO!$B$5</f>
        <v>3.76056446660884E-2</v>
      </c>
      <c r="J690" s="5">
        <f>IF(I690&lt;=PARAMS_MODELO!$B$18,0,IF(I690&gt;=PARAMS_MODELO!$B$19,100,100*(I690-PARAMS_MODELO!$B$18)/(PARAMS_MODELO!$B$19-PARAMS_MODELO!$B$18)))*PARAMS_MODELO!$B$9</f>
        <v>13.140846699913261</v>
      </c>
      <c r="K690" s="5">
        <f>IFERROR(CHOOSE(MATCH(PARAMS_MODELO!$B$2,{"Q1","Q2","Q3"},0),LOTO!$D690,LOTO!$F690,LOTO!$H690),0)</f>
        <v>2742500</v>
      </c>
      <c r="L690" s="8">
        <f t="shared" si="242"/>
        <v>4.6860818141528829E-2</v>
      </c>
      <c r="M690" s="5">
        <f>MIN(100,IF(PARAMS_MODELO!$B$23=0,0,100*L690/PARAMS_MODELO!$B$23))*PARAMS_MODELO!$B$10</f>
        <v>14.058245442458647</v>
      </c>
      <c r="N690" s="5">
        <f>IFERROR(VLOOKUP(A690,COMPLIANCE!$A$2:$F$1996,6,0),100)</f>
        <v>100</v>
      </c>
      <c r="O690" s="5">
        <f>N690*PARAMS_MODELO!$B$11</f>
        <v>10</v>
      </c>
      <c r="P690" s="5">
        <f>IFERROR(VLOOKUP(A690,DIGITAL!$A$2:$J$2000,7,0),100)</f>
        <v>60</v>
      </c>
      <c r="Q690" s="5">
        <f>IFERROR(P690,0)*PARAMS_MODELO!$B$12</f>
        <v>6</v>
      </c>
      <c r="R690">
        <f t="shared" si="243"/>
        <v>82.738843360883436</v>
      </c>
      <c r="S690" s="5" t="str">
        <f>IFERROR(VLOOKUP(A690,CLIENTE!$A$2:$N$2000,13,0),1)</f>
        <v>Regular</v>
      </c>
      <c r="T690" s="5">
        <f>IFERROR(VLOOKUP(A690,CLIENTE!$A$2:$N$2000,14,0),1)</f>
        <v>1</v>
      </c>
      <c r="U690" s="5">
        <f t="shared" si="244"/>
        <v>82.738843360883436</v>
      </c>
      <c r="V690" s="5" t="str">
        <f>IF(U690&gt;=MAX(_xlfn.PERCENTILE.INC($U$2:$U$1194,PARAMS_MODELO!$B$50),PARAMS_MODELO!$B$45),"DIAMANTE",IF(U690&gt;=MAX(_xlfn.PERCENTILE.INC($U$2:$U$1194,PARAMS_MODELO!$B$51),PARAMS_MODELO!$B$46),"PLATINO",IF(U690&gt;=MAX(_xlfn.PERCENTILE.INC($U$2:$U$1194,PARAMS_MODELO!$B$52),PARAMS_MODELO!$B$47),"ORO",IF(U690&gt;=MAX(_xlfn.PERCENTILE.INC($U$2:$U$1194,PARAMS_MODELO!$B$53),PARAMS_MODELO!$B$48),"PLATA",IF(U690&gt;=1,"BRONCE","CERRADO")))))</f>
        <v>ORO</v>
      </c>
      <c r="W690" s="5" t="str" cm="1">
        <f t="array" ref="W690">_xlfn.XLOOKUP(1, (HIST_SCORE!$B:$B=PARAMS_MODELO!$B$4) * (HIST_SCORE!$C:$C=A690), HIST_SCORE!$E:$E, "No encontrado")</f>
        <v>ORO</v>
      </c>
      <c r="X690" s="5" t="str">
        <f>_xlfn.LET(_xlpm.act,MATCH(V690,{"DIAMANTE";"PLATINO";"ORO";"PLATA";"BRONCE";"CERRADO"},0),_xlpm.ant,MATCH(W690,{"DIAMANTE";"PLATINO";"ORO";"PLATA";"BRONCE";"CERRADO"},0),IF(_xlpm.act&lt;_xlpm.ant,"Mejora ↑",IF(_xlpm.act&gt;_xlpm.ant,"Baja ↓","Estable →")))</f>
        <v>Estable →</v>
      </c>
      <c r="Y690" s="5">
        <f>IFERROR(U690-SUMIFS(HIST_SCORE!$D:$D,HIST_SCORE!$B:$B,PARAMS_MODELO!$B$4,HIST_SCORE!$C:$C,$A690),"")</f>
        <v>0.99222040137188117</v>
      </c>
      <c r="Z690" s="5" t="str">
        <f t="shared" si="245"/>
        <v>→ Estable</v>
      </c>
      <c r="AA690" s="5">
        <f t="shared" si="246"/>
        <v>365</v>
      </c>
      <c r="AB690" s="5">
        <f>IFERROR(SUMIFS(HIST_SCORE!$F:$F,HIST_SCORE!$B:$B,PARAMS_MODELO!$B$4,HIST_SCORE!$C:$C,$A690),"")</f>
        <v>378</v>
      </c>
      <c r="AC690" s="5">
        <f t="shared" si="247"/>
        <v>13</v>
      </c>
      <c r="AD690" t="str">
        <f t="shared" si="249"/>
        <v/>
      </c>
      <c r="AE6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690="CERRADO",1,IF(V690="BRONCE",_xlpm.cPl,IF(V690="PLATA",_xlpm.cO,IF(V690="ORO",_xlpm.cP,IF(V690="PLATINO",_xlpm.cD,999))))))</f>
        <v>86.439123873763251</v>
      </c>
      <c r="AF6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690="CERRADO",0,IF(V690="BRONCE",1,IF(V690="PLATA",_xlpm.cPl,IF(V690="ORO",_xlpm.cO,IF(V690="PLATINO",_xlpm.cP,_xlpm.cD))))))</f>
        <v>63.199193273331495</v>
      </c>
      <c r="AG690">
        <f t="shared" si="250"/>
        <v>3.7002805128798144</v>
      </c>
      <c r="AH690" t="str">
        <f t="shared" si="251"/>
        <v>VENTAS</v>
      </c>
      <c r="AI690" t="str">
        <f t="shared" si="248"/>
        <v>🎯 Para subir de categoría, eje VENTAS / IMPACTO ABSOLUTO (H). Acción: metas semanales + activación comercial + seguimiento del asesor. ΔR aprox: 3,7</v>
      </c>
      <c r="AJ690" s="26">
        <f>_xlfn.LET(_xlpm.piso,AF690,_xlpm.corte,AE690,_xlpm.prog,IF(_xlpm.corte&lt;=_xlpm.piso,0,MAX(0,MIN(1,(U690-_xlpm.piso)/(_xlpm.corte-_xlpm.piso)))),_xlpm.orden,{"DIAMANTE";"PLATINO";"ORO";"PLATA";"BRONCE";"CERRADO"},_xlpm.act,IFERROR(MATCH(V690,_xlpm.orden,0),6),_xlpm.ant,IFERROR(MATCH(W690,_xlpm.orden,0),6),_xlpm.ajmov,IF(_xlpm.act&lt;_xlpm.ant,0.08,IF(_xlpm.act&gt;_xlpm.ant,-0.08,0)),_xlpm.ajcli,IF(T690&lt;0.95,-0.06,0),_xlpm.prob,MAX(0,MIN(1,_xlpm.prog+_xlpm.ajmov+_xlpm.ajcli)),IF(OR(V690="DIAMANTE",V690="CERRADO"),0,ROUND(_xlpm.prob,2)))</f>
        <v>0.84</v>
      </c>
      <c r="AK690" t="str">
        <f t="shared" si="252"/>
        <v>Faltan 3,7 puntos base para subir a la siguiente categoría</v>
      </c>
      <c r="AL690" t="str">
        <f t="shared" si="253"/>
        <v>Margen de seguridad: 19,5 puntos</v>
      </c>
      <c r="AM690">
        <f t="shared" si="254"/>
        <v>0.21</v>
      </c>
      <c r="AN690" t="str">
        <f t="shared" si="255"/>
        <v>PRIORIDAD BAJA – control normal</v>
      </c>
      <c r="AO690">
        <f t="shared" si="256"/>
        <v>12.181971356870797</v>
      </c>
      <c r="AP690">
        <f t="shared" si="257"/>
        <v>0.94175455754135307</v>
      </c>
      <c r="AQ690">
        <f t="shared" si="258"/>
        <v>0</v>
      </c>
      <c r="AR690">
        <f t="shared" si="259"/>
        <v>4</v>
      </c>
      <c r="AS690">
        <f t="shared" si="260"/>
        <v>0</v>
      </c>
      <c r="AT690" t="str">
        <f t="shared" si="261"/>
        <v>VENTAS</v>
      </c>
      <c r="AU690">
        <f t="shared" si="262"/>
        <v>12.181971356870797</v>
      </c>
      <c r="AV690" t="str">
        <f t="shared" si="263"/>
        <v>Mayor retorno probable: VENTAS (+12,2 puntos finales potenciales).</v>
      </c>
    </row>
    <row r="691" spans="1:48" x14ac:dyDescent="0.3">
      <c r="A691" s="5">
        <v>51011287</v>
      </c>
      <c r="B691" s="5" t="str">
        <f>IFERROR(VLOOKUP(A691,VENTAS!$A$2:$B$1194,2,0),"")</f>
        <v>METTLER</v>
      </c>
      <c r="C691" s="5">
        <f>IFERROR(INDEX(VENTAS!$C$2:$E$1194,MATCH(A691,VENTAS!$A$2:$A$1194,0),MATCH(PARAMS_MODELO!$B$2,{"Q1","Q2","Q3"},0)),0)</f>
        <v>46663670.510000013</v>
      </c>
      <c r="D691" s="5">
        <f>IFERROR(INDEX(VENTAS!$F$2:$H$1194,MATCH(A691,VENTAS!$A$2:$A$1194,0),MATCH(PARAMS_MODELO!$B$2,{"Q1","Q2","Q3"},0)),0)</f>
        <v>58359227</v>
      </c>
      <c r="E691" s="8">
        <f t="shared" si="240"/>
        <v>0.25063515926149948</v>
      </c>
      <c r="F691" s="12">
        <f>IF(E691&lt;=PARAMS_MODELO!$B$15,0,IF(E691&gt;=PARAMS_MODELO!$B$17,100,100*MIN(1,(E691-PARAMS_MODELO!$B$15)/(PARAMS_MODELO!$B$16-PARAMS_MODELO!$B$15))))*PARAMS_MODELO!$B$7</f>
        <v>35</v>
      </c>
      <c r="G691" s="5">
        <f t="shared" si="241"/>
        <v>11695556.489999987</v>
      </c>
      <c r="H691" s="5">
        <f>(PARAMS_MODELO!$B$20*(MAX(0,MIN(3,E691))/3)+PARAMS_MODELO!$B$21*(IFERROR(LN(1+MAX(0,G691))/LN(1+MAX(0,MAX($G$2:$G$1194))),0)))*100*PARAMS_MODELO!$B$8</f>
        <v>4.6922445441145761</v>
      </c>
      <c r="I691" s="8">
        <f>E691-PARAMS_MODELO!$B$5</f>
        <v>7.3072323885972956E-2</v>
      </c>
      <c r="J691" s="5">
        <f>IF(I691&lt;=PARAMS_MODELO!$B$18,0,IF(I691&gt;=PARAMS_MODELO!$B$19,100,100*(I691-PARAMS_MODELO!$B$18)/(PARAMS_MODELO!$B$19-PARAMS_MODELO!$B$18)))*PARAMS_MODELO!$B$9</f>
        <v>15</v>
      </c>
      <c r="K691" s="5">
        <f>IFERROR(CHOOSE(MATCH(PARAMS_MODELO!$B$2,{"Q1","Q2","Q3"},0),LOTO!$D691,LOTO!$F691,LOTO!$H691),0)</f>
        <v>2742500</v>
      </c>
      <c r="L691" s="8">
        <f t="shared" si="242"/>
        <v>4.6993425735402564E-2</v>
      </c>
      <c r="M691" s="5">
        <f>MIN(100,IF(PARAMS_MODELO!$B$23=0,0,100*L691/PARAMS_MODELO!$B$23))*PARAMS_MODELO!$B$10</f>
        <v>14.09802772062077</v>
      </c>
      <c r="N691" s="5">
        <f>IFERROR(VLOOKUP(A691,COMPLIANCE!$A$2:$F$1996,6,0),100)</f>
        <v>99.55</v>
      </c>
      <c r="O691" s="5">
        <f>N691*PARAMS_MODELO!$B$11</f>
        <v>9.9550000000000001</v>
      </c>
      <c r="P691" s="5">
        <f>IFERROR(VLOOKUP(A691,DIGITAL!$A$2:$J$2000,7,0),100)</f>
        <v>59</v>
      </c>
      <c r="Q691" s="5">
        <f>IFERROR(P691,0)*PARAMS_MODELO!$B$12</f>
        <v>5.9</v>
      </c>
      <c r="R691">
        <f t="shared" si="243"/>
        <v>84.64527226473534</v>
      </c>
      <c r="S691" s="5" t="str">
        <f>IFERROR(VLOOKUP(A691,CLIENTE!$A$2:$N$2000,13,0),1)</f>
        <v>Regular</v>
      </c>
      <c r="T691" s="5">
        <f>IFERROR(VLOOKUP(A691,CLIENTE!$A$2:$N$2000,14,0),1)</f>
        <v>1</v>
      </c>
      <c r="U691" s="5">
        <f t="shared" si="244"/>
        <v>84.64527226473534</v>
      </c>
      <c r="V691" s="5" t="str">
        <f>IF(U691&gt;=MAX(_xlfn.PERCENTILE.INC($U$2:$U$1194,PARAMS_MODELO!$B$50),PARAMS_MODELO!$B$45),"DIAMANTE",IF(U691&gt;=MAX(_xlfn.PERCENTILE.INC($U$2:$U$1194,PARAMS_MODELO!$B$51),PARAMS_MODELO!$B$46),"PLATINO",IF(U691&gt;=MAX(_xlfn.PERCENTILE.INC($U$2:$U$1194,PARAMS_MODELO!$B$52),PARAMS_MODELO!$B$47),"ORO",IF(U691&gt;=MAX(_xlfn.PERCENTILE.INC($U$2:$U$1194,PARAMS_MODELO!$B$53),PARAMS_MODELO!$B$48),"PLATA",IF(U691&gt;=1,"BRONCE","CERRADO")))))</f>
        <v>ORO</v>
      </c>
      <c r="W691" s="5" t="str" cm="1">
        <f t="array" ref="W691">_xlfn.XLOOKUP(1, (HIST_SCORE!$B:$B=PARAMS_MODELO!$B$4) * (HIST_SCORE!$C:$C=A691), HIST_SCORE!$E:$E, "No encontrado")</f>
        <v>ORO</v>
      </c>
      <c r="X691" s="5" t="str">
        <f>_xlfn.LET(_xlpm.act,MATCH(V691,{"DIAMANTE";"PLATINO";"ORO";"PLATA";"BRONCE";"CERRADO"},0),_xlpm.ant,MATCH(W691,{"DIAMANTE";"PLATINO";"ORO";"PLATA";"BRONCE";"CERRADO"},0),IF(_xlpm.act&lt;_xlpm.ant,"Mejora ↑",IF(_xlpm.act&gt;_xlpm.ant,"Baja ↓","Estable →")))</f>
        <v>Estable →</v>
      </c>
      <c r="Y691" s="5">
        <f>IFERROR(U691-SUMIFS(HIST_SCORE!$D:$D,HIST_SCORE!$B:$B,PARAMS_MODELO!$B$4,HIST_SCORE!$C:$C,$A691),"")</f>
        <v>2.6410573622953422</v>
      </c>
      <c r="Z691" s="5" t="str">
        <f t="shared" si="245"/>
        <v>→ Estable</v>
      </c>
      <c r="AA691" s="5">
        <f t="shared" si="246"/>
        <v>295</v>
      </c>
      <c r="AB691" s="5">
        <f>IFERROR(SUMIFS(HIST_SCORE!$F:$F,HIST_SCORE!$B:$B,PARAMS_MODELO!$B$4,HIST_SCORE!$C:$C,$A691),"")</f>
        <v>369</v>
      </c>
      <c r="AC691" s="5">
        <f t="shared" si="247"/>
        <v>74</v>
      </c>
      <c r="AD691" t="str">
        <f t="shared" si="249"/>
        <v/>
      </c>
      <c r="AE6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691="CERRADO",1,IF(V691="BRONCE",_xlpm.cPl,IF(V691="PLATA",_xlpm.cO,IF(V691="ORO",_xlpm.cP,IF(V691="PLATINO",_xlpm.cD,999))))))</f>
        <v>86.439123873763251</v>
      </c>
      <c r="AF6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691="CERRADO",0,IF(V691="BRONCE",1,IF(V691="PLATA",_xlpm.cPl,IF(V691="ORO",_xlpm.cO,IF(V691="PLATINO",_xlpm.cP,_xlpm.cD))))))</f>
        <v>63.199193273331495</v>
      </c>
      <c r="AG691">
        <f t="shared" si="250"/>
        <v>1.7938516090279109</v>
      </c>
      <c r="AH691" t="str">
        <f t="shared" si="251"/>
        <v>VENTAS</v>
      </c>
      <c r="AI691" t="str">
        <f t="shared" si="248"/>
        <v>🎯 Para subir de categoría, eje VENTAS / IMPACTO ABSOLUTO (H). Acción: metas semanales + activación comercial + seguimiento del asesor. ΔR aprox: 1,8</v>
      </c>
      <c r="AJ691" s="26">
        <f>_xlfn.LET(_xlpm.piso,AF691,_xlpm.corte,AE691,_xlpm.prog,IF(_xlpm.corte&lt;=_xlpm.piso,0,MAX(0,MIN(1,(U691-_xlpm.piso)/(_xlpm.corte-_xlpm.piso)))),_xlpm.orden,{"DIAMANTE";"PLATINO";"ORO";"PLATA";"BRONCE";"CERRADO"},_xlpm.act,IFERROR(MATCH(V691,_xlpm.orden,0),6),_xlpm.ant,IFERROR(MATCH(W691,_xlpm.orden,0),6),_xlpm.ajmov,IF(_xlpm.act&lt;_xlpm.ant,0.08,IF(_xlpm.act&gt;_xlpm.ant,-0.08,0)),_xlpm.ajcli,IF(T691&lt;0.95,-0.06,0),_xlpm.prob,MAX(0,MIN(1,_xlpm.prog+_xlpm.ajmov+_xlpm.ajcli)),IF(OR(V691="DIAMANTE",V691="CERRADO"),0,ROUND(_xlpm.prob,2)))</f>
        <v>0.92</v>
      </c>
      <c r="AK691" t="str">
        <f t="shared" si="252"/>
        <v>Faltan 1,8 puntos base para subir a la siguiente categoría</v>
      </c>
      <c r="AL691" t="str">
        <f t="shared" si="253"/>
        <v>Margen de seguridad: 21,4 puntos</v>
      </c>
      <c r="AM691">
        <f t="shared" si="254"/>
        <v>0.1</v>
      </c>
      <c r="AN691" t="str">
        <f t="shared" si="255"/>
        <v>PRIORIDAD BAJA – control normal</v>
      </c>
      <c r="AO691">
        <f t="shared" si="256"/>
        <v>10.170324731181012</v>
      </c>
      <c r="AP691">
        <f t="shared" si="257"/>
        <v>0.90197227937922975</v>
      </c>
      <c r="AQ691">
        <f t="shared" si="258"/>
        <v>4.4999999999999929E-2</v>
      </c>
      <c r="AR691">
        <f t="shared" si="259"/>
        <v>4.0999999999999996</v>
      </c>
      <c r="AS691">
        <f t="shared" si="260"/>
        <v>0</v>
      </c>
      <c r="AT691" t="str">
        <f t="shared" si="261"/>
        <v>VENTAS</v>
      </c>
      <c r="AU691">
        <f t="shared" si="262"/>
        <v>10.170324731181012</v>
      </c>
      <c r="AV691" t="str">
        <f t="shared" si="263"/>
        <v>Mayor retorno probable: VENTAS (+10,2 puntos finales potenciales).</v>
      </c>
    </row>
    <row r="692" spans="1:48" x14ac:dyDescent="0.3">
      <c r="A692" s="5">
        <v>51026306</v>
      </c>
      <c r="B692" s="5" t="str">
        <f>IFERROR(VLOOKUP(A692,VENTAS!$A$2:$B$1194,2,0),"")</f>
        <v>ROBERTS</v>
      </c>
      <c r="C692" s="5">
        <f>IFERROR(INDEX(VENTAS!$C$2:$E$1194,MATCH(A692,VENTAS!$A$2:$A$1194,0),MATCH(PARAMS_MODELO!$B$2,{"Q1","Q2","Q3"},0)),0)</f>
        <v>45716581.130000003</v>
      </c>
      <c r="D692" s="5">
        <f>IFERROR(INDEX(VENTAS!$F$2:$H$1194,MATCH(A692,VENTAS!$A$2:$A$1194,0),MATCH(PARAMS_MODELO!$B$2,{"Q1","Q2","Q3"},0)),0)</f>
        <v>58315611</v>
      </c>
      <c r="E692" s="8">
        <f t="shared" si="240"/>
        <v>0.27558994042387597</v>
      </c>
      <c r="F692" s="12">
        <f>IF(E692&lt;=PARAMS_MODELO!$B$15,0,IF(E692&gt;=PARAMS_MODELO!$B$17,100,100*MIN(1,(E692-PARAMS_MODELO!$B$15)/(PARAMS_MODELO!$B$16-PARAMS_MODELO!$B$15))))*PARAMS_MODELO!$B$7</f>
        <v>35</v>
      </c>
      <c r="G692" s="5">
        <f t="shared" si="241"/>
        <v>12599029.869999997</v>
      </c>
      <c r="H692" s="5">
        <f>(PARAMS_MODELO!$B$20*(MAX(0,MIN(3,E692))/3)+PARAMS_MODELO!$B$21*(IFERROR(LN(1+MAX(0,G692))/LN(1+MAX(0,MAX($G$2:$G$1194))),0)))*100*PARAMS_MODELO!$B$8</f>
        <v>4.7970292150766003</v>
      </c>
      <c r="I692" s="8">
        <f>E692-PARAMS_MODELO!$B$5</f>
        <v>9.8027105048349439E-2</v>
      </c>
      <c r="J692" s="5">
        <f>IF(I692&lt;=PARAMS_MODELO!$B$18,0,IF(I692&gt;=PARAMS_MODELO!$B$19,100,100*(I692-PARAMS_MODELO!$B$18)/(PARAMS_MODELO!$B$19-PARAMS_MODELO!$B$18)))*PARAMS_MODELO!$B$9</f>
        <v>15</v>
      </c>
      <c r="K692" s="5">
        <f>IFERROR(CHOOSE(MATCH(PARAMS_MODELO!$B$2,{"Q1","Q2","Q3"},0),LOTO!$D692,LOTO!$F692,LOTO!$H692),0)</f>
        <v>2740000</v>
      </c>
      <c r="L692" s="8">
        <f t="shared" si="242"/>
        <v>4.6985703365090351E-2</v>
      </c>
      <c r="M692" s="5">
        <f>MIN(100,IF(PARAMS_MODELO!$B$23=0,0,100*L692/PARAMS_MODELO!$B$23))*PARAMS_MODELO!$B$10</f>
        <v>14.095711009527102</v>
      </c>
      <c r="N692" s="5">
        <f>IFERROR(VLOOKUP(A692,COMPLIANCE!$A$2:$F$1996,6,0),100)</f>
        <v>99.58</v>
      </c>
      <c r="O692" s="5">
        <f>N692*PARAMS_MODELO!$B$11</f>
        <v>9.9580000000000002</v>
      </c>
      <c r="P692" s="5">
        <f>IFERROR(VLOOKUP(A692,DIGITAL!$A$2:$J$2000,7,0),100)</f>
        <v>45</v>
      </c>
      <c r="Q692" s="5">
        <f>IFERROR(P692,0)*PARAMS_MODELO!$B$12</f>
        <v>4.5</v>
      </c>
      <c r="R692">
        <f t="shared" si="243"/>
        <v>83.350740224603697</v>
      </c>
      <c r="S692" s="5" t="str">
        <f>IFERROR(VLOOKUP(A692,CLIENTE!$A$2:$N$2000,13,0),1)</f>
        <v>Malo</v>
      </c>
      <c r="T692" s="5">
        <f>IFERROR(VLOOKUP(A692,CLIENTE!$A$2:$N$2000,14,0),1)</f>
        <v>0.7</v>
      </c>
      <c r="U692" s="5">
        <f t="shared" si="244"/>
        <v>58.345518157222585</v>
      </c>
      <c r="V692" s="5" t="str">
        <f>IF(U692&gt;=MAX(_xlfn.PERCENTILE.INC($U$2:$U$1194,PARAMS_MODELO!$B$50),PARAMS_MODELO!$B$45),"DIAMANTE",IF(U692&gt;=MAX(_xlfn.PERCENTILE.INC($U$2:$U$1194,PARAMS_MODELO!$B$51),PARAMS_MODELO!$B$46),"PLATINO",IF(U692&gt;=MAX(_xlfn.PERCENTILE.INC($U$2:$U$1194,PARAMS_MODELO!$B$52),PARAMS_MODELO!$B$47),"ORO",IF(U692&gt;=MAX(_xlfn.PERCENTILE.INC($U$2:$U$1194,PARAMS_MODELO!$B$53),PARAMS_MODELO!$B$48),"PLATA",IF(U692&gt;=1,"BRONCE","CERRADO")))))</f>
        <v>PLATA</v>
      </c>
      <c r="W692" s="5" t="str" cm="1">
        <f t="array" ref="W692">_xlfn.XLOOKUP(1, (HIST_SCORE!$B:$B=PARAMS_MODELO!$B$4) * (HIST_SCORE!$C:$C=A692), HIST_SCORE!$E:$E, "No encontrado")</f>
        <v>PLATA</v>
      </c>
      <c r="X692" s="5" t="str">
        <f>_xlfn.LET(_xlpm.act,MATCH(V692,{"DIAMANTE";"PLATINO";"ORO";"PLATA";"BRONCE";"CERRADO"},0),_xlpm.ant,MATCH(W692,{"DIAMANTE";"PLATINO";"ORO";"PLATA";"BRONCE";"CERRADO"},0),IF(_xlpm.act&lt;_xlpm.ant,"Mejora ↑",IF(_xlpm.act&gt;_xlpm.ant,"Baja ↓","Estable →")))</f>
        <v>Estable →</v>
      </c>
      <c r="Y692" s="5">
        <f>IFERROR(U692-SUMIFS(HIST_SCORE!$D:$D,HIST_SCORE!$B:$B,PARAMS_MODELO!$B$4,HIST_SCORE!$C:$C,$A692),"")</f>
        <v>3.3399648267290516</v>
      </c>
      <c r="Z692" s="5" t="str">
        <f t="shared" si="245"/>
        <v>→ Estable</v>
      </c>
      <c r="AA692" s="5">
        <f t="shared" si="246"/>
        <v>648</v>
      </c>
      <c r="AB692" s="5">
        <f>IFERROR(SUMIFS(HIST_SCORE!$F:$F,HIST_SCORE!$B:$B,PARAMS_MODELO!$B$4,HIST_SCORE!$C:$C,$A692),"")</f>
        <v>734</v>
      </c>
      <c r="AC692" s="5">
        <f t="shared" si="247"/>
        <v>86</v>
      </c>
      <c r="AD692" t="str">
        <f t="shared" si="249"/>
        <v/>
      </c>
      <c r="AE6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692="CERRADO",1,IF(V692="BRONCE",_xlpm.cPl,IF(V692="PLATA",_xlpm.cO,IF(V692="ORO",_xlpm.cP,IF(V692="PLATINO",_xlpm.cD,999))))))</f>
        <v>63.199193273331495</v>
      </c>
      <c r="AF6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692="CERRADO",0,IF(V692="BRONCE",1,IF(V692="PLATA",_xlpm.cPl,IF(V692="ORO",_xlpm.cO,IF(V692="PLATINO",_xlpm.cP,_xlpm.cD))))))</f>
        <v>24.506573482968111</v>
      </c>
      <c r="AG692">
        <f t="shared" si="250"/>
        <v>6.933821594441298</v>
      </c>
      <c r="AH692" t="str">
        <f t="shared" si="251"/>
        <v>CLIENTE</v>
      </c>
      <c r="AI692" t="str">
        <f t="shared" si="248"/>
        <v>🎯 Para subir de categoría, la eje con mayor impacto probable es CLIENTE (coef T). Acción: reducir quejas, mejorar incógnito y empujar reseñas. ΔR aprox: 6,9</v>
      </c>
      <c r="AJ692" s="26">
        <f>_xlfn.LET(_xlpm.piso,AF692,_xlpm.corte,AE692,_xlpm.prog,IF(_xlpm.corte&lt;=_xlpm.piso,0,MAX(0,MIN(1,(U692-_xlpm.piso)/(_xlpm.corte-_xlpm.piso)))),_xlpm.orden,{"DIAMANTE";"PLATINO";"ORO";"PLATA";"BRONCE";"CERRADO"},_xlpm.act,IFERROR(MATCH(V692,_xlpm.orden,0),6),_xlpm.ant,IFERROR(MATCH(W692,_xlpm.orden,0),6),_xlpm.ajmov,IF(_xlpm.act&lt;_xlpm.ant,0.08,IF(_xlpm.act&gt;_xlpm.ant,-0.08,0)),_xlpm.ajcli,IF(T692&lt;0.95,-0.06,0),_xlpm.prob,MAX(0,MIN(1,_xlpm.prog+_xlpm.ajmov+_xlpm.ajcli)),IF(OR(V692="DIAMANTE",V692="CERRADO"),0,ROUND(_xlpm.prob,2)))</f>
        <v>0.81</v>
      </c>
      <c r="AK692" t="str">
        <f t="shared" si="252"/>
        <v>Faltan 6,9 puntos base para subir a la siguiente categoría</v>
      </c>
      <c r="AL692" t="str">
        <f t="shared" si="253"/>
        <v>Margen de seguridad: 33,8 puntos</v>
      </c>
      <c r="AM692">
        <f t="shared" si="254"/>
        <v>0.55000000000000004</v>
      </c>
      <c r="AN692" t="str">
        <f t="shared" si="255"/>
        <v>PRIORIDAD MEDIA – seguimiento del asesor</v>
      </c>
      <c r="AO692">
        <f t="shared" si="256"/>
        <v>7.0458780421532898</v>
      </c>
      <c r="AP692">
        <f t="shared" si="257"/>
        <v>0.63300229333102831</v>
      </c>
      <c r="AQ692">
        <f t="shared" si="258"/>
        <v>2.9399999999999867E-2</v>
      </c>
      <c r="AR692">
        <f t="shared" si="259"/>
        <v>3.8499999999999996</v>
      </c>
      <c r="AS692">
        <f t="shared" si="260"/>
        <v>25.005222067381112</v>
      </c>
      <c r="AT692" t="str">
        <f t="shared" si="261"/>
        <v>CLIENTE</v>
      </c>
      <c r="AU692">
        <f t="shared" si="262"/>
        <v>25.005222067381112</v>
      </c>
      <c r="AV692" t="str">
        <f t="shared" si="263"/>
        <v>Mayor retorno probable: CLIENTE (+25,0 puntos finales potenciales).</v>
      </c>
    </row>
    <row r="693" spans="1:48" x14ac:dyDescent="0.3">
      <c r="A693" s="5">
        <v>51040325</v>
      </c>
      <c r="B693" s="5" t="str">
        <f>IFERROR(VLOOKUP(A693,VENTAS!$A$2:$B$1194,2,0),"")</f>
        <v>PRADES</v>
      </c>
      <c r="C693" s="5">
        <f>IFERROR(INDEX(VENTAS!$C$2:$E$1194,MATCH(A693,VENTAS!$A$2:$A$1194,0),MATCH(PARAMS_MODELO!$B$2,{"Q1","Q2","Q3"},0)),0)</f>
        <v>56396008.18</v>
      </c>
      <c r="D693" s="5">
        <f>IFERROR(INDEX(VENTAS!$F$2:$H$1194,MATCH(A693,VENTAS!$A$2:$A$1194,0),MATCH(PARAMS_MODELO!$B$2,{"Q1","Q2","Q3"},0)),0)</f>
        <v>58218416</v>
      </c>
      <c r="E693" s="8">
        <f t="shared" si="240"/>
        <v>3.231448251059521E-2</v>
      </c>
      <c r="F693" s="12">
        <f>IF(E693&lt;=PARAMS_MODELO!$B$15,0,IF(E693&gt;=PARAMS_MODELO!$B$17,100,100*MIN(1,(E693-PARAMS_MODELO!$B$15)/(PARAMS_MODELO!$B$16-PARAMS_MODELO!$B$15))))*PARAMS_MODELO!$B$7</f>
        <v>11.310068878708323</v>
      </c>
      <c r="G693" s="5">
        <f t="shared" si="241"/>
        <v>1822407.8200000003</v>
      </c>
      <c r="H693" s="5">
        <f>(PARAMS_MODELO!$B$20*(MAX(0,MIN(3,E693))/3)+PARAMS_MODELO!$B$21*(IFERROR(LN(1+MAX(0,G693))/LN(1+MAX(0,MAX($G$2:$G$1194))),0)))*100*PARAMS_MODELO!$B$8</f>
        <v>3.4923349218968243</v>
      </c>
      <c r="I693" s="8">
        <f>E693-PARAMS_MODELO!$B$5</f>
        <v>-0.14524835286493132</v>
      </c>
      <c r="J693" s="5">
        <f>IF(I693&lt;=PARAMS_MODELO!$B$18,0,IF(I693&gt;=PARAMS_MODELO!$B$19,100,100*(I693-PARAMS_MODELO!$B$18)/(PARAMS_MODELO!$B$19-PARAMS_MODELO!$B$18)))*PARAMS_MODELO!$B$9</f>
        <v>0</v>
      </c>
      <c r="K693" s="5">
        <f>IFERROR(CHOOSE(MATCH(PARAMS_MODELO!$B$2,{"Q1","Q2","Q3"},0),LOTO!$D693,LOTO!$F693,LOTO!$H693),0)</f>
        <v>2730000</v>
      </c>
      <c r="L693" s="8">
        <f t="shared" si="242"/>
        <v>4.6892378521600449E-2</v>
      </c>
      <c r="M693" s="5">
        <f>MIN(100,IF(PARAMS_MODELO!$B$23=0,0,100*L693/PARAMS_MODELO!$B$23))*PARAMS_MODELO!$B$10</f>
        <v>14.067713556480134</v>
      </c>
      <c r="N693" s="5">
        <f>IFERROR(VLOOKUP(A693,COMPLIANCE!$A$2:$F$1996,6,0),100)</f>
        <v>100</v>
      </c>
      <c r="O693" s="5">
        <f>N693*PARAMS_MODELO!$B$11</f>
        <v>10</v>
      </c>
      <c r="P693" s="5">
        <f>IFERROR(VLOOKUP(A693,DIGITAL!$A$2:$J$2000,7,0),100)</f>
        <v>12</v>
      </c>
      <c r="Q693" s="5">
        <f>IFERROR(P693,0)*PARAMS_MODELO!$B$12</f>
        <v>1.2000000000000002</v>
      </c>
      <c r="R693">
        <f t="shared" si="243"/>
        <v>40.070117357085287</v>
      </c>
      <c r="S693" s="5" t="str">
        <f>IFERROR(VLOOKUP(A693,CLIENTE!$A$2:$N$2000,13,0),1)</f>
        <v>Regular</v>
      </c>
      <c r="T693" s="5">
        <f>IFERROR(VLOOKUP(A693,CLIENTE!$A$2:$N$2000,14,0),1)</f>
        <v>1</v>
      </c>
      <c r="U693" s="5">
        <f t="shared" si="244"/>
        <v>40.070117357085287</v>
      </c>
      <c r="V693" s="5" t="str">
        <f>IF(U693&gt;=MAX(_xlfn.PERCENTILE.INC($U$2:$U$1194,PARAMS_MODELO!$B$50),PARAMS_MODELO!$B$45),"DIAMANTE",IF(U693&gt;=MAX(_xlfn.PERCENTILE.INC($U$2:$U$1194,PARAMS_MODELO!$B$51),PARAMS_MODELO!$B$46),"PLATINO",IF(U693&gt;=MAX(_xlfn.PERCENTILE.INC($U$2:$U$1194,PARAMS_MODELO!$B$52),PARAMS_MODELO!$B$47),"ORO",IF(U693&gt;=MAX(_xlfn.PERCENTILE.INC($U$2:$U$1194,PARAMS_MODELO!$B$53),PARAMS_MODELO!$B$48),"PLATA",IF(U693&gt;=1,"BRONCE","CERRADO")))))</f>
        <v>PLATA</v>
      </c>
      <c r="W693" s="5" t="str" cm="1">
        <f t="array" ref="W693">_xlfn.XLOOKUP(1, (HIST_SCORE!$B:$B=PARAMS_MODELO!$B$4) * (HIST_SCORE!$C:$C=A693), HIST_SCORE!$E:$E, "No encontrado")</f>
        <v>PLATA</v>
      </c>
      <c r="X693" s="5" t="str">
        <f>_xlfn.LET(_xlpm.act,MATCH(V693,{"DIAMANTE";"PLATINO";"ORO";"PLATA";"BRONCE";"CERRADO"},0),_xlpm.ant,MATCH(W693,{"DIAMANTE";"PLATINO";"ORO";"PLATA";"BRONCE";"CERRADO"},0),IF(_xlpm.act&lt;_xlpm.ant,"Mejora ↑",IF(_xlpm.act&gt;_xlpm.ant,"Baja ↓","Estable →")))</f>
        <v>Estable →</v>
      </c>
      <c r="Y693" s="5">
        <f>IFERROR(U693-SUMIFS(HIST_SCORE!$D:$D,HIST_SCORE!$B:$B,PARAMS_MODELO!$B$4,HIST_SCORE!$C:$C,$A693),"")</f>
        <v>-21.53510117253299</v>
      </c>
      <c r="Z693" s="5" t="str">
        <f t="shared" si="245"/>
        <v>↓ Baja</v>
      </c>
      <c r="AA693" s="5">
        <f t="shared" si="246"/>
        <v>786</v>
      </c>
      <c r="AB693" s="5">
        <f>IFERROR(SUMIFS(HIST_SCORE!$F:$F,HIST_SCORE!$B:$B,PARAMS_MODELO!$B$4,HIST_SCORE!$C:$C,$A693),"")</f>
        <v>618</v>
      </c>
      <c r="AC693" s="5">
        <f t="shared" si="247"/>
        <v>-168</v>
      </c>
      <c r="AD693" t="str">
        <f t="shared" si="249"/>
        <v/>
      </c>
      <c r="AE6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693="CERRADO",1,IF(V693="BRONCE",_xlpm.cPl,IF(V693="PLATA",_xlpm.cO,IF(V693="ORO",_xlpm.cP,IF(V693="PLATINO",_xlpm.cD,999))))))</f>
        <v>63.199193273331495</v>
      </c>
      <c r="AF6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693="CERRADO",0,IF(V693="BRONCE",1,IF(V693="PLATA",_xlpm.cPl,IF(V693="ORO",_xlpm.cO,IF(V693="PLATINO",_xlpm.cP,_xlpm.cD))))))</f>
        <v>24.506573482968111</v>
      </c>
      <c r="AG693">
        <f t="shared" si="250"/>
        <v>23.129075916246208</v>
      </c>
      <c r="AH693" t="str">
        <f t="shared" si="251"/>
        <v>VENTAS</v>
      </c>
      <c r="AI693" t="str">
        <f t="shared" si="248"/>
        <v>🎯 Para subir de categoría, eje VENTAS / DIFERENCIAL vs LOTBA (J). Acción: metas semanales + activación comercial + seguimiento del asesor. ΔR aprox: 23,1</v>
      </c>
      <c r="AJ693" s="26">
        <f>_xlfn.LET(_xlpm.piso,AF693,_xlpm.corte,AE693,_xlpm.prog,IF(_xlpm.corte&lt;=_xlpm.piso,0,MAX(0,MIN(1,(U693-_xlpm.piso)/(_xlpm.corte-_xlpm.piso)))),_xlpm.orden,{"DIAMANTE";"PLATINO";"ORO";"PLATA";"BRONCE";"CERRADO"},_xlpm.act,IFERROR(MATCH(V693,_xlpm.orden,0),6),_xlpm.ant,IFERROR(MATCH(W693,_xlpm.orden,0),6),_xlpm.ajmov,IF(_xlpm.act&lt;_xlpm.ant,0.08,IF(_xlpm.act&gt;_xlpm.ant,-0.08,0)),_xlpm.ajcli,IF(T693&lt;0.95,-0.06,0),_xlpm.prob,MAX(0,MIN(1,_xlpm.prog+_xlpm.ajmov+_xlpm.ajcli)),IF(OR(V693="DIAMANTE",V693="CERRADO"),0,ROUND(_xlpm.prob,2)))</f>
        <v>0.4</v>
      </c>
      <c r="AK693" t="str">
        <f t="shared" si="252"/>
        <v>Faltan 23,1 puntos base para subir a la siguiente categoría</v>
      </c>
      <c r="AL693" t="str">
        <f t="shared" si="253"/>
        <v>Margen de seguridad: 15,6 puntos</v>
      </c>
      <c r="AM693">
        <f t="shared" si="254"/>
        <v>0.64</v>
      </c>
      <c r="AN693" t="str">
        <f t="shared" si="255"/>
        <v>PRIORIDAD MEDIA – seguimiento del asesor</v>
      </c>
      <c r="AO693">
        <f t="shared" si="256"/>
        <v>50.060165474690436</v>
      </c>
      <c r="AP693">
        <f t="shared" si="257"/>
        <v>0.93228644351986567</v>
      </c>
      <c r="AQ693">
        <f t="shared" si="258"/>
        <v>0</v>
      </c>
      <c r="AR693">
        <f t="shared" si="259"/>
        <v>8.8000000000000007</v>
      </c>
      <c r="AS693">
        <f t="shared" si="260"/>
        <v>0</v>
      </c>
      <c r="AT693" t="str">
        <f t="shared" si="261"/>
        <v>VENTAS</v>
      </c>
      <c r="AU693">
        <f t="shared" si="262"/>
        <v>50.060165474690436</v>
      </c>
      <c r="AV693" t="str">
        <f t="shared" si="263"/>
        <v>Mayor retorno probable: VENTAS (+50,1 puntos finales potenciales).</v>
      </c>
    </row>
    <row r="694" spans="1:48" x14ac:dyDescent="0.3">
      <c r="A694" s="5">
        <v>51055543</v>
      </c>
      <c r="B694" s="5" t="str">
        <f>IFERROR(VLOOKUP(A694,VENTAS!$A$2:$B$1194,2,0),"")</f>
        <v>LÓPEZ</v>
      </c>
      <c r="C694" s="5">
        <f>IFERROR(INDEX(VENTAS!$C$2:$E$1194,MATCH(A694,VENTAS!$A$2:$A$1194,0),MATCH(PARAMS_MODELO!$B$2,{"Q1","Q2","Q3"},0)),0)</f>
        <v>41459373.350000001</v>
      </c>
      <c r="D694" s="5">
        <f>IFERROR(INDEX(VENTAS!$F$2:$H$1194,MATCH(A694,VENTAS!$A$2:$A$1194,0),MATCH(PARAMS_MODELO!$B$2,{"Q1","Q2","Q3"},0)),0)</f>
        <v>58088551</v>
      </c>
      <c r="E694" s="8">
        <f t="shared" si="240"/>
        <v>0.40109573074384142</v>
      </c>
      <c r="F694" s="12">
        <f>IF(E694&lt;=PARAMS_MODELO!$B$15,0,IF(E694&gt;=PARAMS_MODELO!$B$17,100,100*MIN(1,(E694-PARAMS_MODELO!$B$15)/(PARAMS_MODELO!$B$16-PARAMS_MODELO!$B$15))))*PARAMS_MODELO!$B$7</f>
        <v>35</v>
      </c>
      <c r="G694" s="5">
        <f t="shared" si="241"/>
        <v>16629177.649999999</v>
      </c>
      <c r="H694" s="5">
        <f>(PARAMS_MODELO!$B$20*(MAX(0,MIN(3,E694))/3)+PARAMS_MODELO!$B$21*(IFERROR(LN(1+MAX(0,G694))/LN(1+MAX(0,MAX($G$2:$G$1194))),0)))*100*PARAMS_MODELO!$B$8</f>
        <v>5.3013584989355573</v>
      </c>
      <c r="I694" s="8">
        <f>E694-PARAMS_MODELO!$B$5</f>
        <v>0.22353289536831489</v>
      </c>
      <c r="J694" s="5">
        <f>IF(I694&lt;=PARAMS_MODELO!$B$18,0,IF(I694&gt;=PARAMS_MODELO!$B$19,100,100*(I694-PARAMS_MODELO!$B$18)/(PARAMS_MODELO!$B$19-PARAMS_MODELO!$B$18)))*PARAMS_MODELO!$B$9</f>
        <v>15</v>
      </c>
      <c r="K694" s="5">
        <f>IFERROR(CHOOSE(MATCH(PARAMS_MODELO!$B$2,{"Q1","Q2","Q3"},0),LOTO!$D694,LOTO!$F694,LOTO!$H694),0)</f>
        <v>2730000</v>
      </c>
      <c r="L694" s="8">
        <f t="shared" si="242"/>
        <v>4.6997212927552628E-2</v>
      </c>
      <c r="M694" s="5">
        <f>MIN(100,IF(PARAMS_MODELO!$B$23=0,0,100*L694/PARAMS_MODELO!$B$23))*PARAMS_MODELO!$B$10</f>
        <v>14.099163878265786</v>
      </c>
      <c r="N694" s="5">
        <f>IFERROR(VLOOKUP(A694,COMPLIANCE!$A$2:$F$1996,6,0),100)</f>
        <v>99.8</v>
      </c>
      <c r="O694" s="5">
        <f>N694*PARAMS_MODELO!$B$11</f>
        <v>9.98</v>
      </c>
      <c r="P694" s="5">
        <f>IFERROR(VLOOKUP(A694,DIGITAL!$A$2:$J$2000,7,0),100)</f>
        <v>22</v>
      </c>
      <c r="Q694" s="5">
        <f>IFERROR(P694,0)*PARAMS_MODELO!$B$12</f>
        <v>2.2000000000000002</v>
      </c>
      <c r="R694">
        <f t="shared" si="243"/>
        <v>81.580522377201348</v>
      </c>
      <c r="S694" s="5" t="str">
        <f>IFERROR(VLOOKUP(A694,CLIENTE!$A$2:$N$2000,13,0),1)</f>
        <v>Regular</v>
      </c>
      <c r="T694" s="5">
        <f>IFERROR(VLOOKUP(A694,CLIENTE!$A$2:$N$2000,14,0),1)</f>
        <v>1</v>
      </c>
      <c r="U694" s="5">
        <f t="shared" si="244"/>
        <v>81.580522377201348</v>
      </c>
      <c r="V694" s="5" t="str">
        <f>IF(U694&gt;=MAX(_xlfn.PERCENTILE.INC($U$2:$U$1194,PARAMS_MODELO!$B$50),PARAMS_MODELO!$B$45),"DIAMANTE",IF(U694&gt;=MAX(_xlfn.PERCENTILE.INC($U$2:$U$1194,PARAMS_MODELO!$B$51),PARAMS_MODELO!$B$46),"PLATINO",IF(U694&gt;=MAX(_xlfn.PERCENTILE.INC($U$2:$U$1194,PARAMS_MODELO!$B$52),PARAMS_MODELO!$B$47),"ORO",IF(U694&gt;=MAX(_xlfn.PERCENTILE.INC($U$2:$U$1194,PARAMS_MODELO!$B$53),PARAMS_MODELO!$B$48),"PLATA",IF(U694&gt;=1,"BRONCE","CERRADO")))))</f>
        <v>ORO</v>
      </c>
      <c r="W694" s="5" t="str" cm="1">
        <f t="array" ref="W694">_xlfn.XLOOKUP(1, (HIST_SCORE!$B:$B=PARAMS_MODELO!$B$4) * (HIST_SCORE!$C:$C=A694), HIST_SCORE!$E:$E, "No encontrado")</f>
        <v>ORO</v>
      </c>
      <c r="X694" s="5" t="str">
        <f>_xlfn.LET(_xlpm.act,MATCH(V694,{"DIAMANTE";"PLATINO";"ORO";"PLATA";"BRONCE";"CERRADO"},0),_xlpm.ant,MATCH(W694,{"DIAMANTE";"PLATINO";"ORO";"PLATA";"BRONCE";"CERRADO"},0),IF(_xlpm.act&lt;_xlpm.ant,"Mejora ↑",IF(_xlpm.act&gt;_xlpm.ant,"Baja ↓","Estable →")))</f>
        <v>Estable →</v>
      </c>
      <c r="Y694" s="5">
        <f>IFERROR(U694-SUMIFS(HIST_SCORE!$D:$D,HIST_SCORE!$B:$B,PARAMS_MODELO!$B$4,HIST_SCORE!$C:$C,$A694),"")</f>
        <v>-1.2536196805660751</v>
      </c>
      <c r="Z694" s="5" t="str">
        <f t="shared" si="245"/>
        <v>→ Estable</v>
      </c>
      <c r="AA694" s="5">
        <f t="shared" si="246"/>
        <v>399</v>
      </c>
      <c r="AB694" s="5">
        <f>IFERROR(SUMIFS(HIST_SCORE!$F:$F,HIST_SCORE!$B:$B,PARAMS_MODELO!$B$4,HIST_SCORE!$C:$C,$A694),"")</f>
        <v>338</v>
      </c>
      <c r="AC694" s="5">
        <f t="shared" si="247"/>
        <v>-61</v>
      </c>
      <c r="AD694" t="str">
        <f t="shared" si="249"/>
        <v>Sostener base y reforzar mix</v>
      </c>
      <c r="AE6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694="CERRADO",1,IF(V694="BRONCE",_xlpm.cPl,IF(V694="PLATA",_xlpm.cO,IF(V694="ORO",_xlpm.cP,IF(V694="PLATINO",_xlpm.cD,999))))))</f>
        <v>86.439123873763251</v>
      </c>
      <c r="AF6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694="CERRADO",0,IF(V694="BRONCE",1,IF(V694="PLATA",_xlpm.cPl,IF(V694="ORO",_xlpm.cO,IF(V694="PLATINO",_xlpm.cP,_xlpm.cD))))))</f>
        <v>63.199193273331495</v>
      </c>
      <c r="AG694">
        <f t="shared" si="250"/>
        <v>4.8586014965619029</v>
      </c>
      <c r="AH694" t="str">
        <f t="shared" si="251"/>
        <v>VENTAS</v>
      </c>
      <c r="AI694" t="str">
        <f t="shared" si="248"/>
        <v>🎯 Para subir de categoría, eje VENTAS / IMPACTO ABSOLUTO (H). Acción: metas semanales + activación comercial + seguimiento del asesor. ΔR aprox: 4,9</v>
      </c>
      <c r="AJ694" s="26">
        <f>_xlfn.LET(_xlpm.piso,AF694,_xlpm.corte,AE694,_xlpm.prog,IF(_xlpm.corte&lt;=_xlpm.piso,0,MAX(0,MIN(1,(U694-_xlpm.piso)/(_xlpm.corte-_xlpm.piso)))),_xlpm.orden,{"DIAMANTE";"PLATINO";"ORO";"PLATA";"BRONCE";"CERRADO"},_xlpm.act,IFERROR(MATCH(V694,_xlpm.orden,0),6),_xlpm.ant,IFERROR(MATCH(W694,_xlpm.orden,0),6),_xlpm.ajmov,IF(_xlpm.act&lt;_xlpm.ant,0.08,IF(_xlpm.act&gt;_xlpm.ant,-0.08,0)),_xlpm.ajcli,IF(T694&lt;0.95,-0.06,0),_xlpm.prob,MAX(0,MIN(1,_xlpm.prog+_xlpm.ajmov+_xlpm.ajcli)),IF(OR(V694="DIAMANTE",V694="CERRADO"),0,ROUND(_xlpm.prob,2)))</f>
        <v>0.79</v>
      </c>
      <c r="AK694" t="str">
        <f t="shared" si="252"/>
        <v>Faltan 4,9 puntos base para subir a la siguiente categoría</v>
      </c>
      <c r="AL694" t="str">
        <f t="shared" si="253"/>
        <v>Margen de seguridad: 18,4 puntos</v>
      </c>
      <c r="AM694">
        <f t="shared" si="254"/>
        <v>0.28000000000000003</v>
      </c>
      <c r="AN694" t="str">
        <f t="shared" si="255"/>
        <v>PRIORIDAD BAJA – control normal</v>
      </c>
      <c r="AO694">
        <f t="shared" si="256"/>
        <v>9.5612107763600278</v>
      </c>
      <c r="AP694">
        <f t="shared" si="257"/>
        <v>0.90083612173421379</v>
      </c>
      <c r="AQ694">
        <f t="shared" si="258"/>
        <v>1.9999999999999574E-2</v>
      </c>
      <c r="AR694">
        <f t="shared" si="259"/>
        <v>7.8</v>
      </c>
      <c r="AS694">
        <f t="shared" si="260"/>
        <v>0</v>
      </c>
      <c r="AT694" t="str">
        <f t="shared" si="261"/>
        <v>VENTAS</v>
      </c>
      <c r="AU694">
        <f t="shared" si="262"/>
        <v>9.5612107763600278</v>
      </c>
      <c r="AV694" t="str">
        <f t="shared" si="263"/>
        <v>Mayor retorno probable: VENTAS (+9,6 puntos finales potenciales).</v>
      </c>
    </row>
    <row r="695" spans="1:48" x14ac:dyDescent="0.3">
      <c r="A695" s="5">
        <v>51037031</v>
      </c>
      <c r="B695" s="5" t="str">
        <f>IFERROR(VLOOKUP(A695,VENTAS!$A$2:$B$1194,2,0),"")</f>
        <v>METTLER</v>
      </c>
      <c r="C695" s="5">
        <f>IFERROR(INDEX(VENTAS!$C$2:$E$1194,MATCH(A695,VENTAS!$A$2:$A$1194,0),MATCH(PARAMS_MODELO!$B$2,{"Q1","Q2","Q3"},0)),0)</f>
        <v>45475195.140000001</v>
      </c>
      <c r="D695" s="5">
        <f>IFERROR(INDEX(VENTAS!$F$2:$H$1194,MATCH(A695,VENTAS!$A$2:$A$1194,0),MATCH(PARAMS_MODELO!$B$2,{"Q1","Q2","Q3"},0)),0)</f>
        <v>58064611</v>
      </c>
      <c r="E695" s="8">
        <f t="shared" si="240"/>
        <v>0.27684138179599249</v>
      </c>
      <c r="F695" s="12">
        <f>IF(E695&lt;=PARAMS_MODELO!$B$15,0,IF(E695&gt;=PARAMS_MODELO!$B$17,100,100*MIN(1,(E695-PARAMS_MODELO!$B$15)/(PARAMS_MODELO!$B$16-PARAMS_MODELO!$B$15))))*PARAMS_MODELO!$B$7</f>
        <v>35</v>
      </c>
      <c r="G695" s="5">
        <f t="shared" si="241"/>
        <v>12589415.859999999</v>
      </c>
      <c r="H695" s="5">
        <f>(PARAMS_MODELO!$B$20*(MAX(0,MIN(3,E695))/3)+PARAMS_MODELO!$B$21*(IFERROR(LN(1+MAX(0,G695))/LN(1+MAX(0,MAX($G$2:$G$1194))),0)))*100*PARAMS_MODELO!$B$8</f>
        <v>4.801230316079387</v>
      </c>
      <c r="I695" s="8">
        <f>E695-PARAMS_MODELO!$B$5</f>
        <v>9.9278546420465963E-2</v>
      </c>
      <c r="J695" s="5">
        <f>IF(I695&lt;=PARAMS_MODELO!$B$18,0,IF(I695&gt;=PARAMS_MODELO!$B$19,100,100*(I695-PARAMS_MODELO!$B$18)/(PARAMS_MODELO!$B$19-PARAMS_MODELO!$B$18)))*PARAMS_MODELO!$B$9</f>
        <v>15</v>
      </c>
      <c r="K695" s="5">
        <f>IFERROR(CHOOSE(MATCH(PARAMS_MODELO!$B$2,{"Q1","Q2","Q3"},0),LOTO!$D695,LOTO!$F695,LOTO!$H695),0)</f>
        <v>2727500</v>
      </c>
      <c r="L695" s="8">
        <f t="shared" si="242"/>
        <v>4.6973534361575246E-2</v>
      </c>
      <c r="M695" s="5">
        <f>MIN(100,IF(PARAMS_MODELO!$B$23=0,0,100*L695/PARAMS_MODELO!$B$23))*PARAMS_MODELO!$B$10</f>
        <v>14.092060308472574</v>
      </c>
      <c r="N695" s="5">
        <f>IFERROR(VLOOKUP(A695,COMPLIANCE!$A$2:$F$1996,6,0),100)</f>
        <v>100</v>
      </c>
      <c r="O695" s="5">
        <f>N695*PARAMS_MODELO!$B$11</f>
        <v>10</v>
      </c>
      <c r="P695" s="5">
        <f>IFERROR(VLOOKUP(A695,DIGITAL!$A$2:$J$2000,7,0),100)</f>
        <v>11</v>
      </c>
      <c r="Q695" s="5">
        <f>IFERROR(P695,0)*PARAMS_MODELO!$B$12</f>
        <v>1.1000000000000001</v>
      </c>
      <c r="R695">
        <f t="shared" si="243"/>
        <v>79.993290624551946</v>
      </c>
      <c r="S695" s="5" t="str">
        <f>IFERROR(VLOOKUP(A695,CLIENTE!$A$2:$N$2000,13,0),1)</f>
        <v>Malo</v>
      </c>
      <c r="T695" s="5">
        <f>IFERROR(VLOOKUP(A695,CLIENTE!$A$2:$N$2000,14,0),1)</f>
        <v>0.7</v>
      </c>
      <c r="U695" s="5">
        <f t="shared" si="244"/>
        <v>55.995303437186358</v>
      </c>
      <c r="V695" s="5" t="str">
        <f>IF(U695&gt;=MAX(_xlfn.PERCENTILE.INC($U$2:$U$1194,PARAMS_MODELO!$B$50),PARAMS_MODELO!$B$45),"DIAMANTE",IF(U695&gt;=MAX(_xlfn.PERCENTILE.INC($U$2:$U$1194,PARAMS_MODELO!$B$51),PARAMS_MODELO!$B$46),"PLATINO",IF(U695&gt;=MAX(_xlfn.PERCENTILE.INC($U$2:$U$1194,PARAMS_MODELO!$B$52),PARAMS_MODELO!$B$47),"ORO",IF(U695&gt;=MAX(_xlfn.PERCENTILE.INC($U$2:$U$1194,PARAMS_MODELO!$B$53),PARAMS_MODELO!$B$48),"PLATA",IF(U695&gt;=1,"BRONCE","CERRADO")))))</f>
        <v>PLATA</v>
      </c>
      <c r="W695" s="5" t="str" cm="1">
        <f t="array" ref="W695">_xlfn.XLOOKUP(1, (HIST_SCORE!$B:$B=PARAMS_MODELO!$B$4) * (HIST_SCORE!$C:$C=A695), HIST_SCORE!$E:$E, "No encontrado")</f>
        <v>PLATA</v>
      </c>
      <c r="X695" s="5" t="str">
        <f>_xlfn.LET(_xlpm.act,MATCH(V695,{"DIAMANTE";"PLATINO";"ORO";"PLATA";"BRONCE";"CERRADO"},0),_xlpm.ant,MATCH(W695,{"DIAMANTE";"PLATINO";"ORO";"PLATA";"BRONCE";"CERRADO"},0),IF(_xlpm.act&lt;_xlpm.ant,"Mejora ↑",IF(_xlpm.act&gt;_xlpm.ant,"Baja ↓","Estable →")))</f>
        <v>Estable →</v>
      </c>
      <c r="Y695" s="5">
        <f>IFERROR(U695-SUMIFS(HIST_SCORE!$D:$D,HIST_SCORE!$B:$B,PARAMS_MODELO!$B$4,HIST_SCORE!$C:$C,$A695),"")</f>
        <v>2.851930947234905</v>
      </c>
      <c r="Z695" s="5" t="str">
        <f t="shared" si="245"/>
        <v>→ Estable</v>
      </c>
      <c r="AA695" s="5">
        <f t="shared" si="246"/>
        <v>703</v>
      </c>
      <c r="AB695" s="5">
        <f>IFERROR(SUMIFS(HIST_SCORE!$F:$F,HIST_SCORE!$B:$B,PARAMS_MODELO!$B$4,HIST_SCORE!$C:$C,$A695),"")</f>
        <v>750</v>
      </c>
      <c r="AC695" s="5">
        <f t="shared" si="247"/>
        <v>47</v>
      </c>
      <c r="AD695" t="str">
        <f t="shared" si="249"/>
        <v/>
      </c>
      <c r="AE6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695="CERRADO",1,IF(V695="BRONCE",_xlpm.cPl,IF(V695="PLATA",_xlpm.cO,IF(V695="ORO",_xlpm.cP,IF(V695="PLATINO",_xlpm.cD,999))))))</f>
        <v>63.199193273331495</v>
      </c>
      <c r="AF6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695="CERRADO",0,IF(V695="BRONCE",1,IF(V695="PLATA",_xlpm.cPl,IF(V695="ORO",_xlpm.cO,IF(V695="PLATINO",_xlpm.cP,_xlpm.cD))))))</f>
        <v>24.506573482968111</v>
      </c>
      <c r="AG695">
        <f t="shared" si="250"/>
        <v>10.291271194493049</v>
      </c>
      <c r="AH695" t="str">
        <f t="shared" si="251"/>
        <v>CLIENTE</v>
      </c>
      <c r="AI695" t="str">
        <f t="shared" si="248"/>
        <v>🎯 Para subir de categoría, la eje con mayor impacto probable es CLIENTE (coef T). Acción: reducir quejas, mejorar incógnito y empujar reseñas. ΔR aprox: 10,3</v>
      </c>
      <c r="AJ695" s="26">
        <f>_xlfn.LET(_xlpm.piso,AF695,_xlpm.corte,AE695,_xlpm.prog,IF(_xlpm.corte&lt;=_xlpm.piso,0,MAX(0,MIN(1,(U695-_xlpm.piso)/(_xlpm.corte-_xlpm.piso)))),_xlpm.orden,{"DIAMANTE";"PLATINO";"ORO";"PLATA";"BRONCE";"CERRADO"},_xlpm.act,IFERROR(MATCH(V695,_xlpm.orden,0),6),_xlpm.ant,IFERROR(MATCH(W695,_xlpm.orden,0),6),_xlpm.ajmov,IF(_xlpm.act&lt;_xlpm.ant,0.08,IF(_xlpm.act&gt;_xlpm.ant,-0.08,0)),_xlpm.ajcli,IF(T695&lt;0.95,-0.06,0),_xlpm.prob,MAX(0,MIN(1,_xlpm.prog+_xlpm.ajmov+_xlpm.ajcli)),IF(OR(V695="DIAMANTE",V695="CERRADO"),0,ROUND(_xlpm.prob,2)))</f>
        <v>0.75</v>
      </c>
      <c r="AK695" t="str">
        <f t="shared" si="252"/>
        <v>Faltan 10,3 puntos base para subir a la siguiente categoría</v>
      </c>
      <c r="AL695" t="str">
        <f t="shared" si="253"/>
        <v>Margen de seguridad: 31,5 puntos</v>
      </c>
      <c r="AM695">
        <f t="shared" si="254"/>
        <v>0.7</v>
      </c>
      <c r="AN695" t="str">
        <f t="shared" si="255"/>
        <v>PRIORIDAD ALTA – requiere intervención inmediata</v>
      </c>
      <c r="AO695">
        <f t="shared" si="256"/>
        <v>7.0429372714513399</v>
      </c>
      <c r="AP695">
        <f t="shared" si="257"/>
        <v>0.63555778406919838</v>
      </c>
      <c r="AQ695">
        <f t="shared" si="258"/>
        <v>0</v>
      </c>
      <c r="AR695">
        <f t="shared" si="259"/>
        <v>6.2299999999999995</v>
      </c>
      <c r="AS695">
        <f t="shared" si="260"/>
        <v>23.997987187365588</v>
      </c>
      <c r="AT695" t="str">
        <f t="shared" si="261"/>
        <v>CLIENTE</v>
      </c>
      <c r="AU695">
        <f t="shared" si="262"/>
        <v>23.997987187365588</v>
      </c>
      <c r="AV695" t="str">
        <f t="shared" si="263"/>
        <v>Mayor retorno probable: CLIENTE (+24,0 puntos finales potenciales).</v>
      </c>
    </row>
    <row r="696" spans="1:48" x14ac:dyDescent="0.3">
      <c r="A696" s="5">
        <v>51057244</v>
      </c>
      <c r="B696" s="5" t="str">
        <f>IFERROR(VLOOKUP(A696,VENTAS!$A$2:$B$1194,2,0),"")</f>
        <v>METTLER</v>
      </c>
      <c r="C696" s="5">
        <f>IFERROR(INDEX(VENTAS!$C$2:$E$1194,MATCH(A696,VENTAS!$A$2:$A$1194,0),MATCH(PARAMS_MODELO!$B$2,{"Q1","Q2","Q3"},0)),0)</f>
        <v>55778827.799999997</v>
      </c>
      <c r="D696" s="5">
        <f>IFERROR(INDEX(VENTAS!$F$2:$H$1194,MATCH(A696,VENTAS!$A$2:$A$1194,0),MATCH(PARAMS_MODELO!$B$2,{"Q1","Q2","Q3"},0)),0)</f>
        <v>57971787</v>
      </c>
      <c r="E696" s="8">
        <f t="shared" si="240"/>
        <v>3.9315261479912378E-2</v>
      </c>
      <c r="F696" s="12">
        <f>IF(E696&lt;=PARAMS_MODELO!$B$15,0,IF(E696&gt;=PARAMS_MODELO!$B$17,100,100*MIN(1,(E696-PARAMS_MODELO!$B$15)/(PARAMS_MODELO!$B$16-PARAMS_MODELO!$B$15))))*PARAMS_MODELO!$B$7</f>
        <v>13.760341517969332</v>
      </c>
      <c r="G696" s="5">
        <f t="shared" si="241"/>
        <v>2192959.200000003</v>
      </c>
      <c r="H696" s="5">
        <f>(PARAMS_MODELO!$B$20*(MAX(0,MIN(3,E696))/3)+PARAMS_MODELO!$B$21*(IFERROR(LN(1+MAX(0,G696))/LN(1+MAX(0,MAX($G$2:$G$1194))),0)))*100*PARAMS_MODELO!$B$8</f>
        <v>3.5602260706973432</v>
      </c>
      <c r="I696" s="8">
        <f>E696-PARAMS_MODELO!$B$5</f>
        <v>-0.13824757389561415</v>
      </c>
      <c r="J696" s="5">
        <f>IF(I696&lt;=PARAMS_MODELO!$B$18,0,IF(I696&gt;=PARAMS_MODELO!$B$19,100,100*(I696-PARAMS_MODELO!$B$18)/(PARAMS_MODELO!$B$19-PARAMS_MODELO!$B$18)))*PARAMS_MODELO!$B$9</f>
        <v>0</v>
      </c>
      <c r="K696" s="5">
        <f>IFERROR(CHOOSE(MATCH(PARAMS_MODELO!$B$2,{"Q1","Q2","Q3"},0),LOTO!$D696,LOTO!$F696,LOTO!$H696),0)</f>
        <v>2702500</v>
      </c>
      <c r="L696" s="8">
        <f t="shared" si="242"/>
        <v>4.6617503786798915E-2</v>
      </c>
      <c r="M696" s="5">
        <f>MIN(100,IF(PARAMS_MODELO!$B$23=0,0,100*L696/PARAMS_MODELO!$B$23))*PARAMS_MODELO!$B$10</f>
        <v>13.985251136039674</v>
      </c>
      <c r="N696" s="5">
        <f>IFERROR(VLOOKUP(A696,COMPLIANCE!$A$2:$F$1996,6,0),100)</f>
        <v>100</v>
      </c>
      <c r="O696" s="5">
        <f>N696*PARAMS_MODELO!$B$11</f>
        <v>10</v>
      </c>
      <c r="P696" s="5">
        <f>IFERROR(VLOOKUP(A696,DIGITAL!$A$2:$J$2000,7,0),100)</f>
        <v>7</v>
      </c>
      <c r="Q696" s="5">
        <f>IFERROR(P696,0)*PARAMS_MODELO!$B$12</f>
        <v>0.70000000000000007</v>
      </c>
      <c r="R696">
        <f t="shared" si="243"/>
        <v>42.005818724706351</v>
      </c>
      <c r="S696" s="5" t="str">
        <f>IFERROR(VLOOKUP(A696,CLIENTE!$A$2:$N$2000,13,0),1)</f>
        <v>Malo</v>
      </c>
      <c r="T696" s="5">
        <f>IFERROR(VLOOKUP(A696,CLIENTE!$A$2:$N$2000,14,0),1)</f>
        <v>0.7</v>
      </c>
      <c r="U696" s="5">
        <f t="shared" si="244"/>
        <v>29.404073107294444</v>
      </c>
      <c r="V696" s="5" t="str">
        <f>IF(U696&gt;=MAX(_xlfn.PERCENTILE.INC($U$2:$U$1194,PARAMS_MODELO!$B$50),PARAMS_MODELO!$B$45),"DIAMANTE",IF(U696&gt;=MAX(_xlfn.PERCENTILE.INC($U$2:$U$1194,PARAMS_MODELO!$B$51),PARAMS_MODELO!$B$46),"PLATINO",IF(U696&gt;=MAX(_xlfn.PERCENTILE.INC($U$2:$U$1194,PARAMS_MODELO!$B$52),PARAMS_MODELO!$B$47),"ORO",IF(U696&gt;=MAX(_xlfn.PERCENTILE.INC($U$2:$U$1194,PARAMS_MODELO!$B$53),PARAMS_MODELO!$B$48),"PLATA",IF(U696&gt;=1,"BRONCE","CERRADO")))))</f>
        <v>PLATA</v>
      </c>
      <c r="W696" s="5" t="str" cm="1">
        <f t="array" ref="W696">_xlfn.XLOOKUP(1, (HIST_SCORE!$B:$B=PARAMS_MODELO!$B$4) * (HIST_SCORE!$C:$C=A696), HIST_SCORE!$E:$E, "No encontrado")</f>
        <v>PLATA</v>
      </c>
      <c r="X696" s="5" t="str">
        <f>_xlfn.LET(_xlpm.act,MATCH(V696,{"DIAMANTE";"PLATINO";"ORO";"PLATA";"BRONCE";"CERRADO"},0),_xlpm.ant,MATCH(W696,{"DIAMANTE";"PLATINO";"ORO";"PLATA";"BRONCE";"CERRADO"},0),IF(_xlpm.act&lt;_xlpm.ant,"Mejora ↑",IF(_xlpm.act&gt;_xlpm.ant,"Baja ↓","Estable →")))</f>
        <v>Estable →</v>
      </c>
      <c r="Y696" s="5">
        <f>IFERROR(U696-SUMIFS(HIST_SCORE!$D:$D,HIST_SCORE!$B:$B,PARAMS_MODELO!$B$4,HIST_SCORE!$C:$C,$A696),"")</f>
        <v>-17.057886661146647</v>
      </c>
      <c r="Z696" s="5" t="str">
        <f t="shared" si="245"/>
        <v>↓ Baja</v>
      </c>
      <c r="AA696" s="5">
        <f t="shared" si="246"/>
        <v>873</v>
      </c>
      <c r="AB696" s="5">
        <f>IFERROR(SUMIFS(HIST_SCORE!$F:$F,HIST_SCORE!$B:$B,PARAMS_MODELO!$B$4,HIST_SCORE!$C:$C,$A696),"")</f>
        <v>811</v>
      </c>
      <c r="AC696" s="5">
        <f t="shared" si="247"/>
        <v>-62</v>
      </c>
      <c r="AD696" t="str">
        <f t="shared" si="249"/>
        <v/>
      </c>
      <c r="AE6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696="CERRADO",1,IF(V696="BRONCE",_xlpm.cPl,IF(V696="PLATA",_xlpm.cO,IF(V696="ORO",_xlpm.cP,IF(V696="PLATINO",_xlpm.cD,999))))))</f>
        <v>63.199193273331495</v>
      </c>
      <c r="AF6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696="CERRADO",0,IF(V696="BRONCE",1,IF(V696="PLATA",_xlpm.cPl,IF(V696="ORO",_xlpm.cO,IF(V696="PLATINO",_xlpm.cP,_xlpm.cD))))))</f>
        <v>24.506573482968111</v>
      </c>
      <c r="AG696">
        <f t="shared" si="250"/>
        <v>48.278743094338644</v>
      </c>
      <c r="AH696" t="str">
        <f t="shared" si="251"/>
        <v>VENTAS</v>
      </c>
      <c r="AI696" t="str">
        <f t="shared" si="248"/>
        <v>🎯 Para subir de categoría, eje VENTAS / DIFERENCIAL vs LOTBA (J). Acción: metas semanales + activación comercial + seguimiento del asesor. ΔR aprox: 48,3</v>
      </c>
      <c r="AJ696" s="26">
        <f>_xlfn.LET(_xlpm.piso,AF696,_xlpm.corte,AE696,_xlpm.prog,IF(_xlpm.corte&lt;=_xlpm.piso,0,MAX(0,MIN(1,(U696-_xlpm.piso)/(_xlpm.corte-_xlpm.piso)))),_xlpm.orden,{"DIAMANTE";"PLATINO";"ORO";"PLATA";"BRONCE";"CERRADO"},_xlpm.act,IFERROR(MATCH(V696,_xlpm.orden,0),6),_xlpm.ant,IFERROR(MATCH(W696,_xlpm.orden,0),6),_xlpm.ajmov,IF(_xlpm.act&lt;_xlpm.ant,0.08,IF(_xlpm.act&gt;_xlpm.ant,-0.08,0)),_xlpm.ajcli,IF(T696&lt;0.95,-0.06,0),_xlpm.prob,MAX(0,MIN(1,_xlpm.prog+_xlpm.ajmov+_xlpm.ajcli)),IF(OR(V696="DIAMANTE",V696="CERRADO"),0,ROUND(_xlpm.prob,2)))</f>
        <v>7.0000000000000007E-2</v>
      </c>
      <c r="AK696" t="str">
        <f t="shared" si="252"/>
        <v>Faltan 48,3 puntos base para subir a la siguiente categoría</v>
      </c>
      <c r="AL696" t="str">
        <f t="shared" si="253"/>
        <v>Margen de seguridad: 4,9 puntos</v>
      </c>
      <c r="AM696">
        <f t="shared" si="254"/>
        <v>0.97</v>
      </c>
      <c r="AN696" t="str">
        <f t="shared" si="255"/>
        <v>PRIORIDAD ALTA – requiere intervención inmediata</v>
      </c>
      <c r="AO696">
        <f t="shared" si="256"/>
        <v>33.279401180640235</v>
      </c>
      <c r="AP696">
        <f t="shared" si="257"/>
        <v>0.71032420477222846</v>
      </c>
      <c r="AQ696">
        <f t="shared" si="258"/>
        <v>0</v>
      </c>
      <c r="AR696">
        <f t="shared" si="259"/>
        <v>6.51</v>
      </c>
      <c r="AS696">
        <f t="shared" si="260"/>
        <v>12.601745617411908</v>
      </c>
      <c r="AT696" t="str">
        <f t="shared" si="261"/>
        <v>VENTAS</v>
      </c>
      <c r="AU696">
        <f t="shared" si="262"/>
        <v>33.279401180640235</v>
      </c>
      <c r="AV696" t="str">
        <f t="shared" si="263"/>
        <v>Mayor retorno probable: VENTAS (+33,3 puntos finales potenciales).</v>
      </c>
    </row>
    <row r="697" spans="1:48" x14ac:dyDescent="0.3">
      <c r="A697" s="5">
        <v>51032004</v>
      </c>
      <c r="B697" s="5" t="str">
        <f>IFERROR(VLOOKUP(A697,VENTAS!$A$2:$B$1194,2,0),"")</f>
        <v>MONTENEGRO</v>
      </c>
      <c r="C697" s="5">
        <f>IFERROR(INDEX(VENTAS!$C$2:$E$1194,MATCH(A697,VENTAS!$A$2:$A$1194,0),MATCH(PARAMS_MODELO!$B$2,{"Q1","Q2","Q3"},0)),0)</f>
        <v>87850314.38000001</v>
      </c>
      <c r="D697" s="5">
        <f>IFERROR(INDEX(VENTAS!$F$2:$H$1194,MATCH(A697,VENTAS!$A$2:$A$1194,0),MATCH(PARAMS_MODELO!$B$2,{"Q1","Q2","Q3"},0)),0)</f>
        <v>57937460</v>
      </c>
      <c r="E697" s="8">
        <f t="shared" si="240"/>
        <v>-0.34049797762374279</v>
      </c>
      <c r="F697" s="12">
        <f>IF(E697&lt;=PARAMS_MODELO!$B$15,0,IF(E697&gt;=PARAMS_MODELO!$B$17,100,100*MIN(1,(E697-PARAMS_MODELO!$B$15)/(PARAMS_MODELO!$B$16-PARAMS_MODELO!$B$15))))*PARAMS_MODELO!$B$7</f>
        <v>0</v>
      </c>
      <c r="G697" s="5">
        <f t="shared" si="241"/>
        <v>0</v>
      </c>
      <c r="H697" s="5">
        <f>(PARAMS_MODELO!$B$20*(MAX(0,MIN(3,E697))/3)+PARAMS_MODELO!$B$21*(IFERROR(LN(1+MAX(0,G697))/LN(1+MAX(0,MAX($G$2:$G$1194))),0)))*100*PARAMS_MODELO!$B$8</f>
        <v>0</v>
      </c>
      <c r="I697" s="8">
        <f>E697-PARAMS_MODELO!$B$5</f>
        <v>-0.51806081299926932</v>
      </c>
      <c r="J697" s="5">
        <f>IF(I697&lt;=PARAMS_MODELO!$B$18,0,IF(I697&gt;=PARAMS_MODELO!$B$19,100,100*(I697-PARAMS_MODELO!$B$18)/(PARAMS_MODELO!$B$19-PARAMS_MODELO!$B$18)))*PARAMS_MODELO!$B$9</f>
        <v>0</v>
      </c>
      <c r="K697" s="5">
        <f>IFERROR(CHOOSE(MATCH(PARAMS_MODELO!$B$2,{"Q1","Q2","Q3"},0),LOTO!$D697,LOTO!$F697,LOTO!$H697),0)</f>
        <v>2702500</v>
      </c>
      <c r="L697" s="8">
        <f t="shared" si="242"/>
        <v>4.6645123897388667E-2</v>
      </c>
      <c r="M697" s="5">
        <f>MIN(100,IF(PARAMS_MODELO!$B$23=0,0,100*L697/PARAMS_MODELO!$B$23))*PARAMS_MODELO!$B$10</f>
        <v>13.993537169216596</v>
      </c>
      <c r="N697" s="5">
        <f>IFERROR(VLOOKUP(A697,COMPLIANCE!$A$2:$F$1996,6,0),100)</f>
        <v>99.65</v>
      </c>
      <c r="O697" s="5">
        <f>N697*PARAMS_MODELO!$B$11</f>
        <v>9.9650000000000016</v>
      </c>
      <c r="P697" s="5">
        <f>IFERROR(VLOOKUP(A697,DIGITAL!$A$2:$J$2000,7,0),100)</f>
        <v>1</v>
      </c>
      <c r="Q697" s="5">
        <f>IFERROR(P697,0)*PARAMS_MODELO!$B$12</f>
        <v>0.1</v>
      </c>
      <c r="R697">
        <f t="shared" si="243"/>
        <v>24.058537169216599</v>
      </c>
      <c r="S697" s="5" t="str">
        <f>IFERROR(VLOOKUP(A697,CLIENTE!$A$2:$N$2000,13,0),1)</f>
        <v>Malo</v>
      </c>
      <c r="T697" s="5">
        <f>IFERROR(VLOOKUP(A697,CLIENTE!$A$2:$N$2000,14,0),1)</f>
        <v>0.7</v>
      </c>
      <c r="U697" s="5">
        <f t="shared" si="244"/>
        <v>16.840976018451617</v>
      </c>
      <c r="V697" s="5" t="str">
        <f>IF(U697&gt;=MAX(_xlfn.PERCENTILE.INC($U$2:$U$1194,PARAMS_MODELO!$B$50),PARAMS_MODELO!$B$45),"DIAMANTE",IF(U697&gt;=MAX(_xlfn.PERCENTILE.INC($U$2:$U$1194,PARAMS_MODELO!$B$51),PARAMS_MODELO!$B$46),"PLATINO",IF(U697&gt;=MAX(_xlfn.PERCENTILE.INC($U$2:$U$1194,PARAMS_MODELO!$B$52),PARAMS_MODELO!$B$47),"ORO",IF(U697&gt;=MAX(_xlfn.PERCENTILE.INC($U$2:$U$1194,PARAMS_MODELO!$B$53),PARAMS_MODELO!$B$48),"PLATA",IF(U697&gt;=1,"BRONCE","CERRADO")))))</f>
        <v>BRONCE</v>
      </c>
      <c r="W697" s="5" t="str" cm="1">
        <f t="array" ref="W697">_xlfn.XLOOKUP(1, (HIST_SCORE!$B:$B=PARAMS_MODELO!$B$4) * (HIST_SCORE!$C:$C=A697), HIST_SCORE!$E:$E, "No encontrado")</f>
        <v>BRONCE</v>
      </c>
      <c r="X697" s="5" t="str">
        <f>_xlfn.LET(_xlpm.act,MATCH(V697,{"DIAMANTE";"PLATINO";"ORO";"PLATA";"BRONCE";"CERRADO"},0),_xlpm.ant,MATCH(W697,{"DIAMANTE";"PLATINO";"ORO";"PLATA";"BRONCE";"CERRADO"},0),IF(_xlpm.act&lt;_xlpm.ant,"Mejora ↑",IF(_xlpm.act&gt;_xlpm.ant,"Baja ↓","Estable →")))</f>
        <v>Estable →</v>
      </c>
      <c r="Y697" s="5">
        <f>IFERROR(U697-SUMIFS(HIST_SCORE!$D:$D,HIST_SCORE!$B:$B,PARAMS_MODELO!$B$4,HIST_SCORE!$C:$C,$A697),"")</f>
        <v>1.3152194210776766</v>
      </c>
      <c r="Z697" s="5" t="str">
        <f t="shared" si="245"/>
        <v>→ Estable</v>
      </c>
      <c r="AA697" s="5">
        <f t="shared" si="246"/>
        <v>1054</v>
      </c>
      <c r="AB697" s="5">
        <f>IFERROR(SUMIFS(HIST_SCORE!$F:$F,HIST_SCORE!$B:$B,PARAMS_MODELO!$B$4,HIST_SCORE!$C:$C,$A697),"")</f>
        <v>1070</v>
      </c>
      <c r="AC697" s="5">
        <f t="shared" si="247"/>
        <v>16</v>
      </c>
      <c r="AD697" t="str">
        <f t="shared" si="249"/>
        <v/>
      </c>
      <c r="AE6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697="CERRADO",1,IF(V697="BRONCE",_xlpm.cPl,IF(V697="PLATA",_xlpm.cO,IF(V697="ORO",_xlpm.cP,IF(V697="PLATINO",_xlpm.cD,999))))))</f>
        <v>24.506573482968111</v>
      </c>
      <c r="AF6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697="CERRADO",0,IF(V697="BRONCE",1,IF(V697="PLATA",_xlpm.cPl,IF(V697="ORO",_xlpm.cO,IF(V697="PLATINO",_xlpm.cP,_xlpm.cD))))))</f>
        <v>1</v>
      </c>
      <c r="AG697">
        <f t="shared" si="250"/>
        <v>10.950853520737844</v>
      </c>
      <c r="AH697" t="str">
        <f t="shared" si="251"/>
        <v>VENTAS</v>
      </c>
      <c r="AI697" t="str">
        <f t="shared" si="248"/>
        <v>🎯 Para subir de categoría, eje VENTAS / CRECIMIENTO PERSONAL (F). Acción: metas semanales + activación comercial + seguimiento del asesor. ΔR aprox: 11,0</v>
      </c>
      <c r="AJ697" s="26">
        <f>_xlfn.LET(_xlpm.piso,AF697,_xlpm.corte,AE697,_xlpm.prog,IF(_xlpm.corte&lt;=_xlpm.piso,0,MAX(0,MIN(1,(U697-_xlpm.piso)/(_xlpm.corte-_xlpm.piso)))),_xlpm.orden,{"DIAMANTE";"PLATINO";"ORO";"PLATA";"BRONCE";"CERRADO"},_xlpm.act,IFERROR(MATCH(V697,_xlpm.orden,0),6),_xlpm.ant,IFERROR(MATCH(W697,_xlpm.orden,0),6),_xlpm.ajmov,IF(_xlpm.act&lt;_xlpm.ant,0.08,IF(_xlpm.act&gt;_xlpm.ant,-0.08,0)),_xlpm.ajcli,IF(T697&lt;0.95,-0.06,0),_xlpm.prob,MAX(0,MIN(1,_xlpm.prog+_xlpm.ajmov+_xlpm.ajcli)),IF(OR(V697="DIAMANTE",V697="CERRADO"),0,ROUND(_xlpm.prob,2)))</f>
        <v>0.61</v>
      </c>
      <c r="AK697" t="str">
        <f t="shared" si="252"/>
        <v>Faltan 11,0 puntos base para subir a la siguiente categoría</v>
      </c>
      <c r="AL697" t="str">
        <f t="shared" si="253"/>
        <v>No aplica</v>
      </c>
      <c r="AM697">
        <f t="shared" si="254"/>
        <v>0.76</v>
      </c>
      <c r="AN697" t="str">
        <f t="shared" si="255"/>
        <v>PRIORIDAD ALTA – requiere intervención inmediata</v>
      </c>
      <c r="AO697">
        <f t="shared" si="256"/>
        <v>45.403798492706905</v>
      </c>
      <c r="AP697">
        <f t="shared" si="257"/>
        <v>0.70452398154838258</v>
      </c>
      <c r="AQ697">
        <f t="shared" si="258"/>
        <v>2.4499999999998856E-2</v>
      </c>
      <c r="AR697">
        <f t="shared" si="259"/>
        <v>6.93</v>
      </c>
      <c r="AS697">
        <f t="shared" si="260"/>
        <v>7.2175611507649808</v>
      </c>
      <c r="AT697" t="str">
        <f t="shared" si="261"/>
        <v>VENTAS</v>
      </c>
      <c r="AU697">
        <f t="shared" si="262"/>
        <v>45.403798492706905</v>
      </c>
      <c r="AV697" t="str">
        <f t="shared" si="263"/>
        <v>Mayor retorno probable: VENTAS (+45,4 puntos finales potenciales).</v>
      </c>
    </row>
    <row r="698" spans="1:48" x14ac:dyDescent="0.3">
      <c r="A698" s="5">
        <v>51019253</v>
      </c>
      <c r="B698" s="5" t="str">
        <f>IFERROR(VLOOKUP(A698,VENTAS!$A$2:$B$1194,2,0),"")</f>
        <v>PRADES</v>
      </c>
      <c r="C698" s="5">
        <f>IFERROR(INDEX(VENTAS!$C$2:$E$1194,MATCH(A698,VENTAS!$A$2:$A$1194,0),MATCH(PARAMS_MODELO!$B$2,{"Q1","Q2","Q3"},0)),0)</f>
        <v>35067911.700000003</v>
      </c>
      <c r="D698" s="5">
        <f>IFERROR(INDEX(VENTAS!$F$2:$H$1194,MATCH(A698,VENTAS!$A$2:$A$1194,0),MATCH(PARAMS_MODELO!$B$2,{"Q1","Q2","Q3"},0)),0)</f>
        <v>57846290</v>
      </c>
      <c r="E698" s="8">
        <f t="shared" si="240"/>
        <v>0.64955046353672641</v>
      </c>
      <c r="F698" s="12">
        <f>IF(E698&lt;=PARAMS_MODELO!$B$15,0,IF(E698&gt;=PARAMS_MODELO!$B$17,100,100*MIN(1,(E698-PARAMS_MODELO!$B$15)/(PARAMS_MODELO!$B$16-PARAMS_MODELO!$B$15))))*PARAMS_MODELO!$B$7</f>
        <v>35</v>
      </c>
      <c r="G698" s="5">
        <f t="shared" si="241"/>
        <v>22778378.299999997</v>
      </c>
      <c r="H698" s="5">
        <f>(PARAMS_MODELO!$B$20*(MAX(0,MIN(3,E698))/3)+PARAMS_MODELO!$B$21*(IFERROR(LN(1+MAX(0,G698))/LN(1+MAX(0,MAX($G$2:$G$1194))),0)))*100*PARAMS_MODELO!$B$8</f>
        <v>6.2447090979823665</v>
      </c>
      <c r="I698" s="8">
        <f>E698-PARAMS_MODELO!$B$5</f>
        <v>0.47198762816119988</v>
      </c>
      <c r="J698" s="5">
        <f>IF(I698&lt;=PARAMS_MODELO!$B$18,0,IF(I698&gt;=PARAMS_MODELO!$B$19,100,100*(I698-PARAMS_MODELO!$B$18)/(PARAMS_MODELO!$B$19-PARAMS_MODELO!$B$18)))*PARAMS_MODELO!$B$9</f>
        <v>15</v>
      </c>
      <c r="K698" s="5">
        <f>IFERROR(CHOOSE(MATCH(PARAMS_MODELO!$B$2,{"Q1","Q2","Q3"},0),LOTO!$D698,LOTO!$F698,LOTO!$H698),0)</f>
        <v>2702500</v>
      </c>
      <c r="L698" s="8">
        <f t="shared" si="242"/>
        <v>4.6718640037243526E-2</v>
      </c>
      <c r="M698" s="5">
        <f>MIN(100,IF(PARAMS_MODELO!$B$23=0,0,100*L698/PARAMS_MODELO!$B$23))*PARAMS_MODELO!$B$10</f>
        <v>14.015592011173057</v>
      </c>
      <c r="N698" s="5">
        <f>IFERROR(VLOOKUP(A698,COMPLIANCE!$A$2:$F$1996,6,0),100)</f>
        <v>99.98</v>
      </c>
      <c r="O698" s="5">
        <f>N698*PARAMS_MODELO!$B$11</f>
        <v>9.9980000000000011</v>
      </c>
      <c r="P698" s="5">
        <f>IFERROR(VLOOKUP(A698,DIGITAL!$A$2:$J$2000,7,0),100)</f>
        <v>97</v>
      </c>
      <c r="Q698" s="5">
        <f>IFERROR(P698,0)*PARAMS_MODELO!$B$12</f>
        <v>9.7000000000000011</v>
      </c>
      <c r="R698">
        <f t="shared" si="243"/>
        <v>89.958301109155428</v>
      </c>
      <c r="S698" s="5" t="str">
        <f>IFERROR(VLOOKUP(A698,CLIENTE!$A$2:$N$2000,13,0),1)</f>
        <v>Malo</v>
      </c>
      <c r="T698" s="5">
        <f>IFERROR(VLOOKUP(A698,CLIENTE!$A$2:$N$2000,14,0),1)</f>
        <v>0.7</v>
      </c>
      <c r="U698" s="5">
        <f t="shared" si="244"/>
        <v>62.970810776408797</v>
      </c>
      <c r="V698" s="5" t="str">
        <f>IF(U698&gt;=MAX(_xlfn.PERCENTILE.INC($U$2:$U$1194,PARAMS_MODELO!$B$50),PARAMS_MODELO!$B$45),"DIAMANTE",IF(U698&gt;=MAX(_xlfn.PERCENTILE.INC($U$2:$U$1194,PARAMS_MODELO!$B$51),PARAMS_MODELO!$B$46),"PLATINO",IF(U698&gt;=MAX(_xlfn.PERCENTILE.INC($U$2:$U$1194,PARAMS_MODELO!$B$52),PARAMS_MODELO!$B$47),"ORO",IF(U698&gt;=MAX(_xlfn.PERCENTILE.INC($U$2:$U$1194,PARAMS_MODELO!$B$53),PARAMS_MODELO!$B$48),"PLATA",IF(U698&gt;=1,"BRONCE","CERRADO")))))</f>
        <v>PLATA</v>
      </c>
      <c r="W698" s="5" t="str" cm="1">
        <f t="array" ref="W698">_xlfn.XLOOKUP(1, (HIST_SCORE!$B:$B=PARAMS_MODELO!$B$4) * (HIST_SCORE!$C:$C=A698), HIST_SCORE!$E:$E, "No encontrado")</f>
        <v>PLATA</v>
      </c>
      <c r="X698" s="5" t="str">
        <f>_xlfn.LET(_xlpm.act,MATCH(V698,{"DIAMANTE";"PLATINO";"ORO";"PLATA";"BRONCE";"CERRADO"},0),_xlpm.ant,MATCH(W698,{"DIAMANTE";"PLATINO";"ORO";"PLATA";"BRONCE";"CERRADO"},0),IF(_xlpm.act&lt;_xlpm.ant,"Mejora ↑",IF(_xlpm.act&gt;_xlpm.ant,"Baja ↓","Estable →")))</f>
        <v>Estable →</v>
      </c>
      <c r="Y698" s="5">
        <f>IFERROR(U698-SUMIFS(HIST_SCORE!$D:$D,HIST_SCORE!$B:$B,PARAMS_MODELO!$B$4,HIST_SCORE!$C:$C,$A698),"")</f>
        <v>4.1172096620525878</v>
      </c>
      <c r="Z698" s="5" t="str">
        <f t="shared" si="245"/>
        <v>→ Estable</v>
      </c>
      <c r="AA698" s="5">
        <f t="shared" si="246"/>
        <v>561</v>
      </c>
      <c r="AB698" s="5">
        <f>IFERROR(SUMIFS(HIST_SCORE!$F:$F,HIST_SCORE!$B:$B,PARAMS_MODELO!$B$4,HIST_SCORE!$C:$C,$A698),"")</f>
        <v>664</v>
      </c>
      <c r="AC698" s="5">
        <f t="shared" si="247"/>
        <v>103</v>
      </c>
      <c r="AD698" t="str">
        <f t="shared" si="249"/>
        <v/>
      </c>
      <c r="AE6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698="CERRADO",1,IF(V698="BRONCE",_xlpm.cPl,IF(V698="PLATA",_xlpm.cO,IF(V698="ORO",_xlpm.cP,IF(V698="PLATINO",_xlpm.cD,999))))))</f>
        <v>63.199193273331495</v>
      </c>
      <c r="AF6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698="CERRADO",0,IF(V698="BRONCE",1,IF(V698="PLATA",_xlpm.cPl,IF(V698="ORO",_xlpm.cO,IF(V698="PLATINO",_xlpm.cP,_xlpm.cD))))))</f>
        <v>24.506573482968111</v>
      </c>
      <c r="AG698">
        <f t="shared" si="250"/>
        <v>0.32626070988956712</v>
      </c>
      <c r="AH698" t="str">
        <f t="shared" si="251"/>
        <v>CLIENTE</v>
      </c>
      <c r="AI698" t="str">
        <f t="shared" si="248"/>
        <v>🎯 Para subir de categoría, la eje con mayor impacto probable es CLIENTE (coef T). Acción: reducir quejas, mejorar incógnito y empujar reseñas. ΔR aprox: 0,3</v>
      </c>
      <c r="AJ698" s="26">
        <f>_xlfn.LET(_xlpm.piso,AF698,_xlpm.corte,AE698,_xlpm.prog,IF(_xlpm.corte&lt;=_xlpm.piso,0,MAX(0,MIN(1,(U698-_xlpm.piso)/(_xlpm.corte-_xlpm.piso)))),_xlpm.orden,{"DIAMANTE";"PLATINO";"ORO";"PLATA";"BRONCE";"CERRADO"},_xlpm.act,IFERROR(MATCH(V698,_xlpm.orden,0),6),_xlpm.ant,IFERROR(MATCH(W698,_xlpm.orden,0),6),_xlpm.ajmov,IF(_xlpm.act&lt;_xlpm.ant,0.08,IF(_xlpm.act&gt;_xlpm.ant,-0.08,0)),_xlpm.ajcli,IF(T698&lt;0.95,-0.06,0),_xlpm.prob,MAX(0,MIN(1,_xlpm.prog+_xlpm.ajmov+_xlpm.ajcli)),IF(OR(V698="DIAMANTE",V698="CERRADO"),0,ROUND(_xlpm.prob,2)))</f>
        <v>0.93</v>
      </c>
      <c r="AK698" t="str">
        <f t="shared" si="252"/>
        <v>Faltan 0,3 puntos base para subir a la siguiente categoría</v>
      </c>
      <c r="AL698" t="str">
        <f t="shared" si="253"/>
        <v>Margen de seguridad: 38,5 puntos</v>
      </c>
      <c r="AM698">
        <f t="shared" si="254"/>
        <v>0.24</v>
      </c>
      <c r="AN698" t="str">
        <f t="shared" si="255"/>
        <v>PRIORIDAD BAJA – control normal</v>
      </c>
      <c r="AO698">
        <f t="shared" si="256"/>
        <v>6.0325021241192527</v>
      </c>
      <c r="AP698">
        <f t="shared" si="257"/>
        <v>0.68908559217886012</v>
      </c>
      <c r="AQ698">
        <f t="shared" si="258"/>
        <v>1.3999999999992239E-3</v>
      </c>
      <c r="AR698">
        <f t="shared" si="259"/>
        <v>0.20999999999999924</v>
      </c>
      <c r="AS698">
        <f t="shared" si="260"/>
        <v>26.987490332746631</v>
      </c>
      <c r="AT698" t="str">
        <f t="shared" si="261"/>
        <v>CLIENTE</v>
      </c>
      <c r="AU698">
        <f t="shared" si="262"/>
        <v>26.987490332746631</v>
      </c>
      <c r="AV698" t="str">
        <f t="shared" si="263"/>
        <v>Mayor retorno probable: CLIENTE (+27,0 puntos finales potenciales).</v>
      </c>
    </row>
    <row r="699" spans="1:48" x14ac:dyDescent="0.3">
      <c r="A699" s="5">
        <v>51008413</v>
      </c>
      <c r="B699" s="5" t="str">
        <f>IFERROR(VLOOKUP(A699,VENTAS!$A$2:$B$1194,2,0),"")</f>
        <v>CICHETTO</v>
      </c>
      <c r="C699" s="5">
        <f>IFERROR(INDEX(VENTAS!$C$2:$E$1194,MATCH(A699,VENTAS!$A$2:$A$1194,0),MATCH(PARAMS_MODELO!$B$2,{"Q1","Q2","Q3"},0)),0)</f>
        <v>40879297.960000001</v>
      </c>
      <c r="D699" s="5">
        <f>IFERROR(INDEX(VENTAS!$F$2:$H$1194,MATCH(A699,VENTAS!$A$2:$A$1194,0),MATCH(PARAMS_MODELO!$B$2,{"Q1","Q2","Q3"},0)),0)</f>
        <v>57735731</v>
      </c>
      <c r="E699" s="8">
        <f t="shared" si="240"/>
        <v>0.41234644138198884</v>
      </c>
      <c r="F699" s="12">
        <f>IF(E699&lt;=PARAMS_MODELO!$B$15,0,IF(E699&gt;=PARAMS_MODELO!$B$17,100,100*MIN(1,(E699-PARAMS_MODELO!$B$15)/(PARAMS_MODELO!$B$16-PARAMS_MODELO!$B$15))))*PARAMS_MODELO!$B$7</f>
        <v>35</v>
      </c>
      <c r="G699" s="5">
        <f t="shared" si="241"/>
        <v>16856433.039999999</v>
      </c>
      <c r="H699" s="5">
        <f>(PARAMS_MODELO!$B$20*(MAX(0,MIN(3,E699))/3)+PARAMS_MODELO!$B$21*(IFERROR(LN(1+MAX(0,G699))/LN(1+MAX(0,MAX($G$2:$G$1194))),0)))*100*PARAMS_MODELO!$B$8</f>
        <v>5.3439178096257471</v>
      </c>
      <c r="I699" s="8">
        <f>E699-PARAMS_MODELO!$B$5</f>
        <v>0.23478360600646231</v>
      </c>
      <c r="J699" s="5">
        <f>IF(I699&lt;=PARAMS_MODELO!$B$18,0,IF(I699&gt;=PARAMS_MODELO!$B$19,100,100*(I699-PARAMS_MODELO!$B$18)/(PARAMS_MODELO!$B$19-PARAMS_MODELO!$B$18)))*PARAMS_MODELO!$B$9</f>
        <v>15</v>
      </c>
      <c r="K699" s="5">
        <f>IFERROR(CHOOSE(MATCH(PARAMS_MODELO!$B$2,{"Q1","Q2","Q3"},0),LOTO!$D699,LOTO!$F699,LOTO!$H699),0)</f>
        <v>2685000</v>
      </c>
      <c r="L699" s="8">
        <f t="shared" si="242"/>
        <v>4.6504997052864885E-2</v>
      </c>
      <c r="M699" s="5">
        <f>MIN(100,IF(PARAMS_MODELO!$B$23=0,0,100*L699/PARAMS_MODELO!$B$23))*PARAMS_MODELO!$B$10</f>
        <v>13.951499115859466</v>
      </c>
      <c r="N699" s="5">
        <f>IFERROR(VLOOKUP(A699,COMPLIANCE!$A$2:$F$1996,6,0),100)</f>
        <v>100</v>
      </c>
      <c r="O699" s="5">
        <f>N699*PARAMS_MODELO!$B$11</f>
        <v>10</v>
      </c>
      <c r="P699" s="5">
        <f>IFERROR(VLOOKUP(A699,DIGITAL!$A$2:$J$2000,7,0),100)</f>
        <v>66</v>
      </c>
      <c r="Q699" s="5">
        <f>IFERROR(P699,0)*PARAMS_MODELO!$B$12</f>
        <v>6.6000000000000005</v>
      </c>
      <c r="R699">
        <f t="shared" si="243"/>
        <v>85.895416925485208</v>
      </c>
      <c r="S699" s="5" t="str">
        <f>IFERROR(VLOOKUP(A699,CLIENTE!$A$2:$N$2000,13,0),1)</f>
        <v>Malo</v>
      </c>
      <c r="T699" s="5">
        <f>IFERROR(VLOOKUP(A699,CLIENTE!$A$2:$N$2000,14,0),1)</f>
        <v>0.7</v>
      </c>
      <c r="U699" s="5">
        <f t="shared" si="244"/>
        <v>60.126791847839641</v>
      </c>
      <c r="V699" s="5" t="str">
        <f>IF(U699&gt;=MAX(_xlfn.PERCENTILE.INC($U$2:$U$1194,PARAMS_MODELO!$B$50),PARAMS_MODELO!$B$45),"DIAMANTE",IF(U699&gt;=MAX(_xlfn.PERCENTILE.INC($U$2:$U$1194,PARAMS_MODELO!$B$51),PARAMS_MODELO!$B$46),"PLATINO",IF(U699&gt;=MAX(_xlfn.PERCENTILE.INC($U$2:$U$1194,PARAMS_MODELO!$B$52),PARAMS_MODELO!$B$47),"ORO",IF(U699&gt;=MAX(_xlfn.PERCENTILE.INC($U$2:$U$1194,PARAMS_MODELO!$B$53),PARAMS_MODELO!$B$48),"PLATA",IF(U699&gt;=1,"BRONCE","CERRADO")))))</f>
        <v>PLATA</v>
      </c>
      <c r="W699" s="5" t="str" cm="1">
        <f t="array" ref="W699">_xlfn.XLOOKUP(1, (HIST_SCORE!$B:$B=PARAMS_MODELO!$B$4) * (HIST_SCORE!$C:$C=A699), HIST_SCORE!$E:$E, "No encontrado")</f>
        <v>PLATA</v>
      </c>
      <c r="X699" s="5" t="str">
        <f>_xlfn.LET(_xlpm.act,MATCH(V699,{"DIAMANTE";"PLATINO";"ORO";"PLATA";"BRONCE";"CERRADO"},0),_xlpm.ant,MATCH(W699,{"DIAMANTE";"PLATINO";"ORO";"PLATA";"BRONCE";"CERRADO"},0),IF(_xlpm.act&lt;_xlpm.ant,"Mejora ↑",IF(_xlpm.act&gt;_xlpm.ant,"Baja ↓","Estable →")))</f>
        <v>Estable →</v>
      </c>
      <c r="Y699" s="5">
        <f>IFERROR(U699-SUMIFS(HIST_SCORE!$D:$D,HIST_SCORE!$B:$B,PARAMS_MODELO!$B$4,HIST_SCORE!$C:$C,$A699),"")</f>
        <v>-0.25758356973887686</v>
      </c>
      <c r="Z699" s="5" t="str">
        <f t="shared" si="245"/>
        <v>→ Estable</v>
      </c>
      <c r="AA699" s="5">
        <f t="shared" si="246"/>
        <v>617</v>
      </c>
      <c r="AB699" s="5">
        <f>IFERROR(SUMIFS(HIST_SCORE!$F:$F,HIST_SCORE!$B:$B,PARAMS_MODELO!$B$4,HIST_SCORE!$C:$C,$A699),"")</f>
        <v>645</v>
      </c>
      <c r="AC699" s="5">
        <f t="shared" si="247"/>
        <v>28</v>
      </c>
      <c r="AD699" t="str">
        <f t="shared" si="249"/>
        <v/>
      </c>
      <c r="AE6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699="CERRADO",1,IF(V699="BRONCE",_xlpm.cPl,IF(V699="PLATA",_xlpm.cO,IF(V699="ORO",_xlpm.cP,IF(V699="PLATINO",_xlpm.cD,999))))))</f>
        <v>63.199193273331495</v>
      </c>
      <c r="AF6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699="CERRADO",0,IF(V699="BRONCE",1,IF(V699="PLATA",_xlpm.cPl,IF(V699="ORO",_xlpm.cO,IF(V699="PLATINO",_xlpm.cP,_xlpm.cD))))))</f>
        <v>24.506573482968111</v>
      </c>
      <c r="AG699">
        <f t="shared" si="250"/>
        <v>4.3891448935597879</v>
      </c>
      <c r="AH699" t="str">
        <f t="shared" si="251"/>
        <v>CLIENTE</v>
      </c>
      <c r="AI699" t="str">
        <f t="shared" si="248"/>
        <v>🎯 Para subir de categoría, la eje con mayor impacto probable es CLIENTE (coef T). Acción: reducir quejas, mejorar incógnito y empujar reseñas. ΔR aprox: 4,4</v>
      </c>
      <c r="AJ699" s="26">
        <f>_xlfn.LET(_xlpm.piso,AF699,_xlpm.corte,AE699,_xlpm.prog,IF(_xlpm.corte&lt;=_xlpm.piso,0,MAX(0,MIN(1,(U699-_xlpm.piso)/(_xlpm.corte-_xlpm.piso)))),_xlpm.orden,{"DIAMANTE";"PLATINO";"ORO";"PLATA";"BRONCE";"CERRADO"},_xlpm.act,IFERROR(MATCH(V699,_xlpm.orden,0),6),_xlpm.ant,IFERROR(MATCH(W699,_xlpm.orden,0),6),_xlpm.ajmov,IF(_xlpm.act&lt;_xlpm.ant,0.08,IF(_xlpm.act&gt;_xlpm.ant,-0.08,0)),_xlpm.ajcli,IF(T699&lt;0.95,-0.06,0),_xlpm.prob,MAX(0,MIN(1,_xlpm.prog+_xlpm.ajmov+_xlpm.ajcli)),IF(OR(V699="DIAMANTE",V699="CERRADO"),0,ROUND(_xlpm.prob,2)))</f>
        <v>0.86</v>
      </c>
      <c r="AK699" t="str">
        <f t="shared" si="252"/>
        <v>Faltan 4,4 puntos base para subir a la siguiente categoría</v>
      </c>
      <c r="AL699" t="str">
        <f t="shared" si="253"/>
        <v>Margen de seguridad: 35,6 puntos</v>
      </c>
      <c r="AM699">
        <f t="shared" si="254"/>
        <v>0.43</v>
      </c>
      <c r="AN699" t="str">
        <f t="shared" si="255"/>
        <v>PRIORIDAD MEDIA – seguimiento del asesor</v>
      </c>
      <c r="AO699">
        <f t="shared" si="256"/>
        <v>6.6630560259688831</v>
      </c>
      <c r="AP699">
        <f t="shared" si="257"/>
        <v>0.73395061889837365</v>
      </c>
      <c r="AQ699">
        <f t="shared" si="258"/>
        <v>0</v>
      </c>
      <c r="AR699">
        <f t="shared" si="259"/>
        <v>2.3799999999999994</v>
      </c>
      <c r="AS699">
        <f t="shared" si="260"/>
        <v>25.768625077645567</v>
      </c>
      <c r="AT699" t="str">
        <f t="shared" si="261"/>
        <v>CLIENTE</v>
      </c>
      <c r="AU699">
        <f t="shared" si="262"/>
        <v>25.768625077645567</v>
      </c>
      <c r="AV699" t="str">
        <f t="shared" si="263"/>
        <v>Mayor retorno probable: CLIENTE (+25,8 puntos finales potenciales).</v>
      </c>
    </row>
    <row r="700" spans="1:48" x14ac:dyDescent="0.3">
      <c r="A700" s="5">
        <v>51018265</v>
      </c>
      <c r="B700" s="5" t="str">
        <f>IFERROR(VLOOKUP(A700,VENTAS!$A$2:$B$1194,2,0),"")</f>
        <v>PRADES</v>
      </c>
      <c r="C700" s="5">
        <f>IFERROR(INDEX(VENTAS!$C$2:$E$1194,MATCH(A700,VENTAS!$A$2:$A$1194,0),MATCH(PARAMS_MODELO!$B$2,{"Q1","Q2","Q3"},0)),0)</f>
        <v>50549441.979999997</v>
      </c>
      <c r="D700" s="5">
        <f>IFERROR(INDEX(VENTAS!$F$2:$H$1194,MATCH(A700,VENTAS!$A$2:$A$1194,0),MATCH(PARAMS_MODELO!$B$2,{"Q1","Q2","Q3"},0)),0)</f>
        <v>57530044</v>
      </c>
      <c r="E700" s="8">
        <f t="shared" si="240"/>
        <v>0.13809454163236645</v>
      </c>
      <c r="F700" s="12">
        <f>IF(E700&lt;=PARAMS_MODELO!$B$15,0,IF(E700&gt;=PARAMS_MODELO!$B$17,100,100*MIN(1,(E700-PARAMS_MODELO!$B$15)/(PARAMS_MODELO!$B$16-PARAMS_MODELO!$B$15))))*PARAMS_MODELO!$B$7</f>
        <v>35</v>
      </c>
      <c r="G700" s="5">
        <f t="shared" si="241"/>
        <v>6980602.0200000033</v>
      </c>
      <c r="H700" s="5">
        <f>(PARAMS_MODELO!$B$20*(MAX(0,MIN(3,E700))/3)+PARAMS_MODELO!$B$21*(IFERROR(LN(1+MAX(0,G700))/LN(1+MAX(0,MAX($G$2:$G$1194))),0)))*100*PARAMS_MODELO!$B$8</f>
        <v>4.1773774877591325</v>
      </c>
      <c r="I700" s="8">
        <f>E700-PARAMS_MODELO!$B$5</f>
        <v>-3.9468293743160077E-2</v>
      </c>
      <c r="J700" s="5">
        <f>IF(I700&lt;=PARAMS_MODELO!$B$18,0,IF(I700&gt;=PARAMS_MODELO!$B$19,100,100*(I700-PARAMS_MODELO!$B$18)/(PARAMS_MODELO!$B$19-PARAMS_MODELO!$B$18)))*PARAMS_MODELO!$B$9</f>
        <v>1.5797559385259887</v>
      </c>
      <c r="K700" s="5">
        <f>IFERROR(CHOOSE(MATCH(PARAMS_MODELO!$B$2,{"Q1","Q2","Q3"},0),LOTO!$D700,LOTO!$F700,LOTO!$H700),0)</f>
        <v>2680000</v>
      </c>
      <c r="L700" s="8">
        <f t="shared" si="242"/>
        <v>4.6584355124080906E-2</v>
      </c>
      <c r="M700" s="5">
        <f>MIN(100,IF(PARAMS_MODELO!$B$23=0,0,100*L700/PARAMS_MODELO!$B$23))*PARAMS_MODELO!$B$10</f>
        <v>13.975306537224272</v>
      </c>
      <c r="N700" s="5">
        <f>IFERROR(VLOOKUP(A700,COMPLIANCE!$A$2:$F$1996,6,0),100)</f>
        <v>100</v>
      </c>
      <c r="O700" s="5">
        <f>N700*PARAMS_MODELO!$B$11</f>
        <v>10</v>
      </c>
      <c r="P700" s="5">
        <f>IFERROR(VLOOKUP(A700,DIGITAL!$A$2:$J$2000,7,0),100)</f>
        <v>40</v>
      </c>
      <c r="Q700" s="5">
        <f>IFERROR(P700,0)*PARAMS_MODELO!$B$12</f>
        <v>4</v>
      </c>
      <c r="R700">
        <f t="shared" si="243"/>
        <v>68.732439963509393</v>
      </c>
      <c r="S700" s="5" t="str">
        <f>IFERROR(VLOOKUP(A700,CLIENTE!$A$2:$N$2000,13,0),1)</f>
        <v>Bueno</v>
      </c>
      <c r="T700" s="5">
        <f>IFERROR(VLOOKUP(A700,CLIENTE!$A$2:$N$2000,14,0),1)</f>
        <v>1.1000000000000001</v>
      </c>
      <c r="U700" s="5">
        <f t="shared" si="244"/>
        <v>75.605683959860343</v>
      </c>
      <c r="V700" s="5" t="str">
        <f>IF(U700&gt;=MAX(_xlfn.PERCENTILE.INC($U$2:$U$1194,PARAMS_MODELO!$B$50),PARAMS_MODELO!$B$45),"DIAMANTE",IF(U700&gt;=MAX(_xlfn.PERCENTILE.INC($U$2:$U$1194,PARAMS_MODELO!$B$51),PARAMS_MODELO!$B$46),"PLATINO",IF(U700&gt;=MAX(_xlfn.PERCENTILE.INC($U$2:$U$1194,PARAMS_MODELO!$B$52),PARAMS_MODELO!$B$47),"ORO",IF(U700&gt;=MAX(_xlfn.PERCENTILE.INC($U$2:$U$1194,PARAMS_MODELO!$B$53),PARAMS_MODELO!$B$48),"PLATA",IF(U700&gt;=1,"BRONCE","CERRADO")))))</f>
        <v>ORO</v>
      </c>
      <c r="W700" s="5" t="str" cm="1">
        <f t="array" ref="W700">_xlfn.XLOOKUP(1, (HIST_SCORE!$B:$B=PARAMS_MODELO!$B$4) * (HIST_SCORE!$C:$C=A700), HIST_SCORE!$E:$E, "No encontrado")</f>
        <v>PLATINO</v>
      </c>
      <c r="X700" s="5" t="str">
        <f>_xlfn.LET(_xlpm.act,MATCH(V700,{"DIAMANTE";"PLATINO";"ORO";"PLATA";"BRONCE";"CERRADO"},0),_xlpm.ant,MATCH(W700,{"DIAMANTE";"PLATINO";"ORO";"PLATA";"BRONCE";"CERRADO"},0),IF(_xlpm.act&lt;_xlpm.ant,"Mejora ↑",IF(_xlpm.act&gt;_xlpm.ant,"Baja ↓","Estable →")))</f>
        <v>Baja ↓</v>
      </c>
      <c r="Y700" s="5">
        <f>IFERROR(U700-SUMIFS(HIST_SCORE!$D:$D,HIST_SCORE!$B:$B,PARAMS_MODELO!$B$4,HIST_SCORE!$C:$C,$A700),"")</f>
        <v>-13.962962198662694</v>
      </c>
      <c r="Z700" s="5" t="str">
        <f t="shared" si="245"/>
        <v>↓ Baja</v>
      </c>
      <c r="AA700" s="5">
        <f t="shared" si="246"/>
        <v>471</v>
      </c>
      <c r="AB700" s="5">
        <f>IFERROR(SUMIFS(HIST_SCORE!$F:$F,HIST_SCORE!$B:$B,PARAMS_MODELO!$B$4,HIST_SCORE!$C:$C,$A700),"")</f>
        <v>140</v>
      </c>
      <c r="AC700" s="5">
        <f t="shared" si="247"/>
        <v>-331</v>
      </c>
      <c r="AD700" t="str">
        <f t="shared" si="249"/>
        <v>Sostener base y reforzar mix</v>
      </c>
      <c r="AE7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700="CERRADO",1,IF(V700="BRONCE",_xlpm.cPl,IF(V700="PLATA",_xlpm.cO,IF(V700="ORO",_xlpm.cP,IF(V700="PLATINO",_xlpm.cD,999))))))</f>
        <v>86.439123873763251</v>
      </c>
      <c r="AF7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700="CERRADO",0,IF(V700="BRONCE",1,IF(V700="PLATA",_xlpm.cPl,IF(V700="ORO",_xlpm.cO,IF(V700="PLATINO",_xlpm.cP,_xlpm.cD))))))</f>
        <v>63.199193273331495</v>
      </c>
      <c r="AG700">
        <f t="shared" si="250"/>
        <v>9.8485817399117366</v>
      </c>
      <c r="AH700" t="str">
        <f t="shared" si="251"/>
        <v>VENTAS</v>
      </c>
      <c r="AI700" t="str">
        <f t="shared" si="248"/>
        <v>🎯 Para subir de categoría, eje VENTAS / DIFERENCIAL vs LOTBA (J). Acción: metas semanales + activación comercial + seguimiento del asesor. ΔR aprox: 9,8</v>
      </c>
      <c r="AJ700" s="26">
        <f>_xlfn.LET(_xlpm.piso,AF700,_xlpm.corte,AE700,_xlpm.prog,IF(_xlpm.corte&lt;=_xlpm.piso,0,MAX(0,MIN(1,(U700-_xlpm.piso)/(_xlpm.corte-_xlpm.piso)))),_xlpm.orden,{"DIAMANTE";"PLATINO";"ORO";"PLATA";"BRONCE";"CERRADO"},_xlpm.act,IFERROR(MATCH(V700,_xlpm.orden,0),6),_xlpm.ant,IFERROR(MATCH(W700,_xlpm.orden,0),6),_xlpm.ajmov,IF(_xlpm.act&lt;_xlpm.ant,0.08,IF(_xlpm.act&gt;_xlpm.ant,-0.08,0)),_xlpm.ajcli,IF(T700&lt;0.95,-0.06,0),_xlpm.prob,MAX(0,MIN(1,_xlpm.prog+_xlpm.ajmov+_xlpm.ajcli)),IF(OR(V700="DIAMANTE",V700="CERRADO"),0,ROUND(_xlpm.prob,2)))</f>
        <v>0.45</v>
      </c>
      <c r="AK700" t="str">
        <f t="shared" si="252"/>
        <v>Faltan 9,8 puntos base para subir a la siguiente categoría</v>
      </c>
      <c r="AL700" t="str">
        <f t="shared" si="253"/>
        <v>Margen de seguridad: 12,4 puntos</v>
      </c>
      <c r="AM700">
        <f t="shared" si="254"/>
        <v>0.61</v>
      </c>
      <c r="AN700" t="str">
        <f t="shared" si="255"/>
        <v>PRIORIDAD MEDIA – seguimiento del asesor</v>
      </c>
      <c r="AO700">
        <f t="shared" si="256"/>
        <v>26.515979433911511</v>
      </c>
      <c r="AP700">
        <f t="shared" si="257"/>
        <v>1.127162809053301</v>
      </c>
      <c r="AQ700">
        <f t="shared" si="258"/>
        <v>0</v>
      </c>
      <c r="AR700">
        <f t="shared" si="259"/>
        <v>6.6000000000000005</v>
      </c>
      <c r="AS700">
        <f t="shared" si="260"/>
        <v>0</v>
      </c>
      <c r="AT700" t="str">
        <f t="shared" si="261"/>
        <v>VENTAS</v>
      </c>
      <c r="AU700">
        <f t="shared" si="262"/>
        <v>26.515979433911511</v>
      </c>
      <c r="AV700" t="str">
        <f t="shared" si="263"/>
        <v>Mayor retorno probable: VENTAS (+26,5 puntos finales potenciales).</v>
      </c>
    </row>
    <row r="701" spans="1:48" x14ac:dyDescent="0.3">
      <c r="A701" s="5">
        <v>51022050</v>
      </c>
      <c r="B701" s="5" t="str">
        <f>IFERROR(VLOOKUP(A701,VENTAS!$A$2:$B$1194,2,0),"")</f>
        <v>NELLI</v>
      </c>
      <c r="C701" s="5">
        <f>IFERROR(INDEX(VENTAS!$C$2:$E$1194,MATCH(A701,VENTAS!$A$2:$A$1194,0),MATCH(PARAMS_MODELO!$B$2,{"Q1","Q2","Q3"},0)),0)</f>
        <v>66980600.859999999</v>
      </c>
      <c r="D701" s="5">
        <f>IFERROR(INDEX(VENTAS!$F$2:$H$1194,MATCH(A701,VENTAS!$A$2:$A$1194,0),MATCH(PARAMS_MODELO!$B$2,{"Q1","Q2","Q3"},0)),0)</f>
        <v>57406655</v>
      </c>
      <c r="E701" s="8">
        <f t="shared" si="240"/>
        <v>-0.14293609996140599</v>
      </c>
      <c r="F701" s="12">
        <f>IF(E701&lt;=PARAMS_MODELO!$B$15,0,IF(E701&gt;=PARAMS_MODELO!$B$17,100,100*MIN(1,(E701-PARAMS_MODELO!$B$15)/(PARAMS_MODELO!$B$16-PARAMS_MODELO!$B$15))))*PARAMS_MODELO!$B$7</f>
        <v>0</v>
      </c>
      <c r="G701" s="5">
        <f t="shared" si="241"/>
        <v>0</v>
      </c>
      <c r="H701" s="5">
        <f>(PARAMS_MODELO!$B$20*(MAX(0,MIN(3,E701))/3)+PARAMS_MODELO!$B$21*(IFERROR(LN(1+MAX(0,G701))/LN(1+MAX(0,MAX($G$2:$G$1194))),0)))*100*PARAMS_MODELO!$B$8</f>
        <v>0</v>
      </c>
      <c r="I701" s="8">
        <f>E701-PARAMS_MODELO!$B$5</f>
        <v>-0.32049893533693252</v>
      </c>
      <c r="J701" s="5">
        <f>IF(I701&lt;=PARAMS_MODELO!$B$18,0,IF(I701&gt;=PARAMS_MODELO!$B$19,100,100*(I701-PARAMS_MODELO!$B$18)/(PARAMS_MODELO!$B$19-PARAMS_MODELO!$B$18)))*PARAMS_MODELO!$B$9</f>
        <v>0</v>
      </c>
      <c r="K701" s="5">
        <f>IFERROR(CHOOSE(MATCH(PARAMS_MODELO!$B$2,{"Q1","Q2","Q3"},0),LOTO!$D701,LOTO!$F701,LOTO!$H701),0)</f>
        <v>2677500</v>
      </c>
      <c r="L701" s="8">
        <f t="shared" si="242"/>
        <v>4.6640933877788213E-2</v>
      </c>
      <c r="M701" s="5">
        <f>MIN(100,IF(PARAMS_MODELO!$B$23=0,0,100*L701/PARAMS_MODELO!$B$23))*PARAMS_MODELO!$B$10</f>
        <v>13.992280163336462</v>
      </c>
      <c r="N701" s="5">
        <f>IFERROR(VLOOKUP(A701,COMPLIANCE!$A$2:$F$1996,6,0),100)</f>
        <v>100</v>
      </c>
      <c r="O701" s="5">
        <f>N701*PARAMS_MODELO!$B$11</f>
        <v>10</v>
      </c>
      <c r="P701" s="5">
        <f>IFERROR(VLOOKUP(A701,DIGITAL!$A$2:$J$2000,7,0),100)</f>
        <v>53</v>
      </c>
      <c r="Q701" s="5">
        <f>IFERROR(P701,0)*PARAMS_MODELO!$B$12</f>
        <v>5.3000000000000007</v>
      </c>
      <c r="R701">
        <f t="shared" si="243"/>
        <v>29.292280163336461</v>
      </c>
      <c r="S701" s="5" t="str">
        <f>IFERROR(VLOOKUP(A701,CLIENTE!$A$2:$N$2000,13,0),1)</f>
        <v>Malo</v>
      </c>
      <c r="T701" s="5">
        <f>IFERROR(VLOOKUP(A701,CLIENTE!$A$2:$N$2000,14,0),1)</f>
        <v>0.7</v>
      </c>
      <c r="U701" s="5">
        <f t="shared" si="244"/>
        <v>20.50459611433552</v>
      </c>
      <c r="V701" s="5" t="str">
        <f>IF(U701&gt;=MAX(_xlfn.PERCENTILE.INC($U$2:$U$1194,PARAMS_MODELO!$B$50),PARAMS_MODELO!$B$45),"DIAMANTE",IF(U701&gt;=MAX(_xlfn.PERCENTILE.INC($U$2:$U$1194,PARAMS_MODELO!$B$51),PARAMS_MODELO!$B$46),"PLATINO",IF(U701&gt;=MAX(_xlfn.PERCENTILE.INC($U$2:$U$1194,PARAMS_MODELO!$B$52),PARAMS_MODELO!$B$47),"ORO",IF(U701&gt;=MAX(_xlfn.PERCENTILE.INC($U$2:$U$1194,PARAMS_MODELO!$B$53),PARAMS_MODELO!$B$48),"PLATA",IF(U701&gt;=1,"BRONCE","CERRADO")))))</f>
        <v>BRONCE</v>
      </c>
      <c r="W701" s="5" t="str" cm="1">
        <f t="array" ref="W701">_xlfn.XLOOKUP(1, (HIST_SCORE!$B:$B=PARAMS_MODELO!$B$4) * (HIST_SCORE!$C:$C=A701), HIST_SCORE!$E:$E, "No encontrado")</f>
        <v>BRONCE</v>
      </c>
      <c r="X701" s="5" t="str">
        <f>_xlfn.LET(_xlpm.act,MATCH(V701,{"DIAMANTE";"PLATINO";"ORO";"PLATA";"BRONCE";"CERRADO"},0),_xlpm.ant,MATCH(W701,{"DIAMANTE";"PLATINO";"ORO";"PLATA";"BRONCE";"CERRADO"},0),IF(_xlpm.act&lt;_xlpm.ant,"Mejora ↑",IF(_xlpm.act&gt;_xlpm.ant,"Baja ↓","Estable →")))</f>
        <v>Estable →</v>
      </c>
      <c r="Y701" s="5">
        <f>IFERROR(U701-SUMIFS(HIST_SCORE!$D:$D,HIST_SCORE!$B:$B,PARAMS_MODELO!$B$4,HIST_SCORE!$C:$C,$A701),"")</f>
        <v>0.53795368426501611</v>
      </c>
      <c r="Z701" s="5" t="str">
        <f t="shared" si="245"/>
        <v>→ Estable</v>
      </c>
      <c r="AA701" s="5">
        <f t="shared" si="246"/>
        <v>970</v>
      </c>
      <c r="AB701" s="5">
        <f>IFERROR(SUMIFS(HIST_SCORE!$F:$F,HIST_SCORE!$B:$B,PARAMS_MODELO!$B$4,HIST_SCORE!$C:$C,$A701),"")</f>
        <v>986</v>
      </c>
      <c r="AC701" s="5">
        <f t="shared" si="247"/>
        <v>16</v>
      </c>
      <c r="AD701" t="str">
        <f t="shared" si="249"/>
        <v/>
      </c>
      <c r="AE7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701="CERRADO",1,IF(V701="BRONCE",_xlpm.cPl,IF(V701="PLATA",_xlpm.cO,IF(V701="ORO",_xlpm.cP,IF(V701="PLATINO",_xlpm.cD,999))))))</f>
        <v>24.506573482968111</v>
      </c>
      <c r="AF7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701="CERRADO",0,IF(V701="BRONCE",1,IF(V701="PLATA",_xlpm.cPl,IF(V701="ORO",_xlpm.cO,IF(V701="PLATINO",_xlpm.cP,_xlpm.cD))))))</f>
        <v>1</v>
      </c>
      <c r="AG701">
        <f t="shared" si="250"/>
        <v>5.7171105266179829</v>
      </c>
      <c r="AH701" t="str">
        <f t="shared" si="251"/>
        <v>CLIENTE</v>
      </c>
      <c r="AI701" t="str">
        <f t="shared" si="248"/>
        <v>🎯 Para subir de categoría, la eje con mayor impacto probable es CLIENTE (coef T). Acción: reducir quejas, mejorar incógnito y empujar reseñas. ΔR aprox: 5,7</v>
      </c>
      <c r="AJ701" s="26">
        <f>_xlfn.LET(_xlpm.piso,AF701,_xlpm.corte,AE701,_xlpm.prog,IF(_xlpm.corte&lt;=_xlpm.piso,0,MAX(0,MIN(1,(U701-_xlpm.piso)/(_xlpm.corte-_xlpm.piso)))),_xlpm.orden,{"DIAMANTE";"PLATINO";"ORO";"PLATA";"BRONCE";"CERRADO"},_xlpm.act,IFERROR(MATCH(V701,_xlpm.orden,0),6),_xlpm.ant,IFERROR(MATCH(W701,_xlpm.orden,0),6),_xlpm.ajmov,IF(_xlpm.act&lt;_xlpm.ant,0.08,IF(_xlpm.act&gt;_xlpm.ant,-0.08,0)),_xlpm.ajcli,IF(T701&lt;0.95,-0.06,0),_xlpm.prob,MAX(0,MIN(1,_xlpm.prog+_xlpm.ajmov+_xlpm.ajcli)),IF(OR(V701="DIAMANTE",V701="CERRADO"),0,ROUND(_xlpm.prob,2)))</f>
        <v>0.77</v>
      </c>
      <c r="AK701" t="str">
        <f t="shared" si="252"/>
        <v>Faltan 5,7 puntos base para subir a la siguiente categoría</v>
      </c>
      <c r="AL701" t="str">
        <f t="shared" si="253"/>
        <v>No aplica</v>
      </c>
      <c r="AM701">
        <f t="shared" si="254"/>
        <v>0.52</v>
      </c>
      <c r="AN701" t="str">
        <f t="shared" si="255"/>
        <v>PRIORIDAD MEDIA – seguimiento del asesor</v>
      </c>
      <c r="AO701">
        <f t="shared" si="256"/>
        <v>45.403798492706905</v>
      </c>
      <c r="AP701">
        <f t="shared" si="257"/>
        <v>0.70540388566447676</v>
      </c>
      <c r="AQ701">
        <f t="shared" si="258"/>
        <v>0</v>
      </c>
      <c r="AR701">
        <f t="shared" si="259"/>
        <v>3.2899999999999991</v>
      </c>
      <c r="AS701">
        <f t="shared" si="260"/>
        <v>8.7876840490009389</v>
      </c>
      <c r="AT701" t="str">
        <f t="shared" si="261"/>
        <v>VENTAS</v>
      </c>
      <c r="AU701">
        <f t="shared" si="262"/>
        <v>45.403798492706905</v>
      </c>
      <c r="AV701" t="str">
        <f t="shared" si="263"/>
        <v>Mayor retorno probable: VENTAS (+45,4 puntos finales potenciales).</v>
      </c>
    </row>
    <row r="702" spans="1:48" x14ac:dyDescent="0.3">
      <c r="A702" s="5">
        <v>51016076</v>
      </c>
      <c r="B702" s="5" t="str">
        <f>IFERROR(VLOOKUP(A702,VENTAS!$A$2:$B$1194,2,0),"")</f>
        <v>MONTENEGRO</v>
      </c>
      <c r="C702" s="5">
        <f>IFERROR(INDEX(VENTAS!$C$2:$E$1194,MATCH(A702,VENTAS!$A$2:$A$1194,0),MATCH(PARAMS_MODELO!$B$2,{"Q1","Q2","Q3"},0)),0)</f>
        <v>44822129.899999999</v>
      </c>
      <c r="D702" s="5">
        <f>IFERROR(INDEX(VENTAS!$F$2:$H$1194,MATCH(A702,VENTAS!$A$2:$A$1194,0),MATCH(PARAMS_MODELO!$B$2,{"Q1","Q2","Q3"},0)),0)</f>
        <v>57405502</v>
      </c>
      <c r="E702" s="8">
        <f t="shared" si="240"/>
        <v>0.28074016402330759</v>
      </c>
      <c r="F702" s="12">
        <f>IF(E702&lt;=PARAMS_MODELO!$B$15,0,IF(E702&gt;=PARAMS_MODELO!$B$17,100,100*MIN(1,(E702-PARAMS_MODELO!$B$15)/(PARAMS_MODELO!$B$16-PARAMS_MODELO!$B$15))))*PARAMS_MODELO!$B$7</f>
        <v>35</v>
      </c>
      <c r="G702" s="5">
        <f t="shared" si="241"/>
        <v>12583372.100000001</v>
      </c>
      <c r="H702" s="5">
        <f>(PARAMS_MODELO!$B$20*(MAX(0,MIN(3,E702))/3)+PARAMS_MODELO!$B$21*(IFERROR(LN(1+MAX(0,G702))/LN(1+MAX(0,MAX($G$2:$G$1194))),0)))*100*PARAMS_MODELO!$B$8</f>
        <v>4.8147634925142073</v>
      </c>
      <c r="I702" s="8">
        <f>E702-PARAMS_MODELO!$B$5</f>
        <v>0.10317732864778106</v>
      </c>
      <c r="J702" s="5">
        <f>IF(I702&lt;=PARAMS_MODELO!$B$18,0,IF(I702&gt;=PARAMS_MODELO!$B$19,100,100*(I702-PARAMS_MODELO!$B$18)/(PARAMS_MODELO!$B$19-PARAMS_MODELO!$B$18)))*PARAMS_MODELO!$B$9</f>
        <v>15</v>
      </c>
      <c r="K702" s="5">
        <f>IFERROR(CHOOSE(MATCH(PARAMS_MODELO!$B$2,{"Q1","Q2","Q3"},0),LOTO!$D702,LOTO!$F702,LOTO!$H702),0)</f>
        <v>2667500</v>
      </c>
      <c r="L702" s="8">
        <f t="shared" si="242"/>
        <v>4.6467671339238528E-2</v>
      </c>
      <c r="M702" s="5">
        <f>MIN(100,IF(PARAMS_MODELO!$B$23=0,0,100*L702/PARAMS_MODELO!$B$23))*PARAMS_MODELO!$B$10</f>
        <v>13.940301401771558</v>
      </c>
      <c r="N702" s="5">
        <f>IFERROR(VLOOKUP(A702,COMPLIANCE!$A$2:$F$1996,6,0),100)</f>
        <v>100</v>
      </c>
      <c r="O702" s="5">
        <f>N702*PARAMS_MODELO!$B$11</f>
        <v>10</v>
      </c>
      <c r="P702" s="5">
        <f>IFERROR(VLOOKUP(A702,DIGITAL!$A$2:$J$2000,7,0),100)</f>
        <v>61</v>
      </c>
      <c r="Q702" s="5">
        <f>IFERROR(P702,0)*PARAMS_MODELO!$B$12</f>
        <v>6.1000000000000005</v>
      </c>
      <c r="R702">
        <f t="shared" si="243"/>
        <v>84.855064894285761</v>
      </c>
      <c r="S702" s="5" t="str">
        <f>IFERROR(VLOOKUP(A702,CLIENTE!$A$2:$N$2000,13,0),1)</f>
        <v>Malo</v>
      </c>
      <c r="T702" s="5">
        <f>IFERROR(VLOOKUP(A702,CLIENTE!$A$2:$N$2000,14,0),1)</f>
        <v>0.7</v>
      </c>
      <c r="U702" s="5">
        <f t="shared" si="244"/>
        <v>59.398545426000027</v>
      </c>
      <c r="V702" s="5" t="str">
        <f>IF(U702&gt;=MAX(_xlfn.PERCENTILE.INC($U$2:$U$1194,PARAMS_MODELO!$B$50),PARAMS_MODELO!$B$45),"DIAMANTE",IF(U702&gt;=MAX(_xlfn.PERCENTILE.INC($U$2:$U$1194,PARAMS_MODELO!$B$51),PARAMS_MODELO!$B$46),"PLATINO",IF(U702&gt;=MAX(_xlfn.PERCENTILE.INC($U$2:$U$1194,PARAMS_MODELO!$B$52),PARAMS_MODELO!$B$47),"ORO",IF(U702&gt;=MAX(_xlfn.PERCENTILE.INC($U$2:$U$1194,PARAMS_MODELO!$B$53),PARAMS_MODELO!$B$48),"PLATA",IF(U702&gt;=1,"BRONCE","CERRADO")))))</f>
        <v>PLATA</v>
      </c>
      <c r="W702" s="5" t="str" cm="1">
        <f t="array" ref="W702">_xlfn.XLOOKUP(1, (HIST_SCORE!$B:$B=PARAMS_MODELO!$B$4) * (HIST_SCORE!$C:$C=A702), HIST_SCORE!$E:$E, "No encontrado")</f>
        <v>PLATA</v>
      </c>
      <c r="X702" s="5" t="str">
        <f>_xlfn.LET(_xlpm.act,MATCH(V702,{"DIAMANTE";"PLATINO";"ORO";"PLATA";"BRONCE";"CERRADO"},0),_xlpm.ant,MATCH(W702,{"DIAMANTE";"PLATINO";"ORO";"PLATA";"BRONCE";"CERRADO"},0),IF(_xlpm.act&lt;_xlpm.ant,"Mejora ↑",IF(_xlpm.act&gt;_xlpm.ant,"Baja ↓","Estable →")))</f>
        <v>Estable →</v>
      </c>
      <c r="Y702" s="5">
        <f>IFERROR(U702-SUMIFS(HIST_SCORE!$D:$D,HIST_SCORE!$B:$B,PARAMS_MODELO!$B$4,HIST_SCORE!$C:$C,$A702),"")</f>
        <v>1.1274266262081269</v>
      </c>
      <c r="Z702" s="5" t="str">
        <f t="shared" si="245"/>
        <v>→ Estable</v>
      </c>
      <c r="AA702" s="5">
        <f t="shared" si="246"/>
        <v>632</v>
      </c>
      <c r="AB702" s="5">
        <f>IFERROR(SUMIFS(HIST_SCORE!$F:$F,HIST_SCORE!$B:$B,PARAMS_MODELO!$B$4,HIST_SCORE!$C:$C,$A702),"")</f>
        <v>679</v>
      </c>
      <c r="AC702" s="5">
        <f t="shared" si="247"/>
        <v>47</v>
      </c>
      <c r="AD702" t="str">
        <f t="shared" si="249"/>
        <v/>
      </c>
      <c r="AE7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702="CERRADO",1,IF(V702="BRONCE",_xlpm.cPl,IF(V702="PLATA",_xlpm.cO,IF(V702="ORO",_xlpm.cP,IF(V702="PLATINO",_xlpm.cD,999))))))</f>
        <v>63.199193273331495</v>
      </c>
      <c r="AF7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702="CERRADO",0,IF(V702="BRONCE",1,IF(V702="PLATA",_xlpm.cPl,IF(V702="ORO",_xlpm.cO,IF(V702="PLATINO",_xlpm.cP,_xlpm.cD))))))</f>
        <v>24.506573482968111</v>
      </c>
      <c r="AG702">
        <f t="shared" si="250"/>
        <v>5.4294969247592348</v>
      </c>
      <c r="AH702" t="str">
        <f t="shared" si="251"/>
        <v>CLIENTE</v>
      </c>
      <c r="AI702" t="str">
        <f t="shared" si="248"/>
        <v>🎯 Para subir de categoría, la eje con mayor impacto probable es CLIENTE (coef T). Acción: reducir quejas, mejorar incógnito y empujar reseñas. ΔR aprox: 5,4</v>
      </c>
      <c r="AJ702" s="26">
        <f>_xlfn.LET(_xlpm.piso,AF702,_xlpm.corte,AE702,_xlpm.prog,IF(_xlpm.corte&lt;=_xlpm.piso,0,MAX(0,MIN(1,(U702-_xlpm.piso)/(_xlpm.corte-_xlpm.piso)))),_xlpm.orden,{"DIAMANTE";"PLATINO";"ORO";"PLATA";"BRONCE";"CERRADO"},_xlpm.act,IFERROR(MATCH(V702,_xlpm.orden,0),6),_xlpm.ant,IFERROR(MATCH(W702,_xlpm.orden,0),6),_xlpm.ajmov,IF(_xlpm.act&lt;_xlpm.ant,0.08,IF(_xlpm.act&gt;_xlpm.ant,-0.08,0)),_xlpm.ajcli,IF(T702&lt;0.95,-0.06,0),_xlpm.prob,MAX(0,MIN(1,_xlpm.prog+_xlpm.ajmov+_xlpm.ajcli)),IF(OR(V702="DIAMANTE",V702="CERRADO"),0,ROUND(_xlpm.prob,2)))</f>
        <v>0.84</v>
      </c>
      <c r="AK702" t="str">
        <f t="shared" si="252"/>
        <v>Faltan 5,4 puntos base para subir a la siguiente categoría</v>
      </c>
      <c r="AL702" t="str">
        <f t="shared" si="253"/>
        <v>Margen de seguridad: 34,9 puntos</v>
      </c>
      <c r="AM702">
        <f t="shared" si="254"/>
        <v>0.48</v>
      </c>
      <c r="AN702" t="str">
        <f t="shared" si="255"/>
        <v>PRIORIDAD MEDIA – seguimiento del asesor</v>
      </c>
      <c r="AO702">
        <f t="shared" si="256"/>
        <v>7.0334640479469615</v>
      </c>
      <c r="AP702">
        <f t="shared" si="257"/>
        <v>0.74178901875990932</v>
      </c>
      <c r="AQ702">
        <f t="shared" si="258"/>
        <v>0</v>
      </c>
      <c r="AR702">
        <f t="shared" si="259"/>
        <v>2.7299999999999995</v>
      </c>
      <c r="AS702">
        <f t="shared" si="260"/>
        <v>25.45651946828573</v>
      </c>
      <c r="AT702" t="str">
        <f t="shared" si="261"/>
        <v>CLIENTE</v>
      </c>
      <c r="AU702">
        <f t="shared" si="262"/>
        <v>25.45651946828573</v>
      </c>
      <c r="AV702" t="str">
        <f t="shared" si="263"/>
        <v>Mayor retorno probable: CLIENTE (+25,5 puntos finales potenciales).</v>
      </c>
    </row>
    <row r="703" spans="1:48" x14ac:dyDescent="0.3">
      <c r="A703" s="5">
        <v>51014634</v>
      </c>
      <c r="B703" s="5" t="str">
        <f>IFERROR(VLOOKUP(A703,VENTAS!$A$2:$B$1194,2,0),"")</f>
        <v>PRADES</v>
      </c>
      <c r="C703" s="5">
        <f>IFERROR(INDEX(VENTAS!$C$2:$E$1194,MATCH(A703,VENTAS!$A$2:$A$1194,0),MATCH(PARAMS_MODELO!$B$2,{"Q1","Q2","Q3"},0)),0)</f>
        <v>44414007</v>
      </c>
      <c r="D703" s="5">
        <f>IFERROR(INDEX(VENTAS!$F$2:$H$1194,MATCH(A703,VENTAS!$A$2:$A$1194,0),MATCH(PARAMS_MODELO!$B$2,{"Q1","Q2","Q3"},0)),0)</f>
        <v>57223608</v>
      </c>
      <c r="E703" s="8">
        <f t="shared" si="240"/>
        <v>0.28841354035000721</v>
      </c>
      <c r="F703" s="12">
        <f>IF(E703&lt;=PARAMS_MODELO!$B$15,0,IF(E703&gt;=PARAMS_MODELO!$B$17,100,100*MIN(1,(E703-PARAMS_MODELO!$B$15)/(PARAMS_MODELO!$B$16-PARAMS_MODELO!$B$15))))*PARAMS_MODELO!$B$7</f>
        <v>35</v>
      </c>
      <c r="G703" s="5">
        <f t="shared" si="241"/>
        <v>12809601</v>
      </c>
      <c r="H703" s="5">
        <f>(PARAMS_MODELO!$B$20*(MAX(0,MIN(3,E703))/3)+PARAMS_MODELO!$B$21*(IFERROR(LN(1+MAX(0,G703))/LN(1+MAX(0,MAX($G$2:$G$1194))),0)))*100*PARAMS_MODELO!$B$8</f>
        <v>4.8457972613854645</v>
      </c>
      <c r="I703" s="8">
        <f>E703-PARAMS_MODELO!$B$5</f>
        <v>0.11085070497448068</v>
      </c>
      <c r="J703" s="5">
        <f>IF(I703&lt;=PARAMS_MODELO!$B$18,0,IF(I703&gt;=PARAMS_MODELO!$B$19,100,100*(I703-PARAMS_MODELO!$B$18)/(PARAMS_MODELO!$B$19-PARAMS_MODELO!$B$18)))*PARAMS_MODELO!$B$9</f>
        <v>15</v>
      </c>
      <c r="K703" s="5">
        <f>IFERROR(CHOOSE(MATCH(PARAMS_MODELO!$B$2,{"Q1","Q2","Q3"},0),LOTO!$D703,LOTO!$F703,LOTO!$H703),0)</f>
        <v>2665000</v>
      </c>
      <c r="L703" s="8">
        <f t="shared" si="242"/>
        <v>4.6571687685264443E-2</v>
      </c>
      <c r="M703" s="5">
        <f>MIN(100,IF(PARAMS_MODELO!$B$23=0,0,100*L703/PARAMS_MODELO!$B$23))*PARAMS_MODELO!$B$10</f>
        <v>13.971506305579332</v>
      </c>
      <c r="N703" s="5">
        <f>IFERROR(VLOOKUP(A703,COMPLIANCE!$A$2:$F$1996,6,0),100)</f>
        <v>100</v>
      </c>
      <c r="O703" s="5">
        <f>N703*PARAMS_MODELO!$B$11</f>
        <v>10</v>
      </c>
      <c r="P703" s="5">
        <f>IFERROR(VLOOKUP(A703,DIGITAL!$A$2:$J$2000,7,0),100)</f>
        <v>39</v>
      </c>
      <c r="Q703" s="5">
        <f>IFERROR(P703,0)*PARAMS_MODELO!$B$12</f>
        <v>3.9000000000000004</v>
      </c>
      <c r="R703">
        <f t="shared" si="243"/>
        <v>82.717303566964802</v>
      </c>
      <c r="S703" s="5" t="str">
        <f>IFERROR(VLOOKUP(A703,CLIENTE!$A$2:$N$2000,13,0),1)</f>
        <v>Regular</v>
      </c>
      <c r="T703" s="5">
        <f>IFERROR(VLOOKUP(A703,CLIENTE!$A$2:$N$2000,14,0),1)</f>
        <v>1</v>
      </c>
      <c r="U703" s="5">
        <f t="shared" si="244"/>
        <v>82.717303566964802</v>
      </c>
      <c r="V703" s="5" t="str">
        <f>IF(U703&gt;=MAX(_xlfn.PERCENTILE.INC($U$2:$U$1194,PARAMS_MODELO!$B$50),PARAMS_MODELO!$B$45),"DIAMANTE",IF(U703&gt;=MAX(_xlfn.PERCENTILE.INC($U$2:$U$1194,PARAMS_MODELO!$B$51),PARAMS_MODELO!$B$46),"PLATINO",IF(U703&gt;=MAX(_xlfn.PERCENTILE.INC($U$2:$U$1194,PARAMS_MODELO!$B$52),PARAMS_MODELO!$B$47),"ORO",IF(U703&gt;=MAX(_xlfn.PERCENTILE.INC($U$2:$U$1194,PARAMS_MODELO!$B$53),PARAMS_MODELO!$B$48),"PLATA",IF(U703&gt;=1,"BRONCE","CERRADO")))))</f>
        <v>ORO</v>
      </c>
      <c r="W703" s="5" t="str" cm="1">
        <f t="array" ref="W703">_xlfn.XLOOKUP(1, (HIST_SCORE!$B:$B=PARAMS_MODELO!$B$4) * (HIST_SCORE!$C:$C=A703), HIST_SCORE!$E:$E, "No encontrado")</f>
        <v>ORO</v>
      </c>
      <c r="X703" s="5" t="str">
        <f>_xlfn.LET(_xlpm.act,MATCH(V703,{"DIAMANTE";"PLATINO";"ORO";"PLATA";"BRONCE";"CERRADO"},0),_xlpm.ant,MATCH(W703,{"DIAMANTE";"PLATINO";"ORO";"PLATA";"BRONCE";"CERRADO"},0),IF(_xlpm.act&lt;_xlpm.ant,"Mejora ↑",IF(_xlpm.act&gt;_xlpm.ant,"Baja ↓","Estable →")))</f>
        <v>Estable →</v>
      </c>
      <c r="Y703" s="5">
        <f>IFERROR(U703-SUMIFS(HIST_SCORE!$D:$D,HIST_SCORE!$B:$B,PARAMS_MODELO!$B$4,HIST_SCORE!$C:$C,$A703),"")</f>
        <v>2.3456261887657632</v>
      </c>
      <c r="Z703" s="5" t="str">
        <f t="shared" si="245"/>
        <v>→ Estable</v>
      </c>
      <c r="AA703" s="5">
        <f t="shared" si="246"/>
        <v>367</v>
      </c>
      <c r="AB703" s="5">
        <f>IFERROR(SUMIFS(HIST_SCORE!$F:$F,HIST_SCORE!$B:$B,PARAMS_MODELO!$B$4,HIST_SCORE!$C:$C,$A703),"")</f>
        <v>410</v>
      </c>
      <c r="AC703" s="5">
        <f t="shared" si="247"/>
        <v>43</v>
      </c>
      <c r="AD703" t="str">
        <f t="shared" si="249"/>
        <v/>
      </c>
      <c r="AE7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703="CERRADO",1,IF(V703="BRONCE",_xlpm.cPl,IF(V703="PLATA",_xlpm.cO,IF(V703="ORO",_xlpm.cP,IF(V703="PLATINO",_xlpm.cD,999))))))</f>
        <v>86.439123873763251</v>
      </c>
      <c r="AF7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703="CERRADO",0,IF(V703="BRONCE",1,IF(V703="PLATA",_xlpm.cPl,IF(V703="ORO",_xlpm.cO,IF(V703="PLATINO",_xlpm.cP,_xlpm.cD))))))</f>
        <v>63.199193273331495</v>
      </c>
      <c r="AG703">
        <f t="shared" si="250"/>
        <v>3.721820306798449</v>
      </c>
      <c r="AH703" t="str">
        <f t="shared" si="251"/>
        <v>VENTAS</v>
      </c>
      <c r="AI703" t="str">
        <f t="shared" si="248"/>
        <v>🎯 Para subir de categoría, eje VENTAS / IMPACTO ABSOLUTO (H). Acción: metas semanales + activación comercial + seguimiento del asesor. ΔR aprox: 3,7</v>
      </c>
      <c r="AJ703" s="26">
        <f>_xlfn.LET(_xlpm.piso,AF703,_xlpm.corte,AE703,_xlpm.prog,IF(_xlpm.corte&lt;=_xlpm.piso,0,MAX(0,MIN(1,(U703-_xlpm.piso)/(_xlpm.corte-_xlpm.piso)))),_xlpm.orden,{"DIAMANTE";"PLATINO";"ORO";"PLATA";"BRONCE";"CERRADO"},_xlpm.act,IFERROR(MATCH(V703,_xlpm.orden,0),6),_xlpm.ant,IFERROR(MATCH(W703,_xlpm.orden,0),6),_xlpm.ajmov,IF(_xlpm.act&lt;_xlpm.ant,0.08,IF(_xlpm.act&gt;_xlpm.ant,-0.08,0)),_xlpm.ajcli,IF(T703&lt;0.95,-0.06,0),_xlpm.prob,MAX(0,MIN(1,_xlpm.prog+_xlpm.ajmov+_xlpm.ajcli)),IF(OR(V703="DIAMANTE",V703="CERRADO"),0,ROUND(_xlpm.prob,2)))</f>
        <v>0.84</v>
      </c>
      <c r="AK703" t="str">
        <f t="shared" si="252"/>
        <v>Faltan 3,7 puntos base para subir a la siguiente categoría</v>
      </c>
      <c r="AL703" t="str">
        <f t="shared" si="253"/>
        <v>Margen de seguridad: 19,5 puntos</v>
      </c>
      <c r="AM703">
        <f t="shared" si="254"/>
        <v>0.21</v>
      </c>
      <c r="AN703" t="str">
        <f t="shared" si="255"/>
        <v>PRIORIDAD BAJA – control normal</v>
      </c>
      <c r="AO703">
        <f t="shared" si="256"/>
        <v>10.016772013910121</v>
      </c>
      <c r="AP703">
        <f t="shared" si="257"/>
        <v>1.0284936944206677</v>
      </c>
      <c r="AQ703">
        <f t="shared" si="258"/>
        <v>0</v>
      </c>
      <c r="AR703">
        <f t="shared" si="259"/>
        <v>6.1</v>
      </c>
      <c r="AS703">
        <f t="shared" si="260"/>
        <v>0</v>
      </c>
      <c r="AT703" t="str">
        <f t="shared" si="261"/>
        <v>VENTAS</v>
      </c>
      <c r="AU703">
        <f t="shared" si="262"/>
        <v>10.016772013910121</v>
      </c>
      <c r="AV703" t="str">
        <f t="shared" si="263"/>
        <v>Mayor retorno probable: VENTAS (+10,0 puntos finales potenciales).</v>
      </c>
    </row>
    <row r="704" spans="1:48" x14ac:dyDescent="0.3">
      <c r="A704" s="5">
        <v>51004655</v>
      </c>
      <c r="B704" s="5" t="str">
        <f>IFERROR(VLOOKUP(A704,VENTAS!$A$2:$B$1194,2,0),"")</f>
        <v>AYALA</v>
      </c>
      <c r="C704" s="5">
        <f>IFERROR(INDEX(VENTAS!$C$2:$E$1194,MATCH(A704,VENTAS!$A$2:$A$1194,0),MATCH(PARAMS_MODELO!$B$2,{"Q1","Q2","Q3"},0)),0)</f>
        <v>50182014.799999997</v>
      </c>
      <c r="D704" s="5">
        <f>IFERROR(INDEX(VENTAS!$F$2:$H$1194,MATCH(A704,VENTAS!$A$2:$A$1194,0),MATCH(PARAMS_MODELO!$B$2,{"Q1","Q2","Q3"},0)),0)</f>
        <v>57160102</v>
      </c>
      <c r="E704" s="8">
        <f t="shared" si="240"/>
        <v>0.13905554067151571</v>
      </c>
      <c r="F704" s="12">
        <f>IF(E704&lt;=PARAMS_MODELO!$B$15,0,IF(E704&gt;=PARAMS_MODELO!$B$17,100,100*MIN(1,(E704-PARAMS_MODELO!$B$15)/(PARAMS_MODELO!$B$16-PARAMS_MODELO!$B$15))))*PARAMS_MODELO!$B$7</f>
        <v>35</v>
      </c>
      <c r="G704" s="5">
        <f t="shared" si="241"/>
        <v>6978087.200000003</v>
      </c>
      <c r="H704" s="5">
        <f>(PARAMS_MODELO!$B$20*(MAX(0,MIN(3,E704))/3)+PARAMS_MODELO!$B$21*(IFERROR(LN(1+MAX(0,G704))/LN(1+MAX(0,MAX($G$2:$G$1194))),0)))*100*PARAMS_MODELO!$B$8</f>
        <v>4.180656519611639</v>
      </c>
      <c r="I704" s="8">
        <f>E704-PARAMS_MODELO!$B$5</f>
        <v>-3.8507294704010819E-2</v>
      </c>
      <c r="J704" s="5">
        <f>IF(I704&lt;=PARAMS_MODELO!$B$18,0,IF(I704&gt;=PARAMS_MODELO!$B$19,100,100*(I704-PARAMS_MODELO!$B$18)/(PARAMS_MODELO!$B$19-PARAMS_MODELO!$B$18)))*PARAMS_MODELO!$B$9</f>
        <v>1.7239057943983773</v>
      </c>
      <c r="K704" s="5">
        <f>IFERROR(CHOOSE(MATCH(PARAMS_MODELO!$B$2,{"Q1","Q2","Q3"},0),LOTO!$D704,LOTO!$F704,LOTO!$H704),0)</f>
        <v>2662500</v>
      </c>
      <c r="L704" s="8">
        <f t="shared" si="242"/>
        <v>4.6579692947363881E-2</v>
      </c>
      <c r="M704" s="5">
        <f>MIN(100,IF(PARAMS_MODELO!$B$23=0,0,100*L704/PARAMS_MODELO!$B$23))*PARAMS_MODELO!$B$10</f>
        <v>13.973907884209162</v>
      </c>
      <c r="N704" s="5">
        <f>IFERROR(VLOOKUP(A704,COMPLIANCE!$A$2:$F$1996,6,0),100)</f>
        <v>100</v>
      </c>
      <c r="O704" s="5">
        <f>N704*PARAMS_MODELO!$B$11</f>
        <v>10</v>
      </c>
      <c r="P704" s="5">
        <f>IFERROR(VLOOKUP(A704,DIGITAL!$A$2:$J$2000,7,0),100)</f>
        <v>91</v>
      </c>
      <c r="Q704" s="5">
        <f>IFERROR(P704,0)*PARAMS_MODELO!$B$12</f>
        <v>9.1</v>
      </c>
      <c r="R704">
        <f t="shared" si="243"/>
        <v>73.978470198219171</v>
      </c>
      <c r="S704" s="5" t="str">
        <f>IFERROR(VLOOKUP(A704,CLIENTE!$A$2:$N$2000,13,0),1)</f>
        <v>Bueno</v>
      </c>
      <c r="T704" s="5">
        <f>IFERROR(VLOOKUP(A704,CLIENTE!$A$2:$N$2000,14,0),1)</f>
        <v>1.1000000000000001</v>
      </c>
      <c r="U704" s="5">
        <f t="shared" si="244"/>
        <v>81.376317218041095</v>
      </c>
      <c r="V704" s="5" t="str">
        <f>IF(U704&gt;=MAX(_xlfn.PERCENTILE.INC($U$2:$U$1194,PARAMS_MODELO!$B$50),PARAMS_MODELO!$B$45),"DIAMANTE",IF(U704&gt;=MAX(_xlfn.PERCENTILE.INC($U$2:$U$1194,PARAMS_MODELO!$B$51),PARAMS_MODELO!$B$46),"PLATINO",IF(U704&gt;=MAX(_xlfn.PERCENTILE.INC($U$2:$U$1194,PARAMS_MODELO!$B$52),PARAMS_MODELO!$B$47),"ORO",IF(U704&gt;=MAX(_xlfn.PERCENTILE.INC($U$2:$U$1194,PARAMS_MODELO!$B$53),PARAMS_MODELO!$B$48),"PLATA",IF(U704&gt;=1,"BRONCE","CERRADO")))))</f>
        <v>ORO</v>
      </c>
      <c r="W704" s="5" t="str" cm="1">
        <f t="array" ref="W704">_xlfn.XLOOKUP(1, (HIST_SCORE!$B:$B=PARAMS_MODELO!$B$4) * (HIST_SCORE!$C:$C=A704), HIST_SCORE!$E:$E, "No encontrado")</f>
        <v>PLATINO</v>
      </c>
      <c r="X704" s="5" t="str">
        <f>_xlfn.LET(_xlpm.act,MATCH(V704,{"DIAMANTE";"PLATINO";"ORO";"PLATA";"BRONCE";"CERRADO"},0),_xlpm.ant,MATCH(W704,{"DIAMANTE";"PLATINO";"ORO";"PLATA";"BRONCE";"CERRADO"},0),IF(_xlpm.act&lt;_xlpm.ant,"Mejora ↑",IF(_xlpm.act&gt;_xlpm.ant,"Baja ↓","Estable →")))</f>
        <v>Baja ↓</v>
      </c>
      <c r="Y704" s="5">
        <f>IFERROR(U704-SUMIFS(HIST_SCORE!$D:$D,HIST_SCORE!$B:$B,PARAMS_MODELO!$B$4,HIST_SCORE!$C:$C,$A704),"")</f>
        <v>-13.667438624895112</v>
      </c>
      <c r="Z704" s="5" t="str">
        <f t="shared" si="245"/>
        <v>↓ Baja</v>
      </c>
      <c r="AA704" s="5">
        <f t="shared" si="246"/>
        <v>404</v>
      </c>
      <c r="AB704" s="5">
        <f>IFERROR(SUMIFS(HIST_SCORE!$F:$F,HIST_SCORE!$B:$B,PARAMS_MODELO!$B$4,HIST_SCORE!$C:$C,$A704),"")</f>
        <v>65</v>
      </c>
      <c r="AC704" s="5">
        <f t="shared" si="247"/>
        <v>-339</v>
      </c>
      <c r="AD704" t="str">
        <f t="shared" si="249"/>
        <v>Sostener base y reforzar mix</v>
      </c>
      <c r="AE7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704="CERRADO",1,IF(V704="BRONCE",_xlpm.cPl,IF(V704="PLATA",_xlpm.cO,IF(V704="ORO",_xlpm.cP,IF(V704="PLATINO",_xlpm.cD,999))))))</f>
        <v>86.439123873763251</v>
      </c>
      <c r="AF7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704="CERRADO",0,IF(V704="BRONCE",1,IF(V704="PLATA",_xlpm.cPl,IF(V704="ORO",_xlpm.cO,IF(V704="PLATINO",_xlpm.cP,_xlpm.cD))))))</f>
        <v>63.199193273331495</v>
      </c>
      <c r="AG704">
        <f t="shared" si="250"/>
        <v>4.6025515052019585</v>
      </c>
      <c r="AH704" t="str">
        <f t="shared" si="251"/>
        <v>VENTAS</v>
      </c>
      <c r="AI704" t="str">
        <f t="shared" si="248"/>
        <v>🎯 Para subir de categoría, eje VENTAS / DIFERENCIAL vs LOTBA (J). Acción: metas semanales + activación comercial + seguimiento del asesor. ΔR aprox: 4,6</v>
      </c>
      <c r="AJ704" s="26">
        <f>_xlfn.LET(_xlpm.piso,AF704,_xlpm.corte,AE704,_xlpm.prog,IF(_xlpm.corte&lt;=_xlpm.piso,0,MAX(0,MIN(1,(U704-_xlpm.piso)/(_xlpm.corte-_xlpm.piso)))),_xlpm.orden,{"DIAMANTE";"PLATINO";"ORO";"PLATA";"BRONCE";"CERRADO"},_xlpm.act,IFERROR(MATCH(V704,_xlpm.orden,0),6),_xlpm.ant,IFERROR(MATCH(W704,_xlpm.orden,0),6),_xlpm.ajmov,IF(_xlpm.act&lt;_xlpm.ant,0.08,IF(_xlpm.act&gt;_xlpm.ant,-0.08,0)),_xlpm.ajcli,IF(T704&lt;0.95,-0.06,0),_xlpm.prob,MAX(0,MIN(1,_xlpm.prog+_xlpm.ajmov+_xlpm.ajcli)),IF(OR(V704="DIAMANTE",V704="CERRADO"),0,ROUND(_xlpm.prob,2)))</f>
        <v>0.7</v>
      </c>
      <c r="AK704" t="str">
        <f t="shared" si="252"/>
        <v>Faltan 4,6 puntos base para subir a la siguiente categoría</v>
      </c>
      <c r="AL704" t="str">
        <f t="shared" si="253"/>
        <v>Margen de seguridad: 18,2 puntos</v>
      </c>
      <c r="AM704">
        <f t="shared" si="254"/>
        <v>0.3</v>
      </c>
      <c r="AN704" t="str">
        <f t="shared" si="255"/>
        <v>PRIORIDAD BAJA – control normal</v>
      </c>
      <c r="AO704">
        <f t="shared" si="256"/>
        <v>26.35380765741413</v>
      </c>
      <c r="AP704">
        <f t="shared" si="257"/>
        <v>1.1287013273699225</v>
      </c>
      <c r="AQ704">
        <f t="shared" si="258"/>
        <v>0</v>
      </c>
      <c r="AR704">
        <f t="shared" si="259"/>
        <v>0.99000000000000044</v>
      </c>
      <c r="AS704">
        <f t="shared" si="260"/>
        <v>0</v>
      </c>
      <c r="AT704" t="str">
        <f t="shared" si="261"/>
        <v>VENTAS</v>
      </c>
      <c r="AU704">
        <f t="shared" si="262"/>
        <v>26.35380765741413</v>
      </c>
      <c r="AV704" t="str">
        <f t="shared" si="263"/>
        <v>Mayor retorno probable: VENTAS (+26,4 puntos finales potenciales).</v>
      </c>
    </row>
    <row r="705" spans="1:48" x14ac:dyDescent="0.3">
      <c r="A705" s="5">
        <v>51030974</v>
      </c>
      <c r="B705" s="5" t="str">
        <f>IFERROR(VLOOKUP(A705,VENTAS!$A$2:$B$1194,2,0),"")</f>
        <v>CICHETTO</v>
      </c>
      <c r="C705" s="5">
        <f>IFERROR(INDEX(VENTAS!$C$2:$E$1194,MATCH(A705,VENTAS!$A$2:$A$1194,0),MATCH(PARAMS_MODELO!$B$2,{"Q1","Q2","Q3"},0)),0)</f>
        <v>39716488.170000002</v>
      </c>
      <c r="D705" s="5">
        <f>IFERROR(INDEX(VENTAS!$F$2:$H$1194,MATCH(A705,VENTAS!$A$2:$A$1194,0),MATCH(PARAMS_MODELO!$B$2,{"Q1","Q2","Q3"},0)),0)</f>
        <v>57121356</v>
      </c>
      <c r="E705" s="8">
        <f t="shared" si="240"/>
        <v>0.43822776463773128</v>
      </c>
      <c r="F705" s="12">
        <f>IF(E705&lt;=PARAMS_MODELO!$B$15,0,IF(E705&gt;=PARAMS_MODELO!$B$17,100,100*MIN(1,(E705-PARAMS_MODELO!$B$15)/(PARAMS_MODELO!$B$16-PARAMS_MODELO!$B$15))))*PARAMS_MODELO!$B$7</f>
        <v>35</v>
      </c>
      <c r="G705" s="5">
        <f t="shared" si="241"/>
        <v>17404867.829999998</v>
      </c>
      <c r="H705" s="5">
        <f>(PARAMS_MODELO!$B$20*(MAX(0,MIN(3,E705))/3)+PARAMS_MODELO!$B$21*(IFERROR(LN(1+MAX(0,G705))/LN(1+MAX(0,MAX($G$2:$G$1194))),0)))*100*PARAMS_MODELO!$B$8</f>
        <v>5.4420078038010136</v>
      </c>
      <c r="I705" s="8">
        <f>E705-PARAMS_MODELO!$B$5</f>
        <v>0.26066492926220475</v>
      </c>
      <c r="J705" s="5">
        <f>IF(I705&lt;=PARAMS_MODELO!$B$18,0,IF(I705&gt;=PARAMS_MODELO!$B$19,100,100*(I705-PARAMS_MODELO!$B$18)/(PARAMS_MODELO!$B$19-PARAMS_MODELO!$B$18)))*PARAMS_MODELO!$B$9</f>
        <v>15</v>
      </c>
      <c r="K705" s="5">
        <f>IFERROR(CHOOSE(MATCH(PARAMS_MODELO!$B$2,{"Q1","Q2","Q3"},0),LOTO!$D705,LOTO!$F705,LOTO!$H705),0)</f>
        <v>2650000</v>
      </c>
      <c r="L705" s="8">
        <f t="shared" si="242"/>
        <v>4.6392456089452777E-2</v>
      </c>
      <c r="M705" s="5">
        <f>MIN(100,IF(PARAMS_MODELO!$B$23=0,0,100*L705/PARAMS_MODELO!$B$23))*PARAMS_MODELO!$B$10</f>
        <v>13.917736826835833</v>
      </c>
      <c r="N705" s="5">
        <f>IFERROR(VLOOKUP(A705,COMPLIANCE!$A$2:$F$1996,6,0),100)</f>
        <v>99.8</v>
      </c>
      <c r="O705" s="5">
        <f>N705*PARAMS_MODELO!$B$11</f>
        <v>9.98</v>
      </c>
      <c r="P705" s="5">
        <f>IFERROR(VLOOKUP(A705,DIGITAL!$A$2:$J$2000,7,0),100)</f>
        <v>10</v>
      </c>
      <c r="Q705" s="5">
        <f>IFERROR(P705,0)*PARAMS_MODELO!$B$12</f>
        <v>1</v>
      </c>
      <c r="R705">
        <f t="shared" si="243"/>
        <v>80.339744630636844</v>
      </c>
      <c r="S705" s="5" t="str">
        <f>IFERROR(VLOOKUP(A705,CLIENTE!$A$2:$N$2000,13,0),1)</f>
        <v>Muy Bueno</v>
      </c>
      <c r="T705" s="5">
        <f>IFERROR(VLOOKUP(A705,CLIENTE!$A$2:$N$2000,14,0),1)</f>
        <v>1.1499999999999999</v>
      </c>
      <c r="U705" s="5">
        <f t="shared" si="244"/>
        <v>92.390706325232358</v>
      </c>
      <c r="V705" s="5" t="str">
        <f>IF(U705&gt;=MAX(_xlfn.PERCENTILE.INC($U$2:$U$1194,PARAMS_MODELO!$B$50),PARAMS_MODELO!$B$45),"DIAMANTE",IF(U705&gt;=MAX(_xlfn.PERCENTILE.INC($U$2:$U$1194,PARAMS_MODELO!$B$51),PARAMS_MODELO!$B$46),"PLATINO",IF(U705&gt;=MAX(_xlfn.PERCENTILE.INC($U$2:$U$1194,PARAMS_MODELO!$B$52),PARAMS_MODELO!$B$47),"ORO",IF(U705&gt;=MAX(_xlfn.PERCENTILE.INC($U$2:$U$1194,PARAMS_MODELO!$B$53),PARAMS_MODELO!$B$48),"PLATA",IF(U705&gt;=1,"BRONCE","CERRADO")))))</f>
        <v>PLATINO</v>
      </c>
      <c r="W705" s="5" t="str" cm="1">
        <f t="array" ref="W705">_xlfn.XLOOKUP(1, (HIST_SCORE!$B:$B=PARAMS_MODELO!$B$4) * (HIST_SCORE!$C:$C=A705), HIST_SCORE!$E:$E, "No encontrado")</f>
        <v>PLATA</v>
      </c>
      <c r="X705" s="5" t="str">
        <f>_xlfn.LET(_xlpm.act,MATCH(V705,{"DIAMANTE";"PLATINO";"ORO";"PLATA";"BRONCE";"CERRADO"},0),_xlpm.ant,MATCH(W705,{"DIAMANTE";"PLATINO";"ORO";"PLATA";"BRONCE";"CERRADO"},0),IF(_xlpm.act&lt;_xlpm.ant,"Mejora ↑",IF(_xlpm.act&gt;_xlpm.ant,"Baja ↓","Estable →")))</f>
        <v>Mejora ↑</v>
      </c>
      <c r="Y705" s="5">
        <f>IFERROR(U705-SUMIFS(HIST_SCORE!$D:$D,HIST_SCORE!$B:$B,PARAMS_MODELO!$B$4,HIST_SCORE!$C:$C,$A705),"")</f>
        <v>62.513706325232363</v>
      </c>
      <c r="Z705" s="5" t="str">
        <f t="shared" si="245"/>
        <v>↑ Mejora</v>
      </c>
      <c r="AA705" s="5">
        <f t="shared" si="246"/>
        <v>98</v>
      </c>
      <c r="AB705" s="5">
        <f>IFERROR(SUMIFS(HIST_SCORE!$F:$F,HIST_SCORE!$B:$B,PARAMS_MODELO!$B$4,HIST_SCORE!$C:$C,$A705),"")</f>
        <v>911</v>
      </c>
      <c r="AC705" s="5">
        <f t="shared" si="247"/>
        <v>813</v>
      </c>
      <c r="AD705" t="str">
        <f t="shared" si="249"/>
        <v/>
      </c>
      <c r="AE7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705="CERRADO",1,IF(V705="BRONCE",_xlpm.cPl,IF(V705="PLATA",_xlpm.cO,IF(V705="ORO",_xlpm.cP,IF(V705="PLATINO",_xlpm.cD,999))))))</f>
        <v>96.054919694466676</v>
      </c>
      <c r="AF7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705="CERRADO",0,IF(V705="BRONCE",1,IF(V705="PLATA",_xlpm.cPl,IF(V705="ORO",_xlpm.cO,IF(V705="PLATINO",_xlpm.cP,_xlpm.cD))))))</f>
        <v>86.439123873763251</v>
      </c>
      <c r="AG705">
        <f t="shared" si="250"/>
        <v>3.1862724949863548</v>
      </c>
      <c r="AH705" t="str">
        <f t="shared" si="251"/>
        <v>VENTAS</v>
      </c>
      <c r="AI705" t="str">
        <f t="shared" si="248"/>
        <v>🎯 Para subir de categoría, eje VENTAS / IMPACTO ABSOLUTO (H). Acción: metas semanales + activación comercial + seguimiento del asesor. ΔR aprox: 3,2</v>
      </c>
      <c r="AJ705" s="26">
        <f>_xlfn.LET(_xlpm.piso,AF705,_xlpm.corte,AE705,_xlpm.prog,IF(_xlpm.corte&lt;=_xlpm.piso,0,MAX(0,MIN(1,(U705-_xlpm.piso)/(_xlpm.corte-_xlpm.piso)))),_xlpm.orden,{"DIAMANTE";"PLATINO";"ORO";"PLATA";"BRONCE";"CERRADO"},_xlpm.act,IFERROR(MATCH(V705,_xlpm.orden,0),6),_xlpm.ant,IFERROR(MATCH(W705,_xlpm.orden,0),6),_xlpm.ajmov,IF(_xlpm.act&lt;_xlpm.ant,0.08,IF(_xlpm.act&gt;_xlpm.ant,-0.08,0)),_xlpm.ajcli,IF(T705&lt;0.95,-0.06,0),_xlpm.prob,MAX(0,MIN(1,_xlpm.prog+_xlpm.ajmov+_xlpm.ajcli)),IF(OR(V705="DIAMANTE",V705="CERRADO"),0,ROUND(_xlpm.prob,2)))</f>
        <v>0.7</v>
      </c>
      <c r="AK705" t="str">
        <f t="shared" si="252"/>
        <v>Faltan 3,2 puntos base para subir a la siguiente categoría</v>
      </c>
      <c r="AL705" t="str">
        <f t="shared" si="253"/>
        <v>Margen de seguridad: 6,0 puntos</v>
      </c>
      <c r="AM705">
        <f t="shared" si="254"/>
        <v>0.25</v>
      </c>
      <c r="AN705" t="str">
        <f t="shared" si="255"/>
        <v>PRIORIDAD BAJA – control normal</v>
      </c>
      <c r="AO705">
        <f t="shared" si="256"/>
        <v>10.833645692218758</v>
      </c>
      <c r="AP705">
        <f t="shared" si="257"/>
        <v>1.2446026491387916</v>
      </c>
      <c r="AQ705">
        <f t="shared" si="258"/>
        <v>2.2999999999999507E-2</v>
      </c>
      <c r="AR705">
        <f t="shared" si="259"/>
        <v>10.35</v>
      </c>
      <c r="AS705">
        <f t="shared" si="260"/>
        <v>0</v>
      </c>
      <c r="AT705" t="str">
        <f t="shared" si="261"/>
        <v>VENTAS</v>
      </c>
      <c r="AU705">
        <f t="shared" si="262"/>
        <v>10.833645692218758</v>
      </c>
      <c r="AV705" t="str">
        <f t="shared" si="263"/>
        <v>Mayor retorno probable: VENTAS (+10,8 puntos finales potenciales).</v>
      </c>
    </row>
    <row r="706" spans="1:48" x14ac:dyDescent="0.3">
      <c r="A706" s="5">
        <v>51056787</v>
      </c>
      <c r="B706" s="5" t="str">
        <f>IFERROR(VLOOKUP(A706,VENTAS!$A$2:$B$1194,2,0),"")</f>
        <v>METTLER</v>
      </c>
      <c r="C706" s="5">
        <f>IFERROR(INDEX(VENTAS!$C$2:$E$1194,MATCH(A706,VENTAS!$A$2:$A$1194,0),MATCH(PARAMS_MODELO!$B$2,{"Q1","Q2","Q3"},0)),0)</f>
        <v>48293236.289999999</v>
      </c>
      <c r="D706" s="5">
        <f>IFERROR(INDEX(VENTAS!$F$2:$H$1194,MATCH(A706,VENTAS!$A$2:$A$1194,0),MATCH(PARAMS_MODELO!$B$2,{"Q1","Q2","Q3"},0)),0)</f>
        <v>57103889</v>
      </c>
      <c r="E706" s="8">
        <f t="shared" ref="E706:E769" si="264">IFERROR(D706/C706-1,0)</f>
        <v>0.18244071813891694</v>
      </c>
      <c r="F706" s="12">
        <f>IF(E706&lt;=PARAMS_MODELO!$B$15,0,IF(E706&gt;=PARAMS_MODELO!$B$17,100,100*MIN(1,(E706-PARAMS_MODELO!$B$15)/(PARAMS_MODELO!$B$16-PARAMS_MODELO!$B$15))))*PARAMS_MODELO!$B$7</f>
        <v>35</v>
      </c>
      <c r="G706" s="5">
        <f t="shared" ref="G706:G769" si="265">MAX(0,D706-C706)</f>
        <v>8810652.7100000009</v>
      </c>
      <c r="H706" s="5">
        <f>(PARAMS_MODELO!$B$20*(MAX(0,MIN(3,E706))/3)+PARAMS_MODELO!$B$21*(IFERROR(LN(1+MAX(0,G706))/LN(1+MAX(0,MAX($G$2:$G$1194))),0)))*100*PARAMS_MODELO!$B$8</f>
        <v>4.3871668482896569</v>
      </c>
      <c r="I706" s="8">
        <f>E706-PARAMS_MODELO!$B$5</f>
        <v>4.8778827633904065E-3</v>
      </c>
      <c r="J706" s="5">
        <f>IF(I706&lt;=PARAMS_MODELO!$B$18,0,IF(I706&gt;=PARAMS_MODELO!$B$19,100,100*(I706-PARAMS_MODELO!$B$18)/(PARAMS_MODELO!$B$19-PARAMS_MODELO!$B$18)))*PARAMS_MODELO!$B$9</f>
        <v>8.2316824145085601</v>
      </c>
      <c r="K706" s="5">
        <f>IFERROR(CHOOSE(MATCH(PARAMS_MODELO!$B$2,{"Q1","Q2","Q3"},0),LOTO!$D706,LOTO!$F706,LOTO!$H706),0)</f>
        <v>2647500</v>
      </c>
      <c r="L706" s="8">
        <f t="shared" ref="L706:L769" si="266">IFERROR(K706/D706,0)</f>
        <v>4.6362866809299103E-2</v>
      </c>
      <c r="M706" s="5">
        <f>MIN(100,IF(PARAMS_MODELO!$B$23=0,0,100*L706/PARAMS_MODELO!$B$23))*PARAMS_MODELO!$B$10</f>
        <v>13.90886004278973</v>
      </c>
      <c r="N706" s="5">
        <f>IFERROR(VLOOKUP(A706,COMPLIANCE!$A$2:$F$1996,6,0),100)</f>
        <v>100</v>
      </c>
      <c r="O706" s="5">
        <f>N706*PARAMS_MODELO!$B$11</f>
        <v>10</v>
      </c>
      <c r="P706" s="5">
        <f>IFERROR(VLOOKUP(A706,DIGITAL!$A$2:$J$2000,7,0),100)</f>
        <v>24</v>
      </c>
      <c r="Q706" s="5">
        <f>IFERROR(P706,0)*PARAMS_MODELO!$B$12</f>
        <v>2.4000000000000004</v>
      </c>
      <c r="R706">
        <f t="shared" ref="R706:R769" si="267">MIN(100,MAX(0,F706+H706+J706+M706+O706+Q706))</f>
        <v>73.927709305587953</v>
      </c>
      <c r="S706" s="5" t="str">
        <f>IFERROR(VLOOKUP(A706,CLIENTE!$A$2:$N$2000,13,0),1)</f>
        <v>Regular</v>
      </c>
      <c r="T706" s="5">
        <f>IFERROR(VLOOKUP(A706,CLIENTE!$A$2:$N$2000,14,0),1)</f>
        <v>1</v>
      </c>
      <c r="U706" s="5">
        <f t="shared" ref="U706:U769" si="268">MIN(100,MAX(0,R706*T706))</f>
        <v>73.927709305587953</v>
      </c>
      <c r="V706" s="5" t="str">
        <f>IF(U706&gt;=MAX(_xlfn.PERCENTILE.INC($U$2:$U$1194,PARAMS_MODELO!$B$50),PARAMS_MODELO!$B$45),"DIAMANTE",IF(U706&gt;=MAX(_xlfn.PERCENTILE.INC($U$2:$U$1194,PARAMS_MODELO!$B$51),PARAMS_MODELO!$B$46),"PLATINO",IF(U706&gt;=MAX(_xlfn.PERCENTILE.INC($U$2:$U$1194,PARAMS_MODELO!$B$52),PARAMS_MODELO!$B$47),"ORO",IF(U706&gt;=MAX(_xlfn.PERCENTILE.INC($U$2:$U$1194,PARAMS_MODELO!$B$53),PARAMS_MODELO!$B$48),"PLATA",IF(U706&gt;=1,"BRONCE","CERRADO")))))</f>
        <v>ORO</v>
      </c>
      <c r="W706" s="5" t="str" cm="1">
        <f t="array" ref="W706">_xlfn.XLOOKUP(1, (HIST_SCORE!$B:$B=PARAMS_MODELO!$B$4) * (HIST_SCORE!$C:$C=A706), HIST_SCORE!$E:$E, "No encontrado")</f>
        <v>ORO</v>
      </c>
      <c r="X706" s="5" t="str">
        <f>_xlfn.LET(_xlpm.act,MATCH(V706,{"DIAMANTE";"PLATINO";"ORO";"PLATA";"BRONCE";"CERRADO"},0),_xlpm.ant,MATCH(W706,{"DIAMANTE";"PLATINO";"ORO";"PLATA";"BRONCE";"CERRADO"},0),IF(_xlpm.act&lt;_xlpm.ant,"Mejora ↑",IF(_xlpm.act&gt;_xlpm.ant,"Baja ↓","Estable →")))</f>
        <v>Estable →</v>
      </c>
      <c r="Y706" s="5">
        <f>IFERROR(U706-SUMIFS(HIST_SCORE!$D:$D,HIST_SCORE!$B:$B,PARAMS_MODELO!$B$4,HIST_SCORE!$C:$C,$A706),"")</f>
        <v>-3.5140981477234732</v>
      </c>
      <c r="Z706" s="5" t="str">
        <f t="shared" ref="Z706:Z769" si="269">IF(Y706="","",IF(Y706&gt;=5,"↑ Mejora",IF(Y706&lt;=-5,"↓ Baja","→ Estable")))</f>
        <v>→ Estable</v>
      </c>
      <c r="AA706" s="5">
        <f t="shared" ref="AA706:AA769" si="270">IFERROR(_xlfn.RANK.EQ(U706,$U$2:$U$1194,0),"")</f>
        <v>481</v>
      </c>
      <c r="AB706" s="5">
        <f>IFERROR(SUMIFS(HIST_SCORE!$F:$F,HIST_SCORE!$B:$B,PARAMS_MODELO!$B$4,HIST_SCORE!$C:$C,$A706),"")</f>
        <v>459</v>
      </c>
      <c r="AC706" s="5">
        <f t="shared" ref="AC706:AC769" si="271">IF(OR(AA706="",AB706=""),"",AB706-AA706)</f>
        <v>-22</v>
      </c>
      <c r="AD706" t="str">
        <f t="shared" si="249"/>
        <v>Sostener base y reforzar mix</v>
      </c>
      <c r="AE7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706="CERRADO",1,IF(V706="BRONCE",_xlpm.cPl,IF(V706="PLATA",_xlpm.cO,IF(V706="ORO",_xlpm.cP,IF(V706="PLATINO",_xlpm.cD,999))))))</f>
        <v>86.439123873763251</v>
      </c>
      <c r="AF7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706="CERRADO",0,IF(V706="BRONCE",1,IF(V706="PLATA",_xlpm.cPl,IF(V706="ORO",_xlpm.cO,IF(V706="PLATINO",_xlpm.cP,_xlpm.cD))))))</f>
        <v>63.199193273331495</v>
      </c>
      <c r="AG706">
        <f t="shared" si="250"/>
        <v>12.511414568175297</v>
      </c>
      <c r="AH706" t="str">
        <f t="shared" si="251"/>
        <v>VENTAS</v>
      </c>
      <c r="AI706" t="str">
        <f t="shared" ref="AI706:AI769" si="272">_xlfn.LET(_xlpm.pal,AH706,_xlpm.deltaR,AG706,_xlpm.minVent,MIN(F706,H706,J706),_xlpm.subV,IF(_xlpm.minVent=F706,"CRECIMIENTO PERSONAL (F)",IF(_xlpm.minVent=H706,"IMPACTO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IMPACTO ABSOLUTO (H). Acción: metas semanales + activación comercial + seguimiento del asesor. ΔR aprox: 12,5</v>
      </c>
      <c r="AJ706" s="26">
        <f>_xlfn.LET(_xlpm.piso,AF706,_xlpm.corte,AE706,_xlpm.prog,IF(_xlpm.corte&lt;=_xlpm.piso,0,MAX(0,MIN(1,(U706-_xlpm.piso)/(_xlpm.corte-_xlpm.piso)))),_xlpm.orden,{"DIAMANTE";"PLATINO";"ORO";"PLATA";"BRONCE";"CERRADO"},_xlpm.act,IFERROR(MATCH(V706,_xlpm.orden,0),6),_xlpm.ant,IFERROR(MATCH(W706,_xlpm.orden,0),6),_xlpm.ajmov,IF(_xlpm.act&lt;_xlpm.ant,0.08,IF(_xlpm.act&gt;_xlpm.ant,-0.08,0)),_xlpm.ajcli,IF(T706&lt;0.95,-0.06,0),_xlpm.prob,MAX(0,MIN(1,_xlpm.prog+_xlpm.ajmov+_xlpm.ajcli)),IF(OR(V706="DIAMANTE",V706="CERRADO"),0,ROUND(_xlpm.prob,2)))</f>
        <v>0.46</v>
      </c>
      <c r="AK706" t="str">
        <f t="shared" si="252"/>
        <v>Faltan 12,5 puntos base para subir a la siguiente categoría</v>
      </c>
      <c r="AL706" t="str">
        <f t="shared" si="253"/>
        <v>Margen de seguridad: 10,7 puntos</v>
      </c>
      <c r="AM706">
        <f t="shared" si="254"/>
        <v>0.62</v>
      </c>
      <c r="AN706" t="str">
        <f t="shared" si="255"/>
        <v>PRIORIDAD MEDIA – seguimiento del asesor</v>
      </c>
      <c r="AO706">
        <f t="shared" si="256"/>
        <v>17.243720012497363</v>
      </c>
      <c r="AP706">
        <f t="shared" si="257"/>
        <v>1.0911399572102702</v>
      </c>
      <c r="AQ706">
        <f t="shared" si="258"/>
        <v>0</v>
      </c>
      <c r="AR706">
        <f t="shared" si="259"/>
        <v>7.6</v>
      </c>
      <c r="AS706">
        <f t="shared" si="260"/>
        <v>0</v>
      </c>
      <c r="AT706" t="str">
        <f t="shared" si="261"/>
        <v>VENTAS</v>
      </c>
      <c r="AU706">
        <f t="shared" si="262"/>
        <v>17.243720012497363</v>
      </c>
      <c r="AV706" t="str">
        <f t="shared" si="263"/>
        <v>Mayor retorno probable: VENTAS (+17,2 puntos finales potenciales).</v>
      </c>
    </row>
    <row r="707" spans="1:48" x14ac:dyDescent="0.3">
      <c r="A707" s="5">
        <v>51032802</v>
      </c>
      <c r="B707" s="5" t="str">
        <f>IFERROR(VLOOKUP(A707,VENTAS!$A$2:$B$1194,2,0),"")</f>
        <v>AYALA</v>
      </c>
      <c r="C707" s="5">
        <f>IFERROR(INDEX(VENTAS!$C$2:$E$1194,MATCH(A707,VENTAS!$A$2:$A$1194,0),MATCH(PARAMS_MODELO!$B$2,{"Q1","Q2","Q3"},0)),0)</f>
        <v>20838253</v>
      </c>
      <c r="D707" s="5">
        <f>IFERROR(INDEX(VENTAS!$F$2:$H$1194,MATCH(A707,VENTAS!$A$2:$A$1194,0),MATCH(PARAMS_MODELO!$B$2,{"Q1","Q2","Q3"},0)),0)</f>
        <v>57062267</v>
      </c>
      <c r="E707" s="8">
        <f t="shared" si="264"/>
        <v>1.7383421729259165</v>
      </c>
      <c r="F707" s="12">
        <f>IF(E707&lt;=PARAMS_MODELO!$B$15,0,IF(E707&gt;=PARAMS_MODELO!$B$17,100,100*MIN(1,(E707-PARAMS_MODELO!$B$15)/(PARAMS_MODELO!$B$16-PARAMS_MODELO!$B$15))))*PARAMS_MODELO!$B$7</f>
        <v>35</v>
      </c>
      <c r="G707" s="5">
        <f t="shared" si="265"/>
        <v>36224014</v>
      </c>
      <c r="H707" s="5">
        <f>(PARAMS_MODELO!$B$20*(MAX(0,MIN(3,E707))/3)+PARAMS_MODELO!$B$21*(IFERROR(LN(1+MAX(0,G707))/LN(1+MAX(0,MAX($G$2:$G$1194))),0)))*100*PARAMS_MODELO!$B$8</f>
        <v>10.164227175491863</v>
      </c>
      <c r="I707" s="8">
        <f>E707-PARAMS_MODELO!$B$5</f>
        <v>1.56077933755039</v>
      </c>
      <c r="J707" s="5">
        <f>IF(I707&lt;=PARAMS_MODELO!$B$18,0,IF(I707&gt;=PARAMS_MODELO!$B$19,100,100*(I707-PARAMS_MODELO!$B$18)/(PARAMS_MODELO!$B$19-PARAMS_MODELO!$B$18)))*PARAMS_MODELO!$B$9</f>
        <v>15</v>
      </c>
      <c r="K707" s="5">
        <f>IFERROR(CHOOSE(MATCH(PARAMS_MODELO!$B$2,{"Q1","Q2","Q3"},0),LOTO!$D707,LOTO!$F707,LOTO!$H707),0)</f>
        <v>2632500</v>
      </c>
      <c r="L707" s="8">
        <f t="shared" si="266"/>
        <v>4.6133813786262648E-2</v>
      </c>
      <c r="M707" s="5">
        <f>MIN(100,IF(PARAMS_MODELO!$B$23=0,0,100*L707/PARAMS_MODELO!$B$23))*PARAMS_MODELO!$B$10</f>
        <v>13.840144135878795</v>
      </c>
      <c r="N707" s="5">
        <f>IFERROR(VLOOKUP(A707,COMPLIANCE!$A$2:$F$1996,6,0),100)</f>
        <v>100</v>
      </c>
      <c r="O707" s="5">
        <f>N707*PARAMS_MODELO!$B$11</f>
        <v>10</v>
      </c>
      <c r="P707" s="5">
        <f>IFERROR(VLOOKUP(A707,DIGITAL!$A$2:$J$2000,7,0),100)</f>
        <v>75</v>
      </c>
      <c r="Q707" s="5">
        <f>IFERROR(P707,0)*PARAMS_MODELO!$B$12</f>
        <v>7.5</v>
      </c>
      <c r="R707">
        <f t="shared" si="267"/>
        <v>91.504371311370647</v>
      </c>
      <c r="S707" s="5" t="str">
        <f>IFERROR(VLOOKUP(A707,CLIENTE!$A$2:$N$2000,13,0),1)</f>
        <v>Muy Bueno</v>
      </c>
      <c r="T707" s="5">
        <f>IFERROR(VLOOKUP(A707,CLIENTE!$A$2:$N$2000,14,0),1)</f>
        <v>1.1499999999999999</v>
      </c>
      <c r="U707" s="5">
        <f t="shared" si="268"/>
        <v>100</v>
      </c>
      <c r="V707" s="5" t="str">
        <f>IF(U707&gt;=MAX(_xlfn.PERCENTILE.INC($U$2:$U$1194,PARAMS_MODELO!$B$50),PARAMS_MODELO!$B$45),"DIAMANTE",IF(U707&gt;=MAX(_xlfn.PERCENTILE.INC($U$2:$U$1194,PARAMS_MODELO!$B$51),PARAMS_MODELO!$B$46),"PLATINO",IF(U707&gt;=MAX(_xlfn.PERCENTILE.INC($U$2:$U$1194,PARAMS_MODELO!$B$52),PARAMS_MODELO!$B$47),"ORO",IF(U707&gt;=MAX(_xlfn.PERCENTILE.INC($U$2:$U$1194,PARAMS_MODELO!$B$53),PARAMS_MODELO!$B$48),"PLATA",IF(U707&gt;=1,"BRONCE","CERRADO")))))</f>
        <v>DIAMANTE</v>
      </c>
      <c r="W707" s="5" t="str" cm="1">
        <f t="array" ref="W707">_xlfn.XLOOKUP(1, (HIST_SCORE!$B:$B=PARAMS_MODELO!$B$4) * (HIST_SCORE!$C:$C=A707), HIST_SCORE!$E:$E, "No encontrado")</f>
        <v>DIAMANTE</v>
      </c>
      <c r="X707" s="5" t="str">
        <f>_xlfn.LET(_xlpm.act,MATCH(V707,{"DIAMANTE";"PLATINO";"ORO";"PLATA";"BRONCE";"CERRADO"},0),_xlpm.ant,MATCH(W707,{"DIAMANTE";"PLATINO";"ORO";"PLATA";"BRONCE";"CERRADO"},0),IF(_xlpm.act&lt;_xlpm.ant,"Mejora ↑",IF(_xlpm.act&gt;_xlpm.ant,"Baja ↓","Estable →")))</f>
        <v>Estable →</v>
      </c>
      <c r="Y707" s="5">
        <f>IFERROR(U707-SUMIFS(HIST_SCORE!$D:$D,HIST_SCORE!$B:$B,PARAMS_MODELO!$B$4,HIST_SCORE!$C:$C,$A707),"")</f>
        <v>0</v>
      </c>
      <c r="Z707" s="5" t="str">
        <f t="shared" si="269"/>
        <v>→ Estable</v>
      </c>
      <c r="AA707" s="5">
        <f t="shared" si="270"/>
        <v>1</v>
      </c>
      <c r="AB707" s="5">
        <f>IFERROR(SUMIFS(HIST_SCORE!$F:$F,HIST_SCORE!$B:$B,PARAMS_MODELO!$B$4,HIST_SCORE!$C:$C,$A707),"")</f>
        <v>1</v>
      </c>
      <c r="AC707" s="5">
        <f t="shared" si="271"/>
        <v>0</v>
      </c>
      <c r="AD707" t="str">
        <f t="shared" ref="AD707:AD770" si="273">IF(V707="CERRADO","Agencia sin actividad o cerrada",IF(AND(V707="BRONCE",Y707=""),"Primer corte: cargá histórico para medir movilidad",IF(AND(V707="BRONCE",Y707&lt;0),"Plan de recuperación: foco crecimiento + mix",IF(AND(V707="ORO",Y707&lt;0),"Sostener base y reforzar mix",""))))</f>
        <v/>
      </c>
      <c r="AE7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707="CERRADO",1,IF(V707="BRONCE",_xlpm.cPl,IF(V707="PLATA",_xlpm.cO,IF(V707="ORO",_xlpm.cP,IF(V707="PLATINO",_xlpm.cD,999))))))</f>
        <v>999</v>
      </c>
      <c r="AF7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707="CERRADO",0,IF(V707="BRONCE",1,IF(V707="PLATA",_xlpm.cPl,IF(V707="ORO",_xlpm.cO,IF(V707="PLATINO",_xlpm.cP,_xlpm.cD))))))</f>
        <v>96.054919694466676</v>
      </c>
      <c r="AG707">
        <f t="shared" ref="AG707:AG770" si="274">_xlfn.LET(_xlpm.corteU,AE707,_xlpm.coef,MAX(0.01,T707),_xlpm.reqR,_xlpm.corteU/_xlpm.coef,MAX(0,_xlpm.reqR-R707))</f>
        <v>777.1912808625425</v>
      </c>
      <c r="AH707" t="str">
        <f t="shared" ref="AH707:AH770" si="275">_xlfn.LET(_xlpm.deltaR,AG707,_xlpm.ventas,F707+H707+J707,_xlpm.hv,(MAX($F$2:$F$1194)+MAX($H$2:$H$1194)+MAX($J$2:$J$1194))-_xlpm.ventas,_xlpm.hl,MAX($M$2:$M$1194)-M707,_xlpm.hc,MAX($O$2:$O$1194)-O707,_xlpm.hd,MAX($Q$2:$Q$1194)-Q707,_xlpm.impV,MIN(_xlpm.deltaR,MAX(0,_xlpm.hv)),_xlpm.impL,MIN(_xlpm.deltaR,MAX(0,_xlpm.hl)),_xlpm.impC,MIN(_xlpm.deltaR,MAX(0,_xlpm.hc)),_xlpm.impD,MIN(_xlpm.deltaR,MAX(0,_xlpm.hd)),_xlpm.t,T707,_xlpm.tObj,1,_xlpm.impCli,IF(_xlpm.t&lt;0.95,MIN(_xlpm.deltaR,R707*(_xlpm.tObj/_xlpm.t-1)),0),_xlpm.mx,MAX(_xlpm.impV,_xlpm.impL,_xlpm.impC,_xlpm.impD,_xlpm.impCli),IF(V707="DIAMANTE","SOSTENER",IF(V707="CERRADO","CERRADO",IF(_xlpm.mx=_xlpm.impCli,"CLIENTE",IF(_xlpm.mx=_xlpm.impV,"VENTAS",IF(_xlpm.mx=_xlpm.impL,"LOTO",IF(_xlpm.mx=_xlpm.impC,"COMPLIANCE","DIGITAL")))))))</f>
        <v>SOSTENER</v>
      </c>
      <c r="AI707" t="str">
        <f t="shared" si="272"/>
        <v>✅ Mantener desempeño y monitorear variaciones para sostener categoría.</v>
      </c>
      <c r="AJ707" s="26">
        <f>_xlfn.LET(_xlpm.piso,AF707,_xlpm.corte,AE707,_xlpm.prog,IF(_xlpm.corte&lt;=_xlpm.piso,0,MAX(0,MIN(1,(U707-_xlpm.piso)/(_xlpm.corte-_xlpm.piso)))),_xlpm.orden,{"DIAMANTE";"PLATINO";"ORO";"PLATA";"BRONCE";"CERRADO"},_xlpm.act,IFERROR(MATCH(V707,_xlpm.orden,0),6),_xlpm.ant,IFERROR(MATCH(W707,_xlpm.orden,0),6),_xlpm.ajmov,IF(_xlpm.act&lt;_xlpm.ant,0.08,IF(_xlpm.act&gt;_xlpm.ant,-0.08,0)),_xlpm.ajcli,IF(T707&lt;0.95,-0.06,0),_xlpm.prob,MAX(0,MIN(1,_xlpm.prog+_xlpm.ajmov+_xlpm.ajcli)),IF(OR(V707="DIAMANTE",V707="CERRADO"),0,ROUND(_xlpm.prob,2)))</f>
        <v>0</v>
      </c>
      <c r="AK707" t="str">
        <f t="shared" ref="AK707:AK770" si="276">IF(OR(V707="DIAMANTE",V707="CERRADO"),"No aplica","Faltan " &amp; TEXT(AG707,"0,0") &amp; " puntos base para subir a la siguiente categoría")</f>
        <v>No aplica</v>
      </c>
      <c r="AL707" t="str">
        <f t="shared" ref="AL707:AL770" si="277">_xlfn.LET(_xlpm.piso,AF707,_xlpm.dist,U707-_xlpm.piso,IF(OR(V707="BRONCE",V707="CERRADO"),"No aplica",IF(_xlpm.dist&lt;=0,"⚠ Riesgo de descenso","Margen de seguridad: " &amp; TEXT(_xlpm.dist,"0,0") &amp; " puntos")))</f>
        <v>Margen de seguridad: 3,9 puntos</v>
      </c>
      <c r="AM707">
        <f t="shared" ref="AM707:AM770" si="278">_xlfn.LET(_xlpm.prob,AJ707,_xlpm.dist,AG707,_xlpm.coef,T707,_xlpm.prior,(1-_xlpm.prob)*0.4+MIN(1,_xlpm.dist/10)*0.4+IF(_xlpm.coef&lt;0.95,0.2,0),ROUND(_xlpm.prior,2))</f>
        <v>0.8</v>
      </c>
      <c r="AN707" t="str">
        <f t="shared" ref="AN707:AN770" si="279">IF(AM707&gt;=0.7,"PRIORIDAD ALTA – requiere intervención inmediata",IF(AM707&gt;=0.4,"PRIORIDAD MEDIA – seguimiento del asesor","PRIORIDAD BAJA – control normal"))</f>
        <v>PRIORIDAD ALTA – requiere intervención inmediata</v>
      </c>
      <c r="AO707">
        <f t="shared" ref="AO707:AO770" si="280">MAX(0,((MAX($F$2:$F$1194)+MAX($H$2:$H$1194)+MAX($J$2:$J$1194))-(F707+H707+J707))*T707)</f>
        <v>5.4030934147742826</v>
      </c>
      <c r="AP707">
        <f t="shared" ref="AP707:AP770" si="281">MAX(0,(MAX($M$2:$M$1194)-M707)*T707)</f>
        <v>1.3338342437393857</v>
      </c>
      <c r="AQ707">
        <f t="shared" ref="AQ707:AQ770" si="282">MAX(0,(MAX($O$2:$O$1194)-O707)*T707)</f>
        <v>0</v>
      </c>
      <c r="AR707">
        <f t="shared" ref="AR707:AR770" si="283">MAX(0,(MAX($Q$2:$Q$1194)-Q707)*T707)</f>
        <v>2.875</v>
      </c>
      <c r="AS707">
        <f t="shared" ref="AS707:AS770" si="284">MAX(0,R707*(1-T707))</f>
        <v>0</v>
      </c>
      <c r="AT707" t="str">
        <f t="shared" ref="AT707:AT770" si="285">_xlfn.LET(_xlpm.v,AO707,_xlpm.l,AP707,_xlpm.c,AQ707,_xlpm.d,AR707,_xlpm.cli,AS707,_xlpm.mx,MAX(_xlpm.v,_xlpm.l,_xlpm.c,_xlpm.d,_xlpm.cli),IF(_xlpm.mx=_xlpm.cli,"CLIENTE",IF(_xlpm.mx=_xlpm.v,"VENTAS",IF(_xlpm.mx=_xlpm.l,"LOTO",IF(_xlpm.mx=_xlpm.c,"COMPLIANCE","DIGITAL")))))</f>
        <v>VENTAS</v>
      </c>
      <c r="AU707">
        <f t="shared" ref="AU707:AU770" si="286">MAX(AO707,AP707,AQ707,AR707,AS707)</f>
        <v>5.4030934147742826</v>
      </c>
      <c r="AV707" t="str">
        <f t="shared" ref="AV707:AV770" si="287">IF(V707="CERRADO","⛔ Sin impacto comercial estimable por estado CERRADO.","Mayor retorno probable: " &amp; AT707 &amp; " (+" &amp; TEXT(AU707,"0,0") &amp; " puntos finales potenciales).")</f>
        <v>Mayor retorno probable: VENTAS (+5,4 puntos finales potenciales).</v>
      </c>
    </row>
    <row r="708" spans="1:48" x14ac:dyDescent="0.3">
      <c r="A708" s="5">
        <v>51043677</v>
      </c>
      <c r="B708" s="5" t="str">
        <f>IFERROR(VLOOKUP(A708,VENTAS!$A$2:$B$1194,2,0),"")</f>
        <v>MONTENEGRO</v>
      </c>
      <c r="C708" s="5">
        <f>IFERROR(INDEX(VENTAS!$C$2:$E$1194,MATCH(A708,VENTAS!$A$2:$A$1194,0),MATCH(PARAMS_MODELO!$B$2,{"Q1","Q2","Q3"},0)),0)</f>
        <v>36067682.899999999</v>
      </c>
      <c r="D708" s="5">
        <f>IFERROR(INDEX(VENTAS!$F$2:$H$1194,MATCH(A708,VENTAS!$A$2:$A$1194,0),MATCH(PARAMS_MODELO!$B$2,{"Q1","Q2","Q3"},0)),0)</f>
        <v>56907349</v>
      </c>
      <c r="E708" s="8">
        <f t="shared" si="264"/>
        <v>0.57779331591051553</v>
      </c>
      <c r="F708" s="12">
        <f>IF(E708&lt;=PARAMS_MODELO!$B$15,0,IF(E708&gt;=PARAMS_MODELO!$B$17,100,100*MIN(1,(E708-PARAMS_MODELO!$B$15)/(PARAMS_MODELO!$B$16-PARAMS_MODELO!$B$15))))*PARAMS_MODELO!$B$7</f>
        <v>35</v>
      </c>
      <c r="G708" s="5">
        <f t="shared" si="265"/>
        <v>20839666.100000001</v>
      </c>
      <c r="H708" s="5">
        <f>(PARAMS_MODELO!$B$20*(MAX(0,MIN(3,E708))/3)+PARAMS_MODELO!$B$21*(IFERROR(LN(1+MAX(0,G708))/LN(1+MAX(0,MAX($G$2:$G$1194))),0)))*100*PARAMS_MODELO!$B$8</f>
        <v>5.9727071233143016</v>
      </c>
      <c r="I708" s="8">
        <f>E708-PARAMS_MODELO!$B$5</f>
        <v>0.400230480534989</v>
      </c>
      <c r="J708" s="5">
        <f>IF(I708&lt;=PARAMS_MODELO!$B$18,0,IF(I708&gt;=PARAMS_MODELO!$B$19,100,100*(I708-PARAMS_MODELO!$B$18)/(PARAMS_MODELO!$B$19-PARAMS_MODELO!$B$18)))*PARAMS_MODELO!$B$9</f>
        <v>15</v>
      </c>
      <c r="K708" s="5">
        <f>IFERROR(CHOOSE(MATCH(PARAMS_MODELO!$B$2,{"Q1","Q2","Q3"},0),LOTO!$D708,LOTO!$F708,LOTO!$H708),0)</f>
        <v>2632500</v>
      </c>
      <c r="L708" s="8">
        <f t="shared" si="266"/>
        <v>4.6259403157226674E-2</v>
      </c>
      <c r="M708" s="5">
        <f>MIN(100,IF(PARAMS_MODELO!$B$23=0,0,100*L708/PARAMS_MODELO!$B$23))*PARAMS_MODELO!$B$10</f>
        <v>13.877820947168001</v>
      </c>
      <c r="N708" s="5">
        <f>IFERROR(VLOOKUP(A708,COMPLIANCE!$A$2:$F$1996,6,0),100)</f>
        <v>100</v>
      </c>
      <c r="O708" s="5">
        <f>N708*PARAMS_MODELO!$B$11</f>
        <v>10</v>
      </c>
      <c r="P708" s="5">
        <f>IFERROR(VLOOKUP(A708,DIGITAL!$A$2:$J$2000,7,0),100)</f>
        <v>2</v>
      </c>
      <c r="Q708" s="5">
        <f>IFERROR(P708,0)*PARAMS_MODELO!$B$12</f>
        <v>0.2</v>
      </c>
      <c r="R708">
        <f t="shared" si="267"/>
        <v>80.050528070482301</v>
      </c>
      <c r="S708" s="5" t="str">
        <f>IFERROR(VLOOKUP(A708,CLIENTE!$A$2:$N$2000,13,0),1)</f>
        <v>Regular</v>
      </c>
      <c r="T708" s="5">
        <f>IFERROR(VLOOKUP(A708,CLIENTE!$A$2:$N$2000,14,0),1)</f>
        <v>1</v>
      </c>
      <c r="U708" s="5">
        <f t="shared" si="268"/>
        <v>80.050528070482301</v>
      </c>
      <c r="V708" s="5" t="str">
        <f>IF(U708&gt;=MAX(_xlfn.PERCENTILE.INC($U$2:$U$1194,PARAMS_MODELO!$B$50),PARAMS_MODELO!$B$45),"DIAMANTE",IF(U708&gt;=MAX(_xlfn.PERCENTILE.INC($U$2:$U$1194,PARAMS_MODELO!$B$51),PARAMS_MODELO!$B$46),"PLATINO",IF(U708&gt;=MAX(_xlfn.PERCENTILE.INC($U$2:$U$1194,PARAMS_MODELO!$B$52),PARAMS_MODELO!$B$47),"ORO",IF(U708&gt;=MAX(_xlfn.PERCENTILE.INC($U$2:$U$1194,PARAMS_MODELO!$B$53),PARAMS_MODELO!$B$48),"PLATA",IF(U708&gt;=1,"BRONCE","CERRADO")))))</f>
        <v>ORO</v>
      </c>
      <c r="W708" s="5" t="str" cm="1">
        <f t="array" ref="W708">_xlfn.XLOOKUP(1, (HIST_SCORE!$B:$B=PARAMS_MODELO!$B$4) * (HIST_SCORE!$C:$C=A708), HIST_SCORE!$E:$E, "No encontrado")</f>
        <v>ORO</v>
      </c>
      <c r="X708" s="5" t="str">
        <f>_xlfn.LET(_xlpm.act,MATCH(V708,{"DIAMANTE";"PLATINO";"ORO";"PLATA";"BRONCE";"CERRADO"},0),_xlpm.ant,MATCH(W708,{"DIAMANTE";"PLATINO";"ORO";"PLATA";"BRONCE";"CERRADO"},0),IF(_xlpm.act&lt;_xlpm.ant,"Mejora ↑",IF(_xlpm.act&gt;_xlpm.ant,"Baja ↓","Estable →")))</f>
        <v>Estable →</v>
      </c>
      <c r="Y708" s="5">
        <f>IFERROR(U708-SUMIFS(HIST_SCORE!$D:$D,HIST_SCORE!$B:$B,PARAMS_MODELO!$B$4,HIST_SCORE!$C:$C,$A708),"")</f>
        <v>1.3296926272473684</v>
      </c>
      <c r="Z708" s="5" t="str">
        <f t="shared" si="269"/>
        <v>→ Estable</v>
      </c>
      <c r="AA708" s="5">
        <f t="shared" si="270"/>
        <v>440</v>
      </c>
      <c r="AB708" s="5">
        <f>IFERROR(SUMIFS(HIST_SCORE!$F:$F,HIST_SCORE!$B:$B,PARAMS_MODELO!$B$4,HIST_SCORE!$C:$C,$A708),"")</f>
        <v>440</v>
      </c>
      <c r="AC708" s="5">
        <f t="shared" si="271"/>
        <v>0</v>
      </c>
      <c r="AD708" t="str">
        <f t="shared" si="273"/>
        <v/>
      </c>
      <c r="AE7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708="CERRADO",1,IF(V708="BRONCE",_xlpm.cPl,IF(V708="PLATA",_xlpm.cO,IF(V708="ORO",_xlpm.cP,IF(V708="PLATINO",_xlpm.cD,999))))))</f>
        <v>86.439123873763251</v>
      </c>
      <c r="AF7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708="CERRADO",0,IF(V708="BRONCE",1,IF(V708="PLATA",_xlpm.cPl,IF(V708="ORO",_xlpm.cO,IF(V708="PLATINO",_xlpm.cP,_xlpm.cD))))))</f>
        <v>63.199193273331495</v>
      </c>
      <c r="AG708">
        <f t="shared" si="274"/>
        <v>6.3885958032809498</v>
      </c>
      <c r="AH708" t="str">
        <f t="shared" si="275"/>
        <v>VENTAS</v>
      </c>
      <c r="AI708" t="str">
        <f t="shared" si="272"/>
        <v>🎯 Para subir de categoría, eje VENTAS / IMPACTO ABSOLUTO (H). Acción: metas semanales + activación comercial + seguimiento del asesor. ΔR aprox: 6,4</v>
      </c>
      <c r="AJ708" s="26">
        <f>_xlfn.LET(_xlpm.piso,AF708,_xlpm.corte,AE708,_xlpm.prog,IF(_xlpm.corte&lt;=_xlpm.piso,0,MAX(0,MIN(1,(U708-_xlpm.piso)/(_xlpm.corte-_xlpm.piso)))),_xlpm.orden,{"DIAMANTE";"PLATINO";"ORO";"PLATA";"BRONCE";"CERRADO"},_xlpm.act,IFERROR(MATCH(V708,_xlpm.orden,0),6),_xlpm.ant,IFERROR(MATCH(W708,_xlpm.orden,0),6),_xlpm.ajmov,IF(_xlpm.act&lt;_xlpm.ant,0.08,IF(_xlpm.act&gt;_xlpm.ant,-0.08,0)),_xlpm.ajcli,IF(T708&lt;0.95,-0.06,0),_xlpm.prob,MAX(0,MIN(1,_xlpm.prog+_xlpm.ajmov+_xlpm.ajcli)),IF(OR(V708="DIAMANTE",V708="CERRADO"),0,ROUND(_xlpm.prob,2)))</f>
        <v>0.73</v>
      </c>
      <c r="AK708" t="str">
        <f t="shared" si="276"/>
        <v>Faltan 6,4 puntos base para subir a la siguiente categoría</v>
      </c>
      <c r="AL708" t="str">
        <f t="shared" si="277"/>
        <v>Margen de seguridad: 16,9 puntos</v>
      </c>
      <c r="AM708">
        <f t="shared" si="278"/>
        <v>0.36</v>
      </c>
      <c r="AN708" t="str">
        <f t="shared" si="279"/>
        <v>PRIORIDAD BAJA – control normal</v>
      </c>
      <c r="AO708">
        <f t="shared" si="280"/>
        <v>8.8898621519812835</v>
      </c>
      <c r="AP708">
        <f t="shared" si="281"/>
        <v>1.1221790528319993</v>
      </c>
      <c r="AQ708">
        <f t="shared" si="282"/>
        <v>0</v>
      </c>
      <c r="AR708">
        <f t="shared" si="283"/>
        <v>9.8000000000000007</v>
      </c>
      <c r="AS708">
        <f t="shared" si="284"/>
        <v>0</v>
      </c>
      <c r="AT708" t="str">
        <f t="shared" si="285"/>
        <v>DIGITAL</v>
      </c>
      <c r="AU708">
        <f t="shared" si="286"/>
        <v>9.8000000000000007</v>
      </c>
      <c r="AV708" t="str">
        <f t="shared" si="287"/>
        <v>Mayor retorno probable: DIGITAL (+9,8 puntos finales potenciales).</v>
      </c>
    </row>
    <row r="709" spans="1:48" x14ac:dyDescent="0.3">
      <c r="A709" s="5">
        <v>51022467</v>
      </c>
      <c r="B709" s="5" t="str">
        <f>IFERROR(VLOOKUP(A709,VENTAS!$A$2:$B$1194,2,0),"")</f>
        <v>PUGH</v>
      </c>
      <c r="C709" s="5">
        <f>IFERROR(INDEX(VENTAS!$C$2:$E$1194,MATCH(A709,VENTAS!$A$2:$A$1194,0),MATCH(PARAMS_MODELO!$B$2,{"Q1","Q2","Q3"},0)),0)</f>
        <v>45329834.209999993</v>
      </c>
      <c r="D709" s="5">
        <f>IFERROR(INDEX(VENTAS!$F$2:$H$1194,MATCH(A709,VENTAS!$A$2:$A$1194,0),MATCH(PARAMS_MODELO!$B$2,{"Q1","Q2","Q3"},0)),0)</f>
        <v>56873382</v>
      </c>
      <c r="E709" s="8">
        <f t="shared" si="264"/>
        <v>0.25465673967661329</v>
      </c>
      <c r="F709" s="12">
        <f>IF(E709&lt;=PARAMS_MODELO!$B$15,0,IF(E709&gt;=PARAMS_MODELO!$B$17,100,100*MIN(1,(E709-PARAMS_MODELO!$B$15)/(PARAMS_MODELO!$B$16-PARAMS_MODELO!$B$15))))*PARAMS_MODELO!$B$7</f>
        <v>35</v>
      </c>
      <c r="G709" s="5">
        <f t="shared" si="265"/>
        <v>11543547.790000007</v>
      </c>
      <c r="H709" s="5">
        <f>(PARAMS_MODELO!$B$20*(MAX(0,MIN(3,E709))/3)+PARAMS_MODELO!$B$21*(IFERROR(LN(1+MAX(0,G709))/LN(1+MAX(0,MAX($G$2:$G$1194))),0)))*100*PARAMS_MODELO!$B$8</f>
        <v>4.7032533939831103</v>
      </c>
      <c r="I709" s="8">
        <f>E709-PARAMS_MODELO!$B$5</f>
        <v>7.7093904301086758E-2</v>
      </c>
      <c r="J709" s="5">
        <f>IF(I709&lt;=PARAMS_MODELO!$B$18,0,IF(I709&gt;=PARAMS_MODELO!$B$19,100,100*(I709-PARAMS_MODELO!$B$18)/(PARAMS_MODELO!$B$19-PARAMS_MODELO!$B$18)))*PARAMS_MODELO!$B$9</f>
        <v>15</v>
      </c>
      <c r="K709" s="5">
        <f>IFERROR(CHOOSE(MATCH(PARAMS_MODELO!$B$2,{"Q1","Q2","Q3"},0),LOTO!$D709,LOTO!$F709,LOTO!$H709),0)</f>
        <v>2625000</v>
      </c>
      <c r="L709" s="8">
        <f t="shared" si="266"/>
        <v>4.6155159192045235E-2</v>
      </c>
      <c r="M709" s="5">
        <f>MIN(100,IF(PARAMS_MODELO!$B$23=0,0,100*L709/PARAMS_MODELO!$B$23))*PARAMS_MODELO!$B$10</f>
        <v>13.846547757613569</v>
      </c>
      <c r="N709" s="5">
        <f>IFERROR(VLOOKUP(A709,COMPLIANCE!$A$2:$F$1996,6,0),100)</f>
        <v>100</v>
      </c>
      <c r="O709" s="5">
        <f>N709*PARAMS_MODELO!$B$11</f>
        <v>10</v>
      </c>
      <c r="P709" s="5">
        <f>IFERROR(VLOOKUP(A709,DIGITAL!$A$2:$J$2000,7,0),100)</f>
        <v>1</v>
      </c>
      <c r="Q709" s="5">
        <f>IFERROR(P709,0)*PARAMS_MODELO!$B$12</f>
        <v>0.1</v>
      </c>
      <c r="R709">
        <f t="shared" si="267"/>
        <v>78.649801151596677</v>
      </c>
      <c r="S709" s="5" t="str">
        <f>IFERROR(VLOOKUP(A709,CLIENTE!$A$2:$N$2000,13,0),1)</f>
        <v>Malo</v>
      </c>
      <c r="T709" s="5">
        <f>IFERROR(VLOOKUP(A709,CLIENTE!$A$2:$N$2000,14,0),1)</f>
        <v>0.7</v>
      </c>
      <c r="U709" s="5">
        <f t="shared" si="268"/>
        <v>55.054860806117674</v>
      </c>
      <c r="V709" s="5" t="str">
        <f>IF(U709&gt;=MAX(_xlfn.PERCENTILE.INC($U$2:$U$1194,PARAMS_MODELO!$B$50),PARAMS_MODELO!$B$45),"DIAMANTE",IF(U709&gt;=MAX(_xlfn.PERCENTILE.INC($U$2:$U$1194,PARAMS_MODELO!$B$51),PARAMS_MODELO!$B$46),"PLATINO",IF(U709&gt;=MAX(_xlfn.PERCENTILE.INC($U$2:$U$1194,PARAMS_MODELO!$B$52),PARAMS_MODELO!$B$47),"ORO",IF(U709&gt;=MAX(_xlfn.PERCENTILE.INC($U$2:$U$1194,PARAMS_MODELO!$B$53),PARAMS_MODELO!$B$48),"PLATA",IF(U709&gt;=1,"BRONCE","CERRADO")))))</f>
        <v>PLATA</v>
      </c>
      <c r="W709" s="5" t="str" cm="1">
        <f t="array" ref="W709">_xlfn.XLOOKUP(1, (HIST_SCORE!$B:$B=PARAMS_MODELO!$B$4) * (HIST_SCORE!$C:$C=A709), HIST_SCORE!$E:$E, "No encontrado")</f>
        <v>PLATA</v>
      </c>
      <c r="X709" s="5" t="str">
        <f>_xlfn.LET(_xlpm.act,MATCH(V709,{"DIAMANTE";"PLATINO";"ORO";"PLATA";"BRONCE";"CERRADO"},0),_xlpm.ant,MATCH(W709,{"DIAMANTE";"PLATINO";"ORO";"PLATA";"BRONCE";"CERRADO"},0),IF(_xlpm.act&lt;_xlpm.ant,"Mejora ↑",IF(_xlpm.act&gt;_xlpm.ant,"Baja ↓","Estable →")))</f>
        <v>Estable →</v>
      </c>
      <c r="Y709" s="5">
        <f>IFERROR(U709-SUMIFS(HIST_SCORE!$D:$D,HIST_SCORE!$B:$B,PARAMS_MODELO!$B$4,HIST_SCORE!$C:$C,$A709),"")</f>
        <v>10.427585096476228</v>
      </c>
      <c r="Z709" s="5" t="str">
        <f t="shared" si="269"/>
        <v>↑ Mejora</v>
      </c>
      <c r="AA709" s="5">
        <f t="shared" si="270"/>
        <v>716</v>
      </c>
      <c r="AB709" s="5">
        <f>IFERROR(SUMIFS(HIST_SCORE!$F:$F,HIST_SCORE!$B:$B,PARAMS_MODELO!$B$4,HIST_SCORE!$C:$C,$A709),"")</f>
        <v>828</v>
      </c>
      <c r="AC709" s="5">
        <f t="shared" si="271"/>
        <v>112</v>
      </c>
      <c r="AD709" t="str">
        <f t="shared" si="273"/>
        <v/>
      </c>
      <c r="AE7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709="CERRADO",1,IF(V709="BRONCE",_xlpm.cPl,IF(V709="PLATA",_xlpm.cO,IF(V709="ORO",_xlpm.cP,IF(V709="PLATINO",_xlpm.cD,999))))))</f>
        <v>63.199193273331495</v>
      </c>
      <c r="AF7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709="CERRADO",0,IF(V709="BRONCE",1,IF(V709="PLATA",_xlpm.cPl,IF(V709="ORO",_xlpm.cO,IF(V709="PLATINO",_xlpm.cP,_xlpm.cD))))))</f>
        <v>24.506573482968111</v>
      </c>
      <c r="AG709">
        <f t="shared" si="274"/>
        <v>11.634760667448319</v>
      </c>
      <c r="AH709" t="str">
        <f t="shared" si="275"/>
        <v>CLIENTE</v>
      </c>
      <c r="AI709" t="str">
        <f t="shared" si="272"/>
        <v>🎯 Para subir de categoría, la eje con mayor impacto probable es CLIENTE (coef T). Acción: reducir quejas, mejorar incógnito y empujar reseñas. ΔR aprox: 11,6</v>
      </c>
      <c r="AJ709" s="26">
        <f>_xlfn.LET(_xlpm.piso,AF709,_xlpm.corte,AE709,_xlpm.prog,IF(_xlpm.corte&lt;=_xlpm.piso,0,MAX(0,MIN(1,(U709-_xlpm.piso)/(_xlpm.corte-_xlpm.piso)))),_xlpm.orden,{"DIAMANTE";"PLATINO";"ORO";"PLATA";"BRONCE";"CERRADO"},_xlpm.act,IFERROR(MATCH(V709,_xlpm.orden,0),6),_xlpm.ant,IFERROR(MATCH(W709,_xlpm.orden,0),6),_xlpm.ajmov,IF(_xlpm.act&lt;_xlpm.ant,0.08,IF(_xlpm.act&gt;_xlpm.ant,-0.08,0)),_xlpm.ajcli,IF(T709&lt;0.95,-0.06,0),_xlpm.prob,MAX(0,MIN(1,_xlpm.prog+_xlpm.ajmov+_xlpm.ajcli)),IF(OR(V709="DIAMANTE",V709="CERRADO"),0,ROUND(_xlpm.prob,2)))</f>
        <v>0.73</v>
      </c>
      <c r="AK709" t="str">
        <f t="shared" si="276"/>
        <v>Faltan 11,6 puntos base para subir a la siguiente categoría</v>
      </c>
      <c r="AL709" t="str">
        <f t="shared" si="277"/>
        <v>Margen de seguridad: 30,5 puntos</v>
      </c>
      <c r="AM709">
        <f t="shared" si="278"/>
        <v>0.71</v>
      </c>
      <c r="AN709" t="str">
        <f t="shared" si="279"/>
        <v>PRIORIDAD ALTA – requiere intervención inmediata</v>
      </c>
      <c r="AO709">
        <f t="shared" si="280"/>
        <v>7.1115211169187305</v>
      </c>
      <c r="AP709">
        <f t="shared" si="281"/>
        <v>0.80741656967050135</v>
      </c>
      <c r="AQ709">
        <f t="shared" si="282"/>
        <v>0</v>
      </c>
      <c r="AR709">
        <f t="shared" si="283"/>
        <v>6.93</v>
      </c>
      <c r="AS709">
        <f t="shared" si="284"/>
        <v>23.594940345479007</v>
      </c>
      <c r="AT709" t="str">
        <f t="shared" si="285"/>
        <v>CLIENTE</v>
      </c>
      <c r="AU709">
        <f t="shared" si="286"/>
        <v>23.594940345479007</v>
      </c>
      <c r="AV709" t="str">
        <f t="shared" si="287"/>
        <v>Mayor retorno probable: CLIENTE (+23,6 puntos finales potenciales).</v>
      </c>
    </row>
    <row r="710" spans="1:48" x14ac:dyDescent="0.3">
      <c r="A710" s="5">
        <v>51055225</v>
      </c>
      <c r="B710" s="5" t="str">
        <f>IFERROR(VLOOKUP(A710,VENTAS!$A$2:$B$1194,2,0),"")</f>
        <v>ROBERTS</v>
      </c>
      <c r="C710" s="5">
        <f>IFERROR(INDEX(VENTAS!$C$2:$E$1194,MATCH(A710,VENTAS!$A$2:$A$1194,0),MATCH(PARAMS_MODELO!$B$2,{"Q1","Q2","Q3"},0)),0)</f>
        <v>40598869.799999997</v>
      </c>
      <c r="D710" s="5">
        <f>IFERROR(INDEX(VENTAS!$F$2:$H$1194,MATCH(A710,VENTAS!$A$2:$A$1194,0),MATCH(PARAMS_MODELO!$B$2,{"Q1","Q2","Q3"},0)),0)</f>
        <v>56760052</v>
      </c>
      <c r="E710" s="8">
        <f t="shared" si="264"/>
        <v>0.39806975611917172</v>
      </c>
      <c r="F710" s="12">
        <f>IF(E710&lt;=PARAMS_MODELO!$B$15,0,IF(E710&gt;=PARAMS_MODELO!$B$17,100,100*MIN(1,(E710-PARAMS_MODELO!$B$15)/(PARAMS_MODELO!$B$16-PARAMS_MODELO!$B$15))))*PARAMS_MODELO!$B$7</f>
        <v>35</v>
      </c>
      <c r="G710" s="5">
        <f t="shared" si="265"/>
        <v>16161182.200000003</v>
      </c>
      <c r="H710" s="5">
        <f>(PARAMS_MODELO!$B$20*(MAX(0,MIN(3,E710))/3)+PARAMS_MODELO!$B$21*(IFERROR(LN(1+MAX(0,G710))/LN(1+MAX(0,MAX($G$2:$G$1194))),0)))*100*PARAMS_MODELO!$B$8</f>
        <v>5.2840758581868963</v>
      </c>
      <c r="I710" s="8">
        <f>E710-PARAMS_MODELO!$B$5</f>
        <v>0.2205069207436452</v>
      </c>
      <c r="J710" s="5">
        <f>IF(I710&lt;=PARAMS_MODELO!$B$18,0,IF(I710&gt;=PARAMS_MODELO!$B$19,100,100*(I710-PARAMS_MODELO!$B$18)/(PARAMS_MODELO!$B$19-PARAMS_MODELO!$B$18)))*PARAMS_MODELO!$B$9</f>
        <v>15</v>
      </c>
      <c r="K710" s="5">
        <f>IFERROR(CHOOSE(MATCH(PARAMS_MODELO!$B$2,{"Q1","Q2","Q3"},0),LOTO!$D710,LOTO!$F710,LOTO!$H710),0)</f>
        <v>2615000</v>
      </c>
      <c r="L710" s="8">
        <f t="shared" si="266"/>
        <v>4.6071134677607414E-2</v>
      </c>
      <c r="M710" s="5">
        <f>MIN(100,IF(PARAMS_MODELO!$B$23=0,0,100*L710/PARAMS_MODELO!$B$23))*PARAMS_MODELO!$B$10</f>
        <v>13.821340403282223</v>
      </c>
      <c r="N710" s="5">
        <f>IFERROR(VLOOKUP(A710,COMPLIANCE!$A$2:$F$1996,6,0),100)</f>
        <v>100</v>
      </c>
      <c r="O710" s="5">
        <f>N710*PARAMS_MODELO!$B$11</f>
        <v>10</v>
      </c>
      <c r="P710" s="5">
        <f>IFERROR(VLOOKUP(A710,DIGITAL!$A$2:$J$2000,7,0),100)</f>
        <v>67</v>
      </c>
      <c r="Q710" s="5">
        <f>IFERROR(P710,0)*PARAMS_MODELO!$B$12</f>
        <v>6.7</v>
      </c>
      <c r="R710">
        <f t="shared" si="267"/>
        <v>85.805416261469119</v>
      </c>
      <c r="S710" s="5" t="str">
        <f>IFERROR(VLOOKUP(A710,CLIENTE!$A$2:$N$2000,13,0),1)</f>
        <v>Regular</v>
      </c>
      <c r="T710" s="5">
        <f>IFERROR(VLOOKUP(A710,CLIENTE!$A$2:$N$2000,14,0),1)</f>
        <v>1</v>
      </c>
      <c r="U710" s="5">
        <f t="shared" si="268"/>
        <v>85.805416261469119</v>
      </c>
      <c r="V710" s="5" t="str">
        <f>IF(U710&gt;=MAX(_xlfn.PERCENTILE.INC($U$2:$U$1194,PARAMS_MODELO!$B$50),PARAMS_MODELO!$B$45),"DIAMANTE",IF(U710&gt;=MAX(_xlfn.PERCENTILE.INC($U$2:$U$1194,PARAMS_MODELO!$B$51),PARAMS_MODELO!$B$46),"PLATINO",IF(U710&gt;=MAX(_xlfn.PERCENTILE.INC($U$2:$U$1194,PARAMS_MODELO!$B$52),PARAMS_MODELO!$B$47),"ORO",IF(U710&gt;=MAX(_xlfn.PERCENTILE.INC($U$2:$U$1194,PARAMS_MODELO!$B$53),PARAMS_MODELO!$B$48),"PLATA",IF(U710&gt;=1,"BRONCE","CERRADO")))))</f>
        <v>ORO</v>
      </c>
      <c r="W710" s="5" t="str" cm="1">
        <f t="array" ref="W710">_xlfn.XLOOKUP(1, (HIST_SCORE!$B:$B=PARAMS_MODELO!$B$4) * (HIST_SCORE!$C:$C=A710), HIST_SCORE!$E:$E, "No encontrado")</f>
        <v>ORO</v>
      </c>
      <c r="X710" s="5" t="str">
        <f>_xlfn.LET(_xlpm.act,MATCH(V710,{"DIAMANTE";"PLATINO";"ORO";"PLATA";"BRONCE";"CERRADO"},0),_xlpm.ant,MATCH(W710,{"DIAMANTE";"PLATINO";"ORO";"PLATA";"BRONCE";"CERRADO"},0),IF(_xlpm.act&lt;_xlpm.ant,"Mejora ↑",IF(_xlpm.act&gt;_xlpm.ant,"Baja ↓","Estable →")))</f>
        <v>Estable →</v>
      </c>
      <c r="Y710" s="5">
        <f>IFERROR(U710-SUMIFS(HIST_SCORE!$D:$D,HIST_SCORE!$B:$B,PARAMS_MODELO!$B$4,HIST_SCORE!$C:$C,$A710),"")</f>
        <v>0.51652125357030343</v>
      </c>
      <c r="Z710" s="5" t="str">
        <f t="shared" si="269"/>
        <v>→ Estable</v>
      </c>
      <c r="AA710" s="5">
        <f t="shared" si="270"/>
        <v>256</v>
      </c>
      <c r="AB710" s="5">
        <f>IFERROR(SUMIFS(HIST_SCORE!$F:$F,HIST_SCORE!$B:$B,PARAMS_MODELO!$B$4,HIST_SCORE!$C:$C,$A710),"")</f>
        <v>261</v>
      </c>
      <c r="AC710" s="5">
        <f t="shared" si="271"/>
        <v>5</v>
      </c>
      <c r="AD710" t="str">
        <f t="shared" si="273"/>
        <v/>
      </c>
      <c r="AE7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710="CERRADO",1,IF(V710="BRONCE",_xlpm.cPl,IF(V710="PLATA",_xlpm.cO,IF(V710="ORO",_xlpm.cP,IF(V710="PLATINO",_xlpm.cD,999))))))</f>
        <v>86.439123873763251</v>
      </c>
      <c r="AF7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710="CERRADO",0,IF(V710="BRONCE",1,IF(V710="PLATA",_xlpm.cPl,IF(V710="ORO",_xlpm.cO,IF(V710="PLATINO",_xlpm.cP,_xlpm.cD))))))</f>
        <v>63.199193273331495</v>
      </c>
      <c r="AG710">
        <f t="shared" si="274"/>
        <v>0.6337076122941312</v>
      </c>
      <c r="AH710" t="str">
        <f t="shared" si="275"/>
        <v>VENTAS</v>
      </c>
      <c r="AI710" t="str">
        <f t="shared" si="272"/>
        <v>🎯 Para subir de categoría, eje VENTAS / IMPACTO ABSOLUTO (H). Acción: metas semanales + activación comercial + seguimiento del asesor. ΔR aprox: 0,6</v>
      </c>
      <c r="AJ710" s="26">
        <f>_xlfn.LET(_xlpm.piso,AF710,_xlpm.corte,AE710,_xlpm.prog,IF(_xlpm.corte&lt;=_xlpm.piso,0,MAX(0,MIN(1,(U710-_xlpm.piso)/(_xlpm.corte-_xlpm.piso)))),_xlpm.orden,{"DIAMANTE";"PLATINO";"ORO";"PLATA";"BRONCE";"CERRADO"},_xlpm.act,IFERROR(MATCH(V710,_xlpm.orden,0),6),_xlpm.ant,IFERROR(MATCH(W710,_xlpm.orden,0),6),_xlpm.ajmov,IF(_xlpm.act&lt;_xlpm.ant,0.08,IF(_xlpm.act&gt;_xlpm.ant,-0.08,0)),_xlpm.ajcli,IF(T710&lt;0.95,-0.06,0),_xlpm.prob,MAX(0,MIN(1,_xlpm.prog+_xlpm.ajmov+_xlpm.ajcli)),IF(OR(V710="DIAMANTE",V710="CERRADO"),0,ROUND(_xlpm.prob,2)))</f>
        <v>0.97</v>
      </c>
      <c r="AK710" t="str">
        <f t="shared" si="276"/>
        <v>Faltan 0,6 puntos base para subir a la siguiente categoría</v>
      </c>
      <c r="AL710" t="str">
        <f t="shared" si="277"/>
        <v>Margen de seguridad: 22,6 puntos</v>
      </c>
      <c r="AM710">
        <f t="shared" si="278"/>
        <v>0.04</v>
      </c>
      <c r="AN710" t="str">
        <f t="shared" si="279"/>
        <v>PRIORIDAD BAJA – control normal</v>
      </c>
      <c r="AO710">
        <f t="shared" si="280"/>
        <v>9.5784934171086888</v>
      </c>
      <c r="AP710">
        <f t="shared" si="281"/>
        <v>1.1786595967177771</v>
      </c>
      <c r="AQ710">
        <f t="shared" si="282"/>
        <v>0</v>
      </c>
      <c r="AR710">
        <f t="shared" si="283"/>
        <v>3.3</v>
      </c>
      <c r="AS710">
        <f t="shared" si="284"/>
        <v>0</v>
      </c>
      <c r="AT710" t="str">
        <f t="shared" si="285"/>
        <v>VENTAS</v>
      </c>
      <c r="AU710">
        <f t="shared" si="286"/>
        <v>9.5784934171086888</v>
      </c>
      <c r="AV710" t="str">
        <f t="shared" si="287"/>
        <v>Mayor retorno probable: VENTAS (+9,6 puntos finales potenciales).</v>
      </c>
    </row>
    <row r="711" spans="1:48" x14ac:dyDescent="0.3">
      <c r="A711" s="5">
        <v>51041666</v>
      </c>
      <c r="B711" s="5" t="str">
        <f>IFERROR(VLOOKUP(A711,VENTAS!$A$2:$B$1194,2,0),"")</f>
        <v>METTLER</v>
      </c>
      <c r="C711" s="5">
        <f>IFERROR(INDEX(VENTAS!$C$2:$E$1194,MATCH(A711,VENTAS!$A$2:$A$1194,0),MATCH(PARAMS_MODELO!$B$2,{"Q1","Q2","Q3"},0)),0)</f>
        <v>33971030.700000003</v>
      </c>
      <c r="D711" s="5">
        <f>IFERROR(INDEX(VENTAS!$F$2:$H$1194,MATCH(A711,VENTAS!$A$2:$A$1194,0),MATCH(PARAMS_MODELO!$B$2,{"Q1","Q2","Q3"},0)),0)</f>
        <v>56477691</v>
      </c>
      <c r="E711" s="8">
        <f t="shared" si="264"/>
        <v>0.66252509377055779</v>
      </c>
      <c r="F711" s="12">
        <f>IF(E711&lt;=PARAMS_MODELO!$B$15,0,IF(E711&gt;=PARAMS_MODELO!$B$17,100,100*MIN(1,(E711-PARAMS_MODELO!$B$15)/(PARAMS_MODELO!$B$16-PARAMS_MODELO!$B$15))))*PARAMS_MODELO!$B$7</f>
        <v>35</v>
      </c>
      <c r="G711" s="5">
        <f t="shared" si="265"/>
        <v>22506660.299999997</v>
      </c>
      <c r="H711" s="5">
        <f>(PARAMS_MODELO!$B$20*(MAX(0,MIN(3,E711))/3)+PARAMS_MODELO!$B$21*(IFERROR(LN(1+MAX(0,G711))/LN(1+MAX(0,MAX($G$2:$G$1194))),0)))*100*PARAMS_MODELO!$B$8</f>
        <v>6.2873072222126014</v>
      </c>
      <c r="I711" s="8">
        <f>E711-PARAMS_MODELO!$B$5</f>
        <v>0.48496225839503126</v>
      </c>
      <c r="J711" s="5">
        <f>IF(I711&lt;=PARAMS_MODELO!$B$18,0,IF(I711&gt;=PARAMS_MODELO!$B$19,100,100*(I711-PARAMS_MODELO!$B$18)/(PARAMS_MODELO!$B$19-PARAMS_MODELO!$B$18)))*PARAMS_MODELO!$B$9</f>
        <v>15</v>
      </c>
      <c r="K711" s="5">
        <f>IFERROR(CHOOSE(MATCH(PARAMS_MODELO!$B$2,{"Q1","Q2","Q3"},0),LOTO!$D711,LOTO!$F711,LOTO!$H711),0)</f>
        <v>2595000</v>
      </c>
      <c r="L711" s="8">
        <f t="shared" si="266"/>
        <v>4.5947345828992903E-2</v>
      </c>
      <c r="M711" s="5">
        <f>MIN(100,IF(PARAMS_MODELO!$B$23=0,0,100*L711/PARAMS_MODELO!$B$23))*PARAMS_MODELO!$B$10</f>
        <v>13.78420374869787</v>
      </c>
      <c r="N711" s="5">
        <f>IFERROR(VLOOKUP(A711,COMPLIANCE!$A$2:$F$1996,6,0),100)</f>
        <v>100</v>
      </c>
      <c r="O711" s="5">
        <f>N711*PARAMS_MODELO!$B$11</f>
        <v>10</v>
      </c>
      <c r="P711" s="5">
        <f>IFERROR(VLOOKUP(A711,DIGITAL!$A$2:$J$2000,7,0),100)</f>
        <v>30</v>
      </c>
      <c r="Q711" s="5">
        <f>IFERROR(P711,0)*PARAMS_MODELO!$B$12</f>
        <v>3</v>
      </c>
      <c r="R711">
        <f t="shared" si="267"/>
        <v>83.071510970910481</v>
      </c>
      <c r="S711" s="5" t="str">
        <f>IFERROR(VLOOKUP(A711,CLIENTE!$A$2:$N$2000,13,0),1)</f>
        <v>Malo</v>
      </c>
      <c r="T711" s="5">
        <f>IFERROR(VLOOKUP(A711,CLIENTE!$A$2:$N$2000,14,0),1)</f>
        <v>0.7</v>
      </c>
      <c r="U711" s="5">
        <f t="shared" si="268"/>
        <v>58.150057679637335</v>
      </c>
      <c r="V711" s="5" t="str">
        <f>IF(U711&gt;=MAX(_xlfn.PERCENTILE.INC($U$2:$U$1194,PARAMS_MODELO!$B$50),PARAMS_MODELO!$B$45),"DIAMANTE",IF(U711&gt;=MAX(_xlfn.PERCENTILE.INC($U$2:$U$1194,PARAMS_MODELO!$B$51),PARAMS_MODELO!$B$46),"PLATINO",IF(U711&gt;=MAX(_xlfn.PERCENTILE.INC($U$2:$U$1194,PARAMS_MODELO!$B$52),PARAMS_MODELO!$B$47),"ORO",IF(U711&gt;=MAX(_xlfn.PERCENTILE.INC($U$2:$U$1194,PARAMS_MODELO!$B$53),PARAMS_MODELO!$B$48),"PLATA",IF(U711&gt;=1,"BRONCE","CERRADO")))))</f>
        <v>PLATA</v>
      </c>
      <c r="W711" s="5" t="str" cm="1">
        <f t="array" ref="W711">_xlfn.XLOOKUP(1, (HIST_SCORE!$B:$B=PARAMS_MODELO!$B$4) * (HIST_SCORE!$C:$C=A711), HIST_SCORE!$E:$E, "No encontrado")</f>
        <v>ORO</v>
      </c>
      <c r="X711" s="5" t="str">
        <f>_xlfn.LET(_xlpm.act,MATCH(V711,{"DIAMANTE";"PLATINO";"ORO";"PLATA";"BRONCE";"CERRADO"},0),_xlpm.ant,MATCH(W711,{"DIAMANTE";"PLATINO";"ORO";"PLATA";"BRONCE";"CERRADO"},0),IF(_xlpm.act&lt;_xlpm.ant,"Mejora ↑",IF(_xlpm.act&gt;_xlpm.ant,"Baja ↓","Estable →")))</f>
        <v>Baja ↓</v>
      </c>
      <c r="Y711" s="5">
        <f>IFERROR(U711-SUMIFS(HIST_SCORE!$D:$D,HIST_SCORE!$B:$B,PARAMS_MODELO!$B$4,HIST_SCORE!$C:$C,$A711),"")</f>
        <v>-6.1206116740878898</v>
      </c>
      <c r="Z711" s="5" t="str">
        <f t="shared" si="269"/>
        <v>↓ Baja</v>
      </c>
      <c r="AA711" s="5">
        <f t="shared" si="270"/>
        <v>655</v>
      </c>
      <c r="AB711" s="5">
        <f>IFERROR(SUMIFS(HIST_SCORE!$F:$F,HIST_SCORE!$B:$B,PARAMS_MODELO!$B$4,HIST_SCORE!$C:$C,$A711),"")</f>
        <v>579</v>
      </c>
      <c r="AC711" s="5">
        <f t="shared" si="271"/>
        <v>-76</v>
      </c>
      <c r="AD711" t="str">
        <f t="shared" si="273"/>
        <v/>
      </c>
      <c r="AE7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711="CERRADO",1,IF(V711="BRONCE",_xlpm.cPl,IF(V711="PLATA",_xlpm.cO,IF(V711="ORO",_xlpm.cP,IF(V711="PLATINO",_xlpm.cD,999))))))</f>
        <v>63.199193273331495</v>
      </c>
      <c r="AF7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711="CERRADO",0,IF(V711="BRONCE",1,IF(V711="PLATA",_xlpm.cPl,IF(V711="ORO",_xlpm.cO,IF(V711="PLATINO",_xlpm.cP,_xlpm.cD))))))</f>
        <v>24.506573482968111</v>
      </c>
      <c r="AG711">
        <f t="shared" si="274"/>
        <v>7.2130508481345146</v>
      </c>
      <c r="AH711" t="str">
        <f t="shared" si="275"/>
        <v>CLIENTE</v>
      </c>
      <c r="AI711" t="str">
        <f t="shared" si="272"/>
        <v>🎯 Para subir de categoría, la eje con mayor impacto probable es CLIENTE (coef T). Acción: reducir quejas, mejorar incógnito y empujar reseñas. ΔR aprox: 7,2</v>
      </c>
      <c r="AJ711" s="26">
        <f>_xlfn.LET(_xlpm.piso,AF711,_xlpm.corte,AE711,_xlpm.prog,IF(_xlpm.corte&lt;=_xlpm.piso,0,MAX(0,MIN(1,(U711-_xlpm.piso)/(_xlpm.corte-_xlpm.piso)))),_xlpm.orden,{"DIAMANTE";"PLATINO";"ORO";"PLATA";"BRONCE";"CERRADO"},_xlpm.act,IFERROR(MATCH(V711,_xlpm.orden,0),6),_xlpm.ant,IFERROR(MATCH(W711,_xlpm.orden,0),6),_xlpm.ajmov,IF(_xlpm.act&lt;_xlpm.ant,0.08,IF(_xlpm.act&gt;_xlpm.ant,-0.08,0)),_xlpm.ajcli,IF(T711&lt;0.95,-0.06,0),_xlpm.prob,MAX(0,MIN(1,_xlpm.prog+_xlpm.ajmov+_xlpm.ajcli)),IF(OR(V711="DIAMANTE",V711="CERRADO"),0,ROUND(_xlpm.prob,2)))</f>
        <v>0.73</v>
      </c>
      <c r="AK711" t="str">
        <f t="shared" si="276"/>
        <v>Faltan 7,2 puntos base para subir a la siguiente categoría</v>
      </c>
      <c r="AL711" t="str">
        <f t="shared" si="277"/>
        <v>Margen de seguridad: 33,6 puntos</v>
      </c>
      <c r="AM711">
        <f t="shared" si="278"/>
        <v>0.6</v>
      </c>
      <c r="AN711" t="str">
        <f t="shared" si="279"/>
        <v>PRIORIDAD MEDIA – seguimiento del asesor</v>
      </c>
      <c r="AO711">
        <f t="shared" si="280"/>
        <v>6.0026834371580859</v>
      </c>
      <c r="AP711">
        <f t="shared" si="281"/>
        <v>0.85105737591149122</v>
      </c>
      <c r="AQ711">
        <f t="shared" si="282"/>
        <v>0</v>
      </c>
      <c r="AR711">
        <f t="shared" si="283"/>
        <v>4.8999999999999995</v>
      </c>
      <c r="AS711">
        <f t="shared" si="284"/>
        <v>24.921453291273149</v>
      </c>
      <c r="AT711" t="str">
        <f t="shared" si="285"/>
        <v>CLIENTE</v>
      </c>
      <c r="AU711">
        <f t="shared" si="286"/>
        <v>24.921453291273149</v>
      </c>
      <c r="AV711" t="str">
        <f t="shared" si="287"/>
        <v>Mayor retorno probable: CLIENTE (+24,9 puntos finales potenciales).</v>
      </c>
    </row>
    <row r="712" spans="1:48" x14ac:dyDescent="0.3">
      <c r="A712" s="5">
        <v>51024753</v>
      </c>
      <c r="B712" s="5" t="str">
        <f>IFERROR(VLOOKUP(A712,VENTAS!$A$2:$B$1194,2,0),"")</f>
        <v>PUGH</v>
      </c>
      <c r="C712" s="5">
        <f>IFERROR(INDEX(VENTAS!$C$2:$E$1194,MATCH(A712,VENTAS!$A$2:$A$1194,0),MATCH(PARAMS_MODELO!$B$2,{"Q1","Q2","Q3"},0)),0)</f>
        <v>35379534.890000001</v>
      </c>
      <c r="D712" s="5">
        <f>IFERROR(INDEX(VENTAS!$F$2:$H$1194,MATCH(A712,VENTAS!$A$2:$A$1194,0),MATCH(PARAMS_MODELO!$B$2,{"Q1","Q2","Q3"},0)),0)</f>
        <v>56423262</v>
      </c>
      <c r="E712" s="8">
        <f t="shared" si="264"/>
        <v>0.59479942784516338</v>
      </c>
      <c r="F712" s="12">
        <f>IF(E712&lt;=PARAMS_MODELO!$B$15,0,IF(E712&gt;=PARAMS_MODELO!$B$17,100,100*MIN(1,(E712-PARAMS_MODELO!$B$15)/(PARAMS_MODELO!$B$16-PARAMS_MODELO!$B$15))))*PARAMS_MODELO!$B$7</f>
        <v>35</v>
      </c>
      <c r="G712" s="5">
        <f t="shared" si="265"/>
        <v>21043727.109999999</v>
      </c>
      <c r="H712" s="5">
        <f>(PARAMS_MODELO!$B$20*(MAX(0,MIN(3,E712))/3)+PARAMS_MODELO!$B$21*(IFERROR(LN(1+MAX(0,G712))/LN(1+MAX(0,MAX($G$2:$G$1194))),0)))*100*PARAMS_MODELO!$B$8</f>
        <v>6.0345127199756661</v>
      </c>
      <c r="I712" s="8">
        <f>E712-PARAMS_MODELO!$B$5</f>
        <v>0.41723659246963685</v>
      </c>
      <c r="J712" s="5">
        <f>IF(I712&lt;=PARAMS_MODELO!$B$18,0,IF(I712&gt;=PARAMS_MODELO!$B$19,100,100*(I712-PARAMS_MODELO!$B$18)/(PARAMS_MODELO!$B$19-PARAMS_MODELO!$B$18)))*PARAMS_MODELO!$B$9</f>
        <v>15</v>
      </c>
      <c r="K712" s="5">
        <f>IFERROR(CHOOSE(MATCH(PARAMS_MODELO!$B$2,{"Q1","Q2","Q3"},0),LOTO!$D712,LOTO!$F712,LOTO!$H712),0)</f>
        <v>2590000</v>
      </c>
      <c r="L712" s="8">
        <f t="shared" si="266"/>
        <v>4.5903053247789892E-2</v>
      </c>
      <c r="M712" s="5">
        <f>MIN(100,IF(PARAMS_MODELO!$B$23=0,0,100*L712/PARAMS_MODELO!$B$23))*PARAMS_MODELO!$B$10</f>
        <v>13.770915974336967</v>
      </c>
      <c r="N712" s="5">
        <f>IFERROR(VLOOKUP(A712,COMPLIANCE!$A$2:$F$1996,6,0),100)</f>
        <v>100</v>
      </c>
      <c r="O712" s="5">
        <f>N712*PARAMS_MODELO!$B$11</f>
        <v>10</v>
      </c>
      <c r="P712" s="5">
        <f>IFERROR(VLOOKUP(A712,DIGITAL!$A$2:$J$2000,7,0),100)</f>
        <v>71</v>
      </c>
      <c r="Q712" s="5">
        <f>IFERROR(P712,0)*PARAMS_MODELO!$B$12</f>
        <v>7.1000000000000005</v>
      </c>
      <c r="R712">
        <f t="shared" si="267"/>
        <v>86.905428694312633</v>
      </c>
      <c r="S712" s="5" t="str">
        <f>IFERROR(VLOOKUP(A712,CLIENTE!$A$2:$N$2000,13,0),1)</f>
        <v>Malo</v>
      </c>
      <c r="T712" s="5">
        <f>IFERROR(VLOOKUP(A712,CLIENTE!$A$2:$N$2000,14,0),1)</f>
        <v>0.7</v>
      </c>
      <c r="U712" s="5">
        <f t="shared" si="268"/>
        <v>60.83380008601884</v>
      </c>
      <c r="V712" s="5" t="str">
        <f>IF(U712&gt;=MAX(_xlfn.PERCENTILE.INC($U$2:$U$1194,PARAMS_MODELO!$B$50),PARAMS_MODELO!$B$45),"DIAMANTE",IF(U712&gt;=MAX(_xlfn.PERCENTILE.INC($U$2:$U$1194,PARAMS_MODELO!$B$51),PARAMS_MODELO!$B$46),"PLATINO",IF(U712&gt;=MAX(_xlfn.PERCENTILE.INC($U$2:$U$1194,PARAMS_MODELO!$B$52),PARAMS_MODELO!$B$47),"ORO",IF(U712&gt;=MAX(_xlfn.PERCENTILE.INC($U$2:$U$1194,PARAMS_MODELO!$B$53),PARAMS_MODELO!$B$48),"PLATA",IF(U712&gt;=1,"BRONCE","CERRADO")))))</f>
        <v>PLATA</v>
      </c>
      <c r="W712" s="5" t="str" cm="1">
        <f t="array" ref="W712">_xlfn.XLOOKUP(1, (HIST_SCORE!$B:$B=PARAMS_MODELO!$B$4) * (HIST_SCORE!$C:$C=A712), HIST_SCORE!$E:$E, "No encontrado")</f>
        <v>PLATA</v>
      </c>
      <c r="X712" s="5" t="str">
        <f>_xlfn.LET(_xlpm.act,MATCH(V712,{"DIAMANTE";"PLATINO";"ORO";"PLATA";"BRONCE";"CERRADO"},0),_xlpm.ant,MATCH(W712,{"DIAMANTE";"PLATINO";"ORO";"PLATA";"BRONCE";"CERRADO"},0),IF(_xlpm.act&lt;_xlpm.ant,"Mejora ↑",IF(_xlpm.act&gt;_xlpm.ant,"Baja ↓","Estable →")))</f>
        <v>Estable →</v>
      </c>
      <c r="Y712" s="5">
        <f>IFERROR(U712-SUMIFS(HIST_SCORE!$D:$D,HIST_SCORE!$B:$B,PARAMS_MODELO!$B$4,HIST_SCORE!$C:$C,$A712),"")</f>
        <v>2.7336956227198144</v>
      </c>
      <c r="Z712" s="5" t="str">
        <f t="shared" si="269"/>
        <v>→ Estable</v>
      </c>
      <c r="AA712" s="5">
        <f t="shared" si="270"/>
        <v>602</v>
      </c>
      <c r="AB712" s="5">
        <f>IFERROR(SUMIFS(HIST_SCORE!$F:$F,HIST_SCORE!$B:$B,PARAMS_MODELO!$B$4,HIST_SCORE!$C:$C,$A712),"")</f>
        <v>686</v>
      </c>
      <c r="AC712" s="5">
        <f t="shared" si="271"/>
        <v>84</v>
      </c>
      <c r="AD712" t="str">
        <f t="shared" si="273"/>
        <v/>
      </c>
      <c r="AE7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712="CERRADO",1,IF(V712="BRONCE",_xlpm.cPl,IF(V712="PLATA",_xlpm.cO,IF(V712="ORO",_xlpm.cP,IF(V712="PLATINO",_xlpm.cD,999))))))</f>
        <v>63.199193273331495</v>
      </c>
      <c r="AF7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712="CERRADO",0,IF(V712="BRONCE",1,IF(V712="PLATA",_xlpm.cPl,IF(V712="ORO",_xlpm.cO,IF(V712="PLATINO",_xlpm.cP,_xlpm.cD))))))</f>
        <v>24.506573482968111</v>
      </c>
      <c r="AG712">
        <f t="shared" si="274"/>
        <v>3.3791331247323626</v>
      </c>
      <c r="AH712" t="str">
        <f t="shared" si="275"/>
        <v>CLIENTE</v>
      </c>
      <c r="AI712" t="str">
        <f t="shared" si="272"/>
        <v>🎯 Para subir de categoría, la eje con mayor impacto probable es CLIENTE (coef T). Acción: reducir quejas, mejorar incógnito y empujar reseñas. ΔR aprox: 3,4</v>
      </c>
      <c r="AJ712" s="26">
        <f>_xlfn.LET(_xlpm.piso,AF712,_xlpm.corte,AE712,_xlpm.prog,IF(_xlpm.corte&lt;=_xlpm.piso,0,MAX(0,MIN(1,(U712-_xlpm.piso)/(_xlpm.corte-_xlpm.piso)))),_xlpm.orden,{"DIAMANTE";"PLATINO";"ORO";"PLATA";"BRONCE";"CERRADO"},_xlpm.act,IFERROR(MATCH(V712,_xlpm.orden,0),6),_xlpm.ant,IFERROR(MATCH(W712,_xlpm.orden,0),6),_xlpm.ajmov,IF(_xlpm.act&lt;_xlpm.ant,0.08,IF(_xlpm.act&gt;_xlpm.ant,-0.08,0)),_xlpm.ajcli,IF(T712&lt;0.95,-0.06,0),_xlpm.prob,MAX(0,MIN(1,_xlpm.prog+_xlpm.ajmov+_xlpm.ajcli)),IF(OR(V712="DIAMANTE",V712="CERRADO"),0,ROUND(_xlpm.prob,2)))</f>
        <v>0.88</v>
      </c>
      <c r="AK712" t="str">
        <f t="shared" si="276"/>
        <v>Faltan 3,4 puntos base para subir a la siguiente categoría</v>
      </c>
      <c r="AL712" t="str">
        <f t="shared" si="277"/>
        <v>Margen de seguridad: 36,3 puntos</v>
      </c>
      <c r="AM712">
        <f t="shared" si="278"/>
        <v>0.38</v>
      </c>
      <c r="AN712" t="str">
        <f t="shared" si="279"/>
        <v>PRIORIDAD BAJA – control normal</v>
      </c>
      <c r="AO712">
        <f t="shared" si="280"/>
        <v>6.1796395887239424</v>
      </c>
      <c r="AP712">
        <f t="shared" si="281"/>
        <v>0.86035881796412295</v>
      </c>
      <c r="AQ712">
        <f t="shared" si="282"/>
        <v>0</v>
      </c>
      <c r="AR712">
        <f t="shared" si="283"/>
        <v>2.0299999999999994</v>
      </c>
      <c r="AS712">
        <f t="shared" si="284"/>
        <v>26.071628608293793</v>
      </c>
      <c r="AT712" t="str">
        <f t="shared" si="285"/>
        <v>CLIENTE</v>
      </c>
      <c r="AU712">
        <f t="shared" si="286"/>
        <v>26.071628608293793</v>
      </c>
      <c r="AV712" t="str">
        <f t="shared" si="287"/>
        <v>Mayor retorno probable: CLIENTE (+26,1 puntos finales potenciales).</v>
      </c>
    </row>
    <row r="713" spans="1:48" x14ac:dyDescent="0.3">
      <c r="A713" s="5">
        <v>51023901</v>
      </c>
      <c r="B713" s="5" t="str">
        <f>IFERROR(VLOOKUP(A713,VENTAS!$A$2:$B$1194,2,0),"")</f>
        <v>METTLER</v>
      </c>
      <c r="C713" s="5">
        <f>IFERROR(INDEX(VENTAS!$C$2:$E$1194,MATCH(A713,VENTAS!$A$2:$A$1194,0),MATCH(PARAMS_MODELO!$B$2,{"Q1","Q2","Q3"},0)),0)</f>
        <v>31751321.809999999</v>
      </c>
      <c r="D713" s="5">
        <f>IFERROR(INDEX(VENTAS!$F$2:$H$1194,MATCH(A713,VENTAS!$A$2:$A$1194,0),MATCH(PARAMS_MODELO!$B$2,{"Q1","Q2","Q3"},0)),0)</f>
        <v>56357430</v>
      </c>
      <c r="E713" s="8">
        <f t="shared" si="264"/>
        <v>0.77496327041888291</v>
      </c>
      <c r="F713" s="12">
        <f>IF(E713&lt;=PARAMS_MODELO!$B$15,0,IF(E713&gt;=PARAMS_MODELO!$B$17,100,100*MIN(1,(E713-PARAMS_MODELO!$B$15)/(PARAMS_MODELO!$B$16-PARAMS_MODELO!$B$15))))*PARAMS_MODELO!$B$7</f>
        <v>35</v>
      </c>
      <c r="G713" s="5">
        <f t="shared" si="265"/>
        <v>24606108.190000001</v>
      </c>
      <c r="H713" s="5">
        <f>(PARAMS_MODELO!$B$20*(MAX(0,MIN(3,E713))/3)+PARAMS_MODELO!$B$21*(IFERROR(LN(1+MAX(0,G713))/LN(1+MAX(0,MAX($G$2:$G$1194))),0)))*100*PARAMS_MODELO!$B$8</f>
        <v>6.701746681534412</v>
      </c>
      <c r="I713" s="8">
        <f>E713-PARAMS_MODELO!$B$5</f>
        <v>0.59740043504335638</v>
      </c>
      <c r="J713" s="5">
        <f>IF(I713&lt;=PARAMS_MODELO!$B$18,0,IF(I713&gt;=PARAMS_MODELO!$B$19,100,100*(I713-PARAMS_MODELO!$B$18)/(PARAMS_MODELO!$B$19-PARAMS_MODELO!$B$18)))*PARAMS_MODELO!$B$9</f>
        <v>15</v>
      </c>
      <c r="K713" s="5">
        <f>IFERROR(CHOOSE(MATCH(PARAMS_MODELO!$B$2,{"Q1","Q2","Q3"},0),LOTO!$D713,LOTO!$F713,LOTO!$H713),0)</f>
        <v>2590000</v>
      </c>
      <c r="L713" s="8">
        <f t="shared" si="266"/>
        <v>4.5956673325948327E-2</v>
      </c>
      <c r="M713" s="5">
        <f>MIN(100,IF(PARAMS_MODELO!$B$23=0,0,100*L713/PARAMS_MODELO!$B$23))*PARAMS_MODELO!$B$10</f>
        <v>13.787001997784497</v>
      </c>
      <c r="N713" s="5">
        <f>IFERROR(VLOOKUP(A713,COMPLIANCE!$A$2:$F$1996,6,0),100)</f>
        <v>100</v>
      </c>
      <c r="O713" s="5">
        <f>N713*PARAMS_MODELO!$B$11</f>
        <v>10</v>
      </c>
      <c r="P713" s="5">
        <f>IFERROR(VLOOKUP(A713,DIGITAL!$A$2:$J$2000,7,0),100)</f>
        <v>76</v>
      </c>
      <c r="Q713" s="5">
        <f>IFERROR(P713,0)*PARAMS_MODELO!$B$12</f>
        <v>7.6000000000000005</v>
      </c>
      <c r="R713">
        <f t="shared" si="267"/>
        <v>88.088748679318897</v>
      </c>
      <c r="S713" s="5" t="str">
        <f>IFERROR(VLOOKUP(A713,CLIENTE!$A$2:$N$2000,13,0),1)</f>
        <v>Regular</v>
      </c>
      <c r="T713" s="5">
        <f>IFERROR(VLOOKUP(A713,CLIENTE!$A$2:$N$2000,14,0),1)</f>
        <v>1</v>
      </c>
      <c r="U713" s="5">
        <f t="shared" si="268"/>
        <v>88.088748679318897</v>
      </c>
      <c r="V713" s="5" t="str">
        <f>IF(U713&gt;=MAX(_xlfn.PERCENTILE.INC($U$2:$U$1194,PARAMS_MODELO!$B$50),PARAMS_MODELO!$B$45),"DIAMANTE",IF(U713&gt;=MAX(_xlfn.PERCENTILE.INC($U$2:$U$1194,PARAMS_MODELO!$B$51),PARAMS_MODELO!$B$46),"PLATINO",IF(U713&gt;=MAX(_xlfn.PERCENTILE.INC($U$2:$U$1194,PARAMS_MODELO!$B$52),PARAMS_MODELO!$B$47),"ORO",IF(U713&gt;=MAX(_xlfn.PERCENTILE.INC($U$2:$U$1194,PARAMS_MODELO!$B$53),PARAMS_MODELO!$B$48),"PLATA",IF(U713&gt;=1,"BRONCE","CERRADO")))))</f>
        <v>PLATINO</v>
      </c>
      <c r="W713" s="5" t="str" cm="1">
        <f t="array" ref="W713">_xlfn.XLOOKUP(1, (HIST_SCORE!$B:$B=PARAMS_MODELO!$B$4) * (HIST_SCORE!$C:$C=A713), HIST_SCORE!$E:$E, "No encontrado")</f>
        <v>PLATINO</v>
      </c>
      <c r="X713" s="5" t="str">
        <f>_xlfn.LET(_xlpm.act,MATCH(V713,{"DIAMANTE";"PLATINO";"ORO";"PLATA";"BRONCE";"CERRADO"},0),_xlpm.ant,MATCH(W713,{"DIAMANTE";"PLATINO";"ORO";"PLATA";"BRONCE";"CERRADO"},0),IF(_xlpm.act&lt;_xlpm.ant,"Mejora ↑",IF(_xlpm.act&gt;_xlpm.ant,"Baja ↓","Estable →")))</f>
        <v>Estable →</v>
      </c>
      <c r="Y713" s="5">
        <f>IFERROR(U713-SUMIFS(HIST_SCORE!$D:$D,HIST_SCORE!$B:$B,PARAMS_MODELO!$B$4,HIST_SCORE!$C:$C,$A713),"")</f>
        <v>-0.51883632957962789</v>
      </c>
      <c r="Z713" s="5" t="str">
        <f t="shared" si="269"/>
        <v>→ Estable</v>
      </c>
      <c r="AA713" s="5">
        <f t="shared" si="270"/>
        <v>194</v>
      </c>
      <c r="AB713" s="5">
        <f>IFERROR(SUMIFS(HIST_SCORE!$F:$F,HIST_SCORE!$B:$B,PARAMS_MODELO!$B$4,HIST_SCORE!$C:$C,$A713),"")</f>
        <v>160</v>
      </c>
      <c r="AC713" s="5">
        <f t="shared" si="271"/>
        <v>-34</v>
      </c>
      <c r="AD713" t="str">
        <f t="shared" si="273"/>
        <v/>
      </c>
      <c r="AE7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713="CERRADO",1,IF(V713="BRONCE",_xlpm.cPl,IF(V713="PLATA",_xlpm.cO,IF(V713="ORO",_xlpm.cP,IF(V713="PLATINO",_xlpm.cD,999))))))</f>
        <v>96.054919694466676</v>
      </c>
      <c r="AF7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713="CERRADO",0,IF(V713="BRONCE",1,IF(V713="PLATA",_xlpm.cPl,IF(V713="ORO",_xlpm.cO,IF(V713="PLATINO",_xlpm.cP,_xlpm.cD))))))</f>
        <v>86.439123873763251</v>
      </c>
      <c r="AG713">
        <f t="shared" si="274"/>
        <v>7.9661710151477791</v>
      </c>
      <c r="AH713" t="str">
        <f t="shared" si="275"/>
        <v>VENTAS</v>
      </c>
      <c r="AI713" t="str">
        <f t="shared" si="272"/>
        <v>🎯 Para subir de categoría, eje VENTAS / IMPACTO ABSOLUTO (H). Acción: metas semanales + activación comercial + seguimiento del asesor. ΔR aprox: 8,0</v>
      </c>
      <c r="AJ713" s="26">
        <f>_xlfn.LET(_xlpm.piso,AF713,_xlpm.corte,AE713,_xlpm.prog,IF(_xlpm.corte&lt;=_xlpm.piso,0,MAX(0,MIN(1,(U713-_xlpm.piso)/(_xlpm.corte-_xlpm.piso)))),_xlpm.orden,{"DIAMANTE";"PLATINO";"ORO";"PLATA";"BRONCE";"CERRADO"},_xlpm.act,IFERROR(MATCH(V713,_xlpm.orden,0),6),_xlpm.ant,IFERROR(MATCH(W713,_xlpm.orden,0),6),_xlpm.ajmov,IF(_xlpm.act&lt;_xlpm.ant,0.08,IF(_xlpm.act&gt;_xlpm.ant,-0.08,0)),_xlpm.ajcli,IF(T713&lt;0.95,-0.06,0),_xlpm.prob,MAX(0,MIN(1,_xlpm.prog+_xlpm.ajmov+_xlpm.ajcli)),IF(OR(V713="DIAMANTE",V713="CERRADO"),0,ROUND(_xlpm.prob,2)))</f>
        <v>0.17</v>
      </c>
      <c r="AK713" t="str">
        <f t="shared" si="276"/>
        <v>Faltan 8,0 puntos base para subir a la siguiente categoría</v>
      </c>
      <c r="AL713" t="str">
        <f t="shared" si="277"/>
        <v>Margen de seguridad: 1,6 puntos</v>
      </c>
      <c r="AM713">
        <f t="shared" si="278"/>
        <v>0.65</v>
      </c>
      <c r="AN713" t="str">
        <f t="shared" si="279"/>
        <v>PRIORIDAD MEDIA – seguimiento del asesor</v>
      </c>
      <c r="AO713">
        <f t="shared" si="280"/>
        <v>8.1608225937611749</v>
      </c>
      <c r="AP713">
        <f t="shared" si="281"/>
        <v>1.2129980022155031</v>
      </c>
      <c r="AQ713">
        <f t="shared" si="282"/>
        <v>0</v>
      </c>
      <c r="AR713">
        <f t="shared" si="283"/>
        <v>2.3999999999999995</v>
      </c>
      <c r="AS713">
        <f t="shared" si="284"/>
        <v>0</v>
      </c>
      <c r="AT713" t="str">
        <f t="shared" si="285"/>
        <v>VENTAS</v>
      </c>
      <c r="AU713">
        <f t="shared" si="286"/>
        <v>8.1608225937611749</v>
      </c>
      <c r="AV713" t="str">
        <f t="shared" si="287"/>
        <v>Mayor retorno probable: VENTAS (+8,2 puntos finales potenciales).</v>
      </c>
    </row>
    <row r="714" spans="1:48" x14ac:dyDescent="0.3">
      <c r="A714" s="5">
        <v>51038401</v>
      </c>
      <c r="B714" s="5" t="str">
        <f>IFERROR(VLOOKUP(A714,VENTAS!$A$2:$B$1194,2,0),"")</f>
        <v>PUGH</v>
      </c>
      <c r="C714" s="5">
        <f>IFERROR(INDEX(VENTAS!$C$2:$E$1194,MATCH(A714,VENTAS!$A$2:$A$1194,0),MATCH(PARAMS_MODELO!$B$2,{"Q1","Q2","Q3"},0)),0)</f>
        <v>54853407.119999997</v>
      </c>
      <c r="D714" s="5">
        <f>IFERROR(INDEX(VENTAS!$F$2:$H$1194,MATCH(A714,VENTAS!$A$2:$A$1194,0),MATCH(PARAMS_MODELO!$B$2,{"Q1","Q2","Q3"},0)),0)</f>
        <v>56206205</v>
      </c>
      <c r="E714" s="8">
        <f t="shared" si="264"/>
        <v>2.4662057491534828E-2</v>
      </c>
      <c r="F714" s="12">
        <f>IF(E714&lt;=PARAMS_MODELO!$B$15,0,IF(E714&gt;=PARAMS_MODELO!$B$17,100,100*MIN(1,(E714-PARAMS_MODELO!$B$15)/(PARAMS_MODELO!$B$16-PARAMS_MODELO!$B$15))))*PARAMS_MODELO!$B$7</f>
        <v>8.6317201220371889</v>
      </c>
      <c r="G714" s="5">
        <f t="shared" si="265"/>
        <v>1352797.8800000027</v>
      </c>
      <c r="H714" s="5">
        <f>(PARAMS_MODELO!$B$20*(MAX(0,MIN(3,E714))/3)+PARAMS_MODELO!$B$21*(IFERROR(LN(1+MAX(0,G714))/LN(1+MAX(0,MAX($G$2:$G$1194))),0)))*100*PARAMS_MODELO!$B$8</f>
        <v>3.395699950598305</v>
      </c>
      <c r="I714" s="8">
        <f>E714-PARAMS_MODELO!$B$5</f>
        <v>-0.1529007778839917</v>
      </c>
      <c r="J714" s="5">
        <f>IF(I714&lt;=PARAMS_MODELO!$B$18,0,IF(I714&gt;=PARAMS_MODELO!$B$19,100,100*(I714-PARAMS_MODELO!$B$18)/(PARAMS_MODELO!$B$19-PARAMS_MODELO!$B$18)))*PARAMS_MODELO!$B$9</f>
        <v>0</v>
      </c>
      <c r="K714" s="5">
        <f>IFERROR(CHOOSE(MATCH(PARAMS_MODELO!$B$2,{"Q1","Q2","Q3"},0),LOTO!$D714,LOTO!$F714,LOTO!$H714),0)</f>
        <v>2585000</v>
      </c>
      <c r="L714" s="8">
        <f t="shared" si="266"/>
        <v>4.5991363409075565E-2</v>
      </c>
      <c r="M714" s="5">
        <f>MIN(100,IF(PARAMS_MODELO!$B$23=0,0,100*L714/PARAMS_MODELO!$B$23))*PARAMS_MODELO!$B$10</f>
        <v>13.79740902272267</v>
      </c>
      <c r="N714" s="5">
        <f>IFERROR(VLOOKUP(A714,COMPLIANCE!$A$2:$F$1996,6,0),100)</f>
        <v>99.98</v>
      </c>
      <c r="O714" s="5">
        <f>N714*PARAMS_MODELO!$B$11</f>
        <v>9.9980000000000011</v>
      </c>
      <c r="P714" s="5">
        <f>IFERROR(VLOOKUP(A714,DIGITAL!$A$2:$J$2000,7,0),100)</f>
        <v>96</v>
      </c>
      <c r="Q714" s="5">
        <f>IFERROR(P714,0)*PARAMS_MODELO!$B$12</f>
        <v>9.6000000000000014</v>
      </c>
      <c r="R714">
        <f t="shared" si="267"/>
        <v>45.422829095358161</v>
      </c>
      <c r="S714" s="5" t="str">
        <f>IFERROR(VLOOKUP(A714,CLIENTE!$A$2:$N$2000,13,0),1)</f>
        <v>Regular</v>
      </c>
      <c r="T714" s="5">
        <f>IFERROR(VLOOKUP(A714,CLIENTE!$A$2:$N$2000,14,0),1)</f>
        <v>1</v>
      </c>
      <c r="U714" s="5">
        <f t="shared" si="268"/>
        <v>45.422829095358161</v>
      </c>
      <c r="V714" s="5" t="str">
        <f>IF(U714&gt;=MAX(_xlfn.PERCENTILE.INC($U$2:$U$1194,PARAMS_MODELO!$B$50),PARAMS_MODELO!$B$45),"DIAMANTE",IF(U714&gt;=MAX(_xlfn.PERCENTILE.INC($U$2:$U$1194,PARAMS_MODELO!$B$51),PARAMS_MODELO!$B$46),"PLATINO",IF(U714&gt;=MAX(_xlfn.PERCENTILE.INC($U$2:$U$1194,PARAMS_MODELO!$B$52),PARAMS_MODELO!$B$47),"ORO",IF(U714&gt;=MAX(_xlfn.PERCENTILE.INC($U$2:$U$1194,PARAMS_MODELO!$B$53),PARAMS_MODELO!$B$48),"PLATA",IF(U714&gt;=1,"BRONCE","CERRADO")))))</f>
        <v>PLATA</v>
      </c>
      <c r="W714" s="5" t="str" cm="1">
        <f t="array" ref="W714">_xlfn.XLOOKUP(1, (HIST_SCORE!$B:$B=PARAMS_MODELO!$B$4) * (HIST_SCORE!$C:$C=A714), HIST_SCORE!$E:$E, "No encontrado")</f>
        <v>ORO</v>
      </c>
      <c r="X714" s="5" t="str">
        <f>_xlfn.LET(_xlpm.act,MATCH(V714,{"DIAMANTE";"PLATINO";"ORO";"PLATA";"BRONCE";"CERRADO"},0),_xlpm.ant,MATCH(W714,{"DIAMANTE";"PLATINO";"ORO";"PLATA";"BRONCE";"CERRADO"},0),IF(_xlpm.act&lt;_xlpm.ant,"Mejora ↑",IF(_xlpm.act&gt;_xlpm.ant,"Baja ↓","Estable →")))</f>
        <v>Baja ↓</v>
      </c>
      <c r="Y714" s="5">
        <f>IFERROR(U714-SUMIFS(HIST_SCORE!$D:$D,HIST_SCORE!$B:$B,PARAMS_MODELO!$B$4,HIST_SCORE!$C:$C,$A714),"")</f>
        <v>-37.953127397963051</v>
      </c>
      <c r="Z714" s="5" t="str">
        <f t="shared" si="269"/>
        <v>↓ Baja</v>
      </c>
      <c r="AA714" s="5">
        <f t="shared" si="270"/>
        <v>770</v>
      </c>
      <c r="AB714" s="5">
        <f>IFERROR(SUMIFS(HIST_SCORE!$F:$F,HIST_SCORE!$B:$B,PARAMS_MODELO!$B$4,HIST_SCORE!$C:$C,$A714),"")</f>
        <v>313</v>
      </c>
      <c r="AC714" s="5">
        <f t="shared" si="271"/>
        <v>-457</v>
      </c>
      <c r="AD714" t="str">
        <f t="shared" si="273"/>
        <v/>
      </c>
      <c r="AE7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714="CERRADO",1,IF(V714="BRONCE",_xlpm.cPl,IF(V714="PLATA",_xlpm.cO,IF(V714="ORO",_xlpm.cP,IF(V714="PLATINO",_xlpm.cD,999))))))</f>
        <v>63.199193273331495</v>
      </c>
      <c r="AF7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714="CERRADO",0,IF(V714="BRONCE",1,IF(V714="PLATA",_xlpm.cPl,IF(V714="ORO",_xlpm.cO,IF(V714="PLATINO",_xlpm.cP,_xlpm.cD))))))</f>
        <v>24.506573482968111</v>
      </c>
      <c r="AG714">
        <f t="shared" si="274"/>
        <v>17.776364177973335</v>
      </c>
      <c r="AH714" t="str">
        <f t="shared" si="275"/>
        <v>VENTAS</v>
      </c>
      <c r="AI714" t="str">
        <f t="shared" si="272"/>
        <v>🎯 Para subir de categoría, eje VENTAS / DIFERENCIAL vs LOTBA (J). Acción: metas semanales + activación comercial + seguimiento del asesor. ΔR aprox: 17,8</v>
      </c>
      <c r="AJ714" s="26">
        <f>_xlfn.LET(_xlpm.piso,AF714,_xlpm.corte,AE714,_xlpm.prog,IF(_xlpm.corte&lt;=_xlpm.piso,0,MAX(0,MIN(1,(U714-_xlpm.piso)/(_xlpm.corte-_xlpm.piso)))),_xlpm.orden,{"DIAMANTE";"PLATINO";"ORO";"PLATA";"BRONCE";"CERRADO"},_xlpm.act,IFERROR(MATCH(V714,_xlpm.orden,0),6),_xlpm.ant,IFERROR(MATCH(W714,_xlpm.orden,0),6),_xlpm.ajmov,IF(_xlpm.act&lt;_xlpm.ant,0.08,IF(_xlpm.act&gt;_xlpm.ant,-0.08,0)),_xlpm.ajcli,IF(T714&lt;0.95,-0.06,0),_xlpm.prob,MAX(0,MIN(1,_xlpm.prog+_xlpm.ajmov+_xlpm.ajcli)),IF(OR(V714="DIAMANTE",V714="CERRADO"),0,ROUND(_xlpm.prob,2)))</f>
        <v>0.46</v>
      </c>
      <c r="AK714" t="str">
        <f t="shared" si="276"/>
        <v>Faltan 17,8 puntos base para subir a la siguiente categoría</v>
      </c>
      <c r="AL714" t="str">
        <f t="shared" si="277"/>
        <v>Margen de seguridad: 20,9 puntos</v>
      </c>
      <c r="AM714">
        <f t="shared" si="278"/>
        <v>0.62</v>
      </c>
      <c r="AN714" t="str">
        <f t="shared" si="279"/>
        <v>PRIORIDAD MEDIA – seguimiento del asesor</v>
      </c>
      <c r="AO714">
        <f t="shared" si="280"/>
        <v>52.835149202660091</v>
      </c>
      <c r="AP714">
        <f t="shared" si="281"/>
        <v>1.20259097727733</v>
      </c>
      <c r="AQ714">
        <f t="shared" si="282"/>
        <v>1.9999999999988916E-3</v>
      </c>
      <c r="AR714">
        <f t="shared" si="283"/>
        <v>0.39999999999999858</v>
      </c>
      <c r="AS714">
        <f t="shared" si="284"/>
        <v>0</v>
      </c>
      <c r="AT714" t="str">
        <f t="shared" si="285"/>
        <v>VENTAS</v>
      </c>
      <c r="AU714">
        <f t="shared" si="286"/>
        <v>52.835149202660091</v>
      </c>
      <c r="AV714" t="str">
        <f t="shared" si="287"/>
        <v>Mayor retorno probable: VENTAS (+52,8 puntos finales potenciales).</v>
      </c>
    </row>
    <row r="715" spans="1:48" x14ac:dyDescent="0.3">
      <c r="A715" s="5">
        <v>51023226</v>
      </c>
      <c r="B715" s="5" t="str">
        <f>IFERROR(VLOOKUP(A715,VENTAS!$A$2:$B$1194,2,0),"")</f>
        <v>PUGH</v>
      </c>
      <c r="C715" s="5">
        <f>IFERROR(INDEX(VENTAS!$C$2:$E$1194,MATCH(A715,VENTAS!$A$2:$A$1194,0),MATCH(PARAMS_MODELO!$B$2,{"Q1","Q2","Q3"},0)),0)</f>
        <v>41726918.799999997</v>
      </c>
      <c r="D715" s="5">
        <f>IFERROR(INDEX(VENTAS!$F$2:$H$1194,MATCH(A715,VENTAS!$A$2:$A$1194,0),MATCH(PARAMS_MODELO!$B$2,{"Q1","Q2","Q3"},0)),0)</f>
        <v>56178085</v>
      </c>
      <c r="E715" s="8">
        <f t="shared" si="264"/>
        <v>0.34632718196292989</v>
      </c>
      <c r="F715" s="12">
        <f>IF(E715&lt;=PARAMS_MODELO!$B$15,0,IF(E715&gt;=PARAMS_MODELO!$B$17,100,100*MIN(1,(E715-PARAMS_MODELO!$B$15)/(PARAMS_MODELO!$B$16-PARAMS_MODELO!$B$15))))*PARAMS_MODELO!$B$7</f>
        <v>35</v>
      </c>
      <c r="G715" s="5">
        <f t="shared" si="265"/>
        <v>14451166.200000003</v>
      </c>
      <c r="H715" s="5">
        <f>(PARAMS_MODELO!$B$20*(MAX(0,MIN(3,E715))/3)+PARAMS_MODELO!$B$21*(IFERROR(LN(1+MAX(0,G715))/LN(1+MAX(0,MAX($G$2:$G$1194))),0)))*100*PARAMS_MODELO!$B$8</f>
        <v>5.0767606753307843</v>
      </c>
      <c r="I715" s="8">
        <f>E715-PARAMS_MODELO!$B$5</f>
        <v>0.16876434658740336</v>
      </c>
      <c r="J715" s="5">
        <f>IF(I715&lt;=PARAMS_MODELO!$B$18,0,IF(I715&gt;=PARAMS_MODELO!$B$19,100,100*(I715-PARAMS_MODELO!$B$18)/(PARAMS_MODELO!$B$19-PARAMS_MODELO!$B$18)))*PARAMS_MODELO!$B$9</f>
        <v>15</v>
      </c>
      <c r="K715" s="5">
        <f>IFERROR(CHOOSE(MATCH(PARAMS_MODELO!$B$2,{"Q1","Q2","Q3"},0),LOTO!$D715,LOTO!$F715,LOTO!$H715),0)</f>
        <v>2580000</v>
      </c>
      <c r="L715" s="8">
        <f t="shared" si="266"/>
        <v>4.5925381756960919E-2</v>
      </c>
      <c r="M715" s="5">
        <f>MIN(100,IF(PARAMS_MODELO!$B$23=0,0,100*L715/PARAMS_MODELO!$B$23))*PARAMS_MODELO!$B$10</f>
        <v>13.777614527088275</v>
      </c>
      <c r="N715" s="5">
        <f>IFERROR(VLOOKUP(A715,COMPLIANCE!$A$2:$F$1996,6,0),100)</f>
        <v>100</v>
      </c>
      <c r="O715" s="5">
        <f>N715*PARAMS_MODELO!$B$11</f>
        <v>10</v>
      </c>
      <c r="P715" s="5">
        <f>IFERROR(VLOOKUP(A715,DIGITAL!$A$2:$J$2000,7,0),100)</f>
        <v>20</v>
      </c>
      <c r="Q715" s="5">
        <f>IFERROR(P715,0)*PARAMS_MODELO!$B$12</f>
        <v>2</v>
      </c>
      <c r="R715">
        <f t="shared" si="267"/>
        <v>80.85437520241905</v>
      </c>
      <c r="S715" s="5" t="str">
        <f>IFERROR(VLOOKUP(A715,CLIENTE!$A$2:$N$2000,13,0),1)</f>
        <v>Regular</v>
      </c>
      <c r="T715" s="5">
        <f>IFERROR(VLOOKUP(A715,CLIENTE!$A$2:$N$2000,14,0),1)</f>
        <v>1</v>
      </c>
      <c r="U715" s="5">
        <f t="shared" si="268"/>
        <v>80.85437520241905</v>
      </c>
      <c r="V715" s="5" t="str">
        <f>IF(U715&gt;=MAX(_xlfn.PERCENTILE.INC($U$2:$U$1194,PARAMS_MODELO!$B$50),PARAMS_MODELO!$B$45),"DIAMANTE",IF(U715&gt;=MAX(_xlfn.PERCENTILE.INC($U$2:$U$1194,PARAMS_MODELO!$B$51),PARAMS_MODELO!$B$46),"PLATINO",IF(U715&gt;=MAX(_xlfn.PERCENTILE.INC($U$2:$U$1194,PARAMS_MODELO!$B$52),PARAMS_MODELO!$B$47),"ORO",IF(U715&gt;=MAX(_xlfn.PERCENTILE.INC($U$2:$U$1194,PARAMS_MODELO!$B$53),PARAMS_MODELO!$B$48),"PLATA",IF(U715&gt;=1,"BRONCE","CERRADO")))))</f>
        <v>ORO</v>
      </c>
      <c r="W715" s="5" t="str" cm="1">
        <f t="array" ref="W715">_xlfn.XLOOKUP(1, (HIST_SCORE!$B:$B=PARAMS_MODELO!$B$4) * (HIST_SCORE!$C:$C=A715), HIST_SCORE!$E:$E, "No encontrado")</f>
        <v>ORO</v>
      </c>
      <c r="X715" s="5" t="str">
        <f>_xlfn.LET(_xlpm.act,MATCH(V715,{"DIAMANTE";"PLATINO";"ORO";"PLATA";"BRONCE";"CERRADO"},0),_xlpm.ant,MATCH(W715,{"DIAMANTE";"PLATINO";"ORO";"PLATA";"BRONCE";"CERRADO"},0),IF(_xlpm.act&lt;_xlpm.ant,"Mejora ↑",IF(_xlpm.act&gt;_xlpm.ant,"Baja ↓","Estable →")))</f>
        <v>Estable →</v>
      </c>
      <c r="Y715" s="5">
        <f>IFERROR(U715-SUMIFS(HIST_SCORE!$D:$D,HIST_SCORE!$B:$B,PARAMS_MODELO!$B$4,HIST_SCORE!$C:$C,$A715),"")</f>
        <v>-0.14555839674635251</v>
      </c>
      <c r="Z715" s="5" t="str">
        <f t="shared" si="269"/>
        <v>→ Estable</v>
      </c>
      <c r="AA715" s="5">
        <f t="shared" si="270"/>
        <v>418</v>
      </c>
      <c r="AB715" s="5">
        <f>IFERROR(SUMIFS(HIST_SCORE!$F:$F,HIST_SCORE!$B:$B,PARAMS_MODELO!$B$4,HIST_SCORE!$C:$C,$A715),"")</f>
        <v>392</v>
      </c>
      <c r="AC715" s="5">
        <f t="shared" si="271"/>
        <v>-26</v>
      </c>
      <c r="AD715" t="str">
        <f t="shared" si="273"/>
        <v>Sostener base y reforzar mix</v>
      </c>
      <c r="AE7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715="CERRADO",1,IF(V715="BRONCE",_xlpm.cPl,IF(V715="PLATA",_xlpm.cO,IF(V715="ORO",_xlpm.cP,IF(V715="PLATINO",_xlpm.cD,999))))))</f>
        <v>86.439123873763251</v>
      </c>
      <c r="AF7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715="CERRADO",0,IF(V715="BRONCE",1,IF(V715="PLATA",_xlpm.cPl,IF(V715="ORO",_xlpm.cO,IF(V715="PLATINO",_xlpm.cP,_xlpm.cD))))))</f>
        <v>63.199193273331495</v>
      </c>
      <c r="AG715">
        <f t="shared" si="274"/>
        <v>5.5847486713442009</v>
      </c>
      <c r="AH715" t="str">
        <f t="shared" si="275"/>
        <v>VENTAS</v>
      </c>
      <c r="AI715" t="str">
        <f t="shared" si="272"/>
        <v>🎯 Para subir de categoría, eje VENTAS / IMPACTO ABSOLUTO (H). Acción: metas semanales + activación comercial + seguimiento del asesor. ΔR aprox: 5,6</v>
      </c>
      <c r="AJ715" s="26">
        <f>_xlfn.LET(_xlpm.piso,AF715,_xlpm.corte,AE715,_xlpm.prog,IF(_xlpm.corte&lt;=_xlpm.piso,0,MAX(0,MIN(1,(U715-_xlpm.piso)/(_xlpm.corte-_xlpm.piso)))),_xlpm.orden,{"DIAMANTE";"PLATINO";"ORO";"PLATA";"BRONCE";"CERRADO"},_xlpm.act,IFERROR(MATCH(V715,_xlpm.orden,0),6),_xlpm.ant,IFERROR(MATCH(W715,_xlpm.orden,0),6),_xlpm.ajmov,IF(_xlpm.act&lt;_xlpm.ant,0.08,IF(_xlpm.act&gt;_xlpm.ant,-0.08,0)),_xlpm.ajcli,IF(T715&lt;0.95,-0.06,0),_xlpm.prob,MAX(0,MIN(1,_xlpm.prog+_xlpm.ajmov+_xlpm.ajcli)),IF(OR(V715="DIAMANTE",V715="CERRADO"),0,ROUND(_xlpm.prob,2)))</f>
        <v>0.76</v>
      </c>
      <c r="AK715" t="str">
        <f t="shared" si="276"/>
        <v>Faltan 5,6 puntos base para subir a la siguiente categoría</v>
      </c>
      <c r="AL715" t="str">
        <f t="shared" si="277"/>
        <v>Margen de seguridad: 17,7 puntos</v>
      </c>
      <c r="AM715">
        <f t="shared" si="278"/>
        <v>0.32</v>
      </c>
      <c r="AN715" t="str">
        <f t="shared" si="279"/>
        <v>PRIORIDAD BAJA – control normal</v>
      </c>
      <c r="AO715">
        <f t="shared" si="280"/>
        <v>9.7858085999648026</v>
      </c>
      <c r="AP715">
        <f t="shared" si="281"/>
        <v>1.2223854729117249</v>
      </c>
      <c r="AQ715">
        <f t="shared" si="282"/>
        <v>0</v>
      </c>
      <c r="AR715">
        <f t="shared" si="283"/>
        <v>8</v>
      </c>
      <c r="AS715">
        <f t="shared" si="284"/>
        <v>0</v>
      </c>
      <c r="AT715" t="str">
        <f t="shared" si="285"/>
        <v>VENTAS</v>
      </c>
      <c r="AU715">
        <f t="shared" si="286"/>
        <v>9.7858085999648026</v>
      </c>
      <c r="AV715" t="str">
        <f t="shared" si="287"/>
        <v>Mayor retorno probable: VENTAS (+9,8 puntos finales potenciales).</v>
      </c>
    </row>
    <row r="716" spans="1:48" x14ac:dyDescent="0.3">
      <c r="A716" s="5">
        <v>51019717</v>
      </c>
      <c r="B716" s="5" t="str">
        <f>IFERROR(VLOOKUP(A716,VENTAS!$A$2:$B$1194,2,0),"")</f>
        <v>METTLER</v>
      </c>
      <c r="C716" s="5">
        <f>IFERROR(INDEX(VENTAS!$C$2:$E$1194,MATCH(A716,VENTAS!$A$2:$A$1194,0),MATCH(PARAMS_MODELO!$B$2,{"Q1","Q2","Q3"},0)),0)</f>
        <v>48352518.700000003</v>
      </c>
      <c r="D716" s="5">
        <f>IFERROR(INDEX(VENTAS!$F$2:$H$1194,MATCH(A716,VENTAS!$A$2:$A$1194,0),MATCH(PARAMS_MODELO!$B$2,{"Q1","Q2","Q3"},0)),0)</f>
        <v>56173828</v>
      </c>
      <c r="E716" s="8">
        <f t="shared" si="264"/>
        <v>0.16175598521613299</v>
      </c>
      <c r="F716" s="12">
        <f>IF(E716&lt;=PARAMS_MODELO!$B$15,0,IF(E716&gt;=PARAMS_MODELO!$B$17,100,100*MIN(1,(E716-PARAMS_MODELO!$B$15)/(PARAMS_MODELO!$B$16-PARAMS_MODELO!$B$15))))*PARAMS_MODELO!$B$7</f>
        <v>35</v>
      </c>
      <c r="G716" s="5">
        <f t="shared" si="265"/>
        <v>7821309.299999997</v>
      </c>
      <c r="H716" s="5">
        <f>(PARAMS_MODELO!$B$20*(MAX(0,MIN(3,E716))/3)+PARAMS_MODELO!$B$21*(IFERROR(LN(1+MAX(0,G716))/LN(1+MAX(0,MAX($G$2:$G$1194))),0)))*100*PARAMS_MODELO!$B$8</f>
        <v>4.2868493440232882</v>
      </c>
      <c r="I716" s="8">
        <f>E716-PARAMS_MODELO!$B$5</f>
        <v>-1.5806850159393537E-2</v>
      </c>
      <c r="J716" s="5">
        <f>IF(I716&lt;=PARAMS_MODELO!$B$18,0,IF(I716&gt;=PARAMS_MODELO!$B$19,100,100*(I716-PARAMS_MODELO!$B$18)/(PARAMS_MODELO!$B$19-PARAMS_MODELO!$B$18)))*PARAMS_MODELO!$B$9</f>
        <v>5.1289724760909694</v>
      </c>
      <c r="K716" s="5">
        <f>IFERROR(CHOOSE(MATCH(PARAMS_MODELO!$B$2,{"Q1","Q2","Q3"},0),LOTO!$D716,LOTO!$F716,LOTO!$H716),0)</f>
        <v>2567500</v>
      </c>
      <c r="L716" s="8">
        <f t="shared" si="266"/>
        <v>4.5706338546128635E-2</v>
      </c>
      <c r="M716" s="5">
        <f>MIN(100,IF(PARAMS_MODELO!$B$23=0,0,100*L716/PARAMS_MODELO!$B$23))*PARAMS_MODELO!$B$10</f>
        <v>13.711901563838587</v>
      </c>
      <c r="N716" s="5">
        <f>IFERROR(VLOOKUP(A716,COMPLIANCE!$A$2:$F$1996,6,0),100)</f>
        <v>100</v>
      </c>
      <c r="O716" s="5">
        <f>N716*PARAMS_MODELO!$B$11</f>
        <v>10</v>
      </c>
      <c r="P716" s="5">
        <f>IFERROR(VLOOKUP(A716,DIGITAL!$A$2:$J$2000,7,0),100)</f>
        <v>29</v>
      </c>
      <c r="Q716" s="5">
        <f>IFERROR(P716,0)*PARAMS_MODELO!$B$12</f>
        <v>2.9000000000000004</v>
      </c>
      <c r="R716">
        <f t="shared" si="267"/>
        <v>71.027723383952861</v>
      </c>
      <c r="S716" s="5" t="str">
        <f>IFERROR(VLOOKUP(A716,CLIENTE!$A$2:$N$2000,13,0),1)</f>
        <v>Malo</v>
      </c>
      <c r="T716" s="5">
        <f>IFERROR(VLOOKUP(A716,CLIENTE!$A$2:$N$2000,14,0),1)</f>
        <v>0.7</v>
      </c>
      <c r="U716" s="5">
        <f t="shared" si="268"/>
        <v>49.719406368766997</v>
      </c>
      <c r="V716" s="5" t="str">
        <f>IF(U716&gt;=MAX(_xlfn.PERCENTILE.INC($U$2:$U$1194,PARAMS_MODELO!$B$50),PARAMS_MODELO!$B$45),"DIAMANTE",IF(U716&gt;=MAX(_xlfn.PERCENTILE.INC($U$2:$U$1194,PARAMS_MODELO!$B$51),PARAMS_MODELO!$B$46),"PLATINO",IF(U716&gt;=MAX(_xlfn.PERCENTILE.INC($U$2:$U$1194,PARAMS_MODELO!$B$52),PARAMS_MODELO!$B$47),"ORO",IF(U716&gt;=MAX(_xlfn.PERCENTILE.INC($U$2:$U$1194,PARAMS_MODELO!$B$53),PARAMS_MODELO!$B$48),"PLATA",IF(U716&gt;=1,"BRONCE","CERRADO")))))</f>
        <v>PLATA</v>
      </c>
      <c r="W716" s="5" t="str" cm="1">
        <f t="array" ref="W716">_xlfn.XLOOKUP(1, (HIST_SCORE!$B:$B=PARAMS_MODELO!$B$4) * (HIST_SCORE!$C:$C=A716), HIST_SCORE!$E:$E, "No encontrado")</f>
        <v>PLATA</v>
      </c>
      <c r="X716" s="5" t="str">
        <f>_xlfn.LET(_xlpm.act,MATCH(V716,{"DIAMANTE";"PLATINO";"ORO";"PLATA";"BRONCE";"CERRADO"},0),_xlpm.ant,MATCH(W716,{"DIAMANTE";"PLATINO";"ORO";"PLATA";"BRONCE";"CERRADO"},0),IF(_xlpm.act&lt;_xlpm.ant,"Mejora ↑",IF(_xlpm.act&gt;_xlpm.ant,"Baja ↓","Estable →")))</f>
        <v>Estable →</v>
      </c>
      <c r="Y716" s="5">
        <f>IFERROR(U716-SUMIFS(HIST_SCORE!$D:$D,HIST_SCORE!$B:$B,PARAMS_MODELO!$B$4,HIST_SCORE!$C:$C,$A716),"")</f>
        <v>-5.4037484966960108</v>
      </c>
      <c r="Z716" s="5" t="str">
        <f t="shared" si="269"/>
        <v>↓ Baja</v>
      </c>
      <c r="AA716" s="5">
        <f t="shared" si="270"/>
        <v>744</v>
      </c>
      <c r="AB716" s="5">
        <f>IFERROR(SUMIFS(HIST_SCORE!$F:$F,HIST_SCORE!$B:$B,PARAMS_MODELO!$B$4,HIST_SCORE!$C:$C,$A716),"")</f>
        <v>732</v>
      </c>
      <c r="AC716" s="5">
        <f t="shared" si="271"/>
        <v>-12</v>
      </c>
      <c r="AD716" t="str">
        <f t="shared" si="273"/>
        <v/>
      </c>
      <c r="AE7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716="CERRADO",1,IF(V716="BRONCE",_xlpm.cPl,IF(V716="PLATA",_xlpm.cO,IF(V716="ORO",_xlpm.cP,IF(V716="PLATINO",_xlpm.cD,999))))))</f>
        <v>63.199193273331495</v>
      </c>
      <c r="AF7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716="CERRADO",0,IF(V716="BRONCE",1,IF(V716="PLATA",_xlpm.cPl,IF(V716="ORO",_xlpm.cO,IF(V716="PLATINO",_xlpm.cP,_xlpm.cD))))))</f>
        <v>24.506573482968111</v>
      </c>
      <c r="AG716">
        <f t="shared" si="274"/>
        <v>19.256838435092135</v>
      </c>
      <c r="AH716" t="str">
        <f t="shared" si="275"/>
        <v>CLIENTE</v>
      </c>
      <c r="AI716" t="str">
        <f t="shared" si="272"/>
        <v>🎯 Para subir de categoría, la eje con mayor impacto probable es CLIENTE (coef T). Acción: reducir quejas, mejorar incógnito y empujar reseñas. ΔR aprox: 19,3</v>
      </c>
      <c r="AJ716" s="26">
        <f>_xlfn.LET(_xlpm.piso,AF716,_xlpm.corte,AE716,_xlpm.prog,IF(_xlpm.corte&lt;=_xlpm.piso,0,MAX(0,MIN(1,(U716-_xlpm.piso)/(_xlpm.corte-_xlpm.piso)))),_xlpm.orden,{"DIAMANTE";"PLATINO";"ORO";"PLATA";"BRONCE";"CERRADO"},_xlpm.act,IFERROR(MATCH(V716,_xlpm.orden,0),6),_xlpm.ant,IFERROR(MATCH(W716,_xlpm.orden,0),6),_xlpm.ajmov,IF(_xlpm.act&lt;_xlpm.ant,0.08,IF(_xlpm.act&gt;_xlpm.ant,-0.08,0)),_xlpm.ajcli,IF(T716&lt;0.95,-0.06,0),_xlpm.prob,MAX(0,MIN(1,_xlpm.prog+_xlpm.ajmov+_xlpm.ajcli)),IF(OR(V716="DIAMANTE",V716="CERRADO"),0,ROUND(_xlpm.prob,2)))</f>
        <v>0.59</v>
      </c>
      <c r="AK716" t="str">
        <f t="shared" si="276"/>
        <v>Faltan 19,3 puntos base para subir a la siguiente categoría</v>
      </c>
      <c r="AL716" t="str">
        <f t="shared" si="277"/>
        <v>Margen de seguridad: 25,2 puntos</v>
      </c>
      <c r="AM716">
        <f t="shared" si="278"/>
        <v>0.76</v>
      </c>
      <c r="AN716" t="str">
        <f t="shared" si="279"/>
        <v>PRIORIDAD ALTA – requiere intervención inmediata</v>
      </c>
      <c r="AO716">
        <f t="shared" si="280"/>
        <v>14.312723218626926</v>
      </c>
      <c r="AP716">
        <f t="shared" si="281"/>
        <v>0.90166890531298871</v>
      </c>
      <c r="AQ716">
        <f t="shared" si="282"/>
        <v>0</v>
      </c>
      <c r="AR716">
        <f t="shared" si="283"/>
        <v>4.97</v>
      </c>
      <c r="AS716">
        <f t="shared" si="284"/>
        <v>21.30831701518586</v>
      </c>
      <c r="AT716" t="str">
        <f t="shared" si="285"/>
        <v>CLIENTE</v>
      </c>
      <c r="AU716">
        <f t="shared" si="286"/>
        <v>21.30831701518586</v>
      </c>
      <c r="AV716" t="str">
        <f t="shared" si="287"/>
        <v>Mayor retorno probable: CLIENTE (+21,3 puntos finales potenciales).</v>
      </c>
    </row>
    <row r="717" spans="1:48" x14ac:dyDescent="0.3">
      <c r="A717" s="5">
        <v>51007115</v>
      </c>
      <c r="B717" s="5" t="str">
        <f>IFERROR(VLOOKUP(A717,VENTAS!$A$2:$B$1194,2,0),"")</f>
        <v>METTLER</v>
      </c>
      <c r="C717" s="5">
        <f>IFERROR(INDEX(VENTAS!$C$2:$E$1194,MATCH(A717,VENTAS!$A$2:$A$1194,0),MATCH(PARAMS_MODELO!$B$2,{"Q1","Q2","Q3"},0)),0)</f>
        <v>44459306.299999997</v>
      </c>
      <c r="D717" s="5">
        <f>IFERROR(INDEX(VENTAS!$F$2:$H$1194,MATCH(A717,VENTAS!$A$2:$A$1194,0),MATCH(PARAMS_MODELO!$B$2,{"Q1","Q2","Q3"},0)),0)</f>
        <v>56079047</v>
      </c>
      <c r="E717" s="8">
        <f t="shared" si="264"/>
        <v>0.26135677020223791</v>
      </c>
      <c r="F717" s="12">
        <f>IF(E717&lt;=PARAMS_MODELO!$B$15,0,IF(E717&gt;=PARAMS_MODELO!$B$17,100,100*MIN(1,(E717-PARAMS_MODELO!$B$15)/(PARAMS_MODELO!$B$16-PARAMS_MODELO!$B$15))))*PARAMS_MODELO!$B$7</f>
        <v>35</v>
      </c>
      <c r="G717" s="5">
        <f t="shared" si="265"/>
        <v>11619740.700000003</v>
      </c>
      <c r="H717" s="5">
        <f>(PARAMS_MODELO!$B$20*(MAX(0,MIN(3,E717))/3)+PARAMS_MODELO!$B$21*(IFERROR(LN(1+MAX(0,G717))/LN(1+MAX(0,MAX($G$2:$G$1194))),0)))*100*PARAMS_MODELO!$B$8</f>
        <v>4.728245660494431</v>
      </c>
      <c r="I717" s="8">
        <f>E717-PARAMS_MODELO!$B$5</f>
        <v>8.379393482671138E-2</v>
      </c>
      <c r="J717" s="5">
        <f>IF(I717&lt;=PARAMS_MODELO!$B$18,0,IF(I717&gt;=PARAMS_MODELO!$B$19,100,100*(I717-PARAMS_MODELO!$B$18)/(PARAMS_MODELO!$B$19-PARAMS_MODELO!$B$18)))*PARAMS_MODELO!$B$9</f>
        <v>15</v>
      </c>
      <c r="K717" s="5">
        <f>IFERROR(CHOOSE(MATCH(PARAMS_MODELO!$B$2,{"Q1","Q2","Q3"},0),LOTO!$D717,LOTO!$F717,LOTO!$H717),0)</f>
        <v>2562500</v>
      </c>
      <c r="L717" s="8">
        <f t="shared" si="266"/>
        <v>4.5694428437772848E-2</v>
      </c>
      <c r="M717" s="5">
        <f>MIN(100,IF(PARAMS_MODELO!$B$23=0,0,100*L717/PARAMS_MODELO!$B$23))*PARAMS_MODELO!$B$10</f>
        <v>13.708328531331855</v>
      </c>
      <c r="N717" s="5">
        <f>IFERROR(VLOOKUP(A717,COMPLIANCE!$A$2:$F$1996,6,0),100)</f>
        <v>99.9</v>
      </c>
      <c r="O717" s="5">
        <f>N717*PARAMS_MODELO!$B$11</f>
        <v>9.990000000000002</v>
      </c>
      <c r="P717" s="5">
        <f>IFERROR(VLOOKUP(A717,DIGITAL!$A$2:$J$2000,7,0),100)</f>
        <v>41</v>
      </c>
      <c r="Q717" s="5">
        <f>IFERROR(P717,0)*PARAMS_MODELO!$B$12</f>
        <v>4.1000000000000005</v>
      </c>
      <c r="R717">
        <f t="shared" si="267"/>
        <v>82.526574191826285</v>
      </c>
      <c r="S717" s="5" t="str">
        <f>IFERROR(VLOOKUP(A717,CLIENTE!$A$2:$N$2000,13,0),1)</f>
        <v>Regular</v>
      </c>
      <c r="T717" s="5">
        <f>IFERROR(VLOOKUP(A717,CLIENTE!$A$2:$N$2000,14,0),1)</f>
        <v>1</v>
      </c>
      <c r="U717" s="5">
        <f t="shared" si="268"/>
        <v>82.526574191826285</v>
      </c>
      <c r="V717" s="5" t="str">
        <f>IF(U717&gt;=MAX(_xlfn.PERCENTILE.INC($U$2:$U$1194,PARAMS_MODELO!$B$50),PARAMS_MODELO!$B$45),"DIAMANTE",IF(U717&gt;=MAX(_xlfn.PERCENTILE.INC($U$2:$U$1194,PARAMS_MODELO!$B$51),PARAMS_MODELO!$B$46),"PLATINO",IF(U717&gt;=MAX(_xlfn.PERCENTILE.INC($U$2:$U$1194,PARAMS_MODELO!$B$52),PARAMS_MODELO!$B$47),"ORO",IF(U717&gt;=MAX(_xlfn.PERCENTILE.INC($U$2:$U$1194,PARAMS_MODELO!$B$53),PARAMS_MODELO!$B$48),"PLATA",IF(U717&gt;=1,"BRONCE","CERRADO")))))</f>
        <v>ORO</v>
      </c>
      <c r="W717" s="5" t="str" cm="1">
        <f t="array" ref="W717">_xlfn.XLOOKUP(1, (HIST_SCORE!$B:$B=PARAMS_MODELO!$B$4) * (HIST_SCORE!$C:$C=A717), HIST_SCORE!$E:$E, "No encontrado")</f>
        <v>ORO</v>
      </c>
      <c r="X717" s="5" t="str">
        <f>_xlfn.LET(_xlpm.act,MATCH(V717,{"DIAMANTE";"PLATINO";"ORO";"PLATA";"BRONCE";"CERRADO"},0),_xlpm.ant,MATCH(W717,{"DIAMANTE";"PLATINO";"ORO";"PLATA";"BRONCE";"CERRADO"},0),IF(_xlpm.act&lt;_xlpm.ant,"Mejora ↑",IF(_xlpm.act&gt;_xlpm.ant,"Baja ↓","Estable →")))</f>
        <v>Estable →</v>
      </c>
      <c r="Y717" s="5">
        <f>IFERROR(U717-SUMIFS(HIST_SCORE!$D:$D,HIST_SCORE!$B:$B,PARAMS_MODELO!$B$4,HIST_SCORE!$C:$C,$A717),"")</f>
        <v>3.2584829672883018</v>
      </c>
      <c r="Z717" s="5" t="str">
        <f t="shared" si="269"/>
        <v>→ Estable</v>
      </c>
      <c r="AA717" s="5">
        <f t="shared" si="270"/>
        <v>372</v>
      </c>
      <c r="AB717" s="5">
        <f>IFERROR(SUMIFS(HIST_SCORE!$F:$F,HIST_SCORE!$B:$B,PARAMS_MODELO!$B$4,HIST_SCORE!$C:$C,$A717),"")</f>
        <v>433</v>
      </c>
      <c r="AC717" s="5">
        <f t="shared" si="271"/>
        <v>61</v>
      </c>
      <c r="AD717" t="str">
        <f t="shared" si="273"/>
        <v/>
      </c>
      <c r="AE7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717="CERRADO",1,IF(V717="BRONCE",_xlpm.cPl,IF(V717="PLATA",_xlpm.cO,IF(V717="ORO",_xlpm.cP,IF(V717="PLATINO",_xlpm.cD,999))))))</f>
        <v>86.439123873763251</v>
      </c>
      <c r="AF7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717="CERRADO",0,IF(V717="BRONCE",1,IF(V717="PLATA",_xlpm.cPl,IF(V717="ORO",_xlpm.cO,IF(V717="PLATINO",_xlpm.cP,_xlpm.cD))))))</f>
        <v>63.199193273331495</v>
      </c>
      <c r="AG717">
        <f t="shared" si="274"/>
        <v>3.9125496819369658</v>
      </c>
      <c r="AH717" t="str">
        <f t="shared" si="275"/>
        <v>VENTAS</v>
      </c>
      <c r="AI717" t="str">
        <f t="shared" si="272"/>
        <v>🎯 Para subir de categoría, eje VENTAS / IMPACTO ABSOLUTO (H). Acción: metas semanales + activación comercial + seguimiento del asesor. ΔR aprox: 3,9</v>
      </c>
      <c r="AJ717" s="26">
        <f>_xlfn.LET(_xlpm.piso,AF717,_xlpm.corte,AE717,_xlpm.prog,IF(_xlpm.corte&lt;=_xlpm.piso,0,MAX(0,MIN(1,(U717-_xlpm.piso)/(_xlpm.corte-_xlpm.piso)))),_xlpm.orden,{"DIAMANTE";"PLATINO";"ORO";"PLATA";"BRONCE";"CERRADO"},_xlpm.act,IFERROR(MATCH(V717,_xlpm.orden,0),6),_xlpm.ant,IFERROR(MATCH(W717,_xlpm.orden,0),6),_xlpm.ajmov,IF(_xlpm.act&lt;_xlpm.ant,0.08,IF(_xlpm.act&gt;_xlpm.ant,-0.08,0)),_xlpm.ajcli,IF(T717&lt;0.95,-0.06,0),_xlpm.prob,MAX(0,MIN(1,_xlpm.prog+_xlpm.ajmov+_xlpm.ajcli)),IF(OR(V717="DIAMANTE",V717="CERRADO"),0,ROUND(_xlpm.prob,2)))</f>
        <v>0.83</v>
      </c>
      <c r="AK717" t="str">
        <f t="shared" si="276"/>
        <v>Faltan 3,9 puntos base para subir a la siguiente categoría</v>
      </c>
      <c r="AL717" t="str">
        <f t="shared" si="277"/>
        <v>Margen de seguridad: 19,3 puntos</v>
      </c>
      <c r="AM717">
        <f t="shared" si="278"/>
        <v>0.22</v>
      </c>
      <c r="AN717" t="str">
        <f t="shared" si="279"/>
        <v>PRIORIDAD BAJA – control normal</v>
      </c>
      <c r="AO717">
        <f t="shared" si="280"/>
        <v>10.134323614801154</v>
      </c>
      <c r="AP717">
        <f t="shared" si="281"/>
        <v>1.2916714686681452</v>
      </c>
      <c r="AQ717">
        <f t="shared" si="282"/>
        <v>9.9999999999980105E-3</v>
      </c>
      <c r="AR717">
        <f t="shared" si="283"/>
        <v>5.8999999999999995</v>
      </c>
      <c r="AS717">
        <f t="shared" si="284"/>
        <v>0</v>
      </c>
      <c r="AT717" t="str">
        <f t="shared" si="285"/>
        <v>VENTAS</v>
      </c>
      <c r="AU717">
        <f t="shared" si="286"/>
        <v>10.134323614801154</v>
      </c>
      <c r="AV717" t="str">
        <f t="shared" si="287"/>
        <v>Mayor retorno probable: VENTAS (+10,1 puntos finales potenciales).</v>
      </c>
    </row>
    <row r="718" spans="1:48" x14ac:dyDescent="0.3">
      <c r="A718" s="5">
        <v>51016637</v>
      </c>
      <c r="B718" s="5" t="str">
        <f>IFERROR(VLOOKUP(A718,VENTAS!$A$2:$B$1194,2,0),"")</f>
        <v>AYALA</v>
      </c>
      <c r="C718" s="5">
        <f>IFERROR(INDEX(VENTAS!$C$2:$E$1194,MATCH(A718,VENTAS!$A$2:$A$1194,0),MATCH(PARAMS_MODELO!$B$2,{"Q1","Q2","Q3"},0)),0)</f>
        <v>31251085.350000001</v>
      </c>
      <c r="D718" s="5">
        <f>IFERROR(INDEX(VENTAS!$F$2:$H$1194,MATCH(A718,VENTAS!$A$2:$A$1194,0),MATCH(PARAMS_MODELO!$B$2,{"Q1","Q2","Q3"},0)),0)</f>
        <v>55899097</v>
      </c>
      <c r="E718" s="8">
        <f t="shared" si="264"/>
        <v>0.78870897999067413</v>
      </c>
      <c r="F718" s="12">
        <f>IF(E718&lt;=PARAMS_MODELO!$B$15,0,IF(E718&gt;=PARAMS_MODELO!$B$17,100,100*MIN(1,(E718-PARAMS_MODELO!$B$15)/(PARAMS_MODELO!$B$16-PARAMS_MODELO!$B$15))))*PARAMS_MODELO!$B$7</f>
        <v>35</v>
      </c>
      <c r="G718" s="5">
        <f t="shared" si="265"/>
        <v>24648011.649999999</v>
      </c>
      <c r="H718" s="5">
        <f>(PARAMS_MODELO!$B$20*(MAX(0,MIN(3,E718))/3)+PARAMS_MODELO!$B$21*(IFERROR(LN(1+MAX(0,G718))/LN(1+MAX(0,MAX($G$2:$G$1194))),0)))*100*PARAMS_MODELO!$B$8</f>
        <v>6.7502555253961267</v>
      </c>
      <c r="I718" s="8">
        <f>E718-PARAMS_MODELO!$B$5</f>
        <v>0.6111461446151476</v>
      </c>
      <c r="J718" s="5">
        <f>IF(I718&lt;=PARAMS_MODELO!$B$18,0,IF(I718&gt;=PARAMS_MODELO!$B$19,100,100*(I718-PARAMS_MODELO!$B$18)/(PARAMS_MODELO!$B$19-PARAMS_MODELO!$B$18)))*PARAMS_MODELO!$B$9</f>
        <v>15</v>
      </c>
      <c r="K718" s="5">
        <f>IFERROR(CHOOSE(MATCH(PARAMS_MODELO!$B$2,{"Q1","Q2","Q3"},0),LOTO!$D718,LOTO!$F718,LOTO!$H718),0)</f>
        <v>2560000</v>
      </c>
      <c r="L718" s="8">
        <f t="shared" si="266"/>
        <v>4.5796804195244872E-2</v>
      </c>
      <c r="M718" s="5">
        <f>MIN(100,IF(PARAMS_MODELO!$B$23=0,0,100*L718/PARAMS_MODELO!$B$23))*PARAMS_MODELO!$B$10</f>
        <v>13.73904125857346</v>
      </c>
      <c r="N718" s="5">
        <f>IFERROR(VLOOKUP(A718,COMPLIANCE!$A$2:$F$1996,6,0),100)</f>
        <v>99.85</v>
      </c>
      <c r="O718" s="5">
        <f>N718*PARAMS_MODELO!$B$11</f>
        <v>9.9849999999999994</v>
      </c>
      <c r="P718" s="5">
        <f>IFERROR(VLOOKUP(A718,DIGITAL!$A$2:$J$2000,7,0),100)</f>
        <v>47</v>
      </c>
      <c r="Q718" s="5">
        <f>IFERROR(P718,0)*PARAMS_MODELO!$B$12</f>
        <v>4.7</v>
      </c>
      <c r="R718">
        <f t="shared" si="267"/>
        <v>85.174296783969595</v>
      </c>
      <c r="S718" s="5" t="str">
        <f>IFERROR(VLOOKUP(A718,CLIENTE!$A$2:$N$2000,13,0),1)</f>
        <v>Regular</v>
      </c>
      <c r="T718" s="5">
        <f>IFERROR(VLOOKUP(A718,CLIENTE!$A$2:$N$2000,14,0),1)</f>
        <v>1</v>
      </c>
      <c r="U718" s="5">
        <f t="shared" si="268"/>
        <v>85.174296783969595</v>
      </c>
      <c r="V718" s="5" t="str">
        <f>IF(U718&gt;=MAX(_xlfn.PERCENTILE.INC($U$2:$U$1194,PARAMS_MODELO!$B$50),PARAMS_MODELO!$B$45),"DIAMANTE",IF(U718&gt;=MAX(_xlfn.PERCENTILE.INC($U$2:$U$1194,PARAMS_MODELO!$B$51),PARAMS_MODELO!$B$46),"PLATINO",IF(U718&gt;=MAX(_xlfn.PERCENTILE.INC($U$2:$U$1194,PARAMS_MODELO!$B$52),PARAMS_MODELO!$B$47),"ORO",IF(U718&gt;=MAX(_xlfn.PERCENTILE.INC($U$2:$U$1194,PARAMS_MODELO!$B$53),PARAMS_MODELO!$B$48),"PLATA",IF(U718&gt;=1,"BRONCE","CERRADO")))))</f>
        <v>ORO</v>
      </c>
      <c r="W718" s="5" t="str" cm="1">
        <f t="array" ref="W718">_xlfn.XLOOKUP(1, (HIST_SCORE!$B:$B=PARAMS_MODELO!$B$4) * (HIST_SCORE!$C:$C=A718), HIST_SCORE!$E:$E, "No encontrado")</f>
        <v>ORO</v>
      </c>
      <c r="X718" s="5" t="str">
        <f>_xlfn.LET(_xlpm.act,MATCH(V718,{"DIAMANTE";"PLATINO";"ORO";"PLATA";"BRONCE";"CERRADO"},0),_xlpm.ant,MATCH(W718,{"DIAMANTE";"PLATINO";"ORO";"PLATA";"BRONCE";"CERRADO"},0),IF(_xlpm.act&lt;_xlpm.ant,"Mejora ↑",IF(_xlpm.act&gt;_xlpm.ant,"Baja ↓","Estable →")))</f>
        <v>Estable →</v>
      </c>
      <c r="Y718" s="5">
        <f>IFERROR(U718-SUMIFS(HIST_SCORE!$D:$D,HIST_SCORE!$B:$B,PARAMS_MODELO!$B$4,HIST_SCORE!$C:$C,$A718),"")</f>
        <v>3.7594040658744916</v>
      </c>
      <c r="Z718" s="5" t="str">
        <f t="shared" si="269"/>
        <v>→ Estable</v>
      </c>
      <c r="AA718" s="5">
        <f t="shared" si="270"/>
        <v>278</v>
      </c>
      <c r="AB718" s="5">
        <f>IFERROR(SUMIFS(HIST_SCORE!$F:$F,HIST_SCORE!$B:$B,PARAMS_MODELO!$B$4,HIST_SCORE!$C:$C,$A718),"")</f>
        <v>384</v>
      </c>
      <c r="AC718" s="5">
        <f t="shared" si="271"/>
        <v>106</v>
      </c>
      <c r="AD718" t="str">
        <f t="shared" si="273"/>
        <v/>
      </c>
      <c r="AE7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718="CERRADO",1,IF(V718="BRONCE",_xlpm.cPl,IF(V718="PLATA",_xlpm.cO,IF(V718="ORO",_xlpm.cP,IF(V718="PLATINO",_xlpm.cD,999))))))</f>
        <v>86.439123873763251</v>
      </c>
      <c r="AF7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718="CERRADO",0,IF(V718="BRONCE",1,IF(V718="PLATA",_xlpm.cPl,IF(V718="ORO",_xlpm.cO,IF(V718="PLATINO",_xlpm.cP,_xlpm.cD))))))</f>
        <v>63.199193273331495</v>
      </c>
      <c r="AG718">
        <f t="shared" si="274"/>
        <v>1.2648270897936555</v>
      </c>
      <c r="AH718" t="str">
        <f t="shared" si="275"/>
        <v>VENTAS</v>
      </c>
      <c r="AI718" t="str">
        <f t="shared" si="272"/>
        <v>🎯 Para subir de categoría, eje VENTAS / IMPACTO ABSOLUTO (H). Acción: metas semanales + activación comercial + seguimiento del asesor. ΔR aprox: 1,3</v>
      </c>
      <c r="AJ718" s="26">
        <f>_xlfn.LET(_xlpm.piso,AF718,_xlpm.corte,AE718,_xlpm.prog,IF(_xlpm.corte&lt;=_xlpm.piso,0,MAX(0,MIN(1,(U718-_xlpm.piso)/(_xlpm.corte-_xlpm.piso)))),_xlpm.orden,{"DIAMANTE";"PLATINO";"ORO";"PLATA";"BRONCE";"CERRADO"},_xlpm.act,IFERROR(MATCH(V718,_xlpm.orden,0),6),_xlpm.ant,IFERROR(MATCH(W718,_xlpm.orden,0),6),_xlpm.ajmov,IF(_xlpm.act&lt;_xlpm.ant,0.08,IF(_xlpm.act&gt;_xlpm.ant,-0.08,0)),_xlpm.ajcli,IF(T718&lt;0.95,-0.06,0),_xlpm.prob,MAX(0,MIN(1,_xlpm.prog+_xlpm.ajmov+_xlpm.ajcli)),IF(OR(V718="DIAMANTE",V718="CERRADO"),0,ROUND(_xlpm.prob,2)))</f>
        <v>0.95</v>
      </c>
      <c r="AK718" t="str">
        <f t="shared" si="276"/>
        <v>Faltan 1,3 puntos base para subir a la siguiente categoría</v>
      </c>
      <c r="AL718" t="str">
        <f t="shared" si="277"/>
        <v>Margen de seguridad: 22,0 puntos</v>
      </c>
      <c r="AM718">
        <f t="shared" si="278"/>
        <v>7.0000000000000007E-2</v>
      </c>
      <c r="AN718" t="str">
        <f t="shared" si="279"/>
        <v>PRIORIDAD BAJA – control normal</v>
      </c>
      <c r="AO718">
        <f t="shared" si="280"/>
        <v>8.1123137498994566</v>
      </c>
      <c r="AP718">
        <f t="shared" si="281"/>
        <v>1.2609587414265402</v>
      </c>
      <c r="AQ718">
        <f t="shared" si="282"/>
        <v>1.5000000000000568E-2</v>
      </c>
      <c r="AR718">
        <f t="shared" si="283"/>
        <v>5.3</v>
      </c>
      <c r="AS718">
        <f t="shared" si="284"/>
        <v>0</v>
      </c>
      <c r="AT718" t="str">
        <f t="shared" si="285"/>
        <v>VENTAS</v>
      </c>
      <c r="AU718">
        <f t="shared" si="286"/>
        <v>8.1123137498994566</v>
      </c>
      <c r="AV718" t="str">
        <f t="shared" si="287"/>
        <v>Mayor retorno probable: VENTAS (+8,1 puntos finales potenciales).</v>
      </c>
    </row>
    <row r="719" spans="1:48" x14ac:dyDescent="0.3">
      <c r="A719" s="5">
        <v>51023439</v>
      </c>
      <c r="B719" s="5" t="str">
        <f>IFERROR(VLOOKUP(A719,VENTAS!$A$2:$B$1194,2,0),"")</f>
        <v>NELLI</v>
      </c>
      <c r="C719" s="5">
        <f>IFERROR(INDEX(VENTAS!$C$2:$E$1194,MATCH(A719,VENTAS!$A$2:$A$1194,0),MATCH(PARAMS_MODELO!$B$2,{"Q1","Q2","Q3"},0)),0)</f>
        <v>61243328.299999997</v>
      </c>
      <c r="D719" s="5">
        <f>IFERROR(INDEX(VENTAS!$F$2:$H$1194,MATCH(A719,VENTAS!$A$2:$A$1194,0),MATCH(PARAMS_MODELO!$B$2,{"Q1","Q2","Q3"},0)),0)</f>
        <v>55797630</v>
      </c>
      <c r="E719" s="8">
        <f t="shared" si="264"/>
        <v>-8.8919045570552302E-2</v>
      </c>
      <c r="F719" s="12">
        <f>IF(E719&lt;=PARAMS_MODELO!$B$15,0,IF(E719&gt;=PARAMS_MODELO!$B$17,100,100*MIN(1,(E719-PARAMS_MODELO!$B$15)/(PARAMS_MODELO!$B$16-PARAMS_MODELO!$B$15))))*PARAMS_MODELO!$B$7</f>
        <v>0</v>
      </c>
      <c r="G719" s="5">
        <f t="shared" si="265"/>
        <v>0</v>
      </c>
      <c r="H719" s="5">
        <f>(PARAMS_MODELO!$B$20*(MAX(0,MIN(3,E719))/3)+PARAMS_MODELO!$B$21*(IFERROR(LN(1+MAX(0,G719))/LN(1+MAX(0,MAX($G$2:$G$1194))),0)))*100*PARAMS_MODELO!$B$8</f>
        <v>0</v>
      </c>
      <c r="I719" s="8">
        <f>E719-PARAMS_MODELO!$B$5</f>
        <v>-0.26648188094607883</v>
      </c>
      <c r="J719" s="5">
        <f>IF(I719&lt;=PARAMS_MODELO!$B$18,0,IF(I719&gt;=PARAMS_MODELO!$B$19,100,100*(I719-PARAMS_MODELO!$B$18)/(PARAMS_MODELO!$B$19-PARAMS_MODELO!$B$18)))*PARAMS_MODELO!$B$9</f>
        <v>0</v>
      </c>
      <c r="K719" s="5">
        <f>IFERROR(CHOOSE(MATCH(PARAMS_MODELO!$B$2,{"Q1","Q2","Q3"},0),LOTO!$D719,LOTO!$F719,LOTO!$H719),0)</f>
        <v>2557500</v>
      </c>
      <c r="L719" s="8">
        <f t="shared" si="266"/>
        <v>4.5835280100606425E-2</v>
      </c>
      <c r="M719" s="5">
        <f>MIN(100,IF(PARAMS_MODELO!$B$23=0,0,100*L719/PARAMS_MODELO!$B$23))*PARAMS_MODELO!$B$10</f>
        <v>13.750584030181924</v>
      </c>
      <c r="N719" s="5">
        <f>IFERROR(VLOOKUP(A719,COMPLIANCE!$A$2:$F$1996,6,0),100)</f>
        <v>99.83</v>
      </c>
      <c r="O719" s="5">
        <f>N719*PARAMS_MODELO!$B$11</f>
        <v>9.9830000000000005</v>
      </c>
      <c r="P719" s="5">
        <f>IFERROR(VLOOKUP(A719,DIGITAL!$A$2:$J$2000,7,0),100)</f>
        <v>37</v>
      </c>
      <c r="Q719" s="5">
        <f>IFERROR(P719,0)*PARAMS_MODELO!$B$12</f>
        <v>3.7</v>
      </c>
      <c r="R719">
        <f t="shared" si="267"/>
        <v>27.433584030181922</v>
      </c>
      <c r="S719" s="5" t="str">
        <f>IFERROR(VLOOKUP(A719,CLIENTE!$A$2:$N$2000,13,0),1)</f>
        <v>Muy Bueno</v>
      </c>
      <c r="T719" s="5">
        <f>IFERROR(VLOOKUP(A719,CLIENTE!$A$2:$N$2000,14,0),1)</f>
        <v>1.1499999999999999</v>
      </c>
      <c r="U719" s="5">
        <f t="shared" si="268"/>
        <v>31.548621634709207</v>
      </c>
      <c r="V719" s="5" t="str">
        <f>IF(U719&gt;=MAX(_xlfn.PERCENTILE.INC($U$2:$U$1194,PARAMS_MODELO!$B$50),PARAMS_MODELO!$B$45),"DIAMANTE",IF(U719&gt;=MAX(_xlfn.PERCENTILE.INC($U$2:$U$1194,PARAMS_MODELO!$B$51),PARAMS_MODELO!$B$46),"PLATINO",IF(U719&gt;=MAX(_xlfn.PERCENTILE.INC($U$2:$U$1194,PARAMS_MODELO!$B$52),PARAMS_MODELO!$B$47),"ORO",IF(U719&gt;=MAX(_xlfn.PERCENTILE.INC($U$2:$U$1194,PARAMS_MODELO!$B$53),PARAMS_MODELO!$B$48),"PLATA",IF(U719&gt;=1,"BRONCE","CERRADO")))))</f>
        <v>PLATA</v>
      </c>
      <c r="W719" s="5" t="str" cm="1">
        <f t="array" ref="W719">_xlfn.XLOOKUP(1, (HIST_SCORE!$B:$B=PARAMS_MODELO!$B$4) * (HIST_SCORE!$C:$C=A719), HIST_SCORE!$E:$E, "No encontrado")</f>
        <v>ORO</v>
      </c>
      <c r="X719" s="5" t="str">
        <f>_xlfn.LET(_xlpm.act,MATCH(V719,{"DIAMANTE";"PLATINO";"ORO";"PLATA";"BRONCE";"CERRADO"},0),_xlpm.ant,MATCH(W719,{"DIAMANTE";"PLATINO";"ORO";"PLATA";"BRONCE";"CERRADO"},0),IF(_xlpm.act&lt;_xlpm.ant,"Mejora ↑",IF(_xlpm.act&gt;_xlpm.ant,"Baja ↓","Estable →")))</f>
        <v>Baja ↓</v>
      </c>
      <c r="Y719" s="5">
        <f>IFERROR(U719-SUMIFS(HIST_SCORE!$D:$D,HIST_SCORE!$B:$B,PARAMS_MODELO!$B$4,HIST_SCORE!$C:$C,$A719),"")</f>
        <v>-54.076583508594737</v>
      </c>
      <c r="Z719" s="5" t="str">
        <f t="shared" si="269"/>
        <v>↓ Baja</v>
      </c>
      <c r="AA719" s="5">
        <f t="shared" si="270"/>
        <v>841</v>
      </c>
      <c r="AB719" s="5">
        <f>IFERROR(SUMIFS(HIST_SCORE!$F:$F,HIST_SCORE!$B:$B,PARAMS_MODELO!$B$4,HIST_SCORE!$C:$C,$A719),"")</f>
        <v>249</v>
      </c>
      <c r="AC719" s="5">
        <f t="shared" si="271"/>
        <v>-592</v>
      </c>
      <c r="AD719" t="str">
        <f t="shared" si="273"/>
        <v/>
      </c>
      <c r="AE7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719="CERRADO",1,IF(V719="BRONCE",_xlpm.cPl,IF(V719="PLATA",_xlpm.cO,IF(V719="ORO",_xlpm.cP,IF(V719="PLATINO",_xlpm.cD,999))))))</f>
        <v>63.199193273331495</v>
      </c>
      <c r="AF7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719="CERRADO",0,IF(V719="BRONCE",1,IF(V719="PLATA",_xlpm.cPl,IF(V719="ORO",_xlpm.cO,IF(V719="PLATINO",_xlpm.cP,_xlpm.cD))))))</f>
        <v>24.506573482968111</v>
      </c>
      <c r="AG719">
        <f t="shared" si="274"/>
        <v>27.522236207497645</v>
      </c>
      <c r="AH719" t="str">
        <f t="shared" si="275"/>
        <v>VENTAS</v>
      </c>
      <c r="AI719" t="str">
        <f t="shared" si="272"/>
        <v>🎯 Para subir de categoría, eje VENTAS / CRECIMIENTO PERSONAL (F). Acción: metas semanales + activación comercial + seguimiento del asesor. ΔR aprox: 27,5</v>
      </c>
      <c r="AJ719" s="26">
        <f>_xlfn.LET(_xlpm.piso,AF719,_xlpm.corte,AE719,_xlpm.prog,IF(_xlpm.corte&lt;=_xlpm.piso,0,MAX(0,MIN(1,(U719-_xlpm.piso)/(_xlpm.corte-_xlpm.piso)))),_xlpm.orden,{"DIAMANTE";"PLATINO";"ORO";"PLATA";"BRONCE";"CERRADO"},_xlpm.act,IFERROR(MATCH(V719,_xlpm.orden,0),6),_xlpm.ant,IFERROR(MATCH(W719,_xlpm.orden,0),6),_xlpm.ajmov,IF(_xlpm.act&lt;_xlpm.ant,0.08,IF(_xlpm.act&gt;_xlpm.ant,-0.08,0)),_xlpm.ajcli,IF(T719&lt;0.95,-0.06,0),_xlpm.prob,MAX(0,MIN(1,_xlpm.prog+_xlpm.ajmov+_xlpm.ajcli)),IF(OR(V719="DIAMANTE",V719="CERRADO"),0,ROUND(_xlpm.prob,2)))</f>
        <v>0.1</v>
      </c>
      <c r="AK719" t="str">
        <f t="shared" si="276"/>
        <v>Faltan 27,5 puntos base para subir a la siguiente categoría</v>
      </c>
      <c r="AL719" t="str">
        <f t="shared" si="277"/>
        <v>Margen de seguridad: 7,0 puntos</v>
      </c>
      <c r="AM719">
        <f t="shared" si="278"/>
        <v>0.76</v>
      </c>
      <c r="AN719" t="str">
        <f t="shared" si="279"/>
        <v>PRIORIDAD ALTA – requiere intervención inmediata</v>
      </c>
      <c r="AO719">
        <f t="shared" si="280"/>
        <v>74.591954666589913</v>
      </c>
      <c r="AP719">
        <f t="shared" si="281"/>
        <v>1.4368283652907867</v>
      </c>
      <c r="AQ719">
        <f t="shared" si="282"/>
        <v>1.9549999999999377E-2</v>
      </c>
      <c r="AR719">
        <f t="shared" si="283"/>
        <v>7.2449999999999992</v>
      </c>
      <c r="AS719">
        <f t="shared" si="284"/>
        <v>0</v>
      </c>
      <c r="AT719" t="str">
        <f t="shared" si="285"/>
        <v>VENTAS</v>
      </c>
      <c r="AU719">
        <f t="shared" si="286"/>
        <v>74.591954666589913</v>
      </c>
      <c r="AV719" t="str">
        <f t="shared" si="287"/>
        <v>Mayor retorno probable: VENTAS (+74,6 puntos finales potenciales).</v>
      </c>
    </row>
    <row r="720" spans="1:48" x14ac:dyDescent="0.3">
      <c r="A720" s="5">
        <v>51031334</v>
      </c>
      <c r="B720" s="5" t="str">
        <f>IFERROR(VLOOKUP(A720,VENTAS!$A$2:$B$1194,2,0),"")</f>
        <v>BELUZZO</v>
      </c>
      <c r="C720" s="5">
        <f>IFERROR(INDEX(VENTAS!$C$2:$E$1194,MATCH(A720,VENTAS!$A$2:$A$1194,0),MATCH(PARAMS_MODELO!$B$2,{"Q1","Q2","Q3"},0)),0)</f>
        <v>60749008.619999997</v>
      </c>
      <c r="D720" s="5">
        <f>IFERROR(INDEX(VENTAS!$F$2:$H$1194,MATCH(A720,VENTAS!$A$2:$A$1194,0),MATCH(PARAMS_MODELO!$B$2,{"Q1","Q2","Q3"},0)),0)</f>
        <v>55733694</v>
      </c>
      <c r="E720" s="8">
        <f t="shared" si="264"/>
        <v>-8.255796652373415E-2</v>
      </c>
      <c r="F720" s="12">
        <f>IF(E720&lt;=PARAMS_MODELO!$B$15,0,IF(E720&gt;=PARAMS_MODELO!$B$17,100,100*MIN(1,(E720-PARAMS_MODELO!$B$15)/(PARAMS_MODELO!$B$16-PARAMS_MODELO!$B$15))))*PARAMS_MODELO!$B$7</f>
        <v>0</v>
      </c>
      <c r="G720" s="5">
        <f t="shared" si="265"/>
        <v>0</v>
      </c>
      <c r="H720" s="5">
        <f>(PARAMS_MODELO!$B$20*(MAX(0,MIN(3,E720))/3)+PARAMS_MODELO!$B$21*(IFERROR(LN(1+MAX(0,G720))/LN(1+MAX(0,MAX($G$2:$G$1194))),0)))*100*PARAMS_MODELO!$B$8</f>
        <v>0</v>
      </c>
      <c r="I720" s="8">
        <f>E720-PARAMS_MODELO!$B$5</f>
        <v>-0.26012080189926068</v>
      </c>
      <c r="J720" s="5">
        <f>IF(I720&lt;=PARAMS_MODELO!$B$18,0,IF(I720&gt;=PARAMS_MODELO!$B$19,100,100*(I720-PARAMS_MODELO!$B$18)/(PARAMS_MODELO!$B$19-PARAMS_MODELO!$B$18)))*PARAMS_MODELO!$B$9</f>
        <v>0</v>
      </c>
      <c r="K720" s="5">
        <f>IFERROR(CHOOSE(MATCH(PARAMS_MODELO!$B$2,{"Q1","Q2","Q3"},0),LOTO!$D720,LOTO!$F720,LOTO!$H720),0)</f>
        <v>2545000</v>
      </c>
      <c r="L720" s="8">
        <f t="shared" si="266"/>
        <v>4.5663580095731675E-2</v>
      </c>
      <c r="M720" s="5">
        <f>MIN(100,IF(PARAMS_MODELO!$B$23=0,0,100*L720/PARAMS_MODELO!$B$23))*PARAMS_MODELO!$B$10</f>
        <v>13.699074028719499</v>
      </c>
      <c r="N720" s="5">
        <f>IFERROR(VLOOKUP(A720,COMPLIANCE!$A$2:$F$1996,6,0),100)</f>
        <v>100</v>
      </c>
      <c r="O720" s="5">
        <f>N720*PARAMS_MODELO!$B$11</f>
        <v>10</v>
      </c>
      <c r="P720" s="5">
        <f>IFERROR(VLOOKUP(A720,DIGITAL!$A$2:$J$2000,7,0),100)</f>
        <v>47</v>
      </c>
      <c r="Q720" s="5">
        <f>IFERROR(P720,0)*PARAMS_MODELO!$B$12</f>
        <v>4.7</v>
      </c>
      <c r="R720">
        <f t="shared" si="267"/>
        <v>28.3990740287195</v>
      </c>
      <c r="S720" s="5" t="str">
        <f>IFERROR(VLOOKUP(A720,CLIENTE!$A$2:$N$2000,13,0),1)</f>
        <v>Bueno</v>
      </c>
      <c r="T720" s="5">
        <f>IFERROR(VLOOKUP(A720,CLIENTE!$A$2:$N$2000,14,0),1)</f>
        <v>1.1000000000000001</v>
      </c>
      <c r="U720" s="5">
        <f t="shared" si="268"/>
        <v>31.238981431591451</v>
      </c>
      <c r="V720" s="5" t="str">
        <f>IF(U720&gt;=MAX(_xlfn.PERCENTILE.INC($U$2:$U$1194,PARAMS_MODELO!$B$50),PARAMS_MODELO!$B$45),"DIAMANTE",IF(U720&gt;=MAX(_xlfn.PERCENTILE.INC($U$2:$U$1194,PARAMS_MODELO!$B$51),PARAMS_MODELO!$B$46),"PLATINO",IF(U720&gt;=MAX(_xlfn.PERCENTILE.INC($U$2:$U$1194,PARAMS_MODELO!$B$52),PARAMS_MODELO!$B$47),"ORO",IF(U720&gt;=MAX(_xlfn.PERCENTILE.INC($U$2:$U$1194,PARAMS_MODELO!$B$53),PARAMS_MODELO!$B$48),"PLATA",IF(U720&gt;=1,"BRONCE","CERRADO")))))</f>
        <v>PLATA</v>
      </c>
      <c r="W720" s="5" t="str" cm="1">
        <f t="array" ref="W720">_xlfn.XLOOKUP(1, (HIST_SCORE!$B:$B=PARAMS_MODELO!$B$4) * (HIST_SCORE!$C:$C=A720), HIST_SCORE!$E:$E, "No encontrado")</f>
        <v>ORO</v>
      </c>
      <c r="X720" s="5" t="str">
        <f>_xlfn.LET(_xlpm.act,MATCH(V720,{"DIAMANTE";"PLATINO";"ORO";"PLATA";"BRONCE";"CERRADO"},0),_xlpm.ant,MATCH(W720,{"DIAMANTE";"PLATINO";"ORO";"PLATA";"BRONCE";"CERRADO"},0),IF(_xlpm.act&lt;_xlpm.ant,"Mejora ↑",IF(_xlpm.act&gt;_xlpm.ant,"Baja ↓","Estable →")))</f>
        <v>Baja ↓</v>
      </c>
      <c r="Y720" s="5">
        <f>IFERROR(U720-SUMIFS(HIST_SCORE!$D:$D,HIST_SCORE!$B:$B,PARAMS_MODELO!$B$4,HIST_SCORE!$C:$C,$A720),"")</f>
        <v>-38.020981026225073</v>
      </c>
      <c r="Z720" s="5" t="str">
        <f t="shared" si="269"/>
        <v>↓ Baja</v>
      </c>
      <c r="AA720" s="5">
        <f t="shared" si="270"/>
        <v>842</v>
      </c>
      <c r="AB720" s="5">
        <f>IFERROR(SUMIFS(HIST_SCORE!$F:$F,HIST_SCORE!$B:$B,PARAMS_MODELO!$B$4,HIST_SCORE!$C:$C,$A720),"")</f>
        <v>547</v>
      </c>
      <c r="AC720" s="5">
        <f t="shared" si="271"/>
        <v>-295</v>
      </c>
      <c r="AD720" t="str">
        <f t="shared" si="273"/>
        <v/>
      </c>
      <c r="AE7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720="CERRADO",1,IF(V720="BRONCE",_xlpm.cPl,IF(V720="PLATA",_xlpm.cO,IF(V720="ORO",_xlpm.cP,IF(V720="PLATINO",_xlpm.cD,999))))))</f>
        <v>63.199193273331495</v>
      </c>
      <c r="AF7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720="CERRADO",0,IF(V720="BRONCE",1,IF(V720="PLATA",_xlpm.cPl,IF(V720="ORO",_xlpm.cO,IF(V720="PLATINO",_xlpm.cP,_xlpm.cD))))))</f>
        <v>24.506573482968111</v>
      </c>
      <c r="AG720">
        <f t="shared" si="274"/>
        <v>29.054738037945494</v>
      </c>
      <c r="AH720" t="str">
        <f t="shared" si="275"/>
        <v>VENTAS</v>
      </c>
      <c r="AI720" t="str">
        <f t="shared" si="272"/>
        <v>🎯 Para subir de categoría, eje VENTAS / CRECIMIENTO PERSONAL (F). Acción: metas semanales + activación comercial + seguimiento del asesor. ΔR aprox: 29,1</v>
      </c>
      <c r="AJ720" s="26">
        <f>_xlfn.LET(_xlpm.piso,AF720,_xlpm.corte,AE720,_xlpm.prog,IF(_xlpm.corte&lt;=_xlpm.piso,0,MAX(0,MIN(1,(U720-_xlpm.piso)/(_xlpm.corte-_xlpm.piso)))),_xlpm.orden,{"DIAMANTE";"PLATINO";"ORO";"PLATA";"BRONCE";"CERRADO"},_xlpm.act,IFERROR(MATCH(V720,_xlpm.orden,0),6),_xlpm.ant,IFERROR(MATCH(W720,_xlpm.orden,0),6),_xlpm.ajmov,IF(_xlpm.act&lt;_xlpm.ant,0.08,IF(_xlpm.act&gt;_xlpm.ant,-0.08,0)),_xlpm.ajcli,IF(T720&lt;0.95,-0.06,0),_xlpm.prob,MAX(0,MIN(1,_xlpm.prog+_xlpm.ajmov+_xlpm.ajcli)),IF(OR(V720="DIAMANTE",V720="CERRADO"),0,ROUND(_xlpm.prob,2)))</f>
        <v>0.09</v>
      </c>
      <c r="AK720" t="str">
        <f t="shared" si="276"/>
        <v>Faltan 29,1 puntos base para subir a la siguiente categoría</v>
      </c>
      <c r="AL720" t="str">
        <f t="shared" si="277"/>
        <v>Margen de seguridad: 6,7 puntos</v>
      </c>
      <c r="AM720">
        <f t="shared" si="278"/>
        <v>0.76</v>
      </c>
      <c r="AN720" t="str">
        <f t="shared" si="279"/>
        <v>PRIORIDAD ALTA – requiere intervención inmediata</v>
      </c>
      <c r="AO720">
        <f t="shared" si="280"/>
        <v>71.348826202825151</v>
      </c>
      <c r="AP720">
        <f t="shared" si="281"/>
        <v>1.431018568408551</v>
      </c>
      <c r="AQ720">
        <f t="shared" si="282"/>
        <v>0</v>
      </c>
      <c r="AR720">
        <f t="shared" si="283"/>
        <v>5.83</v>
      </c>
      <c r="AS720">
        <f t="shared" si="284"/>
        <v>0</v>
      </c>
      <c r="AT720" t="str">
        <f t="shared" si="285"/>
        <v>VENTAS</v>
      </c>
      <c r="AU720">
        <f t="shared" si="286"/>
        <v>71.348826202825151</v>
      </c>
      <c r="AV720" t="str">
        <f t="shared" si="287"/>
        <v>Mayor retorno probable: VENTAS (+71,3 puntos finales potenciales).</v>
      </c>
    </row>
    <row r="721" spans="1:48" x14ac:dyDescent="0.3">
      <c r="A721" s="5">
        <v>51005368</v>
      </c>
      <c r="B721" s="5" t="str">
        <f>IFERROR(VLOOKUP(A721,VENTAS!$A$2:$B$1194,2,0),"")</f>
        <v>PRADES</v>
      </c>
      <c r="C721" s="5">
        <f>IFERROR(INDEX(VENTAS!$C$2:$E$1194,MATCH(A721,VENTAS!$A$2:$A$1194,0),MATCH(PARAMS_MODELO!$B$2,{"Q1","Q2","Q3"},0)),0)</f>
        <v>48400004.669999987</v>
      </c>
      <c r="D721" s="5">
        <f>IFERROR(INDEX(VENTAS!$F$2:$H$1194,MATCH(A721,VENTAS!$A$2:$A$1194,0),MATCH(PARAMS_MODELO!$B$2,{"Q1","Q2","Q3"},0)),0)</f>
        <v>55695486</v>
      </c>
      <c r="E721" s="8">
        <f t="shared" si="264"/>
        <v>0.15073307078670606</v>
      </c>
      <c r="F721" s="12">
        <f>IF(E721&lt;=PARAMS_MODELO!$B$15,0,IF(E721&gt;=PARAMS_MODELO!$B$17,100,100*MIN(1,(E721-PARAMS_MODELO!$B$15)/(PARAMS_MODELO!$B$16-PARAMS_MODELO!$B$15))))*PARAMS_MODELO!$B$7</f>
        <v>35</v>
      </c>
      <c r="G721" s="5">
        <f t="shared" si="265"/>
        <v>7295481.3300000131</v>
      </c>
      <c r="H721" s="5">
        <f>(PARAMS_MODELO!$B$20*(MAX(0,MIN(3,E721))/3)+PARAMS_MODELO!$B$21*(IFERROR(LN(1+MAX(0,G721))/LN(1+MAX(0,MAX($G$2:$G$1194))),0)))*100*PARAMS_MODELO!$B$8</f>
        <v>4.2319546818897917</v>
      </c>
      <c r="I721" s="8">
        <f>E721-PARAMS_MODELO!$B$5</f>
        <v>-2.6829764588820471E-2</v>
      </c>
      <c r="J721" s="5">
        <f>IF(I721&lt;=PARAMS_MODELO!$B$18,0,IF(I721&gt;=PARAMS_MODELO!$B$19,100,100*(I721-PARAMS_MODELO!$B$18)/(PARAMS_MODELO!$B$19-PARAMS_MODELO!$B$18)))*PARAMS_MODELO!$B$9</f>
        <v>3.4755353116769299</v>
      </c>
      <c r="K721" s="5">
        <f>IFERROR(CHOOSE(MATCH(PARAMS_MODELO!$B$2,{"Q1","Q2","Q3"},0),LOTO!$D721,LOTO!$F721,LOTO!$H721),0)</f>
        <v>2540000</v>
      </c>
      <c r="L721" s="8">
        <f t="shared" si="266"/>
        <v>4.5605132164570752E-2</v>
      </c>
      <c r="M721" s="5">
        <f>MIN(100,IF(PARAMS_MODELO!$B$23=0,0,100*L721/PARAMS_MODELO!$B$23))*PARAMS_MODELO!$B$10</f>
        <v>13.681539649371226</v>
      </c>
      <c r="N721" s="5">
        <f>IFERROR(VLOOKUP(A721,COMPLIANCE!$A$2:$F$1996,6,0),100)</f>
        <v>100</v>
      </c>
      <c r="O721" s="5">
        <f>N721*PARAMS_MODELO!$B$11</f>
        <v>10</v>
      </c>
      <c r="P721" s="5">
        <f>IFERROR(VLOOKUP(A721,DIGITAL!$A$2:$J$2000,7,0),100)</f>
        <v>16</v>
      </c>
      <c r="Q721" s="5">
        <f>IFERROR(P721,0)*PARAMS_MODELO!$B$12</f>
        <v>1.6</v>
      </c>
      <c r="R721">
        <f t="shared" si="267"/>
        <v>67.989029642937936</v>
      </c>
      <c r="S721" s="5" t="str">
        <f>IFERROR(VLOOKUP(A721,CLIENTE!$A$2:$N$2000,13,0),1)</f>
        <v>Regular</v>
      </c>
      <c r="T721" s="5">
        <f>IFERROR(VLOOKUP(A721,CLIENTE!$A$2:$N$2000,14,0),1)</f>
        <v>1</v>
      </c>
      <c r="U721" s="5">
        <f t="shared" si="268"/>
        <v>67.989029642937936</v>
      </c>
      <c r="V721" s="5" t="str">
        <f>IF(U721&gt;=MAX(_xlfn.PERCENTILE.INC($U$2:$U$1194,PARAMS_MODELO!$B$50),PARAMS_MODELO!$B$45),"DIAMANTE",IF(U721&gt;=MAX(_xlfn.PERCENTILE.INC($U$2:$U$1194,PARAMS_MODELO!$B$51),PARAMS_MODELO!$B$46),"PLATINO",IF(U721&gt;=MAX(_xlfn.PERCENTILE.INC($U$2:$U$1194,PARAMS_MODELO!$B$52),PARAMS_MODELO!$B$47),"ORO",IF(U721&gt;=MAX(_xlfn.PERCENTILE.INC($U$2:$U$1194,PARAMS_MODELO!$B$53),PARAMS_MODELO!$B$48),"PLATA",IF(U721&gt;=1,"BRONCE","CERRADO")))))</f>
        <v>ORO</v>
      </c>
      <c r="W721" s="5" t="str" cm="1">
        <f t="array" ref="W721">_xlfn.XLOOKUP(1, (HIST_SCORE!$B:$B=PARAMS_MODELO!$B$4) * (HIST_SCORE!$C:$C=A721), HIST_SCORE!$E:$E, "No encontrado")</f>
        <v>ORO</v>
      </c>
      <c r="X721" s="5" t="str">
        <f>_xlfn.LET(_xlpm.act,MATCH(V721,{"DIAMANTE";"PLATINO";"ORO";"PLATA";"BRONCE";"CERRADO"},0),_xlpm.ant,MATCH(W721,{"DIAMANTE";"PLATINO";"ORO";"PLATA";"BRONCE";"CERRADO"},0),IF(_xlpm.act&lt;_xlpm.ant,"Mejora ↑",IF(_xlpm.act&gt;_xlpm.ant,"Baja ↓","Estable →")))</f>
        <v>Estable →</v>
      </c>
      <c r="Y721" s="5">
        <f>IFERROR(U721-SUMIFS(HIST_SCORE!$D:$D,HIST_SCORE!$B:$B,PARAMS_MODELO!$B$4,HIST_SCORE!$C:$C,$A721),"")</f>
        <v>-9.3665743299946485</v>
      </c>
      <c r="Z721" s="5" t="str">
        <f t="shared" si="269"/>
        <v>↓ Baja</v>
      </c>
      <c r="AA721" s="5">
        <f t="shared" si="270"/>
        <v>527</v>
      </c>
      <c r="AB721" s="5">
        <f>IFERROR(SUMIFS(HIST_SCORE!$F:$F,HIST_SCORE!$B:$B,PARAMS_MODELO!$B$4,HIST_SCORE!$C:$C,$A721),"")</f>
        <v>461</v>
      </c>
      <c r="AC721" s="5">
        <f t="shared" si="271"/>
        <v>-66</v>
      </c>
      <c r="AD721" t="str">
        <f t="shared" si="273"/>
        <v>Sostener base y reforzar mix</v>
      </c>
      <c r="AE7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721="CERRADO",1,IF(V721="BRONCE",_xlpm.cPl,IF(V721="PLATA",_xlpm.cO,IF(V721="ORO",_xlpm.cP,IF(V721="PLATINO",_xlpm.cD,999))))))</f>
        <v>86.439123873763251</v>
      </c>
      <c r="AF7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721="CERRADO",0,IF(V721="BRONCE",1,IF(V721="PLATA",_xlpm.cPl,IF(V721="ORO",_xlpm.cO,IF(V721="PLATINO",_xlpm.cP,_xlpm.cD))))))</f>
        <v>63.199193273331495</v>
      </c>
      <c r="AG721">
        <f t="shared" si="274"/>
        <v>18.450094230825314</v>
      </c>
      <c r="AH721" t="str">
        <f t="shared" si="275"/>
        <v>VENTAS</v>
      </c>
      <c r="AI721" t="str">
        <f t="shared" si="272"/>
        <v>🎯 Para subir de categoría, eje VENTAS / DIFERENCIAL vs LOTBA (J). Acción: metas semanales + activación comercial + seguimiento del asesor. ΔR aprox: 18,5</v>
      </c>
      <c r="AJ721" s="26">
        <f>_xlfn.LET(_xlpm.piso,AF721,_xlpm.corte,AE721,_xlpm.prog,IF(_xlpm.corte&lt;=_xlpm.piso,0,MAX(0,MIN(1,(U721-_xlpm.piso)/(_xlpm.corte-_xlpm.piso)))),_xlpm.orden,{"DIAMANTE";"PLATINO";"ORO";"PLATA";"BRONCE";"CERRADO"},_xlpm.act,IFERROR(MATCH(V721,_xlpm.orden,0),6),_xlpm.ant,IFERROR(MATCH(W721,_xlpm.orden,0),6),_xlpm.ajmov,IF(_xlpm.act&lt;_xlpm.ant,0.08,IF(_xlpm.act&gt;_xlpm.ant,-0.08,0)),_xlpm.ajcli,IF(T721&lt;0.95,-0.06,0),_xlpm.prob,MAX(0,MIN(1,_xlpm.prog+_xlpm.ajmov+_xlpm.ajcli)),IF(OR(V721="DIAMANTE",V721="CERRADO"),0,ROUND(_xlpm.prob,2)))</f>
        <v>0.21</v>
      </c>
      <c r="AK721" t="str">
        <f t="shared" si="276"/>
        <v>Faltan 18,5 puntos base para subir a la siguiente categoría</v>
      </c>
      <c r="AL721" t="str">
        <f t="shared" si="277"/>
        <v>Margen de seguridad: 4,8 puntos</v>
      </c>
      <c r="AM721">
        <f t="shared" si="278"/>
        <v>0.72</v>
      </c>
      <c r="AN721" t="str">
        <f t="shared" si="279"/>
        <v>PRIORIDAD ALTA – requiere intervención inmediata</v>
      </c>
      <c r="AO721">
        <f t="shared" si="280"/>
        <v>22.155079281728867</v>
      </c>
      <c r="AP721">
        <f t="shared" si="281"/>
        <v>1.318460350628774</v>
      </c>
      <c r="AQ721">
        <f t="shared" si="282"/>
        <v>0</v>
      </c>
      <c r="AR721">
        <f t="shared" si="283"/>
        <v>8.4</v>
      </c>
      <c r="AS721">
        <f t="shared" si="284"/>
        <v>0</v>
      </c>
      <c r="AT721" t="str">
        <f t="shared" si="285"/>
        <v>VENTAS</v>
      </c>
      <c r="AU721">
        <f t="shared" si="286"/>
        <v>22.155079281728867</v>
      </c>
      <c r="AV721" t="str">
        <f t="shared" si="287"/>
        <v>Mayor retorno probable: VENTAS (+22,2 puntos finales potenciales).</v>
      </c>
    </row>
    <row r="722" spans="1:48" x14ac:dyDescent="0.3">
      <c r="A722" s="5">
        <v>51023803</v>
      </c>
      <c r="B722" s="5" t="str">
        <f>IFERROR(VLOOKUP(A722,VENTAS!$A$2:$B$1194,2,0),"")</f>
        <v>LÓPEZ</v>
      </c>
      <c r="C722" s="5">
        <f>IFERROR(INDEX(VENTAS!$C$2:$E$1194,MATCH(A722,VENTAS!$A$2:$A$1194,0),MATCH(PARAMS_MODELO!$B$2,{"Q1","Q2","Q3"},0)),0)</f>
        <v>35851842.149999999</v>
      </c>
      <c r="D722" s="5">
        <f>IFERROR(INDEX(VENTAS!$F$2:$H$1194,MATCH(A722,VENTAS!$A$2:$A$1194,0),MATCH(PARAMS_MODELO!$B$2,{"Q1","Q2","Q3"},0)),0)</f>
        <v>55684327</v>
      </c>
      <c r="E722" s="8">
        <f t="shared" si="264"/>
        <v>0.55317896266036093</v>
      </c>
      <c r="F722" s="12">
        <f>IF(E722&lt;=PARAMS_MODELO!$B$15,0,IF(E722&gt;=PARAMS_MODELO!$B$17,100,100*MIN(1,(E722-PARAMS_MODELO!$B$15)/(PARAMS_MODELO!$B$16-PARAMS_MODELO!$B$15))))*PARAMS_MODELO!$B$7</f>
        <v>35</v>
      </c>
      <c r="G722" s="5">
        <f t="shared" si="265"/>
        <v>19832484.850000001</v>
      </c>
      <c r="H722" s="5">
        <f>(PARAMS_MODELO!$B$20*(MAX(0,MIN(3,E722))/3)+PARAMS_MODELO!$B$21*(IFERROR(LN(1+MAX(0,G722))/LN(1+MAX(0,MAX($G$2:$G$1194))),0)))*100*PARAMS_MODELO!$B$8</f>
        <v>5.8749447343000885</v>
      </c>
      <c r="I722" s="8">
        <f>E722-PARAMS_MODELO!$B$5</f>
        <v>0.3756161272848344</v>
      </c>
      <c r="J722" s="5">
        <f>IF(I722&lt;=PARAMS_MODELO!$B$18,0,IF(I722&gt;=PARAMS_MODELO!$B$19,100,100*(I722-PARAMS_MODELO!$B$18)/(PARAMS_MODELO!$B$19-PARAMS_MODELO!$B$18)))*PARAMS_MODELO!$B$9</f>
        <v>15</v>
      </c>
      <c r="K722" s="5">
        <f>IFERROR(CHOOSE(MATCH(PARAMS_MODELO!$B$2,{"Q1","Q2","Q3"},0),LOTO!$D722,LOTO!$F722,LOTO!$H722),0)</f>
        <v>2522500</v>
      </c>
      <c r="L722" s="8">
        <f t="shared" si="266"/>
        <v>4.5299999764745295E-2</v>
      </c>
      <c r="M722" s="5">
        <f>MIN(100,IF(PARAMS_MODELO!$B$23=0,0,100*L722/PARAMS_MODELO!$B$23))*PARAMS_MODELO!$B$10</f>
        <v>13.589999929423588</v>
      </c>
      <c r="N722" s="5">
        <f>IFERROR(VLOOKUP(A722,COMPLIANCE!$A$2:$F$1996,6,0),100)</f>
        <v>100</v>
      </c>
      <c r="O722" s="5">
        <f>N722*PARAMS_MODELO!$B$11</f>
        <v>10</v>
      </c>
      <c r="P722" s="5">
        <f>IFERROR(VLOOKUP(A722,DIGITAL!$A$2:$J$2000,7,0),100)</f>
        <v>35</v>
      </c>
      <c r="Q722" s="5">
        <f>IFERROR(P722,0)*PARAMS_MODELO!$B$12</f>
        <v>3.5</v>
      </c>
      <c r="R722">
        <f t="shared" si="267"/>
        <v>82.964944663723671</v>
      </c>
      <c r="S722" s="5" t="str">
        <f>IFERROR(VLOOKUP(A722,CLIENTE!$A$2:$N$2000,13,0),1)</f>
        <v>Muy Bueno</v>
      </c>
      <c r="T722" s="5">
        <f>IFERROR(VLOOKUP(A722,CLIENTE!$A$2:$N$2000,14,0),1)</f>
        <v>1.1499999999999999</v>
      </c>
      <c r="U722" s="5">
        <f t="shared" si="268"/>
        <v>95.409686363282219</v>
      </c>
      <c r="V722" s="5" t="str">
        <f>IF(U722&gt;=MAX(_xlfn.PERCENTILE.INC($U$2:$U$1194,PARAMS_MODELO!$B$50),PARAMS_MODELO!$B$45),"DIAMANTE",IF(U722&gt;=MAX(_xlfn.PERCENTILE.INC($U$2:$U$1194,PARAMS_MODELO!$B$51),PARAMS_MODELO!$B$46),"PLATINO",IF(U722&gt;=MAX(_xlfn.PERCENTILE.INC($U$2:$U$1194,PARAMS_MODELO!$B$52),PARAMS_MODELO!$B$47),"ORO",IF(U722&gt;=MAX(_xlfn.PERCENTILE.INC($U$2:$U$1194,PARAMS_MODELO!$B$53),PARAMS_MODELO!$B$48),"PLATA",IF(U722&gt;=1,"BRONCE","CERRADO")))))</f>
        <v>PLATINO</v>
      </c>
      <c r="W722" s="5" t="str" cm="1">
        <f t="array" ref="W722">_xlfn.XLOOKUP(1, (HIST_SCORE!$B:$B=PARAMS_MODELO!$B$4) * (HIST_SCORE!$C:$C=A722), HIST_SCORE!$E:$E, "No encontrado")</f>
        <v>DIAMANTE</v>
      </c>
      <c r="X722" s="5" t="str">
        <f>_xlfn.LET(_xlpm.act,MATCH(V722,{"DIAMANTE";"PLATINO";"ORO";"PLATA";"BRONCE";"CERRADO"},0),_xlpm.ant,MATCH(W722,{"DIAMANTE";"PLATINO";"ORO";"PLATA";"BRONCE";"CERRADO"},0),IF(_xlpm.act&lt;_xlpm.ant,"Mejora ↑",IF(_xlpm.act&gt;_xlpm.ant,"Baja ↓","Estable →")))</f>
        <v>Baja ↓</v>
      </c>
      <c r="Y722" s="5">
        <f>IFERROR(U722-SUMIFS(HIST_SCORE!$D:$D,HIST_SCORE!$B:$B,PARAMS_MODELO!$B$4,HIST_SCORE!$C:$C,$A722),"")</f>
        <v>-1.9405168465874567</v>
      </c>
      <c r="Z722" s="5" t="str">
        <f t="shared" si="269"/>
        <v>→ Estable</v>
      </c>
      <c r="AA722" s="5">
        <f t="shared" si="270"/>
        <v>67</v>
      </c>
      <c r="AB722" s="5">
        <f>IFERROR(SUMIFS(HIST_SCORE!$F:$F,HIST_SCORE!$B:$B,PARAMS_MODELO!$B$4,HIST_SCORE!$C:$C,$A722),"")</f>
        <v>37</v>
      </c>
      <c r="AC722" s="5">
        <f t="shared" si="271"/>
        <v>-30</v>
      </c>
      <c r="AD722" t="str">
        <f t="shared" si="273"/>
        <v/>
      </c>
      <c r="AE7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722="CERRADO",1,IF(V722="BRONCE",_xlpm.cPl,IF(V722="PLATA",_xlpm.cO,IF(V722="ORO",_xlpm.cP,IF(V722="PLATINO",_xlpm.cD,999))))))</f>
        <v>96.054919694466676</v>
      </c>
      <c r="AF7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722="CERRADO",0,IF(V722="BRONCE",1,IF(V722="PLATA",_xlpm.cPl,IF(V722="ORO",_xlpm.cO,IF(V722="PLATINO",_xlpm.cP,_xlpm.cD))))))</f>
        <v>86.439123873763251</v>
      </c>
      <c r="AG722">
        <f t="shared" si="274"/>
        <v>0.56107246189952775</v>
      </c>
      <c r="AH722" t="str">
        <f t="shared" si="275"/>
        <v>VENTAS</v>
      </c>
      <c r="AI722" t="str">
        <f t="shared" si="272"/>
        <v>🎯 Para subir de categoría, eje VENTAS / IMPACTO ABSOLUTO (H). Acción: metas semanales + activación comercial + seguimiento del asesor. ΔR aprox: 0,6</v>
      </c>
      <c r="AJ722" s="26">
        <f>_xlfn.LET(_xlpm.piso,AF722,_xlpm.corte,AE722,_xlpm.prog,IF(_xlpm.corte&lt;=_xlpm.piso,0,MAX(0,MIN(1,(U722-_xlpm.piso)/(_xlpm.corte-_xlpm.piso)))),_xlpm.orden,{"DIAMANTE";"PLATINO";"ORO";"PLATA";"BRONCE";"CERRADO"},_xlpm.act,IFERROR(MATCH(V722,_xlpm.orden,0),6),_xlpm.ant,IFERROR(MATCH(W722,_xlpm.orden,0),6),_xlpm.ajmov,IF(_xlpm.act&lt;_xlpm.ant,0.08,IF(_xlpm.act&gt;_xlpm.ant,-0.08,0)),_xlpm.ajcli,IF(T722&lt;0.95,-0.06,0),_xlpm.prob,MAX(0,MIN(1,_xlpm.prog+_xlpm.ajmov+_xlpm.ajcli)),IF(OR(V722="DIAMANTE",V722="CERRADO"),0,ROUND(_xlpm.prob,2)))</f>
        <v>0.85</v>
      </c>
      <c r="AK722" t="str">
        <f t="shared" si="276"/>
        <v>Faltan 0,6 puntos base para subir a la siguiente categoría</v>
      </c>
      <c r="AL722" t="str">
        <f t="shared" si="277"/>
        <v>Margen de seguridad: 9,0 puntos</v>
      </c>
      <c r="AM722">
        <f t="shared" si="278"/>
        <v>0.08</v>
      </c>
      <c r="AN722" t="str">
        <f t="shared" si="279"/>
        <v>PRIORIDAD BAJA – control normal</v>
      </c>
      <c r="AO722">
        <f t="shared" si="280"/>
        <v>10.335768222144821</v>
      </c>
      <c r="AP722">
        <f t="shared" si="281"/>
        <v>1.6215000811628741</v>
      </c>
      <c r="AQ722">
        <f t="shared" si="282"/>
        <v>0</v>
      </c>
      <c r="AR722">
        <f t="shared" si="283"/>
        <v>7.4749999999999996</v>
      </c>
      <c r="AS722">
        <f t="shared" si="284"/>
        <v>0</v>
      </c>
      <c r="AT722" t="str">
        <f t="shared" si="285"/>
        <v>VENTAS</v>
      </c>
      <c r="AU722">
        <f t="shared" si="286"/>
        <v>10.335768222144821</v>
      </c>
      <c r="AV722" t="str">
        <f t="shared" si="287"/>
        <v>Mayor retorno probable: VENTAS (+10,3 puntos finales potenciales).</v>
      </c>
    </row>
    <row r="723" spans="1:48" x14ac:dyDescent="0.3">
      <c r="A723" s="5">
        <v>51016777</v>
      </c>
      <c r="B723" s="5" t="str">
        <f>IFERROR(VLOOKUP(A723,VENTAS!$A$2:$B$1194,2,0),"")</f>
        <v>AYALA</v>
      </c>
      <c r="C723" s="5">
        <f>IFERROR(INDEX(VENTAS!$C$2:$E$1194,MATCH(A723,VENTAS!$A$2:$A$1194,0),MATCH(PARAMS_MODELO!$B$2,{"Q1","Q2","Q3"},0)),0)</f>
        <v>46794264.280000001</v>
      </c>
      <c r="D723" s="5">
        <f>IFERROR(INDEX(VENTAS!$F$2:$H$1194,MATCH(A723,VENTAS!$A$2:$A$1194,0),MATCH(PARAMS_MODELO!$B$2,{"Q1","Q2","Q3"},0)),0)</f>
        <v>55634200</v>
      </c>
      <c r="E723" s="8">
        <f t="shared" si="264"/>
        <v>0.1889106679208592</v>
      </c>
      <c r="F723" s="12">
        <f>IF(E723&lt;=PARAMS_MODELO!$B$15,0,IF(E723&gt;=PARAMS_MODELO!$B$17,100,100*MIN(1,(E723-PARAMS_MODELO!$B$15)/(PARAMS_MODELO!$B$16-PARAMS_MODELO!$B$15))))*PARAMS_MODELO!$B$7</f>
        <v>35</v>
      </c>
      <c r="G723" s="5">
        <f t="shared" si="265"/>
        <v>8839935.7199999988</v>
      </c>
      <c r="H723" s="5">
        <f>(PARAMS_MODELO!$B$20*(MAX(0,MIN(3,E723))/3)+PARAMS_MODELO!$B$21*(IFERROR(LN(1+MAX(0,G723))/LN(1+MAX(0,MAX($G$2:$G$1194))),0)))*100*PARAMS_MODELO!$B$8</f>
        <v>4.4105894768361962</v>
      </c>
      <c r="I723" s="8">
        <f>E723-PARAMS_MODELO!$B$5</f>
        <v>1.134783254533267E-2</v>
      </c>
      <c r="J723" s="5">
        <f>IF(I723&lt;=PARAMS_MODELO!$B$18,0,IF(I723&gt;=PARAMS_MODELO!$B$19,100,100*(I723-PARAMS_MODELO!$B$18)/(PARAMS_MODELO!$B$19-PARAMS_MODELO!$B$18)))*PARAMS_MODELO!$B$9</f>
        <v>9.2021748817999001</v>
      </c>
      <c r="K723" s="5">
        <f>IFERROR(CHOOSE(MATCH(PARAMS_MODELO!$B$2,{"Q1","Q2","Q3"},0),LOTO!$D723,LOTO!$F723,LOTO!$H723),0)</f>
        <v>2517500</v>
      </c>
      <c r="L723" s="8">
        <f t="shared" si="266"/>
        <v>4.525094276542127E-2</v>
      </c>
      <c r="M723" s="5">
        <f>MIN(100,IF(PARAMS_MODELO!$B$23=0,0,100*L723/PARAMS_MODELO!$B$23))*PARAMS_MODELO!$B$10</f>
        <v>13.575282829626381</v>
      </c>
      <c r="N723" s="5">
        <f>IFERROR(VLOOKUP(A723,COMPLIANCE!$A$2:$F$1996,6,0),100)</f>
        <v>100</v>
      </c>
      <c r="O723" s="5">
        <f>N723*PARAMS_MODELO!$B$11</f>
        <v>10</v>
      </c>
      <c r="P723" s="5">
        <f>IFERROR(VLOOKUP(A723,DIGITAL!$A$2:$J$2000,7,0),100)</f>
        <v>40</v>
      </c>
      <c r="Q723" s="5">
        <f>IFERROR(P723,0)*PARAMS_MODELO!$B$12</f>
        <v>4</v>
      </c>
      <c r="R723">
        <f t="shared" si="267"/>
        <v>76.188047188262473</v>
      </c>
      <c r="S723" s="5" t="str">
        <f>IFERROR(VLOOKUP(A723,CLIENTE!$A$2:$N$2000,13,0),1)</f>
        <v>Regular</v>
      </c>
      <c r="T723" s="5">
        <f>IFERROR(VLOOKUP(A723,CLIENTE!$A$2:$N$2000,14,0),1)</f>
        <v>1</v>
      </c>
      <c r="U723" s="5">
        <f t="shared" si="268"/>
        <v>76.188047188262473</v>
      </c>
      <c r="V723" s="5" t="str">
        <f>IF(U723&gt;=MAX(_xlfn.PERCENTILE.INC($U$2:$U$1194,PARAMS_MODELO!$B$50),PARAMS_MODELO!$B$45),"DIAMANTE",IF(U723&gt;=MAX(_xlfn.PERCENTILE.INC($U$2:$U$1194,PARAMS_MODELO!$B$51),PARAMS_MODELO!$B$46),"PLATINO",IF(U723&gt;=MAX(_xlfn.PERCENTILE.INC($U$2:$U$1194,PARAMS_MODELO!$B$52),PARAMS_MODELO!$B$47),"ORO",IF(U723&gt;=MAX(_xlfn.PERCENTILE.INC($U$2:$U$1194,PARAMS_MODELO!$B$53),PARAMS_MODELO!$B$48),"PLATA",IF(U723&gt;=1,"BRONCE","CERRADO")))))</f>
        <v>ORO</v>
      </c>
      <c r="W723" s="5" t="str" cm="1">
        <f t="array" ref="W723">_xlfn.XLOOKUP(1, (HIST_SCORE!$B:$B=PARAMS_MODELO!$B$4) * (HIST_SCORE!$C:$C=A723), HIST_SCORE!$E:$E, "No encontrado")</f>
        <v>ORO</v>
      </c>
      <c r="X723" s="5" t="str">
        <f>_xlfn.LET(_xlpm.act,MATCH(V723,{"DIAMANTE";"PLATINO";"ORO";"PLATA";"BRONCE";"CERRADO"},0),_xlpm.ant,MATCH(W723,{"DIAMANTE";"PLATINO";"ORO";"PLATA";"BRONCE";"CERRADO"},0),IF(_xlpm.act&lt;_xlpm.ant,"Mejora ↑",IF(_xlpm.act&gt;_xlpm.ant,"Baja ↓","Estable →")))</f>
        <v>Estable →</v>
      </c>
      <c r="Y723" s="5">
        <f>IFERROR(U723-SUMIFS(HIST_SCORE!$D:$D,HIST_SCORE!$B:$B,PARAMS_MODELO!$B$4,HIST_SCORE!$C:$C,$A723),"")</f>
        <v>-6.7827055149393516</v>
      </c>
      <c r="Z723" s="5" t="str">
        <f t="shared" si="269"/>
        <v>↓ Baja</v>
      </c>
      <c r="AA723" s="5">
        <f t="shared" si="270"/>
        <v>461</v>
      </c>
      <c r="AB723" s="5">
        <f>IFERROR(SUMIFS(HIST_SCORE!$F:$F,HIST_SCORE!$B:$B,PARAMS_MODELO!$B$4,HIST_SCORE!$C:$C,$A723),"")</f>
        <v>330</v>
      </c>
      <c r="AC723" s="5">
        <f t="shared" si="271"/>
        <v>-131</v>
      </c>
      <c r="AD723" t="str">
        <f t="shared" si="273"/>
        <v>Sostener base y reforzar mix</v>
      </c>
      <c r="AE7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723="CERRADO",1,IF(V723="BRONCE",_xlpm.cPl,IF(V723="PLATA",_xlpm.cO,IF(V723="ORO",_xlpm.cP,IF(V723="PLATINO",_xlpm.cD,999))))))</f>
        <v>86.439123873763251</v>
      </c>
      <c r="AF7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723="CERRADO",0,IF(V723="BRONCE",1,IF(V723="PLATA",_xlpm.cPl,IF(V723="ORO",_xlpm.cO,IF(V723="PLATINO",_xlpm.cP,_xlpm.cD))))))</f>
        <v>63.199193273331495</v>
      </c>
      <c r="AG723">
        <f t="shared" si="274"/>
        <v>10.251076685500777</v>
      </c>
      <c r="AH723" t="str">
        <f t="shared" si="275"/>
        <v>VENTAS</v>
      </c>
      <c r="AI723" t="str">
        <f t="shared" si="272"/>
        <v>🎯 Para subir de categoría, eje VENTAS / IMPACTO ABSOLUTO (H). Acción: metas semanales + activación comercial + seguimiento del asesor. ΔR aprox: 10,3</v>
      </c>
      <c r="AJ723" s="26">
        <f>_xlfn.LET(_xlpm.piso,AF723,_xlpm.corte,AE723,_xlpm.prog,IF(_xlpm.corte&lt;=_xlpm.piso,0,MAX(0,MIN(1,(U723-_xlpm.piso)/(_xlpm.corte-_xlpm.piso)))),_xlpm.orden,{"DIAMANTE";"PLATINO";"ORO";"PLATA";"BRONCE";"CERRADO"},_xlpm.act,IFERROR(MATCH(V723,_xlpm.orden,0),6),_xlpm.ant,IFERROR(MATCH(W723,_xlpm.orden,0),6),_xlpm.ajmov,IF(_xlpm.act&lt;_xlpm.ant,0.08,IF(_xlpm.act&gt;_xlpm.ant,-0.08,0)),_xlpm.ajcli,IF(T723&lt;0.95,-0.06,0),_xlpm.prob,MAX(0,MIN(1,_xlpm.prog+_xlpm.ajmov+_xlpm.ajcli)),IF(OR(V723="DIAMANTE",V723="CERRADO"),0,ROUND(_xlpm.prob,2)))</f>
        <v>0.56000000000000005</v>
      </c>
      <c r="AK723" t="str">
        <f t="shared" si="276"/>
        <v>Faltan 10,3 puntos base para subir a la siguiente categoría</v>
      </c>
      <c r="AL723" t="str">
        <f t="shared" si="277"/>
        <v>Margen de seguridad: 13,0 puntos</v>
      </c>
      <c r="AM723">
        <f t="shared" si="278"/>
        <v>0.57999999999999996</v>
      </c>
      <c r="AN723" t="str">
        <f t="shared" si="279"/>
        <v>PRIORIDAD MEDIA – seguimiento del asesor</v>
      </c>
      <c r="AO723">
        <f t="shared" si="280"/>
        <v>16.249804916659492</v>
      </c>
      <c r="AP723">
        <f t="shared" si="281"/>
        <v>1.4247171703736186</v>
      </c>
      <c r="AQ723">
        <f t="shared" si="282"/>
        <v>0</v>
      </c>
      <c r="AR723">
        <f t="shared" si="283"/>
        <v>6</v>
      </c>
      <c r="AS723">
        <f t="shared" si="284"/>
        <v>0</v>
      </c>
      <c r="AT723" t="str">
        <f t="shared" si="285"/>
        <v>VENTAS</v>
      </c>
      <c r="AU723">
        <f t="shared" si="286"/>
        <v>16.249804916659492</v>
      </c>
      <c r="AV723" t="str">
        <f t="shared" si="287"/>
        <v>Mayor retorno probable: VENTAS (+16,2 puntos finales potenciales).</v>
      </c>
    </row>
    <row r="724" spans="1:48" x14ac:dyDescent="0.3">
      <c r="A724" s="5">
        <v>51056094</v>
      </c>
      <c r="B724" s="5" t="str">
        <f>IFERROR(VLOOKUP(A724,VENTAS!$A$2:$B$1194,2,0),"")</f>
        <v>AYALA</v>
      </c>
      <c r="C724" s="5">
        <f>IFERROR(INDEX(VENTAS!$C$2:$E$1194,MATCH(A724,VENTAS!$A$2:$A$1194,0),MATCH(PARAMS_MODELO!$B$2,{"Q1","Q2","Q3"},0)),0)</f>
        <v>43456158.770000003</v>
      </c>
      <c r="D724" s="5">
        <f>IFERROR(INDEX(VENTAS!$F$2:$H$1194,MATCH(A724,VENTAS!$A$2:$A$1194,0),MATCH(PARAMS_MODELO!$B$2,{"Q1","Q2","Q3"},0)),0)</f>
        <v>55353835</v>
      </c>
      <c r="E724" s="8">
        <f t="shared" si="264"/>
        <v>0.27378573179858612</v>
      </c>
      <c r="F724" s="12">
        <f>IF(E724&lt;=PARAMS_MODELO!$B$15,0,IF(E724&gt;=PARAMS_MODELO!$B$17,100,100*MIN(1,(E724-PARAMS_MODELO!$B$15)/(PARAMS_MODELO!$B$16-PARAMS_MODELO!$B$15))))*PARAMS_MODELO!$B$7</f>
        <v>35</v>
      </c>
      <c r="G724" s="5">
        <f t="shared" si="265"/>
        <v>11897676.229999997</v>
      </c>
      <c r="H724" s="5">
        <f>(PARAMS_MODELO!$B$20*(MAX(0,MIN(3,E724))/3)+PARAMS_MODELO!$B$21*(IFERROR(LN(1+MAX(0,G724))/LN(1+MAX(0,MAX($G$2:$G$1194))),0)))*100*PARAMS_MODELO!$B$8</f>
        <v>4.777288025470332</v>
      </c>
      <c r="I724" s="8">
        <f>E724-PARAMS_MODELO!$B$5</f>
        <v>9.622289642305959E-2</v>
      </c>
      <c r="J724" s="5">
        <f>IF(I724&lt;=PARAMS_MODELO!$B$18,0,IF(I724&gt;=PARAMS_MODELO!$B$19,100,100*(I724-PARAMS_MODELO!$B$18)/(PARAMS_MODELO!$B$19-PARAMS_MODELO!$B$18)))*PARAMS_MODELO!$B$9</f>
        <v>15</v>
      </c>
      <c r="K724" s="5">
        <f>IFERROR(CHOOSE(MATCH(PARAMS_MODELO!$B$2,{"Q1","Q2","Q3"},0),LOTO!$D724,LOTO!$F724,LOTO!$H724),0)</f>
        <v>2512500</v>
      </c>
      <c r="L724" s="8">
        <f t="shared" si="266"/>
        <v>4.5389809034911494E-2</v>
      </c>
      <c r="M724" s="5">
        <f>MIN(100,IF(PARAMS_MODELO!$B$23=0,0,100*L724/PARAMS_MODELO!$B$23))*PARAMS_MODELO!$B$10</f>
        <v>13.616942710473445</v>
      </c>
      <c r="N724" s="5">
        <f>IFERROR(VLOOKUP(A724,COMPLIANCE!$A$2:$F$1996,6,0),100)</f>
        <v>100</v>
      </c>
      <c r="O724" s="5">
        <f>N724*PARAMS_MODELO!$B$11</f>
        <v>10</v>
      </c>
      <c r="P724" s="5">
        <f>IFERROR(VLOOKUP(A724,DIGITAL!$A$2:$J$2000,7,0),100)</f>
        <v>13</v>
      </c>
      <c r="Q724" s="5">
        <f>IFERROR(P724,0)*PARAMS_MODELO!$B$12</f>
        <v>1.3</v>
      </c>
      <c r="R724">
        <f t="shared" si="267"/>
        <v>79.694230735943776</v>
      </c>
      <c r="S724" s="5" t="str">
        <f>IFERROR(VLOOKUP(A724,CLIENTE!$A$2:$N$2000,13,0),1)</f>
        <v>Malo</v>
      </c>
      <c r="T724" s="5">
        <f>IFERROR(VLOOKUP(A724,CLIENTE!$A$2:$N$2000,14,0),1)</f>
        <v>0.7</v>
      </c>
      <c r="U724" s="5">
        <f t="shared" si="268"/>
        <v>55.785961515160643</v>
      </c>
      <c r="V724" s="5" t="str">
        <f>IF(U724&gt;=MAX(_xlfn.PERCENTILE.INC($U$2:$U$1194,PARAMS_MODELO!$B$50),PARAMS_MODELO!$B$45),"DIAMANTE",IF(U724&gt;=MAX(_xlfn.PERCENTILE.INC($U$2:$U$1194,PARAMS_MODELO!$B$51),PARAMS_MODELO!$B$46),"PLATINO",IF(U724&gt;=MAX(_xlfn.PERCENTILE.INC($U$2:$U$1194,PARAMS_MODELO!$B$52),PARAMS_MODELO!$B$47),"ORO",IF(U724&gt;=MAX(_xlfn.PERCENTILE.INC($U$2:$U$1194,PARAMS_MODELO!$B$53),PARAMS_MODELO!$B$48),"PLATA",IF(U724&gt;=1,"BRONCE","CERRADO")))))</f>
        <v>PLATA</v>
      </c>
      <c r="W724" s="5" t="str" cm="1">
        <f t="array" ref="W724">_xlfn.XLOOKUP(1, (HIST_SCORE!$B:$B=PARAMS_MODELO!$B$4) * (HIST_SCORE!$C:$C=A724), HIST_SCORE!$E:$E, "No encontrado")</f>
        <v>PLATA</v>
      </c>
      <c r="X724" s="5" t="str">
        <f>_xlfn.LET(_xlpm.act,MATCH(V724,{"DIAMANTE";"PLATINO";"ORO";"PLATA";"BRONCE";"CERRADO"},0),_xlpm.ant,MATCH(W724,{"DIAMANTE";"PLATINO";"ORO";"PLATA";"BRONCE";"CERRADO"},0),IF(_xlpm.act&lt;_xlpm.ant,"Mejora ↑",IF(_xlpm.act&gt;_xlpm.ant,"Baja ↓","Estable →")))</f>
        <v>Estable →</v>
      </c>
      <c r="Y724" s="5">
        <f>IFERROR(U724-SUMIFS(HIST_SCORE!$D:$D,HIST_SCORE!$B:$B,PARAMS_MODELO!$B$4,HIST_SCORE!$C:$C,$A724),"")</f>
        <v>0.40426806767008117</v>
      </c>
      <c r="Z724" s="5" t="str">
        <f t="shared" si="269"/>
        <v>→ Estable</v>
      </c>
      <c r="AA724" s="5">
        <f t="shared" si="270"/>
        <v>707</v>
      </c>
      <c r="AB724" s="5">
        <f>IFERROR(SUMIFS(HIST_SCORE!$F:$F,HIST_SCORE!$B:$B,PARAMS_MODELO!$B$4,HIST_SCORE!$C:$C,$A724),"")</f>
        <v>730</v>
      </c>
      <c r="AC724" s="5">
        <f t="shared" si="271"/>
        <v>23</v>
      </c>
      <c r="AD724" t="str">
        <f t="shared" si="273"/>
        <v/>
      </c>
      <c r="AE7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724="CERRADO",1,IF(V724="BRONCE",_xlpm.cPl,IF(V724="PLATA",_xlpm.cO,IF(V724="ORO",_xlpm.cP,IF(V724="PLATINO",_xlpm.cD,999))))))</f>
        <v>63.199193273331495</v>
      </c>
      <c r="AF7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724="CERRADO",0,IF(V724="BRONCE",1,IF(V724="PLATA",_xlpm.cPl,IF(V724="ORO",_xlpm.cO,IF(V724="PLATINO",_xlpm.cP,_xlpm.cD))))))</f>
        <v>24.506573482968111</v>
      </c>
      <c r="AG724">
        <f t="shared" si="274"/>
        <v>10.590331083101219</v>
      </c>
      <c r="AH724" t="str">
        <f t="shared" si="275"/>
        <v>CLIENTE</v>
      </c>
      <c r="AI724" t="str">
        <f t="shared" si="272"/>
        <v>🎯 Para subir de categoría, la eje con mayor impacto probable es CLIENTE (coef T). Acción: reducir quejas, mejorar incógnito y empujar reseñas. ΔR aprox: 10,6</v>
      </c>
      <c r="AJ724" s="26">
        <f>_xlfn.LET(_xlpm.piso,AF724,_xlpm.corte,AE724,_xlpm.prog,IF(_xlpm.corte&lt;=_xlpm.piso,0,MAX(0,MIN(1,(U724-_xlpm.piso)/(_xlpm.corte-_xlpm.piso)))),_xlpm.orden,{"DIAMANTE";"PLATINO";"ORO";"PLATA";"BRONCE";"CERRADO"},_xlpm.act,IFERROR(MATCH(V724,_xlpm.orden,0),6),_xlpm.ant,IFERROR(MATCH(W724,_xlpm.orden,0),6),_xlpm.ajmov,IF(_xlpm.act&lt;_xlpm.ant,0.08,IF(_xlpm.act&gt;_xlpm.ant,-0.08,0)),_xlpm.ajcli,IF(T724&lt;0.95,-0.06,0),_xlpm.prob,MAX(0,MIN(1,_xlpm.prog+_xlpm.ajmov+_xlpm.ajcli)),IF(OR(V724="DIAMANTE",V724="CERRADO"),0,ROUND(_xlpm.prob,2)))</f>
        <v>0.75</v>
      </c>
      <c r="AK724" t="str">
        <f t="shared" si="276"/>
        <v>Faltan 10,6 puntos base para subir a la siguiente categoría</v>
      </c>
      <c r="AL724" t="str">
        <f t="shared" si="277"/>
        <v>Margen de seguridad: 31,3 puntos</v>
      </c>
      <c r="AM724">
        <f t="shared" si="278"/>
        <v>0.7</v>
      </c>
      <c r="AN724" t="str">
        <f t="shared" si="279"/>
        <v>PRIORIDAD ALTA – requiere intervención inmediata</v>
      </c>
      <c r="AO724">
        <f t="shared" si="280"/>
        <v>7.0596968748776749</v>
      </c>
      <c r="AP724">
        <f t="shared" si="281"/>
        <v>0.96814010266858819</v>
      </c>
      <c r="AQ724">
        <f t="shared" si="282"/>
        <v>0</v>
      </c>
      <c r="AR724">
        <f t="shared" si="283"/>
        <v>6.089999999999999</v>
      </c>
      <c r="AS724">
        <f t="shared" si="284"/>
        <v>23.908269220783136</v>
      </c>
      <c r="AT724" t="str">
        <f t="shared" si="285"/>
        <v>CLIENTE</v>
      </c>
      <c r="AU724">
        <f t="shared" si="286"/>
        <v>23.908269220783136</v>
      </c>
      <c r="AV724" t="str">
        <f t="shared" si="287"/>
        <v>Mayor retorno probable: CLIENTE (+23,9 puntos finales potenciales).</v>
      </c>
    </row>
    <row r="725" spans="1:48" x14ac:dyDescent="0.3">
      <c r="A725" s="5">
        <v>51018044</v>
      </c>
      <c r="B725" s="5" t="str">
        <f>IFERROR(VLOOKUP(A725,VENTAS!$A$2:$B$1194,2,0),"")</f>
        <v>NELLI</v>
      </c>
      <c r="C725" s="5">
        <f>IFERROR(INDEX(VENTAS!$C$2:$E$1194,MATCH(A725,VENTAS!$A$2:$A$1194,0),MATCH(PARAMS_MODELO!$B$2,{"Q1","Q2","Q3"},0)),0)</f>
        <v>56917722.700000003</v>
      </c>
      <c r="D725" s="5">
        <f>IFERROR(INDEX(VENTAS!$F$2:$H$1194,MATCH(A725,VENTAS!$A$2:$A$1194,0),MATCH(PARAMS_MODELO!$B$2,{"Q1","Q2","Q3"},0)),0)</f>
        <v>55207695</v>
      </c>
      <c r="E725" s="8">
        <f t="shared" si="264"/>
        <v>-3.0043853107285412E-2</v>
      </c>
      <c r="F725" s="12">
        <f>IF(E725&lt;=PARAMS_MODELO!$B$15,0,IF(E725&gt;=PARAMS_MODELO!$B$17,100,100*MIN(1,(E725-PARAMS_MODELO!$B$15)/(PARAMS_MODELO!$B$16-PARAMS_MODELO!$B$15))))*PARAMS_MODELO!$B$7</f>
        <v>0</v>
      </c>
      <c r="G725" s="5">
        <f t="shared" si="265"/>
        <v>0</v>
      </c>
      <c r="H725" s="5">
        <f>(PARAMS_MODELO!$B$20*(MAX(0,MIN(3,E725))/3)+PARAMS_MODELO!$B$21*(IFERROR(LN(1+MAX(0,G725))/LN(1+MAX(0,MAX($G$2:$G$1194))),0)))*100*PARAMS_MODELO!$B$8</f>
        <v>0</v>
      </c>
      <c r="I725" s="8">
        <f>E725-PARAMS_MODELO!$B$5</f>
        <v>-0.20760668848281194</v>
      </c>
      <c r="J725" s="5">
        <f>IF(I725&lt;=PARAMS_MODELO!$B$18,0,IF(I725&gt;=PARAMS_MODELO!$B$19,100,100*(I725-PARAMS_MODELO!$B$18)/(PARAMS_MODELO!$B$19-PARAMS_MODELO!$B$18)))*PARAMS_MODELO!$B$9</f>
        <v>0</v>
      </c>
      <c r="K725" s="5">
        <f>IFERROR(CHOOSE(MATCH(PARAMS_MODELO!$B$2,{"Q1","Q2","Q3"},0),LOTO!$D725,LOTO!$F725,LOTO!$H725),0)</f>
        <v>2505000</v>
      </c>
      <c r="L725" s="8">
        <f t="shared" si="266"/>
        <v>4.5374109533100414E-2</v>
      </c>
      <c r="M725" s="5">
        <f>MIN(100,IF(PARAMS_MODELO!$B$23=0,0,100*L725/PARAMS_MODELO!$B$23))*PARAMS_MODELO!$B$10</f>
        <v>13.612232859930122</v>
      </c>
      <c r="N725" s="5">
        <f>IFERROR(VLOOKUP(A725,COMPLIANCE!$A$2:$F$1996,6,0),100)</f>
        <v>99.98</v>
      </c>
      <c r="O725" s="5">
        <f>N725*PARAMS_MODELO!$B$11</f>
        <v>9.9980000000000011</v>
      </c>
      <c r="P725" s="5">
        <f>IFERROR(VLOOKUP(A725,DIGITAL!$A$2:$J$2000,7,0),100)</f>
        <v>64</v>
      </c>
      <c r="Q725" s="5">
        <f>IFERROR(P725,0)*PARAMS_MODELO!$B$12</f>
        <v>6.4</v>
      </c>
      <c r="R725">
        <f t="shared" si="267"/>
        <v>30.01023285993012</v>
      </c>
      <c r="S725" s="5" t="str">
        <f>IFERROR(VLOOKUP(A725,CLIENTE!$A$2:$N$2000,13,0),1)</f>
        <v>Malo</v>
      </c>
      <c r="T725" s="5">
        <f>IFERROR(VLOOKUP(A725,CLIENTE!$A$2:$N$2000,14,0),1)</f>
        <v>0.7</v>
      </c>
      <c r="U725" s="5">
        <f t="shared" si="268"/>
        <v>21.007163001951081</v>
      </c>
      <c r="V725" s="5" t="str">
        <f>IF(U725&gt;=MAX(_xlfn.PERCENTILE.INC($U$2:$U$1194,PARAMS_MODELO!$B$50),PARAMS_MODELO!$B$45),"DIAMANTE",IF(U725&gt;=MAX(_xlfn.PERCENTILE.INC($U$2:$U$1194,PARAMS_MODELO!$B$51),PARAMS_MODELO!$B$46),"PLATINO",IF(U725&gt;=MAX(_xlfn.PERCENTILE.INC($U$2:$U$1194,PARAMS_MODELO!$B$52),PARAMS_MODELO!$B$47),"ORO",IF(U725&gt;=MAX(_xlfn.PERCENTILE.INC($U$2:$U$1194,PARAMS_MODELO!$B$53),PARAMS_MODELO!$B$48),"PLATA",IF(U725&gt;=1,"BRONCE","CERRADO")))))</f>
        <v>BRONCE</v>
      </c>
      <c r="W725" s="5" t="str" cm="1">
        <f t="array" ref="W725">_xlfn.XLOOKUP(1, (HIST_SCORE!$B:$B=PARAMS_MODELO!$B$4) * (HIST_SCORE!$C:$C=A725), HIST_SCORE!$E:$E, "No encontrado")</f>
        <v>BRONCE</v>
      </c>
      <c r="X725" s="5" t="str">
        <f>_xlfn.LET(_xlpm.act,MATCH(V725,{"DIAMANTE";"PLATINO";"ORO";"PLATA";"BRONCE";"CERRADO"},0),_xlpm.ant,MATCH(W725,{"DIAMANTE";"PLATINO";"ORO";"PLATA";"BRONCE";"CERRADO"},0),IF(_xlpm.act&lt;_xlpm.ant,"Mejora ↑",IF(_xlpm.act&gt;_xlpm.ant,"Baja ↓","Estable →")))</f>
        <v>Estable →</v>
      </c>
      <c r="Y725" s="5">
        <f>IFERROR(U725-SUMIFS(HIST_SCORE!$D:$D,HIST_SCORE!$B:$B,PARAMS_MODELO!$B$4,HIST_SCORE!$C:$C,$A725),"")</f>
        <v>-0.97143699804891881</v>
      </c>
      <c r="Z725" s="5" t="str">
        <f t="shared" si="269"/>
        <v>→ Estable</v>
      </c>
      <c r="AA725" s="5">
        <f t="shared" si="270"/>
        <v>962</v>
      </c>
      <c r="AB725" s="5">
        <f>IFERROR(SUMIFS(HIST_SCORE!$F:$F,HIST_SCORE!$B:$B,PARAMS_MODELO!$B$4,HIST_SCORE!$C:$C,$A725),"")</f>
        <v>967</v>
      </c>
      <c r="AC725" s="5">
        <f t="shared" si="271"/>
        <v>5</v>
      </c>
      <c r="AD725" t="str">
        <f t="shared" si="273"/>
        <v>Plan de recuperación: foco crecimiento + mix</v>
      </c>
      <c r="AE7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725="CERRADO",1,IF(V725="BRONCE",_xlpm.cPl,IF(V725="PLATA",_xlpm.cO,IF(V725="ORO",_xlpm.cP,IF(V725="PLATINO",_xlpm.cD,999))))))</f>
        <v>24.506573482968111</v>
      </c>
      <c r="AF7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725="CERRADO",0,IF(V725="BRONCE",1,IF(V725="PLATA",_xlpm.cPl,IF(V725="ORO",_xlpm.cO,IF(V725="PLATINO",_xlpm.cP,_xlpm.cD))))))</f>
        <v>1</v>
      </c>
      <c r="AG725">
        <f t="shared" si="274"/>
        <v>4.9991578300243233</v>
      </c>
      <c r="AH725" t="str">
        <f t="shared" si="275"/>
        <v>CLIENTE</v>
      </c>
      <c r="AI725" t="str">
        <f t="shared" si="272"/>
        <v>🎯 Para subir de categoría, la eje con mayor impacto probable es CLIENTE (coef T). Acción: reducir quejas, mejorar incógnito y empujar reseñas. ΔR aprox: 5,0</v>
      </c>
      <c r="AJ725" s="26">
        <f>_xlfn.LET(_xlpm.piso,AF725,_xlpm.corte,AE725,_xlpm.prog,IF(_xlpm.corte&lt;=_xlpm.piso,0,MAX(0,MIN(1,(U725-_xlpm.piso)/(_xlpm.corte-_xlpm.piso)))),_xlpm.orden,{"DIAMANTE";"PLATINO";"ORO";"PLATA";"BRONCE";"CERRADO"},_xlpm.act,IFERROR(MATCH(V725,_xlpm.orden,0),6),_xlpm.ant,IFERROR(MATCH(W725,_xlpm.orden,0),6),_xlpm.ajmov,IF(_xlpm.act&lt;_xlpm.ant,0.08,IF(_xlpm.act&gt;_xlpm.ant,-0.08,0)),_xlpm.ajcli,IF(T725&lt;0.95,-0.06,0),_xlpm.prob,MAX(0,MIN(1,_xlpm.prog+_xlpm.ajmov+_xlpm.ajcli)),IF(OR(V725="DIAMANTE",V725="CERRADO"),0,ROUND(_xlpm.prob,2)))</f>
        <v>0.79</v>
      </c>
      <c r="AK725" t="str">
        <f t="shared" si="276"/>
        <v>Faltan 5,0 puntos base para subir a la siguiente categoría</v>
      </c>
      <c r="AL725" t="str">
        <f t="shared" si="277"/>
        <v>No aplica</v>
      </c>
      <c r="AM725">
        <f t="shared" si="278"/>
        <v>0.48</v>
      </c>
      <c r="AN725" t="str">
        <f t="shared" si="279"/>
        <v>PRIORIDAD MEDIA – seguimiento del asesor</v>
      </c>
      <c r="AO725">
        <f t="shared" si="280"/>
        <v>45.403798492706905</v>
      </c>
      <c r="AP725">
        <f t="shared" si="281"/>
        <v>0.97143699804891426</v>
      </c>
      <c r="AQ725">
        <f t="shared" si="282"/>
        <v>1.3999999999992239E-3</v>
      </c>
      <c r="AR725">
        <f t="shared" si="283"/>
        <v>2.5199999999999996</v>
      </c>
      <c r="AS725">
        <f t="shared" si="284"/>
        <v>9.0030698579790371</v>
      </c>
      <c r="AT725" t="str">
        <f t="shared" si="285"/>
        <v>VENTAS</v>
      </c>
      <c r="AU725">
        <f t="shared" si="286"/>
        <v>45.403798492706905</v>
      </c>
      <c r="AV725" t="str">
        <f t="shared" si="287"/>
        <v>Mayor retorno probable: VENTAS (+45,4 puntos finales potenciales).</v>
      </c>
    </row>
    <row r="726" spans="1:48" x14ac:dyDescent="0.3">
      <c r="A726" s="5">
        <v>51031318</v>
      </c>
      <c r="B726" s="5" t="str">
        <f>IFERROR(VLOOKUP(A726,VENTAS!$A$2:$B$1194,2,0),"")</f>
        <v>PUGH</v>
      </c>
      <c r="C726" s="5">
        <f>IFERROR(INDEX(VENTAS!$C$2:$E$1194,MATCH(A726,VENTAS!$A$2:$A$1194,0),MATCH(PARAMS_MODELO!$B$2,{"Q1","Q2","Q3"},0)),0)</f>
        <v>52781853.880000003</v>
      </c>
      <c r="D726" s="5">
        <f>IFERROR(INDEX(VENTAS!$F$2:$H$1194,MATCH(A726,VENTAS!$A$2:$A$1194,0),MATCH(PARAMS_MODELO!$B$2,{"Q1","Q2","Q3"},0)),0)</f>
        <v>55167082</v>
      </c>
      <c r="E726" s="8">
        <f t="shared" si="264"/>
        <v>4.5190305846831924E-2</v>
      </c>
      <c r="F726" s="12">
        <f>IF(E726&lt;=PARAMS_MODELO!$B$15,0,IF(E726&gt;=PARAMS_MODELO!$B$17,100,100*MIN(1,(E726-PARAMS_MODELO!$B$15)/(PARAMS_MODELO!$B$16-PARAMS_MODELO!$B$15))))*PARAMS_MODELO!$B$7</f>
        <v>15.816607046391173</v>
      </c>
      <c r="G726" s="5">
        <f t="shared" si="265"/>
        <v>2385228.1199999973</v>
      </c>
      <c r="H726" s="5">
        <f>(PARAMS_MODELO!$B$20*(MAX(0,MIN(3,E726))/3)+PARAMS_MODELO!$B$21*(IFERROR(LN(1+MAX(0,G726))/LN(1+MAX(0,MAX($G$2:$G$1194))),0)))*100*PARAMS_MODELO!$B$8</f>
        <v>3.6004895471145826</v>
      </c>
      <c r="I726" s="8">
        <f>E726-PARAMS_MODELO!$B$5</f>
        <v>-0.1323725295286946</v>
      </c>
      <c r="J726" s="5">
        <f>IF(I726&lt;=PARAMS_MODELO!$B$18,0,IF(I726&gt;=PARAMS_MODELO!$B$19,100,100*(I726-PARAMS_MODELO!$B$18)/(PARAMS_MODELO!$B$19-PARAMS_MODELO!$B$18)))*PARAMS_MODELO!$B$9</f>
        <v>0</v>
      </c>
      <c r="K726" s="5">
        <f>IFERROR(CHOOSE(MATCH(PARAMS_MODELO!$B$2,{"Q1","Q2","Q3"},0),LOTO!$D726,LOTO!$F726,LOTO!$H726),0)</f>
        <v>2497500</v>
      </c>
      <c r="L726" s="8">
        <f t="shared" si="266"/>
        <v>4.5271562487209309E-2</v>
      </c>
      <c r="M726" s="5">
        <f>MIN(100,IF(PARAMS_MODELO!$B$23=0,0,100*L726/PARAMS_MODELO!$B$23))*PARAMS_MODELO!$B$10</f>
        <v>13.581468746162789</v>
      </c>
      <c r="N726" s="5">
        <f>IFERROR(VLOOKUP(A726,COMPLIANCE!$A$2:$F$1996,6,0),100)</f>
        <v>100</v>
      </c>
      <c r="O726" s="5">
        <f>N726*PARAMS_MODELO!$B$11</f>
        <v>10</v>
      </c>
      <c r="P726" s="5">
        <f>IFERROR(VLOOKUP(A726,DIGITAL!$A$2:$J$2000,7,0),100)</f>
        <v>39</v>
      </c>
      <c r="Q726" s="5">
        <f>IFERROR(P726,0)*PARAMS_MODELO!$B$12</f>
        <v>3.9000000000000004</v>
      </c>
      <c r="R726">
        <f t="shared" si="267"/>
        <v>46.898565339668544</v>
      </c>
      <c r="S726" s="5" t="str">
        <f>IFERROR(VLOOKUP(A726,CLIENTE!$A$2:$N$2000,13,0),1)</f>
        <v>Bueno</v>
      </c>
      <c r="T726" s="5">
        <f>IFERROR(VLOOKUP(A726,CLIENTE!$A$2:$N$2000,14,0),1)</f>
        <v>1.1000000000000001</v>
      </c>
      <c r="U726" s="5">
        <f t="shared" si="268"/>
        <v>51.588421873635404</v>
      </c>
      <c r="V726" s="5" t="str">
        <f>IF(U726&gt;=MAX(_xlfn.PERCENTILE.INC($U$2:$U$1194,PARAMS_MODELO!$B$50),PARAMS_MODELO!$B$45),"DIAMANTE",IF(U726&gt;=MAX(_xlfn.PERCENTILE.INC($U$2:$U$1194,PARAMS_MODELO!$B$51),PARAMS_MODELO!$B$46),"PLATINO",IF(U726&gt;=MAX(_xlfn.PERCENTILE.INC($U$2:$U$1194,PARAMS_MODELO!$B$52),PARAMS_MODELO!$B$47),"ORO",IF(U726&gt;=MAX(_xlfn.PERCENTILE.INC($U$2:$U$1194,PARAMS_MODELO!$B$53),PARAMS_MODELO!$B$48),"PLATA",IF(U726&gt;=1,"BRONCE","CERRADO")))))</f>
        <v>PLATA</v>
      </c>
      <c r="W726" s="5" t="str" cm="1">
        <f t="array" ref="W726">_xlfn.XLOOKUP(1, (HIST_SCORE!$B:$B=PARAMS_MODELO!$B$4) * (HIST_SCORE!$C:$C=A726), HIST_SCORE!$E:$E, "No encontrado")</f>
        <v>ORO</v>
      </c>
      <c r="X726" s="5" t="str">
        <f>_xlfn.LET(_xlpm.act,MATCH(V726,{"DIAMANTE";"PLATINO";"ORO";"PLATA";"BRONCE";"CERRADO"},0),_xlpm.ant,MATCH(W726,{"DIAMANTE";"PLATINO";"ORO";"PLATA";"BRONCE";"CERRADO"},0),IF(_xlpm.act&lt;_xlpm.ant,"Mejora ↑",IF(_xlpm.act&gt;_xlpm.ant,"Baja ↓","Estable →")))</f>
        <v>Baja ↓</v>
      </c>
      <c r="Y726" s="5">
        <f>IFERROR(U726-SUMIFS(HIST_SCORE!$D:$D,HIST_SCORE!$B:$B,PARAMS_MODELO!$B$4,HIST_SCORE!$C:$C,$A726),"")</f>
        <v>-19.750603580347551</v>
      </c>
      <c r="Z726" s="5" t="str">
        <f t="shared" si="269"/>
        <v>↓ Baja</v>
      </c>
      <c r="AA726" s="5">
        <f t="shared" si="270"/>
        <v>731</v>
      </c>
      <c r="AB726" s="5">
        <f>IFERROR(SUMIFS(HIST_SCORE!$F:$F,HIST_SCORE!$B:$B,PARAMS_MODELO!$B$4,HIST_SCORE!$C:$C,$A726),"")</f>
        <v>528</v>
      </c>
      <c r="AC726" s="5">
        <f t="shared" si="271"/>
        <v>-203</v>
      </c>
      <c r="AD726" t="str">
        <f t="shared" si="273"/>
        <v/>
      </c>
      <c r="AE7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726="CERRADO",1,IF(V726="BRONCE",_xlpm.cPl,IF(V726="PLATA",_xlpm.cO,IF(V726="ORO",_xlpm.cP,IF(V726="PLATINO",_xlpm.cD,999))))))</f>
        <v>63.199193273331495</v>
      </c>
      <c r="AF7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726="CERRADO",0,IF(V726="BRONCE",1,IF(V726="PLATA",_xlpm.cPl,IF(V726="ORO",_xlpm.cO,IF(V726="PLATINO",_xlpm.cP,_xlpm.cD))))))</f>
        <v>24.506573482968111</v>
      </c>
      <c r="AG726">
        <f t="shared" si="274"/>
        <v>10.555246726996451</v>
      </c>
      <c r="AH726" t="str">
        <f t="shared" si="275"/>
        <v>VENTAS</v>
      </c>
      <c r="AI726" t="str">
        <f t="shared" si="272"/>
        <v>🎯 Para subir de categoría, eje VENTAS / DIFERENCIAL vs LOTBA (J). Acción: metas semanales + activación comercial + seguimiento del asesor. ΔR aprox: 10,6</v>
      </c>
      <c r="AJ726" s="26">
        <f>_xlfn.LET(_xlpm.piso,AF726,_xlpm.corte,AE726,_xlpm.prog,IF(_xlpm.corte&lt;=_xlpm.piso,0,MAX(0,MIN(1,(U726-_xlpm.piso)/(_xlpm.corte-_xlpm.piso)))),_xlpm.orden,{"DIAMANTE";"PLATINO";"ORO";"PLATA";"BRONCE";"CERRADO"},_xlpm.act,IFERROR(MATCH(V726,_xlpm.orden,0),6),_xlpm.ant,IFERROR(MATCH(W726,_xlpm.orden,0),6),_xlpm.ajmov,IF(_xlpm.act&lt;_xlpm.ant,0.08,IF(_xlpm.act&gt;_xlpm.ant,-0.08,0)),_xlpm.ajcli,IF(T726&lt;0.95,-0.06,0),_xlpm.prob,MAX(0,MIN(1,_xlpm.prog+_xlpm.ajmov+_xlpm.ajcli)),IF(OR(V726="DIAMANTE",V726="CERRADO"),0,ROUND(_xlpm.prob,2)))</f>
        <v>0.62</v>
      </c>
      <c r="AK726" t="str">
        <f t="shared" si="276"/>
        <v>Faltan 10,6 puntos base para subir a la siguiente categoría</v>
      </c>
      <c r="AL726" t="str">
        <f t="shared" si="277"/>
        <v>Margen de seguridad: 27,1 puntos</v>
      </c>
      <c r="AM726">
        <f t="shared" si="278"/>
        <v>0.55000000000000004</v>
      </c>
      <c r="AN726" t="str">
        <f t="shared" si="279"/>
        <v>PRIORIDAD MEDIA – seguimiento del asesor</v>
      </c>
      <c r="AO726">
        <f t="shared" si="280"/>
        <v>49.990019949968818</v>
      </c>
      <c r="AP726">
        <f t="shared" si="281"/>
        <v>1.5603843792209318</v>
      </c>
      <c r="AQ726">
        <f t="shared" si="282"/>
        <v>0</v>
      </c>
      <c r="AR726">
        <f t="shared" si="283"/>
        <v>6.71</v>
      </c>
      <c r="AS726">
        <f t="shared" si="284"/>
        <v>0</v>
      </c>
      <c r="AT726" t="str">
        <f t="shared" si="285"/>
        <v>VENTAS</v>
      </c>
      <c r="AU726">
        <f t="shared" si="286"/>
        <v>49.990019949968818</v>
      </c>
      <c r="AV726" t="str">
        <f t="shared" si="287"/>
        <v>Mayor retorno probable: VENTAS (+50,0 puntos finales potenciales).</v>
      </c>
    </row>
    <row r="727" spans="1:48" x14ac:dyDescent="0.3">
      <c r="A727" s="5">
        <v>51031750</v>
      </c>
      <c r="B727" s="5" t="str">
        <f>IFERROR(VLOOKUP(A727,VENTAS!$A$2:$B$1194,2,0),"")</f>
        <v>ROBERTS</v>
      </c>
      <c r="C727" s="5">
        <f>IFERROR(INDEX(VENTAS!$C$2:$E$1194,MATCH(A727,VENTAS!$A$2:$A$1194,0),MATCH(PARAMS_MODELO!$B$2,{"Q1","Q2","Q3"},0)),0)</f>
        <v>33107354.920000002</v>
      </c>
      <c r="D727" s="5">
        <f>IFERROR(INDEX(VENTAS!$F$2:$H$1194,MATCH(A727,VENTAS!$A$2:$A$1194,0),MATCH(PARAMS_MODELO!$B$2,{"Q1","Q2","Q3"},0)),0)</f>
        <v>55034746</v>
      </c>
      <c r="E727" s="8">
        <f t="shared" si="264"/>
        <v>0.66231177733723934</v>
      </c>
      <c r="F727" s="12">
        <f>IF(E727&lt;=PARAMS_MODELO!$B$15,0,IF(E727&gt;=PARAMS_MODELO!$B$17,100,100*MIN(1,(E727-PARAMS_MODELO!$B$15)/(PARAMS_MODELO!$B$16-PARAMS_MODELO!$B$15))))*PARAMS_MODELO!$B$7</f>
        <v>35</v>
      </c>
      <c r="G727" s="5">
        <f t="shared" si="265"/>
        <v>21927391.079999998</v>
      </c>
      <c r="H727" s="5">
        <f>(PARAMS_MODELO!$B$20*(MAX(0,MIN(3,E727))/3)+PARAMS_MODELO!$B$21*(IFERROR(LN(1+MAX(0,G727))/LN(1+MAX(0,MAX($G$2:$G$1194))),0)))*100*PARAMS_MODELO!$B$8</f>
        <v>6.2804483438047463</v>
      </c>
      <c r="I727" s="8">
        <f>E727-PARAMS_MODELO!$B$5</f>
        <v>0.48474894196171281</v>
      </c>
      <c r="J727" s="5">
        <f>IF(I727&lt;=PARAMS_MODELO!$B$18,0,IF(I727&gt;=PARAMS_MODELO!$B$19,100,100*(I727-PARAMS_MODELO!$B$18)/(PARAMS_MODELO!$B$19-PARAMS_MODELO!$B$18)))*PARAMS_MODELO!$B$9</f>
        <v>15</v>
      </c>
      <c r="K727" s="5">
        <f>IFERROR(CHOOSE(MATCH(PARAMS_MODELO!$B$2,{"Q1","Q2","Q3"},0),LOTO!$D727,LOTO!$F727,LOTO!$H727),0)</f>
        <v>2482500</v>
      </c>
      <c r="L727" s="8">
        <f t="shared" si="266"/>
        <v>4.5107866946455973E-2</v>
      </c>
      <c r="M727" s="5">
        <f>MIN(100,IF(PARAMS_MODELO!$B$23=0,0,100*L727/PARAMS_MODELO!$B$23))*PARAMS_MODELO!$B$10</f>
        <v>13.532360083936791</v>
      </c>
      <c r="N727" s="5">
        <f>IFERROR(VLOOKUP(A727,COMPLIANCE!$A$2:$F$1996,6,0),100)</f>
        <v>100</v>
      </c>
      <c r="O727" s="5">
        <f>N727*PARAMS_MODELO!$B$11</f>
        <v>10</v>
      </c>
      <c r="P727" s="5">
        <f>IFERROR(VLOOKUP(A727,DIGITAL!$A$2:$J$2000,7,0),100)</f>
        <v>33</v>
      </c>
      <c r="Q727" s="5">
        <f>IFERROR(P727,0)*PARAMS_MODELO!$B$12</f>
        <v>3.3000000000000003</v>
      </c>
      <c r="R727">
        <f t="shared" si="267"/>
        <v>83.112808427741541</v>
      </c>
      <c r="S727" s="5" t="str">
        <f>IFERROR(VLOOKUP(A727,CLIENTE!$A$2:$N$2000,13,0),1)</f>
        <v>Bueno</v>
      </c>
      <c r="T727" s="5">
        <f>IFERROR(VLOOKUP(A727,CLIENTE!$A$2:$N$2000,14,0),1)</f>
        <v>1.1000000000000001</v>
      </c>
      <c r="U727" s="5">
        <f t="shared" si="268"/>
        <v>91.424089270515708</v>
      </c>
      <c r="V727" s="5" t="str">
        <f>IF(U727&gt;=MAX(_xlfn.PERCENTILE.INC($U$2:$U$1194,PARAMS_MODELO!$B$50),PARAMS_MODELO!$B$45),"DIAMANTE",IF(U727&gt;=MAX(_xlfn.PERCENTILE.INC($U$2:$U$1194,PARAMS_MODELO!$B$51),PARAMS_MODELO!$B$46),"PLATINO",IF(U727&gt;=MAX(_xlfn.PERCENTILE.INC($U$2:$U$1194,PARAMS_MODELO!$B$52),PARAMS_MODELO!$B$47),"ORO",IF(U727&gt;=MAX(_xlfn.PERCENTILE.INC($U$2:$U$1194,PARAMS_MODELO!$B$53),PARAMS_MODELO!$B$48),"PLATA",IF(U727&gt;=1,"BRONCE","CERRADO")))))</f>
        <v>PLATINO</v>
      </c>
      <c r="W727" s="5" t="str" cm="1">
        <f t="array" ref="W727">_xlfn.XLOOKUP(1, (HIST_SCORE!$B:$B=PARAMS_MODELO!$B$4) * (HIST_SCORE!$C:$C=A727), HIST_SCORE!$E:$E, "No encontrado")</f>
        <v>PLATINO</v>
      </c>
      <c r="X727" s="5" t="str">
        <f>_xlfn.LET(_xlpm.act,MATCH(V727,{"DIAMANTE";"PLATINO";"ORO";"PLATA";"BRONCE";"CERRADO"},0),_xlpm.ant,MATCH(W727,{"DIAMANTE";"PLATINO";"ORO";"PLATA";"BRONCE";"CERRADO"},0),IF(_xlpm.act&lt;_xlpm.ant,"Mejora ↑",IF(_xlpm.act&gt;_xlpm.ant,"Baja ↓","Estable →")))</f>
        <v>Estable →</v>
      </c>
      <c r="Y727" s="5">
        <f>IFERROR(U727-SUMIFS(HIST_SCORE!$D:$D,HIST_SCORE!$B:$B,PARAMS_MODELO!$B$4,HIST_SCORE!$C:$C,$A727),"")</f>
        <v>1.0236369668279934</v>
      </c>
      <c r="Z727" s="5" t="str">
        <f t="shared" si="269"/>
        <v>→ Estable</v>
      </c>
      <c r="AA727" s="5">
        <f t="shared" si="270"/>
        <v>111</v>
      </c>
      <c r="AB727" s="5">
        <f>IFERROR(SUMIFS(HIST_SCORE!$F:$F,HIST_SCORE!$B:$B,PARAMS_MODELO!$B$4,HIST_SCORE!$C:$C,$A727),"")</f>
        <v>124</v>
      </c>
      <c r="AC727" s="5">
        <f t="shared" si="271"/>
        <v>13</v>
      </c>
      <c r="AD727" t="str">
        <f t="shared" si="273"/>
        <v/>
      </c>
      <c r="AE7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727="CERRADO",1,IF(V727="BRONCE",_xlpm.cPl,IF(V727="PLATA",_xlpm.cO,IF(V727="ORO",_xlpm.cP,IF(V727="PLATINO",_xlpm.cD,999))))))</f>
        <v>96.054919694466676</v>
      </c>
      <c r="AF7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727="CERRADO",0,IF(V727="BRONCE",1,IF(V727="PLATA",_xlpm.cPl,IF(V727="ORO",_xlpm.cO,IF(V727="PLATINO",_xlpm.cP,_xlpm.cD))))))</f>
        <v>86.439123873763251</v>
      </c>
      <c r="AG727">
        <f t="shared" si="274"/>
        <v>4.2098458399554346</v>
      </c>
      <c r="AH727" t="str">
        <f t="shared" si="275"/>
        <v>VENTAS</v>
      </c>
      <c r="AI727" t="str">
        <f t="shared" si="272"/>
        <v>🎯 Para subir de categoría, eje VENTAS / IMPACTO ABSOLUTO (H). Acción: metas semanales + activación comercial + seguimiento del asesor. ΔR aprox: 4,2</v>
      </c>
      <c r="AJ727" s="26">
        <f>_xlfn.LET(_xlpm.piso,AF727,_xlpm.corte,AE727,_xlpm.prog,IF(_xlpm.corte&lt;=_xlpm.piso,0,MAX(0,MIN(1,(U727-_xlpm.piso)/(_xlpm.corte-_xlpm.piso)))),_xlpm.orden,{"DIAMANTE";"PLATINO";"ORO";"PLATA";"BRONCE";"CERRADO"},_xlpm.act,IFERROR(MATCH(V727,_xlpm.orden,0),6),_xlpm.ant,IFERROR(MATCH(W727,_xlpm.orden,0),6),_xlpm.ajmov,IF(_xlpm.act&lt;_xlpm.ant,0.08,IF(_xlpm.act&gt;_xlpm.ant,-0.08,0)),_xlpm.ajcli,IF(T727&lt;0.95,-0.06,0),_xlpm.prob,MAX(0,MIN(1,_xlpm.prog+_xlpm.ajmov+_xlpm.ajcli)),IF(OR(V727="DIAMANTE",V727="CERRADO"),0,ROUND(_xlpm.prob,2)))</f>
        <v>0.52</v>
      </c>
      <c r="AK727" t="str">
        <f t="shared" si="276"/>
        <v>Faltan 4,2 puntos base para subir a la siguiente categoría</v>
      </c>
      <c r="AL727" t="str">
        <f t="shared" si="277"/>
        <v>Margen de seguridad: 5,0 puntos</v>
      </c>
      <c r="AM727">
        <f t="shared" si="278"/>
        <v>0.36</v>
      </c>
      <c r="AN727" t="str">
        <f t="shared" si="279"/>
        <v>PRIORIDAD BAJA – control normal</v>
      </c>
      <c r="AO727">
        <f t="shared" si="280"/>
        <v>9.4403330246399193</v>
      </c>
      <c r="AP727">
        <f t="shared" si="281"/>
        <v>1.6144039076695305</v>
      </c>
      <c r="AQ727">
        <f t="shared" si="282"/>
        <v>0</v>
      </c>
      <c r="AR727">
        <f t="shared" si="283"/>
        <v>7.37</v>
      </c>
      <c r="AS727">
        <f t="shared" si="284"/>
        <v>0</v>
      </c>
      <c r="AT727" t="str">
        <f t="shared" si="285"/>
        <v>VENTAS</v>
      </c>
      <c r="AU727">
        <f t="shared" si="286"/>
        <v>9.4403330246399193</v>
      </c>
      <c r="AV727" t="str">
        <f t="shared" si="287"/>
        <v>Mayor retorno probable: VENTAS (+9,4 puntos finales potenciales).</v>
      </c>
    </row>
    <row r="728" spans="1:48" x14ac:dyDescent="0.3">
      <c r="A728" s="5">
        <v>51032063</v>
      </c>
      <c r="B728" s="5" t="str">
        <f>IFERROR(VLOOKUP(A728,VENTAS!$A$2:$B$1194,2,0),"")</f>
        <v>BELUZZO</v>
      </c>
      <c r="C728" s="5">
        <f>IFERROR(INDEX(VENTAS!$C$2:$E$1194,MATCH(A728,VENTAS!$A$2:$A$1194,0),MATCH(PARAMS_MODELO!$B$2,{"Q1","Q2","Q3"},0)),0)</f>
        <v>37086820.069999993</v>
      </c>
      <c r="D728" s="5">
        <f>IFERROR(INDEX(VENTAS!$F$2:$H$1194,MATCH(A728,VENTAS!$A$2:$A$1194,0),MATCH(PARAMS_MODELO!$B$2,{"Q1","Q2","Q3"},0)),0)</f>
        <v>54999842</v>
      </c>
      <c r="E728" s="8">
        <f t="shared" si="264"/>
        <v>0.48300236839367305</v>
      </c>
      <c r="F728" s="12">
        <f>IF(E728&lt;=PARAMS_MODELO!$B$15,0,IF(E728&gt;=PARAMS_MODELO!$B$17,100,100*MIN(1,(E728-PARAMS_MODELO!$B$15)/(PARAMS_MODELO!$B$16-PARAMS_MODELO!$B$15))))*PARAMS_MODELO!$B$7</f>
        <v>35</v>
      </c>
      <c r="G728" s="5">
        <f t="shared" si="265"/>
        <v>17913021.930000007</v>
      </c>
      <c r="H728" s="5">
        <f>(PARAMS_MODELO!$B$20*(MAX(0,MIN(3,E728))/3)+PARAMS_MODELO!$B$21*(IFERROR(LN(1+MAX(0,G728))/LN(1+MAX(0,MAX($G$2:$G$1194))),0)))*100*PARAMS_MODELO!$B$8</f>
        <v>5.6054648822389268</v>
      </c>
      <c r="I728" s="8">
        <f>E728-PARAMS_MODELO!$B$5</f>
        <v>0.30543953301814653</v>
      </c>
      <c r="J728" s="5">
        <f>IF(I728&lt;=PARAMS_MODELO!$B$18,0,IF(I728&gt;=PARAMS_MODELO!$B$19,100,100*(I728-PARAMS_MODELO!$B$18)/(PARAMS_MODELO!$B$19-PARAMS_MODELO!$B$18)))*PARAMS_MODELO!$B$9</f>
        <v>15</v>
      </c>
      <c r="K728" s="5">
        <f>IFERROR(CHOOSE(MATCH(PARAMS_MODELO!$B$2,{"Q1","Q2","Q3"},0),LOTO!$D728,LOTO!$F728,LOTO!$H728),0)</f>
        <v>2477500</v>
      </c>
      <c r="L728" s="8">
        <f t="shared" si="266"/>
        <v>4.5045583949132072E-2</v>
      </c>
      <c r="M728" s="5">
        <f>MIN(100,IF(PARAMS_MODELO!$B$23=0,0,100*L728/PARAMS_MODELO!$B$23))*PARAMS_MODELO!$B$10</f>
        <v>13.513675184739622</v>
      </c>
      <c r="N728" s="5">
        <f>IFERROR(VLOOKUP(A728,COMPLIANCE!$A$2:$F$1996,6,0),100)</f>
        <v>100</v>
      </c>
      <c r="O728" s="5">
        <f>N728*PARAMS_MODELO!$B$11</f>
        <v>10</v>
      </c>
      <c r="P728" s="5">
        <f>IFERROR(VLOOKUP(A728,DIGITAL!$A$2:$J$2000,7,0),100)</f>
        <v>25</v>
      </c>
      <c r="Q728" s="5">
        <f>IFERROR(P728,0)*PARAMS_MODELO!$B$12</f>
        <v>2.5</v>
      </c>
      <c r="R728">
        <f t="shared" si="267"/>
        <v>81.619140066978545</v>
      </c>
      <c r="S728" s="5" t="str">
        <f>IFERROR(VLOOKUP(A728,CLIENTE!$A$2:$N$2000,13,0),1)</f>
        <v>Regular</v>
      </c>
      <c r="T728" s="5">
        <f>IFERROR(VLOOKUP(A728,CLIENTE!$A$2:$N$2000,14,0),1)</f>
        <v>1</v>
      </c>
      <c r="U728" s="5">
        <f t="shared" si="268"/>
        <v>81.619140066978545</v>
      </c>
      <c r="V728" s="5" t="str">
        <f>IF(U728&gt;=MAX(_xlfn.PERCENTILE.INC($U$2:$U$1194,PARAMS_MODELO!$B$50),PARAMS_MODELO!$B$45),"DIAMANTE",IF(U728&gt;=MAX(_xlfn.PERCENTILE.INC($U$2:$U$1194,PARAMS_MODELO!$B$51),PARAMS_MODELO!$B$46),"PLATINO",IF(U728&gt;=MAX(_xlfn.PERCENTILE.INC($U$2:$U$1194,PARAMS_MODELO!$B$52),PARAMS_MODELO!$B$47),"ORO",IF(U728&gt;=MAX(_xlfn.PERCENTILE.INC($U$2:$U$1194,PARAMS_MODELO!$B$53),PARAMS_MODELO!$B$48),"PLATA",IF(U728&gt;=1,"BRONCE","CERRADO")))))</f>
        <v>ORO</v>
      </c>
      <c r="W728" s="5" t="str" cm="1">
        <f t="array" ref="W728">_xlfn.XLOOKUP(1, (HIST_SCORE!$B:$B=PARAMS_MODELO!$B$4) * (HIST_SCORE!$C:$C=A728), HIST_SCORE!$E:$E, "No encontrado")</f>
        <v>ORO</v>
      </c>
      <c r="X728" s="5" t="str">
        <f>_xlfn.LET(_xlpm.act,MATCH(V728,{"DIAMANTE";"PLATINO";"ORO";"PLATA";"BRONCE";"CERRADO"},0),_xlpm.ant,MATCH(W728,{"DIAMANTE";"PLATINO";"ORO";"PLATA";"BRONCE";"CERRADO"},0),IF(_xlpm.act&lt;_xlpm.ant,"Mejora ↑",IF(_xlpm.act&gt;_xlpm.ant,"Baja ↓","Estable →")))</f>
        <v>Estable →</v>
      </c>
      <c r="Y728" s="5">
        <f>IFERROR(U728-SUMIFS(HIST_SCORE!$D:$D,HIST_SCORE!$B:$B,PARAMS_MODELO!$B$4,HIST_SCORE!$C:$C,$A728),"")</f>
        <v>-0.39305820733967778</v>
      </c>
      <c r="Z728" s="5" t="str">
        <f t="shared" si="269"/>
        <v>→ Estable</v>
      </c>
      <c r="AA728" s="5">
        <f t="shared" si="270"/>
        <v>396</v>
      </c>
      <c r="AB728" s="5">
        <f>IFERROR(SUMIFS(HIST_SCORE!$F:$F,HIST_SCORE!$B:$B,PARAMS_MODELO!$B$4,HIST_SCORE!$C:$C,$A728),"")</f>
        <v>368</v>
      </c>
      <c r="AC728" s="5">
        <f t="shared" si="271"/>
        <v>-28</v>
      </c>
      <c r="AD728" t="str">
        <f t="shared" si="273"/>
        <v>Sostener base y reforzar mix</v>
      </c>
      <c r="AE7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728="CERRADO",1,IF(V728="BRONCE",_xlpm.cPl,IF(V728="PLATA",_xlpm.cO,IF(V728="ORO",_xlpm.cP,IF(V728="PLATINO",_xlpm.cD,999))))))</f>
        <v>86.439123873763251</v>
      </c>
      <c r="AF7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728="CERRADO",0,IF(V728="BRONCE",1,IF(V728="PLATA",_xlpm.cPl,IF(V728="ORO",_xlpm.cO,IF(V728="PLATINO",_xlpm.cP,_xlpm.cD))))))</f>
        <v>63.199193273331495</v>
      </c>
      <c r="AG728">
        <f t="shared" si="274"/>
        <v>4.8199838067847054</v>
      </c>
      <c r="AH728" t="str">
        <f t="shared" si="275"/>
        <v>VENTAS</v>
      </c>
      <c r="AI728" t="str">
        <f t="shared" si="272"/>
        <v>🎯 Para subir de categoría, eje VENTAS / IMPACTO ABSOLUTO (H). Acción: metas semanales + activación comercial + seguimiento del asesor. ΔR aprox: 4,8</v>
      </c>
      <c r="AJ728" s="26">
        <f>_xlfn.LET(_xlpm.piso,AF728,_xlpm.corte,AE728,_xlpm.prog,IF(_xlpm.corte&lt;=_xlpm.piso,0,MAX(0,MIN(1,(U728-_xlpm.piso)/(_xlpm.corte-_xlpm.piso)))),_xlpm.orden,{"DIAMANTE";"PLATINO";"ORO";"PLATA";"BRONCE";"CERRADO"},_xlpm.act,IFERROR(MATCH(V728,_xlpm.orden,0),6),_xlpm.ant,IFERROR(MATCH(W728,_xlpm.orden,0),6),_xlpm.ajmov,IF(_xlpm.act&lt;_xlpm.ant,0.08,IF(_xlpm.act&gt;_xlpm.ant,-0.08,0)),_xlpm.ajcli,IF(T728&lt;0.95,-0.06,0),_xlpm.prob,MAX(0,MIN(1,_xlpm.prog+_xlpm.ajmov+_xlpm.ajcli)),IF(OR(V728="DIAMANTE",V728="CERRADO"),0,ROUND(_xlpm.prob,2)))</f>
        <v>0.79</v>
      </c>
      <c r="AK728" t="str">
        <f t="shared" si="276"/>
        <v>Faltan 4,8 puntos base para subir a la siguiente categoría</v>
      </c>
      <c r="AL728" t="str">
        <f t="shared" si="277"/>
        <v>Margen de seguridad: 18,4 puntos</v>
      </c>
      <c r="AM728">
        <f t="shared" si="278"/>
        <v>0.28000000000000003</v>
      </c>
      <c r="AN728" t="str">
        <f t="shared" si="279"/>
        <v>PRIORIDAD BAJA – control normal</v>
      </c>
      <c r="AO728">
        <f t="shared" si="280"/>
        <v>9.2571043930566574</v>
      </c>
      <c r="AP728">
        <f t="shared" si="281"/>
        <v>1.4863248152603781</v>
      </c>
      <c r="AQ728">
        <f t="shared" si="282"/>
        <v>0</v>
      </c>
      <c r="AR728">
        <f t="shared" si="283"/>
        <v>7.5</v>
      </c>
      <c r="AS728">
        <f t="shared" si="284"/>
        <v>0</v>
      </c>
      <c r="AT728" t="str">
        <f t="shared" si="285"/>
        <v>VENTAS</v>
      </c>
      <c r="AU728">
        <f t="shared" si="286"/>
        <v>9.2571043930566574</v>
      </c>
      <c r="AV728" t="str">
        <f t="shared" si="287"/>
        <v>Mayor retorno probable: VENTAS (+9,3 puntos finales potenciales).</v>
      </c>
    </row>
    <row r="729" spans="1:48" x14ac:dyDescent="0.3">
      <c r="A729" s="5">
        <v>51029232</v>
      </c>
      <c r="B729" s="5" t="str">
        <f>IFERROR(VLOOKUP(A729,VENTAS!$A$2:$B$1194,2,0),"")</f>
        <v>PUGH</v>
      </c>
      <c r="C729" s="5">
        <f>IFERROR(INDEX(VENTAS!$C$2:$E$1194,MATCH(A729,VENTAS!$A$2:$A$1194,0),MATCH(PARAMS_MODELO!$B$2,{"Q1","Q2","Q3"},0)),0)</f>
        <v>9756417</v>
      </c>
      <c r="D729" s="5">
        <f>IFERROR(INDEX(VENTAS!$F$2:$H$1194,MATCH(A729,VENTAS!$A$2:$A$1194,0),MATCH(PARAMS_MODELO!$B$2,{"Q1","Q2","Q3"},0)),0)</f>
        <v>54955538</v>
      </c>
      <c r="E729" s="8">
        <f t="shared" si="264"/>
        <v>4.6327582144141646</v>
      </c>
      <c r="F729" s="12">
        <f>IF(E729&lt;=PARAMS_MODELO!$B$15,0,IF(E729&gt;=PARAMS_MODELO!$B$17,100,100*MIN(1,(E729-PARAMS_MODELO!$B$15)/(PARAMS_MODELO!$B$16-PARAMS_MODELO!$B$15))))*PARAMS_MODELO!$B$7</f>
        <v>35</v>
      </c>
      <c r="G729" s="5">
        <f t="shared" si="265"/>
        <v>45199121</v>
      </c>
      <c r="H729" s="5">
        <f>(PARAMS_MODELO!$B$20*(MAX(0,MIN(3,E729))/3)+PARAMS_MODELO!$B$21*(IFERROR(LN(1+MAX(0,G729))/LN(1+MAX(0,MAX($G$2:$G$1194))),0)))*100*PARAMS_MODELO!$B$8</f>
        <v>14.631918358128495</v>
      </c>
      <c r="I729" s="8">
        <f>E729-PARAMS_MODELO!$B$5</f>
        <v>4.4551953790386385</v>
      </c>
      <c r="J729" s="5">
        <f>IF(I729&lt;=PARAMS_MODELO!$B$18,0,IF(I729&gt;=PARAMS_MODELO!$B$19,100,100*(I729-PARAMS_MODELO!$B$18)/(PARAMS_MODELO!$B$19-PARAMS_MODELO!$B$18)))*PARAMS_MODELO!$B$9</f>
        <v>15</v>
      </c>
      <c r="K729" s="5">
        <f>IFERROR(CHOOSE(MATCH(PARAMS_MODELO!$B$2,{"Q1","Q2","Q3"},0),LOTO!$D729,LOTO!$F729,LOTO!$H729),0)</f>
        <v>2470000</v>
      </c>
      <c r="L729" s="8">
        <f t="shared" si="266"/>
        <v>4.4945424790491545E-2</v>
      </c>
      <c r="M729" s="5">
        <f>MIN(100,IF(PARAMS_MODELO!$B$23=0,0,100*L729/PARAMS_MODELO!$B$23))*PARAMS_MODELO!$B$10</f>
        <v>13.48362743714746</v>
      </c>
      <c r="N729" s="5">
        <f>IFERROR(VLOOKUP(A729,COMPLIANCE!$A$2:$F$1996,6,0),100)</f>
        <v>99.6</v>
      </c>
      <c r="O729" s="5">
        <f>N729*PARAMS_MODELO!$B$11</f>
        <v>9.9600000000000009</v>
      </c>
      <c r="P729" s="5">
        <f>IFERROR(VLOOKUP(A729,DIGITAL!$A$2:$J$2000,7,0),100)</f>
        <v>68</v>
      </c>
      <c r="Q729" s="5">
        <f>IFERROR(P729,0)*PARAMS_MODELO!$B$12</f>
        <v>6.8000000000000007</v>
      </c>
      <c r="R729">
        <f t="shared" si="267"/>
        <v>94.875545795275954</v>
      </c>
      <c r="S729" s="5" t="str">
        <f>IFERROR(VLOOKUP(A729,CLIENTE!$A$2:$N$2000,13,0),1)</f>
        <v>Malo</v>
      </c>
      <c r="T729" s="5">
        <f>IFERROR(VLOOKUP(A729,CLIENTE!$A$2:$N$2000,14,0),1)</f>
        <v>0.7</v>
      </c>
      <c r="U729" s="5">
        <f t="shared" si="268"/>
        <v>66.412882056693164</v>
      </c>
      <c r="V729" s="5" t="str">
        <f>IF(U729&gt;=MAX(_xlfn.PERCENTILE.INC($U$2:$U$1194,PARAMS_MODELO!$B$50),PARAMS_MODELO!$B$45),"DIAMANTE",IF(U729&gt;=MAX(_xlfn.PERCENTILE.INC($U$2:$U$1194,PARAMS_MODELO!$B$51),PARAMS_MODELO!$B$46),"PLATINO",IF(U729&gt;=MAX(_xlfn.PERCENTILE.INC($U$2:$U$1194,PARAMS_MODELO!$B$52),PARAMS_MODELO!$B$47),"ORO",IF(U729&gt;=MAX(_xlfn.PERCENTILE.INC($U$2:$U$1194,PARAMS_MODELO!$B$53),PARAMS_MODELO!$B$48),"PLATA",IF(U729&gt;=1,"BRONCE","CERRADO")))))</f>
        <v>ORO</v>
      </c>
      <c r="W729" s="5" t="str" cm="1">
        <f t="array" ref="W729">_xlfn.XLOOKUP(1, (HIST_SCORE!$B:$B=PARAMS_MODELO!$B$4) * (HIST_SCORE!$C:$C=A729), HIST_SCORE!$E:$E, "No encontrado")</f>
        <v>BRONCE</v>
      </c>
      <c r="X729" s="5" t="str">
        <f>_xlfn.LET(_xlpm.act,MATCH(V729,{"DIAMANTE";"PLATINO";"ORO";"PLATA";"BRONCE";"CERRADO"},0),_xlpm.ant,MATCH(W729,{"DIAMANTE";"PLATINO";"ORO";"PLATA";"BRONCE";"CERRADO"},0),IF(_xlpm.act&lt;_xlpm.ant,"Mejora ↑",IF(_xlpm.act&gt;_xlpm.ant,"Baja ↓","Estable →")))</f>
        <v>Mejora ↑</v>
      </c>
      <c r="Y729" s="5">
        <f>IFERROR(U729-SUMIFS(HIST_SCORE!$D:$D,HIST_SCORE!$B:$B,PARAMS_MODELO!$B$4,HIST_SCORE!$C:$C,$A729),"")</f>
        <v>44.180882056693164</v>
      </c>
      <c r="Z729" s="5" t="str">
        <f t="shared" si="269"/>
        <v>↑ Mejora</v>
      </c>
      <c r="AA729" s="5">
        <f t="shared" si="270"/>
        <v>539</v>
      </c>
      <c r="AB729" s="5">
        <f>IFERROR(SUMIFS(HIST_SCORE!$F:$F,HIST_SCORE!$B:$B,PARAMS_MODELO!$B$4,HIST_SCORE!$C:$C,$A729),"")</f>
        <v>963</v>
      </c>
      <c r="AC729" s="5">
        <f t="shared" si="271"/>
        <v>424</v>
      </c>
      <c r="AD729" t="str">
        <f t="shared" si="273"/>
        <v/>
      </c>
      <c r="AE7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729="CERRADO",1,IF(V729="BRONCE",_xlpm.cPl,IF(V729="PLATA",_xlpm.cO,IF(V729="ORO",_xlpm.cP,IF(V729="PLATINO",_xlpm.cD,999))))))</f>
        <v>86.439123873763251</v>
      </c>
      <c r="AF7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729="CERRADO",0,IF(V729="BRONCE",1,IF(V729="PLATA",_xlpm.cPl,IF(V729="ORO",_xlpm.cO,IF(V729="PLATINO",_xlpm.cP,_xlpm.cD))))))</f>
        <v>63.199193273331495</v>
      </c>
      <c r="AG729">
        <f t="shared" si="274"/>
        <v>28.6089168815287</v>
      </c>
      <c r="AH729" t="str">
        <f t="shared" si="275"/>
        <v>CLIENTE</v>
      </c>
      <c r="AI729" t="str">
        <f t="shared" si="272"/>
        <v>🎯 Para subir de categoría, la eje con mayor impacto probable es CLIENTE (coef T). Acción: reducir quejas, mejorar incógnito y empujar reseñas. ΔR aprox: 28,6</v>
      </c>
      <c r="AJ729" s="26">
        <f>_xlfn.LET(_xlpm.piso,AF729,_xlpm.corte,AE729,_xlpm.prog,IF(_xlpm.corte&lt;=_xlpm.piso,0,MAX(0,MIN(1,(U729-_xlpm.piso)/(_xlpm.corte-_xlpm.piso)))),_xlpm.orden,{"DIAMANTE";"PLATINO";"ORO";"PLATA";"BRONCE";"CERRADO"},_xlpm.act,IFERROR(MATCH(V729,_xlpm.orden,0),6),_xlpm.ant,IFERROR(MATCH(W729,_xlpm.orden,0),6),_xlpm.ajmov,IF(_xlpm.act&lt;_xlpm.ant,0.08,IF(_xlpm.act&gt;_xlpm.ant,-0.08,0)),_xlpm.ajcli,IF(T729&lt;0.95,-0.06,0),_xlpm.prob,MAX(0,MIN(1,_xlpm.prog+_xlpm.ajmov+_xlpm.ajcli)),IF(OR(V729="DIAMANTE",V729="CERRADO"),0,ROUND(_xlpm.prob,2)))</f>
        <v>0.16</v>
      </c>
      <c r="AK729" t="str">
        <f t="shared" si="276"/>
        <v>Faltan 28,6 puntos base para subir a la siguiente categoría</v>
      </c>
      <c r="AL729" t="str">
        <f t="shared" si="277"/>
        <v>Margen de seguridad: 3,2 puntos</v>
      </c>
      <c r="AM729">
        <f t="shared" si="278"/>
        <v>0.94</v>
      </c>
      <c r="AN729" t="str">
        <f t="shared" si="279"/>
        <v>PRIORIDAD ALTA – requiere intervención inmediata</v>
      </c>
      <c r="AO729">
        <f t="shared" si="280"/>
        <v>0.16145564201695775</v>
      </c>
      <c r="AP729">
        <f t="shared" si="281"/>
        <v>1.061460793996778</v>
      </c>
      <c r="AQ729">
        <f t="shared" si="282"/>
        <v>2.79999999999994E-2</v>
      </c>
      <c r="AR729">
        <f t="shared" si="283"/>
        <v>2.2399999999999993</v>
      </c>
      <c r="AS729">
        <f t="shared" si="284"/>
        <v>28.462663738582791</v>
      </c>
      <c r="AT729" t="str">
        <f t="shared" si="285"/>
        <v>CLIENTE</v>
      </c>
      <c r="AU729">
        <f t="shared" si="286"/>
        <v>28.462663738582791</v>
      </c>
      <c r="AV729" t="str">
        <f t="shared" si="287"/>
        <v>Mayor retorno probable: CLIENTE (+28,5 puntos finales potenciales).</v>
      </c>
    </row>
    <row r="730" spans="1:48" x14ac:dyDescent="0.3">
      <c r="A730" s="5">
        <v>51035879</v>
      </c>
      <c r="B730" s="5" t="str">
        <f>IFERROR(VLOOKUP(A730,VENTAS!$A$2:$B$1194,2,0),"")</f>
        <v>METTLER</v>
      </c>
      <c r="C730" s="5">
        <f>IFERROR(INDEX(VENTAS!$C$2:$E$1194,MATCH(A730,VENTAS!$A$2:$A$1194,0),MATCH(PARAMS_MODELO!$B$2,{"Q1","Q2","Q3"},0)),0)</f>
        <v>53763294.310000002</v>
      </c>
      <c r="D730" s="5">
        <f>IFERROR(INDEX(VENTAS!$F$2:$H$1194,MATCH(A730,VENTAS!$A$2:$A$1194,0),MATCH(PARAMS_MODELO!$B$2,{"Q1","Q2","Q3"},0)),0)</f>
        <v>54782909</v>
      </c>
      <c r="E730" s="8">
        <f t="shared" si="264"/>
        <v>1.8964884929128178E-2</v>
      </c>
      <c r="F730" s="12">
        <f>IF(E730&lt;=PARAMS_MODELO!$B$15,0,IF(E730&gt;=PARAMS_MODELO!$B$17,100,100*MIN(1,(E730-PARAMS_MODELO!$B$15)/(PARAMS_MODELO!$B$16-PARAMS_MODELO!$B$15))))*PARAMS_MODELO!$B$7</f>
        <v>6.6377097251948625</v>
      </c>
      <c r="G730" s="5">
        <f t="shared" si="265"/>
        <v>1019614.6899999976</v>
      </c>
      <c r="H730" s="5">
        <f>(PARAMS_MODELO!$B$20*(MAX(0,MIN(3,E730))/3)+PARAMS_MODELO!$B$21*(IFERROR(LN(1+MAX(0,G730))/LN(1+MAX(0,MAX($G$2:$G$1194))),0)))*100*PARAMS_MODELO!$B$8</f>
        <v>3.3094793205987578</v>
      </c>
      <c r="I730" s="8">
        <f>E730-PARAMS_MODELO!$B$5</f>
        <v>-0.15859795044639835</v>
      </c>
      <c r="J730" s="5">
        <f>IF(I730&lt;=PARAMS_MODELO!$B$18,0,IF(I730&gt;=PARAMS_MODELO!$B$19,100,100*(I730-PARAMS_MODELO!$B$18)/(PARAMS_MODELO!$B$19-PARAMS_MODELO!$B$18)))*PARAMS_MODELO!$B$9</f>
        <v>0</v>
      </c>
      <c r="K730" s="5">
        <f>IFERROR(CHOOSE(MATCH(PARAMS_MODELO!$B$2,{"Q1","Q2","Q3"},0),LOTO!$D730,LOTO!$F730,LOTO!$H730),0)</f>
        <v>2460000</v>
      </c>
      <c r="L730" s="8">
        <f t="shared" si="266"/>
        <v>4.4904515749610886E-2</v>
      </c>
      <c r="M730" s="5">
        <f>MIN(100,IF(PARAMS_MODELO!$B$23=0,0,100*L730/PARAMS_MODELO!$B$23))*PARAMS_MODELO!$B$10</f>
        <v>13.471354724883266</v>
      </c>
      <c r="N730" s="5">
        <f>IFERROR(VLOOKUP(A730,COMPLIANCE!$A$2:$F$1996,6,0),100)</f>
        <v>99.9</v>
      </c>
      <c r="O730" s="5">
        <f>N730*PARAMS_MODELO!$B$11</f>
        <v>9.990000000000002</v>
      </c>
      <c r="P730" s="5">
        <f>IFERROR(VLOOKUP(A730,DIGITAL!$A$2:$J$2000,7,0),100)</f>
        <v>67</v>
      </c>
      <c r="Q730" s="5">
        <f>IFERROR(P730,0)*PARAMS_MODELO!$B$12</f>
        <v>6.7</v>
      </c>
      <c r="R730">
        <f t="shared" si="267"/>
        <v>40.108543770676889</v>
      </c>
      <c r="S730" s="5" t="str">
        <f>IFERROR(VLOOKUP(A730,CLIENTE!$A$2:$N$2000,13,0),1)</f>
        <v>Regular</v>
      </c>
      <c r="T730" s="5">
        <f>IFERROR(VLOOKUP(A730,CLIENTE!$A$2:$N$2000,14,0),1)</f>
        <v>1</v>
      </c>
      <c r="U730" s="5">
        <f t="shared" si="268"/>
        <v>40.108543770676889</v>
      </c>
      <c r="V730" s="5" t="str">
        <f>IF(U730&gt;=MAX(_xlfn.PERCENTILE.INC($U$2:$U$1194,PARAMS_MODELO!$B$50),PARAMS_MODELO!$B$45),"DIAMANTE",IF(U730&gt;=MAX(_xlfn.PERCENTILE.INC($U$2:$U$1194,PARAMS_MODELO!$B$51),PARAMS_MODELO!$B$46),"PLATINO",IF(U730&gt;=MAX(_xlfn.PERCENTILE.INC($U$2:$U$1194,PARAMS_MODELO!$B$52),PARAMS_MODELO!$B$47),"ORO",IF(U730&gt;=MAX(_xlfn.PERCENTILE.INC($U$2:$U$1194,PARAMS_MODELO!$B$53),PARAMS_MODELO!$B$48),"PLATA",IF(U730&gt;=1,"BRONCE","CERRADO")))))</f>
        <v>PLATA</v>
      </c>
      <c r="W730" s="5" t="str" cm="1">
        <f t="array" ref="W730">_xlfn.XLOOKUP(1, (HIST_SCORE!$B:$B=PARAMS_MODELO!$B$4) * (HIST_SCORE!$C:$C=A730), HIST_SCORE!$E:$E, "No encontrado")</f>
        <v>ORO</v>
      </c>
      <c r="X730" s="5" t="str">
        <f>_xlfn.LET(_xlpm.act,MATCH(V730,{"DIAMANTE";"PLATINO";"ORO";"PLATA";"BRONCE";"CERRADO"},0),_xlpm.ant,MATCH(W730,{"DIAMANTE";"PLATINO";"ORO";"PLATA";"BRONCE";"CERRADO"},0),IF(_xlpm.act&lt;_xlpm.ant,"Mejora ↑",IF(_xlpm.act&gt;_xlpm.ant,"Baja ↓","Estable →")))</f>
        <v>Baja ↓</v>
      </c>
      <c r="Y730" s="5">
        <f>IFERROR(U730-SUMIFS(HIST_SCORE!$D:$D,HIST_SCORE!$B:$B,PARAMS_MODELO!$B$4,HIST_SCORE!$C:$C,$A730),"")</f>
        <v>-41.135361730247865</v>
      </c>
      <c r="Z730" s="5" t="str">
        <f t="shared" si="269"/>
        <v>↓ Baja</v>
      </c>
      <c r="AA730" s="5">
        <f t="shared" si="270"/>
        <v>785</v>
      </c>
      <c r="AB730" s="5">
        <f>IFERROR(SUMIFS(HIST_SCORE!$F:$F,HIST_SCORE!$B:$B,PARAMS_MODELO!$B$4,HIST_SCORE!$C:$C,$A730),"")</f>
        <v>389</v>
      </c>
      <c r="AC730" s="5">
        <f t="shared" si="271"/>
        <v>-396</v>
      </c>
      <c r="AD730" t="str">
        <f t="shared" si="273"/>
        <v/>
      </c>
      <c r="AE7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730="CERRADO",1,IF(V730="BRONCE",_xlpm.cPl,IF(V730="PLATA",_xlpm.cO,IF(V730="ORO",_xlpm.cP,IF(V730="PLATINO",_xlpm.cD,999))))))</f>
        <v>63.199193273331495</v>
      </c>
      <c r="AF7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730="CERRADO",0,IF(V730="BRONCE",1,IF(V730="PLATA",_xlpm.cPl,IF(V730="ORO",_xlpm.cO,IF(V730="PLATINO",_xlpm.cP,_xlpm.cD))))))</f>
        <v>24.506573482968111</v>
      </c>
      <c r="AG730">
        <f t="shared" si="274"/>
        <v>23.090649502654607</v>
      </c>
      <c r="AH730" t="str">
        <f t="shared" si="275"/>
        <v>VENTAS</v>
      </c>
      <c r="AI730" t="str">
        <f t="shared" si="272"/>
        <v>🎯 Para subir de categoría, eje VENTAS / DIFERENCIAL vs LOTBA (J). Acción: metas semanales + activación comercial + seguimiento del asesor. ΔR aprox: 23,1</v>
      </c>
      <c r="AJ730" s="26">
        <f>_xlfn.LET(_xlpm.piso,AF730,_xlpm.corte,AE730,_xlpm.prog,IF(_xlpm.corte&lt;=_xlpm.piso,0,MAX(0,MIN(1,(U730-_xlpm.piso)/(_xlpm.corte-_xlpm.piso)))),_xlpm.orden,{"DIAMANTE";"PLATINO";"ORO";"PLATA";"BRONCE";"CERRADO"},_xlpm.act,IFERROR(MATCH(V730,_xlpm.orden,0),6),_xlpm.ant,IFERROR(MATCH(W730,_xlpm.orden,0),6),_xlpm.ajmov,IF(_xlpm.act&lt;_xlpm.ant,0.08,IF(_xlpm.act&gt;_xlpm.ant,-0.08,0)),_xlpm.ajcli,IF(T730&lt;0.95,-0.06,0),_xlpm.prob,MAX(0,MIN(1,_xlpm.prog+_xlpm.ajmov+_xlpm.ajcli)),IF(OR(V730="DIAMANTE",V730="CERRADO"),0,ROUND(_xlpm.prob,2)))</f>
        <v>0.32</v>
      </c>
      <c r="AK730" t="str">
        <f t="shared" si="276"/>
        <v>Faltan 23,1 puntos base para subir a la siguiente categoría</v>
      </c>
      <c r="AL730" t="str">
        <f t="shared" si="277"/>
        <v>Margen de seguridad: 15,6 puntos</v>
      </c>
      <c r="AM730">
        <f t="shared" si="278"/>
        <v>0.67</v>
      </c>
      <c r="AN730" t="str">
        <f t="shared" si="279"/>
        <v>PRIORIDAD MEDIA – seguimiento del asesor</v>
      </c>
      <c r="AO730">
        <f t="shared" si="280"/>
        <v>54.915380229501963</v>
      </c>
      <c r="AP730">
        <f t="shared" si="281"/>
        <v>1.5286452751167339</v>
      </c>
      <c r="AQ730">
        <f t="shared" si="282"/>
        <v>9.9999999999980105E-3</v>
      </c>
      <c r="AR730">
        <f t="shared" si="283"/>
        <v>3.3</v>
      </c>
      <c r="AS730">
        <f t="shared" si="284"/>
        <v>0</v>
      </c>
      <c r="AT730" t="str">
        <f t="shared" si="285"/>
        <v>VENTAS</v>
      </c>
      <c r="AU730">
        <f t="shared" si="286"/>
        <v>54.915380229501963</v>
      </c>
      <c r="AV730" t="str">
        <f t="shared" si="287"/>
        <v>Mayor retorno probable: VENTAS (+54,9 puntos finales potenciales).</v>
      </c>
    </row>
    <row r="731" spans="1:48" x14ac:dyDescent="0.3">
      <c r="A731" s="5">
        <v>51001044</v>
      </c>
      <c r="B731" s="5" t="str">
        <f>IFERROR(VLOOKUP(A731,VENTAS!$A$2:$B$1194,2,0),"")</f>
        <v>METTLER</v>
      </c>
      <c r="C731" s="5">
        <f>IFERROR(INDEX(VENTAS!$C$2:$E$1194,MATCH(A731,VENTAS!$A$2:$A$1194,0),MATCH(PARAMS_MODELO!$B$2,{"Q1","Q2","Q3"},0)),0)</f>
        <v>38085836.390000001</v>
      </c>
      <c r="D731" s="5">
        <f>IFERROR(INDEX(VENTAS!$F$2:$H$1194,MATCH(A731,VENTAS!$A$2:$A$1194,0),MATCH(PARAMS_MODELO!$B$2,{"Q1","Q2","Q3"},0)),0)</f>
        <v>54692050</v>
      </c>
      <c r="E731" s="8">
        <f t="shared" si="264"/>
        <v>0.4360207148912767</v>
      </c>
      <c r="F731" s="12">
        <f>IF(E731&lt;=PARAMS_MODELO!$B$15,0,IF(E731&gt;=PARAMS_MODELO!$B$17,100,100*MIN(1,(E731-PARAMS_MODELO!$B$15)/(PARAMS_MODELO!$B$16-PARAMS_MODELO!$B$15))))*PARAMS_MODELO!$B$7</f>
        <v>35</v>
      </c>
      <c r="G731" s="5">
        <f t="shared" si="265"/>
        <v>16606213.609999999</v>
      </c>
      <c r="H731" s="5">
        <f>(PARAMS_MODELO!$B$20*(MAX(0,MIN(3,E731))/3)+PARAMS_MODELO!$B$21*(IFERROR(LN(1+MAX(0,G731))/LN(1+MAX(0,MAX($G$2:$G$1194))),0)))*100*PARAMS_MODELO!$B$8</f>
        <v>5.4232720061125841</v>
      </c>
      <c r="I731" s="8">
        <f>E731-PARAMS_MODELO!$B$5</f>
        <v>0.25845787951575017</v>
      </c>
      <c r="J731" s="5">
        <f>IF(I731&lt;=PARAMS_MODELO!$B$18,0,IF(I731&gt;=PARAMS_MODELO!$B$19,100,100*(I731-PARAMS_MODELO!$B$18)/(PARAMS_MODELO!$B$19-PARAMS_MODELO!$B$18)))*PARAMS_MODELO!$B$9</f>
        <v>15</v>
      </c>
      <c r="K731" s="5">
        <f>IFERROR(CHOOSE(MATCH(PARAMS_MODELO!$B$2,{"Q1","Q2","Q3"},0),LOTO!$D731,LOTO!$F731,LOTO!$H731),0)</f>
        <v>2460000</v>
      </c>
      <c r="L731" s="8">
        <f t="shared" si="266"/>
        <v>4.4979114880499084E-2</v>
      </c>
      <c r="M731" s="5">
        <f>MIN(100,IF(PARAMS_MODELO!$B$23=0,0,100*L731/PARAMS_MODELO!$B$23))*PARAMS_MODELO!$B$10</f>
        <v>13.493734464149725</v>
      </c>
      <c r="N731" s="5">
        <f>IFERROR(VLOOKUP(A731,COMPLIANCE!$A$2:$F$1996,6,0),100)</f>
        <v>100</v>
      </c>
      <c r="O731" s="5">
        <f>N731*PARAMS_MODELO!$B$11</f>
        <v>10</v>
      </c>
      <c r="P731" s="5">
        <f>IFERROR(VLOOKUP(A731,DIGITAL!$A$2:$J$2000,7,0),100)</f>
        <v>51</v>
      </c>
      <c r="Q731" s="5">
        <f>IFERROR(P731,0)*PARAMS_MODELO!$B$12</f>
        <v>5.1000000000000005</v>
      </c>
      <c r="R731">
        <f t="shared" si="267"/>
        <v>84.017006470262302</v>
      </c>
      <c r="S731" s="5" t="str">
        <f>IFERROR(VLOOKUP(A731,CLIENTE!$A$2:$N$2000,13,0),1)</f>
        <v>Regular</v>
      </c>
      <c r="T731" s="5">
        <f>IFERROR(VLOOKUP(A731,CLIENTE!$A$2:$N$2000,14,0),1)</f>
        <v>1</v>
      </c>
      <c r="U731" s="5">
        <f t="shared" si="268"/>
        <v>84.017006470262302</v>
      </c>
      <c r="V731" s="5" t="str">
        <f>IF(U731&gt;=MAX(_xlfn.PERCENTILE.INC($U$2:$U$1194,PARAMS_MODELO!$B$50),PARAMS_MODELO!$B$45),"DIAMANTE",IF(U731&gt;=MAX(_xlfn.PERCENTILE.INC($U$2:$U$1194,PARAMS_MODELO!$B$51),PARAMS_MODELO!$B$46),"PLATINO",IF(U731&gt;=MAX(_xlfn.PERCENTILE.INC($U$2:$U$1194,PARAMS_MODELO!$B$52),PARAMS_MODELO!$B$47),"ORO",IF(U731&gt;=MAX(_xlfn.PERCENTILE.INC($U$2:$U$1194,PARAMS_MODELO!$B$53),PARAMS_MODELO!$B$48),"PLATA",IF(U731&gt;=1,"BRONCE","CERRADO")))))</f>
        <v>ORO</v>
      </c>
      <c r="W731" s="5" t="str" cm="1">
        <f t="array" ref="W731">_xlfn.XLOOKUP(1, (HIST_SCORE!$B:$B=PARAMS_MODELO!$B$4) * (HIST_SCORE!$C:$C=A731), HIST_SCORE!$E:$E, "No encontrado")</f>
        <v>ORO</v>
      </c>
      <c r="X731" s="5" t="str">
        <f>_xlfn.LET(_xlpm.act,MATCH(V731,{"DIAMANTE";"PLATINO";"ORO";"PLATA";"BRONCE";"CERRADO"},0),_xlpm.ant,MATCH(W731,{"DIAMANTE";"PLATINO";"ORO";"PLATA";"BRONCE";"CERRADO"},0),IF(_xlpm.act&lt;_xlpm.ant,"Mejora ↑",IF(_xlpm.act&gt;_xlpm.ant,"Baja ↓","Estable →")))</f>
        <v>Estable →</v>
      </c>
      <c r="Y731" s="5">
        <f>IFERROR(U731-SUMIFS(HIST_SCORE!$D:$D,HIST_SCORE!$B:$B,PARAMS_MODELO!$B$4,HIST_SCORE!$C:$C,$A731),"")</f>
        <v>-0.20117425761986851</v>
      </c>
      <c r="Z731" s="5" t="str">
        <f t="shared" si="269"/>
        <v>→ Estable</v>
      </c>
      <c r="AA731" s="5">
        <f t="shared" si="270"/>
        <v>321</v>
      </c>
      <c r="AB731" s="5">
        <f>IFERROR(SUMIFS(HIST_SCORE!$F:$F,HIST_SCORE!$B:$B,PARAMS_MODELO!$B$4,HIST_SCORE!$C:$C,$A731),"")</f>
        <v>283</v>
      </c>
      <c r="AC731" s="5">
        <f t="shared" si="271"/>
        <v>-38</v>
      </c>
      <c r="AD731" t="str">
        <f t="shared" si="273"/>
        <v>Sostener base y reforzar mix</v>
      </c>
      <c r="AE7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731="CERRADO",1,IF(V731="BRONCE",_xlpm.cPl,IF(V731="PLATA",_xlpm.cO,IF(V731="ORO",_xlpm.cP,IF(V731="PLATINO",_xlpm.cD,999))))))</f>
        <v>86.439123873763251</v>
      </c>
      <c r="AF7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731="CERRADO",0,IF(V731="BRONCE",1,IF(V731="PLATA",_xlpm.cPl,IF(V731="ORO",_xlpm.cO,IF(V731="PLATINO",_xlpm.cP,_xlpm.cD))))))</f>
        <v>63.199193273331495</v>
      </c>
      <c r="AG731">
        <f t="shared" si="274"/>
        <v>2.4221174035009483</v>
      </c>
      <c r="AH731" t="str">
        <f t="shared" si="275"/>
        <v>VENTAS</v>
      </c>
      <c r="AI731" t="str">
        <f t="shared" si="272"/>
        <v>🎯 Para subir de categoría, eje VENTAS / IMPACTO ABSOLUTO (H). Acción: metas semanales + activación comercial + seguimiento del asesor. ΔR aprox: 2,4</v>
      </c>
      <c r="AJ731" s="26">
        <f>_xlfn.LET(_xlpm.piso,AF731,_xlpm.corte,AE731,_xlpm.prog,IF(_xlpm.corte&lt;=_xlpm.piso,0,MAX(0,MIN(1,(U731-_xlpm.piso)/(_xlpm.corte-_xlpm.piso)))),_xlpm.orden,{"DIAMANTE";"PLATINO";"ORO";"PLATA";"BRONCE";"CERRADO"},_xlpm.act,IFERROR(MATCH(V731,_xlpm.orden,0),6),_xlpm.ant,IFERROR(MATCH(W731,_xlpm.orden,0),6),_xlpm.ajmov,IF(_xlpm.act&lt;_xlpm.ant,0.08,IF(_xlpm.act&gt;_xlpm.ant,-0.08,0)),_xlpm.ajcli,IF(T731&lt;0.95,-0.06,0),_xlpm.prob,MAX(0,MIN(1,_xlpm.prog+_xlpm.ajmov+_xlpm.ajcli)),IF(OR(V731="DIAMANTE",V731="CERRADO"),0,ROUND(_xlpm.prob,2)))</f>
        <v>0.9</v>
      </c>
      <c r="AK731" t="str">
        <f t="shared" si="276"/>
        <v>Faltan 2,4 puntos base para subir a la siguiente categoría</v>
      </c>
      <c r="AL731" t="str">
        <f t="shared" si="277"/>
        <v>Margen de seguridad: 20,8 puntos</v>
      </c>
      <c r="AM731">
        <f t="shared" si="278"/>
        <v>0.14000000000000001</v>
      </c>
      <c r="AN731" t="str">
        <f t="shared" si="279"/>
        <v>PRIORIDAD BAJA – control normal</v>
      </c>
      <c r="AO731">
        <f t="shared" si="280"/>
        <v>9.439297269183001</v>
      </c>
      <c r="AP731">
        <f t="shared" si="281"/>
        <v>1.5062655358502752</v>
      </c>
      <c r="AQ731">
        <f t="shared" si="282"/>
        <v>0</v>
      </c>
      <c r="AR731">
        <f t="shared" si="283"/>
        <v>4.8999999999999995</v>
      </c>
      <c r="AS731">
        <f t="shared" si="284"/>
        <v>0</v>
      </c>
      <c r="AT731" t="str">
        <f t="shared" si="285"/>
        <v>VENTAS</v>
      </c>
      <c r="AU731">
        <f t="shared" si="286"/>
        <v>9.439297269183001</v>
      </c>
      <c r="AV731" t="str">
        <f t="shared" si="287"/>
        <v>Mayor retorno probable: VENTAS (+9,4 puntos finales potenciales).</v>
      </c>
    </row>
    <row r="732" spans="1:48" x14ac:dyDescent="0.3">
      <c r="A732" s="5">
        <v>51028929</v>
      </c>
      <c r="B732" s="5" t="str">
        <f>IFERROR(VLOOKUP(A732,VENTAS!$A$2:$B$1194,2,0),"")</f>
        <v>BELUZZO</v>
      </c>
      <c r="C732" s="5">
        <f>IFERROR(INDEX(VENTAS!$C$2:$E$1194,MATCH(A732,VENTAS!$A$2:$A$1194,0),MATCH(PARAMS_MODELO!$B$2,{"Q1","Q2","Q3"},0)),0)</f>
        <v>36139375.57</v>
      </c>
      <c r="D732" s="5">
        <f>IFERROR(INDEX(VENTAS!$F$2:$H$1194,MATCH(A732,VENTAS!$A$2:$A$1194,0),MATCH(PARAMS_MODELO!$B$2,{"Q1","Q2","Q3"},0)),0)</f>
        <v>54681611</v>
      </c>
      <c r="E732" s="8">
        <f t="shared" si="264"/>
        <v>0.51307570032815586</v>
      </c>
      <c r="F732" s="12">
        <f>IF(E732&lt;=PARAMS_MODELO!$B$15,0,IF(E732&gt;=PARAMS_MODELO!$B$17,100,100*MIN(1,(E732-PARAMS_MODELO!$B$15)/(PARAMS_MODELO!$B$16-PARAMS_MODELO!$B$15))))*PARAMS_MODELO!$B$7</f>
        <v>35</v>
      </c>
      <c r="G732" s="5">
        <f t="shared" si="265"/>
        <v>18542235.43</v>
      </c>
      <c r="H732" s="5">
        <f>(PARAMS_MODELO!$B$20*(MAX(0,MIN(3,E732))/3)+PARAMS_MODELO!$B$21*(IFERROR(LN(1+MAX(0,G732))/LN(1+MAX(0,MAX($G$2:$G$1194))),0)))*100*PARAMS_MODELO!$B$8</f>
        <v>5.7188142626151111</v>
      </c>
      <c r="I732" s="8">
        <f>E732-PARAMS_MODELO!$B$5</f>
        <v>0.33551286495262933</v>
      </c>
      <c r="J732" s="5">
        <f>IF(I732&lt;=PARAMS_MODELO!$B$18,0,IF(I732&gt;=PARAMS_MODELO!$B$19,100,100*(I732-PARAMS_MODELO!$B$18)/(PARAMS_MODELO!$B$19-PARAMS_MODELO!$B$18)))*PARAMS_MODELO!$B$9</f>
        <v>15</v>
      </c>
      <c r="K732" s="5">
        <f>IFERROR(CHOOSE(MATCH(PARAMS_MODELO!$B$2,{"Q1","Q2","Q3"},0),LOTO!$D732,LOTO!$F732,LOTO!$H732),0)</f>
        <v>2457500</v>
      </c>
      <c r="L732" s="8">
        <f t="shared" si="266"/>
        <v>4.4941982415258395E-2</v>
      </c>
      <c r="M732" s="5">
        <f>MIN(100,IF(PARAMS_MODELO!$B$23=0,0,100*L732/PARAMS_MODELO!$B$23))*PARAMS_MODELO!$B$10</f>
        <v>13.482594724577515</v>
      </c>
      <c r="N732" s="5">
        <f>IFERROR(VLOOKUP(A732,COMPLIANCE!$A$2:$F$1996,6,0),100)</f>
        <v>100</v>
      </c>
      <c r="O732" s="5">
        <f>N732*PARAMS_MODELO!$B$11</f>
        <v>10</v>
      </c>
      <c r="P732" s="5">
        <f>IFERROR(VLOOKUP(A732,DIGITAL!$A$2:$J$2000,7,0),100)</f>
        <v>22</v>
      </c>
      <c r="Q732" s="5">
        <f>IFERROR(P732,0)*PARAMS_MODELO!$B$12</f>
        <v>2.2000000000000002</v>
      </c>
      <c r="R732">
        <f t="shared" si="267"/>
        <v>81.401408987192625</v>
      </c>
      <c r="S732" s="5" t="str">
        <f>IFERROR(VLOOKUP(A732,CLIENTE!$A$2:$N$2000,13,0),1)</f>
        <v>Bueno</v>
      </c>
      <c r="T732" s="5">
        <f>IFERROR(VLOOKUP(A732,CLIENTE!$A$2:$N$2000,14,0),1)</f>
        <v>1.1000000000000001</v>
      </c>
      <c r="U732" s="5">
        <f t="shared" si="268"/>
        <v>89.541549885911891</v>
      </c>
      <c r="V732" s="5" t="str">
        <f>IF(U732&gt;=MAX(_xlfn.PERCENTILE.INC($U$2:$U$1194,PARAMS_MODELO!$B$50),PARAMS_MODELO!$B$45),"DIAMANTE",IF(U732&gt;=MAX(_xlfn.PERCENTILE.INC($U$2:$U$1194,PARAMS_MODELO!$B$51),PARAMS_MODELO!$B$46),"PLATINO",IF(U732&gt;=MAX(_xlfn.PERCENTILE.INC($U$2:$U$1194,PARAMS_MODELO!$B$52),PARAMS_MODELO!$B$47),"ORO",IF(U732&gt;=MAX(_xlfn.PERCENTILE.INC($U$2:$U$1194,PARAMS_MODELO!$B$53),PARAMS_MODELO!$B$48),"PLATA",IF(U732&gt;=1,"BRONCE","CERRADO")))))</f>
        <v>PLATINO</v>
      </c>
      <c r="W732" s="5" t="str" cm="1">
        <f t="array" ref="W732">_xlfn.XLOOKUP(1, (HIST_SCORE!$B:$B=PARAMS_MODELO!$B$4) * (HIST_SCORE!$C:$C=A732), HIST_SCORE!$E:$E, "No encontrado")</f>
        <v>PLATINO</v>
      </c>
      <c r="X732" s="5" t="str">
        <f>_xlfn.LET(_xlpm.act,MATCH(V732,{"DIAMANTE";"PLATINO";"ORO";"PLATA";"BRONCE";"CERRADO"},0),_xlpm.ant,MATCH(W732,{"DIAMANTE";"PLATINO";"ORO";"PLATA";"BRONCE";"CERRADO"},0),IF(_xlpm.act&lt;_xlpm.ant,"Mejora ↑",IF(_xlpm.act&gt;_xlpm.ant,"Baja ↓","Estable →")))</f>
        <v>Estable →</v>
      </c>
      <c r="Y732" s="5">
        <f>IFERROR(U732-SUMIFS(HIST_SCORE!$D:$D,HIST_SCORE!$B:$B,PARAMS_MODELO!$B$4,HIST_SCORE!$C:$C,$A732),"")</f>
        <v>-0.55506739724761189</v>
      </c>
      <c r="Z732" s="5" t="str">
        <f t="shared" si="269"/>
        <v>→ Estable</v>
      </c>
      <c r="AA732" s="5">
        <f t="shared" si="270"/>
        <v>149</v>
      </c>
      <c r="AB732" s="5">
        <f>IFERROR(SUMIFS(HIST_SCORE!$F:$F,HIST_SCORE!$B:$B,PARAMS_MODELO!$B$4,HIST_SCORE!$C:$C,$A732),"")</f>
        <v>128</v>
      </c>
      <c r="AC732" s="5">
        <f t="shared" si="271"/>
        <v>-21</v>
      </c>
      <c r="AD732" t="str">
        <f t="shared" si="273"/>
        <v/>
      </c>
      <c r="AE7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732="CERRADO",1,IF(V732="BRONCE",_xlpm.cPl,IF(V732="PLATA",_xlpm.cO,IF(V732="ORO",_xlpm.cP,IF(V732="PLATINO",_xlpm.cD,999))))))</f>
        <v>96.054919694466676</v>
      </c>
      <c r="AF7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732="CERRADO",0,IF(V732="BRONCE",1,IF(V732="PLATA",_xlpm.cPl,IF(V732="ORO",_xlpm.cO,IF(V732="PLATINO",_xlpm.cP,_xlpm.cD))))))</f>
        <v>86.439123873763251</v>
      </c>
      <c r="AG732">
        <f t="shared" si="274"/>
        <v>5.9212452805043512</v>
      </c>
      <c r="AH732" t="str">
        <f t="shared" si="275"/>
        <v>VENTAS</v>
      </c>
      <c r="AI732" t="str">
        <f t="shared" si="272"/>
        <v>🎯 Para subir de categoría, eje VENTAS / IMPACTO ABSOLUTO (H). Acción: metas semanales + activación comercial + seguimiento del asesor. ΔR aprox: 5,9</v>
      </c>
      <c r="AJ732" s="26">
        <f>_xlfn.LET(_xlpm.piso,AF732,_xlpm.corte,AE732,_xlpm.prog,IF(_xlpm.corte&lt;=_xlpm.piso,0,MAX(0,MIN(1,(U732-_xlpm.piso)/(_xlpm.corte-_xlpm.piso)))),_xlpm.orden,{"DIAMANTE";"PLATINO";"ORO";"PLATA";"BRONCE";"CERRADO"},_xlpm.act,IFERROR(MATCH(V732,_xlpm.orden,0),6),_xlpm.ant,IFERROR(MATCH(W732,_xlpm.orden,0),6),_xlpm.ajmov,IF(_xlpm.act&lt;_xlpm.ant,0.08,IF(_xlpm.act&gt;_xlpm.ant,-0.08,0)),_xlpm.ajcli,IF(T732&lt;0.95,-0.06,0),_xlpm.prob,MAX(0,MIN(1,_xlpm.prog+_xlpm.ajmov+_xlpm.ajcli)),IF(OR(V732="DIAMANTE",V732="CERRADO"),0,ROUND(_xlpm.prob,2)))</f>
        <v>0.32</v>
      </c>
      <c r="AK732" t="str">
        <f t="shared" si="276"/>
        <v>Faltan 5,9 puntos base para subir a la siguiente categoría</v>
      </c>
      <c r="AL732" t="str">
        <f t="shared" si="277"/>
        <v>Margen de seguridad: 3,1 puntos</v>
      </c>
      <c r="AM732">
        <f t="shared" si="278"/>
        <v>0.51</v>
      </c>
      <c r="AN732" t="str">
        <f t="shared" si="279"/>
        <v>PRIORIDAD MEDIA – seguimiento del asesor</v>
      </c>
      <c r="AO732">
        <f t="shared" si="280"/>
        <v>10.05813051394852</v>
      </c>
      <c r="AP732">
        <f t="shared" si="281"/>
        <v>1.6691458029647335</v>
      </c>
      <c r="AQ732">
        <f t="shared" si="282"/>
        <v>0</v>
      </c>
      <c r="AR732">
        <f t="shared" si="283"/>
        <v>8.58</v>
      </c>
      <c r="AS732">
        <f t="shared" si="284"/>
        <v>0</v>
      </c>
      <c r="AT732" t="str">
        <f t="shared" si="285"/>
        <v>VENTAS</v>
      </c>
      <c r="AU732">
        <f t="shared" si="286"/>
        <v>10.05813051394852</v>
      </c>
      <c r="AV732" t="str">
        <f t="shared" si="287"/>
        <v>Mayor retorno probable: VENTAS (+10,1 puntos finales potenciales).</v>
      </c>
    </row>
    <row r="733" spans="1:48" x14ac:dyDescent="0.3">
      <c r="A733" s="5">
        <v>51054873</v>
      </c>
      <c r="B733" s="5" t="str">
        <f>IFERROR(VLOOKUP(A733,VENTAS!$A$2:$B$1194,2,0),"")</f>
        <v>ROBERTS</v>
      </c>
      <c r="C733" s="5">
        <f>IFERROR(INDEX(VENTAS!$C$2:$E$1194,MATCH(A733,VENTAS!$A$2:$A$1194,0),MATCH(PARAMS_MODELO!$B$2,{"Q1","Q2","Q3"},0)),0)</f>
        <v>39730625.810000002</v>
      </c>
      <c r="D733" s="5">
        <f>IFERROR(INDEX(VENTAS!$F$2:$H$1194,MATCH(A733,VENTAS!$A$2:$A$1194,0),MATCH(PARAMS_MODELO!$B$2,{"Q1","Q2","Q3"},0)),0)</f>
        <v>54608792</v>
      </c>
      <c r="E733" s="8">
        <f t="shared" si="264"/>
        <v>0.37447600904024103</v>
      </c>
      <c r="F733" s="12">
        <f>IF(E733&lt;=PARAMS_MODELO!$B$15,0,IF(E733&gt;=PARAMS_MODELO!$B$17,100,100*MIN(1,(E733-PARAMS_MODELO!$B$15)/(PARAMS_MODELO!$B$16-PARAMS_MODELO!$B$15))))*PARAMS_MODELO!$B$7</f>
        <v>35</v>
      </c>
      <c r="G733" s="5">
        <f t="shared" si="265"/>
        <v>14878166.189999998</v>
      </c>
      <c r="H733" s="5">
        <f>(PARAMS_MODELO!$B$20*(MAX(0,MIN(3,E733))/3)+PARAMS_MODELO!$B$21*(IFERROR(LN(1+MAX(0,G733))/LN(1+MAX(0,MAX($G$2:$G$1194))),0)))*100*PARAMS_MODELO!$B$8</f>
        <v>5.1821076255737966</v>
      </c>
      <c r="I733" s="8">
        <f>E733-PARAMS_MODELO!$B$5</f>
        <v>0.1969131736647145</v>
      </c>
      <c r="J733" s="5">
        <f>IF(I733&lt;=PARAMS_MODELO!$B$18,0,IF(I733&gt;=PARAMS_MODELO!$B$19,100,100*(I733-PARAMS_MODELO!$B$18)/(PARAMS_MODELO!$B$19-PARAMS_MODELO!$B$18)))*PARAMS_MODELO!$B$9</f>
        <v>15</v>
      </c>
      <c r="K733" s="5">
        <f>IFERROR(CHOOSE(MATCH(PARAMS_MODELO!$B$2,{"Q1","Q2","Q3"},0),LOTO!$D733,LOTO!$F733,LOTO!$H733),0)</f>
        <v>2450000</v>
      </c>
      <c r="L733" s="8">
        <f t="shared" si="266"/>
        <v>4.4864570525566652E-2</v>
      </c>
      <c r="M733" s="5">
        <f>MIN(100,IF(PARAMS_MODELO!$B$23=0,0,100*L733/PARAMS_MODELO!$B$23))*PARAMS_MODELO!$B$10</f>
        <v>13.459371157669993</v>
      </c>
      <c r="N733" s="5">
        <f>IFERROR(VLOOKUP(A733,COMPLIANCE!$A$2:$F$1996,6,0),100)</f>
        <v>99.7</v>
      </c>
      <c r="O733" s="5">
        <f>N733*PARAMS_MODELO!$B$11</f>
        <v>9.9700000000000006</v>
      </c>
      <c r="P733" s="5">
        <f>IFERROR(VLOOKUP(A733,DIGITAL!$A$2:$J$2000,7,0),100)</f>
        <v>99</v>
      </c>
      <c r="Q733" s="5">
        <f>IFERROR(P733,0)*PARAMS_MODELO!$B$12</f>
        <v>9.9</v>
      </c>
      <c r="R733">
        <f t="shared" si="267"/>
        <v>88.511478783243803</v>
      </c>
      <c r="S733" s="5" t="str">
        <f>IFERROR(VLOOKUP(A733,CLIENTE!$A$2:$N$2000,13,0),1)</f>
        <v>Bueno</v>
      </c>
      <c r="T733" s="5">
        <f>IFERROR(VLOOKUP(A733,CLIENTE!$A$2:$N$2000,14,0),1)</f>
        <v>1.1000000000000001</v>
      </c>
      <c r="U733" s="5">
        <f t="shared" si="268"/>
        <v>97.362626661568186</v>
      </c>
      <c r="V733" s="5" t="str">
        <f>IF(U733&gt;=MAX(_xlfn.PERCENTILE.INC($U$2:$U$1194,PARAMS_MODELO!$B$50),PARAMS_MODELO!$B$45),"DIAMANTE",IF(U733&gt;=MAX(_xlfn.PERCENTILE.INC($U$2:$U$1194,PARAMS_MODELO!$B$51),PARAMS_MODELO!$B$46),"PLATINO",IF(U733&gt;=MAX(_xlfn.PERCENTILE.INC($U$2:$U$1194,PARAMS_MODELO!$B$52),PARAMS_MODELO!$B$47),"ORO",IF(U733&gt;=MAX(_xlfn.PERCENTILE.INC($U$2:$U$1194,PARAMS_MODELO!$B$53),PARAMS_MODELO!$B$48),"PLATA",IF(U733&gt;=1,"BRONCE","CERRADO")))))</f>
        <v>DIAMANTE</v>
      </c>
      <c r="W733" s="5" t="str" cm="1">
        <f t="array" ref="W733">_xlfn.XLOOKUP(1, (HIST_SCORE!$B:$B=PARAMS_MODELO!$B$4) * (HIST_SCORE!$C:$C=A733), HIST_SCORE!$E:$E, "No encontrado")</f>
        <v>ORO</v>
      </c>
      <c r="X733" s="5" t="str">
        <f>_xlfn.LET(_xlpm.act,MATCH(V733,{"DIAMANTE";"PLATINO";"ORO";"PLATA";"BRONCE";"CERRADO"},0),_xlpm.ant,MATCH(W733,{"DIAMANTE";"PLATINO";"ORO";"PLATA";"BRONCE";"CERRADO"},0),IF(_xlpm.act&lt;_xlpm.ant,"Mejora ↑",IF(_xlpm.act&gt;_xlpm.ant,"Baja ↓","Estable →")))</f>
        <v>Mejora ↑</v>
      </c>
      <c r="Y733" s="5">
        <f>IFERROR(U733-SUMIFS(HIST_SCORE!$D:$D,HIST_SCORE!$B:$B,PARAMS_MODELO!$B$4,HIST_SCORE!$C:$C,$A733),"")</f>
        <v>17.172129696767072</v>
      </c>
      <c r="Z733" s="5" t="str">
        <f t="shared" si="269"/>
        <v>↑ Mejora</v>
      </c>
      <c r="AA733" s="5">
        <f t="shared" si="270"/>
        <v>44</v>
      </c>
      <c r="AB733" s="5">
        <f>IFERROR(SUMIFS(HIST_SCORE!$F:$F,HIST_SCORE!$B:$B,PARAMS_MODELO!$B$4,HIST_SCORE!$C:$C,$A733),"")</f>
        <v>415</v>
      </c>
      <c r="AC733" s="5">
        <f t="shared" si="271"/>
        <v>371</v>
      </c>
      <c r="AD733" t="str">
        <f t="shared" si="273"/>
        <v/>
      </c>
      <c r="AE7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733="CERRADO",1,IF(V733="BRONCE",_xlpm.cPl,IF(V733="PLATA",_xlpm.cO,IF(V733="ORO",_xlpm.cP,IF(V733="PLATINO",_xlpm.cD,999))))))</f>
        <v>999</v>
      </c>
      <c r="AF7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733="CERRADO",0,IF(V733="BRONCE",1,IF(V733="PLATA",_xlpm.cPl,IF(V733="ORO",_xlpm.cO,IF(V733="PLATINO",_xlpm.cP,_xlpm.cD))))))</f>
        <v>96.054919694466676</v>
      </c>
      <c r="AG733">
        <f t="shared" si="274"/>
        <v>819.67033939857436</v>
      </c>
      <c r="AH733" t="str">
        <f t="shared" si="275"/>
        <v>SOSTENER</v>
      </c>
      <c r="AI733" t="str">
        <f t="shared" si="272"/>
        <v>✅ Mantener desempeño y monitorear variaciones para sostener categoría.</v>
      </c>
      <c r="AJ733" s="26">
        <f>_xlfn.LET(_xlpm.piso,AF733,_xlpm.corte,AE733,_xlpm.prog,IF(_xlpm.corte&lt;=_xlpm.piso,0,MAX(0,MIN(1,(U733-_xlpm.piso)/(_xlpm.corte-_xlpm.piso)))),_xlpm.orden,{"DIAMANTE";"PLATINO";"ORO";"PLATA";"BRONCE";"CERRADO"},_xlpm.act,IFERROR(MATCH(V733,_xlpm.orden,0),6),_xlpm.ant,IFERROR(MATCH(W733,_xlpm.orden,0),6),_xlpm.ajmov,IF(_xlpm.act&lt;_xlpm.ant,0.08,IF(_xlpm.act&gt;_xlpm.ant,-0.08,0)),_xlpm.ajcli,IF(T733&lt;0.95,-0.06,0),_xlpm.prob,MAX(0,MIN(1,_xlpm.prog+_xlpm.ajmov+_xlpm.ajcli)),IF(OR(V733="DIAMANTE",V733="CERRADO"),0,ROUND(_xlpm.prob,2)))</f>
        <v>0</v>
      </c>
      <c r="AK733" t="str">
        <f t="shared" si="276"/>
        <v>No aplica</v>
      </c>
      <c r="AL733" t="str">
        <f t="shared" si="277"/>
        <v>Margen de seguridad: 1,3 puntos</v>
      </c>
      <c r="AM733">
        <f t="shared" si="278"/>
        <v>0.8</v>
      </c>
      <c r="AN733" t="str">
        <f t="shared" si="279"/>
        <v>PRIORIDAD ALTA – requiere intervención inmediata</v>
      </c>
      <c r="AO733">
        <f t="shared" si="280"/>
        <v>10.648507814693964</v>
      </c>
      <c r="AP733">
        <f t="shared" si="281"/>
        <v>1.6946917265630073</v>
      </c>
      <c r="AQ733">
        <f t="shared" si="282"/>
        <v>3.2999999999999301E-2</v>
      </c>
      <c r="AR733">
        <f t="shared" si="283"/>
        <v>0.10999999999999961</v>
      </c>
      <c r="AS733">
        <f t="shared" si="284"/>
        <v>0</v>
      </c>
      <c r="AT733" t="str">
        <f t="shared" si="285"/>
        <v>VENTAS</v>
      </c>
      <c r="AU733">
        <f t="shared" si="286"/>
        <v>10.648507814693964</v>
      </c>
      <c r="AV733" t="str">
        <f t="shared" si="287"/>
        <v>Mayor retorno probable: VENTAS (+10,6 puntos finales potenciales).</v>
      </c>
    </row>
    <row r="734" spans="1:48" x14ac:dyDescent="0.3">
      <c r="A734" s="5">
        <v>51013913</v>
      </c>
      <c r="B734" s="5" t="str">
        <f>IFERROR(VLOOKUP(A734,VENTAS!$A$2:$B$1194,2,0),"")</f>
        <v>BELUZZO</v>
      </c>
      <c r="C734" s="5">
        <f>IFERROR(INDEX(VENTAS!$C$2:$E$1194,MATCH(A734,VENTAS!$A$2:$A$1194,0),MATCH(PARAMS_MODELO!$B$2,{"Q1","Q2","Q3"},0)),0)</f>
        <v>34552960.719999999</v>
      </c>
      <c r="D734" s="5">
        <f>IFERROR(INDEX(VENTAS!$F$2:$H$1194,MATCH(A734,VENTAS!$A$2:$A$1194,0),MATCH(PARAMS_MODELO!$B$2,{"Q1","Q2","Q3"},0)),0)</f>
        <v>54557685</v>
      </c>
      <c r="E734" s="8">
        <f t="shared" si="264"/>
        <v>0.57895832551393589</v>
      </c>
      <c r="F734" s="12">
        <f>IF(E734&lt;=PARAMS_MODELO!$B$15,0,IF(E734&gt;=PARAMS_MODELO!$B$17,100,100*MIN(1,(E734-PARAMS_MODELO!$B$15)/(PARAMS_MODELO!$B$16-PARAMS_MODELO!$B$15))))*PARAMS_MODELO!$B$7</f>
        <v>35</v>
      </c>
      <c r="G734" s="5">
        <f t="shared" si="265"/>
        <v>20004724.280000001</v>
      </c>
      <c r="H734" s="5">
        <f>(PARAMS_MODELO!$B$20*(MAX(0,MIN(3,E734))/3)+PARAMS_MODELO!$B$21*(IFERROR(LN(1+MAX(0,G734))/LN(1+MAX(0,MAX($G$2:$G$1194))),0)))*100*PARAMS_MODELO!$B$8</f>
        <v>5.9671995326570562</v>
      </c>
      <c r="I734" s="8">
        <f>E734-PARAMS_MODELO!$B$5</f>
        <v>0.40139549013840936</v>
      </c>
      <c r="J734" s="5">
        <f>IF(I734&lt;=PARAMS_MODELO!$B$18,0,IF(I734&gt;=PARAMS_MODELO!$B$19,100,100*(I734-PARAMS_MODELO!$B$18)/(PARAMS_MODELO!$B$19-PARAMS_MODELO!$B$18)))*PARAMS_MODELO!$B$9</f>
        <v>15</v>
      </c>
      <c r="K734" s="5">
        <f>IFERROR(CHOOSE(MATCH(PARAMS_MODELO!$B$2,{"Q1","Q2","Q3"},0),LOTO!$D734,LOTO!$F734,LOTO!$H734),0)</f>
        <v>2447500</v>
      </c>
      <c r="L734" s="8">
        <f t="shared" si="266"/>
        <v>4.4860774426187619E-2</v>
      </c>
      <c r="M734" s="5">
        <f>MIN(100,IF(PARAMS_MODELO!$B$23=0,0,100*L734/PARAMS_MODELO!$B$23))*PARAMS_MODELO!$B$10</f>
        <v>13.458232327856285</v>
      </c>
      <c r="N734" s="5">
        <f>IFERROR(VLOOKUP(A734,COMPLIANCE!$A$2:$F$1996,6,0),100)</f>
        <v>99.81</v>
      </c>
      <c r="O734" s="5">
        <f>N734*PARAMS_MODELO!$B$11</f>
        <v>9.9810000000000016</v>
      </c>
      <c r="P734" s="5">
        <f>IFERROR(VLOOKUP(A734,DIGITAL!$A$2:$J$2000,7,0),100)</f>
        <v>49</v>
      </c>
      <c r="Q734" s="5">
        <f>IFERROR(P734,0)*PARAMS_MODELO!$B$12</f>
        <v>4.9000000000000004</v>
      </c>
      <c r="R734">
        <f t="shared" si="267"/>
        <v>84.306431860513356</v>
      </c>
      <c r="S734" s="5" t="str">
        <f>IFERROR(VLOOKUP(A734,CLIENTE!$A$2:$N$2000,13,0),1)</f>
        <v>Regular</v>
      </c>
      <c r="T734" s="5">
        <f>IFERROR(VLOOKUP(A734,CLIENTE!$A$2:$N$2000,14,0),1)</f>
        <v>1</v>
      </c>
      <c r="U734" s="5">
        <f t="shared" si="268"/>
        <v>84.306431860513356</v>
      </c>
      <c r="V734" s="5" t="str">
        <f>IF(U734&gt;=MAX(_xlfn.PERCENTILE.INC($U$2:$U$1194,PARAMS_MODELO!$B$50),PARAMS_MODELO!$B$45),"DIAMANTE",IF(U734&gt;=MAX(_xlfn.PERCENTILE.INC($U$2:$U$1194,PARAMS_MODELO!$B$51),PARAMS_MODELO!$B$46),"PLATINO",IF(U734&gt;=MAX(_xlfn.PERCENTILE.INC($U$2:$U$1194,PARAMS_MODELO!$B$52),PARAMS_MODELO!$B$47),"ORO",IF(U734&gt;=MAX(_xlfn.PERCENTILE.INC($U$2:$U$1194,PARAMS_MODELO!$B$53),PARAMS_MODELO!$B$48),"PLATA",IF(U734&gt;=1,"BRONCE","CERRADO")))))</f>
        <v>ORO</v>
      </c>
      <c r="W734" s="5" t="str" cm="1">
        <f t="array" ref="W734">_xlfn.XLOOKUP(1, (HIST_SCORE!$B:$B=PARAMS_MODELO!$B$4) * (HIST_SCORE!$C:$C=A734), HIST_SCORE!$E:$E, "No encontrado")</f>
        <v>PLATA</v>
      </c>
      <c r="X734" s="5" t="str">
        <f>_xlfn.LET(_xlpm.act,MATCH(V734,{"DIAMANTE";"PLATINO";"ORO";"PLATA";"BRONCE";"CERRADO"},0),_xlpm.ant,MATCH(W734,{"DIAMANTE";"PLATINO";"ORO";"PLATA";"BRONCE";"CERRADO"},0),IF(_xlpm.act&lt;_xlpm.ant,"Mejora ↑",IF(_xlpm.act&gt;_xlpm.ant,"Baja ↓","Estable →")))</f>
        <v>Mejora ↑</v>
      </c>
      <c r="Y734" s="5">
        <f>IFERROR(U734-SUMIFS(HIST_SCORE!$D:$D,HIST_SCORE!$B:$B,PARAMS_MODELO!$B$4,HIST_SCORE!$C:$C,$A734),"")</f>
        <v>43.816690165836512</v>
      </c>
      <c r="Z734" s="5" t="str">
        <f t="shared" si="269"/>
        <v>↑ Mejora</v>
      </c>
      <c r="AA734" s="5">
        <f t="shared" si="270"/>
        <v>305</v>
      </c>
      <c r="AB734" s="5">
        <f>IFERROR(SUMIFS(HIST_SCORE!$F:$F,HIST_SCORE!$B:$B,PARAMS_MODELO!$B$4,HIST_SCORE!$C:$C,$A734),"")</f>
        <v>844</v>
      </c>
      <c r="AC734" s="5">
        <f t="shared" si="271"/>
        <v>539</v>
      </c>
      <c r="AD734" t="str">
        <f t="shared" si="273"/>
        <v/>
      </c>
      <c r="AE7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734="CERRADO",1,IF(V734="BRONCE",_xlpm.cPl,IF(V734="PLATA",_xlpm.cO,IF(V734="ORO",_xlpm.cP,IF(V734="PLATINO",_xlpm.cD,999))))))</f>
        <v>86.439123873763251</v>
      </c>
      <c r="AF7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734="CERRADO",0,IF(V734="BRONCE",1,IF(V734="PLATA",_xlpm.cPl,IF(V734="ORO",_xlpm.cO,IF(V734="PLATINO",_xlpm.cP,_xlpm.cD))))))</f>
        <v>63.199193273331495</v>
      </c>
      <c r="AG734">
        <f t="shared" si="274"/>
        <v>2.1326920132498941</v>
      </c>
      <c r="AH734" t="str">
        <f t="shared" si="275"/>
        <v>VENTAS</v>
      </c>
      <c r="AI734" t="str">
        <f t="shared" si="272"/>
        <v>🎯 Para subir de categoría, eje VENTAS / IMPACTO ABSOLUTO (H). Acción: metas semanales + activación comercial + seguimiento del asesor. ΔR aprox: 2,1</v>
      </c>
      <c r="AJ734" s="26">
        <f>_xlfn.LET(_xlpm.piso,AF734,_xlpm.corte,AE734,_xlpm.prog,IF(_xlpm.corte&lt;=_xlpm.piso,0,MAX(0,MIN(1,(U734-_xlpm.piso)/(_xlpm.corte-_xlpm.piso)))),_xlpm.orden,{"DIAMANTE";"PLATINO";"ORO";"PLATA";"BRONCE";"CERRADO"},_xlpm.act,IFERROR(MATCH(V734,_xlpm.orden,0),6),_xlpm.ant,IFERROR(MATCH(W734,_xlpm.orden,0),6),_xlpm.ajmov,IF(_xlpm.act&lt;_xlpm.ant,0.08,IF(_xlpm.act&gt;_xlpm.ant,-0.08,0)),_xlpm.ajcli,IF(T734&lt;0.95,-0.06,0),_xlpm.prob,MAX(0,MIN(1,_xlpm.prog+_xlpm.ajmov+_xlpm.ajcli)),IF(OR(V734="DIAMANTE",V734="CERRADO"),0,ROUND(_xlpm.prob,2)))</f>
        <v>0.99</v>
      </c>
      <c r="AK734" t="str">
        <f t="shared" si="276"/>
        <v>Faltan 2,1 puntos base para subir a la siguiente categoría</v>
      </c>
      <c r="AL734" t="str">
        <f t="shared" si="277"/>
        <v>Margen de seguridad: 21,1 puntos</v>
      </c>
      <c r="AM734">
        <f t="shared" si="278"/>
        <v>0.09</v>
      </c>
      <c r="AN734" t="str">
        <f t="shared" si="279"/>
        <v>PRIORIDAD BAJA – control normal</v>
      </c>
      <c r="AO734">
        <f t="shared" si="280"/>
        <v>8.895369742638529</v>
      </c>
      <c r="AP734">
        <f t="shared" si="281"/>
        <v>1.541767672143715</v>
      </c>
      <c r="AQ734">
        <f t="shared" si="282"/>
        <v>1.8999999999998352E-2</v>
      </c>
      <c r="AR734">
        <f t="shared" si="283"/>
        <v>5.0999999999999996</v>
      </c>
      <c r="AS734">
        <f t="shared" si="284"/>
        <v>0</v>
      </c>
      <c r="AT734" t="str">
        <f t="shared" si="285"/>
        <v>VENTAS</v>
      </c>
      <c r="AU734">
        <f t="shared" si="286"/>
        <v>8.895369742638529</v>
      </c>
      <c r="AV734" t="str">
        <f t="shared" si="287"/>
        <v>Mayor retorno probable: VENTAS (+8,9 puntos finales potenciales).</v>
      </c>
    </row>
    <row r="735" spans="1:48" x14ac:dyDescent="0.3">
      <c r="A735" s="5">
        <v>51033302</v>
      </c>
      <c r="B735" s="5" t="str">
        <f>IFERROR(VLOOKUP(A735,VENTAS!$A$2:$B$1194,2,0),"")</f>
        <v>ARGUELLO</v>
      </c>
      <c r="C735" s="5">
        <f>IFERROR(INDEX(VENTAS!$C$2:$E$1194,MATCH(A735,VENTAS!$A$2:$A$1194,0),MATCH(PARAMS_MODELO!$B$2,{"Q1","Q2","Q3"},0)),0)</f>
        <v>49536458.030000001</v>
      </c>
      <c r="D735" s="5">
        <f>IFERROR(INDEX(VENTAS!$F$2:$H$1194,MATCH(A735,VENTAS!$A$2:$A$1194,0),MATCH(PARAMS_MODELO!$B$2,{"Q1","Q2","Q3"},0)),0)</f>
        <v>54493111</v>
      </c>
      <c r="E735" s="8">
        <f t="shared" si="264"/>
        <v>0.10006070613684526</v>
      </c>
      <c r="F735" s="12">
        <f>IF(E735&lt;=PARAMS_MODELO!$B$15,0,IF(E735&gt;=PARAMS_MODELO!$B$17,100,100*MIN(1,(E735-PARAMS_MODELO!$B$15)/(PARAMS_MODELO!$B$16-PARAMS_MODELO!$B$15))))*PARAMS_MODELO!$B$7</f>
        <v>35</v>
      </c>
      <c r="G735" s="5">
        <f t="shared" si="265"/>
        <v>4956652.9699999988</v>
      </c>
      <c r="H735" s="5">
        <f>(PARAMS_MODELO!$B$20*(MAX(0,MIN(3,E735))/3)+PARAMS_MODELO!$B$21*(IFERROR(LN(1+MAX(0,G735))/LN(1+MAX(0,MAX($G$2:$G$1194))),0)))*100*PARAMS_MODELO!$B$8</f>
        <v>3.9639946930576446</v>
      </c>
      <c r="I735" s="8">
        <f>E735-PARAMS_MODELO!$B$5</f>
        <v>-7.7502129238681272E-2</v>
      </c>
      <c r="J735" s="5">
        <f>IF(I735&lt;=PARAMS_MODELO!$B$18,0,IF(I735&gt;=PARAMS_MODELO!$B$19,100,100*(I735-PARAMS_MODELO!$B$18)/(PARAMS_MODELO!$B$19-PARAMS_MODELO!$B$18)))*PARAMS_MODELO!$B$9</f>
        <v>0</v>
      </c>
      <c r="K735" s="5">
        <f>IFERROR(CHOOSE(MATCH(PARAMS_MODELO!$B$2,{"Q1","Q2","Q3"},0),LOTO!$D735,LOTO!$F735,LOTO!$H735),0)</f>
        <v>2447500</v>
      </c>
      <c r="L735" s="8">
        <f t="shared" si="266"/>
        <v>4.491393416683441E-2</v>
      </c>
      <c r="M735" s="5">
        <f>MIN(100,IF(PARAMS_MODELO!$B$23=0,0,100*L735/PARAMS_MODELO!$B$23))*PARAMS_MODELO!$B$10</f>
        <v>13.474180250050322</v>
      </c>
      <c r="N735" s="5">
        <f>IFERROR(VLOOKUP(A735,COMPLIANCE!$A$2:$F$1996,6,0),100)</f>
        <v>100</v>
      </c>
      <c r="O735" s="5">
        <f>N735*PARAMS_MODELO!$B$11</f>
        <v>10</v>
      </c>
      <c r="P735" s="5">
        <f>IFERROR(VLOOKUP(A735,DIGITAL!$A$2:$J$2000,7,0),100)</f>
        <v>45</v>
      </c>
      <c r="Q735" s="5">
        <f>IFERROR(P735,0)*PARAMS_MODELO!$B$12</f>
        <v>4.5</v>
      </c>
      <c r="R735">
        <f t="shared" si="267"/>
        <v>66.938174943107967</v>
      </c>
      <c r="S735" s="5" t="str">
        <f>IFERROR(VLOOKUP(A735,CLIENTE!$A$2:$N$2000,13,0),1)</f>
        <v>Malo</v>
      </c>
      <c r="T735" s="5">
        <f>IFERROR(VLOOKUP(A735,CLIENTE!$A$2:$N$2000,14,0),1)</f>
        <v>0.7</v>
      </c>
      <c r="U735" s="5">
        <f t="shared" si="268"/>
        <v>46.856722460175575</v>
      </c>
      <c r="V735" s="5" t="str">
        <f>IF(U735&gt;=MAX(_xlfn.PERCENTILE.INC($U$2:$U$1194,PARAMS_MODELO!$B$50),PARAMS_MODELO!$B$45),"DIAMANTE",IF(U735&gt;=MAX(_xlfn.PERCENTILE.INC($U$2:$U$1194,PARAMS_MODELO!$B$51),PARAMS_MODELO!$B$46),"PLATINO",IF(U735&gt;=MAX(_xlfn.PERCENTILE.INC($U$2:$U$1194,PARAMS_MODELO!$B$52),PARAMS_MODELO!$B$47),"ORO",IF(U735&gt;=MAX(_xlfn.PERCENTILE.INC($U$2:$U$1194,PARAMS_MODELO!$B$53),PARAMS_MODELO!$B$48),"PLATA",IF(U735&gt;=1,"BRONCE","CERRADO")))))</f>
        <v>PLATA</v>
      </c>
      <c r="W735" s="5" t="str" cm="1">
        <f t="array" ref="W735">_xlfn.XLOOKUP(1, (HIST_SCORE!$B:$B=PARAMS_MODELO!$B$4) * (HIST_SCORE!$C:$C=A735), HIST_SCORE!$E:$E, "No encontrado")</f>
        <v>PLATA</v>
      </c>
      <c r="X735" s="5" t="str">
        <f>_xlfn.LET(_xlpm.act,MATCH(V735,{"DIAMANTE";"PLATINO";"ORO";"PLATA";"BRONCE";"CERRADO"},0),_xlpm.ant,MATCH(W735,{"DIAMANTE";"PLATINO";"ORO";"PLATA";"BRONCE";"CERRADO"},0),IF(_xlpm.act&lt;_xlpm.ant,"Mejora ↑",IF(_xlpm.act&gt;_xlpm.ant,"Baja ↓","Estable →")))</f>
        <v>Estable →</v>
      </c>
      <c r="Y735" s="5">
        <f>IFERROR(U735-SUMIFS(HIST_SCORE!$D:$D,HIST_SCORE!$B:$B,PARAMS_MODELO!$B$4,HIST_SCORE!$C:$C,$A735),"")</f>
        <v>19.08612265788663</v>
      </c>
      <c r="Z735" s="5" t="str">
        <f t="shared" si="269"/>
        <v>↑ Mejora</v>
      </c>
      <c r="AA735" s="5">
        <f t="shared" si="270"/>
        <v>761</v>
      </c>
      <c r="AB735" s="5">
        <f>IFERROR(SUMIFS(HIST_SCORE!$F:$F,HIST_SCORE!$B:$B,PARAMS_MODELO!$B$4,HIST_SCORE!$C:$C,$A735),"")</f>
        <v>932</v>
      </c>
      <c r="AC735" s="5">
        <f t="shared" si="271"/>
        <v>171</v>
      </c>
      <c r="AD735" t="str">
        <f t="shared" si="273"/>
        <v/>
      </c>
      <c r="AE7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735="CERRADO",1,IF(V735="BRONCE",_xlpm.cPl,IF(V735="PLATA",_xlpm.cO,IF(V735="ORO",_xlpm.cP,IF(V735="PLATINO",_xlpm.cD,999))))))</f>
        <v>63.199193273331495</v>
      </c>
      <c r="AF7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735="CERRADO",0,IF(V735="BRONCE",1,IF(V735="PLATA",_xlpm.cPl,IF(V735="ORO",_xlpm.cO,IF(V735="PLATINO",_xlpm.cP,_xlpm.cD))))))</f>
        <v>24.506573482968111</v>
      </c>
      <c r="AG735">
        <f t="shared" si="274"/>
        <v>23.346386875937029</v>
      </c>
      <c r="AH735" t="str">
        <f t="shared" si="275"/>
        <v>CLIENTE</v>
      </c>
      <c r="AI735" t="str">
        <f t="shared" si="272"/>
        <v>🎯 Para subir de categoría, la eje con mayor impacto probable es CLIENTE (coef T). Acción: reducir quejas, mejorar incógnito y empujar reseñas. ΔR aprox: 23,3</v>
      </c>
      <c r="AJ735" s="26">
        <f>_xlfn.LET(_xlpm.piso,AF735,_xlpm.corte,AE735,_xlpm.prog,IF(_xlpm.corte&lt;=_xlpm.piso,0,MAX(0,MIN(1,(U735-_xlpm.piso)/(_xlpm.corte-_xlpm.piso)))),_xlpm.orden,{"DIAMANTE";"PLATINO";"ORO";"PLATA";"BRONCE";"CERRADO"},_xlpm.act,IFERROR(MATCH(V735,_xlpm.orden,0),6),_xlpm.ant,IFERROR(MATCH(W735,_xlpm.orden,0),6),_xlpm.ajmov,IF(_xlpm.act&lt;_xlpm.ant,0.08,IF(_xlpm.act&gt;_xlpm.ant,-0.08,0)),_xlpm.ajcli,IF(T735&lt;0.95,-0.06,0),_xlpm.prob,MAX(0,MIN(1,_xlpm.prog+_xlpm.ajmov+_xlpm.ajcli)),IF(OR(V735="DIAMANTE",V735="CERRADO"),0,ROUND(_xlpm.prob,2)))</f>
        <v>0.52</v>
      </c>
      <c r="AK735" t="str">
        <f t="shared" si="276"/>
        <v>Faltan 23,3 puntos base para subir a la siguiente categoría</v>
      </c>
      <c r="AL735" t="str">
        <f t="shared" si="277"/>
        <v>Margen de seguridad: 22,4 puntos</v>
      </c>
      <c r="AM735">
        <f t="shared" si="278"/>
        <v>0.79</v>
      </c>
      <c r="AN735" t="str">
        <f t="shared" si="279"/>
        <v>PRIORIDAD ALTA – requiere intervención inmediata</v>
      </c>
      <c r="AO735">
        <f t="shared" si="280"/>
        <v>18.129002207566558</v>
      </c>
      <c r="AP735">
        <f t="shared" si="281"/>
        <v>1.0680738249647743</v>
      </c>
      <c r="AQ735">
        <f t="shared" si="282"/>
        <v>0</v>
      </c>
      <c r="AR735">
        <f t="shared" si="283"/>
        <v>3.8499999999999996</v>
      </c>
      <c r="AS735">
        <f t="shared" si="284"/>
        <v>20.081452482932391</v>
      </c>
      <c r="AT735" t="str">
        <f t="shared" si="285"/>
        <v>CLIENTE</v>
      </c>
      <c r="AU735">
        <f t="shared" si="286"/>
        <v>20.081452482932391</v>
      </c>
      <c r="AV735" t="str">
        <f t="shared" si="287"/>
        <v>Mayor retorno probable: CLIENTE (+20,1 puntos finales potenciales).</v>
      </c>
    </row>
    <row r="736" spans="1:48" x14ac:dyDescent="0.3">
      <c r="A736" s="5">
        <v>51054806</v>
      </c>
      <c r="B736" s="5" t="str">
        <f>IFERROR(VLOOKUP(A736,VENTAS!$A$2:$B$1194,2,0),"")</f>
        <v>ROBERTS</v>
      </c>
      <c r="C736" s="5">
        <f>IFERROR(INDEX(VENTAS!$C$2:$E$1194,MATCH(A736,VENTAS!$A$2:$A$1194,0),MATCH(PARAMS_MODELO!$B$2,{"Q1","Q2","Q3"},0)),0)</f>
        <v>54304459.159999996</v>
      </c>
      <c r="D736" s="5">
        <f>IFERROR(INDEX(VENTAS!$F$2:$H$1194,MATCH(A736,VENTAS!$A$2:$A$1194,0),MATCH(PARAMS_MODELO!$B$2,{"Q1","Q2","Q3"},0)),0)</f>
        <v>54074927</v>
      </c>
      <c r="E736" s="8">
        <f t="shared" si="264"/>
        <v>-4.2267644968844165E-3</v>
      </c>
      <c r="F736" s="12">
        <f>IF(E736&lt;=PARAMS_MODELO!$B$15,0,IF(E736&gt;=PARAMS_MODELO!$B$17,100,100*MIN(1,(E736-PARAMS_MODELO!$B$15)/(PARAMS_MODELO!$B$16-PARAMS_MODELO!$B$15))))*PARAMS_MODELO!$B$7</f>
        <v>0</v>
      </c>
      <c r="G736" s="5">
        <f t="shared" si="265"/>
        <v>0</v>
      </c>
      <c r="H736" s="5">
        <f>(PARAMS_MODELO!$B$20*(MAX(0,MIN(3,E736))/3)+PARAMS_MODELO!$B$21*(IFERROR(LN(1+MAX(0,G736))/LN(1+MAX(0,MAX($G$2:$G$1194))),0)))*100*PARAMS_MODELO!$B$8</f>
        <v>0</v>
      </c>
      <c r="I736" s="8">
        <f>E736-PARAMS_MODELO!$B$5</f>
        <v>-0.18178959987241095</v>
      </c>
      <c r="J736" s="5">
        <f>IF(I736&lt;=PARAMS_MODELO!$B$18,0,IF(I736&gt;=PARAMS_MODELO!$B$19,100,100*(I736-PARAMS_MODELO!$B$18)/(PARAMS_MODELO!$B$19-PARAMS_MODELO!$B$18)))*PARAMS_MODELO!$B$9</f>
        <v>0</v>
      </c>
      <c r="K736" s="5">
        <f>IFERROR(CHOOSE(MATCH(PARAMS_MODELO!$B$2,{"Q1","Q2","Q3"},0),LOTO!$D736,LOTO!$F736,LOTO!$H736),0)</f>
        <v>2445000</v>
      </c>
      <c r="L736" s="8">
        <f t="shared" si="266"/>
        <v>4.5215040234820841E-2</v>
      </c>
      <c r="M736" s="5">
        <f>MIN(100,IF(PARAMS_MODELO!$B$23=0,0,100*L736/PARAMS_MODELO!$B$23))*PARAMS_MODELO!$B$10</f>
        <v>13.564512070446252</v>
      </c>
      <c r="N736" s="5">
        <f>IFERROR(VLOOKUP(A736,COMPLIANCE!$A$2:$F$1996,6,0),100)</f>
        <v>100</v>
      </c>
      <c r="O736" s="5">
        <f>N736*PARAMS_MODELO!$B$11</f>
        <v>10</v>
      </c>
      <c r="P736" s="5">
        <f>IFERROR(VLOOKUP(A736,DIGITAL!$A$2:$J$2000,7,0),100)</f>
        <v>59</v>
      </c>
      <c r="Q736" s="5">
        <f>IFERROR(P736,0)*PARAMS_MODELO!$B$12</f>
        <v>5.9</v>
      </c>
      <c r="R736">
        <f t="shared" si="267"/>
        <v>29.464512070446254</v>
      </c>
      <c r="S736" s="5" t="str">
        <f>IFERROR(VLOOKUP(A736,CLIENTE!$A$2:$N$2000,13,0),1)</f>
        <v>Bueno</v>
      </c>
      <c r="T736" s="5">
        <f>IFERROR(VLOOKUP(A736,CLIENTE!$A$2:$N$2000,14,0),1)</f>
        <v>1.1000000000000001</v>
      </c>
      <c r="U736" s="5">
        <f t="shared" si="268"/>
        <v>32.410963277490879</v>
      </c>
      <c r="V736" s="5" t="str">
        <f>IF(U736&gt;=MAX(_xlfn.PERCENTILE.INC($U$2:$U$1194,PARAMS_MODELO!$B$50),PARAMS_MODELO!$B$45),"DIAMANTE",IF(U736&gt;=MAX(_xlfn.PERCENTILE.INC($U$2:$U$1194,PARAMS_MODELO!$B$51),PARAMS_MODELO!$B$46),"PLATINO",IF(U736&gt;=MAX(_xlfn.PERCENTILE.INC($U$2:$U$1194,PARAMS_MODELO!$B$52),PARAMS_MODELO!$B$47),"ORO",IF(U736&gt;=MAX(_xlfn.PERCENTILE.INC($U$2:$U$1194,PARAMS_MODELO!$B$53),PARAMS_MODELO!$B$48),"PLATA",IF(U736&gt;=1,"BRONCE","CERRADO")))))</f>
        <v>PLATA</v>
      </c>
      <c r="W736" s="5" t="str" cm="1">
        <f t="array" ref="W736">_xlfn.XLOOKUP(1, (HIST_SCORE!$B:$B=PARAMS_MODELO!$B$4) * (HIST_SCORE!$C:$C=A736), HIST_SCORE!$E:$E, "No encontrado")</f>
        <v>ORO</v>
      </c>
      <c r="X736" s="5" t="str">
        <f>_xlfn.LET(_xlpm.act,MATCH(V736,{"DIAMANTE";"PLATINO";"ORO";"PLATA";"BRONCE";"CERRADO"},0),_xlpm.ant,MATCH(W736,{"DIAMANTE";"PLATINO";"ORO";"PLATA";"BRONCE";"CERRADO"},0),IF(_xlpm.act&lt;_xlpm.ant,"Mejora ↑",IF(_xlpm.act&gt;_xlpm.ant,"Baja ↓","Estable →")))</f>
        <v>Baja ↓</v>
      </c>
      <c r="Y736" s="5">
        <f>IFERROR(U736-SUMIFS(HIST_SCORE!$D:$D,HIST_SCORE!$B:$B,PARAMS_MODELO!$B$4,HIST_SCORE!$C:$C,$A736),"")</f>
        <v>-43.334325830726698</v>
      </c>
      <c r="Z736" s="5" t="str">
        <f t="shared" si="269"/>
        <v>↓ Baja</v>
      </c>
      <c r="AA736" s="5">
        <f t="shared" si="270"/>
        <v>832</v>
      </c>
      <c r="AB736" s="5">
        <f>IFERROR(SUMIFS(HIST_SCORE!$F:$F,HIST_SCORE!$B:$B,PARAMS_MODELO!$B$4,HIST_SCORE!$C:$C,$A736),"")</f>
        <v>485</v>
      </c>
      <c r="AC736" s="5">
        <f t="shared" si="271"/>
        <v>-347</v>
      </c>
      <c r="AD736" t="str">
        <f t="shared" si="273"/>
        <v/>
      </c>
      <c r="AE7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736="CERRADO",1,IF(V736="BRONCE",_xlpm.cPl,IF(V736="PLATA",_xlpm.cO,IF(V736="ORO",_xlpm.cP,IF(V736="PLATINO",_xlpm.cD,999))))))</f>
        <v>63.199193273331495</v>
      </c>
      <c r="AF7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736="CERRADO",0,IF(V736="BRONCE",1,IF(V736="PLATA",_xlpm.cPl,IF(V736="ORO",_xlpm.cO,IF(V736="PLATINO",_xlpm.cP,_xlpm.cD))))))</f>
        <v>24.506573482968111</v>
      </c>
      <c r="AG736">
        <f t="shared" si="274"/>
        <v>27.98929999621874</v>
      </c>
      <c r="AH736" t="str">
        <f t="shared" si="275"/>
        <v>VENTAS</v>
      </c>
      <c r="AI736" t="str">
        <f t="shared" si="272"/>
        <v>🎯 Para subir de categoría, eje VENTAS / CRECIMIENTO PERSONAL (F). Acción: metas semanales + activación comercial + seguimiento del asesor. ΔR aprox: 28,0</v>
      </c>
      <c r="AJ736" s="26">
        <f>_xlfn.LET(_xlpm.piso,AF736,_xlpm.corte,AE736,_xlpm.prog,IF(_xlpm.corte&lt;=_xlpm.piso,0,MAX(0,MIN(1,(U736-_xlpm.piso)/(_xlpm.corte-_xlpm.piso)))),_xlpm.orden,{"DIAMANTE";"PLATINO";"ORO";"PLATA";"BRONCE";"CERRADO"},_xlpm.act,IFERROR(MATCH(V736,_xlpm.orden,0),6),_xlpm.ant,IFERROR(MATCH(W736,_xlpm.orden,0),6),_xlpm.ajmov,IF(_xlpm.act&lt;_xlpm.ant,0.08,IF(_xlpm.act&gt;_xlpm.ant,-0.08,0)),_xlpm.ajcli,IF(T736&lt;0.95,-0.06,0),_xlpm.prob,MAX(0,MIN(1,_xlpm.prog+_xlpm.ajmov+_xlpm.ajcli)),IF(OR(V736="DIAMANTE",V736="CERRADO"),0,ROUND(_xlpm.prob,2)))</f>
        <v>0.12</v>
      </c>
      <c r="AK736" t="str">
        <f t="shared" si="276"/>
        <v>Faltan 28,0 puntos base para subir a la siguiente categoría</v>
      </c>
      <c r="AL736" t="str">
        <f t="shared" si="277"/>
        <v>Margen de seguridad: 7,9 puntos</v>
      </c>
      <c r="AM736">
        <f t="shared" si="278"/>
        <v>0.75</v>
      </c>
      <c r="AN736" t="str">
        <f t="shared" si="279"/>
        <v>PRIORIDAD ALTA – requiere intervención inmediata</v>
      </c>
      <c r="AO736">
        <f t="shared" si="280"/>
        <v>71.348826202825151</v>
      </c>
      <c r="AP736">
        <f t="shared" si="281"/>
        <v>1.5790367225091229</v>
      </c>
      <c r="AQ736">
        <f t="shared" si="282"/>
        <v>0</v>
      </c>
      <c r="AR736">
        <f t="shared" si="283"/>
        <v>4.51</v>
      </c>
      <c r="AS736">
        <f t="shared" si="284"/>
        <v>0</v>
      </c>
      <c r="AT736" t="str">
        <f t="shared" si="285"/>
        <v>VENTAS</v>
      </c>
      <c r="AU736">
        <f t="shared" si="286"/>
        <v>71.348826202825151</v>
      </c>
      <c r="AV736" t="str">
        <f t="shared" si="287"/>
        <v>Mayor retorno probable: VENTAS (+71,3 puntos finales potenciales).</v>
      </c>
    </row>
    <row r="737" spans="1:48" x14ac:dyDescent="0.3">
      <c r="A737" s="5">
        <v>51030567</v>
      </c>
      <c r="B737" s="5" t="str">
        <f>IFERROR(VLOOKUP(A737,VENTAS!$A$2:$B$1194,2,0),"")</f>
        <v>NELLI</v>
      </c>
      <c r="C737" s="5">
        <f>IFERROR(INDEX(VENTAS!$C$2:$E$1194,MATCH(A737,VENTAS!$A$2:$A$1194,0),MATCH(PARAMS_MODELO!$B$2,{"Q1","Q2","Q3"},0)),0)</f>
        <v>50460586.299999997</v>
      </c>
      <c r="D737" s="5">
        <f>IFERROR(INDEX(VENTAS!$F$2:$H$1194,MATCH(A737,VENTAS!$A$2:$A$1194,0),MATCH(PARAMS_MODELO!$B$2,{"Q1","Q2","Q3"},0)),0)</f>
        <v>53983145</v>
      </c>
      <c r="E737" s="8">
        <f t="shared" si="264"/>
        <v>6.980812071935838E-2</v>
      </c>
      <c r="F737" s="12">
        <f>IF(E737&lt;=PARAMS_MODELO!$B$15,0,IF(E737&gt;=PARAMS_MODELO!$B$17,100,100*MIN(1,(E737-PARAMS_MODELO!$B$15)/(PARAMS_MODELO!$B$16-PARAMS_MODELO!$B$15))))*PARAMS_MODELO!$B$7</f>
        <v>24.432842251775433</v>
      </c>
      <c r="G737" s="5">
        <f t="shared" si="265"/>
        <v>3522558.700000003</v>
      </c>
      <c r="H737" s="5">
        <f>(PARAMS_MODELO!$B$20*(MAX(0,MIN(3,E737))/3)+PARAMS_MODELO!$B$21*(IFERROR(LN(1+MAX(0,G737))/LN(1+MAX(0,MAX($G$2:$G$1194))),0)))*100*PARAMS_MODELO!$B$8</f>
        <v>3.7780481973216515</v>
      </c>
      <c r="I737" s="8">
        <f>E737-PARAMS_MODELO!$B$5</f>
        <v>-0.10775471465616815</v>
      </c>
      <c r="J737" s="5">
        <f>IF(I737&lt;=PARAMS_MODELO!$B$18,0,IF(I737&gt;=PARAMS_MODELO!$B$19,100,100*(I737-PARAMS_MODELO!$B$18)/(PARAMS_MODELO!$B$19-PARAMS_MODELO!$B$18)))*PARAMS_MODELO!$B$9</f>
        <v>0</v>
      </c>
      <c r="K737" s="5">
        <f>IFERROR(CHOOSE(MATCH(PARAMS_MODELO!$B$2,{"Q1","Q2","Q3"},0),LOTO!$D737,LOTO!$F737,LOTO!$H737),0)</f>
        <v>2440000</v>
      </c>
      <c r="L737" s="8">
        <f t="shared" si="266"/>
        <v>4.5199293223838664E-2</v>
      </c>
      <c r="M737" s="5">
        <f>MIN(100,IF(PARAMS_MODELO!$B$23=0,0,100*L737/PARAMS_MODELO!$B$23))*PARAMS_MODELO!$B$10</f>
        <v>13.5597879671516</v>
      </c>
      <c r="N737" s="5">
        <f>IFERROR(VLOOKUP(A737,COMPLIANCE!$A$2:$F$1996,6,0),100)</f>
        <v>99.85</v>
      </c>
      <c r="O737" s="5">
        <f>N737*PARAMS_MODELO!$B$11</f>
        <v>9.9849999999999994</v>
      </c>
      <c r="P737" s="5">
        <f>IFERROR(VLOOKUP(A737,DIGITAL!$A$2:$J$2000,7,0),100)</f>
        <v>31</v>
      </c>
      <c r="Q737" s="5">
        <f>IFERROR(P737,0)*PARAMS_MODELO!$B$12</f>
        <v>3.1</v>
      </c>
      <c r="R737">
        <f t="shared" si="267"/>
        <v>54.855678416248686</v>
      </c>
      <c r="S737" s="5" t="str">
        <f>IFERROR(VLOOKUP(A737,CLIENTE!$A$2:$N$2000,13,0),1)</f>
        <v>Regular</v>
      </c>
      <c r="T737" s="5">
        <f>IFERROR(VLOOKUP(A737,CLIENTE!$A$2:$N$2000,14,0),1)</f>
        <v>1</v>
      </c>
      <c r="U737" s="5">
        <f t="shared" si="268"/>
        <v>54.855678416248686</v>
      </c>
      <c r="V737" s="5" t="str">
        <f>IF(U737&gt;=MAX(_xlfn.PERCENTILE.INC($U$2:$U$1194,PARAMS_MODELO!$B$50),PARAMS_MODELO!$B$45),"DIAMANTE",IF(U737&gt;=MAX(_xlfn.PERCENTILE.INC($U$2:$U$1194,PARAMS_MODELO!$B$51),PARAMS_MODELO!$B$46),"PLATINO",IF(U737&gt;=MAX(_xlfn.PERCENTILE.INC($U$2:$U$1194,PARAMS_MODELO!$B$52),PARAMS_MODELO!$B$47),"ORO",IF(U737&gt;=MAX(_xlfn.PERCENTILE.INC($U$2:$U$1194,PARAMS_MODELO!$B$53),PARAMS_MODELO!$B$48),"PLATA",IF(U737&gt;=1,"BRONCE","CERRADO")))))</f>
        <v>PLATA</v>
      </c>
      <c r="W737" s="5" t="str" cm="1">
        <f t="array" ref="W737">_xlfn.XLOOKUP(1, (HIST_SCORE!$B:$B=PARAMS_MODELO!$B$4) * (HIST_SCORE!$C:$C=A737), HIST_SCORE!$E:$E, "No encontrado")</f>
        <v>PLATA</v>
      </c>
      <c r="X737" s="5" t="str">
        <f>_xlfn.LET(_xlpm.act,MATCH(V737,{"DIAMANTE";"PLATINO";"ORO";"PLATA";"BRONCE";"CERRADO"},0),_xlpm.ant,MATCH(W737,{"DIAMANTE";"PLATINO";"ORO";"PLATA";"BRONCE";"CERRADO"},0),IF(_xlpm.act&lt;_xlpm.ant,"Mejora ↑",IF(_xlpm.act&gt;_xlpm.ant,"Baja ↓","Estable →")))</f>
        <v>Estable →</v>
      </c>
      <c r="Y737" s="5">
        <f>IFERROR(U737-SUMIFS(HIST_SCORE!$D:$D,HIST_SCORE!$B:$B,PARAMS_MODELO!$B$4,HIST_SCORE!$C:$C,$A737),"")</f>
        <v>17.257872788894318</v>
      </c>
      <c r="Z737" s="5" t="str">
        <f t="shared" si="269"/>
        <v>↑ Mejora</v>
      </c>
      <c r="AA737" s="5">
        <f t="shared" si="270"/>
        <v>717</v>
      </c>
      <c r="AB737" s="5">
        <f>IFERROR(SUMIFS(HIST_SCORE!$F:$F,HIST_SCORE!$B:$B,PARAMS_MODELO!$B$4,HIST_SCORE!$C:$C,$A737),"")</f>
        <v>855</v>
      </c>
      <c r="AC737" s="5">
        <f t="shared" si="271"/>
        <v>138</v>
      </c>
      <c r="AD737" t="str">
        <f t="shared" si="273"/>
        <v/>
      </c>
      <c r="AE7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737="CERRADO",1,IF(V737="BRONCE",_xlpm.cPl,IF(V737="PLATA",_xlpm.cO,IF(V737="ORO",_xlpm.cP,IF(V737="PLATINO",_xlpm.cD,999))))))</f>
        <v>63.199193273331495</v>
      </c>
      <c r="AF7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737="CERRADO",0,IF(V737="BRONCE",1,IF(V737="PLATA",_xlpm.cPl,IF(V737="ORO",_xlpm.cO,IF(V737="PLATINO",_xlpm.cP,_xlpm.cD))))))</f>
        <v>24.506573482968111</v>
      </c>
      <c r="AG737">
        <f t="shared" si="274"/>
        <v>8.343514857082809</v>
      </c>
      <c r="AH737" t="str">
        <f t="shared" si="275"/>
        <v>VENTAS</v>
      </c>
      <c r="AI737" t="str">
        <f t="shared" si="272"/>
        <v>🎯 Para subir de categoría, eje VENTAS / DIFERENCIAL vs LOTBA (J). Acción: metas semanales + activación comercial + seguimiento del asesor. ΔR aprox: 8,3</v>
      </c>
      <c r="AJ737" s="26">
        <f>_xlfn.LET(_xlpm.piso,AF737,_xlpm.corte,AE737,_xlpm.prog,IF(_xlpm.corte&lt;=_xlpm.piso,0,MAX(0,MIN(1,(U737-_xlpm.piso)/(_xlpm.corte-_xlpm.piso)))),_xlpm.orden,{"DIAMANTE";"PLATINO";"ORO";"PLATA";"BRONCE";"CERRADO"},_xlpm.act,IFERROR(MATCH(V737,_xlpm.orden,0),6),_xlpm.ant,IFERROR(MATCH(W737,_xlpm.orden,0),6),_xlpm.ajmov,IF(_xlpm.act&lt;_xlpm.ant,0.08,IF(_xlpm.act&gt;_xlpm.ant,-0.08,0)),_xlpm.ajcli,IF(T737&lt;0.95,-0.06,0),_xlpm.prob,MAX(0,MIN(1,_xlpm.prog+_xlpm.ajmov+_xlpm.ajcli)),IF(OR(V737="DIAMANTE",V737="CERRADO"),0,ROUND(_xlpm.prob,2)))</f>
        <v>0.78</v>
      </c>
      <c r="AK737" t="str">
        <f t="shared" si="276"/>
        <v>Faltan 8,3 puntos base para subir a la siguiente categoría</v>
      </c>
      <c r="AL737" t="str">
        <f t="shared" si="277"/>
        <v>Margen de seguridad: 30,3 puntos</v>
      </c>
      <c r="AM737">
        <f t="shared" si="278"/>
        <v>0.42</v>
      </c>
      <c r="AN737" t="str">
        <f t="shared" si="279"/>
        <v>PRIORIDAD MEDIA – seguimiento del asesor</v>
      </c>
      <c r="AO737">
        <f t="shared" si="280"/>
        <v>36.651678826198498</v>
      </c>
      <c r="AP737">
        <f t="shared" si="281"/>
        <v>1.4402120328484003</v>
      </c>
      <c r="AQ737">
        <f t="shared" si="282"/>
        <v>1.5000000000000568E-2</v>
      </c>
      <c r="AR737">
        <f t="shared" si="283"/>
        <v>6.9</v>
      </c>
      <c r="AS737">
        <f t="shared" si="284"/>
        <v>0</v>
      </c>
      <c r="AT737" t="str">
        <f t="shared" si="285"/>
        <v>VENTAS</v>
      </c>
      <c r="AU737">
        <f t="shared" si="286"/>
        <v>36.651678826198498</v>
      </c>
      <c r="AV737" t="str">
        <f t="shared" si="287"/>
        <v>Mayor retorno probable: VENTAS (+36,7 puntos finales potenciales).</v>
      </c>
    </row>
    <row r="738" spans="1:48" x14ac:dyDescent="0.3">
      <c r="A738" s="5">
        <v>51014375</v>
      </c>
      <c r="B738" s="5" t="str">
        <f>IFERROR(VLOOKUP(A738,VENTAS!$A$2:$B$1194,2,0),"")</f>
        <v>ROBERTS</v>
      </c>
      <c r="C738" s="5">
        <f>IFERROR(INDEX(VENTAS!$C$2:$E$1194,MATCH(A738,VENTAS!$A$2:$A$1194,0),MATCH(PARAMS_MODELO!$B$2,{"Q1","Q2","Q3"},0)),0)</f>
        <v>58557706.219999999</v>
      </c>
      <c r="D738" s="5">
        <f>IFERROR(INDEX(VENTAS!$F$2:$H$1194,MATCH(A738,VENTAS!$A$2:$A$1194,0),MATCH(PARAMS_MODELO!$B$2,{"Q1","Q2","Q3"},0)),0)</f>
        <v>53946680</v>
      </c>
      <c r="E738" s="8">
        <f t="shared" si="264"/>
        <v>-7.8743286198343809E-2</v>
      </c>
      <c r="F738" s="12">
        <f>IF(E738&lt;=PARAMS_MODELO!$B$15,0,IF(E738&gt;=PARAMS_MODELO!$B$17,100,100*MIN(1,(E738-PARAMS_MODELO!$B$15)/(PARAMS_MODELO!$B$16-PARAMS_MODELO!$B$15))))*PARAMS_MODELO!$B$7</f>
        <v>0</v>
      </c>
      <c r="G738" s="5">
        <f t="shared" si="265"/>
        <v>0</v>
      </c>
      <c r="H738" s="5">
        <f>(PARAMS_MODELO!$B$20*(MAX(0,MIN(3,E738))/3)+PARAMS_MODELO!$B$21*(IFERROR(LN(1+MAX(0,G738))/LN(1+MAX(0,MAX($G$2:$G$1194))),0)))*100*PARAMS_MODELO!$B$8</f>
        <v>0</v>
      </c>
      <c r="I738" s="8">
        <f>E738-PARAMS_MODELO!$B$5</f>
        <v>-0.25630612157387034</v>
      </c>
      <c r="J738" s="5">
        <f>IF(I738&lt;=PARAMS_MODELO!$B$18,0,IF(I738&gt;=PARAMS_MODELO!$B$19,100,100*(I738-PARAMS_MODELO!$B$18)/(PARAMS_MODELO!$B$19-PARAMS_MODELO!$B$18)))*PARAMS_MODELO!$B$9</f>
        <v>0</v>
      </c>
      <c r="K738" s="5">
        <f>IFERROR(CHOOSE(MATCH(PARAMS_MODELO!$B$2,{"Q1","Q2","Q3"},0),LOTO!$D738,LOTO!$F738,LOTO!$H738),0)</f>
        <v>2440000</v>
      </c>
      <c r="L738" s="8">
        <f t="shared" si="266"/>
        <v>4.5229845469637799E-2</v>
      </c>
      <c r="M738" s="5">
        <f>MIN(100,IF(PARAMS_MODELO!$B$23=0,0,100*L738/PARAMS_MODELO!$B$23))*PARAMS_MODELO!$B$10</f>
        <v>13.56895364089134</v>
      </c>
      <c r="N738" s="5">
        <f>IFERROR(VLOOKUP(A738,COMPLIANCE!$A$2:$F$1996,6,0),100)</f>
        <v>99.98</v>
      </c>
      <c r="O738" s="5">
        <f>N738*PARAMS_MODELO!$B$11</f>
        <v>9.9980000000000011</v>
      </c>
      <c r="P738" s="5">
        <f>IFERROR(VLOOKUP(A738,DIGITAL!$A$2:$J$2000,7,0),100)</f>
        <v>87</v>
      </c>
      <c r="Q738" s="5">
        <f>IFERROR(P738,0)*PARAMS_MODELO!$B$12</f>
        <v>8.7000000000000011</v>
      </c>
      <c r="R738">
        <f t="shared" si="267"/>
        <v>32.266953640891344</v>
      </c>
      <c r="S738" s="5" t="str">
        <f>IFERROR(VLOOKUP(A738,CLIENTE!$A$2:$N$2000,13,0),1)</f>
        <v>Muy Bueno</v>
      </c>
      <c r="T738" s="5">
        <f>IFERROR(VLOOKUP(A738,CLIENTE!$A$2:$N$2000,14,0),1)</f>
        <v>1.1499999999999999</v>
      </c>
      <c r="U738" s="5">
        <f t="shared" si="268"/>
        <v>37.106996687025045</v>
      </c>
      <c r="V738" s="5" t="str">
        <f>IF(U738&gt;=MAX(_xlfn.PERCENTILE.INC($U$2:$U$1194,PARAMS_MODELO!$B$50),PARAMS_MODELO!$B$45),"DIAMANTE",IF(U738&gt;=MAX(_xlfn.PERCENTILE.INC($U$2:$U$1194,PARAMS_MODELO!$B$51),PARAMS_MODELO!$B$46),"PLATINO",IF(U738&gt;=MAX(_xlfn.PERCENTILE.INC($U$2:$U$1194,PARAMS_MODELO!$B$52),PARAMS_MODELO!$B$47),"ORO",IF(U738&gt;=MAX(_xlfn.PERCENTILE.INC($U$2:$U$1194,PARAMS_MODELO!$B$53),PARAMS_MODELO!$B$48),"PLATA",IF(U738&gt;=1,"BRONCE","CERRADO")))))</f>
        <v>PLATA</v>
      </c>
      <c r="W738" s="5" t="str" cm="1">
        <f t="array" ref="W738">_xlfn.XLOOKUP(1, (HIST_SCORE!$B:$B=PARAMS_MODELO!$B$4) * (HIST_SCORE!$C:$C=A738), HIST_SCORE!$E:$E, "No encontrado")</f>
        <v>ORO</v>
      </c>
      <c r="X738" s="5" t="str">
        <f>_xlfn.LET(_xlpm.act,MATCH(V738,{"DIAMANTE";"PLATINO";"ORO";"PLATA";"BRONCE";"CERRADO"},0),_xlpm.ant,MATCH(W738,{"DIAMANTE";"PLATINO";"ORO";"PLATA";"BRONCE";"CERRADO"},0),IF(_xlpm.act&lt;_xlpm.ant,"Mejora ↑",IF(_xlpm.act&gt;_xlpm.ant,"Baja ↓","Estable →")))</f>
        <v>Baja ↓</v>
      </c>
      <c r="Y738" s="5">
        <f>IFERROR(U738-SUMIFS(HIST_SCORE!$D:$D,HIST_SCORE!$B:$B,PARAMS_MODELO!$B$4,HIST_SCORE!$C:$C,$A738),"")</f>
        <v>-41.393981296025231</v>
      </c>
      <c r="Z738" s="5" t="str">
        <f t="shared" si="269"/>
        <v>↓ Baja</v>
      </c>
      <c r="AA738" s="5">
        <f t="shared" si="270"/>
        <v>800</v>
      </c>
      <c r="AB738" s="5">
        <f>IFERROR(SUMIFS(HIST_SCORE!$F:$F,HIST_SCORE!$B:$B,PARAMS_MODELO!$B$4,HIST_SCORE!$C:$C,$A738),"")</f>
        <v>446</v>
      </c>
      <c r="AC738" s="5">
        <f t="shared" si="271"/>
        <v>-354</v>
      </c>
      <c r="AD738" t="str">
        <f t="shared" si="273"/>
        <v/>
      </c>
      <c r="AE7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738="CERRADO",1,IF(V738="BRONCE",_xlpm.cPl,IF(V738="PLATA",_xlpm.cO,IF(V738="ORO",_xlpm.cP,IF(V738="PLATINO",_xlpm.cD,999))))))</f>
        <v>63.199193273331495</v>
      </c>
      <c r="AF7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738="CERRADO",0,IF(V738="BRONCE",1,IF(V738="PLATA",_xlpm.cPl,IF(V738="ORO",_xlpm.cO,IF(V738="PLATINO",_xlpm.cP,_xlpm.cD))))))</f>
        <v>24.506573482968111</v>
      </c>
      <c r="AG738">
        <f t="shared" si="274"/>
        <v>22.688866596788223</v>
      </c>
      <c r="AH738" t="str">
        <f t="shared" si="275"/>
        <v>VENTAS</v>
      </c>
      <c r="AI738" t="str">
        <f t="shared" si="272"/>
        <v>🎯 Para subir de categoría, eje VENTAS / CRECIMIENTO PERSONAL (F). Acción: metas semanales + activación comercial + seguimiento del asesor. ΔR aprox: 22,7</v>
      </c>
      <c r="AJ738" s="26">
        <f>_xlfn.LET(_xlpm.piso,AF738,_xlpm.corte,AE738,_xlpm.prog,IF(_xlpm.corte&lt;=_xlpm.piso,0,MAX(0,MIN(1,(U738-_xlpm.piso)/(_xlpm.corte-_xlpm.piso)))),_xlpm.orden,{"DIAMANTE";"PLATINO";"ORO";"PLATA";"BRONCE";"CERRADO"},_xlpm.act,IFERROR(MATCH(V738,_xlpm.orden,0),6),_xlpm.ant,IFERROR(MATCH(W738,_xlpm.orden,0),6),_xlpm.ajmov,IF(_xlpm.act&lt;_xlpm.ant,0.08,IF(_xlpm.act&gt;_xlpm.ant,-0.08,0)),_xlpm.ajcli,IF(T738&lt;0.95,-0.06,0),_xlpm.prob,MAX(0,MIN(1,_xlpm.prog+_xlpm.ajmov+_xlpm.ajcli)),IF(OR(V738="DIAMANTE",V738="CERRADO"),0,ROUND(_xlpm.prob,2)))</f>
        <v>0.25</v>
      </c>
      <c r="AK738" t="str">
        <f t="shared" si="276"/>
        <v>Faltan 22,7 puntos base para subir a la siguiente categoría</v>
      </c>
      <c r="AL738" t="str">
        <f t="shared" si="277"/>
        <v>Margen de seguridad: 12,6 puntos</v>
      </c>
      <c r="AM738">
        <f t="shared" si="278"/>
        <v>0.7</v>
      </c>
      <c r="AN738" t="str">
        <f t="shared" si="279"/>
        <v>PRIORIDAD ALTA – requiere intervención inmediata</v>
      </c>
      <c r="AO738">
        <f t="shared" si="280"/>
        <v>74.591954666589913</v>
      </c>
      <c r="AP738">
        <f t="shared" si="281"/>
        <v>1.6457033129749583</v>
      </c>
      <c r="AQ738">
        <f t="shared" si="282"/>
        <v>2.2999999999987249E-3</v>
      </c>
      <c r="AR738">
        <f t="shared" si="283"/>
        <v>1.4949999999999986</v>
      </c>
      <c r="AS738">
        <f t="shared" si="284"/>
        <v>0</v>
      </c>
      <c r="AT738" t="str">
        <f t="shared" si="285"/>
        <v>VENTAS</v>
      </c>
      <c r="AU738">
        <f t="shared" si="286"/>
        <v>74.591954666589913</v>
      </c>
      <c r="AV738" t="str">
        <f t="shared" si="287"/>
        <v>Mayor retorno probable: VENTAS (+74,6 puntos finales potenciales).</v>
      </c>
    </row>
    <row r="739" spans="1:48" x14ac:dyDescent="0.3">
      <c r="A739" s="5">
        <v>51056337</v>
      </c>
      <c r="B739" s="5" t="str">
        <f>IFERROR(VLOOKUP(A739,VENTAS!$A$2:$B$1194,2,0),"")</f>
        <v>LÓPEZ</v>
      </c>
      <c r="C739" s="5">
        <f>IFERROR(INDEX(VENTAS!$C$2:$E$1194,MATCH(A739,VENTAS!$A$2:$A$1194,0),MATCH(PARAMS_MODELO!$B$2,{"Q1","Q2","Q3"},0)),0)</f>
        <v>40070467.530000001</v>
      </c>
      <c r="D739" s="5">
        <f>IFERROR(INDEX(VENTAS!$F$2:$H$1194,MATCH(A739,VENTAS!$A$2:$A$1194,0),MATCH(PARAMS_MODELO!$B$2,{"Q1","Q2","Q3"},0)),0)</f>
        <v>53695299</v>
      </c>
      <c r="E739" s="8">
        <f t="shared" si="264"/>
        <v>0.34002177438532111</v>
      </c>
      <c r="F739" s="12">
        <f>IF(E739&lt;=PARAMS_MODELO!$B$15,0,IF(E739&gt;=PARAMS_MODELO!$B$17,100,100*MIN(1,(E739-PARAMS_MODELO!$B$15)/(PARAMS_MODELO!$B$16-PARAMS_MODELO!$B$15))))*PARAMS_MODELO!$B$7</f>
        <v>35</v>
      </c>
      <c r="G739" s="5">
        <f t="shared" si="265"/>
        <v>13624831.469999999</v>
      </c>
      <c r="H739" s="5">
        <f>(PARAMS_MODELO!$B$20*(MAX(0,MIN(3,E739))/3)+PARAMS_MODELO!$B$21*(IFERROR(LN(1+MAX(0,G739))/LN(1+MAX(0,MAX($G$2:$G$1194))),0)))*100*PARAMS_MODELO!$B$8</f>
        <v>5.0408891871756873</v>
      </c>
      <c r="I739" s="8">
        <f>E739-PARAMS_MODELO!$B$5</f>
        <v>0.16245893900979458</v>
      </c>
      <c r="J739" s="5">
        <f>IF(I739&lt;=PARAMS_MODELO!$B$18,0,IF(I739&gt;=PARAMS_MODELO!$B$19,100,100*(I739-PARAMS_MODELO!$B$18)/(PARAMS_MODELO!$B$19-PARAMS_MODELO!$B$18)))*PARAMS_MODELO!$B$9</f>
        <v>15</v>
      </c>
      <c r="K739" s="5">
        <f>IFERROR(CHOOSE(MATCH(PARAMS_MODELO!$B$2,{"Q1","Q2","Q3"},0),LOTO!$D739,LOTO!$F739,LOTO!$H739),0)</f>
        <v>2440000</v>
      </c>
      <c r="L739" s="8">
        <f t="shared" si="266"/>
        <v>4.5441594430827174E-2</v>
      </c>
      <c r="M739" s="5">
        <f>MIN(100,IF(PARAMS_MODELO!$B$23=0,0,100*L739/PARAMS_MODELO!$B$23))*PARAMS_MODELO!$B$10</f>
        <v>13.632478329248151</v>
      </c>
      <c r="N739" s="5">
        <f>IFERROR(VLOOKUP(A739,COMPLIANCE!$A$2:$F$1996,6,0),100)</f>
        <v>99.98</v>
      </c>
      <c r="O739" s="5">
        <f>N739*PARAMS_MODELO!$B$11</f>
        <v>9.9980000000000011</v>
      </c>
      <c r="P739" s="5">
        <f>IFERROR(VLOOKUP(A739,DIGITAL!$A$2:$J$2000,7,0),100)</f>
        <v>54</v>
      </c>
      <c r="Q739" s="5">
        <f>IFERROR(P739,0)*PARAMS_MODELO!$B$12</f>
        <v>5.4</v>
      </c>
      <c r="R739">
        <f t="shared" si="267"/>
        <v>84.071367516423848</v>
      </c>
      <c r="S739" s="5" t="str">
        <f>IFERROR(VLOOKUP(A739,CLIENTE!$A$2:$N$2000,13,0),1)</f>
        <v>Regular</v>
      </c>
      <c r="T739" s="5">
        <f>IFERROR(VLOOKUP(A739,CLIENTE!$A$2:$N$2000,14,0),1)</f>
        <v>1</v>
      </c>
      <c r="U739" s="5">
        <f t="shared" si="268"/>
        <v>84.071367516423848</v>
      </c>
      <c r="V739" s="5" t="str">
        <f>IF(U739&gt;=MAX(_xlfn.PERCENTILE.INC($U$2:$U$1194,PARAMS_MODELO!$B$50),PARAMS_MODELO!$B$45),"DIAMANTE",IF(U739&gt;=MAX(_xlfn.PERCENTILE.INC($U$2:$U$1194,PARAMS_MODELO!$B$51),PARAMS_MODELO!$B$46),"PLATINO",IF(U739&gt;=MAX(_xlfn.PERCENTILE.INC($U$2:$U$1194,PARAMS_MODELO!$B$52),PARAMS_MODELO!$B$47),"ORO",IF(U739&gt;=MAX(_xlfn.PERCENTILE.INC($U$2:$U$1194,PARAMS_MODELO!$B$53),PARAMS_MODELO!$B$48),"PLATA",IF(U739&gt;=1,"BRONCE","CERRADO")))))</f>
        <v>ORO</v>
      </c>
      <c r="W739" s="5" t="str" cm="1">
        <f t="array" ref="W739">_xlfn.XLOOKUP(1, (HIST_SCORE!$B:$B=PARAMS_MODELO!$B$4) * (HIST_SCORE!$C:$C=A739), HIST_SCORE!$E:$E, "No encontrado")</f>
        <v>ORO</v>
      </c>
      <c r="X739" s="5" t="str">
        <f>_xlfn.LET(_xlpm.act,MATCH(V739,{"DIAMANTE";"PLATINO";"ORO";"PLATA";"BRONCE";"CERRADO"},0),_xlpm.ant,MATCH(W739,{"DIAMANTE";"PLATINO";"ORO";"PLATA";"BRONCE";"CERRADO"},0),IF(_xlpm.act&lt;_xlpm.ant,"Mejora ↑",IF(_xlpm.act&gt;_xlpm.ant,"Baja ↓","Estable →")))</f>
        <v>Estable →</v>
      </c>
      <c r="Y739" s="5">
        <f>IFERROR(U739-SUMIFS(HIST_SCORE!$D:$D,HIST_SCORE!$B:$B,PARAMS_MODELO!$B$4,HIST_SCORE!$C:$C,$A739),"")</f>
        <v>-0.40107563632119536</v>
      </c>
      <c r="Z739" s="5" t="str">
        <f t="shared" si="269"/>
        <v>→ Estable</v>
      </c>
      <c r="AA739" s="5">
        <f t="shared" si="270"/>
        <v>318</v>
      </c>
      <c r="AB739" s="5">
        <f>IFERROR(SUMIFS(HIST_SCORE!$F:$F,HIST_SCORE!$B:$B,PARAMS_MODELO!$B$4,HIST_SCORE!$C:$C,$A739),"")</f>
        <v>276</v>
      </c>
      <c r="AC739" s="5">
        <f t="shared" si="271"/>
        <v>-42</v>
      </c>
      <c r="AD739" t="str">
        <f t="shared" si="273"/>
        <v>Sostener base y reforzar mix</v>
      </c>
      <c r="AE7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739="CERRADO",1,IF(V739="BRONCE",_xlpm.cPl,IF(V739="PLATA",_xlpm.cO,IF(V739="ORO",_xlpm.cP,IF(V739="PLATINO",_xlpm.cD,999))))))</f>
        <v>86.439123873763251</v>
      </c>
      <c r="AF7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739="CERRADO",0,IF(V739="BRONCE",1,IF(V739="PLATA",_xlpm.cPl,IF(V739="ORO",_xlpm.cO,IF(V739="PLATINO",_xlpm.cP,_xlpm.cD))))))</f>
        <v>63.199193273331495</v>
      </c>
      <c r="AG739">
        <f t="shared" si="274"/>
        <v>2.3677563573394025</v>
      </c>
      <c r="AH739" t="str">
        <f t="shared" si="275"/>
        <v>VENTAS</v>
      </c>
      <c r="AI739" t="str">
        <f t="shared" si="272"/>
        <v>🎯 Para subir de categoría, eje VENTAS / IMPACTO ABSOLUTO (H). Acción: metas semanales + activación comercial + seguimiento del asesor. ΔR aprox: 2,4</v>
      </c>
      <c r="AJ739" s="26">
        <f>_xlfn.LET(_xlpm.piso,AF739,_xlpm.corte,AE739,_xlpm.prog,IF(_xlpm.corte&lt;=_xlpm.piso,0,MAX(0,MIN(1,(U739-_xlpm.piso)/(_xlpm.corte-_xlpm.piso)))),_xlpm.orden,{"DIAMANTE";"PLATINO";"ORO";"PLATA";"BRONCE";"CERRADO"},_xlpm.act,IFERROR(MATCH(V739,_xlpm.orden,0),6),_xlpm.ant,IFERROR(MATCH(W739,_xlpm.orden,0),6),_xlpm.ajmov,IF(_xlpm.act&lt;_xlpm.ant,0.08,IF(_xlpm.act&gt;_xlpm.ant,-0.08,0)),_xlpm.ajcli,IF(T739&lt;0.95,-0.06,0),_xlpm.prob,MAX(0,MIN(1,_xlpm.prog+_xlpm.ajmov+_xlpm.ajcli)),IF(OR(V739="DIAMANTE",V739="CERRADO"),0,ROUND(_xlpm.prob,2)))</f>
        <v>0.9</v>
      </c>
      <c r="AK739" t="str">
        <f t="shared" si="276"/>
        <v>Faltan 2,4 puntos base para subir a la siguiente categoría</v>
      </c>
      <c r="AL739" t="str">
        <f t="shared" si="277"/>
        <v>Margen de seguridad: 20,9 puntos</v>
      </c>
      <c r="AM739">
        <f t="shared" si="278"/>
        <v>0.13</v>
      </c>
      <c r="AN739" t="str">
        <f t="shared" si="279"/>
        <v>PRIORIDAD BAJA – control normal</v>
      </c>
      <c r="AO739">
        <f t="shared" si="280"/>
        <v>9.8216800881198978</v>
      </c>
      <c r="AP739">
        <f t="shared" si="281"/>
        <v>1.3675216707518487</v>
      </c>
      <c r="AQ739">
        <f t="shared" si="282"/>
        <v>1.9999999999988916E-3</v>
      </c>
      <c r="AR739">
        <f t="shared" si="283"/>
        <v>4.5999999999999996</v>
      </c>
      <c r="AS739">
        <f t="shared" si="284"/>
        <v>0</v>
      </c>
      <c r="AT739" t="str">
        <f t="shared" si="285"/>
        <v>VENTAS</v>
      </c>
      <c r="AU739">
        <f t="shared" si="286"/>
        <v>9.8216800881198978</v>
      </c>
      <c r="AV739" t="str">
        <f t="shared" si="287"/>
        <v>Mayor retorno probable: VENTAS (+9,8 puntos finales potenciales).</v>
      </c>
    </row>
    <row r="740" spans="1:48" x14ac:dyDescent="0.3">
      <c r="A740" s="5">
        <v>51054938</v>
      </c>
      <c r="B740" s="5" t="str">
        <f>IFERROR(VLOOKUP(A740,VENTAS!$A$2:$B$1194,2,0),"")</f>
        <v>NELLI</v>
      </c>
      <c r="C740" s="5">
        <f>IFERROR(INDEX(VENTAS!$C$2:$E$1194,MATCH(A740,VENTAS!$A$2:$A$1194,0),MATCH(PARAMS_MODELO!$B$2,{"Q1","Q2","Q3"},0)),0)</f>
        <v>43240285.5</v>
      </c>
      <c r="D740" s="5">
        <f>IFERROR(INDEX(VENTAS!$F$2:$H$1194,MATCH(A740,VENTAS!$A$2:$A$1194,0),MATCH(PARAMS_MODELO!$B$2,{"Q1","Q2","Q3"},0)),0)</f>
        <v>53636087</v>
      </c>
      <c r="E740" s="8">
        <f t="shared" si="264"/>
        <v>0.2404193538453856</v>
      </c>
      <c r="F740" s="12">
        <f>IF(E740&lt;=PARAMS_MODELO!$B$15,0,IF(E740&gt;=PARAMS_MODELO!$B$17,100,100*MIN(1,(E740-PARAMS_MODELO!$B$15)/(PARAMS_MODELO!$B$16-PARAMS_MODELO!$B$15))))*PARAMS_MODELO!$B$7</f>
        <v>35</v>
      </c>
      <c r="G740" s="5">
        <f t="shared" si="265"/>
        <v>10395801.5</v>
      </c>
      <c r="H740" s="5">
        <f>(PARAMS_MODELO!$B$20*(MAX(0,MIN(3,E740))/3)+PARAMS_MODELO!$B$21*(IFERROR(LN(1+MAX(0,G740))/LN(1+MAX(0,MAX($G$2:$G$1194))),0)))*100*PARAMS_MODELO!$B$8</f>
        <v>4.6288736316266252</v>
      </c>
      <c r="I740" s="8">
        <f>E740-PARAMS_MODELO!$B$5</f>
        <v>6.2856518469859068E-2</v>
      </c>
      <c r="J740" s="5">
        <f>IF(I740&lt;=PARAMS_MODELO!$B$18,0,IF(I740&gt;=PARAMS_MODELO!$B$19,100,100*(I740-PARAMS_MODELO!$B$18)/(PARAMS_MODELO!$B$19-PARAMS_MODELO!$B$18)))*PARAMS_MODELO!$B$9</f>
        <v>15</v>
      </c>
      <c r="K740" s="5">
        <f>IFERROR(CHOOSE(MATCH(PARAMS_MODELO!$B$2,{"Q1","Q2","Q3"},0),LOTO!$D740,LOTO!$F740,LOTO!$H740),0)</f>
        <v>2440000</v>
      </c>
      <c r="L740" s="8">
        <f t="shared" si="266"/>
        <v>4.5491760053264142E-2</v>
      </c>
      <c r="M740" s="5">
        <f>MIN(100,IF(PARAMS_MODELO!$B$23=0,0,100*L740/PARAMS_MODELO!$B$23))*PARAMS_MODELO!$B$10</f>
        <v>13.64752801597924</v>
      </c>
      <c r="N740" s="5">
        <f>IFERROR(VLOOKUP(A740,COMPLIANCE!$A$2:$F$1996,6,0),100)</f>
        <v>100</v>
      </c>
      <c r="O740" s="5">
        <f>N740*PARAMS_MODELO!$B$11</f>
        <v>10</v>
      </c>
      <c r="P740" s="5">
        <f>IFERROR(VLOOKUP(A740,DIGITAL!$A$2:$J$2000,7,0),100)</f>
        <v>71</v>
      </c>
      <c r="Q740" s="5">
        <f>IFERROR(P740,0)*PARAMS_MODELO!$B$12</f>
        <v>7.1000000000000005</v>
      </c>
      <c r="R740">
        <f t="shared" si="267"/>
        <v>85.37640164760586</v>
      </c>
      <c r="S740" s="5" t="str">
        <f>IFERROR(VLOOKUP(A740,CLIENTE!$A$2:$N$2000,13,0),1)</f>
        <v>Bueno</v>
      </c>
      <c r="T740" s="5">
        <f>IFERROR(VLOOKUP(A740,CLIENTE!$A$2:$N$2000,14,0),1)</f>
        <v>1.1000000000000001</v>
      </c>
      <c r="U740" s="5">
        <f t="shared" si="268"/>
        <v>93.914041812366449</v>
      </c>
      <c r="V740" s="5" t="str">
        <f>IF(U740&gt;=MAX(_xlfn.PERCENTILE.INC($U$2:$U$1194,PARAMS_MODELO!$B$50),PARAMS_MODELO!$B$45),"DIAMANTE",IF(U740&gt;=MAX(_xlfn.PERCENTILE.INC($U$2:$U$1194,PARAMS_MODELO!$B$51),PARAMS_MODELO!$B$46),"PLATINO",IF(U740&gt;=MAX(_xlfn.PERCENTILE.INC($U$2:$U$1194,PARAMS_MODELO!$B$52),PARAMS_MODELO!$B$47),"ORO",IF(U740&gt;=MAX(_xlfn.PERCENTILE.INC($U$2:$U$1194,PARAMS_MODELO!$B$53),PARAMS_MODELO!$B$48),"PLATA",IF(U740&gt;=1,"BRONCE","CERRADO")))))</f>
        <v>PLATINO</v>
      </c>
      <c r="W740" s="5" t="str" cm="1">
        <f t="array" ref="W740">_xlfn.XLOOKUP(1, (HIST_SCORE!$B:$B=PARAMS_MODELO!$B$4) * (HIST_SCORE!$C:$C=A740), HIST_SCORE!$E:$E, "No encontrado")</f>
        <v>PLATINO</v>
      </c>
      <c r="X740" s="5" t="str">
        <f>_xlfn.LET(_xlpm.act,MATCH(V740,{"DIAMANTE";"PLATINO";"ORO";"PLATA";"BRONCE";"CERRADO"},0),_xlpm.ant,MATCH(W740,{"DIAMANTE";"PLATINO";"ORO";"PLATA";"BRONCE";"CERRADO"},0),IF(_xlpm.act&lt;_xlpm.ant,"Mejora ↑",IF(_xlpm.act&gt;_xlpm.ant,"Baja ↓","Estable →")))</f>
        <v>Estable →</v>
      </c>
      <c r="Y740" s="5">
        <f>IFERROR(U740-SUMIFS(HIST_SCORE!$D:$D,HIST_SCORE!$B:$B,PARAMS_MODELO!$B$4,HIST_SCORE!$C:$C,$A740),"")</f>
        <v>-1.2071171961212173</v>
      </c>
      <c r="Z740" s="5" t="str">
        <f t="shared" si="269"/>
        <v>→ Estable</v>
      </c>
      <c r="AA740" s="5">
        <f t="shared" si="270"/>
        <v>77</v>
      </c>
      <c r="AB740" s="5">
        <f>IFERROR(SUMIFS(HIST_SCORE!$F:$F,HIST_SCORE!$B:$B,PARAMS_MODELO!$B$4,HIST_SCORE!$C:$C,$A740),"")</f>
        <v>64</v>
      </c>
      <c r="AC740" s="5">
        <f t="shared" si="271"/>
        <v>-13</v>
      </c>
      <c r="AD740" t="str">
        <f t="shared" si="273"/>
        <v/>
      </c>
      <c r="AE7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740="CERRADO",1,IF(V740="BRONCE",_xlpm.cPl,IF(V740="PLATA",_xlpm.cO,IF(V740="ORO",_xlpm.cP,IF(V740="PLATINO",_xlpm.cD,999))))))</f>
        <v>96.054919694466676</v>
      </c>
      <c r="AF7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740="CERRADO",0,IF(V740="BRONCE",1,IF(V740="PLATA",_xlpm.cPl,IF(V740="ORO",_xlpm.cO,IF(V740="PLATINO",_xlpm.cP,_xlpm.cD))))))</f>
        <v>86.439123873763251</v>
      </c>
      <c r="AG740">
        <f t="shared" si="274"/>
        <v>1.9462526200911157</v>
      </c>
      <c r="AH740" t="str">
        <f t="shared" si="275"/>
        <v>VENTAS</v>
      </c>
      <c r="AI740" t="str">
        <f t="shared" si="272"/>
        <v>🎯 Para subir de categoría, eje VENTAS / IMPACTO ABSOLUTO (H). Acción: metas semanales + activación comercial + seguimiento del asesor. ΔR aprox: 1,9</v>
      </c>
      <c r="AJ740" s="26">
        <f>_xlfn.LET(_xlpm.piso,AF740,_xlpm.corte,AE740,_xlpm.prog,IF(_xlpm.corte&lt;=_xlpm.piso,0,MAX(0,MIN(1,(U740-_xlpm.piso)/(_xlpm.corte-_xlpm.piso)))),_xlpm.orden,{"DIAMANTE";"PLATINO";"ORO";"PLATA";"BRONCE";"CERRADO"},_xlpm.act,IFERROR(MATCH(V740,_xlpm.orden,0),6),_xlpm.ant,IFERROR(MATCH(W740,_xlpm.orden,0),6),_xlpm.ajmov,IF(_xlpm.act&lt;_xlpm.ant,0.08,IF(_xlpm.act&gt;_xlpm.ant,-0.08,0)),_xlpm.ajcli,IF(T740&lt;0.95,-0.06,0),_xlpm.prob,MAX(0,MIN(1,_xlpm.prog+_xlpm.ajmov+_xlpm.ajcli)),IF(OR(V740="DIAMANTE",V740="CERRADO"),0,ROUND(_xlpm.prob,2)))</f>
        <v>0.78</v>
      </c>
      <c r="AK740" t="str">
        <f t="shared" si="276"/>
        <v>Faltan 1,9 puntos base para subir a la siguiente categoría</v>
      </c>
      <c r="AL740" t="str">
        <f t="shared" si="277"/>
        <v>Margen de seguridad: 7,5 puntos</v>
      </c>
      <c r="AM740">
        <f t="shared" si="278"/>
        <v>0.17</v>
      </c>
      <c r="AN740" t="str">
        <f t="shared" si="279"/>
        <v>PRIORIDAD BAJA – control normal</v>
      </c>
      <c r="AO740">
        <f t="shared" si="280"/>
        <v>11.257065208035856</v>
      </c>
      <c r="AP740">
        <f t="shared" si="281"/>
        <v>1.4877191824228355</v>
      </c>
      <c r="AQ740">
        <f t="shared" si="282"/>
        <v>0</v>
      </c>
      <c r="AR740">
        <f t="shared" si="283"/>
        <v>3.1899999999999995</v>
      </c>
      <c r="AS740">
        <f t="shared" si="284"/>
        <v>0</v>
      </c>
      <c r="AT740" t="str">
        <f t="shared" si="285"/>
        <v>VENTAS</v>
      </c>
      <c r="AU740">
        <f t="shared" si="286"/>
        <v>11.257065208035856</v>
      </c>
      <c r="AV740" t="str">
        <f t="shared" si="287"/>
        <v>Mayor retorno probable: VENTAS (+11,3 puntos finales potenciales).</v>
      </c>
    </row>
    <row r="741" spans="1:48" x14ac:dyDescent="0.3">
      <c r="A741" s="5">
        <v>51024834</v>
      </c>
      <c r="B741" s="5" t="str">
        <f>IFERROR(VLOOKUP(A741,VENTAS!$A$2:$B$1194,2,0),"")</f>
        <v>MONTENEGRO</v>
      </c>
      <c r="C741" s="5">
        <f>IFERROR(INDEX(VENTAS!$C$2:$E$1194,MATCH(A741,VENTAS!$A$2:$A$1194,0),MATCH(PARAMS_MODELO!$B$2,{"Q1","Q2","Q3"},0)),0)</f>
        <v>45120666.240000002</v>
      </c>
      <c r="D741" s="5">
        <f>IFERROR(INDEX(VENTAS!$F$2:$H$1194,MATCH(A741,VENTAS!$A$2:$A$1194,0),MATCH(PARAMS_MODELO!$B$2,{"Q1","Q2","Q3"},0)),0)</f>
        <v>53635767</v>
      </c>
      <c r="E741" s="8">
        <f t="shared" si="264"/>
        <v>0.18871841817910173</v>
      </c>
      <c r="F741" s="12">
        <f>IF(E741&lt;=PARAMS_MODELO!$B$15,0,IF(E741&gt;=PARAMS_MODELO!$B$17,100,100*MIN(1,(E741-PARAMS_MODELO!$B$15)/(PARAMS_MODELO!$B$16-PARAMS_MODELO!$B$15))))*PARAMS_MODELO!$B$7</f>
        <v>35</v>
      </c>
      <c r="G741" s="5">
        <f t="shared" si="265"/>
        <v>8515100.7599999979</v>
      </c>
      <c r="H741" s="5">
        <f>(PARAMS_MODELO!$B$20*(MAX(0,MIN(3,E741))/3)+PARAMS_MODELO!$B$21*(IFERROR(LN(1+MAX(0,G741))/LN(1+MAX(0,MAX($G$2:$G$1194))),0)))*100*PARAMS_MODELO!$B$8</f>
        <v>4.4011405065648059</v>
      </c>
      <c r="I741" s="8">
        <f>E741-PARAMS_MODELO!$B$5</f>
        <v>1.1155582803575204E-2</v>
      </c>
      <c r="J741" s="5">
        <f>IF(I741&lt;=PARAMS_MODELO!$B$18,0,IF(I741&gt;=PARAMS_MODELO!$B$19,100,100*(I741-PARAMS_MODELO!$B$18)/(PARAMS_MODELO!$B$19-PARAMS_MODELO!$B$18)))*PARAMS_MODELO!$B$9</f>
        <v>9.1733374205362797</v>
      </c>
      <c r="K741" s="5">
        <f>IFERROR(CHOOSE(MATCH(PARAMS_MODELO!$B$2,{"Q1","Q2","Q3"},0),LOTO!$D741,LOTO!$F741,LOTO!$H741),0)</f>
        <v>2437500</v>
      </c>
      <c r="L741" s="8">
        <f t="shared" si="266"/>
        <v>4.5445420776773826E-2</v>
      </c>
      <c r="M741" s="5">
        <f>MIN(100,IF(PARAMS_MODELO!$B$23=0,0,100*L741/PARAMS_MODELO!$B$23))*PARAMS_MODELO!$B$10</f>
        <v>13.633626233032146</v>
      </c>
      <c r="N741" s="5">
        <f>IFERROR(VLOOKUP(A741,COMPLIANCE!$A$2:$F$1996,6,0),100)</f>
        <v>100</v>
      </c>
      <c r="O741" s="5">
        <f>N741*PARAMS_MODELO!$B$11</f>
        <v>10</v>
      </c>
      <c r="P741" s="5">
        <f>IFERROR(VLOOKUP(A741,DIGITAL!$A$2:$J$2000,7,0),100)</f>
        <v>16</v>
      </c>
      <c r="Q741" s="5">
        <f>IFERROR(P741,0)*PARAMS_MODELO!$B$12</f>
        <v>1.6</v>
      </c>
      <c r="R741">
        <f t="shared" si="267"/>
        <v>73.808104160133226</v>
      </c>
      <c r="S741" s="5" t="str">
        <f>IFERROR(VLOOKUP(A741,CLIENTE!$A$2:$N$2000,13,0),1)</f>
        <v>Malo</v>
      </c>
      <c r="T741" s="5">
        <f>IFERROR(VLOOKUP(A741,CLIENTE!$A$2:$N$2000,14,0),1)</f>
        <v>0.7</v>
      </c>
      <c r="U741" s="5">
        <f t="shared" si="268"/>
        <v>51.665672912093257</v>
      </c>
      <c r="V741" s="5" t="str">
        <f>IF(U741&gt;=MAX(_xlfn.PERCENTILE.INC($U$2:$U$1194,PARAMS_MODELO!$B$50),PARAMS_MODELO!$B$45),"DIAMANTE",IF(U741&gt;=MAX(_xlfn.PERCENTILE.INC($U$2:$U$1194,PARAMS_MODELO!$B$51),PARAMS_MODELO!$B$46),"PLATINO",IF(U741&gt;=MAX(_xlfn.PERCENTILE.INC($U$2:$U$1194,PARAMS_MODELO!$B$52),PARAMS_MODELO!$B$47),"ORO",IF(U741&gt;=MAX(_xlfn.PERCENTILE.INC($U$2:$U$1194,PARAMS_MODELO!$B$53),PARAMS_MODELO!$B$48),"PLATA",IF(U741&gt;=1,"BRONCE","CERRADO")))))</f>
        <v>PLATA</v>
      </c>
      <c r="W741" s="5" t="str" cm="1">
        <f t="array" ref="W741">_xlfn.XLOOKUP(1, (HIST_SCORE!$B:$B=PARAMS_MODELO!$B$4) * (HIST_SCORE!$C:$C=A741), HIST_SCORE!$E:$E, "No encontrado")</f>
        <v>PLATA</v>
      </c>
      <c r="X741" s="5" t="str">
        <f>_xlfn.LET(_xlpm.act,MATCH(V741,{"DIAMANTE";"PLATINO";"ORO";"PLATA";"BRONCE";"CERRADO"},0),_xlpm.ant,MATCH(W741,{"DIAMANTE";"PLATINO";"ORO";"PLATA";"BRONCE";"CERRADO"},0),IF(_xlpm.act&lt;_xlpm.ant,"Mejora ↑",IF(_xlpm.act&gt;_xlpm.ant,"Baja ↓","Estable →")))</f>
        <v>Estable →</v>
      </c>
      <c r="Y741" s="5">
        <f>IFERROR(U741-SUMIFS(HIST_SCORE!$D:$D,HIST_SCORE!$B:$B,PARAMS_MODELO!$B$4,HIST_SCORE!$C:$C,$A741),"")</f>
        <v>-0.42489670329978679</v>
      </c>
      <c r="Z741" s="5" t="str">
        <f t="shared" si="269"/>
        <v>→ Estable</v>
      </c>
      <c r="AA741" s="5">
        <f t="shared" si="270"/>
        <v>730</v>
      </c>
      <c r="AB741" s="5">
        <f>IFERROR(SUMIFS(HIST_SCORE!$F:$F,HIST_SCORE!$B:$B,PARAMS_MODELO!$B$4,HIST_SCORE!$C:$C,$A741),"")</f>
        <v>759</v>
      </c>
      <c r="AC741" s="5">
        <f t="shared" si="271"/>
        <v>29</v>
      </c>
      <c r="AD741" t="str">
        <f t="shared" si="273"/>
        <v/>
      </c>
      <c r="AE7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741="CERRADO",1,IF(V741="BRONCE",_xlpm.cPl,IF(V741="PLATA",_xlpm.cO,IF(V741="ORO",_xlpm.cP,IF(V741="PLATINO",_xlpm.cD,999))))))</f>
        <v>63.199193273331495</v>
      </c>
      <c r="AF7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741="CERRADO",0,IF(V741="BRONCE",1,IF(V741="PLATA",_xlpm.cPl,IF(V741="ORO",_xlpm.cO,IF(V741="PLATINO",_xlpm.cP,_xlpm.cD))))))</f>
        <v>24.506573482968111</v>
      </c>
      <c r="AG741">
        <f t="shared" si="274"/>
        <v>16.476457658911769</v>
      </c>
      <c r="AH741" t="str">
        <f t="shared" si="275"/>
        <v>CLIENTE</v>
      </c>
      <c r="AI741" t="str">
        <f t="shared" si="272"/>
        <v>🎯 Para subir de categoría, la eje con mayor impacto probable es CLIENTE (coef T). Acción: reducir quejas, mejorar incógnito y empujar reseñas. ΔR aprox: 16,5</v>
      </c>
      <c r="AJ741" s="26">
        <f>_xlfn.LET(_xlpm.piso,AF741,_xlpm.corte,AE741,_xlpm.prog,IF(_xlpm.corte&lt;=_xlpm.piso,0,MAX(0,MIN(1,(U741-_xlpm.piso)/(_xlpm.corte-_xlpm.piso)))),_xlpm.orden,{"DIAMANTE";"PLATINO";"ORO";"PLATA";"BRONCE";"CERRADO"},_xlpm.act,IFERROR(MATCH(V741,_xlpm.orden,0),6),_xlpm.ant,IFERROR(MATCH(W741,_xlpm.orden,0),6),_xlpm.ajmov,IF(_xlpm.act&lt;_xlpm.ant,0.08,IF(_xlpm.act&gt;_xlpm.ant,-0.08,0)),_xlpm.ajcli,IF(T741&lt;0.95,-0.06,0),_xlpm.prob,MAX(0,MIN(1,_xlpm.prog+_xlpm.ajmov+_xlpm.ajcli)),IF(OR(V741="DIAMANTE",V741="CERRADO"),0,ROUND(_xlpm.prob,2)))</f>
        <v>0.64</v>
      </c>
      <c r="AK741" t="str">
        <f t="shared" si="276"/>
        <v>Faltan 16,5 puntos base para subir a la siguiente categoría</v>
      </c>
      <c r="AL741" t="str">
        <f t="shared" si="277"/>
        <v>Margen de seguridad: 27,2 puntos</v>
      </c>
      <c r="AM741">
        <f t="shared" si="278"/>
        <v>0.74</v>
      </c>
      <c r="AN741" t="str">
        <f t="shared" si="279"/>
        <v>PRIORIDAD ALTA – requiere intervención inmediata</v>
      </c>
      <c r="AO741">
        <f t="shared" si="280"/>
        <v>11.401663943736148</v>
      </c>
      <c r="AP741">
        <f t="shared" si="281"/>
        <v>0.95646163687749775</v>
      </c>
      <c r="AQ741">
        <f t="shared" si="282"/>
        <v>0</v>
      </c>
      <c r="AR741">
        <f t="shared" si="283"/>
        <v>5.88</v>
      </c>
      <c r="AS741">
        <f t="shared" si="284"/>
        <v>22.142431248039973</v>
      </c>
      <c r="AT741" t="str">
        <f t="shared" si="285"/>
        <v>CLIENTE</v>
      </c>
      <c r="AU741">
        <f t="shared" si="286"/>
        <v>22.142431248039973</v>
      </c>
      <c r="AV741" t="str">
        <f t="shared" si="287"/>
        <v>Mayor retorno probable: CLIENTE (+22,1 puntos finales potenciales).</v>
      </c>
    </row>
    <row r="742" spans="1:48" x14ac:dyDescent="0.3">
      <c r="A742" s="5">
        <v>51016831</v>
      </c>
      <c r="B742" s="5" t="str">
        <f>IFERROR(VLOOKUP(A742,VENTAS!$A$2:$B$1194,2,0),"")</f>
        <v>MONTENEGRO</v>
      </c>
      <c r="C742" s="5">
        <f>IFERROR(INDEX(VENTAS!$C$2:$E$1194,MATCH(A742,VENTAS!$A$2:$A$1194,0),MATCH(PARAMS_MODELO!$B$2,{"Q1","Q2","Q3"},0)),0)</f>
        <v>52159752.780000001</v>
      </c>
      <c r="D742" s="5">
        <f>IFERROR(INDEX(VENTAS!$F$2:$H$1194,MATCH(A742,VENTAS!$A$2:$A$1194,0),MATCH(PARAMS_MODELO!$B$2,{"Q1","Q2","Q3"},0)),0)</f>
        <v>53612446</v>
      </c>
      <c r="E742" s="8">
        <f t="shared" si="264"/>
        <v>2.7850845576802952E-2</v>
      </c>
      <c r="F742" s="12">
        <f>IF(E742&lt;=PARAMS_MODELO!$B$15,0,IF(E742&gt;=PARAMS_MODELO!$B$17,100,100*MIN(1,(E742-PARAMS_MODELO!$B$15)/(PARAMS_MODELO!$B$16-PARAMS_MODELO!$B$15))))*PARAMS_MODELO!$B$7</f>
        <v>9.7477959518810327</v>
      </c>
      <c r="G742" s="5">
        <f t="shared" si="265"/>
        <v>1452693.2199999988</v>
      </c>
      <c r="H742" s="5">
        <f>(PARAMS_MODELO!$B$20*(MAX(0,MIN(3,E742))/3)+PARAMS_MODELO!$B$21*(IFERROR(LN(1+MAX(0,G742))/LN(1+MAX(0,MAX($G$2:$G$1194))),0)))*100*PARAMS_MODELO!$B$8</f>
        <v>3.4235613497151962</v>
      </c>
      <c r="I742" s="8">
        <f>E742-PARAMS_MODELO!$B$5</f>
        <v>-0.14971198979872358</v>
      </c>
      <c r="J742" s="5">
        <f>IF(I742&lt;=PARAMS_MODELO!$B$18,0,IF(I742&gt;=PARAMS_MODELO!$B$19,100,100*(I742-PARAMS_MODELO!$B$18)/(PARAMS_MODELO!$B$19-PARAMS_MODELO!$B$18)))*PARAMS_MODELO!$B$9</f>
        <v>0</v>
      </c>
      <c r="K742" s="5">
        <f>IFERROR(CHOOSE(MATCH(PARAMS_MODELO!$B$2,{"Q1","Q2","Q3"},0),LOTO!$D742,LOTO!$F742,LOTO!$H742),0)</f>
        <v>2430000</v>
      </c>
      <c r="L742" s="8">
        <f t="shared" si="266"/>
        <v>4.5325296294073211E-2</v>
      </c>
      <c r="M742" s="5">
        <f>MIN(100,IF(PARAMS_MODELO!$B$23=0,0,100*L742/PARAMS_MODELO!$B$23))*PARAMS_MODELO!$B$10</f>
        <v>13.597588888221964</v>
      </c>
      <c r="N742" s="5">
        <f>IFERROR(VLOOKUP(A742,COMPLIANCE!$A$2:$F$1996,6,0),100)</f>
        <v>100</v>
      </c>
      <c r="O742" s="5">
        <f>N742*PARAMS_MODELO!$B$11</f>
        <v>10</v>
      </c>
      <c r="P742" s="5">
        <f>IFERROR(VLOOKUP(A742,DIGITAL!$A$2:$J$2000,7,0),100)</f>
        <v>27</v>
      </c>
      <c r="Q742" s="5">
        <f>IFERROR(P742,0)*PARAMS_MODELO!$B$12</f>
        <v>2.7</v>
      </c>
      <c r="R742">
        <f t="shared" si="267"/>
        <v>39.468946189818197</v>
      </c>
      <c r="S742" s="5" t="str">
        <f>IFERROR(VLOOKUP(A742,CLIENTE!$A$2:$N$2000,13,0),1)</f>
        <v>Regular</v>
      </c>
      <c r="T742" s="5">
        <f>IFERROR(VLOOKUP(A742,CLIENTE!$A$2:$N$2000,14,0),1)</f>
        <v>1</v>
      </c>
      <c r="U742" s="5">
        <f t="shared" si="268"/>
        <v>39.468946189818197</v>
      </c>
      <c r="V742" s="5" t="str">
        <f>IF(U742&gt;=MAX(_xlfn.PERCENTILE.INC($U$2:$U$1194,PARAMS_MODELO!$B$50),PARAMS_MODELO!$B$45),"DIAMANTE",IF(U742&gt;=MAX(_xlfn.PERCENTILE.INC($U$2:$U$1194,PARAMS_MODELO!$B$51),PARAMS_MODELO!$B$46),"PLATINO",IF(U742&gt;=MAX(_xlfn.PERCENTILE.INC($U$2:$U$1194,PARAMS_MODELO!$B$52),PARAMS_MODELO!$B$47),"ORO",IF(U742&gt;=MAX(_xlfn.PERCENTILE.INC($U$2:$U$1194,PARAMS_MODELO!$B$53),PARAMS_MODELO!$B$48),"PLATA",IF(U742&gt;=1,"BRONCE","CERRADO")))))</f>
        <v>PLATA</v>
      </c>
      <c r="W742" s="5" t="str" cm="1">
        <f t="array" ref="W742">_xlfn.XLOOKUP(1, (HIST_SCORE!$B:$B=PARAMS_MODELO!$B$4) * (HIST_SCORE!$C:$C=A742), HIST_SCORE!$E:$E, "No encontrado")</f>
        <v>ORO</v>
      </c>
      <c r="X742" s="5" t="str">
        <f>_xlfn.LET(_xlpm.act,MATCH(V742,{"DIAMANTE";"PLATINO";"ORO";"PLATA";"BRONCE";"CERRADO"},0),_xlpm.ant,MATCH(W742,{"DIAMANTE";"PLATINO";"ORO";"PLATA";"BRONCE";"CERRADO"},0),IF(_xlpm.act&lt;_xlpm.ant,"Mejora ↑",IF(_xlpm.act&gt;_xlpm.ant,"Baja ↓","Estable →")))</f>
        <v>Baja ↓</v>
      </c>
      <c r="Y742" s="5">
        <f>IFERROR(U742-SUMIFS(HIST_SCORE!$D:$D,HIST_SCORE!$B:$B,PARAMS_MODELO!$B$4,HIST_SCORE!$C:$C,$A742),"")</f>
        <v>-25.545337281372767</v>
      </c>
      <c r="Z742" s="5" t="str">
        <f t="shared" si="269"/>
        <v>↓ Baja</v>
      </c>
      <c r="AA742" s="5">
        <f t="shared" si="270"/>
        <v>788</v>
      </c>
      <c r="AB742" s="5">
        <f>IFERROR(SUMIFS(HIST_SCORE!$F:$F,HIST_SCORE!$B:$B,PARAMS_MODELO!$B$4,HIST_SCORE!$C:$C,$A742),"")</f>
        <v>572</v>
      </c>
      <c r="AC742" s="5">
        <f t="shared" si="271"/>
        <v>-216</v>
      </c>
      <c r="AD742" t="str">
        <f t="shared" si="273"/>
        <v/>
      </c>
      <c r="AE7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742="CERRADO",1,IF(V742="BRONCE",_xlpm.cPl,IF(V742="PLATA",_xlpm.cO,IF(V742="ORO",_xlpm.cP,IF(V742="PLATINO",_xlpm.cD,999))))))</f>
        <v>63.199193273331495</v>
      </c>
      <c r="AF7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742="CERRADO",0,IF(V742="BRONCE",1,IF(V742="PLATA",_xlpm.cPl,IF(V742="ORO",_xlpm.cO,IF(V742="PLATINO",_xlpm.cP,_xlpm.cD))))))</f>
        <v>24.506573482968111</v>
      </c>
      <c r="AG742">
        <f t="shared" si="274"/>
        <v>23.730247083513298</v>
      </c>
      <c r="AH742" t="str">
        <f t="shared" si="275"/>
        <v>VENTAS</v>
      </c>
      <c r="AI742" t="str">
        <f t="shared" si="272"/>
        <v>🎯 Para subir de categoría, eje VENTAS / DIFERENCIAL vs LOTBA (J). Acción: metas semanales + activación comercial + seguimiento del asesor. ΔR aprox: 23,7</v>
      </c>
      <c r="AJ742" s="26">
        <f>_xlfn.LET(_xlpm.piso,AF742,_xlpm.corte,AE742,_xlpm.prog,IF(_xlpm.corte&lt;=_xlpm.piso,0,MAX(0,MIN(1,(U742-_xlpm.piso)/(_xlpm.corte-_xlpm.piso)))),_xlpm.orden,{"DIAMANTE";"PLATINO";"ORO";"PLATA";"BRONCE";"CERRADO"},_xlpm.act,IFERROR(MATCH(V742,_xlpm.orden,0),6),_xlpm.ant,IFERROR(MATCH(W742,_xlpm.orden,0),6),_xlpm.ajmov,IF(_xlpm.act&lt;_xlpm.ant,0.08,IF(_xlpm.act&gt;_xlpm.ant,-0.08,0)),_xlpm.ajcli,IF(T742&lt;0.95,-0.06,0),_xlpm.prob,MAX(0,MIN(1,_xlpm.prog+_xlpm.ajmov+_xlpm.ajcli)),IF(OR(V742="DIAMANTE",V742="CERRADO"),0,ROUND(_xlpm.prob,2)))</f>
        <v>0.31</v>
      </c>
      <c r="AK742" t="str">
        <f t="shared" si="276"/>
        <v>Faltan 23,7 puntos base para subir a la siguiente categoría</v>
      </c>
      <c r="AL742" t="str">
        <f t="shared" si="277"/>
        <v>Margen de seguridad: 15,0 puntos</v>
      </c>
      <c r="AM742">
        <f t="shared" si="278"/>
        <v>0.68</v>
      </c>
      <c r="AN742" t="str">
        <f t="shared" si="279"/>
        <v>PRIORIDAD MEDIA – seguimiento del asesor</v>
      </c>
      <c r="AO742">
        <f t="shared" si="280"/>
        <v>51.691211973699353</v>
      </c>
      <c r="AP742">
        <f t="shared" si="281"/>
        <v>1.4024111117780365</v>
      </c>
      <c r="AQ742">
        <f t="shared" si="282"/>
        <v>0</v>
      </c>
      <c r="AR742">
        <f t="shared" si="283"/>
        <v>7.3</v>
      </c>
      <c r="AS742">
        <f t="shared" si="284"/>
        <v>0</v>
      </c>
      <c r="AT742" t="str">
        <f t="shared" si="285"/>
        <v>VENTAS</v>
      </c>
      <c r="AU742">
        <f t="shared" si="286"/>
        <v>51.691211973699353</v>
      </c>
      <c r="AV742" t="str">
        <f t="shared" si="287"/>
        <v>Mayor retorno probable: VENTAS (+51,7 puntos finales potenciales).</v>
      </c>
    </row>
    <row r="743" spans="1:48" x14ac:dyDescent="0.3">
      <c r="A743" s="5">
        <v>51023927</v>
      </c>
      <c r="B743" s="5" t="str">
        <f>IFERROR(VLOOKUP(A743,VENTAS!$A$2:$B$1194,2,0),"")</f>
        <v>ARGUELLO</v>
      </c>
      <c r="C743" s="5">
        <f>IFERROR(INDEX(VENTAS!$C$2:$E$1194,MATCH(A743,VENTAS!$A$2:$A$1194,0),MATCH(PARAMS_MODELO!$B$2,{"Q1","Q2","Q3"},0)),0)</f>
        <v>81064182.469999999</v>
      </c>
      <c r="D743" s="5">
        <f>IFERROR(INDEX(VENTAS!$F$2:$H$1194,MATCH(A743,VENTAS!$A$2:$A$1194,0),MATCH(PARAMS_MODELO!$B$2,{"Q1","Q2","Q3"},0)),0)</f>
        <v>53425082</v>
      </c>
      <c r="E743" s="8">
        <f t="shared" si="264"/>
        <v>-0.34095329932215868</v>
      </c>
      <c r="F743" s="12">
        <f>IF(E743&lt;=PARAMS_MODELO!$B$15,0,IF(E743&gt;=PARAMS_MODELO!$B$17,100,100*MIN(1,(E743-PARAMS_MODELO!$B$15)/(PARAMS_MODELO!$B$16-PARAMS_MODELO!$B$15))))*PARAMS_MODELO!$B$7</f>
        <v>0</v>
      </c>
      <c r="G743" s="5">
        <f t="shared" si="265"/>
        <v>0</v>
      </c>
      <c r="H743" s="5">
        <f>(PARAMS_MODELO!$B$20*(MAX(0,MIN(3,E743))/3)+PARAMS_MODELO!$B$21*(IFERROR(LN(1+MAX(0,G743))/LN(1+MAX(0,MAX($G$2:$G$1194))),0)))*100*PARAMS_MODELO!$B$8</f>
        <v>0</v>
      </c>
      <c r="I743" s="8">
        <f>E743-PARAMS_MODELO!$B$5</f>
        <v>-0.5185161346976852</v>
      </c>
      <c r="J743" s="5">
        <f>IF(I743&lt;=PARAMS_MODELO!$B$18,0,IF(I743&gt;=PARAMS_MODELO!$B$19,100,100*(I743-PARAMS_MODELO!$B$18)/(PARAMS_MODELO!$B$19-PARAMS_MODELO!$B$18)))*PARAMS_MODELO!$B$9</f>
        <v>0</v>
      </c>
      <c r="K743" s="5">
        <f>IFERROR(CHOOSE(MATCH(PARAMS_MODELO!$B$2,{"Q1","Q2","Q3"},0),LOTO!$D743,LOTO!$F743,LOTO!$H743),0)</f>
        <v>2430000</v>
      </c>
      <c r="L743" s="8">
        <f t="shared" si="266"/>
        <v>4.5484254006385991E-2</v>
      </c>
      <c r="M743" s="5">
        <f>MIN(100,IF(PARAMS_MODELO!$B$23=0,0,100*L743/PARAMS_MODELO!$B$23))*PARAMS_MODELO!$B$10</f>
        <v>13.645276201915793</v>
      </c>
      <c r="N743" s="5">
        <f>IFERROR(VLOOKUP(A743,COMPLIANCE!$A$2:$F$1996,6,0),100)</f>
        <v>100</v>
      </c>
      <c r="O743" s="5">
        <f>N743*PARAMS_MODELO!$B$11</f>
        <v>10</v>
      </c>
      <c r="P743" s="5">
        <f>IFERROR(VLOOKUP(A743,DIGITAL!$A$2:$J$2000,7,0),100)</f>
        <v>29</v>
      </c>
      <c r="Q743" s="5">
        <f>IFERROR(P743,0)*PARAMS_MODELO!$B$12</f>
        <v>2.9000000000000004</v>
      </c>
      <c r="R743">
        <f t="shared" si="267"/>
        <v>26.54527620191579</v>
      </c>
      <c r="S743" s="5" t="str">
        <f>IFERROR(VLOOKUP(A743,CLIENTE!$A$2:$N$2000,13,0),1)</f>
        <v>Muy Bueno</v>
      </c>
      <c r="T743" s="5">
        <f>IFERROR(VLOOKUP(A743,CLIENTE!$A$2:$N$2000,14,0),1)</f>
        <v>1.1499999999999999</v>
      </c>
      <c r="U743" s="5">
        <f t="shared" si="268"/>
        <v>30.527067632203156</v>
      </c>
      <c r="V743" s="5" t="str">
        <f>IF(U743&gt;=MAX(_xlfn.PERCENTILE.INC($U$2:$U$1194,PARAMS_MODELO!$B$50),PARAMS_MODELO!$B$45),"DIAMANTE",IF(U743&gt;=MAX(_xlfn.PERCENTILE.INC($U$2:$U$1194,PARAMS_MODELO!$B$51),PARAMS_MODELO!$B$46),"PLATINO",IF(U743&gt;=MAX(_xlfn.PERCENTILE.INC($U$2:$U$1194,PARAMS_MODELO!$B$52),PARAMS_MODELO!$B$47),"ORO",IF(U743&gt;=MAX(_xlfn.PERCENTILE.INC($U$2:$U$1194,PARAMS_MODELO!$B$53),PARAMS_MODELO!$B$48),"PLATA",IF(U743&gt;=1,"BRONCE","CERRADO")))))</f>
        <v>PLATA</v>
      </c>
      <c r="W743" s="5" t="str" cm="1">
        <f t="array" ref="W743">_xlfn.XLOOKUP(1, (HIST_SCORE!$B:$B=PARAMS_MODELO!$B$4) * (HIST_SCORE!$C:$C=A743), HIST_SCORE!$E:$E, "No encontrado")</f>
        <v>PLATA</v>
      </c>
      <c r="X743" s="5" t="str">
        <f>_xlfn.LET(_xlpm.act,MATCH(V743,{"DIAMANTE";"PLATINO";"ORO";"PLATA";"BRONCE";"CERRADO"},0),_xlpm.ant,MATCH(W743,{"DIAMANTE";"PLATINO";"ORO";"PLATA";"BRONCE";"CERRADO"},0),IF(_xlpm.act&lt;_xlpm.ant,"Mejora ↑",IF(_xlpm.act&gt;_xlpm.ant,"Baja ↓","Estable →")))</f>
        <v>Estable →</v>
      </c>
      <c r="Y743" s="5">
        <f>IFERROR(U743-SUMIFS(HIST_SCORE!$D:$D,HIST_SCORE!$B:$B,PARAMS_MODELO!$B$4,HIST_SCORE!$C:$C,$A743),"")</f>
        <v>1.6660076980347824</v>
      </c>
      <c r="Z743" s="5" t="str">
        <f t="shared" si="269"/>
        <v>→ Estable</v>
      </c>
      <c r="AA743" s="5">
        <f t="shared" si="270"/>
        <v>854</v>
      </c>
      <c r="AB743" s="5">
        <f>IFERROR(SUMIFS(HIST_SCORE!$F:$F,HIST_SCORE!$B:$B,PARAMS_MODELO!$B$4,HIST_SCORE!$C:$C,$A743),"")</f>
        <v>918</v>
      </c>
      <c r="AC743" s="5">
        <f t="shared" si="271"/>
        <v>64</v>
      </c>
      <c r="AD743" t="str">
        <f t="shared" si="273"/>
        <v/>
      </c>
      <c r="AE7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743="CERRADO",1,IF(V743="BRONCE",_xlpm.cPl,IF(V743="PLATA",_xlpm.cO,IF(V743="ORO",_xlpm.cP,IF(V743="PLATINO",_xlpm.cD,999))))))</f>
        <v>63.199193273331495</v>
      </c>
      <c r="AF7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743="CERRADO",0,IF(V743="BRONCE",1,IF(V743="PLATA",_xlpm.cPl,IF(V743="ORO",_xlpm.cO,IF(V743="PLATINO",_xlpm.cP,_xlpm.cD))))))</f>
        <v>24.506573482968111</v>
      </c>
      <c r="AG743">
        <f t="shared" si="274"/>
        <v>28.410544035763778</v>
      </c>
      <c r="AH743" t="str">
        <f t="shared" si="275"/>
        <v>VENTAS</v>
      </c>
      <c r="AI743" t="str">
        <f t="shared" si="272"/>
        <v>🎯 Para subir de categoría, eje VENTAS / CRECIMIENTO PERSONAL (F). Acción: metas semanales + activación comercial + seguimiento del asesor. ΔR aprox: 28,4</v>
      </c>
      <c r="AJ743" s="26">
        <f>_xlfn.LET(_xlpm.piso,AF743,_xlpm.corte,AE743,_xlpm.prog,IF(_xlpm.corte&lt;=_xlpm.piso,0,MAX(0,MIN(1,(U743-_xlpm.piso)/(_xlpm.corte-_xlpm.piso)))),_xlpm.orden,{"DIAMANTE";"PLATINO";"ORO";"PLATA";"BRONCE";"CERRADO"},_xlpm.act,IFERROR(MATCH(V743,_xlpm.orden,0),6),_xlpm.ant,IFERROR(MATCH(W743,_xlpm.orden,0),6),_xlpm.ajmov,IF(_xlpm.act&lt;_xlpm.ant,0.08,IF(_xlpm.act&gt;_xlpm.ant,-0.08,0)),_xlpm.ajcli,IF(T743&lt;0.95,-0.06,0),_xlpm.prob,MAX(0,MIN(1,_xlpm.prog+_xlpm.ajmov+_xlpm.ajcli)),IF(OR(V743="DIAMANTE",V743="CERRADO"),0,ROUND(_xlpm.prob,2)))</f>
        <v>0.16</v>
      </c>
      <c r="AK743" t="str">
        <f t="shared" si="276"/>
        <v>Faltan 28,4 puntos base para subir a la siguiente categoría</v>
      </c>
      <c r="AL743" t="str">
        <f t="shared" si="277"/>
        <v>Margen de seguridad: 6,0 puntos</v>
      </c>
      <c r="AM743">
        <f t="shared" si="278"/>
        <v>0.74</v>
      </c>
      <c r="AN743" t="str">
        <f t="shared" si="279"/>
        <v>PRIORIDAD ALTA – requiere intervención inmediata</v>
      </c>
      <c r="AO743">
        <f t="shared" si="280"/>
        <v>74.591954666589913</v>
      </c>
      <c r="AP743">
        <f t="shared" si="281"/>
        <v>1.5579323677968375</v>
      </c>
      <c r="AQ743">
        <f t="shared" si="282"/>
        <v>0</v>
      </c>
      <c r="AR743">
        <f t="shared" si="283"/>
        <v>8.1649999999999991</v>
      </c>
      <c r="AS743">
        <f t="shared" si="284"/>
        <v>0</v>
      </c>
      <c r="AT743" t="str">
        <f t="shared" si="285"/>
        <v>VENTAS</v>
      </c>
      <c r="AU743">
        <f t="shared" si="286"/>
        <v>74.591954666589913</v>
      </c>
      <c r="AV743" t="str">
        <f t="shared" si="287"/>
        <v>Mayor retorno probable: VENTAS (+74,6 puntos finales potenciales).</v>
      </c>
    </row>
    <row r="744" spans="1:48" x14ac:dyDescent="0.3">
      <c r="A744" s="5">
        <v>51020111</v>
      </c>
      <c r="B744" s="5" t="str">
        <f>IFERROR(VLOOKUP(A744,VENTAS!$A$2:$B$1194,2,0),"")</f>
        <v>BELUZZO</v>
      </c>
      <c r="C744" s="5">
        <f>IFERROR(INDEX(VENTAS!$C$2:$E$1194,MATCH(A744,VENTAS!$A$2:$A$1194,0),MATCH(PARAMS_MODELO!$B$2,{"Q1","Q2","Q3"},0)),0)</f>
        <v>36404887.840000004</v>
      </c>
      <c r="D744" s="5">
        <f>IFERROR(INDEX(VENTAS!$F$2:$H$1194,MATCH(A744,VENTAS!$A$2:$A$1194,0),MATCH(PARAMS_MODELO!$B$2,{"Q1","Q2","Q3"},0)),0)</f>
        <v>53280596</v>
      </c>
      <c r="E744" s="8">
        <f t="shared" si="264"/>
        <v>0.46355610911834066</v>
      </c>
      <c r="F744" s="12">
        <f>IF(E744&lt;=PARAMS_MODELO!$B$15,0,IF(E744&gt;=PARAMS_MODELO!$B$17,100,100*MIN(1,(E744-PARAMS_MODELO!$B$15)/(PARAMS_MODELO!$B$16-PARAMS_MODELO!$B$15))))*PARAMS_MODELO!$B$7</f>
        <v>35</v>
      </c>
      <c r="G744" s="5">
        <f t="shared" si="265"/>
        <v>16875708.159999996</v>
      </c>
      <c r="H744" s="5">
        <f>(PARAMS_MODELO!$B$20*(MAX(0,MIN(3,E744))/3)+PARAMS_MODELO!$B$21*(IFERROR(LN(1+MAX(0,G744))/LN(1+MAX(0,MAX($G$2:$G$1194))),0)))*100*PARAMS_MODELO!$B$8</f>
        <v>5.5234195429755069</v>
      </c>
      <c r="I744" s="8">
        <f>E744-PARAMS_MODELO!$B$5</f>
        <v>0.28599327374281414</v>
      </c>
      <c r="J744" s="5">
        <f>IF(I744&lt;=PARAMS_MODELO!$B$18,0,IF(I744&gt;=PARAMS_MODELO!$B$19,100,100*(I744-PARAMS_MODELO!$B$18)/(PARAMS_MODELO!$B$19-PARAMS_MODELO!$B$18)))*PARAMS_MODELO!$B$9</f>
        <v>15</v>
      </c>
      <c r="K744" s="5">
        <f>IFERROR(CHOOSE(MATCH(PARAMS_MODELO!$B$2,{"Q1","Q2","Q3"},0),LOTO!$D744,LOTO!$F744,LOTO!$H744),0)</f>
        <v>2422500</v>
      </c>
      <c r="L744" s="8">
        <f t="shared" si="266"/>
        <v>4.546683374187481E-2</v>
      </c>
      <c r="M744" s="5">
        <f>MIN(100,IF(PARAMS_MODELO!$B$23=0,0,100*L744/PARAMS_MODELO!$B$23))*PARAMS_MODELO!$B$10</f>
        <v>13.640050122562442</v>
      </c>
      <c r="N744" s="5">
        <f>IFERROR(VLOOKUP(A744,COMPLIANCE!$A$2:$F$1996,6,0),100)</f>
        <v>100</v>
      </c>
      <c r="O744" s="5">
        <f>N744*PARAMS_MODELO!$B$11</f>
        <v>10</v>
      </c>
      <c r="P744" s="5">
        <f>IFERROR(VLOOKUP(A744,DIGITAL!$A$2:$J$2000,7,0),100)</f>
        <v>30</v>
      </c>
      <c r="Q744" s="5">
        <f>IFERROR(P744,0)*PARAMS_MODELO!$B$12</f>
        <v>3</v>
      </c>
      <c r="R744">
        <f t="shared" si="267"/>
        <v>82.163469665537946</v>
      </c>
      <c r="S744" s="5" t="str">
        <f>IFERROR(VLOOKUP(A744,CLIENTE!$A$2:$N$2000,13,0),1)</f>
        <v>Malo</v>
      </c>
      <c r="T744" s="5">
        <f>IFERROR(VLOOKUP(A744,CLIENTE!$A$2:$N$2000,14,0),1)</f>
        <v>0.7</v>
      </c>
      <c r="U744" s="5">
        <f t="shared" si="268"/>
        <v>57.514428765876559</v>
      </c>
      <c r="V744" s="5" t="str">
        <f>IF(U744&gt;=MAX(_xlfn.PERCENTILE.INC($U$2:$U$1194,PARAMS_MODELO!$B$50),PARAMS_MODELO!$B$45),"DIAMANTE",IF(U744&gt;=MAX(_xlfn.PERCENTILE.INC($U$2:$U$1194,PARAMS_MODELO!$B$51),PARAMS_MODELO!$B$46),"PLATINO",IF(U744&gt;=MAX(_xlfn.PERCENTILE.INC($U$2:$U$1194,PARAMS_MODELO!$B$52),PARAMS_MODELO!$B$47),"ORO",IF(U744&gt;=MAX(_xlfn.PERCENTILE.INC($U$2:$U$1194,PARAMS_MODELO!$B$53),PARAMS_MODELO!$B$48),"PLATA",IF(U744&gt;=1,"BRONCE","CERRADO")))))</f>
        <v>PLATA</v>
      </c>
      <c r="W744" s="5" t="str" cm="1">
        <f t="array" ref="W744">_xlfn.XLOOKUP(1, (HIST_SCORE!$B:$B=PARAMS_MODELO!$B$4) * (HIST_SCORE!$C:$C=A744), HIST_SCORE!$E:$E, "No encontrado")</f>
        <v>PLATA</v>
      </c>
      <c r="X744" s="5" t="str">
        <f>_xlfn.LET(_xlpm.act,MATCH(V744,{"DIAMANTE";"PLATINO";"ORO";"PLATA";"BRONCE";"CERRADO"},0),_xlpm.ant,MATCH(W744,{"DIAMANTE";"PLATINO";"ORO";"PLATA";"BRONCE";"CERRADO"},0),IF(_xlpm.act&lt;_xlpm.ant,"Mejora ↑",IF(_xlpm.act&gt;_xlpm.ant,"Baja ↓","Estable →")))</f>
        <v>Estable →</v>
      </c>
      <c r="Y744" s="5">
        <f>IFERROR(U744-SUMIFS(HIST_SCORE!$D:$D,HIST_SCORE!$B:$B,PARAMS_MODELO!$B$4,HIST_SCORE!$C:$C,$A744),"")</f>
        <v>-0.30323825351835154</v>
      </c>
      <c r="Z744" s="5" t="str">
        <f t="shared" si="269"/>
        <v>→ Estable</v>
      </c>
      <c r="AA744" s="5">
        <f t="shared" si="270"/>
        <v>674</v>
      </c>
      <c r="AB744" s="5">
        <f>IFERROR(SUMIFS(HIST_SCORE!$F:$F,HIST_SCORE!$B:$B,PARAMS_MODELO!$B$4,HIST_SCORE!$C:$C,$A744),"")</f>
        <v>690</v>
      </c>
      <c r="AC744" s="5">
        <f t="shared" si="271"/>
        <v>16</v>
      </c>
      <c r="AD744" t="str">
        <f t="shared" si="273"/>
        <v/>
      </c>
      <c r="AE7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744="CERRADO",1,IF(V744="BRONCE",_xlpm.cPl,IF(V744="PLATA",_xlpm.cO,IF(V744="ORO",_xlpm.cP,IF(V744="PLATINO",_xlpm.cD,999))))))</f>
        <v>63.199193273331495</v>
      </c>
      <c r="AF7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744="CERRADO",0,IF(V744="BRONCE",1,IF(V744="PLATA",_xlpm.cPl,IF(V744="ORO",_xlpm.cO,IF(V744="PLATINO",_xlpm.cP,_xlpm.cD))))))</f>
        <v>24.506573482968111</v>
      </c>
      <c r="AG744">
        <f t="shared" si="274"/>
        <v>8.1210921535070497</v>
      </c>
      <c r="AH744" t="str">
        <f t="shared" si="275"/>
        <v>CLIENTE</v>
      </c>
      <c r="AI744" t="str">
        <f t="shared" si="272"/>
        <v>🎯 Para subir de categoría, la eje con mayor impacto probable es CLIENTE (coef T). Acción: reducir quejas, mejorar incógnito y empujar reseñas. ΔR aprox: 8,1</v>
      </c>
      <c r="AJ744" s="26">
        <f>_xlfn.LET(_xlpm.piso,AF744,_xlpm.corte,AE744,_xlpm.prog,IF(_xlpm.corte&lt;=_xlpm.piso,0,MAX(0,MIN(1,(U744-_xlpm.piso)/(_xlpm.corte-_xlpm.piso)))),_xlpm.orden,{"DIAMANTE";"PLATINO";"ORO";"PLATA";"BRONCE";"CERRADO"},_xlpm.act,IFERROR(MATCH(V744,_xlpm.orden,0),6),_xlpm.ant,IFERROR(MATCH(W744,_xlpm.orden,0),6),_xlpm.ajmov,IF(_xlpm.act&lt;_xlpm.ant,0.08,IF(_xlpm.act&gt;_xlpm.ant,-0.08,0)),_xlpm.ajcli,IF(T744&lt;0.95,-0.06,0),_xlpm.prob,MAX(0,MIN(1,_xlpm.prog+_xlpm.ajmov+_xlpm.ajcli)),IF(OR(V744="DIAMANTE",V744="CERRADO"),0,ROUND(_xlpm.prob,2)))</f>
        <v>0.79</v>
      </c>
      <c r="AK744" t="str">
        <f t="shared" si="276"/>
        <v>Faltan 8,1 puntos base para subir a la siguiente categoría</v>
      </c>
      <c r="AL744" t="str">
        <f t="shared" si="277"/>
        <v>Margen de seguridad: 33,0 puntos</v>
      </c>
      <c r="AM744">
        <f t="shared" si="278"/>
        <v>0.61</v>
      </c>
      <c r="AN744" t="str">
        <f t="shared" si="279"/>
        <v>PRIORIDAD MEDIA – seguimiento del asesor</v>
      </c>
      <c r="AO744">
        <f t="shared" si="280"/>
        <v>6.5374048126240565</v>
      </c>
      <c r="AP744">
        <f t="shared" si="281"/>
        <v>0.95196491420629026</v>
      </c>
      <c r="AQ744">
        <f t="shared" si="282"/>
        <v>0</v>
      </c>
      <c r="AR744">
        <f t="shared" si="283"/>
        <v>4.8999999999999995</v>
      </c>
      <c r="AS744">
        <f t="shared" si="284"/>
        <v>24.649040899661387</v>
      </c>
      <c r="AT744" t="str">
        <f t="shared" si="285"/>
        <v>CLIENTE</v>
      </c>
      <c r="AU744">
        <f t="shared" si="286"/>
        <v>24.649040899661387</v>
      </c>
      <c r="AV744" t="str">
        <f t="shared" si="287"/>
        <v>Mayor retorno probable: CLIENTE (+24,6 puntos finales potenciales).</v>
      </c>
    </row>
    <row r="745" spans="1:48" x14ac:dyDescent="0.3">
      <c r="A745" s="5">
        <v>51055250</v>
      </c>
      <c r="B745" s="5" t="str">
        <f>IFERROR(VLOOKUP(A745,VENTAS!$A$2:$B$1194,2,0),"")</f>
        <v>METTLER</v>
      </c>
      <c r="C745" s="5">
        <f>IFERROR(INDEX(VENTAS!$C$2:$E$1194,MATCH(A745,VENTAS!$A$2:$A$1194,0),MATCH(PARAMS_MODELO!$B$2,{"Q1","Q2","Q3"},0)),0)</f>
        <v>32614960.789999999</v>
      </c>
      <c r="D745" s="5">
        <f>IFERROR(INDEX(VENTAS!$F$2:$H$1194,MATCH(A745,VENTAS!$A$2:$A$1194,0),MATCH(PARAMS_MODELO!$B$2,{"Q1","Q2","Q3"},0)),0)</f>
        <v>53277845</v>
      </c>
      <c r="E745" s="8">
        <f t="shared" si="264"/>
        <v>0.63354005982234396</v>
      </c>
      <c r="F745" s="12">
        <f>IF(E745&lt;=PARAMS_MODELO!$B$15,0,IF(E745&gt;=PARAMS_MODELO!$B$17,100,100*MIN(1,(E745-PARAMS_MODELO!$B$15)/(PARAMS_MODELO!$B$16-PARAMS_MODELO!$B$15))))*PARAMS_MODELO!$B$7</f>
        <v>35</v>
      </c>
      <c r="G745" s="5">
        <f t="shared" si="265"/>
        <v>20662884.210000001</v>
      </c>
      <c r="H745" s="5">
        <f>(PARAMS_MODELO!$B$20*(MAX(0,MIN(3,E745))/3)+PARAMS_MODELO!$B$21*(IFERROR(LN(1+MAX(0,G745))/LN(1+MAX(0,MAX($G$2:$G$1194))),0)))*100*PARAMS_MODELO!$B$8</f>
        <v>6.1658237224199173</v>
      </c>
      <c r="I745" s="8">
        <f>E745-PARAMS_MODELO!$B$5</f>
        <v>0.45597722444681743</v>
      </c>
      <c r="J745" s="5">
        <f>IF(I745&lt;=PARAMS_MODELO!$B$18,0,IF(I745&gt;=PARAMS_MODELO!$B$19,100,100*(I745-PARAMS_MODELO!$B$18)/(PARAMS_MODELO!$B$19-PARAMS_MODELO!$B$18)))*PARAMS_MODELO!$B$9</f>
        <v>15</v>
      </c>
      <c r="K745" s="5">
        <f>IFERROR(CHOOSE(MATCH(PARAMS_MODELO!$B$2,{"Q1","Q2","Q3"},0),LOTO!$D745,LOTO!$F745,LOTO!$H745),0)</f>
        <v>2417500</v>
      </c>
      <c r="L745" s="8">
        <f t="shared" si="266"/>
        <v>4.5375333780861442E-2</v>
      </c>
      <c r="M745" s="5">
        <f>MIN(100,IF(PARAMS_MODELO!$B$23=0,0,100*L745/PARAMS_MODELO!$B$23))*PARAMS_MODELO!$B$10</f>
        <v>13.612600134258431</v>
      </c>
      <c r="N745" s="5">
        <f>IFERROR(VLOOKUP(A745,COMPLIANCE!$A$2:$F$1996,6,0),100)</f>
        <v>100</v>
      </c>
      <c r="O745" s="5">
        <f>N745*PARAMS_MODELO!$B$11</f>
        <v>10</v>
      </c>
      <c r="P745" s="5">
        <f>IFERROR(VLOOKUP(A745,DIGITAL!$A$2:$J$2000,7,0),100)</f>
        <v>16</v>
      </c>
      <c r="Q745" s="5">
        <f>IFERROR(P745,0)*PARAMS_MODELO!$B$12</f>
        <v>1.6</v>
      </c>
      <c r="R745">
        <f t="shared" si="267"/>
        <v>81.378423856678339</v>
      </c>
      <c r="S745" s="5" t="str">
        <f>IFERROR(VLOOKUP(A745,CLIENTE!$A$2:$N$2000,13,0),1)</f>
        <v>Malo</v>
      </c>
      <c r="T745" s="5">
        <f>IFERROR(VLOOKUP(A745,CLIENTE!$A$2:$N$2000,14,0),1)</f>
        <v>0.7</v>
      </c>
      <c r="U745" s="5">
        <f t="shared" si="268"/>
        <v>56.964896699674831</v>
      </c>
      <c r="V745" s="5" t="str">
        <f>IF(U745&gt;=MAX(_xlfn.PERCENTILE.INC($U$2:$U$1194,PARAMS_MODELO!$B$50),PARAMS_MODELO!$B$45),"DIAMANTE",IF(U745&gt;=MAX(_xlfn.PERCENTILE.INC($U$2:$U$1194,PARAMS_MODELO!$B$51),PARAMS_MODELO!$B$46),"PLATINO",IF(U745&gt;=MAX(_xlfn.PERCENTILE.INC($U$2:$U$1194,PARAMS_MODELO!$B$52),PARAMS_MODELO!$B$47),"ORO",IF(U745&gt;=MAX(_xlfn.PERCENTILE.INC($U$2:$U$1194,PARAMS_MODELO!$B$53),PARAMS_MODELO!$B$48),"PLATA",IF(U745&gt;=1,"BRONCE","CERRADO")))))</f>
        <v>PLATA</v>
      </c>
      <c r="W745" s="5" t="str" cm="1">
        <f t="array" ref="W745">_xlfn.XLOOKUP(1, (HIST_SCORE!$B:$B=PARAMS_MODELO!$B$4) * (HIST_SCORE!$C:$C=A745), HIST_SCORE!$E:$E, "No encontrado")</f>
        <v>PLATA</v>
      </c>
      <c r="X745" s="5" t="str">
        <f>_xlfn.LET(_xlpm.act,MATCH(V745,{"DIAMANTE";"PLATINO";"ORO";"PLATA";"BRONCE";"CERRADO"},0),_xlpm.ant,MATCH(W745,{"DIAMANTE";"PLATINO";"ORO";"PLATA";"BRONCE";"CERRADO"},0),IF(_xlpm.act&lt;_xlpm.ant,"Mejora ↑",IF(_xlpm.act&gt;_xlpm.ant,"Baja ↓","Estable →")))</f>
        <v>Estable →</v>
      </c>
      <c r="Y745" s="5">
        <f>IFERROR(U745-SUMIFS(HIST_SCORE!$D:$D,HIST_SCORE!$B:$B,PARAMS_MODELO!$B$4,HIST_SCORE!$C:$C,$A745),"")</f>
        <v>10.906108158989348</v>
      </c>
      <c r="Z745" s="5" t="str">
        <f t="shared" si="269"/>
        <v>↑ Mejora</v>
      </c>
      <c r="AA745" s="5">
        <f t="shared" si="270"/>
        <v>684</v>
      </c>
      <c r="AB745" s="5">
        <f>IFERROR(SUMIFS(HIST_SCORE!$F:$F,HIST_SCORE!$B:$B,PARAMS_MODELO!$B$4,HIST_SCORE!$C:$C,$A745),"")</f>
        <v>816</v>
      </c>
      <c r="AC745" s="5">
        <f t="shared" si="271"/>
        <v>132</v>
      </c>
      <c r="AD745" t="str">
        <f t="shared" si="273"/>
        <v/>
      </c>
      <c r="AE7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745="CERRADO",1,IF(V745="BRONCE",_xlpm.cPl,IF(V745="PLATA",_xlpm.cO,IF(V745="ORO",_xlpm.cP,IF(V745="PLATINO",_xlpm.cD,999))))))</f>
        <v>63.199193273331495</v>
      </c>
      <c r="AF7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745="CERRADO",0,IF(V745="BRONCE",1,IF(V745="PLATA",_xlpm.cPl,IF(V745="ORO",_xlpm.cO,IF(V745="PLATINO",_xlpm.cP,_xlpm.cD))))))</f>
        <v>24.506573482968111</v>
      </c>
      <c r="AG745">
        <f t="shared" si="274"/>
        <v>8.9061379623666568</v>
      </c>
      <c r="AH745" t="str">
        <f t="shared" si="275"/>
        <v>CLIENTE</v>
      </c>
      <c r="AI745" t="str">
        <f t="shared" si="272"/>
        <v>🎯 Para subir de categoría, la eje con mayor impacto probable es CLIENTE (coef T). Acción: reducir quejas, mejorar incógnito y empujar reseñas. ΔR aprox: 8,9</v>
      </c>
      <c r="AJ745" s="26">
        <f>_xlfn.LET(_xlpm.piso,AF745,_xlpm.corte,AE745,_xlpm.prog,IF(_xlpm.corte&lt;=_xlpm.piso,0,MAX(0,MIN(1,(U745-_xlpm.piso)/(_xlpm.corte-_xlpm.piso)))),_xlpm.orden,{"DIAMANTE";"PLATINO";"ORO";"PLATA";"BRONCE";"CERRADO"},_xlpm.act,IFERROR(MATCH(V745,_xlpm.orden,0),6),_xlpm.ant,IFERROR(MATCH(W745,_xlpm.orden,0),6),_xlpm.ajmov,IF(_xlpm.act&lt;_xlpm.ant,0.08,IF(_xlpm.act&gt;_xlpm.ant,-0.08,0)),_xlpm.ajcli,IF(T745&lt;0.95,-0.06,0),_xlpm.prob,MAX(0,MIN(1,_xlpm.prog+_xlpm.ajmov+_xlpm.ajcli)),IF(OR(V745="DIAMANTE",V745="CERRADO"),0,ROUND(_xlpm.prob,2)))</f>
        <v>0.78</v>
      </c>
      <c r="AK745" t="str">
        <f t="shared" si="276"/>
        <v>Faltan 8,9 puntos base para subir a la siguiente categoría</v>
      </c>
      <c r="AL745" t="str">
        <f t="shared" si="277"/>
        <v>Margen de seguridad: 32,5 puntos</v>
      </c>
      <c r="AM745">
        <f t="shared" si="278"/>
        <v>0.64</v>
      </c>
      <c r="AN745" t="str">
        <f t="shared" si="279"/>
        <v>PRIORIDAD MEDIA – seguimiento del asesor</v>
      </c>
      <c r="AO745">
        <f t="shared" si="280"/>
        <v>6.0877218870129681</v>
      </c>
      <c r="AP745">
        <f t="shared" si="281"/>
        <v>0.97117990601909854</v>
      </c>
      <c r="AQ745">
        <f t="shared" si="282"/>
        <v>0</v>
      </c>
      <c r="AR745">
        <f t="shared" si="283"/>
        <v>5.88</v>
      </c>
      <c r="AS745">
        <f t="shared" si="284"/>
        <v>24.413527157003504</v>
      </c>
      <c r="AT745" t="str">
        <f t="shared" si="285"/>
        <v>CLIENTE</v>
      </c>
      <c r="AU745">
        <f t="shared" si="286"/>
        <v>24.413527157003504</v>
      </c>
      <c r="AV745" t="str">
        <f t="shared" si="287"/>
        <v>Mayor retorno probable: CLIENTE (+24,4 puntos finales potenciales).</v>
      </c>
    </row>
    <row r="746" spans="1:48" x14ac:dyDescent="0.3">
      <c r="A746" s="5">
        <v>51018036</v>
      </c>
      <c r="B746" s="5" t="str">
        <f>IFERROR(VLOOKUP(A746,VENTAS!$A$2:$B$1194,2,0),"")</f>
        <v>CICHETTO</v>
      </c>
      <c r="C746" s="5">
        <f>IFERROR(INDEX(VENTAS!$C$2:$E$1194,MATCH(A746,VENTAS!$A$2:$A$1194,0),MATCH(PARAMS_MODELO!$B$2,{"Q1","Q2","Q3"},0)),0)</f>
        <v>48634289.010000013</v>
      </c>
      <c r="D746" s="5">
        <f>IFERROR(INDEX(VENTAS!$F$2:$H$1194,MATCH(A746,VENTAS!$A$2:$A$1194,0),MATCH(PARAMS_MODELO!$B$2,{"Q1","Q2","Q3"},0)),0)</f>
        <v>53268555</v>
      </c>
      <c r="E746" s="8">
        <f t="shared" si="264"/>
        <v>9.5288038220258775E-2</v>
      </c>
      <c r="F746" s="12">
        <f>IF(E746&lt;=PARAMS_MODELO!$B$15,0,IF(E746&gt;=PARAMS_MODELO!$B$17,100,100*MIN(1,(E746-PARAMS_MODELO!$B$15)/(PARAMS_MODELO!$B$16-PARAMS_MODELO!$B$15))))*PARAMS_MODELO!$B$7</f>
        <v>33.350813377090567</v>
      </c>
      <c r="G746" s="5">
        <f t="shared" si="265"/>
        <v>4634265.9899999872</v>
      </c>
      <c r="H746" s="5">
        <f>(PARAMS_MODELO!$B$20*(MAX(0,MIN(3,E746))/3)+PARAMS_MODELO!$B$21*(IFERROR(LN(1+MAX(0,G746))/LN(1+MAX(0,MAX($G$2:$G$1194))),0)))*100*PARAMS_MODELO!$B$8</f>
        <v>3.931525343615661</v>
      </c>
      <c r="I746" s="8">
        <f>E746-PARAMS_MODELO!$B$5</f>
        <v>-8.2274797155267754E-2</v>
      </c>
      <c r="J746" s="5">
        <f>IF(I746&lt;=PARAMS_MODELO!$B$18,0,IF(I746&gt;=PARAMS_MODELO!$B$19,100,100*(I746-PARAMS_MODELO!$B$18)/(PARAMS_MODELO!$B$19-PARAMS_MODELO!$B$18)))*PARAMS_MODELO!$B$9</f>
        <v>0</v>
      </c>
      <c r="K746" s="5">
        <f>IFERROR(CHOOSE(MATCH(PARAMS_MODELO!$B$2,{"Q1","Q2","Q3"},0),LOTO!$D746,LOTO!$F746,LOTO!$H746),0)</f>
        <v>2402500</v>
      </c>
      <c r="L746" s="8">
        <f t="shared" si="266"/>
        <v>4.5101655188506617E-2</v>
      </c>
      <c r="M746" s="5">
        <f>MIN(100,IF(PARAMS_MODELO!$B$23=0,0,100*L746/PARAMS_MODELO!$B$23))*PARAMS_MODELO!$B$10</f>
        <v>13.530496556551983</v>
      </c>
      <c r="N746" s="5">
        <f>IFERROR(VLOOKUP(A746,COMPLIANCE!$A$2:$F$1996,6,0),100)</f>
        <v>100</v>
      </c>
      <c r="O746" s="5">
        <f>N746*PARAMS_MODELO!$B$11</f>
        <v>10</v>
      </c>
      <c r="P746" s="5">
        <f>IFERROR(VLOOKUP(A746,DIGITAL!$A$2:$J$2000,7,0),100)</f>
        <v>94</v>
      </c>
      <c r="Q746" s="5">
        <f>IFERROR(P746,0)*PARAMS_MODELO!$B$12</f>
        <v>9.4</v>
      </c>
      <c r="R746">
        <f t="shared" si="267"/>
        <v>70.212835277258208</v>
      </c>
      <c r="S746" s="5" t="str">
        <f>IFERROR(VLOOKUP(A746,CLIENTE!$A$2:$N$2000,13,0),1)</f>
        <v>Muy Bueno</v>
      </c>
      <c r="T746" s="5">
        <f>IFERROR(VLOOKUP(A746,CLIENTE!$A$2:$N$2000,14,0),1)</f>
        <v>1.1499999999999999</v>
      </c>
      <c r="U746" s="5">
        <f t="shared" si="268"/>
        <v>80.744760568846928</v>
      </c>
      <c r="V746" s="5" t="str">
        <f>IF(U746&gt;=MAX(_xlfn.PERCENTILE.INC($U$2:$U$1194,PARAMS_MODELO!$B$50),PARAMS_MODELO!$B$45),"DIAMANTE",IF(U746&gt;=MAX(_xlfn.PERCENTILE.INC($U$2:$U$1194,PARAMS_MODELO!$B$51),PARAMS_MODELO!$B$46),"PLATINO",IF(U746&gt;=MAX(_xlfn.PERCENTILE.INC($U$2:$U$1194,PARAMS_MODELO!$B$52),PARAMS_MODELO!$B$47),"ORO",IF(U746&gt;=MAX(_xlfn.PERCENTILE.INC($U$2:$U$1194,PARAMS_MODELO!$B$53),PARAMS_MODELO!$B$48),"PLATA",IF(U746&gt;=1,"BRONCE","CERRADO")))))</f>
        <v>ORO</v>
      </c>
      <c r="W746" s="5" t="str" cm="1">
        <f t="array" ref="W746">_xlfn.XLOOKUP(1, (HIST_SCORE!$B:$B=PARAMS_MODELO!$B$4) * (HIST_SCORE!$C:$C=A746), HIST_SCORE!$E:$E, "No encontrado")</f>
        <v>PLATA</v>
      </c>
      <c r="X746" s="5" t="str">
        <f>_xlfn.LET(_xlpm.act,MATCH(V746,{"DIAMANTE";"PLATINO";"ORO";"PLATA";"BRONCE";"CERRADO"},0),_xlpm.ant,MATCH(W746,{"DIAMANTE";"PLATINO";"ORO";"PLATA";"BRONCE";"CERRADO"},0),IF(_xlpm.act&lt;_xlpm.ant,"Mejora ↑",IF(_xlpm.act&gt;_xlpm.ant,"Baja ↓","Estable →")))</f>
        <v>Mejora ↑</v>
      </c>
      <c r="Y746" s="5">
        <f>IFERROR(U746-SUMIFS(HIST_SCORE!$D:$D,HIST_SCORE!$B:$B,PARAMS_MODELO!$B$4,HIST_SCORE!$C:$C,$A746),"")</f>
        <v>32.058052240424416</v>
      </c>
      <c r="Z746" s="5" t="str">
        <f t="shared" si="269"/>
        <v>↑ Mejora</v>
      </c>
      <c r="AA746" s="5">
        <f t="shared" si="270"/>
        <v>421</v>
      </c>
      <c r="AB746" s="5">
        <f>IFERROR(SUMIFS(HIST_SCORE!$F:$F,HIST_SCORE!$B:$B,PARAMS_MODELO!$B$4,HIST_SCORE!$C:$C,$A746),"")</f>
        <v>784</v>
      </c>
      <c r="AC746" s="5">
        <f t="shared" si="271"/>
        <v>363</v>
      </c>
      <c r="AD746" t="str">
        <f t="shared" si="273"/>
        <v/>
      </c>
      <c r="AE7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746="CERRADO",1,IF(V746="BRONCE",_xlpm.cPl,IF(V746="PLATA",_xlpm.cO,IF(V746="ORO",_xlpm.cP,IF(V746="PLATINO",_xlpm.cD,999))))))</f>
        <v>86.439123873763251</v>
      </c>
      <c r="AF7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746="CERRADO",0,IF(V746="BRONCE",1,IF(V746="PLATA",_xlpm.cPl,IF(V746="ORO",_xlpm.cO,IF(V746="PLATINO",_xlpm.cP,_xlpm.cD))))))</f>
        <v>63.199193273331495</v>
      </c>
      <c r="AG746">
        <f t="shared" si="274"/>
        <v>4.9516202651446264</v>
      </c>
      <c r="AH746" t="str">
        <f t="shared" si="275"/>
        <v>VENTAS</v>
      </c>
      <c r="AI746" t="str">
        <f t="shared" si="272"/>
        <v>🎯 Para subir de categoría, eje VENTAS / DIFERENCIAL vs LOTBA (J). Acción: metas semanales + activación comercial + seguimiento del asesor. ΔR aprox: 5,0</v>
      </c>
      <c r="AJ746" s="26">
        <f>_xlfn.LET(_xlpm.piso,AF746,_xlpm.corte,AE746,_xlpm.prog,IF(_xlpm.corte&lt;=_xlpm.piso,0,MAX(0,MIN(1,(U746-_xlpm.piso)/(_xlpm.corte-_xlpm.piso)))),_xlpm.orden,{"DIAMANTE";"PLATINO";"ORO";"PLATA";"BRONCE";"CERRADO"},_xlpm.act,IFERROR(MATCH(V746,_xlpm.orden,0),6),_xlpm.ant,IFERROR(MATCH(W746,_xlpm.orden,0),6),_xlpm.ajmov,IF(_xlpm.act&lt;_xlpm.ant,0.08,IF(_xlpm.act&gt;_xlpm.ant,-0.08,0)),_xlpm.ajcli,IF(T746&lt;0.95,-0.06,0),_xlpm.prob,MAX(0,MIN(1,_xlpm.prog+_xlpm.ajmov+_xlpm.ajcli)),IF(OR(V746="DIAMANTE",V746="CERRADO"),0,ROUND(_xlpm.prob,2)))</f>
        <v>0.83</v>
      </c>
      <c r="AK746" t="str">
        <f t="shared" si="276"/>
        <v>Faltan 5,0 puntos base para subir a la siguiente categoría</v>
      </c>
      <c r="AL746" t="str">
        <f t="shared" si="277"/>
        <v>Margen de seguridad: 17,5 puntos</v>
      </c>
      <c r="AM746">
        <f t="shared" si="278"/>
        <v>0.27</v>
      </c>
      <c r="AN746" t="str">
        <f t="shared" si="279"/>
        <v>PRIORIDAD BAJA – control normal</v>
      </c>
      <c r="AO746">
        <f t="shared" si="280"/>
        <v>31.717265137777758</v>
      </c>
      <c r="AP746">
        <f t="shared" si="281"/>
        <v>1.6899289599652199</v>
      </c>
      <c r="AQ746">
        <f t="shared" si="282"/>
        <v>0</v>
      </c>
      <c r="AR746">
        <f t="shared" si="283"/>
        <v>0.6899999999999995</v>
      </c>
      <c r="AS746">
        <f t="shared" si="284"/>
        <v>0</v>
      </c>
      <c r="AT746" t="str">
        <f t="shared" si="285"/>
        <v>VENTAS</v>
      </c>
      <c r="AU746">
        <f t="shared" si="286"/>
        <v>31.717265137777758</v>
      </c>
      <c r="AV746" t="str">
        <f t="shared" si="287"/>
        <v>Mayor retorno probable: VENTAS (+31,7 puntos finales potenciales).</v>
      </c>
    </row>
    <row r="747" spans="1:48" x14ac:dyDescent="0.3">
      <c r="A747" s="5">
        <v>51009797</v>
      </c>
      <c r="B747" s="5" t="str">
        <f>IFERROR(VLOOKUP(A747,VENTAS!$A$2:$B$1194,2,0),"")</f>
        <v>PUGH</v>
      </c>
      <c r="C747" s="5">
        <f>IFERROR(INDEX(VENTAS!$C$2:$E$1194,MATCH(A747,VENTAS!$A$2:$A$1194,0),MATCH(PARAMS_MODELO!$B$2,{"Q1","Q2","Q3"},0)),0)</f>
        <v>53654897.540000007</v>
      </c>
      <c r="D747" s="5">
        <f>IFERROR(INDEX(VENTAS!$F$2:$H$1194,MATCH(A747,VENTAS!$A$2:$A$1194,0),MATCH(PARAMS_MODELO!$B$2,{"Q1","Q2","Q3"},0)),0)</f>
        <v>53224508</v>
      </c>
      <c r="E747" s="8">
        <f t="shared" si="264"/>
        <v>-8.0214399753377741E-3</v>
      </c>
      <c r="F747" s="12">
        <f>IF(E747&lt;=PARAMS_MODELO!$B$15,0,IF(E747&gt;=PARAMS_MODELO!$B$17,100,100*MIN(1,(E747-PARAMS_MODELO!$B$15)/(PARAMS_MODELO!$B$16-PARAMS_MODELO!$B$15))))*PARAMS_MODELO!$B$7</f>
        <v>0</v>
      </c>
      <c r="G747" s="5">
        <f t="shared" si="265"/>
        <v>0</v>
      </c>
      <c r="H747" s="5">
        <f>(PARAMS_MODELO!$B$20*(MAX(0,MIN(3,E747))/3)+PARAMS_MODELO!$B$21*(IFERROR(LN(1+MAX(0,G747))/LN(1+MAX(0,MAX($G$2:$G$1194))),0)))*100*PARAMS_MODELO!$B$8</f>
        <v>0</v>
      </c>
      <c r="I747" s="8">
        <f>E747-PARAMS_MODELO!$B$5</f>
        <v>-0.1855842753508643</v>
      </c>
      <c r="J747" s="5">
        <f>IF(I747&lt;=PARAMS_MODELO!$B$18,0,IF(I747&gt;=PARAMS_MODELO!$B$19,100,100*(I747-PARAMS_MODELO!$B$18)/(PARAMS_MODELO!$B$19-PARAMS_MODELO!$B$18)))*PARAMS_MODELO!$B$9</f>
        <v>0</v>
      </c>
      <c r="K747" s="5">
        <f>IFERROR(CHOOSE(MATCH(PARAMS_MODELO!$B$2,{"Q1","Q2","Q3"},0),LOTO!$D747,LOTO!$F747,LOTO!$H747),0)</f>
        <v>2397500</v>
      </c>
      <c r="L747" s="8">
        <f t="shared" si="266"/>
        <v>4.5045038274473106E-2</v>
      </c>
      <c r="M747" s="5">
        <f>MIN(100,IF(PARAMS_MODELO!$B$23=0,0,100*L747/PARAMS_MODELO!$B$23))*PARAMS_MODELO!$B$10</f>
        <v>13.513511482341929</v>
      </c>
      <c r="N747" s="5">
        <f>IFERROR(VLOOKUP(A747,COMPLIANCE!$A$2:$F$1996,6,0),100)</f>
        <v>100</v>
      </c>
      <c r="O747" s="5">
        <f>N747*PARAMS_MODELO!$B$11</f>
        <v>10</v>
      </c>
      <c r="P747" s="5">
        <f>IFERROR(VLOOKUP(A747,DIGITAL!$A$2:$J$2000,7,0),100)</f>
        <v>6</v>
      </c>
      <c r="Q747" s="5">
        <f>IFERROR(P747,0)*PARAMS_MODELO!$B$12</f>
        <v>0.60000000000000009</v>
      </c>
      <c r="R747">
        <f t="shared" si="267"/>
        <v>24.113511482341931</v>
      </c>
      <c r="S747" s="5" t="str">
        <f>IFERROR(VLOOKUP(A747,CLIENTE!$A$2:$N$2000,13,0),1)</f>
        <v>Bueno</v>
      </c>
      <c r="T747" s="5">
        <f>IFERROR(VLOOKUP(A747,CLIENTE!$A$2:$N$2000,14,0),1)</f>
        <v>1.1000000000000001</v>
      </c>
      <c r="U747" s="5">
        <f t="shared" si="268"/>
        <v>26.524862630576127</v>
      </c>
      <c r="V747" s="5" t="str">
        <f>IF(U747&gt;=MAX(_xlfn.PERCENTILE.INC($U$2:$U$1194,PARAMS_MODELO!$B$50),PARAMS_MODELO!$B$45),"DIAMANTE",IF(U747&gt;=MAX(_xlfn.PERCENTILE.INC($U$2:$U$1194,PARAMS_MODELO!$B$51),PARAMS_MODELO!$B$46),"PLATINO",IF(U747&gt;=MAX(_xlfn.PERCENTILE.INC($U$2:$U$1194,PARAMS_MODELO!$B$52),PARAMS_MODELO!$B$47),"ORO",IF(U747&gt;=MAX(_xlfn.PERCENTILE.INC($U$2:$U$1194,PARAMS_MODELO!$B$53),PARAMS_MODELO!$B$48),"PLATA",IF(U747&gt;=1,"BRONCE","CERRADO")))))</f>
        <v>PLATA</v>
      </c>
      <c r="W747" s="5" t="str" cm="1">
        <f t="array" ref="W747">_xlfn.XLOOKUP(1, (HIST_SCORE!$B:$B=PARAMS_MODELO!$B$4) * (HIST_SCORE!$C:$C=A747), HIST_SCORE!$E:$E, "No encontrado")</f>
        <v>ORO</v>
      </c>
      <c r="X747" s="5" t="str">
        <f>_xlfn.LET(_xlpm.act,MATCH(V747,{"DIAMANTE";"PLATINO";"ORO";"PLATA";"BRONCE";"CERRADO"},0),_xlpm.ant,MATCH(W747,{"DIAMANTE";"PLATINO";"ORO";"PLATA";"BRONCE";"CERRADO"},0),IF(_xlpm.act&lt;_xlpm.ant,"Mejora ↑",IF(_xlpm.act&gt;_xlpm.ant,"Baja ↓","Estable →")))</f>
        <v>Baja ↓</v>
      </c>
      <c r="Y747" s="5">
        <f>IFERROR(U747-SUMIFS(HIST_SCORE!$D:$D,HIST_SCORE!$B:$B,PARAMS_MODELO!$B$4,HIST_SCORE!$C:$C,$A747),"")</f>
        <v>-56.819805171141752</v>
      </c>
      <c r="Z747" s="5" t="str">
        <f t="shared" si="269"/>
        <v>↓ Baja</v>
      </c>
      <c r="AA747" s="5">
        <f t="shared" si="270"/>
        <v>904</v>
      </c>
      <c r="AB747" s="5">
        <f>IFERROR(SUMIFS(HIST_SCORE!$F:$F,HIST_SCORE!$B:$B,PARAMS_MODELO!$B$4,HIST_SCORE!$C:$C,$A747),"")</f>
        <v>315</v>
      </c>
      <c r="AC747" s="5">
        <f t="shared" si="271"/>
        <v>-589</v>
      </c>
      <c r="AD747" t="str">
        <f t="shared" si="273"/>
        <v/>
      </c>
      <c r="AE7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747="CERRADO",1,IF(V747="BRONCE",_xlpm.cPl,IF(V747="PLATA",_xlpm.cO,IF(V747="ORO",_xlpm.cP,IF(V747="PLATINO",_xlpm.cD,999))))))</f>
        <v>63.199193273331495</v>
      </c>
      <c r="AF7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747="CERRADO",0,IF(V747="BRONCE",1,IF(V747="PLATA",_xlpm.cPl,IF(V747="ORO",_xlpm.cO,IF(V747="PLATINO",_xlpm.cP,_xlpm.cD))))))</f>
        <v>24.506573482968111</v>
      </c>
      <c r="AG747">
        <f t="shared" si="274"/>
        <v>33.34030058432306</v>
      </c>
      <c r="AH747" t="str">
        <f t="shared" si="275"/>
        <v>VENTAS</v>
      </c>
      <c r="AI747" t="str">
        <f t="shared" si="272"/>
        <v>🎯 Para subir de categoría, eje VENTAS / CRECIMIENTO PERSONAL (F). Acción: metas semanales + activación comercial + seguimiento del asesor. ΔR aprox: 33,3</v>
      </c>
      <c r="AJ747" s="26">
        <f>_xlfn.LET(_xlpm.piso,AF747,_xlpm.corte,AE747,_xlpm.prog,IF(_xlpm.corte&lt;=_xlpm.piso,0,MAX(0,MIN(1,(U747-_xlpm.piso)/(_xlpm.corte-_xlpm.piso)))),_xlpm.orden,{"DIAMANTE";"PLATINO";"ORO";"PLATA";"BRONCE";"CERRADO"},_xlpm.act,IFERROR(MATCH(V747,_xlpm.orden,0),6),_xlpm.ant,IFERROR(MATCH(W747,_xlpm.orden,0),6),_xlpm.ajmov,IF(_xlpm.act&lt;_xlpm.ant,0.08,IF(_xlpm.act&gt;_xlpm.ant,-0.08,0)),_xlpm.ajcli,IF(T747&lt;0.95,-0.06,0),_xlpm.prob,MAX(0,MIN(1,_xlpm.prog+_xlpm.ajmov+_xlpm.ajcli)),IF(OR(V747="DIAMANTE",V747="CERRADO"),0,ROUND(_xlpm.prob,2)))</f>
        <v>0</v>
      </c>
      <c r="AK747" t="str">
        <f t="shared" si="276"/>
        <v>Faltan 33,3 puntos base para subir a la siguiente categoría</v>
      </c>
      <c r="AL747" t="str">
        <f t="shared" si="277"/>
        <v>Margen de seguridad: 2,0 puntos</v>
      </c>
      <c r="AM747">
        <f t="shared" si="278"/>
        <v>0.8</v>
      </c>
      <c r="AN747" t="str">
        <f t="shared" si="279"/>
        <v>PRIORIDAD ALTA – requiere intervención inmediata</v>
      </c>
      <c r="AO747">
        <f t="shared" si="280"/>
        <v>71.348826202825151</v>
      </c>
      <c r="AP747">
        <f t="shared" si="281"/>
        <v>1.6351373694238778</v>
      </c>
      <c r="AQ747">
        <f t="shared" si="282"/>
        <v>0</v>
      </c>
      <c r="AR747">
        <f t="shared" si="283"/>
        <v>10.340000000000002</v>
      </c>
      <c r="AS747">
        <f t="shared" si="284"/>
        <v>0</v>
      </c>
      <c r="AT747" t="str">
        <f t="shared" si="285"/>
        <v>VENTAS</v>
      </c>
      <c r="AU747">
        <f t="shared" si="286"/>
        <v>71.348826202825151</v>
      </c>
      <c r="AV747" t="str">
        <f t="shared" si="287"/>
        <v>Mayor retorno probable: VENTAS (+71,3 puntos finales potenciales).</v>
      </c>
    </row>
    <row r="748" spans="1:48" x14ac:dyDescent="0.3">
      <c r="A748" s="5">
        <v>51041917</v>
      </c>
      <c r="B748" s="5" t="str">
        <f>IFERROR(VLOOKUP(A748,VENTAS!$A$2:$B$1194,2,0),"")</f>
        <v>ROBERTS</v>
      </c>
      <c r="C748" s="5">
        <f>IFERROR(INDEX(VENTAS!$C$2:$E$1194,MATCH(A748,VENTAS!$A$2:$A$1194,0),MATCH(PARAMS_MODELO!$B$2,{"Q1","Q2","Q3"},0)),0)</f>
        <v>47620235.299999997</v>
      </c>
      <c r="D748" s="5">
        <f>IFERROR(INDEX(VENTAS!$F$2:$H$1194,MATCH(A748,VENTAS!$A$2:$A$1194,0),MATCH(PARAMS_MODELO!$B$2,{"Q1","Q2","Q3"},0)),0)</f>
        <v>53219891</v>
      </c>
      <c r="E748" s="8">
        <f t="shared" si="264"/>
        <v>0.11758983685660218</v>
      </c>
      <c r="F748" s="12">
        <f>IF(E748&lt;=PARAMS_MODELO!$B$15,0,IF(E748&gt;=PARAMS_MODELO!$B$17,100,100*MIN(1,(E748-PARAMS_MODELO!$B$15)/(PARAMS_MODELO!$B$16-PARAMS_MODELO!$B$15))))*PARAMS_MODELO!$B$7</f>
        <v>35</v>
      </c>
      <c r="G748" s="5">
        <f t="shared" si="265"/>
        <v>5599655.700000003</v>
      </c>
      <c r="H748" s="5">
        <f>(PARAMS_MODELO!$B$20*(MAX(0,MIN(3,E748))/3)+PARAMS_MODELO!$B$21*(IFERROR(LN(1+MAX(0,G748))/LN(1+MAX(0,MAX($G$2:$G$1194))),0)))*100*PARAMS_MODELO!$B$8</f>
        <v>4.0539391485700076</v>
      </c>
      <c r="I748" s="8">
        <f>E748-PARAMS_MODELO!$B$5</f>
        <v>-5.9972998518924348E-2</v>
      </c>
      <c r="J748" s="5">
        <f>IF(I748&lt;=PARAMS_MODELO!$B$18,0,IF(I748&gt;=PARAMS_MODELO!$B$19,100,100*(I748-PARAMS_MODELO!$B$18)/(PARAMS_MODELO!$B$19-PARAMS_MODELO!$B$18)))*PARAMS_MODELO!$B$9</f>
        <v>0</v>
      </c>
      <c r="K748" s="5">
        <f>IFERROR(CHOOSE(MATCH(PARAMS_MODELO!$B$2,{"Q1","Q2","Q3"},0),LOTO!$D748,LOTO!$F748,LOTO!$H748),0)</f>
        <v>2395000</v>
      </c>
      <c r="L748" s="8">
        <f t="shared" si="266"/>
        <v>4.5001971161496741E-2</v>
      </c>
      <c r="M748" s="5">
        <f>MIN(100,IF(PARAMS_MODELO!$B$23=0,0,100*L748/PARAMS_MODELO!$B$23))*PARAMS_MODELO!$B$10</f>
        <v>13.500591348449019</v>
      </c>
      <c r="N748" s="5">
        <f>IFERROR(VLOOKUP(A748,COMPLIANCE!$A$2:$F$1996,6,0),100)</f>
        <v>100</v>
      </c>
      <c r="O748" s="5">
        <f>N748*PARAMS_MODELO!$B$11</f>
        <v>10</v>
      </c>
      <c r="P748" s="5">
        <f>IFERROR(VLOOKUP(A748,DIGITAL!$A$2:$J$2000,7,0),100)</f>
        <v>28</v>
      </c>
      <c r="Q748" s="5">
        <f>IFERROR(P748,0)*PARAMS_MODELO!$B$12</f>
        <v>2.8000000000000003</v>
      </c>
      <c r="R748">
        <f t="shared" si="267"/>
        <v>65.354530497019027</v>
      </c>
      <c r="S748" s="5" t="str">
        <f>IFERROR(VLOOKUP(A748,CLIENTE!$A$2:$N$2000,13,0),1)</f>
        <v>Malo</v>
      </c>
      <c r="T748" s="5">
        <f>IFERROR(VLOOKUP(A748,CLIENTE!$A$2:$N$2000,14,0),1)</f>
        <v>0.7</v>
      </c>
      <c r="U748" s="5">
        <f t="shared" si="268"/>
        <v>45.748171347913313</v>
      </c>
      <c r="V748" s="5" t="str">
        <f>IF(U748&gt;=MAX(_xlfn.PERCENTILE.INC($U$2:$U$1194,PARAMS_MODELO!$B$50),PARAMS_MODELO!$B$45),"DIAMANTE",IF(U748&gt;=MAX(_xlfn.PERCENTILE.INC($U$2:$U$1194,PARAMS_MODELO!$B$51),PARAMS_MODELO!$B$46),"PLATINO",IF(U748&gt;=MAX(_xlfn.PERCENTILE.INC($U$2:$U$1194,PARAMS_MODELO!$B$52),PARAMS_MODELO!$B$47),"ORO",IF(U748&gt;=MAX(_xlfn.PERCENTILE.INC($U$2:$U$1194,PARAMS_MODELO!$B$53),PARAMS_MODELO!$B$48),"PLATA",IF(U748&gt;=1,"BRONCE","CERRADO")))))</f>
        <v>PLATA</v>
      </c>
      <c r="W748" s="5" t="str" cm="1">
        <f t="array" ref="W748">_xlfn.XLOOKUP(1, (HIST_SCORE!$B:$B=PARAMS_MODELO!$B$4) * (HIST_SCORE!$C:$C=A748), HIST_SCORE!$E:$E, "No encontrado")</f>
        <v>PLATA</v>
      </c>
      <c r="X748" s="5" t="str">
        <f>_xlfn.LET(_xlpm.act,MATCH(V748,{"DIAMANTE";"PLATINO";"ORO";"PLATA";"BRONCE";"CERRADO"},0),_xlpm.ant,MATCH(W748,{"DIAMANTE";"PLATINO";"ORO";"PLATA";"BRONCE";"CERRADO"},0),IF(_xlpm.act&lt;_xlpm.ant,"Mejora ↑",IF(_xlpm.act&gt;_xlpm.ant,"Baja ↓","Estable →")))</f>
        <v>Estable →</v>
      </c>
      <c r="Y748" s="5">
        <f>IFERROR(U748-SUMIFS(HIST_SCORE!$D:$D,HIST_SCORE!$B:$B,PARAMS_MODELO!$B$4,HIST_SCORE!$C:$C,$A748),"")</f>
        <v>-11.564665776325604</v>
      </c>
      <c r="Z748" s="5" t="str">
        <f t="shared" si="269"/>
        <v>↓ Baja</v>
      </c>
      <c r="AA748" s="5">
        <f t="shared" si="270"/>
        <v>768</v>
      </c>
      <c r="AB748" s="5">
        <f>IFERROR(SUMIFS(HIST_SCORE!$F:$F,HIST_SCORE!$B:$B,PARAMS_MODELO!$B$4,HIST_SCORE!$C:$C,$A748),"")</f>
        <v>707</v>
      </c>
      <c r="AC748" s="5">
        <f t="shared" si="271"/>
        <v>-61</v>
      </c>
      <c r="AD748" t="str">
        <f t="shared" si="273"/>
        <v/>
      </c>
      <c r="AE7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748="CERRADO",1,IF(V748="BRONCE",_xlpm.cPl,IF(V748="PLATA",_xlpm.cO,IF(V748="ORO",_xlpm.cP,IF(V748="PLATINO",_xlpm.cD,999))))))</f>
        <v>63.199193273331495</v>
      </c>
      <c r="AF7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748="CERRADO",0,IF(V748="BRONCE",1,IF(V748="PLATA",_xlpm.cPl,IF(V748="ORO",_xlpm.cO,IF(V748="PLATINO",_xlpm.cP,_xlpm.cD))))))</f>
        <v>24.506573482968111</v>
      </c>
      <c r="AG748">
        <f t="shared" si="274"/>
        <v>24.930031322025968</v>
      </c>
      <c r="AH748" t="str">
        <f t="shared" si="275"/>
        <v>CLIENTE</v>
      </c>
      <c r="AI748" t="str">
        <f t="shared" si="272"/>
        <v>🎯 Para subir de categoría, la eje con mayor impacto probable es CLIENTE (coef T). Acción: reducir quejas, mejorar incógnito y empujar reseñas. ΔR aprox: 24,9</v>
      </c>
      <c r="AJ748" s="26">
        <f>_xlfn.LET(_xlpm.piso,AF748,_xlpm.corte,AE748,_xlpm.prog,IF(_xlpm.corte&lt;=_xlpm.piso,0,MAX(0,MIN(1,(U748-_xlpm.piso)/(_xlpm.corte-_xlpm.piso)))),_xlpm.orden,{"DIAMANTE";"PLATINO";"ORO";"PLATA";"BRONCE";"CERRADO"},_xlpm.act,IFERROR(MATCH(V748,_xlpm.orden,0),6),_xlpm.ant,IFERROR(MATCH(W748,_xlpm.orden,0),6),_xlpm.ajmov,IF(_xlpm.act&lt;_xlpm.ant,0.08,IF(_xlpm.act&gt;_xlpm.ant,-0.08,0)),_xlpm.ajcli,IF(T748&lt;0.95,-0.06,0),_xlpm.prob,MAX(0,MIN(1,_xlpm.prog+_xlpm.ajmov+_xlpm.ajcli)),IF(OR(V748="DIAMANTE",V748="CERRADO"),0,ROUND(_xlpm.prob,2)))</f>
        <v>0.49</v>
      </c>
      <c r="AK748" t="str">
        <f t="shared" si="276"/>
        <v>Faltan 24,9 puntos base para subir a la siguiente categoría</v>
      </c>
      <c r="AL748" t="str">
        <f t="shared" si="277"/>
        <v>Margen de seguridad: 21,2 puntos</v>
      </c>
      <c r="AM748">
        <f t="shared" si="278"/>
        <v>0.8</v>
      </c>
      <c r="AN748" t="str">
        <f t="shared" si="279"/>
        <v>PRIORIDAD ALTA – requiere intervención inmediata</v>
      </c>
      <c r="AO748">
        <f t="shared" si="280"/>
        <v>18.066041088707902</v>
      </c>
      <c r="AP748">
        <f t="shared" si="281"/>
        <v>1.0495860560856867</v>
      </c>
      <c r="AQ748">
        <f t="shared" si="282"/>
        <v>0</v>
      </c>
      <c r="AR748">
        <f t="shared" si="283"/>
        <v>5.0399999999999991</v>
      </c>
      <c r="AS748">
        <f t="shared" si="284"/>
        <v>19.60635914910571</v>
      </c>
      <c r="AT748" t="str">
        <f t="shared" si="285"/>
        <v>CLIENTE</v>
      </c>
      <c r="AU748">
        <f t="shared" si="286"/>
        <v>19.60635914910571</v>
      </c>
      <c r="AV748" t="str">
        <f t="shared" si="287"/>
        <v>Mayor retorno probable: CLIENTE (+19,6 puntos finales potenciales).</v>
      </c>
    </row>
    <row r="749" spans="1:48" x14ac:dyDescent="0.3">
      <c r="A749" s="5">
        <v>51017846</v>
      </c>
      <c r="B749" s="5" t="str">
        <f>IFERROR(VLOOKUP(A749,VENTAS!$A$2:$B$1194,2,0),"")</f>
        <v>CICHETTO</v>
      </c>
      <c r="C749" s="5">
        <f>IFERROR(INDEX(VENTAS!$C$2:$E$1194,MATCH(A749,VENTAS!$A$2:$A$1194,0),MATCH(PARAMS_MODELO!$B$2,{"Q1","Q2","Q3"},0)),0)</f>
        <v>33487699.109999999</v>
      </c>
      <c r="D749" s="5">
        <f>IFERROR(INDEX(VENTAS!$F$2:$H$1194,MATCH(A749,VENTAS!$A$2:$A$1194,0),MATCH(PARAMS_MODELO!$B$2,{"Q1","Q2","Q3"},0)),0)</f>
        <v>53147164</v>
      </c>
      <c r="E749" s="8">
        <f t="shared" si="264"/>
        <v>0.58706526314103646</v>
      </c>
      <c r="F749" s="12">
        <f>IF(E749&lt;=PARAMS_MODELO!$B$15,0,IF(E749&gt;=PARAMS_MODELO!$B$17,100,100*MIN(1,(E749-PARAMS_MODELO!$B$15)/(PARAMS_MODELO!$B$16-PARAMS_MODELO!$B$15))))*PARAMS_MODELO!$B$7</f>
        <v>35</v>
      </c>
      <c r="G749" s="5">
        <f t="shared" si="265"/>
        <v>19659464.890000001</v>
      </c>
      <c r="H749" s="5">
        <f>(PARAMS_MODELO!$B$20*(MAX(0,MIN(3,E749))/3)+PARAMS_MODELO!$B$21*(IFERROR(LN(1+MAX(0,G749))/LN(1+MAX(0,MAX($G$2:$G$1194))),0)))*100*PARAMS_MODELO!$B$8</f>
        <v>5.9914927698188336</v>
      </c>
      <c r="I749" s="8">
        <f>E749-PARAMS_MODELO!$B$5</f>
        <v>0.40950242776550994</v>
      </c>
      <c r="J749" s="5">
        <f>IF(I749&lt;=PARAMS_MODELO!$B$18,0,IF(I749&gt;=PARAMS_MODELO!$B$19,100,100*(I749-PARAMS_MODELO!$B$18)/(PARAMS_MODELO!$B$19-PARAMS_MODELO!$B$18)))*PARAMS_MODELO!$B$9</f>
        <v>15</v>
      </c>
      <c r="K749" s="5">
        <f>IFERROR(CHOOSE(MATCH(PARAMS_MODELO!$B$2,{"Q1","Q2","Q3"},0),LOTO!$D749,LOTO!$F749,LOTO!$H749),0)</f>
        <v>2392500</v>
      </c>
      <c r="L749" s="8">
        <f t="shared" si="266"/>
        <v>4.5016513016574132E-2</v>
      </c>
      <c r="M749" s="5">
        <f>MIN(100,IF(PARAMS_MODELO!$B$23=0,0,100*L749/PARAMS_MODELO!$B$23))*PARAMS_MODELO!$B$10</f>
        <v>13.504953904972238</v>
      </c>
      <c r="N749" s="5">
        <f>IFERROR(VLOOKUP(A749,COMPLIANCE!$A$2:$F$1996,6,0),100)</f>
        <v>100</v>
      </c>
      <c r="O749" s="5">
        <f>N749*PARAMS_MODELO!$B$11</f>
        <v>10</v>
      </c>
      <c r="P749" s="5">
        <f>IFERROR(VLOOKUP(A749,DIGITAL!$A$2:$J$2000,7,0),100)</f>
        <v>37</v>
      </c>
      <c r="Q749" s="5">
        <f>IFERROR(P749,0)*PARAMS_MODELO!$B$12</f>
        <v>3.7</v>
      </c>
      <c r="R749">
        <f t="shared" si="267"/>
        <v>83.196446674791076</v>
      </c>
      <c r="S749" s="5" t="str">
        <f>IFERROR(VLOOKUP(A749,CLIENTE!$A$2:$N$2000,13,0),1)</f>
        <v>Malo</v>
      </c>
      <c r="T749" s="5">
        <f>IFERROR(VLOOKUP(A749,CLIENTE!$A$2:$N$2000,14,0),1)</f>
        <v>0.7</v>
      </c>
      <c r="U749" s="5">
        <f t="shared" si="268"/>
        <v>58.237512672353752</v>
      </c>
      <c r="V749" s="5" t="str">
        <f>IF(U749&gt;=MAX(_xlfn.PERCENTILE.INC($U$2:$U$1194,PARAMS_MODELO!$B$50),PARAMS_MODELO!$B$45),"DIAMANTE",IF(U749&gt;=MAX(_xlfn.PERCENTILE.INC($U$2:$U$1194,PARAMS_MODELO!$B$51),PARAMS_MODELO!$B$46),"PLATINO",IF(U749&gt;=MAX(_xlfn.PERCENTILE.INC($U$2:$U$1194,PARAMS_MODELO!$B$52),PARAMS_MODELO!$B$47),"ORO",IF(U749&gt;=MAX(_xlfn.PERCENTILE.INC($U$2:$U$1194,PARAMS_MODELO!$B$53),PARAMS_MODELO!$B$48),"PLATA",IF(U749&gt;=1,"BRONCE","CERRADO")))))</f>
        <v>PLATA</v>
      </c>
      <c r="W749" s="5" t="str" cm="1">
        <f t="array" ref="W749">_xlfn.XLOOKUP(1, (HIST_SCORE!$B:$B=PARAMS_MODELO!$B$4) * (HIST_SCORE!$C:$C=A749), HIST_SCORE!$E:$E, "No encontrado")</f>
        <v>PLATA</v>
      </c>
      <c r="X749" s="5" t="str">
        <f>_xlfn.LET(_xlpm.act,MATCH(V749,{"DIAMANTE";"PLATINO";"ORO";"PLATA";"BRONCE";"CERRADO"},0),_xlpm.ant,MATCH(W749,{"DIAMANTE";"PLATINO";"ORO";"PLATA";"BRONCE";"CERRADO"},0),IF(_xlpm.act&lt;_xlpm.ant,"Mejora ↑",IF(_xlpm.act&gt;_xlpm.ant,"Baja ↓","Estable →")))</f>
        <v>Estable →</v>
      </c>
      <c r="Y749" s="5">
        <f>IFERROR(U749-SUMIFS(HIST_SCORE!$D:$D,HIST_SCORE!$B:$B,PARAMS_MODELO!$B$4,HIST_SCORE!$C:$C,$A749),"")</f>
        <v>10.713013360922503</v>
      </c>
      <c r="Z749" s="5" t="str">
        <f t="shared" si="269"/>
        <v>↑ Mejora</v>
      </c>
      <c r="AA749" s="5">
        <f t="shared" si="270"/>
        <v>653</v>
      </c>
      <c r="AB749" s="5">
        <f>IFERROR(SUMIFS(HIST_SCORE!$F:$F,HIST_SCORE!$B:$B,PARAMS_MODELO!$B$4,HIST_SCORE!$C:$C,$A749),"")</f>
        <v>801</v>
      </c>
      <c r="AC749" s="5">
        <f t="shared" si="271"/>
        <v>148</v>
      </c>
      <c r="AD749" t="str">
        <f t="shared" si="273"/>
        <v/>
      </c>
      <c r="AE7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749="CERRADO",1,IF(V749="BRONCE",_xlpm.cPl,IF(V749="PLATA",_xlpm.cO,IF(V749="ORO",_xlpm.cP,IF(V749="PLATINO",_xlpm.cD,999))))))</f>
        <v>63.199193273331495</v>
      </c>
      <c r="AF7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749="CERRADO",0,IF(V749="BRONCE",1,IF(V749="PLATA",_xlpm.cPl,IF(V749="ORO",_xlpm.cO,IF(V749="PLATINO",_xlpm.cP,_xlpm.cD))))))</f>
        <v>24.506573482968111</v>
      </c>
      <c r="AG749">
        <f t="shared" si="274"/>
        <v>7.0881151442539192</v>
      </c>
      <c r="AH749" t="str">
        <f t="shared" si="275"/>
        <v>CLIENTE</v>
      </c>
      <c r="AI749" t="str">
        <f t="shared" si="272"/>
        <v>🎯 Para subir de categoría, la eje con mayor impacto probable es CLIENTE (coef T). Acción: reducir quejas, mejorar incógnito y empujar reseñas. ΔR aprox: 7,1</v>
      </c>
      <c r="AJ749" s="26">
        <f>_xlfn.LET(_xlpm.piso,AF749,_xlpm.corte,AE749,_xlpm.prog,IF(_xlpm.corte&lt;=_xlpm.piso,0,MAX(0,MIN(1,(U749-_xlpm.piso)/(_xlpm.corte-_xlpm.piso)))),_xlpm.orden,{"DIAMANTE";"PLATINO";"ORO";"PLATA";"BRONCE";"CERRADO"},_xlpm.act,IFERROR(MATCH(V749,_xlpm.orden,0),6),_xlpm.ant,IFERROR(MATCH(W749,_xlpm.orden,0),6),_xlpm.ajmov,IF(_xlpm.act&lt;_xlpm.ant,0.08,IF(_xlpm.act&gt;_xlpm.ant,-0.08,0)),_xlpm.ajcli,IF(T749&lt;0.95,-0.06,0),_xlpm.prob,MAX(0,MIN(1,_xlpm.prog+_xlpm.ajmov+_xlpm.ajcli)),IF(OR(V749="DIAMANTE",V749="CERRADO"),0,ROUND(_xlpm.prob,2)))</f>
        <v>0.81</v>
      </c>
      <c r="AK749" t="str">
        <f t="shared" si="276"/>
        <v>Faltan 7,1 puntos base para subir a la siguiente categoría</v>
      </c>
      <c r="AL749" t="str">
        <f t="shared" si="277"/>
        <v>Margen de seguridad: 33,7 puntos</v>
      </c>
      <c r="AM749">
        <f t="shared" si="278"/>
        <v>0.56000000000000005</v>
      </c>
      <c r="AN749" t="str">
        <f t="shared" si="279"/>
        <v>PRIORIDAD MEDIA – seguimiento del asesor</v>
      </c>
      <c r="AO749">
        <f t="shared" si="280"/>
        <v>6.2097535538337247</v>
      </c>
      <c r="AP749">
        <f t="shared" si="281"/>
        <v>1.0465322665194334</v>
      </c>
      <c r="AQ749">
        <f t="shared" si="282"/>
        <v>0</v>
      </c>
      <c r="AR749">
        <f t="shared" si="283"/>
        <v>4.4099999999999993</v>
      </c>
      <c r="AS749">
        <f t="shared" si="284"/>
        <v>24.958934002437328</v>
      </c>
      <c r="AT749" t="str">
        <f t="shared" si="285"/>
        <v>CLIENTE</v>
      </c>
      <c r="AU749">
        <f t="shared" si="286"/>
        <v>24.958934002437328</v>
      </c>
      <c r="AV749" t="str">
        <f t="shared" si="287"/>
        <v>Mayor retorno probable: CLIENTE (+25,0 puntos finales potenciales).</v>
      </c>
    </row>
    <row r="750" spans="1:48" x14ac:dyDescent="0.3">
      <c r="A750" s="5">
        <v>51015851</v>
      </c>
      <c r="B750" s="5" t="str">
        <f>IFERROR(VLOOKUP(A750,VENTAS!$A$2:$B$1194,2,0),"")</f>
        <v>ROBERTS</v>
      </c>
      <c r="C750" s="5">
        <f>IFERROR(INDEX(VENTAS!$C$2:$E$1194,MATCH(A750,VENTAS!$A$2:$A$1194,0),MATCH(PARAMS_MODELO!$B$2,{"Q1","Q2","Q3"},0)),0)</f>
        <v>36387659.540000007</v>
      </c>
      <c r="D750" s="5">
        <f>IFERROR(INDEX(VENTAS!$F$2:$H$1194,MATCH(A750,VENTAS!$A$2:$A$1194,0),MATCH(PARAMS_MODELO!$B$2,{"Q1","Q2","Q3"},0)),0)</f>
        <v>52740740</v>
      </c>
      <c r="E750" s="8">
        <f t="shared" si="264"/>
        <v>0.44941281375966158</v>
      </c>
      <c r="F750" s="12">
        <f>IF(E750&lt;=PARAMS_MODELO!$B$15,0,IF(E750&gt;=PARAMS_MODELO!$B$17,100,100*MIN(1,(E750-PARAMS_MODELO!$B$15)/(PARAMS_MODELO!$B$16-PARAMS_MODELO!$B$15))))*PARAMS_MODELO!$B$7</f>
        <v>35</v>
      </c>
      <c r="G750" s="5">
        <f t="shared" si="265"/>
        <v>16353080.459999993</v>
      </c>
      <c r="H750" s="5">
        <f>(PARAMS_MODELO!$B$20*(MAX(0,MIN(3,E750))/3)+PARAMS_MODELO!$B$21*(IFERROR(LN(1+MAX(0,G750))/LN(1+MAX(0,MAX($G$2:$G$1194))),0)))*100*PARAMS_MODELO!$B$8</f>
        <v>5.466543601039155</v>
      </c>
      <c r="I750" s="8">
        <f>E750-PARAMS_MODELO!$B$5</f>
        <v>0.27184997838413505</v>
      </c>
      <c r="J750" s="5">
        <f>IF(I750&lt;=PARAMS_MODELO!$B$18,0,IF(I750&gt;=PARAMS_MODELO!$B$19,100,100*(I750-PARAMS_MODELO!$B$18)/(PARAMS_MODELO!$B$19-PARAMS_MODELO!$B$18)))*PARAMS_MODELO!$B$9</f>
        <v>15</v>
      </c>
      <c r="K750" s="5">
        <f>IFERROR(CHOOSE(MATCH(PARAMS_MODELO!$B$2,{"Q1","Q2","Q3"},0),LOTO!$D750,LOTO!$F750,LOTO!$H750),0)</f>
        <v>2392500</v>
      </c>
      <c r="L750" s="8">
        <f t="shared" si="266"/>
        <v>4.536341355847491E-2</v>
      </c>
      <c r="M750" s="5">
        <f>MIN(100,IF(PARAMS_MODELO!$B$23=0,0,100*L750/PARAMS_MODELO!$B$23))*PARAMS_MODELO!$B$10</f>
        <v>13.609024067542473</v>
      </c>
      <c r="N750" s="5">
        <f>IFERROR(VLOOKUP(A750,COMPLIANCE!$A$2:$F$1996,6,0),100)</f>
        <v>100</v>
      </c>
      <c r="O750" s="5">
        <f>N750*PARAMS_MODELO!$B$11</f>
        <v>10</v>
      </c>
      <c r="P750" s="5">
        <f>IFERROR(VLOOKUP(A750,DIGITAL!$A$2:$J$2000,7,0),100)</f>
        <v>8</v>
      </c>
      <c r="Q750" s="5">
        <f>IFERROR(P750,0)*PARAMS_MODELO!$B$12</f>
        <v>0.8</v>
      </c>
      <c r="R750">
        <f t="shared" si="267"/>
        <v>79.875567668581624</v>
      </c>
      <c r="S750" s="5" t="str">
        <f>IFERROR(VLOOKUP(A750,CLIENTE!$A$2:$N$2000,13,0),1)</f>
        <v>Bueno</v>
      </c>
      <c r="T750" s="5">
        <f>IFERROR(VLOOKUP(A750,CLIENTE!$A$2:$N$2000,14,0),1)</f>
        <v>1.1000000000000001</v>
      </c>
      <c r="U750" s="5">
        <f t="shared" si="268"/>
        <v>87.863124435439786</v>
      </c>
      <c r="V750" s="5" t="str">
        <f>IF(U750&gt;=MAX(_xlfn.PERCENTILE.INC($U$2:$U$1194,PARAMS_MODELO!$B$50),PARAMS_MODELO!$B$45),"DIAMANTE",IF(U750&gt;=MAX(_xlfn.PERCENTILE.INC($U$2:$U$1194,PARAMS_MODELO!$B$51),PARAMS_MODELO!$B$46),"PLATINO",IF(U750&gt;=MAX(_xlfn.PERCENTILE.INC($U$2:$U$1194,PARAMS_MODELO!$B$52),PARAMS_MODELO!$B$47),"ORO",IF(U750&gt;=MAX(_xlfn.PERCENTILE.INC($U$2:$U$1194,PARAMS_MODELO!$B$53),PARAMS_MODELO!$B$48),"PLATA",IF(U750&gt;=1,"BRONCE","CERRADO")))))</f>
        <v>PLATINO</v>
      </c>
      <c r="W750" s="5" t="str" cm="1">
        <f t="array" ref="W750">_xlfn.XLOOKUP(1, (HIST_SCORE!$B:$B=PARAMS_MODELO!$B$4) * (HIST_SCORE!$C:$C=A750), HIST_SCORE!$E:$E, "No encontrado")</f>
        <v>PLATINO</v>
      </c>
      <c r="X750" s="5" t="str">
        <f>_xlfn.LET(_xlpm.act,MATCH(V750,{"DIAMANTE";"PLATINO";"ORO";"PLATA";"BRONCE";"CERRADO"},0),_xlpm.ant,MATCH(W750,{"DIAMANTE";"PLATINO";"ORO";"PLATA";"BRONCE";"CERRADO"},0),IF(_xlpm.act&lt;_xlpm.ant,"Mejora ↑",IF(_xlpm.act&gt;_xlpm.ant,"Baja ↓","Estable →")))</f>
        <v>Estable →</v>
      </c>
      <c r="Y750" s="5">
        <f>IFERROR(U750-SUMIFS(HIST_SCORE!$D:$D,HIST_SCORE!$B:$B,PARAMS_MODELO!$B$4,HIST_SCORE!$C:$C,$A750),"")</f>
        <v>-0.85481657559756741</v>
      </c>
      <c r="Z750" s="5" t="str">
        <f t="shared" si="269"/>
        <v>→ Estable</v>
      </c>
      <c r="AA750" s="5">
        <f t="shared" si="270"/>
        <v>204</v>
      </c>
      <c r="AB750" s="5">
        <f>IFERROR(SUMIFS(HIST_SCORE!$F:$F,HIST_SCORE!$B:$B,PARAMS_MODELO!$B$4,HIST_SCORE!$C:$C,$A750),"")</f>
        <v>157</v>
      </c>
      <c r="AC750" s="5">
        <f t="shared" si="271"/>
        <v>-47</v>
      </c>
      <c r="AD750" t="str">
        <f t="shared" si="273"/>
        <v/>
      </c>
      <c r="AE7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750="CERRADO",1,IF(V750="BRONCE",_xlpm.cPl,IF(V750="PLATA",_xlpm.cO,IF(V750="ORO",_xlpm.cP,IF(V750="PLATINO",_xlpm.cD,999))))))</f>
        <v>96.054919694466676</v>
      </c>
      <c r="AF7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750="CERRADO",0,IF(V750="BRONCE",1,IF(V750="PLATA",_xlpm.cPl,IF(V750="ORO",_xlpm.cO,IF(V750="PLATINO",_xlpm.cP,_xlpm.cD))))))</f>
        <v>86.439123873763251</v>
      </c>
      <c r="AG750">
        <f t="shared" si="274"/>
        <v>7.4470865991153516</v>
      </c>
      <c r="AH750" t="str">
        <f t="shared" si="275"/>
        <v>VENTAS</v>
      </c>
      <c r="AI750" t="str">
        <f t="shared" si="272"/>
        <v>🎯 Para subir de categoría, eje VENTAS / IMPACTO ABSOLUTO (H). Acción: metas semanales + activación comercial + seguimiento del asesor. ΔR aprox: 7,4</v>
      </c>
      <c r="AJ750" s="26">
        <f>_xlfn.LET(_xlpm.piso,AF750,_xlpm.corte,AE750,_xlpm.prog,IF(_xlpm.corte&lt;=_xlpm.piso,0,MAX(0,MIN(1,(U750-_xlpm.piso)/(_xlpm.corte-_xlpm.piso)))),_xlpm.orden,{"DIAMANTE";"PLATINO";"ORO";"PLATA";"BRONCE";"CERRADO"},_xlpm.act,IFERROR(MATCH(V750,_xlpm.orden,0),6),_xlpm.ant,IFERROR(MATCH(W750,_xlpm.orden,0),6),_xlpm.ajmov,IF(_xlpm.act&lt;_xlpm.ant,0.08,IF(_xlpm.act&gt;_xlpm.ant,-0.08,0)),_xlpm.ajcli,IF(T750&lt;0.95,-0.06,0),_xlpm.prob,MAX(0,MIN(1,_xlpm.prog+_xlpm.ajmov+_xlpm.ajcli)),IF(OR(V750="DIAMANTE",V750="CERRADO"),0,ROUND(_xlpm.prob,2)))</f>
        <v>0.15</v>
      </c>
      <c r="AK750" t="str">
        <f t="shared" si="276"/>
        <v>Faltan 7,4 puntos base para subir a la siguiente categoría</v>
      </c>
      <c r="AL750" t="str">
        <f t="shared" si="277"/>
        <v>Margen de seguridad: 1,4 puntos</v>
      </c>
      <c r="AM750">
        <f t="shared" si="278"/>
        <v>0.64</v>
      </c>
      <c r="AN750" t="str">
        <f t="shared" si="279"/>
        <v>PRIORIDAD MEDIA – seguimiento del asesor</v>
      </c>
      <c r="AO750">
        <f t="shared" si="280"/>
        <v>10.335628241682072</v>
      </c>
      <c r="AP750">
        <f t="shared" si="281"/>
        <v>1.53007352570328</v>
      </c>
      <c r="AQ750">
        <f t="shared" si="282"/>
        <v>0</v>
      </c>
      <c r="AR750">
        <f t="shared" si="283"/>
        <v>10.119999999999999</v>
      </c>
      <c r="AS750">
        <f t="shared" si="284"/>
        <v>0</v>
      </c>
      <c r="AT750" t="str">
        <f t="shared" si="285"/>
        <v>VENTAS</v>
      </c>
      <c r="AU750">
        <f t="shared" si="286"/>
        <v>10.335628241682072</v>
      </c>
      <c r="AV750" t="str">
        <f t="shared" si="287"/>
        <v>Mayor retorno probable: VENTAS (+10,3 puntos finales potenciales).</v>
      </c>
    </row>
    <row r="751" spans="1:48" x14ac:dyDescent="0.3">
      <c r="A751" s="5">
        <v>51036603</v>
      </c>
      <c r="B751" s="5" t="str">
        <f>IFERROR(VLOOKUP(A751,VENTAS!$A$2:$B$1194,2,0),"")</f>
        <v>CICHETTO</v>
      </c>
      <c r="C751" s="5">
        <f>IFERROR(INDEX(VENTAS!$C$2:$E$1194,MATCH(A751,VENTAS!$A$2:$A$1194,0),MATCH(PARAMS_MODELO!$B$2,{"Q1","Q2","Q3"},0)),0)</f>
        <v>56894212.219999999</v>
      </c>
      <c r="D751" s="5">
        <f>IFERROR(INDEX(VENTAS!$F$2:$H$1194,MATCH(A751,VENTAS!$A$2:$A$1194,0),MATCH(PARAMS_MODELO!$B$2,{"Q1","Q2","Q3"},0)),0)</f>
        <v>52630276</v>
      </c>
      <c r="E751" s="8">
        <f t="shared" si="264"/>
        <v>-7.4944990951137491E-2</v>
      </c>
      <c r="F751" s="12">
        <f>IF(E751&lt;=PARAMS_MODELO!$B$15,0,IF(E751&gt;=PARAMS_MODELO!$B$17,100,100*MIN(1,(E751-PARAMS_MODELO!$B$15)/(PARAMS_MODELO!$B$16-PARAMS_MODELO!$B$15))))*PARAMS_MODELO!$B$7</f>
        <v>0</v>
      </c>
      <c r="G751" s="5">
        <f t="shared" si="265"/>
        <v>0</v>
      </c>
      <c r="H751" s="5">
        <f>(PARAMS_MODELO!$B$20*(MAX(0,MIN(3,E751))/3)+PARAMS_MODELO!$B$21*(IFERROR(LN(1+MAX(0,G751))/LN(1+MAX(0,MAX($G$2:$G$1194))),0)))*100*PARAMS_MODELO!$B$8</f>
        <v>0</v>
      </c>
      <c r="I751" s="8">
        <f>E751-PARAMS_MODELO!$B$5</f>
        <v>-0.25250782632666402</v>
      </c>
      <c r="J751" s="5">
        <f>IF(I751&lt;=PARAMS_MODELO!$B$18,0,IF(I751&gt;=PARAMS_MODELO!$B$19,100,100*(I751-PARAMS_MODELO!$B$18)/(PARAMS_MODELO!$B$19-PARAMS_MODELO!$B$18)))*PARAMS_MODELO!$B$9</f>
        <v>0</v>
      </c>
      <c r="K751" s="5">
        <f>IFERROR(CHOOSE(MATCH(PARAMS_MODELO!$B$2,{"Q1","Q2","Q3"},0),LOTO!$D751,LOTO!$F751,LOTO!$H751),0)</f>
        <v>2387500</v>
      </c>
      <c r="L751" s="8">
        <f t="shared" si="266"/>
        <v>4.5363623021851526E-2</v>
      </c>
      <c r="M751" s="5">
        <f>MIN(100,IF(PARAMS_MODELO!$B$23=0,0,100*L751/PARAMS_MODELO!$B$23))*PARAMS_MODELO!$B$10</f>
        <v>13.609086906555456</v>
      </c>
      <c r="N751" s="5">
        <f>IFERROR(VLOOKUP(A751,COMPLIANCE!$A$2:$F$1996,6,0),100)</f>
        <v>100</v>
      </c>
      <c r="O751" s="5">
        <f>N751*PARAMS_MODELO!$B$11</f>
        <v>10</v>
      </c>
      <c r="P751" s="5">
        <f>IFERROR(VLOOKUP(A751,DIGITAL!$A$2:$J$2000,7,0),100)</f>
        <v>18</v>
      </c>
      <c r="Q751" s="5">
        <f>IFERROR(P751,0)*PARAMS_MODELO!$B$12</f>
        <v>1.8</v>
      </c>
      <c r="R751">
        <f t="shared" si="267"/>
        <v>25.409086906555455</v>
      </c>
      <c r="S751" s="5" t="str">
        <f>IFERROR(VLOOKUP(A751,CLIENTE!$A$2:$N$2000,13,0),1)</f>
        <v>Malo</v>
      </c>
      <c r="T751" s="5">
        <f>IFERROR(VLOOKUP(A751,CLIENTE!$A$2:$N$2000,14,0),1)</f>
        <v>0.7</v>
      </c>
      <c r="U751" s="5">
        <f t="shared" si="268"/>
        <v>17.786360834588816</v>
      </c>
      <c r="V751" s="5" t="str">
        <f>IF(U751&gt;=MAX(_xlfn.PERCENTILE.INC($U$2:$U$1194,PARAMS_MODELO!$B$50),PARAMS_MODELO!$B$45),"DIAMANTE",IF(U751&gt;=MAX(_xlfn.PERCENTILE.INC($U$2:$U$1194,PARAMS_MODELO!$B$51),PARAMS_MODELO!$B$46),"PLATINO",IF(U751&gt;=MAX(_xlfn.PERCENTILE.INC($U$2:$U$1194,PARAMS_MODELO!$B$52),PARAMS_MODELO!$B$47),"ORO",IF(U751&gt;=MAX(_xlfn.PERCENTILE.INC($U$2:$U$1194,PARAMS_MODELO!$B$53),PARAMS_MODELO!$B$48),"PLATA",IF(U751&gt;=1,"BRONCE","CERRADO")))))</f>
        <v>BRONCE</v>
      </c>
      <c r="W751" s="5" t="str" cm="1">
        <f t="array" ref="W751">_xlfn.XLOOKUP(1, (HIST_SCORE!$B:$B=PARAMS_MODELO!$B$4) * (HIST_SCORE!$C:$C=A751), HIST_SCORE!$E:$E, "No encontrado")</f>
        <v>PLATA</v>
      </c>
      <c r="X751" s="5" t="str">
        <f>_xlfn.LET(_xlpm.act,MATCH(V751,{"DIAMANTE";"PLATINO";"ORO";"PLATA";"BRONCE";"CERRADO"},0),_xlpm.ant,MATCH(W751,{"DIAMANTE";"PLATINO";"ORO";"PLATA";"BRONCE";"CERRADO"},0),IF(_xlpm.act&lt;_xlpm.ant,"Mejora ↑",IF(_xlpm.act&gt;_xlpm.ant,"Baja ↓","Estable →")))</f>
        <v>Baja ↓</v>
      </c>
      <c r="Y751" s="5">
        <f>IFERROR(U751-SUMIFS(HIST_SCORE!$D:$D,HIST_SCORE!$B:$B,PARAMS_MODELO!$B$4,HIST_SCORE!$C:$C,$A751),"")</f>
        <v>-27.523423248362899</v>
      </c>
      <c r="Z751" s="5" t="str">
        <f t="shared" si="269"/>
        <v>↓ Baja</v>
      </c>
      <c r="AA751" s="5">
        <f t="shared" si="270"/>
        <v>1034</v>
      </c>
      <c r="AB751" s="5">
        <f>IFERROR(SUMIFS(HIST_SCORE!$F:$F,HIST_SCORE!$B:$B,PARAMS_MODELO!$B$4,HIST_SCORE!$C:$C,$A751),"")</f>
        <v>821</v>
      </c>
      <c r="AC751" s="5">
        <f t="shared" si="271"/>
        <v>-213</v>
      </c>
      <c r="AD751" t="str">
        <f t="shared" si="273"/>
        <v>Plan de recuperación: foco crecimiento + mix</v>
      </c>
      <c r="AE7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751="CERRADO",1,IF(V751="BRONCE",_xlpm.cPl,IF(V751="PLATA",_xlpm.cO,IF(V751="ORO",_xlpm.cP,IF(V751="PLATINO",_xlpm.cD,999))))))</f>
        <v>24.506573482968111</v>
      </c>
      <c r="AF7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751="CERRADO",0,IF(V751="BRONCE",1,IF(V751="PLATA",_xlpm.cPl,IF(V751="ORO",_xlpm.cO,IF(V751="PLATINO",_xlpm.cP,_xlpm.cD))))))</f>
        <v>1</v>
      </c>
      <c r="AG751">
        <f t="shared" si="274"/>
        <v>9.6003037833989886</v>
      </c>
      <c r="AH751" t="str">
        <f t="shared" si="275"/>
        <v>CLIENTE</v>
      </c>
      <c r="AI751" t="str">
        <f t="shared" si="272"/>
        <v>🎯 Para subir de categoría, la eje con mayor impacto probable es CLIENTE (coef T). Acción: reducir quejas, mejorar incógnito y empujar reseñas. ΔR aprox: 9,6</v>
      </c>
      <c r="AJ751" s="26">
        <f>_xlfn.LET(_xlpm.piso,AF751,_xlpm.corte,AE751,_xlpm.prog,IF(_xlpm.corte&lt;=_xlpm.piso,0,MAX(0,MIN(1,(U751-_xlpm.piso)/(_xlpm.corte-_xlpm.piso)))),_xlpm.orden,{"DIAMANTE";"PLATINO";"ORO";"PLATA";"BRONCE";"CERRADO"},_xlpm.act,IFERROR(MATCH(V751,_xlpm.orden,0),6),_xlpm.ant,IFERROR(MATCH(W751,_xlpm.orden,0),6),_xlpm.ajmov,IF(_xlpm.act&lt;_xlpm.ant,0.08,IF(_xlpm.act&gt;_xlpm.ant,-0.08,0)),_xlpm.ajcli,IF(T751&lt;0.95,-0.06,0),_xlpm.prob,MAX(0,MIN(1,_xlpm.prog+_xlpm.ajmov+_xlpm.ajcli)),IF(OR(V751="DIAMANTE",V751="CERRADO"),0,ROUND(_xlpm.prob,2)))</f>
        <v>0.56999999999999995</v>
      </c>
      <c r="AK751" t="str">
        <f t="shared" si="276"/>
        <v>Faltan 9,6 puntos base para subir a la siguiente categoría</v>
      </c>
      <c r="AL751" t="str">
        <f t="shared" si="277"/>
        <v>No aplica</v>
      </c>
      <c r="AM751">
        <f t="shared" si="278"/>
        <v>0.76</v>
      </c>
      <c r="AN751" t="str">
        <f t="shared" si="279"/>
        <v>PRIORIDAD ALTA – requiere intervención inmediata</v>
      </c>
      <c r="AO751">
        <f t="shared" si="280"/>
        <v>45.403798492706905</v>
      </c>
      <c r="AP751">
        <f t="shared" si="281"/>
        <v>0.97363916541118067</v>
      </c>
      <c r="AQ751">
        <f t="shared" si="282"/>
        <v>0</v>
      </c>
      <c r="AR751">
        <f t="shared" si="283"/>
        <v>5.7399999999999993</v>
      </c>
      <c r="AS751">
        <f t="shared" si="284"/>
        <v>7.6227260719666372</v>
      </c>
      <c r="AT751" t="str">
        <f t="shared" si="285"/>
        <v>VENTAS</v>
      </c>
      <c r="AU751">
        <f t="shared" si="286"/>
        <v>45.403798492706905</v>
      </c>
      <c r="AV751" t="str">
        <f t="shared" si="287"/>
        <v>Mayor retorno probable: VENTAS (+45,4 puntos finales potenciales).</v>
      </c>
    </row>
    <row r="752" spans="1:48" x14ac:dyDescent="0.3">
      <c r="A752" s="5">
        <v>51020910</v>
      </c>
      <c r="B752" s="5" t="str">
        <f>IFERROR(VLOOKUP(A752,VENTAS!$A$2:$B$1194,2,0),"")</f>
        <v>METTLER</v>
      </c>
      <c r="C752" s="5">
        <f>IFERROR(INDEX(VENTAS!$C$2:$E$1194,MATCH(A752,VENTAS!$A$2:$A$1194,0),MATCH(PARAMS_MODELO!$B$2,{"Q1","Q2","Q3"},0)),0)</f>
        <v>46446243</v>
      </c>
      <c r="D752" s="5">
        <f>IFERROR(INDEX(VENTAS!$F$2:$H$1194,MATCH(A752,VENTAS!$A$2:$A$1194,0),MATCH(PARAMS_MODELO!$B$2,{"Q1","Q2","Q3"},0)),0)</f>
        <v>52579588</v>
      </c>
      <c r="E752" s="8">
        <f t="shared" si="264"/>
        <v>0.13205255374476677</v>
      </c>
      <c r="F752" s="12">
        <f>IF(E752&lt;=PARAMS_MODELO!$B$15,0,IF(E752&gt;=PARAMS_MODELO!$B$17,100,100*MIN(1,(E752-PARAMS_MODELO!$B$15)/(PARAMS_MODELO!$B$16-PARAMS_MODELO!$B$15))))*PARAMS_MODELO!$B$7</f>
        <v>35</v>
      </c>
      <c r="G752" s="5">
        <f t="shared" si="265"/>
        <v>6133345</v>
      </c>
      <c r="H752" s="5">
        <f>(PARAMS_MODELO!$B$20*(MAX(0,MIN(3,E752))/3)+PARAMS_MODELO!$B$21*(IFERROR(LN(1+MAX(0,G752))/LN(1+MAX(0,MAX($G$2:$G$1194))),0)))*100*PARAMS_MODELO!$B$8</f>
        <v>4.125898567487905</v>
      </c>
      <c r="I752" s="8">
        <f>E752-PARAMS_MODELO!$B$5</f>
        <v>-4.5510281630759764E-2</v>
      </c>
      <c r="J752" s="5">
        <f>IF(I752&lt;=PARAMS_MODELO!$B$18,0,IF(I752&gt;=PARAMS_MODELO!$B$19,100,100*(I752-PARAMS_MODELO!$B$18)/(PARAMS_MODELO!$B$19-PARAMS_MODELO!$B$18)))*PARAMS_MODELO!$B$9</f>
        <v>0.67345775538603581</v>
      </c>
      <c r="K752" s="5">
        <f>IFERROR(CHOOSE(MATCH(PARAMS_MODELO!$B$2,{"Q1","Q2","Q3"},0),LOTO!$D752,LOTO!$F752,LOTO!$H752),0)</f>
        <v>2380000</v>
      </c>
      <c r="L752" s="8">
        <f t="shared" si="266"/>
        <v>4.5264713751655868E-2</v>
      </c>
      <c r="M752" s="5">
        <f>MIN(100,IF(PARAMS_MODELO!$B$23=0,0,100*L752/PARAMS_MODELO!$B$23))*PARAMS_MODELO!$B$10</f>
        <v>13.579414125496758</v>
      </c>
      <c r="N752" s="5">
        <f>IFERROR(VLOOKUP(A752,COMPLIANCE!$A$2:$F$1996,6,0),100)</f>
        <v>100</v>
      </c>
      <c r="O752" s="5">
        <f>N752*PARAMS_MODELO!$B$11</f>
        <v>10</v>
      </c>
      <c r="P752" s="5">
        <f>IFERROR(VLOOKUP(A752,DIGITAL!$A$2:$J$2000,7,0),100)</f>
        <v>92</v>
      </c>
      <c r="Q752" s="5">
        <f>IFERROR(P752,0)*PARAMS_MODELO!$B$12</f>
        <v>9.2000000000000011</v>
      </c>
      <c r="R752">
        <f t="shared" si="267"/>
        <v>72.578770448370705</v>
      </c>
      <c r="S752" s="5" t="str">
        <f>IFERROR(VLOOKUP(A752,CLIENTE!$A$2:$N$2000,13,0),1)</f>
        <v>Regular</v>
      </c>
      <c r="T752" s="5">
        <f>IFERROR(VLOOKUP(A752,CLIENTE!$A$2:$N$2000,14,0),1)</f>
        <v>1</v>
      </c>
      <c r="U752" s="5">
        <f t="shared" si="268"/>
        <v>72.578770448370705</v>
      </c>
      <c r="V752" s="5" t="str">
        <f>IF(U752&gt;=MAX(_xlfn.PERCENTILE.INC($U$2:$U$1194,PARAMS_MODELO!$B$50),PARAMS_MODELO!$B$45),"DIAMANTE",IF(U752&gt;=MAX(_xlfn.PERCENTILE.INC($U$2:$U$1194,PARAMS_MODELO!$B$51),PARAMS_MODELO!$B$46),"PLATINO",IF(U752&gt;=MAX(_xlfn.PERCENTILE.INC($U$2:$U$1194,PARAMS_MODELO!$B$52),PARAMS_MODELO!$B$47),"ORO",IF(U752&gt;=MAX(_xlfn.PERCENTILE.INC($U$2:$U$1194,PARAMS_MODELO!$B$53),PARAMS_MODELO!$B$48),"PLATA",IF(U752&gt;=1,"BRONCE","CERRADO")))))</f>
        <v>ORO</v>
      </c>
      <c r="W752" s="5" t="str" cm="1">
        <f t="array" ref="W752">_xlfn.XLOOKUP(1, (HIST_SCORE!$B:$B=PARAMS_MODELO!$B$4) * (HIST_SCORE!$C:$C=A752), HIST_SCORE!$E:$E, "No encontrado")</f>
        <v>ORO</v>
      </c>
      <c r="X752" s="5" t="str">
        <f>_xlfn.LET(_xlpm.act,MATCH(V752,{"DIAMANTE";"PLATINO";"ORO";"PLATA";"BRONCE";"CERRADO"},0),_xlpm.ant,MATCH(W752,{"DIAMANTE";"PLATINO";"ORO";"PLATA";"BRONCE";"CERRADO"},0),IF(_xlpm.act&lt;_xlpm.ant,"Mejora ↑",IF(_xlpm.act&gt;_xlpm.ant,"Baja ↓","Estable →")))</f>
        <v>Estable →</v>
      </c>
      <c r="Y752" s="5">
        <f>IFERROR(U752-SUMIFS(HIST_SCORE!$D:$D,HIST_SCORE!$B:$B,PARAMS_MODELO!$B$4,HIST_SCORE!$C:$C,$A752),"")</f>
        <v>-13.074256331274384</v>
      </c>
      <c r="Z752" s="5" t="str">
        <f t="shared" si="269"/>
        <v>↓ Baja</v>
      </c>
      <c r="AA752" s="5">
        <f t="shared" si="270"/>
        <v>494</v>
      </c>
      <c r="AB752" s="5">
        <f>IFERROR(SUMIFS(HIST_SCORE!$F:$F,HIST_SCORE!$B:$B,PARAMS_MODELO!$B$4,HIST_SCORE!$C:$C,$A752),"")</f>
        <v>248</v>
      </c>
      <c r="AC752" s="5">
        <f t="shared" si="271"/>
        <v>-246</v>
      </c>
      <c r="AD752" t="str">
        <f t="shared" si="273"/>
        <v>Sostener base y reforzar mix</v>
      </c>
      <c r="AE7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752="CERRADO",1,IF(V752="BRONCE",_xlpm.cPl,IF(V752="PLATA",_xlpm.cO,IF(V752="ORO",_xlpm.cP,IF(V752="PLATINO",_xlpm.cD,999))))))</f>
        <v>86.439123873763251</v>
      </c>
      <c r="AF7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752="CERRADO",0,IF(V752="BRONCE",1,IF(V752="PLATA",_xlpm.cPl,IF(V752="ORO",_xlpm.cO,IF(V752="PLATINO",_xlpm.cP,_xlpm.cD))))))</f>
        <v>63.199193273331495</v>
      </c>
      <c r="AG752">
        <f t="shared" si="274"/>
        <v>13.860353425392546</v>
      </c>
      <c r="AH752" t="str">
        <f t="shared" si="275"/>
        <v>VENTAS</v>
      </c>
      <c r="AI752" t="str">
        <f t="shared" si="272"/>
        <v>🎯 Para subir de categoría, eje VENTAS / DIFERENCIAL vs LOTBA (J). Acción: metas semanales + activación comercial + seguimiento del asesor. ΔR aprox: 13,9</v>
      </c>
      <c r="AJ752" s="26">
        <f>_xlfn.LET(_xlpm.piso,AF752,_xlpm.corte,AE752,_xlpm.prog,IF(_xlpm.corte&lt;=_xlpm.piso,0,MAX(0,MIN(1,(U752-_xlpm.piso)/(_xlpm.corte-_xlpm.piso)))),_xlpm.orden,{"DIAMANTE";"PLATINO";"ORO";"PLATA";"BRONCE";"CERRADO"},_xlpm.act,IFERROR(MATCH(V752,_xlpm.orden,0),6),_xlpm.ant,IFERROR(MATCH(W752,_xlpm.orden,0),6),_xlpm.ajmov,IF(_xlpm.act&lt;_xlpm.ant,0.08,IF(_xlpm.act&gt;_xlpm.ant,-0.08,0)),_xlpm.ajcli,IF(T752&lt;0.95,-0.06,0),_xlpm.prob,MAX(0,MIN(1,_xlpm.prog+_xlpm.ajmov+_xlpm.ajcli)),IF(OR(V752="DIAMANTE",V752="CERRADO"),0,ROUND(_xlpm.prob,2)))</f>
        <v>0.4</v>
      </c>
      <c r="AK752" t="str">
        <f t="shared" si="276"/>
        <v>Faltan 13,9 puntos base para subir a la siguiente categoría</v>
      </c>
      <c r="AL752" t="str">
        <f t="shared" si="277"/>
        <v>Margen de seguridad: 9,4 puntos</v>
      </c>
      <c r="AM752">
        <f t="shared" si="278"/>
        <v>0.64</v>
      </c>
      <c r="AN752" t="str">
        <f t="shared" si="279"/>
        <v>PRIORIDAD MEDIA – seguimiento del asesor</v>
      </c>
      <c r="AO752">
        <f t="shared" si="280"/>
        <v>25.063212952421637</v>
      </c>
      <c r="AP752">
        <f t="shared" si="281"/>
        <v>1.4205858745032423</v>
      </c>
      <c r="AQ752">
        <f t="shared" si="282"/>
        <v>0</v>
      </c>
      <c r="AR752">
        <f t="shared" si="283"/>
        <v>0.79999999999999893</v>
      </c>
      <c r="AS752">
        <f t="shared" si="284"/>
        <v>0</v>
      </c>
      <c r="AT752" t="str">
        <f t="shared" si="285"/>
        <v>VENTAS</v>
      </c>
      <c r="AU752">
        <f t="shared" si="286"/>
        <v>25.063212952421637</v>
      </c>
      <c r="AV752" t="str">
        <f t="shared" si="287"/>
        <v>Mayor retorno probable: VENTAS (+25,1 puntos finales potenciales).</v>
      </c>
    </row>
    <row r="753" spans="1:48" x14ac:dyDescent="0.3">
      <c r="A753" s="5">
        <v>51031326</v>
      </c>
      <c r="B753" s="5" t="str">
        <f>IFERROR(VLOOKUP(A753,VENTAS!$A$2:$B$1194,2,0),"")</f>
        <v>METTLER</v>
      </c>
      <c r="C753" s="5">
        <f>IFERROR(INDEX(VENTAS!$C$2:$E$1194,MATCH(A753,VENTAS!$A$2:$A$1194,0),MATCH(PARAMS_MODELO!$B$2,{"Q1","Q2","Q3"},0)),0)</f>
        <v>53593348.829999998</v>
      </c>
      <c r="D753" s="5">
        <f>IFERROR(INDEX(VENTAS!$F$2:$H$1194,MATCH(A753,VENTAS!$A$2:$A$1194,0),MATCH(PARAMS_MODELO!$B$2,{"Q1","Q2","Q3"},0)),0)</f>
        <v>52337366</v>
      </c>
      <c r="E753" s="8">
        <f t="shared" si="264"/>
        <v>-2.3435423563174185E-2</v>
      </c>
      <c r="F753" s="12">
        <f>IF(E753&lt;=PARAMS_MODELO!$B$15,0,IF(E753&gt;=PARAMS_MODELO!$B$17,100,100*MIN(1,(E753-PARAMS_MODELO!$B$15)/(PARAMS_MODELO!$B$16-PARAMS_MODELO!$B$15))))*PARAMS_MODELO!$B$7</f>
        <v>0</v>
      </c>
      <c r="G753" s="5">
        <f t="shared" si="265"/>
        <v>0</v>
      </c>
      <c r="H753" s="5">
        <f>(PARAMS_MODELO!$B$20*(MAX(0,MIN(3,E753))/3)+PARAMS_MODELO!$B$21*(IFERROR(LN(1+MAX(0,G753))/LN(1+MAX(0,MAX($G$2:$G$1194))),0)))*100*PARAMS_MODELO!$B$8</f>
        <v>0</v>
      </c>
      <c r="I753" s="8">
        <f>E753-PARAMS_MODELO!$B$5</f>
        <v>-0.20099825893870071</v>
      </c>
      <c r="J753" s="5">
        <f>IF(I753&lt;=PARAMS_MODELO!$B$18,0,IF(I753&gt;=PARAMS_MODELO!$B$19,100,100*(I753-PARAMS_MODELO!$B$18)/(PARAMS_MODELO!$B$19-PARAMS_MODELO!$B$18)))*PARAMS_MODELO!$B$9</f>
        <v>0</v>
      </c>
      <c r="K753" s="5">
        <f>IFERROR(CHOOSE(MATCH(PARAMS_MODELO!$B$2,{"Q1","Q2","Q3"},0),LOTO!$D753,LOTO!$F753,LOTO!$H753),0)</f>
        <v>2377500</v>
      </c>
      <c r="L753" s="8">
        <f t="shared" si="266"/>
        <v>4.542643586610759E-2</v>
      </c>
      <c r="M753" s="5">
        <f>MIN(100,IF(PARAMS_MODELO!$B$23=0,0,100*L753/PARAMS_MODELO!$B$23))*PARAMS_MODELO!$B$10</f>
        <v>13.627930759832276</v>
      </c>
      <c r="N753" s="5">
        <f>IFERROR(VLOOKUP(A753,COMPLIANCE!$A$2:$F$1996,6,0),100)</f>
        <v>99.75</v>
      </c>
      <c r="O753" s="5">
        <f>N753*PARAMS_MODELO!$B$11</f>
        <v>9.9750000000000014</v>
      </c>
      <c r="P753" s="5">
        <f>IFERROR(VLOOKUP(A753,DIGITAL!$A$2:$J$2000,7,0),100)</f>
        <v>92</v>
      </c>
      <c r="Q753" s="5">
        <f>IFERROR(P753,0)*PARAMS_MODELO!$B$12</f>
        <v>9.2000000000000011</v>
      </c>
      <c r="R753">
        <f t="shared" si="267"/>
        <v>32.802930759832279</v>
      </c>
      <c r="S753" s="5" t="str">
        <f>IFERROR(VLOOKUP(A753,CLIENTE!$A$2:$N$2000,13,0),1)</f>
        <v>Malo</v>
      </c>
      <c r="T753" s="5">
        <f>IFERROR(VLOOKUP(A753,CLIENTE!$A$2:$N$2000,14,0),1)</f>
        <v>0.7</v>
      </c>
      <c r="U753" s="5">
        <f t="shared" si="268"/>
        <v>22.962051531882594</v>
      </c>
      <c r="V753" s="5" t="str">
        <f>IF(U753&gt;=MAX(_xlfn.PERCENTILE.INC($U$2:$U$1194,PARAMS_MODELO!$B$50),PARAMS_MODELO!$B$45),"DIAMANTE",IF(U753&gt;=MAX(_xlfn.PERCENTILE.INC($U$2:$U$1194,PARAMS_MODELO!$B$51),PARAMS_MODELO!$B$46),"PLATINO",IF(U753&gt;=MAX(_xlfn.PERCENTILE.INC($U$2:$U$1194,PARAMS_MODELO!$B$52),PARAMS_MODELO!$B$47),"ORO",IF(U753&gt;=MAX(_xlfn.PERCENTILE.INC($U$2:$U$1194,PARAMS_MODELO!$B$53),PARAMS_MODELO!$B$48),"PLATA",IF(U753&gt;=1,"BRONCE","CERRADO")))))</f>
        <v>BRONCE</v>
      </c>
      <c r="W753" s="5" t="str" cm="1">
        <f t="array" ref="W753">_xlfn.XLOOKUP(1, (HIST_SCORE!$B:$B=PARAMS_MODELO!$B$4) * (HIST_SCORE!$C:$C=A753), HIST_SCORE!$E:$E, "No encontrado")</f>
        <v>PLATA</v>
      </c>
      <c r="X753" s="5" t="str">
        <f>_xlfn.LET(_xlpm.act,MATCH(V753,{"DIAMANTE";"PLATINO";"ORO";"PLATA";"BRONCE";"CERRADO"},0),_xlpm.ant,MATCH(W753,{"DIAMANTE";"PLATINO";"ORO";"PLATA";"BRONCE";"CERRADO"},0),IF(_xlpm.act&lt;_xlpm.ant,"Mejora ↑",IF(_xlpm.act&gt;_xlpm.ant,"Baja ↓","Estable →")))</f>
        <v>Baja ↓</v>
      </c>
      <c r="Y753" s="5">
        <f>IFERROR(U753-SUMIFS(HIST_SCORE!$D:$D,HIST_SCORE!$B:$B,PARAMS_MODELO!$B$4,HIST_SCORE!$C:$C,$A753),"")</f>
        <v>-36.817526399113646</v>
      </c>
      <c r="Z753" s="5" t="str">
        <f t="shared" si="269"/>
        <v>↓ Baja</v>
      </c>
      <c r="AA753" s="5">
        <f t="shared" si="270"/>
        <v>931</v>
      </c>
      <c r="AB753" s="5">
        <f>IFERROR(SUMIFS(HIST_SCORE!$F:$F,HIST_SCORE!$B:$B,PARAMS_MODELO!$B$4,HIST_SCORE!$C:$C,$A753),"")</f>
        <v>654</v>
      </c>
      <c r="AC753" s="5">
        <f t="shared" si="271"/>
        <v>-277</v>
      </c>
      <c r="AD753" t="str">
        <f t="shared" si="273"/>
        <v>Plan de recuperación: foco crecimiento + mix</v>
      </c>
      <c r="AE7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753="CERRADO",1,IF(V753="BRONCE",_xlpm.cPl,IF(V753="PLATA",_xlpm.cO,IF(V753="ORO",_xlpm.cP,IF(V753="PLATINO",_xlpm.cD,999))))))</f>
        <v>24.506573482968111</v>
      </c>
      <c r="AF7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753="CERRADO",0,IF(V753="BRONCE",1,IF(V753="PLATA",_xlpm.cPl,IF(V753="ORO",_xlpm.cO,IF(V753="PLATINO",_xlpm.cP,_xlpm.cD))))))</f>
        <v>1</v>
      </c>
      <c r="AG753">
        <f t="shared" si="274"/>
        <v>2.2064599301221648</v>
      </c>
      <c r="AH753" t="str">
        <f t="shared" si="275"/>
        <v>CLIENTE</v>
      </c>
      <c r="AI753" t="str">
        <f t="shared" si="272"/>
        <v>🎯 Para subir de categoría, la eje con mayor impacto probable es CLIENTE (coef T). Acción: reducir quejas, mejorar incógnito y empujar reseñas. ΔR aprox: 2,2</v>
      </c>
      <c r="AJ753" s="26">
        <f>_xlfn.LET(_xlpm.piso,AF753,_xlpm.corte,AE753,_xlpm.prog,IF(_xlpm.corte&lt;=_xlpm.piso,0,MAX(0,MIN(1,(U753-_xlpm.piso)/(_xlpm.corte-_xlpm.piso)))),_xlpm.orden,{"DIAMANTE";"PLATINO";"ORO";"PLATA";"BRONCE";"CERRADO"},_xlpm.act,IFERROR(MATCH(V753,_xlpm.orden,0),6),_xlpm.ant,IFERROR(MATCH(W753,_xlpm.orden,0),6),_xlpm.ajmov,IF(_xlpm.act&lt;_xlpm.ant,0.08,IF(_xlpm.act&gt;_xlpm.ant,-0.08,0)),_xlpm.ajcli,IF(T753&lt;0.95,-0.06,0),_xlpm.prob,MAX(0,MIN(1,_xlpm.prog+_xlpm.ajmov+_xlpm.ajcli)),IF(OR(V753="DIAMANTE",V753="CERRADO"),0,ROUND(_xlpm.prob,2)))</f>
        <v>0.79</v>
      </c>
      <c r="AK753" t="str">
        <f t="shared" si="276"/>
        <v>Faltan 2,2 puntos base para subir a la siguiente categoría</v>
      </c>
      <c r="AL753" t="str">
        <f t="shared" si="277"/>
        <v>No aplica</v>
      </c>
      <c r="AM753">
        <f t="shared" si="278"/>
        <v>0.37</v>
      </c>
      <c r="AN753" t="str">
        <f t="shared" si="279"/>
        <v>PRIORIDAD BAJA – control normal</v>
      </c>
      <c r="AO753">
        <f t="shared" si="280"/>
        <v>45.403798492706905</v>
      </c>
      <c r="AP753">
        <f t="shared" si="281"/>
        <v>0.96044846811740647</v>
      </c>
      <c r="AQ753">
        <f t="shared" si="282"/>
        <v>1.7499999999999002E-2</v>
      </c>
      <c r="AR753">
        <f t="shared" si="283"/>
        <v>0.55999999999999917</v>
      </c>
      <c r="AS753">
        <f t="shared" si="284"/>
        <v>9.8408792279496851</v>
      </c>
      <c r="AT753" t="str">
        <f t="shared" si="285"/>
        <v>VENTAS</v>
      </c>
      <c r="AU753">
        <f t="shared" si="286"/>
        <v>45.403798492706905</v>
      </c>
      <c r="AV753" t="str">
        <f t="shared" si="287"/>
        <v>Mayor retorno probable: VENTAS (+45,4 puntos finales potenciales).</v>
      </c>
    </row>
    <row r="754" spans="1:48" x14ac:dyDescent="0.3">
      <c r="A754" s="5">
        <v>51033604</v>
      </c>
      <c r="B754" s="5" t="str">
        <f>IFERROR(VLOOKUP(A754,VENTAS!$A$2:$B$1194,2,0),"")</f>
        <v>PRADES</v>
      </c>
      <c r="C754" s="5">
        <f>IFERROR(INDEX(VENTAS!$C$2:$E$1194,MATCH(A754,VENTAS!$A$2:$A$1194,0),MATCH(PARAMS_MODELO!$B$2,{"Q1","Q2","Q3"},0)),0)</f>
        <v>52431840.200000003</v>
      </c>
      <c r="D754" s="5">
        <f>IFERROR(INDEX(VENTAS!$F$2:$H$1194,MATCH(A754,VENTAS!$A$2:$A$1194,0),MATCH(PARAMS_MODELO!$B$2,{"Q1","Q2","Q3"},0)),0)</f>
        <v>52145386</v>
      </c>
      <c r="E754" s="8">
        <f t="shared" si="264"/>
        <v>-5.4633634621125138E-3</v>
      </c>
      <c r="F754" s="12">
        <f>IF(E754&lt;=PARAMS_MODELO!$B$15,0,IF(E754&gt;=PARAMS_MODELO!$B$17,100,100*MIN(1,(E754-PARAMS_MODELO!$B$15)/(PARAMS_MODELO!$B$16-PARAMS_MODELO!$B$15))))*PARAMS_MODELO!$B$7</f>
        <v>0</v>
      </c>
      <c r="G754" s="5">
        <f t="shared" si="265"/>
        <v>0</v>
      </c>
      <c r="H754" s="5">
        <f>(PARAMS_MODELO!$B$20*(MAX(0,MIN(3,E754))/3)+PARAMS_MODELO!$B$21*(IFERROR(LN(1+MAX(0,G754))/LN(1+MAX(0,MAX($G$2:$G$1194))),0)))*100*PARAMS_MODELO!$B$8</f>
        <v>0</v>
      </c>
      <c r="I754" s="8">
        <f>E754-PARAMS_MODELO!$B$5</f>
        <v>-0.18302619883763904</v>
      </c>
      <c r="J754" s="5">
        <f>IF(I754&lt;=PARAMS_MODELO!$B$18,0,IF(I754&gt;=PARAMS_MODELO!$B$19,100,100*(I754-PARAMS_MODELO!$B$18)/(PARAMS_MODELO!$B$19-PARAMS_MODELO!$B$18)))*PARAMS_MODELO!$B$9</f>
        <v>0</v>
      </c>
      <c r="K754" s="5">
        <f>IFERROR(CHOOSE(MATCH(PARAMS_MODELO!$B$2,{"Q1","Q2","Q3"},0),LOTO!$D754,LOTO!$F754,LOTO!$H754),0)</f>
        <v>2375000</v>
      </c>
      <c r="L754" s="8">
        <f t="shared" si="266"/>
        <v>4.5545736299660342E-2</v>
      </c>
      <c r="M754" s="5">
        <f>MIN(100,IF(PARAMS_MODELO!$B$23=0,0,100*L754/PARAMS_MODELO!$B$23))*PARAMS_MODELO!$B$10</f>
        <v>13.663720889898102</v>
      </c>
      <c r="N754" s="5">
        <f>IFERROR(VLOOKUP(A754,COMPLIANCE!$A$2:$F$1996,6,0),100)</f>
        <v>100</v>
      </c>
      <c r="O754" s="5">
        <f>N754*PARAMS_MODELO!$B$11</f>
        <v>10</v>
      </c>
      <c r="P754" s="5">
        <f>IFERROR(VLOOKUP(A754,DIGITAL!$A$2:$J$2000,7,0),100)</f>
        <v>44</v>
      </c>
      <c r="Q754" s="5">
        <f>IFERROR(P754,0)*PARAMS_MODELO!$B$12</f>
        <v>4.4000000000000004</v>
      </c>
      <c r="R754">
        <f t="shared" si="267"/>
        <v>28.0637208898981</v>
      </c>
      <c r="S754" s="5" t="str">
        <f>IFERROR(VLOOKUP(A754,CLIENTE!$A$2:$N$2000,13,0),1)</f>
        <v>Muy Bueno</v>
      </c>
      <c r="T754" s="5">
        <f>IFERROR(VLOOKUP(A754,CLIENTE!$A$2:$N$2000,14,0),1)</f>
        <v>1.1499999999999999</v>
      </c>
      <c r="U754" s="5">
        <f t="shared" si="268"/>
        <v>32.273279023382813</v>
      </c>
      <c r="V754" s="5" t="str">
        <f>IF(U754&gt;=MAX(_xlfn.PERCENTILE.INC($U$2:$U$1194,PARAMS_MODELO!$B$50),PARAMS_MODELO!$B$45),"DIAMANTE",IF(U754&gt;=MAX(_xlfn.PERCENTILE.INC($U$2:$U$1194,PARAMS_MODELO!$B$51),PARAMS_MODELO!$B$46),"PLATINO",IF(U754&gt;=MAX(_xlfn.PERCENTILE.INC($U$2:$U$1194,PARAMS_MODELO!$B$52),PARAMS_MODELO!$B$47),"ORO",IF(U754&gt;=MAX(_xlfn.PERCENTILE.INC($U$2:$U$1194,PARAMS_MODELO!$B$53),PARAMS_MODELO!$B$48),"PLATA",IF(U754&gt;=1,"BRONCE","CERRADO")))))</f>
        <v>PLATA</v>
      </c>
      <c r="W754" s="5" t="str" cm="1">
        <f t="array" ref="W754">_xlfn.XLOOKUP(1, (HIST_SCORE!$B:$B=PARAMS_MODELO!$B$4) * (HIST_SCORE!$C:$C=A754), HIST_SCORE!$E:$E, "No encontrado")</f>
        <v>ORO</v>
      </c>
      <c r="X754" s="5" t="str">
        <f>_xlfn.LET(_xlpm.act,MATCH(V754,{"DIAMANTE";"PLATINO";"ORO";"PLATA";"BRONCE";"CERRADO"},0),_xlpm.ant,MATCH(W754,{"DIAMANTE";"PLATINO";"ORO";"PLATA";"BRONCE";"CERRADO"},0),IF(_xlpm.act&lt;_xlpm.ant,"Mejora ↑",IF(_xlpm.act&gt;_xlpm.ant,"Baja ↓","Estable →")))</f>
        <v>Baja ↓</v>
      </c>
      <c r="Y754" s="5">
        <f>IFERROR(U754-SUMIFS(HIST_SCORE!$D:$D,HIST_SCORE!$B:$B,PARAMS_MODELO!$B$4,HIST_SCORE!$C:$C,$A754),"")</f>
        <v>-46.49359168111279</v>
      </c>
      <c r="Z754" s="5" t="str">
        <f t="shared" si="269"/>
        <v>↓ Baja</v>
      </c>
      <c r="AA754" s="5">
        <f t="shared" si="270"/>
        <v>833</v>
      </c>
      <c r="AB754" s="5">
        <f>IFERROR(SUMIFS(HIST_SCORE!$F:$F,HIST_SCORE!$B:$B,PARAMS_MODELO!$B$4,HIST_SCORE!$C:$C,$A754),"")</f>
        <v>438</v>
      </c>
      <c r="AC754" s="5">
        <f t="shared" si="271"/>
        <v>-395</v>
      </c>
      <c r="AD754" t="str">
        <f t="shared" si="273"/>
        <v/>
      </c>
      <c r="AE7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754="CERRADO",1,IF(V754="BRONCE",_xlpm.cPl,IF(V754="PLATA",_xlpm.cO,IF(V754="ORO",_xlpm.cP,IF(V754="PLATINO",_xlpm.cD,999))))))</f>
        <v>63.199193273331495</v>
      </c>
      <c r="AF7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754="CERRADO",0,IF(V754="BRONCE",1,IF(V754="PLATA",_xlpm.cPl,IF(V754="ORO",_xlpm.cO,IF(V754="PLATINO",_xlpm.cP,_xlpm.cD))))))</f>
        <v>24.506573482968111</v>
      </c>
      <c r="AG754">
        <f t="shared" si="274"/>
        <v>26.892099347781468</v>
      </c>
      <c r="AH754" t="str">
        <f t="shared" si="275"/>
        <v>VENTAS</v>
      </c>
      <c r="AI754" t="str">
        <f t="shared" si="272"/>
        <v>🎯 Para subir de categoría, eje VENTAS / CRECIMIENTO PERSONAL (F). Acción: metas semanales + activación comercial + seguimiento del asesor. ΔR aprox: 26,9</v>
      </c>
      <c r="AJ754" s="26">
        <f>_xlfn.LET(_xlpm.piso,AF754,_xlpm.corte,AE754,_xlpm.prog,IF(_xlpm.corte&lt;=_xlpm.piso,0,MAX(0,MIN(1,(U754-_xlpm.piso)/(_xlpm.corte-_xlpm.piso)))),_xlpm.orden,{"DIAMANTE";"PLATINO";"ORO";"PLATA";"BRONCE";"CERRADO"},_xlpm.act,IFERROR(MATCH(V754,_xlpm.orden,0),6),_xlpm.ant,IFERROR(MATCH(W754,_xlpm.orden,0),6),_xlpm.ajmov,IF(_xlpm.act&lt;_xlpm.ant,0.08,IF(_xlpm.act&gt;_xlpm.ant,-0.08,0)),_xlpm.ajcli,IF(T754&lt;0.95,-0.06,0),_xlpm.prob,MAX(0,MIN(1,_xlpm.prog+_xlpm.ajmov+_xlpm.ajcli)),IF(OR(V754="DIAMANTE",V754="CERRADO"),0,ROUND(_xlpm.prob,2)))</f>
        <v>0.12</v>
      </c>
      <c r="AK754" t="str">
        <f t="shared" si="276"/>
        <v>Faltan 26,9 puntos base para subir a la siguiente categoría</v>
      </c>
      <c r="AL754" t="str">
        <f t="shared" si="277"/>
        <v>Margen de seguridad: 7,8 puntos</v>
      </c>
      <c r="AM754">
        <f t="shared" si="278"/>
        <v>0.75</v>
      </c>
      <c r="AN754" t="str">
        <f t="shared" si="279"/>
        <v>PRIORIDAD ALTA – requiere intervención inmediata</v>
      </c>
      <c r="AO754">
        <f t="shared" si="280"/>
        <v>74.591954666589913</v>
      </c>
      <c r="AP754">
        <f t="shared" si="281"/>
        <v>1.5367209766171832</v>
      </c>
      <c r="AQ754">
        <f t="shared" si="282"/>
        <v>0</v>
      </c>
      <c r="AR754">
        <f t="shared" si="283"/>
        <v>6.4399999999999995</v>
      </c>
      <c r="AS754">
        <f t="shared" si="284"/>
        <v>0</v>
      </c>
      <c r="AT754" t="str">
        <f t="shared" si="285"/>
        <v>VENTAS</v>
      </c>
      <c r="AU754">
        <f t="shared" si="286"/>
        <v>74.591954666589913</v>
      </c>
      <c r="AV754" t="str">
        <f t="shared" si="287"/>
        <v>Mayor retorno probable: VENTAS (+74,6 puntos finales potenciales).</v>
      </c>
    </row>
    <row r="755" spans="1:48" x14ac:dyDescent="0.3">
      <c r="A755" s="5">
        <v>51026217</v>
      </c>
      <c r="B755" s="5" t="str">
        <f>IFERROR(VLOOKUP(A755,VENTAS!$A$2:$B$1194,2,0),"")</f>
        <v>METTLER</v>
      </c>
      <c r="C755" s="5">
        <f>IFERROR(INDEX(VENTAS!$C$2:$E$1194,MATCH(A755,VENTAS!$A$2:$A$1194,0),MATCH(PARAMS_MODELO!$B$2,{"Q1","Q2","Q3"},0)),0)</f>
        <v>43779038.400000013</v>
      </c>
      <c r="D755" s="5">
        <f>IFERROR(INDEX(VENTAS!$F$2:$H$1194,MATCH(A755,VENTAS!$A$2:$A$1194,0),MATCH(PARAMS_MODELO!$B$2,{"Q1","Q2","Q3"},0)),0)</f>
        <v>52061345</v>
      </c>
      <c r="E755" s="8">
        <f t="shared" si="264"/>
        <v>0.18918429693055994</v>
      </c>
      <c r="F755" s="12">
        <f>IF(E755&lt;=PARAMS_MODELO!$B$15,0,IF(E755&gt;=PARAMS_MODELO!$B$17,100,100*MIN(1,(E755-PARAMS_MODELO!$B$15)/(PARAMS_MODELO!$B$16-PARAMS_MODELO!$B$15))))*PARAMS_MODELO!$B$7</f>
        <v>35</v>
      </c>
      <c r="G755" s="5">
        <f t="shared" si="265"/>
        <v>8282306.5999999866</v>
      </c>
      <c r="H755" s="5">
        <f>(PARAMS_MODELO!$B$20*(MAX(0,MIN(3,E755))/3)+PARAMS_MODELO!$B$21*(IFERROR(LN(1+MAX(0,G755))/LN(1+MAX(0,MAX($G$2:$G$1194))),0)))*100*PARAMS_MODELO!$B$8</f>
        <v>4.3962732117112759</v>
      </c>
      <c r="I755" s="8">
        <f>E755-PARAMS_MODELO!$B$5</f>
        <v>1.1621461555033408E-2</v>
      </c>
      <c r="J755" s="5">
        <f>IF(I755&lt;=PARAMS_MODELO!$B$18,0,IF(I755&gt;=PARAMS_MODELO!$B$19,100,100*(I755-PARAMS_MODELO!$B$18)/(PARAMS_MODELO!$B$19-PARAMS_MODELO!$B$18)))*PARAMS_MODELO!$B$9</f>
        <v>9.2432192332550098</v>
      </c>
      <c r="K755" s="5">
        <f>IFERROR(CHOOSE(MATCH(PARAMS_MODELO!$B$2,{"Q1","Q2","Q3"},0),LOTO!$D755,LOTO!$F755,LOTO!$H755),0)</f>
        <v>2370000</v>
      </c>
      <c r="L755" s="8">
        <f t="shared" si="266"/>
        <v>4.5523218810424509E-2</v>
      </c>
      <c r="M755" s="5">
        <f>MIN(100,IF(PARAMS_MODELO!$B$23=0,0,100*L755/PARAMS_MODELO!$B$23))*PARAMS_MODELO!$B$10</f>
        <v>13.65696564312735</v>
      </c>
      <c r="N755" s="5">
        <f>IFERROR(VLOOKUP(A755,COMPLIANCE!$A$2:$F$1996,6,0),100)</f>
        <v>99.98</v>
      </c>
      <c r="O755" s="5">
        <f>N755*PARAMS_MODELO!$B$11</f>
        <v>9.9980000000000011</v>
      </c>
      <c r="P755" s="5">
        <f>IFERROR(VLOOKUP(A755,DIGITAL!$A$2:$J$2000,7,0),100)</f>
        <v>89</v>
      </c>
      <c r="Q755" s="5">
        <f>IFERROR(P755,0)*PARAMS_MODELO!$B$12</f>
        <v>8.9</v>
      </c>
      <c r="R755">
        <f t="shared" si="267"/>
        <v>81.19445808809364</v>
      </c>
      <c r="S755" s="5" t="str">
        <f>IFERROR(VLOOKUP(A755,CLIENTE!$A$2:$N$2000,13,0),1)</f>
        <v>Bueno</v>
      </c>
      <c r="T755" s="5">
        <f>IFERROR(VLOOKUP(A755,CLIENTE!$A$2:$N$2000,14,0),1)</f>
        <v>1.1000000000000001</v>
      </c>
      <c r="U755" s="5">
        <f t="shared" si="268"/>
        <v>89.313903896903014</v>
      </c>
      <c r="V755" s="5" t="str">
        <f>IF(U755&gt;=MAX(_xlfn.PERCENTILE.INC($U$2:$U$1194,PARAMS_MODELO!$B$50),PARAMS_MODELO!$B$45),"DIAMANTE",IF(U755&gt;=MAX(_xlfn.PERCENTILE.INC($U$2:$U$1194,PARAMS_MODELO!$B$51),PARAMS_MODELO!$B$46),"PLATINO",IF(U755&gt;=MAX(_xlfn.PERCENTILE.INC($U$2:$U$1194,PARAMS_MODELO!$B$52),PARAMS_MODELO!$B$47),"ORO",IF(U755&gt;=MAX(_xlfn.PERCENTILE.INC($U$2:$U$1194,PARAMS_MODELO!$B$53),PARAMS_MODELO!$B$48),"PLATA",IF(U755&gt;=1,"BRONCE","CERRADO")))))</f>
        <v>PLATINO</v>
      </c>
      <c r="W755" s="5" t="str" cm="1">
        <f t="array" ref="W755">_xlfn.XLOOKUP(1, (HIST_SCORE!$B:$B=PARAMS_MODELO!$B$4) * (HIST_SCORE!$C:$C=A755), HIST_SCORE!$E:$E, "No encontrado")</f>
        <v>PLATINO</v>
      </c>
      <c r="X755" s="5" t="str">
        <f>_xlfn.LET(_xlpm.act,MATCH(V755,{"DIAMANTE";"PLATINO";"ORO";"PLATA";"BRONCE";"CERRADO"},0),_xlpm.ant,MATCH(W755,{"DIAMANTE";"PLATINO";"ORO";"PLATA";"BRONCE";"CERRADO"},0),IF(_xlpm.act&lt;_xlpm.ant,"Mejora ↑",IF(_xlpm.act&gt;_xlpm.ant,"Baja ↓","Estable →")))</f>
        <v>Estable →</v>
      </c>
      <c r="Y755" s="5">
        <f>IFERROR(U755-SUMIFS(HIST_SCORE!$D:$D,HIST_SCORE!$B:$B,PARAMS_MODELO!$B$4,HIST_SCORE!$C:$C,$A755),"")</f>
        <v>-4.7771822141520914</v>
      </c>
      <c r="Z755" s="5" t="str">
        <f t="shared" si="269"/>
        <v>→ Estable</v>
      </c>
      <c r="AA755" s="5">
        <f t="shared" si="270"/>
        <v>156</v>
      </c>
      <c r="AB755" s="5">
        <f>IFERROR(SUMIFS(HIST_SCORE!$F:$F,HIST_SCORE!$B:$B,PARAMS_MODELO!$B$4,HIST_SCORE!$C:$C,$A755),"")</f>
        <v>71</v>
      </c>
      <c r="AC755" s="5">
        <f t="shared" si="271"/>
        <v>-85</v>
      </c>
      <c r="AD755" t="str">
        <f t="shared" si="273"/>
        <v/>
      </c>
      <c r="AE7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755="CERRADO",1,IF(V755="BRONCE",_xlpm.cPl,IF(V755="PLATA",_xlpm.cO,IF(V755="ORO",_xlpm.cP,IF(V755="PLATINO",_xlpm.cD,999))))))</f>
        <v>96.054919694466676</v>
      </c>
      <c r="AF7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755="CERRADO",0,IF(V755="BRONCE",1,IF(V755="PLATA",_xlpm.cPl,IF(V755="ORO",_xlpm.cO,IF(V755="PLATINO",_xlpm.cP,_xlpm.cD))))))</f>
        <v>86.439123873763251</v>
      </c>
      <c r="AG755">
        <f t="shared" si="274"/>
        <v>6.1281961796033357</v>
      </c>
      <c r="AH755" t="str">
        <f t="shared" si="275"/>
        <v>VENTAS</v>
      </c>
      <c r="AI755" t="str">
        <f t="shared" si="272"/>
        <v>🎯 Para subir de categoría, eje VENTAS / IMPACTO ABSOLUTO (H). Acción: metas semanales + activación comercial + seguimiento del asesor. ΔR aprox: 6,1</v>
      </c>
      <c r="AJ755" s="26">
        <f>_xlfn.LET(_xlpm.piso,AF755,_xlpm.corte,AE755,_xlpm.prog,IF(_xlpm.corte&lt;=_xlpm.piso,0,MAX(0,MIN(1,(U755-_xlpm.piso)/(_xlpm.corte-_xlpm.piso)))),_xlpm.orden,{"DIAMANTE";"PLATINO";"ORO";"PLATA";"BRONCE";"CERRADO"},_xlpm.act,IFERROR(MATCH(V755,_xlpm.orden,0),6),_xlpm.ant,IFERROR(MATCH(W755,_xlpm.orden,0),6),_xlpm.ajmov,IF(_xlpm.act&lt;_xlpm.ant,0.08,IF(_xlpm.act&gt;_xlpm.ant,-0.08,0)),_xlpm.ajcli,IF(T755&lt;0.95,-0.06,0),_xlpm.prob,MAX(0,MIN(1,_xlpm.prog+_xlpm.ajmov+_xlpm.ajcli)),IF(OR(V755="DIAMANTE",V755="CERRADO"),0,ROUND(_xlpm.prob,2)))</f>
        <v>0.3</v>
      </c>
      <c r="AK755" t="str">
        <f t="shared" si="276"/>
        <v>Faltan 6,1 puntos base para subir a la siguiente categoría</v>
      </c>
      <c r="AL755" t="str">
        <f t="shared" si="277"/>
        <v>Margen de seguridad: 2,9 puntos</v>
      </c>
      <c r="AM755">
        <f t="shared" si="278"/>
        <v>0.53</v>
      </c>
      <c r="AN755" t="str">
        <f t="shared" si="279"/>
        <v>PRIORIDAD MEDIA – seguimiento del asesor</v>
      </c>
      <c r="AO755">
        <f t="shared" si="280"/>
        <v>17.84538451336223</v>
      </c>
      <c r="AP755">
        <f t="shared" si="281"/>
        <v>1.4773377925599152</v>
      </c>
      <c r="AQ755">
        <f t="shared" si="282"/>
        <v>2.1999999999987811E-3</v>
      </c>
      <c r="AR755">
        <f t="shared" si="283"/>
        <v>1.2099999999999997</v>
      </c>
      <c r="AS755">
        <f t="shared" si="284"/>
        <v>0</v>
      </c>
      <c r="AT755" t="str">
        <f t="shared" si="285"/>
        <v>VENTAS</v>
      </c>
      <c r="AU755">
        <f t="shared" si="286"/>
        <v>17.84538451336223</v>
      </c>
      <c r="AV755" t="str">
        <f t="shared" si="287"/>
        <v>Mayor retorno probable: VENTAS (+17,8 puntos finales potenciales).</v>
      </c>
    </row>
    <row r="756" spans="1:48" x14ac:dyDescent="0.3">
      <c r="A756" s="5">
        <v>51039165</v>
      </c>
      <c r="B756" s="5" t="str">
        <f>IFERROR(VLOOKUP(A756,VENTAS!$A$2:$B$1194,2,0),"")</f>
        <v>BELUZZO</v>
      </c>
      <c r="C756" s="5">
        <f>IFERROR(INDEX(VENTAS!$C$2:$E$1194,MATCH(A756,VENTAS!$A$2:$A$1194,0),MATCH(PARAMS_MODELO!$B$2,{"Q1","Q2","Q3"},0)),0)</f>
        <v>39749404.840000004</v>
      </c>
      <c r="D756" s="5">
        <f>IFERROR(INDEX(VENTAS!$F$2:$H$1194,MATCH(A756,VENTAS!$A$2:$A$1194,0),MATCH(PARAMS_MODELO!$B$2,{"Q1","Q2","Q3"},0)),0)</f>
        <v>51985620</v>
      </c>
      <c r="E756" s="8">
        <f t="shared" si="264"/>
        <v>0.30783392126884479</v>
      </c>
      <c r="F756" s="12">
        <f>IF(E756&lt;=PARAMS_MODELO!$B$15,0,IF(E756&gt;=PARAMS_MODELO!$B$17,100,100*MIN(1,(E756-PARAMS_MODELO!$B$15)/(PARAMS_MODELO!$B$16-PARAMS_MODELO!$B$15))))*PARAMS_MODELO!$B$7</f>
        <v>35</v>
      </c>
      <c r="G756" s="5">
        <f t="shared" si="265"/>
        <v>12236215.159999996</v>
      </c>
      <c r="H756" s="5">
        <f>(PARAMS_MODELO!$B$20*(MAX(0,MIN(3,E756))/3)+PARAMS_MODELO!$B$21*(IFERROR(LN(1+MAX(0,G756))/LN(1+MAX(0,MAX($G$2:$G$1194))),0)))*100*PARAMS_MODELO!$B$8</f>
        <v>4.9030336180749812</v>
      </c>
      <c r="I756" s="8">
        <f>E756-PARAMS_MODELO!$B$5</f>
        <v>0.13027108589331826</v>
      </c>
      <c r="J756" s="5">
        <f>IF(I756&lt;=PARAMS_MODELO!$B$18,0,IF(I756&gt;=PARAMS_MODELO!$B$19,100,100*(I756-PARAMS_MODELO!$B$18)/(PARAMS_MODELO!$B$19-PARAMS_MODELO!$B$18)))*PARAMS_MODELO!$B$9</f>
        <v>15</v>
      </c>
      <c r="K756" s="5">
        <f>IFERROR(CHOOSE(MATCH(PARAMS_MODELO!$B$2,{"Q1","Q2","Q3"},0),LOTO!$D756,LOTO!$F756,LOTO!$H756),0)</f>
        <v>2370000</v>
      </c>
      <c r="L756" s="8">
        <f t="shared" si="266"/>
        <v>4.5589530335504315E-2</v>
      </c>
      <c r="M756" s="5">
        <f>MIN(100,IF(PARAMS_MODELO!$B$23=0,0,100*L756/PARAMS_MODELO!$B$23))*PARAMS_MODELO!$B$10</f>
        <v>13.676859100651294</v>
      </c>
      <c r="N756" s="5">
        <f>IFERROR(VLOOKUP(A756,COMPLIANCE!$A$2:$F$1996,6,0),100)</f>
        <v>100</v>
      </c>
      <c r="O756" s="5">
        <f>N756*PARAMS_MODELO!$B$11</f>
        <v>10</v>
      </c>
      <c r="P756" s="5">
        <f>IFERROR(VLOOKUP(A756,DIGITAL!$A$2:$J$2000,7,0),100)</f>
        <v>84</v>
      </c>
      <c r="Q756" s="5">
        <f>IFERROR(P756,0)*PARAMS_MODELO!$B$12</f>
        <v>8.4</v>
      </c>
      <c r="R756">
        <f t="shared" si="267"/>
        <v>86.979892718726276</v>
      </c>
      <c r="S756" s="5" t="str">
        <f>IFERROR(VLOOKUP(A756,CLIENTE!$A$2:$N$2000,13,0),1)</f>
        <v>Malo</v>
      </c>
      <c r="T756" s="5">
        <f>IFERROR(VLOOKUP(A756,CLIENTE!$A$2:$N$2000,14,0),1)</f>
        <v>0.7</v>
      </c>
      <c r="U756" s="5">
        <f t="shared" si="268"/>
        <v>60.885924903108389</v>
      </c>
      <c r="V756" s="5" t="str">
        <f>IF(U756&gt;=MAX(_xlfn.PERCENTILE.INC($U$2:$U$1194,PARAMS_MODELO!$B$50),PARAMS_MODELO!$B$45),"DIAMANTE",IF(U756&gt;=MAX(_xlfn.PERCENTILE.INC($U$2:$U$1194,PARAMS_MODELO!$B$51),PARAMS_MODELO!$B$46),"PLATINO",IF(U756&gt;=MAX(_xlfn.PERCENTILE.INC($U$2:$U$1194,PARAMS_MODELO!$B$52),PARAMS_MODELO!$B$47),"ORO",IF(U756&gt;=MAX(_xlfn.PERCENTILE.INC($U$2:$U$1194,PARAMS_MODELO!$B$53),PARAMS_MODELO!$B$48),"PLATA",IF(U756&gt;=1,"BRONCE","CERRADO")))))</f>
        <v>PLATA</v>
      </c>
      <c r="W756" s="5" t="str" cm="1">
        <f t="array" ref="W756">_xlfn.XLOOKUP(1, (HIST_SCORE!$B:$B=PARAMS_MODELO!$B$4) * (HIST_SCORE!$C:$C=A756), HIST_SCORE!$E:$E, "No encontrado")</f>
        <v>ORO</v>
      </c>
      <c r="X756" s="5" t="str">
        <f>_xlfn.LET(_xlpm.act,MATCH(V756,{"DIAMANTE";"PLATINO";"ORO";"PLATA";"BRONCE";"CERRADO"},0),_xlpm.ant,MATCH(W756,{"DIAMANTE";"PLATINO";"ORO";"PLATA";"BRONCE";"CERRADO"},0),IF(_xlpm.act&lt;_xlpm.ant,"Mejora ↑",IF(_xlpm.act&gt;_xlpm.ant,"Baja ↓","Estable →")))</f>
        <v>Baja ↓</v>
      </c>
      <c r="Y756" s="5">
        <f>IFERROR(U756-SUMIFS(HIST_SCORE!$D:$D,HIST_SCORE!$B:$B,PARAMS_MODELO!$B$4,HIST_SCORE!$C:$C,$A756),"")</f>
        <v>-7.3255096886112199</v>
      </c>
      <c r="Z756" s="5" t="str">
        <f t="shared" si="269"/>
        <v>↓ Baja</v>
      </c>
      <c r="AA756" s="5">
        <f t="shared" si="270"/>
        <v>601</v>
      </c>
      <c r="AB756" s="5">
        <f>IFERROR(SUMIFS(HIST_SCORE!$F:$F,HIST_SCORE!$B:$B,PARAMS_MODELO!$B$4,HIST_SCORE!$C:$C,$A756),"")</f>
        <v>554</v>
      </c>
      <c r="AC756" s="5">
        <f t="shared" si="271"/>
        <v>-47</v>
      </c>
      <c r="AD756" t="str">
        <f t="shared" si="273"/>
        <v/>
      </c>
      <c r="AE7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756="CERRADO",1,IF(V756="BRONCE",_xlpm.cPl,IF(V756="PLATA",_xlpm.cO,IF(V756="ORO",_xlpm.cP,IF(V756="PLATINO",_xlpm.cD,999))))))</f>
        <v>63.199193273331495</v>
      </c>
      <c r="AF7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756="CERRADO",0,IF(V756="BRONCE",1,IF(V756="PLATA",_xlpm.cPl,IF(V756="ORO",_xlpm.cO,IF(V756="PLATINO",_xlpm.cP,_xlpm.cD))))))</f>
        <v>24.506573482968111</v>
      </c>
      <c r="AG756">
        <f t="shared" si="274"/>
        <v>3.3046691003187192</v>
      </c>
      <c r="AH756" t="str">
        <f t="shared" si="275"/>
        <v>CLIENTE</v>
      </c>
      <c r="AI756" t="str">
        <f t="shared" si="272"/>
        <v>🎯 Para subir de categoría, la eje con mayor impacto probable es CLIENTE (coef T). Acción: reducir quejas, mejorar incógnito y empujar reseñas. ΔR aprox: 3,3</v>
      </c>
      <c r="AJ756" s="26">
        <f>_xlfn.LET(_xlpm.piso,AF756,_xlpm.corte,AE756,_xlpm.prog,IF(_xlpm.corte&lt;=_xlpm.piso,0,MAX(0,MIN(1,(U756-_xlpm.piso)/(_xlpm.corte-_xlpm.piso)))),_xlpm.orden,{"DIAMANTE";"PLATINO";"ORO";"PLATA";"BRONCE";"CERRADO"},_xlpm.act,IFERROR(MATCH(V756,_xlpm.orden,0),6),_xlpm.ant,IFERROR(MATCH(W756,_xlpm.orden,0),6),_xlpm.ajmov,IF(_xlpm.act&lt;_xlpm.ant,0.08,IF(_xlpm.act&gt;_xlpm.ant,-0.08,0)),_xlpm.ajcli,IF(T756&lt;0.95,-0.06,0),_xlpm.prob,MAX(0,MIN(1,_xlpm.prog+_xlpm.ajmov+_xlpm.ajcli)),IF(OR(V756="DIAMANTE",V756="CERRADO"),0,ROUND(_xlpm.prob,2)))</f>
        <v>0.8</v>
      </c>
      <c r="AK756" t="str">
        <f t="shared" si="276"/>
        <v>Faltan 3,3 puntos base para subir a la siguiente categoría</v>
      </c>
      <c r="AL756" t="str">
        <f t="shared" si="277"/>
        <v>Margen de seguridad: 36,4 puntos</v>
      </c>
      <c r="AM756">
        <f t="shared" si="278"/>
        <v>0.41</v>
      </c>
      <c r="AN756" t="str">
        <f t="shared" si="279"/>
        <v>PRIORIDAD MEDIA – seguimiento del asesor</v>
      </c>
      <c r="AO756">
        <f t="shared" si="280"/>
        <v>6.9716749600544237</v>
      </c>
      <c r="AP756">
        <f t="shared" si="281"/>
        <v>0.92619862954409427</v>
      </c>
      <c r="AQ756">
        <f t="shared" si="282"/>
        <v>0</v>
      </c>
      <c r="AR756">
        <f t="shared" si="283"/>
        <v>1.1199999999999997</v>
      </c>
      <c r="AS756">
        <f t="shared" si="284"/>
        <v>26.093967815617887</v>
      </c>
      <c r="AT756" t="str">
        <f t="shared" si="285"/>
        <v>CLIENTE</v>
      </c>
      <c r="AU756">
        <f t="shared" si="286"/>
        <v>26.093967815617887</v>
      </c>
      <c r="AV756" t="str">
        <f t="shared" si="287"/>
        <v>Mayor retorno probable: CLIENTE (+26,1 puntos finales potenciales).</v>
      </c>
    </row>
    <row r="757" spans="1:48" x14ac:dyDescent="0.3">
      <c r="A757" s="5">
        <v>51006844</v>
      </c>
      <c r="B757" s="5" t="str">
        <f>IFERROR(VLOOKUP(A757,VENTAS!$A$2:$B$1194,2,0),"")</f>
        <v>LÓPEZ</v>
      </c>
      <c r="C757" s="5">
        <f>IFERROR(INDEX(VENTAS!$C$2:$E$1194,MATCH(A757,VENTAS!$A$2:$A$1194,0),MATCH(PARAMS_MODELO!$B$2,{"Q1","Q2","Q3"},0)),0)</f>
        <v>56991098</v>
      </c>
      <c r="D757" s="5">
        <f>IFERROR(INDEX(VENTAS!$F$2:$H$1194,MATCH(A757,VENTAS!$A$2:$A$1194,0),MATCH(PARAMS_MODELO!$B$2,{"Q1","Q2","Q3"},0)),0)</f>
        <v>51639417</v>
      </c>
      <c r="E757" s="8">
        <f t="shared" si="264"/>
        <v>-9.390380581893687E-2</v>
      </c>
      <c r="F757" s="12">
        <f>IF(E757&lt;=PARAMS_MODELO!$B$15,0,IF(E757&gt;=PARAMS_MODELO!$B$17,100,100*MIN(1,(E757-PARAMS_MODELO!$B$15)/(PARAMS_MODELO!$B$16-PARAMS_MODELO!$B$15))))*PARAMS_MODELO!$B$7</f>
        <v>0</v>
      </c>
      <c r="G757" s="5">
        <f t="shared" si="265"/>
        <v>0</v>
      </c>
      <c r="H757" s="5">
        <f>(PARAMS_MODELO!$B$20*(MAX(0,MIN(3,E757))/3)+PARAMS_MODELO!$B$21*(IFERROR(LN(1+MAX(0,G757))/LN(1+MAX(0,MAX($G$2:$G$1194))),0)))*100*PARAMS_MODELO!$B$8</f>
        <v>0</v>
      </c>
      <c r="I757" s="8">
        <f>E757-PARAMS_MODELO!$B$5</f>
        <v>-0.2714666411944634</v>
      </c>
      <c r="J757" s="5">
        <f>IF(I757&lt;=PARAMS_MODELO!$B$18,0,IF(I757&gt;=PARAMS_MODELO!$B$19,100,100*(I757-PARAMS_MODELO!$B$18)/(PARAMS_MODELO!$B$19-PARAMS_MODELO!$B$18)))*PARAMS_MODELO!$B$9</f>
        <v>0</v>
      </c>
      <c r="K757" s="5">
        <f>IFERROR(CHOOSE(MATCH(PARAMS_MODELO!$B$2,{"Q1","Q2","Q3"},0),LOTO!$D757,LOTO!$F757,LOTO!$H757),0)</f>
        <v>2365000</v>
      </c>
      <c r="L757" s="8">
        <f t="shared" si="266"/>
        <v>4.5798348188167963E-2</v>
      </c>
      <c r="M757" s="5">
        <f>MIN(100,IF(PARAMS_MODELO!$B$23=0,0,100*L757/PARAMS_MODELO!$B$23))*PARAMS_MODELO!$B$10</f>
        <v>13.739504456450389</v>
      </c>
      <c r="N757" s="5">
        <f>IFERROR(VLOOKUP(A757,COMPLIANCE!$A$2:$F$1996,6,0),100)</f>
        <v>100</v>
      </c>
      <c r="O757" s="5">
        <f>N757*PARAMS_MODELO!$B$11</f>
        <v>10</v>
      </c>
      <c r="P757" s="5">
        <f>IFERROR(VLOOKUP(A757,DIGITAL!$A$2:$J$2000,7,0),100)</f>
        <v>100</v>
      </c>
      <c r="Q757" s="5">
        <f>IFERROR(P757,0)*PARAMS_MODELO!$B$12</f>
        <v>10</v>
      </c>
      <c r="R757">
        <f t="shared" si="267"/>
        <v>33.739504456450391</v>
      </c>
      <c r="S757" s="5" t="str">
        <f>IFERROR(VLOOKUP(A757,CLIENTE!$A$2:$N$2000,13,0),1)</f>
        <v>Malo</v>
      </c>
      <c r="T757" s="5">
        <f>IFERROR(VLOOKUP(A757,CLIENTE!$A$2:$N$2000,14,0),1)</f>
        <v>0.7</v>
      </c>
      <c r="U757" s="5">
        <f t="shared" si="268"/>
        <v>23.617653119515271</v>
      </c>
      <c r="V757" s="5" t="str">
        <f>IF(U757&gt;=MAX(_xlfn.PERCENTILE.INC($U$2:$U$1194,PARAMS_MODELO!$B$50),PARAMS_MODELO!$B$45),"DIAMANTE",IF(U757&gt;=MAX(_xlfn.PERCENTILE.INC($U$2:$U$1194,PARAMS_MODELO!$B$51),PARAMS_MODELO!$B$46),"PLATINO",IF(U757&gt;=MAX(_xlfn.PERCENTILE.INC($U$2:$U$1194,PARAMS_MODELO!$B$52),PARAMS_MODELO!$B$47),"ORO",IF(U757&gt;=MAX(_xlfn.PERCENTILE.INC($U$2:$U$1194,PARAMS_MODELO!$B$53),PARAMS_MODELO!$B$48),"PLATA",IF(U757&gt;=1,"BRONCE","CERRADO")))))</f>
        <v>BRONCE</v>
      </c>
      <c r="W757" s="5" t="str" cm="1">
        <f t="array" ref="W757">_xlfn.XLOOKUP(1, (HIST_SCORE!$B:$B=PARAMS_MODELO!$B$4) * (HIST_SCORE!$C:$C=A757), HIST_SCORE!$E:$E, "No encontrado")</f>
        <v>BRONCE</v>
      </c>
      <c r="X757" s="5" t="str">
        <f>_xlfn.LET(_xlpm.act,MATCH(V757,{"DIAMANTE";"PLATINO";"ORO";"PLATA";"BRONCE";"CERRADO"},0),_xlpm.ant,MATCH(W757,{"DIAMANTE";"PLATINO";"ORO";"PLATA";"BRONCE";"CERRADO"},0),IF(_xlpm.act&lt;_xlpm.ant,"Mejora ↑",IF(_xlpm.act&gt;_xlpm.ant,"Baja ↓","Estable →")))</f>
        <v>Estable →</v>
      </c>
      <c r="Y757" s="5">
        <f>IFERROR(U757-SUMIFS(HIST_SCORE!$D:$D,HIST_SCORE!$B:$B,PARAMS_MODELO!$B$4,HIST_SCORE!$C:$C,$A757),"")</f>
        <v>0.89798105917554949</v>
      </c>
      <c r="Z757" s="5" t="str">
        <f t="shared" si="269"/>
        <v>→ Estable</v>
      </c>
      <c r="AA757" s="5">
        <f t="shared" si="270"/>
        <v>926</v>
      </c>
      <c r="AB757" s="5">
        <f>IFERROR(SUMIFS(HIST_SCORE!$F:$F,HIST_SCORE!$B:$B,PARAMS_MODELO!$B$4,HIST_SCORE!$C:$C,$A757),"")</f>
        <v>958</v>
      </c>
      <c r="AC757" s="5">
        <f t="shared" si="271"/>
        <v>32</v>
      </c>
      <c r="AD757" t="str">
        <f t="shared" si="273"/>
        <v/>
      </c>
      <c r="AE7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757="CERRADO",1,IF(V757="BRONCE",_xlpm.cPl,IF(V757="PLATA",_xlpm.cO,IF(V757="ORO",_xlpm.cP,IF(V757="PLATINO",_xlpm.cD,999))))))</f>
        <v>24.506573482968111</v>
      </c>
      <c r="AF7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757="CERRADO",0,IF(V757="BRONCE",1,IF(V757="PLATA",_xlpm.cPl,IF(V757="ORO",_xlpm.cO,IF(V757="PLATINO",_xlpm.cP,_xlpm.cD))))))</f>
        <v>1</v>
      </c>
      <c r="AG757">
        <f t="shared" si="274"/>
        <v>1.2698862335040531</v>
      </c>
      <c r="AH757" t="str">
        <f t="shared" si="275"/>
        <v>CLIENTE</v>
      </c>
      <c r="AI757" t="str">
        <f t="shared" si="272"/>
        <v>🎯 Para subir de categoría, la eje con mayor impacto probable es CLIENTE (coef T). Acción: reducir quejas, mejorar incógnito y empujar reseñas. ΔR aprox: 1,3</v>
      </c>
      <c r="AJ757" s="26">
        <f>_xlfn.LET(_xlpm.piso,AF757,_xlpm.corte,AE757,_xlpm.prog,IF(_xlpm.corte&lt;=_xlpm.piso,0,MAX(0,MIN(1,(U757-_xlpm.piso)/(_xlpm.corte-_xlpm.piso)))),_xlpm.orden,{"DIAMANTE";"PLATINO";"ORO";"PLATA";"BRONCE";"CERRADO"},_xlpm.act,IFERROR(MATCH(V757,_xlpm.orden,0),6),_xlpm.ant,IFERROR(MATCH(W757,_xlpm.orden,0),6),_xlpm.ajmov,IF(_xlpm.act&lt;_xlpm.ant,0.08,IF(_xlpm.act&gt;_xlpm.ant,-0.08,0)),_xlpm.ajcli,IF(T757&lt;0.95,-0.06,0),_xlpm.prob,MAX(0,MIN(1,_xlpm.prog+_xlpm.ajmov+_xlpm.ajcli)),IF(OR(V757="DIAMANTE",V757="CERRADO"),0,ROUND(_xlpm.prob,2)))</f>
        <v>0.9</v>
      </c>
      <c r="AK757" t="str">
        <f t="shared" si="276"/>
        <v>Faltan 1,3 puntos base para subir a la siguiente categoría</v>
      </c>
      <c r="AL757" t="str">
        <f t="shared" si="277"/>
        <v>No aplica</v>
      </c>
      <c r="AM757">
        <f t="shared" si="278"/>
        <v>0.28999999999999998</v>
      </c>
      <c r="AN757" t="str">
        <f t="shared" si="279"/>
        <v>PRIORIDAD BAJA – control normal</v>
      </c>
      <c r="AO757">
        <f t="shared" si="280"/>
        <v>45.403798492706905</v>
      </c>
      <c r="AP757">
        <f t="shared" si="281"/>
        <v>0.88234688048472776</v>
      </c>
      <c r="AQ757">
        <f t="shared" si="282"/>
        <v>0</v>
      </c>
      <c r="AR757">
        <f t="shared" si="283"/>
        <v>0</v>
      </c>
      <c r="AS757">
        <f t="shared" si="284"/>
        <v>10.121851336935119</v>
      </c>
      <c r="AT757" t="str">
        <f t="shared" si="285"/>
        <v>VENTAS</v>
      </c>
      <c r="AU757">
        <f t="shared" si="286"/>
        <v>45.403798492706905</v>
      </c>
      <c r="AV757" t="str">
        <f t="shared" si="287"/>
        <v>Mayor retorno probable: VENTAS (+45,4 puntos finales potenciales).</v>
      </c>
    </row>
    <row r="758" spans="1:48" x14ac:dyDescent="0.3">
      <c r="A758" s="5">
        <v>51020995</v>
      </c>
      <c r="B758" s="5" t="str">
        <f>IFERROR(VLOOKUP(A758,VENTAS!$A$2:$B$1194,2,0),"")</f>
        <v>NELLI</v>
      </c>
      <c r="C758" s="5">
        <f>IFERROR(INDEX(VENTAS!$C$2:$E$1194,MATCH(A758,VENTAS!$A$2:$A$1194,0),MATCH(PARAMS_MODELO!$B$2,{"Q1","Q2","Q3"},0)),0)</f>
        <v>64744751.489999987</v>
      </c>
      <c r="D758" s="5">
        <f>IFERROR(INDEX(VENTAS!$F$2:$H$1194,MATCH(A758,VENTAS!$A$2:$A$1194,0),MATCH(PARAMS_MODELO!$B$2,{"Q1","Q2","Q3"},0)),0)</f>
        <v>51528080</v>
      </c>
      <c r="E758" s="8">
        <f t="shared" si="264"/>
        <v>-0.20413502540111439</v>
      </c>
      <c r="F758" s="12">
        <f>IF(E758&lt;=PARAMS_MODELO!$B$15,0,IF(E758&gt;=PARAMS_MODELO!$B$17,100,100*MIN(1,(E758-PARAMS_MODELO!$B$15)/(PARAMS_MODELO!$B$16-PARAMS_MODELO!$B$15))))*PARAMS_MODELO!$B$7</f>
        <v>0</v>
      </c>
      <c r="G758" s="5">
        <f t="shared" si="265"/>
        <v>0</v>
      </c>
      <c r="H758" s="5">
        <f>(PARAMS_MODELO!$B$20*(MAX(0,MIN(3,E758))/3)+PARAMS_MODELO!$B$21*(IFERROR(LN(1+MAX(0,G758))/LN(1+MAX(0,MAX($G$2:$G$1194))),0)))*100*PARAMS_MODELO!$B$8</f>
        <v>0</v>
      </c>
      <c r="I758" s="8">
        <f>E758-PARAMS_MODELO!$B$5</f>
        <v>-0.38169786077664092</v>
      </c>
      <c r="J758" s="5">
        <f>IF(I758&lt;=PARAMS_MODELO!$B$18,0,IF(I758&gt;=PARAMS_MODELO!$B$19,100,100*(I758-PARAMS_MODELO!$B$18)/(PARAMS_MODELO!$B$19-PARAMS_MODELO!$B$18)))*PARAMS_MODELO!$B$9</f>
        <v>0</v>
      </c>
      <c r="K758" s="5">
        <f>IFERROR(CHOOSE(MATCH(PARAMS_MODELO!$B$2,{"Q1","Q2","Q3"},0),LOTO!$D758,LOTO!$F758,LOTO!$H758),0)</f>
        <v>2357500</v>
      </c>
      <c r="L758" s="8">
        <f t="shared" si="266"/>
        <v>4.5751753218827483E-2</v>
      </c>
      <c r="M758" s="5">
        <f>MIN(100,IF(PARAMS_MODELO!$B$23=0,0,100*L758/PARAMS_MODELO!$B$23))*PARAMS_MODELO!$B$10</f>
        <v>13.725525965648243</v>
      </c>
      <c r="N758" s="5">
        <f>IFERROR(VLOOKUP(A758,COMPLIANCE!$A$2:$F$1996,6,0),100)</f>
        <v>100</v>
      </c>
      <c r="O758" s="5">
        <f>N758*PARAMS_MODELO!$B$11</f>
        <v>10</v>
      </c>
      <c r="P758" s="5">
        <f>IFERROR(VLOOKUP(A758,DIGITAL!$A$2:$J$2000,7,0),100)</f>
        <v>39</v>
      </c>
      <c r="Q758" s="5">
        <f>IFERROR(P758,0)*PARAMS_MODELO!$B$12</f>
        <v>3.9000000000000004</v>
      </c>
      <c r="R758">
        <f t="shared" si="267"/>
        <v>27.625525965648244</v>
      </c>
      <c r="S758" s="5" t="str">
        <f>IFERROR(VLOOKUP(A758,CLIENTE!$A$2:$N$2000,13,0),1)</f>
        <v>Regular</v>
      </c>
      <c r="T758" s="5">
        <f>IFERROR(VLOOKUP(A758,CLIENTE!$A$2:$N$2000,14,0),1)</f>
        <v>1</v>
      </c>
      <c r="U758" s="5">
        <f t="shared" si="268"/>
        <v>27.625525965648244</v>
      </c>
      <c r="V758" s="5" t="str">
        <f>IF(U758&gt;=MAX(_xlfn.PERCENTILE.INC($U$2:$U$1194,PARAMS_MODELO!$B$50),PARAMS_MODELO!$B$45),"DIAMANTE",IF(U758&gt;=MAX(_xlfn.PERCENTILE.INC($U$2:$U$1194,PARAMS_MODELO!$B$51),PARAMS_MODELO!$B$46),"PLATINO",IF(U758&gt;=MAX(_xlfn.PERCENTILE.INC($U$2:$U$1194,PARAMS_MODELO!$B$52),PARAMS_MODELO!$B$47),"ORO",IF(U758&gt;=MAX(_xlfn.PERCENTILE.INC($U$2:$U$1194,PARAMS_MODELO!$B$53),PARAMS_MODELO!$B$48),"PLATA",IF(U758&gt;=1,"BRONCE","CERRADO")))))</f>
        <v>PLATA</v>
      </c>
      <c r="W758" s="5" t="str" cm="1">
        <f t="array" ref="W758">_xlfn.XLOOKUP(1, (HIST_SCORE!$B:$B=PARAMS_MODELO!$B$4) * (HIST_SCORE!$C:$C=A758), HIST_SCORE!$E:$E, "No encontrado")</f>
        <v>BRONCE</v>
      </c>
      <c r="X758" s="5" t="str">
        <f>_xlfn.LET(_xlpm.act,MATCH(V758,{"DIAMANTE";"PLATINO";"ORO";"PLATA";"BRONCE";"CERRADO"},0),_xlpm.ant,MATCH(W758,{"DIAMANTE";"PLATINO";"ORO";"PLATA";"BRONCE";"CERRADO"},0),IF(_xlpm.act&lt;_xlpm.ant,"Mejora ↑",IF(_xlpm.act&gt;_xlpm.ant,"Baja ↓","Estable →")))</f>
        <v>Mejora ↑</v>
      </c>
      <c r="Y758" s="5">
        <f>IFERROR(U758-SUMIFS(HIST_SCORE!$D:$D,HIST_SCORE!$B:$B,PARAMS_MODELO!$B$4,HIST_SCORE!$C:$C,$A758),"")</f>
        <v>5.5001741414560996</v>
      </c>
      <c r="Z758" s="5" t="str">
        <f t="shared" si="269"/>
        <v>↑ Mejora</v>
      </c>
      <c r="AA758" s="5">
        <f t="shared" si="270"/>
        <v>890</v>
      </c>
      <c r="AB758" s="5">
        <f>IFERROR(SUMIFS(HIST_SCORE!$F:$F,HIST_SCORE!$B:$B,PARAMS_MODELO!$B$4,HIST_SCORE!$C:$C,$A758),"")</f>
        <v>965</v>
      </c>
      <c r="AC758" s="5">
        <f t="shared" si="271"/>
        <v>75</v>
      </c>
      <c r="AD758" t="str">
        <f t="shared" si="273"/>
        <v/>
      </c>
      <c r="AE7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758="CERRADO",1,IF(V758="BRONCE",_xlpm.cPl,IF(V758="PLATA",_xlpm.cO,IF(V758="ORO",_xlpm.cP,IF(V758="PLATINO",_xlpm.cD,999))))))</f>
        <v>63.199193273331495</v>
      </c>
      <c r="AF7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758="CERRADO",0,IF(V758="BRONCE",1,IF(V758="PLATA",_xlpm.cPl,IF(V758="ORO",_xlpm.cO,IF(V758="PLATINO",_xlpm.cP,_xlpm.cD))))))</f>
        <v>24.506573482968111</v>
      </c>
      <c r="AG758">
        <f t="shared" si="274"/>
        <v>35.573667307683252</v>
      </c>
      <c r="AH758" t="str">
        <f t="shared" si="275"/>
        <v>VENTAS</v>
      </c>
      <c r="AI758" t="str">
        <f t="shared" si="272"/>
        <v>🎯 Para subir de categoría, eje VENTAS / CRECIMIENTO PERSONAL (F). Acción: metas semanales + activación comercial + seguimiento del asesor. ΔR aprox: 35,6</v>
      </c>
      <c r="AJ758" s="26">
        <f>_xlfn.LET(_xlpm.piso,AF758,_xlpm.corte,AE758,_xlpm.prog,IF(_xlpm.corte&lt;=_xlpm.piso,0,MAX(0,MIN(1,(U758-_xlpm.piso)/(_xlpm.corte-_xlpm.piso)))),_xlpm.orden,{"DIAMANTE";"PLATINO";"ORO";"PLATA";"BRONCE";"CERRADO"},_xlpm.act,IFERROR(MATCH(V758,_xlpm.orden,0),6),_xlpm.ant,IFERROR(MATCH(W758,_xlpm.orden,0),6),_xlpm.ajmov,IF(_xlpm.act&lt;_xlpm.ant,0.08,IF(_xlpm.act&gt;_xlpm.ant,-0.08,0)),_xlpm.ajcli,IF(T758&lt;0.95,-0.06,0),_xlpm.prob,MAX(0,MIN(1,_xlpm.prog+_xlpm.ajmov+_xlpm.ajcli)),IF(OR(V758="DIAMANTE",V758="CERRADO"),0,ROUND(_xlpm.prob,2)))</f>
        <v>0.16</v>
      </c>
      <c r="AK758" t="str">
        <f t="shared" si="276"/>
        <v>Faltan 35,6 puntos base para subir a la siguiente categoría</v>
      </c>
      <c r="AL758" t="str">
        <f t="shared" si="277"/>
        <v>Margen de seguridad: 3,1 puntos</v>
      </c>
      <c r="AM758">
        <f t="shared" si="278"/>
        <v>0.74</v>
      </c>
      <c r="AN758" t="str">
        <f t="shared" si="279"/>
        <v>PRIORIDAD ALTA – requiere intervención inmediata</v>
      </c>
      <c r="AO758">
        <f t="shared" si="280"/>
        <v>64.862569275295584</v>
      </c>
      <c r="AP758">
        <f t="shared" si="281"/>
        <v>1.2744740343517567</v>
      </c>
      <c r="AQ758">
        <f t="shared" si="282"/>
        <v>0</v>
      </c>
      <c r="AR758">
        <f t="shared" si="283"/>
        <v>6.1</v>
      </c>
      <c r="AS758">
        <f t="shared" si="284"/>
        <v>0</v>
      </c>
      <c r="AT758" t="str">
        <f t="shared" si="285"/>
        <v>VENTAS</v>
      </c>
      <c r="AU758">
        <f t="shared" si="286"/>
        <v>64.862569275295584</v>
      </c>
      <c r="AV758" t="str">
        <f t="shared" si="287"/>
        <v>Mayor retorno probable: VENTAS (+64,9 puntos finales potenciales).</v>
      </c>
    </row>
    <row r="759" spans="1:48" x14ac:dyDescent="0.3">
      <c r="A759" s="5">
        <v>51023251</v>
      </c>
      <c r="B759" s="5" t="str">
        <f>IFERROR(VLOOKUP(A759,VENTAS!$A$2:$B$1194,2,0),"")</f>
        <v>NELLI</v>
      </c>
      <c r="C759" s="5">
        <f>IFERROR(INDEX(VENTAS!$C$2:$E$1194,MATCH(A759,VENTAS!$A$2:$A$1194,0),MATCH(PARAMS_MODELO!$B$2,{"Q1","Q2","Q3"},0)),0)</f>
        <v>43362859.189999998</v>
      </c>
      <c r="D759" s="5">
        <f>IFERROR(INDEX(VENTAS!$F$2:$H$1194,MATCH(A759,VENTAS!$A$2:$A$1194,0),MATCH(PARAMS_MODELO!$B$2,{"Q1","Q2","Q3"},0)),0)</f>
        <v>51521828</v>
      </c>
      <c r="E759" s="8">
        <f t="shared" si="264"/>
        <v>0.18815569273812005</v>
      </c>
      <c r="F759" s="12">
        <f>IF(E759&lt;=PARAMS_MODELO!$B$15,0,IF(E759&gt;=PARAMS_MODELO!$B$17,100,100*MIN(1,(E759-PARAMS_MODELO!$B$15)/(PARAMS_MODELO!$B$16-PARAMS_MODELO!$B$15))))*PARAMS_MODELO!$B$7</f>
        <v>35</v>
      </c>
      <c r="G759" s="5">
        <f t="shared" si="265"/>
        <v>8158968.8100000024</v>
      </c>
      <c r="H759" s="5">
        <f>(PARAMS_MODELO!$B$20*(MAX(0,MIN(3,E759))/3)+PARAMS_MODELO!$B$21*(IFERROR(LN(1+MAX(0,G759))/LN(1+MAX(0,MAX($G$2:$G$1194))),0)))*100*PARAMS_MODELO!$B$8</f>
        <v>4.3891560172507642</v>
      </c>
      <c r="I759" s="8">
        <f>E759-PARAMS_MODELO!$B$5</f>
        <v>1.0592857362593522E-2</v>
      </c>
      <c r="J759" s="5">
        <f>IF(I759&lt;=PARAMS_MODELO!$B$18,0,IF(I759&gt;=PARAMS_MODELO!$B$19,100,100*(I759-PARAMS_MODELO!$B$18)/(PARAMS_MODELO!$B$19-PARAMS_MODELO!$B$18)))*PARAMS_MODELO!$B$9</f>
        <v>9.0889286043890269</v>
      </c>
      <c r="K759" s="5">
        <f>IFERROR(CHOOSE(MATCH(PARAMS_MODELO!$B$2,{"Q1","Q2","Q3"},0),LOTO!$D759,LOTO!$F759,LOTO!$H759),0)</f>
        <v>2357500</v>
      </c>
      <c r="L759" s="8">
        <f t="shared" si="266"/>
        <v>4.5757305039720253E-2</v>
      </c>
      <c r="M759" s="5">
        <f>MIN(100,IF(PARAMS_MODELO!$B$23=0,0,100*L759/PARAMS_MODELO!$B$23))*PARAMS_MODELO!$B$10</f>
        <v>13.727191511916075</v>
      </c>
      <c r="N759" s="5">
        <f>IFERROR(VLOOKUP(A759,COMPLIANCE!$A$2:$F$1996,6,0),100)</f>
        <v>100</v>
      </c>
      <c r="O759" s="5">
        <f>N759*PARAMS_MODELO!$B$11</f>
        <v>10</v>
      </c>
      <c r="P759" s="5">
        <f>IFERROR(VLOOKUP(A759,DIGITAL!$A$2:$J$2000,7,0),100)</f>
        <v>35</v>
      </c>
      <c r="Q759" s="5">
        <f>IFERROR(P759,0)*PARAMS_MODELO!$B$12</f>
        <v>3.5</v>
      </c>
      <c r="R759">
        <f t="shared" si="267"/>
        <v>75.705276133555856</v>
      </c>
      <c r="S759" s="5" t="str">
        <f>IFERROR(VLOOKUP(A759,CLIENTE!$A$2:$N$2000,13,0),1)</f>
        <v>Regular</v>
      </c>
      <c r="T759" s="5">
        <f>IFERROR(VLOOKUP(A759,CLIENTE!$A$2:$N$2000,14,0),1)</f>
        <v>1</v>
      </c>
      <c r="U759" s="5">
        <f t="shared" si="268"/>
        <v>75.705276133555856</v>
      </c>
      <c r="V759" s="5" t="str">
        <f>IF(U759&gt;=MAX(_xlfn.PERCENTILE.INC($U$2:$U$1194,PARAMS_MODELO!$B$50),PARAMS_MODELO!$B$45),"DIAMANTE",IF(U759&gt;=MAX(_xlfn.PERCENTILE.INC($U$2:$U$1194,PARAMS_MODELO!$B$51),PARAMS_MODELO!$B$46),"PLATINO",IF(U759&gt;=MAX(_xlfn.PERCENTILE.INC($U$2:$U$1194,PARAMS_MODELO!$B$52),PARAMS_MODELO!$B$47),"ORO",IF(U759&gt;=MAX(_xlfn.PERCENTILE.INC($U$2:$U$1194,PARAMS_MODELO!$B$53),PARAMS_MODELO!$B$48),"PLATA",IF(U759&gt;=1,"BRONCE","CERRADO")))))</f>
        <v>ORO</v>
      </c>
      <c r="W759" s="5" t="str" cm="1">
        <f t="array" ref="W759">_xlfn.XLOOKUP(1, (HIST_SCORE!$B:$B=PARAMS_MODELO!$B$4) * (HIST_SCORE!$C:$C=A759), HIST_SCORE!$E:$E, "No encontrado")</f>
        <v>PLATA</v>
      </c>
      <c r="X759" s="5" t="str">
        <f>_xlfn.LET(_xlpm.act,MATCH(V759,{"DIAMANTE";"PLATINO";"ORO";"PLATA";"BRONCE";"CERRADO"},0),_xlpm.ant,MATCH(W759,{"DIAMANTE";"PLATINO";"ORO";"PLATA";"BRONCE";"CERRADO"},0),IF(_xlpm.act&lt;_xlpm.ant,"Mejora ↑",IF(_xlpm.act&gt;_xlpm.ant,"Baja ↓","Estable →")))</f>
        <v>Mejora ↑</v>
      </c>
      <c r="Y759" s="5">
        <f>IFERROR(U759-SUMIFS(HIST_SCORE!$D:$D,HIST_SCORE!$B:$B,PARAMS_MODELO!$B$4,HIST_SCORE!$C:$C,$A759),"")</f>
        <v>39.56659544548836</v>
      </c>
      <c r="Z759" s="5" t="str">
        <f t="shared" si="269"/>
        <v>↑ Mejora</v>
      </c>
      <c r="AA759" s="5">
        <f t="shared" si="270"/>
        <v>470</v>
      </c>
      <c r="AB759" s="5">
        <f>IFERROR(SUMIFS(HIST_SCORE!$F:$F,HIST_SCORE!$B:$B,PARAMS_MODELO!$B$4,HIST_SCORE!$C:$C,$A759),"")</f>
        <v>860</v>
      </c>
      <c r="AC759" s="5">
        <f t="shared" si="271"/>
        <v>390</v>
      </c>
      <c r="AD759" t="str">
        <f t="shared" si="273"/>
        <v/>
      </c>
      <c r="AE7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759="CERRADO",1,IF(V759="BRONCE",_xlpm.cPl,IF(V759="PLATA",_xlpm.cO,IF(V759="ORO",_xlpm.cP,IF(V759="PLATINO",_xlpm.cD,999))))))</f>
        <v>86.439123873763251</v>
      </c>
      <c r="AF7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759="CERRADO",0,IF(V759="BRONCE",1,IF(V759="PLATA",_xlpm.cPl,IF(V759="ORO",_xlpm.cO,IF(V759="PLATINO",_xlpm.cP,_xlpm.cD))))))</f>
        <v>63.199193273331495</v>
      </c>
      <c r="AG759">
        <f t="shared" si="274"/>
        <v>10.733847740207395</v>
      </c>
      <c r="AH759" t="str">
        <f t="shared" si="275"/>
        <v>VENTAS</v>
      </c>
      <c r="AI759" t="str">
        <f t="shared" si="272"/>
        <v>🎯 Para subir de categoría, eje VENTAS / IMPACTO ABSOLUTO (H). Acción: metas semanales + activación comercial + seguimiento del asesor. ΔR aprox: 10,7</v>
      </c>
      <c r="AJ759" s="26">
        <f>_xlfn.LET(_xlpm.piso,AF759,_xlpm.corte,AE759,_xlpm.prog,IF(_xlpm.corte&lt;=_xlpm.piso,0,MAX(0,MIN(1,(U759-_xlpm.piso)/(_xlpm.corte-_xlpm.piso)))),_xlpm.orden,{"DIAMANTE";"PLATINO";"ORO";"PLATA";"BRONCE";"CERRADO"},_xlpm.act,IFERROR(MATCH(V759,_xlpm.orden,0),6),_xlpm.ant,IFERROR(MATCH(W759,_xlpm.orden,0),6),_xlpm.ajmov,IF(_xlpm.act&lt;_xlpm.ant,0.08,IF(_xlpm.act&gt;_xlpm.ant,-0.08,0)),_xlpm.ajcli,IF(T759&lt;0.95,-0.06,0),_xlpm.prob,MAX(0,MIN(1,_xlpm.prog+_xlpm.ajmov+_xlpm.ajcli)),IF(OR(V759="DIAMANTE",V759="CERRADO"),0,ROUND(_xlpm.prob,2)))</f>
        <v>0.62</v>
      </c>
      <c r="AK759" t="str">
        <f t="shared" si="276"/>
        <v>Faltan 10,7 puntos base para subir a la siguiente categoría</v>
      </c>
      <c r="AL759" t="str">
        <f t="shared" si="277"/>
        <v>Margen de seguridad: 12,5 puntos</v>
      </c>
      <c r="AM759">
        <f t="shared" si="278"/>
        <v>0.55000000000000004</v>
      </c>
      <c r="AN759" t="str">
        <f t="shared" si="279"/>
        <v>PRIORIDAD MEDIA – seguimiento del asesor</v>
      </c>
      <c r="AO759">
        <f t="shared" si="280"/>
        <v>16.384484653655797</v>
      </c>
      <c r="AP759">
        <f t="shared" si="281"/>
        <v>1.2728084880839248</v>
      </c>
      <c r="AQ759">
        <f t="shared" si="282"/>
        <v>0</v>
      </c>
      <c r="AR759">
        <f t="shared" si="283"/>
        <v>6.5</v>
      </c>
      <c r="AS759">
        <f t="shared" si="284"/>
        <v>0</v>
      </c>
      <c r="AT759" t="str">
        <f t="shared" si="285"/>
        <v>VENTAS</v>
      </c>
      <c r="AU759">
        <f t="shared" si="286"/>
        <v>16.384484653655797</v>
      </c>
      <c r="AV759" t="str">
        <f t="shared" si="287"/>
        <v>Mayor retorno probable: VENTAS (+16,4 puntos finales potenciales).</v>
      </c>
    </row>
    <row r="760" spans="1:48" x14ac:dyDescent="0.3">
      <c r="A760" s="5">
        <v>51010205</v>
      </c>
      <c r="B760" s="5" t="str">
        <f>IFERROR(VLOOKUP(A760,VENTAS!$A$2:$B$1194,2,0),"")</f>
        <v>MONTENEGRO</v>
      </c>
      <c r="C760" s="5">
        <f>IFERROR(INDEX(VENTAS!$C$2:$E$1194,MATCH(A760,VENTAS!$A$2:$A$1194,0),MATCH(PARAMS_MODELO!$B$2,{"Q1","Q2","Q3"},0)),0)</f>
        <v>43810587.880000003</v>
      </c>
      <c r="D760" s="5">
        <f>IFERROR(INDEX(VENTAS!$F$2:$H$1194,MATCH(A760,VENTAS!$A$2:$A$1194,0),MATCH(PARAMS_MODELO!$B$2,{"Q1","Q2","Q3"},0)),0)</f>
        <v>51289976</v>
      </c>
      <c r="E760" s="8">
        <f t="shared" si="264"/>
        <v>0.1707210170401392</v>
      </c>
      <c r="F760" s="12">
        <f>IF(E760&lt;=PARAMS_MODELO!$B$15,0,IF(E760&gt;=PARAMS_MODELO!$B$17,100,100*MIN(1,(E760-PARAMS_MODELO!$B$15)/(PARAMS_MODELO!$B$16-PARAMS_MODELO!$B$15))))*PARAMS_MODELO!$B$7</f>
        <v>35</v>
      </c>
      <c r="G760" s="5">
        <f t="shared" si="265"/>
        <v>7479388.1199999973</v>
      </c>
      <c r="H760" s="5">
        <f>(PARAMS_MODELO!$B$20*(MAX(0,MIN(3,E760))/3)+PARAMS_MODELO!$B$21*(IFERROR(LN(1+MAX(0,G760))/LN(1+MAX(0,MAX($G$2:$G$1194))),0)))*100*PARAMS_MODELO!$B$8</f>
        <v>4.3077484221394133</v>
      </c>
      <c r="I760" s="8">
        <f>E760-PARAMS_MODELO!$B$5</f>
        <v>-6.8418183353873285E-3</v>
      </c>
      <c r="J760" s="5">
        <f>IF(I760&lt;=PARAMS_MODELO!$B$18,0,IF(I760&gt;=PARAMS_MODELO!$B$19,100,100*(I760-PARAMS_MODELO!$B$18)/(PARAMS_MODELO!$B$19-PARAMS_MODELO!$B$18)))*PARAMS_MODELO!$B$9</f>
        <v>6.4737272496919003</v>
      </c>
      <c r="K760" s="5">
        <f>IFERROR(CHOOSE(MATCH(PARAMS_MODELO!$B$2,{"Q1","Q2","Q3"},0),LOTO!$D760,LOTO!$F760,LOTO!$H760),0)</f>
        <v>2355000</v>
      </c>
      <c r="L760" s="8">
        <f t="shared" si="266"/>
        <v>4.5915404600696243E-2</v>
      </c>
      <c r="M760" s="5">
        <f>MIN(100,IF(PARAMS_MODELO!$B$23=0,0,100*L760/PARAMS_MODELO!$B$23))*PARAMS_MODELO!$B$10</f>
        <v>13.774621380208872</v>
      </c>
      <c r="N760" s="5">
        <f>IFERROR(VLOOKUP(A760,COMPLIANCE!$A$2:$F$1996,6,0),100)</f>
        <v>99.98</v>
      </c>
      <c r="O760" s="5">
        <f>N760*PARAMS_MODELO!$B$11</f>
        <v>9.9980000000000011</v>
      </c>
      <c r="P760" s="5">
        <f>IFERROR(VLOOKUP(A760,DIGITAL!$A$2:$J$2000,7,0),100)</f>
        <v>29</v>
      </c>
      <c r="Q760" s="5">
        <f>IFERROR(P760,0)*PARAMS_MODELO!$B$12</f>
        <v>2.9000000000000004</v>
      </c>
      <c r="R760">
        <f t="shared" si="267"/>
        <v>72.454097052040183</v>
      </c>
      <c r="S760" s="5" t="str">
        <f>IFERROR(VLOOKUP(A760,CLIENTE!$A$2:$N$2000,13,0),1)</f>
        <v>Malo</v>
      </c>
      <c r="T760" s="5">
        <f>IFERROR(VLOOKUP(A760,CLIENTE!$A$2:$N$2000,14,0),1)</f>
        <v>0.7</v>
      </c>
      <c r="U760" s="5">
        <f t="shared" si="268"/>
        <v>50.717867936428128</v>
      </c>
      <c r="V760" s="5" t="str">
        <f>IF(U760&gt;=MAX(_xlfn.PERCENTILE.INC($U$2:$U$1194,PARAMS_MODELO!$B$50),PARAMS_MODELO!$B$45),"DIAMANTE",IF(U760&gt;=MAX(_xlfn.PERCENTILE.INC($U$2:$U$1194,PARAMS_MODELO!$B$51),PARAMS_MODELO!$B$46),"PLATINO",IF(U760&gt;=MAX(_xlfn.PERCENTILE.INC($U$2:$U$1194,PARAMS_MODELO!$B$52),PARAMS_MODELO!$B$47),"ORO",IF(U760&gt;=MAX(_xlfn.PERCENTILE.INC($U$2:$U$1194,PARAMS_MODELO!$B$53),PARAMS_MODELO!$B$48),"PLATA",IF(U760&gt;=1,"BRONCE","CERRADO")))))</f>
        <v>PLATA</v>
      </c>
      <c r="W760" s="5" t="str" cm="1">
        <f t="array" ref="W760">_xlfn.XLOOKUP(1, (HIST_SCORE!$B:$B=PARAMS_MODELO!$B$4) * (HIST_SCORE!$C:$C=A760), HIST_SCORE!$E:$E, "No encontrado")</f>
        <v>PLATA</v>
      </c>
      <c r="X760" s="5" t="str">
        <f>_xlfn.LET(_xlpm.act,MATCH(V760,{"DIAMANTE";"PLATINO";"ORO";"PLATA";"BRONCE";"CERRADO"},0),_xlpm.ant,MATCH(W760,{"DIAMANTE";"PLATINO";"ORO";"PLATA";"BRONCE";"CERRADO"},0),IF(_xlpm.act&lt;_xlpm.ant,"Mejora ↑",IF(_xlpm.act&gt;_xlpm.ant,"Baja ↓","Estable →")))</f>
        <v>Estable →</v>
      </c>
      <c r="Y760" s="5">
        <f>IFERROR(U760-SUMIFS(HIST_SCORE!$D:$D,HIST_SCORE!$B:$B,PARAMS_MODELO!$B$4,HIST_SCORE!$C:$C,$A760),"")</f>
        <v>5.9968676235552252</v>
      </c>
      <c r="Z760" s="5" t="str">
        <f t="shared" si="269"/>
        <v>↑ Mejora</v>
      </c>
      <c r="AA760" s="5">
        <f t="shared" si="270"/>
        <v>735</v>
      </c>
      <c r="AB760" s="5">
        <f>IFERROR(SUMIFS(HIST_SCORE!$F:$F,HIST_SCORE!$B:$B,PARAMS_MODELO!$B$4,HIST_SCORE!$C:$C,$A760),"")</f>
        <v>827</v>
      </c>
      <c r="AC760" s="5">
        <f t="shared" si="271"/>
        <v>92</v>
      </c>
      <c r="AD760" t="str">
        <f t="shared" si="273"/>
        <v/>
      </c>
      <c r="AE7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760="CERRADO",1,IF(V760="BRONCE",_xlpm.cPl,IF(V760="PLATA",_xlpm.cO,IF(V760="ORO",_xlpm.cP,IF(V760="PLATINO",_xlpm.cD,999))))))</f>
        <v>63.199193273331495</v>
      </c>
      <c r="AF7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760="CERRADO",0,IF(V760="BRONCE",1,IF(V760="PLATA",_xlpm.cPl,IF(V760="ORO",_xlpm.cO,IF(V760="PLATINO",_xlpm.cP,_xlpm.cD))))))</f>
        <v>24.506573482968111</v>
      </c>
      <c r="AG760">
        <f t="shared" si="274"/>
        <v>17.830464767004813</v>
      </c>
      <c r="AH760" t="str">
        <f t="shared" si="275"/>
        <v>CLIENTE</v>
      </c>
      <c r="AI760" t="str">
        <f t="shared" si="272"/>
        <v>🎯 Para subir de categoría, la eje con mayor impacto probable es CLIENTE (coef T). Acción: reducir quejas, mejorar incógnito y empujar reseñas. ΔR aprox: 17,8</v>
      </c>
      <c r="AJ760" s="26">
        <f>_xlfn.LET(_xlpm.piso,AF760,_xlpm.corte,AE760,_xlpm.prog,IF(_xlpm.corte&lt;=_xlpm.piso,0,MAX(0,MIN(1,(U760-_xlpm.piso)/(_xlpm.corte-_xlpm.piso)))),_xlpm.orden,{"DIAMANTE";"PLATINO";"ORO";"PLATA";"BRONCE";"CERRADO"},_xlpm.act,IFERROR(MATCH(V760,_xlpm.orden,0),6),_xlpm.ant,IFERROR(MATCH(W760,_xlpm.orden,0),6),_xlpm.ajmov,IF(_xlpm.act&lt;_xlpm.ant,0.08,IF(_xlpm.act&gt;_xlpm.ant,-0.08,0)),_xlpm.ajcli,IF(T760&lt;0.95,-0.06,0),_xlpm.prob,MAX(0,MIN(1,_xlpm.prog+_xlpm.ajmov+_xlpm.ajcli)),IF(OR(V760="DIAMANTE",V760="CERRADO"),0,ROUND(_xlpm.prob,2)))</f>
        <v>0.62</v>
      </c>
      <c r="AK760" t="str">
        <f t="shared" si="276"/>
        <v>Faltan 17,8 puntos base para subir a la siguiente categoría</v>
      </c>
      <c r="AL760" t="str">
        <f t="shared" si="277"/>
        <v>Margen de seguridad: 26,2 puntos</v>
      </c>
      <c r="AM760">
        <f t="shared" si="278"/>
        <v>0.75</v>
      </c>
      <c r="AN760" t="str">
        <f t="shared" si="279"/>
        <v>PRIORIDAD ALTA – requiere intervención inmediata</v>
      </c>
      <c r="AO760">
        <f t="shared" si="280"/>
        <v>13.356765522424991</v>
      </c>
      <c r="AP760">
        <f t="shared" si="281"/>
        <v>0.85776503385378944</v>
      </c>
      <c r="AQ760">
        <f t="shared" si="282"/>
        <v>1.3999999999992239E-3</v>
      </c>
      <c r="AR760">
        <f t="shared" si="283"/>
        <v>4.97</v>
      </c>
      <c r="AS760">
        <f t="shared" si="284"/>
        <v>21.736229115612058</v>
      </c>
      <c r="AT760" t="str">
        <f t="shared" si="285"/>
        <v>CLIENTE</v>
      </c>
      <c r="AU760">
        <f t="shared" si="286"/>
        <v>21.736229115612058</v>
      </c>
      <c r="AV760" t="str">
        <f t="shared" si="287"/>
        <v>Mayor retorno probable: CLIENTE (+21,7 puntos finales potenciales).</v>
      </c>
    </row>
    <row r="761" spans="1:48" x14ac:dyDescent="0.3">
      <c r="A761" s="5">
        <v>51056922</v>
      </c>
      <c r="B761" s="5" t="str">
        <f>IFERROR(VLOOKUP(A761,VENTAS!$A$2:$B$1194,2,0),"")</f>
        <v>LÓPEZ</v>
      </c>
      <c r="C761" s="5">
        <f>IFERROR(INDEX(VENTAS!$C$2:$E$1194,MATCH(A761,VENTAS!$A$2:$A$1194,0),MATCH(PARAMS_MODELO!$B$2,{"Q1","Q2","Q3"},0)),0)</f>
        <v>38043148.350000001</v>
      </c>
      <c r="D761" s="5">
        <f>IFERROR(INDEX(VENTAS!$F$2:$H$1194,MATCH(A761,VENTAS!$A$2:$A$1194,0),MATCH(PARAMS_MODELO!$B$2,{"Q1","Q2","Q3"},0)),0)</f>
        <v>51212038</v>
      </c>
      <c r="E761" s="8">
        <f t="shared" si="264"/>
        <v>0.3461566726508849</v>
      </c>
      <c r="F761" s="12">
        <f>IF(E761&lt;=PARAMS_MODELO!$B$15,0,IF(E761&gt;=PARAMS_MODELO!$B$17,100,100*MIN(1,(E761-PARAMS_MODELO!$B$15)/(PARAMS_MODELO!$B$16-PARAMS_MODELO!$B$15))))*PARAMS_MODELO!$B$7</f>
        <v>35</v>
      </c>
      <c r="G761" s="5">
        <f t="shared" si="265"/>
        <v>13168889.649999999</v>
      </c>
      <c r="H761" s="5">
        <f>(PARAMS_MODELO!$B$20*(MAX(0,MIN(3,E761))/3)+PARAMS_MODELO!$B$21*(IFERROR(LN(1+MAX(0,G761))/LN(1+MAX(0,MAX($G$2:$G$1194))),0)))*100*PARAMS_MODELO!$B$8</f>
        <v>5.0543826380735224</v>
      </c>
      <c r="I761" s="8">
        <f>E761-PARAMS_MODELO!$B$5</f>
        <v>0.16859383727535837</v>
      </c>
      <c r="J761" s="5">
        <f>IF(I761&lt;=PARAMS_MODELO!$B$18,0,IF(I761&gt;=PARAMS_MODELO!$B$19,100,100*(I761-PARAMS_MODELO!$B$18)/(PARAMS_MODELO!$B$19-PARAMS_MODELO!$B$18)))*PARAMS_MODELO!$B$9</f>
        <v>15</v>
      </c>
      <c r="K761" s="5">
        <f>IFERROR(CHOOSE(MATCH(PARAMS_MODELO!$B$2,{"Q1","Q2","Q3"},0),LOTO!$D761,LOTO!$F761,LOTO!$H761),0)</f>
        <v>2347500</v>
      </c>
      <c r="L761" s="8">
        <f t="shared" si="266"/>
        <v>4.5838831877770617E-2</v>
      </c>
      <c r="M761" s="5">
        <f>MIN(100,IF(PARAMS_MODELO!$B$23=0,0,100*L761/PARAMS_MODELO!$B$23))*PARAMS_MODELO!$B$10</f>
        <v>13.751649563331185</v>
      </c>
      <c r="N761" s="5">
        <f>IFERROR(VLOOKUP(A761,COMPLIANCE!$A$2:$F$1996,6,0),100)</f>
        <v>100</v>
      </c>
      <c r="O761" s="5">
        <f>N761*PARAMS_MODELO!$B$11</f>
        <v>10</v>
      </c>
      <c r="P761" s="5">
        <f>IFERROR(VLOOKUP(A761,DIGITAL!$A$2:$J$2000,7,0),100)</f>
        <v>0</v>
      </c>
      <c r="Q761" s="5">
        <f>IFERROR(P761,0)*PARAMS_MODELO!$B$12</f>
        <v>0</v>
      </c>
      <c r="R761">
        <f t="shared" si="267"/>
        <v>78.806032201404705</v>
      </c>
      <c r="S761" s="5" t="str">
        <f>IFERROR(VLOOKUP(A761,CLIENTE!$A$2:$N$2000,13,0),1)</f>
        <v>Regular</v>
      </c>
      <c r="T761" s="5">
        <f>IFERROR(VLOOKUP(A761,CLIENTE!$A$2:$N$2000,14,0),1)</f>
        <v>1</v>
      </c>
      <c r="U761" s="5">
        <f t="shared" si="268"/>
        <v>78.806032201404705</v>
      </c>
      <c r="V761" s="5" t="str">
        <f>IF(U761&gt;=MAX(_xlfn.PERCENTILE.INC($U$2:$U$1194,PARAMS_MODELO!$B$50),PARAMS_MODELO!$B$45),"DIAMANTE",IF(U761&gt;=MAX(_xlfn.PERCENTILE.INC($U$2:$U$1194,PARAMS_MODELO!$B$51),PARAMS_MODELO!$B$46),"PLATINO",IF(U761&gt;=MAX(_xlfn.PERCENTILE.INC($U$2:$U$1194,PARAMS_MODELO!$B$52),PARAMS_MODELO!$B$47),"ORO",IF(U761&gt;=MAX(_xlfn.PERCENTILE.INC($U$2:$U$1194,PARAMS_MODELO!$B$53),PARAMS_MODELO!$B$48),"PLATA",IF(U761&gt;=1,"BRONCE","CERRADO")))))</f>
        <v>ORO</v>
      </c>
      <c r="W761" s="5" t="str" cm="1">
        <f t="array" ref="W761">_xlfn.XLOOKUP(1, (HIST_SCORE!$B:$B=PARAMS_MODELO!$B$4) * (HIST_SCORE!$C:$C=A761), HIST_SCORE!$E:$E, "No encontrado")</f>
        <v>ORO</v>
      </c>
      <c r="X761" s="5" t="str">
        <f>_xlfn.LET(_xlpm.act,MATCH(V761,{"DIAMANTE";"PLATINO";"ORO";"PLATA";"BRONCE";"CERRADO"},0),_xlpm.ant,MATCH(W761,{"DIAMANTE";"PLATINO";"ORO";"PLATA";"BRONCE";"CERRADO"},0),IF(_xlpm.act&lt;_xlpm.ant,"Mejora ↑",IF(_xlpm.act&gt;_xlpm.ant,"Baja ↓","Estable →")))</f>
        <v>Estable →</v>
      </c>
      <c r="Y761" s="5">
        <f>IFERROR(U761-SUMIFS(HIST_SCORE!$D:$D,HIST_SCORE!$B:$B,PARAMS_MODELO!$B$4,HIST_SCORE!$C:$C,$A761),"")</f>
        <v>-0.51067055849567566</v>
      </c>
      <c r="Z761" s="5" t="str">
        <f t="shared" si="269"/>
        <v>→ Estable</v>
      </c>
      <c r="AA761" s="5">
        <f t="shared" si="270"/>
        <v>450</v>
      </c>
      <c r="AB761" s="5">
        <f>IFERROR(SUMIFS(HIST_SCORE!$F:$F,HIST_SCORE!$B:$B,PARAMS_MODELO!$B$4,HIST_SCORE!$C:$C,$A761),"")</f>
        <v>432</v>
      </c>
      <c r="AC761" s="5">
        <f t="shared" si="271"/>
        <v>-18</v>
      </c>
      <c r="AD761" t="str">
        <f t="shared" si="273"/>
        <v>Sostener base y reforzar mix</v>
      </c>
      <c r="AE7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761="CERRADO",1,IF(V761="BRONCE",_xlpm.cPl,IF(V761="PLATA",_xlpm.cO,IF(V761="ORO",_xlpm.cP,IF(V761="PLATINO",_xlpm.cD,999))))))</f>
        <v>86.439123873763251</v>
      </c>
      <c r="AF7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761="CERRADO",0,IF(V761="BRONCE",1,IF(V761="PLATA",_xlpm.cPl,IF(V761="ORO",_xlpm.cO,IF(V761="PLATINO",_xlpm.cP,_xlpm.cD))))))</f>
        <v>63.199193273331495</v>
      </c>
      <c r="AG761">
        <f t="shared" si="274"/>
        <v>7.633091672358546</v>
      </c>
      <c r="AH761" t="str">
        <f t="shared" si="275"/>
        <v>VENTAS</v>
      </c>
      <c r="AI761" t="str">
        <f t="shared" si="272"/>
        <v>🎯 Para subir de categoría, eje VENTAS / IMPACTO ABSOLUTO (H). Acción: metas semanales + activación comercial + seguimiento del asesor. ΔR aprox: 7,6</v>
      </c>
      <c r="AJ761" s="26">
        <f>_xlfn.LET(_xlpm.piso,AF761,_xlpm.corte,AE761,_xlpm.prog,IF(_xlpm.corte&lt;=_xlpm.piso,0,MAX(0,MIN(1,(U761-_xlpm.piso)/(_xlpm.corte-_xlpm.piso)))),_xlpm.orden,{"DIAMANTE";"PLATINO";"ORO";"PLATA";"BRONCE";"CERRADO"},_xlpm.act,IFERROR(MATCH(V761,_xlpm.orden,0),6),_xlpm.ant,IFERROR(MATCH(W761,_xlpm.orden,0),6),_xlpm.ajmov,IF(_xlpm.act&lt;_xlpm.ant,0.08,IF(_xlpm.act&gt;_xlpm.ant,-0.08,0)),_xlpm.ajcli,IF(T761&lt;0.95,-0.06,0),_xlpm.prob,MAX(0,MIN(1,_xlpm.prog+_xlpm.ajmov+_xlpm.ajcli)),IF(OR(V761="DIAMANTE",V761="CERRADO"),0,ROUND(_xlpm.prob,2)))</f>
        <v>0.67</v>
      </c>
      <c r="AK761" t="str">
        <f t="shared" si="276"/>
        <v>Faltan 7,6 puntos base para subir a la siguiente categoría</v>
      </c>
      <c r="AL761" t="str">
        <f t="shared" si="277"/>
        <v>Margen de seguridad: 15,6 puntos</v>
      </c>
      <c r="AM761">
        <f t="shared" si="278"/>
        <v>0.44</v>
      </c>
      <c r="AN761" t="str">
        <f t="shared" si="279"/>
        <v>PRIORIDAD MEDIA – seguimiento del asesor</v>
      </c>
      <c r="AO761">
        <f t="shared" si="280"/>
        <v>9.8081866372220645</v>
      </c>
      <c r="AP761">
        <f t="shared" si="281"/>
        <v>1.2483504366688152</v>
      </c>
      <c r="AQ761">
        <f t="shared" si="282"/>
        <v>0</v>
      </c>
      <c r="AR761">
        <f t="shared" si="283"/>
        <v>10</v>
      </c>
      <c r="AS761">
        <f t="shared" si="284"/>
        <v>0</v>
      </c>
      <c r="AT761" t="str">
        <f t="shared" si="285"/>
        <v>DIGITAL</v>
      </c>
      <c r="AU761">
        <f t="shared" si="286"/>
        <v>10</v>
      </c>
      <c r="AV761" t="str">
        <f t="shared" si="287"/>
        <v>Mayor retorno probable: DIGITAL (+10,0 puntos finales potenciales).</v>
      </c>
    </row>
    <row r="762" spans="1:48" x14ac:dyDescent="0.3">
      <c r="A762" s="5">
        <v>51056299</v>
      </c>
      <c r="B762" s="5" t="str">
        <f>IFERROR(VLOOKUP(A762,VENTAS!$A$2:$B$1194,2,0),"")</f>
        <v>NELLI</v>
      </c>
      <c r="C762" s="5">
        <f>IFERROR(INDEX(VENTAS!$C$2:$E$1194,MATCH(A762,VENTAS!$A$2:$A$1194,0),MATCH(PARAMS_MODELO!$B$2,{"Q1","Q2","Q3"},0)),0)</f>
        <v>42439391.25</v>
      </c>
      <c r="D762" s="5">
        <f>IFERROR(INDEX(VENTAS!$F$2:$H$1194,MATCH(A762,VENTAS!$A$2:$A$1194,0),MATCH(PARAMS_MODELO!$B$2,{"Q1","Q2","Q3"},0)),0)</f>
        <v>51046448</v>
      </c>
      <c r="E762" s="8">
        <f t="shared" si="264"/>
        <v>0.20280820474775307</v>
      </c>
      <c r="F762" s="12">
        <f>IF(E762&lt;=PARAMS_MODELO!$B$15,0,IF(E762&gt;=PARAMS_MODELO!$B$17,100,100*MIN(1,(E762-PARAMS_MODELO!$B$15)/(PARAMS_MODELO!$B$16-PARAMS_MODELO!$B$15))))*PARAMS_MODELO!$B$7</f>
        <v>35</v>
      </c>
      <c r="G762" s="5">
        <f t="shared" si="265"/>
        <v>8607056.75</v>
      </c>
      <c r="H762" s="5">
        <f>(PARAMS_MODELO!$B$20*(MAX(0,MIN(3,E762))/3)+PARAMS_MODELO!$B$21*(IFERROR(LN(1+MAX(0,G762))/LN(1+MAX(0,MAX($G$2:$G$1194))),0)))*100*PARAMS_MODELO!$B$8</f>
        <v>4.4529726633349176</v>
      </c>
      <c r="I762" s="8">
        <f>E762-PARAMS_MODELO!$B$5</f>
        <v>2.5245369372226545E-2</v>
      </c>
      <c r="J762" s="5">
        <f>IF(I762&lt;=PARAMS_MODELO!$B$18,0,IF(I762&gt;=PARAMS_MODELO!$B$19,100,100*(I762-PARAMS_MODELO!$B$18)/(PARAMS_MODELO!$B$19-PARAMS_MODELO!$B$18)))*PARAMS_MODELO!$B$9</f>
        <v>11.286805405833979</v>
      </c>
      <c r="K762" s="5">
        <f>IFERROR(CHOOSE(MATCH(PARAMS_MODELO!$B$2,{"Q1","Q2","Q3"},0),LOTO!$D762,LOTO!$F762,LOTO!$H762),0)</f>
        <v>2335000</v>
      </c>
      <c r="L762" s="8">
        <f t="shared" si="266"/>
        <v>4.5742653827745269E-2</v>
      </c>
      <c r="M762" s="5">
        <f>MIN(100,IF(PARAMS_MODELO!$B$23=0,0,100*L762/PARAMS_MODELO!$B$23))*PARAMS_MODELO!$B$10</f>
        <v>13.722796148323582</v>
      </c>
      <c r="N762" s="5">
        <f>IFERROR(VLOOKUP(A762,COMPLIANCE!$A$2:$F$1996,6,0),100)</f>
        <v>99.98</v>
      </c>
      <c r="O762" s="5">
        <f>N762*PARAMS_MODELO!$B$11</f>
        <v>9.9980000000000011</v>
      </c>
      <c r="P762" s="5">
        <f>IFERROR(VLOOKUP(A762,DIGITAL!$A$2:$J$2000,7,0),100)</f>
        <v>62</v>
      </c>
      <c r="Q762" s="5">
        <f>IFERROR(P762,0)*PARAMS_MODELO!$B$12</f>
        <v>6.2</v>
      </c>
      <c r="R762">
        <f t="shared" si="267"/>
        <v>80.660574217492496</v>
      </c>
      <c r="S762" s="5" t="str">
        <f>IFERROR(VLOOKUP(A762,CLIENTE!$A$2:$N$2000,13,0),1)</f>
        <v>Bueno</v>
      </c>
      <c r="T762" s="5">
        <f>IFERROR(VLOOKUP(A762,CLIENTE!$A$2:$N$2000,14,0),1)</f>
        <v>1.1000000000000001</v>
      </c>
      <c r="U762" s="5">
        <f t="shared" si="268"/>
        <v>88.726631639241759</v>
      </c>
      <c r="V762" s="5" t="str">
        <f>IF(U762&gt;=MAX(_xlfn.PERCENTILE.INC($U$2:$U$1194,PARAMS_MODELO!$B$50),PARAMS_MODELO!$B$45),"DIAMANTE",IF(U762&gt;=MAX(_xlfn.PERCENTILE.INC($U$2:$U$1194,PARAMS_MODELO!$B$51),PARAMS_MODELO!$B$46),"PLATINO",IF(U762&gt;=MAX(_xlfn.PERCENTILE.INC($U$2:$U$1194,PARAMS_MODELO!$B$52),PARAMS_MODELO!$B$47),"ORO",IF(U762&gt;=MAX(_xlfn.PERCENTILE.INC($U$2:$U$1194,PARAMS_MODELO!$B$53),PARAMS_MODELO!$B$48),"PLATA",IF(U762&gt;=1,"BRONCE","CERRADO")))))</f>
        <v>PLATINO</v>
      </c>
      <c r="W762" s="5" t="str" cm="1">
        <f t="array" ref="W762">_xlfn.XLOOKUP(1, (HIST_SCORE!$B:$B=PARAMS_MODELO!$B$4) * (HIST_SCORE!$C:$C=A762), HIST_SCORE!$E:$E, "No encontrado")</f>
        <v>PLATINO</v>
      </c>
      <c r="X762" s="5" t="str">
        <f>_xlfn.LET(_xlpm.act,MATCH(V762,{"DIAMANTE";"PLATINO";"ORO";"PLATA";"BRONCE";"CERRADO"},0),_xlpm.ant,MATCH(W762,{"DIAMANTE";"PLATINO";"ORO";"PLATA";"BRONCE";"CERRADO"},0),IF(_xlpm.act&lt;_xlpm.ant,"Mejora ↑",IF(_xlpm.act&gt;_xlpm.ant,"Baja ↓","Estable →")))</f>
        <v>Estable →</v>
      </c>
      <c r="Y762" s="5">
        <f>IFERROR(U762-SUMIFS(HIST_SCORE!$D:$D,HIST_SCORE!$B:$B,PARAMS_MODELO!$B$4,HIST_SCORE!$C:$C,$A762),"")</f>
        <v>-2.9217635510531466</v>
      </c>
      <c r="Z762" s="5" t="str">
        <f t="shared" si="269"/>
        <v>→ Estable</v>
      </c>
      <c r="AA762" s="5">
        <f t="shared" si="270"/>
        <v>175</v>
      </c>
      <c r="AB762" s="5">
        <f>IFERROR(SUMIFS(HIST_SCORE!$F:$F,HIST_SCORE!$B:$B,PARAMS_MODELO!$B$4,HIST_SCORE!$C:$C,$A762),"")</f>
        <v>108</v>
      </c>
      <c r="AC762" s="5">
        <f t="shared" si="271"/>
        <v>-67</v>
      </c>
      <c r="AD762" t="str">
        <f t="shared" si="273"/>
        <v/>
      </c>
      <c r="AE7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762="CERRADO",1,IF(V762="BRONCE",_xlpm.cPl,IF(V762="PLATA",_xlpm.cO,IF(V762="ORO",_xlpm.cP,IF(V762="PLATINO",_xlpm.cD,999))))))</f>
        <v>96.054919694466676</v>
      </c>
      <c r="AF7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762="CERRADO",0,IF(V762="BRONCE",1,IF(V762="PLATA",_xlpm.cPl,IF(V762="ORO",_xlpm.cO,IF(V762="PLATINO",_xlpm.cP,_xlpm.cD))))))</f>
        <v>86.439123873763251</v>
      </c>
      <c r="AG762">
        <f t="shared" si="274"/>
        <v>6.6620800502044801</v>
      </c>
      <c r="AH762" t="str">
        <f t="shared" si="275"/>
        <v>VENTAS</v>
      </c>
      <c r="AI762" t="str">
        <f t="shared" si="272"/>
        <v>🎯 Para subir de categoría, eje VENTAS / IMPACTO ABSOLUTO (H). Acción: metas semanales + activación comercial + seguimiento del asesor. ΔR aprox: 6,7</v>
      </c>
      <c r="AJ762" s="26">
        <f>_xlfn.LET(_xlpm.piso,AF762,_xlpm.corte,AE762,_xlpm.prog,IF(_xlpm.corte&lt;=_xlpm.piso,0,MAX(0,MIN(1,(U762-_xlpm.piso)/(_xlpm.corte-_xlpm.piso)))),_xlpm.orden,{"DIAMANTE";"PLATINO";"ORO";"PLATA";"BRONCE";"CERRADO"},_xlpm.act,IFERROR(MATCH(V762,_xlpm.orden,0),6),_xlpm.ant,IFERROR(MATCH(W762,_xlpm.orden,0),6),_xlpm.ajmov,IF(_xlpm.act&lt;_xlpm.ant,0.08,IF(_xlpm.act&gt;_xlpm.ant,-0.08,0)),_xlpm.ajcli,IF(T762&lt;0.95,-0.06,0),_xlpm.prob,MAX(0,MIN(1,_xlpm.prog+_xlpm.ajmov+_xlpm.ajcli)),IF(OR(V762="DIAMANTE",V762="CERRADO"),0,ROUND(_xlpm.prob,2)))</f>
        <v>0.24</v>
      </c>
      <c r="AK762" t="str">
        <f t="shared" si="276"/>
        <v>Faltan 6,7 puntos base para subir a la siguiente categoría</v>
      </c>
      <c r="AL762" t="str">
        <f t="shared" si="277"/>
        <v>Margen de seguridad: 2,3 puntos</v>
      </c>
      <c r="AM762">
        <f t="shared" si="278"/>
        <v>0.56999999999999995</v>
      </c>
      <c r="AN762" t="str">
        <f t="shared" si="279"/>
        <v>PRIORIDAD MEDIA – seguimiento del asesor</v>
      </c>
      <c r="AO762">
        <f t="shared" si="280"/>
        <v>15.535070326739355</v>
      </c>
      <c r="AP762">
        <f t="shared" si="281"/>
        <v>1.4049242368440604</v>
      </c>
      <c r="AQ762">
        <f t="shared" si="282"/>
        <v>2.1999999999987811E-3</v>
      </c>
      <c r="AR762">
        <f t="shared" si="283"/>
        <v>4.18</v>
      </c>
      <c r="AS762">
        <f t="shared" si="284"/>
        <v>0</v>
      </c>
      <c r="AT762" t="str">
        <f t="shared" si="285"/>
        <v>VENTAS</v>
      </c>
      <c r="AU762">
        <f t="shared" si="286"/>
        <v>15.535070326739355</v>
      </c>
      <c r="AV762" t="str">
        <f t="shared" si="287"/>
        <v>Mayor retorno probable: VENTAS (+15,5 puntos finales potenciales).</v>
      </c>
    </row>
    <row r="763" spans="1:48" x14ac:dyDescent="0.3">
      <c r="A763" s="5">
        <v>51010175</v>
      </c>
      <c r="B763" s="5" t="str">
        <f>IFERROR(VLOOKUP(A763,VENTAS!$A$2:$B$1194,2,0),"")</f>
        <v>AYALA</v>
      </c>
      <c r="C763" s="5">
        <f>IFERROR(INDEX(VENTAS!$C$2:$E$1194,MATCH(A763,VENTAS!$A$2:$A$1194,0),MATCH(PARAMS_MODELO!$B$2,{"Q1","Q2","Q3"},0)),0)</f>
        <v>49988669.07</v>
      </c>
      <c r="D763" s="5">
        <f>IFERROR(INDEX(VENTAS!$F$2:$H$1194,MATCH(A763,VENTAS!$A$2:$A$1194,0),MATCH(PARAMS_MODELO!$B$2,{"Q1","Q2","Q3"},0)),0)</f>
        <v>51038466</v>
      </c>
      <c r="E763" s="8">
        <f t="shared" si="264"/>
        <v>2.100069774872293E-2</v>
      </c>
      <c r="F763" s="12">
        <f>IF(E763&lt;=PARAMS_MODELO!$B$15,0,IF(E763&gt;=PARAMS_MODELO!$B$17,100,100*MIN(1,(E763-PARAMS_MODELO!$B$15)/(PARAMS_MODELO!$B$16-PARAMS_MODELO!$B$15))))*PARAMS_MODELO!$B$7</f>
        <v>7.350244212053024</v>
      </c>
      <c r="G763" s="5">
        <f t="shared" si="265"/>
        <v>1049796.9299999997</v>
      </c>
      <c r="H763" s="5">
        <f>(PARAMS_MODELO!$B$20*(MAX(0,MIN(3,E763))/3)+PARAMS_MODELO!$B$21*(IFERROR(LN(1+MAX(0,G763))/LN(1+MAX(0,MAX($G$2:$G$1194))),0)))*100*PARAMS_MODELO!$B$8</f>
        <v>3.323442969894403</v>
      </c>
      <c r="I763" s="8">
        <f>E763-PARAMS_MODELO!$B$5</f>
        <v>-0.1565621376268036</v>
      </c>
      <c r="J763" s="5">
        <f>IF(I763&lt;=PARAMS_MODELO!$B$18,0,IF(I763&gt;=PARAMS_MODELO!$B$19,100,100*(I763-PARAMS_MODELO!$B$18)/(PARAMS_MODELO!$B$19-PARAMS_MODELO!$B$18)))*PARAMS_MODELO!$B$9</f>
        <v>0</v>
      </c>
      <c r="K763" s="5">
        <f>IFERROR(CHOOSE(MATCH(PARAMS_MODELO!$B$2,{"Q1","Q2","Q3"},0),LOTO!$D763,LOTO!$F763,LOTO!$H763),0)</f>
        <v>2335000</v>
      </c>
      <c r="L763" s="8">
        <f t="shared" si="266"/>
        <v>4.5749807605894741E-2</v>
      </c>
      <c r="M763" s="5">
        <f>MIN(100,IF(PARAMS_MODELO!$B$23=0,0,100*L763/PARAMS_MODELO!$B$23))*PARAMS_MODELO!$B$10</f>
        <v>13.724942281768421</v>
      </c>
      <c r="N763" s="5">
        <f>IFERROR(VLOOKUP(A763,COMPLIANCE!$A$2:$F$1996,6,0),100)</f>
        <v>100</v>
      </c>
      <c r="O763" s="5">
        <f>N763*PARAMS_MODELO!$B$11</f>
        <v>10</v>
      </c>
      <c r="P763" s="5">
        <f>IFERROR(VLOOKUP(A763,DIGITAL!$A$2:$J$2000,7,0),100)</f>
        <v>49</v>
      </c>
      <c r="Q763" s="5">
        <f>IFERROR(P763,0)*PARAMS_MODELO!$B$12</f>
        <v>4.9000000000000004</v>
      </c>
      <c r="R763">
        <f t="shared" si="267"/>
        <v>39.298629463715848</v>
      </c>
      <c r="S763" s="5" t="str">
        <f>IFERROR(VLOOKUP(A763,CLIENTE!$A$2:$N$2000,13,0),1)</f>
        <v>Regular</v>
      </c>
      <c r="T763" s="5">
        <f>IFERROR(VLOOKUP(A763,CLIENTE!$A$2:$N$2000,14,0),1)</f>
        <v>1</v>
      </c>
      <c r="U763" s="5">
        <f t="shared" si="268"/>
        <v>39.298629463715848</v>
      </c>
      <c r="V763" s="5" t="str">
        <f>IF(U763&gt;=MAX(_xlfn.PERCENTILE.INC($U$2:$U$1194,PARAMS_MODELO!$B$50),PARAMS_MODELO!$B$45),"DIAMANTE",IF(U763&gt;=MAX(_xlfn.PERCENTILE.INC($U$2:$U$1194,PARAMS_MODELO!$B$51),PARAMS_MODELO!$B$46),"PLATINO",IF(U763&gt;=MAX(_xlfn.PERCENTILE.INC($U$2:$U$1194,PARAMS_MODELO!$B$52),PARAMS_MODELO!$B$47),"ORO",IF(U763&gt;=MAX(_xlfn.PERCENTILE.INC($U$2:$U$1194,PARAMS_MODELO!$B$53),PARAMS_MODELO!$B$48),"PLATA",IF(U763&gt;=1,"BRONCE","CERRADO")))))</f>
        <v>PLATA</v>
      </c>
      <c r="W763" s="5" t="str" cm="1">
        <f t="array" ref="W763">_xlfn.XLOOKUP(1, (HIST_SCORE!$B:$B=PARAMS_MODELO!$B$4) * (HIST_SCORE!$C:$C=A763), HIST_SCORE!$E:$E, "No encontrado")</f>
        <v>ORO</v>
      </c>
      <c r="X763" s="5" t="str">
        <f>_xlfn.LET(_xlpm.act,MATCH(V763,{"DIAMANTE";"PLATINO";"ORO";"PLATA";"BRONCE";"CERRADO"},0),_xlpm.ant,MATCH(W763,{"DIAMANTE";"PLATINO";"ORO";"PLATA";"BRONCE";"CERRADO"},0),IF(_xlpm.act&lt;_xlpm.ant,"Mejora ↑",IF(_xlpm.act&gt;_xlpm.ant,"Baja ↓","Estable →")))</f>
        <v>Baja ↓</v>
      </c>
      <c r="Y763" s="5">
        <f>IFERROR(U763-SUMIFS(HIST_SCORE!$D:$D,HIST_SCORE!$B:$B,PARAMS_MODELO!$B$4,HIST_SCORE!$C:$C,$A763),"")</f>
        <v>-31.936014084671378</v>
      </c>
      <c r="Z763" s="5" t="str">
        <f t="shared" si="269"/>
        <v>↓ Baja</v>
      </c>
      <c r="AA763" s="5">
        <f t="shared" si="270"/>
        <v>789</v>
      </c>
      <c r="AB763" s="5">
        <f>IFERROR(SUMIFS(HIST_SCORE!$F:$F,HIST_SCORE!$B:$B,PARAMS_MODELO!$B$4,HIST_SCORE!$C:$C,$A763),"")</f>
        <v>530</v>
      </c>
      <c r="AC763" s="5">
        <f t="shared" si="271"/>
        <v>-259</v>
      </c>
      <c r="AD763" t="str">
        <f t="shared" si="273"/>
        <v/>
      </c>
      <c r="AE7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763="CERRADO",1,IF(V763="BRONCE",_xlpm.cPl,IF(V763="PLATA",_xlpm.cO,IF(V763="ORO",_xlpm.cP,IF(V763="PLATINO",_xlpm.cD,999))))))</f>
        <v>63.199193273331495</v>
      </c>
      <c r="AF7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763="CERRADO",0,IF(V763="BRONCE",1,IF(V763="PLATA",_xlpm.cPl,IF(V763="ORO",_xlpm.cO,IF(V763="PLATINO",_xlpm.cP,_xlpm.cD))))))</f>
        <v>24.506573482968111</v>
      </c>
      <c r="AG763">
        <f t="shared" si="274"/>
        <v>23.900563809615647</v>
      </c>
      <c r="AH763" t="str">
        <f t="shared" si="275"/>
        <v>VENTAS</v>
      </c>
      <c r="AI763" t="str">
        <f t="shared" si="272"/>
        <v>🎯 Para subir de categoría, eje VENTAS / DIFERENCIAL vs LOTBA (J). Acción: metas semanales + activación comercial + seguimiento del asesor. ΔR aprox: 23,9</v>
      </c>
      <c r="AJ763" s="26">
        <f>_xlfn.LET(_xlpm.piso,AF763,_xlpm.corte,AE763,_xlpm.prog,IF(_xlpm.corte&lt;=_xlpm.piso,0,MAX(0,MIN(1,(U763-_xlpm.piso)/(_xlpm.corte-_xlpm.piso)))),_xlpm.orden,{"DIAMANTE";"PLATINO";"ORO";"PLATA";"BRONCE";"CERRADO"},_xlpm.act,IFERROR(MATCH(V763,_xlpm.orden,0),6),_xlpm.ant,IFERROR(MATCH(W763,_xlpm.orden,0),6),_xlpm.ajmov,IF(_xlpm.act&lt;_xlpm.ant,0.08,IF(_xlpm.act&gt;_xlpm.ant,-0.08,0)),_xlpm.ajcli,IF(T763&lt;0.95,-0.06,0),_xlpm.prob,MAX(0,MIN(1,_xlpm.prog+_xlpm.ajmov+_xlpm.ajcli)),IF(OR(V763="DIAMANTE",V763="CERRADO"),0,ROUND(_xlpm.prob,2)))</f>
        <v>0.3</v>
      </c>
      <c r="AK763" t="str">
        <f t="shared" si="276"/>
        <v>Faltan 23,9 puntos base para subir a la siguiente categoría</v>
      </c>
      <c r="AL763" t="str">
        <f t="shared" si="277"/>
        <v>Margen de seguridad: 14,8 puntos</v>
      </c>
      <c r="AM763">
        <f t="shared" si="278"/>
        <v>0.68</v>
      </c>
      <c r="AN763" t="str">
        <f t="shared" si="279"/>
        <v>PRIORIDAD MEDIA – seguimiento del asesor</v>
      </c>
      <c r="AO763">
        <f t="shared" si="280"/>
        <v>54.188882093348155</v>
      </c>
      <c r="AP763">
        <f t="shared" si="281"/>
        <v>1.2750577182315794</v>
      </c>
      <c r="AQ763">
        <f t="shared" si="282"/>
        <v>0</v>
      </c>
      <c r="AR763">
        <f t="shared" si="283"/>
        <v>5.0999999999999996</v>
      </c>
      <c r="AS763">
        <f t="shared" si="284"/>
        <v>0</v>
      </c>
      <c r="AT763" t="str">
        <f t="shared" si="285"/>
        <v>VENTAS</v>
      </c>
      <c r="AU763">
        <f t="shared" si="286"/>
        <v>54.188882093348155</v>
      </c>
      <c r="AV763" t="str">
        <f t="shared" si="287"/>
        <v>Mayor retorno probable: VENTAS (+54,2 puntos finales potenciales).</v>
      </c>
    </row>
    <row r="764" spans="1:48" x14ac:dyDescent="0.3">
      <c r="A764" s="5">
        <v>51015355</v>
      </c>
      <c r="B764" s="5" t="str">
        <f>IFERROR(VLOOKUP(A764,VENTAS!$A$2:$B$1194,2,0),"")</f>
        <v>BELUZZO</v>
      </c>
      <c r="C764" s="5">
        <f>IFERROR(INDEX(VENTAS!$C$2:$E$1194,MATCH(A764,VENTAS!$A$2:$A$1194,0),MATCH(PARAMS_MODELO!$B$2,{"Q1","Q2","Q3"},0)),0)</f>
        <v>29944430.280000001</v>
      </c>
      <c r="D764" s="5">
        <f>IFERROR(INDEX(VENTAS!$F$2:$H$1194,MATCH(A764,VENTAS!$A$2:$A$1194,0),MATCH(PARAMS_MODELO!$B$2,{"Q1","Q2","Q3"},0)),0)</f>
        <v>50713963</v>
      </c>
      <c r="E764" s="8">
        <f t="shared" si="264"/>
        <v>0.69360253395343596</v>
      </c>
      <c r="F764" s="12">
        <f>IF(E764&lt;=PARAMS_MODELO!$B$15,0,IF(E764&gt;=PARAMS_MODELO!$B$17,100,100*MIN(1,(E764-PARAMS_MODELO!$B$15)/(PARAMS_MODELO!$B$16-PARAMS_MODELO!$B$15))))*PARAMS_MODELO!$B$7</f>
        <v>35</v>
      </c>
      <c r="G764" s="5">
        <f t="shared" si="265"/>
        <v>20769532.719999999</v>
      </c>
      <c r="H764" s="5">
        <f>(PARAMS_MODELO!$B$20*(MAX(0,MIN(3,E764))/3)+PARAMS_MODELO!$B$21*(IFERROR(LN(1+MAX(0,G764))/LN(1+MAX(0,MAX($G$2:$G$1194))),0)))*100*PARAMS_MODELO!$B$8</f>
        <v>6.3772491641758196</v>
      </c>
      <c r="I764" s="8">
        <f>E764-PARAMS_MODELO!$B$5</f>
        <v>0.51603969857790943</v>
      </c>
      <c r="J764" s="5">
        <f>IF(I764&lt;=PARAMS_MODELO!$B$18,0,IF(I764&gt;=PARAMS_MODELO!$B$19,100,100*(I764-PARAMS_MODELO!$B$18)/(PARAMS_MODELO!$B$19-PARAMS_MODELO!$B$18)))*PARAMS_MODELO!$B$9</f>
        <v>15</v>
      </c>
      <c r="K764" s="5">
        <f>IFERROR(CHOOSE(MATCH(PARAMS_MODELO!$B$2,{"Q1","Q2","Q3"},0),LOTO!$D764,LOTO!$F764,LOTO!$H764),0)</f>
        <v>2330000</v>
      </c>
      <c r="L764" s="8">
        <f t="shared" si="266"/>
        <v>4.5943954330684038E-2</v>
      </c>
      <c r="M764" s="5">
        <f>MIN(100,IF(PARAMS_MODELO!$B$23=0,0,100*L764/PARAMS_MODELO!$B$23))*PARAMS_MODELO!$B$10</f>
        <v>13.783186299205211</v>
      </c>
      <c r="N764" s="5">
        <f>IFERROR(VLOOKUP(A764,COMPLIANCE!$A$2:$F$1996,6,0),100)</f>
        <v>99.94</v>
      </c>
      <c r="O764" s="5">
        <f>N764*PARAMS_MODELO!$B$11</f>
        <v>9.9939999999999998</v>
      </c>
      <c r="P764" s="5">
        <f>IFERROR(VLOOKUP(A764,DIGITAL!$A$2:$J$2000,7,0),100)</f>
        <v>72</v>
      </c>
      <c r="Q764" s="5">
        <f>IFERROR(P764,0)*PARAMS_MODELO!$B$12</f>
        <v>7.2</v>
      </c>
      <c r="R764">
        <f t="shared" si="267"/>
        <v>87.354435463381037</v>
      </c>
      <c r="S764" s="5" t="str">
        <f>IFERROR(VLOOKUP(A764,CLIENTE!$A$2:$N$2000,13,0),1)</f>
        <v>Malo</v>
      </c>
      <c r="T764" s="5">
        <f>IFERROR(VLOOKUP(A764,CLIENTE!$A$2:$N$2000,14,0),1)</f>
        <v>0.7</v>
      </c>
      <c r="U764" s="5">
        <f t="shared" si="268"/>
        <v>61.148104824366719</v>
      </c>
      <c r="V764" s="5" t="str">
        <f>IF(U764&gt;=MAX(_xlfn.PERCENTILE.INC($U$2:$U$1194,PARAMS_MODELO!$B$50),PARAMS_MODELO!$B$45),"DIAMANTE",IF(U764&gt;=MAX(_xlfn.PERCENTILE.INC($U$2:$U$1194,PARAMS_MODELO!$B$51),PARAMS_MODELO!$B$46),"PLATINO",IF(U764&gt;=MAX(_xlfn.PERCENTILE.INC($U$2:$U$1194,PARAMS_MODELO!$B$52),PARAMS_MODELO!$B$47),"ORO",IF(U764&gt;=MAX(_xlfn.PERCENTILE.INC($U$2:$U$1194,PARAMS_MODELO!$B$53),PARAMS_MODELO!$B$48),"PLATA",IF(U764&gt;=1,"BRONCE","CERRADO")))))</f>
        <v>PLATA</v>
      </c>
      <c r="W764" s="5" t="str" cm="1">
        <f t="array" ref="W764">_xlfn.XLOOKUP(1, (HIST_SCORE!$B:$B=PARAMS_MODELO!$B$4) * (HIST_SCORE!$C:$C=A764), HIST_SCORE!$E:$E, "No encontrado")</f>
        <v>PLATA</v>
      </c>
      <c r="X764" s="5" t="str">
        <f>_xlfn.LET(_xlpm.act,MATCH(V764,{"DIAMANTE";"PLATINO";"ORO";"PLATA";"BRONCE";"CERRADO"},0),_xlpm.ant,MATCH(W764,{"DIAMANTE";"PLATINO";"ORO";"PLATA";"BRONCE";"CERRADO"},0),IF(_xlpm.act&lt;_xlpm.ant,"Mejora ↑",IF(_xlpm.act&gt;_xlpm.ant,"Baja ↓","Estable →")))</f>
        <v>Estable →</v>
      </c>
      <c r="Y764" s="5">
        <f>IFERROR(U764-SUMIFS(HIST_SCORE!$D:$D,HIST_SCORE!$B:$B,PARAMS_MODELO!$B$4,HIST_SCORE!$C:$C,$A764),"")</f>
        <v>11.241134073533004</v>
      </c>
      <c r="Z764" s="5" t="str">
        <f t="shared" si="269"/>
        <v>↑ Mejora</v>
      </c>
      <c r="AA764" s="5">
        <f t="shared" si="270"/>
        <v>595</v>
      </c>
      <c r="AB764" s="5">
        <f>IFERROR(SUMIFS(HIST_SCORE!$F:$F,HIST_SCORE!$B:$B,PARAMS_MODELO!$B$4,HIST_SCORE!$C:$C,$A764),"")</f>
        <v>773</v>
      </c>
      <c r="AC764" s="5">
        <f t="shared" si="271"/>
        <v>178</v>
      </c>
      <c r="AD764" t="str">
        <f t="shared" si="273"/>
        <v/>
      </c>
      <c r="AE7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764="CERRADO",1,IF(V764="BRONCE",_xlpm.cPl,IF(V764="PLATA",_xlpm.cO,IF(V764="ORO",_xlpm.cP,IF(V764="PLATINO",_xlpm.cD,999))))))</f>
        <v>63.199193273331495</v>
      </c>
      <c r="AF7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764="CERRADO",0,IF(V764="BRONCE",1,IF(V764="PLATA",_xlpm.cPl,IF(V764="ORO",_xlpm.cO,IF(V764="PLATINO",_xlpm.cP,_xlpm.cD))))))</f>
        <v>24.506573482968111</v>
      </c>
      <c r="AG764">
        <f t="shared" si="274"/>
        <v>2.9301263556639583</v>
      </c>
      <c r="AH764" t="str">
        <f t="shared" si="275"/>
        <v>CLIENTE</v>
      </c>
      <c r="AI764" t="str">
        <f t="shared" si="272"/>
        <v>🎯 Para subir de categoría, la eje con mayor impacto probable es CLIENTE (coef T). Acción: reducir quejas, mejorar incógnito y empujar reseñas. ΔR aprox: 2,9</v>
      </c>
      <c r="AJ764" s="26">
        <f>_xlfn.LET(_xlpm.piso,AF764,_xlpm.corte,AE764,_xlpm.prog,IF(_xlpm.corte&lt;=_xlpm.piso,0,MAX(0,MIN(1,(U764-_xlpm.piso)/(_xlpm.corte-_xlpm.piso)))),_xlpm.orden,{"DIAMANTE";"PLATINO";"ORO";"PLATA";"BRONCE";"CERRADO"},_xlpm.act,IFERROR(MATCH(V764,_xlpm.orden,0),6),_xlpm.ant,IFERROR(MATCH(W764,_xlpm.orden,0),6),_xlpm.ajmov,IF(_xlpm.act&lt;_xlpm.ant,0.08,IF(_xlpm.act&gt;_xlpm.ant,-0.08,0)),_xlpm.ajcli,IF(T764&lt;0.95,-0.06,0),_xlpm.prob,MAX(0,MIN(1,_xlpm.prog+_xlpm.ajmov+_xlpm.ajcli)),IF(OR(V764="DIAMANTE",V764="CERRADO"),0,ROUND(_xlpm.prob,2)))</f>
        <v>0.89</v>
      </c>
      <c r="AK764" t="str">
        <f t="shared" si="276"/>
        <v>Faltan 2,9 puntos base para subir a la siguiente categoría</v>
      </c>
      <c r="AL764" t="str">
        <f t="shared" si="277"/>
        <v>Margen de seguridad: 36,6 puntos</v>
      </c>
      <c r="AM764">
        <f t="shared" si="278"/>
        <v>0.36</v>
      </c>
      <c r="AN764" t="str">
        <f t="shared" si="279"/>
        <v>PRIORIDAD BAJA – control normal</v>
      </c>
      <c r="AO764">
        <f t="shared" si="280"/>
        <v>5.9397240777838327</v>
      </c>
      <c r="AP764">
        <f t="shared" si="281"/>
        <v>0.8517695905563526</v>
      </c>
      <c r="AQ764">
        <f t="shared" si="282"/>
        <v>4.2000000000001585E-3</v>
      </c>
      <c r="AR764">
        <f t="shared" si="283"/>
        <v>1.9599999999999997</v>
      </c>
      <c r="AS764">
        <f t="shared" si="284"/>
        <v>26.206330639014315</v>
      </c>
      <c r="AT764" t="str">
        <f t="shared" si="285"/>
        <v>CLIENTE</v>
      </c>
      <c r="AU764">
        <f t="shared" si="286"/>
        <v>26.206330639014315</v>
      </c>
      <c r="AV764" t="str">
        <f t="shared" si="287"/>
        <v>Mayor retorno probable: CLIENTE (+26,2 puntos finales potenciales).</v>
      </c>
    </row>
    <row r="765" spans="1:48" x14ac:dyDescent="0.3">
      <c r="A765" s="5">
        <v>51010191</v>
      </c>
      <c r="B765" s="5" t="str">
        <f>IFERROR(VLOOKUP(A765,VENTAS!$A$2:$B$1194,2,0),"")</f>
        <v>MONTENEGRO</v>
      </c>
      <c r="C765" s="5">
        <f>IFERROR(INDEX(VENTAS!$C$2:$E$1194,MATCH(A765,VENTAS!$A$2:$A$1194,0),MATCH(PARAMS_MODELO!$B$2,{"Q1","Q2","Q3"},0)),0)</f>
        <v>6858502.79</v>
      </c>
      <c r="D765" s="5">
        <f>IFERROR(INDEX(VENTAS!$F$2:$H$1194,MATCH(A765,VENTAS!$A$2:$A$1194,0),MATCH(PARAMS_MODELO!$B$2,{"Q1","Q2","Q3"},0)),0)</f>
        <v>50388179</v>
      </c>
      <c r="E765" s="8">
        <f t="shared" si="264"/>
        <v>6.3468190569912997</v>
      </c>
      <c r="F765" s="12">
        <f>IF(E765&lt;=PARAMS_MODELO!$B$15,0,IF(E765&gt;=PARAMS_MODELO!$B$17,100,100*MIN(1,(E765-PARAMS_MODELO!$B$15)/(PARAMS_MODELO!$B$16-PARAMS_MODELO!$B$15))))*PARAMS_MODELO!$B$7</f>
        <v>35</v>
      </c>
      <c r="G765" s="5">
        <f t="shared" si="265"/>
        <v>43529676.210000001</v>
      </c>
      <c r="H765" s="5">
        <f>(PARAMS_MODELO!$B$20*(MAX(0,MIN(3,E765))/3)+PARAMS_MODELO!$B$21*(IFERROR(LN(1+MAX(0,G765))/LN(1+MAX(0,MAX($G$2:$G$1194))),0)))*100*PARAMS_MODELO!$B$8</f>
        <v>14.623096253959929</v>
      </c>
      <c r="I765" s="8">
        <f>E765-PARAMS_MODELO!$B$5</f>
        <v>6.1692562216157736</v>
      </c>
      <c r="J765" s="5">
        <f>IF(I765&lt;=PARAMS_MODELO!$B$18,0,IF(I765&gt;=PARAMS_MODELO!$B$19,100,100*(I765-PARAMS_MODELO!$B$18)/(PARAMS_MODELO!$B$19-PARAMS_MODELO!$B$18)))*PARAMS_MODELO!$B$9</f>
        <v>15</v>
      </c>
      <c r="K765" s="5">
        <f>IFERROR(CHOOSE(MATCH(PARAMS_MODELO!$B$2,{"Q1","Q2","Q3"},0),LOTO!$D765,LOTO!$F765,LOTO!$H765),0)</f>
        <v>2292500</v>
      </c>
      <c r="L765" s="8">
        <f t="shared" si="266"/>
        <v>4.5496782092482445E-2</v>
      </c>
      <c r="M765" s="5">
        <f>MIN(100,IF(PARAMS_MODELO!$B$23=0,0,100*L765/PARAMS_MODELO!$B$23))*PARAMS_MODELO!$B$10</f>
        <v>13.649034627744731</v>
      </c>
      <c r="N765" s="5">
        <f>IFERROR(VLOOKUP(A765,COMPLIANCE!$A$2:$F$1996,6,0),100)</f>
        <v>99.98</v>
      </c>
      <c r="O765" s="5">
        <f>N765*PARAMS_MODELO!$B$11</f>
        <v>9.9980000000000011</v>
      </c>
      <c r="P765" s="5">
        <f>IFERROR(VLOOKUP(A765,DIGITAL!$A$2:$J$2000,7,0),100)</f>
        <v>91</v>
      </c>
      <c r="Q765" s="5">
        <f>IFERROR(P765,0)*PARAMS_MODELO!$B$12</f>
        <v>9.1</v>
      </c>
      <c r="R765">
        <f t="shared" si="267"/>
        <v>97.370130881704654</v>
      </c>
      <c r="S765" s="5" t="str">
        <f>IFERROR(VLOOKUP(A765,CLIENTE!$A$2:$N$2000,13,0),1)</f>
        <v>Regular</v>
      </c>
      <c r="T765" s="5">
        <f>IFERROR(VLOOKUP(A765,CLIENTE!$A$2:$N$2000,14,0),1)</f>
        <v>1</v>
      </c>
      <c r="U765" s="5">
        <f t="shared" si="268"/>
        <v>97.370130881704654</v>
      </c>
      <c r="V765" s="5" t="str">
        <f>IF(U765&gt;=MAX(_xlfn.PERCENTILE.INC($U$2:$U$1194,PARAMS_MODELO!$B$50),PARAMS_MODELO!$B$45),"DIAMANTE",IF(U765&gt;=MAX(_xlfn.PERCENTILE.INC($U$2:$U$1194,PARAMS_MODELO!$B$51),PARAMS_MODELO!$B$46),"PLATINO",IF(U765&gt;=MAX(_xlfn.PERCENTILE.INC($U$2:$U$1194,PARAMS_MODELO!$B$52),PARAMS_MODELO!$B$47),"ORO",IF(U765&gt;=MAX(_xlfn.PERCENTILE.INC($U$2:$U$1194,PARAMS_MODELO!$B$53),PARAMS_MODELO!$B$48),"PLATA",IF(U765&gt;=1,"BRONCE","CERRADO")))))</f>
        <v>DIAMANTE</v>
      </c>
      <c r="W765" s="5" t="str" cm="1">
        <f t="array" ref="W765">_xlfn.XLOOKUP(1, (HIST_SCORE!$B:$B=PARAMS_MODELO!$B$4) * (HIST_SCORE!$C:$C=A765), HIST_SCORE!$E:$E, "No encontrado")</f>
        <v>DIAMANTE</v>
      </c>
      <c r="X765" s="5" t="str">
        <f>_xlfn.LET(_xlpm.act,MATCH(V765,{"DIAMANTE";"PLATINO";"ORO";"PLATA";"BRONCE";"CERRADO"},0),_xlpm.ant,MATCH(W765,{"DIAMANTE";"PLATINO";"ORO";"PLATA";"BRONCE";"CERRADO"},0),IF(_xlpm.act&lt;_xlpm.ant,"Mejora ↑",IF(_xlpm.act&gt;_xlpm.ant,"Baja ↓","Estable →")))</f>
        <v>Estable →</v>
      </c>
      <c r="Y765" s="5">
        <f>IFERROR(U765-SUMIFS(HIST_SCORE!$D:$D,HIST_SCORE!$B:$B,PARAMS_MODELO!$B$4,HIST_SCORE!$C:$C,$A765),"")</f>
        <v>-1.1799470703830792</v>
      </c>
      <c r="Z765" s="5" t="str">
        <f t="shared" si="269"/>
        <v>→ Estable</v>
      </c>
      <c r="AA765" s="5">
        <f t="shared" si="270"/>
        <v>43</v>
      </c>
      <c r="AB765" s="5">
        <f>IFERROR(SUMIFS(HIST_SCORE!$F:$F,HIST_SCORE!$B:$B,PARAMS_MODELO!$B$4,HIST_SCORE!$C:$C,$A765),"")</f>
        <v>26</v>
      </c>
      <c r="AC765" s="5">
        <f t="shared" si="271"/>
        <v>-17</v>
      </c>
      <c r="AD765" t="str">
        <f t="shared" si="273"/>
        <v/>
      </c>
      <c r="AE7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765="CERRADO",1,IF(V765="BRONCE",_xlpm.cPl,IF(V765="PLATA",_xlpm.cO,IF(V765="ORO",_xlpm.cP,IF(V765="PLATINO",_xlpm.cD,999))))))</f>
        <v>999</v>
      </c>
      <c r="AF7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765="CERRADO",0,IF(V765="BRONCE",1,IF(V765="PLATA",_xlpm.cPl,IF(V765="ORO",_xlpm.cO,IF(V765="PLATINO",_xlpm.cP,_xlpm.cD))))))</f>
        <v>96.054919694466676</v>
      </c>
      <c r="AG765">
        <f t="shared" si="274"/>
        <v>901.62986911829535</v>
      </c>
      <c r="AH765" t="str">
        <f t="shared" si="275"/>
        <v>SOSTENER</v>
      </c>
      <c r="AI765" t="str">
        <f t="shared" si="272"/>
        <v>✅ Mantener desempeño y monitorear variaciones para sostener categoría.</v>
      </c>
      <c r="AJ765" s="26">
        <f>_xlfn.LET(_xlpm.piso,AF765,_xlpm.corte,AE765,_xlpm.prog,IF(_xlpm.corte&lt;=_xlpm.piso,0,MAX(0,MIN(1,(U765-_xlpm.piso)/(_xlpm.corte-_xlpm.piso)))),_xlpm.orden,{"DIAMANTE";"PLATINO";"ORO";"PLATA";"BRONCE";"CERRADO"},_xlpm.act,IFERROR(MATCH(V765,_xlpm.orden,0),6),_xlpm.ant,IFERROR(MATCH(W765,_xlpm.orden,0),6),_xlpm.ajmov,IF(_xlpm.act&lt;_xlpm.ant,0.08,IF(_xlpm.act&gt;_xlpm.ant,-0.08,0)),_xlpm.ajcli,IF(T765&lt;0.95,-0.06,0),_xlpm.prob,MAX(0,MIN(1,_xlpm.prog+_xlpm.ajmov+_xlpm.ajcli)),IF(OR(V765="DIAMANTE",V765="CERRADO"),0,ROUND(_xlpm.prob,2)))</f>
        <v>0</v>
      </c>
      <c r="AK765" t="str">
        <f t="shared" si="276"/>
        <v>No aplica</v>
      </c>
      <c r="AL765" t="str">
        <f t="shared" si="277"/>
        <v>Margen de seguridad: 1,3 puntos</v>
      </c>
      <c r="AM765">
        <f t="shared" si="278"/>
        <v>0.8</v>
      </c>
      <c r="AN765" t="str">
        <f t="shared" si="279"/>
        <v>PRIORIDAD ALTA – requiere intervención inmediata</v>
      </c>
      <c r="AO765">
        <f t="shared" si="280"/>
        <v>0.23947302133565529</v>
      </c>
      <c r="AP765">
        <f t="shared" si="281"/>
        <v>1.3509653722552688</v>
      </c>
      <c r="AQ765">
        <f t="shared" si="282"/>
        <v>1.9999999999988916E-3</v>
      </c>
      <c r="AR765">
        <f t="shared" si="283"/>
        <v>0.90000000000000036</v>
      </c>
      <c r="AS765">
        <f t="shared" si="284"/>
        <v>0</v>
      </c>
      <c r="AT765" t="str">
        <f t="shared" si="285"/>
        <v>LOTO</v>
      </c>
      <c r="AU765">
        <f t="shared" si="286"/>
        <v>1.3509653722552688</v>
      </c>
      <c r="AV765" t="str">
        <f t="shared" si="287"/>
        <v>Mayor retorno probable: LOTO (+1,4 puntos finales potenciales).</v>
      </c>
    </row>
    <row r="766" spans="1:48" x14ac:dyDescent="0.3">
      <c r="A766" s="5">
        <v>51013051</v>
      </c>
      <c r="B766" s="5" t="str">
        <f>IFERROR(VLOOKUP(A766,VENTAS!$A$2:$B$1194,2,0),"")</f>
        <v>ARGUELLO</v>
      </c>
      <c r="C766" s="5">
        <f>IFERROR(INDEX(VENTAS!$C$2:$E$1194,MATCH(A766,VENTAS!$A$2:$A$1194,0),MATCH(PARAMS_MODELO!$B$2,{"Q1","Q2","Q3"},0)),0)</f>
        <v>52010487.200000003</v>
      </c>
      <c r="D766" s="5">
        <f>IFERROR(INDEX(VENTAS!$F$2:$H$1194,MATCH(A766,VENTAS!$A$2:$A$1194,0),MATCH(PARAMS_MODELO!$B$2,{"Q1","Q2","Q3"},0)),0)</f>
        <v>50377825</v>
      </c>
      <c r="E766" s="8">
        <f t="shared" si="264"/>
        <v>-3.1391019155844413E-2</v>
      </c>
      <c r="F766" s="12">
        <f>IF(E766&lt;=PARAMS_MODELO!$B$15,0,IF(E766&gt;=PARAMS_MODELO!$B$17,100,100*MIN(1,(E766-PARAMS_MODELO!$B$15)/(PARAMS_MODELO!$B$16-PARAMS_MODELO!$B$15))))*PARAMS_MODELO!$B$7</f>
        <v>0</v>
      </c>
      <c r="G766" s="5">
        <f t="shared" si="265"/>
        <v>0</v>
      </c>
      <c r="H766" s="5">
        <f>(PARAMS_MODELO!$B$20*(MAX(0,MIN(3,E766))/3)+PARAMS_MODELO!$B$21*(IFERROR(LN(1+MAX(0,G766))/LN(1+MAX(0,MAX($G$2:$G$1194))),0)))*100*PARAMS_MODELO!$B$8</f>
        <v>0</v>
      </c>
      <c r="I766" s="8">
        <f>E766-PARAMS_MODELO!$B$5</f>
        <v>-0.20895385453137094</v>
      </c>
      <c r="J766" s="5">
        <f>IF(I766&lt;=PARAMS_MODELO!$B$18,0,IF(I766&gt;=PARAMS_MODELO!$B$19,100,100*(I766-PARAMS_MODELO!$B$18)/(PARAMS_MODELO!$B$19-PARAMS_MODELO!$B$18)))*PARAMS_MODELO!$B$9</f>
        <v>0</v>
      </c>
      <c r="K766" s="5">
        <f>IFERROR(CHOOSE(MATCH(PARAMS_MODELO!$B$2,{"Q1","Q2","Q3"},0),LOTO!$D766,LOTO!$F766,LOTO!$H766),0)</f>
        <v>2290000</v>
      </c>
      <c r="L766" s="8">
        <f t="shared" si="266"/>
        <v>4.5456507898068245E-2</v>
      </c>
      <c r="M766" s="5">
        <f>MIN(100,IF(PARAMS_MODELO!$B$23=0,0,100*L766/PARAMS_MODELO!$B$23))*PARAMS_MODELO!$B$10</f>
        <v>13.636952369420474</v>
      </c>
      <c r="N766" s="5">
        <f>IFERROR(VLOOKUP(A766,COMPLIANCE!$A$2:$F$1996,6,0),100)</f>
        <v>100</v>
      </c>
      <c r="O766" s="5">
        <f>N766*PARAMS_MODELO!$B$11</f>
        <v>10</v>
      </c>
      <c r="P766" s="5">
        <f>IFERROR(VLOOKUP(A766,DIGITAL!$A$2:$J$2000,7,0),100)</f>
        <v>86</v>
      </c>
      <c r="Q766" s="5">
        <f>IFERROR(P766,0)*PARAMS_MODELO!$B$12</f>
        <v>8.6</v>
      </c>
      <c r="R766">
        <f t="shared" si="267"/>
        <v>32.236952369420472</v>
      </c>
      <c r="S766" s="5" t="str">
        <f>IFERROR(VLOOKUP(A766,CLIENTE!$A$2:$N$2000,13,0),1)</f>
        <v>Malo</v>
      </c>
      <c r="T766" s="5">
        <f>IFERROR(VLOOKUP(A766,CLIENTE!$A$2:$N$2000,14,0),1)</f>
        <v>0.7</v>
      </c>
      <c r="U766" s="5">
        <f t="shared" si="268"/>
        <v>22.565866658594327</v>
      </c>
      <c r="V766" s="5" t="str">
        <f>IF(U766&gt;=MAX(_xlfn.PERCENTILE.INC($U$2:$U$1194,PARAMS_MODELO!$B$50),PARAMS_MODELO!$B$45),"DIAMANTE",IF(U766&gt;=MAX(_xlfn.PERCENTILE.INC($U$2:$U$1194,PARAMS_MODELO!$B$51),PARAMS_MODELO!$B$46),"PLATINO",IF(U766&gt;=MAX(_xlfn.PERCENTILE.INC($U$2:$U$1194,PARAMS_MODELO!$B$52),PARAMS_MODELO!$B$47),"ORO",IF(U766&gt;=MAX(_xlfn.PERCENTILE.INC($U$2:$U$1194,PARAMS_MODELO!$B$53),PARAMS_MODELO!$B$48),"PLATA",IF(U766&gt;=1,"BRONCE","CERRADO")))))</f>
        <v>BRONCE</v>
      </c>
      <c r="W766" s="5" t="str" cm="1">
        <f t="array" ref="W766">_xlfn.XLOOKUP(1, (HIST_SCORE!$B:$B=PARAMS_MODELO!$B$4) * (HIST_SCORE!$C:$C=A766), HIST_SCORE!$E:$E, "No encontrado")</f>
        <v>PLATA</v>
      </c>
      <c r="X766" s="5" t="str">
        <f>_xlfn.LET(_xlpm.act,MATCH(V766,{"DIAMANTE";"PLATINO";"ORO";"PLATA";"BRONCE";"CERRADO"},0),_xlpm.ant,MATCH(W766,{"DIAMANTE";"PLATINO";"ORO";"PLATA";"BRONCE";"CERRADO"},0),IF(_xlpm.act&lt;_xlpm.ant,"Mejora ↑",IF(_xlpm.act&gt;_xlpm.ant,"Baja ↓","Estable →")))</f>
        <v>Baja ↓</v>
      </c>
      <c r="Y766" s="5">
        <f>IFERROR(U766-SUMIFS(HIST_SCORE!$D:$D,HIST_SCORE!$B:$B,PARAMS_MODELO!$B$4,HIST_SCORE!$C:$C,$A766),"")</f>
        <v>-36.920570775972138</v>
      </c>
      <c r="Z766" s="5" t="str">
        <f t="shared" si="269"/>
        <v>↓ Baja</v>
      </c>
      <c r="AA766" s="5">
        <f t="shared" si="270"/>
        <v>941</v>
      </c>
      <c r="AB766" s="5">
        <f>IFERROR(SUMIFS(HIST_SCORE!$F:$F,HIST_SCORE!$B:$B,PARAMS_MODELO!$B$4,HIST_SCORE!$C:$C,$A766),"")</f>
        <v>659</v>
      </c>
      <c r="AC766" s="5">
        <f t="shared" si="271"/>
        <v>-282</v>
      </c>
      <c r="AD766" t="str">
        <f t="shared" si="273"/>
        <v>Plan de recuperación: foco crecimiento + mix</v>
      </c>
      <c r="AE7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766="CERRADO",1,IF(V766="BRONCE",_xlpm.cPl,IF(V766="PLATA",_xlpm.cO,IF(V766="ORO",_xlpm.cP,IF(V766="PLATINO",_xlpm.cD,999))))))</f>
        <v>24.506573482968111</v>
      </c>
      <c r="AF7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766="CERRADO",0,IF(V766="BRONCE",1,IF(V766="PLATA",_xlpm.cPl,IF(V766="ORO",_xlpm.cO,IF(V766="PLATINO",_xlpm.cP,_xlpm.cD))))))</f>
        <v>1</v>
      </c>
      <c r="AG766">
        <f t="shared" si="274"/>
        <v>2.772438320533972</v>
      </c>
      <c r="AH766" t="str">
        <f t="shared" si="275"/>
        <v>CLIENTE</v>
      </c>
      <c r="AI766" t="str">
        <f t="shared" si="272"/>
        <v>🎯 Para subir de categoría, la eje con mayor impacto probable es CLIENTE (coef T). Acción: reducir quejas, mejorar incógnito y empujar reseñas. ΔR aprox: 2,8</v>
      </c>
      <c r="AJ766" s="26">
        <f>_xlfn.LET(_xlpm.piso,AF766,_xlpm.corte,AE766,_xlpm.prog,IF(_xlpm.corte&lt;=_xlpm.piso,0,MAX(0,MIN(1,(U766-_xlpm.piso)/(_xlpm.corte-_xlpm.piso)))),_xlpm.orden,{"DIAMANTE";"PLATINO";"ORO";"PLATA";"BRONCE";"CERRADO"},_xlpm.act,IFERROR(MATCH(V766,_xlpm.orden,0),6),_xlpm.ant,IFERROR(MATCH(W766,_xlpm.orden,0),6),_xlpm.ajmov,IF(_xlpm.act&lt;_xlpm.ant,0.08,IF(_xlpm.act&gt;_xlpm.ant,-0.08,0)),_xlpm.ajcli,IF(T766&lt;0.95,-0.06,0),_xlpm.prob,MAX(0,MIN(1,_xlpm.prog+_xlpm.ajmov+_xlpm.ajcli)),IF(OR(V766="DIAMANTE",V766="CERRADO"),0,ROUND(_xlpm.prob,2)))</f>
        <v>0.78</v>
      </c>
      <c r="AK766" t="str">
        <f t="shared" si="276"/>
        <v>Faltan 2,8 puntos base para subir a la siguiente categoría</v>
      </c>
      <c r="AL766" t="str">
        <f t="shared" si="277"/>
        <v>No aplica</v>
      </c>
      <c r="AM766">
        <f t="shared" si="278"/>
        <v>0.4</v>
      </c>
      <c r="AN766" t="str">
        <f t="shared" si="279"/>
        <v>PRIORIDAD MEDIA – seguimiento del asesor</v>
      </c>
      <c r="AO766">
        <f t="shared" si="280"/>
        <v>45.403798492706905</v>
      </c>
      <c r="AP766">
        <f t="shared" si="281"/>
        <v>0.9541333414056683</v>
      </c>
      <c r="AQ766">
        <f t="shared" si="282"/>
        <v>0</v>
      </c>
      <c r="AR766">
        <f t="shared" si="283"/>
        <v>0.9800000000000002</v>
      </c>
      <c r="AS766">
        <f t="shared" si="284"/>
        <v>9.6710857108261425</v>
      </c>
      <c r="AT766" t="str">
        <f t="shared" si="285"/>
        <v>VENTAS</v>
      </c>
      <c r="AU766">
        <f t="shared" si="286"/>
        <v>45.403798492706905</v>
      </c>
      <c r="AV766" t="str">
        <f t="shared" si="287"/>
        <v>Mayor retorno probable: VENTAS (+45,4 puntos finales potenciales).</v>
      </c>
    </row>
    <row r="767" spans="1:48" x14ac:dyDescent="0.3">
      <c r="A767" s="5">
        <v>51032632</v>
      </c>
      <c r="B767" s="5" t="str">
        <f>IFERROR(VLOOKUP(A767,VENTAS!$A$2:$B$1194,2,0),"")</f>
        <v>LÓPEZ</v>
      </c>
      <c r="C767" s="5">
        <f>IFERROR(INDEX(VENTAS!$C$2:$E$1194,MATCH(A767,VENTAS!$A$2:$A$1194,0),MATCH(PARAMS_MODELO!$B$2,{"Q1","Q2","Q3"},0)),0)</f>
        <v>32918649.449999999</v>
      </c>
      <c r="D767" s="5">
        <f>IFERROR(INDEX(VENTAS!$F$2:$H$1194,MATCH(A767,VENTAS!$A$2:$A$1194,0),MATCH(PARAMS_MODELO!$B$2,{"Q1","Q2","Q3"},0)),0)</f>
        <v>50202682</v>
      </c>
      <c r="E767" s="8">
        <f t="shared" si="264"/>
        <v>0.52505290583845632</v>
      </c>
      <c r="F767" s="12">
        <f>IF(E767&lt;=PARAMS_MODELO!$B$15,0,IF(E767&gt;=PARAMS_MODELO!$B$17,100,100*MIN(1,(E767-PARAMS_MODELO!$B$15)/(PARAMS_MODELO!$B$16-PARAMS_MODELO!$B$15))))*PARAMS_MODELO!$B$7</f>
        <v>35</v>
      </c>
      <c r="G767" s="5">
        <f t="shared" si="265"/>
        <v>17284032.550000001</v>
      </c>
      <c r="H767" s="5">
        <f>(PARAMS_MODELO!$B$20*(MAX(0,MIN(3,E767))/3)+PARAMS_MODELO!$B$21*(IFERROR(LN(1+MAX(0,G767))/LN(1+MAX(0,MAX($G$2:$G$1194))),0)))*100*PARAMS_MODELO!$B$8</f>
        <v>5.7442626767917817</v>
      </c>
      <c r="I767" s="8">
        <f>E767-PARAMS_MODELO!$B$5</f>
        <v>0.34749007046292979</v>
      </c>
      <c r="J767" s="5">
        <f>IF(I767&lt;=PARAMS_MODELO!$B$18,0,IF(I767&gt;=PARAMS_MODELO!$B$19,100,100*(I767-PARAMS_MODELO!$B$18)/(PARAMS_MODELO!$B$19-PARAMS_MODELO!$B$18)))*PARAMS_MODELO!$B$9</f>
        <v>15</v>
      </c>
      <c r="K767" s="5">
        <f>IFERROR(CHOOSE(MATCH(PARAMS_MODELO!$B$2,{"Q1","Q2","Q3"},0),LOTO!$D767,LOTO!$F767,LOTO!$H767),0)</f>
        <v>2285000</v>
      </c>
      <c r="L767" s="8">
        <f t="shared" si="266"/>
        <v>4.5515496562514329E-2</v>
      </c>
      <c r="M767" s="5">
        <f>MIN(100,IF(PARAMS_MODELO!$B$23=0,0,100*L767/PARAMS_MODELO!$B$23))*PARAMS_MODELO!$B$10</f>
        <v>13.654648968754298</v>
      </c>
      <c r="N767" s="5">
        <f>IFERROR(VLOOKUP(A767,COMPLIANCE!$A$2:$F$1996,6,0),100)</f>
        <v>100</v>
      </c>
      <c r="O767" s="5">
        <f>N767*PARAMS_MODELO!$B$11</f>
        <v>10</v>
      </c>
      <c r="P767" s="5">
        <f>IFERROR(VLOOKUP(A767,DIGITAL!$A$2:$J$2000,7,0),100)</f>
        <v>100</v>
      </c>
      <c r="Q767" s="5">
        <f>IFERROR(P767,0)*PARAMS_MODELO!$B$12</f>
        <v>10</v>
      </c>
      <c r="R767">
        <f t="shared" si="267"/>
        <v>89.398911645546079</v>
      </c>
      <c r="S767" s="5" t="str">
        <f>IFERROR(VLOOKUP(A767,CLIENTE!$A$2:$N$2000,13,0),1)</f>
        <v>Malo</v>
      </c>
      <c r="T767" s="5">
        <f>IFERROR(VLOOKUP(A767,CLIENTE!$A$2:$N$2000,14,0),1)</f>
        <v>0.7</v>
      </c>
      <c r="U767" s="5">
        <f t="shared" si="268"/>
        <v>62.579238151882251</v>
      </c>
      <c r="V767" s="5" t="str">
        <f>IF(U767&gt;=MAX(_xlfn.PERCENTILE.INC($U$2:$U$1194,PARAMS_MODELO!$B$50),PARAMS_MODELO!$B$45),"DIAMANTE",IF(U767&gt;=MAX(_xlfn.PERCENTILE.INC($U$2:$U$1194,PARAMS_MODELO!$B$51),PARAMS_MODELO!$B$46),"PLATINO",IF(U767&gt;=MAX(_xlfn.PERCENTILE.INC($U$2:$U$1194,PARAMS_MODELO!$B$52),PARAMS_MODELO!$B$47),"ORO",IF(U767&gt;=MAX(_xlfn.PERCENTILE.INC($U$2:$U$1194,PARAMS_MODELO!$B$53),PARAMS_MODELO!$B$48),"PLATA",IF(U767&gt;=1,"BRONCE","CERRADO")))))</f>
        <v>PLATA</v>
      </c>
      <c r="W767" s="5" t="str" cm="1">
        <f t="array" ref="W767">_xlfn.XLOOKUP(1, (HIST_SCORE!$B:$B=PARAMS_MODELO!$B$4) * (HIST_SCORE!$C:$C=A767), HIST_SCORE!$E:$E, "No encontrado")</f>
        <v>PLATA</v>
      </c>
      <c r="X767" s="5" t="str">
        <f>_xlfn.LET(_xlpm.act,MATCH(V767,{"DIAMANTE";"PLATINO";"ORO";"PLATA";"BRONCE";"CERRADO"},0),_xlpm.ant,MATCH(W767,{"DIAMANTE";"PLATINO";"ORO";"PLATA";"BRONCE";"CERRADO"},0),IF(_xlpm.act&lt;_xlpm.ant,"Mejora ↑",IF(_xlpm.act&gt;_xlpm.ant,"Baja ↓","Estable →")))</f>
        <v>Estable →</v>
      </c>
      <c r="Y767" s="5">
        <f>IFERROR(U767-SUMIFS(HIST_SCORE!$D:$D,HIST_SCORE!$B:$B,PARAMS_MODELO!$B$4,HIST_SCORE!$C:$C,$A767),"")</f>
        <v>0.6549679264504249</v>
      </c>
      <c r="Z767" s="5" t="str">
        <f t="shared" si="269"/>
        <v>→ Estable</v>
      </c>
      <c r="AA767" s="5">
        <f t="shared" si="270"/>
        <v>567</v>
      </c>
      <c r="AB767" s="5">
        <f>IFERROR(SUMIFS(HIST_SCORE!$F:$F,HIST_SCORE!$B:$B,PARAMS_MODELO!$B$4,HIST_SCORE!$C:$C,$A767),"")</f>
        <v>613</v>
      </c>
      <c r="AC767" s="5">
        <f t="shared" si="271"/>
        <v>46</v>
      </c>
      <c r="AD767" t="str">
        <f t="shared" si="273"/>
        <v/>
      </c>
      <c r="AE7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767="CERRADO",1,IF(V767="BRONCE",_xlpm.cPl,IF(V767="PLATA",_xlpm.cO,IF(V767="ORO",_xlpm.cP,IF(V767="PLATINO",_xlpm.cD,999))))))</f>
        <v>63.199193273331495</v>
      </c>
      <c r="AF7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767="CERRADO",0,IF(V767="BRONCE",1,IF(V767="PLATA",_xlpm.cPl,IF(V767="ORO",_xlpm.cO,IF(V767="PLATINO",_xlpm.cP,_xlpm.cD))))))</f>
        <v>24.506573482968111</v>
      </c>
      <c r="AG767">
        <f t="shared" si="274"/>
        <v>0.88565017349891662</v>
      </c>
      <c r="AH767" t="str">
        <f t="shared" si="275"/>
        <v>CLIENTE</v>
      </c>
      <c r="AI767" t="str">
        <f t="shared" si="272"/>
        <v>🎯 Para subir de categoría, la eje con mayor impacto probable es CLIENTE (coef T). Acción: reducir quejas, mejorar incógnito y empujar reseñas. ΔR aprox: 0,9</v>
      </c>
      <c r="AJ767" s="26">
        <f>_xlfn.LET(_xlpm.piso,AF767,_xlpm.corte,AE767,_xlpm.prog,IF(_xlpm.corte&lt;=_xlpm.piso,0,MAX(0,MIN(1,(U767-_xlpm.piso)/(_xlpm.corte-_xlpm.piso)))),_xlpm.orden,{"DIAMANTE";"PLATINO";"ORO";"PLATA";"BRONCE";"CERRADO"},_xlpm.act,IFERROR(MATCH(V767,_xlpm.orden,0),6),_xlpm.ant,IFERROR(MATCH(W767,_xlpm.orden,0),6),_xlpm.ajmov,IF(_xlpm.act&lt;_xlpm.ant,0.08,IF(_xlpm.act&gt;_xlpm.ant,-0.08,0)),_xlpm.ajcli,IF(T767&lt;0.95,-0.06,0),_xlpm.prob,MAX(0,MIN(1,_xlpm.prog+_xlpm.ajmov+_xlpm.ajcli)),IF(OR(V767="DIAMANTE",V767="CERRADO"),0,ROUND(_xlpm.prob,2)))</f>
        <v>0.92</v>
      </c>
      <c r="AK767" t="str">
        <f t="shared" si="276"/>
        <v>Faltan 0,9 puntos base para subir a la siguiente categoría</v>
      </c>
      <c r="AL767" t="str">
        <f t="shared" si="277"/>
        <v>Margen de seguridad: 38,1 puntos</v>
      </c>
      <c r="AM767">
        <f t="shared" si="278"/>
        <v>0.27</v>
      </c>
      <c r="AN767" t="str">
        <f t="shared" si="279"/>
        <v>PRIORIDAD BAJA – control normal</v>
      </c>
      <c r="AO767">
        <f t="shared" si="280"/>
        <v>6.3828146189526596</v>
      </c>
      <c r="AP767">
        <f t="shared" si="281"/>
        <v>0.94174572187199135</v>
      </c>
      <c r="AQ767">
        <f t="shared" si="282"/>
        <v>0</v>
      </c>
      <c r="AR767">
        <f t="shared" si="283"/>
        <v>0</v>
      </c>
      <c r="AS767">
        <f t="shared" si="284"/>
        <v>26.819673493663828</v>
      </c>
      <c r="AT767" t="str">
        <f t="shared" si="285"/>
        <v>CLIENTE</v>
      </c>
      <c r="AU767">
        <f t="shared" si="286"/>
        <v>26.819673493663828</v>
      </c>
      <c r="AV767" t="str">
        <f t="shared" si="287"/>
        <v>Mayor retorno probable: CLIENTE (+26,8 puntos finales potenciales).</v>
      </c>
    </row>
    <row r="768" spans="1:48" x14ac:dyDescent="0.3">
      <c r="A768" s="5">
        <v>51026322</v>
      </c>
      <c r="B768" s="5" t="str">
        <f>IFERROR(VLOOKUP(A768,VENTAS!$A$2:$B$1194,2,0),"")</f>
        <v>MONTENEGRO</v>
      </c>
      <c r="C768" s="5">
        <f>IFERROR(INDEX(VENTAS!$C$2:$E$1194,MATCH(A768,VENTAS!$A$2:$A$1194,0),MATCH(PARAMS_MODELO!$B$2,{"Q1","Q2","Q3"},0)),0)</f>
        <v>42921472.670000002</v>
      </c>
      <c r="D768" s="5">
        <f>IFERROR(INDEX(VENTAS!$F$2:$H$1194,MATCH(A768,VENTAS!$A$2:$A$1194,0),MATCH(PARAMS_MODELO!$B$2,{"Q1","Q2","Q3"},0)),0)</f>
        <v>50086277</v>
      </c>
      <c r="E768" s="8">
        <f t="shared" si="264"/>
        <v>0.16692820363099625</v>
      </c>
      <c r="F768" s="12">
        <f>IF(E768&lt;=PARAMS_MODELO!$B$15,0,IF(E768&gt;=PARAMS_MODELO!$B$17,100,100*MIN(1,(E768-PARAMS_MODELO!$B$15)/(PARAMS_MODELO!$B$16-PARAMS_MODELO!$B$15))))*PARAMS_MODELO!$B$7</f>
        <v>35</v>
      </c>
      <c r="G768" s="5">
        <f t="shared" si="265"/>
        <v>7164804.3299999982</v>
      </c>
      <c r="H768" s="5">
        <f>(PARAMS_MODELO!$B$20*(MAX(0,MIN(3,E768))/3)+PARAMS_MODELO!$B$21*(IFERROR(LN(1+MAX(0,G768))/LN(1+MAX(0,MAX($G$2:$G$1194))),0)))*100*PARAMS_MODELO!$B$8</f>
        <v>4.2844007536671542</v>
      </c>
      <c r="I768" s="8">
        <f>E768-PARAMS_MODELO!$B$5</f>
        <v>-1.0634631744530276E-2</v>
      </c>
      <c r="J768" s="5">
        <f>IF(I768&lt;=PARAMS_MODELO!$B$18,0,IF(I768&gt;=PARAMS_MODELO!$B$19,100,100*(I768-PARAMS_MODELO!$B$18)/(PARAMS_MODELO!$B$19-PARAMS_MODELO!$B$18)))*PARAMS_MODELO!$B$9</f>
        <v>5.904805238320459</v>
      </c>
      <c r="K768" s="5">
        <f>IFERROR(CHOOSE(MATCH(PARAMS_MODELO!$B$2,{"Q1","Q2","Q3"},0),LOTO!$D768,LOTO!$F768,LOTO!$H768),0)</f>
        <v>2282500</v>
      </c>
      <c r="L768" s="8">
        <f t="shared" si="266"/>
        <v>4.5571364787205089E-2</v>
      </c>
      <c r="M768" s="5">
        <f>MIN(100,IF(PARAMS_MODELO!$B$23=0,0,100*L768/PARAMS_MODELO!$B$23))*PARAMS_MODELO!$B$10</f>
        <v>13.671409436161527</v>
      </c>
      <c r="N768" s="5">
        <f>IFERROR(VLOOKUP(A768,COMPLIANCE!$A$2:$F$1996,6,0),100)</f>
        <v>100</v>
      </c>
      <c r="O768" s="5">
        <f>N768*PARAMS_MODELO!$B$11</f>
        <v>10</v>
      </c>
      <c r="P768" s="5">
        <f>IFERROR(VLOOKUP(A768,DIGITAL!$A$2:$J$2000,7,0),100)</f>
        <v>19</v>
      </c>
      <c r="Q768" s="5">
        <f>IFERROR(P768,0)*PARAMS_MODELO!$B$12</f>
        <v>1.9000000000000001</v>
      </c>
      <c r="R768">
        <f t="shared" si="267"/>
        <v>70.760615428149151</v>
      </c>
      <c r="S768" s="5" t="str">
        <f>IFERROR(VLOOKUP(A768,CLIENTE!$A$2:$N$2000,13,0),1)</f>
        <v>Regular</v>
      </c>
      <c r="T768" s="5">
        <f>IFERROR(VLOOKUP(A768,CLIENTE!$A$2:$N$2000,14,0),1)</f>
        <v>1</v>
      </c>
      <c r="U768" s="5">
        <f t="shared" si="268"/>
        <v>70.760615428149151</v>
      </c>
      <c r="V768" s="5" t="str">
        <f>IF(U768&gt;=MAX(_xlfn.PERCENTILE.INC($U$2:$U$1194,PARAMS_MODELO!$B$50),PARAMS_MODELO!$B$45),"DIAMANTE",IF(U768&gt;=MAX(_xlfn.PERCENTILE.INC($U$2:$U$1194,PARAMS_MODELO!$B$51),PARAMS_MODELO!$B$46),"PLATINO",IF(U768&gt;=MAX(_xlfn.PERCENTILE.INC($U$2:$U$1194,PARAMS_MODELO!$B$52),PARAMS_MODELO!$B$47),"ORO",IF(U768&gt;=MAX(_xlfn.PERCENTILE.INC($U$2:$U$1194,PARAMS_MODELO!$B$53),PARAMS_MODELO!$B$48),"PLATA",IF(U768&gt;=1,"BRONCE","CERRADO")))))</f>
        <v>ORO</v>
      </c>
      <c r="W768" s="5" t="str" cm="1">
        <f t="array" ref="W768">_xlfn.XLOOKUP(1, (HIST_SCORE!$B:$B=PARAMS_MODELO!$B$4) * (HIST_SCORE!$C:$C=A768), HIST_SCORE!$E:$E, "No encontrado")</f>
        <v>ORO</v>
      </c>
      <c r="X768" s="5" t="str">
        <f>_xlfn.LET(_xlpm.act,MATCH(V768,{"DIAMANTE";"PLATINO";"ORO";"PLATA";"BRONCE";"CERRADO"},0),_xlpm.ant,MATCH(W768,{"DIAMANTE";"PLATINO";"ORO";"PLATA";"BRONCE";"CERRADO"},0),IF(_xlpm.act&lt;_xlpm.ant,"Mejora ↑",IF(_xlpm.act&gt;_xlpm.ant,"Baja ↓","Estable →")))</f>
        <v>Estable →</v>
      </c>
      <c r="Y768" s="5">
        <f>IFERROR(U768-SUMIFS(HIST_SCORE!$D:$D,HIST_SCORE!$B:$B,PARAMS_MODELO!$B$4,HIST_SCORE!$C:$C,$A768),"")</f>
        <v>-7.8074724856667217</v>
      </c>
      <c r="Z768" s="5" t="str">
        <f t="shared" si="269"/>
        <v>↓ Baja</v>
      </c>
      <c r="AA768" s="5">
        <f t="shared" si="270"/>
        <v>509</v>
      </c>
      <c r="AB768" s="5">
        <f>IFERROR(SUMIFS(HIST_SCORE!$F:$F,HIST_SCORE!$B:$B,PARAMS_MODELO!$B$4,HIST_SCORE!$C:$C,$A768),"")</f>
        <v>443</v>
      </c>
      <c r="AC768" s="5">
        <f t="shared" si="271"/>
        <v>-66</v>
      </c>
      <c r="AD768" t="str">
        <f t="shared" si="273"/>
        <v>Sostener base y reforzar mix</v>
      </c>
      <c r="AE7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768="CERRADO",1,IF(V768="BRONCE",_xlpm.cPl,IF(V768="PLATA",_xlpm.cO,IF(V768="ORO",_xlpm.cP,IF(V768="PLATINO",_xlpm.cD,999))))))</f>
        <v>86.439123873763251</v>
      </c>
      <c r="AF7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768="CERRADO",0,IF(V768="BRONCE",1,IF(V768="PLATA",_xlpm.cPl,IF(V768="ORO",_xlpm.cO,IF(V768="PLATINO",_xlpm.cP,_xlpm.cD))))))</f>
        <v>63.199193273331495</v>
      </c>
      <c r="AG768">
        <f t="shared" si="274"/>
        <v>15.678508445614099</v>
      </c>
      <c r="AH768" t="str">
        <f t="shared" si="275"/>
        <v>VENTAS</v>
      </c>
      <c r="AI768" t="str">
        <f t="shared" si="272"/>
        <v>🎯 Para subir de categoría, eje VENTAS / IMPACTO ABSOLUTO (H). Acción: metas semanales + activación comercial + seguimiento del asesor. ΔR aprox: 15,7</v>
      </c>
      <c r="AJ768" s="26">
        <f>_xlfn.LET(_xlpm.piso,AF768,_xlpm.corte,AE768,_xlpm.prog,IF(_xlpm.corte&lt;=_xlpm.piso,0,MAX(0,MIN(1,(U768-_xlpm.piso)/(_xlpm.corte-_xlpm.piso)))),_xlpm.orden,{"DIAMANTE";"PLATINO";"ORO";"PLATA";"BRONCE";"CERRADO"},_xlpm.act,IFERROR(MATCH(V768,_xlpm.orden,0),6),_xlpm.ant,IFERROR(MATCH(W768,_xlpm.orden,0),6),_xlpm.ajmov,IF(_xlpm.act&lt;_xlpm.ant,0.08,IF(_xlpm.act&gt;_xlpm.ant,-0.08,0)),_xlpm.ajcli,IF(T768&lt;0.95,-0.06,0),_xlpm.prob,MAX(0,MIN(1,_xlpm.prog+_xlpm.ajmov+_xlpm.ajcli)),IF(OR(V768="DIAMANTE",V768="CERRADO"),0,ROUND(_xlpm.prob,2)))</f>
        <v>0.33</v>
      </c>
      <c r="AK768" t="str">
        <f t="shared" si="276"/>
        <v>Faltan 15,7 puntos base para subir a la siguiente categoría</v>
      </c>
      <c r="AL768" t="str">
        <f t="shared" si="277"/>
        <v>Margen de seguridad: 7,6 puntos</v>
      </c>
      <c r="AM768">
        <f t="shared" si="278"/>
        <v>0.67</v>
      </c>
      <c r="AN768" t="str">
        <f t="shared" si="279"/>
        <v>PRIORIDAD MEDIA – seguimiento del asesor</v>
      </c>
      <c r="AO768">
        <f t="shared" si="280"/>
        <v>19.673363283307971</v>
      </c>
      <c r="AP768">
        <f t="shared" si="281"/>
        <v>1.328590563838473</v>
      </c>
      <c r="AQ768">
        <f t="shared" si="282"/>
        <v>0</v>
      </c>
      <c r="AR768">
        <f t="shared" si="283"/>
        <v>8.1</v>
      </c>
      <c r="AS768">
        <f t="shared" si="284"/>
        <v>0</v>
      </c>
      <c r="AT768" t="str">
        <f t="shared" si="285"/>
        <v>VENTAS</v>
      </c>
      <c r="AU768">
        <f t="shared" si="286"/>
        <v>19.673363283307971</v>
      </c>
      <c r="AV768" t="str">
        <f t="shared" si="287"/>
        <v>Mayor retorno probable: VENTAS (+19,7 puntos finales potenciales).</v>
      </c>
    </row>
    <row r="769" spans="1:48" x14ac:dyDescent="0.3">
      <c r="A769" s="5">
        <v>51019555</v>
      </c>
      <c r="B769" s="5" t="str">
        <f>IFERROR(VLOOKUP(A769,VENTAS!$A$2:$B$1194,2,0),"")</f>
        <v>PUGH</v>
      </c>
      <c r="C769" s="5">
        <f>IFERROR(INDEX(VENTAS!$C$2:$E$1194,MATCH(A769,VENTAS!$A$2:$A$1194,0),MATCH(PARAMS_MODELO!$B$2,{"Q1","Q2","Q3"},0)),0)</f>
        <v>46412461.329999998</v>
      </c>
      <c r="D769" s="5">
        <f>IFERROR(INDEX(VENTAS!$F$2:$H$1194,MATCH(A769,VENTAS!$A$2:$A$1194,0),MATCH(PARAMS_MODELO!$B$2,{"Q1","Q2","Q3"},0)),0)</f>
        <v>50051458</v>
      </c>
      <c r="E769" s="8">
        <f t="shared" si="264"/>
        <v>7.8405595517250237E-2</v>
      </c>
      <c r="F769" s="12">
        <f>IF(E769&lt;=PARAMS_MODELO!$B$15,0,IF(E769&gt;=PARAMS_MODELO!$B$17,100,100*MIN(1,(E769-PARAMS_MODELO!$B$15)/(PARAMS_MODELO!$B$16-PARAMS_MODELO!$B$15))))*PARAMS_MODELO!$B$7</f>
        <v>27.44195843103758</v>
      </c>
      <c r="G769" s="5">
        <f t="shared" si="265"/>
        <v>3638996.6700000018</v>
      </c>
      <c r="H769" s="5">
        <f>(PARAMS_MODELO!$B$20*(MAX(0,MIN(3,E769))/3)+PARAMS_MODELO!$B$21*(IFERROR(LN(1+MAX(0,G769))/LN(1+MAX(0,MAX($G$2:$G$1194))),0)))*100*PARAMS_MODELO!$B$8</f>
        <v>3.8157625867959144</v>
      </c>
      <c r="I769" s="8">
        <f>E769-PARAMS_MODELO!$B$5</f>
        <v>-9.9157239858276291E-2</v>
      </c>
      <c r="J769" s="5">
        <f>IF(I769&lt;=PARAMS_MODELO!$B$18,0,IF(I769&gt;=PARAMS_MODELO!$B$19,100,100*(I769-PARAMS_MODELO!$B$18)/(PARAMS_MODELO!$B$19-PARAMS_MODELO!$B$18)))*PARAMS_MODELO!$B$9</f>
        <v>0</v>
      </c>
      <c r="K769" s="5">
        <f>IFERROR(CHOOSE(MATCH(PARAMS_MODELO!$B$2,{"Q1","Q2","Q3"},0),LOTO!$D769,LOTO!$F769,LOTO!$H769),0)</f>
        <v>2277500</v>
      </c>
      <c r="L769" s="8">
        <f t="shared" si="266"/>
        <v>4.5503169957606428E-2</v>
      </c>
      <c r="M769" s="5">
        <f>MIN(100,IF(PARAMS_MODELO!$B$23=0,0,100*L769/PARAMS_MODELO!$B$23))*PARAMS_MODELO!$B$10</f>
        <v>13.650950987281927</v>
      </c>
      <c r="N769" s="5">
        <f>IFERROR(VLOOKUP(A769,COMPLIANCE!$A$2:$F$1996,6,0),100)</f>
        <v>100</v>
      </c>
      <c r="O769" s="5">
        <f>N769*PARAMS_MODELO!$B$11</f>
        <v>10</v>
      </c>
      <c r="P769" s="5">
        <f>IFERROR(VLOOKUP(A769,DIGITAL!$A$2:$J$2000,7,0),100)</f>
        <v>64</v>
      </c>
      <c r="Q769" s="5">
        <f>IFERROR(P769,0)*PARAMS_MODELO!$B$12</f>
        <v>6.4</v>
      </c>
      <c r="R769">
        <f t="shared" si="267"/>
        <v>61.308672005115419</v>
      </c>
      <c r="S769" s="5" t="str">
        <f>IFERROR(VLOOKUP(A769,CLIENTE!$A$2:$N$2000,13,0),1)</f>
        <v>Malo</v>
      </c>
      <c r="T769" s="5">
        <f>IFERROR(VLOOKUP(A769,CLIENTE!$A$2:$N$2000,14,0),1)</f>
        <v>0.7</v>
      </c>
      <c r="U769" s="5">
        <f t="shared" si="268"/>
        <v>42.91607040358079</v>
      </c>
      <c r="V769" s="5" t="str">
        <f>IF(U769&gt;=MAX(_xlfn.PERCENTILE.INC($U$2:$U$1194,PARAMS_MODELO!$B$50),PARAMS_MODELO!$B$45),"DIAMANTE",IF(U769&gt;=MAX(_xlfn.PERCENTILE.INC($U$2:$U$1194,PARAMS_MODELO!$B$51),PARAMS_MODELO!$B$46),"PLATINO",IF(U769&gt;=MAX(_xlfn.PERCENTILE.INC($U$2:$U$1194,PARAMS_MODELO!$B$52),PARAMS_MODELO!$B$47),"ORO",IF(U769&gt;=MAX(_xlfn.PERCENTILE.INC($U$2:$U$1194,PARAMS_MODELO!$B$53),PARAMS_MODELO!$B$48),"PLATA",IF(U769&gt;=1,"BRONCE","CERRADO")))))</f>
        <v>PLATA</v>
      </c>
      <c r="W769" s="5" t="str" cm="1">
        <f t="array" ref="W769">_xlfn.XLOOKUP(1, (HIST_SCORE!$B:$B=PARAMS_MODELO!$B$4) * (HIST_SCORE!$C:$C=A769), HIST_SCORE!$E:$E, "No encontrado")</f>
        <v>PLATA</v>
      </c>
      <c r="X769" s="5" t="str">
        <f>_xlfn.LET(_xlpm.act,MATCH(V769,{"DIAMANTE";"PLATINO";"ORO";"PLATA";"BRONCE";"CERRADO"},0),_xlpm.ant,MATCH(W769,{"DIAMANTE";"PLATINO";"ORO";"PLATA";"BRONCE";"CERRADO"},0),IF(_xlpm.act&lt;_xlpm.ant,"Mejora ↑",IF(_xlpm.act&gt;_xlpm.ant,"Baja ↓","Estable →")))</f>
        <v>Estable →</v>
      </c>
      <c r="Y769" s="5">
        <f>IFERROR(U769-SUMIFS(HIST_SCORE!$D:$D,HIST_SCORE!$B:$B,PARAMS_MODELO!$B$4,HIST_SCORE!$C:$C,$A769),"")</f>
        <v>10.974577505639061</v>
      </c>
      <c r="Z769" s="5" t="str">
        <f t="shared" si="269"/>
        <v>↑ Mejora</v>
      </c>
      <c r="AA769" s="5">
        <f t="shared" si="270"/>
        <v>778</v>
      </c>
      <c r="AB769" s="5">
        <f>IFERROR(SUMIFS(HIST_SCORE!$F:$F,HIST_SCORE!$B:$B,PARAMS_MODELO!$B$4,HIST_SCORE!$C:$C,$A769),"")</f>
        <v>889</v>
      </c>
      <c r="AC769" s="5">
        <f t="shared" si="271"/>
        <v>111</v>
      </c>
      <c r="AD769" t="str">
        <f t="shared" si="273"/>
        <v/>
      </c>
      <c r="AE7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769="CERRADO",1,IF(V769="BRONCE",_xlpm.cPl,IF(V769="PLATA",_xlpm.cO,IF(V769="ORO",_xlpm.cP,IF(V769="PLATINO",_xlpm.cD,999))))))</f>
        <v>63.199193273331495</v>
      </c>
      <c r="AF7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769="CERRADO",0,IF(V769="BRONCE",1,IF(V769="PLATA",_xlpm.cPl,IF(V769="ORO",_xlpm.cO,IF(V769="PLATINO",_xlpm.cP,_xlpm.cD))))))</f>
        <v>24.506573482968111</v>
      </c>
      <c r="AG769">
        <f t="shared" si="274"/>
        <v>28.975889813929577</v>
      </c>
      <c r="AH769" t="str">
        <f t="shared" si="275"/>
        <v>VENTAS</v>
      </c>
      <c r="AI769" t="str">
        <f t="shared" si="272"/>
        <v>🎯 Para subir de categoría, eje VENTAS / DIFERENCIAL vs LOTBA (J). Acción: metas semanales + activación comercial + seguimiento del asesor. ΔR aprox: 29,0</v>
      </c>
      <c r="AJ769" s="26">
        <f>_xlfn.LET(_xlpm.piso,AF769,_xlpm.corte,AE769,_xlpm.prog,IF(_xlpm.corte&lt;=_xlpm.piso,0,MAX(0,MIN(1,(U769-_xlpm.piso)/(_xlpm.corte-_xlpm.piso)))),_xlpm.orden,{"DIAMANTE";"PLATINO";"ORO";"PLATA";"BRONCE";"CERRADO"},_xlpm.act,IFERROR(MATCH(V769,_xlpm.orden,0),6),_xlpm.ant,IFERROR(MATCH(W769,_xlpm.orden,0),6),_xlpm.ajmov,IF(_xlpm.act&lt;_xlpm.ant,0.08,IF(_xlpm.act&gt;_xlpm.ant,-0.08,0)),_xlpm.ajcli,IF(T769&lt;0.95,-0.06,0),_xlpm.prob,MAX(0,MIN(1,_xlpm.prog+_xlpm.ajmov+_xlpm.ajcli)),IF(OR(V769="DIAMANTE",V769="CERRADO"),0,ROUND(_xlpm.prob,2)))</f>
        <v>0.42</v>
      </c>
      <c r="AK769" t="str">
        <f t="shared" si="276"/>
        <v>Faltan 29,0 puntos base para subir a la siguiente categoría</v>
      </c>
      <c r="AL769" t="str">
        <f t="shared" si="277"/>
        <v>Margen de seguridad: 18,4 puntos</v>
      </c>
      <c r="AM769">
        <f t="shared" si="278"/>
        <v>0.83</v>
      </c>
      <c r="AN769" t="str">
        <f t="shared" si="279"/>
        <v>PRIORIDAD ALTA – requiere intervención inmediata</v>
      </c>
      <c r="AO769">
        <f t="shared" si="280"/>
        <v>23.523393780223461</v>
      </c>
      <c r="AP769">
        <f t="shared" si="281"/>
        <v>0.94433430890265091</v>
      </c>
      <c r="AQ769">
        <f t="shared" si="282"/>
        <v>0</v>
      </c>
      <c r="AR769">
        <f t="shared" si="283"/>
        <v>2.5199999999999996</v>
      </c>
      <c r="AS769">
        <f t="shared" si="284"/>
        <v>18.392601601534629</v>
      </c>
      <c r="AT769" t="str">
        <f t="shared" si="285"/>
        <v>VENTAS</v>
      </c>
      <c r="AU769">
        <f t="shared" si="286"/>
        <v>23.523393780223461</v>
      </c>
      <c r="AV769" t="str">
        <f t="shared" si="287"/>
        <v>Mayor retorno probable: VENTAS (+23,5 puntos finales potenciales).</v>
      </c>
    </row>
    <row r="770" spans="1:48" x14ac:dyDescent="0.3">
      <c r="A770" s="5">
        <v>51009991</v>
      </c>
      <c r="B770" s="5" t="str">
        <f>IFERROR(VLOOKUP(A770,VENTAS!$A$2:$B$1194,2,0),"")</f>
        <v>MONTENEGRO</v>
      </c>
      <c r="C770" s="5">
        <f>IFERROR(INDEX(VENTAS!$C$2:$E$1194,MATCH(A770,VENTAS!$A$2:$A$1194,0),MATCH(PARAMS_MODELO!$B$2,{"Q1","Q2","Q3"},0)),0)</f>
        <v>45358791.18</v>
      </c>
      <c r="D770" s="5">
        <f>IFERROR(INDEX(VENTAS!$F$2:$H$1194,MATCH(A770,VENTAS!$A$2:$A$1194,0),MATCH(PARAMS_MODELO!$B$2,{"Q1","Q2","Q3"},0)),0)</f>
        <v>49959616</v>
      </c>
      <c r="E770" s="8">
        <f t="shared" ref="E770:E833" si="288">IFERROR(D770/C770-1,0)</f>
        <v>0.101431821711083</v>
      </c>
      <c r="F770" s="12">
        <f>IF(E770&lt;=PARAMS_MODELO!$B$15,0,IF(E770&gt;=PARAMS_MODELO!$B$17,100,100*MIN(1,(E770-PARAMS_MODELO!$B$15)/(PARAMS_MODELO!$B$16-PARAMS_MODELO!$B$15))))*PARAMS_MODELO!$B$7</f>
        <v>35</v>
      </c>
      <c r="G770" s="5">
        <f t="shared" ref="G770:G833" si="289">MAX(0,D770-C770)</f>
        <v>4600824.82</v>
      </c>
      <c r="H770" s="5">
        <f>(PARAMS_MODELO!$B$20*(MAX(0,MIN(3,E770))/3)+PARAMS_MODELO!$B$21*(IFERROR(LN(1+MAX(0,G770))/LN(1+MAX(0,MAX($G$2:$G$1194))),0)))*100*PARAMS_MODELO!$B$8</f>
        <v>3.9513309068747358</v>
      </c>
      <c r="I770" s="8">
        <f>E770-PARAMS_MODELO!$B$5</f>
        <v>-7.6131013664443525E-2</v>
      </c>
      <c r="J770" s="5">
        <f>IF(I770&lt;=PARAMS_MODELO!$B$18,0,IF(I770&gt;=PARAMS_MODELO!$B$19,100,100*(I770-PARAMS_MODELO!$B$18)/(PARAMS_MODELO!$B$19-PARAMS_MODELO!$B$18)))*PARAMS_MODELO!$B$9</f>
        <v>0</v>
      </c>
      <c r="K770" s="5">
        <f>IFERROR(CHOOSE(MATCH(PARAMS_MODELO!$B$2,{"Q1","Q2","Q3"},0),LOTO!$D770,LOTO!$F770,LOTO!$H770),0)</f>
        <v>2272500</v>
      </c>
      <c r="L770" s="8">
        <f t="shared" ref="L770:L833" si="290">IFERROR(K770/D770,0)</f>
        <v>4.548673872913675E-2</v>
      </c>
      <c r="M770" s="5">
        <f>MIN(100,IF(PARAMS_MODELO!$B$23=0,0,100*L770/PARAMS_MODELO!$B$23))*PARAMS_MODELO!$B$10</f>
        <v>13.646021618741024</v>
      </c>
      <c r="N770" s="5">
        <f>IFERROR(VLOOKUP(A770,COMPLIANCE!$A$2:$F$1996,6,0),100)</f>
        <v>99.98</v>
      </c>
      <c r="O770" s="5">
        <f>N770*PARAMS_MODELO!$B$11</f>
        <v>9.9980000000000011</v>
      </c>
      <c r="P770" s="5">
        <f>IFERROR(VLOOKUP(A770,DIGITAL!$A$2:$J$2000,7,0),100)</f>
        <v>17</v>
      </c>
      <c r="Q770" s="5">
        <f>IFERROR(P770,0)*PARAMS_MODELO!$B$12</f>
        <v>1.7000000000000002</v>
      </c>
      <c r="R770">
        <f t="shared" ref="R770:R833" si="291">MIN(100,MAX(0,F770+H770+J770+M770+O770+Q770))</f>
        <v>64.295352525615769</v>
      </c>
      <c r="S770" s="5" t="str">
        <f>IFERROR(VLOOKUP(A770,CLIENTE!$A$2:$N$2000,13,0),1)</f>
        <v>Muy Bueno</v>
      </c>
      <c r="T770" s="5">
        <f>IFERROR(VLOOKUP(A770,CLIENTE!$A$2:$N$2000,14,0),1)</f>
        <v>1.1499999999999999</v>
      </c>
      <c r="U770" s="5">
        <f t="shared" ref="U770:U833" si="292">MIN(100,MAX(0,R770*T770))</f>
        <v>73.939655404458122</v>
      </c>
      <c r="V770" s="5" t="str">
        <f>IF(U770&gt;=MAX(_xlfn.PERCENTILE.INC($U$2:$U$1194,PARAMS_MODELO!$B$50),PARAMS_MODELO!$B$45),"DIAMANTE",IF(U770&gt;=MAX(_xlfn.PERCENTILE.INC($U$2:$U$1194,PARAMS_MODELO!$B$51),PARAMS_MODELO!$B$46),"PLATINO",IF(U770&gt;=MAX(_xlfn.PERCENTILE.INC($U$2:$U$1194,PARAMS_MODELO!$B$52),PARAMS_MODELO!$B$47),"ORO",IF(U770&gt;=MAX(_xlfn.PERCENTILE.INC($U$2:$U$1194,PARAMS_MODELO!$B$53),PARAMS_MODELO!$B$48),"PLATA",IF(U770&gt;=1,"BRONCE","CERRADO")))))</f>
        <v>ORO</v>
      </c>
      <c r="W770" s="5" t="str" cm="1">
        <f t="array" ref="W770">_xlfn.XLOOKUP(1, (HIST_SCORE!$B:$B=PARAMS_MODELO!$B$4) * (HIST_SCORE!$C:$C=A770), HIST_SCORE!$E:$E, "No encontrado")</f>
        <v>ORO</v>
      </c>
      <c r="X770" s="5" t="str">
        <f>_xlfn.LET(_xlpm.act,MATCH(V770,{"DIAMANTE";"PLATINO";"ORO";"PLATA";"BRONCE";"CERRADO"},0),_xlpm.ant,MATCH(W770,{"DIAMANTE";"PLATINO";"ORO";"PLATA";"BRONCE";"CERRADO"},0),IF(_xlpm.act&lt;_xlpm.ant,"Mejora ↑",IF(_xlpm.act&gt;_xlpm.ant,"Baja ↓","Estable →")))</f>
        <v>Estable →</v>
      </c>
      <c r="Y770" s="5">
        <f>IFERROR(U770-SUMIFS(HIST_SCORE!$D:$D,HIST_SCORE!$B:$B,PARAMS_MODELO!$B$4,HIST_SCORE!$C:$C,$A770),"")</f>
        <v>-9.44821757729963</v>
      </c>
      <c r="Z770" s="5" t="str">
        <f t="shared" ref="Z770:Z833" si="293">IF(Y770="","",IF(Y770&gt;=5,"↑ Mejora",IF(Y770&lt;=-5,"↓ Baja","→ Estable")))</f>
        <v>↓ Baja</v>
      </c>
      <c r="AA770" s="5">
        <f t="shared" ref="AA770:AA833" si="294">IFERROR(_xlfn.RANK.EQ(U770,$U$2:$U$1194,0),"")</f>
        <v>480</v>
      </c>
      <c r="AB770" s="5">
        <f>IFERROR(SUMIFS(HIST_SCORE!$F:$F,HIST_SCORE!$B:$B,PARAMS_MODELO!$B$4,HIST_SCORE!$C:$C,$A770),"")</f>
        <v>312</v>
      </c>
      <c r="AC770" s="5">
        <f t="shared" ref="AC770:AC833" si="295">IF(OR(AA770="",AB770=""),"",AB770-AA770)</f>
        <v>-168</v>
      </c>
      <c r="AD770" t="str">
        <f t="shared" si="273"/>
        <v>Sostener base y reforzar mix</v>
      </c>
      <c r="AE7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770="CERRADO",1,IF(V770="BRONCE",_xlpm.cPl,IF(V770="PLATA",_xlpm.cO,IF(V770="ORO",_xlpm.cP,IF(V770="PLATINO",_xlpm.cD,999))))))</f>
        <v>86.439123873763251</v>
      </c>
      <c r="AF7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770="CERRADO",0,IF(V770="BRONCE",1,IF(V770="PLATA",_xlpm.cPl,IF(V770="ORO",_xlpm.cO,IF(V770="PLATINO",_xlpm.cP,_xlpm.cD))))))</f>
        <v>63.199193273331495</v>
      </c>
      <c r="AG770">
        <f t="shared" si="274"/>
        <v>10.869103016787065</v>
      </c>
      <c r="AH770" t="str">
        <f t="shared" si="275"/>
        <v>VENTAS</v>
      </c>
      <c r="AI770" t="str">
        <f t="shared" ref="AI770:AI833" si="296">_xlfn.LET(_xlpm.pal,AH770,_xlpm.deltaR,AG770,_xlpm.minVent,MIN(F770,H770,J770),_xlpm.subV,IF(_xlpm.minVent=F770,"CRECIMIENTO PERSONAL (F)",IF(_xlpm.minVent=H770,"IMPACTO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DIFERENCIAL vs LOTBA (J). Acción: metas semanales + activación comercial + seguimiento del asesor. ΔR aprox: 10,9</v>
      </c>
      <c r="AJ770" s="26">
        <f>_xlfn.LET(_xlpm.piso,AF770,_xlpm.corte,AE770,_xlpm.prog,IF(_xlpm.corte&lt;=_xlpm.piso,0,MAX(0,MIN(1,(U770-_xlpm.piso)/(_xlpm.corte-_xlpm.piso)))),_xlpm.orden,{"DIAMANTE";"PLATINO";"ORO";"PLATA";"BRONCE";"CERRADO"},_xlpm.act,IFERROR(MATCH(V770,_xlpm.orden,0),6),_xlpm.ant,IFERROR(MATCH(W770,_xlpm.orden,0),6),_xlpm.ajmov,IF(_xlpm.act&lt;_xlpm.ant,0.08,IF(_xlpm.act&gt;_xlpm.ant,-0.08,0)),_xlpm.ajcli,IF(T770&lt;0.95,-0.06,0),_xlpm.prob,MAX(0,MIN(1,_xlpm.prog+_xlpm.ajmov+_xlpm.ajcli)),IF(OR(V770="DIAMANTE",V770="CERRADO"),0,ROUND(_xlpm.prob,2)))</f>
        <v>0.46</v>
      </c>
      <c r="AK770" t="str">
        <f t="shared" si="276"/>
        <v>Faltan 10,9 puntos base para subir a la siguiente categoría</v>
      </c>
      <c r="AL770" t="str">
        <f t="shared" si="277"/>
        <v>Margen de seguridad: 10,7 puntos</v>
      </c>
      <c r="AM770">
        <f t="shared" si="278"/>
        <v>0.62</v>
      </c>
      <c r="AN770" t="str">
        <f t="shared" si="279"/>
        <v>PRIORIDAD MEDIA – seguimiento del asesor</v>
      </c>
      <c r="AO770">
        <f t="shared" si="280"/>
        <v>29.79792412368397</v>
      </c>
      <c r="AP770">
        <f t="shared" si="281"/>
        <v>1.5570751384478223</v>
      </c>
      <c r="AQ770">
        <f t="shared" si="282"/>
        <v>2.2999999999987249E-3</v>
      </c>
      <c r="AR770">
        <f t="shared" si="283"/>
        <v>9.5449999999999999</v>
      </c>
      <c r="AS770">
        <f t="shared" si="284"/>
        <v>0</v>
      </c>
      <c r="AT770" t="str">
        <f t="shared" si="285"/>
        <v>VENTAS</v>
      </c>
      <c r="AU770">
        <f t="shared" si="286"/>
        <v>29.79792412368397</v>
      </c>
      <c r="AV770" t="str">
        <f t="shared" si="287"/>
        <v>Mayor retorno probable: VENTAS (+29,8 puntos finales potenciales).</v>
      </c>
    </row>
    <row r="771" spans="1:48" x14ac:dyDescent="0.3">
      <c r="A771" s="5">
        <v>51025822</v>
      </c>
      <c r="B771" s="5" t="str">
        <f>IFERROR(VLOOKUP(A771,VENTAS!$A$2:$B$1194,2,0),"")</f>
        <v>LÓPEZ</v>
      </c>
      <c r="C771" s="5">
        <f>IFERROR(INDEX(VENTAS!$C$2:$E$1194,MATCH(A771,VENTAS!$A$2:$A$1194,0),MATCH(PARAMS_MODELO!$B$2,{"Q1","Q2","Q3"},0)),0)</f>
        <v>36293572.460000001</v>
      </c>
      <c r="D771" s="5">
        <f>IFERROR(INDEX(VENTAS!$F$2:$H$1194,MATCH(A771,VENTAS!$A$2:$A$1194,0),MATCH(PARAMS_MODELO!$B$2,{"Q1","Q2","Q3"},0)),0)</f>
        <v>49942420</v>
      </c>
      <c r="E771" s="8">
        <f t="shared" si="288"/>
        <v>0.37606789893837855</v>
      </c>
      <c r="F771" s="12">
        <f>IF(E771&lt;=PARAMS_MODELO!$B$15,0,IF(E771&gt;=PARAMS_MODELO!$B$17,100,100*MIN(1,(E771-PARAMS_MODELO!$B$15)/(PARAMS_MODELO!$B$16-PARAMS_MODELO!$B$15))))*PARAMS_MODELO!$B$7</f>
        <v>35</v>
      </c>
      <c r="G771" s="5">
        <f t="shared" si="289"/>
        <v>13648847.539999999</v>
      </c>
      <c r="H771" s="5">
        <f>(PARAMS_MODELO!$B$20*(MAX(0,MIN(3,E771))/3)+PARAMS_MODELO!$B$21*(IFERROR(LN(1+MAX(0,G771))/LN(1+MAX(0,MAX($G$2:$G$1194))),0)))*100*PARAMS_MODELO!$B$8</f>
        <v>5.1674634536011199</v>
      </c>
      <c r="I771" s="8">
        <f>E771-PARAMS_MODELO!$B$5</f>
        <v>0.19850506356285202</v>
      </c>
      <c r="J771" s="5">
        <f>IF(I771&lt;=PARAMS_MODELO!$B$18,0,IF(I771&gt;=PARAMS_MODELO!$B$19,100,100*(I771-PARAMS_MODELO!$B$18)/(PARAMS_MODELO!$B$19-PARAMS_MODELO!$B$18)))*PARAMS_MODELO!$B$9</f>
        <v>15</v>
      </c>
      <c r="K771" s="5">
        <f>IFERROR(CHOOSE(MATCH(PARAMS_MODELO!$B$2,{"Q1","Q2","Q3"},0),LOTO!$D771,LOTO!$F771,LOTO!$H771),0)</f>
        <v>2265000</v>
      </c>
      <c r="L771" s="8">
        <f t="shared" si="290"/>
        <v>4.5352227625333336E-2</v>
      </c>
      <c r="M771" s="5">
        <f>MIN(100,IF(PARAMS_MODELO!$B$23=0,0,100*L771/PARAMS_MODELO!$B$23))*PARAMS_MODELO!$B$10</f>
        <v>13.6056682876</v>
      </c>
      <c r="N771" s="5">
        <f>IFERROR(VLOOKUP(A771,COMPLIANCE!$A$2:$F$1996,6,0),100)</f>
        <v>100</v>
      </c>
      <c r="O771" s="5">
        <f>N771*PARAMS_MODELO!$B$11</f>
        <v>10</v>
      </c>
      <c r="P771" s="5">
        <f>IFERROR(VLOOKUP(A771,DIGITAL!$A$2:$J$2000,7,0),100)</f>
        <v>34</v>
      </c>
      <c r="Q771" s="5">
        <f>IFERROR(P771,0)*PARAMS_MODELO!$B$12</f>
        <v>3.4000000000000004</v>
      </c>
      <c r="R771">
        <f t="shared" si="291"/>
        <v>82.173131741201132</v>
      </c>
      <c r="S771" s="5" t="str">
        <f>IFERROR(VLOOKUP(A771,CLIENTE!$A$2:$N$2000,13,0),1)</f>
        <v>Regular</v>
      </c>
      <c r="T771" s="5">
        <f>IFERROR(VLOOKUP(A771,CLIENTE!$A$2:$N$2000,14,0),1)</f>
        <v>1</v>
      </c>
      <c r="U771" s="5">
        <f t="shared" si="292"/>
        <v>82.173131741201132</v>
      </c>
      <c r="V771" s="5" t="str">
        <f>IF(U771&gt;=MAX(_xlfn.PERCENTILE.INC($U$2:$U$1194,PARAMS_MODELO!$B$50),PARAMS_MODELO!$B$45),"DIAMANTE",IF(U771&gt;=MAX(_xlfn.PERCENTILE.INC($U$2:$U$1194,PARAMS_MODELO!$B$51),PARAMS_MODELO!$B$46),"PLATINO",IF(U771&gt;=MAX(_xlfn.PERCENTILE.INC($U$2:$U$1194,PARAMS_MODELO!$B$52),PARAMS_MODELO!$B$47),"ORO",IF(U771&gt;=MAX(_xlfn.PERCENTILE.INC($U$2:$U$1194,PARAMS_MODELO!$B$53),PARAMS_MODELO!$B$48),"PLATA",IF(U771&gt;=1,"BRONCE","CERRADO")))))</f>
        <v>ORO</v>
      </c>
      <c r="W771" s="5" t="str" cm="1">
        <f t="array" ref="W771">_xlfn.XLOOKUP(1, (HIST_SCORE!$B:$B=PARAMS_MODELO!$B$4) * (HIST_SCORE!$C:$C=A771), HIST_SCORE!$E:$E, "No encontrado")</f>
        <v>ORO</v>
      </c>
      <c r="X771" s="5" t="str">
        <f>_xlfn.LET(_xlpm.act,MATCH(V771,{"DIAMANTE";"PLATINO";"ORO";"PLATA";"BRONCE";"CERRADO"},0),_xlpm.ant,MATCH(W771,{"DIAMANTE";"PLATINO";"ORO";"PLATA";"BRONCE";"CERRADO"},0),IF(_xlpm.act&lt;_xlpm.ant,"Mejora ↑",IF(_xlpm.act&gt;_xlpm.ant,"Baja ↓","Estable →")))</f>
        <v>Estable →</v>
      </c>
      <c r="Y771" s="5">
        <f>IFERROR(U771-SUMIFS(HIST_SCORE!$D:$D,HIST_SCORE!$B:$B,PARAMS_MODELO!$B$4,HIST_SCORE!$C:$C,$A771),"")</f>
        <v>9.1484427299130573</v>
      </c>
      <c r="Z771" s="5" t="str">
        <f t="shared" si="293"/>
        <v>↑ Mejora</v>
      </c>
      <c r="AA771" s="5">
        <f t="shared" si="294"/>
        <v>384</v>
      </c>
      <c r="AB771" s="5">
        <f>IFERROR(SUMIFS(HIST_SCORE!$F:$F,HIST_SCORE!$B:$B,PARAMS_MODELO!$B$4,HIST_SCORE!$C:$C,$A771),"")</f>
        <v>511</v>
      </c>
      <c r="AC771" s="5">
        <f t="shared" si="295"/>
        <v>127</v>
      </c>
      <c r="AD771" t="str">
        <f t="shared" ref="AD771:AD834" si="297">IF(V771="CERRADO","Agencia sin actividad o cerrada",IF(AND(V771="BRONCE",Y771=""),"Primer corte: cargá histórico para medir movilidad",IF(AND(V771="BRONCE",Y771&lt;0),"Plan de recuperación: foco crecimiento + mix",IF(AND(V771="ORO",Y771&lt;0),"Sostener base y reforzar mix",""))))</f>
        <v/>
      </c>
      <c r="AE7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771="CERRADO",1,IF(V771="BRONCE",_xlpm.cPl,IF(V771="PLATA",_xlpm.cO,IF(V771="ORO",_xlpm.cP,IF(V771="PLATINO",_xlpm.cD,999))))))</f>
        <v>86.439123873763251</v>
      </c>
      <c r="AF7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771="CERRADO",0,IF(V771="BRONCE",1,IF(V771="PLATA",_xlpm.cPl,IF(V771="ORO",_xlpm.cO,IF(V771="PLATINO",_xlpm.cP,_xlpm.cD))))))</f>
        <v>63.199193273331495</v>
      </c>
      <c r="AG771">
        <f t="shared" ref="AG771:AG834" si="298">_xlfn.LET(_xlpm.corteU,AE771,_xlpm.coef,MAX(0.01,T771),_xlpm.reqR,_xlpm.corteU/_xlpm.coef,MAX(0,_xlpm.reqR-R771))</f>
        <v>4.2659921325621184</v>
      </c>
      <c r="AH771" t="str">
        <f t="shared" ref="AH771:AH834" si="299">_xlfn.LET(_xlpm.deltaR,AG771,_xlpm.ventas,F771+H771+J771,_xlpm.hv,(MAX($F$2:$F$1194)+MAX($H$2:$H$1194)+MAX($J$2:$J$1194))-_xlpm.ventas,_xlpm.hl,MAX($M$2:$M$1194)-M771,_xlpm.hc,MAX($O$2:$O$1194)-O771,_xlpm.hd,MAX($Q$2:$Q$1194)-Q771,_xlpm.impV,MIN(_xlpm.deltaR,MAX(0,_xlpm.hv)),_xlpm.impL,MIN(_xlpm.deltaR,MAX(0,_xlpm.hl)),_xlpm.impC,MIN(_xlpm.deltaR,MAX(0,_xlpm.hc)),_xlpm.impD,MIN(_xlpm.deltaR,MAX(0,_xlpm.hd)),_xlpm.t,T771,_xlpm.tObj,1,_xlpm.impCli,IF(_xlpm.t&lt;0.95,MIN(_xlpm.deltaR,R771*(_xlpm.tObj/_xlpm.t-1)),0),_xlpm.mx,MAX(_xlpm.impV,_xlpm.impL,_xlpm.impC,_xlpm.impD,_xlpm.impCli),IF(V771="DIAMANTE","SOSTENER",IF(V771="CERRADO","CERRADO",IF(_xlpm.mx=_xlpm.impCli,"CLIENTE",IF(_xlpm.mx=_xlpm.impV,"VENTAS",IF(_xlpm.mx=_xlpm.impL,"LOTO",IF(_xlpm.mx=_xlpm.impC,"COMPLIANCE","DIGITAL")))))))</f>
        <v>VENTAS</v>
      </c>
      <c r="AI771" t="str">
        <f t="shared" si="296"/>
        <v>🎯 Para subir de categoría, eje VENTAS / IMPACTO ABSOLUTO (H). Acción: metas semanales + activación comercial + seguimiento del asesor. ΔR aprox: 4,3</v>
      </c>
      <c r="AJ771" s="26">
        <f>_xlfn.LET(_xlpm.piso,AF771,_xlpm.corte,AE771,_xlpm.prog,IF(_xlpm.corte&lt;=_xlpm.piso,0,MAX(0,MIN(1,(U771-_xlpm.piso)/(_xlpm.corte-_xlpm.piso)))),_xlpm.orden,{"DIAMANTE";"PLATINO";"ORO";"PLATA";"BRONCE";"CERRADO"},_xlpm.act,IFERROR(MATCH(V771,_xlpm.orden,0),6),_xlpm.ant,IFERROR(MATCH(W771,_xlpm.orden,0),6),_xlpm.ajmov,IF(_xlpm.act&lt;_xlpm.ant,0.08,IF(_xlpm.act&gt;_xlpm.ant,-0.08,0)),_xlpm.ajcli,IF(T771&lt;0.95,-0.06,0),_xlpm.prob,MAX(0,MIN(1,_xlpm.prog+_xlpm.ajmov+_xlpm.ajcli)),IF(OR(V771="DIAMANTE",V771="CERRADO"),0,ROUND(_xlpm.prob,2)))</f>
        <v>0.82</v>
      </c>
      <c r="AK771" t="str">
        <f t="shared" ref="AK771:AK834" si="300">IF(OR(V771="DIAMANTE",V771="CERRADO"),"No aplica","Faltan " &amp; TEXT(AG771,"0,0") &amp; " puntos base para subir a la siguiente categoría")</f>
        <v>Faltan 4,3 puntos base para subir a la siguiente categoría</v>
      </c>
      <c r="AL771" t="str">
        <f t="shared" ref="AL771:AL834" si="301">_xlfn.LET(_xlpm.piso,AF771,_xlpm.dist,U771-_xlpm.piso,IF(OR(V771="BRONCE",V771="CERRADO"),"No aplica",IF(_xlpm.dist&lt;=0,"⚠ Riesgo de descenso","Margen de seguridad: " &amp; TEXT(_xlpm.dist,"0,0") &amp; " puntos")))</f>
        <v>Margen de seguridad: 19,0 puntos</v>
      </c>
      <c r="AM771">
        <f t="shared" ref="AM771:AM834" si="302">_xlfn.LET(_xlpm.prob,AJ771,_xlpm.dist,AG771,_xlpm.coef,T771,_xlpm.prior,(1-_xlpm.prob)*0.4+MIN(1,_xlpm.dist/10)*0.4+IF(_xlpm.coef&lt;0.95,0.2,0),ROUND(_xlpm.prior,2))</f>
        <v>0.24</v>
      </c>
      <c r="AN771" t="str">
        <f t="shared" ref="AN771:AN834" si="303">IF(AM771&gt;=0.7,"PRIORIDAD ALTA – requiere intervención inmediata",IF(AM771&gt;=0.4,"PRIORIDAD MEDIA – seguimiento del asesor","PRIORIDAD BAJA – control normal"))</f>
        <v>PRIORIDAD BAJA – control normal</v>
      </c>
      <c r="AO771">
        <f t="shared" ref="AO771:AO834" si="304">MAX(0,((MAX($F$2:$F$1194)+MAX($H$2:$H$1194)+MAX($J$2:$J$1194))-(F771+H771+J771))*T771)</f>
        <v>9.6951058216944617</v>
      </c>
      <c r="AP771">
        <f t="shared" ref="AP771:AP834" si="305">MAX(0,(MAX($M$2:$M$1194)-M771)*T771)</f>
        <v>1.3943317123999996</v>
      </c>
      <c r="AQ771">
        <f t="shared" ref="AQ771:AQ834" si="306">MAX(0,(MAX($O$2:$O$1194)-O771)*T771)</f>
        <v>0</v>
      </c>
      <c r="AR771">
        <f t="shared" ref="AR771:AR834" si="307">MAX(0,(MAX($Q$2:$Q$1194)-Q771)*T771)</f>
        <v>6.6</v>
      </c>
      <c r="AS771">
        <f t="shared" ref="AS771:AS834" si="308">MAX(0,R771*(1-T771))</f>
        <v>0</v>
      </c>
      <c r="AT771" t="str">
        <f t="shared" ref="AT771:AT834" si="309">_xlfn.LET(_xlpm.v,AO771,_xlpm.l,AP771,_xlpm.c,AQ771,_xlpm.d,AR771,_xlpm.cli,AS771,_xlpm.mx,MAX(_xlpm.v,_xlpm.l,_xlpm.c,_xlpm.d,_xlpm.cli),IF(_xlpm.mx=_xlpm.cli,"CLIENTE",IF(_xlpm.mx=_xlpm.v,"VENTAS",IF(_xlpm.mx=_xlpm.l,"LOTO",IF(_xlpm.mx=_xlpm.c,"COMPLIANCE","DIGITAL")))))</f>
        <v>VENTAS</v>
      </c>
      <c r="AU771">
        <f t="shared" ref="AU771:AU834" si="310">MAX(AO771,AP771,AQ771,AR771,AS771)</f>
        <v>9.6951058216944617</v>
      </c>
      <c r="AV771" t="str">
        <f t="shared" ref="AV771:AV834" si="311">IF(V771="CERRADO","⛔ Sin impacto comercial estimable por estado CERRADO.","Mayor retorno probable: " &amp; AT771 &amp; " (+" &amp; TEXT(AU771,"0,0") &amp; " puntos finales potenciales).")</f>
        <v>Mayor retorno probable: VENTAS (+9,7 puntos finales potenciales).</v>
      </c>
    </row>
    <row r="772" spans="1:48" x14ac:dyDescent="0.3">
      <c r="A772" s="5">
        <v>51012500</v>
      </c>
      <c r="B772" s="5" t="str">
        <f>IFERROR(VLOOKUP(A772,VENTAS!$A$2:$B$1194,2,0),"")</f>
        <v>ARGUELLO</v>
      </c>
      <c r="C772" s="5">
        <f>IFERROR(INDEX(VENTAS!$C$2:$E$1194,MATCH(A772,VENTAS!$A$2:$A$1194,0),MATCH(PARAMS_MODELO!$B$2,{"Q1","Q2","Q3"},0)),0)</f>
        <v>36790444.579999998</v>
      </c>
      <c r="D772" s="5">
        <f>IFERROR(INDEX(VENTAS!$F$2:$H$1194,MATCH(A772,VENTAS!$A$2:$A$1194,0),MATCH(PARAMS_MODELO!$B$2,{"Q1","Q2","Q3"},0)),0)</f>
        <v>49934707</v>
      </c>
      <c r="E772" s="8">
        <f t="shared" si="288"/>
        <v>0.35727381307986361</v>
      </c>
      <c r="F772" s="12">
        <f>IF(E772&lt;=PARAMS_MODELO!$B$15,0,IF(E772&gt;=PARAMS_MODELO!$B$17,100,100*MIN(1,(E772-PARAMS_MODELO!$B$15)/(PARAMS_MODELO!$B$16-PARAMS_MODELO!$B$15))))*PARAMS_MODELO!$B$7</f>
        <v>35</v>
      </c>
      <c r="G772" s="5">
        <f t="shared" si="289"/>
        <v>13144262.420000002</v>
      </c>
      <c r="H772" s="5">
        <f>(PARAMS_MODELO!$B$20*(MAX(0,MIN(3,E772))/3)+PARAMS_MODELO!$B$21*(IFERROR(LN(1+MAX(0,G772))/LN(1+MAX(0,MAX($G$2:$G$1194))),0)))*100*PARAMS_MODELO!$B$8</f>
        <v>5.0928538400481989</v>
      </c>
      <c r="I772" s="8">
        <f>E772-PARAMS_MODELO!$B$5</f>
        <v>0.17971097770433708</v>
      </c>
      <c r="J772" s="5">
        <f>IF(I772&lt;=PARAMS_MODELO!$B$18,0,IF(I772&gt;=PARAMS_MODELO!$B$19,100,100*(I772-PARAMS_MODELO!$B$18)/(PARAMS_MODELO!$B$19-PARAMS_MODELO!$B$18)))*PARAMS_MODELO!$B$9</f>
        <v>15</v>
      </c>
      <c r="K772" s="5">
        <f>IFERROR(CHOOSE(MATCH(PARAMS_MODELO!$B$2,{"Q1","Q2","Q3"},0),LOTO!$D772,LOTO!$F772,LOTO!$H772),0)</f>
        <v>2262500</v>
      </c>
      <c r="L772" s="8">
        <f t="shared" si="290"/>
        <v>4.5309167429379328E-2</v>
      </c>
      <c r="M772" s="5">
        <f>MIN(100,IF(PARAMS_MODELO!$B$23=0,0,100*L772/PARAMS_MODELO!$B$23))*PARAMS_MODELO!$B$10</f>
        <v>13.592750228813799</v>
      </c>
      <c r="N772" s="5">
        <f>IFERROR(VLOOKUP(A772,COMPLIANCE!$A$2:$F$1996,6,0),100)</f>
        <v>99.98</v>
      </c>
      <c r="O772" s="5">
        <f>N772*PARAMS_MODELO!$B$11</f>
        <v>9.9980000000000011</v>
      </c>
      <c r="P772" s="5">
        <f>IFERROR(VLOOKUP(A772,DIGITAL!$A$2:$J$2000,7,0),100)</f>
        <v>89</v>
      </c>
      <c r="Q772" s="5">
        <f>IFERROR(P772,0)*PARAMS_MODELO!$B$12</f>
        <v>8.9</v>
      </c>
      <c r="R772">
        <f t="shared" si="291"/>
        <v>87.583604068862016</v>
      </c>
      <c r="S772" s="5" t="str">
        <f>IFERROR(VLOOKUP(A772,CLIENTE!$A$2:$N$2000,13,0),1)</f>
        <v>Malo</v>
      </c>
      <c r="T772" s="5">
        <f>IFERROR(VLOOKUP(A772,CLIENTE!$A$2:$N$2000,14,0),1)</f>
        <v>0.7</v>
      </c>
      <c r="U772" s="5">
        <f t="shared" si="292"/>
        <v>61.30852284820341</v>
      </c>
      <c r="V772" s="5" t="str">
        <f>IF(U772&gt;=MAX(_xlfn.PERCENTILE.INC($U$2:$U$1194,PARAMS_MODELO!$B$50),PARAMS_MODELO!$B$45),"DIAMANTE",IF(U772&gt;=MAX(_xlfn.PERCENTILE.INC($U$2:$U$1194,PARAMS_MODELO!$B$51),PARAMS_MODELO!$B$46),"PLATINO",IF(U772&gt;=MAX(_xlfn.PERCENTILE.INC($U$2:$U$1194,PARAMS_MODELO!$B$52),PARAMS_MODELO!$B$47),"ORO",IF(U772&gt;=MAX(_xlfn.PERCENTILE.INC($U$2:$U$1194,PARAMS_MODELO!$B$53),PARAMS_MODELO!$B$48),"PLATA",IF(U772&gt;=1,"BRONCE","CERRADO")))))</f>
        <v>PLATA</v>
      </c>
      <c r="W772" s="5" t="str" cm="1">
        <f t="array" ref="W772">_xlfn.XLOOKUP(1, (HIST_SCORE!$B:$B=PARAMS_MODELO!$B$4) * (HIST_SCORE!$C:$C=A772), HIST_SCORE!$E:$E, "No encontrado")</f>
        <v>PLATA</v>
      </c>
      <c r="X772" s="5" t="str">
        <f>_xlfn.LET(_xlpm.act,MATCH(V772,{"DIAMANTE";"PLATINO";"ORO";"PLATA";"BRONCE";"CERRADO"},0),_xlpm.ant,MATCH(W772,{"DIAMANTE";"PLATINO";"ORO";"PLATA";"BRONCE";"CERRADO"},0),IF(_xlpm.act&lt;_xlpm.ant,"Mejora ↑",IF(_xlpm.act&gt;_xlpm.ant,"Baja ↓","Estable →")))</f>
        <v>Estable →</v>
      </c>
      <c r="Y772" s="5">
        <f>IFERROR(U772-SUMIFS(HIST_SCORE!$D:$D,HIST_SCORE!$B:$B,PARAMS_MODELO!$B$4,HIST_SCORE!$C:$C,$A772),"")</f>
        <v>1.4539048113280657</v>
      </c>
      <c r="Z772" s="5" t="str">
        <f t="shared" si="293"/>
        <v>→ Estable</v>
      </c>
      <c r="AA772" s="5">
        <f t="shared" si="294"/>
        <v>593</v>
      </c>
      <c r="AB772" s="5">
        <f>IFERROR(SUMIFS(HIST_SCORE!$F:$F,HIST_SCORE!$B:$B,PARAMS_MODELO!$B$4,HIST_SCORE!$C:$C,$A772),"")</f>
        <v>651</v>
      </c>
      <c r="AC772" s="5">
        <f t="shared" si="295"/>
        <v>58</v>
      </c>
      <c r="AD772" t="str">
        <f t="shared" si="297"/>
        <v/>
      </c>
      <c r="AE7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772="CERRADO",1,IF(V772="BRONCE",_xlpm.cPl,IF(V772="PLATA",_xlpm.cO,IF(V772="ORO",_xlpm.cP,IF(V772="PLATINO",_xlpm.cD,999))))))</f>
        <v>63.199193273331495</v>
      </c>
      <c r="AF7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772="CERRADO",0,IF(V772="BRONCE",1,IF(V772="PLATA",_xlpm.cPl,IF(V772="ORO",_xlpm.cO,IF(V772="PLATINO",_xlpm.cP,_xlpm.cD))))))</f>
        <v>24.506573482968111</v>
      </c>
      <c r="AG772">
        <f t="shared" si="298"/>
        <v>2.7009577501829796</v>
      </c>
      <c r="AH772" t="str">
        <f t="shared" si="299"/>
        <v>CLIENTE</v>
      </c>
      <c r="AI772" t="str">
        <f t="shared" si="296"/>
        <v>🎯 Para subir de categoría, la eje con mayor impacto probable es CLIENTE (coef T). Acción: reducir quejas, mejorar incógnito y empujar reseñas. ΔR aprox: 2,7</v>
      </c>
      <c r="AJ772" s="26">
        <f>_xlfn.LET(_xlpm.piso,AF772,_xlpm.corte,AE772,_xlpm.prog,IF(_xlpm.corte&lt;=_xlpm.piso,0,MAX(0,MIN(1,(U772-_xlpm.piso)/(_xlpm.corte-_xlpm.piso)))),_xlpm.orden,{"DIAMANTE";"PLATINO";"ORO";"PLATA";"BRONCE";"CERRADO"},_xlpm.act,IFERROR(MATCH(V772,_xlpm.orden,0),6),_xlpm.ant,IFERROR(MATCH(W772,_xlpm.orden,0),6),_xlpm.ajmov,IF(_xlpm.act&lt;_xlpm.ant,0.08,IF(_xlpm.act&gt;_xlpm.ant,-0.08,0)),_xlpm.ajcli,IF(T772&lt;0.95,-0.06,0),_xlpm.prob,MAX(0,MIN(1,_xlpm.prog+_xlpm.ajmov+_xlpm.ajcli)),IF(OR(V772="DIAMANTE",V772="CERRADO"),0,ROUND(_xlpm.prob,2)))</f>
        <v>0.89</v>
      </c>
      <c r="AK772" t="str">
        <f t="shared" si="300"/>
        <v>Faltan 2,7 puntos base para subir a la siguiente categoría</v>
      </c>
      <c r="AL772" t="str">
        <f t="shared" si="301"/>
        <v>Margen de seguridad: 36,8 puntos</v>
      </c>
      <c r="AM772">
        <f t="shared" si="302"/>
        <v>0.35</v>
      </c>
      <c r="AN772" t="str">
        <f t="shared" si="303"/>
        <v>PRIORIDAD BAJA – control normal</v>
      </c>
      <c r="AO772">
        <f t="shared" si="304"/>
        <v>6.838800804673169</v>
      </c>
      <c r="AP772">
        <f t="shared" si="305"/>
        <v>0.98507483983034083</v>
      </c>
      <c r="AQ772">
        <f t="shared" si="306"/>
        <v>1.3999999999992239E-3</v>
      </c>
      <c r="AR772">
        <f t="shared" si="307"/>
        <v>0.76999999999999968</v>
      </c>
      <c r="AS772">
        <f t="shared" si="308"/>
        <v>26.27508122065861</v>
      </c>
      <c r="AT772" t="str">
        <f t="shared" si="309"/>
        <v>CLIENTE</v>
      </c>
      <c r="AU772">
        <f t="shared" si="310"/>
        <v>26.27508122065861</v>
      </c>
      <c r="AV772" t="str">
        <f t="shared" si="311"/>
        <v>Mayor retorno probable: CLIENTE (+26,3 puntos finales potenciales).</v>
      </c>
    </row>
    <row r="773" spans="1:48" x14ac:dyDescent="0.3">
      <c r="A773" s="5">
        <v>51015797</v>
      </c>
      <c r="B773" s="5" t="str">
        <f>IFERROR(VLOOKUP(A773,VENTAS!$A$2:$B$1194,2,0),"")</f>
        <v>ROBERTS</v>
      </c>
      <c r="C773" s="5">
        <f>IFERROR(INDEX(VENTAS!$C$2:$E$1194,MATCH(A773,VENTAS!$A$2:$A$1194,0),MATCH(PARAMS_MODELO!$B$2,{"Q1","Q2","Q3"},0)),0)</f>
        <v>37734595.770000003</v>
      </c>
      <c r="D773" s="5">
        <f>IFERROR(INDEX(VENTAS!$F$2:$H$1194,MATCH(A773,VENTAS!$A$2:$A$1194,0),MATCH(PARAMS_MODELO!$B$2,{"Q1","Q2","Q3"},0)),0)</f>
        <v>49928343</v>
      </c>
      <c r="E773" s="8">
        <f t="shared" si="288"/>
        <v>0.32314503391856508</v>
      </c>
      <c r="F773" s="12">
        <f>IF(E773&lt;=PARAMS_MODELO!$B$15,0,IF(E773&gt;=PARAMS_MODELO!$B$17,100,100*MIN(1,(E773-PARAMS_MODELO!$B$15)/(PARAMS_MODELO!$B$16-PARAMS_MODELO!$B$15))))*PARAMS_MODELO!$B$7</f>
        <v>35</v>
      </c>
      <c r="G773" s="5">
        <f t="shared" si="289"/>
        <v>12193747.229999997</v>
      </c>
      <c r="H773" s="5">
        <f>(PARAMS_MODELO!$B$20*(MAX(0,MIN(3,E773))/3)+PARAMS_MODELO!$B$21*(IFERROR(LN(1+MAX(0,G773))/LN(1+MAX(0,MAX($G$2:$G$1194))),0)))*100*PARAMS_MODELO!$B$8</f>
        <v>4.9558075225649372</v>
      </c>
      <c r="I773" s="8">
        <f>E773-PARAMS_MODELO!$B$5</f>
        <v>0.14558219854303855</v>
      </c>
      <c r="J773" s="5">
        <f>IF(I773&lt;=PARAMS_MODELO!$B$18,0,IF(I773&gt;=PARAMS_MODELO!$B$19,100,100*(I773-PARAMS_MODELO!$B$18)/(PARAMS_MODELO!$B$19-PARAMS_MODELO!$B$18)))*PARAMS_MODELO!$B$9</f>
        <v>15</v>
      </c>
      <c r="K773" s="5">
        <f>IFERROR(CHOOSE(MATCH(PARAMS_MODELO!$B$2,{"Q1","Q2","Q3"},0),LOTO!$D773,LOTO!$F773,LOTO!$H773),0)</f>
        <v>2260000</v>
      </c>
      <c r="L773" s="8">
        <f t="shared" si="290"/>
        <v>4.5264870897077439E-2</v>
      </c>
      <c r="M773" s="5">
        <f>MIN(100,IF(PARAMS_MODELO!$B$23=0,0,100*L773/PARAMS_MODELO!$B$23))*PARAMS_MODELO!$B$10</f>
        <v>13.579461269123231</v>
      </c>
      <c r="N773" s="5">
        <f>IFERROR(VLOOKUP(A773,COMPLIANCE!$A$2:$F$1996,6,0),100)</f>
        <v>100</v>
      </c>
      <c r="O773" s="5">
        <f>N773*PARAMS_MODELO!$B$11</f>
        <v>10</v>
      </c>
      <c r="P773" s="5">
        <f>IFERROR(VLOOKUP(A773,DIGITAL!$A$2:$J$2000,7,0),100)</f>
        <v>86</v>
      </c>
      <c r="Q773" s="5">
        <f>IFERROR(P773,0)*PARAMS_MODELO!$B$12</f>
        <v>8.6</v>
      </c>
      <c r="R773">
        <f t="shared" si="291"/>
        <v>87.135268791688162</v>
      </c>
      <c r="S773" s="5" t="str">
        <f>IFERROR(VLOOKUP(A773,CLIENTE!$A$2:$N$2000,13,0),1)</f>
        <v>Regular</v>
      </c>
      <c r="T773" s="5">
        <f>IFERROR(VLOOKUP(A773,CLIENTE!$A$2:$N$2000,14,0),1)</f>
        <v>1</v>
      </c>
      <c r="U773" s="5">
        <f t="shared" si="292"/>
        <v>87.135268791688162</v>
      </c>
      <c r="V773" s="5" t="str">
        <f>IF(U773&gt;=MAX(_xlfn.PERCENTILE.INC($U$2:$U$1194,PARAMS_MODELO!$B$50),PARAMS_MODELO!$B$45),"DIAMANTE",IF(U773&gt;=MAX(_xlfn.PERCENTILE.INC($U$2:$U$1194,PARAMS_MODELO!$B$51),PARAMS_MODELO!$B$46),"PLATINO",IF(U773&gt;=MAX(_xlfn.PERCENTILE.INC($U$2:$U$1194,PARAMS_MODELO!$B$52),PARAMS_MODELO!$B$47),"ORO",IF(U773&gt;=MAX(_xlfn.PERCENTILE.INC($U$2:$U$1194,PARAMS_MODELO!$B$53),PARAMS_MODELO!$B$48),"PLATA",IF(U773&gt;=1,"BRONCE","CERRADO")))))</f>
        <v>PLATINO</v>
      </c>
      <c r="W773" s="5" t="str" cm="1">
        <f t="array" ref="W773">_xlfn.XLOOKUP(1, (HIST_SCORE!$B:$B=PARAMS_MODELO!$B$4) * (HIST_SCORE!$C:$C=A773), HIST_SCORE!$E:$E, "No encontrado")</f>
        <v>ORO</v>
      </c>
      <c r="X773" s="5" t="str">
        <f>_xlfn.LET(_xlpm.act,MATCH(V773,{"DIAMANTE";"PLATINO";"ORO";"PLATA";"BRONCE";"CERRADO"},0),_xlpm.ant,MATCH(W773,{"DIAMANTE";"PLATINO";"ORO";"PLATA";"BRONCE";"CERRADO"},0),IF(_xlpm.act&lt;_xlpm.ant,"Mejora ↑",IF(_xlpm.act&gt;_xlpm.ant,"Baja ↓","Estable →")))</f>
        <v>Mejora ↑</v>
      </c>
      <c r="Y773" s="5">
        <f>IFERROR(U773-SUMIFS(HIST_SCORE!$D:$D,HIST_SCORE!$B:$B,PARAMS_MODELO!$B$4,HIST_SCORE!$C:$C,$A773),"")</f>
        <v>1.3856769068866868</v>
      </c>
      <c r="Z773" s="5" t="str">
        <f t="shared" si="293"/>
        <v>→ Estable</v>
      </c>
      <c r="AA773" s="5">
        <f t="shared" si="294"/>
        <v>223</v>
      </c>
      <c r="AB773" s="5">
        <f>IFERROR(SUMIFS(HIST_SCORE!$F:$F,HIST_SCORE!$B:$B,PARAMS_MODELO!$B$4,HIST_SCORE!$C:$C,$A773),"")</f>
        <v>244</v>
      </c>
      <c r="AC773" s="5">
        <f t="shared" si="295"/>
        <v>21</v>
      </c>
      <c r="AD773" t="str">
        <f t="shared" si="297"/>
        <v/>
      </c>
      <c r="AE7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773="CERRADO",1,IF(V773="BRONCE",_xlpm.cPl,IF(V773="PLATA",_xlpm.cO,IF(V773="ORO",_xlpm.cP,IF(V773="PLATINO",_xlpm.cD,999))))))</f>
        <v>96.054919694466676</v>
      </c>
      <c r="AF7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773="CERRADO",0,IF(V773="BRONCE",1,IF(V773="PLATA",_xlpm.cPl,IF(V773="ORO",_xlpm.cO,IF(V773="PLATINO",_xlpm.cP,_xlpm.cD))))))</f>
        <v>86.439123873763251</v>
      </c>
      <c r="AG773">
        <f t="shared" si="298"/>
        <v>8.919650902778514</v>
      </c>
      <c r="AH773" t="str">
        <f t="shared" si="299"/>
        <v>VENTAS</v>
      </c>
      <c r="AI773" t="str">
        <f t="shared" si="296"/>
        <v>🎯 Para subir de categoría, eje VENTAS / IMPACTO ABSOLUTO (H). Acción: metas semanales + activación comercial + seguimiento del asesor. ΔR aprox: 8,9</v>
      </c>
      <c r="AJ773" s="26">
        <f>_xlfn.LET(_xlpm.piso,AF773,_xlpm.corte,AE773,_xlpm.prog,IF(_xlpm.corte&lt;=_xlpm.piso,0,MAX(0,MIN(1,(U773-_xlpm.piso)/(_xlpm.corte-_xlpm.piso)))),_xlpm.orden,{"DIAMANTE";"PLATINO";"ORO";"PLATA";"BRONCE";"CERRADO"},_xlpm.act,IFERROR(MATCH(V773,_xlpm.orden,0),6),_xlpm.ant,IFERROR(MATCH(W773,_xlpm.orden,0),6),_xlpm.ajmov,IF(_xlpm.act&lt;_xlpm.ant,0.08,IF(_xlpm.act&gt;_xlpm.ant,-0.08,0)),_xlpm.ajcli,IF(T773&lt;0.95,-0.06,0),_xlpm.prob,MAX(0,MIN(1,_xlpm.prog+_xlpm.ajmov+_xlpm.ajcli)),IF(OR(V773="DIAMANTE",V773="CERRADO"),0,ROUND(_xlpm.prob,2)))</f>
        <v>0.15</v>
      </c>
      <c r="AK773" t="str">
        <f t="shared" si="300"/>
        <v>Faltan 8,9 puntos base para subir a la siguiente categoría</v>
      </c>
      <c r="AL773" t="str">
        <f t="shared" si="301"/>
        <v>Margen de seguridad: 0,7 puntos</v>
      </c>
      <c r="AM773">
        <f t="shared" si="302"/>
        <v>0.7</v>
      </c>
      <c r="AN773" t="str">
        <f t="shared" si="303"/>
        <v>PRIORIDAD ALTA – requiere intervención inmediata</v>
      </c>
      <c r="AO773">
        <f t="shared" si="304"/>
        <v>9.9067617527306453</v>
      </c>
      <c r="AP773">
        <f t="shared" si="305"/>
        <v>1.4205387308767694</v>
      </c>
      <c r="AQ773">
        <f t="shared" si="306"/>
        <v>0</v>
      </c>
      <c r="AR773">
        <f t="shared" si="307"/>
        <v>1.4000000000000004</v>
      </c>
      <c r="AS773">
        <f t="shared" si="308"/>
        <v>0</v>
      </c>
      <c r="AT773" t="str">
        <f t="shared" si="309"/>
        <v>VENTAS</v>
      </c>
      <c r="AU773">
        <f t="shared" si="310"/>
        <v>9.9067617527306453</v>
      </c>
      <c r="AV773" t="str">
        <f t="shared" si="311"/>
        <v>Mayor retorno probable: VENTAS (+9,9 puntos finales potenciales).</v>
      </c>
    </row>
    <row r="774" spans="1:48" x14ac:dyDescent="0.3">
      <c r="A774" s="5">
        <v>51014782</v>
      </c>
      <c r="B774" s="5" t="str">
        <f>IFERROR(VLOOKUP(A774,VENTAS!$A$2:$B$1194,2,0),"")</f>
        <v>METTLER</v>
      </c>
      <c r="C774" s="5">
        <f>IFERROR(INDEX(VENTAS!$C$2:$E$1194,MATCH(A774,VENTAS!$A$2:$A$1194,0),MATCH(PARAMS_MODELO!$B$2,{"Q1","Q2","Q3"},0)),0)</f>
        <v>36520234.579999998</v>
      </c>
      <c r="D774" s="5">
        <f>IFERROR(INDEX(VENTAS!$F$2:$H$1194,MATCH(A774,VENTAS!$A$2:$A$1194,0),MATCH(PARAMS_MODELO!$B$2,{"Q1","Q2","Q3"},0)),0)</f>
        <v>49838380</v>
      </c>
      <c r="E774" s="8">
        <f t="shared" si="288"/>
        <v>0.36467852885297658</v>
      </c>
      <c r="F774" s="12">
        <f>IF(E774&lt;=PARAMS_MODELO!$B$15,0,IF(E774&gt;=PARAMS_MODELO!$B$17,100,100*MIN(1,(E774-PARAMS_MODELO!$B$15)/(PARAMS_MODELO!$B$16-PARAMS_MODELO!$B$15))))*PARAMS_MODELO!$B$7</f>
        <v>35</v>
      </c>
      <c r="G774" s="5">
        <f t="shared" si="289"/>
        <v>13318145.420000002</v>
      </c>
      <c r="H774" s="5">
        <f>(PARAMS_MODELO!$B$20*(MAX(0,MIN(3,E774))/3)+PARAMS_MODELO!$B$21*(IFERROR(LN(1+MAX(0,G774))/LN(1+MAX(0,MAX($G$2:$G$1194))),0)))*100*PARAMS_MODELO!$B$8</f>
        <v>5.1218510313770267</v>
      </c>
      <c r="I774" s="8">
        <f>E774-PARAMS_MODELO!$B$5</f>
        <v>0.18711569347745005</v>
      </c>
      <c r="J774" s="5">
        <f>IF(I774&lt;=PARAMS_MODELO!$B$18,0,IF(I774&gt;=PARAMS_MODELO!$B$19,100,100*(I774-PARAMS_MODELO!$B$18)/(PARAMS_MODELO!$B$19-PARAMS_MODELO!$B$18)))*PARAMS_MODELO!$B$9</f>
        <v>15</v>
      </c>
      <c r="K774" s="5">
        <f>IFERROR(CHOOSE(MATCH(PARAMS_MODELO!$B$2,{"Q1","Q2","Q3"},0),LOTO!$D774,LOTO!$F774,LOTO!$H774),0)</f>
        <v>2242500</v>
      </c>
      <c r="L774" s="8">
        <f t="shared" si="290"/>
        <v>4.4995443270828626E-2</v>
      </c>
      <c r="M774" s="5">
        <f>MIN(100,IF(PARAMS_MODELO!$B$23=0,0,100*L774/PARAMS_MODELO!$B$23))*PARAMS_MODELO!$B$10</f>
        <v>13.498632981248587</v>
      </c>
      <c r="N774" s="5">
        <f>IFERROR(VLOOKUP(A774,COMPLIANCE!$A$2:$F$1996,6,0),100)</f>
        <v>100</v>
      </c>
      <c r="O774" s="5">
        <f>N774*PARAMS_MODELO!$B$11</f>
        <v>10</v>
      </c>
      <c r="P774" s="5">
        <f>IFERROR(VLOOKUP(A774,DIGITAL!$A$2:$J$2000,7,0),100)</f>
        <v>10</v>
      </c>
      <c r="Q774" s="5">
        <f>IFERROR(P774,0)*PARAMS_MODELO!$B$12</f>
        <v>1</v>
      </c>
      <c r="R774">
        <f t="shared" si="291"/>
        <v>79.62048401262561</v>
      </c>
      <c r="S774" s="5" t="str">
        <f>IFERROR(VLOOKUP(A774,CLIENTE!$A$2:$N$2000,13,0),1)</f>
        <v>Regular</v>
      </c>
      <c r="T774" s="5">
        <f>IFERROR(VLOOKUP(A774,CLIENTE!$A$2:$N$2000,14,0),1)</f>
        <v>1</v>
      </c>
      <c r="U774" s="5">
        <f t="shared" si="292"/>
        <v>79.62048401262561</v>
      </c>
      <c r="V774" s="5" t="str">
        <f>IF(U774&gt;=MAX(_xlfn.PERCENTILE.INC($U$2:$U$1194,PARAMS_MODELO!$B$50),PARAMS_MODELO!$B$45),"DIAMANTE",IF(U774&gt;=MAX(_xlfn.PERCENTILE.INC($U$2:$U$1194,PARAMS_MODELO!$B$51),PARAMS_MODELO!$B$46),"PLATINO",IF(U774&gt;=MAX(_xlfn.PERCENTILE.INC($U$2:$U$1194,PARAMS_MODELO!$B$52),PARAMS_MODELO!$B$47),"ORO",IF(U774&gt;=MAX(_xlfn.PERCENTILE.INC($U$2:$U$1194,PARAMS_MODELO!$B$53),PARAMS_MODELO!$B$48),"PLATA",IF(U774&gt;=1,"BRONCE","CERRADO")))))</f>
        <v>ORO</v>
      </c>
      <c r="W774" s="5" t="str" cm="1">
        <f t="array" ref="W774">_xlfn.XLOOKUP(1, (HIST_SCORE!$B:$B=PARAMS_MODELO!$B$4) * (HIST_SCORE!$C:$C=A774), HIST_SCORE!$E:$E, "No encontrado")</f>
        <v>ORO</v>
      </c>
      <c r="X774" s="5" t="str">
        <f>_xlfn.LET(_xlpm.act,MATCH(V774,{"DIAMANTE";"PLATINO";"ORO";"PLATA";"BRONCE";"CERRADO"},0),_xlpm.ant,MATCH(W774,{"DIAMANTE";"PLATINO";"ORO";"PLATA";"BRONCE";"CERRADO"},0),IF(_xlpm.act&lt;_xlpm.ant,"Mejora ↑",IF(_xlpm.act&gt;_xlpm.ant,"Baja ↓","Estable →")))</f>
        <v>Estable →</v>
      </c>
      <c r="Y774" s="5">
        <f>IFERROR(U774-SUMIFS(HIST_SCORE!$D:$D,HIST_SCORE!$B:$B,PARAMS_MODELO!$B$4,HIST_SCORE!$C:$C,$A774),"")</f>
        <v>-1.7260245409114816</v>
      </c>
      <c r="Z774" s="5" t="str">
        <f t="shared" si="293"/>
        <v>→ Estable</v>
      </c>
      <c r="AA774" s="5">
        <f t="shared" si="294"/>
        <v>446</v>
      </c>
      <c r="AB774" s="5">
        <f>IFERROR(SUMIFS(HIST_SCORE!$F:$F,HIST_SCORE!$B:$B,PARAMS_MODELO!$B$4,HIST_SCORE!$C:$C,$A774),"")</f>
        <v>388</v>
      </c>
      <c r="AC774" s="5">
        <f t="shared" si="295"/>
        <v>-58</v>
      </c>
      <c r="AD774" t="str">
        <f t="shared" si="297"/>
        <v>Sostener base y reforzar mix</v>
      </c>
      <c r="AE7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774="CERRADO",1,IF(V774="BRONCE",_xlpm.cPl,IF(V774="PLATA",_xlpm.cO,IF(V774="ORO",_xlpm.cP,IF(V774="PLATINO",_xlpm.cD,999))))))</f>
        <v>86.439123873763251</v>
      </c>
      <c r="AF7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774="CERRADO",0,IF(V774="BRONCE",1,IF(V774="PLATA",_xlpm.cPl,IF(V774="ORO",_xlpm.cO,IF(V774="PLATINO",_xlpm.cP,_xlpm.cD))))))</f>
        <v>63.199193273331495</v>
      </c>
      <c r="AG774">
        <f t="shared" si="298"/>
        <v>6.8186398611376404</v>
      </c>
      <c r="AH774" t="str">
        <f t="shared" si="299"/>
        <v>VENTAS</v>
      </c>
      <c r="AI774" t="str">
        <f t="shared" si="296"/>
        <v>🎯 Para subir de categoría, eje VENTAS / IMPACTO ABSOLUTO (H). Acción: metas semanales + activación comercial + seguimiento del asesor. ΔR aprox: 6,8</v>
      </c>
      <c r="AJ774" s="26">
        <f>_xlfn.LET(_xlpm.piso,AF774,_xlpm.corte,AE774,_xlpm.prog,IF(_xlpm.corte&lt;=_xlpm.piso,0,MAX(0,MIN(1,(U774-_xlpm.piso)/(_xlpm.corte-_xlpm.piso)))),_xlpm.orden,{"DIAMANTE";"PLATINO";"ORO";"PLATA";"BRONCE";"CERRADO"},_xlpm.act,IFERROR(MATCH(V774,_xlpm.orden,0),6),_xlpm.ant,IFERROR(MATCH(W774,_xlpm.orden,0),6),_xlpm.ajmov,IF(_xlpm.act&lt;_xlpm.ant,0.08,IF(_xlpm.act&gt;_xlpm.ant,-0.08,0)),_xlpm.ajcli,IF(T774&lt;0.95,-0.06,0),_xlpm.prob,MAX(0,MIN(1,_xlpm.prog+_xlpm.ajmov+_xlpm.ajcli)),IF(OR(V774="DIAMANTE",V774="CERRADO"),0,ROUND(_xlpm.prob,2)))</f>
        <v>0.71</v>
      </c>
      <c r="AK774" t="str">
        <f t="shared" si="300"/>
        <v>Faltan 6,8 puntos base para subir a la siguiente categoría</v>
      </c>
      <c r="AL774" t="str">
        <f t="shared" si="301"/>
        <v>Margen de seguridad: 16,4 puntos</v>
      </c>
      <c r="AM774">
        <f t="shared" si="302"/>
        <v>0.39</v>
      </c>
      <c r="AN774" t="str">
        <f t="shared" si="303"/>
        <v>PRIORIDAD BAJA – control normal</v>
      </c>
      <c r="AO774">
        <f t="shared" si="304"/>
        <v>9.7407182439185576</v>
      </c>
      <c r="AP774">
        <f t="shared" si="305"/>
        <v>1.501367018751413</v>
      </c>
      <c r="AQ774">
        <f t="shared" si="306"/>
        <v>0</v>
      </c>
      <c r="AR774">
        <f t="shared" si="307"/>
        <v>9</v>
      </c>
      <c r="AS774">
        <f t="shared" si="308"/>
        <v>0</v>
      </c>
      <c r="AT774" t="str">
        <f t="shared" si="309"/>
        <v>VENTAS</v>
      </c>
      <c r="AU774">
        <f t="shared" si="310"/>
        <v>9.7407182439185576</v>
      </c>
      <c r="AV774" t="str">
        <f t="shared" si="311"/>
        <v>Mayor retorno probable: VENTAS (+9,7 puntos finales potenciales).</v>
      </c>
    </row>
    <row r="775" spans="1:48" x14ac:dyDescent="0.3">
      <c r="A775" s="5">
        <v>51013077</v>
      </c>
      <c r="B775" s="5" t="str">
        <f>IFERROR(VLOOKUP(A775,VENTAS!$A$2:$B$1194,2,0),"")</f>
        <v>PRADES</v>
      </c>
      <c r="C775" s="5">
        <f>IFERROR(INDEX(VENTAS!$C$2:$E$1194,MATCH(A775,VENTAS!$A$2:$A$1194,0),MATCH(PARAMS_MODELO!$B$2,{"Q1","Q2","Q3"},0)),0)</f>
        <v>32546730.949999999</v>
      </c>
      <c r="D775" s="5">
        <f>IFERROR(INDEX(VENTAS!$F$2:$H$1194,MATCH(A775,VENTAS!$A$2:$A$1194,0),MATCH(PARAMS_MODELO!$B$2,{"Q1","Q2","Q3"},0)),0)</f>
        <v>49416330</v>
      </c>
      <c r="E775" s="8">
        <f t="shared" si="288"/>
        <v>0.5183193075801058</v>
      </c>
      <c r="F775" s="12">
        <f>IF(E775&lt;=PARAMS_MODELO!$B$15,0,IF(E775&gt;=PARAMS_MODELO!$B$17,100,100*MIN(1,(E775-PARAMS_MODELO!$B$15)/(PARAMS_MODELO!$B$16-PARAMS_MODELO!$B$15))))*PARAMS_MODELO!$B$7</f>
        <v>35</v>
      </c>
      <c r="G775" s="5">
        <f t="shared" si="289"/>
        <v>16869599.050000001</v>
      </c>
      <c r="H775" s="5">
        <f>(PARAMS_MODELO!$B$20*(MAX(0,MIN(3,E775))/3)+PARAMS_MODELO!$B$21*(IFERROR(LN(1+MAX(0,G775))/LN(1+MAX(0,MAX($G$2:$G$1194))),0)))*100*PARAMS_MODELO!$B$8</f>
        <v>5.7150058629397344</v>
      </c>
      <c r="I775" s="8">
        <f>E775-PARAMS_MODELO!$B$5</f>
        <v>0.34075647220457927</v>
      </c>
      <c r="J775" s="5">
        <f>IF(I775&lt;=PARAMS_MODELO!$B$18,0,IF(I775&gt;=PARAMS_MODELO!$B$19,100,100*(I775-PARAMS_MODELO!$B$18)/(PARAMS_MODELO!$B$19-PARAMS_MODELO!$B$18)))*PARAMS_MODELO!$B$9</f>
        <v>15</v>
      </c>
      <c r="K775" s="5">
        <f>IFERROR(CHOOSE(MATCH(PARAMS_MODELO!$B$2,{"Q1","Q2","Q3"},0),LOTO!$D775,LOTO!$F775,LOTO!$H775),0)</f>
        <v>2242500</v>
      </c>
      <c r="L775" s="8">
        <f t="shared" si="290"/>
        <v>4.5379735807980881E-2</v>
      </c>
      <c r="M775" s="5">
        <f>MIN(100,IF(PARAMS_MODELO!$B$23=0,0,100*L775/PARAMS_MODELO!$B$23))*PARAMS_MODELO!$B$10</f>
        <v>13.613920742394264</v>
      </c>
      <c r="N775" s="5">
        <f>IFERROR(VLOOKUP(A775,COMPLIANCE!$A$2:$F$1996,6,0),100)</f>
        <v>99.9</v>
      </c>
      <c r="O775" s="5">
        <f>N775*PARAMS_MODELO!$B$11</f>
        <v>9.990000000000002</v>
      </c>
      <c r="P775" s="5">
        <f>IFERROR(VLOOKUP(A775,DIGITAL!$A$2:$J$2000,7,0),100)</f>
        <v>26</v>
      </c>
      <c r="Q775" s="5">
        <f>IFERROR(P775,0)*PARAMS_MODELO!$B$12</f>
        <v>2.6</v>
      </c>
      <c r="R775">
        <f t="shared" si="291"/>
        <v>81.918926605334008</v>
      </c>
      <c r="S775" s="5" t="str">
        <f>IFERROR(VLOOKUP(A775,CLIENTE!$A$2:$N$2000,13,0),1)</f>
        <v>Bueno</v>
      </c>
      <c r="T775" s="5">
        <f>IFERROR(VLOOKUP(A775,CLIENTE!$A$2:$N$2000,14,0),1)</f>
        <v>1.1000000000000001</v>
      </c>
      <c r="U775" s="5">
        <f t="shared" si="292"/>
        <v>90.11081926586742</v>
      </c>
      <c r="V775" s="5" t="str">
        <f>IF(U775&gt;=MAX(_xlfn.PERCENTILE.INC($U$2:$U$1194,PARAMS_MODELO!$B$50),PARAMS_MODELO!$B$45),"DIAMANTE",IF(U775&gt;=MAX(_xlfn.PERCENTILE.INC($U$2:$U$1194,PARAMS_MODELO!$B$51),PARAMS_MODELO!$B$46),"PLATINO",IF(U775&gt;=MAX(_xlfn.PERCENTILE.INC($U$2:$U$1194,PARAMS_MODELO!$B$52),PARAMS_MODELO!$B$47),"ORO",IF(U775&gt;=MAX(_xlfn.PERCENTILE.INC($U$2:$U$1194,PARAMS_MODELO!$B$53),PARAMS_MODELO!$B$48),"PLATA",IF(U775&gt;=1,"BRONCE","CERRADO")))))</f>
        <v>PLATINO</v>
      </c>
      <c r="W775" s="5" t="str" cm="1">
        <f t="array" ref="W775">_xlfn.XLOOKUP(1, (HIST_SCORE!$B:$B=PARAMS_MODELO!$B$4) * (HIST_SCORE!$C:$C=A775), HIST_SCORE!$E:$E, "No encontrado")</f>
        <v>PLATINO</v>
      </c>
      <c r="X775" s="5" t="str">
        <f>_xlfn.LET(_xlpm.act,MATCH(V775,{"DIAMANTE";"PLATINO";"ORO";"PLATA";"BRONCE";"CERRADO"},0),_xlpm.ant,MATCH(W775,{"DIAMANTE";"PLATINO";"ORO";"PLATA";"BRONCE";"CERRADO"},0),IF(_xlpm.act&lt;_xlpm.ant,"Mejora ↑",IF(_xlpm.act&gt;_xlpm.ant,"Baja ↓","Estable →")))</f>
        <v>Estable →</v>
      </c>
      <c r="Y775" s="5">
        <f>IFERROR(U775-SUMIFS(HIST_SCORE!$D:$D,HIST_SCORE!$B:$B,PARAMS_MODELO!$B$4,HIST_SCORE!$C:$C,$A775),"")</f>
        <v>0.96048765296288252</v>
      </c>
      <c r="Z775" s="5" t="str">
        <f t="shared" si="293"/>
        <v>→ Estable</v>
      </c>
      <c r="AA775" s="5">
        <f t="shared" si="294"/>
        <v>133</v>
      </c>
      <c r="AB775" s="5">
        <f>IFERROR(SUMIFS(HIST_SCORE!$F:$F,HIST_SCORE!$B:$B,PARAMS_MODELO!$B$4,HIST_SCORE!$C:$C,$A775),"")</f>
        <v>147</v>
      </c>
      <c r="AC775" s="5">
        <f t="shared" si="295"/>
        <v>14</v>
      </c>
      <c r="AD775" t="str">
        <f t="shared" si="297"/>
        <v/>
      </c>
      <c r="AE7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775="CERRADO",1,IF(V775="BRONCE",_xlpm.cPl,IF(V775="PLATA",_xlpm.cO,IF(V775="ORO",_xlpm.cP,IF(V775="PLATINO",_xlpm.cD,999))))))</f>
        <v>96.054919694466676</v>
      </c>
      <c r="AF7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775="CERRADO",0,IF(V775="BRONCE",1,IF(V775="PLATA",_xlpm.cPl,IF(V775="ORO",_xlpm.cO,IF(V775="PLATINO",_xlpm.cP,_xlpm.cD))))))</f>
        <v>86.439123873763251</v>
      </c>
      <c r="AG775">
        <f t="shared" si="298"/>
        <v>5.403727662362968</v>
      </c>
      <c r="AH775" t="str">
        <f t="shared" si="299"/>
        <v>VENTAS</v>
      </c>
      <c r="AI775" t="str">
        <f t="shared" si="296"/>
        <v>🎯 Para subir de categoría, eje VENTAS / IMPACTO ABSOLUTO (H). Acción: metas semanales + activación comercial + seguimiento del asesor. ΔR aprox: 5,4</v>
      </c>
      <c r="AJ775" s="26">
        <f>_xlfn.LET(_xlpm.piso,AF775,_xlpm.corte,AE775,_xlpm.prog,IF(_xlpm.corte&lt;=_xlpm.piso,0,MAX(0,MIN(1,(U775-_xlpm.piso)/(_xlpm.corte-_xlpm.piso)))),_xlpm.orden,{"DIAMANTE";"PLATINO";"ORO";"PLATA";"BRONCE";"CERRADO"},_xlpm.act,IFERROR(MATCH(V775,_xlpm.orden,0),6),_xlpm.ant,IFERROR(MATCH(W775,_xlpm.orden,0),6),_xlpm.ajmov,IF(_xlpm.act&lt;_xlpm.ant,0.08,IF(_xlpm.act&gt;_xlpm.ant,-0.08,0)),_xlpm.ajcli,IF(T775&lt;0.95,-0.06,0),_xlpm.prob,MAX(0,MIN(1,_xlpm.prog+_xlpm.ajmov+_xlpm.ajcli)),IF(OR(V775="DIAMANTE",V775="CERRADO"),0,ROUND(_xlpm.prob,2)))</f>
        <v>0.38</v>
      </c>
      <c r="AK775" t="str">
        <f t="shared" si="300"/>
        <v>Faltan 5,4 puntos base para subir a la siguiente categoría</v>
      </c>
      <c r="AL775" t="str">
        <f t="shared" si="301"/>
        <v>Margen de seguridad: 3,7 puntos</v>
      </c>
      <c r="AM775">
        <f t="shared" si="302"/>
        <v>0.46</v>
      </c>
      <c r="AN775" t="str">
        <f t="shared" si="303"/>
        <v>PRIORIDAD MEDIA – seguimiento del asesor</v>
      </c>
      <c r="AO775">
        <f t="shared" si="304"/>
        <v>10.062319753591437</v>
      </c>
      <c r="AP775">
        <f t="shared" si="305"/>
        <v>1.52468718336631</v>
      </c>
      <c r="AQ775">
        <f t="shared" si="306"/>
        <v>1.0999999999997812E-2</v>
      </c>
      <c r="AR775">
        <f t="shared" si="307"/>
        <v>8.14</v>
      </c>
      <c r="AS775">
        <f t="shared" si="308"/>
        <v>0</v>
      </c>
      <c r="AT775" t="str">
        <f t="shared" si="309"/>
        <v>VENTAS</v>
      </c>
      <c r="AU775">
        <f t="shared" si="310"/>
        <v>10.062319753591437</v>
      </c>
      <c r="AV775" t="str">
        <f t="shared" si="311"/>
        <v>Mayor retorno probable: VENTAS (+10,1 puntos finales potenciales).</v>
      </c>
    </row>
    <row r="776" spans="1:48" x14ac:dyDescent="0.3">
      <c r="A776" s="5">
        <v>51002539</v>
      </c>
      <c r="B776" s="5" t="str">
        <f>IFERROR(VLOOKUP(A776,VENTAS!$A$2:$B$1194,2,0),"")</f>
        <v>ARGUELLO</v>
      </c>
      <c r="C776" s="5">
        <f>IFERROR(INDEX(VENTAS!$C$2:$E$1194,MATCH(A776,VENTAS!$A$2:$A$1194,0),MATCH(PARAMS_MODELO!$B$2,{"Q1","Q2","Q3"},0)),0)</f>
        <v>103259762.88</v>
      </c>
      <c r="D776" s="5">
        <f>IFERROR(INDEX(VENTAS!$F$2:$H$1194,MATCH(A776,VENTAS!$A$2:$A$1194,0),MATCH(PARAMS_MODELO!$B$2,{"Q1","Q2","Q3"},0)),0)</f>
        <v>49330333</v>
      </c>
      <c r="E776" s="8">
        <f t="shared" si="288"/>
        <v>-0.52226954987948537</v>
      </c>
      <c r="F776" s="12">
        <f>IF(E776&lt;=PARAMS_MODELO!$B$15,0,IF(E776&gt;=PARAMS_MODELO!$B$17,100,100*MIN(1,(E776-PARAMS_MODELO!$B$15)/(PARAMS_MODELO!$B$16-PARAMS_MODELO!$B$15))))*PARAMS_MODELO!$B$7</f>
        <v>0</v>
      </c>
      <c r="G776" s="5">
        <f t="shared" si="289"/>
        <v>0</v>
      </c>
      <c r="H776" s="5">
        <f>(PARAMS_MODELO!$B$20*(MAX(0,MIN(3,E776))/3)+PARAMS_MODELO!$B$21*(IFERROR(LN(1+MAX(0,G776))/LN(1+MAX(0,MAX($G$2:$G$1194))),0)))*100*PARAMS_MODELO!$B$8</f>
        <v>0</v>
      </c>
      <c r="I776" s="8">
        <f>E776-PARAMS_MODELO!$B$5</f>
        <v>-0.6998323852550119</v>
      </c>
      <c r="J776" s="5">
        <f>IF(I776&lt;=PARAMS_MODELO!$B$18,0,IF(I776&gt;=PARAMS_MODELO!$B$19,100,100*(I776-PARAMS_MODELO!$B$18)/(PARAMS_MODELO!$B$19-PARAMS_MODELO!$B$18)))*PARAMS_MODELO!$B$9</f>
        <v>0</v>
      </c>
      <c r="K776" s="5">
        <f>IFERROR(CHOOSE(MATCH(PARAMS_MODELO!$B$2,{"Q1","Q2","Q3"},0),LOTO!$D776,LOTO!$F776,LOTO!$H776),0)</f>
        <v>2242500</v>
      </c>
      <c r="L776" s="8">
        <f t="shared" si="290"/>
        <v>4.5458845777505696E-2</v>
      </c>
      <c r="M776" s="5">
        <f>MIN(100,IF(PARAMS_MODELO!$B$23=0,0,100*L776/PARAMS_MODELO!$B$23))*PARAMS_MODELO!$B$10</f>
        <v>13.63765373325171</v>
      </c>
      <c r="N776" s="5">
        <f>IFERROR(VLOOKUP(A776,COMPLIANCE!$A$2:$F$1996,6,0),100)</f>
        <v>100</v>
      </c>
      <c r="O776" s="5">
        <f>N776*PARAMS_MODELO!$B$11</f>
        <v>10</v>
      </c>
      <c r="P776" s="5">
        <f>IFERROR(VLOOKUP(A776,DIGITAL!$A$2:$J$2000,7,0),100)</f>
        <v>90</v>
      </c>
      <c r="Q776" s="5">
        <f>IFERROR(P776,0)*PARAMS_MODELO!$B$12</f>
        <v>9</v>
      </c>
      <c r="R776">
        <f t="shared" si="291"/>
        <v>32.63765373325171</v>
      </c>
      <c r="S776" s="5" t="str">
        <f>IFERROR(VLOOKUP(A776,CLIENTE!$A$2:$N$2000,13,0),1)</f>
        <v>Excelente</v>
      </c>
      <c r="T776" s="5">
        <f>IFERROR(VLOOKUP(A776,CLIENTE!$A$2:$N$2000,14,0),1)</f>
        <v>1.2</v>
      </c>
      <c r="U776" s="5">
        <f t="shared" si="292"/>
        <v>39.165184479902052</v>
      </c>
      <c r="V776" s="5" t="str">
        <f>IF(U776&gt;=MAX(_xlfn.PERCENTILE.INC($U$2:$U$1194,PARAMS_MODELO!$B$50),PARAMS_MODELO!$B$45),"DIAMANTE",IF(U776&gt;=MAX(_xlfn.PERCENTILE.INC($U$2:$U$1194,PARAMS_MODELO!$B$51),PARAMS_MODELO!$B$46),"PLATINO",IF(U776&gt;=MAX(_xlfn.PERCENTILE.INC($U$2:$U$1194,PARAMS_MODELO!$B$52),PARAMS_MODELO!$B$47),"ORO",IF(U776&gt;=MAX(_xlfn.PERCENTILE.INC($U$2:$U$1194,PARAMS_MODELO!$B$53),PARAMS_MODELO!$B$48),"PLATA",IF(U776&gt;=1,"BRONCE","CERRADO")))))</f>
        <v>PLATA</v>
      </c>
      <c r="W776" s="5" t="str" cm="1">
        <f t="array" ref="W776">_xlfn.XLOOKUP(1, (HIST_SCORE!$B:$B=PARAMS_MODELO!$B$4) * (HIST_SCORE!$C:$C=A776), HIST_SCORE!$E:$E, "No encontrado")</f>
        <v>PLATA</v>
      </c>
      <c r="X776" s="5" t="str">
        <f>_xlfn.LET(_xlpm.act,MATCH(V776,{"DIAMANTE";"PLATINO";"ORO";"PLATA";"BRONCE";"CERRADO"},0),_xlpm.ant,MATCH(W776,{"DIAMANTE";"PLATINO";"ORO";"PLATA";"BRONCE";"CERRADO"},0),IF(_xlpm.act&lt;_xlpm.ant,"Mejora ↑",IF(_xlpm.act&gt;_xlpm.ant,"Baja ↓","Estable →")))</f>
        <v>Estable →</v>
      </c>
      <c r="Y776" s="5">
        <f>IFERROR(U776-SUMIFS(HIST_SCORE!$D:$D,HIST_SCORE!$B:$B,PARAMS_MODELO!$B$4,HIST_SCORE!$C:$C,$A776),"")</f>
        <v>4.1193365071231085</v>
      </c>
      <c r="Z776" s="5" t="str">
        <f t="shared" si="293"/>
        <v>→ Estable</v>
      </c>
      <c r="AA776" s="5">
        <f t="shared" si="294"/>
        <v>791</v>
      </c>
      <c r="AB776" s="5">
        <f>IFERROR(SUMIFS(HIST_SCORE!$F:$F,HIST_SCORE!$B:$B,PARAMS_MODELO!$B$4,HIST_SCORE!$C:$C,$A776),"")</f>
        <v>866</v>
      </c>
      <c r="AC776" s="5">
        <f t="shared" si="295"/>
        <v>75</v>
      </c>
      <c r="AD776" t="str">
        <f t="shared" si="297"/>
        <v/>
      </c>
      <c r="AE7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776="CERRADO",1,IF(V776="BRONCE",_xlpm.cPl,IF(V776="PLATA",_xlpm.cO,IF(V776="ORO",_xlpm.cP,IF(V776="PLATINO",_xlpm.cD,999))))))</f>
        <v>63.199193273331495</v>
      </c>
      <c r="AF7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776="CERRADO",0,IF(V776="BRONCE",1,IF(V776="PLATA",_xlpm.cPl,IF(V776="ORO",_xlpm.cO,IF(V776="PLATINO",_xlpm.cP,_xlpm.cD))))))</f>
        <v>24.506573482968111</v>
      </c>
      <c r="AG776">
        <f t="shared" si="298"/>
        <v>20.028340661191201</v>
      </c>
      <c r="AH776" t="str">
        <f t="shared" si="299"/>
        <v>VENTAS</v>
      </c>
      <c r="AI776" t="str">
        <f t="shared" si="296"/>
        <v>🎯 Para subir de categoría, eje VENTAS / CRECIMIENTO PERSONAL (F). Acción: metas semanales + activación comercial + seguimiento del asesor. ΔR aprox: 20,0</v>
      </c>
      <c r="AJ776" s="26">
        <f>_xlfn.LET(_xlpm.piso,AF776,_xlpm.corte,AE776,_xlpm.prog,IF(_xlpm.corte&lt;=_xlpm.piso,0,MAX(0,MIN(1,(U776-_xlpm.piso)/(_xlpm.corte-_xlpm.piso)))),_xlpm.orden,{"DIAMANTE";"PLATINO";"ORO";"PLATA";"BRONCE";"CERRADO"},_xlpm.act,IFERROR(MATCH(V776,_xlpm.orden,0),6),_xlpm.ant,IFERROR(MATCH(W776,_xlpm.orden,0),6),_xlpm.ajmov,IF(_xlpm.act&lt;_xlpm.ant,0.08,IF(_xlpm.act&gt;_xlpm.ant,-0.08,0)),_xlpm.ajcli,IF(T776&lt;0.95,-0.06,0),_xlpm.prob,MAX(0,MIN(1,_xlpm.prog+_xlpm.ajmov+_xlpm.ajcli)),IF(OR(V776="DIAMANTE",V776="CERRADO"),0,ROUND(_xlpm.prob,2)))</f>
        <v>0.38</v>
      </c>
      <c r="AK776" t="str">
        <f t="shared" si="300"/>
        <v>Faltan 20,0 puntos base para subir a la siguiente categoría</v>
      </c>
      <c r="AL776" t="str">
        <f t="shared" si="301"/>
        <v>Margen de seguridad: 14,7 puntos</v>
      </c>
      <c r="AM776">
        <f t="shared" si="302"/>
        <v>0.65</v>
      </c>
      <c r="AN776" t="str">
        <f t="shared" si="303"/>
        <v>PRIORIDAD MEDIA – seguimiento del asesor</v>
      </c>
      <c r="AO776">
        <f t="shared" si="304"/>
        <v>77.835083130354704</v>
      </c>
      <c r="AP776">
        <f t="shared" si="305"/>
        <v>1.6348155200979477</v>
      </c>
      <c r="AQ776">
        <f t="shared" si="306"/>
        <v>0</v>
      </c>
      <c r="AR776">
        <f t="shared" si="307"/>
        <v>1.2</v>
      </c>
      <c r="AS776">
        <f t="shared" si="308"/>
        <v>0</v>
      </c>
      <c r="AT776" t="str">
        <f t="shared" si="309"/>
        <v>VENTAS</v>
      </c>
      <c r="AU776">
        <f t="shared" si="310"/>
        <v>77.835083130354704</v>
      </c>
      <c r="AV776" t="str">
        <f t="shared" si="311"/>
        <v>Mayor retorno probable: VENTAS (+77,8 puntos finales potenciales).</v>
      </c>
    </row>
    <row r="777" spans="1:48" x14ac:dyDescent="0.3">
      <c r="A777" s="5">
        <v>51031806</v>
      </c>
      <c r="B777" s="5" t="str">
        <f>IFERROR(VLOOKUP(A777,VENTAS!$A$2:$B$1194,2,0),"")</f>
        <v>ROBERTS</v>
      </c>
      <c r="C777" s="5">
        <f>IFERROR(INDEX(VENTAS!$C$2:$E$1194,MATCH(A777,VENTAS!$A$2:$A$1194,0),MATCH(PARAMS_MODELO!$B$2,{"Q1","Q2","Q3"},0)),0)</f>
        <v>46709625.670000002</v>
      </c>
      <c r="D777" s="5">
        <f>IFERROR(INDEX(VENTAS!$F$2:$H$1194,MATCH(A777,VENTAS!$A$2:$A$1194,0),MATCH(PARAMS_MODELO!$B$2,{"Q1","Q2","Q3"},0)),0)</f>
        <v>49277519</v>
      </c>
      <c r="E777" s="8">
        <f t="shared" si="288"/>
        <v>5.497567777875112E-2</v>
      </c>
      <c r="F777" s="12">
        <f>IF(E777&lt;=PARAMS_MODELO!$B$15,0,IF(E777&gt;=PARAMS_MODELO!$B$17,100,100*MIN(1,(E777-PARAMS_MODELO!$B$15)/(PARAMS_MODELO!$B$16-PARAMS_MODELO!$B$15))))*PARAMS_MODELO!$B$7</f>
        <v>19.241487222562892</v>
      </c>
      <c r="G777" s="5">
        <f t="shared" si="289"/>
        <v>2567893.3299999982</v>
      </c>
      <c r="H777" s="5">
        <f>(PARAMS_MODELO!$B$20*(MAX(0,MIN(3,E777))/3)+PARAMS_MODELO!$B$21*(IFERROR(LN(1+MAX(0,G777))/LN(1+MAX(0,MAX($G$2:$G$1194))),0)))*100*PARAMS_MODELO!$B$8</f>
        <v>3.6520360010334327</v>
      </c>
      <c r="I777" s="8">
        <f>E777-PARAMS_MODELO!$B$5</f>
        <v>-0.12258715759677541</v>
      </c>
      <c r="J777" s="5">
        <f>IF(I777&lt;=PARAMS_MODELO!$B$18,0,IF(I777&gt;=PARAMS_MODELO!$B$19,100,100*(I777-PARAMS_MODELO!$B$18)/(PARAMS_MODELO!$B$19-PARAMS_MODELO!$B$18)))*PARAMS_MODELO!$B$9</f>
        <v>0</v>
      </c>
      <c r="K777" s="5">
        <f>IFERROR(CHOOSE(MATCH(PARAMS_MODELO!$B$2,{"Q1","Q2","Q3"},0),LOTO!$D777,LOTO!$F777,LOTO!$H777),0)</f>
        <v>2240000</v>
      </c>
      <c r="L777" s="8">
        <f t="shared" si="290"/>
        <v>4.5456833977376175E-2</v>
      </c>
      <c r="M777" s="5">
        <f>MIN(100,IF(PARAMS_MODELO!$B$23=0,0,100*L777/PARAMS_MODELO!$B$23))*PARAMS_MODELO!$B$10</f>
        <v>13.637050193212851</v>
      </c>
      <c r="N777" s="5">
        <f>IFERROR(VLOOKUP(A777,COMPLIANCE!$A$2:$F$1996,6,0),100)</f>
        <v>100</v>
      </c>
      <c r="O777" s="5">
        <f>N777*PARAMS_MODELO!$B$11</f>
        <v>10</v>
      </c>
      <c r="P777" s="5">
        <f>IFERROR(VLOOKUP(A777,DIGITAL!$A$2:$J$2000,7,0),100)</f>
        <v>57</v>
      </c>
      <c r="Q777" s="5">
        <f>IFERROR(P777,0)*PARAMS_MODELO!$B$12</f>
        <v>5.7</v>
      </c>
      <c r="R777">
        <f t="shared" si="291"/>
        <v>52.230573416809179</v>
      </c>
      <c r="S777" s="5" t="str">
        <f>IFERROR(VLOOKUP(A777,CLIENTE!$A$2:$N$2000,13,0),1)</f>
        <v>Malo</v>
      </c>
      <c r="T777" s="5">
        <f>IFERROR(VLOOKUP(A777,CLIENTE!$A$2:$N$2000,14,0),1)</f>
        <v>0.7</v>
      </c>
      <c r="U777" s="5">
        <f t="shared" si="292"/>
        <v>36.561401391766424</v>
      </c>
      <c r="V777" s="5" t="str">
        <f>IF(U777&gt;=MAX(_xlfn.PERCENTILE.INC($U$2:$U$1194,PARAMS_MODELO!$B$50),PARAMS_MODELO!$B$45),"DIAMANTE",IF(U777&gt;=MAX(_xlfn.PERCENTILE.INC($U$2:$U$1194,PARAMS_MODELO!$B$51),PARAMS_MODELO!$B$46),"PLATINO",IF(U777&gt;=MAX(_xlfn.PERCENTILE.INC($U$2:$U$1194,PARAMS_MODELO!$B$52),PARAMS_MODELO!$B$47),"ORO",IF(U777&gt;=MAX(_xlfn.PERCENTILE.INC($U$2:$U$1194,PARAMS_MODELO!$B$53),PARAMS_MODELO!$B$48),"PLATA",IF(U777&gt;=1,"BRONCE","CERRADO")))))</f>
        <v>PLATA</v>
      </c>
      <c r="W777" s="5" t="str" cm="1">
        <f t="array" ref="W777">_xlfn.XLOOKUP(1, (HIST_SCORE!$B:$B=PARAMS_MODELO!$B$4) * (HIST_SCORE!$C:$C=A777), HIST_SCORE!$E:$E, "No encontrado")</f>
        <v>PLATA</v>
      </c>
      <c r="X777" s="5" t="str">
        <f>_xlfn.LET(_xlpm.act,MATCH(V777,{"DIAMANTE";"PLATINO";"ORO";"PLATA";"BRONCE";"CERRADO"},0),_xlpm.ant,MATCH(W777,{"DIAMANTE";"PLATINO";"ORO";"PLATA";"BRONCE";"CERRADO"},0),IF(_xlpm.act&lt;_xlpm.ant,"Mejora ↑",IF(_xlpm.act&gt;_xlpm.ant,"Baja ↓","Estable →")))</f>
        <v>Estable →</v>
      </c>
      <c r="Y777" s="5">
        <f>IFERROR(U777-SUMIFS(HIST_SCORE!$D:$D,HIST_SCORE!$B:$B,PARAMS_MODELO!$B$4,HIST_SCORE!$C:$C,$A777),"")</f>
        <v>-10.968703031910252</v>
      </c>
      <c r="Z777" s="5" t="str">
        <f t="shared" si="293"/>
        <v>↓ Baja</v>
      </c>
      <c r="AA777" s="5">
        <f t="shared" si="294"/>
        <v>801</v>
      </c>
      <c r="AB777" s="5">
        <f>IFERROR(SUMIFS(HIST_SCORE!$F:$F,HIST_SCORE!$B:$B,PARAMS_MODELO!$B$4,HIST_SCORE!$C:$C,$A777),"")</f>
        <v>799</v>
      </c>
      <c r="AC777" s="5">
        <f t="shared" si="295"/>
        <v>-2</v>
      </c>
      <c r="AD777" t="str">
        <f t="shared" si="297"/>
        <v/>
      </c>
      <c r="AE7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777="CERRADO",1,IF(V777="BRONCE",_xlpm.cPl,IF(V777="PLATA",_xlpm.cO,IF(V777="ORO",_xlpm.cP,IF(V777="PLATINO",_xlpm.cD,999))))))</f>
        <v>63.199193273331495</v>
      </c>
      <c r="AF7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777="CERRADO",0,IF(V777="BRONCE",1,IF(V777="PLATA",_xlpm.cPl,IF(V777="ORO",_xlpm.cO,IF(V777="PLATINO",_xlpm.cP,_xlpm.cD))))))</f>
        <v>24.506573482968111</v>
      </c>
      <c r="AG777">
        <f t="shared" si="298"/>
        <v>38.053988402235817</v>
      </c>
      <c r="AH777" t="str">
        <f t="shared" si="299"/>
        <v>VENTAS</v>
      </c>
      <c r="AI777" t="str">
        <f t="shared" si="296"/>
        <v>🎯 Para subir de categoría, eje VENTAS / DIFERENCIAL vs LOTBA (J). Acción: metas semanales + activación comercial + seguimiento del asesor. ΔR aprox: 38,1</v>
      </c>
      <c r="AJ777" s="26">
        <f>_xlfn.LET(_xlpm.piso,AF777,_xlpm.corte,AE777,_xlpm.prog,IF(_xlpm.corte&lt;=_xlpm.piso,0,MAX(0,MIN(1,(U777-_xlpm.piso)/(_xlpm.corte-_xlpm.piso)))),_xlpm.orden,{"DIAMANTE";"PLATINO";"ORO";"PLATA";"BRONCE";"CERRADO"},_xlpm.act,IFERROR(MATCH(V777,_xlpm.orden,0),6),_xlpm.ant,IFERROR(MATCH(W777,_xlpm.orden,0),6),_xlpm.ajmov,IF(_xlpm.act&lt;_xlpm.ant,0.08,IF(_xlpm.act&gt;_xlpm.ant,-0.08,0)),_xlpm.ajcli,IF(T777&lt;0.95,-0.06,0),_xlpm.prob,MAX(0,MIN(1,_xlpm.prog+_xlpm.ajmov+_xlpm.ajcli)),IF(OR(V777="DIAMANTE",V777="CERRADO"),0,ROUND(_xlpm.prob,2)))</f>
        <v>0.25</v>
      </c>
      <c r="AK777" t="str">
        <f t="shared" si="300"/>
        <v>Faltan 38,1 puntos base para subir a la siguiente categoría</v>
      </c>
      <c r="AL777" t="str">
        <f t="shared" si="301"/>
        <v>Margen de seguridad: 12,1 puntos</v>
      </c>
      <c r="AM777">
        <f t="shared" si="302"/>
        <v>0.9</v>
      </c>
      <c r="AN777" t="str">
        <f t="shared" si="303"/>
        <v>PRIORIDAD ALTA – requiere intervención inmediata</v>
      </c>
      <c r="AO777">
        <f t="shared" si="304"/>
        <v>29.378332236189479</v>
      </c>
      <c r="AP777">
        <f t="shared" si="305"/>
        <v>0.9540648647510046</v>
      </c>
      <c r="AQ777">
        <f t="shared" si="306"/>
        <v>0</v>
      </c>
      <c r="AR777">
        <f t="shared" si="307"/>
        <v>3.01</v>
      </c>
      <c r="AS777">
        <f t="shared" si="308"/>
        <v>15.669172025042757</v>
      </c>
      <c r="AT777" t="str">
        <f t="shared" si="309"/>
        <v>VENTAS</v>
      </c>
      <c r="AU777">
        <f t="shared" si="310"/>
        <v>29.378332236189479</v>
      </c>
      <c r="AV777" t="str">
        <f t="shared" si="311"/>
        <v>Mayor retorno probable: VENTAS (+29,4 puntos finales potenciales).</v>
      </c>
    </row>
    <row r="778" spans="1:48" x14ac:dyDescent="0.3">
      <c r="A778" s="5">
        <v>51044410</v>
      </c>
      <c r="B778" s="5" t="str">
        <f>IFERROR(VLOOKUP(A778,VENTAS!$A$2:$B$1194,2,0),"")</f>
        <v>METTLER</v>
      </c>
      <c r="C778" s="5">
        <f>IFERROR(INDEX(VENTAS!$C$2:$E$1194,MATCH(A778,VENTAS!$A$2:$A$1194,0),MATCH(PARAMS_MODELO!$B$2,{"Q1","Q2","Q3"},0)),0)</f>
        <v>42688634.609999999</v>
      </c>
      <c r="D778" s="5">
        <f>IFERROR(INDEX(VENTAS!$F$2:$H$1194,MATCH(A778,VENTAS!$A$2:$A$1194,0),MATCH(PARAMS_MODELO!$B$2,{"Q1","Q2","Q3"},0)),0)</f>
        <v>48959542</v>
      </c>
      <c r="E778" s="8">
        <f t="shared" si="288"/>
        <v>0.14689875765037974</v>
      </c>
      <c r="F778" s="12">
        <f>IF(E778&lt;=PARAMS_MODELO!$B$15,0,IF(E778&gt;=PARAMS_MODELO!$B$17,100,100*MIN(1,(E778-PARAMS_MODELO!$B$15)/(PARAMS_MODELO!$B$16-PARAMS_MODELO!$B$15))))*PARAMS_MODELO!$B$7</f>
        <v>35</v>
      </c>
      <c r="G778" s="5">
        <f t="shared" si="289"/>
        <v>6270907.3900000006</v>
      </c>
      <c r="H778" s="5">
        <f>(PARAMS_MODELO!$B$20*(MAX(0,MIN(3,E778))/3)+PARAMS_MODELO!$B$21*(IFERROR(LN(1+MAX(0,G778))/LN(1+MAX(0,MAX($G$2:$G$1194))),0)))*100*PARAMS_MODELO!$B$8</f>
        <v>4.1830597660651092</v>
      </c>
      <c r="I778" s="8">
        <f>E778-PARAMS_MODELO!$B$5</f>
        <v>-3.0664077725146788E-2</v>
      </c>
      <c r="J778" s="5">
        <f>IF(I778&lt;=PARAMS_MODELO!$B$18,0,IF(I778&gt;=PARAMS_MODELO!$B$19,100,100*(I778-PARAMS_MODELO!$B$18)/(PARAMS_MODELO!$B$19-PARAMS_MODELO!$B$18)))*PARAMS_MODELO!$B$9</f>
        <v>2.9003883412279818</v>
      </c>
      <c r="K778" s="5">
        <f>IFERROR(CHOOSE(MATCH(PARAMS_MODELO!$B$2,{"Q1","Q2","Q3"},0),LOTO!$D778,LOTO!$F778,LOTO!$H778),0)</f>
        <v>2240000</v>
      </c>
      <c r="L778" s="8">
        <f t="shared" si="290"/>
        <v>4.5752061978030757E-2</v>
      </c>
      <c r="M778" s="5">
        <f>MIN(100,IF(PARAMS_MODELO!$B$23=0,0,100*L778/PARAMS_MODELO!$B$23))*PARAMS_MODELO!$B$10</f>
        <v>13.725618593409225</v>
      </c>
      <c r="N778" s="5">
        <f>IFERROR(VLOOKUP(A778,COMPLIANCE!$A$2:$F$1996,6,0),100)</f>
        <v>99.98</v>
      </c>
      <c r="O778" s="5">
        <f>N778*PARAMS_MODELO!$B$11</f>
        <v>9.9980000000000011</v>
      </c>
      <c r="P778" s="5">
        <f>IFERROR(VLOOKUP(A778,DIGITAL!$A$2:$J$2000,7,0),100)</f>
        <v>91</v>
      </c>
      <c r="Q778" s="5">
        <f>IFERROR(P778,0)*PARAMS_MODELO!$B$12</f>
        <v>9.1</v>
      </c>
      <c r="R778">
        <f t="shared" si="291"/>
        <v>74.907066700702302</v>
      </c>
      <c r="S778" s="5" t="str">
        <f>IFERROR(VLOOKUP(A778,CLIENTE!$A$2:$N$2000,13,0),1)</f>
        <v>Malo</v>
      </c>
      <c r="T778" s="5">
        <f>IFERROR(VLOOKUP(A778,CLIENTE!$A$2:$N$2000,14,0),1)</f>
        <v>0.7</v>
      </c>
      <c r="U778" s="5">
        <f t="shared" si="292"/>
        <v>52.434946690491607</v>
      </c>
      <c r="V778" s="5" t="str">
        <f>IF(U778&gt;=MAX(_xlfn.PERCENTILE.INC($U$2:$U$1194,PARAMS_MODELO!$B$50),PARAMS_MODELO!$B$45),"DIAMANTE",IF(U778&gt;=MAX(_xlfn.PERCENTILE.INC($U$2:$U$1194,PARAMS_MODELO!$B$51),PARAMS_MODELO!$B$46),"PLATINO",IF(U778&gt;=MAX(_xlfn.PERCENTILE.INC($U$2:$U$1194,PARAMS_MODELO!$B$52),PARAMS_MODELO!$B$47),"ORO",IF(U778&gt;=MAX(_xlfn.PERCENTILE.INC($U$2:$U$1194,PARAMS_MODELO!$B$53),PARAMS_MODELO!$B$48),"PLATA",IF(U778&gt;=1,"BRONCE","CERRADO")))))</f>
        <v>PLATA</v>
      </c>
      <c r="W778" s="5" t="str" cm="1">
        <f t="array" ref="W778">_xlfn.XLOOKUP(1, (HIST_SCORE!$B:$B=PARAMS_MODELO!$B$4) * (HIST_SCORE!$C:$C=A778), HIST_SCORE!$E:$E, "No encontrado")</f>
        <v>PLATA</v>
      </c>
      <c r="X778" s="5" t="str">
        <f>_xlfn.LET(_xlpm.act,MATCH(V778,{"DIAMANTE";"PLATINO";"ORO";"PLATA";"BRONCE";"CERRADO"},0),_xlpm.ant,MATCH(W778,{"DIAMANTE";"PLATINO";"ORO";"PLATA";"BRONCE";"CERRADO"},0),IF(_xlpm.act&lt;_xlpm.ant,"Mejora ↑",IF(_xlpm.act&gt;_xlpm.ant,"Baja ↓","Estable →")))</f>
        <v>Estable →</v>
      </c>
      <c r="Y778" s="5">
        <f>IFERROR(U778-SUMIFS(HIST_SCORE!$D:$D,HIST_SCORE!$B:$B,PARAMS_MODELO!$B$4,HIST_SCORE!$C:$C,$A778),"")</f>
        <v>-10.053123029440691</v>
      </c>
      <c r="Z778" s="5" t="str">
        <f t="shared" si="293"/>
        <v>↓ Baja</v>
      </c>
      <c r="AA778" s="5">
        <f t="shared" si="294"/>
        <v>727</v>
      </c>
      <c r="AB778" s="5">
        <f>IFERROR(SUMIFS(HIST_SCORE!$F:$F,HIST_SCORE!$B:$B,PARAMS_MODELO!$B$4,HIST_SCORE!$C:$C,$A778),"")</f>
        <v>601</v>
      </c>
      <c r="AC778" s="5">
        <f t="shared" si="295"/>
        <v>-126</v>
      </c>
      <c r="AD778" t="str">
        <f t="shared" si="297"/>
        <v/>
      </c>
      <c r="AE7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778="CERRADO",1,IF(V778="BRONCE",_xlpm.cPl,IF(V778="PLATA",_xlpm.cO,IF(V778="ORO",_xlpm.cP,IF(V778="PLATINO",_xlpm.cD,999))))))</f>
        <v>63.199193273331495</v>
      </c>
      <c r="AF7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778="CERRADO",0,IF(V778="BRONCE",1,IF(V778="PLATA",_xlpm.cPl,IF(V778="ORO",_xlpm.cO,IF(V778="PLATINO",_xlpm.cP,_xlpm.cD))))))</f>
        <v>24.506573482968111</v>
      </c>
      <c r="AG778">
        <f t="shared" si="298"/>
        <v>15.377495118342694</v>
      </c>
      <c r="AH778" t="str">
        <f t="shared" si="299"/>
        <v>CLIENTE</v>
      </c>
      <c r="AI778" t="str">
        <f t="shared" si="296"/>
        <v>🎯 Para subir de categoría, la eje con mayor impacto probable es CLIENTE (coef T). Acción: reducir quejas, mejorar incógnito y empujar reseñas. ΔR aprox: 15,4</v>
      </c>
      <c r="AJ778" s="26">
        <f>_xlfn.LET(_xlpm.piso,AF778,_xlpm.corte,AE778,_xlpm.prog,IF(_xlpm.corte&lt;=_xlpm.piso,0,MAX(0,MIN(1,(U778-_xlpm.piso)/(_xlpm.corte-_xlpm.piso)))),_xlpm.orden,{"DIAMANTE";"PLATINO";"ORO";"PLATA";"BRONCE";"CERRADO"},_xlpm.act,IFERROR(MATCH(V778,_xlpm.orden,0),6),_xlpm.ant,IFERROR(MATCH(W778,_xlpm.orden,0),6),_xlpm.ajmov,IF(_xlpm.act&lt;_xlpm.ant,0.08,IF(_xlpm.act&gt;_xlpm.ant,-0.08,0)),_xlpm.ajcli,IF(T778&lt;0.95,-0.06,0),_xlpm.prob,MAX(0,MIN(1,_xlpm.prog+_xlpm.ajmov+_xlpm.ajcli)),IF(OR(V778="DIAMANTE",V778="CERRADO"),0,ROUND(_xlpm.prob,2)))</f>
        <v>0.66</v>
      </c>
      <c r="AK778" t="str">
        <f t="shared" si="300"/>
        <v>Faltan 15,4 puntos base para subir a la siguiente categoría</v>
      </c>
      <c r="AL778" t="str">
        <f t="shared" si="301"/>
        <v>Margen de seguridad: 27,9 puntos</v>
      </c>
      <c r="AM778">
        <f t="shared" si="302"/>
        <v>0.74</v>
      </c>
      <c r="AN778" t="str">
        <f t="shared" si="303"/>
        <v>PRIORIDAD ALTA – requiere intervención inmediata</v>
      </c>
      <c r="AO778">
        <f t="shared" si="304"/>
        <v>15.945384817601747</v>
      </c>
      <c r="AP778">
        <f t="shared" si="305"/>
        <v>0.89206698461354261</v>
      </c>
      <c r="AQ778">
        <f t="shared" si="306"/>
        <v>1.3999999999992239E-3</v>
      </c>
      <c r="AR778">
        <f t="shared" si="307"/>
        <v>0.63000000000000023</v>
      </c>
      <c r="AS778">
        <f t="shared" si="308"/>
        <v>22.472120010210695</v>
      </c>
      <c r="AT778" t="str">
        <f t="shared" si="309"/>
        <v>CLIENTE</v>
      </c>
      <c r="AU778">
        <f t="shared" si="310"/>
        <v>22.472120010210695</v>
      </c>
      <c r="AV778" t="str">
        <f t="shared" si="311"/>
        <v>Mayor retorno probable: CLIENTE (+22,5 puntos finales potenciales).</v>
      </c>
    </row>
    <row r="779" spans="1:48" x14ac:dyDescent="0.3">
      <c r="A779" s="5">
        <v>51033248</v>
      </c>
      <c r="B779" s="5" t="str">
        <f>IFERROR(VLOOKUP(A779,VENTAS!$A$2:$B$1194,2,0),"")</f>
        <v>MONTENEGRO</v>
      </c>
      <c r="C779" s="5">
        <f>IFERROR(INDEX(VENTAS!$C$2:$E$1194,MATCH(A779,VENTAS!$A$2:$A$1194,0),MATCH(PARAMS_MODELO!$B$2,{"Q1","Q2","Q3"},0)),0)</f>
        <v>54784865.340000004</v>
      </c>
      <c r="D779" s="5">
        <f>IFERROR(INDEX(VENTAS!$F$2:$H$1194,MATCH(A779,VENTAS!$A$2:$A$1194,0),MATCH(PARAMS_MODELO!$B$2,{"Q1","Q2","Q3"},0)),0)</f>
        <v>48957753</v>
      </c>
      <c r="E779" s="8">
        <f t="shared" si="288"/>
        <v>-0.10636354226365985</v>
      </c>
      <c r="F779" s="12">
        <f>IF(E779&lt;=PARAMS_MODELO!$B$15,0,IF(E779&gt;=PARAMS_MODELO!$B$17,100,100*MIN(1,(E779-PARAMS_MODELO!$B$15)/(PARAMS_MODELO!$B$16-PARAMS_MODELO!$B$15))))*PARAMS_MODELO!$B$7</f>
        <v>0</v>
      </c>
      <c r="G779" s="5">
        <f t="shared" si="289"/>
        <v>0</v>
      </c>
      <c r="H779" s="5">
        <f>(PARAMS_MODELO!$B$20*(MAX(0,MIN(3,E779))/3)+PARAMS_MODELO!$B$21*(IFERROR(LN(1+MAX(0,G779))/LN(1+MAX(0,MAX($G$2:$G$1194))),0)))*100*PARAMS_MODELO!$B$8</f>
        <v>0</v>
      </c>
      <c r="I779" s="8">
        <f>E779-PARAMS_MODELO!$B$5</f>
        <v>-0.28392637763918638</v>
      </c>
      <c r="J779" s="5">
        <f>IF(I779&lt;=PARAMS_MODELO!$B$18,0,IF(I779&gt;=PARAMS_MODELO!$B$19,100,100*(I779-PARAMS_MODELO!$B$18)/(PARAMS_MODELO!$B$19-PARAMS_MODELO!$B$18)))*PARAMS_MODELO!$B$9</f>
        <v>0</v>
      </c>
      <c r="K779" s="5">
        <f>IFERROR(CHOOSE(MATCH(PARAMS_MODELO!$B$2,{"Q1","Q2","Q3"},0),LOTO!$D779,LOTO!$F779,LOTO!$H779),0)</f>
        <v>2225000</v>
      </c>
      <c r="L779" s="8">
        <f t="shared" si="290"/>
        <v>4.5447347226086947E-2</v>
      </c>
      <c r="M779" s="5">
        <f>MIN(100,IF(PARAMS_MODELO!$B$23=0,0,100*L779/PARAMS_MODELO!$B$23))*PARAMS_MODELO!$B$10</f>
        <v>13.634204167826084</v>
      </c>
      <c r="N779" s="5">
        <f>IFERROR(VLOOKUP(A779,COMPLIANCE!$A$2:$F$1996,6,0),100)</f>
        <v>100</v>
      </c>
      <c r="O779" s="5">
        <f>N779*PARAMS_MODELO!$B$11</f>
        <v>10</v>
      </c>
      <c r="P779" s="5">
        <f>IFERROR(VLOOKUP(A779,DIGITAL!$A$2:$J$2000,7,0),100)</f>
        <v>18</v>
      </c>
      <c r="Q779" s="5">
        <f>IFERROR(P779,0)*PARAMS_MODELO!$B$12</f>
        <v>1.8</v>
      </c>
      <c r="R779">
        <f t="shared" si="291"/>
        <v>25.434204167826085</v>
      </c>
      <c r="S779" s="5" t="str">
        <f>IFERROR(VLOOKUP(A779,CLIENTE!$A$2:$N$2000,13,0),1)</f>
        <v>Bueno</v>
      </c>
      <c r="T779" s="5">
        <f>IFERROR(VLOOKUP(A779,CLIENTE!$A$2:$N$2000,14,0),1)</f>
        <v>1.1000000000000001</v>
      </c>
      <c r="U779" s="5">
        <f t="shared" si="292"/>
        <v>27.977624584608694</v>
      </c>
      <c r="V779" s="5" t="str">
        <f>IF(U779&gt;=MAX(_xlfn.PERCENTILE.INC($U$2:$U$1194,PARAMS_MODELO!$B$50),PARAMS_MODELO!$B$45),"DIAMANTE",IF(U779&gt;=MAX(_xlfn.PERCENTILE.INC($U$2:$U$1194,PARAMS_MODELO!$B$51),PARAMS_MODELO!$B$46),"PLATINO",IF(U779&gt;=MAX(_xlfn.PERCENTILE.INC($U$2:$U$1194,PARAMS_MODELO!$B$52),PARAMS_MODELO!$B$47),"ORO",IF(U779&gt;=MAX(_xlfn.PERCENTILE.INC($U$2:$U$1194,PARAMS_MODELO!$B$53),PARAMS_MODELO!$B$48),"PLATA",IF(U779&gt;=1,"BRONCE","CERRADO")))))</f>
        <v>PLATA</v>
      </c>
      <c r="W779" s="5" t="str" cm="1">
        <f t="array" ref="W779">_xlfn.XLOOKUP(1, (HIST_SCORE!$B:$B=PARAMS_MODELO!$B$4) * (HIST_SCORE!$C:$C=A779), HIST_SCORE!$E:$E, "No encontrado")</f>
        <v>PLATA</v>
      </c>
      <c r="X779" s="5" t="str">
        <f>_xlfn.LET(_xlpm.act,MATCH(V779,{"DIAMANTE";"PLATINO";"ORO";"PLATA";"BRONCE";"CERRADO"},0),_xlpm.ant,MATCH(W779,{"DIAMANTE";"PLATINO";"ORO";"PLATA";"BRONCE";"CERRADO"},0),IF(_xlpm.act&lt;_xlpm.ant,"Mejora ↑",IF(_xlpm.act&gt;_xlpm.ant,"Baja ↓","Estable →")))</f>
        <v>Estable →</v>
      </c>
      <c r="Y779" s="5">
        <f>IFERROR(U779-SUMIFS(HIST_SCORE!$D:$D,HIST_SCORE!$B:$B,PARAMS_MODELO!$B$4,HIST_SCORE!$C:$C,$A779),"")</f>
        <v>-0.36099210338091581</v>
      </c>
      <c r="Z779" s="5" t="str">
        <f t="shared" si="293"/>
        <v>→ Estable</v>
      </c>
      <c r="AA779" s="5">
        <f t="shared" si="294"/>
        <v>886</v>
      </c>
      <c r="AB779" s="5">
        <f>IFERROR(SUMIFS(HIST_SCORE!$F:$F,HIST_SCORE!$B:$B,PARAMS_MODELO!$B$4,HIST_SCORE!$C:$C,$A779),"")</f>
        <v>925</v>
      </c>
      <c r="AC779" s="5">
        <f t="shared" si="295"/>
        <v>39</v>
      </c>
      <c r="AD779" t="str">
        <f t="shared" si="297"/>
        <v/>
      </c>
      <c r="AE7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779="CERRADO",1,IF(V779="BRONCE",_xlpm.cPl,IF(V779="PLATA",_xlpm.cO,IF(V779="ORO",_xlpm.cP,IF(V779="PLATINO",_xlpm.cD,999))))))</f>
        <v>63.199193273331495</v>
      </c>
      <c r="AF7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779="CERRADO",0,IF(V779="BRONCE",1,IF(V779="PLATA",_xlpm.cPl,IF(V779="ORO",_xlpm.cO,IF(V779="PLATINO",_xlpm.cP,_xlpm.cD))))))</f>
        <v>24.506573482968111</v>
      </c>
      <c r="AG779">
        <f t="shared" si="298"/>
        <v>32.019607898838913</v>
      </c>
      <c r="AH779" t="str">
        <f t="shared" si="299"/>
        <v>VENTAS</v>
      </c>
      <c r="AI779" t="str">
        <f t="shared" si="296"/>
        <v>🎯 Para subir de categoría, eje VENTAS / CRECIMIENTO PERSONAL (F). Acción: metas semanales + activación comercial + seguimiento del asesor. ΔR aprox: 32,0</v>
      </c>
      <c r="AJ779" s="26">
        <f>_xlfn.LET(_xlpm.piso,AF779,_xlpm.corte,AE779,_xlpm.prog,IF(_xlpm.corte&lt;=_xlpm.piso,0,MAX(0,MIN(1,(U779-_xlpm.piso)/(_xlpm.corte-_xlpm.piso)))),_xlpm.orden,{"DIAMANTE";"PLATINO";"ORO";"PLATA";"BRONCE";"CERRADO"},_xlpm.act,IFERROR(MATCH(V779,_xlpm.orden,0),6),_xlpm.ant,IFERROR(MATCH(W779,_xlpm.orden,0),6),_xlpm.ajmov,IF(_xlpm.act&lt;_xlpm.ant,0.08,IF(_xlpm.act&gt;_xlpm.ant,-0.08,0)),_xlpm.ajcli,IF(T779&lt;0.95,-0.06,0),_xlpm.prob,MAX(0,MIN(1,_xlpm.prog+_xlpm.ajmov+_xlpm.ajcli)),IF(OR(V779="DIAMANTE",V779="CERRADO"),0,ROUND(_xlpm.prob,2)))</f>
        <v>0.09</v>
      </c>
      <c r="AK779" t="str">
        <f t="shared" si="300"/>
        <v>Faltan 32,0 puntos base para subir a la siguiente categoría</v>
      </c>
      <c r="AL779" t="str">
        <f t="shared" si="301"/>
        <v>Margen de seguridad: 3,5 puntos</v>
      </c>
      <c r="AM779">
        <f t="shared" si="302"/>
        <v>0.76</v>
      </c>
      <c r="AN779" t="str">
        <f t="shared" si="303"/>
        <v>PRIORIDAD ALTA – requiere intervención inmediata</v>
      </c>
      <c r="AO779">
        <f t="shared" si="304"/>
        <v>71.348826202825151</v>
      </c>
      <c r="AP779">
        <f t="shared" si="305"/>
        <v>1.5023754153913076</v>
      </c>
      <c r="AQ779">
        <f t="shared" si="306"/>
        <v>0</v>
      </c>
      <c r="AR779">
        <f t="shared" si="307"/>
        <v>9.02</v>
      </c>
      <c r="AS779">
        <f t="shared" si="308"/>
        <v>0</v>
      </c>
      <c r="AT779" t="str">
        <f t="shared" si="309"/>
        <v>VENTAS</v>
      </c>
      <c r="AU779">
        <f t="shared" si="310"/>
        <v>71.348826202825151</v>
      </c>
      <c r="AV779" t="str">
        <f t="shared" si="311"/>
        <v>Mayor retorno probable: VENTAS (+71,3 puntos finales potenciales).</v>
      </c>
    </row>
    <row r="780" spans="1:48" x14ac:dyDescent="0.3">
      <c r="A780" s="5">
        <v>51025318</v>
      </c>
      <c r="B780" s="5" t="str">
        <f>IFERROR(VLOOKUP(A780,VENTAS!$A$2:$B$1194,2,0),"")</f>
        <v>ROBERTS</v>
      </c>
      <c r="C780" s="5">
        <f>IFERROR(INDEX(VENTAS!$C$2:$E$1194,MATCH(A780,VENTAS!$A$2:$A$1194,0),MATCH(PARAMS_MODELO!$B$2,{"Q1","Q2","Q3"},0)),0)</f>
        <v>23001181.100000001</v>
      </c>
      <c r="D780" s="5">
        <f>IFERROR(INDEX(VENTAS!$F$2:$H$1194,MATCH(A780,VENTAS!$A$2:$A$1194,0),MATCH(PARAMS_MODELO!$B$2,{"Q1","Q2","Q3"},0)),0)</f>
        <v>48941636</v>
      </c>
      <c r="E780" s="8">
        <f t="shared" si="288"/>
        <v>1.127787950854402</v>
      </c>
      <c r="F780" s="12">
        <f>IF(E780&lt;=PARAMS_MODELO!$B$15,0,IF(E780&gt;=PARAMS_MODELO!$B$17,100,100*MIN(1,(E780-PARAMS_MODELO!$B$15)/(PARAMS_MODELO!$B$16-PARAMS_MODELO!$B$15))))*PARAMS_MODELO!$B$7</f>
        <v>35</v>
      </c>
      <c r="G780" s="5">
        <f t="shared" si="289"/>
        <v>25940454.899999999</v>
      </c>
      <c r="H780" s="5">
        <f>(PARAMS_MODELO!$B$20*(MAX(0,MIN(3,E780))/3)+PARAMS_MODELO!$B$21*(IFERROR(LN(1+MAX(0,G780))/LN(1+MAX(0,MAX($G$2:$G$1194))),0)))*100*PARAMS_MODELO!$B$8</f>
        <v>7.9490122300833228</v>
      </c>
      <c r="I780" s="8">
        <f>E780-PARAMS_MODELO!$B$5</f>
        <v>0.95022511547887545</v>
      </c>
      <c r="J780" s="5">
        <f>IF(I780&lt;=PARAMS_MODELO!$B$18,0,IF(I780&gt;=PARAMS_MODELO!$B$19,100,100*(I780-PARAMS_MODELO!$B$18)/(PARAMS_MODELO!$B$19-PARAMS_MODELO!$B$18)))*PARAMS_MODELO!$B$9</f>
        <v>15</v>
      </c>
      <c r="K780" s="5">
        <f>IFERROR(CHOOSE(MATCH(PARAMS_MODELO!$B$2,{"Q1","Q2","Q3"},0),LOTO!$D780,LOTO!$F780,LOTO!$H780),0)</f>
        <v>2222500</v>
      </c>
      <c r="L780" s="8">
        <f t="shared" si="290"/>
        <v>4.5411232268573937E-2</v>
      </c>
      <c r="M780" s="5">
        <f>MIN(100,IF(PARAMS_MODELO!$B$23=0,0,100*L780/PARAMS_MODELO!$B$23))*PARAMS_MODELO!$B$10</f>
        <v>13.623369680572182</v>
      </c>
      <c r="N780" s="5">
        <f>IFERROR(VLOOKUP(A780,COMPLIANCE!$A$2:$F$1996,6,0),100)</f>
        <v>99.7</v>
      </c>
      <c r="O780" s="5">
        <f>N780*PARAMS_MODELO!$B$11</f>
        <v>9.9700000000000006</v>
      </c>
      <c r="P780" s="5">
        <f>IFERROR(VLOOKUP(A780,DIGITAL!$A$2:$J$2000,7,0),100)</f>
        <v>5</v>
      </c>
      <c r="Q780" s="5">
        <f>IFERROR(P780,0)*PARAMS_MODELO!$B$12</f>
        <v>0.5</v>
      </c>
      <c r="R780">
        <f t="shared" si="291"/>
        <v>82.042381910655507</v>
      </c>
      <c r="S780" s="5" t="str">
        <f>IFERROR(VLOOKUP(A780,CLIENTE!$A$2:$N$2000,13,0),1)</f>
        <v>Regular</v>
      </c>
      <c r="T780" s="5">
        <f>IFERROR(VLOOKUP(A780,CLIENTE!$A$2:$N$2000,14,0),1)</f>
        <v>1</v>
      </c>
      <c r="U780" s="5">
        <f t="shared" si="292"/>
        <v>82.042381910655507</v>
      </c>
      <c r="V780" s="5" t="str">
        <f>IF(U780&gt;=MAX(_xlfn.PERCENTILE.INC($U$2:$U$1194,PARAMS_MODELO!$B$50),PARAMS_MODELO!$B$45),"DIAMANTE",IF(U780&gt;=MAX(_xlfn.PERCENTILE.INC($U$2:$U$1194,PARAMS_MODELO!$B$51),PARAMS_MODELO!$B$46),"PLATINO",IF(U780&gt;=MAX(_xlfn.PERCENTILE.INC($U$2:$U$1194,PARAMS_MODELO!$B$52),PARAMS_MODELO!$B$47),"ORO",IF(U780&gt;=MAX(_xlfn.PERCENTILE.INC($U$2:$U$1194,PARAMS_MODELO!$B$53),PARAMS_MODELO!$B$48),"PLATA",IF(U780&gt;=1,"BRONCE","CERRADO")))))</f>
        <v>ORO</v>
      </c>
      <c r="W780" s="5" t="str" cm="1">
        <f t="array" ref="W780">_xlfn.XLOOKUP(1, (HIST_SCORE!$B:$B=PARAMS_MODELO!$B$4) * (HIST_SCORE!$C:$C=A780), HIST_SCORE!$E:$E, "No encontrado")</f>
        <v>ORO</v>
      </c>
      <c r="X780" s="5" t="str">
        <f>_xlfn.LET(_xlpm.act,MATCH(V780,{"DIAMANTE";"PLATINO";"ORO";"PLATA";"BRONCE";"CERRADO"},0),_xlpm.ant,MATCH(W780,{"DIAMANTE";"PLATINO";"ORO";"PLATA";"BRONCE";"CERRADO"},0),IF(_xlpm.act&lt;_xlpm.ant,"Mejora ↑",IF(_xlpm.act&gt;_xlpm.ant,"Baja ↓","Estable →")))</f>
        <v>Estable →</v>
      </c>
      <c r="Y780" s="5">
        <f>IFERROR(U780-SUMIFS(HIST_SCORE!$D:$D,HIST_SCORE!$B:$B,PARAMS_MODELO!$B$4,HIST_SCORE!$C:$C,$A780),"")</f>
        <v>1.8855650801248061</v>
      </c>
      <c r="Z780" s="5" t="str">
        <f t="shared" si="293"/>
        <v>→ Estable</v>
      </c>
      <c r="AA780" s="5">
        <f t="shared" si="294"/>
        <v>385</v>
      </c>
      <c r="AB780" s="5">
        <f>IFERROR(SUMIFS(HIST_SCORE!$F:$F,HIST_SCORE!$B:$B,PARAMS_MODELO!$B$4,HIST_SCORE!$C:$C,$A780),"")</f>
        <v>417</v>
      </c>
      <c r="AC780" s="5">
        <f t="shared" si="295"/>
        <v>32</v>
      </c>
      <c r="AD780" t="str">
        <f t="shared" si="297"/>
        <v/>
      </c>
      <c r="AE7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780="CERRADO",1,IF(V780="BRONCE",_xlpm.cPl,IF(V780="PLATA",_xlpm.cO,IF(V780="ORO",_xlpm.cP,IF(V780="PLATINO",_xlpm.cD,999))))))</f>
        <v>86.439123873763251</v>
      </c>
      <c r="AF7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780="CERRADO",0,IF(V780="BRONCE",1,IF(V780="PLATA",_xlpm.cPl,IF(V780="ORO",_xlpm.cO,IF(V780="PLATINO",_xlpm.cP,_xlpm.cD))))))</f>
        <v>63.199193273331495</v>
      </c>
      <c r="AG780">
        <f t="shared" si="298"/>
        <v>4.3967419631077433</v>
      </c>
      <c r="AH780" t="str">
        <f t="shared" si="299"/>
        <v>VENTAS</v>
      </c>
      <c r="AI780" t="str">
        <f t="shared" si="296"/>
        <v>🎯 Para subir de categoría, eje VENTAS / IMPACTO ABSOLUTO (H). Acción: metas semanales + activación comercial + seguimiento del asesor. ΔR aprox: 4,4</v>
      </c>
      <c r="AJ780" s="26">
        <f>_xlfn.LET(_xlpm.piso,AF780,_xlpm.corte,AE780,_xlpm.prog,IF(_xlpm.corte&lt;=_xlpm.piso,0,MAX(0,MIN(1,(U780-_xlpm.piso)/(_xlpm.corte-_xlpm.piso)))),_xlpm.orden,{"DIAMANTE";"PLATINO";"ORO";"PLATA";"BRONCE";"CERRADO"},_xlpm.act,IFERROR(MATCH(V780,_xlpm.orden,0),6),_xlpm.ant,IFERROR(MATCH(W780,_xlpm.orden,0),6),_xlpm.ajmov,IF(_xlpm.act&lt;_xlpm.ant,0.08,IF(_xlpm.act&gt;_xlpm.ant,-0.08,0)),_xlpm.ajcli,IF(T780&lt;0.95,-0.06,0),_xlpm.prob,MAX(0,MIN(1,_xlpm.prog+_xlpm.ajmov+_xlpm.ajcli)),IF(OR(V780="DIAMANTE",V780="CERRADO"),0,ROUND(_xlpm.prob,2)))</f>
        <v>0.81</v>
      </c>
      <c r="AK780" t="str">
        <f t="shared" si="300"/>
        <v>Faltan 4,4 puntos base para subir a la siguiente categoría</v>
      </c>
      <c r="AL780" t="str">
        <f t="shared" si="301"/>
        <v>Margen de seguridad: 18,8 puntos</v>
      </c>
      <c r="AM780">
        <f t="shared" si="302"/>
        <v>0.25</v>
      </c>
      <c r="AN780" t="str">
        <f t="shared" si="303"/>
        <v>PRIORIDAD BAJA – control normal</v>
      </c>
      <c r="AO780">
        <f t="shared" si="304"/>
        <v>6.9135570452122579</v>
      </c>
      <c r="AP780">
        <f t="shared" si="305"/>
        <v>1.376630319427818</v>
      </c>
      <c r="AQ780">
        <f t="shared" si="306"/>
        <v>2.9999999999999361E-2</v>
      </c>
      <c r="AR780">
        <f t="shared" si="307"/>
        <v>9.5</v>
      </c>
      <c r="AS780">
        <f t="shared" si="308"/>
        <v>0</v>
      </c>
      <c r="AT780" t="str">
        <f t="shared" si="309"/>
        <v>DIGITAL</v>
      </c>
      <c r="AU780">
        <f t="shared" si="310"/>
        <v>9.5</v>
      </c>
      <c r="AV780" t="str">
        <f t="shared" si="311"/>
        <v>Mayor retorno probable: DIGITAL (+9,5 puntos finales potenciales).</v>
      </c>
    </row>
    <row r="781" spans="1:48" x14ac:dyDescent="0.3">
      <c r="A781" s="5">
        <v>51031687</v>
      </c>
      <c r="B781" s="5" t="str">
        <f>IFERROR(VLOOKUP(A781,VENTAS!$A$2:$B$1194,2,0),"")</f>
        <v>METTLER</v>
      </c>
      <c r="C781" s="5">
        <f>IFERROR(INDEX(VENTAS!$C$2:$E$1194,MATCH(A781,VENTAS!$A$2:$A$1194,0),MATCH(PARAMS_MODELO!$B$2,{"Q1","Q2","Q3"},0)),0)</f>
        <v>36591414.579999998</v>
      </c>
      <c r="D781" s="5">
        <f>IFERROR(INDEX(VENTAS!$F$2:$H$1194,MATCH(A781,VENTAS!$A$2:$A$1194,0),MATCH(PARAMS_MODELO!$B$2,{"Q1","Q2","Q3"},0)),0)</f>
        <v>48889433</v>
      </c>
      <c r="E781" s="8">
        <f t="shared" si="288"/>
        <v>0.33609027038604311</v>
      </c>
      <c r="F781" s="12">
        <f>IF(E781&lt;=PARAMS_MODELO!$B$15,0,IF(E781&gt;=PARAMS_MODELO!$B$17,100,100*MIN(1,(E781-PARAMS_MODELO!$B$15)/(PARAMS_MODELO!$B$16-PARAMS_MODELO!$B$15))))*PARAMS_MODELO!$B$7</f>
        <v>35</v>
      </c>
      <c r="G781" s="5">
        <f t="shared" si="289"/>
        <v>12298018.420000002</v>
      </c>
      <c r="H781" s="5">
        <f>(PARAMS_MODELO!$B$20*(MAX(0,MIN(3,E781))/3)+PARAMS_MODELO!$B$21*(IFERROR(LN(1+MAX(0,G781))/LN(1+MAX(0,MAX($G$2:$G$1194))),0)))*100*PARAMS_MODELO!$B$8</f>
        <v>5.0031118490741004</v>
      </c>
      <c r="I781" s="8">
        <f>E781-PARAMS_MODELO!$B$5</f>
        <v>0.15852743501051658</v>
      </c>
      <c r="J781" s="5">
        <f>IF(I781&lt;=PARAMS_MODELO!$B$18,0,IF(I781&gt;=PARAMS_MODELO!$B$19,100,100*(I781-PARAMS_MODELO!$B$18)/(PARAMS_MODELO!$B$19-PARAMS_MODELO!$B$18)))*PARAMS_MODELO!$B$9</f>
        <v>15</v>
      </c>
      <c r="K781" s="5">
        <f>IFERROR(CHOOSE(MATCH(PARAMS_MODELO!$B$2,{"Q1","Q2","Q3"},0),LOTO!$D781,LOTO!$F781,LOTO!$H781),0)</f>
        <v>2217500</v>
      </c>
      <c r="L781" s="8">
        <f t="shared" si="290"/>
        <v>4.5357449737655986E-2</v>
      </c>
      <c r="M781" s="5">
        <f>MIN(100,IF(PARAMS_MODELO!$B$23=0,0,100*L781/PARAMS_MODELO!$B$23))*PARAMS_MODELO!$B$10</f>
        <v>13.607234921296797</v>
      </c>
      <c r="N781" s="5">
        <f>IFERROR(VLOOKUP(A781,COMPLIANCE!$A$2:$F$1996,6,0),100)</f>
        <v>100</v>
      </c>
      <c r="O781" s="5">
        <f>N781*PARAMS_MODELO!$B$11</f>
        <v>10</v>
      </c>
      <c r="P781" s="5">
        <f>IFERROR(VLOOKUP(A781,DIGITAL!$A$2:$J$2000,7,0),100)</f>
        <v>25</v>
      </c>
      <c r="Q781" s="5">
        <f>IFERROR(P781,0)*PARAMS_MODELO!$B$12</f>
        <v>2.5</v>
      </c>
      <c r="R781">
        <f t="shared" si="291"/>
        <v>81.110346770370896</v>
      </c>
      <c r="S781" s="5" t="str">
        <f>IFERROR(VLOOKUP(A781,CLIENTE!$A$2:$N$2000,13,0),1)</f>
        <v>Regular</v>
      </c>
      <c r="T781" s="5">
        <f>IFERROR(VLOOKUP(A781,CLIENTE!$A$2:$N$2000,14,0),1)</f>
        <v>1</v>
      </c>
      <c r="U781" s="5">
        <f t="shared" si="292"/>
        <v>81.110346770370896</v>
      </c>
      <c r="V781" s="5" t="str">
        <f>IF(U781&gt;=MAX(_xlfn.PERCENTILE.INC($U$2:$U$1194,PARAMS_MODELO!$B$50),PARAMS_MODELO!$B$45),"DIAMANTE",IF(U781&gt;=MAX(_xlfn.PERCENTILE.INC($U$2:$U$1194,PARAMS_MODELO!$B$51),PARAMS_MODELO!$B$46),"PLATINO",IF(U781&gt;=MAX(_xlfn.PERCENTILE.INC($U$2:$U$1194,PARAMS_MODELO!$B$52),PARAMS_MODELO!$B$47),"ORO",IF(U781&gt;=MAX(_xlfn.PERCENTILE.INC($U$2:$U$1194,PARAMS_MODELO!$B$53),PARAMS_MODELO!$B$48),"PLATA",IF(U781&gt;=1,"BRONCE","CERRADO")))))</f>
        <v>ORO</v>
      </c>
      <c r="W781" s="5" t="str" cm="1">
        <f t="array" ref="W781">_xlfn.XLOOKUP(1, (HIST_SCORE!$B:$B=PARAMS_MODELO!$B$4) * (HIST_SCORE!$C:$C=A781), HIST_SCORE!$E:$E, "No encontrado")</f>
        <v>ORO</v>
      </c>
      <c r="X781" s="5" t="str">
        <f>_xlfn.LET(_xlpm.act,MATCH(V781,{"DIAMANTE";"PLATINO";"ORO";"PLATA";"BRONCE";"CERRADO"},0),_xlpm.ant,MATCH(W781,{"DIAMANTE";"PLATINO";"ORO";"PLATA";"BRONCE";"CERRADO"},0),IF(_xlpm.act&lt;_xlpm.ant,"Mejora ↑",IF(_xlpm.act&gt;_xlpm.ant,"Baja ↓","Estable →")))</f>
        <v>Estable →</v>
      </c>
      <c r="Y781" s="5">
        <f>IFERROR(U781-SUMIFS(HIST_SCORE!$D:$D,HIST_SCORE!$B:$B,PARAMS_MODELO!$B$4,HIST_SCORE!$C:$C,$A781),"")</f>
        <v>2.5839968538332414</v>
      </c>
      <c r="Z781" s="5" t="str">
        <f t="shared" si="293"/>
        <v>→ Estable</v>
      </c>
      <c r="AA781" s="5">
        <f t="shared" si="294"/>
        <v>410</v>
      </c>
      <c r="AB781" s="5">
        <f>IFERROR(SUMIFS(HIST_SCORE!$F:$F,HIST_SCORE!$B:$B,PARAMS_MODELO!$B$4,HIST_SCORE!$C:$C,$A781),"")</f>
        <v>445</v>
      </c>
      <c r="AC781" s="5">
        <f t="shared" si="295"/>
        <v>35</v>
      </c>
      <c r="AD781" t="str">
        <f t="shared" si="297"/>
        <v/>
      </c>
      <c r="AE7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781="CERRADO",1,IF(V781="BRONCE",_xlpm.cPl,IF(V781="PLATA",_xlpm.cO,IF(V781="ORO",_xlpm.cP,IF(V781="PLATINO",_xlpm.cD,999))))))</f>
        <v>86.439123873763251</v>
      </c>
      <c r="AF7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781="CERRADO",0,IF(V781="BRONCE",1,IF(V781="PLATA",_xlpm.cPl,IF(V781="ORO",_xlpm.cO,IF(V781="PLATINO",_xlpm.cP,_xlpm.cD))))))</f>
        <v>63.199193273331495</v>
      </c>
      <c r="AG781">
        <f t="shared" si="298"/>
        <v>5.3287771033923548</v>
      </c>
      <c r="AH781" t="str">
        <f t="shared" si="299"/>
        <v>VENTAS</v>
      </c>
      <c r="AI781" t="str">
        <f t="shared" si="296"/>
        <v>🎯 Para subir de categoría, eje VENTAS / IMPACTO ABSOLUTO (H). Acción: metas semanales + activación comercial + seguimiento del asesor. ΔR aprox: 5,3</v>
      </c>
      <c r="AJ781" s="26">
        <f>_xlfn.LET(_xlpm.piso,AF781,_xlpm.corte,AE781,_xlpm.prog,IF(_xlpm.corte&lt;=_xlpm.piso,0,MAX(0,MIN(1,(U781-_xlpm.piso)/(_xlpm.corte-_xlpm.piso)))),_xlpm.orden,{"DIAMANTE";"PLATINO";"ORO";"PLATA";"BRONCE";"CERRADO"},_xlpm.act,IFERROR(MATCH(V781,_xlpm.orden,0),6),_xlpm.ant,IFERROR(MATCH(W781,_xlpm.orden,0),6),_xlpm.ajmov,IF(_xlpm.act&lt;_xlpm.ant,0.08,IF(_xlpm.act&gt;_xlpm.ant,-0.08,0)),_xlpm.ajcli,IF(T781&lt;0.95,-0.06,0),_xlpm.prob,MAX(0,MIN(1,_xlpm.prog+_xlpm.ajmov+_xlpm.ajcli)),IF(OR(V781="DIAMANTE",V781="CERRADO"),0,ROUND(_xlpm.prob,2)))</f>
        <v>0.77</v>
      </c>
      <c r="AK781" t="str">
        <f t="shared" si="300"/>
        <v>Faltan 5,3 puntos base para subir a la siguiente categoría</v>
      </c>
      <c r="AL781" t="str">
        <f t="shared" si="301"/>
        <v>Margen de seguridad: 17,9 puntos</v>
      </c>
      <c r="AM781">
        <f t="shared" si="302"/>
        <v>0.31</v>
      </c>
      <c r="AN781" t="str">
        <f t="shared" si="303"/>
        <v>PRIORIDAD BAJA – control normal</v>
      </c>
      <c r="AO781">
        <f t="shared" si="304"/>
        <v>9.859457426221482</v>
      </c>
      <c r="AP781">
        <f t="shared" si="305"/>
        <v>1.3927650787032029</v>
      </c>
      <c r="AQ781">
        <f t="shared" si="306"/>
        <v>0</v>
      </c>
      <c r="AR781">
        <f t="shared" si="307"/>
        <v>7.5</v>
      </c>
      <c r="AS781">
        <f t="shared" si="308"/>
        <v>0</v>
      </c>
      <c r="AT781" t="str">
        <f t="shared" si="309"/>
        <v>VENTAS</v>
      </c>
      <c r="AU781">
        <f t="shared" si="310"/>
        <v>9.859457426221482</v>
      </c>
      <c r="AV781" t="str">
        <f t="shared" si="311"/>
        <v>Mayor retorno probable: VENTAS (+9,9 puntos finales potenciales).</v>
      </c>
    </row>
    <row r="782" spans="1:48" x14ac:dyDescent="0.3">
      <c r="A782" s="5">
        <v>51055861</v>
      </c>
      <c r="B782" s="5" t="str">
        <f>IFERROR(VLOOKUP(A782,VENTAS!$A$2:$B$1194,2,0),"")</f>
        <v>PRADES</v>
      </c>
      <c r="C782" s="5">
        <f>IFERROR(INDEX(VENTAS!$C$2:$E$1194,MATCH(A782,VENTAS!$A$2:$A$1194,0),MATCH(PARAMS_MODELO!$B$2,{"Q1","Q2","Q3"},0)),0)</f>
        <v>45666616.390000001</v>
      </c>
      <c r="D782" s="5">
        <f>IFERROR(INDEX(VENTAS!$F$2:$H$1194,MATCH(A782,VENTAS!$A$2:$A$1194,0),MATCH(PARAMS_MODELO!$B$2,{"Q1","Q2","Q3"},0)),0)</f>
        <v>48852473</v>
      </c>
      <c r="E782" s="8">
        <f t="shared" si="288"/>
        <v>6.9763360236551941E-2</v>
      </c>
      <c r="F782" s="12">
        <f>IF(E782&lt;=PARAMS_MODELO!$B$15,0,IF(E782&gt;=PARAMS_MODELO!$B$17,100,100*MIN(1,(E782-PARAMS_MODELO!$B$15)/(PARAMS_MODELO!$B$16-PARAMS_MODELO!$B$15))))*PARAMS_MODELO!$B$7</f>
        <v>24.41717608279318</v>
      </c>
      <c r="G782" s="5">
        <f t="shared" si="289"/>
        <v>3185856.6099999994</v>
      </c>
      <c r="H782" s="5">
        <f>(PARAMS_MODELO!$B$20*(MAX(0,MIN(3,E782))/3)+PARAMS_MODELO!$B$21*(IFERROR(LN(1+MAX(0,G782))/LN(1+MAX(0,MAX($G$2:$G$1194))),0)))*100*PARAMS_MODELO!$B$8</f>
        <v>3.7543408101212945</v>
      </c>
      <c r="I782" s="8">
        <f>E782-PARAMS_MODELO!$B$5</f>
        <v>-0.10779947513897459</v>
      </c>
      <c r="J782" s="5">
        <f>IF(I782&lt;=PARAMS_MODELO!$B$18,0,IF(I782&gt;=PARAMS_MODELO!$B$19,100,100*(I782-PARAMS_MODELO!$B$18)/(PARAMS_MODELO!$B$19-PARAMS_MODELO!$B$18)))*PARAMS_MODELO!$B$9</f>
        <v>0</v>
      </c>
      <c r="K782" s="5">
        <f>IFERROR(CHOOSE(MATCH(PARAMS_MODELO!$B$2,{"Q1","Q2","Q3"},0),LOTO!$D782,LOTO!$F782,LOTO!$H782),0)</f>
        <v>2195000</v>
      </c>
      <c r="L782" s="8">
        <f t="shared" si="290"/>
        <v>4.4931195192513589E-2</v>
      </c>
      <c r="M782" s="5">
        <f>MIN(100,IF(PARAMS_MODELO!$B$23=0,0,100*L782/PARAMS_MODELO!$B$23))*PARAMS_MODELO!$B$10</f>
        <v>13.479358557754075</v>
      </c>
      <c r="N782" s="5">
        <f>IFERROR(VLOOKUP(A782,COMPLIANCE!$A$2:$F$1996,6,0),100)</f>
        <v>100</v>
      </c>
      <c r="O782" s="5">
        <f>N782*PARAMS_MODELO!$B$11</f>
        <v>10</v>
      </c>
      <c r="P782" s="5">
        <f>IFERROR(VLOOKUP(A782,DIGITAL!$A$2:$J$2000,7,0),100)</f>
        <v>37</v>
      </c>
      <c r="Q782" s="5">
        <f>IFERROR(P782,0)*PARAMS_MODELO!$B$12</f>
        <v>3.7</v>
      </c>
      <c r="R782">
        <f t="shared" si="291"/>
        <v>55.350875450668553</v>
      </c>
      <c r="S782" s="5" t="str">
        <f>IFERROR(VLOOKUP(A782,CLIENTE!$A$2:$N$2000,13,0),1)</f>
        <v>Regular</v>
      </c>
      <c r="T782" s="5">
        <f>IFERROR(VLOOKUP(A782,CLIENTE!$A$2:$N$2000,14,0),1)</f>
        <v>1</v>
      </c>
      <c r="U782" s="5">
        <f t="shared" si="292"/>
        <v>55.350875450668553</v>
      </c>
      <c r="V782" s="5" t="str">
        <f>IF(U782&gt;=MAX(_xlfn.PERCENTILE.INC($U$2:$U$1194,PARAMS_MODELO!$B$50),PARAMS_MODELO!$B$45),"DIAMANTE",IF(U782&gt;=MAX(_xlfn.PERCENTILE.INC($U$2:$U$1194,PARAMS_MODELO!$B$51),PARAMS_MODELO!$B$46),"PLATINO",IF(U782&gt;=MAX(_xlfn.PERCENTILE.INC($U$2:$U$1194,PARAMS_MODELO!$B$52),PARAMS_MODELO!$B$47),"ORO",IF(U782&gt;=MAX(_xlfn.PERCENTILE.INC($U$2:$U$1194,PARAMS_MODELO!$B$53),PARAMS_MODELO!$B$48),"PLATA",IF(U782&gt;=1,"BRONCE","CERRADO")))))</f>
        <v>PLATA</v>
      </c>
      <c r="W782" s="5" t="str" cm="1">
        <f t="array" ref="W782">_xlfn.XLOOKUP(1, (HIST_SCORE!$B:$B=PARAMS_MODELO!$B$4) * (HIST_SCORE!$C:$C=A782), HIST_SCORE!$E:$E, "No encontrado")</f>
        <v>PLATA</v>
      </c>
      <c r="X782" s="5" t="str">
        <f>_xlfn.LET(_xlpm.act,MATCH(V782,{"DIAMANTE";"PLATINO";"ORO";"PLATA";"BRONCE";"CERRADO"},0),_xlpm.ant,MATCH(W782,{"DIAMANTE";"PLATINO";"ORO";"PLATA";"BRONCE";"CERRADO"},0),IF(_xlpm.act&lt;_xlpm.ant,"Mejora ↑",IF(_xlpm.act&gt;_xlpm.ant,"Baja ↓","Estable →")))</f>
        <v>Estable →</v>
      </c>
      <c r="Y782" s="5">
        <f>IFERROR(U782-SUMIFS(HIST_SCORE!$D:$D,HIST_SCORE!$B:$B,PARAMS_MODELO!$B$4,HIST_SCORE!$C:$C,$A782),"")</f>
        <v>-1.4900345222760123</v>
      </c>
      <c r="Z782" s="5" t="str">
        <f t="shared" si="293"/>
        <v>→ Estable</v>
      </c>
      <c r="AA782" s="5">
        <f t="shared" si="294"/>
        <v>711</v>
      </c>
      <c r="AB782" s="5">
        <f>IFERROR(SUMIFS(HIST_SCORE!$F:$F,HIST_SCORE!$B:$B,PARAMS_MODELO!$B$4,HIST_SCORE!$C:$C,$A782),"")</f>
        <v>716</v>
      </c>
      <c r="AC782" s="5">
        <f t="shared" si="295"/>
        <v>5</v>
      </c>
      <c r="AD782" t="str">
        <f t="shared" si="297"/>
        <v/>
      </c>
      <c r="AE7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782="CERRADO",1,IF(V782="BRONCE",_xlpm.cPl,IF(V782="PLATA",_xlpm.cO,IF(V782="ORO",_xlpm.cP,IF(V782="PLATINO",_xlpm.cD,999))))))</f>
        <v>63.199193273331495</v>
      </c>
      <c r="AF7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782="CERRADO",0,IF(V782="BRONCE",1,IF(V782="PLATA",_xlpm.cPl,IF(V782="ORO",_xlpm.cO,IF(V782="PLATINO",_xlpm.cP,_xlpm.cD))))))</f>
        <v>24.506573482968111</v>
      </c>
      <c r="AG782">
        <f t="shared" si="298"/>
        <v>7.848317822662942</v>
      </c>
      <c r="AH782" t="str">
        <f t="shared" si="299"/>
        <v>VENTAS</v>
      </c>
      <c r="AI782" t="str">
        <f t="shared" si="296"/>
        <v>🎯 Para subir de categoría, eje VENTAS / DIFERENCIAL vs LOTBA (J). Acción: metas semanales + activación comercial + seguimiento del asesor. ΔR aprox: 7,8</v>
      </c>
      <c r="AJ782" s="26">
        <f>_xlfn.LET(_xlpm.piso,AF782,_xlpm.corte,AE782,_xlpm.prog,IF(_xlpm.corte&lt;=_xlpm.piso,0,MAX(0,MIN(1,(U782-_xlpm.piso)/(_xlpm.corte-_xlpm.piso)))),_xlpm.orden,{"DIAMANTE";"PLATINO";"ORO";"PLATA";"BRONCE";"CERRADO"},_xlpm.act,IFERROR(MATCH(V782,_xlpm.orden,0),6),_xlpm.ant,IFERROR(MATCH(W782,_xlpm.orden,0),6),_xlpm.ajmov,IF(_xlpm.act&lt;_xlpm.ant,0.08,IF(_xlpm.act&gt;_xlpm.ant,-0.08,0)),_xlpm.ajcli,IF(T782&lt;0.95,-0.06,0),_xlpm.prob,MAX(0,MIN(1,_xlpm.prog+_xlpm.ajmov+_xlpm.ajcli)),IF(OR(V782="DIAMANTE",V782="CERRADO"),0,ROUND(_xlpm.prob,2)))</f>
        <v>0.8</v>
      </c>
      <c r="AK782" t="str">
        <f t="shared" si="300"/>
        <v>Faltan 7,8 puntos base para subir a la siguiente categoría</v>
      </c>
      <c r="AL782" t="str">
        <f t="shared" si="301"/>
        <v>Margen de seguridad: 30,8 puntos</v>
      </c>
      <c r="AM782">
        <f t="shared" si="302"/>
        <v>0.39</v>
      </c>
      <c r="AN782" t="str">
        <f t="shared" si="303"/>
        <v>PRIORIDAD BAJA – control normal</v>
      </c>
      <c r="AO782">
        <f t="shared" si="304"/>
        <v>36.691052382381109</v>
      </c>
      <c r="AP782">
        <f t="shared" si="305"/>
        <v>1.5206414422459247</v>
      </c>
      <c r="AQ782">
        <f t="shared" si="306"/>
        <v>0</v>
      </c>
      <c r="AR782">
        <f t="shared" si="307"/>
        <v>6.3</v>
      </c>
      <c r="AS782">
        <f t="shared" si="308"/>
        <v>0</v>
      </c>
      <c r="AT782" t="str">
        <f t="shared" si="309"/>
        <v>VENTAS</v>
      </c>
      <c r="AU782">
        <f t="shared" si="310"/>
        <v>36.691052382381109</v>
      </c>
      <c r="AV782" t="str">
        <f t="shared" si="311"/>
        <v>Mayor retorno probable: VENTAS (+36,7 puntos finales potenciales).</v>
      </c>
    </row>
    <row r="783" spans="1:48" x14ac:dyDescent="0.3">
      <c r="A783" s="5">
        <v>51019407</v>
      </c>
      <c r="B783" s="5" t="str">
        <f>IFERROR(VLOOKUP(A783,VENTAS!$A$2:$B$1194,2,0),"")</f>
        <v>NELLI</v>
      </c>
      <c r="C783" s="5">
        <f>IFERROR(INDEX(VENTAS!$C$2:$E$1194,MATCH(A783,VENTAS!$A$2:$A$1194,0),MATCH(PARAMS_MODELO!$B$2,{"Q1","Q2","Q3"},0)),0)</f>
        <v>44714676.299999997</v>
      </c>
      <c r="D783" s="5">
        <f>IFERROR(INDEX(VENTAS!$F$2:$H$1194,MATCH(A783,VENTAS!$A$2:$A$1194,0),MATCH(PARAMS_MODELO!$B$2,{"Q1","Q2","Q3"},0)),0)</f>
        <v>48760176</v>
      </c>
      <c r="E783" s="8">
        <f t="shared" si="288"/>
        <v>9.0473643885016886E-2</v>
      </c>
      <c r="F783" s="12">
        <f>IF(E783&lt;=PARAMS_MODELO!$B$15,0,IF(E783&gt;=PARAMS_MODELO!$B$17,100,100*MIN(1,(E783-PARAMS_MODELO!$B$15)/(PARAMS_MODELO!$B$16-PARAMS_MODELO!$B$15))))*PARAMS_MODELO!$B$7</f>
        <v>31.665775359755909</v>
      </c>
      <c r="G783" s="5">
        <f t="shared" si="289"/>
        <v>4045499.700000003</v>
      </c>
      <c r="H783" s="5">
        <f>(PARAMS_MODELO!$B$20*(MAX(0,MIN(3,E783))/3)+PARAMS_MODELO!$B$21*(IFERROR(LN(1+MAX(0,G783))/LN(1+MAX(0,MAX($G$2:$G$1194))),0)))*100*PARAMS_MODELO!$B$8</f>
        <v>3.8828245022852301</v>
      </c>
      <c r="I783" s="8">
        <f>E783-PARAMS_MODELO!$B$5</f>
        <v>-8.7089191490509643E-2</v>
      </c>
      <c r="J783" s="5">
        <f>IF(I783&lt;=PARAMS_MODELO!$B$18,0,IF(I783&gt;=PARAMS_MODELO!$B$19,100,100*(I783-PARAMS_MODELO!$B$18)/(PARAMS_MODELO!$B$19-PARAMS_MODELO!$B$18)))*PARAMS_MODELO!$B$9</f>
        <v>0</v>
      </c>
      <c r="K783" s="5">
        <f>IFERROR(CHOOSE(MATCH(PARAMS_MODELO!$B$2,{"Q1","Q2","Q3"},0),LOTO!$D783,LOTO!$F783,LOTO!$H783),0)</f>
        <v>2192500</v>
      </c>
      <c r="L783" s="8">
        <f t="shared" si="290"/>
        <v>4.4964973055060344E-2</v>
      </c>
      <c r="M783" s="5">
        <f>MIN(100,IF(PARAMS_MODELO!$B$23=0,0,100*L783/PARAMS_MODELO!$B$23))*PARAMS_MODELO!$B$10</f>
        <v>13.489491916518102</v>
      </c>
      <c r="N783" s="5">
        <f>IFERROR(VLOOKUP(A783,COMPLIANCE!$A$2:$F$1996,6,0),100)</f>
        <v>100</v>
      </c>
      <c r="O783" s="5">
        <f>N783*PARAMS_MODELO!$B$11</f>
        <v>10</v>
      </c>
      <c r="P783" s="5">
        <f>IFERROR(VLOOKUP(A783,DIGITAL!$A$2:$J$2000,7,0),100)</f>
        <v>34</v>
      </c>
      <c r="Q783" s="5">
        <f>IFERROR(P783,0)*PARAMS_MODELO!$B$12</f>
        <v>3.4000000000000004</v>
      </c>
      <c r="R783">
        <f t="shared" si="291"/>
        <v>62.438091778559233</v>
      </c>
      <c r="S783" s="5" t="str">
        <f>IFERROR(VLOOKUP(A783,CLIENTE!$A$2:$N$2000,13,0),1)</f>
        <v>Regular</v>
      </c>
      <c r="T783" s="5">
        <f>IFERROR(VLOOKUP(A783,CLIENTE!$A$2:$N$2000,14,0),1)</f>
        <v>1</v>
      </c>
      <c r="U783" s="5">
        <f t="shared" si="292"/>
        <v>62.438091778559233</v>
      </c>
      <c r="V783" s="5" t="str">
        <f>IF(U783&gt;=MAX(_xlfn.PERCENTILE.INC($U$2:$U$1194,PARAMS_MODELO!$B$50),PARAMS_MODELO!$B$45),"DIAMANTE",IF(U783&gt;=MAX(_xlfn.PERCENTILE.INC($U$2:$U$1194,PARAMS_MODELO!$B$51),PARAMS_MODELO!$B$46),"PLATINO",IF(U783&gt;=MAX(_xlfn.PERCENTILE.INC($U$2:$U$1194,PARAMS_MODELO!$B$52),PARAMS_MODELO!$B$47),"ORO",IF(U783&gt;=MAX(_xlfn.PERCENTILE.INC($U$2:$U$1194,PARAMS_MODELO!$B$53),PARAMS_MODELO!$B$48),"PLATA",IF(U783&gt;=1,"BRONCE","CERRADO")))))</f>
        <v>PLATA</v>
      </c>
      <c r="W783" s="5" t="str" cm="1">
        <f t="array" ref="W783">_xlfn.XLOOKUP(1, (HIST_SCORE!$B:$B=PARAMS_MODELO!$B$4) * (HIST_SCORE!$C:$C=A783), HIST_SCORE!$E:$E, "No encontrado")</f>
        <v>PLATA</v>
      </c>
      <c r="X783" s="5" t="str">
        <f>_xlfn.LET(_xlpm.act,MATCH(V783,{"DIAMANTE";"PLATINO";"ORO";"PLATA";"BRONCE";"CERRADO"},0),_xlpm.ant,MATCH(W783,{"DIAMANTE";"PLATINO";"ORO";"PLATA";"BRONCE";"CERRADO"},0),IF(_xlpm.act&lt;_xlpm.ant,"Mejora ↑",IF(_xlpm.act&gt;_xlpm.ant,"Baja ↓","Estable →")))</f>
        <v>Estable →</v>
      </c>
      <c r="Y783" s="5">
        <f>IFERROR(U783-SUMIFS(HIST_SCORE!$D:$D,HIST_SCORE!$B:$B,PARAMS_MODELO!$B$4,HIST_SCORE!$C:$C,$A783),"")</f>
        <v>10.818779748197208</v>
      </c>
      <c r="Z783" s="5" t="str">
        <f t="shared" si="293"/>
        <v>↑ Mejora</v>
      </c>
      <c r="AA783" s="5">
        <f t="shared" si="294"/>
        <v>570</v>
      </c>
      <c r="AB783" s="5">
        <f>IFERROR(SUMIFS(HIST_SCORE!$F:$F,HIST_SCORE!$B:$B,PARAMS_MODELO!$B$4,HIST_SCORE!$C:$C,$A783),"")</f>
        <v>761</v>
      </c>
      <c r="AC783" s="5">
        <f t="shared" si="295"/>
        <v>191</v>
      </c>
      <c r="AD783" t="str">
        <f t="shared" si="297"/>
        <v/>
      </c>
      <c r="AE7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783="CERRADO",1,IF(V783="BRONCE",_xlpm.cPl,IF(V783="PLATA",_xlpm.cO,IF(V783="ORO",_xlpm.cP,IF(V783="PLATINO",_xlpm.cD,999))))))</f>
        <v>63.199193273331495</v>
      </c>
      <c r="AF7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783="CERRADO",0,IF(V783="BRONCE",1,IF(V783="PLATA",_xlpm.cPl,IF(V783="ORO",_xlpm.cO,IF(V783="PLATINO",_xlpm.cP,_xlpm.cD))))))</f>
        <v>24.506573482968111</v>
      </c>
      <c r="AG783">
        <f t="shared" si="298"/>
        <v>0.7611014947722623</v>
      </c>
      <c r="AH783" t="str">
        <f t="shared" si="299"/>
        <v>VENTAS</v>
      </c>
      <c r="AI783" t="str">
        <f t="shared" si="296"/>
        <v>🎯 Para subir de categoría, eje VENTAS / DIFERENCIAL vs LOTBA (J). Acción: metas semanales + activación comercial + seguimiento del asesor. ΔR aprox: 0,8</v>
      </c>
      <c r="AJ783" s="26">
        <f>_xlfn.LET(_xlpm.piso,AF783,_xlpm.corte,AE783,_xlpm.prog,IF(_xlpm.corte&lt;=_xlpm.piso,0,MAX(0,MIN(1,(U783-_xlpm.piso)/(_xlpm.corte-_xlpm.piso)))),_xlpm.orden,{"DIAMANTE";"PLATINO";"ORO";"PLATA";"BRONCE";"CERRADO"},_xlpm.act,IFERROR(MATCH(V783,_xlpm.orden,0),6),_xlpm.ant,IFERROR(MATCH(W783,_xlpm.orden,0),6),_xlpm.ajmov,IF(_xlpm.act&lt;_xlpm.ant,0.08,IF(_xlpm.act&gt;_xlpm.ant,-0.08,0)),_xlpm.ajcli,IF(T783&lt;0.95,-0.06,0),_xlpm.prob,MAX(0,MIN(1,_xlpm.prog+_xlpm.ajmov+_xlpm.ajcli)),IF(OR(V783="DIAMANTE",V783="CERRADO"),0,ROUND(_xlpm.prob,2)))</f>
        <v>0.98</v>
      </c>
      <c r="AK783" t="str">
        <f t="shared" si="300"/>
        <v>Faltan 0,8 puntos base para subir a la siguiente categoría</v>
      </c>
      <c r="AL783" t="str">
        <f t="shared" si="301"/>
        <v>Margen de seguridad: 37,9 puntos</v>
      </c>
      <c r="AM783">
        <f t="shared" si="302"/>
        <v>0.04</v>
      </c>
      <c r="AN783" t="str">
        <f t="shared" si="303"/>
        <v>PRIORIDAD BAJA – control normal</v>
      </c>
      <c r="AO783">
        <f t="shared" si="304"/>
        <v>29.313969413254448</v>
      </c>
      <c r="AP783">
        <f t="shared" si="305"/>
        <v>1.5105080834818985</v>
      </c>
      <c r="AQ783">
        <f t="shared" si="306"/>
        <v>0</v>
      </c>
      <c r="AR783">
        <f t="shared" si="307"/>
        <v>6.6</v>
      </c>
      <c r="AS783">
        <f t="shared" si="308"/>
        <v>0</v>
      </c>
      <c r="AT783" t="str">
        <f t="shared" si="309"/>
        <v>VENTAS</v>
      </c>
      <c r="AU783">
        <f t="shared" si="310"/>
        <v>29.313969413254448</v>
      </c>
      <c r="AV783" t="str">
        <f t="shared" si="311"/>
        <v>Mayor retorno probable: VENTAS (+29,3 puntos finales potenciales).</v>
      </c>
    </row>
    <row r="784" spans="1:48" x14ac:dyDescent="0.3">
      <c r="A784" s="5">
        <v>51012411</v>
      </c>
      <c r="B784" s="5" t="str">
        <f>IFERROR(VLOOKUP(A784,VENTAS!$A$2:$B$1194,2,0),"")</f>
        <v>ROBERTS</v>
      </c>
      <c r="C784" s="5">
        <f>IFERROR(INDEX(VENTAS!$C$2:$E$1194,MATCH(A784,VENTAS!$A$2:$A$1194,0),MATCH(PARAMS_MODELO!$B$2,{"Q1","Q2","Q3"},0)),0)</f>
        <v>42810719.100000001</v>
      </c>
      <c r="D784" s="5">
        <f>IFERROR(INDEX(VENTAS!$F$2:$H$1194,MATCH(A784,VENTAS!$A$2:$A$1194,0),MATCH(PARAMS_MODELO!$B$2,{"Q1","Q2","Q3"},0)),0)</f>
        <v>48523822</v>
      </c>
      <c r="E784" s="8">
        <f t="shared" si="288"/>
        <v>0.13345029049044865</v>
      </c>
      <c r="F784" s="12">
        <f>IF(E784&lt;=PARAMS_MODELO!$B$15,0,IF(E784&gt;=PARAMS_MODELO!$B$17,100,100*MIN(1,(E784-PARAMS_MODELO!$B$15)/(PARAMS_MODELO!$B$16-PARAMS_MODELO!$B$15))))*PARAMS_MODELO!$B$7</f>
        <v>35</v>
      </c>
      <c r="G784" s="5">
        <f t="shared" si="289"/>
        <v>5713102.8999999985</v>
      </c>
      <c r="H784" s="5">
        <f>(PARAMS_MODELO!$B$20*(MAX(0,MIN(3,E784))/3)+PARAMS_MODELO!$B$21*(IFERROR(LN(1+MAX(0,G784))/LN(1+MAX(0,MAX($G$2:$G$1194))),0)))*100*PARAMS_MODELO!$B$8</f>
        <v>4.1141524178576283</v>
      </c>
      <c r="I784" s="8">
        <f>E784-PARAMS_MODELO!$B$5</f>
        <v>-4.4112544885077876E-2</v>
      </c>
      <c r="J784" s="5">
        <f>IF(I784&lt;=PARAMS_MODELO!$B$18,0,IF(I784&gt;=PARAMS_MODELO!$B$19,100,100*(I784-PARAMS_MODELO!$B$18)/(PARAMS_MODELO!$B$19-PARAMS_MODELO!$B$18)))*PARAMS_MODELO!$B$9</f>
        <v>0.88311826723831888</v>
      </c>
      <c r="K784" s="5">
        <f>IFERROR(CHOOSE(MATCH(PARAMS_MODELO!$B$2,{"Q1","Q2","Q3"},0),LOTO!$D784,LOTO!$F784,LOTO!$H784),0)</f>
        <v>2192500</v>
      </c>
      <c r="L784" s="8">
        <f t="shared" si="290"/>
        <v>4.5183992307943094E-2</v>
      </c>
      <c r="M784" s="5">
        <f>MIN(100,IF(PARAMS_MODELO!$B$23=0,0,100*L784/PARAMS_MODELO!$B$23))*PARAMS_MODELO!$B$10</f>
        <v>13.555197692382928</v>
      </c>
      <c r="N784" s="5">
        <f>IFERROR(VLOOKUP(A784,COMPLIANCE!$A$2:$F$1996,6,0),100)</f>
        <v>100</v>
      </c>
      <c r="O784" s="5">
        <f>N784*PARAMS_MODELO!$B$11</f>
        <v>10</v>
      </c>
      <c r="P784" s="5">
        <f>IFERROR(VLOOKUP(A784,DIGITAL!$A$2:$J$2000,7,0),100)</f>
        <v>78</v>
      </c>
      <c r="Q784" s="5">
        <f>IFERROR(P784,0)*PARAMS_MODELO!$B$12</f>
        <v>7.8000000000000007</v>
      </c>
      <c r="R784">
        <f t="shared" si="291"/>
        <v>71.352468377478871</v>
      </c>
      <c r="S784" s="5" t="str">
        <f>IFERROR(VLOOKUP(A784,CLIENTE!$A$2:$N$2000,13,0),1)</f>
        <v>Regular</v>
      </c>
      <c r="T784" s="5">
        <f>IFERROR(VLOOKUP(A784,CLIENTE!$A$2:$N$2000,14,0),1)</f>
        <v>1</v>
      </c>
      <c r="U784" s="5">
        <f t="shared" si="292"/>
        <v>71.352468377478871</v>
      </c>
      <c r="V784" s="5" t="str">
        <f>IF(U784&gt;=MAX(_xlfn.PERCENTILE.INC($U$2:$U$1194,PARAMS_MODELO!$B$50),PARAMS_MODELO!$B$45),"DIAMANTE",IF(U784&gt;=MAX(_xlfn.PERCENTILE.INC($U$2:$U$1194,PARAMS_MODELO!$B$51),PARAMS_MODELO!$B$46),"PLATINO",IF(U784&gt;=MAX(_xlfn.PERCENTILE.INC($U$2:$U$1194,PARAMS_MODELO!$B$52),PARAMS_MODELO!$B$47),"ORO",IF(U784&gt;=MAX(_xlfn.PERCENTILE.INC($U$2:$U$1194,PARAMS_MODELO!$B$53),PARAMS_MODELO!$B$48),"PLATA",IF(U784&gt;=1,"BRONCE","CERRADO")))))</f>
        <v>ORO</v>
      </c>
      <c r="W784" s="5" t="str" cm="1">
        <f t="array" ref="W784">_xlfn.XLOOKUP(1, (HIST_SCORE!$B:$B=PARAMS_MODELO!$B$4) * (HIST_SCORE!$C:$C=A784), HIST_SCORE!$E:$E, "No encontrado")</f>
        <v>PLATA</v>
      </c>
      <c r="X784" s="5" t="str">
        <f>_xlfn.LET(_xlpm.act,MATCH(V784,{"DIAMANTE";"PLATINO";"ORO";"PLATA";"BRONCE";"CERRADO"},0),_xlpm.ant,MATCH(W784,{"DIAMANTE";"PLATINO";"ORO";"PLATA";"BRONCE";"CERRADO"},0),IF(_xlpm.act&lt;_xlpm.ant,"Mejora ↑",IF(_xlpm.act&gt;_xlpm.ant,"Baja ↓","Estable →")))</f>
        <v>Mejora ↑</v>
      </c>
      <c r="Y784" s="5">
        <f>IFERROR(U784-SUMIFS(HIST_SCORE!$D:$D,HIST_SCORE!$B:$B,PARAMS_MODELO!$B$4,HIST_SCORE!$C:$C,$A784),"")</f>
        <v>38.552468377478874</v>
      </c>
      <c r="Z784" s="5" t="str">
        <f t="shared" si="293"/>
        <v>↑ Mejora</v>
      </c>
      <c r="AA784" s="5">
        <f t="shared" si="294"/>
        <v>503</v>
      </c>
      <c r="AB784" s="5">
        <f>IFERROR(SUMIFS(HIST_SCORE!$F:$F,HIST_SCORE!$B:$B,PARAMS_MODELO!$B$4,HIST_SCORE!$C:$C,$A784),"")</f>
        <v>880</v>
      </c>
      <c r="AC784" s="5">
        <f t="shared" si="295"/>
        <v>377</v>
      </c>
      <c r="AD784" t="str">
        <f t="shared" si="297"/>
        <v/>
      </c>
      <c r="AE7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784="CERRADO",1,IF(V784="BRONCE",_xlpm.cPl,IF(V784="PLATA",_xlpm.cO,IF(V784="ORO",_xlpm.cP,IF(V784="PLATINO",_xlpm.cD,999))))))</f>
        <v>86.439123873763251</v>
      </c>
      <c r="AF7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784="CERRADO",0,IF(V784="BRONCE",1,IF(V784="PLATA",_xlpm.cPl,IF(V784="ORO",_xlpm.cO,IF(V784="PLATINO",_xlpm.cP,_xlpm.cD))))))</f>
        <v>63.199193273331495</v>
      </c>
      <c r="AG784">
        <f t="shared" si="298"/>
        <v>15.086655496284379</v>
      </c>
      <c r="AH784" t="str">
        <f t="shared" si="299"/>
        <v>VENTAS</v>
      </c>
      <c r="AI784" t="str">
        <f t="shared" si="296"/>
        <v>🎯 Para subir de categoría, eje VENTAS / DIFERENCIAL vs LOTBA (J). Acción: metas semanales + activación comercial + seguimiento del asesor. ΔR aprox: 15,1</v>
      </c>
      <c r="AJ784" s="26">
        <f>_xlfn.LET(_xlpm.piso,AF784,_xlpm.corte,AE784,_xlpm.prog,IF(_xlpm.corte&lt;=_xlpm.piso,0,MAX(0,MIN(1,(U784-_xlpm.piso)/(_xlpm.corte-_xlpm.piso)))),_xlpm.orden,{"DIAMANTE";"PLATINO";"ORO";"PLATA";"BRONCE";"CERRADO"},_xlpm.act,IFERROR(MATCH(V784,_xlpm.orden,0),6),_xlpm.ant,IFERROR(MATCH(W784,_xlpm.orden,0),6),_xlpm.ajmov,IF(_xlpm.act&lt;_xlpm.ant,0.08,IF(_xlpm.act&gt;_xlpm.ant,-0.08,0)),_xlpm.ajcli,IF(T784&lt;0.95,-0.06,0),_xlpm.prob,MAX(0,MIN(1,_xlpm.prog+_xlpm.ajmov+_xlpm.ajcli)),IF(OR(V784="DIAMANTE",V784="CERRADO"),0,ROUND(_xlpm.prob,2)))</f>
        <v>0.43</v>
      </c>
      <c r="AK784" t="str">
        <f t="shared" si="300"/>
        <v>Faltan 15,1 puntos base para subir a la siguiente categoría</v>
      </c>
      <c r="AL784" t="str">
        <f t="shared" si="301"/>
        <v>Margen de seguridad: 8,2 puntos</v>
      </c>
      <c r="AM784">
        <f t="shared" si="302"/>
        <v>0.63</v>
      </c>
      <c r="AN784" t="str">
        <f t="shared" si="303"/>
        <v>PRIORIDAD MEDIA – seguimiento del asesor</v>
      </c>
      <c r="AO784">
        <f t="shared" si="304"/>
        <v>24.865298590199643</v>
      </c>
      <c r="AP784">
        <f t="shared" si="305"/>
        <v>1.4448023076170724</v>
      </c>
      <c r="AQ784">
        <f t="shared" si="306"/>
        <v>0</v>
      </c>
      <c r="AR784">
        <f t="shared" si="307"/>
        <v>2.1999999999999993</v>
      </c>
      <c r="AS784">
        <f t="shared" si="308"/>
        <v>0</v>
      </c>
      <c r="AT784" t="str">
        <f t="shared" si="309"/>
        <v>VENTAS</v>
      </c>
      <c r="AU784">
        <f t="shared" si="310"/>
        <v>24.865298590199643</v>
      </c>
      <c r="AV784" t="str">
        <f t="shared" si="311"/>
        <v>Mayor retorno probable: VENTAS (+24,9 puntos finales potenciales).</v>
      </c>
    </row>
    <row r="785" spans="1:48" x14ac:dyDescent="0.3">
      <c r="A785" s="5">
        <v>51020171</v>
      </c>
      <c r="B785" s="5" t="str">
        <f>IFERROR(VLOOKUP(A785,VENTAS!$A$2:$B$1194,2,0),"")</f>
        <v>AYALA</v>
      </c>
      <c r="C785" s="5">
        <f>IFERROR(INDEX(VENTAS!$C$2:$E$1194,MATCH(A785,VENTAS!$A$2:$A$1194,0),MATCH(PARAMS_MODELO!$B$2,{"Q1","Q2","Q3"},0)),0)</f>
        <v>55900181</v>
      </c>
      <c r="D785" s="5">
        <f>IFERROR(INDEX(VENTAS!$F$2:$H$1194,MATCH(A785,VENTAS!$A$2:$A$1194,0),MATCH(PARAMS_MODELO!$B$2,{"Q1","Q2","Q3"},0)),0)</f>
        <v>48345970</v>
      </c>
      <c r="E785" s="8">
        <f t="shared" si="288"/>
        <v>-0.13513750518983114</v>
      </c>
      <c r="F785" s="12">
        <f>IF(E785&lt;=PARAMS_MODELO!$B$15,0,IF(E785&gt;=PARAMS_MODELO!$B$17,100,100*MIN(1,(E785-PARAMS_MODELO!$B$15)/(PARAMS_MODELO!$B$16-PARAMS_MODELO!$B$15))))*PARAMS_MODELO!$B$7</f>
        <v>0</v>
      </c>
      <c r="G785" s="5">
        <f t="shared" si="289"/>
        <v>0</v>
      </c>
      <c r="H785" s="5">
        <f>(PARAMS_MODELO!$B$20*(MAX(0,MIN(3,E785))/3)+PARAMS_MODELO!$B$21*(IFERROR(LN(1+MAX(0,G785))/LN(1+MAX(0,MAX($G$2:$G$1194))),0)))*100*PARAMS_MODELO!$B$8</f>
        <v>0</v>
      </c>
      <c r="I785" s="8">
        <f>E785-PARAMS_MODELO!$B$5</f>
        <v>-0.31270034056535767</v>
      </c>
      <c r="J785" s="5">
        <f>IF(I785&lt;=PARAMS_MODELO!$B$18,0,IF(I785&gt;=PARAMS_MODELO!$B$19,100,100*(I785-PARAMS_MODELO!$B$18)/(PARAMS_MODELO!$B$19-PARAMS_MODELO!$B$18)))*PARAMS_MODELO!$B$9</f>
        <v>0</v>
      </c>
      <c r="K785" s="5">
        <f>IFERROR(CHOOSE(MATCH(PARAMS_MODELO!$B$2,{"Q1","Q2","Q3"},0),LOTO!$D785,LOTO!$F785,LOTO!$H785),0)</f>
        <v>2192500</v>
      </c>
      <c r="L785" s="8">
        <f t="shared" si="290"/>
        <v>4.5350212230719542E-2</v>
      </c>
      <c r="M785" s="5">
        <f>MIN(100,IF(PARAMS_MODELO!$B$23=0,0,100*L785/PARAMS_MODELO!$B$23))*PARAMS_MODELO!$B$10</f>
        <v>13.605063669215863</v>
      </c>
      <c r="N785" s="5">
        <f>IFERROR(VLOOKUP(A785,COMPLIANCE!$A$2:$F$1996,6,0),100)</f>
        <v>99.98</v>
      </c>
      <c r="O785" s="5">
        <f>N785*PARAMS_MODELO!$B$11</f>
        <v>9.9980000000000011</v>
      </c>
      <c r="P785" s="5">
        <f>IFERROR(VLOOKUP(A785,DIGITAL!$A$2:$J$2000,7,0),100)</f>
        <v>51</v>
      </c>
      <c r="Q785" s="5">
        <f>IFERROR(P785,0)*PARAMS_MODELO!$B$12</f>
        <v>5.1000000000000005</v>
      </c>
      <c r="R785">
        <f t="shared" si="291"/>
        <v>28.703063669215865</v>
      </c>
      <c r="S785" s="5" t="str">
        <f>IFERROR(VLOOKUP(A785,CLIENTE!$A$2:$N$2000,13,0),1)</f>
        <v>Regular</v>
      </c>
      <c r="T785" s="5">
        <f>IFERROR(VLOOKUP(A785,CLIENTE!$A$2:$N$2000,14,0),1)</f>
        <v>1</v>
      </c>
      <c r="U785" s="5">
        <f t="shared" si="292"/>
        <v>28.703063669215865</v>
      </c>
      <c r="V785" s="5" t="str">
        <f>IF(U785&gt;=MAX(_xlfn.PERCENTILE.INC($U$2:$U$1194,PARAMS_MODELO!$B$50),PARAMS_MODELO!$B$45),"DIAMANTE",IF(U785&gt;=MAX(_xlfn.PERCENTILE.INC($U$2:$U$1194,PARAMS_MODELO!$B$51),PARAMS_MODELO!$B$46),"PLATINO",IF(U785&gt;=MAX(_xlfn.PERCENTILE.INC($U$2:$U$1194,PARAMS_MODELO!$B$52),PARAMS_MODELO!$B$47),"ORO",IF(U785&gt;=MAX(_xlfn.PERCENTILE.INC($U$2:$U$1194,PARAMS_MODELO!$B$53),PARAMS_MODELO!$B$48),"PLATA",IF(U785&gt;=1,"BRONCE","CERRADO")))))</f>
        <v>PLATA</v>
      </c>
      <c r="W785" s="5" t="str" cm="1">
        <f t="array" ref="W785">_xlfn.XLOOKUP(1, (HIST_SCORE!$B:$B=PARAMS_MODELO!$B$4) * (HIST_SCORE!$C:$C=A785), HIST_SCORE!$E:$E, "No encontrado")</f>
        <v>PLATA</v>
      </c>
      <c r="X785" s="5" t="str">
        <f>_xlfn.LET(_xlpm.act,MATCH(V785,{"DIAMANTE";"PLATINO";"ORO";"PLATA";"BRONCE";"CERRADO"},0),_xlpm.ant,MATCH(W785,{"DIAMANTE";"PLATINO";"ORO";"PLATA";"BRONCE";"CERRADO"},0),IF(_xlpm.act&lt;_xlpm.ant,"Mejora ↑",IF(_xlpm.act&gt;_xlpm.ant,"Baja ↓","Estable →")))</f>
        <v>Estable →</v>
      </c>
      <c r="Y785" s="5">
        <f>IFERROR(U785-SUMIFS(HIST_SCORE!$D:$D,HIST_SCORE!$B:$B,PARAMS_MODELO!$B$4,HIST_SCORE!$C:$C,$A785),"")</f>
        <v>-1.3949363307841374</v>
      </c>
      <c r="Z785" s="5" t="str">
        <f t="shared" si="293"/>
        <v>→ Estable</v>
      </c>
      <c r="AA785" s="5">
        <f t="shared" si="294"/>
        <v>878</v>
      </c>
      <c r="AB785" s="5">
        <f>IFERROR(SUMIFS(HIST_SCORE!$F:$F,HIST_SCORE!$B:$B,PARAMS_MODELO!$B$4,HIST_SCORE!$C:$C,$A785),"")</f>
        <v>909</v>
      </c>
      <c r="AC785" s="5">
        <f t="shared" si="295"/>
        <v>31</v>
      </c>
      <c r="AD785" t="str">
        <f t="shared" si="297"/>
        <v/>
      </c>
      <c r="AE7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785="CERRADO",1,IF(V785="BRONCE",_xlpm.cPl,IF(V785="PLATA",_xlpm.cO,IF(V785="ORO",_xlpm.cP,IF(V785="PLATINO",_xlpm.cD,999))))))</f>
        <v>63.199193273331495</v>
      </c>
      <c r="AF7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785="CERRADO",0,IF(V785="BRONCE",1,IF(V785="PLATA",_xlpm.cPl,IF(V785="ORO",_xlpm.cO,IF(V785="PLATINO",_xlpm.cP,_xlpm.cD))))))</f>
        <v>24.506573482968111</v>
      </c>
      <c r="AG785">
        <f t="shared" si="298"/>
        <v>34.49612960411563</v>
      </c>
      <c r="AH785" t="str">
        <f t="shared" si="299"/>
        <v>VENTAS</v>
      </c>
      <c r="AI785" t="str">
        <f t="shared" si="296"/>
        <v>🎯 Para subir de categoría, eje VENTAS / CRECIMIENTO PERSONAL (F). Acción: metas semanales + activación comercial + seguimiento del asesor. ΔR aprox: 34,5</v>
      </c>
      <c r="AJ785" s="26">
        <f>_xlfn.LET(_xlpm.piso,AF785,_xlpm.corte,AE785,_xlpm.prog,IF(_xlpm.corte&lt;=_xlpm.piso,0,MAX(0,MIN(1,(U785-_xlpm.piso)/(_xlpm.corte-_xlpm.piso)))),_xlpm.orden,{"DIAMANTE";"PLATINO";"ORO";"PLATA";"BRONCE";"CERRADO"},_xlpm.act,IFERROR(MATCH(V785,_xlpm.orden,0),6),_xlpm.ant,IFERROR(MATCH(W785,_xlpm.orden,0),6),_xlpm.ajmov,IF(_xlpm.act&lt;_xlpm.ant,0.08,IF(_xlpm.act&gt;_xlpm.ant,-0.08,0)),_xlpm.ajcli,IF(T785&lt;0.95,-0.06,0),_xlpm.prob,MAX(0,MIN(1,_xlpm.prog+_xlpm.ajmov+_xlpm.ajcli)),IF(OR(V785="DIAMANTE",V785="CERRADO"),0,ROUND(_xlpm.prob,2)))</f>
        <v>0.11</v>
      </c>
      <c r="AK785" t="str">
        <f t="shared" si="300"/>
        <v>Faltan 34,5 puntos base para subir a la siguiente categoría</v>
      </c>
      <c r="AL785" t="str">
        <f t="shared" si="301"/>
        <v>Margen de seguridad: 4,2 puntos</v>
      </c>
      <c r="AM785">
        <f t="shared" si="302"/>
        <v>0.76</v>
      </c>
      <c r="AN785" t="str">
        <f t="shared" si="303"/>
        <v>PRIORIDAD ALTA – requiere intervención inmediata</v>
      </c>
      <c r="AO785">
        <f t="shared" si="304"/>
        <v>64.862569275295584</v>
      </c>
      <c r="AP785">
        <f t="shared" si="305"/>
        <v>1.3949363307841374</v>
      </c>
      <c r="AQ785">
        <f t="shared" si="306"/>
        <v>1.9999999999988916E-3</v>
      </c>
      <c r="AR785">
        <f t="shared" si="307"/>
        <v>4.8999999999999995</v>
      </c>
      <c r="AS785">
        <f t="shared" si="308"/>
        <v>0</v>
      </c>
      <c r="AT785" t="str">
        <f t="shared" si="309"/>
        <v>VENTAS</v>
      </c>
      <c r="AU785">
        <f t="shared" si="310"/>
        <v>64.862569275295584</v>
      </c>
      <c r="AV785" t="str">
        <f t="shared" si="311"/>
        <v>Mayor retorno probable: VENTAS (+64,9 puntos finales potenciales).</v>
      </c>
    </row>
    <row r="786" spans="1:48" x14ac:dyDescent="0.3">
      <c r="A786" s="5">
        <v>51029488</v>
      </c>
      <c r="B786" s="5" t="str">
        <f>IFERROR(VLOOKUP(A786,VENTAS!$A$2:$B$1194,2,0),"")</f>
        <v>PRADES</v>
      </c>
      <c r="C786" s="5">
        <f>IFERROR(INDEX(VENTAS!$C$2:$E$1194,MATCH(A786,VENTAS!$A$2:$A$1194,0),MATCH(PARAMS_MODELO!$B$2,{"Q1","Q2","Q3"},0)),0)</f>
        <v>45948896.609999999</v>
      </c>
      <c r="D786" s="5">
        <f>IFERROR(INDEX(VENTAS!$F$2:$H$1194,MATCH(A786,VENTAS!$A$2:$A$1194,0),MATCH(PARAMS_MODELO!$B$2,{"Q1","Q2","Q3"},0)),0)</f>
        <v>48182678</v>
      </c>
      <c r="E786" s="8">
        <f t="shared" si="288"/>
        <v>4.861447292107246E-2</v>
      </c>
      <c r="F786" s="12">
        <f>IF(E786&lt;=PARAMS_MODELO!$B$15,0,IF(E786&gt;=PARAMS_MODELO!$B$17,100,100*MIN(1,(E786-PARAMS_MODELO!$B$15)/(PARAMS_MODELO!$B$16-PARAMS_MODELO!$B$15))))*PARAMS_MODELO!$B$7</f>
        <v>17.015065522375359</v>
      </c>
      <c r="G786" s="5">
        <f t="shared" si="289"/>
        <v>2233781.3900000006</v>
      </c>
      <c r="H786" s="5">
        <f>(PARAMS_MODELO!$B$20*(MAX(0,MIN(3,E786))/3)+PARAMS_MODELO!$B$21*(IFERROR(LN(1+MAX(0,G786))/LN(1+MAX(0,MAX($G$2:$G$1194))),0)))*100*PARAMS_MODELO!$B$8</f>
        <v>3.5970968341084788</v>
      </c>
      <c r="I786" s="8">
        <f>E786-PARAMS_MODELO!$B$5</f>
        <v>-0.12894836245445407</v>
      </c>
      <c r="J786" s="5">
        <f>IF(I786&lt;=PARAMS_MODELO!$B$18,0,IF(I786&gt;=PARAMS_MODELO!$B$19,100,100*(I786-PARAMS_MODELO!$B$18)/(PARAMS_MODELO!$B$19-PARAMS_MODELO!$B$18)))*PARAMS_MODELO!$B$9</f>
        <v>0</v>
      </c>
      <c r="K786" s="5">
        <f>IFERROR(CHOOSE(MATCH(PARAMS_MODELO!$B$2,{"Q1","Q2","Q3"},0),LOTO!$D786,LOTO!$F786,LOTO!$H786),0)</f>
        <v>2187500</v>
      </c>
      <c r="L786" s="8">
        <f t="shared" si="290"/>
        <v>4.5400133218000044E-2</v>
      </c>
      <c r="M786" s="5">
        <f>MIN(100,IF(PARAMS_MODELO!$B$23=0,0,100*L786/PARAMS_MODELO!$B$23))*PARAMS_MODELO!$B$10</f>
        <v>13.620039965400013</v>
      </c>
      <c r="N786" s="5">
        <f>IFERROR(VLOOKUP(A786,COMPLIANCE!$A$2:$F$1996,6,0),100)</f>
        <v>100</v>
      </c>
      <c r="O786" s="5">
        <f>N786*PARAMS_MODELO!$B$11</f>
        <v>10</v>
      </c>
      <c r="P786" s="5">
        <f>IFERROR(VLOOKUP(A786,DIGITAL!$A$2:$J$2000,7,0),100)</f>
        <v>22</v>
      </c>
      <c r="Q786" s="5">
        <f>IFERROR(P786,0)*PARAMS_MODELO!$B$12</f>
        <v>2.2000000000000002</v>
      </c>
      <c r="R786">
        <f t="shared" si="291"/>
        <v>46.43220232188385</v>
      </c>
      <c r="S786" s="5" t="str">
        <f>IFERROR(VLOOKUP(A786,CLIENTE!$A$2:$N$2000,13,0),1)</f>
        <v>Bueno</v>
      </c>
      <c r="T786" s="5">
        <f>IFERROR(VLOOKUP(A786,CLIENTE!$A$2:$N$2000,14,0),1)</f>
        <v>1.1000000000000001</v>
      </c>
      <c r="U786" s="5">
        <f t="shared" si="292"/>
        <v>51.07542255407224</v>
      </c>
      <c r="V786" s="5" t="str">
        <f>IF(U786&gt;=MAX(_xlfn.PERCENTILE.INC($U$2:$U$1194,PARAMS_MODELO!$B$50),PARAMS_MODELO!$B$45),"DIAMANTE",IF(U786&gt;=MAX(_xlfn.PERCENTILE.INC($U$2:$U$1194,PARAMS_MODELO!$B$51),PARAMS_MODELO!$B$46),"PLATINO",IF(U786&gt;=MAX(_xlfn.PERCENTILE.INC($U$2:$U$1194,PARAMS_MODELO!$B$52),PARAMS_MODELO!$B$47),"ORO",IF(U786&gt;=MAX(_xlfn.PERCENTILE.INC($U$2:$U$1194,PARAMS_MODELO!$B$53),PARAMS_MODELO!$B$48),"PLATA",IF(U786&gt;=1,"BRONCE","CERRADO")))))</f>
        <v>PLATA</v>
      </c>
      <c r="W786" s="5" t="str" cm="1">
        <f t="array" ref="W786">_xlfn.XLOOKUP(1, (HIST_SCORE!$B:$B=PARAMS_MODELO!$B$4) * (HIST_SCORE!$C:$C=A786), HIST_SCORE!$E:$E, "No encontrado")</f>
        <v>PLATA</v>
      </c>
      <c r="X786" s="5" t="str">
        <f>_xlfn.LET(_xlpm.act,MATCH(V786,{"DIAMANTE";"PLATINO";"ORO";"PLATA";"BRONCE";"CERRADO"},0),_xlpm.ant,MATCH(W786,{"DIAMANTE";"PLATINO";"ORO";"PLATA";"BRONCE";"CERRADO"},0),IF(_xlpm.act&lt;_xlpm.ant,"Mejora ↑",IF(_xlpm.act&gt;_xlpm.ant,"Baja ↓","Estable →")))</f>
        <v>Estable →</v>
      </c>
      <c r="Y786" s="5">
        <f>IFERROR(U786-SUMIFS(HIST_SCORE!$D:$D,HIST_SCORE!$B:$B,PARAMS_MODELO!$B$4,HIST_SCORE!$C:$C,$A786),"")</f>
        <v>23.203235551957043</v>
      </c>
      <c r="Z786" s="5" t="str">
        <f t="shared" si="293"/>
        <v>↑ Mejora</v>
      </c>
      <c r="AA786" s="5">
        <f t="shared" si="294"/>
        <v>734</v>
      </c>
      <c r="AB786" s="5">
        <f>IFERROR(SUMIFS(HIST_SCORE!$F:$F,HIST_SCORE!$B:$B,PARAMS_MODELO!$B$4,HIST_SCORE!$C:$C,$A786),"")</f>
        <v>931</v>
      </c>
      <c r="AC786" s="5">
        <f t="shared" si="295"/>
        <v>197</v>
      </c>
      <c r="AD786" t="str">
        <f t="shared" si="297"/>
        <v/>
      </c>
      <c r="AE7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786="CERRADO",1,IF(V786="BRONCE",_xlpm.cPl,IF(V786="PLATA",_xlpm.cO,IF(V786="ORO",_xlpm.cP,IF(V786="PLATINO",_xlpm.cD,999))))))</f>
        <v>63.199193273331495</v>
      </c>
      <c r="AF7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786="CERRADO",0,IF(V786="BRONCE",1,IF(V786="PLATA",_xlpm.cPl,IF(V786="ORO",_xlpm.cO,IF(V786="PLATINO",_xlpm.cP,_xlpm.cD))))))</f>
        <v>24.506573482968111</v>
      </c>
      <c r="AG786">
        <f t="shared" si="298"/>
        <v>11.021609744781145</v>
      </c>
      <c r="AH786" t="str">
        <f t="shared" si="299"/>
        <v>VENTAS</v>
      </c>
      <c r="AI786" t="str">
        <f t="shared" si="296"/>
        <v>🎯 Para subir de categoría, eje VENTAS / DIFERENCIAL vs LOTBA (J). Acción: metas semanales + activación comercial + seguimiento del asesor. ΔR aprox: 11,0</v>
      </c>
      <c r="AJ786" s="26">
        <f>_xlfn.LET(_xlpm.piso,AF786,_xlpm.corte,AE786,_xlpm.prog,IF(_xlpm.corte&lt;=_xlpm.piso,0,MAX(0,MIN(1,(U786-_xlpm.piso)/(_xlpm.corte-_xlpm.piso)))),_xlpm.orden,{"DIAMANTE";"PLATINO";"ORO";"PLATA";"BRONCE";"CERRADO"},_xlpm.act,IFERROR(MATCH(V786,_xlpm.orden,0),6),_xlpm.ant,IFERROR(MATCH(W786,_xlpm.orden,0),6),_xlpm.ajmov,IF(_xlpm.act&lt;_xlpm.ant,0.08,IF(_xlpm.act&gt;_xlpm.ant,-0.08,0)),_xlpm.ajcli,IF(T786&lt;0.95,-0.06,0),_xlpm.prob,MAX(0,MIN(1,_xlpm.prog+_xlpm.ajmov+_xlpm.ajcli)),IF(OR(V786="DIAMANTE",V786="CERRADO"),0,ROUND(_xlpm.prob,2)))</f>
        <v>0.69</v>
      </c>
      <c r="AK786" t="str">
        <f t="shared" si="300"/>
        <v>Faltan 11,0 puntos base para subir a la siguiente categoría</v>
      </c>
      <c r="AL786" t="str">
        <f t="shared" si="301"/>
        <v>Margen de seguridad: 26,6 puntos</v>
      </c>
      <c r="AM786">
        <f t="shared" si="302"/>
        <v>0.52</v>
      </c>
      <c r="AN786" t="str">
        <f t="shared" si="303"/>
        <v>PRIORIDAD MEDIA – seguimiento del asesor</v>
      </c>
      <c r="AO786">
        <f t="shared" si="304"/>
        <v>48.675447610692927</v>
      </c>
      <c r="AP786">
        <f t="shared" si="305"/>
        <v>1.5179560380599864</v>
      </c>
      <c r="AQ786">
        <f t="shared" si="306"/>
        <v>0</v>
      </c>
      <c r="AR786">
        <f t="shared" si="307"/>
        <v>8.58</v>
      </c>
      <c r="AS786">
        <f t="shared" si="308"/>
        <v>0</v>
      </c>
      <c r="AT786" t="str">
        <f t="shared" si="309"/>
        <v>VENTAS</v>
      </c>
      <c r="AU786">
        <f t="shared" si="310"/>
        <v>48.675447610692927</v>
      </c>
      <c r="AV786" t="str">
        <f t="shared" si="311"/>
        <v>Mayor retorno probable: VENTAS (+48,7 puntos finales potenciales).</v>
      </c>
    </row>
    <row r="787" spans="1:48" x14ac:dyDescent="0.3">
      <c r="A787" s="5">
        <v>51017633</v>
      </c>
      <c r="B787" s="5" t="str">
        <f>IFERROR(VLOOKUP(A787,VENTAS!$A$2:$B$1194,2,0),"")</f>
        <v>PRADES</v>
      </c>
      <c r="C787" s="5">
        <f>IFERROR(INDEX(VENTAS!$C$2:$E$1194,MATCH(A787,VENTAS!$A$2:$A$1194,0),MATCH(PARAMS_MODELO!$B$2,{"Q1","Q2","Q3"},0)),0)</f>
        <v>33623495.189999998</v>
      </c>
      <c r="D787" s="5">
        <f>IFERROR(INDEX(VENTAS!$F$2:$H$1194,MATCH(A787,VENTAS!$A$2:$A$1194,0),MATCH(PARAMS_MODELO!$B$2,{"Q1","Q2","Q3"},0)),0)</f>
        <v>48061414</v>
      </c>
      <c r="E787" s="8">
        <f t="shared" si="288"/>
        <v>0.42939970185770582</v>
      </c>
      <c r="F787" s="12">
        <f>IF(E787&lt;=PARAMS_MODELO!$B$15,0,IF(E787&gt;=PARAMS_MODELO!$B$17,100,100*MIN(1,(E787-PARAMS_MODELO!$B$15)/(PARAMS_MODELO!$B$16-PARAMS_MODELO!$B$15))))*PARAMS_MODELO!$B$7</f>
        <v>35</v>
      </c>
      <c r="G787" s="5">
        <f t="shared" si="289"/>
        <v>14437918.810000002</v>
      </c>
      <c r="H787" s="5">
        <f>(PARAMS_MODELO!$B$20*(MAX(0,MIN(3,E787))/3)+PARAMS_MODELO!$B$21*(IFERROR(LN(1+MAX(0,G787))/LN(1+MAX(0,MAX($G$2:$G$1194))),0)))*100*PARAMS_MODELO!$B$8</f>
        <v>5.3672995090492837</v>
      </c>
      <c r="I787" s="8">
        <f>E787-PARAMS_MODELO!$B$5</f>
        <v>0.25183686648217929</v>
      </c>
      <c r="J787" s="5">
        <f>IF(I787&lt;=PARAMS_MODELO!$B$18,0,IF(I787&gt;=PARAMS_MODELO!$B$19,100,100*(I787-PARAMS_MODELO!$B$18)/(PARAMS_MODELO!$B$19-PARAMS_MODELO!$B$18)))*PARAMS_MODELO!$B$9</f>
        <v>15</v>
      </c>
      <c r="K787" s="5">
        <f>IFERROR(CHOOSE(MATCH(PARAMS_MODELO!$B$2,{"Q1","Q2","Q3"},0),LOTO!$D787,LOTO!$F787,LOTO!$H787),0)</f>
        <v>2167500</v>
      </c>
      <c r="L787" s="8">
        <f t="shared" si="290"/>
        <v>4.509854828657351E-2</v>
      </c>
      <c r="M787" s="5">
        <f>MIN(100,IF(PARAMS_MODELO!$B$23=0,0,100*L787/PARAMS_MODELO!$B$23))*PARAMS_MODELO!$B$10</f>
        <v>13.529564485972053</v>
      </c>
      <c r="N787" s="5">
        <f>IFERROR(VLOOKUP(A787,COMPLIANCE!$A$2:$F$1996,6,0),100)</f>
        <v>99.6</v>
      </c>
      <c r="O787" s="5">
        <f>N787*PARAMS_MODELO!$B$11</f>
        <v>9.9600000000000009</v>
      </c>
      <c r="P787" s="5">
        <f>IFERROR(VLOOKUP(A787,DIGITAL!$A$2:$J$2000,7,0),100)</f>
        <v>66</v>
      </c>
      <c r="Q787" s="5">
        <f>IFERROR(P787,0)*PARAMS_MODELO!$B$12</f>
        <v>6.6000000000000005</v>
      </c>
      <c r="R787">
        <f t="shared" si="291"/>
        <v>85.456863995021337</v>
      </c>
      <c r="S787" s="5" t="str">
        <f>IFERROR(VLOOKUP(A787,CLIENTE!$A$2:$N$2000,13,0),1)</f>
        <v>Regular</v>
      </c>
      <c r="T787" s="5">
        <f>IFERROR(VLOOKUP(A787,CLIENTE!$A$2:$N$2000,14,0),1)</f>
        <v>1</v>
      </c>
      <c r="U787" s="5">
        <f t="shared" si="292"/>
        <v>85.456863995021337</v>
      </c>
      <c r="V787" s="5" t="str">
        <f>IF(U787&gt;=MAX(_xlfn.PERCENTILE.INC($U$2:$U$1194,PARAMS_MODELO!$B$50),PARAMS_MODELO!$B$45),"DIAMANTE",IF(U787&gt;=MAX(_xlfn.PERCENTILE.INC($U$2:$U$1194,PARAMS_MODELO!$B$51),PARAMS_MODELO!$B$46),"PLATINO",IF(U787&gt;=MAX(_xlfn.PERCENTILE.INC($U$2:$U$1194,PARAMS_MODELO!$B$52),PARAMS_MODELO!$B$47),"ORO",IF(U787&gt;=MAX(_xlfn.PERCENTILE.INC($U$2:$U$1194,PARAMS_MODELO!$B$53),PARAMS_MODELO!$B$48),"PLATA",IF(U787&gt;=1,"BRONCE","CERRADO")))))</f>
        <v>ORO</v>
      </c>
      <c r="W787" s="5" t="str" cm="1">
        <f t="array" ref="W787">_xlfn.XLOOKUP(1, (HIST_SCORE!$B:$B=PARAMS_MODELO!$B$4) * (HIST_SCORE!$C:$C=A787), HIST_SCORE!$E:$E, "No encontrado")</f>
        <v>PLATINO</v>
      </c>
      <c r="X787" s="5" t="str">
        <f>_xlfn.LET(_xlpm.act,MATCH(V787,{"DIAMANTE";"PLATINO";"ORO";"PLATA";"BRONCE";"CERRADO"},0),_xlpm.ant,MATCH(W787,{"DIAMANTE";"PLATINO";"ORO";"PLATA";"BRONCE";"CERRADO"},0),IF(_xlpm.act&lt;_xlpm.ant,"Mejora ↑",IF(_xlpm.act&gt;_xlpm.ant,"Baja ↓","Estable →")))</f>
        <v>Baja ↓</v>
      </c>
      <c r="Y787" s="5">
        <f>IFERROR(U787-SUMIFS(HIST_SCORE!$D:$D,HIST_SCORE!$B:$B,PARAMS_MODELO!$B$4,HIST_SCORE!$C:$C,$A787),"")</f>
        <v>-0.88387452010098855</v>
      </c>
      <c r="Z787" s="5" t="str">
        <f t="shared" si="293"/>
        <v>→ Estable</v>
      </c>
      <c r="AA787" s="5">
        <f t="shared" si="294"/>
        <v>270</v>
      </c>
      <c r="AB787" s="5">
        <f>IFERROR(SUMIFS(HIST_SCORE!$F:$F,HIST_SCORE!$B:$B,PARAMS_MODELO!$B$4,HIST_SCORE!$C:$C,$A787),"")</f>
        <v>221</v>
      </c>
      <c r="AC787" s="5">
        <f t="shared" si="295"/>
        <v>-49</v>
      </c>
      <c r="AD787" t="str">
        <f t="shared" si="297"/>
        <v>Sostener base y reforzar mix</v>
      </c>
      <c r="AE7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787="CERRADO",1,IF(V787="BRONCE",_xlpm.cPl,IF(V787="PLATA",_xlpm.cO,IF(V787="ORO",_xlpm.cP,IF(V787="PLATINO",_xlpm.cD,999))))))</f>
        <v>86.439123873763251</v>
      </c>
      <c r="AF7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787="CERRADO",0,IF(V787="BRONCE",1,IF(V787="PLATA",_xlpm.cPl,IF(V787="ORO",_xlpm.cO,IF(V787="PLATINO",_xlpm.cP,_xlpm.cD))))))</f>
        <v>63.199193273331495</v>
      </c>
      <c r="AG787">
        <f t="shared" si="298"/>
        <v>0.98225987874191389</v>
      </c>
      <c r="AH787" t="str">
        <f t="shared" si="299"/>
        <v>VENTAS</v>
      </c>
      <c r="AI787" t="str">
        <f t="shared" si="296"/>
        <v>🎯 Para subir de categoría, eje VENTAS / IMPACTO ABSOLUTO (H). Acción: metas semanales + activación comercial + seguimiento del asesor. ΔR aprox: 1,0</v>
      </c>
      <c r="AJ787" s="26">
        <f>_xlfn.LET(_xlpm.piso,AF787,_xlpm.corte,AE787,_xlpm.prog,IF(_xlpm.corte&lt;=_xlpm.piso,0,MAX(0,MIN(1,(U787-_xlpm.piso)/(_xlpm.corte-_xlpm.piso)))),_xlpm.orden,{"DIAMANTE";"PLATINO";"ORO";"PLATA";"BRONCE";"CERRADO"},_xlpm.act,IFERROR(MATCH(V787,_xlpm.orden,0),6),_xlpm.ant,IFERROR(MATCH(W787,_xlpm.orden,0),6),_xlpm.ajmov,IF(_xlpm.act&lt;_xlpm.ant,0.08,IF(_xlpm.act&gt;_xlpm.ant,-0.08,0)),_xlpm.ajcli,IF(T787&lt;0.95,-0.06,0),_xlpm.prob,MAX(0,MIN(1,_xlpm.prog+_xlpm.ajmov+_xlpm.ajcli)),IF(OR(V787="DIAMANTE",V787="CERRADO"),0,ROUND(_xlpm.prob,2)))</f>
        <v>0.88</v>
      </c>
      <c r="AK787" t="str">
        <f t="shared" si="300"/>
        <v>Faltan 1,0 puntos base para subir a la siguiente categoría</v>
      </c>
      <c r="AL787" t="str">
        <f t="shared" si="301"/>
        <v>Margen de seguridad: 22,3 puntos</v>
      </c>
      <c r="AM787">
        <f t="shared" si="302"/>
        <v>0.09</v>
      </c>
      <c r="AN787" t="str">
        <f t="shared" si="303"/>
        <v>PRIORIDAD BAJA – control normal</v>
      </c>
      <c r="AO787">
        <f t="shared" si="304"/>
        <v>9.4952697662463024</v>
      </c>
      <c r="AP787">
        <f t="shared" si="305"/>
        <v>1.4704355140279475</v>
      </c>
      <c r="AQ787">
        <f t="shared" si="306"/>
        <v>3.9999999999999147E-2</v>
      </c>
      <c r="AR787">
        <f t="shared" si="307"/>
        <v>3.3999999999999995</v>
      </c>
      <c r="AS787">
        <f t="shared" si="308"/>
        <v>0</v>
      </c>
      <c r="AT787" t="str">
        <f t="shared" si="309"/>
        <v>VENTAS</v>
      </c>
      <c r="AU787">
        <f t="shared" si="310"/>
        <v>9.4952697662463024</v>
      </c>
      <c r="AV787" t="str">
        <f t="shared" si="311"/>
        <v>Mayor retorno probable: VENTAS (+9,5 puntos finales potenciales).</v>
      </c>
    </row>
    <row r="788" spans="1:48" x14ac:dyDescent="0.3">
      <c r="A788" s="5">
        <v>51056663</v>
      </c>
      <c r="B788" s="5" t="str">
        <f>IFERROR(VLOOKUP(A788,VENTAS!$A$2:$B$1194,2,0),"")</f>
        <v>LÓPEZ</v>
      </c>
      <c r="C788" s="5">
        <f>IFERROR(INDEX(VENTAS!$C$2:$E$1194,MATCH(A788,VENTAS!$A$2:$A$1194,0),MATCH(PARAMS_MODELO!$B$2,{"Q1","Q2","Q3"},0)),0)</f>
        <v>35537587.18</v>
      </c>
      <c r="D788" s="5">
        <f>IFERROR(INDEX(VENTAS!$F$2:$H$1194,MATCH(A788,VENTAS!$A$2:$A$1194,0),MATCH(PARAMS_MODELO!$B$2,{"Q1","Q2","Q3"},0)),0)</f>
        <v>47953514</v>
      </c>
      <c r="E788" s="8">
        <f t="shared" si="288"/>
        <v>0.34937450190730712</v>
      </c>
      <c r="F788" s="12">
        <f>IF(E788&lt;=PARAMS_MODELO!$B$15,0,IF(E788&gt;=PARAMS_MODELO!$B$17,100,100*MIN(1,(E788-PARAMS_MODELO!$B$15)/(PARAMS_MODELO!$B$16-PARAMS_MODELO!$B$15))))*PARAMS_MODELO!$B$7</f>
        <v>35</v>
      </c>
      <c r="G788" s="5">
        <f t="shared" si="289"/>
        <v>12415926.82</v>
      </c>
      <c r="H788" s="5">
        <f>(PARAMS_MODELO!$B$20*(MAX(0,MIN(3,E788))/3)+PARAMS_MODELO!$B$21*(IFERROR(LN(1+MAX(0,G788))/LN(1+MAX(0,MAX($G$2:$G$1194))),0)))*100*PARAMS_MODELO!$B$8</f>
        <v>5.0518434194339941</v>
      </c>
      <c r="I788" s="8">
        <f>E788-PARAMS_MODELO!$B$5</f>
        <v>0.17181166653178059</v>
      </c>
      <c r="J788" s="5">
        <f>IF(I788&lt;=PARAMS_MODELO!$B$18,0,IF(I788&gt;=PARAMS_MODELO!$B$19,100,100*(I788-PARAMS_MODELO!$B$18)/(PARAMS_MODELO!$B$19-PARAMS_MODELO!$B$18)))*PARAMS_MODELO!$B$9</f>
        <v>15</v>
      </c>
      <c r="K788" s="5">
        <f>IFERROR(CHOOSE(MATCH(PARAMS_MODELO!$B$2,{"Q1","Q2","Q3"},0),LOTO!$D788,LOTO!$F788,LOTO!$H788),0)</f>
        <v>2167500</v>
      </c>
      <c r="L788" s="8">
        <f t="shared" si="290"/>
        <v>4.5200024340239175E-2</v>
      </c>
      <c r="M788" s="5">
        <f>MIN(100,IF(PARAMS_MODELO!$B$23=0,0,100*L788/PARAMS_MODELO!$B$23))*PARAMS_MODELO!$B$10</f>
        <v>13.56000730207175</v>
      </c>
      <c r="N788" s="5">
        <f>IFERROR(VLOOKUP(A788,COMPLIANCE!$A$2:$F$1996,6,0),100)</f>
        <v>100</v>
      </c>
      <c r="O788" s="5">
        <f>N788*PARAMS_MODELO!$B$11</f>
        <v>10</v>
      </c>
      <c r="P788" s="5">
        <f>IFERROR(VLOOKUP(A788,DIGITAL!$A$2:$J$2000,7,0),100)</f>
        <v>68</v>
      </c>
      <c r="Q788" s="5">
        <f>IFERROR(P788,0)*PARAMS_MODELO!$B$12</f>
        <v>6.8000000000000007</v>
      </c>
      <c r="R788">
        <f t="shared" si="291"/>
        <v>85.411850721505743</v>
      </c>
      <c r="S788" s="5" t="str">
        <f>IFERROR(VLOOKUP(A788,CLIENTE!$A$2:$N$2000,13,0),1)</f>
        <v>Regular</v>
      </c>
      <c r="T788" s="5">
        <f>IFERROR(VLOOKUP(A788,CLIENTE!$A$2:$N$2000,14,0),1)</f>
        <v>1</v>
      </c>
      <c r="U788" s="5">
        <f t="shared" si="292"/>
        <v>85.411850721505743</v>
      </c>
      <c r="V788" s="5" t="str">
        <f>IF(U788&gt;=MAX(_xlfn.PERCENTILE.INC($U$2:$U$1194,PARAMS_MODELO!$B$50),PARAMS_MODELO!$B$45),"DIAMANTE",IF(U788&gt;=MAX(_xlfn.PERCENTILE.INC($U$2:$U$1194,PARAMS_MODELO!$B$51),PARAMS_MODELO!$B$46),"PLATINO",IF(U788&gt;=MAX(_xlfn.PERCENTILE.INC($U$2:$U$1194,PARAMS_MODELO!$B$52),PARAMS_MODELO!$B$47),"ORO",IF(U788&gt;=MAX(_xlfn.PERCENTILE.INC($U$2:$U$1194,PARAMS_MODELO!$B$53),PARAMS_MODELO!$B$48),"PLATA",IF(U788&gt;=1,"BRONCE","CERRADO")))))</f>
        <v>ORO</v>
      </c>
      <c r="W788" s="5" t="str" cm="1">
        <f t="array" ref="W788">_xlfn.XLOOKUP(1, (HIST_SCORE!$B:$B=PARAMS_MODELO!$B$4) * (HIST_SCORE!$C:$C=A788), HIST_SCORE!$E:$E, "No encontrado")</f>
        <v>ORO</v>
      </c>
      <c r="X788" s="5" t="str">
        <f>_xlfn.LET(_xlpm.act,MATCH(V788,{"DIAMANTE";"PLATINO";"ORO";"PLATA";"BRONCE";"CERRADO"},0),_xlpm.ant,MATCH(W788,{"DIAMANTE";"PLATINO";"ORO";"PLATA";"BRONCE";"CERRADO"},0),IF(_xlpm.act&lt;_xlpm.ant,"Mejora ↑",IF(_xlpm.act&gt;_xlpm.ant,"Baja ↓","Estable →")))</f>
        <v>Estable →</v>
      </c>
      <c r="Y788" s="5">
        <f>IFERROR(U788-SUMIFS(HIST_SCORE!$D:$D,HIST_SCORE!$B:$B,PARAMS_MODELO!$B$4,HIST_SCORE!$C:$C,$A788),"")</f>
        <v>2.2538992698006979</v>
      </c>
      <c r="Z788" s="5" t="str">
        <f t="shared" si="293"/>
        <v>→ Estable</v>
      </c>
      <c r="AA788" s="5">
        <f t="shared" si="294"/>
        <v>273</v>
      </c>
      <c r="AB788" s="5">
        <f>IFERROR(SUMIFS(HIST_SCORE!$F:$F,HIST_SCORE!$B:$B,PARAMS_MODELO!$B$4,HIST_SCORE!$C:$C,$A788),"")</f>
        <v>326</v>
      </c>
      <c r="AC788" s="5">
        <f t="shared" si="295"/>
        <v>53</v>
      </c>
      <c r="AD788" t="str">
        <f t="shared" si="297"/>
        <v/>
      </c>
      <c r="AE7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788="CERRADO",1,IF(V788="BRONCE",_xlpm.cPl,IF(V788="PLATA",_xlpm.cO,IF(V788="ORO",_xlpm.cP,IF(V788="PLATINO",_xlpm.cD,999))))))</f>
        <v>86.439123873763251</v>
      </c>
      <c r="AF7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788="CERRADO",0,IF(V788="BRONCE",1,IF(V788="PLATA",_xlpm.cPl,IF(V788="ORO",_xlpm.cO,IF(V788="PLATINO",_xlpm.cP,_xlpm.cD))))))</f>
        <v>63.199193273331495</v>
      </c>
      <c r="AG788">
        <f t="shared" si="298"/>
        <v>1.0272731522575071</v>
      </c>
      <c r="AH788" t="str">
        <f t="shared" si="299"/>
        <v>VENTAS</v>
      </c>
      <c r="AI788" t="str">
        <f t="shared" si="296"/>
        <v>🎯 Para subir de categoría, eje VENTAS / IMPACTO ABSOLUTO (H). Acción: metas semanales + activación comercial + seguimiento del asesor. ΔR aprox: 1,0</v>
      </c>
      <c r="AJ788" s="26">
        <f>_xlfn.LET(_xlpm.piso,AF788,_xlpm.corte,AE788,_xlpm.prog,IF(_xlpm.corte&lt;=_xlpm.piso,0,MAX(0,MIN(1,(U788-_xlpm.piso)/(_xlpm.corte-_xlpm.piso)))),_xlpm.orden,{"DIAMANTE";"PLATINO";"ORO";"PLATA";"BRONCE";"CERRADO"},_xlpm.act,IFERROR(MATCH(V788,_xlpm.orden,0),6),_xlpm.ant,IFERROR(MATCH(W788,_xlpm.orden,0),6),_xlpm.ajmov,IF(_xlpm.act&lt;_xlpm.ant,0.08,IF(_xlpm.act&gt;_xlpm.ant,-0.08,0)),_xlpm.ajcli,IF(T788&lt;0.95,-0.06,0),_xlpm.prob,MAX(0,MIN(1,_xlpm.prog+_xlpm.ajmov+_xlpm.ajcli)),IF(OR(V788="DIAMANTE",V788="CERRADO"),0,ROUND(_xlpm.prob,2)))</f>
        <v>0.96</v>
      </c>
      <c r="AK788" t="str">
        <f t="shared" si="300"/>
        <v>Faltan 1,0 puntos base para subir a la siguiente categoría</v>
      </c>
      <c r="AL788" t="str">
        <f t="shared" si="301"/>
        <v>Margen de seguridad: 22,2 puntos</v>
      </c>
      <c r="AM788">
        <f t="shared" si="302"/>
        <v>0.06</v>
      </c>
      <c r="AN788" t="str">
        <f t="shared" si="303"/>
        <v>PRIORIDAD BAJA – control normal</v>
      </c>
      <c r="AO788">
        <f t="shared" si="304"/>
        <v>9.8107258558615911</v>
      </c>
      <c r="AP788">
        <f t="shared" si="305"/>
        <v>1.4399926979282505</v>
      </c>
      <c r="AQ788">
        <f t="shared" si="306"/>
        <v>0</v>
      </c>
      <c r="AR788">
        <f t="shared" si="307"/>
        <v>3.1999999999999993</v>
      </c>
      <c r="AS788">
        <f t="shared" si="308"/>
        <v>0</v>
      </c>
      <c r="AT788" t="str">
        <f t="shared" si="309"/>
        <v>VENTAS</v>
      </c>
      <c r="AU788">
        <f t="shared" si="310"/>
        <v>9.8107258558615911</v>
      </c>
      <c r="AV788" t="str">
        <f t="shared" si="311"/>
        <v>Mayor retorno probable: VENTAS (+9,8 puntos finales potenciales).</v>
      </c>
    </row>
    <row r="789" spans="1:48" x14ac:dyDescent="0.3">
      <c r="A789" s="5">
        <v>51026063</v>
      </c>
      <c r="B789" s="5" t="str">
        <f>IFERROR(VLOOKUP(A789,VENTAS!$A$2:$B$1194,2,0),"")</f>
        <v>METTLER</v>
      </c>
      <c r="C789" s="5">
        <f>IFERROR(INDEX(VENTAS!$C$2:$E$1194,MATCH(A789,VENTAS!$A$2:$A$1194,0),MATCH(PARAMS_MODELO!$B$2,{"Q1","Q2","Q3"},0)),0)</f>
        <v>25430701.949999999</v>
      </c>
      <c r="D789" s="5">
        <f>IFERROR(INDEX(VENTAS!$F$2:$H$1194,MATCH(A789,VENTAS!$A$2:$A$1194,0),MATCH(PARAMS_MODELO!$B$2,{"Q1","Q2","Q3"},0)),0)</f>
        <v>47856651</v>
      </c>
      <c r="E789" s="8">
        <f t="shared" si="288"/>
        <v>0.88184545963742078</v>
      </c>
      <c r="F789" s="12">
        <f>IF(E789&lt;=PARAMS_MODELO!$B$15,0,IF(E789&gt;=PARAMS_MODELO!$B$17,100,100*MIN(1,(E789-PARAMS_MODELO!$B$15)/(PARAMS_MODELO!$B$16-PARAMS_MODELO!$B$15))))*PARAMS_MODELO!$B$7</f>
        <v>35</v>
      </c>
      <c r="G789" s="5">
        <f t="shared" si="289"/>
        <v>22425949.050000001</v>
      </c>
      <c r="H789" s="5">
        <f>(PARAMS_MODELO!$B$20*(MAX(0,MIN(3,E789))/3)+PARAMS_MODELO!$B$21*(IFERROR(LN(1+MAX(0,G789))/LN(1+MAX(0,MAX($G$2:$G$1194))),0)))*100*PARAMS_MODELO!$B$8</f>
        <v>7.0540863587640867</v>
      </c>
      <c r="I789" s="8">
        <f>E789-PARAMS_MODELO!$B$5</f>
        <v>0.70428262426189425</v>
      </c>
      <c r="J789" s="5">
        <f>IF(I789&lt;=PARAMS_MODELO!$B$18,0,IF(I789&gt;=PARAMS_MODELO!$B$19,100,100*(I789-PARAMS_MODELO!$B$18)/(PARAMS_MODELO!$B$19-PARAMS_MODELO!$B$18)))*PARAMS_MODELO!$B$9</f>
        <v>15</v>
      </c>
      <c r="K789" s="5">
        <f>IFERROR(CHOOSE(MATCH(PARAMS_MODELO!$B$2,{"Q1","Q2","Q3"},0),LOTO!$D789,LOTO!$F789,LOTO!$H789),0)</f>
        <v>2162500</v>
      </c>
      <c r="L789" s="8">
        <f t="shared" si="290"/>
        <v>4.5187031578954408E-2</v>
      </c>
      <c r="M789" s="5">
        <f>MIN(100,IF(PARAMS_MODELO!$B$23=0,0,100*L789/PARAMS_MODELO!$B$23))*PARAMS_MODELO!$B$10</f>
        <v>13.556109473686323</v>
      </c>
      <c r="N789" s="5">
        <f>IFERROR(VLOOKUP(A789,COMPLIANCE!$A$2:$F$1996,6,0),100)</f>
        <v>100</v>
      </c>
      <c r="O789" s="5">
        <f>N789*PARAMS_MODELO!$B$11</f>
        <v>10</v>
      </c>
      <c r="P789" s="5">
        <f>IFERROR(VLOOKUP(A789,DIGITAL!$A$2:$J$2000,7,0),100)</f>
        <v>73</v>
      </c>
      <c r="Q789" s="5">
        <f>IFERROR(P789,0)*PARAMS_MODELO!$B$12</f>
        <v>7.3000000000000007</v>
      </c>
      <c r="R789">
        <f t="shared" si="291"/>
        <v>87.910195832450412</v>
      </c>
      <c r="S789" s="5" t="str">
        <f>IFERROR(VLOOKUP(A789,CLIENTE!$A$2:$N$2000,13,0),1)</f>
        <v>Regular</v>
      </c>
      <c r="T789" s="5">
        <f>IFERROR(VLOOKUP(A789,CLIENTE!$A$2:$N$2000,14,0),1)</f>
        <v>1</v>
      </c>
      <c r="U789" s="5">
        <f t="shared" si="292"/>
        <v>87.910195832450412</v>
      </c>
      <c r="V789" s="5" t="str">
        <f>IF(U789&gt;=MAX(_xlfn.PERCENTILE.INC($U$2:$U$1194,PARAMS_MODELO!$B$50),PARAMS_MODELO!$B$45),"DIAMANTE",IF(U789&gt;=MAX(_xlfn.PERCENTILE.INC($U$2:$U$1194,PARAMS_MODELO!$B$51),PARAMS_MODELO!$B$46),"PLATINO",IF(U789&gt;=MAX(_xlfn.PERCENTILE.INC($U$2:$U$1194,PARAMS_MODELO!$B$52),PARAMS_MODELO!$B$47),"ORO",IF(U789&gt;=MAX(_xlfn.PERCENTILE.INC($U$2:$U$1194,PARAMS_MODELO!$B$53),PARAMS_MODELO!$B$48),"PLATA",IF(U789&gt;=1,"BRONCE","CERRADO")))))</f>
        <v>PLATINO</v>
      </c>
      <c r="W789" s="5" t="str" cm="1">
        <f t="array" ref="W789">_xlfn.XLOOKUP(1, (HIST_SCORE!$B:$B=PARAMS_MODELO!$B$4) * (HIST_SCORE!$C:$C=A789), HIST_SCORE!$E:$E, "No encontrado")</f>
        <v>PLATINO</v>
      </c>
      <c r="X789" s="5" t="str">
        <f>_xlfn.LET(_xlpm.act,MATCH(V789,{"DIAMANTE";"PLATINO";"ORO";"PLATA";"BRONCE";"CERRADO"},0),_xlpm.ant,MATCH(W789,{"DIAMANTE";"PLATINO";"ORO";"PLATA";"BRONCE";"CERRADO"},0),IF(_xlpm.act&lt;_xlpm.ant,"Mejora ↑",IF(_xlpm.act&gt;_xlpm.ant,"Baja ↓","Estable →")))</f>
        <v>Estable →</v>
      </c>
      <c r="Y789" s="5">
        <f>IFERROR(U789-SUMIFS(HIST_SCORE!$D:$D,HIST_SCORE!$B:$B,PARAMS_MODELO!$B$4,HIST_SCORE!$C:$C,$A789),"")</f>
        <v>-2.2561913142236278</v>
      </c>
      <c r="Z789" s="5" t="str">
        <f t="shared" si="293"/>
        <v>→ Estable</v>
      </c>
      <c r="AA789" s="5">
        <f t="shared" si="294"/>
        <v>202</v>
      </c>
      <c r="AB789" s="5">
        <f>IFERROR(SUMIFS(HIST_SCORE!$F:$F,HIST_SCORE!$B:$B,PARAMS_MODELO!$B$4,HIST_SCORE!$C:$C,$A789),"")</f>
        <v>126</v>
      </c>
      <c r="AC789" s="5">
        <f t="shared" si="295"/>
        <v>-76</v>
      </c>
      <c r="AD789" t="str">
        <f t="shared" si="297"/>
        <v/>
      </c>
      <c r="AE7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789="CERRADO",1,IF(V789="BRONCE",_xlpm.cPl,IF(V789="PLATA",_xlpm.cO,IF(V789="ORO",_xlpm.cP,IF(V789="PLATINO",_xlpm.cD,999))))))</f>
        <v>96.054919694466676</v>
      </c>
      <c r="AF7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789="CERRADO",0,IF(V789="BRONCE",1,IF(V789="PLATA",_xlpm.cPl,IF(V789="ORO",_xlpm.cO,IF(V789="PLATINO",_xlpm.cP,_xlpm.cD))))))</f>
        <v>86.439123873763251</v>
      </c>
      <c r="AG789">
        <f t="shared" si="298"/>
        <v>8.1447238620162636</v>
      </c>
      <c r="AH789" t="str">
        <f t="shared" si="299"/>
        <v>VENTAS</v>
      </c>
      <c r="AI789" t="str">
        <f t="shared" si="296"/>
        <v>🎯 Para subir de categoría, eje VENTAS / IMPACTO ABSOLUTO (H). Acción: metas semanales + activación comercial + seguimiento del asesor. ΔR aprox: 8,1</v>
      </c>
      <c r="AJ789" s="26">
        <f>_xlfn.LET(_xlpm.piso,AF789,_xlpm.corte,AE789,_xlpm.prog,IF(_xlpm.corte&lt;=_xlpm.piso,0,MAX(0,MIN(1,(U789-_xlpm.piso)/(_xlpm.corte-_xlpm.piso)))),_xlpm.orden,{"DIAMANTE";"PLATINO";"ORO";"PLATA";"BRONCE";"CERRADO"},_xlpm.act,IFERROR(MATCH(V789,_xlpm.orden,0),6),_xlpm.ant,IFERROR(MATCH(W789,_xlpm.orden,0),6),_xlpm.ajmov,IF(_xlpm.act&lt;_xlpm.ant,0.08,IF(_xlpm.act&gt;_xlpm.ant,-0.08,0)),_xlpm.ajcli,IF(T789&lt;0.95,-0.06,0),_xlpm.prob,MAX(0,MIN(1,_xlpm.prog+_xlpm.ajmov+_xlpm.ajcli)),IF(OR(V789="DIAMANTE",V789="CERRADO"),0,ROUND(_xlpm.prob,2)))</f>
        <v>0.15</v>
      </c>
      <c r="AK789" t="str">
        <f t="shared" si="300"/>
        <v>Faltan 8,1 puntos base para subir a la siguiente categoría</v>
      </c>
      <c r="AL789" t="str">
        <f t="shared" si="301"/>
        <v>Margen de seguridad: 1,5 puntos</v>
      </c>
      <c r="AM789">
        <f t="shared" si="302"/>
        <v>0.67</v>
      </c>
      <c r="AN789" t="str">
        <f t="shared" si="303"/>
        <v>PRIORIDAD MEDIA – seguimiento del asesor</v>
      </c>
      <c r="AO789">
        <f t="shared" si="304"/>
        <v>7.8084829165314957</v>
      </c>
      <c r="AP789">
        <f t="shared" si="305"/>
        <v>1.4438905263136768</v>
      </c>
      <c r="AQ789">
        <f t="shared" si="306"/>
        <v>0</v>
      </c>
      <c r="AR789">
        <f t="shared" si="307"/>
        <v>2.6999999999999993</v>
      </c>
      <c r="AS789">
        <f t="shared" si="308"/>
        <v>0</v>
      </c>
      <c r="AT789" t="str">
        <f t="shared" si="309"/>
        <v>VENTAS</v>
      </c>
      <c r="AU789">
        <f t="shared" si="310"/>
        <v>7.8084829165314957</v>
      </c>
      <c r="AV789" t="str">
        <f t="shared" si="311"/>
        <v>Mayor retorno probable: VENTAS (+7,8 puntos finales potenciales).</v>
      </c>
    </row>
    <row r="790" spans="1:48" x14ac:dyDescent="0.3">
      <c r="A790" s="5">
        <v>51043995</v>
      </c>
      <c r="B790" s="5" t="str">
        <f>IFERROR(VLOOKUP(A790,VENTAS!$A$2:$B$1194,2,0),"")</f>
        <v>MONTENEGRO</v>
      </c>
      <c r="C790" s="5">
        <f>IFERROR(INDEX(VENTAS!$C$2:$E$1194,MATCH(A790,VENTAS!$A$2:$A$1194,0),MATCH(PARAMS_MODELO!$B$2,{"Q1","Q2","Q3"},0)),0)</f>
        <v>36135851.219999999</v>
      </c>
      <c r="D790" s="5">
        <f>IFERROR(INDEX(VENTAS!$F$2:$H$1194,MATCH(A790,VENTAS!$A$2:$A$1194,0),MATCH(PARAMS_MODELO!$B$2,{"Q1","Q2","Q3"},0)),0)</f>
        <v>47694450</v>
      </c>
      <c r="E790" s="8">
        <f t="shared" si="288"/>
        <v>0.31986513088150792</v>
      </c>
      <c r="F790" s="12">
        <f>IF(E790&lt;=PARAMS_MODELO!$B$15,0,IF(E790&gt;=PARAMS_MODELO!$B$17,100,100*MIN(1,(E790-PARAMS_MODELO!$B$15)/(PARAMS_MODELO!$B$16-PARAMS_MODELO!$B$15))))*PARAMS_MODELO!$B$7</f>
        <v>35</v>
      </c>
      <c r="G790" s="5">
        <f t="shared" si="289"/>
        <v>11558598.780000001</v>
      </c>
      <c r="H790" s="5">
        <f>(PARAMS_MODELO!$B$20*(MAX(0,MIN(3,E790))/3)+PARAMS_MODELO!$B$21*(IFERROR(LN(1+MAX(0,G790))/LN(1+MAX(0,MAX($G$2:$G$1194))),0)))*100*PARAMS_MODELO!$B$8</f>
        <v>4.9317882034208109</v>
      </c>
      <c r="I790" s="8">
        <f>E790-PARAMS_MODELO!$B$5</f>
        <v>0.14230229550598139</v>
      </c>
      <c r="J790" s="5">
        <f>IF(I790&lt;=PARAMS_MODELO!$B$18,0,IF(I790&gt;=PARAMS_MODELO!$B$19,100,100*(I790-PARAMS_MODELO!$B$18)/(PARAMS_MODELO!$B$19-PARAMS_MODELO!$B$18)))*PARAMS_MODELO!$B$9</f>
        <v>15</v>
      </c>
      <c r="K790" s="5">
        <f>IFERROR(CHOOSE(MATCH(PARAMS_MODELO!$B$2,{"Q1","Q2","Q3"},0),LOTO!$D790,LOTO!$F790,LOTO!$H790),0)</f>
        <v>2157500</v>
      </c>
      <c r="L790" s="8">
        <f t="shared" si="290"/>
        <v>4.5235871259653899E-2</v>
      </c>
      <c r="M790" s="5">
        <f>MIN(100,IF(PARAMS_MODELO!$B$23=0,0,100*L790/PARAMS_MODELO!$B$23))*PARAMS_MODELO!$B$10</f>
        <v>13.570761377896169</v>
      </c>
      <c r="N790" s="5">
        <f>IFERROR(VLOOKUP(A790,COMPLIANCE!$A$2:$F$1996,6,0),100)</f>
        <v>100</v>
      </c>
      <c r="O790" s="5">
        <f>N790*PARAMS_MODELO!$B$11</f>
        <v>10</v>
      </c>
      <c r="P790" s="5">
        <f>IFERROR(VLOOKUP(A790,DIGITAL!$A$2:$J$2000,7,0),100)</f>
        <v>52</v>
      </c>
      <c r="Q790" s="5">
        <f>IFERROR(P790,0)*PARAMS_MODELO!$B$12</f>
        <v>5.2</v>
      </c>
      <c r="R790">
        <f t="shared" si="291"/>
        <v>83.702549581316973</v>
      </c>
      <c r="S790" s="5" t="str">
        <f>IFERROR(VLOOKUP(A790,CLIENTE!$A$2:$N$2000,13,0),1)</f>
        <v>Bueno</v>
      </c>
      <c r="T790" s="5">
        <f>IFERROR(VLOOKUP(A790,CLIENTE!$A$2:$N$2000,14,0),1)</f>
        <v>1.1000000000000001</v>
      </c>
      <c r="U790" s="5">
        <f t="shared" si="292"/>
        <v>92.072804539448683</v>
      </c>
      <c r="V790" s="5" t="str">
        <f>IF(U790&gt;=MAX(_xlfn.PERCENTILE.INC($U$2:$U$1194,PARAMS_MODELO!$B$50),PARAMS_MODELO!$B$45),"DIAMANTE",IF(U790&gt;=MAX(_xlfn.PERCENTILE.INC($U$2:$U$1194,PARAMS_MODELO!$B$51),PARAMS_MODELO!$B$46),"PLATINO",IF(U790&gt;=MAX(_xlfn.PERCENTILE.INC($U$2:$U$1194,PARAMS_MODELO!$B$52),PARAMS_MODELO!$B$47),"ORO",IF(U790&gt;=MAX(_xlfn.PERCENTILE.INC($U$2:$U$1194,PARAMS_MODELO!$B$53),PARAMS_MODELO!$B$48),"PLATA",IF(U790&gt;=1,"BRONCE","CERRADO")))))</f>
        <v>PLATINO</v>
      </c>
      <c r="W790" s="5" t="str" cm="1">
        <f t="array" ref="W790">_xlfn.XLOOKUP(1, (HIST_SCORE!$B:$B=PARAMS_MODELO!$B$4) * (HIST_SCORE!$C:$C=A790), HIST_SCORE!$E:$E, "No encontrado")</f>
        <v>ORO</v>
      </c>
      <c r="X790" s="5" t="str">
        <f>_xlfn.LET(_xlpm.act,MATCH(V790,{"DIAMANTE";"PLATINO";"ORO";"PLATA";"BRONCE";"CERRADO"},0),_xlpm.ant,MATCH(W790,{"DIAMANTE";"PLATINO";"ORO";"PLATA";"BRONCE";"CERRADO"},0),IF(_xlpm.act&lt;_xlpm.ant,"Mejora ↑",IF(_xlpm.act&gt;_xlpm.ant,"Baja ↓","Estable →")))</f>
        <v>Mejora ↑</v>
      </c>
      <c r="Y790" s="5">
        <f>IFERROR(U790-SUMIFS(HIST_SCORE!$D:$D,HIST_SCORE!$B:$B,PARAMS_MODELO!$B$4,HIST_SCORE!$C:$C,$A790),"")</f>
        <v>15.670537469013894</v>
      </c>
      <c r="Z790" s="5" t="str">
        <f t="shared" si="293"/>
        <v>↑ Mejora</v>
      </c>
      <c r="AA790" s="5">
        <f t="shared" si="294"/>
        <v>106</v>
      </c>
      <c r="AB790" s="5">
        <f>IFERROR(SUMIFS(HIST_SCORE!$F:$F,HIST_SCORE!$B:$B,PARAMS_MODELO!$B$4,HIST_SCORE!$C:$C,$A790),"")</f>
        <v>477</v>
      </c>
      <c r="AC790" s="5">
        <f t="shared" si="295"/>
        <v>371</v>
      </c>
      <c r="AD790" t="str">
        <f t="shared" si="297"/>
        <v/>
      </c>
      <c r="AE7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790="CERRADO",1,IF(V790="BRONCE",_xlpm.cPl,IF(V790="PLATA",_xlpm.cO,IF(V790="ORO",_xlpm.cP,IF(V790="PLATINO",_xlpm.cD,999))))))</f>
        <v>96.054919694466676</v>
      </c>
      <c r="AF7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790="CERRADO",0,IF(V790="BRONCE",1,IF(V790="PLATA",_xlpm.cPl,IF(V790="ORO",_xlpm.cO,IF(V790="PLATINO",_xlpm.cP,_xlpm.cD))))))</f>
        <v>86.439123873763251</v>
      </c>
      <c r="AG790">
        <f t="shared" si="298"/>
        <v>3.620104686380003</v>
      </c>
      <c r="AH790" t="str">
        <f t="shared" si="299"/>
        <v>VENTAS</v>
      </c>
      <c r="AI790" t="str">
        <f t="shared" si="296"/>
        <v>🎯 Para subir de categoría, eje VENTAS / IMPACTO ABSOLUTO (H). Acción: metas semanales + activación comercial + seguimiento del asesor. ΔR aprox: 3,6</v>
      </c>
      <c r="AJ790" s="26">
        <f>_xlfn.LET(_xlpm.piso,AF790,_xlpm.corte,AE790,_xlpm.prog,IF(_xlpm.corte&lt;=_xlpm.piso,0,MAX(0,MIN(1,(U790-_xlpm.piso)/(_xlpm.corte-_xlpm.piso)))),_xlpm.orden,{"DIAMANTE";"PLATINO";"ORO";"PLATA";"BRONCE";"CERRADO"},_xlpm.act,IFERROR(MATCH(V790,_xlpm.orden,0),6),_xlpm.ant,IFERROR(MATCH(W790,_xlpm.orden,0),6),_xlpm.ajmov,IF(_xlpm.act&lt;_xlpm.ant,0.08,IF(_xlpm.act&gt;_xlpm.ant,-0.08,0)),_xlpm.ajcli,IF(T790&lt;0.95,-0.06,0),_xlpm.prob,MAX(0,MIN(1,_xlpm.prog+_xlpm.ajmov+_xlpm.ajcli)),IF(OR(V790="DIAMANTE",V790="CERRADO"),0,ROUND(_xlpm.prob,2)))</f>
        <v>0.67</v>
      </c>
      <c r="AK790" t="str">
        <f t="shared" si="300"/>
        <v>Faltan 3,6 puntos base para subir a la siguiente categoría</v>
      </c>
      <c r="AL790" t="str">
        <f t="shared" si="301"/>
        <v>Margen de seguridad: 5,6 puntos</v>
      </c>
      <c r="AM790">
        <f t="shared" si="302"/>
        <v>0.28000000000000003</v>
      </c>
      <c r="AN790" t="str">
        <f t="shared" si="303"/>
        <v>PRIORIDAD BAJA – control normal</v>
      </c>
      <c r="AO790">
        <f t="shared" si="304"/>
        <v>10.923859179062255</v>
      </c>
      <c r="AP790">
        <f t="shared" si="305"/>
        <v>1.5721624843142146</v>
      </c>
      <c r="AQ790">
        <f t="shared" si="306"/>
        <v>0</v>
      </c>
      <c r="AR790">
        <f t="shared" si="307"/>
        <v>5.28</v>
      </c>
      <c r="AS790">
        <f t="shared" si="308"/>
        <v>0</v>
      </c>
      <c r="AT790" t="str">
        <f t="shared" si="309"/>
        <v>VENTAS</v>
      </c>
      <c r="AU790">
        <f t="shared" si="310"/>
        <v>10.923859179062255</v>
      </c>
      <c r="AV790" t="str">
        <f t="shared" si="311"/>
        <v>Mayor retorno probable: VENTAS (+10,9 puntos finales potenciales).</v>
      </c>
    </row>
    <row r="791" spans="1:48" x14ac:dyDescent="0.3">
      <c r="A791" s="5">
        <v>51011074</v>
      </c>
      <c r="B791" s="5" t="str">
        <f>IFERROR(VLOOKUP(A791,VENTAS!$A$2:$B$1194,2,0),"")</f>
        <v>AYALA</v>
      </c>
      <c r="C791" s="5">
        <f>IFERROR(INDEX(VENTAS!$C$2:$E$1194,MATCH(A791,VENTAS!$A$2:$A$1194,0),MATCH(PARAMS_MODELO!$B$2,{"Q1","Q2","Q3"},0)),0)</f>
        <v>45513521.979999997</v>
      </c>
      <c r="D791" s="5">
        <f>IFERROR(INDEX(VENTAS!$F$2:$H$1194,MATCH(A791,VENTAS!$A$2:$A$1194,0),MATCH(PARAMS_MODELO!$B$2,{"Q1","Q2","Q3"},0)),0)</f>
        <v>47507884</v>
      </c>
      <c r="E791" s="8">
        <f t="shared" si="288"/>
        <v>4.3819109865335992E-2</v>
      </c>
      <c r="F791" s="12">
        <f>IF(E791&lt;=PARAMS_MODELO!$B$15,0,IF(E791&gt;=PARAMS_MODELO!$B$17,100,100*MIN(1,(E791-PARAMS_MODELO!$B$15)/(PARAMS_MODELO!$B$16-PARAMS_MODELO!$B$15))))*PARAMS_MODELO!$B$7</f>
        <v>15.336688452867595</v>
      </c>
      <c r="G791" s="5">
        <f t="shared" si="289"/>
        <v>1994362.0200000033</v>
      </c>
      <c r="H791" s="5">
        <f>(PARAMS_MODELO!$B$20*(MAX(0,MIN(3,E791))/3)+PARAMS_MODELO!$B$21*(IFERROR(LN(1+MAX(0,G791))/LN(1+MAX(0,MAX($G$2:$G$1194))),0)))*100*PARAMS_MODELO!$B$8</f>
        <v>3.5537371831293294</v>
      </c>
      <c r="I791" s="8">
        <f>E791-PARAMS_MODELO!$B$5</f>
        <v>-0.13374372551019054</v>
      </c>
      <c r="J791" s="5">
        <f>IF(I791&lt;=PARAMS_MODELO!$B$18,0,IF(I791&gt;=PARAMS_MODELO!$B$19,100,100*(I791-PARAMS_MODELO!$B$18)/(PARAMS_MODELO!$B$19-PARAMS_MODELO!$B$18)))*PARAMS_MODELO!$B$9</f>
        <v>0</v>
      </c>
      <c r="K791" s="5">
        <f>IFERROR(CHOOSE(MATCH(PARAMS_MODELO!$B$2,{"Q1","Q2","Q3"},0),LOTO!$D791,LOTO!$F791,LOTO!$H791),0)</f>
        <v>2140000</v>
      </c>
      <c r="L791" s="8">
        <f t="shared" si="290"/>
        <v>4.5045155031531191E-2</v>
      </c>
      <c r="M791" s="5">
        <f>MIN(100,IF(PARAMS_MODELO!$B$23=0,0,100*L791/PARAMS_MODELO!$B$23))*PARAMS_MODELO!$B$10</f>
        <v>13.513546509459356</v>
      </c>
      <c r="N791" s="5">
        <f>IFERROR(VLOOKUP(A791,COMPLIANCE!$A$2:$F$1996,6,0),100)</f>
        <v>99</v>
      </c>
      <c r="O791" s="5">
        <f>N791*PARAMS_MODELO!$B$11</f>
        <v>9.9</v>
      </c>
      <c r="P791" s="5">
        <f>IFERROR(VLOOKUP(A791,DIGITAL!$A$2:$J$2000,7,0),100)</f>
        <v>82</v>
      </c>
      <c r="Q791" s="5">
        <f>IFERROR(P791,0)*PARAMS_MODELO!$B$12</f>
        <v>8.2000000000000011</v>
      </c>
      <c r="R791">
        <f t="shared" si="291"/>
        <v>50.503972145456281</v>
      </c>
      <c r="S791" s="5" t="str">
        <f>IFERROR(VLOOKUP(A791,CLIENTE!$A$2:$N$2000,13,0),1)</f>
        <v>Bueno</v>
      </c>
      <c r="T791" s="5">
        <f>IFERROR(VLOOKUP(A791,CLIENTE!$A$2:$N$2000,14,0),1)</f>
        <v>1.1000000000000001</v>
      </c>
      <c r="U791" s="5">
        <f t="shared" si="292"/>
        <v>55.554369360001914</v>
      </c>
      <c r="V791" s="5" t="str">
        <f>IF(U791&gt;=MAX(_xlfn.PERCENTILE.INC($U$2:$U$1194,PARAMS_MODELO!$B$50),PARAMS_MODELO!$B$45),"DIAMANTE",IF(U791&gt;=MAX(_xlfn.PERCENTILE.INC($U$2:$U$1194,PARAMS_MODELO!$B$51),PARAMS_MODELO!$B$46),"PLATINO",IF(U791&gt;=MAX(_xlfn.PERCENTILE.INC($U$2:$U$1194,PARAMS_MODELO!$B$52),PARAMS_MODELO!$B$47),"ORO",IF(U791&gt;=MAX(_xlfn.PERCENTILE.INC($U$2:$U$1194,PARAMS_MODELO!$B$53),PARAMS_MODELO!$B$48),"PLATA",IF(U791&gt;=1,"BRONCE","CERRADO")))))</f>
        <v>PLATA</v>
      </c>
      <c r="W791" s="5" t="str" cm="1">
        <f t="array" ref="W791">_xlfn.XLOOKUP(1, (HIST_SCORE!$B:$B=PARAMS_MODELO!$B$4) * (HIST_SCORE!$C:$C=A791), HIST_SCORE!$E:$E, "No encontrado")</f>
        <v>PLATINO</v>
      </c>
      <c r="X791" s="5" t="str">
        <f>_xlfn.LET(_xlpm.act,MATCH(V791,{"DIAMANTE";"PLATINO";"ORO";"PLATA";"BRONCE";"CERRADO"},0),_xlpm.ant,MATCH(W791,{"DIAMANTE";"PLATINO";"ORO";"PLATA";"BRONCE";"CERRADO"},0),IF(_xlpm.act&lt;_xlpm.ant,"Mejora ↑",IF(_xlpm.act&gt;_xlpm.ant,"Baja ↓","Estable →")))</f>
        <v>Baja ↓</v>
      </c>
      <c r="Y791" s="5">
        <f>IFERROR(U791-SUMIFS(HIST_SCORE!$D:$D,HIST_SCORE!$B:$B,PARAMS_MODELO!$B$4,HIST_SCORE!$C:$C,$A791),"")</f>
        <v>-36.572300489848672</v>
      </c>
      <c r="Z791" s="5" t="str">
        <f t="shared" si="293"/>
        <v>↓ Baja</v>
      </c>
      <c r="AA791" s="5">
        <f t="shared" si="294"/>
        <v>708</v>
      </c>
      <c r="AB791" s="5">
        <f>IFERROR(SUMIFS(HIST_SCORE!$F:$F,HIST_SCORE!$B:$B,PARAMS_MODELO!$B$4,HIST_SCORE!$C:$C,$A791),"")</f>
        <v>97</v>
      </c>
      <c r="AC791" s="5">
        <f t="shared" si="295"/>
        <v>-611</v>
      </c>
      <c r="AD791" t="str">
        <f t="shared" si="297"/>
        <v/>
      </c>
      <c r="AE7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791="CERRADO",1,IF(V791="BRONCE",_xlpm.cPl,IF(V791="PLATA",_xlpm.cO,IF(V791="ORO",_xlpm.cP,IF(V791="PLATINO",_xlpm.cD,999))))))</f>
        <v>63.199193273331495</v>
      </c>
      <c r="AF7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791="CERRADO",0,IF(V791="BRONCE",1,IF(V791="PLATA",_xlpm.cPl,IF(V791="ORO",_xlpm.cO,IF(V791="PLATINO",_xlpm.cP,_xlpm.cD))))))</f>
        <v>24.506573482968111</v>
      </c>
      <c r="AG791">
        <f t="shared" si="298"/>
        <v>6.9498399212087136</v>
      </c>
      <c r="AH791" t="str">
        <f t="shared" si="299"/>
        <v>VENTAS</v>
      </c>
      <c r="AI791" t="str">
        <f t="shared" si="296"/>
        <v>🎯 Para subir de categoría, eje VENTAS / DIFERENCIAL vs LOTBA (J). Acción: metas semanales + activación comercial + seguimiento del asesor. ΔR aprox: 6,9</v>
      </c>
      <c r="AJ791" s="26">
        <f>_xlfn.LET(_xlpm.piso,AF791,_xlpm.corte,AE791,_xlpm.prog,IF(_xlpm.corte&lt;=_xlpm.piso,0,MAX(0,MIN(1,(U791-_xlpm.piso)/(_xlpm.corte-_xlpm.piso)))),_xlpm.orden,{"DIAMANTE";"PLATINO";"ORO";"PLATA";"BRONCE";"CERRADO"},_xlpm.act,IFERROR(MATCH(V791,_xlpm.orden,0),6),_xlpm.ant,IFERROR(MATCH(W791,_xlpm.orden,0),6),_xlpm.ajmov,IF(_xlpm.act&lt;_xlpm.ant,0.08,IF(_xlpm.act&gt;_xlpm.ant,-0.08,0)),_xlpm.ajcli,IF(T791&lt;0.95,-0.06,0),_xlpm.prob,MAX(0,MIN(1,_xlpm.prog+_xlpm.ajmov+_xlpm.ajcli)),IF(OR(V791="DIAMANTE",V791="CERRADO"),0,ROUND(_xlpm.prob,2)))</f>
        <v>0.72</v>
      </c>
      <c r="AK791" t="str">
        <f t="shared" si="300"/>
        <v>Faltan 6,9 puntos base para subir a la siguiente categoría</v>
      </c>
      <c r="AL791" t="str">
        <f t="shared" si="301"/>
        <v>Margen de seguridad: 31,0 puntos</v>
      </c>
      <c r="AM791">
        <f t="shared" si="302"/>
        <v>0.39</v>
      </c>
      <c r="AN791" t="str">
        <f t="shared" si="303"/>
        <v>PRIORIDAD BAJA – control normal</v>
      </c>
      <c r="AO791">
        <f t="shared" si="304"/>
        <v>50.569358003228537</v>
      </c>
      <c r="AP791">
        <f t="shared" si="305"/>
        <v>1.6350988395947081</v>
      </c>
      <c r="AQ791">
        <f t="shared" si="306"/>
        <v>0.10999999999999961</v>
      </c>
      <c r="AR791">
        <f t="shared" si="307"/>
        <v>1.9799999999999991</v>
      </c>
      <c r="AS791">
        <f t="shared" si="308"/>
        <v>0</v>
      </c>
      <c r="AT791" t="str">
        <f t="shared" si="309"/>
        <v>VENTAS</v>
      </c>
      <c r="AU791">
        <f t="shared" si="310"/>
        <v>50.569358003228537</v>
      </c>
      <c r="AV791" t="str">
        <f t="shared" si="311"/>
        <v>Mayor retorno probable: VENTAS (+50,6 puntos finales potenciales).</v>
      </c>
    </row>
    <row r="792" spans="1:48" x14ac:dyDescent="0.3">
      <c r="A792" s="5">
        <v>51003225</v>
      </c>
      <c r="B792" s="5" t="str">
        <f>IFERROR(VLOOKUP(A792,VENTAS!$A$2:$B$1194,2,0),"")</f>
        <v>NELLI</v>
      </c>
      <c r="C792" s="5">
        <f>IFERROR(INDEX(VENTAS!$C$2:$E$1194,MATCH(A792,VENTAS!$A$2:$A$1194,0),MATCH(PARAMS_MODELO!$B$2,{"Q1","Q2","Q3"},0)),0)</f>
        <v>43935012.309999987</v>
      </c>
      <c r="D792" s="5">
        <f>IFERROR(INDEX(VENTAS!$F$2:$H$1194,MATCH(A792,VENTAS!$A$2:$A$1194,0),MATCH(PARAMS_MODELO!$B$2,{"Q1","Q2","Q3"},0)),0)</f>
        <v>47230299</v>
      </c>
      <c r="E792" s="8">
        <f t="shared" si="288"/>
        <v>7.5003659194377237E-2</v>
      </c>
      <c r="F792" s="12">
        <f>IF(E792&lt;=PARAMS_MODELO!$B$15,0,IF(E792&gt;=PARAMS_MODELO!$B$17,100,100*MIN(1,(E792-PARAMS_MODELO!$B$15)/(PARAMS_MODELO!$B$16-PARAMS_MODELO!$B$15))))*PARAMS_MODELO!$B$7</f>
        <v>26.251280718032032</v>
      </c>
      <c r="G792" s="5">
        <f t="shared" si="289"/>
        <v>3295286.6900000125</v>
      </c>
      <c r="H792" s="5">
        <f>(PARAMS_MODELO!$B$20*(MAX(0,MIN(3,E792))/3)+PARAMS_MODELO!$B$21*(IFERROR(LN(1+MAX(0,G792))/LN(1+MAX(0,MAX($G$2:$G$1194))),0)))*100*PARAMS_MODELO!$B$8</f>
        <v>3.7805984747062227</v>
      </c>
      <c r="I792" s="8">
        <f>E792-PARAMS_MODELO!$B$5</f>
        <v>-0.10255917618114929</v>
      </c>
      <c r="J792" s="5">
        <f>IF(I792&lt;=PARAMS_MODELO!$B$18,0,IF(I792&gt;=PARAMS_MODELO!$B$19,100,100*(I792-PARAMS_MODELO!$B$18)/(PARAMS_MODELO!$B$19-PARAMS_MODELO!$B$18)))*PARAMS_MODELO!$B$9</f>
        <v>0</v>
      </c>
      <c r="K792" s="5">
        <f>IFERROR(CHOOSE(MATCH(PARAMS_MODELO!$B$2,{"Q1","Q2","Q3"},0),LOTO!$D792,LOTO!$F792,LOTO!$H792),0)</f>
        <v>2135000</v>
      </c>
      <c r="L792" s="8">
        <f t="shared" si="290"/>
        <v>4.5204033114420894E-2</v>
      </c>
      <c r="M792" s="5">
        <f>MIN(100,IF(PARAMS_MODELO!$B$23=0,0,100*L792/PARAMS_MODELO!$B$23))*PARAMS_MODELO!$B$10</f>
        <v>13.561209934326268</v>
      </c>
      <c r="N792" s="5">
        <f>IFERROR(VLOOKUP(A792,COMPLIANCE!$A$2:$F$1996,6,0),100)</f>
        <v>100</v>
      </c>
      <c r="O792" s="5">
        <f>N792*PARAMS_MODELO!$B$11</f>
        <v>10</v>
      </c>
      <c r="P792" s="5">
        <f>IFERROR(VLOOKUP(A792,DIGITAL!$A$2:$J$2000,7,0),100)</f>
        <v>33</v>
      </c>
      <c r="Q792" s="5">
        <f>IFERROR(P792,0)*PARAMS_MODELO!$B$12</f>
        <v>3.3000000000000003</v>
      </c>
      <c r="R792">
        <f t="shared" si="291"/>
        <v>56.89308912706452</v>
      </c>
      <c r="S792" s="5" t="str">
        <f>IFERROR(VLOOKUP(A792,CLIENTE!$A$2:$N$2000,13,0),1)</f>
        <v>Bueno</v>
      </c>
      <c r="T792" s="5">
        <f>IFERROR(VLOOKUP(A792,CLIENTE!$A$2:$N$2000,14,0),1)</f>
        <v>1.1000000000000001</v>
      </c>
      <c r="U792" s="5">
        <f t="shared" si="292"/>
        <v>62.582398039770979</v>
      </c>
      <c r="V792" s="5" t="str">
        <f>IF(U792&gt;=MAX(_xlfn.PERCENTILE.INC($U$2:$U$1194,PARAMS_MODELO!$B$50),PARAMS_MODELO!$B$45),"DIAMANTE",IF(U792&gt;=MAX(_xlfn.PERCENTILE.INC($U$2:$U$1194,PARAMS_MODELO!$B$51),PARAMS_MODELO!$B$46),"PLATINO",IF(U792&gt;=MAX(_xlfn.PERCENTILE.INC($U$2:$U$1194,PARAMS_MODELO!$B$52),PARAMS_MODELO!$B$47),"ORO",IF(U792&gt;=MAX(_xlfn.PERCENTILE.INC($U$2:$U$1194,PARAMS_MODELO!$B$53),PARAMS_MODELO!$B$48),"PLATA",IF(U792&gt;=1,"BRONCE","CERRADO")))))</f>
        <v>PLATA</v>
      </c>
      <c r="W792" s="5" t="str" cm="1">
        <f t="array" ref="W792">_xlfn.XLOOKUP(1, (HIST_SCORE!$B:$B=PARAMS_MODELO!$B$4) * (HIST_SCORE!$C:$C=A792), HIST_SCORE!$E:$E, "No encontrado")</f>
        <v>PLATINO</v>
      </c>
      <c r="X792" s="5" t="str">
        <f>_xlfn.LET(_xlpm.act,MATCH(V792,{"DIAMANTE";"PLATINO";"ORO";"PLATA";"BRONCE";"CERRADO"},0),_xlpm.ant,MATCH(W792,{"DIAMANTE";"PLATINO";"ORO";"PLATA";"BRONCE";"CERRADO"},0),IF(_xlpm.act&lt;_xlpm.ant,"Mejora ↑",IF(_xlpm.act&gt;_xlpm.ant,"Baja ↓","Estable →")))</f>
        <v>Baja ↓</v>
      </c>
      <c r="Y792" s="5">
        <f>IFERROR(U792-SUMIFS(HIST_SCORE!$D:$D,HIST_SCORE!$B:$B,PARAMS_MODELO!$B$4,HIST_SCORE!$C:$C,$A792),"")</f>
        <v>-26.522959824113713</v>
      </c>
      <c r="Z792" s="5" t="str">
        <f t="shared" si="293"/>
        <v>↓ Baja</v>
      </c>
      <c r="AA792" s="5">
        <f t="shared" si="294"/>
        <v>566</v>
      </c>
      <c r="AB792" s="5">
        <f>IFERROR(SUMIFS(HIST_SCORE!$F:$F,HIST_SCORE!$B:$B,PARAMS_MODELO!$B$4,HIST_SCORE!$C:$C,$A792),"")</f>
        <v>149</v>
      </c>
      <c r="AC792" s="5">
        <f t="shared" si="295"/>
        <v>-417</v>
      </c>
      <c r="AD792" t="str">
        <f t="shared" si="297"/>
        <v/>
      </c>
      <c r="AE7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792="CERRADO",1,IF(V792="BRONCE",_xlpm.cPl,IF(V792="PLATA",_xlpm.cO,IF(V792="ORO",_xlpm.cP,IF(V792="PLATINO",_xlpm.cD,999))))))</f>
        <v>63.199193273331495</v>
      </c>
      <c r="AF7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792="CERRADO",0,IF(V792="BRONCE",1,IF(V792="PLATA",_xlpm.cPl,IF(V792="ORO",_xlpm.cO,IF(V792="PLATINO",_xlpm.cP,_xlpm.cD))))))</f>
        <v>24.506573482968111</v>
      </c>
      <c r="AG792">
        <f t="shared" si="298"/>
        <v>0.56072293960047404</v>
      </c>
      <c r="AH792" t="str">
        <f t="shared" si="299"/>
        <v>VENTAS</v>
      </c>
      <c r="AI792" t="str">
        <f t="shared" si="296"/>
        <v>🎯 Para subir de categoría, eje VENTAS / DIFERENCIAL vs LOTBA (J). Acción: metas semanales + activación comercial + seguimiento del asesor. ΔR aprox: 0,6</v>
      </c>
      <c r="AJ792" s="26">
        <f>_xlfn.LET(_xlpm.piso,AF792,_xlpm.corte,AE792,_xlpm.prog,IF(_xlpm.corte&lt;=_xlpm.piso,0,MAX(0,MIN(1,(U792-_xlpm.piso)/(_xlpm.corte-_xlpm.piso)))),_xlpm.orden,{"DIAMANTE";"PLATINO";"ORO";"PLATA";"BRONCE";"CERRADO"},_xlpm.act,IFERROR(MATCH(V792,_xlpm.orden,0),6),_xlpm.ant,IFERROR(MATCH(W792,_xlpm.orden,0),6),_xlpm.ajmov,IF(_xlpm.act&lt;_xlpm.ant,0.08,IF(_xlpm.act&gt;_xlpm.ant,-0.08,0)),_xlpm.ajcli,IF(T792&lt;0.95,-0.06,0),_xlpm.prob,MAX(0,MIN(1,_xlpm.prog+_xlpm.ajmov+_xlpm.ajcli)),IF(OR(V792="DIAMANTE",V792="CERRADO"),0,ROUND(_xlpm.prob,2)))</f>
        <v>0.9</v>
      </c>
      <c r="AK792" t="str">
        <f t="shared" si="300"/>
        <v>Faltan 0,6 puntos base para subir a la siguiente categoría</v>
      </c>
      <c r="AL792" t="str">
        <f t="shared" si="301"/>
        <v>Margen de seguridad: 38,1 puntos</v>
      </c>
      <c r="AM792">
        <f t="shared" si="302"/>
        <v>0.06</v>
      </c>
      <c r="AN792" t="str">
        <f t="shared" si="303"/>
        <v>PRIORIDAD BAJA – control normal</v>
      </c>
      <c r="AO792">
        <f t="shared" si="304"/>
        <v>38.313759090813058</v>
      </c>
      <c r="AP792">
        <f t="shared" si="305"/>
        <v>1.5826690722411056</v>
      </c>
      <c r="AQ792">
        <f t="shared" si="306"/>
        <v>0</v>
      </c>
      <c r="AR792">
        <f t="shared" si="307"/>
        <v>7.37</v>
      </c>
      <c r="AS792">
        <f t="shared" si="308"/>
        <v>0</v>
      </c>
      <c r="AT792" t="str">
        <f t="shared" si="309"/>
        <v>VENTAS</v>
      </c>
      <c r="AU792">
        <f t="shared" si="310"/>
        <v>38.313759090813058</v>
      </c>
      <c r="AV792" t="str">
        <f t="shared" si="311"/>
        <v>Mayor retorno probable: VENTAS (+38,3 puntos finales potenciales).</v>
      </c>
    </row>
    <row r="793" spans="1:48" x14ac:dyDescent="0.3">
      <c r="A793" s="5">
        <v>51024966</v>
      </c>
      <c r="B793" s="5" t="str">
        <f>IFERROR(VLOOKUP(A793,VENTAS!$A$2:$B$1194,2,0),"")</f>
        <v>BELUZZO</v>
      </c>
      <c r="C793" s="5">
        <f>IFERROR(INDEX(VENTAS!$C$2:$E$1194,MATCH(A793,VENTAS!$A$2:$A$1194,0),MATCH(PARAMS_MODELO!$B$2,{"Q1","Q2","Q3"},0)),0)</f>
        <v>36562835.100000001</v>
      </c>
      <c r="D793" s="5">
        <f>IFERROR(INDEX(VENTAS!$F$2:$H$1194,MATCH(A793,VENTAS!$A$2:$A$1194,0),MATCH(PARAMS_MODELO!$B$2,{"Q1","Q2","Q3"},0)),0)</f>
        <v>47094215</v>
      </c>
      <c r="E793" s="8">
        <f t="shared" si="288"/>
        <v>0.28803510097607288</v>
      </c>
      <c r="F793" s="12">
        <f>IF(E793&lt;=PARAMS_MODELO!$B$15,0,IF(E793&gt;=PARAMS_MODELO!$B$17,100,100*MIN(1,(E793-PARAMS_MODELO!$B$15)/(PARAMS_MODELO!$B$16-PARAMS_MODELO!$B$15))))*PARAMS_MODELO!$B$7</f>
        <v>35</v>
      </c>
      <c r="G793" s="5">
        <f t="shared" si="289"/>
        <v>10531379.899999999</v>
      </c>
      <c r="H793" s="5">
        <f>(PARAMS_MODELO!$B$20*(MAX(0,MIN(3,E793))/3)+PARAMS_MODELO!$B$21*(IFERROR(LN(1+MAX(0,G793))/LN(1+MAX(0,MAX($G$2:$G$1194))),0)))*100*PARAMS_MODELO!$B$8</f>
        <v>4.798566127561295</v>
      </c>
      <c r="I793" s="8">
        <f>E793-PARAMS_MODELO!$B$5</f>
        <v>0.11047226560054635</v>
      </c>
      <c r="J793" s="5">
        <f>IF(I793&lt;=PARAMS_MODELO!$B$18,0,IF(I793&gt;=PARAMS_MODELO!$B$19,100,100*(I793-PARAMS_MODELO!$B$18)/(PARAMS_MODELO!$B$19-PARAMS_MODELO!$B$18)))*PARAMS_MODELO!$B$9</f>
        <v>15</v>
      </c>
      <c r="K793" s="5">
        <f>IFERROR(CHOOSE(MATCH(PARAMS_MODELO!$B$2,{"Q1","Q2","Q3"},0),LOTO!$D793,LOTO!$F793,LOTO!$H793),0)</f>
        <v>2130000</v>
      </c>
      <c r="L793" s="8">
        <f t="shared" si="290"/>
        <v>4.5228485069769182E-2</v>
      </c>
      <c r="M793" s="5">
        <f>MIN(100,IF(PARAMS_MODELO!$B$23=0,0,100*L793/PARAMS_MODELO!$B$23))*PARAMS_MODELO!$B$10</f>
        <v>13.568545520930753</v>
      </c>
      <c r="N793" s="5">
        <f>IFERROR(VLOOKUP(A793,COMPLIANCE!$A$2:$F$1996,6,0),100)</f>
        <v>100</v>
      </c>
      <c r="O793" s="5">
        <f>N793*PARAMS_MODELO!$B$11</f>
        <v>10</v>
      </c>
      <c r="P793" s="5">
        <f>IFERROR(VLOOKUP(A793,DIGITAL!$A$2:$J$2000,7,0),100)</f>
        <v>18</v>
      </c>
      <c r="Q793" s="5">
        <f>IFERROR(P793,0)*PARAMS_MODELO!$B$12</f>
        <v>1.8</v>
      </c>
      <c r="R793">
        <f t="shared" si="291"/>
        <v>80.167111648492039</v>
      </c>
      <c r="S793" s="5" t="str">
        <f>IFERROR(VLOOKUP(A793,CLIENTE!$A$2:$N$2000,13,0),1)</f>
        <v>Regular</v>
      </c>
      <c r="T793" s="5">
        <f>IFERROR(VLOOKUP(A793,CLIENTE!$A$2:$N$2000,14,0),1)</f>
        <v>1</v>
      </c>
      <c r="U793" s="5">
        <f t="shared" si="292"/>
        <v>80.167111648492039</v>
      </c>
      <c r="V793" s="5" t="str">
        <f>IF(U793&gt;=MAX(_xlfn.PERCENTILE.INC($U$2:$U$1194,PARAMS_MODELO!$B$50),PARAMS_MODELO!$B$45),"DIAMANTE",IF(U793&gt;=MAX(_xlfn.PERCENTILE.INC($U$2:$U$1194,PARAMS_MODELO!$B$51),PARAMS_MODELO!$B$46),"PLATINO",IF(U793&gt;=MAX(_xlfn.PERCENTILE.INC($U$2:$U$1194,PARAMS_MODELO!$B$52),PARAMS_MODELO!$B$47),"ORO",IF(U793&gt;=MAX(_xlfn.PERCENTILE.INC($U$2:$U$1194,PARAMS_MODELO!$B$53),PARAMS_MODELO!$B$48),"PLATA",IF(U793&gt;=1,"BRONCE","CERRADO")))))</f>
        <v>ORO</v>
      </c>
      <c r="W793" s="5" t="str" cm="1">
        <f t="array" ref="W793">_xlfn.XLOOKUP(1, (HIST_SCORE!$B:$B=PARAMS_MODELO!$B$4) * (HIST_SCORE!$C:$C=A793), HIST_SCORE!$E:$E, "No encontrado")</f>
        <v>ORO</v>
      </c>
      <c r="X793" s="5" t="str">
        <f>_xlfn.LET(_xlpm.act,MATCH(V793,{"DIAMANTE";"PLATINO";"ORO";"PLATA";"BRONCE";"CERRADO"},0),_xlpm.ant,MATCH(W793,{"DIAMANTE";"PLATINO";"ORO";"PLATA";"BRONCE";"CERRADO"},0),IF(_xlpm.act&lt;_xlpm.ant,"Mejora ↑",IF(_xlpm.act&gt;_xlpm.ant,"Baja ↓","Estable →")))</f>
        <v>Estable →</v>
      </c>
      <c r="Y793" s="5">
        <f>IFERROR(U793-SUMIFS(HIST_SCORE!$D:$D,HIST_SCORE!$B:$B,PARAMS_MODELO!$B$4,HIST_SCORE!$C:$C,$A793),"")</f>
        <v>1.7012879541321695</v>
      </c>
      <c r="Z793" s="5" t="str">
        <f t="shared" si="293"/>
        <v>→ Estable</v>
      </c>
      <c r="AA793" s="5">
        <f t="shared" si="294"/>
        <v>435</v>
      </c>
      <c r="AB793" s="5">
        <f>IFERROR(SUMIFS(HIST_SCORE!$F:$F,HIST_SCORE!$B:$B,PARAMS_MODELO!$B$4,HIST_SCORE!$C:$C,$A793),"")</f>
        <v>447</v>
      </c>
      <c r="AC793" s="5">
        <f t="shared" si="295"/>
        <v>12</v>
      </c>
      <c r="AD793" t="str">
        <f t="shared" si="297"/>
        <v/>
      </c>
      <c r="AE7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793="CERRADO",1,IF(V793="BRONCE",_xlpm.cPl,IF(V793="PLATA",_xlpm.cO,IF(V793="ORO",_xlpm.cP,IF(V793="PLATINO",_xlpm.cD,999))))))</f>
        <v>86.439123873763251</v>
      </c>
      <c r="AF7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793="CERRADO",0,IF(V793="BRONCE",1,IF(V793="PLATA",_xlpm.cPl,IF(V793="ORO",_xlpm.cO,IF(V793="PLATINO",_xlpm.cP,_xlpm.cD))))))</f>
        <v>63.199193273331495</v>
      </c>
      <c r="AG793">
        <f t="shared" si="298"/>
        <v>6.2720122252712116</v>
      </c>
      <c r="AH793" t="str">
        <f t="shared" si="299"/>
        <v>VENTAS</v>
      </c>
      <c r="AI793" t="str">
        <f t="shared" si="296"/>
        <v>🎯 Para subir de categoría, eje VENTAS / IMPACTO ABSOLUTO (H). Acción: metas semanales + activación comercial + seguimiento del asesor. ΔR aprox: 6,3</v>
      </c>
      <c r="AJ793" s="26">
        <f>_xlfn.LET(_xlpm.piso,AF793,_xlpm.corte,AE793,_xlpm.prog,IF(_xlpm.corte&lt;=_xlpm.piso,0,MAX(0,MIN(1,(U793-_xlpm.piso)/(_xlpm.corte-_xlpm.piso)))),_xlpm.orden,{"DIAMANTE";"PLATINO";"ORO";"PLATA";"BRONCE";"CERRADO"},_xlpm.act,IFERROR(MATCH(V793,_xlpm.orden,0),6),_xlpm.ant,IFERROR(MATCH(W793,_xlpm.orden,0),6),_xlpm.ajmov,IF(_xlpm.act&lt;_xlpm.ant,0.08,IF(_xlpm.act&gt;_xlpm.ant,-0.08,0)),_xlpm.ajcli,IF(T793&lt;0.95,-0.06,0),_xlpm.prob,MAX(0,MIN(1,_xlpm.prog+_xlpm.ajmov+_xlpm.ajcli)),IF(OR(V793="DIAMANTE",V793="CERRADO"),0,ROUND(_xlpm.prob,2)))</f>
        <v>0.73</v>
      </c>
      <c r="AK793" t="str">
        <f t="shared" si="300"/>
        <v>Faltan 6,3 puntos base para subir a la siguiente categoría</v>
      </c>
      <c r="AL793" t="str">
        <f t="shared" si="301"/>
        <v>Margen de seguridad: 17,0 puntos</v>
      </c>
      <c r="AM793">
        <f t="shared" si="302"/>
        <v>0.36</v>
      </c>
      <c r="AN793" t="str">
        <f t="shared" si="303"/>
        <v>PRIORIDAD BAJA – control normal</v>
      </c>
      <c r="AO793">
        <f t="shared" si="304"/>
        <v>10.06400314773429</v>
      </c>
      <c r="AP793">
        <f t="shared" si="305"/>
        <v>1.4314544790692469</v>
      </c>
      <c r="AQ793">
        <f t="shared" si="306"/>
        <v>0</v>
      </c>
      <c r="AR793">
        <f t="shared" si="307"/>
        <v>8.1999999999999993</v>
      </c>
      <c r="AS793">
        <f t="shared" si="308"/>
        <v>0</v>
      </c>
      <c r="AT793" t="str">
        <f t="shared" si="309"/>
        <v>VENTAS</v>
      </c>
      <c r="AU793">
        <f t="shared" si="310"/>
        <v>10.06400314773429</v>
      </c>
      <c r="AV793" t="str">
        <f t="shared" si="311"/>
        <v>Mayor retorno probable: VENTAS (+10,1 puntos finales potenciales).</v>
      </c>
    </row>
    <row r="794" spans="1:48" x14ac:dyDescent="0.3">
      <c r="A794" s="5">
        <v>51038673</v>
      </c>
      <c r="B794" s="5" t="str">
        <f>IFERROR(VLOOKUP(A794,VENTAS!$A$2:$B$1194,2,0),"")</f>
        <v>NELLI</v>
      </c>
      <c r="C794" s="5">
        <f>IFERROR(INDEX(VENTAS!$C$2:$E$1194,MATCH(A794,VENTAS!$A$2:$A$1194,0),MATCH(PARAMS_MODELO!$B$2,{"Q1","Q2","Q3"},0)),0)</f>
        <v>72722246.489999995</v>
      </c>
      <c r="D794" s="5">
        <f>IFERROR(INDEX(VENTAS!$F$2:$H$1194,MATCH(A794,VENTAS!$A$2:$A$1194,0),MATCH(PARAMS_MODELO!$B$2,{"Q1","Q2","Q3"},0)),0)</f>
        <v>47013500</v>
      </c>
      <c r="E794" s="8">
        <f t="shared" si="288"/>
        <v>-0.35351969625326674</v>
      </c>
      <c r="F794" s="12">
        <f>IF(E794&lt;=PARAMS_MODELO!$B$15,0,IF(E794&gt;=PARAMS_MODELO!$B$17,100,100*MIN(1,(E794-PARAMS_MODELO!$B$15)/(PARAMS_MODELO!$B$16-PARAMS_MODELO!$B$15))))*PARAMS_MODELO!$B$7</f>
        <v>0</v>
      </c>
      <c r="G794" s="5">
        <f t="shared" si="289"/>
        <v>0</v>
      </c>
      <c r="H794" s="5">
        <f>(PARAMS_MODELO!$B$20*(MAX(0,MIN(3,E794))/3)+PARAMS_MODELO!$B$21*(IFERROR(LN(1+MAX(0,G794))/LN(1+MAX(0,MAX($G$2:$G$1194))),0)))*100*PARAMS_MODELO!$B$8</f>
        <v>0</v>
      </c>
      <c r="I794" s="8">
        <f>E794-PARAMS_MODELO!$B$5</f>
        <v>-0.53108253162879326</v>
      </c>
      <c r="J794" s="5">
        <f>IF(I794&lt;=PARAMS_MODELO!$B$18,0,IF(I794&gt;=PARAMS_MODELO!$B$19,100,100*(I794-PARAMS_MODELO!$B$18)/(PARAMS_MODELO!$B$19-PARAMS_MODELO!$B$18)))*PARAMS_MODELO!$B$9</f>
        <v>0</v>
      </c>
      <c r="K794" s="5">
        <f>IFERROR(CHOOSE(MATCH(PARAMS_MODELO!$B$2,{"Q1","Q2","Q3"},0),LOTO!$D794,LOTO!$F794,LOTO!$H794),0)</f>
        <v>2122500</v>
      </c>
      <c r="L794" s="8">
        <f t="shared" si="290"/>
        <v>4.5146606825699001E-2</v>
      </c>
      <c r="M794" s="5">
        <f>MIN(100,IF(PARAMS_MODELO!$B$23=0,0,100*L794/PARAMS_MODELO!$B$23))*PARAMS_MODELO!$B$10</f>
        <v>13.543982047709701</v>
      </c>
      <c r="N794" s="5">
        <f>IFERROR(VLOOKUP(A794,COMPLIANCE!$A$2:$F$1996,6,0),100)</f>
        <v>100</v>
      </c>
      <c r="O794" s="5">
        <f>N794*PARAMS_MODELO!$B$11</f>
        <v>10</v>
      </c>
      <c r="P794" s="5">
        <f>IFERROR(VLOOKUP(A794,DIGITAL!$A$2:$J$2000,7,0),100)</f>
        <v>53</v>
      </c>
      <c r="Q794" s="5">
        <f>IFERROR(P794,0)*PARAMS_MODELO!$B$12</f>
        <v>5.3000000000000007</v>
      </c>
      <c r="R794">
        <f t="shared" si="291"/>
        <v>28.843982047709702</v>
      </c>
      <c r="S794" s="5" t="str">
        <f>IFERROR(VLOOKUP(A794,CLIENTE!$A$2:$N$2000,13,0),1)</f>
        <v>Malo</v>
      </c>
      <c r="T794" s="5">
        <f>IFERROR(VLOOKUP(A794,CLIENTE!$A$2:$N$2000,14,0),1)</f>
        <v>0.7</v>
      </c>
      <c r="U794" s="5">
        <f t="shared" si="292"/>
        <v>20.190787433396789</v>
      </c>
      <c r="V794" s="5" t="str">
        <f>IF(U794&gt;=MAX(_xlfn.PERCENTILE.INC($U$2:$U$1194,PARAMS_MODELO!$B$50),PARAMS_MODELO!$B$45),"DIAMANTE",IF(U794&gt;=MAX(_xlfn.PERCENTILE.INC($U$2:$U$1194,PARAMS_MODELO!$B$51),PARAMS_MODELO!$B$46),"PLATINO",IF(U794&gt;=MAX(_xlfn.PERCENTILE.INC($U$2:$U$1194,PARAMS_MODELO!$B$52),PARAMS_MODELO!$B$47),"ORO",IF(U794&gt;=MAX(_xlfn.PERCENTILE.INC($U$2:$U$1194,PARAMS_MODELO!$B$53),PARAMS_MODELO!$B$48),"PLATA",IF(U794&gt;=1,"BRONCE","CERRADO")))))</f>
        <v>BRONCE</v>
      </c>
      <c r="W794" s="5" t="str" cm="1">
        <f t="array" ref="W794">_xlfn.XLOOKUP(1, (HIST_SCORE!$B:$B=PARAMS_MODELO!$B$4) * (HIST_SCORE!$C:$C=A794), HIST_SCORE!$E:$E, "No encontrado")</f>
        <v>PLATA</v>
      </c>
      <c r="X794" s="5" t="str">
        <f>_xlfn.LET(_xlpm.act,MATCH(V794,{"DIAMANTE";"PLATINO";"ORO";"PLATA";"BRONCE";"CERRADO"},0),_xlpm.ant,MATCH(W794,{"DIAMANTE";"PLATINO";"ORO";"PLATA";"BRONCE";"CERRADO"},0),IF(_xlpm.act&lt;_xlpm.ant,"Mejora ↑",IF(_xlpm.act&gt;_xlpm.ant,"Baja ↓","Estable →")))</f>
        <v>Baja ↓</v>
      </c>
      <c r="Y794" s="5">
        <f>IFERROR(U794-SUMIFS(HIST_SCORE!$D:$D,HIST_SCORE!$B:$B,PARAMS_MODELO!$B$4,HIST_SCORE!$C:$C,$A794),"")</f>
        <v>-23.495453331369806</v>
      </c>
      <c r="Z794" s="5" t="str">
        <f t="shared" si="293"/>
        <v>↓ Baja</v>
      </c>
      <c r="AA794" s="5">
        <f t="shared" si="294"/>
        <v>976</v>
      </c>
      <c r="AB794" s="5">
        <f>IFERROR(SUMIFS(HIST_SCORE!$F:$F,HIST_SCORE!$B:$B,PARAMS_MODELO!$B$4,HIST_SCORE!$C:$C,$A794),"")</f>
        <v>831</v>
      </c>
      <c r="AC794" s="5">
        <f t="shared" si="295"/>
        <v>-145</v>
      </c>
      <c r="AD794" t="str">
        <f t="shared" si="297"/>
        <v>Plan de recuperación: foco crecimiento + mix</v>
      </c>
      <c r="AE7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794="CERRADO",1,IF(V794="BRONCE",_xlpm.cPl,IF(V794="PLATA",_xlpm.cO,IF(V794="ORO",_xlpm.cP,IF(V794="PLATINO",_xlpm.cD,999))))))</f>
        <v>24.506573482968111</v>
      </c>
      <c r="AF7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794="CERRADO",0,IF(V794="BRONCE",1,IF(V794="PLATA",_xlpm.cPl,IF(V794="ORO",_xlpm.cO,IF(V794="PLATINO",_xlpm.cP,_xlpm.cD))))))</f>
        <v>1</v>
      </c>
      <c r="AG794">
        <f t="shared" si="298"/>
        <v>6.1654086422447421</v>
      </c>
      <c r="AH794" t="str">
        <f t="shared" si="299"/>
        <v>CLIENTE</v>
      </c>
      <c r="AI794" t="str">
        <f t="shared" si="296"/>
        <v>🎯 Para subir de categoría, la eje con mayor impacto probable es CLIENTE (coef T). Acción: reducir quejas, mejorar incógnito y empujar reseñas. ΔR aprox: 6,2</v>
      </c>
      <c r="AJ794" s="26">
        <f>_xlfn.LET(_xlpm.piso,AF794,_xlpm.corte,AE794,_xlpm.prog,IF(_xlpm.corte&lt;=_xlpm.piso,0,MAX(0,MIN(1,(U794-_xlpm.piso)/(_xlpm.corte-_xlpm.piso)))),_xlpm.orden,{"DIAMANTE";"PLATINO";"ORO";"PLATA";"BRONCE";"CERRADO"},_xlpm.act,IFERROR(MATCH(V794,_xlpm.orden,0),6),_xlpm.ant,IFERROR(MATCH(W794,_xlpm.orden,0),6),_xlpm.ajmov,IF(_xlpm.act&lt;_xlpm.ant,0.08,IF(_xlpm.act&gt;_xlpm.ant,-0.08,0)),_xlpm.ajcli,IF(T794&lt;0.95,-0.06,0),_xlpm.prob,MAX(0,MIN(1,_xlpm.prog+_xlpm.ajmov+_xlpm.ajcli)),IF(OR(V794="DIAMANTE",V794="CERRADO"),0,ROUND(_xlpm.prob,2)))</f>
        <v>0.68</v>
      </c>
      <c r="AK794" t="str">
        <f t="shared" si="300"/>
        <v>Faltan 6,2 puntos base para subir a la siguiente categoría</v>
      </c>
      <c r="AL794" t="str">
        <f t="shared" si="301"/>
        <v>No aplica</v>
      </c>
      <c r="AM794">
        <f t="shared" si="302"/>
        <v>0.56999999999999995</v>
      </c>
      <c r="AN794" t="str">
        <f t="shared" si="303"/>
        <v>PRIORIDAD MEDIA – seguimiento del asesor</v>
      </c>
      <c r="AO794">
        <f t="shared" si="304"/>
        <v>45.403798492706905</v>
      </c>
      <c r="AP794">
        <f t="shared" si="305"/>
        <v>1.0192125666032095</v>
      </c>
      <c r="AQ794">
        <f t="shared" si="306"/>
        <v>0</v>
      </c>
      <c r="AR794">
        <f t="shared" si="307"/>
        <v>3.2899999999999991</v>
      </c>
      <c r="AS794">
        <f t="shared" si="308"/>
        <v>8.6531946143129126</v>
      </c>
      <c r="AT794" t="str">
        <f t="shared" si="309"/>
        <v>VENTAS</v>
      </c>
      <c r="AU794">
        <f t="shared" si="310"/>
        <v>45.403798492706905</v>
      </c>
      <c r="AV794" t="str">
        <f t="shared" si="311"/>
        <v>Mayor retorno probable: VENTAS (+45,4 puntos finales potenciales).</v>
      </c>
    </row>
    <row r="795" spans="1:48" x14ac:dyDescent="0.3">
      <c r="A795" s="5">
        <v>51013271</v>
      </c>
      <c r="B795" s="5" t="str">
        <f>IFERROR(VLOOKUP(A795,VENTAS!$A$2:$B$1194,2,0),"")</f>
        <v>METTLER</v>
      </c>
      <c r="C795" s="5">
        <f>IFERROR(INDEX(VENTAS!$C$2:$E$1194,MATCH(A795,VENTAS!$A$2:$A$1194,0),MATCH(PARAMS_MODELO!$B$2,{"Q1","Q2","Q3"},0)),0)</f>
        <v>40365539.350000001</v>
      </c>
      <c r="D795" s="5">
        <f>IFERROR(INDEX(VENTAS!$F$2:$H$1194,MATCH(A795,VENTAS!$A$2:$A$1194,0),MATCH(PARAMS_MODELO!$B$2,{"Q1","Q2","Q3"},0)),0)</f>
        <v>47004825</v>
      </c>
      <c r="E795" s="8">
        <f t="shared" si="288"/>
        <v>0.16447905210512181</v>
      </c>
      <c r="F795" s="12">
        <f>IF(E795&lt;=PARAMS_MODELO!$B$15,0,IF(E795&gt;=PARAMS_MODELO!$B$17,100,100*MIN(1,(E795-PARAMS_MODELO!$B$15)/(PARAMS_MODELO!$B$16-PARAMS_MODELO!$B$15))))*PARAMS_MODELO!$B$7</f>
        <v>35</v>
      </c>
      <c r="G795" s="5">
        <f t="shared" si="289"/>
        <v>6639285.6499999985</v>
      </c>
      <c r="H795" s="5">
        <f>(PARAMS_MODELO!$B$20*(MAX(0,MIN(3,E795))/3)+PARAMS_MODELO!$B$21*(IFERROR(LN(1+MAX(0,G795))/LN(1+MAX(0,MAX($G$2:$G$1194))),0)))*100*PARAMS_MODELO!$B$8</f>
        <v>4.257971919696784</v>
      </c>
      <c r="I795" s="8">
        <f>E795-PARAMS_MODELO!$B$5</f>
        <v>-1.3083783270404714E-2</v>
      </c>
      <c r="J795" s="5">
        <f>IF(I795&lt;=PARAMS_MODELO!$B$18,0,IF(I795&gt;=PARAMS_MODELO!$B$19,100,100*(I795-PARAMS_MODELO!$B$18)/(PARAMS_MODELO!$B$19-PARAMS_MODELO!$B$18)))*PARAMS_MODELO!$B$9</f>
        <v>5.5374325094392933</v>
      </c>
      <c r="K795" s="5">
        <f>IFERROR(CHOOSE(MATCH(PARAMS_MODELO!$B$2,{"Q1","Q2","Q3"},0),LOTO!$D795,LOTO!$F795,LOTO!$H795),0)</f>
        <v>2122500</v>
      </c>
      <c r="L795" s="8">
        <f t="shared" si="290"/>
        <v>4.515493888127442E-2</v>
      </c>
      <c r="M795" s="5">
        <f>MIN(100,IF(PARAMS_MODELO!$B$23=0,0,100*L795/PARAMS_MODELO!$B$23))*PARAMS_MODELO!$B$10</f>
        <v>13.546481664382325</v>
      </c>
      <c r="N795" s="5">
        <f>IFERROR(VLOOKUP(A795,COMPLIANCE!$A$2:$F$1996,6,0),100)</f>
        <v>99.85</v>
      </c>
      <c r="O795" s="5">
        <f>N795*PARAMS_MODELO!$B$11</f>
        <v>9.9849999999999994</v>
      </c>
      <c r="P795" s="5">
        <f>IFERROR(VLOOKUP(A795,DIGITAL!$A$2:$J$2000,7,0),100)</f>
        <v>87</v>
      </c>
      <c r="Q795" s="5">
        <f>IFERROR(P795,0)*PARAMS_MODELO!$B$12</f>
        <v>8.7000000000000011</v>
      </c>
      <c r="R795">
        <f t="shared" si="291"/>
        <v>77.026886093518399</v>
      </c>
      <c r="S795" s="5" t="str">
        <f>IFERROR(VLOOKUP(A795,CLIENTE!$A$2:$N$2000,13,0),1)</f>
        <v>Regular</v>
      </c>
      <c r="T795" s="5">
        <f>IFERROR(VLOOKUP(A795,CLIENTE!$A$2:$N$2000,14,0),1)</f>
        <v>1</v>
      </c>
      <c r="U795" s="5">
        <f t="shared" si="292"/>
        <v>77.026886093518399</v>
      </c>
      <c r="V795" s="5" t="str">
        <f>IF(U795&gt;=MAX(_xlfn.PERCENTILE.INC($U$2:$U$1194,PARAMS_MODELO!$B$50),PARAMS_MODELO!$B$45),"DIAMANTE",IF(U795&gt;=MAX(_xlfn.PERCENTILE.INC($U$2:$U$1194,PARAMS_MODELO!$B$51),PARAMS_MODELO!$B$46),"PLATINO",IF(U795&gt;=MAX(_xlfn.PERCENTILE.INC($U$2:$U$1194,PARAMS_MODELO!$B$52),PARAMS_MODELO!$B$47),"ORO",IF(U795&gt;=MAX(_xlfn.PERCENTILE.INC($U$2:$U$1194,PARAMS_MODELO!$B$53),PARAMS_MODELO!$B$48),"PLATA",IF(U795&gt;=1,"BRONCE","CERRADO")))))</f>
        <v>ORO</v>
      </c>
      <c r="W795" s="5" t="str" cm="1">
        <f t="array" ref="W795">_xlfn.XLOOKUP(1, (HIST_SCORE!$B:$B=PARAMS_MODELO!$B$4) * (HIST_SCORE!$C:$C=A795), HIST_SCORE!$E:$E, "No encontrado")</f>
        <v>ORO</v>
      </c>
      <c r="X795" s="5" t="str">
        <f>_xlfn.LET(_xlpm.act,MATCH(V795,{"DIAMANTE";"PLATINO";"ORO";"PLATA";"BRONCE";"CERRADO"},0),_xlpm.ant,MATCH(W795,{"DIAMANTE";"PLATINO";"ORO";"PLATA";"BRONCE";"CERRADO"},0),IF(_xlpm.act&lt;_xlpm.ant,"Mejora ↑",IF(_xlpm.act&gt;_xlpm.ant,"Baja ↓","Estable →")))</f>
        <v>Estable →</v>
      </c>
      <c r="Y795" s="5">
        <f>IFERROR(U795-SUMIFS(HIST_SCORE!$D:$D,HIST_SCORE!$B:$B,PARAMS_MODELO!$B$4,HIST_SCORE!$C:$C,$A795),"")</f>
        <v>-7.3151022186350048</v>
      </c>
      <c r="Z795" s="5" t="str">
        <f t="shared" si="293"/>
        <v>↓ Baja</v>
      </c>
      <c r="AA795" s="5">
        <f t="shared" si="294"/>
        <v>457</v>
      </c>
      <c r="AB795" s="5">
        <f>IFERROR(SUMIFS(HIST_SCORE!$F:$F,HIST_SCORE!$B:$B,PARAMS_MODELO!$B$4,HIST_SCORE!$C:$C,$A795),"")</f>
        <v>279</v>
      </c>
      <c r="AC795" s="5">
        <f t="shared" si="295"/>
        <v>-178</v>
      </c>
      <c r="AD795" t="str">
        <f t="shared" si="297"/>
        <v>Sostener base y reforzar mix</v>
      </c>
      <c r="AE7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795="CERRADO",1,IF(V795="BRONCE",_xlpm.cPl,IF(V795="PLATA",_xlpm.cO,IF(V795="ORO",_xlpm.cP,IF(V795="PLATINO",_xlpm.cD,999))))))</f>
        <v>86.439123873763251</v>
      </c>
      <c r="AF7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795="CERRADO",0,IF(V795="BRONCE",1,IF(V795="PLATA",_xlpm.cPl,IF(V795="ORO",_xlpm.cO,IF(V795="PLATINO",_xlpm.cP,_xlpm.cD))))))</f>
        <v>63.199193273331495</v>
      </c>
      <c r="AG795">
        <f t="shared" si="298"/>
        <v>9.4122377802448511</v>
      </c>
      <c r="AH795" t="str">
        <f t="shared" si="299"/>
        <v>VENTAS</v>
      </c>
      <c r="AI795" t="str">
        <f t="shared" si="296"/>
        <v>🎯 Para subir de categoría, eje VENTAS / IMPACTO ABSOLUTO (H). Acción: metas semanales + activación comercial + seguimiento del asesor. ΔR aprox: 9,4</v>
      </c>
      <c r="AJ795" s="26">
        <f>_xlfn.LET(_xlpm.piso,AF795,_xlpm.corte,AE795,_xlpm.prog,IF(_xlpm.corte&lt;=_xlpm.piso,0,MAX(0,MIN(1,(U795-_xlpm.piso)/(_xlpm.corte-_xlpm.piso)))),_xlpm.orden,{"DIAMANTE";"PLATINO";"ORO";"PLATA";"BRONCE";"CERRADO"},_xlpm.act,IFERROR(MATCH(V795,_xlpm.orden,0),6),_xlpm.ant,IFERROR(MATCH(W795,_xlpm.orden,0),6),_xlpm.ajmov,IF(_xlpm.act&lt;_xlpm.ant,0.08,IF(_xlpm.act&gt;_xlpm.ant,-0.08,0)),_xlpm.ajcli,IF(T795&lt;0.95,-0.06,0),_xlpm.prob,MAX(0,MIN(1,_xlpm.prog+_xlpm.ajmov+_xlpm.ajcli)),IF(OR(V795="DIAMANTE",V795="CERRADO"),0,ROUND(_xlpm.prob,2)))</f>
        <v>0.59</v>
      </c>
      <c r="AK795" t="str">
        <f t="shared" si="300"/>
        <v>Faltan 9,4 puntos base para subir a la siguiente categoría</v>
      </c>
      <c r="AL795" t="str">
        <f t="shared" si="301"/>
        <v>Margen de seguridad: 13,8 puntos</v>
      </c>
      <c r="AM795">
        <f t="shared" si="302"/>
        <v>0.54</v>
      </c>
      <c r="AN795" t="str">
        <f t="shared" si="303"/>
        <v>PRIORIDAD MEDIA – seguimiento del asesor</v>
      </c>
      <c r="AO795">
        <f t="shared" si="304"/>
        <v>20.067164846159507</v>
      </c>
      <c r="AP795">
        <f t="shared" si="305"/>
        <v>1.4535183356176749</v>
      </c>
      <c r="AQ795">
        <f t="shared" si="306"/>
        <v>1.5000000000000568E-2</v>
      </c>
      <c r="AR795">
        <f t="shared" si="307"/>
        <v>1.2999999999999989</v>
      </c>
      <c r="AS795">
        <f t="shared" si="308"/>
        <v>0</v>
      </c>
      <c r="AT795" t="str">
        <f t="shared" si="309"/>
        <v>VENTAS</v>
      </c>
      <c r="AU795">
        <f t="shared" si="310"/>
        <v>20.067164846159507</v>
      </c>
      <c r="AV795" t="str">
        <f t="shared" si="311"/>
        <v>Mayor retorno probable: VENTAS (+20,1 puntos finales potenciales).</v>
      </c>
    </row>
    <row r="796" spans="1:48" x14ac:dyDescent="0.3">
      <c r="A796" s="5">
        <v>51038894</v>
      </c>
      <c r="B796" s="5" t="str">
        <f>IFERROR(VLOOKUP(A796,VENTAS!$A$2:$B$1194,2,0),"")</f>
        <v>AYALA</v>
      </c>
      <c r="C796" s="5">
        <f>IFERROR(INDEX(VENTAS!$C$2:$E$1194,MATCH(A796,VENTAS!$A$2:$A$1194,0),MATCH(PARAMS_MODELO!$B$2,{"Q1","Q2","Q3"},0)),0)</f>
        <v>39748592.899999999</v>
      </c>
      <c r="D796" s="5">
        <f>IFERROR(INDEX(VENTAS!$F$2:$H$1194,MATCH(A796,VENTAS!$A$2:$A$1194,0),MATCH(PARAMS_MODELO!$B$2,{"Q1","Q2","Q3"},0)),0)</f>
        <v>46985445</v>
      </c>
      <c r="E796" s="8">
        <f t="shared" si="288"/>
        <v>0.18206561722088033</v>
      </c>
      <c r="F796" s="12">
        <f>IF(E796&lt;=PARAMS_MODELO!$B$15,0,IF(E796&gt;=PARAMS_MODELO!$B$17,100,100*MIN(1,(E796-PARAMS_MODELO!$B$15)/(PARAMS_MODELO!$B$16-PARAMS_MODELO!$B$15))))*PARAMS_MODELO!$B$7</f>
        <v>35</v>
      </c>
      <c r="G796" s="5">
        <f t="shared" si="289"/>
        <v>7236852.1000000015</v>
      </c>
      <c r="H796" s="5">
        <f>(PARAMS_MODELO!$B$20*(MAX(0,MIN(3,E796))/3)+PARAMS_MODELO!$B$21*(IFERROR(LN(1+MAX(0,G796))/LN(1+MAX(0,MAX($G$2:$G$1194))),0)))*100*PARAMS_MODELO!$B$8</f>
        <v>4.3397271455574993</v>
      </c>
      <c r="I796" s="8">
        <f>E796-PARAMS_MODELO!$B$5</f>
        <v>4.5027818453537982E-3</v>
      </c>
      <c r="J796" s="5">
        <f>IF(I796&lt;=PARAMS_MODELO!$B$18,0,IF(I796&gt;=PARAMS_MODELO!$B$19,100,100*(I796-PARAMS_MODELO!$B$18)/(PARAMS_MODELO!$B$19-PARAMS_MODELO!$B$18)))*PARAMS_MODELO!$B$9</f>
        <v>8.1754172768030688</v>
      </c>
      <c r="K796" s="5">
        <f>IFERROR(CHOOSE(MATCH(PARAMS_MODELO!$B$2,{"Q1","Q2","Q3"},0),LOTO!$D796,LOTO!$F796,LOTO!$H796),0)</f>
        <v>2122500</v>
      </c>
      <c r="L796" s="8">
        <f t="shared" si="290"/>
        <v>4.5173563855785553E-2</v>
      </c>
      <c r="M796" s="5">
        <f>MIN(100,IF(PARAMS_MODELO!$B$23=0,0,100*L796/PARAMS_MODELO!$B$23))*PARAMS_MODELO!$B$10</f>
        <v>13.552069156735666</v>
      </c>
      <c r="N796" s="5">
        <f>IFERROR(VLOOKUP(A796,COMPLIANCE!$A$2:$F$1996,6,0),100)</f>
        <v>99.98</v>
      </c>
      <c r="O796" s="5">
        <f>N796*PARAMS_MODELO!$B$11</f>
        <v>9.9980000000000011</v>
      </c>
      <c r="P796" s="5">
        <f>IFERROR(VLOOKUP(A796,DIGITAL!$A$2:$J$2000,7,0),100)</f>
        <v>1</v>
      </c>
      <c r="Q796" s="5">
        <f>IFERROR(P796,0)*PARAMS_MODELO!$B$12</f>
        <v>0.1</v>
      </c>
      <c r="R796">
        <f t="shared" si="291"/>
        <v>71.165213579096232</v>
      </c>
      <c r="S796" s="5" t="str">
        <f>IFERROR(VLOOKUP(A796,CLIENTE!$A$2:$N$2000,13,0),1)</f>
        <v>Regular</v>
      </c>
      <c r="T796" s="5">
        <f>IFERROR(VLOOKUP(A796,CLIENTE!$A$2:$N$2000,14,0),1)</f>
        <v>1</v>
      </c>
      <c r="U796" s="5">
        <f t="shared" si="292"/>
        <v>71.165213579096232</v>
      </c>
      <c r="V796" s="5" t="str">
        <f>IF(U796&gt;=MAX(_xlfn.PERCENTILE.INC($U$2:$U$1194,PARAMS_MODELO!$B$50),PARAMS_MODELO!$B$45),"DIAMANTE",IF(U796&gt;=MAX(_xlfn.PERCENTILE.INC($U$2:$U$1194,PARAMS_MODELO!$B$51),PARAMS_MODELO!$B$46),"PLATINO",IF(U796&gt;=MAX(_xlfn.PERCENTILE.INC($U$2:$U$1194,PARAMS_MODELO!$B$52),PARAMS_MODELO!$B$47),"ORO",IF(U796&gt;=MAX(_xlfn.PERCENTILE.INC($U$2:$U$1194,PARAMS_MODELO!$B$53),PARAMS_MODELO!$B$48),"PLATA",IF(U796&gt;=1,"BRONCE","CERRADO")))))</f>
        <v>ORO</v>
      </c>
      <c r="W796" s="5" t="str" cm="1">
        <f t="array" ref="W796">_xlfn.XLOOKUP(1, (HIST_SCORE!$B:$B=PARAMS_MODELO!$B$4) * (HIST_SCORE!$C:$C=A796), HIST_SCORE!$E:$E, "No encontrado")</f>
        <v>ORO</v>
      </c>
      <c r="X796" s="5" t="str">
        <f>_xlfn.LET(_xlpm.act,MATCH(V796,{"DIAMANTE";"PLATINO";"ORO";"PLATA";"BRONCE";"CERRADO"},0),_xlpm.ant,MATCH(W796,{"DIAMANTE";"PLATINO";"ORO";"PLATA";"BRONCE";"CERRADO"},0),IF(_xlpm.act&lt;_xlpm.ant,"Mejora ↑",IF(_xlpm.act&gt;_xlpm.ant,"Baja ↓","Estable →")))</f>
        <v>Estable →</v>
      </c>
      <c r="Y796" s="5">
        <f>IFERROR(U796-SUMIFS(HIST_SCORE!$D:$D,HIST_SCORE!$B:$B,PARAMS_MODELO!$B$4,HIST_SCORE!$C:$C,$A796),"")</f>
        <v>-6.1528127205065886</v>
      </c>
      <c r="Z796" s="5" t="str">
        <f t="shared" si="293"/>
        <v>↓ Baja</v>
      </c>
      <c r="AA796" s="5">
        <f t="shared" si="294"/>
        <v>507</v>
      </c>
      <c r="AB796" s="5">
        <f>IFERROR(SUMIFS(HIST_SCORE!$F:$F,HIST_SCORE!$B:$B,PARAMS_MODELO!$B$4,HIST_SCORE!$C:$C,$A796),"")</f>
        <v>464</v>
      </c>
      <c r="AC796" s="5">
        <f t="shared" si="295"/>
        <v>-43</v>
      </c>
      <c r="AD796" t="str">
        <f t="shared" si="297"/>
        <v>Sostener base y reforzar mix</v>
      </c>
      <c r="AE7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796="CERRADO",1,IF(V796="BRONCE",_xlpm.cPl,IF(V796="PLATA",_xlpm.cO,IF(V796="ORO",_xlpm.cP,IF(V796="PLATINO",_xlpm.cD,999))))))</f>
        <v>86.439123873763251</v>
      </c>
      <c r="AF7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796="CERRADO",0,IF(V796="BRONCE",1,IF(V796="PLATA",_xlpm.cPl,IF(V796="ORO",_xlpm.cO,IF(V796="PLATINO",_xlpm.cP,_xlpm.cD))))))</f>
        <v>63.199193273331495</v>
      </c>
      <c r="AG796">
        <f t="shared" si="298"/>
        <v>15.273910294667019</v>
      </c>
      <c r="AH796" t="str">
        <f t="shared" si="299"/>
        <v>VENTAS</v>
      </c>
      <c r="AI796" t="str">
        <f t="shared" si="296"/>
        <v>🎯 Para subir de categoría, eje VENTAS / IMPACTO ABSOLUTO (H). Acción: metas semanales + activación comercial + seguimiento del asesor. ΔR aprox: 15,3</v>
      </c>
      <c r="AJ796" s="26">
        <f>_xlfn.LET(_xlpm.piso,AF796,_xlpm.corte,AE796,_xlpm.prog,IF(_xlpm.corte&lt;=_xlpm.piso,0,MAX(0,MIN(1,(U796-_xlpm.piso)/(_xlpm.corte-_xlpm.piso)))),_xlpm.orden,{"DIAMANTE";"PLATINO";"ORO";"PLATA";"BRONCE";"CERRADO"},_xlpm.act,IFERROR(MATCH(V796,_xlpm.orden,0),6),_xlpm.ant,IFERROR(MATCH(W796,_xlpm.orden,0),6),_xlpm.ajmov,IF(_xlpm.act&lt;_xlpm.ant,0.08,IF(_xlpm.act&gt;_xlpm.ant,-0.08,0)),_xlpm.ajcli,IF(T796&lt;0.95,-0.06,0),_xlpm.prob,MAX(0,MIN(1,_xlpm.prog+_xlpm.ajmov+_xlpm.ajcli)),IF(OR(V796="DIAMANTE",V796="CERRADO"),0,ROUND(_xlpm.prob,2)))</f>
        <v>0.34</v>
      </c>
      <c r="AK796" t="str">
        <f t="shared" si="300"/>
        <v>Faltan 15,3 puntos base para subir a la siguiente categoría</v>
      </c>
      <c r="AL796" t="str">
        <f t="shared" si="301"/>
        <v>Margen de seguridad: 8,0 puntos</v>
      </c>
      <c r="AM796">
        <f t="shared" si="302"/>
        <v>0.66</v>
      </c>
      <c r="AN796" t="str">
        <f t="shared" si="303"/>
        <v>PRIORIDAD MEDIA – seguimiento del asesor</v>
      </c>
      <c r="AO796">
        <f t="shared" si="304"/>
        <v>17.347424852935021</v>
      </c>
      <c r="AP796">
        <f t="shared" si="305"/>
        <v>1.4479308432643343</v>
      </c>
      <c r="AQ796">
        <f t="shared" si="306"/>
        <v>1.9999999999988916E-3</v>
      </c>
      <c r="AR796">
        <f t="shared" si="307"/>
        <v>9.9</v>
      </c>
      <c r="AS796">
        <f t="shared" si="308"/>
        <v>0</v>
      </c>
      <c r="AT796" t="str">
        <f t="shared" si="309"/>
        <v>VENTAS</v>
      </c>
      <c r="AU796">
        <f t="shared" si="310"/>
        <v>17.347424852935021</v>
      </c>
      <c r="AV796" t="str">
        <f t="shared" si="311"/>
        <v>Mayor retorno probable: VENTAS (+17,3 puntos finales potenciales).</v>
      </c>
    </row>
    <row r="797" spans="1:48" x14ac:dyDescent="0.3">
      <c r="A797" s="5">
        <v>51021843</v>
      </c>
      <c r="B797" s="5" t="str">
        <f>IFERROR(VLOOKUP(A797,VENTAS!$A$2:$B$1194,2,0),"")</f>
        <v>PRADES</v>
      </c>
      <c r="C797" s="5">
        <f>IFERROR(INDEX(VENTAS!$C$2:$E$1194,MATCH(A797,VENTAS!$A$2:$A$1194,0),MATCH(PARAMS_MODELO!$B$2,{"Q1","Q2","Q3"},0)),0)</f>
        <v>41864098.099999987</v>
      </c>
      <c r="D797" s="5">
        <f>IFERROR(INDEX(VENTAS!$F$2:$H$1194,MATCH(A797,VENTAS!$A$2:$A$1194,0),MATCH(PARAMS_MODELO!$B$2,{"Q1","Q2","Q3"},0)),0)</f>
        <v>46634185</v>
      </c>
      <c r="E797" s="8">
        <f t="shared" si="288"/>
        <v>0.11394218713623783</v>
      </c>
      <c r="F797" s="12">
        <f>IF(E797&lt;=PARAMS_MODELO!$B$15,0,IF(E797&gt;=PARAMS_MODELO!$B$17,100,100*MIN(1,(E797-PARAMS_MODELO!$B$15)/(PARAMS_MODELO!$B$16-PARAMS_MODELO!$B$15))))*PARAMS_MODELO!$B$7</f>
        <v>35</v>
      </c>
      <c r="G797" s="5">
        <f t="shared" si="289"/>
        <v>4770086.9000000134</v>
      </c>
      <c r="H797" s="5">
        <f>(PARAMS_MODELO!$B$20*(MAX(0,MIN(3,E797))/3)+PARAMS_MODELO!$B$21*(IFERROR(LN(1+MAX(0,G797))/LN(1+MAX(0,MAX($G$2:$G$1194))),0)))*100*PARAMS_MODELO!$B$8</f>
        <v>4.0035863088457475</v>
      </c>
      <c r="I797" s="8">
        <f>E797-PARAMS_MODELO!$B$5</f>
        <v>-6.3620648239288702E-2</v>
      </c>
      <c r="J797" s="5">
        <f>IF(I797&lt;=PARAMS_MODELO!$B$18,0,IF(I797&gt;=PARAMS_MODELO!$B$19,100,100*(I797-PARAMS_MODELO!$B$18)/(PARAMS_MODELO!$B$19-PARAMS_MODELO!$B$18)))*PARAMS_MODELO!$B$9</f>
        <v>0</v>
      </c>
      <c r="K797" s="5">
        <f>IFERROR(CHOOSE(MATCH(PARAMS_MODELO!$B$2,{"Q1","Q2","Q3"},0),LOTO!$D797,LOTO!$F797,LOTO!$H797),0)</f>
        <v>2117500</v>
      </c>
      <c r="L797" s="8">
        <f t="shared" si="290"/>
        <v>4.540660461847891E-2</v>
      </c>
      <c r="M797" s="5">
        <f>MIN(100,IF(PARAMS_MODELO!$B$23=0,0,100*L797/PARAMS_MODELO!$B$23))*PARAMS_MODELO!$B$10</f>
        <v>13.621981385543672</v>
      </c>
      <c r="N797" s="5">
        <f>IFERROR(VLOOKUP(A797,COMPLIANCE!$A$2:$F$1996,6,0),100)</f>
        <v>100</v>
      </c>
      <c r="O797" s="5">
        <f>N797*PARAMS_MODELO!$B$11</f>
        <v>10</v>
      </c>
      <c r="P797" s="5">
        <f>IFERROR(VLOOKUP(A797,DIGITAL!$A$2:$J$2000,7,0),100)</f>
        <v>78</v>
      </c>
      <c r="Q797" s="5">
        <f>IFERROR(P797,0)*PARAMS_MODELO!$B$12</f>
        <v>7.8000000000000007</v>
      </c>
      <c r="R797">
        <f t="shared" si="291"/>
        <v>70.425567694389414</v>
      </c>
      <c r="S797" s="5" t="str">
        <f>IFERROR(VLOOKUP(A797,CLIENTE!$A$2:$N$2000,13,0),1)</f>
        <v>Regular</v>
      </c>
      <c r="T797" s="5">
        <f>IFERROR(VLOOKUP(A797,CLIENTE!$A$2:$N$2000,14,0),1)</f>
        <v>1</v>
      </c>
      <c r="U797" s="5">
        <f t="shared" si="292"/>
        <v>70.425567694389414</v>
      </c>
      <c r="V797" s="5" t="str">
        <f>IF(U797&gt;=MAX(_xlfn.PERCENTILE.INC($U$2:$U$1194,PARAMS_MODELO!$B$50),PARAMS_MODELO!$B$45),"DIAMANTE",IF(U797&gt;=MAX(_xlfn.PERCENTILE.INC($U$2:$U$1194,PARAMS_MODELO!$B$51),PARAMS_MODELO!$B$46),"PLATINO",IF(U797&gt;=MAX(_xlfn.PERCENTILE.INC($U$2:$U$1194,PARAMS_MODELO!$B$52),PARAMS_MODELO!$B$47),"ORO",IF(U797&gt;=MAX(_xlfn.PERCENTILE.INC($U$2:$U$1194,PARAMS_MODELO!$B$53),PARAMS_MODELO!$B$48),"PLATA",IF(U797&gt;=1,"BRONCE","CERRADO")))))</f>
        <v>ORO</v>
      </c>
      <c r="W797" s="5" t="str" cm="1">
        <f t="array" ref="W797">_xlfn.XLOOKUP(1, (HIST_SCORE!$B:$B=PARAMS_MODELO!$B$4) * (HIST_SCORE!$C:$C=A797), HIST_SCORE!$E:$E, "No encontrado")</f>
        <v>ORO</v>
      </c>
      <c r="X797" s="5" t="str">
        <f>_xlfn.LET(_xlpm.act,MATCH(V797,{"DIAMANTE";"PLATINO";"ORO";"PLATA";"BRONCE";"CERRADO"},0),_xlpm.ant,MATCH(W797,{"DIAMANTE";"PLATINO";"ORO";"PLATA";"BRONCE";"CERRADO"},0),IF(_xlpm.act&lt;_xlpm.ant,"Mejora ↑",IF(_xlpm.act&gt;_xlpm.ant,"Baja ↓","Estable →")))</f>
        <v>Estable →</v>
      </c>
      <c r="Y797" s="5">
        <f>IFERROR(U797-SUMIFS(HIST_SCORE!$D:$D,HIST_SCORE!$B:$B,PARAMS_MODELO!$B$4,HIST_SCORE!$C:$C,$A797),"")</f>
        <v>-12.896555030488912</v>
      </c>
      <c r="Z797" s="5" t="str">
        <f t="shared" si="293"/>
        <v>↓ Baja</v>
      </c>
      <c r="AA797" s="5">
        <f t="shared" si="294"/>
        <v>510</v>
      </c>
      <c r="AB797" s="5">
        <f>IFERROR(SUMIFS(HIST_SCORE!$F:$F,HIST_SCORE!$B:$B,PARAMS_MODELO!$B$4,HIST_SCORE!$C:$C,$A797),"")</f>
        <v>318</v>
      </c>
      <c r="AC797" s="5">
        <f t="shared" si="295"/>
        <v>-192</v>
      </c>
      <c r="AD797" t="str">
        <f t="shared" si="297"/>
        <v>Sostener base y reforzar mix</v>
      </c>
      <c r="AE7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797="CERRADO",1,IF(V797="BRONCE",_xlpm.cPl,IF(V797="PLATA",_xlpm.cO,IF(V797="ORO",_xlpm.cP,IF(V797="PLATINO",_xlpm.cD,999))))))</f>
        <v>86.439123873763251</v>
      </c>
      <c r="AF7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797="CERRADO",0,IF(V797="BRONCE",1,IF(V797="PLATA",_xlpm.cPl,IF(V797="ORO",_xlpm.cO,IF(V797="PLATINO",_xlpm.cP,_xlpm.cD))))))</f>
        <v>63.199193273331495</v>
      </c>
      <c r="AG797">
        <f t="shared" si="298"/>
        <v>16.013556179373836</v>
      </c>
      <c r="AH797" t="str">
        <f t="shared" si="299"/>
        <v>VENTAS</v>
      </c>
      <c r="AI797" t="str">
        <f t="shared" si="296"/>
        <v>🎯 Para subir de categoría, eje VENTAS / DIFERENCIAL vs LOTBA (J). Acción: metas semanales + activación comercial + seguimiento del asesor. ΔR aprox: 16,0</v>
      </c>
      <c r="AJ797" s="26">
        <f>_xlfn.LET(_xlpm.piso,AF797,_xlpm.corte,AE797,_xlpm.prog,IF(_xlpm.corte&lt;=_xlpm.piso,0,MAX(0,MIN(1,(U797-_xlpm.piso)/(_xlpm.corte-_xlpm.piso)))),_xlpm.orden,{"DIAMANTE";"PLATINO";"ORO";"PLATA";"BRONCE";"CERRADO"},_xlpm.act,IFERROR(MATCH(V797,_xlpm.orden,0),6),_xlpm.ant,IFERROR(MATCH(W797,_xlpm.orden,0),6),_xlpm.ajmov,IF(_xlpm.act&lt;_xlpm.ant,0.08,IF(_xlpm.act&gt;_xlpm.ant,-0.08,0)),_xlpm.ajcli,IF(T797&lt;0.95,-0.06,0),_xlpm.prob,MAX(0,MIN(1,_xlpm.prog+_xlpm.ajmov+_xlpm.ajcli)),IF(OR(V797="DIAMANTE",V797="CERRADO"),0,ROUND(_xlpm.prob,2)))</f>
        <v>0.31</v>
      </c>
      <c r="AK797" t="str">
        <f t="shared" si="300"/>
        <v>Faltan 16,0 puntos base para subir a la siguiente categoría</v>
      </c>
      <c r="AL797" t="str">
        <f t="shared" si="301"/>
        <v>Margen de seguridad: 7,2 puntos</v>
      </c>
      <c r="AM797">
        <f t="shared" si="302"/>
        <v>0.68</v>
      </c>
      <c r="AN797" t="str">
        <f t="shared" si="303"/>
        <v>PRIORIDAD MEDIA – seguimiento del asesor</v>
      </c>
      <c r="AO797">
        <f t="shared" si="304"/>
        <v>25.858982966449837</v>
      </c>
      <c r="AP797">
        <f t="shared" si="305"/>
        <v>1.3780186144563285</v>
      </c>
      <c r="AQ797">
        <f t="shared" si="306"/>
        <v>0</v>
      </c>
      <c r="AR797">
        <f t="shared" si="307"/>
        <v>2.1999999999999993</v>
      </c>
      <c r="AS797">
        <f t="shared" si="308"/>
        <v>0</v>
      </c>
      <c r="AT797" t="str">
        <f t="shared" si="309"/>
        <v>VENTAS</v>
      </c>
      <c r="AU797">
        <f t="shared" si="310"/>
        <v>25.858982966449837</v>
      </c>
      <c r="AV797" t="str">
        <f t="shared" si="311"/>
        <v>Mayor retorno probable: VENTAS (+25,9 puntos finales potenciales).</v>
      </c>
    </row>
    <row r="798" spans="1:48" x14ac:dyDescent="0.3">
      <c r="A798" s="5">
        <v>51024109</v>
      </c>
      <c r="B798" s="5" t="str">
        <f>IFERROR(VLOOKUP(A798,VENTAS!$A$2:$B$1194,2,0),"")</f>
        <v>MONTENEGRO</v>
      </c>
      <c r="C798" s="5">
        <f>IFERROR(INDEX(VENTAS!$C$2:$E$1194,MATCH(A798,VENTAS!$A$2:$A$1194,0),MATCH(PARAMS_MODELO!$B$2,{"Q1","Q2","Q3"},0)),0)</f>
        <v>39197763.899999999</v>
      </c>
      <c r="D798" s="5">
        <f>IFERROR(INDEX(VENTAS!$F$2:$H$1194,MATCH(A798,VENTAS!$A$2:$A$1194,0),MATCH(PARAMS_MODELO!$B$2,{"Q1","Q2","Q3"},0)),0)</f>
        <v>46612334</v>
      </c>
      <c r="E798" s="8">
        <f t="shared" si="288"/>
        <v>0.18915798663708983</v>
      </c>
      <c r="F798" s="12">
        <f>IF(E798&lt;=PARAMS_MODELO!$B$15,0,IF(E798&gt;=PARAMS_MODELO!$B$17,100,100*MIN(1,(E798-PARAMS_MODELO!$B$15)/(PARAMS_MODELO!$B$16-PARAMS_MODELO!$B$15))))*PARAMS_MODELO!$B$7</f>
        <v>35</v>
      </c>
      <c r="G798" s="5">
        <f t="shared" si="289"/>
        <v>7414570.1000000015</v>
      </c>
      <c r="H798" s="5">
        <f>(PARAMS_MODELO!$B$20*(MAX(0,MIN(3,E798))/3)+PARAMS_MODELO!$B$21*(IFERROR(LN(1+MAX(0,G798))/LN(1+MAX(0,MAX($G$2:$G$1194))),0)))*100*PARAMS_MODELO!$B$8</f>
        <v>4.3702374793113492</v>
      </c>
      <c r="I798" s="8">
        <f>E798-PARAMS_MODELO!$B$5</f>
        <v>1.1595151261563297E-2</v>
      </c>
      <c r="J798" s="5">
        <f>IF(I798&lt;=PARAMS_MODELO!$B$18,0,IF(I798&gt;=PARAMS_MODELO!$B$19,100,100*(I798-PARAMS_MODELO!$B$18)/(PARAMS_MODELO!$B$19-PARAMS_MODELO!$B$18)))*PARAMS_MODELO!$B$9</f>
        <v>9.2392726892344932</v>
      </c>
      <c r="K798" s="5">
        <f>IFERROR(CHOOSE(MATCH(PARAMS_MODELO!$B$2,{"Q1","Q2","Q3"},0),LOTO!$D798,LOTO!$F798,LOTO!$H798),0)</f>
        <v>2117500</v>
      </c>
      <c r="L798" s="8">
        <f t="shared" si="290"/>
        <v>4.5427890394846994E-2</v>
      </c>
      <c r="M798" s="5">
        <f>MIN(100,IF(PARAMS_MODELO!$B$23=0,0,100*L798/PARAMS_MODELO!$B$23))*PARAMS_MODELO!$B$10</f>
        <v>13.628367118454097</v>
      </c>
      <c r="N798" s="5">
        <f>IFERROR(VLOOKUP(A798,COMPLIANCE!$A$2:$F$1996,6,0),100)</f>
        <v>99.98</v>
      </c>
      <c r="O798" s="5">
        <f>N798*PARAMS_MODELO!$B$11</f>
        <v>9.9980000000000011</v>
      </c>
      <c r="P798" s="5">
        <f>IFERROR(VLOOKUP(A798,DIGITAL!$A$2:$J$2000,7,0),100)</f>
        <v>10</v>
      </c>
      <c r="Q798" s="5">
        <f>IFERROR(P798,0)*PARAMS_MODELO!$B$12</f>
        <v>1</v>
      </c>
      <c r="R798">
        <f t="shared" si="291"/>
        <v>73.235877286999937</v>
      </c>
      <c r="S798" s="5" t="str">
        <f>IFERROR(VLOOKUP(A798,CLIENTE!$A$2:$N$2000,13,0),1)</f>
        <v>Regular</v>
      </c>
      <c r="T798" s="5">
        <f>IFERROR(VLOOKUP(A798,CLIENTE!$A$2:$N$2000,14,0),1)</f>
        <v>1</v>
      </c>
      <c r="U798" s="5">
        <f t="shared" si="292"/>
        <v>73.235877286999937</v>
      </c>
      <c r="V798" s="5" t="str">
        <f>IF(U798&gt;=MAX(_xlfn.PERCENTILE.INC($U$2:$U$1194,PARAMS_MODELO!$B$50),PARAMS_MODELO!$B$45),"DIAMANTE",IF(U798&gt;=MAX(_xlfn.PERCENTILE.INC($U$2:$U$1194,PARAMS_MODELO!$B$51),PARAMS_MODELO!$B$46),"PLATINO",IF(U798&gt;=MAX(_xlfn.PERCENTILE.INC($U$2:$U$1194,PARAMS_MODELO!$B$52),PARAMS_MODELO!$B$47),"ORO",IF(U798&gt;=MAX(_xlfn.PERCENTILE.INC($U$2:$U$1194,PARAMS_MODELO!$B$53),PARAMS_MODELO!$B$48),"PLATA",IF(U798&gt;=1,"BRONCE","CERRADO")))))</f>
        <v>ORO</v>
      </c>
      <c r="W798" s="5" t="str" cm="1">
        <f t="array" ref="W798">_xlfn.XLOOKUP(1, (HIST_SCORE!$B:$B=PARAMS_MODELO!$B$4) * (HIST_SCORE!$C:$C=A798), HIST_SCORE!$E:$E, "No encontrado")</f>
        <v>ORO</v>
      </c>
      <c r="X798" s="5" t="str">
        <f>_xlfn.LET(_xlpm.act,MATCH(V798,{"DIAMANTE";"PLATINO";"ORO";"PLATA";"BRONCE";"CERRADO"},0),_xlpm.ant,MATCH(W798,{"DIAMANTE";"PLATINO";"ORO";"PLATA";"BRONCE";"CERRADO"},0),IF(_xlpm.act&lt;_xlpm.ant,"Mejora ↑",IF(_xlpm.act&gt;_xlpm.ant,"Baja ↓","Estable →")))</f>
        <v>Estable →</v>
      </c>
      <c r="Y798" s="5">
        <f>IFERROR(U798-SUMIFS(HIST_SCORE!$D:$D,HIST_SCORE!$B:$B,PARAMS_MODELO!$B$4,HIST_SCORE!$C:$C,$A798),"")</f>
        <v>-3.6063093504221087</v>
      </c>
      <c r="Z798" s="5" t="str">
        <f t="shared" si="293"/>
        <v>→ Estable</v>
      </c>
      <c r="AA798" s="5">
        <f t="shared" si="294"/>
        <v>487</v>
      </c>
      <c r="AB798" s="5">
        <f>IFERROR(SUMIFS(HIST_SCORE!$F:$F,HIST_SCORE!$B:$B,PARAMS_MODELO!$B$4,HIST_SCORE!$C:$C,$A798),"")</f>
        <v>470</v>
      </c>
      <c r="AC798" s="5">
        <f t="shared" si="295"/>
        <v>-17</v>
      </c>
      <c r="AD798" t="str">
        <f t="shared" si="297"/>
        <v>Sostener base y reforzar mix</v>
      </c>
      <c r="AE7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798="CERRADO",1,IF(V798="BRONCE",_xlpm.cPl,IF(V798="PLATA",_xlpm.cO,IF(V798="ORO",_xlpm.cP,IF(V798="PLATINO",_xlpm.cD,999))))))</f>
        <v>86.439123873763251</v>
      </c>
      <c r="AF7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798="CERRADO",0,IF(V798="BRONCE",1,IF(V798="PLATA",_xlpm.cPl,IF(V798="ORO",_xlpm.cO,IF(V798="PLATINO",_xlpm.cP,_xlpm.cD))))))</f>
        <v>63.199193273331495</v>
      </c>
      <c r="AG798">
        <f t="shared" si="298"/>
        <v>13.203246586763314</v>
      </c>
      <c r="AH798" t="str">
        <f t="shared" si="299"/>
        <v>VENTAS</v>
      </c>
      <c r="AI798" t="str">
        <f t="shared" si="296"/>
        <v>🎯 Para subir de categoría, eje VENTAS / IMPACTO ABSOLUTO (H). Acción: metas semanales + activación comercial + seguimiento del asesor. ΔR aprox: 13,2</v>
      </c>
      <c r="AJ798" s="26">
        <f>_xlfn.LET(_xlpm.piso,AF798,_xlpm.corte,AE798,_xlpm.prog,IF(_xlpm.corte&lt;=_xlpm.piso,0,MAX(0,MIN(1,(U798-_xlpm.piso)/(_xlpm.corte-_xlpm.piso)))),_xlpm.orden,{"DIAMANTE";"PLATINO";"ORO";"PLATA";"BRONCE";"CERRADO"},_xlpm.act,IFERROR(MATCH(V798,_xlpm.orden,0),6),_xlpm.ant,IFERROR(MATCH(W798,_xlpm.orden,0),6),_xlpm.ajmov,IF(_xlpm.act&lt;_xlpm.ant,0.08,IF(_xlpm.act&gt;_xlpm.ant,-0.08,0)),_xlpm.ajcli,IF(T798&lt;0.95,-0.06,0),_xlpm.prob,MAX(0,MIN(1,_xlpm.prog+_xlpm.ajmov+_xlpm.ajcli)),IF(OR(V798="DIAMANTE",V798="CERRADO"),0,ROUND(_xlpm.prob,2)))</f>
        <v>0.43</v>
      </c>
      <c r="AK798" t="str">
        <f t="shared" si="300"/>
        <v>Faltan 13,2 puntos base para subir a la siguiente categoría</v>
      </c>
      <c r="AL798" t="str">
        <f t="shared" si="301"/>
        <v>Margen de seguridad: 10,0 puntos</v>
      </c>
      <c r="AM798">
        <f t="shared" si="302"/>
        <v>0.63</v>
      </c>
      <c r="AN798" t="str">
        <f t="shared" si="303"/>
        <v>PRIORIDAD MEDIA – seguimiento del asesor</v>
      </c>
      <c r="AO798">
        <f t="shared" si="304"/>
        <v>16.253059106749745</v>
      </c>
      <c r="AP798">
        <f t="shared" si="305"/>
        <v>1.3716328815459029</v>
      </c>
      <c r="AQ798">
        <f t="shared" si="306"/>
        <v>1.9999999999988916E-3</v>
      </c>
      <c r="AR798">
        <f t="shared" si="307"/>
        <v>9</v>
      </c>
      <c r="AS798">
        <f t="shared" si="308"/>
        <v>0</v>
      </c>
      <c r="AT798" t="str">
        <f t="shared" si="309"/>
        <v>VENTAS</v>
      </c>
      <c r="AU798">
        <f t="shared" si="310"/>
        <v>16.253059106749745</v>
      </c>
      <c r="AV798" t="str">
        <f t="shared" si="311"/>
        <v>Mayor retorno probable: VENTAS (+16,3 puntos finales potenciales).</v>
      </c>
    </row>
    <row r="799" spans="1:48" x14ac:dyDescent="0.3">
      <c r="A799" s="5">
        <v>51056159</v>
      </c>
      <c r="B799" s="5" t="str">
        <f>IFERROR(VLOOKUP(A799,VENTAS!$A$2:$B$1194,2,0),"")</f>
        <v>MONTENEGRO</v>
      </c>
      <c r="C799" s="5">
        <f>IFERROR(INDEX(VENTAS!$C$2:$E$1194,MATCH(A799,VENTAS!$A$2:$A$1194,0),MATCH(PARAMS_MODELO!$B$2,{"Q1","Q2","Q3"},0)),0)</f>
        <v>35045202.990000002</v>
      </c>
      <c r="D799" s="5">
        <f>IFERROR(INDEX(VENTAS!$F$2:$H$1194,MATCH(A799,VENTAS!$A$2:$A$1194,0),MATCH(PARAMS_MODELO!$B$2,{"Q1","Q2","Q3"},0)),0)</f>
        <v>46605415</v>
      </c>
      <c r="E799" s="8">
        <f t="shared" si="288"/>
        <v>0.32986574548587022</v>
      </c>
      <c r="F799" s="12">
        <f>IF(E799&lt;=PARAMS_MODELO!$B$15,0,IF(E799&gt;=PARAMS_MODELO!$B$17,100,100*MIN(1,(E799-PARAMS_MODELO!$B$15)/(PARAMS_MODELO!$B$16-PARAMS_MODELO!$B$15))))*PARAMS_MODELO!$B$7</f>
        <v>35</v>
      </c>
      <c r="G799" s="5">
        <f t="shared" si="289"/>
        <v>11560212.009999998</v>
      </c>
      <c r="H799" s="5">
        <f>(PARAMS_MODELO!$B$20*(MAX(0,MIN(3,E799))/3)+PARAMS_MODELO!$B$21*(IFERROR(LN(1+MAX(0,G799))/LN(1+MAX(0,MAX($G$2:$G$1194))),0)))*100*PARAMS_MODELO!$B$8</f>
        <v>4.9668230693331461</v>
      </c>
      <c r="I799" s="8">
        <f>E799-PARAMS_MODELO!$B$5</f>
        <v>0.15230291011034369</v>
      </c>
      <c r="J799" s="5">
        <f>IF(I799&lt;=PARAMS_MODELO!$B$18,0,IF(I799&gt;=PARAMS_MODELO!$B$19,100,100*(I799-PARAMS_MODELO!$B$18)/(PARAMS_MODELO!$B$19-PARAMS_MODELO!$B$18)))*PARAMS_MODELO!$B$9</f>
        <v>15</v>
      </c>
      <c r="K799" s="5">
        <f>IFERROR(CHOOSE(MATCH(PARAMS_MODELO!$B$2,{"Q1","Q2","Q3"},0),LOTO!$D799,LOTO!$F799,LOTO!$H799),0)</f>
        <v>2100000</v>
      </c>
      <c r="L799" s="8">
        <f t="shared" si="290"/>
        <v>4.5059141732779334E-2</v>
      </c>
      <c r="M799" s="5">
        <f>MIN(100,IF(PARAMS_MODELO!$B$23=0,0,100*L799/PARAMS_MODELO!$B$23))*PARAMS_MODELO!$B$10</f>
        <v>13.517742519833799</v>
      </c>
      <c r="N799" s="5">
        <f>IFERROR(VLOOKUP(A799,COMPLIANCE!$A$2:$F$1996,6,0),100)</f>
        <v>99.98</v>
      </c>
      <c r="O799" s="5">
        <f>N799*PARAMS_MODELO!$B$11</f>
        <v>9.9980000000000011</v>
      </c>
      <c r="P799" s="5">
        <f>IFERROR(VLOOKUP(A799,DIGITAL!$A$2:$J$2000,7,0),100)</f>
        <v>95</v>
      </c>
      <c r="Q799" s="5">
        <f>IFERROR(P799,0)*PARAMS_MODELO!$B$12</f>
        <v>9.5</v>
      </c>
      <c r="R799">
        <f t="shared" si="291"/>
        <v>87.982565589166953</v>
      </c>
      <c r="S799" s="5" t="str">
        <f>IFERROR(VLOOKUP(A799,CLIENTE!$A$2:$N$2000,13,0),1)</f>
        <v>Bueno</v>
      </c>
      <c r="T799" s="5">
        <f>IFERROR(VLOOKUP(A799,CLIENTE!$A$2:$N$2000,14,0),1)</f>
        <v>1.1000000000000001</v>
      </c>
      <c r="U799" s="5">
        <f t="shared" si="292"/>
        <v>96.780822148083658</v>
      </c>
      <c r="V799" s="5" t="str">
        <f>IF(U799&gt;=MAX(_xlfn.PERCENTILE.INC($U$2:$U$1194,PARAMS_MODELO!$B$50),PARAMS_MODELO!$B$45),"DIAMANTE",IF(U799&gt;=MAX(_xlfn.PERCENTILE.INC($U$2:$U$1194,PARAMS_MODELO!$B$51),PARAMS_MODELO!$B$46),"PLATINO",IF(U799&gt;=MAX(_xlfn.PERCENTILE.INC($U$2:$U$1194,PARAMS_MODELO!$B$52),PARAMS_MODELO!$B$47),"ORO",IF(U799&gt;=MAX(_xlfn.PERCENTILE.INC($U$2:$U$1194,PARAMS_MODELO!$B$53),PARAMS_MODELO!$B$48),"PLATA",IF(U799&gt;=1,"BRONCE","CERRADO")))))</f>
        <v>DIAMANTE</v>
      </c>
      <c r="W799" s="5" t="str" cm="1">
        <f t="array" ref="W799">_xlfn.XLOOKUP(1, (HIST_SCORE!$B:$B=PARAMS_MODELO!$B$4) * (HIST_SCORE!$C:$C=A799), HIST_SCORE!$E:$E, "No encontrado")</f>
        <v>DIAMANTE</v>
      </c>
      <c r="X799" s="5" t="str">
        <f>_xlfn.LET(_xlpm.act,MATCH(V799,{"DIAMANTE";"PLATINO";"ORO";"PLATA";"BRONCE";"CERRADO"},0),_xlpm.ant,MATCH(W799,{"DIAMANTE";"PLATINO";"ORO";"PLATA";"BRONCE";"CERRADO"},0),IF(_xlpm.act&lt;_xlpm.ant,"Mejora ↑",IF(_xlpm.act&gt;_xlpm.ant,"Baja ↓","Estable →")))</f>
        <v>Estable →</v>
      </c>
      <c r="Y799" s="5">
        <f>IFERROR(U799-SUMIFS(HIST_SCORE!$D:$D,HIST_SCORE!$B:$B,PARAMS_MODELO!$B$4,HIST_SCORE!$C:$C,$A799),"")</f>
        <v>0.28811744284162444</v>
      </c>
      <c r="Z799" s="5" t="str">
        <f t="shared" si="293"/>
        <v>→ Estable</v>
      </c>
      <c r="AA799" s="5">
        <f t="shared" si="294"/>
        <v>49</v>
      </c>
      <c r="AB799" s="5">
        <f>IFERROR(SUMIFS(HIST_SCORE!$F:$F,HIST_SCORE!$B:$B,PARAMS_MODELO!$B$4,HIST_SCORE!$C:$C,$A799),"")</f>
        <v>48</v>
      </c>
      <c r="AC799" s="5">
        <f t="shared" si="295"/>
        <v>-1</v>
      </c>
      <c r="AD799" t="str">
        <f t="shared" si="297"/>
        <v/>
      </c>
      <c r="AE7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799="CERRADO",1,IF(V799="BRONCE",_xlpm.cPl,IF(V799="PLATA",_xlpm.cO,IF(V799="ORO",_xlpm.cP,IF(V799="PLATINO",_xlpm.cD,999))))))</f>
        <v>999</v>
      </c>
      <c r="AF7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799="CERRADO",0,IF(V799="BRONCE",1,IF(V799="PLATA",_xlpm.cPl,IF(V799="ORO",_xlpm.cO,IF(V799="PLATINO",_xlpm.cP,_xlpm.cD))))))</f>
        <v>96.054919694466676</v>
      </c>
      <c r="AG799">
        <f t="shared" si="298"/>
        <v>820.19925259265119</v>
      </c>
      <c r="AH799" t="str">
        <f t="shared" si="299"/>
        <v>SOSTENER</v>
      </c>
      <c r="AI799" t="str">
        <f t="shared" si="296"/>
        <v>✅ Mantener desempeño y monitorear variaciones para sostener categoría.</v>
      </c>
      <c r="AJ799" s="26">
        <f>_xlfn.LET(_xlpm.piso,AF799,_xlpm.corte,AE799,_xlpm.prog,IF(_xlpm.corte&lt;=_xlpm.piso,0,MAX(0,MIN(1,(U799-_xlpm.piso)/(_xlpm.corte-_xlpm.piso)))),_xlpm.orden,{"DIAMANTE";"PLATINO";"ORO";"PLATA";"BRONCE";"CERRADO"},_xlpm.act,IFERROR(MATCH(V799,_xlpm.orden,0),6),_xlpm.ant,IFERROR(MATCH(W799,_xlpm.orden,0),6),_xlpm.ajmov,IF(_xlpm.act&lt;_xlpm.ant,0.08,IF(_xlpm.act&gt;_xlpm.ant,-0.08,0)),_xlpm.ajcli,IF(T799&lt;0.95,-0.06,0),_xlpm.prob,MAX(0,MIN(1,_xlpm.prog+_xlpm.ajmov+_xlpm.ajcli)),IF(OR(V799="DIAMANTE",V799="CERRADO"),0,ROUND(_xlpm.prob,2)))</f>
        <v>0</v>
      </c>
      <c r="AK799" t="str">
        <f t="shared" si="300"/>
        <v>No aplica</v>
      </c>
      <c r="AL799" t="str">
        <f t="shared" si="301"/>
        <v>Margen de seguridad: 0,7 puntos</v>
      </c>
      <c r="AM799">
        <f t="shared" si="302"/>
        <v>0.8</v>
      </c>
      <c r="AN799" t="str">
        <f t="shared" si="303"/>
        <v>PRIORIDAD ALTA – requiere intervención inmediata</v>
      </c>
      <c r="AO799">
        <f t="shared" si="304"/>
        <v>10.885320826558683</v>
      </c>
      <c r="AP799">
        <f t="shared" si="305"/>
        <v>1.630483228182821</v>
      </c>
      <c r="AQ799">
        <f t="shared" si="306"/>
        <v>2.1999999999987811E-3</v>
      </c>
      <c r="AR799">
        <f t="shared" si="307"/>
        <v>0.55000000000000004</v>
      </c>
      <c r="AS799">
        <f t="shared" si="308"/>
        <v>0</v>
      </c>
      <c r="AT799" t="str">
        <f t="shared" si="309"/>
        <v>VENTAS</v>
      </c>
      <c r="AU799">
        <f t="shared" si="310"/>
        <v>10.885320826558683</v>
      </c>
      <c r="AV799" t="str">
        <f t="shared" si="311"/>
        <v>Mayor retorno probable: VENTAS (+10,9 puntos finales potenciales).</v>
      </c>
    </row>
    <row r="800" spans="1:48" x14ac:dyDescent="0.3">
      <c r="A800" s="5">
        <v>51036981</v>
      </c>
      <c r="B800" s="5" t="str">
        <f>IFERROR(VLOOKUP(A800,VENTAS!$A$2:$B$1194,2,0),"")</f>
        <v>CICHETTO</v>
      </c>
      <c r="C800" s="5">
        <f>IFERROR(INDEX(VENTAS!$C$2:$E$1194,MATCH(A800,VENTAS!$A$2:$A$1194,0),MATCH(PARAMS_MODELO!$B$2,{"Q1","Q2","Q3"},0)),0)</f>
        <v>33250653.789999999</v>
      </c>
      <c r="D800" s="5">
        <f>IFERROR(INDEX(VENTAS!$F$2:$H$1194,MATCH(A800,VENTAS!$A$2:$A$1194,0),MATCH(PARAMS_MODELO!$B$2,{"Q1","Q2","Q3"},0)),0)</f>
        <v>46542955</v>
      </c>
      <c r="E800" s="8">
        <f t="shared" si="288"/>
        <v>0.39976059700809885</v>
      </c>
      <c r="F800" s="12">
        <f>IF(E800&lt;=PARAMS_MODELO!$B$15,0,IF(E800&gt;=PARAMS_MODELO!$B$17,100,100*MIN(1,(E800-PARAMS_MODELO!$B$15)/(PARAMS_MODELO!$B$16-PARAMS_MODELO!$B$15))))*PARAMS_MODELO!$B$7</f>
        <v>35</v>
      </c>
      <c r="G800" s="5">
        <f t="shared" si="289"/>
        <v>13292301.210000001</v>
      </c>
      <c r="H800" s="5">
        <f>(PARAMS_MODELO!$B$20*(MAX(0,MIN(3,E800))/3)+PARAMS_MODELO!$B$21*(IFERROR(LN(1+MAX(0,G800))/LN(1+MAX(0,MAX($G$2:$G$1194))),0)))*100*PARAMS_MODELO!$B$8</f>
        <v>5.2441829415926406</v>
      </c>
      <c r="I800" s="8">
        <f>E800-PARAMS_MODELO!$B$5</f>
        <v>0.22219776163257232</v>
      </c>
      <c r="J800" s="5">
        <f>IF(I800&lt;=PARAMS_MODELO!$B$18,0,IF(I800&gt;=PARAMS_MODELO!$B$19,100,100*(I800-PARAMS_MODELO!$B$18)/(PARAMS_MODELO!$B$19-PARAMS_MODELO!$B$18)))*PARAMS_MODELO!$B$9</f>
        <v>15</v>
      </c>
      <c r="K800" s="5">
        <f>IFERROR(CHOOSE(MATCH(PARAMS_MODELO!$B$2,{"Q1","Q2","Q3"},0),LOTO!$D800,LOTO!$F800,LOTO!$H800),0)</f>
        <v>2090000</v>
      </c>
      <c r="L800" s="8">
        <f t="shared" si="290"/>
        <v>4.4904755187976354E-2</v>
      </c>
      <c r="M800" s="5">
        <f>MIN(100,IF(PARAMS_MODELO!$B$23=0,0,100*L800/PARAMS_MODELO!$B$23))*PARAMS_MODELO!$B$10</f>
        <v>13.471426556392904</v>
      </c>
      <c r="N800" s="5">
        <f>IFERROR(VLOOKUP(A800,COMPLIANCE!$A$2:$F$1996,6,0),100)</f>
        <v>100</v>
      </c>
      <c r="O800" s="5">
        <f>N800*PARAMS_MODELO!$B$11</f>
        <v>10</v>
      </c>
      <c r="P800" s="5">
        <f>IFERROR(VLOOKUP(A800,DIGITAL!$A$2:$J$2000,7,0),100)</f>
        <v>38</v>
      </c>
      <c r="Q800" s="5">
        <f>IFERROR(P800,0)*PARAMS_MODELO!$B$12</f>
        <v>3.8000000000000003</v>
      </c>
      <c r="R800">
        <f t="shared" si="291"/>
        <v>82.515609497985537</v>
      </c>
      <c r="S800" s="5" t="str">
        <f>IFERROR(VLOOKUP(A800,CLIENTE!$A$2:$N$2000,13,0),1)</f>
        <v>Malo</v>
      </c>
      <c r="T800" s="5">
        <f>IFERROR(VLOOKUP(A800,CLIENTE!$A$2:$N$2000,14,0),1)</f>
        <v>0.7</v>
      </c>
      <c r="U800" s="5">
        <f t="shared" si="292"/>
        <v>57.760926648589873</v>
      </c>
      <c r="V800" s="5" t="str">
        <f>IF(U800&gt;=MAX(_xlfn.PERCENTILE.INC($U$2:$U$1194,PARAMS_MODELO!$B$50),PARAMS_MODELO!$B$45),"DIAMANTE",IF(U800&gt;=MAX(_xlfn.PERCENTILE.INC($U$2:$U$1194,PARAMS_MODELO!$B$51),PARAMS_MODELO!$B$46),"PLATINO",IF(U800&gt;=MAX(_xlfn.PERCENTILE.INC($U$2:$U$1194,PARAMS_MODELO!$B$52),PARAMS_MODELO!$B$47),"ORO",IF(U800&gt;=MAX(_xlfn.PERCENTILE.INC($U$2:$U$1194,PARAMS_MODELO!$B$53),PARAMS_MODELO!$B$48),"PLATA",IF(U800&gt;=1,"BRONCE","CERRADO")))))</f>
        <v>PLATA</v>
      </c>
      <c r="W800" s="5" t="str" cm="1">
        <f t="array" ref="W800">_xlfn.XLOOKUP(1, (HIST_SCORE!$B:$B=PARAMS_MODELO!$B$4) * (HIST_SCORE!$C:$C=A800), HIST_SCORE!$E:$E, "No encontrado")</f>
        <v>PLATA</v>
      </c>
      <c r="X800" s="5" t="str">
        <f>_xlfn.LET(_xlpm.act,MATCH(V800,{"DIAMANTE";"PLATINO";"ORO";"PLATA";"BRONCE";"CERRADO"},0),_xlpm.ant,MATCH(W800,{"DIAMANTE";"PLATINO";"ORO";"PLATA";"BRONCE";"CERRADO"},0),IF(_xlpm.act&lt;_xlpm.ant,"Mejora ↑",IF(_xlpm.act&gt;_xlpm.ant,"Baja ↓","Estable →")))</f>
        <v>Estable →</v>
      </c>
      <c r="Y800" s="5">
        <f>IFERROR(U800-SUMIFS(HIST_SCORE!$D:$D,HIST_SCORE!$B:$B,PARAMS_MODELO!$B$4,HIST_SCORE!$C:$C,$A800),"")</f>
        <v>1.1517988049378687</v>
      </c>
      <c r="Z800" s="5" t="str">
        <f t="shared" si="293"/>
        <v>→ Estable</v>
      </c>
      <c r="AA800" s="5">
        <f t="shared" si="294"/>
        <v>670</v>
      </c>
      <c r="AB800" s="5">
        <f>IFERROR(SUMIFS(HIST_SCORE!$F:$F,HIST_SCORE!$B:$B,PARAMS_MODELO!$B$4,HIST_SCORE!$C:$C,$A800),"")</f>
        <v>718</v>
      </c>
      <c r="AC800" s="5">
        <f t="shared" si="295"/>
        <v>48</v>
      </c>
      <c r="AD800" t="str">
        <f t="shared" si="297"/>
        <v/>
      </c>
      <c r="AE8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800="CERRADO",1,IF(V800="BRONCE",_xlpm.cPl,IF(V800="PLATA",_xlpm.cO,IF(V800="ORO",_xlpm.cP,IF(V800="PLATINO",_xlpm.cD,999))))))</f>
        <v>63.199193273331495</v>
      </c>
      <c r="AF8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800="CERRADO",0,IF(V800="BRONCE",1,IF(V800="PLATA",_xlpm.cPl,IF(V800="ORO",_xlpm.cO,IF(V800="PLATINO",_xlpm.cP,_xlpm.cD))))))</f>
        <v>24.506573482968111</v>
      </c>
      <c r="AG800">
        <f t="shared" si="298"/>
        <v>7.7689523210594587</v>
      </c>
      <c r="AH800" t="str">
        <f t="shared" si="299"/>
        <v>CLIENTE</v>
      </c>
      <c r="AI800" t="str">
        <f t="shared" si="296"/>
        <v>🎯 Para subir de categoría, la eje con mayor impacto probable es CLIENTE (coef T). Acción: reducir quejas, mejorar incógnito y empujar reseñas. ΔR aprox: 7,8</v>
      </c>
      <c r="AJ800" s="26">
        <f>_xlfn.LET(_xlpm.piso,AF800,_xlpm.corte,AE800,_xlpm.prog,IF(_xlpm.corte&lt;=_xlpm.piso,0,MAX(0,MIN(1,(U800-_xlpm.piso)/(_xlpm.corte-_xlpm.piso)))),_xlpm.orden,{"DIAMANTE";"PLATINO";"ORO";"PLATA";"BRONCE";"CERRADO"},_xlpm.act,IFERROR(MATCH(V800,_xlpm.orden,0),6),_xlpm.ant,IFERROR(MATCH(W800,_xlpm.orden,0),6),_xlpm.ajmov,IF(_xlpm.act&lt;_xlpm.ant,0.08,IF(_xlpm.act&gt;_xlpm.ant,-0.08,0)),_xlpm.ajcli,IF(T800&lt;0.95,-0.06,0),_xlpm.prob,MAX(0,MIN(1,_xlpm.prog+_xlpm.ajmov+_xlpm.ajcli)),IF(OR(V800="DIAMANTE",V800="CERRADO"),0,ROUND(_xlpm.prob,2)))</f>
        <v>0.8</v>
      </c>
      <c r="AK800" t="str">
        <f t="shared" si="300"/>
        <v>Faltan 7,8 puntos base para subir a la siguiente categoría</v>
      </c>
      <c r="AL800" t="str">
        <f t="shared" si="301"/>
        <v>Margen de seguridad: 33,3 puntos</v>
      </c>
      <c r="AM800">
        <f t="shared" si="302"/>
        <v>0.59</v>
      </c>
      <c r="AN800" t="str">
        <f t="shared" si="303"/>
        <v>PRIORIDAD MEDIA – seguimiento del asesor</v>
      </c>
      <c r="AO800">
        <f t="shared" si="304"/>
        <v>6.7328704335920602</v>
      </c>
      <c r="AP800">
        <f t="shared" si="305"/>
        <v>1.0700014105249669</v>
      </c>
      <c r="AQ800">
        <f t="shared" si="306"/>
        <v>0</v>
      </c>
      <c r="AR800">
        <f t="shared" si="307"/>
        <v>4.339999999999999</v>
      </c>
      <c r="AS800">
        <f t="shared" si="308"/>
        <v>24.754682849395664</v>
      </c>
      <c r="AT800" t="str">
        <f t="shared" si="309"/>
        <v>CLIENTE</v>
      </c>
      <c r="AU800">
        <f t="shared" si="310"/>
        <v>24.754682849395664</v>
      </c>
      <c r="AV800" t="str">
        <f t="shared" si="311"/>
        <v>Mayor retorno probable: CLIENTE (+24,8 puntos finales potenciales).</v>
      </c>
    </row>
    <row r="801" spans="1:48" x14ac:dyDescent="0.3">
      <c r="A801" s="5">
        <v>51032519</v>
      </c>
      <c r="B801" s="5" t="str">
        <f>IFERROR(VLOOKUP(A801,VENTAS!$A$2:$B$1194,2,0),"")</f>
        <v>PRADES</v>
      </c>
      <c r="C801" s="5">
        <f>IFERROR(INDEX(VENTAS!$C$2:$E$1194,MATCH(A801,VENTAS!$A$2:$A$1194,0),MATCH(PARAMS_MODELO!$B$2,{"Q1","Q2","Q3"},0)),0)</f>
        <v>29858745.66</v>
      </c>
      <c r="D801" s="5">
        <f>IFERROR(INDEX(VENTAS!$F$2:$H$1194,MATCH(A801,VENTAS!$A$2:$A$1194,0),MATCH(PARAMS_MODELO!$B$2,{"Q1","Q2","Q3"},0)),0)</f>
        <v>46379652</v>
      </c>
      <c r="E801" s="8">
        <f t="shared" si="288"/>
        <v>0.55330208871205477</v>
      </c>
      <c r="F801" s="12">
        <f>IF(E801&lt;=PARAMS_MODELO!$B$15,0,IF(E801&gt;=PARAMS_MODELO!$B$17,100,100*MIN(1,(E801-PARAMS_MODELO!$B$15)/(PARAMS_MODELO!$B$16-PARAMS_MODELO!$B$15))))*PARAMS_MODELO!$B$7</f>
        <v>35</v>
      </c>
      <c r="G801" s="5">
        <f t="shared" si="289"/>
        <v>16520906.34</v>
      </c>
      <c r="H801" s="5">
        <f>(PARAMS_MODELO!$B$20*(MAX(0,MIN(3,E801))/3)+PARAMS_MODELO!$B$21*(IFERROR(LN(1+MAX(0,G801))/LN(1+MAX(0,MAX($G$2:$G$1194))),0)))*100*PARAMS_MODELO!$B$8</f>
        <v>5.8325495101338971</v>
      </c>
      <c r="I801" s="8">
        <f>E801-PARAMS_MODELO!$B$5</f>
        <v>0.37573925333652824</v>
      </c>
      <c r="J801" s="5">
        <f>IF(I801&lt;=PARAMS_MODELO!$B$18,0,IF(I801&gt;=PARAMS_MODELO!$B$19,100,100*(I801-PARAMS_MODELO!$B$18)/(PARAMS_MODELO!$B$19-PARAMS_MODELO!$B$18)))*PARAMS_MODELO!$B$9</f>
        <v>15</v>
      </c>
      <c r="K801" s="5">
        <f>IFERROR(CHOOSE(MATCH(PARAMS_MODELO!$B$2,{"Q1","Q2","Q3"},0),LOTO!$D801,LOTO!$F801,LOTO!$H801),0)</f>
        <v>2080000</v>
      </c>
      <c r="L801" s="8">
        <f t="shared" si="290"/>
        <v>4.4847253273914173E-2</v>
      </c>
      <c r="M801" s="5">
        <f>MIN(100,IF(PARAMS_MODELO!$B$23=0,0,100*L801/PARAMS_MODELO!$B$23))*PARAMS_MODELO!$B$10</f>
        <v>13.454175982174251</v>
      </c>
      <c r="N801" s="5">
        <f>IFERROR(VLOOKUP(A801,COMPLIANCE!$A$2:$F$1996,6,0),100)</f>
        <v>100</v>
      </c>
      <c r="O801" s="5">
        <f>N801*PARAMS_MODELO!$B$11</f>
        <v>10</v>
      </c>
      <c r="P801" s="5">
        <f>IFERROR(VLOOKUP(A801,DIGITAL!$A$2:$J$2000,7,0),100)</f>
        <v>66</v>
      </c>
      <c r="Q801" s="5">
        <f>IFERROR(P801,0)*PARAMS_MODELO!$B$12</f>
        <v>6.6000000000000005</v>
      </c>
      <c r="R801">
        <f t="shared" si="291"/>
        <v>85.886725492308145</v>
      </c>
      <c r="S801" s="5" t="str">
        <f>IFERROR(VLOOKUP(A801,CLIENTE!$A$2:$N$2000,13,0),1)</f>
        <v>Malo</v>
      </c>
      <c r="T801" s="5">
        <f>IFERROR(VLOOKUP(A801,CLIENTE!$A$2:$N$2000,14,0),1)</f>
        <v>0.7</v>
      </c>
      <c r="U801" s="5">
        <f t="shared" si="292"/>
        <v>60.120707844615694</v>
      </c>
      <c r="V801" s="5" t="str">
        <f>IF(U801&gt;=MAX(_xlfn.PERCENTILE.INC($U$2:$U$1194,PARAMS_MODELO!$B$50),PARAMS_MODELO!$B$45),"DIAMANTE",IF(U801&gt;=MAX(_xlfn.PERCENTILE.INC($U$2:$U$1194,PARAMS_MODELO!$B$51),PARAMS_MODELO!$B$46),"PLATINO",IF(U801&gt;=MAX(_xlfn.PERCENTILE.INC($U$2:$U$1194,PARAMS_MODELO!$B$52),PARAMS_MODELO!$B$47),"ORO",IF(U801&gt;=MAX(_xlfn.PERCENTILE.INC($U$2:$U$1194,PARAMS_MODELO!$B$53),PARAMS_MODELO!$B$48),"PLATA",IF(U801&gt;=1,"BRONCE","CERRADO")))))</f>
        <v>PLATA</v>
      </c>
      <c r="W801" s="5" t="str" cm="1">
        <f t="array" ref="W801">_xlfn.XLOOKUP(1, (HIST_SCORE!$B:$B=PARAMS_MODELO!$B$4) * (HIST_SCORE!$C:$C=A801), HIST_SCORE!$E:$E, "No encontrado")</f>
        <v>PLATA</v>
      </c>
      <c r="X801" s="5" t="str">
        <f>_xlfn.LET(_xlpm.act,MATCH(V801,{"DIAMANTE";"PLATINO";"ORO";"PLATA";"BRONCE";"CERRADO"},0),_xlpm.ant,MATCH(W801,{"DIAMANTE";"PLATINO";"ORO";"PLATA";"BRONCE";"CERRADO"},0),IF(_xlpm.act&lt;_xlpm.ant,"Mejora ↑",IF(_xlpm.act&gt;_xlpm.ant,"Baja ↓","Estable →")))</f>
        <v>Estable →</v>
      </c>
      <c r="Y801" s="5">
        <f>IFERROR(U801-SUMIFS(HIST_SCORE!$D:$D,HIST_SCORE!$B:$B,PARAMS_MODELO!$B$4,HIST_SCORE!$C:$C,$A801),"")</f>
        <v>-0.82507433569338673</v>
      </c>
      <c r="Z801" s="5" t="str">
        <f t="shared" si="293"/>
        <v>→ Estable</v>
      </c>
      <c r="AA801" s="5">
        <f t="shared" si="294"/>
        <v>618</v>
      </c>
      <c r="AB801" s="5">
        <f>IFERROR(SUMIFS(HIST_SCORE!$F:$F,HIST_SCORE!$B:$B,PARAMS_MODELO!$B$4,HIST_SCORE!$C:$C,$A801),"")</f>
        <v>633</v>
      </c>
      <c r="AC801" s="5">
        <f t="shared" si="295"/>
        <v>15</v>
      </c>
      <c r="AD801" t="str">
        <f t="shared" si="297"/>
        <v/>
      </c>
      <c r="AE8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801="CERRADO",1,IF(V801="BRONCE",_xlpm.cPl,IF(V801="PLATA",_xlpm.cO,IF(V801="ORO",_xlpm.cP,IF(V801="PLATINO",_xlpm.cD,999))))))</f>
        <v>63.199193273331495</v>
      </c>
      <c r="AF8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801="CERRADO",0,IF(V801="BRONCE",1,IF(V801="PLATA",_xlpm.cPl,IF(V801="ORO",_xlpm.cO,IF(V801="PLATINO",_xlpm.cP,_xlpm.cD))))))</f>
        <v>24.506573482968111</v>
      </c>
      <c r="AG801">
        <f t="shared" si="298"/>
        <v>4.3978363267368508</v>
      </c>
      <c r="AH801" t="str">
        <f t="shared" si="299"/>
        <v>CLIENTE</v>
      </c>
      <c r="AI801" t="str">
        <f t="shared" si="296"/>
        <v>🎯 Para subir de categoría, la eje con mayor impacto probable es CLIENTE (coef T). Acción: reducir quejas, mejorar incógnito y empujar reseñas. ΔR aprox: 4,4</v>
      </c>
      <c r="AJ801" s="26">
        <f>_xlfn.LET(_xlpm.piso,AF801,_xlpm.corte,AE801,_xlpm.prog,IF(_xlpm.corte&lt;=_xlpm.piso,0,MAX(0,MIN(1,(U801-_xlpm.piso)/(_xlpm.corte-_xlpm.piso)))),_xlpm.orden,{"DIAMANTE";"PLATINO";"ORO";"PLATA";"BRONCE";"CERRADO"},_xlpm.act,IFERROR(MATCH(V801,_xlpm.orden,0),6),_xlpm.ant,IFERROR(MATCH(W801,_xlpm.orden,0),6),_xlpm.ajmov,IF(_xlpm.act&lt;_xlpm.ant,0.08,IF(_xlpm.act&gt;_xlpm.ant,-0.08,0)),_xlpm.ajcli,IF(T801&lt;0.95,-0.06,0),_xlpm.prob,MAX(0,MIN(1,_xlpm.prog+_xlpm.ajmov+_xlpm.ajcli)),IF(OR(V801="DIAMANTE",V801="CERRADO"),0,ROUND(_xlpm.prob,2)))</f>
        <v>0.86</v>
      </c>
      <c r="AK801" t="str">
        <f t="shared" si="300"/>
        <v>Faltan 4,4 puntos base para subir a la siguiente categoría</v>
      </c>
      <c r="AL801" t="str">
        <f t="shared" si="301"/>
        <v>Margen de seguridad: 35,6 puntos</v>
      </c>
      <c r="AM801">
        <f t="shared" si="302"/>
        <v>0.43</v>
      </c>
      <c r="AN801" t="str">
        <f t="shared" si="303"/>
        <v>PRIORIDAD MEDIA – seguimiento del asesor</v>
      </c>
      <c r="AO801">
        <f t="shared" si="304"/>
        <v>6.3210138356131829</v>
      </c>
      <c r="AP801">
        <f t="shared" si="305"/>
        <v>1.0820768124780245</v>
      </c>
      <c r="AQ801">
        <f t="shared" si="306"/>
        <v>0</v>
      </c>
      <c r="AR801">
        <f t="shared" si="307"/>
        <v>2.3799999999999994</v>
      </c>
      <c r="AS801">
        <f t="shared" si="308"/>
        <v>25.766017647692447</v>
      </c>
      <c r="AT801" t="str">
        <f t="shared" si="309"/>
        <v>CLIENTE</v>
      </c>
      <c r="AU801">
        <f t="shared" si="310"/>
        <v>25.766017647692447</v>
      </c>
      <c r="AV801" t="str">
        <f t="shared" si="311"/>
        <v>Mayor retorno probable: CLIENTE (+25,8 puntos finales potenciales).</v>
      </c>
    </row>
    <row r="802" spans="1:48" x14ac:dyDescent="0.3">
      <c r="A802" s="5">
        <v>51055519</v>
      </c>
      <c r="B802" s="5" t="str">
        <f>IFERROR(VLOOKUP(A802,VENTAS!$A$2:$B$1194,2,0),"")</f>
        <v>PRADES</v>
      </c>
      <c r="C802" s="5">
        <f>IFERROR(INDEX(VENTAS!$C$2:$E$1194,MATCH(A802,VENTAS!$A$2:$A$1194,0),MATCH(PARAMS_MODELO!$B$2,{"Q1","Q2","Q3"},0)),0)</f>
        <v>45656726.140000008</v>
      </c>
      <c r="D802" s="5">
        <f>IFERROR(INDEX(VENTAS!$F$2:$H$1194,MATCH(A802,VENTAS!$A$2:$A$1194,0),MATCH(PARAMS_MODELO!$B$2,{"Q1","Q2","Q3"},0)),0)</f>
        <v>46365030</v>
      </c>
      <c r="E802" s="8">
        <f t="shared" si="288"/>
        <v>1.5513680455932821E-2</v>
      </c>
      <c r="F802" s="12">
        <f>IF(E802&lt;=PARAMS_MODELO!$B$15,0,IF(E802&gt;=PARAMS_MODELO!$B$17,100,100*MIN(1,(E802-PARAMS_MODELO!$B$15)/(PARAMS_MODELO!$B$16-PARAMS_MODELO!$B$15))))*PARAMS_MODELO!$B$7</f>
        <v>5.4297881595764874</v>
      </c>
      <c r="G802" s="5">
        <f t="shared" si="289"/>
        <v>708303.85999999195</v>
      </c>
      <c r="H802" s="5">
        <f>(PARAMS_MODELO!$B$20*(MAX(0,MIN(3,E802))/3)+PARAMS_MODELO!$B$21*(IFERROR(LN(1+MAX(0,G802))/LN(1+MAX(0,MAX($G$2:$G$1194))),0)))*100*PARAMS_MODELO!$B$8</f>
        <v>3.2120015832155961</v>
      </c>
      <c r="I802" s="8">
        <f>E802-PARAMS_MODELO!$B$5</f>
        <v>-0.16204915491959371</v>
      </c>
      <c r="J802" s="5">
        <f>IF(I802&lt;=PARAMS_MODELO!$B$18,0,IF(I802&gt;=PARAMS_MODELO!$B$19,100,100*(I802-PARAMS_MODELO!$B$18)/(PARAMS_MODELO!$B$19-PARAMS_MODELO!$B$18)))*PARAMS_MODELO!$B$9</f>
        <v>0</v>
      </c>
      <c r="K802" s="5">
        <f>IFERROR(CHOOSE(MATCH(PARAMS_MODELO!$B$2,{"Q1","Q2","Q3"},0),LOTO!$D802,LOTO!$F802,LOTO!$H802),0)</f>
        <v>2077500</v>
      </c>
      <c r="L802" s="8">
        <f t="shared" si="290"/>
        <v>4.480747666937776E-2</v>
      </c>
      <c r="M802" s="5">
        <f>MIN(100,IF(PARAMS_MODELO!$B$23=0,0,100*L802/PARAMS_MODELO!$B$23))*PARAMS_MODELO!$B$10</f>
        <v>13.442243000813326</v>
      </c>
      <c r="N802" s="5">
        <f>IFERROR(VLOOKUP(A802,COMPLIANCE!$A$2:$F$1996,6,0),100)</f>
        <v>100</v>
      </c>
      <c r="O802" s="5">
        <f>N802*PARAMS_MODELO!$B$11</f>
        <v>10</v>
      </c>
      <c r="P802" s="5">
        <f>IFERROR(VLOOKUP(A802,DIGITAL!$A$2:$J$2000,7,0),100)</f>
        <v>6</v>
      </c>
      <c r="Q802" s="5">
        <f>IFERROR(P802,0)*PARAMS_MODELO!$B$12</f>
        <v>0.60000000000000009</v>
      </c>
      <c r="R802">
        <f t="shared" si="291"/>
        <v>32.684032743605407</v>
      </c>
      <c r="S802" s="5" t="str">
        <f>IFERROR(VLOOKUP(A802,CLIENTE!$A$2:$N$2000,13,0),1)</f>
        <v>Malo</v>
      </c>
      <c r="T802" s="5">
        <f>IFERROR(VLOOKUP(A802,CLIENTE!$A$2:$N$2000,14,0),1)</f>
        <v>0.7</v>
      </c>
      <c r="U802" s="5">
        <f t="shared" si="292"/>
        <v>22.878822920523785</v>
      </c>
      <c r="V802" s="5" t="str">
        <f>IF(U802&gt;=MAX(_xlfn.PERCENTILE.INC($U$2:$U$1194,PARAMS_MODELO!$B$50),PARAMS_MODELO!$B$45),"DIAMANTE",IF(U802&gt;=MAX(_xlfn.PERCENTILE.INC($U$2:$U$1194,PARAMS_MODELO!$B$51),PARAMS_MODELO!$B$46),"PLATINO",IF(U802&gt;=MAX(_xlfn.PERCENTILE.INC($U$2:$U$1194,PARAMS_MODELO!$B$52),PARAMS_MODELO!$B$47),"ORO",IF(U802&gt;=MAX(_xlfn.PERCENTILE.INC($U$2:$U$1194,PARAMS_MODELO!$B$53),PARAMS_MODELO!$B$48),"PLATA",IF(U802&gt;=1,"BRONCE","CERRADO")))))</f>
        <v>BRONCE</v>
      </c>
      <c r="W802" s="5" t="str" cm="1">
        <f t="array" ref="W802">_xlfn.XLOOKUP(1, (HIST_SCORE!$B:$B=PARAMS_MODELO!$B$4) * (HIST_SCORE!$C:$C=A802), HIST_SCORE!$E:$E, "No encontrado")</f>
        <v>PLATA</v>
      </c>
      <c r="X802" s="5" t="str">
        <f>_xlfn.LET(_xlpm.act,MATCH(V802,{"DIAMANTE";"PLATINO";"ORO";"PLATA";"BRONCE";"CERRADO"},0),_xlpm.ant,MATCH(W802,{"DIAMANTE";"PLATINO";"ORO";"PLATA";"BRONCE";"CERRADO"},0),IF(_xlpm.act&lt;_xlpm.ant,"Mejora ↑",IF(_xlpm.act&gt;_xlpm.ant,"Baja ↓","Estable →")))</f>
        <v>Baja ↓</v>
      </c>
      <c r="Y802" s="5">
        <f>IFERROR(U802-SUMIFS(HIST_SCORE!$D:$D,HIST_SCORE!$B:$B,PARAMS_MODELO!$B$4,HIST_SCORE!$C:$C,$A802),"")</f>
        <v>-4.7705634335678795</v>
      </c>
      <c r="Z802" s="5" t="str">
        <f t="shared" si="293"/>
        <v>→ Estable</v>
      </c>
      <c r="AA802" s="5">
        <f t="shared" si="294"/>
        <v>935</v>
      </c>
      <c r="AB802" s="5">
        <f>IFERROR(SUMIFS(HIST_SCORE!$F:$F,HIST_SCORE!$B:$B,PARAMS_MODELO!$B$4,HIST_SCORE!$C:$C,$A802),"")</f>
        <v>934</v>
      </c>
      <c r="AC802" s="5">
        <f t="shared" si="295"/>
        <v>-1</v>
      </c>
      <c r="AD802" t="str">
        <f t="shared" si="297"/>
        <v>Plan de recuperación: foco crecimiento + mix</v>
      </c>
      <c r="AE8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802="CERRADO",1,IF(V802="BRONCE",_xlpm.cPl,IF(V802="PLATA",_xlpm.cO,IF(V802="ORO",_xlpm.cP,IF(V802="PLATINO",_xlpm.cD,999))))))</f>
        <v>24.506573482968111</v>
      </c>
      <c r="AF8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802="CERRADO",0,IF(V802="BRONCE",1,IF(V802="PLATA",_xlpm.cPl,IF(V802="ORO",_xlpm.cO,IF(V802="PLATINO",_xlpm.cP,_xlpm.cD))))))</f>
        <v>1</v>
      </c>
      <c r="AG802">
        <f t="shared" si="298"/>
        <v>2.3253579463490368</v>
      </c>
      <c r="AH802" t="str">
        <f t="shared" si="299"/>
        <v>CLIENTE</v>
      </c>
      <c r="AI802" t="str">
        <f t="shared" si="296"/>
        <v>🎯 Para subir de categoría, la eje con mayor impacto probable es CLIENTE (coef T). Acción: reducir quejas, mejorar incógnito y empujar reseñas. ΔR aprox: 2,3</v>
      </c>
      <c r="AJ802" s="26">
        <f>_xlfn.LET(_xlpm.piso,AF802,_xlpm.corte,AE802,_xlpm.prog,IF(_xlpm.corte&lt;=_xlpm.piso,0,MAX(0,MIN(1,(U802-_xlpm.piso)/(_xlpm.corte-_xlpm.piso)))),_xlpm.orden,{"DIAMANTE";"PLATINO";"ORO";"PLATA";"BRONCE";"CERRADO"},_xlpm.act,IFERROR(MATCH(V802,_xlpm.orden,0),6),_xlpm.ant,IFERROR(MATCH(W802,_xlpm.orden,0),6),_xlpm.ajmov,IF(_xlpm.act&lt;_xlpm.ant,0.08,IF(_xlpm.act&gt;_xlpm.ant,-0.08,0)),_xlpm.ajcli,IF(T802&lt;0.95,-0.06,0),_xlpm.prob,MAX(0,MIN(1,_xlpm.prog+_xlpm.ajmov+_xlpm.ajcli)),IF(OR(V802="DIAMANTE",V802="CERRADO"),0,ROUND(_xlpm.prob,2)))</f>
        <v>0.79</v>
      </c>
      <c r="AK802" t="str">
        <f t="shared" si="300"/>
        <v>Faltan 2,3 puntos base para subir a la siguiente categoría</v>
      </c>
      <c r="AL802" t="str">
        <f t="shared" si="301"/>
        <v>No aplica</v>
      </c>
      <c r="AM802">
        <f t="shared" si="302"/>
        <v>0.38</v>
      </c>
      <c r="AN802" t="str">
        <f t="shared" si="303"/>
        <v>PRIORIDAD BAJA – control normal</v>
      </c>
      <c r="AO802">
        <f t="shared" si="304"/>
        <v>39.354545672752444</v>
      </c>
      <c r="AP802">
        <f t="shared" si="305"/>
        <v>1.0904298994306718</v>
      </c>
      <c r="AQ802">
        <f t="shared" si="306"/>
        <v>0</v>
      </c>
      <c r="AR802">
        <f t="shared" si="307"/>
        <v>6.58</v>
      </c>
      <c r="AS802">
        <f t="shared" si="308"/>
        <v>9.8052098230816238</v>
      </c>
      <c r="AT802" t="str">
        <f t="shared" si="309"/>
        <v>VENTAS</v>
      </c>
      <c r="AU802">
        <f t="shared" si="310"/>
        <v>39.354545672752444</v>
      </c>
      <c r="AV802" t="str">
        <f t="shared" si="311"/>
        <v>Mayor retorno probable: VENTAS (+39,4 puntos finales potenciales).</v>
      </c>
    </row>
    <row r="803" spans="1:48" x14ac:dyDescent="0.3">
      <c r="A803" s="5">
        <v>51032969</v>
      </c>
      <c r="B803" s="5" t="str">
        <f>IFERROR(VLOOKUP(A803,VENTAS!$A$2:$B$1194,2,0),"")</f>
        <v>MONTENEGRO</v>
      </c>
      <c r="C803" s="5">
        <f>IFERROR(INDEX(VENTAS!$C$2:$E$1194,MATCH(A803,VENTAS!$A$2:$A$1194,0),MATCH(PARAMS_MODELO!$B$2,{"Q1","Q2","Q3"},0)),0)</f>
        <v>31954148.010000002</v>
      </c>
      <c r="D803" s="5">
        <f>IFERROR(INDEX(VENTAS!$F$2:$H$1194,MATCH(A803,VENTAS!$A$2:$A$1194,0),MATCH(PARAMS_MODELO!$B$2,{"Q1","Q2","Q3"},0)),0)</f>
        <v>46338273</v>
      </c>
      <c r="E803" s="8">
        <f t="shared" si="288"/>
        <v>0.45014891292042924</v>
      </c>
      <c r="F803" s="12">
        <f>IF(E803&lt;=PARAMS_MODELO!$B$15,0,IF(E803&gt;=PARAMS_MODELO!$B$17,100,100*MIN(1,(E803-PARAMS_MODELO!$B$15)/(PARAMS_MODELO!$B$16-PARAMS_MODELO!$B$15))))*PARAMS_MODELO!$B$7</f>
        <v>35</v>
      </c>
      <c r="G803" s="5">
        <f t="shared" si="289"/>
        <v>14384124.989999998</v>
      </c>
      <c r="H803" s="5">
        <f>(PARAMS_MODELO!$B$20*(MAX(0,MIN(3,E803))/3)+PARAMS_MODELO!$B$21*(IFERROR(LN(1+MAX(0,G803))/LN(1+MAX(0,MAX($G$2:$G$1194))),0)))*100*PARAMS_MODELO!$B$8</f>
        <v>5.4390467205665907</v>
      </c>
      <c r="I803" s="8">
        <f>E803-PARAMS_MODELO!$B$5</f>
        <v>0.27258607754490272</v>
      </c>
      <c r="J803" s="5">
        <f>IF(I803&lt;=PARAMS_MODELO!$B$18,0,IF(I803&gt;=PARAMS_MODELO!$B$19,100,100*(I803-PARAMS_MODELO!$B$18)/(PARAMS_MODELO!$B$19-PARAMS_MODELO!$B$18)))*PARAMS_MODELO!$B$9</f>
        <v>15</v>
      </c>
      <c r="K803" s="5">
        <f>IFERROR(CHOOSE(MATCH(PARAMS_MODELO!$B$2,{"Q1","Q2","Q3"},0),LOTO!$D803,LOTO!$F803,LOTO!$H803),0)</f>
        <v>2072500</v>
      </c>
      <c r="L803" s="8">
        <f t="shared" si="290"/>
        <v>4.4725447579800827E-2</v>
      </c>
      <c r="M803" s="5">
        <f>MIN(100,IF(PARAMS_MODELO!$B$23=0,0,100*L803/PARAMS_MODELO!$B$23))*PARAMS_MODELO!$B$10</f>
        <v>13.417634273940246</v>
      </c>
      <c r="N803" s="5">
        <f>IFERROR(VLOOKUP(A803,COMPLIANCE!$A$2:$F$1996,6,0),100)</f>
        <v>100</v>
      </c>
      <c r="O803" s="5">
        <f>N803*PARAMS_MODELO!$B$11</f>
        <v>10</v>
      </c>
      <c r="P803" s="5">
        <f>IFERROR(VLOOKUP(A803,DIGITAL!$A$2:$J$2000,7,0),100)</f>
        <v>12</v>
      </c>
      <c r="Q803" s="5">
        <f>IFERROR(P803,0)*PARAMS_MODELO!$B$12</f>
        <v>1.2000000000000002</v>
      </c>
      <c r="R803">
        <f t="shared" si="291"/>
        <v>80.056680994506848</v>
      </c>
      <c r="S803" s="5" t="str">
        <f>IFERROR(VLOOKUP(A803,CLIENTE!$A$2:$N$2000,13,0),1)</f>
        <v>Malo</v>
      </c>
      <c r="T803" s="5">
        <f>IFERROR(VLOOKUP(A803,CLIENTE!$A$2:$N$2000,14,0),1)</f>
        <v>0.7</v>
      </c>
      <c r="U803" s="5">
        <f t="shared" si="292"/>
        <v>56.039676696154793</v>
      </c>
      <c r="V803" s="5" t="str">
        <f>IF(U803&gt;=MAX(_xlfn.PERCENTILE.INC($U$2:$U$1194,PARAMS_MODELO!$B$50),PARAMS_MODELO!$B$45),"DIAMANTE",IF(U803&gt;=MAX(_xlfn.PERCENTILE.INC($U$2:$U$1194,PARAMS_MODELO!$B$51),PARAMS_MODELO!$B$46),"PLATINO",IF(U803&gt;=MAX(_xlfn.PERCENTILE.INC($U$2:$U$1194,PARAMS_MODELO!$B$52),PARAMS_MODELO!$B$47),"ORO",IF(U803&gt;=MAX(_xlfn.PERCENTILE.INC($U$2:$U$1194,PARAMS_MODELO!$B$53),PARAMS_MODELO!$B$48),"PLATA",IF(U803&gt;=1,"BRONCE","CERRADO")))))</f>
        <v>PLATA</v>
      </c>
      <c r="W803" s="5" t="str" cm="1">
        <f t="array" ref="W803">_xlfn.XLOOKUP(1, (HIST_SCORE!$B:$B=PARAMS_MODELO!$B$4) * (HIST_SCORE!$C:$C=A803), HIST_SCORE!$E:$E, "No encontrado")</f>
        <v>PLATA</v>
      </c>
      <c r="X803" s="5" t="str">
        <f>_xlfn.LET(_xlpm.act,MATCH(V803,{"DIAMANTE";"PLATINO";"ORO";"PLATA";"BRONCE";"CERRADO"},0),_xlpm.ant,MATCH(W803,{"DIAMANTE";"PLATINO";"ORO";"PLATA";"BRONCE";"CERRADO"},0),IF(_xlpm.act&lt;_xlpm.ant,"Mejora ↑",IF(_xlpm.act&gt;_xlpm.ant,"Baja ↓","Estable →")))</f>
        <v>Estable →</v>
      </c>
      <c r="Y803" s="5">
        <f>IFERROR(U803-SUMIFS(HIST_SCORE!$D:$D,HIST_SCORE!$B:$B,PARAMS_MODELO!$B$4,HIST_SCORE!$C:$C,$A803),"")</f>
        <v>0.77140036911965382</v>
      </c>
      <c r="Z803" s="5" t="str">
        <f t="shared" si="293"/>
        <v>→ Estable</v>
      </c>
      <c r="AA803" s="5">
        <f t="shared" si="294"/>
        <v>702</v>
      </c>
      <c r="AB803" s="5">
        <f>IFERROR(SUMIFS(HIST_SCORE!$F:$F,HIST_SCORE!$B:$B,PARAMS_MODELO!$B$4,HIST_SCORE!$C:$C,$A803),"")</f>
        <v>731</v>
      </c>
      <c r="AC803" s="5">
        <f t="shared" si="295"/>
        <v>29</v>
      </c>
      <c r="AD803" t="str">
        <f t="shared" si="297"/>
        <v/>
      </c>
      <c r="AE8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803="CERRADO",1,IF(V803="BRONCE",_xlpm.cPl,IF(V803="PLATA",_xlpm.cO,IF(V803="ORO",_xlpm.cP,IF(V803="PLATINO",_xlpm.cD,999))))))</f>
        <v>63.199193273331495</v>
      </c>
      <c r="AF8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803="CERRADO",0,IF(V803="BRONCE",1,IF(V803="PLATA",_xlpm.cPl,IF(V803="ORO",_xlpm.cO,IF(V803="PLATINO",_xlpm.cP,_xlpm.cD))))))</f>
        <v>24.506573482968111</v>
      </c>
      <c r="AG803">
        <f t="shared" si="298"/>
        <v>10.227880824538147</v>
      </c>
      <c r="AH803" t="str">
        <f t="shared" si="299"/>
        <v>CLIENTE</v>
      </c>
      <c r="AI803" t="str">
        <f t="shared" si="296"/>
        <v>🎯 Para subir de categoría, la eje con mayor impacto probable es CLIENTE (coef T). Acción: reducir quejas, mejorar incógnito y empujar reseñas. ΔR aprox: 10,2</v>
      </c>
      <c r="AJ803" s="26">
        <f>_xlfn.LET(_xlpm.piso,AF803,_xlpm.corte,AE803,_xlpm.prog,IF(_xlpm.corte&lt;=_xlpm.piso,0,MAX(0,MIN(1,(U803-_xlpm.piso)/(_xlpm.corte-_xlpm.piso)))),_xlpm.orden,{"DIAMANTE";"PLATINO";"ORO";"PLATA";"BRONCE";"CERRADO"},_xlpm.act,IFERROR(MATCH(V803,_xlpm.orden,0),6),_xlpm.ant,IFERROR(MATCH(W803,_xlpm.orden,0),6),_xlpm.ajmov,IF(_xlpm.act&lt;_xlpm.ant,0.08,IF(_xlpm.act&gt;_xlpm.ant,-0.08,0)),_xlpm.ajcli,IF(T803&lt;0.95,-0.06,0),_xlpm.prob,MAX(0,MIN(1,_xlpm.prog+_xlpm.ajmov+_xlpm.ajcli)),IF(OR(V803="DIAMANTE",V803="CERRADO"),0,ROUND(_xlpm.prob,2)))</f>
        <v>0.75</v>
      </c>
      <c r="AK803" t="str">
        <f t="shared" si="300"/>
        <v>Faltan 10,2 puntos base para subir a la siguiente categoría</v>
      </c>
      <c r="AL803" t="str">
        <f t="shared" si="301"/>
        <v>Margen de seguridad: 31,5 puntos</v>
      </c>
      <c r="AM803">
        <f t="shared" si="302"/>
        <v>0.7</v>
      </c>
      <c r="AN803" t="str">
        <f t="shared" si="303"/>
        <v>PRIORIDAD ALTA – requiere intervención inmediata</v>
      </c>
      <c r="AO803">
        <f t="shared" si="304"/>
        <v>6.5964657883102928</v>
      </c>
      <c r="AP803">
        <f t="shared" si="305"/>
        <v>1.1076560082418276</v>
      </c>
      <c r="AQ803">
        <f t="shared" si="306"/>
        <v>0</v>
      </c>
      <c r="AR803">
        <f t="shared" si="307"/>
        <v>6.16</v>
      </c>
      <c r="AS803">
        <f t="shared" si="308"/>
        <v>24.01700429835206</v>
      </c>
      <c r="AT803" t="str">
        <f t="shared" si="309"/>
        <v>CLIENTE</v>
      </c>
      <c r="AU803">
        <f t="shared" si="310"/>
        <v>24.01700429835206</v>
      </c>
      <c r="AV803" t="str">
        <f t="shared" si="311"/>
        <v>Mayor retorno probable: CLIENTE (+24,0 puntos finales potenciales).</v>
      </c>
    </row>
    <row r="804" spans="1:48" x14ac:dyDescent="0.3">
      <c r="A804" s="5">
        <v>51017587</v>
      </c>
      <c r="B804" s="5" t="str">
        <f>IFERROR(VLOOKUP(A804,VENTAS!$A$2:$B$1194,2,0),"")</f>
        <v>PUGH</v>
      </c>
      <c r="C804" s="5">
        <f>IFERROR(INDEX(VENTAS!$C$2:$E$1194,MATCH(A804,VENTAS!$A$2:$A$1194,0),MATCH(PARAMS_MODELO!$B$2,{"Q1","Q2","Q3"},0)),0)</f>
        <v>39288696.399999999</v>
      </c>
      <c r="D804" s="5">
        <f>IFERROR(INDEX(VENTAS!$F$2:$H$1194,MATCH(A804,VENTAS!$A$2:$A$1194,0),MATCH(PARAMS_MODELO!$B$2,{"Q1","Q2","Q3"},0)),0)</f>
        <v>46207311</v>
      </c>
      <c r="E804" s="8">
        <f t="shared" si="288"/>
        <v>0.17609682259653692</v>
      </c>
      <c r="F804" s="12">
        <f>IF(E804&lt;=PARAMS_MODELO!$B$15,0,IF(E804&gt;=PARAMS_MODELO!$B$17,100,100*MIN(1,(E804-PARAMS_MODELO!$B$15)/(PARAMS_MODELO!$B$16-PARAMS_MODELO!$B$15))))*PARAMS_MODELO!$B$7</f>
        <v>35</v>
      </c>
      <c r="G804" s="5">
        <f t="shared" si="289"/>
        <v>6918614.6000000015</v>
      </c>
      <c r="H804" s="5">
        <f>(PARAMS_MODELO!$B$20*(MAX(0,MIN(3,E804))/3)+PARAMS_MODELO!$B$21*(IFERROR(LN(1+MAX(0,G804))/LN(1+MAX(0,MAX($G$2:$G$1194))),0)))*100*PARAMS_MODELO!$B$8</f>
        <v>4.3082945891394848</v>
      </c>
      <c r="I804" s="8">
        <f>E804-PARAMS_MODELO!$B$5</f>
        <v>-1.4660127789896116E-3</v>
      </c>
      <c r="J804" s="5">
        <f>IF(I804&lt;=PARAMS_MODELO!$B$18,0,IF(I804&gt;=PARAMS_MODELO!$B$19,100,100*(I804-PARAMS_MODELO!$B$18)/(PARAMS_MODELO!$B$19-PARAMS_MODELO!$B$18)))*PARAMS_MODELO!$B$9</f>
        <v>7.2800980831515574</v>
      </c>
      <c r="K804" s="5">
        <f>IFERROR(CHOOSE(MATCH(PARAMS_MODELO!$B$2,{"Q1","Q2","Q3"},0),LOTO!$D804,LOTO!$F804,LOTO!$H804),0)</f>
        <v>2065000</v>
      </c>
      <c r="L804" s="8">
        <f t="shared" si="290"/>
        <v>4.4689897665761161E-2</v>
      </c>
      <c r="M804" s="5">
        <f>MIN(100,IF(PARAMS_MODELO!$B$23=0,0,100*L804/PARAMS_MODELO!$B$23))*PARAMS_MODELO!$B$10</f>
        <v>13.406969299728347</v>
      </c>
      <c r="N804" s="5">
        <f>IFERROR(VLOOKUP(A804,COMPLIANCE!$A$2:$F$1996,6,0),100)</f>
        <v>99.98</v>
      </c>
      <c r="O804" s="5">
        <f>N804*PARAMS_MODELO!$B$11</f>
        <v>9.9980000000000011</v>
      </c>
      <c r="P804" s="5">
        <f>IFERROR(VLOOKUP(A804,DIGITAL!$A$2:$J$2000,7,0),100)</f>
        <v>21</v>
      </c>
      <c r="Q804" s="5">
        <f>IFERROR(P804,0)*PARAMS_MODELO!$B$12</f>
        <v>2.1</v>
      </c>
      <c r="R804">
        <f t="shared" si="291"/>
        <v>72.09336197201938</v>
      </c>
      <c r="S804" s="5" t="str">
        <f>IFERROR(VLOOKUP(A804,CLIENTE!$A$2:$N$2000,13,0),1)</f>
        <v>Muy Bueno</v>
      </c>
      <c r="T804" s="5">
        <f>IFERROR(VLOOKUP(A804,CLIENTE!$A$2:$N$2000,14,0),1)</f>
        <v>1.1499999999999999</v>
      </c>
      <c r="U804" s="5">
        <f t="shared" si="292"/>
        <v>82.907366267822283</v>
      </c>
      <c r="V804" s="5" t="str">
        <f>IF(U804&gt;=MAX(_xlfn.PERCENTILE.INC($U$2:$U$1194,PARAMS_MODELO!$B$50),PARAMS_MODELO!$B$45),"DIAMANTE",IF(U804&gt;=MAX(_xlfn.PERCENTILE.INC($U$2:$U$1194,PARAMS_MODELO!$B$51),PARAMS_MODELO!$B$46),"PLATINO",IF(U804&gt;=MAX(_xlfn.PERCENTILE.INC($U$2:$U$1194,PARAMS_MODELO!$B$52),PARAMS_MODELO!$B$47),"ORO",IF(U804&gt;=MAX(_xlfn.PERCENTILE.INC($U$2:$U$1194,PARAMS_MODELO!$B$53),PARAMS_MODELO!$B$48),"PLATA",IF(U804&gt;=1,"BRONCE","CERRADO")))))</f>
        <v>ORO</v>
      </c>
      <c r="W804" s="5" t="str" cm="1">
        <f t="array" ref="W804">_xlfn.XLOOKUP(1, (HIST_SCORE!$B:$B=PARAMS_MODELO!$B$4) * (HIST_SCORE!$C:$C=A804), HIST_SCORE!$E:$E, "No encontrado")</f>
        <v>ORO</v>
      </c>
      <c r="X804" s="5" t="str">
        <f>_xlfn.LET(_xlpm.act,MATCH(V804,{"DIAMANTE";"PLATINO";"ORO";"PLATA";"BRONCE";"CERRADO"},0),_xlpm.ant,MATCH(W804,{"DIAMANTE";"PLATINO";"ORO";"PLATA";"BRONCE";"CERRADO"},0),IF(_xlpm.act&lt;_xlpm.ant,"Mejora ↑",IF(_xlpm.act&gt;_xlpm.ant,"Baja ↓","Estable →")))</f>
        <v>Estable →</v>
      </c>
      <c r="Y804" s="5">
        <f>IFERROR(U804-SUMIFS(HIST_SCORE!$D:$D,HIST_SCORE!$B:$B,PARAMS_MODELO!$B$4,HIST_SCORE!$C:$C,$A804),"")</f>
        <v>9.1976851397600399</v>
      </c>
      <c r="Z804" s="5" t="str">
        <f t="shared" si="293"/>
        <v>↑ Mejora</v>
      </c>
      <c r="AA804" s="5">
        <f t="shared" si="294"/>
        <v>358</v>
      </c>
      <c r="AB804" s="5">
        <f>IFERROR(SUMIFS(HIST_SCORE!$F:$F,HIST_SCORE!$B:$B,PARAMS_MODELO!$B$4,HIST_SCORE!$C:$C,$A804),"")</f>
        <v>503</v>
      </c>
      <c r="AC804" s="5">
        <f t="shared" si="295"/>
        <v>145</v>
      </c>
      <c r="AD804" t="str">
        <f t="shared" si="297"/>
        <v/>
      </c>
      <c r="AE8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804="CERRADO",1,IF(V804="BRONCE",_xlpm.cPl,IF(V804="PLATA",_xlpm.cO,IF(V804="ORO",_xlpm.cP,IF(V804="PLATINO",_xlpm.cD,999))))))</f>
        <v>86.439123873763251</v>
      </c>
      <c r="AF8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804="CERRADO",0,IF(V804="BRONCE",1,IF(V804="PLATA",_xlpm.cPl,IF(V804="ORO",_xlpm.cO,IF(V804="PLATINO",_xlpm.cP,_xlpm.cD))))))</f>
        <v>63.199193273331495</v>
      </c>
      <c r="AG804">
        <f t="shared" si="298"/>
        <v>3.0710935703834537</v>
      </c>
      <c r="AH804" t="str">
        <f t="shared" si="299"/>
        <v>VENTAS</v>
      </c>
      <c r="AI804" t="str">
        <f t="shared" si="296"/>
        <v>🎯 Para subir de categoría, eje VENTAS / IMPACTO ABSOLUTO (H). Acción: metas semanales + activación comercial + seguimiento del asesor. ΔR aprox: 3,1</v>
      </c>
      <c r="AJ804" s="26">
        <f>_xlfn.LET(_xlpm.piso,AF804,_xlpm.corte,AE804,_xlpm.prog,IF(_xlpm.corte&lt;=_xlpm.piso,0,MAX(0,MIN(1,(U804-_xlpm.piso)/(_xlpm.corte-_xlpm.piso)))),_xlpm.orden,{"DIAMANTE";"PLATINO";"ORO";"PLATA";"BRONCE";"CERRADO"},_xlpm.act,IFERROR(MATCH(V804,_xlpm.orden,0),6),_xlpm.ant,IFERROR(MATCH(W804,_xlpm.orden,0),6),_xlpm.ajmov,IF(_xlpm.act&lt;_xlpm.ant,0.08,IF(_xlpm.act&gt;_xlpm.ant,-0.08,0)),_xlpm.ajcli,IF(T804&lt;0.95,-0.06,0),_xlpm.prob,MAX(0,MIN(1,_xlpm.prog+_xlpm.ajmov+_xlpm.ajcli)),IF(OR(V804="DIAMANTE",V804="CERRADO"),0,ROUND(_xlpm.prob,2)))</f>
        <v>0.85</v>
      </c>
      <c r="AK804" t="str">
        <f t="shared" si="300"/>
        <v>Faltan 3,1 puntos base para subir a la siguiente categoría</v>
      </c>
      <c r="AL804" t="str">
        <f t="shared" si="301"/>
        <v>Margen de seguridad: 19,7 puntos</v>
      </c>
      <c r="AM804">
        <f t="shared" si="302"/>
        <v>0.18</v>
      </c>
      <c r="AN804" t="str">
        <f t="shared" si="303"/>
        <v>PRIORIDAD BAJA – control normal</v>
      </c>
      <c r="AO804">
        <f t="shared" si="304"/>
        <v>21.01530309345522</v>
      </c>
      <c r="AP804">
        <f t="shared" si="305"/>
        <v>1.8319853053124007</v>
      </c>
      <c r="AQ804">
        <f t="shared" si="306"/>
        <v>2.2999999999987249E-3</v>
      </c>
      <c r="AR804">
        <f t="shared" si="307"/>
        <v>9.0849999999999991</v>
      </c>
      <c r="AS804">
        <f t="shared" si="308"/>
        <v>0</v>
      </c>
      <c r="AT804" t="str">
        <f t="shared" si="309"/>
        <v>VENTAS</v>
      </c>
      <c r="AU804">
        <f t="shared" si="310"/>
        <v>21.01530309345522</v>
      </c>
      <c r="AV804" t="str">
        <f t="shared" si="311"/>
        <v>Mayor retorno probable: VENTAS (+21,0 puntos finales potenciales).</v>
      </c>
    </row>
    <row r="805" spans="1:48" x14ac:dyDescent="0.3">
      <c r="A805" s="5">
        <v>51018214</v>
      </c>
      <c r="B805" s="5" t="str">
        <f>IFERROR(VLOOKUP(A805,VENTAS!$A$2:$B$1194,2,0),"")</f>
        <v>ROBERTS</v>
      </c>
      <c r="C805" s="5">
        <f>IFERROR(INDEX(VENTAS!$C$2:$E$1194,MATCH(A805,VENTAS!$A$2:$A$1194,0),MATCH(PARAMS_MODELO!$B$2,{"Q1","Q2","Q3"},0)),0)</f>
        <v>40213779.350000001</v>
      </c>
      <c r="D805" s="5">
        <f>IFERROR(INDEX(VENTAS!$F$2:$H$1194,MATCH(A805,VENTAS!$A$2:$A$1194,0),MATCH(PARAMS_MODELO!$B$2,{"Q1","Q2","Q3"},0)),0)</f>
        <v>45878190</v>
      </c>
      <c r="E805" s="8">
        <f t="shared" si="288"/>
        <v>0.14085745586605758</v>
      </c>
      <c r="F805" s="12">
        <f>IF(E805&lt;=PARAMS_MODELO!$B$15,0,IF(E805&gt;=PARAMS_MODELO!$B$17,100,100*MIN(1,(E805-PARAMS_MODELO!$B$15)/(PARAMS_MODELO!$B$16-PARAMS_MODELO!$B$15))))*PARAMS_MODELO!$B$7</f>
        <v>35</v>
      </c>
      <c r="G805" s="5">
        <f t="shared" si="289"/>
        <v>5664410.6499999985</v>
      </c>
      <c r="H805" s="5">
        <f>(PARAMS_MODELO!$B$20*(MAX(0,MIN(3,E805))/3)+PARAMS_MODELO!$B$21*(IFERROR(LN(1+MAX(0,G805))/LN(1+MAX(0,MAX($G$2:$G$1194))),0)))*100*PARAMS_MODELO!$B$8</f>
        <v>4.1380710458237573</v>
      </c>
      <c r="I805" s="8">
        <f>E805-PARAMS_MODELO!$B$5</f>
        <v>-3.6705379509468949E-2</v>
      </c>
      <c r="J805" s="5">
        <f>IF(I805&lt;=PARAMS_MODELO!$B$18,0,IF(I805&gt;=PARAMS_MODELO!$B$19,100,100*(I805-PARAMS_MODELO!$B$18)/(PARAMS_MODELO!$B$19-PARAMS_MODELO!$B$18)))*PARAMS_MODELO!$B$9</f>
        <v>1.9941930735796578</v>
      </c>
      <c r="K805" s="5">
        <f>IFERROR(CHOOSE(MATCH(PARAMS_MODELO!$B$2,{"Q1","Q2","Q3"},0),LOTO!$D805,LOTO!$F805,LOTO!$H805),0)</f>
        <v>2065000</v>
      </c>
      <c r="L805" s="8">
        <f t="shared" si="290"/>
        <v>4.5010494093162788E-2</v>
      </c>
      <c r="M805" s="5">
        <f>MIN(100,IF(PARAMS_MODELO!$B$23=0,0,100*L805/PARAMS_MODELO!$B$23))*PARAMS_MODELO!$B$10</f>
        <v>13.503148227948834</v>
      </c>
      <c r="N805" s="5">
        <f>IFERROR(VLOOKUP(A805,COMPLIANCE!$A$2:$F$1996,6,0),100)</f>
        <v>99.7</v>
      </c>
      <c r="O805" s="5">
        <f>N805*PARAMS_MODELO!$B$11</f>
        <v>9.9700000000000006</v>
      </c>
      <c r="P805" s="5">
        <f>IFERROR(VLOOKUP(A805,DIGITAL!$A$2:$J$2000,7,0),100)</f>
        <v>33</v>
      </c>
      <c r="Q805" s="5">
        <f>IFERROR(P805,0)*PARAMS_MODELO!$B$12</f>
        <v>3.3000000000000003</v>
      </c>
      <c r="R805">
        <f t="shared" si="291"/>
        <v>67.905412347352254</v>
      </c>
      <c r="S805" s="5" t="str">
        <f>IFERROR(VLOOKUP(A805,CLIENTE!$A$2:$N$2000,13,0),1)</f>
        <v>Regular</v>
      </c>
      <c r="T805" s="5">
        <f>IFERROR(VLOOKUP(A805,CLIENTE!$A$2:$N$2000,14,0),1)</f>
        <v>1</v>
      </c>
      <c r="U805" s="5">
        <f t="shared" si="292"/>
        <v>67.905412347352254</v>
      </c>
      <c r="V805" s="5" t="str">
        <f>IF(U805&gt;=MAX(_xlfn.PERCENTILE.INC($U$2:$U$1194,PARAMS_MODELO!$B$50),PARAMS_MODELO!$B$45),"DIAMANTE",IF(U805&gt;=MAX(_xlfn.PERCENTILE.INC($U$2:$U$1194,PARAMS_MODELO!$B$51),PARAMS_MODELO!$B$46),"PLATINO",IF(U805&gt;=MAX(_xlfn.PERCENTILE.INC($U$2:$U$1194,PARAMS_MODELO!$B$52),PARAMS_MODELO!$B$47),"ORO",IF(U805&gt;=MAX(_xlfn.PERCENTILE.INC($U$2:$U$1194,PARAMS_MODELO!$B$53),PARAMS_MODELO!$B$48),"PLATA",IF(U805&gt;=1,"BRONCE","CERRADO")))))</f>
        <v>ORO</v>
      </c>
      <c r="W805" s="5" t="str" cm="1">
        <f t="array" ref="W805">_xlfn.XLOOKUP(1, (HIST_SCORE!$B:$B=PARAMS_MODELO!$B$4) * (HIST_SCORE!$C:$C=A805), HIST_SCORE!$E:$E, "No encontrado")</f>
        <v>PLATA</v>
      </c>
      <c r="X805" s="5" t="str">
        <f>_xlfn.LET(_xlpm.act,MATCH(V805,{"DIAMANTE";"PLATINO";"ORO";"PLATA";"BRONCE";"CERRADO"},0),_xlpm.ant,MATCH(W805,{"DIAMANTE";"PLATINO";"ORO";"PLATA";"BRONCE";"CERRADO"},0),IF(_xlpm.act&lt;_xlpm.ant,"Mejora ↑",IF(_xlpm.act&gt;_xlpm.ant,"Baja ↓","Estable →")))</f>
        <v>Mejora ↑</v>
      </c>
      <c r="Y805" s="5">
        <f>IFERROR(U805-SUMIFS(HIST_SCORE!$D:$D,HIST_SCORE!$B:$B,PARAMS_MODELO!$B$4,HIST_SCORE!$C:$C,$A805),"")</f>
        <v>39.635412347352258</v>
      </c>
      <c r="Z805" s="5" t="str">
        <f t="shared" si="293"/>
        <v>↑ Mejora</v>
      </c>
      <c r="AA805" s="5">
        <f t="shared" si="294"/>
        <v>530</v>
      </c>
      <c r="AB805" s="5">
        <f>IFERROR(SUMIFS(HIST_SCORE!$F:$F,HIST_SCORE!$B:$B,PARAMS_MODELO!$B$4,HIST_SCORE!$C:$C,$A805),"")</f>
        <v>927</v>
      </c>
      <c r="AC805" s="5">
        <f t="shared" si="295"/>
        <v>397</v>
      </c>
      <c r="AD805" t="str">
        <f t="shared" si="297"/>
        <v/>
      </c>
      <c r="AE8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805="CERRADO",1,IF(V805="BRONCE",_xlpm.cPl,IF(V805="PLATA",_xlpm.cO,IF(V805="ORO",_xlpm.cP,IF(V805="PLATINO",_xlpm.cD,999))))))</f>
        <v>86.439123873763251</v>
      </c>
      <c r="AF8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805="CERRADO",0,IF(V805="BRONCE",1,IF(V805="PLATA",_xlpm.cPl,IF(V805="ORO",_xlpm.cO,IF(V805="PLATINO",_xlpm.cP,_xlpm.cD))))))</f>
        <v>63.199193273331495</v>
      </c>
      <c r="AG805">
        <f t="shared" si="298"/>
        <v>18.533711526410997</v>
      </c>
      <c r="AH805" t="str">
        <f t="shared" si="299"/>
        <v>VENTAS</v>
      </c>
      <c r="AI805" t="str">
        <f t="shared" si="296"/>
        <v>🎯 Para subir de categoría, eje VENTAS / DIFERENCIAL vs LOTBA (J). Acción: metas semanales + activación comercial + seguimiento del asesor. ΔR aprox: 18,5</v>
      </c>
      <c r="AJ805" s="26">
        <f>_xlfn.LET(_xlpm.piso,AF805,_xlpm.corte,AE805,_xlpm.prog,IF(_xlpm.corte&lt;=_xlpm.piso,0,MAX(0,MIN(1,(U805-_xlpm.piso)/(_xlpm.corte-_xlpm.piso)))),_xlpm.orden,{"DIAMANTE";"PLATINO";"ORO";"PLATA";"BRONCE";"CERRADO"},_xlpm.act,IFERROR(MATCH(V805,_xlpm.orden,0),6),_xlpm.ant,IFERROR(MATCH(W805,_xlpm.orden,0),6),_xlpm.ajmov,IF(_xlpm.act&lt;_xlpm.ant,0.08,IF(_xlpm.act&gt;_xlpm.ant,-0.08,0)),_xlpm.ajcli,IF(T805&lt;0.95,-0.06,0),_xlpm.prob,MAX(0,MIN(1,_xlpm.prog+_xlpm.ajmov+_xlpm.ajcli)),IF(OR(V805="DIAMANTE",V805="CERRADO"),0,ROUND(_xlpm.prob,2)))</f>
        <v>0.28000000000000003</v>
      </c>
      <c r="AK805" t="str">
        <f t="shared" si="300"/>
        <v>Faltan 18,5 puntos base para subir a la siguiente categoría</v>
      </c>
      <c r="AL805" t="str">
        <f t="shared" si="301"/>
        <v>Margen de seguridad: 4,7 puntos</v>
      </c>
      <c r="AM805">
        <f t="shared" si="302"/>
        <v>0.69</v>
      </c>
      <c r="AN805" t="str">
        <f t="shared" si="303"/>
        <v>PRIORIDAD MEDIA – seguimiento del asesor</v>
      </c>
      <c r="AO805">
        <f t="shared" si="304"/>
        <v>23.730305155892168</v>
      </c>
      <c r="AP805">
        <f t="shared" si="305"/>
        <v>1.4968517720511656</v>
      </c>
      <c r="AQ805">
        <f t="shared" si="306"/>
        <v>2.9999999999999361E-2</v>
      </c>
      <c r="AR805">
        <f t="shared" si="307"/>
        <v>6.6999999999999993</v>
      </c>
      <c r="AS805">
        <f t="shared" si="308"/>
        <v>0</v>
      </c>
      <c r="AT805" t="str">
        <f t="shared" si="309"/>
        <v>VENTAS</v>
      </c>
      <c r="AU805">
        <f t="shared" si="310"/>
        <v>23.730305155892168</v>
      </c>
      <c r="AV805" t="str">
        <f t="shared" si="311"/>
        <v>Mayor retorno probable: VENTAS (+23,7 puntos finales potenciales).</v>
      </c>
    </row>
    <row r="806" spans="1:48" x14ac:dyDescent="0.3">
      <c r="A806" s="5">
        <v>51016661</v>
      </c>
      <c r="B806" s="5" t="str">
        <f>IFERROR(VLOOKUP(A806,VENTAS!$A$2:$B$1194,2,0),"")</f>
        <v>MONTENEGRO</v>
      </c>
      <c r="C806" s="5">
        <f>IFERROR(INDEX(VENTAS!$C$2:$E$1194,MATCH(A806,VENTAS!$A$2:$A$1194,0),MATCH(PARAMS_MODELO!$B$2,{"Q1","Q2","Q3"},0)),0)</f>
        <v>32623276.199999999</v>
      </c>
      <c r="D806" s="5">
        <f>IFERROR(INDEX(VENTAS!$F$2:$H$1194,MATCH(A806,VENTAS!$A$2:$A$1194,0),MATCH(PARAMS_MODELO!$B$2,{"Q1","Q2","Q3"},0)),0)</f>
        <v>45850095</v>
      </c>
      <c r="E806" s="8">
        <f t="shared" si="288"/>
        <v>0.40544115553912397</v>
      </c>
      <c r="F806" s="12">
        <f>IF(E806&lt;=PARAMS_MODELO!$B$15,0,IF(E806&gt;=PARAMS_MODELO!$B$17,100,100*MIN(1,(E806-PARAMS_MODELO!$B$15)/(PARAMS_MODELO!$B$16-PARAMS_MODELO!$B$15))))*PARAMS_MODELO!$B$7</f>
        <v>35</v>
      </c>
      <c r="G806" s="5">
        <f t="shared" si="289"/>
        <v>13226818.800000001</v>
      </c>
      <c r="H806" s="5">
        <f>(PARAMS_MODELO!$B$20*(MAX(0,MIN(3,E806))/3)+PARAMS_MODELO!$B$21*(IFERROR(LN(1+MAX(0,G806))/LN(1+MAX(0,MAX($G$2:$G$1194))),0)))*100*PARAMS_MODELO!$B$8</f>
        <v>5.2629072395517609</v>
      </c>
      <c r="I806" s="8">
        <f>E806-PARAMS_MODELO!$B$5</f>
        <v>0.22787832016359744</v>
      </c>
      <c r="J806" s="5">
        <f>IF(I806&lt;=PARAMS_MODELO!$B$18,0,IF(I806&gt;=PARAMS_MODELO!$B$19,100,100*(I806-PARAMS_MODELO!$B$18)/(PARAMS_MODELO!$B$19-PARAMS_MODELO!$B$18)))*PARAMS_MODELO!$B$9</f>
        <v>15</v>
      </c>
      <c r="K806" s="5">
        <f>IFERROR(CHOOSE(MATCH(PARAMS_MODELO!$B$2,{"Q1","Q2","Q3"},0),LOTO!$D806,LOTO!$F806,LOTO!$H806),0)</f>
        <v>2062500</v>
      </c>
      <c r="L806" s="8">
        <f t="shared" si="290"/>
        <v>4.4983549107150161E-2</v>
      </c>
      <c r="M806" s="5">
        <f>MIN(100,IF(PARAMS_MODELO!$B$23=0,0,100*L806/PARAMS_MODELO!$B$23))*PARAMS_MODELO!$B$10</f>
        <v>13.495064732145048</v>
      </c>
      <c r="N806" s="5">
        <f>IFERROR(VLOOKUP(A806,COMPLIANCE!$A$2:$F$1996,6,0),100)</f>
        <v>100</v>
      </c>
      <c r="O806" s="5">
        <f>N806*PARAMS_MODELO!$B$11</f>
        <v>10</v>
      </c>
      <c r="P806" s="5">
        <f>IFERROR(VLOOKUP(A806,DIGITAL!$A$2:$J$2000,7,0),100)</f>
        <v>89</v>
      </c>
      <c r="Q806" s="5">
        <f>IFERROR(P806,0)*PARAMS_MODELO!$B$12</f>
        <v>8.9</v>
      </c>
      <c r="R806">
        <f t="shared" si="291"/>
        <v>87.65797197169681</v>
      </c>
      <c r="S806" s="5" t="str">
        <f>IFERROR(VLOOKUP(A806,CLIENTE!$A$2:$N$2000,13,0),1)</f>
        <v>Regular</v>
      </c>
      <c r="T806" s="5">
        <f>IFERROR(VLOOKUP(A806,CLIENTE!$A$2:$N$2000,14,0),1)</f>
        <v>1</v>
      </c>
      <c r="U806" s="5">
        <f t="shared" si="292"/>
        <v>87.65797197169681</v>
      </c>
      <c r="V806" s="5" t="str">
        <f>IF(U806&gt;=MAX(_xlfn.PERCENTILE.INC($U$2:$U$1194,PARAMS_MODELO!$B$50),PARAMS_MODELO!$B$45),"DIAMANTE",IF(U806&gt;=MAX(_xlfn.PERCENTILE.INC($U$2:$U$1194,PARAMS_MODELO!$B$51),PARAMS_MODELO!$B$46),"PLATINO",IF(U806&gt;=MAX(_xlfn.PERCENTILE.INC($U$2:$U$1194,PARAMS_MODELO!$B$52),PARAMS_MODELO!$B$47),"ORO",IF(U806&gt;=MAX(_xlfn.PERCENTILE.INC($U$2:$U$1194,PARAMS_MODELO!$B$53),PARAMS_MODELO!$B$48),"PLATA",IF(U806&gt;=1,"BRONCE","CERRADO")))))</f>
        <v>PLATINO</v>
      </c>
      <c r="W806" s="5" t="str" cm="1">
        <f t="array" ref="W806">_xlfn.XLOOKUP(1, (HIST_SCORE!$B:$B=PARAMS_MODELO!$B$4) * (HIST_SCORE!$C:$C=A806), HIST_SCORE!$E:$E, "No encontrado")</f>
        <v>PLATINO</v>
      </c>
      <c r="X806" s="5" t="str">
        <f>_xlfn.LET(_xlpm.act,MATCH(V806,{"DIAMANTE";"PLATINO";"ORO";"PLATA";"BRONCE";"CERRADO"},0),_xlpm.ant,MATCH(W806,{"DIAMANTE";"PLATINO";"ORO";"PLATA";"BRONCE";"CERRADO"},0),IF(_xlpm.act&lt;_xlpm.ant,"Mejora ↑",IF(_xlpm.act&gt;_xlpm.ant,"Baja ↓","Estable →")))</f>
        <v>Estable →</v>
      </c>
      <c r="Y806" s="5">
        <f>IFERROR(U806-SUMIFS(HIST_SCORE!$D:$D,HIST_SCORE!$B:$B,PARAMS_MODELO!$B$4,HIST_SCORE!$C:$C,$A806),"")</f>
        <v>1.2986792463759542</v>
      </c>
      <c r="Z806" s="5" t="str">
        <f t="shared" si="293"/>
        <v>→ Estable</v>
      </c>
      <c r="AA806" s="5">
        <f t="shared" si="294"/>
        <v>208</v>
      </c>
      <c r="AB806" s="5">
        <f>IFERROR(SUMIFS(HIST_SCORE!$F:$F,HIST_SCORE!$B:$B,PARAMS_MODELO!$B$4,HIST_SCORE!$C:$C,$A806),"")</f>
        <v>220</v>
      </c>
      <c r="AC806" s="5">
        <f t="shared" si="295"/>
        <v>12</v>
      </c>
      <c r="AD806" t="str">
        <f t="shared" si="297"/>
        <v/>
      </c>
      <c r="AE8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806="CERRADO",1,IF(V806="BRONCE",_xlpm.cPl,IF(V806="PLATA",_xlpm.cO,IF(V806="ORO",_xlpm.cP,IF(V806="PLATINO",_xlpm.cD,999))))))</f>
        <v>96.054919694466676</v>
      </c>
      <c r="AF8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806="CERRADO",0,IF(V806="BRONCE",1,IF(V806="PLATA",_xlpm.cPl,IF(V806="ORO",_xlpm.cO,IF(V806="PLATINO",_xlpm.cP,_xlpm.cD))))))</f>
        <v>86.439123873763251</v>
      </c>
      <c r="AG806">
        <f t="shared" si="298"/>
        <v>8.3969477227698661</v>
      </c>
      <c r="AH806" t="str">
        <f t="shared" si="299"/>
        <v>VENTAS</v>
      </c>
      <c r="AI806" t="str">
        <f t="shared" si="296"/>
        <v>🎯 Para subir de categoría, eje VENTAS / IMPACTO ABSOLUTO (H). Acción: metas semanales + activación comercial + seguimiento del asesor. ΔR aprox: 8,4</v>
      </c>
      <c r="AJ806" s="26">
        <f>_xlfn.LET(_xlpm.piso,AF806,_xlpm.corte,AE806,_xlpm.prog,IF(_xlpm.corte&lt;=_xlpm.piso,0,MAX(0,MIN(1,(U806-_xlpm.piso)/(_xlpm.corte-_xlpm.piso)))),_xlpm.orden,{"DIAMANTE";"PLATINO";"ORO";"PLATA";"BRONCE";"CERRADO"},_xlpm.act,IFERROR(MATCH(V806,_xlpm.orden,0),6),_xlpm.ant,IFERROR(MATCH(W806,_xlpm.orden,0),6),_xlpm.ajmov,IF(_xlpm.act&lt;_xlpm.ant,0.08,IF(_xlpm.act&gt;_xlpm.ant,-0.08,0)),_xlpm.ajcli,IF(T806&lt;0.95,-0.06,0),_xlpm.prob,MAX(0,MIN(1,_xlpm.prog+_xlpm.ajmov+_xlpm.ajcli)),IF(OR(V806="DIAMANTE",V806="CERRADO"),0,ROUND(_xlpm.prob,2)))</f>
        <v>0.13</v>
      </c>
      <c r="AK806" t="str">
        <f t="shared" si="300"/>
        <v>Faltan 8,4 puntos base para subir a la siguiente categoría</v>
      </c>
      <c r="AL806" t="str">
        <f t="shared" si="301"/>
        <v>Margen de seguridad: 1,2 puntos</v>
      </c>
      <c r="AM806">
        <f t="shared" si="302"/>
        <v>0.68</v>
      </c>
      <c r="AN806" t="str">
        <f t="shared" si="303"/>
        <v>PRIORIDAD MEDIA – seguimiento del asesor</v>
      </c>
      <c r="AO806">
        <f t="shared" si="304"/>
        <v>9.599662035743826</v>
      </c>
      <c r="AP806">
        <f t="shared" si="305"/>
        <v>1.5049352678549521</v>
      </c>
      <c r="AQ806">
        <f t="shared" si="306"/>
        <v>0</v>
      </c>
      <c r="AR806">
        <f t="shared" si="307"/>
        <v>1.0999999999999996</v>
      </c>
      <c r="AS806">
        <f t="shared" si="308"/>
        <v>0</v>
      </c>
      <c r="AT806" t="str">
        <f t="shared" si="309"/>
        <v>VENTAS</v>
      </c>
      <c r="AU806">
        <f t="shared" si="310"/>
        <v>9.599662035743826</v>
      </c>
      <c r="AV806" t="str">
        <f t="shared" si="311"/>
        <v>Mayor retorno probable: VENTAS (+9,6 puntos finales potenciales).</v>
      </c>
    </row>
    <row r="807" spans="1:48" x14ac:dyDescent="0.3">
      <c r="A807" s="5">
        <v>51002296</v>
      </c>
      <c r="B807" s="5" t="str">
        <f>IFERROR(VLOOKUP(A807,VENTAS!$A$2:$B$1194,2,0),"")</f>
        <v>LÓPEZ</v>
      </c>
      <c r="C807" s="5">
        <f>IFERROR(INDEX(VENTAS!$C$2:$E$1194,MATCH(A807,VENTAS!$A$2:$A$1194,0),MATCH(PARAMS_MODELO!$B$2,{"Q1","Q2","Q3"},0)),0)</f>
        <v>35663568.700000003</v>
      </c>
      <c r="D807" s="5">
        <f>IFERROR(INDEX(VENTAS!$F$2:$H$1194,MATCH(A807,VENTAS!$A$2:$A$1194,0),MATCH(PARAMS_MODELO!$B$2,{"Q1","Q2","Q3"},0)),0)</f>
        <v>45831562</v>
      </c>
      <c r="E807" s="8">
        <f t="shared" si="288"/>
        <v>0.28510868852000204</v>
      </c>
      <c r="F807" s="12">
        <f>IF(E807&lt;=PARAMS_MODELO!$B$15,0,IF(E807&gt;=PARAMS_MODELO!$B$17,100,100*MIN(1,(E807-PARAMS_MODELO!$B$15)/(PARAMS_MODELO!$B$16-PARAMS_MODELO!$B$15))))*PARAMS_MODELO!$B$7</f>
        <v>35</v>
      </c>
      <c r="G807" s="5">
        <f t="shared" si="289"/>
        <v>10167993.299999997</v>
      </c>
      <c r="H807" s="5">
        <f>(PARAMS_MODELO!$B$20*(MAX(0,MIN(3,E807))/3)+PARAMS_MODELO!$B$21*(IFERROR(LN(1+MAX(0,G807))/LN(1+MAX(0,MAX($G$2:$G$1194))),0)))*100*PARAMS_MODELO!$B$8</f>
        <v>4.7800923587294131</v>
      </c>
      <c r="I807" s="8">
        <f>E807-PARAMS_MODELO!$B$5</f>
        <v>0.10754585314447551</v>
      </c>
      <c r="J807" s="5">
        <f>IF(I807&lt;=PARAMS_MODELO!$B$18,0,IF(I807&gt;=PARAMS_MODELO!$B$19,100,100*(I807-PARAMS_MODELO!$B$18)/(PARAMS_MODELO!$B$19-PARAMS_MODELO!$B$18)))*PARAMS_MODELO!$B$9</f>
        <v>15</v>
      </c>
      <c r="K807" s="5">
        <f>IFERROR(CHOOSE(MATCH(PARAMS_MODELO!$B$2,{"Q1","Q2","Q3"},0),LOTO!$D807,LOTO!$F807,LOTO!$H807),0)</f>
        <v>2060000</v>
      </c>
      <c r="L807" s="8">
        <f t="shared" si="290"/>
        <v>4.4947191631827865E-2</v>
      </c>
      <c r="M807" s="5">
        <f>MIN(100,IF(PARAMS_MODELO!$B$23=0,0,100*L807/PARAMS_MODELO!$B$23))*PARAMS_MODELO!$B$10</f>
        <v>13.484157489548359</v>
      </c>
      <c r="N807" s="5">
        <f>IFERROR(VLOOKUP(A807,COMPLIANCE!$A$2:$F$1996,6,0),100)</f>
        <v>100</v>
      </c>
      <c r="O807" s="5">
        <f>N807*PARAMS_MODELO!$B$11</f>
        <v>10</v>
      </c>
      <c r="P807" s="5">
        <f>IFERROR(VLOOKUP(A807,DIGITAL!$A$2:$J$2000,7,0),100)</f>
        <v>49</v>
      </c>
      <c r="Q807" s="5">
        <f>IFERROR(P807,0)*PARAMS_MODELO!$B$12</f>
        <v>4.9000000000000004</v>
      </c>
      <c r="R807">
        <f t="shared" si="291"/>
        <v>83.164249848277777</v>
      </c>
      <c r="S807" s="5" t="str">
        <f>IFERROR(VLOOKUP(A807,CLIENTE!$A$2:$N$2000,13,0),1)</f>
        <v>Regular</v>
      </c>
      <c r="T807" s="5">
        <f>IFERROR(VLOOKUP(A807,CLIENTE!$A$2:$N$2000,14,0),1)</f>
        <v>1</v>
      </c>
      <c r="U807" s="5">
        <f t="shared" si="292"/>
        <v>83.164249848277777</v>
      </c>
      <c r="V807" s="5" t="str">
        <f>IF(U807&gt;=MAX(_xlfn.PERCENTILE.INC($U$2:$U$1194,PARAMS_MODELO!$B$50),PARAMS_MODELO!$B$45),"DIAMANTE",IF(U807&gt;=MAX(_xlfn.PERCENTILE.INC($U$2:$U$1194,PARAMS_MODELO!$B$51),PARAMS_MODELO!$B$46),"PLATINO",IF(U807&gt;=MAX(_xlfn.PERCENTILE.INC($U$2:$U$1194,PARAMS_MODELO!$B$52),PARAMS_MODELO!$B$47),"ORO",IF(U807&gt;=MAX(_xlfn.PERCENTILE.INC($U$2:$U$1194,PARAMS_MODELO!$B$53),PARAMS_MODELO!$B$48),"PLATA",IF(U807&gt;=1,"BRONCE","CERRADO")))))</f>
        <v>ORO</v>
      </c>
      <c r="W807" s="5" t="str" cm="1">
        <f t="array" ref="W807">_xlfn.XLOOKUP(1, (HIST_SCORE!$B:$B=PARAMS_MODELO!$B$4) * (HIST_SCORE!$C:$C=A807), HIST_SCORE!$E:$E, "No encontrado")</f>
        <v>ORO</v>
      </c>
      <c r="X807" s="5" t="str">
        <f>_xlfn.LET(_xlpm.act,MATCH(V807,{"DIAMANTE";"PLATINO";"ORO";"PLATA";"BRONCE";"CERRADO"},0),_xlpm.ant,MATCH(W807,{"DIAMANTE";"PLATINO";"ORO";"PLATA";"BRONCE";"CERRADO"},0),IF(_xlpm.act&lt;_xlpm.ant,"Mejora ↑",IF(_xlpm.act&gt;_xlpm.ant,"Baja ↓","Estable →")))</f>
        <v>Estable →</v>
      </c>
      <c r="Y807" s="5">
        <f>IFERROR(U807-SUMIFS(HIST_SCORE!$D:$D,HIST_SCORE!$B:$B,PARAMS_MODELO!$B$4,HIST_SCORE!$C:$C,$A807),"")</f>
        <v>10.366224436499508</v>
      </c>
      <c r="Z807" s="5" t="str">
        <f t="shared" si="293"/>
        <v>↑ Mejora</v>
      </c>
      <c r="AA807" s="5">
        <f t="shared" si="294"/>
        <v>347</v>
      </c>
      <c r="AB807" s="5">
        <f>IFERROR(SUMIFS(HIST_SCORE!$F:$F,HIST_SCORE!$B:$B,PARAMS_MODELO!$B$4,HIST_SCORE!$C:$C,$A807),"")</f>
        <v>514</v>
      </c>
      <c r="AC807" s="5">
        <f t="shared" si="295"/>
        <v>167</v>
      </c>
      <c r="AD807" t="str">
        <f t="shared" si="297"/>
        <v/>
      </c>
      <c r="AE8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807="CERRADO",1,IF(V807="BRONCE",_xlpm.cPl,IF(V807="PLATA",_xlpm.cO,IF(V807="ORO",_xlpm.cP,IF(V807="PLATINO",_xlpm.cD,999))))))</f>
        <v>86.439123873763251</v>
      </c>
      <c r="AF8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807="CERRADO",0,IF(V807="BRONCE",1,IF(V807="PLATA",_xlpm.cPl,IF(V807="ORO",_xlpm.cO,IF(V807="PLATINO",_xlpm.cP,_xlpm.cD))))))</f>
        <v>63.199193273331495</v>
      </c>
      <c r="AG807">
        <f t="shared" si="298"/>
        <v>3.2748740254854738</v>
      </c>
      <c r="AH807" t="str">
        <f t="shared" si="299"/>
        <v>VENTAS</v>
      </c>
      <c r="AI807" t="str">
        <f t="shared" si="296"/>
        <v>🎯 Para subir de categoría, eje VENTAS / IMPACTO ABSOLUTO (H). Acción: metas semanales + activación comercial + seguimiento del asesor. ΔR aprox: 3,3</v>
      </c>
      <c r="AJ807" s="26">
        <f>_xlfn.LET(_xlpm.piso,AF807,_xlpm.corte,AE807,_xlpm.prog,IF(_xlpm.corte&lt;=_xlpm.piso,0,MAX(0,MIN(1,(U807-_xlpm.piso)/(_xlpm.corte-_xlpm.piso)))),_xlpm.orden,{"DIAMANTE";"PLATINO";"ORO";"PLATA";"BRONCE";"CERRADO"},_xlpm.act,IFERROR(MATCH(V807,_xlpm.orden,0),6),_xlpm.ant,IFERROR(MATCH(W807,_xlpm.orden,0),6),_xlpm.ajmov,IF(_xlpm.act&lt;_xlpm.ant,0.08,IF(_xlpm.act&gt;_xlpm.ant,-0.08,0)),_xlpm.ajcli,IF(T807&lt;0.95,-0.06,0),_xlpm.prob,MAX(0,MIN(1,_xlpm.prog+_xlpm.ajmov+_xlpm.ajcli)),IF(OR(V807="DIAMANTE",V807="CERRADO"),0,ROUND(_xlpm.prob,2)))</f>
        <v>0.86</v>
      </c>
      <c r="AK807" t="str">
        <f t="shared" si="300"/>
        <v>Faltan 3,3 puntos base para subir a la siguiente categoría</v>
      </c>
      <c r="AL807" t="str">
        <f t="shared" si="301"/>
        <v>Margen de seguridad: 20,0 puntos</v>
      </c>
      <c r="AM807">
        <f t="shared" si="302"/>
        <v>0.19</v>
      </c>
      <c r="AN807" t="str">
        <f t="shared" si="303"/>
        <v>PRIORIDAD BAJA – control normal</v>
      </c>
      <c r="AO807">
        <f t="shared" si="304"/>
        <v>10.082476916566172</v>
      </c>
      <c r="AP807">
        <f t="shared" si="305"/>
        <v>1.5158425104516411</v>
      </c>
      <c r="AQ807">
        <f t="shared" si="306"/>
        <v>0</v>
      </c>
      <c r="AR807">
        <f t="shared" si="307"/>
        <v>5.0999999999999996</v>
      </c>
      <c r="AS807">
        <f t="shared" si="308"/>
        <v>0</v>
      </c>
      <c r="AT807" t="str">
        <f t="shared" si="309"/>
        <v>VENTAS</v>
      </c>
      <c r="AU807">
        <f t="shared" si="310"/>
        <v>10.082476916566172</v>
      </c>
      <c r="AV807" t="str">
        <f t="shared" si="311"/>
        <v>Mayor retorno probable: VENTAS (+10,1 puntos finales potenciales).</v>
      </c>
    </row>
    <row r="808" spans="1:48" x14ac:dyDescent="0.3">
      <c r="A808" s="5">
        <v>51016998</v>
      </c>
      <c r="B808" s="5" t="str">
        <f>IFERROR(VLOOKUP(A808,VENTAS!$A$2:$B$1194,2,0),"")</f>
        <v>ROBERTS</v>
      </c>
      <c r="C808" s="5">
        <f>IFERROR(INDEX(VENTAS!$C$2:$E$1194,MATCH(A808,VENTAS!$A$2:$A$1194,0),MATCH(PARAMS_MODELO!$B$2,{"Q1","Q2","Q3"},0)),0)</f>
        <v>47763177.440000013</v>
      </c>
      <c r="D808" s="5">
        <f>IFERROR(INDEX(VENTAS!$F$2:$H$1194,MATCH(A808,VENTAS!$A$2:$A$1194,0),MATCH(PARAMS_MODELO!$B$2,{"Q1","Q2","Q3"},0)),0)</f>
        <v>45775785</v>
      </c>
      <c r="E808" s="8">
        <f t="shared" si="288"/>
        <v>-4.1609301276000155E-2</v>
      </c>
      <c r="F808" s="12">
        <f>IF(E808&lt;=PARAMS_MODELO!$B$15,0,IF(E808&gt;=PARAMS_MODELO!$B$17,100,100*MIN(1,(E808-PARAMS_MODELO!$B$15)/(PARAMS_MODELO!$B$16-PARAMS_MODELO!$B$15))))*PARAMS_MODELO!$B$7</f>
        <v>0</v>
      </c>
      <c r="G808" s="5">
        <f t="shared" si="289"/>
        <v>0</v>
      </c>
      <c r="H808" s="5">
        <f>(PARAMS_MODELO!$B$20*(MAX(0,MIN(3,E808))/3)+PARAMS_MODELO!$B$21*(IFERROR(LN(1+MAX(0,G808))/LN(1+MAX(0,MAX($G$2:$G$1194))),0)))*100*PARAMS_MODELO!$B$8</f>
        <v>0</v>
      </c>
      <c r="I808" s="8">
        <f>E808-PARAMS_MODELO!$B$5</f>
        <v>-0.21917213665152668</v>
      </c>
      <c r="J808" s="5">
        <f>IF(I808&lt;=PARAMS_MODELO!$B$18,0,IF(I808&gt;=PARAMS_MODELO!$B$19,100,100*(I808-PARAMS_MODELO!$B$18)/(PARAMS_MODELO!$B$19-PARAMS_MODELO!$B$18)))*PARAMS_MODELO!$B$9</f>
        <v>0</v>
      </c>
      <c r="K808" s="5">
        <f>IFERROR(CHOOSE(MATCH(PARAMS_MODELO!$B$2,{"Q1","Q2","Q3"},0),LOTO!$D808,LOTO!$F808,LOTO!$H808),0)</f>
        <v>2052500</v>
      </c>
      <c r="L808" s="8">
        <f t="shared" si="290"/>
        <v>4.4838116921424725E-2</v>
      </c>
      <c r="M808" s="5">
        <f>MIN(100,IF(PARAMS_MODELO!$B$23=0,0,100*L808/PARAMS_MODELO!$B$23))*PARAMS_MODELO!$B$10</f>
        <v>13.451435076427416</v>
      </c>
      <c r="N808" s="5">
        <f>IFERROR(VLOOKUP(A808,COMPLIANCE!$A$2:$F$1996,6,0),100)</f>
        <v>100</v>
      </c>
      <c r="O808" s="5">
        <f>N808*PARAMS_MODELO!$B$11</f>
        <v>10</v>
      </c>
      <c r="P808" s="5">
        <f>IFERROR(VLOOKUP(A808,DIGITAL!$A$2:$J$2000,7,0),100)</f>
        <v>57</v>
      </c>
      <c r="Q808" s="5">
        <f>IFERROR(P808,0)*PARAMS_MODELO!$B$12</f>
        <v>5.7</v>
      </c>
      <c r="R808">
        <f t="shared" si="291"/>
        <v>29.151435076427415</v>
      </c>
      <c r="S808" s="5" t="str">
        <f>IFERROR(VLOOKUP(A808,CLIENTE!$A$2:$N$2000,13,0),1)</f>
        <v>Malo</v>
      </c>
      <c r="T808" s="5">
        <f>IFERROR(VLOOKUP(A808,CLIENTE!$A$2:$N$2000,14,0),1)</f>
        <v>0.7</v>
      </c>
      <c r="U808" s="5">
        <f t="shared" si="292"/>
        <v>20.406004553499191</v>
      </c>
      <c r="V808" s="5" t="str">
        <f>IF(U808&gt;=MAX(_xlfn.PERCENTILE.INC($U$2:$U$1194,PARAMS_MODELO!$B$50),PARAMS_MODELO!$B$45),"DIAMANTE",IF(U808&gt;=MAX(_xlfn.PERCENTILE.INC($U$2:$U$1194,PARAMS_MODELO!$B$51),PARAMS_MODELO!$B$46),"PLATINO",IF(U808&gt;=MAX(_xlfn.PERCENTILE.INC($U$2:$U$1194,PARAMS_MODELO!$B$52),PARAMS_MODELO!$B$47),"ORO",IF(U808&gt;=MAX(_xlfn.PERCENTILE.INC($U$2:$U$1194,PARAMS_MODELO!$B$53),PARAMS_MODELO!$B$48),"PLATA",IF(U808&gt;=1,"BRONCE","CERRADO")))))</f>
        <v>BRONCE</v>
      </c>
      <c r="W808" s="5" t="str" cm="1">
        <f t="array" ref="W808">_xlfn.XLOOKUP(1, (HIST_SCORE!$B:$B=PARAMS_MODELO!$B$4) * (HIST_SCORE!$C:$C=A808), HIST_SCORE!$E:$E, "No encontrado")</f>
        <v>BRONCE</v>
      </c>
      <c r="X808" s="5" t="str">
        <f>_xlfn.LET(_xlpm.act,MATCH(V808,{"DIAMANTE";"PLATINO";"ORO";"PLATA";"BRONCE";"CERRADO"},0),_xlpm.ant,MATCH(W808,{"DIAMANTE";"PLATINO";"ORO";"PLATA";"BRONCE";"CERRADO"},0),IF(_xlpm.act&lt;_xlpm.ant,"Mejora ↑",IF(_xlpm.act&gt;_xlpm.ant,"Baja ↓","Estable →")))</f>
        <v>Estable →</v>
      </c>
      <c r="Y808" s="5">
        <f>IFERROR(U808-SUMIFS(HIST_SCORE!$D:$D,HIST_SCORE!$B:$B,PARAMS_MODELO!$B$4,HIST_SCORE!$C:$C,$A808),"")</f>
        <v>1.0871773464809849</v>
      </c>
      <c r="Z808" s="5" t="str">
        <f t="shared" si="293"/>
        <v>→ Estable</v>
      </c>
      <c r="AA808" s="5">
        <f t="shared" si="294"/>
        <v>972</v>
      </c>
      <c r="AB808" s="5">
        <f>IFERROR(SUMIFS(HIST_SCORE!$F:$F,HIST_SCORE!$B:$B,PARAMS_MODELO!$B$4,HIST_SCORE!$C:$C,$A808),"")</f>
        <v>997</v>
      </c>
      <c r="AC808" s="5">
        <f t="shared" si="295"/>
        <v>25</v>
      </c>
      <c r="AD808" t="str">
        <f t="shared" si="297"/>
        <v/>
      </c>
      <c r="AE8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808="CERRADO",1,IF(V808="BRONCE",_xlpm.cPl,IF(V808="PLATA",_xlpm.cO,IF(V808="ORO",_xlpm.cP,IF(V808="PLATINO",_xlpm.cD,999))))))</f>
        <v>24.506573482968111</v>
      </c>
      <c r="AF8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808="CERRADO",0,IF(V808="BRONCE",1,IF(V808="PLATA",_xlpm.cPl,IF(V808="ORO",_xlpm.cO,IF(V808="PLATINO",_xlpm.cP,_xlpm.cD))))))</f>
        <v>1</v>
      </c>
      <c r="AG808">
        <f t="shared" si="298"/>
        <v>5.8579556135270288</v>
      </c>
      <c r="AH808" t="str">
        <f t="shared" si="299"/>
        <v>CLIENTE</v>
      </c>
      <c r="AI808" t="str">
        <f t="shared" si="296"/>
        <v>🎯 Para subir de categoría, la eje con mayor impacto probable es CLIENTE (coef T). Acción: reducir quejas, mejorar incógnito y empujar reseñas. ΔR aprox: 5,9</v>
      </c>
      <c r="AJ808" s="26">
        <f>_xlfn.LET(_xlpm.piso,AF808,_xlpm.corte,AE808,_xlpm.prog,IF(_xlpm.corte&lt;=_xlpm.piso,0,MAX(0,MIN(1,(U808-_xlpm.piso)/(_xlpm.corte-_xlpm.piso)))),_xlpm.orden,{"DIAMANTE";"PLATINO";"ORO";"PLATA";"BRONCE";"CERRADO"},_xlpm.act,IFERROR(MATCH(V808,_xlpm.orden,0),6),_xlpm.ant,IFERROR(MATCH(W808,_xlpm.orden,0),6),_xlpm.ajmov,IF(_xlpm.act&lt;_xlpm.ant,0.08,IF(_xlpm.act&gt;_xlpm.ant,-0.08,0)),_xlpm.ajcli,IF(T808&lt;0.95,-0.06,0),_xlpm.prob,MAX(0,MIN(1,_xlpm.prog+_xlpm.ajmov+_xlpm.ajcli)),IF(OR(V808="DIAMANTE",V808="CERRADO"),0,ROUND(_xlpm.prob,2)))</f>
        <v>0.77</v>
      </c>
      <c r="AK808" t="str">
        <f t="shared" si="300"/>
        <v>Faltan 5,9 puntos base para subir a la siguiente categoría</v>
      </c>
      <c r="AL808" t="str">
        <f t="shared" si="301"/>
        <v>No aplica</v>
      </c>
      <c r="AM808">
        <f t="shared" si="302"/>
        <v>0.53</v>
      </c>
      <c r="AN808" t="str">
        <f t="shared" si="303"/>
        <v>PRIORIDAD MEDIA – seguimiento del asesor</v>
      </c>
      <c r="AO808">
        <f t="shared" si="304"/>
        <v>45.403798492706905</v>
      </c>
      <c r="AP808">
        <f t="shared" si="305"/>
        <v>1.083995446500809</v>
      </c>
      <c r="AQ808">
        <f t="shared" si="306"/>
        <v>0</v>
      </c>
      <c r="AR808">
        <f t="shared" si="307"/>
        <v>3.01</v>
      </c>
      <c r="AS808">
        <f t="shared" si="308"/>
        <v>8.7454305229282259</v>
      </c>
      <c r="AT808" t="str">
        <f t="shared" si="309"/>
        <v>VENTAS</v>
      </c>
      <c r="AU808">
        <f t="shared" si="310"/>
        <v>45.403798492706905</v>
      </c>
      <c r="AV808" t="str">
        <f t="shared" si="311"/>
        <v>Mayor retorno probable: VENTAS (+45,4 puntos finales potenciales).</v>
      </c>
    </row>
    <row r="809" spans="1:48" x14ac:dyDescent="0.3">
      <c r="A809" s="5">
        <v>51005325</v>
      </c>
      <c r="B809" s="5" t="str">
        <f>IFERROR(VLOOKUP(A809,VENTAS!$A$2:$B$1194,2,0),"")</f>
        <v>METTLER</v>
      </c>
      <c r="C809" s="5">
        <f>IFERROR(INDEX(VENTAS!$C$2:$E$1194,MATCH(A809,VENTAS!$A$2:$A$1194,0),MATCH(PARAMS_MODELO!$B$2,{"Q1","Q2","Q3"},0)),0)</f>
        <v>36188434.399999999</v>
      </c>
      <c r="D809" s="5">
        <f>IFERROR(INDEX(VENTAS!$F$2:$H$1194,MATCH(A809,VENTAS!$A$2:$A$1194,0),MATCH(PARAMS_MODELO!$B$2,{"Q1","Q2","Q3"},0)),0)</f>
        <v>45683546</v>
      </c>
      <c r="E809" s="8">
        <f t="shared" si="288"/>
        <v>0.2623797287013887</v>
      </c>
      <c r="F809" s="12">
        <f>IF(E809&lt;=PARAMS_MODELO!$B$15,0,IF(E809&gt;=PARAMS_MODELO!$B$17,100,100*MIN(1,(E809-PARAMS_MODELO!$B$15)/(PARAMS_MODELO!$B$16-PARAMS_MODELO!$B$15))))*PARAMS_MODELO!$B$7</f>
        <v>35</v>
      </c>
      <c r="G809" s="5">
        <f t="shared" si="289"/>
        <v>9495111.6000000015</v>
      </c>
      <c r="H809" s="5">
        <f>(PARAMS_MODELO!$B$20*(MAX(0,MIN(3,E809))/3)+PARAMS_MODELO!$B$21*(IFERROR(LN(1+MAX(0,G809))/LN(1+MAX(0,MAX($G$2:$G$1194))),0)))*100*PARAMS_MODELO!$B$8</f>
        <v>4.6844911981629673</v>
      </c>
      <c r="I809" s="8">
        <f>E809-PARAMS_MODELO!$B$5</f>
        <v>8.4816893325862175E-2</v>
      </c>
      <c r="J809" s="5">
        <f>IF(I809&lt;=PARAMS_MODELO!$B$18,0,IF(I809&gt;=PARAMS_MODELO!$B$19,100,100*(I809-PARAMS_MODELO!$B$18)/(PARAMS_MODELO!$B$19-PARAMS_MODELO!$B$18)))*PARAMS_MODELO!$B$9</f>
        <v>15</v>
      </c>
      <c r="K809" s="5">
        <f>IFERROR(CHOOSE(MATCH(PARAMS_MODELO!$B$2,{"Q1","Q2","Q3"},0),LOTO!$D809,LOTO!$F809,LOTO!$H809),0)</f>
        <v>2050000</v>
      </c>
      <c r="L809" s="8">
        <f t="shared" si="290"/>
        <v>4.4873924629230837E-2</v>
      </c>
      <c r="M809" s="5">
        <f>MIN(100,IF(PARAMS_MODELO!$B$23=0,0,100*L809/PARAMS_MODELO!$B$23))*PARAMS_MODELO!$B$10</f>
        <v>13.46217738876925</v>
      </c>
      <c r="N809" s="5">
        <f>IFERROR(VLOOKUP(A809,COMPLIANCE!$A$2:$F$1996,6,0),100)</f>
        <v>100</v>
      </c>
      <c r="O809" s="5">
        <f>N809*PARAMS_MODELO!$B$11</f>
        <v>10</v>
      </c>
      <c r="P809" s="5">
        <f>IFERROR(VLOOKUP(A809,DIGITAL!$A$2:$J$2000,7,0),100)</f>
        <v>55</v>
      </c>
      <c r="Q809" s="5">
        <f>IFERROR(P809,0)*PARAMS_MODELO!$B$12</f>
        <v>5.5</v>
      </c>
      <c r="R809">
        <f t="shared" si="291"/>
        <v>83.646668586932222</v>
      </c>
      <c r="S809" s="5" t="str">
        <f>IFERROR(VLOOKUP(A809,CLIENTE!$A$2:$N$2000,13,0),1)</f>
        <v>Malo</v>
      </c>
      <c r="T809" s="5">
        <f>IFERROR(VLOOKUP(A809,CLIENTE!$A$2:$N$2000,14,0),1)</f>
        <v>0.7</v>
      </c>
      <c r="U809" s="5">
        <f t="shared" si="292"/>
        <v>58.55266801085255</v>
      </c>
      <c r="V809" s="5" t="str">
        <f>IF(U809&gt;=MAX(_xlfn.PERCENTILE.INC($U$2:$U$1194,PARAMS_MODELO!$B$50),PARAMS_MODELO!$B$45),"DIAMANTE",IF(U809&gt;=MAX(_xlfn.PERCENTILE.INC($U$2:$U$1194,PARAMS_MODELO!$B$51),PARAMS_MODELO!$B$46),"PLATINO",IF(U809&gt;=MAX(_xlfn.PERCENTILE.INC($U$2:$U$1194,PARAMS_MODELO!$B$52),PARAMS_MODELO!$B$47),"ORO",IF(U809&gt;=MAX(_xlfn.PERCENTILE.INC($U$2:$U$1194,PARAMS_MODELO!$B$53),PARAMS_MODELO!$B$48),"PLATA",IF(U809&gt;=1,"BRONCE","CERRADO")))))</f>
        <v>PLATA</v>
      </c>
      <c r="W809" s="5" t="str" cm="1">
        <f t="array" ref="W809">_xlfn.XLOOKUP(1, (HIST_SCORE!$B:$B=PARAMS_MODELO!$B$4) * (HIST_SCORE!$C:$C=A809), HIST_SCORE!$E:$E, "No encontrado")</f>
        <v>PLATA</v>
      </c>
      <c r="X809" s="5" t="str">
        <f>_xlfn.LET(_xlpm.act,MATCH(V809,{"DIAMANTE";"PLATINO";"ORO";"PLATA";"BRONCE";"CERRADO"},0),_xlpm.ant,MATCH(W809,{"DIAMANTE";"PLATINO";"ORO";"PLATA";"BRONCE";"CERRADO"},0),IF(_xlpm.act&lt;_xlpm.ant,"Mejora ↑",IF(_xlpm.act&gt;_xlpm.ant,"Baja ↓","Estable →")))</f>
        <v>Estable →</v>
      </c>
      <c r="Y809" s="5">
        <f>IFERROR(U809-SUMIFS(HIST_SCORE!$D:$D,HIST_SCORE!$B:$B,PARAMS_MODELO!$B$4,HIST_SCORE!$C:$C,$A809),"")</f>
        <v>9.8144533927345705</v>
      </c>
      <c r="Z809" s="5" t="str">
        <f t="shared" si="293"/>
        <v>↑ Mejora</v>
      </c>
      <c r="AA809" s="5">
        <f t="shared" si="294"/>
        <v>647</v>
      </c>
      <c r="AB809" s="5">
        <f>IFERROR(SUMIFS(HIST_SCORE!$F:$F,HIST_SCORE!$B:$B,PARAMS_MODELO!$B$4,HIST_SCORE!$C:$C,$A809),"")</f>
        <v>783</v>
      </c>
      <c r="AC809" s="5">
        <f t="shared" si="295"/>
        <v>136</v>
      </c>
      <c r="AD809" t="str">
        <f t="shared" si="297"/>
        <v/>
      </c>
      <c r="AE8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809="CERRADO",1,IF(V809="BRONCE",_xlpm.cPl,IF(V809="PLATA",_xlpm.cO,IF(V809="ORO",_xlpm.cP,IF(V809="PLATINO",_xlpm.cD,999))))))</f>
        <v>63.199193273331495</v>
      </c>
      <c r="AF8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809="CERRADO",0,IF(V809="BRONCE",1,IF(V809="PLATA",_xlpm.cPl,IF(V809="ORO",_xlpm.cO,IF(V809="PLATINO",_xlpm.cP,_xlpm.cD))))))</f>
        <v>24.506573482968111</v>
      </c>
      <c r="AG809">
        <f t="shared" si="298"/>
        <v>6.6378932321127735</v>
      </c>
      <c r="AH809" t="str">
        <f t="shared" si="299"/>
        <v>CLIENTE</v>
      </c>
      <c r="AI809" t="str">
        <f t="shared" si="296"/>
        <v>🎯 Para subir de categoría, la eje con mayor impacto probable es CLIENTE (coef T). Acción: reducir quejas, mejorar incógnito y empujar reseñas. ΔR aprox: 6,6</v>
      </c>
      <c r="AJ809" s="26">
        <f>_xlfn.LET(_xlpm.piso,AF809,_xlpm.corte,AE809,_xlpm.prog,IF(_xlpm.corte&lt;=_xlpm.piso,0,MAX(0,MIN(1,(U809-_xlpm.piso)/(_xlpm.corte-_xlpm.piso)))),_xlpm.orden,{"DIAMANTE";"PLATINO";"ORO";"PLATA";"BRONCE";"CERRADO"},_xlpm.act,IFERROR(MATCH(V809,_xlpm.orden,0),6),_xlpm.ant,IFERROR(MATCH(W809,_xlpm.orden,0),6),_xlpm.ajmov,IF(_xlpm.act&lt;_xlpm.ant,0.08,IF(_xlpm.act&gt;_xlpm.ant,-0.08,0)),_xlpm.ajcli,IF(T809&lt;0.95,-0.06,0),_xlpm.prob,MAX(0,MIN(1,_xlpm.prog+_xlpm.ajmov+_xlpm.ajcli)),IF(OR(V809="DIAMANTE",V809="CERRADO"),0,ROUND(_xlpm.prob,2)))</f>
        <v>0.82</v>
      </c>
      <c r="AK809" t="str">
        <f t="shared" si="300"/>
        <v>Faltan 6,6 puntos base para subir a la siguiente categoría</v>
      </c>
      <c r="AL809" t="str">
        <f t="shared" si="301"/>
        <v>Margen de seguridad: 34,0 puntos</v>
      </c>
      <c r="AM809">
        <f t="shared" si="302"/>
        <v>0.54</v>
      </c>
      <c r="AN809" t="str">
        <f t="shared" si="303"/>
        <v>PRIORIDAD MEDIA – seguimiento del asesor</v>
      </c>
      <c r="AO809">
        <f t="shared" si="304"/>
        <v>7.1246546539928319</v>
      </c>
      <c r="AP809">
        <f t="shared" si="305"/>
        <v>1.0764758278615247</v>
      </c>
      <c r="AQ809">
        <f t="shared" si="306"/>
        <v>0</v>
      </c>
      <c r="AR809">
        <f t="shared" si="307"/>
        <v>3.15</v>
      </c>
      <c r="AS809">
        <f t="shared" si="308"/>
        <v>25.094000576079669</v>
      </c>
      <c r="AT809" t="str">
        <f t="shared" si="309"/>
        <v>CLIENTE</v>
      </c>
      <c r="AU809">
        <f t="shared" si="310"/>
        <v>25.094000576079669</v>
      </c>
      <c r="AV809" t="str">
        <f t="shared" si="311"/>
        <v>Mayor retorno probable: CLIENTE (+25,1 puntos finales potenciales).</v>
      </c>
    </row>
    <row r="810" spans="1:48" x14ac:dyDescent="0.3">
      <c r="A810" s="5">
        <v>51011937</v>
      </c>
      <c r="B810" s="5" t="str">
        <f>IFERROR(VLOOKUP(A810,VENTAS!$A$2:$B$1194,2,0),"")</f>
        <v>LÓPEZ</v>
      </c>
      <c r="C810" s="5">
        <f>IFERROR(INDEX(VENTAS!$C$2:$E$1194,MATCH(A810,VENTAS!$A$2:$A$1194,0),MATCH(PARAMS_MODELO!$B$2,{"Q1","Q2","Q3"},0)),0)</f>
        <v>34328641.340000004</v>
      </c>
      <c r="D810" s="5">
        <f>IFERROR(INDEX(VENTAS!$F$2:$H$1194,MATCH(A810,VENTAS!$A$2:$A$1194,0),MATCH(PARAMS_MODELO!$B$2,{"Q1","Q2","Q3"},0)),0)</f>
        <v>45639257</v>
      </c>
      <c r="E810" s="8">
        <f t="shared" si="288"/>
        <v>0.32948043436897634</v>
      </c>
      <c r="F810" s="12">
        <f>IF(E810&lt;=PARAMS_MODELO!$B$15,0,IF(E810&gt;=PARAMS_MODELO!$B$17,100,100*MIN(1,(E810-PARAMS_MODELO!$B$15)/(PARAMS_MODELO!$B$16-PARAMS_MODELO!$B$15))))*PARAMS_MODELO!$B$7</f>
        <v>35</v>
      </c>
      <c r="G810" s="5">
        <f t="shared" si="289"/>
        <v>11310615.659999996</v>
      </c>
      <c r="H810" s="5">
        <f>(PARAMS_MODELO!$B$20*(MAX(0,MIN(3,E810))/3)+PARAMS_MODELO!$B$21*(IFERROR(LN(1+MAX(0,G810))/LN(1+MAX(0,MAX($G$2:$G$1194))),0)))*100*PARAMS_MODELO!$B$8</f>
        <v>4.9603578149776704</v>
      </c>
      <c r="I810" s="8">
        <f>E810-PARAMS_MODELO!$B$5</f>
        <v>0.15191759899344981</v>
      </c>
      <c r="J810" s="5">
        <f>IF(I810&lt;=PARAMS_MODELO!$B$18,0,IF(I810&gt;=PARAMS_MODELO!$B$19,100,100*(I810-PARAMS_MODELO!$B$18)/(PARAMS_MODELO!$B$19-PARAMS_MODELO!$B$18)))*PARAMS_MODELO!$B$9</f>
        <v>15</v>
      </c>
      <c r="K810" s="5">
        <f>IFERROR(CHOOSE(MATCH(PARAMS_MODELO!$B$2,{"Q1","Q2","Q3"},0),LOTO!$D810,LOTO!$F810,LOTO!$H810),0)</f>
        <v>2032500</v>
      </c>
      <c r="L810" s="8">
        <f t="shared" si="290"/>
        <v>4.4534029114452936E-2</v>
      </c>
      <c r="M810" s="5">
        <f>MIN(100,IF(PARAMS_MODELO!$B$23=0,0,100*L810/PARAMS_MODELO!$B$23))*PARAMS_MODELO!$B$10</f>
        <v>13.360208734335879</v>
      </c>
      <c r="N810" s="5">
        <f>IFERROR(VLOOKUP(A810,COMPLIANCE!$A$2:$F$1996,6,0),100)</f>
        <v>100</v>
      </c>
      <c r="O810" s="5">
        <f>N810*PARAMS_MODELO!$B$11</f>
        <v>10</v>
      </c>
      <c r="P810" s="5">
        <f>IFERROR(VLOOKUP(A810,DIGITAL!$A$2:$J$2000,7,0),100)</f>
        <v>33</v>
      </c>
      <c r="Q810" s="5">
        <f>IFERROR(P810,0)*PARAMS_MODELO!$B$12</f>
        <v>3.3000000000000003</v>
      </c>
      <c r="R810">
        <f t="shared" si="291"/>
        <v>81.620566549313551</v>
      </c>
      <c r="S810" s="5" t="str">
        <f>IFERROR(VLOOKUP(A810,CLIENTE!$A$2:$N$2000,13,0),1)</f>
        <v>Regular</v>
      </c>
      <c r="T810" s="5">
        <f>IFERROR(VLOOKUP(A810,CLIENTE!$A$2:$N$2000,14,0),1)</f>
        <v>1</v>
      </c>
      <c r="U810" s="5">
        <f t="shared" si="292"/>
        <v>81.620566549313551</v>
      </c>
      <c r="V810" s="5" t="str">
        <f>IF(U810&gt;=MAX(_xlfn.PERCENTILE.INC($U$2:$U$1194,PARAMS_MODELO!$B$50),PARAMS_MODELO!$B$45),"DIAMANTE",IF(U810&gt;=MAX(_xlfn.PERCENTILE.INC($U$2:$U$1194,PARAMS_MODELO!$B$51),PARAMS_MODELO!$B$46),"PLATINO",IF(U810&gt;=MAX(_xlfn.PERCENTILE.INC($U$2:$U$1194,PARAMS_MODELO!$B$52),PARAMS_MODELO!$B$47),"ORO",IF(U810&gt;=MAX(_xlfn.PERCENTILE.INC($U$2:$U$1194,PARAMS_MODELO!$B$53),PARAMS_MODELO!$B$48),"PLATA",IF(U810&gt;=1,"BRONCE","CERRADO")))))</f>
        <v>ORO</v>
      </c>
      <c r="W810" s="5" t="str" cm="1">
        <f t="array" ref="W810">_xlfn.XLOOKUP(1, (HIST_SCORE!$B:$B=PARAMS_MODELO!$B$4) * (HIST_SCORE!$C:$C=A810), HIST_SCORE!$E:$E, "No encontrado")</f>
        <v>ORO</v>
      </c>
      <c r="X810" s="5" t="str">
        <f>_xlfn.LET(_xlpm.act,MATCH(V810,{"DIAMANTE";"PLATINO";"ORO";"PLATA";"BRONCE";"CERRADO"},0),_xlpm.ant,MATCH(W810,{"DIAMANTE";"PLATINO";"ORO";"PLATA";"BRONCE";"CERRADO"},0),IF(_xlpm.act&lt;_xlpm.ant,"Mejora ↑",IF(_xlpm.act&gt;_xlpm.ant,"Baja ↓","Estable →")))</f>
        <v>Estable →</v>
      </c>
      <c r="Y810" s="5">
        <f>IFERROR(U810-SUMIFS(HIST_SCORE!$D:$D,HIST_SCORE!$B:$B,PARAMS_MODELO!$B$4,HIST_SCORE!$C:$C,$A810),"")</f>
        <v>0.62497153220721202</v>
      </c>
      <c r="Z810" s="5" t="str">
        <f t="shared" si="293"/>
        <v>→ Estable</v>
      </c>
      <c r="AA810" s="5">
        <f t="shared" si="294"/>
        <v>395</v>
      </c>
      <c r="AB810" s="5">
        <f>IFERROR(SUMIFS(HIST_SCORE!$F:$F,HIST_SCORE!$B:$B,PARAMS_MODELO!$B$4,HIST_SCORE!$C:$C,$A810),"")</f>
        <v>393</v>
      </c>
      <c r="AC810" s="5">
        <f t="shared" si="295"/>
        <v>-2</v>
      </c>
      <c r="AD810" t="str">
        <f t="shared" si="297"/>
        <v/>
      </c>
      <c r="AE8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810="CERRADO",1,IF(V810="BRONCE",_xlpm.cPl,IF(V810="PLATA",_xlpm.cO,IF(V810="ORO",_xlpm.cP,IF(V810="PLATINO",_xlpm.cD,999))))))</f>
        <v>86.439123873763251</v>
      </c>
      <c r="AF8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810="CERRADO",0,IF(V810="BRONCE",1,IF(V810="PLATA",_xlpm.cPl,IF(V810="ORO",_xlpm.cO,IF(V810="PLATINO",_xlpm.cP,_xlpm.cD))))))</f>
        <v>63.199193273331495</v>
      </c>
      <c r="AG810">
        <f t="shared" si="298"/>
        <v>4.8185573244496993</v>
      </c>
      <c r="AH810" t="str">
        <f t="shared" si="299"/>
        <v>VENTAS</v>
      </c>
      <c r="AI810" t="str">
        <f t="shared" si="296"/>
        <v>🎯 Para subir de categoría, eje VENTAS / IMPACTO ABSOLUTO (H). Acción: metas semanales + activación comercial + seguimiento del asesor. ΔR aprox: 4,8</v>
      </c>
      <c r="AJ810" s="26">
        <f>_xlfn.LET(_xlpm.piso,AF810,_xlpm.corte,AE810,_xlpm.prog,IF(_xlpm.corte&lt;=_xlpm.piso,0,MAX(0,MIN(1,(U810-_xlpm.piso)/(_xlpm.corte-_xlpm.piso)))),_xlpm.orden,{"DIAMANTE";"PLATINO";"ORO";"PLATA";"BRONCE";"CERRADO"},_xlpm.act,IFERROR(MATCH(V810,_xlpm.orden,0),6),_xlpm.ant,IFERROR(MATCH(W810,_xlpm.orden,0),6),_xlpm.ajmov,IF(_xlpm.act&lt;_xlpm.ant,0.08,IF(_xlpm.act&gt;_xlpm.ant,-0.08,0)),_xlpm.ajcli,IF(T810&lt;0.95,-0.06,0),_xlpm.prob,MAX(0,MIN(1,_xlpm.prog+_xlpm.ajmov+_xlpm.ajcli)),IF(OR(V810="DIAMANTE",V810="CERRADO"),0,ROUND(_xlpm.prob,2)))</f>
        <v>0.79</v>
      </c>
      <c r="AK810" t="str">
        <f t="shared" si="300"/>
        <v>Faltan 4,8 puntos base para subir a la siguiente categoría</v>
      </c>
      <c r="AL810" t="str">
        <f t="shared" si="301"/>
        <v>Margen de seguridad: 18,4 puntos</v>
      </c>
      <c r="AM810">
        <f t="shared" si="302"/>
        <v>0.28000000000000003</v>
      </c>
      <c r="AN810" t="str">
        <f t="shared" si="303"/>
        <v>PRIORIDAD BAJA – control normal</v>
      </c>
      <c r="AO810">
        <f t="shared" si="304"/>
        <v>9.9022114603179148</v>
      </c>
      <c r="AP810">
        <f t="shared" si="305"/>
        <v>1.6397912656641207</v>
      </c>
      <c r="AQ810">
        <f t="shared" si="306"/>
        <v>0</v>
      </c>
      <c r="AR810">
        <f t="shared" si="307"/>
        <v>6.6999999999999993</v>
      </c>
      <c r="AS810">
        <f t="shared" si="308"/>
        <v>0</v>
      </c>
      <c r="AT810" t="str">
        <f t="shared" si="309"/>
        <v>VENTAS</v>
      </c>
      <c r="AU810">
        <f t="shared" si="310"/>
        <v>9.9022114603179148</v>
      </c>
      <c r="AV810" t="str">
        <f t="shared" si="311"/>
        <v>Mayor retorno probable: VENTAS (+9,9 puntos finales potenciales).</v>
      </c>
    </row>
    <row r="811" spans="1:48" x14ac:dyDescent="0.3">
      <c r="A811" s="5">
        <v>51033191</v>
      </c>
      <c r="B811" s="5" t="str">
        <f>IFERROR(VLOOKUP(A811,VENTAS!$A$2:$B$1194,2,0),"")</f>
        <v>LÓPEZ</v>
      </c>
      <c r="C811" s="5">
        <f>IFERROR(INDEX(VENTAS!$C$2:$E$1194,MATCH(A811,VENTAS!$A$2:$A$1194,0),MATCH(PARAMS_MODELO!$B$2,{"Q1","Q2","Q3"},0)),0)</f>
        <v>43653317.270000003</v>
      </c>
      <c r="D811" s="5">
        <f>IFERROR(INDEX(VENTAS!$F$2:$H$1194,MATCH(A811,VENTAS!$A$2:$A$1194,0),MATCH(PARAMS_MODELO!$B$2,{"Q1","Q2","Q3"},0)),0)</f>
        <v>45531657</v>
      </c>
      <c r="E811" s="8">
        <f t="shared" si="288"/>
        <v>4.3028567986764577E-2</v>
      </c>
      <c r="F811" s="12">
        <f>IF(E811&lt;=PARAMS_MODELO!$B$15,0,IF(E811&gt;=PARAMS_MODELO!$B$17,100,100*MIN(1,(E811-PARAMS_MODELO!$B$15)/(PARAMS_MODELO!$B$16-PARAMS_MODELO!$B$15))))*PARAMS_MODELO!$B$7</f>
        <v>15.059998795367601</v>
      </c>
      <c r="G811" s="5">
        <f t="shared" si="289"/>
        <v>1878339.7299999967</v>
      </c>
      <c r="H811" s="5">
        <f>(PARAMS_MODELO!$B$20*(MAX(0,MIN(3,E811))/3)+PARAMS_MODELO!$B$21*(IFERROR(LN(1+MAX(0,G811))/LN(1+MAX(0,MAX($G$2:$G$1194))),0)))*100*PARAMS_MODELO!$B$8</f>
        <v>3.5369204714640876</v>
      </c>
      <c r="I811" s="8">
        <f>E811-PARAMS_MODELO!$B$5</f>
        <v>-0.13453426738876195</v>
      </c>
      <c r="J811" s="5">
        <f>IF(I811&lt;=PARAMS_MODELO!$B$18,0,IF(I811&gt;=PARAMS_MODELO!$B$19,100,100*(I811-PARAMS_MODELO!$B$18)/(PARAMS_MODELO!$B$19-PARAMS_MODELO!$B$18)))*PARAMS_MODELO!$B$9</f>
        <v>0</v>
      </c>
      <c r="K811" s="5">
        <f>IFERROR(CHOOSE(MATCH(PARAMS_MODELO!$B$2,{"Q1","Q2","Q3"},0),LOTO!$D811,LOTO!$F811,LOTO!$H811),0)</f>
        <v>2030000</v>
      </c>
      <c r="L811" s="8">
        <f t="shared" si="290"/>
        <v>4.4584364676207591E-2</v>
      </c>
      <c r="M811" s="5">
        <f>MIN(100,IF(PARAMS_MODELO!$B$23=0,0,100*L811/PARAMS_MODELO!$B$23))*PARAMS_MODELO!$B$10</f>
        <v>13.375309402862275</v>
      </c>
      <c r="N811" s="5">
        <f>IFERROR(VLOOKUP(A811,COMPLIANCE!$A$2:$F$1996,6,0),100)</f>
        <v>100</v>
      </c>
      <c r="O811" s="5">
        <f>N811*PARAMS_MODELO!$B$11</f>
        <v>10</v>
      </c>
      <c r="P811" s="5">
        <f>IFERROR(VLOOKUP(A811,DIGITAL!$A$2:$J$2000,7,0),100)</f>
        <v>18</v>
      </c>
      <c r="Q811" s="5">
        <f>IFERROR(P811,0)*PARAMS_MODELO!$B$12</f>
        <v>1.8</v>
      </c>
      <c r="R811">
        <f t="shared" si="291"/>
        <v>43.772228669693959</v>
      </c>
      <c r="S811" s="5" t="str">
        <f>IFERROR(VLOOKUP(A811,CLIENTE!$A$2:$N$2000,13,0),1)</f>
        <v>Muy Bueno</v>
      </c>
      <c r="T811" s="5">
        <f>IFERROR(VLOOKUP(A811,CLIENTE!$A$2:$N$2000,14,0),1)</f>
        <v>1.1499999999999999</v>
      </c>
      <c r="U811" s="5">
        <f t="shared" si="292"/>
        <v>50.338062970148052</v>
      </c>
      <c r="V811" s="5" t="str">
        <f>IF(U811&gt;=MAX(_xlfn.PERCENTILE.INC($U$2:$U$1194,PARAMS_MODELO!$B$50),PARAMS_MODELO!$B$45),"DIAMANTE",IF(U811&gt;=MAX(_xlfn.PERCENTILE.INC($U$2:$U$1194,PARAMS_MODELO!$B$51),PARAMS_MODELO!$B$46),"PLATINO",IF(U811&gt;=MAX(_xlfn.PERCENTILE.INC($U$2:$U$1194,PARAMS_MODELO!$B$52),PARAMS_MODELO!$B$47),"ORO",IF(U811&gt;=MAX(_xlfn.PERCENTILE.INC($U$2:$U$1194,PARAMS_MODELO!$B$53),PARAMS_MODELO!$B$48),"PLATA",IF(U811&gt;=1,"BRONCE","CERRADO")))))</f>
        <v>PLATA</v>
      </c>
      <c r="W811" s="5" t="str" cm="1">
        <f t="array" ref="W811">_xlfn.XLOOKUP(1, (HIST_SCORE!$B:$B=PARAMS_MODELO!$B$4) * (HIST_SCORE!$C:$C=A811), HIST_SCORE!$E:$E, "No encontrado")</f>
        <v>PLATINO</v>
      </c>
      <c r="X811" s="5" t="str">
        <f>_xlfn.LET(_xlpm.act,MATCH(V811,{"DIAMANTE";"PLATINO";"ORO";"PLATA";"BRONCE";"CERRADO"},0),_xlpm.ant,MATCH(W811,{"DIAMANTE";"PLATINO";"ORO";"PLATA";"BRONCE";"CERRADO"},0),IF(_xlpm.act&lt;_xlpm.ant,"Mejora ↑",IF(_xlpm.act&gt;_xlpm.ant,"Baja ↓","Estable →")))</f>
        <v>Baja ↓</v>
      </c>
      <c r="Y811" s="5">
        <f>IFERROR(U811-SUMIFS(HIST_SCORE!$D:$D,HIST_SCORE!$B:$B,PARAMS_MODELO!$B$4,HIST_SCORE!$C:$C,$A811),"")</f>
        <v>-37.510454711802431</v>
      </c>
      <c r="Z811" s="5" t="str">
        <f t="shared" si="293"/>
        <v>↓ Baja</v>
      </c>
      <c r="AA811" s="5">
        <f t="shared" si="294"/>
        <v>738</v>
      </c>
      <c r="AB811" s="5">
        <f>IFERROR(SUMIFS(HIST_SCORE!$F:$F,HIST_SCORE!$B:$B,PARAMS_MODELO!$B$4,HIST_SCORE!$C:$C,$A811),"")</f>
        <v>182</v>
      </c>
      <c r="AC811" s="5">
        <f t="shared" si="295"/>
        <v>-556</v>
      </c>
      <c r="AD811" t="str">
        <f t="shared" si="297"/>
        <v/>
      </c>
      <c r="AE8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811="CERRADO",1,IF(V811="BRONCE",_xlpm.cPl,IF(V811="PLATA",_xlpm.cO,IF(V811="ORO",_xlpm.cP,IF(V811="PLATINO",_xlpm.cD,999))))))</f>
        <v>63.199193273331495</v>
      </c>
      <c r="AF8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811="CERRADO",0,IF(V811="BRONCE",1,IF(V811="PLATA",_xlpm.cPl,IF(V811="ORO",_xlpm.cO,IF(V811="PLATINO",_xlpm.cP,_xlpm.cD))))))</f>
        <v>24.506573482968111</v>
      </c>
      <c r="AG811">
        <f t="shared" si="298"/>
        <v>11.183591567985609</v>
      </c>
      <c r="AH811" t="str">
        <f t="shared" si="299"/>
        <v>VENTAS</v>
      </c>
      <c r="AI811" t="str">
        <f t="shared" si="296"/>
        <v>🎯 Para subir de categoría, eje VENTAS / DIFERENCIAL vs LOTBA (J). Acción: metas semanales + activación comercial + seguimiento del asesor. ΔR aprox: 11,2</v>
      </c>
      <c r="AJ811" s="26">
        <f>_xlfn.LET(_xlpm.piso,AF811,_xlpm.corte,AE811,_xlpm.prog,IF(_xlpm.corte&lt;=_xlpm.piso,0,MAX(0,MIN(1,(U811-_xlpm.piso)/(_xlpm.corte-_xlpm.piso)))),_xlpm.orden,{"DIAMANTE";"PLATINO";"ORO";"PLATA";"BRONCE";"CERRADO"},_xlpm.act,IFERROR(MATCH(V811,_xlpm.orden,0),6),_xlpm.ant,IFERROR(MATCH(W811,_xlpm.orden,0),6),_xlpm.ajmov,IF(_xlpm.act&lt;_xlpm.ant,0.08,IF(_xlpm.act&gt;_xlpm.ant,-0.08,0)),_xlpm.ajcli,IF(T811&lt;0.95,-0.06,0),_xlpm.prob,MAX(0,MIN(1,_xlpm.prog+_xlpm.ajmov+_xlpm.ajcli)),IF(OR(V811="DIAMANTE",V811="CERRADO"),0,ROUND(_xlpm.prob,2)))</f>
        <v>0.59</v>
      </c>
      <c r="AK811" t="str">
        <f t="shared" si="300"/>
        <v>Faltan 11,2 puntos base para subir a la siguiente categoría</v>
      </c>
      <c r="AL811" t="str">
        <f t="shared" si="301"/>
        <v>Margen de seguridad: 25,8 puntos</v>
      </c>
      <c r="AM811">
        <f t="shared" si="302"/>
        <v>0.56000000000000005</v>
      </c>
      <c r="AN811" t="str">
        <f t="shared" si="303"/>
        <v>PRIORIDAD MEDIA – seguimiento del asesor</v>
      </c>
      <c r="AO811">
        <f t="shared" si="304"/>
        <v>53.205497509733476</v>
      </c>
      <c r="AP811">
        <f t="shared" si="305"/>
        <v>1.868394186708384</v>
      </c>
      <c r="AQ811">
        <f t="shared" si="306"/>
        <v>0</v>
      </c>
      <c r="AR811">
        <f t="shared" si="307"/>
        <v>9.4299999999999979</v>
      </c>
      <c r="AS811">
        <f t="shared" si="308"/>
        <v>0</v>
      </c>
      <c r="AT811" t="str">
        <f t="shared" si="309"/>
        <v>VENTAS</v>
      </c>
      <c r="AU811">
        <f t="shared" si="310"/>
        <v>53.205497509733476</v>
      </c>
      <c r="AV811" t="str">
        <f t="shared" si="311"/>
        <v>Mayor retorno probable: VENTAS (+53,2 puntos finales potenciales).</v>
      </c>
    </row>
    <row r="812" spans="1:48" x14ac:dyDescent="0.3">
      <c r="A812" s="5">
        <v>51032560</v>
      </c>
      <c r="B812" s="5" t="str">
        <f>IFERROR(VLOOKUP(A812,VENTAS!$A$2:$B$1194,2,0),"")</f>
        <v>METTLER</v>
      </c>
      <c r="C812" s="5">
        <f>IFERROR(INDEX(VENTAS!$C$2:$E$1194,MATCH(A812,VENTAS!$A$2:$A$1194,0),MATCH(PARAMS_MODELO!$B$2,{"Q1","Q2","Q3"},0)),0)</f>
        <v>35817436.100000001</v>
      </c>
      <c r="D812" s="5">
        <f>IFERROR(INDEX(VENTAS!$F$2:$H$1194,MATCH(A812,VENTAS!$A$2:$A$1194,0),MATCH(PARAMS_MODELO!$B$2,{"Q1","Q2","Q3"},0)),0)</f>
        <v>45295995</v>
      </c>
      <c r="E812" s="8">
        <f t="shared" si="288"/>
        <v>0.26463532659167632</v>
      </c>
      <c r="F812" s="12">
        <f>IF(E812&lt;=PARAMS_MODELO!$B$15,0,IF(E812&gt;=PARAMS_MODELO!$B$17,100,100*MIN(1,(E812-PARAMS_MODELO!$B$15)/(PARAMS_MODELO!$B$16-PARAMS_MODELO!$B$15))))*PARAMS_MODELO!$B$7</f>
        <v>35</v>
      </c>
      <c r="G812" s="5">
        <f t="shared" si="289"/>
        <v>9478558.8999999985</v>
      </c>
      <c r="H812" s="5">
        <f>(PARAMS_MODELO!$B$20*(MAX(0,MIN(3,E812))/3)+PARAMS_MODELO!$B$21*(IFERROR(LN(1+MAX(0,G812))/LN(1+MAX(0,MAX($G$2:$G$1194))),0)))*100*PARAMS_MODELO!$B$8</f>
        <v>4.6919767835136117</v>
      </c>
      <c r="I812" s="8">
        <f>E812-PARAMS_MODELO!$B$5</f>
        <v>8.7072491216149794E-2</v>
      </c>
      <c r="J812" s="5">
        <f>IF(I812&lt;=PARAMS_MODELO!$B$18,0,IF(I812&gt;=PARAMS_MODELO!$B$19,100,100*(I812-PARAMS_MODELO!$B$18)/(PARAMS_MODELO!$B$19-PARAMS_MODELO!$B$18)))*PARAMS_MODELO!$B$9</f>
        <v>15</v>
      </c>
      <c r="K812" s="5">
        <f>IFERROR(CHOOSE(MATCH(PARAMS_MODELO!$B$2,{"Q1","Q2","Q3"},0),LOTO!$D812,LOTO!$F812,LOTO!$H812),0)</f>
        <v>2022500</v>
      </c>
      <c r="L812" s="8">
        <f t="shared" si="290"/>
        <v>4.4650746716127995E-2</v>
      </c>
      <c r="M812" s="5">
        <f>MIN(100,IF(PARAMS_MODELO!$B$23=0,0,100*L812/PARAMS_MODELO!$B$23))*PARAMS_MODELO!$B$10</f>
        <v>13.395224014838396</v>
      </c>
      <c r="N812" s="5">
        <f>IFERROR(VLOOKUP(A812,COMPLIANCE!$A$2:$F$1996,6,0),100)</f>
        <v>100</v>
      </c>
      <c r="O812" s="5">
        <f>N812*PARAMS_MODELO!$B$11</f>
        <v>10</v>
      </c>
      <c r="P812" s="5">
        <f>IFERROR(VLOOKUP(A812,DIGITAL!$A$2:$J$2000,7,0),100)</f>
        <v>70</v>
      </c>
      <c r="Q812" s="5">
        <f>IFERROR(P812,0)*PARAMS_MODELO!$B$12</f>
        <v>7</v>
      </c>
      <c r="R812">
        <f t="shared" si="291"/>
        <v>85.087200798352001</v>
      </c>
      <c r="S812" s="5" t="str">
        <f>IFERROR(VLOOKUP(A812,CLIENTE!$A$2:$N$2000,13,0),1)</f>
        <v>Bueno</v>
      </c>
      <c r="T812" s="5">
        <f>IFERROR(VLOOKUP(A812,CLIENTE!$A$2:$N$2000,14,0),1)</f>
        <v>1.1000000000000001</v>
      </c>
      <c r="U812" s="5">
        <f t="shared" si="292"/>
        <v>93.595920878187215</v>
      </c>
      <c r="V812" s="5" t="str">
        <f>IF(U812&gt;=MAX(_xlfn.PERCENTILE.INC($U$2:$U$1194,PARAMS_MODELO!$B$50),PARAMS_MODELO!$B$45),"DIAMANTE",IF(U812&gt;=MAX(_xlfn.PERCENTILE.INC($U$2:$U$1194,PARAMS_MODELO!$B$51),PARAMS_MODELO!$B$46),"PLATINO",IF(U812&gt;=MAX(_xlfn.PERCENTILE.INC($U$2:$U$1194,PARAMS_MODELO!$B$52),PARAMS_MODELO!$B$47),"ORO",IF(U812&gt;=MAX(_xlfn.PERCENTILE.INC($U$2:$U$1194,PARAMS_MODELO!$B$53),PARAMS_MODELO!$B$48),"PLATA",IF(U812&gt;=1,"BRONCE","CERRADO")))))</f>
        <v>PLATINO</v>
      </c>
      <c r="W812" s="5" t="str" cm="1">
        <f t="array" ref="W812">_xlfn.XLOOKUP(1, (HIST_SCORE!$B:$B=PARAMS_MODELO!$B$4) * (HIST_SCORE!$C:$C=A812), HIST_SCORE!$E:$E, "No encontrado")</f>
        <v>PLATINO</v>
      </c>
      <c r="X812" s="5" t="str">
        <f>_xlfn.LET(_xlpm.act,MATCH(V812,{"DIAMANTE";"PLATINO";"ORO";"PLATA";"BRONCE";"CERRADO"},0),_xlpm.ant,MATCH(W812,{"DIAMANTE";"PLATINO";"ORO";"PLATA";"BRONCE";"CERRADO"},0),IF(_xlpm.act&lt;_xlpm.ant,"Mejora ↑",IF(_xlpm.act&gt;_xlpm.ant,"Baja ↓","Estable →")))</f>
        <v>Estable →</v>
      </c>
      <c r="Y812" s="5">
        <f>IFERROR(U812-SUMIFS(HIST_SCORE!$D:$D,HIST_SCORE!$B:$B,PARAMS_MODELO!$B$4,HIST_SCORE!$C:$C,$A812),"")</f>
        <v>1.856911301493966</v>
      </c>
      <c r="Z812" s="5" t="str">
        <f t="shared" si="293"/>
        <v>→ Estable</v>
      </c>
      <c r="AA812" s="5">
        <f t="shared" si="294"/>
        <v>81</v>
      </c>
      <c r="AB812" s="5">
        <f>IFERROR(SUMIFS(HIST_SCORE!$F:$F,HIST_SCORE!$B:$B,PARAMS_MODELO!$B$4,HIST_SCORE!$C:$C,$A812),"")</f>
        <v>104</v>
      </c>
      <c r="AC812" s="5">
        <f t="shared" si="295"/>
        <v>23</v>
      </c>
      <c r="AD812" t="str">
        <f t="shared" si="297"/>
        <v/>
      </c>
      <c r="AE8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812="CERRADO",1,IF(V812="BRONCE",_xlpm.cPl,IF(V812="PLATA",_xlpm.cO,IF(V812="ORO",_xlpm.cP,IF(V812="PLATINO",_xlpm.cD,999))))))</f>
        <v>96.054919694466676</v>
      </c>
      <c r="AF8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812="CERRADO",0,IF(V812="BRONCE",1,IF(V812="PLATA",_xlpm.cPl,IF(V812="ORO",_xlpm.cO,IF(V812="PLATINO",_xlpm.cP,_xlpm.cD))))))</f>
        <v>86.439123873763251</v>
      </c>
      <c r="AG812">
        <f t="shared" si="298"/>
        <v>2.235453469344975</v>
      </c>
      <c r="AH812" t="str">
        <f t="shared" si="299"/>
        <v>VENTAS</v>
      </c>
      <c r="AI812" t="str">
        <f t="shared" si="296"/>
        <v>🎯 Para subir de categoría, eje VENTAS / IMPACTO ABSOLUTO (H). Acción: metas semanales + activación comercial + seguimiento del asesor. ΔR aprox: 2,2</v>
      </c>
      <c r="AJ812" s="26">
        <f>_xlfn.LET(_xlpm.piso,AF812,_xlpm.corte,AE812,_xlpm.prog,IF(_xlpm.corte&lt;=_xlpm.piso,0,MAX(0,MIN(1,(U812-_xlpm.piso)/(_xlpm.corte-_xlpm.piso)))),_xlpm.orden,{"DIAMANTE";"PLATINO";"ORO";"PLATA";"BRONCE";"CERRADO"},_xlpm.act,IFERROR(MATCH(V812,_xlpm.orden,0),6),_xlpm.ant,IFERROR(MATCH(W812,_xlpm.orden,0),6),_xlpm.ajmov,IF(_xlpm.act&lt;_xlpm.ant,0.08,IF(_xlpm.act&gt;_xlpm.ant,-0.08,0)),_xlpm.ajcli,IF(T812&lt;0.95,-0.06,0),_xlpm.prob,MAX(0,MIN(1,_xlpm.prog+_xlpm.ajmov+_xlpm.ajcli)),IF(OR(V812="DIAMANTE",V812="CERRADO"),0,ROUND(_xlpm.prob,2)))</f>
        <v>0.74</v>
      </c>
      <c r="AK812" t="str">
        <f t="shared" si="300"/>
        <v>Faltan 2,2 puntos base para subir a la siguiente categoría</v>
      </c>
      <c r="AL812" t="str">
        <f t="shared" si="301"/>
        <v>Margen de seguridad: 7,2 puntos</v>
      </c>
      <c r="AM812">
        <f t="shared" si="302"/>
        <v>0.19</v>
      </c>
      <c r="AN812" t="str">
        <f t="shared" si="303"/>
        <v>PRIORIDAD BAJA – control normal</v>
      </c>
      <c r="AO812">
        <f t="shared" si="304"/>
        <v>11.187651740960172</v>
      </c>
      <c r="AP812">
        <f t="shared" si="305"/>
        <v>1.7652535836777645</v>
      </c>
      <c r="AQ812">
        <f t="shared" si="306"/>
        <v>0</v>
      </c>
      <c r="AR812">
        <f t="shared" si="307"/>
        <v>3.3000000000000003</v>
      </c>
      <c r="AS812">
        <f t="shared" si="308"/>
        <v>0</v>
      </c>
      <c r="AT812" t="str">
        <f t="shared" si="309"/>
        <v>VENTAS</v>
      </c>
      <c r="AU812">
        <f t="shared" si="310"/>
        <v>11.187651740960172</v>
      </c>
      <c r="AV812" t="str">
        <f t="shared" si="311"/>
        <v>Mayor retorno probable: VENTAS (+11,2 puntos finales potenciales).</v>
      </c>
    </row>
    <row r="813" spans="1:48" x14ac:dyDescent="0.3">
      <c r="A813" s="5">
        <v>51056302</v>
      </c>
      <c r="B813" s="5" t="str">
        <f>IFERROR(VLOOKUP(A813,VENTAS!$A$2:$B$1194,2,0),"")</f>
        <v>PUGH</v>
      </c>
      <c r="C813" s="5">
        <f>IFERROR(INDEX(VENTAS!$C$2:$E$1194,MATCH(A813,VENTAS!$A$2:$A$1194,0),MATCH(PARAMS_MODELO!$B$2,{"Q1","Q2","Q3"},0)),0)</f>
        <v>39437429.409999996</v>
      </c>
      <c r="D813" s="5">
        <f>IFERROR(INDEX(VENTAS!$F$2:$H$1194,MATCH(A813,VENTAS!$A$2:$A$1194,0),MATCH(PARAMS_MODELO!$B$2,{"Q1","Q2","Q3"},0)),0)</f>
        <v>45029910</v>
      </c>
      <c r="E813" s="8">
        <f t="shared" si="288"/>
        <v>0.14180641775252067</v>
      </c>
      <c r="F813" s="12">
        <f>IF(E813&lt;=PARAMS_MODELO!$B$15,0,IF(E813&gt;=PARAMS_MODELO!$B$17,100,100*MIN(1,(E813-PARAMS_MODELO!$B$15)/(PARAMS_MODELO!$B$16-PARAMS_MODELO!$B$15))))*PARAMS_MODELO!$B$7</f>
        <v>35</v>
      </c>
      <c r="G813" s="5">
        <f t="shared" si="289"/>
        <v>5592480.5900000036</v>
      </c>
      <c r="H813" s="5">
        <f>(PARAMS_MODELO!$B$20*(MAX(0,MIN(3,E813))/3)+PARAMS_MODELO!$B$21*(IFERROR(LN(1+MAX(0,G813))/LN(1+MAX(0,MAX($G$2:$G$1194))),0)))*100*PARAMS_MODELO!$B$8</f>
        <v>4.1383966231993208</v>
      </c>
      <c r="I813" s="8">
        <f>E813-PARAMS_MODELO!$B$5</f>
        <v>-3.5756417623005854E-2</v>
      </c>
      <c r="J813" s="5">
        <f>IF(I813&lt;=PARAMS_MODELO!$B$18,0,IF(I813&gt;=PARAMS_MODELO!$B$19,100,100*(I813-PARAMS_MODELO!$B$18)/(PARAMS_MODELO!$B$19-PARAMS_MODELO!$B$18)))*PARAMS_MODELO!$B$9</f>
        <v>2.1365373565491219</v>
      </c>
      <c r="K813" s="5">
        <f>IFERROR(CHOOSE(MATCH(PARAMS_MODELO!$B$2,{"Q1","Q2","Q3"},0),LOTO!$D813,LOTO!$F813,LOTO!$H813),0)</f>
        <v>2020000</v>
      </c>
      <c r="L813" s="8">
        <f t="shared" si="290"/>
        <v>4.4859072558661568E-2</v>
      </c>
      <c r="M813" s="5">
        <f>MIN(100,IF(PARAMS_MODELO!$B$23=0,0,100*L813/PARAMS_MODELO!$B$23))*PARAMS_MODELO!$B$10</f>
        <v>13.457721767598469</v>
      </c>
      <c r="N813" s="5">
        <f>IFERROR(VLOOKUP(A813,COMPLIANCE!$A$2:$F$1996,6,0),100)</f>
        <v>100</v>
      </c>
      <c r="O813" s="5">
        <f>N813*PARAMS_MODELO!$B$11</f>
        <v>10</v>
      </c>
      <c r="P813" s="5">
        <f>IFERROR(VLOOKUP(A813,DIGITAL!$A$2:$J$2000,7,0),100)</f>
        <v>30</v>
      </c>
      <c r="Q813" s="5">
        <f>IFERROR(P813,0)*PARAMS_MODELO!$B$12</f>
        <v>3</v>
      </c>
      <c r="R813">
        <f t="shared" si="291"/>
        <v>67.732655747346911</v>
      </c>
      <c r="S813" s="5" t="str">
        <f>IFERROR(VLOOKUP(A813,CLIENTE!$A$2:$N$2000,13,0),1)</f>
        <v>Regular</v>
      </c>
      <c r="T813" s="5">
        <f>IFERROR(VLOOKUP(A813,CLIENTE!$A$2:$N$2000,14,0),1)</f>
        <v>1</v>
      </c>
      <c r="U813" s="5">
        <f t="shared" si="292"/>
        <v>67.732655747346911</v>
      </c>
      <c r="V813" s="5" t="str">
        <f>IF(U813&gt;=MAX(_xlfn.PERCENTILE.INC($U$2:$U$1194,PARAMS_MODELO!$B$50),PARAMS_MODELO!$B$45),"DIAMANTE",IF(U813&gt;=MAX(_xlfn.PERCENTILE.INC($U$2:$U$1194,PARAMS_MODELO!$B$51),PARAMS_MODELO!$B$46),"PLATINO",IF(U813&gt;=MAX(_xlfn.PERCENTILE.INC($U$2:$U$1194,PARAMS_MODELO!$B$52),PARAMS_MODELO!$B$47),"ORO",IF(U813&gt;=MAX(_xlfn.PERCENTILE.INC($U$2:$U$1194,PARAMS_MODELO!$B$53),PARAMS_MODELO!$B$48),"PLATA",IF(U813&gt;=1,"BRONCE","CERRADO")))))</f>
        <v>ORO</v>
      </c>
      <c r="W813" s="5" t="str" cm="1">
        <f t="array" ref="W813">_xlfn.XLOOKUP(1, (HIST_SCORE!$B:$B=PARAMS_MODELO!$B$4) * (HIST_SCORE!$C:$C=A813), HIST_SCORE!$E:$E, "No encontrado")</f>
        <v>PLATA</v>
      </c>
      <c r="X813" s="5" t="str">
        <f>_xlfn.LET(_xlpm.act,MATCH(V813,{"DIAMANTE";"PLATINO";"ORO";"PLATA";"BRONCE";"CERRADO"},0),_xlpm.ant,MATCH(W813,{"DIAMANTE";"PLATINO";"ORO";"PLATA";"BRONCE";"CERRADO"},0),IF(_xlpm.act&lt;_xlpm.ant,"Mejora ↑",IF(_xlpm.act&gt;_xlpm.ant,"Baja ↓","Estable →")))</f>
        <v>Mejora ↑</v>
      </c>
      <c r="Y813" s="5">
        <f>IFERROR(U813-SUMIFS(HIST_SCORE!$D:$D,HIST_SCORE!$B:$B,PARAMS_MODELO!$B$4,HIST_SCORE!$C:$C,$A813),"")</f>
        <v>6.4978066565072723</v>
      </c>
      <c r="Z813" s="5" t="str">
        <f t="shared" si="293"/>
        <v>↑ Mejora</v>
      </c>
      <c r="AA813" s="5">
        <f t="shared" si="294"/>
        <v>533</v>
      </c>
      <c r="AB813" s="5">
        <f>IFERROR(SUMIFS(HIST_SCORE!$F:$F,HIST_SCORE!$B:$B,PARAMS_MODELO!$B$4,HIST_SCORE!$C:$C,$A813),"")</f>
        <v>626</v>
      </c>
      <c r="AC813" s="5">
        <f t="shared" si="295"/>
        <v>93</v>
      </c>
      <c r="AD813" t="str">
        <f t="shared" si="297"/>
        <v/>
      </c>
      <c r="AE8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813="CERRADO",1,IF(V813="BRONCE",_xlpm.cPl,IF(V813="PLATA",_xlpm.cO,IF(V813="ORO",_xlpm.cP,IF(V813="PLATINO",_xlpm.cD,999))))))</f>
        <v>86.439123873763251</v>
      </c>
      <c r="AF8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813="CERRADO",0,IF(V813="BRONCE",1,IF(V813="PLATA",_xlpm.cPl,IF(V813="ORO",_xlpm.cO,IF(V813="PLATINO",_xlpm.cP,_xlpm.cD))))))</f>
        <v>63.199193273331495</v>
      </c>
      <c r="AG813">
        <f t="shared" si="298"/>
        <v>18.70646812641634</v>
      </c>
      <c r="AH813" t="str">
        <f t="shared" si="299"/>
        <v>VENTAS</v>
      </c>
      <c r="AI813" t="str">
        <f t="shared" si="296"/>
        <v>🎯 Para subir de categoría, eje VENTAS / DIFERENCIAL vs LOTBA (J). Acción: metas semanales + activación comercial + seguimiento del asesor. ΔR aprox: 18,7</v>
      </c>
      <c r="AJ813" s="26">
        <f>_xlfn.LET(_xlpm.piso,AF813,_xlpm.corte,AE813,_xlpm.prog,IF(_xlpm.corte&lt;=_xlpm.piso,0,MAX(0,MIN(1,(U813-_xlpm.piso)/(_xlpm.corte-_xlpm.piso)))),_xlpm.orden,{"DIAMANTE";"PLATINO";"ORO";"PLATA";"BRONCE";"CERRADO"},_xlpm.act,IFERROR(MATCH(V813,_xlpm.orden,0),6),_xlpm.ant,IFERROR(MATCH(W813,_xlpm.orden,0),6),_xlpm.ajmov,IF(_xlpm.act&lt;_xlpm.ant,0.08,IF(_xlpm.act&gt;_xlpm.ant,-0.08,0)),_xlpm.ajcli,IF(T813&lt;0.95,-0.06,0),_xlpm.prob,MAX(0,MIN(1,_xlpm.prog+_xlpm.ajmov+_xlpm.ajcli)),IF(OR(V813="DIAMANTE",V813="CERRADO"),0,ROUND(_xlpm.prob,2)))</f>
        <v>0.28000000000000003</v>
      </c>
      <c r="AK813" t="str">
        <f t="shared" si="300"/>
        <v>Faltan 18,7 puntos base para subir a la siguiente categoría</v>
      </c>
      <c r="AL813" t="str">
        <f t="shared" si="301"/>
        <v>Margen de seguridad: 4,5 puntos</v>
      </c>
      <c r="AM813">
        <f t="shared" si="302"/>
        <v>0.69</v>
      </c>
      <c r="AN813" t="str">
        <f t="shared" si="303"/>
        <v>PRIORIDAD MEDIA – seguimiento del asesor</v>
      </c>
      <c r="AO813">
        <f t="shared" si="304"/>
        <v>23.587635295547145</v>
      </c>
      <c r="AP813">
        <f t="shared" si="305"/>
        <v>1.5422782324015305</v>
      </c>
      <c r="AQ813">
        <f t="shared" si="306"/>
        <v>0</v>
      </c>
      <c r="AR813">
        <f t="shared" si="307"/>
        <v>7</v>
      </c>
      <c r="AS813">
        <f t="shared" si="308"/>
        <v>0</v>
      </c>
      <c r="AT813" t="str">
        <f t="shared" si="309"/>
        <v>VENTAS</v>
      </c>
      <c r="AU813">
        <f t="shared" si="310"/>
        <v>23.587635295547145</v>
      </c>
      <c r="AV813" t="str">
        <f t="shared" si="311"/>
        <v>Mayor retorno probable: VENTAS (+23,6 puntos finales potenciales).</v>
      </c>
    </row>
    <row r="814" spans="1:48" x14ac:dyDescent="0.3">
      <c r="A814" s="5">
        <v>51032659</v>
      </c>
      <c r="B814" s="5" t="str">
        <f>IFERROR(VLOOKUP(A814,VENTAS!$A$2:$B$1194,2,0),"")</f>
        <v>BELUZZO</v>
      </c>
      <c r="C814" s="5">
        <f>IFERROR(INDEX(VENTAS!$C$2:$E$1194,MATCH(A814,VENTAS!$A$2:$A$1194,0),MATCH(PARAMS_MODELO!$B$2,{"Q1","Q2","Q3"},0)),0)</f>
        <v>34420785.270000003</v>
      </c>
      <c r="D814" s="5">
        <f>IFERROR(INDEX(VENTAS!$F$2:$H$1194,MATCH(A814,VENTAS!$A$2:$A$1194,0),MATCH(PARAMS_MODELO!$B$2,{"Q1","Q2","Q3"},0)),0)</f>
        <v>44839334</v>
      </c>
      <c r="E814" s="8">
        <f t="shared" si="288"/>
        <v>0.30268190130689598</v>
      </c>
      <c r="F814" s="12">
        <f>IF(E814&lt;=PARAMS_MODELO!$B$15,0,IF(E814&gt;=PARAMS_MODELO!$B$17,100,100*MIN(1,(E814-PARAMS_MODELO!$B$15)/(PARAMS_MODELO!$B$16-PARAMS_MODELO!$B$15))))*PARAMS_MODELO!$B$7</f>
        <v>35</v>
      </c>
      <c r="G814" s="5">
        <f t="shared" si="289"/>
        <v>10418548.729999997</v>
      </c>
      <c r="H814" s="5">
        <f>(PARAMS_MODELO!$B$20*(MAX(0,MIN(3,E814))/3)+PARAMS_MODELO!$B$21*(IFERROR(LN(1+MAX(0,G814))/LN(1+MAX(0,MAX($G$2:$G$1194))),0)))*100*PARAMS_MODELO!$B$8</f>
        <v>4.8473049125124366</v>
      </c>
      <c r="I814" s="8">
        <f>E814-PARAMS_MODELO!$B$5</f>
        <v>0.12511906593136946</v>
      </c>
      <c r="J814" s="5">
        <f>IF(I814&lt;=PARAMS_MODELO!$B$18,0,IF(I814&gt;=PARAMS_MODELO!$B$19,100,100*(I814-PARAMS_MODELO!$B$18)/(PARAMS_MODELO!$B$19-PARAMS_MODELO!$B$18)))*PARAMS_MODELO!$B$9</f>
        <v>15</v>
      </c>
      <c r="K814" s="5">
        <f>IFERROR(CHOOSE(MATCH(PARAMS_MODELO!$B$2,{"Q1","Q2","Q3"},0),LOTO!$D814,LOTO!$F814,LOTO!$H814),0)</f>
        <v>2020000</v>
      </c>
      <c r="L814" s="8">
        <f t="shared" si="290"/>
        <v>4.5049732451423116E-2</v>
      </c>
      <c r="M814" s="5">
        <f>MIN(100,IF(PARAMS_MODELO!$B$23=0,0,100*L814/PARAMS_MODELO!$B$23))*PARAMS_MODELO!$B$10</f>
        <v>13.514919735426933</v>
      </c>
      <c r="N814" s="5">
        <f>IFERROR(VLOOKUP(A814,COMPLIANCE!$A$2:$F$1996,6,0),100)</f>
        <v>99.98</v>
      </c>
      <c r="O814" s="5">
        <f>N814*PARAMS_MODELO!$B$11</f>
        <v>9.9980000000000011</v>
      </c>
      <c r="P814" s="5">
        <f>IFERROR(VLOOKUP(A814,DIGITAL!$A$2:$J$2000,7,0),100)</f>
        <v>86</v>
      </c>
      <c r="Q814" s="5">
        <f>IFERROR(P814,0)*PARAMS_MODELO!$B$12</f>
        <v>8.6</v>
      </c>
      <c r="R814">
        <f t="shared" si="291"/>
        <v>86.96022464793937</v>
      </c>
      <c r="S814" s="5" t="str">
        <f>IFERROR(VLOOKUP(A814,CLIENTE!$A$2:$N$2000,13,0),1)</f>
        <v>Regular</v>
      </c>
      <c r="T814" s="5">
        <f>IFERROR(VLOOKUP(A814,CLIENTE!$A$2:$N$2000,14,0),1)</f>
        <v>1</v>
      </c>
      <c r="U814" s="5">
        <f t="shared" si="292"/>
        <v>86.96022464793937</v>
      </c>
      <c r="V814" s="5" t="str">
        <f>IF(U814&gt;=MAX(_xlfn.PERCENTILE.INC($U$2:$U$1194,PARAMS_MODELO!$B$50),PARAMS_MODELO!$B$45),"DIAMANTE",IF(U814&gt;=MAX(_xlfn.PERCENTILE.INC($U$2:$U$1194,PARAMS_MODELO!$B$51),PARAMS_MODELO!$B$46),"PLATINO",IF(U814&gt;=MAX(_xlfn.PERCENTILE.INC($U$2:$U$1194,PARAMS_MODELO!$B$52),PARAMS_MODELO!$B$47),"ORO",IF(U814&gt;=MAX(_xlfn.PERCENTILE.INC($U$2:$U$1194,PARAMS_MODELO!$B$53),PARAMS_MODELO!$B$48),"PLATA",IF(U814&gt;=1,"BRONCE","CERRADO")))))</f>
        <v>PLATINO</v>
      </c>
      <c r="W814" s="5" t="str" cm="1">
        <f t="array" ref="W814">_xlfn.XLOOKUP(1, (HIST_SCORE!$B:$B=PARAMS_MODELO!$B$4) * (HIST_SCORE!$C:$C=A814), HIST_SCORE!$E:$E, "No encontrado")</f>
        <v>PLATINO</v>
      </c>
      <c r="X814" s="5" t="str">
        <f>_xlfn.LET(_xlpm.act,MATCH(V814,{"DIAMANTE";"PLATINO";"ORO";"PLATA";"BRONCE";"CERRADO"},0),_xlpm.ant,MATCH(W814,{"DIAMANTE";"PLATINO";"ORO";"PLATA";"BRONCE";"CERRADO"},0),IF(_xlpm.act&lt;_xlpm.ant,"Mejora ↑",IF(_xlpm.act&gt;_xlpm.ant,"Baja ↓","Estable →")))</f>
        <v>Estable →</v>
      </c>
      <c r="Y814" s="5">
        <f>IFERROR(U814-SUMIFS(HIST_SCORE!$D:$D,HIST_SCORE!$B:$B,PARAMS_MODELO!$B$4,HIST_SCORE!$C:$C,$A814),"")</f>
        <v>0.38051454763031245</v>
      </c>
      <c r="Z814" s="5" t="str">
        <f t="shared" si="293"/>
        <v>→ Estable</v>
      </c>
      <c r="AA814" s="5">
        <f t="shared" si="294"/>
        <v>225</v>
      </c>
      <c r="AB814" s="5">
        <f>IFERROR(SUMIFS(HIST_SCORE!$F:$F,HIST_SCORE!$B:$B,PARAMS_MODELO!$B$4,HIST_SCORE!$C:$C,$A814),"")</f>
        <v>214</v>
      </c>
      <c r="AC814" s="5">
        <f t="shared" si="295"/>
        <v>-11</v>
      </c>
      <c r="AD814" t="str">
        <f t="shared" si="297"/>
        <v/>
      </c>
      <c r="AE8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814="CERRADO",1,IF(V814="BRONCE",_xlpm.cPl,IF(V814="PLATA",_xlpm.cO,IF(V814="ORO",_xlpm.cP,IF(V814="PLATINO",_xlpm.cD,999))))))</f>
        <v>96.054919694466676</v>
      </c>
      <c r="AF8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814="CERRADO",0,IF(V814="BRONCE",1,IF(V814="PLATA",_xlpm.cPl,IF(V814="ORO",_xlpm.cO,IF(V814="PLATINO",_xlpm.cP,_xlpm.cD))))))</f>
        <v>86.439123873763251</v>
      </c>
      <c r="AG814">
        <f t="shared" si="298"/>
        <v>9.0946950465273062</v>
      </c>
      <c r="AH814" t="str">
        <f t="shared" si="299"/>
        <v>VENTAS</v>
      </c>
      <c r="AI814" t="str">
        <f t="shared" si="296"/>
        <v>🎯 Para subir de categoría, eje VENTAS / IMPACTO ABSOLUTO (H). Acción: metas semanales + activación comercial + seguimiento del asesor. ΔR aprox: 9,1</v>
      </c>
      <c r="AJ814" s="26">
        <f>_xlfn.LET(_xlpm.piso,AF814,_xlpm.corte,AE814,_xlpm.prog,IF(_xlpm.corte&lt;=_xlpm.piso,0,MAX(0,MIN(1,(U814-_xlpm.piso)/(_xlpm.corte-_xlpm.piso)))),_xlpm.orden,{"DIAMANTE";"PLATINO";"ORO";"PLATA";"BRONCE";"CERRADO"},_xlpm.act,IFERROR(MATCH(V814,_xlpm.orden,0),6),_xlpm.ant,IFERROR(MATCH(W814,_xlpm.orden,0),6),_xlpm.ajmov,IF(_xlpm.act&lt;_xlpm.ant,0.08,IF(_xlpm.act&gt;_xlpm.ant,-0.08,0)),_xlpm.ajcli,IF(T814&lt;0.95,-0.06,0),_xlpm.prob,MAX(0,MIN(1,_xlpm.prog+_xlpm.ajmov+_xlpm.ajcli)),IF(OR(V814="DIAMANTE",V814="CERRADO"),0,ROUND(_xlpm.prob,2)))</f>
        <v>0.05</v>
      </c>
      <c r="AK814" t="str">
        <f t="shared" si="300"/>
        <v>Faltan 9,1 puntos base para subir a la siguiente categoría</v>
      </c>
      <c r="AL814" t="str">
        <f t="shared" si="301"/>
        <v>Margen de seguridad: 0,5 puntos</v>
      </c>
      <c r="AM814">
        <f t="shared" si="302"/>
        <v>0.74</v>
      </c>
      <c r="AN814" t="str">
        <f t="shared" si="303"/>
        <v>PRIORIDAD ALTA – requiere intervención inmediata</v>
      </c>
      <c r="AO814">
        <f t="shared" si="304"/>
        <v>10.015264362783149</v>
      </c>
      <c r="AP814">
        <f t="shared" si="305"/>
        <v>1.4850802645730674</v>
      </c>
      <c r="AQ814">
        <f t="shared" si="306"/>
        <v>1.9999999999988916E-3</v>
      </c>
      <c r="AR814">
        <f t="shared" si="307"/>
        <v>1.4000000000000004</v>
      </c>
      <c r="AS814">
        <f t="shared" si="308"/>
        <v>0</v>
      </c>
      <c r="AT814" t="str">
        <f t="shared" si="309"/>
        <v>VENTAS</v>
      </c>
      <c r="AU814">
        <f t="shared" si="310"/>
        <v>10.015264362783149</v>
      </c>
      <c r="AV814" t="str">
        <f t="shared" si="311"/>
        <v>Mayor retorno probable: VENTAS (+10,0 puntos finales potenciales).</v>
      </c>
    </row>
    <row r="815" spans="1:48" x14ac:dyDescent="0.3">
      <c r="A815" s="5">
        <v>51017129</v>
      </c>
      <c r="B815" s="5" t="str">
        <f>IFERROR(VLOOKUP(A815,VENTAS!$A$2:$B$1194,2,0),"")</f>
        <v>METTLER</v>
      </c>
      <c r="C815" s="5">
        <f>IFERROR(INDEX(VENTAS!$C$2:$E$1194,MATCH(A815,VENTAS!$A$2:$A$1194,0),MATCH(PARAMS_MODELO!$B$2,{"Q1","Q2","Q3"},0)),0)</f>
        <v>28078611.050000001</v>
      </c>
      <c r="D815" s="5">
        <f>IFERROR(INDEX(VENTAS!$F$2:$H$1194,MATCH(A815,VENTAS!$A$2:$A$1194,0),MATCH(PARAMS_MODELO!$B$2,{"Q1","Q2","Q3"},0)),0)</f>
        <v>44809080</v>
      </c>
      <c r="E815" s="8">
        <f t="shared" si="288"/>
        <v>0.59584389413734895</v>
      </c>
      <c r="F815" s="12">
        <f>IF(E815&lt;=PARAMS_MODELO!$B$15,0,IF(E815&gt;=PARAMS_MODELO!$B$17,100,100*MIN(1,(E815-PARAMS_MODELO!$B$15)/(PARAMS_MODELO!$B$16-PARAMS_MODELO!$B$15))))*PARAMS_MODELO!$B$7</f>
        <v>35</v>
      </c>
      <c r="G815" s="5">
        <f t="shared" si="289"/>
        <v>16730468.949999999</v>
      </c>
      <c r="H815" s="5">
        <f>(PARAMS_MODELO!$B$20*(MAX(0,MIN(3,E815))/3)+PARAMS_MODELO!$B$21*(IFERROR(LN(1+MAX(0,G815))/LN(1+MAX(0,MAX($G$2:$G$1194))),0)))*100*PARAMS_MODELO!$B$8</f>
        <v>5.9844005970657905</v>
      </c>
      <c r="I815" s="8">
        <f>E815-PARAMS_MODELO!$B$5</f>
        <v>0.41828105876182242</v>
      </c>
      <c r="J815" s="5">
        <f>IF(I815&lt;=PARAMS_MODELO!$B$18,0,IF(I815&gt;=PARAMS_MODELO!$B$19,100,100*(I815-PARAMS_MODELO!$B$18)/(PARAMS_MODELO!$B$19-PARAMS_MODELO!$B$18)))*PARAMS_MODELO!$B$9</f>
        <v>15</v>
      </c>
      <c r="K815" s="5">
        <f>IFERROR(CHOOSE(MATCH(PARAMS_MODELO!$B$2,{"Q1","Q2","Q3"},0),LOTO!$D815,LOTO!$F815,LOTO!$H815),0)</f>
        <v>2015000</v>
      </c>
      <c r="L815" s="8">
        <f t="shared" si="290"/>
        <v>4.4968564407035359E-2</v>
      </c>
      <c r="M815" s="5">
        <f>MIN(100,IF(PARAMS_MODELO!$B$23=0,0,100*L815/PARAMS_MODELO!$B$23))*PARAMS_MODELO!$B$10</f>
        <v>13.490569322110607</v>
      </c>
      <c r="N815" s="5">
        <f>IFERROR(VLOOKUP(A815,COMPLIANCE!$A$2:$F$1996,6,0),100)</f>
        <v>99.15</v>
      </c>
      <c r="O815" s="5">
        <f>N815*PARAMS_MODELO!$B$11</f>
        <v>9.9150000000000009</v>
      </c>
      <c r="P815" s="5">
        <f>IFERROR(VLOOKUP(A815,DIGITAL!$A$2:$J$2000,7,0),100)</f>
        <v>38</v>
      </c>
      <c r="Q815" s="5">
        <f>IFERROR(P815,0)*PARAMS_MODELO!$B$12</f>
        <v>3.8000000000000003</v>
      </c>
      <c r="R815">
        <f t="shared" si="291"/>
        <v>83.189969919176406</v>
      </c>
      <c r="S815" s="5" t="str">
        <f>IFERROR(VLOOKUP(A815,CLIENTE!$A$2:$N$2000,13,0),1)</f>
        <v>Regular</v>
      </c>
      <c r="T815" s="5">
        <f>IFERROR(VLOOKUP(A815,CLIENTE!$A$2:$N$2000,14,0),1)</f>
        <v>1</v>
      </c>
      <c r="U815" s="5">
        <f t="shared" si="292"/>
        <v>83.189969919176406</v>
      </c>
      <c r="V815" s="5" t="str">
        <f>IF(U815&gt;=MAX(_xlfn.PERCENTILE.INC($U$2:$U$1194,PARAMS_MODELO!$B$50),PARAMS_MODELO!$B$45),"DIAMANTE",IF(U815&gt;=MAX(_xlfn.PERCENTILE.INC($U$2:$U$1194,PARAMS_MODELO!$B$51),PARAMS_MODELO!$B$46),"PLATINO",IF(U815&gt;=MAX(_xlfn.PERCENTILE.INC($U$2:$U$1194,PARAMS_MODELO!$B$52),PARAMS_MODELO!$B$47),"ORO",IF(U815&gt;=MAX(_xlfn.PERCENTILE.INC($U$2:$U$1194,PARAMS_MODELO!$B$53),PARAMS_MODELO!$B$48),"PLATA",IF(U815&gt;=1,"BRONCE","CERRADO")))))</f>
        <v>ORO</v>
      </c>
      <c r="W815" s="5" t="str" cm="1">
        <f t="array" ref="W815">_xlfn.XLOOKUP(1, (HIST_SCORE!$B:$B=PARAMS_MODELO!$B$4) * (HIST_SCORE!$C:$C=A815), HIST_SCORE!$E:$E, "No encontrado")</f>
        <v>ORO</v>
      </c>
      <c r="X815" s="5" t="str">
        <f>_xlfn.LET(_xlpm.act,MATCH(V815,{"DIAMANTE";"PLATINO";"ORO";"PLATA";"BRONCE";"CERRADO"},0),_xlpm.ant,MATCH(W815,{"DIAMANTE";"PLATINO";"ORO";"PLATA";"BRONCE";"CERRADO"},0),IF(_xlpm.act&lt;_xlpm.ant,"Mejora ↑",IF(_xlpm.act&gt;_xlpm.ant,"Baja ↓","Estable →")))</f>
        <v>Estable →</v>
      </c>
      <c r="Y815" s="5">
        <f>IFERROR(U815-SUMIFS(HIST_SCORE!$D:$D,HIST_SCORE!$B:$B,PARAMS_MODELO!$B$4,HIST_SCORE!$C:$C,$A815),"")</f>
        <v>-0.30524071904267203</v>
      </c>
      <c r="Z815" s="5" t="str">
        <f t="shared" si="293"/>
        <v>→ Estable</v>
      </c>
      <c r="AA815" s="5">
        <f t="shared" si="294"/>
        <v>343</v>
      </c>
      <c r="AB815" s="5">
        <f>IFERROR(SUMIFS(HIST_SCORE!$F:$F,HIST_SCORE!$B:$B,PARAMS_MODELO!$B$4,HIST_SCORE!$C:$C,$A815),"")</f>
        <v>306</v>
      </c>
      <c r="AC815" s="5">
        <f t="shared" si="295"/>
        <v>-37</v>
      </c>
      <c r="AD815" t="str">
        <f t="shared" si="297"/>
        <v>Sostener base y reforzar mix</v>
      </c>
      <c r="AE8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815="CERRADO",1,IF(V815="BRONCE",_xlpm.cPl,IF(V815="PLATA",_xlpm.cO,IF(V815="ORO",_xlpm.cP,IF(V815="PLATINO",_xlpm.cD,999))))))</f>
        <v>86.439123873763251</v>
      </c>
      <c r="AF8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815="CERRADO",0,IF(V815="BRONCE",1,IF(V815="PLATA",_xlpm.cPl,IF(V815="ORO",_xlpm.cO,IF(V815="PLATINO",_xlpm.cP,_xlpm.cD))))))</f>
        <v>63.199193273331495</v>
      </c>
      <c r="AG815">
        <f t="shared" si="298"/>
        <v>3.2491539545868449</v>
      </c>
      <c r="AH815" t="str">
        <f t="shared" si="299"/>
        <v>VENTAS</v>
      </c>
      <c r="AI815" t="str">
        <f t="shared" si="296"/>
        <v>🎯 Para subir de categoría, eje VENTAS / IMPACTO ABSOLUTO (H). Acción: metas semanales + activación comercial + seguimiento del asesor. ΔR aprox: 3,2</v>
      </c>
      <c r="AJ815" s="26">
        <f>_xlfn.LET(_xlpm.piso,AF815,_xlpm.corte,AE815,_xlpm.prog,IF(_xlpm.corte&lt;=_xlpm.piso,0,MAX(0,MIN(1,(U815-_xlpm.piso)/(_xlpm.corte-_xlpm.piso)))),_xlpm.orden,{"DIAMANTE";"PLATINO";"ORO";"PLATA";"BRONCE";"CERRADO"},_xlpm.act,IFERROR(MATCH(V815,_xlpm.orden,0),6),_xlpm.ant,IFERROR(MATCH(W815,_xlpm.orden,0),6),_xlpm.ajmov,IF(_xlpm.act&lt;_xlpm.ant,0.08,IF(_xlpm.act&gt;_xlpm.ant,-0.08,0)),_xlpm.ajcli,IF(T815&lt;0.95,-0.06,0),_xlpm.prob,MAX(0,MIN(1,_xlpm.prog+_xlpm.ajmov+_xlpm.ajcli)),IF(OR(V815="DIAMANTE",V815="CERRADO"),0,ROUND(_xlpm.prob,2)))</f>
        <v>0.86</v>
      </c>
      <c r="AK815" t="str">
        <f t="shared" si="300"/>
        <v>Faltan 3,2 puntos base para subir a la siguiente categoría</v>
      </c>
      <c r="AL815" t="str">
        <f t="shared" si="301"/>
        <v>Margen de seguridad: 20,0 puntos</v>
      </c>
      <c r="AM815">
        <f t="shared" si="302"/>
        <v>0.19</v>
      </c>
      <c r="AN815" t="str">
        <f t="shared" si="303"/>
        <v>PRIORIDAD BAJA – control normal</v>
      </c>
      <c r="AO815">
        <f t="shared" si="304"/>
        <v>8.8781686782297911</v>
      </c>
      <c r="AP815">
        <f t="shared" si="305"/>
        <v>1.5094306778893927</v>
      </c>
      <c r="AQ815">
        <f t="shared" si="306"/>
        <v>8.4999999999999076E-2</v>
      </c>
      <c r="AR815">
        <f t="shared" si="307"/>
        <v>6.1999999999999993</v>
      </c>
      <c r="AS815">
        <f t="shared" si="308"/>
        <v>0</v>
      </c>
      <c r="AT815" t="str">
        <f t="shared" si="309"/>
        <v>VENTAS</v>
      </c>
      <c r="AU815">
        <f t="shared" si="310"/>
        <v>8.8781686782297911</v>
      </c>
      <c r="AV815" t="str">
        <f t="shared" si="311"/>
        <v>Mayor retorno probable: VENTAS (+8,9 puntos finales potenciales).</v>
      </c>
    </row>
    <row r="816" spans="1:48" x14ac:dyDescent="0.3">
      <c r="A816" s="5">
        <v>51036191</v>
      </c>
      <c r="B816" s="5" t="str">
        <f>IFERROR(VLOOKUP(A816,VENTAS!$A$2:$B$1194,2,0),"")</f>
        <v>PRADES</v>
      </c>
      <c r="C816" s="5">
        <f>IFERROR(INDEX(VENTAS!$C$2:$E$1194,MATCH(A816,VENTAS!$A$2:$A$1194,0),MATCH(PARAMS_MODELO!$B$2,{"Q1","Q2","Q3"},0)),0)</f>
        <v>33819419.5</v>
      </c>
      <c r="D816" s="5">
        <f>IFERROR(INDEX(VENTAS!$F$2:$H$1194,MATCH(A816,VENTAS!$A$2:$A$1194,0),MATCH(PARAMS_MODELO!$B$2,{"Q1","Q2","Q3"},0)),0)</f>
        <v>44664251</v>
      </c>
      <c r="E816" s="8">
        <f t="shared" si="288"/>
        <v>0.3206687654706788</v>
      </c>
      <c r="F816" s="12">
        <f>IF(E816&lt;=PARAMS_MODELO!$B$15,0,IF(E816&gt;=PARAMS_MODELO!$B$17,100,100*MIN(1,(E816-PARAMS_MODELO!$B$15)/(PARAMS_MODELO!$B$16-PARAMS_MODELO!$B$15))))*PARAMS_MODELO!$B$7</f>
        <v>35</v>
      </c>
      <c r="G816" s="5">
        <f t="shared" si="289"/>
        <v>10844831.5</v>
      </c>
      <c r="H816" s="5">
        <f>(PARAMS_MODELO!$B$20*(MAX(0,MIN(3,E816))/3)+PARAMS_MODELO!$B$21*(IFERROR(LN(1+MAX(0,G816))/LN(1+MAX(0,MAX($G$2:$G$1194))),0)))*100*PARAMS_MODELO!$B$8</f>
        <v>4.9196591370984164</v>
      </c>
      <c r="I816" s="8">
        <f>E816-PARAMS_MODELO!$B$5</f>
        <v>0.14310593009515227</v>
      </c>
      <c r="J816" s="5">
        <f>IF(I816&lt;=PARAMS_MODELO!$B$18,0,IF(I816&gt;=PARAMS_MODELO!$B$19,100,100*(I816-PARAMS_MODELO!$B$18)/(PARAMS_MODELO!$B$19-PARAMS_MODELO!$B$18)))*PARAMS_MODELO!$B$9</f>
        <v>15</v>
      </c>
      <c r="K816" s="5">
        <f>IFERROR(CHOOSE(MATCH(PARAMS_MODELO!$B$2,{"Q1","Q2","Q3"},0),LOTO!$D816,LOTO!$F816,LOTO!$H816),0)</f>
        <v>2010000</v>
      </c>
      <c r="L816" s="8">
        <f t="shared" si="290"/>
        <v>4.5002433825656225E-2</v>
      </c>
      <c r="M816" s="5">
        <f>MIN(100,IF(PARAMS_MODELO!$B$23=0,0,100*L816/PARAMS_MODELO!$B$23))*PARAMS_MODELO!$B$10</f>
        <v>13.500730147696867</v>
      </c>
      <c r="N816" s="5">
        <f>IFERROR(VLOOKUP(A816,COMPLIANCE!$A$2:$F$1996,6,0),100)</f>
        <v>100</v>
      </c>
      <c r="O816" s="5">
        <f>N816*PARAMS_MODELO!$B$11</f>
        <v>10</v>
      </c>
      <c r="P816" s="5">
        <f>IFERROR(VLOOKUP(A816,DIGITAL!$A$2:$J$2000,7,0),100)</f>
        <v>43</v>
      </c>
      <c r="Q816" s="5">
        <f>IFERROR(P816,0)*PARAMS_MODELO!$B$12</f>
        <v>4.3</v>
      </c>
      <c r="R816">
        <f t="shared" si="291"/>
        <v>82.720389284795274</v>
      </c>
      <c r="S816" s="5" t="str">
        <f>IFERROR(VLOOKUP(A816,CLIENTE!$A$2:$N$2000,13,0),1)</f>
        <v>Malo</v>
      </c>
      <c r="T816" s="5">
        <f>IFERROR(VLOOKUP(A816,CLIENTE!$A$2:$N$2000,14,0),1)</f>
        <v>0.7</v>
      </c>
      <c r="U816" s="5">
        <f t="shared" si="292"/>
        <v>57.904272499356686</v>
      </c>
      <c r="V816" s="5" t="str">
        <f>IF(U816&gt;=MAX(_xlfn.PERCENTILE.INC($U$2:$U$1194,PARAMS_MODELO!$B$50),PARAMS_MODELO!$B$45),"DIAMANTE",IF(U816&gt;=MAX(_xlfn.PERCENTILE.INC($U$2:$U$1194,PARAMS_MODELO!$B$51),PARAMS_MODELO!$B$46),"PLATINO",IF(U816&gt;=MAX(_xlfn.PERCENTILE.INC($U$2:$U$1194,PARAMS_MODELO!$B$52),PARAMS_MODELO!$B$47),"ORO",IF(U816&gt;=MAX(_xlfn.PERCENTILE.INC($U$2:$U$1194,PARAMS_MODELO!$B$53),PARAMS_MODELO!$B$48),"PLATA",IF(U816&gt;=1,"BRONCE","CERRADO")))))</f>
        <v>PLATA</v>
      </c>
      <c r="W816" s="5" t="str" cm="1">
        <f t="array" ref="W816">_xlfn.XLOOKUP(1, (HIST_SCORE!$B:$B=PARAMS_MODELO!$B$4) * (HIST_SCORE!$C:$C=A816), HIST_SCORE!$E:$E, "No encontrado")</f>
        <v>PLATA</v>
      </c>
      <c r="X816" s="5" t="str">
        <f>_xlfn.LET(_xlpm.act,MATCH(V816,{"DIAMANTE";"PLATINO";"ORO";"PLATA";"BRONCE";"CERRADO"},0),_xlpm.ant,MATCH(W816,{"DIAMANTE";"PLATINO";"ORO";"PLATA";"BRONCE";"CERRADO"},0),IF(_xlpm.act&lt;_xlpm.ant,"Mejora ↑",IF(_xlpm.act&gt;_xlpm.ant,"Baja ↓","Estable →")))</f>
        <v>Estable →</v>
      </c>
      <c r="Y816" s="5">
        <f>IFERROR(U816-SUMIFS(HIST_SCORE!$D:$D,HIST_SCORE!$B:$B,PARAMS_MODELO!$B$4,HIST_SCORE!$C:$C,$A816),"")</f>
        <v>0.65752809195490869</v>
      </c>
      <c r="Z816" s="5" t="str">
        <f t="shared" si="293"/>
        <v>→ Estable</v>
      </c>
      <c r="AA816" s="5">
        <f t="shared" si="294"/>
        <v>665</v>
      </c>
      <c r="AB816" s="5">
        <f>IFERROR(SUMIFS(HIST_SCORE!$F:$F,HIST_SCORE!$B:$B,PARAMS_MODELO!$B$4,HIST_SCORE!$C:$C,$A816),"")</f>
        <v>709</v>
      </c>
      <c r="AC816" s="5">
        <f t="shared" si="295"/>
        <v>44</v>
      </c>
      <c r="AD816" t="str">
        <f t="shared" si="297"/>
        <v/>
      </c>
      <c r="AE8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816="CERRADO",1,IF(V816="BRONCE",_xlpm.cPl,IF(V816="PLATA",_xlpm.cO,IF(V816="ORO",_xlpm.cP,IF(V816="PLATINO",_xlpm.cD,999))))))</f>
        <v>63.199193273331495</v>
      </c>
      <c r="AF8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816="CERRADO",0,IF(V816="BRONCE",1,IF(V816="PLATA",_xlpm.cPl,IF(V816="ORO",_xlpm.cO,IF(V816="PLATINO",_xlpm.cP,_xlpm.cD))))))</f>
        <v>24.506573482968111</v>
      </c>
      <c r="AG816">
        <f t="shared" si="298"/>
        <v>7.564172534249721</v>
      </c>
      <c r="AH816" t="str">
        <f t="shared" si="299"/>
        <v>CLIENTE</v>
      </c>
      <c r="AI816" t="str">
        <f t="shared" si="296"/>
        <v>🎯 Para subir de categoría, la eje con mayor impacto probable es CLIENTE (coef T). Acción: reducir quejas, mejorar incógnito y empujar reseñas. ΔR aprox: 7,6</v>
      </c>
      <c r="AJ816" s="26">
        <f>_xlfn.LET(_xlpm.piso,AF816,_xlpm.corte,AE816,_xlpm.prog,IF(_xlpm.corte&lt;=_xlpm.piso,0,MAX(0,MIN(1,(U816-_xlpm.piso)/(_xlpm.corte-_xlpm.piso)))),_xlpm.orden,{"DIAMANTE";"PLATINO";"ORO";"PLATA";"BRONCE";"CERRADO"},_xlpm.act,IFERROR(MATCH(V816,_xlpm.orden,0),6),_xlpm.ant,IFERROR(MATCH(W816,_xlpm.orden,0),6),_xlpm.ajmov,IF(_xlpm.act&lt;_xlpm.ant,0.08,IF(_xlpm.act&gt;_xlpm.ant,-0.08,0)),_xlpm.ajcli,IF(T816&lt;0.95,-0.06,0),_xlpm.prob,MAX(0,MIN(1,_xlpm.prog+_xlpm.ajmov+_xlpm.ajcli)),IF(OR(V816="DIAMANTE",V816="CERRADO"),0,ROUND(_xlpm.prob,2)))</f>
        <v>0.8</v>
      </c>
      <c r="AK816" t="str">
        <f t="shared" si="300"/>
        <v>Faltan 7,6 puntos base para subir a la siguiente categoría</v>
      </c>
      <c r="AL816" t="str">
        <f t="shared" si="301"/>
        <v>Margen de seguridad: 33,4 puntos</v>
      </c>
      <c r="AM816">
        <f t="shared" si="302"/>
        <v>0.57999999999999996</v>
      </c>
      <c r="AN816" t="str">
        <f t="shared" si="303"/>
        <v>PRIORIDAD MEDIA – seguimiento del asesor</v>
      </c>
      <c r="AO816">
        <f t="shared" si="304"/>
        <v>6.9600370967380192</v>
      </c>
      <c r="AP816">
        <f t="shared" si="305"/>
        <v>1.0494888966121929</v>
      </c>
      <c r="AQ816">
        <f t="shared" si="306"/>
        <v>0</v>
      </c>
      <c r="AR816">
        <f t="shared" si="307"/>
        <v>3.9899999999999998</v>
      </c>
      <c r="AS816">
        <f t="shared" si="308"/>
        <v>24.816116785438584</v>
      </c>
      <c r="AT816" t="str">
        <f t="shared" si="309"/>
        <v>CLIENTE</v>
      </c>
      <c r="AU816">
        <f t="shared" si="310"/>
        <v>24.816116785438584</v>
      </c>
      <c r="AV816" t="str">
        <f t="shared" si="311"/>
        <v>Mayor retorno probable: CLIENTE (+24,8 puntos finales potenciales).</v>
      </c>
    </row>
    <row r="817" spans="1:48" x14ac:dyDescent="0.3">
      <c r="A817" s="5">
        <v>51011562</v>
      </c>
      <c r="B817" s="5" t="str">
        <f>IFERROR(VLOOKUP(A817,VENTAS!$A$2:$B$1194,2,0),"")</f>
        <v>CICHETTO</v>
      </c>
      <c r="C817" s="5">
        <f>IFERROR(INDEX(VENTAS!$C$2:$E$1194,MATCH(A817,VENTAS!$A$2:$A$1194,0),MATCH(PARAMS_MODELO!$B$2,{"Q1","Q2","Q3"},0)),0)</f>
        <v>30024764.93</v>
      </c>
      <c r="D817" s="5">
        <f>IFERROR(INDEX(VENTAS!$F$2:$H$1194,MATCH(A817,VENTAS!$A$2:$A$1194,0),MATCH(PARAMS_MODELO!$B$2,{"Q1","Q2","Q3"},0)),0)</f>
        <v>44663073</v>
      </c>
      <c r="E817" s="8">
        <f t="shared" si="288"/>
        <v>0.48754113826129464</v>
      </c>
      <c r="F817" s="12">
        <f>IF(E817&lt;=PARAMS_MODELO!$B$15,0,IF(E817&gt;=PARAMS_MODELO!$B$17,100,100*MIN(1,(E817-PARAMS_MODELO!$B$15)/(PARAMS_MODELO!$B$16-PARAMS_MODELO!$B$15))))*PARAMS_MODELO!$B$7</f>
        <v>35</v>
      </c>
      <c r="G817" s="5">
        <f t="shared" si="289"/>
        <v>14638308.07</v>
      </c>
      <c r="H817" s="5">
        <f>(PARAMS_MODELO!$B$20*(MAX(0,MIN(3,E817))/3)+PARAMS_MODELO!$B$21*(IFERROR(LN(1+MAX(0,G817))/LN(1+MAX(0,MAX($G$2:$G$1194))),0)))*100*PARAMS_MODELO!$B$8</f>
        <v>5.5740256833930379</v>
      </c>
      <c r="I817" s="8">
        <f>E817-PARAMS_MODELO!$B$5</f>
        <v>0.30997830288576811</v>
      </c>
      <c r="J817" s="5">
        <f>IF(I817&lt;=PARAMS_MODELO!$B$18,0,IF(I817&gt;=PARAMS_MODELO!$B$19,100,100*(I817-PARAMS_MODELO!$B$18)/(PARAMS_MODELO!$B$19-PARAMS_MODELO!$B$18)))*PARAMS_MODELO!$B$9</f>
        <v>15</v>
      </c>
      <c r="K817" s="5">
        <f>IFERROR(CHOOSE(MATCH(PARAMS_MODELO!$B$2,{"Q1","Q2","Q3"},0),LOTO!$D817,LOTO!$F817,LOTO!$H817),0)</f>
        <v>2000000</v>
      </c>
      <c r="L817" s="8">
        <f t="shared" si="290"/>
        <v>4.4779722165557215E-2</v>
      </c>
      <c r="M817" s="5">
        <f>MIN(100,IF(PARAMS_MODELO!$B$23=0,0,100*L817/PARAMS_MODELO!$B$23))*PARAMS_MODELO!$B$10</f>
        <v>13.433916649667163</v>
      </c>
      <c r="N817" s="5">
        <f>IFERROR(VLOOKUP(A817,COMPLIANCE!$A$2:$F$1996,6,0),100)</f>
        <v>100</v>
      </c>
      <c r="O817" s="5">
        <f>N817*PARAMS_MODELO!$B$11</f>
        <v>10</v>
      </c>
      <c r="P817" s="5">
        <f>IFERROR(VLOOKUP(A817,DIGITAL!$A$2:$J$2000,7,0),100)</f>
        <v>82</v>
      </c>
      <c r="Q817" s="5">
        <f>IFERROR(P817,0)*PARAMS_MODELO!$B$12</f>
        <v>8.2000000000000011</v>
      </c>
      <c r="R817">
        <f t="shared" si="291"/>
        <v>87.207942333060203</v>
      </c>
      <c r="S817" s="5" t="str">
        <f>IFERROR(VLOOKUP(A817,CLIENTE!$A$2:$N$2000,13,0),1)</f>
        <v>Malo</v>
      </c>
      <c r="T817" s="5">
        <f>IFERROR(VLOOKUP(A817,CLIENTE!$A$2:$N$2000,14,0),1)</f>
        <v>0.7</v>
      </c>
      <c r="U817" s="5">
        <f t="shared" si="292"/>
        <v>61.04555963314214</v>
      </c>
      <c r="V817" s="5" t="str">
        <f>IF(U817&gt;=MAX(_xlfn.PERCENTILE.INC($U$2:$U$1194,PARAMS_MODELO!$B$50),PARAMS_MODELO!$B$45),"DIAMANTE",IF(U817&gt;=MAX(_xlfn.PERCENTILE.INC($U$2:$U$1194,PARAMS_MODELO!$B$51),PARAMS_MODELO!$B$46),"PLATINO",IF(U817&gt;=MAX(_xlfn.PERCENTILE.INC($U$2:$U$1194,PARAMS_MODELO!$B$52),PARAMS_MODELO!$B$47),"ORO",IF(U817&gt;=MAX(_xlfn.PERCENTILE.INC($U$2:$U$1194,PARAMS_MODELO!$B$53),PARAMS_MODELO!$B$48),"PLATA",IF(U817&gt;=1,"BRONCE","CERRADO")))))</f>
        <v>PLATA</v>
      </c>
      <c r="W817" s="5" t="str" cm="1">
        <f t="array" ref="W817">_xlfn.XLOOKUP(1, (HIST_SCORE!$B:$B=PARAMS_MODELO!$B$4) * (HIST_SCORE!$C:$C=A817), HIST_SCORE!$E:$E, "No encontrado")</f>
        <v>PLATA</v>
      </c>
      <c r="X817" s="5" t="str">
        <f>_xlfn.LET(_xlpm.act,MATCH(V817,{"DIAMANTE";"PLATINO";"ORO";"PLATA";"BRONCE";"CERRADO"},0),_xlpm.ant,MATCH(W817,{"DIAMANTE";"PLATINO";"ORO";"PLATA";"BRONCE";"CERRADO"},0),IF(_xlpm.act&lt;_xlpm.ant,"Mejora ↑",IF(_xlpm.act&gt;_xlpm.ant,"Baja ↓","Estable →")))</f>
        <v>Estable →</v>
      </c>
      <c r="Y817" s="5">
        <f>IFERROR(U817-SUMIFS(HIST_SCORE!$D:$D,HIST_SCORE!$B:$B,PARAMS_MODELO!$B$4,HIST_SCORE!$C:$C,$A817),"")</f>
        <v>-0.21632003083941953</v>
      </c>
      <c r="Z817" s="5" t="str">
        <f t="shared" si="293"/>
        <v>→ Estable</v>
      </c>
      <c r="AA817" s="5">
        <f t="shared" si="294"/>
        <v>596</v>
      </c>
      <c r="AB817" s="5">
        <f>IFERROR(SUMIFS(HIST_SCORE!$F:$F,HIST_SCORE!$B:$B,PARAMS_MODELO!$B$4,HIST_SCORE!$C:$C,$A817),"")</f>
        <v>625</v>
      </c>
      <c r="AC817" s="5">
        <f t="shared" si="295"/>
        <v>29</v>
      </c>
      <c r="AD817" t="str">
        <f t="shared" si="297"/>
        <v/>
      </c>
      <c r="AE8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817="CERRADO",1,IF(V817="BRONCE",_xlpm.cPl,IF(V817="PLATA",_xlpm.cO,IF(V817="ORO",_xlpm.cP,IF(V817="PLATINO",_xlpm.cD,999))))))</f>
        <v>63.199193273331495</v>
      </c>
      <c r="AF8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817="CERRADO",0,IF(V817="BRONCE",1,IF(V817="PLATA",_xlpm.cPl,IF(V817="ORO",_xlpm.cO,IF(V817="PLATINO",_xlpm.cP,_xlpm.cD))))))</f>
        <v>24.506573482968111</v>
      </c>
      <c r="AG817">
        <f t="shared" si="298"/>
        <v>3.0766194859847928</v>
      </c>
      <c r="AH817" t="str">
        <f t="shared" si="299"/>
        <v>CLIENTE</v>
      </c>
      <c r="AI817" t="str">
        <f t="shared" si="296"/>
        <v>🎯 Para subir de categoría, la eje con mayor impacto probable es CLIENTE (coef T). Acción: reducir quejas, mejorar incógnito y empujar reseñas. ΔR aprox: 3,1</v>
      </c>
      <c r="AJ817" s="26">
        <f>_xlfn.LET(_xlpm.piso,AF817,_xlpm.corte,AE817,_xlpm.prog,IF(_xlpm.corte&lt;=_xlpm.piso,0,MAX(0,MIN(1,(U817-_xlpm.piso)/(_xlpm.corte-_xlpm.piso)))),_xlpm.orden,{"DIAMANTE";"PLATINO";"ORO";"PLATA";"BRONCE";"CERRADO"},_xlpm.act,IFERROR(MATCH(V817,_xlpm.orden,0),6),_xlpm.ant,IFERROR(MATCH(W817,_xlpm.orden,0),6),_xlpm.ajmov,IF(_xlpm.act&lt;_xlpm.ant,0.08,IF(_xlpm.act&gt;_xlpm.ant,-0.08,0)),_xlpm.ajcli,IF(T817&lt;0.95,-0.06,0),_xlpm.prob,MAX(0,MIN(1,_xlpm.prog+_xlpm.ajmov+_xlpm.ajcli)),IF(OR(V817="DIAMANTE",V817="CERRADO"),0,ROUND(_xlpm.prob,2)))</f>
        <v>0.88</v>
      </c>
      <c r="AK817" t="str">
        <f t="shared" si="300"/>
        <v>Faltan 3,1 puntos base para subir a la siguiente categoría</v>
      </c>
      <c r="AL817" t="str">
        <f t="shared" si="301"/>
        <v>Margen de seguridad: 36,5 puntos</v>
      </c>
      <c r="AM817">
        <f t="shared" si="302"/>
        <v>0.37</v>
      </c>
      <c r="AN817" t="str">
        <f t="shared" si="303"/>
        <v>PRIORIDAD BAJA – control normal</v>
      </c>
      <c r="AO817">
        <f t="shared" si="304"/>
        <v>6.5019805143317813</v>
      </c>
      <c r="AP817">
        <f t="shared" si="305"/>
        <v>1.0962583452329859</v>
      </c>
      <c r="AQ817">
        <f t="shared" si="306"/>
        <v>0</v>
      </c>
      <c r="AR817">
        <f t="shared" si="307"/>
        <v>1.2599999999999991</v>
      </c>
      <c r="AS817">
        <f t="shared" si="308"/>
        <v>26.162382699918066</v>
      </c>
      <c r="AT817" t="str">
        <f t="shared" si="309"/>
        <v>CLIENTE</v>
      </c>
      <c r="AU817">
        <f t="shared" si="310"/>
        <v>26.162382699918066</v>
      </c>
      <c r="AV817" t="str">
        <f t="shared" si="311"/>
        <v>Mayor retorno probable: CLIENTE (+26,2 puntos finales potenciales).</v>
      </c>
    </row>
    <row r="818" spans="1:48" x14ac:dyDescent="0.3">
      <c r="A818" s="5">
        <v>51018346</v>
      </c>
      <c r="B818" s="5" t="str">
        <f>IFERROR(VLOOKUP(A818,VENTAS!$A$2:$B$1194,2,0),"")</f>
        <v>ROBERTS</v>
      </c>
      <c r="C818" s="5">
        <f>IFERROR(INDEX(VENTAS!$C$2:$E$1194,MATCH(A818,VENTAS!$A$2:$A$1194,0),MATCH(PARAMS_MODELO!$B$2,{"Q1","Q2","Q3"},0)),0)</f>
        <v>32918520.059999999</v>
      </c>
      <c r="D818" s="5">
        <f>IFERROR(INDEX(VENTAS!$F$2:$H$1194,MATCH(A818,VENTAS!$A$2:$A$1194,0),MATCH(PARAMS_MODELO!$B$2,{"Q1","Q2","Q3"},0)),0)</f>
        <v>44661376</v>
      </c>
      <c r="E818" s="8">
        <f t="shared" si="288"/>
        <v>0.35672490496524478</v>
      </c>
      <c r="F818" s="12">
        <f>IF(E818&lt;=PARAMS_MODELO!$B$15,0,IF(E818&gt;=PARAMS_MODELO!$B$17,100,100*MIN(1,(E818-PARAMS_MODELO!$B$15)/(PARAMS_MODELO!$B$16-PARAMS_MODELO!$B$15))))*PARAMS_MODELO!$B$7</f>
        <v>35</v>
      </c>
      <c r="G818" s="5">
        <f t="shared" si="289"/>
        <v>11742855.940000001</v>
      </c>
      <c r="H818" s="5">
        <f>(PARAMS_MODELO!$B$20*(MAX(0,MIN(3,E818))/3)+PARAMS_MODELO!$B$21*(IFERROR(LN(1+MAX(0,G818))/LN(1+MAX(0,MAX($G$2:$G$1194))),0)))*100*PARAMS_MODELO!$B$8</f>
        <v>5.0645047647028365</v>
      </c>
      <c r="I818" s="8">
        <f>E818-PARAMS_MODELO!$B$5</f>
        <v>0.17916206958971825</v>
      </c>
      <c r="J818" s="5">
        <f>IF(I818&lt;=PARAMS_MODELO!$B$18,0,IF(I818&gt;=PARAMS_MODELO!$B$19,100,100*(I818-PARAMS_MODELO!$B$18)/(PARAMS_MODELO!$B$19-PARAMS_MODELO!$B$18)))*PARAMS_MODELO!$B$9</f>
        <v>15</v>
      </c>
      <c r="K818" s="5">
        <f>IFERROR(CHOOSE(MATCH(PARAMS_MODELO!$B$2,{"Q1","Q2","Q3"},0),LOTO!$D818,LOTO!$F818,LOTO!$H818),0)</f>
        <v>1997500</v>
      </c>
      <c r="L818" s="8">
        <f t="shared" si="290"/>
        <v>4.4725446882783008E-2</v>
      </c>
      <c r="M818" s="5">
        <f>MIN(100,IF(PARAMS_MODELO!$B$23=0,0,100*L818/PARAMS_MODELO!$B$23))*PARAMS_MODELO!$B$10</f>
        <v>13.417634064834903</v>
      </c>
      <c r="N818" s="5">
        <f>IFERROR(VLOOKUP(A818,COMPLIANCE!$A$2:$F$1996,6,0),100)</f>
        <v>99.7</v>
      </c>
      <c r="O818" s="5">
        <f>N818*PARAMS_MODELO!$B$11</f>
        <v>9.9700000000000006</v>
      </c>
      <c r="P818" s="5">
        <f>IFERROR(VLOOKUP(A818,DIGITAL!$A$2:$J$2000,7,0),100)</f>
        <v>73</v>
      </c>
      <c r="Q818" s="5">
        <f>IFERROR(P818,0)*PARAMS_MODELO!$B$12</f>
        <v>7.3000000000000007</v>
      </c>
      <c r="R818">
        <f t="shared" si="291"/>
        <v>85.752138829537742</v>
      </c>
      <c r="S818" s="5" t="str">
        <f>IFERROR(VLOOKUP(A818,CLIENTE!$A$2:$N$2000,13,0),1)</f>
        <v>Muy Bueno</v>
      </c>
      <c r="T818" s="5">
        <f>IFERROR(VLOOKUP(A818,CLIENTE!$A$2:$N$2000,14,0),1)</f>
        <v>1.1499999999999999</v>
      </c>
      <c r="U818" s="5">
        <f t="shared" si="292"/>
        <v>98.614959653968398</v>
      </c>
      <c r="V818" s="5" t="str">
        <f>IF(U818&gt;=MAX(_xlfn.PERCENTILE.INC($U$2:$U$1194,PARAMS_MODELO!$B$50),PARAMS_MODELO!$B$45),"DIAMANTE",IF(U818&gt;=MAX(_xlfn.PERCENTILE.INC($U$2:$U$1194,PARAMS_MODELO!$B$51),PARAMS_MODELO!$B$46),"PLATINO",IF(U818&gt;=MAX(_xlfn.PERCENTILE.INC($U$2:$U$1194,PARAMS_MODELO!$B$52),PARAMS_MODELO!$B$47),"ORO",IF(U818&gt;=MAX(_xlfn.PERCENTILE.INC($U$2:$U$1194,PARAMS_MODELO!$B$53),PARAMS_MODELO!$B$48),"PLATA",IF(U818&gt;=1,"BRONCE","CERRADO")))))</f>
        <v>DIAMANTE</v>
      </c>
      <c r="W818" s="5" t="str" cm="1">
        <f t="array" ref="W818">_xlfn.XLOOKUP(1, (HIST_SCORE!$B:$B=PARAMS_MODELO!$B$4) * (HIST_SCORE!$C:$C=A818), HIST_SCORE!$E:$E, "No encontrado")</f>
        <v>DIAMANTE</v>
      </c>
      <c r="X818" s="5" t="str">
        <f>_xlfn.LET(_xlpm.act,MATCH(V818,{"DIAMANTE";"PLATINO";"ORO";"PLATA";"BRONCE";"CERRADO"},0),_xlpm.ant,MATCH(W818,{"DIAMANTE";"PLATINO";"ORO";"PLATA";"BRONCE";"CERRADO"},0),IF(_xlpm.act&lt;_xlpm.ant,"Mejora ↑",IF(_xlpm.act&gt;_xlpm.ant,"Baja ↓","Estable →")))</f>
        <v>Estable →</v>
      </c>
      <c r="Y818" s="5">
        <f>IFERROR(U818-SUMIFS(HIST_SCORE!$D:$D,HIST_SCORE!$B:$B,PARAMS_MODELO!$B$4,HIST_SCORE!$C:$C,$A818),"")</f>
        <v>-0.80709763572762938</v>
      </c>
      <c r="Z818" s="5" t="str">
        <f t="shared" si="293"/>
        <v>→ Estable</v>
      </c>
      <c r="AA818" s="5">
        <f t="shared" si="294"/>
        <v>29</v>
      </c>
      <c r="AB818" s="5">
        <f>IFERROR(SUMIFS(HIST_SCORE!$F:$F,HIST_SCORE!$B:$B,PARAMS_MODELO!$B$4,HIST_SCORE!$C:$C,$A818),"")</f>
        <v>20</v>
      </c>
      <c r="AC818" s="5">
        <f t="shared" si="295"/>
        <v>-9</v>
      </c>
      <c r="AD818" t="str">
        <f t="shared" si="297"/>
        <v/>
      </c>
      <c r="AE8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818="CERRADO",1,IF(V818="BRONCE",_xlpm.cPl,IF(V818="PLATA",_xlpm.cO,IF(V818="ORO",_xlpm.cP,IF(V818="PLATINO",_xlpm.cD,999))))))</f>
        <v>999</v>
      </c>
      <c r="AF8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818="CERRADO",0,IF(V818="BRONCE",1,IF(V818="PLATA",_xlpm.cPl,IF(V818="ORO",_xlpm.cO,IF(V818="PLATINO",_xlpm.cP,_xlpm.cD))))))</f>
        <v>96.054919694466676</v>
      </c>
      <c r="AG818">
        <f t="shared" si="298"/>
        <v>782.94351334437533</v>
      </c>
      <c r="AH818" t="str">
        <f t="shared" si="299"/>
        <v>SOSTENER</v>
      </c>
      <c r="AI818" t="str">
        <f t="shared" si="296"/>
        <v>✅ Mantener desempeño y monitorear variaciones para sostener categoría.</v>
      </c>
      <c r="AJ818" s="26">
        <f>_xlfn.LET(_xlpm.piso,AF818,_xlpm.corte,AE818,_xlpm.prog,IF(_xlpm.corte&lt;=_xlpm.piso,0,MAX(0,MIN(1,(U818-_xlpm.piso)/(_xlpm.corte-_xlpm.piso)))),_xlpm.orden,{"DIAMANTE";"PLATINO";"ORO";"PLATA";"BRONCE";"CERRADO"},_xlpm.act,IFERROR(MATCH(V818,_xlpm.orden,0),6),_xlpm.ant,IFERROR(MATCH(W818,_xlpm.orden,0),6),_xlpm.ajmov,IF(_xlpm.act&lt;_xlpm.ant,0.08,IF(_xlpm.act&gt;_xlpm.ant,-0.08,0)),_xlpm.ajcli,IF(T818&lt;0.95,-0.06,0),_xlpm.prob,MAX(0,MIN(1,_xlpm.prog+_xlpm.ajmov+_xlpm.ajcli)),IF(OR(V818="DIAMANTE",V818="CERRADO"),0,ROUND(_xlpm.prob,2)))</f>
        <v>0</v>
      </c>
      <c r="AK818" t="str">
        <f t="shared" si="300"/>
        <v>No aplica</v>
      </c>
      <c r="AL818" t="str">
        <f t="shared" si="301"/>
        <v>Margen de seguridad: 2,6 puntos</v>
      </c>
      <c r="AM818">
        <f t="shared" si="302"/>
        <v>0.8</v>
      </c>
      <c r="AN818" t="str">
        <f t="shared" si="303"/>
        <v>PRIORIDAD ALTA – requiere intervención inmediata</v>
      </c>
      <c r="AO818">
        <f t="shared" si="304"/>
        <v>11.267774187181656</v>
      </c>
      <c r="AP818">
        <f t="shared" si="305"/>
        <v>1.8197208254398611</v>
      </c>
      <c r="AQ818">
        <f t="shared" si="306"/>
        <v>3.449999999999926E-2</v>
      </c>
      <c r="AR818">
        <f t="shared" si="307"/>
        <v>3.1049999999999991</v>
      </c>
      <c r="AS818">
        <f t="shared" si="308"/>
        <v>0</v>
      </c>
      <c r="AT818" t="str">
        <f t="shared" si="309"/>
        <v>VENTAS</v>
      </c>
      <c r="AU818">
        <f t="shared" si="310"/>
        <v>11.267774187181656</v>
      </c>
      <c r="AV818" t="str">
        <f t="shared" si="311"/>
        <v>Mayor retorno probable: VENTAS (+11,3 puntos finales potenciales).</v>
      </c>
    </row>
    <row r="819" spans="1:48" x14ac:dyDescent="0.3">
      <c r="A819" s="5">
        <v>51042514</v>
      </c>
      <c r="B819" s="5" t="str">
        <f>IFERROR(VLOOKUP(A819,VENTAS!$A$2:$B$1194,2,0),"")</f>
        <v>LÓPEZ</v>
      </c>
      <c r="C819" s="5">
        <f>IFERROR(INDEX(VENTAS!$C$2:$E$1194,MATCH(A819,VENTAS!$A$2:$A$1194,0),MATCH(PARAMS_MODELO!$B$2,{"Q1","Q2","Q3"},0)),0)</f>
        <v>34031986.130000003</v>
      </c>
      <c r="D819" s="5">
        <f>IFERROR(INDEX(VENTAS!$F$2:$H$1194,MATCH(A819,VENTAS!$A$2:$A$1194,0),MATCH(PARAMS_MODELO!$B$2,{"Q1","Q2","Q3"},0)),0)</f>
        <v>44502232</v>
      </c>
      <c r="E819" s="8">
        <f t="shared" si="288"/>
        <v>0.30765897206246873</v>
      </c>
      <c r="F819" s="12">
        <f>IF(E819&lt;=PARAMS_MODELO!$B$15,0,IF(E819&gt;=PARAMS_MODELO!$B$17,100,100*MIN(1,(E819-PARAMS_MODELO!$B$15)/(PARAMS_MODELO!$B$16-PARAMS_MODELO!$B$15))))*PARAMS_MODELO!$B$7</f>
        <v>35</v>
      </c>
      <c r="G819" s="5">
        <f t="shared" si="289"/>
        <v>10470245.869999997</v>
      </c>
      <c r="H819" s="5">
        <f>(PARAMS_MODELO!$B$20*(MAX(0,MIN(3,E819))/3)+PARAMS_MODELO!$B$21*(IFERROR(LN(1+MAX(0,G819))/LN(1+MAX(0,MAX($G$2:$G$1194))),0)))*100*PARAMS_MODELO!$B$8</f>
        <v>4.8658849525680452</v>
      </c>
      <c r="I819" s="8">
        <f>E819-PARAMS_MODELO!$B$5</f>
        <v>0.1300961366869422</v>
      </c>
      <c r="J819" s="5">
        <f>IF(I819&lt;=PARAMS_MODELO!$B$18,0,IF(I819&gt;=PARAMS_MODELO!$B$19,100,100*(I819-PARAMS_MODELO!$B$18)/(PARAMS_MODELO!$B$19-PARAMS_MODELO!$B$18)))*PARAMS_MODELO!$B$9</f>
        <v>15</v>
      </c>
      <c r="K819" s="5">
        <f>IFERROR(CHOOSE(MATCH(PARAMS_MODELO!$B$2,{"Q1","Q2","Q3"},0),LOTO!$D819,LOTO!$F819,LOTO!$H819),0)</f>
        <v>1995000</v>
      </c>
      <c r="L819" s="8">
        <f t="shared" si="290"/>
        <v>4.4829212161763034E-2</v>
      </c>
      <c r="M819" s="5">
        <f>MIN(100,IF(PARAMS_MODELO!$B$23=0,0,100*L819/PARAMS_MODELO!$B$23))*PARAMS_MODELO!$B$10</f>
        <v>13.448763648528908</v>
      </c>
      <c r="N819" s="5">
        <f>IFERROR(VLOOKUP(A819,COMPLIANCE!$A$2:$F$1996,6,0),100)</f>
        <v>100</v>
      </c>
      <c r="O819" s="5">
        <f>N819*PARAMS_MODELO!$B$11</f>
        <v>10</v>
      </c>
      <c r="P819" s="5">
        <f>IFERROR(VLOOKUP(A819,DIGITAL!$A$2:$J$2000,7,0),100)</f>
        <v>44</v>
      </c>
      <c r="Q819" s="5">
        <f>IFERROR(P819,0)*PARAMS_MODELO!$B$12</f>
        <v>4.4000000000000004</v>
      </c>
      <c r="R819">
        <f t="shared" si="291"/>
        <v>82.714648601096954</v>
      </c>
      <c r="S819" s="5" t="str">
        <f>IFERROR(VLOOKUP(A819,CLIENTE!$A$2:$N$2000,13,0),1)</f>
        <v>Malo</v>
      </c>
      <c r="T819" s="5">
        <f>IFERROR(VLOOKUP(A819,CLIENTE!$A$2:$N$2000,14,0),1)</f>
        <v>0.7</v>
      </c>
      <c r="U819" s="5">
        <f t="shared" si="292"/>
        <v>57.900254020767861</v>
      </c>
      <c r="V819" s="5" t="str">
        <f>IF(U819&gt;=MAX(_xlfn.PERCENTILE.INC($U$2:$U$1194,PARAMS_MODELO!$B$50),PARAMS_MODELO!$B$45),"DIAMANTE",IF(U819&gt;=MAX(_xlfn.PERCENTILE.INC($U$2:$U$1194,PARAMS_MODELO!$B$51),PARAMS_MODELO!$B$46),"PLATINO",IF(U819&gt;=MAX(_xlfn.PERCENTILE.INC($U$2:$U$1194,PARAMS_MODELO!$B$52),PARAMS_MODELO!$B$47),"ORO",IF(U819&gt;=MAX(_xlfn.PERCENTILE.INC($U$2:$U$1194,PARAMS_MODELO!$B$53),PARAMS_MODELO!$B$48),"PLATA",IF(U819&gt;=1,"BRONCE","CERRADO")))))</f>
        <v>PLATA</v>
      </c>
      <c r="W819" s="5" t="str" cm="1">
        <f t="array" ref="W819">_xlfn.XLOOKUP(1, (HIST_SCORE!$B:$B=PARAMS_MODELO!$B$4) * (HIST_SCORE!$C:$C=A819), HIST_SCORE!$E:$E, "No encontrado")</f>
        <v>PLATA</v>
      </c>
      <c r="X819" s="5" t="str">
        <f>_xlfn.LET(_xlpm.act,MATCH(V819,{"DIAMANTE";"PLATINO";"ORO";"PLATA";"BRONCE";"CERRADO"},0),_xlpm.ant,MATCH(W819,{"DIAMANTE";"PLATINO";"ORO";"PLATA";"BRONCE";"CERRADO"},0),IF(_xlpm.act&lt;_xlpm.ant,"Mejora ↑",IF(_xlpm.act&gt;_xlpm.ant,"Baja ↓","Estable →")))</f>
        <v>Estable →</v>
      </c>
      <c r="Y819" s="5">
        <f>IFERROR(U819-SUMIFS(HIST_SCORE!$D:$D,HIST_SCORE!$B:$B,PARAMS_MODELO!$B$4,HIST_SCORE!$C:$C,$A819),"")</f>
        <v>19.548825181779712</v>
      </c>
      <c r="Z819" s="5" t="str">
        <f t="shared" si="293"/>
        <v>↑ Mejora</v>
      </c>
      <c r="AA819" s="5">
        <f t="shared" si="294"/>
        <v>666</v>
      </c>
      <c r="AB819" s="5">
        <f>IFERROR(SUMIFS(HIST_SCORE!$F:$F,HIST_SCORE!$B:$B,PARAMS_MODELO!$B$4,HIST_SCORE!$C:$C,$A819),"")</f>
        <v>850</v>
      </c>
      <c r="AC819" s="5">
        <f t="shared" si="295"/>
        <v>184</v>
      </c>
      <c r="AD819" t="str">
        <f t="shared" si="297"/>
        <v/>
      </c>
      <c r="AE8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819="CERRADO",1,IF(V819="BRONCE",_xlpm.cPl,IF(V819="PLATA",_xlpm.cO,IF(V819="ORO",_xlpm.cP,IF(V819="PLATINO",_xlpm.cD,999))))))</f>
        <v>63.199193273331495</v>
      </c>
      <c r="AF8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819="CERRADO",0,IF(V819="BRONCE",1,IF(V819="PLATA",_xlpm.cPl,IF(V819="ORO",_xlpm.cO,IF(V819="PLATINO",_xlpm.cP,_xlpm.cD))))))</f>
        <v>24.506573482968111</v>
      </c>
      <c r="AG819">
        <f t="shared" si="298"/>
        <v>7.5699132179480415</v>
      </c>
      <c r="AH819" t="str">
        <f t="shared" si="299"/>
        <v>CLIENTE</v>
      </c>
      <c r="AI819" t="str">
        <f t="shared" si="296"/>
        <v>🎯 Para subir de categoría, la eje con mayor impacto probable es CLIENTE (coef T). Acción: reducir quejas, mejorar incógnito y empujar reseñas. ΔR aprox: 7,6</v>
      </c>
      <c r="AJ819" s="26">
        <f>_xlfn.LET(_xlpm.piso,AF819,_xlpm.corte,AE819,_xlpm.prog,IF(_xlpm.corte&lt;=_xlpm.piso,0,MAX(0,MIN(1,(U819-_xlpm.piso)/(_xlpm.corte-_xlpm.piso)))),_xlpm.orden,{"DIAMANTE";"PLATINO";"ORO";"PLATA";"BRONCE";"CERRADO"},_xlpm.act,IFERROR(MATCH(V819,_xlpm.orden,0),6),_xlpm.ant,IFERROR(MATCH(W819,_xlpm.orden,0),6),_xlpm.ajmov,IF(_xlpm.act&lt;_xlpm.ant,0.08,IF(_xlpm.act&gt;_xlpm.ant,-0.08,0)),_xlpm.ajcli,IF(T819&lt;0.95,-0.06,0),_xlpm.prob,MAX(0,MIN(1,_xlpm.prog+_xlpm.ajmov+_xlpm.ajcli)),IF(OR(V819="DIAMANTE",V819="CERRADO"),0,ROUND(_xlpm.prob,2)))</f>
        <v>0.8</v>
      </c>
      <c r="AK819" t="str">
        <f t="shared" si="300"/>
        <v>Faltan 7,6 puntos base para subir a la siguiente categoría</v>
      </c>
      <c r="AL819" t="str">
        <f t="shared" si="301"/>
        <v>Margen de seguridad: 33,4 puntos</v>
      </c>
      <c r="AM819">
        <f t="shared" si="302"/>
        <v>0.57999999999999996</v>
      </c>
      <c r="AN819" t="str">
        <f t="shared" si="303"/>
        <v>PRIORIDAD MEDIA – seguimiento del asesor</v>
      </c>
      <c r="AO819">
        <f t="shared" si="304"/>
        <v>6.9976790259092772</v>
      </c>
      <c r="AP819">
        <f t="shared" si="305"/>
        <v>1.0858654460297641</v>
      </c>
      <c r="AQ819">
        <f t="shared" si="306"/>
        <v>0</v>
      </c>
      <c r="AR819">
        <f t="shared" si="307"/>
        <v>3.9199999999999995</v>
      </c>
      <c r="AS819">
        <f t="shared" si="308"/>
        <v>24.81439458032909</v>
      </c>
      <c r="AT819" t="str">
        <f t="shared" si="309"/>
        <v>CLIENTE</v>
      </c>
      <c r="AU819">
        <f t="shared" si="310"/>
        <v>24.81439458032909</v>
      </c>
      <c r="AV819" t="str">
        <f t="shared" si="311"/>
        <v>Mayor retorno probable: CLIENTE (+24,8 puntos finales potenciales).</v>
      </c>
    </row>
    <row r="820" spans="1:48" x14ac:dyDescent="0.3">
      <c r="A820" s="5">
        <v>51056906</v>
      </c>
      <c r="B820" s="5" t="str">
        <f>IFERROR(VLOOKUP(A820,VENTAS!$A$2:$B$1194,2,0),"")</f>
        <v>PRADES</v>
      </c>
      <c r="C820" s="5">
        <f>IFERROR(INDEX(VENTAS!$C$2:$E$1194,MATCH(A820,VENTAS!$A$2:$A$1194,0),MATCH(PARAMS_MODELO!$B$2,{"Q1","Q2","Q3"},0)),0)</f>
        <v>38272298.18</v>
      </c>
      <c r="D820" s="5">
        <f>IFERROR(INDEX(VENTAS!$F$2:$H$1194,MATCH(A820,VENTAS!$A$2:$A$1194,0),MATCH(PARAMS_MODELO!$B$2,{"Q1","Q2","Q3"},0)),0)</f>
        <v>44364140</v>
      </c>
      <c r="E820" s="8">
        <f t="shared" si="288"/>
        <v>0.15917104824354178</v>
      </c>
      <c r="F820" s="12">
        <f>IF(E820&lt;=PARAMS_MODELO!$B$15,0,IF(E820&gt;=PARAMS_MODELO!$B$17,100,100*MIN(1,(E820-PARAMS_MODELO!$B$15)/(PARAMS_MODELO!$B$16-PARAMS_MODELO!$B$15))))*PARAMS_MODELO!$B$7</f>
        <v>35</v>
      </c>
      <c r="G820" s="5">
        <f t="shared" si="289"/>
        <v>6091841.8200000003</v>
      </c>
      <c r="H820" s="5">
        <f>(PARAMS_MODELO!$B$20*(MAX(0,MIN(3,E820))/3)+PARAMS_MODELO!$B$21*(IFERROR(LN(1+MAX(0,G820))/LN(1+MAX(0,MAX($G$2:$G$1194))),0)))*100*PARAMS_MODELO!$B$8</f>
        <v>4.2192216725622442</v>
      </c>
      <c r="I820" s="8">
        <f>E820-PARAMS_MODELO!$B$5</f>
        <v>-1.8391787131984749E-2</v>
      </c>
      <c r="J820" s="5">
        <f>IF(I820&lt;=PARAMS_MODELO!$B$18,0,IF(I820&gt;=PARAMS_MODELO!$B$19,100,100*(I820-PARAMS_MODELO!$B$18)/(PARAMS_MODELO!$B$19-PARAMS_MODELO!$B$18)))*PARAMS_MODELO!$B$9</f>
        <v>4.7412319302022876</v>
      </c>
      <c r="K820" s="5">
        <f>IFERROR(CHOOSE(MATCH(PARAMS_MODELO!$B$2,{"Q1","Q2","Q3"},0),LOTO!$D820,LOTO!$F820,LOTO!$H820),0)</f>
        <v>1987500</v>
      </c>
      <c r="L820" s="8">
        <f t="shared" si="290"/>
        <v>4.4799696331316238E-2</v>
      </c>
      <c r="M820" s="5">
        <f>MIN(100,IF(PARAMS_MODELO!$B$23=0,0,100*L820/PARAMS_MODELO!$B$23))*PARAMS_MODELO!$B$10</f>
        <v>13.439908899394872</v>
      </c>
      <c r="N820" s="5">
        <f>IFERROR(VLOOKUP(A820,COMPLIANCE!$A$2:$F$1996,6,0),100)</f>
        <v>100</v>
      </c>
      <c r="O820" s="5">
        <f>N820*PARAMS_MODELO!$B$11</f>
        <v>10</v>
      </c>
      <c r="P820" s="5">
        <f>IFERROR(VLOOKUP(A820,DIGITAL!$A$2:$J$2000,7,0),100)</f>
        <v>21</v>
      </c>
      <c r="Q820" s="5">
        <f>IFERROR(P820,0)*PARAMS_MODELO!$B$12</f>
        <v>2.1</v>
      </c>
      <c r="R820">
        <f t="shared" si="291"/>
        <v>69.50036250215939</v>
      </c>
      <c r="S820" s="5" t="str">
        <f>IFERROR(VLOOKUP(A820,CLIENTE!$A$2:$N$2000,13,0),1)</f>
        <v>Bueno</v>
      </c>
      <c r="T820" s="5">
        <f>IFERROR(VLOOKUP(A820,CLIENTE!$A$2:$N$2000,14,0),1)</f>
        <v>1.1000000000000001</v>
      </c>
      <c r="U820" s="5">
        <f t="shared" si="292"/>
        <v>76.450398752375335</v>
      </c>
      <c r="V820" s="5" t="str">
        <f>IF(U820&gt;=MAX(_xlfn.PERCENTILE.INC($U$2:$U$1194,PARAMS_MODELO!$B$50),PARAMS_MODELO!$B$45),"DIAMANTE",IF(U820&gt;=MAX(_xlfn.PERCENTILE.INC($U$2:$U$1194,PARAMS_MODELO!$B$51),PARAMS_MODELO!$B$46),"PLATINO",IF(U820&gt;=MAX(_xlfn.PERCENTILE.INC($U$2:$U$1194,PARAMS_MODELO!$B$52),PARAMS_MODELO!$B$47),"ORO",IF(U820&gt;=MAX(_xlfn.PERCENTILE.INC($U$2:$U$1194,PARAMS_MODELO!$B$53),PARAMS_MODELO!$B$48),"PLATA",IF(U820&gt;=1,"BRONCE","CERRADO")))))</f>
        <v>ORO</v>
      </c>
      <c r="W820" s="5" t="str" cm="1">
        <f t="array" ref="W820">_xlfn.XLOOKUP(1, (HIST_SCORE!$B:$B=PARAMS_MODELO!$B$4) * (HIST_SCORE!$C:$C=A820), HIST_SCORE!$E:$E, "No encontrado")</f>
        <v>ORO</v>
      </c>
      <c r="X820" s="5" t="str">
        <f>_xlfn.LET(_xlpm.act,MATCH(V820,{"DIAMANTE";"PLATINO";"ORO";"PLATA";"BRONCE";"CERRADO"},0),_xlpm.ant,MATCH(W820,{"DIAMANTE";"PLATINO";"ORO";"PLATA";"BRONCE";"CERRADO"},0),IF(_xlpm.act&lt;_xlpm.ant,"Mejora ↑",IF(_xlpm.act&gt;_xlpm.ant,"Baja ↓","Estable →")))</f>
        <v>Estable →</v>
      </c>
      <c r="Y820" s="5">
        <f>IFERROR(U820-SUMIFS(HIST_SCORE!$D:$D,HIST_SCORE!$B:$B,PARAMS_MODELO!$B$4,HIST_SCORE!$C:$C,$A820),"")</f>
        <v>3.2394229381555135</v>
      </c>
      <c r="Z820" s="5" t="str">
        <f t="shared" si="293"/>
        <v>→ Estable</v>
      </c>
      <c r="AA820" s="5">
        <f t="shared" si="294"/>
        <v>460</v>
      </c>
      <c r="AB820" s="5">
        <f>IFERROR(SUMIFS(HIST_SCORE!$F:$F,HIST_SCORE!$B:$B,PARAMS_MODELO!$B$4,HIST_SCORE!$C:$C,$A820),"")</f>
        <v>509</v>
      </c>
      <c r="AC820" s="5">
        <f t="shared" si="295"/>
        <v>49</v>
      </c>
      <c r="AD820" t="str">
        <f t="shared" si="297"/>
        <v/>
      </c>
      <c r="AE8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820="CERRADO",1,IF(V820="BRONCE",_xlpm.cPl,IF(V820="PLATA",_xlpm.cO,IF(V820="ORO",_xlpm.cP,IF(V820="PLATINO",_xlpm.cD,999))))))</f>
        <v>86.439123873763251</v>
      </c>
      <c r="AF8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820="CERRADO",0,IF(V820="BRONCE",1,IF(V820="PLATA",_xlpm.cPl,IF(V820="ORO",_xlpm.cO,IF(V820="PLATINO",_xlpm.cP,_xlpm.cD))))))</f>
        <v>63.199193273331495</v>
      </c>
      <c r="AG820">
        <f t="shared" si="298"/>
        <v>9.0806592012617386</v>
      </c>
      <c r="AH820" t="str">
        <f t="shared" si="299"/>
        <v>VENTAS</v>
      </c>
      <c r="AI820" t="str">
        <f t="shared" si="296"/>
        <v>🎯 Para subir de categoría, eje VENTAS / IMPACTO ABSOLUTO (H). Acción: metas semanales + activación comercial + seguimiento del asesor. ΔR aprox: 9,1</v>
      </c>
      <c r="AJ820" s="26">
        <f>_xlfn.LET(_xlpm.piso,AF820,_xlpm.corte,AE820,_xlpm.prog,IF(_xlpm.corte&lt;=_xlpm.piso,0,MAX(0,MIN(1,(U820-_xlpm.piso)/(_xlpm.corte-_xlpm.piso)))),_xlpm.orden,{"DIAMANTE";"PLATINO";"ORO";"PLATA";"BRONCE";"CERRADO"},_xlpm.act,IFERROR(MATCH(V820,_xlpm.orden,0),6),_xlpm.ant,IFERROR(MATCH(W820,_xlpm.orden,0),6),_xlpm.ajmov,IF(_xlpm.act&lt;_xlpm.ant,0.08,IF(_xlpm.act&gt;_xlpm.ant,-0.08,0)),_xlpm.ajcli,IF(T820&lt;0.95,-0.06,0),_xlpm.prob,MAX(0,MIN(1,_xlpm.prog+_xlpm.ajmov+_xlpm.ajcli)),IF(OR(V820="DIAMANTE",V820="CERRADO"),0,ROUND(_xlpm.prob,2)))</f>
        <v>0.56999999999999995</v>
      </c>
      <c r="AK820" t="str">
        <f t="shared" si="300"/>
        <v>Faltan 9,1 puntos base para subir a la siguiente categoría</v>
      </c>
      <c r="AL820" t="str">
        <f t="shared" si="301"/>
        <v>Margen de seguridad: 13,3 puntos</v>
      </c>
      <c r="AM820">
        <f t="shared" si="302"/>
        <v>0.54</v>
      </c>
      <c r="AN820" t="str">
        <f t="shared" si="303"/>
        <v>PRIORIDAD MEDIA – seguimiento del asesor</v>
      </c>
      <c r="AO820">
        <f t="shared" si="304"/>
        <v>22.99232723978416</v>
      </c>
      <c r="AP820">
        <f t="shared" si="305"/>
        <v>1.7161002106656407</v>
      </c>
      <c r="AQ820">
        <f t="shared" si="306"/>
        <v>0</v>
      </c>
      <c r="AR820">
        <f t="shared" si="307"/>
        <v>8.6900000000000013</v>
      </c>
      <c r="AS820">
        <f t="shared" si="308"/>
        <v>0</v>
      </c>
      <c r="AT820" t="str">
        <f t="shared" si="309"/>
        <v>VENTAS</v>
      </c>
      <c r="AU820">
        <f t="shared" si="310"/>
        <v>22.99232723978416</v>
      </c>
      <c r="AV820" t="str">
        <f t="shared" si="311"/>
        <v>Mayor retorno probable: VENTAS (+23,0 puntos finales potenciales).</v>
      </c>
    </row>
    <row r="821" spans="1:48" x14ac:dyDescent="0.3">
      <c r="A821" s="5">
        <v>51043375</v>
      </c>
      <c r="B821" s="5" t="str">
        <f>IFERROR(VLOOKUP(A821,VENTAS!$A$2:$B$1194,2,0),"")</f>
        <v>LÓPEZ</v>
      </c>
      <c r="C821" s="5">
        <f>IFERROR(INDEX(VENTAS!$C$2:$E$1194,MATCH(A821,VENTAS!$A$2:$A$1194,0),MATCH(PARAMS_MODELO!$B$2,{"Q1","Q2","Q3"},0)),0)</f>
        <v>33432648.899999999</v>
      </c>
      <c r="D821" s="5">
        <f>IFERROR(INDEX(VENTAS!$F$2:$H$1194,MATCH(A821,VENTAS!$A$2:$A$1194,0),MATCH(PARAMS_MODELO!$B$2,{"Q1","Q2","Q3"},0)),0)</f>
        <v>44308715</v>
      </c>
      <c r="E821" s="8">
        <f t="shared" si="288"/>
        <v>0.32531272447275339</v>
      </c>
      <c r="F821" s="12">
        <f>IF(E821&lt;=PARAMS_MODELO!$B$15,0,IF(E821&gt;=PARAMS_MODELO!$B$17,100,100*MIN(1,(E821-PARAMS_MODELO!$B$15)/(PARAMS_MODELO!$B$16-PARAMS_MODELO!$B$15))))*PARAMS_MODELO!$B$7</f>
        <v>35</v>
      </c>
      <c r="G821" s="5">
        <f t="shared" si="289"/>
        <v>10876066.100000001</v>
      </c>
      <c r="H821" s="5">
        <f>(PARAMS_MODELO!$B$20*(MAX(0,MIN(3,E821))/3)+PARAMS_MODELO!$B$21*(IFERROR(LN(1+MAX(0,G821))/LN(1+MAX(0,MAX($G$2:$G$1194))),0)))*100*PARAMS_MODELO!$B$8</f>
        <v>4.9365871674638786</v>
      </c>
      <c r="I821" s="8">
        <f>E821-PARAMS_MODELO!$B$5</f>
        <v>0.14774988909722686</v>
      </c>
      <c r="J821" s="5">
        <f>IF(I821&lt;=PARAMS_MODELO!$B$18,0,IF(I821&gt;=PARAMS_MODELO!$B$19,100,100*(I821-PARAMS_MODELO!$B$18)/(PARAMS_MODELO!$B$19-PARAMS_MODELO!$B$18)))*PARAMS_MODELO!$B$9</f>
        <v>15</v>
      </c>
      <c r="K821" s="5">
        <f>IFERROR(CHOOSE(MATCH(PARAMS_MODELO!$B$2,{"Q1","Q2","Q3"},0),LOTO!$D821,LOTO!$F821,LOTO!$H821),0)</f>
        <v>1987500</v>
      </c>
      <c r="L821" s="8">
        <f t="shared" si="290"/>
        <v>4.4855735491313616E-2</v>
      </c>
      <c r="M821" s="5">
        <f>MIN(100,IF(PARAMS_MODELO!$B$23=0,0,100*L821/PARAMS_MODELO!$B$23))*PARAMS_MODELO!$B$10</f>
        <v>13.456720647394082</v>
      </c>
      <c r="N821" s="5">
        <f>IFERROR(VLOOKUP(A821,COMPLIANCE!$A$2:$F$1996,6,0),100)</f>
        <v>100</v>
      </c>
      <c r="O821" s="5">
        <f>N821*PARAMS_MODELO!$B$11</f>
        <v>10</v>
      </c>
      <c r="P821" s="5">
        <f>IFERROR(VLOOKUP(A821,DIGITAL!$A$2:$J$2000,7,0),100)</f>
        <v>43</v>
      </c>
      <c r="Q821" s="5">
        <f>IFERROR(P821,0)*PARAMS_MODELO!$B$12</f>
        <v>4.3</v>
      </c>
      <c r="R821">
        <f t="shared" si="291"/>
        <v>82.69330781485796</v>
      </c>
      <c r="S821" s="5" t="str">
        <f>IFERROR(VLOOKUP(A821,CLIENTE!$A$2:$N$2000,13,0),1)</f>
        <v>Bueno</v>
      </c>
      <c r="T821" s="5">
        <f>IFERROR(VLOOKUP(A821,CLIENTE!$A$2:$N$2000,14,0),1)</f>
        <v>1.1000000000000001</v>
      </c>
      <c r="U821" s="5">
        <f t="shared" si="292"/>
        <v>90.962638596343766</v>
      </c>
      <c r="V821" s="5" t="str">
        <f>IF(U821&gt;=MAX(_xlfn.PERCENTILE.INC($U$2:$U$1194,PARAMS_MODELO!$B$50),PARAMS_MODELO!$B$45),"DIAMANTE",IF(U821&gt;=MAX(_xlfn.PERCENTILE.INC($U$2:$U$1194,PARAMS_MODELO!$B$51),PARAMS_MODELO!$B$46),"PLATINO",IF(U821&gt;=MAX(_xlfn.PERCENTILE.INC($U$2:$U$1194,PARAMS_MODELO!$B$52),PARAMS_MODELO!$B$47),"ORO",IF(U821&gt;=MAX(_xlfn.PERCENTILE.INC($U$2:$U$1194,PARAMS_MODELO!$B$53),PARAMS_MODELO!$B$48),"PLATA",IF(U821&gt;=1,"BRONCE","CERRADO")))))</f>
        <v>PLATINO</v>
      </c>
      <c r="W821" s="5" t="str" cm="1">
        <f t="array" ref="W821">_xlfn.XLOOKUP(1, (HIST_SCORE!$B:$B=PARAMS_MODELO!$B$4) * (HIST_SCORE!$C:$C=A821), HIST_SCORE!$E:$E, "No encontrado")</f>
        <v>PLATINO</v>
      </c>
      <c r="X821" s="5" t="str">
        <f>_xlfn.LET(_xlpm.act,MATCH(V821,{"DIAMANTE";"PLATINO";"ORO";"PLATA";"BRONCE";"CERRADO"},0),_xlpm.ant,MATCH(W821,{"DIAMANTE";"PLATINO";"ORO";"PLATA";"BRONCE";"CERRADO"},0),IF(_xlpm.act&lt;_xlpm.ant,"Mejora ↑",IF(_xlpm.act&gt;_xlpm.ant,"Baja ↓","Estable →")))</f>
        <v>Estable →</v>
      </c>
      <c r="Y821" s="5">
        <f>IFERROR(U821-SUMIFS(HIST_SCORE!$D:$D,HIST_SCORE!$B:$B,PARAMS_MODELO!$B$4,HIST_SCORE!$C:$C,$A821),"")</f>
        <v>-0.69349200786868437</v>
      </c>
      <c r="Z821" s="5" t="str">
        <f t="shared" si="293"/>
        <v>→ Estable</v>
      </c>
      <c r="AA821" s="5">
        <f t="shared" si="294"/>
        <v>116</v>
      </c>
      <c r="AB821" s="5">
        <f>IFERROR(SUMIFS(HIST_SCORE!$F:$F,HIST_SCORE!$B:$B,PARAMS_MODELO!$B$4,HIST_SCORE!$C:$C,$A821),"")</f>
        <v>107</v>
      </c>
      <c r="AC821" s="5">
        <f t="shared" si="295"/>
        <v>-9</v>
      </c>
      <c r="AD821" t="str">
        <f t="shared" si="297"/>
        <v/>
      </c>
      <c r="AE8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821="CERRADO",1,IF(V821="BRONCE",_xlpm.cPl,IF(V821="PLATA",_xlpm.cO,IF(V821="ORO",_xlpm.cP,IF(V821="PLATINO",_xlpm.cD,999))))))</f>
        <v>96.054919694466676</v>
      </c>
      <c r="AF8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821="CERRADO",0,IF(V821="BRONCE",1,IF(V821="PLATA",_xlpm.cPl,IF(V821="ORO",_xlpm.cO,IF(V821="PLATINO",_xlpm.cP,_xlpm.cD))))))</f>
        <v>86.439123873763251</v>
      </c>
      <c r="AG821">
        <f t="shared" si="298"/>
        <v>4.629346452839016</v>
      </c>
      <c r="AH821" t="str">
        <f t="shared" si="299"/>
        <v>VENTAS</v>
      </c>
      <c r="AI821" t="str">
        <f t="shared" si="296"/>
        <v>🎯 Para subir de categoría, eje VENTAS / IMPACTO ABSOLUTO (H). Acción: metas semanales + activación comercial + seguimiento del asesor. ΔR aprox: 4,6</v>
      </c>
      <c r="AJ821" s="26">
        <f>_xlfn.LET(_xlpm.piso,AF821,_xlpm.corte,AE821,_xlpm.prog,IF(_xlpm.corte&lt;=_xlpm.piso,0,MAX(0,MIN(1,(U821-_xlpm.piso)/(_xlpm.corte-_xlpm.piso)))),_xlpm.orden,{"DIAMANTE";"PLATINO";"ORO";"PLATA";"BRONCE";"CERRADO"},_xlpm.act,IFERROR(MATCH(V821,_xlpm.orden,0),6),_xlpm.ant,IFERROR(MATCH(W821,_xlpm.orden,0),6),_xlpm.ajmov,IF(_xlpm.act&lt;_xlpm.ant,0.08,IF(_xlpm.act&gt;_xlpm.ant,-0.08,0)),_xlpm.ajcli,IF(T821&lt;0.95,-0.06,0),_xlpm.prob,MAX(0,MIN(1,_xlpm.prog+_xlpm.ajmov+_xlpm.ajcli)),IF(OR(V821="DIAMANTE",V821="CERRADO"),0,ROUND(_xlpm.prob,2)))</f>
        <v>0.47</v>
      </c>
      <c r="AK821" t="str">
        <f t="shared" si="300"/>
        <v>Faltan 4,6 puntos base para subir a la siguiente categoría</v>
      </c>
      <c r="AL821" t="str">
        <f t="shared" si="301"/>
        <v>Margen de seguridad: 4,5 puntos</v>
      </c>
      <c r="AM821">
        <f t="shared" si="302"/>
        <v>0.4</v>
      </c>
      <c r="AN821" t="str">
        <f t="shared" si="303"/>
        <v>PRIORIDAD MEDIA – seguimiento del asesor</v>
      </c>
      <c r="AO821">
        <f t="shared" si="304"/>
        <v>10.918580318614879</v>
      </c>
      <c r="AP821">
        <f t="shared" si="305"/>
        <v>1.6976072878665098</v>
      </c>
      <c r="AQ821">
        <f t="shared" si="306"/>
        <v>0</v>
      </c>
      <c r="AR821">
        <f t="shared" si="307"/>
        <v>6.2700000000000005</v>
      </c>
      <c r="AS821">
        <f t="shared" si="308"/>
        <v>0</v>
      </c>
      <c r="AT821" t="str">
        <f t="shared" si="309"/>
        <v>VENTAS</v>
      </c>
      <c r="AU821">
        <f t="shared" si="310"/>
        <v>10.918580318614879</v>
      </c>
      <c r="AV821" t="str">
        <f t="shared" si="311"/>
        <v>Mayor retorno probable: VENTAS (+10,9 puntos finales potenciales).</v>
      </c>
    </row>
    <row r="822" spans="1:48" x14ac:dyDescent="0.3">
      <c r="A822" s="5">
        <v>51055691</v>
      </c>
      <c r="B822" s="5" t="str">
        <f>IFERROR(VLOOKUP(A822,VENTAS!$A$2:$B$1194,2,0),"")</f>
        <v>MONTENEGRO</v>
      </c>
      <c r="C822" s="5">
        <f>IFERROR(INDEX(VENTAS!$C$2:$E$1194,MATCH(A822,VENTAS!$A$2:$A$1194,0),MATCH(PARAMS_MODELO!$B$2,{"Q1","Q2","Q3"},0)),0)</f>
        <v>38001854.57</v>
      </c>
      <c r="D822" s="5">
        <f>IFERROR(INDEX(VENTAS!$F$2:$H$1194,MATCH(A822,VENTAS!$A$2:$A$1194,0),MATCH(PARAMS_MODELO!$B$2,{"Q1","Q2","Q3"},0)),0)</f>
        <v>44174051</v>
      </c>
      <c r="E822" s="8">
        <f t="shared" si="288"/>
        <v>0.16241829510269601</v>
      </c>
      <c r="F822" s="12">
        <f>IF(E822&lt;=PARAMS_MODELO!$B$15,0,IF(E822&gt;=PARAMS_MODELO!$B$17,100,100*MIN(1,(E822-PARAMS_MODELO!$B$15)/(PARAMS_MODELO!$B$16-PARAMS_MODELO!$B$15))))*PARAMS_MODELO!$B$7</f>
        <v>35</v>
      </c>
      <c r="G822" s="5">
        <f t="shared" si="289"/>
        <v>6172196.4299999997</v>
      </c>
      <c r="H822" s="5">
        <f>(PARAMS_MODELO!$B$20*(MAX(0,MIN(3,E822))/3)+PARAMS_MODELO!$B$21*(IFERROR(LN(1+MAX(0,G822))/LN(1+MAX(0,MAX($G$2:$G$1194))),0)))*100*PARAMS_MODELO!$B$8</f>
        <v>4.2336588647035214</v>
      </c>
      <c r="I822" s="8">
        <f>E822-PARAMS_MODELO!$B$5</f>
        <v>-1.514454027283052E-2</v>
      </c>
      <c r="J822" s="5">
        <f>IF(I822&lt;=PARAMS_MODELO!$B$18,0,IF(I822&gt;=PARAMS_MODELO!$B$19,100,100*(I822-PARAMS_MODELO!$B$18)/(PARAMS_MODELO!$B$19-PARAMS_MODELO!$B$18)))*PARAMS_MODELO!$B$9</f>
        <v>5.2283189590754224</v>
      </c>
      <c r="K822" s="5">
        <f>IFERROR(CHOOSE(MATCH(PARAMS_MODELO!$B$2,{"Q1","Q2","Q3"},0),LOTO!$D822,LOTO!$F822,LOTO!$H822),0)</f>
        <v>1980000</v>
      </c>
      <c r="L822" s="8">
        <f t="shared" si="290"/>
        <v>4.4822694662982124E-2</v>
      </c>
      <c r="M822" s="5">
        <f>MIN(100,IF(PARAMS_MODELO!$B$23=0,0,100*L822/PARAMS_MODELO!$B$23))*PARAMS_MODELO!$B$10</f>
        <v>13.446808398894634</v>
      </c>
      <c r="N822" s="5">
        <f>IFERROR(VLOOKUP(A822,COMPLIANCE!$A$2:$F$1996,6,0),100)</f>
        <v>99.38</v>
      </c>
      <c r="O822" s="5">
        <f>N822*PARAMS_MODELO!$B$11</f>
        <v>9.9380000000000006</v>
      </c>
      <c r="P822" s="5">
        <f>IFERROR(VLOOKUP(A822,DIGITAL!$A$2:$J$2000,7,0),100)</f>
        <v>39</v>
      </c>
      <c r="Q822" s="5">
        <f>IFERROR(P822,0)*PARAMS_MODELO!$B$12</f>
        <v>3.9000000000000004</v>
      </c>
      <c r="R822">
        <f t="shared" si="291"/>
        <v>71.746786222673578</v>
      </c>
      <c r="S822" s="5" t="str">
        <f>IFERROR(VLOOKUP(A822,CLIENTE!$A$2:$N$2000,13,0),1)</f>
        <v>Malo</v>
      </c>
      <c r="T822" s="5">
        <f>IFERROR(VLOOKUP(A822,CLIENTE!$A$2:$N$2000,14,0),1)</f>
        <v>0.7</v>
      </c>
      <c r="U822" s="5">
        <f t="shared" si="292"/>
        <v>50.222750355871504</v>
      </c>
      <c r="V822" s="5" t="str">
        <f>IF(U822&gt;=MAX(_xlfn.PERCENTILE.INC($U$2:$U$1194,PARAMS_MODELO!$B$50),PARAMS_MODELO!$B$45),"DIAMANTE",IF(U822&gt;=MAX(_xlfn.PERCENTILE.INC($U$2:$U$1194,PARAMS_MODELO!$B$51),PARAMS_MODELO!$B$46),"PLATINO",IF(U822&gt;=MAX(_xlfn.PERCENTILE.INC($U$2:$U$1194,PARAMS_MODELO!$B$52),PARAMS_MODELO!$B$47),"ORO",IF(U822&gt;=MAX(_xlfn.PERCENTILE.INC($U$2:$U$1194,PARAMS_MODELO!$B$53),PARAMS_MODELO!$B$48),"PLATA",IF(U822&gt;=1,"BRONCE","CERRADO")))))</f>
        <v>PLATA</v>
      </c>
      <c r="W822" s="5" t="str" cm="1">
        <f t="array" ref="W822">_xlfn.XLOOKUP(1, (HIST_SCORE!$B:$B=PARAMS_MODELO!$B$4) * (HIST_SCORE!$C:$C=A822), HIST_SCORE!$E:$E, "No encontrado")</f>
        <v>PLATA</v>
      </c>
      <c r="X822" s="5" t="str">
        <f>_xlfn.LET(_xlpm.act,MATCH(V822,{"DIAMANTE";"PLATINO";"ORO";"PLATA";"BRONCE";"CERRADO"},0),_xlpm.ant,MATCH(W822,{"DIAMANTE";"PLATINO";"ORO";"PLATA";"BRONCE";"CERRADO"},0),IF(_xlpm.act&lt;_xlpm.ant,"Mejora ↑",IF(_xlpm.act&gt;_xlpm.ant,"Baja ↓","Estable →")))</f>
        <v>Estable →</v>
      </c>
      <c r="Y822" s="5">
        <f>IFERROR(U822-SUMIFS(HIST_SCORE!$D:$D,HIST_SCORE!$B:$B,PARAMS_MODELO!$B$4,HIST_SCORE!$C:$C,$A822),"")</f>
        <v>2.7689564433521454</v>
      </c>
      <c r="Z822" s="5" t="str">
        <f t="shared" si="293"/>
        <v>→ Estable</v>
      </c>
      <c r="AA822" s="5">
        <f t="shared" si="294"/>
        <v>740</v>
      </c>
      <c r="AB822" s="5">
        <f>IFERROR(SUMIFS(HIST_SCORE!$F:$F,HIST_SCORE!$B:$B,PARAMS_MODELO!$B$4,HIST_SCORE!$C:$C,$A822),"")</f>
        <v>802</v>
      </c>
      <c r="AC822" s="5">
        <f t="shared" si="295"/>
        <v>62</v>
      </c>
      <c r="AD822" t="str">
        <f t="shared" si="297"/>
        <v/>
      </c>
      <c r="AE8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822="CERRADO",1,IF(V822="BRONCE",_xlpm.cPl,IF(V822="PLATA",_xlpm.cO,IF(V822="ORO",_xlpm.cP,IF(V822="PLATINO",_xlpm.cD,999))))))</f>
        <v>63.199193273331495</v>
      </c>
      <c r="AF8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822="CERRADO",0,IF(V822="BRONCE",1,IF(V822="PLATA",_xlpm.cPl,IF(V822="ORO",_xlpm.cO,IF(V822="PLATINO",_xlpm.cP,_xlpm.cD))))))</f>
        <v>24.506573482968111</v>
      </c>
      <c r="AG822">
        <f t="shared" si="298"/>
        <v>18.537775596371418</v>
      </c>
      <c r="AH822" t="str">
        <f t="shared" si="299"/>
        <v>CLIENTE</v>
      </c>
      <c r="AI822" t="str">
        <f t="shared" si="296"/>
        <v>🎯 Para subir de categoría, la eje con mayor impacto probable es CLIENTE (coef T). Acción: reducir quejas, mejorar incógnito y empujar reseñas. ΔR aprox: 18,5</v>
      </c>
      <c r="AJ822" s="26">
        <f>_xlfn.LET(_xlpm.piso,AF822,_xlpm.corte,AE822,_xlpm.prog,IF(_xlpm.corte&lt;=_xlpm.piso,0,MAX(0,MIN(1,(U822-_xlpm.piso)/(_xlpm.corte-_xlpm.piso)))),_xlpm.orden,{"DIAMANTE";"PLATINO";"ORO";"PLATA";"BRONCE";"CERRADO"},_xlpm.act,IFERROR(MATCH(V822,_xlpm.orden,0),6),_xlpm.ant,IFERROR(MATCH(W822,_xlpm.orden,0),6),_xlpm.ajmov,IF(_xlpm.act&lt;_xlpm.ant,0.08,IF(_xlpm.act&gt;_xlpm.ant,-0.08,0)),_xlpm.ajcli,IF(T822&lt;0.95,-0.06,0),_xlpm.prob,MAX(0,MIN(1,_xlpm.prog+_xlpm.ajmov+_xlpm.ajcli)),IF(OR(V822="DIAMANTE",V822="CERRADO"),0,ROUND(_xlpm.prob,2)))</f>
        <v>0.6</v>
      </c>
      <c r="AK822" t="str">
        <f t="shared" si="300"/>
        <v>Faltan 18,5 puntos base para subir a la siguiente categoría</v>
      </c>
      <c r="AL822" t="str">
        <f t="shared" si="301"/>
        <v>Margen de seguridad: 25,7 puntos</v>
      </c>
      <c r="AM822">
        <f t="shared" si="302"/>
        <v>0.76</v>
      </c>
      <c r="AN822" t="str">
        <f t="shared" si="303"/>
        <v>PRIORIDAD ALTA – requiere intervención inmediata</v>
      </c>
      <c r="AO822">
        <f t="shared" si="304"/>
        <v>14.280414016061647</v>
      </c>
      <c r="AP822">
        <f t="shared" si="305"/>
        <v>1.0872341207737564</v>
      </c>
      <c r="AQ822">
        <f t="shared" si="306"/>
        <v>4.3399999999999571E-2</v>
      </c>
      <c r="AR822">
        <f t="shared" si="307"/>
        <v>4.2699999999999996</v>
      </c>
      <c r="AS822">
        <f t="shared" si="308"/>
        <v>21.524035866802077</v>
      </c>
      <c r="AT822" t="str">
        <f t="shared" si="309"/>
        <v>CLIENTE</v>
      </c>
      <c r="AU822">
        <f t="shared" si="310"/>
        <v>21.524035866802077</v>
      </c>
      <c r="AV822" t="str">
        <f t="shared" si="311"/>
        <v>Mayor retorno probable: CLIENTE (+21,5 puntos finales potenciales).</v>
      </c>
    </row>
    <row r="823" spans="1:48" x14ac:dyDescent="0.3">
      <c r="A823" s="5">
        <v>51018958</v>
      </c>
      <c r="B823" s="5" t="str">
        <f>IFERROR(VLOOKUP(A823,VENTAS!$A$2:$B$1194,2,0),"")</f>
        <v>LÓPEZ</v>
      </c>
      <c r="C823" s="5">
        <f>IFERROR(INDEX(VENTAS!$C$2:$E$1194,MATCH(A823,VENTAS!$A$2:$A$1194,0),MATCH(PARAMS_MODELO!$B$2,{"Q1","Q2","Q3"},0)),0)</f>
        <v>31994300.899999999</v>
      </c>
      <c r="D823" s="5">
        <f>IFERROR(INDEX(VENTAS!$F$2:$H$1194,MATCH(A823,VENTAS!$A$2:$A$1194,0),MATCH(PARAMS_MODELO!$B$2,{"Q1","Q2","Q3"},0)),0)</f>
        <v>44119370</v>
      </c>
      <c r="E823" s="8">
        <f t="shared" si="288"/>
        <v>0.3789759037991669</v>
      </c>
      <c r="F823" s="12">
        <f>IF(E823&lt;=PARAMS_MODELO!$B$15,0,IF(E823&gt;=PARAMS_MODELO!$B$17,100,100*MIN(1,(E823-PARAMS_MODELO!$B$15)/(PARAMS_MODELO!$B$16-PARAMS_MODELO!$B$15))))*PARAMS_MODELO!$B$7</f>
        <v>35</v>
      </c>
      <c r="G823" s="5">
        <f t="shared" si="289"/>
        <v>12125069.100000001</v>
      </c>
      <c r="H823" s="5">
        <f>(PARAMS_MODELO!$B$20*(MAX(0,MIN(3,E823))/3)+PARAMS_MODELO!$B$21*(IFERROR(LN(1+MAX(0,G823))/LN(1+MAX(0,MAX($G$2:$G$1194))),0)))*100*PARAMS_MODELO!$B$8</f>
        <v>5.1498915591260142</v>
      </c>
      <c r="I823" s="8">
        <f>E823-PARAMS_MODELO!$B$5</f>
        <v>0.20141306842364037</v>
      </c>
      <c r="J823" s="5">
        <f>IF(I823&lt;=PARAMS_MODELO!$B$18,0,IF(I823&gt;=PARAMS_MODELO!$B$19,100,100*(I823-PARAMS_MODELO!$B$18)/(PARAMS_MODELO!$B$19-PARAMS_MODELO!$B$18)))*PARAMS_MODELO!$B$9</f>
        <v>15</v>
      </c>
      <c r="K823" s="5">
        <f>IFERROR(CHOOSE(MATCH(PARAMS_MODELO!$B$2,{"Q1","Q2","Q3"},0),LOTO!$D823,LOTO!$F823,LOTO!$H823),0)</f>
        <v>1955000</v>
      </c>
      <c r="L823" s="8">
        <f t="shared" si="290"/>
        <v>4.4311602817537966E-2</v>
      </c>
      <c r="M823" s="5">
        <f>MIN(100,IF(PARAMS_MODELO!$B$23=0,0,100*L823/PARAMS_MODELO!$B$23))*PARAMS_MODELO!$B$10</f>
        <v>13.293480845261387</v>
      </c>
      <c r="N823" s="5">
        <f>IFERROR(VLOOKUP(A823,COMPLIANCE!$A$2:$F$1996,6,0),100)</f>
        <v>99.98</v>
      </c>
      <c r="O823" s="5">
        <f>N823*PARAMS_MODELO!$B$11</f>
        <v>9.9980000000000011</v>
      </c>
      <c r="P823" s="5">
        <f>IFERROR(VLOOKUP(A823,DIGITAL!$A$2:$J$2000,7,0),100)</f>
        <v>97</v>
      </c>
      <c r="Q823" s="5">
        <f>IFERROR(P823,0)*PARAMS_MODELO!$B$12</f>
        <v>9.7000000000000011</v>
      </c>
      <c r="R823">
        <f t="shared" si="291"/>
        <v>88.141372404387411</v>
      </c>
      <c r="S823" s="5" t="str">
        <f>IFERROR(VLOOKUP(A823,CLIENTE!$A$2:$N$2000,13,0),1)</f>
        <v>Bueno</v>
      </c>
      <c r="T823" s="5">
        <f>IFERROR(VLOOKUP(A823,CLIENTE!$A$2:$N$2000,14,0),1)</f>
        <v>1.1000000000000001</v>
      </c>
      <c r="U823" s="5">
        <f t="shared" si="292"/>
        <v>96.955509644826165</v>
      </c>
      <c r="V823" s="5" t="str">
        <f>IF(U823&gt;=MAX(_xlfn.PERCENTILE.INC($U$2:$U$1194,PARAMS_MODELO!$B$50),PARAMS_MODELO!$B$45),"DIAMANTE",IF(U823&gt;=MAX(_xlfn.PERCENTILE.INC($U$2:$U$1194,PARAMS_MODELO!$B$51),PARAMS_MODELO!$B$46),"PLATINO",IF(U823&gt;=MAX(_xlfn.PERCENTILE.INC($U$2:$U$1194,PARAMS_MODELO!$B$52),PARAMS_MODELO!$B$47),"ORO",IF(U823&gt;=MAX(_xlfn.PERCENTILE.INC($U$2:$U$1194,PARAMS_MODELO!$B$53),PARAMS_MODELO!$B$48),"PLATA",IF(U823&gt;=1,"BRONCE","CERRADO")))))</f>
        <v>DIAMANTE</v>
      </c>
      <c r="W823" s="5" t="str" cm="1">
        <f t="array" ref="W823">_xlfn.XLOOKUP(1, (HIST_SCORE!$B:$B=PARAMS_MODELO!$B$4) * (HIST_SCORE!$C:$C=A823), HIST_SCORE!$E:$E, "No encontrado")</f>
        <v>DIAMANTE</v>
      </c>
      <c r="X823" s="5" t="str">
        <f>_xlfn.LET(_xlpm.act,MATCH(V823,{"DIAMANTE";"PLATINO";"ORO";"PLATA";"BRONCE";"CERRADO"},0),_xlpm.ant,MATCH(W823,{"DIAMANTE";"PLATINO";"ORO";"PLATA";"BRONCE";"CERRADO"},0),IF(_xlpm.act&lt;_xlpm.ant,"Mejora ↑",IF(_xlpm.act&gt;_xlpm.ant,"Baja ↓","Estable →")))</f>
        <v>Estable →</v>
      </c>
      <c r="Y823" s="5">
        <f>IFERROR(U823-SUMIFS(HIST_SCORE!$D:$D,HIST_SCORE!$B:$B,PARAMS_MODELO!$B$4,HIST_SCORE!$C:$C,$A823),"")</f>
        <v>-2.2024186983906446</v>
      </c>
      <c r="Z823" s="5" t="str">
        <f t="shared" si="293"/>
        <v>→ Estable</v>
      </c>
      <c r="AA823" s="5">
        <f t="shared" si="294"/>
        <v>47</v>
      </c>
      <c r="AB823" s="5">
        <f>IFERROR(SUMIFS(HIST_SCORE!$F:$F,HIST_SCORE!$B:$B,PARAMS_MODELO!$B$4,HIST_SCORE!$C:$C,$A823),"")</f>
        <v>22</v>
      </c>
      <c r="AC823" s="5">
        <f t="shared" si="295"/>
        <v>-25</v>
      </c>
      <c r="AD823" t="str">
        <f t="shared" si="297"/>
        <v/>
      </c>
      <c r="AE8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823="CERRADO",1,IF(V823="BRONCE",_xlpm.cPl,IF(V823="PLATA",_xlpm.cO,IF(V823="ORO",_xlpm.cP,IF(V823="PLATINO",_xlpm.cD,999))))))</f>
        <v>999</v>
      </c>
      <c r="AF8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823="CERRADO",0,IF(V823="BRONCE",1,IF(V823="PLATA",_xlpm.cPl,IF(V823="ORO",_xlpm.cO,IF(V823="PLATINO",_xlpm.cP,_xlpm.cD))))))</f>
        <v>96.054919694466676</v>
      </c>
      <c r="AG823">
        <f t="shared" si="298"/>
        <v>820.0404457774307</v>
      </c>
      <c r="AH823" t="str">
        <f t="shared" si="299"/>
        <v>SOSTENER</v>
      </c>
      <c r="AI823" t="str">
        <f t="shared" si="296"/>
        <v>✅ Mantener desempeño y monitorear variaciones para sostener categoría.</v>
      </c>
      <c r="AJ823" s="26">
        <f>_xlfn.LET(_xlpm.piso,AF823,_xlpm.corte,AE823,_xlpm.prog,IF(_xlpm.corte&lt;=_xlpm.piso,0,MAX(0,MIN(1,(U823-_xlpm.piso)/(_xlpm.corte-_xlpm.piso)))),_xlpm.orden,{"DIAMANTE";"PLATINO";"ORO";"PLATA";"BRONCE";"CERRADO"},_xlpm.act,IFERROR(MATCH(V823,_xlpm.orden,0),6),_xlpm.ant,IFERROR(MATCH(W823,_xlpm.orden,0),6),_xlpm.ajmov,IF(_xlpm.act&lt;_xlpm.ant,0.08,IF(_xlpm.act&gt;_xlpm.ant,-0.08,0)),_xlpm.ajcli,IF(T823&lt;0.95,-0.06,0),_xlpm.prob,MAX(0,MIN(1,_xlpm.prog+_xlpm.ajmov+_xlpm.ajcli)),IF(OR(V823="DIAMANTE",V823="CERRADO"),0,ROUND(_xlpm.prob,2)))</f>
        <v>0</v>
      </c>
      <c r="AK823" t="str">
        <f t="shared" si="300"/>
        <v>No aplica</v>
      </c>
      <c r="AL823" t="str">
        <f t="shared" si="301"/>
        <v>Margen de seguridad: 0,9 puntos</v>
      </c>
      <c r="AM823">
        <f t="shared" si="302"/>
        <v>0.8</v>
      </c>
      <c r="AN823" t="str">
        <f t="shared" si="303"/>
        <v>PRIORIDAD ALTA – requiere intervención inmediata</v>
      </c>
      <c r="AO823">
        <f t="shared" si="304"/>
        <v>10.683945487786531</v>
      </c>
      <c r="AP823">
        <f t="shared" si="305"/>
        <v>1.8771710702124746</v>
      </c>
      <c r="AQ823">
        <f t="shared" si="306"/>
        <v>2.1999999999987811E-3</v>
      </c>
      <c r="AR823">
        <f t="shared" si="307"/>
        <v>0.32999999999999885</v>
      </c>
      <c r="AS823">
        <f t="shared" si="308"/>
        <v>0</v>
      </c>
      <c r="AT823" t="str">
        <f t="shared" si="309"/>
        <v>VENTAS</v>
      </c>
      <c r="AU823">
        <f t="shared" si="310"/>
        <v>10.683945487786531</v>
      </c>
      <c r="AV823" t="str">
        <f t="shared" si="311"/>
        <v>Mayor retorno probable: VENTAS (+10,7 puntos finales potenciales).</v>
      </c>
    </row>
    <row r="824" spans="1:48" x14ac:dyDescent="0.3">
      <c r="A824" s="5">
        <v>51054903</v>
      </c>
      <c r="B824" s="5" t="str">
        <f>IFERROR(VLOOKUP(A824,VENTAS!$A$2:$B$1194,2,0),"")</f>
        <v>PUGH</v>
      </c>
      <c r="C824" s="5">
        <f>IFERROR(INDEX(VENTAS!$C$2:$E$1194,MATCH(A824,VENTAS!$A$2:$A$1194,0),MATCH(PARAMS_MODELO!$B$2,{"Q1","Q2","Q3"},0)),0)</f>
        <v>35988093.789999999</v>
      </c>
      <c r="D824" s="5">
        <f>IFERROR(INDEX(VENTAS!$F$2:$H$1194,MATCH(A824,VENTAS!$A$2:$A$1194,0),MATCH(PARAMS_MODELO!$B$2,{"Q1","Q2","Q3"},0)),0)</f>
        <v>43860822</v>
      </c>
      <c r="E824" s="8">
        <f t="shared" si="288"/>
        <v>0.21875924454180429</v>
      </c>
      <c r="F824" s="12">
        <f>IF(E824&lt;=PARAMS_MODELO!$B$15,0,IF(E824&gt;=PARAMS_MODELO!$B$17,100,100*MIN(1,(E824-PARAMS_MODELO!$B$15)/(PARAMS_MODELO!$B$16-PARAMS_MODELO!$B$15))))*PARAMS_MODELO!$B$7</f>
        <v>35</v>
      </c>
      <c r="G824" s="5">
        <f t="shared" si="289"/>
        <v>7872728.2100000009</v>
      </c>
      <c r="H824" s="5">
        <f>(PARAMS_MODELO!$B$20*(MAX(0,MIN(3,E824))/3)+PARAMS_MODELO!$B$21*(IFERROR(LN(1+MAX(0,G824))/LN(1+MAX(0,MAX($G$2:$G$1194))),0)))*100*PARAMS_MODELO!$B$8</f>
        <v>4.4878967938616361</v>
      </c>
      <c r="I824" s="8">
        <f>E824-PARAMS_MODELO!$B$5</f>
        <v>4.1196409166277759E-2</v>
      </c>
      <c r="J824" s="5">
        <f>IF(I824&lt;=PARAMS_MODELO!$B$18,0,IF(I824&gt;=PARAMS_MODELO!$B$19,100,100*(I824-PARAMS_MODELO!$B$18)/(PARAMS_MODELO!$B$19-PARAMS_MODELO!$B$18)))*PARAMS_MODELO!$B$9</f>
        <v>13.679461374941663</v>
      </c>
      <c r="K824" s="5">
        <f>IFERROR(CHOOSE(MATCH(PARAMS_MODELO!$B$2,{"Q1","Q2","Q3"},0),LOTO!$D824,LOTO!$F824,LOTO!$H824),0)</f>
        <v>1947500</v>
      </c>
      <c r="L824" s="8">
        <f t="shared" si="290"/>
        <v>4.4401812624487523E-2</v>
      </c>
      <c r="M824" s="5">
        <f>MIN(100,IF(PARAMS_MODELO!$B$23=0,0,100*L824/PARAMS_MODELO!$B$23))*PARAMS_MODELO!$B$10</f>
        <v>13.320543787346255</v>
      </c>
      <c r="N824" s="5">
        <f>IFERROR(VLOOKUP(A824,COMPLIANCE!$A$2:$F$1996,6,0),100)</f>
        <v>100</v>
      </c>
      <c r="O824" s="5">
        <f>N824*PARAMS_MODELO!$B$11</f>
        <v>10</v>
      </c>
      <c r="P824" s="5">
        <f>IFERROR(VLOOKUP(A824,DIGITAL!$A$2:$J$2000,7,0),100)</f>
        <v>70</v>
      </c>
      <c r="Q824" s="5">
        <f>IFERROR(P824,0)*PARAMS_MODELO!$B$12</f>
        <v>7</v>
      </c>
      <c r="R824">
        <f t="shared" si="291"/>
        <v>83.487901956149557</v>
      </c>
      <c r="S824" s="5" t="str">
        <f>IFERROR(VLOOKUP(A824,CLIENTE!$A$2:$N$2000,13,0),1)</f>
        <v>Regular</v>
      </c>
      <c r="T824" s="5">
        <f>IFERROR(VLOOKUP(A824,CLIENTE!$A$2:$N$2000,14,0),1)</f>
        <v>1</v>
      </c>
      <c r="U824" s="5">
        <f t="shared" si="292"/>
        <v>83.487901956149557</v>
      </c>
      <c r="V824" s="5" t="str">
        <f>IF(U824&gt;=MAX(_xlfn.PERCENTILE.INC($U$2:$U$1194,PARAMS_MODELO!$B$50),PARAMS_MODELO!$B$45),"DIAMANTE",IF(U824&gt;=MAX(_xlfn.PERCENTILE.INC($U$2:$U$1194,PARAMS_MODELO!$B$51),PARAMS_MODELO!$B$46),"PLATINO",IF(U824&gt;=MAX(_xlfn.PERCENTILE.INC($U$2:$U$1194,PARAMS_MODELO!$B$52),PARAMS_MODELO!$B$47),"ORO",IF(U824&gt;=MAX(_xlfn.PERCENTILE.INC($U$2:$U$1194,PARAMS_MODELO!$B$53),PARAMS_MODELO!$B$48),"PLATA",IF(U824&gt;=1,"BRONCE","CERRADO")))))</f>
        <v>ORO</v>
      </c>
      <c r="W824" s="5" t="str" cm="1">
        <f t="array" ref="W824">_xlfn.XLOOKUP(1, (HIST_SCORE!$B:$B=PARAMS_MODELO!$B$4) * (HIST_SCORE!$C:$C=A824), HIST_SCORE!$E:$E, "No encontrado")</f>
        <v>ORO</v>
      </c>
      <c r="X824" s="5" t="str">
        <f>_xlfn.LET(_xlpm.act,MATCH(V824,{"DIAMANTE";"PLATINO";"ORO";"PLATA";"BRONCE";"CERRADO"},0),_xlpm.ant,MATCH(W824,{"DIAMANTE";"PLATINO";"ORO";"PLATA";"BRONCE";"CERRADO"},0),IF(_xlpm.act&lt;_xlpm.ant,"Mejora ↑",IF(_xlpm.act&gt;_xlpm.ant,"Baja ↓","Estable →")))</f>
        <v>Estable →</v>
      </c>
      <c r="Y824" s="5">
        <f>IFERROR(U824-SUMIFS(HIST_SCORE!$D:$D,HIST_SCORE!$B:$B,PARAMS_MODELO!$B$4,HIST_SCORE!$C:$C,$A824),"")</f>
        <v>-9.9406785573563639E-3</v>
      </c>
      <c r="Z824" s="5" t="str">
        <f t="shared" si="293"/>
        <v>→ Estable</v>
      </c>
      <c r="AA824" s="5">
        <f t="shared" si="294"/>
        <v>333</v>
      </c>
      <c r="AB824" s="5">
        <f>IFERROR(SUMIFS(HIST_SCORE!$F:$F,HIST_SCORE!$B:$B,PARAMS_MODELO!$B$4,HIST_SCORE!$C:$C,$A824),"")</f>
        <v>305</v>
      </c>
      <c r="AC824" s="5">
        <f t="shared" si="295"/>
        <v>-28</v>
      </c>
      <c r="AD824" t="str">
        <f t="shared" si="297"/>
        <v>Sostener base y reforzar mix</v>
      </c>
      <c r="AE8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824="CERRADO",1,IF(V824="BRONCE",_xlpm.cPl,IF(V824="PLATA",_xlpm.cO,IF(V824="ORO",_xlpm.cP,IF(V824="PLATINO",_xlpm.cD,999))))))</f>
        <v>86.439123873763251</v>
      </c>
      <c r="AF8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824="CERRADO",0,IF(V824="BRONCE",1,IF(V824="PLATA",_xlpm.cPl,IF(V824="ORO",_xlpm.cO,IF(V824="PLATINO",_xlpm.cP,_xlpm.cD))))))</f>
        <v>63.199193273331495</v>
      </c>
      <c r="AG824">
        <f t="shared" si="298"/>
        <v>2.9512219176136938</v>
      </c>
      <c r="AH824" t="str">
        <f t="shared" si="299"/>
        <v>VENTAS</v>
      </c>
      <c r="AI824" t="str">
        <f t="shared" si="296"/>
        <v>🎯 Para subir de categoría, eje VENTAS / IMPACTO ABSOLUTO (H). Acción: metas semanales + activación comercial + seguimiento del asesor. ΔR aprox: 3,0</v>
      </c>
      <c r="AJ824" s="26">
        <f>_xlfn.LET(_xlpm.piso,AF824,_xlpm.corte,AE824,_xlpm.prog,IF(_xlpm.corte&lt;=_xlpm.piso,0,MAX(0,MIN(1,(U824-_xlpm.piso)/(_xlpm.corte-_xlpm.piso)))),_xlpm.orden,{"DIAMANTE";"PLATINO";"ORO";"PLATA";"BRONCE";"CERRADO"},_xlpm.act,IFERROR(MATCH(V824,_xlpm.orden,0),6),_xlpm.ant,IFERROR(MATCH(W824,_xlpm.orden,0),6),_xlpm.ajmov,IF(_xlpm.act&lt;_xlpm.ant,0.08,IF(_xlpm.act&gt;_xlpm.ant,-0.08,0)),_xlpm.ajcli,IF(T824&lt;0.95,-0.06,0),_xlpm.prob,MAX(0,MIN(1,_xlpm.prog+_xlpm.ajmov+_xlpm.ajcli)),IF(OR(V824="DIAMANTE",V824="CERRADO"),0,ROUND(_xlpm.prob,2)))</f>
        <v>0.87</v>
      </c>
      <c r="AK824" t="str">
        <f t="shared" si="300"/>
        <v>Faltan 3,0 puntos base para subir a la siguiente categoría</v>
      </c>
      <c r="AL824" t="str">
        <f t="shared" si="301"/>
        <v>Margen de seguridad: 20,3 puntos</v>
      </c>
      <c r="AM824">
        <f t="shared" si="302"/>
        <v>0.17</v>
      </c>
      <c r="AN824" t="str">
        <f t="shared" si="303"/>
        <v>PRIORIDAD BAJA – control normal</v>
      </c>
      <c r="AO824">
        <f t="shared" si="304"/>
        <v>11.69521110649228</v>
      </c>
      <c r="AP824">
        <f t="shared" si="305"/>
        <v>1.6794562126537453</v>
      </c>
      <c r="AQ824">
        <f t="shared" si="306"/>
        <v>0</v>
      </c>
      <c r="AR824">
        <f t="shared" si="307"/>
        <v>3</v>
      </c>
      <c r="AS824">
        <f t="shared" si="308"/>
        <v>0</v>
      </c>
      <c r="AT824" t="str">
        <f t="shared" si="309"/>
        <v>VENTAS</v>
      </c>
      <c r="AU824">
        <f t="shared" si="310"/>
        <v>11.69521110649228</v>
      </c>
      <c r="AV824" t="str">
        <f t="shared" si="311"/>
        <v>Mayor retorno probable: VENTAS (+11,7 puntos finales potenciales).</v>
      </c>
    </row>
    <row r="825" spans="1:48" x14ac:dyDescent="0.3">
      <c r="A825" s="5">
        <v>51022084</v>
      </c>
      <c r="B825" s="5" t="str">
        <f>IFERROR(VLOOKUP(A825,VENTAS!$A$2:$B$1194,2,0),"")</f>
        <v>NELLI</v>
      </c>
      <c r="C825" s="5">
        <f>IFERROR(INDEX(VENTAS!$C$2:$E$1194,MATCH(A825,VENTAS!$A$2:$A$1194,0),MATCH(PARAMS_MODELO!$B$2,{"Q1","Q2","Q3"},0)),0)</f>
        <v>29871769.510000002</v>
      </c>
      <c r="D825" s="5">
        <f>IFERROR(INDEX(VENTAS!$F$2:$H$1194,MATCH(A825,VENTAS!$A$2:$A$1194,0),MATCH(PARAMS_MODELO!$B$2,{"Q1","Q2","Q3"},0)),0)</f>
        <v>43616305</v>
      </c>
      <c r="E825" s="8">
        <f t="shared" si="288"/>
        <v>0.4601178877400891</v>
      </c>
      <c r="F825" s="12">
        <f>IF(E825&lt;=PARAMS_MODELO!$B$15,0,IF(E825&gt;=PARAMS_MODELO!$B$17,100,100*MIN(1,(E825-PARAMS_MODELO!$B$15)/(PARAMS_MODELO!$B$16-PARAMS_MODELO!$B$15))))*PARAMS_MODELO!$B$7</f>
        <v>35</v>
      </c>
      <c r="G825" s="5">
        <f t="shared" si="289"/>
        <v>13744535.489999998</v>
      </c>
      <c r="H825" s="5">
        <f>(PARAMS_MODELO!$B$20*(MAX(0,MIN(3,E825))/3)+PARAMS_MODELO!$B$21*(IFERROR(LN(1+MAX(0,G825))/LN(1+MAX(0,MAX($G$2:$G$1194))),0)))*100*PARAMS_MODELO!$B$8</f>
        <v>5.4632760858783245</v>
      </c>
      <c r="I825" s="8">
        <f>E825-PARAMS_MODELO!$B$5</f>
        <v>0.28255505236456258</v>
      </c>
      <c r="J825" s="5">
        <f>IF(I825&lt;=PARAMS_MODELO!$B$18,0,IF(I825&gt;=PARAMS_MODELO!$B$19,100,100*(I825-PARAMS_MODELO!$B$18)/(PARAMS_MODELO!$B$19-PARAMS_MODELO!$B$18)))*PARAMS_MODELO!$B$9</f>
        <v>15</v>
      </c>
      <c r="K825" s="5">
        <f>IFERROR(CHOOSE(MATCH(PARAMS_MODELO!$B$2,{"Q1","Q2","Q3"},0),LOTO!$D825,LOTO!$F825,LOTO!$H825),0)</f>
        <v>1940000</v>
      </c>
      <c r="L825" s="8">
        <f t="shared" si="290"/>
        <v>4.4478779208830276E-2</v>
      </c>
      <c r="M825" s="5">
        <f>MIN(100,IF(PARAMS_MODELO!$B$23=0,0,100*L825/PARAMS_MODELO!$B$23))*PARAMS_MODELO!$B$10</f>
        <v>13.343633762649082</v>
      </c>
      <c r="N825" s="5">
        <f>IFERROR(VLOOKUP(A825,COMPLIANCE!$A$2:$F$1996,6,0),100)</f>
        <v>100</v>
      </c>
      <c r="O825" s="5">
        <f>N825*PARAMS_MODELO!$B$11</f>
        <v>10</v>
      </c>
      <c r="P825" s="5">
        <f>IFERROR(VLOOKUP(A825,DIGITAL!$A$2:$J$2000,7,0),100)</f>
        <v>41</v>
      </c>
      <c r="Q825" s="5">
        <f>IFERROR(P825,0)*PARAMS_MODELO!$B$12</f>
        <v>4.1000000000000005</v>
      </c>
      <c r="R825">
        <f t="shared" si="291"/>
        <v>82.906909848527405</v>
      </c>
      <c r="S825" s="5" t="str">
        <f>IFERROR(VLOOKUP(A825,CLIENTE!$A$2:$N$2000,13,0),1)</f>
        <v>Malo</v>
      </c>
      <c r="T825" s="5">
        <f>IFERROR(VLOOKUP(A825,CLIENTE!$A$2:$N$2000,14,0),1)</f>
        <v>0.7</v>
      </c>
      <c r="U825" s="5">
        <f t="shared" si="292"/>
        <v>58.034836893969178</v>
      </c>
      <c r="V825" s="5" t="str">
        <f>IF(U825&gt;=MAX(_xlfn.PERCENTILE.INC($U$2:$U$1194,PARAMS_MODELO!$B$50),PARAMS_MODELO!$B$45),"DIAMANTE",IF(U825&gt;=MAX(_xlfn.PERCENTILE.INC($U$2:$U$1194,PARAMS_MODELO!$B$51),PARAMS_MODELO!$B$46),"PLATINO",IF(U825&gt;=MAX(_xlfn.PERCENTILE.INC($U$2:$U$1194,PARAMS_MODELO!$B$52),PARAMS_MODELO!$B$47),"ORO",IF(U825&gt;=MAX(_xlfn.PERCENTILE.INC($U$2:$U$1194,PARAMS_MODELO!$B$53),PARAMS_MODELO!$B$48),"PLATA",IF(U825&gt;=1,"BRONCE","CERRADO")))))</f>
        <v>PLATA</v>
      </c>
      <c r="W825" s="5" t="str" cm="1">
        <f t="array" ref="W825">_xlfn.XLOOKUP(1, (HIST_SCORE!$B:$B=PARAMS_MODELO!$B$4) * (HIST_SCORE!$C:$C=A825), HIST_SCORE!$E:$E, "No encontrado")</f>
        <v>PLATA</v>
      </c>
      <c r="X825" s="5" t="str">
        <f>_xlfn.LET(_xlpm.act,MATCH(V825,{"DIAMANTE";"PLATINO";"ORO";"PLATA";"BRONCE";"CERRADO"},0),_xlpm.ant,MATCH(W825,{"DIAMANTE";"PLATINO";"ORO";"PLATA";"BRONCE";"CERRADO"},0),IF(_xlpm.act&lt;_xlpm.ant,"Mejora ↑",IF(_xlpm.act&gt;_xlpm.ant,"Baja ↓","Estable →")))</f>
        <v>Estable →</v>
      </c>
      <c r="Y825" s="5">
        <f>IFERROR(U825-SUMIFS(HIST_SCORE!$D:$D,HIST_SCORE!$B:$B,PARAMS_MODELO!$B$4,HIST_SCORE!$C:$C,$A825),"")</f>
        <v>3.9326671164898244</v>
      </c>
      <c r="Z825" s="5" t="str">
        <f t="shared" si="293"/>
        <v>→ Estable</v>
      </c>
      <c r="AA825" s="5">
        <f t="shared" si="294"/>
        <v>661</v>
      </c>
      <c r="AB825" s="5">
        <f>IFERROR(SUMIFS(HIST_SCORE!$F:$F,HIST_SCORE!$B:$B,PARAMS_MODELO!$B$4,HIST_SCORE!$C:$C,$A825),"")</f>
        <v>743</v>
      </c>
      <c r="AC825" s="5">
        <f t="shared" si="295"/>
        <v>82</v>
      </c>
      <c r="AD825" t="str">
        <f t="shared" si="297"/>
        <v/>
      </c>
      <c r="AE8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825="CERRADO",1,IF(V825="BRONCE",_xlpm.cPl,IF(V825="PLATA",_xlpm.cO,IF(V825="ORO",_xlpm.cP,IF(V825="PLATINO",_xlpm.cD,999))))))</f>
        <v>63.199193273331495</v>
      </c>
      <c r="AF8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825="CERRADO",0,IF(V825="BRONCE",1,IF(V825="PLATA",_xlpm.cPl,IF(V825="ORO",_xlpm.cO,IF(V825="PLATINO",_xlpm.cP,_xlpm.cD))))))</f>
        <v>24.506573482968111</v>
      </c>
      <c r="AG825">
        <f t="shared" si="298"/>
        <v>7.37765197051759</v>
      </c>
      <c r="AH825" t="str">
        <f t="shared" si="299"/>
        <v>CLIENTE</v>
      </c>
      <c r="AI825" t="str">
        <f t="shared" si="296"/>
        <v>🎯 Para subir de categoría, la eje con mayor impacto probable es CLIENTE (coef T). Acción: reducir quejas, mejorar incógnito y empujar reseñas. ΔR aprox: 7,4</v>
      </c>
      <c r="AJ825" s="26">
        <f>_xlfn.LET(_xlpm.piso,AF825,_xlpm.corte,AE825,_xlpm.prog,IF(_xlpm.corte&lt;=_xlpm.piso,0,MAX(0,MIN(1,(U825-_xlpm.piso)/(_xlpm.corte-_xlpm.piso)))),_xlpm.orden,{"DIAMANTE";"PLATINO";"ORO";"PLATA";"BRONCE";"CERRADO"},_xlpm.act,IFERROR(MATCH(V825,_xlpm.orden,0),6),_xlpm.ant,IFERROR(MATCH(W825,_xlpm.orden,0),6),_xlpm.ajmov,IF(_xlpm.act&lt;_xlpm.ant,0.08,IF(_xlpm.act&gt;_xlpm.ant,-0.08,0)),_xlpm.ajcli,IF(T825&lt;0.95,-0.06,0),_xlpm.prob,MAX(0,MIN(1,_xlpm.prog+_xlpm.ajmov+_xlpm.ajcli)),IF(OR(V825="DIAMANTE",V825="CERRADO"),0,ROUND(_xlpm.prob,2)))</f>
        <v>0.81</v>
      </c>
      <c r="AK825" t="str">
        <f t="shared" si="300"/>
        <v>Faltan 7,4 puntos base para subir a la siguiente categoría</v>
      </c>
      <c r="AL825" t="str">
        <f t="shared" si="301"/>
        <v>Margen de seguridad: 33,5 puntos</v>
      </c>
      <c r="AM825">
        <f t="shared" si="302"/>
        <v>0.56999999999999995</v>
      </c>
      <c r="AN825" t="str">
        <f t="shared" si="303"/>
        <v>PRIORIDAD MEDIA – seguimiento del asesor</v>
      </c>
      <c r="AO825">
        <f t="shared" si="304"/>
        <v>6.57950523259208</v>
      </c>
      <c r="AP825">
        <f t="shared" si="305"/>
        <v>1.1594563661456423</v>
      </c>
      <c r="AQ825">
        <f t="shared" si="306"/>
        <v>0</v>
      </c>
      <c r="AR825">
        <f t="shared" si="307"/>
        <v>4.129999999999999</v>
      </c>
      <c r="AS825">
        <f t="shared" si="308"/>
        <v>24.872072954558224</v>
      </c>
      <c r="AT825" t="str">
        <f t="shared" si="309"/>
        <v>CLIENTE</v>
      </c>
      <c r="AU825">
        <f t="shared" si="310"/>
        <v>24.872072954558224</v>
      </c>
      <c r="AV825" t="str">
        <f t="shared" si="311"/>
        <v>Mayor retorno probable: CLIENTE (+24,9 puntos finales potenciales).</v>
      </c>
    </row>
    <row r="826" spans="1:48" x14ac:dyDescent="0.3">
      <c r="A826" s="5">
        <v>51019202</v>
      </c>
      <c r="B826" s="5" t="str">
        <f>IFERROR(VLOOKUP(A826,VENTAS!$A$2:$B$1194,2,0),"")</f>
        <v>BELUZZO</v>
      </c>
      <c r="C826" s="5">
        <f>IFERROR(INDEX(VENTAS!$C$2:$E$1194,MATCH(A826,VENTAS!$A$2:$A$1194,0),MATCH(PARAMS_MODELO!$B$2,{"Q1","Q2","Q3"},0)),0)</f>
        <v>39126850.210000001</v>
      </c>
      <c r="D826" s="5">
        <f>IFERROR(INDEX(VENTAS!$F$2:$H$1194,MATCH(A826,VENTAS!$A$2:$A$1194,0),MATCH(PARAMS_MODELO!$B$2,{"Q1","Q2","Q3"},0)),0)</f>
        <v>43582802</v>
      </c>
      <c r="E826" s="8">
        <f t="shared" si="288"/>
        <v>0.11388475602007819</v>
      </c>
      <c r="F826" s="12">
        <f>IF(E826&lt;=PARAMS_MODELO!$B$15,0,IF(E826&gt;=PARAMS_MODELO!$B$17,100,100*MIN(1,(E826-PARAMS_MODELO!$B$15)/(PARAMS_MODELO!$B$16-PARAMS_MODELO!$B$15))))*PARAMS_MODELO!$B$7</f>
        <v>35</v>
      </c>
      <c r="G826" s="5">
        <f t="shared" si="289"/>
        <v>4455951.7899999991</v>
      </c>
      <c r="H826" s="5">
        <f>(PARAMS_MODELO!$B$20*(MAX(0,MIN(3,E826))/3)+PARAMS_MODELO!$B$21*(IFERROR(LN(1+MAX(0,G826))/LN(1+MAX(0,MAX($G$2:$G$1194))),0)))*100*PARAMS_MODELO!$B$8</f>
        <v>3.9874161244115554</v>
      </c>
      <c r="I826" s="8">
        <f>E826-PARAMS_MODELO!$B$5</f>
        <v>-6.3678079355448336E-2</v>
      </c>
      <c r="J826" s="5">
        <f>IF(I826&lt;=PARAMS_MODELO!$B$18,0,IF(I826&gt;=PARAMS_MODELO!$B$19,100,100*(I826-PARAMS_MODELO!$B$18)/(PARAMS_MODELO!$B$19-PARAMS_MODELO!$B$18)))*PARAMS_MODELO!$B$9</f>
        <v>0</v>
      </c>
      <c r="K826" s="5">
        <f>IFERROR(CHOOSE(MATCH(PARAMS_MODELO!$B$2,{"Q1","Q2","Q3"},0),LOTO!$D826,LOTO!$F826,LOTO!$H826),0)</f>
        <v>1932500</v>
      </c>
      <c r="L826" s="8">
        <f t="shared" si="290"/>
        <v>4.4340884737057523E-2</v>
      </c>
      <c r="M826" s="5">
        <f>MIN(100,IF(PARAMS_MODELO!$B$23=0,0,100*L826/PARAMS_MODELO!$B$23))*PARAMS_MODELO!$B$10</f>
        <v>13.302265421117253</v>
      </c>
      <c r="N826" s="5">
        <f>IFERROR(VLOOKUP(A826,COMPLIANCE!$A$2:$F$1996,6,0),100)</f>
        <v>99.98</v>
      </c>
      <c r="O826" s="5">
        <f>N826*PARAMS_MODELO!$B$11</f>
        <v>9.9980000000000011</v>
      </c>
      <c r="P826" s="5">
        <f>IFERROR(VLOOKUP(A826,DIGITAL!$A$2:$J$2000,7,0),100)</f>
        <v>67</v>
      </c>
      <c r="Q826" s="5">
        <f>IFERROR(P826,0)*PARAMS_MODELO!$B$12</f>
        <v>6.7</v>
      </c>
      <c r="R826">
        <f t="shared" si="291"/>
        <v>68.987681545528815</v>
      </c>
      <c r="S826" s="5" t="str">
        <f>IFERROR(VLOOKUP(A826,CLIENTE!$A$2:$N$2000,13,0),1)</f>
        <v>Regular</v>
      </c>
      <c r="T826" s="5">
        <f>IFERROR(VLOOKUP(A826,CLIENTE!$A$2:$N$2000,14,0),1)</f>
        <v>1</v>
      </c>
      <c r="U826" s="5">
        <f t="shared" si="292"/>
        <v>68.987681545528815</v>
      </c>
      <c r="V826" s="5" t="str">
        <f>IF(U826&gt;=MAX(_xlfn.PERCENTILE.INC($U$2:$U$1194,PARAMS_MODELO!$B$50),PARAMS_MODELO!$B$45),"DIAMANTE",IF(U826&gt;=MAX(_xlfn.PERCENTILE.INC($U$2:$U$1194,PARAMS_MODELO!$B$51),PARAMS_MODELO!$B$46),"PLATINO",IF(U826&gt;=MAX(_xlfn.PERCENTILE.INC($U$2:$U$1194,PARAMS_MODELO!$B$52),PARAMS_MODELO!$B$47),"ORO",IF(U826&gt;=MAX(_xlfn.PERCENTILE.INC($U$2:$U$1194,PARAMS_MODELO!$B$53),PARAMS_MODELO!$B$48),"PLATA",IF(U826&gt;=1,"BRONCE","CERRADO")))))</f>
        <v>ORO</v>
      </c>
      <c r="W826" s="5" t="str" cm="1">
        <f t="array" ref="W826">_xlfn.XLOOKUP(1, (HIST_SCORE!$B:$B=PARAMS_MODELO!$B$4) * (HIST_SCORE!$C:$C=A826), HIST_SCORE!$E:$E, "No encontrado")</f>
        <v>ORO</v>
      </c>
      <c r="X826" s="5" t="str">
        <f>_xlfn.LET(_xlpm.act,MATCH(V826,{"DIAMANTE";"PLATINO";"ORO";"PLATA";"BRONCE";"CERRADO"},0),_xlpm.ant,MATCH(W826,{"DIAMANTE";"PLATINO";"ORO";"PLATA";"BRONCE";"CERRADO"},0),IF(_xlpm.act&lt;_xlpm.ant,"Mejora ↑",IF(_xlpm.act&gt;_xlpm.ant,"Baja ↓","Estable →")))</f>
        <v>Estable →</v>
      </c>
      <c r="Y826" s="5">
        <f>IFERROR(U826-SUMIFS(HIST_SCORE!$D:$D,HIST_SCORE!$B:$B,PARAMS_MODELO!$B$4,HIST_SCORE!$C:$C,$A826),"")</f>
        <v>-14.219603922244985</v>
      </c>
      <c r="Z826" s="5" t="str">
        <f t="shared" si="293"/>
        <v>↓ Baja</v>
      </c>
      <c r="AA826" s="5">
        <f t="shared" si="294"/>
        <v>520</v>
      </c>
      <c r="AB826" s="5">
        <f>IFERROR(SUMIFS(HIST_SCORE!$F:$F,HIST_SCORE!$B:$B,PARAMS_MODELO!$B$4,HIST_SCORE!$C:$C,$A826),"")</f>
        <v>322</v>
      </c>
      <c r="AC826" s="5">
        <f t="shared" si="295"/>
        <v>-198</v>
      </c>
      <c r="AD826" t="str">
        <f t="shared" si="297"/>
        <v>Sostener base y reforzar mix</v>
      </c>
      <c r="AE8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826="CERRADO",1,IF(V826="BRONCE",_xlpm.cPl,IF(V826="PLATA",_xlpm.cO,IF(V826="ORO",_xlpm.cP,IF(V826="PLATINO",_xlpm.cD,999))))))</f>
        <v>86.439123873763251</v>
      </c>
      <c r="AF8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826="CERRADO",0,IF(V826="BRONCE",1,IF(V826="PLATA",_xlpm.cPl,IF(V826="ORO",_xlpm.cO,IF(V826="PLATINO",_xlpm.cP,_xlpm.cD))))))</f>
        <v>63.199193273331495</v>
      </c>
      <c r="AG826">
        <f t="shared" si="298"/>
        <v>17.451442328234435</v>
      </c>
      <c r="AH826" t="str">
        <f t="shared" si="299"/>
        <v>VENTAS</v>
      </c>
      <c r="AI826" t="str">
        <f t="shared" si="296"/>
        <v>🎯 Para subir de categoría, eje VENTAS / DIFERENCIAL vs LOTBA (J). Acción: metas semanales + activación comercial + seguimiento del asesor. ΔR aprox: 17,5</v>
      </c>
      <c r="AJ826" s="26">
        <f>_xlfn.LET(_xlpm.piso,AF826,_xlpm.corte,AE826,_xlpm.prog,IF(_xlpm.corte&lt;=_xlpm.piso,0,MAX(0,MIN(1,(U826-_xlpm.piso)/(_xlpm.corte-_xlpm.piso)))),_xlpm.orden,{"DIAMANTE";"PLATINO";"ORO";"PLATA";"BRONCE";"CERRADO"},_xlpm.act,IFERROR(MATCH(V826,_xlpm.orden,0),6),_xlpm.ant,IFERROR(MATCH(W826,_xlpm.orden,0),6),_xlpm.ajmov,IF(_xlpm.act&lt;_xlpm.ant,0.08,IF(_xlpm.act&gt;_xlpm.ant,-0.08,0)),_xlpm.ajcli,IF(T826&lt;0.95,-0.06,0),_xlpm.prob,MAX(0,MIN(1,_xlpm.prog+_xlpm.ajmov+_xlpm.ajcli)),IF(OR(V826="DIAMANTE",V826="CERRADO"),0,ROUND(_xlpm.prob,2)))</f>
        <v>0.25</v>
      </c>
      <c r="AK826" t="str">
        <f t="shared" si="300"/>
        <v>Faltan 17,5 puntos base para subir a la siguiente categoría</v>
      </c>
      <c r="AL826" t="str">
        <f t="shared" si="301"/>
        <v>Margen de seguridad: 5,8 puntos</v>
      </c>
      <c r="AM826">
        <f t="shared" si="302"/>
        <v>0.7</v>
      </c>
      <c r="AN826" t="str">
        <f t="shared" si="303"/>
        <v>PRIORIDAD ALTA – requiere intervención inmediata</v>
      </c>
      <c r="AO826">
        <f t="shared" si="304"/>
        <v>25.875153150884032</v>
      </c>
      <c r="AP826">
        <f t="shared" si="305"/>
        <v>1.6977345788827467</v>
      </c>
      <c r="AQ826">
        <f t="shared" si="306"/>
        <v>1.9999999999988916E-3</v>
      </c>
      <c r="AR826">
        <f t="shared" si="307"/>
        <v>3.3</v>
      </c>
      <c r="AS826">
        <f t="shared" si="308"/>
        <v>0</v>
      </c>
      <c r="AT826" t="str">
        <f t="shared" si="309"/>
        <v>VENTAS</v>
      </c>
      <c r="AU826">
        <f t="shared" si="310"/>
        <v>25.875153150884032</v>
      </c>
      <c r="AV826" t="str">
        <f t="shared" si="311"/>
        <v>Mayor retorno probable: VENTAS (+25,9 puntos finales potenciales).</v>
      </c>
    </row>
    <row r="827" spans="1:48" x14ac:dyDescent="0.3">
      <c r="A827" s="5">
        <v>51054920</v>
      </c>
      <c r="B827" s="5" t="str">
        <f>IFERROR(VLOOKUP(A827,VENTAS!$A$2:$B$1194,2,0),"")</f>
        <v>ROBERTS</v>
      </c>
      <c r="C827" s="5">
        <f>IFERROR(INDEX(VENTAS!$C$2:$E$1194,MATCH(A827,VENTAS!$A$2:$A$1194,0),MATCH(PARAMS_MODELO!$B$2,{"Q1","Q2","Q3"},0)),0)</f>
        <v>54167754.560000002</v>
      </c>
      <c r="D827" s="5">
        <f>IFERROR(INDEX(VENTAS!$F$2:$H$1194,MATCH(A827,VENTAS!$A$2:$A$1194,0),MATCH(PARAMS_MODELO!$B$2,{"Q1","Q2","Q3"},0)),0)</f>
        <v>43529007</v>
      </c>
      <c r="E827" s="8">
        <f t="shared" si="288"/>
        <v>-0.1964037026533153</v>
      </c>
      <c r="F827" s="12">
        <f>IF(E827&lt;=PARAMS_MODELO!$B$15,0,IF(E827&gt;=PARAMS_MODELO!$B$17,100,100*MIN(1,(E827-PARAMS_MODELO!$B$15)/(PARAMS_MODELO!$B$16-PARAMS_MODELO!$B$15))))*PARAMS_MODELO!$B$7</f>
        <v>0</v>
      </c>
      <c r="G827" s="5">
        <f t="shared" si="289"/>
        <v>0</v>
      </c>
      <c r="H827" s="5">
        <f>(PARAMS_MODELO!$B$20*(MAX(0,MIN(3,E827))/3)+PARAMS_MODELO!$B$21*(IFERROR(LN(1+MAX(0,G827))/LN(1+MAX(0,MAX($G$2:$G$1194))),0)))*100*PARAMS_MODELO!$B$8</f>
        <v>0</v>
      </c>
      <c r="I827" s="8">
        <f>E827-PARAMS_MODELO!$B$5</f>
        <v>-0.37396653802884183</v>
      </c>
      <c r="J827" s="5">
        <f>IF(I827&lt;=PARAMS_MODELO!$B$18,0,IF(I827&gt;=PARAMS_MODELO!$B$19,100,100*(I827-PARAMS_MODELO!$B$18)/(PARAMS_MODELO!$B$19-PARAMS_MODELO!$B$18)))*PARAMS_MODELO!$B$9</f>
        <v>0</v>
      </c>
      <c r="K827" s="5">
        <f>IFERROR(CHOOSE(MATCH(PARAMS_MODELO!$B$2,{"Q1","Q2","Q3"},0),LOTO!$D827,LOTO!$F827,LOTO!$H827),0)</f>
        <v>1927500</v>
      </c>
      <c r="L827" s="8">
        <f t="shared" si="290"/>
        <v>4.4280817157166023E-2</v>
      </c>
      <c r="M827" s="5">
        <f>MIN(100,IF(PARAMS_MODELO!$B$23=0,0,100*L827/PARAMS_MODELO!$B$23))*PARAMS_MODELO!$B$10</f>
        <v>13.284245147149806</v>
      </c>
      <c r="N827" s="5">
        <f>IFERROR(VLOOKUP(A827,COMPLIANCE!$A$2:$F$1996,6,0),100)</f>
        <v>99.98</v>
      </c>
      <c r="O827" s="5">
        <f>N827*PARAMS_MODELO!$B$11</f>
        <v>9.9980000000000011</v>
      </c>
      <c r="P827" s="5">
        <f>IFERROR(VLOOKUP(A827,DIGITAL!$A$2:$J$2000,7,0),100)</f>
        <v>8</v>
      </c>
      <c r="Q827" s="5">
        <f>IFERROR(P827,0)*PARAMS_MODELO!$B$12</f>
        <v>0.8</v>
      </c>
      <c r="R827">
        <f t="shared" si="291"/>
        <v>24.082245147149809</v>
      </c>
      <c r="S827" s="5" t="str">
        <f>IFERROR(VLOOKUP(A827,CLIENTE!$A$2:$N$2000,13,0),1)</f>
        <v>Regular</v>
      </c>
      <c r="T827" s="5">
        <f>IFERROR(VLOOKUP(A827,CLIENTE!$A$2:$N$2000,14,0),1)</f>
        <v>1</v>
      </c>
      <c r="U827" s="5">
        <f t="shared" si="292"/>
        <v>24.082245147149809</v>
      </c>
      <c r="V827" s="5" t="str">
        <f>IF(U827&gt;=MAX(_xlfn.PERCENTILE.INC($U$2:$U$1194,PARAMS_MODELO!$B$50),PARAMS_MODELO!$B$45),"DIAMANTE",IF(U827&gt;=MAX(_xlfn.PERCENTILE.INC($U$2:$U$1194,PARAMS_MODELO!$B$51),PARAMS_MODELO!$B$46),"PLATINO",IF(U827&gt;=MAX(_xlfn.PERCENTILE.INC($U$2:$U$1194,PARAMS_MODELO!$B$52),PARAMS_MODELO!$B$47),"ORO",IF(U827&gt;=MAX(_xlfn.PERCENTILE.INC($U$2:$U$1194,PARAMS_MODELO!$B$53),PARAMS_MODELO!$B$48),"PLATA",IF(U827&gt;=1,"BRONCE","CERRADO")))))</f>
        <v>BRONCE</v>
      </c>
      <c r="W827" s="5" t="str" cm="1">
        <f t="array" ref="W827">_xlfn.XLOOKUP(1, (HIST_SCORE!$B:$B=PARAMS_MODELO!$B$4) * (HIST_SCORE!$C:$C=A827), HIST_SCORE!$E:$E, "No encontrado")</f>
        <v>PLATA</v>
      </c>
      <c r="X827" s="5" t="str">
        <f>_xlfn.LET(_xlpm.act,MATCH(V827,{"DIAMANTE";"PLATINO";"ORO";"PLATA";"BRONCE";"CERRADO"},0),_xlpm.ant,MATCH(W827,{"DIAMANTE";"PLATINO";"ORO";"PLATA";"BRONCE";"CERRADO"},0),IF(_xlpm.act&lt;_xlpm.ant,"Mejora ↑",IF(_xlpm.act&gt;_xlpm.ant,"Baja ↓","Estable →")))</f>
        <v>Baja ↓</v>
      </c>
      <c r="Y827" s="5">
        <f>IFERROR(U827-SUMIFS(HIST_SCORE!$D:$D,HIST_SCORE!$B:$B,PARAMS_MODELO!$B$4,HIST_SCORE!$C:$C,$A827),"")</f>
        <v>1.0609803119899084</v>
      </c>
      <c r="Z827" s="5" t="str">
        <f t="shared" si="293"/>
        <v>→ Estable</v>
      </c>
      <c r="AA827" s="5">
        <f t="shared" si="294"/>
        <v>919</v>
      </c>
      <c r="AB827" s="5">
        <f>IFERROR(SUMIFS(HIST_SCORE!$F:$F,HIST_SCORE!$B:$B,PARAMS_MODELO!$B$4,HIST_SCORE!$C:$C,$A827),"")</f>
        <v>953</v>
      </c>
      <c r="AC827" s="5">
        <f t="shared" si="295"/>
        <v>34</v>
      </c>
      <c r="AD827" t="str">
        <f t="shared" si="297"/>
        <v/>
      </c>
      <c r="AE8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827="CERRADO",1,IF(V827="BRONCE",_xlpm.cPl,IF(V827="PLATA",_xlpm.cO,IF(V827="ORO",_xlpm.cP,IF(V827="PLATINO",_xlpm.cD,999))))))</f>
        <v>24.506573482968111</v>
      </c>
      <c r="AF8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827="CERRADO",0,IF(V827="BRONCE",1,IF(V827="PLATA",_xlpm.cPl,IF(V827="ORO",_xlpm.cO,IF(V827="PLATINO",_xlpm.cP,_xlpm.cD))))))</f>
        <v>1</v>
      </c>
      <c r="AG827">
        <f t="shared" si="298"/>
        <v>0.42432833581830209</v>
      </c>
      <c r="AH827" t="str">
        <f t="shared" si="299"/>
        <v>VENTAS</v>
      </c>
      <c r="AI827" t="str">
        <f t="shared" si="296"/>
        <v>🎯 Para subir de categoría, eje VENTAS / CRECIMIENTO PERSONAL (F). Acción: metas semanales + activación comercial + seguimiento del asesor. ΔR aprox: 0,4</v>
      </c>
      <c r="AJ827" s="26">
        <f>_xlfn.LET(_xlpm.piso,AF827,_xlpm.corte,AE827,_xlpm.prog,IF(_xlpm.corte&lt;=_xlpm.piso,0,MAX(0,MIN(1,(U827-_xlpm.piso)/(_xlpm.corte-_xlpm.piso)))),_xlpm.orden,{"DIAMANTE";"PLATINO";"ORO";"PLATA";"BRONCE";"CERRADO"},_xlpm.act,IFERROR(MATCH(V827,_xlpm.orden,0),6),_xlpm.ant,IFERROR(MATCH(W827,_xlpm.orden,0),6),_xlpm.ajmov,IF(_xlpm.act&lt;_xlpm.ant,0.08,IF(_xlpm.act&gt;_xlpm.ant,-0.08,0)),_xlpm.ajcli,IF(T827&lt;0.95,-0.06,0),_xlpm.prob,MAX(0,MIN(1,_xlpm.prog+_xlpm.ajmov+_xlpm.ajcli)),IF(OR(V827="DIAMANTE",V827="CERRADO"),0,ROUND(_xlpm.prob,2)))</f>
        <v>0.9</v>
      </c>
      <c r="AK827" t="str">
        <f t="shared" si="300"/>
        <v>Faltan 0,4 puntos base para subir a la siguiente categoría</v>
      </c>
      <c r="AL827" t="str">
        <f t="shared" si="301"/>
        <v>No aplica</v>
      </c>
      <c r="AM827">
        <f t="shared" si="302"/>
        <v>0.06</v>
      </c>
      <c r="AN827" t="str">
        <f t="shared" si="303"/>
        <v>PRIORIDAD BAJA – control normal</v>
      </c>
      <c r="AO827">
        <f t="shared" si="304"/>
        <v>64.862569275295584</v>
      </c>
      <c r="AP827">
        <f t="shared" si="305"/>
        <v>1.7157548528501945</v>
      </c>
      <c r="AQ827">
        <f t="shared" si="306"/>
        <v>1.9999999999988916E-3</v>
      </c>
      <c r="AR827">
        <f t="shared" si="307"/>
        <v>9.1999999999999993</v>
      </c>
      <c r="AS827">
        <f t="shared" si="308"/>
        <v>0</v>
      </c>
      <c r="AT827" t="str">
        <f t="shared" si="309"/>
        <v>VENTAS</v>
      </c>
      <c r="AU827">
        <f t="shared" si="310"/>
        <v>64.862569275295584</v>
      </c>
      <c r="AV827" t="str">
        <f t="shared" si="311"/>
        <v>Mayor retorno probable: VENTAS (+64,9 puntos finales potenciales).</v>
      </c>
    </row>
    <row r="828" spans="1:48" x14ac:dyDescent="0.3">
      <c r="A828" s="5">
        <v>51010663</v>
      </c>
      <c r="B828" s="5" t="str">
        <f>IFERROR(VLOOKUP(A828,VENTAS!$A$2:$B$1194,2,0),"")</f>
        <v>CICHETTO</v>
      </c>
      <c r="C828" s="5">
        <f>IFERROR(INDEX(VENTAS!$C$2:$E$1194,MATCH(A828,VENTAS!$A$2:$A$1194,0),MATCH(PARAMS_MODELO!$B$2,{"Q1","Q2","Q3"},0)),0)</f>
        <v>36792505.909999996</v>
      </c>
      <c r="D828" s="5">
        <f>IFERROR(INDEX(VENTAS!$F$2:$H$1194,MATCH(A828,VENTAS!$A$2:$A$1194,0),MATCH(PARAMS_MODELO!$B$2,{"Q1","Q2","Q3"},0)),0)</f>
        <v>43210912</v>
      </c>
      <c r="E828" s="8">
        <f t="shared" si="288"/>
        <v>0.17444873436183972</v>
      </c>
      <c r="F828" s="12">
        <f>IF(E828&lt;=PARAMS_MODELO!$B$15,0,IF(E828&gt;=PARAMS_MODELO!$B$17,100,100*MIN(1,(E828-PARAMS_MODELO!$B$15)/(PARAMS_MODELO!$B$16-PARAMS_MODELO!$B$15))))*PARAMS_MODELO!$B$7</f>
        <v>35</v>
      </c>
      <c r="G828" s="5">
        <f t="shared" si="289"/>
        <v>6418406.0900000036</v>
      </c>
      <c r="H828" s="5">
        <f>(PARAMS_MODELO!$B$20*(MAX(0,MIN(3,E828))/3)+PARAMS_MODELO!$B$21*(IFERROR(LN(1+MAX(0,G828))/LN(1+MAX(0,MAX($G$2:$G$1194))),0)))*100*PARAMS_MODELO!$B$8</f>
        <v>4.2849345154568903</v>
      </c>
      <c r="I828" s="8">
        <f>E828-PARAMS_MODELO!$B$5</f>
        <v>-3.1141010136868097E-3</v>
      </c>
      <c r="J828" s="5">
        <f>IF(I828&lt;=PARAMS_MODELO!$B$18,0,IF(I828&gt;=PARAMS_MODELO!$B$19,100,100*(I828-PARAMS_MODELO!$B$18)/(PARAMS_MODELO!$B$19-PARAMS_MODELO!$B$18)))*PARAMS_MODELO!$B$9</f>
        <v>7.0328848479469777</v>
      </c>
      <c r="K828" s="5">
        <f>IFERROR(CHOOSE(MATCH(PARAMS_MODELO!$B$2,{"Q1","Q2","Q3"},0),LOTO!$D828,LOTO!$F828,LOTO!$H828),0)</f>
        <v>1925000</v>
      </c>
      <c r="L828" s="8">
        <f t="shared" si="290"/>
        <v>4.4548932454839187E-2</v>
      </c>
      <c r="M828" s="5">
        <f>MIN(100,IF(PARAMS_MODELO!$B$23=0,0,100*L828/PARAMS_MODELO!$B$23))*PARAMS_MODELO!$B$10</f>
        <v>13.364679736451754</v>
      </c>
      <c r="N828" s="5">
        <f>IFERROR(VLOOKUP(A828,COMPLIANCE!$A$2:$F$1996,6,0),100)</f>
        <v>100</v>
      </c>
      <c r="O828" s="5">
        <f>N828*PARAMS_MODELO!$B$11</f>
        <v>10</v>
      </c>
      <c r="P828" s="5">
        <f>IFERROR(VLOOKUP(A828,DIGITAL!$A$2:$J$2000,7,0),100)</f>
        <v>35</v>
      </c>
      <c r="Q828" s="5">
        <f>IFERROR(P828,0)*PARAMS_MODELO!$B$12</f>
        <v>3.5</v>
      </c>
      <c r="R828">
        <f t="shared" si="291"/>
        <v>73.182499099855619</v>
      </c>
      <c r="S828" s="5" t="str">
        <f>IFERROR(VLOOKUP(A828,CLIENTE!$A$2:$N$2000,13,0),1)</f>
        <v>Muy Bueno</v>
      </c>
      <c r="T828" s="5">
        <f>IFERROR(VLOOKUP(A828,CLIENTE!$A$2:$N$2000,14,0),1)</f>
        <v>1.1499999999999999</v>
      </c>
      <c r="U828" s="5">
        <f t="shared" si="292"/>
        <v>84.159873964833949</v>
      </c>
      <c r="V828" s="5" t="str">
        <f>IF(U828&gt;=MAX(_xlfn.PERCENTILE.INC($U$2:$U$1194,PARAMS_MODELO!$B$50),PARAMS_MODELO!$B$45),"DIAMANTE",IF(U828&gt;=MAX(_xlfn.PERCENTILE.INC($U$2:$U$1194,PARAMS_MODELO!$B$51),PARAMS_MODELO!$B$46),"PLATINO",IF(U828&gt;=MAX(_xlfn.PERCENTILE.INC($U$2:$U$1194,PARAMS_MODELO!$B$52),PARAMS_MODELO!$B$47),"ORO",IF(U828&gt;=MAX(_xlfn.PERCENTILE.INC($U$2:$U$1194,PARAMS_MODELO!$B$53),PARAMS_MODELO!$B$48),"PLATA",IF(U828&gt;=1,"BRONCE","CERRADO")))))</f>
        <v>ORO</v>
      </c>
      <c r="W828" s="5" t="str" cm="1">
        <f t="array" ref="W828">_xlfn.XLOOKUP(1, (HIST_SCORE!$B:$B=PARAMS_MODELO!$B$4) * (HIST_SCORE!$C:$C=A828), HIST_SCORE!$E:$E, "No encontrado")</f>
        <v>PLATINO</v>
      </c>
      <c r="X828" s="5" t="str">
        <f>_xlfn.LET(_xlpm.act,MATCH(V828,{"DIAMANTE";"PLATINO";"ORO";"PLATA";"BRONCE";"CERRADO"},0),_xlpm.ant,MATCH(W828,{"DIAMANTE";"PLATINO";"ORO";"PLATA";"BRONCE";"CERRADO"},0),IF(_xlpm.act&lt;_xlpm.ant,"Mejora ↑",IF(_xlpm.act&gt;_xlpm.ant,"Baja ↓","Estable →")))</f>
        <v>Baja ↓</v>
      </c>
      <c r="Y828" s="5">
        <f>IFERROR(U828-SUMIFS(HIST_SCORE!$D:$D,HIST_SCORE!$B:$B,PARAMS_MODELO!$B$4,HIST_SCORE!$C:$C,$A828),"")</f>
        <v>-2.0245704092723003</v>
      </c>
      <c r="Z828" s="5" t="str">
        <f t="shared" si="293"/>
        <v>→ Estable</v>
      </c>
      <c r="AA828" s="5">
        <f t="shared" si="294"/>
        <v>315</v>
      </c>
      <c r="AB828" s="5">
        <f>IFERROR(SUMIFS(HIST_SCORE!$F:$F,HIST_SCORE!$B:$B,PARAMS_MODELO!$B$4,HIST_SCORE!$C:$C,$A828),"")</f>
        <v>234</v>
      </c>
      <c r="AC828" s="5">
        <f t="shared" si="295"/>
        <v>-81</v>
      </c>
      <c r="AD828" t="str">
        <f t="shared" si="297"/>
        <v>Sostener base y reforzar mix</v>
      </c>
      <c r="AE8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828="CERRADO",1,IF(V828="BRONCE",_xlpm.cPl,IF(V828="PLATA",_xlpm.cO,IF(V828="ORO",_xlpm.cP,IF(V828="PLATINO",_xlpm.cD,999))))))</f>
        <v>86.439123873763251</v>
      </c>
      <c r="AF8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828="CERRADO",0,IF(V828="BRONCE",1,IF(V828="PLATA",_xlpm.cPl,IF(V828="ORO",_xlpm.cO,IF(V828="PLATINO",_xlpm.cP,_xlpm.cD))))))</f>
        <v>63.199193273331495</v>
      </c>
      <c r="AG828">
        <f t="shared" si="298"/>
        <v>1.9819564425472151</v>
      </c>
      <c r="AH828" t="str">
        <f t="shared" si="299"/>
        <v>VENTAS</v>
      </c>
      <c r="AI828" t="str">
        <f t="shared" si="296"/>
        <v>🎯 Para subir de categoría, eje VENTAS / IMPACTO ABSOLUTO (H). Acción: metas semanales + activación comercial + seguimiento del asesor. ΔR aprox: 2,0</v>
      </c>
      <c r="AJ828" s="26">
        <f>_xlfn.LET(_xlpm.piso,AF828,_xlpm.corte,AE828,_xlpm.prog,IF(_xlpm.corte&lt;=_xlpm.piso,0,MAX(0,MIN(1,(U828-_xlpm.piso)/(_xlpm.corte-_xlpm.piso)))),_xlpm.orden,{"DIAMANTE";"PLATINO";"ORO";"PLATA";"BRONCE";"CERRADO"},_xlpm.act,IFERROR(MATCH(V828,_xlpm.orden,0),6),_xlpm.ant,IFERROR(MATCH(W828,_xlpm.orden,0),6),_xlpm.ajmov,IF(_xlpm.act&lt;_xlpm.ant,0.08,IF(_xlpm.act&gt;_xlpm.ant,-0.08,0)),_xlpm.ajcli,IF(T828&lt;0.95,-0.06,0),_xlpm.prob,MAX(0,MIN(1,_xlpm.prog+_xlpm.ajmov+_xlpm.ajcli)),IF(OR(V828="DIAMANTE",V828="CERRADO"),0,ROUND(_xlpm.prob,2)))</f>
        <v>0.82</v>
      </c>
      <c r="AK828" t="str">
        <f t="shared" si="300"/>
        <v>Faltan 2,0 puntos base para subir a la siguiente categoría</v>
      </c>
      <c r="AL828" t="str">
        <f t="shared" si="301"/>
        <v>Margen de seguridad: 21,0 puntos</v>
      </c>
      <c r="AM828">
        <f t="shared" si="302"/>
        <v>0.15</v>
      </c>
      <c r="AN828" t="str">
        <f t="shared" si="303"/>
        <v>PRIORIDAD BAJA – control normal</v>
      </c>
      <c r="AO828">
        <f t="shared" si="304"/>
        <v>21.326462398675471</v>
      </c>
      <c r="AP828">
        <f t="shared" si="305"/>
        <v>1.8806183030804833</v>
      </c>
      <c r="AQ828">
        <f t="shared" si="306"/>
        <v>0</v>
      </c>
      <c r="AR828">
        <f t="shared" si="307"/>
        <v>7.4749999999999996</v>
      </c>
      <c r="AS828">
        <f t="shared" si="308"/>
        <v>0</v>
      </c>
      <c r="AT828" t="str">
        <f t="shared" si="309"/>
        <v>VENTAS</v>
      </c>
      <c r="AU828">
        <f t="shared" si="310"/>
        <v>21.326462398675471</v>
      </c>
      <c r="AV828" t="str">
        <f t="shared" si="311"/>
        <v>Mayor retorno probable: VENTAS (+21,3 puntos finales potenciales).</v>
      </c>
    </row>
    <row r="829" spans="1:48" x14ac:dyDescent="0.3">
      <c r="A829" s="5">
        <v>51016866</v>
      </c>
      <c r="B829" s="5" t="str">
        <f>IFERROR(VLOOKUP(A829,VENTAS!$A$2:$B$1194,2,0),"")</f>
        <v>BELUZZO</v>
      </c>
      <c r="C829" s="5">
        <f>IFERROR(INDEX(VENTAS!$C$2:$E$1194,MATCH(A829,VENTAS!$A$2:$A$1194,0),MATCH(PARAMS_MODELO!$B$2,{"Q1","Q2","Q3"},0)),0)</f>
        <v>45963179.229999997</v>
      </c>
      <c r="D829" s="5">
        <f>IFERROR(INDEX(VENTAS!$F$2:$H$1194,MATCH(A829,VENTAS!$A$2:$A$1194,0),MATCH(PARAMS_MODELO!$B$2,{"Q1","Q2","Q3"},0)),0)</f>
        <v>43058897</v>
      </c>
      <c r="E829" s="8">
        <f t="shared" si="288"/>
        <v>-6.3187148466535614E-2</v>
      </c>
      <c r="F829" s="12">
        <f>IF(E829&lt;=PARAMS_MODELO!$B$15,0,IF(E829&gt;=PARAMS_MODELO!$B$17,100,100*MIN(1,(E829-PARAMS_MODELO!$B$15)/(PARAMS_MODELO!$B$16-PARAMS_MODELO!$B$15))))*PARAMS_MODELO!$B$7</f>
        <v>0</v>
      </c>
      <c r="G829" s="5">
        <f t="shared" si="289"/>
        <v>0</v>
      </c>
      <c r="H829" s="5">
        <f>(PARAMS_MODELO!$B$20*(MAX(0,MIN(3,E829))/3)+PARAMS_MODELO!$B$21*(IFERROR(LN(1+MAX(0,G829))/LN(1+MAX(0,MAX($G$2:$G$1194))),0)))*100*PARAMS_MODELO!$B$8</f>
        <v>0</v>
      </c>
      <c r="I829" s="8">
        <f>E829-PARAMS_MODELO!$B$5</f>
        <v>-0.24074998384206214</v>
      </c>
      <c r="J829" s="5">
        <f>IF(I829&lt;=PARAMS_MODELO!$B$18,0,IF(I829&gt;=PARAMS_MODELO!$B$19,100,100*(I829-PARAMS_MODELO!$B$18)/(PARAMS_MODELO!$B$19-PARAMS_MODELO!$B$18)))*PARAMS_MODELO!$B$9</f>
        <v>0</v>
      </c>
      <c r="K829" s="5">
        <f>IFERROR(CHOOSE(MATCH(PARAMS_MODELO!$B$2,{"Q1","Q2","Q3"},0),LOTO!$D829,LOTO!$F829,LOTO!$H829),0)</f>
        <v>1925000</v>
      </c>
      <c r="L829" s="8">
        <f t="shared" si="290"/>
        <v>4.470620787151143E-2</v>
      </c>
      <c r="M829" s="5">
        <f>MIN(100,IF(PARAMS_MODELO!$B$23=0,0,100*L829/PARAMS_MODELO!$B$23))*PARAMS_MODELO!$B$10</f>
        <v>13.411862361453426</v>
      </c>
      <c r="N829" s="5">
        <f>IFERROR(VLOOKUP(A829,COMPLIANCE!$A$2:$F$1996,6,0),100)</f>
        <v>100</v>
      </c>
      <c r="O829" s="5">
        <f>N829*PARAMS_MODELO!$B$11</f>
        <v>10</v>
      </c>
      <c r="P829" s="5">
        <f>IFERROR(VLOOKUP(A829,DIGITAL!$A$2:$J$2000,7,0),100)</f>
        <v>30</v>
      </c>
      <c r="Q829" s="5">
        <f>IFERROR(P829,0)*PARAMS_MODELO!$B$12</f>
        <v>3</v>
      </c>
      <c r="R829">
        <f t="shared" si="291"/>
        <v>26.411862361453426</v>
      </c>
      <c r="S829" s="5" t="str">
        <f>IFERROR(VLOOKUP(A829,CLIENTE!$A$2:$N$2000,13,0),1)</f>
        <v>Malo</v>
      </c>
      <c r="T829" s="5">
        <f>IFERROR(VLOOKUP(A829,CLIENTE!$A$2:$N$2000,14,0),1)</f>
        <v>0.7</v>
      </c>
      <c r="U829" s="5">
        <f t="shared" si="292"/>
        <v>18.488303653017397</v>
      </c>
      <c r="V829" s="5" t="str">
        <f>IF(U829&gt;=MAX(_xlfn.PERCENTILE.INC($U$2:$U$1194,PARAMS_MODELO!$B$50),PARAMS_MODELO!$B$45),"DIAMANTE",IF(U829&gt;=MAX(_xlfn.PERCENTILE.INC($U$2:$U$1194,PARAMS_MODELO!$B$51),PARAMS_MODELO!$B$46),"PLATINO",IF(U829&gt;=MAX(_xlfn.PERCENTILE.INC($U$2:$U$1194,PARAMS_MODELO!$B$52),PARAMS_MODELO!$B$47),"ORO",IF(U829&gt;=MAX(_xlfn.PERCENTILE.INC($U$2:$U$1194,PARAMS_MODELO!$B$53),PARAMS_MODELO!$B$48),"PLATA",IF(U829&gt;=1,"BRONCE","CERRADO")))))</f>
        <v>BRONCE</v>
      </c>
      <c r="W829" s="5" t="str" cm="1">
        <f t="array" ref="W829">_xlfn.XLOOKUP(1, (HIST_SCORE!$B:$B=PARAMS_MODELO!$B$4) * (HIST_SCORE!$C:$C=A829), HIST_SCORE!$E:$E, "No encontrado")</f>
        <v>PLATA</v>
      </c>
      <c r="X829" s="5" t="str">
        <f>_xlfn.LET(_xlpm.act,MATCH(V829,{"DIAMANTE";"PLATINO";"ORO";"PLATA";"BRONCE";"CERRADO"},0),_xlpm.ant,MATCH(W829,{"DIAMANTE";"PLATINO";"ORO";"PLATA";"BRONCE";"CERRADO"},0),IF(_xlpm.act&lt;_xlpm.ant,"Mejora ↑",IF(_xlpm.act&gt;_xlpm.ant,"Baja ↓","Estable →")))</f>
        <v>Baja ↓</v>
      </c>
      <c r="Y829" s="5">
        <f>IFERROR(U829-SUMIFS(HIST_SCORE!$D:$D,HIST_SCORE!$B:$B,PARAMS_MODELO!$B$4,HIST_SCORE!$C:$C,$A829),"")</f>
        <v>-31.847678874347906</v>
      </c>
      <c r="Z829" s="5" t="str">
        <f t="shared" si="293"/>
        <v>↓ Baja</v>
      </c>
      <c r="AA829" s="5">
        <f t="shared" si="294"/>
        <v>1019</v>
      </c>
      <c r="AB829" s="5">
        <f>IFERROR(SUMIFS(HIST_SCORE!$F:$F,HIST_SCORE!$B:$B,PARAMS_MODELO!$B$4,HIST_SCORE!$C:$C,$A829),"")</f>
        <v>769</v>
      </c>
      <c r="AC829" s="5">
        <f t="shared" si="295"/>
        <v>-250</v>
      </c>
      <c r="AD829" t="str">
        <f t="shared" si="297"/>
        <v>Plan de recuperación: foco crecimiento + mix</v>
      </c>
      <c r="AE8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829="CERRADO",1,IF(V829="BRONCE",_xlpm.cPl,IF(V829="PLATA",_xlpm.cO,IF(V829="ORO",_xlpm.cP,IF(V829="PLATINO",_xlpm.cD,999))))))</f>
        <v>24.506573482968111</v>
      </c>
      <c r="AF8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829="CERRADO",0,IF(V829="BRONCE",1,IF(V829="PLATA",_xlpm.cPl,IF(V829="ORO",_xlpm.cO,IF(V829="PLATINO",_xlpm.cP,_xlpm.cD))))))</f>
        <v>1</v>
      </c>
      <c r="AG829">
        <f t="shared" si="298"/>
        <v>8.5975283285010171</v>
      </c>
      <c r="AH829" t="str">
        <f t="shared" si="299"/>
        <v>CLIENTE</v>
      </c>
      <c r="AI829" t="str">
        <f t="shared" si="296"/>
        <v>🎯 Para subir de categoría, la eje con mayor impacto probable es CLIENTE (coef T). Acción: reducir quejas, mejorar incógnito y empujar reseñas. ΔR aprox: 8,6</v>
      </c>
      <c r="AJ829" s="26">
        <f>_xlfn.LET(_xlpm.piso,AF829,_xlpm.corte,AE829,_xlpm.prog,IF(_xlpm.corte&lt;=_xlpm.piso,0,MAX(0,MIN(1,(U829-_xlpm.piso)/(_xlpm.corte-_xlpm.piso)))),_xlpm.orden,{"DIAMANTE";"PLATINO";"ORO";"PLATA";"BRONCE";"CERRADO"},_xlpm.act,IFERROR(MATCH(V829,_xlpm.orden,0),6),_xlpm.ant,IFERROR(MATCH(W829,_xlpm.orden,0),6),_xlpm.ajmov,IF(_xlpm.act&lt;_xlpm.ant,0.08,IF(_xlpm.act&gt;_xlpm.ant,-0.08,0)),_xlpm.ajcli,IF(T829&lt;0.95,-0.06,0),_xlpm.prob,MAX(0,MIN(1,_xlpm.prog+_xlpm.ajmov+_xlpm.ajcli)),IF(OR(V829="DIAMANTE",V829="CERRADO"),0,ROUND(_xlpm.prob,2)))</f>
        <v>0.6</v>
      </c>
      <c r="AK829" t="str">
        <f t="shared" si="300"/>
        <v>Faltan 8,6 puntos base para subir a la siguiente categoría</v>
      </c>
      <c r="AL829" t="str">
        <f t="shared" si="301"/>
        <v>No aplica</v>
      </c>
      <c r="AM829">
        <f t="shared" si="302"/>
        <v>0.7</v>
      </c>
      <c r="AN829" t="str">
        <f t="shared" si="303"/>
        <v>PRIORIDAD ALTA – requiere intervención inmediata</v>
      </c>
      <c r="AO829">
        <f t="shared" si="304"/>
        <v>45.403798492706905</v>
      </c>
      <c r="AP829">
        <f t="shared" si="305"/>
        <v>1.1116963469826013</v>
      </c>
      <c r="AQ829">
        <f t="shared" si="306"/>
        <v>0</v>
      </c>
      <c r="AR829">
        <f t="shared" si="307"/>
        <v>4.8999999999999995</v>
      </c>
      <c r="AS829">
        <f t="shared" si="308"/>
        <v>7.9235587084360288</v>
      </c>
      <c r="AT829" t="str">
        <f t="shared" si="309"/>
        <v>VENTAS</v>
      </c>
      <c r="AU829">
        <f t="shared" si="310"/>
        <v>45.403798492706905</v>
      </c>
      <c r="AV829" t="str">
        <f t="shared" si="311"/>
        <v>Mayor retorno probable: VENTAS (+45,4 puntos finales potenciales).</v>
      </c>
    </row>
    <row r="830" spans="1:48" x14ac:dyDescent="0.3">
      <c r="A830" s="5">
        <v>51030184</v>
      </c>
      <c r="B830" s="5" t="str">
        <f>IFERROR(VLOOKUP(A830,VENTAS!$A$2:$B$1194,2,0),"")</f>
        <v>AYALA</v>
      </c>
      <c r="C830" s="5">
        <f>IFERROR(INDEX(VENTAS!$C$2:$E$1194,MATCH(A830,VENTAS!$A$2:$A$1194,0),MATCH(PARAMS_MODELO!$B$2,{"Q1","Q2","Q3"},0)),0)</f>
        <v>40537125.43</v>
      </c>
      <c r="D830" s="5">
        <f>IFERROR(INDEX(VENTAS!$F$2:$H$1194,MATCH(A830,VENTAS!$A$2:$A$1194,0),MATCH(PARAMS_MODELO!$B$2,{"Q1","Q2","Q3"},0)),0)</f>
        <v>42205768</v>
      </c>
      <c r="E830" s="8">
        <f t="shared" si="288"/>
        <v>4.1163317632904928E-2</v>
      </c>
      <c r="F830" s="12">
        <f>IF(E830&lt;=PARAMS_MODELO!$B$15,0,IF(E830&gt;=PARAMS_MODELO!$B$17,100,100*MIN(1,(E830-PARAMS_MODELO!$B$15)/(PARAMS_MODELO!$B$16-PARAMS_MODELO!$B$15))))*PARAMS_MODELO!$B$7</f>
        <v>14.407161171516723</v>
      </c>
      <c r="G830" s="5">
        <f t="shared" si="289"/>
        <v>1668642.5700000003</v>
      </c>
      <c r="H830" s="5">
        <f>(PARAMS_MODELO!$B$20*(MAX(0,MIN(3,E830))/3)+PARAMS_MODELO!$B$21*(IFERROR(LN(1+MAX(0,G830))/LN(1+MAX(0,MAX($G$2:$G$1194))),0)))*100*PARAMS_MODELO!$B$8</f>
        <v>3.5026427017761548</v>
      </c>
      <c r="I830" s="8">
        <f>E830-PARAMS_MODELO!$B$5</f>
        <v>-0.1363995177426216</v>
      </c>
      <c r="J830" s="5">
        <f>IF(I830&lt;=PARAMS_MODELO!$B$18,0,IF(I830&gt;=PARAMS_MODELO!$B$19,100,100*(I830-PARAMS_MODELO!$B$18)/(PARAMS_MODELO!$B$19-PARAMS_MODELO!$B$18)))*PARAMS_MODELO!$B$9</f>
        <v>0</v>
      </c>
      <c r="K830" s="5">
        <f>IFERROR(CHOOSE(MATCH(PARAMS_MODELO!$B$2,{"Q1","Q2","Q3"},0),LOTO!$D830,LOTO!$F830,LOTO!$H830),0)</f>
        <v>1915000</v>
      </c>
      <c r="L830" s="8">
        <f t="shared" si="290"/>
        <v>4.5372945233457189E-2</v>
      </c>
      <c r="M830" s="5">
        <f>MIN(100,IF(PARAMS_MODELO!$B$23=0,0,100*L830/PARAMS_MODELO!$B$23))*PARAMS_MODELO!$B$10</f>
        <v>13.611883570037156</v>
      </c>
      <c r="N830" s="5">
        <f>IFERROR(VLOOKUP(A830,COMPLIANCE!$A$2:$F$1996,6,0),100)</f>
        <v>100</v>
      </c>
      <c r="O830" s="5">
        <f>N830*PARAMS_MODELO!$B$11</f>
        <v>10</v>
      </c>
      <c r="P830" s="5">
        <f>IFERROR(VLOOKUP(A830,DIGITAL!$A$2:$J$2000,7,0),100)</f>
        <v>77</v>
      </c>
      <c r="Q830" s="5">
        <f>IFERROR(P830,0)*PARAMS_MODELO!$B$12</f>
        <v>7.7</v>
      </c>
      <c r="R830">
        <f t="shared" si="291"/>
        <v>49.221687443330033</v>
      </c>
      <c r="S830" s="5" t="str">
        <f>IFERROR(VLOOKUP(A830,CLIENTE!$A$2:$N$2000,13,0),1)</f>
        <v>Regular</v>
      </c>
      <c r="T830" s="5">
        <f>IFERROR(VLOOKUP(A830,CLIENTE!$A$2:$N$2000,14,0),1)</f>
        <v>1</v>
      </c>
      <c r="U830" s="5">
        <f t="shared" si="292"/>
        <v>49.221687443330033</v>
      </c>
      <c r="V830" s="5" t="str">
        <f>IF(U830&gt;=MAX(_xlfn.PERCENTILE.INC($U$2:$U$1194,PARAMS_MODELO!$B$50),PARAMS_MODELO!$B$45),"DIAMANTE",IF(U830&gt;=MAX(_xlfn.PERCENTILE.INC($U$2:$U$1194,PARAMS_MODELO!$B$51),PARAMS_MODELO!$B$46),"PLATINO",IF(U830&gt;=MAX(_xlfn.PERCENTILE.INC($U$2:$U$1194,PARAMS_MODELO!$B$52),PARAMS_MODELO!$B$47),"ORO",IF(U830&gt;=MAX(_xlfn.PERCENTILE.INC($U$2:$U$1194,PARAMS_MODELO!$B$53),PARAMS_MODELO!$B$48),"PLATA",IF(U830&gt;=1,"BRONCE","CERRADO")))))</f>
        <v>PLATA</v>
      </c>
      <c r="W830" s="5" t="str" cm="1">
        <f t="array" ref="W830">_xlfn.XLOOKUP(1, (HIST_SCORE!$B:$B=PARAMS_MODELO!$B$4) * (HIST_SCORE!$C:$C=A830), HIST_SCORE!$E:$E, "No encontrado")</f>
        <v>ORO</v>
      </c>
      <c r="X830" s="5" t="str">
        <f>_xlfn.LET(_xlpm.act,MATCH(V830,{"DIAMANTE";"PLATINO";"ORO";"PLATA";"BRONCE";"CERRADO"},0),_xlpm.ant,MATCH(W830,{"DIAMANTE";"PLATINO";"ORO";"PLATA";"BRONCE";"CERRADO"},0),IF(_xlpm.act&lt;_xlpm.ant,"Mejora ↑",IF(_xlpm.act&gt;_xlpm.ant,"Baja ↓","Estable →")))</f>
        <v>Baja ↓</v>
      </c>
      <c r="Y830" s="5">
        <f>IFERROR(U830-SUMIFS(HIST_SCORE!$D:$D,HIST_SCORE!$B:$B,PARAMS_MODELO!$B$4,HIST_SCORE!$C:$C,$A830),"")</f>
        <v>-34.814224169280145</v>
      </c>
      <c r="Z830" s="5" t="str">
        <f t="shared" si="293"/>
        <v>↓ Baja</v>
      </c>
      <c r="AA830" s="5">
        <f t="shared" si="294"/>
        <v>748</v>
      </c>
      <c r="AB830" s="5">
        <f>IFERROR(SUMIFS(HIST_SCORE!$F:$F,HIST_SCORE!$B:$B,PARAMS_MODELO!$B$4,HIST_SCORE!$C:$C,$A830),"")</f>
        <v>289</v>
      </c>
      <c r="AC830" s="5">
        <f t="shared" si="295"/>
        <v>-459</v>
      </c>
      <c r="AD830" t="str">
        <f t="shared" si="297"/>
        <v/>
      </c>
      <c r="AE8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830="CERRADO",1,IF(V830="BRONCE",_xlpm.cPl,IF(V830="PLATA",_xlpm.cO,IF(V830="ORO",_xlpm.cP,IF(V830="PLATINO",_xlpm.cD,999))))))</f>
        <v>63.199193273331495</v>
      </c>
      <c r="AF8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830="CERRADO",0,IF(V830="BRONCE",1,IF(V830="PLATA",_xlpm.cPl,IF(V830="ORO",_xlpm.cO,IF(V830="PLATINO",_xlpm.cP,_xlpm.cD))))))</f>
        <v>24.506573482968111</v>
      </c>
      <c r="AG830">
        <f t="shared" si="298"/>
        <v>13.977505830001462</v>
      </c>
      <c r="AH830" t="str">
        <f t="shared" si="299"/>
        <v>VENTAS</v>
      </c>
      <c r="AI830" t="str">
        <f t="shared" si="296"/>
        <v>🎯 Para subir de categoría, eje VENTAS / DIFERENCIAL vs LOTBA (J). Acción: metas semanales + activación comercial + seguimiento del asesor. ΔR aprox: 14,0</v>
      </c>
      <c r="AJ830" s="26">
        <f>_xlfn.LET(_xlpm.piso,AF830,_xlpm.corte,AE830,_xlpm.prog,IF(_xlpm.corte&lt;=_xlpm.piso,0,MAX(0,MIN(1,(U830-_xlpm.piso)/(_xlpm.corte-_xlpm.piso)))),_xlpm.orden,{"DIAMANTE";"PLATINO";"ORO";"PLATA";"BRONCE";"CERRADO"},_xlpm.act,IFERROR(MATCH(V830,_xlpm.orden,0),6),_xlpm.ant,IFERROR(MATCH(W830,_xlpm.orden,0),6),_xlpm.ajmov,IF(_xlpm.act&lt;_xlpm.ant,0.08,IF(_xlpm.act&gt;_xlpm.ant,-0.08,0)),_xlpm.ajcli,IF(T830&lt;0.95,-0.06,0),_xlpm.prob,MAX(0,MIN(1,_xlpm.prog+_xlpm.ajmov+_xlpm.ajcli)),IF(OR(V830="DIAMANTE",V830="CERRADO"),0,ROUND(_xlpm.prob,2)))</f>
        <v>0.56000000000000005</v>
      </c>
      <c r="AK830" t="str">
        <f t="shared" si="300"/>
        <v>Faltan 14,0 puntos base para subir a la siguiente categoría</v>
      </c>
      <c r="AL830" t="str">
        <f t="shared" si="301"/>
        <v>Margen de seguridad: 24,7 puntos</v>
      </c>
      <c r="AM830">
        <f t="shared" si="302"/>
        <v>0.57999999999999996</v>
      </c>
      <c r="AN830" t="str">
        <f t="shared" si="303"/>
        <v>PRIORIDAD MEDIA – seguimiento del asesor</v>
      </c>
      <c r="AO830">
        <f t="shared" si="304"/>
        <v>46.952765402002711</v>
      </c>
      <c r="AP830">
        <f t="shared" si="305"/>
        <v>1.3881164299628441</v>
      </c>
      <c r="AQ830">
        <f t="shared" si="306"/>
        <v>0</v>
      </c>
      <c r="AR830">
        <f t="shared" si="307"/>
        <v>2.2999999999999998</v>
      </c>
      <c r="AS830">
        <f t="shared" si="308"/>
        <v>0</v>
      </c>
      <c r="AT830" t="str">
        <f t="shared" si="309"/>
        <v>VENTAS</v>
      </c>
      <c r="AU830">
        <f t="shared" si="310"/>
        <v>46.952765402002711</v>
      </c>
      <c r="AV830" t="str">
        <f t="shared" si="311"/>
        <v>Mayor retorno probable: VENTAS (+47,0 puntos finales potenciales).</v>
      </c>
    </row>
    <row r="831" spans="1:48" x14ac:dyDescent="0.3">
      <c r="A831" s="5">
        <v>51015428</v>
      </c>
      <c r="B831" s="5" t="str">
        <f>IFERROR(VLOOKUP(A831,VENTAS!$A$2:$B$1194,2,0),"")</f>
        <v>AYALA</v>
      </c>
      <c r="C831" s="5">
        <f>IFERROR(INDEX(VENTAS!$C$2:$E$1194,MATCH(A831,VENTAS!$A$2:$A$1194,0),MATCH(PARAMS_MODELO!$B$2,{"Q1","Q2","Q3"},0)),0)</f>
        <v>33350019.68</v>
      </c>
      <c r="D831" s="5">
        <f>IFERROR(INDEX(VENTAS!$F$2:$H$1194,MATCH(A831,VENTAS!$A$2:$A$1194,0),MATCH(PARAMS_MODELO!$B$2,{"Q1","Q2","Q3"},0)),0)</f>
        <v>42175422</v>
      </c>
      <c r="E831" s="8">
        <f t="shared" si="288"/>
        <v>0.26462959856340329</v>
      </c>
      <c r="F831" s="12">
        <f>IF(E831&lt;=PARAMS_MODELO!$B$15,0,IF(E831&gt;=PARAMS_MODELO!$B$17,100,100*MIN(1,(E831-PARAMS_MODELO!$B$15)/(PARAMS_MODELO!$B$16-PARAMS_MODELO!$B$15))))*PARAMS_MODELO!$B$7</f>
        <v>35</v>
      </c>
      <c r="G831" s="5">
        <f t="shared" si="289"/>
        <v>8825402.3200000003</v>
      </c>
      <c r="H831" s="5">
        <f>(PARAMS_MODELO!$B$20*(MAX(0,MIN(3,E831))/3)+PARAMS_MODELO!$B$21*(IFERROR(LN(1+MAX(0,G831))/LN(1+MAX(0,MAX($G$2:$G$1194))),0)))*100*PARAMS_MODELO!$B$8</f>
        <v>4.6752200259563841</v>
      </c>
      <c r="I831" s="8">
        <f>E831-PARAMS_MODELO!$B$5</f>
        <v>8.7066763187876761E-2</v>
      </c>
      <c r="J831" s="5">
        <f>IF(I831&lt;=PARAMS_MODELO!$B$18,0,IF(I831&gt;=PARAMS_MODELO!$B$19,100,100*(I831-PARAMS_MODELO!$B$18)/(PARAMS_MODELO!$B$19-PARAMS_MODELO!$B$18)))*PARAMS_MODELO!$B$9</f>
        <v>15</v>
      </c>
      <c r="K831" s="5">
        <f>IFERROR(CHOOSE(MATCH(PARAMS_MODELO!$B$2,{"Q1","Q2","Q3"},0),LOTO!$D831,LOTO!$F831,LOTO!$H831),0)</f>
        <v>1915000</v>
      </c>
      <c r="L831" s="8">
        <f t="shared" si="290"/>
        <v>4.5405591910852722E-2</v>
      </c>
      <c r="M831" s="5">
        <f>MIN(100,IF(PARAMS_MODELO!$B$23=0,0,100*L831/PARAMS_MODELO!$B$23))*PARAMS_MODELO!$B$10</f>
        <v>13.621677573255816</v>
      </c>
      <c r="N831" s="5">
        <f>IFERROR(VLOOKUP(A831,COMPLIANCE!$A$2:$F$1996,6,0),100)</f>
        <v>100</v>
      </c>
      <c r="O831" s="5">
        <f>N831*PARAMS_MODELO!$B$11</f>
        <v>10</v>
      </c>
      <c r="P831" s="5">
        <f>IFERROR(VLOOKUP(A831,DIGITAL!$A$2:$J$2000,7,0),100)</f>
        <v>75</v>
      </c>
      <c r="Q831" s="5">
        <f>IFERROR(P831,0)*PARAMS_MODELO!$B$12</f>
        <v>7.5</v>
      </c>
      <c r="R831">
        <f t="shared" si="291"/>
        <v>85.796897599212201</v>
      </c>
      <c r="S831" s="5" t="str">
        <f>IFERROR(VLOOKUP(A831,CLIENTE!$A$2:$N$2000,13,0),1)</f>
        <v>Malo</v>
      </c>
      <c r="T831" s="5">
        <f>IFERROR(VLOOKUP(A831,CLIENTE!$A$2:$N$2000,14,0),1)</f>
        <v>0.7</v>
      </c>
      <c r="U831" s="5">
        <f t="shared" si="292"/>
        <v>60.057828319448539</v>
      </c>
      <c r="V831" s="5" t="str">
        <f>IF(U831&gt;=MAX(_xlfn.PERCENTILE.INC($U$2:$U$1194,PARAMS_MODELO!$B$50),PARAMS_MODELO!$B$45),"DIAMANTE",IF(U831&gt;=MAX(_xlfn.PERCENTILE.INC($U$2:$U$1194,PARAMS_MODELO!$B$51),PARAMS_MODELO!$B$46),"PLATINO",IF(U831&gt;=MAX(_xlfn.PERCENTILE.INC($U$2:$U$1194,PARAMS_MODELO!$B$52),PARAMS_MODELO!$B$47),"ORO",IF(U831&gt;=MAX(_xlfn.PERCENTILE.INC($U$2:$U$1194,PARAMS_MODELO!$B$53),PARAMS_MODELO!$B$48),"PLATA",IF(U831&gt;=1,"BRONCE","CERRADO")))))</f>
        <v>PLATA</v>
      </c>
      <c r="W831" s="5" t="str" cm="1">
        <f t="array" ref="W831">_xlfn.XLOOKUP(1, (HIST_SCORE!$B:$B=PARAMS_MODELO!$B$4) * (HIST_SCORE!$C:$C=A831), HIST_SCORE!$E:$E, "No encontrado")</f>
        <v>PLATA</v>
      </c>
      <c r="X831" s="5" t="str">
        <f>_xlfn.LET(_xlpm.act,MATCH(V831,{"DIAMANTE";"PLATINO";"ORO";"PLATA";"BRONCE";"CERRADO"},0),_xlpm.ant,MATCH(W831,{"DIAMANTE";"PLATINO";"ORO";"PLATA";"BRONCE";"CERRADO"},0),IF(_xlpm.act&lt;_xlpm.ant,"Mejora ↑",IF(_xlpm.act&gt;_xlpm.ant,"Baja ↓","Estable →")))</f>
        <v>Estable →</v>
      </c>
      <c r="Y831" s="5">
        <f>IFERROR(U831-SUMIFS(HIST_SCORE!$D:$D,HIST_SCORE!$B:$B,PARAMS_MODELO!$B$4,HIST_SCORE!$C:$C,$A831),"")</f>
        <v>-0.24367801484181228</v>
      </c>
      <c r="Z831" s="5" t="str">
        <f t="shared" si="293"/>
        <v>→ Estable</v>
      </c>
      <c r="AA831" s="5">
        <f t="shared" si="294"/>
        <v>621</v>
      </c>
      <c r="AB831" s="5">
        <f>IFERROR(SUMIFS(HIST_SCORE!$F:$F,HIST_SCORE!$B:$B,PARAMS_MODELO!$B$4,HIST_SCORE!$C:$C,$A831),"")</f>
        <v>646</v>
      </c>
      <c r="AC831" s="5">
        <f t="shared" si="295"/>
        <v>25</v>
      </c>
      <c r="AD831" t="str">
        <f t="shared" si="297"/>
        <v/>
      </c>
      <c r="AE8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831="CERRADO",1,IF(V831="BRONCE",_xlpm.cPl,IF(V831="PLATA",_xlpm.cO,IF(V831="ORO",_xlpm.cP,IF(V831="PLATINO",_xlpm.cD,999))))))</f>
        <v>63.199193273331495</v>
      </c>
      <c r="AF8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831="CERRADO",0,IF(V831="BRONCE",1,IF(V831="PLATA",_xlpm.cPl,IF(V831="ORO",_xlpm.cO,IF(V831="PLATINO",_xlpm.cP,_xlpm.cD))))))</f>
        <v>24.506573482968111</v>
      </c>
      <c r="AG831">
        <f t="shared" si="298"/>
        <v>4.4876642198327943</v>
      </c>
      <c r="AH831" t="str">
        <f t="shared" si="299"/>
        <v>CLIENTE</v>
      </c>
      <c r="AI831" t="str">
        <f t="shared" si="296"/>
        <v>🎯 Para subir de categoría, la eje con mayor impacto probable es CLIENTE (coef T). Acción: reducir quejas, mejorar incógnito y empujar reseñas. ΔR aprox: 4,5</v>
      </c>
      <c r="AJ831" s="26">
        <f>_xlfn.LET(_xlpm.piso,AF831,_xlpm.corte,AE831,_xlpm.prog,IF(_xlpm.corte&lt;=_xlpm.piso,0,MAX(0,MIN(1,(U831-_xlpm.piso)/(_xlpm.corte-_xlpm.piso)))),_xlpm.orden,{"DIAMANTE";"PLATINO";"ORO";"PLATA";"BRONCE";"CERRADO"},_xlpm.act,IFERROR(MATCH(V831,_xlpm.orden,0),6),_xlpm.ant,IFERROR(MATCH(W831,_xlpm.orden,0),6),_xlpm.ajmov,IF(_xlpm.act&lt;_xlpm.ant,0.08,IF(_xlpm.act&gt;_xlpm.ant,-0.08,0)),_xlpm.ajcli,IF(T831&lt;0.95,-0.06,0),_xlpm.prob,MAX(0,MIN(1,_xlpm.prog+_xlpm.ajmov+_xlpm.ajcli)),IF(OR(V831="DIAMANTE",V831="CERRADO"),0,ROUND(_xlpm.prob,2)))</f>
        <v>0.86</v>
      </c>
      <c r="AK831" t="str">
        <f t="shared" si="300"/>
        <v>Faltan 4,5 puntos base para subir a la siguiente categoría</v>
      </c>
      <c r="AL831" t="str">
        <f t="shared" si="301"/>
        <v>Margen de seguridad: 35,6 puntos</v>
      </c>
      <c r="AM831">
        <f t="shared" si="302"/>
        <v>0.44</v>
      </c>
      <c r="AN831" t="str">
        <f t="shared" si="303"/>
        <v>PRIORIDAD MEDIA – seguimiento del asesor</v>
      </c>
      <c r="AO831">
        <f t="shared" si="304"/>
        <v>7.1311444745374386</v>
      </c>
      <c r="AP831">
        <f t="shared" si="305"/>
        <v>0.9648256987209286</v>
      </c>
      <c r="AQ831">
        <f t="shared" si="306"/>
        <v>0</v>
      </c>
      <c r="AR831">
        <f t="shared" si="307"/>
        <v>1.75</v>
      </c>
      <c r="AS831">
        <f t="shared" si="308"/>
        <v>25.739069279763665</v>
      </c>
      <c r="AT831" t="str">
        <f t="shared" si="309"/>
        <v>CLIENTE</v>
      </c>
      <c r="AU831">
        <f t="shared" si="310"/>
        <v>25.739069279763665</v>
      </c>
      <c r="AV831" t="str">
        <f t="shared" si="311"/>
        <v>Mayor retorno probable: CLIENTE (+25,7 puntos finales potenciales).</v>
      </c>
    </row>
    <row r="832" spans="1:48" x14ac:dyDescent="0.3">
      <c r="A832" s="5">
        <v>51036557</v>
      </c>
      <c r="B832" s="5" t="str">
        <f>IFERROR(VLOOKUP(A832,VENTAS!$A$2:$B$1194,2,0),"")</f>
        <v>MONTENEGRO</v>
      </c>
      <c r="C832" s="5">
        <f>IFERROR(INDEX(VENTAS!$C$2:$E$1194,MATCH(A832,VENTAS!$A$2:$A$1194,0),MATCH(PARAMS_MODELO!$B$2,{"Q1","Q2","Q3"},0)),0)</f>
        <v>44083206.840000004</v>
      </c>
      <c r="D832" s="5">
        <f>IFERROR(INDEX(VENTAS!$F$2:$H$1194,MATCH(A832,VENTAS!$A$2:$A$1194,0),MATCH(PARAMS_MODELO!$B$2,{"Q1","Q2","Q3"},0)),0)</f>
        <v>42118823</v>
      </c>
      <c r="E832" s="8">
        <f t="shared" si="288"/>
        <v>-4.456081988612437E-2</v>
      </c>
      <c r="F832" s="12">
        <f>IF(E832&lt;=PARAMS_MODELO!$B$15,0,IF(E832&gt;=PARAMS_MODELO!$B$17,100,100*MIN(1,(E832-PARAMS_MODELO!$B$15)/(PARAMS_MODELO!$B$16-PARAMS_MODELO!$B$15))))*PARAMS_MODELO!$B$7</f>
        <v>0</v>
      </c>
      <c r="G832" s="5">
        <f t="shared" si="289"/>
        <v>0</v>
      </c>
      <c r="H832" s="5">
        <f>(PARAMS_MODELO!$B$20*(MAX(0,MIN(3,E832))/3)+PARAMS_MODELO!$B$21*(IFERROR(LN(1+MAX(0,G832))/LN(1+MAX(0,MAX($G$2:$G$1194))),0)))*100*PARAMS_MODELO!$B$8</f>
        <v>0</v>
      </c>
      <c r="I832" s="8">
        <f>E832-PARAMS_MODELO!$B$5</f>
        <v>-0.2221236552616509</v>
      </c>
      <c r="J832" s="5">
        <f>IF(I832&lt;=PARAMS_MODELO!$B$18,0,IF(I832&gt;=PARAMS_MODELO!$B$19,100,100*(I832-PARAMS_MODELO!$B$18)/(PARAMS_MODELO!$B$19-PARAMS_MODELO!$B$18)))*PARAMS_MODELO!$B$9</f>
        <v>0</v>
      </c>
      <c r="K832" s="5">
        <f>IFERROR(CHOOSE(MATCH(PARAMS_MODELO!$B$2,{"Q1","Q2","Q3"},0),LOTO!$D832,LOTO!$F832,LOTO!$H832),0)</f>
        <v>1912500</v>
      </c>
      <c r="L832" s="8">
        <f t="shared" si="290"/>
        <v>4.5407251764846328E-2</v>
      </c>
      <c r="M832" s="5">
        <f>MIN(100,IF(PARAMS_MODELO!$B$23=0,0,100*L832/PARAMS_MODELO!$B$23))*PARAMS_MODELO!$B$10</f>
        <v>13.622175529453896</v>
      </c>
      <c r="N832" s="5">
        <f>IFERROR(VLOOKUP(A832,COMPLIANCE!$A$2:$F$1996,6,0),100)</f>
        <v>99.85</v>
      </c>
      <c r="O832" s="5">
        <f>N832*PARAMS_MODELO!$B$11</f>
        <v>9.9849999999999994</v>
      </c>
      <c r="P832" s="5">
        <f>IFERROR(VLOOKUP(A832,DIGITAL!$A$2:$J$2000,7,0),100)</f>
        <v>72</v>
      </c>
      <c r="Q832" s="5">
        <f>IFERROR(P832,0)*PARAMS_MODELO!$B$12</f>
        <v>7.2</v>
      </c>
      <c r="R832">
        <f t="shared" si="291"/>
        <v>30.807175529453897</v>
      </c>
      <c r="S832" s="5" t="str">
        <f>IFERROR(VLOOKUP(A832,CLIENTE!$A$2:$N$2000,13,0),1)</f>
        <v>Malo</v>
      </c>
      <c r="T832" s="5">
        <f>IFERROR(VLOOKUP(A832,CLIENTE!$A$2:$N$2000,14,0),1)</f>
        <v>0.7</v>
      </c>
      <c r="U832" s="5">
        <f t="shared" si="292"/>
        <v>21.565022870617728</v>
      </c>
      <c r="V832" s="5" t="str">
        <f>IF(U832&gt;=MAX(_xlfn.PERCENTILE.INC($U$2:$U$1194,PARAMS_MODELO!$B$50),PARAMS_MODELO!$B$45),"DIAMANTE",IF(U832&gt;=MAX(_xlfn.PERCENTILE.INC($U$2:$U$1194,PARAMS_MODELO!$B$51),PARAMS_MODELO!$B$46),"PLATINO",IF(U832&gt;=MAX(_xlfn.PERCENTILE.INC($U$2:$U$1194,PARAMS_MODELO!$B$52),PARAMS_MODELO!$B$47),"ORO",IF(U832&gt;=MAX(_xlfn.PERCENTILE.INC($U$2:$U$1194,PARAMS_MODELO!$B$53),PARAMS_MODELO!$B$48),"PLATA",IF(U832&gt;=1,"BRONCE","CERRADO")))))</f>
        <v>BRONCE</v>
      </c>
      <c r="W832" s="5" t="str" cm="1">
        <f t="array" ref="W832">_xlfn.XLOOKUP(1, (HIST_SCORE!$B:$B=PARAMS_MODELO!$B$4) * (HIST_SCORE!$C:$C=A832), HIST_SCORE!$E:$E, "No encontrado")</f>
        <v>PLATA</v>
      </c>
      <c r="X832" s="5" t="str">
        <f>_xlfn.LET(_xlpm.act,MATCH(V832,{"DIAMANTE";"PLATINO";"ORO";"PLATA";"BRONCE";"CERRADO"},0),_xlpm.ant,MATCH(W832,{"DIAMANTE";"PLATINO";"ORO";"PLATA";"BRONCE";"CERRADO"},0),IF(_xlpm.act&lt;_xlpm.ant,"Mejora ↑",IF(_xlpm.act&gt;_xlpm.ant,"Baja ↓","Estable →")))</f>
        <v>Baja ↓</v>
      </c>
      <c r="Y832" s="5">
        <f>IFERROR(U832-SUMIFS(HIST_SCORE!$D:$D,HIST_SCORE!$B:$B,PARAMS_MODELO!$B$4,HIST_SCORE!$C:$C,$A832),"")</f>
        <v>-11.535620812365192</v>
      </c>
      <c r="Z832" s="5" t="str">
        <f t="shared" si="293"/>
        <v>↓ Baja</v>
      </c>
      <c r="AA832" s="5">
        <f t="shared" si="294"/>
        <v>955</v>
      </c>
      <c r="AB832" s="5">
        <f>IFERROR(SUMIFS(HIST_SCORE!$F:$F,HIST_SCORE!$B:$B,PARAMS_MODELO!$B$4,HIST_SCORE!$C:$C,$A832),"")</f>
        <v>876</v>
      </c>
      <c r="AC832" s="5">
        <f t="shared" si="295"/>
        <v>-79</v>
      </c>
      <c r="AD832" t="str">
        <f t="shared" si="297"/>
        <v>Plan de recuperación: foco crecimiento + mix</v>
      </c>
      <c r="AE8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832="CERRADO",1,IF(V832="BRONCE",_xlpm.cPl,IF(V832="PLATA",_xlpm.cO,IF(V832="ORO",_xlpm.cP,IF(V832="PLATINO",_xlpm.cD,999))))))</f>
        <v>24.506573482968111</v>
      </c>
      <c r="AF8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832="CERRADO",0,IF(V832="BRONCE",1,IF(V832="PLATA",_xlpm.cPl,IF(V832="ORO",_xlpm.cO,IF(V832="PLATINO",_xlpm.cP,_xlpm.cD))))))</f>
        <v>1</v>
      </c>
      <c r="AG832">
        <f t="shared" si="298"/>
        <v>4.2022151605005469</v>
      </c>
      <c r="AH832" t="str">
        <f t="shared" si="299"/>
        <v>CLIENTE</v>
      </c>
      <c r="AI832" t="str">
        <f t="shared" si="296"/>
        <v>🎯 Para subir de categoría, la eje con mayor impacto probable es CLIENTE (coef T). Acción: reducir quejas, mejorar incógnito y empujar reseñas. ΔR aprox: 4,2</v>
      </c>
      <c r="AJ832" s="26">
        <f>_xlfn.LET(_xlpm.piso,AF832,_xlpm.corte,AE832,_xlpm.prog,IF(_xlpm.corte&lt;=_xlpm.piso,0,MAX(0,MIN(1,(U832-_xlpm.piso)/(_xlpm.corte-_xlpm.piso)))),_xlpm.orden,{"DIAMANTE";"PLATINO";"ORO";"PLATA";"BRONCE";"CERRADO"},_xlpm.act,IFERROR(MATCH(V832,_xlpm.orden,0),6),_xlpm.ant,IFERROR(MATCH(W832,_xlpm.orden,0),6),_xlpm.ajmov,IF(_xlpm.act&lt;_xlpm.ant,0.08,IF(_xlpm.act&gt;_xlpm.ant,-0.08,0)),_xlpm.ajcli,IF(T832&lt;0.95,-0.06,0),_xlpm.prob,MAX(0,MIN(1,_xlpm.prog+_xlpm.ajmov+_xlpm.ajcli)),IF(OR(V832="DIAMANTE",V832="CERRADO"),0,ROUND(_xlpm.prob,2)))</f>
        <v>0.73</v>
      </c>
      <c r="AK832" t="str">
        <f t="shared" si="300"/>
        <v>Faltan 4,2 puntos base para subir a la siguiente categoría</v>
      </c>
      <c r="AL832" t="str">
        <f t="shared" si="301"/>
        <v>No aplica</v>
      </c>
      <c r="AM832">
        <f t="shared" si="302"/>
        <v>0.48</v>
      </c>
      <c r="AN832" t="str">
        <f t="shared" si="303"/>
        <v>PRIORIDAD MEDIA – seguimiento del asesor</v>
      </c>
      <c r="AO832">
        <f t="shared" si="304"/>
        <v>45.403798492706905</v>
      </c>
      <c r="AP832">
        <f t="shared" si="305"/>
        <v>0.96447712938227259</v>
      </c>
      <c r="AQ832">
        <f t="shared" si="306"/>
        <v>1.0500000000000398E-2</v>
      </c>
      <c r="AR832">
        <f t="shared" si="307"/>
        <v>1.9599999999999997</v>
      </c>
      <c r="AS832">
        <f t="shared" si="308"/>
        <v>9.2421526588361704</v>
      </c>
      <c r="AT832" t="str">
        <f t="shared" si="309"/>
        <v>VENTAS</v>
      </c>
      <c r="AU832">
        <f t="shared" si="310"/>
        <v>45.403798492706905</v>
      </c>
      <c r="AV832" t="str">
        <f t="shared" si="311"/>
        <v>Mayor retorno probable: VENTAS (+45,4 puntos finales potenciales).</v>
      </c>
    </row>
    <row r="833" spans="1:48" x14ac:dyDescent="0.3">
      <c r="A833" s="5">
        <v>51056175</v>
      </c>
      <c r="B833" s="5" t="str">
        <f>IFERROR(VLOOKUP(A833,VENTAS!$A$2:$B$1194,2,0),"")</f>
        <v>PRADES</v>
      </c>
      <c r="C833" s="5">
        <f>IFERROR(INDEX(VENTAS!$C$2:$E$1194,MATCH(A833,VENTAS!$A$2:$A$1194,0),MATCH(PARAMS_MODELO!$B$2,{"Q1","Q2","Q3"},0)),0)</f>
        <v>85641050.599999994</v>
      </c>
      <c r="D833" s="5">
        <f>IFERROR(INDEX(VENTAS!$F$2:$H$1194,MATCH(A833,VENTAS!$A$2:$A$1194,0),MATCH(PARAMS_MODELO!$B$2,{"Q1","Q2","Q3"},0)),0)</f>
        <v>41942520</v>
      </c>
      <c r="E833" s="8">
        <f t="shared" si="288"/>
        <v>-0.51025215470675223</v>
      </c>
      <c r="F833" s="12">
        <f>IF(E833&lt;=PARAMS_MODELO!$B$15,0,IF(E833&gt;=PARAMS_MODELO!$B$17,100,100*MIN(1,(E833-PARAMS_MODELO!$B$15)/(PARAMS_MODELO!$B$16-PARAMS_MODELO!$B$15))))*PARAMS_MODELO!$B$7</f>
        <v>0</v>
      </c>
      <c r="G833" s="5">
        <f t="shared" si="289"/>
        <v>0</v>
      </c>
      <c r="H833" s="5">
        <f>(PARAMS_MODELO!$B$20*(MAX(0,MIN(3,E833))/3)+PARAMS_MODELO!$B$21*(IFERROR(LN(1+MAX(0,G833))/LN(1+MAX(0,MAX($G$2:$G$1194))),0)))*100*PARAMS_MODELO!$B$8</f>
        <v>0</v>
      </c>
      <c r="I833" s="8">
        <f>E833-PARAMS_MODELO!$B$5</f>
        <v>-0.68781499008227875</v>
      </c>
      <c r="J833" s="5">
        <f>IF(I833&lt;=PARAMS_MODELO!$B$18,0,IF(I833&gt;=PARAMS_MODELO!$B$19,100,100*(I833-PARAMS_MODELO!$B$18)/(PARAMS_MODELO!$B$19-PARAMS_MODELO!$B$18)))*PARAMS_MODELO!$B$9</f>
        <v>0</v>
      </c>
      <c r="K833" s="5">
        <f>IFERROR(CHOOSE(MATCH(PARAMS_MODELO!$B$2,{"Q1","Q2","Q3"},0),LOTO!$D833,LOTO!$F833,LOTO!$H833),0)</f>
        <v>1905000</v>
      </c>
      <c r="L833" s="8">
        <f t="shared" si="290"/>
        <v>4.541930241673605E-2</v>
      </c>
      <c r="M833" s="5">
        <f>MIN(100,IF(PARAMS_MODELO!$B$23=0,0,100*L833/PARAMS_MODELO!$B$23))*PARAMS_MODELO!$B$10</f>
        <v>13.625790725020815</v>
      </c>
      <c r="N833" s="5">
        <f>IFERROR(VLOOKUP(A833,COMPLIANCE!$A$2:$F$1996,6,0),100)</f>
        <v>99.98</v>
      </c>
      <c r="O833" s="5">
        <f>N833*PARAMS_MODELO!$B$11</f>
        <v>9.9980000000000011</v>
      </c>
      <c r="P833" s="5">
        <f>IFERROR(VLOOKUP(A833,DIGITAL!$A$2:$J$2000,7,0),100)</f>
        <v>72</v>
      </c>
      <c r="Q833" s="5">
        <f>IFERROR(P833,0)*PARAMS_MODELO!$B$12</f>
        <v>7.2</v>
      </c>
      <c r="R833">
        <f t="shared" si="291"/>
        <v>30.823790725020817</v>
      </c>
      <c r="S833" s="5" t="str">
        <f>IFERROR(VLOOKUP(A833,CLIENTE!$A$2:$N$2000,13,0),1)</f>
        <v>Regular</v>
      </c>
      <c r="T833" s="5">
        <f>IFERROR(VLOOKUP(A833,CLIENTE!$A$2:$N$2000,14,0),1)</f>
        <v>1</v>
      </c>
      <c r="U833" s="5">
        <f t="shared" si="292"/>
        <v>30.823790725020817</v>
      </c>
      <c r="V833" s="5" t="str">
        <f>IF(U833&gt;=MAX(_xlfn.PERCENTILE.INC($U$2:$U$1194,PARAMS_MODELO!$B$50),PARAMS_MODELO!$B$45),"DIAMANTE",IF(U833&gt;=MAX(_xlfn.PERCENTILE.INC($U$2:$U$1194,PARAMS_MODELO!$B$51),PARAMS_MODELO!$B$46),"PLATINO",IF(U833&gt;=MAX(_xlfn.PERCENTILE.INC($U$2:$U$1194,PARAMS_MODELO!$B$52),PARAMS_MODELO!$B$47),"ORO",IF(U833&gt;=MAX(_xlfn.PERCENTILE.INC($U$2:$U$1194,PARAMS_MODELO!$B$53),PARAMS_MODELO!$B$48),"PLATA",IF(U833&gt;=1,"BRONCE","CERRADO")))))</f>
        <v>PLATA</v>
      </c>
      <c r="W833" s="5" t="str" cm="1">
        <f t="array" ref="W833">_xlfn.XLOOKUP(1, (HIST_SCORE!$B:$B=PARAMS_MODELO!$B$4) * (HIST_SCORE!$C:$C=A833), HIST_SCORE!$E:$E, "No encontrado")</f>
        <v>PLATA</v>
      </c>
      <c r="X833" s="5" t="str">
        <f>_xlfn.LET(_xlpm.act,MATCH(V833,{"DIAMANTE";"PLATINO";"ORO";"PLATA";"BRONCE";"CERRADO"},0),_xlpm.ant,MATCH(W833,{"DIAMANTE";"PLATINO";"ORO";"PLATA";"BRONCE";"CERRADO"},0),IF(_xlpm.act&lt;_xlpm.ant,"Mejora ↑",IF(_xlpm.act&gt;_xlpm.ant,"Baja ↓","Estable →")))</f>
        <v>Estable →</v>
      </c>
      <c r="Y833" s="5">
        <f>IFERROR(U833-SUMIFS(HIST_SCORE!$D:$D,HIST_SCORE!$B:$B,PARAMS_MODELO!$B$4,HIST_SCORE!$C:$C,$A833),"")</f>
        <v>-0.22353010696476616</v>
      </c>
      <c r="Z833" s="5" t="str">
        <f t="shared" si="293"/>
        <v>→ Estable</v>
      </c>
      <c r="AA833" s="5">
        <f t="shared" si="294"/>
        <v>849</v>
      </c>
      <c r="AB833" s="5">
        <f>IFERROR(SUMIFS(HIST_SCORE!$F:$F,HIST_SCORE!$B:$B,PARAMS_MODELO!$B$4,HIST_SCORE!$C:$C,$A833),"")</f>
        <v>898</v>
      </c>
      <c r="AC833" s="5">
        <f t="shared" si="295"/>
        <v>49</v>
      </c>
      <c r="AD833" t="str">
        <f t="shared" si="297"/>
        <v/>
      </c>
      <c r="AE8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833="CERRADO",1,IF(V833="BRONCE",_xlpm.cPl,IF(V833="PLATA",_xlpm.cO,IF(V833="ORO",_xlpm.cP,IF(V833="PLATINO",_xlpm.cD,999))))))</f>
        <v>63.199193273331495</v>
      </c>
      <c r="AF8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833="CERRADO",0,IF(V833="BRONCE",1,IF(V833="PLATA",_xlpm.cPl,IF(V833="ORO",_xlpm.cO,IF(V833="PLATINO",_xlpm.cP,_xlpm.cD))))))</f>
        <v>24.506573482968111</v>
      </c>
      <c r="AG833">
        <f t="shared" si="298"/>
        <v>32.375402548310674</v>
      </c>
      <c r="AH833" t="str">
        <f t="shared" si="299"/>
        <v>VENTAS</v>
      </c>
      <c r="AI833" t="str">
        <f t="shared" si="296"/>
        <v>🎯 Para subir de categoría, eje VENTAS / CRECIMIENTO PERSONAL (F). Acción: metas semanales + activación comercial + seguimiento del asesor. ΔR aprox: 32,4</v>
      </c>
      <c r="AJ833" s="26">
        <f>_xlfn.LET(_xlpm.piso,AF833,_xlpm.corte,AE833,_xlpm.prog,IF(_xlpm.corte&lt;=_xlpm.piso,0,MAX(0,MIN(1,(U833-_xlpm.piso)/(_xlpm.corte-_xlpm.piso)))),_xlpm.orden,{"DIAMANTE";"PLATINO";"ORO";"PLATA";"BRONCE";"CERRADO"},_xlpm.act,IFERROR(MATCH(V833,_xlpm.orden,0),6),_xlpm.ant,IFERROR(MATCH(W833,_xlpm.orden,0),6),_xlpm.ajmov,IF(_xlpm.act&lt;_xlpm.ant,0.08,IF(_xlpm.act&gt;_xlpm.ant,-0.08,0)),_xlpm.ajcli,IF(T833&lt;0.95,-0.06,0),_xlpm.prob,MAX(0,MIN(1,_xlpm.prog+_xlpm.ajmov+_xlpm.ajcli)),IF(OR(V833="DIAMANTE",V833="CERRADO"),0,ROUND(_xlpm.prob,2)))</f>
        <v>0.16</v>
      </c>
      <c r="AK833" t="str">
        <f t="shared" si="300"/>
        <v>Faltan 32,4 puntos base para subir a la siguiente categoría</v>
      </c>
      <c r="AL833" t="str">
        <f t="shared" si="301"/>
        <v>Margen de seguridad: 6,3 puntos</v>
      </c>
      <c r="AM833">
        <f t="shared" si="302"/>
        <v>0.74</v>
      </c>
      <c r="AN833" t="str">
        <f t="shared" si="303"/>
        <v>PRIORIDAD ALTA – requiere intervención inmediata</v>
      </c>
      <c r="AO833">
        <f t="shared" si="304"/>
        <v>64.862569275295584</v>
      </c>
      <c r="AP833">
        <f t="shared" si="305"/>
        <v>1.3742092749791848</v>
      </c>
      <c r="AQ833">
        <f t="shared" si="306"/>
        <v>1.9999999999988916E-3</v>
      </c>
      <c r="AR833">
        <f t="shared" si="307"/>
        <v>2.8</v>
      </c>
      <c r="AS833">
        <f t="shared" si="308"/>
        <v>0</v>
      </c>
      <c r="AT833" t="str">
        <f t="shared" si="309"/>
        <v>VENTAS</v>
      </c>
      <c r="AU833">
        <f t="shared" si="310"/>
        <v>64.862569275295584</v>
      </c>
      <c r="AV833" t="str">
        <f t="shared" si="311"/>
        <v>Mayor retorno probable: VENTAS (+64,9 puntos finales potenciales).</v>
      </c>
    </row>
    <row r="834" spans="1:48" x14ac:dyDescent="0.3">
      <c r="A834" s="5">
        <v>51039190</v>
      </c>
      <c r="B834" s="5" t="str">
        <f>IFERROR(VLOOKUP(A834,VENTAS!$A$2:$B$1194,2,0),"")</f>
        <v>BELUZZO</v>
      </c>
      <c r="C834" s="5">
        <f>IFERROR(INDEX(VENTAS!$C$2:$E$1194,MATCH(A834,VENTAS!$A$2:$A$1194,0),MATCH(PARAMS_MODELO!$B$2,{"Q1","Q2","Q3"},0)),0)</f>
        <v>35744237.740000002</v>
      </c>
      <c r="D834" s="5">
        <f>IFERROR(INDEX(VENTAS!$F$2:$H$1194,MATCH(A834,VENTAS!$A$2:$A$1194,0),MATCH(PARAMS_MODELO!$B$2,{"Q1","Q2","Q3"},0)),0)</f>
        <v>41911218</v>
      </c>
      <c r="E834" s="8">
        <f t="shared" ref="E834:E897" si="312">IFERROR(D834/C834-1,0)</f>
        <v>0.17253075320441846</v>
      </c>
      <c r="F834" s="12">
        <f>IF(E834&lt;=PARAMS_MODELO!$B$15,0,IF(E834&gt;=PARAMS_MODELO!$B$17,100,100*MIN(1,(E834-PARAMS_MODELO!$B$15)/(PARAMS_MODELO!$B$16-PARAMS_MODELO!$B$15))))*PARAMS_MODELO!$B$7</f>
        <v>35</v>
      </c>
      <c r="G834" s="5">
        <f t="shared" ref="G834:G897" si="313">MAX(0,D834-C834)</f>
        <v>6166980.2599999979</v>
      </c>
      <c r="H834" s="5">
        <f>(PARAMS_MODELO!$B$20*(MAX(0,MIN(3,E834))/3)+PARAMS_MODELO!$B$21*(IFERROR(LN(1+MAX(0,G834))/LN(1+MAX(0,MAX($G$2:$G$1194))),0)))*100*PARAMS_MODELO!$B$8</f>
        <v>4.2688542793189681</v>
      </c>
      <c r="I834" s="8">
        <f>E834-PARAMS_MODELO!$B$5</f>
        <v>-5.0320821711080654E-3</v>
      </c>
      <c r="J834" s="5">
        <f>IF(I834&lt;=PARAMS_MODELO!$B$18,0,IF(I834&gt;=PARAMS_MODELO!$B$19,100,100*(I834-PARAMS_MODELO!$B$18)/(PARAMS_MODELO!$B$19-PARAMS_MODELO!$B$18)))*PARAMS_MODELO!$B$9</f>
        <v>6.7451876743337902</v>
      </c>
      <c r="K834" s="5">
        <f>IFERROR(CHOOSE(MATCH(PARAMS_MODELO!$B$2,{"Q1","Q2","Q3"},0),LOTO!$D834,LOTO!$F834,LOTO!$H834),0)</f>
        <v>1900000</v>
      </c>
      <c r="L834" s="8">
        <f t="shared" ref="L834:L897" si="314">IFERROR(K834/D834,0)</f>
        <v>4.5333924678590827E-2</v>
      </c>
      <c r="M834" s="5">
        <f>MIN(100,IF(PARAMS_MODELO!$B$23=0,0,100*L834/PARAMS_MODELO!$B$23))*PARAMS_MODELO!$B$10</f>
        <v>13.600177403577247</v>
      </c>
      <c r="N834" s="5">
        <f>IFERROR(VLOOKUP(A834,COMPLIANCE!$A$2:$F$1996,6,0),100)</f>
        <v>99.85</v>
      </c>
      <c r="O834" s="5">
        <f>N834*PARAMS_MODELO!$B$11</f>
        <v>9.9849999999999994</v>
      </c>
      <c r="P834" s="5">
        <f>IFERROR(VLOOKUP(A834,DIGITAL!$A$2:$J$2000,7,0),100)</f>
        <v>65</v>
      </c>
      <c r="Q834" s="5">
        <f>IFERROR(P834,0)*PARAMS_MODELO!$B$12</f>
        <v>6.5</v>
      </c>
      <c r="R834">
        <f t="shared" ref="R834:R897" si="315">MIN(100,MAX(0,F834+H834+J834+M834+O834+Q834))</f>
        <v>76.099219357229998</v>
      </c>
      <c r="S834" s="5" t="str">
        <f>IFERROR(VLOOKUP(A834,CLIENTE!$A$2:$N$2000,13,0),1)</f>
        <v>Regular</v>
      </c>
      <c r="T834" s="5">
        <f>IFERROR(VLOOKUP(A834,CLIENTE!$A$2:$N$2000,14,0),1)</f>
        <v>1</v>
      </c>
      <c r="U834" s="5">
        <f t="shared" ref="U834:U897" si="316">MIN(100,MAX(0,R834*T834))</f>
        <v>76.099219357229998</v>
      </c>
      <c r="V834" s="5" t="str">
        <f>IF(U834&gt;=MAX(_xlfn.PERCENTILE.INC($U$2:$U$1194,PARAMS_MODELO!$B$50),PARAMS_MODELO!$B$45),"DIAMANTE",IF(U834&gt;=MAX(_xlfn.PERCENTILE.INC($U$2:$U$1194,PARAMS_MODELO!$B$51),PARAMS_MODELO!$B$46),"PLATINO",IF(U834&gt;=MAX(_xlfn.PERCENTILE.INC($U$2:$U$1194,PARAMS_MODELO!$B$52),PARAMS_MODELO!$B$47),"ORO",IF(U834&gt;=MAX(_xlfn.PERCENTILE.INC($U$2:$U$1194,PARAMS_MODELO!$B$53),PARAMS_MODELO!$B$48),"PLATA",IF(U834&gt;=1,"BRONCE","CERRADO")))))</f>
        <v>ORO</v>
      </c>
      <c r="W834" s="5" t="str" cm="1">
        <f t="array" ref="W834">_xlfn.XLOOKUP(1, (HIST_SCORE!$B:$B=PARAMS_MODELO!$B$4) * (HIST_SCORE!$C:$C=A834), HIST_SCORE!$E:$E, "No encontrado")</f>
        <v>PLATA</v>
      </c>
      <c r="X834" s="5" t="str">
        <f>_xlfn.LET(_xlpm.act,MATCH(V834,{"DIAMANTE";"PLATINO";"ORO";"PLATA";"BRONCE";"CERRADO"},0),_xlpm.ant,MATCH(W834,{"DIAMANTE";"PLATINO";"ORO";"PLATA";"BRONCE";"CERRADO"},0),IF(_xlpm.act&lt;_xlpm.ant,"Mejora ↑",IF(_xlpm.act&gt;_xlpm.ant,"Baja ↓","Estable →")))</f>
        <v>Mejora ↑</v>
      </c>
      <c r="Y834" s="5">
        <f>IFERROR(U834-SUMIFS(HIST_SCORE!$D:$D,HIST_SCORE!$B:$B,PARAMS_MODELO!$B$4,HIST_SCORE!$C:$C,$A834),"")</f>
        <v>49.750859499633201</v>
      </c>
      <c r="Z834" s="5" t="str">
        <f t="shared" ref="Z834:Z897" si="317">IF(Y834="","",IF(Y834&gt;=5,"↑ Mejora",IF(Y834&lt;=-5,"↓ Baja","→ Estable")))</f>
        <v>↑ Mejora</v>
      </c>
      <c r="AA834" s="5">
        <f t="shared" ref="AA834:AA897" si="318">IFERROR(_xlfn.RANK.EQ(U834,$U$2:$U$1194,0),"")</f>
        <v>464</v>
      </c>
      <c r="AB834" s="5">
        <f>IFERROR(SUMIFS(HIST_SCORE!$F:$F,HIST_SCORE!$B:$B,PARAMS_MODELO!$B$4,HIST_SCORE!$C:$C,$A834),"")</f>
        <v>939</v>
      </c>
      <c r="AC834" s="5">
        <f t="shared" ref="AC834:AC897" si="319">IF(OR(AA834="",AB834=""),"",AB834-AA834)</f>
        <v>475</v>
      </c>
      <c r="AD834" t="str">
        <f t="shared" si="297"/>
        <v/>
      </c>
      <c r="AE8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834="CERRADO",1,IF(V834="BRONCE",_xlpm.cPl,IF(V834="PLATA",_xlpm.cO,IF(V834="ORO",_xlpm.cP,IF(V834="PLATINO",_xlpm.cD,999))))))</f>
        <v>86.439123873763251</v>
      </c>
      <c r="AF8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834="CERRADO",0,IF(V834="BRONCE",1,IF(V834="PLATA",_xlpm.cPl,IF(V834="ORO",_xlpm.cO,IF(V834="PLATINO",_xlpm.cP,_xlpm.cD))))))</f>
        <v>63.199193273331495</v>
      </c>
      <c r="AG834">
        <f t="shared" si="298"/>
        <v>10.339904516533252</v>
      </c>
      <c r="AH834" t="str">
        <f t="shared" si="299"/>
        <v>VENTAS</v>
      </c>
      <c r="AI834" t="str">
        <f t="shared" ref="AI834:AI897" si="320">_xlfn.LET(_xlpm.pal,AH834,_xlpm.deltaR,AG834,_xlpm.minVent,MIN(F834,H834,J834),_xlpm.subV,IF(_xlpm.minVent=F834,"CRECIMIENTO PERSONAL (F)",IF(_xlpm.minVent=H834,"IMPACTO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IMPACTO ABSOLUTO (H). Acción: metas semanales + activación comercial + seguimiento del asesor. ΔR aprox: 10,3</v>
      </c>
      <c r="AJ834" s="26">
        <f>_xlfn.LET(_xlpm.piso,AF834,_xlpm.corte,AE834,_xlpm.prog,IF(_xlpm.corte&lt;=_xlpm.piso,0,MAX(0,MIN(1,(U834-_xlpm.piso)/(_xlpm.corte-_xlpm.piso)))),_xlpm.orden,{"DIAMANTE";"PLATINO";"ORO";"PLATA";"BRONCE";"CERRADO"},_xlpm.act,IFERROR(MATCH(V834,_xlpm.orden,0),6),_xlpm.ant,IFERROR(MATCH(W834,_xlpm.orden,0),6),_xlpm.ajmov,IF(_xlpm.act&lt;_xlpm.ant,0.08,IF(_xlpm.act&gt;_xlpm.ant,-0.08,0)),_xlpm.ajcli,IF(T834&lt;0.95,-0.06,0),_xlpm.prob,MAX(0,MIN(1,_xlpm.prog+_xlpm.ajmov+_xlpm.ajcli)),IF(OR(V834="DIAMANTE",V834="CERRADO"),0,ROUND(_xlpm.prob,2)))</f>
        <v>0.64</v>
      </c>
      <c r="AK834" t="str">
        <f t="shared" si="300"/>
        <v>Faltan 10,3 puntos base para subir a la siguiente categoría</v>
      </c>
      <c r="AL834" t="str">
        <f t="shared" si="301"/>
        <v>Margen de seguridad: 12,9 puntos</v>
      </c>
      <c r="AM834">
        <f t="shared" si="302"/>
        <v>0.54</v>
      </c>
      <c r="AN834" t="str">
        <f t="shared" si="303"/>
        <v>PRIORIDAD MEDIA – seguimiento del asesor</v>
      </c>
      <c r="AO834">
        <f t="shared" si="304"/>
        <v>18.848527321642827</v>
      </c>
      <c r="AP834">
        <f t="shared" si="305"/>
        <v>1.3998225964227533</v>
      </c>
      <c r="AQ834">
        <f t="shared" si="306"/>
        <v>1.5000000000000568E-2</v>
      </c>
      <c r="AR834">
        <f t="shared" si="307"/>
        <v>3.5</v>
      </c>
      <c r="AS834">
        <f t="shared" si="308"/>
        <v>0</v>
      </c>
      <c r="AT834" t="str">
        <f t="shared" si="309"/>
        <v>VENTAS</v>
      </c>
      <c r="AU834">
        <f t="shared" si="310"/>
        <v>18.848527321642827</v>
      </c>
      <c r="AV834" t="str">
        <f t="shared" si="311"/>
        <v>Mayor retorno probable: VENTAS (+18,8 puntos finales potenciales).</v>
      </c>
    </row>
    <row r="835" spans="1:48" x14ac:dyDescent="0.3">
      <c r="A835" s="5">
        <v>51056604</v>
      </c>
      <c r="B835" s="5" t="str">
        <f>IFERROR(VLOOKUP(A835,VENTAS!$A$2:$B$1194,2,0),"")</f>
        <v>PUGH</v>
      </c>
      <c r="C835" s="5">
        <f>IFERROR(INDEX(VENTAS!$C$2:$E$1194,MATCH(A835,VENTAS!$A$2:$A$1194,0),MATCH(PARAMS_MODELO!$B$2,{"Q1","Q2","Q3"},0)),0)</f>
        <v>39450296.630000003</v>
      </c>
      <c r="D835" s="5">
        <f>IFERROR(INDEX(VENTAS!$F$2:$H$1194,MATCH(A835,VENTAS!$A$2:$A$1194,0),MATCH(PARAMS_MODELO!$B$2,{"Q1","Q2","Q3"},0)),0)</f>
        <v>41827964</v>
      </c>
      <c r="E835" s="8">
        <f t="shared" si="312"/>
        <v>6.0269949103295195E-2</v>
      </c>
      <c r="F835" s="12">
        <f>IF(E835&lt;=PARAMS_MODELO!$B$15,0,IF(E835&gt;=PARAMS_MODELO!$B$17,100,100*MIN(1,(E835-PARAMS_MODELO!$B$15)/(PARAMS_MODELO!$B$16-PARAMS_MODELO!$B$15))))*PARAMS_MODELO!$B$7</f>
        <v>21.094482186153318</v>
      </c>
      <c r="G835" s="5">
        <f t="shared" si="313"/>
        <v>2377667.3699999973</v>
      </c>
      <c r="H835" s="5">
        <f>(PARAMS_MODELO!$B$20*(MAX(0,MIN(3,E835))/3)+PARAMS_MODELO!$B$21*(IFERROR(LN(1+MAX(0,G835))/LN(1+MAX(0,MAX($G$2:$G$1194))),0)))*100*PARAMS_MODELO!$B$8</f>
        <v>3.6525240679904418</v>
      </c>
      <c r="I835" s="8">
        <f>E835-PARAMS_MODELO!$B$5</f>
        <v>-0.11729288627223133</v>
      </c>
      <c r="J835" s="5">
        <f>IF(I835&lt;=PARAMS_MODELO!$B$18,0,IF(I835&gt;=PARAMS_MODELO!$B$19,100,100*(I835-PARAMS_MODELO!$B$18)/(PARAMS_MODELO!$B$19-PARAMS_MODELO!$B$18)))*PARAMS_MODELO!$B$9</f>
        <v>0</v>
      </c>
      <c r="K835" s="5">
        <f>IFERROR(CHOOSE(MATCH(PARAMS_MODELO!$B$2,{"Q1","Q2","Q3"},0),LOTO!$D835,LOTO!$F835,LOTO!$H835),0)</f>
        <v>1900000</v>
      </c>
      <c r="L835" s="8">
        <f t="shared" si="314"/>
        <v>4.5424156910912519E-2</v>
      </c>
      <c r="M835" s="5">
        <f>MIN(100,IF(PARAMS_MODELO!$B$23=0,0,100*L835/PARAMS_MODELO!$B$23))*PARAMS_MODELO!$B$10</f>
        <v>13.627247073273754</v>
      </c>
      <c r="N835" s="5">
        <f>IFERROR(VLOOKUP(A835,COMPLIANCE!$A$2:$F$1996,6,0),100)</f>
        <v>100</v>
      </c>
      <c r="O835" s="5">
        <f>N835*PARAMS_MODELO!$B$11</f>
        <v>10</v>
      </c>
      <c r="P835" s="5">
        <f>IFERROR(VLOOKUP(A835,DIGITAL!$A$2:$J$2000,7,0),100)</f>
        <v>75</v>
      </c>
      <c r="Q835" s="5">
        <f>IFERROR(P835,0)*PARAMS_MODELO!$B$12</f>
        <v>7.5</v>
      </c>
      <c r="R835">
        <f t="shared" si="315"/>
        <v>55.874253327417513</v>
      </c>
      <c r="S835" s="5" t="str">
        <f>IFERROR(VLOOKUP(A835,CLIENTE!$A$2:$N$2000,13,0),1)</f>
        <v>Regular</v>
      </c>
      <c r="T835" s="5">
        <f>IFERROR(VLOOKUP(A835,CLIENTE!$A$2:$N$2000,14,0),1)</f>
        <v>1</v>
      </c>
      <c r="U835" s="5">
        <f t="shared" si="316"/>
        <v>55.874253327417513</v>
      </c>
      <c r="V835" s="5" t="str">
        <f>IF(U835&gt;=MAX(_xlfn.PERCENTILE.INC($U$2:$U$1194,PARAMS_MODELO!$B$50),PARAMS_MODELO!$B$45),"DIAMANTE",IF(U835&gt;=MAX(_xlfn.PERCENTILE.INC($U$2:$U$1194,PARAMS_MODELO!$B$51),PARAMS_MODELO!$B$46),"PLATINO",IF(U835&gt;=MAX(_xlfn.PERCENTILE.INC($U$2:$U$1194,PARAMS_MODELO!$B$52),PARAMS_MODELO!$B$47),"ORO",IF(U835&gt;=MAX(_xlfn.PERCENTILE.INC($U$2:$U$1194,PARAMS_MODELO!$B$53),PARAMS_MODELO!$B$48),"PLATA",IF(U835&gt;=1,"BRONCE","CERRADO")))))</f>
        <v>PLATA</v>
      </c>
      <c r="W835" s="5" t="str" cm="1">
        <f t="array" ref="W835">_xlfn.XLOOKUP(1, (HIST_SCORE!$B:$B=PARAMS_MODELO!$B$4) * (HIST_SCORE!$C:$C=A835), HIST_SCORE!$E:$E, "No encontrado")</f>
        <v>ORO</v>
      </c>
      <c r="X835" s="5" t="str">
        <f>_xlfn.LET(_xlpm.act,MATCH(V835,{"DIAMANTE";"PLATINO";"ORO";"PLATA";"BRONCE";"CERRADO"},0),_xlpm.ant,MATCH(W835,{"DIAMANTE";"PLATINO";"ORO";"PLATA";"BRONCE";"CERRADO"},0),IF(_xlpm.act&lt;_xlpm.ant,"Mejora ↑",IF(_xlpm.act&gt;_xlpm.ant,"Baja ↓","Estable →")))</f>
        <v>Baja ↓</v>
      </c>
      <c r="Y835" s="5">
        <f>IFERROR(U835-SUMIFS(HIST_SCORE!$D:$D,HIST_SCORE!$B:$B,PARAMS_MODELO!$B$4,HIST_SCORE!$C:$C,$A835),"")</f>
        <v>-23.713971837148158</v>
      </c>
      <c r="Z835" s="5" t="str">
        <f t="shared" si="317"/>
        <v>↓ Baja</v>
      </c>
      <c r="AA835" s="5">
        <f t="shared" si="318"/>
        <v>704</v>
      </c>
      <c r="AB835" s="5">
        <f>IFERROR(SUMIFS(HIST_SCORE!$F:$F,HIST_SCORE!$B:$B,PARAMS_MODELO!$B$4,HIST_SCORE!$C:$C,$A835),"")</f>
        <v>428</v>
      </c>
      <c r="AC835" s="5">
        <f t="shared" si="319"/>
        <v>-276</v>
      </c>
      <c r="AD835" t="str">
        <f t="shared" ref="AD835:AD898" si="321">IF(V835="CERRADO","Agencia sin actividad o cerrada",IF(AND(V835="BRONCE",Y835=""),"Primer corte: cargá histórico para medir movilidad",IF(AND(V835="BRONCE",Y835&lt;0),"Plan de recuperación: foco crecimiento + mix",IF(AND(V835="ORO",Y835&lt;0),"Sostener base y reforzar mix",""))))</f>
        <v/>
      </c>
      <c r="AE8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835="CERRADO",1,IF(V835="BRONCE",_xlpm.cPl,IF(V835="PLATA",_xlpm.cO,IF(V835="ORO",_xlpm.cP,IF(V835="PLATINO",_xlpm.cD,999))))))</f>
        <v>63.199193273331495</v>
      </c>
      <c r="AF8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835="CERRADO",0,IF(V835="BRONCE",1,IF(V835="PLATA",_xlpm.cPl,IF(V835="ORO",_xlpm.cO,IF(V835="PLATINO",_xlpm.cP,_xlpm.cD))))))</f>
        <v>24.506573482968111</v>
      </c>
      <c r="AG835">
        <f t="shared" ref="AG835:AG898" si="322">_xlfn.LET(_xlpm.corteU,AE835,_xlpm.coef,MAX(0.01,T835),_xlpm.reqR,_xlpm.corteU/_xlpm.coef,MAX(0,_xlpm.reqR-R835))</f>
        <v>7.3249399459139823</v>
      </c>
      <c r="AH835" t="str">
        <f t="shared" ref="AH835:AH898" si="323">_xlfn.LET(_xlpm.deltaR,AG835,_xlpm.ventas,F835+H835+J835,_xlpm.hv,(MAX($F$2:$F$1194)+MAX($H$2:$H$1194)+MAX($J$2:$J$1194))-_xlpm.ventas,_xlpm.hl,MAX($M$2:$M$1194)-M835,_xlpm.hc,MAX($O$2:$O$1194)-O835,_xlpm.hd,MAX($Q$2:$Q$1194)-Q835,_xlpm.impV,MIN(_xlpm.deltaR,MAX(0,_xlpm.hv)),_xlpm.impL,MIN(_xlpm.deltaR,MAX(0,_xlpm.hl)),_xlpm.impC,MIN(_xlpm.deltaR,MAX(0,_xlpm.hc)),_xlpm.impD,MIN(_xlpm.deltaR,MAX(0,_xlpm.hd)),_xlpm.t,T835,_xlpm.tObj,1,_xlpm.impCli,IF(_xlpm.t&lt;0.95,MIN(_xlpm.deltaR,R835*(_xlpm.tObj/_xlpm.t-1)),0),_xlpm.mx,MAX(_xlpm.impV,_xlpm.impL,_xlpm.impC,_xlpm.impD,_xlpm.impCli),IF(V835="DIAMANTE","SOSTENER",IF(V835="CERRADO","CERRADO",IF(_xlpm.mx=_xlpm.impCli,"CLIENTE",IF(_xlpm.mx=_xlpm.impV,"VENTAS",IF(_xlpm.mx=_xlpm.impL,"LOTO",IF(_xlpm.mx=_xlpm.impC,"COMPLIANCE","DIGITAL")))))))</f>
        <v>VENTAS</v>
      </c>
      <c r="AI835" t="str">
        <f t="shared" si="320"/>
        <v>🎯 Para subir de categoría, eje VENTAS / DIFERENCIAL vs LOTBA (J). Acción: metas semanales + activación comercial + seguimiento del asesor. ΔR aprox: 7,3</v>
      </c>
      <c r="AJ835" s="26">
        <f>_xlfn.LET(_xlpm.piso,AF835,_xlpm.corte,AE835,_xlpm.prog,IF(_xlpm.corte&lt;=_xlpm.piso,0,MAX(0,MIN(1,(U835-_xlpm.piso)/(_xlpm.corte-_xlpm.piso)))),_xlpm.orden,{"DIAMANTE";"PLATINO";"ORO";"PLATA";"BRONCE";"CERRADO"},_xlpm.act,IFERROR(MATCH(V835,_xlpm.orden,0),6),_xlpm.ant,IFERROR(MATCH(W835,_xlpm.orden,0),6),_xlpm.ajmov,IF(_xlpm.act&lt;_xlpm.ant,0.08,IF(_xlpm.act&gt;_xlpm.ant,-0.08,0)),_xlpm.ajcli,IF(T835&lt;0.95,-0.06,0),_xlpm.prob,MAX(0,MIN(1,_xlpm.prog+_xlpm.ajmov+_xlpm.ajcli)),IF(OR(V835="DIAMANTE",V835="CERRADO"),0,ROUND(_xlpm.prob,2)))</f>
        <v>0.73</v>
      </c>
      <c r="AK835" t="str">
        <f t="shared" ref="AK835:AK898" si="324">IF(OR(V835="DIAMANTE",V835="CERRADO"),"No aplica","Faltan " &amp; TEXT(AG835,"0,0") &amp; " puntos base para subir a la siguiente categoría")</f>
        <v>Faltan 7,3 puntos base para subir a la siguiente categoría</v>
      </c>
      <c r="AL835" t="str">
        <f t="shared" ref="AL835:AL898" si="325">_xlfn.LET(_xlpm.piso,AF835,_xlpm.dist,U835-_xlpm.piso,IF(OR(V835="BRONCE",V835="CERRADO"),"No aplica",IF(_xlpm.dist&lt;=0,"⚠ Riesgo de descenso","Margen de seguridad: " &amp; TEXT(_xlpm.dist,"0,0") &amp; " puntos")))</f>
        <v>Margen de seguridad: 31,4 puntos</v>
      </c>
      <c r="AM835">
        <f t="shared" ref="AM835:AM898" si="326">_xlfn.LET(_xlpm.prob,AJ835,_xlpm.dist,AG835,_xlpm.coef,T835,_xlpm.prior,(1-_xlpm.prob)*0.4+MIN(1,_xlpm.dist/10)*0.4+IF(_xlpm.coef&lt;0.95,0.2,0),ROUND(_xlpm.prior,2))</f>
        <v>0.4</v>
      </c>
      <c r="AN835" t="str">
        <f t="shared" ref="AN835:AN898" si="327">IF(AM835&gt;=0.7,"PRIORIDAD ALTA – requiere intervención inmediata",IF(AM835&gt;=0.4,"PRIORIDAD MEDIA – seguimiento del asesor","PRIORIDAD BAJA – control normal"))</f>
        <v>PRIORIDAD MEDIA – seguimiento del asesor</v>
      </c>
      <c r="AO835">
        <f t="shared" ref="AO835:AO898" si="328">MAX(0,((MAX($F$2:$F$1194)+MAX($H$2:$H$1194)+MAX($J$2:$J$1194))-(F835+H835+J835))*T835)</f>
        <v>40.115563021151829</v>
      </c>
      <c r="AP835">
        <f t="shared" ref="AP835:AP898" si="329">MAX(0,(MAX($M$2:$M$1194)-M835)*T835)</f>
        <v>1.3727529267262462</v>
      </c>
      <c r="AQ835">
        <f t="shared" ref="AQ835:AQ898" si="330">MAX(0,(MAX($O$2:$O$1194)-O835)*T835)</f>
        <v>0</v>
      </c>
      <c r="AR835">
        <f t="shared" ref="AR835:AR898" si="331">MAX(0,(MAX($Q$2:$Q$1194)-Q835)*T835)</f>
        <v>2.5</v>
      </c>
      <c r="AS835">
        <f t="shared" ref="AS835:AS898" si="332">MAX(0,R835*(1-T835))</f>
        <v>0</v>
      </c>
      <c r="AT835" t="str">
        <f t="shared" ref="AT835:AT898" si="333">_xlfn.LET(_xlpm.v,AO835,_xlpm.l,AP835,_xlpm.c,AQ835,_xlpm.d,AR835,_xlpm.cli,AS835,_xlpm.mx,MAX(_xlpm.v,_xlpm.l,_xlpm.c,_xlpm.d,_xlpm.cli),IF(_xlpm.mx=_xlpm.cli,"CLIENTE",IF(_xlpm.mx=_xlpm.v,"VENTAS",IF(_xlpm.mx=_xlpm.l,"LOTO",IF(_xlpm.mx=_xlpm.c,"COMPLIANCE","DIGITAL")))))</f>
        <v>VENTAS</v>
      </c>
      <c r="AU835">
        <f t="shared" ref="AU835:AU898" si="334">MAX(AO835,AP835,AQ835,AR835,AS835)</f>
        <v>40.115563021151829</v>
      </c>
      <c r="AV835" t="str">
        <f t="shared" ref="AV835:AV898" si="335">IF(V835="CERRADO","⛔ Sin impacto comercial estimable por estado CERRADO.","Mayor retorno probable: " &amp; AT835 &amp; " (+" &amp; TEXT(AU835,"0,0") &amp; " puntos finales potenciales).")</f>
        <v>Mayor retorno probable: VENTAS (+40,1 puntos finales potenciales).</v>
      </c>
    </row>
    <row r="836" spans="1:48" x14ac:dyDescent="0.3">
      <c r="A836" s="5">
        <v>51021789</v>
      </c>
      <c r="B836" s="5" t="str">
        <f>IFERROR(VLOOKUP(A836,VENTAS!$A$2:$B$1194,2,0),"")</f>
        <v>CICHETTO</v>
      </c>
      <c r="C836" s="5">
        <f>IFERROR(INDEX(VENTAS!$C$2:$E$1194,MATCH(A836,VENTAS!$A$2:$A$1194,0),MATCH(PARAMS_MODELO!$B$2,{"Q1","Q2","Q3"},0)),0)</f>
        <v>36690171.530000001</v>
      </c>
      <c r="D836" s="5">
        <f>IFERROR(INDEX(VENTAS!$F$2:$H$1194,MATCH(A836,VENTAS!$A$2:$A$1194,0),MATCH(PARAMS_MODELO!$B$2,{"Q1","Q2","Q3"},0)),0)</f>
        <v>41668011</v>
      </c>
      <c r="E836" s="8">
        <f t="shared" si="312"/>
        <v>0.13567228667573361</v>
      </c>
      <c r="F836" s="12">
        <f>IF(E836&lt;=PARAMS_MODELO!$B$15,0,IF(E836&gt;=PARAMS_MODELO!$B$17,100,100*MIN(1,(E836-PARAMS_MODELO!$B$15)/(PARAMS_MODELO!$B$16-PARAMS_MODELO!$B$15))))*PARAMS_MODELO!$B$7</f>
        <v>35</v>
      </c>
      <c r="G836" s="5">
        <f t="shared" si="313"/>
        <v>4977839.4699999988</v>
      </c>
      <c r="H836" s="5">
        <f>(PARAMS_MODELO!$B$20*(MAX(0,MIN(3,E836))/3)+PARAMS_MODELO!$B$21*(IFERROR(LN(1+MAX(0,G836))/LN(1+MAX(0,MAX($G$2:$G$1194))),0)))*100*PARAMS_MODELO!$B$8</f>
        <v>4.0896350581889065</v>
      </c>
      <c r="I836" s="8">
        <f>E836-PARAMS_MODELO!$B$5</f>
        <v>-4.1890548699792918E-2</v>
      </c>
      <c r="J836" s="5">
        <f>IF(I836&lt;=PARAMS_MODELO!$B$18,0,IF(I836&gt;=PARAMS_MODELO!$B$19,100,100*(I836-PARAMS_MODELO!$B$18)/(PARAMS_MODELO!$B$19-PARAMS_MODELO!$B$18)))*PARAMS_MODELO!$B$9</f>
        <v>1.2164176950310626</v>
      </c>
      <c r="K836" s="5">
        <f>IFERROR(CHOOSE(MATCH(PARAMS_MODELO!$B$2,{"Q1","Q2","Q3"},0),LOTO!$D836,LOTO!$F836,LOTO!$H836),0)</f>
        <v>1897500</v>
      </c>
      <c r="L836" s="8">
        <f t="shared" si="314"/>
        <v>4.5538530744844048E-2</v>
      </c>
      <c r="M836" s="5">
        <f>MIN(100,IF(PARAMS_MODELO!$B$23=0,0,100*L836/PARAMS_MODELO!$B$23))*PARAMS_MODELO!$B$10</f>
        <v>13.661559223453214</v>
      </c>
      <c r="N836" s="5">
        <f>IFERROR(VLOOKUP(A836,COMPLIANCE!$A$2:$F$1996,6,0),100)</f>
        <v>99.96</v>
      </c>
      <c r="O836" s="5">
        <f>N836*PARAMS_MODELO!$B$11</f>
        <v>9.9960000000000004</v>
      </c>
      <c r="P836" s="5">
        <f>IFERROR(VLOOKUP(A836,DIGITAL!$A$2:$J$2000,7,0),100)</f>
        <v>22</v>
      </c>
      <c r="Q836" s="5">
        <f>IFERROR(P836,0)*PARAMS_MODELO!$B$12</f>
        <v>2.2000000000000002</v>
      </c>
      <c r="R836">
        <f t="shared" si="315"/>
        <v>66.163611976673181</v>
      </c>
      <c r="S836" s="5" t="str">
        <f>IFERROR(VLOOKUP(A836,CLIENTE!$A$2:$N$2000,13,0),1)</f>
        <v>Bueno</v>
      </c>
      <c r="T836" s="5">
        <f>IFERROR(VLOOKUP(A836,CLIENTE!$A$2:$N$2000,14,0),1)</f>
        <v>1.1000000000000001</v>
      </c>
      <c r="U836" s="5">
        <f t="shared" si="316"/>
        <v>72.779973174340512</v>
      </c>
      <c r="V836" s="5" t="str">
        <f>IF(U836&gt;=MAX(_xlfn.PERCENTILE.INC($U$2:$U$1194,PARAMS_MODELO!$B$50),PARAMS_MODELO!$B$45),"DIAMANTE",IF(U836&gt;=MAX(_xlfn.PERCENTILE.INC($U$2:$U$1194,PARAMS_MODELO!$B$51),PARAMS_MODELO!$B$46),"PLATINO",IF(U836&gt;=MAX(_xlfn.PERCENTILE.INC($U$2:$U$1194,PARAMS_MODELO!$B$52),PARAMS_MODELO!$B$47),"ORO",IF(U836&gt;=MAX(_xlfn.PERCENTILE.INC($U$2:$U$1194,PARAMS_MODELO!$B$53),PARAMS_MODELO!$B$48),"PLATA",IF(U836&gt;=1,"BRONCE","CERRADO")))))</f>
        <v>ORO</v>
      </c>
      <c r="W836" s="5" t="str" cm="1">
        <f t="array" ref="W836">_xlfn.XLOOKUP(1, (HIST_SCORE!$B:$B=PARAMS_MODELO!$B$4) * (HIST_SCORE!$C:$C=A836), HIST_SCORE!$E:$E, "No encontrado")</f>
        <v>ORO</v>
      </c>
      <c r="X836" s="5" t="str">
        <f>_xlfn.LET(_xlpm.act,MATCH(V836,{"DIAMANTE";"PLATINO";"ORO";"PLATA";"BRONCE";"CERRADO"},0),_xlpm.ant,MATCH(W836,{"DIAMANTE";"PLATINO";"ORO";"PLATA";"BRONCE";"CERRADO"},0),IF(_xlpm.act&lt;_xlpm.ant,"Mejora ↑",IF(_xlpm.act&gt;_xlpm.ant,"Baja ↓","Estable →")))</f>
        <v>Estable →</v>
      </c>
      <c r="Y836" s="5">
        <f>IFERROR(U836-SUMIFS(HIST_SCORE!$D:$D,HIST_SCORE!$B:$B,PARAMS_MODELO!$B$4,HIST_SCORE!$C:$C,$A836),"")</f>
        <v>1.8273059510471796</v>
      </c>
      <c r="Z836" s="5" t="str">
        <f t="shared" si="317"/>
        <v>→ Estable</v>
      </c>
      <c r="AA836" s="5">
        <f t="shared" si="318"/>
        <v>492</v>
      </c>
      <c r="AB836" s="5">
        <f>IFERROR(SUMIFS(HIST_SCORE!$F:$F,HIST_SCORE!$B:$B,PARAMS_MODELO!$B$4,HIST_SCORE!$C:$C,$A836),"")</f>
        <v>532</v>
      </c>
      <c r="AC836" s="5">
        <f t="shared" si="319"/>
        <v>40</v>
      </c>
      <c r="AD836" t="str">
        <f t="shared" si="321"/>
        <v/>
      </c>
      <c r="AE8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836="CERRADO",1,IF(V836="BRONCE",_xlpm.cPl,IF(V836="PLATA",_xlpm.cO,IF(V836="ORO",_xlpm.cP,IF(V836="PLATINO",_xlpm.cD,999))))))</f>
        <v>86.439123873763251</v>
      </c>
      <c r="AF8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836="CERRADO",0,IF(V836="BRONCE",1,IF(V836="PLATA",_xlpm.cPl,IF(V836="ORO",_xlpm.cO,IF(V836="PLATINO",_xlpm.cP,_xlpm.cD))))))</f>
        <v>63.199193273331495</v>
      </c>
      <c r="AG836">
        <f t="shared" si="322"/>
        <v>12.417409726747948</v>
      </c>
      <c r="AH836" t="str">
        <f t="shared" si="323"/>
        <v>VENTAS</v>
      </c>
      <c r="AI836" t="str">
        <f t="shared" si="320"/>
        <v>🎯 Para subir de categoría, eje VENTAS / DIFERENCIAL vs LOTBA (J). Acción: metas semanales + activación comercial + seguimiento del asesor. ΔR aprox: 12,4</v>
      </c>
      <c r="AJ836" s="26">
        <f>_xlfn.LET(_xlpm.piso,AF836,_xlpm.corte,AE836,_xlpm.prog,IF(_xlpm.corte&lt;=_xlpm.piso,0,MAX(0,MIN(1,(U836-_xlpm.piso)/(_xlpm.corte-_xlpm.piso)))),_xlpm.orden,{"DIAMANTE";"PLATINO";"ORO";"PLATA";"BRONCE";"CERRADO"},_xlpm.act,IFERROR(MATCH(V836,_xlpm.orden,0),6),_xlpm.ant,IFERROR(MATCH(W836,_xlpm.orden,0),6),_xlpm.ajmov,IF(_xlpm.act&lt;_xlpm.ant,0.08,IF(_xlpm.act&gt;_xlpm.ant,-0.08,0)),_xlpm.ajcli,IF(T836&lt;0.95,-0.06,0),_xlpm.prob,MAX(0,MIN(1,_xlpm.prog+_xlpm.ajmov+_xlpm.ajcli)),IF(OR(V836="DIAMANTE",V836="CERRADO"),0,ROUND(_xlpm.prob,2)))</f>
        <v>0.41</v>
      </c>
      <c r="AK836" t="str">
        <f t="shared" si="324"/>
        <v>Faltan 12,4 puntos base para subir a la siguiente categoría</v>
      </c>
      <c r="AL836" t="str">
        <f t="shared" si="325"/>
        <v>Margen de seguridad: 9,6 puntos</v>
      </c>
      <c r="AM836">
        <f t="shared" si="326"/>
        <v>0.64</v>
      </c>
      <c r="AN836" t="str">
        <f t="shared" si="327"/>
        <v>PRIORIDAD MEDIA – seguimiento del asesor</v>
      </c>
      <c r="AO836">
        <f t="shared" si="328"/>
        <v>27.012168174283183</v>
      </c>
      <c r="AP836">
        <f t="shared" si="329"/>
        <v>1.472284854201465</v>
      </c>
      <c r="AQ836">
        <f t="shared" si="330"/>
        <v>4.3999999999995154E-3</v>
      </c>
      <c r="AR836">
        <f t="shared" si="331"/>
        <v>8.58</v>
      </c>
      <c r="AS836">
        <f t="shared" si="332"/>
        <v>0</v>
      </c>
      <c r="AT836" t="str">
        <f t="shared" si="333"/>
        <v>VENTAS</v>
      </c>
      <c r="AU836">
        <f t="shared" si="334"/>
        <v>27.012168174283183</v>
      </c>
      <c r="AV836" t="str">
        <f t="shared" si="335"/>
        <v>Mayor retorno probable: VENTAS (+27,0 puntos finales potenciales).</v>
      </c>
    </row>
    <row r="837" spans="1:48" x14ac:dyDescent="0.3">
      <c r="A837" s="5">
        <v>51056795</v>
      </c>
      <c r="B837" s="5" t="str">
        <f>IFERROR(VLOOKUP(A837,VENTAS!$A$2:$B$1194,2,0),"")</f>
        <v>LÓPEZ</v>
      </c>
      <c r="C837" s="5">
        <f>IFERROR(INDEX(VENTAS!$C$2:$E$1194,MATCH(A837,VENTAS!$A$2:$A$1194,0),MATCH(PARAMS_MODELO!$B$2,{"Q1","Q2","Q3"},0)),0)</f>
        <v>39429948.359999999</v>
      </c>
      <c r="D837" s="5">
        <f>IFERROR(INDEX(VENTAS!$F$2:$H$1194,MATCH(A837,VENTAS!$A$2:$A$1194,0),MATCH(PARAMS_MODELO!$B$2,{"Q1","Q2","Q3"},0)),0)</f>
        <v>41574428</v>
      </c>
      <c r="E837" s="8">
        <f t="shared" si="312"/>
        <v>5.4387077061847755E-2</v>
      </c>
      <c r="F837" s="12">
        <f>IF(E837&lt;=PARAMS_MODELO!$B$15,0,IF(E837&gt;=PARAMS_MODELO!$B$17,100,100*MIN(1,(E837-PARAMS_MODELO!$B$15)/(PARAMS_MODELO!$B$16-PARAMS_MODELO!$B$15))))*PARAMS_MODELO!$B$7</f>
        <v>19.035476971646712</v>
      </c>
      <c r="G837" s="5">
        <f t="shared" si="313"/>
        <v>2144479.6400000006</v>
      </c>
      <c r="H837" s="5">
        <f>(PARAMS_MODELO!$B$20*(MAX(0,MIN(3,E837))/3)+PARAMS_MODELO!$B$21*(IFERROR(LN(1+MAX(0,G837))/LN(1+MAX(0,MAX($G$2:$G$1194))),0)))*100*PARAMS_MODELO!$B$8</f>
        <v>3.6077371190924485</v>
      </c>
      <c r="I837" s="8">
        <f>E837-PARAMS_MODELO!$B$5</f>
        <v>-0.12317575831367877</v>
      </c>
      <c r="J837" s="5">
        <f>IF(I837&lt;=PARAMS_MODELO!$B$18,0,IF(I837&gt;=PARAMS_MODELO!$B$19,100,100*(I837-PARAMS_MODELO!$B$18)/(PARAMS_MODELO!$B$19-PARAMS_MODELO!$B$18)))*PARAMS_MODELO!$B$9</f>
        <v>0</v>
      </c>
      <c r="K837" s="5">
        <f>IFERROR(CHOOSE(MATCH(PARAMS_MODELO!$B$2,{"Q1","Q2","Q3"},0),LOTO!$D837,LOTO!$F837,LOTO!$H837),0)</f>
        <v>1892500</v>
      </c>
      <c r="L837" s="8">
        <f t="shared" si="314"/>
        <v>4.5520770604468692E-2</v>
      </c>
      <c r="M837" s="5">
        <f>MIN(100,IF(PARAMS_MODELO!$B$23=0,0,100*L837/PARAMS_MODELO!$B$23))*PARAMS_MODELO!$B$10</f>
        <v>13.656231181340608</v>
      </c>
      <c r="N837" s="5">
        <f>IFERROR(VLOOKUP(A837,COMPLIANCE!$A$2:$F$1996,6,0),100)</f>
        <v>100</v>
      </c>
      <c r="O837" s="5">
        <f>N837*PARAMS_MODELO!$B$11</f>
        <v>10</v>
      </c>
      <c r="P837" s="5">
        <f>IFERROR(VLOOKUP(A837,DIGITAL!$A$2:$J$2000,7,0),100)</f>
        <v>91</v>
      </c>
      <c r="Q837" s="5">
        <f>IFERROR(P837,0)*PARAMS_MODELO!$B$12</f>
        <v>9.1</v>
      </c>
      <c r="R837">
        <f t="shared" si="315"/>
        <v>55.399445272079767</v>
      </c>
      <c r="S837" s="5" t="str">
        <f>IFERROR(VLOOKUP(A837,CLIENTE!$A$2:$N$2000,13,0),1)</f>
        <v>Regular</v>
      </c>
      <c r="T837" s="5">
        <f>IFERROR(VLOOKUP(A837,CLIENTE!$A$2:$N$2000,14,0),1)</f>
        <v>1</v>
      </c>
      <c r="U837" s="5">
        <f t="shared" si="316"/>
        <v>55.399445272079767</v>
      </c>
      <c r="V837" s="5" t="str">
        <f>IF(U837&gt;=MAX(_xlfn.PERCENTILE.INC($U$2:$U$1194,PARAMS_MODELO!$B$50),PARAMS_MODELO!$B$45),"DIAMANTE",IF(U837&gt;=MAX(_xlfn.PERCENTILE.INC($U$2:$U$1194,PARAMS_MODELO!$B$51),PARAMS_MODELO!$B$46),"PLATINO",IF(U837&gt;=MAX(_xlfn.PERCENTILE.INC($U$2:$U$1194,PARAMS_MODELO!$B$52),PARAMS_MODELO!$B$47),"ORO",IF(U837&gt;=MAX(_xlfn.PERCENTILE.INC($U$2:$U$1194,PARAMS_MODELO!$B$53),PARAMS_MODELO!$B$48),"PLATA",IF(U837&gt;=1,"BRONCE","CERRADO")))))</f>
        <v>PLATA</v>
      </c>
      <c r="W837" s="5" t="str" cm="1">
        <f t="array" ref="W837">_xlfn.XLOOKUP(1, (HIST_SCORE!$B:$B=PARAMS_MODELO!$B$4) * (HIST_SCORE!$C:$C=A837), HIST_SCORE!$E:$E, "No encontrado")</f>
        <v>PLATA</v>
      </c>
      <c r="X837" s="5" t="str">
        <f>_xlfn.LET(_xlpm.act,MATCH(V837,{"DIAMANTE";"PLATINO";"ORO";"PLATA";"BRONCE";"CERRADO"},0),_xlpm.ant,MATCH(W837,{"DIAMANTE";"PLATINO";"ORO";"PLATA";"BRONCE";"CERRADO"},0),IF(_xlpm.act&lt;_xlpm.ant,"Mejora ↑",IF(_xlpm.act&gt;_xlpm.ant,"Baja ↓","Estable →")))</f>
        <v>Estable →</v>
      </c>
      <c r="Y837" s="5">
        <f>IFERROR(U837-SUMIFS(HIST_SCORE!$D:$D,HIST_SCORE!$B:$B,PARAMS_MODELO!$B$4,HIST_SCORE!$C:$C,$A837),"")</f>
        <v>-3.1617647780059954</v>
      </c>
      <c r="Z837" s="5" t="str">
        <f t="shared" si="317"/>
        <v>→ Estable</v>
      </c>
      <c r="AA837" s="5">
        <f t="shared" si="318"/>
        <v>710</v>
      </c>
      <c r="AB837" s="5">
        <f>IFERROR(SUMIFS(HIST_SCORE!$F:$F,HIST_SCORE!$B:$B,PARAMS_MODELO!$B$4,HIST_SCORE!$C:$C,$A837),"")</f>
        <v>672</v>
      </c>
      <c r="AC837" s="5">
        <f t="shared" si="319"/>
        <v>-38</v>
      </c>
      <c r="AD837" t="str">
        <f t="shared" si="321"/>
        <v/>
      </c>
      <c r="AE8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837="CERRADO",1,IF(V837="BRONCE",_xlpm.cPl,IF(V837="PLATA",_xlpm.cO,IF(V837="ORO",_xlpm.cP,IF(V837="PLATINO",_xlpm.cD,999))))))</f>
        <v>63.199193273331495</v>
      </c>
      <c r="AF8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837="CERRADO",0,IF(V837="BRONCE",1,IF(V837="PLATA",_xlpm.cPl,IF(V837="ORO",_xlpm.cO,IF(V837="PLATINO",_xlpm.cP,_xlpm.cD))))))</f>
        <v>24.506573482968111</v>
      </c>
      <c r="AG837">
        <f t="shared" si="322"/>
        <v>7.7997480012517286</v>
      </c>
      <c r="AH837" t="str">
        <f t="shared" si="323"/>
        <v>VENTAS</v>
      </c>
      <c r="AI837" t="str">
        <f t="shared" si="320"/>
        <v>🎯 Para subir de categoría, eje VENTAS / DIFERENCIAL vs LOTBA (J). Acción: metas semanales + activación comercial + seguimiento del asesor. ΔR aprox: 7,8</v>
      </c>
      <c r="AJ837" s="26">
        <f>_xlfn.LET(_xlpm.piso,AF837,_xlpm.corte,AE837,_xlpm.prog,IF(_xlpm.corte&lt;=_xlpm.piso,0,MAX(0,MIN(1,(U837-_xlpm.piso)/(_xlpm.corte-_xlpm.piso)))),_xlpm.orden,{"DIAMANTE";"PLATINO";"ORO";"PLATA";"BRONCE";"CERRADO"},_xlpm.act,IFERROR(MATCH(V837,_xlpm.orden,0),6),_xlpm.ant,IFERROR(MATCH(W837,_xlpm.orden,0),6),_xlpm.ajmov,IF(_xlpm.act&lt;_xlpm.ant,0.08,IF(_xlpm.act&gt;_xlpm.ant,-0.08,0)),_xlpm.ajcli,IF(T837&lt;0.95,-0.06,0),_xlpm.prob,MAX(0,MIN(1,_xlpm.prog+_xlpm.ajmov+_xlpm.ajcli)),IF(OR(V837="DIAMANTE",V837="CERRADO"),0,ROUND(_xlpm.prob,2)))</f>
        <v>0.8</v>
      </c>
      <c r="AK837" t="str">
        <f t="shared" si="324"/>
        <v>Faltan 7,8 puntos base para subir a la siguiente categoría</v>
      </c>
      <c r="AL837" t="str">
        <f t="shared" si="325"/>
        <v>Margen de seguridad: 30,9 puntos</v>
      </c>
      <c r="AM837">
        <f t="shared" si="326"/>
        <v>0.39</v>
      </c>
      <c r="AN837" t="str">
        <f t="shared" si="327"/>
        <v>PRIORIDAD BAJA – control normal</v>
      </c>
      <c r="AO837">
        <f t="shared" si="328"/>
        <v>42.21935518455642</v>
      </c>
      <c r="AP837">
        <f t="shared" si="329"/>
        <v>1.3437688186593917</v>
      </c>
      <c r="AQ837">
        <f t="shared" si="330"/>
        <v>0</v>
      </c>
      <c r="AR837">
        <f t="shared" si="331"/>
        <v>0.90000000000000036</v>
      </c>
      <c r="AS837">
        <f t="shared" si="332"/>
        <v>0</v>
      </c>
      <c r="AT837" t="str">
        <f t="shared" si="333"/>
        <v>VENTAS</v>
      </c>
      <c r="AU837">
        <f t="shared" si="334"/>
        <v>42.21935518455642</v>
      </c>
      <c r="AV837" t="str">
        <f t="shared" si="335"/>
        <v>Mayor retorno probable: VENTAS (+42,2 puntos finales potenciales).</v>
      </c>
    </row>
    <row r="838" spans="1:48" x14ac:dyDescent="0.3">
      <c r="A838" s="5">
        <v>51056931</v>
      </c>
      <c r="B838" s="5" t="str">
        <f>IFERROR(VLOOKUP(A838,VENTAS!$A$2:$B$1194,2,0),"")</f>
        <v>METTLER</v>
      </c>
      <c r="C838" s="5">
        <f>IFERROR(INDEX(VENTAS!$C$2:$E$1194,MATCH(A838,VENTAS!$A$2:$A$1194,0),MATCH(PARAMS_MODELO!$B$2,{"Q1","Q2","Q3"},0)),0)</f>
        <v>65570449.390000001</v>
      </c>
      <c r="D838" s="5">
        <f>IFERROR(INDEX(VENTAS!$F$2:$H$1194,MATCH(A838,VENTAS!$A$2:$A$1194,0),MATCH(PARAMS_MODELO!$B$2,{"Q1","Q2","Q3"},0)),0)</f>
        <v>41135284</v>
      </c>
      <c r="E838" s="8">
        <f t="shared" si="312"/>
        <v>-0.37265514598907956</v>
      </c>
      <c r="F838" s="12">
        <f>IF(E838&lt;=PARAMS_MODELO!$B$15,0,IF(E838&gt;=PARAMS_MODELO!$B$17,100,100*MIN(1,(E838-PARAMS_MODELO!$B$15)/(PARAMS_MODELO!$B$16-PARAMS_MODELO!$B$15))))*PARAMS_MODELO!$B$7</f>
        <v>0</v>
      </c>
      <c r="G838" s="5">
        <f t="shared" si="313"/>
        <v>0</v>
      </c>
      <c r="H838" s="5">
        <f>(PARAMS_MODELO!$B$20*(MAX(0,MIN(3,E838))/3)+PARAMS_MODELO!$B$21*(IFERROR(LN(1+MAX(0,G838))/LN(1+MAX(0,MAX($G$2:$G$1194))),0)))*100*PARAMS_MODELO!$B$8</f>
        <v>0</v>
      </c>
      <c r="I838" s="8">
        <f>E838-PARAMS_MODELO!$B$5</f>
        <v>-0.55021798136460609</v>
      </c>
      <c r="J838" s="5">
        <f>IF(I838&lt;=PARAMS_MODELO!$B$18,0,IF(I838&gt;=PARAMS_MODELO!$B$19,100,100*(I838-PARAMS_MODELO!$B$18)/(PARAMS_MODELO!$B$19-PARAMS_MODELO!$B$18)))*PARAMS_MODELO!$B$9</f>
        <v>0</v>
      </c>
      <c r="K838" s="5">
        <f>IFERROR(CHOOSE(MATCH(PARAMS_MODELO!$B$2,{"Q1","Q2","Q3"},0),LOTO!$D838,LOTO!$F838,LOTO!$H838),0)</f>
        <v>1890000</v>
      </c>
      <c r="L838" s="8">
        <f t="shared" si="314"/>
        <v>4.5945957246824889E-2</v>
      </c>
      <c r="M838" s="5">
        <f>MIN(100,IF(PARAMS_MODELO!$B$23=0,0,100*L838/PARAMS_MODELO!$B$23))*PARAMS_MODELO!$B$10</f>
        <v>13.783787174047466</v>
      </c>
      <c r="N838" s="5">
        <f>IFERROR(VLOOKUP(A838,COMPLIANCE!$A$2:$F$1996,6,0),100)</f>
        <v>100</v>
      </c>
      <c r="O838" s="5">
        <f>N838*PARAMS_MODELO!$B$11</f>
        <v>10</v>
      </c>
      <c r="P838" s="5">
        <f>IFERROR(VLOOKUP(A838,DIGITAL!$A$2:$J$2000,7,0),100)</f>
        <v>84</v>
      </c>
      <c r="Q838" s="5">
        <f>IFERROR(P838,0)*PARAMS_MODELO!$B$12</f>
        <v>8.4</v>
      </c>
      <c r="R838">
        <f t="shared" si="315"/>
        <v>32.183787174047467</v>
      </c>
      <c r="S838" s="5" t="str">
        <f>IFERROR(VLOOKUP(A838,CLIENTE!$A$2:$N$2000,13,0),1)</f>
        <v>Malo</v>
      </c>
      <c r="T838" s="5">
        <f>IFERROR(VLOOKUP(A838,CLIENTE!$A$2:$N$2000,14,0),1)</f>
        <v>0.7</v>
      </c>
      <c r="U838" s="5">
        <f t="shared" si="316"/>
        <v>22.528651021833227</v>
      </c>
      <c r="V838" s="5" t="str">
        <f>IF(U838&gt;=MAX(_xlfn.PERCENTILE.INC($U$2:$U$1194,PARAMS_MODELO!$B$50),PARAMS_MODELO!$B$45),"DIAMANTE",IF(U838&gt;=MAX(_xlfn.PERCENTILE.INC($U$2:$U$1194,PARAMS_MODELO!$B$51),PARAMS_MODELO!$B$46),"PLATINO",IF(U838&gt;=MAX(_xlfn.PERCENTILE.INC($U$2:$U$1194,PARAMS_MODELO!$B$52),PARAMS_MODELO!$B$47),"ORO",IF(U838&gt;=MAX(_xlfn.PERCENTILE.INC($U$2:$U$1194,PARAMS_MODELO!$B$53),PARAMS_MODELO!$B$48),"PLATA",IF(U838&gt;=1,"BRONCE","CERRADO")))))</f>
        <v>BRONCE</v>
      </c>
      <c r="W838" s="5" t="str" cm="1">
        <f t="array" ref="W838">_xlfn.XLOOKUP(1, (HIST_SCORE!$B:$B=PARAMS_MODELO!$B$4) * (HIST_SCORE!$C:$C=A838), HIST_SCORE!$E:$E, "No encontrado")</f>
        <v>PLATA</v>
      </c>
      <c r="X838" s="5" t="str">
        <f>_xlfn.LET(_xlpm.act,MATCH(V838,{"DIAMANTE";"PLATINO";"ORO";"PLATA";"BRONCE";"CERRADO"},0),_xlpm.ant,MATCH(W838,{"DIAMANTE";"PLATINO";"ORO";"PLATA";"BRONCE";"CERRADO"},0),IF(_xlpm.act&lt;_xlpm.ant,"Mejora ↑",IF(_xlpm.act&gt;_xlpm.ant,"Baja ↓","Estable →")))</f>
        <v>Baja ↓</v>
      </c>
      <c r="Y838" s="5">
        <f>IFERROR(U838-SUMIFS(HIST_SCORE!$D:$D,HIST_SCORE!$B:$B,PARAMS_MODELO!$B$4,HIST_SCORE!$C:$C,$A838),"")</f>
        <v>-23.033645179344788</v>
      </c>
      <c r="Z838" s="5" t="str">
        <f t="shared" si="317"/>
        <v>↓ Baja</v>
      </c>
      <c r="AA838" s="5">
        <f t="shared" si="318"/>
        <v>943</v>
      </c>
      <c r="AB838" s="5">
        <f>IFERROR(SUMIFS(HIST_SCORE!$F:$F,HIST_SCORE!$B:$B,PARAMS_MODELO!$B$4,HIST_SCORE!$C:$C,$A838),"")</f>
        <v>820</v>
      </c>
      <c r="AC838" s="5">
        <f t="shared" si="319"/>
        <v>-123</v>
      </c>
      <c r="AD838" t="str">
        <f t="shared" si="321"/>
        <v>Plan de recuperación: foco crecimiento + mix</v>
      </c>
      <c r="AE8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838="CERRADO",1,IF(V838="BRONCE",_xlpm.cPl,IF(V838="PLATA",_xlpm.cO,IF(V838="ORO",_xlpm.cP,IF(V838="PLATINO",_xlpm.cD,999))))))</f>
        <v>24.506573482968111</v>
      </c>
      <c r="AF8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838="CERRADO",0,IF(V838="BRONCE",1,IF(V838="PLATA",_xlpm.cPl,IF(V838="ORO",_xlpm.cO,IF(V838="PLATINO",_xlpm.cP,_xlpm.cD))))))</f>
        <v>1</v>
      </c>
      <c r="AG838">
        <f t="shared" si="322"/>
        <v>2.8256035159069768</v>
      </c>
      <c r="AH838" t="str">
        <f t="shared" si="323"/>
        <v>CLIENTE</v>
      </c>
      <c r="AI838" t="str">
        <f t="shared" si="320"/>
        <v>🎯 Para subir de categoría, la eje con mayor impacto probable es CLIENTE (coef T). Acción: reducir quejas, mejorar incógnito y empujar reseñas. ΔR aprox: 2,8</v>
      </c>
      <c r="AJ838" s="26">
        <f>_xlfn.LET(_xlpm.piso,AF838,_xlpm.corte,AE838,_xlpm.prog,IF(_xlpm.corte&lt;=_xlpm.piso,0,MAX(0,MIN(1,(U838-_xlpm.piso)/(_xlpm.corte-_xlpm.piso)))),_xlpm.orden,{"DIAMANTE";"PLATINO";"ORO";"PLATA";"BRONCE";"CERRADO"},_xlpm.act,IFERROR(MATCH(V838,_xlpm.orden,0),6),_xlpm.ant,IFERROR(MATCH(W838,_xlpm.orden,0),6),_xlpm.ajmov,IF(_xlpm.act&lt;_xlpm.ant,0.08,IF(_xlpm.act&gt;_xlpm.ant,-0.08,0)),_xlpm.ajcli,IF(T838&lt;0.95,-0.06,0),_xlpm.prob,MAX(0,MIN(1,_xlpm.prog+_xlpm.ajmov+_xlpm.ajcli)),IF(OR(V838="DIAMANTE",V838="CERRADO"),0,ROUND(_xlpm.prob,2)))</f>
        <v>0.78</v>
      </c>
      <c r="AK838" t="str">
        <f t="shared" si="324"/>
        <v>Faltan 2,8 puntos base para subir a la siguiente categoría</v>
      </c>
      <c r="AL838" t="str">
        <f t="shared" si="325"/>
        <v>No aplica</v>
      </c>
      <c r="AM838">
        <f t="shared" si="326"/>
        <v>0.4</v>
      </c>
      <c r="AN838" t="str">
        <f t="shared" si="327"/>
        <v>PRIORIDAD MEDIA – seguimiento del asesor</v>
      </c>
      <c r="AO838">
        <f t="shared" si="328"/>
        <v>45.403798492706905</v>
      </c>
      <c r="AP838">
        <f t="shared" si="329"/>
        <v>0.85134897816677346</v>
      </c>
      <c r="AQ838">
        <f t="shared" si="330"/>
        <v>0</v>
      </c>
      <c r="AR838">
        <f t="shared" si="331"/>
        <v>1.1199999999999997</v>
      </c>
      <c r="AS838">
        <f t="shared" si="332"/>
        <v>9.6551361522142418</v>
      </c>
      <c r="AT838" t="str">
        <f t="shared" si="333"/>
        <v>VENTAS</v>
      </c>
      <c r="AU838">
        <f t="shared" si="334"/>
        <v>45.403798492706905</v>
      </c>
      <c r="AV838" t="str">
        <f t="shared" si="335"/>
        <v>Mayor retorno probable: VENTAS (+45,4 puntos finales potenciales).</v>
      </c>
    </row>
    <row r="839" spans="1:48" x14ac:dyDescent="0.3">
      <c r="A839" s="5">
        <v>51014120</v>
      </c>
      <c r="B839" s="5" t="str">
        <f>IFERROR(VLOOKUP(A839,VENTAS!$A$2:$B$1194,2,0),"")</f>
        <v>METTLER</v>
      </c>
      <c r="C839" s="5">
        <f>IFERROR(INDEX(VENTAS!$C$2:$E$1194,MATCH(A839,VENTAS!$A$2:$A$1194,0),MATCH(PARAMS_MODELO!$B$2,{"Q1","Q2","Q3"},0)),0)</f>
        <v>35939814.299999997</v>
      </c>
      <c r="D839" s="5">
        <f>IFERROR(INDEX(VENTAS!$F$2:$H$1194,MATCH(A839,VENTAS!$A$2:$A$1194,0),MATCH(PARAMS_MODELO!$B$2,{"Q1","Q2","Q3"},0)),0)</f>
        <v>40824840</v>
      </c>
      <c r="E839" s="8">
        <f t="shared" si="312"/>
        <v>0.13592239679435414</v>
      </c>
      <c r="F839" s="12">
        <f>IF(E839&lt;=PARAMS_MODELO!$B$15,0,IF(E839&gt;=PARAMS_MODELO!$B$17,100,100*MIN(1,(E839-PARAMS_MODELO!$B$15)/(PARAMS_MODELO!$B$16-PARAMS_MODELO!$B$15))))*PARAMS_MODELO!$B$7</f>
        <v>35</v>
      </c>
      <c r="G839" s="5">
        <f t="shared" si="313"/>
        <v>4885025.700000003</v>
      </c>
      <c r="H839" s="5">
        <f>(PARAMS_MODELO!$B$20*(MAX(0,MIN(3,E839))/3)+PARAMS_MODELO!$B$21*(IFERROR(LN(1+MAX(0,G839))/LN(1+MAX(0,MAX($G$2:$G$1194))),0)))*100*PARAMS_MODELO!$B$8</f>
        <v>4.0860984434573826</v>
      </c>
      <c r="I839" s="8">
        <f>E839-PARAMS_MODELO!$B$5</f>
        <v>-4.164043858117239E-2</v>
      </c>
      <c r="J839" s="5">
        <f>IF(I839&lt;=PARAMS_MODELO!$B$18,0,IF(I839&gt;=PARAMS_MODELO!$B$19,100,100*(I839-PARAMS_MODELO!$B$18)/(PARAMS_MODELO!$B$19-PARAMS_MODELO!$B$18)))*PARAMS_MODELO!$B$9</f>
        <v>1.2539342128241417</v>
      </c>
      <c r="K839" s="5">
        <f>IFERROR(CHOOSE(MATCH(PARAMS_MODELO!$B$2,{"Q1","Q2","Q3"},0),LOTO!$D839,LOTO!$F839,LOTO!$H839),0)</f>
        <v>1885000</v>
      </c>
      <c r="L839" s="8">
        <f t="shared" si="314"/>
        <v>4.6172869262929135E-2</v>
      </c>
      <c r="M839" s="5">
        <f>MIN(100,IF(PARAMS_MODELO!$B$23=0,0,100*L839/PARAMS_MODELO!$B$23))*PARAMS_MODELO!$B$10</f>
        <v>13.85186077887874</v>
      </c>
      <c r="N839" s="5">
        <f>IFERROR(VLOOKUP(A839,COMPLIANCE!$A$2:$F$1996,6,0),100)</f>
        <v>100</v>
      </c>
      <c r="O839" s="5">
        <f>N839*PARAMS_MODELO!$B$11</f>
        <v>10</v>
      </c>
      <c r="P839" s="5">
        <f>IFERROR(VLOOKUP(A839,DIGITAL!$A$2:$J$2000,7,0),100)</f>
        <v>22</v>
      </c>
      <c r="Q839" s="5">
        <f>IFERROR(P839,0)*PARAMS_MODELO!$B$12</f>
        <v>2.2000000000000002</v>
      </c>
      <c r="R839">
        <f t="shared" si="315"/>
        <v>66.39189343516027</v>
      </c>
      <c r="S839" s="5" t="str">
        <f>IFERROR(VLOOKUP(A839,CLIENTE!$A$2:$N$2000,13,0),1)</f>
        <v>Regular</v>
      </c>
      <c r="T839" s="5">
        <f>IFERROR(VLOOKUP(A839,CLIENTE!$A$2:$N$2000,14,0),1)</f>
        <v>1</v>
      </c>
      <c r="U839" s="5">
        <f t="shared" si="316"/>
        <v>66.39189343516027</v>
      </c>
      <c r="V839" s="5" t="str">
        <f>IF(U839&gt;=MAX(_xlfn.PERCENTILE.INC($U$2:$U$1194,PARAMS_MODELO!$B$50),PARAMS_MODELO!$B$45),"DIAMANTE",IF(U839&gt;=MAX(_xlfn.PERCENTILE.INC($U$2:$U$1194,PARAMS_MODELO!$B$51),PARAMS_MODELO!$B$46),"PLATINO",IF(U839&gt;=MAX(_xlfn.PERCENTILE.INC($U$2:$U$1194,PARAMS_MODELO!$B$52),PARAMS_MODELO!$B$47),"ORO",IF(U839&gt;=MAX(_xlfn.PERCENTILE.INC($U$2:$U$1194,PARAMS_MODELO!$B$53),PARAMS_MODELO!$B$48),"PLATA",IF(U839&gt;=1,"BRONCE","CERRADO")))))</f>
        <v>ORO</v>
      </c>
      <c r="W839" s="5" t="str" cm="1">
        <f t="array" ref="W839">_xlfn.XLOOKUP(1, (HIST_SCORE!$B:$B=PARAMS_MODELO!$B$4) * (HIST_SCORE!$C:$C=A839), HIST_SCORE!$E:$E, "No encontrado")</f>
        <v>ORO</v>
      </c>
      <c r="X839" s="5" t="str">
        <f>_xlfn.LET(_xlpm.act,MATCH(V839,{"DIAMANTE";"PLATINO";"ORO";"PLATA";"BRONCE";"CERRADO"},0),_xlpm.ant,MATCH(W839,{"DIAMANTE";"PLATINO";"ORO";"PLATA";"BRONCE";"CERRADO"},0),IF(_xlpm.act&lt;_xlpm.ant,"Mejora ↑",IF(_xlpm.act&gt;_xlpm.ant,"Baja ↓","Estable →")))</f>
        <v>Estable →</v>
      </c>
      <c r="Y839" s="5">
        <f>IFERROR(U839-SUMIFS(HIST_SCORE!$D:$D,HIST_SCORE!$B:$B,PARAMS_MODELO!$B$4,HIST_SCORE!$C:$C,$A839),"")</f>
        <v>-12.205388833892826</v>
      </c>
      <c r="Z839" s="5" t="str">
        <f t="shared" si="317"/>
        <v>↓ Baja</v>
      </c>
      <c r="AA839" s="5">
        <f t="shared" si="318"/>
        <v>540</v>
      </c>
      <c r="AB839" s="5">
        <f>IFERROR(SUMIFS(HIST_SCORE!$F:$F,HIST_SCORE!$B:$B,PARAMS_MODELO!$B$4,HIST_SCORE!$C:$C,$A839),"")</f>
        <v>442</v>
      </c>
      <c r="AC839" s="5">
        <f t="shared" si="319"/>
        <v>-98</v>
      </c>
      <c r="AD839" t="str">
        <f t="shared" si="321"/>
        <v>Sostener base y reforzar mix</v>
      </c>
      <c r="AE8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839="CERRADO",1,IF(V839="BRONCE",_xlpm.cPl,IF(V839="PLATA",_xlpm.cO,IF(V839="ORO",_xlpm.cP,IF(V839="PLATINO",_xlpm.cD,999))))))</f>
        <v>86.439123873763251</v>
      </c>
      <c r="AF8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839="CERRADO",0,IF(V839="BRONCE",1,IF(V839="PLATA",_xlpm.cPl,IF(V839="ORO",_xlpm.cO,IF(V839="PLATINO",_xlpm.cP,_xlpm.cD))))))</f>
        <v>63.199193273331495</v>
      </c>
      <c r="AG839">
        <f t="shared" si="322"/>
        <v>20.04723043860298</v>
      </c>
      <c r="AH839" t="str">
        <f t="shared" si="323"/>
        <v>VENTAS</v>
      </c>
      <c r="AI839" t="str">
        <f t="shared" si="320"/>
        <v>🎯 Para subir de categoría, eje VENTAS / DIFERENCIAL vs LOTBA (J). Acción: metas semanales + activación comercial + seguimiento del asesor. ΔR aprox: 20,0</v>
      </c>
      <c r="AJ839" s="26">
        <f>_xlfn.LET(_xlpm.piso,AF839,_xlpm.corte,AE839,_xlpm.prog,IF(_xlpm.corte&lt;=_xlpm.piso,0,MAX(0,MIN(1,(U839-_xlpm.piso)/(_xlpm.corte-_xlpm.piso)))),_xlpm.orden,{"DIAMANTE";"PLATINO";"ORO";"PLATA";"BRONCE";"CERRADO"},_xlpm.act,IFERROR(MATCH(V839,_xlpm.orden,0),6),_xlpm.ant,IFERROR(MATCH(W839,_xlpm.orden,0),6),_xlpm.ajmov,IF(_xlpm.act&lt;_xlpm.ant,0.08,IF(_xlpm.act&gt;_xlpm.ant,-0.08,0)),_xlpm.ajcli,IF(T839&lt;0.95,-0.06,0),_xlpm.prob,MAX(0,MIN(1,_xlpm.prog+_xlpm.ajmov+_xlpm.ajcli)),IF(OR(V839="DIAMANTE",V839="CERRADO"),0,ROUND(_xlpm.prob,2)))</f>
        <v>0.14000000000000001</v>
      </c>
      <c r="AK839" t="str">
        <f t="shared" si="324"/>
        <v>Faltan 20,0 puntos base para subir a la siguiente categoría</v>
      </c>
      <c r="AL839" t="str">
        <f t="shared" si="325"/>
        <v>Margen de seguridad: 3,2 puntos</v>
      </c>
      <c r="AM839">
        <f t="shared" si="326"/>
        <v>0.74</v>
      </c>
      <c r="AN839" t="str">
        <f t="shared" si="327"/>
        <v>PRIORIDAD ALTA – requiere intervención inmediata</v>
      </c>
      <c r="AO839">
        <f t="shared" si="328"/>
        <v>24.522536619014062</v>
      </c>
      <c r="AP839">
        <f t="shared" si="329"/>
        <v>1.1481392211212604</v>
      </c>
      <c r="AQ839">
        <f t="shared" si="330"/>
        <v>0</v>
      </c>
      <c r="AR839">
        <f t="shared" si="331"/>
        <v>7.8</v>
      </c>
      <c r="AS839">
        <f t="shared" si="332"/>
        <v>0</v>
      </c>
      <c r="AT839" t="str">
        <f t="shared" si="333"/>
        <v>VENTAS</v>
      </c>
      <c r="AU839">
        <f t="shared" si="334"/>
        <v>24.522536619014062</v>
      </c>
      <c r="AV839" t="str">
        <f t="shared" si="335"/>
        <v>Mayor retorno probable: VENTAS (+24,5 puntos finales potenciales).</v>
      </c>
    </row>
    <row r="840" spans="1:48" x14ac:dyDescent="0.3">
      <c r="A840" s="5">
        <v>51036182</v>
      </c>
      <c r="B840" s="5" t="str">
        <f>IFERROR(VLOOKUP(A840,VENTAS!$A$2:$B$1194,2,0),"")</f>
        <v>PRADES</v>
      </c>
      <c r="C840" s="5">
        <f>IFERROR(INDEX(VENTAS!$C$2:$E$1194,MATCH(A840,VENTAS!$A$2:$A$1194,0),MATCH(PARAMS_MODELO!$B$2,{"Q1","Q2","Q3"},0)),0)</f>
        <v>38566354.640000001</v>
      </c>
      <c r="D840" s="5">
        <f>IFERROR(INDEX(VENTAS!$F$2:$H$1194,MATCH(A840,VENTAS!$A$2:$A$1194,0),MATCH(PARAMS_MODELO!$B$2,{"Q1","Q2","Q3"},0)),0)</f>
        <v>40779865</v>
      </c>
      <c r="E840" s="8">
        <f t="shared" si="312"/>
        <v>5.7394855714576698E-2</v>
      </c>
      <c r="F840" s="12">
        <f>IF(E840&lt;=PARAMS_MODELO!$B$15,0,IF(E840&gt;=PARAMS_MODELO!$B$17,100,100*MIN(1,(E840-PARAMS_MODELO!$B$15)/(PARAMS_MODELO!$B$16-PARAMS_MODELO!$B$15))))*PARAMS_MODELO!$B$7</f>
        <v>20.088199500101844</v>
      </c>
      <c r="G840" s="5">
        <f t="shared" si="313"/>
        <v>2213510.3599999994</v>
      </c>
      <c r="H840" s="5">
        <f>(PARAMS_MODELO!$B$20*(MAX(0,MIN(3,E840))/3)+PARAMS_MODELO!$B$21*(IFERROR(LN(1+MAX(0,G840))/LN(1+MAX(0,MAX($G$2:$G$1194))),0)))*100*PARAMS_MODELO!$B$8</f>
        <v>3.6256912134757013</v>
      </c>
      <c r="I840" s="8">
        <f>E840-PARAMS_MODELO!$B$5</f>
        <v>-0.12016797966094983</v>
      </c>
      <c r="J840" s="5">
        <f>IF(I840&lt;=PARAMS_MODELO!$B$18,0,IF(I840&gt;=PARAMS_MODELO!$B$19,100,100*(I840-PARAMS_MODELO!$B$18)/(PARAMS_MODELO!$B$19-PARAMS_MODELO!$B$18)))*PARAMS_MODELO!$B$9</f>
        <v>0</v>
      </c>
      <c r="K840" s="5">
        <f>IFERROR(CHOOSE(MATCH(PARAMS_MODELO!$B$2,{"Q1","Q2","Q3"},0),LOTO!$D840,LOTO!$F840,LOTO!$H840),0)</f>
        <v>1885000</v>
      </c>
      <c r="L840" s="8">
        <f t="shared" si="314"/>
        <v>4.6223792060125751E-2</v>
      </c>
      <c r="M840" s="5">
        <f>MIN(100,IF(PARAMS_MODELO!$B$23=0,0,100*L840/PARAMS_MODELO!$B$23))*PARAMS_MODELO!$B$10</f>
        <v>13.867137618037725</v>
      </c>
      <c r="N840" s="5">
        <f>IFERROR(VLOOKUP(A840,COMPLIANCE!$A$2:$F$1996,6,0),100)</f>
        <v>100</v>
      </c>
      <c r="O840" s="5">
        <f>N840*PARAMS_MODELO!$B$11</f>
        <v>10</v>
      </c>
      <c r="P840" s="5">
        <f>IFERROR(VLOOKUP(A840,DIGITAL!$A$2:$J$2000,7,0),100)</f>
        <v>26</v>
      </c>
      <c r="Q840" s="5">
        <f>IFERROR(P840,0)*PARAMS_MODELO!$B$12</f>
        <v>2.6</v>
      </c>
      <c r="R840">
        <f t="shared" si="315"/>
        <v>50.181028331615273</v>
      </c>
      <c r="S840" s="5" t="str">
        <f>IFERROR(VLOOKUP(A840,CLIENTE!$A$2:$N$2000,13,0),1)</f>
        <v>Bueno</v>
      </c>
      <c r="T840" s="5">
        <f>IFERROR(VLOOKUP(A840,CLIENTE!$A$2:$N$2000,14,0),1)</f>
        <v>1.1000000000000001</v>
      </c>
      <c r="U840" s="5">
        <f t="shared" si="316"/>
        <v>55.199131164776809</v>
      </c>
      <c r="V840" s="5" t="str">
        <f>IF(U840&gt;=MAX(_xlfn.PERCENTILE.INC($U$2:$U$1194,PARAMS_MODELO!$B$50),PARAMS_MODELO!$B$45),"DIAMANTE",IF(U840&gt;=MAX(_xlfn.PERCENTILE.INC($U$2:$U$1194,PARAMS_MODELO!$B$51),PARAMS_MODELO!$B$46),"PLATINO",IF(U840&gt;=MAX(_xlfn.PERCENTILE.INC($U$2:$U$1194,PARAMS_MODELO!$B$52),PARAMS_MODELO!$B$47),"ORO",IF(U840&gt;=MAX(_xlfn.PERCENTILE.INC($U$2:$U$1194,PARAMS_MODELO!$B$53),PARAMS_MODELO!$B$48),"PLATA",IF(U840&gt;=1,"BRONCE","CERRADO")))))</f>
        <v>PLATA</v>
      </c>
      <c r="W840" s="5" t="str" cm="1">
        <f t="array" ref="W840">_xlfn.XLOOKUP(1, (HIST_SCORE!$B:$B=PARAMS_MODELO!$B$4) * (HIST_SCORE!$C:$C=A840), HIST_SCORE!$E:$E, "No encontrado")</f>
        <v>ORO</v>
      </c>
      <c r="X840" s="5" t="str">
        <f>_xlfn.LET(_xlpm.act,MATCH(V840,{"DIAMANTE";"PLATINO";"ORO";"PLATA";"BRONCE";"CERRADO"},0),_xlpm.ant,MATCH(W840,{"DIAMANTE";"PLATINO";"ORO";"PLATA";"BRONCE";"CERRADO"},0),IF(_xlpm.act&lt;_xlpm.ant,"Mejora ↑",IF(_xlpm.act&gt;_xlpm.ant,"Baja ↓","Estable →")))</f>
        <v>Baja ↓</v>
      </c>
      <c r="Y840" s="5">
        <f>IFERROR(U840-SUMIFS(HIST_SCORE!$D:$D,HIST_SCORE!$B:$B,PARAMS_MODELO!$B$4,HIST_SCORE!$C:$C,$A840),"")</f>
        <v>-13.485973281684288</v>
      </c>
      <c r="Z840" s="5" t="str">
        <f t="shared" si="317"/>
        <v>↓ Baja</v>
      </c>
      <c r="AA840" s="5">
        <f t="shared" si="318"/>
        <v>713</v>
      </c>
      <c r="AB840" s="5">
        <f>IFERROR(SUMIFS(HIST_SCORE!$F:$F,HIST_SCORE!$B:$B,PARAMS_MODELO!$B$4,HIST_SCORE!$C:$C,$A840),"")</f>
        <v>552</v>
      </c>
      <c r="AC840" s="5">
        <f t="shared" si="319"/>
        <v>-161</v>
      </c>
      <c r="AD840" t="str">
        <f t="shared" si="321"/>
        <v/>
      </c>
      <c r="AE8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840="CERRADO",1,IF(V840="BRONCE",_xlpm.cPl,IF(V840="PLATA",_xlpm.cO,IF(V840="ORO",_xlpm.cP,IF(V840="PLATINO",_xlpm.cD,999))))))</f>
        <v>63.199193273331495</v>
      </c>
      <c r="AF8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840="CERRADO",0,IF(V840="BRONCE",1,IF(V840="PLATA",_xlpm.cPl,IF(V840="ORO",_xlpm.cO,IF(V840="PLATINO",_xlpm.cP,_xlpm.cD))))))</f>
        <v>24.506573482968111</v>
      </c>
      <c r="AG840">
        <f t="shared" si="322"/>
        <v>7.2727837350497211</v>
      </c>
      <c r="AH840" t="str">
        <f t="shared" si="323"/>
        <v>VENTAS</v>
      </c>
      <c r="AI840" t="str">
        <f t="shared" si="320"/>
        <v>🎯 Para subir de categoría, eje VENTAS / DIFERENCIAL vs LOTBA (J). Acción: metas semanales + activación comercial + seguimiento del asesor. ΔR aprox: 7,3</v>
      </c>
      <c r="AJ840" s="26">
        <f>_xlfn.LET(_xlpm.piso,AF840,_xlpm.corte,AE840,_xlpm.prog,IF(_xlpm.corte&lt;=_xlpm.piso,0,MAX(0,MIN(1,(U840-_xlpm.piso)/(_xlpm.corte-_xlpm.piso)))),_xlpm.orden,{"DIAMANTE";"PLATINO";"ORO";"PLATA";"BRONCE";"CERRADO"},_xlpm.act,IFERROR(MATCH(V840,_xlpm.orden,0),6),_xlpm.ant,IFERROR(MATCH(W840,_xlpm.orden,0),6),_xlpm.ajmov,IF(_xlpm.act&lt;_xlpm.ant,0.08,IF(_xlpm.act&gt;_xlpm.ant,-0.08,0)),_xlpm.ajcli,IF(T840&lt;0.95,-0.06,0),_xlpm.prob,MAX(0,MIN(1,_xlpm.prog+_xlpm.ajmov+_xlpm.ajcli)),IF(OR(V840="DIAMANTE",V840="CERRADO"),0,ROUND(_xlpm.prob,2)))</f>
        <v>0.71</v>
      </c>
      <c r="AK840" t="str">
        <f t="shared" si="324"/>
        <v>Faltan 7,3 puntos base para subir a la siguiente categoría</v>
      </c>
      <c r="AL840" t="str">
        <f t="shared" si="325"/>
        <v>Margen de seguridad: 30,7 puntos</v>
      </c>
      <c r="AM840">
        <f t="shared" si="326"/>
        <v>0.41</v>
      </c>
      <c r="AN840" t="str">
        <f t="shared" si="327"/>
        <v>PRIORIDAD MEDIA – seguimiento del asesor</v>
      </c>
      <c r="AO840">
        <f t="shared" si="328"/>
        <v>45.263546417889849</v>
      </c>
      <c r="AP840">
        <f t="shared" si="329"/>
        <v>1.2461486201585021</v>
      </c>
      <c r="AQ840">
        <f t="shared" si="330"/>
        <v>0</v>
      </c>
      <c r="AR840">
        <f t="shared" si="331"/>
        <v>8.14</v>
      </c>
      <c r="AS840">
        <f t="shared" si="332"/>
        <v>0</v>
      </c>
      <c r="AT840" t="str">
        <f t="shared" si="333"/>
        <v>VENTAS</v>
      </c>
      <c r="AU840">
        <f t="shared" si="334"/>
        <v>45.263546417889849</v>
      </c>
      <c r="AV840" t="str">
        <f t="shared" si="335"/>
        <v>Mayor retorno probable: VENTAS (+45,3 puntos finales potenciales).</v>
      </c>
    </row>
    <row r="841" spans="1:48" x14ac:dyDescent="0.3">
      <c r="A841" s="5">
        <v>51011465</v>
      </c>
      <c r="B841" s="5" t="str">
        <f>IFERROR(VLOOKUP(A841,VENTAS!$A$2:$B$1194,2,0),"")</f>
        <v>METTLER</v>
      </c>
      <c r="C841" s="5">
        <f>IFERROR(INDEX(VENTAS!$C$2:$E$1194,MATCH(A841,VENTAS!$A$2:$A$1194,0),MATCH(PARAMS_MODELO!$B$2,{"Q1","Q2","Q3"},0)),0)</f>
        <v>51143125.25</v>
      </c>
      <c r="D841" s="5">
        <f>IFERROR(INDEX(VENTAS!$F$2:$H$1194,MATCH(A841,VENTAS!$A$2:$A$1194,0),MATCH(PARAMS_MODELO!$B$2,{"Q1","Q2","Q3"},0)),0)</f>
        <v>40776419</v>
      </c>
      <c r="E841" s="8">
        <f t="shared" si="312"/>
        <v>-0.20269989757812068</v>
      </c>
      <c r="F841" s="12">
        <f>IF(E841&lt;=PARAMS_MODELO!$B$15,0,IF(E841&gt;=PARAMS_MODELO!$B$17,100,100*MIN(1,(E841-PARAMS_MODELO!$B$15)/(PARAMS_MODELO!$B$16-PARAMS_MODELO!$B$15))))*PARAMS_MODELO!$B$7</f>
        <v>0</v>
      </c>
      <c r="G841" s="5">
        <f t="shared" si="313"/>
        <v>0</v>
      </c>
      <c r="H841" s="5">
        <f>(PARAMS_MODELO!$B$20*(MAX(0,MIN(3,E841))/3)+PARAMS_MODELO!$B$21*(IFERROR(LN(1+MAX(0,G841))/LN(1+MAX(0,MAX($G$2:$G$1194))),0)))*100*PARAMS_MODELO!$B$8</f>
        <v>0</v>
      </c>
      <c r="I841" s="8">
        <f>E841-PARAMS_MODELO!$B$5</f>
        <v>-0.38026273295364721</v>
      </c>
      <c r="J841" s="5">
        <f>IF(I841&lt;=PARAMS_MODELO!$B$18,0,IF(I841&gt;=PARAMS_MODELO!$B$19,100,100*(I841-PARAMS_MODELO!$B$18)/(PARAMS_MODELO!$B$19-PARAMS_MODELO!$B$18)))*PARAMS_MODELO!$B$9</f>
        <v>0</v>
      </c>
      <c r="K841" s="5">
        <f>IFERROR(CHOOSE(MATCH(PARAMS_MODELO!$B$2,{"Q1","Q2","Q3"},0),LOTO!$D841,LOTO!$F841,LOTO!$H841),0)</f>
        <v>1882500</v>
      </c>
      <c r="L841" s="8">
        <f t="shared" si="314"/>
        <v>4.6166388470748256E-2</v>
      </c>
      <c r="M841" s="5">
        <f>MIN(100,IF(PARAMS_MODELO!$B$23=0,0,100*L841/PARAMS_MODELO!$B$23))*PARAMS_MODELO!$B$10</f>
        <v>13.849916541224475</v>
      </c>
      <c r="N841" s="5">
        <f>IFERROR(VLOOKUP(A841,COMPLIANCE!$A$2:$F$1996,6,0),100)</f>
        <v>100</v>
      </c>
      <c r="O841" s="5">
        <f>N841*PARAMS_MODELO!$B$11</f>
        <v>10</v>
      </c>
      <c r="P841" s="5">
        <f>IFERROR(VLOOKUP(A841,DIGITAL!$A$2:$J$2000,7,0),100)</f>
        <v>36</v>
      </c>
      <c r="Q841" s="5">
        <f>IFERROR(P841,0)*PARAMS_MODELO!$B$12</f>
        <v>3.6</v>
      </c>
      <c r="R841">
        <f t="shared" si="315"/>
        <v>27.449916541224475</v>
      </c>
      <c r="S841" s="5" t="str">
        <f>IFERROR(VLOOKUP(A841,CLIENTE!$A$2:$N$2000,13,0),1)</f>
        <v>Regular</v>
      </c>
      <c r="T841" s="5">
        <f>IFERROR(VLOOKUP(A841,CLIENTE!$A$2:$N$2000,14,0),1)</f>
        <v>1</v>
      </c>
      <c r="U841" s="5">
        <f t="shared" si="316"/>
        <v>27.449916541224475</v>
      </c>
      <c r="V841" s="5" t="str">
        <f>IF(U841&gt;=MAX(_xlfn.PERCENTILE.INC($U$2:$U$1194,PARAMS_MODELO!$B$50),PARAMS_MODELO!$B$45),"DIAMANTE",IF(U841&gt;=MAX(_xlfn.PERCENTILE.INC($U$2:$U$1194,PARAMS_MODELO!$B$51),PARAMS_MODELO!$B$46),"PLATINO",IF(U841&gt;=MAX(_xlfn.PERCENTILE.INC($U$2:$U$1194,PARAMS_MODELO!$B$52),PARAMS_MODELO!$B$47),"ORO",IF(U841&gt;=MAX(_xlfn.PERCENTILE.INC($U$2:$U$1194,PARAMS_MODELO!$B$53),PARAMS_MODELO!$B$48),"PLATA",IF(U841&gt;=1,"BRONCE","CERRADO")))))</f>
        <v>PLATA</v>
      </c>
      <c r="W841" s="5" t="str" cm="1">
        <f t="array" ref="W841">_xlfn.XLOOKUP(1, (HIST_SCORE!$B:$B=PARAMS_MODELO!$B$4) * (HIST_SCORE!$C:$C=A841), HIST_SCORE!$E:$E, "No encontrado")</f>
        <v>ORO</v>
      </c>
      <c r="X841" s="5" t="str">
        <f>_xlfn.LET(_xlpm.act,MATCH(V841,{"DIAMANTE";"PLATINO";"ORO";"PLATA";"BRONCE";"CERRADO"},0),_xlpm.ant,MATCH(W841,{"DIAMANTE";"PLATINO";"ORO";"PLATA";"BRONCE";"CERRADO"},0),IF(_xlpm.act&lt;_xlpm.ant,"Mejora ↑",IF(_xlpm.act&gt;_xlpm.ant,"Baja ↓","Estable →")))</f>
        <v>Baja ↓</v>
      </c>
      <c r="Y841" s="5">
        <f>IFERROR(U841-SUMIFS(HIST_SCORE!$D:$D,HIST_SCORE!$B:$B,PARAMS_MODELO!$B$4,HIST_SCORE!$C:$C,$A841),"")</f>
        <v>-37.534825587109559</v>
      </c>
      <c r="Z841" s="5" t="str">
        <f t="shared" si="317"/>
        <v>↓ Baja</v>
      </c>
      <c r="AA841" s="5">
        <f t="shared" si="318"/>
        <v>894</v>
      </c>
      <c r="AB841" s="5">
        <f>IFERROR(SUMIFS(HIST_SCORE!$F:$F,HIST_SCORE!$B:$B,PARAMS_MODELO!$B$4,HIST_SCORE!$C:$C,$A841),"")</f>
        <v>573</v>
      </c>
      <c r="AC841" s="5">
        <f t="shared" si="319"/>
        <v>-321</v>
      </c>
      <c r="AD841" t="str">
        <f t="shared" si="321"/>
        <v/>
      </c>
      <c r="AE8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841="CERRADO",1,IF(V841="BRONCE",_xlpm.cPl,IF(V841="PLATA",_xlpm.cO,IF(V841="ORO",_xlpm.cP,IF(V841="PLATINO",_xlpm.cD,999))))))</f>
        <v>63.199193273331495</v>
      </c>
      <c r="AF8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841="CERRADO",0,IF(V841="BRONCE",1,IF(V841="PLATA",_xlpm.cPl,IF(V841="ORO",_xlpm.cO,IF(V841="PLATINO",_xlpm.cP,_xlpm.cD))))))</f>
        <v>24.506573482968111</v>
      </c>
      <c r="AG841">
        <f t="shared" si="322"/>
        <v>35.74927673210702</v>
      </c>
      <c r="AH841" t="str">
        <f t="shared" si="323"/>
        <v>VENTAS</v>
      </c>
      <c r="AI841" t="str">
        <f t="shared" si="320"/>
        <v>🎯 Para subir de categoría, eje VENTAS / CRECIMIENTO PERSONAL (F). Acción: metas semanales + activación comercial + seguimiento del asesor. ΔR aprox: 35,7</v>
      </c>
      <c r="AJ841" s="26">
        <f>_xlfn.LET(_xlpm.piso,AF841,_xlpm.corte,AE841,_xlpm.prog,IF(_xlpm.corte&lt;=_xlpm.piso,0,MAX(0,MIN(1,(U841-_xlpm.piso)/(_xlpm.corte-_xlpm.piso)))),_xlpm.orden,{"DIAMANTE";"PLATINO";"ORO";"PLATA";"BRONCE";"CERRADO"},_xlpm.act,IFERROR(MATCH(V841,_xlpm.orden,0),6),_xlpm.ant,IFERROR(MATCH(W841,_xlpm.orden,0),6),_xlpm.ajmov,IF(_xlpm.act&lt;_xlpm.ant,0.08,IF(_xlpm.act&gt;_xlpm.ant,-0.08,0)),_xlpm.ajcli,IF(T841&lt;0.95,-0.06,0),_xlpm.prob,MAX(0,MIN(1,_xlpm.prog+_xlpm.ajmov+_xlpm.ajcli)),IF(OR(V841="DIAMANTE",V841="CERRADO"),0,ROUND(_xlpm.prob,2)))</f>
        <v>0</v>
      </c>
      <c r="AK841" t="str">
        <f t="shared" si="324"/>
        <v>Faltan 35,7 puntos base para subir a la siguiente categoría</v>
      </c>
      <c r="AL841" t="str">
        <f t="shared" si="325"/>
        <v>Margen de seguridad: 2,9 puntos</v>
      </c>
      <c r="AM841">
        <f t="shared" si="326"/>
        <v>0.8</v>
      </c>
      <c r="AN841" t="str">
        <f t="shared" si="327"/>
        <v>PRIORIDAD ALTA – requiere intervención inmediata</v>
      </c>
      <c r="AO841">
        <f t="shared" si="328"/>
        <v>64.862569275295584</v>
      </c>
      <c r="AP841">
        <f t="shared" si="329"/>
        <v>1.1500834587755246</v>
      </c>
      <c r="AQ841">
        <f t="shared" si="330"/>
        <v>0</v>
      </c>
      <c r="AR841">
        <f t="shared" si="331"/>
        <v>6.4</v>
      </c>
      <c r="AS841">
        <f t="shared" si="332"/>
        <v>0</v>
      </c>
      <c r="AT841" t="str">
        <f t="shared" si="333"/>
        <v>VENTAS</v>
      </c>
      <c r="AU841">
        <f t="shared" si="334"/>
        <v>64.862569275295584</v>
      </c>
      <c r="AV841" t="str">
        <f t="shared" si="335"/>
        <v>Mayor retorno probable: VENTAS (+64,9 puntos finales potenciales).</v>
      </c>
    </row>
    <row r="842" spans="1:48" x14ac:dyDescent="0.3">
      <c r="A842" s="5">
        <v>51006151</v>
      </c>
      <c r="B842" s="5" t="str">
        <f>IFERROR(VLOOKUP(A842,VENTAS!$A$2:$B$1194,2,0),"")</f>
        <v>PUGH</v>
      </c>
      <c r="C842" s="5">
        <f>IFERROR(INDEX(VENTAS!$C$2:$E$1194,MATCH(A842,VENTAS!$A$2:$A$1194,0),MATCH(PARAMS_MODELO!$B$2,{"Q1","Q2","Q3"},0)),0)</f>
        <v>34910945.310000002</v>
      </c>
      <c r="D842" s="5">
        <f>IFERROR(INDEX(VENTAS!$F$2:$H$1194,MATCH(A842,VENTAS!$A$2:$A$1194,0),MATCH(PARAMS_MODELO!$B$2,{"Q1","Q2","Q3"},0)),0)</f>
        <v>40764981</v>
      </c>
      <c r="E842" s="8">
        <f t="shared" si="312"/>
        <v>0.16768482314121558</v>
      </c>
      <c r="F842" s="12">
        <f>IF(E842&lt;=PARAMS_MODELO!$B$15,0,IF(E842&gt;=PARAMS_MODELO!$B$17,100,100*MIN(1,(E842-PARAMS_MODELO!$B$15)/(PARAMS_MODELO!$B$16-PARAMS_MODELO!$B$15))))*PARAMS_MODELO!$B$7</f>
        <v>35</v>
      </c>
      <c r="G842" s="5">
        <f t="shared" si="313"/>
        <v>5854035.6899999976</v>
      </c>
      <c r="H842" s="5">
        <f>(PARAMS_MODELO!$B$20*(MAX(0,MIN(3,E842))/3)+PARAMS_MODELO!$B$21*(IFERROR(LN(1+MAX(0,G842))/LN(1+MAX(0,MAX($G$2:$G$1194))),0)))*100*PARAMS_MODELO!$B$8</f>
        <v>4.2396857135033281</v>
      </c>
      <c r="I842" s="8">
        <f>E842-PARAMS_MODELO!$B$5</f>
        <v>-9.8780122343109511E-3</v>
      </c>
      <c r="J842" s="5">
        <f>IF(I842&lt;=PARAMS_MODELO!$B$18,0,IF(I842&gt;=PARAMS_MODELO!$B$19,100,100*(I842-PARAMS_MODELO!$B$18)/(PARAMS_MODELO!$B$19-PARAMS_MODELO!$B$18)))*PARAMS_MODELO!$B$9</f>
        <v>6.0182981648533573</v>
      </c>
      <c r="K842" s="5">
        <f>IFERROR(CHOOSE(MATCH(PARAMS_MODELO!$B$2,{"Q1","Q2","Q3"},0),LOTO!$D842,LOTO!$F842,LOTO!$H842),0)</f>
        <v>1877500</v>
      </c>
      <c r="L842" s="8">
        <f t="shared" si="314"/>
        <v>4.6056687724201316E-2</v>
      </c>
      <c r="M842" s="5">
        <f>MIN(100,IF(PARAMS_MODELO!$B$23=0,0,100*L842/PARAMS_MODELO!$B$23))*PARAMS_MODELO!$B$10</f>
        <v>13.817006317260395</v>
      </c>
      <c r="N842" s="5">
        <f>IFERROR(VLOOKUP(A842,COMPLIANCE!$A$2:$F$1996,6,0),100)</f>
        <v>99.98</v>
      </c>
      <c r="O842" s="5">
        <f>N842*PARAMS_MODELO!$B$11</f>
        <v>9.9980000000000011</v>
      </c>
      <c r="P842" s="5">
        <f>IFERROR(VLOOKUP(A842,DIGITAL!$A$2:$J$2000,7,0),100)</f>
        <v>29</v>
      </c>
      <c r="Q842" s="5">
        <f>IFERROR(P842,0)*PARAMS_MODELO!$B$12</f>
        <v>2.9000000000000004</v>
      </c>
      <c r="R842">
        <f t="shared" si="315"/>
        <v>71.972990195617086</v>
      </c>
      <c r="S842" s="5" t="str">
        <f>IFERROR(VLOOKUP(A842,CLIENTE!$A$2:$N$2000,13,0),1)</f>
        <v>Regular</v>
      </c>
      <c r="T842" s="5">
        <f>IFERROR(VLOOKUP(A842,CLIENTE!$A$2:$N$2000,14,0),1)</f>
        <v>1</v>
      </c>
      <c r="U842" s="5">
        <f t="shared" si="316"/>
        <v>71.972990195617086</v>
      </c>
      <c r="V842" s="5" t="str">
        <f>IF(U842&gt;=MAX(_xlfn.PERCENTILE.INC($U$2:$U$1194,PARAMS_MODELO!$B$50),PARAMS_MODELO!$B$45),"DIAMANTE",IF(U842&gt;=MAX(_xlfn.PERCENTILE.INC($U$2:$U$1194,PARAMS_MODELO!$B$51),PARAMS_MODELO!$B$46),"PLATINO",IF(U842&gt;=MAX(_xlfn.PERCENTILE.INC($U$2:$U$1194,PARAMS_MODELO!$B$52),PARAMS_MODELO!$B$47),"ORO",IF(U842&gt;=MAX(_xlfn.PERCENTILE.INC($U$2:$U$1194,PARAMS_MODELO!$B$53),PARAMS_MODELO!$B$48),"PLATA",IF(U842&gt;=1,"BRONCE","CERRADO")))))</f>
        <v>ORO</v>
      </c>
      <c r="W842" s="5" t="str" cm="1">
        <f t="array" ref="W842">_xlfn.XLOOKUP(1, (HIST_SCORE!$B:$B=PARAMS_MODELO!$B$4) * (HIST_SCORE!$C:$C=A842), HIST_SCORE!$E:$E, "No encontrado")</f>
        <v>PLATA</v>
      </c>
      <c r="X842" s="5" t="str">
        <f>_xlfn.LET(_xlpm.act,MATCH(V842,{"DIAMANTE";"PLATINO";"ORO";"PLATA";"BRONCE";"CERRADO"},0),_xlpm.ant,MATCH(W842,{"DIAMANTE";"PLATINO";"ORO";"PLATA";"BRONCE";"CERRADO"},0),IF(_xlpm.act&lt;_xlpm.ant,"Mejora ↑",IF(_xlpm.act&gt;_xlpm.ant,"Baja ↓","Estable →")))</f>
        <v>Mejora ↑</v>
      </c>
      <c r="Y842" s="5">
        <f>IFERROR(U842-SUMIFS(HIST_SCORE!$D:$D,HIST_SCORE!$B:$B,PARAMS_MODELO!$B$4,HIST_SCORE!$C:$C,$A842),"")</f>
        <v>9.6596684719873522</v>
      </c>
      <c r="Z842" s="5" t="str">
        <f t="shared" si="317"/>
        <v>↑ Mejora</v>
      </c>
      <c r="AA842" s="5">
        <f t="shared" si="318"/>
        <v>498</v>
      </c>
      <c r="AB842" s="5">
        <f>IFERROR(SUMIFS(HIST_SCORE!$F:$F,HIST_SCORE!$B:$B,PARAMS_MODELO!$B$4,HIST_SCORE!$C:$C,$A842),"")</f>
        <v>605</v>
      </c>
      <c r="AC842" s="5">
        <f t="shared" si="319"/>
        <v>107</v>
      </c>
      <c r="AD842" t="str">
        <f t="shared" si="321"/>
        <v/>
      </c>
      <c r="AE8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842="CERRADO",1,IF(V842="BRONCE",_xlpm.cPl,IF(V842="PLATA",_xlpm.cO,IF(V842="ORO",_xlpm.cP,IF(V842="PLATINO",_xlpm.cD,999))))))</f>
        <v>86.439123873763251</v>
      </c>
      <c r="AF8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842="CERRADO",0,IF(V842="BRONCE",1,IF(V842="PLATA",_xlpm.cPl,IF(V842="ORO",_xlpm.cO,IF(V842="PLATINO",_xlpm.cP,_xlpm.cD))))))</f>
        <v>63.199193273331495</v>
      </c>
      <c r="AG842">
        <f t="shared" si="322"/>
        <v>14.466133678146164</v>
      </c>
      <c r="AH842" t="str">
        <f t="shared" si="323"/>
        <v>VENTAS</v>
      </c>
      <c r="AI842" t="str">
        <f t="shared" si="320"/>
        <v>🎯 Para subir de categoría, eje VENTAS / IMPACTO ABSOLUTO (H). Acción: metas semanales + activación comercial + seguimiento del asesor. ΔR aprox: 14,5</v>
      </c>
      <c r="AJ842" s="26">
        <f>_xlfn.LET(_xlpm.piso,AF842,_xlpm.corte,AE842,_xlpm.prog,IF(_xlpm.corte&lt;=_xlpm.piso,0,MAX(0,MIN(1,(U842-_xlpm.piso)/(_xlpm.corte-_xlpm.piso)))),_xlpm.orden,{"DIAMANTE";"PLATINO";"ORO";"PLATA";"BRONCE";"CERRADO"},_xlpm.act,IFERROR(MATCH(V842,_xlpm.orden,0),6),_xlpm.ant,IFERROR(MATCH(W842,_xlpm.orden,0),6),_xlpm.ajmov,IF(_xlpm.act&lt;_xlpm.ant,0.08,IF(_xlpm.act&gt;_xlpm.ant,-0.08,0)),_xlpm.ajcli,IF(T842&lt;0.95,-0.06,0),_xlpm.prob,MAX(0,MIN(1,_xlpm.prog+_xlpm.ajmov+_xlpm.ajcli)),IF(OR(V842="DIAMANTE",V842="CERRADO"),0,ROUND(_xlpm.prob,2)))</f>
        <v>0.46</v>
      </c>
      <c r="AK842" t="str">
        <f t="shared" si="324"/>
        <v>Faltan 14,5 puntos base para subir a la siguiente categoría</v>
      </c>
      <c r="AL842" t="str">
        <f t="shared" si="325"/>
        <v>Margen de seguridad: 8,8 puntos</v>
      </c>
      <c r="AM842">
        <f t="shared" si="326"/>
        <v>0.62</v>
      </c>
      <c r="AN842" t="str">
        <f t="shared" si="327"/>
        <v>PRIORIDAD MEDIA – seguimiento del asesor</v>
      </c>
      <c r="AO842">
        <f t="shared" si="328"/>
        <v>19.604585396938901</v>
      </c>
      <c r="AP842">
        <f t="shared" si="329"/>
        <v>1.182993682739605</v>
      </c>
      <c r="AQ842">
        <f t="shared" si="330"/>
        <v>1.9999999999988916E-3</v>
      </c>
      <c r="AR842">
        <f t="shared" si="331"/>
        <v>7.1</v>
      </c>
      <c r="AS842">
        <f t="shared" si="332"/>
        <v>0</v>
      </c>
      <c r="AT842" t="str">
        <f t="shared" si="333"/>
        <v>VENTAS</v>
      </c>
      <c r="AU842">
        <f t="shared" si="334"/>
        <v>19.604585396938901</v>
      </c>
      <c r="AV842" t="str">
        <f t="shared" si="335"/>
        <v>Mayor retorno probable: VENTAS (+19,6 puntos finales potenciales).</v>
      </c>
    </row>
    <row r="843" spans="1:48" x14ac:dyDescent="0.3">
      <c r="A843" s="5">
        <v>51033418</v>
      </c>
      <c r="B843" s="5" t="str">
        <f>IFERROR(VLOOKUP(A843,VENTAS!$A$2:$B$1194,2,0),"")</f>
        <v>PRADES</v>
      </c>
      <c r="C843" s="5">
        <f>IFERROR(INDEX(VENTAS!$C$2:$E$1194,MATCH(A843,VENTAS!$A$2:$A$1194,0),MATCH(PARAMS_MODELO!$B$2,{"Q1","Q2","Q3"},0)),0)</f>
        <v>39911642.619999997</v>
      </c>
      <c r="D843" s="5">
        <f>IFERROR(INDEX(VENTAS!$F$2:$H$1194,MATCH(A843,VENTAS!$A$2:$A$1194,0),MATCH(PARAMS_MODELO!$B$2,{"Q1","Q2","Q3"},0)),0)</f>
        <v>40615447</v>
      </c>
      <c r="E843" s="8">
        <f t="shared" si="312"/>
        <v>1.7634061987900296E-2</v>
      </c>
      <c r="F843" s="12">
        <f>IF(E843&lt;=PARAMS_MODELO!$B$15,0,IF(E843&gt;=PARAMS_MODELO!$B$17,100,100*MIN(1,(E843-PARAMS_MODELO!$B$15)/(PARAMS_MODELO!$B$16-PARAMS_MODELO!$B$15))))*PARAMS_MODELO!$B$7</f>
        <v>6.1719216957651035</v>
      </c>
      <c r="G843" s="5">
        <f t="shared" si="313"/>
        <v>703804.38000000268</v>
      </c>
      <c r="H843" s="5">
        <f>(PARAMS_MODELO!$B$20*(MAX(0,MIN(3,E843))/3)+PARAMS_MODELO!$B$21*(IFERROR(LN(1+MAX(0,G843))/LN(1+MAX(0,MAX($G$2:$G$1194))),0)))*100*PARAMS_MODELO!$B$8</f>
        <v>3.2179290628323121</v>
      </c>
      <c r="I843" s="8">
        <f>E843-PARAMS_MODELO!$B$5</f>
        <v>-0.15992877338762623</v>
      </c>
      <c r="J843" s="5">
        <f>IF(I843&lt;=PARAMS_MODELO!$B$18,0,IF(I843&gt;=PARAMS_MODELO!$B$19,100,100*(I843-PARAMS_MODELO!$B$18)/(PARAMS_MODELO!$B$19-PARAMS_MODELO!$B$18)))*PARAMS_MODELO!$B$9</f>
        <v>0</v>
      </c>
      <c r="K843" s="5">
        <f>IFERROR(CHOOSE(MATCH(PARAMS_MODELO!$B$2,{"Q1","Q2","Q3"},0),LOTO!$D843,LOTO!$F843,LOTO!$H843),0)</f>
        <v>1875000</v>
      </c>
      <c r="L843" s="8">
        <f t="shared" si="314"/>
        <v>4.6164701818990198E-2</v>
      </c>
      <c r="M843" s="5">
        <f>MIN(100,IF(PARAMS_MODELO!$B$23=0,0,100*L843/PARAMS_MODELO!$B$23))*PARAMS_MODELO!$B$10</f>
        <v>13.849410545697058</v>
      </c>
      <c r="N843" s="5">
        <f>IFERROR(VLOOKUP(A843,COMPLIANCE!$A$2:$F$1996,6,0),100)</f>
        <v>99.98</v>
      </c>
      <c r="O843" s="5">
        <f>N843*PARAMS_MODELO!$B$11</f>
        <v>9.9980000000000011</v>
      </c>
      <c r="P843" s="5">
        <f>IFERROR(VLOOKUP(A843,DIGITAL!$A$2:$J$2000,7,0),100)</f>
        <v>27</v>
      </c>
      <c r="Q843" s="5">
        <f>IFERROR(P843,0)*PARAMS_MODELO!$B$12</f>
        <v>2.7</v>
      </c>
      <c r="R843">
        <f t="shared" si="315"/>
        <v>35.937261304294481</v>
      </c>
      <c r="S843" s="5" t="str">
        <f>IFERROR(VLOOKUP(A843,CLIENTE!$A$2:$N$2000,13,0),1)</f>
        <v>Malo</v>
      </c>
      <c r="T843" s="5">
        <f>IFERROR(VLOOKUP(A843,CLIENTE!$A$2:$N$2000,14,0),1)</f>
        <v>0.7</v>
      </c>
      <c r="U843" s="5">
        <f t="shared" si="316"/>
        <v>25.156082913006134</v>
      </c>
      <c r="V843" s="5" t="str">
        <f>IF(U843&gt;=MAX(_xlfn.PERCENTILE.INC($U$2:$U$1194,PARAMS_MODELO!$B$50),PARAMS_MODELO!$B$45),"DIAMANTE",IF(U843&gt;=MAX(_xlfn.PERCENTILE.INC($U$2:$U$1194,PARAMS_MODELO!$B$51),PARAMS_MODELO!$B$46),"PLATINO",IF(U843&gt;=MAX(_xlfn.PERCENTILE.INC($U$2:$U$1194,PARAMS_MODELO!$B$52),PARAMS_MODELO!$B$47),"ORO",IF(U843&gt;=MAX(_xlfn.PERCENTILE.INC($U$2:$U$1194,PARAMS_MODELO!$B$53),PARAMS_MODELO!$B$48),"PLATA",IF(U843&gt;=1,"BRONCE","CERRADO")))))</f>
        <v>PLATA</v>
      </c>
      <c r="W843" s="5" t="str" cm="1">
        <f t="array" ref="W843">_xlfn.XLOOKUP(1, (HIST_SCORE!$B:$B=PARAMS_MODELO!$B$4) * (HIST_SCORE!$C:$C=A843), HIST_SCORE!$E:$E, "No encontrado")</f>
        <v>BRONCE</v>
      </c>
      <c r="X843" s="5" t="str">
        <f>_xlfn.LET(_xlpm.act,MATCH(V843,{"DIAMANTE";"PLATINO";"ORO";"PLATA";"BRONCE";"CERRADO"},0),_xlpm.ant,MATCH(W843,{"DIAMANTE";"PLATINO";"ORO";"PLATA";"BRONCE";"CERRADO"},0),IF(_xlpm.act&lt;_xlpm.ant,"Mejora ↑",IF(_xlpm.act&gt;_xlpm.ant,"Baja ↓","Estable →")))</f>
        <v>Mejora ↑</v>
      </c>
      <c r="Y843" s="5">
        <f>IFERROR(U843-SUMIFS(HIST_SCORE!$D:$D,HIST_SCORE!$B:$B,PARAMS_MODELO!$B$4,HIST_SCORE!$C:$C,$A843),"")</f>
        <v>8.0753414025906096</v>
      </c>
      <c r="Z843" s="5" t="str">
        <f t="shared" si="317"/>
        <v>↑ Mejora</v>
      </c>
      <c r="AA843" s="5">
        <f t="shared" si="318"/>
        <v>914</v>
      </c>
      <c r="AB843" s="5">
        <f>IFERROR(SUMIFS(HIST_SCORE!$F:$F,HIST_SCORE!$B:$B,PARAMS_MODELO!$B$4,HIST_SCORE!$C:$C,$A843),"")</f>
        <v>1046</v>
      </c>
      <c r="AC843" s="5">
        <f t="shared" si="319"/>
        <v>132</v>
      </c>
      <c r="AD843" t="str">
        <f t="shared" si="321"/>
        <v/>
      </c>
      <c r="AE8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843="CERRADO",1,IF(V843="BRONCE",_xlpm.cPl,IF(V843="PLATA",_xlpm.cO,IF(V843="ORO",_xlpm.cP,IF(V843="PLATINO",_xlpm.cD,999))))))</f>
        <v>63.199193273331495</v>
      </c>
      <c r="AF8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843="CERRADO",0,IF(V843="BRONCE",1,IF(V843="PLATA",_xlpm.cPl,IF(V843="ORO",_xlpm.cO,IF(V843="PLATINO",_xlpm.cP,_xlpm.cD))))))</f>
        <v>24.506573482968111</v>
      </c>
      <c r="AG843">
        <f t="shared" si="322"/>
        <v>54.347300514750515</v>
      </c>
      <c r="AH843" t="str">
        <f t="shared" si="323"/>
        <v>VENTAS</v>
      </c>
      <c r="AI843" t="str">
        <f t="shared" si="320"/>
        <v>🎯 Para subir de categoría, eje VENTAS / DIFERENCIAL vs LOTBA (J). Acción: metas semanales + activación comercial + seguimiento del asesor. ΔR aprox: 54,3</v>
      </c>
      <c r="AJ843" s="26">
        <f>_xlfn.LET(_xlpm.piso,AF843,_xlpm.corte,AE843,_xlpm.prog,IF(_xlpm.corte&lt;=_xlpm.piso,0,MAX(0,MIN(1,(U843-_xlpm.piso)/(_xlpm.corte-_xlpm.piso)))),_xlpm.orden,{"DIAMANTE";"PLATINO";"ORO";"PLATA";"BRONCE";"CERRADO"},_xlpm.act,IFERROR(MATCH(V843,_xlpm.orden,0),6),_xlpm.ant,IFERROR(MATCH(W843,_xlpm.orden,0),6),_xlpm.ajmov,IF(_xlpm.act&lt;_xlpm.ant,0.08,IF(_xlpm.act&gt;_xlpm.ant,-0.08,0)),_xlpm.ajcli,IF(T843&lt;0.95,-0.06,0),_xlpm.prob,MAX(0,MIN(1,_xlpm.prog+_xlpm.ajmov+_xlpm.ajcli)),IF(OR(V843="DIAMANTE",V843="CERRADO"),0,ROUND(_xlpm.prob,2)))</f>
        <v>0.04</v>
      </c>
      <c r="AK843" t="str">
        <f t="shared" si="324"/>
        <v>Faltan 54,3 puntos base para subir a la siguiente categoría</v>
      </c>
      <c r="AL843" t="str">
        <f t="shared" si="325"/>
        <v>Margen de seguridad: 0,6 puntos</v>
      </c>
      <c r="AM843">
        <f t="shared" si="326"/>
        <v>0.98</v>
      </c>
      <c r="AN843" t="str">
        <f t="shared" si="327"/>
        <v>PRIORIDAD ALTA – requiere intervención inmediata</v>
      </c>
      <c r="AO843">
        <f t="shared" si="328"/>
        <v>38.830902961688714</v>
      </c>
      <c r="AP843">
        <f t="shared" si="329"/>
        <v>0.80541261801205932</v>
      </c>
      <c r="AQ843">
        <f t="shared" si="330"/>
        <v>1.3999999999992239E-3</v>
      </c>
      <c r="AR843">
        <f t="shared" si="331"/>
        <v>5.1099999999999994</v>
      </c>
      <c r="AS843">
        <f t="shared" si="332"/>
        <v>10.781178391288346</v>
      </c>
      <c r="AT843" t="str">
        <f t="shared" si="333"/>
        <v>VENTAS</v>
      </c>
      <c r="AU843">
        <f t="shared" si="334"/>
        <v>38.830902961688714</v>
      </c>
      <c r="AV843" t="str">
        <f t="shared" si="335"/>
        <v>Mayor retorno probable: VENTAS (+38,8 puntos finales potenciales).</v>
      </c>
    </row>
    <row r="844" spans="1:48" x14ac:dyDescent="0.3">
      <c r="A844" s="5">
        <v>51007841</v>
      </c>
      <c r="B844" s="5" t="str">
        <f>IFERROR(VLOOKUP(A844,VENTAS!$A$2:$B$1194,2,0),"")</f>
        <v>METTLER</v>
      </c>
      <c r="C844" s="5">
        <f>IFERROR(INDEX(VENTAS!$C$2:$E$1194,MATCH(A844,VENTAS!$A$2:$A$1194,0),MATCH(PARAMS_MODELO!$B$2,{"Q1","Q2","Q3"},0)),0)</f>
        <v>0</v>
      </c>
      <c r="D844" s="5">
        <f>IFERROR(INDEX(VENTAS!$F$2:$H$1194,MATCH(A844,VENTAS!$A$2:$A$1194,0),MATCH(PARAMS_MODELO!$B$2,{"Q1","Q2","Q3"},0)),0)</f>
        <v>40562200</v>
      </c>
      <c r="E844" s="8">
        <f t="shared" si="312"/>
        <v>0</v>
      </c>
      <c r="F844" s="12">
        <f>IF(E844&lt;=PARAMS_MODELO!$B$15,0,IF(E844&gt;=PARAMS_MODELO!$B$17,100,100*MIN(1,(E844-PARAMS_MODELO!$B$15)/(PARAMS_MODELO!$B$16-PARAMS_MODELO!$B$15))))*PARAMS_MODELO!$B$7</f>
        <v>0</v>
      </c>
      <c r="G844" s="5">
        <f t="shared" si="313"/>
        <v>40562200</v>
      </c>
      <c r="H844" s="5">
        <f>(PARAMS_MODELO!$B$20*(MAX(0,MIN(3,E844))/3)+PARAMS_MODELO!$B$21*(IFERROR(LN(1+MAX(0,G844))/LN(1+MAX(0,MAX($G$2:$G$1194))),0)))*100*PARAMS_MODELO!$B$8</f>
        <v>4.1065451475198458</v>
      </c>
      <c r="I844" s="8">
        <f>E844-PARAMS_MODELO!$B$5</f>
        <v>-0.17756283537552653</v>
      </c>
      <c r="J844" s="5">
        <f>IF(I844&lt;=PARAMS_MODELO!$B$18,0,IF(I844&gt;=PARAMS_MODELO!$B$19,100,100*(I844-PARAMS_MODELO!$B$18)/(PARAMS_MODELO!$B$19-PARAMS_MODELO!$B$18)))*PARAMS_MODELO!$B$9</f>
        <v>0</v>
      </c>
      <c r="K844" s="5">
        <f>IFERROR(CHOOSE(MATCH(PARAMS_MODELO!$B$2,{"Q1","Q2","Q3"},0),LOTO!$D844,LOTO!$F844,LOTO!$H844),0)</f>
        <v>1865000</v>
      </c>
      <c r="L844" s="8">
        <f t="shared" si="314"/>
        <v>4.5978768409997484E-2</v>
      </c>
      <c r="M844" s="5">
        <f>MIN(100,IF(PARAMS_MODELO!$B$23=0,0,100*L844/PARAMS_MODELO!$B$23))*PARAMS_MODELO!$B$10</f>
        <v>13.793630522999242</v>
      </c>
      <c r="N844" s="5">
        <f>IFERROR(VLOOKUP(A844,COMPLIANCE!$A$2:$F$1996,6,0),100)</f>
        <v>99.98</v>
      </c>
      <c r="O844" s="5">
        <f>N844*PARAMS_MODELO!$B$11</f>
        <v>9.9980000000000011</v>
      </c>
      <c r="P844" s="5">
        <f>IFERROR(VLOOKUP(A844,DIGITAL!$A$2:$J$2000,7,0),100)</f>
        <v>41</v>
      </c>
      <c r="Q844" s="5">
        <f>IFERROR(P844,0)*PARAMS_MODELO!$B$12</f>
        <v>4.1000000000000005</v>
      </c>
      <c r="R844">
        <f t="shared" si="315"/>
        <v>31.998175670519093</v>
      </c>
      <c r="S844" s="5" t="str">
        <f>IFERROR(VLOOKUP(A844,CLIENTE!$A$2:$N$2000,13,0),1)</f>
        <v>Regular</v>
      </c>
      <c r="T844" s="5">
        <f>IFERROR(VLOOKUP(A844,CLIENTE!$A$2:$N$2000,14,0),1)</f>
        <v>1</v>
      </c>
      <c r="U844" s="5">
        <f t="shared" si="316"/>
        <v>31.998175670519093</v>
      </c>
      <c r="V844" s="5" t="str">
        <f>IF(U844&gt;=MAX(_xlfn.PERCENTILE.INC($U$2:$U$1194,PARAMS_MODELO!$B$50),PARAMS_MODELO!$B$45),"DIAMANTE",IF(U844&gt;=MAX(_xlfn.PERCENTILE.INC($U$2:$U$1194,PARAMS_MODELO!$B$51),PARAMS_MODELO!$B$46),"PLATINO",IF(U844&gt;=MAX(_xlfn.PERCENTILE.INC($U$2:$U$1194,PARAMS_MODELO!$B$52),PARAMS_MODELO!$B$47),"ORO",IF(U844&gt;=MAX(_xlfn.PERCENTILE.INC($U$2:$U$1194,PARAMS_MODELO!$B$53),PARAMS_MODELO!$B$48),"PLATA",IF(U844&gt;=1,"BRONCE","CERRADO")))))</f>
        <v>PLATA</v>
      </c>
      <c r="W844" s="5" t="str" cm="1">
        <f t="array" ref="W844">_xlfn.XLOOKUP(1, (HIST_SCORE!$B:$B=PARAMS_MODELO!$B$4) * (HIST_SCORE!$C:$C=A844), HIST_SCORE!$E:$E, "No encontrado")</f>
        <v>PLATINO</v>
      </c>
      <c r="X844" s="5" t="str">
        <f>_xlfn.LET(_xlpm.act,MATCH(V844,{"DIAMANTE";"PLATINO";"ORO";"PLATA";"BRONCE";"CERRADO"},0),_xlpm.ant,MATCH(W844,{"DIAMANTE";"PLATINO";"ORO";"PLATA";"BRONCE";"CERRADO"},0),IF(_xlpm.act&lt;_xlpm.ant,"Mejora ↑",IF(_xlpm.act&gt;_xlpm.ant,"Baja ↓","Estable →")))</f>
        <v>Baja ↓</v>
      </c>
      <c r="Y844" s="5">
        <f>IFERROR(U844-SUMIFS(HIST_SCORE!$D:$D,HIST_SCORE!$B:$B,PARAMS_MODELO!$B$4,HIST_SCORE!$C:$C,$A844),"")</f>
        <v>-61.374365679361475</v>
      </c>
      <c r="Z844" s="5" t="str">
        <f t="shared" si="317"/>
        <v>↓ Baja</v>
      </c>
      <c r="AA844" s="5">
        <f t="shared" si="318"/>
        <v>837</v>
      </c>
      <c r="AB844" s="5">
        <f>IFERROR(SUMIFS(HIST_SCORE!$F:$F,HIST_SCORE!$B:$B,PARAMS_MODELO!$B$4,HIST_SCORE!$C:$C,$A844),"")</f>
        <v>81</v>
      </c>
      <c r="AC844" s="5">
        <f t="shared" si="319"/>
        <v>-756</v>
      </c>
      <c r="AD844" t="str">
        <f t="shared" si="321"/>
        <v/>
      </c>
      <c r="AE8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844="CERRADO",1,IF(V844="BRONCE",_xlpm.cPl,IF(V844="PLATA",_xlpm.cO,IF(V844="ORO",_xlpm.cP,IF(V844="PLATINO",_xlpm.cD,999))))))</f>
        <v>63.199193273331495</v>
      </c>
      <c r="AF8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844="CERRADO",0,IF(V844="BRONCE",1,IF(V844="PLATA",_xlpm.cPl,IF(V844="ORO",_xlpm.cO,IF(V844="PLATINO",_xlpm.cP,_xlpm.cD))))))</f>
        <v>24.506573482968111</v>
      </c>
      <c r="AG844">
        <f t="shared" si="322"/>
        <v>31.201017602812403</v>
      </c>
      <c r="AH844" t="str">
        <f t="shared" si="323"/>
        <v>VENTAS</v>
      </c>
      <c r="AI844" t="str">
        <f t="shared" si="320"/>
        <v>🎯 Para subir de categoría, eje VENTAS / CRECIMIENTO PERSONAL (F). Acción: metas semanales + activación comercial + seguimiento del asesor. ΔR aprox: 31,2</v>
      </c>
      <c r="AJ844" s="26">
        <f>_xlfn.LET(_xlpm.piso,AF844,_xlpm.corte,AE844,_xlpm.prog,IF(_xlpm.corte&lt;=_xlpm.piso,0,MAX(0,MIN(1,(U844-_xlpm.piso)/(_xlpm.corte-_xlpm.piso)))),_xlpm.orden,{"DIAMANTE";"PLATINO";"ORO";"PLATA";"BRONCE";"CERRADO"},_xlpm.act,IFERROR(MATCH(V844,_xlpm.orden,0),6),_xlpm.ant,IFERROR(MATCH(W844,_xlpm.orden,0),6),_xlpm.ajmov,IF(_xlpm.act&lt;_xlpm.ant,0.08,IF(_xlpm.act&gt;_xlpm.ant,-0.08,0)),_xlpm.ajcli,IF(T844&lt;0.95,-0.06,0),_xlpm.prob,MAX(0,MIN(1,_xlpm.prog+_xlpm.ajmov+_xlpm.ajcli)),IF(OR(V844="DIAMANTE",V844="CERRADO"),0,ROUND(_xlpm.prob,2)))</f>
        <v>0.11</v>
      </c>
      <c r="AK844" t="str">
        <f t="shared" si="324"/>
        <v>Faltan 31,2 puntos base para subir a la siguiente categoría</v>
      </c>
      <c r="AL844" t="str">
        <f t="shared" si="325"/>
        <v>Margen de seguridad: 7,5 puntos</v>
      </c>
      <c r="AM844">
        <f t="shared" si="326"/>
        <v>0.76</v>
      </c>
      <c r="AN844" t="str">
        <f t="shared" si="327"/>
        <v>PRIORIDAD ALTA – requiere intervención inmediata</v>
      </c>
      <c r="AO844">
        <f t="shared" si="328"/>
        <v>60.756024127775738</v>
      </c>
      <c r="AP844">
        <f t="shared" si="329"/>
        <v>1.2063694770007576</v>
      </c>
      <c r="AQ844">
        <f t="shared" si="330"/>
        <v>1.9999999999988916E-3</v>
      </c>
      <c r="AR844">
        <f t="shared" si="331"/>
        <v>5.8999999999999995</v>
      </c>
      <c r="AS844">
        <f t="shared" si="332"/>
        <v>0</v>
      </c>
      <c r="AT844" t="str">
        <f t="shared" si="333"/>
        <v>VENTAS</v>
      </c>
      <c r="AU844">
        <f t="shared" si="334"/>
        <v>60.756024127775738</v>
      </c>
      <c r="AV844" t="str">
        <f t="shared" si="335"/>
        <v>Mayor retorno probable: VENTAS (+60,8 puntos finales potenciales).</v>
      </c>
    </row>
    <row r="845" spans="1:48" x14ac:dyDescent="0.3">
      <c r="A845" s="5">
        <v>51016602</v>
      </c>
      <c r="B845" s="5" t="str">
        <f>IFERROR(VLOOKUP(A845,VENTAS!$A$2:$B$1194,2,0),"")</f>
        <v>BELUZZO</v>
      </c>
      <c r="C845" s="5">
        <f>IFERROR(INDEX(VENTAS!$C$2:$E$1194,MATCH(A845,VENTAS!$A$2:$A$1194,0),MATCH(PARAMS_MODELO!$B$2,{"Q1","Q2","Q3"},0)),0)</f>
        <v>65594978.140000001</v>
      </c>
      <c r="D845" s="5">
        <f>IFERROR(INDEX(VENTAS!$F$2:$H$1194,MATCH(A845,VENTAS!$A$2:$A$1194,0),MATCH(PARAMS_MODELO!$B$2,{"Q1","Q2","Q3"},0)),0)</f>
        <v>40508691</v>
      </c>
      <c r="E845" s="8">
        <f t="shared" si="312"/>
        <v>-0.38244219071859575</v>
      </c>
      <c r="F845" s="12">
        <f>IF(E845&lt;=PARAMS_MODELO!$B$15,0,IF(E845&gt;=PARAMS_MODELO!$B$17,100,100*MIN(1,(E845-PARAMS_MODELO!$B$15)/(PARAMS_MODELO!$B$16-PARAMS_MODELO!$B$15))))*PARAMS_MODELO!$B$7</f>
        <v>0</v>
      </c>
      <c r="G845" s="5">
        <f t="shared" si="313"/>
        <v>0</v>
      </c>
      <c r="H845" s="5">
        <f>(PARAMS_MODELO!$B$20*(MAX(0,MIN(3,E845))/3)+PARAMS_MODELO!$B$21*(IFERROR(LN(1+MAX(0,G845))/LN(1+MAX(0,MAX($G$2:$G$1194))),0)))*100*PARAMS_MODELO!$B$8</f>
        <v>0</v>
      </c>
      <c r="I845" s="8">
        <f>E845-PARAMS_MODELO!$B$5</f>
        <v>-0.56000502609412228</v>
      </c>
      <c r="J845" s="5">
        <f>IF(I845&lt;=PARAMS_MODELO!$B$18,0,IF(I845&gt;=PARAMS_MODELO!$B$19,100,100*(I845-PARAMS_MODELO!$B$18)/(PARAMS_MODELO!$B$19-PARAMS_MODELO!$B$18)))*PARAMS_MODELO!$B$9</f>
        <v>0</v>
      </c>
      <c r="K845" s="5">
        <f>IFERROR(CHOOSE(MATCH(PARAMS_MODELO!$B$2,{"Q1","Q2","Q3"},0),LOTO!$D845,LOTO!$F845,LOTO!$H845),0)</f>
        <v>1862500</v>
      </c>
      <c r="L845" s="8">
        <f t="shared" si="314"/>
        <v>4.597778782829591E-2</v>
      </c>
      <c r="M845" s="5">
        <f>MIN(100,IF(PARAMS_MODELO!$B$23=0,0,100*L845/PARAMS_MODELO!$B$23))*PARAMS_MODELO!$B$10</f>
        <v>13.793336348488772</v>
      </c>
      <c r="N845" s="5">
        <f>IFERROR(VLOOKUP(A845,COMPLIANCE!$A$2:$F$1996,6,0),100)</f>
        <v>100</v>
      </c>
      <c r="O845" s="5">
        <f>N845*PARAMS_MODELO!$B$11</f>
        <v>10</v>
      </c>
      <c r="P845" s="5">
        <f>IFERROR(VLOOKUP(A845,DIGITAL!$A$2:$J$2000,7,0),100)</f>
        <v>66</v>
      </c>
      <c r="Q845" s="5">
        <f>IFERROR(P845,0)*PARAMS_MODELO!$B$12</f>
        <v>6.6000000000000005</v>
      </c>
      <c r="R845">
        <f t="shared" si="315"/>
        <v>30.393336348488774</v>
      </c>
      <c r="S845" s="5" t="str">
        <f>IFERROR(VLOOKUP(A845,CLIENTE!$A$2:$N$2000,13,0),1)</f>
        <v>Regular</v>
      </c>
      <c r="T845" s="5">
        <f>IFERROR(VLOOKUP(A845,CLIENTE!$A$2:$N$2000,14,0),1)</f>
        <v>1</v>
      </c>
      <c r="U845" s="5">
        <f t="shared" si="316"/>
        <v>30.393336348488774</v>
      </c>
      <c r="V845" s="5" t="str">
        <f>IF(U845&gt;=MAX(_xlfn.PERCENTILE.INC($U$2:$U$1194,PARAMS_MODELO!$B$50),PARAMS_MODELO!$B$45),"DIAMANTE",IF(U845&gt;=MAX(_xlfn.PERCENTILE.INC($U$2:$U$1194,PARAMS_MODELO!$B$51),PARAMS_MODELO!$B$46),"PLATINO",IF(U845&gt;=MAX(_xlfn.PERCENTILE.INC($U$2:$U$1194,PARAMS_MODELO!$B$52),PARAMS_MODELO!$B$47),"ORO",IF(U845&gt;=MAX(_xlfn.PERCENTILE.INC($U$2:$U$1194,PARAMS_MODELO!$B$53),PARAMS_MODELO!$B$48),"PLATA",IF(U845&gt;=1,"BRONCE","CERRADO")))))</f>
        <v>PLATA</v>
      </c>
      <c r="W845" s="5" t="str" cm="1">
        <f t="array" ref="W845">_xlfn.XLOOKUP(1, (HIST_SCORE!$B:$B=PARAMS_MODELO!$B$4) * (HIST_SCORE!$C:$C=A845), HIST_SCORE!$E:$E, "No encontrado")</f>
        <v>ORO</v>
      </c>
      <c r="X845" s="5" t="str">
        <f>_xlfn.LET(_xlpm.act,MATCH(V845,{"DIAMANTE";"PLATINO";"ORO";"PLATA";"BRONCE";"CERRADO"},0),_xlpm.ant,MATCH(W845,{"DIAMANTE";"PLATINO";"ORO";"PLATA";"BRONCE";"CERRADO"},0),IF(_xlpm.act&lt;_xlpm.ant,"Mejora ↑",IF(_xlpm.act&gt;_xlpm.ant,"Baja ↓","Estable →")))</f>
        <v>Baja ↓</v>
      </c>
      <c r="Y845" s="5">
        <f>IFERROR(U845-SUMIFS(HIST_SCORE!$D:$D,HIST_SCORE!$B:$B,PARAMS_MODELO!$B$4,HIST_SCORE!$C:$C,$A845),"")</f>
        <v>-48.533052354001754</v>
      </c>
      <c r="Z845" s="5" t="str">
        <f t="shared" si="317"/>
        <v>↓ Baja</v>
      </c>
      <c r="AA845" s="5">
        <f t="shared" si="318"/>
        <v>857</v>
      </c>
      <c r="AB845" s="5">
        <f>IFERROR(SUMIFS(HIST_SCORE!$F:$F,HIST_SCORE!$B:$B,PARAMS_MODELO!$B$4,HIST_SCORE!$C:$C,$A845),"")</f>
        <v>437</v>
      </c>
      <c r="AC845" s="5">
        <f t="shared" si="319"/>
        <v>-420</v>
      </c>
      <c r="AD845" t="str">
        <f t="shared" si="321"/>
        <v/>
      </c>
      <c r="AE8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845="CERRADO",1,IF(V845="BRONCE",_xlpm.cPl,IF(V845="PLATA",_xlpm.cO,IF(V845="ORO",_xlpm.cP,IF(V845="PLATINO",_xlpm.cD,999))))))</f>
        <v>63.199193273331495</v>
      </c>
      <c r="AF8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845="CERRADO",0,IF(V845="BRONCE",1,IF(V845="PLATA",_xlpm.cPl,IF(V845="ORO",_xlpm.cO,IF(V845="PLATINO",_xlpm.cP,_xlpm.cD))))))</f>
        <v>24.506573482968111</v>
      </c>
      <c r="AG845">
        <f t="shared" si="322"/>
        <v>32.805856924842722</v>
      </c>
      <c r="AH845" t="str">
        <f t="shared" si="323"/>
        <v>VENTAS</v>
      </c>
      <c r="AI845" t="str">
        <f t="shared" si="320"/>
        <v>🎯 Para subir de categoría, eje VENTAS / CRECIMIENTO PERSONAL (F). Acción: metas semanales + activación comercial + seguimiento del asesor. ΔR aprox: 32,8</v>
      </c>
      <c r="AJ845" s="26">
        <f>_xlfn.LET(_xlpm.piso,AF845,_xlpm.corte,AE845,_xlpm.prog,IF(_xlpm.corte&lt;=_xlpm.piso,0,MAX(0,MIN(1,(U845-_xlpm.piso)/(_xlpm.corte-_xlpm.piso)))),_xlpm.orden,{"DIAMANTE";"PLATINO";"ORO";"PLATA";"BRONCE";"CERRADO"},_xlpm.act,IFERROR(MATCH(V845,_xlpm.orden,0),6),_xlpm.ant,IFERROR(MATCH(W845,_xlpm.orden,0),6),_xlpm.ajmov,IF(_xlpm.act&lt;_xlpm.ant,0.08,IF(_xlpm.act&gt;_xlpm.ant,-0.08,0)),_xlpm.ajcli,IF(T845&lt;0.95,-0.06,0),_xlpm.prob,MAX(0,MIN(1,_xlpm.prog+_xlpm.ajmov+_xlpm.ajcli)),IF(OR(V845="DIAMANTE",V845="CERRADO"),0,ROUND(_xlpm.prob,2)))</f>
        <v>7.0000000000000007E-2</v>
      </c>
      <c r="AK845" t="str">
        <f t="shared" si="324"/>
        <v>Faltan 32,8 puntos base para subir a la siguiente categoría</v>
      </c>
      <c r="AL845" t="str">
        <f t="shared" si="325"/>
        <v>Margen de seguridad: 5,9 puntos</v>
      </c>
      <c r="AM845">
        <f t="shared" si="326"/>
        <v>0.77</v>
      </c>
      <c r="AN845" t="str">
        <f t="shared" si="327"/>
        <v>PRIORIDAD ALTA – requiere intervención inmediata</v>
      </c>
      <c r="AO845">
        <f t="shared" si="328"/>
        <v>64.862569275295584</v>
      </c>
      <c r="AP845">
        <f t="shared" si="329"/>
        <v>1.2066636515112279</v>
      </c>
      <c r="AQ845">
        <f t="shared" si="330"/>
        <v>0</v>
      </c>
      <c r="AR845">
        <f t="shared" si="331"/>
        <v>3.3999999999999995</v>
      </c>
      <c r="AS845">
        <f t="shared" si="332"/>
        <v>0</v>
      </c>
      <c r="AT845" t="str">
        <f t="shared" si="333"/>
        <v>VENTAS</v>
      </c>
      <c r="AU845">
        <f t="shared" si="334"/>
        <v>64.862569275295584</v>
      </c>
      <c r="AV845" t="str">
        <f t="shared" si="335"/>
        <v>Mayor retorno probable: VENTAS (+64,9 puntos finales potenciales).</v>
      </c>
    </row>
    <row r="846" spans="1:48" x14ac:dyDescent="0.3">
      <c r="A846" s="5">
        <v>51036077</v>
      </c>
      <c r="B846" s="5" t="str">
        <f>IFERROR(VLOOKUP(A846,VENTAS!$A$2:$B$1194,2,0),"")</f>
        <v>LÓPEZ</v>
      </c>
      <c r="C846" s="5">
        <f>IFERROR(INDEX(VENTAS!$C$2:$E$1194,MATCH(A846,VENTAS!$A$2:$A$1194,0),MATCH(PARAMS_MODELO!$B$2,{"Q1","Q2","Q3"},0)),0)</f>
        <v>41467006.979999997</v>
      </c>
      <c r="D846" s="5">
        <f>IFERROR(INDEX(VENTAS!$F$2:$H$1194,MATCH(A846,VENTAS!$A$2:$A$1194,0),MATCH(PARAMS_MODELO!$B$2,{"Q1","Q2","Q3"},0)),0)</f>
        <v>40280066</v>
      </c>
      <c r="E846" s="8">
        <f t="shared" si="312"/>
        <v>-2.8623743704783711E-2</v>
      </c>
      <c r="F846" s="12">
        <f>IF(E846&lt;=PARAMS_MODELO!$B$15,0,IF(E846&gt;=PARAMS_MODELO!$B$17,100,100*MIN(1,(E846-PARAMS_MODELO!$B$15)/(PARAMS_MODELO!$B$16-PARAMS_MODELO!$B$15))))*PARAMS_MODELO!$B$7</f>
        <v>0</v>
      </c>
      <c r="G846" s="5">
        <f t="shared" si="313"/>
        <v>0</v>
      </c>
      <c r="H846" s="5">
        <f>(PARAMS_MODELO!$B$20*(MAX(0,MIN(3,E846))/3)+PARAMS_MODELO!$B$21*(IFERROR(LN(1+MAX(0,G846))/LN(1+MAX(0,MAX($G$2:$G$1194))),0)))*100*PARAMS_MODELO!$B$8</f>
        <v>0</v>
      </c>
      <c r="I846" s="8">
        <f>E846-PARAMS_MODELO!$B$5</f>
        <v>-0.20618657908031024</v>
      </c>
      <c r="J846" s="5">
        <f>IF(I846&lt;=PARAMS_MODELO!$B$18,0,IF(I846&gt;=PARAMS_MODELO!$B$19,100,100*(I846-PARAMS_MODELO!$B$18)/(PARAMS_MODELO!$B$19-PARAMS_MODELO!$B$18)))*PARAMS_MODELO!$B$9</f>
        <v>0</v>
      </c>
      <c r="K846" s="5">
        <f>IFERROR(CHOOSE(MATCH(PARAMS_MODELO!$B$2,{"Q1","Q2","Q3"},0),LOTO!$D846,LOTO!$F846,LOTO!$H846),0)</f>
        <v>1850000</v>
      </c>
      <c r="L846" s="8">
        <f t="shared" si="314"/>
        <v>4.5928425241408492E-2</v>
      </c>
      <c r="M846" s="5">
        <f>MIN(100,IF(PARAMS_MODELO!$B$23=0,0,100*L846/PARAMS_MODELO!$B$23))*PARAMS_MODELO!$B$10</f>
        <v>13.778527572422547</v>
      </c>
      <c r="N846" s="5">
        <f>IFERROR(VLOOKUP(A846,COMPLIANCE!$A$2:$F$1996,6,0),100)</f>
        <v>99.98</v>
      </c>
      <c r="O846" s="5">
        <f>N846*PARAMS_MODELO!$B$11</f>
        <v>9.9980000000000011</v>
      </c>
      <c r="P846" s="5">
        <f>IFERROR(VLOOKUP(A846,DIGITAL!$A$2:$J$2000,7,0),100)</f>
        <v>18</v>
      </c>
      <c r="Q846" s="5">
        <f>IFERROR(P846,0)*PARAMS_MODELO!$B$12</f>
        <v>1.8</v>
      </c>
      <c r="R846">
        <f t="shared" si="315"/>
        <v>25.576527572422549</v>
      </c>
      <c r="S846" s="5" t="str">
        <f>IFERROR(VLOOKUP(A846,CLIENTE!$A$2:$N$2000,13,0),1)</f>
        <v>Malo</v>
      </c>
      <c r="T846" s="5">
        <f>IFERROR(VLOOKUP(A846,CLIENTE!$A$2:$N$2000,14,0),1)</f>
        <v>0.7</v>
      </c>
      <c r="U846" s="5">
        <f t="shared" si="316"/>
        <v>17.903569300695782</v>
      </c>
      <c r="V846" s="5" t="str">
        <f>IF(U846&gt;=MAX(_xlfn.PERCENTILE.INC($U$2:$U$1194,PARAMS_MODELO!$B$50),PARAMS_MODELO!$B$45),"DIAMANTE",IF(U846&gt;=MAX(_xlfn.PERCENTILE.INC($U$2:$U$1194,PARAMS_MODELO!$B$51),PARAMS_MODELO!$B$46),"PLATINO",IF(U846&gt;=MAX(_xlfn.PERCENTILE.INC($U$2:$U$1194,PARAMS_MODELO!$B$52),PARAMS_MODELO!$B$47),"ORO",IF(U846&gt;=MAX(_xlfn.PERCENTILE.INC($U$2:$U$1194,PARAMS_MODELO!$B$53),PARAMS_MODELO!$B$48),"PLATA",IF(U846&gt;=1,"BRONCE","CERRADO")))))</f>
        <v>BRONCE</v>
      </c>
      <c r="W846" s="5" t="str" cm="1">
        <f t="array" ref="W846">_xlfn.XLOOKUP(1, (HIST_SCORE!$B:$B=PARAMS_MODELO!$B$4) * (HIST_SCORE!$C:$C=A846), HIST_SCORE!$E:$E, "No encontrado")</f>
        <v>BRONCE</v>
      </c>
      <c r="X846" s="5" t="str">
        <f>_xlfn.LET(_xlpm.act,MATCH(V846,{"DIAMANTE";"PLATINO";"ORO";"PLATA";"BRONCE";"CERRADO"},0),_xlpm.ant,MATCH(W846,{"DIAMANTE";"PLATINO";"ORO";"PLATA";"BRONCE";"CERRADO"},0),IF(_xlpm.act&lt;_xlpm.ant,"Mejora ↑",IF(_xlpm.act&gt;_xlpm.ant,"Baja ↓","Estable →")))</f>
        <v>Estable →</v>
      </c>
      <c r="Y846" s="5">
        <f>IFERROR(U846-SUMIFS(HIST_SCORE!$D:$D,HIST_SCORE!$B:$B,PARAMS_MODELO!$B$4,HIST_SCORE!$C:$C,$A846),"")</f>
        <v>0.81213330486508539</v>
      </c>
      <c r="Z846" s="5" t="str">
        <f t="shared" si="317"/>
        <v>→ Estable</v>
      </c>
      <c r="AA846" s="5">
        <f t="shared" si="318"/>
        <v>1032</v>
      </c>
      <c r="AB846" s="5">
        <f>IFERROR(SUMIFS(HIST_SCORE!$F:$F,HIST_SCORE!$B:$B,PARAMS_MODELO!$B$4,HIST_SCORE!$C:$C,$A846),"")</f>
        <v>1045</v>
      </c>
      <c r="AC846" s="5">
        <f t="shared" si="319"/>
        <v>13</v>
      </c>
      <c r="AD846" t="str">
        <f t="shared" si="321"/>
        <v/>
      </c>
      <c r="AE8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846="CERRADO",1,IF(V846="BRONCE",_xlpm.cPl,IF(V846="PLATA",_xlpm.cO,IF(V846="ORO",_xlpm.cP,IF(V846="PLATINO",_xlpm.cD,999))))))</f>
        <v>24.506573482968111</v>
      </c>
      <c r="AF8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846="CERRADO",0,IF(V846="BRONCE",1,IF(V846="PLATA",_xlpm.cPl,IF(V846="ORO",_xlpm.cO,IF(V846="PLATINO",_xlpm.cP,_xlpm.cD))))))</f>
        <v>1</v>
      </c>
      <c r="AG846">
        <f t="shared" si="322"/>
        <v>9.4328631175318947</v>
      </c>
      <c r="AH846" t="str">
        <f t="shared" si="323"/>
        <v>CLIENTE</v>
      </c>
      <c r="AI846" t="str">
        <f t="shared" si="320"/>
        <v>🎯 Para subir de categoría, la eje con mayor impacto probable es CLIENTE (coef T). Acción: reducir quejas, mejorar incógnito y empujar reseñas. ΔR aprox: 9,4</v>
      </c>
      <c r="AJ846" s="26">
        <f>_xlfn.LET(_xlpm.piso,AF846,_xlpm.corte,AE846,_xlpm.prog,IF(_xlpm.corte&lt;=_xlpm.piso,0,MAX(0,MIN(1,(U846-_xlpm.piso)/(_xlpm.corte-_xlpm.piso)))),_xlpm.orden,{"DIAMANTE";"PLATINO";"ORO";"PLATA";"BRONCE";"CERRADO"},_xlpm.act,IFERROR(MATCH(V846,_xlpm.orden,0),6),_xlpm.ant,IFERROR(MATCH(W846,_xlpm.orden,0),6),_xlpm.ajmov,IF(_xlpm.act&lt;_xlpm.ant,0.08,IF(_xlpm.act&gt;_xlpm.ant,-0.08,0)),_xlpm.ajcli,IF(T846&lt;0.95,-0.06,0),_xlpm.prob,MAX(0,MIN(1,_xlpm.prog+_xlpm.ajmov+_xlpm.ajcli)),IF(OR(V846="DIAMANTE",V846="CERRADO"),0,ROUND(_xlpm.prob,2)))</f>
        <v>0.66</v>
      </c>
      <c r="AK846" t="str">
        <f t="shared" si="324"/>
        <v>Faltan 9,4 puntos base para subir a la siguiente categoría</v>
      </c>
      <c r="AL846" t="str">
        <f t="shared" si="325"/>
        <v>No aplica</v>
      </c>
      <c r="AM846">
        <f t="shared" si="326"/>
        <v>0.71</v>
      </c>
      <c r="AN846" t="str">
        <f t="shared" si="327"/>
        <v>PRIORIDAD ALTA – requiere intervención inmediata</v>
      </c>
      <c r="AO846">
        <f t="shared" si="328"/>
        <v>45.403798492706905</v>
      </c>
      <c r="AP846">
        <f t="shared" si="329"/>
        <v>0.85503069930421693</v>
      </c>
      <c r="AQ846">
        <f t="shared" si="330"/>
        <v>1.3999999999992239E-3</v>
      </c>
      <c r="AR846">
        <f t="shared" si="331"/>
        <v>5.7399999999999993</v>
      </c>
      <c r="AS846">
        <f t="shared" si="332"/>
        <v>7.6729582717267659</v>
      </c>
      <c r="AT846" t="str">
        <f t="shared" si="333"/>
        <v>VENTAS</v>
      </c>
      <c r="AU846">
        <f t="shared" si="334"/>
        <v>45.403798492706905</v>
      </c>
      <c r="AV846" t="str">
        <f t="shared" si="335"/>
        <v>Mayor retorno probable: VENTAS (+45,4 puntos finales potenciales).</v>
      </c>
    </row>
    <row r="847" spans="1:48" x14ac:dyDescent="0.3">
      <c r="A847" s="5">
        <v>51013662</v>
      </c>
      <c r="B847" s="5" t="str">
        <f>IFERROR(VLOOKUP(A847,VENTAS!$A$2:$B$1194,2,0),"")</f>
        <v>PRADES</v>
      </c>
      <c r="C847" s="5">
        <f>IFERROR(INDEX(VENTAS!$C$2:$E$1194,MATCH(A847,VENTAS!$A$2:$A$1194,0),MATCH(PARAMS_MODELO!$B$2,{"Q1","Q2","Q3"},0)),0)</f>
        <v>37759233.059999987</v>
      </c>
      <c r="D847" s="5">
        <f>IFERROR(INDEX(VENTAS!$F$2:$H$1194,MATCH(A847,VENTAS!$A$2:$A$1194,0),MATCH(PARAMS_MODELO!$B$2,{"Q1","Q2","Q3"},0)),0)</f>
        <v>40255763</v>
      </c>
      <c r="E847" s="8">
        <f t="shared" si="312"/>
        <v>6.6117072241191677E-2</v>
      </c>
      <c r="F847" s="12">
        <f>IF(E847&lt;=PARAMS_MODELO!$B$15,0,IF(E847&gt;=PARAMS_MODELO!$B$17,100,100*MIN(1,(E847-PARAMS_MODELO!$B$15)/(PARAMS_MODELO!$B$16-PARAMS_MODELO!$B$15))))*PARAMS_MODELO!$B$7</f>
        <v>23.140975284417085</v>
      </c>
      <c r="G847" s="5">
        <f t="shared" si="313"/>
        <v>2496529.9400000125</v>
      </c>
      <c r="H847" s="5">
        <f>(PARAMS_MODELO!$B$20*(MAX(0,MIN(3,E847))/3)+PARAMS_MODELO!$B$21*(IFERROR(LN(1+MAX(0,G847))/LN(1+MAX(0,MAX($G$2:$G$1194))),0)))*100*PARAMS_MODELO!$B$8</f>
        <v>3.6844241370189272</v>
      </c>
      <c r="I847" s="8">
        <f>E847-PARAMS_MODELO!$B$5</f>
        <v>-0.11144576313433485</v>
      </c>
      <c r="J847" s="5">
        <f>IF(I847&lt;=PARAMS_MODELO!$B$18,0,IF(I847&gt;=PARAMS_MODELO!$B$19,100,100*(I847-PARAMS_MODELO!$B$18)/(PARAMS_MODELO!$B$19-PARAMS_MODELO!$B$18)))*PARAMS_MODELO!$B$9</f>
        <v>0</v>
      </c>
      <c r="K847" s="5">
        <f>IFERROR(CHOOSE(MATCH(PARAMS_MODELO!$B$2,{"Q1","Q2","Q3"},0),LOTO!$D847,LOTO!$F847,LOTO!$H847),0)</f>
        <v>1845000</v>
      </c>
      <c r="L847" s="8">
        <f t="shared" si="314"/>
        <v>4.5831947092892018E-2</v>
      </c>
      <c r="M847" s="5">
        <f>MIN(100,IF(PARAMS_MODELO!$B$23=0,0,100*L847/PARAMS_MODELO!$B$23))*PARAMS_MODELO!$B$10</f>
        <v>13.749584127867607</v>
      </c>
      <c r="N847" s="5">
        <f>IFERROR(VLOOKUP(A847,COMPLIANCE!$A$2:$F$1996,6,0),100)</f>
        <v>100</v>
      </c>
      <c r="O847" s="5">
        <f>N847*PARAMS_MODELO!$B$11</f>
        <v>10</v>
      </c>
      <c r="P847" s="5">
        <f>IFERROR(VLOOKUP(A847,DIGITAL!$A$2:$J$2000,7,0),100)</f>
        <v>19</v>
      </c>
      <c r="Q847" s="5">
        <f>IFERROR(P847,0)*PARAMS_MODELO!$B$12</f>
        <v>1.9000000000000001</v>
      </c>
      <c r="R847">
        <f t="shared" si="315"/>
        <v>52.474983549303616</v>
      </c>
      <c r="S847" s="5" t="str">
        <f>IFERROR(VLOOKUP(A847,CLIENTE!$A$2:$N$2000,13,0),1)</f>
        <v>Muy Bueno</v>
      </c>
      <c r="T847" s="5">
        <f>IFERROR(VLOOKUP(A847,CLIENTE!$A$2:$N$2000,14,0),1)</f>
        <v>1.1499999999999999</v>
      </c>
      <c r="U847" s="5">
        <f t="shared" si="316"/>
        <v>60.346231081699152</v>
      </c>
      <c r="V847" s="5" t="str">
        <f>IF(U847&gt;=MAX(_xlfn.PERCENTILE.INC($U$2:$U$1194,PARAMS_MODELO!$B$50),PARAMS_MODELO!$B$45),"DIAMANTE",IF(U847&gt;=MAX(_xlfn.PERCENTILE.INC($U$2:$U$1194,PARAMS_MODELO!$B$51),PARAMS_MODELO!$B$46),"PLATINO",IF(U847&gt;=MAX(_xlfn.PERCENTILE.INC($U$2:$U$1194,PARAMS_MODELO!$B$52),PARAMS_MODELO!$B$47),"ORO",IF(U847&gt;=MAX(_xlfn.PERCENTILE.INC($U$2:$U$1194,PARAMS_MODELO!$B$53),PARAMS_MODELO!$B$48),"PLATA",IF(U847&gt;=1,"BRONCE","CERRADO")))))</f>
        <v>PLATA</v>
      </c>
      <c r="W847" s="5" t="str" cm="1">
        <f t="array" ref="W847">_xlfn.XLOOKUP(1, (HIST_SCORE!$B:$B=PARAMS_MODELO!$B$4) * (HIST_SCORE!$C:$C=A847), HIST_SCORE!$E:$E, "No encontrado")</f>
        <v>PLATINO</v>
      </c>
      <c r="X847" s="5" t="str">
        <f>_xlfn.LET(_xlpm.act,MATCH(V847,{"DIAMANTE";"PLATINO";"ORO";"PLATA";"BRONCE";"CERRADO"},0),_xlpm.ant,MATCH(W847,{"DIAMANTE";"PLATINO";"ORO";"PLATA";"BRONCE";"CERRADO"},0),IF(_xlpm.act&lt;_xlpm.ant,"Mejora ↑",IF(_xlpm.act&gt;_xlpm.ant,"Baja ↓","Estable →")))</f>
        <v>Baja ↓</v>
      </c>
      <c r="Y847" s="5">
        <f>IFERROR(U847-SUMIFS(HIST_SCORE!$D:$D,HIST_SCORE!$B:$B,PARAMS_MODELO!$B$4,HIST_SCORE!$C:$C,$A847),"")</f>
        <v>-29.190539221463148</v>
      </c>
      <c r="Z847" s="5" t="str">
        <f t="shared" si="317"/>
        <v>↓ Baja</v>
      </c>
      <c r="AA847" s="5">
        <f t="shared" si="318"/>
        <v>610</v>
      </c>
      <c r="AB847" s="5">
        <f>IFERROR(SUMIFS(HIST_SCORE!$F:$F,HIST_SCORE!$B:$B,PARAMS_MODELO!$B$4,HIST_SCORE!$C:$C,$A847),"")</f>
        <v>141</v>
      </c>
      <c r="AC847" s="5">
        <f t="shared" si="319"/>
        <v>-469</v>
      </c>
      <c r="AD847" t="str">
        <f t="shared" si="321"/>
        <v/>
      </c>
      <c r="AE8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847="CERRADO",1,IF(V847="BRONCE",_xlpm.cPl,IF(V847="PLATA",_xlpm.cO,IF(V847="ORO",_xlpm.cP,IF(V847="PLATINO",_xlpm.cD,999))))))</f>
        <v>63.199193273331495</v>
      </c>
      <c r="AF8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847="CERRADO",0,IF(V847="BRONCE",1,IF(V847="PLATA",_xlpm.cPl,IF(V847="ORO",_xlpm.cO,IF(V847="PLATINO",_xlpm.cP,_xlpm.cD))))))</f>
        <v>24.506573482968111</v>
      </c>
      <c r="AG847">
        <f t="shared" si="322"/>
        <v>2.4808366883759518</v>
      </c>
      <c r="AH847" t="str">
        <f t="shared" si="323"/>
        <v>VENTAS</v>
      </c>
      <c r="AI847" t="str">
        <f t="shared" si="320"/>
        <v>🎯 Para subir de categoría, eje VENTAS / DIFERENCIAL vs LOTBA (J). Acción: metas semanales + activación comercial + seguimiento del asesor. ΔR aprox: 2,5</v>
      </c>
      <c r="AJ847" s="26">
        <f>_xlfn.LET(_xlpm.piso,AF847,_xlpm.corte,AE847,_xlpm.prog,IF(_xlpm.corte&lt;=_xlpm.piso,0,MAX(0,MIN(1,(U847-_xlpm.piso)/(_xlpm.corte-_xlpm.piso)))),_xlpm.orden,{"DIAMANTE";"PLATINO";"ORO";"PLATA";"BRONCE";"CERRADO"},_xlpm.act,IFERROR(MATCH(V847,_xlpm.orden,0),6),_xlpm.ant,IFERROR(MATCH(W847,_xlpm.orden,0),6),_xlpm.ajmov,IF(_xlpm.act&lt;_xlpm.ant,0.08,IF(_xlpm.act&gt;_xlpm.ant,-0.08,0)),_xlpm.ajcli,IF(T847&lt;0.95,-0.06,0),_xlpm.prob,MAX(0,MIN(1,_xlpm.prog+_xlpm.ajmov+_xlpm.ajcli)),IF(OR(V847="DIAMANTE",V847="CERRADO"),0,ROUND(_xlpm.prob,2)))</f>
        <v>0.85</v>
      </c>
      <c r="AK847" t="str">
        <f t="shared" si="324"/>
        <v>Faltan 2,5 puntos base para subir a la siguiente categoría</v>
      </c>
      <c r="AL847" t="str">
        <f t="shared" si="325"/>
        <v>Margen de seguridad: 35,8 puntos</v>
      </c>
      <c r="AM847">
        <f t="shared" si="326"/>
        <v>0.16</v>
      </c>
      <c r="AN847" t="str">
        <f t="shared" si="327"/>
        <v>PRIORIDAD BAJA – control normal</v>
      </c>
      <c r="AO847">
        <f t="shared" si="328"/>
        <v>43.742745331938508</v>
      </c>
      <c r="AP847">
        <f t="shared" si="329"/>
        <v>1.4379782529522522</v>
      </c>
      <c r="AQ847">
        <f t="shared" si="330"/>
        <v>0</v>
      </c>
      <c r="AR847">
        <f t="shared" si="331"/>
        <v>9.3149999999999995</v>
      </c>
      <c r="AS847">
        <f t="shared" si="332"/>
        <v>0</v>
      </c>
      <c r="AT847" t="str">
        <f t="shared" si="333"/>
        <v>VENTAS</v>
      </c>
      <c r="AU847">
        <f t="shared" si="334"/>
        <v>43.742745331938508</v>
      </c>
      <c r="AV847" t="str">
        <f t="shared" si="335"/>
        <v>Mayor retorno probable: VENTAS (+43,7 puntos finales potenciales).</v>
      </c>
    </row>
    <row r="848" spans="1:48" x14ac:dyDescent="0.3">
      <c r="A848" s="5">
        <v>51010248</v>
      </c>
      <c r="B848" s="5" t="str">
        <f>IFERROR(VLOOKUP(A848,VENTAS!$A$2:$B$1194,2,0),"")</f>
        <v>BELUZZO</v>
      </c>
      <c r="C848" s="5">
        <f>IFERROR(INDEX(VENTAS!$C$2:$E$1194,MATCH(A848,VENTAS!$A$2:$A$1194,0),MATCH(PARAMS_MODELO!$B$2,{"Q1","Q2","Q3"},0)),0)</f>
        <v>32252652.640000001</v>
      </c>
      <c r="D848" s="5">
        <f>IFERROR(INDEX(VENTAS!$F$2:$H$1194,MATCH(A848,VENTAS!$A$2:$A$1194,0),MATCH(PARAMS_MODELO!$B$2,{"Q1","Q2","Q3"},0)),0)</f>
        <v>39845666</v>
      </c>
      <c r="E848" s="8">
        <f t="shared" si="312"/>
        <v>0.23542291062853793</v>
      </c>
      <c r="F848" s="12">
        <f>IF(E848&lt;=PARAMS_MODELO!$B$15,0,IF(E848&gt;=PARAMS_MODELO!$B$17,100,100*MIN(1,(E848-PARAMS_MODELO!$B$15)/(PARAMS_MODELO!$B$16-PARAMS_MODELO!$B$15))))*PARAMS_MODELO!$B$7</f>
        <v>35</v>
      </c>
      <c r="G848" s="5">
        <f t="shared" si="313"/>
        <v>7593013.3599999994</v>
      </c>
      <c r="H848" s="5">
        <f>(PARAMS_MODELO!$B$20*(MAX(0,MIN(3,E848))/3)+PARAMS_MODELO!$B$21*(IFERROR(LN(1+MAX(0,G848))/LN(1+MAX(0,MAX($G$2:$G$1194))),0)))*100*PARAMS_MODELO!$B$8</f>
        <v>4.5377394358590477</v>
      </c>
      <c r="I848" s="8">
        <f>E848-PARAMS_MODELO!$B$5</f>
        <v>5.78600752530114E-2</v>
      </c>
      <c r="J848" s="5">
        <f>IF(I848&lt;=PARAMS_MODELO!$B$18,0,IF(I848&gt;=PARAMS_MODELO!$B$19,100,100*(I848-PARAMS_MODELO!$B$18)/(PARAMS_MODELO!$B$19-PARAMS_MODELO!$B$18)))*PARAMS_MODELO!$B$9</f>
        <v>15</v>
      </c>
      <c r="K848" s="5">
        <f>IFERROR(CHOOSE(MATCH(PARAMS_MODELO!$B$2,{"Q1","Q2","Q3"},0),LOTO!$D848,LOTO!$F848,LOTO!$H848),0)</f>
        <v>1845000</v>
      </c>
      <c r="L848" s="8">
        <f t="shared" si="314"/>
        <v>4.6303655710008711E-2</v>
      </c>
      <c r="M848" s="5">
        <f>MIN(100,IF(PARAMS_MODELO!$B$23=0,0,100*L848/PARAMS_MODELO!$B$23))*PARAMS_MODELO!$B$10</f>
        <v>13.891096713002611</v>
      </c>
      <c r="N848" s="5">
        <f>IFERROR(VLOOKUP(A848,COMPLIANCE!$A$2:$F$1996,6,0),100)</f>
        <v>100</v>
      </c>
      <c r="O848" s="5">
        <f>N848*PARAMS_MODELO!$B$11</f>
        <v>10</v>
      </c>
      <c r="P848" s="5">
        <f>IFERROR(VLOOKUP(A848,DIGITAL!$A$2:$J$2000,7,0),100)</f>
        <v>88</v>
      </c>
      <c r="Q848" s="5">
        <f>IFERROR(P848,0)*PARAMS_MODELO!$B$12</f>
        <v>8.8000000000000007</v>
      </c>
      <c r="R848">
        <f t="shared" si="315"/>
        <v>87.228836148861646</v>
      </c>
      <c r="S848" s="5" t="str">
        <f>IFERROR(VLOOKUP(A848,CLIENTE!$A$2:$N$2000,13,0),1)</f>
        <v>Regular</v>
      </c>
      <c r="T848" s="5">
        <f>IFERROR(VLOOKUP(A848,CLIENTE!$A$2:$N$2000,14,0),1)</f>
        <v>1</v>
      </c>
      <c r="U848" s="5">
        <f t="shared" si="316"/>
        <v>87.228836148861646</v>
      </c>
      <c r="V848" s="5" t="str">
        <f>IF(U848&gt;=MAX(_xlfn.PERCENTILE.INC($U$2:$U$1194,PARAMS_MODELO!$B$50),PARAMS_MODELO!$B$45),"DIAMANTE",IF(U848&gt;=MAX(_xlfn.PERCENTILE.INC($U$2:$U$1194,PARAMS_MODELO!$B$51),PARAMS_MODELO!$B$46),"PLATINO",IF(U848&gt;=MAX(_xlfn.PERCENTILE.INC($U$2:$U$1194,PARAMS_MODELO!$B$52),PARAMS_MODELO!$B$47),"ORO",IF(U848&gt;=MAX(_xlfn.PERCENTILE.INC($U$2:$U$1194,PARAMS_MODELO!$B$53),PARAMS_MODELO!$B$48),"PLATA",IF(U848&gt;=1,"BRONCE","CERRADO")))))</f>
        <v>PLATINO</v>
      </c>
      <c r="W848" s="5" t="str" cm="1">
        <f t="array" ref="W848">_xlfn.XLOOKUP(1, (HIST_SCORE!$B:$B=PARAMS_MODELO!$B$4) * (HIST_SCORE!$C:$C=A848), HIST_SCORE!$E:$E, "No encontrado")</f>
        <v>ORO</v>
      </c>
      <c r="X848" s="5" t="str">
        <f>_xlfn.LET(_xlpm.act,MATCH(V848,{"DIAMANTE";"PLATINO";"ORO";"PLATA";"BRONCE";"CERRADO"},0),_xlpm.ant,MATCH(W848,{"DIAMANTE";"PLATINO";"ORO";"PLATA";"BRONCE";"CERRADO"},0),IF(_xlpm.act&lt;_xlpm.ant,"Mejora ↑",IF(_xlpm.act&gt;_xlpm.ant,"Baja ↓","Estable →")))</f>
        <v>Mejora ↑</v>
      </c>
      <c r="Y848" s="5">
        <f>IFERROR(U848-SUMIFS(HIST_SCORE!$D:$D,HIST_SCORE!$B:$B,PARAMS_MODELO!$B$4,HIST_SCORE!$C:$C,$A848),"")</f>
        <v>15.77737271243295</v>
      </c>
      <c r="Z848" s="5" t="str">
        <f t="shared" si="317"/>
        <v>↑ Mejora</v>
      </c>
      <c r="AA848" s="5">
        <f t="shared" si="318"/>
        <v>220</v>
      </c>
      <c r="AB848" s="5">
        <f>IFERROR(SUMIFS(HIST_SCORE!$F:$F,HIST_SCORE!$B:$B,PARAMS_MODELO!$B$4,HIST_SCORE!$C:$C,$A848),"")</f>
        <v>526</v>
      </c>
      <c r="AC848" s="5">
        <f t="shared" si="319"/>
        <v>306</v>
      </c>
      <c r="AD848" t="str">
        <f t="shared" si="321"/>
        <v/>
      </c>
      <c r="AE8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848="CERRADO",1,IF(V848="BRONCE",_xlpm.cPl,IF(V848="PLATA",_xlpm.cO,IF(V848="ORO",_xlpm.cP,IF(V848="PLATINO",_xlpm.cD,999))))))</f>
        <v>96.054919694466676</v>
      </c>
      <c r="AF8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848="CERRADO",0,IF(V848="BRONCE",1,IF(V848="PLATA",_xlpm.cPl,IF(V848="ORO",_xlpm.cO,IF(V848="PLATINO",_xlpm.cP,_xlpm.cD))))))</f>
        <v>86.439123873763251</v>
      </c>
      <c r="AG848">
        <f t="shared" si="322"/>
        <v>8.8260835456050302</v>
      </c>
      <c r="AH848" t="str">
        <f t="shared" si="323"/>
        <v>VENTAS</v>
      </c>
      <c r="AI848" t="str">
        <f t="shared" si="320"/>
        <v>🎯 Para subir de categoría, eje VENTAS / IMPACTO ABSOLUTO (H). Acción: metas semanales + activación comercial + seguimiento del asesor. ΔR aprox: 8,8</v>
      </c>
      <c r="AJ848" s="26">
        <f>_xlfn.LET(_xlpm.piso,AF848,_xlpm.corte,AE848,_xlpm.prog,IF(_xlpm.corte&lt;=_xlpm.piso,0,MAX(0,MIN(1,(U848-_xlpm.piso)/(_xlpm.corte-_xlpm.piso)))),_xlpm.orden,{"DIAMANTE";"PLATINO";"ORO";"PLATA";"BRONCE";"CERRADO"},_xlpm.act,IFERROR(MATCH(V848,_xlpm.orden,0),6),_xlpm.ant,IFERROR(MATCH(W848,_xlpm.orden,0),6),_xlpm.ajmov,IF(_xlpm.act&lt;_xlpm.ant,0.08,IF(_xlpm.act&gt;_xlpm.ant,-0.08,0)),_xlpm.ajcli,IF(T848&lt;0.95,-0.06,0),_xlpm.prob,MAX(0,MIN(1,_xlpm.prog+_xlpm.ajmov+_xlpm.ajcli)),IF(OR(V848="DIAMANTE",V848="CERRADO"),0,ROUND(_xlpm.prob,2)))</f>
        <v>0.16</v>
      </c>
      <c r="AK848" t="str">
        <f t="shared" si="324"/>
        <v>Faltan 8,8 puntos base para subir a la siguiente categoría</v>
      </c>
      <c r="AL848" t="str">
        <f t="shared" si="325"/>
        <v>Margen de seguridad: 0,8 puntos</v>
      </c>
      <c r="AM848">
        <f t="shared" si="326"/>
        <v>0.69</v>
      </c>
      <c r="AN848" t="str">
        <f t="shared" si="327"/>
        <v>PRIORIDAD MEDIA – seguimiento del asesor</v>
      </c>
      <c r="AO848">
        <f t="shared" si="328"/>
        <v>10.324829839436539</v>
      </c>
      <c r="AP848">
        <f t="shared" si="329"/>
        <v>1.1089032869973892</v>
      </c>
      <c r="AQ848">
        <f t="shared" si="330"/>
        <v>0</v>
      </c>
      <c r="AR848">
        <f t="shared" si="331"/>
        <v>1.1999999999999993</v>
      </c>
      <c r="AS848">
        <f t="shared" si="332"/>
        <v>0</v>
      </c>
      <c r="AT848" t="str">
        <f t="shared" si="333"/>
        <v>VENTAS</v>
      </c>
      <c r="AU848">
        <f t="shared" si="334"/>
        <v>10.324829839436539</v>
      </c>
      <c r="AV848" t="str">
        <f t="shared" si="335"/>
        <v>Mayor retorno probable: VENTAS (+10,3 puntos finales potenciales).</v>
      </c>
    </row>
    <row r="849" spans="1:48" x14ac:dyDescent="0.3">
      <c r="A849" s="5">
        <v>51055764</v>
      </c>
      <c r="B849" s="5" t="str">
        <f>IFERROR(VLOOKUP(A849,VENTAS!$A$2:$B$1194,2,0),"")</f>
        <v>ROBERTS</v>
      </c>
      <c r="C849" s="5">
        <f>IFERROR(INDEX(VENTAS!$C$2:$E$1194,MATCH(A849,VENTAS!$A$2:$A$1194,0),MATCH(PARAMS_MODELO!$B$2,{"Q1","Q2","Q3"},0)),0)</f>
        <v>28212570.940000001</v>
      </c>
      <c r="D849" s="5">
        <f>IFERROR(INDEX(VENTAS!$F$2:$H$1194,MATCH(A849,VENTAS!$A$2:$A$1194,0),MATCH(PARAMS_MODELO!$B$2,{"Q1","Q2","Q3"},0)),0)</f>
        <v>39325778</v>
      </c>
      <c r="E849" s="8">
        <f t="shared" si="312"/>
        <v>0.39390976042681758</v>
      </c>
      <c r="F849" s="12">
        <f>IF(E849&lt;=PARAMS_MODELO!$B$15,0,IF(E849&gt;=PARAMS_MODELO!$B$17,100,100*MIN(1,(E849-PARAMS_MODELO!$B$15)/(PARAMS_MODELO!$B$16-PARAMS_MODELO!$B$15))))*PARAMS_MODELO!$B$7</f>
        <v>35</v>
      </c>
      <c r="G849" s="5">
        <f t="shared" si="313"/>
        <v>11113207.059999999</v>
      </c>
      <c r="H849" s="5">
        <f>(PARAMS_MODELO!$B$20*(MAX(0,MIN(3,E849))/3)+PARAMS_MODELO!$B$21*(IFERROR(LN(1+MAX(0,G849))/LN(1+MAX(0,MAX($G$2:$G$1194))),0)))*100*PARAMS_MODELO!$B$8</f>
        <v>5.1817330133454576</v>
      </c>
      <c r="I849" s="8">
        <f>E849-PARAMS_MODELO!$B$5</f>
        <v>0.21634692505129105</v>
      </c>
      <c r="J849" s="5">
        <f>IF(I849&lt;=PARAMS_MODELO!$B$18,0,IF(I849&gt;=PARAMS_MODELO!$B$19,100,100*(I849-PARAMS_MODELO!$B$18)/(PARAMS_MODELO!$B$19-PARAMS_MODELO!$B$18)))*PARAMS_MODELO!$B$9</f>
        <v>15</v>
      </c>
      <c r="K849" s="5">
        <f>IFERROR(CHOOSE(MATCH(PARAMS_MODELO!$B$2,{"Q1","Q2","Q3"},0),LOTO!$D849,LOTO!$F849,LOTO!$H849),0)</f>
        <v>1832500</v>
      </c>
      <c r="L849" s="8">
        <f t="shared" si="314"/>
        <v>4.6597933803115096E-2</v>
      </c>
      <c r="M849" s="5">
        <f>MIN(100,IF(PARAMS_MODELO!$B$23=0,0,100*L849/PARAMS_MODELO!$B$23))*PARAMS_MODELO!$B$10</f>
        <v>13.979380140934529</v>
      </c>
      <c r="N849" s="5">
        <f>IFERROR(VLOOKUP(A849,COMPLIANCE!$A$2:$F$1996,6,0),100)</f>
        <v>100</v>
      </c>
      <c r="O849" s="5">
        <f>N849*PARAMS_MODELO!$B$11</f>
        <v>10</v>
      </c>
      <c r="P849" s="5">
        <f>IFERROR(VLOOKUP(A849,DIGITAL!$A$2:$J$2000,7,0),100)</f>
        <v>38</v>
      </c>
      <c r="Q849" s="5">
        <f>IFERROR(P849,0)*PARAMS_MODELO!$B$12</f>
        <v>3.8000000000000003</v>
      </c>
      <c r="R849">
        <f t="shared" si="315"/>
        <v>82.961113154279985</v>
      </c>
      <c r="S849" s="5" t="str">
        <f>IFERROR(VLOOKUP(A849,CLIENTE!$A$2:$N$2000,13,0),1)</f>
        <v>Regular</v>
      </c>
      <c r="T849" s="5">
        <f>IFERROR(VLOOKUP(A849,CLIENTE!$A$2:$N$2000,14,0),1)</f>
        <v>1</v>
      </c>
      <c r="U849" s="5">
        <f t="shared" si="316"/>
        <v>82.961113154279985</v>
      </c>
      <c r="V849" s="5" t="str">
        <f>IF(U849&gt;=MAX(_xlfn.PERCENTILE.INC($U$2:$U$1194,PARAMS_MODELO!$B$50),PARAMS_MODELO!$B$45),"DIAMANTE",IF(U849&gt;=MAX(_xlfn.PERCENTILE.INC($U$2:$U$1194,PARAMS_MODELO!$B$51),PARAMS_MODELO!$B$46),"PLATINO",IF(U849&gt;=MAX(_xlfn.PERCENTILE.INC($U$2:$U$1194,PARAMS_MODELO!$B$52),PARAMS_MODELO!$B$47),"ORO",IF(U849&gt;=MAX(_xlfn.PERCENTILE.INC($U$2:$U$1194,PARAMS_MODELO!$B$53),PARAMS_MODELO!$B$48),"PLATA",IF(U849&gt;=1,"BRONCE","CERRADO")))))</f>
        <v>ORO</v>
      </c>
      <c r="W849" s="5" t="str" cm="1">
        <f t="array" ref="W849">_xlfn.XLOOKUP(1, (HIST_SCORE!$B:$B=PARAMS_MODELO!$B$4) * (HIST_SCORE!$C:$C=A849), HIST_SCORE!$E:$E, "No encontrado")</f>
        <v>ORO</v>
      </c>
      <c r="X849" s="5" t="str">
        <f>_xlfn.LET(_xlpm.act,MATCH(V849,{"DIAMANTE";"PLATINO";"ORO";"PLATA";"BRONCE";"CERRADO"},0),_xlpm.ant,MATCH(W849,{"DIAMANTE";"PLATINO";"ORO";"PLATA";"BRONCE";"CERRADO"},0),IF(_xlpm.act&lt;_xlpm.ant,"Mejora ↑",IF(_xlpm.act&gt;_xlpm.ant,"Baja ↓","Estable →")))</f>
        <v>Estable →</v>
      </c>
      <c r="Y849" s="5">
        <f>IFERROR(U849-SUMIFS(HIST_SCORE!$D:$D,HIST_SCORE!$B:$B,PARAMS_MODELO!$B$4,HIST_SCORE!$C:$C,$A849),"")</f>
        <v>7.9087939279337576</v>
      </c>
      <c r="Z849" s="5" t="str">
        <f t="shared" si="317"/>
        <v>↑ Mejora</v>
      </c>
      <c r="AA849" s="5">
        <f t="shared" si="318"/>
        <v>355</v>
      </c>
      <c r="AB849" s="5">
        <f>IFERROR(SUMIFS(HIST_SCORE!$F:$F,HIST_SCORE!$B:$B,PARAMS_MODELO!$B$4,HIST_SCORE!$C:$C,$A849),"")</f>
        <v>492</v>
      </c>
      <c r="AC849" s="5">
        <f t="shared" si="319"/>
        <v>137</v>
      </c>
      <c r="AD849" t="str">
        <f t="shared" si="321"/>
        <v/>
      </c>
      <c r="AE8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849="CERRADO",1,IF(V849="BRONCE",_xlpm.cPl,IF(V849="PLATA",_xlpm.cO,IF(V849="ORO",_xlpm.cP,IF(V849="PLATINO",_xlpm.cD,999))))))</f>
        <v>86.439123873763251</v>
      </c>
      <c r="AF8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849="CERRADO",0,IF(V849="BRONCE",1,IF(V849="PLATA",_xlpm.cPl,IF(V849="ORO",_xlpm.cO,IF(V849="PLATINO",_xlpm.cP,_xlpm.cD))))))</f>
        <v>63.199193273331495</v>
      </c>
      <c r="AG849">
        <f t="shared" si="322"/>
        <v>3.4780107194832652</v>
      </c>
      <c r="AH849" t="str">
        <f t="shared" si="323"/>
        <v>VENTAS</v>
      </c>
      <c r="AI849" t="str">
        <f t="shared" si="320"/>
        <v>🎯 Para subir de categoría, eje VENTAS / IMPACTO ABSOLUTO (H). Acción: metas semanales + activación comercial + seguimiento del asesor. ΔR aprox: 3,5</v>
      </c>
      <c r="AJ849" s="26">
        <f>_xlfn.LET(_xlpm.piso,AF849,_xlpm.corte,AE849,_xlpm.prog,IF(_xlpm.corte&lt;=_xlpm.piso,0,MAX(0,MIN(1,(U849-_xlpm.piso)/(_xlpm.corte-_xlpm.piso)))),_xlpm.orden,{"DIAMANTE";"PLATINO";"ORO";"PLATA";"BRONCE";"CERRADO"},_xlpm.act,IFERROR(MATCH(V849,_xlpm.orden,0),6),_xlpm.ant,IFERROR(MATCH(W849,_xlpm.orden,0),6),_xlpm.ajmov,IF(_xlpm.act&lt;_xlpm.ant,0.08,IF(_xlpm.act&gt;_xlpm.ant,-0.08,0)),_xlpm.ajcli,IF(T849&lt;0.95,-0.06,0),_xlpm.prob,MAX(0,MIN(1,_xlpm.prog+_xlpm.ajmov+_xlpm.ajcli)),IF(OR(V849="DIAMANTE",V849="CERRADO"),0,ROUND(_xlpm.prob,2)))</f>
        <v>0.85</v>
      </c>
      <c r="AK849" t="str">
        <f t="shared" si="324"/>
        <v>Faltan 3,5 puntos base para subir a la siguiente categoría</v>
      </c>
      <c r="AL849" t="str">
        <f t="shared" si="325"/>
        <v>Margen de seguridad: 19,8 puntos</v>
      </c>
      <c r="AM849">
        <f t="shared" si="326"/>
        <v>0.2</v>
      </c>
      <c r="AN849" t="str">
        <f t="shared" si="327"/>
        <v>PRIORIDAD BAJA – control normal</v>
      </c>
      <c r="AO849">
        <f t="shared" si="328"/>
        <v>9.6808362619501267</v>
      </c>
      <c r="AP849">
        <f t="shared" si="329"/>
        <v>1.0206198590654711</v>
      </c>
      <c r="AQ849">
        <f t="shared" si="330"/>
        <v>0</v>
      </c>
      <c r="AR849">
        <f t="shared" si="331"/>
        <v>6.1999999999999993</v>
      </c>
      <c r="AS849">
        <f t="shared" si="332"/>
        <v>0</v>
      </c>
      <c r="AT849" t="str">
        <f t="shared" si="333"/>
        <v>VENTAS</v>
      </c>
      <c r="AU849">
        <f t="shared" si="334"/>
        <v>9.6808362619501267</v>
      </c>
      <c r="AV849" t="str">
        <f t="shared" si="335"/>
        <v>Mayor retorno probable: VENTAS (+9,7 puntos finales potenciales).</v>
      </c>
    </row>
    <row r="850" spans="1:48" x14ac:dyDescent="0.3">
      <c r="A850" s="5">
        <v>51012496</v>
      </c>
      <c r="B850" s="5" t="str">
        <f>IFERROR(VLOOKUP(A850,VENTAS!$A$2:$B$1194,2,0),"")</f>
        <v>PUGH</v>
      </c>
      <c r="C850" s="5">
        <f>IFERROR(INDEX(VENTAS!$C$2:$E$1194,MATCH(A850,VENTAS!$A$2:$A$1194,0),MATCH(PARAMS_MODELO!$B$2,{"Q1","Q2","Q3"},0)),0)</f>
        <v>33102812.809999999</v>
      </c>
      <c r="D850" s="5">
        <f>IFERROR(INDEX(VENTAS!$F$2:$H$1194,MATCH(A850,VENTAS!$A$2:$A$1194,0),MATCH(PARAMS_MODELO!$B$2,{"Q1","Q2","Q3"},0)),0)</f>
        <v>39215554</v>
      </c>
      <c r="E850" s="8">
        <f t="shared" si="312"/>
        <v>0.18465926823455336</v>
      </c>
      <c r="F850" s="12">
        <f>IF(E850&lt;=PARAMS_MODELO!$B$15,0,IF(E850&gt;=PARAMS_MODELO!$B$17,100,100*MIN(1,(E850-PARAMS_MODELO!$B$15)/(PARAMS_MODELO!$B$16-PARAMS_MODELO!$B$15))))*PARAMS_MODELO!$B$7</f>
        <v>35</v>
      </c>
      <c r="G850" s="5">
        <f t="shared" si="313"/>
        <v>6112741.1900000013</v>
      </c>
      <c r="H850" s="5">
        <f>(PARAMS_MODELO!$B$20*(MAX(0,MIN(3,E850))/3)+PARAMS_MODELO!$B$21*(IFERROR(LN(1+MAX(0,G850))/LN(1+MAX(0,MAX($G$2:$G$1194))),0)))*100*PARAMS_MODELO!$B$8</f>
        <v>4.3092332734148142</v>
      </c>
      <c r="I850" s="8">
        <f>E850-PARAMS_MODELO!$B$5</f>
        <v>7.0964328590268355E-3</v>
      </c>
      <c r="J850" s="5">
        <f>IF(I850&lt;=PARAMS_MODELO!$B$18,0,IF(I850&gt;=PARAMS_MODELO!$B$19,100,100*(I850-PARAMS_MODELO!$B$18)/(PARAMS_MODELO!$B$19-PARAMS_MODELO!$B$18)))*PARAMS_MODELO!$B$9</f>
        <v>8.564464928854024</v>
      </c>
      <c r="K850" s="5">
        <f>IFERROR(CHOOSE(MATCH(PARAMS_MODELO!$B$2,{"Q1","Q2","Q3"},0),LOTO!$D850,LOTO!$F850,LOTO!$H850),0)</f>
        <v>1825000</v>
      </c>
      <c r="L850" s="8">
        <f t="shared" si="314"/>
        <v>4.6537656971516968E-2</v>
      </c>
      <c r="M850" s="5">
        <f>MIN(100,IF(PARAMS_MODELO!$B$23=0,0,100*L850/PARAMS_MODELO!$B$23))*PARAMS_MODELO!$B$10</f>
        <v>13.961297091455089</v>
      </c>
      <c r="N850" s="5">
        <f>IFERROR(VLOOKUP(A850,COMPLIANCE!$A$2:$F$1996,6,0),100)</f>
        <v>100</v>
      </c>
      <c r="O850" s="5">
        <f>N850*PARAMS_MODELO!$B$11</f>
        <v>10</v>
      </c>
      <c r="P850" s="5">
        <f>IFERROR(VLOOKUP(A850,DIGITAL!$A$2:$J$2000,7,0),100)</f>
        <v>91</v>
      </c>
      <c r="Q850" s="5">
        <f>IFERROR(P850,0)*PARAMS_MODELO!$B$12</f>
        <v>9.1</v>
      </c>
      <c r="R850">
        <f t="shared" si="315"/>
        <v>80.934995293723915</v>
      </c>
      <c r="S850" s="5" t="str">
        <f>IFERROR(VLOOKUP(A850,CLIENTE!$A$2:$N$2000,13,0),1)</f>
        <v>Bueno</v>
      </c>
      <c r="T850" s="5">
        <f>IFERROR(VLOOKUP(A850,CLIENTE!$A$2:$N$2000,14,0),1)</f>
        <v>1.1000000000000001</v>
      </c>
      <c r="U850" s="5">
        <f t="shared" si="316"/>
        <v>89.02849482309631</v>
      </c>
      <c r="V850" s="5" t="str">
        <f>IF(U850&gt;=MAX(_xlfn.PERCENTILE.INC($U$2:$U$1194,PARAMS_MODELO!$B$50),PARAMS_MODELO!$B$45),"DIAMANTE",IF(U850&gt;=MAX(_xlfn.PERCENTILE.INC($U$2:$U$1194,PARAMS_MODELO!$B$51),PARAMS_MODELO!$B$46),"PLATINO",IF(U850&gt;=MAX(_xlfn.PERCENTILE.INC($U$2:$U$1194,PARAMS_MODELO!$B$52),PARAMS_MODELO!$B$47),"ORO",IF(U850&gt;=MAX(_xlfn.PERCENTILE.INC($U$2:$U$1194,PARAMS_MODELO!$B$53),PARAMS_MODELO!$B$48),"PLATA",IF(U850&gt;=1,"BRONCE","CERRADO")))))</f>
        <v>PLATINO</v>
      </c>
      <c r="W850" s="5" t="str" cm="1">
        <f t="array" ref="W850">_xlfn.XLOOKUP(1, (HIST_SCORE!$B:$B=PARAMS_MODELO!$B$4) * (HIST_SCORE!$C:$C=A850), HIST_SCORE!$E:$E, "No encontrado")</f>
        <v>DIAMANTE</v>
      </c>
      <c r="X850" s="5" t="str">
        <f>_xlfn.LET(_xlpm.act,MATCH(V850,{"DIAMANTE";"PLATINO";"ORO";"PLATA";"BRONCE";"CERRADO"},0),_xlpm.ant,MATCH(W850,{"DIAMANTE";"PLATINO";"ORO";"PLATA";"BRONCE";"CERRADO"},0),IF(_xlpm.act&lt;_xlpm.ant,"Mejora ↑",IF(_xlpm.act&gt;_xlpm.ant,"Baja ↓","Estable →")))</f>
        <v>Baja ↓</v>
      </c>
      <c r="Y850" s="5">
        <f>IFERROR(U850-SUMIFS(HIST_SCORE!$D:$D,HIST_SCORE!$B:$B,PARAMS_MODELO!$B$4,HIST_SCORE!$C:$C,$A850),"")</f>
        <v>-9.9964906773894171</v>
      </c>
      <c r="Z850" s="5" t="str">
        <f t="shared" si="317"/>
        <v>↓ Baja</v>
      </c>
      <c r="AA850" s="5">
        <f t="shared" si="318"/>
        <v>166</v>
      </c>
      <c r="AB850" s="5">
        <f>IFERROR(SUMIFS(HIST_SCORE!$F:$F,HIST_SCORE!$B:$B,PARAMS_MODELO!$B$4,HIST_SCORE!$C:$C,$A850),"")</f>
        <v>23</v>
      </c>
      <c r="AC850" s="5">
        <f t="shared" si="319"/>
        <v>-143</v>
      </c>
      <c r="AD850" t="str">
        <f t="shared" si="321"/>
        <v/>
      </c>
      <c r="AE8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850="CERRADO",1,IF(V850="BRONCE",_xlpm.cPl,IF(V850="PLATA",_xlpm.cO,IF(V850="ORO",_xlpm.cP,IF(V850="PLATINO",_xlpm.cD,999))))))</f>
        <v>96.054919694466676</v>
      </c>
      <c r="AF8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850="CERRADO",0,IF(V850="BRONCE",1,IF(V850="PLATA",_xlpm.cPl,IF(V850="ORO",_xlpm.cO,IF(V850="PLATINO",_xlpm.cP,_xlpm.cD))))))</f>
        <v>86.439123873763251</v>
      </c>
      <c r="AG850">
        <f t="shared" si="322"/>
        <v>6.3876589739730605</v>
      </c>
      <c r="AH850" t="str">
        <f t="shared" si="323"/>
        <v>VENTAS</v>
      </c>
      <c r="AI850" t="str">
        <f t="shared" si="320"/>
        <v>🎯 Para subir de categoría, eje VENTAS / IMPACTO ABSOLUTO (H). Acción: metas semanales + activación comercial + seguimiento del asesor. ΔR aprox: 6,4</v>
      </c>
      <c r="AJ850" s="26">
        <f>_xlfn.LET(_xlpm.piso,AF850,_xlpm.corte,AE850,_xlpm.prog,IF(_xlpm.corte&lt;=_xlpm.piso,0,MAX(0,MIN(1,(U850-_xlpm.piso)/(_xlpm.corte-_xlpm.piso)))),_xlpm.orden,{"DIAMANTE";"PLATINO";"ORO";"PLATA";"BRONCE";"CERRADO"},_xlpm.act,IFERROR(MATCH(V850,_xlpm.orden,0),6),_xlpm.ant,IFERROR(MATCH(W850,_xlpm.orden,0),6),_xlpm.ajmov,IF(_xlpm.act&lt;_xlpm.ant,0.08,IF(_xlpm.act&gt;_xlpm.ant,-0.08,0)),_xlpm.ajcli,IF(T850&lt;0.95,-0.06,0),_xlpm.prob,MAX(0,MIN(1,_xlpm.prog+_xlpm.ajmov+_xlpm.ajcli)),IF(OR(V850="DIAMANTE",V850="CERRADO"),0,ROUND(_xlpm.prob,2)))</f>
        <v>0.19</v>
      </c>
      <c r="AK850" t="str">
        <f t="shared" si="324"/>
        <v>Faltan 6,4 puntos base para subir a la siguiente categoría</v>
      </c>
      <c r="AL850" t="str">
        <f t="shared" si="325"/>
        <v>Margen de seguridad: 2,6 puntos</v>
      </c>
      <c r="AM850">
        <f t="shared" si="326"/>
        <v>0.57999999999999996</v>
      </c>
      <c r="AN850" t="str">
        <f t="shared" si="327"/>
        <v>PRIORIDAD MEDIA – seguimiento del asesor</v>
      </c>
      <c r="AO850">
        <f t="shared" si="328"/>
        <v>18.687758180329428</v>
      </c>
      <c r="AP850">
        <f t="shared" si="329"/>
        <v>1.1425731993994024</v>
      </c>
      <c r="AQ850">
        <f t="shared" si="330"/>
        <v>0</v>
      </c>
      <c r="AR850">
        <f t="shared" si="331"/>
        <v>0.99000000000000044</v>
      </c>
      <c r="AS850">
        <f t="shared" si="332"/>
        <v>0</v>
      </c>
      <c r="AT850" t="str">
        <f t="shared" si="333"/>
        <v>VENTAS</v>
      </c>
      <c r="AU850">
        <f t="shared" si="334"/>
        <v>18.687758180329428</v>
      </c>
      <c r="AV850" t="str">
        <f t="shared" si="335"/>
        <v>Mayor retorno probable: VENTAS (+18,7 puntos finales potenciales).</v>
      </c>
    </row>
    <row r="851" spans="1:48" x14ac:dyDescent="0.3">
      <c r="A851" s="5">
        <v>51016874</v>
      </c>
      <c r="B851" s="5" t="str">
        <f>IFERROR(VLOOKUP(A851,VENTAS!$A$2:$B$1194,2,0),"")</f>
        <v>NELLI</v>
      </c>
      <c r="C851" s="5">
        <f>IFERROR(INDEX(VENTAS!$C$2:$E$1194,MATCH(A851,VENTAS!$A$2:$A$1194,0),MATCH(PARAMS_MODELO!$B$2,{"Q1","Q2","Q3"},0)),0)</f>
        <v>6313866.0999999996</v>
      </c>
      <c r="D851" s="5">
        <f>IFERROR(INDEX(VENTAS!$F$2:$H$1194,MATCH(A851,VENTAS!$A$2:$A$1194,0),MATCH(PARAMS_MODELO!$B$2,{"Q1","Q2","Q3"},0)),0)</f>
        <v>39211764</v>
      </c>
      <c r="E851" s="8">
        <f t="shared" si="312"/>
        <v>5.2104205852575811</v>
      </c>
      <c r="F851" s="12">
        <f>IF(E851&lt;=PARAMS_MODELO!$B$15,0,IF(E851&gt;=PARAMS_MODELO!$B$17,100,100*MIN(1,(E851-PARAMS_MODELO!$B$15)/(PARAMS_MODELO!$B$16-PARAMS_MODELO!$B$15))))*PARAMS_MODELO!$B$7</f>
        <v>35</v>
      </c>
      <c r="G851" s="5">
        <f t="shared" si="313"/>
        <v>32897897.899999999</v>
      </c>
      <c r="H851" s="5">
        <f>(PARAMS_MODELO!$B$20*(MAX(0,MIN(3,E851))/3)+PARAMS_MODELO!$B$21*(IFERROR(LN(1+MAX(0,G851))/LN(1+MAX(0,MAX($G$2:$G$1194))),0)))*100*PARAMS_MODELO!$B$8</f>
        <v>14.557452340272569</v>
      </c>
      <c r="I851" s="8">
        <f>E851-PARAMS_MODELO!$B$5</f>
        <v>5.032857749882055</v>
      </c>
      <c r="J851" s="5">
        <f>IF(I851&lt;=PARAMS_MODELO!$B$18,0,IF(I851&gt;=PARAMS_MODELO!$B$19,100,100*(I851-PARAMS_MODELO!$B$18)/(PARAMS_MODELO!$B$19-PARAMS_MODELO!$B$18)))*PARAMS_MODELO!$B$9</f>
        <v>15</v>
      </c>
      <c r="K851" s="5">
        <f>IFERROR(CHOOSE(MATCH(PARAMS_MODELO!$B$2,{"Q1","Q2","Q3"},0),LOTO!$D851,LOTO!$F851,LOTO!$H851),0)</f>
        <v>1822500</v>
      </c>
      <c r="L851" s="8">
        <f t="shared" si="314"/>
        <v>4.6478398676478822E-2</v>
      </c>
      <c r="M851" s="5">
        <f>MIN(100,IF(PARAMS_MODELO!$B$23=0,0,100*L851/PARAMS_MODELO!$B$23))*PARAMS_MODELO!$B$10</f>
        <v>13.943519602943645</v>
      </c>
      <c r="N851" s="5">
        <f>IFERROR(VLOOKUP(A851,COMPLIANCE!$A$2:$F$1996,6,0),100)</f>
        <v>100</v>
      </c>
      <c r="O851" s="5">
        <f>N851*PARAMS_MODELO!$B$11</f>
        <v>10</v>
      </c>
      <c r="P851" s="5">
        <f>IFERROR(VLOOKUP(A851,DIGITAL!$A$2:$J$2000,7,0),100)</f>
        <v>21</v>
      </c>
      <c r="Q851" s="5">
        <f>IFERROR(P851,0)*PARAMS_MODELO!$B$12</f>
        <v>2.1</v>
      </c>
      <c r="R851">
        <f t="shared" si="315"/>
        <v>90.600971943216194</v>
      </c>
      <c r="S851" s="5" t="str">
        <f>IFERROR(VLOOKUP(A851,CLIENTE!$A$2:$N$2000,13,0),1)</f>
        <v>Regular</v>
      </c>
      <c r="T851" s="5">
        <f>IFERROR(VLOOKUP(A851,CLIENTE!$A$2:$N$2000,14,0),1)</f>
        <v>1</v>
      </c>
      <c r="U851" s="5">
        <f t="shared" si="316"/>
        <v>90.600971943216194</v>
      </c>
      <c r="V851" s="5" t="str">
        <f>IF(U851&gt;=MAX(_xlfn.PERCENTILE.INC($U$2:$U$1194,PARAMS_MODELO!$B$50),PARAMS_MODELO!$B$45),"DIAMANTE",IF(U851&gt;=MAX(_xlfn.PERCENTILE.INC($U$2:$U$1194,PARAMS_MODELO!$B$51),PARAMS_MODELO!$B$46),"PLATINO",IF(U851&gt;=MAX(_xlfn.PERCENTILE.INC($U$2:$U$1194,PARAMS_MODELO!$B$52),PARAMS_MODELO!$B$47),"ORO",IF(U851&gt;=MAX(_xlfn.PERCENTILE.INC($U$2:$U$1194,PARAMS_MODELO!$B$53),PARAMS_MODELO!$B$48),"PLATA",IF(U851&gt;=1,"BRONCE","CERRADO")))))</f>
        <v>PLATINO</v>
      </c>
      <c r="W851" s="5" t="str" cm="1">
        <f t="array" ref="W851">_xlfn.XLOOKUP(1, (HIST_SCORE!$B:$B=PARAMS_MODELO!$B$4) * (HIST_SCORE!$C:$C=A851), HIST_SCORE!$E:$E, "No encontrado")</f>
        <v>PLATA</v>
      </c>
      <c r="X851" s="5" t="str">
        <f>_xlfn.LET(_xlpm.act,MATCH(V851,{"DIAMANTE";"PLATINO";"ORO";"PLATA";"BRONCE";"CERRADO"},0),_xlpm.ant,MATCH(W851,{"DIAMANTE";"PLATINO";"ORO";"PLATA";"BRONCE";"CERRADO"},0),IF(_xlpm.act&lt;_xlpm.ant,"Mejora ↑",IF(_xlpm.act&gt;_xlpm.ant,"Baja ↓","Estable →")))</f>
        <v>Mejora ↑</v>
      </c>
      <c r="Y851" s="5">
        <f>IFERROR(U851-SUMIFS(HIST_SCORE!$D:$D,HIST_SCORE!$B:$B,PARAMS_MODELO!$B$4,HIST_SCORE!$C:$C,$A851),"")</f>
        <v>59.582942888892283</v>
      </c>
      <c r="Z851" s="5" t="str">
        <f t="shared" si="317"/>
        <v>↑ Mejora</v>
      </c>
      <c r="AA851" s="5">
        <f t="shared" si="318"/>
        <v>122</v>
      </c>
      <c r="AB851" s="5">
        <f>IFERROR(SUMIFS(HIST_SCORE!$F:$F,HIST_SCORE!$B:$B,PARAMS_MODELO!$B$4,HIST_SCORE!$C:$C,$A851),"")</f>
        <v>900</v>
      </c>
      <c r="AC851" s="5">
        <f t="shared" si="319"/>
        <v>778</v>
      </c>
      <c r="AD851" t="str">
        <f t="shared" si="321"/>
        <v/>
      </c>
      <c r="AE8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851="CERRADO",1,IF(V851="BRONCE",_xlpm.cPl,IF(V851="PLATA",_xlpm.cO,IF(V851="ORO",_xlpm.cP,IF(V851="PLATINO",_xlpm.cD,999))))))</f>
        <v>96.054919694466676</v>
      </c>
      <c r="AF8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851="CERRADO",0,IF(V851="BRONCE",1,IF(V851="PLATA",_xlpm.cPl,IF(V851="ORO",_xlpm.cO,IF(V851="PLATINO",_xlpm.cP,_xlpm.cD))))))</f>
        <v>86.439123873763251</v>
      </c>
      <c r="AG851">
        <f t="shared" si="322"/>
        <v>5.4539477512504817</v>
      </c>
      <c r="AH851" t="str">
        <f t="shared" si="323"/>
        <v>DIGITAL</v>
      </c>
      <c r="AI851" t="str">
        <f t="shared" si="320"/>
        <v>🎯 Para subir de categoría, eje DIGITAL (Q). Acción: aumentar adopción digital en mostrador + seguimiento semanal. ΔR aprox: 5,5</v>
      </c>
      <c r="AJ851" s="26">
        <f>_xlfn.LET(_xlpm.piso,AF851,_xlpm.corte,AE851,_xlpm.prog,IF(_xlpm.corte&lt;=_xlpm.piso,0,MAX(0,MIN(1,(U851-_xlpm.piso)/(_xlpm.corte-_xlpm.piso)))),_xlpm.orden,{"DIAMANTE";"PLATINO";"ORO";"PLATA";"BRONCE";"CERRADO"},_xlpm.act,IFERROR(MATCH(V851,_xlpm.orden,0),6),_xlpm.ant,IFERROR(MATCH(W851,_xlpm.orden,0),6),_xlpm.ajmov,IF(_xlpm.act&lt;_xlpm.ant,0.08,IF(_xlpm.act&gt;_xlpm.ant,-0.08,0)),_xlpm.ajcli,IF(T851&lt;0.95,-0.06,0),_xlpm.prob,MAX(0,MIN(1,_xlpm.prog+_xlpm.ajmov+_xlpm.ajcli)),IF(OR(V851="DIAMANTE",V851="CERRADO"),0,ROUND(_xlpm.prob,2)))</f>
        <v>0.51</v>
      </c>
      <c r="AK851" t="str">
        <f t="shared" si="324"/>
        <v>Faltan 5,5 puntos base para subir a la siguiente categoría</v>
      </c>
      <c r="AL851" t="str">
        <f t="shared" si="325"/>
        <v>Margen de seguridad: 4,2 puntos</v>
      </c>
      <c r="AM851">
        <f t="shared" si="326"/>
        <v>0.41</v>
      </c>
      <c r="AN851" t="str">
        <f t="shared" si="327"/>
        <v>PRIORIDAD MEDIA – seguimiento del asesor</v>
      </c>
      <c r="AO851">
        <f t="shared" si="328"/>
        <v>0.30511693502302251</v>
      </c>
      <c r="AP851">
        <f t="shared" si="329"/>
        <v>1.0564803970563545</v>
      </c>
      <c r="AQ851">
        <f t="shared" si="330"/>
        <v>0</v>
      </c>
      <c r="AR851">
        <f t="shared" si="331"/>
        <v>7.9</v>
      </c>
      <c r="AS851">
        <f t="shared" si="332"/>
        <v>0</v>
      </c>
      <c r="AT851" t="str">
        <f t="shared" si="333"/>
        <v>DIGITAL</v>
      </c>
      <c r="AU851">
        <f t="shared" si="334"/>
        <v>7.9</v>
      </c>
      <c r="AV851" t="str">
        <f t="shared" si="335"/>
        <v>Mayor retorno probable: DIGITAL (+7,9 puntos finales potenciales).</v>
      </c>
    </row>
    <row r="852" spans="1:48" x14ac:dyDescent="0.3">
      <c r="A852" s="5">
        <v>51011481</v>
      </c>
      <c r="B852" s="5" t="str">
        <f>IFERROR(VLOOKUP(A852,VENTAS!$A$2:$B$1194,2,0),"")</f>
        <v>ARGUELLO</v>
      </c>
      <c r="C852" s="5">
        <f>IFERROR(INDEX(VENTAS!$C$2:$E$1194,MATCH(A852,VENTAS!$A$2:$A$1194,0),MATCH(PARAMS_MODELO!$B$2,{"Q1","Q2","Q3"},0)),0)</f>
        <v>36831120.950000003</v>
      </c>
      <c r="D852" s="5">
        <f>IFERROR(INDEX(VENTAS!$F$2:$H$1194,MATCH(A852,VENTAS!$A$2:$A$1194,0),MATCH(PARAMS_MODELO!$B$2,{"Q1","Q2","Q3"},0)),0)</f>
        <v>39082232</v>
      </c>
      <c r="E852" s="8">
        <f t="shared" si="312"/>
        <v>6.1119808247378282E-2</v>
      </c>
      <c r="F852" s="12">
        <f>IF(E852&lt;=PARAMS_MODELO!$B$15,0,IF(E852&gt;=PARAMS_MODELO!$B$17,100,100*MIN(1,(E852-PARAMS_MODELO!$B$15)/(PARAMS_MODELO!$B$16-PARAMS_MODELO!$B$15))))*PARAMS_MODELO!$B$7</f>
        <v>21.391932886582396</v>
      </c>
      <c r="G852" s="5">
        <f t="shared" si="313"/>
        <v>2251111.049999997</v>
      </c>
      <c r="H852" s="5">
        <f>(PARAMS_MODELO!$B$20*(MAX(0,MIN(3,E852))/3)+PARAMS_MODELO!$B$21*(IFERROR(LN(1+MAX(0,G852))/LN(1+MAX(0,MAX($G$2:$G$1194))),0)))*100*PARAMS_MODELO!$B$8</f>
        <v>3.6426770707695333</v>
      </c>
      <c r="I852" s="8">
        <f>E852-PARAMS_MODELO!$B$5</f>
        <v>-0.11644302712814825</v>
      </c>
      <c r="J852" s="5">
        <f>IF(I852&lt;=PARAMS_MODELO!$B$18,0,IF(I852&gt;=PARAMS_MODELO!$B$19,100,100*(I852-PARAMS_MODELO!$B$18)/(PARAMS_MODELO!$B$19-PARAMS_MODELO!$B$18)))*PARAMS_MODELO!$B$9</f>
        <v>0</v>
      </c>
      <c r="K852" s="5">
        <f>IFERROR(CHOOSE(MATCH(PARAMS_MODELO!$B$2,{"Q1","Q2","Q3"},0),LOTO!$D852,LOTO!$F852,LOTO!$H852),0)</f>
        <v>1822500</v>
      </c>
      <c r="L852" s="8">
        <f t="shared" si="314"/>
        <v>4.6632444124480914E-2</v>
      </c>
      <c r="M852" s="5">
        <f>MIN(100,IF(PARAMS_MODELO!$B$23=0,0,100*L852/PARAMS_MODELO!$B$23))*PARAMS_MODELO!$B$10</f>
        <v>13.989733237344273</v>
      </c>
      <c r="N852" s="5">
        <f>IFERROR(VLOOKUP(A852,COMPLIANCE!$A$2:$F$1996,6,0),100)</f>
        <v>99.98</v>
      </c>
      <c r="O852" s="5">
        <f>N852*PARAMS_MODELO!$B$11</f>
        <v>9.9980000000000011</v>
      </c>
      <c r="P852" s="5">
        <f>IFERROR(VLOOKUP(A852,DIGITAL!$A$2:$J$2000,7,0),100)</f>
        <v>4</v>
      </c>
      <c r="Q852" s="5">
        <f>IFERROR(P852,0)*PARAMS_MODELO!$B$12</f>
        <v>0.4</v>
      </c>
      <c r="R852">
        <f t="shared" si="315"/>
        <v>49.422343194696204</v>
      </c>
      <c r="S852" s="5" t="str">
        <f>IFERROR(VLOOKUP(A852,CLIENTE!$A$2:$N$2000,13,0),1)</f>
        <v>Regular</v>
      </c>
      <c r="T852" s="5">
        <f>IFERROR(VLOOKUP(A852,CLIENTE!$A$2:$N$2000,14,0),1)</f>
        <v>1</v>
      </c>
      <c r="U852" s="5">
        <f t="shared" si="316"/>
        <v>49.422343194696204</v>
      </c>
      <c r="V852" s="5" t="str">
        <f>IF(U852&gt;=MAX(_xlfn.PERCENTILE.INC($U$2:$U$1194,PARAMS_MODELO!$B$50),PARAMS_MODELO!$B$45),"DIAMANTE",IF(U852&gt;=MAX(_xlfn.PERCENTILE.INC($U$2:$U$1194,PARAMS_MODELO!$B$51),PARAMS_MODELO!$B$46),"PLATINO",IF(U852&gt;=MAX(_xlfn.PERCENTILE.INC($U$2:$U$1194,PARAMS_MODELO!$B$52),PARAMS_MODELO!$B$47),"ORO",IF(U852&gt;=MAX(_xlfn.PERCENTILE.INC($U$2:$U$1194,PARAMS_MODELO!$B$53),PARAMS_MODELO!$B$48),"PLATA",IF(U852&gt;=1,"BRONCE","CERRADO")))))</f>
        <v>PLATA</v>
      </c>
      <c r="W852" s="5" t="str" cm="1">
        <f t="array" ref="W852">_xlfn.XLOOKUP(1, (HIST_SCORE!$B:$B=PARAMS_MODELO!$B$4) * (HIST_SCORE!$C:$C=A852), HIST_SCORE!$E:$E, "No encontrado")</f>
        <v>ORO</v>
      </c>
      <c r="X852" s="5" t="str">
        <f>_xlfn.LET(_xlpm.act,MATCH(V852,{"DIAMANTE";"PLATINO";"ORO";"PLATA";"BRONCE";"CERRADO"},0),_xlpm.ant,MATCH(W852,{"DIAMANTE";"PLATINO";"ORO";"PLATA";"BRONCE";"CERRADO"},0),IF(_xlpm.act&lt;_xlpm.ant,"Mejora ↑",IF(_xlpm.act&gt;_xlpm.ant,"Baja ↓","Estable →")))</f>
        <v>Baja ↓</v>
      </c>
      <c r="Y852" s="5">
        <f>IFERROR(U852-SUMIFS(HIST_SCORE!$D:$D,HIST_SCORE!$B:$B,PARAMS_MODELO!$B$4,HIST_SCORE!$C:$C,$A852),"")</f>
        <v>-26.561180820222042</v>
      </c>
      <c r="Z852" s="5" t="str">
        <f t="shared" si="317"/>
        <v>↓ Baja</v>
      </c>
      <c r="AA852" s="5">
        <f t="shared" si="318"/>
        <v>747</v>
      </c>
      <c r="AB852" s="5">
        <f>IFERROR(SUMIFS(HIST_SCORE!$F:$F,HIST_SCORE!$B:$B,PARAMS_MODELO!$B$4,HIST_SCORE!$C:$C,$A852),"")</f>
        <v>483</v>
      </c>
      <c r="AC852" s="5">
        <f t="shared" si="319"/>
        <v>-264</v>
      </c>
      <c r="AD852" t="str">
        <f t="shared" si="321"/>
        <v/>
      </c>
      <c r="AE8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852="CERRADO",1,IF(V852="BRONCE",_xlpm.cPl,IF(V852="PLATA",_xlpm.cO,IF(V852="ORO",_xlpm.cP,IF(V852="PLATINO",_xlpm.cD,999))))))</f>
        <v>63.199193273331495</v>
      </c>
      <c r="AF8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852="CERRADO",0,IF(V852="BRONCE",1,IF(V852="PLATA",_xlpm.cPl,IF(V852="ORO",_xlpm.cO,IF(V852="PLATINO",_xlpm.cP,_xlpm.cD))))))</f>
        <v>24.506573482968111</v>
      </c>
      <c r="AG852">
        <f t="shared" si="322"/>
        <v>13.776850078635292</v>
      </c>
      <c r="AH852" t="str">
        <f t="shared" si="323"/>
        <v>VENTAS</v>
      </c>
      <c r="AI852" t="str">
        <f t="shared" si="320"/>
        <v>🎯 Para subir de categoría, eje VENTAS / DIFERENCIAL vs LOTBA (J). Acción: metas semanales + activación comercial + seguimiento del asesor. ΔR aprox: 13,8</v>
      </c>
      <c r="AJ852" s="26">
        <f>_xlfn.LET(_xlpm.piso,AF852,_xlpm.corte,AE852,_xlpm.prog,IF(_xlpm.corte&lt;=_xlpm.piso,0,MAX(0,MIN(1,(U852-_xlpm.piso)/(_xlpm.corte-_xlpm.piso)))),_xlpm.orden,{"DIAMANTE";"PLATINO";"ORO";"PLATA";"BRONCE";"CERRADO"},_xlpm.act,IFERROR(MATCH(V852,_xlpm.orden,0),6),_xlpm.ant,IFERROR(MATCH(W852,_xlpm.orden,0),6),_xlpm.ajmov,IF(_xlpm.act&lt;_xlpm.ant,0.08,IF(_xlpm.act&gt;_xlpm.ant,-0.08,0)),_xlpm.ajcli,IF(T852&lt;0.95,-0.06,0),_xlpm.prob,MAX(0,MIN(1,_xlpm.prog+_xlpm.ajmov+_xlpm.ajcli)),IF(OR(V852="DIAMANTE",V852="CERRADO"),0,ROUND(_xlpm.prob,2)))</f>
        <v>0.56000000000000005</v>
      </c>
      <c r="AK852" t="str">
        <f t="shared" si="324"/>
        <v>Faltan 13,8 puntos base para subir a la siguiente categoría</v>
      </c>
      <c r="AL852" t="str">
        <f t="shared" si="325"/>
        <v>Margen de seguridad: 24,9 puntos</v>
      </c>
      <c r="AM852">
        <f t="shared" si="326"/>
        <v>0.57999999999999996</v>
      </c>
      <c r="AN852" t="str">
        <f t="shared" si="327"/>
        <v>PRIORIDAD MEDIA – seguimiento del asesor</v>
      </c>
      <c r="AO852">
        <f t="shared" si="328"/>
        <v>39.827959317943652</v>
      </c>
      <c r="AP852">
        <f t="shared" si="329"/>
        <v>1.0102667626557267</v>
      </c>
      <c r="AQ852">
        <f t="shared" si="330"/>
        <v>1.9999999999988916E-3</v>
      </c>
      <c r="AR852">
        <f t="shared" si="331"/>
        <v>9.6</v>
      </c>
      <c r="AS852">
        <f t="shared" si="332"/>
        <v>0</v>
      </c>
      <c r="AT852" t="str">
        <f t="shared" si="333"/>
        <v>VENTAS</v>
      </c>
      <c r="AU852">
        <f t="shared" si="334"/>
        <v>39.827959317943652</v>
      </c>
      <c r="AV852" t="str">
        <f t="shared" si="335"/>
        <v>Mayor retorno probable: VENTAS (+39,8 puntos finales potenciales).</v>
      </c>
    </row>
    <row r="853" spans="1:48" x14ac:dyDescent="0.3">
      <c r="A853" s="5">
        <v>51042654</v>
      </c>
      <c r="B853" s="5" t="str">
        <f>IFERROR(VLOOKUP(A853,VENTAS!$A$2:$B$1194,2,0),"")</f>
        <v>BELUZZO</v>
      </c>
      <c r="C853" s="5">
        <f>IFERROR(INDEX(VENTAS!$C$2:$E$1194,MATCH(A853,VENTAS!$A$2:$A$1194,0),MATCH(PARAMS_MODELO!$B$2,{"Q1","Q2","Q3"},0)),0)</f>
        <v>36774264.799999997</v>
      </c>
      <c r="D853" s="5">
        <f>IFERROR(INDEX(VENTAS!$F$2:$H$1194,MATCH(A853,VENTAS!$A$2:$A$1194,0),MATCH(PARAMS_MODELO!$B$2,{"Q1","Q2","Q3"},0)),0)</f>
        <v>38751359</v>
      </c>
      <c r="E853" s="8">
        <f t="shared" si="312"/>
        <v>5.3762983726597824E-2</v>
      </c>
      <c r="F853" s="12">
        <f>IF(E853&lt;=PARAMS_MODELO!$B$15,0,IF(E853&gt;=PARAMS_MODELO!$B$17,100,100*MIN(1,(E853-PARAMS_MODELO!$B$15)/(PARAMS_MODELO!$B$16-PARAMS_MODELO!$B$15))))*PARAMS_MODELO!$B$7</f>
        <v>18.817044304309238</v>
      </c>
      <c r="G853" s="5">
        <f t="shared" si="313"/>
        <v>1977094.200000003</v>
      </c>
      <c r="H853" s="5">
        <f>(PARAMS_MODELO!$B$20*(MAX(0,MIN(3,E853))/3)+PARAMS_MODELO!$B$21*(IFERROR(LN(1+MAX(0,G853))/LN(1+MAX(0,MAX($G$2:$G$1194))),0)))*100*PARAMS_MODELO!$B$8</f>
        <v>3.5865022744799444</v>
      </c>
      <c r="I853" s="8">
        <f>E853-PARAMS_MODELO!$B$5</f>
        <v>-0.1237998516489287</v>
      </c>
      <c r="J853" s="5">
        <f>IF(I853&lt;=PARAMS_MODELO!$B$18,0,IF(I853&gt;=PARAMS_MODELO!$B$19,100,100*(I853-PARAMS_MODELO!$B$18)/(PARAMS_MODELO!$B$19-PARAMS_MODELO!$B$18)))*PARAMS_MODELO!$B$9</f>
        <v>0</v>
      </c>
      <c r="K853" s="5">
        <f>IFERROR(CHOOSE(MATCH(PARAMS_MODELO!$B$2,{"Q1","Q2","Q3"},0),LOTO!$D853,LOTO!$F853,LOTO!$H853),0)</f>
        <v>1800000</v>
      </c>
      <c r="L853" s="8">
        <f t="shared" si="314"/>
        <v>4.6449983857340331E-2</v>
      </c>
      <c r="M853" s="5">
        <f>MIN(100,IF(PARAMS_MODELO!$B$23=0,0,100*L853/PARAMS_MODELO!$B$23))*PARAMS_MODELO!$B$10</f>
        <v>13.934995157202097</v>
      </c>
      <c r="N853" s="5">
        <f>IFERROR(VLOOKUP(A853,COMPLIANCE!$A$2:$F$1996,6,0),100)</f>
        <v>100</v>
      </c>
      <c r="O853" s="5">
        <f>N853*PARAMS_MODELO!$B$11</f>
        <v>10</v>
      </c>
      <c r="P853" s="5">
        <f>IFERROR(VLOOKUP(A853,DIGITAL!$A$2:$J$2000,7,0),100)</f>
        <v>31</v>
      </c>
      <c r="Q853" s="5">
        <f>IFERROR(P853,0)*PARAMS_MODELO!$B$12</f>
        <v>3.1</v>
      </c>
      <c r="R853">
        <f t="shared" si="315"/>
        <v>49.438541735991279</v>
      </c>
      <c r="S853" s="5" t="str">
        <f>IFERROR(VLOOKUP(A853,CLIENTE!$A$2:$N$2000,13,0),1)</f>
        <v>Regular</v>
      </c>
      <c r="T853" s="5">
        <f>IFERROR(VLOOKUP(A853,CLIENTE!$A$2:$N$2000,14,0),1)</f>
        <v>1</v>
      </c>
      <c r="U853" s="5">
        <f t="shared" si="316"/>
        <v>49.438541735991279</v>
      </c>
      <c r="V853" s="5" t="str">
        <f>IF(U853&gt;=MAX(_xlfn.PERCENTILE.INC($U$2:$U$1194,PARAMS_MODELO!$B$50),PARAMS_MODELO!$B$45),"DIAMANTE",IF(U853&gt;=MAX(_xlfn.PERCENTILE.INC($U$2:$U$1194,PARAMS_MODELO!$B$51),PARAMS_MODELO!$B$46),"PLATINO",IF(U853&gt;=MAX(_xlfn.PERCENTILE.INC($U$2:$U$1194,PARAMS_MODELO!$B$52),PARAMS_MODELO!$B$47),"ORO",IF(U853&gt;=MAX(_xlfn.PERCENTILE.INC($U$2:$U$1194,PARAMS_MODELO!$B$53),PARAMS_MODELO!$B$48),"PLATA",IF(U853&gt;=1,"BRONCE","CERRADO")))))</f>
        <v>PLATA</v>
      </c>
      <c r="W853" s="5" t="str" cm="1">
        <f t="array" ref="W853">_xlfn.XLOOKUP(1, (HIST_SCORE!$B:$B=PARAMS_MODELO!$B$4) * (HIST_SCORE!$C:$C=A853), HIST_SCORE!$E:$E, "No encontrado")</f>
        <v>PLATA</v>
      </c>
      <c r="X853" s="5" t="str">
        <f>_xlfn.LET(_xlpm.act,MATCH(V853,{"DIAMANTE";"PLATINO";"ORO";"PLATA";"BRONCE";"CERRADO"},0),_xlpm.ant,MATCH(W853,{"DIAMANTE";"PLATINO";"ORO";"PLATA";"BRONCE";"CERRADO"},0),IF(_xlpm.act&lt;_xlpm.ant,"Mejora ↑",IF(_xlpm.act&gt;_xlpm.ant,"Baja ↓","Estable →")))</f>
        <v>Estable →</v>
      </c>
      <c r="Y853" s="5">
        <f>IFERROR(U853-SUMIFS(HIST_SCORE!$D:$D,HIST_SCORE!$B:$B,PARAMS_MODELO!$B$4,HIST_SCORE!$C:$C,$A853),"")</f>
        <v>-1.403900330478514</v>
      </c>
      <c r="Z853" s="5" t="str">
        <f t="shared" si="317"/>
        <v>→ Estable</v>
      </c>
      <c r="AA853" s="5">
        <f t="shared" si="318"/>
        <v>746</v>
      </c>
      <c r="AB853" s="5">
        <f>IFERROR(SUMIFS(HIST_SCORE!$F:$F,HIST_SCORE!$B:$B,PARAMS_MODELO!$B$4,HIST_SCORE!$C:$C,$A853),"")</f>
        <v>764</v>
      </c>
      <c r="AC853" s="5">
        <f t="shared" si="319"/>
        <v>18</v>
      </c>
      <c r="AD853" t="str">
        <f t="shared" si="321"/>
        <v/>
      </c>
      <c r="AE8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853="CERRADO",1,IF(V853="BRONCE",_xlpm.cPl,IF(V853="PLATA",_xlpm.cO,IF(V853="ORO",_xlpm.cP,IF(V853="PLATINO",_xlpm.cD,999))))))</f>
        <v>63.199193273331495</v>
      </c>
      <c r="AF8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853="CERRADO",0,IF(V853="BRONCE",1,IF(V853="PLATA",_xlpm.cPl,IF(V853="ORO",_xlpm.cO,IF(V853="PLATINO",_xlpm.cP,_xlpm.cD))))))</f>
        <v>24.506573482968111</v>
      </c>
      <c r="AG853">
        <f t="shared" si="322"/>
        <v>13.760651537340216</v>
      </c>
      <c r="AH853" t="str">
        <f t="shared" si="323"/>
        <v>VENTAS</v>
      </c>
      <c r="AI853" t="str">
        <f t="shared" si="320"/>
        <v>🎯 Para subir de categoría, eje VENTAS / DIFERENCIAL vs LOTBA (J). Acción: metas semanales + activación comercial + seguimiento del asesor. ΔR aprox: 13,8</v>
      </c>
      <c r="AJ853" s="26">
        <f>_xlfn.LET(_xlpm.piso,AF853,_xlpm.corte,AE853,_xlpm.prog,IF(_xlpm.corte&lt;=_xlpm.piso,0,MAX(0,MIN(1,(U853-_xlpm.piso)/(_xlpm.corte-_xlpm.piso)))),_xlpm.orden,{"DIAMANTE";"PLATINO";"ORO";"PLATA";"BRONCE";"CERRADO"},_xlpm.act,IFERROR(MATCH(V853,_xlpm.orden,0),6),_xlpm.ant,IFERROR(MATCH(W853,_xlpm.orden,0),6),_xlpm.ajmov,IF(_xlpm.act&lt;_xlpm.ant,0.08,IF(_xlpm.act&gt;_xlpm.ant,-0.08,0)),_xlpm.ajcli,IF(T853&lt;0.95,-0.06,0),_xlpm.prob,MAX(0,MIN(1,_xlpm.prog+_xlpm.ajmov+_xlpm.ajcli)),IF(OR(V853="DIAMANTE",V853="CERRADO"),0,ROUND(_xlpm.prob,2)))</f>
        <v>0.64</v>
      </c>
      <c r="AK853" t="str">
        <f t="shared" si="324"/>
        <v>Faltan 13,8 puntos base para subir a la siguiente categoría</v>
      </c>
      <c r="AL853" t="str">
        <f t="shared" si="325"/>
        <v>Margen de seguridad: 24,9 puntos</v>
      </c>
      <c r="AM853">
        <f t="shared" si="326"/>
        <v>0.54</v>
      </c>
      <c r="AN853" t="str">
        <f t="shared" si="327"/>
        <v>PRIORIDAD MEDIA – seguimiento del asesor</v>
      </c>
      <c r="AO853">
        <f t="shared" si="328"/>
        <v>42.459022696506402</v>
      </c>
      <c r="AP853">
        <f t="shared" si="329"/>
        <v>1.0650048427979026</v>
      </c>
      <c r="AQ853">
        <f t="shared" si="330"/>
        <v>0</v>
      </c>
      <c r="AR853">
        <f t="shared" si="331"/>
        <v>6.9</v>
      </c>
      <c r="AS853">
        <f t="shared" si="332"/>
        <v>0</v>
      </c>
      <c r="AT853" t="str">
        <f t="shared" si="333"/>
        <v>VENTAS</v>
      </c>
      <c r="AU853">
        <f t="shared" si="334"/>
        <v>42.459022696506402</v>
      </c>
      <c r="AV853" t="str">
        <f t="shared" si="335"/>
        <v>Mayor retorno probable: VENTAS (+42,5 puntos finales potenciales).</v>
      </c>
    </row>
    <row r="854" spans="1:48" x14ac:dyDescent="0.3">
      <c r="A854" s="5">
        <v>51057074</v>
      </c>
      <c r="B854" s="5" t="str">
        <f>IFERROR(VLOOKUP(A854,VENTAS!$A$2:$B$1194,2,0),"")</f>
        <v>BELUZZO</v>
      </c>
      <c r="C854" s="5">
        <f>IFERROR(INDEX(VENTAS!$C$2:$E$1194,MATCH(A854,VENTAS!$A$2:$A$1194,0),MATCH(PARAMS_MODELO!$B$2,{"Q1","Q2","Q3"},0)),0)</f>
        <v>32779116.530000001</v>
      </c>
      <c r="D854" s="5">
        <f>IFERROR(INDEX(VENTAS!$F$2:$H$1194,MATCH(A854,VENTAS!$A$2:$A$1194,0),MATCH(PARAMS_MODELO!$B$2,{"Q1","Q2","Q3"},0)),0)</f>
        <v>38669057</v>
      </c>
      <c r="E854" s="8">
        <f t="shared" si="312"/>
        <v>0.17968576012747106</v>
      </c>
      <c r="F854" s="12">
        <f>IF(E854&lt;=PARAMS_MODELO!$B$15,0,IF(E854&gt;=PARAMS_MODELO!$B$17,100,100*MIN(1,(E854-PARAMS_MODELO!$B$15)/(PARAMS_MODELO!$B$16-PARAMS_MODELO!$B$15))))*PARAMS_MODELO!$B$7</f>
        <v>35</v>
      </c>
      <c r="G854" s="5">
        <f t="shared" si="313"/>
        <v>5889940.4699999988</v>
      </c>
      <c r="H854" s="5">
        <f>(PARAMS_MODELO!$B$20*(MAX(0,MIN(3,E854))/3)+PARAMS_MODELO!$B$21*(IFERROR(LN(1+MAX(0,G854))/LN(1+MAX(0,MAX($G$2:$G$1194))),0)))*100*PARAMS_MODELO!$B$8</f>
        <v>4.283122341654698</v>
      </c>
      <c r="I854" s="8">
        <f>E854-PARAMS_MODELO!$B$5</f>
        <v>2.1229247519445327E-3</v>
      </c>
      <c r="J854" s="5">
        <f>IF(I854&lt;=PARAMS_MODELO!$B$18,0,IF(I854&gt;=PARAMS_MODELO!$B$19,100,100*(I854-PARAMS_MODELO!$B$18)/(PARAMS_MODELO!$B$19-PARAMS_MODELO!$B$18)))*PARAMS_MODELO!$B$9</f>
        <v>7.8184387127916795</v>
      </c>
      <c r="K854" s="5">
        <f>IFERROR(CHOOSE(MATCH(PARAMS_MODELO!$B$2,{"Q1","Q2","Q3"},0),LOTO!$D854,LOTO!$F854,LOTO!$H854),0)</f>
        <v>1795000</v>
      </c>
      <c r="L854" s="8">
        <f t="shared" si="314"/>
        <v>4.6419544184902156E-2</v>
      </c>
      <c r="M854" s="5">
        <f>MIN(100,IF(PARAMS_MODELO!$B$23=0,0,100*L854/PARAMS_MODELO!$B$23))*PARAMS_MODELO!$B$10</f>
        <v>13.925863255470647</v>
      </c>
      <c r="N854" s="5">
        <f>IFERROR(VLOOKUP(A854,COMPLIANCE!$A$2:$F$1996,6,0),100)</f>
        <v>99.98</v>
      </c>
      <c r="O854" s="5">
        <f>N854*PARAMS_MODELO!$B$11</f>
        <v>9.9980000000000011</v>
      </c>
      <c r="P854" s="5">
        <f>IFERROR(VLOOKUP(A854,DIGITAL!$A$2:$J$2000,7,0),100)</f>
        <v>64</v>
      </c>
      <c r="Q854" s="5">
        <f>IFERROR(P854,0)*PARAMS_MODELO!$B$12</f>
        <v>6.4</v>
      </c>
      <c r="R854">
        <f t="shared" si="315"/>
        <v>77.425424309917034</v>
      </c>
      <c r="S854" s="5" t="str">
        <f>IFERROR(VLOOKUP(A854,CLIENTE!$A$2:$N$2000,13,0),1)</f>
        <v>Malo</v>
      </c>
      <c r="T854" s="5">
        <f>IFERROR(VLOOKUP(A854,CLIENTE!$A$2:$N$2000,14,0),1)</f>
        <v>0.7</v>
      </c>
      <c r="U854" s="5">
        <f t="shared" si="316"/>
        <v>54.197797016941919</v>
      </c>
      <c r="V854" s="5" t="str">
        <f>IF(U854&gt;=MAX(_xlfn.PERCENTILE.INC($U$2:$U$1194,PARAMS_MODELO!$B$50),PARAMS_MODELO!$B$45),"DIAMANTE",IF(U854&gt;=MAX(_xlfn.PERCENTILE.INC($U$2:$U$1194,PARAMS_MODELO!$B$51),PARAMS_MODELO!$B$46),"PLATINO",IF(U854&gt;=MAX(_xlfn.PERCENTILE.INC($U$2:$U$1194,PARAMS_MODELO!$B$52),PARAMS_MODELO!$B$47),"ORO",IF(U854&gt;=MAX(_xlfn.PERCENTILE.INC($U$2:$U$1194,PARAMS_MODELO!$B$53),PARAMS_MODELO!$B$48),"PLATA",IF(U854&gt;=1,"BRONCE","CERRADO")))))</f>
        <v>PLATA</v>
      </c>
      <c r="W854" s="5" t="str" cm="1">
        <f t="array" ref="W854">_xlfn.XLOOKUP(1, (HIST_SCORE!$B:$B=PARAMS_MODELO!$B$4) * (HIST_SCORE!$C:$C=A854), HIST_SCORE!$E:$E, "No encontrado")</f>
        <v>PLATA</v>
      </c>
      <c r="X854" s="5" t="str">
        <f>_xlfn.LET(_xlpm.act,MATCH(V854,{"DIAMANTE";"PLATINO";"ORO";"PLATA";"BRONCE";"CERRADO"},0),_xlpm.ant,MATCH(W854,{"DIAMANTE";"PLATINO";"ORO";"PLATA";"BRONCE";"CERRADO"},0),IF(_xlpm.act&lt;_xlpm.ant,"Mejora ↑",IF(_xlpm.act&gt;_xlpm.ant,"Baja ↓","Estable →")))</f>
        <v>Estable →</v>
      </c>
      <c r="Y854" s="5">
        <f>IFERROR(U854-SUMIFS(HIST_SCORE!$D:$D,HIST_SCORE!$B:$B,PARAMS_MODELO!$B$4,HIST_SCORE!$C:$C,$A854),"")</f>
        <v>-4.075179558012465</v>
      </c>
      <c r="Z854" s="5" t="str">
        <f t="shared" si="317"/>
        <v>→ Estable</v>
      </c>
      <c r="AA854" s="5">
        <f t="shared" si="318"/>
        <v>723</v>
      </c>
      <c r="AB854" s="5">
        <f>IFERROR(SUMIFS(HIST_SCORE!$F:$F,HIST_SCORE!$B:$B,PARAMS_MODELO!$B$4,HIST_SCORE!$C:$C,$A854),"")</f>
        <v>678</v>
      </c>
      <c r="AC854" s="5">
        <f t="shared" si="319"/>
        <v>-45</v>
      </c>
      <c r="AD854" t="str">
        <f t="shared" si="321"/>
        <v/>
      </c>
      <c r="AE8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854="CERRADO",1,IF(V854="BRONCE",_xlpm.cPl,IF(V854="PLATA",_xlpm.cO,IF(V854="ORO",_xlpm.cP,IF(V854="PLATINO",_xlpm.cD,999))))))</f>
        <v>63.199193273331495</v>
      </c>
      <c r="AF8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854="CERRADO",0,IF(V854="BRONCE",1,IF(V854="PLATA",_xlpm.cPl,IF(V854="ORO",_xlpm.cO,IF(V854="PLATINO",_xlpm.cP,_xlpm.cD))))))</f>
        <v>24.506573482968111</v>
      </c>
      <c r="AG854">
        <f t="shared" si="322"/>
        <v>12.859137509127962</v>
      </c>
      <c r="AH854" t="str">
        <f t="shared" si="323"/>
        <v>CLIENTE</v>
      </c>
      <c r="AI854" t="str">
        <f t="shared" si="320"/>
        <v>🎯 Para subir de categoría, la eje con mayor impacto probable es CLIENTE (coef T). Acción: reducir quejas, mejorar incógnito y empujar reseñas. ΔR aprox: 12,9</v>
      </c>
      <c r="AJ854" s="26">
        <f>_xlfn.LET(_xlpm.piso,AF854,_xlpm.corte,AE854,_xlpm.prog,IF(_xlpm.corte&lt;=_xlpm.piso,0,MAX(0,MIN(1,(U854-_xlpm.piso)/(_xlpm.corte-_xlpm.piso)))),_xlpm.orden,{"DIAMANTE";"PLATINO";"ORO";"PLATA";"BRONCE";"CERRADO"},_xlpm.act,IFERROR(MATCH(V854,_xlpm.orden,0),6),_xlpm.ant,IFERROR(MATCH(W854,_xlpm.orden,0),6),_xlpm.ajmov,IF(_xlpm.act&lt;_xlpm.ant,0.08,IF(_xlpm.act&gt;_xlpm.ant,-0.08,0)),_xlpm.ajcli,IF(T854&lt;0.95,-0.06,0),_xlpm.prob,MAX(0,MIN(1,_xlpm.prog+_xlpm.ajmov+_xlpm.ajcli)),IF(OR(V854="DIAMANTE",V854="CERRADO"),0,ROUND(_xlpm.prob,2)))</f>
        <v>0.71</v>
      </c>
      <c r="AK854" t="str">
        <f t="shared" si="324"/>
        <v>Faltan 12,9 puntos base para subir a la siguiente categoría</v>
      </c>
      <c r="AL854" t="str">
        <f t="shared" si="325"/>
        <v>Margen de seguridad: 29,7 puntos</v>
      </c>
      <c r="AM854">
        <f t="shared" si="326"/>
        <v>0.72</v>
      </c>
      <c r="AN854" t="str">
        <f t="shared" si="327"/>
        <v>PRIORIDAD ALTA – requiere intervención inmediata</v>
      </c>
      <c r="AO854">
        <f t="shared" si="328"/>
        <v>12.432705754594444</v>
      </c>
      <c r="AP854">
        <f t="shared" si="329"/>
        <v>0.75189572117054704</v>
      </c>
      <c r="AQ854">
        <f t="shared" si="330"/>
        <v>1.3999999999992239E-3</v>
      </c>
      <c r="AR854">
        <f t="shared" si="331"/>
        <v>2.5199999999999996</v>
      </c>
      <c r="AS854">
        <f t="shared" si="332"/>
        <v>23.227627292975114</v>
      </c>
      <c r="AT854" t="str">
        <f t="shared" si="333"/>
        <v>CLIENTE</v>
      </c>
      <c r="AU854">
        <f t="shared" si="334"/>
        <v>23.227627292975114</v>
      </c>
      <c r="AV854" t="str">
        <f t="shared" si="335"/>
        <v>Mayor retorno probable: CLIENTE (+23,2 puntos finales potenciales).</v>
      </c>
    </row>
    <row r="855" spans="1:48" x14ac:dyDescent="0.3">
      <c r="A855" s="5">
        <v>51042913</v>
      </c>
      <c r="B855" s="5" t="str">
        <f>IFERROR(VLOOKUP(A855,VENTAS!$A$2:$B$1194,2,0),"")</f>
        <v>ROBERTS</v>
      </c>
      <c r="C855" s="5">
        <f>IFERROR(INDEX(VENTAS!$C$2:$E$1194,MATCH(A855,VENTAS!$A$2:$A$1194,0),MATCH(PARAMS_MODELO!$B$2,{"Q1","Q2","Q3"},0)),0)</f>
        <v>25155192.989999998</v>
      </c>
      <c r="D855" s="5">
        <f>IFERROR(INDEX(VENTAS!$F$2:$H$1194,MATCH(A855,VENTAS!$A$2:$A$1194,0),MATCH(PARAMS_MODELO!$B$2,{"Q1","Q2","Q3"},0)),0)</f>
        <v>38439020</v>
      </c>
      <c r="E855" s="8">
        <f t="shared" si="312"/>
        <v>0.52807493924935311</v>
      </c>
      <c r="F855" s="12">
        <f>IF(E855&lt;=PARAMS_MODELO!$B$15,0,IF(E855&gt;=PARAMS_MODELO!$B$17,100,100*MIN(1,(E855-PARAMS_MODELO!$B$15)/(PARAMS_MODELO!$B$16-PARAMS_MODELO!$B$15))))*PARAMS_MODELO!$B$7</f>
        <v>35</v>
      </c>
      <c r="G855" s="5">
        <f t="shared" si="313"/>
        <v>13283827.010000002</v>
      </c>
      <c r="H855" s="5">
        <f>(PARAMS_MODELO!$B$20*(MAX(0,MIN(3,E855))/3)+PARAMS_MODELO!$B$21*(IFERROR(LN(1+MAX(0,G855))/LN(1+MAX(0,MAX($G$2:$G$1194))),0)))*100*PARAMS_MODELO!$B$8</f>
        <v>5.6931336465773406</v>
      </c>
      <c r="I855" s="8">
        <f>E855-PARAMS_MODELO!$B$5</f>
        <v>0.35051210387382659</v>
      </c>
      <c r="J855" s="5">
        <f>IF(I855&lt;=PARAMS_MODELO!$B$18,0,IF(I855&gt;=PARAMS_MODELO!$B$19,100,100*(I855-PARAMS_MODELO!$B$18)/(PARAMS_MODELO!$B$19-PARAMS_MODELO!$B$18)))*PARAMS_MODELO!$B$9</f>
        <v>15</v>
      </c>
      <c r="K855" s="5">
        <f>IFERROR(CHOOSE(MATCH(PARAMS_MODELO!$B$2,{"Q1","Q2","Q3"},0),LOTO!$D855,LOTO!$F855,LOTO!$H855),0)</f>
        <v>1795000</v>
      </c>
      <c r="L855" s="8">
        <f t="shared" si="314"/>
        <v>4.6697340358833286E-2</v>
      </c>
      <c r="M855" s="5">
        <f>MIN(100,IF(PARAMS_MODELO!$B$23=0,0,100*L855/PARAMS_MODELO!$B$23))*PARAMS_MODELO!$B$10</f>
        <v>14.009202107649983</v>
      </c>
      <c r="N855" s="5">
        <f>IFERROR(VLOOKUP(A855,COMPLIANCE!$A$2:$F$1996,6,0),100)</f>
        <v>100</v>
      </c>
      <c r="O855" s="5">
        <f>N855*PARAMS_MODELO!$B$11</f>
        <v>10</v>
      </c>
      <c r="P855" s="5">
        <f>IFERROR(VLOOKUP(A855,DIGITAL!$A$2:$J$2000,7,0),100)</f>
        <v>91</v>
      </c>
      <c r="Q855" s="5">
        <f>IFERROR(P855,0)*PARAMS_MODELO!$B$12</f>
        <v>9.1</v>
      </c>
      <c r="R855">
        <f t="shared" si="315"/>
        <v>88.802335754227315</v>
      </c>
      <c r="S855" s="5" t="str">
        <f>IFERROR(VLOOKUP(A855,CLIENTE!$A$2:$N$2000,13,0),1)</f>
        <v>Malo</v>
      </c>
      <c r="T855" s="5">
        <f>IFERROR(VLOOKUP(A855,CLIENTE!$A$2:$N$2000,14,0),1)</f>
        <v>0.7</v>
      </c>
      <c r="U855" s="5">
        <f t="shared" si="316"/>
        <v>62.161635027959115</v>
      </c>
      <c r="V855" s="5" t="str">
        <f>IF(U855&gt;=MAX(_xlfn.PERCENTILE.INC($U$2:$U$1194,PARAMS_MODELO!$B$50),PARAMS_MODELO!$B$45),"DIAMANTE",IF(U855&gt;=MAX(_xlfn.PERCENTILE.INC($U$2:$U$1194,PARAMS_MODELO!$B$51),PARAMS_MODELO!$B$46),"PLATINO",IF(U855&gt;=MAX(_xlfn.PERCENTILE.INC($U$2:$U$1194,PARAMS_MODELO!$B$52),PARAMS_MODELO!$B$47),"ORO",IF(U855&gt;=MAX(_xlfn.PERCENTILE.INC($U$2:$U$1194,PARAMS_MODELO!$B$53),PARAMS_MODELO!$B$48),"PLATA",IF(U855&gt;=1,"BRONCE","CERRADO")))))</f>
        <v>PLATA</v>
      </c>
      <c r="W855" s="5" t="str" cm="1">
        <f t="array" ref="W855">_xlfn.XLOOKUP(1, (HIST_SCORE!$B:$B=PARAMS_MODELO!$B$4) * (HIST_SCORE!$C:$C=A855), HIST_SCORE!$E:$E, "No encontrado")</f>
        <v>PLATA</v>
      </c>
      <c r="X855" s="5" t="str">
        <f>_xlfn.LET(_xlpm.act,MATCH(V855,{"DIAMANTE";"PLATINO";"ORO";"PLATA";"BRONCE";"CERRADO"},0),_xlpm.ant,MATCH(W855,{"DIAMANTE";"PLATINO";"ORO";"PLATA";"BRONCE";"CERRADO"},0),IF(_xlpm.act&lt;_xlpm.ant,"Mejora ↑",IF(_xlpm.act&gt;_xlpm.ant,"Baja ↓","Estable →")))</f>
        <v>Estable →</v>
      </c>
      <c r="Y855" s="5">
        <f>IFERROR(U855-SUMIFS(HIST_SCORE!$D:$D,HIST_SCORE!$B:$B,PARAMS_MODELO!$B$4,HIST_SCORE!$C:$C,$A855),"")</f>
        <v>1.6964837680018405</v>
      </c>
      <c r="Z855" s="5" t="str">
        <f t="shared" si="317"/>
        <v>→ Estable</v>
      </c>
      <c r="AA855" s="5">
        <f t="shared" si="318"/>
        <v>576</v>
      </c>
      <c r="AB855" s="5">
        <f>IFERROR(SUMIFS(HIST_SCORE!$F:$F,HIST_SCORE!$B:$B,PARAMS_MODELO!$B$4,HIST_SCORE!$C:$C,$A855),"")</f>
        <v>640</v>
      </c>
      <c r="AC855" s="5">
        <f t="shared" si="319"/>
        <v>64</v>
      </c>
      <c r="AD855" t="str">
        <f t="shared" si="321"/>
        <v/>
      </c>
      <c r="AE8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855="CERRADO",1,IF(V855="BRONCE",_xlpm.cPl,IF(V855="PLATA",_xlpm.cO,IF(V855="ORO",_xlpm.cP,IF(V855="PLATINO",_xlpm.cD,999))))))</f>
        <v>63.199193273331495</v>
      </c>
      <c r="AF8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855="CERRADO",0,IF(V855="BRONCE",1,IF(V855="PLATA",_xlpm.cPl,IF(V855="ORO",_xlpm.cO,IF(V855="PLATINO",_xlpm.cP,_xlpm.cD))))))</f>
        <v>24.506573482968111</v>
      </c>
      <c r="AG855">
        <f t="shared" si="322"/>
        <v>1.4822260648176808</v>
      </c>
      <c r="AH855" t="str">
        <f t="shared" si="323"/>
        <v>CLIENTE</v>
      </c>
      <c r="AI855" t="str">
        <f t="shared" si="320"/>
        <v>🎯 Para subir de categoría, la eje con mayor impacto probable es CLIENTE (coef T). Acción: reducir quejas, mejorar incógnito y empujar reseñas. ΔR aprox: 1,5</v>
      </c>
      <c r="AJ855" s="26">
        <f>_xlfn.LET(_xlpm.piso,AF855,_xlpm.corte,AE855,_xlpm.prog,IF(_xlpm.corte&lt;=_xlpm.piso,0,MAX(0,MIN(1,(U855-_xlpm.piso)/(_xlpm.corte-_xlpm.piso)))),_xlpm.orden,{"DIAMANTE";"PLATINO";"ORO";"PLATA";"BRONCE";"CERRADO"},_xlpm.act,IFERROR(MATCH(V855,_xlpm.orden,0),6),_xlpm.ant,IFERROR(MATCH(W855,_xlpm.orden,0),6),_xlpm.ajmov,IF(_xlpm.act&lt;_xlpm.ant,0.08,IF(_xlpm.act&gt;_xlpm.ant,-0.08,0)),_xlpm.ajcli,IF(T855&lt;0.95,-0.06,0),_xlpm.prob,MAX(0,MIN(1,_xlpm.prog+_xlpm.ajmov+_xlpm.ajcli)),IF(OR(V855="DIAMANTE",V855="CERRADO"),0,ROUND(_xlpm.prob,2)))</f>
        <v>0.91</v>
      </c>
      <c r="AK855" t="str">
        <f t="shared" si="324"/>
        <v>Faltan 1,5 puntos base para subir a la siguiente categoría</v>
      </c>
      <c r="AL855" t="str">
        <f t="shared" si="325"/>
        <v>Margen de seguridad: 37,7 puntos</v>
      </c>
      <c r="AM855">
        <f t="shared" si="326"/>
        <v>0.3</v>
      </c>
      <c r="AN855" t="str">
        <f t="shared" si="327"/>
        <v>PRIORIDAD BAJA – control normal</v>
      </c>
      <c r="AO855">
        <f t="shared" si="328"/>
        <v>6.4186049401027727</v>
      </c>
      <c r="AP855">
        <f t="shared" si="329"/>
        <v>0.69355852464501166</v>
      </c>
      <c r="AQ855">
        <f t="shared" si="330"/>
        <v>0</v>
      </c>
      <c r="AR855">
        <f t="shared" si="331"/>
        <v>0.63000000000000023</v>
      </c>
      <c r="AS855">
        <f t="shared" si="332"/>
        <v>26.6407007262682</v>
      </c>
      <c r="AT855" t="str">
        <f t="shared" si="333"/>
        <v>CLIENTE</v>
      </c>
      <c r="AU855">
        <f t="shared" si="334"/>
        <v>26.6407007262682</v>
      </c>
      <c r="AV855" t="str">
        <f t="shared" si="335"/>
        <v>Mayor retorno probable: CLIENTE (+26,6 puntos finales potenciales).</v>
      </c>
    </row>
    <row r="856" spans="1:48" x14ac:dyDescent="0.3">
      <c r="A856" s="5">
        <v>51025857</v>
      </c>
      <c r="B856" s="5" t="str">
        <f>IFERROR(VLOOKUP(A856,VENTAS!$A$2:$B$1194,2,0),"")</f>
        <v>BELUZZO</v>
      </c>
      <c r="C856" s="5">
        <f>IFERROR(INDEX(VENTAS!$C$2:$E$1194,MATCH(A856,VENTAS!$A$2:$A$1194,0),MATCH(PARAMS_MODELO!$B$2,{"Q1","Q2","Q3"},0)),0)</f>
        <v>36303226.43</v>
      </c>
      <c r="D856" s="5">
        <f>IFERROR(INDEX(VENTAS!$F$2:$H$1194,MATCH(A856,VENTAS!$A$2:$A$1194,0),MATCH(PARAMS_MODELO!$B$2,{"Q1","Q2","Q3"},0)),0)</f>
        <v>38140001</v>
      </c>
      <c r="E856" s="8">
        <f t="shared" si="312"/>
        <v>5.0595353378347196E-2</v>
      </c>
      <c r="F856" s="12">
        <f>IF(E856&lt;=PARAMS_MODELO!$B$15,0,IF(E856&gt;=PARAMS_MODELO!$B$17,100,100*MIN(1,(E856-PARAMS_MODELO!$B$15)/(PARAMS_MODELO!$B$16-PARAMS_MODELO!$B$15))))*PARAMS_MODELO!$B$7</f>
        <v>17.708373682421517</v>
      </c>
      <c r="G856" s="5">
        <f t="shared" si="313"/>
        <v>1836774.5700000003</v>
      </c>
      <c r="H856" s="5">
        <f>(PARAMS_MODELO!$B$20*(MAX(0,MIN(3,E856))/3)+PARAMS_MODELO!$B$21*(IFERROR(LN(1+MAX(0,G856))/LN(1+MAX(0,MAX($G$2:$G$1194))),0)))*100*PARAMS_MODELO!$B$8</f>
        <v>3.5581586992965253</v>
      </c>
      <c r="I856" s="8">
        <f>E856-PARAMS_MODELO!$B$5</f>
        <v>-0.12696748199717933</v>
      </c>
      <c r="J856" s="5">
        <f>IF(I856&lt;=PARAMS_MODELO!$B$18,0,IF(I856&gt;=PARAMS_MODELO!$B$19,100,100*(I856-PARAMS_MODELO!$B$18)/(PARAMS_MODELO!$B$19-PARAMS_MODELO!$B$18)))*PARAMS_MODELO!$B$9</f>
        <v>0</v>
      </c>
      <c r="K856" s="5">
        <f>IFERROR(CHOOSE(MATCH(PARAMS_MODELO!$B$2,{"Q1","Q2","Q3"},0),LOTO!$D856,LOTO!$F856,LOTO!$H856),0)</f>
        <v>1787500</v>
      </c>
      <c r="L856" s="8">
        <f t="shared" si="314"/>
        <v>4.6866805273549937E-2</v>
      </c>
      <c r="M856" s="5">
        <f>MIN(100,IF(PARAMS_MODELO!$B$23=0,0,100*L856/PARAMS_MODELO!$B$23))*PARAMS_MODELO!$B$10</f>
        <v>14.060041582064978</v>
      </c>
      <c r="N856" s="5">
        <f>IFERROR(VLOOKUP(A856,COMPLIANCE!$A$2:$F$1996,6,0),100)</f>
        <v>100</v>
      </c>
      <c r="O856" s="5">
        <f>N856*PARAMS_MODELO!$B$11</f>
        <v>10</v>
      </c>
      <c r="P856" s="5">
        <f>IFERROR(VLOOKUP(A856,DIGITAL!$A$2:$J$2000,7,0),100)</f>
        <v>9</v>
      </c>
      <c r="Q856" s="5">
        <f>IFERROR(P856,0)*PARAMS_MODELO!$B$12</f>
        <v>0.9</v>
      </c>
      <c r="R856">
        <f t="shared" si="315"/>
        <v>46.226573963783018</v>
      </c>
      <c r="S856" s="5" t="str">
        <f>IFERROR(VLOOKUP(A856,CLIENTE!$A$2:$N$2000,13,0),1)</f>
        <v>Regular</v>
      </c>
      <c r="T856" s="5">
        <f>IFERROR(VLOOKUP(A856,CLIENTE!$A$2:$N$2000,14,0),1)</f>
        <v>1</v>
      </c>
      <c r="U856" s="5">
        <f t="shared" si="316"/>
        <v>46.226573963783018</v>
      </c>
      <c r="V856" s="5" t="str">
        <f>IF(U856&gt;=MAX(_xlfn.PERCENTILE.INC($U$2:$U$1194,PARAMS_MODELO!$B$50),PARAMS_MODELO!$B$45),"DIAMANTE",IF(U856&gt;=MAX(_xlfn.PERCENTILE.INC($U$2:$U$1194,PARAMS_MODELO!$B$51),PARAMS_MODELO!$B$46),"PLATINO",IF(U856&gt;=MAX(_xlfn.PERCENTILE.INC($U$2:$U$1194,PARAMS_MODELO!$B$52),PARAMS_MODELO!$B$47),"ORO",IF(U856&gt;=MAX(_xlfn.PERCENTILE.INC($U$2:$U$1194,PARAMS_MODELO!$B$53),PARAMS_MODELO!$B$48),"PLATA",IF(U856&gt;=1,"BRONCE","CERRADO")))))</f>
        <v>PLATA</v>
      </c>
      <c r="W856" s="5" t="str" cm="1">
        <f t="array" ref="W856">_xlfn.XLOOKUP(1, (HIST_SCORE!$B:$B=PARAMS_MODELO!$B$4) * (HIST_SCORE!$C:$C=A856), HIST_SCORE!$E:$E, "No encontrado")</f>
        <v>ORO</v>
      </c>
      <c r="X856" s="5" t="str">
        <f>_xlfn.LET(_xlpm.act,MATCH(V856,{"DIAMANTE";"PLATINO";"ORO";"PLATA";"BRONCE";"CERRADO"},0),_xlpm.ant,MATCH(W856,{"DIAMANTE";"PLATINO";"ORO";"PLATA";"BRONCE";"CERRADO"},0),IF(_xlpm.act&lt;_xlpm.ant,"Mejora ↑",IF(_xlpm.act&gt;_xlpm.ant,"Baja ↓","Estable →")))</f>
        <v>Baja ↓</v>
      </c>
      <c r="Y856" s="5">
        <f>IFERROR(U856-SUMIFS(HIST_SCORE!$D:$D,HIST_SCORE!$B:$B,PARAMS_MODELO!$B$4,HIST_SCORE!$C:$C,$A856),"")</f>
        <v>-35.608904897242262</v>
      </c>
      <c r="Z856" s="5" t="str">
        <f t="shared" si="317"/>
        <v>↓ Baja</v>
      </c>
      <c r="AA856" s="5">
        <f t="shared" si="318"/>
        <v>764</v>
      </c>
      <c r="AB856" s="5">
        <f>IFERROR(SUMIFS(HIST_SCORE!$F:$F,HIST_SCORE!$B:$B,PARAMS_MODELO!$B$4,HIST_SCORE!$C:$C,$A856),"")</f>
        <v>373</v>
      </c>
      <c r="AC856" s="5">
        <f t="shared" si="319"/>
        <v>-391</v>
      </c>
      <c r="AD856" t="str">
        <f t="shared" si="321"/>
        <v/>
      </c>
      <c r="AE8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856="CERRADO",1,IF(V856="BRONCE",_xlpm.cPl,IF(V856="PLATA",_xlpm.cO,IF(V856="ORO",_xlpm.cP,IF(V856="PLATINO",_xlpm.cD,999))))))</f>
        <v>63.199193273331495</v>
      </c>
      <c r="AF8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856="CERRADO",0,IF(V856="BRONCE",1,IF(V856="PLATA",_xlpm.cPl,IF(V856="ORO",_xlpm.cO,IF(V856="PLATINO",_xlpm.cP,_xlpm.cD))))))</f>
        <v>24.506573482968111</v>
      </c>
      <c r="AG856">
        <f t="shared" si="322"/>
        <v>16.972619309548477</v>
      </c>
      <c r="AH856" t="str">
        <f t="shared" si="323"/>
        <v>VENTAS</v>
      </c>
      <c r="AI856" t="str">
        <f t="shared" si="320"/>
        <v>🎯 Para subir de categoría, eje VENTAS / DIFERENCIAL vs LOTBA (J). Acción: metas semanales + activación comercial + seguimiento del asesor. ΔR aprox: 17,0</v>
      </c>
      <c r="AJ856" s="26">
        <f>_xlfn.LET(_xlpm.piso,AF856,_xlpm.corte,AE856,_xlpm.prog,IF(_xlpm.corte&lt;=_xlpm.piso,0,MAX(0,MIN(1,(U856-_xlpm.piso)/(_xlpm.corte-_xlpm.piso)))),_xlpm.orden,{"DIAMANTE";"PLATINO";"ORO";"PLATA";"BRONCE";"CERRADO"},_xlpm.act,IFERROR(MATCH(V856,_xlpm.orden,0),6),_xlpm.ant,IFERROR(MATCH(W856,_xlpm.orden,0),6),_xlpm.ajmov,IF(_xlpm.act&lt;_xlpm.ant,0.08,IF(_xlpm.act&gt;_xlpm.ant,-0.08,0)),_xlpm.ajcli,IF(T856&lt;0.95,-0.06,0),_xlpm.prob,MAX(0,MIN(1,_xlpm.prog+_xlpm.ajmov+_xlpm.ajcli)),IF(OR(V856="DIAMANTE",V856="CERRADO"),0,ROUND(_xlpm.prob,2)))</f>
        <v>0.48</v>
      </c>
      <c r="AK856" t="str">
        <f t="shared" si="324"/>
        <v>Faltan 17,0 puntos base para subir a la siguiente categoría</v>
      </c>
      <c r="AL856" t="str">
        <f t="shared" si="325"/>
        <v>Margen de seguridad: 21,7 puntos</v>
      </c>
      <c r="AM856">
        <f t="shared" si="326"/>
        <v>0.61</v>
      </c>
      <c r="AN856" t="str">
        <f t="shared" si="327"/>
        <v>PRIORIDAD MEDIA – seguimiento del asesor</v>
      </c>
      <c r="AO856">
        <f t="shared" si="328"/>
        <v>43.596036893577541</v>
      </c>
      <c r="AP856">
        <f t="shared" si="329"/>
        <v>0.93995841793502244</v>
      </c>
      <c r="AQ856">
        <f t="shared" si="330"/>
        <v>0</v>
      </c>
      <c r="AR856">
        <f t="shared" si="331"/>
        <v>9.1</v>
      </c>
      <c r="AS856">
        <f t="shared" si="332"/>
        <v>0</v>
      </c>
      <c r="AT856" t="str">
        <f t="shared" si="333"/>
        <v>VENTAS</v>
      </c>
      <c r="AU856">
        <f t="shared" si="334"/>
        <v>43.596036893577541</v>
      </c>
      <c r="AV856" t="str">
        <f t="shared" si="335"/>
        <v>Mayor retorno probable: VENTAS (+43,6 puntos finales potenciales).</v>
      </c>
    </row>
    <row r="857" spans="1:48" x14ac:dyDescent="0.3">
      <c r="A857" s="5">
        <v>51026071</v>
      </c>
      <c r="B857" s="5" t="str">
        <f>IFERROR(VLOOKUP(A857,VENTAS!$A$2:$B$1194,2,0),"")</f>
        <v>PRADES</v>
      </c>
      <c r="C857" s="5">
        <f>IFERROR(INDEX(VENTAS!$C$2:$E$1194,MATCH(A857,VENTAS!$A$2:$A$1194,0),MATCH(PARAMS_MODELO!$B$2,{"Q1","Q2","Q3"},0)),0)</f>
        <v>32075625.57</v>
      </c>
      <c r="D857" s="5">
        <f>IFERROR(INDEX(VENTAS!$F$2:$H$1194,MATCH(A857,VENTAS!$A$2:$A$1194,0),MATCH(PARAMS_MODELO!$B$2,{"Q1","Q2","Q3"},0)),0)</f>
        <v>37554238</v>
      </c>
      <c r="E857" s="8">
        <f t="shared" si="312"/>
        <v>0.17080297991519422</v>
      </c>
      <c r="F857" s="12">
        <f>IF(E857&lt;=PARAMS_MODELO!$B$15,0,IF(E857&gt;=PARAMS_MODELO!$B$17,100,100*MIN(1,(E857-PARAMS_MODELO!$B$15)/(PARAMS_MODELO!$B$16-PARAMS_MODELO!$B$15))))*PARAMS_MODELO!$B$7</f>
        <v>35</v>
      </c>
      <c r="G857" s="5">
        <f t="shared" si="313"/>
        <v>5478612.4299999997</v>
      </c>
      <c r="H857" s="5">
        <f>(PARAMS_MODELO!$B$20*(MAX(0,MIN(3,E857))/3)+PARAMS_MODELO!$B$21*(IFERROR(LN(1+MAX(0,G857))/LN(1+MAX(0,MAX($G$2:$G$1194))),0)))*100*PARAMS_MODELO!$B$8</f>
        <v>4.2350624430755834</v>
      </c>
      <c r="I857" s="8">
        <f>E857-PARAMS_MODELO!$B$5</f>
        <v>-6.7598554603323091E-3</v>
      </c>
      <c r="J857" s="5">
        <f>IF(I857&lt;=PARAMS_MODELO!$B$18,0,IF(I857&gt;=PARAMS_MODELO!$B$19,100,100*(I857-PARAMS_MODELO!$B$18)/(PARAMS_MODELO!$B$19-PARAMS_MODELO!$B$18)))*PARAMS_MODELO!$B$9</f>
        <v>6.4860216809501532</v>
      </c>
      <c r="K857" s="5">
        <f>IFERROR(CHOOSE(MATCH(PARAMS_MODELO!$B$2,{"Q1","Q2","Q3"},0),LOTO!$D857,LOTO!$F857,LOTO!$H857),0)</f>
        <v>1782500</v>
      </c>
      <c r="L857" s="8">
        <f t="shared" si="314"/>
        <v>4.7464682947368018E-2</v>
      </c>
      <c r="M857" s="5">
        <f>MIN(100,IF(PARAMS_MODELO!$B$23=0,0,100*L857/PARAMS_MODELO!$B$23))*PARAMS_MODELO!$B$10</f>
        <v>14.239404884210405</v>
      </c>
      <c r="N857" s="5">
        <f>IFERROR(VLOOKUP(A857,COMPLIANCE!$A$2:$F$1996,6,0),100)</f>
        <v>99.68</v>
      </c>
      <c r="O857" s="5">
        <f>N857*PARAMS_MODELO!$B$11</f>
        <v>9.9680000000000017</v>
      </c>
      <c r="P857" s="5">
        <f>IFERROR(VLOOKUP(A857,DIGITAL!$A$2:$J$2000,7,0),100)</f>
        <v>36</v>
      </c>
      <c r="Q857" s="5">
        <f>IFERROR(P857,0)*PARAMS_MODELO!$B$12</f>
        <v>3.6</v>
      </c>
      <c r="R857">
        <f t="shared" si="315"/>
        <v>73.528489008236136</v>
      </c>
      <c r="S857" s="5" t="str">
        <f>IFERROR(VLOOKUP(A857,CLIENTE!$A$2:$N$2000,13,0),1)</f>
        <v>Regular</v>
      </c>
      <c r="T857" s="5">
        <f>IFERROR(VLOOKUP(A857,CLIENTE!$A$2:$N$2000,14,0),1)</f>
        <v>1</v>
      </c>
      <c r="U857" s="5">
        <f t="shared" si="316"/>
        <v>73.528489008236136</v>
      </c>
      <c r="V857" s="5" t="str">
        <f>IF(U857&gt;=MAX(_xlfn.PERCENTILE.INC($U$2:$U$1194,PARAMS_MODELO!$B$50),PARAMS_MODELO!$B$45),"DIAMANTE",IF(U857&gt;=MAX(_xlfn.PERCENTILE.INC($U$2:$U$1194,PARAMS_MODELO!$B$51),PARAMS_MODELO!$B$46),"PLATINO",IF(U857&gt;=MAX(_xlfn.PERCENTILE.INC($U$2:$U$1194,PARAMS_MODELO!$B$52),PARAMS_MODELO!$B$47),"ORO",IF(U857&gt;=MAX(_xlfn.PERCENTILE.INC($U$2:$U$1194,PARAMS_MODELO!$B$53),PARAMS_MODELO!$B$48),"PLATA",IF(U857&gt;=1,"BRONCE","CERRADO")))))</f>
        <v>ORO</v>
      </c>
      <c r="W857" s="5" t="str" cm="1">
        <f t="array" ref="W857">_xlfn.XLOOKUP(1, (HIST_SCORE!$B:$B=PARAMS_MODELO!$B$4) * (HIST_SCORE!$C:$C=A857), HIST_SCORE!$E:$E, "No encontrado")</f>
        <v>PLATA</v>
      </c>
      <c r="X857" s="5" t="str">
        <f>_xlfn.LET(_xlpm.act,MATCH(V857,{"DIAMANTE";"PLATINO";"ORO";"PLATA";"BRONCE";"CERRADO"},0),_xlpm.ant,MATCH(W857,{"DIAMANTE";"PLATINO";"ORO";"PLATA";"BRONCE";"CERRADO"},0),IF(_xlpm.act&lt;_xlpm.ant,"Mejora ↑",IF(_xlpm.act&gt;_xlpm.ant,"Baja ↓","Estable →")))</f>
        <v>Mejora ↑</v>
      </c>
      <c r="Y857" s="5">
        <f>IFERROR(U857-SUMIFS(HIST_SCORE!$D:$D,HIST_SCORE!$B:$B,PARAMS_MODELO!$B$4,HIST_SCORE!$C:$C,$A857),"")</f>
        <v>47.739812499617713</v>
      </c>
      <c r="Z857" s="5" t="str">
        <f t="shared" si="317"/>
        <v>↑ Mejora</v>
      </c>
      <c r="AA857" s="5">
        <f t="shared" si="318"/>
        <v>485</v>
      </c>
      <c r="AB857" s="5">
        <f>IFERROR(SUMIFS(HIST_SCORE!$F:$F,HIST_SCORE!$B:$B,PARAMS_MODELO!$B$4,HIST_SCORE!$C:$C,$A857),"")</f>
        <v>941</v>
      </c>
      <c r="AC857" s="5">
        <f t="shared" si="319"/>
        <v>456</v>
      </c>
      <c r="AD857" t="str">
        <f t="shared" si="321"/>
        <v/>
      </c>
      <c r="AE8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857="CERRADO",1,IF(V857="BRONCE",_xlpm.cPl,IF(V857="PLATA",_xlpm.cO,IF(V857="ORO",_xlpm.cP,IF(V857="PLATINO",_xlpm.cD,999))))))</f>
        <v>86.439123873763251</v>
      </c>
      <c r="AF8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857="CERRADO",0,IF(V857="BRONCE",1,IF(V857="PLATA",_xlpm.cPl,IF(V857="ORO",_xlpm.cO,IF(V857="PLATINO",_xlpm.cP,_xlpm.cD))))))</f>
        <v>63.199193273331495</v>
      </c>
      <c r="AG857">
        <f t="shared" si="322"/>
        <v>12.910634865527115</v>
      </c>
      <c r="AH857" t="str">
        <f t="shared" si="323"/>
        <v>VENTAS</v>
      </c>
      <c r="AI857" t="str">
        <f t="shared" si="320"/>
        <v>🎯 Para subir de categoría, eje VENTAS / IMPACTO ABSOLUTO (H). Acción: metas semanales + activación comercial + seguimiento del asesor. ΔR aprox: 12,9</v>
      </c>
      <c r="AJ857" s="26">
        <f>_xlfn.LET(_xlpm.piso,AF857,_xlpm.corte,AE857,_xlpm.prog,IF(_xlpm.corte&lt;=_xlpm.piso,0,MAX(0,MIN(1,(U857-_xlpm.piso)/(_xlpm.corte-_xlpm.piso)))),_xlpm.orden,{"DIAMANTE";"PLATINO";"ORO";"PLATA";"BRONCE";"CERRADO"},_xlpm.act,IFERROR(MATCH(V857,_xlpm.orden,0),6),_xlpm.ant,IFERROR(MATCH(W857,_xlpm.orden,0),6),_xlpm.ajmov,IF(_xlpm.act&lt;_xlpm.ant,0.08,IF(_xlpm.act&gt;_xlpm.ant,-0.08,0)),_xlpm.ajcli,IF(T857&lt;0.95,-0.06,0),_xlpm.prob,MAX(0,MIN(1,_xlpm.prog+_xlpm.ajmov+_xlpm.ajcli)),IF(OR(V857="DIAMANTE",V857="CERRADO"),0,ROUND(_xlpm.prob,2)))</f>
        <v>0.52</v>
      </c>
      <c r="AK857" t="str">
        <f t="shared" si="324"/>
        <v>Faltan 12,9 puntos base para subir a la siguiente categoría</v>
      </c>
      <c r="AL857" t="str">
        <f t="shared" si="325"/>
        <v>Margen de seguridad: 10,3 puntos</v>
      </c>
      <c r="AM857">
        <f t="shared" si="326"/>
        <v>0.59</v>
      </c>
      <c r="AN857" t="str">
        <f t="shared" si="327"/>
        <v>PRIORIDAD MEDIA – seguimiento del asesor</v>
      </c>
      <c r="AO857">
        <f t="shared" si="328"/>
        <v>19.141485151269848</v>
      </c>
      <c r="AP857">
        <f t="shared" si="329"/>
        <v>0.76059511578959516</v>
      </c>
      <c r="AQ857">
        <f t="shared" si="330"/>
        <v>3.1999999999998252E-2</v>
      </c>
      <c r="AR857">
        <f t="shared" si="331"/>
        <v>6.4</v>
      </c>
      <c r="AS857">
        <f t="shared" si="332"/>
        <v>0</v>
      </c>
      <c r="AT857" t="str">
        <f t="shared" si="333"/>
        <v>VENTAS</v>
      </c>
      <c r="AU857">
        <f t="shared" si="334"/>
        <v>19.141485151269848</v>
      </c>
      <c r="AV857" t="str">
        <f t="shared" si="335"/>
        <v>Mayor retorno probable: VENTAS (+19,1 puntos finales potenciales).</v>
      </c>
    </row>
    <row r="858" spans="1:48" x14ac:dyDescent="0.3">
      <c r="A858" s="5">
        <v>51017595</v>
      </c>
      <c r="B858" s="5" t="str">
        <f>IFERROR(VLOOKUP(A858,VENTAS!$A$2:$B$1194,2,0),"")</f>
        <v>MONTENEGRO</v>
      </c>
      <c r="C858" s="5">
        <f>IFERROR(INDEX(VENTAS!$C$2:$E$1194,MATCH(A858,VENTAS!$A$2:$A$1194,0),MATCH(PARAMS_MODELO!$B$2,{"Q1","Q2","Q3"},0)),0)</f>
        <v>33026870.02</v>
      </c>
      <c r="D858" s="5">
        <f>IFERROR(INDEX(VENTAS!$F$2:$H$1194,MATCH(A858,VENTAS!$A$2:$A$1194,0),MATCH(PARAMS_MODELO!$B$2,{"Q1","Q2","Q3"},0)),0)</f>
        <v>37515206</v>
      </c>
      <c r="E858" s="8">
        <f t="shared" si="312"/>
        <v>0.13589952597027843</v>
      </c>
      <c r="F858" s="12">
        <f>IF(E858&lt;=PARAMS_MODELO!$B$15,0,IF(E858&gt;=PARAMS_MODELO!$B$17,100,100*MIN(1,(E858-PARAMS_MODELO!$B$15)/(PARAMS_MODELO!$B$16-PARAMS_MODELO!$B$15))))*PARAMS_MODELO!$B$7</f>
        <v>35</v>
      </c>
      <c r="G858" s="5">
        <f t="shared" si="313"/>
        <v>4488335.9800000004</v>
      </c>
      <c r="H858" s="5">
        <f>(PARAMS_MODELO!$B$20*(MAX(0,MIN(3,E858))/3)+PARAMS_MODELO!$B$21*(IFERROR(LN(1+MAX(0,G858))/LN(1+MAX(0,MAX($G$2:$G$1194))),0)))*100*PARAMS_MODELO!$B$8</f>
        <v>4.0661652909446966</v>
      </c>
      <c r="I858" s="8">
        <f>E858-PARAMS_MODELO!$B$5</f>
        <v>-4.1663309405248095E-2</v>
      </c>
      <c r="J858" s="5">
        <f>IF(I858&lt;=PARAMS_MODELO!$B$18,0,IF(I858&gt;=PARAMS_MODELO!$B$19,100,100*(I858-PARAMS_MODELO!$B$18)/(PARAMS_MODELO!$B$19-PARAMS_MODELO!$B$18)))*PARAMS_MODELO!$B$9</f>
        <v>1.250503589212786</v>
      </c>
      <c r="K858" s="5">
        <f>IFERROR(CHOOSE(MATCH(PARAMS_MODELO!$B$2,{"Q1","Q2","Q3"},0),LOTO!$D858,LOTO!$F858,LOTO!$H858),0)</f>
        <v>1767500</v>
      </c>
      <c r="L858" s="8">
        <f t="shared" si="314"/>
        <v>4.7114228827638584E-2</v>
      </c>
      <c r="M858" s="5">
        <f>MIN(100,IF(PARAMS_MODELO!$B$23=0,0,100*L858/PARAMS_MODELO!$B$23))*PARAMS_MODELO!$B$10</f>
        <v>14.134268648291572</v>
      </c>
      <c r="N858" s="5">
        <f>IFERROR(VLOOKUP(A858,COMPLIANCE!$A$2:$F$1996,6,0),100)</f>
        <v>99.83</v>
      </c>
      <c r="O858" s="5">
        <f>N858*PARAMS_MODELO!$B$11</f>
        <v>9.9830000000000005</v>
      </c>
      <c r="P858" s="5">
        <f>IFERROR(VLOOKUP(A858,DIGITAL!$A$2:$J$2000,7,0),100)</f>
        <v>76</v>
      </c>
      <c r="Q858" s="5">
        <f>IFERROR(P858,0)*PARAMS_MODELO!$B$12</f>
        <v>7.6000000000000005</v>
      </c>
      <c r="R858">
        <f t="shared" si="315"/>
        <v>72.033937528449044</v>
      </c>
      <c r="S858" s="5" t="str">
        <f>IFERROR(VLOOKUP(A858,CLIENTE!$A$2:$N$2000,13,0),1)</f>
        <v>Malo</v>
      </c>
      <c r="T858" s="5">
        <f>IFERROR(VLOOKUP(A858,CLIENTE!$A$2:$N$2000,14,0),1)</f>
        <v>0.7</v>
      </c>
      <c r="U858" s="5">
        <f t="shared" si="316"/>
        <v>50.423756269914328</v>
      </c>
      <c r="V858" s="5" t="str">
        <f>IF(U858&gt;=MAX(_xlfn.PERCENTILE.INC($U$2:$U$1194,PARAMS_MODELO!$B$50),PARAMS_MODELO!$B$45),"DIAMANTE",IF(U858&gt;=MAX(_xlfn.PERCENTILE.INC($U$2:$U$1194,PARAMS_MODELO!$B$51),PARAMS_MODELO!$B$46),"PLATINO",IF(U858&gt;=MAX(_xlfn.PERCENTILE.INC($U$2:$U$1194,PARAMS_MODELO!$B$52),PARAMS_MODELO!$B$47),"ORO",IF(U858&gt;=MAX(_xlfn.PERCENTILE.INC($U$2:$U$1194,PARAMS_MODELO!$B$53),PARAMS_MODELO!$B$48),"PLATA",IF(U858&gt;=1,"BRONCE","CERRADO")))))</f>
        <v>PLATA</v>
      </c>
      <c r="W858" s="5" t="str" cm="1">
        <f t="array" ref="W858">_xlfn.XLOOKUP(1, (HIST_SCORE!$B:$B=PARAMS_MODELO!$B$4) * (HIST_SCORE!$C:$C=A858), HIST_SCORE!$E:$E, "No encontrado")</f>
        <v>PLATA</v>
      </c>
      <c r="X858" s="5" t="str">
        <f>_xlfn.LET(_xlpm.act,MATCH(V858,{"DIAMANTE";"PLATINO";"ORO";"PLATA";"BRONCE";"CERRADO"},0),_xlpm.ant,MATCH(W858,{"DIAMANTE";"PLATINO";"ORO";"PLATA";"BRONCE";"CERRADO"},0),IF(_xlpm.act&lt;_xlpm.ant,"Mejora ↑",IF(_xlpm.act&gt;_xlpm.ant,"Baja ↓","Estable →")))</f>
        <v>Estable →</v>
      </c>
      <c r="Y858" s="5">
        <f>IFERROR(U858-SUMIFS(HIST_SCORE!$D:$D,HIST_SCORE!$B:$B,PARAMS_MODELO!$B$4,HIST_SCORE!$C:$C,$A858),"")</f>
        <v>1.8732788406120306</v>
      </c>
      <c r="Z858" s="5" t="str">
        <f t="shared" si="317"/>
        <v>→ Estable</v>
      </c>
      <c r="AA858" s="5">
        <f t="shared" si="318"/>
        <v>737</v>
      </c>
      <c r="AB858" s="5">
        <f>IFERROR(SUMIFS(HIST_SCORE!$F:$F,HIST_SCORE!$B:$B,PARAMS_MODELO!$B$4,HIST_SCORE!$C:$C,$A858),"")</f>
        <v>786</v>
      </c>
      <c r="AC858" s="5">
        <f t="shared" si="319"/>
        <v>49</v>
      </c>
      <c r="AD858" t="str">
        <f t="shared" si="321"/>
        <v/>
      </c>
      <c r="AE8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858="CERRADO",1,IF(V858="BRONCE",_xlpm.cPl,IF(V858="PLATA",_xlpm.cO,IF(V858="ORO",_xlpm.cP,IF(V858="PLATINO",_xlpm.cD,999))))))</f>
        <v>63.199193273331495</v>
      </c>
      <c r="AF8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858="CERRADO",0,IF(V858="BRONCE",1,IF(V858="PLATA",_xlpm.cPl,IF(V858="ORO",_xlpm.cO,IF(V858="PLATINO",_xlpm.cP,_xlpm.cD))))))</f>
        <v>24.506573482968111</v>
      </c>
      <c r="AG858">
        <f t="shared" si="322"/>
        <v>18.250624290595951</v>
      </c>
      <c r="AH858" t="str">
        <f t="shared" si="323"/>
        <v>CLIENTE</v>
      </c>
      <c r="AI858" t="str">
        <f t="shared" si="320"/>
        <v>🎯 Para subir de categoría, la eje con mayor impacto probable es CLIENTE (coef T). Acción: reducir quejas, mejorar incógnito y empujar reseñas. ΔR aprox: 18,3</v>
      </c>
      <c r="AJ858" s="26">
        <f>_xlfn.LET(_xlpm.piso,AF858,_xlpm.corte,AE858,_xlpm.prog,IF(_xlpm.corte&lt;=_xlpm.piso,0,MAX(0,MIN(1,(U858-_xlpm.piso)/(_xlpm.corte-_xlpm.piso)))),_xlpm.orden,{"DIAMANTE";"PLATINO";"ORO";"PLATA";"BRONCE";"CERRADO"},_xlpm.act,IFERROR(MATCH(V858,_xlpm.orden,0),6),_xlpm.ant,IFERROR(MATCH(W858,_xlpm.orden,0),6),_xlpm.ajmov,IF(_xlpm.act&lt;_xlpm.ant,0.08,IF(_xlpm.act&gt;_xlpm.ant,-0.08,0)),_xlpm.ajcli,IF(T858&lt;0.95,-0.06,0),_xlpm.prob,MAX(0,MIN(1,_xlpm.prog+_xlpm.ajmov+_xlpm.ajcli)),IF(OR(V858="DIAMANTE",V858="CERRADO"),0,ROUND(_xlpm.prob,2)))</f>
        <v>0.61</v>
      </c>
      <c r="AK858" t="str">
        <f t="shared" si="324"/>
        <v>Faltan 18,3 puntos base para subir a la siguiente categoría</v>
      </c>
      <c r="AL858" t="str">
        <f t="shared" si="325"/>
        <v>Margen de seguridad: 25,9 puntos</v>
      </c>
      <c r="AM858">
        <f t="shared" si="326"/>
        <v>0.76</v>
      </c>
      <c r="AN858" t="str">
        <f t="shared" si="327"/>
        <v>PRIORIDAD ALTA – requiere intervención inmediata</v>
      </c>
      <c r="AO858">
        <f t="shared" si="328"/>
        <v>17.182130276596673</v>
      </c>
      <c r="AP858">
        <f t="shared" si="329"/>
        <v>0.60601194619589949</v>
      </c>
      <c r="AQ858">
        <f t="shared" si="330"/>
        <v>1.1899999999999621E-2</v>
      </c>
      <c r="AR858">
        <f t="shared" si="331"/>
        <v>1.6799999999999995</v>
      </c>
      <c r="AS858">
        <f t="shared" si="332"/>
        <v>21.610181258534716</v>
      </c>
      <c r="AT858" t="str">
        <f t="shared" si="333"/>
        <v>CLIENTE</v>
      </c>
      <c r="AU858">
        <f t="shared" si="334"/>
        <v>21.610181258534716</v>
      </c>
      <c r="AV858" t="str">
        <f t="shared" si="335"/>
        <v>Mayor retorno probable: CLIENTE (+21,6 puntos finales potenciales).</v>
      </c>
    </row>
    <row r="859" spans="1:48" x14ac:dyDescent="0.3">
      <c r="A859" s="5">
        <v>51014707</v>
      </c>
      <c r="B859" s="5" t="str">
        <f>IFERROR(VLOOKUP(A859,VENTAS!$A$2:$B$1194,2,0),"")</f>
        <v>PUGH</v>
      </c>
      <c r="C859" s="5">
        <f>IFERROR(INDEX(VENTAS!$C$2:$E$1194,MATCH(A859,VENTAS!$A$2:$A$1194,0),MATCH(PARAMS_MODELO!$B$2,{"Q1","Q2","Q3"},0)),0)</f>
        <v>59157157.469999999</v>
      </c>
      <c r="D859" s="5">
        <f>IFERROR(INDEX(VENTAS!$F$2:$H$1194,MATCH(A859,VENTAS!$A$2:$A$1194,0),MATCH(PARAMS_MODELO!$B$2,{"Q1","Q2","Q3"},0)),0)</f>
        <v>37259222</v>
      </c>
      <c r="E859" s="8">
        <f t="shared" si="312"/>
        <v>-0.37016544415787667</v>
      </c>
      <c r="F859" s="12">
        <f>IF(E859&lt;=PARAMS_MODELO!$B$15,0,IF(E859&gt;=PARAMS_MODELO!$B$17,100,100*MIN(1,(E859-PARAMS_MODELO!$B$15)/(PARAMS_MODELO!$B$16-PARAMS_MODELO!$B$15))))*PARAMS_MODELO!$B$7</f>
        <v>0</v>
      </c>
      <c r="G859" s="5">
        <f t="shared" si="313"/>
        <v>0</v>
      </c>
      <c r="H859" s="5">
        <f>(PARAMS_MODELO!$B$20*(MAX(0,MIN(3,E859))/3)+PARAMS_MODELO!$B$21*(IFERROR(LN(1+MAX(0,G859))/LN(1+MAX(0,MAX($G$2:$G$1194))),0)))*100*PARAMS_MODELO!$B$8</f>
        <v>0</v>
      </c>
      <c r="I859" s="8">
        <f>E859-PARAMS_MODELO!$B$5</f>
        <v>-0.5477282795334032</v>
      </c>
      <c r="J859" s="5">
        <f>IF(I859&lt;=PARAMS_MODELO!$B$18,0,IF(I859&gt;=PARAMS_MODELO!$B$19,100,100*(I859-PARAMS_MODELO!$B$18)/(PARAMS_MODELO!$B$19-PARAMS_MODELO!$B$18)))*PARAMS_MODELO!$B$9</f>
        <v>0</v>
      </c>
      <c r="K859" s="5">
        <f>IFERROR(CHOOSE(MATCH(PARAMS_MODELO!$B$2,{"Q1","Q2","Q3"},0),LOTO!$D859,LOTO!$F859,LOTO!$H859),0)</f>
        <v>1765000</v>
      </c>
      <c r="L859" s="8">
        <f t="shared" si="314"/>
        <v>4.7370822718735245E-2</v>
      </c>
      <c r="M859" s="5">
        <f>MIN(100,IF(PARAMS_MODELO!$B$23=0,0,100*L859/PARAMS_MODELO!$B$23))*PARAMS_MODELO!$B$10</f>
        <v>14.211246815620571</v>
      </c>
      <c r="N859" s="5">
        <f>IFERROR(VLOOKUP(A859,COMPLIANCE!$A$2:$F$1996,6,0),100)</f>
        <v>100</v>
      </c>
      <c r="O859" s="5">
        <f>N859*PARAMS_MODELO!$B$11</f>
        <v>10</v>
      </c>
      <c r="P859" s="5">
        <f>IFERROR(VLOOKUP(A859,DIGITAL!$A$2:$J$2000,7,0),100)</f>
        <v>70</v>
      </c>
      <c r="Q859" s="5">
        <f>IFERROR(P859,0)*PARAMS_MODELO!$B$12</f>
        <v>7</v>
      </c>
      <c r="R859">
        <f t="shared" si="315"/>
        <v>31.211246815620569</v>
      </c>
      <c r="S859" s="5" t="str">
        <f>IFERROR(VLOOKUP(A859,CLIENTE!$A$2:$N$2000,13,0),1)</f>
        <v>Bueno</v>
      </c>
      <c r="T859" s="5">
        <f>IFERROR(VLOOKUP(A859,CLIENTE!$A$2:$N$2000,14,0),1)</f>
        <v>1.1000000000000001</v>
      </c>
      <c r="U859" s="5">
        <f t="shared" si="316"/>
        <v>34.332371497182628</v>
      </c>
      <c r="V859" s="5" t="str">
        <f>IF(U859&gt;=MAX(_xlfn.PERCENTILE.INC($U$2:$U$1194,PARAMS_MODELO!$B$50),PARAMS_MODELO!$B$45),"DIAMANTE",IF(U859&gt;=MAX(_xlfn.PERCENTILE.INC($U$2:$U$1194,PARAMS_MODELO!$B$51),PARAMS_MODELO!$B$46),"PLATINO",IF(U859&gt;=MAX(_xlfn.PERCENTILE.INC($U$2:$U$1194,PARAMS_MODELO!$B$52),PARAMS_MODELO!$B$47),"ORO",IF(U859&gt;=MAX(_xlfn.PERCENTILE.INC($U$2:$U$1194,PARAMS_MODELO!$B$53),PARAMS_MODELO!$B$48),"PLATA",IF(U859&gt;=1,"BRONCE","CERRADO")))))</f>
        <v>PLATA</v>
      </c>
      <c r="W859" s="5" t="str" cm="1">
        <f t="array" ref="W859">_xlfn.XLOOKUP(1, (HIST_SCORE!$B:$B=PARAMS_MODELO!$B$4) * (HIST_SCORE!$C:$C=A859), HIST_SCORE!$E:$E, "No encontrado")</f>
        <v>PLATINO</v>
      </c>
      <c r="X859" s="5" t="str">
        <f>_xlfn.LET(_xlpm.act,MATCH(V859,{"DIAMANTE";"PLATINO";"ORO";"PLATA";"BRONCE";"CERRADO"},0),_xlpm.ant,MATCH(W859,{"DIAMANTE";"PLATINO";"ORO";"PLATA";"BRONCE";"CERRADO"},0),IF(_xlpm.act&lt;_xlpm.ant,"Mejora ↑",IF(_xlpm.act&gt;_xlpm.ant,"Baja ↓","Estable →")))</f>
        <v>Baja ↓</v>
      </c>
      <c r="Y859" s="5">
        <f>IFERROR(U859-SUMIFS(HIST_SCORE!$D:$D,HIST_SCORE!$B:$B,PARAMS_MODELO!$B$4,HIST_SCORE!$C:$C,$A859),"")</f>
        <v>-52.740245924295316</v>
      </c>
      <c r="Z859" s="5" t="str">
        <f t="shared" si="317"/>
        <v>↓ Baja</v>
      </c>
      <c r="AA859" s="5">
        <f t="shared" si="318"/>
        <v>811</v>
      </c>
      <c r="AB859" s="5">
        <f>IFERROR(SUMIFS(HIST_SCORE!$F:$F,HIST_SCORE!$B:$B,PARAMS_MODELO!$B$4,HIST_SCORE!$C:$C,$A859),"")</f>
        <v>199</v>
      </c>
      <c r="AC859" s="5">
        <f t="shared" si="319"/>
        <v>-612</v>
      </c>
      <c r="AD859" t="str">
        <f t="shared" si="321"/>
        <v/>
      </c>
      <c r="AE8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859="CERRADO",1,IF(V859="BRONCE",_xlpm.cPl,IF(V859="PLATA",_xlpm.cO,IF(V859="ORO",_xlpm.cP,IF(V859="PLATINO",_xlpm.cD,999))))))</f>
        <v>63.199193273331495</v>
      </c>
      <c r="AF8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859="CERRADO",0,IF(V859="BRONCE",1,IF(V859="PLATA",_xlpm.cPl,IF(V859="ORO",_xlpm.cO,IF(V859="PLATINO",_xlpm.cP,_xlpm.cD))))))</f>
        <v>24.506573482968111</v>
      </c>
      <c r="AG859">
        <f t="shared" si="322"/>
        <v>26.242565251044425</v>
      </c>
      <c r="AH859" t="str">
        <f t="shared" si="323"/>
        <v>VENTAS</v>
      </c>
      <c r="AI859" t="str">
        <f t="shared" si="320"/>
        <v>🎯 Para subir de categoría, eje VENTAS / CRECIMIENTO PERSONAL (F). Acción: metas semanales + activación comercial + seguimiento del asesor. ΔR aprox: 26,2</v>
      </c>
      <c r="AJ859" s="26">
        <f>_xlfn.LET(_xlpm.piso,AF859,_xlpm.corte,AE859,_xlpm.prog,IF(_xlpm.corte&lt;=_xlpm.piso,0,MAX(0,MIN(1,(U859-_xlpm.piso)/(_xlpm.corte-_xlpm.piso)))),_xlpm.orden,{"DIAMANTE";"PLATINO";"ORO";"PLATA";"BRONCE";"CERRADO"},_xlpm.act,IFERROR(MATCH(V859,_xlpm.orden,0),6),_xlpm.ant,IFERROR(MATCH(W859,_xlpm.orden,0),6),_xlpm.ajmov,IF(_xlpm.act&lt;_xlpm.ant,0.08,IF(_xlpm.act&gt;_xlpm.ant,-0.08,0)),_xlpm.ajcli,IF(T859&lt;0.95,-0.06,0),_xlpm.prob,MAX(0,MIN(1,_xlpm.prog+_xlpm.ajmov+_xlpm.ajcli)),IF(OR(V859="DIAMANTE",V859="CERRADO"),0,ROUND(_xlpm.prob,2)))</f>
        <v>0.17</v>
      </c>
      <c r="AK859" t="str">
        <f t="shared" si="324"/>
        <v>Faltan 26,2 puntos base para subir a la siguiente categoría</v>
      </c>
      <c r="AL859" t="str">
        <f t="shared" si="325"/>
        <v>Margen de seguridad: 9,8 puntos</v>
      </c>
      <c r="AM859">
        <f t="shared" si="326"/>
        <v>0.73</v>
      </c>
      <c r="AN859" t="str">
        <f t="shared" si="327"/>
        <v>PRIORIDAD ALTA – requiere intervención inmediata</v>
      </c>
      <c r="AO859">
        <f t="shared" si="328"/>
        <v>71.348826202825151</v>
      </c>
      <c r="AP859">
        <f t="shared" si="329"/>
        <v>0.86762850281737181</v>
      </c>
      <c r="AQ859">
        <f t="shared" si="330"/>
        <v>0</v>
      </c>
      <c r="AR859">
        <f t="shared" si="331"/>
        <v>3.3000000000000003</v>
      </c>
      <c r="AS859">
        <f t="shared" si="332"/>
        <v>0</v>
      </c>
      <c r="AT859" t="str">
        <f t="shared" si="333"/>
        <v>VENTAS</v>
      </c>
      <c r="AU859">
        <f t="shared" si="334"/>
        <v>71.348826202825151</v>
      </c>
      <c r="AV859" t="str">
        <f t="shared" si="335"/>
        <v>Mayor retorno probable: VENTAS (+71,3 puntos finales potenciales).</v>
      </c>
    </row>
    <row r="860" spans="1:48" x14ac:dyDescent="0.3">
      <c r="A860" s="5">
        <v>51032390</v>
      </c>
      <c r="B860" s="5" t="str">
        <f>IFERROR(VLOOKUP(A860,VENTAS!$A$2:$B$1194,2,0),"")</f>
        <v>PRADES</v>
      </c>
      <c r="C860" s="5">
        <f>IFERROR(INDEX(VENTAS!$C$2:$E$1194,MATCH(A860,VENTAS!$A$2:$A$1194,0),MATCH(PARAMS_MODELO!$B$2,{"Q1","Q2","Q3"},0)),0)</f>
        <v>39239768.890000001</v>
      </c>
      <c r="D860" s="5">
        <f>IFERROR(INDEX(VENTAS!$F$2:$H$1194,MATCH(A860,VENTAS!$A$2:$A$1194,0),MATCH(PARAMS_MODELO!$B$2,{"Q1","Q2","Q3"},0)),0)</f>
        <v>37161194</v>
      </c>
      <c r="E860" s="8">
        <f t="shared" si="312"/>
        <v>-5.297112976956686E-2</v>
      </c>
      <c r="F860" s="12">
        <f>IF(E860&lt;=PARAMS_MODELO!$B$15,0,IF(E860&gt;=PARAMS_MODELO!$B$17,100,100*MIN(1,(E860-PARAMS_MODELO!$B$15)/(PARAMS_MODELO!$B$16-PARAMS_MODELO!$B$15))))*PARAMS_MODELO!$B$7</f>
        <v>0</v>
      </c>
      <c r="G860" s="5">
        <f t="shared" si="313"/>
        <v>0</v>
      </c>
      <c r="H860" s="5">
        <f>(PARAMS_MODELO!$B$20*(MAX(0,MIN(3,E860))/3)+PARAMS_MODELO!$B$21*(IFERROR(LN(1+MAX(0,G860))/LN(1+MAX(0,MAX($G$2:$G$1194))),0)))*100*PARAMS_MODELO!$B$8</f>
        <v>0</v>
      </c>
      <c r="I860" s="8">
        <f>E860-PARAMS_MODELO!$B$5</f>
        <v>-0.23053396514509339</v>
      </c>
      <c r="J860" s="5">
        <f>IF(I860&lt;=PARAMS_MODELO!$B$18,0,IF(I860&gt;=PARAMS_MODELO!$B$19,100,100*(I860-PARAMS_MODELO!$B$18)/(PARAMS_MODELO!$B$19-PARAMS_MODELO!$B$18)))*PARAMS_MODELO!$B$9</f>
        <v>0</v>
      </c>
      <c r="K860" s="5">
        <f>IFERROR(CHOOSE(MATCH(PARAMS_MODELO!$B$2,{"Q1","Q2","Q3"},0),LOTO!$D860,LOTO!$F860,LOTO!$H860),0)</f>
        <v>1752500</v>
      </c>
      <c r="L860" s="8">
        <f t="shared" si="314"/>
        <v>4.7159410432291278E-2</v>
      </c>
      <c r="M860" s="5">
        <f>MIN(100,IF(PARAMS_MODELO!$B$23=0,0,100*L860/PARAMS_MODELO!$B$23))*PARAMS_MODELO!$B$10</f>
        <v>14.147823129687382</v>
      </c>
      <c r="N860" s="5">
        <f>IFERROR(VLOOKUP(A860,COMPLIANCE!$A$2:$F$1996,6,0),100)</f>
        <v>100</v>
      </c>
      <c r="O860" s="5">
        <f>N860*PARAMS_MODELO!$B$11</f>
        <v>10</v>
      </c>
      <c r="P860" s="5">
        <f>IFERROR(VLOOKUP(A860,DIGITAL!$A$2:$J$2000,7,0),100)</f>
        <v>26</v>
      </c>
      <c r="Q860" s="5">
        <f>IFERROR(P860,0)*PARAMS_MODELO!$B$12</f>
        <v>2.6</v>
      </c>
      <c r="R860">
        <f t="shared" si="315"/>
        <v>26.747823129687383</v>
      </c>
      <c r="S860" s="5" t="str">
        <f>IFERROR(VLOOKUP(A860,CLIENTE!$A$2:$N$2000,13,0),1)</f>
        <v>Regular</v>
      </c>
      <c r="T860" s="5">
        <f>IFERROR(VLOOKUP(A860,CLIENTE!$A$2:$N$2000,14,0),1)</f>
        <v>1</v>
      </c>
      <c r="U860" s="5">
        <f t="shared" si="316"/>
        <v>26.747823129687383</v>
      </c>
      <c r="V860" s="5" t="str">
        <f>IF(U860&gt;=MAX(_xlfn.PERCENTILE.INC($U$2:$U$1194,PARAMS_MODELO!$B$50),PARAMS_MODELO!$B$45),"DIAMANTE",IF(U860&gt;=MAX(_xlfn.PERCENTILE.INC($U$2:$U$1194,PARAMS_MODELO!$B$51),PARAMS_MODELO!$B$46),"PLATINO",IF(U860&gt;=MAX(_xlfn.PERCENTILE.INC($U$2:$U$1194,PARAMS_MODELO!$B$52),PARAMS_MODELO!$B$47),"ORO",IF(U860&gt;=MAX(_xlfn.PERCENTILE.INC($U$2:$U$1194,PARAMS_MODELO!$B$53),PARAMS_MODELO!$B$48),"PLATA",IF(U860&gt;=1,"BRONCE","CERRADO")))))</f>
        <v>PLATA</v>
      </c>
      <c r="W860" s="5" t="str" cm="1">
        <f t="array" ref="W860">_xlfn.XLOOKUP(1, (HIST_SCORE!$B:$B=PARAMS_MODELO!$B$4) * (HIST_SCORE!$C:$C=A860), HIST_SCORE!$E:$E, "No encontrado")</f>
        <v>PLATA</v>
      </c>
      <c r="X860" s="5" t="str">
        <f>_xlfn.LET(_xlpm.act,MATCH(V860,{"DIAMANTE";"PLATINO";"ORO";"PLATA";"BRONCE";"CERRADO"},0),_xlpm.ant,MATCH(W860,{"DIAMANTE";"PLATINO";"ORO";"PLATA";"BRONCE";"CERRADO"},0),IF(_xlpm.act&lt;_xlpm.ant,"Mejora ↑",IF(_xlpm.act&gt;_xlpm.ant,"Baja ↓","Estable →")))</f>
        <v>Estable →</v>
      </c>
      <c r="Y860" s="5">
        <f>IFERROR(U860-SUMIFS(HIST_SCORE!$D:$D,HIST_SCORE!$B:$B,PARAMS_MODELO!$B$4,HIST_SCORE!$C:$C,$A860),"")</f>
        <v>0.16966255513414552</v>
      </c>
      <c r="Z860" s="5" t="str">
        <f t="shared" si="317"/>
        <v>→ Estable</v>
      </c>
      <c r="AA860" s="5">
        <f t="shared" si="318"/>
        <v>901</v>
      </c>
      <c r="AB860" s="5">
        <f>IFERROR(SUMIFS(HIST_SCORE!$F:$F,HIST_SCORE!$B:$B,PARAMS_MODELO!$B$4,HIST_SCORE!$C:$C,$A860),"")</f>
        <v>937</v>
      </c>
      <c r="AC860" s="5">
        <f t="shared" si="319"/>
        <v>36</v>
      </c>
      <c r="AD860" t="str">
        <f t="shared" si="321"/>
        <v/>
      </c>
      <c r="AE8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860="CERRADO",1,IF(V860="BRONCE",_xlpm.cPl,IF(V860="PLATA",_xlpm.cO,IF(V860="ORO",_xlpm.cP,IF(V860="PLATINO",_xlpm.cD,999))))))</f>
        <v>63.199193273331495</v>
      </c>
      <c r="AF8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860="CERRADO",0,IF(V860="BRONCE",1,IF(V860="PLATA",_xlpm.cPl,IF(V860="ORO",_xlpm.cO,IF(V860="PLATINO",_xlpm.cP,_xlpm.cD))))))</f>
        <v>24.506573482968111</v>
      </c>
      <c r="AG860">
        <f t="shared" si="322"/>
        <v>36.451370143644112</v>
      </c>
      <c r="AH860" t="str">
        <f t="shared" si="323"/>
        <v>VENTAS</v>
      </c>
      <c r="AI860" t="str">
        <f t="shared" si="320"/>
        <v>🎯 Para subir de categoría, eje VENTAS / CRECIMIENTO PERSONAL (F). Acción: metas semanales + activación comercial + seguimiento del asesor. ΔR aprox: 36,5</v>
      </c>
      <c r="AJ860" s="26">
        <f>_xlfn.LET(_xlpm.piso,AF860,_xlpm.corte,AE860,_xlpm.prog,IF(_xlpm.corte&lt;=_xlpm.piso,0,MAX(0,MIN(1,(U860-_xlpm.piso)/(_xlpm.corte-_xlpm.piso)))),_xlpm.orden,{"DIAMANTE";"PLATINO";"ORO";"PLATA";"BRONCE";"CERRADO"},_xlpm.act,IFERROR(MATCH(V860,_xlpm.orden,0),6),_xlpm.ant,IFERROR(MATCH(W860,_xlpm.orden,0),6),_xlpm.ajmov,IF(_xlpm.act&lt;_xlpm.ant,0.08,IF(_xlpm.act&gt;_xlpm.ant,-0.08,0)),_xlpm.ajcli,IF(T860&lt;0.95,-0.06,0),_xlpm.prob,MAX(0,MIN(1,_xlpm.prog+_xlpm.ajmov+_xlpm.ajcli)),IF(OR(V860="DIAMANTE",V860="CERRADO"),0,ROUND(_xlpm.prob,2)))</f>
        <v>0.06</v>
      </c>
      <c r="AK860" t="str">
        <f t="shared" si="324"/>
        <v>Faltan 36,5 puntos base para subir a la siguiente categoría</v>
      </c>
      <c r="AL860" t="str">
        <f t="shared" si="325"/>
        <v>Margen de seguridad: 2,2 puntos</v>
      </c>
      <c r="AM860">
        <f t="shared" si="326"/>
        <v>0.78</v>
      </c>
      <c r="AN860" t="str">
        <f t="shared" si="327"/>
        <v>PRIORIDAD ALTA – requiere intervención inmediata</v>
      </c>
      <c r="AO860">
        <f t="shared" si="328"/>
        <v>64.862569275295584</v>
      </c>
      <c r="AP860">
        <f t="shared" si="329"/>
        <v>0.85217687031261846</v>
      </c>
      <c r="AQ860">
        <f t="shared" si="330"/>
        <v>0</v>
      </c>
      <c r="AR860">
        <f t="shared" si="331"/>
        <v>7.4</v>
      </c>
      <c r="AS860">
        <f t="shared" si="332"/>
        <v>0</v>
      </c>
      <c r="AT860" t="str">
        <f t="shared" si="333"/>
        <v>VENTAS</v>
      </c>
      <c r="AU860">
        <f t="shared" si="334"/>
        <v>64.862569275295584</v>
      </c>
      <c r="AV860" t="str">
        <f t="shared" si="335"/>
        <v>Mayor retorno probable: VENTAS (+64,9 puntos finales potenciales).</v>
      </c>
    </row>
    <row r="861" spans="1:48" x14ac:dyDescent="0.3">
      <c r="A861" s="5">
        <v>51030249</v>
      </c>
      <c r="B861" s="5" t="str">
        <f>IFERROR(VLOOKUP(A861,VENTAS!$A$2:$B$1194,2,0),"")</f>
        <v>METTLER</v>
      </c>
      <c r="C861" s="5">
        <f>IFERROR(INDEX(VENTAS!$C$2:$E$1194,MATCH(A861,VENTAS!$A$2:$A$1194,0),MATCH(PARAMS_MODELO!$B$2,{"Q1","Q2","Q3"},0)),0)</f>
        <v>28485772.030000001</v>
      </c>
      <c r="D861" s="5">
        <f>IFERROR(INDEX(VENTAS!$F$2:$H$1194,MATCH(A861,VENTAS!$A$2:$A$1194,0),MATCH(PARAMS_MODELO!$B$2,{"Q1","Q2","Q3"},0)),0)</f>
        <v>36643841</v>
      </c>
      <c r="E861" s="8">
        <f t="shared" si="312"/>
        <v>0.28639100816394469</v>
      </c>
      <c r="F861" s="12">
        <f>IF(E861&lt;=PARAMS_MODELO!$B$15,0,IF(E861&gt;=PARAMS_MODELO!$B$17,100,100*MIN(1,(E861-PARAMS_MODELO!$B$15)/(PARAMS_MODELO!$B$16-PARAMS_MODELO!$B$15))))*PARAMS_MODELO!$B$7</f>
        <v>35</v>
      </c>
      <c r="G861" s="5">
        <f t="shared" si="313"/>
        <v>8158068.9699999988</v>
      </c>
      <c r="H861" s="5">
        <f>(PARAMS_MODELO!$B$20*(MAX(0,MIN(3,E861))/3)+PARAMS_MODELO!$B$21*(IFERROR(LN(1+MAX(0,G861))/LN(1+MAX(0,MAX($G$2:$G$1194))),0)))*100*PARAMS_MODELO!$B$8</f>
        <v>4.7329537666668591</v>
      </c>
      <c r="I861" s="8">
        <f>E861-PARAMS_MODELO!$B$5</f>
        <v>0.10882817278841816</v>
      </c>
      <c r="J861" s="5">
        <f>IF(I861&lt;=PARAMS_MODELO!$B$18,0,IF(I861&gt;=PARAMS_MODELO!$B$19,100,100*(I861-PARAMS_MODELO!$B$18)/(PARAMS_MODELO!$B$19-PARAMS_MODELO!$B$18)))*PARAMS_MODELO!$B$9</f>
        <v>15</v>
      </c>
      <c r="K861" s="5">
        <f>IFERROR(CHOOSE(MATCH(PARAMS_MODELO!$B$2,{"Q1","Q2","Q3"},0),LOTO!$D861,LOTO!$F861,LOTO!$H861),0)</f>
        <v>1750000</v>
      </c>
      <c r="L861" s="8">
        <f t="shared" si="314"/>
        <v>4.7757002329531992E-2</v>
      </c>
      <c r="M861" s="5">
        <f>MIN(100,IF(PARAMS_MODELO!$B$23=0,0,100*L861/PARAMS_MODELO!$B$23))*PARAMS_MODELO!$B$10</f>
        <v>14.327100698859597</v>
      </c>
      <c r="N861" s="5">
        <f>IFERROR(VLOOKUP(A861,COMPLIANCE!$A$2:$F$1996,6,0),100)</f>
        <v>100</v>
      </c>
      <c r="O861" s="5">
        <f>N861*PARAMS_MODELO!$B$11</f>
        <v>10</v>
      </c>
      <c r="P861" s="5">
        <f>IFERROR(VLOOKUP(A861,DIGITAL!$A$2:$J$2000,7,0),100)</f>
        <v>39</v>
      </c>
      <c r="Q861" s="5">
        <f>IFERROR(P861,0)*PARAMS_MODELO!$B$12</f>
        <v>3.9000000000000004</v>
      </c>
      <c r="R861">
        <f t="shared" si="315"/>
        <v>82.960054465526468</v>
      </c>
      <c r="S861" s="5" t="str">
        <f>IFERROR(VLOOKUP(A861,CLIENTE!$A$2:$N$2000,13,0),1)</f>
        <v>Malo</v>
      </c>
      <c r="T861" s="5">
        <f>IFERROR(VLOOKUP(A861,CLIENTE!$A$2:$N$2000,14,0),1)</f>
        <v>0.7</v>
      </c>
      <c r="U861" s="5">
        <f t="shared" si="316"/>
        <v>58.072038125868524</v>
      </c>
      <c r="V861" s="5" t="str">
        <f>IF(U861&gt;=MAX(_xlfn.PERCENTILE.INC($U$2:$U$1194,PARAMS_MODELO!$B$50),PARAMS_MODELO!$B$45),"DIAMANTE",IF(U861&gt;=MAX(_xlfn.PERCENTILE.INC($U$2:$U$1194,PARAMS_MODELO!$B$51),PARAMS_MODELO!$B$46),"PLATINO",IF(U861&gt;=MAX(_xlfn.PERCENTILE.INC($U$2:$U$1194,PARAMS_MODELO!$B$52),PARAMS_MODELO!$B$47),"ORO",IF(U861&gt;=MAX(_xlfn.PERCENTILE.INC($U$2:$U$1194,PARAMS_MODELO!$B$53),PARAMS_MODELO!$B$48),"PLATA",IF(U861&gt;=1,"BRONCE","CERRADO")))))</f>
        <v>PLATA</v>
      </c>
      <c r="W861" s="5" t="str" cm="1">
        <f t="array" ref="W861">_xlfn.XLOOKUP(1, (HIST_SCORE!$B:$B=PARAMS_MODELO!$B$4) * (HIST_SCORE!$C:$C=A861), HIST_SCORE!$E:$E, "No encontrado")</f>
        <v>PLATA</v>
      </c>
      <c r="X861" s="5" t="str">
        <f>_xlfn.LET(_xlpm.act,MATCH(V861,{"DIAMANTE";"PLATINO";"ORO";"PLATA";"BRONCE";"CERRADO"},0),_xlpm.ant,MATCH(W861,{"DIAMANTE";"PLATINO";"ORO";"PLATA";"BRONCE";"CERRADO"},0),IF(_xlpm.act&lt;_xlpm.ant,"Mejora ↑",IF(_xlpm.act&gt;_xlpm.ant,"Baja ↓","Estable →")))</f>
        <v>Estable →</v>
      </c>
      <c r="Y861" s="5">
        <f>IFERROR(U861-SUMIFS(HIST_SCORE!$D:$D,HIST_SCORE!$B:$B,PARAMS_MODELO!$B$4,HIST_SCORE!$C:$C,$A861),"")</f>
        <v>10.992677944037837</v>
      </c>
      <c r="Z861" s="5" t="str">
        <f t="shared" si="317"/>
        <v>↑ Mejora</v>
      </c>
      <c r="AA861" s="5">
        <f t="shared" si="318"/>
        <v>658</v>
      </c>
      <c r="AB861" s="5">
        <f>IFERROR(SUMIFS(HIST_SCORE!$F:$F,HIST_SCORE!$B:$B,PARAMS_MODELO!$B$4,HIST_SCORE!$C:$C,$A861),"")</f>
        <v>806</v>
      </c>
      <c r="AC861" s="5">
        <f t="shared" si="319"/>
        <v>148</v>
      </c>
      <c r="AD861" t="str">
        <f t="shared" si="321"/>
        <v/>
      </c>
      <c r="AE8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861="CERRADO",1,IF(V861="BRONCE",_xlpm.cPl,IF(V861="PLATA",_xlpm.cO,IF(V861="ORO",_xlpm.cP,IF(V861="PLATINO",_xlpm.cD,999))))))</f>
        <v>63.199193273331495</v>
      </c>
      <c r="AF8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861="CERRADO",0,IF(V861="BRONCE",1,IF(V861="PLATA",_xlpm.cPl,IF(V861="ORO",_xlpm.cO,IF(V861="PLATINO",_xlpm.cP,_xlpm.cD))))))</f>
        <v>24.506573482968111</v>
      </c>
      <c r="AG861">
        <f t="shared" si="322"/>
        <v>7.324507353518527</v>
      </c>
      <c r="AH861" t="str">
        <f t="shared" si="323"/>
        <v>CLIENTE</v>
      </c>
      <c r="AI861" t="str">
        <f t="shared" si="320"/>
        <v>🎯 Para subir de categoría, la eje con mayor impacto probable es CLIENTE (coef T). Acción: reducir quejas, mejorar incógnito y empujar reseñas. ΔR aprox: 7,3</v>
      </c>
      <c r="AJ861" s="26">
        <f>_xlfn.LET(_xlpm.piso,AF861,_xlpm.corte,AE861,_xlpm.prog,IF(_xlpm.corte&lt;=_xlpm.piso,0,MAX(0,MIN(1,(U861-_xlpm.piso)/(_xlpm.corte-_xlpm.piso)))),_xlpm.orden,{"DIAMANTE";"PLATINO";"ORO";"PLATA";"BRONCE";"CERRADO"},_xlpm.act,IFERROR(MATCH(V861,_xlpm.orden,0),6),_xlpm.ant,IFERROR(MATCH(W861,_xlpm.orden,0),6),_xlpm.ajmov,IF(_xlpm.act&lt;_xlpm.ant,0.08,IF(_xlpm.act&gt;_xlpm.ant,-0.08,0)),_xlpm.ajcli,IF(T861&lt;0.95,-0.06,0),_xlpm.prob,MAX(0,MIN(1,_xlpm.prog+_xlpm.ajmov+_xlpm.ajcli)),IF(OR(V861="DIAMANTE",V861="CERRADO"),0,ROUND(_xlpm.prob,2)))</f>
        <v>0.81</v>
      </c>
      <c r="AK861" t="str">
        <f t="shared" si="324"/>
        <v>Faltan 7,3 puntos base para subir a la siguiente categoría</v>
      </c>
      <c r="AL861" t="str">
        <f t="shared" si="325"/>
        <v>Margen de seguridad: 33,6 puntos</v>
      </c>
      <c r="AM861">
        <f t="shared" si="326"/>
        <v>0.56999999999999995</v>
      </c>
      <c r="AN861" t="str">
        <f t="shared" si="327"/>
        <v>PRIORIDAD MEDIA – seguimiento del asesor</v>
      </c>
      <c r="AO861">
        <f t="shared" si="328"/>
        <v>7.0907308560401061</v>
      </c>
      <c r="AP861">
        <f t="shared" si="329"/>
        <v>0.47102951079828176</v>
      </c>
      <c r="AQ861">
        <f t="shared" si="330"/>
        <v>0</v>
      </c>
      <c r="AR861">
        <f t="shared" si="331"/>
        <v>4.2699999999999996</v>
      </c>
      <c r="AS861">
        <f t="shared" si="332"/>
        <v>24.888016339657945</v>
      </c>
      <c r="AT861" t="str">
        <f t="shared" si="333"/>
        <v>CLIENTE</v>
      </c>
      <c r="AU861">
        <f t="shared" si="334"/>
        <v>24.888016339657945</v>
      </c>
      <c r="AV861" t="str">
        <f t="shared" si="335"/>
        <v>Mayor retorno probable: CLIENTE (+24,9 puntos finales potenciales).</v>
      </c>
    </row>
    <row r="862" spans="1:48" x14ac:dyDescent="0.3">
      <c r="A862" s="5">
        <v>51029518</v>
      </c>
      <c r="B862" s="5" t="str">
        <f>IFERROR(VLOOKUP(A862,VENTAS!$A$2:$B$1194,2,0),"")</f>
        <v>NELLI</v>
      </c>
      <c r="C862" s="5">
        <f>IFERROR(INDEX(VENTAS!$C$2:$E$1194,MATCH(A862,VENTAS!$A$2:$A$1194,0),MATCH(PARAMS_MODELO!$B$2,{"Q1","Q2","Q3"},0)),0)</f>
        <v>27254756</v>
      </c>
      <c r="D862" s="5">
        <f>IFERROR(INDEX(VENTAS!$F$2:$H$1194,MATCH(A862,VENTAS!$A$2:$A$1194,0),MATCH(PARAMS_MODELO!$B$2,{"Q1","Q2","Q3"},0)),0)</f>
        <v>36629660</v>
      </c>
      <c r="E862" s="8">
        <f t="shared" si="312"/>
        <v>0.34397313995399559</v>
      </c>
      <c r="F862" s="12">
        <f>IF(E862&lt;=PARAMS_MODELO!$B$15,0,IF(E862&gt;=PARAMS_MODELO!$B$17,100,100*MIN(1,(E862-PARAMS_MODELO!$B$15)/(PARAMS_MODELO!$B$16-PARAMS_MODELO!$B$15))))*PARAMS_MODELO!$B$7</f>
        <v>35</v>
      </c>
      <c r="G862" s="5">
        <f t="shared" si="313"/>
        <v>9374904</v>
      </c>
      <c r="H862" s="5">
        <f>(PARAMS_MODELO!$B$20*(MAX(0,MIN(3,E862))/3)+PARAMS_MODELO!$B$21*(IFERROR(LN(1+MAX(0,G862))/LN(1+MAX(0,MAX($G$2:$G$1194))),0)))*100*PARAMS_MODELO!$B$8</f>
        <v>4.9670815244560602</v>
      </c>
      <c r="I862" s="8">
        <f>E862-PARAMS_MODELO!$B$5</f>
        <v>0.16641030457846906</v>
      </c>
      <c r="J862" s="5">
        <f>IF(I862&lt;=PARAMS_MODELO!$B$18,0,IF(I862&gt;=PARAMS_MODELO!$B$19,100,100*(I862-PARAMS_MODELO!$B$18)/(PARAMS_MODELO!$B$19-PARAMS_MODELO!$B$18)))*PARAMS_MODELO!$B$9</f>
        <v>15</v>
      </c>
      <c r="K862" s="5">
        <f>IFERROR(CHOOSE(MATCH(PARAMS_MODELO!$B$2,{"Q1","Q2","Q3"},0),LOTO!$D862,LOTO!$F862,LOTO!$H862),0)</f>
        <v>1750000</v>
      </c>
      <c r="L862" s="8">
        <f t="shared" si="314"/>
        <v>4.7775491227600803E-2</v>
      </c>
      <c r="M862" s="5">
        <f>MIN(100,IF(PARAMS_MODELO!$B$23=0,0,100*L862/PARAMS_MODELO!$B$23))*PARAMS_MODELO!$B$10</f>
        <v>14.332647368280238</v>
      </c>
      <c r="N862" s="5">
        <f>IFERROR(VLOOKUP(A862,COMPLIANCE!$A$2:$F$1996,6,0),100)</f>
        <v>99.85</v>
      </c>
      <c r="O862" s="5">
        <f>N862*PARAMS_MODELO!$B$11</f>
        <v>9.9849999999999994</v>
      </c>
      <c r="P862" s="5">
        <f>IFERROR(VLOOKUP(A862,DIGITAL!$A$2:$J$2000,7,0),100)</f>
        <v>60</v>
      </c>
      <c r="Q862" s="5">
        <f>IFERROR(P862,0)*PARAMS_MODELO!$B$12</f>
        <v>6</v>
      </c>
      <c r="R862">
        <f t="shared" si="315"/>
        <v>85.284728892736297</v>
      </c>
      <c r="S862" s="5" t="str">
        <f>IFERROR(VLOOKUP(A862,CLIENTE!$A$2:$N$2000,13,0),1)</f>
        <v>Malo</v>
      </c>
      <c r="T862" s="5">
        <f>IFERROR(VLOOKUP(A862,CLIENTE!$A$2:$N$2000,14,0),1)</f>
        <v>0.7</v>
      </c>
      <c r="U862" s="5">
        <f t="shared" si="316"/>
        <v>59.699310224915401</v>
      </c>
      <c r="V862" s="5" t="str">
        <f>IF(U862&gt;=MAX(_xlfn.PERCENTILE.INC($U$2:$U$1194,PARAMS_MODELO!$B$50),PARAMS_MODELO!$B$45),"DIAMANTE",IF(U862&gt;=MAX(_xlfn.PERCENTILE.INC($U$2:$U$1194,PARAMS_MODELO!$B$51),PARAMS_MODELO!$B$46),"PLATINO",IF(U862&gt;=MAX(_xlfn.PERCENTILE.INC($U$2:$U$1194,PARAMS_MODELO!$B$52),PARAMS_MODELO!$B$47),"ORO",IF(U862&gt;=MAX(_xlfn.PERCENTILE.INC($U$2:$U$1194,PARAMS_MODELO!$B$53),PARAMS_MODELO!$B$48),"PLATA",IF(U862&gt;=1,"BRONCE","CERRADO")))))</f>
        <v>PLATA</v>
      </c>
      <c r="W862" s="5" t="str" cm="1">
        <f t="array" ref="W862">_xlfn.XLOOKUP(1, (HIST_SCORE!$B:$B=PARAMS_MODELO!$B$4) * (HIST_SCORE!$C:$C=A862), HIST_SCORE!$E:$E, "No encontrado")</f>
        <v>PLATA</v>
      </c>
      <c r="X862" s="5" t="str">
        <f>_xlfn.LET(_xlpm.act,MATCH(V862,{"DIAMANTE";"PLATINO";"ORO";"PLATA";"BRONCE";"CERRADO"},0),_xlpm.ant,MATCH(W862,{"DIAMANTE";"PLATINO";"ORO";"PLATA";"BRONCE";"CERRADO"},0),IF(_xlpm.act&lt;_xlpm.ant,"Mejora ↑",IF(_xlpm.act&gt;_xlpm.ant,"Baja ↓","Estable →")))</f>
        <v>Estable →</v>
      </c>
      <c r="Y862" s="5">
        <f>IFERROR(U862-SUMIFS(HIST_SCORE!$D:$D,HIST_SCORE!$B:$B,PARAMS_MODELO!$B$4,HIST_SCORE!$C:$C,$A862),"")</f>
        <v>0.91260499799236783</v>
      </c>
      <c r="Z862" s="5" t="str">
        <f t="shared" si="317"/>
        <v>→ Estable</v>
      </c>
      <c r="AA862" s="5">
        <f t="shared" si="318"/>
        <v>625</v>
      </c>
      <c r="AB862" s="5">
        <f>IFERROR(SUMIFS(HIST_SCORE!$F:$F,HIST_SCORE!$B:$B,PARAMS_MODELO!$B$4,HIST_SCORE!$C:$C,$A862),"")</f>
        <v>666</v>
      </c>
      <c r="AC862" s="5">
        <f t="shared" si="319"/>
        <v>41</v>
      </c>
      <c r="AD862" t="str">
        <f t="shared" si="321"/>
        <v/>
      </c>
      <c r="AE8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862="CERRADO",1,IF(V862="BRONCE",_xlpm.cPl,IF(V862="PLATA",_xlpm.cO,IF(V862="ORO",_xlpm.cP,IF(V862="PLATINO",_xlpm.cD,999))))))</f>
        <v>63.199193273331495</v>
      </c>
      <c r="AF8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862="CERRADO",0,IF(V862="BRONCE",1,IF(V862="PLATA",_xlpm.cPl,IF(V862="ORO",_xlpm.cO,IF(V862="PLATINO",_xlpm.cP,_xlpm.cD))))))</f>
        <v>24.506573482968111</v>
      </c>
      <c r="AG862">
        <f t="shared" si="322"/>
        <v>4.9998329263086987</v>
      </c>
      <c r="AH862" t="str">
        <f t="shared" si="323"/>
        <v>CLIENTE</v>
      </c>
      <c r="AI862" t="str">
        <f t="shared" si="320"/>
        <v>🎯 Para subir de categoría, la eje con mayor impacto probable es CLIENTE (coef T). Acción: reducir quejas, mejorar incógnito y empujar reseñas. ΔR aprox: 5,0</v>
      </c>
      <c r="AJ862" s="26">
        <f>_xlfn.LET(_xlpm.piso,AF862,_xlpm.corte,AE862,_xlpm.prog,IF(_xlpm.corte&lt;=_xlpm.piso,0,MAX(0,MIN(1,(U862-_xlpm.piso)/(_xlpm.corte-_xlpm.piso)))),_xlpm.orden,{"DIAMANTE";"PLATINO";"ORO";"PLATA";"BRONCE";"CERRADO"},_xlpm.act,IFERROR(MATCH(V862,_xlpm.orden,0),6),_xlpm.ant,IFERROR(MATCH(W862,_xlpm.orden,0),6),_xlpm.ajmov,IF(_xlpm.act&lt;_xlpm.ant,0.08,IF(_xlpm.act&gt;_xlpm.ant,-0.08,0)),_xlpm.ajcli,IF(T862&lt;0.95,-0.06,0),_xlpm.prob,MAX(0,MIN(1,_xlpm.prog+_xlpm.ajmov+_xlpm.ajcli)),IF(OR(V862="DIAMANTE",V862="CERRADO"),0,ROUND(_xlpm.prob,2)))</f>
        <v>0.85</v>
      </c>
      <c r="AK862" t="str">
        <f t="shared" si="324"/>
        <v>Faltan 5,0 puntos base para subir a la siguiente categoría</v>
      </c>
      <c r="AL862" t="str">
        <f t="shared" si="325"/>
        <v>Margen de seguridad: 35,2 puntos</v>
      </c>
      <c r="AM862">
        <f t="shared" si="326"/>
        <v>0.46</v>
      </c>
      <c r="AN862" t="str">
        <f t="shared" si="327"/>
        <v>PRIORIDAD MEDIA – seguimiento del asesor</v>
      </c>
      <c r="AO862">
        <f t="shared" si="328"/>
        <v>6.9268414255876642</v>
      </c>
      <c r="AP862">
        <f t="shared" si="329"/>
        <v>0.46714684220383335</v>
      </c>
      <c r="AQ862">
        <f t="shared" si="330"/>
        <v>1.0500000000000398E-2</v>
      </c>
      <c r="AR862">
        <f t="shared" si="331"/>
        <v>2.8</v>
      </c>
      <c r="AS862">
        <f t="shared" si="332"/>
        <v>25.585418667820893</v>
      </c>
      <c r="AT862" t="str">
        <f t="shared" si="333"/>
        <v>CLIENTE</v>
      </c>
      <c r="AU862">
        <f t="shared" si="334"/>
        <v>25.585418667820893</v>
      </c>
      <c r="AV862" t="str">
        <f t="shared" si="335"/>
        <v>Mayor retorno probable: CLIENTE (+25,6 puntos finales potenciales).</v>
      </c>
    </row>
    <row r="863" spans="1:48" x14ac:dyDescent="0.3">
      <c r="A863" s="5">
        <v>51044011</v>
      </c>
      <c r="B863" s="5" t="str">
        <f>IFERROR(VLOOKUP(A863,VENTAS!$A$2:$B$1194,2,0),"")</f>
        <v>MONTENEGRO</v>
      </c>
      <c r="C863" s="5">
        <f>IFERROR(INDEX(VENTAS!$C$2:$E$1194,MATCH(A863,VENTAS!$A$2:$A$1194,0),MATCH(PARAMS_MODELO!$B$2,{"Q1","Q2","Q3"},0)),0)</f>
        <v>43625859.510000013</v>
      </c>
      <c r="D863" s="5">
        <f>IFERROR(INDEX(VENTAS!$F$2:$H$1194,MATCH(A863,VENTAS!$A$2:$A$1194,0),MATCH(PARAMS_MODELO!$B$2,{"Q1","Q2","Q3"},0)),0)</f>
        <v>36627783</v>
      </c>
      <c r="E863" s="8">
        <f t="shared" si="312"/>
        <v>-0.16041120080157734</v>
      </c>
      <c r="F863" s="12">
        <f>IF(E863&lt;=PARAMS_MODELO!$B$15,0,IF(E863&gt;=PARAMS_MODELO!$B$17,100,100*MIN(1,(E863-PARAMS_MODELO!$B$15)/(PARAMS_MODELO!$B$16-PARAMS_MODELO!$B$15))))*PARAMS_MODELO!$B$7</f>
        <v>0</v>
      </c>
      <c r="G863" s="5">
        <f t="shared" si="313"/>
        <v>0</v>
      </c>
      <c r="H863" s="5">
        <f>(PARAMS_MODELO!$B$20*(MAX(0,MIN(3,E863))/3)+PARAMS_MODELO!$B$21*(IFERROR(LN(1+MAX(0,G863))/LN(1+MAX(0,MAX($G$2:$G$1194))),0)))*100*PARAMS_MODELO!$B$8</f>
        <v>0</v>
      </c>
      <c r="I863" s="8">
        <f>E863-PARAMS_MODELO!$B$5</f>
        <v>-0.33797403617710386</v>
      </c>
      <c r="J863" s="5">
        <f>IF(I863&lt;=PARAMS_MODELO!$B$18,0,IF(I863&gt;=PARAMS_MODELO!$B$19,100,100*(I863-PARAMS_MODELO!$B$18)/(PARAMS_MODELO!$B$19-PARAMS_MODELO!$B$18)))*PARAMS_MODELO!$B$9</f>
        <v>0</v>
      </c>
      <c r="K863" s="5">
        <f>IFERROR(CHOOSE(MATCH(PARAMS_MODELO!$B$2,{"Q1","Q2","Q3"},0),LOTO!$D863,LOTO!$F863,LOTO!$H863),0)</f>
        <v>1730000</v>
      </c>
      <c r="L863" s="8">
        <f t="shared" si="314"/>
        <v>4.723190590050181E-2</v>
      </c>
      <c r="M863" s="5">
        <f>MIN(100,IF(PARAMS_MODELO!$B$23=0,0,100*L863/PARAMS_MODELO!$B$23))*PARAMS_MODELO!$B$10</f>
        <v>14.169571770150542</v>
      </c>
      <c r="N863" s="5">
        <f>IFERROR(VLOOKUP(A863,COMPLIANCE!$A$2:$F$1996,6,0),100)</f>
        <v>100</v>
      </c>
      <c r="O863" s="5">
        <f>N863*PARAMS_MODELO!$B$11</f>
        <v>10</v>
      </c>
      <c r="P863" s="5">
        <f>IFERROR(VLOOKUP(A863,DIGITAL!$A$2:$J$2000,7,0),100)</f>
        <v>40</v>
      </c>
      <c r="Q863" s="5">
        <f>IFERROR(P863,0)*PARAMS_MODELO!$B$12</f>
        <v>4</v>
      </c>
      <c r="R863">
        <f t="shared" si="315"/>
        <v>28.16957177015054</v>
      </c>
      <c r="S863" s="5" t="str">
        <f>IFERROR(VLOOKUP(A863,CLIENTE!$A$2:$N$2000,13,0),1)</f>
        <v>Malo</v>
      </c>
      <c r="T863" s="5">
        <f>IFERROR(VLOOKUP(A863,CLIENTE!$A$2:$N$2000,14,0),1)</f>
        <v>0.7</v>
      </c>
      <c r="U863" s="5">
        <f t="shared" si="316"/>
        <v>19.718700239105377</v>
      </c>
      <c r="V863" s="5" t="str">
        <f>IF(U863&gt;=MAX(_xlfn.PERCENTILE.INC($U$2:$U$1194,PARAMS_MODELO!$B$50),PARAMS_MODELO!$B$45),"DIAMANTE",IF(U863&gt;=MAX(_xlfn.PERCENTILE.INC($U$2:$U$1194,PARAMS_MODELO!$B$51),PARAMS_MODELO!$B$46),"PLATINO",IF(U863&gt;=MAX(_xlfn.PERCENTILE.INC($U$2:$U$1194,PARAMS_MODELO!$B$52),PARAMS_MODELO!$B$47),"ORO",IF(U863&gt;=MAX(_xlfn.PERCENTILE.INC($U$2:$U$1194,PARAMS_MODELO!$B$53),PARAMS_MODELO!$B$48),"PLATA",IF(U863&gt;=1,"BRONCE","CERRADO")))))</f>
        <v>BRONCE</v>
      </c>
      <c r="W863" s="5" t="str" cm="1">
        <f t="array" ref="W863">_xlfn.XLOOKUP(1, (HIST_SCORE!$B:$B=PARAMS_MODELO!$B$4) * (HIST_SCORE!$C:$C=A863), HIST_SCORE!$E:$E, "No encontrado")</f>
        <v>PLATA</v>
      </c>
      <c r="X863" s="5" t="str">
        <f>_xlfn.LET(_xlpm.act,MATCH(V863,{"DIAMANTE";"PLATINO";"ORO";"PLATA";"BRONCE";"CERRADO"},0),_xlpm.ant,MATCH(W863,{"DIAMANTE";"PLATINO";"ORO";"PLATA";"BRONCE";"CERRADO"},0),IF(_xlpm.act&lt;_xlpm.ant,"Mejora ↑",IF(_xlpm.act&gt;_xlpm.ant,"Baja ↓","Estable →")))</f>
        <v>Baja ↓</v>
      </c>
      <c r="Y863" s="5">
        <f>IFERROR(U863-SUMIFS(HIST_SCORE!$D:$D,HIST_SCORE!$B:$B,PARAMS_MODELO!$B$4,HIST_SCORE!$C:$C,$A863),"")</f>
        <v>-32.520454258479617</v>
      </c>
      <c r="Z863" s="5" t="str">
        <f t="shared" si="317"/>
        <v>↓ Baja</v>
      </c>
      <c r="AA863" s="5">
        <f t="shared" si="318"/>
        <v>982</v>
      </c>
      <c r="AB863" s="5">
        <f>IFERROR(SUMIFS(HIST_SCORE!$F:$F,HIST_SCORE!$B:$B,PARAMS_MODELO!$B$4,HIST_SCORE!$C:$C,$A863),"")</f>
        <v>756</v>
      </c>
      <c r="AC863" s="5">
        <f t="shared" si="319"/>
        <v>-226</v>
      </c>
      <c r="AD863" t="str">
        <f t="shared" si="321"/>
        <v>Plan de recuperación: foco crecimiento + mix</v>
      </c>
      <c r="AE8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863="CERRADO",1,IF(V863="BRONCE",_xlpm.cPl,IF(V863="PLATA",_xlpm.cO,IF(V863="ORO",_xlpm.cP,IF(V863="PLATINO",_xlpm.cD,999))))))</f>
        <v>24.506573482968111</v>
      </c>
      <c r="AF8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863="CERRADO",0,IF(V863="BRONCE",1,IF(V863="PLATA",_xlpm.cPl,IF(V863="ORO",_xlpm.cO,IF(V863="PLATINO",_xlpm.cP,_xlpm.cD))))))</f>
        <v>1</v>
      </c>
      <c r="AG863">
        <f t="shared" si="322"/>
        <v>6.8398189198039034</v>
      </c>
      <c r="AH863" t="str">
        <f t="shared" si="323"/>
        <v>CLIENTE</v>
      </c>
      <c r="AI863" t="str">
        <f t="shared" si="320"/>
        <v>🎯 Para subir de categoría, la eje con mayor impacto probable es CLIENTE (coef T). Acción: reducir quejas, mejorar incógnito y empujar reseñas. ΔR aprox: 6,8</v>
      </c>
      <c r="AJ863" s="26">
        <f>_xlfn.LET(_xlpm.piso,AF863,_xlpm.corte,AE863,_xlpm.prog,IF(_xlpm.corte&lt;=_xlpm.piso,0,MAX(0,MIN(1,(U863-_xlpm.piso)/(_xlpm.corte-_xlpm.piso)))),_xlpm.orden,{"DIAMANTE";"PLATINO";"ORO";"PLATA";"BRONCE";"CERRADO"},_xlpm.act,IFERROR(MATCH(V863,_xlpm.orden,0),6),_xlpm.ant,IFERROR(MATCH(W863,_xlpm.orden,0),6),_xlpm.ajmov,IF(_xlpm.act&lt;_xlpm.ant,0.08,IF(_xlpm.act&gt;_xlpm.ant,-0.08,0)),_xlpm.ajcli,IF(T863&lt;0.95,-0.06,0),_xlpm.prob,MAX(0,MIN(1,_xlpm.prog+_xlpm.ajmov+_xlpm.ajcli)),IF(OR(V863="DIAMANTE",V863="CERRADO"),0,ROUND(_xlpm.prob,2)))</f>
        <v>0.66</v>
      </c>
      <c r="AK863" t="str">
        <f t="shared" si="324"/>
        <v>Faltan 6,8 puntos base para subir a la siguiente categoría</v>
      </c>
      <c r="AL863" t="str">
        <f t="shared" si="325"/>
        <v>No aplica</v>
      </c>
      <c r="AM863">
        <f t="shared" si="326"/>
        <v>0.61</v>
      </c>
      <c r="AN863" t="str">
        <f t="shared" si="327"/>
        <v>PRIORIDAD MEDIA – seguimiento del asesor</v>
      </c>
      <c r="AO863">
        <f t="shared" si="328"/>
        <v>45.403798492706905</v>
      </c>
      <c r="AP863">
        <f t="shared" si="329"/>
        <v>0.58129976089462065</v>
      </c>
      <c r="AQ863">
        <f t="shared" si="330"/>
        <v>0</v>
      </c>
      <c r="AR863">
        <f t="shared" si="331"/>
        <v>4.1999999999999993</v>
      </c>
      <c r="AS863">
        <f t="shared" si="332"/>
        <v>8.4508715310451628</v>
      </c>
      <c r="AT863" t="str">
        <f t="shared" si="333"/>
        <v>VENTAS</v>
      </c>
      <c r="AU863">
        <f t="shared" si="334"/>
        <v>45.403798492706905</v>
      </c>
      <c r="AV863" t="str">
        <f t="shared" si="335"/>
        <v>Mayor retorno probable: VENTAS (+45,4 puntos finales potenciales).</v>
      </c>
    </row>
    <row r="864" spans="1:48" x14ac:dyDescent="0.3">
      <c r="A864" s="5">
        <v>51013956</v>
      </c>
      <c r="B864" s="5" t="str">
        <f>IFERROR(VLOOKUP(A864,VENTAS!$A$2:$B$1194,2,0),"")</f>
        <v>AYALA</v>
      </c>
      <c r="C864" s="5">
        <f>IFERROR(INDEX(VENTAS!$C$2:$E$1194,MATCH(A864,VENTAS!$A$2:$A$1194,0),MATCH(PARAMS_MODELO!$B$2,{"Q1","Q2","Q3"},0)),0)</f>
        <v>41183256.75</v>
      </c>
      <c r="D864" s="5">
        <f>IFERROR(INDEX(VENTAS!$F$2:$H$1194,MATCH(A864,VENTAS!$A$2:$A$1194,0),MATCH(PARAMS_MODELO!$B$2,{"Q1","Q2","Q3"},0)),0)</f>
        <v>36502175</v>
      </c>
      <c r="E864" s="8">
        <f t="shared" si="312"/>
        <v>-0.1136646812178107</v>
      </c>
      <c r="F864" s="12">
        <f>IF(E864&lt;=PARAMS_MODELO!$B$15,0,IF(E864&gt;=PARAMS_MODELO!$B$17,100,100*MIN(1,(E864-PARAMS_MODELO!$B$15)/(PARAMS_MODELO!$B$16-PARAMS_MODELO!$B$15))))*PARAMS_MODELO!$B$7</f>
        <v>0</v>
      </c>
      <c r="G864" s="5">
        <f t="shared" si="313"/>
        <v>0</v>
      </c>
      <c r="H864" s="5">
        <f>(PARAMS_MODELO!$B$20*(MAX(0,MIN(3,E864))/3)+PARAMS_MODELO!$B$21*(IFERROR(LN(1+MAX(0,G864))/LN(1+MAX(0,MAX($G$2:$G$1194))),0)))*100*PARAMS_MODELO!$B$8</f>
        <v>0</v>
      </c>
      <c r="I864" s="8">
        <f>E864-PARAMS_MODELO!$B$5</f>
        <v>-0.29122751659333723</v>
      </c>
      <c r="J864" s="5">
        <f>IF(I864&lt;=PARAMS_MODELO!$B$18,0,IF(I864&gt;=PARAMS_MODELO!$B$19,100,100*(I864-PARAMS_MODELO!$B$18)/(PARAMS_MODELO!$B$19-PARAMS_MODELO!$B$18)))*PARAMS_MODELO!$B$9</f>
        <v>0</v>
      </c>
      <c r="K864" s="5">
        <f>IFERROR(CHOOSE(MATCH(PARAMS_MODELO!$B$2,{"Q1","Q2","Q3"},0),LOTO!$D864,LOTO!$F864,LOTO!$H864),0)</f>
        <v>1730000</v>
      </c>
      <c r="L864" s="8">
        <f t="shared" si="314"/>
        <v>4.739443608497302E-2</v>
      </c>
      <c r="M864" s="5">
        <f>MIN(100,IF(PARAMS_MODELO!$B$23=0,0,100*L864/PARAMS_MODELO!$B$23))*PARAMS_MODELO!$B$10</f>
        <v>14.218330825491904</v>
      </c>
      <c r="N864" s="5">
        <f>IFERROR(VLOOKUP(A864,COMPLIANCE!$A$2:$F$1996,6,0),100)</f>
        <v>99.98</v>
      </c>
      <c r="O864" s="5">
        <f>N864*PARAMS_MODELO!$B$11</f>
        <v>9.9980000000000011</v>
      </c>
      <c r="P864" s="5">
        <f>IFERROR(VLOOKUP(A864,DIGITAL!$A$2:$J$2000,7,0),100)</f>
        <v>39</v>
      </c>
      <c r="Q864" s="5">
        <f>IFERROR(P864,0)*PARAMS_MODELO!$B$12</f>
        <v>3.9000000000000004</v>
      </c>
      <c r="R864">
        <f t="shared" si="315"/>
        <v>28.116330825491907</v>
      </c>
      <c r="S864" s="5" t="str">
        <f>IFERROR(VLOOKUP(A864,CLIENTE!$A$2:$N$2000,13,0),1)</f>
        <v>Regular</v>
      </c>
      <c r="T864" s="5">
        <f>IFERROR(VLOOKUP(A864,CLIENTE!$A$2:$N$2000,14,0),1)</f>
        <v>1</v>
      </c>
      <c r="U864" s="5">
        <f t="shared" si="316"/>
        <v>28.116330825491907</v>
      </c>
      <c r="V864" s="5" t="str">
        <f>IF(U864&gt;=MAX(_xlfn.PERCENTILE.INC($U$2:$U$1194,PARAMS_MODELO!$B$50),PARAMS_MODELO!$B$45),"DIAMANTE",IF(U864&gt;=MAX(_xlfn.PERCENTILE.INC($U$2:$U$1194,PARAMS_MODELO!$B$51),PARAMS_MODELO!$B$46),"PLATINO",IF(U864&gt;=MAX(_xlfn.PERCENTILE.INC($U$2:$U$1194,PARAMS_MODELO!$B$52),PARAMS_MODELO!$B$47),"ORO",IF(U864&gt;=MAX(_xlfn.PERCENTILE.INC($U$2:$U$1194,PARAMS_MODELO!$B$53),PARAMS_MODELO!$B$48),"PLATA",IF(U864&gt;=1,"BRONCE","CERRADO")))))</f>
        <v>PLATA</v>
      </c>
      <c r="W864" s="5" t="str" cm="1">
        <f t="array" ref="W864">_xlfn.XLOOKUP(1, (HIST_SCORE!$B:$B=PARAMS_MODELO!$B$4) * (HIST_SCORE!$C:$C=A864), HIST_SCORE!$E:$E, "No encontrado")</f>
        <v>PLATA</v>
      </c>
      <c r="X864" s="5" t="str">
        <f>_xlfn.LET(_xlpm.act,MATCH(V864,{"DIAMANTE";"PLATINO";"ORO";"PLATA";"BRONCE";"CERRADO"},0),_xlpm.ant,MATCH(W864,{"DIAMANTE";"PLATINO";"ORO";"PLATA";"BRONCE";"CERRADO"},0),IF(_xlpm.act&lt;_xlpm.ant,"Mejora ↑",IF(_xlpm.act&gt;_xlpm.ant,"Baja ↓","Estable →")))</f>
        <v>Estable →</v>
      </c>
      <c r="Y864" s="5">
        <f>IFERROR(U864-SUMIFS(HIST_SCORE!$D:$D,HIST_SCORE!$B:$B,PARAMS_MODELO!$B$4,HIST_SCORE!$C:$C,$A864),"")</f>
        <v>2.5150012819217622</v>
      </c>
      <c r="Z864" s="5" t="str">
        <f t="shared" si="317"/>
        <v>→ Estable</v>
      </c>
      <c r="AA864" s="5">
        <f t="shared" si="318"/>
        <v>885</v>
      </c>
      <c r="AB864" s="5">
        <f>IFERROR(SUMIFS(HIST_SCORE!$F:$F,HIST_SCORE!$B:$B,PARAMS_MODELO!$B$4,HIST_SCORE!$C:$C,$A864),"")</f>
        <v>945</v>
      </c>
      <c r="AC864" s="5">
        <f t="shared" si="319"/>
        <v>60</v>
      </c>
      <c r="AD864" t="str">
        <f t="shared" si="321"/>
        <v/>
      </c>
      <c r="AE8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864="CERRADO",1,IF(V864="BRONCE",_xlpm.cPl,IF(V864="PLATA",_xlpm.cO,IF(V864="ORO",_xlpm.cP,IF(V864="PLATINO",_xlpm.cD,999))))))</f>
        <v>63.199193273331495</v>
      </c>
      <c r="AF8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864="CERRADO",0,IF(V864="BRONCE",1,IF(V864="PLATA",_xlpm.cPl,IF(V864="ORO",_xlpm.cO,IF(V864="PLATINO",_xlpm.cP,_xlpm.cD))))))</f>
        <v>24.506573482968111</v>
      </c>
      <c r="AG864">
        <f t="shared" si="322"/>
        <v>35.082862447839588</v>
      </c>
      <c r="AH864" t="str">
        <f t="shared" si="323"/>
        <v>VENTAS</v>
      </c>
      <c r="AI864" t="str">
        <f t="shared" si="320"/>
        <v>🎯 Para subir de categoría, eje VENTAS / CRECIMIENTO PERSONAL (F). Acción: metas semanales + activación comercial + seguimiento del asesor. ΔR aprox: 35,1</v>
      </c>
      <c r="AJ864" s="26">
        <f>_xlfn.LET(_xlpm.piso,AF864,_xlpm.corte,AE864,_xlpm.prog,IF(_xlpm.corte&lt;=_xlpm.piso,0,MAX(0,MIN(1,(U864-_xlpm.piso)/(_xlpm.corte-_xlpm.piso)))),_xlpm.orden,{"DIAMANTE";"PLATINO";"ORO";"PLATA";"BRONCE";"CERRADO"},_xlpm.act,IFERROR(MATCH(V864,_xlpm.orden,0),6),_xlpm.ant,IFERROR(MATCH(W864,_xlpm.orden,0),6),_xlpm.ajmov,IF(_xlpm.act&lt;_xlpm.ant,0.08,IF(_xlpm.act&gt;_xlpm.ant,-0.08,0)),_xlpm.ajcli,IF(T864&lt;0.95,-0.06,0),_xlpm.prob,MAX(0,MIN(1,_xlpm.prog+_xlpm.ajmov+_xlpm.ajcli)),IF(OR(V864="DIAMANTE",V864="CERRADO"),0,ROUND(_xlpm.prob,2)))</f>
        <v>0.09</v>
      </c>
      <c r="AK864" t="str">
        <f t="shared" si="324"/>
        <v>Faltan 35,1 puntos base para subir a la siguiente categoría</v>
      </c>
      <c r="AL864" t="str">
        <f t="shared" si="325"/>
        <v>Margen de seguridad: 3,6 puntos</v>
      </c>
      <c r="AM864">
        <f t="shared" si="326"/>
        <v>0.76</v>
      </c>
      <c r="AN864" t="str">
        <f t="shared" si="327"/>
        <v>PRIORIDAD ALTA – requiere intervención inmediata</v>
      </c>
      <c r="AO864">
        <f t="shared" si="328"/>
        <v>64.862569275295584</v>
      </c>
      <c r="AP864">
        <f t="shared" si="329"/>
        <v>0.78166917450809592</v>
      </c>
      <c r="AQ864">
        <f t="shared" si="330"/>
        <v>1.9999999999988916E-3</v>
      </c>
      <c r="AR864">
        <f t="shared" si="331"/>
        <v>6.1</v>
      </c>
      <c r="AS864">
        <f t="shared" si="332"/>
        <v>0</v>
      </c>
      <c r="AT864" t="str">
        <f t="shared" si="333"/>
        <v>VENTAS</v>
      </c>
      <c r="AU864">
        <f t="shared" si="334"/>
        <v>64.862569275295584</v>
      </c>
      <c r="AV864" t="str">
        <f t="shared" si="335"/>
        <v>Mayor retorno probable: VENTAS (+64,9 puntos finales potenciales).</v>
      </c>
    </row>
    <row r="865" spans="1:48" x14ac:dyDescent="0.3">
      <c r="A865" s="5">
        <v>51023846</v>
      </c>
      <c r="B865" s="5" t="str">
        <f>IFERROR(VLOOKUP(A865,VENTAS!$A$2:$B$1194,2,0),"")</f>
        <v>CICHETTO</v>
      </c>
      <c r="C865" s="5">
        <f>IFERROR(INDEX(VENTAS!$C$2:$E$1194,MATCH(A865,VENTAS!$A$2:$A$1194,0),MATCH(PARAMS_MODELO!$B$2,{"Q1","Q2","Q3"},0)),0)</f>
        <v>22022096.039999999</v>
      </c>
      <c r="D865" s="5">
        <f>IFERROR(INDEX(VENTAS!$F$2:$H$1194,MATCH(A865,VENTAS!$A$2:$A$1194,0),MATCH(PARAMS_MODELO!$B$2,{"Q1","Q2","Q3"},0)),0)</f>
        <v>36245600</v>
      </c>
      <c r="E865" s="8">
        <f t="shared" si="312"/>
        <v>0.64587421352468133</v>
      </c>
      <c r="F865" s="12">
        <f>IF(E865&lt;=PARAMS_MODELO!$B$15,0,IF(E865&gt;=PARAMS_MODELO!$B$17,100,100*MIN(1,(E865-PARAMS_MODELO!$B$15)/(PARAMS_MODELO!$B$16-PARAMS_MODELO!$B$15))))*PARAMS_MODELO!$B$7</f>
        <v>35</v>
      </c>
      <c r="G865" s="5">
        <f t="shared" si="313"/>
        <v>14223503.960000001</v>
      </c>
      <c r="H865" s="5">
        <f>(PARAMS_MODELO!$B$20*(MAX(0,MIN(3,E865))/3)+PARAMS_MODELO!$B$21*(IFERROR(LN(1+MAX(0,G865))/LN(1+MAX(0,MAX($G$2:$G$1194))),0)))*100*PARAMS_MODELO!$B$8</f>
        <v>6.1214529535264015</v>
      </c>
      <c r="I865" s="8">
        <f>E865-PARAMS_MODELO!$B$5</f>
        <v>0.4683113781491548</v>
      </c>
      <c r="J865" s="5">
        <f>IF(I865&lt;=PARAMS_MODELO!$B$18,0,IF(I865&gt;=PARAMS_MODELO!$B$19,100,100*(I865-PARAMS_MODELO!$B$18)/(PARAMS_MODELO!$B$19-PARAMS_MODELO!$B$18)))*PARAMS_MODELO!$B$9</f>
        <v>15</v>
      </c>
      <c r="K865" s="5">
        <f>IFERROR(CHOOSE(MATCH(PARAMS_MODELO!$B$2,{"Q1","Q2","Q3"},0),LOTO!$D865,LOTO!$F865,LOTO!$H865),0)</f>
        <v>1727500</v>
      </c>
      <c r="L865" s="8">
        <f t="shared" si="314"/>
        <v>4.7660957467940933E-2</v>
      </c>
      <c r="M865" s="5">
        <f>MIN(100,IF(PARAMS_MODELO!$B$23=0,0,100*L865/PARAMS_MODELO!$B$23))*PARAMS_MODELO!$B$10</f>
        <v>14.29828724038228</v>
      </c>
      <c r="N865" s="5">
        <f>IFERROR(VLOOKUP(A865,COMPLIANCE!$A$2:$F$1996,6,0),100)</f>
        <v>100</v>
      </c>
      <c r="O865" s="5">
        <f>N865*PARAMS_MODELO!$B$11</f>
        <v>10</v>
      </c>
      <c r="P865" s="5">
        <f>IFERROR(VLOOKUP(A865,DIGITAL!$A$2:$J$2000,7,0),100)</f>
        <v>1</v>
      </c>
      <c r="Q865" s="5">
        <f>IFERROR(P865,0)*PARAMS_MODELO!$B$12</f>
        <v>0.1</v>
      </c>
      <c r="R865">
        <f t="shared" si="315"/>
        <v>80.519740193908675</v>
      </c>
      <c r="S865" s="5" t="str">
        <f>IFERROR(VLOOKUP(A865,CLIENTE!$A$2:$N$2000,13,0),1)</f>
        <v>Malo</v>
      </c>
      <c r="T865" s="5">
        <f>IFERROR(VLOOKUP(A865,CLIENTE!$A$2:$N$2000,14,0),1)</f>
        <v>0.7</v>
      </c>
      <c r="U865" s="5">
        <f t="shared" si="316"/>
        <v>56.363818135736068</v>
      </c>
      <c r="V865" s="5" t="str">
        <f>IF(U865&gt;=MAX(_xlfn.PERCENTILE.INC($U$2:$U$1194,PARAMS_MODELO!$B$50),PARAMS_MODELO!$B$45),"DIAMANTE",IF(U865&gt;=MAX(_xlfn.PERCENTILE.INC($U$2:$U$1194,PARAMS_MODELO!$B$51),PARAMS_MODELO!$B$46),"PLATINO",IF(U865&gt;=MAX(_xlfn.PERCENTILE.INC($U$2:$U$1194,PARAMS_MODELO!$B$52),PARAMS_MODELO!$B$47),"ORO",IF(U865&gt;=MAX(_xlfn.PERCENTILE.INC($U$2:$U$1194,PARAMS_MODELO!$B$53),PARAMS_MODELO!$B$48),"PLATA",IF(U865&gt;=1,"BRONCE","CERRADO")))))</f>
        <v>PLATA</v>
      </c>
      <c r="W865" s="5" t="str" cm="1">
        <f t="array" ref="W865">_xlfn.XLOOKUP(1, (HIST_SCORE!$B:$B=PARAMS_MODELO!$B$4) * (HIST_SCORE!$C:$C=A865), HIST_SCORE!$E:$E, "No encontrado")</f>
        <v>PLATA</v>
      </c>
      <c r="X865" s="5" t="str">
        <f>_xlfn.LET(_xlpm.act,MATCH(V865,{"DIAMANTE";"PLATINO";"ORO";"PLATA";"BRONCE";"CERRADO"},0),_xlpm.ant,MATCH(W865,{"DIAMANTE";"PLATINO";"ORO";"PLATA";"BRONCE";"CERRADO"},0),IF(_xlpm.act&lt;_xlpm.ant,"Mejora ↑",IF(_xlpm.act&gt;_xlpm.ant,"Baja ↓","Estable →")))</f>
        <v>Estable →</v>
      </c>
      <c r="Y865" s="5">
        <f>IFERROR(U865-SUMIFS(HIST_SCORE!$D:$D,HIST_SCORE!$B:$B,PARAMS_MODELO!$B$4,HIST_SCORE!$C:$C,$A865),"")</f>
        <v>-0.96345798610808231</v>
      </c>
      <c r="Z865" s="5" t="str">
        <f t="shared" si="317"/>
        <v>→ Estable</v>
      </c>
      <c r="AA865" s="5">
        <f t="shared" si="318"/>
        <v>693</v>
      </c>
      <c r="AB865" s="5">
        <f>IFERROR(SUMIFS(HIST_SCORE!$F:$F,HIST_SCORE!$B:$B,PARAMS_MODELO!$B$4,HIST_SCORE!$C:$C,$A865),"")</f>
        <v>705</v>
      </c>
      <c r="AC865" s="5">
        <f t="shared" si="319"/>
        <v>12</v>
      </c>
      <c r="AD865" t="str">
        <f t="shared" si="321"/>
        <v/>
      </c>
      <c r="AE8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865="CERRADO",1,IF(V865="BRONCE",_xlpm.cPl,IF(V865="PLATA",_xlpm.cO,IF(V865="ORO",_xlpm.cP,IF(V865="PLATINO",_xlpm.cD,999))))))</f>
        <v>63.199193273331495</v>
      </c>
      <c r="AF8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865="CERRADO",0,IF(V865="BRONCE",1,IF(V865="PLATA",_xlpm.cPl,IF(V865="ORO",_xlpm.cO,IF(V865="PLATINO",_xlpm.cP,_xlpm.cD))))))</f>
        <v>24.506573482968111</v>
      </c>
      <c r="AG865">
        <f t="shared" si="322"/>
        <v>9.7648216251363209</v>
      </c>
      <c r="AH865" t="str">
        <f t="shared" si="323"/>
        <v>CLIENTE</v>
      </c>
      <c r="AI865" t="str">
        <f t="shared" si="320"/>
        <v>🎯 Para subir de categoría, la eje con mayor impacto probable es CLIENTE (coef T). Acción: reducir quejas, mejorar incógnito y empujar reseñas. ΔR aprox: 9,8</v>
      </c>
      <c r="AJ865" s="26">
        <f>_xlfn.LET(_xlpm.piso,AF865,_xlpm.corte,AE865,_xlpm.prog,IF(_xlpm.corte&lt;=_xlpm.piso,0,MAX(0,MIN(1,(U865-_xlpm.piso)/(_xlpm.corte-_xlpm.piso)))),_xlpm.orden,{"DIAMANTE";"PLATINO";"ORO";"PLATA";"BRONCE";"CERRADO"},_xlpm.act,IFERROR(MATCH(V865,_xlpm.orden,0),6),_xlpm.ant,IFERROR(MATCH(W865,_xlpm.orden,0),6),_xlpm.ajmov,IF(_xlpm.act&lt;_xlpm.ant,0.08,IF(_xlpm.act&gt;_xlpm.ant,-0.08,0)),_xlpm.ajcli,IF(T865&lt;0.95,-0.06,0),_xlpm.prob,MAX(0,MIN(1,_xlpm.prog+_xlpm.ajmov+_xlpm.ajcli)),IF(OR(V865="DIAMANTE",V865="CERRADO"),0,ROUND(_xlpm.prob,2)))</f>
        <v>0.76</v>
      </c>
      <c r="AK865" t="str">
        <f t="shared" si="324"/>
        <v>Faltan 9,8 puntos base para subir a la siguiente categoría</v>
      </c>
      <c r="AL865" t="str">
        <f t="shared" si="325"/>
        <v>Margen de seguridad: 31,9 puntos</v>
      </c>
      <c r="AM865">
        <f t="shared" si="326"/>
        <v>0.69</v>
      </c>
      <c r="AN865" t="str">
        <f t="shared" si="327"/>
        <v>PRIORIDAD MEDIA – seguimiento del asesor</v>
      </c>
      <c r="AO865">
        <f t="shared" si="328"/>
        <v>6.1187814252384278</v>
      </c>
      <c r="AP865">
        <f t="shared" si="329"/>
        <v>0.49119893173240425</v>
      </c>
      <c r="AQ865">
        <f t="shared" si="330"/>
        <v>0</v>
      </c>
      <c r="AR865">
        <f t="shared" si="331"/>
        <v>6.93</v>
      </c>
      <c r="AS865">
        <f t="shared" si="332"/>
        <v>24.155922058172607</v>
      </c>
      <c r="AT865" t="str">
        <f t="shared" si="333"/>
        <v>CLIENTE</v>
      </c>
      <c r="AU865">
        <f t="shared" si="334"/>
        <v>24.155922058172607</v>
      </c>
      <c r="AV865" t="str">
        <f t="shared" si="335"/>
        <v>Mayor retorno probable: CLIENTE (+24,2 puntos finales potenciales).</v>
      </c>
    </row>
    <row r="866" spans="1:48" x14ac:dyDescent="0.3">
      <c r="A866" s="5">
        <v>51019563</v>
      </c>
      <c r="B866" s="5" t="str">
        <f>IFERROR(VLOOKUP(A866,VENTAS!$A$2:$B$1194,2,0),"")</f>
        <v>ARGUELLO</v>
      </c>
      <c r="C866" s="5">
        <f>IFERROR(INDEX(VENTAS!$C$2:$E$1194,MATCH(A866,VENTAS!$A$2:$A$1194,0),MATCH(PARAMS_MODELO!$B$2,{"Q1","Q2","Q3"},0)),0)</f>
        <v>33710212.590000004</v>
      </c>
      <c r="D866" s="5">
        <f>IFERROR(INDEX(VENTAS!$F$2:$H$1194,MATCH(A866,VENTAS!$A$2:$A$1194,0),MATCH(PARAMS_MODELO!$B$2,{"Q1","Q2","Q3"},0)),0)</f>
        <v>36169644</v>
      </c>
      <c r="E866" s="8">
        <f t="shared" si="312"/>
        <v>7.2958051018924053E-2</v>
      </c>
      <c r="F866" s="12">
        <f>IF(E866&lt;=PARAMS_MODELO!$B$15,0,IF(E866&gt;=PARAMS_MODELO!$B$17,100,100*MIN(1,(E866-PARAMS_MODELO!$B$15)/(PARAMS_MODELO!$B$16-PARAMS_MODELO!$B$15))))*PARAMS_MODELO!$B$7</f>
        <v>25.535317856623418</v>
      </c>
      <c r="G866" s="5">
        <f t="shared" si="313"/>
        <v>2459431.4099999964</v>
      </c>
      <c r="H866" s="5">
        <f>(PARAMS_MODELO!$B$20*(MAX(0,MIN(3,E866))/3)+PARAMS_MODELO!$B$21*(IFERROR(LN(1+MAX(0,G866))/LN(1+MAX(0,MAX($G$2:$G$1194))),0)))*100*PARAMS_MODELO!$B$8</f>
        <v>3.7048580227471626</v>
      </c>
      <c r="I866" s="8">
        <f>E866-PARAMS_MODELO!$B$5</f>
        <v>-0.10460478435660248</v>
      </c>
      <c r="J866" s="5">
        <f>IF(I866&lt;=PARAMS_MODELO!$B$18,0,IF(I866&gt;=PARAMS_MODELO!$B$19,100,100*(I866-PARAMS_MODELO!$B$18)/(PARAMS_MODELO!$B$19-PARAMS_MODELO!$B$18)))*PARAMS_MODELO!$B$9</f>
        <v>0</v>
      </c>
      <c r="K866" s="5">
        <f>IFERROR(CHOOSE(MATCH(PARAMS_MODELO!$B$2,{"Q1","Q2","Q3"},0),LOTO!$D866,LOTO!$F866,LOTO!$H866),0)</f>
        <v>1682500</v>
      </c>
      <c r="L866" s="8">
        <f t="shared" si="314"/>
        <v>4.6516907935284076E-2</v>
      </c>
      <c r="M866" s="5">
        <f>MIN(100,IF(PARAMS_MODELO!$B$23=0,0,100*L866/PARAMS_MODELO!$B$23))*PARAMS_MODELO!$B$10</f>
        <v>13.955072380585221</v>
      </c>
      <c r="N866" s="5">
        <f>IFERROR(VLOOKUP(A866,COMPLIANCE!$A$2:$F$1996,6,0),100)</f>
        <v>99.55</v>
      </c>
      <c r="O866" s="5">
        <f>N866*PARAMS_MODELO!$B$11</f>
        <v>9.9550000000000001</v>
      </c>
      <c r="P866" s="5">
        <f>IFERROR(VLOOKUP(A866,DIGITAL!$A$2:$J$2000,7,0),100)</f>
        <v>73</v>
      </c>
      <c r="Q866" s="5">
        <f>IFERROR(P866,0)*PARAMS_MODELO!$B$12</f>
        <v>7.3000000000000007</v>
      </c>
      <c r="R866">
        <f t="shared" si="315"/>
        <v>60.450248259955799</v>
      </c>
      <c r="S866" s="5" t="str">
        <f>IFERROR(VLOOKUP(A866,CLIENTE!$A$2:$N$2000,13,0),1)</f>
        <v>Regular</v>
      </c>
      <c r="T866" s="5">
        <f>IFERROR(VLOOKUP(A866,CLIENTE!$A$2:$N$2000,14,0),1)</f>
        <v>1</v>
      </c>
      <c r="U866" s="5">
        <f t="shared" si="316"/>
        <v>60.450248259955799</v>
      </c>
      <c r="V866" s="5" t="str">
        <f>IF(U866&gt;=MAX(_xlfn.PERCENTILE.INC($U$2:$U$1194,PARAMS_MODELO!$B$50),PARAMS_MODELO!$B$45),"DIAMANTE",IF(U866&gt;=MAX(_xlfn.PERCENTILE.INC($U$2:$U$1194,PARAMS_MODELO!$B$51),PARAMS_MODELO!$B$46),"PLATINO",IF(U866&gt;=MAX(_xlfn.PERCENTILE.INC($U$2:$U$1194,PARAMS_MODELO!$B$52),PARAMS_MODELO!$B$47),"ORO",IF(U866&gt;=MAX(_xlfn.PERCENTILE.INC($U$2:$U$1194,PARAMS_MODELO!$B$53),PARAMS_MODELO!$B$48),"PLATA",IF(U866&gt;=1,"BRONCE","CERRADO")))))</f>
        <v>PLATA</v>
      </c>
      <c r="W866" s="5" t="str" cm="1">
        <f t="array" ref="W866">_xlfn.XLOOKUP(1, (HIST_SCORE!$B:$B=PARAMS_MODELO!$B$4) * (HIST_SCORE!$C:$C=A866), HIST_SCORE!$E:$E, "No encontrado")</f>
        <v>ORO</v>
      </c>
      <c r="X866" s="5" t="str">
        <f>_xlfn.LET(_xlpm.act,MATCH(V866,{"DIAMANTE";"PLATINO";"ORO";"PLATA";"BRONCE";"CERRADO"},0),_xlpm.ant,MATCH(W866,{"DIAMANTE";"PLATINO";"ORO";"PLATA";"BRONCE";"CERRADO"},0),IF(_xlpm.act&lt;_xlpm.ant,"Mejora ↑",IF(_xlpm.act&gt;_xlpm.ant,"Baja ↓","Estable →")))</f>
        <v>Baja ↓</v>
      </c>
      <c r="Y866" s="5">
        <f>IFERROR(U866-SUMIFS(HIST_SCORE!$D:$D,HIST_SCORE!$B:$B,PARAMS_MODELO!$B$4,HIST_SCORE!$C:$C,$A866),"")</f>
        <v>-11.414056462998403</v>
      </c>
      <c r="Z866" s="5" t="str">
        <f t="shared" si="317"/>
        <v>↓ Baja</v>
      </c>
      <c r="AA866" s="5">
        <f t="shared" si="318"/>
        <v>608</v>
      </c>
      <c r="AB866" s="5">
        <f>IFERROR(SUMIFS(HIST_SCORE!$F:$F,HIST_SCORE!$B:$B,PARAMS_MODELO!$B$4,HIST_SCORE!$C:$C,$A866),"")</f>
        <v>523</v>
      </c>
      <c r="AC866" s="5">
        <f t="shared" si="319"/>
        <v>-85</v>
      </c>
      <c r="AD866" t="str">
        <f t="shared" si="321"/>
        <v/>
      </c>
      <c r="AE8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866="CERRADO",1,IF(V866="BRONCE",_xlpm.cPl,IF(V866="PLATA",_xlpm.cO,IF(V866="ORO",_xlpm.cP,IF(V866="PLATINO",_xlpm.cD,999))))))</f>
        <v>63.199193273331495</v>
      </c>
      <c r="AF8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866="CERRADO",0,IF(V866="BRONCE",1,IF(V866="PLATA",_xlpm.cPl,IF(V866="ORO",_xlpm.cO,IF(V866="PLATINO",_xlpm.cP,_xlpm.cD))))))</f>
        <v>24.506573482968111</v>
      </c>
      <c r="AG866">
        <f t="shared" si="322"/>
        <v>2.7489450133756961</v>
      </c>
      <c r="AH866" t="str">
        <f t="shared" si="323"/>
        <v>VENTAS</v>
      </c>
      <c r="AI866" t="str">
        <f t="shared" si="320"/>
        <v>🎯 Para subir de categoría, eje VENTAS / DIFERENCIAL vs LOTBA (J). Acción: metas semanales + activación comercial + seguimiento del asesor. ΔR aprox: 2,7</v>
      </c>
      <c r="AJ866" s="26">
        <f>_xlfn.LET(_xlpm.piso,AF866,_xlpm.corte,AE866,_xlpm.prog,IF(_xlpm.corte&lt;=_xlpm.piso,0,MAX(0,MIN(1,(U866-_xlpm.piso)/(_xlpm.corte-_xlpm.piso)))),_xlpm.orden,{"DIAMANTE";"PLATINO";"ORO";"PLATA";"BRONCE";"CERRADO"},_xlpm.act,IFERROR(MATCH(V866,_xlpm.orden,0),6),_xlpm.ant,IFERROR(MATCH(W866,_xlpm.orden,0),6),_xlpm.ajmov,IF(_xlpm.act&lt;_xlpm.ant,0.08,IF(_xlpm.act&gt;_xlpm.ant,-0.08,0)),_xlpm.ajcli,IF(T866&lt;0.95,-0.06,0),_xlpm.prob,MAX(0,MIN(1,_xlpm.prog+_xlpm.ajmov+_xlpm.ajcli)),IF(OR(V866="DIAMANTE",V866="CERRADO"),0,ROUND(_xlpm.prob,2)))</f>
        <v>0.85</v>
      </c>
      <c r="AK866" t="str">
        <f t="shared" si="324"/>
        <v>Faltan 2,7 puntos base para subir a la siguiente categoría</v>
      </c>
      <c r="AL866" t="str">
        <f t="shared" si="325"/>
        <v>Margen de seguridad: 35,9 puntos</v>
      </c>
      <c r="AM866">
        <f t="shared" si="326"/>
        <v>0.17</v>
      </c>
      <c r="AN866" t="str">
        <f t="shared" si="327"/>
        <v>PRIORIDAD BAJA – control normal</v>
      </c>
      <c r="AO866">
        <f t="shared" si="328"/>
        <v>35.622393395925002</v>
      </c>
      <c r="AP866">
        <f t="shared" si="329"/>
        <v>1.0449276194147785</v>
      </c>
      <c r="AQ866">
        <f t="shared" si="330"/>
        <v>4.4999999999999929E-2</v>
      </c>
      <c r="AR866">
        <f t="shared" si="331"/>
        <v>2.6999999999999993</v>
      </c>
      <c r="AS866">
        <f t="shared" si="332"/>
        <v>0</v>
      </c>
      <c r="AT866" t="str">
        <f t="shared" si="333"/>
        <v>VENTAS</v>
      </c>
      <c r="AU866">
        <f t="shared" si="334"/>
        <v>35.622393395925002</v>
      </c>
      <c r="AV866" t="str">
        <f t="shared" si="335"/>
        <v>Mayor retorno probable: VENTAS (+35,6 puntos finales potenciales).</v>
      </c>
    </row>
    <row r="867" spans="1:48" x14ac:dyDescent="0.3">
      <c r="A867" s="5">
        <v>51030711</v>
      </c>
      <c r="B867" s="5" t="str">
        <f>IFERROR(VLOOKUP(A867,VENTAS!$A$2:$B$1194,2,0),"")</f>
        <v>NELLI</v>
      </c>
      <c r="C867" s="5">
        <f>IFERROR(INDEX(VENTAS!$C$2:$E$1194,MATCH(A867,VENTAS!$A$2:$A$1194,0),MATCH(PARAMS_MODELO!$B$2,{"Q1","Q2","Q3"},0)),0)</f>
        <v>25637431.93</v>
      </c>
      <c r="D867" s="5">
        <f>IFERROR(INDEX(VENTAS!$F$2:$H$1194,MATCH(A867,VENTAS!$A$2:$A$1194,0),MATCH(PARAMS_MODELO!$B$2,{"Q1","Q2","Q3"},0)),0)</f>
        <v>35939413</v>
      </c>
      <c r="E867" s="8">
        <f t="shared" si="312"/>
        <v>0.40183358060699503</v>
      </c>
      <c r="F867" s="12">
        <f>IF(E867&lt;=PARAMS_MODELO!$B$15,0,IF(E867&gt;=PARAMS_MODELO!$B$17,100,100*MIN(1,(E867-PARAMS_MODELO!$B$15)/(PARAMS_MODELO!$B$16-PARAMS_MODELO!$B$15))))*PARAMS_MODELO!$B$7</f>
        <v>35</v>
      </c>
      <c r="G867" s="5">
        <f t="shared" si="313"/>
        <v>10301981.07</v>
      </c>
      <c r="H867" s="5">
        <f>(PARAMS_MODELO!$B$20*(MAX(0,MIN(3,E867))/3)+PARAMS_MODELO!$B$21*(IFERROR(LN(1+MAX(0,G867))/LN(1+MAX(0,MAX($G$2:$G$1194))),0)))*100*PARAMS_MODELO!$B$8</f>
        <v>5.1916982732842145</v>
      </c>
      <c r="I867" s="8">
        <f>E867-PARAMS_MODELO!$B$5</f>
        <v>0.2242707452314685</v>
      </c>
      <c r="J867" s="5">
        <f>IF(I867&lt;=PARAMS_MODELO!$B$18,0,IF(I867&gt;=PARAMS_MODELO!$B$19,100,100*(I867-PARAMS_MODELO!$B$18)/(PARAMS_MODELO!$B$19-PARAMS_MODELO!$B$18)))*PARAMS_MODELO!$B$9</f>
        <v>15</v>
      </c>
      <c r="K867" s="5">
        <f>IFERROR(CHOOSE(MATCH(PARAMS_MODELO!$B$2,{"Q1","Q2","Q3"},0),LOTO!$D867,LOTO!$F867,LOTO!$H867),0)</f>
        <v>1677500</v>
      </c>
      <c r="L867" s="8">
        <f t="shared" si="314"/>
        <v>4.6675776257113603E-2</v>
      </c>
      <c r="M867" s="5">
        <f>MIN(100,IF(PARAMS_MODELO!$B$23=0,0,100*L867/PARAMS_MODELO!$B$23))*PARAMS_MODELO!$B$10</f>
        <v>14.002732877134081</v>
      </c>
      <c r="N867" s="5">
        <f>IFERROR(VLOOKUP(A867,COMPLIANCE!$A$2:$F$1996,6,0),100)</f>
        <v>100</v>
      </c>
      <c r="O867" s="5">
        <f>N867*PARAMS_MODELO!$B$11</f>
        <v>10</v>
      </c>
      <c r="P867" s="5">
        <f>IFERROR(VLOOKUP(A867,DIGITAL!$A$2:$J$2000,7,0),100)</f>
        <v>41</v>
      </c>
      <c r="Q867" s="5">
        <f>IFERROR(P867,0)*PARAMS_MODELO!$B$12</f>
        <v>4.1000000000000005</v>
      </c>
      <c r="R867">
        <f t="shared" si="315"/>
        <v>83.294431150418291</v>
      </c>
      <c r="S867" s="5" t="str">
        <f>IFERROR(VLOOKUP(A867,CLIENTE!$A$2:$N$2000,13,0),1)</f>
        <v>Regular</v>
      </c>
      <c r="T867" s="5">
        <f>IFERROR(VLOOKUP(A867,CLIENTE!$A$2:$N$2000,14,0),1)</f>
        <v>1</v>
      </c>
      <c r="U867" s="5">
        <f t="shared" si="316"/>
        <v>83.294431150418291</v>
      </c>
      <c r="V867" s="5" t="str">
        <f>IF(U867&gt;=MAX(_xlfn.PERCENTILE.INC($U$2:$U$1194,PARAMS_MODELO!$B$50),PARAMS_MODELO!$B$45),"DIAMANTE",IF(U867&gt;=MAX(_xlfn.PERCENTILE.INC($U$2:$U$1194,PARAMS_MODELO!$B$51),PARAMS_MODELO!$B$46),"PLATINO",IF(U867&gt;=MAX(_xlfn.PERCENTILE.INC($U$2:$U$1194,PARAMS_MODELO!$B$52),PARAMS_MODELO!$B$47),"ORO",IF(U867&gt;=MAX(_xlfn.PERCENTILE.INC($U$2:$U$1194,PARAMS_MODELO!$B$53),PARAMS_MODELO!$B$48),"PLATA",IF(U867&gt;=1,"BRONCE","CERRADO")))))</f>
        <v>ORO</v>
      </c>
      <c r="W867" s="5" t="str" cm="1">
        <f t="array" ref="W867">_xlfn.XLOOKUP(1, (HIST_SCORE!$B:$B=PARAMS_MODELO!$B$4) * (HIST_SCORE!$C:$C=A867), HIST_SCORE!$E:$E, "No encontrado")</f>
        <v>ORO</v>
      </c>
      <c r="X867" s="5" t="str">
        <f>_xlfn.LET(_xlpm.act,MATCH(V867,{"DIAMANTE";"PLATINO";"ORO";"PLATA";"BRONCE";"CERRADO"},0),_xlpm.ant,MATCH(W867,{"DIAMANTE";"PLATINO";"ORO";"PLATA";"BRONCE";"CERRADO"},0),IF(_xlpm.act&lt;_xlpm.ant,"Mejora ↑",IF(_xlpm.act&gt;_xlpm.ant,"Baja ↓","Estable →")))</f>
        <v>Estable →</v>
      </c>
      <c r="Y867" s="5">
        <f>IFERROR(U867-SUMIFS(HIST_SCORE!$D:$D,HIST_SCORE!$B:$B,PARAMS_MODELO!$B$4,HIST_SCORE!$C:$C,$A867),"")</f>
        <v>0.10639187925283977</v>
      </c>
      <c r="Z867" s="5" t="str">
        <f t="shared" si="317"/>
        <v>→ Estable</v>
      </c>
      <c r="AA867" s="5">
        <f t="shared" si="318"/>
        <v>338</v>
      </c>
      <c r="AB867" s="5">
        <f>IFERROR(SUMIFS(HIST_SCORE!$F:$F,HIST_SCORE!$B:$B,PARAMS_MODELO!$B$4,HIST_SCORE!$C:$C,$A867),"")</f>
        <v>324</v>
      </c>
      <c r="AC867" s="5">
        <f t="shared" si="319"/>
        <v>-14</v>
      </c>
      <c r="AD867" t="str">
        <f t="shared" si="321"/>
        <v/>
      </c>
      <c r="AE8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867="CERRADO",1,IF(V867="BRONCE",_xlpm.cPl,IF(V867="PLATA",_xlpm.cO,IF(V867="ORO",_xlpm.cP,IF(V867="PLATINO",_xlpm.cD,999))))))</f>
        <v>86.439123873763251</v>
      </c>
      <c r="AF8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867="CERRADO",0,IF(V867="BRONCE",1,IF(V867="PLATA",_xlpm.cPl,IF(V867="ORO",_xlpm.cO,IF(V867="PLATINO",_xlpm.cP,_xlpm.cD))))))</f>
        <v>63.199193273331495</v>
      </c>
      <c r="AG867">
        <f t="shared" si="322"/>
        <v>3.14469272334496</v>
      </c>
      <c r="AH867" t="str">
        <f t="shared" si="323"/>
        <v>VENTAS</v>
      </c>
      <c r="AI867" t="str">
        <f t="shared" si="320"/>
        <v>🎯 Para subir de categoría, eje VENTAS / IMPACTO ABSOLUTO (H). Acción: metas semanales + activación comercial + seguimiento del asesor. ΔR aprox: 3,1</v>
      </c>
      <c r="AJ867" s="26">
        <f>_xlfn.LET(_xlpm.piso,AF867,_xlpm.corte,AE867,_xlpm.prog,IF(_xlpm.corte&lt;=_xlpm.piso,0,MAX(0,MIN(1,(U867-_xlpm.piso)/(_xlpm.corte-_xlpm.piso)))),_xlpm.orden,{"DIAMANTE";"PLATINO";"ORO";"PLATA";"BRONCE";"CERRADO"},_xlpm.act,IFERROR(MATCH(V867,_xlpm.orden,0),6),_xlpm.ant,IFERROR(MATCH(W867,_xlpm.orden,0),6),_xlpm.ajmov,IF(_xlpm.act&lt;_xlpm.ant,0.08,IF(_xlpm.act&gt;_xlpm.ant,-0.08,0)),_xlpm.ajcli,IF(T867&lt;0.95,-0.06,0),_xlpm.prob,MAX(0,MIN(1,_xlpm.prog+_xlpm.ajmov+_xlpm.ajcli)),IF(OR(V867="DIAMANTE",V867="CERRADO"),0,ROUND(_xlpm.prob,2)))</f>
        <v>0.86</v>
      </c>
      <c r="AK867" t="str">
        <f t="shared" si="324"/>
        <v>Faltan 3,1 puntos base para subir a la siguiente categoría</v>
      </c>
      <c r="AL867" t="str">
        <f t="shared" si="325"/>
        <v>Margen de seguridad: 20,1 puntos</v>
      </c>
      <c r="AM867">
        <f t="shared" si="326"/>
        <v>0.18</v>
      </c>
      <c r="AN867" t="str">
        <f t="shared" si="327"/>
        <v>PRIORIDAD BAJA – control normal</v>
      </c>
      <c r="AO867">
        <f t="shared" si="328"/>
        <v>9.6708710020113671</v>
      </c>
      <c r="AP867">
        <f t="shared" si="329"/>
        <v>0.99726712286591912</v>
      </c>
      <c r="AQ867">
        <f t="shared" si="330"/>
        <v>0</v>
      </c>
      <c r="AR867">
        <f t="shared" si="331"/>
        <v>5.8999999999999995</v>
      </c>
      <c r="AS867">
        <f t="shared" si="332"/>
        <v>0</v>
      </c>
      <c r="AT867" t="str">
        <f t="shared" si="333"/>
        <v>VENTAS</v>
      </c>
      <c r="AU867">
        <f t="shared" si="334"/>
        <v>9.6708710020113671</v>
      </c>
      <c r="AV867" t="str">
        <f t="shared" si="335"/>
        <v>Mayor retorno probable: VENTAS (+9,7 puntos finales potenciales).</v>
      </c>
    </row>
    <row r="868" spans="1:48" x14ac:dyDescent="0.3">
      <c r="A868" s="5">
        <v>51056574</v>
      </c>
      <c r="B868" s="5" t="str">
        <f>IFERROR(VLOOKUP(A868,VENTAS!$A$2:$B$1194,2,0),"")</f>
        <v>PUGH</v>
      </c>
      <c r="C868" s="5">
        <f>IFERROR(INDEX(VENTAS!$C$2:$E$1194,MATCH(A868,VENTAS!$A$2:$A$1194,0),MATCH(PARAMS_MODELO!$B$2,{"Q1","Q2","Q3"},0)),0)</f>
        <v>16133273.210000001</v>
      </c>
      <c r="D868" s="5">
        <f>IFERROR(INDEX(VENTAS!$F$2:$H$1194,MATCH(A868,VENTAS!$A$2:$A$1194,0),MATCH(PARAMS_MODELO!$B$2,{"Q1","Q2","Q3"},0)),0)</f>
        <v>35818947</v>
      </c>
      <c r="E868" s="8">
        <f t="shared" si="312"/>
        <v>1.2201909391702417</v>
      </c>
      <c r="F868" s="12">
        <f>IF(E868&lt;=PARAMS_MODELO!$B$15,0,IF(E868&gt;=PARAMS_MODELO!$B$17,100,100*MIN(1,(E868-PARAMS_MODELO!$B$15)/(PARAMS_MODELO!$B$16-PARAMS_MODELO!$B$15))))*PARAMS_MODELO!$B$7</f>
        <v>35</v>
      </c>
      <c r="G868" s="5">
        <f t="shared" si="313"/>
        <v>19685673.789999999</v>
      </c>
      <c r="H868" s="5">
        <f>(PARAMS_MODELO!$B$20*(MAX(0,MIN(3,E868))/3)+PARAMS_MODELO!$B$21*(IFERROR(LN(1+MAX(0,G868))/LN(1+MAX(0,MAX($G$2:$G$1194))),0)))*100*PARAMS_MODELO!$B$8</f>
        <v>8.2077449353744001</v>
      </c>
      <c r="I868" s="8">
        <f>E868-PARAMS_MODELO!$B$5</f>
        <v>1.0426281037947152</v>
      </c>
      <c r="J868" s="5">
        <f>IF(I868&lt;=PARAMS_MODELO!$B$18,0,IF(I868&gt;=PARAMS_MODELO!$B$19,100,100*(I868-PARAMS_MODELO!$B$18)/(PARAMS_MODELO!$B$19-PARAMS_MODELO!$B$18)))*PARAMS_MODELO!$B$9</f>
        <v>15</v>
      </c>
      <c r="K868" s="5">
        <f>IFERROR(CHOOSE(MATCH(PARAMS_MODELO!$B$2,{"Q1","Q2","Q3"},0),LOTO!$D868,LOTO!$F868,LOTO!$H868),0)</f>
        <v>1672500</v>
      </c>
      <c r="L868" s="8">
        <f t="shared" si="314"/>
        <v>4.6693164933072989E-2</v>
      </c>
      <c r="M868" s="5">
        <f>MIN(100,IF(PARAMS_MODELO!$B$23=0,0,100*L868/PARAMS_MODELO!$B$23))*PARAMS_MODELO!$B$10</f>
        <v>14.007949479921898</v>
      </c>
      <c r="N868" s="5">
        <f>IFERROR(VLOOKUP(A868,COMPLIANCE!$A$2:$F$1996,6,0),100)</f>
        <v>100</v>
      </c>
      <c r="O868" s="5">
        <f>N868*PARAMS_MODELO!$B$11</f>
        <v>10</v>
      </c>
      <c r="P868" s="5">
        <f>IFERROR(VLOOKUP(A868,DIGITAL!$A$2:$J$2000,7,0),100)</f>
        <v>15</v>
      </c>
      <c r="Q868" s="5">
        <f>IFERROR(P868,0)*PARAMS_MODELO!$B$12</f>
        <v>1.5</v>
      </c>
      <c r="R868">
        <f t="shared" si="315"/>
        <v>83.715694415296298</v>
      </c>
      <c r="S868" s="5" t="str">
        <f>IFERROR(VLOOKUP(A868,CLIENTE!$A$2:$N$2000,13,0),1)</f>
        <v>Regular</v>
      </c>
      <c r="T868" s="5">
        <f>IFERROR(VLOOKUP(A868,CLIENTE!$A$2:$N$2000,14,0),1)</f>
        <v>1</v>
      </c>
      <c r="U868" s="5">
        <f t="shared" si="316"/>
        <v>83.715694415296298</v>
      </c>
      <c r="V868" s="5" t="str">
        <f>IF(U868&gt;=MAX(_xlfn.PERCENTILE.INC($U$2:$U$1194,PARAMS_MODELO!$B$50),PARAMS_MODELO!$B$45),"DIAMANTE",IF(U868&gt;=MAX(_xlfn.PERCENTILE.INC($U$2:$U$1194,PARAMS_MODELO!$B$51),PARAMS_MODELO!$B$46),"PLATINO",IF(U868&gt;=MAX(_xlfn.PERCENTILE.INC($U$2:$U$1194,PARAMS_MODELO!$B$52),PARAMS_MODELO!$B$47),"ORO",IF(U868&gt;=MAX(_xlfn.PERCENTILE.INC($U$2:$U$1194,PARAMS_MODELO!$B$53),PARAMS_MODELO!$B$48),"PLATA",IF(U868&gt;=1,"BRONCE","CERRADO")))))</f>
        <v>ORO</v>
      </c>
      <c r="W868" s="5" t="str" cm="1">
        <f t="array" ref="W868">_xlfn.XLOOKUP(1, (HIST_SCORE!$B:$B=PARAMS_MODELO!$B$4) * (HIST_SCORE!$C:$C=A868), HIST_SCORE!$E:$E, "No encontrado")</f>
        <v>ORO</v>
      </c>
      <c r="X868" s="5" t="str">
        <f>_xlfn.LET(_xlpm.act,MATCH(V868,{"DIAMANTE";"PLATINO";"ORO";"PLATA";"BRONCE";"CERRADO"},0),_xlpm.ant,MATCH(W868,{"DIAMANTE";"PLATINO";"ORO";"PLATA";"BRONCE";"CERRADO"},0),IF(_xlpm.act&lt;_xlpm.ant,"Mejora ↑",IF(_xlpm.act&gt;_xlpm.ant,"Baja ↓","Estable →")))</f>
        <v>Estable →</v>
      </c>
      <c r="Y868" s="5">
        <f>IFERROR(U868-SUMIFS(HIST_SCORE!$D:$D,HIST_SCORE!$B:$B,PARAMS_MODELO!$B$4,HIST_SCORE!$C:$C,$A868),"")</f>
        <v>1.9114934575154479</v>
      </c>
      <c r="Z868" s="5" t="str">
        <f t="shared" si="317"/>
        <v>→ Estable</v>
      </c>
      <c r="AA868" s="5">
        <f t="shared" si="318"/>
        <v>329</v>
      </c>
      <c r="AB868" s="5">
        <f>IFERROR(SUMIFS(HIST_SCORE!$F:$F,HIST_SCORE!$B:$B,PARAMS_MODELO!$B$4,HIST_SCORE!$C:$C,$A868),"")</f>
        <v>375</v>
      </c>
      <c r="AC868" s="5">
        <f t="shared" si="319"/>
        <v>46</v>
      </c>
      <c r="AD868" t="str">
        <f t="shared" si="321"/>
        <v/>
      </c>
      <c r="AE8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868="CERRADO",1,IF(V868="BRONCE",_xlpm.cPl,IF(V868="PLATA",_xlpm.cO,IF(V868="ORO",_xlpm.cP,IF(V868="PLATINO",_xlpm.cD,999))))))</f>
        <v>86.439123873763251</v>
      </c>
      <c r="AF8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868="CERRADO",0,IF(V868="BRONCE",1,IF(V868="PLATA",_xlpm.cPl,IF(V868="ORO",_xlpm.cO,IF(V868="PLATINO",_xlpm.cP,_xlpm.cD))))))</f>
        <v>63.199193273331495</v>
      </c>
      <c r="AG868">
        <f t="shared" si="322"/>
        <v>2.7234294584669527</v>
      </c>
      <c r="AH868" t="str">
        <f t="shared" si="323"/>
        <v>VENTAS</v>
      </c>
      <c r="AI868" t="str">
        <f t="shared" si="320"/>
        <v>🎯 Para subir de categoría, eje VENTAS / IMPACTO ABSOLUTO (H). Acción: metas semanales + activación comercial + seguimiento del asesor. ΔR aprox: 2,7</v>
      </c>
      <c r="AJ868" s="26">
        <f>_xlfn.LET(_xlpm.piso,AF868,_xlpm.corte,AE868,_xlpm.prog,IF(_xlpm.corte&lt;=_xlpm.piso,0,MAX(0,MIN(1,(U868-_xlpm.piso)/(_xlpm.corte-_xlpm.piso)))),_xlpm.orden,{"DIAMANTE";"PLATINO";"ORO";"PLATA";"BRONCE";"CERRADO"},_xlpm.act,IFERROR(MATCH(V868,_xlpm.orden,0),6),_xlpm.ant,IFERROR(MATCH(W868,_xlpm.orden,0),6),_xlpm.ajmov,IF(_xlpm.act&lt;_xlpm.ant,0.08,IF(_xlpm.act&gt;_xlpm.ant,-0.08,0)),_xlpm.ajcli,IF(T868&lt;0.95,-0.06,0),_xlpm.prob,MAX(0,MIN(1,_xlpm.prog+_xlpm.ajmov+_xlpm.ajcli)),IF(OR(V868="DIAMANTE",V868="CERRADO"),0,ROUND(_xlpm.prob,2)))</f>
        <v>0.88</v>
      </c>
      <c r="AK868" t="str">
        <f t="shared" si="324"/>
        <v>Faltan 2,7 puntos base para subir a la siguiente categoría</v>
      </c>
      <c r="AL868" t="str">
        <f t="shared" si="325"/>
        <v>Margen de seguridad: 20,5 puntos</v>
      </c>
      <c r="AM868">
        <f t="shared" si="326"/>
        <v>0.16</v>
      </c>
      <c r="AN868" t="str">
        <f t="shared" si="327"/>
        <v>PRIORIDAD BAJA – control normal</v>
      </c>
      <c r="AO868">
        <f t="shared" si="328"/>
        <v>6.6548243399211842</v>
      </c>
      <c r="AP868">
        <f t="shared" si="329"/>
        <v>0.99205052007810224</v>
      </c>
      <c r="AQ868">
        <f t="shared" si="330"/>
        <v>0</v>
      </c>
      <c r="AR868">
        <f t="shared" si="331"/>
        <v>8.5</v>
      </c>
      <c r="AS868">
        <f t="shared" si="332"/>
        <v>0</v>
      </c>
      <c r="AT868" t="str">
        <f t="shared" si="333"/>
        <v>DIGITAL</v>
      </c>
      <c r="AU868">
        <f t="shared" si="334"/>
        <v>8.5</v>
      </c>
      <c r="AV868" t="str">
        <f t="shared" si="335"/>
        <v>Mayor retorno probable: DIGITAL (+8,5 puntos finales potenciales).</v>
      </c>
    </row>
    <row r="869" spans="1:48" x14ac:dyDescent="0.3">
      <c r="A869" s="5">
        <v>51056957</v>
      </c>
      <c r="B869" s="5" t="str">
        <f>IFERROR(VLOOKUP(A869,VENTAS!$A$2:$B$1194,2,0),"")</f>
        <v>PRADES</v>
      </c>
      <c r="C869" s="5">
        <f>IFERROR(INDEX(VENTAS!$C$2:$E$1194,MATCH(A869,VENTAS!$A$2:$A$1194,0),MATCH(PARAMS_MODELO!$B$2,{"Q1","Q2","Q3"},0)),0)</f>
        <v>20116379.93</v>
      </c>
      <c r="D869" s="5">
        <f>IFERROR(INDEX(VENTAS!$F$2:$H$1194,MATCH(A869,VENTAS!$A$2:$A$1194,0),MATCH(PARAMS_MODELO!$B$2,{"Q1","Q2","Q3"},0)),0)</f>
        <v>35205178</v>
      </c>
      <c r="E869" s="8">
        <f t="shared" si="312"/>
        <v>0.75007521842922364</v>
      </c>
      <c r="F869" s="12">
        <f>IF(E869&lt;=PARAMS_MODELO!$B$15,0,IF(E869&gt;=PARAMS_MODELO!$B$17,100,100*MIN(1,(E869-PARAMS_MODELO!$B$15)/(PARAMS_MODELO!$B$16-PARAMS_MODELO!$B$15))))*PARAMS_MODELO!$B$7</f>
        <v>35</v>
      </c>
      <c r="G869" s="5">
        <f t="shared" si="313"/>
        <v>15088798.07</v>
      </c>
      <c r="H869" s="5">
        <f>(PARAMS_MODELO!$B$20*(MAX(0,MIN(3,E869))/3)+PARAMS_MODELO!$B$21*(IFERROR(LN(1+MAX(0,G869))/LN(1+MAX(0,MAX($G$2:$G$1194))),0)))*100*PARAMS_MODELO!$B$8</f>
        <v>6.5000002114545739</v>
      </c>
      <c r="I869" s="8">
        <f>E869-PARAMS_MODELO!$B$5</f>
        <v>0.57251238305369712</v>
      </c>
      <c r="J869" s="5">
        <f>IF(I869&lt;=PARAMS_MODELO!$B$18,0,IF(I869&gt;=PARAMS_MODELO!$B$19,100,100*(I869-PARAMS_MODELO!$B$18)/(PARAMS_MODELO!$B$19-PARAMS_MODELO!$B$18)))*PARAMS_MODELO!$B$9</f>
        <v>15</v>
      </c>
      <c r="K869" s="5">
        <f>IFERROR(CHOOSE(MATCH(PARAMS_MODELO!$B$2,{"Q1","Q2","Q3"},0),LOTO!$D869,LOTO!$F869,LOTO!$H869),0)</f>
        <v>1640000</v>
      </c>
      <c r="L869" s="8">
        <f t="shared" si="314"/>
        <v>4.6584056470329448E-2</v>
      </c>
      <c r="M869" s="5">
        <f>MIN(100,IF(PARAMS_MODELO!$B$23=0,0,100*L869/PARAMS_MODELO!$B$23))*PARAMS_MODELO!$B$10</f>
        <v>13.975216941098832</v>
      </c>
      <c r="N869" s="5">
        <f>IFERROR(VLOOKUP(A869,COMPLIANCE!$A$2:$F$1996,6,0),100)</f>
        <v>100</v>
      </c>
      <c r="O869" s="5">
        <f>N869*PARAMS_MODELO!$B$11</f>
        <v>10</v>
      </c>
      <c r="P869" s="5">
        <f>IFERROR(VLOOKUP(A869,DIGITAL!$A$2:$J$2000,7,0),100)</f>
        <v>38</v>
      </c>
      <c r="Q869" s="5">
        <f>IFERROR(P869,0)*PARAMS_MODELO!$B$12</f>
        <v>3.8000000000000003</v>
      </c>
      <c r="R869">
        <f t="shared" si="315"/>
        <v>84.27521715255341</v>
      </c>
      <c r="S869" s="5" t="str">
        <f>IFERROR(VLOOKUP(A869,CLIENTE!$A$2:$N$2000,13,0),1)</f>
        <v>Malo</v>
      </c>
      <c r="T869" s="5">
        <f>IFERROR(VLOOKUP(A869,CLIENTE!$A$2:$N$2000,14,0),1)</f>
        <v>0.7</v>
      </c>
      <c r="U869" s="5">
        <f t="shared" si="316"/>
        <v>58.992652006787381</v>
      </c>
      <c r="V869" s="5" t="str">
        <f>IF(U869&gt;=MAX(_xlfn.PERCENTILE.INC($U$2:$U$1194,PARAMS_MODELO!$B$50),PARAMS_MODELO!$B$45),"DIAMANTE",IF(U869&gt;=MAX(_xlfn.PERCENTILE.INC($U$2:$U$1194,PARAMS_MODELO!$B$51),PARAMS_MODELO!$B$46),"PLATINO",IF(U869&gt;=MAX(_xlfn.PERCENTILE.INC($U$2:$U$1194,PARAMS_MODELO!$B$52),PARAMS_MODELO!$B$47),"ORO",IF(U869&gt;=MAX(_xlfn.PERCENTILE.INC($U$2:$U$1194,PARAMS_MODELO!$B$53),PARAMS_MODELO!$B$48),"PLATA",IF(U869&gt;=1,"BRONCE","CERRADO")))))</f>
        <v>PLATA</v>
      </c>
      <c r="W869" s="5" t="str" cm="1">
        <f t="array" ref="W869">_xlfn.XLOOKUP(1, (HIST_SCORE!$B:$B=PARAMS_MODELO!$B$4) * (HIST_SCORE!$C:$C=A869), HIST_SCORE!$E:$E, "No encontrado")</f>
        <v>PLATA</v>
      </c>
      <c r="X869" s="5" t="str">
        <f>_xlfn.LET(_xlpm.act,MATCH(V869,{"DIAMANTE";"PLATINO";"ORO";"PLATA";"BRONCE";"CERRADO"},0),_xlpm.ant,MATCH(W869,{"DIAMANTE";"PLATINO";"ORO";"PLATA";"BRONCE";"CERRADO"},0),IF(_xlpm.act&lt;_xlpm.ant,"Mejora ↑",IF(_xlpm.act&gt;_xlpm.ant,"Baja ↓","Estable →")))</f>
        <v>Estable →</v>
      </c>
      <c r="Y869" s="5">
        <f>IFERROR(U869-SUMIFS(HIST_SCORE!$D:$D,HIST_SCORE!$B:$B,PARAMS_MODELO!$B$4,HIST_SCORE!$C:$C,$A869),"")</f>
        <v>0.15362700740137569</v>
      </c>
      <c r="Z869" s="5" t="str">
        <f t="shared" si="317"/>
        <v>→ Estable</v>
      </c>
      <c r="AA869" s="5">
        <f t="shared" si="318"/>
        <v>636</v>
      </c>
      <c r="AB869" s="5">
        <f>IFERROR(SUMIFS(HIST_SCORE!$F:$F,HIST_SCORE!$B:$B,PARAMS_MODELO!$B$4,HIST_SCORE!$C:$C,$A869),"")</f>
        <v>665</v>
      </c>
      <c r="AC869" s="5">
        <f t="shared" si="319"/>
        <v>29</v>
      </c>
      <c r="AD869" t="str">
        <f t="shared" si="321"/>
        <v/>
      </c>
      <c r="AE8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869="CERRADO",1,IF(V869="BRONCE",_xlpm.cPl,IF(V869="PLATA",_xlpm.cO,IF(V869="ORO",_xlpm.cP,IF(V869="PLATINO",_xlpm.cD,999))))))</f>
        <v>63.199193273331495</v>
      </c>
      <c r="AF8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869="CERRADO",0,IF(V869="BRONCE",1,IF(V869="PLATA",_xlpm.cPl,IF(V869="ORO",_xlpm.cO,IF(V869="PLATINO",_xlpm.cP,_xlpm.cD))))))</f>
        <v>24.506573482968111</v>
      </c>
      <c r="AG869">
        <f t="shared" si="322"/>
        <v>6.0093446664915859</v>
      </c>
      <c r="AH869" t="str">
        <f t="shared" si="323"/>
        <v>CLIENTE</v>
      </c>
      <c r="AI869" t="str">
        <f t="shared" si="320"/>
        <v>🎯 Para subir de categoría, la eje con mayor impacto probable es CLIENTE (coef T). Acción: reducir quejas, mejorar incógnito y empujar reseñas. ΔR aprox: 6,0</v>
      </c>
      <c r="AJ869" s="26">
        <f>_xlfn.LET(_xlpm.piso,AF869,_xlpm.corte,AE869,_xlpm.prog,IF(_xlpm.corte&lt;=_xlpm.piso,0,MAX(0,MIN(1,(U869-_xlpm.piso)/(_xlpm.corte-_xlpm.piso)))),_xlpm.orden,{"DIAMANTE";"PLATINO";"ORO";"PLATA";"BRONCE";"CERRADO"},_xlpm.act,IFERROR(MATCH(V869,_xlpm.orden,0),6),_xlpm.ant,IFERROR(MATCH(W869,_xlpm.orden,0),6),_xlpm.ajmov,IF(_xlpm.act&lt;_xlpm.ant,0.08,IF(_xlpm.act&gt;_xlpm.ant,-0.08,0)),_xlpm.ajcli,IF(T869&lt;0.95,-0.06,0),_xlpm.prob,MAX(0,MIN(1,_xlpm.prog+_xlpm.ajmov+_xlpm.ajcli)),IF(OR(V869="DIAMANTE",V869="CERRADO"),0,ROUND(_xlpm.prob,2)))</f>
        <v>0.83</v>
      </c>
      <c r="AK869" t="str">
        <f t="shared" si="324"/>
        <v>Faltan 6,0 puntos base para subir a la siguiente categoría</v>
      </c>
      <c r="AL869" t="str">
        <f t="shared" si="325"/>
        <v>Margen de seguridad: 34,5 puntos</v>
      </c>
      <c r="AM869">
        <f t="shared" si="326"/>
        <v>0.51</v>
      </c>
      <c r="AN869" t="str">
        <f t="shared" si="327"/>
        <v>PRIORIDAD MEDIA – seguimiento del asesor</v>
      </c>
      <c r="AO869">
        <f t="shared" si="328"/>
        <v>5.8537983446887054</v>
      </c>
      <c r="AP869">
        <f t="shared" si="329"/>
        <v>0.71734814123081736</v>
      </c>
      <c r="AQ869">
        <f t="shared" si="330"/>
        <v>0</v>
      </c>
      <c r="AR869">
        <f t="shared" si="331"/>
        <v>4.339999999999999</v>
      </c>
      <c r="AS869">
        <f t="shared" si="332"/>
        <v>25.282565145766025</v>
      </c>
      <c r="AT869" t="str">
        <f t="shared" si="333"/>
        <v>CLIENTE</v>
      </c>
      <c r="AU869">
        <f t="shared" si="334"/>
        <v>25.282565145766025</v>
      </c>
      <c r="AV869" t="str">
        <f t="shared" si="335"/>
        <v>Mayor retorno probable: CLIENTE (+25,3 puntos finales potenciales).</v>
      </c>
    </row>
    <row r="870" spans="1:48" x14ac:dyDescent="0.3">
      <c r="A870" s="5">
        <v>51055331</v>
      </c>
      <c r="B870" s="5" t="str">
        <f>IFERROR(VLOOKUP(A870,VENTAS!$A$2:$B$1194,2,0),"")</f>
        <v>PRADES</v>
      </c>
      <c r="C870" s="5">
        <f>IFERROR(INDEX(VENTAS!$C$2:$E$1194,MATCH(A870,VENTAS!$A$2:$A$1194,0),MATCH(PARAMS_MODELO!$B$2,{"Q1","Q2","Q3"},0)),0)</f>
        <v>38720153.530000001</v>
      </c>
      <c r="D870" s="5">
        <f>IFERROR(INDEX(VENTAS!$F$2:$H$1194,MATCH(A870,VENTAS!$A$2:$A$1194,0),MATCH(PARAMS_MODELO!$B$2,{"Q1","Q2","Q3"},0)),0)</f>
        <v>34994627</v>
      </c>
      <c r="E870" s="8">
        <f t="shared" si="312"/>
        <v>-9.6216729283201352E-2</v>
      </c>
      <c r="F870" s="12">
        <f>IF(E870&lt;=PARAMS_MODELO!$B$15,0,IF(E870&gt;=PARAMS_MODELO!$B$17,100,100*MIN(1,(E870-PARAMS_MODELO!$B$15)/(PARAMS_MODELO!$B$16-PARAMS_MODELO!$B$15))))*PARAMS_MODELO!$B$7</f>
        <v>0</v>
      </c>
      <c r="G870" s="5">
        <f t="shared" si="313"/>
        <v>0</v>
      </c>
      <c r="H870" s="5">
        <f>(PARAMS_MODELO!$B$20*(MAX(0,MIN(3,E870))/3)+PARAMS_MODELO!$B$21*(IFERROR(LN(1+MAX(0,G870))/LN(1+MAX(0,MAX($G$2:$G$1194))),0)))*100*PARAMS_MODELO!$B$8</f>
        <v>0</v>
      </c>
      <c r="I870" s="8">
        <f>E870-PARAMS_MODELO!$B$5</f>
        <v>-0.27377956465872788</v>
      </c>
      <c r="J870" s="5">
        <f>IF(I870&lt;=PARAMS_MODELO!$B$18,0,IF(I870&gt;=PARAMS_MODELO!$B$19,100,100*(I870-PARAMS_MODELO!$B$18)/(PARAMS_MODELO!$B$19-PARAMS_MODELO!$B$18)))*PARAMS_MODELO!$B$9</f>
        <v>0</v>
      </c>
      <c r="K870" s="5">
        <f>IFERROR(CHOOSE(MATCH(PARAMS_MODELO!$B$2,{"Q1","Q2","Q3"},0),LOTO!$D870,LOTO!$F870,LOTO!$H870),0)</f>
        <v>1630000</v>
      </c>
      <c r="L870" s="8">
        <f t="shared" si="314"/>
        <v>4.6578579048720821E-2</v>
      </c>
      <c r="M870" s="5">
        <f>MIN(100,IF(PARAMS_MODELO!$B$23=0,0,100*L870/PARAMS_MODELO!$B$23))*PARAMS_MODELO!$B$10</f>
        <v>13.973573714616245</v>
      </c>
      <c r="N870" s="5">
        <f>IFERROR(VLOOKUP(A870,COMPLIANCE!$A$2:$F$1996,6,0),100)</f>
        <v>99.98</v>
      </c>
      <c r="O870" s="5">
        <f>N870*PARAMS_MODELO!$B$11</f>
        <v>9.9980000000000011</v>
      </c>
      <c r="P870" s="5">
        <f>IFERROR(VLOOKUP(A870,DIGITAL!$A$2:$J$2000,7,0),100)</f>
        <v>10</v>
      </c>
      <c r="Q870" s="5">
        <f>IFERROR(P870,0)*PARAMS_MODELO!$B$12</f>
        <v>1</v>
      </c>
      <c r="R870">
        <f t="shared" si="315"/>
        <v>24.971573714616248</v>
      </c>
      <c r="S870" s="5" t="str">
        <f>IFERROR(VLOOKUP(A870,CLIENTE!$A$2:$N$2000,13,0),1)</f>
        <v>Malo</v>
      </c>
      <c r="T870" s="5">
        <f>IFERROR(VLOOKUP(A870,CLIENTE!$A$2:$N$2000,14,0),1)</f>
        <v>0.7</v>
      </c>
      <c r="U870" s="5">
        <f t="shared" si="316"/>
        <v>17.480101600231372</v>
      </c>
      <c r="V870" s="5" t="str">
        <f>IF(U870&gt;=MAX(_xlfn.PERCENTILE.INC($U$2:$U$1194,PARAMS_MODELO!$B$50),PARAMS_MODELO!$B$45),"DIAMANTE",IF(U870&gt;=MAX(_xlfn.PERCENTILE.INC($U$2:$U$1194,PARAMS_MODELO!$B$51),PARAMS_MODELO!$B$46),"PLATINO",IF(U870&gt;=MAX(_xlfn.PERCENTILE.INC($U$2:$U$1194,PARAMS_MODELO!$B$52),PARAMS_MODELO!$B$47),"ORO",IF(U870&gt;=MAX(_xlfn.PERCENTILE.INC($U$2:$U$1194,PARAMS_MODELO!$B$53),PARAMS_MODELO!$B$48),"PLATA",IF(U870&gt;=1,"BRONCE","CERRADO")))))</f>
        <v>BRONCE</v>
      </c>
      <c r="W870" s="5" t="str" cm="1">
        <f t="array" ref="W870">_xlfn.XLOOKUP(1, (HIST_SCORE!$B:$B=PARAMS_MODELO!$B$4) * (HIST_SCORE!$C:$C=A870), HIST_SCORE!$E:$E, "No encontrado")</f>
        <v>PLATA</v>
      </c>
      <c r="X870" s="5" t="str">
        <f>_xlfn.LET(_xlpm.act,MATCH(V870,{"DIAMANTE";"PLATINO";"ORO";"PLATA";"BRONCE";"CERRADO"},0),_xlpm.ant,MATCH(W870,{"DIAMANTE";"PLATINO";"ORO";"PLATA";"BRONCE";"CERRADO"},0),IF(_xlpm.act&lt;_xlpm.ant,"Mejora ↑",IF(_xlpm.act&gt;_xlpm.ant,"Baja ↓","Estable →")))</f>
        <v>Baja ↓</v>
      </c>
      <c r="Y870" s="5">
        <f>IFERROR(U870-SUMIFS(HIST_SCORE!$D:$D,HIST_SCORE!$B:$B,PARAMS_MODELO!$B$4,HIST_SCORE!$C:$C,$A870),"")</f>
        <v>-25.762469260820303</v>
      </c>
      <c r="Z870" s="5" t="str">
        <f t="shared" si="317"/>
        <v>↓ Baja</v>
      </c>
      <c r="AA870" s="5">
        <f t="shared" si="318"/>
        <v>1040</v>
      </c>
      <c r="AB870" s="5">
        <f>IFERROR(SUMIFS(HIST_SCORE!$F:$F,HIST_SCORE!$B:$B,PARAMS_MODELO!$B$4,HIST_SCORE!$C:$C,$A870),"")</f>
        <v>835</v>
      </c>
      <c r="AC870" s="5">
        <f t="shared" si="319"/>
        <v>-205</v>
      </c>
      <c r="AD870" t="str">
        <f t="shared" si="321"/>
        <v>Plan de recuperación: foco crecimiento + mix</v>
      </c>
      <c r="AE8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870="CERRADO",1,IF(V870="BRONCE",_xlpm.cPl,IF(V870="PLATA",_xlpm.cO,IF(V870="ORO",_xlpm.cP,IF(V870="PLATINO",_xlpm.cD,999))))))</f>
        <v>24.506573482968111</v>
      </c>
      <c r="AF8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870="CERRADO",0,IF(V870="BRONCE",1,IF(V870="PLATA",_xlpm.cPl,IF(V870="ORO",_xlpm.cO,IF(V870="PLATINO",_xlpm.cP,_xlpm.cD))))))</f>
        <v>1</v>
      </c>
      <c r="AG870">
        <f t="shared" si="322"/>
        <v>10.037816975338195</v>
      </c>
      <c r="AH870" t="str">
        <f t="shared" si="323"/>
        <v>CLIENTE</v>
      </c>
      <c r="AI870" t="str">
        <f t="shared" si="320"/>
        <v>🎯 Para subir de categoría, la eje con mayor impacto probable es CLIENTE (coef T). Acción: reducir quejas, mejorar incógnito y empujar reseñas. ΔR aprox: 10,0</v>
      </c>
      <c r="AJ870" s="26">
        <f>_xlfn.LET(_xlpm.piso,AF870,_xlpm.corte,AE870,_xlpm.prog,IF(_xlpm.corte&lt;=_xlpm.piso,0,MAX(0,MIN(1,(U870-_xlpm.piso)/(_xlpm.corte-_xlpm.piso)))),_xlpm.orden,{"DIAMANTE";"PLATINO";"ORO";"PLATA";"BRONCE";"CERRADO"},_xlpm.act,IFERROR(MATCH(V870,_xlpm.orden,0),6),_xlpm.ant,IFERROR(MATCH(W870,_xlpm.orden,0),6),_xlpm.ajmov,IF(_xlpm.act&lt;_xlpm.ant,0.08,IF(_xlpm.act&gt;_xlpm.ant,-0.08,0)),_xlpm.ajcli,IF(T870&lt;0.95,-0.06,0),_xlpm.prob,MAX(0,MIN(1,_xlpm.prog+_xlpm.ajmov+_xlpm.ajcli)),IF(OR(V870="DIAMANTE",V870="CERRADO"),0,ROUND(_xlpm.prob,2)))</f>
        <v>0.56000000000000005</v>
      </c>
      <c r="AK870" t="str">
        <f t="shared" si="324"/>
        <v>Faltan 10,0 puntos base para subir a la siguiente categoría</v>
      </c>
      <c r="AL870" t="str">
        <f t="shared" si="325"/>
        <v>No aplica</v>
      </c>
      <c r="AM870">
        <f t="shared" si="326"/>
        <v>0.78</v>
      </c>
      <c r="AN870" t="str">
        <f t="shared" si="327"/>
        <v>PRIORIDAD ALTA – requiere intervención inmediata</v>
      </c>
      <c r="AO870">
        <f t="shared" si="328"/>
        <v>45.403798492706905</v>
      </c>
      <c r="AP870">
        <f t="shared" si="329"/>
        <v>0.71849839976862828</v>
      </c>
      <c r="AQ870">
        <f t="shared" si="330"/>
        <v>1.3999999999992239E-3</v>
      </c>
      <c r="AR870">
        <f t="shared" si="331"/>
        <v>6.3</v>
      </c>
      <c r="AS870">
        <f t="shared" si="332"/>
        <v>7.4914721143848757</v>
      </c>
      <c r="AT870" t="str">
        <f t="shared" si="333"/>
        <v>VENTAS</v>
      </c>
      <c r="AU870">
        <f t="shared" si="334"/>
        <v>45.403798492706905</v>
      </c>
      <c r="AV870" t="str">
        <f t="shared" si="335"/>
        <v>Mayor retorno probable: VENTAS (+45,4 puntos finales potenciales).</v>
      </c>
    </row>
    <row r="871" spans="1:48" x14ac:dyDescent="0.3">
      <c r="A871" s="5">
        <v>51018397</v>
      </c>
      <c r="B871" s="5" t="str">
        <f>IFERROR(VLOOKUP(A871,VENTAS!$A$2:$B$1194,2,0),"")</f>
        <v>LÓPEZ</v>
      </c>
      <c r="C871" s="5">
        <f>IFERROR(INDEX(VENTAS!$C$2:$E$1194,MATCH(A871,VENTAS!$A$2:$A$1194,0),MATCH(PARAMS_MODELO!$B$2,{"Q1","Q2","Q3"},0)),0)</f>
        <v>39461786.960000001</v>
      </c>
      <c r="D871" s="5">
        <f>IFERROR(INDEX(VENTAS!$F$2:$H$1194,MATCH(A871,VENTAS!$A$2:$A$1194,0),MATCH(PARAMS_MODELO!$B$2,{"Q1","Q2","Q3"},0)),0)</f>
        <v>34891058</v>
      </c>
      <c r="E871" s="8">
        <f t="shared" si="312"/>
        <v>-0.11582671014450174</v>
      </c>
      <c r="F871" s="12">
        <f>IF(E871&lt;=PARAMS_MODELO!$B$15,0,IF(E871&gt;=PARAMS_MODELO!$B$17,100,100*MIN(1,(E871-PARAMS_MODELO!$B$15)/(PARAMS_MODELO!$B$16-PARAMS_MODELO!$B$15))))*PARAMS_MODELO!$B$7</f>
        <v>0</v>
      </c>
      <c r="G871" s="5">
        <f t="shared" si="313"/>
        <v>0</v>
      </c>
      <c r="H871" s="5">
        <f>(PARAMS_MODELO!$B$20*(MAX(0,MIN(3,E871))/3)+PARAMS_MODELO!$B$21*(IFERROR(LN(1+MAX(0,G871))/LN(1+MAX(0,MAX($G$2:$G$1194))),0)))*100*PARAMS_MODELO!$B$8</f>
        <v>0</v>
      </c>
      <c r="I871" s="8">
        <f>E871-PARAMS_MODELO!$B$5</f>
        <v>-0.29338954552002827</v>
      </c>
      <c r="J871" s="5">
        <f>IF(I871&lt;=PARAMS_MODELO!$B$18,0,IF(I871&gt;=PARAMS_MODELO!$B$19,100,100*(I871-PARAMS_MODELO!$B$18)/(PARAMS_MODELO!$B$19-PARAMS_MODELO!$B$18)))*PARAMS_MODELO!$B$9</f>
        <v>0</v>
      </c>
      <c r="K871" s="5">
        <f>IFERROR(CHOOSE(MATCH(PARAMS_MODELO!$B$2,{"Q1","Q2","Q3"},0),LOTO!$D871,LOTO!$F871,LOTO!$H871),0)</f>
        <v>1625000</v>
      </c>
      <c r="L871" s="8">
        <f t="shared" si="314"/>
        <v>4.6573537552228997E-2</v>
      </c>
      <c r="M871" s="5">
        <f>MIN(100,IF(PARAMS_MODELO!$B$23=0,0,100*L871/PARAMS_MODELO!$B$23))*PARAMS_MODELO!$B$10</f>
        <v>13.9720612656687</v>
      </c>
      <c r="N871" s="5">
        <f>IFERROR(VLOOKUP(A871,COMPLIANCE!$A$2:$F$1996,6,0),100)</f>
        <v>100</v>
      </c>
      <c r="O871" s="5">
        <f>N871*PARAMS_MODELO!$B$11</f>
        <v>10</v>
      </c>
      <c r="P871" s="5">
        <f>IFERROR(VLOOKUP(A871,DIGITAL!$A$2:$J$2000,7,0),100)</f>
        <v>15</v>
      </c>
      <c r="Q871" s="5">
        <f>IFERROR(P871,0)*PARAMS_MODELO!$B$12</f>
        <v>1.5</v>
      </c>
      <c r="R871">
        <f t="shared" si="315"/>
        <v>25.4720612656687</v>
      </c>
      <c r="S871" s="5" t="str">
        <f>IFERROR(VLOOKUP(A871,CLIENTE!$A$2:$N$2000,13,0),1)</f>
        <v>Malo</v>
      </c>
      <c r="T871" s="5">
        <f>IFERROR(VLOOKUP(A871,CLIENTE!$A$2:$N$2000,14,0),1)</f>
        <v>0.7</v>
      </c>
      <c r="U871" s="5">
        <f t="shared" si="316"/>
        <v>17.83044288596809</v>
      </c>
      <c r="V871" s="5" t="str">
        <f>IF(U871&gt;=MAX(_xlfn.PERCENTILE.INC($U$2:$U$1194,PARAMS_MODELO!$B$50),PARAMS_MODELO!$B$45),"DIAMANTE",IF(U871&gt;=MAX(_xlfn.PERCENTILE.INC($U$2:$U$1194,PARAMS_MODELO!$B$51),PARAMS_MODELO!$B$46),"PLATINO",IF(U871&gt;=MAX(_xlfn.PERCENTILE.INC($U$2:$U$1194,PARAMS_MODELO!$B$52),PARAMS_MODELO!$B$47),"ORO",IF(U871&gt;=MAX(_xlfn.PERCENTILE.INC($U$2:$U$1194,PARAMS_MODELO!$B$53),PARAMS_MODELO!$B$48),"PLATA",IF(U871&gt;=1,"BRONCE","CERRADO")))))</f>
        <v>BRONCE</v>
      </c>
      <c r="W871" s="5" t="str" cm="1">
        <f t="array" ref="W871">_xlfn.XLOOKUP(1, (HIST_SCORE!$B:$B=PARAMS_MODELO!$B$4) * (HIST_SCORE!$C:$C=A871), HIST_SCORE!$E:$E, "No encontrado")</f>
        <v>BRONCE</v>
      </c>
      <c r="X871" s="5" t="str">
        <f>_xlfn.LET(_xlpm.act,MATCH(V871,{"DIAMANTE";"PLATINO";"ORO";"PLATA";"BRONCE";"CERRADO"},0),_xlpm.ant,MATCH(W871,{"DIAMANTE";"PLATINO";"ORO";"PLATA";"BRONCE";"CERRADO"},0),IF(_xlpm.act&lt;_xlpm.ant,"Mejora ↑",IF(_xlpm.act&gt;_xlpm.ant,"Baja ↓","Estable →")))</f>
        <v>Estable →</v>
      </c>
      <c r="Y871" s="5">
        <f>IFERROR(U871-SUMIFS(HIST_SCORE!$D:$D,HIST_SCORE!$B:$B,PARAMS_MODELO!$B$4,HIST_SCORE!$C:$C,$A871),"")</f>
        <v>3.7487902798922548</v>
      </c>
      <c r="Z871" s="5" t="str">
        <f t="shared" si="317"/>
        <v>→ Estable</v>
      </c>
      <c r="AA871" s="5">
        <f t="shared" si="318"/>
        <v>1033</v>
      </c>
      <c r="AB871" s="5">
        <f>IFERROR(SUMIFS(HIST_SCORE!$F:$F,HIST_SCORE!$B:$B,PARAMS_MODELO!$B$4,HIST_SCORE!$C:$C,$A871),"")</f>
        <v>1085</v>
      </c>
      <c r="AC871" s="5">
        <f t="shared" si="319"/>
        <v>52</v>
      </c>
      <c r="AD871" t="str">
        <f t="shared" si="321"/>
        <v/>
      </c>
      <c r="AE8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871="CERRADO",1,IF(V871="BRONCE",_xlpm.cPl,IF(V871="PLATA",_xlpm.cO,IF(V871="ORO",_xlpm.cP,IF(V871="PLATINO",_xlpm.cD,999))))))</f>
        <v>24.506573482968111</v>
      </c>
      <c r="AF8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871="CERRADO",0,IF(V871="BRONCE",1,IF(V871="PLATA",_xlpm.cPl,IF(V871="ORO",_xlpm.cO,IF(V871="PLATINO",_xlpm.cP,_xlpm.cD))))))</f>
        <v>1</v>
      </c>
      <c r="AG871">
        <f t="shared" si="322"/>
        <v>9.537329424285744</v>
      </c>
      <c r="AH871" t="str">
        <f t="shared" si="323"/>
        <v>CLIENTE</v>
      </c>
      <c r="AI871" t="str">
        <f t="shared" si="320"/>
        <v>🎯 Para subir de categoría, la eje con mayor impacto probable es CLIENTE (coef T). Acción: reducir quejas, mejorar incógnito y empujar reseñas. ΔR aprox: 9,5</v>
      </c>
      <c r="AJ871" s="26">
        <f>_xlfn.LET(_xlpm.piso,AF871,_xlpm.corte,AE871,_xlpm.prog,IF(_xlpm.corte&lt;=_xlpm.piso,0,MAX(0,MIN(1,(U871-_xlpm.piso)/(_xlpm.corte-_xlpm.piso)))),_xlpm.orden,{"DIAMANTE";"PLATINO";"ORO";"PLATA";"BRONCE";"CERRADO"},_xlpm.act,IFERROR(MATCH(V871,_xlpm.orden,0),6),_xlpm.ant,IFERROR(MATCH(W871,_xlpm.orden,0),6),_xlpm.ajmov,IF(_xlpm.act&lt;_xlpm.ant,0.08,IF(_xlpm.act&gt;_xlpm.ant,-0.08,0)),_xlpm.ajcli,IF(T871&lt;0.95,-0.06,0),_xlpm.prob,MAX(0,MIN(1,_xlpm.prog+_xlpm.ajmov+_xlpm.ajcli)),IF(OR(V871="DIAMANTE",V871="CERRADO"),0,ROUND(_xlpm.prob,2)))</f>
        <v>0.66</v>
      </c>
      <c r="AK871" t="str">
        <f t="shared" si="324"/>
        <v>Faltan 9,5 puntos base para subir a la siguiente categoría</v>
      </c>
      <c r="AL871" t="str">
        <f t="shared" si="325"/>
        <v>No aplica</v>
      </c>
      <c r="AM871">
        <f t="shared" si="326"/>
        <v>0.72</v>
      </c>
      <c r="AN871" t="str">
        <f t="shared" si="327"/>
        <v>PRIORIDAD ALTA – requiere intervención inmediata</v>
      </c>
      <c r="AO871">
        <f t="shared" si="328"/>
        <v>45.403798492706905</v>
      </c>
      <c r="AP871">
        <f t="shared" si="329"/>
        <v>0.71955711403191025</v>
      </c>
      <c r="AQ871">
        <f t="shared" si="330"/>
        <v>0</v>
      </c>
      <c r="AR871">
        <f t="shared" si="331"/>
        <v>5.9499999999999993</v>
      </c>
      <c r="AS871">
        <f t="shared" si="332"/>
        <v>7.6416183797006108</v>
      </c>
      <c r="AT871" t="str">
        <f t="shared" si="333"/>
        <v>VENTAS</v>
      </c>
      <c r="AU871">
        <f t="shared" si="334"/>
        <v>45.403798492706905</v>
      </c>
      <c r="AV871" t="str">
        <f t="shared" si="335"/>
        <v>Mayor retorno probable: VENTAS (+45,4 puntos finales potenciales).</v>
      </c>
    </row>
    <row r="872" spans="1:48" x14ac:dyDescent="0.3">
      <c r="A872" s="5">
        <v>51025148</v>
      </c>
      <c r="B872" s="5" t="str">
        <f>IFERROR(VLOOKUP(A872,VENTAS!$A$2:$B$1194,2,0),"")</f>
        <v>MONTENEGRO</v>
      </c>
      <c r="C872" s="5">
        <f>IFERROR(INDEX(VENTAS!$C$2:$E$1194,MATCH(A872,VENTAS!$A$2:$A$1194,0),MATCH(PARAMS_MODELO!$B$2,{"Q1","Q2","Q3"},0)),0)</f>
        <v>38816520.5</v>
      </c>
      <c r="D872" s="5">
        <f>IFERROR(INDEX(VENTAS!$F$2:$H$1194,MATCH(A872,VENTAS!$A$2:$A$1194,0),MATCH(PARAMS_MODELO!$B$2,{"Q1","Q2","Q3"},0)),0)</f>
        <v>34863796</v>
      </c>
      <c r="E872" s="8">
        <f t="shared" si="312"/>
        <v>-0.10183098456751161</v>
      </c>
      <c r="F872" s="12">
        <f>IF(E872&lt;=PARAMS_MODELO!$B$15,0,IF(E872&gt;=PARAMS_MODELO!$B$17,100,100*MIN(1,(E872-PARAMS_MODELO!$B$15)/(PARAMS_MODELO!$B$16-PARAMS_MODELO!$B$15))))*PARAMS_MODELO!$B$7</f>
        <v>0</v>
      </c>
      <c r="G872" s="5">
        <f t="shared" si="313"/>
        <v>0</v>
      </c>
      <c r="H872" s="5">
        <f>(PARAMS_MODELO!$B$20*(MAX(0,MIN(3,E872))/3)+PARAMS_MODELO!$B$21*(IFERROR(LN(1+MAX(0,G872))/LN(1+MAX(0,MAX($G$2:$G$1194))),0)))*100*PARAMS_MODELO!$B$8</f>
        <v>0</v>
      </c>
      <c r="I872" s="8">
        <f>E872-PARAMS_MODELO!$B$5</f>
        <v>-0.27939381994303814</v>
      </c>
      <c r="J872" s="5">
        <f>IF(I872&lt;=PARAMS_MODELO!$B$18,0,IF(I872&gt;=PARAMS_MODELO!$B$19,100,100*(I872-PARAMS_MODELO!$B$18)/(PARAMS_MODELO!$B$19-PARAMS_MODELO!$B$18)))*PARAMS_MODELO!$B$9</f>
        <v>0</v>
      </c>
      <c r="K872" s="5">
        <f>IFERROR(CHOOSE(MATCH(PARAMS_MODELO!$B$2,{"Q1","Q2","Q3"},0),LOTO!$D872,LOTO!$F872,LOTO!$H872),0)</f>
        <v>1617500</v>
      </c>
      <c r="L872" s="8">
        <f t="shared" si="314"/>
        <v>4.6394833196018011E-2</v>
      </c>
      <c r="M872" s="5">
        <f>MIN(100,IF(PARAMS_MODELO!$B$23=0,0,100*L872/PARAMS_MODELO!$B$23))*PARAMS_MODELO!$B$10</f>
        <v>13.918449958805404</v>
      </c>
      <c r="N872" s="5">
        <f>IFERROR(VLOOKUP(A872,COMPLIANCE!$A$2:$F$1996,6,0),100)</f>
        <v>100</v>
      </c>
      <c r="O872" s="5">
        <f>N872*PARAMS_MODELO!$B$11</f>
        <v>10</v>
      </c>
      <c r="P872" s="5">
        <f>IFERROR(VLOOKUP(A872,DIGITAL!$A$2:$J$2000,7,0),100)</f>
        <v>27</v>
      </c>
      <c r="Q872" s="5">
        <f>IFERROR(P872,0)*PARAMS_MODELO!$B$12</f>
        <v>2.7</v>
      </c>
      <c r="R872">
        <f t="shared" si="315"/>
        <v>26.618449958805403</v>
      </c>
      <c r="S872" s="5" t="str">
        <f>IFERROR(VLOOKUP(A872,CLIENTE!$A$2:$N$2000,13,0),1)</f>
        <v>Bueno</v>
      </c>
      <c r="T872" s="5">
        <f>IFERROR(VLOOKUP(A872,CLIENTE!$A$2:$N$2000,14,0),1)</f>
        <v>1.1000000000000001</v>
      </c>
      <c r="U872" s="5">
        <f t="shared" si="316"/>
        <v>29.280294954685946</v>
      </c>
      <c r="V872" s="5" t="str">
        <f>IF(U872&gt;=MAX(_xlfn.PERCENTILE.INC($U$2:$U$1194,PARAMS_MODELO!$B$50),PARAMS_MODELO!$B$45),"DIAMANTE",IF(U872&gt;=MAX(_xlfn.PERCENTILE.INC($U$2:$U$1194,PARAMS_MODELO!$B$51),PARAMS_MODELO!$B$46),"PLATINO",IF(U872&gt;=MAX(_xlfn.PERCENTILE.INC($U$2:$U$1194,PARAMS_MODELO!$B$52),PARAMS_MODELO!$B$47),"ORO",IF(U872&gt;=MAX(_xlfn.PERCENTILE.INC($U$2:$U$1194,PARAMS_MODELO!$B$53),PARAMS_MODELO!$B$48),"PLATA",IF(U872&gt;=1,"BRONCE","CERRADO")))))</f>
        <v>PLATA</v>
      </c>
      <c r="W872" s="5" t="str" cm="1">
        <f t="array" ref="W872">_xlfn.XLOOKUP(1, (HIST_SCORE!$B:$B=PARAMS_MODELO!$B$4) * (HIST_SCORE!$C:$C=A872), HIST_SCORE!$E:$E, "No encontrado")</f>
        <v>PLATA</v>
      </c>
      <c r="X872" s="5" t="str">
        <f>_xlfn.LET(_xlpm.act,MATCH(V872,{"DIAMANTE";"PLATINO";"ORO";"PLATA";"BRONCE";"CERRADO"},0),_xlpm.ant,MATCH(W872,{"DIAMANTE";"PLATINO";"ORO";"PLATA";"BRONCE";"CERRADO"},0),IF(_xlpm.act&lt;_xlpm.ant,"Mejora ↑",IF(_xlpm.act&gt;_xlpm.ant,"Baja ↓","Estable →")))</f>
        <v>Estable →</v>
      </c>
      <c r="Y872" s="5">
        <f>IFERROR(U872-SUMIFS(HIST_SCORE!$D:$D,HIST_SCORE!$B:$B,PARAMS_MODELO!$B$4,HIST_SCORE!$C:$C,$A872),"")</f>
        <v>0.65768601649249803</v>
      </c>
      <c r="Z872" s="5" t="str">
        <f t="shared" si="317"/>
        <v>→ Estable</v>
      </c>
      <c r="AA872" s="5">
        <f t="shared" si="318"/>
        <v>874</v>
      </c>
      <c r="AB872" s="5">
        <f>IFERROR(SUMIFS(HIST_SCORE!$F:$F,HIST_SCORE!$B:$B,PARAMS_MODELO!$B$4,HIST_SCORE!$C:$C,$A872),"")</f>
        <v>921</v>
      </c>
      <c r="AC872" s="5">
        <f t="shared" si="319"/>
        <v>47</v>
      </c>
      <c r="AD872" t="str">
        <f t="shared" si="321"/>
        <v/>
      </c>
      <c r="AE8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872="CERRADO",1,IF(V872="BRONCE",_xlpm.cPl,IF(V872="PLATA",_xlpm.cO,IF(V872="ORO",_xlpm.cP,IF(V872="PLATINO",_xlpm.cD,999))))))</f>
        <v>63.199193273331495</v>
      </c>
      <c r="AF8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872="CERRADO",0,IF(V872="BRONCE",1,IF(V872="PLATA",_xlpm.cPl,IF(V872="ORO",_xlpm.cO,IF(V872="PLATINO",_xlpm.cP,_xlpm.cD))))))</f>
        <v>24.506573482968111</v>
      </c>
      <c r="AG872">
        <f t="shared" si="322"/>
        <v>30.835362107859591</v>
      </c>
      <c r="AH872" t="str">
        <f t="shared" si="323"/>
        <v>VENTAS</v>
      </c>
      <c r="AI872" t="str">
        <f t="shared" si="320"/>
        <v>🎯 Para subir de categoría, eje VENTAS / CRECIMIENTO PERSONAL (F). Acción: metas semanales + activación comercial + seguimiento del asesor. ΔR aprox: 30,8</v>
      </c>
      <c r="AJ872" s="26">
        <f>_xlfn.LET(_xlpm.piso,AF872,_xlpm.corte,AE872,_xlpm.prog,IF(_xlpm.corte&lt;=_xlpm.piso,0,MAX(0,MIN(1,(U872-_xlpm.piso)/(_xlpm.corte-_xlpm.piso)))),_xlpm.orden,{"DIAMANTE";"PLATINO";"ORO";"PLATA";"BRONCE";"CERRADO"},_xlpm.act,IFERROR(MATCH(V872,_xlpm.orden,0),6),_xlpm.ant,IFERROR(MATCH(W872,_xlpm.orden,0),6),_xlpm.ajmov,IF(_xlpm.act&lt;_xlpm.ant,0.08,IF(_xlpm.act&gt;_xlpm.ant,-0.08,0)),_xlpm.ajcli,IF(T872&lt;0.95,-0.06,0),_xlpm.prob,MAX(0,MIN(1,_xlpm.prog+_xlpm.ajmov+_xlpm.ajcli)),IF(OR(V872="DIAMANTE",V872="CERRADO"),0,ROUND(_xlpm.prob,2)))</f>
        <v>0.12</v>
      </c>
      <c r="AK872" t="str">
        <f t="shared" si="324"/>
        <v>Faltan 30,8 puntos base para subir a la siguiente categoría</v>
      </c>
      <c r="AL872" t="str">
        <f t="shared" si="325"/>
        <v>Margen de seguridad: 4,8 puntos</v>
      </c>
      <c r="AM872">
        <f t="shared" si="326"/>
        <v>0.75</v>
      </c>
      <c r="AN872" t="str">
        <f t="shared" si="327"/>
        <v>PRIORIDAD ALTA – requiere intervención inmediata</v>
      </c>
      <c r="AO872">
        <f t="shared" si="328"/>
        <v>71.348826202825151</v>
      </c>
      <c r="AP872">
        <f t="shared" si="329"/>
        <v>1.1897050453140559</v>
      </c>
      <c r="AQ872">
        <f t="shared" si="330"/>
        <v>0</v>
      </c>
      <c r="AR872">
        <f t="shared" si="331"/>
        <v>8.0300000000000011</v>
      </c>
      <c r="AS872">
        <f t="shared" si="332"/>
        <v>0</v>
      </c>
      <c r="AT872" t="str">
        <f t="shared" si="333"/>
        <v>VENTAS</v>
      </c>
      <c r="AU872">
        <f t="shared" si="334"/>
        <v>71.348826202825151</v>
      </c>
      <c r="AV872" t="str">
        <f t="shared" si="335"/>
        <v>Mayor retorno probable: VENTAS (+71,3 puntos finales potenciales).</v>
      </c>
    </row>
    <row r="873" spans="1:48" x14ac:dyDescent="0.3">
      <c r="A873" s="5">
        <v>51005392</v>
      </c>
      <c r="B873" s="5" t="str">
        <f>IFERROR(VLOOKUP(A873,VENTAS!$A$2:$B$1194,2,0),"")</f>
        <v>ARGUELLO</v>
      </c>
      <c r="C873" s="5">
        <f>IFERROR(INDEX(VENTAS!$C$2:$E$1194,MATCH(A873,VENTAS!$A$2:$A$1194,0),MATCH(PARAMS_MODELO!$B$2,{"Q1","Q2","Q3"},0)),0)</f>
        <v>37691211</v>
      </c>
      <c r="D873" s="5">
        <f>IFERROR(INDEX(VENTAS!$F$2:$H$1194,MATCH(A873,VENTAS!$A$2:$A$1194,0),MATCH(PARAMS_MODELO!$B$2,{"Q1","Q2","Q3"},0)),0)</f>
        <v>34838174</v>
      </c>
      <c r="E873" s="8">
        <f t="shared" si="312"/>
        <v>-7.5695020783492439E-2</v>
      </c>
      <c r="F873" s="12">
        <f>IF(E873&lt;=PARAMS_MODELO!$B$15,0,IF(E873&gt;=PARAMS_MODELO!$B$17,100,100*MIN(1,(E873-PARAMS_MODELO!$B$15)/(PARAMS_MODELO!$B$16-PARAMS_MODELO!$B$15))))*PARAMS_MODELO!$B$7</f>
        <v>0</v>
      </c>
      <c r="G873" s="5">
        <f t="shared" si="313"/>
        <v>0</v>
      </c>
      <c r="H873" s="5">
        <f>(PARAMS_MODELO!$B$20*(MAX(0,MIN(3,E873))/3)+PARAMS_MODELO!$B$21*(IFERROR(LN(1+MAX(0,G873))/LN(1+MAX(0,MAX($G$2:$G$1194))),0)))*100*PARAMS_MODELO!$B$8</f>
        <v>0</v>
      </c>
      <c r="I873" s="8">
        <f>E873-PARAMS_MODELO!$B$5</f>
        <v>-0.25325785615901897</v>
      </c>
      <c r="J873" s="5">
        <f>IF(I873&lt;=PARAMS_MODELO!$B$18,0,IF(I873&gt;=PARAMS_MODELO!$B$19,100,100*(I873-PARAMS_MODELO!$B$18)/(PARAMS_MODELO!$B$19-PARAMS_MODELO!$B$18)))*PARAMS_MODELO!$B$9</f>
        <v>0</v>
      </c>
      <c r="K873" s="5">
        <f>IFERROR(CHOOSE(MATCH(PARAMS_MODELO!$B$2,{"Q1","Q2","Q3"},0),LOTO!$D873,LOTO!$F873,LOTO!$H873),0)</f>
        <v>1615000</v>
      </c>
      <c r="L873" s="8">
        <f t="shared" si="314"/>
        <v>4.6357194266266652E-2</v>
      </c>
      <c r="M873" s="5">
        <f>MIN(100,IF(PARAMS_MODELO!$B$23=0,0,100*L873/PARAMS_MODELO!$B$23))*PARAMS_MODELO!$B$10</f>
        <v>13.907158279879996</v>
      </c>
      <c r="N873" s="5">
        <f>IFERROR(VLOOKUP(A873,COMPLIANCE!$A$2:$F$1996,6,0),100)</f>
        <v>99.98</v>
      </c>
      <c r="O873" s="5">
        <f>N873*PARAMS_MODELO!$B$11</f>
        <v>9.9980000000000011</v>
      </c>
      <c r="P873" s="5">
        <f>IFERROR(VLOOKUP(A873,DIGITAL!$A$2:$J$2000,7,0),100)</f>
        <v>100</v>
      </c>
      <c r="Q873" s="5">
        <f>IFERROR(P873,0)*PARAMS_MODELO!$B$12</f>
        <v>10</v>
      </c>
      <c r="R873">
        <f t="shared" si="315"/>
        <v>33.905158279879998</v>
      </c>
      <c r="S873" s="5" t="str">
        <f>IFERROR(VLOOKUP(A873,CLIENTE!$A$2:$N$2000,13,0),1)</f>
        <v>Regular</v>
      </c>
      <c r="T873" s="5">
        <f>IFERROR(VLOOKUP(A873,CLIENTE!$A$2:$N$2000,14,0),1)</f>
        <v>1</v>
      </c>
      <c r="U873" s="5">
        <f t="shared" si="316"/>
        <v>33.905158279879998</v>
      </c>
      <c r="V873" s="5" t="str">
        <f>IF(U873&gt;=MAX(_xlfn.PERCENTILE.INC($U$2:$U$1194,PARAMS_MODELO!$B$50),PARAMS_MODELO!$B$45),"DIAMANTE",IF(U873&gt;=MAX(_xlfn.PERCENTILE.INC($U$2:$U$1194,PARAMS_MODELO!$B$51),PARAMS_MODELO!$B$46),"PLATINO",IF(U873&gt;=MAX(_xlfn.PERCENTILE.INC($U$2:$U$1194,PARAMS_MODELO!$B$52),PARAMS_MODELO!$B$47),"ORO",IF(U873&gt;=MAX(_xlfn.PERCENTILE.INC($U$2:$U$1194,PARAMS_MODELO!$B$53),PARAMS_MODELO!$B$48),"PLATA",IF(U873&gt;=1,"BRONCE","CERRADO")))))</f>
        <v>PLATA</v>
      </c>
      <c r="W873" s="5" t="str" cm="1">
        <f t="array" ref="W873">_xlfn.XLOOKUP(1, (HIST_SCORE!$B:$B=PARAMS_MODELO!$B$4) * (HIST_SCORE!$C:$C=A873), HIST_SCORE!$E:$E, "No encontrado")</f>
        <v>ORO</v>
      </c>
      <c r="X873" s="5" t="str">
        <f>_xlfn.LET(_xlpm.act,MATCH(V873,{"DIAMANTE";"PLATINO";"ORO";"PLATA";"BRONCE";"CERRADO"},0),_xlpm.ant,MATCH(W873,{"DIAMANTE";"PLATINO";"ORO";"PLATA";"BRONCE";"CERRADO"},0),IF(_xlpm.act&lt;_xlpm.ant,"Mejora ↑",IF(_xlpm.act&gt;_xlpm.ant,"Baja ↓","Estable →")))</f>
        <v>Baja ↓</v>
      </c>
      <c r="Y873" s="5">
        <f>IFERROR(U873-SUMIFS(HIST_SCORE!$D:$D,HIST_SCORE!$B:$B,PARAMS_MODELO!$B$4,HIST_SCORE!$C:$C,$A873),"")</f>
        <v>-46.801533487217611</v>
      </c>
      <c r="Z873" s="5" t="str">
        <f t="shared" si="317"/>
        <v>↓ Baja</v>
      </c>
      <c r="AA873" s="5">
        <f t="shared" si="318"/>
        <v>815</v>
      </c>
      <c r="AB873" s="5">
        <f>IFERROR(SUMIFS(HIST_SCORE!$F:$F,HIST_SCORE!$B:$B,PARAMS_MODELO!$B$4,HIST_SCORE!$C:$C,$A873),"")</f>
        <v>401</v>
      </c>
      <c r="AC873" s="5">
        <f t="shared" si="319"/>
        <v>-414</v>
      </c>
      <c r="AD873" t="str">
        <f t="shared" si="321"/>
        <v/>
      </c>
      <c r="AE8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873="CERRADO",1,IF(V873="BRONCE",_xlpm.cPl,IF(V873="PLATA",_xlpm.cO,IF(V873="ORO",_xlpm.cP,IF(V873="PLATINO",_xlpm.cD,999))))))</f>
        <v>63.199193273331495</v>
      </c>
      <c r="AF8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873="CERRADO",0,IF(V873="BRONCE",1,IF(V873="PLATA",_xlpm.cPl,IF(V873="ORO",_xlpm.cO,IF(V873="PLATINO",_xlpm.cP,_xlpm.cD))))))</f>
        <v>24.506573482968111</v>
      </c>
      <c r="AG873">
        <f t="shared" si="322"/>
        <v>29.294034993451497</v>
      </c>
      <c r="AH873" t="str">
        <f t="shared" si="323"/>
        <v>VENTAS</v>
      </c>
      <c r="AI873" t="str">
        <f t="shared" si="320"/>
        <v>🎯 Para subir de categoría, eje VENTAS / CRECIMIENTO PERSONAL (F). Acción: metas semanales + activación comercial + seguimiento del asesor. ΔR aprox: 29,3</v>
      </c>
      <c r="AJ873" s="26">
        <f>_xlfn.LET(_xlpm.piso,AF873,_xlpm.corte,AE873,_xlpm.prog,IF(_xlpm.corte&lt;=_xlpm.piso,0,MAX(0,MIN(1,(U873-_xlpm.piso)/(_xlpm.corte-_xlpm.piso)))),_xlpm.orden,{"DIAMANTE";"PLATINO";"ORO";"PLATA";"BRONCE";"CERRADO"},_xlpm.act,IFERROR(MATCH(V873,_xlpm.orden,0),6),_xlpm.ant,IFERROR(MATCH(W873,_xlpm.orden,0),6),_xlpm.ajmov,IF(_xlpm.act&lt;_xlpm.ant,0.08,IF(_xlpm.act&gt;_xlpm.ant,-0.08,0)),_xlpm.ajcli,IF(T873&lt;0.95,-0.06,0),_xlpm.prob,MAX(0,MIN(1,_xlpm.prog+_xlpm.ajmov+_xlpm.ajcli)),IF(OR(V873="DIAMANTE",V873="CERRADO"),0,ROUND(_xlpm.prob,2)))</f>
        <v>0.16</v>
      </c>
      <c r="AK873" t="str">
        <f t="shared" si="324"/>
        <v>Faltan 29,3 puntos base para subir a la siguiente categoría</v>
      </c>
      <c r="AL873" t="str">
        <f t="shared" si="325"/>
        <v>Margen de seguridad: 9,4 puntos</v>
      </c>
      <c r="AM873">
        <f t="shared" si="326"/>
        <v>0.74</v>
      </c>
      <c r="AN873" t="str">
        <f t="shared" si="327"/>
        <v>PRIORIDAD ALTA – requiere intervención inmediata</v>
      </c>
      <c r="AO873">
        <f t="shared" si="328"/>
        <v>64.862569275295584</v>
      </c>
      <c r="AP873">
        <f t="shared" si="329"/>
        <v>1.0928417201200045</v>
      </c>
      <c r="AQ873">
        <f t="shared" si="330"/>
        <v>1.9999999999988916E-3</v>
      </c>
      <c r="AR873">
        <f t="shared" si="331"/>
        <v>0</v>
      </c>
      <c r="AS873">
        <f t="shared" si="332"/>
        <v>0</v>
      </c>
      <c r="AT873" t="str">
        <f t="shared" si="333"/>
        <v>VENTAS</v>
      </c>
      <c r="AU873">
        <f t="shared" si="334"/>
        <v>64.862569275295584</v>
      </c>
      <c r="AV873" t="str">
        <f t="shared" si="335"/>
        <v>Mayor retorno probable: VENTAS (+64,9 puntos finales potenciales).</v>
      </c>
    </row>
    <row r="874" spans="1:48" x14ac:dyDescent="0.3">
      <c r="A874" s="5">
        <v>51023153</v>
      </c>
      <c r="B874" s="5" t="str">
        <f>IFERROR(VLOOKUP(A874,VENTAS!$A$2:$B$1194,2,0),"")</f>
        <v>AYALA</v>
      </c>
      <c r="C874" s="5">
        <f>IFERROR(INDEX(VENTAS!$C$2:$E$1194,MATCH(A874,VENTAS!$A$2:$A$1194,0),MATCH(PARAMS_MODELO!$B$2,{"Q1","Q2","Q3"},0)),0)</f>
        <v>33291164.640000001</v>
      </c>
      <c r="D874" s="5">
        <f>IFERROR(INDEX(VENTAS!$F$2:$H$1194,MATCH(A874,VENTAS!$A$2:$A$1194,0),MATCH(PARAMS_MODELO!$B$2,{"Q1","Q2","Q3"},0)),0)</f>
        <v>34805046</v>
      </c>
      <c r="E874" s="8">
        <f t="shared" si="312"/>
        <v>4.5473968134507325E-2</v>
      </c>
      <c r="F874" s="12">
        <f>IF(E874&lt;=PARAMS_MODELO!$B$15,0,IF(E874&gt;=PARAMS_MODELO!$B$17,100,100*MIN(1,(E874-PARAMS_MODELO!$B$15)/(PARAMS_MODELO!$B$16-PARAMS_MODELO!$B$15))))*PARAMS_MODELO!$B$7</f>
        <v>15.915888847077563</v>
      </c>
      <c r="G874" s="5">
        <f t="shared" si="313"/>
        <v>1513881.3599999994</v>
      </c>
      <c r="H874" s="5">
        <f>(PARAMS_MODELO!$B$20*(MAX(0,MIN(3,E874))/3)+PARAMS_MODELO!$B$21*(IFERROR(LN(1+MAX(0,G874))/LN(1+MAX(0,MAX($G$2:$G$1194))),0)))*100*PARAMS_MODELO!$B$8</f>
        <v>3.4949136209610558</v>
      </c>
      <c r="I874" s="8">
        <f>E874-PARAMS_MODELO!$B$5</f>
        <v>-0.1320888672410192</v>
      </c>
      <c r="J874" s="5">
        <f>IF(I874&lt;=PARAMS_MODELO!$B$18,0,IF(I874&gt;=PARAMS_MODELO!$B$19,100,100*(I874-PARAMS_MODELO!$B$18)/(PARAMS_MODELO!$B$19-PARAMS_MODELO!$B$18)))*PARAMS_MODELO!$B$9</f>
        <v>0</v>
      </c>
      <c r="K874" s="5">
        <f>IFERROR(CHOOSE(MATCH(PARAMS_MODELO!$B$2,{"Q1","Q2","Q3"},0),LOTO!$D874,LOTO!$F874,LOTO!$H874),0)</f>
        <v>1612500</v>
      </c>
      <c r="L874" s="8">
        <f t="shared" si="314"/>
        <v>4.632948912062923E-2</v>
      </c>
      <c r="M874" s="5">
        <f>MIN(100,IF(PARAMS_MODELO!$B$23=0,0,100*L874/PARAMS_MODELO!$B$23))*PARAMS_MODELO!$B$10</f>
        <v>13.898846736188768</v>
      </c>
      <c r="N874" s="5">
        <f>IFERROR(VLOOKUP(A874,COMPLIANCE!$A$2:$F$1996,6,0),100)</f>
        <v>100</v>
      </c>
      <c r="O874" s="5">
        <f>N874*PARAMS_MODELO!$B$11</f>
        <v>10</v>
      </c>
      <c r="P874" s="5">
        <f>IFERROR(VLOOKUP(A874,DIGITAL!$A$2:$J$2000,7,0),100)</f>
        <v>21</v>
      </c>
      <c r="Q874" s="5">
        <f>IFERROR(P874,0)*PARAMS_MODELO!$B$12</f>
        <v>2.1</v>
      </c>
      <c r="R874">
        <f t="shared" si="315"/>
        <v>45.409649204227385</v>
      </c>
      <c r="S874" s="5" t="str">
        <f>IFERROR(VLOOKUP(A874,CLIENTE!$A$2:$N$2000,13,0),1)</f>
        <v>Regular</v>
      </c>
      <c r="T874" s="5">
        <f>IFERROR(VLOOKUP(A874,CLIENTE!$A$2:$N$2000,14,0),1)</f>
        <v>1</v>
      </c>
      <c r="U874" s="5">
        <f t="shared" si="316"/>
        <v>45.409649204227385</v>
      </c>
      <c r="V874" s="5" t="str">
        <f>IF(U874&gt;=MAX(_xlfn.PERCENTILE.INC($U$2:$U$1194,PARAMS_MODELO!$B$50),PARAMS_MODELO!$B$45),"DIAMANTE",IF(U874&gt;=MAX(_xlfn.PERCENTILE.INC($U$2:$U$1194,PARAMS_MODELO!$B$51),PARAMS_MODELO!$B$46),"PLATINO",IF(U874&gt;=MAX(_xlfn.PERCENTILE.INC($U$2:$U$1194,PARAMS_MODELO!$B$52),PARAMS_MODELO!$B$47),"ORO",IF(U874&gt;=MAX(_xlfn.PERCENTILE.INC($U$2:$U$1194,PARAMS_MODELO!$B$53),PARAMS_MODELO!$B$48),"PLATA",IF(U874&gt;=1,"BRONCE","CERRADO")))))</f>
        <v>PLATA</v>
      </c>
      <c r="W874" s="5" t="str" cm="1">
        <f t="array" ref="W874">_xlfn.XLOOKUP(1, (HIST_SCORE!$B:$B=PARAMS_MODELO!$B$4) * (HIST_SCORE!$C:$C=A874), HIST_SCORE!$E:$E, "No encontrado")</f>
        <v>ORO</v>
      </c>
      <c r="X874" s="5" t="str">
        <f>_xlfn.LET(_xlpm.act,MATCH(V874,{"DIAMANTE";"PLATINO";"ORO";"PLATA";"BRONCE";"CERRADO"},0),_xlpm.ant,MATCH(W874,{"DIAMANTE";"PLATINO";"ORO";"PLATA";"BRONCE";"CERRADO"},0),IF(_xlpm.act&lt;_xlpm.ant,"Mejora ↑",IF(_xlpm.act&gt;_xlpm.ant,"Baja ↓","Estable →")))</f>
        <v>Baja ↓</v>
      </c>
      <c r="Y874" s="5">
        <f>IFERROR(U874-SUMIFS(HIST_SCORE!$D:$D,HIST_SCORE!$B:$B,PARAMS_MODELO!$B$4,HIST_SCORE!$C:$C,$A874),"")</f>
        <v>-17.361169930413638</v>
      </c>
      <c r="Z874" s="5" t="str">
        <f t="shared" si="317"/>
        <v>↓ Baja</v>
      </c>
      <c r="AA874" s="5">
        <f t="shared" si="318"/>
        <v>771</v>
      </c>
      <c r="AB874" s="5">
        <f>IFERROR(SUMIFS(HIST_SCORE!$F:$F,HIST_SCORE!$B:$B,PARAMS_MODELO!$B$4,HIST_SCORE!$C:$C,$A874),"")</f>
        <v>593</v>
      </c>
      <c r="AC874" s="5">
        <f t="shared" si="319"/>
        <v>-178</v>
      </c>
      <c r="AD874" t="str">
        <f t="shared" si="321"/>
        <v/>
      </c>
      <c r="AE8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874="CERRADO",1,IF(V874="BRONCE",_xlpm.cPl,IF(V874="PLATA",_xlpm.cO,IF(V874="ORO",_xlpm.cP,IF(V874="PLATINO",_xlpm.cD,999))))))</f>
        <v>63.199193273331495</v>
      </c>
      <c r="AF8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874="CERRADO",0,IF(V874="BRONCE",1,IF(V874="PLATA",_xlpm.cPl,IF(V874="ORO",_xlpm.cO,IF(V874="PLATINO",_xlpm.cP,_xlpm.cD))))))</f>
        <v>24.506573482968111</v>
      </c>
      <c r="AG874">
        <f t="shared" si="322"/>
        <v>17.78954406910411</v>
      </c>
      <c r="AH874" t="str">
        <f t="shared" si="323"/>
        <v>VENTAS</v>
      </c>
      <c r="AI874" t="str">
        <f t="shared" si="320"/>
        <v>🎯 Para subir de categoría, eje VENTAS / DIFERENCIAL vs LOTBA (J). Acción: metas semanales + activación comercial + seguimiento del asesor. ΔR aprox: 17,8</v>
      </c>
      <c r="AJ874" s="26">
        <f>_xlfn.LET(_xlpm.piso,AF874,_xlpm.corte,AE874,_xlpm.prog,IF(_xlpm.corte&lt;=_xlpm.piso,0,MAX(0,MIN(1,(U874-_xlpm.piso)/(_xlpm.corte-_xlpm.piso)))),_xlpm.orden,{"DIAMANTE";"PLATINO";"ORO";"PLATA";"BRONCE";"CERRADO"},_xlpm.act,IFERROR(MATCH(V874,_xlpm.orden,0),6),_xlpm.ant,IFERROR(MATCH(W874,_xlpm.orden,0),6),_xlpm.ajmov,IF(_xlpm.act&lt;_xlpm.ant,0.08,IF(_xlpm.act&gt;_xlpm.ant,-0.08,0)),_xlpm.ajcli,IF(T874&lt;0.95,-0.06,0),_xlpm.prob,MAX(0,MIN(1,_xlpm.prog+_xlpm.ajmov+_xlpm.ajcli)),IF(OR(V874="DIAMANTE",V874="CERRADO"),0,ROUND(_xlpm.prob,2)))</f>
        <v>0.46</v>
      </c>
      <c r="AK874" t="str">
        <f t="shared" si="324"/>
        <v>Faltan 17,8 puntos base para subir a la siguiente categoría</v>
      </c>
      <c r="AL874" t="str">
        <f t="shared" si="325"/>
        <v>Margen de seguridad: 20,9 puntos</v>
      </c>
      <c r="AM874">
        <f t="shared" si="326"/>
        <v>0.62</v>
      </c>
      <c r="AN874" t="str">
        <f t="shared" si="327"/>
        <v>PRIORIDAD MEDIA – seguimiento del asesor</v>
      </c>
      <c r="AO874">
        <f t="shared" si="328"/>
        <v>45.451766807256966</v>
      </c>
      <c r="AP874">
        <f t="shared" si="329"/>
        <v>1.1011532638112325</v>
      </c>
      <c r="AQ874">
        <f t="shared" si="330"/>
        <v>0</v>
      </c>
      <c r="AR874">
        <f t="shared" si="331"/>
        <v>7.9</v>
      </c>
      <c r="AS874">
        <f t="shared" si="332"/>
        <v>0</v>
      </c>
      <c r="AT874" t="str">
        <f t="shared" si="333"/>
        <v>VENTAS</v>
      </c>
      <c r="AU874">
        <f t="shared" si="334"/>
        <v>45.451766807256966</v>
      </c>
      <c r="AV874" t="str">
        <f t="shared" si="335"/>
        <v>Mayor retorno probable: VENTAS (+45,5 puntos finales potenciales).</v>
      </c>
    </row>
    <row r="875" spans="1:48" x14ac:dyDescent="0.3">
      <c r="A875" s="5">
        <v>51024095</v>
      </c>
      <c r="B875" s="5" t="str">
        <f>IFERROR(VLOOKUP(A875,VENTAS!$A$2:$B$1194,2,0),"")</f>
        <v>CICHETTO</v>
      </c>
      <c r="C875" s="5">
        <f>IFERROR(INDEX(VENTAS!$C$2:$E$1194,MATCH(A875,VENTAS!$A$2:$A$1194,0),MATCH(PARAMS_MODELO!$B$2,{"Q1","Q2","Q3"},0)),0)</f>
        <v>28946515.710000001</v>
      </c>
      <c r="D875" s="5">
        <f>IFERROR(INDEX(VENTAS!$F$2:$H$1194,MATCH(A875,VENTAS!$A$2:$A$1194,0),MATCH(PARAMS_MODELO!$B$2,{"Q1","Q2","Q3"},0)),0)</f>
        <v>34760923</v>
      </c>
      <c r="E875" s="8">
        <f t="shared" si="312"/>
        <v>0.20086725975075903</v>
      </c>
      <c r="F875" s="12">
        <f>IF(E875&lt;=PARAMS_MODELO!$B$15,0,IF(E875&gt;=PARAMS_MODELO!$B$17,100,100*MIN(1,(E875-PARAMS_MODELO!$B$15)/(PARAMS_MODELO!$B$16-PARAMS_MODELO!$B$15))))*PARAMS_MODELO!$B$7</f>
        <v>35</v>
      </c>
      <c r="G875" s="5">
        <f t="shared" si="313"/>
        <v>5814407.2899999991</v>
      </c>
      <c r="H875" s="5">
        <f>(PARAMS_MODELO!$B$20*(MAX(0,MIN(3,E875))/3)+PARAMS_MODELO!$B$21*(IFERROR(LN(1+MAX(0,G875))/LN(1+MAX(0,MAX($G$2:$G$1194))),0)))*100*PARAMS_MODELO!$B$8</f>
        <v>4.354232001037138</v>
      </c>
      <c r="I875" s="8">
        <f>E875-PARAMS_MODELO!$B$5</f>
        <v>2.3304424375232502E-2</v>
      </c>
      <c r="J875" s="5">
        <f>IF(I875&lt;=PARAMS_MODELO!$B$18,0,IF(I875&gt;=PARAMS_MODELO!$B$19,100,100*(I875-PARAMS_MODELO!$B$18)/(PARAMS_MODELO!$B$19-PARAMS_MODELO!$B$18)))*PARAMS_MODELO!$B$9</f>
        <v>10.995663656284874</v>
      </c>
      <c r="K875" s="5">
        <f>IFERROR(CHOOSE(MATCH(PARAMS_MODELO!$B$2,{"Q1","Q2","Q3"},0),LOTO!$D875,LOTO!$F875,LOTO!$H875),0)</f>
        <v>1610000</v>
      </c>
      <c r="L875" s="8">
        <f t="shared" si="314"/>
        <v>4.6316376581830118E-2</v>
      </c>
      <c r="M875" s="5">
        <f>MIN(100,IF(PARAMS_MODELO!$B$23=0,0,100*L875/PARAMS_MODELO!$B$23))*PARAMS_MODELO!$B$10</f>
        <v>13.894912974549033</v>
      </c>
      <c r="N875" s="5">
        <f>IFERROR(VLOOKUP(A875,COMPLIANCE!$A$2:$F$1996,6,0),100)</f>
        <v>99.4</v>
      </c>
      <c r="O875" s="5">
        <f>N875*PARAMS_MODELO!$B$11</f>
        <v>9.9400000000000013</v>
      </c>
      <c r="P875" s="5">
        <f>IFERROR(VLOOKUP(A875,DIGITAL!$A$2:$J$2000,7,0),100)</f>
        <v>34</v>
      </c>
      <c r="Q875" s="5">
        <f>IFERROR(P875,0)*PARAMS_MODELO!$B$12</f>
        <v>3.4000000000000004</v>
      </c>
      <c r="R875">
        <f t="shared" si="315"/>
        <v>77.584808631871056</v>
      </c>
      <c r="S875" s="5" t="str">
        <f>IFERROR(VLOOKUP(A875,CLIENTE!$A$2:$N$2000,13,0),1)</f>
        <v>Muy Bueno</v>
      </c>
      <c r="T875" s="5">
        <f>IFERROR(VLOOKUP(A875,CLIENTE!$A$2:$N$2000,14,0),1)</f>
        <v>1.1499999999999999</v>
      </c>
      <c r="U875" s="5">
        <f t="shared" si="316"/>
        <v>89.222529926651703</v>
      </c>
      <c r="V875" s="5" t="str">
        <f>IF(U875&gt;=MAX(_xlfn.PERCENTILE.INC($U$2:$U$1194,PARAMS_MODELO!$B$50),PARAMS_MODELO!$B$45),"DIAMANTE",IF(U875&gt;=MAX(_xlfn.PERCENTILE.INC($U$2:$U$1194,PARAMS_MODELO!$B$51),PARAMS_MODELO!$B$46),"PLATINO",IF(U875&gt;=MAX(_xlfn.PERCENTILE.INC($U$2:$U$1194,PARAMS_MODELO!$B$52),PARAMS_MODELO!$B$47),"ORO",IF(U875&gt;=MAX(_xlfn.PERCENTILE.INC($U$2:$U$1194,PARAMS_MODELO!$B$53),PARAMS_MODELO!$B$48),"PLATA",IF(U875&gt;=1,"BRONCE","CERRADO")))))</f>
        <v>PLATINO</v>
      </c>
      <c r="W875" s="5" t="str" cm="1">
        <f t="array" ref="W875">_xlfn.XLOOKUP(1, (HIST_SCORE!$B:$B=PARAMS_MODELO!$B$4) * (HIST_SCORE!$C:$C=A875), HIST_SCORE!$E:$E, "No encontrado")</f>
        <v>PLATINO</v>
      </c>
      <c r="X875" s="5" t="str">
        <f>_xlfn.LET(_xlpm.act,MATCH(V875,{"DIAMANTE";"PLATINO";"ORO";"PLATA";"BRONCE";"CERRADO"},0),_xlpm.ant,MATCH(W875,{"DIAMANTE";"PLATINO";"ORO";"PLATA";"BRONCE";"CERRADO"},0),IF(_xlpm.act&lt;_xlpm.ant,"Mejora ↑",IF(_xlpm.act&gt;_xlpm.ant,"Baja ↓","Estable →")))</f>
        <v>Estable →</v>
      </c>
      <c r="Y875" s="5">
        <f>IFERROR(U875-SUMIFS(HIST_SCORE!$D:$D,HIST_SCORE!$B:$B,PARAMS_MODELO!$B$4,HIST_SCORE!$C:$C,$A875),"")</f>
        <v>-5.9589948241617634</v>
      </c>
      <c r="Z875" s="5" t="str">
        <f t="shared" si="317"/>
        <v>↓ Baja</v>
      </c>
      <c r="AA875" s="5">
        <f t="shared" si="318"/>
        <v>161</v>
      </c>
      <c r="AB875" s="5">
        <f>IFERROR(SUMIFS(HIST_SCORE!$F:$F,HIST_SCORE!$B:$B,PARAMS_MODELO!$B$4,HIST_SCORE!$C:$C,$A875),"")</f>
        <v>63</v>
      </c>
      <c r="AC875" s="5">
        <f t="shared" si="319"/>
        <v>-98</v>
      </c>
      <c r="AD875" t="str">
        <f t="shared" si="321"/>
        <v/>
      </c>
      <c r="AE8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875="CERRADO",1,IF(V875="BRONCE",_xlpm.cPl,IF(V875="PLATA",_xlpm.cO,IF(V875="ORO",_xlpm.cP,IF(V875="PLATINO",_xlpm.cD,999))))))</f>
        <v>96.054919694466676</v>
      </c>
      <c r="AF8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875="CERRADO",0,IF(V875="BRONCE",1,IF(V875="PLATA",_xlpm.cPl,IF(V875="ORO",_xlpm.cO,IF(V875="PLATINO",_xlpm.cP,_xlpm.cD))))))</f>
        <v>86.439123873763251</v>
      </c>
      <c r="AG875">
        <f t="shared" si="322"/>
        <v>5.9412084937521428</v>
      </c>
      <c r="AH875" t="str">
        <f t="shared" si="323"/>
        <v>VENTAS</v>
      </c>
      <c r="AI875" t="str">
        <f t="shared" si="320"/>
        <v>🎯 Para subir de categoría, eje VENTAS / IMPACTO ABSOLUTO (H). Acción: metas semanales + activación comercial + seguimiento del asesor. ΔR aprox: 5,9</v>
      </c>
      <c r="AJ875" s="26">
        <f>_xlfn.LET(_xlpm.piso,AF875,_xlpm.corte,AE875,_xlpm.prog,IF(_xlpm.corte&lt;=_xlpm.piso,0,MAX(0,MIN(1,(U875-_xlpm.piso)/(_xlpm.corte-_xlpm.piso)))),_xlpm.orden,{"DIAMANTE";"PLATINO";"ORO";"PLATA";"BRONCE";"CERRADO"},_xlpm.act,IFERROR(MATCH(V875,_xlpm.orden,0),6),_xlpm.ant,IFERROR(MATCH(W875,_xlpm.orden,0),6),_xlpm.ajmov,IF(_xlpm.act&lt;_xlpm.ant,0.08,IF(_xlpm.act&gt;_xlpm.ant,-0.08,0)),_xlpm.ajcli,IF(T875&lt;0.95,-0.06,0),_xlpm.prob,MAX(0,MIN(1,_xlpm.prog+_xlpm.ajmov+_xlpm.ajcli)),IF(OR(V875="DIAMANTE",V875="CERRADO"),0,ROUND(_xlpm.prob,2)))</f>
        <v>0.28999999999999998</v>
      </c>
      <c r="AK875" t="str">
        <f t="shared" si="324"/>
        <v>Faltan 5,9 puntos base para subir a la siguiente categoría</v>
      </c>
      <c r="AL875" t="str">
        <f t="shared" si="325"/>
        <v>Margen de seguridad: 2,8 puntos</v>
      </c>
      <c r="AM875">
        <f t="shared" si="326"/>
        <v>0.52</v>
      </c>
      <c r="AN875" t="str">
        <f t="shared" si="327"/>
        <v>PRIORIDAD MEDIA – seguimiento del asesor</v>
      </c>
      <c r="AO875">
        <f t="shared" si="328"/>
        <v>16.689574660669603</v>
      </c>
      <c r="AP875">
        <f t="shared" si="329"/>
        <v>1.2708500792686117</v>
      </c>
      <c r="AQ875">
        <f t="shared" si="330"/>
        <v>6.8999999999998521E-2</v>
      </c>
      <c r="AR875">
        <f t="shared" si="331"/>
        <v>7.589999999999999</v>
      </c>
      <c r="AS875">
        <f t="shared" si="332"/>
        <v>0</v>
      </c>
      <c r="AT875" t="str">
        <f t="shared" si="333"/>
        <v>VENTAS</v>
      </c>
      <c r="AU875">
        <f t="shared" si="334"/>
        <v>16.689574660669603</v>
      </c>
      <c r="AV875" t="str">
        <f t="shared" si="335"/>
        <v>Mayor retorno probable: VENTAS (+16,7 puntos finales potenciales).</v>
      </c>
    </row>
    <row r="876" spans="1:48" x14ac:dyDescent="0.3">
      <c r="A876" s="5">
        <v>51002024</v>
      </c>
      <c r="B876" s="5" t="str">
        <f>IFERROR(VLOOKUP(A876,VENTAS!$A$2:$B$1194,2,0),"")</f>
        <v>NELLI</v>
      </c>
      <c r="C876" s="5">
        <f>IFERROR(INDEX(VENTAS!$C$2:$E$1194,MATCH(A876,VENTAS!$A$2:$A$1194,0),MATCH(PARAMS_MODELO!$B$2,{"Q1","Q2","Q3"},0)),0)</f>
        <v>28222029.100000001</v>
      </c>
      <c r="D876" s="5">
        <f>IFERROR(INDEX(VENTAS!$F$2:$H$1194,MATCH(A876,VENTAS!$A$2:$A$1194,0),MATCH(PARAMS_MODELO!$B$2,{"Q1","Q2","Q3"},0)),0)</f>
        <v>34727520</v>
      </c>
      <c r="E876" s="8">
        <f t="shared" si="312"/>
        <v>0.23051109744621434</v>
      </c>
      <c r="F876" s="12">
        <f>IF(E876&lt;=PARAMS_MODELO!$B$15,0,IF(E876&gt;=PARAMS_MODELO!$B$17,100,100*MIN(1,(E876-PARAMS_MODELO!$B$15)/(PARAMS_MODELO!$B$16-PARAMS_MODELO!$B$15))))*PARAMS_MODELO!$B$7</f>
        <v>35</v>
      </c>
      <c r="G876" s="5">
        <f t="shared" si="313"/>
        <v>6505490.8999999985</v>
      </c>
      <c r="H876" s="5">
        <f>(PARAMS_MODELO!$B$20*(MAX(0,MIN(3,E876))/3)+PARAMS_MODELO!$B$21*(IFERROR(LN(1+MAX(0,G876))/LN(1+MAX(0,MAX($G$2:$G$1194))),0)))*100*PARAMS_MODELO!$B$8</f>
        <v>4.4843119264176616</v>
      </c>
      <c r="I876" s="8">
        <f>E876-PARAMS_MODELO!$B$5</f>
        <v>5.2948262070687813E-2</v>
      </c>
      <c r="J876" s="5">
        <f>IF(I876&lt;=PARAMS_MODELO!$B$18,0,IF(I876&gt;=PARAMS_MODELO!$B$19,100,100*(I876-PARAMS_MODELO!$B$18)/(PARAMS_MODELO!$B$19-PARAMS_MODELO!$B$18)))*PARAMS_MODELO!$B$9</f>
        <v>15</v>
      </c>
      <c r="K876" s="5">
        <f>IFERROR(CHOOSE(MATCH(PARAMS_MODELO!$B$2,{"Q1","Q2","Q3"},0),LOTO!$D876,LOTO!$F876,LOTO!$H876),0)</f>
        <v>1607500</v>
      </c>
      <c r="L876" s="8">
        <f t="shared" si="314"/>
        <v>4.6288937419084346E-2</v>
      </c>
      <c r="M876" s="5">
        <f>MIN(100,IF(PARAMS_MODELO!$B$23=0,0,100*L876/PARAMS_MODELO!$B$23))*PARAMS_MODELO!$B$10</f>
        <v>13.886681225725305</v>
      </c>
      <c r="N876" s="5">
        <f>IFERROR(VLOOKUP(A876,COMPLIANCE!$A$2:$F$1996,6,0),100)</f>
        <v>100</v>
      </c>
      <c r="O876" s="5">
        <f>N876*PARAMS_MODELO!$B$11</f>
        <v>10</v>
      </c>
      <c r="P876" s="5">
        <f>IFERROR(VLOOKUP(A876,DIGITAL!$A$2:$J$2000,7,0),100)</f>
        <v>80</v>
      </c>
      <c r="Q876" s="5">
        <f>IFERROR(P876,0)*PARAMS_MODELO!$B$12</f>
        <v>8</v>
      </c>
      <c r="R876">
        <f t="shared" si="315"/>
        <v>86.370993152142972</v>
      </c>
      <c r="S876" s="5" t="str">
        <f>IFERROR(VLOOKUP(A876,CLIENTE!$A$2:$N$2000,13,0),1)</f>
        <v>Malo</v>
      </c>
      <c r="T876" s="5">
        <f>IFERROR(VLOOKUP(A876,CLIENTE!$A$2:$N$2000,14,0),1)</f>
        <v>0.7</v>
      </c>
      <c r="U876" s="5">
        <f t="shared" si="316"/>
        <v>60.459695206500079</v>
      </c>
      <c r="V876" s="5" t="str">
        <f>IF(U876&gt;=MAX(_xlfn.PERCENTILE.INC($U$2:$U$1194,PARAMS_MODELO!$B$50),PARAMS_MODELO!$B$45),"DIAMANTE",IF(U876&gt;=MAX(_xlfn.PERCENTILE.INC($U$2:$U$1194,PARAMS_MODELO!$B$51),PARAMS_MODELO!$B$46),"PLATINO",IF(U876&gt;=MAX(_xlfn.PERCENTILE.INC($U$2:$U$1194,PARAMS_MODELO!$B$52),PARAMS_MODELO!$B$47),"ORO",IF(U876&gt;=MAX(_xlfn.PERCENTILE.INC($U$2:$U$1194,PARAMS_MODELO!$B$53),PARAMS_MODELO!$B$48),"PLATA",IF(U876&gt;=1,"BRONCE","CERRADO")))))</f>
        <v>PLATA</v>
      </c>
      <c r="W876" s="5" t="str" cm="1">
        <f t="array" ref="W876">_xlfn.XLOOKUP(1, (HIST_SCORE!$B:$B=PARAMS_MODELO!$B$4) * (HIST_SCORE!$C:$C=A876), HIST_SCORE!$E:$E, "No encontrado")</f>
        <v>PLATA</v>
      </c>
      <c r="X876" s="5" t="str">
        <f>_xlfn.LET(_xlpm.act,MATCH(V876,{"DIAMANTE";"PLATINO";"ORO";"PLATA";"BRONCE";"CERRADO"},0),_xlpm.ant,MATCH(W876,{"DIAMANTE";"PLATINO";"ORO";"PLATA";"BRONCE";"CERRADO"},0),IF(_xlpm.act&lt;_xlpm.ant,"Mejora ↑",IF(_xlpm.act&gt;_xlpm.ant,"Baja ↓","Estable →")))</f>
        <v>Estable →</v>
      </c>
      <c r="Y876" s="5">
        <f>IFERROR(U876-SUMIFS(HIST_SCORE!$D:$D,HIST_SCORE!$B:$B,PARAMS_MODELO!$B$4,HIST_SCORE!$C:$C,$A876),"")</f>
        <v>13.351209854182542</v>
      </c>
      <c r="Z876" s="5" t="str">
        <f t="shared" si="317"/>
        <v>↑ Mejora</v>
      </c>
      <c r="AA876" s="5">
        <f t="shared" si="318"/>
        <v>607</v>
      </c>
      <c r="AB876" s="5">
        <f>IFERROR(SUMIFS(HIST_SCORE!$F:$F,HIST_SCORE!$B:$B,PARAMS_MODELO!$B$4,HIST_SCORE!$C:$C,$A876),"")</f>
        <v>805</v>
      </c>
      <c r="AC876" s="5">
        <f t="shared" si="319"/>
        <v>198</v>
      </c>
      <c r="AD876" t="str">
        <f t="shared" si="321"/>
        <v/>
      </c>
      <c r="AE8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876="CERRADO",1,IF(V876="BRONCE",_xlpm.cPl,IF(V876="PLATA",_xlpm.cO,IF(V876="ORO",_xlpm.cP,IF(V876="PLATINO",_xlpm.cD,999))))))</f>
        <v>63.199193273331495</v>
      </c>
      <c r="AF8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876="CERRADO",0,IF(V876="BRONCE",1,IF(V876="PLATA",_xlpm.cPl,IF(V876="ORO",_xlpm.cO,IF(V876="PLATINO",_xlpm.cP,_xlpm.cD))))))</f>
        <v>24.506573482968111</v>
      </c>
      <c r="AG876">
        <f t="shared" si="322"/>
        <v>3.9135686669020231</v>
      </c>
      <c r="AH876" t="str">
        <f t="shared" si="323"/>
        <v>CLIENTE</v>
      </c>
      <c r="AI876" t="str">
        <f t="shared" si="320"/>
        <v>🎯 Para subir de categoría, la eje con mayor impacto probable es CLIENTE (coef T). Acción: reducir quejas, mejorar incógnito y empujar reseñas. ΔR aprox: 3,9</v>
      </c>
      <c r="AJ876" s="26">
        <f>_xlfn.LET(_xlpm.piso,AF876,_xlpm.corte,AE876,_xlpm.prog,IF(_xlpm.corte&lt;=_xlpm.piso,0,MAX(0,MIN(1,(U876-_xlpm.piso)/(_xlpm.corte-_xlpm.piso)))),_xlpm.orden,{"DIAMANTE";"PLATINO";"ORO";"PLATA";"BRONCE";"CERRADO"},_xlpm.act,IFERROR(MATCH(V876,_xlpm.orden,0),6),_xlpm.ant,IFERROR(MATCH(W876,_xlpm.orden,0),6),_xlpm.ajmov,IF(_xlpm.act&lt;_xlpm.ant,0.08,IF(_xlpm.act&gt;_xlpm.ant,-0.08,0)),_xlpm.ajcli,IF(T876&lt;0.95,-0.06,0),_xlpm.prob,MAX(0,MIN(1,_xlpm.prog+_xlpm.ajmov+_xlpm.ajcli)),IF(OR(V876="DIAMANTE",V876="CERRADO"),0,ROUND(_xlpm.prob,2)))</f>
        <v>0.87</v>
      </c>
      <c r="AK876" t="str">
        <f t="shared" si="324"/>
        <v>Faltan 3,9 puntos base para subir a la siguiente categoría</v>
      </c>
      <c r="AL876" t="str">
        <f t="shared" si="325"/>
        <v>Margen de seguridad: 36,0 puntos</v>
      </c>
      <c r="AM876">
        <f t="shared" si="326"/>
        <v>0.41</v>
      </c>
      <c r="AN876" t="str">
        <f t="shared" si="327"/>
        <v>PRIORIDAD MEDIA – seguimiento del asesor</v>
      </c>
      <c r="AO876">
        <f t="shared" si="328"/>
        <v>7.2647801442145461</v>
      </c>
      <c r="AP876">
        <f t="shared" si="329"/>
        <v>0.77932314199228681</v>
      </c>
      <c r="AQ876">
        <f t="shared" si="330"/>
        <v>0</v>
      </c>
      <c r="AR876">
        <f t="shared" si="331"/>
        <v>1.4</v>
      </c>
      <c r="AS876">
        <f t="shared" si="332"/>
        <v>25.911297945642897</v>
      </c>
      <c r="AT876" t="str">
        <f t="shared" si="333"/>
        <v>CLIENTE</v>
      </c>
      <c r="AU876">
        <f t="shared" si="334"/>
        <v>25.911297945642897</v>
      </c>
      <c r="AV876" t="str">
        <f t="shared" si="335"/>
        <v>Mayor retorno probable: CLIENTE (+25,9 puntos finales potenciales).</v>
      </c>
    </row>
    <row r="877" spans="1:48" x14ac:dyDescent="0.3">
      <c r="A877" s="5">
        <v>51056311</v>
      </c>
      <c r="B877" s="5" t="str">
        <f>IFERROR(VLOOKUP(A877,VENTAS!$A$2:$B$1194,2,0),"")</f>
        <v>AYALA</v>
      </c>
      <c r="C877" s="5">
        <f>IFERROR(INDEX(VENTAS!$C$2:$E$1194,MATCH(A877,VENTAS!$A$2:$A$1194,0),MATCH(PARAMS_MODELO!$B$2,{"Q1","Q2","Q3"},0)),0)</f>
        <v>18402827.300000001</v>
      </c>
      <c r="D877" s="5">
        <f>IFERROR(INDEX(VENTAS!$F$2:$H$1194,MATCH(A877,VENTAS!$A$2:$A$1194,0),MATCH(PARAMS_MODELO!$B$2,{"Q1","Q2","Q3"},0)),0)</f>
        <v>34567650</v>
      </c>
      <c r="E877" s="8">
        <f t="shared" si="312"/>
        <v>0.87838800182621934</v>
      </c>
      <c r="F877" s="12">
        <f>IF(E877&lt;=PARAMS_MODELO!$B$15,0,IF(E877&gt;=PARAMS_MODELO!$B$17,100,100*MIN(1,(E877-PARAMS_MODELO!$B$15)/(PARAMS_MODELO!$B$16-PARAMS_MODELO!$B$15))))*PARAMS_MODELO!$B$7</f>
        <v>35</v>
      </c>
      <c r="G877" s="5">
        <f t="shared" si="313"/>
        <v>16164822.699999999</v>
      </c>
      <c r="H877" s="5">
        <f>(PARAMS_MODELO!$B$20*(MAX(0,MIN(3,E877))/3)+PARAMS_MODELO!$B$21*(IFERROR(LN(1+MAX(0,G877))/LN(1+MAX(0,MAX($G$2:$G$1194))),0)))*100*PARAMS_MODELO!$B$8</f>
        <v>6.9652425167661125</v>
      </c>
      <c r="I877" s="8">
        <f>E877-PARAMS_MODELO!$B$5</f>
        <v>0.70082516645069282</v>
      </c>
      <c r="J877" s="5">
        <f>IF(I877&lt;=PARAMS_MODELO!$B$18,0,IF(I877&gt;=PARAMS_MODELO!$B$19,100,100*(I877-PARAMS_MODELO!$B$18)/(PARAMS_MODELO!$B$19-PARAMS_MODELO!$B$18)))*PARAMS_MODELO!$B$9</f>
        <v>15</v>
      </c>
      <c r="K877" s="5">
        <f>IFERROR(CHOOSE(MATCH(PARAMS_MODELO!$B$2,{"Q1","Q2","Q3"},0),LOTO!$D877,LOTO!$F877,LOTO!$H877),0)</f>
        <v>1605000</v>
      </c>
      <c r="L877" s="8">
        <f t="shared" si="314"/>
        <v>4.6430694594512496E-2</v>
      </c>
      <c r="M877" s="5">
        <f>MIN(100,IF(PARAMS_MODELO!$B$23=0,0,100*L877/PARAMS_MODELO!$B$23))*PARAMS_MODELO!$B$10</f>
        <v>13.929208378353747</v>
      </c>
      <c r="N877" s="5">
        <f>IFERROR(VLOOKUP(A877,COMPLIANCE!$A$2:$F$1996,6,0),100)</f>
        <v>99.56</v>
      </c>
      <c r="O877" s="5">
        <f>N877*PARAMS_MODELO!$B$11</f>
        <v>9.9560000000000013</v>
      </c>
      <c r="P877" s="5">
        <f>IFERROR(VLOOKUP(A877,DIGITAL!$A$2:$J$2000,7,0),100)</f>
        <v>24</v>
      </c>
      <c r="Q877" s="5">
        <f>IFERROR(P877,0)*PARAMS_MODELO!$B$12</f>
        <v>2.4000000000000004</v>
      </c>
      <c r="R877">
        <f t="shared" si="315"/>
        <v>83.250450895119869</v>
      </c>
      <c r="S877" s="5" t="str">
        <f>IFERROR(VLOOKUP(A877,CLIENTE!$A$2:$N$2000,13,0),1)</f>
        <v>Regular</v>
      </c>
      <c r="T877" s="5">
        <f>IFERROR(VLOOKUP(A877,CLIENTE!$A$2:$N$2000,14,0),1)</f>
        <v>1</v>
      </c>
      <c r="U877" s="5">
        <f t="shared" si="316"/>
        <v>83.250450895119869</v>
      </c>
      <c r="V877" s="5" t="str">
        <f>IF(U877&gt;=MAX(_xlfn.PERCENTILE.INC($U$2:$U$1194,PARAMS_MODELO!$B$50),PARAMS_MODELO!$B$45),"DIAMANTE",IF(U877&gt;=MAX(_xlfn.PERCENTILE.INC($U$2:$U$1194,PARAMS_MODELO!$B$51),PARAMS_MODELO!$B$46),"PLATINO",IF(U877&gt;=MAX(_xlfn.PERCENTILE.INC($U$2:$U$1194,PARAMS_MODELO!$B$52),PARAMS_MODELO!$B$47),"ORO",IF(U877&gt;=MAX(_xlfn.PERCENTILE.INC($U$2:$U$1194,PARAMS_MODELO!$B$53),PARAMS_MODELO!$B$48),"PLATA",IF(U877&gt;=1,"BRONCE","CERRADO")))))</f>
        <v>ORO</v>
      </c>
      <c r="W877" s="5" t="str" cm="1">
        <f t="array" ref="W877">_xlfn.XLOOKUP(1, (HIST_SCORE!$B:$B=PARAMS_MODELO!$B$4) * (HIST_SCORE!$C:$C=A877), HIST_SCORE!$E:$E, "No encontrado")</f>
        <v>ORO</v>
      </c>
      <c r="X877" s="5" t="str">
        <f>_xlfn.LET(_xlpm.act,MATCH(V877,{"DIAMANTE";"PLATINO";"ORO";"PLATA";"BRONCE";"CERRADO"},0),_xlpm.ant,MATCH(W877,{"DIAMANTE";"PLATINO";"ORO";"PLATA";"BRONCE";"CERRADO"},0),IF(_xlpm.act&lt;_xlpm.ant,"Mejora ↑",IF(_xlpm.act&gt;_xlpm.ant,"Baja ↓","Estable →")))</f>
        <v>Estable →</v>
      </c>
      <c r="Y877" s="5">
        <f>IFERROR(U877-SUMIFS(HIST_SCORE!$D:$D,HIST_SCORE!$B:$B,PARAMS_MODELO!$B$4,HIST_SCORE!$C:$C,$A877),"")</f>
        <v>0.63421885463846195</v>
      </c>
      <c r="Z877" s="5" t="str">
        <f t="shared" si="317"/>
        <v>→ Estable</v>
      </c>
      <c r="AA877" s="5">
        <f t="shared" si="318"/>
        <v>339</v>
      </c>
      <c r="AB877" s="5">
        <f>IFERROR(SUMIFS(HIST_SCORE!$F:$F,HIST_SCORE!$B:$B,PARAMS_MODELO!$B$4,HIST_SCORE!$C:$C,$A877),"")</f>
        <v>345</v>
      </c>
      <c r="AC877" s="5">
        <f t="shared" si="319"/>
        <v>6</v>
      </c>
      <c r="AD877" t="str">
        <f t="shared" si="321"/>
        <v/>
      </c>
      <c r="AE8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877="CERRADO",1,IF(V877="BRONCE",_xlpm.cPl,IF(V877="PLATA",_xlpm.cO,IF(V877="ORO",_xlpm.cP,IF(V877="PLATINO",_xlpm.cD,999))))))</f>
        <v>86.439123873763251</v>
      </c>
      <c r="AF8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877="CERRADO",0,IF(V877="BRONCE",1,IF(V877="PLATA",_xlpm.cPl,IF(V877="ORO",_xlpm.cO,IF(V877="PLATINO",_xlpm.cP,_xlpm.cD))))))</f>
        <v>63.199193273331495</v>
      </c>
      <c r="AG877">
        <f t="shared" si="322"/>
        <v>3.1886729786433818</v>
      </c>
      <c r="AH877" t="str">
        <f t="shared" si="323"/>
        <v>VENTAS</v>
      </c>
      <c r="AI877" t="str">
        <f t="shared" si="320"/>
        <v>🎯 Para subir de categoría, eje VENTAS / IMPACTO ABSOLUTO (H). Acción: metas semanales + activación comercial + seguimiento del asesor. ΔR aprox: 3,2</v>
      </c>
      <c r="AJ877" s="26">
        <f>_xlfn.LET(_xlpm.piso,AF877,_xlpm.corte,AE877,_xlpm.prog,IF(_xlpm.corte&lt;=_xlpm.piso,0,MAX(0,MIN(1,(U877-_xlpm.piso)/(_xlpm.corte-_xlpm.piso)))),_xlpm.orden,{"DIAMANTE";"PLATINO";"ORO";"PLATA";"BRONCE";"CERRADO"},_xlpm.act,IFERROR(MATCH(V877,_xlpm.orden,0),6),_xlpm.ant,IFERROR(MATCH(W877,_xlpm.orden,0),6),_xlpm.ajmov,IF(_xlpm.act&lt;_xlpm.ant,0.08,IF(_xlpm.act&gt;_xlpm.ant,-0.08,0)),_xlpm.ajcli,IF(T877&lt;0.95,-0.06,0),_xlpm.prob,MAX(0,MIN(1,_xlpm.prog+_xlpm.ajmov+_xlpm.ajcli)),IF(OR(V877="DIAMANTE",V877="CERRADO"),0,ROUND(_xlpm.prob,2)))</f>
        <v>0.86</v>
      </c>
      <c r="AK877" t="str">
        <f t="shared" si="324"/>
        <v>Faltan 3,2 puntos base para subir a la siguiente categoría</v>
      </c>
      <c r="AL877" t="str">
        <f t="shared" si="325"/>
        <v>Margen de seguridad: 20,1 puntos</v>
      </c>
      <c r="AM877">
        <f t="shared" si="326"/>
        <v>0.18</v>
      </c>
      <c r="AN877" t="str">
        <f t="shared" si="327"/>
        <v>PRIORIDAD BAJA – control normal</v>
      </c>
      <c r="AO877">
        <f t="shared" si="328"/>
        <v>7.8973267585294735</v>
      </c>
      <c r="AP877">
        <f t="shared" si="329"/>
        <v>1.0707916216462525</v>
      </c>
      <c r="AQ877">
        <f t="shared" si="330"/>
        <v>4.3999999999998707E-2</v>
      </c>
      <c r="AR877">
        <f t="shared" si="331"/>
        <v>7.6</v>
      </c>
      <c r="AS877">
        <f t="shared" si="332"/>
        <v>0</v>
      </c>
      <c r="AT877" t="str">
        <f t="shared" si="333"/>
        <v>VENTAS</v>
      </c>
      <c r="AU877">
        <f t="shared" si="334"/>
        <v>7.8973267585294735</v>
      </c>
      <c r="AV877" t="str">
        <f t="shared" si="335"/>
        <v>Mayor retorno probable: VENTAS (+7,9 puntos finales potenciales).</v>
      </c>
    </row>
    <row r="878" spans="1:48" x14ac:dyDescent="0.3">
      <c r="A878" s="5">
        <v>51016467</v>
      </c>
      <c r="B878" s="5" t="str">
        <f>IFERROR(VLOOKUP(A878,VENTAS!$A$2:$B$1194,2,0),"")</f>
        <v>MONTENEGRO</v>
      </c>
      <c r="C878" s="5">
        <f>IFERROR(INDEX(VENTAS!$C$2:$E$1194,MATCH(A878,VENTAS!$A$2:$A$1194,0),MATCH(PARAMS_MODELO!$B$2,{"Q1","Q2","Q3"},0)),0)</f>
        <v>28048450.600000001</v>
      </c>
      <c r="D878" s="5">
        <f>IFERROR(INDEX(VENTAS!$F$2:$H$1194,MATCH(A878,VENTAS!$A$2:$A$1194,0),MATCH(PARAMS_MODELO!$B$2,{"Q1","Q2","Q3"},0)),0)</f>
        <v>34550557</v>
      </c>
      <c r="E878" s="8">
        <f t="shared" si="312"/>
        <v>0.23181695462351137</v>
      </c>
      <c r="F878" s="12">
        <f>IF(E878&lt;=PARAMS_MODELO!$B$15,0,IF(E878&gt;=PARAMS_MODELO!$B$17,100,100*MIN(1,(E878-PARAMS_MODELO!$B$15)/(PARAMS_MODELO!$B$16-PARAMS_MODELO!$B$15))))*PARAMS_MODELO!$B$7</f>
        <v>35</v>
      </c>
      <c r="G878" s="5">
        <f t="shared" si="313"/>
        <v>6502106.3999999985</v>
      </c>
      <c r="H878" s="5">
        <f>(PARAMS_MODELO!$B$20*(MAX(0,MIN(3,E878))/3)+PARAMS_MODELO!$B$21*(IFERROR(LN(1+MAX(0,G878))/LN(1+MAX(0,MAX($G$2:$G$1194))),0)))*100*PARAMS_MODELO!$B$8</f>
        <v>4.4887604402977628</v>
      </c>
      <c r="I878" s="8">
        <f>E878-PARAMS_MODELO!$B$5</f>
        <v>5.4254119247984844E-2</v>
      </c>
      <c r="J878" s="5">
        <f>IF(I878&lt;=PARAMS_MODELO!$B$18,0,IF(I878&gt;=PARAMS_MODELO!$B$19,100,100*(I878-PARAMS_MODELO!$B$18)/(PARAMS_MODELO!$B$19-PARAMS_MODELO!$B$18)))*PARAMS_MODELO!$B$9</f>
        <v>15</v>
      </c>
      <c r="K878" s="5">
        <f>IFERROR(CHOOSE(MATCH(PARAMS_MODELO!$B$2,{"Q1","Q2","Q3"},0),LOTO!$D878,LOTO!$F878,LOTO!$H878),0)</f>
        <v>1605000</v>
      </c>
      <c r="L878" s="8">
        <f t="shared" si="314"/>
        <v>4.645366498722437E-2</v>
      </c>
      <c r="M878" s="5">
        <f>MIN(100,IF(PARAMS_MODELO!$B$23=0,0,100*L878/PARAMS_MODELO!$B$23))*PARAMS_MODELO!$B$10</f>
        <v>13.936099496167309</v>
      </c>
      <c r="N878" s="5">
        <f>IFERROR(VLOOKUP(A878,COMPLIANCE!$A$2:$F$1996,6,0),100)</f>
        <v>100</v>
      </c>
      <c r="O878" s="5">
        <f>N878*PARAMS_MODELO!$B$11</f>
        <v>10</v>
      </c>
      <c r="P878" s="5">
        <f>IFERROR(VLOOKUP(A878,DIGITAL!$A$2:$J$2000,7,0),100)</f>
        <v>23</v>
      </c>
      <c r="Q878" s="5">
        <f>IFERROR(P878,0)*PARAMS_MODELO!$B$12</f>
        <v>2.3000000000000003</v>
      </c>
      <c r="R878">
        <f t="shared" si="315"/>
        <v>80.724859936465066</v>
      </c>
      <c r="S878" s="5" t="str">
        <f>IFERROR(VLOOKUP(A878,CLIENTE!$A$2:$N$2000,13,0),1)</f>
        <v>Muy Bueno</v>
      </c>
      <c r="T878" s="5">
        <f>IFERROR(VLOOKUP(A878,CLIENTE!$A$2:$N$2000,14,0),1)</f>
        <v>1.1499999999999999</v>
      </c>
      <c r="U878" s="5">
        <f t="shared" si="316"/>
        <v>92.833588926934823</v>
      </c>
      <c r="V878" s="5" t="str">
        <f>IF(U878&gt;=MAX(_xlfn.PERCENTILE.INC($U$2:$U$1194,PARAMS_MODELO!$B$50),PARAMS_MODELO!$B$45),"DIAMANTE",IF(U878&gt;=MAX(_xlfn.PERCENTILE.INC($U$2:$U$1194,PARAMS_MODELO!$B$51),PARAMS_MODELO!$B$46),"PLATINO",IF(U878&gt;=MAX(_xlfn.PERCENTILE.INC($U$2:$U$1194,PARAMS_MODELO!$B$52),PARAMS_MODELO!$B$47),"ORO",IF(U878&gt;=MAX(_xlfn.PERCENTILE.INC($U$2:$U$1194,PARAMS_MODELO!$B$53),PARAMS_MODELO!$B$48),"PLATA",IF(U878&gt;=1,"BRONCE","CERRADO")))))</f>
        <v>PLATINO</v>
      </c>
      <c r="W878" s="5" t="str" cm="1">
        <f t="array" ref="W878">_xlfn.XLOOKUP(1, (HIST_SCORE!$B:$B=PARAMS_MODELO!$B$4) * (HIST_SCORE!$C:$C=A878), HIST_SCORE!$E:$E, "No encontrado")</f>
        <v>ORO</v>
      </c>
      <c r="X878" s="5" t="str">
        <f>_xlfn.LET(_xlpm.act,MATCH(V878,{"DIAMANTE";"PLATINO";"ORO";"PLATA";"BRONCE";"CERRADO"},0),_xlpm.ant,MATCH(W878,{"DIAMANTE";"PLATINO";"ORO";"PLATA";"BRONCE";"CERRADO"},0),IF(_xlpm.act&lt;_xlpm.ant,"Mejora ↑",IF(_xlpm.act&gt;_xlpm.ant,"Baja ↓","Estable →")))</f>
        <v>Mejora ↑</v>
      </c>
      <c r="Y878" s="5">
        <f>IFERROR(U878-SUMIFS(HIST_SCORE!$D:$D,HIST_SCORE!$B:$B,PARAMS_MODELO!$B$4,HIST_SCORE!$C:$C,$A878),"")</f>
        <v>18.818418524927324</v>
      </c>
      <c r="Z878" s="5" t="str">
        <f t="shared" si="317"/>
        <v>↑ Mejora</v>
      </c>
      <c r="AA878" s="5">
        <f t="shared" si="318"/>
        <v>93</v>
      </c>
      <c r="AB878" s="5">
        <f>IFERROR(SUMIFS(HIST_SCORE!$F:$F,HIST_SCORE!$B:$B,PARAMS_MODELO!$B$4,HIST_SCORE!$C:$C,$A878),"")</f>
        <v>501</v>
      </c>
      <c r="AC878" s="5">
        <f t="shared" si="319"/>
        <v>408</v>
      </c>
      <c r="AD878" t="str">
        <f t="shared" si="321"/>
        <v/>
      </c>
      <c r="AE8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878="CERRADO",1,IF(V878="BRONCE",_xlpm.cPl,IF(V878="PLATA",_xlpm.cO,IF(V878="ORO",_xlpm.cP,IF(V878="PLATINO",_xlpm.cD,999))))))</f>
        <v>96.054919694466676</v>
      </c>
      <c r="AF8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878="CERRADO",0,IF(V878="BRONCE",1,IF(V878="PLATA",_xlpm.cPl,IF(V878="ORO",_xlpm.cO,IF(V878="PLATINO",_xlpm.cP,_xlpm.cD))))))</f>
        <v>86.439123873763251</v>
      </c>
      <c r="AG878">
        <f t="shared" si="322"/>
        <v>2.8011571891581326</v>
      </c>
      <c r="AH878" t="str">
        <f t="shared" si="323"/>
        <v>VENTAS</v>
      </c>
      <c r="AI878" t="str">
        <f t="shared" si="320"/>
        <v>🎯 Para subir de categoría, eje VENTAS / IMPACTO ABSOLUTO (H). Acción: metas semanales + activación comercial + seguimiento del asesor. ΔR aprox: 2,8</v>
      </c>
      <c r="AJ878" s="26">
        <f>_xlfn.LET(_xlpm.piso,AF878,_xlpm.corte,AE878,_xlpm.prog,IF(_xlpm.corte&lt;=_xlpm.piso,0,MAX(0,MIN(1,(U878-_xlpm.piso)/(_xlpm.corte-_xlpm.piso)))),_xlpm.orden,{"DIAMANTE";"PLATINO";"ORO";"PLATA";"BRONCE";"CERRADO"},_xlpm.act,IFERROR(MATCH(V878,_xlpm.orden,0),6),_xlpm.ant,IFERROR(MATCH(W878,_xlpm.orden,0),6),_xlpm.ajmov,IF(_xlpm.act&lt;_xlpm.ant,0.08,IF(_xlpm.act&gt;_xlpm.ant,-0.08,0)),_xlpm.ajcli,IF(T878&lt;0.95,-0.06,0),_xlpm.prob,MAX(0,MIN(1,_xlpm.prog+_xlpm.ajmov+_xlpm.ajcli)),IF(OR(V878="DIAMANTE",V878="CERRADO"),0,ROUND(_xlpm.prob,2)))</f>
        <v>0.74</v>
      </c>
      <c r="AK878" t="str">
        <f t="shared" si="324"/>
        <v>Faltan 2,8 puntos base para subir a la siguiente categoría</v>
      </c>
      <c r="AL878" t="str">
        <f t="shared" si="325"/>
        <v>Margen de seguridad: 6,4 puntos</v>
      </c>
      <c r="AM878">
        <f t="shared" si="326"/>
        <v>0.22</v>
      </c>
      <c r="AN878" t="str">
        <f t="shared" si="327"/>
        <v>PRIORIDAD BAJA – control normal</v>
      </c>
      <c r="AO878">
        <f t="shared" si="328"/>
        <v>11.929880160247496</v>
      </c>
      <c r="AP878">
        <f t="shared" si="329"/>
        <v>1.2234855794075949</v>
      </c>
      <c r="AQ878">
        <f t="shared" si="330"/>
        <v>0</v>
      </c>
      <c r="AR878">
        <f t="shared" si="331"/>
        <v>8.8549999999999986</v>
      </c>
      <c r="AS878">
        <f t="shared" si="332"/>
        <v>0</v>
      </c>
      <c r="AT878" t="str">
        <f t="shared" si="333"/>
        <v>VENTAS</v>
      </c>
      <c r="AU878">
        <f t="shared" si="334"/>
        <v>11.929880160247496</v>
      </c>
      <c r="AV878" t="str">
        <f t="shared" si="335"/>
        <v>Mayor retorno probable: VENTAS (+11,9 puntos finales potenciales).</v>
      </c>
    </row>
    <row r="879" spans="1:48" x14ac:dyDescent="0.3">
      <c r="A879" s="5">
        <v>51021614</v>
      </c>
      <c r="B879" s="5" t="str">
        <f>IFERROR(VLOOKUP(A879,VENTAS!$A$2:$B$1194,2,0),"")</f>
        <v>METTLER</v>
      </c>
      <c r="C879" s="5">
        <f>IFERROR(INDEX(VENTAS!$C$2:$E$1194,MATCH(A879,VENTAS!$A$2:$A$1194,0),MATCH(PARAMS_MODELO!$B$2,{"Q1","Q2","Q3"},0)),0)</f>
        <v>39897044.760000013</v>
      </c>
      <c r="D879" s="5">
        <f>IFERROR(INDEX(VENTAS!$F$2:$H$1194,MATCH(A879,VENTAS!$A$2:$A$1194,0),MATCH(PARAMS_MODELO!$B$2,{"Q1","Q2","Q3"},0)),0)</f>
        <v>34535876</v>
      </c>
      <c r="E879" s="8">
        <f t="shared" si="312"/>
        <v>-0.13437508447680857</v>
      </c>
      <c r="F879" s="12">
        <f>IF(E879&lt;=PARAMS_MODELO!$B$15,0,IF(E879&gt;=PARAMS_MODELO!$B$17,100,100*MIN(1,(E879-PARAMS_MODELO!$B$15)/(PARAMS_MODELO!$B$16-PARAMS_MODELO!$B$15))))*PARAMS_MODELO!$B$7</f>
        <v>0</v>
      </c>
      <c r="G879" s="5">
        <f t="shared" si="313"/>
        <v>0</v>
      </c>
      <c r="H879" s="5">
        <f>(PARAMS_MODELO!$B$20*(MAX(0,MIN(3,E879))/3)+PARAMS_MODELO!$B$21*(IFERROR(LN(1+MAX(0,G879))/LN(1+MAX(0,MAX($G$2:$G$1194))),0)))*100*PARAMS_MODELO!$B$8</f>
        <v>0</v>
      </c>
      <c r="I879" s="8">
        <f>E879-PARAMS_MODELO!$B$5</f>
        <v>-0.3119379198523351</v>
      </c>
      <c r="J879" s="5">
        <f>IF(I879&lt;=PARAMS_MODELO!$B$18,0,IF(I879&gt;=PARAMS_MODELO!$B$19,100,100*(I879-PARAMS_MODELO!$B$18)/(PARAMS_MODELO!$B$19-PARAMS_MODELO!$B$18)))*PARAMS_MODELO!$B$9</f>
        <v>0</v>
      </c>
      <c r="K879" s="5">
        <f>IFERROR(CHOOSE(MATCH(PARAMS_MODELO!$B$2,{"Q1","Q2","Q3"},0),LOTO!$D879,LOTO!$F879,LOTO!$H879),0)</f>
        <v>1602500</v>
      </c>
      <c r="L879" s="8">
        <f t="shared" si="314"/>
        <v>4.6401023677523051E-2</v>
      </c>
      <c r="M879" s="5">
        <f>MIN(100,IF(PARAMS_MODELO!$B$23=0,0,100*L879/PARAMS_MODELO!$B$23))*PARAMS_MODELO!$B$10</f>
        <v>13.920307103256912</v>
      </c>
      <c r="N879" s="5">
        <f>IFERROR(VLOOKUP(A879,COMPLIANCE!$A$2:$F$1996,6,0),100)</f>
        <v>100</v>
      </c>
      <c r="O879" s="5">
        <f>N879*PARAMS_MODELO!$B$11</f>
        <v>10</v>
      </c>
      <c r="P879" s="5">
        <f>IFERROR(VLOOKUP(A879,DIGITAL!$A$2:$J$2000,7,0),100)</f>
        <v>62</v>
      </c>
      <c r="Q879" s="5">
        <f>IFERROR(P879,0)*PARAMS_MODELO!$B$12</f>
        <v>6.2</v>
      </c>
      <c r="R879">
        <f t="shared" si="315"/>
        <v>30.120307103256909</v>
      </c>
      <c r="S879" s="5" t="str">
        <f>IFERROR(VLOOKUP(A879,CLIENTE!$A$2:$N$2000,13,0),1)</f>
        <v>Bueno</v>
      </c>
      <c r="T879" s="5">
        <f>IFERROR(VLOOKUP(A879,CLIENTE!$A$2:$N$2000,14,0),1)</f>
        <v>1.1000000000000001</v>
      </c>
      <c r="U879" s="5">
        <f t="shared" si="316"/>
        <v>33.132337813582602</v>
      </c>
      <c r="V879" s="5" t="str">
        <f>IF(U879&gt;=MAX(_xlfn.PERCENTILE.INC($U$2:$U$1194,PARAMS_MODELO!$B$50),PARAMS_MODELO!$B$45),"DIAMANTE",IF(U879&gt;=MAX(_xlfn.PERCENTILE.INC($U$2:$U$1194,PARAMS_MODELO!$B$51),PARAMS_MODELO!$B$46),"PLATINO",IF(U879&gt;=MAX(_xlfn.PERCENTILE.INC($U$2:$U$1194,PARAMS_MODELO!$B$52),PARAMS_MODELO!$B$47),"ORO",IF(U879&gt;=MAX(_xlfn.PERCENTILE.INC($U$2:$U$1194,PARAMS_MODELO!$B$53),PARAMS_MODELO!$B$48),"PLATA",IF(U879&gt;=1,"BRONCE","CERRADO")))))</f>
        <v>PLATA</v>
      </c>
      <c r="W879" s="5" t="str" cm="1">
        <f t="array" ref="W879">_xlfn.XLOOKUP(1, (HIST_SCORE!$B:$B=PARAMS_MODELO!$B$4) * (HIST_SCORE!$C:$C=A879), HIST_SCORE!$E:$E, "No encontrado")</f>
        <v>PLATA</v>
      </c>
      <c r="X879" s="5" t="str">
        <f>_xlfn.LET(_xlpm.act,MATCH(V879,{"DIAMANTE";"PLATINO";"ORO";"PLATA";"BRONCE";"CERRADO"},0),_xlpm.ant,MATCH(W879,{"DIAMANTE";"PLATINO";"ORO";"PLATA";"BRONCE";"CERRADO"},0),IF(_xlpm.act&lt;_xlpm.ant,"Mejora ↑",IF(_xlpm.act&gt;_xlpm.ant,"Baja ↓","Estable →")))</f>
        <v>Estable →</v>
      </c>
      <c r="Y879" s="5">
        <f>IFERROR(U879-SUMIFS(HIST_SCORE!$D:$D,HIST_SCORE!$B:$B,PARAMS_MODELO!$B$4,HIST_SCORE!$C:$C,$A879),"")</f>
        <v>-1.1876621864173984</v>
      </c>
      <c r="Z879" s="5" t="str">
        <f t="shared" si="317"/>
        <v>→ Estable</v>
      </c>
      <c r="AA879" s="5">
        <f t="shared" si="318"/>
        <v>822</v>
      </c>
      <c r="AB879" s="5">
        <f>IFERROR(SUMIFS(HIST_SCORE!$F:$F,HIST_SCORE!$B:$B,PARAMS_MODELO!$B$4,HIST_SCORE!$C:$C,$A879),"")</f>
        <v>868</v>
      </c>
      <c r="AC879" s="5">
        <f t="shared" si="319"/>
        <v>46</v>
      </c>
      <c r="AD879" t="str">
        <f t="shared" si="321"/>
        <v/>
      </c>
      <c r="AE8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879="CERRADO",1,IF(V879="BRONCE",_xlpm.cPl,IF(V879="PLATA",_xlpm.cO,IF(V879="ORO",_xlpm.cP,IF(V879="PLATINO",_xlpm.cD,999))))))</f>
        <v>63.199193273331495</v>
      </c>
      <c r="AF8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879="CERRADO",0,IF(V879="BRONCE",1,IF(V879="PLATA",_xlpm.cPl,IF(V879="ORO",_xlpm.cO,IF(V879="PLATINO",_xlpm.cP,_xlpm.cD))))))</f>
        <v>24.506573482968111</v>
      </c>
      <c r="AG879">
        <f t="shared" si="322"/>
        <v>27.333504963408085</v>
      </c>
      <c r="AH879" t="str">
        <f t="shared" si="323"/>
        <v>VENTAS</v>
      </c>
      <c r="AI879" t="str">
        <f t="shared" si="320"/>
        <v>🎯 Para subir de categoría, eje VENTAS / CRECIMIENTO PERSONAL (F). Acción: metas semanales + activación comercial + seguimiento del asesor. ΔR aprox: 27,3</v>
      </c>
      <c r="AJ879" s="26">
        <f>_xlfn.LET(_xlpm.piso,AF879,_xlpm.corte,AE879,_xlpm.prog,IF(_xlpm.corte&lt;=_xlpm.piso,0,MAX(0,MIN(1,(U879-_xlpm.piso)/(_xlpm.corte-_xlpm.piso)))),_xlpm.orden,{"DIAMANTE";"PLATINO";"ORO";"PLATA";"BRONCE";"CERRADO"},_xlpm.act,IFERROR(MATCH(V879,_xlpm.orden,0),6),_xlpm.ant,IFERROR(MATCH(W879,_xlpm.orden,0),6),_xlpm.ajmov,IF(_xlpm.act&lt;_xlpm.ant,0.08,IF(_xlpm.act&gt;_xlpm.ant,-0.08,0)),_xlpm.ajcli,IF(T879&lt;0.95,-0.06,0),_xlpm.prob,MAX(0,MIN(1,_xlpm.prog+_xlpm.ajmov+_xlpm.ajcli)),IF(OR(V879="DIAMANTE",V879="CERRADO"),0,ROUND(_xlpm.prob,2)))</f>
        <v>0.22</v>
      </c>
      <c r="AK879" t="str">
        <f t="shared" si="324"/>
        <v>Faltan 27,3 puntos base para subir a la siguiente categoría</v>
      </c>
      <c r="AL879" t="str">
        <f t="shared" si="325"/>
        <v>Margen de seguridad: 8,6 puntos</v>
      </c>
      <c r="AM879">
        <f t="shared" si="326"/>
        <v>0.71</v>
      </c>
      <c r="AN879" t="str">
        <f t="shared" si="327"/>
        <v>PRIORIDAD ALTA – requiere intervención inmediata</v>
      </c>
      <c r="AO879">
        <f t="shared" si="328"/>
        <v>71.348826202825151</v>
      </c>
      <c r="AP879">
        <f t="shared" si="329"/>
        <v>1.1876621864173973</v>
      </c>
      <c r="AQ879">
        <f t="shared" si="330"/>
        <v>0</v>
      </c>
      <c r="AR879">
        <f t="shared" si="331"/>
        <v>4.18</v>
      </c>
      <c r="AS879">
        <f t="shared" si="332"/>
        <v>0</v>
      </c>
      <c r="AT879" t="str">
        <f t="shared" si="333"/>
        <v>VENTAS</v>
      </c>
      <c r="AU879">
        <f t="shared" si="334"/>
        <v>71.348826202825151</v>
      </c>
      <c r="AV879" t="str">
        <f t="shared" si="335"/>
        <v>Mayor retorno probable: VENTAS (+71,3 puntos finales potenciales).</v>
      </c>
    </row>
    <row r="880" spans="1:48" x14ac:dyDescent="0.3">
      <c r="A880" s="5">
        <v>51042506</v>
      </c>
      <c r="B880" s="5" t="str">
        <f>IFERROR(VLOOKUP(A880,VENTAS!$A$2:$B$1194,2,0),"")</f>
        <v>BELUZZO</v>
      </c>
      <c r="C880" s="5">
        <f>IFERROR(INDEX(VENTAS!$C$2:$E$1194,MATCH(A880,VENTAS!$A$2:$A$1194,0),MATCH(PARAMS_MODELO!$B$2,{"Q1","Q2","Q3"},0)),0)</f>
        <v>25392926.949999999</v>
      </c>
      <c r="D880" s="5">
        <f>IFERROR(INDEX(VENTAS!$F$2:$H$1194,MATCH(A880,VENTAS!$A$2:$A$1194,0),MATCH(PARAMS_MODELO!$B$2,{"Q1","Q2","Q3"},0)),0)</f>
        <v>34287425</v>
      </c>
      <c r="E880" s="8">
        <f t="shared" si="312"/>
        <v>0.35027462834488254</v>
      </c>
      <c r="F880" s="12">
        <f>IF(E880&lt;=PARAMS_MODELO!$B$15,0,IF(E880&gt;=PARAMS_MODELO!$B$17,100,100*MIN(1,(E880-PARAMS_MODELO!$B$15)/(PARAMS_MODELO!$B$16-PARAMS_MODELO!$B$15))))*PARAMS_MODELO!$B$7</f>
        <v>35</v>
      </c>
      <c r="G880" s="5">
        <f t="shared" si="313"/>
        <v>8894498.0500000007</v>
      </c>
      <c r="H880" s="5">
        <f>(PARAMS_MODELO!$B$20*(MAX(0,MIN(3,E880))/3)+PARAMS_MODELO!$B$21*(IFERROR(LN(1+MAX(0,G880))/LN(1+MAX(0,MAX($G$2:$G$1194))),0)))*100*PARAMS_MODELO!$B$8</f>
        <v>4.9768057537883426</v>
      </c>
      <c r="I880" s="8">
        <f>E880-PARAMS_MODELO!$B$5</f>
        <v>0.17271179296935601</v>
      </c>
      <c r="J880" s="5">
        <f>IF(I880&lt;=PARAMS_MODELO!$B$18,0,IF(I880&gt;=PARAMS_MODELO!$B$19,100,100*(I880-PARAMS_MODELO!$B$18)/(PARAMS_MODELO!$B$19-PARAMS_MODELO!$B$18)))*PARAMS_MODELO!$B$9</f>
        <v>15</v>
      </c>
      <c r="K880" s="5">
        <f>IFERROR(CHOOSE(MATCH(PARAMS_MODELO!$B$2,{"Q1","Q2","Q3"},0),LOTO!$D880,LOTO!$F880,LOTO!$H880),0)</f>
        <v>1600000</v>
      </c>
      <c r="L880" s="8">
        <f t="shared" si="314"/>
        <v>4.666433831061971E-2</v>
      </c>
      <c r="M880" s="5">
        <f>MIN(100,IF(PARAMS_MODELO!$B$23=0,0,100*L880/PARAMS_MODELO!$B$23))*PARAMS_MODELO!$B$10</f>
        <v>13.999301493185911</v>
      </c>
      <c r="N880" s="5">
        <f>IFERROR(VLOOKUP(A880,COMPLIANCE!$A$2:$F$1996,6,0),100)</f>
        <v>99.98</v>
      </c>
      <c r="O880" s="5">
        <f>N880*PARAMS_MODELO!$B$11</f>
        <v>9.9980000000000011</v>
      </c>
      <c r="P880" s="5">
        <f>IFERROR(VLOOKUP(A880,DIGITAL!$A$2:$J$2000,7,0),100)</f>
        <v>53</v>
      </c>
      <c r="Q880" s="5">
        <f>IFERROR(P880,0)*PARAMS_MODELO!$B$12</f>
        <v>5.3000000000000007</v>
      </c>
      <c r="R880">
        <f t="shared" si="315"/>
        <v>84.274107246974253</v>
      </c>
      <c r="S880" s="5" t="str">
        <f>IFERROR(VLOOKUP(A880,CLIENTE!$A$2:$N$2000,13,0),1)</f>
        <v>Regular</v>
      </c>
      <c r="T880" s="5">
        <f>IFERROR(VLOOKUP(A880,CLIENTE!$A$2:$N$2000,14,0),1)</f>
        <v>1</v>
      </c>
      <c r="U880" s="5">
        <f t="shared" si="316"/>
        <v>84.274107246974253</v>
      </c>
      <c r="V880" s="5" t="str">
        <f>IF(U880&gt;=MAX(_xlfn.PERCENTILE.INC($U$2:$U$1194,PARAMS_MODELO!$B$50),PARAMS_MODELO!$B$45),"DIAMANTE",IF(U880&gt;=MAX(_xlfn.PERCENTILE.INC($U$2:$U$1194,PARAMS_MODELO!$B$51),PARAMS_MODELO!$B$46),"PLATINO",IF(U880&gt;=MAX(_xlfn.PERCENTILE.INC($U$2:$U$1194,PARAMS_MODELO!$B$52),PARAMS_MODELO!$B$47),"ORO",IF(U880&gt;=MAX(_xlfn.PERCENTILE.INC($U$2:$U$1194,PARAMS_MODELO!$B$53),PARAMS_MODELO!$B$48),"PLATA",IF(U880&gt;=1,"BRONCE","CERRADO")))))</f>
        <v>ORO</v>
      </c>
      <c r="W880" s="5" t="str" cm="1">
        <f t="array" ref="W880">_xlfn.XLOOKUP(1, (HIST_SCORE!$B:$B=PARAMS_MODELO!$B$4) * (HIST_SCORE!$C:$C=A880), HIST_SCORE!$E:$E, "No encontrado")</f>
        <v>ORO</v>
      </c>
      <c r="X880" s="5" t="str">
        <f>_xlfn.LET(_xlpm.act,MATCH(V880,{"DIAMANTE";"PLATINO";"ORO";"PLATA";"BRONCE";"CERRADO"},0),_xlpm.ant,MATCH(W880,{"DIAMANTE";"PLATINO";"ORO";"PLATA";"BRONCE";"CERRADO"},0),IF(_xlpm.act&lt;_xlpm.ant,"Mejora ↑",IF(_xlpm.act&gt;_xlpm.ant,"Baja ↓","Estable →")))</f>
        <v>Estable →</v>
      </c>
      <c r="Y880" s="5">
        <f>IFERROR(U880-SUMIFS(HIST_SCORE!$D:$D,HIST_SCORE!$B:$B,PARAMS_MODELO!$B$4,HIST_SCORE!$C:$C,$A880),"")</f>
        <v>2.2327577696145511</v>
      </c>
      <c r="Z880" s="5" t="str">
        <f t="shared" si="317"/>
        <v>→ Estable</v>
      </c>
      <c r="AA880" s="5">
        <f t="shared" si="318"/>
        <v>308</v>
      </c>
      <c r="AB880" s="5">
        <f>IFERROR(SUMIFS(HIST_SCORE!$F:$F,HIST_SCORE!$B:$B,PARAMS_MODELO!$B$4,HIST_SCORE!$C:$C,$A880),"")</f>
        <v>367</v>
      </c>
      <c r="AC880" s="5">
        <f t="shared" si="319"/>
        <v>59</v>
      </c>
      <c r="AD880" t="str">
        <f t="shared" si="321"/>
        <v/>
      </c>
      <c r="AE8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880="CERRADO",1,IF(V880="BRONCE",_xlpm.cPl,IF(V880="PLATA",_xlpm.cO,IF(V880="ORO",_xlpm.cP,IF(V880="PLATINO",_xlpm.cD,999))))))</f>
        <v>86.439123873763251</v>
      </c>
      <c r="AF8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880="CERRADO",0,IF(V880="BRONCE",1,IF(V880="PLATA",_xlpm.cPl,IF(V880="ORO",_xlpm.cO,IF(V880="PLATINO",_xlpm.cP,_xlpm.cD))))))</f>
        <v>63.199193273331495</v>
      </c>
      <c r="AG880">
        <f t="shared" si="322"/>
        <v>2.1650166267889972</v>
      </c>
      <c r="AH880" t="str">
        <f t="shared" si="323"/>
        <v>VENTAS</v>
      </c>
      <c r="AI880" t="str">
        <f t="shared" si="320"/>
        <v>🎯 Para subir de categoría, eje VENTAS / IMPACTO ABSOLUTO (H). Acción: metas semanales + activación comercial + seguimiento del asesor. ΔR aprox: 2,2</v>
      </c>
      <c r="AJ880" s="26">
        <f>_xlfn.LET(_xlpm.piso,AF880,_xlpm.corte,AE880,_xlpm.prog,IF(_xlpm.corte&lt;=_xlpm.piso,0,MAX(0,MIN(1,(U880-_xlpm.piso)/(_xlpm.corte-_xlpm.piso)))),_xlpm.orden,{"DIAMANTE";"PLATINO";"ORO";"PLATA";"BRONCE";"CERRADO"},_xlpm.act,IFERROR(MATCH(V880,_xlpm.orden,0),6),_xlpm.ant,IFERROR(MATCH(W880,_xlpm.orden,0),6),_xlpm.ajmov,IF(_xlpm.act&lt;_xlpm.ant,0.08,IF(_xlpm.act&gt;_xlpm.ant,-0.08,0)),_xlpm.ajcli,IF(T880&lt;0.95,-0.06,0),_xlpm.prob,MAX(0,MIN(1,_xlpm.prog+_xlpm.ajmov+_xlpm.ajcli)),IF(OR(V880="DIAMANTE",V880="CERRADO"),0,ROUND(_xlpm.prob,2)))</f>
        <v>0.91</v>
      </c>
      <c r="AK880" t="str">
        <f t="shared" si="324"/>
        <v>Faltan 2,2 puntos base para subir a la siguiente categoría</v>
      </c>
      <c r="AL880" t="str">
        <f t="shared" si="325"/>
        <v>Margen de seguridad: 21,1 puntos</v>
      </c>
      <c r="AM880">
        <f t="shared" si="326"/>
        <v>0.12</v>
      </c>
      <c r="AN880" t="str">
        <f t="shared" si="327"/>
        <v>PRIORIDAD BAJA – control normal</v>
      </c>
      <c r="AO880">
        <f t="shared" si="328"/>
        <v>9.8857635215072435</v>
      </c>
      <c r="AP880">
        <f t="shared" si="329"/>
        <v>1.0006985068140892</v>
      </c>
      <c r="AQ880">
        <f t="shared" si="330"/>
        <v>1.9999999999988916E-3</v>
      </c>
      <c r="AR880">
        <f t="shared" si="331"/>
        <v>4.6999999999999993</v>
      </c>
      <c r="AS880">
        <f t="shared" si="332"/>
        <v>0</v>
      </c>
      <c r="AT880" t="str">
        <f t="shared" si="333"/>
        <v>VENTAS</v>
      </c>
      <c r="AU880">
        <f t="shared" si="334"/>
        <v>9.8857635215072435</v>
      </c>
      <c r="AV880" t="str">
        <f t="shared" si="335"/>
        <v>Mayor retorno probable: VENTAS (+9,9 puntos finales potenciales).</v>
      </c>
    </row>
    <row r="881" spans="1:48" x14ac:dyDescent="0.3">
      <c r="A881" s="5">
        <v>51023412</v>
      </c>
      <c r="B881" s="5" t="str">
        <f>IFERROR(VLOOKUP(A881,VENTAS!$A$2:$B$1194,2,0),"")</f>
        <v>LÓPEZ</v>
      </c>
      <c r="C881" s="5">
        <f>IFERROR(INDEX(VENTAS!$C$2:$E$1194,MATCH(A881,VENTAS!$A$2:$A$1194,0),MATCH(PARAMS_MODELO!$B$2,{"Q1","Q2","Q3"},0)),0)</f>
        <v>23992197.800000001</v>
      </c>
      <c r="D881" s="5">
        <f>IFERROR(INDEX(VENTAS!$F$2:$H$1194,MATCH(A881,VENTAS!$A$2:$A$1194,0),MATCH(PARAMS_MODELO!$B$2,{"Q1","Q2","Q3"},0)),0)</f>
        <v>34183935</v>
      </c>
      <c r="E881" s="8">
        <f t="shared" si="312"/>
        <v>0.42479381359551804</v>
      </c>
      <c r="F881" s="12">
        <f>IF(E881&lt;=PARAMS_MODELO!$B$15,0,IF(E881&gt;=PARAMS_MODELO!$B$17,100,100*MIN(1,(E881-PARAMS_MODELO!$B$15)/(PARAMS_MODELO!$B$16-PARAMS_MODELO!$B$15))))*PARAMS_MODELO!$B$7</f>
        <v>35</v>
      </c>
      <c r="G881" s="5">
        <f t="shared" si="313"/>
        <v>10191737.199999999</v>
      </c>
      <c r="H881" s="5">
        <f>(PARAMS_MODELO!$B$20*(MAX(0,MIN(3,E881))/3)+PARAMS_MODELO!$B$21*(IFERROR(LN(1+MAX(0,G881))/LN(1+MAX(0,MAX($G$2:$G$1194))),0)))*100*PARAMS_MODELO!$B$8</f>
        <v>5.2695370526129022</v>
      </c>
      <c r="I881" s="8">
        <f>E881-PARAMS_MODELO!$B$5</f>
        <v>0.24723097821999152</v>
      </c>
      <c r="J881" s="5">
        <f>IF(I881&lt;=PARAMS_MODELO!$B$18,0,IF(I881&gt;=PARAMS_MODELO!$B$19,100,100*(I881-PARAMS_MODELO!$B$18)/(PARAMS_MODELO!$B$19-PARAMS_MODELO!$B$18)))*PARAMS_MODELO!$B$9</f>
        <v>15</v>
      </c>
      <c r="K881" s="5">
        <f>IFERROR(CHOOSE(MATCH(PARAMS_MODELO!$B$2,{"Q1","Q2","Q3"},0),LOTO!$D881,LOTO!$F881,LOTO!$H881),0)</f>
        <v>1595000</v>
      </c>
      <c r="L881" s="8">
        <f t="shared" si="314"/>
        <v>4.6659344513731375E-2</v>
      </c>
      <c r="M881" s="5">
        <f>MIN(100,IF(PARAMS_MODELO!$B$23=0,0,100*L881/PARAMS_MODELO!$B$23))*PARAMS_MODELO!$B$10</f>
        <v>13.99780335411941</v>
      </c>
      <c r="N881" s="5">
        <f>IFERROR(VLOOKUP(A881,COMPLIANCE!$A$2:$F$1996,6,0),100)</f>
        <v>100</v>
      </c>
      <c r="O881" s="5">
        <f>N881*PARAMS_MODELO!$B$11</f>
        <v>10</v>
      </c>
      <c r="P881" s="5">
        <f>IFERROR(VLOOKUP(A881,DIGITAL!$A$2:$J$2000,7,0),100)</f>
        <v>72</v>
      </c>
      <c r="Q881" s="5">
        <f>IFERROR(P881,0)*PARAMS_MODELO!$B$12</f>
        <v>7.2</v>
      </c>
      <c r="R881">
        <f t="shared" si="315"/>
        <v>86.467340406732319</v>
      </c>
      <c r="S881" s="5" t="str">
        <f>IFERROR(VLOOKUP(A881,CLIENTE!$A$2:$N$2000,13,0),1)</f>
        <v>Regular</v>
      </c>
      <c r="T881" s="5">
        <f>IFERROR(VLOOKUP(A881,CLIENTE!$A$2:$N$2000,14,0),1)</f>
        <v>1</v>
      </c>
      <c r="U881" s="5">
        <f t="shared" si="316"/>
        <v>86.467340406732319</v>
      </c>
      <c r="V881" s="5" t="str">
        <f>IF(U881&gt;=MAX(_xlfn.PERCENTILE.INC($U$2:$U$1194,PARAMS_MODELO!$B$50),PARAMS_MODELO!$B$45),"DIAMANTE",IF(U881&gt;=MAX(_xlfn.PERCENTILE.INC($U$2:$U$1194,PARAMS_MODELO!$B$51),PARAMS_MODELO!$B$46),"PLATINO",IF(U881&gt;=MAX(_xlfn.PERCENTILE.INC($U$2:$U$1194,PARAMS_MODELO!$B$52),PARAMS_MODELO!$B$47),"ORO",IF(U881&gt;=MAX(_xlfn.PERCENTILE.INC($U$2:$U$1194,PARAMS_MODELO!$B$53),PARAMS_MODELO!$B$48),"PLATA",IF(U881&gt;=1,"BRONCE","CERRADO")))))</f>
        <v>PLATINO</v>
      </c>
      <c r="W881" s="5" t="str" cm="1">
        <f t="array" ref="W881">_xlfn.XLOOKUP(1, (HIST_SCORE!$B:$B=PARAMS_MODELO!$B$4) * (HIST_SCORE!$C:$C=A881), HIST_SCORE!$E:$E, "No encontrado")</f>
        <v>ORO</v>
      </c>
      <c r="X881" s="5" t="str">
        <f>_xlfn.LET(_xlpm.act,MATCH(V881,{"DIAMANTE";"PLATINO";"ORO";"PLATA";"BRONCE";"CERRADO"},0),_xlpm.ant,MATCH(W881,{"DIAMANTE";"PLATINO";"ORO";"PLATA";"BRONCE";"CERRADO"},0),IF(_xlpm.act&lt;_xlpm.ant,"Mejora ↑",IF(_xlpm.act&gt;_xlpm.ant,"Baja ↓","Estable →")))</f>
        <v>Mejora ↑</v>
      </c>
      <c r="Y881" s="5">
        <f>IFERROR(U881-SUMIFS(HIST_SCORE!$D:$D,HIST_SCORE!$B:$B,PARAMS_MODELO!$B$4,HIST_SCORE!$C:$C,$A881),"")</f>
        <v>1.6876157223829722</v>
      </c>
      <c r="Z881" s="5" t="str">
        <f t="shared" si="317"/>
        <v>→ Estable</v>
      </c>
      <c r="AA881" s="5">
        <f t="shared" si="318"/>
        <v>237</v>
      </c>
      <c r="AB881" s="5">
        <f>IFERROR(SUMIFS(HIST_SCORE!$F:$F,HIST_SCORE!$B:$B,PARAMS_MODELO!$B$4,HIST_SCORE!$C:$C,$A881),"")</f>
        <v>269</v>
      </c>
      <c r="AC881" s="5">
        <f t="shared" si="319"/>
        <v>32</v>
      </c>
      <c r="AD881" t="str">
        <f t="shared" si="321"/>
        <v/>
      </c>
      <c r="AE8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881="CERRADO",1,IF(V881="BRONCE",_xlpm.cPl,IF(V881="PLATA",_xlpm.cO,IF(V881="ORO",_xlpm.cP,IF(V881="PLATINO",_xlpm.cD,999))))))</f>
        <v>96.054919694466676</v>
      </c>
      <c r="AF8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881="CERRADO",0,IF(V881="BRONCE",1,IF(V881="PLATA",_xlpm.cPl,IF(V881="ORO",_xlpm.cO,IF(V881="PLATINO",_xlpm.cP,_xlpm.cD))))))</f>
        <v>86.439123873763251</v>
      </c>
      <c r="AG881">
        <f t="shared" si="322"/>
        <v>9.5875792877343571</v>
      </c>
      <c r="AH881" t="str">
        <f t="shared" si="323"/>
        <v>VENTAS</v>
      </c>
      <c r="AI881" t="str">
        <f t="shared" si="320"/>
        <v>🎯 Para subir de categoría, eje VENTAS / IMPACTO ABSOLUTO (H). Acción: metas semanales + activación comercial + seguimiento del asesor. ΔR aprox: 9,6</v>
      </c>
      <c r="AJ881" s="26">
        <f>_xlfn.LET(_xlpm.piso,AF881,_xlpm.corte,AE881,_xlpm.prog,IF(_xlpm.corte&lt;=_xlpm.piso,0,MAX(0,MIN(1,(U881-_xlpm.piso)/(_xlpm.corte-_xlpm.piso)))),_xlpm.orden,{"DIAMANTE";"PLATINO";"ORO";"PLATA";"BRONCE";"CERRADO"},_xlpm.act,IFERROR(MATCH(V881,_xlpm.orden,0),6),_xlpm.ant,IFERROR(MATCH(W881,_xlpm.orden,0),6),_xlpm.ajmov,IF(_xlpm.act&lt;_xlpm.ant,0.08,IF(_xlpm.act&gt;_xlpm.ant,-0.08,0)),_xlpm.ajcli,IF(T881&lt;0.95,-0.06,0),_xlpm.prob,MAX(0,MIN(1,_xlpm.prog+_xlpm.ajmov+_xlpm.ajcli)),IF(OR(V881="DIAMANTE",V881="CERRADO"),0,ROUND(_xlpm.prob,2)))</f>
        <v>0.08</v>
      </c>
      <c r="AK881" t="str">
        <f t="shared" si="324"/>
        <v>Faltan 9,6 puntos base para subir a la siguiente categoría</v>
      </c>
      <c r="AL881" t="str">
        <f t="shared" si="325"/>
        <v>Margen de seguridad: 0,0 puntos</v>
      </c>
      <c r="AM881">
        <f t="shared" si="326"/>
        <v>0.75</v>
      </c>
      <c r="AN881" t="str">
        <f t="shared" si="327"/>
        <v>PRIORIDAD ALTA – requiere intervención inmediata</v>
      </c>
      <c r="AO881">
        <f t="shared" si="328"/>
        <v>9.5930322226826803</v>
      </c>
      <c r="AP881">
        <f t="shared" si="329"/>
        <v>1.0021966458805895</v>
      </c>
      <c r="AQ881">
        <f t="shared" si="330"/>
        <v>0</v>
      </c>
      <c r="AR881">
        <f t="shared" si="331"/>
        <v>2.8</v>
      </c>
      <c r="AS881">
        <f t="shared" si="332"/>
        <v>0</v>
      </c>
      <c r="AT881" t="str">
        <f t="shared" si="333"/>
        <v>VENTAS</v>
      </c>
      <c r="AU881">
        <f t="shared" si="334"/>
        <v>9.5930322226826803</v>
      </c>
      <c r="AV881" t="str">
        <f t="shared" si="335"/>
        <v>Mayor retorno probable: VENTAS (+9,6 puntos finales potenciales).</v>
      </c>
    </row>
    <row r="882" spans="1:48" x14ac:dyDescent="0.3">
      <c r="A882" s="5">
        <v>51033116</v>
      </c>
      <c r="B882" s="5" t="str">
        <f>IFERROR(VLOOKUP(A882,VENTAS!$A$2:$B$1194,2,0),"")</f>
        <v>ARGUELLO</v>
      </c>
      <c r="C882" s="5">
        <f>IFERROR(INDEX(VENTAS!$C$2:$E$1194,MATCH(A882,VENTAS!$A$2:$A$1194,0),MATCH(PARAMS_MODELO!$B$2,{"Q1","Q2","Q3"},0)),0)</f>
        <v>28343850.760000002</v>
      </c>
      <c r="D882" s="5">
        <f>IFERROR(INDEX(VENTAS!$F$2:$H$1194,MATCH(A882,VENTAS!$A$2:$A$1194,0),MATCH(PARAMS_MODELO!$B$2,{"Q1","Q2","Q3"},0)),0)</f>
        <v>34148438</v>
      </c>
      <c r="E882" s="8">
        <f t="shared" si="312"/>
        <v>0.20479176556319123</v>
      </c>
      <c r="F882" s="12">
        <f>IF(E882&lt;=PARAMS_MODELO!$B$15,0,IF(E882&gt;=PARAMS_MODELO!$B$17,100,100*MIN(1,(E882-PARAMS_MODELO!$B$15)/(PARAMS_MODELO!$B$16-PARAMS_MODELO!$B$15))))*PARAMS_MODELO!$B$7</f>
        <v>35</v>
      </c>
      <c r="G882" s="5">
        <f t="shared" si="313"/>
        <v>5804587.2399999984</v>
      </c>
      <c r="H882" s="5">
        <f>(PARAMS_MODELO!$B$20*(MAX(0,MIN(3,E882))/3)+PARAMS_MODELO!$B$21*(IFERROR(LN(1+MAX(0,G882))/LN(1+MAX(0,MAX($G$2:$G$1194))),0)))*100*PARAMS_MODELO!$B$8</f>
        <v>4.3675715310759271</v>
      </c>
      <c r="I882" s="8">
        <f>E882-PARAMS_MODELO!$B$5</f>
        <v>2.7228930187664702E-2</v>
      </c>
      <c r="J882" s="5">
        <f>IF(I882&lt;=PARAMS_MODELO!$B$18,0,IF(I882&gt;=PARAMS_MODELO!$B$19,100,100*(I882-PARAMS_MODELO!$B$18)/(PARAMS_MODELO!$B$19-PARAMS_MODELO!$B$18)))*PARAMS_MODELO!$B$9</f>
        <v>11.584339528149705</v>
      </c>
      <c r="K882" s="5">
        <f>IFERROR(CHOOSE(MATCH(PARAMS_MODELO!$B$2,{"Q1","Q2","Q3"},0),LOTO!$D882,LOTO!$F882,LOTO!$H882),0)</f>
        <v>1592500</v>
      </c>
      <c r="L882" s="8">
        <f t="shared" si="314"/>
        <v>4.6634636699927533E-2</v>
      </c>
      <c r="M882" s="5">
        <f>MIN(100,IF(PARAMS_MODELO!$B$23=0,0,100*L882/PARAMS_MODELO!$B$23))*PARAMS_MODELO!$B$10</f>
        <v>13.990391009978257</v>
      </c>
      <c r="N882" s="5">
        <f>IFERROR(VLOOKUP(A882,COMPLIANCE!$A$2:$F$1996,6,0),100)</f>
        <v>99.83</v>
      </c>
      <c r="O882" s="5">
        <f>N882*PARAMS_MODELO!$B$11</f>
        <v>9.9830000000000005</v>
      </c>
      <c r="P882" s="5">
        <f>IFERROR(VLOOKUP(A882,DIGITAL!$A$2:$J$2000,7,0),100)</f>
        <v>90</v>
      </c>
      <c r="Q882" s="5">
        <f>IFERROR(P882,0)*PARAMS_MODELO!$B$12</f>
        <v>9</v>
      </c>
      <c r="R882">
        <f t="shared" si="315"/>
        <v>83.925302069203894</v>
      </c>
      <c r="S882" s="5" t="str">
        <f>IFERROR(VLOOKUP(A882,CLIENTE!$A$2:$N$2000,13,0),1)</f>
        <v>Regular</v>
      </c>
      <c r="T882" s="5">
        <f>IFERROR(VLOOKUP(A882,CLIENTE!$A$2:$N$2000,14,0),1)</f>
        <v>1</v>
      </c>
      <c r="U882" s="5">
        <f t="shared" si="316"/>
        <v>83.925302069203894</v>
      </c>
      <c r="V882" s="5" t="str">
        <f>IF(U882&gt;=MAX(_xlfn.PERCENTILE.INC($U$2:$U$1194,PARAMS_MODELO!$B$50),PARAMS_MODELO!$B$45),"DIAMANTE",IF(U882&gt;=MAX(_xlfn.PERCENTILE.INC($U$2:$U$1194,PARAMS_MODELO!$B$51),PARAMS_MODELO!$B$46),"PLATINO",IF(U882&gt;=MAX(_xlfn.PERCENTILE.INC($U$2:$U$1194,PARAMS_MODELO!$B$52),PARAMS_MODELO!$B$47),"ORO",IF(U882&gt;=MAX(_xlfn.PERCENTILE.INC($U$2:$U$1194,PARAMS_MODELO!$B$53),PARAMS_MODELO!$B$48),"PLATA",IF(U882&gt;=1,"BRONCE","CERRADO")))))</f>
        <v>ORO</v>
      </c>
      <c r="W882" s="5" t="str" cm="1">
        <f t="array" ref="W882">_xlfn.XLOOKUP(1, (HIST_SCORE!$B:$B=PARAMS_MODELO!$B$4) * (HIST_SCORE!$C:$C=A882), HIST_SCORE!$E:$E, "No encontrado")</f>
        <v>ORO</v>
      </c>
      <c r="X882" s="5" t="str">
        <f>_xlfn.LET(_xlpm.act,MATCH(V882,{"DIAMANTE";"PLATINO";"ORO";"PLATA";"BRONCE";"CERRADO"},0),_xlpm.ant,MATCH(W882,{"DIAMANTE";"PLATINO";"ORO";"PLATA";"BRONCE";"CERRADO"},0),IF(_xlpm.act&lt;_xlpm.ant,"Mejora ↑",IF(_xlpm.act&gt;_xlpm.ant,"Baja ↓","Estable →")))</f>
        <v>Estable →</v>
      </c>
      <c r="Y882" s="5">
        <f>IFERROR(U882-SUMIFS(HIST_SCORE!$D:$D,HIST_SCORE!$B:$B,PARAMS_MODELO!$B$4,HIST_SCORE!$C:$C,$A882),"")</f>
        <v>11.915127002845963</v>
      </c>
      <c r="Z882" s="5" t="str">
        <f t="shared" si="317"/>
        <v>↑ Mejora</v>
      </c>
      <c r="AA882" s="5">
        <f t="shared" si="318"/>
        <v>326</v>
      </c>
      <c r="AB882" s="5">
        <f>IFERROR(SUMIFS(HIST_SCORE!$F:$F,HIST_SCORE!$B:$B,PARAMS_MODELO!$B$4,HIST_SCORE!$C:$C,$A882),"")</f>
        <v>521</v>
      </c>
      <c r="AC882" s="5">
        <f t="shared" si="319"/>
        <v>195</v>
      </c>
      <c r="AD882" t="str">
        <f t="shared" si="321"/>
        <v/>
      </c>
      <c r="AE8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882="CERRADO",1,IF(V882="BRONCE",_xlpm.cPl,IF(V882="PLATA",_xlpm.cO,IF(V882="ORO",_xlpm.cP,IF(V882="PLATINO",_xlpm.cD,999))))))</f>
        <v>86.439123873763251</v>
      </c>
      <c r="AF8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882="CERRADO",0,IF(V882="BRONCE",1,IF(V882="PLATA",_xlpm.cPl,IF(V882="ORO",_xlpm.cO,IF(V882="PLATINO",_xlpm.cP,_xlpm.cD))))))</f>
        <v>63.199193273331495</v>
      </c>
      <c r="AG882">
        <f t="shared" si="322"/>
        <v>2.5138218045593561</v>
      </c>
      <c r="AH882" t="str">
        <f t="shared" si="323"/>
        <v>VENTAS</v>
      </c>
      <c r="AI882" t="str">
        <f t="shared" si="320"/>
        <v>🎯 Para subir de categoría, eje VENTAS / IMPACTO ABSOLUTO (H). Acción: metas semanales + activación comercial + seguimiento del asesor. ΔR aprox: 2,5</v>
      </c>
      <c r="AJ882" s="26">
        <f>_xlfn.LET(_xlpm.piso,AF882,_xlpm.corte,AE882,_xlpm.prog,IF(_xlpm.corte&lt;=_xlpm.piso,0,MAX(0,MIN(1,(U882-_xlpm.piso)/(_xlpm.corte-_xlpm.piso)))),_xlpm.orden,{"DIAMANTE";"PLATINO";"ORO";"PLATA";"BRONCE";"CERRADO"},_xlpm.act,IFERROR(MATCH(V882,_xlpm.orden,0),6),_xlpm.ant,IFERROR(MATCH(W882,_xlpm.orden,0),6),_xlpm.ajmov,IF(_xlpm.act&lt;_xlpm.ant,0.08,IF(_xlpm.act&gt;_xlpm.ant,-0.08,0)),_xlpm.ajcli,IF(T882&lt;0.95,-0.06,0),_xlpm.prob,MAX(0,MIN(1,_xlpm.prog+_xlpm.ajmov+_xlpm.ajcli)),IF(OR(V882="DIAMANTE",V882="CERRADO"),0,ROUND(_xlpm.prob,2)))</f>
        <v>0.89</v>
      </c>
      <c r="AK882" t="str">
        <f t="shared" si="324"/>
        <v>Faltan 2,5 puntos base para subir a la siguiente categoría</v>
      </c>
      <c r="AL882" t="str">
        <f t="shared" si="325"/>
        <v>Margen de seguridad: 20,7 puntos</v>
      </c>
      <c r="AM882">
        <f t="shared" si="326"/>
        <v>0.14000000000000001</v>
      </c>
      <c r="AN882" t="str">
        <f t="shared" si="327"/>
        <v>PRIORIDAD BAJA – control normal</v>
      </c>
      <c r="AO882">
        <f t="shared" si="328"/>
        <v>13.910658216069955</v>
      </c>
      <c r="AP882">
        <f t="shared" si="329"/>
        <v>1.0096089900217429</v>
      </c>
      <c r="AQ882">
        <f t="shared" si="330"/>
        <v>1.699999999999946E-2</v>
      </c>
      <c r="AR882">
        <f t="shared" si="331"/>
        <v>1</v>
      </c>
      <c r="AS882">
        <f t="shared" si="332"/>
        <v>0</v>
      </c>
      <c r="AT882" t="str">
        <f t="shared" si="333"/>
        <v>VENTAS</v>
      </c>
      <c r="AU882">
        <f t="shared" si="334"/>
        <v>13.910658216069955</v>
      </c>
      <c r="AV882" t="str">
        <f t="shared" si="335"/>
        <v>Mayor retorno probable: VENTAS (+13,9 puntos finales potenciales).</v>
      </c>
    </row>
    <row r="883" spans="1:48" x14ac:dyDescent="0.3">
      <c r="A883" s="5">
        <v>51003292</v>
      </c>
      <c r="B883" s="5" t="str">
        <f>IFERROR(VLOOKUP(A883,VENTAS!$A$2:$B$1194,2,0),"")</f>
        <v>BELUZZO</v>
      </c>
      <c r="C883" s="5">
        <f>IFERROR(INDEX(VENTAS!$C$2:$E$1194,MATCH(A883,VENTAS!$A$2:$A$1194,0),MATCH(PARAMS_MODELO!$B$2,{"Q1","Q2","Q3"},0)),0)</f>
        <v>28937607.199999999</v>
      </c>
      <c r="D883" s="5">
        <f>IFERROR(INDEX(VENTAS!$F$2:$H$1194,MATCH(A883,VENTAS!$A$2:$A$1194,0),MATCH(PARAMS_MODELO!$B$2,{"Q1","Q2","Q3"},0)),0)</f>
        <v>33783790</v>
      </c>
      <c r="E883" s="8">
        <f t="shared" si="312"/>
        <v>0.16747005951480332</v>
      </c>
      <c r="F883" s="12">
        <f>IF(E883&lt;=PARAMS_MODELO!$B$15,0,IF(E883&gt;=PARAMS_MODELO!$B$17,100,100*MIN(1,(E883-PARAMS_MODELO!$B$15)/(PARAMS_MODELO!$B$16-PARAMS_MODELO!$B$15))))*PARAMS_MODELO!$B$7</f>
        <v>35</v>
      </c>
      <c r="G883" s="5">
        <f t="shared" si="313"/>
        <v>4846182.8000000007</v>
      </c>
      <c r="H883" s="5">
        <f>(PARAMS_MODELO!$B$20*(MAX(0,MIN(3,E883))/3)+PARAMS_MODELO!$B$21*(IFERROR(LN(1+MAX(0,G883))/LN(1+MAX(0,MAX($G$2:$G$1194))),0)))*100*PARAMS_MODELO!$B$8</f>
        <v>4.1946438891366675</v>
      </c>
      <c r="I883" s="8">
        <f>E883-PARAMS_MODELO!$B$5</f>
        <v>-1.0092775860723213E-2</v>
      </c>
      <c r="J883" s="5">
        <f>IF(I883&lt;=PARAMS_MODELO!$B$18,0,IF(I883&gt;=PARAMS_MODELO!$B$19,100,100*(I883-PARAMS_MODELO!$B$18)/(PARAMS_MODELO!$B$19-PARAMS_MODELO!$B$18)))*PARAMS_MODELO!$B$9</f>
        <v>5.9860836208915185</v>
      </c>
      <c r="K883" s="5">
        <f>IFERROR(CHOOSE(MATCH(PARAMS_MODELO!$B$2,{"Q1","Q2","Q3"},0),LOTO!$D883,LOTO!$F883,LOTO!$H883),0)</f>
        <v>1590000</v>
      </c>
      <c r="L883" s="8">
        <f t="shared" si="314"/>
        <v>4.706399134022559E-2</v>
      </c>
      <c r="M883" s="5">
        <f>MIN(100,IF(PARAMS_MODELO!$B$23=0,0,100*L883/PARAMS_MODELO!$B$23))*PARAMS_MODELO!$B$10</f>
        <v>14.119197402067675</v>
      </c>
      <c r="N883" s="5">
        <f>IFERROR(VLOOKUP(A883,COMPLIANCE!$A$2:$F$1996,6,0),100)</f>
        <v>99.94</v>
      </c>
      <c r="O883" s="5">
        <f>N883*PARAMS_MODELO!$B$11</f>
        <v>9.9939999999999998</v>
      </c>
      <c r="P883" s="5">
        <f>IFERROR(VLOOKUP(A883,DIGITAL!$A$2:$J$2000,7,0),100)</f>
        <v>90</v>
      </c>
      <c r="Q883" s="5">
        <f>IFERROR(P883,0)*PARAMS_MODELO!$B$12</f>
        <v>9</v>
      </c>
      <c r="R883">
        <f t="shared" si="315"/>
        <v>78.293924912095861</v>
      </c>
      <c r="S883" s="5" t="str">
        <f>IFERROR(VLOOKUP(A883,CLIENTE!$A$2:$N$2000,13,0),1)</f>
        <v>Malo</v>
      </c>
      <c r="T883" s="5">
        <f>IFERROR(VLOOKUP(A883,CLIENTE!$A$2:$N$2000,14,0),1)</f>
        <v>0.7</v>
      </c>
      <c r="U883" s="5">
        <f t="shared" si="316"/>
        <v>54.805747438467101</v>
      </c>
      <c r="V883" s="5" t="str">
        <f>IF(U883&gt;=MAX(_xlfn.PERCENTILE.INC($U$2:$U$1194,PARAMS_MODELO!$B$50),PARAMS_MODELO!$B$45),"DIAMANTE",IF(U883&gt;=MAX(_xlfn.PERCENTILE.INC($U$2:$U$1194,PARAMS_MODELO!$B$51),PARAMS_MODELO!$B$46),"PLATINO",IF(U883&gt;=MAX(_xlfn.PERCENTILE.INC($U$2:$U$1194,PARAMS_MODELO!$B$52),PARAMS_MODELO!$B$47),"ORO",IF(U883&gt;=MAX(_xlfn.PERCENTILE.INC($U$2:$U$1194,PARAMS_MODELO!$B$53),PARAMS_MODELO!$B$48),"PLATA",IF(U883&gt;=1,"BRONCE","CERRADO")))))</f>
        <v>PLATA</v>
      </c>
      <c r="W883" s="5" t="str" cm="1">
        <f t="array" ref="W883">_xlfn.XLOOKUP(1, (HIST_SCORE!$B:$B=PARAMS_MODELO!$B$4) * (HIST_SCORE!$C:$C=A883), HIST_SCORE!$E:$E, "No encontrado")</f>
        <v>PLATA</v>
      </c>
      <c r="X883" s="5" t="str">
        <f>_xlfn.LET(_xlpm.act,MATCH(V883,{"DIAMANTE";"PLATINO";"ORO";"PLATA";"BRONCE";"CERRADO"},0),_xlpm.ant,MATCH(W883,{"DIAMANTE";"PLATINO";"ORO";"PLATA";"BRONCE";"CERRADO"},0),IF(_xlpm.act&lt;_xlpm.ant,"Mejora ↑",IF(_xlpm.act&gt;_xlpm.ant,"Baja ↓","Estable →")))</f>
        <v>Estable →</v>
      </c>
      <c r="Y883" s="5">
        <f>IFERROR(U883-SUMIFS(HIST_SCORE!$D:$D,HIST_SCORE!$B:$B,PARAMS_MODELO!$B$4,HIST_SCORE!$C:$C,$A883),"")</f>
        <v>-5.6188407584358657</v>
      </c>
      <c r="Z883" s="5" t="str">
        <f t="shared" si="317"/>
        <v>↓ Baja</v>
      </c>
      <c r="AA883" s="5">
        <f t="shared" si="318"/>
        <v>718</v>
      </c>
      <c r="AB883" s="5">
        <f>IFERROR(SUMIFS(HIST_SCORE!$F:$F,HIST_SCORE!$B:$B,PARAMS_MODELO!$B$4,HIST_SCORE!$C:$C,$A883),"")</f>
        <v>643</v>
      </c>
      <c r="AC883" s="5">
        <f t="shared" si="319"/>
        <v>-75</v>
      </c>
      <c r="AD883" t="str">
        <f t="shared" si="321"/>
        <v/>
      </c>
      <c r="AE8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883="CERRADO",1,IF(V883="BRONCE",_xlpm.cPl,IF(V883="PLATA",_xlpm.cO,IF(V883="ORO",_xlpm.cP,IF(V883="PLATINO",_xlpm.cD,999))))))</f>
        <v>63.199193273331495</v>
      </c>
      <c r="AF8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883="CERRADO",0,IF(V883="BRONCE",1,IF(V883="PLATA",_xlpm.cPl,IF(V883="ORO",_xlpm.cO,IF(V883="PLATINO",_xlpm.cP,_xlpm.cD))))))</f>
        <v>24.506573482968111</v>
      </c>
      <c r="AG883">
        <f t="shared" si="322"/>
        <v>11.990636906949135</v>
      </c>
      <c r="AH883" t="str">
        <f t="shared" si="323"/>
        <v>CLIENTE</v>
      </c>
      <c r="AI883" t="str">
        <f t="shared" si="320"/>
        <v>🎯 Para subir de categoría, la eje con mayor impacto probable es CLIENTE (coef T). Acción: reducir quejas, mejorar incógnito y empujar reseñas. ΔR aprox: 12,0</v>
      </c>
      <c r="AJ883" s="26">
        <f>_xlfn.LET(_xlpm.piso,AF883,_xlpm.corte,AE883,_xlpm.prog,IF(_xlpm.corte&lt;=_xlpm.piso,0,MAX(0,MIN(1,(U883-_xlpm.piso)/(_xlpm.corte-_xlpm.piso)))),_xlpm.orden,{"DIAMANTE";"PLATINO";"ORO";"PLATA";"BRONCE";"CERRADO"},_xlpm.act,IFERROR(MATCH(V883,_xlpm.orden,0),6),_xlpm.ant,IFERROR(MATCH(W883,_xlpm.orden,0),6),_xlpm.ajmov,IF(_xlpm.act&lt;_xlpm.ant,0.08,IF(_xlpm.act&gt;_xlpm.ant,-0.08,0)),_xlpm.ajcli,IF(T883&lt;0.95,-0.06,0),_xlpm.prob,MAX(0,MIN(1,_xlpm.prog+_xlpm.ajmov+_xlpm.ajcli)),IF(OR(V883="DIAMANTE",V883="CERRADO"),0,ROUND(_xlpm.prob,2)))</f>
        <v>0.72</v>
      </c>
      <c r="AK883" t="str">
        <f t="shared" si="324"/>
        <v>Faltan 12,0 puntos base para subir a la siguiente categoría</v>
      </c>
      <c r="AL883" t="str">
        <f t="shared" si="325"/>
        <v>Margen de seguridad: 30,3 puntos</v>
      </c>
      <c r="AM883">
        <f t="shared" si="326"/>
        <v>0.71</v>
      </c>
      <c r="AN883" t="str">
        <f t="shared" si="327"/>
        <v>PRIORIDAD ALTA – requiere intervención inmediata</v>
      </c>
      <c r="AO883">
        <f t="shared" si="328"/>
        <v>13.777289235687174</v>
      </c>
      <c r="AP883">
        <f t="shared" si="329"/>
        <v>0.61656181855262748</v>
      </c>
      <c r="AQ883">
        <f t="shared" si="330"/>
        <v>4.2000000000001585E-3</v>
      </c>
      <c r="AR883">
        <f t="shared" si="331"/>
        <v>0.7</v>
      </c>
      <c r="AS883">
        <f t="shared" si="332"/>
        <v>23.488177473628763</v>
      </c>
      <c r="AT883" t="str">
        <f t="shared" si="333"/>
        <v>CLIENTE</v>
      </c>
      <c r="AU883">
        <f t="shared" si="334"/>
        <v>23.488177473628763</v>
      </c>
      <c r="AV883" t="str">
        <f t="shared" si="335"/>
        <v>Mayor retorno probable: CLIENTE (+23,5 puntos finales potenciales).</v>
      </c>
    </row>
    <row r="884" spans="1:48" x14ac:dyDescent="0.3">
      <c r="A884" s="5">
        <v>51014251</v>
      </c>
      <c r="B884" s="5" t="str">
        <f>IFERROR(VLOOKUP(A884,VENTAS!$A$2:$B$1194,2,0),"")</f>
        <v>ROBERTS</v>
      </c>
      <c r="C884" s="5">
        <f>IFERROR(INDEX(VENTAS!$C$2:$E$1194,MATCH(A884,VENTAS!$A$2:$A$1194,0),MATCH(PARAMS_MODELO!$B$2,{"Q1","Q2","Q3"},0)),0)</f>
        <v>60437512.959999993</v>
      </c>
      <c r="D884" s="5">
        <f>IFERROR(INDEX(VENTAS!$F$2:$H$1194,MATCH(A884,VENTAS!$A$2:$A$1194,0),MATCH(PARAMS_MODELO!$B$2,{"Q1","Q2","Q3"},0)),0)</f>
        <v>33734697</v>
      </c>
      <c r="E884" s="8">
        <f t="shared" si="312"/>
        <v>-0.44182519518420627</v>
      </c>
      <c r="F884" s="12">
        <f>IF(E884&lt;=PARAMS_MODELO!$B$15,0,IF(E884&gt;=PARAMS_MODELO!$B$17,100,100*MIN(1,(E884-PARAMS_MODELO!$B$15)/(PARAMS_MODELO!$B$16-PARAMS_MODELO!$B$15))))*PARAMS_MODELO!$B$7</f>
        <v>0</v>
      </c>
      <c r="G884" s="5">
        <f t="shared" si="313"/>
        <v>0</v>
      </c>
      <c r="H884" s="5">
        <f>(PARAMS_MODELO!$B$20*(MAX(0,MIN(3,E884))/3)+PARAMS_MODELO!$B$21*(IFERROR(LN(1+MAX(0,G884))/LN(1+MAX(0,MAX($G$2:$G$1194))),0)))*100*PARAMS_MODELO!$B$8</f>
        <v>0</v>
      </c>
      <c r="I884" s="8">
        <f>E884-PARAMS_MODELO!$B$5</f>
        <v>-0.61938803055973279</v>
      </c>
      <c r="J884" s="5">
        <f>IF(I884&lt;=PARAMS_MODELO!$B$18,0,IF(I884&gt;=PARAMS_MODELO!$B$19,100,100*(I884-PARAMS_MODELO!$B$18)/(PARAMS_MODELO!$B$19-PARAMS_MODELO!$B$18)))*PARAMS_MODELO!$B$9</f>
        <v>0</v>
      </c>
      <c r="K884" s="5">
        <f>IFERROR(CHOOSE(MATCH(PARAMS_MODELO!$B$2,{"Q1","Q2","Q3"},0),LOTO!$D884,LOTO!$F884,LOTO!$H884),0)</f>
        <v>1587500</v>
      </c>
      <c r="L884" s="8">
        <f t="shared" si="314"/>
        <v>4.7058374349708845E-2</v>
      </c>
      <c r="M884" s="5">
        <f>MIN(100,IF(PARAMS_MODELO!$B$23=0,0,100*L884/PARAMS_MODELO!$B$23))*PARAMS_MODELO!$B$10</f>
        <v>14.117512304912655</v>
      </c>
      <c r="N884" s="5">
        <f>IFERROR(VLOOKUP(A884,COMPLIANCE!$A$2:$F$1996,6,0),100)</f>
        <v>99.7</v>
      </c>
      <c r="O884" s="5">
        <f>N884*PARAMS_MODELO!$B$11</f>
        <v>9.9700000000000006</v>
      </c>
      <c r="P884" s="5">
        <f>IFERROR(VLOOKUP(A884,DIGITAL!$A$2:$J$2000,7,0),100)</f>
        <v>86</v>
      </c>
      <c r="Q884" s="5">
        <f>IFERROR(P884,0)*PARAMS_MODELO!$B$12</f>
        <v>8.6</v>
      </c>
      <c r="R884">
        <f t="shared" si="315"/>
        <v>32.687512304912659</v>
      </c>
      <c r="S884" s="5" t="str">
        <f>IFERROR(VLOOKUP(A884,CLIENTE!$A$2:$N$2000,13,0),1)</f>
        <v>Regular</v>
      </c>
      <c r="T884" s="5">
        <f>IFERROR(VLOOKUP(A884,CLIENTE!$A$2:$N$2000,14,0),1)</f>
        <v>1</v>
      </c>
      <c r="U884" s="5">
        <f t="shared" si="316"/>
        <v>32.687512304912659</v>
      </c>
      <c r="V884" s="5" t="str">
        <f>IF(U884&gt;=MAX(_xlfn.PERCENTILE.INC($U$2:$U$1194,PARAMS_MODELO!$B$50),PARAMS_MODELO!$B$45),"DIAMANTE",IF(U884&gt;=MAX(_xlfn.PERCENTILE.INC($U$2:$U$1194,PARAMS_MODELO!$B$51),PARAMS_MODELO!$B$46),"PLATINO",IF(U884&gt;=MAX(_xlfn.PERCENTILE.INC($U$2:$U$1194,PARAMS_MODELO!$B$52),PARAMS_MODELO!$B$47),"ORO",IF(U884&gt;=MAX(_xlfn.PERCENTILE.INC($U$2:$U$1194,PARAMS_MODELO!$B$53),PARAMS_MODELO!$B$48),"PLATA",IF(U884&gt;=1,"BRONCE","CERRADO")))))</f>
        <v>PLATA</v>
      </c>
      <c r="W884" s="5" t="str" cm="1">
        <f t="array" ref="W884">_xlfn.XLOOKUP(1, (HIST_SCORE!$B:$B=PARAMS_MODELO!$B$4) * (HIST_SCORE!$C:$C=A884), HIST_SCORE!$E:$E, "No encontrado")</f>
        <v>PLATA</v>
      </c>
      <c r="X884" s="5" t="str">
        <f>_xlfn.LET(_xlpm.act,MATCH(V884,{"DIAMANTE";"PLATINO";"ORO";"PLATA";"BRONCE";"CERRADO"},0),_xlpm.ant,MATCH(W884,{"DIAMANTE";"PLATINO";"ORO";"PLATA";"BRONCE";"CERRADO"},0),IF(_xlpm.act&lt;_xlpm.ant,"Mejora ↑",IF(_xlpm.act&gt;_xlpm.ant,"Baja ↓","Estable →")))</f>
        <v>Estable →</v>
      </c>
      <c r="Y884" s="5">
        <f>IFERROR(U884-SUMIFS(HIST_SCORE!$D:$D,HIST_SCORE!$B:$B,PARAMS_MODELO!$B$4,HIST_SCORE!$C:$C,$A884),"")</f>
        <v>-29.825946469319014</v>
      </c>
      <c r="Z884" s="5" t="str">
        <f t="shared" si="317"/>
        <v>↓ Baja</v>
      </c>
      <c r="AA884" s="5">
        <f t="shared" si="318"/>
        <v>826</v>
      </c>
      <c r="AB884" s="5">
        <f>IFERROR(SUMIFS(HIST_SCORE!$F:$F,HIST_SCORE!$B:$B,PARAMS_MODELO!$B$4,HIST_SCORE!$C:$C,$A884),"")</f>
        <v>600</v>
      </c>
      <c r="AC884" s="5">
        <f t="shared" si="319"/>
        <v>-226</v>
      </c>
      <c r="AD884" t="str">
        <f t="shared" si="321"/>
        <v/>
      </c>
      <c r="AE8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884="CERRADO",1,IF(V884="BRONCE",_xlpm.cPl,IF(V884="PLATA",_xlpm.cO,IF(V884="ORO",_xlpm.cP,IF(V884="PLATINO",_xlpm.cD,999))))))</f>
        <v>63.199193273331495</v>
      </c>
      <c r="AF8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884="CERRADO",0,IF(V884="BRONCE",1,IF(V884="PLATA",_xlpm.cPl,IF(V884="ORO",_xlpm.cO,IF(V884="PLATINO",_xlpm.cP,_xlpm.cD))))))</f>
        <v>24.506573482968111</v>
      </c>
      <c r="AG884">
        <f t="shared" si="322"/>
        <v>30.511680968418837</v>
      </c>
      <c r="AH884" t="str">
        <f t="shared" si="323"/>
        <v>VENTAS</v>
      </c>
      <c r="AI884" t="str">
        <f t="shared" si="320"/>
        <v>🎯 Para subir de categoría, eje VENTAS / CRECIMIENTO PERSONAL (F). Acción: metas semanales + activación comercial + seguimiento del asesor. ΔR aprox: 30,5</v>
      </c>
      <c r="AJ884" s="26">
        <f>_xlfn.LET(_xlpm.piso,AF884,_xlpm.corte,AE884,_xlpm.prog,IF(_xlpm.corte&lt;=_xlpm.piso,0,MAX(0,MIN(1,(U884-_xlpm.piso)/(_xlpm.corte-_xlpm.piso)))),_xlpm.orden,{"DIAMANTE";"PLATINO";"ORO";"PLATA";"BRONCE";"CERRADO"},_xlpm.act,IFERROR(MATCH(V884,_xlpm.orden,0),6),_xlpm.ant,IFERROR(MATCH(W884,_xlpm.orden,0),6),_xlpm.ajmov,IF(_xlpm.act&lt;_xlpm.ant,0.08,IF(_xlpm.act&gt;_xlpm.ant,-0.08,0)),_xlpm.ajcli,IF(T884&lt;0.95,-0.06,0),_xlpm.prob,MAX(0,MIN(1,_xlpm.prog+_xlpm.ajmov+_xlpm.ajcli)),IF(OR(V884="DIAMANTE",V884="CERRADO"),0,ROUND(_xlpm.prob,2)))</f>
        <v>0.21</v>
      </c>
      <c r="AK884" t="str">
        <f t="shared" si="324"/>
        <v>Faltan 30,5 puntos base para subir a la siguiente categoría</v>
      </c>
      <c r="AL884" t="str">
        <f t="shared" si="325"/>
        <v>Margen de seguridad: 8,2 puntos</v>
      </c>
      <c r="AM884">
        <f t="shared" si="326"/>
        <v>0.72</v>
      </c>
      <c r="AN884" t="str">
        <f t="shared" si="327"/>
        <v>PRIORIDAD ALTA – requiere intervención inmediata</v>
      </c>
      <c r="AO884">
        <f t="shared" si="328"/>
        <v>64.862569275295584</v>
      </c>
      <c r="AP884">
        <f t="shared" si="329"/>
        <v>0.88248769508734526</v>
      </c>
      <c r="AQ884">
        <f t="shared" si="330"/>
        <v>2.9999999999999361E-2</v>
      </c>
      <c r="AR884">
        <f t="shared" si="331"/>
        <v>1.4000000000000004</v>
      </c>
      <c r="AS884">
        <f t="shared" si="332"/>
        <v>0</v>
      </c>
      <c r="AT884" t="str">
        <f t="shared" si="333"/>
        <v>VENTAS</v>
      </c>
      <c r="AU884">
        <f t="shared" si="334"/>
        <v>64.862569275295584</v>
      </c>
      <c r="AV884" t="str">
        <f t="shared" si="335"/>
        <v>Mayor retorno probable: VENTAS (+64,9 puntos finales potenciales).</v>
      </c>
    </row>
    <row r="885" spans="1:48" x14ac:dyDescent="0.3">
      <c r="A885" s="5">
        <v>51042999</v>
      </c>
      <c r="B885" s="5" t="str">
        <f>IFERROR(VLOOKUP(A885,VENTAS!$A$2:$B$1194,2,0),"")</f>
        <v>PRADES</v>
      </c>
      <c r="C885" s="5">
        <f>IFERROR(INDEX(VENTAS!$C$2:$E$1194,MATCH(A885,VENTAS!$A$2:$A$1194,0),MATCH(PARAMS_MODELO!$B$2,{"Q1","Q2","Q3"},0)),0)</f>
        <v>37462670.600000001</v>
      </c>
      <c r="D885" s="5">
        <f>IFERROR(INDEX(VENTAS!$F$2:$H$1194,MATCH(A885,VENTAS!$A$2:$A$1194,0),MATCH(PARAMS_MODELO!$B$2,{"Q1","Q2","Q3"},0)),0)</f>
        <v>33619974</v>
      </c>
      <c r="E885" s="8">
        <f t="shared" si="312"/>
        <v>-0.10257401670664668</v>
      </c>
      <c r="F885" s="12">
        <f>IF(E885&lt;=PARAMS_MODELO!$B$15,0,IF(E885&gt;=PARAMS_MODELO!$B$17,100,100*MIN(1,(E885-PARAMS_MODELO!$B$15)/(PARAMS_MODELO!$B$16-PARAMS_MODELO!$B$15))))*PARAMS_MODELO!$B$7</f>
        <v>0</v>
      </c>
      <c r="G885" s="5">
        <f t="shared" si="313"/>
        <v>0</v>
      </c>
      <c r="H885" s="5">
        <f>(PARAMS_MODELO!$B$20*(MAX(0,MIN(3,E885))/3)+PARAMS_MODELO!$B$21*(IFERROR(LN(1+MAX(0,G885))/LN(1+MAX(0,MAX($G$2:$G$1194))),0)))*100*PARAMS_MODELO!$B$8</f>
        <v>0</v>
      </c>
      <c r="I885" s="8">
        <f>E885-PARAMS_MODELO!$B$5</f>
        <v>-0.2801368520821732</v>
      </c>
      <c r="J885" s="5">
        <f>IF(I885&lt;=PARAMS_MODELO!$B$18,0,IF(I885&gt;=PARAMS_MODELO!$B$19,100,100*(I885-PARAMS_MODELO!$B$18)/(PARAMS_MODELO!$B$19-PARAMS_MODELO!$B$18)))*PARAMS_MODELO!$B$9</f>
        <v>0</v>
      </c>
      <c r="K885" s="5">
        <f>IFERROR(CHOOSE(MATCH(PARAMS_MODELO!$B$2,{"Q1","Q2","Q3"},0),LOTO!$D885,LOTO!$F885,LOTO!$H885),0)</f>
        <v>1585000</v>
      </c>
      <c r="L885" s="8">
        <f t="shared" si="314"/>
        <v>4.7144593270655115E-2</v>
      </c>
      <c r="M885" s="5">
        <f>MIN(100,IF(PARAMS_MODELO!$B$23=0,0,100*L885/PARAMS_MODELO!$B$23))*PARAMS_MODELO!$B$10</f>
        <v>14.143377981196531</v>
      </c>
      <c r="N885" s="5">
        <f>IFERROR(VLOOKUP(A885,COMPLIANCE!$A$2:$F$1996,6,0),100)</f>
        <v>99.98</v>
      </c>
      <c r="O885" s="5">
        <f>N885*PARAMS_MODELO!$B$11</f>
        <v>9.9980000000000011</v>
      </c>
      <c r="P885" s="5">
        <f>IFERROR(VLOOKUP(A885,DIGITAL!$A$2:$J$2000,7,0),100)</f>
        <v>89</v>
      </c>
      <c r="Q885" s="5">
        <f>IFERROR(P885,0)*PARAMS_MODELO!$B$12</f>
        <v>8.9</v>
      </c>
      <c r="R885">
        <f t="shared" si="315"/>
        <v>33.041377981196533</v>
      </c>
      <c r="S885" s="5" t="str">
        <f>IFERROR(VLOOKUP(A885,CLIENTE!$A$2:$N$2000,13,0),1)</f>
        <v>Regular</v>
      </c>
      <c r="T885" s="5">
        <f>IFERROR(VLOOKUP(A885,CLIENTE!$A$2:$N$2000,14,0),1)</f>
        <v>1</v>
      </c>
      <c r="U885" s="5">
        <f t="shared" si="316"/>
        <v>33.041377981196533</v>
      </c>
      <c r="V885" s="5" t="str">
        <f>IF(U885&gt;=MAX(_xlfn.PERCENTILE.INC($U$2:$U$1194,PARAMS_MODELO!$B$50),PARAMS_MODELO!$B$45),"DIAMANTE",IF(U885&gt;=MAX(_xlfn.PERCENTILE.INC($U$2:$U$1194,PARAMS_MODELO!$B$51),PARAMS_MODELO!$B$46),"PLATINO",IF(U885&gt;=MAX(_xlfn.PERCENTILE.INC($U$2:$U$1194,PARAMS_MODELO!$B$52),PARAMS_MODELO!$B$47),"ORO",IF(U885&gt;=MAX(_xlfn.PERCENTILE.INC($U$2:$U$1194,PARAMS_MODELO!$B$53),PARAMS_MODELO!$B$48),"PLATA",IF(U885&gt;=1,"BRONCE","CERRADO")))))</f>
        <v>PLATA</v>
      </c>
      <c r="W885" s="5" t="str" cm="1">
        <f t="array" ref="W885">_xlfn.XLOOKUP(1, (HIST_SCORE!$B:$B=PARAMS_MODELO!$B$4) * (HIST_SCORE!$C:$C=A885), HIST_SCORE!$E:$E, "No encontrado")</f>
        <v>PLATA</v>
      </c>
      <c r="X885" s="5" t="str">
        <f>_xlfn.LET(_xlpm.act,MATCH(V885,{"DIAMANTE";"PLATINO";"ORO";"PLATA";"BRONCE";"CERRADO"},0),_xlpm.ant,MATCH(W885,{"DIAMANTE";"PLATINO";"ORO";"PLATA";"BRONCE";"CERRADO"},0),IF(_xlpm.act&lt;_xlpm.ant,"Mejora ↑",IF(_xlpm.act&gt;_xlpm.ant,"Baja ↓","Estable →")))</f>
        <v>Estable →</v>
      </c>
      <c r="Y885" s="5">
        <f>IFERROR(U885-SUMIFS(HIST_SCORE!$D:$D,HIST_SCORE!$B:$B,PARAMS_MODELO!$B$4,HIST_SCORE!$C:$C,$A885),"")</f>
        <v>0.9690688176778508</v>
      </c>
      <c r="Z885" s="5" t="str">
        <f t="shared" si="317"/>
        <v>→ Estable</v>
      </c>
      <c r="AA885" s="5">
        <f t="shared" si="318"/>
        <v>824</v>
      </c>
      <c r="AB885" s="5">
        <f>IFERROR(SUMIFS(HIST_SCORE!$F:$F,HIST_SCORE!$B:$B,PARAMS_MODELO!$B$4,HIST_SCORE!$C:$C,$A885),"")</f>
        <v>887</v>
      </c>
      <c r="AC885" s="5">
        <f t="shared" si="319"/>
        <v>63</v>
      </c>
      <c r="AD885" t="str">
        <f t="shared" si="321"/>
        <v/>
      </c>
      <c r="AE8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885="CERRADO",1,IF(V885="BRONCE",_xlpm.cPl,IF(V885="PLATA",_xlpm.cO,IF(V885="ORO",_xlpm.cP,IF(V885="PLATINO",_xlpm.cD,999))))))</f>
        <v>63.199193273331495</v>
      </c>
      <c r="AF8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885="CERRADO",0,IF(V885="BRONCE",1,IF(V885="PLATA",_xlpm.cPl,IF(V885="ORO",_xlpm.cO,IF(V885="PLATINO",_xlpm.cP,_xlpm.cD))))))</f>
        <v>24.506573482968111</v>
      </c>
      <c r="AG885">
        <f t="shared" si="322"/>
        <v>30.157815292134963</v>
      </c>
      <c r="AH885" t="str">
        <f t="shared" si="323"/>
        <v>VENTAS</v>
      </c>
      <c r="AI885" t="str">
        <f t="shared" si="320"/>
        <v>🎯 Para subir de categoría, eje VENTAS / CRECIMIENTO PERSONAL (F). Acción: metas semanales + activación comercial + seguimiento del asesor. ΔR aprox: 30,2</v>
      </c>
      <c r="AJ885" s="26">
        <f>_xlfn.LET(_xlpm.piso,AF885,_xlpm.corte,AE885,_xlpm.prog,IF(_xlpm.corte&lt;=_xlpm.piso,0,MAX(0,MIN(1,(U885-_xlpm.piso)/(_xlpm.corte-_xlpm.piso)))),_xlpm.orden,{"DIAMANTE";"PLATINO";"ORO";"PLATA";"BRONCE";"CERRADO"},_xlpm.act,IFERROR(MATCH(V885,_xlpm.orden,0),6),_xlpm.ant,IFERROR(MATCH(W885,_xlpm.orden,0),6),_xlpm.ajmov,IF(_xlpm.act&lt;_xlpm.ant,0.08,IF(_xlpm.act&gt;_xlpm.ant,-0.08,0)),_xlpm.ajcli,IF(T885&lt;0.95,-0.06,0),_xlpm.prob,MAX(0,MIN(1,_xlpm.prog+_xlpm.ajmov+_xlpm.ajcli)),IF(OR(V885="DIAMANTE",V885="CERRADO"),0,ROUND(_xlpm.prob,2)))</f>
        <v>0.22</v>
      </c>
      <c r="AK885" t="str">
        <f t="shared" si="324"/>
        <v>Faltan 30,2 puntos base para subir a la siguiente categoría</v>
      </c>
      <c r="AL885" t="str">
        <f t="shared" si="325"/>
        <v>Margen de seguridad: 8,5 puntos</v>
      </c>
      <c r="AM885">
        <f t="shared" si="326"/>
        <v>0.71</v>
      </c>
      <c r="AN885" t="str">
        <f t="shared" si="327"/>
        <v>PRIORIDAD ALTA – requiere intervención inmediata</v>
      </c>
      <c r="AO885">
        <f t="shared" si="328"/>
        <v>64.862569275295584</v>
      </c>
      <c r="AP885">
        <f t="shared" si="329"/>
        <v>0.85662201880346878</v>
      </c>
      <c r="AQ885">
        <f t="shared" si="330"/>
        <v>1.9999999999988916E-3</v>
      </c>
      <c r="AR885">
        <f t="shared" si="331"/>
        <v>1.0999999999999996</v>
      </c>
      <c r="AS885">
        <f t="shared" si="332"/>
        <v>0</v>
      </c>
      <c r="AT885" t="str">
        <f t="shared" si="333"/>
        <v>VENTAS</v>
      </c>
      <c r="AU885">
        <f t="shared" si="334"/>
        <v>64.862569275295584</v>
      </c>
      <c r="AV885" t="str">
        <f t="shared" si="335"/>
        <v>Mayor retorno probable: VENTAS (+64,9 puntos finales potenciales).</v>
      </c>
    </row>
    <row r="886" spans="1:48" x14ac:dyDescent="0.3">
      <c r="A886" s="5">
        <v>51041712</v>
      </c>
      <c r="B886" s="5" t="str">
        <f>IFERROR(VLOOKUP(A886,VENTAS!$A$2:$B$1194,2,0),"")</f>
        <v>PRADES</v>
      </c>
      <c r="C886" s="5">
        <f>IFERROR(INDEX(VENTAS!$C$2:$E$1194,MATCH(A886,VENTAS!$A$2:$A$1194,0),MATCH(PARAMS_MODELO!$B$2,{"Q1","Q2","Q3"},0)),0)</f>
        <v>30288427.940000001</v>
      </c>
      <c r="D886" s="5">
        <f>IFERROR(INDEX(VENTAS!$F$2:$H$1194,MATCH(A886,VENTAS!$A$2:$A$1194,0),MATCH(PARAMS_MODELO!$B$2,{"Q1","Q2","Q3"},0)),0)</f>
        <v>33524003</v>
      </c>
      <c r="E886" s="8">
        <f t="shared" si="312"/>
        <v>0.10682545381389641</v>
      </c>
      <c r="F886" s="12">
        <f>IF(E886&lt;=PARAMS_MODELO!$B$15,0,IF(E886&gt;=PARAMS_MODELO!$B$17,100,100*MIN(1,(E886-PARAMS_MODELO!$B$15)/(PARAMS_MODELO!$B$16-PARAMS_MODELO!$B$15))))*PARAMS_MODELO!$B$7</f>
        <v>35</v>
      </c>
      <c r="G886" s="5">
        <f t="shared" si="313"/>
        <v>3235575.0599999987</v>
      </c>
      <c r="H886" s="5">
        <f>(PARAMS_MODELO!$B$20*(MAX(0,MIN(3,E886))/3)+PARAMS_MODELO!$B$21*(IFERROR(LN(1+MAX(0,G886))/LN(1+MAX(0,MAX($G$2:$G$1194))),0)))*100*PARAMS_MODELO!$B$8</f>
        <v>3.8876881468522302</v>
      </c>
      <c r="I886" s="8">
        <f>E886-PARAMS_MODELO!$B$5</f>
        <v>-7.0737381561630119E-2</v>
      </c>
      <c r="J886" s="5">
        <f>IF(I886&lt;=PARAMS_MODELO!$B$18,0,IF(I886&gt;=PARAMS_MODELO!$B$19,100,100*(I886-PARAMS_MODELO!$B$18)/(PARAMS_MODELO!$B$19-PARAMS_MODELO!$B$18)))*PARAMS_MODELO!$B$9</f>
        <v>0</v>
      </c>
      <c r="K886" s="5">
        <f>IFERROR(CHOOSE(MATCH(PARAMS_MODELO!$B$2,{"Q1","Q2","Q3"},0),LOTO!$D886,LOTO!$F886,LOTO!$H886),0)</f>
        <v>1585000</v>
      </c>
      <c r="L886" s="8">
        <f t="shared" si="314"/>
        <v>4.7279556680626715E-2</v>
      </c>
      <c r="M886" s="5">
        <f>MIN(100,IF(PARAMS_MODELO!$B$23=0,0,100*L886/PARAMS_MODELO!$B$23))*PARAMS_MODELO!$B$10</f>
        <v>14.183867004188013</v>
      </c>
      <c r="N886" s="5">
        <f>IFERROR(VLOOKUP(A886,COMPLIANCE!$A$2:$F$1996,6,0),100)</f>
        <v>99.98</v>
      </c>
      <c r="O886" s="5">
        <f>N886*PARAMS_MODELO!$B$11</f>
        <v>9.9980000000000011</v>
      </c>
      <c r="P886" s="5">
        <f>IFERROR(VLOOKUP(A886,DIGITAL!$A$2:$J$2000,7,0),100)</f>
        <v>68</v>
      </c>
      <c r="Q886" s="5">
        <f>IFERROR(P886,0)*PARAMS_MODELO!$B$12</f>
        <v>6.8000000000000007</v>
      </c>
      <c r="R886">
        <f t="shared" si="315"/>
        <v>69.869555151040245</v>
      </c>
      <c r="S886" s="5" t="str">
        <f>IFERROR(VLOOKUP(A886,CLIENTE!$A$2:$N$2000,13,0),1)</f>
        <v>Regular</v>
      </c>
      <c r="T886" s="5">
        <f>IFERROR(VLOOKUP(A886,CLIENTE!$A$2:$N$2000,14,0),1)</f>
        <v>1</v>
      </c>
      <c r="U886" s="5">
        <f t="shared" si="316"/>
        <v>69.869555151040245</v>
      </c>
      <c r="V886" s="5" t="str">
        <f>IF(U886&gt;=MAX(_xlfn.PERCENTILE.INC($U$2:$U$1194,PARAMS_MODELO!$B$50),PARAMS_MODELO!$B$45),"DIAMANTE",IF(U886&gt;=MAX(_xlfn.PERCENTILE.INC($U$2:$U$1194,PARAMS_MODELO!$B$51),PARAMS_MODELO!$B$46),"PLATINO",IF(U886&gt;=MAX(_xlfn.PERCENTILE.INC($U$2:$U$1194,PARAMS_MODELO!$B$52),PARAMS_MODELO!$B$47),"ORO",IF(U886&gt;=MAX(_xlfn.PERCENTILE.INC($U$2:$U$1194,PARAMS_MODELO!$B$53),PARAMS_MODELO!$B$48),"PLATA",IF(U886&gt;=1,"BRONCE","CERRADO")))))</f>
        <v>ORO</v>
      </c>
      <c r="W886" s="5" t="str" cm="1">
        <f t="array" ref="W886">_xlfn.XLOOKUP(1, (HIST_SCORE!$B:$B=PARAMS_MODELO!$B$4) * (HIST_SCORE!$C:$C=A886), HIST_SCORE!$E:$E, "No encontrado")</f>
        <v>ORO</v>
      </c>
      <c r="X886" s="5" t="str">
        <f>_xlfn.LET(_xlpm.act,MATCH(V886,{"DIAMANTE";"PLATINO";"ORO";"PLATA";"BRONCE";"CERRADO"},0),_xlpm.ant,MATCH(W886,{"DIAMANTE";"PLATINO";"ORO";"PLATA";"BRONCE";"CERRADO"},0),IF(_xlpm.act&lt;_xlpm.ant,"Mejora ↑",IF(_xlpm.act&gt;_xlpm.ant,"Baja ↓","Estable →")))</f>
        <v>Estable →</v>
      </c>
      <c r="Y886" s="5">
        <f>IFERROR(U886-SUMIFS(HIST_SCORE!$D:$D,HIST_SCORE!$B:$B,PARAMS_MODELO!$B$4,HIST_SCORE!$C:$C,$A886),"")</f>
        <v>-12.719093397914577</v>
      </c>
      <c r="Z886" s="5" t="str">
        <f t="shared" si="317"/>
        <v>↓ Baja</v>
      </c>
      <c r="AA886" s="5">
        <f t="shared" si="318"/>
        <v>512</v>
      </c>
      <c r="AB886" s="5">
        <f>IFERROR(SUMIFS(HIST_SCORE!$F:$F,HIST_SCORE!$B:$B,PARAMS_MODELO!$B$4,HIST_SCORE!$C:$C,$A886),"")</f>
        <v>347</v>
      </c>
      <c r="AC886" s="5">
        <f t="shared" si="319"/>
        <v>-165</v>
      </c>
      <c r="AD886" t="str">
        <f t="shared" si="321"/>
        <v>Sostener base y reforzar mix</v>
      </c>
      <c r="AE8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886="CERRADO",1,IF(V886="BRONCE",_xlpm.cPl,IF(V886="PLATA",_xlpm.cO,IF(V886="ORO",_xlpm.cP,IF(V886="PLATINO",_xlpm.cD,999))))))</f>
        <v>86.439123873763251</v>
      </c>
      <c r="AF8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886="CERRADO",0,IF(V886="BRONCE",1,IF(V886="PLATA",_xlpm.cPl,IF(V886="ORO",_xlpm.cO,IF(V886="PLATINO",_xlpm.cP,_xlpm.cD))))))</f>
        <v>63.199193273331495</v>
      </c>
      <c r="AG886">
        <f t="shared" si="322"/>
        <v>16.569568722723005</v>
      </c>
      <c r="AH886" t="str">
        <f t="shared" si="323"/>
        <v>VENTAS</v>
      </c>
      <c r="AI886" t="str">
        <f t="shared" si="320"/>
        <v>🎯 Para subir de categoría, eje VENTAS / DIFERENCIAL vs LOTBA (J). Acción: metas semanales + activación comercial + seguimiento del asesor. ΔR aprox: 16,6</v>
      </c>
      <c r="AJ886" s="26">
        <f>_xlfn.LET(_xlpm.piso,AF886,_xlpm.corte,AE886,_xlpm.prog,IF(_xlpm.corte&lt;=_xlpm.piso,0,MAX(0,MIN(1,(U886-_xlpm.piso)/(_xlpm.corte-_xlpm.piso)))),_xlpm.orden,{"DIAMANTE";"PLATINO";"ORO";"PLATA";"BRONCE";"CERRADO"},_xlpm.act,IFERROR(MATCH(V886,_xlpm.orden,0),6),_xlpm.ant,IFERROR(MATCH(W886,_xlpm.orden,0),6),_xlpm.ajmov,IF(_xlpm.act&lt;_xlpm.ant,0.08,IF(_xlpm.act&gt;_xlpm.ant,-0.08,0)),_xlpm.ajcli,IF(T886&lt;0.95,-0.06,0),_xlpm.prob,MAX(0,MIN(1,_xlpm.prog+_xlpm.ajmov+_xlpm.ajcli)),IF(OR(V886="DIAMANTE",V886="CERRADO"),0,ROUND(_xlpm.prob,2)))</f>
        <v>0.28999999999999998</v>
      </c>
      <c r="AK886" t="str">
        <f t="shared" si="324"/>
        <v>Faltan 16,6 puntos base para subir a la siguiente categoría</v>
      </c>
      <c r="AL886" t="str">
        <f t="shared" si="325"/>
        <v>Margen de seguridad: 6,7 puntos</v>
      </c>
      <c r="AM886">
        <f t="shared" si="326"/>
        <v>0.68</v>
      </c>
      <c r="AN886" t="str">
        <f t="shared" si="327"/>
        <v>PRIORIDAD MEDIA – seguimiento del asesor</v>
      </c>
      <c r="AO886">
        <f t="shared" si="328"/>
        <v>25.974881128443357</v>
      </c>
      <c r="AP886">
        <f t="shared" si="329"/>
        <v>0.81613299581198717</v>
      </c>
      <c r="AQ886">
        <f t="shared" si="330"/>
        <v>1.9999999999988916E-3</v>
      </c>
      <c r="AR886">
        <f t="shared" si="331"/>
        <v>3.1999999999999993</v>
      </c>
      <c r="AS886">
        <f t="shared" si="332"/>
        <v>0</v>
      </c>
      <c r="AT886" t="str">
        <f t="shared" si="333"/>
        <v>VENTAS</v>
      </c>
      <c r="AU886">
        <f t="shared" si="334"/>
        <v>25.974881128443357</v>
      </c>
      <c r="AV886" t="str">
        <f t="shared" si="335"/>
        <v>Mayor retorno probable: VENTAS (+26,0 puntos finales potenciales).</v>
      </c>
    </row>
    <row r="887" spans="1:48" x14ac:dyDescent="0.3">
      <c r="A887" s="5">
        <v>51023293</v>
      </c>
      <c r="B887" s="5" t="str">
        <f>IFERROR(VLOOKUP(A887,VENTAS!$A$2:$B$1194,2,0),"")</f>
        <v>NELLI</v>
      </c>
      <c r="C887" s="5">
        <f>IFERROR(INDEX(VENTAS!$C$2:$E$1194,MATCH(A887,VENTAS!$A$2:$A$1194,0),MATCH(PARAMS_MODELO!$B$2,{"Q1","Q2","Q3"},0)),0)</f>
        <v>35564698.520000003</v>
      </c>
      <c r="D887" s="5">
        <f>IFERROR(INDEX(VENTAS!$F$2:$H$1194,MATCH(A887,VENTAS!$A$2:$A$1194,0),MATCH(PARAMS_MODELO!$B$2,{"Q1","Q2","Q3"},0)),0)</f>
        <v>33410835</v>
      </c>
      <c r="E887" s="8">
        <f t="shared" si="312"/>
        <v>-6.0561838273105795E-2</v>
      </c>
      <c r="F887" s="12">
        <f>IF(E887&lt;=PARAMS_MODELO!$B$15,0,IF(E887&gt;=PARAMS_MODELO!$B$17,100,100*MIN(1,(E887-PARAMS_MODELO!$B$15)/(PARAMS_MODELO!$B$16-PARAMS_MODELO!$B$15))))*PARAMS_MODELO!$B$7</f>
        <v>0</v>
      </c>
      <c r="G887" s="5">
        <f t="shared" si="313"/>
        <v>0</v>
      </c>
      <c r="H887" s="5">
        <f>(PARAMS_MODELO!$B$20*(MAX(0,MIN(3,E887))/3)+PARAMS_MODELO!$B$21*(IFERROR(LN(1+MAX(0,G887))/LN(1+MAX(0,MAX($G$2:$G$1194))),0)))*100*PARAMS_MODELO!$B$8</f>
        <v>0</v>
      </c>
      <c r="I887" s="8">
        <f>E887-PARAMS_MODELO!$B$5</f>
        <v>-0.23812467364863232</v>
      </c>
      <c r="J887" s="5">
        <f>IF(I887&lt;=PARAMS_MODELO!$B$18,0,IF(I887&gt;=PARAMS_MODELO!$B$19,100,100*(I887-PARAMS_MODELO!$B$18)/(PARAMS_MODELO!$B$19-PARAMS_MODELO!$B$18)))*PARAMS_MODELO!$B$9</f>
        <v>0</v>
      </c>
      <c r="K887" s="5">
        <f>IFERROR(CHOOSE(MATCH(PARAMS_MODELO!$B$2,{"Q1","Q2","Q3"},0),LOTO!$D887,LOTO!$F887,LOTO!$H887),0)</f>
        <v>1582500</v>
      </c>
      <c r="L887" s="8">
        <f t="shared" si="314"/>
        <v>4.7364874299011081E-2</v>
      </c>
      <c r="M887" s="5">
        <f>MIN(100,IF(PARAMS_MODELO!$B$23=0,0,100*L887/PARAMS_MODELO!$B$23))*PARAMS_MODELO!$B$10</f>
        <v>14.209462289703323</v>
      </c>
      <c r="N887" s="5">
        <f>IFERROR(VLOOKUP(A887,COMPLIANCE!$A$2:$F$1996,6,0),100)</f>
        <v>99.58</v>
      </c>
      <c r="O887" s="5">
        <f>N887*PARAMS_MODELO!$B$11</f>
        <v>9.9580000000000002</v>
      </c>
      <c r="P887" s="5">
        <f>IFERROR(VLOOKUP(A887,DIGITAL!$A$2:$J$2000,7,0),100)</f>
        <v>14</v>
      </c>
      <c r="Q887" s="5">
        <f>IFERROR(P887,0)*PARAMS_MODELO!$B$12</f>
        <v>1.4000000000000001</v>
      </c>
      <c r="R887">
        <f t="shared" si="315"/>
        <v>25.567462289703322</v>
      </c>
      <c r="S887" s="5" t="str">
        <f>IFERROR(VLOOKUP(A887,CLIENTE!$A$2:$N$2000,13,0),1)</f>
        <v>Regular</v>
      </c>
      <c r="T887" s="5">
        <f>IFERROR(VLOOKUP(A887,CLIENTE!$A$2:$N$2000,14,0),1)</f>
        <v>1</v>
      </c>
      <c r="U887" s="5">
        <f t="shared" si="316"/>
        <v>25.567462289703322</v>
      </c>
      <c r="V887" s="5" t="str">
        <f>IF(U887&gt;=MAX(_xlfn.PERCENTILE.INC($U$2:$U$1194,PARAMS_MODELO!$B$50),PARAMS_MODELO!$B$45),"DIAMANTE",IF(U887&gt;=MAX(_xlfn.PERCENTILE.INC($U$2:$U$1194,PARAMS_MODELO!$B$51),PARAMS_MODELO!$B$46),"PLATINO",IF(U887&gt;=MAX(_xlfn.PERCENTILE.INC($U$2:$U$1194,PARAMS_MODELO!$B$52),PARAMS_MODELO!$B$47),"ORO",IF(U887&gt;=MAX(_xlfn.PERCENTILE.INC($U$2:$U$1194,PARAMS_MODELO!$B$53),PARAMS_MODELO!$B$48),"PLATA",IF(U887&gt;=1,"BRONCE","CERRADO")))))</f>
        <v>PLATA</v>
      </c>
      <c r="W887" s="5" t="str" cm="1">
        <f t="array" ref="W887">_xlfn.XLOOKUP(1, (HIST_SCORE!$B:$B=PARAMS_MODELO!$B$4) * (HIST_SCORE!$C:$C=A887), HIST_SCORE!$E:$E, "No encontrado")</f>
        <v>ORO</v>
      </c>
      <c r="X887" s="5" t="str">
        <f>_xlfn.LET(_xlpm.act,MATCH(V887,{"DIAMANTE";"PLATINO";"ORO";"PLATA";"BRONCE";"CERRADO"},0),_xlpm.ant,MATCH(W887,{"DIAMANTE";"PLATINO";"ORO";"PLATA";"BRONCE";"CERRADO"},0),IF(_xlpm.act&lt;_xlpm.ant,"Mejora ↑",IF(_xlpm.act&gt;_xlpm.ant,"Baja ↓","Estable →")))</f>
        <v>Baja ↓</v>
      </c>
      <c r="Y887" s="5">
        <f>IFERROR(U887-SUMIFS(HIST_SCORE!$D:$D,HIST_SCORE!$B:$B,PARAMS_MODELO!$B$4,HIST_SCORE!$C:$C,$A887),"")</f>
        <v>-41.611381413046438</v>
      </c>
      <c r="Z887" s="5" t="str">
        <f t="shared" si="317"/>
        <v>↓ Baja</v>
      </c>
      <c r="AA887" s="5">
        <f t="shared" si="318"/>
        <v>910</v>
      </c>
      <c r="AB887" s="5">
        <f>IFERROR(SUMIFS(HIST_SCORE!$F:$F,HIST_SCORE!$B:$B,PARAMS_MODELO!$B$4,HIST_SCORE!$C:$C,$A887),"")</f>
        <v>561</v>
      </c>
      <c r="AC887" s="5">
        <f t="shared" si="319"/>
        <v>-349</v>
      </c>
      <c r="AD887" t="str">
        <f t="shared" si="321"/>
        <v/>
      </c>
      <c r="AE8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887="CERRADO",1,IF(V887="BRONCE",_xlpm.cPl,IF(V887="PLATA",_xlpm.cO,IF(V887="ORO",_xlpm.cP,IF(V887="PLATINO",_xlpm.cD,999))))))</f>
        <v>63.199193273331495</v>
      </c>
      <c r="AF8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887="CERRADO",0,IF(V887="BRONCE",1,IF(V887="PLATA",_xlpm.cPl,IF(V887="ORO",_xlpm.cO,IF(V887="PLATINO",_xlpm.cP,_xlpm.cD))))))</f>
        <v>24.506573482968111</v>
      </c>
      <c r="AG887">
        <f t="shared" si="322"/>
        <v>37.631730983628174</v>
      </c>
      <c r="AH887" t="str">
        <f t="shared" si="323"/>
        <v>VENTAS</v>
      </c>
      <c r="AI887" t="str">
        <f t="shared" si="320"/>
        <v>🎯 Para subir de categoría, eje VENTAS / CRECIMIENTO PERSONAL (F). Acción: metas semanales + activación comercial + seguimiento del asesor. ΔR aprox: 37,6</v>
      </c>
      <c r="AJ887" s="26">
        <f>_xlfn.LET(_xlpm.piso,AF887,_xlpm.corte,AE887,_xlpm.prog,IF(_xlpm.corte&lt;=_xlpm.piso,0,MAX(0,MIN(1,(U887-_xlpm.piso)/(_xlpm.corte-_xlpm.piso)))),_xlpm.orden,{"DIAMANTE";"PLATINO";"ORO";"PLATA";"BRONCE";"CERRADO"},_xlpm.act,IFERROR(MATCH(V887,_xlpm.orden,0),6),_xlpm.ant,IFERROR(MATCH(W887,_xlpm.orden,0),6),_xlpm.ajmov,IF(_xlpm.act&lt;_xlpm.ant,0.08,IF(_xlpm.act&gt;_xlpm.ant,-0.08,0)),_xlpm.ajcli,IF(T887&lt;0.95,-0.06,0),_xlpm.prob,MAX(0,MIN(1,_xlpm.prog+_xlpm.ajmov+_xlpm.ajcli)),IF(OR(V887="DIAMANTE",V887="CERRADO"),0,ROUND(_xlpm.prob,2)))</f>
        <v>0</v>
      </c>
      <c r="AK887" t="str">
        <f t="shared" si="324"/>
        <v>Faltan 37,6 puntos base para subir a la siguiente categoría</v>
      </c>
      <c r="AL887" t="str">
        <f t="shared" si="325"/>
        <v>Margen de seguridad: 1,1 puntos</v>
      </c>
      <c r="AM887">
        <f t="shared" si="326"/>
        <v>0.8</v>
      </c>
      <c r="AN887" t="str">
        <f t="shared" si="327"/>
        <v>PRIORIDAD ALTA – requiere intervención inmediata</v>
      </c>
      <c r="AO887">
        <f t="shared" si="328"/>
        <v>64.862569275295584</v>
      </c>
      <c r="AP887">
        <f t="shared" si="329"/>
        <v>0.79053771029667708</v>
      </c>
      <c r="AQ887">
        <f t="shared" si="330"/>
        <v>4.1999999999999815E-2</v>
      </c>
      <c r="AR887">
        <f t="shared" si="331"/>
        <v>8.6</v>
      </c>
      <c r="AS887">
        <f t="shared" si="332"/>
        <v>0</v>
      </c>
      <c r="AT887" t="str">
        <f t="shared" si="333"/>
        <v>VENTAS</v>
      </c>
      <c r="AU887">
        <f t="shared" si="334"/>
        <v>64.862569275295584</v>
      </c>
      <c r="AV887" t="str">
        <f t="shared" si="335"/>
        <v>Mayor retorno probable: VENTAS (+64,9 puntos finales potenciales).</v>
      </c>
    </row>
    <row r="888" spans="1:48" x14ac:dyDescent="0.3">
      <c r="A888" s="5">
        <v>51033507</v>
      </c>
      <c r="B888" s="5" t="str">
        <f>IFERROR(VLOOKUP(A888,VENTAS!$A$2:$B$1194,2,0),"")</f>
        <v>MONTENEGRO</v>
      </c>
      <c r="C888" s="5">
        <f>IFERROR(INDEX(VENTAS!$C$2:$E$1194,MATCH(A888,VENTAS!$A$2:$A$1194,0),MATCH(PARAMS_MODELO!$B$2,{"Q1","Q2","Q3"},0)),0)</f>
        <v>40401319.079999998</v>
      </c>
      <c r="D888" s="5">
        <f>IFERROR(INDEX(VENTAS!$F$2:$H$1194,MATCH(A888,VENTAS!$A$2:$A$1194,0),MATCH(PARAMS_MODELO!$B$2,{"Q1","Q2","Q3"},0)),0)</f>
        <v>33242235</v>
      </c>
      <c r="E888" s="8">
        <f t="shared" si="312"/>
        <v>-0.17719926584139634</v>
      </c>
      <c r="F888" s="12">
        <f>IF(E888&lt;=PARAMS_MODELO!$B$15,0,IF(E888&gt;=PARAMS_MODELO!$B$17,100,100*MIN(1,(E888-PARAMS_MODELO!$B$15)/(PARAMS_MODELO!$B$16-PARAMS_MODELO!$B$15))))*PARAMS_MODELO!$B$7</f>
        <v>0</v>
      </c>
      <c r="G888" s="5">
        <f t="shared" si="313"/>
        <v>0</v>
      </c>
      <c r="H888" s="5">
        <f>(PARAMS_MODELO!$B$20*(MAX(0,MIN(3,E888))/3)+PARAMS_MODELO!$B$21*(IFERROR(LN(1+MAX(0,G888))/LN(1+MAX(0,MAX($G$2:$G$1194))),0)))*100*PARAMS_MODELO!$B$8</f>
        <v>0</v>
      </c>
      <c r="I888" s="8">
        <f>E888-PARAMS_MODELO!$B$5</f>
        <v>-0.35476210121692286</v>
      </c>
      <c r="J888" s="5">
        <f>IF(I888&lt;=PARAMS_MODELO!$B$18,0,IF(I888&gt;=PARAMS_MODELO!$B$19,100,100*(I888-PARAMS_MODELO!$B$18)/(PARAMS_MODELO!$B$19-PARAMS_MODELO!$B$18)))*PARAMS_MODELO!$B$9</f>
        <v>0</v>
      </c>
      <c r="K888" s="5">
        <f>IFERROR(CHOOSE(MATCH(PARAMS_MODELO!$B$2,{"Q1","Q2","Q3"},0),LOTO!$D888,LOTO!$F888,LOTO!$H888),0)</f>
        <v>1582500</v>
      </c>
      <c r="L888" s="8">
        <f t="shared" si="314"/>
        <v>4.7605102364507081E-2</v>
      </c>
      <c r="M888" s="5">
        <f>MIN(100,IF(PARAMS_MODELO!$B$23=0,0,100*L888/PARAMS_MODELO!$B$23))*PARAMS_MODELO!$B$10</f>
        <v>14.281530709352122</v>
      </c>
      <c r="N888" s="5">
        <f>IFERROR(VLOOKUP(A888,COMPLIANCE!$A$2:$F$1996,6,0),100)</f>
        <v>100</v>
      </c>
      <c r="O888" s="5">
        <f>N888*PARAMS_MODELO!$B$11</f>
        <v>10</v>
      </c>
      <c r="P888" s="5">
        <f>IFERROR(VLOOKUP(A888,DIGITAL!$A$2:$J$2000,7,0),100)</f>
        <v>23</v>
      </c>
      <c r="Q888" s="5">
        <f>IFERROR(P888,0)*PARAMS_MODELO!$B$12</f>
        <v>2.3000000000000003</v>
      </c>
      <c r="R888">
        <f t="shared" si="315"/>
        <v>26.581530709352123</v>
      </c>
      <c r="S888" s="5" t="str">
        <f>IFERROR(VLOOKUP(A888,CLIENTE!$A$2:$N$2000,13,0),1)</f>
        <v>Malo</v>
      </c>
      <c r="T888" s="5">
        <f>IFERROR(VLOOKUP(A888,CLIENTE!$A$2:$N$2000,14,0),1)</f>
        <v>0.7</v>
      </c>
      <c r="U888" s="5">
        <f t="shared" si="316"/>
        <v>18.607071496546485</v>
      </c>
      <c r="V888" s="5" t="str">
        <f>IF(U888&gt;=MAX(_xlfn.PERCENTILE.INC($U$2:$U$1194,PARAMS_MODELO!$B$50),PARAMS_MODELO!$B$45),"DIAMANTE",IF(U888&gt;=MAX(_xlfn.PERCENTILE.INC($U$2:$U$1194,PARAMS_MODELO!$B$51),PARAMS_MODELO!$B$46),"PLATINO",IF(U888&gt;=MAX(_xlfn.PERCENTILE.INC($U$2:$U$1194,PARAMS_MODELO!$B$52),PARAMS_MODELO!$B$47),"ORO",IF(U888&gt;=MAX(_xlfn.PERCENTILE.INC($U$2:$U$1194,PARAMS_MODELO!$B$53),PARAMS_MODELO!$B$48),"PLATA",IF(U888&gt;=1,"BRONCE","CERRADO")))))</f>
        <v>BRONCE</v>
      </c>
      <c r="W888" s="5" t="str" cm="1">
        <f t="array" ref="W888">_xlfn.XLOOKUP(1, (HIST_SCORE!$B:$B=PARAMS_MODELO!$B$4) * (HIST_SCORE!$C:$C=A888), HIST_SCORE!$E:$E, "No encontrado")</f>
        <v>BRONCE</v>
      </c>
      <c r="X888" s="5" t="str">
        <f>_xlfn.LET(_xlpm.act,MATCH(V888,{"DIAMANTE";"PLATINO";"ORO";"PLATA";"BRONCE";"CERRADO"},0),_xlpm.ant,MATCH(W888,{"DIAMANTE";"PLATINO";"ORO";"PLATA";"BRONCE";"CERRADO"},0),IF(_xlpm.act&lt;_xlpm.ant,"Mejora ↑",IF(_xlpm.act&gt;_xlpm.ant,"Baja ↓","Estable →")))</f>
        <v>Estable →</v>
      </c>
      <c r="Y888" s="5">
        <f>IFERROR(U888-SUMIFS(HIST_SCORE!$D:$D,HIST_SCORE!$B:$B,PARAMS_MODELO!$B$4,HIST_SCORE!$C:$C,$A888),"")</f>
        <v>1.8912488647443375</v>
      </c>
      <c r="Z888" s="5" t="str">
        <f t="shared" si="317"/>
        <v>→ Estable</v>
      </c>
      <c r="AA888" s="5">
        <f t="shared" si="318"/>
        <v>1015</v>
      </c>
      <c r="AB888" s="5">
        <f>IFERROR(SUMIFS(HIST_SCORE!$F:$F,HIST_SCORE!$B:$B,PARAMS_MODELO!$B$4,HIST_SCORE!$C:$C,$A888),"")</f>
        <v>1052</v>
      </c>
      <c r="AC888" s="5">
        <f t="shared" si="319"/>
        <v>37</v>
      </c>
      <c r="AD888" t="str">
        <f t="shared" si="321"/>
        <v/>
      </c>
      <c r="AE8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888="CERRADO",1,IF(V888="BRONCE",_xlpm.cPl,IF(V888="PLATA",_xlpm.cO,IF(V888="ORO",_xlpm.cP,IF(V888="PLATINO",_xlpm.cD,999))))))</f>
        <v>24.506573482968111</v>
      </c>
      <c r="AF8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888="CERRADO",0,IF(V888="BRONCE",1,IF(V888="PLATA",_xlpm.cPl,IF(V888="ORO",_xlpm.cO,IF(V888="PLATINO",_xlpm.cP,_xlpm.cD))))))</f>
        <v>1</v>
      </c>
      <c r="AG888">
        <f t="shared" si="322"/>
        <v>8.4278599806023209</v>
      </c>
      <c r="AH888" t="str">
        <f t="shared" si="323"/>
        <v>CLIENTE</v>
      </c>
      <c r="AI888" t="str">
        <f t="shared" si="320"/>
        <v>🎯 Para subir de categoría, la eje con mayor impacto probable es CLIENTE (coef T). Acción: reducir quejas, mejorar incógnito y empujar reseñas. ΔR aprox: 8,4</v>
      </c>
      <c r="AJ888" s="26">
        <f>_xlfn.LET(_xlpm.piso,AF888,_xlpm.corte,AE888,_xlpm.prog,IF(_xlpm.corte&lt;=_xlpm.piso,0,MAX(0,MIN(1,(U888-_xlpm.piso)/(_xlpm.corte-_xlpm.piso)))),_xlpm.orden,{"DIAMANTE";"PLATINO";"ORO";"PLATA";"BRONCE";"CERRADO"},_xlpm.act,IFERROR(MATCH(V888,_xlpm.orden,0),6),_xlpm.ant,IFERROR(MATCH(W888,_xlpm.orden,0),6),_xlpm.ajmov,IF(_xlpm.act&lt;_xlpm.ant,0.08,IF(_xlpm.act&gt;_xlpm.ant,-0.08,0)),_xlpm.ajcli,IF(T888&lt;0.95,-0.06,0),_xlpm.prob,MAX(0,MIN(1,_xlpm.prog+_xlpm.ajmov+_xlpm.ajcli)),IF(OR(V888="DIAMANTE",V888="CERRADO"),0,ROUND(_xlpm.prob,2)))</f>
        <v>0.69</v>
      </c>
      <c r="AK888" t="str">
        <f t="shared" si="324"/>
        <v>Faltan 8,4 puntos base para subir a la siguiente categoría</v>
      </c>
      <c r="AL888" t="str">
        <f t="shared" si="325"/>
        <v>No aplica</v>
      </c>
      <c r="AM888">
        <f t="shared" si="326"/>
        <v>0.66</v>
      </c>
      <c r="AN888" t="str">
        <f t="shared" si="327"/>
        <v>PRIORIDAD MEDIA – seguimiento del asesor</v>
      </c>
      <c r="AO888">
        <f t="shared" si="328"/>
        <v>45.403798492706905</v>
      </c>
      <c r="AP888">
        <f t="shared" si="329"/>
        <v>0.50292850345351459</v>
      </c>
      <c r="AQ888">
        <f t="shared" si="330"/>
        <v>0</v>
      </c>
      <c r="AR888">
        <f t="shared" si="331"/>
        <v>5.3899999999999988</v>
      </c>
      <c r="AS888">
        <f t="shared" si="332"/>
        <v>7.9744592128056384</v>
      </c>
      <c r="AT888" t="str">
        <f t="shared" si="333"/>
        <v>VENTAS</v>
      </c>
      <c r="AU888">
        <f t="shared" si="334"/>
        <v>45.403798492706905</v>
      </c>
      <c r="AV888" t="str">
        <f t="shared" si="335"/>
        <v>Mayor retorno probable: VENTAS (+45,4 puntos finales potenciales).</v>
      </c>
    </row>
    <row r="889" spans="1:48" x14ac:dyDescent="0.3">
      <c r="A889" s="5">
        <v>51013875</v>
      </c>
      <c r="B889" s="5" t="str">
        <f>IFERROR(VLOOKUP(A889,VENTAS!$A$2:$B$1194,2,0),"")</f>
        <v>ROBERTS</v>
      </c>
      <c r="C889" s="5">
        <f>IFERROR(INDEX(VENTAS!$C$2:$E$1194,MATCH(A889,VENTAS!$A$2:$A$1194,0),MATCH(PARAMS_MODELO!$B$2,{"Q1","Q2","Q3"},0)),0)</f>
        <v>22982049.640000001</v>
      </c>
      <c r="D889" s="5">
        <f>IFERROR(INDEX(VENTAS!$F$2:$H$1194,MATCH(A889,VENTAS!$A$2:$A$1194,0),MATCH(PARAMS_MODELO!$B$2,{"Q1","Q2","Q3"},0)),0)</f>
        <v>33156042</v>
      </c>
      <c r="E889" s="8">
        <f t="shared" si="312"/>
        <v>0.44269299385257099</v>
      </c>
      <c r="F889" s="12">
        <f>IF(E889&lt;=PARAMS_MODELO!$B$15,0,IF(E889&gt;=PARAMS_MODELO!$B$17,100,100*MIN(1,(E889-PARAMS_MODELO!$B$15)/(PARAMS_MODELO!$B$16-PARAMS_MODELO!$B$15))))*PARAMS_MODELO!$B$7</f>
        <v>35</v>
      </c>
      <c r="G889" s="5">
        <f t="shared" si="313"/>
        <v>10173992.359999999</v>
      </c>
      <c r="H889" s="5">
        <f>(PARAMS_MODELO!$B$20*(MAX(0,MIN(3,E889))/3)+PARAMS_MODELO!$B$21*(IFERROR(LN(1+MAX(0,G889))/LN(1+MAX(0,MAX($G$2:$G$1194))),0)))*100*PARAMS_MODELO!$B$8</f>
        <v>5.3317756895415611</v>
      </c>
      <c r="I889" s="8">
        <f>E889-PARAMS_MODELO!$B$5</f>
        <v>0.26513015847704446</v>
      </c>
      <c r="J889" s="5">
        <f>IF(I889&lt;=PARAMS_MODELO!$B$18,0,IF(I889&gt;=PARAMS_MODELO!$B$19,100,100*(I889-PARAMS_MODELO!$B$18)/(PARAMS_MODELO!$B$19-PARAMS_MODELO!$B$18)))*PARAMS_MODELO!$B$9</f>
        <v>15</v>
      </c>
      <c r="K889" s="5">
        <f>IFERROR(CHOOSE(MATCH(PARAMS_MODELO!$B$2,{"Q1","Q2","Q3"},0),LOTO!$D889,LOTO!$F889,LOTO!$H889),0)</f>
        <v>1565000</v>
      </c>
      <c r="L889" s="8">
        <f t="shared" si="314"/>
        <v>4.7201050113279505E-2</v>
      </c>
      <c r="M889" s="5">
        <f>MIN(100,IF(PARAMS_MODELO!$B$23=0,0,100*L889/PARAMS_MODELO!$B$23))*PARAMS_MODELO!$B$10</f>
        <v>14.160315033983849</v>
      </c>
      <c r="N889" s="5">
        <f>IFERROR(VLOOKUP(A889,COMPLIANCE!$A$2:$F$1996,6,0),100)</f>
        <v>100</v>
      </c>
      <c r="O889" s="5">
        <f>N889*PARAMS_MODELO!$B$11</f>
        <v>10</v>
      </c>
      <c r="P889" s="5">
        <f>IFERROR(VLOOKUP(A889,DIGITAL!$A$2:$J$2000,7,0),100)</f>
        <v>47</v>
      </c>
      <c r="Q889" s="5">
        <f>IFERROR(P889,0)*PARAMS_MODELO!$B$12</f>
        <v>4.7</v>
      </c>
      <c r="R889">
        <f t="shared" si="315"/>
        <v>84.192090723525411</v>
      </c>
      <c r="S889" s="5" t="str">
        <f>IFERROR(VLOOKUP(A889,CLIENTE!$A$2:$N$2000,13,0),1)</f>
        <v>Regular</v>
      </c>
      <c r="T889" s="5">
        <f>IFERROR(VLOOKUP(A889,CLIENTE!$A$2:$N$2000,14,0),1)</f>
        <v>1</v>
      </c>
      <c r="U889" s="5">
        <f t="shared" si="316"/>
        <v>84.192090723525411</v>
      </c>
      <c r="V889" s="5" t="str">
        <f>IF(U889&gt;=MAX(_xlfn.PERCENTILE.INC($U$2:$U$1194,PARAMS_MODELO!$B$50),PARAMS_MODELO!$B$45),"DIAMANTE",IF(U889&gt;=MAX(_xlfn.PERCENTILE.INC($U$2:$U$1194,PARAMS_MODELO!$B$51),PARAMS_MODELO!$B$46),"PLATINO",IF(U889&gt;=MAX(_xlfn.PERCENTILE.INC($U$2:$U$1194,PARAMS_MODELO!$B$52),PARAMS_MODELO!$B$47),"ORO",IF(U889&gt;=MAX(_xlfn.PERCENTILE.INC($U$2:$U$1194,PARAMS_MODELO!$B$53),PARAMS_MODELO!$B$48),"PLATA",IF(U889&gt;=1,"BRONCE","CERRADO")))))</f>
        <v>ORO</v>
      </c>
      <c r="W889" s="5" t="str" cm="1">
        <f t="array" ref="W889">_xlfn.XLOOKUP(1, (HIST_SCORE!$B:$B=PARAMS_MODELO!$B$4) * (HIST_SCORE!$C:$C=A889), HIST_SCORE!$E:$E, "No encontrado")</f>
        <v>ORO</v>
      </c>
      <c r="X889" s="5" t="str">
        <f>_xlfn.LET(_xlpm.act,MATCH(V889,{"DIAMANTE";"PLATINO";"ORO";"PLATA";"BRONCE";"CERRADO"},0),_xlpm.ant,MATCH(W889,{"DIAMANTE";"PLATINO";"ORO";"PLATA";"BRONCE";"CERRADO"},0),IF(_xlpm.act&lt;_xlpm.ant,"Mejora ↑",IF(_xlpm.act&gt;_xlpm.ant,"Baja ↓","Estable →")))</f>
        <v>Estable →</v>
      </c>
      <c r="Y889" s="5">
        <f>IFERROR(U889-SUMIFS(HIST_SCORE!$D:$D,HIST_SCORE!$B:$B,PARAMS_MODELO!$B$4,HIST_SCORE!$C:$C,$A889),"")</f>
        <v>3.5207125992453001</v>
      </c>
      <c r="Z889" s="5" t="str">
        <f t="shared" si="317"/>
        <v>→ Estable</v>
      </c>
      <c r="AA889" s="5">
        <f t="shared" si="318"/>
        <v>312</v>
      </c>
      <c r="AB889" s="5">
        <f>IFERROR(SUMIFS(HIST_SCORE!$F:$F,HIST_SCORE!$B:$B,PARAMS_MODELO!$B$4,HIST_SCORE!$C:$C,$A889),"")</f>
        <v>402</v>
      </c>
      <c r="AC889" s="5">
        <f t="shared" si="319"/>
        <v>90</v>
      </c>
      <c r="AD889" t="str">
        <f t="shared" si="321"/>
        <v/>
      </c>
      <c r="AE8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889="CERRADO",1,IF(V889="BRONCE",_xlpm.cPl,IF(V889="PLATA",_xlpm.cO,IF(V889="ORO",_xlpm.cP,IF(V889="PLATINO",_xlpm.cD,999))))))</f>
        <v>86.439123873763251</v>
      </c>
      <c r="AF8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889="CERRADO",0,IF(V889="BRONCE",1,IF(V889="PLATA",_xlpm.cPl,IF(V889="ORO",_xlpm.cO,IF(V889="PLATINO",_xlpm.cP,_xlpm.cD))))))</f>
        <v>63.199193273331495</v>
      </c>
      <c r="AG889">
        <f t="shared" si="322"/>
        <v>2.24703315023784</v>
      </c>
      <c r="AH889" t="str">
        <f t="shared" si="323"/>
        <v>VENTAS</v>
      </c>
      <c r="AI889" t="str">
        <f t="shared" si="320"/>
        <v>🎯 Para subir de categoría, eje VENTAS / IMPACTO ABSOLUTO (H). Acción: metas semanales + activación comercial + seguimiento del asesor. ΔR aprox: 2,2</v>
      </c>
      <c r="AJ889" s="26">
        <f>_xlfn.LET(_xlpm.piso,AF889,_xlpm.corte,AE889,_xlpm.prog,IF(_xlpm.corte&lt;=_xlpm.piso,0,MAX(0,MIN(1,(U889-_xlpm.piso)/(_xlpm.corte-_xlpm.piso)))),_xlpm.orden,{"DIAMANTE";"PLATINO";"ORO";"PLATA";"BRONCE";"CERRADO"},_xlpm.act,IFERROR(MATCH(V889,_xlpm.orden,0),6),_xlpm.ant,IFERROR(MATCH(W889,_xlpm.orden,0),6),_xlpm.ajmov,IF(_xlpm.act&lt;_xlpm.ant,0.08,IF(_xlpm.act&gt;_xlpm.ant,-0.08,0)),_xlpm.ajcli,IF(T889&lt;0.95,-0.06,0),_xlpm.prob,MAX(0,MIN(1,_xlpm.prog+_xlpm.ajmov+_xlpm.ajcli)),IF(OR(V889="DIAMANTE",V889="CERRADO"),0,ROUND(_xlpm.prob,2)))</f>
        <v>0.9</v>
      </c>
      <c r="AK889" t="str">
        <f t="shared" si="324"/>
        <v>Faltan 2,2 puntos base para subir a la siguiente categoría</v>
      </c>
      <c r="AL889" t="str">
        <f t="shared" si="325"/>
        <v>Margen de seguridad: 21,0 puntos</v>
      </c>
      <c r="AM889">
        <f t="shared" si="326"/>
        <v>0.13</v>
      </c>
      <c r="AN889" t="str">
        <f t="shared" si="327"/>
        <v>PRIORIDAD BAJA – control normal</v>
      </c>
      <c r="AO889">
        <f t="shared" si="328"/>
        <v>9.5307935857540258</v>
      </c>
      <c r="AP889">
        <f t="shared" si="329"/>
        <v>0.83968496601615072</v>
      </c>
      <c r="AQ889">
        <f t="shared" si="330"/>
        <v>0</v>
      </c>
      <c r="AR889">
        <f t="shared" si="331"/>
        <v>5.3</v>
      </c>
      <c r="AS889">
        <f t="shared" si="332"/>
        <v>0</v>
      </c>
      <c r="AT889" t="str">
        <f t="shared" si="333"/>
        <v>VENTAS</v>
      </c>
      <c r="AU889">
        <f t="shared" si="334"/>
        <v>9.5307935857540258</v>
      </c>
      <c r="AV889" t="str">
        <f t="shared" si="335"/>
        <v>Mayor retorno probable: VENTAS (+9,5 puntos finales potenciales).</v>
      </c>
    </row>
    <row r="890" spans="1:48" x14ac:dyDescent="0.3">
      <c r="A890" s="5">
        <v>51013395</v>
      </c>
      <c r="B890" s="5" t="str">
        <f>IFERROR(VLOOKUP(A890,VENTAS!$A$2:$B$1194,2,0),"")</f>
        <v>CICHETTO</v>
      </c>
      <c r="C890" s="5">
        <f>IFERROR(INDEX(VENTAS!$C$2:$E$1194,MATCH(A890,VENTAS!$A$2:$A$1194,0),MATCH(PARAMS_MODELO!$B$2,{"Q1","Q2","Q3"},0)),0)</f>
        <v>48577210.659999996</v>
      </c>
      <c r="D890" s="5">
        <f>IFERROR(INDEX(VENTAS!$F$2:$H$1194,MATCH(A890,VENTAS!$A$2:$A$1194,0),MATCH(PARAMS_MODELO!$B$2,{"Q1","Q2","Q3"},0)),0)</f>
        <v>32878890</v>
      </c>
      <c r="E890" s="8">
        <f t="shared" si="312"/>
        <v>-0.3231622492669487</v>
      </c>
      <c r="F890" s="12">
        <f>IF(E890&lt;=PARAMS_MODELO!$B$15,0,IF(E890&gt;=PARAMS_MODELO!$B$17,100,100*MIN(1,(E890-PARAMS_MODELO!$B$15)/(PARAMS_MODELO!$B$16-PARAMS_MODELO!$B$15))))*PARAMS_MODELO!$B$7</f>
        <v>0</v>
      </c>
      <c r="G890" s="5">
        <f t="shared" si="313"/>
        <v>0</v>
      </c>
      <c r="H890" s="5">
        <f>(PARAMS_MODELO!$B$20*(MAX(0,MIN(3,E890))/3)+PARAMS_MODELO!$B$21*(IFERROR(LN(1+MAX(0,G890))/LN(1+MAX(0,MAX($G$2:$G$1194))),0)))*100*PARAMS_MODELO!$B$8</f>
        <v>0</v>
      </c>
      <c r="I890" s="8">
        <f>E890-PARAMS_MODELO!$B$5</f>
        <v>-0.50072508464247523</v>
      </c>
      <c r="J890" s="5">
        <f>IF(I890&lt;=PARAMS_MODELO!$B$18,0,IF(I890&gt;=PARAMS_MODELO!$B$19,100,100*(I890-PARAMS_MODELO!$B$18)/(PARAMS_MODELO!$B$19-PARAMS_MODELO!$B$18)))*PARAMS_MODELO!$B$9</f>
        <v>0</v>
      </c>
      <c r="K890" s="5">
        <f>IFERROR(CHOOSE(MATCH(PARAMS_MODELO!$B$2,{"Q1","Q2","Q3"},0),LOTO!$D890,LOTO!$F890,LOTO!$H890),0)</f>
        <v>1555000</v>
      </c>
      <c r="L890" s="8">
        <f t="shared" si="314"/>
        <v>4.7294783978412899E-2</v>
      </c>
      <c r="M890" s="5">
        <f>MIN(100,IF(PARAMS_MODELO!$B$23=0,0,100*L890/PARAMS_MODELO!$B$23))*PARAMS_MODELO!$B$10</f>
        <v>14.188435193523867</v>
      </c>
      <c r="N890" s="5">
        <f>IFERROR(VLOOKUP(A890,COMPLIANCE!$A$2:$F$1996,6,0),100)</f>
        <v>99.98</v>
      </c>
      <c r="O890" s="5">
        <f>N890*PARAMS_MODELO!$B$11</f>
        <v>9.9980000000000011</v>
      </c>
      <c r="P890" s="5">
        <f>IFERROR(VLOOKUP(A890,DIGITAL!$A$2:$J$2000,7,0),100)</f>
        <v>92</v>
      </c>
      <c r="Q890" s="5">
        <f>IFERROR(P890,0)*PARAMS_MODELO!$B$12</f>
        <v>9.2000000000000011</v>
      </c>
      <c r="R890">
        <f t="shared" si="315"/>
        <v>33.386435193523873</v>
      </c>
      <c r="S890" s="5" t="str">
        <f>IFERROR(VLOOKUP(A890,CLIENTE!$A$2:$N$2000,13,0),1)</f>
        <v>Malo</v>
      </c>
      <c r="T890" s="5">
        <f>IFERROR(VLOOKUP(A890,CLIENTE!$A$2:$N$2000,14,0),1)</f>
        <v>0.7</v>
      </c>
      <c r="U890" s="5">
        <f t="shared" si="316"/>
        <v>23.370504635466709</v>
      </c>
      <c r="V890" s="5" t="str">
        <f>IF(U890&gt;=MAX(_xlfn.PERCENTILE.INC($U$2:$U$1194,PARAMS_MODELO!$B$50),PARAMS_MODELO!$B$45),"DIAMANTE",IF(U890&gt;=MAX(_xlfn.PERCENTILE.INC($U$2:$U$1194,PARAMS_MODELO!$B$51),PARAMS_MODELO!$B$46),"PLATINO",IF(U890&gt;=MAX(_xlfn.PERCENTILE.INC($U$2:$U$1194,PARAMS_MODELO!$B$52),PARAMS_MODELO!$B$47),"ORO",IF(U890&gt;=MAX(_xlfn.PERCENTILE.INC($U$2:$U$1194,PARAMS_MODELO!$B$53),PARAMS_MODELO!$B$48),"PLATA",IF(U890&gt;=1,"BRONCE","CERRADO")))))</f>
        <v>BRONCE</v>
      </c>
      <c r="W890" s="5" t="str" cm="1">
        <f t="array" ref="W890">_xlfn.XLOOKUP(1, (HIST_SCORE!$B:$B=PARAMS_MODELO!$B$4) * (HIST_SCORE!$C:$C=A890), HIST_SCORE!$E:$E, "No encontrado")</f>
        <v>BRONCE</v>
      </c>
      <c r="X890" s="5" t="str">
        <f>_xlfn.LET(_xlpm.act,MATCH(V890,{"DIAMANTE";"PLATINO";"ORO";"PLATA";"BRONCE";"CERRADO"},0),_xlpm.ant,MATCH(W890,{"DIAMANTE";"PLATINO";"ORO";"PLATA";"BRONCE";"CERRADO"},0),IF(_xlpm.act&lt;_xlpm.ant,"Mejora ↑",IF(_xlpm.act&gt;_xlpm.ant,"Baja ↓","Estable →")))</f>
        <v>Estable →</v>
      </c>
      <c r="Y890" s="5">
        <f>IFERROR(U890-SUMIFS(HIST_SCORE!$D:$D,HIST_SCORE!$B:$B,PARAMS_MODELO!$B$4,HIST_SCORE!$C:$C,$A890),"")</f>
        <v>1.7247178180911931</v>
      </c>
      <c r="Z890" s="5" t="str">
        <f t="shared" si="317"/>
        <v>→ Estable</v>
      </c>
      <c r="AA890" s="5">
        <f t="shared" si="318"/>
        <v>928</v>
      </c>
      <c r="AB890" s="5">
        <f>IFERROR(SUMIFS(HIST_SCORE!$F:$F,HIST_SCORE!$B:$B,PARAMS_MODELO!$B$4,HIST_SCORE!$C:$C,$A890),"")</f>
        <v>973</v>
      </c>
      <c r="AC890" s="5">
        <f t="shared" si="319"/>
        <v>45</v>
      </c>
      <c r="AD890" t="str">
        <f t="shared" si="321"/>
        <v/>
      </c>
      <c r="AE8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890="CERRADO",1,IF(V890="BRONCE",_xlpm.cPl,IF(V890="PLATA",_xlpm.cO,IF(V890="ORO",_xlpm.cP,IF(V890="PLATINO",_xlpm.cD,999))))))</f>
        <v>24.506573482968111</v>
      </c>
      <c r="AF8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890="CERRADO",0,IF(V890="BRONCE",1,IF(V890="PLATA",_xlpm.cPl,IF(V890="ORO",_xlpm.cO,IF(V890="PLATINO",_xlpm.cP,_xlpm.cD))))))</f>
        <v>1</v>
      </c>
      <c r="AG890">
        <f t="shared" si="322"/>
        <v>1.6229554964305706</v>
      </c>
      <c r="AH890" t="str">
        <f t="shared" si="323"/>
        <v>CLIENTE</v>
      </c>
      <c r="AI890" t="str">
        <f t="shared" si="320"/>
        <v>🎯 Para subir de categoría, la eje con mayor impacto probable es CLIENTE (coef T). Acción: reducir quejas, mejorar incógnito y empujar reseñas. ΔR aprox: 1,6</v>
      </c>
      <c r="AJ890" s="26">
        <f>_xlfn.LET(_xlpm.piso,AF890,_xlpm.corte,AE890,_xlpm.prog,IF(_xlpm.corte&lt;=_xlpm.piso,0,MAX(0,MIN(1,(U890-_xlpm.piso)/(_xlpm.corte-_xlpm.piso)))),_xlpm.orden,{"DIAMANTE";"PLATINO";"ORO";"PLATA";"BRONCE";"CERRADO"},_xlpm.act,IFERROR(MATCH(V890,_xlpm.orden,0),6),_xlpm.ant,IFERROR(MATCH(W890,_xlpm.orden,0),6),_xlpm.ajmov,IF(_xlpm.act&lt;_xlpm.ant,0.08,IF(_xlpm.act&gt;_xlpm.ant,-0.08,0)),_xlpm.ajcli,IF(T890&lt;0.95,-0.06,0),_xlpm.prob,MAX(0,MIN(1,_xlpm.prog+_xlpm.ajmov+_xlpm.ajcli)),IF(OR(V890="DIAMANTE",V890="CERRADO"),0,ROUND(_xlpm.prob,2)))</f>
        <v>0.89</v>
      </c>
      <c r="AK890" t="str">
        <f t="shared" si="324"/>
        <v>Faltan 1,6 puntos base para subir a la siguiente categoría</v>
      </c>
      <c r="AL890" t="str">
        <f t="shared" si="325"/>
        <v>No aplica</v>
      </c>
      <c r="AM890">
        <f t="shared" si="326"/>
        <v>0.31</v>
      </c>
      <c r="AN890" t="str">
        <f t="shared" si="327"/>
        <v>PRIORIDAD BAJA – control normal</v>
      </c>
      <c r="AO890">
        <f t="shared" si="328"/>
        <v>45.403798492706905</v>
      </c>
      <c r="AP890">
        <f t="shared" si="329"/>
        <v>0.5680953645332929</v>
      </c>
      <c r="AQ890">
        <f t="shared" si="330"/>
        <v>1.3999999999992239E-3</v>
      </c>
      <c r="AR890">
        <f t="shared" si="331"/>
        <v>0.55999999999999917</v>
      </c>
      <c r="AS890">
        <f t="shared" si="332"/>
        <v>10.015930558057164</v>
      </c>
      <c r="AT890" t="str">
        <f t="shared" si="333"/>
        <v>VENTAS</v>
      </c>
      <c r="AU890">
        <f t="shared" si="334"/>
        <v>45.403798492706905</v>
      </c>
      <c r="AV890" t="str">
        <f t="shared" si="335"/>
        <v>Mayor retorno probable: VENTAS (+45,4 puntos finales potenciales).</v>
      </c>
    </row>
    <row r="891" spans="1:48" x14ac:dyDescent="0.3">
      <c r="A891" s="5">
        <v>51056108</v>
      </c>
      <c r="B891" s="5" t="str">
        <f>IFERROR(VLOOKUP(A891,VENTAS!$A$2:$B$1194,2,0),"")</f>
        <v>BELUZZO</v>
      </c>
      <c r="C891" s="5">
        <f>IFERROR(INDEX(VENTAS!$C$2:$E$1194,MATCH(A891,VENTAS!$A$2:$A$1194,0),MATCH(PARAMS_MODELO!$B$2,{"Q1","Q2","Q3"},0)),0)</f>
        <v>26843230.239999998</v>
      </c>
      <c r="D891" s="5">
        <f>IFERROR(INDEX(VENTAS!$F$2:$H$1194,MATCH(A891,VENTAS!$A$2:$A$1194,0),MATCH(PARAMS_MODELO!$B$2,{"Q1","Q2","Q3"},0)),0)</f>
        <v>32103120</v>
      </c>
      <c r="E891" s="8">
        <f t="shared" si="312"/>
        <v>0.19594846495642915</v>
      </c>
      <c r="F891" s="12">
        <f>IF(E891&lt;=PARAMS_MODELO!$B$15,0,IF(E891&gt;=PARAMS_MODELO!$B$17,100,100*MIN(1,(E891-PARAMS_MODELO!$B$15)/(PARAMS_MODELO!$B$16-PARAMS_MODELO!$B$15))))*PARAMS_MODELO!$B$7</f>
        <v>35</v>
      </c>
      <c r="G891" s="5">
        <f t="shared" si="313"/>
        <v>5259889.7600000016</v>
      </c>
      <c r="H891" s="5">
        <f>(PARAMS_MODELO!$B$20*(MAX(0,MIN(3,E891))/3)+PARAMS_MODELO!$B$21*(IFERROR(LN(1+MAX(0,G891))/LN(1+MAX(0,MAX($G$2:$G$1194))),0)))*100*PARAMS_MODELO!$B$8</f>
        <v>4.3135211971225056</v>
      </c>
      <c r="I891" s="8">
        <f>E891-PARAMS_MODELO!$B$5</f>
        <v>1.8385629580902618E-2</v>
      </c>
      <c r="J891" s="5">
        <f>IF(I891&lt;=PARAMS_MODELO!$B$18,0,IF(I891&gt;=PARAMS_MODELO!$B$19,100,100*(I891-PARAMS_MODELO!$B$18)/(PARAMS_MODELO!$B$19-PARAMS_MODELO!$B$18)))*PARAMS_MODELO!$B$9</f>
        <v>10.257844437135391</v>
      </c>
      <c r="K891" s="5">
        <f>IFERROR(CHOOSE(MATCH(PARAMS_MODELO!$B$2,{"Q1","Q2","Q3"},0),LOTO!$D891,LOTO!$F891,LOTO!$H891),0)</f>
        <v>1545000</v>
      </c>
      <c r="L891" s="8">
        <f t="shared" si="314"/>
        <v>4.8126163438320012E-2</v>
      </c>
      <c r="M891" s="5">
        <f>MIN(100,IF(PARAMS_MODELO!$B$23=0,0,100*L891/PARAMS_MODELO!$B$23))*PARAMS_MODELO!$B$10</f>
        <v>14.437849031496004</v>
      </c>
      <c r="N891" s="5">
        <f>IFERROR(VLOOKUP(A891,COMPLIANCE!$A$2:$F$1996,6,0),100)</f>
        <v>100</v>
      </c>
      <c r="O891" s="5">
        <f>N891*PARAMS_MODELO!$B$11</f>
        <v>10</v>
      </c>
      <c r="P891" s="5">
        <f>IFERROR(VLOOKUP(A891,DIGITAL!$A$2:$J$2000,7,0),100)</f>
        <v>14</v>
      </c>
      <c r="Q891" s="5">
        <f>IFERROR(P891,0)*PARAMS_MODELO!$B$12</f>
        <v>1.4000000000000001</v>
      </c>
      <c r="R891">
        <f t="shared" si="315"/>
        <v>75.409214665753908</v>
      </c>
      <c r="S891" s="5" t="str">
        <f>IFERROR(VLOOKUP(A891,CLIENTE!$A$2:$N$2000,13,0),1)</f>
        <v>Regular</v>
      </c>
      <c r="T891" s="5">
        <f>IFERROR(VLOOKUP(A891,CLIENTE!$A$2:$N$2000,14,0),1)</f>
        <v>1</v>
      </c>
      <c r="U891" s="5">
        <f t="shared" si="316"/>
        <v>75.409214665753908</v>
      </c>
      <c r="V891" s="5" t="str">
        <f>IF(U891&gt;=MAX(_xlfn.PERCENTILE.INC($U$2:$U$1194,PARAMS_MODELO!$B$50),PARAMS_MODELO!$B$45),"DIAMANTE",IF(U891&gt;=MAX(_xlfn.PERCENTILE.INC($U$2:$U$1194,PARAMS_MODELO!$B$51),PARAMS_MODELO!$B$46),"PLATINO",IF(U891&gt;=MAX(_xlfn.PERCENTILE.INC($U$2:$U$1194,PARAMS_MODELO!$B$52),PARAMS_MODELO!$B$47),"ORO",IF(U891&gt;=MAX(_xlfn.PERCENTILE.INC($U$2:$U$1194,PARAMS_MODELO!$B$53),PARAMS_MODELO!$B$48),"PLATA",IF(U891&gt;=1,"BRONCE","CERRADO")))))</f>
        <v>ORO</v>
      </c>
      <c r="W891" s="5" t="str" cm="1">
        <f t="array" ref="W891">_xlfn.XLOOKUP(1, (HIST_SCORE!$B:$B=PARAMS_MODELO!$B$4) * (HIST_SCORE!$C:$C=A891), HIST_SCORE!$E:$E, "No encontrado")</f>
        <v>BRONCE</v>
      </c>
      <c r="X891" s="5" t="str">
        <f>_xlfn.LET(_xlpm.act,MATCH(V891,{"DIAMANTE";"PLATINO";"ORO";"PLATA";"BRONCE";"CERRADO"},0),_xlpm.ant,MATCH(W891,{"DIAMANTE";"PLATINO";"ORO";"PLATA";"BRONCE";"CERRADO"},0),IF(_xlpm.act&lt;_xlpm.ant,"Mejora ↑",IF(_xlpm.act&gt;_xlpm.ant,"Baja ↓","Estable →")))</f>
        <v>Mejora ↑</v>
      </c>
      <c r="Y891" s="5">
        <f>IFERROR(U891-SUMIFS(HIST_SCORE!$D:$D,HIST_SCORE!$B:$B,PARAMS_MODELO!$B$4,HIST_SCORE!$C:$C,$A891),"")</f>
        <v>53.105296516563072</v>
      </c>
      <c r="Z891" s="5" t="str">
        <f t="shared" si="317"/>
        <v>↑ Mejora</v>
      </c>
      <c r="AA891" s="5">
        <f t="shared" si="318"/>
        <v>472</v>
      </c>
      <c r="AB891" s="5">
        <f>IFERROR(SUMIFS(HIST_SCORE!$F:$F,HIST_SCORE!$B:$B,PARAMS_MODELO!$B$4,HIST_SCORE!$C:$C,$A891),"")</f>
        <v>962</v>
      </c>
      <c r="AC891" s="5">
        <f t="shared" si="319"/>
        <v>490</v>
      </c>
      <c r="AD891" t="str">
        <f t="shared" si="321"/>
        <v/>
      </c>
      <c r="AE8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891="CERRADO",1,IF(V891="BRONCE",_xlpm.cPl,IF(V891="PLATA",_xlpm.cO,IF(V891="ORO",_xlpm.cP,IF(V891="PLATINO",_xlpm.cD,999))))))</f>
        <v>86.439123873763251</v>
      </c>
      <c r="AF8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891="CERRADO",0,IF(V891="BRONCE",1,IF(V891="PLATA",_xlpm.cPl,IF(V891="ORO",_xlpm.cO,IF(V891="PLATINO",_xlpm.cP,_xlpm.cD))))))</f>
        <v>63.199193273331495</v>
      </c>
      <c r="AG891">
        <f t="shared" si="322"/>
        <v>11.029909208009343</v>
      </c>
      <c r="AH891" t="str">
        <f t="shared" si="323"/>
        <v>VENTAS</v>
      </c>
      <c r="AI891" t="str">
        <f t="shared" si="320"/>
        <v>🎯 Para subir de categoría, eje VENTAS / IMPACTO ABSOLUTO (H). Acción: metas semanales + activación comercial + seguimiento del asesor. ΔR aprox: 11,0</v>
      </c>
      <c r="AJ891" s="26">
        <f>_xlfn.LET(_xlpm.piso,AF891,_xlpm.corte,AE891,_xlpm.prog,IF(_xlpm.corte&lt;=_xlpm.piso,0,MAX(0,MIN(1,(U891-_xlpm.piso)/(_xlpm.corte-_xlpm.piso)))),_xlpm.orden,{"DIAMANTE";"PLATINO";"ORO";"PLATA";"BRONCE";"CERRADO"},_xlpm.act,IFERROR(MATCH(V891,_xlpm.orden,0),6),_xlpm.ant,IFERROR(MATCH(W891,_xlpm.orden,0),6),_xlpm.ajmov,IF(_xlpm.act&lt;_xlpm.ant,0.08,IF(_xlpm.act&gt;_xlpm.ant,-0.08,0)),_xlpm.ajcli,IF(T891&lt;0.95,-0.06,0),_xlpm.prob,MAX(0,MIN(1,_xlpm.prog+_xlpm.ajmov+_xlpm.ajcli)),IF(OR(V891="DIAMANTE",V891="CERRADO"),0,ROUND(_xlpm.prob,2)))</f>
        <v>0.61</v>
      </c>
      <c r="AK891" t="str">
        <f t="shared" si="324"/>
        <v>Faltan 11,0 puntos base para subir a la siguiente categoría</v>
      </c>
      <c r="AL891" t="str">
        <f t="shared" si="325"/>
        <v>Margen de seguridad: 12,2 puntos</v>
      </c>
      <c r="AM891">
        <f t="shared" si="326"/>
        <v>0.56000000000000005</v>
      </c>
      <c r="AN891" t="str">
        <f t="shared" si="327"/>
        <v>PRIORIDAD MEDIA – seguimiento del asesor</v>
      </c>
      <c r="AO891">
        <f t="shared" si="328"/>
        <v>15.29120364103769</v>
      </c>
      <c r="AP891">
        <f t="shared" si="329"/>
        <v>0.56215096850399604</v>
      </c>
      <c r="AQ891">
        <f t="shared" si="330"/>
        <v>0</v>
      </c>
      <c r="AR891">
        <f t="shared" si="331"/>
        <v>8.6</v>
      </c>
      <c r="AS891">
        <f t="shared" si="332"/>
        <v>0</v>
      </c>
      <c r="AT891" t="str">
        <f t="shared" si="333"/>
        <v>VENTAS</v>
      </c>
      <c r="AU891">
        <f t="shared" si="334"/>
        <v>15.29120364103769</v>
      </c>
      <c r="AV891" t="str">
        <f t="shared" si="335"/>
        <v>Mayor retorno probable: VENTAS (+15,3 puntos finales potenciales).</v>
      </c>
    </row>
    <row r="892" spans="1:48" x14ac:dyDescent="0.3">
      <c r="A892" s="5">
        <v>51055837</v>
      </c>
      <c r="B892" s="5" t="str">
        <f>IFERROR(VLOOKUP(A892,VENTAS!$A$2:$B$1194,2,0),"")</f>
        <v>BELUZZO</v>
      </c>
      <c r="C892" s="5">
        <f>IFERROR(INDEX(VENTAS!$C$2:$E$1194,MATCH(A892,VENTAS!$A$2:$A$1194,0),MATCH(PARAMS_MODELO!$B$2,{"Q1","Q2","Q3"},0)),0)</f>
        <v>32776175.010000002</v>
      </c>
      <c r="D892" s="5">
        <f>IFERROR(INDEX(VENTAS!$F$2:$H$1194,MATCH(A892,VENTAS!$A$2:$A$1194,0),MATCH(PARAMS_MODELO!$B$2,{"Q1","Q2","Q3"},0)),0)</f>
        <v>31810541</v>
      </c>
      <c r="E892" s="8">
        <f t="shared" si="312"/>
        <v>-2.9461461250600118E-2</v>
      </c>
      <c r="F892" s="12">
        <f>IF(E892&lt;=PARAMS_MODELO!$B$15,0,IF(E892&gt;=PARAMS_MODELO!$B$17,100,100*MIN(1,(E892-PARAMS_MODELO!$B$15)/(PARAMS_MODELO!$B$16-PARAMS_MODELO!$B$15))))*PARAMS_MODELO!$B$7</f>
        <v>0</v>
      </c>
      <c r="G892" s="5">
        <f t="shared" si="313"/>
        <v>0</v>
      </c>
      <c r="H892" s="5">
        <f>(PARAMS_MODELO!$B$20*(MAX(0,MIN(3,E892))/3)+PARAMS_MODELO!$B$21*(IFERROR(LN(1+MAX(0,G892))/LN(1+MAX(0,MAX($G$2:$G$1194))),0)))*100*PARAMS_MODELO!$B$8</f>
        <v>0</v>
      </c>
      <c r="I892" s="8">
        <f>E892-PARAMS_MODELO!$B$5</f>
        <v>-0.20702429662612665</v>
      </c>
      <c r="J892" s="5">
        <f>IF(I892&lt;=PARAMS_MODELO!$B$18,0,IF(I892&gt;=PARAMS_MODELO!$B$19,100,100*(I892-PARAMS_MODELO!$B$18)/(PARAMS_MODELO!$B$19-PARAMS_MODELO!$B$18)))*PARAMS_MODELO!$B$9</f>
        <v>0</v>
      </c>
      <c r="K892" s="5">
        <f>IFERROR(CHOOSE(MATCH(PARAMS_MODELO!$B$2,{"Q1","Q2","Q3"},0),LOTO!$D892,LOTO!$F892,LOTO!$H892),0)</f>
        <v>1542500</v>
      </c>
      <c r="L892" s="8">
        <f t="shared" si="314"/>
        <v>4.8490215869010214E-2</v>
      </c>
      <c r="M892" s="5">
        <f>MIN(100,IF(PARAMS_MODELO!$B$23=0,0,100*L892/PARAMS_MODELO!$B$23))*PARAMS_MODELO!$B$10</f>
        <v>14.547064760703064</v>
      </c>
      <c r="N892" s="5">
        <f>IFERROR(VLOOKUP(A892,COMPLIANCE!$A$2:$F$1996,6,0),100)</f>
        <v>99.9</v>
      </c>
      <c r="O892" s="5">
        <f>N892*PARAMS_MODELO!$B$11</f>
        <v>9.990000000000002</v>
      </c>
      <c r="P892" s="5">
        <f>IFERROR(VLOOKUP(A892,DIGITAL!$A$2:$J$2000,7,0),100)</f>
        <v>52</v>
      </c>
      <c r="Q892" s="5">
        <f>IFERROR(P892,0)*PARAMS_MODELO!$B$12</f>
        <v>5.2</v>
      </c>
      <c r="R892">
        <f t="shared" si="315"/>
        <v>29.737064760703067</v>
      </c>
      <c r="S892" s="5" t="str">
        <f>IFERROR(VLOOKUP(A892,CLIENTE!$A$2:$N$2000,13,0),1)</f>
        <v>Malo</v>
      </c>
      <c r="T892" s="5">
        <f>IFERROR(VLOOKUP(A892,CLIENTE!$A$2:$N$2000,14,0),1)</f>
        <v>0.7</v>
      </c>
      <c r="U892" s="5">
        <f t="shared" si="316"/>
        <v>20.815945332492145</v>
      </c>
      <c r="V892" s="5" t="str">
        <f>IF(U892&gt;=MAX(_xlfn.PERCENTILE.INC($U$2:$U$1194,PARAMS_MODELO!$B$50),PARAMS_MODELO!$B$45),"DIAMANTE",IF(U892&gt;=MAX(_xlfn.PERCENTILE.INC($U$2:$U$1194,PARAMS_MODELO!$B$51),PARAMS_MODELO!$B$46),"PLATINO",IF(U892&gt;=MAX(_xlfn.PERCENTILE.INC($U$2:$U$1194,PARAMS_MODELO!$B$52),PARAMS_MODELO!$B$47),"ORO",IF(U892&gt;=MAX(_xlfn.PERCENTILE.INC($U$2:$U$1194,PARAMS_MODELO!$B$53),PARAMS_MODELO!$B$48),"PLATA",IF(U892&gt;=1,"BRONCE","CERRADO")))))</f>
        <v>BRONCE</v>
      </c>
      <c r="W892" s="5" t="str" cm="1">
        <f t="array" ref="W892">_xlfn.XLOOKUP(1, (HIST_SCORE!$B:$B=PARAMS_MODELO!$B$4) * (HIST_SCORE!$C:$C=A892), HIST_SCORE!$E:$E, "No encontrado")</f>
        <v>BRONCE</v>
      </c>
      <c r="X892" s="5" t="str">
        <f>_xlfn.LET(_xlpm.act,MATCH(V892,{"DIAMANTE";"PLATINO";"ORO";"PLATA";"BRONCE";"CERRADO"},0),_xlpm.ant,MATCH(W892,{"DIAMANTE";"PLATINO";"ORO";"PLATA";"BRONCE";"CERRADO"},0),IF(_xlpm.act&lt;_xlpm.ant,"Mejora ↑",IF(_xlpm.act&gt;_xlpm.ant,"Baja ↓","Estable →")))</f>
        <v>Estable →</v>
      </c>
      <c r="Y892" s="5">
        <f>IFERROR(U892-SUMIFS(HIST_SCORE!$D:$D,HIST_SCORE!$B:$B,PARAMS_MODELO!$B$4,HIST_SCORE!$C:$C,$A892),"")</f>
        <v>0.84240398767478553</v>
      </c>
      <c r="Z892" s="5" t="str">
        <f t="shared" si="317"/>
        <v>→ Estable</v>
      </c>
      <c r="AA892" s="5">
        <f t="shared" si="318"/>
        <v>966</v>
      </c>
      <c r="AB892" s="5">
        <f>IFERROR(SUMIFS(HIST_SCORE!$F:$F,HIST_SCORE!$B:$B,PARAMS_MODELO!$B$4,HIST_SCORE!$C:$C,$A892),"")</f>
        <v>985</v>
      </c>
      <c r="AC892" s="5">
        <f t="shared" si="319"/>
        <v>19</v>
      </c>
      <c r="AD892" t="str">
        <f t="shared" si="321"/>
        <v/>
      </c>
      <c r="AE8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892="CERRADO",1,IF(V892="BRONCE",_xlpm.cPl,IF(V892="PLATA",_xlpm.cO,IF(V892="ORO",_xlpm.cP,IF(V892="PLATINO",_xlpm.cD,999))))))</f>
        <v>24.506573482968111</v>
      </c>
      <c r="AF8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892="CERRADO",0,IF(V892="BRONCE",1,IF(V892="PLATA",_xlpm.cPl,IF(V892="ORO",_xlpm.cO,IF(V892="PLATINO",_xlpm.cP,_xlpm.cD))))))</f>
        <v>1</v>
      </c>
      <c r="AG892">
        <f t="shared" si="322"/>
        <v>5.2723259292513767</v>
      </c>
      <c r="AH892" t="str">
        <f t="shared" si="323"/>
        <v>CLIENTE</v>
      </c>
      <c r="AI892" t="str">
        <f t="shared" si="320"/>
        <v>🎯 Para subir de categoría, la eje con mayor impacto probable es CLIENTE (coef T). Acción: reducir quejas, mejorar incógnito y empujar reseñas. ΔR aprox: 5,3</v>
      </c>
      <c r="AJ892" s="26">
        <f>_xlfn.LET(_xlpm.piso,AF892,_xlpm.corte,AE892,_xlpm.prog,IF(_xlpm.corte&lt;=_xlpm.piso,0,MAX(0,MIN(1,(U892-_xlpm.piso)/(_xlpm.corte-_xlpm.piso)))),_xlpm.orden,{"DIAMANTE";"PLATINO";"ORO";"PLATA";"BRONCE";"CERRADO"},_xlpm.act,IFERROR(MATCH(V892,_xlpm.orden,0),6),_xlpm.ant,IFERROR(MATCH(W892,_xlpm.orden,0),6),_xlpm.ajmov,IF(_xlpm.act&lt;_xlpm.ant,0.08,IF(_xlpm.act&gt;_xlpm.ant,-0.08,0)),_xlpm.ajcli,IF(T892&lt;0.95,-0.06,0),_xlpm.prob,MAX(0,MIN(1,_xlpm.prog+_xlpm.ajmov+_xlpm.ajcli)),IF(OR(V892="DIAMANTE",V892="CERRADO"),0,ROUND(_xlpm.prob,2)))</f>
        <v>0.78</v>
      </c>
      <c r="AK892" t="str">
        <f t="shared" si="324"/>
        <v>Faltan 5,3 puntos base para subir a la siguiente categoría</v>
      </c>
      <c r="AL892" t="str">
        <f t="shared" si="325"/>
        <v>No aplica</v>
      </c>
      <c r="AM892">
        <f t="shared" si="326"/>
        <v>0.5</v>
      </c>
      <c r="AN892" t="str">
        <f t="shared" si="327"/>
        <v>PRIORIDAD MEDIA – seguimiento del asesor</v>
      </c>
      <c r="AO892">
        <f t="shared" si="328"/>
        <v>45.403798492706905</v>
      </c>
      <c r="AP892">
        <f t="shared" si="329"/>
        <v>0.31705466750785527</v>
      </c>
      <c r="AQ892">
        <f t="shared" si="330"/>
        <v>6.9999999999986072E-3</v>
      </c>
      <c r="AR892">
        <f t="shared" si="331"/>
        <v>3.36</v>
      </c>
      <c r="AS892">
        <f t="shared" si="332"/>
        <v>8.9211194282109219</v>
      </c>
      <c r="AT892" t="str">
        <f t="shared" si="333"/>
        <v>VENTAS</v>
      </c>
      <c r="AU892">
        <f t="shared" si="334"/>
        <v>45.403798492706905</v>
      </c>
      <c r="AV892" t="str">
        <f t="shared" si="335"/>
        <v>Mayor retorno probable: VENTAS (+45,4 puntos finales potenciales).</v>
      </c>
    </row>
    <row r="893" spans="1:48" x14ac:dyDescent="0.3">
      <c r="A893" s="5">
        <v>51056248</v>
      </c>
      <c r="B893" s="5" t="str">
        <f>IFERROR(VLOOKUP(A893,VENTAS!$A$2:$B$1194,2,0),"")</f>
        <v>MONTENEGRO</v>
      </c>
      <c r="C893" s="5">
        <f>IFERROR(INDEX(VENTAS!$C$2:$E$1194,MATCH(A893,VENTAS!$A$2:$A$1194,0),MATCH(PARAMS_MODELO!$B$2,{"Q1","Q2","Q3"},0)),0)</f>
        <v>33294027.699999999</v>
      </c>
      <c r="D893" s="5">
        <f>IFERROR(INDEX(VENTAS!$F$2:$H$1194,MATCH(A893,VENTAS!$A$2:$A$1194,0),MATCH(PARAMS_MODELO!$B$2,{"Q1","Q2","Q3"},0)),0)</f>
        <v>31752716</v>
      </c>
      <c r="E893" s="8">
        <f t="shared" si="312"/>
        <v>-4.6293939378202587E-2</v>
      </c>
      <c r="F893" s="12">
        <f>IF(E893&lt;=PARAMS_MODELO!$B$15,0,IF(E893&gt;=PARAMS_MODELO!$B$17,100,100*MIN(1,(E893-PARAMS_MODELO!$B$15)/(PARAMS_MODELO!$B$16-PARAMS_MODELO!$B$15))))*PARAMS_MODELO!$B$7</f>
        <v>0</v>
      </c>
      <c r="G893" s="5">
        <f t="shared" si="313"/>
        <v>0</v>
      </c>
      <c r="H893" s="5">
        <f>(PARAMS_MODELO!$B$20*(MAX(0,MIN(3,E893))/3)+PARAMS_MODELO!$B$21*(IFERROR(LN(1+MAX(0,G893))/LN(1+MAX(0,MAX($G$2:$G$1194))),0)))*100*PARAMS_MODELO!$B$8</f>
        <v>0</v>
      </c>
      <c r="I893" s="8">
        <f>E893-PARAMS_MODELO!$B$5</f>
        <v>-0.22385677475372912</v>
      </c>
      <c r="J893" s="5">
        <f>IF(I893&lt;=PARAMS_MODELO!$B$18,0,IF(I893&gt;=PARAMS_MODELO!$B$19,100,100*(I893-PARAMS_MODELO!$B$18)/(PARAMS_MODELO!$B$19-PARAMS_MODELO!$B$18)))*PARAMS_MODELO!$B$9</f>
        <v>0</v>
      </c>
      <c r="K893" s="5">
        <f>IFERROR(CHOOSE(MATCH(PARAMS_MODELO!$B$2,{"Q1","Q2","Q3"},0),LOTO!$D893,LOTO!$F893,LOTO!$H893),0)</f>
        <v>1542500</v>
      </c>
      <c r="L893" s="8">
        <f t="shared" si="314"/>
        <v>4.8578521597963463E-2</v>
      </c>
      <c r="M893" s="5">
        <f>MIN(100,IF(PARAMS_MODELO!$B$23=0,0,100*L893/PARAMS_MODELO!$B$23))*PARAMS_MODELO!$B$10</f>
        <v>14.573556479389037</v>
      </c>
      <c r="N893" s="5">
        <f>IFERROR(VLOOKUP(A893,COMPLIANCE!$A$2:$F$1996,6,0),100)</f>
        <v>100</v>
      </c>
      <c r="O893" s="5">
        <f>N893*PARAMS_MODELO!$B$11</f>
        <v>10</v>
      </c>
      <c r="P893" s="5">
        <f>IFERROR(VLOOKUP(A893,DIGITAL!$A$2:$J$2000,7,0),100)</f>
        <v>79</v>
      </c>
      <c r="Q893" s="5">
        <f>IFERROR(P893,0)*PARAMS_MODELO!$B$12</f>
        <v>7.9</v>
      </c>
      <c r="R893">
        <f t="shared" si="315"/>
        <v>32.473556479389039</v>
      </c>
      <c r="S893" s="5" t="str">
        <f>IFERROR(VLOOKUP(A893,CLIENTE!$A$2:$N$2000,13,0),1)</f>
        <v>Regular</v>
      </c>
      <c r="T893" s="5">
        <f>IFERROR(VLOOKUP(A893,CLIENTE!$A$2:$N$2000,14,0),1)</f>
        <v>1</v>
      </c>
      <c r="U893" s="5">
        <f t="shared" si="316"/>
        <v>32.473556479389039</v>
      </c>
      <c r="V893" s="5" t="str">
        <f>IF(U893&gt;=MAX(_xlfn.PERCENTILE.INC($U$2:$U$1194,PARAMS_MODELO!$B$50),PARAMS_MODELO!$B$45),"DIAMANTE",IF(U893&gt;=MAX(_xlfn.PERCENTILE.INC($U$2:$U$1194,PARAMS_MODELO!$B$51),PARAMS_MODELO!$B$46),"PLATINO",IF(U893&gt;=MAX(_xlfn.PERCENTILE.INC($U$2:$U$1194,PARAMS_MODELO!$B$52),PARAMS_MODELO!$B$47),"ORO",IF(U893&gt;=MAX(_xlfn.PERCENTILE.INC($U$2:$U$1194,PARAMS_MODELO!$B$53),PARAMS_MODELO!$B$48),"PLATA",IF(U893&gt;=1,"BRONCE","CERRADO")))))</f>
        <v>PLATA</v>
      </c>
      <c r="W893" s="5" t="str" cm="1">
        <f t="array" ref="W893">_xlfn.XLOOKUP(1, (HIST_SCORE!$B:$B=PARAMS_MODELO!$B$4) * (HIST_SCORE!$C:$C=A893), HIST_SCORE!$E:$E, "No encontrado")</f>
        <v>PLATA</v>
      </c>
      <c r="X893" s="5" t="str">
        <f>_xlfn.LET(_xlpm.act,MATCH(V893,{"DIAMANTE";"PLATINO";"ORO";"PLATA";"BRONCE";"CERRADO"},0),_xlpm.ant,MATCH(W893,{"DIAMANTE";"PLATINO";"ORO";"PLATA";"BRONCE";"CERRADO"},0),IF(_xlpm.act&lt;_xlpm.ant,"Mejora ↑",IF(_xlpm.act&gt;_xlpm.ant,"Baja ↓","Estable →")))</f>
        <v>Estable →</v>
      </c>
      <c r="Y893" s="5">
        <f>IFERROR(U893-SUMIFS(HIST_SCORE!$D:$D,HIST_SCORE!$B:$B,PARAMS_MODELO!$B$4,HIST_SCORE!$C:$C,$A893),"")</f>
        <v>-2.3746747160061474</v>
      </c>
      <c r="Z893" s="5" t="str">
        <f t="shared" si="317"/>
        <v>→ Estable</v>
      </c>
      <c r="AA893" s="5">
        <f t="shared" si="318"/>
        <v>830</v>
      </c>
      <c r="AB893" s="5">
        <f>IFERROR(SUMIFS(HIST_SCORE!$F:$F,HIST_SCORE!$B:$B,PARAMS_MODELO!$B$4,HIST_SCORE!$C:$C,$A893),"")</f>
        <v>867</v>
      </c>
      <c r="AC893" s="5">
        <f t="shared" si="319"/>
        <v>37</v>
      </c>
      <c r="AD893" t="str">
        <f t="shared" si="321"/>
        <v/>
      </c>
      <c r="AE8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893="CERRADO",1,IF(V893="BRONCE",_xlpm.cPl,IF(V893="PLATA",_xlpm.cO,IF(V893="ORO",_xlpm.cP,IF(V893="PLATINO",_xlpm.cD,999))))))</f>
        <v>63.199193273331495</v>
      </c>
      <c r="AF8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893="CERRADO",0,IF(V893="BRONCE",1,IF(V893="PLATA",_xlpm.cPl,IF(V893="ORO",_xlpm.cO,IF(V893="PLATINO",_xlpm.cP,_xlpm.cD))))))</f>
        <v>24.506573482968111</v>
      </c>
      <c r="AG893">
        <f t="shared" si="322"/>
        <v>30.725636793942456</v>
      </c>
      <c r="AH893" t="str">
        <f t="shared" si="323"/>
        <v>VENTAS</v>
      </c>
      <c r="AI893" t="str">
        <f t="shared" si="320"/>
        <v>🎯 Para subir de categoría, eje VENTAS / CRECIMIENTO PERSONAL (F). Acción: metas semanales + activación comercial + seguimiento del asesor. ΔR aprox: 30,7</v>
      </c>
      <c r="AJ893" s="26">
        <f>_xlfn.LET(_xlpm.piso,AF893,_xlpm.corte,AE893,_xlpm.prog,IF(_xlpm.corte&lt;=_xlpm.piso,0,MAX(0,MIN(1,(U893-_xlpm.piso)/(_xlpm.corte-_xlpm.piso)))),_xlpm.orden,{"DIAMANTE";"PLATINO";"ORO";"PLATA";"BRONCE";"CERRADO"},_xlpm.act,IFERROR(MATCH(V893,_xlpm.orden,0),6),_xlpm.ant,IFERROR(MATCH(W893,_xlpm.orden,0),6),_xlpm.ajmov,IF(_xlpm.act&lt;_xlpm.ant,0.08,IF(_xlpm.act&gt;_xlpm.ant,-0.08,0)),_xlpm.ajcli,IF(T893&lt;0.95,-0.06,0),_xlpm.prob,MAX(0,MIN(1,_xlpm.prog+_xlpm.ajmov+_xlpm.ajcli)),IF(OR(V893="DIAMANTE",V893="CERRADO"),0,ROUND(_xlpm.prob,2)))</f>
        <v>0.21</v>
      </c>
      <c r="AK893" t="str">
        <f t="shared" si="324"/>
        <v>Faltan 30,7 puntos base para subir a la siguiente categoría</v>
      </c>
      <c r="AL893" t="str">
        <f t="shared" si="325"/>
        <v>Margen de seguridad: 8,0 puntos</v>
      </c>
      <c r="AM893">
        <f t="shared" si="326"/>
        <v>0.72</v>
      </c>
      <c r="AN893" t="str">
        <f t="shared" si="327"/>
        <v>PRIORIDAD ALTA – requiere intervención inmediata</v>
      </c>
      <c r="AO893">
        <f t="shared" si="328"/>
        <v>64.862569275295584</v>
      </c>
      <c r="AP893">
        <f t="shared" si="329"/>
        <v>0.42644352061096313</v>
      </c>
      <c r="AQ893">
        <f t="shared" si="330"/>
        <v>0</v>
      </c>
      <c r="AR893">
        <f t="shared" si="331"/>
        <v>2.0999999999999996</v>
      </c>
      <c r="AS893">
        <f t="shared" si="332"/>
        <v>0</v>
      </c>
      <c r="AT893" t="str">
        <f t="shared" si="333"/>
        <v>VENTAS</v>
      </c>
      <c r="AU893">
        <f t="shared" si="334"/>
        <v>64.862569275295584</v>
      </c>
      <c r="AV893" t="str">
        <f t="shared" si="335"/>
        <v>Mayor retorno probable: VENTAS (+64,9 puntos finales potenciales).</v>
      </c>
    </row>
    <row r="894" spans="1:48" x14ac:dyDescent="0.3">
      <c r="A894" s="5">
        <v>51025245</v>
      </c>
      <c r="B894" s="5" t="str">
        <f>IFERROR(VLOOKUP(A894,VENTAS!$A$2:$B$1194,2,0),"")</f>
        <v>PUGH</v>
      </c>
      <c r="C894" s="5">
        <f>IFERROR(INDEX(VENTAS!$C$2:$E$1194,MATCH(A894,VENTAS!$A$2:$A$1194,0),MATCH(PARAMS_MODELO!$B$2,{"Q1","Q2","Q3"},0)),0)</f>
        <v>22846590.66</v>
      </c>
      <c r="D894" s="5">
        <f>IFERROR(INDEX(VENTAS!$F$2:$H$1194,MATCH(A894,VENTAS!$A$2:$A$1194,0),MATCH(PARAMS_MODELO!$B$2,{"Q1","Q2","Q3"},0)),0)</f>
        <v>31448008</v>
      </c>
      <c r="E894" s="8">
        <f t="shared" si="312"/>
        <v>0.37648581654940028</v>
      </c>
      <c r="F894" s="12">
        <f>IF(E894&lt;=PARAMS_MODELO!$B$15,0,IF(E894&gt;=PARAMS_MODELO!$B$17,100,100*MIN(1,(E894-PARAMS_MODELO!$B$15)/(PARAMS_MODELO!$B$16-PARAMS_MODELO!$B$15))))*PARAMS_MODELO!$B$7</f>
        <v>35</v>
      </c>
      <c r="G894" s="5">
        <f t="shared" si="313"/>
        <v>8601417.3399999999</v>
      </c>
      <c r="H894" s="5">
        <f>(PARAMS_MODELO!$B$20*(MAX(0,MIN(3,E894))/3)+PARAMS_MODELO!$B$21*(IFERROR(LN(1+MAX(0,G894))/LN(1+MAX(0,MAX($G$2:$G$1194))),0)))*100*PARAMS_MODELO!$B$8</f>
        <v>5.060690664483996</v>
      </c>
      <c r="I894" s="8">
        <f>E894-PARAMS_MODELO!$B$5</f>
        <v>0.19892298117387375</v>
      </c>
      <c r="J894" s="5">
        <f>IF(I894&lt;=PARAMS_MODELO!$B$18,0,IF(I894&gt;=PARAMS_MODELO!$B$19,100,100*(I894-PARAMS_MODELO!$B$18)/(PARAMS_MODELO!$B$19-PARAMS_MODELO!$B$18)))*PARAMS_MODELO!$B$9</f>
        <v>15</v>
      </c>
      <c r="K894" s="5">
        <f>IFERROR(CHOOSE(MATCH(PARAMS_MODELO!$B$2,{"Q1","Q2","Q3"},0),LOTO!$D894,LOTO!$F894,LOTO!$H894),0)</f>
        <v>1512500</v>
      </c>
      <c r="L894" s="8">
        <f t="shared" si="314"/>
        <v>4.8095256144681721E-2</v>
      </c>
      <c r="M894" s="5">
        <f>MIN(100,IF(PARAMS_MODELO!$B$23=0,0,100*L894/PARAMS_MODELO!$B$23))*PARAMS_MODELO!$B$10</f>
        <v>14.428576843404516</v>
      </c>
      <c r="N894" s="5">
        <f>IFERROR(VLOOKUP(A894,COMPLIANCE!$A$2:$F$1996,6,0),100)</f>
        <v>99.98</v>
      </c>
      <c r="O894" s="5">
        <f>N894*PARAMS_MODELO!$B$11</f>
        <v>9.9980000000000011</v>
      </c>
      <c r="P894" s="5">
        <f>IFERROR(VLOOKUP(A894,DIGITAL!$A$2:$J$2000,7,0),100)</f>
        <v>27</v>
      </c>
      <c r="Q894" s="5">
        <f>IFERROR(P894,0)*PARAMS_MODELO!$B$12</f>
        <v>2.7</v>
      </c>
      <c r="R894">
        <f t="shared" si="315"/>
        <v>82.187267507888521</v>
      </c>
      <c r="S894" s="5" t="str">
        <f>IFERROR(VLOOKUP(A894,CLIENTE!$A$2:$N$2000,13,0),1)</f>
        <v>Regular</v>
      </c>
      <c r="T894" s="5">
        <f>IFERROR(VLOOKUP(A894,CLIENTE!$A$2:$N$2000,14,0),1)</f>
        <v>1</v>
      </c>
      <c r="U894" s="5">
        <f t="shared" si="316"/>
        <v>82.187267507888521</v>
      </c>
      <c r="V894" s="5" t="str">
        <f>IF(U894&gt;=MAX(_xlfn.PERCENTILE.INC($U$2:$U$1194,PARAMS_MODELO!$B$50),PARAMS_MODELO!$B$45),"DIAMANTE",IF(U894&gt;=MAX(_xlfn.PERCENTILE.INC($U$2:$U$1194,PARAMS_MODELO!$B$51),PARAMS_MODELO!$B$46),"PLATINO",IF(U894&gt;=MAX(_xlfn.PERCENTILE.INC($U$2:$U$1194,PARAMS_MODELO!$B$52),PARAMS_MODELO!$B$47),"ORO",IF(U894&gt;=MAX(_xlfn.PERCENTILE.INC($U$2:$U$1194,PARAMS_MODELO!$B$53),PARAMS_MODELO!$B$48),"PLATA",IF(U894&gt;=1,"BRONCE","CERRADO")))))</f>
        <v>ORO</v>
      </c>
      <c r="W894" s="5" t="str" cm="1">
        <f t="array" ref="W894">_xlfn.XLOOKUP(1, (HIST_SCORE!$B:$B=PARAMS_MODELO!$B$4) * (HIST_SCORE!$C:$C=A894), HIST_SCORE!$E:$E, "No encontrado")</f>
        <v>ORO</v>
      </c>
      <c r="X894" s="5" t="str">
        <f>_xlfn.LET(_xlpm.act,MATCH(V894,{"DIAMANTE";"PLATINO";"ORO";"PLATA";"BRONCE";"CERRADO"},0),_xlpm.ant,MATCH(W894,{"DIAMANTE";"PLATINO";"ORO";"PLATA";"BRONCE";"CERRADO"},0),IF(_xlpm.act&lt;_xlpm.ant,"Mejora ↑",IF(_xlpm.act&gt;_xlpm.ant,"Baja ↓","Estable →")))</f>
        <v>Estable →</v>
      </c>
      <c r="Y894" s="5">
        <f>IFERROR(U894-SUMIFS(HIST_SCORE!$D:$D,HIST_SCORE!$B:$B,PARAMS_MODELO!$B$4,HIST_SCORE!$C:$C,$A894),"")</f>
        <v>-1.6815795758241592</v>
      </c>
      <c r="Z894" s="5" t="str">
        <f t="shared" si="317"/>
        <v>→ Estable</v>
      </c>
      <c r="AA894" s="5">
        <f t="shared" si="318"/>
        <v>383</v>
      </c>
      <c r="AB894" s="5">
        <f>IFERROR(SUMIFS(HIST_SCORE!$F:$F,HIST_SCORE!$B:$B,PARAMS_MODELO!$B$4,HIST_SCORE!$C:$C,$A894),"")</f>
        <v>295</v>
      </c>
      <c r="AC894" s="5">
        <f t="shared" si="319"/>
        <v>-88</v>
      </c>
      <c r="AD894" t="str">
        <f t="shared" si="321"/>
        <v>Sostener base y reforzar mix</v>
      </c>
      <c r="AE8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894="CERRADO",1,IF(V894="BRONCE",_xlpm.cPl,IF(V894="PLATA",_xlpm.cO,IF(V894="ORO",_xlpm.cP,IF(V894="PLATINO",_xlpm.cD,999))))))</f>
        <v>86.439123873763251</v>
      </c>
      <c r="AF8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894="CERRADO",0,IF(V894="BRONCE",1,IF(V894="PLATA",_xlpm.cPl,IF(V894="ORO",_xlpm.cO,IF(V894="PLATINO",_xlpm.cP,_xlpm.cD))))))</f>
        <v>63.199193273331495</v>
      </c>
      <c r="AG894">
        <f t="shared" si="322"/>
        <v>4.2518563658747297</v>
      </c>
      <c r="AH894" t="str">
        <f t="shared" si="323"/>
        <v>VENTAS</v>
      </c>
      <c r="AI894" t="str">
        <f t="shared" si="320"/>
        <v>🎯 Para subir de categoría, eje VENTAS / IMPACTO ABSOLUTO (H). Acción: metas semanales + activación comercial + seguimiento del asesor. ΔR aprox: 4,3</v>
      </c>
      <c r="AJ894" s="26">
        <f>_xlfn.LET(_xlpm.piso,AF894,_xlpm.corte,AE894,_xlpm.prog,IF(_xlpm.corte&lt;=_xlpm.piso,0,MAX(0,MIN(1,(U894-_xlpm.piso)/(_xlpm.corte-_xlpm.piso)))),_xlpm.orden,{"DIAMANTE";"PLATINO";"ORO";"PLATA";"BRONCE";"CERRADO"},_xlpm.act,IFERROR(MATCH(V894,_xlpm.orden,0),6),_xlpm.ant,IFERROR(MATCH(W894,_xlpm.orden,0),6),_xlpm.ajmov,IF(_xlpm.act&lt;_xlpm.ant,0.08,IF(_xlpm.act&gt;_xlpm.ant,-0.08,0)),_xlpm.ajcli,IF(T894&lt;0.95,-0.06,0),_xlpm.prob,MAX(0,MIN(1,_xlpm.prog+_xlpm.ajmov+_xlpm.ajcli)),IF(OR(V894="DIAMANTE",V894="CERRADO"),0,ROUND(_xlpm.prob,2)))</f>
        <v>0.82</v>
      </c>
      <c r="AK894" t="str">
        <f t="shared" si="324"/>
        <v>Faltan 4,3 puntos base para subir a la siguiente categoría</v>
      </c>
      <c r="AL894" t="str">
        <f t="shared" si="325"/>
        <v>Margen de seguridad: 19,0 puntos</v>
      </c>
      <c r="AM894">
        <f t="shared" si="326"/>
        <v>0.24</v>
      </c>
      <c r="AN894" t="str">
        <f t="shared" si="327"/>
        <v>PRIORIDAD BAJA – control normal</v>
      </c>
      <c r="AO894">
        <f t="shared" si="328"/>
        <v>9.8018786108115847</v>
      </c>
      <c r="AP894">
        <f t="shared" si="329"/>
        <v>0.57142315659548437</v>
      </c>
      <c r="AQ894">
        <f t="shared" si="330"/>
        <v>1.9999999999988916E-3</v>
      </c>
      <c r="AR894">
        <f t="shared" si="331"/>
        <v>7.3</v>
      </c>
      <c r="AS894">
        <f t="shared" si="332"/>
        <v>0</v>
      </c>
      <c r="AT894" t="str">
        <f t="shared" si="333"/>
        <v>VENTAS</v>
      </c>
      <c r="AU894">
        <f t="shared" si="334"/>
        <v>9.8018786108115847</v>
      </c>
      <c r="AV894" t="str">
        <f t="shared" si="335"/>
        <v>Mayor retorno probable: VENTAS (+9,8 puntos finales potenciales).</v>
      </c>
    </row>
    <row r="895" spans="1:48" x14ac:dyDescent="0.3">
      <c r="A895" s="5">
        <v>51016360</v>
      </c>
      <c r="B895" s="5" t="str">
        <f>IFERROR(VLOOKUP(A895,VENTAS!$A$2:$B$1194,2,0),"")</f>
        <v>ARGUELLO</v>
      </c>
      <c r="C895" s="5">
        <f>IFERROR(INDEX(VENTAS!$C$2:$E$1194,MATCH(A895,VENTAS!$A$2:$A$1194,0),MATCH(PARAMS_MODELO!$B$2,{"Q1","Q2","Q3"},0)),0)</f>
        <v>24113721.760000002</v>
      </c>
      <c r="D895" s="5">
        <f>IFERROR(INDEX(VENTAS!$F$2:$H$1194,MATCH(A895,VENTAS!$A$2:$A$1194,0),MATCH(PARAMS_MODELO!$B$2,{"Q1","Q2","Q3"},0)),0)</f>
        <v>31373000</v>
      </c>
      <c r="E895" s="8">
        <f t="shared" si="312"/>
        <v>0.30104346032729534</v>
      </c>
      <c r="F895" s="12">
        <f>IF(E895&lt;=PARAMS_MODELO!$B$15,0,IF(E895&gt;=PARAMS_MODELO!$B$17,100,100*MIN(1,(E895-PARAMS_MODELO!$B$15)/(PARAMS_MODELO!$B$16-PARAMS_MODELO!$B$15))))*PARAMS_MODELO!$B$7</f>
        <v>35</v>
      </c>
      <c r="G895" s="5">
        <f t="shared" si="313"/>
        <v>7259278.2399999984</v>
      </c>
      <c r="H895" s="5">
        <f>(PARAMS_MODELO!$B$20*(MAX(0,MIN(3,E895))/3)+PARAMS_MODELO!$B$21*(IFERROR(LN(1+MAX(0,G895))/LN(1+MAX(0,MAX($G$2:$G$1194))),0)))*100*PARAMS_MODELO!$B$8</f>
        <v>4.7568748939605081</v>
      </c>
      <c r="I895" s="8">
        <f>E895-PARAMS_MODELO!$B$5</f>
        <v>0.12348062495176881</v>
      </c>
      <c r="J895" s="5">
        <f>IF(I895&lt;=PARAMS_MODELO!$B$18,0,IF(I895&gt;=PARAMS_MODELO!$B$19,100,100*(I895-PARAMS_MODELO!$B$18)/(PARAMS_MODELO!$B$19-PARAMS_MODELO!$B$18)))*PARAMS_MODELO!$B$9</f>
        <v>15</v>
      </c>
      <c r="K895" s="5">
        <f>IFERROR(CHOOSE(MATCH(PARAMS_MODELO!$B$2,{"Q1","Q2","Q3"},0),LOTO!$D895,LOTO!$F895,LOTO!$H895),0)</f>
        <v>1487500</v>
      </c>
      <c r="L895" s="8">
        <f t="shared" si="314"/>
        <v>4.7413380932649095E-2</v>
      </c>
      <c r="M895" s="5">
        <f>MIN(100,IF(PARAMS_MODELO!$B$23=0,0,100*L895/PARAMS_MODELO!$B$23))*PARAMS_MODELO!$B$10</f>
        <v>14.224014279794726</v>
      </c>
      <c r="N895" s="5">
        <f>IFERROR(VLOOKUP(A895,COMPLIANCE!$A$2:$F$1996,6,0),100)</f>
        <v>99.1</v>
      </c>
      <c r="O895" s="5">
        <f>N895*PARAMS_MODELO!$B$11</f>
        <v>9.91</v>
      </c>
      <c r="P895" s="5">
        <f>IFERROR(VLOOKUP(A895,DIGITAL!$A$2:$J$2000,7,0),100)</f>
        <v>19</v>
      </c>
      <c r="Q895" s="5">
        <f>IFERROR(P895,0)*PARAMS_MODELO!$B$12</f>
        <v>1.9000000000000001</v>
      </c>
      <c r="R895">
        <f t="shared" si="315"/>
        <v>80.790889173755232</v>
      </c>
      <c r="S895" s="5" t="str">
        <f>IFERROR(VLOOKUP(A895,CLIENTE!$A$2:$N$2000,13,0),1)</f>
        <v>Muy Bueno</v>
      </c>
      <c r="T895" s="5">
        <f>IFERROR(VLOOKUP(A895,CLIENTE!$A$2:$N$2000,14,0),1)</f>
        <v>1.1499999999999999</v>
      </c>
      <c r="U895" s="5">
        <f t="shared" si="316"/>
        <v>92.909522549818504</v>
      </c>
      <c r="V895" s="5" t="str">
        <f>IF(U895&gt;=MAX(_xlfn.PERCENTILE.INC($U$2:$U$1194,PARAMS_MODELO!$B$50),PARAMS_MODELO!$B$45),"DIAMANTE",IF(U895&gt;=MAX(_xlfn.PERCENTILE.INC($U$2:$U$1194,PARAMS_MODELO!$B$51),PARAMS_MODELO!$B$46),"PLATINO",IF(U895&gt;=MAX(_xlfn.PERCENTILE.INC($U$2:$U$1194,PARAMS_MODELO!$B$52),PARAMS_MODELO!$B$47),"ORO",IF(U895&gt;=MAX(_xlfn.PERCENTILE.INC($U$2:$U$1194,PARAMS_MODELO!$B$53),PARAMS_MODELO!$B$48),"PLATA",IF(U895&gt;=1,"BRONCE","CERRADO")))))</f>
        <v>PLATINO</v>
      </c>
      <c r="W895" s="5" t="str" cm="1">
        <f t="array" ref="W895">_xlfn.XLOOKUP(1, (HIST_SCORE!$B:$B=PARAMS_MODELO!$B$4) * (HIST_SCORE!$C:$C=A895), HIST_SCORE!$E:$E, "No encontrado")</f>
        <v>PLATINO</v>
      </c>
      <c r="X895" s="5" t="str">
        <f>_xlfn.LET(_xlpm.act,MATCH(V895,{"DIAMANTE";"PLATINO";"ORO";"PLATA";"BRONCE";"CERRADO"},0),_xlpm.ant,MATCH(W895,{"DIAMANTE";"PLATINO";"ORO";"PLATA";"BRONCE";"CERRADO"},0),IF(_xlpm.act&lt;_xlpm.ant,"Mejora ↑",IF(_xlpm.act&gt;_xlpm.ant,"Baja ↓","Estable →")))</f>
        <v>Estable →</v>
      </c>
      <c r="Y895" s="5">
        <f>IFERROR(U895-SUMIFS(HIST_SCORE!$D:$D,HIST_SCORE!$B:$B,PARAMS_MODELO!$B$4,HIST_SCORE!$C:$C,$A895),"")</f>
        <v>-0.61234585869112834</v>
      </c>
      <c r="Z895" s="5" t="str">
        <f t="shared" si="317"/>
        <v>→ Estable</v>
      </c>
      <c r="AA895" s="5">
        <f t="shared" si="318"/>
        <v>91</v>
      </c>
      <c r="AB895" s="5">
        <f>IFERROR(SUMIFS(HIST_SCORE!$F:$F,HIST_SCORE!$B:$B,PARAMS_MODELO!$B$4,HIST_SCORE!$C:$C,$A895),"")</f>
        <v>77</v>
      </c>
      <c r="AC895" s="5">
        <f t="shared" si="319"/>
        <v>-14</v>
      </c>
      <c r="AD895" t="str">
        <f t="shared" si="321"/>
        <v/>
      </c>
      <c r="AE8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895="CERRADO",1,IF(V895="BRONCE",_xlpm.cPl,IF(V895="PLATA",_xlpm.cO,IF(V895="ORO",_xlpm.cP,IF(V895="PLATINO",_xlpm.cD,999))))))</f>
        <v>96.054919694466676</v>
      </c>
      <c r="AF8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895="CERRADO",0,IF(V895="BRONCE",1,IF(V895="PLATA",_xlpm.cPl,IF(V895="ORO",_xlpm.cO,IF(V895="PLATINO",_xlpm.cP,_xlpm.cD))))))</f>
        <v>86.439123873763251</v>
      </c>
      <c r="AG895">
        <f t="shared" si="322"/>
        <v>2.7351279518679661</v>
      </c>
      <c r="AH895" t="str">
        <f t="shared" si="323"/>
        <v>VENTAS</v>
      </c>
      <c r="AI895" t="str">
        <f t="shared" si="320"/>
        <v>🎯 Para subir de categoría, eje VENTAS / IMPACTO ABSOLUTO (H). Acción: metas semanales + activación comercial + seguimiento del asesor. ΔR aprox: 2,7</v>
      </c>
      <c r="AJ895" s="26">
        <f>_xlfn.LET(_xlpm.piso,AF895,_xlpm.corte,AE895,_xlpm.prog,IF(_xlpm.corte&lt;=_xlpm.piso,0,MAX(0,MIN(1,(U895-_xlpm.piso)/(_xlpm.corte-_xlpm.piso)))),_xlpm.orden,{"DIAMANTE";"PLATINO";"ORO";"PLATA";"BRONCE";"CERRADO"},_xlpm.act,IFERROR(MATCH(V895,_xlpm.orden,0),6),_xlpm.ant,IFERROR(MATCH(W895,_xlpm.orden,0),6),_xlpm.ajmov,IF(_xlpm.act&lt;_xlpm.ant,0.08,IF(_xlpm.act&gt;_xlpm.ant,-0.08,0)),_xlpm.ajcli,IF(T895&lt;0.95,-0.06,0),_xlpm.prob,MAX(0,MIN(1,_xlpm.prog+_xlpm.ajmov+_xlpm.ajcli)),IF(OR(V895="DIAMANTE",V895="CERRADO"),0,ROUND(_xlpm.prob,2)))</f>
        <v>0.67</v>
      </c>
      <c r="AK895" t="str">
        <f t="shared" si="324"/>
        <v>Faltan 2,7 puntos base para subir a la siguiente categoría</v>
      </c>
      <c r="AL895" t="str">
        <f t="shared" si="325"/>
        <v>Margen de seguridad: 6,5 puntos</v>
      </c>
      <c r="AM895">
        <f t="shared" si="326"/>
        <v>0.24</v>
      </c>
      <c r="AN895" t="str">
        <f t="shared" si="327"/>
        <v>PRIORIDAD BAJA – control normal</v>
      </c>
      <c r="AO895">
        <f t="shared" si="328"/>
        <v>11.621548538535338</v>
      </c>
      <c r="AP895">
        <f t="shared" si="329"/>
        <v>0.89238357823606451</v>
      </c>
      <c r="AQ895">
        <f t="shared" si="330"/>
        <v>0.10349999999999983</v>
      </c>
      <c r="AR895">
        <f t="shared" si="331"/>
        <v>9.3149999999999995</v>
      </c>
      <c r="AS895">
        <f t="shared" si="332"/>
        <v>0</v>
      </c>
      <c r="AT895" t="str">
        <f t="shared" si="333"/>
        <v>VENTAS</v>
      </c>
      <c r="AU895">
        <f t="shared" si="334"/>
        <v>11.621548538535338</v>
      </c>
      <c r="AV895" t="str">
        <f t="shared" si="335"/>
        <v>Mayor retorno probable: VENTAS (+11,6 puntos finales potenciales).</v>
      </c>
    </row>
    <row r="896" spans="1:48" x14ac:dyDescent="0.3">
      <c r="A896" s="5">
        <v>51040881</v>
      </c>
      <c r="B896" s="5" t="str">
        <f>IFERROR(VLOOKUP(A896,VENTAS!$A$2:$B$1194,2,0),"")</f>
        <v>NELLI</v>
      </c>
      <c r="C896" s="5">
        <f>IFERROR(INDEX(VENTAS!$C$2:$E$1194,MATCH(A896,VENTAS!$A$2:$A$1194,0),MATCH(PARAMS_MODELO!$B$2,{"Q1","Q2","Q3"},0)),0)</f>
        <v>35282337.850000001</v>
      </c>
      <c r="D896" s="5">
        <f>IFERROR(INDEX(VENTAS!$F$2:$H$1194,MATCH(A896,VENTAS!$A$2:$A$1194,0),MATCH(PARAMS_MODELO!$B$2,{"Q1","Q2","Q3"},0)),0)</f>
        <v>31262725</v>
      </c>
      <c r="E896" s="8">
        <f t="shared" si="312"/>
        <v>-0.11392705514835944</v>
      </c>
      <c r="F896" s="12">
        <f>IF(E896&lt;=PARAMS_MODELO!$B$15,0,IF(E896&gt;=PARAMS_MODELO!$B$17,100,100*MIN(1,(E896-PARAMS_MODELO!$B$15)/(PARAMS_MODELO!$B$16-PARAMS_MODELO!$B$15))))*PARAMS_MODELO!$B$7</f>
        <v>0</v>
      </c>
      <c r="G896" s="5">
        <f t="shared" si="313"/>
        <v>0</v>
      </c>
      <c r="H896" s="5">
        <f>(PARAMS_MODELO!$B$20*(MAX(0,MIN(3,E896))/3)+PARAMS_MODELO!$B$21*(IFERROR(LN(1+MAX(0,G896))/LN(1+MAX(0,MAX($G$2:$G$1194))),0)))*100*PARAMS_MODELO!$B$8</f>
        <v>0</v>
      </c>
      <c r="I896" s="8">
        <f>E896-PARAMS_MODELO!$B$5</f>
        <v>-0.29148989052388596</v>
      </c>
      <c r="J896" s="5">
        <f>IF(I896&lt;=PARAMS_MODELO!$B$18,0,IF(I896&gt;=PARAMS_MODELO!$B$19,100,100*(I896-PARAMS_MODELO!$B$18)/(PARAMS_MODELO!$B$19-PARAMS_MODELO!$B$18)))*PARAMS_MODELO!$B$9</f>
        <v>0</v>
      </c>
      <c r="K896" s="5">
        <f>IFERROR(CHOOSE(MATCH(PARAMS_MODELO!$B$2,{"Q1","Q2","Q3"},0),LOTO!$D896,LOTO!$F896,LOTO!$H896),0)</f>
        <v>1482500</v>
      </c>
      <c r="L896" s="8">
        <f t="shared" si="314"/>
        <v>4.7420690294911909E-2</v>
      </c>
      <c r="M896" s="5">
        <f>MIN(100,IF(PARAMS_MODELO!$B$23=0,0,100*L896/PARAMS_MODELO!$B$23))*PARAMS_MODELO!$B$10</f>
        <v>14.226207088473572</v>
      </c>
      <c r="N896" s="5">
        <f>IFERROR(VLOOKUP(A896,COMPLIANCE!$A$2:$F$1996,6,0),100)</f>
        <v>99.7</v>
      </c>
      <c r="O896" s="5">
        <f>N896*PARAMS_MODELO!$B$11</f>
        <v>9.9700000000000006</v>
      </c>
      <c r="P896" s="5">
        <f>IFERROR(VLOOKUP(A896,DIGITAL!$A$2:$J$2000,7,0),100)</f>
        <v>70</v>
      </c>
      <c r="Q896" s="5">
        <f>IFERROR(P896,0)*PARAMS_MODELO!$B$12</f>
        <v>7</v>
      </c>
      <c r="R896">
        <f t="shared" si="315"/>
        <v>31.196207088473571</v>
      </c>
      <c r="S896" s="5" t="str">
        <f>IFERROR(VLOOKUP(A896,CLIENTE!$A$2:$N$2000,13,0),1)</f>
        <v>Regular</v>
      </c>
      <c r="T896" s="5">
        <f>IFERROR(VLOOKUP(A896,CLIENTE!$A$2:$N$2000,14,0),1)</f>
        <v>1</v>
      </c>
      <c r="U896" s="5">
        <f t="shared" si="316"/>
        <v>31.196207088473571</v>
      </c>
      <c r="V896" s="5" t="str">
        <f>IF(U896&gt;=MAX(_xlfn.PERCENTILE.INC($U$2:$U$1194,PARAMS_MODELO!$B$50),PARAMS_MODELO!$B$45),"DIAMANTE",IF(U896&gt;=MAX(_xlfn.PERCENTILE.INC($U$2:$U$1194,PARAMS_MODELO!$B$51),PARAMS_MODELO!$B$46),"PLATINO",IF(U896&gt;=MAX(_xlfn.PERCENTILE.INC($U$2:$U$1194,PARAMS_MODELO!$B$52),PARAMS_MODELO!$B$47),"ORO",IF(U896&gt;=MAX(_xlfn.PERCENTILE.INC($U$2:$U$1194,PARAMS_MODELO!$B$53),PARAMS_MODELO!$B$48),"PLATA",IF(U896&gt;=1,"BRONCE","CERRADO")))))</f>
        <v>PLATA</v>
      </c>
      <c r="W896" s="5" t="str" cm="1">
        <f t="array" ref="W896">_xlfn.XLOOKUP(1, (HIST_SCORE!$B:$B=PARAMS_MODELO!$B$4) * (HIST_SCORE!$C:$C=A896), HIST_SCORE!$E:$E, "No encontrado")</f>
        <v>PLATA</v>
      </c>
      <c r="X896" s="5" t="str">
        <f>_xlfn.LET(_xlpm.act,MATCH(V896,{"DIAMANTE";"PLATINO";"ORO";"PLATA";"BRONCE";"CERRADO"},0),_xlpm.ant,MATCH(W896,{"DIAMANTE";"PLATINO";"ORO";"PLATA";"BRONCE";"CERRADO"},0),IF(_xlpm.act&lt;_xlpm.ant,"Mejora ↑",IF(_xlpm.act&gt;_xlpm.ant,"Baja ↓","Estable →")))</f>
        <v>Estable →</v>
      </c>
      <c r="Y896" s="5">
        <f>IFERROR(U896-SUMIFS(HIST_SCORE!$D:$D,HIST_SCORE!$B:$B,PARAMS_MODELO!$B$4,HIST_SCORE!$C:$C,$A896),"")</f>
        <v>-26.36886977541814</v>
      </c>
      <c r="Z896" s="5" t="str">
        <f t="shared" si="317"/>
        <v>↓ Baja</v>
      </c>
      <c r="AA896" s="5">
        <f t="shared" si="318"/>
        <v>843</v>
      </c>
      <c r="AB896" s="5">
        <f>IFERROR(SUMIFS(HIST_SCORE!$F:$F,HIST_SCORE!$B:$B,PARAMS_MODELO!$B$4,HIST_SCORE!$C:$C,$A896),"")</f>
        <v>697</v>
      </c>
      <c r="AC896" s="5">
        <f t="shared" si="319"/>
        <v>-146</v>
      </c>
      <c r="AD896" t="str">
        <f t="shared" si="321"/>
        <v/>
      </c>
      <c r="AE8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896="CERRADO",1,IF(V896="BRONCE",_xlpm.cPl,IF(V896="PLATA",_xlpm.cO,IF(V896="ORO",_xlpm.cP,IF(V896="PLATINO",_xlpm.cD,999))))))</f>
        <v>63.199193273331495</v>
      </c>
      <c r="AF8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896="CERRADO",0,IF(V896="BRONCE",1,IF(V896="PLATA",_xlpm.cPl,IF(V896="ORO",_xlpm.cO,IF(V896="PLATINO",_xlpm.cP,_xlpm.cD))))))</f>
        <v>24.506573482968111</v>
      </c>
      <c r="AG896">
        <f t="shared" si="322"/>
        <v>32.002986184857924</v>
      </c>
      <c r="AH896" t="str">
        <f t="shared" si="323"/>
        <v>VENTAS</v>
      </c>
      <c r="AI896" t="str">
        <f t="shared" si="320"/>
        <v>🎯 Para subir de categoría, eje VENTAS / CRECIMIENTO PERSONAL (F). Acción: metas semanales + activación comercial + seguimiento del asesor. ΔR aprox: 32,0</v>
      </c>
      <c r="AJ896" s="26">
        <f>_xlfn.LET(_xlpm.piso,AF896,_xlpm.corte,AE896,_xlpm.prog,IF(_xlpm.corte&lt;=_xlpm.piso,0,MAX(0,MIN(1,(U896-_xlpm.piso)/(_xlpm.corte-_xlpm.piso)))),_xlpm.orden,{"DIAMANTE";"PLATINO";"ORO";"PLATA";"BRONCE";"CERRADO"},_xlpm.act,IFERROR(MATCH(V896,_xlpm.orden,0),6),_xlpm.ant,IFERROR(MATCH(W896,_xlpm.orden,0),6),_xlpm.ajmov,IF(_xlpm.act&lt;_xlpm.ant,0.08,IF(_xlpm.act&gt;_xlpm.ant,-0.08,0)),_xlpm.ajcli,IF(T896&lt;0.95,-0.06,0),_xlpm.prob,MAX(0,MIN(1,_xlpm.prog+_xlpm.ajmov+_xlpm.ajcli)),IF(OR(V896="DIAMANTE",V896="CERRADO"),0,ROUND(_xlpm.prob,2)))</f>
        <v>0.17</v>
      </c>
      <c r="AK896" t="str">
        <f t="shared" si="324"/>
        <v>Faltan 32,0 puntos base para subir a la siguiente categoría</v>
      </c>
      <c r="AL896" t="str">
        <f t="shared" si="325"/>
        <v>Margen de seguridad: 6,7 puntos</v>
      </c>
      <c r="AM896">
        <f t="shared" si="326"/>
        <v>0.73</v>
      </c>
      <c r="AN896" t="str">
        <f t="shared" si="327"/>
        <v>PRIORIDAD ALTA – requiere intervención inmediata</v>
      </c>
      <c r="AO896">
        <f t="shared" si="328"/>
        <v>64.862569275295584</v>
      </c>
      <c r="AP896">
        <f t="shared" si="329"/>
        <v>0.77379291152642793</v>
      </c>
      <c r="AQ896">
        <f t="shared" si="330"/>
        <v>2.9999999999999361E-2</v>
      </c>
      <c r="AR896">
        <f t="shared" si="331"/>
        <v>3</v>
      </c>
      <c r="AS896">
        <f t="shared" si="332"/>
        <v>0</v>
      </c>
      <c r="AT896" t="str">
        <f t="shared" si="333"/>
        <v>VENTAS</v>
      </c>
      <c r="AU896">
        <f t="shared" si="334"/>
        <v>64.862569275295584</v>
      </c>
      <c r="AV896" t="str">
        <f t="shared" si="335"/>
        <v>Mayor retorno probable: VENTAS (+64,9 puntos finales potenciales).</v>
      </c>
    </row>
    <row r="897" spans="1:48" x14ac:dyDescent="0.3">
      <c r="A897" s="5">
        <v>51031776</v>
      </c>
      <c r="B897" s="5" t="str">
        <f>IFERROR(VLOOKUP(A897,VENTAS!$A$2:$B$1194,2,0),"")</f>
        <v>METTLER</v>
      </c>
      <c r="C897" s="5">
        <f>IFERROR(INDEX(VENTAS!$C$2:$E$1194,MATCH(A897,VENTAS!$A$2:$A$1194,0),MATCH(PARAMS_MODELO!$B$2,{"Q1","Q2","Q3"},0)),0)</f>
        <v>13766426.699999999</v>
      </c>
      <c r="D897" s="5">
        <f>IFERROR(INDEX(VENTAS!$F$2:$H$1194,MATCH(A897,VENTAS!$A$2:$A$1194,0),MATCH(PARAMS_MODELO!$B$2,{"Q1","Q2","Q3"},0)),0)</f>
        <v>30924021</v>
      </c>
      <c r="E897" s="8">
        <f t="shared" si="312"/>
        <v>1.2463360808073749</v>
      </c>
      <c r="F897" s="12">
        <f>IF(E897&lt;=PARAMS_MODELO!$B$15,0,IF(E897&gt;=PARAMS_MODELO!$B$17,100,100*MIN(1,(E897-PARAMS_MODELO!$B$15)/(PARAMS_MODELO!$B$16-PARAMS_MODELO!$B$15))))*PARAMS_MODELO!$B$7</f>
        <v>35</v>
      </c>
      <c r="G897" s="5">
        <f t="shared" si="313"/>
        <v>17157594.300000001</v>
      </c>
      <c r="H897" s="5">
        <f>(PARAMS_MODELO!$B$20*(MAX(0,MIN(3,E897))/3)+PARAMS_MODELO!$B$21*(IFERROR(LN(1+MAX(0,G897))/LN(1+MAX(0,MAX($G$2:$G$1194))),0)))*100*PARAMS_MODELO!$B$8</f>
        <v>8.2670326728999939</v>
      </c>
      <c r="I897" s="8">
        <f>E897-PARAMS_MODELO!$B$5</f>
        <v>1.0687732454318484</v>
      </c>
      <c r="J897" s="5">
        <f>IF(I897&lt;=PARAMS_MODELO!$B$18,0,IF(I897&gt;=PARAMS_MODELO!$B$19,100,100*(I897-PARAMS_MODELO!$B$18)/(PARAMS_MODELO!$B$19-PARAMS_MODELO!$B$18)))*PARAMS_MODELO!$B$9</f>
        <v>15</v>
      </c>
      <c r="K897" s="5">
        <f>IFERROR(CHOOSE(MATCH(PARAMS_MODELO!$B$2,{"Q1","Q2","Q3"},0),LOTO!$D897,LOTO!$F897,LOTO!$H897),0)</f>
        <v>1480000</v>
      </c>
      <c r="L897" s="8">
        <f t="shared" si="314"/>
        <v>4.7859235382099886E-2</v>
      </c>
      <c r="M897" s="5">
        <f>MIN(100,IF(PARAMS_MODELO!$B$23=0,0,100*L897/PARAMS_MODELO!$B$23))*PARAMS_MODELO!$B$10</f>
        <v>14.357770614629967</v>
      </c>
      <c r="N897" s="5">
        <f>IFERROR(VLOOKUP(A897,COMPLIANCE!$A$2:$F$1996,6,0),100)</f>
        <v>99.83</v>
      </c>
      <c r="O897" s="5">
        <f>N897*PARAMS_MODELO!$B$11</f>
        <v>9.9830000000000005</v>
      </c>
      <c r="P897" s="5">
        <f>IFERROR(VLOOKUP(A897,DIGITAL!$A$2:$J$2000,7,0),100)</f>
        <v>76</v>
      </c>
      <c r="Q897" s="5">
        <f>IFERROR(P897,0)*PARAMS_MODELO!$B$12</f>
        <v>7.6000000000000005</v>
      </c>
      <c r="R897">
        <f t="shared" si="315"/>
        <v>90.207803287529956</v>
      </c>
      <c r="S897" s="5" t="str">
        <f>IFERROR(VLOOKUP(A897,CLIENTE!$A$2:$N$2000,13,0),1)</f>
        <v>Malo</v>
      </c>
      <c r="T897" s="5">
        <f>IFERROR(VLOOKUP(A897,CLIENTE!$A$2:$N$2000,14,0),1)</f>
        <v>0.7</v>
      </c>
      <c r="U897" s="5">
        <f t="shared" si="316"/>
        <v>63.145462301270967</v>
      </c>
      <c r="V897" s="5" t="str">
        <f>IF(U897&gt;=MAX(_xlfn.PERCENTILE.INC($U$2:$U$1194,PARAMS_MODELO!$B$50),PARAMS_MODELO!$B$45),"DIAMANTE",IF(U897&gt;=MAX(_xlfn.PERCENTILE.INC($U$2:$U$1194,PARAMS_MODELO!$B$51),PARAMS_MODELO!$B$46),"PLATINO",IF(U897&gt;=MAX(_xlfn.PERCENTILE.INC($U$2:$U$1194,PARAMS_MODELO!$B$52),PARAMS_MODELO!$B$47),"ORO",IF(U897&gt;=MAX(_xlfn.PERCENTILE.INC($U$2:$U$1194,PARAMS_MODELO!$B$53),PARAMS_MODELO!$B$48),"PLATA",IF(U897&gt;=1,"BRONCE","CERRADO")))))</f>
        <v>PLATA</v>
      </c>
      <c r="W897" s="5" t="str" cm="1">
        <f t="array" ref="W897">_xlfn.XLOOKUP(1, (HIST_SCORE!$B:$B=PARAMS_MODELO!$B$4) * (HIST_SCORE!$C:$C=A897), HIST_SCORE!$E:$E, "No encontrado")</f>
        <v>PLATA</v>
      </c>
      <c r="X897" s="5" t="str">
        <f>_xlfn.LET(_xlpm.act,MATCH(V897,{"DIAMANTE";"PLATINO";"ORO";"PLATA";"BRONCE";"CERRADO"},0),_xlpm.ant,MATCH(W897,{"DIAMANTE";"PLATINO";"ORO";"PLATA";"BRONCE";"CERRADO"},0),IF(_xlpm.act&lt;_xlpm.ant,"Mejora ↑",IF(_xlpm.act&gt;_xlpm.ant,"Baja ↓","Estable →")))</f>
        <v>Estable →</v>
      </c>
      <c r="Y897" s="5">
        <f>IFERROR(U897-SUMIFS(HIST_SCORE!$D:$D,HIST_SCORE!$B:$B,PARAMS_MODELO!$B$4,HIST_SCORE!$C:$C,$A897),"")</f>
        <v>37.62107136265108</v>
      </c>
      <c r="Z897" s="5" t="str">
        <f t="shared" si="317"/>
        <v>↑ Mejora</v>
      </c>
      <c r="AA897" s="5">
        <f t="shared" si="318"/>
        <v>556</v>
      </c>
      <c r="AB897" s="5">
        <f>IFERROR(SUMIFS(HIST_SCORE!$F:$F,HIST_SCORE!$B:$B,PARAMS_MODELO!$B$4,HIST_SCORE!$C:$C,$A897),"")</f>
        <v>946</v>
      </c>
      <c r="AC897" s="5">
        <f t="shared" si="319"/>
        <v>390</v>
      </c>
      <c r="AD897" t="str">
        <f t="shared" si="321"/>
        <v/>
      </c>
      <c r="AE8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897="CERRADO",1,IF(V897="BRONCE",_xlpm.cPl,IF(V897="PLATA",_xlpm.cO,IF(V897="ORO",_xlpm.cP,IF(V897="PLATINO",_xlpm.cD,999))))))</f>
        <v>63.199193273331495</v>
      </c>
      <c r="AF8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897="CERRADO",0,IF(V897="BRONCE",1,IF(V897="PLATA",_xlpm.cPl,IF(V897="ORO",_xlpm.cO,IF(V897="PLATINO",_xlpm.cP,_xlpm.cD))))))</f>
        <v>24.506573482968111</v>
      </c>
      <c r="AG897">
        <f t="shared" si="322"/>
        <v>7.6758531515039863E-2</v>
      </c>
      <c r="AH897" t="str">
        <f t="shared" si="323"/>
        <v>CLIENTE</v>
      </c>
      <c r="AI897" t="str">
        <f t="shared" si="320"/>
        <v>🎯 Para subir de categoría, la eje con mayor impacto probable es CLIENTE (coef T). Acción: reducir quejas, mejorar incógnito y empujar reseñas. ΔR aprox: 0,1</v>
      </c>
      <c r="AJ897" s="26">
        <f>_xlfn.LET(_xlpm.piso,AF897,_xlpm.corte,AE897,_xlpm.prog,IF(_xlpm.corte&lt;=_xlpm.piso,0,MAX(0,MIN(1,(U897-_xlpm.piso)/(_xlpm.corte-_xlpm.piso)))),_xlpm.orden,{"DIAMANTE";"PLATINO";"ORO";"PLATA";"BRONCE";"CERRADO"},_xlpm.act,IFERROR(MATCH(V897,_xlpm.orden,0),6),_xlpm.ant,IFERROR(MATCH(W897,_xlpm.orden,0),6),_xlpm.ajmov,IF(_xlpm.act&lt;_xlpm.ant,0.08,IF(_xlpm.act&gt;_xlpm.ant,-0.08,0)),_xlpm.ajcli,IF(T897&lt;0.95,-0.06,0),_xlpm.prob,MAX(0,MIN(1,_xlpm.prog+_xlpm.ajmov+_xlpm.ajcli)),IF(OR(V897="DIAMANTE",V897="CERRADO"),0,ROUND(_xlpm.prob,2)))</f>
        <v>0.94</v>
      </c>
      <c r="AK897" t="str">
        <f t="shared" si="324"/>
        <v>Faltan 0,1 puntos base para subir a la siguiente categoría</v>
      </c>
      <c r="AL897" t="str">
        <f t="shared" si="325"/>
        <v>Margen de seguridad: 38,6 puntos</v>
      </c>
      <c r="AM897">
        <f t="shared" si="326"/>
        <v>0.23</v>
      </c>
      <c r="AN897" t="str">
        <f t="shared" si="327"/>
        <v>PRIORIDAD BAJA – control normal</v>
      </c>
      <c r="AO897">
        <f t="shared" si="328"/>
        <v>4.6168756216769129</v>
      </c>
      <c r="AP897">
        <f t="shared" si="329"/>
        <v>0.4495605697590232</v>
      </c>
      <c r="AQ897">
        <f t="shared" si="330"/>
        <v>1.1899999999999621E-2</v>
      </c>
      <c r="AR897">
        <f t="shared" si="331"/>
        <v>1.6799999999999995</v>
      </c>
      <c r="AS897">
        <f t="shared" si="332"/>
        <v>27.062340986258992</v>
      </c>
      <c r="AT897" t="str">
        <f t="shared" si="333"/>
        <v>CLIENTE</v>
      </c>
      <c r="AU897">
        <f t="shared" si="334"/>
        <v>27.062340986258992</v>
      </c>
      <c r="AV897" t="str">
        <f t="shared" si="335"/>
        <v>Mayor retorno probable: CLIENTE (+27,1 puntos finales potenciales).</v>
      </c>
    </row>
    <row r="898" spans="1:48" x14ac:dyDescent="0.3">
      <c r="A898" s="5">
        <v>51013166</v>
      </c>
      <c r="B898" s="5" t="str">
        <f>IFERROR(VLOOKUP(A898,VENTAS!$A$2:$B$1194,2,0),"")</f>
        <v>BELUZZO</v>
      </c>
      <c r="C898" s="5">
        <f>IFERROR(INDEX(VENTAS!$C$2:$E$1194,MATCH(A898,VENTAS!$A$2:$A$1194,0),MATCH(PARAMS_MODELO!$B$2,{"Q1","Q2","Q3"},0)),0)</f>
        <v>26967890.5</v>
      </c>
      <c r="D898" s="5">
        <f>IFERROR(INDEX(VENTAS!$F$2:$H$1194,MATCH(A898,VENTAS!$A$2:$A$1194,0),MATCH(PARAMS_MODELO!$B$2,{"Q1","Q2","Q3"},0)),0)</f>
        <v>30500114</v>
      </c>
      <c r="E898" s="8">
        <f t="shared" ref="E898:E961" si="336">IFERROR(D898/C898-1,0)</f>
        <v>0.13097885798668596</v>
      </c>
      <c r="F898" s="12">
        <f>IF(E898&lt;=PARAMS_MODELO!$B$15,0,IF(E898&gt;=PARAMS_MODELO!$B$17,100,100*MIN(1,(E898-PARAMS_MODELO!$B$15)/(PARAMS_MODELO!$B$16-PARAMS_MODELO!$B$15))))*PARAMS_MODELO!$B$7</f>
        <v>35</v>
      </c>
      <c r="G898" s="5">
        <f t="shared" ref="G898:G961" si="337">MAX(0,D898-C898)</f>
        <v>3532223.5</v>
      </c>
      <c r="H898" s="5">
        <f>(PARAMS_MODELO!$B$20*(MAX(0,MIN(3,E898))/3)+PARAMS_MODELO!$B$21*(IFERROR(LN(1+MAX(0,G898))/LN(1+MAX(0,MAX($G$2:$G$1194))),0)))*100*PARAMS_MODELO!$B$8</f>
        <v>3.9927880555082327</v>
      </c>
      <c r="I898" s="8">
        <f>E898-PARAMS_MODELO!$B$5</f>
        <v>-4.6583977388840569E-2</v>
      </c>
      <c r="J898" s="5">
        <f>IF(I898&lt;=PARAMS_MODELO!$B$18,0,IF(I898&gt;=PARAMS_MODELO!$B$19,100,100*(I898-PARAMS_MODELO!$B$18)/(PARAMS_MODELO!$B$19-PARAMS_MODELO!$B$18)))*PARAMS_MODELO!$B$9</f>
        <v>0.51240339167391491</v>
      </c>
      <c r="K898" s="5">
        <f>IFERROR(CHOOSE(MATCH(PARAMS_MODELO!$B$2,{"Q1","Q2","Q3"},0),LOTO!$D898,LOTO!$F898,LOTO!$H898),0)</f>
        <v>1467500</v>
      </c>
      <c r="L898" s="8">
        <f t="shared" ref="L898:L961" si="338">IFERROR(K898/D898,0)</f>
        <v>4.8114574260279812E-2</v>
      </c>
      <c r="M898" s="5">
        <f>MIN(100,IF(PARAMS_MODELO!$B$23=0,0,100*L898/PARAMS_MODELO!$B$23))*PARAMS_MODELO!$B$10</f>
        <v>14.43437227808394</v>
      </c>
      <c r="N898" s="5">
        <f>IFERROR(VLOOKUP(A898,COMPLIANCE!$A$2:$F$1996,6,0),100)</f>
        <v>100</v>
      </c>
      <c r="O898" s="5">
        <f>N898*PARAMS_MODELO!$B$11</f>
        <v>10</v>
      </c>
      <c r="P898" s="5">
        <f>IFERROR(VLOOKUP(A898,DIGITAL!$A$2:$J$2000,7,0),100)</f>
        <v>55</v>
      </c>
      <c r="Q898" s="5">
        <f>IFERROR(P898,0)*PARAMS_MODELO!$B$12</f>
        <v>5.5</v>
      </c>
      <c r="R898">
        <f t="shared" ref="R898:R961" si="339">MIN(100,MAX(0,F898+H898+J898+M898+O898+Q898))</f>
        <v>69.439563725266083</v>
      </c>
      <c r="S898" s="5" t="str">
        <f>IFERROR(VLOOKUP(A898,CLIENTE!$A$2:$N$2000,13,0),1)</f>
        <v>Regular</v>
      </c>
      <c r="T898" s="5">
        <f>IFERROR(VLOOKUP(A898,CLIENTE!$A$2:$N$2000,14,0),1)</f>
        <v>1</v>
      </c>
      <c r="U898" s="5">
        <f t="shared" ref="U898:U961" si="340">MIN(100,MAX(0,R898*T898))</f>
        <v>69.439563725266083</v>
      </c>
      <c r="V898" s="5" t="str">
        <f>IF(U898&gt;=MAX(_xlfn.PERCENTILE.INC($U$2:$U$1194,PARAMS_MODELO!$B$50),PARAMS_MODELO!$B$45),"DIAMANTE",IF(U898&gt;=MAX(_xlfn.PERCENTILE.INC($U$2:$U$1194,PARAMS_MODELO!$B$51),PARAMS_MODELO!$B$46),"PLATINO",IF(U898&gt;=MAX(_xlfn.PERCENTILE.INC($U$2:$U$1194,PARAMS_MODELO!$B$52),PARAMS_MODELO!$B$47),"ORO",IF(U898&gt;=MAX(_xlfn.PERCENTILE.INC($U$2:$U$1194,PARAMS_MODELO!$B$53),PARAMS_MODELO!$B$48),"PLATA",IF(U898&gt;=1,"BRONCE","CERRADO")))))</f>
        <v>ORO</v>
      </c>
      <c r="W898" s="5" t="str" cm="1">
        <f t="array" ref="W898">_xlfn.XLOOKUP(1, (HIST_SCORE!$B:$B=PARAMS_MODELO!$B$4) * (HIST_SCORE!$C:$C=A898), HIST_SCORE!$E:$E, "No encontrado")</f>
        <v>PLATA</v>
      </c>
      <c r="X898" s="5" t="str">
        <f>_xlfn.LET(_xlpm.act,MATCH(V898,{"DIAMANTE";"PLATINO";"ORO";"PLATA";"BRONCE";"CERRADO"},0),_xlpm.ant,MATCH(W898,{"DIAMANTE";"PLATINO";"ORO";"PLATA";"BRONCE";"CERRADO"},0),IF(_xlpm.act&lt;_xlpm.ant,"Mejora ↑",IF(_xlpm.act&gt;_xlpm.ant,"Baja ↓","Estable →")))</f>
        <v>Mejora ↑</v>
      </c>
      <c r="Y898" s="5">
        <f>IFERROR(U898-SUMIFS(HIST_SCORE!$D:$D,HIST_SCORE!$B:$B,PARAMS_MODELO!$B$4,HIST_SCORE!$C:$C,$A898),"")</f>
        <v>16.936768206947846</v>
      </c>
      <c r="Z898" s="5" t="str">
        <f t="shared" ref="Z898:Z961" si="341">IF(Y898="","",IF(Y898&gt;=5,"↑ Mejora",IF(Y898&lt;=-5,"↓ Baja","→ Estable")))</f>
        <v>↑ Mejora</v>
      </c>
      <c r="AA898" s="5">
        <f t="shared" ref="AA898:AA961" si="342">IFERROR(_xlfn.RANK.EQ(U898,$U$2:$U$1194,0),"")</f>
        <v>517</v>
      </c>
      <c r="AB898" s="5">
        <f>IFERROR(SUMIFS(HIST_SCORE!$F:$F,HIST_SCORE!$B:$B,PARAMS_MODELO!$B$4,HIST_SCORE!$C:$C,$A898),"")</f>
        <v>754</v>
      </c>
      <c r="AC898" s="5">
        <f t="shared" ref="AC898:AC961" si="343">IF(OR(AA898="",AB898=""),"",AB898-AA898)</f>
        <v>237</v>
      </c>
      <c r="AD898" t="str">
        <f t="shared" si="321"/>
        <v/>
      </c>
      <c r="AE8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898="CERRADO",1,IF(V898="BRONCE",_xlpm.cPl,IF(V898="PLATA",_xlpm.cO,IF(V898="ORO",_xlpm.cP,IF(V898="PLATINO",_xlpm.cD,999))))))</f>
        <v>86.439123873763251</v>
      </c>
      <c r="AF8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898="CERRADO",0,IF(V898="BRONCE",1,IF(V898="PLATA",_xlpm.cPl,IF(V898="ORO",_xlpm.cO,IF(V898="PLATINO",_xlpm.cP,_xlpm.cD))))))</f>
        <v>63.199193273331495</v>
      </c>
      <c r="AG898">
        <f t="shared" si="322"/>
        <v>16.999560148497167</v>
      </c>
      <c r="AH898" t="str">
        <f t="shared" si="323"/>
        <v>VENTAS</v>
      </c>
      <c r="AI898" t="str">
        <f t="shared" ref="AI898:AI961" si="344">_xlfn.LET(_xlpm.pal,AH898,_xlpm.deltaR,AG898,_xlpm.minVent,MIN(F898,H898,J898),_xlpm.subV,IF(_xlpm.minVent=F898,"CRECIMIENTO PERSONAL (F)",IF(_xlpm.minVent=H898,"IMPACTO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DIFERENCIAL vs LOTBA (J). Acción: metas semanales + activación comercial + seguimiento del asesor. ΔR aprox: 17,0</v>
      </c>
      <c r="AJ898" s="26">
        <f>_xlfn.LET(_xlpm.piso,AF898,_xlpm.corte,AE898,_xlpm.prog,IF(_xlpm.corte&lt;=_xlpm.piso,0,MAX(0,MIN(1,(U898-_xlpm.piso)/(_xlpm.corte-_xlpm.piso)))),_xlpm.orden,{"DIAMANTE";"PLATINO";"ORO";"PLATA";"BRONCE";"CERRADO"},_xlpm.act,IFERROR(MATCH(V898,_xlpm.orden,0),6),_xlpm.ant,IFERROR(MATCH(W898,_xlpm.orden,0),6),_xlpm.ajmov,IF(_xlpm.act&lt;_xlpm.ant,0.08,IF(_xlpm.act&gt;_xlpm.ant,-0.08,0)),_xlpm.ajcli,IF(T898&lt;0.95,-0.06,0),_xlpm.prob,MAX(0,MIN(1,_xlpm.prog+_xlpm.ajmov+_xlpm.ajcli)),IF(OR(V898="DIAMANTE",V898="CERRADO"),0,ROUND(_xlpm.prob,2)))</f>
        <v>0.35</v>
      </c>
      <c r="AK898" t="str">
        <f t="shared" si="324"/>
        <v>Faltan 17,0 puntos base para subir a la siguiente categoría</v>
      </c>
      <c r="AL898" t="str">
        <f t="shared" si="325"/>
        <v>Margen de seguridad: 6,2 puntos</v>
      </c>
      <c r="AM898">
        <f t="shared" si="326"/>
        <v>0.66</v>
      </c>
      <c r="AN898" t="str">
        <f t="shared" si="327"/>
        <v>PRIORIDAD MEDIA – seguimiento del asesor</v>
      </c>
      <c r="AO898">
        <f t="shared" si="328"/>
        <v>25.357377828113435</v>
      </c>
      <c r="AP898">
        <f t="shared" si="329"/>
        <v>0.56562772191606037</v>
      </c>
      <c r="AQ898">
        <f t="shared" si="330"/>
        <v>0</v>
      </c>
      <c r="AR898">
        <f t="shared" si="331"/>
        <v>4.5</v>
      </c>
      <c r="AS898">
        <f t="shared" si="332"/>
        <v>0</v>
      </c>
      <c r="AT898" t="str">
        <f t="shared" si="333"/>
        <v>VENTAS</v>
      </c>
      <c r="AU898">
        <f t="shared" si="334"/>
        <v>25.357377828113435</v>
      </c>
      <c r="AV898" t="str">
        <f t="shared" si="335"/>
        <v>Mayor retorno probable: VENTAS (+25,4 puntos finales potenciales).</v>
      </c>
    </row>
    <row r="899" spans="1:48" x14ac:dyDescent="0.3">
      <c r="A899" s="5">
        <v>51032918</v>
      </c>
      <c r="B899" s="5" t="str">
        <f>IFERROR(VLOOKUP(A899,VENTAS!$A$2:$B$1194,2,0),"")</f>
        <v>LÓPEZ</v>
      </c>
      <c r="C899" s="5">
        <f>IFERROR(INDEX(VENTAS!$C$2:$E$1194,MATCH(A899,VENTAS!$A$2:$A$1194,0),MATCH(PARAMS_MODELO!$B$2,{"Q1","Q2","Q3"},0)),0)</f>
        <v>34258690.479999997</v>
      </c>
      <c r="D899" s="5">
        <f>IFERROR(INDEX(VENTAS!$F$2:$H$1194,MATCH(A899,VENTAS!$A$2:$A$1194,0),MATCH(PARAMS_MODELO!$B$2,{"Q1","Q2","Q3"},0)),0)</f>
        <v>30359572</v>
      </c>
      <c r="E899" s="8">
        <f t="shared" si="336"/>
        <v>-0.11381399654713242</v>
      </c>
      <c r="F899" s="12">
        <f>IF(E899&lt;=PARAMS_MODELO!$B$15,0,IF(E899&gt;=PARAMS_MODELO!$B$17,100,100*MIN(1,(E899-PARAMS_MODELO!$B$15)/(PARAMS_MODELO!$B$16-PARAMS_MODELO!$B$15))))*PARAMS_MODELO!$B$7</f>
        <v>0</v>
      </c>
      <c r="G899" s="5">
        <f t="shared" si="337"/>
        <v>0</v>
      </c>
      <c r="H899" s="5">
        <f>(PARAMS_MODELO!$B$20*(MAX(0,MIN(3,E899))/3)+PARAMS_MODELO!$B$21*(IFERROR(LN(1+MAX(0,G899))/LN(1+MAX(0,MAX($G$2:$G$1194))),0)))*100*PARAMS_MODELO!$B$8</f>
        <v>0</v>
      </c>
      <c r="I899" s="8">
        <f>E899-PARAMS_MODELO!$B$5</f>
        <v>-0.29137683192265895</v>
      </c>
      <c r="J899" s="5">
        <f>IF(I899&lt;=PARAMS_MODELO!$B$18,0,IF(I899&gt;=PARAMS_MODELO!$B$19,100,100*(I899-PARAMS_MODELO!$B$18)/(PARAMS_MODELO!$B$19-PARAMS_MODELO!$B$18)))*PARAMS_MODELO!$B$9</f>
        <v>0</v>
      </c>
      <c r="K899" s="5">
        <f>IFERROR(CHOOSE(MATCH(PARAMS_MODELO!$B$2,{"Q1","Q2","Q3"},0),LOTO!$D899,LOTO!$F899,LOTO!$H899),0)</f>
        <v>1452500</v>
      </c>
      <c r="L899" s="8">
        <f t="shared" si="338"/>
        <v>4.7843230464513796E-2</v>
      </c>
      <c r="M899" s="5">
        <f>MIN(100,IF(PARAMS_MODELO!$B$23=0,0,100*L899/PARAMS_MODELO!$B$23))*PARAMS_MODELO!$B$10</f>
        <v>14.352969139354135</v>
      </c>
      <c r="N899" s="5">
        <f>IFERROR(VLOOKUP(A899,COMPLIANCE!$A$2:$F$1996,6,0),100)</f>
        <v>100</v>
      </c>
      <c r="O899" s="5">
        <f>N899*PARAMS_MODELO!$B$11</f>
        <v>10</v>
      </c>
      <c r="P899" s="5">
        <f>IFERROR(VLOOKUP(A899,DIGITAL!$A$2:$J$2000,7,0),100)</f>
        <v>22</v>
      </c>
      <c r="Q899" s="5">
        <f>IFERROR(P899,0)*PARAMS_MODELO!$B$12</f>
        <v>2.2000000000000002</v>
      </c>
      <c r="R899">
        <f t="shared" si="339"/>
        <v>26.552969139354136</v>
      </c>
      <c r="S899" s="5" t="str">
        <f>IFERROR(VLOOKUP(A899,CLIENTE!$A$2:$N$2000,13,0),1)</f>
        <v>Malo</v>
      </c>
      <c r="T899" s="5">
        <f>IFERROR(VLOOKUP(A899,CLIENTE!$A$2:$N$2000,14,0),1)</f>
        <v>0.7</v>
      </c>
      <c r="U899" s="5">
        <f t="shared" si="340"/>
        <v>18.587078397547895</v>
      </c>
      <c r="V899" s="5" t="str">
        <f>IF(U899&gt;=MAX(_xlfn.PERCENTILE.INC($U$2:$U$1194,PARAMS_MODELO!$B$50),PARAMS_MODELO!$B$45),"DIAMANTE",IF(U899&gt;=MAX(_xlfn.PERCENTILE.INC($U$2:$U$1194,PARAMS_MODELO!$B$51),PARAMS_MODELO!$B$46),"PLATINO",IF(U899&gt;=MAX(_xlfn.PERCENTILE.INC($U$2:$U$1194,PARAMS_MODELO!$B$52),PARAMS_MODELO!$B$47),"ORO",IF(U899&gt;=MAX(_xlfn.PERCENTILE.INC($U$2:$U$1194,PARAMS_MODELO!$B$53),PARAMS_MODELO!$B$48),"PLATA",IF(U899&gt;=1,"BRONCE","CERRADO")))))</f>
        <v>BRONCE</v>
      </c>
      <c r="W899" s="5" t="str" cm="1">
        <f t="array" ref="W899">_xlfn.XLOOKUP(1, (HIST_SCORE!$B:$B=PARAMS_MODELO!$B$4) * (HIST_SCORE!$C:$C=A899), HIST_SCORE!$E:$E, "No encontrado")</f>
        <v>PLATA</v>
      </c>
      <c r="X899" s="5" t="str">
        <f>_xlfn.LET(_xlpm.act,MATCH(V899,{"DIAMANTE";"PLATINO";"ORO";"PLATA";"BRONCE";"CERRADO"},0),_xlpm.ant,MATCH(W899,{"DIAMANTE";"PLATINO";"ORO";"PLATA";"BRONCE";"CERRADO"},0),IF(_xlpm.act&lt;_xlpm.ant,"Mejora ↑",IF(_xlpm.act&gt;_xlpm.ant,"Baja ↓","Estable →")))</f>
        <v>Baja ↓</v>
      </c>
      <c r="Y899" s="5">
        <f>IFERROR(U899-SUMIFS(HIST_SCORE!$D:$D,HIST_SCORE!$B:$B,PARAMS_MODELO!$B$4,HIST_SCORE!$C:$C,$A899),"")</f>
        <v>-34.606381879298155</v>
      </c>
      <c r="Z899" s="5" t="str">
        <f t="shared" si="341"/>
        <v>↓ Baja</v>
      </c>
      <c r="AA899" s="5">
        <f t="shared" si="342"/>
        <v>1017</v>
      </c>
      <c r="AB899" s="5">
        <f>IFERROR(SUMIFS(HIST_SCORE!$F:$F,HIST_SCORE!$B:$B,PARAMS_MODELO!$B$4,HIST_SCORE!$C:$C,$A899),"")</f>
        <v>749</v>
      </c>
      <c r="AC899" s="5">
        <f t="shared" si="343"/>
        <v>-268</v>
      </c>
      <c r="AD899" t="str">
        <f t="shared" ref="AD899:AD962" si="345">IF(V899="CERRADO","Agencia sin actividad o cerrada",IF(AND(V899="BRONCE",Y899=""),"Primer corte: cargá histórico para medir movilidad",IF(AND(V899="BRONCE",Y899&lt;0),"Plan de recuperación: foco crecimiento + mix",IF(AND(V899="ORO",Y899&lt;0),"Sostener base y reforzar mix",""))))</f>
        <v>Plan de recuperación: foco crecimiento + mix</v>
      </c>
      <c r="AE8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899="CERRADO",1,IF(V899="BRONCE",_xlpm.cPl,IF(V899="PLATA",_xlpm.cO,IF(V899="ORO",_xlpm.cP,IF(V899="PLATINO",_xlpm.cD,999))))))</f>
        <v>24.506573482968111</v>
      </c>
      <c r="AF8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899="CERRADO",0,IF(V899="BRONCE",1,IF(V899="PLATA",_xlpm.cPl,IF(V899="ORO",_xlpm.cO,IF(V899="PLATINO",_xlpm.cP,_xlpm.cD))))))</f>
        <v>1</v>
      </c>
      <c r="AG899">
        <f t="shared" ref="AG899:AG962" si="346">_xlfn.LET(_xlpm.corteU,AE899,_xlpm.coef,MAX(0.01,T899),_xlpm.reqR,_xlpm.corteU/_xlpm.coef,MAX(0,_xlpm.reqR-R899))</f>
        <v>8.4564215506003073</v>
      </c>
      <c r="AH899" t="str">
        <f t="shared" ref="AH899:AH962" si="347">_xlfn.LET(_xlpm.deltaR,AG899,_xlpm.ventas,F899+H899+J899,_xlpm.hv,(MAX($F$2:$F$1194)+MAX($H$2:$H$1194)+MAX($J$2:$J$1194))-_xlpm.ventas,_xlpm.hl,MAX($M$2:$M$1194)-M899,_xlpm.hc,MAX($O$2:$O$1194)-O899,_xlpm.hd,MAX($Q$2:$Q$1194)-Q899,_xlpm.impV,MIN(_xlpm.deltaR,MAX(0,_xlpm.hv)),_xlpm.impL,MIN(_xlpm.deltaR,MAX(0,_xlpm.hl)),_xlpm.impC,MIN(_xlpm.deltaR,MAX(0,_xlpm.hc)),_xlpm.impD,MIN(_xlpm.deltaR,MAX(0,_xlpm.hd)),_xlpm.t,T899,_xlpm.tObj,1,_xlpm.impCli,IF(_xlpm.t&lt;0.95,MIN(_xlpm.deltaR,R899*(_xlpm.tObj/_xlpm.t-1)),0),_xlpm.mx,MAX(_xlpm.impV,_xlpm.impL,_xlpm.impC,_xlpm.impD,_xlpm.impCli),IF(V899="DIAMANTE","SOSTENER",IF(V899="CERRADO","CERRADO",IF(_xlpm.mx=_xlpm.impCli,"CLIENTE",IF(_xlpm.mx=_xlpm.impV,"VENTAS",IF(_xlpm.mx=_xlpm.impL,"LOTO",IF(_xlpm.mx=_xlpm.impC,"COMPLIANCE","DIGITAL")))))))</f>
        <v>CLIENTE</v>
      </c>
      <c r="AI899" t="str">
        <f t="shared" si="344"/>
        <v>🎯 Para subir de categoría, la eje con mayor impacto probable es CLIENTE (coef T). Acción: reducir quejas, mejorar incógnito y empujar reseñas. ΔR aprox: 8,5</v>
      </c>
      <c r="AJ899" s="26">
        <f>_xlfn.LET(_xlpm.piso,AF899,_xlpm.corte,AE899,_xlpm.prog,IF(_xlpm.corte&lt;=_xlpm.piso,0,MAX(0,MIN(1,(U899-_xlpm.piso)/(_xlpm.corte-_xlpm.piso)))),_xlpm.orden,{"DIAMANTE";"PLATINO";"ORO";"PLATA";"BRONCE";"CERRADO"},_xlpm.act,IFERROR(MATCH(V899,_xlpm.orden,0),6),_xlpm.ant,IFERROR(MATCH(W899,_xlpm.orden,0),6),_xlpm.ajmov,IF(_xlpm.act&lt;_xlpm.ant,0.08,IF(_xlpm.act&gt;_xlpm.ant,-0.08,0)),_xlpm.ajcli,IF(T899&lt;0.95,-0.06,0),_xlpm.prob,MAX(0,MIN(1,_xlpm.prog+_xlpm.ajmov+_xlpm.ajcli)),IF(OR(V899="DIAMANTE",V899="CERRADO"),0,ROUND(_xlpm.prob,2)))</f>
        <v>0.61</v>
      </c>
      <c r="AK899" t="str">
        <f t="shared" ref="AK899:AK962" si="348">IF(OR(V899="DIAMANTE",V899="CERRADO"),"No aplica","Faltan " &amp; TEXT(AG899,"0,0") &amp; " puntos base para subir a la siguiente categoría")</f>
        <v>Faltan 8,5 puntos base para subir a la siguiente categoría</v>
      </c>
      <c r="AL899" t="str">
        <f t="shared" ref="AL899:AL962" si="349">_xlfn.LET(_xlpm.piso,AF899,_xlpm.dist,U899-_xlpm.piso,IF(OR(V899="BRONCE",V899="CERRADO"),"No aplica",IF(_xlpm.dist&lt;=0,"⚠ Riesgo de descenso","Margen de seguridad: " &amp; TEXT(_xlpm.dist,"0,0") &amp; " puntos")))</f>
        <v>No aplica</v>
      </c>
      <c r="AM899">
        <f t="shared" ref="AM899:AM962" si="350">_xlfn.LET(_xlpm.prob,AJ899,_xlpm.dist,AG899,_xlpm.coef,T899,_xlpm.prior,(1-_xlpm.prob)*0.4+MIN(1,_xlpm.dist/10)*0.4+IF(_xlpm.coef&lt;0.95,0.2,0),ROUND(_xlpm.prior,2))</f>
        <v>0.69</v>
      </c>
      <c r="AN899" t="str">
        <f t="shared" ref="AN899:AN962" si="351">IF(AM899&gt;=0.7,"PRIORIDAD ALTA – requiere intervención inmediata",IF(AM899&gt;=0.4,"PRIORIDAD MEDIA – seguimiento del asesor","PRIORIDAD BAJA – control normal"))</f>
        <v>PRIORIDAD MEDIA – seguimiento del asesor</v>
      </c>
      <c r="AO899">
        <f t="shared" ref="AO899:AO962" si="352">MAX(0,((MAX($F$2:$F$1194)+MAX($H$2:$H$1194)+MAX($J$2:$J$1194))-(F899+H899+J899))*T899)</f>
        <v>45.403798492706905</v>
      </c>
      <c r="AP899">
        <f t="shared" ref="AP899:AP962" si="353">MAX(0,(MAX($M$2:$M$1194)-M899)*T899)</f>
        <v>0.45292160245210533</v>
      </c>
      <c r="AQ899">
        <f t="shared" ref="AQ899:AQ962" si="354">MAX(0,(MAX($O$2:$O$1194)-O899)*T899)</f>
        <v>0</v>
      </c>
      <c r="AR899">
        <f t="shared" ref="AR899:AR962" si="355">MAX(0,(MAX($Q$2:$Q$1194)-Q899)*T899)</f>
        <v>5.46</v>
      </c>
      <c r="AS899">
        <f t="shared" ref="AS899:AS962" si="356">MAX(0,R899*(1-T899))</f>
        <v>7.9658907418062421</v>
      </c>
      <c r="AT899" t="str">
        <f t="shared" ref="AT899:AT962" si="357">_xlfn.LET(_xlpm.v,AO899,_xlpm.l,AP899,_xlpm.c,AQ899,_xlpm.d,AR899,_xlpm.cli,AS899,_xlpm.mx,MAX(_xlpm.v,_xlpm.l,_xlpm.c,_xlpm.d,_xlpm.cli),IF(_xlpm.mx=_xlpm.cli,"CLIENTE",IF(_xlpm.mx=_xlpm.v,"VENTAS",IF(_xlpm.mx=_xlpm.l,"LOTO",IF(_xlpm.mx=_xlpm.c,"COMPLIANCE","DIGITAL")))))</f>
        <v>VENTAS</v>
      </c>
      <c r="AU899">
        <f t="shared" ref="AU899:AU962" si="358">MAX(AO899,AP899,AQ899,AR899,AS899)</f>
        <v>45.403798492706905</v>
      </c>
      <c r="AV899" t="str">
        <f t="shared" ref="AV899:AV962" si="359">IF(V899="CERRADO","⛔ Sin impacto comercial estimable por estado CERRADO.","Mayor retorno probable: " &amp; AT899 &amp; " (+" &amp; TEXT(AU899,"0,0") &amp; " puntos finales potenciales).")</f>
        <v>Mayor retorno probable: VENTAS (+45,4 puntos finales potenciales).</v>
      </c>
    </row>
    <row r="900" spans="1:48" x14ac:dyDescent="0.3">
      <c r="A900" s="5">
        <v>51025717</v>
      </c>
      <c r="B900" s="5" t="str">
        <f>IFERROR(VLOOKUP(A900,VENTAS!$A$2:$B$1194,2,0),"")</f>
        <v>PRADES</v>
      </c>
      <c r="C900" s="5">
        <f>IFERROR(INDEX(VENTAS!$C$2:$E$1194,MATCH(A900,VENTAS!$A$2:$A$1194,0),MATCH(PARAMS_MODELO!$B$2,{"Q1","Q2","Q3"},0)),0)</f>
        <v>30824778.079999998</v>
      </c>
      <c r="D900" s="5">
        <f>IFERROR(INDEX(VENTAS!$F$2:$H$1194,MATCH(A900,VENTAS!$A$2:$A$1194,0),MATCH(PARAMS_MODELO!$B$2,{"Q1","Q2","Q3"},0)),0)</f>
        <v>30290900</v>
      </c>
      <c r="E900" s="8">
        <f t="shared" si="336"/>
        <v>-1.7319770433201986E-2</v>
      </c>
      <c r="F900" s="12">
        <f>IF(E900&lt;=PARAMS_MODELO!$B$15,0,IF(E900&gt;=PARAMS_MODELO!$B$17,100,100*MIN(1,(E900-PARAMS_MODELO!$B$15)/(PARAMS_MODELO!$B$16-PARAMS_MODELO!$B$15))))*PARAMS_MODELO!$B$7</f>
        <v>0</v>
      </c>
      <c r="G900" s="5">
        <f t="shared" si="337"/>
        <v>0</v>
      </c>
      <c r="H900" s="5">
        <f>(PARAMS_MODELO!$B$20*(MAX(0,MIN(3,E900))/3)+PARAMS_MODELO!$B$21*(IFERROR(LN(1+MAX(0,G900))/LN(1+MAX(0,MAX($G$2:$G$1194))),0)))*100*PARAMS_MODELO!$B$8</f>
        <v>0</v>
      </c>
      <c r="I900" s="8">
        <f>E900-PARAMS_MODELO!$B$5</f>
        <v>-0.19488260580872852</v>
      </c>
      <c r="J900" s="5">
        <f>IF(I900&lt;=PARAMS_MODELO!$B$18,0,IF(I900&gt;=PARAMS_MODELO!$B$19,100,100*(I900-PARAMS_MODELO!$B$18)/(PARAMS_MODELO!$B$19-PARAMS_MODELO!$B$18)))*PARAMS_MODELO!$B$9</f>
        <v>0</v>
      </c>
      <c r="K900" s="5">
        <f>IFERROR(CHOOSE(MATCH(PARAMS_MODELO!$B$2,{"Q1","Q2","Q3"},0),LOTO!$D900,LOTO!$F900,LOTO!$H900),0)</f>
        <v>1445000</v>
      </c>
      <c r="L900" s="8">
        <f t="shared" si="338"/>
        <v>4.770409594960863E-2</v>
      </c>
      <c r="M900" s="5">
        <f>MIN(100,IF(PARAMS_MODELO!$B$23=0,0,100*L900/PARAMS_MODELO!$B$23))*PARAMS_MODELO!$B$10</f>
        <v>14.311228784882585</v>
      </c>
      <c r="N900" s="5">
        <f>IFERROR(VLOOKUP(A900,COMPLIANCE!$A$2:$F$1996,6,0),100)</f>
        <v>100</v>
      </c>
      <c r="O900" s="5">
        <f>N900*PARAMS_MODELO!$B$11</f>
        <v>10</v>
      </c>
      <c r="P900" s="5">
        <f>IFERROR(VLOOKUP(A900,DIGITAL!$A$2:$J$2000,7,0),100)</f>
        <v>53</v>
      </c>
      <c r="Q900" s="5">
        <f>IFERROR(P900,0)*PARAMS_MODELO!$B$12</f>
        <v>5.3000000000000007</v>
      </c>
      <c r="R900">
        <f t="shared" si="339"/>
        <v>29.611228784882588</v>
      </c>
      <c r="S900" s="5" t="str">
        <f>IFERROR(VLOOKUP(A900,CLIENTE!$A$2:$N$2000,13,0),1)</f>
        <v>Bueno</v>
      </c>
      <c r="T900" s="5">
        <f>IFERROR(VLOOKUP(A900,CLIENTE!$A$2:$N$2000,14,0),1)</f>
        <v>1.1000000000000001</v>
      </c>
      <c r="U900" s="5">
        <f t="shared" si="340"/>
        <v>32.572351663370853</v>
      </c>
      <c r="V900" s="5" t="str">
        <f>IF(U900&gt;=MAX(_xlfn.PERCENTILE.INC($U$2:$U$1194,PARAMS_MODELO!$B$50),PARAMS_MODELO!$B$45),"DIAMANTE",IF(U900&gt;=MAX(_xlfn.PERCENTILE.INC($U$2:$U$1194,PARAMS_MODELO!$B$51),PARAMS_MODELO!$B$46),"PLATINO",IF(U900&gt;=MAX(_xlfn.PERCENTILE.INC($U$2:$U$1194,PARAMS_MODELO!$B$52),PARAMS_MODELO!$B$47),"ORO",IF(U900&gt;=MAX(_xlfn.PERCENTILE.INC($U$2:$U$1194,PARAMS_MODELO!$B$53),PARAMS_MODELO!$B$48),"PLATA",IF(U900&gt;=1,"BRONCE","CERRADO")))))</f>
        <v>PLATA</v>
      </c>
      <c r="W900" s="5" t="str" cm="1">
        <f t="array" ref="W900">_xlfn.XLOOKUP(1, (HIST_SCORE!$B:$B=PARAMS_MODELO!$B$4) * (HIST_SCORE!$C:$C=A900), HIST_SCORE!$E:$E, "No encontrado")</f>
        <v>PLATA</v>
      </c>
      <c r="X900" s="5" t="str">
        <f>_xlfn.LET(_xlpm.act,MATCH(V900,{"DIAMANTE";"PLATINO";"ORO";"PLATA";"BRONCE";"CERRADO"},0),_xlpm.ant,MATCH(W900,{"DIAMANTE";"PLATINO";"ORO";"PLATA";"BRONCE";"CERRADO"},0),IF(_xlpm.act&lt;_xlpm.ant,"Mejora ↑",IF(_xlpm.act&gt;_xlpm.ant,"Baja ↓","Estable →")))</f>
        <v>Estable →</v>
      </c>
      <c r="Y900" s="5">
        <f>IFERROR(U900-SUMIFS(HIST_SCORE!$D:$D,HIST_SCORE!$B:$B,PARAMS_MODELO!$B$4,HIST_SCORE!$C:$C,$A900),"")</f>
        <v>-7.9060976378910937</v>
      </c>
      <c r="Z900" s="5" t="str">
        <f t="shared" si="341"/>
        <v>↓ Baja</v>
      </c>
      <c r="AA900" s="5">
        <f t="shared" si="342"/>
        <v>827</v>
      </c>
      <c r="AB900" s="5">
        <f>IFERROR(SUMIFS(HIST_SCORE!$F:$F,HIST_SCORE!$B:$B,PARAMS_MODELO!$B$4,HIST_SCORE!$C:$C,$A900),"")</f>
        <v>845</v>
      </c>
      <c r="AC900" s="5">
        <f t="shared" si="343"/>
        <v>18</v>
      </c>
      <c r="AD900" t="str">
        <f t="shared" si="345"/>
        <v/>
      </c>
      <c r="AE9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900="CERRADO",1,IF(V900="BRONCE",_xlpm.cPl,IF(V900="PLATA",_xlpm.cO,IF(V900="ORO",_xlpm.cP,IF(V900="PLATINO",_xlpm.cD,999))))))</f>
        <v>63.199193273331495</v>
      </c>
      <c r="AF9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900="CERRADO",0,IF(V900="BRONCE",1,IF(V900="PLATA",_xlpm.cPl,IF(V900="ORO",_xlpm.cO,IF(V900="PLATINO",_xlpm.cP,_xlpm.cD))))))</f>
        <v>24.506573482968111</v>
      </c>
      <c r="AG900">
        <f t="shared" si="346"/>
        <v>27.842583281782407</v>
      </c>
      <c r="AH900" t="str">
        <f t="shared" si="347"/>
        <v>VENTAS</v>
      </c>
      <c r="AI900" t="str">
        <f t="shared" si="344"/>
        <v>🎯 Para subir de categoría, eje VENTAS / CRECIMIENTO PERSONAL (F). Acción: metas semanales + activación comercial + seguimiento del asesor. ΔR aprox: 27,8</v>
      </c>
      <c r="AJ900" s="26">
        <f>_xlfn.LET(_xlpm.piso,AF900,_xlpm.corte,AE900,_xlpm.prog,IF(_xlpm.corte&lt;=_xlpm.piso,0,MAX(0,MIN(1,(U900-_xlpm.piso)/(_xlpm.corte-_xlpm.piso)))),_xlpm.orden,{"DIAMANTE";"PLATINO";"ORO";"PLATA";"BRONCE";"CERRADO"},_xlpm.act,IFERROR(MATCH(V900,_xlpm.orden,0),6),_xlpm.ant,IFERROR(MATCH(W900,_xlpm.orden,0),6),_xlpm.ajmov,IF(_xlpm.act&lt;_xlpm.ant,0.08,IF(_xlpm.act&gt;_xlpm.ant,-0.08,0)),_xlpm.ajcli,IF(T900&lt;0.95,-0.06,0),_xlpm.prob,MAX(0,MIN(1,_xlpm.prog+_xlpm.ajmov+_xlpm.ajcli)),IF(OR(V900="DIAMANTE",V900="CERRADO"),0,ROUND(_xlpm.prob,2)))</f>
        <v>0.21</v>
      </c>
      <c r="AK900" t="str">
        <f t="shared" si="348"/>
        <v>Faltan 27,8 puntos base para subir a la siguiente categoría</v>
      </c>
      <c r="AL900" t="str">
        <f t="shared" si="349"/>
        <v>Margen de seguridad: 8,1 puntos</v>
      </c>
      <c r="AM900">
        <f t="shared" si="350"/>
        <v>0.72</v>
      </c>
      <c r="AN900" t="str">
        <f t="shared" si="351"/>
        <v>PRIORIDAD ALTA – requiere intervención inmediata</v>
      </c>
      <c r="AO900">
        <f t="shared" si="352"/>
        <v>71.348826202825151</v>
      </c>
      <c r="AP900">
        <f t="shared" si="353"/>
        <v>0.75764833662915609</v>
      </c>
      <c r="AQ900">
        <f t="shared" si="354"/>
        <v>0</v>
      </c>
      <c r="AR900">
        <f t="shared" si="355"/>
        <v>5.17</v>
      </c>
      <c r="AS900">
        <f t="shared" si="356"/>
        <v>0</v>
      </c>
      <c r="AT900" t="str">
        <f t="shared" si="357"/>
        <v>VENTAS</v>
      </c>
      <c r="AU900">
        <f t="shared" si="358"/>
        <v>71.348826202825151</v>
      </c>
      <c r="AV900" t="str">
        <f t="shared" si="359"/>
        <v>Mayor retorno probable: VENTAS (+71,3 puntos finales potenciales).</v>
      </c>
    </row>
    <row r="901" spans="1:48" x14ac:dyDescent="0.3">
      <c r="A901" s="5">
        <v>51033001</v>
      </c>
      <c r="B901" s="5" t="str">
        <f>IFERROR(VLOOKUP(A901,VENTAS!$A$2:$B$1194,2,0),"")</f>
        <v>ROBERTS</v>
      </c>
      <c r="C901" s="5">
        <f>IFERROR(INDEX(VENTAS!$C$2:$E$1194,MATCH(A901,VENTAS!$A$2:$A$1194,0),MATCH(PARAMS_MODELO!$B$2,{"Q1","Q2","Q3"},0)),0)</f>
        <v>24487351.399999999</v>
      </c>
      <c r="D901" s="5">
        <f>IFERROR(INDEX(VENTAS!$F$2:$H$1194,MATCH(A901,VENTAS!$A$2:$A$1194,0),MATCH(PARAMS_MODELO!$B$2,{"Q1","Q2","Q3"},0)),0)</f>
        <v>30223930</v>
      </c>
      <c r="E901" s="8">
        <f t="shared" si="336"/>
        <v>0.23426701019204565</v>
      </c>
      <c r="F901" s="12">
        <f>IF(E901&lt;=PARAMS_MODELO!$B$15,0,IF(E901&gt;=PARAMS_MODELO!$B$17,100,100*MIN(1,(E901-PARAMS_MODELO!$B$15)/(PARAMS_MODELO!$B$16-PARAMS_MODELO!$B$15))))*PARAMS_MODELO!$B$7</f>
        <v>35</v>
      </c>
      <c r="G901" s="5">
        <f t="shared" si="337"/>
        <v>5736578.6000000015</v>
      </c>
      <c r="H901" s="5">
        <f>(PARAMS_MODELO!$B$20*(MAX(0,MIN(3,E901))/3)+PARAMS_MODELO!$B$21*(IFERROR(LN(1+MAX(0,G901))/LN(1+MAX(0,MAX($G$2:$G$1194))),0)))*100*PARAMS_MODELO!$B$8</f>
        <v>4.4679721929961387</v>
      </c>
      <c r="I901" s="8">
        <f>E901-PARAMS_MODELO!$B$5</f>
        <v>5.6704174816519126E-2</v>
      </c>
      <c r="J901" s="5">
        <f>IF(I901&lt;=PARAMS_MODELO!$B$18,0,IF(I901&gt;=PARAMS_MODELO!$B$19,100,100*(I901-PARAMS_MODELO!$B$18)/(PARAMS_MODELO!$B$19-PARAMS_MODELO!$B$18)))*PARAMS_MODELO!$B$9</f>
        <v>15</v>
      </c>
      <c r="K901" s="5">
        <f>IFERROR(CHOOSE(MATCH(PARAMS_MODELO!$B$2,{"Q1","Q2","Q3"},0),LOTO!$D901,LOTO!$F901,LOTO!$H901),0)</f>
        <v>1442500</v>
      </c>
      <c r="L901" s="8">
        <f t="shared" si="338"/>
        <v>4.7727082480670119E-2</v>
      </c>
      <c r="M901" s="5">
        <f>MIN(100,IF(PARAMS_MODELO!$B$23=0,0,100*L901/PARAMS_MODELO!$B$23))*PARAMS_MODELO!$B$10</f>
        <v>14.318124744201036</v>
      </c>
      <c r="N901" s="5">
        <f>IFERROR(VLOOKUP(A901,COMPLIANCE!$A$2:$F$1996,6,0),100)</f>
        <v>100</v>
      </c>
      <c r="O901" s="5">
        <f>N901*PARAMS_MODELO!$B$11</f>
        <v>10</v>
      </c>
      <c r="P901" s="5">
        <f>IFERROR(VLOOKUP(A901,DIGITAL!$A$2:$J$2000,7,0),100)</f>
        <v>13</v>
      </c>
      <c r="Q901" s="5">
        <f>IFERROR(P901,0)*PARAMS_MODELO!$B$12</f>
        <v>1.3</v>
      </c>
      <c r="R901">
        <f t="shared" si="339"/>
        <v>80.086096937197169</v>
      </c>
      <c r="S901" s="5" t="str">
        <f>IFERROR(VLOOKUP(A901,CLIENTE!$A$2:$N$2000,13,0),1)</f>
        <v>Regular</v>
      </c>
      <c r="T901" s="5">
        <f>IFERROR(VLOOKUP(A901,CLIENTE!$A$2:$N$2000,14,0),1)</f>
        <v>1</v>
      </c>
      <c r="U901" s="5">
        <f t="shared" si="340"/>
        <v>80.086096937197169</v>
      </c>
      <c r="V901" s="5" t="str">
        <f>IF(U901&gt;=MAX(_xlfn.PERCENTILE.INC($U$2:$U$1194,PARAMS_MODELO!$B$50),PARAMS_MODELO!$B$45),"DIAMANTE",IF(U901&gt;=MAX(_xlfn.PERCENTILE.INC($U$2:$U$1194,PARAMS_MODELO!$B$51),PARAMS_MODELO!$B$46),"PLATINO",IF(U901&gt;=MAX(_xlfn.PERCENTILE.INC($U$2:$U$1194,PARAMS_MODELO!$B$52),PARAMS_MODELO!$B$47),"ORO",IF(U901&gt;=MAX(_xlfn.PERCENTILE.INC($U$2:$U$1194,PARAMS_MODELO!$B$53),PARAMS_MODELO!$B$48),"PLATA",IF(U901&gt;=1,"BRONCE","CERRADO")))))</f>
        <v>ORO</v>
      </c>
      <c r="W901" s="5" t="str" cm="1">
        <f t="array" ref="W901">_xlfn.XLOOKUP(1, (HIST_SCORE!$B:$B=PARAMS_MODELO!$B$4) * (HIST_SCORE!$C:$C=A901), HIST_SCORE!$E:$E, "No encontrado")</f>
        <v>ORO</v>
      </c>
      <c r="X901" s="5" t="str">
        <f>_xlfn.LET(_xlpm.act,MATCH(V901,{"DIAMANTE";"PLATINO";"ORO";"PLATA";"BRONCE";"CERRADO"},0),_xlpm.ant,MATCH(W901,{"DIAMANTE";"PLATINO";"ORO";"PLATA";"BRONCE";"CERRADO"},0),IF(_xlpm.act&lt;_xlpm.ant,"Mejora ↑",IF(_xlpm.act&gt;_xlpm.ant,"Baja ↓","Estable →")))</f>
        <v>Estable →</v>
      </c>
      <c r="Y901" s="5">
        <f>IFERROR(U901-SUMIFS(HIST_SCORE!$D:$D,HIST_SCORE!$B:$B,PARAMS_MODELO!$B$4,HIST_SCORE!$C:$C,$A901),"")</f>
        <v>1.5447341183402159</v>
      </c>
      <c r="Z901" s="5" t="str">
        <f t="shared" si="341"/>
        <v>→ Estable</v>
      </c>
      <c r="AA901" s="5">
        <f t="shared" si="342"/>
        <v>437</v>
      </c>
      <c r="AB901" s="5">
        <f>IFERROR(SUMIFS(HIST_SCORE!$F:$F,HIST_SCORE!$B:$B,PARAMS_MODELO!$B$4,HIST_SCORE!$C:$C,$A901),"")</f>
        <v>444</v>
      </c>
      <c r="AC901" s="5">
        <f t="shared" si="343"/>
        <v>7</v>
      </c>
      <c r="AD901" t="str">
        <f t="shared" si="345"/>
        <v/>
      </c>
      <c r="AE9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901="CERRADO",1,IF(V901="BRONCE",_xlpm.cPl,IF(V901="PLATA",_xlpm.cO,IF(V901="ORO",_xlpm.cP,IF(V901="PLATINO",_xlpm.cD,999))))))</f>
        <v>86.439123873763251</v>
      </c>
      <c r="AF9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901="CERRADO",0,IF(V901="BRONCE",1,IF(V901="PLATA",_xlpm.cPl,IF(V901="ORO",_xlpm.cO,IF(V901="PLATINO",_xlpm.cP,_xlpm.cD))))))</f>
        <v>63.199193273331495</v>
      </c>
      <c r="AG901">
        <f t="shared" si="346"/>
        <v>6.3530269365660814</v>
      </c>
      <c r="AH901" t="str">
        <f t="shared" si="347"/>
        <v>VENTAS</v>
      </c>
      <c r="AI901" t="str">
        <f t="shared" si="344"/>
        <v>🎯 Para subir de categoría, eje VENTAS / IMPACTO ABSOLUTO (H). Acción: metas semanales + activación comercial + seguimiento del asesor. ΔR aprox: 6,4</v>
      </c>
      <c r="AJ901" s="26">
        <f>_xlfn.LET(_xlpm.piso,AF901,_xlpm.corte,AE901,_xlpm.prog,IF(_xlpm.corte&lt;=_xlpm.piso,0,MAX(0,MIN(1,(U901-_xlpm.piso)/(_xlpm.corte-_xlpm.piso)))),_xlpm.orden,{"DIAMANTE";"PLATINO";"ORO";"PLATA";"BRONCE";"CERRADO"},_xlpm.act,IFERROR(MATCH(V901,_xlpm.orden,0),6),_xlpm.ant,IFERROR(MATCH(W901,_xlpm.orden,0),6),_xlpm.ajmov,IF(_xlpm.act&lt;_xlpm.ant,0.08,IF(_xlpm.act&gt;_xlpm.ant,-0.08,0)),_xlpm.ajcli,IF(T901&lt;0.95,-0.06,0),_xlpm.prob,MAX(0,MIN(1,_xlpm.prog+_xlpm.ajmov+_xlpm.ajcli)),IF(OR(V901="DIAMANTE",V901="CERRADO"),0,ROUND(_xlpm.prob,2)))</f>
        <v>0.73</v>
      </c>
      <c r="AK901" t="str">
        <f t="shared" si="348"/>
        <v>Faltan 6,4 puntos base para subir a la siguiente categoría</v>
      </c>
      <c r="AL901" t="str">
        <f t="shared" si="349"/>
        <v>Margen de seguridad: 16,9 puntos</v>
      </c>
      <c r="AM901">
        <f t="shared" si="350"/>
        <v>0.36</v>
      </c>
      <c r="AN901" t="str">
        <f t="shared" si="351"/>
        <v>PRIORIDAD BAJA – control normal</v>
      </c>
      <c r="AO901">
        <f t="shared" si="352"/>
        <v>10.394597082299448</v>
      </c>
      <c r="AP901">
        <f t="shared" si="353"/>
        <v>0.68187525579896402</v>
      </c>
      <c r="AQ901">
        <f t="shared" si="354"/>
        <v>0</v>
      </c>
      <c r="AR901">
        <f t="shared" si="355"/>
        <v>8.6999999999999993</v>
      </c>
      <c r="AS901">
        <f t="shared" si="356"/>
        <v>0</v>
      </c>
      <c r="AT901" t="str">
        <f t="shared" si="357"/>
        <v>VENTAS</v>
      </c>
      <c r="AU901">
        <f t="shared" si="358"/>
        <v>10.394597082299448</v>
      </c>
      <c r="AV901" t="str">
        <f t="shared" si="359"/>
        <v>Mayor retorno probable: VENTAS (+10,4 puntos finales potenciales).</v>
      </c>
    </row>
    <row r="902" spans="1:48" x14ac:dyDescent="0.3">
      <c r="A902" s="5">
        <v>51012674</v>
      </c>
      <c r="B902" s="5" t="str">
        <f>IFERROR(VLOOKUP(A902,VENTAS!$A$2:$B$1194,2,0),"")</f>
        <v>ARGUELLO</v>
      </c>
      <c r="C902" s="5">
        <f>IFERROR(INDEX(VENTAS!$C$2:$E$1194,MATCH(A902,VENTAS!$A$2:$A$1194,0),MATCH(PARAMS_MODELO!$B$2,{"Q1","Q2","Q3"},0)),0)</f>
        <v>16927776.059999999</v>
      </c>
      <c r="D902" s="5">
        <f>IFERROR(INDEX(VENTAS!$F$2:$H$1194,MATCH(A902,VENTAS!$A$2:$A$1194,0),MATCH(PARAMS_MODELO!$B$2,{"Q1","Q2","Q3"},0)),0)</f>
        <v>30152231</v>
      </c>
      <c r="E902" s="8">
        <f t="shared" si="336"/>
        <v>0.78122813611937647</v>
      </c>
      <c r="F902" s="12">
        <f>IF(E902&lt;=PARAMS_MODELO!$B$15,0,IF(E902&gt;=PARAMS_MODELO!$B$17,100,100*MIN(1,(E902-PARAMS_MODELO!$B$15)/(PARAMS_MODELO!$B$16-PARAMS_MODELO!$B$15))))*PARAMS_MODELO!$B$7</f>
        <v>35</v>
      </c>
      <c r="G902" s="5">
        <f t="shared" si="337"/>
        <v>13224454.940000001</v>
      </c>
      <c r="H902" s="5">
        <f>(PARAMS_MODELO!$B$20*(MAX(0,MIN(3,E902))/3)+PARAMS_MODELO!$B$21*(IFERROR(LN(1+MAX(0,G902))/LN(1+MAX(0,MAX($G$2:$G$1194))),0)))*100*PARAMS_MODELO!$B$8</f>
        <v>6.5781197740354678</v>
      </c>
      <c r="I902" s="8">
        <f>E902-PARAMS_MODELO!$B$5</f>
        <v>0.60366530074384994</v>
      </c>
      <c r="J902" s="5">
        <f>IF(I902&lt;=PARAMS_MODELO!$B$18,0,IF(I902&gt;=PARAMS_MODELO!$B$19,100,100*(I902-PARAMS_MODELO!$B$18)/(PARAMS_MODELO!$B$19-PARAMS_MODELO!$B$18)))*PARAMS_MODELO!$B$9</f>
        <v>15</v>
      </c>
      <c r="K902" s="5">
        <f>IFERROR(CHOOSE(MATCH(PARAMS_MODELO!$B$2,{"Q1","Q2","Q3"},0),LOTO!$D902,LOTO!$F902,LOTO!$H902),0)</f>
        <v>1432500</v>
      </c>
      <c r="L902" s="8">
        <f t="shared" si="338"/>
        <v>4.7508922308269662E-2</v>
      </c>
      <c r="M902" s="5">
        <f>MIN(100,IF(PARAMS_MODELO!$B$23=0,0,100*L902/PARAMS_MODELO!$B$23))*PARAMS_MODELO!$B$10</f>
        <v>14.252676692480895</v>
      </c>
      <c r="N902" s="5">
        <f>IFERROR(VLOOKUP(A902,COMPLIANCE!$A$2:$F$1996,6,0),100)</f>
        <v>98.78</v>
      </c>
      <c r="O902" s="5">
        <f>N902*PARAMS_MODELO!$B$11</f>
        <v>9.8780000000000001</v>
      </c>
      <c r="P902" s="5">
        <f>IFERROR(VLOOKUP(A902,DIGITAL!$A$2:$J$2000,7,0),100)</f>
        <v>17</v>
      </c>
      <c r="Q902" s="5">
        <f>IFERROR(P902,0)*PARAMS_MODELO!$B$12</f>
        <v>1.7000000000000002</v>
      </c>
      <c r="R902">
        <f t="shared" si="339"/>
        <v>82.408796466516364</v>
      </c>
      <c r="S902" s="5" t="str">
        <f>IFERROR(VLOOKUP(A902,CLIENTE!$A$2:$N$2000,13,0),1)</f>
        <v>Regular</v>
      </c>
      <c r="T902" s="5">
        <f>IFERROR(VLOOKUP(A902,CLIENTE!$A$2:$N$2000,14,0),1)</f>
        <v>1</v>
      </c>
      <c r="U902" s="5">
        <f t="shared" si="340"/>
        <v>82.408796466516364</v>
      </c>
      <c r="V902" s="5" t="str">
        <f>IF(U902&gt;=MAX(_xlfn.PERCENTILE.INC($U$2:$U$1194,PARAMS_MODELO!$B$50),PARAMS_MODELO!$B$45),"DIAMANTE",IF(U902&gt;=MAX(_xlfn.PERCENTILE.INC($U$2:$U$1194,PARAMS_MODELO!$B$51),PARAMS_MODELO!$B$46),"PLATINO",IF(U902&gt;=MAX(_xlfn.PERCENTILE.INC($U$2:$U$1194,PARAMS_MODELO!$B$52),PARAMS_MODELO!$B$47),"ORO",IF(U902&gt;=MAX(_xlfn.PERCENTILE.INC($U$2:$U$1194,PARAMS_MODELO!$B$53),PARAMS_MODELO!$B$48),"PLATA",IF(U902&gt;=1,"BRONCE","CERRADO")))))</f>
        <v>ORO</v>
      </c>
      <c r="W902" s="5" t="str" cm="1">
        <f t="array" ref="W902">_xlfn.XLOOKUP(1, (HIST_SCORE!$B:$B=PARAMS_MODELO!$B$4) * (HIST_SCORE!$C:$C=A902), HIST_SCORE!$E:$E, "No encontrado")</f>
        <v>PLATA</v>
      </c>
      <c r="X902" s="5" t="str">
        <f>_xlfn.LET(_xlpm.act,MATCH(V902,{"DIAMANTE";"PLATINO";"ORO";"PLATA";"BRONCE";"CERRADO"},0),_xlpm.ant,MATCH(W902,{"DIAMANTE";"PLATINO";"ORO";"PLATA";"BRONCE";"CERRADO"},0),IF(_xlpm.act&lt;_xlpm.ant,"Mejora ↑",IF(_xlpm.act&gt;_xlpm.ant,"Baja ↓","Estable →")))</f>
        <v>Mejora ↑</v>
      </c>
      <c r="Y902" s="5">
        <f>IFERROR(U902-SUMIFS(HIST_SCORE!$D:$D,HIST_SCORE!$B:$B,PARAMS_MODELO!$B$4,HIST_SCORE!$C:$C,$A902),"")</f>
        <v>34.728965327042374</v>
      </c>
      <c r="Z902" s="5" t="str">
        <f t="shared" si="341"/>
        <v>↑ Mejora</v>
      </c>
      <c r="AA902" s="5">
        <f t="shared" si="342"/>
        <v>378</v>
      </c>
      <c r="AB902" s="5">
        <f>IFERROR(SUMIFS(HIST_SCORE!$F:$F,HIST_SCORE!$B:$B,PARAMS_MODELO!$B$4,HIST_SCORE!$C:$C,$A902),"")</f>
        <v>795</v>
      </c>
      <c r="AC902" s="5">
        <f t="shared" si="343"/>
        <v>417</v>
      </c>
      <c r="AD902" t="str">
        <f t="shared" si="345"/>
        <v/>
      </c>
      <c r="AE9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902="CERRADO",1,IF(V902="BRONCE",_xlpm.cPl,IF(V902="PLATA",_xlpm.cO,IF(V902="ORO",_xlpm.cP,IF(V902="PLATINO",_xlpm.cD,999))))))</f>
        <v>86.439123873763251</v>
      </c>
      <c r="AF9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902="CERRADO",0,IF(V902="BRONCE",1,IF(V902="PLATA",_xlpm.cPl,IF(V902="ORO",_xlpm.cO,IF(V902="PLATINO",_xlpm.cP,_xlpm.cD))))))</f>
        <v>63.199193273331495</v>
      </c>
      <c r="AG902">
        <f t="shared" si="346"/>
        <v>4.0303274072468867</v>
      </c>
      <c r="AH902" t="str">
        <f t="shared" si="347"/>
        <v>VENTAS</v>
      </c>
      <c r="AI902" t="str">
        <f t="shared" si="344"/>
        <v>🎯 Para subir de categoría, eje VENTAS / IMPACTO ABSOLUTO (H). Acción: metas semanales + activación comercial + seguimiento del asesor. ΔR aprox: 4,0</v>
      </c>
      <c r="AJ902" s="26">
        <f>_xlfn.LET(_xlpm.piso,AF902,_xlpm.corte,AE902,_xlpm.prog,IF(_xlpm.corte&lt;=_xlpm.piso,0,MAX(0,MIN(1,(U902-_xlpm.piso)/(_xlpm.corte-_xlpm.piso)))),_xlpm.orden,{"DIAMANTE";"PLATINO";"ORO";"PLATA";"BRONCE";"CERRADO"},_xlpm.act,IFERROR(MATCH(V902,_xlpm.orden,0),6),_xlpm.ant,IFERROR(MATCH(W902,_xlpm.orden,0),6),_xlpm.ajmov,IF(_xlpm.act&lt;_xlpm.ant,0.08,IF(_xlpm.act&gt;_xlpm.ant,-0.08,0)),_xlpm.ajcli,IF(T902&lt;0.95,-0.06,0),_xlpm.prob,MAX(0,MIN(1,_xlpm.prog+_xlpm.ajmov+_xlpm.ajcli)),IF(OR(V902="DIAMANTE",V902="CERRADO"),0,ROUND(_xlpm.prob,2)))</f>
        <v>0.91</v>
      </c>
      <c r="AK902" t="str">
        <f t="shared" si="348"/>
        <v>Faltan 4,0 puntos base para subir a la siguiente categoría</v>
      </c>
      <c r="AL902" t="str">
        <f t="shared" si="349"/>
        <v>Margen de seguridad: 19,2 puntos</v>
      </c>
      <c r="AM902">
        <f t="shared" si="350"/>
        <v>0.2</v>
      </c>
      <c r="AN902" t="str">
        <f t="shared" si="351"/>
        <v>PRIORIDAD BAJA – control normal</v>
      </c>
      <c r="AO902">
        <f t="shared" si="352"/>
        <v>8.2844495012601129</v>
      </c>
      <c r="AP902">
        <f t="shared" si="353"/>
        <v>0.74732330751910503</v>
      </c>
      <c r="AQ902">
        <f t="shared" si="354"/>
        <v>0.12199999999999989</v>
      </c>
      <c r="AR902">
        <f t="shared" si="355"/>
        <v>8.3000000000000007</v>
      </c>
      <c r="AS902">
        <f t="shared" si="356"/>
        <v>0</v>
      </c>
      <c r="AT902" t="str">
        <f t="shared" si="357"/>
        <v>DIGITAL</v>
      </c>
      <c r="AU902">
        <f t="shared" si="358"/>
        <v>8.3000000000000007</v>
      </c>
      <c r="AV902" t="str">
        <f t="shared" si="359"/>
        <v>Mayor retorno probable: DIGITAL (+8,3 puntos finales potenciales).</v>
      </c>
    </row>
    <row r="903" spans="1:48" x14ac:dyDescent="0.3">
      <c r="A903" s="5">
        <v>51007743</v>
      </c>
      <c r="B903" s="5" t="str">
        <f>IFERROR(VLOOKUP(A903,VENTAS!$A$2:$B$1194,2,0),"")</f>
        <v>PRADES</v>
      </c>
      <c r="C903" s="5">
        <f>IFERROR(INDEX(VENTAS!$C$2:$E$1194,MATCH(A903,VENTAS!$A$2:$A$1194,0),MATCH(PARAMS_MODELO!$B$2,{"Q1","Q2","Q3"},0)),0)</f>
        <v>18688018.879999999</v>
      </c>
      <c r="D903" s="5">
        <f>IFERROR(INDEX(VENTAS!$F$2:$H$1194,MATCH(A903,VENTAS!$A$2:$A$1194,0),MATCH(PARAMS_MODELO!$B$2,{"Q1","Q2","Q3"},0)),0)</f>
        <v>30123030</v>
      </c>
      <c r="E903" s="8">
        <f t="shared" si="336"/>
        <v>0.61188995973445848</v>
      </c>
      <c r="F903" s="12">
        <f>IF(E903&lt;=PARAMS_MODELO!$B$15,0,IF(E903&gt;=PARAMS_MODELO!$B$17,100,100*MIN(1,(E903-PARAMS_MODELO!$B$15)/(PARAMS_MODELO!$B$16-PARAMS_MODELO!$B$15))))*PARAMS_MODELO!$B$7</f>
        <v>35</v>
      </c>
      <c r="G903" s="5">
        <f t="shared" si="337"/>
        <v>11435011.120000001</v>
      </c>
      <c r="H903" s="5">
        <f>(PARAMS_MODELO!$B$20*(MAX(0,MIN(3,E903))/3)+PARAMS_MODELO!$B$21*(IFERROR(LN(1+MAX(0,G903))/LN(1+MAX(0,MAX($G$2:$G$1194))),0)))*100*PARAMS_MODELO!$B$8</f>
        <v>5.9513551913116371</v>
      </c>
      <c r="I903" s="8">
        <f>E903-PARAMS_MODELO!$B$5</f>
        <v>0.43432712435893195</v>
      </c>
      <c r="J903" s="5">
        <f>IF(I903&lt;=PARAMS_MODELO!$B$18,0,IF(I903&gt;=PARAMS_MODELO!$B$19,100,100*(I903-PARAMS_MODELO!$B$18)/(PARAMS_MODELO!$B$19-PARAMS_MODELO!$B$18)))*PARAMS_MODELO!$B$9</f>
        <v>15</v>
      </c>
      <c r="K903" s="5">
        <f>IFERROR(CHOOSE(MATCH(PARAMS_MODELO!$B$2,{"Q1","Q2","Q3"},0),LOTO!$D903,LOTO!$F903,LOTO!$H903),0)</f>
        <v>1430000</v>
      </c>
      <c r="L903" s="8">
        <f t="shared" si="338"/>
        <v>4.7471984060036457E-2</v>
      </c>
      <c r="M903" s="5">
        <f>MIN(100,IF(PARAMS_MODELO!$B$23=0,0,100*L903/PARAMS_MODELO!$B$23))*PARAMS_MODELO!$B$10</f>
        <v>14.241595218010936</v>
      </c>
      <c r="N903" s="5">
        <f>IFERROR(VLOOKUP(A903,COMPLIANCE!$A$2:$F$1996,6,0),100)</f>
        <v>100</v>
      </c>
      <c r="O903" s="5">
        <f>N903*PARAMS_MODELO!$B$11</f>
        <v>10</v>
      </c>
      <c r="P903" s="5">
        <f>IFERROR(VLOOKUP(A903,DIGITAL!$A$2:$J$2000,7,0),100)</f>
        <v>92</v>
      </c>
      <c r="Q903" s="5">
        <f>IFERROR(P903,0)*PARAMS_MODELO!$B$12</f>
        <v>9.2000000000000011</v>
      </c>
      <c r="R903">
        <f t="shared" si="339"/>
        <v>89.39295040932258</v>
      </c>
      <c r="S903" s="5" t="str">
        <f>IFERROR(VLOOKUP(A903,CLIENTE!$A$2:$N$2000,13,0),1)</f>
        <v>Regular</v>
      </c>
      <c r="T903" s="5">
        <f>IFERROR(VLOOKUP(A903,CLIENTE!$A$2:$N$2000,14,0),1)</f>
        <v>1</v>
      </c>
      <c r="U903" s="5">
        <f t="shared" si="340"/>
        <v>89.39295040932258</v>
      </c>
      <c r="V903" s="5" t="str">
        <f>IF(U903&gt;=MAX(_xlfn.PERCENTILE.INC($U$2:$U$1194,PARAMS_MODELO!$B$50),PARAMS_MODELO!$B$45),"DIAMANTE",IF(U903&gt;=MAX(_xlfn.PERCENTILE.INC($U$2:$U$1194,PARAMS_MODELO!$B$51),PARAMS_MODELO!$B$46),"PLATINO",IF(U903&gt;=MAX(_xlfn.PERCENTILE.INC($U$2:$U$1194,PARAMS_MODELO!$B$52),PARAMS_MODELO!$B$47),"ORO",IF(U903&gt;=MAX(_xlfn.PERCENTILE.INC($U$2:$U$1194,PARAMS_MODELO!$B$53),PARAMS_MODELO!$B$48),"PLATA",IF(U903&gt;=1,"BRONCE","CERRADO")))))</f>
        <v>PLATINO</v>
      </c>
      <c r="W903" s="5" t="str" cm="1">
        <f t="array" ref="W903">_xlfn.XLOOKUP(1, (HIST_SCORE!$B:$B=PARAMS_MODELO!$B$4) * (HIST_SCORE!$C:$C=A903), HIST_SCORE!$E:$E, "No encontrado")</f>
        <v>PLATINO</v>
      </c>
      <c r="X903" s="5" t="str">
        <f>_xlfn.LET(_xlpm.act,MATCH(V903,{"DIAMANTE";"PLATINO";"ORO";"PLATA";"BRONCE";"CERRADO"},0),_xlpm.ant,MATCH(W903,{"DIAMANTE";"PLATINO";"ORO";"PLATA";"BRONCE";"CERRADO"},0),IF(_xlpm.act&lt;_xlpm.ant,"Mejora ↑",IF(_xlpm.act&gt;_xlpm.ant,"Baja ↓","Estable →")))</f>
        <v>Estable →</v>
      </c>
      <c r="Y903" s="5">
        <f>IFERROR(U903-SUMIFS(HIST_SCORE!$D:$D,HIST_SCORE!$B:$B,PARAMS_MODELO!$B$4,HIST_SCORE!$C:$C,$A903),"")</f>
        <v>-1.1672226959945817</v>
      </c>
      <c r="Z903" s="5" t="str">
        <f t="shared" si="341"/>
        <v>→ Estable</v>
      </c>
      <c r="AA903" s="5">
        <f t="shared" si="342"/>
        <v>153</v>
      </c>
      <c r="AB903" s="5">
        <f>IFERROR(SUMIFS(HIST_SCORE!$F:$F,HIST_SCORE!$B:$B,PARAMS_MODELO!$B$4,HIST_SCORE!$C:$C,$A903),"")</f>
        <v>121</v>
      </c>
      <c r="AC903" s="5">
        <f t="shared" si="343"/>
        <v>-32</v>
      </c>
      <c r="AD903" t="str">
        <f t="shared" si="345"/>
        <v/>
      </c>
      <c r="AE9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903="CERRADO",1,IF(V903="BRONCE",_xlpm.cPl,IF(V903="PLATA",_xlpm.cO,IF(V903="ORO",_xlpm.cP,IF(V903="PLATINO",_xlpm.cD,999))))))</f>
        <v>96.054919694466676</v>
      </c>
      <c r="AF9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903="CERRADO",0,IF(V903="BRONCE",1,IF(V903="PLATA",_xlpm.cPl,IF(V903="ORO",_xlpm.cO,IF(V903="PLATINO",_xlpm.cP,_xlpm.cD))))))</f>
        <v>86.439123873763251</v>
      </c>
      <c r="AG903">
        <f t="shared" si="346"/>
        <v>6.6619692851440959</v>
      </c>
      <c r="AH903" t="str">
        <f t="shared" si="347"/>
        <v>VENTAS</v>
      </c>
      <c r="AI903" t="str">
        <f t="shared" si="344"/>
        <v>🎯 Para subir de categoría, eje VENTAS / IMPACTO ABSOLUTO (H). Acción: metas semanales + activación comercial + seguimiento del asesor. ΔR aprox: 6,7</v>
      </c>
      <c r="AJ903" s="26">
        <f>_xlfn.LET(_xlpm.piso,AF903,_xlpm.corte,AE903,_xlpm.prog,IF(_xlpm.corte&lt;=_xlpm.piso,0,MAX(0,MIN(1,(U903-_xlpm.piso)/(_xlpm.corte-_xlpm.piso)))),_xlpm.orden,{"DIAMANTE";"PLATINO";"ORO";"PLATA";"BRONCE";"CERRADO"},_xlpm.act,IFERROR(MATCH(V903,_xlpm.orden,0),6),_xlpm.ant,IFERROR(MATCH(W903,_xlpm.orden,0),6),_xlpm.ajmov,IF(_xlpm.act&lt;_xlpm.ant,0.08,IF(_xlpm.act&gt;_xlpm.ant,-0.08,0)),_xlpm.ajcli,IF(T903&lt;0.95,-0.06,0),_xlpm.prob,MAX(0,MIN(1,_xlpm.prog+_xlpm.ajmov+_xlpm.ajcli)),IF(OR(V903="DIAMANTE",V903="CERRADO"),0,ROUND(_xlpm.prob,2)))</f>
        <v>0.31</v>
      </c>
      <c r="AK903" t="str">
        <f t="shared" si="348"/>
        <v>Faltan 6,7 puntos base para subir a la siguiente categoría</v>
      </c>
      <c r="AL903" t="str">
        <f t="shared" si="349"/>
        <v>Margen de seguridad: 3,0 puntos</v>
      </c>
      <c r="AM903">
        <f t="shared" si="350"/>
        <v>0.54</v>
      </c>
      <c r="AN903" t="str">
        <f t="shared" si="351"/>
        <v>PRIORIDAD MEDIA – seguimiento del asesor</v>
      </c>
      <c r="AO903">
        <f t="shared" si="352"/>
        <v>8.9112140839839498</v>
      </c>
      <c r="AP903">
        <f t="shared" si="353"/>
        <v>0.75840478198906425</v>
      </c>
      <c r="AQ903">
        <f t="shared" si="354"/>
        <v>0</v>
      </c>
      <c r="AR903">
        <f t="shared" si="355"/>
        <v>0.79999999999999893</v>
      </c>
      <c r="AS903">
        <f t="shared" si="356"/>
        <v>0</v>
      </c>
      <c r="AT903" t="str">
        <f t="shared" si="357"/>
        <v>VENTAS</v>
      </c>
      <c r="AU903">
        <f t="shared" si="358"/>
        <v>8.9112140839839498</v>
      </c>
      <c r="AV903" t="str">
        <f t="shared" si="359"/>
        <v>Mayor retorno probable: VENTAS (+8,9 puntos finales potenciales).</v>
      </c>
    </row>
    <row r="904" spans="1:48" x14ac:dyDescent="0.3">
      <c r="A904" s="5">
        <v>51032705</v>
      </c>
      <c r="B904" s="5" t="str">
        <f>IFERROR(VLOOKUP(A904,VENTAS!$A$2:$B$1194,2,0),"")</f>
        <v>METTLER</v>
      </c>
      <c r="C904" s="5">
        <f>IFERROR(INDEX(VENTAS!$C$2:$E$1194,MATCH(A904,VENTAS!$A$2:$A$1194,0),MATCH(PARAMS_MODELO!$B$2,{"Q1","Q2","Q3"},0)),0)</f>
        <v>40750495.100000001</v>
      </c>
      <c r="D904" s="5">
        <f>IFERROR(INDEX(VENTAS!$F$2:$H$1194,MATCH(A904,VENTAS!$A$2:$A$1194,0),MATCH(PARAMS_MODELO!$B$2,{"Q1","Q2","Q3"},0)),0)</f>
        <v>30054848</v>
      </c>
      <c r="E904" s="8">
        <f t="shared" si="336"/>
        <v>-0.26246667859502892</v>
      </c>
      <c r="F904" s="12">
        <f>IF(E904&lt;=PARAMS_MODELO!$B$15,0,IF(E904&gt;=PARAMS_MODELO!$B$17,100,100*MIN(1,(E904-PARAMS_MODELO!$B$15)/(PARAMS_MODELO!$B$16-PARAMS_MODELO!$B$15))))*PARAMS_MODELO!$B$7</f>
        <v>0</v>
      </c>
      <c r="G904" s="5">
        <f t="shared" si="337"/>
        <v>0</v>
      </c>
      <c r="H904" s="5">
        <f>(PARAMS_MODELO!$B$20*(MAX(0,MIN(3,E904))/3)+PARAMS_MODELO!$B$21*(IFERROR(LN(1+MAX(0,G904))/LN(1+MAX(0,MAX($G$2:$G$1194))),0)))*100*PARAMS_MODELO!$B$8</f>
        <v>0</v>
      </c>
      <c r="I904" s="8">
        <f>E904-PARAMS_MODELO!$B$5</f>
        <v>-0.44002951397055545</v>
      </c>
      <c r="J904" s="5">
        <f>IF(I904&lt;=PARAMS_MODELO!$B$18,0,IF(I904&gt;=PARAMS_MODELO!$B$19,100,100*(I904-PARAMS_MODELO!$B$18)/(PARAMS_MODELO!$B$19-PARAMS_MODELO!$B$18)))*PARAMS_MODELO!$B$9</f>
        <v>0</v>
      </c>
      <c r="K904" s="5">
        <f>IFERROR(CHOOSE(MATCH(PARAMS_MODELO!$B$2,{"Q1","Q2","Q3"},0),LOTO!$D904,LOTO!$F904,LOTO!$H904),0)</f>
        <v>1420000</v>
      </c>
      <c r="L904" s="8">
        <f t="shared" si="338"/>
        <v>4.7246953303506978E-2</v>
      </c>
      <c r="M904" s="5">
        <f>MIN(100,IF(PARAMS_MODELO!$B$23=0,0,100*L904/PARAMS_MODELO!$B$23))*PARAMS_MODELO!$B$10</f>
        <v>14.17408599105209</v>
      </c>
      <c r="N904" s="5">
        <f>IFERROR(VLOOKUP(A904,COMPLIANCE!$A$2:$F$1996,6,0),100)</f>
        <v>99.7</v>
      </c>
      <c r="O904" s="5">
        <f>N904*PARAMS_MODELO!$B$11</f>
        <v>9.9700000000000006</v>
      </c>
      <c r="P904" s="5">
        <f>IFERROR(VLOOKUP(A904,DIGITAL!$A$2:$J$2000,7,0),100)</f>
        <v>2</v>
      </c>
      <c r="Q904" s="5">
        <f>IFERROR(P904,0)*PARAMS_MODELO!$B$12</f>
        <v>0.2</v>
      </c>
      <c r="R904">
        <f t="shared" si="339"/>
        <v>24.34408599105209</v>
      </c>
      <c r="S904" s="5" t="str">
        <f>IFERROR(VLOOKUP(A904,CLIENTE!$A$2:$N$2000,13,0),1)</f>
        <v>Malo</v>
      </c>
      <c r="T904" s="5">
        <f>IFERROR(VLOOKUP(A904,CLIENTE!$A$2:$N$2000,14,0),1)</f>
        <v>0.7</v>
      </c>
      <c r="U904" s="5">
        <f t="shared" si="340"/>
        <v>17.04086019373646</v>
      </c>
      <c r="V904" s="5" t="str">
        <f>IF(U904&gt;=MAX(_xlfn.PERCENTILE.INC($U$2:$U$1194,PARAMS_MODELO!$B$50),PARAMS_MODELO!$B$45),"DIAMANTE",IF(U904&gt;=MAX(_xlfn.PERCENTILE.INC($U$2:$U$1194,PARAMS_MODELO!$B$51),PARAMS_MODELO!$B$46),"PLATINO",IF(U904&gt;=MAX(_xlfn.PERCENTILE.INC($U$2:$U$1194,PARAMS_MODELO!$B$52),PARAMS_MODELO!$B$47),"ORO",IF(U904&gt;=MAX(_xlfn.PERCENTILE.INC($U$2:$U$1194,PARAMS_MODELO!$B$53),PARAMS_MODELO!$B$48),"PLATA",IF(U904&gt;=1,"BRONCE","CERRADO")))))</f>
        <v>BRONCE</v>
      </c>
      <c r="W904" s="5" t="str" cm="1">
        <f t="array" ref="W904">_xlfn.XLOOKUP(1, (HIST_SCORE!$B:$B=PARAMS_MODELO!$B$4) * (HIST_SCORE!$C:$C=A904), HIST_SCORE!$E:$E, "No encontrado")</f>
        <v>PLATA</v>
      </c>
      <c r="X904" s="5" t="str">
        <f>_xlfn.LET(_xlpm.act,MATCH(V904,{"DIAMANTE";"PLATINO";"ORO";"PLATA";"BRONCE";"CERRADO"},0),_xlpm.ant,MATCH(W904,{"DIAMANTE";"PLATINO";"ORO";"PLATA";"BRONCE";"CERRADO"},0),IF(_xlpm.act&lt;_xlpm.ant,"Mejora ↑",IF(_xlpm.act&gt;_xlpm.ant,"Baja ↓","Estable →")))</f>
        <v>Baja ↓</v>
      </c>
      <c r="Y904" s="5">
        <f>IFERROR(U904-SUMIFS(HIST_SCORE!$D:$D,HIST_SCORE!$B:$B,PARAMS_MODELO!$B$4,HIST_SCORE!$C:$C,$A904),"")</f>
        <v>-16.710617078501596</v>
      </c>
      <c r="Z904" s="5" t="str">
        <f t="shared" si="341"/>
        <v>↓ Baja</v>
      </c>
      <c r="AA904" s="5">
        <f t="shared" si="342"/>
        <v>1051</v>
      </c>
      <c r="AB904" s="5">
        <f>IFERROR(SUMIFS(HIST_SCORE!$F:$F,HIST_SCORE!$B:$B,PARAMS_MODELO!$B$4,HIST_SCORE!$C:$C,$A904),"")</f>
        <v>871</v>
      </c>
      <c r="AC904" s="5">
        <f t="shared" si="343"/>
        <v>-180</v>
      </c>
      <c r="AD904" t="str">
        <f t="shared" si="345"/>
        <v>Plan de recuperación: foco crecimiento + mix</v>
      </c>
      <c r="AE9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904="CERRADO",1,IF(V904="BRONCE",_xlpm.cPl,IF(V904="PLATA",_xlpm.cO,IF(V904="ORO",_xlpm.cP,IF(V904="PLATINO",_xlpm.cD,999))))))</f>
        <v>24.506573482968111</v>
      </c>
      <c r="AF9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904="CERRADO",0,IF(V904="BRONCE",1,IF(V904="PLATA",_xlpm.cPl,IF(V904="ORO",_xlpm.cO,IF(V904="PLATINO",_xlpm.cP,_xlpm.cD))))))</f>
        <v>1</v>
      </c>
      <c r="AG904">
        <f t="shared" si="346"/>
        <v>10.665304698902354</v>
      </c>
      <c r="AH904" t="str">
        <f t="shared" si="347"/>
        <v>VENTAS</v>
      </c>
      <c r="AI904" t="str">
        <f t="shared" si="344"/>
        <v>🎯 Para subir de categoría, eje VENTAS / CRECIMIENTO PERSONAL (F). Acción: metas semanales + activación comercial + seguimiento del asesor. ΔR aprox: 10,7</v>
      </c>
      <c r="AJ904" s="26">
        <f>_xlfn.LET(_xlpm.piso,AF904,_xlpm.corte,AE904,_xlpm.prog,IF(_xlpm.corte&lt;=_xlpm.piso,0,MAX(0,MIN(1,(U904-_xlpm.piso)/(_xlpm.corte-_xlpm.piso)))),_xlpm.orden,{"DIAMANTE";"PLATINO";"ORO";"PLATA";"BRONCE";"CERRADO"},_xlpm.act,IFERROR(MATCH(V904,_xlpm.orden,0),6),_xlpm.ant,IFERROR(MATCH(W904,_xlpm.orden,0),6),_xlpm.ajmov,IF(_xlpm.act&lt;_xlpm.ant,0.08,IF(_xlpm.act&gt;_xlpm.ant,-0.08,0)),_xlpm.ajcli,IF(T904&lt;0.95,-0.06,0),_xlpm.prob,MAX(0,MIN(1,_xlpm.prog+_xlpm.ajmov+_xlpm.ajcli)),IF(OR(V904="DIAMANTE",V904="CERRADO"),0,ROUND(_xlpm.prob,2)))</f>
        <v>0.54</v>
      </c>
      <c r="AK904" t="str">
        <f t="shared" si="348"/>
        <v>Faltan 10,7 puntos base para subir a la siguiente categoría</v>
      </c>
      <c r="AL904" t="str">
        <f t="shared" si="349"/>
        <v>No aplica</v>
      </c>
      <c r="AM904">
        <f t="shared" si="350"/>
        <v>0.78</v>
      </c>
      <c r="AN904" t="str">
        <f t="shared" si="351"/>
        <v>PRIORIDAD ALTA – requiere intervención inmediata</v>
      </c>
      <c r="AO904">
        <f t="shared" si="352"/>
        <v>45.403798492706905</v>
      </c>
      <c r="AP904">
        <f t="shared" si="353"/>
        <v>0.578139806263537</v>
      </c>
      <c r="AQ904">
        <f t="shared" si="354"/>
        <v>2.099999999999955E-2</v>
      </c>
      <c r="AR904">
        <f t="shared" si="355"/>
        <v>6.86</v>
      </c>
      <c r="AS904">
        <f t="shared" si="356"/>
        <v>7.303225797315628</v>
      </c>
      <c r="AT904" t="str">
        <f t="shared" si="357"/>
        <v>VENTAS</v>
      </c>
      <c r="AU904">
        <f t="shared" si="358"/>
        <v>45.403798492706905</v>
      </c>
      <c r="AV904" t="str">
        <f t="shared" si="359"/>
        <v>Mayor retorno probable: VENTAS (+45,4 puntos finales potenciales).</v>
      </c>
    </row>
    <row r="905" spans="1:48" x14ac:dyDescent="0.3">
      <c r="A905" s="5">
        <v>51041887</v>
      </c>
      <c r="B905" s="5" t="str">
        <f>IFERROR(VLOOKUP(A905,VENTAS!$A$2:$B$1194,2,0),"")</f>
        <v>BELUZZO</v>
      </c>
      <c r="C905" s="5">
        <f>IFERROR(INDEX(VENTAS!$C$2:$E$1194,MATCH(A905,VENTAS!$A$2:$A$1194,0),MATCH(PARAMS_MODELO!$B$2,{"Q1","Q2","Q3"},0)),0)</f>
        <v>25735236.199999999</v>
      </c>
      <c r="D905" s="5">
        <f>IFERROR(INDEX(VENTAS!$F$2:$H$1194,MATCH(A905,VENTAS!$A$2:$A$1194,0),MATCH(PARAMS_MODELO!$B$2,{"Q1","Q2","Q3"},0)),0)</f>
        <v>29768346</v>
      </c>
      <c r="E905" s="8">
        <f t="shared" si="336"/>
        <v>0.15671547634756111</v>
      </c>
      <c r="F905" s="12">
        <f>IF(E905&lt;=PARAMS_MODELO!$B$15,0,IF(E905&gt;=PARAMS_MODELO!$B$17,100,100*MIN(1,(E905-PARAMS_MODELO!$B$15)/(PARAMS_MODELO!$B$16-PARAMS_MODELO!$B$15))))*PARAMS_MODELO!$B$7</f>
        <v>35</v>
      </c>
      <c r="G905" s="5">
        <f t="shared" si="337"/>
        <v>4033109.8000000007</v>
      </c>
      <c r="H905" s="5">
        <f>(PARAMS_MODELO!$B$20*(MAX(0,MIN(3,E905))/3)+PARAMS_MODELO!$B$21*(IFERROR(LN(1+MAX(0,G905))/LN(1+MAX(0,MAX($G$2:$G$1194))),0)))*100*PARAMS_MODELO!$B$8</f>
        <v>4.113951889420747</v>
      </c>
      <c r="I905" s="8">
        <f>E905-PARAMS_MODELO!$B$5</f>
        <v>-2.0847359027965418E-2</v>
      </c>
      <c r="J905" s="5">
        <f>IF(I905&lt;=PARAMS_MODELO!$B$18,0,IF(I905&gt;=PARAMS_MODELO!$B$19,100,100*(I905-PARAMS_MODELO!$B$18)/(PARAMS_MODELO!$B$19-PARAMS_MODELO!$B$18)))*PARAMS_MODELO!$B$9</f>
        <v>4.3728961458051874</v>
      </c>
      <c r="K905" s="5">
        <f>IFERROR(CHOOSE(MATCH(PARAMS_MODELO!$B$2,{"Q1","Q2","Q3"},0),LOTO!$D905,LOTO!$F905,LOTO!$H905),0)</f>
        <v>1420000</v>
      </c>
      <c r="L905" s="8">
        <f t="shared" si="338"/>
        <v>4.7701676136121238E-2</v>
      </c>
      <c r="M905" s="5">
        <f>MIN(100,IF(PARAMS_MODELO!$B$23=0,0,100*L905/PARAMS_MODELO!$B$23))*PARAMS_MODELO!$B$10</f>
        <v>14.310502840836371</v>
      </c>
      <c r="N905" s="5">
        <f>IFERROR(VLOOKUP(A905,COMPLIANCE!$A$2:$F$1996,6,0),100)</f>
        <v>99.98</v>
      </c>
      <c r="O905" s="5">
        <f>N905*PARAMS_MODELO!$B$11</f>
        <v>9.9980000000000011</v>
      </c>
      <c r="P905" s="5">
        <f>IFERROR(VLOOKUP(A905,DIGITAL!$A$2:$J$2000,7,0),100)</f>
        <v>35</v>
      </c>
      <c r="Q905" s="5">
        <f>IFERROR(P905,0)*PARAMS_MODELO!$B$12</f>
        <v>3.5</v>
      </c>
      <c r="R905">
        <f t="shared" si="339"/>
        <v>71.295350876062301</v>
      </c>
      <c r="S905" s="5" t="str">
        <f>IFERROR(VLOOKUP(A905,CLIENTE!$A$2:$N$2000,13,0),1)</f>
        <v>Regular</v>
      </c>
      <c r="T905" s="5">
        <f>IFERROR(VLOOKUP(A905,CLIENTE!$A$2:$N$2000,14,0),1)</f>
        <v>1</v>
      </c>
      <c r="U905" s="5">
        <f t="shared" si="340"/>
        <v>71.295350876062301</v>
      </c>
      <c r="V905" s="5" t="str">
        <f>IF(U905&gt;=MAX(_xlfn.PERCENTILE.INC($U$2:$U$1194,PARAMS_MODELO!$B$50),PARAMS_MODELO!$B$45),"DIAMANTE",IF(U905&gt;=MAX(_xlfn.PERCENTILE.INC($U$2:$U$1194,PARAMS_MODELO!$B$51),PARAMS_MODELO!$B$46),"PLATINO",IF(U905&gt;=MAX(_xlfn.PERCENTILE.INC($U$2:$U$1194,PARAMS_MODELO!$B$52),PARAMS_MODELO!$B$47),"ORO",IF(U905&gt;=MAX(_xlfn.PERCENTILE.INC($U$2:$U$1194,PARAMS_MODELO!$B$53),PARAMS_MODELO!$B$48),"PLATA",IF(U905&gt;=1,"BRONCE","CERRADO")))))</f>
        <v>ORO</v>
      </c>
      <c r="W905" s="5" t="str" cm="1">
        <f t="array" ref="W905">_xlfn.XLOOKUP(1, (HIST_SCORE!$B:$B=PARAMS_MODELO!$B$4) * (HIST_SCORE!$C:$C=A905), HIST_SCORE!$E:$E, "No encontrado")</f>
        <v>ORO</v>
      </c>
      <c r="X905" s="5" t="str">
        <f>_xlfn.LET(_xlpm.act,MATCH(V905,{"DIAMANTE";"PLATINO";"ORO";"PLATA";"BRONCE";"CERRADO"},0),_xlpm.ant,MATCH(W905,{"DIAMANTE";"PLATINO";"ORO";"PLATA";"BRONCE";"CERRADO"},0),IF(_xlpm.act&lt;_xlpm.ant,"Mejora ↑",IF(_xlpm.act&gt;_xlpm.ant,"Baja ↓","Estable →")))</f>
        <v>Estable →</v>
      </c>
      <c r="Y905" s="5">
        <f>IFERROR(U905-SUMIFS(HIST_SCORE!$D:$D,HIST_SCORE!$B:$B,PARAMS_MODELO!$B$4,HIST_SCORE!$C:$C,$A905),"")</f>
        <v>-6.8719933272276705</v>
      </c>
      <c r="Z905" s="5" t="str">
        <f t="shared" si="341"/>
        <v>↓ Baja</v>
      </c>
      <c r="AA905" s="5">
        <f t="shared" si="342"/>
        <v>505</v>
      </c>
      <c r="AB905" s="5">
        <f>IFERROR(SUMIFS(HIST_SCORE!$F:$F,HIST_SCORE!$B:$B,PARAMS_MODELO!$B$4,HIST_SCORE!$C:$C,$A905),"")</f>
        <v>450</v>
      </c>
      <c r="AC905" s="5">
        <f t="shared" si="343"/>
        <v>-55</v>
      </c>
      <c r="AD905" t="str">
        <f t="shared" si="345"/>
        <v>Sostener base y reforzar mix</v>
      </c>
      <c r="AE9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905="CERRADO",1,IF(V905="BRONCE",_xlpm.cPl,IF(V905="PLATA",_xlpm.cO,IF(V905="ORO",_xlpm.cP,IF(V905="PLATINO",_xlpm.cD,999))))))</f>
        <v>86.439123873763251</v>
      </c>
      <c r="AF9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905="CERRADO",0,IF(V905="BRONCE",1,IF(V905="PLATA",_xlpm.cPl,IF(V905="ORO",_xlpm.cO,IF(V905="PLATINO",_xlpm.cP,_xlpm.cD))))))</f>
        <v>63.199193273331495</v>
      </c>
      <c r="AG905">
        <f t="shared" si="346"/>
        <v>15.14377299770095</v>
      </c>
      <c r="AH905" t="str">
        <f t="shared" si="347"/>
        <v>VENTAS</v>
      </c>
      <c r="AI905" t="str">
        <f t="shared" si="344"/>
        <v>🎯 Para subir de categoría, eje VENTAS / IMPACTO ABSOLUTO (H). Acción: metas semanales + activación comercial + seguimiento del asesor. ΔR aprox: 15,1</v>
      </c>
      <c r="AJ905" s="26">
        <f>_xlfn.LET(_xlpm.piso,AF905,_xlpm.corte,AE905,_xlpm.prog,IF(_xlpm.corte&lt;=_xlpm.piso,0,MAX(0,MIN(1,(U905-_xlpm.piso)/(_xlpm.corte-_xlpm.piso)))),_xlpm.orden,{"DIAMANTE";"PLATINO";"ORO";"PLATA";"BRONCE";"CERRADO"},_xlpm.act,IFERROR(MATCH(V905,_xlpm.orden,0),6),_xlpm.ant,IFERROR(MATCH(W905,_xlpm.orden,0),6),_xlpm.ajmov,IF(_xlpm.act&lt;_xlpm.ant,0.08,IF(_xlpm.act&gt;_xlpm.ant,-0.08,0)),_xlpm.ajcli,IF(T905&lt;0.95,-0.06,0),_xlpm.prob,MAX(0,MIN(1,_xlpm.prog+_xlpm.ajmov+_xlpm.ajcli)),IF(OR(V905="DIAMANTE",V905="CERRADO"),0,ROUND(_xlpm.prob,2)))</f>
        <v>0.35</v>
      </c>
      <c r="AK905" t="str">
        <f t="shared" si="348"/>
        <v>Faltan 15,1 puntos base para subir a la siguiente categoría</v>
      </c>
      <c r="AL905" t="str">
        <f t="shared" si="349"/>
        <v>Margen de seguridad: 8,1 puntos</v>
      </c>
      <c r="AM905">
        <f t="shared" si="350"/>
        <v>0.66</v>
      </c>
      <c r="AN905" t="str">
        <f t="shared" si="351"/>
        <v>PRIORIDAD MEDIA – seguimiento del asesor</v>
      </c>
      <c r="AO905">
        <f t="shared" si="352"/>
        <v>21.375721240069652</v>
      </c>
      <c r="AP905">
        <f t="shared" si="353"/>
        <v>0.68949715916362919</v>
      </c>
      <c r="AQ905">
        <f t="shared" si="354"/>
        <v>1.9999999999988916E-3</v>
      </c>
      <c r="AR905">
        <f t="shared" si="355"/>
        <v>6.5</v>
      </c>
      <c r="AS905">
        <f t="shared" si="356"/>
        <v>0</v>
      </c>
      <c r="AT905" t="str">
        <f t="shared" si="357"/>
        <v>VENTAS</v>
      </c>
      <c r="AU905">
        <f t="shared" si="358"/>
        <v>21.375721240069652</v>
      </c>
      <c r="AV905" t="str">
        <f t="shared" si="359"/>
        <v>Mayor retorno probable: VENTAS (+21,4 puntos finales potenciales).</v>
      </c>
    </row>
    <row r="906" spans="1:48" x14ac:dyDescent="0.3">
      <c r="A906" s="5">
        <v>51030826</v>
      </c>
      <c r="B906" s="5" t="str">
        <f>IFERROR(VLOOKUP(A906,VENTAS!$A$2:$B$1194,2,0),"")</f>
        <v>METTLER</v>
      </c>
      <c r="C906" s="5">
        <f>IFERROR(INDEX(VENTAS!$C$2:$E$1194,MATCH(A906,VENTAS!$A$2:$A$1194,0),MATCH(PARAMS_MODELO!$B$2,{"Q1","Q2","Q3"},0)),0)</f>
        <v>19603526.18</v>
      </c>
      <c r="D906" s="5">
        <f>IFERROR(INDEX(VENTAS!$F$2:$H$1194,MATCH(A906,VENTAS!$A$2:$A$1194,0),MATCH(PARAMS_MODELO!$B$2,{"Q1","Q2","Q3"},0)),0)</f>
        <v>28965528</v>
      </c>
      <c r="E906" s="8">
        <f t="shared" si="336"/>
        <v>0.47756723632462328</v>
      </c>
      <c r="F906" s="12">
        <f>IF(E906&lt;=PARAMS_MODELO!$B$15,0,IF(E906&gt;=PARAMS_MODELO!$B$17,100,100*MIN(1,(E906-PARAMS_MODELO!$B$15)/(PARAMS_MODELO!$B$16-PARAMS_MODELO!$B$15))))*PARAMS_MODELO!$B$7</f>
        <v>35</v>
      </c>
      <c r="G906" s="5">
        <f t="shared" si="337"/>
        <v>9362001.8200000003</v>
      </c>
      <c r="H906" s="5">
        <f>(PARAMS_MODELO!$B$20*(MAX(0,MIN(3,E906))/3)+PARAMS_MODELO!$B$21*(IFERROR(LN(1+MAX(0,G906))/LN(1+MAX(0,MAX($G$2:$G$1194))),0)))*100*PARAMS_MODELO!$B$8</f>
        <v>5.4343380281648681</v>
      </c>
      <c r="I906" s="8">
        <f>E906-PARAMS_MODELO!$B$5</f>
        <v>0.30000440094909675</v>
      </c>
      <c r="J906" s="5">
        <f>IF(I906&lt;=PARAMS_MODELO!$B$18,0,IF(I906&gt;=PARAMS_MODELO!$B$19,100,100*(I906-PARAMS_MODELO!$B$18)/(PARAMS_MODELO!$B$19-PARAMS_MODELO!$B$18)))*PARAMS_MODELO!$B$9</f>
        <v>15</v>
      </c>
      <c r="K906" s="5">
        <f>IFERROR(CHOOSE(MATCH(PARAMS_MODELO!$B$2,{"Q1","Q2","Q3"},0),LOTO!$D906,LOTO!$F906,LOTO!$H906),0)</f>
        <v>1412500</v>
      </c>
      <c r="L906" s="8">
        <f t="shared" si="338"/>
        <v>4.8764862839717614E-2</v>
      </c>
      <c r="M906" s="5">
        <f>MIN(100,IF(PARAMS_MODELO!$B$23=0,0,100*L906/PARAMS_MODELO!$B$23))*PARAMS_MODELO!$B$10</f>
        <v>14.629458851915285</v>
      </c>
      <c r="N906" s="5">
        <f>IFERROR(VLOOKUP(A906,COMPLIANCE!$A$2:$F$1996,6,0),100)</f>
        <v>99.7</v>
      </c>
      <c r="O906" s="5">
        <f>N906*PARAMS_MODELO!$B$11</f>
        <v>9.9700000000000006</v>
      </c>
      <c r="P906" s="5">
        <f>IFERROR(VLOOKUP(A906,DIGITAL!$A$2:$J$2000,7,0),100)</f>
        <v>6</v>
      </c>
      <c r="Q906" s="5">
        <f>IFERROR(P906,0)*PARAMS_MODELO!$B$12</f>
        <v>0.60000000000000009</v>
      </c>
      <c r="R906">
        <f t="shared" si="339"/>
        <v>80.633796880080141</v>
      </c>
      <c r="S906" s="5" t="str">
        <f>IFERROR(VLOOKUP(A906,CLIENTE!$A$2:$N$2000,13,0),1)</f>
        <v>Regular</v>
      </c>
      <c r="T906" s="5">
        <f>IFERROR(VLOOKUP(A906,CLIENTE!$A$2:$N$2000,14,0),1)</f>
        <v>1</v>
      </c>
      <c r="U906" s="5">
        <f t="shared" si="340"/>
        <v>80.633796880080141</v>
      </c>
      <c r="V906" s="5" t="str">
        <f>IF(U906&gt;=MAX(_xlfn.PERCENTILE.INC($U$2:$U$1194,PARAMS_MODELO!$B$50),PARAMS_MODELO!$B$45),"DIAMANTE",IF(U906&gt;=MAX(_xlfn.PERCENTILE.INC($U$2:$U$1194,PARAMS_MODELO!$B$51),PARAMS_MODELO!$B$46),"PLATINO",IF(U906&gt;=MAX(_xlfn.PERCENTILE.INC($U$2:$U$1194,PARAMS_MODELO!$B$52),PARAMS_MODELO!$B$47),"ORO",IF(U906&gt;=MAX(_xlfn.PERCENTILE.INC($U$2:$U$1194,PARAMS_MODELO!$B$53),PARAMS_MODELO!$B$48),"PLATA",IF(U906&gt;=1,"BRONCE","CERRADO")))))</f>
        <v>ORO</v>
      </c>
      <c r="W906" s="5" t="str" cm="1">
        <f t="array" ref="W906">_xlfn.XLOOKUP(1, (HIST_SCORE!$B:$B=PARAMS_MODELO!$B$4) * (HIST_SCORE!$C:$C=A906), HIST_SCORE!$E:$E, "No encontrado")</f>
        <v>ORO</v>
      </c>
      <c r="X906" s="5" t="str">
        <f>_xlfn.LET(_xlpm.act,MATCH(V906,{"DIAMANTE";"PLATINO";"ORO";"PLATA";"BRONCE";"CERRADO"},0),_xlpm.ant,MATCH(W906,{"DIAMANTE";"PLATINO";"ORO";"PLATA";"BRONCE";"CERRADO"},0),IF(_xlpm.act&lt;_xlpm.ant,"Mejora ↑",IF(_xlpm.act&gt;_xlpm.ant,"Baja ↓","Estable →")))</f>
        <v>Estable →</v>
      </c>
      <c r="Y906" s="5">
        <f>IFERROR(U906-SUMIFS(HIST_SCORE!$D:$D,HIST_SCORE!$B:$B,PARAMS_MODELO!$B$4,HIST_SCORE!$C:$C,$A906),"")</f>
        <v>16.241348203792839</v>
      </c>
      <c r="Z906" s="5" t="str">
        <f t="shared" si="341"/>
        <v>↑ Mejora</v>
      </c>
      <c r="AA906" s="5">
        <f t="shared" si="342"/>
        <v>425</v>
      </c>
      <c r="AB906" s="5">
        <f>IFERROR(SUMIFS(HIST_SCORE!$F:$F,HIST_SCORE!$B:$B,PARAMS_MODELO!$B$4,HIST_SCORE!$C:$C,$A906),"")</f>
        <v>576</v>
      </c>
      <c r="AC906" s="5">
        <f t="shared" si="343"/>
        <v>151</v>
      </c>
      <c r="AD906" t="str">
        <f t="shared" si="345"/>
        <v/>
      </c>
      <c r="AE9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906="CERRADO",1,IF(V906="BRONCE",_xlpm.cPl,IF(V906="PLATA",_xlpm.cO,IF(V906="ORO",_xlpm.cP,IF(V906="PLATINO",_xlpm.cD,999))))))</f>
        <v>86.439123873763251</v>
      </c>
      <c r="AF9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906="CERRADO",0,IF(V906="BRONCE",1,IF(V906="PLATA",_xlpm.cPl,IF(V906="ORO",_xlpm.cO,IF(V906="PLATINO",_xlpm.cP,_xlpm.cD))))))</f>
        <v>63.199193273331495</v>
      </c>
      <c r="AG906">
        <f t="shared" si="346"/>
        <v>5.80532699368311</v>
      </c>
      <c r="AH906" t="str">
        <f t="shared" si="347"/>
        <v>VENTAS</v>
      </c>
      <c r="AI906" t="str">
        <f t="shared" si="344"/>
        <v>🎯 Para subir de categoría, eje VENTAS / IMPACTO ABSOLUTO (H). Acción: metas semanales + activación comercial + seguimiento del asesor. ΔR aprox: 5,8</v>
      </c>
      <c r="AJ906" s="26">
        <f>_xlfn.LET(_xlpm.piso,AF906,_xlpm.corte,AE906,_xlpm.prog,IF(_xlpm.corte&lt;=_xlpm.piso,0,MAX(0,MIN(1,(U906-_xlpm.piso)/(_xlpm.corte-_xlpm.piso)))),_xlpm.orden,{"DIAMANTE";"PLATINO";"ORO";"PLATA";"BRONCE";"CERRADO"},_xlpm.act,IFERROR(MATCH(V906,_xlpm.orden,0),6),_xlpm.ant,IFERROR(MATCH(W906,_xlpm.orden,0),6),_xlpm.ajmov,IF(_xlpm.act&lt;_xlpm.ant,0.08,IF(_xlpm.act&gt;_xlpm.ant,-0.08,0)),_xlpm.ajcli,IF(T906&lt;0.95,-0.06,0),_xlpm.prob,MAX(0,MIN(1,_xlpm.prog+_xlpm.ajmov+_xlpm.ajcli)),IF(OR(V906="DIAMANTE",V906="CERRADO"),0,ROUND(_xlpm.prob,2)))</f>
        <v>0.75</v>
      </c>
      <c r="AK906" t="str">
        <f t="shared" si="348"/>
        <v>Faltan 5,8 puntos base para subir a la siguiente categoría</v>
      </c>
      <c r="AL906" t="str">
        <f t="shared" si="349"/>
        <v>Margen de seguridad: 17,4 puntos</v>
      </c>
      <c r="AM906">
        <f t="shared" si="350"/>
        <v>0.33</v>
      </c>
      <c r="AN906" t="str">
        <f t="shared" si="351"/>
        <v>PRIORIDAD BAJA – control normal</v>
      </c>
      <c r="AO906">
        <f t="shared" si="352"/>
        <v>9.4282312471307179</v>
      </c>
      <c r="AP906">
        <f t="shared" si="353"/>
        <v>0.37054114808471539</v>
      </c>
      <c r="AQ906">
        <f t="shared" si="354"/>
        <v>2.9999999999999361E-2</v>
      </c>
      <c r="AR906">
        <f t="shared" si="355"/>
        <v>9.4</v>
      </c>
      <c r="AS906">
        <f t="shared" si="356"/>
        <v>0</v>
      </c>
      <c r="AT906" t="str">
        <f t="shared" si="357"/>
        <v>VENTAS</v>
      </c>
      <c r="AU906">
        <f t="shared" si="358"/>
        <v>9.4282312471307179</v>
      </c>
      <c r="AV906" t="str">
        <f t="shared" si="359"/>
        <v>Mayor retorno probable: VENTAS (+9,4 puntos finales potenciales).</v>
      </c>
    </row>
    <row r="907" spans="1:48" x14ac:dyDescent="0.3">
      <c r="A907" s="5">
        <v>51011007</v>
      </c>
      <c r="B907" s="5" t="str">
        <f>IFERROR(VLOOKUP(A907,VENTAS!$A$2:$B$1194,2,0),"")</f>
        <v>AYALA</v>
      </c>
      <c r="C907" s="5">
        <f>IFERROR(INDEX(VENTAS!$C$2:$E$1194,MATCH(A907,VENTAS!$A$2:$A$1194,0),MATCH(PARAMS_MODELO!$B$2,{"Q1","Q2","Q3"},0)),0)</f>
        <v>26592010.5</v>
      </c>
      <c r="D907" s="5">
        <f>IFERROR(INDEX(VENTAS!$F$2:$H$1194,MATCH(A907,VENTAS!$A$2:$A$1194,0),MATCH(PARAMS_MODELO!$B$2,{"Q1","Q2","Q3"},0)),0)</f>
        <v>28942270</v>
      </c>
      <c r="E907" s="8">
        <f t="shared" si="336"/>
        <v>8.8382166515766025E-2</v>
      </c>
      <c r="F907" s="12">
        <f>IF(E907&lt;=PARAMS_MODELO!$B$15,0,IF(E907&gt;=PARAMS_MODELO!$B$17,100,100*MIN(1,(E907-PARAMS_MODELO!$B$15)/(PARAMS_MODELO!$B$16-PARAMS_MODELO!$B$15))))*PARAMS_MODELO!$B$7</f>
        <v>30.933758280518109</v>
      </c>
      <c r="G907" s="5">
        <f t="shared" si="337"/>
        <v>2350259.5</v>
      </c>
      <c r="H907" s="5">
        <f>(PARAMS_MODELO!$B$20*(MAX(0,MIN(3,E907))/3)+PARAMS_MODELO!$B$21*(IFERROR(LN(1+MAX(0,G907))/LN(1+MAX(0,MAX($G$2:$G$1194))),0)))*100*PARAMS_MODELO!$B$8</f>
        <v>3.748198996450518</v>
      </c>
      <c r="I907" s="8">
        <f>E907-PARAMS_MODELO!$B$5</f>
        <v>-8.9180668859760504E-2</v>
      </c>
      <c r="J907" s="5">
        <f>IF(I907&lt;=PARAMS_MODELO!$B$18,0,IF(I907&gt;=PARAMS_MODELO!$B$19,100,100*(I907-PARAMS_MODELO!$B$18)/(PARAMS_MODELO!$B$19-PARAMS_MODELO!$B$18)))*PARAMS_MODELO!$B$9</f>
        <v>0</v>
      </c>
      <c r="K907" s="5">
        <f>IFERROR(CHOOSE(MATCH(PARAMS_MODELO!$B$2,{"Q1","Q2","Q3"},0),LOTO!$D907,LOTO!$F907,LOTO!$H907),0)</f>
        <v>1410000</v>
      </c>
      <c r="L907" s="8">
        <f t="shared" si="338"/>
        <v>4.8717671419691681E-2</v>
      </c>
      <c r="M907" s="5">
        <f>MIN(100,IF(PARAMS_MODELO!$B$23=0,0,100*L907/PARAMS_MODELO!$B$23))*PARAMS_MODELO!$B$10</f>
        <v>14.615301425907502</v>
      </c>
      <c r="N907" s="5">
        <f>IFERROR(VLOOKUP(A907,COMPLIANCE!$A$2:$F$1996,6,0),100)</f>
        <v>100</v>
      </c>
      <c r="O907" s="5">
        <f>N907*PARAMS_MODELO!$B$11</f>
        <v>10</v>
      </c>
      <c r="P907" s="5">
        <f>IFERROR(VLOOKUP(A907,DIGITAL!$A$2:$J$2000,7,0),100)</f>
        <v>83</v>
      </c>
      <c r="Q907" s="5">
        <f>IFERROR(P907,0)*PARAMS_MODELO!$B$12</f>
        <v>8.3000000000000007</v>
      </c>
      <c r="R907">
        <f t="shared" si="339"/>
        <v>67.597258702876132</v>
      </c>
      <c r="S907" s="5" t="str">
        <f>IFERROR(VLOOKUP(A907,CLIENTE!$A$2:$N$2000,13,0),1)</f>
        <v>Regular</v>
      </c>
      <c r="T907" s="5">
        <f>IFERROR(VLOOKUP(A907,CLIENTE!$A$2:$N$2000,14,0),1)</f>
        <v>1</v>
      </c>
      <c r="U907" s="5">
        <f t="shared" si="340"/>
        <v>67.597258702876132</v>
      </c>
      <c r="V907" s="5" t="str">
        <f>IF(U907&gt;=MAX(_xlfn.PERCENTILE.INC($U$2:$U$1194,PARAMS_MODELO!$B$50),PARAMS_MODELO!$B$45),"DIAMANTE",IF(U907&gt;=MAX(_xlfn.PERCENTILE.INC($U$2:$U$1194,PARAMS_MODELO!$B$51),PARAMS_MODELO!$B$46),"PLATINO",IF(U907&gt;=MAX(_xlfn.PERCENTILE.INC($U$2:$U$1194,PARAMS_MODELO!$B$52),PARAMS_MODELO!$B$47),"ORO",IF(U907&gt;=MAX(_xlfn.PERCENTILE.INC($U$2:$U$1194,PARAMS_MODELO!$B$53),PARAMS_MODELO!$B$48),"PLATA",IF(U907&gt;=1,"BRONCE","CERRADO")))))</f>
        <v>ORO</v>
      </c>
      <c r="W907" s="5" t="str" cm="1">
        <f t="array" ref="W907">_xlfn.XLOOKUP(1, (HIST_SCORE!$B:$B=PARAMS_MODELO!$B$4) * (HIST_SCORE!$C:$C=A907), HIST_SCORE!$E:$E, "No encontrado")</f>
        <v>ORO</v>
      </c>
      <c r="X907" s="5" t="str">
        <f>_xlfn.LET(_xlpm.act,MATCH(V907,{"DIAMANTE";"PLATINO";"ORO";"PLATA";"BRONCE";"CERRADO"},0),_xlpm.ant,MATCH(W907,{"DIAMANTE";"PLATINO";"ORO";"PLATA";"BRONCE";"CERRADO"},0),IF(_xlpm.act&lt;_xlpm.ant,"Mejora ↑",IF(_xlpm.act&gt;_xlpm.ant,"Baja ↓","Estable →")))</f>
        <v>Estable →</v>
      </c>
      <c r="Y907" s="5">
        <f>IFERROR(U907-SUMIFS(HIST_SCORE!$D:$D,HIST_SCORE!$B:$B,PARAMS_MODELO!$B$4,HIST_SCORE!$C:$C,$A907),"")</f>
        <v>-2.6150852953037145</v>
      </c>
      <c r="Z907" s="5" t="str">
        <f t="shared" si="341"/>
        <v>→ Estable</v>
      </c>
      <c r="AA907" s="5">
        <f t="shared" si="342"/>
        <v>535</v>
      </c>
      <c r="AB907" s="5">
        <f>IFERROR(SUMIFS(HIST_SCORE!$F:$F,HIST_SCORE!$B:$B,PARAMS_MODELO!$B$4,HIST_SCORE!$C:$C,$A907),"")</f>
        <v>540</v>
      </c>
      <c r="AC907" s="5">
        <f t="shared" si="343"/>
        <v>5</v>
      </c>
      <c r="AD907" t="str">
        <f t="shared" si="345"/>
        <v>Sostener base y reforzar mix</v>
      </c>
      <c r="AE9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907="CERRADO",1,IF(V907="BRONCE",_xlpm.cPl,IF(V907="PLATA",_xlpm.cO,IF(V907="ORO",_xlpm.cP,IF(V907="PLATINO",_xlpm.cD,999))))))</f>
        <v>86.439123873763251</v>
      </c>
      <c r="AF9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907="CERRADO",0,IF(V907="BRONCE",1,IF(V907="PLATA",_xlpm.cPl,IF(V907="ORO",_xlpm.cO,IF(V907="PLATINO",_xlpm.cP,_xlpm.cD))))))</f>
        <v>63.199193273331495</v>
      </c>
      <c r="AG907">
        <f t="shared" si="346"/>
        <v>18.841865170887118</v>
      </c>
      <c r="AH907" t="str">
        <f t="shared" si="347"/>
        <v>VENTAS</v>
      </c>
      <c r="AI907" t="str">
        <f t="shared" si="344"/>
        <v>🎯 Para subir de categoría, eje VENTAS / DIFERENCIAL vs LOTBA (J). Acción: metas semanales + activación comercial + seguimiento del asesor. ΔR aprox: 18,8</v>
      </c>
      <c r="AJ907" s="26">
        <f>_xlfn.LET(_xlpm.piso,AF907,_xlpm.corte,AE907,_xlpm.prog,IF(_xlpm.corte&lt;=_xlpm.piso,0,MAX(0,MIN(1,(U907-_xlpm.piso)/(_xlpm.corte-_xlpm.piso)))),_xlpm.orden,{"DIAMANTE";"PLATINO";"ORO";"PLATA";"BRONCE";"CERRADO"},_xlpm.act,IFERROR(MATCH(V907,_xlpm.orden,0),6),_xlpm.ant,IFERROR(MATCH(W907,_xlpm.orden,0),6),_xlpm.ajmov,IF(_xlpm.act&lt;_xlpm.ant,0.08,IF(_xlpm.act&gt;_xlpm.ant,-0.08,0)),_xlpm.ajcli,IF(T907&lt;0.95,-0.06,0),_xlpm.prob,MAX(0,MIN(1,_xlpm.prog+_xlpm.ajmov+_xlpm.ajcli)),IF(OR(V907="DIAMANTE",V907="CERRADO"),0,ROUND(_xlpm.prob,2)))</f>
        <v>0.19</v>
      </c>
      <c r="AK907" t="str">
        <f t="shared" si="348"/>
        <v>Faltan 18,8 puntos base para subir a la siguiente categoría</v>
      </c>
      <c r="AL907" t="str">
        <f t="shared" si="349"/>
        <v>Margen de seguridad: 4,4 puntos</v>
      </c>
      <c r="AM907">
        <f t="shared" si="350"/>
        <v>0.72</v>
      </c>
      <c r="AN907" t="str">
        <f t="shared" si="351"/>
        <v>PRIORIDAD ALTA – requiere intervención inmediata</v>
      </c>
      <c r="AO907">
        <f t="shared" si="352"/>
        <v>30.18061199832696</v>
      </c>
      <c r="AP907">
        <f t="shared" si="353"/>
        <v>0.38469857409249819</v>
      </c>
      <c r="AQ907">
        <f t="shared" si="354"/>
        <v>0</v>
      </c>
      <c r="AR907">
        <f t="shared" si="355"/>
        <v>1.6999999999999993</v>
      </c>
      <c r="AS907">
        <f t="shared" si="356"/>
        <v>0</v>
      </c>
      <c r="AT907" t="str">
        <f t="shared" si="357"/>
        <v>VENTAS</v>
      </c>
      <c r="AU907">
        <f t="shared" si="358"/>
        <v>30.18061199832696</v>
      </c>
      <c r="AV907" t="str">
        <f t="shared" si="359"/>
        <v>Mayor retorno probable: VENTAS (+30,2 puntos finales potenciales).</v>
      </c>
    </row>
    <row r="908" spans="1:48" x14ac:dyDescent="0.3">
      <c r="A908" s="5">
        <v>51007514</v>
      </c>
      <c r="B908" s="5" t="str">
        <f>IFERROR(VLOOKUP(A908,VENTAS!$A$2:$B$1194,2,0),"")</f>
        <v>AYALA</v>
      </c>
      <c r="C908" s="5">
        <f>IFERROR(INDEX(VENTAS!$C$2:$E$1194,MATCH(A908,VENTAS!$A$2:$A$1194,0),MATCH(PARAMS_MODELO!$B$2,{"Q1","Q2","Q3"},0)),0)</f>
        <v>38547760.700000003</v>
      </c>
      <c r="D908" s="5">
        <f>IFERROR(INDEX(VENTAS!$F$2:$H$1194,MATCH(A908,VENTAS!$A$2:$A$1194,0),MATCH(PARAMS_MODELO!$B$2,{"Q1","Q2","Q3"},0)),0)</f>
        <v>28747528</v>
      </c>
      <c r="E908" s="8">
        <f t="shared" si="336"/>
        <v>-0.25423610923266948</v>
      </c>
      <c r="F908" s="12">
        <f>IF(E908&lt;=PARAMS_MODELO!$B$15,0,IF(E908&gt;=PARAMS_MODELO!$B$17,100,100*MIN(1,(E908-PARAMS_MODELO!$B$15)/(PARAMS_MODELO!$B$16-PARAMS_MODELO!$B$15))))*PARAMS_MODELO!$B$7</f>
        <v>0</v>
      </c>
      <c r="G908" s="5">
        <f t="shared" si="337"/>
        <v>0</v>
      </c>
      <c r="H908" s="5">
        <f>(PARAMS_MODELO!$B$20*(MAX(0,MIN(3,E908))/3)+PARAMS_MODELO!$B$21*(IFERROR(LN(1+MAX(0,G908))/LN(1+MAX(0,MAX($G$2:$G$1194))),0)))*100*PARAMS_MODELO!$B$8</f>
        <v>0</v>
      </c>
      <c r="I908" s="8">
        <f>E908-PARAMS_MODELO!$B$5</f>
        <v>-0.43179894460819601</v>
      </c>
      <c r="J908" s="5">
        <f>IF(I908&lt;=PARAMS_MODELO!$B$18,0,IF(I908&gt;=PARAMS_MODELO!$B$19,100,100*(I908-PARAMS_MODELO!$B$18)/(PARAMS_MODELO!$B$19-PARAMS_MODELO!$B$18)))*PARAMS_MODELO!$B$9</f>
        <v>0</v>
      </c>
      <c r="K908" s="5">
        <f>IFERROR(CHOOSE(MATCH(PARAMS_MODELO!$B$2,{"Q1","Q2","Q3"},0),LOTO!$D908,LOTO!$F908,LOTO!$H908),0)</f>
        <v>1405000</v>
      </c>
      <c r="L908" s="8">
        <f t="shared" si="338"/>
        <v>4.8873767511418718E-2</v>
      </c>
      <c r="M908" s="5">
        <f>MIN(100,IF(PARAMS_MODELO!$B$23=0,0,100*L908/PARAMS_MODELO!$B$23))*PARAMS_MODELO!$B$10</f>
        <v>14.662130253425616</v>
      </c>
      <c r="N908" s="5">
        <f>IFERROR(VLOOKUP(A908,COMPLIANCE!$A$2:$F$1996,6,0),100)</f>
        <v>100</v>
      </c>
      <c r="O908" s="5">
        <f>N908*PARAMS_MODELO!$B$11</f>
        <v>10</v>
      </c>
      <c r="P908" s="5">
        <f>IFERROR(VLOOKUP(A908,DIGITAL!$A$2:$J$2000,7,0),100)</f>
        <v>17</v>
      </c>
      <c r="Q908" s="5">
        <f>IFERROR(P908,0)*PARAMS_MODELO!$B$12</f>
        <v>1.7000000000000002</v>
      </c>
      <c r="R908">
        <f t="shared" si="339"/>
        <v>26.362130253425615</v>
      </c>
      <c r="S908" s="5" t="str">
        <f>IFERROR(VLOOKUP(A908,CLIENTE!$A$2:$N$2000,13,0),1)</f>
        <v>Regular</v>
      </c>
      <c r="T908" s="5">
        <f>IFERROR(VLOOKUP(A908,CLIENTE!$A$2:$N$2000,14,0),1)</f>
        <v>1</v>
      </c>
      <c r="U908" s="5">
        <f t="shared" si="340"/>
        <v>26.362130253425615</v>
      </c>
      <c r="V908" s="5" t="str">
        <f>IF(U908&gt;=MAX(_xlfn.PERCENTILE.INC($U$2:$U$1194,PARAMS_MODELO!$B$50),PARAMS_MODELO!$B$45),"DIAMANTE",IF(U908&gt;=MAX(_xlfn.PERCENTILE.INC($U$2:$U$1194,PARAMS_MODELO!$B$51),PARAMS_MODELO!$B$46),"PLATINO",IF(U908&gt;=MAX(_xlfn.PERCENTILE.INC($U$2:$U$1194,PARAMS_MODELO!$B$52),PARAMS_MODELO!$B$47),"ORO",IF(U908&gt;=MAX(_xlfn.PERCENTILE.INC($U$2:$U$1194,PARAMS_MODELO!$B$53),PARAMS_MODELO!$B$48),"PLATA",IF(U908&gt;=1,"BRONCE","CERRADO")))))</f>
        <v>PLATA</v>
      </c>
      <c r="W908" s="5" t="str" cm="1">
        <f t="array" ref="W908">_xlfn.XLOOKUP(1, (HIST_SCORE!$B:$B=PARAMS_MODELO!$B$4) * (HIST_SCORE!$C:$C=A908), HIST_SCORE!$E:$E, "No encontrado")</f>
        <v>ORO</v>
      </c>
      <c r="X908" s="5" t="str">
        <f>_xlfn.LET(_xlpm.act,MATCH(V908,{"DIAMANTE";"PLATINO";"ORO";"PLATA";"BRONCE";"CERRADO"},0),_xlpm.ant,MATCH(W908,{"DIAMANTE";"PLATINO";"ORO";"PLATA";"BRONCE";"CERRADO"},0),IF(_xlpm.act&lt;_xlpm.ant,"Mejora ↑",IF(_xlpm.act&gt;_xlpm.ant,"Baja ↓","Estable →")))</f>
        <v>Baja ↓</v>
      </c>
      <c r="Y908" s="5">
        <f>IFERROR(U908-SUMIFS(HIST_SCORE!$D:$D,HIST_SCORE!$B:$B,PARAMS_MODELO!$B$4,HIST_SCORE!$C:$C,$A908),"")</f>
        <v>-50.470409723423401</v>
      </c>
      <c r="Z908" s="5" t="str">
        <f t="shared" si="341"/>
        <v>↓ Baja</v>
      </c>
      <c r="AA908" s="5">
        <f t="shared" si="342"/>
        <v>905</v>
      </c>
      <c r="AB908" s="5">
        <f>IFERROR(SUMIFS(HIST_SCORE!$F:$F,HIST_SCORE!$B:$B,PARAMS_MODELO!$B$4,HIST_SCORE!$C:$C,$A908),"")</f>
        <v>471</v>
      </c>
      <c r="AC908" s="5">
        <f t="shared" si="343"/>
        <v>-434</v>
      </c>
      <c r="AD908" t="str">
        <f t="shared" si="345"/>
        <v/>
      </c>
      <c r="AE9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908="CERRADO",1,IF(V908="BRONCE",_xlpm.cPl,IF(V908="PLATA",_xlpm.cO,IF(V908="ORO",_xlpm.cP,IF(V908="PLATINO",_xlpm.cD,999))))))</f>
        <v>63.199193273331495</v>
      </c>
      <c r="AF9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908="CERRADO",0,IF(V908="BRONCE",1,IF(V908="PLATA",_xlpm.cPl,IF(V908="ORO",_xlpm.cO,IF(V908="PLATINO",_xlpm.cP,_xlpm.cD))))))</f>
        <v>24.506573482968111</v>
      </c>
      <c r="AG908">
        <f t="shared" si="346"/>
        <v>36.837063019905884</v>
      </c>
      <c r="AH908" t="str">
        <f t="shared" si="347"/>
        <v>VENTAS</v>
      </c>
      <c r="AI908" t="str">
        <f t="shared" si="344"/>
        <v>🎯 Para subir de categoría, eje VENTAS / CRECIMIENTO PERSONAL (F). Acción: metas semanales + activación comercial + seguimiento del asesor. ΔR aprox: 36,8</v>
      </c>
      <c r="AJ908" s="26">
        <f>_xlfn.LET(_xlpm.piso,AF908,_xlpm.corte,AE908,_xlpm.prog,IF(_xlpm.corte&lt;=_xlpm.piso,0,MAX(0,MIN(1,(U908-_xlpm.piso)/(_xlpm.corte-_xlpm.piso)))),_xlpm.orden,{"DIAMANTE";"PLATINO";"ORO";"PLATA";"BRONCE";"CERRADO"},_xlpm.act,IFERROR(MATCH(V908,_xlpm.orden,0),6),_xlpm.ant,IFERROR(MATCH(W908,_xlpm.orden,0),6),_xlpm.ajmov,IF(_xlpm.act&lt;_xlpm.ant,0.08,IF(_xlpm.act&gt;_xlpm.ant,-0.08,0)),_xlpm.ajcli,IF(T908&lt;0.95,-0.06,0),_xlpm.prob,MAX(0,MIN(1,_xlpm.prog+_xlpm.ajmov+_xlpm.ajcli)),IF(OR(V908="DIAMANTE",V908="CERRADO"),0,ROUND(_xlpm.prob,2)))</f>
        <v>0</v>
      </c>
      <c r="AK908" t="str">
        <f t="shared" si="348"/>
        <v>Faltan 36,8 puntos base para subir a la siguiente categoría</v>
      </c>
      <c r="AL908" t="str">
        <f t="shared" si="349"/>
        <v>Margen de seguridad: 1,9 puntos</v>
      </c>
      <c r="AM908">
        <f t="shared" si="350"/>
        <v>0.8</v>
      </c>
      <c r="AN908" t="str">
        <f t="shared" si="351"/>
        <v>PRIORIDAD ALTA – requiere intervención inmediata</v>
      </c>
      <c r="AO908">
        <f t="shared" si="352"/>
        <v>64.862569275295584</v>
      </c>
      <c r="AP908">
        <f t="shared" si="353"/>
        <v>0.33786974657438407</v>
      </c>
      <c r="AQ908">
        <f t="shared" si="354"/>
        <v>0</v>
      </c>
      <c r="AR908">
        <f t="shared" si="355"/>
        <v>8.3000000000000007</v>
      </c>
      <c r="AS908">
        <f t="shared" si="356"/>
        <v>0</v>
      </c>
      <c r="AT908" t="str">
        <f t="shared" si="357"/>
        <v>VENTAS</v>
      </c>
      <c r="AU908">
        <f t="shared" si="358"/>
        <v>64.862569275295584</v>
      </c>
      <c r="AV908" t="str">
        <f t="shared" si="359"/>
        <v>Mayor retorno probable: VENTAS (+64,9 puntos finales potenciales).</v>
      </c>
    </row>
    <row r="909" spans="1:48" x14ac:dyDescent="0.3">
      <c r="A909" s="5">
        <v>51024281</v>
      </c>
      <c r="B909" s="5" t="str">
        <f>IFERROR(VLOOKUP(A909,VENTAS!$A$2:$B$1194,2,0),"")</f>
        <v>AYALA</v>
      </c>
      <c r="C909" s="5">
        <f>IFERROR(INDEX(VENTAS!$C$2:$E$1194,MATCH(A909,VENTAS!$A$2:$A$1194,0),MATCH(PARAMS_MODELO!$B$2,{"Q1","Q2","Q3"},0)),0)</f>
        <v>31598455.539999999</v>
      </c>
      <c r="D909" s="5">
        <f>IFERROR(INDEX(VENTAS!$F$2:$H$1194,MATCH(A909,VENTAS!$A$2:$A$1194,0),MATCH(PARAMS_MODELO!$B$2,{"Q1","Q2","Q3"},0)),0)</f>
        <v>28719970</v>
      </c>
      <c r="E909" s="8">
        <f t="shared" si="336"/>
        <v>-9.1095766891396646E-2</v>
      </c>
      <c r="F909" s="12">
        <f>IF(E909&lt;=PARAMS_MODELO!$B$15,0,IF(E909&gt;=PARAMS_MODELO!$B$17,100,100*MIN(1,(E909-PARAMS_MODELO!$B$15)/(PARAMS_MODELO!$B$16-PARAMS_MODELO!$B$15))))*PARAMS_MODELO!$B$7</f>
        <v>0</v>
      </c>
      <c r="G909" s="5">
        <f t="shared" si="337"/>
        <v>0</v>
      </c>
      <c r="H909" s="5">
        <f>(PARAMS_MODELO!$B$20*(MAX(0,MIN(3,E909))/3)+PARAMS_MODELO!$B$21*(IFERROR(LN(1+MAX(0,G909))/LN(1+MAX(0,MAX($G$2:$G$1194))),0)))*100*PARAMS_MODELO!$B$8</f>
        <v>0</v>
      </c>
      <c r="I909" s="8">
        <f>E909-PARAMS_MODELO!$B$5</f>
        <v>-0.26865860226692317</v>
      </c>
      <c r="J909" s="5">
        <f>IF(I909&lt;=PARAMS_MODELO!$B$18,0,IF(I909&gt;=PARAMS_MODELO!$B$19,100,100*(I909-PARAMS_MODELO!$B$18)/(PARAMS_MODELO!$B$19-PARAMS_MODELO!$B$18)))*PARAMS_MODELO!$B$9</f>
        <v>0</v>
      </c>
      <c r="K909" s="5">
        <f>IFERROR(CHOOSE(MATCH(PARAMS_MODELO!$B$2,{"Q1","Q2","Q3"},0),LOTO!$D909,LOTO!$F909,LOTO!$H909),0)</f>
        <v>1405000</v>
      </c>
      <c r="L909" s="8">
        <f t="shared" si="338"/>
        <v>4.8920663914342528E-2</v>
      </c>
      <c r="M909" s="5">
        <f>MIN(100,IF(PARAMS_MODELO!$B$23=0,0,100*L909/PARAMS_MODELO!$B$23))*PARAMS_MODELO!$B$10</f>
        <v>14.676199174302758</v>
      </c>
      <c r="N909" s="5">
        <f>IFERROR(VLOOKUP(A909,COMPLIANCE!$A$2:$F$1996,6,0),100)</f>
        <v>100</v>
      </c>
      <c r="O909" s="5">
        <f>N909*PARAMS_MODELO!$B$11</f>
        <v>10</v>
      </c>
      <c r="P909" s="5">
        <f>IFERROR(VLOOKUP(A909,DIGITAL!$A$2:$J$2000,7,0),100)</f>
        <v>2</v>
      </c>
      <c r="Q909" s="5">
        <f>IFERROR(P909,0)*PARAMS_MODELO!$B$12</f>
        <v>0.2</v>
      </c>
      <c r="R909">
        <f t="shared" si="339"/>
        <v>24.876199174302759</v>
      </c>
      <c r="S909" s="5" t="str">
        <f>IFERROR(VLOOKUP(A909,CLIENTE!$A$2:$N$2000,13,0),1)</f>
        <v>Malo</v>
      </c>
      <c r="T909" s="5">
        <f>IFERROR(VLOOKUP(A909,CLIENTE!$A$2:$N$2000,14,0),1)</f>
        <v>0.7</v>
      </c>
      <c r="U909" s="5">
        <f t="shared" si="340"/>
        <v>17.41333942201193</v>
      </c>
      <c r="V909" s="5" t="str">
        <f>IF(U909&gt;=MAX(_xlfn.PERCENTILE.INC($U$2:$U$1194,PARAMS_MODELO!$B$50),PARAMS_MODELO!$B$45),"DIAMANTE",IF(U909&gt;=MAX(_xlfn.PERCENTILE.INC($U$2:$U$1194,PARAMS_MODELO!$B$51),PARAMS_MODELO!$B$46),"PLATINO",IF(U909&gt;=MAX(_xlfn.PERCENTILE.INC($U$2:$U$1194,PARAMS_MODELO!$B$52),PARAMS_MODELO!$B$47),"ORO",IF(U909&gt;=MAX(_xlfn.PERCENTILE.INC($U$2:$U$1194,PARAMS_MODELO!$B$53),PARAMS_MODELO!$B$48),"PLATA",IF(U909&gt;=1,"BRONCE","CERRADO")))))</f>
        <v>BRONCE</v>
      </c>
      <c r="W909" s="5" t="str" cm="1">
        <f t="array" ref="W909">_xlfn.XLOOKUP(1, (HIST_SCORE!$B:$B=PARAMS_MODELO!$B$4) * (HIST_SCORE!$C:$C=A909), HIST_SCORE!$E:$E, "No encontrado")</f>
        <v>PLATA</v>
      </c>
      <c r="X909" s="5" t="str">
        <f>_xlfn.LET(_xlpm.act,MATCH(V909,{"DIAMANTE";"PLATINO";"ORO";"PLATA";"BRONCE";"CERRADO"},0),_xlpm.ant,MATCH(W909,{"DIAMANTE";"PLATINO";"ORO";"PLATA";"BRONCE";"CERRADO"},0),IF(_xlpm.act&lt;_xlpm.ant,"Mejora ↑",IF(_xlpm.act&gt;_xlpm.ant,"Baja ↓","Estable →")))</f>
        <v>Baja ↓</v>
      </c>
      <c r="Y909" s="5">
        <f>IFERROR(U909-SUMIFS(HIST_SCORE!$D:$D,HIST_SCORE!$B:$B,PARAMS_MODELO!$B$4,HIST_SCORE!$C:$C,$A909),"")</f>
        <v>-35.785240059769478</v>
      </c>
      <c r="Z909" s="5" t="str">
        <f t="shared" si="341"/>
        <v>↓ Baja</v>
      </c>
      <c r="AA909" s="5">
        <f t="shared" si="342"/>
        <v>1041</v>
      </c>
      <c r="AB909" s="5">
        <f>IFERROR(SUMIFS(HIST_SCORE!$F:$F,HIST_SCORE!$B:$B,PARAMS_MODELO!$B$4,HIST_SCORE!$C:$C,$A909),"")</f>
        <v>748</v>
      </c>
      <c r="AC909" s="5">
        <f t="shared" si="343"/>
        <v>-293</v>
      </c>
      <c r="AD909" t="str">
        <f t="shared" si="345"/>
        <v>Plan de recuperación: foco crecimiento + mix</v>
      </c>
      <c r="AE9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909="CERRADO",1,IF(V909="BRONCE",_xlpm.cPl,IF(V909="PLATA",_xlpm.cO,IF(V909="ORO",_xlpm.cP,IF(V909="PLATINO",_xlpm.cD,999))))))</f>
        <v>24.506573482968111</v>
      </c>
      <c r="AF9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909="CERRADO",0,IF(V909="BRONCE",1,IF(V909="PLATA",_xlpm.cPl,IF(V909="ORO",_xlpm.cO,IF(V909="PLATINO",_xlpm.cP,_xlpm.cD))))))</f>
        <v>1</v>
      </c>
      <c r="AG909">
        <f t="shared" si="346"/>
        <v>10.133191515651685</v>
      </c>
      <c r="AH909" t="str">
        <f t="shared" si="347"/>
        <v>CLIENTE</v>
      </c>
      <c r="AI909" t="str">
        <f t="shared" si="344"/>
        <v>🎯 Para subir de categoría, la eje con mayor impacto probable es CLIENTE (coef T). Acción: reducir quejas, mejorar incógnito y empujar reseñas. ΔR aprox: 10,1</v>
      </c>
      <c r="AJ909" s="26">
        <f>_xlfn.LET(_xlpm.piso,AF909,_xlpm.corte,AE909,_xlpm.prog,IF(_xlpm.corte&lt;=_xlpm.piso,0,MAX(0,MIN(1,(U909-_xlpm.piso)/(_xlpm.corte-_xlpm.piso)))),_xlpm.orden,{"DIAMANTE";"PLATINO";"ORO";"PLATA";"BRONCE";"CERRADO"},_xlpm.act,IFERROR(MATCH(V909,_xlpm.orden,0),6),_xlpm.ant,IFERROR(MATCH(W909,_xlpm.orden,0),6),_xlpm.ajmov,IF(_xlpm.act&lt;_xlpm.ant,0.08,IF(_xlpm.act&gt;_xlpm.ant,-0.08,0)),_xlpm.ajcli,IF(T909&lt;0.95,-0.06,0),_xlpm.prob,MAX(0,MIN(1,_xlpm.prog+_xlpm.ajmov+_xlpm.ajcli)),IF(OR(V909="DIAMANTE",V909="CERRADO"),0,ROUND(_xlpm.prob,2)))</f>
        <v>0.56000000000000005</v>
      </c>
      <c r="AK909" t="str">
        <f t="shared" si="348"/>
        <v>Faltan 10,1 puntos base para subir a la siguiente categoría</v>
      </c>
      <c r="AL909" t="str">
        <f t="shared" si="349"/>
        <v>No aplica</v>
      </c>
      <c r="AM909">
        <f t="shared" si="350"/>
        <v>0.78</v>
      </c>
      <c r="AN909" t="str">
        <f t="shared" si="351"/>
        <v>PRIORIDAD ALTA – requiere intervención inmediata</v>
      </c>
      <c r="AO909">
        <f t="shared" si="352"/>
        <v>45.403798492706905</v>
      </c>
      <c r="AP909">
        <f t="shared" si="353"/>
        <v>0.22666057798806968</v>
      </c>
      <c r="AQ909">
        <f t="shared" si="354"/>
        <v>0</v>
      </c>
      <c r="AR909">
        <f t="shared" si="355"/>
        <v>6.86</v>
      </c>
      <c r="AS909">
        <f t="shared" si="356"/>
        <v>7.4628597522908287</v>
      </c>
      <c r="AT909" t="str">
        <f t="shared" si="357"/>
        <v>VENTAS</v>
      </c>
      <c r="AU909">
        <f t="shared" si="358"/>
        <v>45.403798492706905</v>
      </c>
      <c r="AV909" t="str">
        <f t="shared" si="359"/>
        <v>Mayor retorno probable: VENTAS (+45,4 puntos finales potenciales).</v>
      </c>
    </row>
    <row r="910" spans="1:48" x14ac:dyDescent="0.3">
      <c r="A910" s="5">
        <v>51020961</v>
      </c>
      <c r="B910" s="5" t="str">
        <f>IFERROR(VLOOKUP(A910,VENTAS!$A$2:$B$1194,2,0),"")</f>
        <v>ARGUELLO</v>
      </c>
      <c r="C910" s="5">
        <f>IFERROR(INDEX(VENTAS!$C$2:$E$1194,MATCH(A910,VENTAS!$A$2:$A$1194,0),MATCH(PARAMS_MODELO!$B$2,{"Q1","Q2","Q3"},0)),0)</f>
        <v>24393736.539999999</v>
      </c>
      <c r="D910" s="5">
        <f>IFERROR(INDEX(VENTAS!$F$2:$H$1194,MATCH(A910,VENTAS!$A$2:$A$1194,0),MATCH(PARAMS_MODELO!$B$2,{"Q1","Q2","Q3"},0)),0)</f>
        <v>28716990</v>
      </c>
      <c r="E910" s="8">
        <f t="shared" si="336"/>
        <v>0.17722801313816272</v>
      </c>
      <c r="F910" s="12">
        <f>IF(E910&lt;=PARAMS_MODELO!$B$15,0,IF(E910&gt;=PARAMS_MODELO!$B$17,100,100*MIN(1,(E910-PARAMS_MODELO!$B$15)/(PARAMS_MODELO!$B$16-PARAMS_MODELO!$B$15))))*PARAMS_MODELO!$B$7</f>
        <v>35</v>
      </c>
      <c r="G910" s="5">
        <f t="shared" si="337"/>
        <v>4323253.4600000009</v>
      </c>
      <c r="H910" s="5">
        <f>(PARAMS_MODELO!$B$20*(MAX(0,MIN(3,E910))/3)+PARAMS_MODELO!$B$21*(IFERROR(LN(1+MAX(0,G910))/LN(1+MAX(0,MAX($G$2:$G$1194))),0)))*100*PARAMS_MODELO!$B$8</f>
        <v>4.2020306178517446</v>
      </c>
      <c r="I910" s="8">
        <f>E910-PARAMS_MODELO!$B$5</f>
        <v>-3.3482223736380767E-4</v>
      </c>
      <c r="J910" s="5">
        <f>IF(I910&lt;=PARAMS_MODELO!$B$18,0,IF(I910&gt;=PARAMS_MODELO!$B$19,100,100*(I910-PARAMS_MODELO!$B$18)/(PARAMS_MODELO!$B$19-PARAMS_MODELO!$B$18)))*PARAMS_MODELO!$B$9</f>
        <v>7.4497766643954284</v>
      </c>
      <c r="K910" s="5">
        <f>IFERROR(CHOOSE(MATCH(PARAMS_MODELO!$B$2,{"Q1","Q2","Q3"},0),LOTO!$D910,LOTO!$F910,LOTO!$H910),0)</f>
        <v>1395000</v>
      </c>
      <c r="L910" s="8">
        <f t="shared" si="338"/>
        <v>4.857751456541929E-2</v>
      </c>
      <c r="M910" s="5">
        <f>MIN(100,IF(PARAMS_MODELO!$B$23=0,0,100*L910/PARAMS_MODELO!$B$23))*PARAMS_MODELO!$B$10</f>
        <v>14.573254369625785</v>
      </c>
      <c r="N910" s="5">
        <f>IFERROR(VLOOKUP(A910,COMPLIANCE!$A$2:$F$1996,6,0),100)</f>
        <v>100</v>
      </c>
      <c r="O910" s="5">
        <f>N910*PARAMS_MODELO!$B$11</f>
        <v>10</v>
      </c>
      <c r="P910" s="5">
        <f>IFERROR(VLOOKUP(A910,DIGITAL!$A$2:$J$2000,7,0),100)</f>
        <v>1</v>
      </c>
      <c r="Q910" s="5">
        <f>IFERROR(P910,0)*PARAMS_MODELO!$B$12</f>
        <v>0.1</v>
      </c>
      <c r="R910">
        <f t="shared" si="339"/>
        <v>71.325061651872957</v>
      </c>
      <c r="S910" s="5" t="str">
        <f>IFERROR(VLOOKUP(A910,CLIENTE!$A$2:$N$2000,13,0),1)</f>
        <v>Regular</v>
      </c>
      <c r="T910" s="5">
        <f>IFERROR(VLOOKUP(A910,CLIENTE!$A$2:$N$2000,14,0),1)</f>
        <v>1</v>
      </c>
      <c r="U910" s="5">
        <f t="shared" si="340"/>
        <v>71.325061651872957</v>
      </c>
      <c r="V910" s="5" t="str">
        <f>IF(U910&gt;=MAX(_xlfn.PERCENTILE.INC($U$2:$U$1194,PARAMS_MODELO!$B$50),PARAMS_MODELO!$B$45),"DIAMANTE",IF(U910&gt;=MAX(_xlfn.PERCENTILE.INC($U$2:$U$1194,PARAMS_MODELO!$B$51),PARAMS_MODELO!$B$46),"PLATINO",IF(U910&gt;=MAX(_xlfn.PERCENTILE.INC($U$2:$U$1194,PARAMS_MODELO!$B$52),PARAMS_MODELO!$B$47),"ORO",IF(U910&gt;=MAX(_xlfn.PERCENTILE.INC($U$2:$U$1194,PARAMS_MODELO!$B$53),PARAMS_MODELO!$B$48),"PLATA",IF(U910&gt;=1,"BRONCE","CERRADO")))))</f>
        <v>ORO</v>
      </c>
      <c r="W910" s="5" t="str" cm="1">
        <f t="array" ref="W910">_xlfn.XLOOKUP(1, (HIST_SCORE!$B:$B=PARAMS_MODELO!$B$4) * (HIST_SCORE!$C:$C=A910), HIST_SCORE!$E:$E, "No encontrado")</f>
        <v>ORO</v>
      </c>
      <c r="X910" s="5" t="str">
        <f>_xlfn.LET(_xlpm.act,MATCH(V910,{"DIAMANTE";"PLATINO";"ORO";"PLATA";"BRONCE";"CERRADO"},0),_xlpm.ant,MATCH(W910,{"DIAMANTE";"PLATINO";"ORO";"PLATA";"BRONCE";"CERRADO"},0),IF(_xlpm.act&lt;_xlpm.ant,"Mejora ↑",IF(_xlpm.act&gt;_xlpm.ant,"Baja ↓","Estable →")))</f>
        <v>Estable →</v>
      </c>
      <c r="Y910" s="5">
        <f>IFERROR(U910-SUMIFS(HIST_SCORE!$D:$D,HIST_SCORE!$B:$B,PARAMS_MODELO!$B$4,HIST_SCORE!$C:$C,$A910),"")</f>
        <v>7.0106517983291354</v>
      </c>
      <c r="Z910" s="5" t="str">
        <f t="shared" si="341"/>
        <v>↑ Mejora</v>
      </c>
      <c r="AA910" s="5">
        <f t="shared" si="342"/>
        <v>504</v>
      </c>
      <c r="AB910" s="5">
        <f>IFERROR(SUMIFS(HIST_SCORE!$F:$F,HIST_SCORE!$B:$B,PARAMS_MODELO!$B$4,HIST_SCORE!$C:$C,$A910),"")</f>
        <v>577</v>
      </c>
      <c r="AC910" s="5">
        <f t="shared" si="343"/>
        <v>73</v>
      </c>
      <c r="AD910" t="str">
        <f t="shared" si="345"/>
        <v/>
      </c>
      <c r="AE9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910="CERRADO",1,IF(V910="BRONCE",_xlpm.cPl,IF(V910="PLATA",_xlpm.cO,IF(V910="ORO",_xlpm.cP,IF(V910="PLATINO",_xlpm.cD,999))))))</f>
        <v>86.439123873763251</v>
      </c>
      <c r="AF9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910="CERRADO",0,IF(V910="BRONCE",1,IF(V910="PLATA",_xlpm.cPl,IF(V910="ORO",_xlpm.cO,IF(V910="PLATINO",_xlpm.cP,_xlpm.cD))))))</f>
        <v>63.199193273331495</v>
      </c>
      <c r="AG910">
        <f t="shared" si="346"/>
        <v>15.114062221890293</v>
      </c>
      <c r="AH910" t="str">
        <f t="shared" si="347"/>
        <v>VENTAS</v>
      </c>
      <c r="AI910" t="str">
        <f t="shared" si="344"/>
        <v>🎯 Para subir de categoría, eje VENTAS / IMPACTO ABSOLUTO (H). Acción: metas semanales + activación comercial + seguimiento del asesor. ΔR aprox: 15,1</v>
      </c>
      <c r="AJ910" s="26">
        <f>_xlfn.LET(_xlpm.piso,AF910,_xlpm.corte,AE910,_xlpm.prog,IF(_xlpm.corte&lt;=_xlpm.piso,0,MAX(0,MIN(1,(U910-_xlpm.piso)/(_xlpm.corte-_xlpm.piso)))),_xlpm.orden,{"DIAMANTE";"PLATINO";"ORO";"PLATA";"BRONCE";"CERRADO"},_xlpm.act,IFERROR(MATCH(V910,_xlpm.orden,0),6),_xlpm.ant,IFERROR(MATCH(W910,_xlpm.orden,0),6),_xlpm.ajmov,IF(_xlpm.act&lt;_xlpm.ant,0.08,IF(_xlpm.act&gt;_xlpm.ant,-0.08,0)),_xlpm.ajcli,IF(T910&lt;0.95,-0.06,0),_xlpm.prob,MAX(0,MIN(1,_xlpm.prog+_xlpm.ajmov+_xlpm.ajcli)),IF(OR(V910="DIAMANTE",V910="CERRADO"),0,ROUND(_xlpm.prob,2)))</f>
        <v>0.35</v>
      </c>
      <c r="AK910" t="str">
        <f t="shared" si="348"/>
        <v>Faltan 15,1 puntos base para subir a la siguiente categoría</v>
      </c>
      <c r="AL910" t="str">
        <f t="shared" si="349"/>
        <v>Margen de seguridad: 8,1 puntos</v>
      </c>
      <c r="AM910">
        <f t="shared" si="350"/>
        <v>0.66</v>
      </c>
      <c r="AN910" t="str">
        <f t="shared" si="351"/>
        <v>PRIORIDAD MEDIA – seguimiento del asesor</v>
      </c>
      <c r="AO910">
        <f t="shared" si="352"/>
        <v>18.210761993048408</v>
      </c>
      <c r="AP910">
        <f t="shared" si="353"/>
        <v>0.42674563037421542</v>
      </c>
      <c r="AQ910">
        <f t="shared" si="354"/>
        <v>0</v>
      </c>
      <c r="AR910">
        <f t="shared" si="355"/>
        <v>9.9</v>
      </c>
      <c r="AS910">
        <f t="shared" si="356"/>
        <v>0</v>
      </c>
      <c r="AT910" t="str">
        <f t="shared" si="357"/>
        <v>VENTAS</v>
      </c>
      <c r="AU910">
        <f t="shared" si="358"/>
        <v>18.210761993048408</v>
      </c>
      <c r="AV910" t="str">
        <f t="shared" si="359"/>
        <v>Mayor retorno probable: VENTAS (+18,2 puntos finales potenciales).</v>
      </c>
    </row>
    <row r="911" spans="1:48" x14ac:dyDescent="0.3">
      <c r="A911" s="5">
        <v>51022718</v>
      </c>
      <c r="B911" s="5" t="str">
        <f>IFERROR(VLOOKUP(A911,VENTAS!$A$2:$B$1194,2,0),"")</f>
        <v>CICHETTO</v>
      </c>
      <c r="C911" s="5">
        <f>IFERROR(INDEX(VENTAS!$C$2:$E$1194,MATCH(A911,VENTAS!$A$2:$A$1194,0),MATCH(PARAMS_MODELO!$B$2,{"Q1","Q2","Q3"},0)),0)</f>
        <v>20348633.100000001</v>
      </c>
      <c r="D911" s="5">
        <f>IFERROR(INDEX(VENTAS!$F$2:$H$1194,MATCH(A911,VENTAS!$A$2:$A$1194,0),MATCH(PARAMS_MODELO!$B$2,{"Q1","Q2","Q3"},0)),0)</f>
        <v>28596632</v>
      </c>
      <c r="E911" s="8">
        <f t="shared" si="336"/>
        <v>0.40533429736860294</v>
      </c>
      <c r="F911" s="12">
        <f>IF(E911&lt;=PARAMS_MODELO!$B$15,0,IF(E911&gt;=PARAMS_MODELO!$B$17,100,100*MIN(1,(E911-PARAMS_MODELO!$B$15)/(PARAMS_MODELO!$B$16-PARAMS_MODELO!$B$15))))*PARAMS_MODELO!$B$7</f>
        <v>35</v>
      </c>
      <c r="G911" s="5">
        <f t="shared" si="337"/>
        <v>8247998.8999999985</v>
      </c>
      <c r="H911" s="5">
        <f>(PARAMS_MODELO!$B$20*(MAX(0,MIN(3,E911))/3)+PARAMS_MODELO!$B$21*(IFERROR(LN(1+MAX(0,G911))/LN(1+MAX(0,MAX($G$2:$G$1194))),0)))*100*PARAMS_MODELO!$B$8</f>
        <v>5.1518251865313447</v>
      </c>
      <c r="I911" s="8">
        <f>E911-PARAMS_MODELO!$B$5</f>
        <v>0.22777146199307641</v>
      </c>
      <c r="J911" s="5">
        <f>IF(I911&lt;=PARAMS_MODELO!$B$18,0,IF(I911&gt;=PARAMS_MODELO!$B$19,100,100*(I911-PARAMS_MODELO!$B$18)/(PARAMS_MODELO!$B$19-PARAMS_MODELO!$B$18)))*PARAMS_MODELO!$B$9</f>
        <v>15</v>
      </c>
      <c r="K911" s="5">
        <f>IFERROR(CHOOSE(MATCH(PARAMS_MODELO!$B$2,{"Q1","Q2","Q3"},0),LOTO!$D911,LOTO!$F911,LOTO!$H911),0)</f>
        <v>1395000</v>
      </c>
      <c r="L911" s="8">
        <f t="shared" si="338"/>
        <v>4.8781968449990894E-2</v>
      </c>
      <c r="M911" s="5">
        <f>MIN(100,IF(PARAMS_MODELO!$B$23=0,0,100*L911/PARAMS_MODELO!$B$23))*PARAMS_MODELO!$B$10</f>
        <v>14.634590534997267</v>
      </c>
      <c r="N911" s="5">
        <f>IFERROR(VLOOKUP(A911,COMPLIANCE!$A$2:$F$1996,6,0),100)</f>
        <v>99.98</v>
      </c>
      <c r="O911" s="5">
        <f>N911*PARAMS_MODELO!$B$11</f>
        <v>9.9980000000000011</v>
      </c>
      <c r="P911" s="5">
        <f>IFERROR(VLOOKUP(A911,DIGITAL!$A$2:$J$2000,7,0),100)</f>
        <v>57</v>
      </c>
      <c r="Q911" s="5">
        <f>IFERROR(P911,0)*PARAMS_MODELO!$B$12</f>
        <v>5.7</v>
      </c>
      <c r="R911">
        <f t="shared" si="339"/>
        <v>85.48441572152862</v>
      </c>
      <c r="S911" s="5" t="str">
        <f>IFERROR(VLOOKUP(A911,CLIENTE!$A$2:$N$2000,13,0),1)</f>
        <v>Regular</v>
      </c>
      <c r="T911" s="5">
        <f>IFERROR(VLOOKUP(A911,CLIENTE!$A$2:$N$2000,14,0),1)</f>
        <v>1</v>
      </c>
      <c r="U911" s="5">
        <f t="shared" si="340"/>
        <v>85.48441572152862</v>
      </c>
      <c r="V911" s="5" t="str">
        <f>IF(U911&gt;=MAX(_xlfn.PERCENTILE.INC($U$2:$U$1194,PARAMS_MODELO!$B$50),PARAMS_MODELO!$B$45),"DIAMANTE",IF(U911&gt;=MAX(_xlfn.PERCENTILE.INC($U$2:$U$1194,PARAMS_MODELO!$B$51),PARAMS_MODELO!$B$46),"PLATINO",IF(U911&gt;=MAX(_xlfn.PERCENTILE.INC($U$2:$U$1194,PARAMS_MODELO!$B$52),PARAMS_MODELO!$B$47),"ORO",IF(U911&gt;=MAX(_xlfn.PERCENTILE.INC($U$2:$U$1194,PARAMS_MODELO!$B$53),PARAMS_MODELO!$B$48),"PLATA",IF(U911&gt;=1,"BRONCE","CERRADO")))))</f>
        <v>ORO</v>
      </c>
      <c r="W911" s="5" t="str" cm="1">
        <f t="array" ref="W911">_xlfn.XLOOKUP(1, (HIST_SCORE!$B:$B=PARAMS_MODELO!$B$4) * (HIST_SCORE!$C:$C=A911), HIST_SCORE!$E:$E, "No encontrado")</f>
        <v>ORO</v>
      </c>
      <c r="X911" s="5" t="str">
        <f>_xlfn.LET(_xlpm.act,MATCH(V911,{"DIAMANTE";"PLATINO";"ORO";"PLATA";"BRONCE";"CERRADO"},0),_xlpm.ant,MATCH(W911,{"DIAMANTE";"PLATINO";"ORO";"PLATA";"BRONCE";"CERRADO"},0),IF(_xlpm.act&lt;_xlpm.ant,"Mejora ↑",IF(_xlpm.act&gt;_xlpm.ant,"Baja ↓","Estable →")))</f>
        <v>Estable →</v>
      </c>
      <c r="Y911" s="5">
        <f>IFERROR(U911-SUMIFS(HIST_SCORE!$D:$D,HIST_SCORE!$B:$B,PARAMS_MODELO!$B$4,HIST_SCORE!$C:$C,$A911),"")</f>
        <v>16.068721347360992</v>
      </c>
      <c r="Z911" s="5" t="str">
        <f t="shared" si="341"/>
        <v>↑ Mejora</v>
      </c>
      <c r="AA911" s="5">
        <f t="shared" si="342"/>
        <v>268</v>
      </c>
      <c r="AB911" s="5">
        <f>IFERROR(SUMIFS(HIST_SCORE!$F:$F,HIST_SCORE!$B:$B,PARAMS_MODELO!$B$4,HIST_SCORE!$C:$C,$A911),"")</f>
        <v>545</v>
      </c>
      <c r="AC911" s="5">
        <f t="shared" si="343"/>
        <v>277</v>
      </c>
      <c r="AD911" t="str">
        <f t="shared" si="345"/>
        <v/>
      </c>
      <c r="AE9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911="CERRADO",1,IF(V911="BRONCE",_xlpm.cPl,IF(V911="PLATA",_xlpm.cO,IF(V911="ORO",_xlpm.cP,IF(V911="PLATINO",_xlpm.cD,999))))))</f>
        <v>86.439123873763251</v>
      </c>
      <c r="AF9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911="CERRADO",0,IF(V911="BRONCE",1,IF(V911="PLATA",_xlpm.cPl,IF(V911="ORO",_xlpm.cO,IF(V911="PLATINO",_xlpm.cP,_xlpm.cD))))))</f>
        <v>63.199193273331495</v>
      </c>
      <c r="AG911">
        <f t="shared" si="346"/>
        <v>0.95470815223463035</v>
      </c>
      <c r="AH911" t="str">
        <f t="shared" si="347"/>
        <v>VENTAS</v>
      </c>
      <c r="AI911" t="str">
        <f t="shared" si="344"/>
        <v>🎯 Para subir de categoría, eje VENTAS / IMPACTO ABSOLUTO (H). Acción: metas semanales + activación comercial + seguimiento del asesor. ΔR aprox: 1,0</v>
      </c>
      <c r="AJ911" s="26">
        <f>_xlfn.LET(_xlpm.piso,AF911,_xlpm.corte,AE911,_xlpm.prog,IF(_xlpm.corte&lt;=_xlpm.piso,0,MAX(0,MIN(1,(U911-_xlpm.piso)/(_xlpm.corte-_xlpm.piso)))),_xlpm.orden,{"DIAMANTE";"PLATINO";"ORO";"PLATA";"BRONCE";"CERRADO"},_xlpm.act,IFERROR(MATCH(V911,_xlpm.orden,0),6),_xlpm.ant,IFERROR(MATCH(W911,_xlpm.orden,0),6),_xlpm.ajmov,IF(_xlpm.act&lt;_xlpm.ant,0.08,IF(_xlpm.act&gt;_xlpm.ant,-0.08,0)),_xlpm.ajcli,IF(T911&lt;0.95,-0.06,0),_xlpm.prob,MAX(0,MIN(1,_xlpm.prog+_xlpm.ajmov+_xlpm.ajcli)),IF(OR(V911="DIAMANTE",V911="CERRADO"),0,ROUND(_xlpm.prob,2)))</f>
        <v>0.96</v>
      </c>
      <c r="AK911" t="str">
        <f t="shared" si="348"/>
        <v>Faltan 1,0 puntos base para subir a la siguiente categoría</v>
      </c>
      <c r="AL911" t="str">
        <f t="shared" si="349"/>
        <v>Margen de seguridad: 22,3 puntos</v>
      </c>
      <c r="AM911">
        <f t="shared" si="350"/>
        <v>0.05</v>
      </c>
      <c r="AN911" t="str">
        <f t="shared" si="351"/>
        <v>PRIORIDAD BAJA – control normal</v>
      </c>
      <c r="AO911">
        <f t="shared" si="352"/>
        <v>9.7107440887642369</v>
      </c>
      <c r="AP911">
        <f t="shared" si="353"/>
        <v>0.36540946500273286</v>
      </c>
      <c r="AQ911">
        <f t="shared" si="354"/>
        <v>1.9999999999988916E-3</v>
      </c>
      <c r="AR911">
        <f t="shared" si="355"/>
        <v>4.3</v>
      </c>
      <c r="AS911">
        <f t="shared" si="356"/>
        <v>0</v>
      </c>
      <c r="AT911" t="str">
        <f t="shared" si="357"/>
        <v>VENTAS</v>
      </c>
      <c r="AU911">
        <f t="shared" si="358"/>
        <v>9.7107440887642369</v>
      </c>
      <c r="AV911" t="str">
        <f t="shared" si="359"/>
        <v>Mayor retorno probable: VENTAS (+9,7 puntos finales potenciales).</v>
      </c>
    </row>
    <row r="912" spans="1:48" x14ac:dyDescent="0.3">
      <c r="A912" s="5">
        <v>51039815</v>
      </c>
      <c r="B912" s="5" t="str">
        <f>IFERROR(VLOOKUP(A912,VENTAS!$A$2:$B$1194,2,0),"")</f>
        <v>AYALA</v>
      </c>
      <c r="C912" s="5">
        <f>IFERROR(INDEX(VENTAS!$C$2:$E$1194,MATCH(A912,VENTAS!$A$2:$A$1194,0),MATCH(PARAMS_MODELO!$B$2,{"Q1","Q2","Q3"},0)),0)</f>
        <v>66112221.390000001</v>
      </c>
      <c r="D912" s="5">
        <f>IFERROR(INDEX(VENTAS!$F$2:$H$1194,MATCH(A912,VENTAS!$A$2:$A$1194,0),MATCH(PARAMS_MODELO!$B$2,{"Q1","Q2","Q3"},0)),0)</f>
        <v>28075363</v>
      </c>
      <c r="E912" s="8">
        <f t="shared" si="336"/>
        <v>-0.57533777553197418</v>
      </c>
      <c r="F912" s="12">
        <f>IF(E912&lt;=PARAMS_MODELO!$B$15,0,IF(E912&gt;=PARAMS_MODELO!$B$17,100,100*MIN(1,(E912-PARAMS_MODELO!$B$15)/(PARAMS_MODELO!$B$16-PARAMS_MODELO!$B$15))))*PARAMS_MODELO!$B$7</f>
        <v>0</v>
      </c>
      <c r="G912" s="5">
        <f t="shared" si="337"/>
        <v>0</v>
      </c>
      <c r="H912" s="5">
        <f>(PARAMS_MODELO!$B$20*(MAX(0,MIN(3,E912))/3)+PARAMS_MODELO!$B$21*(IFERROR(LN(1+MAX(0,G912))/LN(1+MAX(0,MAX($G$2:$G$1194))),0)))*100*PARAMS_MODELO!$B$8</f>
        <v>0</v>
      </c>
      <c r="I912" s="8">
        <f>E912-PARAMS_MODELO!$B$5</f>
        <v>-0.75290061090750071</v>
      </c>
      <c r="J912" s="5">
        <f>IF(I912&lt;=PARAMS_MODELO!$B$18,0,IF(I912&gt;=PARAMS_MODELO!$B$19,100,100*(I912-PARAMS_MODELO!$B$18)/(PARAMS_MODELO!$B$19-PARAMS_MODELO!$B$18)))*PARAMS_MODELO!$B$9</f>
        <v>0</v>
      </c>
      <c r="K912" s="5">
        <f>IFERROR(CHOOSE(MATCH(PARAMS_MODELO!$B$2,{"Q1","Q2","Q3"},0),LOTO!$D912,LOTO!$F912,LOTO!$H912),0)</f>
        <v>1390000</v>
      </c>
      <c r="L912" s="8">
        <f t="shared" si="338"/>
        <v>4.9509600285488738E-2</v>
      </c>
      <c r="M912" s="5">
        <f>MIN(100,IF(PARAMS_MODELO!$B$23=0,0,100*L912/PARAMS_MODELO!$B$23))*PARAMS_MODELO!$B$10</f>
        <v>14.852880085646621</v>
      </c>
      <c r="N912" s="5">
        <f>IFERROR(VLOOKUP(A912,COMPLIANCE!$A$2:$F$1996,6,0),100)</f>
        <v>100</v>
      </c>
      <c r="O912" s="5">
        <f>N912*PARAMS_MODELO!$B$11</f>
        <v>10</v>
      </c>
      <c r="P912" s="5">
        <f>IFERROR(VLOOKUP(A912,DIGITAL!$A$2:$J$2000,7,0),100)</f>
        <v>60</v>
      </c>
      <c r="Q912" s="5">
        <f>IFERROR(P912,0)*PARAMS_MODELO!$B$12</f>
        <v>6</v>
      </c>
      <c r="R912">
        <f t="shared" si="339"/>
        <v>30.852880085646621</v>
      </c>
      <c r="S912" s="5" t="str">
        <f>IFERROR(VLOOKUP(A912,CLIENTE!$A$2:$N$2000,13,0),1)</f>
        <v>Regular</v>
      </c>
      <c r="T912" s="5">
        <f>IFERROR(VLOOKUP(A912,CLIENTE!$A$2:$N$2000,14,0),1)</f>
        <v>1</v>
      </c>
      <c r="U912" s="5">
        <f t="shared" si="340"/>
        <v>30.852880085646621</v>
      </c>
      <c r="V912" s="5" t="str">
        <f>IF(U912&gt;=MAX(_xlfn.PERCENTILE.INC($U$2:$U$1194,PARAMS_MODELO!$B$50),PARAMS_MODELO!$B$45),"DIAMANTE",IF(U912&gt;=MAX(_xlfn.PERCENTILE.INC($U$2:$U$1194,PARAMS_MODELO!$B$51),PARAMS_MODELO!$B$46),"PLATINO",IF(U912&gt;=MAX(_xlfn.PERCENTILE.INC($U$2:$U$1194,PARAMS_MODELO!$B$52),PARAMS_MODELO!$B$47),"ORO",IF(U912&gt;=MAX(_xlfn.PERCENTILE.INC($U$2:$U$1194,PARAMS_MODELO!$B$53),PARAMS_MODELO!$B$48),"PLATA",IF(U912&gt;=1,"BRONCE","CERRADO")))))</f>
        <v>PLATA</v>
      </c>
      <c r="W912" s="5" t="str" cm="1">
        <f t="array" ref="W912">_xlfn.XLOOKUP(1, (HIST_SCORE!$B:$B=PARAMS_MODELO!$B$4) * (HIST_SCORE!$C:$C=A912), HIST_SCORE!$E:$E, "No encontrado")</f>
        <v>ORO</v>
      </c>
      <c r="X912" s="5" t="str">
        <f>_xlfn.LET(_xlpm.act,MATCH(V912,{"DIAMANTE";"PLATINO";"ORO";"PLATA";"BRONCE";"CERRADO"},0),_xlpm.ant,MATCH(W912,{"DIAMANTE";"PLATINO";"ORO";"PLATA";"BRONCE";"CERRADO"},0),IF(_xlpm.act&lt;_xlpm.ant,"Mejora ↑",IF(_xlpm.act&gt;_xlpm.ant,"Baja ↓","Estable →")))</f>
        <v>Baja ↓</v>
      </c>
      <c r="Y912" s="5">
        <f>IFERROR(U912-SUMIFS(HIST_SCORE!$D:$D,HIST_SCORE!$B:$B,PARAMS_MODELO!$B$4,HIST_SCORE!$C:$C,$A912),"")</f>
        <v>-45.701329147016864</v>
      </c>
      <c r="Z912" s="5" t="str">
        <f t="shared" si="341"/>
        <v>↓ Baja</v>
      </c>
      <c r="AA912" s="5">
        <f t="shared" si="342"/>
        <v>847</v>
      </c>
      <c r="AB912" s="5">
        <f>IFERROR(SUMIFS(HIST_SCORE!$F:$F,HIST_SCORE!$B:$B,PARAMS_MODELO!$B$4,HIST_SCORE!$C:$C,$A912),"")</f>
        <v>473</v>
      </c>
      <c r="AC912" s="5">
        <f t="shared" si="343"/>
        <v>-374</v>
      </c>
      <c r="AD912" t="str">
        <f t="shared" si="345"/>
        <v/>
      </c>
      <c r="AE9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912="CERRADO",1,IF(V912="BRONCE",_xlpm.cPl,IF(V912="PLATA",_xlpm.cO,IF(V912="ORO",_xlpm.cP,IF(V912="PLATINO",_xlpm.cD,999))))))</f>
        <v>63.199193273331495</v>
      </c>
      <c r="AF9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912="CERRADO",0,IF(V912="BRONCE",1,IF(V912="PLATA",_xlpm.cPl,IF(V912="ORO",_xlpm.cO,IF(V912="PLATINO",_xlpm.cP,_xlpm.cD))))))</f>
        <v>24.506573482968111</v>
      </c>
      <c r="AG912">
        <f t="shared" si="346"/>
        <v>32.346313187684871</v>
      </c>
      <c r="AH912" t="str">
        <f t="shared" si="347"/>
        <v>VENTAS</v>
      </c>
      <c r="AI912" t="str">
        <f t="shared" si="344"/>
        <v>🎯 Para subir de categoría, eje VENTAS / CRECIMIENTO PERSONAL (F). Acción: metas semanales + activación comercial + seguimiento del asesor. ΔR aprox: 32,3</v>
      </c>
      <c r="AJ912" s="26">
        <f>_xlfn.LET(_xlpm.piso,AF912,_xlpm.corte,AE912,_xlpm.prog,IF(_xlpm.corte&lt;=_xlpm.piso,0,MAX(0,MIN(1,(U912-_xlpm.piso)/(_xlpm.corte-_xlpm.piso)))),_xlpm.orden,{"DIAMANTE";"PLATINO";"ORO";"PLATA";"BRONCE";"CERRADO"},_xlpm.act,IFERROR(MATCH(V912,_xlpm.orden,0),6),_xlpm.ant,IFERROR(MATCH(W912,_xlpm.orden,0),6),_xlpm.ajmov,IF(_xlpm.act&lt;_xlpm.ant,0.08,IF(_xlpm.act&gt;_xlpm.ant,-0.08,0)),_xlpm.ajcli,IF(T912&lt;0.95,-0.06,0),_xlpm.prob,MAX(0,MIN(1,_xlpm.prog+_xlpm.ajmov+_xlpm.ajcli)),IF(OR(V912="DIAMANTE",V912="CERRADO"),0,ROUND(_xlpm.prob,2)))</f>
        <v>0.08</v>
      </c>
      <c r="AK912" t="str">
        <f t="shared" si="348"/>
        <v>Faltan 32,3 puntos base para subir a la siguiente categoría</v>
      </c>
      <c r="AL912" t="str">
        <f t="shared" si="349"/>
        <v>Margen de seguridad: 6,3 puntos</v>
      </c>
      <c r="AM912">
        <f t="shared" si="350"/>
        <v>0.77</v>
      </c>
      <c r="AN912" t="str">
        <f t="shared" si="351"/>
        <v>PRIORIDAD ALTA – requiere intervención inmediata</v>
      </c>
      <c r="AO912">
        <f t="shared" si="352"/>
        <v>64.862569275295584</v>
      </c>
      <c r="AP912">
        <f t="shared" si="353"/>
        <v>0.14711991435337879</v>
      </c>
      <c r="AQ912">
        <f t="shared" si="354"/>
        <v>0</v>
      </c>
      <c r="AR912">
        <f t="shared" si="355"/>
        <v>4</v>
      </c>
      <c r="AS912">
        <f t="shared" si="356"/>
        <v>0</v>
      </c>
      <c r="AT912" t="str">
        <f t="shared" si="357"/>
        <v>VENTAS</v>
      </c>
      <c r="AU912">
        <f t="shared" si="358"/>
        <v>64.862569275295584</v>
      </c>
      <c r="AV912" t="str">
        <f t="shared" si="359"/>
        <v>Mayor retorno probable: VENTAS (+64,9 puntos finales potenciales).</v>
      </c>
    </row>
    <row r="913" spans="1:48" x14ac:dyDescent="0.3">
      <c r="A913" s="5">
        <v>51023277</v>
      </c>
      <c r="B913" s="5" t="str">
        <f>IFERROR(VLOOKUP(A913,VENTAS!$A$2:$B$1194,2,0),"")</f>
        <v>PUGH</v>
      </c>
      <c r="C913" s="5">
        <f>IFERROR(INDEX(VENTAS!$C$2:$E$1194,MATCH(A913,VENTAS!$A$2:$A$1194,0),MATCH(PARAMS_MODELO!$B$2,{"Q1","Q2","Q3"},0)),0)</f>
        <v>34809333.850000001</v>
      </c>
      <c r="D913" s="5">
        <f>IFERROR(INDEX(VENTAS!$F$2:$H$1194,MATCH(A913,VENTAS!$A$2:$A$1194,0),MATCH(PARAMS_MODELO!$B$2,{"Q1","Q2","Q3"},0)),0)</f>
        <v>27581040</v>
      </c>
      <c r="E913" s="8">
        <f t="shared" si="336"/>
        <v>-0.20765389769158138</v>
      </c>
      <c r="F913" s="12">
        <f>IF(E913&lt;=PARAMS_MODELO!$B$15,0,IF(E913&gt;=PARAMS_MODELO!$B$17,100,100*MIN(1,(E913-PARAMS_MODELO!$B$15)/(PARAMS_MODELO!$B$16-PARAMS_MODELO!$B$15))))*PARAMS_MODELO!$B$7</f>
        <v>0</v>
      </c>
      <c r="G913" s="5">
        <f t="shared" si="337"/>
        <v>0</v>
      </c>
      <c r="H913" s="5">
        <f>(PARAMS_MODELO!$B$20*(MAX(0,MIN(3,E913))/3)+PARAMS_MODELO!$B$21*(IFERROR(LN(1+MAX(0,G913))/LN(1+MAX(0,MAX($G$2:$G$1194))),0)))*100*PARAMS_MODELO!$B$8</f>
        <v>0</v>
      </c>
      <c r="I913" s="8">
        <f>E913-PARAMS_MODELO!$B$5</f>
        <v>-0.38521673306710791</v>
      </c>
      <c r="J913" s="5">
        <f>IF(I913&lt;=PARAMS_MODELO!$B$18,0,IF(I913&gt;=PARAMS_MODELO!$B$19,100,100*(I913-PARAMS_MODELO!$B$18)/(PARAMS_MODELO!$B$19-PARAMS_MODELO!$B$18)))*PARAMS_MODELO!$B$9</f>
        <v>0</v>
      </c>
      <c r="K913" s="5">
        <f>IFERROR(CHOOSE(MATCH(PARAMS_MODELO!$B$2,{"Q1","Q2","Q3"},0),LOTO!$D913,LOTO!$F913,LOTO!$H913),0)</f>
        <v>1377500</v>
      </c>
      <c r="L913" s="8">
        <f t="shared" si="338"/>
        <v>4.9943729460527955E-2</v>
      </c>
      <c r="M913" s="5">
        <f>MIN(100,IF(PARAMS_MODELO!$B$23=0,0,100*L913/PARAMS_MODELO!$B$23))*PARAMS_MODELO!$B$10</f>
        <v>14.983118838158386</v>
      </c>
      <c r="N913" s="5">
        <f>IFERROR(VLOOKUP(A913,COMPLIANCE!$A$2:$F$1996,6,0),100)</f>
        <v>99.96</v>
      </c>
      <c r="O913" s="5">
        <f>N913*PARAMS_MODELO!$B$11</f>
        <v>9.9960000000000004</v>
      </c>
      <c r="P913" s="5">
        <f>IFERROR(VLOOKUP(A913,DIGITAL!$A$2:$J$2000,7,0),100)</f>
        <v>43</v>
      </c>
      <c r="Q913" s="5">
        <f>IFERROR(P913,0)*PARAMS_MODELO!$B$12</f>
        <v>4.3</v>
      </c>
      <c r="R913">
        <f t="shared" si="339"/>
        <v>29.279118838158386</v>
      </c>
      <c r="S913" s="5" t="str">
        <f>IFERROR(VLOOKUP(A913,CLIENTE!$A$2:$N$2000,13,0),1)</f>
        <v>Regular</v>
      </c>
      <c r="T913" s="5">
        <f>IFERROR(VLOOKUP(A913,CLIENTE!$A$2:$N$2000,14,0),1)</f>
        <v>1</v>
      </c>
      <c r="U913" s="5">
        <f t="shared" si="340"/>
        <v>29.279118838158386</v>
      </c>
      <c r="V913" s="5" t="str">
        <f>IF(U913&gt;=MAX(_xlfn.PERCENTILE.INC($U$2:$U$1194,PARAMS_MODELO!$B$50),PARAMS_MODELO!$B$45),"DIAMANTE",IF(U913&gt;=MAX(_xlfn.PERCENTILE.INC($U$2:$U$1194,PARAMS_MODELO!$B$51),PARAMS_MODELO!$B$46),"PLATINO",IF(U913&gt;=MAX(_xlfn.PERCENTILE.INC($U$2:$U$1194,PARAMS_MODELO!$B$52),PARAMS_MODELO!$B$47),"ORO",IF(U913&gt;=MAX(_xlfn.PERCENTILE.INC($U$2:$U$1194,PARAMS_MODELO!$B$53),PARAMS_MODELO!$B$48),"PLATA",IF(U913&gt;=1,"BRONCE","CERRADO")))))</f>
        <v>PLATA</v>
      </c>
      <c r="W913" s="5" t="str" cm="1">
        <f t="array" ref="W913">_xlfn.XLOOKUP(1, (HIST_SCORE!$B:$B=PARAMS_MODELO!$B$4) * (HIST_SCORE!$C:$C=A913), HIST_SCORE!$E:$E, "No encontrado")</f>
        <v>ORO</v>
      </c>
      <c r="X913" s="5" t="str">
        <f>_xlfn.LET(_xlpm.act,MATCH(V913,{"DIAMANTE";"PLATINO";"ORO";"PLATA";"BRONCE";"CERRADO"},0),_xlpm.ant,MATCH(W913,{"DIAMANTE";"PLATINO";"ORO";"PLATA";"BRONCE";"CERRADO"},0),IF(_xlpm.act&lt;_xlpm.ant,"Mejora ↑",IF(_xlpm.act&gt;_xlpm.ant,"Baja ↓","Estable →")))</f>
        <v>Baja ↓</v>
      </c>
      <c r="Y913" s="5">
        <f>IFERROR(U913-SUMIFS(HIST_SCORE!$D:$D,HIST_SCORE!$B:$B,PARAMS_MODELO!$B$4,HIST_SCORE!$C:$C,$A913),"")</f>
        <v>-49.339066008405624</v>
      </c>
      <c r="Z913" s="5" t="str">
        <f t="shared" si="341"/>
        <v>↓ Baja</v>
      </c>
      <c r="AA913" s="5">
        <f t="shared" si="342"/>
        <v>875</v>
      </c>
      <c r="AB913" s="5">
        <f>IFERROR(SUMIFS(HIST_SCORE!$F:$F,HIST_SCORE!$B:$B,PARAMS_MODELO!$B$4,HIST_SCORE!$C:$C,$A913),"")</f>
        <v>441</v>
      </c>
      <c r="AC913" s="5">
        <f t="shared" si="343"/>
        <v>-434</v>
      </c>
      <c r="AD913" t="str">
        <f t="shared" si="345"/>
        <v/>
      </c>
      <c r="AE9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913="CERRADO",1,IF(V913="BRONCE",_xlpm.cPl,IF(V913="PLATA",_xlpm.cO,IF(V913="ORO",_xlpm.cP,IF(V913="PLATINO",_xlpm.cD,999))))))</f>
        <v>63.199193273331495</v>
      </c>
      <c r="AF9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913="CERRADO",0,IF(V913="BRONCE",1,IF(V913="PLATA",_xlpm.cPl,IF(V913="ORO",_xlpm.cO,IF(V913="PLATINO",_xlpm.cP,_xlpm.cD))))))</f>
        <v>24.506573482968111</v>
      </c>
      <c r="AG913">
        <f t="shared" si="346"/>
        <v>33.920074435173106</v>
      </c>
      <c r="AH913" t="str">
        <f t="shared" si="347"/>
        <v>VENTAS</v>
      </c>
      <c r="AI913" t="str">
        <f t="shared" si="344"/>
        <v>🎯 Para subir de categoría, eje VENTAS / CRECIMIENTO PERSONAL (F). Acción: metas semanales + activación comercial + seguimiento del asesor. ΔR aprox: 33,9</v>
      </c>
      <c r="AJ913" s="26">
        <f>_xlfn.LET(_xlpm.piso,AF913,_xlpm.corte,AE913,_xlpm.prog,IF(_xlpm.corte&lt;=_xlpm.piso,0,MAX(0,MIN(1,(U913-_xlpm.piso)/(_xlpm.corte-_xlpm.piso)))),_xlpm.orden,{"DIAMANTE";"PLATINO";"ORO";"PLATA";"BRONCE";"CERRADO"},_xlpm.act,IFERROR(MATCH(V913,_xlpm.orden,0),6),_xlpm.ant,IFERROR(MATCH(W913,_xlpm.orden,0),6),_xlpm.ajmov,IF(_xlpm.act&lt;_xlpm.ant,0.08,IF(_xlpm.act&gt;_xlpm.ant,-0.08,0)),_xlpm.ajcli,IF(T913&lt;0.95,-0.06,0),_xlpm.prob,MAX(0,MIN(1,_xlpm.prog+_xlpm.ajmov+_xlpm.ajcli)),IF(OR(V913="DIAMANTE",V913="CERRADO"),0,ROUND(_xlpm.prob,2)))</f>
        <v>0.04</v>
      </c>
      <c r="AK913" t="str">
        <f t="shared" si="348"/>
        <v>Faltan 33,9 puntos base para subir a la siguiente categoría</v>
      </c>
      <c r="AL913" t="str">
        <f t="shared" si="349"/>
        <v>Margen de seguridad: 4,8 puntos</v>
      </c>
      <c r="AM913">
        <f t="shared" si="350"/>
        <v>0.78</v>
      </c>
      <c r="AN913" t="str">
        <f t="shared" si="351"/>
        <v>PRIORIDAD ALTA – requiere intervención inmediata</v>
      </c>
      <c r="AO913">
        <f t="shared" si="352"/>
        <v>64.862569275295584</v>
      </c>
      <c r="AP913">
        <f t="shared" si="353"/>
        <v>1.688116184161359E-2</v>
      </c>
      <c r="AQ913">
        <f t="shared" si="354"/>
        <v>3.9999999999995595E-3</v>
      </c>
      <c r="AR913">
        <f t="shared" si="355"/>
        <v>5.7</v>
      </c>
      <c r="AS913">
        <f t="shared" si="356"/>
        <v>0</v>
      </c>
      <c r="AT913" t="str">
        <f t="shared" si="357"/>
        <v>VENTAS</v>
      </c>
      <c r="AU913">
        <f t="shared" si="358"/>
        <v>64.862569275295584</v>
      </c>
      <c r="AV913" t="str">
        <f t="shared" si="359"/>
        <v>Mayor retorno probable: VENTAS (+64,9 puntos finales potenciales).</v>
      </c>
    </row>
    <row r="914" spans="1:48" x14ac:dyDescent="0.3">
      <c r="A914" s="5">
        <v>51056353</v>
      </c>
      <c r="B914" s="5" t="str">
        <f>IFERROR(VLOOKUP(A914,VENTAS!$A$2:$B$1194,2,0),"")</f>
        <v>BELUZZO</v>
      </c>
      <c r="C914" s="5">
        <f>IFERROR(INDEX(VENTAS!$C$2:$E$1194,MATCH(A914,VENTAS!$A$2:$A$1194,0),MATCH(PARAMS_MODELO!$B$2,{"Q1","Q2","Q3"},0)),0)</f>
        <v>13939862.6</v>
      </c>
      <c r="D914" s="5">
        <f>IFERROR(INDEX(VENTAS!$F$2:$H$1194,MATCH(A914,VENTAS!$A$2:$A$1194,0),MATCH(PARAMS_MODELO!$B$2,{"Q1","Q2","Q3"},0)),0)</f>
        <v>27311390</v>
      </c>
      <c r="E914" s="8">
        <f t="shared" si="336"/>
        <v>0.95922949771398747</v>
      </c>
      <c r="F914" s="12">
        <f>IF(E914&lt;=PARAMS_MODELO!$B$15,0,IF(E914&gt;=PARAMS_MODELO!$B$17,100,100*MIN(1,(E914-PARAMS_MODELO!$B$15)/(PARAMS_MODELO!$B$16-PARAMS_MODELO!$B$15))))*PARAMS_MODELO!$B$7</f>
        <v>35</v>
      </c>
      <c r="G914" s="5">
        <f t="shared" si="337"/>
        <v>13371527.4</v>
      </c>
      <c r="H914" s="5">
        <f>(PARAMS_MODELO!$B$20*(MAX(0,MIN(3,E914))/3)+PARAMS_MODELO!$B$21*(IFERROR(LN(1+MAX(0,G914))/LN(1+MAX(0,MAX($G$2:$G$1194))),0)))*100*PARAMS_MODELO!$B$8</f>
        <v>7.2037171256883532</v>
      </c>
      <c r="I914" s="8">
        <f>E914-PARAMS_MODELO!$B$5</f>
        <v>0.78166666233846094</v>
      </c>
      <c r="J914" s="5">
        <f>IF(I914&lt;=PARAMS_MODELO!$B$18,0,IF(I914&gt;=PARAMS_MODELO!$B$19,100,100*(I914-PARAMS_MODELO!$B$18)/(PARAMS_MODELO!$B$19-PARAMS_MODELO!$B$18)))*PARAMS_MODELO!$B$9</f>
        <v>15</v>
      </c>
      <c r="K914" s="5">
        <f>IFERROR(CHOOSE(MATCH(PARAMS_MODELO!$B$2,{"Q1","Q2","Q3"},0),LOTO!$D914,LOTO!$F914,LOTO!$H914),0)</f>
        <v>1372500</v>
      </c>
      <c r="L914" s="8">
        <f t="shared" si="338"/>
        <v>5.0253758596688049E-2</v>
      </c>
      <c r="M914" s="5">
        <f>MIN(100,IF(PARAMS_MODELO!$B$23=0,0,100*L914/PARAMS_MODELO!$B$23))*PARAMS_MODELO!$B$10</f>
        <v>15</v>
      </c>
      <c r="N914" s="5">
        <f>IFERROR(VLOOKUP(A914,COMPLIANCE!$A$2:$F$1996,6,0),100)</f>
        <v>99.98</v>
      </c>
      <c r="O914" s="5">
        <f>N914*PARAMS_MODELO!$B$11</f>
        <v>9.9980000000000011</v>
      </c>
      <c r="P914" s="5">
        <f>IFERROR(VLOOKUP(A914,DIGITAL!$A$2:$J$2000,7,0),100)</f>
        <v>46</v>
      </c>
      <c r="Q914" s="5">
        <f>IFERROR(P914,0)*PARAMS_MODELO!$B$12</f>
        <v>4.6000000000000005</v>
      </c>
      <c r="R914">
        <f t="shared" si="339"/>
        <v>86.801717125688356</v>
      </c>
      <c r="S914" s="5" t="str">
        <f>IFERROR(VLOOKUP(A914,CLIENTE!$A$2:$N$2000,13,0),1)</f>
        <v>Regular</v>
      </c>
      <c r="T914" s="5">
        <f>IFERROR(VLOOKUP(A914,CLIENTE!$A$2:$N$2000,14,0),1)</f>
        <v>1</v>
      </c>
      <c r="U914" s="5">
        <f t="shared" si="340"/>
        <v>86.801717125688356</v>
      </c>
      <c r="V914" s="5" t="str">
        <f>IF(U914&gt;=MAX(_xlfn.PERCENTILE.INC($U$2:$U$1194,PARAMS_MODELO!$B$50),PARAMS_MODELO!$B$45),"DIAMANTE",IF(U914&gt;=MAX(_xlfn.PERCENTILE.INC($U$2:$U$1194,PARAMS_MODELO!$B$51),PARAMS_MODELO!$B$46),"PLATINO",IF(U914&gt;=MAX(_xlfn.PERCENTILE.INC($U$2:$U$1194,PARAMS_MODELO!$B$52),PARAMS_MODELO!$B$47),"ORO",IF(U914&gt;=MAX(_xlfn.PERCENTILE.INC($U$2:$U$1194,PARAMS_MODELO!$B$53),PARAMS_MODELO!$B$48),"PLATA",IF(U914&gt;=1,"BRONCE","CERRADO")))))</f>
        <v>PLATINO</v>
      </c>
      <c r="W914" s="5" t="str" cm="1">
        <f t="array" ref="W914">_xlfn.XLOOKUP(1, (HIST_SCORE!$B:$B=PARAMS_MODELO!$B$4) * (HIST_SCORE!$C:$C=A914), HIST_SCORE!$E:$E, "No encontrado")</f>
        <v>PLATINO</v>
      </c>
      <c r="X914" s="5" t="str">
        <f>_xlfn.LET(_xlpm.act,MATCH(V914,{"DIAMANTE";"PLATINO";"ORO";"PLATA";"BRONCE";"CERRADO"},0),_xlpm.ant,MATCH(W914,{"DIAMANTE";"PLATINO";"ORO";"PLATA";"BRONCE";"CERRADO"},0),IF(_xlpm.act&lt;_xlpm.ant,"Mejora ↑",IF(_xlpm.act&gt;_xlpm.ant,"Baja ↓","Estable →")))</f>
        <v>Estable →</v>
      </c>
      <c r="Y914" s="5">
        <f>IFERROR(U914-SUMIFS(HIST_SCORE!$D:$D,HIST_SCORE!$B:$B,PARAMS_MODELO!$B$4,HIST_SCORE!$C:$C,$A914),"")</f>
        <v>-0.90334802829842431</v>
      </c>
      <c r="Z914" s="5" t="str">
        <f t="shared" si="341"/>
        <v>→ Estable</v>
      </c>
      <c r="AA914" s="5">
        <f t="shared" si="342"/>
        <v>230</v>
      </c>
      <c r="AB914" s="5">
        <f>IFERROR(SUMIFS(HIST_SCORE!$F:$F,HIST_SCORE!$B:$B,PARAMS_MODELO!$B$4,HIST_SCORE!$C:$C,$A914),"")</f>
        <v>191</v>
      </c>
      <c r="AC914" s="5">
        <f t="shared" si="343"/>
        <v>-39</v>
      </c>
      <c r="AD914" t="str">
        <f t="shared" si="345"/>
        <v/>
      </c>
      <c r="AE9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914="CERRADO",1,IF(V914="BRONCE",_xlpm.cPl,IF(V914="PLATA",_xlpm.cO,IF(V914="ORO",_xlpm.cP,IF(V914="PLATINO",_xlpm.cD,999))))))</f>
        <v>96.054919694466676</v>
      </c>
      <c r="AF9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914="CERRADO",0,IF(V914="BRONCE",1,IF(V914="PLATA",_xlpm.cPl,IF(V914="ORO",_xlpm.cO,IF(V914="PLATINO",_xlpm.cP,_xlpm.cD))))))</f>
        <v>86.439123873763251</v>
      </c>
      <c r="AG914">
        <f t="shared" si="346"/>
        <v>9.2532025687783204</v>
      </c>
      <c r="AH914" t="str">
        <f t="shared" si="347"/>
        <v>VENTAS</v>
      </c>
      <c r="AI914" t="str">
        <f t="shared" si="344"/>
        <v>🎯 Para subir de categoría, eje VENTAS / IMPACTO ABSOLUTO (H). Acción: metas semanales + activación comercial + seguimiento del asesor. ΔR aprox: 9,3</v>
      </c>
      <c r="AJ914" s="26">
        <f>_xlfn.LET(_xlpm.piso,AF914,_xlpm.corte,AE914,_xlpm.prog,IF(_xlpm.corte&lt;=_xlpm.piso,0,MAX(0,MIN(1,(U914-_xlpm.piso)/(_xlpm.corte-_xlpm.piso)))),_xlpm.orden,{"DIAMANTE";"PLATINO";"ORO";"PLATA";"BRONCE";"CERRADO"},_xlpm.act,IFERROR(MATCH(V914,_xlpm.orden,0),6),_xlpm.ant,IFERROR(MATCH(W914,_xlpm.orden,0),6),_xlpm.ajmov,IF(_xlpm.act&lt;_xlpm.ant,0.08,IF(_xlpm.act&gt;_xlpm.ant,-0.08,0)),_xlpm.ajcli,IF(T914&lt;0.95,-0.06,0),_xlpm.prob,MAX(0,MIN(1,_xlpm.prog+_xlpm.ajmov+_xlpm.ajcli)),IF(OR(V914="DIAMANTE",V914="CERRADO"),0,ROUND(_xlpm.prob,2)))</f>
        <v>0.04</v>
      </c>
      <c r="AK914" t="str">
        <f t="shared" si="348"/>
        <v>Faltan 9,3 puntos base para subir a la siguiente categoría</v>
      </c>
      <c r="AL914" t="str">
        <f t="shared" si="349"/>
        <v>Margen de seguridad: 0,4 puntos</v>
      </c>
      <c r="AM914">
        <f t="shared" si="350"/>
        <v>0.75</v>
      </c>
      <c r="AN914" t="str">
        <f t="shared" si="351"/>
        <v>PRIORIDAD ALTA – requiere intervención inmediata</v>
      </c>
      <c r="AO914">
        <f t="shared" si="352"/>
        <v>7.6588521496072275</v>
      </c>
      <c r="AP914">
        <f t="shared" si="353"/>
        <v>0</v>
      </c>
      <c r="AQ914">
        <f t="shared" si="354"/>
        <v>1.9999999999988916E-3</v>
      </c>
      <c r="AR914">
        <f t="shared" si="355"/>
        <v>5.3999999999999995</v>
      </c>
      <c r="AS914">
        <f t="shared" si="356"/>
        <v>0</v>
      </c>
      <c r="AT914" t="str">
        <f t="shared" si="357"/>
        <v>VENTAS</v>
      </c>
      <c r="AU914">
        <f t="shared" si="358"/>
        <v>7.6588521496072275</v>
      </c>
      <c r="AV914" t="str">
        <f t="shared" si="359"/>
        <v>Mayor retorno probable: VENTAS (+7,7 puntos finales potenciales).</v>
      </c>
    </row>
    <row r="915" spans="1:48" x14ac:dyDescent="0.3">
      <c r="A915" s="5">
        <v>51001419</v>
      </c>
      <c r="B915" s="5" t="str">
        <f>IFERROR(VLOOKUP(A915,VENTAS!$A$2:$B$1194,2,0),"")</f>
        <v>METTLER</v>
      </c>
      <c r="C915" s="5">
        <f>IFERROR(INDEX(VENTAS!$C$2:$E$1194,MATCH(A915,VENTAS!$A$2:$A$1194,0),MATCH(PARAMS_MODELO!$B$2,{"Q1","Q2","Q3"},0)),0)</f>
        <v>20173434.050000001</v>
      </c>
      <c r="D915" s="5">
        <f>IFERROR(INDEX(VENTAS!$F$2:$H$1194,MATCH(A915,VENTAS!$A$2:$A$1194,0),MATCH(PARAMS_MODELO!$B$2,{"Q1","Q2","Q3"},0)),0)</f>
        <v>27291545</v>
      </c>
      <c r="E915" s="8">
        <f t="shared" si="336"/>
        <v>0.35284577392018179</v>
      </c>
      <c r="F915" s="12">
        <f>IF(E915&lt;=PARAMS_MODELO!$B$15,0,IF(E915&gt;=PARAMS_MODELO!$B$17,100,100*MIN(1,(E915-PARAMS_MODELO!$B$15)/(PARAMS_MODELO!$B$16-PARAMS_MODELO!$B$15))))*PARAMS_MODELO!$B$7</f>
        <v>35</v>
      </c>
      <c r="G915" s="5">
        <f t="shared" si="337"/>
        <v>7118110.9499999993</v>
      </c>
      <c r="H915" s="5">
        <f>(PARAMS_MODELO!$B$20*(MAX(0,MIN(3,E915))/3)+PARAMS_MODELO!$B$21*(IFERROR(LN(1+MAX(0,G915))/LN(1+MAX(0,MAX($G$2:$G$1194))),0)))*100*PARAMS_MODELO!$B$8</f>
        <v>4.9335795629146419</v>
      </c>
      <c r="I915" s="8">
        <f>E915-PARAMS_MODELO!$B$5</f>
        <v>0.17528293854465526</v>
      </c>
      <c r="J915" s="5">
        <f>IF(I915&lt;=PARAMS_MODELO!$B$18,0,IF(I915&gt;=PARAMS_MODELO!$B$19,100,100*(I915-PARAMS_MODELO!$B$18)/(PARAMS_MODELO!$B$19-PARAMS_MODELO!$B$18)))*PARAMS_MODELO!$B$9</f>
        <v>15</v>
      </c>
      <c r="K915" s="5">
        <f>IFERROR(CHOOSE(MATCH(PARAMS_MODELO!$B$2,{"Q1","Q2","Q3"},0),LOTO!$D915,LOTO!$F915,LOTO!$H915),0)</f>
        <v>1345000</v>
      </c>
      <c r="L915" s="8">
        <f t="shared" si="338"/>
        <v>4.9282662450953217E-2</v>
      </c>
      <c r="M915" s="5">
        <f>MIN(100,IF(PARAMS_MODELO!$B$23=0,0,100*L915/PARAMS_MODELO!$B$23))*PARAMS_MODELO!$B$10</f>
        <v>14.784798735285962</v>
      </c>
      <c r="N915" s="5">
        <f>IFERROR(VLOOKUP(A915,COMPLIANCE!$A$2:$F$1996,6,0),100)</f>
        <v>100</v>
      </c>
      <c r="O915" s="5">
        <f>N915*PARAMS_MODELO!$B$11</f>
        <v>10</v>
      </c>
      <c r="P915" s="5">
        <f>IFERROR(VLOOKUP(A915,DIGITAL!$A$2:$J$2000,7,0),100)</f>
        <v>1</v>
      </c>
      <c r="Q915" s="5">
        <f>IFERROR(P915,0)*PARAMS_MODELO!$B$12</f>
        <v>0.1</v>
      </c>
      <c r="R915">
        <f t="shared" si="339"/>
        <v>79.818378298200599</v>
      </c>
      <c r="S915" s="5" t="str">
        <f>IFERROR(VLOOKUP(A915,CLIENTE!$A$2:$N$2000,13,0),1)</f>
        <v>Malo</v>
      </c>
      <c r="T915" s="5">
        <f>IFERROR(VLOOKUP(A915,CLIENTE!$A$2:$N$2000,14,0),1)</f>
        <v>0.7</v>
      </c>
      <c r="U915" s="5">
        <f t="shared" si="340"/>
        <v>55.872864808740417</v>
      </c>
      <c r="V915" s="5" t="str">
        <f>IF(U915&gt;=MAX(_xlfn.PERCENTILE.INC($U$2:$U$1194,PARAMS_MODELO!$B$50),PARAMS_MODELO!$B$45),"DIAMANTE",IF(U915&gt;=MAX(_xlfn.PERCENTILE.INC($U$2:$U$1194,PARAMS_MODELO!$B$51),PARAMS_MODELO!$B$46),"PLATINO",IF(U915&gt;=MAX(_xlfn.PERCENTILE.INC($U$2:$U$1194,PARAMS_MODELO!$B$52),PARAMS_MODELO!$B$47),"ORO",IF(U915&gt;=MAX(_xlfn.PERCENTILE.INC($U$2:$U$1194,PARAMS_MODELO!$B$53),PARAMS_MODELO!$B$48),"PLATA",IF(U915&gt;=1,"BRONCE","CERRADO")))))</f>
        <v>PLATA</v>
      </c>
      <c r="W915" s="5" t="str" cm="1">
        <f t="array" ref="W915">_xlfn.XLOOKUP(1, (HIST_SCORE!$B:$B=PARAMS_MODELO!$B$4) * (HIST_SCORE!$C:$C=A915), HIST_SCORE!$E:$E, "No encontrado")</f>
        <v>PLATA</v>
      </c>
      <c r="X915" s="5" t="str">
        <f>_xlfn.LET(_xlpm.act,MATCH(V915,{"DIAMANTE";"PLATINO";"ORO";"PLATA";"BRONCE";"CERRADO"},0),_xlpm.ant,MATCH(W915,{"DIAMANTE";"PLATINO";"ORO";"PLATA";"BRONCE";"CERRADO"},0),IF(_xlpm.act&lt;_xlpm.ant,"Mejora ↑",IF(_xlpm.act&gt;_xlpm.ant,"Baja ↓","Estable →")))</f>
        <v>Estable →</v>
      </c>
      <c r="Y915" s="5">
        <f>IFERROR(U915-SUMIFS(HIST_SCORE!$D:$D,HIST_SCORE!$B:$B,PARAMS_MODELO!$B$4,HIST_SCORE!$C:$C,$A915),"")</f>
        <v>1.2636841097796108</v>
      </c>
      <c r="Z915" s="5" t="str">
        <f t="shared" si="341"/>
        <v>→ Estable</v>
      </c>
      <c r="AA915" s="5">
        <f t="shared" si="342"/>
        <v>705</v>
      </c>
      <c r="AB915" s="5">
        <f>IFERROR(SUMIFS(HIST_SCORE!$F:$F,HIST_SCORE!$B:$B,PARAMS_MODELO!$B$4,HIST_SCORE!$C:$C,$A915),"")</f>
        <v>740</v>
      </c>
      <c r="AC915" s="5">
        <f t="shared" si="343"/>
        <v>35</v>
      </c>
      <c r="AD915" t="str">
        <f t="shared" si="345"/>
        <v/>
      </c>
      <c r="AE9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915="CERRADO",1,IF(V915="BRONCE",_xlpm.cPl,IF(V915="PLATA",_xlpm.cO,IF(V915="ORO",_xlpm.cP,IF(V915="PLATINO",_xlpm.cD,999))))))</f>
        <v>63.199193273331495</v>
      </c>
      <c r="AF9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915="CERRADO",0,IF(V915="BRONCE",1,IF(V915="PLATA",_xlpm.cPl,IF(V915="ORO",_xlpm.cO,IF(V915="PLATINO",_xlpm.cP,_xlpm.cD))))))</f>
        <v>24.506573482968111</v>
      </c>
      <c r="AG915">
        <f t="shared" si="346"/>
        <v>10.466183520844396</v>
      </c>
      <c r="AH915" t="str">
        <f t="shared" si="347"/>
        <v>CLIENTE</v>
      </c>
      <c r="AI915" t="str">
        <f t="shared" si="344"/>
        <v>🎯 Para subir de categoría, la eje con mayor impacto probable es CLIENTE (coef T). Acción: reducir quejas, mejorar incógnito y empujar reseñas. ΔR aprox: 10,5</v>
      </c>
      <c r="AJ915" s="26">
        <f>_xlfn.LET(_xlpm.piso,AF915,_xlpm.corte,AE915,_xlpm.prog,IF(_xlpm.corte&lt;=_xlpm.piso,0,MAX(0,MIN(1,(U915-_xlpm.piso)/(_xlpm.corte-_xlpm.piso)))),_xlpm.orden,{"DIAMANTE";"PLATINO";"ORO";"PLATA";"BRONCE";"CERRADO"},_xlpm.act,IFERROR(MATCH(V915,_xlpm.orden,0),6),_xlpm.ant,IFERROR(MATCH(W915,_xlpm.orden,0),6),_xlpm.ajmov,IF(_xlpm.act&lt;_xlpm.ant,0.08,IF(_xlpm.act&gt;_xlpm.ant,-0.08,0)),_xlpm.ajcli,IF(T915&lt;0.95,-0.06,0),_xlpm.prob,MAX(0,MIN(1,_xlpm.prog+_xlpm.ajmov+_xlpm.ajcli)),IF(OR(V915="DIAMANTE",V915="CERRADO"),0,ROUND(_xlpm.prob,2)))</f>
        <v>0.75</v>
      </c>
      <c r="AK915" t="str">
        <f t="shared" si="348"/>
        <v>Faltan 10,5 puntos base para subir a la siguiente categoría</v>
      </c>
      <c r="AL915" t="str">
        <f t="shared" si="349"/>
        <v>Margen de seguridad: 31,4 puntos</v>
      </c>
      <c r="AM915">
        <f t="shared" si="350"/>
        <v>0.7</v>
      </c>
      <c r="AN915" t="str">
        <f t="shared" si="351"/>
        <v>PRIORIDAD ALTA – requiere intervención inmediata</v>
      </c>
      <c r="AO915">
        <f t="shared" si="352"/>
        <v>6.9502927986666574</v>
      </c>
      <c r="AP915">
        <f t="shared" si="353"/>
        <v>0.15064088529982644</v>
      </c>
      <c r="AQ915">
        <f t="shared" si="354"/>
        <v>0</v>
      </c>
      <c r="AR915">
        <f t="shared" si="355"/>
        <v>6.93</v>
      </c>
      <c r="AS915">
        <f t="shared" si="356"/>
        <v>23.945513489460183</v>
      </c>
      <c r="AT915" t="str">
        <f t="shared" si="357"/>
        <v>CLIENTE</v>
      </c>
      <c r="AU915">
        <f t="shared" si="358"/>
        <v>23.945513489460183</v>
      </c>
      <c r="AV915" t="str">
        <f t="shared" si="359"/>
        <v>Mayor retorno probable: CLIENTE (+23,9 puntos finales potenciales).</v>
      </c>
    </row>
    <row r="916" spans="1:48" x14ac:dyDescent="0.3">
      <c r="A916" s="5">
        <v>51018001</v>
      </c>
      <c r="B916" s="5" t="str">
        <f>IFERROR(VLOOKUP(A916,VENTAS!$A$2:$B$1194,2,0),"")</f>
        <v>ARGUELLO</v>
      </c>
      <c r="C916" s="5">
        <f>IFERROR(INDEX(VENTAS!$C$2:$E$1194,MATCH(A916,VENTAS!$A$2:$A$1194,0),MATCH(PARAMS_MODELO!$B$2,{"Q1","Q2","Q3"},0)),0)</f>
        <v>30787176.699999999</v>
      </c>
      <c r="D916" s="5">
        <f>IFERROR(INDEX(VENTAS!$F$2:$H$1194,MATCH(A916,VENTAS!$A$2:$A$1194,0),MATCH(PARAMS_MODELO!$B$2,{"Q1","Q2","Q3"},0)),0)</f>
        <v>27044814</v>
      </c>
      <c r="E916" s="8">
        <f t="shared" si="336"/>
        <v>-0.12155589115776244</v>
      </c>
      <c r="F916" s="12">
        <f>IF(E916&lt;=PARAMS_MODELO!$B$15,0,IF(E916&gt;=PARAMS_MODELO!$B$17,100,100*MIN(1,(E916-PARAMS_MODELO!$B$15)/(PARAMS_MODELO!$B$16-PARAMS_MODELO!$B$15))))*PARAMS_MODELO!$B$7</f>
        <v>0</v>
      </c>
      <c r="G916" s="5">
        <f t="shared" si="337"/>
        <v>0</v>
      </c>
      <c r="H916" s="5">
        <f>(PARAMS_MODELO!$B$20*(MAX(0,MIN(3,E916))/3)+PARAMS_MODELO!$B$21*(IFERROR(LN(1+MAX(0,G916))/LN(1+MAX(0,MAX($G$2:$G$1194))),0)))*100*PARAMS_MODELO!$B$8</f>
        <v>0</v>
      </c>
      <c r="I916" s="8">
        <f>E916-PARAMS_MODELO!$B$5</f>
        <v>-0.29911872653328897</v>
      </c>
      <c r="J916" s="5">
        <f>IF(I916&lt;=PARAMS_MODELO!$B$18,0,IF(I916&gt;=PARAMS_MODELO!$B$19,100,100*(I916-PARAMS_MODELO!$B$18)/(PARAMS_MODELO!$B$19-PARAMS_MODELO!$B$18)))*PARAMS_MODELO!$B$9</f>
        <v>0</v>
      </c>
      <c r="K916" s="5">
        <f>IFERROR(CHOOSE(MATCH(PARAMS_MODELO!$B$2,{"Q1","Q2","Q3"},0),LOTO!$D916,LOTO!$F916,LOTO!$H916),0)</f>
        <v>1335000</v>
      </c>
      <c r="L916" s="8">
        <f t="shared" si="338"/>
        <v>4.9362513641247448E-2</v>
      </c>
      <c r="M916" s="5">
        <f>MIN(100,IF(PARAMS_MODELO!$B$23=0,0,100*L916/PARAMS_MODELO!$B$23))*PARAMS_MODELO!$B$10</f>
        <v>14.808754092374233</v>
      </c>
      <c r="N916" s="5">
        <f>IFERROR(VLOOKUP(A916,COMPLIANCE!$A$2:$F$1996,6,0),100)</f>
        <v>97.93</v>
      </c>
      <c r="O916" s="5">
        <f>N916*PARAMS_MODELO!$B$11</f>
        <v>9.793000000000001</v>
      </c>
      <c r="P916" s="5">
        <f>IFERROR(VLOOKUP(A916,DIGITAL!$A$2:$J$2000,7,0),100)</f>
        <v>61</v>
      </c>
      <c r="Q916" s="5">
        <f>IFERROR(P916,0)*PARAMS_MODELO!$B$12</f>
        <v>6.1000000000000005</v>
      </c>
      <c r="R916">
        <f t="shared" si="339"/>
        <v>30.701754092374237</v>
      </c>
      <c r="S916" s="5" t="str">
        <f>IFERROR(VLOOKUP(A916,CLIENTE!$A$2:$N$2000,13,0),1)</f>
        <v>Malo</v>
      </c>
      <c r="T916" s="5">
        <f>IFERROR(VLOOKUP(A916,CLIENTE!$A$2:$N$2000,14,0),1)</f>
        <v>0.7</v>
      </c>
      <c r="U916" s="5">
        <f t="shared" si="340"/>
        <v>21.491227864661965</v>
      </c>
      <c r="V916" s="5" t="str">
        <f>IF(U916&gt;=MAX(_xlfn.PERCENTILE.INC($U$2:$U$1194,PARAMS_MODELO!$B$50),PARAMS_MODELO!$B$45),"DIAMANTE",IF(U916&gt;=MAX(_xlfn.PERCENTILE.INC($U$2:$U$1194,PARAMS_MODELO!$B$51),PARAMS_MODELO!$B$46),"PLATINO",IF(U916&gt;=MAX(_xlfn.PERCENTILE.INC($U$2:$U$1194,PARAMS_MODELO!$B$52),PARAMS_MODELO!$B$47),"ORO",IF(U916&gt;=MAX(_xlfn.PERCENTILE.INC($U$2:$U$1194,PARAMS_MODELO!$B$53),PARAMS_MODELO!$B$48),"PLATA",IF(U916&gt;=1,"BRONCE","CERRADO")))))</f>
        <v>BRONCE</v>
      </c>
      <c r="W916" s="5" t="str" cm="1">
        <f t="array" ref="W916">_xlfn.XLOOKUP(1, (HIST_SCORE!$B:$B=PARAMS_MODELO!$B$4) * (HIST_SCORE!$C:$C=A916), HIST_SCORE!$E:$E, "No encontrado")</f>
        <v>BRONCE</v>
      </c>
      <c r="X916" s="5" t="str">
        <f>_xlfn.LET(_xlpm.act,MATCH(V916,{"DIAMANTE";"PLATINO";"ORO";"PLATA";"BRONCE";"CERRADO"},0),_xlpm.ant,MATCH(W916,{"DIAMANTE";"PLATINO";"ORO";"PLATA";"BRONCE";"CERRADO"},0),IF(_xlpm.act&lt;_xlpm.ant,"Mejora ↑",IF(_xlpm.act&gt;_xlpm.ant,"Baja ↓","Estable →")))</f>
        <v>Estable →</v>
      </c>
      <c r="Y916" s="5">
        <f>IFERROR(U916-SUMIFS(HIST_SCORE!$D:$D,HIST_SCORE!$B:$B,PARAMS_MODELO!$B$4,HIST_SCORE!$C:$C,$A916),"")</f>
        <v>-0.13387213533803433</v>
      </c>
      <c r="Z916" s="5" t="str">
        <f t="shared" si="341"/>
        <v>→ Estable</v>
      </c>
      <c r="AA916" s="5">
        <f t="shared" si="342"/>
        <v>956</v>
      </c>
      <c r="AB916" s="5">
        <f>IFERROR(SUMIFS(HIST_SCORE!$F:$F,HIST_SCORE!$B:$B,PARAMS_MODELO!$B$4,HIST_SCORE!$C:$C,$A916),"")</f>
        <v>974</v>
      </c>
      <c r="AC916" s="5">
        <f t="shared" si="343"/>
        <v>18</v>
      </c>
      <c r="AD916" t="str">
        <f t="shared" si="345"/>
        <v>Plan de recuperación: foco crecimiento + mix</v>
      </c>
      <c r="AE9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916="CERRADO",1,IF(V916="BRONCE",_xlpm.cPl,IF(V916="PLATA",_xlpm.cO,IF(V916="ORO",_xlpm.cP,IF(V916="PLATINO",_xlpm.cD,999))))))</f>
        <v>24.506573482968111</v>
      </c>
      <c r="AF9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916="CERRADO",0,IF(V916="BRONCE",1,IF(V916="PLATA",_xlpm.cPl,IF(V916="ORO",_xlpm.cO,IF(V916="PLATINO",_xlpm.cP,_xlpm.cD))))))</f>
        <v>1</v>
      </c>
      <c r="AG916">
        <f t="shared" si="346"/>
        <v>4.3076365975802062</v>
      </c>
      <c r="AH916" t="str">
        <f t="shared" si="347"/>
        <v>CLIENTE</v>
      </c>
      <c r="AI916" t="str">
        <f t="shared" si="344"/>
        <v>🎯 Para subir de categoría, la eje con mayor impacto probable es CLIENTE (coef T). Acción: reducir quejas, mejorar incógnito y empujar reseñas. ΔR aprox: 4,3</v>
      </c>
      <c r="AJ916" s="26">
        <f>_xlfn.LET(_xlpm.piso,AF916,_xlpm.corte,AE916,_xlpm.prog,IF(_xlpm.corte&lt;=_xlpm.piso,0,MAX(0,MIN(1,(U916-_xlpm.piso)/(_xlpm.corte-_xlpm.piso)))),_xlpm.orden,{"DIAMANTE";"PLATINO";"ORO";"PLATA";"BRONCE";"CERRADO"},_xlpm.act,IFERROR(MATCH(V916,_xlpm.orden,0),6),_xlpm.ant,IFERROR(MATCH(W916,_xlpm.orden,0),6),_xlpm.ajmov,IF(_xlpm.act&lt;_xlpm.ant,0.08,IF(_xlpm.act&gt;_xlpm.ant,-0.08,0)),_xlpm.ajcli,IF(T916&lt;0.95,-0.06,0),_xlpm.prob,MAX(0,MIN(1,_xlpm.prog+_xlpm.ajmov+_xlpm.ajcli)),IF(OR(V916="DIAMANTE",V916="CERRADO"),0,ROUND(_xlpm.prob,2)))</f>
        <v>0.81</v>
      </c>
      <c r="AK916" t="str">
        <f t="shared" si="348"/>
        <v>Faltan 4,3 puntos base para subir a la siguiente categoría</v>
      </c>
      <c r="AL916" t="str">
        <f t="shared" si="349"/>
        <v>No aplica</v>
      </c>
      <c r="AM916">
        <f t="shared" si="350"/>
        <v>0.45</v>
      </c>
      <c r="AN916" t="str">
        <f t="shared" si="351"/>
        <v>PRIORIDAD MEDIA – seguimiento del asesor</v>
      </c>
      <c r="AO916">
        <f t="shared" si="352"/>
        <v>45.403798492706905</v>
      </c>
      <c r="AP916">
        <f t="shared" si="353"/>
        <v>0.1338721353380368</v>
      </c>
      <c r="AQ916">
        <f t="shared" si="354"/>
        <v>0.14489999999999925</v>
      </c>
      <c r="AR916">
        <f t="shared" si="355"/>
        <v>2.7299999999999995</v>
      </c>
      <c r="AS916">
        <f t="shared" si="356"/>
        <v>9.2105262277122719</v>
      </c>
      <c r="AT916" t="str">
        <f t="shared" si="357"/>
        <v>VENTAS</v>
      </c>
      <c r="AU916">
        <f t="shared" si="358"/>
        <v>45.403798492706905</v>
      </c>
      <c r="AV916" t="str">
        <f t="shared" si="359"/>
        <v>Mayor retorno probable: VENTAS (+45,4 puntos finales potenciales).</v>
      </c>
    </row>
    <row r="917" spans="1:48" x14ac:dyDescent="0.3">
      <c r="A917" s="5">
        <v>51020707</v>
      </c>
      <c r="B917" s="5" t="str">
        <f>IFERROR(VLOOKUP(A917,VENTAS!$A$2:$B$1194,2,0),"")</f>
        <v>ARGUELLO</v>
      </c>
      <c r="C917" s="5">
        <f>IFERROR(INDEX(VENTAS!$C$2:$E$1194,MATCH(A917,VENTAS!$A$2:$A$1194,0),MATCH(PARAMS_MODELO!$B$2,{"Q1","Q2","Q3"},0)),0)</f>
        <v>22763333.100000001</v>
      </c>
      <c r="D917" s="5">
        <f>IFERROR(INDEX(VENTAS!$F$2:$H$1194,MATCH(A917,VENTAS!$A$2:$A$1194,0),MATCH(PARAMS_MODELO!$B$2,{"Q1","Q2","Q3"},0)),0)</f>
        <v>26645401</v>
      </c>
      <c r="E917" s="8">
        <f t="shared" si="336"/>
        <v>0.17054039858512637</v>
      </c>
      <c r="F917" s="12">
        <f>IF(E917&lt;=PARAMS_MODELO!$B$15,0,IF(E917&gt;=PARAMS_MODELO!$B$17,100,100*MIN(1,(E917-PARAMS_MODELO!$B$15)/(PARAMS_MODELO!$B$16-PARAMS_MODELO!$B$15))))*PARAMS_MODELO!$B$7</f>
        <v>35</v>
      </c>
      <c r="G917" s="5">
        <f t="shared" si="337"/>
        <v>3882067.8999999985</v>
      </c>
      <c r="H917" s="5">
        <f>(PARAMS_MODELO!$B$20*(MAX(0,MIN(3,E917))/3)+PARAMS_MODELO!$B$21*(IFERROR(LN(1+MAX(0,G917))/LN(1+MAX(0,MAX($G$2:$G$1194))),0)))*100*PARAMS_MODELO!$B$8</f>
        <v>4.1533915936431036</v>
      </c>
      <c r="I917" s="8">
        <f>E917-PARAMS_MODELO!$B$5</f>
        <v>-7.022436790400155E-3</v>
      </c>
      <c r="J917" s="5">
        <f>IF(I917&lt;=PARAMS_MODELO!$B$18,0,IF(I917&gt;=PARAMS_MODELO!$B$19,100,100*(I917-PARAMS_MODELO!$B$18)/(PARAMS_MODELO!$B$19-PARAMS_MODELO!$B$18)))*PARAMS_MODELO!$B$9</f>
        <v>6.4466344814399763</v>
      </c>
      <c r="K917" s="5">
        <f>IFERROR(CHOOSE(MATCH(PARAMS_MODELO!$B$2,{"Q1","Q2","Q3"},0),LOTO!$D917,LOTO!$F917,LOTO!$H917),0)</f>
        <v>1332500</v>
      </c>
      <c r="L917" s="8">
        <f t="shared" si="338"/>
        <v>5.0008630007107042E-2</v>
      </c>
      <c r="M917" s="5">
        <f>MIN(100,IF(PARAMS_MODELO!$B$23=0,0,100*L917/PARAMS_MODELO!$B$23))*PARAMS_MODELO!$B$10</f>
        <v>15</v>
      </c>
      <c r="N917" s="5">
        <f>IFERROR(VLOOKUP(A917,COMPLIANCE!$A$2:$F$1996,6,0),100)</f>
        <v>99.98</v>
      </c>
      <c r="O917" s="5">
        <f>N917*PARAMS_MODELO!$B$11</f>
        <v>9.9980000000000011</v>
      </c>
      <c r="P917" s="5">
        <f>IFERROR(VLOOKUP(A917,DIGITAL!$A$2:$J$2000,7,0),100)</f>
        <v>93</v>
      </c>
      <c r="Q917" s="5">
        <f>IFERROR(P917,0)*PARAMS_MODELO!$B$12</f>
        <v>9.3000000000000007</v>
      </c>
      <c r="R917">
        <f t="shared" si="339"/>
        <v>79.898026075083081</v>
      </c>
      <c r="S917" s="5" t="str">
        <f>IFERROR(VLOOKUP(A917,CLIENTE!$A$2:$N$2000,13,0),1)</f>
        <v>Bueno</v>
      </c>
      <c r="T917" s="5">
        <f>IFERROR(VLOOKUP(A917,CLIENTE!$A$2:$N$2000,14,0),1)</f>
        <v>1.1000000000000001</v>
      </c>
      <c r="U917" s="5">
        <f t="shared" si="340"/>
        <v>87.88782868259139</v>
      </c>
      <c r="V917" s="5" t="str">
        <f>IF(U917&gt;=MAX(_xlfn.PERCENTILE.INC($U$2:$U$1194,PARAMS_MODELO!$B$50),PARAMS_MODELO!$B$45),"DIAMANTE",IF(U917&gt;=MAX(_xlfn.PERCENTILE.INC($U$2:$U$1194,PARAMS_MODELO!$B$51),PARAMS_MODELO!$B$46),"PLATINO",IF(U917&gt;=MAX(_xlfn.PERCENTILE.INC($U$2:$U$1194,PARAMS_MODELO!$B$52),PARAMS_MODELO!$B$47),"ORO",IF(U917&gt;=MAX(_xlfn.PERCENTILE.INC($U$2:$U$1194,PARAMS_MODELO!$B$53),PARAMS_MODELO!$B$48),"PLATA",IF(U917&gt;=1,"BRONCE","CERRADO")))))</f>
        <v>PLATINO</v>
      </c>
      <c r="W917" s="5" t="str" cm="1">
        <f t="array" ref="W917">_xlfn.XLOOKUP(1, (HIST_SCORE!$B:$B=PARAMS_MODELO!$B$4) * (HIST_SCORE!$C:$C=A917), HIST_SCORE!$E:$E, "No encontrado")</f>
        <v>PLATA</v>
      </c>
      <c r="X917" s="5" t="str">
        <f>_xlfn.LET(_xlpm.act,MATCH(V917,{"DIAMANTE";"PLATINO";"ORO";"PLATA";"BRONCE";"CERRADO"},0),_xlpm.ant,MATCH(W917,{"DIAMANTE";"PLATINO";"ORO";"PLATA";"BRONCE";"CERRADO"},0),IF(_xlpm.act&lt;_xlpm.ant,"Mejora ↑",IF(_xlpm.act&gt;_xlpm.ant,"Baja ↓","Estable →")))</f>
        <v>Mejora ↑</v>
      </c>
      <c r="Y917" s="5">
        <f>IFERROR(U917-SUMIFS(HIST_SCORE!$D:$D,HIST_SCORE!$B:$B,PARAMS_MODELO!$B$4,HIST_SCORE!$C:$C,$A917),"")</f>
        <v>54.887747237862776</v>
      </c>
      <c r="Z917" s="5" t="str">
        <f t="shared" si="341"/>
        <v>↑ Mejora</v>
      </c>
      <c r="AA917" s="5">
        <f t="shared" si="342"/>
        <v>203</v>
      </c>
      <c r="AB917" s="5">
        <f>IFERROR(SUMIFS(HIST_SCORE!$F:$F,HIST_SCORE!$B:$B,PARAMS_MODELO!$B$4,HIST_SCORE!$C:$C,$A917),"")</f>
        <v>878</v>
      </c>
      <c r="AC917" s="5">
        <f t="shared" si="343"/>
        <v>675</v>
      </c>
      <c r="AD917" t="str">
        <f t="shared" si="345"/>
        <v/>
      </c>
      <c r="AE9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917="CERRADO",1,IF(V917="BRONCE",_xlpm.cPl,IF(V917="PLATA",_xlpm.cO,IF(V917="ORO",_xlpm.cP,IF(V917="PLATINO",_xlpm.cD,999))))))</f>
        <v>96.054919694466676</v>
      </c>
      <c r="AF9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917="CERRADO",0,IF(V917="BRONCE",1,IF(V917="PLATA",_xlpm.cPl,IF(V917="ORO",_xlpm.cO,IF(V917="PLATINO",_xlpm.cP,_xlpm.cD))))))</f>
        <v>86.439123873763251</v>
      </c>
      <c r="AG917">
        <f t="shared" si="346"/>
        <v>7.4246281926138948</v>
      </c>
      <c r="AH917" t="str">
        <f t="shared" si="347"/>
        <v>VENTAS</v>
      </c>
      <c r="AI917" t="str">
        <f t="shared" si="344"/>
        <v>🎯 Para subir de categoría, eje VENTAS / IMPACTO ABSOLUTO (H). Acción: metas semanales + activación comercial + seguimiento del asesor. ΔR aprox: 7,4</v>
      </c>
      <c r="AJ917" s="26">
        <f>_xlfn.LET(_xlpm.piso,AF917,_xlpm.corte,AE917,_xlpm.prog,IF(_xlpm.corte&lt;=_xlpm.piso,0,MAX(0,MIN(1,(U917-_xlpm.piso)/(_xlpm.corte-_xlpm.piso)))),_xlpm.orden,{"DIAMANTE";"PLATINO";"ORO";"PLATA";"BRONCE";"CERRADO"},_xlpm.act,IFERROR(MATCH(V917,_xlpm.orden,0),6),_xlpm.ant,IFERROR(MATCH(W917,_xlpm.orden,0),6),_xlpm.ajmov,IF(_xlpm.act&lt;_xlpm.ant,0.08,IF(_xlpm.act&gt;_xlpm.ant,-0.08,0)),_xlpm.ajcli,IF(T917&lt;0.95,-0.06,0),_xlpm.prob,MAX(0,MIN(1,_xlpm.prog+_xlpm.ajmov+_xlpm.ajcli)),IF(OR(V917="DIAMANTE",V917="CERRADO"),0,ROUND(_xlpm.prob,2)))</f>
        <v>0.23</v>
      </c>
      <c r="AK917" t="str">
        <f t="shared" si="348"/>
        <v>Faltan 7,4 puntos base para subir a la siguiente categoría</v>
      </c>
      <c r="AL917" t="str">
        <f t="shared" si="349"/>
        <v>Margen de seguridad: 1,4 puntos</v>
      </c>
      <c r="AM917">
        <f t="shared" si="350"/>
        <v>0.6</v>
      </c>
      <c r="AN917" t="str">
        <f t="shared" si="351"/>
        <v>PRIORIDAD MEDIA – seguimiento del asesor</v>
      </c>
      <c r="AO917">
        <f t="shared" si="352"/>
        <v>21.188797520233749</v>
      </c>
      <c r="AP917">
        <f t="shared" si="353"/>
        <v>0</v>
      </c>
      <c r="AQ917">
        <f t="shared" si="354"/>
        <v>2.1999999999987811E-3</v>
      </c>
      <c r="AR917">
        <f t="shared" si="355"/>
        <v>0.76999999999999924</v>
      </c>
      <c r="AS917">
        <f t="shared" si="356"/>
        <v>0</v>
      </c>
      <c r="AT917" t="str">
        <f t="shared" si="357"/>
        <v>VENTAS</v>
      </c>
      <c r="AU917">
        <f t="shared" si="358"/>
        <v>21.188797520233749</v>
      </c>
      <c r="AV917" t="str">
        <f t="shared" si="359"/>
        <v>Mayor retorno probable: VENTAS (+21,2 puntos finales potenciales).</v>
      </c>
    </row>
    <row r="918" spans="1:48" x14ac:dyDescent="0.3">
      <c r="A918" s="5">
        <v>51018923</v>
      </c>
      <c r="B918" s="5" t="str">
        <f>IFERROR(VLOOKUP(A918,VENTAS!$A$2:$B$1194,2,0),"")</f>
        <v>LÓPEZ</v>
      </c>
      <c r="C918" s="5">
        <f>IFERROR(INDEX(VENTAS!$C$2:$E$1194,MATCH(A918,VENTAS!$A$2:$A$1194,0),MATCH(PARAMS_MODELO!$B$2,{"Q1","Q2","Q3"},0)),0)</f>
        <v>17823899.93</v>
      </c>
      <c r="D918" s="5">
        <f>IFERROR(INDEX(VENTAS!$F$2:$H$1194,MATCH(A918,VENTAS!$A$2:$A$1194,0),MATCH(PARAMS_MODELO!$B$2,{"Q1","Q2","Q3"},0)),0)</f>
        <v>26599749</v>
      </c>
      <c r="E918" s="8">
        <f t="shared" si="336"/>
        <v>0.49236413492364139</v>
      </c>
      <c r="F918" s="12">
        <f>IF(E918&lt;=PARAMS_MODELO!$B$15,0,IF(E918&gt;=PARAMS_MODELO!$B$17,100,100*MIN(1,(E918-PARAMS_MODELO!$B$15)/(PARAMS_MODELO!$B$16-PARAMS_MODELO!$B$15))))*PARAMS_MODELO!$B$7</f>
        <v>35</v>
      </c>
      <c r="G918" s="5">
        <f t="shared" si="337"/>
        <v>8775849.0700000003</v>
      </c>
      <c r="H918" s="5">
        <f>(PARAMS_MODELO!$B$20*(MAX(0,MIN(3,E918))/3)+PARAMS_MODELO!$B$21*(IFERROR(LN(1+MAX(0,G918))/LN(1+MAX(0,MAX($G$2:$G$1194))),0)))*100*PARAMS_MODELO!$B$8</f>
        <v>5.4709709967275915</v>
      </c>
      <c r="I918" s="8">
        <f>E918-PARAMS_MODELO!$B$5</f>
        <v>0.31480129954811487</v>
      </c>
      <c r="J918" s="5">
        <f>IF(I918&lt;=PARAMS_MODELO!$B$18,0,IF(I918&gt;=PARAMS_MODELO!$B$19,100,100*(I918-PARAMS_MODELO!$B$18)/(PARAMS_MODELO!$B$19-PARAMS_MODELO!$B$18)))*PARAMS_MODELO!$B$9</f>
        <v>15</v>
      </c>
      <c r="K918" s="5">
        <f>IFERROR(CHOOSE(MATCH(PARAMS_MODELO!$B$2,{"Q1","Q2","Q3"},0),LOTO!$D918,LOTO!$F918,LOTO!$H918),0)</f>
        <v>1290000</v>
      </c>
      <c r="L918" s="8">
        <f t="shared" si="338"/>
        <v>4.8496698220723812E-2</v>
      </c>
      <c r="M918" s="5">
        <f>MIN(100,IF(PARAMS_MODELO!$B$23=0,0,100*L918/PARAMS_MODELO!$B$23))*PARAMS_MODELO!$B$10</f>
        <v>14.549009466217141</v>
      </c>
      <c r="N918" s="5">
        <f>IFERROR(VLOOKUP(A918,COMPLIANCE!$A$2:$F$1996,6,0),100)</f>
        <v>100</v>
      </c>
      <c r="O918" s="5">
        <f>N918*PARAMS_MODELO!$B$11</f>
        <v>10</v>
      </c>
      <c r="P918" s="5">
        <f>IFERROR(VLOOKUP(A918,DIGITAL!$A$2:$J$2000,7,0),100)</f>
        <v>11</v>
      </c>
      <c r="Q918" s="5">
        <f>IFERROR(P918,0)*PARAMS_MODELO!$B$12</f>
        <v>1.1000000000000001</v>
      </c>
      <c r="R918">
        <f t="shared" si="339"/>
        <v>81.119980462944724</v>
      </c>
      <c r="S918" s="5" t="str">
        <f>IFERROR(VLOOKUP(A918,CLIENTE!$A$2:$N$2000,13,0),1)</f>
        <v>Regular</v>
      </c>
      <c r="T918" s="5">
        <f>IFERROR(VLOOKUP(A918,CLIENTE!$A$2:$N$2000,14,0),1)</f>
        <v>1</v>
      </c>
      <c r="U918" s="5">
        <f t="shared" si="340"/>
        <v>81.119980462944724</v>
      </c>
      <c r="V918" s="5" t="str">
        <f>IF(U918&gt;=MAX(_xlfn.PERCENTILE.INC($U$2:$U$1194,PARAMS_MODELO!$B$50),PARAMS_MODELO!$B$45),"DIAMANTE",IF(U918&gt;=MAX(_xlfn.PERCENTILE.INC($U$2:$U$1194,PARAMS_MODELO!$B$51),PARAMS_MODELO!$B$46),"PLATINO",IF(U918&gt;=MAX(_xlfn.PERCENTILE.INC($U$2:$U$1194,PARAMS_MODELO!$B$52),PARAMS_MODELO!$B$47),"ORO",IF(U918&gt;=MAX(_xlfn.PERCENTILE.INC($U$2:$U$1194,PARAMS_MODELO!$B$53),PARAMS_MODELO!$B$48),"PLATA",IF(U918&gt;=1,"BRONCE","CERRADO")))))</f>
        <v>ORO</v>
      </c>
      <c r="W918" s="5" t="str" cm="1">
        <f t="array" ref="W918">_xlfn.XLOOKUP(1, (HIST_SCORE!$B:$B=PARAMS_MODELO!$B$4) * (HIST_SCORE!$C:$C=A918), HIST_SCORE!$E:$E, "No encontrado")</f>
        <v>ORO</v>
      </c>
      <c r="X918" s="5" t="str">
        <f>_xlfn.LET(_xlpm.act,MATCH(V918,{"DIAMANTE";"PLATINO";"ORO";"PLATA";"BRONCE";"CERRADO"},0),_xlpm.ant,MATCH(W918,{"DIAMANTE";"PLATINO";"ORO";"PLATA";"BRONCE";"CERRADO"},0),IF(_xlpm.act&lt;_xlpm.ant,"Mejora ↑",IF(_xlpm.act&gt;_xlpm.ant,"Baja ↓","Estable →")))</f>
        <v>Estable →</v>
      </c>
      <c r="Y918" s="5">
        <f>IFERROR(U918-SUMIFS(HIST_SCORE!$D:$D,HIST_SCORE!$B:$B,PARAMS_MODELO!$B$4,HIST_SCORE!$C:$C,$A918),"")</f>
        <v>5.620510981784733</v>
      </c>
      <c r="Z918" s="5" t="str">
        <f t="shared" si="341"/>
        <v>↑ Mejora</v>
      </c>
      <c r="AA918" s="5">
        <f t="shared" si="342"/>
        <v>409</v>
      </c>
      <c r="AB918" s="5">
        <f>IFERROR(SUMIFS(HIST_SCORE!$F:$F,HIST_SCORE!$B:$B,PARAMS_MODELO!$B$4,HIST_SCORE!$C:$C,$A918),"")</f>
        <v>487</v>
      </c>
      <c r="AC918" s="5">
        <f t="shared" si="343"/>
        <v>78</v>
      </c>
      <c r="AD918" t="str">
        <f t="shared" si="345"/>
        <v/>
      </c>
      <c r="AE9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918="CERRADO",1,IF(V918="BRONCE",_xlpm.cPl,IF(V918="PLATA",_xlpm.cO,IF(V918="ORO",_xlpm.cP,IF(V918="PLATINO",_xlpm.cD,999))))))</f>
        <v>86.439123873763251</v>
      </c>
      <c r="AF9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918="CERRADO",0,IF(V918="BRONCE",1,IF(V918="PLATA",_xlpm.cPl,IF(V918="ORO",_xlpm.cO,IF(V918="PLATINO",_xlpm.cP,_xlpm.cD))))))</f>
        <v>63.199193273331495</v>
      </c>
      <c r="AG918">
        <f t="shared" si="346"/>
        <v>5.3191434108185263</v>
      </c>
      <c r="AH918" t="str">
        <f t="shared" si="347"/>
        <v>VENTAS</v>
      </c>
      <c r="AI918" t="str">
        <f t="shared" si="344"/>
        <v>🎯 Para subir de categoría, eje VENTAS / IMPACTO ABSOLUTO (H). Acción: metas semanales + activación comercial + seguimiento del asesor. ΔR aprox: 5,3</v>
      </c>
      <c r="AJ918" s="26">
        <f>_xlfn.LET(_xlpm.piso,AF918,_xlpm.corte,AE918,_xlpm.prog,IF(_xlpm.corte&lt;=_xlpm.piso,0,MAX(0,MIN(1,(U918-_xlpm.piso)/(_xlpm.corte-_xlpm.piso)))),_xlpm.orden,{"DIAMANTE";"PLATINO";"ORO";"PLATA";"BRONCE";"CERRADO"},_xlpm.act,IFERROR(MATCH(V918,_xlpm.orden,0),6),_xlpm.ant,IFERROR(MATCH(W918,_xlpm.orden,0),6),_xlpm.ajmov,IF(_xlpm.act&lt;_xlpm.ant,0.08,IF(_xlpm.act&gt;_xlpm.ant,-0.08,0)),_xlpm.ajcli,IF(T918&lt;0.95,-0.06,0),_xlpm.prob,MAX(0,MIN(1,_xlpm.prog+_xlpm.ajmov+_xlpm.ajcli)),IF(OR(V918="DIAMANTE",V918="CERRADO"),0,ROUND(_xlpm.prob,2)))</f>
        <v>0.77</v>
      </c>
      <c r="AK918" t="str">
        <f t="shared" si="348"/>
        <v>Faltan 5,3 puntos base para subir a la siguiente categoría</v>
      </c>
      <c r="AL918" t="str">
        <f t="shared" si="349"/>
        <v>Margen de seguridad: 17,9 puntos</v>
      </c>
      <c r="AM918">
        <f t="shared" si="350"/>
        <v>0.3</v>
      </c>
      <c r="AN918" t="str">
        <f t="shared" si="351"/>
        <v>PRIORIDAD BAJA – control normal</v>
      </c>
      <c r="AO918">
        <f t="shared" si="352"/>
        <v>9.3915982785679901</v>
      </c>
      <c r="AP918">
        <f t="shared" si="353"/>
        <v>0.4509905337828588</v>
      </c>
      <c r="AQ918">
        <f t="shared" si="354"/>
        <v>0</v>
      </c>
      <c r="AR918">
        <f t="shared" si="355"/>
        <v>8.9</v>
      </c>
      <c r="AS918">
        <f t="shared" si="356"/>
        <v>0</v>
      </c>
      <c r="AT918" t="str">
        <f t="shared" si="357"/>
        <v>VENTAS</v>
      </c>
      <c r="AU918">
        <f t="shared" si="358"/>
        <v>9.3915982785679901</v>
      </c>
      <c r="AV918" t="str">
        <f t="shared" si="359"/>
        <v>Mayor retorno probable: VENTAS (+9,4 puntos finales potenciales).</v>
      </c>
    </row>
    <row r="919" spans="1:48" x14ac:dyDescent="0.3">
      <c r="A919" s="5">
        <v>51012721</v>
      </c>
      <c r="B919" s="5" t="str">
        <f>IFERROR(VLOOKUP(A919,VENTAS!$A$2:$B$1194,2,0),"")</f>
        <v>LÓPEZ</v>
      </c>
      <c r="C919" s="5">
        <f>IFERROR(INDEX(VENTAS!$C$2:$E$1194,MATCH(A919,VENTAS!$A$2:$A$1194,0),MATCH(PARAMS_MODELO!$B$2,{"Q1","Q2","Q3"},0)),0)</f>
        <v>26628352.699999999</v>
      </c>
      <c r="D919" s="5">
        <f>IFERROR(INDEX(VENTAS!$F$2:$H$1194,MATCH(A919,VENTAS!$A$2:$A$1194,0),MATCH(PARAMS_MODELO!$B$2,{"Q1","Q2","Q3"},0)),0)</f>
        <v>26328183</v>
      </c>
      <c r="E919" s="8">
        <f t="shared" si="336"/>
        <v>-1.1272559868113818E-2</v>
      </c>
      <c r="F919" s="12">
        <f>IF(E919&lt;=PARAMS_MODELO!$B$15,0,IF(E919&gt;=PARAMS_MODELO!$B$17,100,100*MIN(1,(E919-PARAMS_MODELO!$B$15)/(PARAMS_MODELO!$B$16-PARAMS_MODELO!$B$15))))*PARAMS_MODELO!$B$7</f>
        <v>0</v>
      </c>
      <c r="G919" s="5">
        <f t="shared" si="337"/>
        <v>0</v>
      </c>
      <c r="H919" s="5">
        <f>(PARAMS_MODELO!$B$20*(MAX(0,MIN(3,E919))/3)+PARAMS_MODELO!$B$21*(IFERROR(LN(1+MAX(0,G919))/LN(1+MAX(0,MAX($G$2:$G$1194))),0)))*100*PARAMS_MODELO!$B$8</f>
        <v>0</v>
      </c>
      <c r="I919" s="8">
        <f>E919-PARAMS_MODELO!$B$5</f>
        <v>-0.18883539524364035</v>
      </c>
      <c r="J919" s="5">
        <f>IF(I919&lt;=PARAMS_MODELO!$B$18,0,IF(I919&gt;=PARAMS_MODELO!$B$19,100,100*(I919-PARAMS_MODELO!$B$18)/(PARAMS_MODELO!$B$19-PARAMS_MODELO!$B$18)))*PARAMS_MODELO!$B$9</f>
        <v>0</v>
      </c>
      <c r="K919" s="5">
        <f>IFERROR(CHOOSE(MATCH(PARAMS_MODELO!$B$2,{"Q1","Q2","Q3"},0),LOTO!$D919,LOTO!$F919,LOTO!$H919),0)</f>
        <v>1270000</v>
      </c>
      <c r="L919" s="8">
        <f t="shared" si="338"/>
        <v>4.823728245887686E-2</v>
      </c>
      <c r="M919" s="5">
        <f>MIN(100,IF(PARAMS_MODELO!$B$23=0,0,100*L919/PARAMS_MODELO!$B$23))*PARAMS_MODELO!$B$10</f>
        <v>14.471184737663059</v>
      </c>
      <c r="N919" s="5">
        <f>IFERROR(VLOOKUP(A919,COMPLIANCE!$A$2:$F$1996,6,0),100)</f>
        <v>99.96</v>
      </c>
      <c r="O919" s="5">
        <f>N919*PARAMS_MODELO!$B$11</f>
        <v>9.9960000000000004</v>
      </c>
      <c r="P919" s="5">
        <f>IFERROR(VLOOKUP(A919,DIGITAL!$A$2:$J$2000,7,0),100)</f>
        <v>82</v>
      </c>
      <c r="Q919" s="5">
        <f>IFERROR(P919,0)*PARAMS_MODELO!$B$12</f>
        <v>8.2000000000000011</v>
      </c>
      <c r="R919">
        <f t="shared" si="339"/>
        <v>32.667184737663064</v>
      </c>
      <c r="S919" s="5" t="str">
        <f>IFERROR(VLOOKUP(A919,CLIENTE!$A$2:$N$2000,13,0),1)</f>
        <v>Malo</v>
      </c>
      <c r="T919" s="5">
        <f>IFERROR(VLOOKUP(A919,CLIENTE!$A$2:$N$2000,14,0),1)</f>
        <v>0.7</v>
      </c>
      <c r="U919" s="5">
        <f t="shared" si="340"/>
        <v>22.867029316364142</v>
      </c>
      <c r="V919" s="5" t="str">
        <f>IF(U919&gt;=MAX(_xlfn.PERCENTILE.INC($U$2:$U$1194,PARAMS_MODELO!$B$50),PARAMS_MODELO!$B$45),"DIAMANTE",IF(U919&gt;=MAX(_xlfn.PERCENTILE.INC($U$2:$U$1194,PARAMS_MODELO!$B$51),PARAMS_MODELO!$B$46),"PLATINO",IF(U919&gt;=MAX(_xlfn.PERCENTILE.INC($U$2:$U$1194,PARAMS_MODELO!$B$52),PARAMS_MODELO!$B$47),"ORO",IF(U919&gt;=MAX(_xlfn.PERCENTILE.INC($U$2:$U$1194,PARAMS_MODELO!$B$53),PARAMS_MODELO!$B$48),"PLATA",IF(U919&gt;=1,"BRONCE","CERRADO")))))</f>
        <v>BRONCE</v>
      </c>
      <c r="W919" s="5" t="str" cm="1">
        <f t="array" ref="W919">_xlfn.XLOOKUP(1, (HIST_SCORE!$B:$B=PARAMS_MODELO!$B$4) * (HIST_SCORE!$C:$C=A919), HIST_SCORE!$E:$E, "No encontrado")</f>
        <v>PLATA</v>
      </c>
      <c r="X919" s="5" t="str">
        <f>_xlfn.LET(_xlpm.act,MATCH(V919,{"DIAMANTE";"PLATINO";"ORO";"PLATA";"BRONCE";"CERRADO"},0),_xlpm.ant,MATCH(W919,{"DIAMANTE";"PLATINO";"ORO";"PLATA";"BRONCE";"CERRADO"},0),IF(_xlpm.act&lt;_xlpm.ant,"Mejora ↑",IF(_xlpm.act&gt;_xlpm.ant,"Baja ↓","Estable →")))</f>
        <v>Baja ↓</v>
      </c>
      <c r="Y919" s="5">
        <f>IFERROR(U919-SUMIFS(HIST_SCORE!$D:$D,HIST_SCORE!$B:$B,PARAMS_MODELO!$B$4,HIST_SCORE!$C:$C,$A919),"")</f>
        <v>-35.427853904507828</v>
      </c>
      <c r="Z919" s="5" t="str">
        <f t="shared" si="341"/>
        <v>↓ Baja</v>
      </c>
      <c r="AA919" s="5">
        <f t="shared" si="342"/>
        <v>936</v>
      </c>
      <c r="AB919" s="5">
        <f>IFERROR(SUMIFS(HIST_SCORE!$F:$F,HIST_SCORE!$B:$B,PARAMS_MODELO!$B$4,HIST_SCORE!$C:$C,$A919),"")</f>
        <v>676</v>
      </c>
      <c r="AC919" s="5">
        <f t="shared" si="343"/>
        <v>-260</v>
      </c>
      <c r="AD919" t="str">
        <f t="shared" si="345"/>
        <v>Plan de recuperación: foco crecimiento + mix</v>
      </c>
      <c r="AE9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919="CERRADO",1,IF(V919="BRONCE",_xlpm.cPl,IF(V919="PLATA",_xlpm.cO,IF(V919="ORO",_xlpm.cP,IF(V919="PLATINO",_xlpm.cD,999))))))</f>
        <v>24.506573482968111</v>
      </c>
      <c r="AF9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919="CERRADO",0,IF(V919="BRONCE",1,IF(V919="PLATA",_xlpm.cPl,IF(V919="ORO",_xlpm.cO,IF(V919="PLATINO",_xlpm.cP,_xlpm.cD))))))</f>
        <v>1</v>
      </c>
      <c r="AG919">
        <f t="shared" si="346"/>
        <v>2.3422059522913798</v>
      </c>
      <c r="AH919" t="str">
        <f t="shared" si="347"/>
        <v>CLIENTE</v>
      </c>
      <c r="AI919" t="str">
        <f t="shared" si="344"/>
        <v>🎯 Para subir de categoría, la eje con mayor impacto probable es CLIENTE (coef T). Acción: reducir quejas, mejorar incógnito y empujar reseñas. ΔR aprox: 2,3</v>
      </c>
      <c r="AJ919" s="26">
        <f>_xlfn.LET(_xlpm.piso,AF919,_xlpm.corte,AE919,_xlpm.prog,IF(_xlpm.corte&lt;=_xlpm.piso,0,MAX(0,MIN(1,(U919-_xlpm.piso)/(_xlpm.corte-_xlpm.piso)))),_xlpm.orden,{"DIAMANTE";"PLATINO";"ORO";"PLATA";"BRONCE";"CERRADO"},_xlpm.act,IFERROR(MATCH(V919,_xlpm.orden,0),6),_xlpm.ant,IFERROR(MATCH(W919,_xlpm.orden,0),6),_xlpm.ajmov,IF(_xlpm.act&lt;_xlpm.ant,0.08,IF(_xlpm.act&gt;_xlpm.ant,-0.08,0)),_xlpm.ajcli,IF(T919&lt;0.95,-0.06,0),_xlpm.prob,MAX(0,MIN(1,_xlpm.prog+_xlpm.ajmov+_xlpm.ajcli)),IF(OR(V919="DIAMANTE",V919="CERRADO"),0,ROUND(_xlpm.prob,2)))</f>
        <v>0.79</v>
      </c>
      <c r="AK919" t="str">
        <f t="shared" si="348"/>
        <v>Faltan 2,3 puntos base para subir a la siguiente categoría</v>
      </c>
      <c r="AL919" t="str">
        <f t="shared" si="349"/>
        <v>No aplica</v>
      </c>
      <c r="AM919">
        <f t="shared" si="350"/>
        <v>0.38</v>
      </c>
      <c r="AN919" t="str">
        <f t="shared" si="351"/>
        <v>PRIORIDAD BAJA – control normal</v>
      </c>
      <c r="AO919">
        <f t="shared" si="352"/>
        <v>45.403798492706905</v>
      </c>
      <c r="AP919">
        <f t="shared" si="353"/>
        <v>0.37017068363585892</v>
      </c>
      <c r="AQ919">
        <f t="shared" si="354"/>
        <v>2.7999999999996916E-3</v>
      </c>
      <c r="AR919">
        <f t="shared" si="355"/>
        <v>1.2599999999999991</v>
      </c>
      <c r="AS919">
        <f t="shared" si="356"/>
        <v>9.8001554212989213</v>
      </c>
      <c r="AT919" t="str">
        <f t="shared" si="357"/>
        <v>VENTAS</v>
      </c>
      <c r="AU919">
        <f t="shared" si="358"/>
        <v>45.403798492706905</v>
      </c>
      <c r="AV919" t="str">
        <f t="shared" si="359"/>
        <v>Mayor retorno probable: VENTAS (+45,4 puntos finales potenciales).</v>
      </c>
    </row>
    <row r="920" spans="1:48" x14ac:dyDescent="0.3">
      <c r="A920" s="5">
        <v>51020634</v>
      </c>
      <c r="B920" s="5" t="str">
        <f>IFERROR(VLOOKUP(A920,VENTAS!$A$2:$B$1194,2,0),"")</f>
        <v>BELUZZO</v>
      </c>
      <c r="C920" s="5">
        <f>IFERROR(INDEX(VENTAS!$C$2:$E$1194,MATCH(A920,VENTAS!$A$2:$A$1194,0),MATCH(PARAMS_MODELO!$B$2,{"Q1","Q2","Q3"},0)),0)</f>
        <v>33563379.229999997</v>
      </c>
      <c r="D920" s="5">
        <f>IFERROR(INDEX(VENTAS!$F$2:$H$1194,MATCH(A920,VENTAS!$A$2:$A$1194,0),MATCH(PARAMS_MODELO!$B$2,{"Q1","Q2","Q3"},0)),0)</f>
        <v>26100590</v>
      </c>
      <c r="E920" s="8">
        <f t="shared" si="336"/>
        <v>-0.22234916153286266</v>
      </c>
      <c r="F920" s="12">
        <f>IF(E920&lt;=PARAMS_MODELO!$B$15,0,IF(E920&gt;=PARAMS_MODELO!$B$17,100,100*MIN(1,(E920-PARAMS_MODELO!$B$15)/(PARAMS_MODELO!$B$16-PARAMS_MODELO!$B$15))))*PARAMS_MODELO!$B$7</f>
        <v>0</v>
      </c>
      <c r="G920" s="5">
        <f t="shared" si="337"/>
        <v>0</v>
      </c>
      <c r="H920" s="5">
        <f>(PARAMS_MODELO!$B$20*(MAX(0,MIN(3,E920))/3)+PARAMS_MODELO!$B$21*(IFERROR(LN(1+MAX(0,G920))/LN(1+MAX(0,MAX($G$2:$G$1194))),0)))*100*PARAMS_MODELO!$B$8</f>
        <v>0</v>
      </c>
      <c r="I920" s="8">
        <f>E920-PARAMS_MODELO!$B$5</f>
        <v>-0.39991199690838919</v>
      </c>
      <c r="J920" s="5">
        <f>IF(I920&lt;=PARAMS_MODELO!$B$18,0,IF(I920&gt;=PARAMS_MODELO!$B$19,100,100*(I920-PARAMS_MODELO!$B$18)/(PARAMS_MODELO!$B$19-PARAMS_MODELO!$B$18)))*PARAMS_MODELO!$B$9</f>
        <v>0</v>
      </c>
      <c r="K920" s="5">
        <f>IFERROR(CHOOSE(MATCH(PARAMS_MODELO!$B$2,{"Q1","Q2","Q3"},0),LOTO!$D920,LOTO!$F920,LOTO!$H920),0)</f>
        <v>1270000</v>
      </c>
      <c r="L920" s="8">
        <f t="shared" si="338"/>
        <v>4.8657903901789194E-2</v>
      </c>
      <c r="M920" s="5">
        <f>MIN(100,IF(PARAMS_MODELO!$B$23=0,0,100*L920/PARAMS_MODELO!$B$23))*PARAMS_MODELO!$B$10</f>
        <v>14.597371170536757</v>
      </c>
      <c r="N920" s="5">
        <f>IFERROR(VLOOKUP(A920,COMPLIANCE!$A$2:$F$1996,6,0),100)</f>
        <v>99.85</v>
      </c>
      <c r="O920" s="5">
        <f>N920*PARAMS_MODELO!$B$11</f>
        <v>9.9849999999999994</v>
      </c>
      <c r="P920" s="5">
        <f>IFERROR(VLOOKUP(A920,DIGITAL!$A$2:$J$2000,7,0),100)</f>
        <v>83</v>
      </c>
      <c r="Q920" s="5">
        <f>IFERROR(P920,0)*PARAMS_MODELO!$B$12</f>
        <v>8.3000000000000007</v>
      </c>
      <c r="R920">
        <f t="shared" si="339"/>
        <v>32.882371170536757</v>
      </c>
      <c r="S920" s="5" t="str">
        <f>IFERROR(VLOOKUP(A920,CLIENTE!$A$2:$N$2000,13,0),1)</f>
        <v>Regular</v>
      </c>
      <c r="T920" s="5">
        <f>IFERROR(VLOOKUP(A920,CLIENTE!$A$2:$N$2000,14,0),1)</f>
        <v>1</v>
      </c>
      <c r="U920" s="5">
        <f t="shared" si="340"/>
        <v>32.882371170536757</v>
      </c>
      <c r="V920" s="5" t="str">
        <f>IF(U920&gt;=MAX(_xlfn.PERCENTILE.INC($U$2:$U$1194,PARAMS_MODELO!$B$50),PARAMS_MODELO!$B$45),"DIAMANTE",IF(U920&gt;=MAX(_xlfn.PERCENTILE.INC($U$2:$U$1194,PARAMS_MODELO!$B$51),PARAMS_MODELO!$B$46),"PLATINO",IF(U920&gt;=MAX(_xlfn.PERCENTILE.INC($U$2:$U$1194,PARAMS_MODELO!$B$52),PARAMS_MODELO!$B$47),"ORO",IF(U920&gt;=MAX(_xlfn.PERCENTILE.INC($U$2:$U$1194,PARAMS_MODELO!$B$53),PARAMS_MODELO!$B$48),"PLATA",IF(U920&gt;=1,"BRONCE","CERRADO")))))</f>
        <v>PLATA</v>
      </c>
      <c r="W920" s="5" t="str" cm="1">
        <f t="array" ref="W920">_xlfn.XLOOKUP(1, (HIST_SCORE!$B:$B=PARAMS_MODELO!$B$4) * (HIST_SCORE!$C:$C=A920), HIST_SCORE!$E:$E, "No encontrado")</f>
        <v>PLATA</v>
      </c>
      <c r="X920" s="5" t="str">
        <f>_xlfn.LET(_xlpm.act,MATCH(V920,{"DIAMANTE";"PLATINO";"ORO";"PLATA";"BRONCE";"CERRADO"},0),_xlpm.ant,MATCH(W920,{"DIAMANTE";"PLATINO";"ORO";"PLATA";"BRONCE";"CERRADO"},0),IF(_xlpm.act&lt;_xlpm.ant,"Mejora ↑",IF(_xlpm.act&gt;_xlpm.ant,"Baja ↓","Estable →")))</f>
        <v>Estable →</v>
      </c>
      <c r="Y920" s="5">
        <f>IFERROR(U920-SUMIFS(HIST_SCORE!$D:$D,HIST_SCORE!$B:$B,PARAMS_MODELO!$B$4,HIST_SCORE!$C:$C,$A920),"")</f>
        <v>-0.40262882946323941</v>
      </c>
      <c r="Z920" s="5" t="str">
        <f t="shared" si="341"/>
        <v>→ Estable</v>
      </c>
      <c r="AA920" s="5">
        <f t="shared" si="342"/>
        <v>825</v>
      </c>
      <c r="AB920" s="5">
        <f>IFERROR(SUMIFS(HIST_SCORE!$F:$F,HIST_SCORE!$B:$B,PARAMS_MODELO!$B$4,HIST_SCORE!$C:$C,$A920),"")</f>
        <v>874</v>
      </c>
      <c r="AC920" s="5">
        <f t="shared" si="343"/>
        <v>49</v>
      </c>
      <c r="AD920" t="str">
        <f t="shared" si="345"/>
        <v/>
      </c>
      <c r="AE9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920="CERRADO",1,IF(V920="BRONCE",_xlpm.cPl,IF(V920="PLATA",_xlpm.cO,IF(V920="ORO",_xlpm.cP,IF(V920="PLATINO",_xlpm.cD,999))))))</f>
        <v>63.199193273331495</v>
      </c>
      <c r="AF9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920="CERRADO",0,IF(V920="BRONCE",1,IF(V920="PLATA",_xlpm.cPl,IF(V920="ORO",_xlpm.cO,IF(V920="PLATINO",_xlpm.cP,_xlpm.cD))))))</f>
        <v>24.506573482968111</v>
      </c>
      <c r="AG920">
        <f t="shared" si="346"/>
        <v>30.316822102794738</v>
      </c>
      <c r="AH920" t="str">
        <f t="shared" si="347"/>
        <v>VENTAS</v>
      </c>
      <c r="AI920" t="str">
        <f t="shared" si="344"/>
        <v>🎯 Para subir de categoría, eje VENTAS / CRECIMIENTO PERSONAL (F). Acción: metas semanales + activación comercial + seguimiento del asesor. ΔR aprox: 30,3</v>
      </c>
      <c r="AJ920" s="26">
        <f>_xlfn.LET(_xlpm.piso,AF920,_xlpm.corte,AE920,_xlpm.prog,IF(_xlpm.corte&lt;=_xlpm.piso,0,MAX(0,MIN(1,(U920-_xlpm.piso)/(_xlpm.corte-_xlpm.piso)))),_xlpm.orden,{"DIAMANTE";"PLATINO";"ORO";"PLATA";"BRONCE";"CERRADO"},_xlpm.act,IFERROR(MATCH(V920,_xlpm.orden,0),6),_xlpm.ant,IFERROR(MATCH(W920,_xlpm.orden,0),6),_xlpm.ajmov,IF(_xlpm.act&lt;_xlpm.ant,0.08,IF(_xlpm.act&gt;_xlpm.ant,-0.08,0)),_xlpm.ajcli,IF(T920&lt;0.95,-0.06,0),_xlpm.prob,MAX(0,MIN(1,_xlpm.prog+_xlpm.ajmov+_xlpm.ajcli)),IF(OR(V920="DIAMANTE",V920="CERRADO"),0,ROUND(_xlpm.prob,2)))</f>
        <v>0.22</v>
      </c>
      <c r="AK920" t="str">
        <f t="shared" si="348"/>
        <v>Faltan 30,3 puntos base para subir a la siguiente categoría</v>
      </c>
      <c r="AL920" t="str">
        <f t="shared" si="349"/>
        <v>Margen de seguridad: 8,4 puntos</v>
      </c>
      <c r="AM920">
        <f t="shared" si="350"/>
        <v>0.71</v>
      </c>
      <c r="AN920" t="str">
        <f t="shared" si="351"/>
        <v>PRIORIDAD ALTA – requiere intervención inmediata</v>
      </c>
      <c r="AO920">
        <f t="shared" si="352"/>
        <v>64.862569275295584</v>
      </c>
      <c r="AP920">
        <f t="shared" si="353"/>
        <v>0.40262882946324297</v>
      </c>
      <c r="AQ920">
        <f t="shared" si="354"/>
        <v>1.5000000000000568E-2</v>
      </c>
      <c r="AR920">
        <f t="shared" si="355"/>
        <v>1.6999999999999993</v>
      </c>
      <c r="AS920">
        <f t="shared" si="356"/>
        <v>0</v>
      </c>
      <c r="AT920" t="str">
        <f t="shared" si="357"/>
        <v>VENTAS</v>
      </c>
      <c r="AU920">
        <f t="shared" si="358"/>
        <v>64.862569275295584</v>
      </c>
      <c r="AV920" t="str">
        <f t="shared" si="359"/>
        <v>Mayor retorno probable: VENTAS (+64,9 puntos finales potenciales).</v>
      </c>
    </row>
    <row r="921" spans="1:48" x14ac:dyDescent="0.3">
      <c r="A921" s="5">
        <v>51056507</v>
      </c>
      <c r="B921" s="5" t="str">
        <f>IFERROR(VLOOKUP(A921,VENTAS!$A$2:$B$1194,2,0),"")</f>
        <v>PRADES</v>
      </c>
      <c r="C921" s="5">
        <f>IFERROR(INDEX(VENTAS!$C$2:$E$1194,MATCH(A921,VENTAS!$A$2:$A$1194,0),MATCH(PARAMS_MODELO!$B$2,{"Q1","Q2","Q3"},0)),0)</f>
        <v>20724033.629999999</v>
      </c>
      <c r="D921" s="5">
        <f>IFERROR(INDEX(VENTAS!$F$2:$H$1194,MATCH(A921,VENTAS!$A$2:$A$1194,0),MATCH(PARAMS_MODELO!$B$2,{"Q1","Q2","Q3"},0)),0)</f>
        <v>25477887</v>
      </c>
      <c r="E921" s="8">
        <f t="shared" si="336"/>
        <v>0.22938842191021869</v>
      </c>
      <c r="F921" s="12">
        <f>IF(E921&lt;=PARAMS_MODELO!$B$15,0,IF(E921&gt;=PARAMS_MODELO!$B$17,100,100*MIN(1,(E921-PARAMS_MODELO!$B$15)/(PARAMS_MODELO!$B$16-PARAMS_MODELO!$B$15))))*PARAMS_MODELO!$B$7</f>
        <v>35</v>
      </c>
      <c r="G921" s="5">
        <f t="shared" si="337"/>
        <v>4753853.370000001</v>
      </c>
      <c r="H921" s="5">
        <f>(PARAMS_MODELO!$B$20*(MAX(0,MIN(3,E921))/3)+PARAMS_MODELO!$B$21*(IFERROR(LN(1+MAX(0,G921))/LN(1+MAX(0,MAX($G$2:$G$1194))),0)))*100*PARAMS_MODELO!$B$8</f>
        <v>4.4068490140458394</v>
      </c>
      <c r="I921" s="8">
        <f>E921-PARAMS_MODELO!$B$5</f>
        <v>5.1825586534692158E-2</v>
      </c>
      <c r="J921" s="5">
        <f>IF(I921&lt;=PARAMS_MODELO!$B$18,0,IF(I921&gt;=PARAMS_MODELO!$B$19,100,100*(I921-PARAMS_MODELO!$B$18)/(PARAMS_MODELO!$B$19-PARAMS_MODELO!$B$18)))*PARAMS_MODELO!$B$9</f>
        <v>15</v>
      </c>
      <c r="K921" s="5">
        <f>IFERROR(CHOOSE(MATCH(PARAMS_MODELO!$B$2,{"Q1","Q2","Q3"},0),LOTO!$D921,LOTO!$F921,LOTO!$H921),0)</f>
        <v>1267500</v>
      </c>
      <c r="L921" s="8">
        <f t="shared" si="338"/>
        <v>4.9749023535585975E-2</v>
      </c>
      <c r="M921" s="5">
        <f>MIN(100,IF(PARAMS_MODELO!$B$23=0,0,100*L921/PARAMS_MODELO!$B$23))*PARAMS_MODELO!$B$10</f>
        <v>14.924707060675793</v>
      </c>
      <c r="N921" s="5">
        <f>IFERROR(VLOOKUP(A921,COMPLIANCE!$A$2:$F$1996,6,0),100)</f>
        <v>99.8</v>
      </c>
      <c r="O921" s="5">
        <f>N921*PARAMS_MODELO!$B$11</f>
        <v>9.98</v>
      </c>
      <c r="P921" s="5">
        <f>IFERROR(VLOOKUP(A921,DIGITAL!$A$2:$J$2000,7,0),100)</f>
        <v>73</v>
      </c>
      <c r="Q921" s="5">
        <f>IFERROR(P921,0)*PARAMS_MODELO!$B$12</f>
        <v>7.3000000000000007</v>
      </c>
      <c r="R921">
        <f t="shared" si="339"/>
        <v>86.611556074721634</v>
      </c>
      <c r="S921" s="5" t="str">
        <f>IFERROR(VLOOKUP(A921,CLIENTE!$A$2:$N$2000,13,0),1)</f>
        <v>Malo</v>
      </c>
      <c r="T921" s="5">
        <f>IFERROR(VLOOKUP(A921,CLIENTE!$A$2:$N$2000,14,0),1)</f>
        <v>0.7</v>
      </c>
      <c r="U921" s="5">
        <f t="shared" si="340"/>
        <v>60.628089252305138</v>
      </c>
      <c r="V921" s="5" t="str">
        <f>IF(U921&gt;=MAX(_xlfn.PERCENTILE.INC($U$2:$U$1194,PARAMS_MODELO!$B$50),PARAMS_MODELO!$B$45),"DIAMANTE",IF(U921&gt;=MAX(_xlfn.PERCENTILE.INC($U$2:$U$1194,PARAMS_MODELO!$B$51),PARAMS_MODELO!$B$46),"PLATINO",IF(U921&gt;=MAX(_xlfn.PERCENTILE.INC($U$2:$U$1194,PARAMS_MODELO!$B$52),PARAMS_MODELO!$B$47),"ORO",IF(U921&gt;=MAX(_xlfn.PERCENTILE.INC($U$2:$U$1194,PARAMS_MODELO!$B$53),PARAMS_MODELO!$B$48),"PLATA",IF(U921&gt;=1,"BRONCE","CERRADO")))))</f>
        <v>PLATA</v>
      </c>
      <c r="W921" s="5" t="str" cm="1">
        <f t="array" ref="W921">_xlfn.XLOOKUP(1, (HIST_SCORE!$B:$B=PARAMS_MODELO!$B$4) * (HIST_SCORE!$C:$C=A921), HIST_SCORE!$E:$E, "No encontrado")</f>
        <v>PLATA</v>
      </c>
      <c r="X921" s="5" t="str">
        <f>_xlfn.LET(_xlpm.act,MATCH(V921,{"DIAMANTE";"PLATINO";"ORO";"PLATA";"BRONCE";"CERRADO"},0),_xlpm.ant,MATCH(W921,{"DIAMANTE";"PLATINO";"ORO";"PLATA";"BRONCE";"CERRADO"},0),IF(_xlpm.act&lt;_xlpm.ant,"Mejora ↑",IF(_xlpm.act&gt;_xlpm.ant,"Baja ↓","Estable →")))</f>
        <v>Estable →</v>
      </c>
      <c r="Y921" s="5">
        <f>IFERROR(U921-SUMIFS(HIST_SCORE!$D:$D,HIST_SCORE!$B:$B,PARAMS_MODELO!$B$4,HIST_SCORE!$C:$C,$A921),"")</f>
        <v>10.841483988957016</v>
      </c>
      <c r="Z921" s="5" t="str">
        <f t="shared" si="341"/>
        <v>↑ Mejora</v>
      </c>
      <c r="AA921" s="5">
        <f t="shared" si="342"/>
        <v>605</v>
      </c>
      <c r="AB921" s="5">
        <f>IFERROR(SUMIFS(HIST_SCORE!$F:$F,HIST_SCORE!$B:$B,PARAMS_MODELO!$B$4,HIST_SCORE!$C:$C,$A921),"")</f>
        <v>774</v>
      </c>
      <c r="AC921" s="5">
        <f t="shared" si="343"/>
        <v>169</v>
      </c>
      <c r="AD921" t="str">
        <f t="shared" si="345"/>
        <v/>
      </c>
      <c r="AE9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921="CERRADO",1,IF(V921="BRONCE",_xlpm.cPl,IF(V921="PLATA",_xlpm.cO,IF(V921="ORO",_xlpm.cP,IF(V921="PLATINO",_xlpm.cD,999))))))</f>
        <v>63.199193273331495</v>
      </c>
      <c r="AF9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921="CERRADO",0,IF(V921="BRONCE",1,IF(V921="PLATA",_xlpm.cPl,IF(V921="ORO",_xlpm.cO,IF(V921="PLATINO",_xlpm.cP,_xlpm.cD))))))</f>
        <v>24.506573482968111</v>
      </c>
      <c r="AG921">
        <f t="shared" si="346"/>
        <v>3.6730057443233619</v>
      </c>
      <c r="AH921" t="str">
        <f t="shared" si="347"/>
        <v>CLIENTE</v>
      </c>
      <c r="AI921" t="str">
        <f t="shared" si="344"/>
        <v>🎯 Para subir de categoría, la eje con mayor impacto probable es CLIENTE (coef T). Acción: reducir quejas, mejorar incógnito y empujar reseñas. ΔR aprox: 3,7</v>
      </c>
      <c r="AJ921" s="26">
        <f>_xlfn.LET(_xlpm.piso,AF921,_xlpm.corte,AE921,_xlpm.prog,IF(_xlpm.corte&lt;=_xlpm.piso,0,MAX(0,MIN(1,(U921-_xlpm.piso)/(_xlpm.corte-_xlpm.piso)))),_xlpm.orden,{"DIAMANTE";"PLATINO";"ORO";"PLATA";"BRONCE";"CERRADO"},_xlpm.act,IFERROR(MATCH(V921,_xlpm.orden,0),6),_xlpm.ant,IFERROR(MATCH(W921,_xlpm.orden,0),6),_xlpm.ajmov,IF(_xlpm.act&lt;_xlpm.ant,0.08,IF(_xlpm.act&gt;_xlpm.ant,-0.08,0)),_xlpm.ajcli,IF(T921&lt;0.95,-0.06,0),_xlpm.prob,MAX(0,MIN(1,_xlpm.prog+_xlpm.ajmov+_xlpm.ajcli)),IF(OR(V921="DIAMANTE",V921="CERRADO"),0,ROUND(_xlpm.prob,2)))</f>
        <v>0.87</v>
      </c>
      <c r="AK921" t="str">
        <f t="shared" si="348"/>
        <v>Faltan 3,7 puntos base para subir a la siguiente categoría</v>
      </c>
      <c r="AL921" t="str">
        <f t="shared" si="349"/>
        <v>Margen de seguridad: 36,1 puntos</v>
      </c>
      <c r="AM921">
        <f t="shared" si="350"/>
        <v>0.4</v>
      </c>
      <c r="AN921" t="str">
        <f t="shared" si="351"/>
        <v>PRIORIDAD MEDIA – seguimiento del asesor</v>
      </c>
      <c r="AO921">
        <f t="shared" si="352"/>
        <v>7.3190041828748207</v>
      </c>
      <c r="AP921">
        <f t="shared" si="353"/>
        <v>5.2705057526944897E-2</v>
      </c>
      <c r="AQ921">
        <f t="shared" si="354"/>
        <v>1.39999999999997E-2</v>
      </c>
      <c r="AR921">
        <f t="shared" si="355"/>
        <v>1.8899999999999995</v>
      </c>
      <c r="AS921">
        <f t="shared" si="356"/>
        <v>25.983466822416492</v>
      </c>
      <c r="AT921" t="str">
        <f t="shared" si="357"/>
        <v>CLIENTE</v>
      </c>
      <c r="AU921">
        <f t="shared" si="358"/>
        <v>25.983466822416492</v>
      </c>
      <c r="AV921" t="str">
        <f t="shared" si="359"/>
        <v>Mayor retorno probable: CLIENTE (+26,0 puntos finales potenciales).</v>
      </c>
    </row>
    <row r="922" spans="1:48" x14ac:dyDescent="0.3">
      <c r="A922" s="5">
        <v>51002105</v>
      </c>
      <c r="B922" s="5" t="str">
        <f>IFERROR(VLOOKUP(A922,VENTAS!$A$2:$B$1194,2,0),"")</f>
        <v>ARGUELLO</v>
      </c>
      <c r="C922" s="5">
        <f>IFERROR(INDEX(VENTAS!$C$2:$E$1194,MATCH(A922,VENTAS!$A$2:$A$1194,0),MATCH(PARAMS_MODELO!$B$2,{"Q1","Q2","Q3"},0)),0)</f>
        <v>23119783.949999999</v>
      </c>
      <c r="D922" s="5">
        <f>IFERROR(INDEX(VENTAS!$F$2:$H$1194,MATCH(A922,VENTAS!$A$2:$A$1194,0),MATCH(PARAMS_MODELO!$B$2,{"Q1","Q2","Q3"},0)),0)</f>
        <v>25399991</v>
      </c>
      <c r="E922" s="8">
        <f t="shared" si="336"/>
        <v>9.8625794035588354E-2</v>
      </c>
      <c r="F922" s="12">
        <f>IF(E922&lt;=PARAMS_MODELO!$B$15,0,IF(E922&gt;=PARAMS_MODELO!$B$17,100,100*MIN(1,(E922-PARAMS_MODELO!$B$15)/(PARAMS_MODELO!$B$16-PARAMS_MODELO!$B$15))))*PARAMS_MODELO!$B$7</f>
        <v>34.519027912455925</v>
      </c>
      <c r="G922" s="5">
        <f t="shared" si="337"/>
        <v>2280207.0500000007</v>
      </c>
      <c r="H922" s="5">
        <f>(PARAMS_MODELO!$B$20*(MAX(0,MIN(3,E922))/3)+PARAMS_MODELO!$B$21*(IFERROR(LN(1+MAX(0,G922))/LN(1+MAX(0,MAX($G$2:$G$1194))),0)))*100*PARAMS_MODELO!$B$8</f>
        <v>3.7769584472129019</v>
      </c>
      <c r="I922" s="8">
        <f>E922-PARAMS_MODELO!$B$5</f>
        <v>-7.8937041339938174E-2</v>
      </c>
      <c r="J922" s="5">
        <f>IF(I922&lt;=PARAMS_MODELO!$B$18,0,IF(I922&gt;=PARAMS_MODELO!$B$19,100,100*(I922-PARAMS_MODELO!$B$18)/(PARAMS_MODELO!$B$19-PARAMS_MODELO!$B$18)))*PARAMS_MODELO!$B$9</f>
        <v>0</v>
      </c>
      <c r="K922" s="5">
        <f>IFERROR(CHOOSE(MATCH(PARAMS_MODELO!$B$2,{"Q1","Q2","Q3"},0),LOTO!$D922,LOTO!$F922,LOTO!$H922),0)</f>
        <v>1257500</v>
      </c>
      <c r="L922" s="8">
        <f t="shared" si="338"/>
        <v>4.9507891557914331E-2</v>
      </c>
      <c r="M922" s="5">
        <f>MIN(100,IF(PARAMS_MODELO!$B$23=0,0,100*L922/PARAMS_MODELO!$B$23))*PARAMS_MODELO!$B$10</f>
        <v>14.8523674673743</v>
      </c>
      <c r="N922" s="5">
        <f>IFERROR(VLOOKUP(A922,COMPLIANCE!$A$2:$F$1996,6,0),100)</f>
        <v>100</v>
      </c>
      <c r="O922" s="5">
        <f>N922*PARAMS_MODELO!$B$11</f>
        <v>10</v>
      </c>
      <c r="P922" s="5">
        <f>IFERROR(VLOOKUP(A922,DIGITAL!$A$2:$J$2000,7,0),100)</f>
        <v>35</v>
      </c>
      <c r="Q922" s="5">
        <f>IFERROR(P922,0)*PARAMS_MODELO!$B$12</f>
        <v>3.5</v>
      </c>
      <c r="R922">
        <f t="shared" si="339"/>
        <v>66.648353827043138</v>
      </c>
      <c r="S922" s="5" t="str">
        <f>IFERROR(VLOOKUP(A922,CLIENTE!$A$2:$N$2000,13,0),1)</f>
        <v>Malo</v>
      </c>
      <c r="T922" s="5">
        <f>IFERROR(VLOOKUP(A922,CLIENTE!$A$2:$N$2000,14,0),1)</f>
        <v>0.7</v>
      </c>
      <c r="U922" s="5">
        <f t="shared" si="340"/>
        <v>46.653847678930191</v>
      </c>
      <c r="V922" s="5" t="str">
        <f>IF(U922&gt;=MAX(_xlfn.PERCENTILE.INC($U$2:$U$1194,PARAMS_MODELO!$B$50),PARAMS_MODELO!$B$45),"DIAMANTE",IF(U922&gt;=MAX(_xlfn.PERCENTILE.INC($U$2:$U$1194,PARAMS_MODELO!$B$51),PARAMS_MODELO!$B$46),"PLATINO",IF(U922&gt;=MAX(_xlfn.PERCENTILE.INC($U$2:$U$1194,PARAMS_MODELO!$B$52),PARAMS_MODELO!$B$47),"ORO",IF(U922&gt;=MAX(_xlfn.PERCENTILE.INC($U$2:$U$1194,PARAMS_MODELO!$B$53),PARAMS_MODELO!$B$48),"PLATA",IF(U922&gt;=1,"BRONCE","CERRADO")))))</f>
        <v>PLATA</v>
      </c>
      <c r="W922" s="5" t="str" cm="1">
        <f t="array" ref="W922">_xlfn.XLOOKUP(1, (HIST_SCORE!$B:$B=PARAMS_MODELO!$B$4) * (HIST_SCORE!$C:$C=A922), HIST_SCORE!$E:$E, "No encontrado")</f>
        <v>PLATA</v>
      </c>
      <c r="X922" s="5" t="str">
        <f>_xlfn.LET(_xlpm.act,MATCH(V922,{"DIAMANTE";"PLATINO";"ORO";"PLATA";"BRONCE";"CERRADO"},0),_xlpm.ant,MATCH(W922,{"DIAMANTE";"PLATINO";"ORO";"PLATA";"BRONCE";"CERRADO"},0),IF(_xlpm.act&lt;_xlpm.ant,"Mejora ↑",IF(_xlpm.act&gt;_xlpm.ant,"Baja ↓","Estable →")))</f>
        <v>Estable →</v>
      </c>
      <c r="Y922" s="5">
        <f>IFERROR(U922-SUMIFS(HIST_SCORE!$D:$D,HIST_SCORE!$B:$B,PARAMS_MODELO!$B$4,HIST_SCORE!$C:$C,$A922),"")</f>
        <v>-6.6621761265699249</v>
      </c>
      <c r="Z922" s="5" t="str">
        <f t="shared" si="341"/>
        <v>↓ Baja</v>
      </c>
      <c r="AA922" s="5">
        <f t="shared" si="342"/>
        <v>762</v>
      </c>
      <c r="AB922" s="5">
        <f>IFERROR(SUMIFS(HIST_SCORE!$F:$F,HIST_SCORE!$B:$B,PARAMS_MODELO!$B$4,HIST_SCORE!$C:$C,$A922),"")</f>
        <v>746</v>
      </c>
      <c r="AC922" s="5">
        <f t="shared" si="343"/>
        <v>-16</v>
      </c>
      <c r="AD922" t="str">
        <f t="shared" si="345"/>
        <v/>
      </c>
      <c r="AE9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922="CERRADO",1,IF(V922="BRONCE",_xlpm.cPl,IF(V922="PLATA",_xlpm.cO,IF(V922="ORO",_xlpm.cP,IF(V922="PLATINO",_xlpm.cD,999))))))</f>
        <v>63.199193273331495</v>
      </c>
      <c r="AF9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922="CERRADO",0,IF(V922="BRONCE",1,IF(V922="PLATA",_xlpm.cPl,IF(V922="ORO",_xlpm.cO,IF(V922="PLATINO",_xlpm.cP,_xlpm.cD))))))</f>
        <v>24.506573482968111</v>
      </c>
      <c r="AG922">
        <f t="shared" si="346"/>
        <v>23.636207992001857</v>
      </c>
      <c r="AH922" t="str">
        <f t="shared" si="347"/>
        <v>CLIENTE</v>
      </c>
      <c r="AI922" t="str">
        <f t="shared" si="344"/>
        <v>🎯 Para subir de categoría, la eje con mayor impacto probable es CLIENTE (coef T). Acción: reducir quejas, mejorar incógnito y empujar reseñas. ΔR aprox: 23,6</v>
      </c>
      <c r="AJ922" s="26">
        <f>_xlfn.LET(_xlpm.piso,AF922,_xlpm.corte,AE922,_xlpm.prog,IF(_xlpm.corte&lt;=_xlpm.piso,0,MAX(0,MIN(1,(U922-_xlpm.piso)/(_xlpm.corte-_xlpm.piso)))),_xlpm.orden,{"DIAMANTE";"PLATINO";"ORO";"PLATA";"BRONCE";"CERRADO"},_xlpm.act,IFERROR(MATCH(V922,_xlpm.orden,0),6),_xlpm.ant,IFERROR(MATCH(W922,_xlpm.orden,0),6),_xlpm.ajmov,IF(_xlpm.act&lt;_xlpm.ant,0.08,IF(_xlpm.act&gt;_xlpm.ant,-0.08,0)),_xlpm.ajcli,IF(T922&lt;0.95,-0.06,0),_xlpm.prob,MAX(0,MIN(1,_xlpm.prog+_xlpm.ajmov+_xlpm.ajcli)),IF(OR(V922="DIAMANTE",V922="CERRADO"),0,ROUND(_xlpm.prob,2)))</f>
        <v>0.51</v>
      </c>
      <c r="AK922" t="str">
        <f t="shared" si="348"/>
        <v>Faltan 23,6 puntos base para subir a la siguiente categoría</v>
      </c>
      <c r="AL922" t="str">
        <f t="shared" si="349"/>
        <v>Margen de seguridad: 22,1 puntos</v>
      </c>
      <c r="AM922">
        <f t="shared" si="350"/>
        <v>0.8</v>
      </c>
      <c r="AN922" t="str">
        <f t="shared" si="351"/>
        <v>PRIORIDAD ALTA – requiere intervención inmediata</v>
      </c>
      <c r="AO922">
        <f t="shared" si="352"/>
        <v>18.596608040938726</v>
      </c>
      <c r="AP922">
        <f t="shared" si="353"/>
        <v>0.10334277283798982</v>
      </c>
      <c r="AQ922">
        <f t="shared" si="354"/>
        <v>0</v>
      </c>
      <c r="AR922">
        <f t="shared" si="355"/>
        <v>4.55</v>
      </c>
      <c r="AS922">
        <f t="shared" si="356"/>
        <v>19.994506148112944</v>
      </c>
      <c r="AT922" t="str">
        <f t="shared" si="357"/>
        <v>CLIENTE</v>
      </c>
      <c r="AU922">
        <f t="shared" si="358"/>
        <v>19.994506148112944</v>
      </c>
      <c r="AV922" t="str">
        <f t="shared" si="359"/>
        <v>Mayor retorno probable: CLIENTE (+20,0 puntos finales potenciales).</v>
      </c>
    </row>
    <row r="923" spans="1:48" x14ac:dyDescent="0.3">
      <c r="A923" s="5">
        <v>51055136</v>
      </c>
      <c r="B923" s="5" t="str">
        <f>IFERROR(VLOOKUP(A923,VENTAS!$A$2:$B$1194,2,0),"")</f>
        <v>ROBERTS</v>
      </c>
      <c r="C923" s="5">
        <f>IFERROR(INDEX(VENTAS!$C$2:$E$1194,MATCH(A923,VENTAS!$A$2:$A$1194,0),MATCH(PARAMS_MODELO!$B$2,{"Q1","Q2","Q3"},0)),0)</f>
        <v>16463726.800000001</v>
      </c>
      <c r="D923" s="5">
        <f>IFERROR(INDEX(VENTAS!$F$2:$H$1194,MATCH(A923,VENTAS!$A$2:$A$1194,0),MATCH(PARAMS_MODELO!$B$2,{"Q1","Q2","Q3"},0)),0)</f>
        <v>25341002</v>
      </c>
      <c r="E923" s="8">
        <f t="shared" si="336"/>
        <v>0.53920204749753253</v>
      </c>
      <c r="F923" s="12">
        <f>IF(E923&lt;=PARAMS_MODELO!$B$15,0,IF(E923&gt;=PARAMS_MODELO!$B$17,100,100*MIN(1,(E923-PARAMS_MODELO!$B$15)/(PARAMS_MODELO!$B$16-PARAMS_MODELO!$B$15))))*PARAMS_MODELO!$B$7</f>
        <v>35</v>
      </c>
      <c r="G923" s="5">
        <f t="shared" si="337"/>
        <v>8877275.1999999993</v>
      </c>
      <c r="H923" s="5">
        <f>(PARAMS_MODELO!$B$20*(MAX(0,MIN(3,E923))/3)+PARAMS_MODELO!$B$21*(IFERROR(LN(1+MAX(0,G923))/LN(1+MAX(0,MAX($G$2:$G$1194))),0)))*100*PARAMS_MODELO!$B$8</f>
        <v>5.6375973736693314</v>
      </c>
      <c r="I923" s="8">
        <f>E923-PARAMS_MODELO!$B$5</f>
        <v>0.361639212122006</v>
      </c>
      <c r="J923" s="5">
        <f>IF(I923&lt;=PARAMS_MODELO!$B$18,0,IF(I923&gt;=PARAMS_MODELO!$B$19,100,100*(I923-PARAMS_MODELO!$B$18)/(PARAMS_MODELO!$B$19-PARAMS_MODELO!$B$18)))*PARAMS_MODELO!$B$9</f>
        <v>15</v>
      </c>
      <c r="K923" s="5">
        <f>IFERROR(CHOOSE(MATCH(PARAMS_MODELO!$B$2,{"Q1","Q2","Q3"},0),LOTO!$D923,LOTO!$F923,LOTO!$H923),0)</f>
        <v>1247500</v>
      </c>
      <c r="L923" s="8">
        <f t="shared" si="338"/>
        <v>4.9228519061716658E-2</v>
      </c>
      <c r="M923" s="5">
        <f>MIN(100,IF(PARAMS_MODELO!$B$23=0,0,100*L923/PARAMS_MODELO!$B$23))*PARAMS_MODELO!$B$10</f>
        <v>14.768555718514996</v>
      </c>
      <c r="N923" s="5">
        <f>IFERROR(VLOOKUP(A923,COMPLIANCE!$A$2:$F$1996,6,0),100)</f>
        <v>100</v>
      </c>
      <c r="O923" s="5">
        <f>N923*PARAMS_MODELO!$B$11</f>
        <v>10</v>
      </c>
      <c r="P923" s="5">
        <f>IFERROR(VLOOKUP(A923,DIGITAL!$A$2:$J$2000,7,0),100)</f>
        <v>9</v>
      </c>
      <c r="Q923" s="5">
        <f>IFERROR(P923,0)*PARAMS_MODELO!$B$12</f>
        <v>0.9</v>
      </c>
      <c r="R923">
        <f t="shared" si="339"/>
        <v>81.306153092184331</v>
      </c>
      <c r="S923" s="5" t="str">
        <f>IFERROR(VLOOKUP(A923,CLIENTE!$A$2:$N$2000,13,0),1)</f>
        <v>Muy Bueno</v>
      </c>
      <c r="T923" s="5">
        <f>IFERROR(VLOOKUP(A923,CLIENTE!$A$2:$N$2000,14,0),1)</f>
        <v>1.1499999999999999</v>
      </c>
      <c r="U923" s="5">
        <f t="shared" si="340"/>
        <v>93.502076056011973</v>
      </c>
      <c r="V923" s="5" t="str">
        <f>IF(U923&gt;=MAX(_xlfn.PERCENTILE.INC($U$2:$U$1194,PARAMS_MODELO!$B$50),PARAMS_MODELO!$B$45),"DIAMANTE",IF(U923&gt;=MAX(_xlfn.PERCENTILE.INC($U$2:$U$1194,PARAMS_MODELO!$B$51),PARAMS_MODELO!$B$46),"PLATINO",IF(U923&gt;=MAX(_xlfn.PERCENTILE.INC($U$2:$U$1194,PARAMS_MODELO!$B$52),PARAMS_MODELO!$B$47),"ORO",IF(U923&gt;=MAX(_xlfn.PERCENTILE.INC($U$2:$U$1194,PARAMS_MODELO!$B$53),PARAMS_MODELO!$B$48),"PLATA",IF(U923&gt;=1,"BRONCE","CERRADO")))))</f>
        <v>PLATINO</v>
      </c>
      <c r="W923" s="5" t="str" cm="1">
        <f t="array" ref="W923">_xlfn.XLOOKUP(1, (HIST_SCORE!$B:$B=PARAMS_MODELO!$B$4) * (HIST_SCORE!$C:$C=A923), HIST_SCORE!$E:$E, "No encontrado")</f>
        <v>PLATINO</v>
      </c>
      <c r="X923" s="5" t="str">
        <f>_xlfn.LET(_xlpm.act,MATCH(V923,{"DIAMANTE";"PLATINO";"ORO";"PLATA";"BRONCE";"CERRADO"},0),_xlpm.ant,MATCH(W923,{"DIAMANTE";"PLATINO";"ORO";"PLATA";"BRONCE";"CERRADO"},0),IF(_xlpm.act&lt;_xlpm.ant,"Mejora ↑",IF(_xlpm.act&gt;_xlpm.ant,"Baja ↓","Estable →")))</f>
        <v>Estable →</v>
      </c>
      <c r="Y923" s="5">
        <f>IFERROR(U923-SUMIFS(HIST_SCORE!$D:$D,HIST_SCORE!$B:$B,PARAMS_MODELO!$B$4,HIST_SCORE!$C:$C,$A923),"")</f>
        <v>0.13496767397121801</v>
      </c>
      <c r="Z923" s="5" t="str">
        <f t="shared" si="341"/>
        <v>→ Estable</v>
      </c>
      <c r="AA923" s="5">
        <f t="shared" si="342"/>
        <v>84</v>
      </c>
      <c r="AB923" s="5">
        <f>IFERROR(SUMIFS(HIST_SCORE!$F:$F,HIST_SCORE!$B:$B,PARAMS_MODELO!$B$4,HIST_SCORE!$C:$C,$A923),"")</f>
        <v>82</v>
      </c>
      <c r="AC923" s="5">
        <f t="shared" si="343"/>
        <v>-2</v>
      </c>
      <c r="AD923" t="str">
        <f t="shared" si="345"/>
        <v/>
      </c>
      <c r="AE9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923="CERRADO",1,IF(V923="BRONCE",_xlpm.cPl,IF(V923="PLATA",_xlpm.cO,IF(V923="ORO",_xlpm.cP,IF(V923="PLATINO",_xlpm.cD,999))))))</f>
        <v>96.054919694466676</v>
      </c>
      <c r="AF9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923="CERRADO",0,IF(V923="BRONCE",1,IF(V923="PLATA",_xlpm.cPl,IF(V923="ORO",_xlpm.cO,IF(V923="PLATINO",_xlpm.cP,_xlpm.cD))))))</f>
        <v>86.439123873763251</v>
      </c>
      <c r="AG923">
        <f t="shared" si="346"/>
        <v>2.2198640334388671</v>
      </c>
      <c r="AH923" t="str">
        <f t="shared" si="347"/>
        <v>VENTAS</v>
      </c>
      <c r="AI923" t="str">
        <f t="shared" si="344"/>
        <v>🎯 Para subir de categoría, eje VENTAS / IMPACTO ABSOLUTO (H). Acción: metas semanales + activación comercial + seguimiento del asesor. ΔR aprox: 2,2</v>
      </c>
      <c r="AJ923" s="26">
        <f>_xlfn.LET(_xlpm.piso,AF923,_xlpm.corte,AE923,_xlpm.prog,IF(_xlpm.corte&lt;=_xlpm.piso,0,MAX(0,MIN(1,(U923-_xlpm.piso)/(_xlpm.corte-_xlpm.piso)))),_xlpm.orden,{"DIAMANTE";"PLATINO";"ORO";"PLATA";"BRONCE";"CERRADO"},_xlpm.act,IFERROR(MATCH(V923,_xlpm.orden,0),6),_xlpm.ant,IFERROR(MATCH(W923,_xlpm.orden,0),6),_xlpm.ajmov,IF(_xlpm.act&lt;_xlpm.ant,0.08,IF(_xlpm.act&gt;_xlpm.ant,-0.08,0)),_xlpm.ajcli,IF(T923&lt;0.95,-0.06,0),_xlpm.prob,MAX(0,MIN(1,_xlpm.prog+_xlpm.ajmov+_xlpm.ajcli)),IF(OR(V923="DIAMANTE",V923="CERRADO"),0,ROUND(_xlpm.prob,2)))</f>
        <v>0.73</v>
      </c>
      <c r="AK923" t="str">
        <f t="shared" si="348"/>
        <v>Faltan 2,2 puntos base para subir a la siguiente categoría</v>
      </c>
      <c r="AL923" t="str">
        <f t="shared" si="349"/>
        <v>Margen de seguridad: 7,1 puntos</v>
      </c>
      <c r="AM923">
        <f t="shared" si="350"/>
        <v>0.2</v>
      </c>
      <c r="AN923" t="str">
        <f t="shared" si="351"/>
        <v>PRIORIDAD BAJA – control normal</v>
      </c>
      <c r="AO923">
        <f t="shared" si="352"/>
        <v>10.608717686870191</v>
      </c>
      <c r="AP923">
        <f t="shared" si="353"/>
        <v>0.26616092370775452</v>
      </c>
      <c r="AQ923">
        <f t="shared" si="354"/>
        <v>0</v>
      </c>
      <c r="AR923">
        <f t="shared" si="355"/>
        <v>10.464999999999998</v>
      </c>
      <c r="AS923">
        <f t="shared" si="356"/>
        <v>0</v>
      </c>
      <c r="AT923" t="str">
        <f t="shared" si="357"/>
        <v>VENTAS</v>
      </c>
      <c r="AU923">
        <f t="shared" si="358"/>
        <v>10.608717686870191</v>
      </c>
      <c r="AV923" t="str">
        <f t="shared" si="359"/>
        <v>Mayor retorno probable: VENTAS (+10,6 puntos finales potenciales).</v>
      </c>
    </row>
    <row r="924" spans="1:48" x14ac:dyDescent="0.3">
      <c r="A924" s="5">
        <v>51008685</v>
      </c>
      <c r="B924" s="5" t="str">
        <f>IFERROR(VLOOKUP(A924,VENTAS!$A$2:$B$1194,2,0),"")</f>
        <v>AYALA</v>
      </c>
      <c r="C924" s="5">
        <f>IFERROR(INDEX(VENTAS!$C$2:$E$1194,MATCH(A924,VENTAS!$A$2:$A$1194,0),MATCH(PARAMS_MODELO!$B$2,{"Q1","Q2","Q3"},0)),0)</f>
        <v>17293798.199999999</v>
      </c>
      <c r="D924" s="5">
        <f>IFERROR(INDEX(VENTAS!$F$2:$H$1194,MATCH(A924,VENTAS!$A$2:$A$1194,0),MATCH(PARAMS_MODELO!$B$2,{"Q1","Q2","Q3"},0)),0)</f>
        <v>25012782</v>
      </c>
      <c r="E924" s="8">
        <f t="shared" si="336"/>
        <v>0.44634404257128435</v>
      </c>
      <c r="F924" s="12">
        <f>IF(E924&lt;=PARAMS_MODELO!$B$15,0,IF(E924&gt;=PARAMS_MODELO!$B$17,100,100*MIN(1,(E924-PARAMS_MODELO!$B$15)/(PARAMS_MODELO!$B$16-PARAMS_MODELO!$B$15))))*PARAMS_MODELO!$B$7</f>
        <v>35</v>
      </c>
      <c r="G924" s="5">
        <f t="shared" si="337"/>
        <v>7718983.8000000007</v>
      </c>
      <c r="H924" s="5">
        <f>(PARAMS_MODELO!$B$20*(MAX(0,MIN(3,E924))/3)+PARAMS_MODELO!$B$21*(IFERROR(LN(1+MAX(0,G924))/LN(1+MAX(0,MAX($G$2:$G$1194))),0)))*100*PARAMS_MODELO!$B$8</f>
        <v>5.2798204898239369</v>
      </c>
      <c r="I924" s="8">
        <f>E924-PARAMS_MODELO!$B$5</f>
        <v>0.26878120719575782</v>
      </c>
      <c r="J924" s="5">
        <f>IF(I924&lt;=PARAMS_MODELO!$B$18,0,IF(I924&gt;=PARAMS_MODELO!$B$19,100,100*(I924-PARAMS_MODELO!$B$18)/(PARAMS_MODELO!$B$19-PARAMS_MODELO!$B$18)))*PARAMS_MODELO!$B$9</f>
        <v>15</v>
      </c>
      <c r="K924" s="5">
        <f>IFERROR(CHOOSE(MATCH(PARAMS_MODELO!$B$2,{"Q1","Q2","Q3"},0),LOTO!$D924,LOTO!$F924,LOTO!$H924),0)</f>
        <v>1240000</v>
      </c>
      <c r="L924" s="8">
        <f t="shared" si="338"/>
        <v>4.9574653471173256E-2</v>
      </c>
      <c r="M924" s="5">
        <f>MIN(100,IF(PARAMS_MODELO!$B$23=0,0,100*L924/PARAMS_MODELO!$B$23))*PARAMS_MODELO!$B$10</f>
        <v>14.872396041351976</v>
      </c>
      <c r="N924" s="5">
        <f>IFERROR(VLOOKUP(A924,COMPLIANCE!$A$2:$F$1996,6,0),100)</f>
        <v>99.7</v>
      </c>
      <c r="O924" s="5">
        <f>N924*PARAMS_MODELO!$B$11</f>
        <v>9.9700000000000006</v>
      </c>
      <c r="P924" s="5">
        <f>IFERROR(VLOOKUP(A924,DIGITAL!$A$2:$J$2000,7,0),100)</f>
        <v>0</v>
      </c>
      <c r="Q924" s="5">
        <f>IFERROR(P924,0)*PARAMS_MODELO!$B$12</f>
        <v>0</v>
      </c>
      <c r="R924">
        <f t="shared" si="339"/>
        <v>80.122216531175908</v>
      </c>
      <c r="S924" s="5" t="str">
        <f>IFERROR(VLOOKUP(A924,CLIENTE!$A$2:$N$2000,13,0),1)</f>
        <v>Regular</v>
      </c>
      <c r="T924" s="5">
        <f>IFERROR(VLOOKUP(A924,CLIENTE!$A$2:$N$2000,14,0),1)</f>
        <v>1</v>
      </c>
      <c r="U924" s="5">
        <f t="shared" si="340"/>
        <v>80.122216531175908</v>
      </c>
      <c r="V924" s="5" t="str">
        <f>IF(U924&gt;=MAX(_xlfn.PERCENTILE.INC($U$2:$U$1194,PARAMS_MODELO!$B$50),PARAMS_MODELO!$B$45),"DIAMANTE",IF(U924&gt;=MAX(_xlfn.PERCENTILE.INC($U$2:$U$1194,PARAMS_MODELO!$B$51),PARAMS_MODELO!$B$46),"PLATINO",IF(U924&gt;=MAX(_xlfn.PERCENTILE.INC($U$2:$U$1194,PARAMS_MODELO!$B$52),PARAMS_MODELO!$B$47),"ORO",IF(U924&gt;=MAX(_xlfn.PERCENTILE.INC($U$2:$U$1194,PARAMS_MODELO!$B$53),PARAMS_MODELO!$B$48),"PLATA",IF(U924&gt;=1,"BRONCE","CERRADO")))))</f>
        <v>ORO</v>
      </c>
      <c r="W924" s="5" t="str" cm="1">
        <f t="array" ref="W924">_xlfn.XLOOKUP(1, (HIST_SCORE!$B:$B=PARAMS_MODELO!$B$4) * (HIST_SCORE!$C:$C=A924), HIST_SCORE!$E:$E, "No encontrado")</f>
        <v>ORO</v>
      </c>
      <c r="X924" s="5" t="str">
        <f>_xlfn.LET(_xlpm.act,MATCH(V924,{"DIAMANTE";"PLATINO";"ORO";"PLATA";"BRONCE";"CERRADO"},0),_xlpm.ant,MATCH(W924,{"DIAMANTE";"PLATINO";"ORO";"PLATA";"BRONCE";"CERRADO"},0),IF(_xlpm.act&lt;_xlpm.ant,"Mejora ↑",IF(_xlpm.act&gt;_xlpm.ant,"Baja ↓","Estable →")))</f>
        <v>Estable →</v>
      </c>
      <c r="Y924" s="5">
        <f>IFERROR(U924-SUMIFS(HIST_SCORE!$D:$D,HIST_SCORE!$B:$B,PARAMS_MODELO!$B$4,HIST_SCORE!$C:$C,$A924),"")</f>
        <v>-1.4070332521379214</v>
      </c>
      <c r="Z924" s="5" t="str">
        <f t="shared" si="341"/>
        <v>→ Estable</v>
      </c>
      <c r="AA924" s="5">
        <f t="shared" si="342"/>
        <v>436</v>
      </c>
      <c r="AB924" s="5">
        <f>IFERROR(SUMIFS(HIST_SCORE!$F:$F,HIST_SCORE!$B:$B,PARAMS_MODELO!$B$4,HIST_SCORE!$C:$C,$A924),"")</f>
        <v>381</v>
      </c>
      <c r="AC924" s="5">
        <f t="shared" si="343"/>
        <v>-55</v>
      </c>
      <c r="AD924" t="str">
        <f t="shared" si="345"/>
        <v>Sostener base y reforzar mix</v>
      </c>
      <c r="AE9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924="CERRADO",1,IF(V924="BRONCE",_xlpm.cPl,IF(V924="PLATA",_xlpm.cO,IF(V924="ORO",_xlpm.cP,IF(V924="PLATINO",_xlpm.cD,999))))))</f>
        <v>86.439123873763251</v>
      </c>
      <c r="AF9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924="CERRADO",0,IF(V924="BRONCE",1,IF(V924="PLATA",_xlpm.cPl,IF(V924="ORO",_xlpm.cO,IF(V924="PLATINO",_xlpm.cP,_xlpm.cD))))))</f>
        <v>63.199193273331495</v>
      </c>
      <c r="AG924">
        <f t="shared" si="346"/>
        <v>6.3169073425873421</v>
      </c>
      <c r="AH924" t="str">
        <f t="shared" si="347"/>
        <v>VENTAS</v>
      </c>
      <c r="AI924" t="str">
        <f t="shared" si="344"/>
        <v>🎯 Para subir de categoría, eje VENTAS / IMPACTO ABSOLUTO (H). Acción: metas semanales + activación comercial + seguimiento del asesor. ΔR aprox: 6,3</v>
      </c>
      <c r="AJ924" s="26">
        <f>_xlfn.LET(_xlpm.piso,AF924,_xlpm.corte,AE924,_xlpm.prog,IF(_xlpm.corte&lt;=_xlpm.piso,0,MAX(0,MIN(1,(U924-_xlpm.piso)/(_xlpm.corte-_xlpm.piso)))),_xlpm.orden,{"DIAMANTE";"PLATINO";"ORO";"PLATA";"BRONCE";"CERRADO"},_xlpm.act,IFERROR(MATCH(V924,_xlpm.orden,0),6),_xlpm.ant,IFERROR(MATCH(W924,_xlpm.orden,0),6),_xlpm.ajmov,IF(_xlpm.act&lt;_xlpm.ant,0.08,IF(_xlpm.act&gt;_xlpm.ant,-0.08,0)),_xlpm.ajcli,IF(T924&lt;0.95,-0.06,0),_xlpm.prob,MAX(0,MIN(1,_xlpm.prog+_xlpm.ajmov+_xlpm.ajcli)),IF(OR(V924="DIAMANTE",V924="CERRADO"),0,ROUND(_xlpm.prob,2)))</f>
        <v>0.73</v>
      </c>
      <c r="AK924" t="str">
        <f t="shared" si="348"/>
        <v>Faltan 6,3 puntos base para subir a la siguiente categoría</v>
      </c>
      <c r="AL924" t="str">
        <f t="shared" si="349"/>
        <v>Margen de seguridad: 16,9 puntos</v>
      </c>
      <c r="AM924">
        <f t="shared" si="350"/>
        <v>0.36</v>
      </c>
      <c r="AN924" t="str">
        <f t="shared" si="351"/>
        <v>PRIORIDAD BAJA – control normal</v>
      </c>
      <c r="AO924">
        <f t="shared" si="352"/>
        <v>9.5827487854716509</v>
      </c>
      <c r="AP924">
        <f t="shared" si="353"/>
        <v>0.12760395864802376</v>
      </c>
      <c r="AQ924">
        <f t="shared" si="354"/>
        <v>2.9999999999999361E-2</v>
      </c>
      <c r="AR924">
        <f t="shared" si="355"/>
        <v>10</v>
      </c>
      <c r="AS924">
        <f t="shared" si="356"/>
        <v>0</v>
      </c>
      <c r="AT924" t="str">
        <f t="shared" si="357"/>
        <v>DIGITAL</v>
      </c>
      <c r="AU924">
        <f t="shared" si="358"/>
        <v>10</v>
      </c>
      <c r="AV924" t="str">
        <f t="shared" si="359"/>
        <v>Mayor retorno probable: DIGITAL (+10,0 puntos finales potenciales).</v>
      </c>
    </row>
    <row r="925" spans="1:48" x14ac:dyDescent="0.3">
      <c r="A925" s="5">
        <v>51055306</v>
      </c>
      <c r="B925" s="5" t="str">
        <f>IFERROR(VLOOKUP(A925,VENTAS!$A$2:$B$1194,2,0),"")</f>
        <v>ARGUELLO</v>
      </c>
      <c r="C925" s="5">
        <f>IFERROR(INDEX(VENTAS!$C$2:$E$1194,MATCH(A925,VENTAS!$A$2:$A$1194,0),MATCH(PARAMS_MODELO!$B$2,{"Q1","Q2","Q3"},0)),0)</f>
        <v>26737141</v>
      </c>
      <c r="D925" s="5">
        <f>IFERROR(INDEX(VENTAS!$F$2:$H$1194,MATCH(A925,VENTAS!$A$2:$A$1194,0),MATCH(PARAMS_MODELO!$B$2,{"Q1","Q2","Q3"},0)),0)</f>
        <v>24798200</v>
      </c>
      <c r="E925" s="8">
        <f t="shared" si="336"/>
        <v>-7.2518636154852878E-2</v>
      </c>
      <c r="F925" s="12">
        <f>IF(E925&lt;=PARAMS_MODELO!$B$15,0,IF(E925&gt;=PARAMS_MODELO!$B$17,100,100*MIN(1,(E925-PARAMS_MODELO!$B$15)/(PARAMS_MODELO!$B$16-PARAMS_MODELO!$B$15))))*PARAMS_MODELO!$B$7</f>
        <v>0</v>
      </c>
      <c r="G925" s="5">
        <f t="shared" si="337"/>
        <v>0</v>
      </c>
      <c r="H925" s="5">
        <f>(PARAMS_MODELO!$B$20*(MAX(0,MIN(3,E925))/3)+PARAMS_MODELO!$B$21*(IFERROR(LN(1+MAX(0,G925))/LN(1+MAX(0,MAX($G$2:$G$1194))),0)))*100*PARAMS_MODELO!$B$8</f>
        <v>0</v>
      </c>
      <c r="I925" s="8">
        <f>E925-PARAMS_MODELO!$B$5</f>
        <v>-0.25008147153037941</v>
      </c>
      <c r="J925" s="5">
        <f>IF(I925&lt;=PARAMS_MODELO!$B$18,0,IF(I925&gt;=PARAMS_MODELO!$B$19,100,100*(I925-PARAMS_MODELO!$B$18)/(PARAMS_MODELO!$B$19-PARAMS_MODELO!$B$18)))*PARAMS_MODELO!$B$9</f>
        <v>0</v>
      </c>
      <c r="K925" s="5">
        <f>IFERROR(CHOOSE(MATCH(PARAMS_MODELO!$B$2,{"Q1","Q2","Q3"},0),LOTO!$D925,LOTO!$F925,LOTO!$H925),0)</f>
        <v>1222500</v>
      </c>
      <c r="L925" s="8">
        <f t="shared" si="338"/>
        <v>4.9297932914485726E-2</v>
      </c>
      <c r="M925" s="5">
        <f>MIN(100,IF(PARAMS_MODELO!$B$23=0,0,100*L925/PARAMS_MODELO!$B$23))*PARAMS_MODELO!$B$10</f>
        <v>14.789379874345718</v>
      </c>
      <c r="N925" s="5">
        <f>IFERROR(VLOOKUP(A925,COMPLIANCE!$A$2:$F$1996,6,0),100)</f>
        <v>98.55</v>
      </c>
      <c r="O925" s="5">
        <f>N925*PARAMS_MODELO!$B$11</f>
        <v>9.8550000000000004</v>
      </c>
      <c r="P925" s="5">
        <f>IFERROR(VLOOKUP(A925,DIGITAL!$A$2:$J$2000,7,0),100)</f>
        <v>55</v>
      </c>
      <c r="Q925" s="5">
        <f>IFERROR(P925,0)*PARAMS_MODELO!$B$12</f>
        <v>5.5</v>
      </c>
      <c r="R925">
        <f t="shared" si="339"/>
        <v>30.144379874345717</v>
      </c>
      <c r="S925" s="5" t="str">
        <f>IFERROR(VLOOKUP(A925,CLIENTE!$A$2:$N$2000,13,0),1)</f>
        <v>Bueno</v>
      </c>
      <c r="T925" s="5">
        <f>IFERROR(VLOOKUP(A925,CLIENTE!$A$2:$N$2000,14,0),1)</f>
        <v>1.1000000000000001</v>
      </c>
      <c r="U925" s="5">
        <f t="shared" si="340"/>
        <v>33.158817861780292</v>
      </c>
      <c r="V925" s="5" t="str">
        <f>IF(U925&gt;=MAX(_xlfn.PERCENTILE.INC($U$2:$U$1194,PARAMS_MODELO!$B$50),PARAMS_MODELO!$B$45),"DIAMANTE",IF(U925&gt;=MAX(_xlfn.PERCENTILE.INC($U$2:$U$1194,PARAMS_MODELO!$B$51),PARAMS_MODELO!$B$46),"PLATINO",IF(U925&gt;=MAX(_xlfn.PERCENTILE.INC($U$2:$U$1194,PARAMS_MODELO!$B$52),PARAMS_MODELO!$B$47),"ORO",IF(U925&gt;=MAX(_xlfn.PERCENTILE.INC($U$2:$U$1194,PARAMS_MODELO!$B$53),PARAMS_MODELO!$B$48),"PLATA",IF(U925&gt;=1,"BRONCE","CERRADO")))))</f>
        <v>PLATA</v>
      </c>
      <c r="W925" s="5" t="str" cm="1">
        <f t="array" ref="W925">_xlfn.XLOOKUP(1, (HIST_SCORE!$B:$B=PARAMS_MODELO!$B$4) * (HIST_SCORE!$C:$C=A925), HIST_SCORE!$E:$E, "No encontrado")</f>
        <v>PLATINO</v>
      </c>
      <c r="X925" s="5" t="str">
        <f>_xlfn.LET(_xlpm.act,MATCH(V925,{"DIAMANTE";"PLATINO";"ORO";"PLATA";"BRONCE";"CERRADO"},0),_xlpm.ant,MATCH(W925,{"DIAMANTE";"PLATINO";"ORO";"PLATA";"BRONCE";"CERRADO"},0),IF(_xlpm.act&lt;_xlpm.ant,"Mejora ↑",IF(_xlpm.act&gt;_xlpm.ant,"Baja ↓","Estable →")))</f>
        <v>Baja ↓</v>
      </c>
      <c r="Y925" s="5">
        <f>IFERROR(U925-SUMIFS(HIST_SCORE!$D:$D,HIST_SCORE!$B:$B,PARAMS_MODELO!$B$4,HIST_SCORE!$C:$C,$A925),"")</f>
        <v>-58.400053905818936</v>
      </c>
      <c r="Z925" s="5" t="str">
        <f t="shared" si="341"/>
        <v>↓ Baja</v>
      </c>
      <c r="AA925" s="5">
        <f t="shared" si="342"/>
        <v>821</v>
      </c>
      <c r="AB925" s="5">
        <f>IFERROR(SUMIFS(HIST_SCORE!$F:$F,HIST_SCORE!$B:$B,PARAMS_MODELO!$B$4,HIST_SCORE!$C:$C,$A925),"")</f>
        <v>110</v>
      </c>
      <c r="AC925" s="5">
        <f t="shared" si="343"/>
        <v>-711</v>
      </c>
      <c r="AD925" t="str">
        <f t="shared" si="345"/>
        <v/>
      </c>
      <c r="AE9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925="CERRADO",1,IF(V925="BRONCE",_xlpm.cPl,IF(V925="PLATA",_xlpm.cO,IF(V925="ORO",_xlpm.cP,IF(V925="PLATINO",_xlpm.cD,999))))))</f>
        <v>63.199193273331495</v>
      </c>
      <c r="AF9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925="CERRADO",0,IF(V925="BRONCE",1,IF(V925="PLATA",_xlpm.cPl,IF(V925="ORO",_xlpm.cO,IF(V925="PLATINO",_xlpm.cP,_xlpm.cD))))))</f>
        <v>24.506573482968111</v>
      </c>
      <c r="AG925">
        <f t="shared" si="346"/>
        <v>27.309432192319278</v>
      </c>
      <c r="AH925" t="str">
        <f t="shared" si="347"/>
        <v>VENTAS</v>
      </c>
      <c r="AI925" t="str">
        <f t="shared" si="344"/>
        <v>🎯 Para subir de categoría, eje VENTAS / CRECIMIENTO PERSONAL (F). Acción: metas semanales + activación comercial + seguimiento del asesor. ΔR aprox: 27,3</v>
      </c>
      <c r="AJ925" s="26">
        <f>_xlfn.LET(_xlpm.piso,AF925,_xlpm.corte,AE925,_xlpm.prog,IF(_xlpm.corte&lt;=_xlpm.piso,0,MAX(0,MIN(1,(U925-_xlpm.piso)/(_xlpm.corte-_xlpm.piso)))),_xlpm.orden,{"DIAMANTE";"PLATINO";"ORO";"PLATA";"BRONCE";"CERRADO"},_xlpm.act,IFERROR(MATCH(V925,_xlpm.orden,0),6),_xlpm.ant,IFERROR(MATCH(W925,_xlpm.orden,0),6),_xlpm.ajmov,IF(_xlpm.act&lt;_xlpm.ant,0.08,IF(_xlpm.act&gt;_xlpm.ant,-0.08,0)),_xlpm.ajcli,IF(T925&lt;0.95,-0.06,0),_xlpm.prob,MAX(0,MIN(1,_xlpm.prog+_xlpm.ajmov+_xlpm.ajcli)),IF(OR(V925="DIAMANTE",V925="CERRADO"),0,ROUND(_xlpm.prob,2)))</f>
        <v>0.14000000000000001</v>
      </c>
      <c r="AK925" t="str">
        <f t="shared" si="348"/>
        <v>Faltan 27,3 puntos base para subir a la siguiente categoría</v>
      </c>
      <c r="AL925" t="str">
        <f t="shared" si="349"/>
        <v>Margen de seguridad: 8,7 puntos</v>
      </c>
      <c r="AM925">
        <f t="shared" si="350"/>
        <v>0.74</v>
      </c>
      <c r="AN925" t="str">
        <f t="shared" si="351"/>
        <v>PRIORIDAD ALTA – requiere intervención inmediata</v>
      </c>
      <c r="AO925">
        <f t="shared" si="352"/>
        <v>71.348826202825151</v>
      </c>
      <c r="AP925">
        <f t="shared" si="353"/>
        <v>0.23168213821971034</v>
      </c>
      <c r="AQ925">
        <f t="shared" si="354"/>
        <v>0.15949999999999953</v>
      </c>
      <c r="AR925">
        <f t="shared" si="355"/>
        <v>4.95</v>
      </c>
      <c r="AS925">
        <f t="shared" si="356"/>
        <v>0</v>
      </c>
      <c r="AT925" t="str">
        <f t="shared" si="357"/>
        <v>VENTAS</v>
      </c>
      <c r="AU925">
        <f t="shared" si="358"/>
        <v>71.348826202825151</v>
      </c>
      <c r="AV925" t="str">
        <f t="shared" si="359"/>
        <v>Mayor retorno probable: VENTAS (+71,3 puntos finales potenciales).</v>
      </c>
    </row>
    <row r="926" spans="1:48" x14ac:dyDescent="0.3">
      <c r="A926" s="5">
        <v>51024036</v>
      </c>
      <c r="B926" s="5" t="str">
        <f>IFERROR(VLOOKUP(A926,VENTAS!$A$2:$B$1194,2,0),"")</f>
        <v>LÓPEZ</v>
      </c>
      <c r="C926" s="5">
        <f>IFERROR(INDEX(VENTAS!$C$2:$E$1194,MATCH(A926,VENTAS!$A$2:$A$1194,0),MATCH(PARAMS_MODELO!$B$2,{"Q1","Q2","Q3"},0)),0)</f>
        <v>16785279.149999999</v>
      </c>
      <c r="D926" s="5">
        <f>IFERROR(INDEX(VENTAS!$F$2:$H$1194,MATCH(A926,VENTAS!$A$2:$A$1194,0),MATCH(PARAMS_MODELO!$B$2,{"Q1","Q2","Q3"},0)),0)</f>
        <v>24594986</v>
      </c>
      <c r="E926" s="8">
        <f t="shared" si="336"/>
        <v>0.46527119270459094</v>
      </c>
      <c r="F926" s="12">
        <f>IF(E926&lt;=PARAMS_MODELO!$B$15,0,IF(E926&gt;=PARAMS_MODELO!$B$17,100,100*MIN(1,(E926-PARAMS_MODELO!$B$15)/(PARAMS_MODELO!$B$16-PARAMS_MODELO!$B$15))))*PARAMS_MODELO!$B$7</f>
        <v>35</v>
      </c>
      <c r="G926" s="5">
        <f t="shared" si="337"/>
        <v>7809706.8500000015</v>
      </c>
      <c r="H926" s="5">
        <f>(PARAMS_MODELO!$B$20*(MAX(0,MIN(3,E926))/3)+PARAMS_MODELO!$B$21*(IFERROR(LN(1+MAX(0,G926))/LN(1+MAX(0,MAX($G$2:$G$1194))),0)))*100*PARAMS_MODELO!$B$8</f>
        <v>5.3488045728431315</v>
      </c>
      <c r="I926" s="8">
        <f>E926-PARAMS_MODELO!$B$5</f>
        <v>0.28770835732906441</v>
      </c>
      <c r="J926" s="5">
        <f>IF(I926&lt;=PARAMS_MODELO!$B$18,0,IF(I926&gt;=PARAMS_MODELO!$B$19,100,100*(I926-PARAMS_MODELO!$B$18)/(PARAMS_MODELO!$B$19-PARAMS_MODELO!$B$18)))*PARAMS_MODELO!$B$9</f>
        <v>15</v>
      </c>
      <c r="K926" s="5">
        <f>IFERROR(CHOOSE(MATCH(PARAMS_MODELO!$B$2,{"Q1","Q2","Q3"},0),LOTO!$D926,LOTO!$F926,LOTO!$H926),0)</f>
        <v>1207500</v>
      </c>
      <c r="L926" s="8">
        <f t="shared" si="338"/>
        <v>4.9095372528368181E-2</v>
      </c>
      <c r="M926" s="5">
        <f>MIN(100,IF(PARAMS_MODELO!$B$23=0,0,100*L926/PARAMS_MODELO!$B$23))*PARAMS_MODELO!$B$10</f>
        <v>14.728611758510453</v>
      </c>
      <c r="N926" s="5">
        <f>IFERROR(VLOOKUP(A926,COMPLIANCE!$A$2:$F$1996,6,0),100)</f>
        <v>99.9</v>
      </c>
      <c r="O926" s="5">
        <f>N926*PARAMS_MODELO!$B$11</f>
        <v>9.990000000000002</v>
      </c>
      <c r="P926" s="5">
        <f>IFERROR(VLOOKUP(A926,DIGITAL!$A$2:$J$2000,7,0),100)</f>
        <v>33</v>
      </c>
      <c r="Q926" s="5">
        <f>IFERROR(P926,0)*PARAMS_MODELO!$B$12</f>
        <v>3.3000000000000003</v>
      </c>
      <c r="R926">
        <f t="shared" si="339"/>
        <v>83.367416331353596</v>
      </c>
      <c r="S926" s="5" t="str">
        <f>IFERROR(VLOOKUP(A926,CLIENTE!$A$2:$N$2000,13,0),1)</f>
        <v>Regular</v>
      </c>
      <c r="T926" s="5">
        <f>IFERROR(VLOOKUP(A926,CLIENTE!$A$2:$N$2000,14,0),1)</f>
        <v>1</v>
      </c>
      <c r="U926" s="5">
        <f t="shared" si="340"/>
        <v>83.367416331353596</v>
      </c>
      <c r="V926" s="5" t="str">
        <f>IF(U926&gt;=MAX(_xlfn.PERCENTILE.INC($U$2:$U$1194,PARAMS_MODELO!$B$50),PARAMS_MODELO!$B$45),"DIAMANTE",IF(U926&gt;=MAX(_xlfn.PERCENTILE.INC($U$2:$U$1194,PARAMS_MODELO!$B$51),PARAMS_MODELO!$B$46),"PLATINO",IF(U926&gt;=MAX(_xlfn.PERCENTILE.INC($U$2:$U$1194,PARAMS_MODELO!$B$52),PARAMS_MODELO!$B$47),"ORO",IF(U926&gt;=MAX(_xlfn.PERCENTILE.INC($U$2:$U$1194,PARAMS_MODELO!$B$53),PARAMS_MODELO!$B$48),"PLATA",IF(U926&gt;=1,"BRONCE","CERRADO")))))</f>
        <v>ORO</v>
      </c>
      <c r="W926" s="5" t="str" cm="1">
        <f t="array" ref="W926">_xlfn.XLOOKUP(1, (HIST_SCORE!$B:$B=PARAMS_MODELO!$B$4) * (HIST_SCORE!$C:$C=A926), HIST_SCORE!$E:$E, "No encontrado")</f>
        <v>ORO</v>
      </c>
      <c r="X926" s="5" t="str">
        <f>_xlfn.LET(_xlpm.act,MATCH(V926,{"DIAMANTE";"PLATINO";"ORO";"PLATA";"BRONCE";"CERRADO"},0),_xlpm.ant,MATCH(W926,{"DIAMANTE";"PLATINO";"ORO";"PLATA";"BRONCE";"CERRADO"},0),IF(_xlpm.act&lt;_xlpm.ant,"Mejora ↑",IF(_xlpm.act&gt;_xlpm.ant,"Baja ↓","Estable →")))</f>
        <v>Estable →</v>
      </c>
      <c r="Y926" s="5">
        <f>IFERROR(U926-SUMIFS(HIST_SCORE!$D:$D,HIST_SCORE!$B:$B,PARAMS_MODELO!$B$4,HIST_SCORE!$C:$C,$A926),"")</f>
        <v>16.388405799097981</v>
      </c>
      <c r="Z926" s="5" t="str">
        <f t="shared" si="341"/>
        <v>↑ Mejora</v>
      </c>
      <c r="AA926" s="5">
        <f t="shared" si="342"/>
        <v>336</v>
      </c>
      <c r="AB926" s="5">
        <f>IFERROR(SUMIFS(HIST_SCORE!$F:$F,HIST_SCORE!$B:$B,PARAMS_MODELO!$B$4,HIST_SCORE!$C:$C,$A926),"")</f>
        <v>563</v>
      </c>
      <c r="AC926" s="5">
        <f t="shared" si="343"/>
        <v>227</v>
      </c>
      <c r="AD926" t="str">
        <f t="shared" si="345"/>
        <v/>
      </c>
      <c r="AE9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926="CERRADO",1,IF(V926="BRONCE",_xlpm.cPl,IF(V926="PLATA",_xlpm.cO,IF(V926="ORO",_xlpm.cP,IF(V926="PLATINO",_xlpm.cD,999))))))</f>
        <v>86.439123873763251</v>
      </c>
      <c r="AF9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926="CERRADO",0,IF(V926="BRONCE",1,IF(V926="PLATA",_xlpm.cPl,IF(V926="ORO",_xlpm.cO,IF(V926="PLATINO",_xlpm.cP,_xlpm.cD))))))</f>
        <v>63.199193273331495</v>
      </c>
      <c r="AG926">
        <f t="shared" si="346"/>
        <v>3.0717075424096549</v>
      </c>
      <c r="AH926" t="str">
        <f t="shared" si="347"/>
        <v>VENTAS</v>
      </c>
      <c r="AI926" t="str">
        <f t="shared" si="344"/>
        <v>🎯 Para subir de categoría, eje VENTAS / IMPACTO ABSOLUTO (H). Acción: metas semanales + activación comercial + seguimiento del asesor. ΔR aprox: 3,1</v>
      </c>
      <c r="AJ926" s="26">
        <f>_xlfn.LET(_xlpm.piso,AF926,_xlpm.corte,AE926,_xlpm.prog,IF(_xlpm.corte&lt;=_xlpm.piso,0,MAX(0,MIN(1,(U926-_xlpm.piso)/(_xlpm.corte-_xlpm.piso)))),_xlpm.orden,{"DIAMANTE";"PLATINO";"ORO";"PLATA";"BRONCE";"CERRADO"},_xlpm.act,IFERROR(MATCH(V926,_xlpm.orden,0),6),_xlpm.ant,IFERROR(MATCH(W926,_xlpm.orden,0),6),_xlpm.ajmov,IF(_xlpm.act&lt;_xlpm.ant,0.08,IF(_xlpm.act&gt;_xlpm.ant,-0.08,0)),_xlpm.ajcli,IF(T926&lt;0.95,-0.06,0),_xlpm.prob,MAX(0,MIN(1,_xlpm.prog+_xlpm.ajmov+_xlpm.ajcli)),IF(OR(V926="DIAMANTE",V926="CERRADO"),0,ROUND(_xlpm.prob,2)))</f>
        <v>0.87</v>
      </c>
      <c r="AK926" t="str">
        <f t="shared" si="348"/>
        <v>Faltan 3,1 puntos base para subir a la siguiente categoría</v>
      </c>
      <c r="AL926" t="str">
        <f t="shared" si="349"/>
        <v>Margen de seguridad: 20,2 puntos</v>
      </c>
      <c r="AM926">
        <f t="shared" si="350"/>
        <v>0.17</v>
      </c>
      <c r="AN926" t="str">
        <f t="shared" si="351"/>
        <v>PRIORIDAD BAJA – control normal</v>
      </c>
      <c r="AO926">
        <f t="shared" si="352"/>
        <v>9.5137647024524554</v>
      </c>
      <c r="AP926">
        <f t="shared" si="353"/>
        <v>0.27138824148954654</v>
      </c>
      <c r="AQ926">
        <f t="shared" si="354"/>
        <v>9.9999999999980105E-3</v>
      </c>
      <c r="AR926">
        <f t="shared" si="355"/>
        <v>6.6999999999999993</v>
      </c>
      <c r="AS926">
        <f t="shared" si="356"/>
        <v>0</v>
      </c>
      <c r="AT926" t="str">
        <f t="shared" si="357"/>
        <v>VENTAS</v>
      </c>
      <c r="AU926">
        <f t="shared" si="358"/>
        <v>9.5137647024524554</v>
      </c>
      <c r="AV926" t="str">
        <f t="shared" si="359"/>
        <v>Mayor retorno probable: VENTAS (+9,5 puntos finales potenciales).</v>
      </c>
    </row>
    <row r="927" spans="1:48" x14ac:dyDescent="0.3">
      <c r="A927" s="5">
        <v>51011597</v>
      </c>
      <c r="B927" s="5" t="str">
        <f>IFERROR(VLOOKUP(A927,VENTAS!$A$2:$B$1194,2,0),"")</f>
        <v>AYALA</v>
      </c>
      <c r="C927" s="5">
        <f>IFERROR(INDEX(VENTAS!$C$2:$E$1194,MATCH(A927,VENTAS!$A$2:$A$1194,0),MATCH(PARAMS_MODELO!$B$2,{"Q1","Q2","Q3"},0)),0)</f>
        <v>19765069</v>
      </c>
      <c r="D927" s="5">
        <f>IFERROR(INDEX(VENTAS!$F$2:$H$1194,MATCH(A927,VENTAS!$A$2:$A$1194,0),MATCH(PARAMS_MODELO!$B$2,{"Q1","Q2","Q3"},0)),0)</f>
        <v>24478236</v>
      </c>
      <c r="E927" s="8">
        <f t="shared" si="336"/>
        <v>0.23845942556537492</v>
      </c>
      <c r="F927" s="12">
        <f>IF(E927&lt;=PARAMS_MODELO!$B$15,0,IF(E927&gt;=PARAMS_MODELO!$B$17,100,100*MIN(1,(E927-PARAMS_MODELO!$B$15)/(PARAMS_MODELO!$B$16-PARAMS_MODELO!$B$15))))*PARAMS_MODELO!$B$7</f>
        <v>35</v>
      </c>
      <c r="G927" s="5">
        <f t="shared" si="337"/>
        <v>4713167</v>
      </c>
      <c r="H927" s="5">
        <f>(PARAMS_MODELO!$B$20*(MAX(0,MIN(3,E927))/3)+PARAMS_MODELO!$B$21*(IFERROR(LN(1+MAX(0,G927))/LN(1+MAX(0,MAX($G$2:$G$1194))),0)))*100*PARAMS_MODELO!$B$8</f>
        <v>4.4365826352530568</v>
      </c>
      <c r="I927" s="8">
        <f>E927-PARAMS_MODELO!$B$5</f>
        <v>6.0896590189848387E-2</v>
      </c>
      <c r="J927" s="5">
        <f>IF(I927&lt;=PARAMS_MODELO!$B$18,0,IF(I927&gt;=PARAMS_MODELO!$B$19,100,100*(I927-PARAMS_MODELO!$B$18)/(PARAMS_MODELO!$B$19-PARAMS_MODELO!$B$18)))*PARAMS_MODELO!$B$9</f>
        <v>15</v>
      </c>
      <c r="K927" s="5">
        <f>IFERROR(CHOOSE(MATCH(PARAMS_MODELO!$B$2,{"Q1","Q2","Q3"},0),LOTO!$D927,LOTO!$F927,LOTO!$H927),0)</f>
        <v>1197500</v>
      </c>
      <c r="L927" s="8">
        <f t="shared" si="338"/>
        <v>4.892100885047436E-2</v>
      </c>
      <c r="M927" s="5">
        <f>MIN(100,IF(PARAMS_MODELO!$B$23=0,0,100*L927/PARAMS_MODELO!$B$23))*PARAMS_MODELO!$B$10</f>
        <v>14.676302655142306</v>
      </c>
      <c r="N927" s="5">
        <f>IFERROR(VLOOKUP(A927,COMPLIANCE!$A$2:$F$1996,6,0),100)</f>
        <v>99.98</v>
      </c>
      <c r="O927" s="5">
        <f>N927*PARAMS_MODELO!$B$11</f>
        <v>9.9980000000000011</v>
      </c>
      <c r="P927" s="5">
        <f>IFERROR(VLOOKUP(A927,DIGITAL!$A$2:$J$2000,7,0),100)</f>
        <v>77</v>
      </c>
      <c r="Q927" s="5">
        <f>IFERROR(P927,0)*PARAMS_MODELO!$B$12</f>
        <v>7.7</v>
      </c>
      <c r="R927">
        <f t="shared" si="339"/>
        <v>86.810885290395376</v>
      </c>
      <c r="S927" s="5" t="str">
        <f>IFERROR(VLOOKUP(A927,CLIENTE!$A$2:$N$2000,13,0),1)</f>
        <v>Malo</v>
      </c>
      <c r="T927" s="5">
        <f>IFERROR(VLOOKUP(A927,CLIENTE!$A$2:$N$2000,14,0),1)</f>
        <v>0.7</v>
      </c>
      <c r="U927" s="5">
        <f t="shared" si="340"/>
        <v>60.767619703276758</v>
      </c>
      <c r="V927" s="5" t="str">
        <f>IF(U927&gt;=MAX(_xlfn.PERCENTILE.INC($U$2:$U$1194,PARAMS_MODELO!$B$50),PARAMS_MODELO!$B$45),"DIAMANTE",IF(U927&gt;=MAX(_xlfn.PERCENTILE.INC($U$2:$U$1194,PARAMS_MODELO!$B$51),PARAMS_MODELO!$B$46),"PLATINO",IF(U927&gt;=MAX(_xlfn.PERCENTILE.INC($U$2:$U$1194,PARAMS_MODELO!$B$52),PARAMS_MODELO!$B$47),"ORO",IF(U927&gt;=MAX(_xlfn.PERCENTILE.INC($U$2:$U$1194,PARAMS_MODELO!$B$53),PARAMS_MODELO!$B$48),"PLATA",IF(U927&gt;=1,"BRONCE","CERRADO")))))</f>
        <v>PLATA</v>
      </c>
      <c r="W927" s="5" t="str" cm="1">
        <f t="array" ref="W927">_xlfn.XLOOKUP(1, (HIST_SCORE!$B:$B=PARAMS_MODELO!$B$4) * (HIST_SCORE!$C:$C=A927), HIST_SCORE!$E:$E, "No encontrado")</f>
        <v>PLATA</v>
      </c>
      <c r="X927" s="5" t="str">
        <f>_xlfn.LET(_xlpm.act,MATCH(V927,{"DIAMANTE";"PLATINO";"ORO";"PLATA";"BRONCE";"CERRADO"},0),_xlpm.ant,MATCH(W927,{"DIAMANTE";"PLATINO";"ORO";"PLATA";"BRONCE";"CERRADO"},0),IF(_xlpm.act&lt;_xlpm.ant,"Mejora ↑",IF(_xlpm.act&gt;_xlpm.ant,"Baja ↓","Estable →")))</f>
        <v>Estable →</v>
      </c>
      <c r="Y927" s="5">
        <f>IFERROR(U927-SUMIFS(HIST_SCORE!$D:$D,HIST_SCORE!$B:$B,PARAMS_MODELO!$B$4,HIST_SCORE!$C:$C,$A927),"")</f>
        <v>-1.185302630552016</v>
      </c>
      <c r="Z927" s="5" t="str">
        <f t="shared" si="341"/>
        <v>→ Estable</v>
      </c>
      <c r="AA927" s="5">
        <f t="shared" si="342"/>
        <v>603</v>
      </c>
      <c r="AB927" s="5">
        <f>IFERROR(SUMIFS(HIST_SCORE!$F:$F,HIST_SCORE!$B:$B,PARAMS_MODELO!$B$4,HIST_SCORE!$C:$C,$A927),"")</f>
        <v>612</v>
      </c>
      <c r="AC927" s="5">
        <f t="shared" si="343"/>
        <v>9</v>
      </c>
      <c r="AD927" t="str">
        <f t="shared" si="345"/>
        <v/>
      </c>
      <c r="AE9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927="CERRADO",1,IF(V927="BRONCE",_xlpm.cPl,IF(V927="PLATA",_xlpm.cO,IF(V927="ORO",_xlpm.cP,IF(V927="PLATINO",_xlpm.cD,999))))))</f>
        <v>63.199193273331495</v>
      </c>
      <c r="AF9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927="CERRADO",0,IF(V927="BRONCE",1,IF(V927="PLATA",_xlpm.cPl,IF(V927="ORO",_xlpm.cO,IF(V927="PLATINO",_xlpm.cP,_xlpm.cD))))))</f>
        <v>24.506573482968111</v>
      </c>
      <c r="AG927">
        <f t="shared" si="346"/>
        <v>3.4736765286496194</v>
      </c>
      <c r="AH927" t="str">
        <f t="shared" si="347"/>
        <v>CLIENTE</v>
      </c>
      <c r="AI927" t="str">
        <f t="shared" si="344"/>
        <v>🎯 Para subir de categoría, la eje con mayor impacto probable es CLIENTE (coef T). Acción: reducir quejas, mejorar incógnito y empujar reseñas. ΔR aprox: 3,5</v>
      </c>
      <c r="AJ927" s="26">
        <f>_xlfn.LET(_xlpm.piso,AF927,_xlpm.corte,AE927,_xlpm.prog,IF(_xlpm.corte&lt;=_xlpm.piso,0,MAX(0,MIN(1,(U927-_xlpm.piso)/(_xlpm.corte-_xlpm.piso)))),_xlpm.orden,{"DIAMANTE";"PLATINO";"ORO";"PLATA";"BRONCE";"CERRADO"},_xlpm.act,IFERROR(MATCH(V927,_xlpm.orden,0),6),_xlpm.ant,IFERROR(MATCH(W927,_xlpm.orden,0),6),_xlpm.ajmov,IF(_xlpm.act&lt;_xlpm.ant,0.08,IF(_xlpm.act&gt;_xlpm.ant,-0.08,0)),_xlpm.ajcli,IF(T927&lt;0.95,-0.06,0),_xlpm.prob,MAX(0,MIN(1,_xlpm.prog+_xlpm.ajmov+_xlpm.ajcli)),IF(OR(V927="DIAMANTE",V927="CERRADO"),0,ROUND(_xlpm.prob,2)))</f>
        <v>0.88</v>
      </c>
      <c r="AK927" t="str">
        <f t="shared" si="348"/>
        <v>Faltan 3,5 puntos base para subir a la siguiente categoría</v>
      </c>
      <c r="AL927" t="str">
        <f t="shared" si="349"/>
        <v>Margen de seguridad: 36,3 puntos</v>
      </c>
      <c r="AM927">
        <f t="shared" si="350"/>
        <v>0.39</v>
      </c>
      <c r="AN927" t="str">
        <f t="shared" si="351"/>
        <v>PRIORIDAD BAJA – control normal</v>
      </c>
      <c r="AO927">
        <f t="shared" si="352"/>
        <v>7.2981906480297658</v>
      </c>
      <c r="AP927">
        <f t="shared" si="353"/>
        <v>0.22658814140038552</v>
      </c>
      <c r="AQ927">
        <f t="shared" si="354"/>
        <v>1.3999999999992239E-3</v>
      </c>
      <c r="AR927">
        <f t="shared" si="355"/>
        <v>1.6099999999999999</v>
      </c>
      <c r="AS927">
        <f t="shared" si="356"/>
        <v>26.043265587118615</v>
      </c>
      <c r="AT927" t="str">
        <f t="shared" si="357"/>
        <v>CLIENTE</v>
      </c>
      <c r="AU927">
        <f t="shared" si="358"/>
        <v>26.043265587118615</v>
      </c>
      <c r="AV927" t="str">
        <f t="shared" si="359"/>
        <v>Mayor retorno probable: CLIENTE (+26,0 puntos finales potenciales).</v>
      </c>
    </row>
    <row r="928" spans="1:48" x14ac:dyDescent="0.3">
      <c r="A928" s="5">
        <v>51043260</v>
      </c>
      <c r="B928" s="5" t="str">
        <f>IFERROR(VLOOKUP(A928,VENTAS!$A$2:$B$1194,2,0),"")</f>
        <v>ARGUELLO</v>
      </c>
      <c r="C928" s="5">
        <f>IFERROR(INDEX(VENTAS!$C$2:$E$1194,MATCH(A928,VENTAS!$A$2:$A$1194,0),MATCH(PARAMS_MODELO!$B$2,{"Q1","Q2","Q3"},0)),0)</f>
        <v>18005768.920000002</v>
      </c>
      <c r="D928" s="5">
        <f>IFERROR(INDEX(VENTAS!$F$2:$H$1194,MATCH(A928,VENTAS!$A$2:$A$1194,0),MATCH(PARAMS_MODELO!$B$2,{"Q1","Q2","Q3"},0)),0)</f>
        <v>24400525</v>
      </c>
      <c r="E928" s="8">
        <f t="shared" si="336"/>
        <v>0.35515040254109831</v>
      </c>
      <c r="F928" s="12">
        <f>IF(E928&lt;=PARAMS_MODELO!$B$15,0,IF(E928&gt;=PARAMS_MODELO!$B$17,100,100*MIN(1,(E928-PARAMS_MODELO!$B$15)/(PARAMS_MODELO!$B$16-PARAMS_MODELO!$B$15))))*PARAMS_MODELO!$B$7</f>
        <v>35</v>
      </c>
      <c r="G928" s="5">
        <f t="shared" si="337"/>
        <v>6394756.0799999982</v>
      </c>
      <c r="H928" s="5">
        <f>(PARAMS_MODELO!$B$20*(MAX(0,MIN(3,E928))/3)+PARAMS_MODELO!$B$21*(IFERROR(LN(1+MAX(0,G928))/LN(1+MAX(0,MAX($G$2:$G$1194))),0)))*100*PARAMS_MODELO!$B$8</f>
        <v>4.9165250098591375</v>
      </c>
      <c r="I928" s="8">
        <f>E928-PARAMS_MODELO!$B$5</f>
        <v>0.17758756716557178</v>
      </c>
      <c r="J928" s="5">
        <f>IF(I928&lt;=PARAMS_MODELO!$B$18,0,IF(I928&gt;=PARAMS_MODELO!$B$19,100,100*(I928-PARAMS_MODELO!$B$18)/(PARAMS_MODELO!$B$19-PARAMS_MODELO!$B$18)))*PARAMS_MODELO!$B$9</f>
        <v>15</v>
      </c>
      <c r="K928" s="5">
        <f>IFERROR(CHOOSE(MATCH(PARAMS_MODELO!$B$2,{"Q1","Q2","Q3"},0),LOTO!$D928,LOTO!$F928,LOTO!$H928),0)</f>
        <v>1190000</v>
      </c>
      <c r="L928" s="8">
        <f t="shared" si="338"/>
        <v>4.8769442460766727E-2</v>
      </c>
      <c r="M928" s="5">
        <f>MIN(100,IF(PARAMS_MODELO!$B$23=0,0,100*L928/PARAMS_MODELO!$B$23))*PARAMS_MODELO!$B$10</f>
        <v>14.630832738230017</v>
      </c>
      <c r="N928" s="5">
        <f>IFERROR(VLOOKUP(A928,COMPLIANCE!$A$2:$F$1996,6,0),100)</f>
        <v>99.85</v>
      </c>
      <c r="O928" s="5">
        <f>N928*PARAMS_MODELO!$B$11</f>
        <v>9.9849999999999994</v>
      </c>
      <c r="P928" s="5">
        <f>IFERROR(VLOOKUP(A928,DIGITAL!$A$2:$J$2000,7,0),100)</f>
        <v>2</v>
      </c>
      <c r="Q928" s="5">
        <f>IFERROR(P928,0)*PARAMS_MODELO!$B$12</f>
        <v>0.2</v>
      </c>
      <c r="R928">
        <f t="shared" si="339"/>
        <v>79.732357748089157</v>
      </c>
      <c r="S928" s="5" t="str">
        <f>IFERROR(VLOOKUP(A928,CLIENTE!$A$2:$N$2000,13,0),1)</f>
        <v>Regular</v>
      </c>
      <c r="T928" s="5">
        <f>IFERROR(VLOOKUP(A928,CLIENTE!$A$2:$N$2000,14,0),1)</f>
        <v>1</v>
      </c>
      <c r="U928" s="5">
        <f t="shared" si="340"/>
        <v>79.732357748089157</v>
      </c>
      <c r="V928" s="5" t="str">
        <f>IF(U928&gt;=MAX(_xlfn.PERCENTILE.INC($U$2:$U$1194,PARAMS_MODELO!$B$50),PARAMS_MODELO!$B$45),"DIAMANTE",IF(U928&gt;=MAX(_xlfn.PERCENTILE.INC($U$2:$U$1194,PARAMS_MODELO!$B$51),PARAMS_MODELO!$B$46),"PLATINO",IF(U928&gt;=MAX(_xlfn.PERCENTILE.INC($U$2:$U$1194,PARAMS_MODELO!$B$52),PARAMS_MODELO!$B$47),"ORO",IF(U928&gt;=MAX(_xlfn.PERCENTILE.INC($U$2:$U$1194,PARAMS_MODELO!$B$53),PARAMS_MODELO!$B$48),"PLATA",IF(U928&gt;=1,"BRONCE","CERRADO")))))</f>
        <v>ORO</v>
      </c>
      <c r="W928" s="5" t="str" cm="1">
        <f t="array" ref="W928">_xlfn.XLOOKUP(1, (HIST_SCORE!$B:$B=PARAMS_MODELO!$B$4) * (HIST_SCORE!$C:$C=A928), HIST_SCORE!$E:$E, "No encontrado")</f>
        <v>ORO</v>
      </c>
      <c r="X928" s="5" t="str">
        <f>_xlfn.LET(_xlpm.act,MATCH(V928,{"DIAMANTE";"PLATINO";"ORO";"PLATA";"BRONCE";"CERRADO"},0),_xlpm.ant,MATCH(W928,{"DIAMANTE";"PLATINO";"ORO";"PLATA";"BRONCE";"CERRADO"},0),IF(_xlpm.act&lt;_xlpm.ant,"Mejora ↑",IF(_xlpm.act&gt;_xlpm.ant,"Baja ↓","Estable →")))</f>
        <v>Estable →</v>
      </c>
      <c r="Y928" s="5">
        <f>IFERROR(U928-SUMIFS(HIST_SCORE!$D:$D,HIST_SCORE!$B:$B,PARAMS_MODELO!$B$4,HIST_SCORE!$C:$C,$A928),"")</f>
        <v>2.573284098696007</v>
      </c>
      <c r="Z928" s="5" t="str">
        <f t="shared" si="341"/>
        <v>→ Estable</v>
      </c>
      <c r="AA928" s="5">
        <f t="shared" si="342"/>
        <v>443</v>
      </c>
      <c r="AB928" s="5">
        <f>IFERROR(SUMIFS(HIST_SCORE!$F:$F,HIST_SCORE!$B:$B,PARAMS_MODELO!$B$4,HIST_SCORE!$C:$C,$A928),"")</f>
        <v>466</v>
      </c>
      <c r="AC928" s="5">
        <f t="shared" si="343"/>
        <v>23</v>
      </c>
      <c r="AD928" t="str">
        <f t="shared" si="345"/>
        <v/>
      </c>
      <c r="AE9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928="CERRADO",1,IF(V928="BRONCE",_xlpm.cPl,IF(V928="PLATA",_xlpm.cO,IF(V928="ORO",_xlpm.cP,IF(V928="PLATINO",_xlpm.cD,999))))))</f>
        <v>86.439123873763251</v>
      </c>
      <c r="AF9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928="CERRADO",0,IF(V928="BRONCE",1,IF(V928="PLATA",_xlpm.cPl,IF(V928="ORO",_xlpm.cO,IF(V928="PLATINO",_xlpm.cP,_xlpm.cD))))))</f>
        <v>63.199193273331495</v>
      </c>
      <c r="AG928">
        <f t="shared" si="346"/>
        <v>6.7067661256740934</v>
      </c>
      <c r="AH928" t="str">
        <f t="shared" si="347"/>
        <v>VENTAS</v>
      </c>
      <c r="AI928" t="str">
        <f t="shared" si="344"/>
        <v>🎯 Para subir de categoría, eje VENTAS / IMPACTO ABSOLUTO (H). Acción: metas semanales + activación comercial + seguimiento del asesor. ΔR aprox: 6,7</v>
      </c>
      <c r="AJ928" s="26">
        <f>_xlfn.LET(_xlpm.piso,AF928,_xlpm.corte,AE928,_xlpm.prog,IF(_xlpm.corte&lt;=_xlpm.piso,0,MAX(0,MIN(1,(U928-_xlpm.piso)/(_xlpm.corte-_xlpm.piso)))),_xlpm.orden,{"DIAMANTE";"PLATINO";"ORO";"PLATA";"BRONCE";"CERRADO"},_xlpm.act,IFERROR(MATCH(V928,_xlpm.orden,0),6),_xlpm.ant,IFERROR(MATCH(W928,_xlpm.orden,0),6),_xlpm.ajmov,IF(_xlpm.act&lt;_xlpm.ant,0.08,IF(_xlpm.act&gt;_xlpm.ant,-0.08,0)),_xlpm.ajcli,IF(T928&lt;0.95,-0.06,0),_xlpm.prob,MAX(0,MIN(1,_xlpm.prog+_xlpm.ajmov+_xlpm.ajcli)),IF(OR(V928="DIAMANTE",V928="CERRADO"),0,ROUND(_xlpm.prob,2)))</f>
        <v>0.71</v>
      </c>
      <c r="AK928" t="str">
        <f t="shared" si="348"/>
        <v>Faltan 6,7 puntos base para subir a la siguiente categoría</v>
      </c>
      <c r="AL928" t="str">
        <f t="shared" si="349"/>
        <v>Margen de seguridad: 16,5 puntos</v>
      </c>
      <c r="AM928">
        <f t="shared" si="350"/>
        <v>0.38</v>
      </c>
      <c r="AN928" t="str">
        <f t="shared" si="351"/>
        <v>PRIORIDAD BAJA – control normal</v>
      </c>
      <c r="AO928">
        <f t="shared" si="352"/>
        <v>9.9460442654364485</v>
      </c>
      <c r="AP928">
        <f t="shared" si="353"/>
        <v>0.3691672617699826</v>
      </c>
      <c r="AQ928">
        <f t="shared" si="354"/>
        <v>1.5000000000000568E-2</v>
      </c>
      <c r="AR928">
        <f t="shared" si="355"/>
        <v>9.8000000000000007</v>
      </c>
      <c r="AS928">
        <f t="shared" si="356"/>
        <v>0</v>
      </c>
      <c r="AT928" t="str">
        <f t="shared" si="357"/>
        <v>VENTAS</v>
      </c>
      <c r="AU928">
        <f t="shared" si="358"/>
        <v>9.9460442654364485</v>
      </c>
      <c r="AV928" t="str">
        <f t="shared" si="359"/>
        <v>Mayor retorno probable: VENTAS (+9,9 puntos finales potenciales).</v>
      </c>
    </row>
    <row r="929" spans="1:48" x14ac:dyDescent="0.3">
      <c r="A929" s="5">
        <v>51004035</v>
      </c>
      <c r="B929" s="5" t="str">
        <f>IFERROR(VLOOKUP(A929,VENTAS!$A$2:$B$1194,2,0),"")</f>
        <v>PUGH</v>
      </c>
      <c r="C929" s="5">
        <f>IFERROR(INDEX(VENTAS!$C$2:$E$1194,MATCH(A929,VENTAS!$A$2:$A$1194,0),MATCH(PARAMS_MODELO!$B$2,{"Q1","Q2","Q3"},0)),0)</f>
        <v>22258146.5</v>
      </c>
      <c r="D929" s="5">
        <f>IFERROR(INDEX(VENTAS!$F$2:$H$1194,MATCH(A929,VENTAS!$A$2:$A$1194,0),MATCH(PARAMS_MODELO!$B$2,{"Q1","Q2","Q3"},0)),0)</f>
        <v>24324930</v>
      </c>
      <c r="E929" s="8">
        <f t="shared" si="336"/>
        <v>9.2855148563246281E-2</v>
      </c>
      <c r="F929" s="12">
        <f>IF(E929&lt;=PARAMS_MODELO!$B$15,0,IF(E929&gt;=PARAMS_MODELO!$B$17,100,100*MIN(1,(E929-PARAMS_MODELO!$B$15)/(PARAMS_MODELO!$B$16-PARAMS_MODELO!$B$15))))*PARAMS_MODELO!$B$7</f>
        <v>32.499301997136193</v>
      </c>
      <c r="G929" s="5">
        <f t="shared" si="337"/>
        <v>2066783.5</v>
      </c>
      <c r="H929" s="5">
        <f>(PARAMS_MODELO!$B$20*(MAX(0,MIN(3,E929))/3)+PARAMS_MODELO!$B$21*(IFERROR(LN(1+MAX(0,G929))/LN(1+MAX(0,MAX($G$2:$G$1194))),0)))*100*PARAMS_MODELO!$B$8</f>
        <v>3.7337247020421693</v>
      </c>
      <c r="I929" s="8">
        <f>E929-PARAMS_MODELO!$B$5</f>
        <v>-8.4707686812280247E-2</v>
      </c>
      <c r="J929" s="5">
        <f>IF(I929&lt;=PARAMS_MODELO!$B$18,0,IF(I929&gt;=PARAMS_MODELO!$B$19,100,100*(I929-PARAMS_MODELO!$B$18)/(PARAMS_MODELO!$B$19-PARAMS_MODELO!$B$18)))*PARAMS_MODELO!$B$9</f>
        <v>0</v>
      </c>
      <c r="K929" s="5">
        <f>IFERROR(CHOOSE(MATCH(PARAMS_MODELO!$B$2,{"Q1","Q2","Q3"},0),LOTO!$D929,LOTO!$F929,LOTO!$H929),0)</f>
        <v>1185000</v>
      </c>
      <c r="L929" s="8">
        <f t="shared" si="338"/>
        <v>4.8715453651870737E-2</v>
      </c>
      <c r="M929" s="5">
        <f>MIN(100,IF(PARAMS_MODELO!$B$23=0,0,100*L929/PARAMS_MODELO!$B$23))*PARAMS_MODELO!$B$10</f>
        <v>14.614636095561218</v>
      </c>
      <c r="N929" s="5">
        <f>IFERROR(VLOOKUP(A929,COMPLIANCE!$A$2:$F$1996,6,0),100)</f>
        <v>99.98</v>
      </c>
      <c r="O929" s="5">
        <f>N929*PARAMS_MODELO!$B$11</f>
        <v>9.9980000000000011</v>
      </c>
      <c r="P929" s="5">
        <f>IFERROR(VLOOKUP(A929,DIGITAL!$A$2:$J$2000,7,0),100)</f>
        <v>68</v>
      </c>
      <c r="Q929" s="5">
        <f>IFERROR(P929,0)*PARAMS_MODELO!$B$12</f>
        <v>6.8000000000000007</v>
      </c>
      <c r="R929">
        <f t="shared" si="339"/>
        <v>67.645662794739579</v>
      </c>
      <c r="S929" s="5" t="str">
        <f>IFERROR(VLOOKUP(A929,CLIENTE!$A$2:$N$2000,13,0),1)</f>
        <v>Malo</v>
      </c>
      <c r="T929" s="5">
        <f>IFERROR(VLOOKUP(A929,CLIENTE!$A$2:$N$2000,14,0),1)</f>
        <v>0.7</v>
      </c>
      <c r="U929" s="5">
        <f t="shared" si="340"/>
        <v>47.351963956317704</v>
      </c>
      <c r="V929" s="5" t="str">
        <f>IF(U929&gt;=MAX(_xlfn.PERCENTILE.INC($U$2:$U$1194,PARAMS_MODELO!$B$50),PARAMS_MODELO!$B$45),"DIAMANTE",IF(U929&gt;=MAX(_xlfn.PERCENTILE.INC($U$2:$U$1194,PARAMS_MODELO!$B$51),PARAMS_MODELO!$B$46),"PLATINO",IF(U929&gt;=MAX(_xlfn.PERCENTILE.INC($U$2:$U$1194,PARAMS_MODELO!$B$52),PARAMS_MODELO!$B$47),"ORO",IF(U929&gt;=MAX(_xlfn.PERCENTILE.INC($U$2:$U$1194,PARAMS_MODELO!$B$53),PARAMS_MODELO!$B$48),"PLATA",IF(U929&gt;=1,"BRONCE","CERRADO")))))</f>
        <v>PLATA</v>
      </c>
      <c r="W929" s="5" t="str" cm="1">
        <f t="array" ref="W929">_xlfn.XLOOKUP(1, (HIST_SCORE!$B:$B=PARAMS_MODELO!$B$4) * (HIST_SCORE!$C:$C=A929), HIST_SCORE!$E:$E, "No encontrado")</f>
        <v>PLATA</v>
      </c>
      <c r="X929" s="5" t="str">
        <f>_xlfn.LET(_xlpm.act,MATCH(V929,{"DIAMANTE";"PLATINO";"ORO";"PLATA";"BRONCE";"CERRADO"},0),_xlpm.ant,MATCH(W929,{"DIAMANTE";"PLATINO";"ORO";"PLATA";"BRONCE";"CERRADO"},0),IF(_xlpm.act&lt;_xlpm.ant,"Mejora ↑",IF(_xlpm.act&gt;_xlpm.ant,"Baja ↓","Estable →")))</f>
        <v>Estable →</v>
      </c>
      <c r="Y929" s="5">
        <f>IFERROR(U929-SUMIFS(HIST_SCORE!$D:$D,HIST_SCORE!$B:$B,PARAMS_MODELO!$B$4,HIST_SCORE!$C:$C,$A929),"")</f>
        <v>-1.4423748114183468</v>
      </c>
      <c r="Z929" s="5" t="str">
        <f t="shared" si="341"/>
        <v>→ Estable</v>
      </c>
      <c r="AA929" s="5">
        <f t="shared" si="342"/>
        <v>758</v>
      </c>
      <c r="AB929" s="5">
        <f>IFERROR(SUMIFS(HIST_SCORE!$F:$F,HIST_SCORE!$B:$B,PARAMS_MODELO!$B$4,HIST_SCORE!$C:$C,$A929),"")</f>
        <v>782</v>
      </c>
      <c r="AC929" s="5">
        <f t="shared" si="343"/>
        <v>24</v>
      </c>
      <c r="AD929" t="str">
        <f t="shared" si="345"/>
        <v/>
      </c>
      <c r="AE9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929="CERRADO",1,IF(V929="BRONCE",_xlpm.cPl,IF(V929="PLATA",_xlpm.cO,IF(V929="ORO",_xlpm.cP,IF(V929="PLATINO",_xlpm.cD,999))))))</f>
        <v>63.199193273331495</v>
      </c>
      <c r="AF9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929="CERRADO",0,IF(V929="BRONCE",1,IF(V929="PLATA",_xlpm.cPl,IF(V929="ORO",_xlpm.cO,IF(V929="PLATINO",_xlpm.cP,_xlpm.cD))))))</f>
        <v>24.506573482968111</v>
      </c>
      <c r="AG929">
        <f t="shared" si="346"/>
        <v>22.638899024305417</v>
      </c>
      <c r="AH929" t="str">
        <f t="shared" si="347"/>
        <v>CLIENTE</v>
      </c>
      <c r="AI929" t="str">
        <f t="shared" si="344"/>
        <v>🎯 Para subir de categoría, la eje con mayor impacto probable es CLIENTE (coef T). Acción: reducir quejas, mejorar incógnito y empujar reseñas. ΔR aprox: 22,6</v>
      </c>
      <c r="AJ929" s="26">
        <f>_xlfn.LET(_xlpm.piso,AF929,_xlpm.corte,AE929,_xlpm.prog,IF(_xlpm.corte&lt;=_xlpm.piso,0,MAX(0,MIN(1,(U929-_xlpm.piso)/(_xlpm.corte-_xlpm.piso)))),_xlpm.orden,{"DIAMANTE";"PLATINO";"ORO";"PLATA";"BRONCE";"CERRADO"},_xlpm.act,IFERROR(MATCH(V929,_xlpm.orden,0),6),_xlpm.ant,IFERROR(MATCH(W929,_xlpm.orden,0),6),_xlpm.ajmov,IF(_xlpm.act&lt;_xlpm.ant,0.08,IF(_xlpm.act&gt;_xlpm.ant,-0.08,0)),_xlpm.ajcli,IF(T929&lt;0.95,-0.06,0),_xlpm.prob,MAX(0,MIN(1,_xlpm.prog+_xlpm.ajmov+_xlpm.ajcli)),IF(OR(V929="DIAMANTE",V929="CERRADO"),0,ROUND(_xlpm.prob,2)))</f>
        <v>0.53</v>
      </c>
      <c r="AK929" t="str">
        <f t="shared" si="348"/>
        <v>Faltan 22,6 puntos base para subir a la siguiente categoría</v>
      </c>
      <c r="AL929" t="str">
        <f t="shared" si="349"/>
        <v>Margen de seguridad: 22,8 puntos</v>
      </c>
      <c r="AM929">
        <f t="shared" si="350"/>
        <v>0.79</v>
      </c>
      <c r="AN929" t="str">
        <f t="shared" si="351"/>
        <v>PRIORIDAD ALTA – requiere intervención inmediata</v>
      </c>
      <c r="AO929">
        <f t="shared" si="352"/>
        <v>20.040679803282057</v>
      </c>
      <c r="AP929">
        <f t="shared" si="353"/>
        <v>0.26975473310714704</v>
      </c>
      <c r="AQ929">
        <f t="shared" si="354"/>
        <v>1.3999999999992239E-3</v>
      </c>
      <c r="AR929">
        <f t="shared" si="355"/>
        <v>2.2399999999999993</v>
      </c>
      <c r="AS929">
        <f t="shared" si="356"/>
        <v>20.293698838421875</v>
      </c>
      <c r="AT929" t="str">
        <f t="shared" si="357"/>
        <v>CLIENTE</v>
      </c>
      <c r="AU929">
        <f t="shared" si="358"/>
        <v>20.293698838421875</v>
      </c>
      <c r="AV929" t="str">
        <f t="shared" si="359"/>
        <v>Mayor retorno probable: CLIENTE (+20,3 puntos finales potenciales).</v>
      </c>
    </row>
    <row r="930" spans="1:48" x14ac:dyDescent="0.3">
      <c r="A930" s="5">
        <v>51043537</v>
      </c>
      <c r="B930" s="5" t="str">
        <f>IFERROR(VLOOKUP(A930,VENTAS!$A$2:$B$1194,2,0),"")</f>
        <v>AYALA</v>
      </c>
      <c r="C930" s="5">
        <f>IFERROR(INDEX(VENTAS!$C$2:$E$1194,MATCH(A930,VENTAS!$A$2:$A$1194,0),MATCH(PARAMS_MODELO!$B$2,{"Q1","Q2","Q3"},0)),0)</f>
        <v>23527745.899999999</v>
      </c>
      <c r="D930" s="5">
        <f>IFERROR(INDEX(VENTAS!$F$2:$H$1194,MATCH(A930,VENTAS!$A$2:$A$1194,0),MATCH(PARAMS_MODELO!$B$2,{"Q1","Q2","Q3"},0)),0)</f>
        <v>23562600</v>
      </c>
      <c r="E930" s="8">
        <f t="shared" si="336"/>
        <v>1.4814041323014671E-3</v>
      </c>
      <c r="F930" s="12">
        <f>IF(E930&lt;=PARAMS_MODELO!$B$15,0,IF(E930&gt;=PARAMS_MODELO!$B$17,100,100*MIN(1,(E930-PARAMS_MODELO!$B$15)/(PARAMS_MODELO!$B$16-PARAMS_MODELO!$B$15))))*PARAMS_MODELO!$B$7</f>
        <v>0.51849144630551347</v>
      </c>
      <c r="G930" s="5">
        <f t="shared" si="337"/>
        <v>34854.10000000149</v>
      </c>
      <c r="H930" s="5">
        <f>(PARAMS_MODELO!$B$20*(MAX(0,MIN(3,E930))/3)+PARAMS_MODELO!$B$21*(IFERROR(LN(1+MAX(0,G930))/LN(1+MAX(0,MAX($G$2:$G$1194))),0)))*100*PARAMS_MODELO!$B$8</f>
        <v>2.4569099214106975</v>
      </c>
      <c r="I930" s="8">
        <f>E930-PARAMS_MODELO!$B$5</f>
        <v>-0.17608143124322506</v>
      </c>
      <c r="J930" s="5">
        <f>IF(I930&lt;=PARAMS_MODELO!$B$18,0,IF(I930&gt;=PARAMS_MODELO!$B$19,100,100*(I930-PARAMS_MODELO!$B$18)/(PARAMS_MODELO!$B$19-PARAMS_MODELO!$B$18)))*PARAMS_MODELO!$B$9</f>
        <v>0</v>
      </c>
      <c r="K930" s="5">
        <f>IFERROR(CHOOSE(MATCH(PARAMS_MODELO!$B$2,{"Q1","Q2","Q3"},0),LOTO!$D930,LOTO!$F930,LOTO!$H930),0)</f>
        <v>1175000</v>
      </c>
      <c r="L930" s="8">
        <f t="shared" si="338"/>
        <v>4.986716236748067E-2</v>
      </c>
      <c r="M930" s="5">
        <f>MIN(100,IF(PARAMS_MODELO!$B$23=0,0,100*L930/PARAMS_MODELO!$B$23))*PARAMS_MODELO!$B$10</f>
        <v>14.9601487102442</v>
      </c>
      <c r="N930" s="5">
        <f>IFERROR(VLOOKUP(A930,COMPLIANCE!$A$2:$F$1996,6,0),100)</f>
        <v>100</v>
      </c>
      <c r="O930" s="5">
        <f>N930*PARAMS_MODELO!$B$11</f>
        <v>10</v>
      </c>
      <c r="P930" s="5">
        <f>IFERROR(VLOOKUP(A930,DIGITAL!$A$2:$J$2000,7,0),100)</f>
        <v>43</v>
      </c>
      <c r="Q930" s="5">
        <f>IFERROR(P930,0)*PARAMS_MODELO!$B$12</f>
        <v>4.3</v>
      </c>
      <c r="R930">
        <f t="shared" si="339"/>
        <v>32.235550077960411</v>
      </c>
      <c r="S930" s="5" t="str">
        <f>IFERROR(VLOOKUP(A930,CLIENTE!$A$2:$N$2000,13,0),1)</f>
        <v>Malo</v>
      </c>
      <c r="T930" s="5">
        <f>IFERROR(VLOOKUP(A930,CLIENTE!$A$2:$N$2000,14,0),1)</f>
        <v>0.7</v>
      </c>
      <c r="U930" s="5">
        <f t="shared" si="340"/>
        <v>22.564885054572287</v>
      </c>
      <c r="V930" s="5" t="str">
        <f>IF(U930&gt;=MAX(_xlfn.PERCENTILE.INC($U$2:$U$1194,PARAMS_MODELO!$B$50),PARAMS_MODELO!$B$45),"DIAMANTE",IF(U930&gt;=MAX(_xlfn.PERCENTILE.INC($U$2:$U$1194,PARAMS_MODELO!$B$51),PARAMS_MODELO!$B$46),"PLATINO",IF(U930&gt;=MAX(_xlfn.PERCENTILE.INC($U$2:$U$1194,PARAMS_MODELO!$B$52),PARAMS_MODELO!$B$47),"ORO",IF(U930&gt;=MAX(_xlfn.PERCENTILE.INC($U$2:$U$1194,PARAMS_MODELO!$B$53),PARAMS_MODELO!$B$48),"PLATA",IF(U930&gt;=1,"BRONCE","CERRADO")))))</f>
        <v>BRONCE</v>
      </c>
      <c r="W930" s="5" t="str" cm="1">
        <f t="array" ref="W930">_xlfn.XLOOKUP(1, (HIST_SCORE!$B:$B=PARAMS_MODELO!$B$4) * (HIST_SCORE!$C:$C=A930), HIST_SCORE!$E:$E, "No encontrado")</f>
        <v>PLATA</v>
      </c>
      <c r="X930" s="5" t="str">
        <f>_xlfn.LET(_xlpm.act,MATCH(V930,{"DIAMANTE";"PLATINO";"ORO";"PLATA";"BRONCE";"CERRADO"},0),_xlpm.ant,MATCH(W930,{"DIAMANTE";"PLATINO";"ORO";"PLATA";"BRONCE";"CERRADO"},0),IF(_xlpm.act&lt;_xlpm.ant,"Mejora ↑",IF(_xlpm.act&gt;_xlpm.ant,"Baja ↓","Estable →")))</f>
        <v>Baja ↓</v>
      </c>
      <c r="Y930" s="5">
        <f>IFERROR(U930-SUMIFS(HIST_SCORE!$D:$D,HIST_SCORE!$B:$B,PARAMS_MODELO!$B$4,HIST_SCORE!$C:$C,$A930),"")</f>
        <v>-34.667294842157901</v>
      </c>
      <c r="Z930" s="5" t="str">
        <f t="shared" si="341"/>
        <v>↓ Baja</v>
      </c>
      <c r="AA930" s="5">
        <f t="shared" si="342"/>
        <v>942</v>
      </c>
      <c r="AB930" s="5">
        <f>IFERROR(SUMIFS(HIST_SCORE!$F:$F,HIST_SCORE!$B:$B,PARAMS_MODELO!$B$4,HIST_SCORE!$C:$C,$A930),"")</f>
        <v>710</v>
      </c>
      <c r="AC930" s="5">
        <f t="shared" si="343"/>
        <v>-232</v>
      </c>
      <c r="AD930" t="str">
        <f t="shared" si="345"/>
        <v>Plan de recuperación: foco crecimiento + mix</v>
      </c>
      <c r="AE9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930="CERRADO",1,IF(V930="BRONCE",_xlpm.cPl,IF(V930="PLATA",_xlpm.cO,IF(V930="ORO",_xlpm.cP,IF(V930="PLATINO",_xlpm.cD,999))))))</f>
        <v>24.506573482968111</v>
      </c>
      <c r="AF9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930="CERRADO",0,IF(V930="BRONCE",1,IF(V930="PLATA",_xlpm.cPl,IF(V930="ORO",_xlpm.cO,IF(V930="PLATINO",_xlpm.cP,_xlpm.cD))))))</f>
        <v>1</v>
      </c>
      <c r="AG930">
        <f t="shared" si="346"/>
        <v>2.7738406119940322</v>
      </c>
      <c r="AH930" t="str">
        <f t="shared" si="347"/>
        <v>CLIENTE</v>
      </c>
      <c r="AI930" t="str">
        <f t="shared" si="344"/>
        <v>🎯 Para subir de categoría, la eje con mayor impacto probable es CLIENTE (coef T). Acción: reducir quejas, mejorar incógnito y empujar reseñas. ΔR aprox: 2,8</v>
      </c>
      <c r="AJ930" s="26">
        <f>_xlfn.LET(_xlpm.piso,AF930,_xlpm.corte,AE930,_xlpm.prog,IF(_xlpm.corte&lt;=_xlpm.piso,0,MAX(0,MIN(1,(U930-_xlpm.piso)/(_xlpm.corte-_xlpm.piso)))),_xlpm.orden,{"DIAMANTE";"PLATINO";"ORO";"PLATA";"BRONCE";"CERRADO"},_xlpm.act,IFERROR(MATCH(V930,_xlpm.orden,0),6),_xlpm.ant,IFERROR(MATCH(W930,_xlpm.orden,0),6),_xlpm.ajmov,IF(_xlpm.act&lt;_xlpm.ant,0.08,IF(_xlpm.act&gt;_xlpm.ant,-0.08,0)),_xlpm.ajcli,IF(T930&lt;0.95,-0.06,0),_xlpm.prob,MAX(0,MIN(1,_xlpm.prog+_xlpm.ajmov+_xlpm.ajcli)),IF(OR(V930="DIAMANTE",V930="CERRADO"),0,ROUND(_xlpm.prob,2)))</f>
        <v>0.78</v>
      </c>
      <c r="AK930" t="str">
        <f t="shared" si="348"/>
        <v>Faltan 2,8 puntos base para subir a la siguiente categoría</v>
      </c>
      <c r="AL930" t="str">
        <f t="shared" si="349"/>
        <v>No aplica</v>
      </c>
      <c r="AM930">
        <f t="shared" si="350"/>
        <v>0.4</v>
      </c>
      <c r="AN930" t="str">
        <f t="shared" si="351"/>
        <v>PRIORIDAD MEDIA – seguimiento del asesor</v>
      </c>
      <c r="AO930">
        <f t="shared" si="352"/>
        <v>43.321017535305558</v>
      </c>
      <c r="AP930">
        <f t="shared" si="353"/>
        <v>2.7895902829060223E-2</v>
      </c>
      <c r="AQ930">
        <f t="shared" si="354"/>
        <v>0</v>
      </c>
      <c r="AR930">
        <f t="shared" si="355"/>
        <v>3.9899999999999998</v>
      </c>
      <c r="AS930">
        <f t="shared" si="356"/>
        <v>9.6706650233881248</v>
      </c>
      <c r="AT930" t="str">
        <f t="shared" si="357"/>
        <v>VENTAS</v>
      </c>
      <c r="AU930">
        <f t="shared" si="358"/>
        <v>43.321017535305558</v>
      </c>
      <c r="AV930" t="str">
        <f t="shared" si="359"/>
        <v>Mayor retorno probable: VENTAS (+43,3 puntos finales potenciales).</v>
      </c>
    </row>
    <row r="931" spans="1:48" x14ac:dyDescent="0.3">
      <c r="A931" s="5">
        <v>51056752</v>
      </c>
      <c r="B931" s="5" t="str">
        <f>IFERROR(VLOOKUP(A931,VENTAS!$A$2:$B$1194,2,0),"")</f>
        <v>BELUZZO</v>
      </c>
      <c r="C931" s="5">
        <f>IFERROR(INDEX(VENTAS!$C$2:$E$1194,MATCH(A931,VENTAS!$A$2:$A$1194,0),MATCH(PARAMS_MODELO!$B$2,{"Q1","Q2","Q3"},0)),0)</f>
        <v>14235111.449999999</v>
      </c>
      <c r="D931" s="5">
        <f>IFERROR(INDEX(VENTAS!$F$2:$H$1194,MATCH(A931,VENTAS!$A$2:$A$1194,0),MATCH(PARAMS_MODELO!$B$2,{"Q1","Q2","Q3"},0)),0)</f>
        <v>23548680</v>
      </c>
      <c r="E931" s="8">
        <f t="shared" si="336"/>
        <v>0.65426734330204361</v>
      </c>
      <c r="F931" s="12">
        <f>IF(E931&lt;=PARAMS_MODELO!$B$15,0,IF(E931&gt;=PARAMS_MODELO!$B$17,100,100*MIN(1,(E931-PARAMS_MODELO!$B$15)/(PARAMS_MODELO!$B$16-PARAMS_MODELO!$B$15))))*PARAMS_MODELO!$B$7</f>
        <v>35</v>
      </c>
      <c r="G931" s="5">
        <f t="shared" si="337"/>
        <v>9313568.5500000007</v>
      </c>
      <c r="H931" s="5">
        <f>(PARAMS_MODELO!$B$20*(MAX(0,MIN(3,E931))/3)+PARAMS_MODELO!$B$21*(IFERROR(LN(1+MAX(0,G931))/LN(1+MAX(0,MAX($G$2:$G$1194))),0)))*100*PARAMS_MODELO!$B$8</f>
        <v>6.0515725405090457</v>
      </c>
      <c r="I931" s="8">
        <f>E931-PARAMS_MODELO!$B$5</f>
        <v>0.47670450792651708</v>
      </c>
      <c r="J931" s="5">
        <f>IF(I931&lt;=PARAMS_MODELO!$B$18,0,IF(I931&gt;=PARAMS_MODELO!$B$19,100,100*(I931-PARAMS_MODELO!$B$18)/(PARAMS_MODELO!$B$19-PARAMS_MODELO!$B$18)))*PARAMS_MODELO!$B$9</f>
        <v>15</v>
      </c>
      <c r="K931" s="5">
        <f>IFERROR(CHOOSE(MATCH(PARAMS_MODELO!$B$2,{"Q1","Q2","Q3"},0),LOTO!$D931,LOTO!$F931,LOTO!$H931),0)</f>
        <v>1167500</v>
      </c>
      <c r="L931" s="8">
        <f t="shared" si="338"/>
        <v>4.9578150452594373E-2</v>
      </c>
      <c r="M931" s="5">
        <f>MIN(100,IF(PARAMS_MODELO!$B$23=0,0,100*L931/PARAMS_MODELO!$B$23))*PARAMS_MODELO!$B$10</f>
        <v>14.873445135778312</v>
      </c>
      <c r="N931" s="5">
        <f>IFERROR(VLOOKUP(A931,COMPLIANCE!$A$2:$F$1996,6,0),100)</f>
        <v>99.83</v>
      </c>
      <c r="O931" s="5">
        <f>N931*PARAMS_MODELO!$B$11</f>
        <v>9.9830000000000005</v>
      </c>
      <c r="P931" s="5">
        <f>IFERROR(VLOOKUP(A931,DIGITAL!$A$2:$J$2000,7,0),100)</f>
        <v>20</v>
      </c>
      <c r="Q931" s="5">
        <f>IFERROR(P931,0)*PARAMS_MODELO!$B$12</f>
        <v>2</v>
      </c>
      <c r="R931">
        <f t="shared" si="339"/>
        <v>82.908017676287358</v>
      </c>
      <c r="S931" s="5" t="str">
        <f>IFERROR(VLOOKUP(A931,CLIENTE!$A$2:$N$2000,13,0),1)</f>
        <v>Malo</v>
      </c>
      <c r="T931" s="5">
        <f>IFERROR(VLOOKUP(A931,CLIENTE!$A$2:$N$2000,14,0),1)</f>
        <v>0.7</v>
      </c>
      <c r="U931" s="5">
        <f t="shared" si="340"/>
        <v>58.035612373401143</v>
      </c>
      <c r="V931" s="5" t="str">
        <f>IF(U931&gt;=MAX(_xlfn.PERCENTILE.INC($U$2:$U$1194,PARAMS_MODELO!$B$50),PARAMS_MODELO!$B$45),"DIAMANTE",IF(U931&gt;=MAX(_xlfn.PERCENTILE.INC($U$2:$U$1194,PARAMS_MODELO!$B$51),PARAMS_MODELO!$B$46),"PLATINO",IF(U931&gt;=MAX(_xlfn.PERCENTILE.INC($U$2:$U$1194,PARAMS_MODELO!$B$52),PARAMS_MODELO!$B$47),"ORO",IF(U931&gt;=MAX(_xlfn.PERCENTILE.INC($U$2:$U$1194,PARAMS_MODELO!$B$53),PARAMS_MODELO!$B$48),"PLATA",IF(U931&gt;=1,"BRONCE","CERRADO")))))</f>
        <v>PLATA</v>
      </c>
      <c r="W931" s="5" t="str" cm="1">
        <f t="array" ref="W931">_xlfn.XLOOKUP(1, (HIST_SCORE!$B:$B=PARAMS_MODELO!$B$4) * (HIST_SCORE!$C:$C=A931), HIST_SCORE!$E:$E, "No encontrado")</f>
        <v>PLATA</v>
      </c>
      <c r="X931" s="5" t="str">
        <f>_xlfn.LET(_xlpm.act,MATCH(V931,{"DIAMANTE";"PLATINO";"ORO";"PLATA";"BRONCE";"CERRADO"},0),_xlpm.ant,MATCH(W931,{"DIAMANTE";"PLATINO";"ORO";"PLATA";"BRONCE";"CERRADO"},0),IF(_xlpm.act&lt;_xlpm.ant,"Mejora ↑",IF(_xlpm.act&gt;_xlpm.ant,"Baja ↓","Estable →")))</f>
        <v>Estable →</v>
      </c>
      <c r="Y931" s="5">
        <f>IFERROR(U931-SUMIFS(HIST_SCORE!$D:$D,HIST_SCORE!$B:$B,PARAMS_MODELO!$B$4,HIST_SCORE!$C:$C,$A931),"")</f>
        <v>-2.9080145244932609</v>
      </c>
      <c r="Z931" s="5" t="str">
        <f t="shared" si="341"/>
        <v>→ Estable</v>
      </c>
      <c r="AA931" s="5">
        <f t="shared" si="342"/>
        <v>660</v>
      </c>
      <c r="AB931" s="5">
        <f>IFERROR(SUMIFS(HIST_SCORE!$F:$F,HIST_SCORE!$B:$B,PARAMS_MODELO!$B$4,HIST_SCORE!$C:$C,$A931),"")</f>
        <v>634</v>
      </c>
      <c r="AC931" s="5">
        <f t="shared" si="343"/>
        <v>-26</v>
      </c>
      <c r="AD931" t="str">
        <f t="shared" si="345"/>
        <v/>
      </c>
      <c r="AE9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931="CERRADO",1,IF(V931="BRONCE",_xlpm.cPl,IF(V931="PLATA",_xlpm.cO,IF(V931="ORO",_xlpm.cP,IF(V931="PLATINO",_xlpm.cD,999))))))</f>
        <v>63.199193273331495</v>
      </c>
      <c r="AF9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931="CERRADO",0,IF(V931="BRONCE",1,IF(V931="PLATA",_xlpm.cPl,IF(V931="ORO",_xlpm.cO,IF(V931="PLATINO",_xlpm.cP,_xlpm.cD))))))</f>
        <v>24.506573482968111</v>
      </c>
      <c r="AG931">
        <f t="shared" si="346"/>
        <v>7.3765441427576377</v>
      </c>
      <c r="AH931" t="str">
        <f t="shared" si="347"/>
        <v>CLIENTE</v>
      </c>
      <c r="AI931" t="str">
        <f t="shared" si="344"/>
        <v>🎯 Para subir de categoría, la eje con mayor impacto probable es CLIENTE (coef T). Acción: reducir quejas, mejorar incógnito y empujar reseñas. ΔR aprox: 7,4</v>
      </c>
      <c r="AJ931" s="26">
        <f>_xlfn.LET(_xlpm.piso,AF931,_xlpm.corte,AE931,_xlpm.prog,IF(_xlpm.corte&lt;=_xlpm.piso,0,MAX(0,MIN(1,(U931-_xlpm.piso)/(_xlpm.corte-_xlpm.piso)))),_xlpm.orden,{"DIAMANTE";"PLATINO";"ORO";"PLATA";"BRONCE";"CERRADO"},_xlpm.act,IFERROR(MATCH(V931,_xlpm.orden,0),6),_xlpm.ant,IFERROR(MATCH(W931,_xlpm.orden,0),6),_xlpm.ajmov,IF(_xlpm.act&lt;_xlpm.ant,0.08,IF(_xlpm.act&gt;_xlpm.ant,-0.08,0)),_xlpm.ajcli,IF(T931&lt;0.95,-0.06,0),_xlpm.prob,MAX(0,MIN(1,_xlpm.prog+_xlpm.ajmov+_xlpm.ajcli)),IF(OR(V931="DIAMANTE",V931="CERRADO"),0,ROUND(_xlpm.prob,2)))</f>
        <v>0.81</v>
      </c>
      <c r="AK931" t="str">
        <f t="shared" si="348"/>
        <v>Faltan 7,4 puntos base para subir a la siguiente categoría</v>
      </c>
      <c r="AL931" t="str">
        <f t="shared" si="349"/>
        <v>Margen de seguridad: 33,5 puntos</v>
      </c>
      <c r="AM931">
        <f t="shared" si="350"/>
        <v>0.56999999999999995</v>
      </c>
      <c r="AN931" t="str">
        <f t="shared" si="351"/>
        <v>PRIORIDAD MEDIA – seguimiento del asesor</v>
      </c>
      <c r="AO931">
        <f t="shared" si="352"/>
        <v>6.1676977143505791</v>
      </c>
      <c r="AP931">
        <f t="shared" si="353"/>
        <v>8.8588404955181943E-2</v>
      </c>
      <c r="AQ931">
        <f t="shared" si="354"/>
        <v>1.1899999999999621E-2</v>
      </c>
      <c r="AR931">
        <f t="shared" si="355"/>
        <v>5.6</v>
      </c>
      <c r="AS931">
        <f t="shared" si="356"/>
        <v>24.872405302886211</v>
      </c>
      <c r="AT931" t="str">
        <f t="shared" si="357"/>
        <v>CLIENTE</v>
      </c>
      <c r="AU931">
        <f t="shared" si="358"/>
        <v>24.872405302886211</v>
      </c>
      <c r="AV931" t="str">
        <f t="shared" si="359"/>
        <v>Mayor retorno probable: CLIENTE (+24,9 puntos finales potenciales).</v>
      </c>
    </row>
    <row r="932" spans="1:48" x14ac:dyDescent="0.3">
      <c r="A932" s="5">
        <v>51031857</v>
      </c>
      <c r="B932" s="5" t="str">
        <f>IFERROR(VLOOKUP(A932,VENTAS!$A$2:$B$1194,2,0),"")</f>
        <v>CICHETTO</v>
      </c>
      <c r="C932" s="5">
        <f>IFERROR(INDEX(VENTAS!$C$2:$E$1194,MATCH(A932,VENTAS!$A$2:$A$1194,0),MATCH(PARAMS_MODELO!$B$2,{"Q1","Q2","Q3"},0)),0)</f>
        <v>25773742.23</v>
      </c>
      <c r="D932" s="5">
        <f>IFERROR(INDEX(VENTAS!$F$2:$H$1194,MATCH(A932,VENTAS!$A$2:$A$1194,0),MATCH(PARAMS_MODELO!$B$2,{"Q1","Q2","Q3"},0)),0)</f>
        <v>22994553</v>
      </c>
      <c r="E932" s="8">
        <f t="shared" si="336"/>
        <v>-0.10783025628172427</v>
      </c>
      <c r="F932" s="12">
        <f>IF(E932&lt;=PARAMS_MODELO!$B$15,0,IF(E932&gt;=PARAMS_MODELO!$B$17,100,100*MIN(1,(E932-PARAMS_MODELO!$B$15)/(PARAMS_MODELO!$B$16-PARAMS_MODELO!$B$15))))*PARAMS_MODELO!$B$7</f>
        <v>0</v>
      </c>
      <c r="G932" s="5">
        <f t="shared" si="337"/>
        <v>0</v>
      </c>
      <c r="H932" s="5">
        <f>(PARAMS_MODELO!$B$20*(MAX(0,MIN(3,E932))/3)+PARAMS_MODELO!$B$21*(IFERROR(LN(1+MAX(0,G932))/LN(1+MAX(0,MAX($G$2:$G$1194))),0)))*100*PARAMS_MODELO!$B$8</f>
        <v>0</v>
      </c>
      <c r="I932" s="8">
        <f>E932-PARAMS_MODELO!$B$5</f>
        <v>-0.2853930916572508</v>
      </c>
      <c r="J932" s="5">
        <f>IF(I932&lt;=PARAMS_MODELO!$B$18,0,IF(I932&gt;=PARAMS_MODELO!$B$19,100,100*(I932-PARAMS_MODELO!$B$18)/(PARAMS_MODELO!$B$19-PARAMS_MODELO!$B$18)))*PARAMS_MODELO!$B$9</f>
        <v>0</v>
      </c>
      <c r="K932" s="5">
        <f>IFERROR(CHOOSE(MATCH(PARAMS_MODELO!$B$2,{"Q1","Q2","Q3"},0),LOTO!$D932,LOTO!$F932,LOTO!$H932),0)</f>
        <v>1147500</v>
      </c>
      <c r="L932" s="8">
        <f t="shared" si="338"/>
        <v>4.9903122709104193E-2</v>
      </c>
      <c r="M932" s="5">
        <f>MIN(100,IF(PARAMS_MODELO!$B$23=0,0,100*L932/PARAMS_MODELO!$B$23))*PARAMS_MODELO!$B$10</f>
        <v>14.970936812731258</v>
      </c>
      <c r="N932" s="5">
        <f>IFERROR(VLOOKUP(A932,COMPLIANCE!$A$2:$F$1996,6,0),100)</f>
        <v>100</v>
      </c>
      <c r="O932" s="5">
        <f>N932*PARAMS_MODELO!$B$11</f>
        <v>10</v>
      </c>
      <c r="P932" s="5">
        <f>IFERROR(VLOOKUP(A932,DIGITAL!$A$2:$J$2000,7,0),100)</f>
        <v>1</v>
      </c>
      <c r="Q932" s="5">
        <f>IFERROR(P932,0)*PARAMS_MODELO!$B$12</f>
        <v>0.1</v>
      </c>
      <c r="R932">
        <f t="shared" si="339"/>
        <v>25.070936812731262</v>
      </c>
      <c r="S932" s="5" t="str">
        <f>IFERROR(VLOOKUP(A932,CLIENTE!$A$2:$N$2000,13,0),1)</f>
        <v>Regular</v>
      </c>
      <c r="T932" s="5">
        <f>IFERROR(VLOOKUP(A932,CLIENTE!$A$2:$N$2000,14,0),1)</f>
        <v>1</v>
      </c>
      <c r="U932" s="5">
        <f t="shared" si="340"/>
        <v>25.070936812731262</v>
      </c>
      <c r="V932" s="5" t="str">
        <f>IF(U932&gt;=MAX(_xlfn.PERCENTILE.INC($U$2:$U$1194,PARAMS_MODELO!$B$50),PARAMS_MODELO!$B$45),"DIAMANTE",IF(U932&gt;=MAX(_xlfn.PERCENTILE.INC($U$2:$U$1194,PARAMS_MODELO!$B$51),PARAMS_MODELO!$B$46),"PLATINO",IF(U932&gt;=MAX(_xlfn.PERCENTILE.INC($U$2:$U$1194,PARAMS_MODELO!$B$52),PARAMS_MODELO!$B$47),"ORO",IF(U932&gt;=MAX(_xlfn.PERCENTILE.INC($U$2:$U$1194,PARAMS_MODELO!$B$53),PARAMS_MODELO!$B$48),"PLATA",IF(U932&gt;=1,"BRONCE","CERRADO")))))</f>
        <v>PLATA</v>
      </c>
      <c r="W932" s="5" t="str" cm="1">
        <f t="array" ref="W932">_xlfn.XLOOKUP(1, (HIST_SCORE!$B:$B=PARAMS_MODELO!$B$4) * (HIST_SCORE!$C:$C=A932), HIST_SCORE!$E:$E, "No encontrado")</f>
        <v>ORO</v>
      </c>
      <c r="X932" s="5" t="str">
        <f>_xlfn.LET(_xlpm.act,MATCH(V932,{"DIAMANTE";"PLATINO";"ORO";"PLATA";"BRONCE";"CERRADO"},0),_xlpm.ant,MATCH(W932,{"DIAMANTE";"PLATINO";"ORO";"PLATA";"BRONCE";"CERRADO"},0),IF(_xlpm.act&lt;_xlpm.ant,"Mejora ↑",IF(_xlpm.act&gt;_xlpm.ant,"Baja ↓","Estable →")))</f>
        <v>Baja ↓</v>
      </c>
      <c r="Y932" s="5">
        <f>IFERROR(U932-SUMIFS(HIST_SCORE!$D:$D,HIST_SCORE!$B:$B,PARAMS_MODELO!$B$4,HIST_SCORE!$C:$C,$A932),"")</f>
        <v>-37.932822304132841</v>
      </c>
      <c r="Z932" s="5" t="str">
        <f t="shared" si="341"/>
        <v>↓ Baja</v>
      </c>
      <c r="AA932" s="5">
        <f t="shared" si="342"/>
        <v>915</v>
      </c>
      <c r="AB932" s="5">
        <f>IFERROR(SUMIFS(HIST_SCORE!$F:$F,HIST_SCORE!$B:$B,PARAMS_MODELO!$B$4,HIST_SCORE!$C:$C,$A932),"")</f>
        <v>589</v>
      </c>
      <c r="AC932" s="5">
        <f t="shared" si="343"/>
        <v>-326</v>
      </c>
      <c r="AD932" t="str">
        <f t="shared" si="345"/>
        <v/>
      </c>
      <c r="AE9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932="CERRADO",1,IF(V932="BRONCE",_xlpm.cPl,IF(V932="PLATA",_xlpm.cO,IF(V932="ORO",_xlpm.cP,IF(V932="PLATINO",_xlpm.cD,999))))))</f>
        <v>63.199193273331495</v>
      </c>
      <c r="AF9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932="CERRADO",0,IF(V932="BRONCE",1,IF(V932="PLATA",_xlpm.cPl,IF(V932="ORO",_xlpm.cO,IF(V932="PLATINO",_xlpm.cP,_xlpm.cD))))))</f>
        <v>24.506573482968111</v>
      </c>
      <c r="AG932">
        <f t="shared" si="346"/>
        <v>38.128256460600234</v>
      </c>
      <c r="AH932" t="str">
        <f t="shared" si="347"/>
        <v>VENTAS</v>
      </c>
      <c r="AI932" t="str">
        <f t="shared" si="344"/>
        <v>🎯 Para subir de categoría, eje VENTAS / CRECIMIENTO PERSONAL (F). Acción: metas semanales + activación comercial + seguimiento del asesor. ΔR aprox: 38,1</v>
      </c>
      <c r="AJ932" s="26">
        <f>_xlfn.LET(_xlpm.piso,AF932,_xlpm.corte,AE932,_xlpm.prog,IF(_xlpm.corte&lt;=_xlpm.piso,0,MAX(0,MIN(1,(U932-_xlpm.piso)/(_xlpm.corte-_xlpm.piso)))),_xlpm.orden,{"DIAMANTE";"PLATINO";"ORO";"PLATA";"BRONCE";"CERRADO"},_xlpm.act,IFERROR(MATCH(V932,_xlpm.orden,0),6),_xlpm.ant,IFERROR(MATCH(W932,_xlpm.orden,0),6),_xlpm.ajmov,IF(_xlpm.act&lt;_xlpm.ant,0.08,IF(_xlpm.act&gt;_xlpm.ant,-0.08,0)),_xlpm.ajcli,IF(T932&lt;0.95,-0.06,0),_xlpm.prob,MAX(0,MIN(1,_xlpm.prog+_xlpm.ajmov+_xlpm.ajcli)),IF(OR(V932="DIAMANTE",V932="CERRADO"),0,ROUND(_xlpm.prob,2)))</f>
        <v>0</v>
      </c>
      <c r="AK932" t="str">
        <f t="shared" si="348"/>
        <v>Faltan 38,1 puntos base para subir a la siguiente categoría</v>
      </c>
      <c r="AL932" t="str">
        <f t="shared" si="349"/>
        <v>Margen de seguridad: 0,6 puntos</v>
      </c>
      <c r="AM932">
        <f t="shared" si="350"/>
        <v>0.8</v>
      </c>
      <c r="AN932" t="str">
        <f t="shared" si="351"/>
        <v>PRIORIDAD ALTA – requiere intervención inmediata</v>
      </c>
      <c r="AO932">
        <f t="shared" si="352"/>
        <v>64.862569275295584</v>
      </c>
      <c r="AP932">
        <f t="shared" si="353"/>
        <v>2.9063187268741686E-2</v>
      </c>
      <c r="AQ932">
        <f t="shared" si="354"/>
        <v>0</v>
      </c>
      <c r="AR932">
        <f t="shared" si="355"/>
        <v>9.9</v>
      </c>
      <c r="AS932">
        <f t="shared" si="356"/>
        <v>0</v>
      </c>
      <c r="AT932" t="str">
        <f t="shared" si="357"/>
        <v>VENTAS</v>
      </c>
      <c r="AU932">
        <f t="shared" si="358"/>
        <v>64.862569275295584</v>
      </c>
      <c r="AV932" t="str">
        <f t="shared" si="359"/>
        <v>Mayor retorno probable: VENTAS (+64,9 puntos finales potenciales).</v>
      </c>
    </row>
    <row r="933" spans="1:48" x14ac:dyDescent="0.3">
      <c r="A933" s="5">
        <v>51014138</v>
      </c>
      <c r="B933" s="5" t="str">
        <f>IFERROR(VLOOKUP(A933,VENTAS!$A$2:$B$1194,2,0),"")</f>
        <v>METTLER</v>
      </c>
      <c r="C933" s="5">
        <f>IFERROR(INDEX(VENTAS!$C$2:$E$1194,MATCH(A933,VENTAS!$A$2:$A$1194,0),MATCH(PARAMS_MODELO!$B$2,{"Q1","Q2","Q3"},0)),0)</f>
        <v>22798710</v>
      </c>
      <c r="D933" s="5">
        <f>IFERROR(INDEX(VENTAS!$F$2:$H$1194,MATCH(A933,VENTAS!$A$2:$A$1194,0),MATCH(PARAMS_MODELO!$B$2,{"Q1","Q2","Q3"},0)),0)</f>
        <v>22932720</v>
      </c>
      <c r="E933" s="8">
        <f t="shared" si="336"/>
        <v>5.8779641479715927E-3</v>
      </c>
      <c r="F933" s="12">
        <f>IF(E933&lt;=PARAMS_MODELO!$B$15,0,IF(E933&gt;=PARAMS_MODELO!$B$17,100,100*MIN(1,(E933-PARAMS_MODELO!$B$15)/(PARAMS_MODELO!$B$16-PARAMS_MODELO!$B$15))))*PARAMS_MODELO!$B$7</f>
        <v>2.0572874517900575</v>
      </c>
      <c r="G933" s="5">
        <f t="shared" si="337"/>
        <v>134010</v>
      </c>
      <c r="H933" s="5">
        <f>(PARAMS_MODELO!$B$20*(MAX(0,MIN(3,E933))/3)+PARAMS_MODELO!$B$21*(IFERROR(LN(1+MAX(0,G933))/LN(1+MAX(0,MAX($G$2:$G$1194))),0)))*100*PARAMS_MODELO!$B$8</f>
        <v>2.7879884174639757</v>
      </c>
      <c r="I933" s="8">
        <f>E933-PARAMS_MODELO!$B$5</f>
        <v>-0.17168487122755494</v>
      </c>
      <c r="J933" s="5">
        <f>IF(I933&lt;=PARAMS_MODELO!$B$18,0,IF(I933&gt;=PARAMS_MODELO!$B$19,100,100*(I933-PARAMS_MODELO!$B$18)/(PARAMS_MODELO!$B$19-PARAMS_MODELO!$B$18)))*PARAMS_MODELO!$B$9</f>
        <v>0</v>
      </c>
      <c r="K933" s="5">
        <f>IFERROR(CHOOSE(MATCH(PARAMS_MODELO!$B$2,{"Q1","Q2","Q3"},0),LOTO!$D933,LOTO!$F933,LOTO!$H933),0)</f>
        <v>1142500</v>
      </c>
      <c r="L933" s="8">
        <f t="shared" si="338"/>
        <v>4.9819646339378847E-2</v>
      </c>
      <c r="M933" s="5">
        <f>MIN(100,IF(PARAMS_MODELO!$B$23=0,0,100*L933/PARAMS_MODELO!$B$23))*PARAMS_MODELO!$B$10</f>
        <v>14.945893901813655</v>
      </c>
      <c r="N933" s="5">
        <f>IFERROR(VLOOKUP(A933,COMPLIANCE!$A$2:$F$1996,6,0),100)</f>
        <v>100</v>
      </c>
      <c r="O933" s="5">
        <f>N933*PARAMS_MODELO!$B$11</f>
        <v>10</v>
      </c>
      <c r="P933" s="5">
        <f>IFERROR(VLOOKUP(A933,DIGITAL!$A$2:$J$2000,7,0),100)</f>
        <v>66</v>
      </c>
      <c r="Q933" s="5">
        <f>IFERROR(P933,0)*PARAMS_MODELO!$B$12</f>
        <v>6.6000000000000005</v>
      </c>
      <c r="R933">
        <f t="shared" si="339"/>
        <v>36.391169771067688</v>
      </c>
      <c r="S933" s="5" t="str">
        <f>IFERROR(VLOOKUP(A933,CLIENTE!$A$2:$N$2000,13,0),1)</f>
        <v>Regular</v>
      </c>
      <c r="T933" s="5">
        <f>IFERROR(VLOOKUP(A933,CLIENTE!$A$2:$N$2000,14,0),1)</f>
        <v>1</v>
      </c>
      <c r="U933" s="5">
        <f t="shared" si="340"/>
        <v>36.391169771067688</v>
      </c>
      <c r="V933" s="5" t="str">
        <f>IF(U933&gt;=MAX(_xlfn.PERCENTILE.INC($U$2:$U$1194,PARAMS_MODELO!$B$50),PARAMS_MODELO!$B$45),"DIAMANTE",IF(U933&gt;=MAX(_xlfn.PERCENTILE.INC($U$2:$U$1194,PARAMS_MODELO!$B$51),PARAMS_MODELO!$B$46),"PLATINO",IF(U933&gt;=MAX(_xlfn.PERCENTILE.INC($U$2:$U$1194,PARAMS_MODELO!$B$52),PARAMS_MODELO!$B$47),"ORO",IF(U933&gt;=MAX(_xlfn.PERCENTILE.INC($U$2:$U$1194,PARAMS_MODELO!$B$53),PARAMS_MODELO!$B$48),"PLATA",IF(U933&gt;=1,"BRONCE","CERRADO")))))</f>
        <v>PLATA</v>
      </c>
      <c r="W933" s="5" t="str" cm="1">
        <f t="array" ref="W933">_xlfn.XLOOKUP(1, (HIST_SCORE!$B:$B=PARAMS_MODELO!$B$4) * (HIST_SCORE!$C:$C=A933), HIST_SCORE!$E:$E, "No encontrado")</f>
        <v>ORO</v>
      </c>
      <c r="X933" s="5" t="str">
        <f>_xlfn.LET(_xlpm.act,MATCH(V933,{"DIAMANTE";"PLATINO";"ORO";"PLATA";"BRONCE";"CERRADO"},0),_xlpm.ant,MATCH(W933,{"DIAMANTE";"PLATINO";"ORO";"PLATA";"BRONCE";"CERRADO"},0),IF(_xlpm.act&lt;_xlpm.ant,"Mejora ↑",IF(_xlpm.act&gt;_xlpm.ant,"Baja ↓","Estable →")))</f>
        <v>Baja ↓</v>
      </c>
      <c r="Y933" s="5">
        <f>IFERROR(U933-SUMIFS(HIST_SCORE!$D:$D,HIST_SCORE!$B:$B,PARAMS_MODELO!$B$4,HIST_SCORE!$C:$C,$A933),"")</f>
        <v>-45.406086446955022</v>
      </c>
      <c r="Z933" s="5" t="str">
        <f t="shared" si="341"/>
        <v>↓ Baja</v>
      </c>
      <c r="AA933" s="5">
        <f t="shared" si="342"/>
        <v>802</v>
      </c>
      <c r="AB933" s="5">
        <f>IFERROR(SUMIFS(HIST_SCORE!$F:$F,HIST_SCORE!$B:$B,PARAMS_MODELO!$B$4,HIST_SCORE!$C:$C,$A933),"")</f>
        <v>377</v>
      </c>
      <c r="AC933" s="5">
        <f t="shared" si="343"/>
        <v>-425</v>
      </c>
      <c r="AD933" t="str">
        <f t="shared" si="345"/>
        <v/>
      </c>
      <c r="AE9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933="CERRADO",1,IF(V933="BRONCE",_xlpm.cPl,IF(V933="PLATA",_xlpm.cO,IF(V933="ORO",_xlpm.cP,IF(V933="PLATINO",_xlpm.cD,999))))))</f>
        <v>63.199193273331495</v>
      </c>
      <c r="AF9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933="CERRADO",0,IF(V933="BRONCE",1,IF(V933="PLATA",_xlpm.cPl,IF(V933="ORO",_xlpm.cO,IF(V933="PLATINO",_xlpm.cP,_xlpm.cD))))))</f>
        <v>24.506573482968111</v>
      </c>
      <c r="AG933">
        <f t="shared" si="346"/>
        <v>26.808023502263808</v>
      </c>
      <c r="AH933" t="str">
        <f t="shared" si="347"/>
        <v>VENTAS</v>
      </c>
      <c r="AI933" t="str">
        <f t="shared" si="344"/>
        <v>🎯 Para subir de categoría, eje VENTAS / DIFERENCIAL vs LOTBA (J). Acción: metas semanales + activación comercial + seguimiento del asesor. ΔR aprox: 26,8</v>
      </c>
      <c r="AJ933" s="26">
        <f>_xlfn.LET(_xlpm.piso,AF933,_xlpm.corte,AE933,_xlpm.prog,IF(_xlpm.corte&lt;=_xlpm.piso,0,MAX(0,MIN(1,(U933-_xlpm.piso)/(_xlpm.corte-_xlpm.piso)))),_xlpm.orden,{"DIAMANTE";"PLATINO";"ORO";"PLATA";"BRONCE";"CERRADO"},_xlpm.act,IFERROR(MATCH(V933,_xlpm.orden,0),6),_xlpm.ant,IFERROR(MATCH(W933,_xlpm.orden,0),6),_xlpm.ajmov,IF(_xlpm.act&lt;_xlpm.ant,0.08,IF(_xlpm.act&gt;_xlpm.ant,-0.08,0)),_xlpm.ajcli,IF(T933&lt;0.95,-0.06,0),_xlpm.prob,MAX(0,MIN(1,_xlpm.prog+_xlpm.ajmov+_xlpm.ajcli)),IF(OR(V933="DIAMANTE",V933="CERRADO"),0,ROUND(_xlpm.prob,2)))</f>
        <v>0.23</v>
      </c>
      <c r="AK933" t="str">
        <f t="shared" si="348"/>
        <v>Faltan 26,8 puntos base para subir a la siguiente categoría</v>
      </c>
      <c r="AL933" t="str">
        <f t="shared" si="349"/>
        <v>Margen de seguridad: 11,9 puntos</v>
      </c>
      <c r="AM933">
        <f t="shared" si="350"/>
        <v>0.71</v>
      </c>
      <c r="AN933" t="str">
        <f t="shared" si="351"/>
        <v>PRIORIDAD ALTA – requiere intervención inmediata</v>
      </c>
      <c r="AO933">
        <f t="shared" si="352"/>
        <v>60.017293406041553</v>
      </c>
      <c r="AP933">
        <f t="shared" si="353"/>
        <v>5.4106098186345264E-2</v>
      </c>
      <c r="AQ933">
        <f t="shared" si="354"/>
        <v>0</v>
      </c>
      <c r="AR933">
        <f t="shared" si="355"/>
        <v>3.3999999999999995</v>
      </c>
      <c r="AS933">
        <f t="shared" si="356"/>
        <v>0</v>
      </c>
      <c r="AT933" t="str">
        <f t="shared" si="357"/>
        <v>VENTAS</v>
      </c>
      <c r="AU933">
        <f t="shared" si="358"/>
        <v>60.017293406041553</v>
      </c>
      <c r="AV933" t="str">
        <f t="shared" si="359"/>
        <v>Mayor retorno probable: VENTAS (+60,0 puntos finales potenciales).</v>
      </c>
    </row>
    <row r="934" spans="1:48" x14ac:dyDescent="0.3">
      <c r="A934" s="5">
        <v>51055578</v>
      </c>
      <c r="B934" s="5" t="str">
        <f>IFERROR(VLOOKUP(A934,VENTAS!$A$2:$B$1194,2,0),"")</f>
        <v>ROBERTS</v>
      </c>
      <c r="C934" s="5">
        <f>IFERROR(INDEX(VENTAS!$C$2:$E$1194,MATCH(A934,VENTAS!$A$2:$A$1194,0),MATCH(PARAMS_MODELO!$B$2,{"Q1","Q2","Q3"},0)),0)</f>
        <v>20668498.600000001</v>
      </c>
      <c r="D934" s="5">
        <f>IFERROR(INDEX(VENTAS!$F$2:$H$1194,MATCH(A934,VENTAS!$A$2:$A$1194,0),MATCH(PARAMS_MODELO!$B$2,{"Q1","Q2","Q3"},0)),0)</f>
        <v>22258620</v>
      </c>
      <c r="E934" s="8">
        <f t="shared" si="336"/>
        <v>7.6934538438123257E-2</v>
      </c>
      <c r="F934" s="12">
        <f>IF(E934&lt;=PARAMS_MODELO!$B$15,0,IF(E934&gt;=PARAMS_MODELO!$B$17,100,100*MIN(1,(E934-PARAMS_MODELO!$B$15)/(PARAMS_MODELO!$B$16-PARAMS_MODELO!$B$15))))*PARAMS_MODELO!$B$7</f>
        <v>26.927088453343138</v>
      </c>
      <c r="G934" s="5">
        <f t="shared" si="337"/>
        <v>1590121.3999999985</v>
      </c>
      <c r="H934" s="5">
        <f>(PARAMS_MODELO!$B$20*(MAX(0,MIN(3,E934))/3)+PARAMS_MODELO!$B$21*(IFERROR(LN(1+MAX(0,G934))/LN(1+MAX(0,MAX($G$2:$G$1194))),0)))*100*PARAMS_MODELO!$B$8</f>
        <v>3.6165432056424018</v>
      </c>
      <c r="I934" s="8">
        <f>E934-PARAMS_MODELO!$B$5</f>
        <v>-0.10062829693740327</v>
      </c>
      <c r="J934" s="5">
        <f>IF(I934&lt;=PARAMS_MODELO!$B$18,0,IF(I934&gt;=PARAMS_MODELO!$B$19,100,100*(I934-PARAMS_MODELO!$B$18)/(PARAMS_MODELO!$B$19-PARAMS_MODELO!$B$18)))*PARAMS_MODELO!$B$9</f>
        <v>0</v>
      </c>
      <c r="K934" s="5">
        <f>IFERROR(CHOOSE(MATCH(PARAMS_MODELO!$B$2,{"Q1","Q2","Q3"},0),LOTO!$D934,LOTO!$F934,LOTO!$H934),0)</f>
        <v>1115000</v>
      </c>
      <c r="L934" s="8">
        <f t="shared" si="338"/>
        <v>5.0092952752686375E-2</v>
      </c>
      <c r="M934" s="5">
        <f>MIN(100,IF(PARAMS_MODELO!$B$23=0,0,100*L934/PARAMS_MODELO!$B$23))*PARAMS_MODELO!$B$10</f>
        <v>15</v>
      </c>
      <c r="N934" s="5">
        <f>IFERROR(VLOOKUP(A934,COMPLIANCE!$A$2:$F$1996,6,0),100)</f>
        <v>99.98</v>
      </c>
      <c r="O934" s="5">
        <f>N934*PARAMS_MODELO!$B$11</f>
        <v>9.9980000000000011</v>
      </c>
      <c r="P934" s="5">
        <f>IFERROR(VLOOKUP(A934,DIGITAL!$A$2:$J$2000,7,0),100)</f>
        <v>51</v>
      </c>
      <c r="Q934" s="5">
        <f>IFERROR(P934,0)*PARAMS_MODELO!$B$12</f>
        <v>5.1000000000000005</v>
      </c>
      <c r="R934">
        <f t="shared" si="339"/>
        <v>60.641631658985538</v>
      </c>
      <c r="S934" s="5" t="str">
        <f>IFERROR(VLOOKUP(A934,CLIENTE!$A$2:$N$2000,13,0),1)</f>
        <v>Malo</v>
      </c>
      <c r="T934" s="5">
        <f>IFERROR(VLOOKUP(A934,CLIENTE!$A$2:$N$2000,14,0),1)</f>
        <v>0.7</v>
      </c>
      <c r="U934" s="5">
        <f t="shared" si="340"/>
        <v>42.449142161289878</v>
      </c>
      <c r="V934" s="5" t="str">
        <f>IF(U934&gt;=MAX(_xlfn.PERCENTILE.INC($U$2:$U$1194,PARAMS_MODELO!$B$50),PARAMS_MODELO!$B$45),"DIAMANTE",IF(U934&gt;=MAX(_xlfn.PERCENTILE.INC($U$2:$U$1194,PARAMS_MODELO!$B$51),PARAMS_MODELO!$B$46),"PLATINO",IF(U934&gt;=MAX(_xlfn.PERCENTILE.INC($U$2:$U$1194,PARAMS_MODELO!$B$52),PARAMS_MODELO!$B$47),"ORO",IF(U934&gt;=MAX(_xlfn.PERCENTILE.INC($U$2:$U$1194,PARAMS_MODELO!$B$53),PARAMS_MODELO!$B$48),"PLATA",IF(U934&gt;=1,"BRONCE","CERRADO")))))</f>
        <v>PLATA</v>
      </c>
      <c r="W934" s="5" t="str" cm="1">
        <f t="array" ref="W934">_xlfn.XLOOKUP(1, (HIST_SCORE!$B:$B=PARAMS_MODELO!$B$4) * (HIST_SCORE!$C:$C=A934), HIST_SCORE!$E:$E, "No encontrado")</f>
        <v>PLATA</v>
      </c>
      <c r="X934" s="5" t="str">
        <f>_xlfn.LET(_xlpm.act,MATCH(V934,{"DIAMANTE";"PLATINO";"ORO";"PLATA";"BRONCE";"CERRADO"},0),_xlpm.ant,MATCH(W934,{"DIAMANTE";"PLATINO";"ORO";"PLATA";"BRONCE";"CERRADO"},0),IF(_xlpm.act&lt;_xlpm.ant,"Mejora ↑",IF(_xlpm.act&gt;_xlpm.ant,"Baja ↓","Estable →")))</f>
        <v>Estable →</v>
      </c>
      <c r="Y934" s="5">
        <f>IFERROR(U934-SUMIFS(HIST_SCORE!$D:$D,HIST_SCORE!$B:$B,PARAMS_MODELO!$B$4,HIST_SCORE!$C:$C,$A934),"")</f>
        <v>-7.0383419412307333</v>
      </c>
      <c r="Z934" s="5" t="str">
        <f t="shared" si="341"/>
        <v>↓ Baja</v>
      </c>
      <c r="AA934" s="5">
        <f t="shared" si="342"/>
        <v>780</v>
      </c>
      <c r="AB934" s="5">
        <f>IFERROR(SUMIFS(HIST_SCORE!$F:$F,HIST_SCORE!$B:$B,PARAMS_MODELO!$B$4,HIST_SCORE!$C:$C,$A934),"")</f>
        <v>776</v>
      </c>
      <c r="AC934" s="5">
        <f t="shared" si="343"/>
        <v>-4</v>
      </c>
      <c r="AD934" t="str">
        <f t="shared" si="345"/>
        <v/>
      </c>
      <c r="AE9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934="CERRADO",1,IF(V934="BRONCE",_xlpm.cPl,IF(V934="PLATA",_xlpm.cO,IF(V934="ORO",_xlpm.cP,IF(V934="PLATINO",_xlpm.cD,999))))))</f>
        <v>63.199193273331495</v>
      </c>
      <c r="AF9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934="CERRADO",0,IF(V934="BRONCE",1,IF(V934="PLATA",_xlpm.cPl,IF(V934="ORO",_xlpm.cO,IF(V934="PLATINO",_xlpm.cP,_xlpm.cD))))))</f>
        <v>24.506573482968111</v>
      </c>
      <c r="AG934">
        <f t="shared" si="346"/>
        <v>29.642930160059457</v>
      </c>
      <c r="AH934" t="str">
        <f t="shared" si="347"/>
        <v>VENTAS</v>
      </c>
      <c r="AI934" t="str">
        <f t="shared" si="344"/>
        <v>🎯 Para subir de categoría, eje VENTAS / DIFERENCIAL vs LOTBA (J). Acción: metas semanales + activación comercial + seguimiento del asesor. ΔR aprox: 29,6</v>
      </c>
      <c r="AJ934" s="26">
        <f>_xlfn.LET(_xlpm.piso,AF934,_xlpm.corte,AE934,_xlpm.prog,IF(_xlpm.corte&lt;=_xlpm.piso,0,MAX(0,MIN(1,(U934-_xlpm.piso)/(_xlpm.corte-_xlpm.piso)))),_xlpm.orden,{"DIAMANTE";"PLATINO";"ORO";"PLATA";"BRONCE";"CERRADO"},_xlpm.act,IFERROR(MATCH(V934,_xlpm.orden,0),6),_xlpm.ant,IFERROR(MATCH(W934,_xlpm.orden,0),6),_xlpm.ajmov,IF(_xlpm.act&lt;_xlpm.ant,0.08,IF(_xlpm.act&gt;_xlpm.ant,-0.08,0)),_xlpm.ajcli,IF(T934&lt;0.95,-0.06,0),_xlpm.prob,MAX(0,MIN(1,_xlpm.prog+_xlpm.ajmov+_xlpm.ajcli)),IF(OR(V934="DIAMANTE",V934="CERRADO"),0,ROUND(_xlpm.prob,2)))</f>
        <v>0.4</v>
      </c>
      <c r="AK934" t="str">
        <f t="shared" si="348"/>
        <v>Faltan 29,6 puntos base para subir a la siguiente categoría</v>
      </c>
      <c r="AL934" t="str">
        <f t="shared" si="349"/>
        <v>Margen de seguridad: 17,9 puntos</v>
      </c>
      <c r="AM934">
        <f t="shared" si="350"/>
        <v>0.84</v>
      </c>
      <c r="AN934" t="str">
        <f t="shared" si="351"/>
        <v>PRIORIDAD ALTA – requiere intervención inmediata</v>
      </c>
      <c r="AO934">
        <f t="shared" si="352"/>
        <v>24.023256331417031</v>
      </c>
      <c r="AP934">
        <f t="shared" si="353"/>
        <v>0</v>
      </c>
      <c r="AQ934">
        <f t="shared" si="354"/>
        <v>1.3999999999992239E-3</v>
      </c>
      <c r="AR934">
        <f t="shared" si="355"/>
        <v>3.4299999999999993</v>
      </c>
      <c r="AS934">
        <f t="shared" si="356"/>
        <v>18.192489497695664</v>
      </c>
      <c r="AT934" t="str">
        <f t="shared" si="357"/>
        <v>VENTAS</v>
      </c>
      <c r="AU934">
        <f t="shared" si="358"/>
        <v>24.023256331417031</v>
      </c>
      <c r="AV934" t="str">
        <f t="shared" si="359"/>
        <v>Mayor retorno probable: VENTAS (+24,0 puntos finales potenciales).</v>
      </c>
    </row>
    <row r="935" spans="1:48" x14ac:dyDescent="0.3">
      <c r="A935" s="5">
        <v>51024028</v>
      </c>
      <c r="B935" s="5" t="str">
        <f>IFERROR(VLOOKUP(A935,VENTAS!$A$2:$B$1194,2,0),"")</f>
        <v>ARGUELLO</v>
      </c>
      <c r="C935" s="5">
        <f>IFERROR(INDEX(VENTAS!$C$2:$E$1194,MATCH(A935,VENTAS!$A$2:$A$1194,0),MATCH(PARAMS_MODELO!$B$2,{"Q1","Q2","Q3"},0)),0)</f>
        <v>24784885</v>
      </c>
      <c r="D935" s="5">
        <f>IFERROR(INDEX(VENTAS!$F$2:$H$1194,MATCH(A935,VENTAS!$A$2:$A$1194,0),MATCH(PARAMS_MODELO!$B$2,{"Q1","Q2","Q3"},0)),0)</f>
        <v>22225845</v>
      </c>
      <c r="E935" s="8">
        <f t="shared" si="336"/>
        <v>-0.10325002516654813</v>
      </c>
      <c r="F935" s="12">
        <f>IF(E935&lt;=PARAMS_MODELO!$B$15,0,IF(E935&gt;=PARAMS_MODELO!$B$17,100,100*MIN(1,(E935-PARAMS_MODELO!$B$15)/(PARAMS_MODELO!$B$16-PARAMS_MODELO!$B$15))))*PARAMS_MODELO!$B$7</f>
        <v>0</v>
      </c>
      <c r="G935" s="5">
        <f t="shared" si="337"/>
        <v>0</v>
      </c>
      <c r="H935" s="5">
        <f>(PARAMS_MODELO!$B$20*(MAX(0,MIN(3,E935))/3)+PARAMS_MODELO!$B$21*(IFERROR(LN(1+MAX(0,G935))/LN(1+MAX(0,MAX($G$2:$G$1194))),0)))*100*PARAMS_MODELO!$B$8</f>
        <v>0</v>
      </c>
      <c r="I935" s="8">
        <f>E935-PARAMS_MODELO!$B$5</f>
        <v>-0.28081286054207466</v>
      </c>
      <c r="J935" s="5">
        <f>IF(I935&lt;=PARAMS_MODELO!$B$18,0,IF(I935&gt;=PARAMS_MODELO!$B$19,100,100*(I935-PARAMS_MODELO!$B$18)/(PARAMS_MODELO!$B$19-PARAMS_MODELO!$B$18)))*PARAMS_MODELO!$B$9</f>
        <v>0</v>
      </c>
      <c r="K935" s="5">
        <f>IFERROR(CHOOSE(MATCH(PARAMS_MODELO!$B$2,{"Q1","Q2","Q3"},0),LOTO!$D935,LOTO!$F935,LOTO!$H935),0)</f>
        <v>1110000</v>
      </c>
      <c r="L935" s="8">
        <f t="shared" si="338"/>
        <v>4.9941858228562286E-2</v>
      </c>
      <c r="M935" s="5">
        <f>MIN(100,IF(PARAMS_MODELO!$B$23=0,0,100*L935/PARAMS_MODELO!$B$23))*PARAMS_MODELO!$B$10</f>
        <v>14.982557468568684</v>
      </c>
      <c r="N935" s="5">
        <f>IFERROR(VLOOKUP(A935,COMPLIANCE!$A$2:$F$1996,6,0),100)</f>
        <v>99.58</v>
      </c>
      <c r="O935" s="5">
        <f>N935*PARAMS_MODELO!$B$11</f>
        <v>9.9580000000000002</v>
      </c>
      <c r="P935" s="5">
        <f>IFERROR(VLOOKUP(A935,DIGITAL!$A$2:$J$2000,7,0),100)</f>
        <v>36</v>
      </c>
      <c r="Q935" s="5">
        <f>IFERROR(P935,0)*PARAMS_MODELO!$B$12</f>
        <v>3.6</v>
      </c>
      <c r="R935">
        <f t="shared" si="339"/>
        <v>28.540557468568686</v>
      </c>
      <c r="S935" s="5" t="str">
        <f>IFERROR(VLOOKUP(A935,CLIENTE!$A$2:$N$2000,13,0),1)</f>
        <v>Regular</v>
      </c>
      <c r="T935" s="5">
        <f>IFERROR(VLOOKUP(A935,CLIENTE!$A$2:$N$2000,14,0),1)</f>
        <v>1</v>
      </c>
      <c r="U935" s="5">
        <f t="shared" si="340"/>
        <v>28.540557468568686</v>
      </c>
      <c r="V935" s="5" t="str">
        <f>IF(U935&gt;=MAX(_xlfn.PERCENTILE.INC($U$2:$U$1194,PARAMS_MODELO!$B$50),PARAMS_MODELO!$B$45),"DIAMANTE",IF(U935&gt;=MAX(_xlfn.PERCENTILE.INC($U$2:$U$1194,PARAMS_MODELO!$B$51),PARAMS_MODELO!$B$46),"PLATINO",IF(U935&gt;=MAX(_xlfn.PERCENTILE.INC($U$2:$U$1194,PARAMS_MODELO!$B$52),PARAMS_MODELO!$B$47),"ORO",IF(U935&gt;=MAX(_xlfn.PERCENTILE.INC($U$2:$U$1194,PARAMS_MODELO!$B$53),PARAMS_MODELO!$B$48),"PLATA",IF(U935&gt;=1,"BRONCE","CERRADO")))))</f>
        <v>PLATA</v>
      </c>
      <c r="W935" s="5" t="str" cm="1">
        <f t="array" ref="W935">_xlfn.XLOOKUP(1, (HIST_SCORE!$B:$B=PARAMS_MODELO!$B$4) * (HIST_SCORE!$C:$C=A935), HIST_SCORE!$E:$E, "No encontrado")</f>
        <v>PLATA</v>
      </c>
      <c r="X935" s="5" t="str">
        <f>_xlfn.LET(_xlpm.act,MATCH(V935,{"DIAMANTE";"PLATINO";"ORO";"PLATA";"BRONCE";"CERRADO"},0),_xlpm.ant,MATCH(W935,{"DIAMANTE";"PLATINO";"ORO";"PLATA";"BRONCE";"CERRADO"},0),IF(_xlpm.act&lt;_xlpm.ant,"Mejora ↑",IF(_xlpm.act&gt;_xlpm.ant,"Baja ↓","Estable →")))</f>
        <v>Estable →</v>
      </c>
      <c r="Y935" s="5">
        <f>IFERROR(U935-SUMIFS(HIST_SCORE!$D:$D,HIST_SCORE!$B:$B,PARAMS_MODELO!$B$4,HIST_SCORE!$C:$C,$A935),"")</f>
        <v>-3.063479110152258</v>
      </c>
      <c r="Z935" s="5" t="str">
        <f t="shared" si="341"/>
        <v>→ Estable</v>
      </c>
      <c r="AA935" s="5">
        <f t="shared" si="342"/>
        <v>882</v>
      </c>
      <c r="AB935" s="5">
        <f>IFERROR(SUMIFS(HIST_SCORE!$F:$F,HIST_SCORE!$B:$B,PARAMS_MODELO!$B$4,HIST_SCORE!$C:$C,$A935),"")</f>
        <v>894</v>
      </c>
      <c r="AC935" s="5">
        <f t="shared" si="343"/>
        <v>12</v>
      </c>
      <c r="AD935" t="str">
        <f t="shared" si="345"/>
        <v/>
      </c>
      <c r="AE9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935="CERRADO",1,IF(V935="BRONCE",_xlpm.cPl,IF(V935="PLATA",_xlpm.cO,IF(V935="ORO",_xlpm.cP,IF(V935="PLATINO",_xlpm.cD,999))))))</f>
        <v>63.199193273331495</v>
      </c>
      <c r="AF9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935="CERRADO",0,IF(V935="BRONCE",1,IF(V935="PLATA",_xlpm.cPl,IF(V935="ORO",_xlpm.cO,IF(V935="PLATINO",_xlpm.cP,_xlpm.cD))))))</f>
        <v>24.506573482968111</v>
      </c>
      <c r="AG935">
        <f t="shared" si="346"/>
        <v>34.65863580476281</v>
      </c>
      <c r="AH935" t="str">
        <f t="shared" si="347"/>
        <v>VENTAS</v>
      </c>
      <c r="AI935" t="str">
        <f t="shared" si="344"/>
        <v>🎯 Para subir de categoría, eje VENTAS / CRECIMIENTO PERSONAL (F). Acción: metas semanales + activación comercial + seguimiento del asesor. ΔR aprox: 34,7</v>
      </c>
      <c r="AJ935" s="26">
        <f>_xlfn.LET(_xlpm.piso,AF935,_xlpm.corte,AE935,_xlpm.prog,IF(_xlpm.corte&lt;=_xlpm.piso,0,MAX(0,MIN(1,(U935-_xlpm.piso)/(_xlpm.corte-_xlpm.piso)))),_xlpm.orden,{"DIAMANTE";"PLATINO";"ORO";"PLATA";"BRONCE";"CERRADO"},_xlpm.act,IFERROR(MATCH(V935,_xlpm.orden,0),6),_xlpm.ant,IFERROR(MATCH(W935,_xlpm.orden,0),6),_xlpm.ajmov,IF(_xlpm.act&lt;_xlpm.ant,0.08,IF(_xlpm.act&gt;_xlpm.ant,-0.08,0)),_xlpm.ajcli,IF(T935&lt;0.95,-0.06,0),_xlpm.prob,MAX(0,MIN(1,_xlpm.prog+_xlpm.ajmov+_xlpm.ajcli)),IF(OR(V935="DIAMANTE",V935="CERRADO"),0,ROUND(_xlpm.prob,2)))</f>
        <v>0.1</v>
      </c>
      <c r="AK935" t="str">
        <f t="shared" si="348"/>
        <v>Faltan 34,7 puntos base para subir a la siguiente categoría</v>
      </c>
      <c r="AL935" t="str">
        <f t="shared" si="349"/>
        <v>Margen de seguridad: 4,0 puntos</v>
      </c>
      <c r="AM935">
        <f t="shared" si="350"/>
        <v>0.76</v>
      </c>
      <c r="AN935" t="str">
        <f t="shared" si="351"/>
        <v>PRIORIDAD ALTA – requiere intervención inmediata</v>
      </c>
      <c r="AO935">
        <f t="shared" si="352"/>
        <v>64.862569275295584</v>
      </c>
      <c r="AP935">
        <f t="shared" si="353"/>
        <v>1.74425314313158E-2</v>
      </c>
      <c r="AQ935">
        <f t="shared" si="354"/>
        <v>4.1999999999999815E-2</v>
      </c>
      <c r="AR935">
        <f t="shared" si="355"/>
        <v>6.4</v>
      </c>
      <c r="AS935">
        <f t="shared" si="356"/>
        <v>0</v>
      </c>
      <c r="AT935" t="str">
        <f t="shared" si="357"/>
        <v>VENTAS</v>
      </c>
      <c r="AU935">
        <f t="shared" si="358"/>
        <v>64.862569275295584</v>
      </c>
      <c r="AV935" t="str">
        <f t="shared" si="359"/>
        <v>Mayor retorno probable: VENTAS (+64,9 puntos finales potenciales).</v>
      </c>
    </row>
    <row r="936" spans="1:48" x14ac:dyDescent="0.3">
      <c r="A936" s="5">
        <v>51057031</v>
      </c>
      <c r="B936" s="5" t="str">
        <f>IFERROR(VLOOKUP(A936,VENTAS!$A$2:$B$1194,2,0),"")</f>
        <v>PRADES</v>
      </c>
      <c r="C936" s="5">
        <f>IFERROR(INDEX(VENTAS!$C$2:$E$1194,MATCH(A936,VENTAS!$A$2:$A$1194,0),MATCH(PARAMS_MODELO!$B$2,{"Q1","Q2","Q3"},0)),0)</f>
        <v>19568587.120000001</v>
      </c>
      <c r="D936" s="5">
        <f>IFERROR(INDEX(VENTAS!$F$2:$H$1194,MATCH(A936,VENTAS!$A$2:$A$1194,0),MATCH(PARAMS_MODELO!$B$2,{"Q1","Q2","Q3"},0)),0)</f>
        <v>21142715</v>
      </c>
      <c r="E936" s="8">
        <f t="shared" si="336"/>
        <v>8.0441570479616642E-2</v>
      </c>
      <c r="F936" s="12">
        <f>IF(E936&lt;=PARAMS_MODELO!$B$15,0,IF(E936&gt;=PARAMS_MODELO!$B$17,100,100*MIN(1,(E936-PARAMS_MODELO!$B$15)/(PARAMS_MODELO!$B$16-PARAMS_MODELO!$B$15))))*PARAMS_MODELO!$B$7</f>
        <v>28.154549667865822</v>
      </c>
      <c r="G936" s="5">
        <f t="shared" si="337"/>
        <v>1574127.879999999</v>
      </c>
      <c r="H936" s="5">
        <f>(PARAMS_MODELO!$B$20*(MAX(0,MIN(3,E936))/3)+PARAMS_MODELO!$B$21*(IFERROR(LN(1+MAX(0,G936))/LN(1+MAX(0,MAX($G$2:$G$1194))),0)))*100*PARAMS_MODELO!$B$8</f>
        <v>3.6264481347479758</v>
      </c>
      <c r="I936" s="8">
        <f>E936-PARAMS_MODELO!$B$5</f>
        <v>-9.7121264895909887E-2</v>
      </c>
      <c r="J936" s="5">
        <f>IF(I936&lt;=PARAMS_MODELO!$B$18,0,IF(I936&gt;=PARAMS_MODELO!$B$19,100,100*(I936-PARAMS_MODELO!$B$18)/(PARAMS_MODELO!$B$19-PARAMS_MODELO!$B$18)))*PARAMS_MODELO!$B$9</f>
        <v>0</v>
      </c>
      <c r="K936" s="5">
        <f>IFERROR(CHOOSE(MATCH(PARAMS_MODELO!$B$2,{"Q1","Q2","Q3"},0),LOTO!$D936,LOTO!$F936,LOTO!$H936),0)</f>
        <v>1110000</v>
      </c>
      <c r="L936" s="8">
        <f t="shared" si="338"/>
        <v>5.2500352958454011E-2</v>
      </c>
      <c r="M936" s="5">
        <f>MIN(100,IF(PARAMS_MODELO!$B$23=0,0,100*L936/PARAMS_MODELO!$B$23))*PARAMS_MODELO!$B$10</f>
        <v>15</v>
      </c>
      <c r="N936" s="5">
        <f>IFERROR(VLOOKUP(A936,COMPLIANCE!$A$2:$F$1996,6,0),100)</f>
        <v>100</v>
      </c>
      <c r="O936" s="5">
        <f>N936*PARAMS_MODELO!$B$11</f>
        <v>10</v>
      </c>
      <c r="P936" s="5">
        <f>IFERROR(VLOOKUP(A936,DIGITAL!$A$2:$J$2000,7,0),100)</f>
        <v>54</v>
      </c>
      <c r="Q936" s="5">
        <f>IFERROR(P936,0)*PARAMS_MODELO!$B$12</f>
        <v>5.4</v>
      </c>
      <c r="R936">
        <f t="shared" si="339"/>
        <v>62.180997802613795</v>
      </c>
      <c r="S936" s="5" t="str">
        <f>IFERROR(VLOOKUP(A936,CLIENTE!$A$2:$N$2000,13,0),1)</f>
        <v>Regular</v>
      </c>
      <c r="T936" s="5">
        <f>IFERROR(VLOOKUP(A936,CLIENTE!$A$2:$N$2000,14,0),1)</f>
        <v>1</v>
      </c>
      <c r="U936" s="5">
        <f t="shared" si="340"/>
        <v>62.180997802613795</v>
      </c>
      <c r="V936" s="5" t="str">
        <f>IF(U936&gt;=MAX(_xlfn.PERCENTILE.INC($U$2:$U$1194,PARAMS_MODELO!$B$50),PARAMS_MODELO!$B$45),"DIAMANTE",IF(U936&gt;=MAX(_xlfn.PERCENTILE.INC($U$2:$U$1194,PARAMS_MODELO!$B$51),PARAMS_MODELO!$B$46),"PLATINO",IF(U936&gt;=MAX(_xlfn.PERCENTILE.INC($U$2:$U$1194,PARAMS_MODELO!$B$52),PARAMS_MODELO!$B$47),"ORO",IF(U936&gt;=MAX(_xlfn.PERCENTILE.INC($U$2:$U$1194,PARAMS_MODELO!$B$53),PARAMS_MODELO!$B$48),"PLATA",IF(U936&gt;=1,"BRONCE","CERRADO")))))</f>
        <v>PLATA</v>
      </c>
      <c r="W936" s="5" t="str" cm="1">
        <f t="array" ref="W936">_xlfn.XLOOKUP(1, (HIST_SCORE!$B:$B=PARAMS_MODELO!$B$4) * (HIST_SCORE!$C:$C=A936), HIST_SCORE!$E:$E, "No encontrado")</f>
        <v>ORO</v>
      </c>
      <c r="X936" s="5" t="str">
        <f>_xlfn.LET(_xlpm.act,MATCH(V936,{"DIAMANTE";"PLATINO";"ORO";"PLATA";"BRONCE";"CERRADO"},0),_xlpm.ant,MATCH(W936,{"DIAMANTE";"PLATINO";"ORO";"PLATA";"BRONCE";"CERRADO"},0),IF(_xlpm.act&lt;_xlpm.ant,"Mejora ↑",IF(_xlpm.act&gt;_xlpm.ant,"Baja ↓","Estable →")))</f>
        <v>Baja ↓</v>
      </c>
      <c r="Y936" s="5">
        <f>IFERROR(U936-SUMIFS(HIST_SCORE!$D:$D,HIST_SCORE!$B:$B,PARAMS_MODELO!$B$4,HIST_SCORE!$C:$C,$A936),"")</f>
        <v>-1.4967841983237662</v>
      </c>
      <c r="Z936" s="5" t="str">
        <f t="shared" si="341"/>
        <v>→ Estable</v>
      </c>
      <c r="AA936" s="5">
        <f t="shared" si="342"/>
        <v>575</v>
      </c>
      <c r="AB936" s="5">
        <f>IFERROR(SUMIFS(HIST_SCORE!$F:$F,HIST_SCORE!$B:$B,PARAMS_MODELO!$B$4,HIST_SCORE!$C:$C,$A936),"")</f>
        <v>582</v>
      </c>
      <c r="AC936" s="5">
        <f t="shared" si="343"/>
        <v>7</v>
      </c>
      <c r="AD936" t="str">
        <f t="shared" si="345"/>
        <v/>
      </c>
      <c r="AE9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936="CERRADO",1,IF(V936="BRONCE",_xlpm.cPl,IF(V936="PLATA",_xlpm.cO,IF(V936="ORO",_xlpm.cP,IF(V936="PLATINO",_xlpm.cD,999))))))</f>
        <v>63.199193273331495</v>
      </c>
      <c r="AF9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936="CERRADO",0,IF(V936="BRONCE",1,IF(V936="PLATA",_xlpm.cPl,IF(V936="ORO",_xlpm.cO,IF(V936="PLATINO",_xlpm.cP,_xlpm.cD))))))</f>
        <v>24.506573482968111</v>
      </c>
      <c r="AG936">
        <f t="shared" si="346"/>
        <v>1.0181954707176999</v>
      </c>
      <c r="AH936" t="str">
        <f t="shared" si="347"/>
        <v>VENTAS</v>
      </c>
      <c r="AI936" t="str">
        <f t="shared" si="344"/>
        <v>🎯 Para subir de categoría, eje VENTAS / DIFERENCIAL vs LOTBA (J). Acción: metas semanales + activación comercial + seguimiento del asesor. ΔR aprox: 1,0</v>
      </c>
      <c r="AJ936" s="26">
        <f>_xlfn.LET(_xlpm.piso,AF936,_xlpm.corte,AE936,_xlpm.prog,IF(_xlpm.corte&lt;=_xlpm.piso,0,MAX(0,MIN(1,(U936-_xlpm.piso)/(_xlpm.corte-_xlpm.piso)))),_xlpm.orden,{"DIAMANTE";"PLATINO";"ORO";"PLATA";"BRONCE";"CERRADO"},_xlpm.act,IFERROR(MATCH(V936,_xlpm.orden,0),6),_xlpm.ant,IFERROR(MATCH(W936,_xlpm.orden,0),6),_xlpm.ajmov,IF(_xlpm.act&lt;_xlpm.ant,0.08,IF(_xlpm.act&gt;_xlpm.ant,-0.08,0)),_xlpm.ajcli,IF(T936&lt;0.95,-0.06,0),_xlpm.prob,MAX(0,MIN(1,_xlpm.prog+_xlpm.ajmov+_xlpm.ajcli)),IF(OR(V936="DIAMANTE",V936="CERRADO"),0,ROUND(_xlpm.prob,2)))</f>
        <v>0.89</v>
      </c>
      <c r="AK936" t="str">
        <f t="shared" si="348"/>
        <v>Faltan 1,0 puntos base para subir a la siguiente categoría</v>
      </c>
      <c r="AL936" t="str">
        <f t="shared" si="349"/>
        <v>Margen de seguridad: 37,7 puntos</v>
      </c>
      <c r="AM936">
        <f t="shared" si="350"/>
        <v>0.08</v>
      </c>
      <c r="AN936" t="str">
        <f t="shared" si="351"/>
        <v>PRIORIDAD BAJA – control normal</v>
      </c>
      <c r="AO936">
        <f t="shared" si="352"/>
        <v>33.081571472681787</v>
      </c>
      <c r="AP936">
        <f t="shared" si="353"/>
        <v>0</v>
      </c>
      <c r="AQ936">
        <f t="shared" si="354"/>
        <v>0</v>
      </c>
      <c r="AR936">
        <f t="shared" si="355"/>
        <v>4.5999999999999996</v>
      </c>
      <c r="AS936">
        <f t="shared" si="356"/>
        <v>0</v>
      </c>
      <c r="AT936" t="str">
        <f t="shared" si="357"/>
        <v>VENTAS</v>
      </c>
      <c r="AU936">
        <f t="shared" si="358"/>
        <v>33.081571472681787</v>
      </c>
      <c r="AV936" t="str">
        <f t="shared" si="359"/>
        <v>Mayor retorno probable: VENTAS (+33,1 puntos finales potenciales).</v>
      </c>
    </row>
    <row r="937" spans="1:48" x14ac:dyDescent="0.3">
      <c r="A937" s="5">
        <v>51011929</v>
      </c>
      <c r="B937" s="5" t="str">
        <f>IFERROR(VLOOKUP(A937,VENTAS!$A$2:$B$1194,2,0),"")</f>
        <v>ARGUELLO</v>
      </c>
      <c r="C937" s="5">
        <f>IFERROR(INDEX(VENTAS!$C$2:$E$1194,MATCH(A937,VENTAS!$A$2:$A$1194,0),MATCH(PARAMS_MODELO!$B$2,{"Q1","Q2","Q3"},0)),0)</f>
        <v>21268855.300000001</v>
      </c>
      <c r="D937" s="5">
        <f>IFERROR(INDEX(VENTAS!$F$2:$H$1194,MATCH(A937,VENTAS!$A$2:$A$1194,0),MATCH(PARAMS_MODELO!$B$2,{"Q1","Q2","Q3"},0)),0)</f>
        <v>21083867</v>
      </c>
      <c r="E937" s="8">
        <f t="shared" si="336"/>
        <v>-8.6976142999102279E-3</v>
      </c>
      <c r="F937" s="12">
        <f>IF(E937&lt;=PARAMS_MODELO!$B$15,0,IF(E937&gt;=PARAMS_MODELO!$B$17,100,100*MIN(1,(E937-PARAMS_MODELO!$B$15)/(PARAMS_MODELO!$B$16-PARAMS_MODELO!$B$15))))*PARAMS_MODELO!$B$7</f>
        <v>0</v>
      </c>
      <c r="G937" s="5">
        <f t="shared" si="337"/>
        <v>0</v>
      </c>
      <c r="H937" s="5">
        <f>(PARAMS_MODELO!$B$20*(MAX(0,MIN(3,E937))/3)+PARAMS_MODELO!$B$21*(IFERROR(LN(1+MAX(0,G937))/LN(1+MAX(0,MAX($G$2:$G$1194))),0)))*100*PARAMS_MODELO!$B$8</f>
        <v>0</v>
      </c>
      <c r="I937" s="8">
        <f>E937-PARAMS_MODELO!$B$5</f>
        <v>-0.18626044967543676</v>
      </c>
      <c r="J937" s="5">
        <f>IF(I937&lt;=PARAMS_MODELO!$B$18,0,IF(I937&gt;=PARAMS_MODELO!$B$19,100,100*(I937-PARAMS_MODELO!$B$18)/(PARAMS_MODELO!$B$19-PARAMS_MODELO!$B$18)))*PARAMS_MODELO!$B$9</f>
        <v>0</v>
      </c>
      <c r="K937" s="5">
        <f>IFERROR(CHOOSE(MATCH(PARAMS_MODELO!$B$2,{"Q1","Q2","Q3"},0),LOTO!$D937,LOTO!$F937,LOTO!$H937),0)</f>
        <v>1095000</v>
      </c>
      <c r="L937" s="8">
        <f t="shared" si="338"/>
        <v>5.1935444290176942E-2</v>
      </c>
      <c r="M937" s="5">
        <f>MIN(100,IF(PARAMS_MODELO!$B$23=0,0,100*L937/PARAMS_MODELO!$B$23))*PARAMS_MODELO!$B$10</f>
        <v>15</v>
      </c>
      <c r="N937" s="5">
        <f>IFERROR(VLOOKUP(A937,COMPLIANCE!$A$2:$F$1996,6,0),100)</f>
        <v>99.98</v>
      </c>
      <c r="O937" s="5">
        <f>N937*PARAMS_MODELO!$B$11</f>
        <v>9.9980000000000011</v>
      </c>
      <c r="P937" s="5">
        <f>IFERROR(VLOOKUP(A937,DIGITAL!$A$2:$J$2000,7,0),100)</f>
        <v>16</v>
      </c>
      <c r="Q937" s="5">
        <f>IFERROR(P937,0)*PARAMS_MODELO!$B$12</f>
        <v>1.6</v>
      </c>
      <c r="R937">
        <f t="shared" si="339"/>
        <v>26.598000000000003</v>
      </c>
      <c r="S937" s="5" t="str">
        <f>IFERROR(VLOOKUP(A937,CLIENTE!$A$2:$N$2000,13,0),1)</f>
        <v>Regular</v>
      </c>
      <c r="T937" s="5">
        <f>IFERROR(VLOOKUP(A937,CLIENTE!$A$2:$N$2000,14,0),1)</f>
        <v>1</v>
      </c>
      <c r="U937" s="5">
        <f t="shared" si="340"/>
        <v>26.598000000000003</v>
      </c>
      <c r="V937" s="5" t="str">
        <f>IF(U937&gt;=MAX(_xlfn.PERCENTILE.INC($U$2:$U$1194,PARAMS_MODELO!$B$50),PARAMS_MODELO!$B$45),"DIAMANTE",IF(U937&gt;=MAX(_xlfn.PERCENTILE.INC($U$2:$U$1194,PARAMS_MODELO!$B$51),PARAMS_MODELO!$B$46),"PLATINO",IF(U937&gt;=MAX(_xlfn.PERCENTILE.INC($U$2:$U$1194,PARAMS_MODELO!$B$52),PARAMS_MODELO!$B$47),"ORO",IF(U937&gt;=MAX(_xlfn.PERCENTILE.INC($U$2:$U$1194,PARAMS_MODELO!$B$53),PARAMS_MODELO!$B$48),"PLATA",IF(U937&gt;=1,"BRONCE","CERRADO")))))</f>
        <v>PLATA</v>
      </c>
      <c r="W937" s="5" t="str" cm="1">
        <f t="array" ref="W937">_xlfn.XLOOKUP(1, (HIST_SCORE!$B:$B=PARAMS_MODELO!$B$4) * (HIST_SCORE!$C:$C=A937), HIST_SCORE!$E:$E, "No encontrado")</f>
        <v>ORO</v>
      </c>
      <c r="X937" s="5" t="str">
        <f>_xlfn.LET(_xlpm.act,MATCH(V937,{"DIAMANTE";"PLATINO";"ORO";"PLATA";"BRONCE";"CERRADO"},0),_xlpm.ant,MATCH(W937,{"DIAMANTE";"PLATINO";"ORO";"PLATA";"BRONCE";"CERRADO"},0),IF(_xlpm.act&lt;_xlpm.ant,"Mejora ↑",IF(_xlpm.act&gt;_xlpm.ant,"Baja ↓","Estable →")))</f>
        <v>Baja ↓</v>
      </c>
      <c r="Y937" s="5">
        <f>IFERROR(U937-SUMIFS(HIST_SCORE!$D:$D,HIST_SCORE!$B:$B,PARAMS_MODELO!$B$4,HIST_SCORE!$C:$C,$A937),"")</f>
        <v>-49.48731444747726</v>
      </c>
      <c r="Z937" s="5" t="str">
        <f t="shared" si="341"/>
        <v>↓ Baja</v>
      </c>
      <c r="AA937" s="5">
        <f t="shared" si="342"/>
        <v>902</v>
      </c>
      <c r="AB937" s="5">
        <f>IFERROR(SUMIFS(HIST_SCORE!$F:$F,HIST_SCORE!$B:$B,PARAMS_MODELO!$B$4,HIST_SCORE!$C:$C,$A937),"")</f>
        <v>482</v>
      </c>
      <c r="AC937" s="5">
        <f t="shared" si="343"/>
        <v>-420</v>
      </c>
      <c r="AD937" t="str">
        <f t="shared" si="345"/>
        <v/>
      </c>
      <c r="AE9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937="CERRADO",1,IF(V937="BRONCE",_xlpm.cPl,IF(V937="PLATA",_xlpm.cO,IF(V937="ORO",_xlpm.cP,IF(V937="PLATINO",_xlpm.cD,999))))))</f>
        <v>63.199193273331495</v>
      </c>
      <c r="AF9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937="CERRADO",0,IF(V937="BRONCE",1,IF(V937="PLATA",_xlpm.cPl,IF(V937="ORO",_xlpm.cO,IF(V937="PLATINO",_xlpm.cP,_xlpm.cD))))))</f>
        <v>24.506573482968111</v>
      </c>
      <c r="AG937">
        <f t="shared" si="346"/>
        <v>36.601193273331489</v>
      </c>
      <c r="AH937" t="str">
        <f t="shared" si="347"/>
        <v>VENTAS</v>
      </c>
      <c r="AI937" t="str">
        <f t="shared" si="344"/>
        <v>🎯 Para subir de categoría, eje VENTAS / CRECIMIENTO PERSONAL (F). Acción: metas semanales + activación comercial + seguimiento del asesor. ΔR aprox: 36,6</v>
      </c>
      <c r="AJ937" s="26">
        <f>_xlfn.LET(_xlpm.piso,AF937,_xlpm.corte,AE937,_xlpm.prog,IF(_xlpm.corte&lt;=_xlpm.piso,0,MAX(0,MIN(1,(U937-_xlpm.piso)/(_xlpm.corte-_xlpm.piso)))),_xlpm.orden,{"DIAMANTE";"PLATINO";"ORO";"PLATA";"BRONCE";"CERRADO"},_xlpm.act,IFERROR(MATCH(V937,_xlpm.orden,0),6),_xlpm.ant,IFERROR(MATCH(W937,_xlpm.orden,0),6),_xlpm.ajmov,IF(_xlpm.act&lt;_xlpm.ant,0.08,IF(_xlpm.act&gt;_xlpm.ant,-0.08,0)),_xlpm.ajcli,IF(T937&lt;0.95,-0.06,0),_xlpm.prob,MAX(0,MIN(1,_xlpm.prog+_xlpm.ajmov+_xlpm.ajcli)),IF(OR(V937="DIAMANTE",V937="CERRADO"),0,ROUND(_xlpm.prob,2)))</f>
        <v>0</v>
      </c>
      <c r="AK937" t="str">
        <f t="shared" si="348"/>
        <v>Faltan 36,6 puntos base para subir a la siguiente categoría</v>
      </c>
      <c r="AL937" t="str">
        <f t="shared" si="349"/>
        <v>Margen de seguridad: 2,1 puntos</v>
      </c>
      <c r="AM937">
        <f t="shared" si="350"/>
        <v>0.8</v>
      </c>
      <c r="AN937" t="str">
        <f t="shared" si="351"/>
        <v>PRIORIDAD ALTA – requiere intervención inmediata</v>
      </c>
      <c r="AO937">
        <f t="shared" si="352"/>
        <v>64.862569275295584</v>
      </c>
      <c r="AP937">
        <f t="shared" si="353"/>
        <v>0</v>
      </c>
      <c r="AQ937">
        <f t="shared" si="354"/>
        <v>1.9999999999988916E-3</v>
      </c>
      <c r="AR937">
        <f t="shared" si="355"/>
        <v>8.4</v>
      </c>
      <c r="AS937">
        <f t="shared" si="356"/>
        <v>0</v>
      </c>
      <c r="AT937" t="str">
        <f t="shared" si="357"/>
        <v>VENTAS</v>
      </c>
      <c r="AU937">
        <f t="shared" si="358"/>
        <v>64.862569275295584</v>
      </c>
      <c r="AV937" t="str">
        <f t="shared" si="359"/>
        <v>Mayor retorno probable: VENTAS (+64,9 puntos finales potenciales).</v>
      </c>
    </row>
    <row r="938" spans="1:48" x14ac:dyDescent="0.3">
      <c r="A938" s="5">
        <v>51017773</v>
      </c>
      <c r="B938" s="5" t="str">
        <f>IFERROR(VLOOKUP(A938,VENTAS!$A$2:$B$1194,2,0),"")</f>
        <v>AYALA</v>
      </c>
      <c r="C938" s="5">
        <f>IFERROR(INDEX(VENTAS!$C$2:$E$1194,MATCH(A938,VENTAS!$A$2:$A$1194,0),MATCH(PARAMS_MODELO!$B$2,{"Q1","Q2","Q3"},0)),0)</f>
        <v>17734065.109999999</v>
      </c>
      <c r="D938" s="5">
        <f>IFERROR(INDEX(VENTAS!$F$2:$H$1194,MATCH(A938,VENTAS!$A$2:$A$1194,0),MATCH(PARAMS_MODELO!$B$2,{"Q1","Q2","Q3"},0)),0)</f>
        <v>20514291</v>
      </c>
      <c r="E938" s="8">
        <f t="shared" si="336"/>
        <v>0.15677318611130331</v>
      </c>
      <c r="F938" s="12">
        <f>IF(E938&lt;=PARAMS_MODELO!$B$15,0,IF(E938&gt;=PARAMS_MODELO!$B$17,100,100*MIN(1,(E938-PARAMS_MODELO!$B$15)/(PARAMS_MODELO!$B$16-PARAMS_MODELO!$B$15))))*PARAMS_MODELO!$B$7</f>
        <v>35</v>
      </c>
      <c r="G938" s="5">
        <f t="shared" si="337"/>
        <v>2780225.8900000006</v>
      </c>
      <c r="H938" s="5">
        <f>(PARAMS_MODELO!$B$20*(MAX(0,MIN(3,E938))/3)+PARAMS_MODELO!$B$21*(IFERROR(LN(1+MAX(0,G938))/LN(1+MAX(0,MAX($G$2:$G$1194))),0)))*100*PARAMS_MODELO!$B$8</f>
        <v>4.0269506028053605</v>
      </c>
      <c r="I938" s="8">
        <f>E938-PARAMS_MODELO!$B$5</f>
        <v>-2.078964926422322E-2</v>
      </c>
      <c r="J938" s="5">
        <f>IF(I938&lt;=PARAMS_MODELO!$B$18,0,IF(I938&gt;=PARAMS_MODELO!$B$19,100,100*(I938-PARAMS_MODELO!$B$18)/(PARAMS_MODELO!$B$19-PARAMS_MODELO!$B$18)))*PARAMS_MODELO!$B$9</f>
        <v>4.3815526103665174</v>
      </c>
      <c r="K938" s="5">
        <f>IFERROR(CHOOSE(MATCH(PARAMS_MODELO!$B$2,{"Q1","Q2","Q3"},0),LOTO!$D938,LOTO!$F938,LOTO!$H938),0)</f>
        <v>1077500</v>
      </c>
      <c r="L938" s="8">
        <f t="shared" si="338"/>
        <v>5.2524359725617621E-2</v>
      </c>
      <c r="M938" s="5">
        <f>MIN(100,IF(PARAMS_MODELO!$B$23=0,0,100*L938/PARAMS_MODELO!$B$23))*PARAMS_MODELO!$B$10</f>
        <v>15</v>
      </c>
      <c r="N938" s="5">
        <f>IFERROR(VLOOKUP(A938,COMPLIANCE!$A$2:$F$1996,6,0),100)</f>
        <v>100</v>
      </c>
      <c r="O938" s="5">
        <f>N938*PARAMS_MODELO!$B$11</f>
        <v>10</v>
      </c>
      <c r="P938" s="5">
        <f>IFERROR(VLOOKUP(A938,DIGITAL!$A$2:$J$2000,7,0),100)</f>
        <v>47</v>
      </c>
      <c r="Q938" s="5">
        <f>IFERROR(P938,0)*PARAMS_MODELO!$B$12</f>
        <v>4.7</v>
      </c>
      <c r="R938">
        <f t="shared" si="339"/>
        <v>73.108503213171886</v>
      </c>
      <c r="S938" s="5" t="str">
        <f>IFERROR(VLOOKUP(A938,CLIENTE!$A$2:$N$2000,13,0),1)</f>
        <v>Regular</v>
      </c>
      <c r="T938" s="5">
        <f>IFERROR(VLOOKUP(A938,CLIENTE!$A$2:$N$2000,14,0),1)</f>
        <v>1</v>
      </c>
      <c r="U938" s="5">
        <f t="shared" si="340"/>
        <v>73.108503213171886</v>
      </c>
      <c r="V938" s="5" t="str">
        <f>IF(U938&gt;=MAX(_xlfn.PERCENTILE.INC($U$2:$U$1194,PARAMS_MODELO!$B$50),PARAMS_MODELO!$B$45),"DIAMANTE",IF(U938&gt;=MAX(_xlfn.PERCENTILE.INC($U$2:$U$1194,PARAMS_MODELO!$B$51),PARAMS_MODELO!$B$46),"PLATINO",IF(U938&gt;=MAX(_xlfn.PERCENTILE.INC($U$2:$U$1194,PARAMS_MODELO!$B$52),PARAMS_MODELO!$B$47),"ORO",IF(U938&gt;=MAX(_xlfn.PERCENTILE.INC($U$2:$U$1194,PARAMS_MODELO!$B$53),PARAMS_MODELO!$B$48),"PLATA",IF(U938&gt;=1,"BRONCE","CERRADO")))))</f>
        <v>ORO</v>
      </c>
      <c r="W938" s="5" t="str" cm="1">
        <f t="array" ref="W938">_xlfn.XLOOKUP(1, (HIST_SCORE!$B:$B=PARAMS_MODELO!$B$4) * (HIST_SCORE!$C:$C=A938), HIST_SCORE!$E:$E, "No encontrado")</f>
        <v>PLATA</v>
      </c>
      <c r="X938" s="5" t="str">
        <f>_xlfn.LET(_xlpm.act,MATCH(V938,{"DIAMANTE";"PLATINO";"ORO";"PLATA";"BRONCE";"CERRADO"},0),_xlpm.ant,MATCH(W938,{"DIAMANTE";"PLATINO";"ORO";"PLATA";"BRONCE";"CERRADO"},0),IF(_xlpm.act&lt;_xlpm.ant,"Mejora ↑",IF(_xlpm.act&gt;_xlpm.ant,"Baja ↓","Estable →")))</f>
        <v>Mejora ↑</v>
      </c>
      <c r="Y938" s="5">
        <f>IFERROR(U938-SUMIFS(HIST_SCORE!$D:$D,HIST_SCORE!$B:$B,PARAMS_MODELO!$B$4,HIST_SCORE!$C:$C,$A938),"")</f>
        <v>34.785008829405527</v>
      </c>
      <c r="Z938" s="5" t="str">
        <f t="shared" si="341"/>
        <v>↑ Mejora</v>
      </c>
      <c r="AA938" s="5">
        <f t="shared" si="342"/>
        <v>490</v>
      </c>
      <c r="AB938" s="5">
        <f>IFERROR(SUMIFS(HIST_SCORE!$F:$F,HIST_SCORE!$B:$B,PARAMS_MODELO!$B$4,HIST_SCORE!$C:$C,$A938),"")</f>
        <v>851</v>
      </c>
      <c r="AC938" s="5">
        <f t="shared" si="343"/>
        <v>361</v>
      </c>
      <c r="AD938" t="str">
        <f t="shared" si="345"/>
        <v/>
      </c>
      <c r="AE9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938="CERRADO",1,IF(V938="BRONCE",_xlpm.cPl,IF(V938="PLATA",_xlpm.cO,IF(V938="ORO",_xlpm.cP,IF(V938="PLATINO",_xlpm.cD,999))))))</f>
        <v>86.439123873763251</v>
      </c>
      <c r="AF9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938="CERRADO",0,IF(V938="BRONCE",1,IF(V938="PLATA",_xlpm.cPl,IF(V938="ORO",_xlpm.cO,IF(V938="PLATINO",_xlpm.cP,_xlpm.cD))))))</f>
        <v>63.199193273331495</v>
      </c>
      <c r="AG938">
        <f t="shared" si="346"/>
        <v>13.330620660591364</v>
      </c>
      <c r="AH938" t="str">
        <f t="shared" si="347"/>
        <v>VENTAS</v>
      </c>
      <c r="AI938" t="str">
        <f t="shared" si="344"/>
        <v>🎯 Para subir de categoría, eje VENTAS / IMPACTO ABSOLUTO (H). Acción: metas semanales + activación comercial + seguimiento del asesor. ΔR aprox: 13,3</v>
      </c>
      <c r="AJ938" s="26">
        <f>_xlfn.LET(_xlpm.piso,AF938,_xlpm.corte,AE938,_xlpm.prog,IF(_xlpm.corte&lt;=_xlpm.piso,0,MAX(0,MIN(1,(U938-_xlpm.piso)/(_xlpm.corte-_xlpm.piso)))),_xlpm.orden,{"DIAMANTE";"PLATINO";"ORO";"PLATA";"BRONCE";"CERRADO"},_xlpm.act,IFERROR(MATCH(V938,_xlpm.orden,0),6),_xlpm.ant,IFERROR(MATCH(W938,_xlpm.orden,0),6),_xlpm.ajmov,IF(_xlpm.act&lt;_xlpm.ant,0.08,IF(_xlpm.act&gt;_xlpm.ant,-0.08,0)),_xlpm.ajcli,IF(T938&lt;0.95,-0.06,0),_xlpm.prob,MAX(0,MIN(1,_xlpm.prog+_xlpm.ajmov+_xlpm.ajcli)),IF(OR(V938="DIAMANTE",V938="CERRADO"),0,ROUND(_xlpm.prob,2)))</f>
        <v>0.51</v>
      </c>
      <c r="AK938" t="str">
        <f t="shared" si="348"/>
        <v>Faltan 13,3 puntos base para subir a la siguiente categoría</v>
      </c>
      <c r="AL938" t="str">
        <f t="shared" si="349"/>
        <v>Margen de seguridad: 9,9 puntos</v>
      </c>
      <c r="AM938">
        <f t="shared" si="350"/>
        <v>0.6</v>
      </c>
      <c r="AN938" t="str">
        <f t="shared" si="351"/>
        <v>PRIORIDAD MEDIA – seguimiento del asesor</v>
      </c>
      <c r="AO938">
        <f t="shared" si="352"/>
        <v>21.454066062123708</v>
      </c>
      <c r="AP938">
        <f t="shared" si="353"/>
        <v>0</v>
      </c>
      <c r="AQ938">
        <f t="shared" si="354"/>
        <v>0</v>
      </c>
      <c r="AR938">
        <f t="shared" si="355"/>
        <v>5.3</v>
      </c>
      <c r="AS938">
        <f t="shared" si="356"/>
        <v>0</v>
      </c>
      <c r="AT938" t="str">
        <f t="shared" si="357"/>
        <v>VENTAS</v>
      </c>
      <c r="AU938">
        <f t="shared" si="358"/>
        <v>21.454066062123708</v>
      </c>
      <c r="AV938" t="str">
        <f t="shared" si="359"/>
        <v>Mayor retorno probable: VENTAS (+21,5 puntos finales potenciales).</v>
      </c>
    </row>
    <row r="939" spans="1:48" x14ac:dyDescent="0.3">
      <c r="A939" s="5">
        <v>51003063</v>
      </c>
      <c r="B939" s="5" t="str">
        <f>IFERROR(VLOOKUP(A939,VENTAS!$A$2:$B$1194,2,0),"")</f>
        <v>AYALA</v>
      </c>
      <c r="C939" s="5">
        <f>IFERROR(INDEX(VENTAS!$C$2:$E$1194,MATCH(A939,VENTAS!$A$2:$A$1194,0),MATCH(PARAMS_MODELO!$B$2,{"Q1","Q2","Q3"},0)),0)</f>
        <v>18835033.399999999</v>
      </c>
      <c r="D939" s="5">
        <f>IFERROR(INDEX(VENTAS!$F$2:$H$1194,MATCH(A939,VENTAS!$A$2:$A$1194,0),MATCH(PARAMS_MODELO!$B$2,{"Q1","Q2","Q3"},0)),0)</f>
        <v>19889430</v>
      </c>
      <c r="E939" s="8">
        <f t="shared" si="336"/>
        <v>5.5980606862104265E-2</v>
      </c>
      <c r="F939" s="12">
        <f>IF(E939&lt;=PARAMS_MODELO!$B$15,0,IF(E939&gt;=PARAMS_MODELO!$B$17,100,100*MIN(1,(E939-PARAMS_MODELO!$B$15)/(PARAMS_MODELO!$B$16-PARAMS_MODELO!$B$15))))*PARAMS_MODELO!$B$7</f>
        <v>19.593212401736491</v>
      </c>
      <c r="G939" s="5">
        <f t="shared" si="337"/>
        <v>1054396.6000000015</v>
      </c>
      <c r="H939" s="5">
        <f>(PARAMS_MODELO!$B$20*(MAX(0,MIN(3,E939))/3)+PARAMS_MODELO!$B$21*(IFERROR(LN(1+MAX(0,G939))/LN(1+MAX(0,MAX($G$2:$G$1194))),0)))*100*PARAMS_MODELO!$B$8</f>
        <v>3.4468974886608263</v>
      </c>
      <c r="I939" s="8">
        <f>E939-PARAMS_MODELO!$B$5</f>
        <v>-0.12158222851342226</v>
      </c>
      <c r="J939" s="5">
        <f>IF(I939&lt;=PARAMS_MODELO!$B$18,0,IF(I939&gt;=PARAMS_MODELO!$B$19,100,100*(I939-PARAMS_MODELO!$B$18)/(PARAMS_MODELO!$B$19-PARAMS_MODELO!$B$18)))*PARAMS_MODELO!$B$9</f>
        <v>0</v>
      </c>
      <c r="K939" s="5">
        <f>IFERROR(CHOOSE(MATCH(PARAMS_MODELO!$B$2,{"Q1","Q2","Q3"},0),LOTO!$D939,LOTO!$F939,LOTO!$H939),0)</f>
        <v>1072500</v>
      </c>
      <c r="L939" s="8">
        <f t="shared" si="338"/>
        <v>5.3923113935391814E-2</v>
      </c>
      <c r="M939" s="5">
        <f>MIN(100,IF(PARAMS_MODELO!$B$23=0,0,100*L939/PARAMS_MODELO!$B$23))*PARAMS_MODELO!$B$10</f>
        <v>15</v>
      </c>
      <c r="N939" s="5">
        <f>IFERROR(VLOOKUP(A939,COMPLIANCE!$A$2:$F$1996,6,0),100)</f>
        <v>99.98</v>
      </c>
      <c r="O939" s="5">
        <f>N939*PARAMS_MODELO!$B$11</f>
        <v>9.9980000000000011</v>
      </c>
      <c r="P939" s="5">
        <f>IFERROR(VLOOKUP(A939,DIGITAL!$A$2:$J$2000,7,0),100)</f>
        <v>22</v>
      </c>
      <c r="Q939" s="5">
        <f>IFERROR(P939,0)*PARAMS_MODELO!$B$12</f>
        <v>2.2000000000000002</v>
      </c>
      <c r="R939">
        <f t="shared" si="339"/>
        <v>50.238109890397325</v>
      </c>
      <c r="S939" s="5" t="str">
        <f>IFERROR(VLOOKUP(A939,CLIENTE!$A$2:$N$2000,13,0),1)</f>
        <v>Regular</v>
      </c>
      <c r="T939" s="5">
        <f>IFERROR(VLOOKUP(A939,CLIENTE!$A$2:$N$2000,14,0),1)</f>
        <v>1</v>
      </c>
      <c r="U939" s="5">
        <f t="shared" si="340"/>
        <v>50.238109890397325</v>
      </c>
      <c r="V939" s="5" t="str">
        <f>IF(U939&gt;=MAX(_xlfn.PERCENTILE.INC($U$2:$U$1194,PARAMS_MODELO!$B$50),PARAMS_MODELO!$B$45),"DIAMANTE",IF(U939&gt;=MAX(_xlfn.PERCENTILE.INC($U$2:$U$1194,PARAMS_MODELO!$B$51),PARAMS_MODELO!$B$46),"PLATINO",IF(U939&gt;=MAX(_xlfn.PERCENTILE.INC($U$2:$U$1194,PARAMS_MODELO!$B$52),PARAMS_MODELO!$B$47),"ORO",IF(U939&gt;=MAX(_xlfn.PERCENTILE.INC($U$2:$U$1194,PARAMS_MODELO!$B$53),PARAMS_MODELO!$B$48),"PLATA",IF(U939&gt;=1,"BRONCE","CERRADO")))))</f>
        <v>PLATA</v>
      </c>
      <c r="W939" s="5" t="str" cm="1">
        <f t="array" ref="W939">_xlfn.XLOOKUP(1, (HIST_SCORE!$B:$B=PARAMS_MODELO!$B$4) * (HIST_SCORE!$C:$C=A939), HIST_SCORE!$E:$E, "No encontrado")</f>
        <v>ORO</v>
      </c>
      <c r="X939" s="5" t="str">
        <f>_xlfn.LET(_xlpm.act,MATCH(V939,{"DIAMANTE";"PLATINO";"ORO";"PLATA";"BRONCE";"CERRADO"},0),_xlpm.ant,MATCH(W939,{"DIAMANTE";"PLATINO";"ORO";"PLATA";"BRONCE";"CERRADO"},0),IF(_xlpm.act&lt;_xlpm.ant,"Mejora ↑",IF(_xlpm.act&gt;_xlpm.ant,"Baja ↓","Estable →")))</f>
        <v>Baja ↓</v>
      </c>
      <c r="Y939" s="5">
        <f>IFERROR(U939-SUMIFS(HIST_SCORE!$D:$D,HIST_SCORE!$B:$B,PARAMS_MODELO!$B$4,HIST_SCORE!$C:$C,$A939),"")</f>
        <v>-16.032587204683594</v>
      </c>
      <c r="Z939" s="5" t="str">
        <f t="shared" si="341"/>
        <v>↓ Baja</v>
      </c>
      <c r="AA939" s="5">
        <f t="shared" si="342"/>
        <v>739</v>
      </c>
      <c r="AB939" s="5">
        <f>IFERROR(SUMIFS(HIST_SCORE!$F:$F,HIST_SCORE!$B:$B,PARAMS_MODELO!$B$4,HIST_SCORE!$C:$C,$A939),"")</f>
        <v>568</v>
      </c>
      <c r="AC939" s="5">
        <f t="shared" si="343"/>
        <v>-171</v>
      </c>
      <c r="AD939" t="str">
        <f t="shared" si="345"/>
        <v/>
      </c>
      <c r="AE9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939="CERRADO",1,IF(V939="BRONCE",_xlpm.cPl,IF(V939="PLATA",_xlpm.cO,IF(V939="ORO",_xlpm.cP,IF(V939="PLATINO",_xlpm.cD,999))))))</f>
        <v>63.199193273331495</v>
      </c>
      <c r="AF9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939="CERRADO",0,IF(V939="BRONCE",1,IF(V939="PLATA",_xlpm.cPl,IF(V939="ORO",_xlpm.cO,IF(V939="PLATINO",_xlpm.cP,_xlpm.cD))))))</f>
        <v>24.506573482968111</v>
      </c>
      <c r="AG939">
        <f t="shared" si="346"/>
        <v>12.96108338293417</v>
      </c>
      <c r="AH939" t="str">
        <f t="shared" si="347"/>
        <v>VENTAS</v>
      </c>
      <c r="AI939" t="str">
        <f t="shared" si="344"/>
        <v>🎯 Para subir de categoría, eje VENTAS / DIFERENCIAL vs LOTBA (J). Acción: metas semanales + activación comercial + seguimiento del asesor. ΔR aprox: 13,0</v>
      </c>
      <c r="AJ939" s="26">
        <f>_xlfn.LET(_xlpm.piso,AF939,_xlpm.corte,AE939,_xlpm.prog,IF(_xlpm.corte&lt;=_xlpm.piso,0,MAX(0,MIN(1,(U939-_xlpm.piso)/(_xlpm.corte-_xlpm.piso)))),_xlpm.orden,{"DIAMANTE";"PLATINO";"ORO";"PLATA";"BRONCE";"CERRADO"},_xlpm.act,IFERROR(MATCH(V939,_xlpm.orden,0),6),_xlpm.ant,IFERROR(MATCH(W939,_xlpm.orden,0),6),_xlpm.ajmov,IF(_xlpm.act&lt;_xlpm.ant,0.08,IF(_xlpm.act&gt;_xlpm.ant,-0.08,0)),_xlpm.ajcli,IF(T939&lt;0.95,-0.06,0),_xlpm.prob,MAX(0,MIN(1,_xlpm.prog+_xlpm.ajmov+_xlpm.ajcli)),IF(OR(V939="DIAMANTE",V939="CERRADO"),0,ROUND(_xlpm.prob,2)))</f>
        <v>0.59</v>
      </c>
      <c r="AK939" t="str">
        <f t="shared" si="348"/>
        <v>Faltan 13,0 puntos base para subir a la siguiente categoría</v>
      </c>
      <c r="AL939" t="str">
        <f t="shared" si="349"/>
        <v>Margen de seguridad: 25,7 puntos</v>
      </c>
      <c r="AM939">
        <f t="shared" si="350"/>
        <v>0.56000000000000005</v>
      </c>
      <c r="AN939" t="str">
        <f t="shared" si="351"/>
        <v>PRIORIDAD MEDIA – seguimiento del asesor</v>
      </c>
      <c r="AO939">
        <f t="shared" si="352"/>
        <v>41.822459384898266</v>
      </c>
      <c r="AP939">
        <f t="shared" si="353"/>
        <v>0</v>
      </c>
      <c r="AQ939">
        <f t="shared" si="354"/>
        <v>1.9999999999988916E-3</v>
      </c>
      <c r="AR939">
        <f t="shared" si="355"/>
        <v>7.8</v>
      </c>
      <c r="AS939">
        <f t="shared" si="356"/>
        <v>0</v>
      </c>
      <c r="AT939" t="str">
        <f t="shared" si="357"/>
        <v>VENTAS</v>
      </c>
      <c r="AU939">
        <f t="shared" si="358"/>
        <v>41.822459384898266</v>
      </c>
      <c r="AV939" t="str">
        <f t="shared" si="359"/>
        <v>Mayor retorno probable: VENTAS (+41,8 puntos finales potenciales).</v>
      </c>
    </row>
    <row r="940" spans="1:48" x14ac:dyDescent="0.3">
      <c r="A940" s="5">
        <v>51022572</v>
      </c>
      <c r="B940" s="5" t="str">
        <f>IFERROR(VLOOKUP(A940,VENTAS!$A$2:$B$1194,2,0),"")</f>
        <v>ARGUELLO</v>
      </c>
      <c r="C940" s="5">
        <f>IFERROR(INDEX(VENTAS!$C$2:$E$1194,MATCH(A940,VENTAS!$A$2:$A$1194,0),MATCH(PARAMS_MODELO!$B$2,{"Q1","Q2","Q3"},0)),0)</f>
        <v>20597096.109999999</v>
      </c>
      <c r="D940" s="5">
        <f>IFERROR(INDEX(VENTAS!$F$2:$H$1194,MATCH(A940,VENTAS!$A$2:$A$1194,0),MATCH(PARAMS_MODELO!$B$2,{"Q1","Q2","Q3"},0)),0)</f>
        <v>19758955</v>
      </c>
      <c r="E940" s="8">
        <f t="shared" si="336"/>
        <v>-4.0692197847883915E-2</v>
      </c>
      <c r="F940" s="12">
        <f>IF(E940&lt;=PARAMS_MODELO!$B$15,0,IF(E940&gt;=PARAMS_MODELO!$B$17,100,100*MIN(1,(E940-PARAMS_MODELO!$B$15)/(PARAMS_MODELO!$B$16-PARAMS_MODELO!$B$15))))*PARAMS_MODELO!$B$7</f>
        <v>0</v>
      </c>
      <c r="G940" s="5">
        <f t="shared" si="337"/>
        <v>0</v>
      </c>
      <c r="H940" s="5">
        <f>(PARAMS_MODELO!$B$20*(MAX(0,MIN(3,E940))/3)+PARAMS_MODELO!$B$21*(IFERROR(LN(1+MAX(0,G940))/LN(1+MAX(0,MAX($G$2:$G$1194))),0)))*100*PARAMS_MODELO!$B$8</f>
        <v>0</v>
      </c>
      <c r="I940" s="8">
        <f>E940-PARAMS_MODELO!$B$5</f>
        <v>-0.21825503322341044</v>
      </c>
      <c r="J940" s="5">
        <f>IF(I940&lt;=PARAMS_MODELO!$B$18,0,IF(I940&gt;=PARAMS_MODELO!$B$19,100,100*(I940-PARAMS_MODELO!$B$18)/(PARAMS_MODELO!$B$19-PARAMS_MODELO!$B$18)))*PARAMS_MODELO!$B$9</f>
        <v>0</v>
      </c>
      <c r="K940" s="5">
        <f>IFERROR(CHOOSE(MATCH(PARAMS_MODELO!$B$2,{"Q1","Q2","Q3"},0),LOTO!$D940,LOTO!$F940,LOTO!$H940),0)</f>
        <v>1072500</v>
      </c>
      <c r="L940" s="8">
        <f t="shared" si="338"/>
        <v>5.4279186323365786E-2</v>
      </c>
      <c r="M940" s="5">
        <f>MIN(100,IF(PARAMS_MODELO!$B$23=0,0,100*L940/PARAMS_MODELO!$B$23))*PARAMS_MODELO!$B$10</f>
        <v>15</v>
      </c>
      <c r="N940" s="5">
        <f>IFERROR(VLOOKUP(A940,COMPLIANCE!$A$2:$F$1996,6,0),100)</f>
        <v>100</v>
      </c>
      <c r="O940" s="5">
        <f>N940*PARAMS_MODELO!$B$11</f>
        <v>10</v>
      </c>
      <c r="P940" s="5">
        <f>IFERROR(VLOOKUP(A940,DIGITAL!$A$2:$J$2000,7,0),100)</f>
        <v>60</v>
      </c>
      <c r="Q940" s="5">
        <f>IFERROR(P940,0)*PARAMS_MODELO!$B$12</f>
        <v>6</v>
      </c>
      <c r="R940">
        <f t="shared" si="339"/>
        <v>31</v>
      </c>
      <c r="S940" s="5" t="str">
        <f>IFERROR(VLOOKUP(A940,CLIENTE!$A$2:$N$2000,13,0),1)</f>
        <v>Regular</v>
      </c>
      <c r="T940" s="5">
        <f>IFERROR(VLOOKUP(A940,CLIENTE!$A$2:$N$2000,14,0),1)</f>
        <v>1</v>
      </c>
      <c r="U940" s="5">
        <f t="shared" si="340"/>
        <v>31</v>
      </c>
      <c r="V940" s="5" t="str">
        <f>IF(U940&gt;=MAX(_xlfn.PERCENTILE.INC($U$2:$U$1194,PARAMS_MODELO!$B$50),PARAMS_MODELO!$B$45),"DIAMANTE",IF(U940&gt;=MAX(_xlfn.PERCENTILE.INC($U$2:$U$1194,PARAMS_MODELO!$B$51),PARAMS_MODELO!$B$46),"PLATINO",IF(U940&gt;=MAX(_xlfn.PERCENTILE.INC($U$2:$U$1194,PARAMS_MODELO!$B$52),PARAMS_MODELO!$B$47),"ORO",IF(U940&gt;=MAX(_xlfn.PERCENTILE.INC($U$2:$U$1194,PARAMS_MODELO!$B$53),PARAMS_MODELO!$B$48),"PLATA",IF(U940&gt;=1,"BRONCE","CERRADO")))))</f>
        <v>PLATA</v>
      </c>
      <c r="W940" s="5" t="str" cm="1">
        <f t="array" ref="W940">_xlfn.XLOOKUP(1, (HIST_SCORE!$B:$B=PARAMS_MODELO!$B$4) * (HIST_SCORE!$C:$C=A940), HIST_SCORE!$E:$E, "No encontrado")</f>
        <v>PLATA</v>
      </c>
      <c r="X940" s="5" t="str">
        <f>_xlfn.LET(_xlpm.act,MATCH(V940,{"DIAMANTE";"PLATINO";"ORO";"PLATA";"BRONCE";"CERRADO"},0),_xlpm.ant,MATCH(W940,{"DIAMANTE";"PLATINO";"ORO";"PLATA";"BRONCE";"CERRADO"},0),IF(_xlpm.act&lt;_xlpm.ant,"Mejora ↑",IF(_xlpm.act&gt;_xlpm.ant,"Baja ↓","Estable →")))</f>
        <v>Estable →</v>
      </c>
      <c r="Y940" s="5">
        <f>IFERROR(U940-SUMIFS(HIST_SCORE!$D:$D,HIST_SCORE!$B:$B,PARAMS_MODELO!$B$4,HIST_SCORE!$C:$C,$A940),"")</f>
        <v>0</v>
      </c>
      <c r="Z940" s="5" t="str">
        <f t="shared" si="341"/>
        <v>→ Estable</v>
      </c>
      <c r="AA940" s="5">
        <f t="shared" si="342"/>
        <v>846</v>
      </c>
      <c r="AB940" s="5">
        <f>IFERROR(SUMIFS(HIST_SCORE!$F:$F,HIST_SCORE!$B:$B,PARAMS_MODELO!$B$4,HIST_SCORE!$C:$C,$A940),"")</f>
        <v>901</v>
      </c>
      <c r="AC940" s="5">
        <f t="shared" si="343"/>
        <v>55</v>
      </c>
      <c r="AD940" t="str">
        <f t="shared" si="345"/>
        <v/>
      </c>
      <c r="AE9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940="CERRADO",1,IF(V940="BRONCE",_xlpm.cPl,IF(V940="PLATA",_xlpm.cO,IF(V940="ORO",_xlpm.cP,IF(V940="PLATINO",_xlpm.cD,999))))))</f>
        <v>63.199193273331495</v>
      </c>
      <c r="AF9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940="CERRADO",0,IF(V940="BRONCE",1,IF(V940="PLATA",_xlpm.cPl,IF(V940="ORO",_xlpm.cO,IF(V940="PLATINO",_xlpm.cP,_xlpm.cD))))))</f>
        <v>24.506573482968111</v>
      </c>
      <c r="AG940">
        <f t="shared" si="346"/>
        <v>32.199193273331495</v>
      </c>
      <c r="AH940" t="str">
        <f t="shared" si="347"/>
        <v>VENTAS</v>
      </c>
      <c r="AI940" t="str">
        <f t="shared" si="344"/>
        <v>🎯 Para subir de categoría, eje VENTAS / CRECIMIENTO PERSONAL (F). Acción: metas semanales + activación comercial + seguimiento del asesor. ΔR aprox: 32,2</v>
      </c>
      <c r="AJ940" s="26">
        <f>_xlfn.LET(_xlpm.piso,AF940,_xlpm.corte,AE940,_xlpm.prog,IF(_xlpm.corte&lt;=_xlpm.piso,0,MAX(0,MIN(1,(U940-_xlpm.piso)/(_xlpm.corte-_xlpm.piso)))),_xlpm.orden,{"DIAMANTE";"PLATINO";"ORO";"PLATA";"BRONCE";"CERRADO"},_xlpm.act,IFERROR(MATCH(V940,_xlpm.orden,0),6),_xlpm.ant,IFERROR(MATCH(W940,_xlpm.orden,0),6),_xlpm.ajmov,IF(_xlpm.act&lt;_xlpm.ant,0.08,IF(_xlpm.act&gt;_xlpm.ant,-0.08,0)),_xlpm.ajcli,IF(T940&lt;0.95,-0.06,0),_xlpm.prob,MAX(0,MIN(1,_xlpm.prog+_xlpm.ajmov+_xlpm.ajcli)),IF(OR(V940="DIAMANTE",V940="CERRADO"),0,ROUND(_xlpm.prob,2)))</f>
        <v>0.17</v>
      </c>
      <c r="AK940" t="str">
        <f t="shared" si="348"/>
        <v>Faltan 32,2 puntos base para subir a la siguiente categoría</v>
      </c>
      <c r="AL940" t="str">
        <f t="shared" si="349"/>
        <v>Margen de seguridad: 6,5 puntos</v>
      </c>
      <c r="AM940">
        <f t="shared" si="350"/>
        <v>0.73</v>
      </c>
      <c r="AN940" t="str">
        <f t="shared" si="351"/>
        <v>PRIORIDAD ALTA – requiere intervención inmediata</v>
      </c>
      <c r="AO940">
        <f t="shared" si="352"/>
        <v>64.862569275295584</v>
      </c>
      <c r="AP940">
        <f t="shared" si="353"/>
        <v>0</v>
      </c>
      <c r="AQ940">
        <f t="shared" si="354"/>
        <v>0</v>
      </c>
      <c r="AR940">
        <f t="shared" si="355"/>
        <v>4</v>
      </c>
      <c r="AS940">
        <f t="shared" si="356"/>
        <v>0</v>
      </c>
      <c r="AT940" t="str">
        <f t="shared" si="357"/>
        <v>VENTAS</v>
      </c>
      <c r="AU940">
        <f t="shared" si="358"/>
        <v>64.862569275295584</v>
      </c>
      <c r="AV940" t="str">
        <f t="shared" si="359"/>
        <v>Mayor retorno probable: VENTAS (+64,9 puntos finales potenciales).</v>
      </c>
    </row>
    <row r="941" spans="1:48" x14ac:dyDescent="0.3">
      <c r="A941" s="5">
        <v>51022343</v>
      </c>
      <c r="B941" s="5" t="str">
        <f>IFERROR(VLOOKUP(A941,VENTAS!$A$2:$B$1194,2,0),"")</f>
        <v>METTLER</v>
      </c>
      <c r="C941" s="5">
        <f>IFERROR(INDEX(VENTAS!$C$2:$E$1194,MATCH(A941,VENTAS!$A$2:$A$1194,0),MATCH(PARAMS_MODELO!$B$2,{"Q1","Q2","Q3"},0)),0)</f>
        <v>26432249.449999999</v>
      </c>
      <c r="D941" s="5">
        <f>IFERROR(INDEX(VENTAS!$F$2:$H$1194,MATCH(A941,VENTAS!$A$2:$A$1194,0),MATCH(PARAMS_MODELO!$B$2,{"Q1","Q2","Q3"},0)),0)</f>
        <v>19734972</v>
      </c>
      <c r="E941" s="8">
        <f t="shared" si="336"/>
        <v>-0.2533752362873527</v>
      </c>
      <c r="F941" s="12">
        <f>IF(E941&lt;=PARAMS_MODELO!$B$15,0,IF(E941&gt;=PARAMS_MODELO!$B$17,100,100*MIN(1,(E941-PARAMS_MODELO!$B$15)/(PARAMS_MODELO!$B$16-PARAMS_MODELO!$B$15))))*PARAMS_MODELO!$B$7</f>
        <v>0</v>
      </c>
      <c r="G941" s="5">
        <f t="shared" si="337"/>
        <v>0</v>
      </c>
      <c r="H941" s="5">
        <f>(PARAMS_MODELO!$B$20*(MAX(0,MIN(3,E941))/3)+PARAMS_MODELO!$B$21*(IFERROR(LN(1+MAX(0,G941))/LN(1+MAX(0,MAX($G$2:$G$1194))),0)))*100*PARAMS_MODELO!$B$8</f>
        <v>0</v>
      </c>
      <c r="I941" s="8">
        <f>E941-PARAMS_MODELO!$B$5</f>
        <v>-0.43093807166287923</v>
      </c>
      <c r="J941" s="5">
        <f>IF(I941&lt;=PARAMS_MODELO!$B$18,0,IF(I941&gt;=PARAMS_MODELO!$B$19,100,100*(I941-PARAMS_MODELO!$B$18)/(PARAMS_MODELO!$B$19-PARAMS_MODELO!$B$18)))*PARAMS_MODELO!$B$9</f>
        <v>0</v>
      </c>
      <c r="K941" s="5">
        <f>IFERROR(CHOOSE(MATCH(PARAMS_MODELO!$B$2,{"Q1","Q2","Q3"},0),LOTO!$D941,LOTO!$F941,LOTO!$H941),0)</f>
        <v>1062500</v>
      </c>
      <c r="L941" s="8">
        <f t="shared" si="338"/>
        <v>5.3838434632691654E-2</v>
      </c>
      <c r="M941" s="5">
        <f>MIN(100,IF(PARAMS_MODELO!$B$23=0,0,100*L941/PARAMS_MODELO!$B$23))*PARAMS_MODELO!$B$10</f>
        <v>15</v>
      </c>
      <c r="N941" s="5">
        <f>IFERROR(VLOOKUP(A941,COMPLIANCE!$A$2:$F$1996,6,0),100)</f>
        <v>100</v>
      </c>
      <c r="O941" s="5">
        <f>N941*PARAMS_MODELO!$B$11</f>
        <v>10</v>
      </c>
      <c r="P941" s="5">
        <f>IFERROR(VLOOKUP(A941,DIGITAL!$A$2:$J$2000,7,0),100)</f>
        <v>77</v>
      </c>
      <c r="Q941" s="5">
        <f>IFERROR(P941,0)*PARAMS_MODELO!$B$12</f>
        <v>7.7</v>
      </c>
      <c r="R941">
        <f t="shared" si="339"/>
        <v>32.700000000000003</v>
      </c>
      <c r="S941" s="5" t="str">
        <f>IFERROR(VLOOKUP(A941,CLIENTE!$A$2:$N$2000,13,0),1)</f>
        <v>Malo</v>
      </c>
      <c r="T941" s="5">
        <f>IFERROR(VLOOKUP(A941,CLIENTE!$A$2:$N$2000,14,0),1)</f>
        <v>0.7</v>
      </c>
      <c r="U941" s="5">
        <f t="shared" si="340"/>
        <v>22.89</v>
      </c>
      <c r="V941" s="5" t="str">
        <f>IF(U941&gt;=MAX(_xlfn.PERCENTILE.INC($U$2:$U$1194,PARAMS_MODELO!$B$50),PARAMS_MODELO!$B$45),"DIAMANTE",IF(U941&gt;=MAX(_xlfn.PERCENTILE.INC($U$2:$U$1194,PARAMS_MODELO!$B$51),PARAMS_MODELO!$B$46),"PLATINO",IF(U941&gt;=MAX(_xlfn.PERCENTILE.INC($U$2:$U$1194,PARAMS_MODELO!$B$52),PARAMS_MODELO!$B$47),"ORO",IF(U941&gt;=MAX(_xlfn.PERCENTILE.INC($U$2:$U$1194,PARAMS_MODELO!$B$53),PARAMS_MODELO!$B$48),"PLATA",IF(U941&gt;=1,"BRONCE","CERRADO")))))</f>
        <v>BRONCE</v>
      </c>
      <c r="W941" s="5" t="str" cm="1">
        <f t="array" ref="W941">_xlfn.XLOOKUP(1, (HIST_SCORE!$B:$B=PARAMS_MODELO!$B$4) * (HIST_SCORE!$C:$C=A941), HIST_SCORE!$E:$E, "No encontrado")</f>
        <v>BRONCE</v>
      </c>
      <c r="X941" s="5" t="str">
        <f>_xlfn.LET(_xlpm.act,MATCH(V941,{"DIAMANTE";"PLATINO";"ORO";"PLATA";"BRONCE";"CERRADO"},0),_xlpm.ant,MATCH(W941,{"DIAMANTE";"PLATINO";"ORO";"PLATA";"BRONCE";"CERRADO"},0),IF(_xlpm.act&lt;_xlpm.ant,"Mejora ↑",IF(_xlpm.act&gt;_xlpm.ant,"Baja ↓","Estable →")))</f>
        <v>Estable →</v>
      </c>
      <c r="Y941" s="5">
        <f>IFERROR(U941-SUMIFS(HIST_SCORE!$D:$D,HIST_SCORE!$B:$B,PARAMS_MODELO!$B$4,HIST_SCORE!$C:$C,$A941),"")</f>
        <v>2.5185528250272</v>
      </c>
      <c r="Z941" s="5" t="str">
        <f t="shared" si="341"/>
        <v>→ Estable</v>
      </c>
      <c r="AA941" s="5">
        <f t="shared" si="342"/>
        <v>933</v>
      </c>
      <c r="AB941" s="5">
        <f>IFERROR(SUMIFS(HIST_SCORE!$F:$F,HIST_SCORE!$B:$B,PARAMS_MODELO!$B$4,HIST_SCORE!$C:$C,$A941),"")</f>
        <v>981</v>
      </c>
      <c r="AC941" s="5">
        <f t="shared" si="343"/>
        <v>48</v>
      </c>
      <c r="AD941" t="str">
        <f t="shared" si="345"/>
        <v/>
      </c>
      <c r="AE9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941="CERRADO",1,IF(V941="BRONCE",_xlpm.cPl,IF(V941="PLATA",_xlpm.cO,IF(V941="ORO",_xlpm.cP,IF(V941="PLATINO",_xlpm.cD,999))))))</f>
        <v>24.506573482968111</v>
      </c>
      <c r="AF9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941="CERRADO",0,IF(V941="BRONCE",1,IF(V941="PLATA",_xlpm.cPl,IF(V941="ORO",_xlpm.cO,IF(V941="PLATINO",_xlpm.cP,_xlpm.cD))))))</f>
        <v>1</v>
      </c>
      <c r="AG941">
        <f t="shared" si="346"/>
        <v>2.3093906899544407</v>
      </c>
      <c r="AH941" t="str">
        <f t="shared" si="347"/>
        <v>CLIENTE</v>
      </c>
      <c r="AI941" t="str">
        <f t="shared" si="344"/>
        <v>🎯 Para subir de categoría, la eje con mayor impacto probable es CLIENTE (coef T). Acción: reducir quejas, mejorar incógnito y empujar reseñas. ΔR aprox: 2,3</v>
      </c>
      <c r="AJ941" s="26">
        <f>_xlfn.LET(_xlpm.piso,AF941,_xlpm.corte,AE941,_xlpm.prog,IF(_xlpm.corte&lt;=_xlpm.piso,0,MAX(0,MIN(1,(U941-_xlpm.piso)/(_xlpm.corte-_xlpm.piso)))),_xlpm.orden,{"DIAMANTE";"PLATINO";"ORO";"PLATA";"BRONCE";"CERRADO"},_xlpm.act,IFERROR(MATCH(V941,_xlpm.orden,0),6),_xlpm.ant,IFERROR(MATCH(W941,_xlpm.orden,0),6),_xlpm.ajmov,IF(_xlpm.act&lt;_xlpm.ant,0.08,IF(_xlpm.act&gt;_xlpm.ant,-0.08,0)),_xlpm.ajcli,IF(T941&lt;0.95,-0.06,0),_xlpm.prob,MAX(0,MIN(1,_xlpm.prog+_xlpm.ajmov+_xlpm.ajcli)),IF(OR(V941="DIAMANTE",V941="CERRADO"),0,ROUND(_xlpm.prob,2)))</f>
        <v>0.87</v>
      </c>
      <c r="AK941" t="str">
        <f t="shared" si="348"/>
        <v>Faltan 2,3 puntos base para subir a la siguiente categoría</v>
      </c>
      <c r="AL941" t="str">
        <f t="shared" si="349"/>
        <v>No aplica</v>
      </c>
      <c r="AM941">
        <f t="shared" si="350"/>
        <v>0.34</v>
      </c>
      <c r="AN941" t="str">
        <f t="shared" si="351"/>
        <v>PRIORIDAD BAJA – control normal</v>
      </c>
      <c r="AO941">
        <f t="shared" si="352"/>
        <v>45.403798492706905</v>
      </c>
      <c r="AP941">
        <f t="shared" si="353"/>
        <v>0</v>
      </c>
      <c r="AQ941">
        <f t="shared" si="354"/>
        <v>0</v>
      </c>
      <c r="AR941">
        <f t="shared" si="355"/>
        <v>1.6099999999999999</v>
      </c>
      <c r="AS941">
        <f t="shared" si="356"/>
        <v>9.8100000000000023</v>
      </c>
      <c r="AT941" t="str">
        <f t="shared" si="357"/>
        <v>VENTAS</v>
      </c>
      <c r="AU941">
        <f t="shared" si="358"/>
        <v>45.403798492706905</v>
      </c>
      <c r="AV941" t="str">
        <f t="shared" si="359"/>
        <v>Mayor retorno probable: VENTAS (+45,4 puntos finales potenciales).</v>
      </c>
    </row>
    <row r="942" spans="1:48" x14ac:dyDescent="0.3">
      <c r="A942" s="5">
        <v>51015835</v>
      </c>
      <c r="B942" s="5" t="str">
        <f>IFERROR(VLOOKUP(A942,VENTAS!$A$2:$B$1194,2,0),"")</f>
        <v>PUGH</v>
      </c>
      <c r="C942" s="5">
        <f>IFERROR(INDEX(VENTAS!$C$2:$E$1194,MATCH(A942,VENTAS!$A$2:$A$1194,0),MATCH(PARAMS_MODELO!$B$2,{"Q1","Q2","Q3"},0)),0)</f>
        <v>10615144.6</v>
      </c>
      <c r="D942" s="5">
        <f>IFERROR(INDEX(VENTAS!$F$2:$H$1194,MATCH(A942,VENTAS!$A$2:$A$1194,0),MATCH(PARAMS_MODELO!$B$2,{"Q1","Q2","Q3"},0)),0)</f>
        <v>19566350</v>
      </c>
      <c r="E942" s="8">
        <f t="shared" si="336"/>
        <v>0.84324856017505412</v>
      </c>
      <c r="F942" s="12">
        <f>IF(E942&lt;=PARAMS_MODELO!$B$15,0,IF(E942&gt;=PARAMS_MODELO!$B$17,100,100*MIN(1,(E942-PARAMS_MODELO!$B$15)/(PARAMS_MODELO!$B$16-PARAMS_MODELO!$B$15))))*PARAMS_MODELO!$B$7</f>
        <v>35</v>
      </c>
      <c r="G942" s="5">
        <f t="shared" si="337"/>
        <v>8951205.4000000004</v>
      </c>
      <c r="H942" s="5">
        <f>(PARAMS_MODELO!$B$20*(MAX(0,MIN(3,E942))/3)+PARAMS_MODELO!$B$21*(IFERROR(LN(1+MAX(0,G942))/LN(1+MAX(0,MAX($G$2:$G$1194))),0)))*100*PARAMS_MODELO!$B$8</f>
        <v>6.7037042897834871</v>
      </c>
      <c r="I942" s="8">
        <f>E942-PARAMS_MODELO!$B$5</f>
        <v>0.66568572479952759</v>
      </c>
      <c r="J942" s="5">
        <f>IF(I942&lt;=PARAMS_MODELO!$B$18,0,IF(I942&gt;=PARAMS_MODELO!$B$19,100,100*(I942-PARAMS_MODELO!$B$18)/(PARAMS_MODELO!$B$19-PARAMS_MODELO!$B$18)))*PARAMS_MODELO!$B$9</f>
        <v>15</v>
      </c>
      <c r="K942" s="5">
        <f>IFERROR(CHOOSE(MATCH(PARAMS_MODELO!$B$2,{"Q1","Q2","Q3"},0),LOTO!$D942,LOTO!$F942,LOTO!$H942),0)</f>
        <v>1062500</v>
      </c>
      <c r="L942" s="8">
        <f t="shared" si="338"/>
        <v>5.4302412049258036E-2</v>
      </c>
      <c r="M942" s="5">
        <f>MIN(100,IF(PARAMS_MODELO!$B$23=0,0,100*L942/PARAMS_MODELO!$B$23))*PARAMS_MODELO!$B$10</f>
        <v>15</v>
      </c>
      <c r="N942" s="5">
        <f>IFERROR(VLOOKUP(A942,COMPLIANCE!$A$2:$F$1996,6,0),100)</f>
        <v>99.98</v>
      </c>
      <c r="O942" s="5">
        <f>N942*PARAMS_MODELO!$B$11</f>
        <v>9.9980000000000011</v>
      </c>
      <c r="P942" s="5">
        <f>IFERROR(VLOOKUP(A942,DIGITAL!$A$2:$J$2000,7,0),100)</f>
        <v>74</v>
      </c>
      <c r="Q942" s="5">
        <f>IFERROR(P942,0)*PARAMS_MODELO!$B$12</f>
        <v>7.4</v>
      </c>
      <c r="R942">
        <f t="shared" si="339"/>
        <v>89.101704289783498</v>
      </c>
      <c r="S942" s="5" t="str">
        <f>IFERROR(VLOOKUP(A942,CLIENTE!$A$2:$N$2000,13,0),1)</f>
        <v>Malo</v>
      </c>
      <c r="T942" s="5">
        <f>IFERROR(VLOOKUP(A942,CLIENTE!$A$2:$N$2000,14,0),1)</f>
        <v>0.7</v>
      </c>
      <c r="U942" s="5">
        <f t="shared" si="340"/>
        <v>62.371193002848443</v>
      </c>
      <c r="V942" s="5" t="str">
        <f>IF(U942&gt;=MAX(_xlfn.PERCENTILE.INC($U$2:$U$1194,PARAMS_MODELO!$B$50),PARAMS_MODELO!$B$45),"DIAMANTE",IF(U942&gt;=MAX(_xlfn.PERCENTILE.INC($U$2:$U$1194,PARAMS_MODELO!$B$51),PARAMS_MODELO!$B$46),"PLATINO",IF(U942&gt;=MAX(_xlfn.PERCENTILE.INC($U$2:$U$1194,PARAMS_MODELO!$B$52),PARAMS_MODELO!$B$47),"ORO",IF(U942&gt;=MAX(_xlfn.PERCENTILE.INC($U$2:$U$1194,PARAMS_MODELO!$B$53),PARAMS_MODELO!$B$48),"PLATA",IF(U942&gt;=1,"BRONCE","CERRADO")))))</f>
        <v>PLATA</v>
      </c>
      <c r="W942" s="5" t="str" cm="1">
        <f t="array" ref="W942">_xlfn.XLOOKUP(1, (HIST_SCORE!$B:$B=PARAMS_MODELO!$B$4) * (HIST_SCORE!$C:$C=A942), HIST_SCORE!$E:$E, "No encontrado")</f>
        <v>PLATA</v>
      </c>
      <c r="X942" s="5" t="str">
        <f>_xlfn.LET(_xlpm.act,MATCH(V942,{"DIAMANTE";"PLATINO";"ORO";"PLATA";"BRONCE";"CERRADO"},0),_xlpm.ant,MATCH(W942,{"DIAMANTE";"PLATINO";"ORO";"PLATA";"BRONCE";"CERRADO"},0),IF(_xlpm.act&lt;_xlpm.ant,"Mejora ↑",IF(_xlpm.act&gt;_xlpm.ant,"Baja ↓","Estable →")))</f>
        <v>Estable →</v>
      </c>
      <c r="Y942" s="5">
        <f>IFERROR(U942-SUMIFS(HIST_SCORE!$D:$D,HIST_SCORE!$B:$B,PARAMS_MODELO!$B$4,HIST_SCORE!$C:$C,$A942),"")</f>
        <v>1.2554836379418433</v>
      </c>
      <c r="Z942" s="5" t="str">
        <f t="shared" si="341"/>
        <v>→ Estable</v>
      </c>
      <c r="AA942" s="5">
        <f t="shared" si="342"/>
        <v>573</v>
      </c>
      <c r="AB942" s="5">
        <f>IFERROR(SUMIFS(HIST_SCORE!$F:$F,HIST_SCORE!$B:$B,PARAMS_MODELO!$B$4,HIST_SCORE!$C:$C,$A942),"")</f>
        <v>629</v>
      </c>
      <c r="AC942" s="5">
        <f t="shared" si="343"/>
        <v>56</v>
      </c>
      <c r="AD942" t="str">
        <f t="shared" si="345"/>
        <v/>
      </c>
      <c r="AE9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942="CERRADO",1,IF(V942="BRONCE",_xlpm.cPl,IF(V942="PLATA",_xlpm.cO,IF(V942="ORO",_xlpm.cP,IF(V942="PLATINO",_xlpm.cD,999))))))</f>
        <v>63.199193273331495</v>
      </c>
      <c r="AF9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942="CERRADO",0,IF(V942="BRONCE",1,IF(V942="PLATA",_xlpm.cPl,IF(V942="ORO",_xlpm.cO,IF(V942="PLATINO",_xlpm.cP,_xlpm.cD))))))</f>
        <v>24.506573482968111</v>
      </c>
      <c r="AG942">
        <f t="shared" si="346"/>
        <v>1.1828575292614971</v>
      </c>
      <c r="AH942" t="str">
        <f t="shared" si="347"/>
        <v>CLIENTE</v>
      </c>
      <c r="AI942" t="str">
        <f t="shared" si="344"/>
        <v>🎯 Para subir de categoría, la eje con mayor impacto probable es CLIENTE (coef T). Acción: reducir quejas, mejorar incógnito y empujar reseñas. ΔR aprox: 1,2</v>
      </c>
      <c r="AJ942" s="26">
        <f>_xlfn.LET(_xlpm.piso,AF942,_xlpm.corte,AE942,_xlpm.prog,IF(_xlpm.corte&lt;=_xlpm.piso,0,MAX(0,MIN(1,(U942-_xlpm.piso)/(_xlpm.corte-_xlpm.piso)))),_xlpm.orden,{"DIAMANTE";"PLATINO";"ORO";"PLATA";"BRONCE";"CERRADO"},_xlpm.act,IFERROR(MATCH(V942,_xlpm.orden,0),6),_xlpm.ant,IFERROR(MATCH(W942,_xlpm.orden,0),6),_xlpm.ajmov,IF(_xlpm.act&lt;_xlpm.ant,0.08,IF(_xlpm.act&gt;_xlpm.ant,-0.08,0)),_xlpm.ajcli,IF(T942&lt;0.95,-0.06,0),_xlpm.prob,MAX(0,MIN(1,_xlpm.prog+_xlpm.ajmov+_xlpm.ajcli)),IF(OR(V942="DIAMANTE",V942="CERRADO"),0,ROUND(_xlpm.prob,2)))</f>
        <v>0.92</v>
      </c>
      <c r="AK942" t="str">
        <f t="shared" si="348"/>
        <v>Faltan 1,2 puntos base para subir a la siguiente categoría</v>
      </c>
      <c r="AL942" t="str">
        <f t="shared" si="349"/>
        <v>Margen de seguridad: 37,9 puntos</v>
      </c>
      <c r="AM942">
        <f t="shared" si="350"/>
        <v>0.28000000000000003</v>
      </c>
      <c r="AN942" t="str">
        <f t="shared" si="351"/>
        <v>PRIORIDAD BAJA – control normal</v>
      </c>
      <c r="AO942">
        <f t="shared" si="352"/>
        <v>5.7112054898584672</v>
      </c>
      <c r="AP942">
        <f t="shared" si="353"/>
        <v>0</v>
      </c>
      <c r="AQ942">
        <f t="shared" si="354"/>
        <v>1.3999999999992239E-3</v>
      </c>
      <c r="AR942">
        <f t="shared" si="355"/>
        <v>1.8199999999999996</v>
      </c>
      <c r="AS942">
        <f t="shared" si="356"/>
        <v>26.730511286935055</v>
      </c>
      <c r="AT942" t="str">
        <f t="shared" si="357"/>
        <v>CLIENTE</v>
      </c>
      <c r="AU942">
        <f t="shared" si="358"/>
        <v>26.730511286935055</v>
      </c>
      <c r="AV942" t="str">
        <f t="shared" si="359"/>
        <v>Mayor retorno probable: CLIENTE (+26,7 puntos finales potenciales).</v>
      </c>
    </row>
    <row r="943" spans="1:48" x14ac:dyDescent="0.3">
      <c r="A943" s="5">
        <v>51056329</v>
      </c>
      <c r="B943" s="5" t="str">
        <f>IFERROR(VLOOKUP(A943,VENTAS!$A$2:$B$1194,2,0),"")</f>
        <v>AYALA</v>
      </c>
      <c r="C943" s="5">
        <f>IFERROR(INDEX(VENTAS!$C$2:$E$1194,MATCH(A943,VENTAS!$A$2:$A$1194,0),MATCH(PARAMS_MODELO!$B$2,{"Q1","Q2","Q3"},0)),0)</f>
        <v>33676575.899999999</v>
      </c>
      <c r="D943" s="5">
        <f>IFERROR(INDEX(VENTAS!$F$2:$H$1194,MATCH(A943,VENTAS!$A$2:$A$1194,0),MATCH(PARAMS_MODELO!$B$2,{"Q1","Q2","Q3"},0)),0)</f>
        <v>19292358</v>
      </c>
      <c r="E943" s="8">
        <f t="shared" si="336"/>
        <v>-0.42712827879867676</v>
      </c>
      <c r="F943" s="12">
        <f>IF(E943&lt;=PARAMS_MODELO!$B$15,0,IF(E943&gt;=PARAMS_MODELO!$B$17,100,100*MIN(1,(E943-PARAMS_MODELO!$B$15)/(PARAMS_MODELO!$B$16-PARAMS_MODELO!$B$15))))*PARAMS_MODELO!$B$7</f>
        <v>0</v>
      </c>
      <c r="G943" s="5">
        <f t="shared" si="337"/>
        <v>0</v>
      </c>
      <c r="H943" s="5">
        <f>(PARAMS_MODELO!$B$20*(MAX(0,MIN(3,E943))/3)+PARAMS_MODELO!$B$21*(IFERROR(LN(1+MAX(0,G943))/LN(1+MAX(0,MAX($G$2:$G$1194))),0)))*100*PARAMS_MODELO!$B$8</f>
        <v>0</v>
      </c>
      <c r="I943" s="8">
        <f>E943-PARAMS_MODELO!$B$5</f>
        <v>-0.60469111417420329</v>
      </c>
      <c r="J943" s="5">
        <f>IF(I943&lt;=PARAMS_MODELO!$B$18,0,IF(I943&gt;=PARAMS_MODELO!$B$19,100,100*(I943-PARAMS_MODELO!$B$18)/(PARAMS_MODELO!$B$19-PARAMS_MODELO!$B$18)))*PARAMS_MODELO!$B$9</f>
        <v>0</v>
      </c>
      <c r="K943" s="5">
        <f>IFERROR(CHOOSE(MATCH(PARAMS_MODELO!$B$2,{"Q1","Q2","Q3"},0),LOTO!$D943,LOTO!$F943,LOTO!$H943),0)</f>
        <v>1052500</v>
      </c>
      <c r="L943" s="8">
        <f t="shared" si="338"/>
        <v>5.4555280386150824E-2</v>
      </c>
      <c r="M943" s="5">
        <f>MIN(100,IF(PARAMS_MODELO!$B$23=0,0,100*L943/PARAMS_MODELO!$B$23))*PARAMS_MODELO!$B$10</f>
        <v>15</v>
      </c>
      <c r="N943" s="5">
        <f>IFERROR(VLOOKUP(A943,COMPLIANCE!$A$2:$F$1996,6,0),100)</f>
        <v>99.56</v>
      </c>
      <c r="O943" s="5">
        <f>N943*PARAMS_MODELO!$B$11</f>
        <v>9.9560000000000013</v>
      </c>
      <c r="P943" s="5">
        <f>IFERROR(VLOOKUP(A943,DIGITAL!$A$2:$J$2000,7,0),100)</f>
        <v>81</v>
      </c>
      <c r="Q943" s="5">
        <f>IFERROR(P943,0)*PARAMS_MODELO!$B$12</f>
        <v>8.1</v>
      </c>
      <c r="R943">
        <f t="shared" si="339"/>
        <v>33.056000000000004</v>
      </c>
      <c r="S943" s="5" t="str">
        <f>IFERROR(VLOOKUP(A943,CLIENTE!$A$2:$N$2000,13,0),1)</f>
        <v>Regular</v>
      </c>
      <c r="T943" s="5">
        <f>IFERROR(VLOOKUP(A943,CLIENTE!$A$2:$N$2000,14,0),1)</f>
        <v>1</v>
      </c>
      <c r="U943" s="5">
        <f t="shared" si="340"/>
        <v>33.056000000000004</v>
      </c>
      <c r="V943" s="5" t="str">
        <f>IF(U943&gt;=MAX(_xlfn.PERCENTILE.INC($U$2:$U$1194,PARAMS_MODELO!$B$50),PARAMS_MODELO!$B$45),"DIAMANTE",IF(U943&gt;=MAX(_xlfn.PERCENTILE.INC($U$2:$U$1194,PARAMS_MODELO!$B$51),PARAMS_MODELO!$B$46),"PLATINO",IF(U943&gt;=MAX(_xlfn.PERCENTILE.INC($U$2:$U$1194,PARAMS_MODELO!$B$52),PARAMS_MODELO!$B$47),"ORO",IF(U943&gt;=MAX(_xlfn.PERCENTILE.INC($U$2:$U$1194,PARAMS_MODELO!$B$53),PARAMS_MODELO!$B$48),"PLATA",IF(U943&gt;=1,"BRONCE","CERRADO")))))</f>
        <v>PLATA</v>
      </c>
      <c r="W943" s="5" t="str" cm="1">
        <f t="array" ref="W943">_xlfn.XLOOKUP(1, (HIST_SCORE!$B:$B=PARAMS_MODELO!$B$4) * (HIST_SCORE!$C:$C=A943), HIST_SCORE!$E:$E, "No encontrado")</f>
        <v>PLATA</v>
      </c>
      <c r="X943" s="5" t="str">
        <f>_xlfn.LET(_xlpm.act,MATCH(V943,{"DIAMANTE";"PLATINO";"ORO";"PLATA";"BRONCE";"CERRADO"},0),_xlpm.ant,MATCH(W943,{"DIAMANTE";"PLATINO";"ORO";"PLATA";"BRONCE";"CERRADO"},0),IF(_xlpm.act&lt;_xlpm.ant,"Mejora ↑",IF(_xlpm.act&gt;_xlpm.ant,"Baja ↓","Estable →")))</f>
        <v>Estable →</v>
      </c>
      <c r="Y943" s="5">
        <f>IFERROR(U943-SUMIFS(HIST_SCORE!$D:$D,HIST_SCORE!$B:$B,PARAMS_MODELO!$B$4,HIST_SCORE!$C:$C,$A943),"")</f>
        <v>7.4452217652348622</v>
      </c>
      <c r="Z943" s="5" t="str">
        <f t="shared" si="341"/>
        <v>↑ Mejora</v>
      </c>
      <c r="AA943" s="5">
        <f t="shared" si="342"/>
        <v>823</v>
      </c>
      <c r="AB943" s="5">
        <f>IFERROR(SUMIFS(HIST_SCORE!$F:$F,HIST_SCORE!$B:$B,PARAMS_MODELO!$B$4,HIST_SCORE!$C:$C,$A943),"")</f>
        <v>944</v>
      </c>
      <c r="AC943" s="5">
        <f t="shared" si="343"/>
        <v>121</v>
      </c>
      <c r="AD943" t="str">
        <f t="shared" si="345"/>
        <v/>
      </c>
      <c r="AE9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943="CERRADO",1,IF(V943="BRONCE",_xlpm.cPl,IF(V943="PLATA",_xlpm.cO,IF(V943="ORO",_xlpm.cP,IF(V943="PLATINO",_xlpm.cD,999))))))</f>
        <v>63.199193273331495</v>
      </c>
      <c r="AF9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943="CERRADO",0,IF(V943="BRONCE",1,IF(V943="PLATA",_xlpm.cPl,IF(V943="ORO",_xlpm.cO,IF(V943="PLATINO",_xlpm.cP,_xlpm.cD))))))</f>
        <v>24.506573482968111</v>
      </c>
      <c r="AG943">
        <f t="shared" si="346"/>
        <v>30.143193273331491</v>
      </c>
      <c r="AH943" t="str">
        <f t="shared" si="347"/>
        <v>VENTAS</v>
      </c>
      <c r="AI943" t="str">
        <f t="shared" si="344"/>
        <v>🎯 Para subir de categoría, eje VENTAS / CRECIMIENTO PERSONAL (F). Acción: metas semanales + activación comercial + seguimiento del asesor. ΔR aprox: 30,1</v>
      </c>
      <c r="AJ943" s="26">
        <f>_xlfn.LET(_xlpm.piso,AF943,_xlpm.corte,AE943,_xlpm.prog,IF(_xlpm.corte&lt;=_xlpm.piso,0,MAX(0,MIN(1,(U943-_xlpm.piso)/(_xlpm.corte-_xlpm.piso)))),_xlpm.orden,{"DIAMANTE";"PLATINO";"ORO";"PLATA";"BRONCE";"CERRADO"},_xlpm.act,IFERROR(MATCH(V943,_xlpm.orden,0),6),_xlpm.ant,IFERROR(MATCH(W943,_xlpm.orden,0),6),_xlpm.ajmov,IF(_xlpm.act&lt;_xlpm.ant,0.08,IF(_xlpm.act&gt;_xlpm.ant,-0.08,0)),_xlpm.ajcli,IF(T943&lt;0.95,-0.06,0),_xlpm.prob,MAX(0,MIN(1,_xlpm.prog+_xlpm.ajmov+_xlpm.ajcli)),IF(OR(V943="DIAMANTE",V943="CERRADO"),0,ROUND(_xlpm.prob,2)))</f>
        <v>0.22</v>
      </c>
      <c r="AK943" t="str">
        <f t="shared" si="348"/>
        <v>Faltan 30,1 puntos base para subir a la siguiente categoría</v>
      </c>
      <c r="AL943" t="str">
        <f t="shared" si="349"/>
        <v>Margen de seguridad: 8,5 puntos</v>
      </c>
      <c r="AM943">
        <f t="shared" si="350"/>
        <v>0.71</v>
      </c>
      <c r="AN943" t="str">
        <f t="shared" si="351"/>
        <v>PRIORIDAD ALTA – requiere intervención inmediata</v>
      </c>
      <c r="AO943">
        <f t="shared" si="352"/>
        <v>64.862569275295584</v>
      </c>
      <c r="AP943">
        <f t="shared" si="353"/>
        <v>0</v>
      </c>
      <c r="AQ943">
        <f t="shared" si="354"/>
        <v>4.3999999999998707E-2</v>
      </c>
      <c r="AR943">
        <f t="shared" si="355"/>
        <v>1.9000000000000004</v>
      </c>
      <c r="AS943">
        <f t="shared" si="356"/>
        <v>0</v>
      </c>
      <c r="AT943" t="str">
        <f t="shared" si="357"/>
        <v>VENTAS</v>
      </c>
      <c r="AU943">
        <f t="shared" si="358"/>
        <v>64.862569275295584</v>
      </c>
      <c r="AV943" t="str">
        <f t="shared" si="359"/>
        <v>Mayor retorno probable: VENTAS (+64,9 puntos finales potenciales).</v>
      </c>
    </row>
    <row r="944" spans="1:48" x14ac:dyDescent="0.3">
      <c r="A944" s="5">
        <v>51030915</v>
      </c>
      <c r="B944" s="5" t="str">
        <f>IFERROR(VLOOKUP(A944,VENTAS!$A$2:$B$1194,2,0),"")</f>
        <v>BELUZZO</v>
      </c>
      <c r="C944" s="5">
        <f>IFERROR(INDEX(VENTAS!$C$2:$E$1194,MATCH(A944,VENTAS!$A$2:$A$1194,0),MATCH(PARAMS_MODELO!$B$2,{"Q1","Q2","Q3"},0)),0)</f>
        <v>33816944.710000001</v>
      </c>
      <c r="D944" s="5">
        <f>IFERROR(INDEX(VENTAS!$F$2:$H$1194,MATCH(A944,VENTAS!$A$2:$A$1194,0),MATCH(PARAMS_MODELO!$B$2,{"Q1","Q2","Q3"},0)),0)</f>
        <v>19150999</v>
      </c>
      <c r="E944" s="8">
        <f t="shared" si="336"/>
        <v>-0.43368630240753647</v>
      </c>
      <c r="F944" s="12">
        <f>IF(E944&lt;=PARAMS_MODELO!$B$15,0,IF(E944&gt;=PARAMS_MODELO!$B$17,100,100*MIN(1,(E944-PARAMS_MODELO!$B$15)/(PARAMS_MODELO!$B$16-PARAMS_MODELO!$B$15))))*PARAMS_MODELO!$B$7</f>
        <v>0</v>
      </c>
      <c r="G944" s="5">
        <f t="shared" si="337"/>
        <v>0</v>
      </c>
      <c r="H944" s="5">
        <f>(PARAMS_MODELO!$B$20*(MAX(0,MIN(3,E944))/3)+PARAMS_MODELO!$B$21*(IFERROR(LN(1+MAX(0,G944))/LN(1+MAX(0,MAX($G$2:$G$1194))),0)))*100*PARAMS_MODELO!$B$8</f>
        <v>0</v>
      </c>
      <c r="I944" s="8">
        <f>E944-PARAMS_MODELO!$B$5</f>
        <v>-0.611249137783063</v>
      </c>
      <c r="J944" s="5">
        <f>IF(I944&lt;=PARAMS_MODELO!$B$18,0,IF(I944&gt;=PARAMS_MODELO!$B$19,100,100*(I944-PARAMS_MODELO!$B$18)/(PARAMS_MODELO!$B$19-PARAMS_MODELO!$B$18)))*PARAMS_MODELO!$B$9</f>
        <v>0</v>
      </c>
      <c r="K944" s="5">
        <f>IFERROR(CHOOSE(MATCH(PARAMS_MODELO!$B$2,{"Q1","Q2","Q3"},0),LOTO!$D944,LOTO!$F944,LOTO!$H944),0)</f>
        <v>1052500</v>
      </c>
      <c r="L944" s="8">
        <f t="shared" si="338"/>
        <v>5.4957968511198815E-2</v>
      </c>
      <c r="M944" s="5">
        <f>MIN(100,IF(PARAMS_MODELO!$B$23=0,0,100*L944/PARAMS_MODELO!$B$23))*PARAMS_MODELO!$B$10</f>
        <v>15</v>
      </c>
      <c r="N944" s="5">
        <f>IFERROR(VLOOKUP(A944,COMPLIANCE!$A$2:$F$1996,6,0),100)</f>
        <v>99.25</v>
      </c>
      <c r="O944" s="5">
        <f>N944*PARAMS_MODELO!$B$11</f>
        <v>9.9250000000000007</v>
      </c>
      <c r="P944" s="5">
        <f>IFERROR(VLOOKUP(A944,DIGITAL!$A$2:$J$2000,7,0),100)</f>
        <v>59</v>
      </c>
      <c r="Q944" s="5">
        <f>IFERROR(P944,0)*PARAMS_MODELO!$B$12</f>
        <v>5.9</v>
      </c>
      <c r="R944">
        <f t="shared" si="339"/>
        <v>30.825000000000003</v>
      </c>
      <c r="S944" s="5" t="str">
        <f>IFERROR(VLOOKUP(A944,CLIENTE!$A$2:$N$2000,13,0),1)</f>
        <v>Regular</v>
      </c>
      <c r="T944" s="5">
        <f>IFERROR(VLOOKUP(A944,CLIENTE!$A$2:$N$2000,14,0),1)</f>
        <v>1</v>
      </c>
      <c r="U944" s="5">
        <f t="shared" si="340"/>
        <v>30.825000000000003</v>
      </c>
      <c r="V944" s="5" t="str">
        <f>IF(U944&gt;=MAX(_xlfn.PERCENTILE.INC($U$2:$U$1194,PARAMS_MODELO!$B$50),PARAMS_MODELO!$B$45),"DIAMANTE",IF(U944&gt;=MAX(_xlfn.PERCENTILE.INC($U$2:$U$1194,PARAMS_MODELO!$B$51),PARAMS_MODELO!$B$46),"PLATINO",IF(U944&gt;=MAX(_xlfn.PERCENTILE.INC($U$2:$U$1194,PARAMS_MODELO!$B$52),PARAMS_MODELO!$B$47),"ORO",IF(U944&gt;=MAX(_xlfn.PERCENTILE.INC($U$2:$U$1194,PARAMS_MODELO!$B$53),PARAMS_MODELO!$B$48),"PLATA",IF(U944&gt;=1,"BRONCE","CERRADO")))))</f>
        <v>PLATA</v>
      </c>
      <c r="W944" s="5" t="str" cm="1">
        <f t="array" ref="W944">_xlfn.XLOOKUP(1, (HIST_SCORE!$B:$B=PARAMS_MODELO!$B$4) * (HIST_SCORE!$C:$C=A944), HIST_SCORE!$E:$E, "No encontrado")</f>
        <v>PLATA</v>
      </c>
      <c r="X944" s="5" t="str">
        <f>_xlfn.LET(_xlpm.act,MATCH(V944,{"DIAMANTE";"PLATINO";"ORO";"PLATA";"BRONCE";"CERRADO"},0),_xlpm.ant,MATCH(W944,{"DIAMANTE";"PLATINO";"ORO";"PLATA";"BRONCE";"CERRADO"},0),IF(_xlpm.act&lt;_xlpm.ant,"Mejora ↑",IF(_xlpm.act&gt;_xlpm.ant,"Baja ↓","Estable →")))</f>
        <v>Estable →</v>
      </c>
      <c r="Y944" s="5">
        <f>IFERROR(U944-SUMIFS(HIST_SCORE!$D:$D,HIST_SCORE!$B:$B,PARAMS_MODELO!$B$4,HIST_SCORE!$C:$C,$A944),"")</f>
        <v>6.8787802067490418</v>
      </c>
      <c r="Z944" s="5" t="str">
        <f t="shared" si="341"/>
        <v>↑ Mejora</v>
      </c>
      <c r="AA944" s="5">
        <f t="shared" si="342"/>
        <v>848</v>
      </c>
      <c r="AB944" s="5">
        <f>IFERROR(SUMIFS(HIST_SCORE!$F:$F,HIST_SCORE!$B:$B,PARAMS_MODELO!$B$4,HIST_SCORE!$C:$C,$A944),"")</f>
        <v>949</v>
      </c>
      <c r="AC944" s="5">
        <f t="shared" si="343"/>
        <v>101</v>
      </c>
      <c r="AD944" t="str">
        <f t="shared" si="345"/>
        <v/>
      </c>
      <c r="AE9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944="CERRADO",1,IF(V944="BRONCE",_xlpm.cPl,IF(V944="PLATA",_xlpm.cO,IF(V944="ORO",_xlpm.cP,IF(V944="PLATINO",_xlpm.cD,999))))))</f>
        <v>63.199193273331495</v>
      </c>
      <c r="AF9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944="CERRADO",0,IF(V944="BRONCE",1,IF(V944="PLATA",_xlpm.cPl,IF(V944="ORO",_xlpm.cO,IF(V944="PLATINO",_xlpm.cP,_xlpm.cD))))))</f>
        <v>24.506573482968111</v>
      </c>
      <c r="AG944">
        <f t="shared" si="346"/>
        <v>32.374193273331493</v>
      </c>
      <c r="AH944" t="str">
        <f t="shared" si="347"/>
        <v>VENTAS</v>
      </c>
      <c r="AI944" t="str">
        <f t="shared" si="344"/>
        <v>🎯 Para subir de categoría, eje VENTAS / CRECIMIENTO PERSONAL (F). Acción: metas semanales + activación comercial + seguimiento del asesor. ΔR aprox: 32,4</v>
      </c>
      <c r="AJ944" s="26">
        <f>_xlfn.LET(_xlpm.piso,AF944,_xlpm.corte,AE944,_xlpm.prog,IF(_xlpm.corte&lt;=_xlpm.piso,0,MAX(0,MIN(1,(U944-_xlpm.piso)/(_xlpm.corte-_xlpm.piso)))),_xlpm.orden,{"DIAMANTE";"PLATINO";"ORO";"PLATA";"BRONCE";"CERRADO"},_xlpm.act,IFERROR(MATCH(V944,_xlpm.orden,0),6),_xlpm.ant,IFERROR(MATCH(W944,_xlpm.orden,0),6),_xlpm.ajmov,IF(_xlpm.act&lt;_xlpm.ant,0.08,IF(_xlpm.act&gt;_xlpm.ant,-0.08,0)),_xlpm.ajcli,IF(T944&lt;0.95,-0.06,0),_xlpm.prob,MAX(0,MIN(1,_xlpm.prog+_xlpm.ajmov+_xlpm.ajcli)),IF(OR(V944="DIAMANTE",V944="CERRADO"),0,ROUND(_xlpm.prob,2)))</f>
        <v>0.16</v>
      </c>
      <c r="AK944" t="str">
        <f t="shared" si="348"/>
        <v>Faltan 32,4 puntos base para subir a la siguiente categoría</v>
      </c>
      <c r="AL944" t="str">
        <f t="shared" si="349"/>
        <v>Margen de seguridad: 6,3 puntos</v>
      </c>
      <c r="AM944">
        <f t="shared" si="350"/>
        <v>0.74</v>
      </c>
      <c r="AN944" t="str">
        <f t="shared" si="351"/>
        <v>PRIORIDAD ALTA – requiere intervención inmediata</v>
      </c>
      <c r="AO944">
        <f t="shared" si="352"/>
        <v>64.862569275295584</v>
      </c>
      <c r="AP944">
        <f t="shared" si="353"/>
        <v>0</v>
      </c>
      <c r="AQ944">
        <f t="shared" si="354"/>
        <v>7.4999999999999289E-2</v>
      </c>
      <c r="AR944">
        <f t="shared" si="355"/>
        <v>4.0999999999999996</v>
      </c>
      <c r="AS944">
        <f t="shared" si="356"/>
        <v>0</v>
      </c>
      <c r="AT944" t="str">
        <f t="shared" si="357"/>
        <v>VENTAS</v>
      </c>
      <c r="AU944">
        <f t="shared" si="358"/>
        <v>64.862569275295584</v>
      </c>
      <c r="AV944" t="str">
        <f t="shared" si="359"/>
        <v>Mayor retorno probable: VENTAS (+64,9 puntos finales potenciales).</v>
      </c>
    </row>
    <row r="945" spans="1:48" x14ac:dyDescent="0.3">
      <c r="A945" s="5">
        <v>51017871</v>
      </c>
      <c r="B945" s="5" t="str">
        <f>IFERROR(VLOOKUP(A945,VENTAS!$A$2:$B$1194,2,0),"")</f>
        <v>METTLER</v>
      </c>
      <c r="C945" s="5">
        <f>IFERROR(INDEX(VENTAS!$C$2:$E$1194,MATCH(A945,VENTAS!$A$2:$A$1194,0),MATCH(PARAMS_MODELO!$B$2,{"Q1","Q2","Q3"},0)),0)</f>
        <v>54934977.25</v>
      </c>
      <c r="D945" s="5">
        <f>IFERROR(INDEX(VENTAS!$F$2:$H$1194,MATCH(A945,VENTAS!$A$2:$A$1194,0),MATCH(PARAMS_MODELO!$B$2,{"Q1","Q2","Q3"},0)),0)</f>
        <v>19136450</v>
      </c>
      <c r="E945" s="8">
        <f t="shared" si="336"/>
        <v>-0.6516527182142412</v>
      </c>
      <c r="F945" s="12">
        <f>IF(E945&lt;=PARAMS_MODELO!$B$15,0,IF(E945&gt;=PARAMS_MODELO!$B$17,100,100*MIN(1,(E945-PARAMS_MODELO!$B$15)/(PARAMS_MODELO!$B$16-PARAMS_MODELO!$B$15))))*PARAMS_MODELO!$B$7</f>
        <v>0</v>
      </c>
      <c r="G945" s="5">
        <f t="shared" si="337"/>
        <v>0</v>
      </c>
      <c r="H945" s="5">
        <f>(PARAMS_MODELO!$B$20*(MAX(0,MIN(3,E945))/3)+PARAMS_MODELO!$B$21*(IFERROR(LN(1+MAX(0,G945))/LN(1+MAX(0,MAX($G$2:$G$1194))),0)))*100*PARAMS_MODELO!$B$8</f>
        <v>0</v>
      </c>
      <c r="I945" s="8">
        <f>E945-PARAMS_MODELO!$B$5</f>
        <v>-0.82921555358976773</v>
      </c>
      <c r="J945" s="5">
        <f>IF(I945&lt;=PARAMS_MODELO!$B$18,0,IF(I945&gt;=PARAMS_MODELO!$B$19,100,100*(I945-PARAMS_MODELO!$B$18)/(PARAMS_MODELO!$B$19-PARAMS_MODELO!$B$18)))*PARAMS_MODELO!$B$9</f>
        <v>0</v>
      </c>
      <c r="K945" s="5">
        <f>IFERROR(CHOOSE(MATCH(PARAMS_MODELO!$B$2,{"Q1","Q2","Q3"},0),LOTO!$D945,LOTO!$F945,LOTO!$H945),0)</f>
        <v>1050000</v>
      </c>
      <c r="L945" s="8">
        <f t="shared" si="338"/>
        <v>5.4869111042016673E-2</v>
      </c>
      <c r="M945" s="5">
        <f>MIN(100,IF(PARAMS_MODELO!$B$23=0,0,100*L945/PARAMS_MODELO!$B$23))*PARAMS_MODELO!$B$10</f>
        <v>15</v>
      </c>
      <c r="N945" s="5">
        <f>IFERROR(VLOOKUP(A945,COMPLIANCE!$A$2:$F$1996,6,0),100)</f>
        <v>98.35</v>
      </c>
      <c r="O945" s="5">
        <f>N945*PARAMS_MODELO!$B$11</f>
        <v>9.8350000000000009</v>
      </c>
      <c r="P945" s="5">
        <f>IFERROR(VLOOKUP(A945,DIGITAL!$A$2:$J$2000,7,0),100)</f>
        <v>51</v>
      </c>
      <c r="Q945" s="5">
        <f>IFERROR(P945,0)*PARAMS_MODELO!$B$12</f>
        <v>5.1000000000000005</v>
      </c>
      <c r="R945">
        <f t="shared" si="339"/>
        <v>29.935000000000002</v>
      </c>
      <c r="S945" s="5" t="str">
        <f>IFERROR(VLOOKUP(A945,CLIENTE!$A$2:$N$2000,13,0),1)</f>
        <v>Regular</v>
      </c>
      <c r="T945" s="5">
        <f>IFERROR(VLOOKUP(A945,CLIENTE!$A$2:$N$2000,14,0),1)</f>
        <v>1</v>
      </c>
      <c r="U945" s="5">
        <f t="shared" si="340"/>
        <v>29.935000000000002</v>
      </c>
      <c r="V945" s="5" t="str">
        <f>IF(U945&gt;=MAX(_xlfn.PERCENTILE.INC($U$2:$U$1194,PARAMS_MODELO!$B$50),PARAMS_MODELO!$B$45),"DIAMANTE",IF(U945&gt;=MAX(_xlfn.PERCENTILE.INC($U$2:$U$1194,PARAMS_MODELO!$B$51),PARAMS_MODELO!$B$46),"PLATINO",IF(U945&gt;=MAX(_xlfn.PERCENTILE.INC($U$2:$U$1194,PARAMS_MODELO!$B$52),PARAMS_MODELO!$B$47),"ORO",IF(U945&gt;=MAX(_xlfn.PERCENTILE.INC($U$2:$U$1194,PARAMS_MODELO!$B$53),PARAMS_MODELO!$B$48),"PLATA",IF(U945&gt;=1,"BRONCE","CERRADO")))))</f>
        <v>PLATA</v>
      </c>
      <c r="W945" s="5" t="str" cm="1">
        <f t="array" ref="W945">_xlfn.XLOOKUP(1, (HIST_SCORE!$B:$B=PARAMS_MODELO!$B$4) * (HIST_SCORE!$C:$C=A945), HIST_SCORE!$E:$E, "No encontrado")</f>
        <v>BRONCE</v>
      </c>
      <c r="X945" s="5" t="str">
        <f>_xlfn.LET(_xlpm.act,MATCH(V945,{"DIAMANTE";"PLATINO";"ORO";"PLATA";"BRONCE";"CERRADO"},0),_xlpm.ant,MATCH(W945,{"DIAMANTE";"PLATINO";"ORO";"PLATA";"BRONCE";"CERRADO"},0),IF(_xlpm.act&lt;_xlpm.ant,"Mejora ↑",IF(_xlpm.act&gt;_xlpm.ant,"Baja ↓","Estable →")))</f>
        <v>Mejora ↑</v>
      </c>
      <c r="Y945" s="5">
        <f>IFERROR(U945-SUMIFS(HIST_SCORE!$D:$D,HIST_SCORE!$B:$B,PARAMS_MODELO!$B$4,HIST_SCORE!$C:$C,$A945),"")</f>
        <v>7.9270664540331488</v>
      </c>
      <c r="Z945" s="5" t="str">
        <f t="shared" si="341"/>
        <v>↑ Mejora</v>
      </c>
      <c r="AA945" s="5">
        <f t="shared" si="342"/>
        <v>867</v>
      </c>
      <c r="AB945" s="5">
        <f>IFERROR(SUMIFS(HIST_SCORE!$F:$F,HIST_SCORE!$B:$B,PARAMS_MODELO!$B$4,HIST_SCORE!$C:$C,$A945),"")</f>
        <v>966</v>
      </c>
      <c r="AC945" s="5">
        <f t="shared" si="343"/>
        <v>99</v>
      </c>
      <c r="AD945" t="str">
        <f t="shared" si="345"/>
        <v/>
      </c>
      <c r="AE9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945="CERRADO",1,IF(V945="BRONCE",_xlpm.cPl,IF(V945="PLATA",_xlpm.cO,IF(V945="ORO",_xlpm.cP,IF(V945="PLATINO",_xlpm.cD,999))))))</f>
        <v>63.199193273331495</v>
      </c>
      <c r="AF9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945="CERRADO",0,IF(V945="BRONCE",1,IF(V945="PLATA",_xlpm.cPl,IF(V945="ORO",_xlpm.cO,IF(V945="PLATINO",_xlpm.cP,_xlpm.cD))))))</f>
        <v>24.506573482968111</v>
      </c>
      <c r="AG945">
        <f t="shared" si="346"/>
        <v>33.264193273331493</v>
      </c>
      <c r="AH945" t="str">
        <f t="shared" si="347"/>
        <v>VENTAS</v>
      </c>
      <c r="AI945" t="str">
        <f t="shared" si="344"/>
        <v>🎯 Para subir de categoría, eje VENTAS / CRECIMIENTO PERSONAL (F). Acción: metas semanales + activación comercial + seguimiento del asesor. ΔR aprox: 33,3</v>
      </c>
      <c r="AJ945" s="26">
        <f>_xlfn.LET(_xlpm.piso,AF945,_xlpm.corte,AE945,_xlpm.prog,IF(_xlpm.corte&lt;=_xlpm.piso,0,MAX(0,MIN(1,(U945-_xlpm.piso)/(_xlpm.corte-_xlpm.piso)))),_xlpm.orden,{"DIAMANTE";"PLATINO";"ORO";"PLATA";"BRONCE";"CERRADO"},_xlpm.act,IFERROR(MATCH(V945,_xlpm.orden,0),6),_xlpm.ant,IFERROR(MATCH(W945,_xlpm.orden,0),6),_xlpm.ajmov,IF(_xlpm.act&lt;_xlpm.ant,0.08,IF(_xlpm.act&gt;_xlpm.ant,-0.08,0)),_xlpm.ajcli,IF(T945&lt;0.95,-0.06,0),_xlpm.prob,MAX(0,MIN(1,_xlpm.prog+_xlpm.ajmov+_xlpm.ajcli)),IF(OR(V945="DIAMANTE",V945="CERRADO"),0,ROUND(_xlpm.prob,2)))</f>
        <v>0.22</v>
      </c>
      <c r="AK945" t="str">
        <f t="shared" si="348"/>
        <v>Faltan 33,3 puntos base para subir a la siguiente categoría</v>
      </c>
      <c r="AL945" t="str">
        <f t="shared" si="349"/>
        <v>Margen de seguridad: 5,4 puntos</v>
      </c>
      <c r="AM945">
        <f t="shared" si="350"/>
        <v>0.71</v>
      </c>
      <c r="AN945" t="str">
        <f t="shared" si="351"/>
        <v>PRIORIDAD ALTA – requiere intervención inmediata</v>
      </c>
      <c r="AO945">
        <f t="shared" si="352"/>
        <v>64.862569275295584</v>
      </c>
      <c r="AP945">
        <f t="shared" si="353"/>
        <v>0</v>
      </c>
      <c r="AQ945">
        <f t="shared" si="354"/>
        <v>0.16499999999999915</v>
      </c>
      <c r="AR945">
        <f t="shared" si="355"/>
        <v>4.8999999999999995</v>
      </c>
      <c r="AS945">
        <f t="shared" si="356"/>
        <v>0</v>
      </c>
      <c r="AT945" t="str">
        <f t="shared" si="357"/>
        <v>VENTAS</v>
      </c>
      <c r="AU945">
        <f t="shared" si="358"/>
        <v>64.862569275295584</v>
      </c>
      <c r="AV945" t="str">
        <f t="shared" si="359"/>
        <v>Mayor retorno probable: VENTAS (+64,9 puntos finales potenciales).</v>
      </c>
    </row>
    <row r="946" spans="1:48" x14ac:dyDescent="0.3">
      <c r="A946" s="5">
        <v>51017218</v>
      </c>
      <c r="B946" s="5" t="str">
        <f>IFERROR(VLOOKUP(A946,VENTAS!$A$2:$B$1194,2,0),"")</f>
        <v>BELUZZO</v>
      </c>
      <c r="C946" s="5">
        <f>IFERROR(INDEX(VENTAS!$C$2:$E$1194,MATCH(A946,VENTAS!$A$2:$A$1194,0),MATCH(PARAMS_MODELO!$B$2,{"Q1","Q2","Q3"},0)),0)</f>
        <v>11909227.359999999</v>
      </c>
      <c r="D946" s="5">
        <f>IFERROR(INDEX(VENTAS!$F$2:$H$1194,MATCH(A946,VENTAS!$A$2:$A$1194,0),MATCH(PARAMS_MODELO!$B$2,{"Q1","Q2","Q3"},0)),0)</f>
        <v>18584630</v>
      </c>
      <c r="E946" s="8">
        <f t="shared" si="336"/>
        <v>0.56052357035528133</v>
      </c>
      <c r="F946" s="12">
        <f>IF(E946&lt;=PARAMS_MODELO!$B$15,0,IF(E946&gt;=PARAMS_MODELO!$B$17,100,100*MIN(1,(E946-PARAMS_MODELO!$B$15)/(PARAMS_MODELO!$B$16-PARAMS_MODELO!$B$15))))*PARAMS_MODELO!$B$7</f>
        <v>35</v>
      </c>
      <c r="G946" s="5">
        <f t="shared" si="337"/>
        <v>6675402.6400000006</v>
      </c>
      <c r="H946" s="5">
        <f>(PARAMS_MODELO!$B$20*(MAX(0,MIN(3,E946))/3)+PARAMS_MODELO!$B$21*(IFERROR(LN(1+MAX(0,G946))/LN(1+MAX(0,MAX($G$2:$G$1194))),0)))*100*PARAMS_MODELO!$B$8</f>
        <v>5.6453994638574736</v>
      </c>
      <c r="I946" s="8">
        <f>E946-PARAMS_MODELO!$B$5</f>
        <v>0.3829607349797548</v>
      </c>
      <c r="J946" s="5">
        <f>IF(I946&lt;=PARAMS_MODELO!$B$18,0,IF(I946&gt;=PARAMS_MODELO!$B$19,100,100*(I946-PARAMS_MODELO!$B$18)/(PARAMS_MODELO!$B$19-PARAMS_MODELO!$B$18)))*PARAMS_MODELO!$B$9</f>
        <v>15</v>
      </c>
      <c r="K946" s="5">
        <f>IFERROR(CHOOSE(MATCH(PARAMS_MODELO!$B$2,{"Q1","Q2","Q3"},0),LOTO!$D946,LOTO!$F946,LOTO!$H946),0)</f>
        <v>950000</v>
      </c>
      <c r="L946" s="8">
        <f t="shared" si="338"/>
        <v>5.111750946884603E-2</v>
      </c>
      <c r="M946" s="5">
        <f>MIN(100,IF(PARAMS_MODELO!$B$23=0,0,100*L946/PARAMS_MODELO!$B$23))*PARAMS_MODELO!$B$10</f>
        <v>15</v>
      </c>
      <c r="N946" s="5">
        <f>IFERROR(VLOOKUP(A946,COMPLIANCE!$A$2:$F$1996,6,0),100)</f>
        <v>100</v>
      </c>
      <c r="O946" s="5">
        <f>N946*PARAMS_MODELO!$B$11</f>
        <v>10</v>
      </c>
      <c r="P946" s="5">
        <f>IFERROR(VLOOKUP(A946,DIGITAL!$A$2:$J$2000,7,0),100)</f>
        <v>59</v>
      </c>
      <c r="Q946" s="5">
        <f>IFERROR(P946,0)*PARAMS_MODELO!$B$12</f>
        <v>5.9</v>
      </c>
      <c r="R946">
        <f t="shared" si="339"/>
        <v>86.545399463857478</v>
      </c>
      <c r="S946" s="5" t="str">
        <f>IFERROR(VLOOKUP(A946,CLIENTE!$A$2:$N$2000,13,0),1)</f>
        <v>Muy Bueno</v>
      </c>
      <c r="T946" s="5">
        <f>IFERROR(VLOOKUP(A946,CLIENTE!$A$2:$N$2000,14,0),1)</f>
        <v>1.1499999999999999</v>
      </c>
      <c r="U946" s="5">
        <f t="shared" si="340"/>
        <v>99.527209383436087</v>
      </c>
      <c r="V946" s="5" t="str">
        <f>IF(U946&gt;=MAX(_xlfn.PERCENTILE.INC($U$2:$U$1194,PARAMS_MODELO!$B$50),PARAMS_MODELO!$B$45),"DIAMANTE",IF(U946&gt;=MAX(_xlfn.PERCENTILE.INC($U$2:$U$1194,PARAMS_MODELO!$B$51),PARAMS_MODELO!$B$46),"PLATINO",IF(U946&gt;=MAX(_xlfn.PERCENTILE.INC($U$2:$U$1194,PARAMS_MODELO!$B$52),PARAMS_MODELO!$B$47),"ORO",IF(U946&gt;=MAX(_xlfn.PERCENTILE.INC($U$2:$U$1194,PARAMS_MODELO!$B$53),PARAMS_MODELO!$B$48),"PLATA",IF(U946&gt;=1,"BRONCE","CERRADO")))))</f>
        <v>DIAMANTE</v>
      </c>
      <c r="W946" s="5" t="str" cm="1">
        <f t="array" ref="W946">_xlfn.XLOOKUP(1, (HIST_SCORE!$B:$B=PARAMS_MODELO!$B$4) * (HIST_SCORE!$C:$C=A946), HIST_SCORE!$E:$E, "No encontrado")</f>
        <v>DIAMANTE</v>
      </c>
      <c r="X946" s="5" t="str">
        <f>_xlfn.LET(_xlpm.act,MATCH(V946,{"DIAMANTE";"PLATINO";"ORO";"PLATA";"BRONCE";"CERRADO"},0),_xlpm.ant,MATCH(W946,{"DIAMANTE";"PLATINO";"ORO";"PLATA";"BRONCE";"CERRADO"},0),IF(_xlpm.act&lt;_xlpm.ant,"Mejora ↑",IF(_xlpm.act&gt;_xlpm.ant,"Baja ↓","Estable →")))</f>
        <v>Estable →</v>
      </c>
      <c r="Y946" s="5">
        <f>IFERROR(U946-SUMIFS(HIST_SCORE!$D:$D,HIST_SCORE!$B:$B,PARAMS_MODELO!$B$4,HIST_SCORE!$C:$C,$A946),"")</f>
        <v>0.94648360974876766</v>
      </c>
      <c r="Z946" s="5" t="str">
        <f t="shared" si="341"/>
        <v>→ Estable</v>
      </c>
      <c r="AA946" s="5">
        <f t="shared" si="342"/>
        <v>22</v>
      </c>
      <c r="AB946" s="5">
        <f>IFERROR(SUMIFS(HIST_SCORE!$F:$F,HIST_SCORE!$B:$B,PARAMS_MODELO!$B$4,HIST_SCORE!$C:$C,$A946),"")</f>
        <v>25</v>
      </c>
      <c r="AC946" s="5">
        <f t="shared" si="343"/>
        <v>3</v>
      </c>
      <c r="AD946" t="str">
        <f t="shared" si="345"/>
        <v/>
      </c>
      <c r="AE9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946="CERRADO",1,IF(V946="BRONCE",_xlpm.cPl,IF(V946="PLATA",_xlpm.cO,IF(V946="ORO",_xlpm.cP,IF(V946="PLATINO",_xlpm.cD,999))))))</f>
        <v>999</v>
      </c>
      <c r="AF9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946="CERRADO",0,IF(V946="BRONCE",1,IF(V946="PLATA",_xlpm.cPl,IF(V946="ORO",_xlpm.cO,IF(V946="PLATINO",_xlpm.cP,_xlpm.cD))))))</f>
        <v>96.054919694466676</v>
      </c>
      <c r="AG946">
        <f t="shared" si="346"/>
        <v>782.15025271005561</v>
      </c>
      <c r="AH946" t="str">
        <f t="shared" si="347"/>
        <v>SOSTENER</v>
      </c>
      <c r="AI946" t="str">
        <f t="shared" si="344"/>
        <v>✅ Mantener desempeño y monitorear variaciones para sostener categoría.</v>
      </c>
      <c r="AJ946" s="26">
        <f>_xlfn.LET(_xlpm.piso,AF946,_xlpm.corte,AE946,_xlpm.prog,IF(_xlpm.corte&lt;=_xlpm.piso,0,MAX(0,MIN(1,(U946-_xlpm.piso)/(_xlpm.corte-_xlpm.piso)))),_xlpm.orden,{"DIAMANTE";"PLATINO";"ORO";"PLATA";"BRONCE";"CERRADO"},_xlpm.act,IFERROR(MATCH(V946,_xlpm.orden,0),6),_xlpm.ant,IFERROR(MATCH(W946,_xlpm.orden,0),6),_xlpm.ajmov,IF(_xlpm.act&lt;_xlpm.ant,0.08,IF(_xlpm.act&gt;_xlpm.ant,-0.08,0)),_xlpm.ajcli,IF(T946&lt;0.95,-0.06,0),_xlpm.prob,MAX(0,MIN(1,_xlpm.prog+_xlpm.ajmov+_xlpm.ajcli)),IF(OR(V946="DIAMANTE",V946="CERRADO"),0,ROUND(_xlpm.prob,2)))</f>
        <v>0</v>
      </c>
      <c r="AK946" t="str">
        <f t="shared" si="348"/>
        <v>No aplica</v>
      </c>
      <c r="AL946" t="str">
        <f t="shared" si="349"/>
        <v>Margen de seguridad: 3,5 puntos</v>
      </c>
      <c r="AM946">
        <f t="shared" si="350"/>
        <v>0.8</v>
      </c>
      <c r="AN946" t="str">
        <f t="shared" si="351"/>
        <v>PRIORIDAD ALTA – requiere intervención inmediata</v>
      </c>
      <c r="AO946">
        <f t="shared" si="352"/>
        <v>10.599745283153828</v>
      </c>
      <c r="AP946">
        <f t="shared" si="353"/>
        <v>0</v>
      </c>
      <c r="AQ946">
        <f t="shared" si="354"/>
        <v>0</v>
      </c>
      <c r="AR946">
        <f t="shared" si="355"/>
        <v>4.714999999999999</v>
      </c>
      <c r="AS946">
        <f t="shared" si="356"/>
        <v>0</v>
      </c>
      <c r="AT946" t="str">
        <f t="shared" si="357"/>
        <v>VENTAS</v>
      </c>
      <c r="AU946">
        <f t="shared" si="358"/>
        <v>10.599745283153828</v>
      </c>
      <c r="AV946" t="str">
        <f t="shared" si="359"/>
        <v>Mayor retorno probable: VENTAS (+10,6 puntos finales potenciales).</v>
      </c>
    </row>
    <row r="947" spans="1:48" x14ac:dyDescent="0.3">
      <c r="A947" s="5">
        <v>51039025</v>
      </c>
      <c r="B947" s="5" t="str">
        <f>IFERROR(VLOOKUP(A947,VENTAS!$A$2:$B$1194,2,0),"")</f>
        <v>ARGUELLO</v>
      </c>
      <c r="C947" s="5">
        <f>IFERROR(INDEX(VENTAS!$C$2:$E$1194,MATCH(A947,VENTAS!$A$2:$A$1194,0),MATCH(PARAMS_MODELO!$B$2,{"Q1","Q2","Q3"},0)),0)</f>
        <v>20373699.399999999</v>
      </c>
      <c r="D947" s="5">
        <f>IFERROR(INDEX(VENTAS!$F$2:$H$1194,MATCH(A947,VENTAS!$A$2:$A$1194,0),MATCH(PARAMS_MODELO!$B$2,{"Q1","Q2","Q3"},0)),0)</f>
        <v>18273208</v>
      </c>
      <c r="E947" s="8">
        <f t="shared" si="336"/>
        <v>-0.10309818353361977</v>
      </c>
      <c r="F947" s="12">
        <f>IF(E947&lt;=PARAMS_MODELO!$B$15,0,IF(E947&gt;=PARAMS_MODELO!$B$17,100,100*MIN(1,(E947-PARAMS_MODELO!$B$15)/(PARAMS_MODELO!$B$16-PARAMS_MODELO!$B$15))))*PARAMS_MODELO!$B$7</f>
        <v>0</v>
      </c>
      <c r="G947" s="5">
        <f t="shared" si="337"/>
        <v>0</v>
      </c>
      <c r="H947" s="5">
        <f>(PARAMS_MODELO!$B$20*(MAX(0,MIN(3,E947))/3)+PARAMS_MODELO!$B$21*(IFERROR(LN(1+MAX(0,G947))/LN(1+MAX(0,MAX($G$2:$G$1194))),0)))*100*PARAMS_MODELO!$B$8</f>
        <v>0</v>
      </c>
      <c r="I947" s="8">
        <f>E947-PARAMS_MODELO!$B$5</f>
        <v>-0.2806610189091463</v>
      </c>
      <c r="J947" s="5">
        <f>IF(I947&lt;=PARAMS_MODELO!$B$18,0,IF(I947&gt;=PARAMS_MODELO!$B$19,100,100*(I947-PARAMS_MODELO!$B$18)/(PARAMS_MODELO!$B$19-PARAMS_MODELO!$B$18)))*PARAMS_MODELO!$B$9</f>
        <v>0</v>
      </c>
      <c r="K947" s="5">
        <f>IFERROR(CHOOSE(MATCH(PARAMS_MODELO!$B$2,{"Q1","Q2","Q3"},0),LOTO!$D947,LOTO!$F947,LOTO!$H947),0)</f>
        <v>947500</v>
      </c>
      <c r="L947" s="8">
        <f t="shared" si="338"/>
        <v>5.1851869688124823E-2</v>
      </c>
      <c r="M947" s="5">
        <f>MIN(100,IF(PARAMS_MODELO!$B$23=0,0,100*L947/PARAMS_MODELO!$B$23))*PARAMS_MODELO!$B$10</f>
        <v>15</v>
      </c>
      <c r="N947" s="5">
        <f>IFERROR(VLOOKUP(A947,COMPLIANCE!$A$2:$F$1996,6,0),100)</f>
        <v>100</v>
      </c>
      <c r="O947" s="5">
        <f>N947*PARAMS_MODELO!$B$11</f>
        <v>10</v>
      </c>
      <c r="P947" s="5">
        <f>IFERROR(VLOOKUP(A947,DIGITAL!$A$2:$J$2000,7,0),100)</f>
        <v>87</v>
      </c>
      <c r="Q947" s="5">
        <f>IFERROR(P947,0)*PARAMS_MODELO!$B$12</f>
        <v>8.7000000000000011</v>
      </c>
      <c r="R947">
        <f t="shared" si="339"/>
        <v>33.700000000000003</v>
      </c>
      <c r="S947" s="5" t="str">
        <f>IFERROR(VLOOKUP(A947,CLIENTE!$A$2:$N$2000,13,0),1)</f>
        <v>Malo</v>
      </c>
      <c r="T947" s="5">
        <f>IFERROR(VLOOKUP(A947,CLIENTE!$A$2:$N$2000,14,0),1)</f>
        <v>0.7</v>
      </c>
      <c r="U947" s="5">
        <f t="shared" si="340"/>
        <v>23.59</v>
      </c>
      <c r="V947" s="5" t="str">
        <f>IF(U947&gt;=MAX(_xlfn.PERCENTILE.INC($U$2:$U$1194,PARAMS_MODELO!$B$50),PARAMS_MODELO!$B$45),"DIAMANTE",IF(U947&gt;=MAX(_xlfn.PERCENTILE.INC($U$2:$U$1194,PARAMS_MODELO!$B$51),PARAMS_MODELO!$B$46),"PLATINO",IF(U947&gt;=MAX(_xlfn.PERCENTILE.INC($U$2:$U$1194,PARAMS_MODELO!$B$52),PARAMS_MODELO!$B$47),"ORO",IF(U947&gt;=MAX(_xlfn.PERCENTILE.INC($U$2:$U$1194,PARAMS_MODELO!$B$53),PARAMS_MODELO!$B$48),"PLATA",IF(U947&gt;=1,"BRONCE","CERRADO")))))</f>
        <v>BRONCE</v>
      </c>
      <c r="W947" s="5" t="str" cm="1">
        <f t="array" ref="W947">_xlfn.XLOOKUP(1, (HIST_SCORE!$B:$B=PARAMS_MODELO!$B$4) * (HIST_SCORE!$C:$C=A947), HIST_SCORE!$E:$E, "No encontrado")</f>
        <v>PLATA</v>
      </c>
      <c r="X947" s="5" t="str">
        <f>_xlfn.LET(_xlpm.act,MATCH(V947,{"DIAMANTE";"PLATINO";"ORO";"PLATA";"BRONCE";"CERRADO"},0),_xlpm.ant,MATCH(W947,{"DIAMANTE";"PLATINO";"ORO";"PLATA";"BRONCE";"CERRADO"},0),IF(_xlpm.act&lt;_xlpm.ant,"Mejora ↑",IF(_xlpm.act&gt;_xlpm.ant,"Baja ↓","Estable →")))</f>
        <v>Baja ↓</v>
      </c>
      <c r="Y947" s="5">
        <f>IFERROR(U947-SUMIFS(HIST_SCORE!$D:$D,HIST_SCORE!$B:$B,PARAMS_MODELO!$B$4,HIST_SCORE!$C:$C,$A947),"")</f>
        <v>0.59059206388338126</v>
      </c>
      <c r="Z947" s="5" t="str">
        <f t="shared" si="341"/>
        <v>→ Estable</v>
      </c>
      <c r="AA947" s="5">
        <f t="shared" si="342"/>
        <v>927</v>
      </c>
      <c r="AB947" s="5">
        <f>IFERROR(SUMIFS(HIST_SCORE!$F:$F,HIST_SCORE!$B:$B,PARAMS_MODELO!$B$4,HIST_SCORE!$C:$C,$A947),"")</f>
        <v>954</v>
      </c>
      <c r="AC947" s="5">
        <f t="shared" si="343"/>
        <v>27</v>
      </c>
      <c r="AD947" t="str">
        <f t="shared" si="345"/>
        <v/>
      </c>
      <c r="AE9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947="CERRADO",1,IF(V947="BRONCE",_xlpm.cPl,IF(V947="PLATA",_xlpm.cO,IF(V947="ORO",_xlpm.cP,IF(V947="PLATINO",_xlpm.cD,999))))))</f>
        <v>24.506573482968111</v>
      </c>
      <c r="AF9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947="CERRADO",0,IF(V947="BRONCE",1,IF(V947="PLATA",_xlpm.cPl,IF(V947="ORO",_xlpm.cO,IF(V947="PLATINO",_xlpm.cP,_xlpm.cD))))))</f>
        <v>1</v>
      </c>
      <c r="AG947">
        <f t="shared" si="346"/>
        <v>1.3093906899544407</v>
      </c>
      <c r="AH947" t="str">
        <f t="shared" si="347"/>
        <v>CLIENTE</v>
      </c>
      <c r="AI947" t="str">
        <f t="shared" si="344"/>
        <v>🎯 Para subir de categoría, la eje con mayor impacto probable es CLIENTE (coef T). Acción: reducir quejas, mejorar incógnito y empujar reseñas. ΔR aprox: 1,3</v>
      </c>
      <c r="AJ947" s="26">
        <f>_xlfn.LET(_xlpm.piso,AF947,_xlpm.corte,AE947,_xlpm.prog,IF(_xlpm.corte&lt;=_xlpm.piso,0,MAX(0,MIN(1,(U947-_xlpm.piso)/(_xlpm.corte-_xlpm.piso)))),_xlpm.orden,{"DIAMANTE";"PLATINO";"ORO";"PLATA";"BRONCE";"CERRADO"},_xlpm.act,IFERROR(MATCH(V947,_xlpm.orden,0),6),_xlpm.ant,IFERROR(MATCH(W947,_xlpm.orden,0),6),_xlpm.ajmov,IF(_xlpm.act&lt;_xlpm.ant,0.08,IF(_xlpm.act&gt;_xlpm.ant,-0.08,0)),_xlpm.ajcli,IF(T947&lt;0.95,-0.06,0),_xlpm.prob,MAX(0,MIN(1,_xlpm.prog+_xlpm.ajmov+_xlpm.ajcli)),IF(OR(V947="DIAMANTE",V947="CERRADO"),0,ROUND(_xlpm.prob,2)))</f>
        <v>0.82</v>
      </c>
      <c r="AK947" t="str">
        <f t="shared" si="348"/>
        <v>Faltan 1,3 puntos base para subir a la siguiente categoría</v>
      </c>
      <c r="AL947" t="str">
        <f t="shared" si="349"/>
        <v>No aplica</v>
      </c>
      <c r="AM947">
        <f t="shared" si="350"/>
        <v>0.32</v>
      </c>
      <c r="AN947" t="str">
        <f t="shared" si="351"/>
        <v>PRIORIDAD BAJA – control normal</v>
      </c>
      <c r="AO947">
        <f t="shared" si="352"/>
        <v>45.403798492706905</v>
      </c>
      <c r="AP947">
        <f t="shared" si="353"/>
        <v>0</v>
      </c>
      <c r="AQ947">
        <f t="shared" si="354"/>
        <v>0</v>
      </c>
      <c r="AR947">
        <f t="shared" si="355"/>
        <v>0.90999999999999914</v>
      </c>
      <c r="AS947">
        <f t="shared" si="356"/>
        <v>10.110000000000003</v>
      </c>
      <c r="AT947" t="str">
        <f t="shared" si="357"/>
        <v>VENTAS</v>
      </c>
      <c r="AU947">
        <f t="shared" si="358"/>
        <v>45.403798492706905</v>
      </c>
      <c r="AV947" t="str">
        <f t="shared" si="359"/>
        <v>Mayor retorno probable: VENTAS (+45,4 puntos finales potenciales).</v>
      </c>
    </row>
    <row r="948" spans="1:48" x14ac:dyDescent="0.3">
      <c r="A948" s="5">
        <v>51026497</v>
      </c>
      <c r="B948" s="5" t="str">
        <f>IFERROR(VLOOKUP(A948,VENTAS!$A$2:$B$1194,2,0),"")</f>
        <v>NELLI</v>
      </c>
      <c r="C948" s="5">
        <f>IFERROR(INDEX(VENTAS!$C$2:$E$1194,MATCH(A948,VENTAS!$A$2:$A$1194,0),MATCH(PARAMS_MODELO!$B$2,{"Q1","Q2","Q3"},0)),0)</f>
        <v>16747940.18</v>
      </c>
      <c r="D948" s="5">
        <f>IFERROR(INDEX(VENTAS!$F$2:$H$1194,MATCH(A948,VENTAS!$A$2:$A$1194,0),MATCH(PARAMS_MODELO!$B$2,{"Q1","Q2","Q3"},0)),0)</f>
        <v>17972324</v>
      </c>
      <c r="E948" s="8">
        <f t="shared" si="336"/>
        <v>7.3106531719174139E-2</v>
      </c>
      <c r="F948" s="12">
        <f>IF(E948&lt;=PARAMS_MODELO!$B$15,0,IF(E948&gt;=PARAMS_MODELO!$B$17,100,100*MIN(1,(E948-PARAMS_MODELO!$B$15)/(PARAMS_MODELO!$B$16-PARAMS_MODELO!$B$15))))*PARAMS_MODELO!$B$7</f>
        <v>25.587286101710948</v>
      </c>
      <c r="G948" s="5">
        <f t="shared" si="337"/>
        <v>1224383.8200000003</v>
      </c>
      <c r="H948" s="5">
        <f>(PARAMS_MODELO!$B$20*(MAX(0,MIN(3,E948))/3)+PARAMS_MODELO!$B$21*(IFERROR(LN(1+MAX(0,G948))/LN(1+MAX(0,MAX($G$2:$G$1194))),0)))*100*PARAMS_MODELO!$B$8</f>
        <v>3.5418758275536577</v>
      </c>
      <c r="I948" s="8">
        <f>E948-PARAMS_MODELO!$B$5</f>
        <v>-0.10445630365635239</v>
      </c>
      <c r="J948" s="5">
        <f>IF(I948&lt;=PARAMS_MODELO!$B$18,0,IF(I948&gt;=PARAMS_MODELO!$B$19,100,100*(I948-PARAMS_MODELO!$B$18)/(PARAMS_MODELO!$B$19-PARAMS_MODELO!$B$18)))*PARAMS_MODELO!$B$9</f>
        <v>0</v>
      </c>
      <c r="K948" s="5">
        <f>IFERROR(CHOOSE(MATCH(PARAMS_MODELO!$B$2,{"Q1","Q2","Q3"},0),LOTO!$D948,LOTO!$F948,LOTO!$H948),0)</f>
        <v>932500</v>
      </c>
      <c r="L948" s="8">
        <f t="shared" si="338"/>
        <v>5.1885332136233468E-2</v>
      </c>
      <c r="M948" s="5">
        <f>MIN(100,IF(PARAMS_MODELO!$B$23=0,0,100*L948/PARAMS_MODELO!$B$23))*PARAMS_MODELO!$B$10</f>
        <v>15</v>
      </c>
      <c r="N948" s="5">
        <f>IFERROR(VLOOKUP(A948,COMPLIANCE!$A$2:$F$1996,6,0),100)</f>
        <v>100</v>
      </c>
      <c r="O948" s="5">
        <f>N948*PARAMS_MODELO!$B$11</f>
        <v>10</v>
      </c>
      <c r="P948" s="5">
        <f>IFERROR(VLOOKUP(A948,DIGITAL!$A$2:$J$2000,7,0),100)</f>
        <v>71</v>
      </c>
      <c r="Q948" s="5">
        <f>IFERROR(P948,0)*PARAMS_MODELO!$B$12</f>
        <v>7.1000000000000005</v>
      </c>
      <c r="R948">
        <f t="shared" si="339"/>
        <v>61.229161929264606</v>
      </c>
      <c r="S948" s="5" t="str">
        <f>IFERROR(VLOOKUP(A948,CLIENTE!$A$2:$N$2000,13,0),1)</f>
        <v>Malo</v>
      </c>
      <c r="T948" s="5">
        <f>IFERROR(VLOOKUP(A948,CLIENTE!$A$2:$N$2000,14,0),1)</f>
        <v>0.7</v>
      </c>
      <c r="U948" s="5">
        <f t="shared" si="340"/>
        <v>42.860413350485224</v>
      </c>
      <c r="V948" s="5" t="str">
        <f>IF(U948&gt;=MAX(_xlfn.PERCENTILE.INC($U$2:$U$1194,PARAMS_MODELO!$B$50),PARAMS_MODELO!$B$45),"DIAMANTE",IF(U948&gt;=MAX(_xlfn.PERCENTILE.INC($U$2:$U$1194,PARAMS_MODELO!$B$51),PARAMS_MODELO!$B$46),"PLATINO",IF(U948&gt;=MAX(_xlfn.PERCENTILE.INC($U$2:$U$1194,PARAMS_MODELO!$B$52),PARAMS_MODELO!$B$47),"ORO",IF(U948&gt;=MAX(_xlfn.PERCENTILE.INC($U$2:$U$1194,PARAMS_MODELO!$B$53),PARAMS_MODELO!$B$48),"PLATA",IF(U948&gt;=1,"BRONCE","CERRADO")))))</f>
        <v>PLATA</v>
      </c>
      <c r="W948" s="5" t="str" cm="1">
        <f t="array" ref="W948">_xlfn.XLOOKUP(1, (HIST_SCORE!$B:$B=PARAMS_MODELO!$B$4) * (HIST_SCORE!$C:$C=A948), HIST_SCORE!$E:$E, "No encontrado")</f>
        <v>PLATA</v>
      </c>
      <c r="X948" s="5" t="str">
        <f>_xlfn.LET(_xlpm.act,MATCH(V948,{"DIAMANTE";"PLATINO";"ORO";"PLATA";"BRONCE";"CERRADO"},0),_xlpm.ant,MATCH(W948,{"DIAMANTE";"PLATINO";"ORO";"PLATA";"BRONCE";"CERRADO"},0),IF(_xlpm.act&lt;_xlpm.ant,"Mejora ↑",IF(_xlpm.act&gt;_xlpm.ant,"Baja ↓","Estable →")))</f>
        <v>Estable →</v>
      </c>
      <c r="Y948" s="5">
        <f>IFERROR(U948-SUMIFS(HIST_SCORE!$D:$D,HIST_SCORE!$B:$B,PARAMS_MODELO!$B$4,HIST_SCORE!$C:$C,$A948),"")</f>
        <v>-7.779673329792459</v>
      </c>
      <c r="Z948" s="5" t="str">
        <f t="shared" si="341"/>
        <v>↓ Baja</v>
      </c>
      <c r="AA948" s="5">
        <f t="shared" si="342"/>
        <v>779</v>
      </c>
      <c r="AB948" s="5">
        <f>IFERROR(SUMIFS(HIST_SCORE!$F:$F,HIST_SCORE!$B:$B,PARAMS_MODELO!$B$4,HIST_SCORE!$C:$C,$A948),"")</f>
        <v>766</v>
      </c>
      <c r="AC948" s="5">
        <f t="shared" si="343"/>
        <v>-13</v>
      </c>
      <c r="AD948" t="str">
        <f t="shared" si="345"/>
        <v/>
      </c>
      <c r="AE9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948="CERRADO",1,IF(V948="BRONCE",_xlpm.cPl,IF(V948="PLATA",_xlpm.cO,IF(V948="ORO",_xlpm.cP,IF(V948="PLATINO",_xlpm.cD,999))))))</f>
        <v>63.199193273331495</v>
      </c>
      <c r="AF9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948="CERRADO",0,IF(V948="BRONCE",1,IF(V948="PLATA",_xlpm.cPl,IF(V948="ORO",_xlpm.cO,IF(V948="PLATINO",_xlpm.cP,_xlpm.cD))))))</f>
        <v>24.506573482968111</v>
      </c>
      <c r="AG948">
        <f t="shared" si="346"/>
        <v>29.055399889780389</v>
      </c>
      <c r="AH948" t="str">
        <f t="shared" si="347"/>
        <v>VENTAS</v>
      </c>
      <c r="AI948" t="str">
        <f t="shared" si="344"/>
        <v>🎯 Para subir de categoría, eje VENTAS / DIFERENCIAL vs LOTBA (J). Acción: metas semanales + activación comercial + seguimiento del asesor. ΔR aprox: 29,1</v>
      </c>
      <c r="AJ948" s="26">
        <f>_xlfn.LET(_xlpm.piso,AF948,_xlpm.corte,AE948,_xlpm.prog,IF(_xlpm.corte&lt;=_xlpm.piso,0,MAX(0,MIN(1,(U948-_xlpm.piso)/(_xlpm.corte-_xlpm.piso)))),_xlpm.orden,{"DIAMANTE";"PLATINO";"ORO";"PLATA";"BRONCE";"CERRADO"},_xlpm.act,IFERROR(MATCH(V948,_xlpm.orden,0),6),_xlpm.ant,IFERROR(MATCH(W948,_xlpm.orden,0),6),_xlpm.ajmov,IF(_xlpm.act&lt;_xlpm.ant,0.08,IF(_xlpm.act&gt;_xlpm.ant,-0.08,0)),_xlpm.ajcli,IF(T948&lt;0.95,-0.06,0),_xlpm.prob,MAX(0,MIN(1,_xlpm.prog+_xlpm.ajmov+_xlpm.ajcli)),IF(OR(V948="DIAMANTE",V948="CERRADO"),0,ROUND(_xlpm.prob,2)))</f>
        <v>0.41</v>
      </c>
      <c r="AK948" t="str">
        <f t="shared" si="348"/>
        <v>Faltan 29,1 puntos base para subir a la siguiente categoría</v>
      </c>
      <c r="AL948" t="str">
        <f t="shared" si="349"/>
        <v>Margen de seguridad: 18,4 puntos</v>
      </c>
      <c r="AM948">
        <f t="shared" si="350"/>
        <v>0.84</v>
      </c>
      <c r="AN948" t="str">
        <f t="shared" si="351"/>
        <v>PRIORIDAD ALTA – requiere intervención inmediata</v>
      </c>
      <c r="AO948">
        <f t="shared" si="352"/>
        <v>25.013385142221683</v>
      </c>
      <c r="AP948">
        <f t="shared" si="353"/>
        <v>0</v>
      </c>
      <c r="AQ948">
        <f t="shared" si="354"/>
        <v>0</v>
      </c>
      <c r="AR948">
        <f t="shared" si="355"/>
        <v>2.0299999999999994</v>
      </c>
      <c r="AS948">
        <f t="shared" si="356"/>
        <v>18.368748578779385</v>
      </c>
      <c r="AT948" t="str">
        <f t="shared" si="357"/>
        <v>VENTAS</v>
      </c>
      <c r="AU948">
        <f t="shared" si="358"/>
        <v>25.013385142221683</v>
      </c>
      <c r="AV948" t="str">
        <f t="shared" si="359"/>
        <v>Mayor retorno probable: VENTAS (+25,0 puntos finales potenciales).</v>
      </c>
    </row>
    <row r="949" spans="1:48" x14ac:dyDescent="0.3">
      <c r="A949" s="5">
        <v>51043693</v>
      </c>
      <c r="B949" s="5" t="str">
        <f>IFERROR(VLOOKUP(A949,VENTAS!$A$2:$B$1194,2,0),"")</f>
        <v>PRADES</v>
      </c>
      <c r="C949" s="5">
        <f>IFERROR(INDEX(VENTAS!$C$2:$E$1194,MATCH(A949,VENTAS!$A$2:$A$1194,0),MATCH(PARAMS_MODELO!$B$2,{"Q1","Q2","Q3"},0)),0)</f>
        <v>16438799.699999999</v>
      </c>
      <c r="D949" s="5">
        <f>IFERROR(INDEX(VENTAS!$F$2:$H$1194,MATCH(A949,VENTAS!$A$2:$A$1194,0),MATCH(PARAMS_MODELO!$B$2,{"Q1","Q2","Q3"},0)),0)</f>
        <v>17854357</v>
      </c>
      <c r="E949" s="8">
        <f t="shared" si="336"/>
        <v>8.6110745664721433E-2</v>
      </c>
      <c r="F949" s="12">
        <f>IF(E949&lt;=PARAMS_MODELO!$B$15,0,IF(E949&gt;=PARAMS_MODELO!$B$17,100,100*MIN(1,(E949-PARAMS_MODELO!$B$15)/(PARAMS_MODELO!$B$16-PARAMS_MODELO!$B$15))))*PARAMS_MODELO!$B$7</f>
        <v>30.138760982652499</v>
      </c>
      <c r="G949" s="5">
        <f t="shared" si="337"/>
        <v>1415557.3000000007</v>
      </c>
      <c r="H949" s="5">
        <f>(PARAMS_MODELO!$B$20*(MAX(0,MIN(3,E949))/3)+PARAMS_MODELO!$B$21*(IFERROR(LN(1+MAX(0,G949))/LN(1+MAX(0,MAX($G$2:$G$1194))),0)))*100*PARAMS_MODELO!$B$8</f>
        <v>3.6214006387155644</v>
      </c>
      <c r="I949" s="8">
        <f>E949-PARAMS_MODELO!$B$5</f>
        <v>-9.1452089710805096E-2</v>
      </c>
      <c r="J949" s="5">
        <f>IF(I949&lt;=PARAMS_MODELO!$B$18,0,IF(I949&gt;=PARAMS_MODELO!$B$19,100,100*(I949-PARAMS_MODELO!$B$18)/(PARAMS_MODELO!$B$19-PARAMS_MODELO!$B$18)))*PARAMS_MODELO!$B$9</f>
        <v>0</v>
      </c>
      <c r="K949" s="5">
        <f>IFERROR(CHOOSE(MATCH(PARAMS_MODELO!$B$2,{"Q1","Q2","Q3"},0),LOTO!$D949,LOTO!$F949,LOTO!$H949),0)</f>
        <v>927500</v>
      </c>
      <c r="L949" s="8">
        <f t="shared" si="338"/>
        <v>5.1948104319858732E-2</v>
      </c>
      <c r="M949" s="5">
        <f>MIN(100,IF(PARAMS_MODELO!$B$23=0,0,100*L949/PARAMS_MODELO!$B$23))*PARAMS_MODELO!$B$10</f>
        <v>15</v>
      </c>
      <c r="N949" s="5">
        <f>IFERROR(VLOOKUP(A949,COMPLIANCE!$A$2:$F$1996,6,0),100)</f>
        <v>100</v>
      </c>
      <c r="O949" s="5">
        <f>N949*PARAMS_MODELO!$B$11</f>
        <v>10</v>
      </c>
      <c r="P949" s="5">
        <f>IFERROR(VLOOKUP(A949,DIGITAL!$A$2:$J$2000,7,0),100)</f>
        <v>78</v>
      </c>
      <c r="Q949" s="5">
        <f>IFERROR(P949,0)*PARAMS_MODELO!$B$12</f>
        <v>7.8000000000000007</v>
      </c>
      <c r="R949">
        <f t="shared" si="339"/>
        <v>66.560161621368067</v>
      </c>
      <c r="S949" s="5" t="str">
        <f>IFERROR(VLOOKUP(A949,CLIENTE!$A$2:$N$2000,13,0),1)</f>
        <v>Bueno</v>
      </c>
      <c r="T949" s="5">
        <f>IFERROR(VLOOKUP(A949,CLIENTE!$A$2:$N$2000,14,0),1)</f>
        <v>1.1000000000000001</v>
      </c>
      <c r="U949" s="5">
        <f t="shared" si="340"/>
        <v>73.216177783504875</v>
      </c>
      <c r="V949" s="5" t="str">
        <f>IF(U949&gt;=MAX(_xlfn.PERCENTILE.INC($U$2:$U$1194,PARAMS_MODELO!$B$50),PARAMS_MODELO!$B$45),"DIAMANTE",IF(U949&gt;=MAX(_xlfn.PERCENTILE.INC($U$2:$U$1194,PARAMS_MODELO!$B$51),PARAMS_MODELO!$B$46),"PLATINO",IF(U949&gt;=MAX(_xlfn.PERCENTILE.INC($U$2:$U$1194,PARAMS_MODELO!$B$52),PARAMS_MODELO!$B$47),"ORO",IF(U949&gt;=MAX(_xlfn.PERCENTILE.INC($U$2:$U$1194,PARAMS_MODELO!$B$53),PARAMS_MODELO!$B$48),"PLATA",IF(U949&gt;=1,"BRONCE","CERRADO")))))</f>
        <v>ORO</v>
      </c>
      <c r="W949" s="5" t="str" cm="1">
        <f t="array" ref="W949">_xlfn.XLOOKUP(1, (HIST_SCORE!$B:$B=PARAMS_MODELO!$B$4) * (HIST_SCORE!$C:$C=A949), HIST_SCORE!$E:$E, "No encontrado")</f>
        <v>PLATINO</v>
      </c>
      <c r="X949" s="5" t="str">
        <f>_xlfn.LET(_xlpm.act,MATCH(V949,{"DIAMANTE";"PLATINO";"ORO";"PLATA";"BRONCE";"CERRADO"},0),_xlpm.ant,MATCH(W949,{"DIAMANTE";"PLATINO";"ORO";"PLATA";"BRONCE";"CERRADO"},0),IF(_xlpm.act&lt;_xlpm.ant,"Mejora ↑",IF(_xlpm.act&gt;_xlpm.ant,"Baja ↓","Estable →")))</f>
        <v>Baja ↓</v>
      </c>
      <c r="Y949" s="5">
        <f>IFERROR(U949-SUMIFS(HIST_SCORE!$D:$D,HIST_SCORE!$B:$B,PARAMS_MODELO!$B$4,HIST_SCORE!$C:$C,$A949),"")</f>
        <v>-13.093406359502495</v>
      </c>
      <c r="Z949" s="5" t="str">
        <f t="shared" si="341"/>
        <v>↓ Baja</v>
      </c>
      <c r="AA949" s="5">
        <f t="shared" si="342"/>
        <v>488</v>
      </c>
      <c r="AB949" s="5">
        <f>IFERROR(SUMIFS(HIST_SCORE!$F:$F,HIST_SCORE!$B:$B,PARAMS_MODELO!$B$4,HIST_SCORE!$C:$C,$A949),"")</f>
        <v>223</v>
      </c>
      <c r="AC949" s="5">
        <f t="shared" si="343"/>
        <v>-265</v>
      </c>
      <c r="AD949" t="str">
        <f t="shared" si="345"/>
        <v>Sostener base y reforzar mix</v>
      </c>
      <c r="AE9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949="CERRADO",1,IF(V949="BRONCE",_xlpm.cPl,IF(V949="PLATA",_xlpm.cO,IF(V949="ORO",_xlpm.cP,IF(V949="PLATINO",_xlpm.cD,999))))))</f>
        <v>86.439123873763251</v>
      </c>
      <c r="AF9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949="CERRADO",0,IF(V949="BRONCE",1,IF(V949="PLATA",_xlpm.cPl,IF(V949="ORO",_xlpm.cO,IF(V949="PLATINO",_xlpm.cP,_xlpm.cD))))))</f>
        <v>63.199193273331495</v>
      </c>
      <c r="AG949">
        <f t="shared" si="346"/>
        <v>12.020860082053062</v>
      </c>
      <c r="AH949" t="str">
        <f t="shared" si="347"/>
        <v>VENTAS</v>
      </c>
      <c r="AI949" t="str">
        <f t="shared" si="344"/>
        <v>🎯 Para subir de categoría, eje VENTAS / DIFERENCIAL vs LOTBA (J). Acción: metas semanales + activación comercial + seguimiento del asesor. ΔR aprox: 12,0</v>
      </c>
      <c r="AJ949" s="26">
        <f>_xlfn.LET(_xlpm.piso,AF949,_xlpm.corte,AE949,_xlpm.prog,IF(_xlpm.corte&lt;=_xlpm.piso,0,MAX(0,MIN(1,(U949-_xlpm.piso)/(_xlpm.corte-_xlpm.piso)))),_xlpm.orden,{"DIAMANTE";"PLATINO";"ORO";"PLATA";"BRONCE";"CERRADO"},_xlpm.act,IFERROR(MATCH(V949,_xlpm.orden,0),6),_xlpm.ant,IFERROR(MATCH(W949,_xlpm.orden,0),6),_xlpm.ajmov,IF(_xlpm.act&lt;_xlpm.ant,0.08,IF(_xlpm.act&gt;_xlpm.ant,-0.08,0)),_xlpm.ajcli,IF(T949&lt;0.95,-0.06,0),_xlpm.prob,MAX(0,MIN(1,_xlpm.prog+_xlpm.ajmov+_xlpm.ajcli)),IF(OR(V949="DIAMANTE",V949="CERRADO"),0,ROUND(_xlpm.prob,2)))</f>
        <v>0.35</v>
      </c>
      <c r="AK949" t="str">
        <f t="shared" si="348"/>
        <v>Faltan 12,0 puntos base para subir a la siguiente categoría</v>
      </c>
      <c r="AL949" t="str">
        <f t="shared" si="349"/>
        <v>Margen de seguridad: 10,0 puntos</v>
      </c>
      <c r="AM949">
        <f t="shared" si="350"/>
        <v>0.66</v>
      </c>
      <c r="AN949" t="str">
        <f t="shared" si="351"/>
        <v>PRIORIDAD MEDIA – seguimiento del asesor</v>
      </c>
      <c r="AO949">
        <f t="shared" si="352"/>
        <v>34.212648419320274</v>
      </c>
      <c r="AP949">
        <f t="shared" si="353"/>
        <v>0</v>
      </c>
      <c r="AQ949">
        <f t="shared" si="354"/>
        <v>0</v>
      </c>
      <c r="AR949">
        <f t="shared" si="355"/>
        <v>2.4199999999999995</v>
      </c>
      <c r="AS949">
        <f t="shared" si="356"/>
        <v>0</v>
      </c>
      <c r="AT949" t="str">
        <f t="shared" si="357"/>
        <v>VENTAS</v>
      </c>
      <c r="AU949">
        <f t="shared" si="358"/>
        <v>34.212648419320274</v>
      </c>
      <c r="AV949" t="str">
        <f t="shared" si="359"/>
        <v>Mayor retorno probable: VENTAS (+34,2 puntos finales potenciales).</v>
      </c>
    </row>
    <row r="950" spans="1:48" x14ac:dyDescent="0.3">
      <c r="A950" s="5">
        <v>51001532</v>
      </c>
      <c r="B950" s="5" t="str">
        <f>IFERROR(VLOOKUP(A950,VENTAS!$A$2:$B$1194,2,0),"")</f>
        <v>ARGUELLO</v>
      </c>
      <c r="C950" s="5">
        <f>IFERROR(INDEX(VENTAS!$C$2:$E$1194,MATCH(A950,VENTAS!$A$2:$A$1194,0),MATCH(PARAMS_MODELO!$B$2,{"Q1","Q2","Q3"},0)),0)</f>
        <v>19373157.300000001</v>
      </c>
      <c r="D950" s="5">
        <f>IFERROR(INDEX(VENTAS!$F$2:$H$1194,MATCH(A950,VENTAS!$A$2:$A$1194,0),MATCH(PARAMS_MODELO!$B$2,{"Q1","Q2","Q3"},0)),0)</f>
        <v>17835100</v>
      </c>
      <c r="E950" s="8">
        <f t="shared" si="336"/>
        <v>-7.9391153242739709E-2</v>
      </c>
      <c r="F950" s="12">
        <f>IF(E950&lt;=PARAMS_MODELO!$B$15,0,IF(E950&gt;=PARAMS_MODELO!$B$17,100,100*MIN(1,(E950-PARAMS_MODELO!$B$15)/(PARAMS_MODELO!$B$16-PARAMS_MODELO!$B$15))))*PARAMS_MODELO!$B$7</f>
        <v>0</v>
      </c>
      <c r="G950" s="5">
        <f t="shared" si="337"/>
        <v>0</v>
      </c>
      <c r="H950" s="5">
        <f>(PARAMS_MODELO!$B$20*(MAX(0,MIN(3,E950))/3)+PARAMS_MODELO!$B$21*(IFERROR(LN(1+MAX(0,G950))/LN(1+MAX(0,MAX($G$2:$G$1194))),0)))*100*PARAMS_MODELO!$B$8</f>
        <v>0</v>
      </c>
      <c r="I950" s="8">
        <f>E950-PARAMS_MODELO!$B$5</f>
        <v>-0.25695398861826624</v>
      </c>
      <c r="J950" s="5">
        <f>IF(I950&lt;=PARAMS_MODELO!$B$18,0,IF(I950&gt;=PARAMS_MODELO!$B$19,100,100*(I950-PARAMS_MODELO!$B$18)/(PARAMS_MODELO!$B$19-PARAMS_MODELO!$B$18)))*PARAMS_MODELO!$B$9</f>
        <v>0</v>
      </c>
      <c r="K950" s="5">
        <f>IFERROR(CHOOSE(MATCH(PARAMS_MODELO!$B$2,{"Q1","Q2","Q3"},0),LOTO!$D950,LOTO!$F950,LOTO!$H950),0)</f>
        <v>922500</v>
      </c>
      <c r="L950" s="8">
        <f t="shared" si="338"/>
        <v>5.1723847917869818E-2</v>
      </c>
      <c r="M950" s="5">
        <f>MIN(100,IF(PARAMS_MODELO!$B$23=0,0,100*L950/PARAMS_MODELO!$B$23))*PARAMS_MODELO!$B$10</f>
        <v>15</v>
      </c>
      <c r="N950" s="5">
        <f>IFERROR(VLOOKUP(A950,COMPLIANCE!$A$2:$F$1996,6,0),100)</f>
        <v>100</v>
      </c>
      <c r="O950" s="5">
        <f>N950*PARAMS_MODELO!$B$11</f>
        <v>10</v>
      </c>
      <c r="P950" s="5">
        <f>IFERROR(VLOOKUP(A950,DIGITAL!$A$2:$J$2000,7,0),100)</f>
        <v>45</v>
      </c>
      <c r="Q950" s="5">
        <f>IFERROR(P950,0)*PARAMS_MODELO!$B$12</f>
        <v>4.5</v>
      </c>
      <c r="R950">
        <f t="shared" si="339"/>
        <v>29.5</v>
      </c>
      <c r="S950" s="5" t="str">
        <f>IFERROR(VLOOKUP(A950,CLIENTE!$A$2:$N$2000,13,0),1)</f>
        <v>Malo</v>
      </c>
      <c r="T950" s="5">
        <f>IFERROR(VLOOKUP(A950,CLIENTE!$A$2:$N$2000,14,0),1)</f>
        <v>0.7</v>
      </c>
      <c r="U950" s="5">
        <f t="shared" si="340"/>
        <v>20.65</v>
      </c>
      <c r="V950" s="5" t="str">
        <f>IF(U950&gt;=MAX(_xlfn.PERCENTILE.INC($U$2:$U$1194,PARAMS_MODELO!$B$50),PARAMS_MODELO!$B$45),"DIAMANTE",IF(U950&gt;=MAX(_xlfn.PERCENTILE.INC($U$2:$U$1194,PARAMS_MODELO!$B$51),PARAMS_MODELO!$B$46),"PLATINO",IF(U950&gt;=MAX(_xlfn.PERCENTILE.INC($U$2:$U$1194,PARAMS_MODELO!$B$52),PARAMS_MODELO!$B$47),"ORO",IF(U950&gt;=MAX(_xlfn.PERCENTILE.INC($U$2:$U$1194,PARAMS_MODELO!$B$53),PARAMS_MODELO!$B$48),"PLATA",IF(U950&gt;=1,"BRONCE","CERRADO")))))</f>
        <v>BRONCE</v>
      </c>
      <c r="W950" s="5" t="str" cm="1">
        <f t="array" ref="W950">_xlfn.XLOOKUP(1, (HIST_SCORE!$B:$B=PARAMS_MODELO!$B$4) * (HIST_SCORE!$C:$C=A950), HIST_SCORE!$E:$E, "No encontrado")</f>
        <v>PLATA</v>
      </c>
      <c r="X950" s="5" t="str">
        <f>_xlfn.LET(_xlpm.act,MATCH(V950,{"DIAMANTE";"PLATINO";"ORO";"PLATA";"BRONCE";"CERRADO"},0),_xlpm.ant,MATCH(W950,{"DIAMANTE";"PLATINO";"ORO";"PLATA";"BRONCE";"CERRADO"},0),IF(_xlpm.act&lt;_xlpm.ant,"Mejora ↑",IF(_xlpm.act&gt;_xlpm.ant,"Baja ↓","Estable →")))</f>
        <v>Baja ↓</v>
      </c>
      <c r="Y950" s="5">
        <f>IFERROR(U950-SUMIFS(HIST_SCORE!$D:$D,HIST_SCORE!$B:$B,PARAMS_MODELO!$B$4,HIST_SCORE!$C:$C,$A950),"")</f>
        <v>-27.283345627381451</v>
      </c>
      <c r="Z950" s="5" t="str">
        <f t="shared" si="341"/>
        <v>↓ Baja</v>
      </c>
      <c r="AA950" s="5">
        <f t="shared" si="342"/>
        <v>968</v>
      </c>
      <c r="AB950" s="5">
        <f>IFERROR(SUMIFS(HIST_SCORE!$F:$F,HIST_SCORE!$B:$B,PARAMS_MODELO!$B$4,HIST_SCORE!$C:$C,$A950),"")</f>
        <v>791</v>
      </c>
      <c r="AC950" s="5">
        <f t="shared" si="343"/>
        <v>-177</v>
      </c>
      <c r="AD950" t="str">
        <f t="shared" si="345"/>
        <v>Plan de recuperación: foco crecimiento + mix</v>
      </c>
      <c r="AE9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950="CERRADO",1,IF(V950="BRONCE",_xlpm.cPl,IF(V950="PLATA",_xlpm.cO,IF(V950="ORO",_xlpm.cP,IF(V950="PLATINO",_xlpm.cD,999))))))</f>
        <v>24.506573482968111</v>
      </c>
      <c r="AF9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950="CERRADO",0,IF(V950="BRONCE",1,IF(V950="PLATA",_xlpm.cPl,IF(V950="ORO",_xlpm.cO,IF(V950="PLATINO",_xlpm.cP,_xlpm.cD))))))</f>
        <v>1</v>
      </c>
      <c r="AG950">
        <f t="shared" si="346"/>
        <v>5.5093906899544436</v>
      </c>
      <c r="AH950" t="str">
        <f t="shared" si="347"/>
        <v>CLIENTE</v>
      </c>
      <c r="AI950" t="str">
        <f t="shared" si="344"/>
        <v>🎯 Para subir de categoría, la eje con mayor impacto probable es CLIENTE (coef T). Acción: reducir quejas, mejorar incógnito y empujar reseñas. ΔR aprox: 5,5</v>
      </c>
      <c r="AJ950" s="26">
        <f>_xlfn.LET(_xlpm.piso,AF950,_xlpm.corte,AE950,_xlpm.prog,IF(_xlpm.corte&lt;=_xlpm.piso,0,MAX(0,MIN(1,(U950-_xlpm.piso)/(_xlpm.corte-_xlpm.piso)))),_xlpm.orden,{"DIAMANTE";"PLATINO";"ORO";"PLATA";"BRONCE";"CERRADO"},_xlpm.act,IFERROR(MATCH(V950,_xlpm.orden,0),6),_xlpm.ant,IFERROR(MATCH(W950,_xlpm.orden,0),6),_xlpm.ajmov,IF(_xlpm.act&lt;_xlpm.ant,0.08,IF(_xlpm.act&gt;_xlpm.ant,-0.08,0)),_xlpm.ajcli,IF(T950&lt;0.95,-0.06,0),_xlpm.prob,MAX(0,MIN(1,_xlpm.prog+_xlpm.ajmov+_xlpm.ajcli)),IF(OR(V950="DIAMANTE",V950="CERRADO"),0,ROUND(_xlpm.prob,2)))</f>
        <v>0.7</v>
      </c>
      <c r="AK950" t="str">
        <f t="shared" si="348"/>
        <v>Faltan 5,5 puntos base para subir a la siguiente categoría</v>
      </c>
      <c r="AL950" t="str">
        <f t="shared" si="349"/>
        <v>No aplica</v>
      </c>
      <c r="AM950">
        <f t="shared" si="350"/>
        <v>0.54</v>
      </c>
      <c r="AN950" t="str">
        <f t="shared" si="351"/>
        <v>PRIORIDAD MEDIA – seguimiento del asesor</v>
      </c>
      <c r="AO950">
        <f t="shared" si="352"/>
        <v>45.403798492706905</v>
      </c>
      <c r="AP950">
        <f t="shared" si="353"/>
        <v>0</v>
      </c>
      <c r="AQ950">
        <f t="shared" si="354"/>
        <v>0</v>
      </c>
      <c r="AR950">
        <f t="shared" si="355"/>
        <v>3.8499999999999996</v>
      </c>
      <c r="AS950">
        <f t="shared" si="356"/>
        <v>8.8500000000000014</v>
      </c>
      <c r="AT950" t="str">
        <f t="shared" si="357"/>
        <v>VENTAS</v>
      </c>
      <c r="AU950">
        <f t="shared" si="358"/>
        <v>45.403798492706905</v>
      </c>
      <c r="AV950" t="str">
        <f t="shared" si="359"/>
        <v>Mayor retorno probable: VENTAS (+45,4 puntos finales potenciales).</v>
      </c>
    </row>
    <row r="951" spans="1:48" x14ac:dyDescent="0.3">
      <c r="A951" s="5">
        <v>51002709</v>
      </c>
      <c r="B951" s="5" t="str">
        <f>IFERROR(VLOOKUP(A951,VENTAS!$A$2:$B$1194,2,0),"")</f>
        <v>BELUZZO</v>
      </c>
      <c r="C951" s="5">
        <f>IFERROR(INDEX(VENTAS!$C$2:$E$1194,MATCH(A951,VENTAS!$A$2:$A$1194,0),MATCH(PARAMS_MODELO!$B$2,{"Q1","Q2","Q3"},0)),0)</f>
        <v>16596298.16</v>
      </c>
      <c r="D951" s="5">
        <f>IFERROR(INDEX(VENTAS!$F$2:$H$1194,MATCH(A951,VENTAS!$A$2:$A$1194,0),MATCH(PARAMS_MODELO!$B$2,{"Q1","Q2","Q3"},0)),0)</f>
        <v>17722110</v>
      </c>
      <c r="E951" s="8">
        <f t="shared" si="336"/>
        <v>6.7835117756163577E-2</v>
      </c>
      <c r="F951" s="12">
        <f>IF(E951&lt;=PARAMS_MODELO!$B$15,0,IF(E951&gt;=PARAMS_MODELO!$B$17,100,100*MIN(1,(E951-PARAMS_MODELO!$B$15)/(PARAMS_MODELO!$B$16-PARAMS_MODELO!$B$15))))*PARAMS_MODELO!$B$7</f>
        <v>23.742291214657254</v>
      </c>
      <c r="G951" s="5">
        <f t="shared" si="337"/>
        <v>1125811.8399999999</v>
      </c>
      <c r="H951" s="5">
        <f>(PARAMS_MODELO!$B$20*(MAX(0,MIN(3,E951))/3)+PARAMS_MODELO!$B$21*(IFERROR(LN(1+MAX(0,G951))/LN(1+MAX(0,MAX($G$2:$G$1194))),0)))*100*PARAMS_MODELO!$B$8</f>
        <v>3.5037507575946458</v>
      </c>
      <c r="I951" s="8">
        <f>E951-PARAMS_MODELO!$B$5</f>
        <v>-0.10972771761936295</v>
      </c>
      <c r="J951" s="5">
        <f>IF(I951&lt;=PARAMS_MODELO!$B$18,0,IF(I951&gt;=PARAMS_MODELO!$B$19,100,100*(I951-PARAMS_MODELO!$B$18)/(PARAMS_MODELO!$B$19-PARAMS_MODELO!$B$18)))*PARAMS_MODELO!$B$9</f>
        <v>0</v>
      </c>
      <c r="K951" s="5">
        <f>IFERROR(CHOOSE(MATCH(PARAMS_MODELO!$B$2,{"Q1","Q2","Q3"},0),LOTO!$D951,LOTO!$F951,LOTO!$H951),0)</f>
        <v>910000</v>
      </c>
      <c r="L951" s="8">
        <f t="shared" si="338"/>
        <v>5.1348287534610723E-2</v>
      </c>
      <c r="M951" s="5">
        <f>MIN(100,IF(PARAMS_MODELO!$B$23=0,0,100*L951/PARAMS_MODELO!$B$23))*PARAMS_MODELO!$B$10</f>
        <v>15</v>
      </c>
      <c r="N951" s="5">
        <f>IFERROR(VLOOKUP(A951,COMPLIANCE!$A$2:$F$1996,6,0),100)</f>
        <v>99.98</v>
      </c>
      <c r="O951" s="5">
        <f>N951*PARAMS_MODELO!$B$11</f>
        <v>9.9980000000000011</v>
      </c>
      <c r="P951" s="5">
        <f>IFERROR(VLOOKUP(A951,DIGITAL!$A$2:$J$2000,7,0),100)</f>
        <v>39</v>
      </c>
      <c r="Q951" s="5">
        <f>IFERROR(P951,0)*PARAMS_MODELO!$B$12</f>
        <v>3.9000000000000004</v>
      </c>
      <c r="R951">
        <f t="shared" si="339"/>
        <v>56.144041972251905</v>
      </c>
      <c r="S951" s="5" t="str">
        <f>IFERROR(VLOOKUP(A951,CLIENTE!$A$2:$N$2000,13,0),1)</f>
        <v>Regular</v>
      </c>
      <c r="T951" s="5">
        <f>IFERROR(VLOOKUP(A951,CLIENTE!$A$2:$N$2000,14,0),1)</f>
        <v>1</v>
      </c>
      <c r="U951" s="5">
        <f t="shared" si="340"/>
        <v>56.144041972251905</v>
      </c>
      <c r="V951" s="5" t="str">
        <f>IF(U951&gt;=MAX(_xlfn.PERCENTILE.INC($U$2:$U$1194,PARAMS_MODELO!$B$50),PARAMS_MODELO!$B$45),"DIAMANTE",IF(U951&gt;=MAX(_xlfn.PERCENTILE.INC($U$2:$U$1194,PARAMS_MODELO!$B$51),PARAMS_MODELO!$B$46),"PLATINO",IF(U951&gt;=MAX(_xlfn.PERCENTILE.INC($U$2:$U$1194,PARAMS_MODELO!$B$52),PARAMS_MODELO!$B$47),"ORO",IF(U951&gt;=MAX(_xlfn.PERCENTILE.INC($U$2:$U$1194,PARAMS_MODELO!$B$53),PARAMS_MODELO!$B$48),"PLATA",IF(U951&gt;=1,"BRONCE","CERRADO")))))</f>
        <v>PLATA</v>
      </c>
      <c r="W951" s="5" t="str" cm="1">
        <f t="array" ref="W951">_xlfn.XLOOKUP(1, (HIST_SCORE!$B:$B=PARAMS_MODELO!$B$4) * (HIST_SCORE!$C:$C=A951), HIST_SCORE!$E:$E, "No encontrado")</f>
        <v>ORO</v>
      </c>
      <c r="X951" s="5" t="str">
        <f>_xlfn.LET(_xlpm.act,MATCH(V951,{"DIAMANTE";"PLATINO";"ORO";"PLATA";"BRONCE";"CERRADO"},0),_xlpm.ant,MATCH(W951,{"DIAMANTE";"PLATINO";"ORO";"PLATA";"BRONCE";"CERRADO"},0),IF(_xlpm.act&lt;_xlpm.ant,"Mejora ↑",IF(_xlpm.act&gt;_xlpm.ant,"Baja ↓","Estable →")))</f>
        <v>Baja ↓</v>
      </c>
      <c r="Y951" s="5">
        <f>IFERROR(U951-SUMIFS(HIST_SCORE!$D:$D,HIST_SCORE!$B:$B,PARAMS_MODELO!$B$4,HIST_SCORE!$C:$C,$A951),"")</f>
        <v>-27.851330914520908</v>
      </c>
      <c r="Z951" s="5" t="str">
        <f t="shared" si="341"/>
        <v>↓ Baja</v>
      </c>
      <c r="AA951" s="5">
        <f t="shared" si="342"/>
        <v>698</v>
      </c>
      <c r="AB951" s="5">
        <f>IFERROR(SUMIFS(HIST_SCORE!$F:$F,HIST_SCORE!$B:$B,PARAMS_MODELO!$B$4,HIST_SCORE!$C:$C,$A951),"")</f>
        <v>290</v>
      </c>
      <c r="AC951" s="5">
        <f t="shared" si="343"/>
        <v>-408</v>
      </c>
      <c r="AD951" t="str">
        <f t="shared" si="345"/>
        <v/>
      </c>
      <c r="AE9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951="CERRADO",1,IF(V951="BRONCE",_xlpm.cPl,IF(V951="PLATA",_xlpm.cO,IF(V951="ORO",_xlpm.cP,IF(V951="PLATINO",_xlpm.cD,999))))))</f>
        <v>63.199193273331495</v>
      </c>
      <c r="AF9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951="CERRADO",0,IF(V951="BRONCE",1,IF(V951="PLATA",_xlpm.cPl,IF(V951="ORO",_xlpm.cO,IF(V951="PLATINO",_xlpm.cP,_xlpm.cD))))))</f>
        <v>24.506573482968111</v>
      </c>
      <c r="AG951">
        <f t="shared" si="346"/>
        <v>7.0551513010795901</v>
      </c>
      <c r="AH951" t="str">
        <f t="shared" si="347"/>
        <v>VENTAS</v>
      </c>
      <c r="AI951" t="str">
        <f t="shared" si="344"/>
        <v>🎯 Para subir de categoría, eje VENTAS / DIFERENCIAL vs LOTBA (J). Acción: metas semanales + activación comercial + seguimiento del asesor. ΔR aprox: 7,1</v>
      </c>
      <c r="AJ951" s="26">
        <f>_xlfn.LET(_xlpm.piso,AF951,_xlpm.corte,AE951,_xlpm.prog,IF(_xlpm.corte&lt;=_xlpm.piso,0,MAX(0,MIN(1,(U951-_xlpm.piso)/(_xlpm.corte-_xlpm.piso)))),_xlpm.orden,{"DIAMANTE";"PLATINO";"ORO";"PLATA";"BRONCE";"CERRADO"},_xlpm.act,IFERROR(MATCH(V951,_xlpm.orden,0),6),_xlpm.ant,IFERROR(MATCH(W951,_xlpm.orden,0),6),_xlpm.ajmov,IF(_xlpm.act&lt;_xlpm.ant,0.08,IF(_xlpm.act&gt;_xlpm.ant,-0.08,0)),_xlpm.ajcli,IF(T951&lt;0.95,-0.06,0),_xlpm.prob,MAX(0,MIN(1,_xlpm.prog+_xlpm.ajmov+_xlpm.ajcli)),IF(OR(V951="DIAMANTE",V951="CERRADO"),0,ROUND(_xlpm.prob,2)))</f>
        <v>0.74</v>
      </c>
      <c r="AK951" t="str">
        <f t="shared" si="348"/>
        <v>Faltan 7,1 puntos base para subir a la siguiente categoría</v>
      </c>
      <c r="AL951" t="str">
        <f t="shared" si="349"/>
        <v>Margen de seguridad: 31,6 puntos</v>
      </c>
      <c r="AM951">
        <f t="shared" si="350"/>
        <v>0.39</v>
      </c>
      <c r="AN951" t="str">
        <f t="shared" si="351"/>
        <v>PRIORIDAD BAJA – control normal</v>
      </c>
      <c r="AO951">
        <f t="shared" si="352"/>
        <v>37.616527303043682</v>
      </c>
      <c r="AP951">
        <f t="shared" si="353"/>
        <v>0</v>
      </c>
      <c r="AQ951">
        <f t="shared" si="354"/>
        <v>1.9999999999988916E-3</v>
      </c>
      <c r="AR951">
        <f t="shared" si="355"/>
        <v>6.1</v>
      </c>
      <c r="AS951">
        <f t="shared" si="356"/>
        <v>0</v>
      </c>
      <c r="AT951" t="str">
        <f t="shared" si="357"/>
        <v>VENTAS</v>
      </c>
      <c r="AU951">
        <f t="shared" si="358"/>
        <v>37.616527303043682</v>
      </c>
      <c r="AV951" t="str">
        <f t="shared" si="359"/>
        <v>Mayor retorno probable: VENTAS (+37,6 puntos finales potenciales).</v>
      </c>
    </row>
    <row r="952" spans="1:48" x14ac:dyDescent="0.3">
      <c r="A952" s="5">
        <v>51015151</v>
      </c>
      <c r="B952" s="5" t="str">
        <f>IFERROR(VLOOKUP(A952,VENTAS!$A$2:$B$1194,2,0),"")</f>
        <v/>
      </c>
      <c r="C952" s="5">
        <f>IFERROR(INDEX(VENTAS!$C$2:$E$1194,MATCH(A952,VENTAS!$A$2:$A$1194,0),MATCH(PARAMS_MODELO!$B$2,{"Q1","Q2","Q3"},0)),0)</f>
        <v>0</v>
      </c>
      <c r="D952" s="5">
        <f>IFERROR(INDEX(VENTAS!$F$2:$H$1194,MATCH(A952,VENTAS!$A$2:$A$1194,0),MATCH(PARAMS_MODELO!$B$2,{"Q1","Q2","Q3"},0)),0)</f>
        <v>17538300</v>
      </c>
      <c r="E952" s="8">
        <f t="shared" si="336"/>
        <v>0</v>
      </c>
      <c r="F952" s="12">
        <f>IF(E952&lt;=PARAMS_MODELO!$B$15,0,IF(E952&gt;=PARAMS_MODELO!$B$17,100,100*MIN(1,(E952-PARAMS_MODELO!$B$15)/(PARAMS_MODELO!$B$16-PARAMS_MODELO!$B$15))))*PARAMS_MODELO!$B$7</f>
        <v>0</v>
      </c>
      <c r="G952" s="5">
        <f t="shared" si="337"/>
        <v>17538300</v>
      </c>
      <c r="H952" s="5">
        <f>(PARAMS_MODELO!$B$20*(MAX(0,MIN(3,E952))/3)+PARAMS_MODELO!$B$21*(IFERROR(LN(1+MAX(0,G952))/LN(1+MAX(0,MAX($G$2:$G$1194))),0)))*100*PARAMS_MODELO!$B$8</f>
        <v>3.9100008781749325</v>
      </c>
      <c r="I952" s="8">
        <f>E952-PARAMS_MODELO!$B$5</f>
        <v>-0.17756283537552653</v>
      </c>
      <c r="J952" s="5">
        <f>IF(I952&lt;=PARAMS_MODELO!$B$18,0,IF(I952&gt;=PARAMS_MODELO!$B$19,100,100*(I952-PARAMS_MODELO!$B$18)/(PARAMS_MODELO!$B$19-PARAMS_MODELO!$B$18)))*PARAMS_MODELO!$B$9</f>
        <v>0</v>
      </c>
      <c r="K952" s="5">
        <f>IFERROR(CHOOSE(MATCH(PARAMS_MODELO!$B$2,{"Q1","Q2","Q3"},0),LOTO!$D952,LOTO!$F952,LOTO!$H952),0)</f>
        <v>910000</v>
      </c>
      <c r="L952" s="8">
        <f t="shared" si="338"/>
        <v>5.1886442813727673E-2</v>
      </c>
      <c r="M952" s="5">
        <f>MIN(100,IF(PARAMS_MODELO!$B$23=0,0,100*L952/PARAMS_MODELO!$B$23))*PARAMS_MODELO!$B$10</f>
        <v>15</v>
      </c>
      <c r="N952" s="5">
        <f>IFERROR(VLOOKUP(A952,COMPLIANCE!$A$2:$F$1996,6,0),100)</f>
        <v>100</v>
      </c>
      <c r="O952" s="5">
        <f>N952*PARAMS_MODELO!$B$11</f>
        <v>10</v>
      </c>
      <c r="P952" s="5">
        <f>IFERROR(VLOOKUP(A952,DIGITAL!$A$2:$J$2000,7,0),100)</f>
        <v>52</v>
      </c>
      <c r="Q952" s="5">
        <f>IFERROR(P952,0)*PARAMS_MODELO!$B$12</f>
        <v>5.2</v>
      </c>
      <c r="R952">
        <f t="shared" si="339"/>
        <v>34.110000878174937</v>
      </c>
      <c r="S952" s="5" t="str">
        <f>IFERROR(VLOOKUP(A952,CLIENTE!$A$2:$N$2000,13,0),1)</f>
        <v>Malo</v>
      </c>
      <c r="T952" s="5">
        <f>IFERROR(VLOOKUP(A952,CLIENTE!$A$2:$N$2000,14,0),1)</f>
        <v>0.7</v>
      </c>
      <c r="U952" s="5">
        <f t="shared" si="340"/>
        <v>23.877000614722455</v>
      </c>
      <c r="V952" s="5" t="str">
        <f>IF(U952&gt;=MAX(_xlfn.PERCENTILE.INC($U$2:$U$1194,PARAMS_MODELO!$B$50),PARAMS_MODELO!$B$45),"DIAMANTE",IF(U952&gt;=MAX(_xlfn.PERCENTILE.INC($U$2:$U$1194,PARAMS_MODELO!$B$51),PARAMS_MODELO!$B$46),"PLATINO",IF(U952&gt;=MAX(_xlfn.PERCENTILE.INC($U$2:$U$1194,PARAMS_MODELO!$B$52),PARAMS_MODELO!$B$47),"ORO",IF(U952&gt;=MAX(_xlfn.PERCENTILE.INC($U$2:$U$1194,PARAMS_MODELO!$B$53),PARAMS_MODELO!$B$48),"PLATA",IF(U952&gt;=1,"BRONCE","CERRADO")))))</f>
        <v>BRONCE</v>
      </c>
      <c r="W952" s="5" t="str" cm="1">
        <f t="array" ref="W952">_xlfn.XLOOKUP(1, (HIST_SCORE!$B:$B=PARAMS_MODELO!$B$4) * (HIST_SCORE!$C:$C=A952), HIST_SCORE!$E:$E, "No encontrado")</f>
        <v>BRONCE</v>
      </c>
      <c r="X952" s="5" t="str">
        <f>_xlfn.LET(_xlpm.act,MATCH(V952,{"DIAMANTE";"PLATINO";"ORO";"PLATA";"BRONCE";"CERRADO"},0),_xlpm.ant,MATCH(W952,{"DIAMANTE";"PLATINO";"ORO";"PLATA";"BRONCE";"CERRADO"},0),IF(_xlpm.act&lt;_xlpm.ant,"Mejora ↑",IF(_xlpm.act&gt;_xlpm.ant,"Baja ↓","Estable →")))</f>
        <v>Estable →</v>
      </c>
      <c r="Y952" s="5">
        <f>IFERROR(U952-SUMIFS(HIST_SCORE!$D:$D,HIST_SCORE!$B:$B,PARAMS_MODELO!$B$4,HIST_SCORE!$C:$C,$A952),"")</f>
        <v>13.237000614722456</v>
      </c>
      <c r="Z952" s="5" t="str">
        <f t="shared" si="341"/>
        <v>↑ Mejora</v>
      </c>
      <c r="AA952" s="5">
        <f t="shared" si="342"/>
        <v>922</v>
      </c>
      <c r="AB952" s="5">
        <f>IFERROR(SUMIFS(HIST_SCORE!$F:$F,HIST_SCORE!$B:$B,PARAMS_MODELO!$B$4,HIST_SCORE!$C:$C,$A952),"")</f>
        <v>1153</v>
      </c>
      <c r="AC952" s="5">
        <f t="shared" si="343"/>
        <v>231</v>
      </c>
      <c r="AD952" t="str">
        <f t="shared" si="345"/>
        <v/>
      </c>
      <c r="AE9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952="CERRADO",1,IF(V952="BRONCE",_xlpm.cPl,IF(V952="PLATA",_xlpm.cO,IF(V952="ORO",_xlpm.cP,IF(V952="PLATINO",_xlpm.cD,999))))))</f>
        <v>24.506573482968111</v>
      </c>
      <c r="AF9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952="CERRADO",0,IF(V952="BRONCE",1,IF(V952="PLATA",_xlpm.cPl,IF(V952="ORO",_xlpm.cO,IF(V952="PLATINO",_xlpm.cP,_xlpm.cD))))))</f>
        <v>1</v>
      </c>
      <c r="AG952">
        <f t="shared" si="346"/>
        <v>0.89938981177950694</v>
      </c>
      <c r="AH952" t="str">
        <f t="shared" si="347"/>
        <v>CLIENTE</v>
      </c>
      <c r="AI952" t="str">
        <f t="shared" si="344"/>
        <v>🎯 Para subir de categoría, la eje con mayor impacto probable es CLIENTE (coef T). Acción: reducir quejas, mejorar incógnito y empujar reseñas. ΔR aprox: 0,9</v>
      </c>
      <c r="AJ952" s="26">
        <f>_xlfn.LET(_xlpm.piso,AF952,_xlpm.corte,AE952,_xlpm.prog,IF(_xlpm.corte&lt;=_xlpm.piso,0,MAX(0,MIN(1,(U952-_xlpm.piso)/(_xlpm.corte-_xlpm.piso)))),_xlpm.orden,{"DIAMANTE";"PLATINO";"ORO";"PLATA";"BRONCE";"CERRADO"},_xlpm.act,IFERROR(MATCH(V952,_xlpm.orden,0),6),_xlpm.ant,IFERROR(MATCH(W952,_xlpm.orden,0),6),_xlpm.ajmov,IF(_xlpm.act&lt;_xlpm.ant,0.08,IF(_xlpm.act&gt;_xlpm.ant,-0.08,0)),_xlpm.ajcli,IF(T952&lt;0.95,-0.06,0),_xlpm.prob,MAX(0,MIN(1,_xlpm.prog+_xlpm.ajmov+_xlpm.ajcli)),IF(OR(V952="DIAMANTE",V952="CERRADO"),0,ROUND(_xlpm.prob,2)))</f>
        <v>0.91</v>
      </c>
      <c r="AK952" t="str">
        <f t="shared" si="348"/>
        <v>Faltan 0,9 puntos base para subir a la siguiente categoría</v>
      </c>
      <c r="AL952" t="str">
        <f t="shared" si="349"/>
        <v>No aplica</v>
      </c>
      <c r="AM952">
        <f t="shared" si="350"/>
        <v>0.27</v>
      </c>
      <c r="AN952" t="str">
        <f t="shared" si="351"/>
        <v>PRIORIDAD BAJA – control normal</v>
      </c>
      <c r="AO952">
        <f t="shared" si="352"/>
        <v>42.66679787798445</v>
      </c>
      <c r="AP952">
        <f t="shared" si="353"/>
        <v>0</v>
      </c>
      <c r="AQ952">
        <f t="shared" si="354"/>
        <v>0</v>
      </c>
      <c r="AR952">
        <f t="shared" si="355"/>
        <v>3.36</v>
      </c>
      <c r="AS952">
        <f t="shared" si="356"/>
        <v>10.233000263452482</v>
      </c>
      <c r="AT952" t="str">
        <f t="shared" si="357"/>
        <v>VENTAS</v>
      </c>
      <c r="AU952">
        <f t="shared" si="358"/>
        <v>42.66679787798445</v>
      </c>
      <c r="AV952" t="str">
        <f t="shared" si="359"/>
        <v>Mayor retorno probable: VENTAS (+42,7 puntos finales potenciales).</v>
      </c>
    </row>
    <row r="953" spans="1:48" x14ac:dyDescent="0.3">
      <c r="A953" s="5">
        <v>51009941</v>
      </c>
      <c r="B953" s="5" t="str">
        <f>IFERROR(VLOOKUP(A953,VENTAS!$A$2:$B$1194,2,0),"")</f>
        <v>ARGUELLO</v>
      </c>
      <c r="C953" s="5">
        <f>IFERROR(INDEX(VENTAS!$C$2:$E$1194,MATCH(A953,VENTAS!$A$2:$A$1194,0),MATCH(PARAMS_MODELO!$B$2,{"Q1","Q2","Q3"},0)),0)</f>
        <v>14659247.98</v>
      </c>
      <c r="D953" s="5">
        <f>IFERROR(INDEX(VENTAS!$F$2:$H$1194,MATCH(A953,VENTAS!$A$2:$A$1194,0),MATCH(PARAMS_MODELO!$B$2,{"Q1","Q2","Q3"},0)),0)</f>
        <v>17484848</v>
      </c>
      <c r="E953" s="8">
        <f t="shared" si="336"/>
        <v>0.19275204456975148</v>
      </c>
      <c r="F953" s="12">
        <f>IF(E953&lt;=PARAMS_MODELO!$B$15,0,IF(E953&gt;=PARAMS_MODELO!$B$17,100,100*MIN(1,(E953-PARAMS_MODELO!$B$15)/(PARAMS_MODELO!$B$16-PARAMS_MODELO!$B$15))))*PARAMS_MODELO!$B$7</f>
        <v>35</v>
      </c>
      <c r="G953" s="5">
        <f t="shared" si="337"/>
        <v>2825600.0199999996</v>
      </c>
      <c r="H953" s="5">
        <f>(PARAMS_MODELO!$B$20*(MAX(0,MIN(3,E953))/3)+PARAMS_MODELO!$B$21*(IFERROR(LN(1+MAX(0,G953))/LN(1+MAX(0,MAX($G$2:$G$1194))),0)))*100*PARAMS_MODELO!$B$8</f>
        <v>4.1566714302207561</v>
      </c>
      <c r="I953" s="8">
        <f>E953-PARAMS_MODELO!$B$5</f>
        <v>1.5189209194224951E-2</v>
      </c>
      <c r="J953" s="5">
        <f>IF(I953&lt;=PARAMS_MODELO!$B$18,0,IF(I953&gt;=PARAMS_MODELO!$B$19,100,100*(I953-PARAMS_MODELO!$B$18)/(PARAMS_MODELO!$B$19-PARAMS_MODELO!$B$18)))*PARAMS_MODELO!$B$9</f>
        <v>9.7783813791337408</v>
      </c>
      <c r="K953" s="5">
        <f>IFERROR(CHOOSE(MATCH(PARAMS_MODELO!$B$2,{"Q1","Q2","Q3"},0),LOTO!$D953,LOTO!$F953,LOTO!$H953),0)</f>
        <v>892500</v>
      </c>
      <c r="L953" s="8">
        <f t="shared" si="338"/>
        <v>5.1044195522889302E-2</v>
      </c>
      <c r="M953" s="5">
        <f>MIN(100,IF(PARAMS_MODELO!$B$23=0,0,100*L953/PARAMS_MODELO!$B$23))*PARAMS_MODELO!$B$10</f>
        <v>15</v>
      </c>
      <c r="N953" s="5">
        <f>IFERROR(VLOOKUP(A953,COMPLIANCE!$A$2:$F$1996,6,0),100)</f>
        <v>100</v>
      </c>
      <c r="O953" s="5">
        <f>N953*PARAMS_MODELO!$B$11</f>
        <v>10</v>
      </c>
      <c r="P953" s="5">
        <f>IFERROR(VLOOKUP(A953,DIGITAL!$A$2:$J$2000,7,0),100)</f>
        <v>22</v>
      </c>
      <c r="Q953" s="5">
        <f>IFERROR(P953,0)*PARAMS_MODELO!$B$12</f>
        <v>2.2000000000000002</v>
      </c>
      <c r="R953">
        <f t="shared" si="339"/>
        <v>76.135052809354491</v>
      </c>
      <c r="S953" s="5" t="str">
        <f>IFERROR(VLOOKUP(A953,CLIENTE!$A$2:$N$2000,13,0),1)</f>
        <v>Regular</v>
      </c>
      <c r="T953" s="5">
        <f>IFERROR(VLOOKUP(A953,CLIENTE!$A$2:$N$2000,14,0),1)</f>
        <v>1</v>
      </c>
      <c r="U953" s="5">
        <f t="shared" si="340"/>
        <v>76.135052809354491</v>
      </c>
      <c r="V953" s="5" t="str">
        <f>IF(U953&gt;=MAX(_xlfn.PERCENTILE.INC($U$2:$U$1194,PARAMS_MODELO!$B$50),PARAMS_MODELO!$B$45),"DIAMANTE",IF(U953&gt;=MAX(_xlfn.PERCENTILE.INC($U$2:$U$1194,PARAMS_MODELO!$B$51),PARAMS_MODELO!$B$46),"PLATINO",IF(U953&gt;=MAX(_xlfn.PERCENTILE.INC($U$2:$U$1194,PARAMS_MODELO!$B$52),PARAMS_MODELO!$B$47),"ORO",IF(U953&gt;=MAX(_xlfn.PERCENTILE.INC($U$2:$U$1194,PARAMS_MODELO!$B$53),PARAMS_MODELO!$B$48),"PLATA",IF(U953&gt;=1,"BRONCE","CERRADO")))))</f>
        <v>ORO</v>
      </c>
      <c r="W953" s="5" t="str" cm="1">
        <f t="array" ref="W953">_xlfn.XLOOKUP(1, (HIST_SCORE!$B:$B=PARAMS_MODELO!$B$4) * (HIST_SCORE!$C:$C=A953), HIST_SCORE!$E:$E, "No encontrado")</f>
        <v>ORO</v>
      </c>
      <c r="X953" s="5" t="str">
        <f>_xlfn.LET(_xlpm.act,MATCH(V953,{"DIAMANTE";"PLATINO";"ORO";"PLATA";"BRONCE";"CERRADO"},0),_xlpm.ant,MATCH(W953,{"DIAMANTE";"PLATINO";"ORO";"PLATA";"BRONCE";"CERRADO"},0),IF(_xlpm.act&lt;_xlpm.ant,"Mejora ↑",IF(_xlpm.act&gt;_xlpm.ant,"Baja ↓","Estable →")))</f>
        <v>Estable →</v>
      </c>
      <c r="Y953" s="5">
        <f>IFERROR(U953-SUMIFS(HIST_SCORE!$D:$D,HIST_SCORE!$B:$B,PARAMS_MODELO!$B$4,HIST_SCORE!$C:$C,$A953),"")</f>
        <v>-6.2586896059439141</v>
      </c>
      <c r="Z953" s="5" t="str">
        <f t="shared" si="341"/>
        <v>↓ Baja</v>
      </c>
      <c r="AA953" s="5">
        <f t="shared" si="342"/>
        <v>462</v>
      </c>
      <c r="AB953" s="5">
        <f>IFERROR(SUMIFS(HIST_SCORE!$F:$F,HIST_SCORE!$B:$B,PARAMS_MODELO!$B$4,HIST_SCORE!$C:$C,$A953),"")</f>
        <v>352</v>
      </c>
      <c r="AC953" s="5">
        <f t="shared" si="343"/>
        <v>-110</v>
      </c>
      <c r="AD953" t="str">
        <f t="shared" si="345"/>
        <v>Sostener base y reforzar mix</v>
      </c>
      <c r="AE9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953="CERRADO",1,IF(V953="BRONCE",_xlpm.cPl,IF(V953="PLATA",_xlpm.cO,IF(V953="ORO",_xlpm.cP,IF(V953="PLATINO",_xlpm.cD,999))))))</f>
        <v>86.439123873763251</v>
      </c>
      <c r="AF9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953="CERRADO",0,IF(V953="BRONCE",1,IF(V953="PLATA",_xlpm.cPl,IF(V953="ORO",_xlpm.cO,IF(V953="PLATINO",_xlpm.cP,_xlpm.cD))))))</f>
        <v>63.199193273331495</v>
      </c>
      <c r="AG953">
        <f t="shared" si="346"/>
        <v>10.30407106440876</v>
      </c>
      <c r="AH953" t="str">
        <f t="shared" si="347"/>
        <v>VENTAS</v>
      </c>
      <c r="AI953" t="str">
        <f t="shared" si="344"/>
        <v>🎯 Para subir de categoría, eje VENTAS / IMPACTO ABSOLUTO (H). Acción: metas semanales + activación comercial + seguimiento del asesor. ΔR aprox: 10,3</v>
      </c>
      <c r="AJ953" s="26">
        <f>_xlfn.LET(_xlpm.piso,AF953,_xlpm.corte,AE953,_xlpm.prog,IF(_xlpm.corte&lt;=_xlpm.piso,0,MAX(0,MIN(1,(U953-_xlpm.piso)/(_xlpm.corte-_xlpm.piso)))),_xlpm.orden,{"DIAMANTE";"PLATINO";"ORO";"PLATA";"BRONCE";"CERRADO"},_xlpm.act,IFERROR(MATCH(V953,_xlpm.orden,0),6),_xlpm.ant,IFERROR(MATCH(W953,_xlpm.orden,0),6),_xlpm.ajmov,IF(_xlpm.act&lt;_xlpm.ant,0.08,IF(_xlpm.act&gt;_xlpm.ant,-0.08,0)),_xlpm.ajcli,IF(T953&lt;0.95,-0.06,0),_xlpm.prob,MAX(0,MIN(1,_xlpm.prog+_xlpm.ajmov+_xlpm.ajcli)),IF(OR(V953="DIAMANTE",V953="CERRADO"),0,ROUND(_xlpm.prob,2)))</f>
        <v>0.56000000000000005</v>
      </c>
      <c r="AK953" t="str">
        <f t="shared" si="348"/>
        <v>Faltan 10,3 puntos base para subir a la siguiente categoría</v>
      </c>
      <c r="AL953" t="str">
        <f t="shared" si="349"/>
        <v>Margen de seguridad: 12,9 puntos</v>
      </c>
      <c r="AM953">
        <f t="shared" si="350"/>
        <v>0.57999999999999996</v>
      </c>
      <c r="AN953" t="str">
        <f t="shared" si="351"/>
        <v>PRIORIDAD MEDIA – seguimiento del asesor</v>
      </c>
      <c r="AO953">
        <f t="shared" si="352"/>
        <v>15.927516465941089</v>
      </c>
      <c r="AP953">
        <f t="shared" si="353"/>
        <v>0</v>
      </c>
      <c r="AQ953">
        <f t="shared" si="354"/>
        <v>0</v>
      </c>
      <c r="AR953">
        <f t="shared" si="355"/>
        <v>7.8</v>
      </c>
      <c r="AS953">
        <f t="shared" si="356"/>
        <v>0</v>
      </c>
      <c r="AT953" t="str">
        <f t="shared" si="357"/>
        <v>VENTAS</v>
      </c>
      <c r="AU953">
        <f t="shared" si="358"/>
        <v>15.927516465941089</v>
      </c>
      <c r="AV953" t="str">
        <f t="shared" si="359"/>
        <v>Mayor retorno probable: VENTAS (+15,9 puntos finales potenciales).</v>
      </c>
    </row>
    <row r="954" spans="1:48" x14ac:dyDescent="0.3">
      <c r="A954" s="5">
        <v>51024818</v>
      </c>
      <c r="B954" s="5" t="str">
        <f>IFERROR(VLOOKUP(A954,VENTAS!$A$2:$B$1194,2,0),"")</f>
        <v>METTLER</v>
      </c>
      <c r="C954" s="5">
        <f>IFERROR(INDEX(VENTAS!$C$2:$E$1194,MATCH(A954,VENTAS!$A$2:$A$1194,0),MATCH(PARAMS_MODELO!$B$2,{"Q1","Q2","Q3"},0)),0)</f>
        <v>18829622.800000001</v>
      </c>
      <c r="D954" s="5">
        <f>IFERROR(INDEX(VENTAS!$F$2:$H$1194,MATCH(A954,VENTAS!$A$2:$A$1194,0),MATCH(PARAMS_MODELO!$B$2,{"Q1","Q2","Q3"},0)),0)</f>
        <v>16602880</v>
      </c>
      <c r="E954" s="8">
        <f t="shared" si="336"/>
        <v>-0.11825742998951638</v>
      </c>
      <c r="F954" s="12">
        <f>IF(E954&lt;=PARAMS_MODELO!$B$15,0,IF(E954&gt;=PARAMS_MODELO!$B$17,100,100*MIN(1,(E954-PARAMS_MODELO!$B$15)/(PARAMS_MODELO!$B$16-PARAMS_MODELO!$B$15))))*PARAMS_MODELO!$B$7</f>
        <v>0</v>
      </c>
      <c r="G954" s="5">
        <f t="shared" si="337"/>
        <v>0</v>
      </c>
      <c r="H954" s="5">
        <f>(PARAMS_MODELO!$B$20*(MAX(0,MIN(3,E954))/3)+PARAMS_MODELO!$B$21*(IFERROR(LN(1+MAX(0,G954))/LN(1+MAX(0,MAX($G$2:$G$1194))),0)))*100*PARAMS_MODELO!$B$8</f>
        <v>0</v>
      </c>
      <c r="I954" s="8">
        <f>E954-PARAMS_MODELO!$B$5</f>
        <v>-0.29582026536504291</v>
      </c>
      <c r="J954" s="5">
        <f>IF(I954&lt;=PARAMS_MODELO!$B$18,0,IF(I954&gt;=PARAMS_MODELO!$B$19,100,100*(I954-PARAMS_MODELO!$B$18)/(PARAMS_MODELO!$B$19-PARAMS_MODELO!$B$18)))*PARAMS_MODELO!$B$9</f>
        <v>0</v>
      </c>
      <c r="K954" s="5">
        <f>IFERROR(CHOOSE(MATCH(PARAMS_MODELO!$B$2,{"Q1","Q2","Q3"},0),LOTO!$D954,LOTO!$F954,LOTO!$H954),0)</f>
        <v>887500</v>
      </c>
      <c r="L954" s="8">
        <f t="shared" si="338"/>
        <v>5.3454581373833937E-2</v>
      </c>
      <c r="M954" s="5">
        <f>MIN(100,IF(PARAMS_MODELO!$B$23=0,0,100*L954/PARAMS_MODELO!$B$23))*PARAMS_MODELO!$B$10</f>
        <v>15</v>
      </c>
      <c r="N954" s="5">
        <f>IFERROR(VLOOKUP(A954,COMPLIANCE!$A$2:$F$1996,6,0),100)</f>
        <v>99.98</v>
      </c>
      <c r="O954" s="5">
        <f>N954*PARAMS_MODELO!$B$11</f>
        <v>9.9980000000000011</v>
      </c>
      <c r="P954" s="5">
        <f>IFERROR(VLOOKUP(A954,DIGITAL!$A$2:$J$2000,7,0),100)</f>
        <v>4</v>
      </c>
      <c r="Q954" s="5">
        <f>IFERROR(P954,0)*PARAMS_MODELO!$B$12</f>
        <v>0.4</v>
      </c>
      <c r="R954">
        <f t="shared" si="339"/>
        <v>25.398</v>
      </c>
      <c r="S954" s="5" t="str">
        <f>IFERROR(VLOOKUP(A954,CLIENTE!$A$2:$N$2000,13,0),1)</f>
        <v>Malo</v>
      </c>
      <c r="T954" s="5">
        <f>IFERROR(VLOOKUP(A954,CLIENTE!$A$2:$N$2000,14,0),1)</f>
        <v>0.7</v>
      </c>
      <c r="U954" s="5">
        <f t="shared" si="340"/>
        <v>17.778599999999997</v>
      </c>
      <c r="V954" s="5" t="str">
        <f>IF(U954&gt;=MAX(_xlfn.PERCENTILE.INC($U$2:$U$1194,PARAMS_MODELO!$B$50),PARAMS_MODELO!$B$45),"DIAMANTE",IF(U954&gt;=MAX(_xlfn.PERCENTILE.INC($U$2:$U$1194,PARAMS_MODELO!$B$51),PARAMS_MODELO!$B$46),"PLATINO",IF(U954&gt;=MAX(_xlfn.PERCENTILE.INC($U$2:$U$1194,PARAMS_MODELO!$B$52),PARAMS_MODELO!$B$47),"ORO",IF(U954&gt;=MAX(_xlfn.PERCENTILE.INC($U$2:$U$1194,PARAMS_MODELO!$B$53),PARAMS_MODELO!$B$48),"PLATA",IF(U954&gt;=1,"BRONCE","CERRADO")))))</f>
        <v>BRONCE</v>
      </c>
      <c r="W954" s="5" t="str" cm="1">
        <f t="array" ref="W954">_xlfn.XLOOKUP(1, (HIST_SCORE!$B:$B=PARAMS_MODELO!$B$4) * (HIST_SCORE!$C:$C=A954), HIST_SCORE!$E:$E, "No encontrado")</f>
        <v>BRONCE</v>
      </c>
      <c r="X954" s="5" t="str">
        <f>_xlfn.LET(_xlpm.act,MATCH(V954,{"DIAMANTE";"PLATINO";"ORO";"PLATA";"BRONCE";"CERRADO"},0),_xlpm.ant,MATCH(W954,{"DIAMANTE";"PLATINO";"ORO";"PLATA";"BRONCE";"CERRADO"},0),IF(_xlpm.act&lt;_xlpm.ant,"Mejora ↑",IF(_xlpm.act&gt;_xlpm.ant,"Baja ↓","Estable →")))</f>
        <v>Estable →</v>
      </c>
      <c r="Y954" s="5">
        <f>IFERROR(U954-SUMIFS(HIST_SCORE!$D:$D,HIST_SCORE!$B:$B,PARAMS_MODELO!$B$4,HIST_SCORE!$C:$C,$A954),"")</f>
        <v>0</v>
      </c>
      <c r="Z954" s="5" t="str">
        <f t="shared" si="341"/>
        <v>→ Estable</v>
      </c>
      <c r="AA954" s="5">
        <f t="shared" si="342"/>
        <v>1035</v>
      </c>
      <c r="AB954" s="5">
        <f>IFERROR(SUMIFS(HIST_SCORE!$F:$F,HIST_SCORE!$B:$B,PARAMS_MODELO!$B$4,HIST_SCORE!$C:$C,$A954),"")</f>
        <v>1032</v>
      </c>
      <c r="AC954" s="5">
        <f t="shared" si="343"/>
        <v>-3</v>
      </c>
      <c r="AD954" t="str">
        <f t="shared" si="345"/>
        <v/>
      </c>
      <c r="AE9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954="CERRADO",1,IF(V954="BRONCE",_xlpm.cPl,IF(V954="PLATA",_xlpm.cO,IF(V954="ORO",_xlpm.cP,IF(V954="PLATINO",_xlpm.cD,999))))))</f>
        <v>24.506573482968111</v>
      </c>
      <c r="AF9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954="CERRADO",0,IF(V954="BRONCE",1,IF(V954="PLATA",_xlpm.cPl,IF(V954="ORO",_xlpm.cO,IF(V954="PLATINO",_xlpm.cP,_xlpm.cD))))))</f>
        <v>1</v>
      </c>
      <c r="AG954">
        <f t="shared" si="346"/>
        <v>9.6113906899544439</v>
      </c>
      <c r="AH954" t="str">
        <f t="shared" si="347"/>
        <v>CLIENTE</v>
      </c>
      <c r="AI954" t="str">
        <f t="shared" si="344"/>
        <v>🎯 Para subir de categoría, la eje con mayor impacto probable es CLIENTE (coef T). Acción: reducir quejas, mejorar incógnito y empujar reseñas. ΔR aprox: 9,6</v>
      </c>
      <c r="AJ954" s="26">
        <f>_xlfn.LET(_xlpm.piso,AF954,_xlpm.corte,AE954,_xlpm.prog,IF(_xlpm.corte&lt;=_xlpm.piso,0,MAX(0,MIN(1,(U954-_xlpm.piso)/(_xlpm.corte-_xlpm.piso)))),_xlpm.orden,{"DIAMANTE";"PLATINO";"ORO";"PLATA";"BRONCE";"CERRADO"},_xlpm.act,IFERROR(MATCH(V954,_xlpm.orden,0),6),_xlpm.ant,IFERROR(MATCH(W954,_xlpm.orden,0),6),_xlpm.ajmov,IF(_xlpm.act&lt;_xlpm.ant,0.08,IF(_xlpm.act&gt;_xlpm.ant,-0.08,0)),_xlpm.ajcli,IF(T954&lt;0.95,-0.06,0),_xlpm.prob,MAX(0,MIN(1,_xlpm.prog+_xlpm.ajmov+_xlpm.ajcli)),IF(OR(V954="DIAMANTE",V954="CERRADO"),0,ROUND(_xlpm.prob,2)))</f>
        <v>0.65</v>
      </c>
      <c r="AK954" t="str">
        <f t="shared" si="348"/>
        <v>Faltan 9,6 puntos base para subir a la siguiente categoría</v>
      </c>
      <c r="AL954" t="str">
        <f t="shared" si="349"/>
        <v>No aplica</v>
      </c>
      <c r="AM954">
        <f t="shared" si="350"/>
        <v>0.72</v>
      </c>
      <c r="AN954" t="str">
        <f t="shared" si="351"/>
        <v>PRIORIDAD ALTA – requiere intervención inmediata</v>
      </c>
      <c r="AO954">
        <f t="shared" si="352"/>
        <v>45.403798492706905</v>
      </c>
      <c r="AP954">
        <f t="shared" si="353"/>
        <v>0</v>
      </c>
      <c r="AQ954">
        <f t="shared" si="354"/>
        <v>1.3999999999992239E-3</v>
      </c>
      <c r="AR954">
        <f t="shared" si="355"/>
        <v>6.72</v>
      </c>
      <c r="AS954">
        <f t="shared" si="356"/>
        <v>7.6194000000000006</v>
      </c>
      <c r="AT954" t="str">
        <f t="shared" si="357"/>
        <v>VENTAS</v>
      </c>
      <c r="AU954">
        <f t="shared" si="358"/>
        <v>45.403798492706905</v>
      </c>
      <c r="AV954" t="str">
        <f t="shared" si="359"/>
        <v>Mayor retorno probable: VENTAS (+45,4 puntos finales potenciales).</v>
      </c>
    </row>
    <row r="955" spans="1:48" x14ac:dyDescent="0.3">
      <c r="A955" s="5">
        <v>51010523</v>
      </c>
      <c r="B955" s="5" t="str">
        <f>IFERROR(VLOOKUP(A955,VENTAS!$A$2:$B$1194,2,0),"")</f>
        <v>AYALA</v>
      </c>
      <c r="C955" s="5">
        <f>IFERROR(INDEX(VENTAS!$C$2:$E$1194,MATCH(A955,VENTAS!$A$2:$A$1194,0),MATCH(PARAMS_MODELO!$B$2,{"Q1","Q2","Q3"},0)),0)</f>
        <v>26017483</v>
      </c>
      <c r="D955" s="5">
        <f>IFERROR(INDEX(VENTAS!$F$2:$H$1194,MATCH(A955,VENTAS!$A$2:$A$1194,0),MATCH(PARAMS_MODELO!$B$2,{"Q1","Q2","Q3"},0)),0)</f>
        <v>16469550</v>
      </c>
      <c r="E955" s="8">
        <f t="shared" si="336"/>
        <v>-0.36698142552836488</v>
      </c>
      <c r="F955" s="12">
        <f>IF(E955&lt;=PARAMS_MODELO!$B$15,0,IF(E955&gt;=PARAMS_MODELO!$B$17,100,100*MIN(1,(E955-PARAMS_MODELO!$B$15)/(PARAMS_MODELO!$B$16-PARAMS_MODELO!$B$15))))*PARAMS_MODELO!$B$7</f>
        <v>0</v>
      </c>
      <c r="G955" s="5">
        <f t="shared" si="337"/>
        <v>0</v>
      </c>
      <c r="H955" s="5">
        <f>(PARAMS_MODELO!$B$20*(MAX(0,MIN(3,E955))/3)+PARAMS_MODELO!$B$21*(IFERROR(LN(1+MAX(0,G955))/LN(1+MAX(0,MAX($G$2:$G$1194))),0)))*100*PARAMS_MODELO!$B$8</f>
        <v>0</v>
      </c>
      <c r="I955" s="8">
        <f>E955-PARAMS_MODELO!$B$5</f>
        <v>-0.54454426090389141</v>
      </c>
      <c r="J955" s="5">
        <f>IF(I955&lt;=PARAMS_MODELO!$B$18,0,IF(I955&gt;=PARAMS_MODELO!$B$19,100,100*(I955-PARAMS_MODELO!$B$18)/(PARAMS_MODELO!$B$19-PARAMS_MODELO!$B$18)))*PARAMS_MODELO!$B$9</f>
        <v>0</v>
      </c>
      <c r="K955" s="5">
        <f>IFERROR(CHOOSE(MATCH(PARAMS_MODELO!$B$2,{"Q1","Q2","Q3"},0),LOTO!$D955,LOTO!$F955,LOTO!$H955),0)</f>
        <v>865000</v>
      </c>
      <c r="L955" s="8">
        <f t="shared" si="338"/>
        <v>5.2521167852187828E-2</v>
      </c>
      <c r="M955" s="5">
        <f>MIN(100,IF(PARAMS_MODELO!$B$23=0,0,100*L955/PARAMS_MODELO!$B$23))*PARAMS_MODELO!$B$10</f>
        <v>15</v>
      </c>
      <c r="N955" s="5">
        <f>IFERROR(VLOOKUP(A955,COMPLIANCE!$A$2:$F$1996,6,0),100)</f>
        <v>99.98</v>
      </c>
      <c r="O955" s="5">
        <f>N955*PARAMS_MODELO!$B$11</f>
        <v>9.9980000000000011</v>
      </c>
      <c r="P955" s="5">
        <f>IFERROR(VLOOKUP(A955,DIGITAL!$A$2:$J$2000,7,0),100)</f>
        <v>91</v>
      </c>
      <c r="Q955" s="5">
        <f>IFERROR(P955,0)*PARAMS_MODELO!$B$12</f>
        <v>9.1</v>
      </c>
      <c r="R955">
        <f t="shared" si="339"/>
        <v>34.097999999999999</v>
      </c>
      <c r="S955" s="5" t="str">
        <f>IFERROR(VLOOKUP(A955,CLIENTE!$A$2:$N$2000,13,0),1)</f>
        <v>Regular</v>
      </c>
      <c r="T955" s="5">
        <f>IFERROR(VLOOKUP(A955,CLIENTE!$A$2:$N$2000,14,0),1)</f>
        <v>1</v>
      </c>
      <c r="U955" s="5">
        <f t="shared" si="340"/>
        <v>34.097999999999999</v>
      </c>
      <c r="V955" s="5" t="str">
        <f>IF(U955&gt;=MAX(_xlfn.PERCENTILE.INC($U$2:$U$1194,PARAMS_MODELO!$B$50),PARAMS_MODELO!$B$45),"DIAMANTE",IF(U955&gt;=MAX(_xlfn.PERCENTILE.INC($U$2:$U$1194,PARAMS_MODELO!$B$51),PARAMS_MODELO!$B$46),"PLATINO",IF(U955&gt;=MAX(_xlfn.PERCENTILE.INC($U$2:$U$1194,PARAMS_MODELO!$B$52),PARAMS_MODELO!$B$47),"ORO",IF(U955&gt;=MAX(_xlfn.PERCENTILE.INC($U$2:$U$1194,PARAMS_MODELO!$B$53),PARAMS_MODELO!$B$48),"PLATA",IF(U955&gt;=1,"BRONCE","CERRADO")))))</f>
        <v>PLATA</v>
      </c>
      <c r="W955" s="5" t="str" cm="1">
        <f t="array" ref="W955">_xlfn.XLOOKUP(1, (HIST_SCORE!$B:$B=PARAMS_MODELO!$B$4) * (HIST_SCORE!$C:$C=A955), HIST_SCORE!$E:$E, "No encontrado")</f>
        <v>PLATA</v>
      </c>
      <c r="X955" s="5" t="str">
        <f>_xlfn.LET(_xlpm.act,MATCH(V955,{"DIAMANTE";"PLATINO";"ORO";"PLATA";"BRONCE";"CERRADO"},0),_xlpm.ant,MATCH(W955,{"DIAMANTE";"PLATINO";"ORO";"PLATA";"BRONCE";"CERRADO"},0),IF(_xlpm.act&lt;_xlpm.ant,"Mejora ↑",IF(_xlpm.act&gt;_xlpm.ant,"Baja ↓","Estable →")))</f>
        <v>Estable →</v>
      </c>
      <c r="Y955" s="5">
        <f>IFERROR(U955-SUMIFS(HIST_SCORE!$D:$D,HIST_SCORE!$B:$B,PARAMS_MODELO!$B$4,HIST_SCORE!$C:$C,$A955),"")</f>
        <v>0</v>
      </c>
      <c r="Z955" s="5" t="str">
        <f t="shared" si="341"/>
        <v>→ Estable</v>
      </c>
      <c r="AA955" s="5">
        <f t="shared" si="342"/>
        <v>813</v>
      </c>
      <c r="AB955" s="5">
        <f>IFERROR(SUMIFS(HIST_SCORE!$F:$F,HIST_SCORE!$B:$B,PARAMS_MODELO!$B$4,HIST_SCORE!$C:$C,$A955),"")</f>
        <v>870</v>
      </c>
      <c r="AC955" s="5">
        <f t="shared" si="343"/>
        <v>57</v>
      </c>
      <c r="AD955" t="str">
        <f t="shared" si="345"/>
        <v/>
      </c>
      <c r="AE9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955="CERRADO",1,IF(V955="BRONCE",_xlpm.cPl,IF(V955="PLATA",_xlpm.cO,IF(V955="ORO",_xlpm.cP,IF(V955="PLATINO",_xlpm.cD,999))))))</f>
        <v>63.199193273331495</v>
      </c>
      <c r="AF9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955="CERRADO",0,IF(V955="BRONCE",1,IF(V955="PLATA",_xlpm.cPl,IF(V955="ORO",_xlpm.cO,IF(V955="PLATINO",_xlpm.cP,_xlpm.cD))))))</f>
        <v>24.506573482968111</v>
      </c>
      <c r="AG955">
        <f t="shared" si="346"/>
        <v>29.101193273331496</v>
      </c>
      <c r="AH955" t="str">
        <f t="shared" si="347"/>
        <v>VENTAS</v>
      </c>
      <c r="AI955" t="str">
        <f t="shared" si="344"/>
        <v>🎯 Para subir de categoría, eje VENTAS / CRECIMIENTO PERSONAL (F). Acción: metas semanales + activación comercial + seguimiento del asesor. ΔR aprox: 29,1</v>
      </c>
      <c r="AJ955" s="26">
        <f>_xlfn.LET(_xlpm.piso,AF955,_xlpm.corte,AE955,_xlpm.prog,IF(_xlpm.corte&lt;=_xlpm.piso,0,MAX(0,MIN(1,(U955-_xlpm.piso)/(_xlpm.corte-_xlpm.piso)))),_xlpm.orden,{"DIAMANTE";"PLATINO";"ORO";"PLATA";"BRONCE";"CERRADO"},_xlpm.act,IFERROR(MATCH(V955,_xlpm.orden,0),6),_xlpm.ant,IFERROR(MATCH(W955,_xlpm.orden,0),6),_xlpm.ajmov,IF(_xlpm.act&lt;_xlpm.ant,0.08,IF(_xlpm.act&gt;_xlpm.ant,-0.08,0)),_xlpm.ajcli,IF(T955&lt;0.95,-0.06,0),_xlpm.prob,MAX(0,MIN(1,_xlpm.prog+_xlpm.ajmov+_xlpm.ajcli)),IF(OR(V955="DIAMANTE",V955="CERRADO"),0,ROUND(_xlpm.prob,2)))</f>
        <v>0.25</v>
      </c>
      <c r="AK955" t="str">
        <f t="shared" si="348"/>
        <v>Faltan 29,1 puntos base para subir a la siguiente categoría</v>
      </c>
      <c r="AL955" t="str">
        <f t="shared" si="349"/>
        <v>Margen de seguridad: 9,6 puntos</v>
      </c>
      <c r="AM955">
        <f t="shared" si="350"/>
        <v>0.7</v>
      </c>
      <c r="AN955" t="str">
        <f t="shared" si="351"/>
        <v>PRIORIDAD ALTA – requiere intervención inmediata</v>
      </c>
      <c r="AO955">
        <f t="shared" si="352"/>
        <v>64.862569275295584</v>
      </c>
      <c r="AP955">
        <f t="shared" si="353"/>
        <v>0</v>
      </c>
      <c r="AQ955">
        <f t="shared" si="354"/>
        <v>1.9999999999988916E-3</v>
      </c>
      <c r="AR955">
        <f t="shared" si="355"/>
        <v>0.90000000000000036</v>
      </c>
      <c r="AS955">
        <f t="shared" si="356"/>
        <v>0</v>
      </c>
      <c r="AT955" t="str">
        <f t="shared" si="357"/>
        <v>VENTAS</v>
      </c>
      <c r="AU955">
        <f t="shared" si="358"/>
        <v>64.862569275295584</v>
      </c>
      <c r="AV955" t="str">
        <f t="shared" si="359"/>
        <v>Mayor retorno probable: VENTAS (+64,9 puntos finales potenciales).</v>
      </c>
    </row>
    <row r="956" spans="1:48" x14ac:dyDescent="0.3">
      <c r="A956" s="5">
        <v>51000552</v>
      </c>
      <c r="B956" s="5" t="str">
        <f>IFERROR(VLOOKUP(A956,VENTAS!$A$2:$B$1194,2,0),"")</f>
        <v>METTLER</v>
      </c>
      <c r="C956" s="5">
        <f>IFERROR(INDEX(VENTAS!$C$2:$E$1194,MATCH(A956,VENTAS!$A$2:$A$1194,0),MATCH(PARAMS_MODELO!$B$2,{"Q1","Q2","Q3"},0)),0)</f>
        <v>23977475.100000001</v>
      </c>
      <c r="D956" s="5">
        <f>IFERROR(INDEX(VENTAS!$F$2:$H$1194,MATCH(A956,VENTAS!$A$2:$A$1194,0),MATCH(PARAMS_MODELO!$B$2,{"Q1","Q2","Q3"},0)),0)</f>
        <v>16398360</v>
      </c>
      <c r="E956" s="8">
        <f t="shared" si="336"/>
        <v>-0.31609312775388931</v>
      </c>
      <c r="F956" s="12">
        <f>IF(E956&lt;=PARAMS_MODELO!$B$15,0,IF(E956&gt;=PARAMS_MODELO!$B$17,100,100*MIN(1,(E956-PARAMS_MODELO!$B$15)/(PARAMS_MODELO!$B$16-PARAMS_MODELO!$B$15))))*PARAMS_MODELO!$B$7</f>
        <v>0</v>
      </c>
      <c r="G956" s="5">
        <f t="shared" si="337"/>
        <v>0</v>
      </c>
      <c r="H956" s="5">
        <f>(PARAMS_MODELO!$B$20*(MAX(0,MIN(3,E956))/3)+PARAMS_MODELO!$B$21*(IFERROR(LN(1+MAX(0,G956))/LN(1+MAX(0,MAX($G$2:$G$1194))),0)))*100*PARAMS_MODELO!$B$8</f>
        <v>0</v>
      </c>
      <c r="I956" s="8">
        <f>E956-PARAMS_MODELO!$B$5</f>
        <v>-0.49365596312941584</v>
      </c>
      <c r="J956" s="5">
        <f>IF(I956&lt;=PARAMS_MODELO!$B$18,0,IF(I956&gt;=PARAMS_MODELO!$B$19,100,100*(I956-PARAMS_MODELO!$B$18)/(PARAMS_MODELO!$B$19-PARAMS_MODELO!$B$18)))*PARAMS_MODELO!$B$9</f>
        <v>0</v>
      </c>
      <c r="K956" s="5">
        <f>IFERROR(CHOOSE(MATCH(PARAMS_MODELO!$B$2,{"Q1","Q2","Q3"},0),LOTO!$D956,LOTO!$F956,LOTO!$H956),0)</f>
        <v>845000</v>
      </c>
      <c r="L956" s="8">
        <f t="shared" si="338"/>
        <v>5.1529543198222262E-2</v>
      </c>
      <c r="M956" s="5">
        <f>MIN(100,IF(PARAMS_MODELO!$B$23=0,0,100*L956/PARAMS_MODELO!$B$23))*PARAMS_MODELO!$B$10</f>
        <v>15</v>
      </c>
      <c r="N956" s="5">
        <f>IFERROR(VLOOKUP(A956,COMPLIANCE!$A$2:$F$1996,6,0),100)</f>
        <v>99.3</v>
      </c>
      <c r="O956" s="5">
        <f>N956*PARAMS_MODELO!$B$11</f>
        <v>9.93</v>
      </c>
      <c r="P956" s="5">
        <f>IFERROR(VLOOKUP(A956,DIGITAL!$A$2:$J$2000,7,0),100)</f>
        <v>61</v>
      </c>
      <c r="Q956" s="5">
        <f>IFERROR(P956,0)*PARAMS_MODELO!$B$12</f>
        <v>6.1000000000000005</v>
      </c>
      <c r="R956">
        <f t="shared" si="339"/>
        <v>31.03</v>
      </c>
      <c r="S956" s="5" t="str">
        <f>IFERROR(VLOOKUP(A956,CLIENTE!$A$2:$N$2000,13,0),1)</f>
        <v>Regular</v>
      </c>
      <c r="T956" s="5">
        <f>IFERROR(VLOOKUP(A956,CLIENTE!$A$2:$N$2000,14,0),1)</f>
        <v>1</v>
      </c>
      <c r="U956" s="5">
        <f t="shared" si="340"/>
        <v>31.03</v>
      </c>
      <c r="V956" s="5" t="str">
        <f>IF(U956&gt;=MAX(_xlfn.PERCENTILE.INC($U$2:$U$1194,PARAMS_MODELO!$B$50),PARAMS_MODELO!$B$45),"DIAMANTE",IF(U956&gt;=MAX(_xlfn.PERCENTILE.INC($U$2:$U$1194,PARAMS_MODELO!$B$51),PARAMS_MODELO!$B$46),"PLATINO",IF(U956&gt;=MAX(_xlfn.PERCENTILE.INC($U$2:$U$1194,PARAMS_MODELO!$B$52),PARAMS_MODELO!$B$47),"ORO",IF(U956&gt;=MAX(_xlfn.PERCENTILE.INC($U$2:$U$1194,PARAMS_MODELO!$B$53),PARAMS_MODELO!$B$48),"PLATA",IF(U956&gt;=1,"BRONCE","CERRADO")))))</f>
        <v>PLATA</v>
      </c>
      <c r="W956" s="5" t="str" cm="1">
        <f t="array" ref="W956">_xlfn.XLOOKUP(1, (HIST_SCORE!$B:$B=PARAMS_MODELO!$B$4) * (HIST_SCORE!$C:$C=A956), HIST_SCORE!$E:$E, "No encontrado")</f>
        <v>PLATINO</v>
      </c>
      <c r="X956" s="5" t="str">
        <f>_xlfn.LET(_xlpm.act,MATCH(V956,{"DIAMANTE";"PLATINO";"ORO";"PLATA";"BRONCE";"CERRADO"},0),_xlpm.ant,MATCH(W956,{"DIAMANTE";"PLATINO";"ORO";"PLATA";"BRONCE";"CERRADO"},0),IF(_xlpm.act&lt;_xlpm.ant,"Mejora ↑",IF(_xlpm.act&gt;_xlpm.ant,"Baja ↓","Estable →")))</f>
        <v>Baja ↓</v>
      </c>
      <c r="Y956" s="5">
        <f>IFERROR(U956-SUMIFS(HIST_SCORE!$D:$D,HIST_SCORE!$B:$B,PARAMS_MODELO!$B$4,HIST_SCORE!$C:$C,$A956),"")</f>
        <v>-55.223670868392162</v>
      </c>
      <c r="Z956" s="5" t="str">
        <f t="shared" si="341"/>
        <v>↓ Baja</v>
      </c>
      <c r="AA956" s="5">
        <f t="shared" si="342"/>
        <v>845</v>
      </c>
      <c r="AB956" s="5">
        <f>IFERROR(SUMIFS(HIST_SCORE!$F:$F,HIST_SCORE!$B:$B,PARAMS_MODELO!$B$4,HIST_SCORE!$C:$C,$A956),"")</f>
        <v>227</v>
      </c>
      <c r="AC956" s="5">
        <f t="shared" si="343"/>
        <v>-618</v>
      </c>
      <c r="AD956" t="str">
        <f t="shared" si="345"/>
        <v/>
      </c>
      <c r="AE9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956="CERRADO",1,IF(V956="BRONCE",_xlpm.cPl,IF(V956="PLATA",_xlpm.cO,IF(V956="ORO",_xlpm.cP,IF(V956="PLATINO",_xlpm.cD,999))))))</f>
        <v>63.199193273331495</v>
      </c>
      <c r="AF9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956="CERRADO",0,IF(V956="BRONCE",1,IF(V956="PLATA",_xlpm.cPl,IF(V956="ORO",_xlpm.cO,IF(V956="PLATINO",_xlpm.cP,_xlpm.cD))))))</f>
        <v>24.506573482968111</v>
      </c>
      <c r="AG956">
        <f t="shared" si="346"/>
        <v>32.169193273331494</v>
      </c>
      <c r="AH956" t="str">
        <f t="shared" si="347"/>
        <v>VENTAS</v>
      </c>
      <c r="AI956" t="str">
        <f t="shared" si="344"/>
        <v>🎯 Para subir de categoría, eje VENTAS / CRECIMIENTO PERSONAL (F). Acción: metas semanales + activación comercial + seguimiento del asesor. ΔR aprox: 32,2</v>
      </c>
      <c r="AJ956" s="26">
        <f>_xlfn.LET(_xlpm.piso,AF956,_xlpm.corte,AE956,_xlpm.prog,IF(_xlpm.corte&lt;=_xlpm.piso,0,MAX(0,MIN(1,(U956-_xlpm.piso)/(_xlpm.corte-_xlpm.piso)))),_xlpm.orden,{"DIAMANTE";"PLATINO";"ORO";"PLATA";"BRONCE";"CERRADO"},_xlpm.act,IFERROR(MATCH(V956,_xlpm.orden,0),6),_xlpm.ant,IFERROR(MATCH(W956,_xlpm.orden,0),6),_xlpm.ajmov,IF(_xlpm.act&lt;_xlpm.ant,0.08,IF(_xlpm.act&gt;_xlpm.ant,-0.08,0)),_xlpm.ajcli,IF(T956&lt;0.95,-0.06,0),_xlpm.prob,MAX(0,MIN(1,_xlpm.prog+_xlpm.ajmov+_xlpm.ajcli)),IF(OR(V956="DIAMANTE",V956="CERRADO"),0,ROUND(_xlpm.prob,2)))</f>
        <v>0.09</v>
      </c>
      <c r="AK956" t="str">
        <f t="shared" si="348"/>
        <v>Faltan 32,2 puntos base para subir a la siguiente categoría</v>
      </c>
      <c r="AL956" t="str">
        <f t="shared" si="349"/>
        <v>Margen de seguridad: 6,5 puntos</v>
      </c>
      <c r="AM956">
        <f t="shared" si="350"/>
        <v>0.76</v>
      </c>
      <c r="AN956" t="str">
        <f t="shared" si="351"/>
        <v>PRIORIDAD ALTA – requiere intervención inmediata</v>
      </c>
      <c r="AO956">
        <f t="shared" si="352"/>
        <v>64.862569275295584</v>
      </c>
      <c r="AP956">
        <f t="shared" si="353"/>
        <v>0</v>
      </c>
      <c r="AQ956">
        <f t="shared" si="354"/>
        <v>7.0000000000000284E-2</v>
      </c>
      <c r="AR956">
        <f t="shared" si="355"/>
        <v>3.8999999999999995</v>
      </c>
      <c r="AS956">
        <f t="shared" si="356"/>
        <v>0</v>
      </c>
      <c r="AT956" t="str">
        <f t="shared" si="357"/>
        <v>VENTAS</v>
      </c>
      <c r="AU956">
        <f t="shared" si="358"/>
        <v>64.862569275295584</v>
      </c>
      <c r="AV956" t="str">
        <f t="shared" si="359"/>
        <v>Mayor retorno probable: VENTAS (+64,9 puntos finales potenciales).</v>
      </c>
    </row>
    <row r="957" spans="1:48" x14ac:dyDescent="0.3">
      <c r="A957" s="5">
        <v>51052331</v>
      </c>
      <c r="B957" s="5" t="str">
        <f>IFERROR(VLOOKUP(A957,VENTAS!$A$2:$B$1194,2,0),"")</f>
        <v>PUGH</v>
      </c>
      <c r="C957" s="5">
        <f>IFERROR(INDEX(VENTAS!$C$2:$E$1194,MATCH(A957,VENTAS!$A$2:$A$1194,0),MATCH(PARAMS_MODELO!$B$2,{"Q1","Q2","Q3"},0)),0)</f>
        <v>11610997.84</v>
      </c>
      <c r="D957" s="5">
        <f>IFERROR(INDEX(VENTAS!$F$2:$H$1194,MATCH(A957,VENTAS!$A$2:$A$1194,0),MATCH(PARAMS_MODELO!$B$2,{"Q1","Q2","Q3"},0)),0)</f>
        <v>16309815</v>
      </c>
      <c r="E957" s="8">
        <f t="shared" si="336"/>
        <v>0.4046867654916384</v>
      </c>
      <c r="F957" s="12">
        <f>IF(E957&lt;=PARAMS_MODELO!$B$15,0,IF(E957&gt;=PARAMS_MODELO!$B$17,100,100*MIN(1,(E957-PARAMS_MODELO!$B$15)/(PARAMS_MODELO!$B$16-PARAMS_MODELO!$B$15))))*PARAMS_MODELO!$B$7</f>
        <v>35</v>
      </c>
      <c r="G957" s="5">
        <f t="shared" si="337"/>
        <v>4698817.16</v>
      </c>
      <c r="H957" s="5">
        <f>(PARAMS_MODELO!$B$20*(MAX(0,MIN(3,E957))/3)+PARAMS_MODELO!$B$21*(IFERROR(LN(1+MAX(0,G957))/LN(1+MAX(0,MAX($G$2:$G$1194))),0)))*100*PARAMS_MODELO!$B$8</f>
        <v>5.0176635331584976</v>
      </c>
      <c r="I957" s="8">
        <f>E957-PARAMS_MODELO!$B$5</f>
        <v>0.22712393011611187</v>
      </c>
      <c r="J957" s="5">
        <f>IF(I957&lt;=PARAMS_MODELO!$B$18,0,IF(I957&gt;=PARAMS_MODELO!$B$19,100,100*(I957-PARAMS_MODELO!$B$18)/(PARAMS_MODELO!$B$19-PARAMS_MODELO!$B$18)))*PARAMS_MODELO!$B$9</f>
        <v>15</v>
      </c>
      <c r="K957" s="5">
        <f>IFERROR(CHOOSE(MATCH(PARAMS_MODELO!$B$2,{"Q1","Q2","Q3"},0),LOTO!$D957,LOTO!$F957,LOTO!$H957),0)</f>
        <v>817499.99999999988</v>
      </c>
      <c r="L957" s="8">
        <f t="shared" si="338"/>
        <v>5.0123192691026837E-2</v>
      </c>
      <c r="M957" s="5">
        <f>MIN(100,IF(PARAMS_MODELO!$B$23=0,0,100*L957/PARAMS_MODELO!$B$23))*PARAMS_MODELO!$B$10</f>
        <v>15</v>
      </c>
      <c r="N957" s="5">
        <f>IFERROR(VLOOKUP(A957,COMPLIANCE!$A$2:$F$1996,6,0),100)</f>
        <v>99.85</v>
      </c>
      <c r="O957" s="5">
        <f>N957*PARAMS_MODELO!$B$11</f>
        <v>9.9849999999999994</v>
      </c>
      <c r="P957" s="5">
        <f>IFERROR(VLOOKUP(A957,DIGITAL!$A$2:$J$2000,7,0),100)</f>
        <v>80</v>
      </c>
      <c r="Q957" s="5">
        <f>IFERROR(P957,0)*PARAMS_MODELO!$B$12</f>
        <v>8</v>
      </c>
      <c r="R957">
        <f t="shared" si="339"/>
        <v>88.002663533158497</v>
      </c>
      <c r="S957" s="5" t="str">
        <f>IFERROR(VLOOKUP(A957,CLIENTE!$A$2:$N$2000,13,0),1)</f>
        <v>Regular</v>
      </c>
      <c r="T957" s="5">
        <f>IFERROR(VLOOKUP(A957,CLIENTE!$A$2:$N$2000,14,0),1)</f>
        <v>1</v>
      </c>
      <c r="U957" s="5">
        <f t="shared" si="340"/>
        <v>88.002663533158497</v>
      </c>
      <c r="V957" s="5" t="str">
        <f>IF(U957&gt;=MAX(_xlfn.PERCENTILE.INC($U$2:$U$1194,PARAMS_MODELO!$B$50),PARAMS_MODELO!$B$45),"DIAMANTE",IF(U957&gt;=MAX(_xlfn.PERCENTILE.INC($U$2:$U$1194,PARAMS_MODELO!$B$51),PARAMS_MODELO!$B$46),"PLATINO",IF(U957&gt;=MAX(_xlfn.PERCENTILE.INC($U$2:$U$1194,PARAMS_MODELO!$B$52),PARAMS_MODELO!$B$47),"ORO",IF(U957&gt;=MAX(_xlfn.PERCENTILE.INC($U$2:$U$1194,PARAMS_MODELO!$B$53),PARAMS_MODELO!$B$48),"PLATA",IF(U957&gt;=1,"BRONCE","CERRADO")))))</f>
        <v>PLATINO</v>
      </c>
      <c r="W957" s="5" t="str" cm="1">
        <f t="array" ref="W957">_xlfn.XLOOKUP(1, (HIST_SCORE!$B:$B=PARAMS_MODELO!$B$4) * (HIST_SCORE!$C:$C=A957), HIST_SCORE!$E:$E, "No encontrado")</f>
        <v>ORO</v>
      </c>
      <c r="X957" s="5" t="str">
        <f>_xlfn.LET(_xlpm.act,MATCH(V957,{"DIAMANTE";"PLATINO";"ORO";"PLATA";"BRONCE";"CERRADO"},0),_xlpm.ant,MATCH(W957,{"DIAMANTE";"PLATINO";"ORO";"PLATA";"BRONCE";"CERRADO"},0),IF(_xlpm.act&lt;_xlpm.ant,"Mejora ↑",IF(_xlpm.act&gt;_xlpm.ant,"Baja ↓","Estable →")))</f>
        <v>Mejora ↑</v>
      </c>
      <c r="Y957" s="5">
        <f>IFERROR(U957-SUMIFS(HIST_SCORE!$D:$D,HIST_SCORE!$B:$B,PARAMS_MODELO!$B$4,HIST_SCORE!$C:$C,$A957),"")</f>
        <v>16.268458875263093</v>
      </c>
      <c r="Z957" s="5" t="str">
        <f t="shared" si="341"/>
        <v>↑ Mejora</v>
      </c>
      <c r="AA957" s="5">
        <f t="shared" si="342"/>
        <v>200</v>
      </c>
      <c r="AB957" s="5">
        <f>IFERROR(SUMIFS(HIST_SCORE!$F:$F,HIST_SCORE!$B:$B,PARAMS_MODELO!$B$4,HIST_SCORE!$C:$C,$A957),"")</f>
        <v>525</v>
      </c>
      <c r="AC957" s="5">
        <f t="shared" si="343"/>
        <v>325</v>
      </c>
      <c r="AD957" t="str">
        <f t="shared" si="345"/>
        <v/>
      </c>
      <c r="AE9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957="CERRADO",1,IF(V957="BRONCE",_xlpm.cPl,IF(V957="PLATA",_xlpm.cO,IF(V957="ORO",_xlpm.cP,IF(V957="PLATINO",_xlpm.cD,999))))))</f>
        <v>96.054919694466676</v>
      </c>
      <c r="AF9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957="CERRADO",0,IF(V957="BRONCE",1,IF(V957="PLATA",_xlpm.cPl,IF(V957="ORO",_xlpm.cO,IF(V957="PLATINO",_xlpm.cP,_xlpm.cD))))))</f>
        <v>86.439123873763251</v>
      </c>
      <c r="AG957">
        <f t="shared" si="346"/>
        <v>8.0522561613081791</v>
      </c>
      <c r="AH957" t="str">
        <f t="shared" si="347"/>
        <v>VENTAS</v>
      </c>
      <c r="AI957" t="str">
        <f t="shared" si="344"/>
        <v>🎯 Para subir de categoría, eje VENTAS / IMPACTO ABSOLUTO (H). Acción: metas semanales + activación comercial + seguimiento del asesor. ΔR aprox: 8,1</v>
      </c>
      <c r="AJ957" s="26">
        <f>_xlfn.LET(_xlpm.piso,AF957,_xlpm.corte,AE957,_xlpm.prog,IF(_xlpm.corte&lt;=_xlpm.piso,0,MAX(0,MIN(1,(U957-_xlpm.piso)/(_xlpm.corte-_xlpm.piso)))),_xlpm.orden,{"DIAMANTE";"PLATINO";"ORO";"PLATA";"BRONCE";"CERRADO"},_xlpm.act,IFERROR(MATCH(V957,_xlpm.orden,0),6),_xlpm.ant,IFERROR(MATCH(W957,_xlpm.orden,0),6),_xlpm.ajmov,IF(_xlpm.act&lt;_xlpm.ant,0.08,IF(_xlpm.act&gt;_xlpm.ant,-0.08,0)),_xlpm.ajcli,IF(T957&lt;0.95,-0.06,0),_xlpm.prob,MAX(0,MIN(1,_xlpm.prog+_xlpm.ajmov+_xlpm.ajcli)),IF(OR(V957="DIAMANTE",V957="CERRADO"),0,ROUND(_xlpm.prob,2)))</f>
        <v>0.24</v>
      </c>
      <c r="AK957" t="str">
        <f t="shared" si="348"/>
        <v>Faltan 8,1 puntos base para subir a la siguiente categoría</v>
      </c>
      <c r="AL957" t="str">
        <f t="shared" si="349"/>
        <v>Margen de seguridad: 1,6 puntos</v>
      </c>
      <c r="AM957">
        <f t="shared" si="350"/>
        <v>0.63</v>
      </c>
      <c r="AN957" t="str">
        <f t="shared" si="351"/>
        <v>PRIORIDAD MEDIA – seguimiento del asesor</v>
      </c>
      <c r="AO957">
        <f t="shared" si="352"/>
        <v>9.8449057421370867</v>
      </c>
      <c r="AP957">
        <f t="shared" si="353"/>
        <v>0</v>
      </c>
      <c r="AQ957">
        <f t="shared" si="354"/>
        <v>1.5000000000000568E-2</v>
      </c>
      <c r="AR957">
        <f t="shared" si="355"/>
        <v>2</v>
      </c>
      <c r="AS957">
        <f t="shared" si="356"/>
        <v>0</v>
      </c>
      <c r="AT957" t="str">
        <f t="shared" si="357"/>
        <v>VENTAS</v>
      </c>
      <c r="AU957">
        <f t="shared" si="358"/>
        <v>9.8449057421370867</v>
      </c>
      <c r="AV957" t="str">
        <f t="shared" si="359"/>
        <v>Mayor retorno probable: VENTAS (+9,8 puntos finales potenciales).</v>
      </c>
    </row>
    <row r="958" spans="1:48" x14ac:dyDescent="0.3">
      <c r="A958" s="5">
        <v>51024460</v>
      </c>
      <c r="B958" s="5" t="str">
        <f>IFERROR(VLOOKUP(A958,VENTAS!$A$2:$B$1194,2,0),"")</f>
        <v>PUGH</v>
      </c>
      <c r="C958" s="5">
        <f>IFERROR(INDEX(VENTAS!$C$2:$E$1194,MATCH(A958,VENTAS!$A$2:$A$1194,0),MATCH(PARAMS_MODELO!$B$2,{"Q1","Q2","Q3"},0)),0)</f>
        <v>17419143.289999999</v>
      </c>
      <c r="D958" s="5">
        <f>IFERROR(INDEX(VENTAS!$F$2:$H$1194,MATCH(A958,VENTAS!$A$2:$A$1194,0),MATCH(PARAMS_MODELO!$B$2,{"Q1","Q2","Q3"},0)),0)</f>
        <v>16014086</v>
      </c>
      <c r="E958" s="8">
        <f t="shared" si="336"/>
        <v>-8.0661675870512872E-2</v>
      </c>
      <c r="F958" s="12">
        <f>IF(E958&lt;=PARAMS_MODELO!$B$15,0,IF(E958&gt;=PARAMS_MODELO!$B$17,100,100*MIN(1,(E958-PARAMS_MODELO!$B$15)/(PARAMS_MODELO!$B$16-PARAMS_MODELO!$B$15))))*PARAMS_MODELO!$B$7</f>
        <v>0</v>
      </c>
      <c r="G958" s="5">
        <f t="shared" si="337"/>
        <v>0</v>
      </c>
      <c r="H958" s="5">
        <f>(PARAMS_MODELO!$B$20*(MAX(0,MIN(3,E958))/3)+PARAMS_MODELO!$B$21*(IFERROR(LN(1+MAX(0,G958))/LN(1+MAX(0,MAX($G$2:$G$1194))),0)))*100*PARAMS_MODELO!$B$8</f>
        <v>0</v>
      </c>
      <c r="I958" s="8">
        <f>E958-PARAMS_MODELO!$B$5</f>
        <v>-0.2582245112460394</v>
      </c>
      <c r="J958" s="5">
        <f>IF(I958&lt;=PARAMS_MODELO!$B$18,0,IF(I958&gt;=PARAMS_MODELO!$B$19,100,100*(I958-PARAMS_MODELO!$B$18)/(PARAMS_MODELO!$B$19-PARAMS_MODELO!$B$18)))*PARAMS_MODELO!$B$9</f>
        <v>0</v>
      </c>
      <c r="K958" s="5">
        <f>IFERROR(CHOOSE(MATCH(PARAMS_MODELO!$B$2,{"Q1","Q2","Q3"},0),LOTO!$D958,LOTO!$F958,LOTO!$H958),0)</f>
        <v>792500.00000000012</v>
      </c>
      <c r="L958" s="8">
        <f t="shared" si="338"/>
        <v>4.9487682281711243E-2</v>
      </c>
      <c r="M958" s="5">
        <f>MIN(100,IF(PARAMS_MODELO!$B$23=0,0,100*L958/PARAMS_MODELO!$B$23))*PARAMS_MODELO!$B$10</f>
        <v>14.84630468451337</v>
      </c>
      <c r="N958" s="5">
        <f>IFERROR(VLOOKUP(A958,COMPLIANCE!$A$2:$F$1996,6,0),100)</f>
        <v>99.7</v>
      </c>
      <c r="O958" s="5">
        <f>N958*PARAMS_MODELO!$B$11</f>
        <v>9.9700000000000006</v>
      </c>
      <c r="P958" s="5">
        <f>IFERROR(VLOOKUP(A958,DIGITAL!$A$2:$J$2000,7,0),100)</f>
        <v>35</v>
      </c>
      <c r="Q958" s="5">
        <f>IFERROR(P958,0)*PARAMS_MODELO!$B$12</f>
        <v>3.5</v>
      </c>
      <c r="R958">
        <f t="shared" si="339"/>
        <v>28.316304684513369</v>
      </c>
      <c r="S958" s="5" t="str">
        <f>IFERROR(VLOOKUP(A958,CLIENTE!$A$2:$N$2000,13,0),1)</f>
        <v>Malo</v>
      </c>
      <c r="T958" s="5">
        <f>IFERROR(VLOOKUP(A958,CLIENTE!$A$2:$N$2000,14,0),1)</f>
        <v>0.7</v>
      </c>
      <c r="U958" s="5">
        <f t="shared" si="340"/>
        <v>19.821413279159358</v>
      </c>
      <c r="V958" s="5" t="str">
        <f>IF(U958&gt;=MAX(_xlfn.PERCENTILE.INC($U$2:$U$1194,PARAMS_MODELO!$B$50),PARAMS_MODELO!$B$45),"DIAMANTE",IF(U958&gt;=MAX(_xlfn.PERCENTILE.INC($U$2:$U$1194,PARAMS_MODELO!$B$51),PARAMS_MODELO!$B$46),"PLATINO",IF(U958&gt;=MAX(_xlfn.PERCENTILE.INC($U$2:$U$1194,PARAMS_MODELO!$B$52),PARAMS_MODELO!$B$47),"ORO",IF(U958&gt;=MAX(_xlfn.PERCENTILE.INC($U$2:$U$1194,PARAMS_MODELO!$B$53),PARAMS_MODELO!$B$48),"PLATA",IF(U958&gt;=1,"BRONCE","CERRADO")))))</f>
        <v>BRONCE</v>
      </c>
      <c r="W958" s="5" t="str" cm="1">
        <f t="array" ref="W958">_xlfn.XLOOKUP(1, (HIST_SCORE!$B:$B=PARAMS_MODELO!$B$4) * (HIST_SCORE!$C:$C=A958), HIST_SCORE!$E:$E, "No encontrado")</f>
        <v>BRONCE</v>
      </c>
      <c r="X958" s="5" t="str">
        <f>_xlfn.LET(_xlpm.act,MATCH(V958,{"DIAMANTE";"PLATINO";"ORO";"PLATA";"BRONCE";"CERRADO"},0),_xlpm.ant,MATCH(W958,{"DIAMANTE";"PLATINO";"ORO";"PLATA";"BRONCE";"CERRADO"},0),IF(_xlpm.act&lt;_xlpm.ant,"Mejora ↑",IF(_xlpm.act&gt;_xlpm.ant,"Baja ↓","Estable →")))</f>
        <v>Estable →</v>
      </c>
      <c r="Y958" s="5">
        <f>IFERROR(U958-SUMIFS(HIST_SCORE!$D:$D,HIST_SCORE!$B:$B,PARAMS_MODELO!$B$4,HIST_SCORE!$C:$C,$A958),"")</f>
        <v>2.5550148834249171</v>
      </c>
      <c r="Z958" s="5" t="str">
        <f t="shared" si="341"/>
        <v>→ Estable</v>
      </c>
      <c r="AA958" s="5">
        <f t="shared" si="342"/>
        <v>979</v>
      </c>
      <c r="AB958" s="5">
        <f>IFERROR(SUMIFS(HIST_SCORE!$F:$F,HIST_SCORE!$B:$B,PARAMS_MODELO!$B$4,HIST_SCORE!$C:$C,$A958),"")</f>
        <v>1041</v>
      </c>
      <c r="AC958" s="5">
        <f t="shared" si="343"/>
        <v>62</v>
      </c>
      <c r="AD958" t="str">
        <f t="shared" si="345"/>
        <v/>
      </c>
      <c r="AE9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958="CERRADO",1,IF(V958="BRONCE",_xlpm.cPl,IF(V958="PLATA",_xlpm.cO,IF(V958="ORO",_xlpm.cP,IF(V958="PLATINO",_xlpm.cD,999))))))</f>
        <v>24.506573482968111</v>
      </c>
      <c r="AF9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958="CERRADO",0,IF(V958="BRONCE",1,IF(V958="PLATA",_xlpm.cPl,IF(V958="ORO",_xlpm.cO,IF(V958="PLATINO",_xlpm.cP,_xlpm.cD))))))</f>
        <v>1</v>
      </c>
      <c r="AG958">
        <f t="shared" si="346"/>
        <v>6.6930860054410743</v>
      </c>
      <c r="AH958" t="str">
        <f t="shared" si="347"/>
        <v>CLIENTE</v>
      </c>
      <c r="AI958" t="str">
        <f t="shared" si="344"/>
        <v>🎯 Para subir de categoría, la eje con mayor impacto probable es CLIENTE (coef T). Acción: reducir quejas, mejorar incógnito y empujar reseñas. ΔR aprox: 6,7</v>
      </c>
      <c r="AJ958" s="26">
        <f>_xlfn.LET(_xlpm.piso,AF958,_xlpm.corte,AE958,_xlpm.prog,IF(_xlpm.corte&lt;=_xlpm.piso,0,MAX(0,MIN(1,(U958-_xlpm.piso)/(_xlpm.corte-_xlpm.piso)))),_xlpm.orden,{"DIAMANTE";"PLATINO";"ORO";"PLATA";"BRONCE";"CERRADO"},_xlpm.act,IFERROR(MATCH(V958,_xlpm.orden,0),6),_xlpm.ant,IFERROR(MATCH(W958,_xlpm.orden,0),6),_xlpm.ajmov,IF(_xlpm.act&lt;_xlpm.ant,0.08,IF(_xlpm.act&gt;_xlpm.ant,-0.08,0)),_xlpm.ajcli,IF(T958&lt;0.95,-0.06,0),_xlpm.prob,MAX(0,MIN(1,_xlpm.prog+_xlpm.ajmov+_xlpm.ajcli)),IF(OR(V958="DIAMANTE",V958="CERRADO"),0,ROUND(_xlpm.prob,2)))</f>
        <v>0.74</v>
      </c>
      <c r="AK958" t="str">
        <f t="shared" si="348"/>
        <v>Faltan 6,7 puntos base para subir a la siguiente categoría</v>
      </c>
      <c r="AL958" t="str">
        <f t="shared" si="349"/>
        <v>No aplica</v>
      </c>
      <c r="AM958">
        <f t="shared" si="350"/>
        <v>0.56999999999999995</v>
      </c>
      <c r="AN958" t="str">
        <f t="shared" si="351"/>
        <v>PRIORIDAD MEDIA – seguimiento del asesor</v>
      </c>
      <c r="AO958">
        <f t="shared" si="352"/>
        <v>45.403798492706905</v>
      </c>
      <c r="AP958">
        <f t="shared" si="353"/>
        <v>0.10758672084064073</v>
      </c>
      <c r="AQ958">
        <f t="shared" si="354"/>
        <v>2.099999999999955E-2</v>
      </c>
      <c r="AR958">
        <f t="shared" si="355"/>
        <v>4.55</v>
      </c>
      <c r="AS958">
        <f t="shared" si="356"/>
        <v>8.4948914053540125</v>
      </c>
      <c r="AT958" t="str">
        <f t="shared" si="357"/>
        <v>VENTAS</v>
      </c>
      <c r="AU958">
        <f t="shared" si="358"/>
        <v>45.403798492706905</v>
      </c>
      <c r="AV958" t="str">
        <f t="shared" si="359"/>
        <v>Mayor retorno probable: VENTAS (+45,4 puntos finales potenciales).</v>
      </c>
    </row>
    <row r="959" spans="1:48" x14ac:dyDescent="0.3">
      <c r="A959" s="5">
        <v>51024885</v>
      </c>
      <c r="B959" s="5" t="str">
        <f>IFERROR(VLOOKUP(A959,VENTAS!$A$2:$B$1194,2,0),"")</f>
        <v>PUGH</v>
      </c>
      <c r="C959" s="5">
        <f>IFERROR(INDEX(VENTAS!$C$2:$E$1194,MATCH(A959,VENTAS!$A$2:$A$1194,0),MATCH(PARAMS_MODELO!$B$2,{"Q1","Q2","Q3"},0)),0)</f>
        <v>18100992</v>
      </c>
      <c r="D959" s="5">
        <f>IFERROR(INDEX(VENTAS!$F$2:$H$1194,MATCH(A959,VENTAS!$A$2:$A$1194,0),MATCH(PARAMS_MODELO!$B$2,{"Q1","Q2","Q3"},0)),0)</f>
        <v>15453461</v>
      </c>
      <c r="E959" s="8">
        <f t="shared" si="336"/>
        <v>-0.14626441467959328</v>
      </c>
      <c r="F959" s="12">
        <f>IF(E959&lt;=PARAMS_MODELO!$B$15,0,IF(E959&gt;=PARAMS_MODELO!$B$17,100,100*MIN(1,(E959-PARAMS_MODELO!$B$15)/(PARAMS_MODELO!$B$16-PARAMS_MODELO!$B$15))))*PARAMS_MODELO!$B$7</f>
        <v>0</v>
      </c>
      <c r="G959" s="5">
        <f t="shared" si="337"/>
        <v>0</v>
      </c>
      <c r="H959" s="5">
        <f>(PARAMS_MODELO!$B$20*(MAX(0,MIN(3,E959))/3)+PARAMS_MODELO!$B$21*(IFERROR(LN(1+MAX(0,G959))/LN(1+MAX(0,MAX($G$2:$G$1194))),0)))*100*PARAMS_MODELO!$B$8</f>
        <v>0</v>
      </c>
      <c r="I959" s="8">
        <f>E959-PARAMS_MODELO!$B$5</f>
        <v>-0.32382725005511981</v>
      </c>
      <c r="J959" s="5">
        <f>IF(I959&lt;=PARAMS_MODELO!$B$18,0,IF(I959&gt;=PARAMS_MODELO!$B$19,100,100*(I959-PARAMS_MODELO!$B$18)/(PARAMS_MODELO!$B$19-PARAMS_MODELO!$B$18)))*PARAMS_MODELO!$B$9</f>
        <v>0</v>
      </c>
      <c r="K959" s="5">
        <f>IFERROR(CHOOSE(MATCH(PARAMS_MODELO!$B$2,{"Q1","Q2","Q3"},0),LOTO!$D959,LOTO!$F959,LOTO!$H959),0)</f>
        <v>777500</v>
      </c>
      <c r="L959" s="8">
        <f t="shared" si="338"/>
        <v>5.0312353976885826E-2</v>
      </c>
      <c r="M959" s="5">
        <f>MIN(100,IF(PARAMS_MODELO!$B$23=0,0,100*L959/PARAMS_MODELO!$B$23))*PARAMS_MODELO!$B$10</f>
        <v>15</v>
      </c>
      <c r="N959" s="5">
        <f>IFERROR(VLOOKUP(A959,COMPLIANCE!$A$2:$F$1996,6,0),100)</f>
        <v>100</v>
      </c>
      <c r="O959" s="5">
        <f>N959*PARAMS_MODELO!$B$11</f>
        <v>10</v>
      </c>
      <c r="P959" s="5">
        <f>IFERROR(VLOOKUP(A959,DIGITAL!$A$2:$J$2000,7,0),100)</f>
        <v>77</v>
      </c>
      <c r="Q959" s="5">
        <f>IFERROR(P959,0)*PARAMS_MODELO!$B$12</f>
        <v>7.7</v>
      </c>
      <c r="R959">
        <f t="shared" si="339"/>
        <v>32.700000000000003</v>
      </c>
      <c r="S959" s="5" t="str">
        <f>IFERROR(VLOOKUP(A959,CLIENTE!$A$2:$N$2000,13,0),1)</f>
        <v>Malo</v>
      </c>
      <c r="T959" s="5">
        <f>IFERROR(VLOOKUP(A959,CLIENTE!$A$2:$N$2000,14,0),1)</f>
        <v>0.7</v>
      </c>
      <c r="U959" s="5">
        <f t="shared" si="340"/>
        <v>22.89</v>
      </c>
      <c r="V959" s="5" t="str">
        <f>IF(U959&gt;=MAX(_xlfn.PERCENTILE.INC($U$2:$U$1194,PARAMS_MODELO!$B$50),PARAMS_MODELO!$B$45),"DIAMANTE",IF(U959&gt;=MAX(_xlfn.PERCENTILE.INC($U$2:$U$1194,PARAMS_MODELO!$B$51),PARAMS_MODELO!$B$46),"PLATINO",IF(U959&gt;=MAX(_xlfn.PERCENTILE.INC($U$2:$U$1194,PARAMS_MODELO!$B$52),PARAMS_MODELO!$B$47),"ORO",IF(U959&gt;=MAX(_xlfn.PERCENTILE.INC($U$2:$U$1194,PARAMS_MODELO!$B$53),PARAMS_MODELO!$B$48),"PLATA",IF(U959&gt;=1,"BRONCE","CERRADO")))))</f>
        <v>BRONCE</v>
      </c>
      <c r="W959" s="5" t="str" cm="1">
        <f t="array" ref="W959">_xlfn.XLOOKUP(1, (HIST_SCORE!$B:$B=PARAMS_MODELO!$B$4) * (HIST_SCORE!$C:$C=A959), HIST_SCORE!$E:$E, "No encontrado")</f>
        <v>PLATA</v>
      </c>
      <c r="X959" s="5" t="str">
        <f>_xlfn.LET(_xlpm.act,MATCH(V959,{"DIAMANTE";"PLATINO";"ORO";"PLATA";"BRONCE";"CERRADO"},0),_xlpm.ant,MATCH(W959,{"DIAMANTE";"PLATINO";"ORO";"PLATA";"BRONCE";"CERRADO"},0),IF(_xlpm.act&lt;_xlpm.ant,"Mejora ↑",IF(_xlpm.act&gt;_xlpm.ant,"Baja ↓","Estable →")))</f>
        <v>Baja ↓</v>
      </c>
      <c r="Y959" s="5">
        <f>IFERROR(U959-SUMIFS(HIST_SCORE!$D:$D,HIST_SCORE!$B:$B,PARAMS_MODELO!$B$4,HIST_SCORE!$C:$C,$A959),"")</f>
        <v>-24.751512436079487</v>
      </c>
      <c r="Z959" s="5" t="str">
        <f t="shared" si="341"/>
        <v>↓ Baja</v>
      </c>
      <c r="AA959" s="5">
        <f t="shared" si="342"/>
        <v>933</v>
      </c>
      <c r="AB959" s="5">
        <f>IFERROR(SUMIFS(HIST_SCORE!$F:$F,HIST_SCORE!$B:$B,PARAMS_MODELO!$B$4,HIST_SCORE!$C:$C,$A959),"")</f>
        <v>797</v>
      </c>
      <c r="AC959" s="5">
        <f t="shared" si="343"/>
        <v>-136</v>
      </c>
      <c r="AD959" t="str">
        <f t="shared" si="345"/>
        <v>Plan de recuperación: foco crecimiento + mix</v>
      </c>
      <c r="AE9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959="CERRADO",1,IF(V959="BRONCE",_xlpm.cPl,IF(V959="PLATA",_xlpm.cO,IF(V959="ORO",_xlpm.cP,IF(V959="PLATINO",_xlpm.cD,999))))))</f>
        <v>24.506573482968111</v>
      </c>
      <c r="AF9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959="CERRADO",0,IF(V959="BRONCE",1,IF(V959="PLATA",_xlpm.cPl,IF(V959="ORO",_xlpm.cO,IF(V959="PLATINO",_xlpm.cP,_xlpm.cD))))))</f>
        <v>1</v>
      </c>
      <c r="AG959">
        <f t="shared" si="346"/>
        <v>2.3093906899544407</v>
      </c>
      <c r="AH959" t="str">
        <f t="shared" si="347"/>
        <v>CLIENTE</v>
      </c>
      <c r="AI959" t="str">
        <f t="shared" si="344"/>
        <v>🎯 Para subir de categoría, la eje con mayor impacto probable es CLIENTE (coef T). Acción: reducir quejas, mejorar incógnito y empujar reseñas. ΔR aprox: 2,3</v>
      </c>
      <c r="AJ959" s="26">
        <f>_xlfn.LET(_xlpm.piso,AF959,_xlpm.corte,AE959,_xlpm.prog,IF(_xlpm.corte&lt;=_xlpm.piso,0,MAX(0,MIN(1,(U959-_xlpm.piso)/(_xlpm.corte-_xlpm.piso)))),_xlpm.orden,{"DIAMANTE";"PLATINO";"ORO";"PLATA";"BRONCE";"CERRADO"},_xlpm.act,IFERROR(MATCH(V959,_xlpm.orden,0),6),_xlpm.ant,IFERROR(MATCH(W959,_xlpm.orden,0),6),_xlpm.ajmov,IF(_xlpm.act&lt;_xlpm.ant,0.08,IF(_xlpm.act&gt;_xlpm.ant,-0.08,0)),_xlpm.ajcli,IF(T959&lt;0.95,-0.06,0),_xlpm.prob,MAX(0,MIN(1,_xlpm.prog+_xlpm.ajmov+_xlpm.ajcli)),IF(OR(V959="DIAMANTE",V959="CERRADO"),0,ROUND(_xlpm.prob,2)))</f>
        <v>0.79</v>
      </c>
      <c r="AK959" t="str">
        <f t="shared" si="348"/>
        <v>Faltan 2,3 puntos base para subir a la siguiente categoría</v>
      </c>
      <c r="AL959" t="str">
        <f t="shared" si="349"/>
        <v>No aplica</v>
      </c>
      <c r="AM959">
        <f t="shared" si="350"/>
        <v>0.38</v>
      </c>
      <c r="AN959" t="str">
        <f t="shared" si="351"/>
        <v>PRIORIDAD BAJA – control normal</v>
      </c>
      <c r="AO959">
        <f t="shared" si="352"/>
        <v>45.403798492706905</v>
      </c>
      <c r="AP959">
        <f t="shared" si="353"/>
        <v>0</v>
      </c>
      <c r="AQ959">
        <f t="shared" si="354"/>
        <v>0</v>
      </c>
      <c r="AR959">
        <f t="shared" si="355"/>
        <v>1.6099999999999999</v>
      </c>
      <c r="AS959">
        <f t="shared" si="356"/>
        <v>9.8100000000000023</v>
      </c>
      <c r="AT959" t="str">
        <f t="shared" si="357"/>
        <v>VENTAS</v>
      </c>
      <c r="AU959">
        <f t="shared" si="358"/>
        <v>45.403798492706905</v>
      </c>
      <c r="AV959" t="str">
        <f t="shared" si="359"/>
        <v>Mayor retorno probable: VENTAS (+45,4 puntos finales potenciales).</v>
      </c>
    </row>
    <row r="960" spans="1:48" x14ac:dyDescent="0.3">
      <c r="A960" s="5">
        <v>51005554</v>
      </c>
      <c r="B960" s="5" t="str">
        <f>IFERROR(VLOOKUP(A960,VENTAS!$A$2:$B$1194,2,0),"")</f>
        <v>PUGH</v>
      </c>
      <c r="C960" s="5">
        <f>IFERROR(INDEX(VENTAS!$C$2:$E$1194,MATCH(A960,VENTAS!$A$2:$A$1194,0),MATCH(PARAMS_MODELO!$B$2,{"Q1","Q2","Q3"},0)),0)</f>
        <v>8838450.3399999999</v>
      </c>
      <c r="D960" s="5">
        <f>IFERROR(INDEX(VENTAS!$F$2:$H$1194,MATCH(A960,VENTAS!$A$2:$A$1194,0),MATCH(PARAMS_MODELO!$B$2,{"Q1","Q2","Q3"},0)),0)</f>
        <v>14136445</v>
      </c>
      <c r="E960" s="8">
        <f t="shared" si="336"/>
        <v>0.59942574277110205</v>
      </c>
      <c r="F960" s="12">
        <f>IF(E960&lt;=PARAMS_MODELO!$B$15,0,IF(E960&gt;=PARAMS_MODELO!$B$17,100,100*MIN(1,(E960-PARAMS_MODELO!$B$15)/(PARAMS_MODELO!$B$16-PARAMS_MODELO!$B$15))))*PARAMS_MODELO!$B$7</f>
        <v>35</v>
      </c>
      <c r="G960" s="5">
        <f t="shared" si="337"/>
        <v>5297994.66</v>
      </c>
      <c r="H960" s="5">
        <f>(PARAMS_MODELO!$B$20*(MAX(0,MIN(3,E960))/3)+PARAMS_MODELO!$B$21*(IFERROR(LN(1+MAX(0,G960))/LN(1+MAX(0,MAX($G$2:$G$1194))),0)))*100*PARAMS_MODELO!$B$8</f>
        <v>5.7273837428604528</v>
      </c>
      <c r="I960" s="8">
        <f>E960-PARAMS_MODELO!$B$5</f>
        <v>0.42186290739557553</v>
      </c>
      <c r="J960" s="5">
        <f>IF(I960&lt;=PARAMS_MODELO!$B$18,0,IF(I960&gt;=PARAMS_MODELO!$B$19,100,100*(I960-PARAMS_MODELO!$B$18)/(PARAMS_MODELO!$B$19-PARAMS_MODELO!$B$18)))*PARAMS_MODELO!$B$9</f>
        <v>15</v>
      </c>
      <c r="K960" s="5">
        <f>IFERROR(CHOOSE(MATCH(PARAMS_MODELO!$B$2,{"Q1","Q2","Q3"},0),LOTO!$D960,LOTO!$F960,LOTO!$H960),0)</f>
        <v>762500</v>
      </c>
      <c r="L960" s="8">
        <f t="shared" si="338"/>
        <v>5.3938596301969836E-2</v>
      </c>
      <c r="M960" s="5">
        <f>MIN(100,IF(PARAMS_MODELO!$B$23=0,0,100*L960/PARAMS_MODELO!$B$23))*PARAMS_MODELO!$B$10</f>
        <v>15</v>
      </c>
      <c r="N960" s="5">
        <f>IFERROR(VLOOKUP(A960,COMPLIANCE!$A$2:$F$1996,6,0),100)</f>
        <v>100</v>
      </c>
      <c r="O960" s="5">
        <f>N960*PARAMS_MODELO!$B$11</f>
        <v>10</v>
      </c>
      <c r="P960" s="5">
        <f>IFERROR(VLOOKUP(A960,DIGITAL!$A$2:$J$2000,7,0),100)</f>
        <v>14</v>
      </c>
      <c r="Q960" s="5">
        <f>IFERROR(P960,0)*PARAMS_MODELO!$B$12</f>
        <v>1.4000000000000001</v>
      </c>
      <c r="R960">
        <f t="shared" si="339"/>
        <v>82.127383742860459</v>
      </c>
      <c r="S960" s="5" t="str">
        <f>IFERROR(VLOOKUP(A960,CLIENTE!$A$2:$N$2000,13,0),1)</f>
        <v>Malo</v>
      </c>
      <c r="T960" s="5">
        <f>IFERROR(VLOOKUP(A960,CLIENTE!$A$2:$N$2000,14,0),1)</f>
        <v>0.7</v>
      </c>
      <c r="U960" s="5">
        <f t="shared" si="340"/>
        <v>57.489168620002317</v>
      </c>
      <c r="V960" s="5" t="str">
        <f>IF(U960&gt;=MAX(_xlfn.PERCENTILE.INC($U$2:$U$1194,PARAMS_MODELO!$B$50),PARAMS_MODELO!$B$45),"DIAMANTE",IF(U960&gt;=MAX(_xlfn.PERCENTILE.INC($U$2:$U$1194,PARAMS_MODELO!$B$51),PARAMS_MODELO!$B$46),"PLATINO",IF(U960&gt;=MAX(_xlfn.PERCENTILE.INC($U$2:$U$1194,PARAMS_MODELO!$B$52),PARAMS_MODELO!$B$47),"ORO",IF(U960&gt;=MAX(_xlfn.PERCENTILE.INC($U$2:$U$1194,PARAMS_MODELO!$B$53),PARAMS_MODELO!$B$48),"PLATA",IF(U960&gt;=1,"BRONCE","CERRADO")))))</f>
        <v>PLATA</v>
      </c>
      <c r="W960" s="5" t="str" cm="1">
        <f t="array" ref="W960">_xlfn.XLOOKUP(1, (HIST_SCORE!$B:$B=PARAMS_MODELO!$B$4) * (HIST_SCORE!$C:$C=A960), HIST_SCORE!$E:$E, "No encontrado")</f>
        <v>PLATA</v>
      </c>
      <c r="X960" s="5" t="str">
        <f>_xlfn.LET(_xlpm.act,MATCH(V960,{"DIAMANTE";"PLATINO";"ORO";"PLATA";"BRONCE";"CERRADO"},0),_xlpm.ant,MATCH(W960,{"DIAMANTE";"PLATINO";"ORO";"PLATA";"BRONCE";"CERRADO"},0),IF(_xlpm.act&lt;_xlpm.ant,"Mejora ↑",IF(_xlpm.act&gt;_xlpm.ant,"Baja ↓","Estable →")))</f>
        <v>Estable →</v>
      </c>
      <c r="Y960" s="5">
        <f>IFERROR(U960-SUMIFS(HIST_SCORE!$D:$D,HIST_SCORE!$B:$B,PARAMS_MODELO!$B$4,HIST_SCORE!$C:$C,$A960),"")</f>
        <v>-1.1405719592840242</v>
      </c>
      <c r="Z960" s="5" t="str">
        <f t="shared" si="341"/>
        <v>→ Estable</v>
      </c>
      <c r="AA960" s="5">
        <f t="shared" si="342"/>
        <v>676</v>
      </c>
      <c r="AB960" s="5">
        <f>IFERROR(SUMIFS(HIST_SCORE!$F:$F,HIST_SCORE!$B:$B,PARAMS_MODELO!$B$4,HIST_SCORE!$C:$C,$A960),"")</f>
        <v>669</v>
      </c>
      <c r="AC960" s="5">
        <f t="shared" si="343"/>
        <v>-7</v>
      </c>
      <c r="AD960" t="str">
        <f t="shared" si="345"/>
        <v/>
      </c>
      <c r="AE9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960="CERRADO",1,IF(V960="BRONCE",_xlpm.cPl,IF(V960="PLATA",_xlpm.cO,IF(V960="ORO",_xlpm.cP,IF(V960="PLATINO",_xlpm.cD,999))))))</f>
        <v>63.199193273331495</v>
      </c>
      <c r="AF9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960="CERRADO",0,IF(V960="BRONCE",1,IF(V960="PLATA",_xlpm.cPl,IF(V960="ORO",_xlpm.cO,IF(V960="PLATINO",_xlpm.cP,_xlpm.cD))))))</f>
        <v>24.506573482968111</v>
      </c>
      <c r="AG960">
        <f t="shared" si="346"/>
        <v>8.1571780761845361</v>
      </c>
      <c r="AH960" t="str">
        <f t="shared" si="347"/>
        <v>CLIENTE</v>
      </c>
      <c r="AI960" t="str">
        <f t="shared" si="344"/>
        <v>🎯 Para subir de categoría, la eje con mayor impacto probable es CLIENTE (coef T). Acción: reducir quejas, mejorar incógnito y empujar reseñas. ΔR aprox: 8,2</v>
      </c>
      <c r="AJ960" s="26">
        <f>_xlfn.LET(_xlpm.piso,AF960,_xlpm.corte,AE960,_xlpm.prog,IF(_xlpm.corte&lt;=_xlpm.piso,0,MAX(0,MIN(1,(U960-_xlpm.piso)/(_xlpm.corte-_xlpm.piso)))),_xlpm.orden,{"DIAMANTE";"PLATINO";"ORO";"PLATA";"BRONCE";"CERRADO"},_xlpm.act,IFERROR(MATCH(V960,_xlpm.orden,0),6),_xlpm.ant,IFERROR(MATCH(W960,_xlpm.orden,0),6),_xlpm.ajmov,IF(_xlpm.act&lt;_xlpm.ant,0.08,IF(_xlpm.act&gt;_xlpm.ant,-0.08,0)),_xlpm.ajcli,IF(T960&lt;0.95,-0.06,0),_xlpm.prob,MAX(0,MIN(1,_xlpm.prog+_xlpm.ajmov+_xlpm.ajcli)),IF(OR(V960="DIAMANTE",V960="CERRADO"),0,ROUND(_xlpm.prob,2)))</f>
        <v>0.79</v>
      </c>
      <c r="AK960" t="str">
        <f t="shared" si="348"/>
        <v>Faltan 8,2 puntos base para subir a la siguiente categoría</v>
      </c>
      <c r="AL960" t="str">
        <f t="shared" si="349"/>
        <v>Margen de seguridad: 33,0 puntos</v>
      </c>
      <c r="AM960">
        <f t="shared" si="350"/>
        <v>0.61</v>
      </c>
      <c r="AN960" t="str">
        <f t="shared" si="351"/>
        <v>PRIORIDAD MEDIA – seguimiento del asesor</v>
      </c>
      <c r="AO960">
        <f t="shared" si="352"/>
        <v>6.3946298727045914</v>
      </c>
      <c r="AP960">
        <f t="shared" si="353"/>
        <v>0</v>
      </c>
      <c r="AQ960">
        <f t="shared" si="354"/>
        <v>0</v>
      </c>
      <c r="AR960">
        <f t="shared" si="355"/>
        <v>6.02</v>
      </c>
      <c r="AS960">
        <f t="shared" si="356"/>
        <v>24.638215122858142</v>
      </c>
      <c r="AT960" t="str">
        <f t="shared" si="357"/>
        <v>CLIENTE</v>
      </c>
      <c r="AU960">
        <f t="shared" si="358"/>
        <v>24.638215122858142</v>
      </c>
      <c r="AV960" t="str">
        <f t="shared" si="359"/>
        <v>Mayor retorno probable: CLIENTE (+24,6 puntos finales potenciales).</v>
      </c>
    </row>
    <row r="961" spans="1:48" x14ac:dyDescent="0.3">
      <c r="A961" s="5">
        <v>51024478</v>
      </c>
      <c r="B961" s="5" t="str">
        <f>IFERROR(VLOOKUP(A961,VENTAS!$A$2:$B$1194,2,0),"")</f>
        <v>NELLI</v>
      </c>
      <c r="C961" s="5">
        <f>IFERROR(INDEX(VENTAS!$C$2:$E$1194,MATCH(A961,VENTAS!$A$2:$A$1194,0),MATCH(PARAMS_MODELO!$B$2,{"Q1","Q2","Q3"},0)),0)</f>
        <v>14713263.199999999</v>
      </c>
      <c r="D961" s="5">
        <f>IFERROR(INDEX(VENTAS!$F$2:$H$1194,MATCH(A961,VENTAS!$A$2:$A$1194,0),MATCH(PARAMS_MODELO!$B$2,{"Q1","Q2","Q3"},0)),0)</f>
        <v>13600270</v>
      </c>
      <c r="E961" s="8">
        <f t="shared" si="336"/>
        <v>-7.5645571269329248E-2</v>
      </c>
      <c r="F961" s="12">
        <f>IF(E961&lt;=PARAMS_MODELO!$B$15,0,IF(E961&gt;=PARAMS_MODELO!$B$17,100,100*MIN(1,(E961-PARAMS_MODELO!$B$15)/(PARAMS_MODELO!$B$16-PARAMS_MODELO!$B$15))))*PARAMS_MODELO!$B$7</f>
        <v>0</v>
      </c>
      <c r="G961" s="5">
        <f t="shared" si="337"/>
        <v>0</v>
      </c>
      <c r="H961" s="5">
        <f>(PARAMS_MODELO!$B$20*(MAX(0,MIN(3,E961))/3)+PARAMS_MODELO!$B$21*(IFERROR(LN(1+MAX(0,G961))/LN(1+MAX(0,MAX($G$2:$G$1194))),0)))*100*PARAMS_MODELO!$B$8</f>
        <v>0</v>
      </c>
      <c r="I961" s="8">
        <f>E961-PARAMS_MODELO!$B$5</f>
        <v>-0.25320840664485578</v>
      </c>
      <c r="J961" s="5">
        <f>IF(I961&lt;=PARAMS_MODELO!$B$18,0,IF(I961&gt;=PARAMS_MODELO!$B$19,100,100*(I961-PARAMS_MODELO!$B$18)/(PARAMS_MODELO!$B$19-PARAMS_MODELO!$B$18)))*PARAMS_MODELO!$B$9</f>
        <v>0</v>
      </c>
      <c r="K961" s="5">
        <f>IFERROR(CHOOSE(MATCH(PARAMS_MODELO!$B$2,{"Q1","Q2","Q3"},0),LOTO!$D961,LOTO!$F961,LOTO!$H961),0)</f>
        <v>747500</v>
      </c>
      <c r="L961" s="8">
        <f t="shared" si="338"/>
        <v>5.4962144133903226E-2</v>
      </c>
      <c r="M961" s="5">
        <f>MIN(100,IF(PARAMS_MODELO!$B$23=0,0,100*L961/PARAMS_MODELO!$B$23))*PARAMS_MODELO!$B$10</f>
        <v>15</v>
      </c>
      <c r="N961" s="5">
        <f>IFERROR(VLOOKUP(A961,COMPLIANCE!$A$2:$F$1996,6,0),100)</f>
        <v>99.7</v>
      </c>
      <c r="O961" s="5">
        <f>N961*PARAMS_MODELO!$B$11</f>
        <v>9.9700000000000006</v>
      </c>
      <c r="P961" s="5">
        <f>IFERROR(VLOOKUP(A961,DIGITAL!$A$2:$J$2000,7,0),100)</f>
        <v>75</v>
      </c>
      <c r="Q961" s="5">
        <f>IFERROR(P961,0)*PARAMS_MODELO!$B$12</f>
        <v>7.5</v>
      </c>
      <c r="R961">
        <f t="shared" si="339"/>
        <v>32.47</v>
      </c>
      <c r="S961" s="5" t="str">
        <f>IFERROR(VLOOKUP(A961,CLIENTE!$A$2:$N$2000,13,0),1)</f>
        <v>Malo</v>
      </c>
      <c r="T961" s="5">
        <f>IFERROR(VLOOKUP(A961,CLIENTE!$A$2:$N$2000,14,0),1)</f>
        <v>0.7</v>
      </c>
      <c r="U961" s="5">
        <f t="shared" si="340"/>
        <v>22.728999999999999</v>
      </c>
      <c r="V961" s="5" t="str">
        <f>IF(U961&gt;=MAX(_xlfn.PERCENTILE.INC($U$2:$U$1194,PARAMS_MODELO!$B$50),PARAMS_MODELO!$B$45),"DIAMANTE",IF(U961&gt;=MAX(_xlfn.PERCENTILE.INC($U$2:$U$1194,PARAMS_MODELO!$B$51),PARAMS_MODELO!$B$46),"PLATINO",IF(U961&gt;=MAX(_xlfn.PERCENTILE.INC($U$2:$U$1194,PARAMS_MODELO!$B$52),PARAMS_MODELO!$B$47),"ORO",IF(U961&gt;=MAX(_xlfn.PERCENTILE.INC($U$2:$U$1194,PARAMS_MODELO!$B$53),PARAMS_MODELO!$B$48),"PLATA",IF(U961&gt;=1,"BRONCE","CERRADO")))))</f>
        <v>BRONCE</v>
      </c>
      <c r="W961" s="5" t="str" cm="1">
        <f t="array" ref="W961">_xlfn.XLOOKUP(1, (HIST_SCORE!$B:$B=PARAMS_MODELO!$B$4) * (HIST_SCORE!$C:$C=A961), HIST_SCORE!$E:$E, "No encontrado")</f>
        <v>BRONCE</v>
      </c>
      <c r="X961" s="5" t="str">
        <f>_xlfn.LET(_xlpm.act,MATCH(V961,{"DIAMANTE";"PLATINO";"ORO";"PLATA";"BRONCE";"CERRADO"},0),_xlpm.ant,MATCH(W961,{"DIAMANTE";"PLATINO";"ORO";"PLATA";"BRONCE";"CERRADO"},0),IF(_xlpm.act&lt;_xlpm.ant,"Mejora ↑",IF(_xlpm.act&gt;_xlpm.ant,"Baja ↓","Estable →")))</f>
        <v>Estable →</v>
      </c>
      <c r="Y961" s="5">
        <f>IFERROR(U961-SUMIFS(HIST_SCORE!$D:$D,HIST_SCORE!$B:$B,PARAMS_MODELO!$B$4,HIST_SCORE!$C:$C,$A961),"")</f>
        <v>0</v>
      </c>
      <c r="Z961" s="5" t="str">
        <f t="shared" si="341"/>
        <v>→ Estable</v>
      </c>
      <c r="AA961" s="5">
        <f t="shared" si="342"/>
        <v>937</v>
      </c>
      <c r="AB961" s="5">
        <f>IFERROR(SUMIFS(HIST_SCORE!$F:$F,HIST_SCORE!$B:$B,PARAMS_MODELO!$B$4,HIST_SCORE!$C:$C,$A961),"")</f>
        <v>957</v>
      </c>
      <c r="AC961" s="5">
        <f t="shared" si="343"/>
        <v>20</v>
      </c>
      <c r="AD961" t="str">
        <f t="shared" si="345"/>
        <v/>
      </c>
      <c r="AE9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961="CERRADO",1,IF(V961="BRONCE",_xlpm.cPl,IF(V961="PLATA",_xlpm.cO,IF(V961="ORO",_xlpm.cP,IF(V961="PLATINO",_xlpm.cD,999))))))</f>
        <v>24.506573482968111</v>
      </c>
      <c r="AF9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961="CERRADO",0,IF(V961="BRONCE",1,IF(V961="PLATA",_xlpm.cPl,IF(V961="ORO",_xlpm.cO,IF(V961="PLATINO",_xlpm.cP,_xlpm.cD))))))</f>
        <v>1</v>
      </c>
      <c r="AG961">
        <f t="shared" si="346"/>
        <v>2.5393906899544447</v>
      </c>
      <c r="AH961" t="str">
        <f t="shared" si="347"/>
        <v>CLIENTE</v>
      </c>
      <c r="AI961" t="str">
        <f t="shared" si="344"/>
        <v>🎯 Para subir de categoría, la eje con mayor impacto probable es CLIENTE (coef T). Acción: reducir quejas, mejorar incógnito y empujar reseñas. ΔR aprox: 2,5</v>
      </c>
      <c r="AJ961" s="26">
        <f>_xlfn.LET(_xlpm.piso,AF961,_xlpm.corte,AE961,_xlpm.prog,IF(_xlpm.corte&lt;=_xlpm.piso,0,MAX(0,MIN(1,(U961-_xlpm.piso)/(_xlpm.corte-_xlpm.piso)))),_xlpm.orden,{"DIAMANTE";"PLATINO";"ORO";"PLATA";"BRONCE";"CERRADO"},_xlpm.act,IFERROR(MATCH(V961,_xlpm.orden,0),6),_xlpm.ant,IFERROR(MATCH(W961,_xlpm.orden,0),6),_xlpm.ajmov,IF(_xlpm.act&lt;_xlpm.ant,0.08,IF(_xlpm.act&gt;_xlpm.ant,-0.08,0)),_xlpm.ajcli,IF(T961&lt;0.95,-0.06,0),_xlpm.prob,MAX(0,MIN(1,_xlpm.prog+_xlpm.ajmov+_xlpm.ajcli)),IF(OR(V961="DIAMANTE",V961="CERRADO"),0,ROUND(_xlpm.prob,2)))</f>
        <v>0.86</v>
      </c>
      <c r="AK961" t="str">
        <f t="shared" si="348"/>
        <v>Faltan 2,5 puntos base para subir a la siguiente categoría</v>
      </c>
      <c r="AL961" t="str">
        <f t="shared" si="349"/>
        <v>No aplica</v>
      </c>
      <c r="AM961">
        <f t="shared" si="350"/>
        <v>0.36</v>
      </c>
      <c r="AN961" t="str">
        <f t="shared" si="351"/>
        <v>PRIORIDAD BAJA – control normal</v>
      </c>
      <c r="AO961">
        <f t="shared" si="352"/>
        <v>45.403798492706905</v>
      </c>
      <c r="AP961">
        <f t="shared" si="353"/>
        <v>0</v>
      </c>
      <c r="AQ961">
        <f t="shared" si="354"/>
        <v>2.099999999999955E-2</v>
      </c>
      <c r="AR961">
        <f t="shared" si="355"/>
        <v>1.75</v>
      </c>
      <c r="AS961">
        <f t="shared" si="356"/>
        <v>9.7410000000000014</v>
      </c>
      <c r="AT961" t="str">
        <f t="shared" si="357"/>
        <v>VENTAS</v>
      </c>
      <c r="AU961">
        <f t="shared" si="358"/>
        <v>45.403798492706905</v>
      </c>
      <c r="AV961" t="str">
        <f t="shared" si="359"/>
        <v>Mayor retorno probable: VENTAS (+45,4 puntos finales potenciales).</v>
      </c>
    </row>
    <row r="962" spans="1:48" x14ac:dyDescent="0.3">
      <c r="A962" s="5">
        <v>51012691</v>
      </c>
      <c r="B962" s="5" t="str">
        <f>IFERROR(VLOOKUP(A962,VENTAS!$A$2:$B$1194,2,0),"")</f>
        <v>ARGUELLO</v>
      </c>
      <c r="C962" s="5">
        <f>IFERROR(INDEX(VENTAS!$C$2:$E$1194,MATCH(A962,VENTAS!$A$2:$A$1194,0),MATCH(PARAMS_MODELO!$B$2,{"Q1","Q2","Q3"},0)),0)</f>
        <v>24151031.440000001</v>
      </c>
      <c r="D962" s="5">
        <f>IFERROR(INDEX(VENTAS!$F$2:$H$1194,MATCH(A962,VENTAS!$A$2:$A$1194,0),MATCH(PARAMS_MODELO!$B$2,{"Q1","Q2","Q3"},0)),0)</f>
        <v>13435155</v>
      </c>
      <c r="E962" s="8">
        <f t="shared" ref="E962:E1025" si="360">IFERROR(D962/C962-1,0)</f>
        <v>-0.44370264129803971</v>
      </c>
      <c r="F962" s="12">
        <f>IF(E962&lt;=PARAMS_MODELO!$B$15,0,IF(E962&gt;=PARAMS_MODELO!$B$17,100,100*MIN(1,(E962-PARAMS_MODELO!$B$15)/(PARAMS_MODELO!$B$16-PARAMS_MODELO!$B$15))))*PARAMS_MODELO!$B$7</f>
        <v>0</v>
      </c>
      <c r="G962" s="5">
        <f t="shared" ref="G962:G1025" si="361">MAX(0,D962-C962)</f>
        <v>0</v>
      </c>
      <c r="H962" s="5">
        <f>(PARAMS_MODELO!$B$20*(MAX(0,MIN(3,E962))/3)+PARAMS_MODELO!$B$21*(IFERROR(LN(1+MAX(0,G962))/LN(1+MAX(0,MAX($G$2:$G$1194))),0)))*100*PARAMS_MODELO!$B$8</f>
        <v>0</v>
      </c>
      <c r="I962" s="8">
        <f>E962-PARAMS_MODELO!$B$5</f>
        <v>-0.62126547667356624</v>
      </c>
      <c r="J962" s="5">
        <f>IF(I962&lt;=PARAMS_MODELO!$B$18,0,IF(I962&gt;=PARAMS_MODELO!$B$19,100,100*(I962-PARAMS_MODELO!$B$18)/(PARAMS_MODELO!$B$19-PARAMS_MODELO!$B$18)))*PARAMS_MODELO!$B$9</f>
        <v>0</v>
      </c>
      <c r="K962" s="5">
        <f>IFERROR(CHOOSE(MATCH(PARAMS_MODELO!$B$2,{"Q1","Q2","Q3"},0),LOTO!$D962,LOTO!$F962,LOTO!$H962),0)</f>
        <v>745000</v>
      </c>
      <c r="L962" s="8">
        <f t="shared" ref="L962:L1025" si="362">IFERROR(K962/D962,0)</f>
        <v>5.5451537403178451E-2</v>
      </c>
      <c r="M962" s="5">
        <f>MIN(100,IF(PARAMS_MODELO!$B$23=0,0,100*L962/PARAMS_MODELO!$B$23))*PARAMS_MODELO!$B$10</f>
        <v>15</v>
      </c>
      <c r="N962" s="5">
        <f>IFERROR(VLOOKUP(A962,COMPLIANCE!$A$2:$F$1996,6,0),100)</f>
        <v>100</v>
      </c>
      <c r="O962" s="5">
        <f>N962*PARAMS_MODELO!$B$11</f>
        <v>10</v>
      </c>
      <c r="P962" s="5">
        <f>IFERROR(VLOOKUP(A962,DIGITAL!$A$2:$J$2000,7,0),100)</f>
        <v>95</v>
      </c>
      <c r="Q962" s="5">
        <f>IFERROR(P962,0)*PARAMS_MODELO!$B$12</f>
        <v>9.5</v>
      </c>
      <c r="R962">
        <f t="shared" ref="R962:R1025" si="363">MIN(100,MAX(0,F962+H962+J962+M962+O962+Q962))</f>
        <v>34.5</v>
      </c>
      <c r="S962" s="5" t="str">
        <f>IFERROR(VLOOKUP(A962,CLIENTE!$A$2:$N$2000,13,0),1)</f>
        <v>Muy Bueno</v>
      </c>
      <c r="T962" s="5">
        <f>IFERROR(VLOOKUP(A962,CLIENTE!$A$2:$N$2000,14,0),1)</f>
        <v>1.1499999999999999</v>
      </c>
      <c r="U962" s="5">
        <f t="shared" ref="U962:U1025" si="364">MIN(100,MAX(0,R962*T962))</f>
        <v>39.674999999999997</v>
      </c>
      <c r="V962" s="5" t="str">
        <f>IF(U962&gt;=MAX(_xlfn.PERCENTILE.INC($U$2:$U$1194,PARAMS_MODELO!$B$50),PARAMS_MODELO!$B$45),"DIAMANTE",IF(U962&gt;=MAX(_xlfn.PERCENTILE.INC($U$2:$U$1194,PARAMS_MODELO!$B$51),PARAMS_MODELO!$B$46),"PLATINO",IF(U962&gt;=MAX(_xlfn.PERCENTILE.INC($U$2:$U$1194,PARAMS_MODELO!$B$52),PARAMS_MODELO!$B$47),"ORO",IF(U962&gt;=MAX(_xlfn.PERCENTILE.INC($U$2:$U$1194,PARAMS_MODELO!$B$53),PARAMS_MODELO!$B$48),"PLATA",IF(U962&gt;=1,"BRONCE","CERRADO")))))</f>
        <v>PLATA</v>
      </c>
      <c r="W962" s="5" t="str" cm="1">
        <f t="array" ref="W962">_xlfn.XLOOKUP(1, (HIST_SCORE!$B:$B=PARAMS_MODELO!$B$4) * (HIST_SCORE!$C:$C=A962), HIST_SCORE!$E:$E, "No encontrado")</f>
        <v>PLATA</v>
      </c>
      <c r="X962" s="5" t="str">
        <f>_xlfn.LET(_xlpm.act,MATCH(V962,{"DIAMANTE";"PLATINO";"ORO";"PLATA";"BRONCE";"CERRADO"},0),_xlpm.ant,MATCH(W962,{"DIAMANTE";"PLATINO";"ORO";"PLATA";"BRONCE";"CERRADO"},0),IF(_xlpm.act&lt;_xlpm.ant,"Mejora ↑",IF(_xlpm.act&gt;_xlpm.ant,"Baja ↓","Estable →")))</f>
        <v>Estable →</v>
      </c>
      <c r="Y962" s="5">
        <f>IFERROR(U962-SUMIFS(HIST_SCORE!$D:$D,HIST_SCORE!$B:$B,PARAMS_MODELO!$B$4,HIST_SCORE!$C:$C,$A962),"")</f>
        <v>10.020429954112668</v>
      </c>
      <c r="Z962" s="5" t="str">
        <f t="shared" ref="Z962:Z1025" si="365">IF(Y962="","",IF(Y962&gt;=5,"↑ Mejora",IF(Y962&lt;=-5,"↓ Baja","→ Estable")))</f>
        <v>↑ Mejora</v>
      </c>
      <c r="AA962" s="5">
        <f t="shared" ref="AA962:AA1025" si="366">IFERROR(_xlfn.RANK.EQ(U962,$U$2:$U$1194,0),"")</f>
        <v>787</v>
      </c>
      <c r="AB962" s="5">
        <f>IFERROR(SUMIFS(HIST_SCORE!$F:$F,HIST_SCORE!$B:$B,PARAMS_MODELO!$B$4,HIST_SCORE!$C:$C,$A962),"")</f>
        <v>913</v>
      </c>
      <c r="AC962" s="5">
        <f t="shared" ref="AC962:AC1025" si="367">IF(OR(AA962="",AB962=""),"",AB962-AA962)</f>
        <v>126</v>
      </c>
      <c r="AD962" t="str">
        <f t="shared" si="345"/>
        <v/>
      </c>
      <c r="AE9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962="CERRADO",1,IF(V962="BRONCE",_xlpm.cPl,IF(V962="PLATA",_xlpm.cO,IF(V962="ORO",_xlpm.cP,IF(V962="PLATINO",_xlpm.cD,999))))))</f>
        <v>63.199193273331495</v>
      </c>
      <c r="AF9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962="CERRADO",0,IF(V962="BRONCE",1,IF(V962="PLATA",_xlpm.cPl,IF(V962="ORO",_xlpm.cO,IF(V962="PLATINO",_xlpm.cP,_xlpm.cD))))))</f>
        <v>24.506573482968111</v>
      </c>
      <c r="AG962">
        <f t="shared" si="346"/>
        <v>20.455820237679568</v>
      </c>
      <c r="AH962" t="str">
        <f t="shared" si="347"/>
        <v>VENTAS</v>
      </c>
      <c r="AI962" t="str">
        <f t="shared" ref="AI962:AI1025" si="368">_xlfn.LET(_xlpm.pal,AH962,_xlpm.deltaR,AG962,_xlpm.minVent,MIN(F962,H962,J962),_xlpm.subV,IF(_xlpm.minVent=F962,"CRECIMIENTO PERSONAL (F)",IF(_xlpm.minVent=H962,"IMPACTO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CRECIMIENTO PERSONAL (F). Acción: metas semanales + activación comercial + seguimiento del asesor. ΔR aprox: 20,5</v>
      </c>
      <c r="AJ962" s="26">
        <f>_xlfn.LET(_xlpm.piso,AF962,_xlpm.corte,AE962,_xlpm.prog,IF(_xlpm.corte&lt;=_xlpm.piso,0,MAX(0,MIN(1,(U962-_xlpm.piso)/(_xlpm.corte-_xlpm.piso)))),_xlpm.orden,{"DIAMANTE";"PLATINO";"ORO";"PLATA";"BRONCE";"CERRADO"},_xlpm.act,IFERROR(MATCH(V962,_xlpm.orden,0),6),_xlpm.ant,IFERROR(MATCH(W962,_xlpm.orden,0),6),_xlpm.ajmov,IF(_xlpm.act&lt;_xlpm.ant,0.08,IF(_xlpm.act&gt;_xlpm.ant,-0.08,0)),_xlpm.ajcli,IF(T962&lt;0.95,-0.06,0),_xlpm.prob,MAX(0,MIN(1,_xlpm.prog+_xlpm.ajmov+_xlpm.ajcli)),IF(OR(V962="DIAMANTE",V962="CERRADO"),0,ROUND(_xlpm.prob,2)))</f>
        <v>0.39</v>
      </c>
      <c r="AK962" t="str">
        <f t="shared" si="348"/>
        <v>Faltan 20,5 puntos base para subir a la siguiente categoría</v>
      </c>
      <c r="AL962" t="str">
        <f t="shared" si="349"/>
        <v>Margen de seguridad: 15,2 puntos</v>
      </c>
      <c r="AM962">
        <f t="shared" si="350"/>
        <v>0.64</v>
      </c>
      <c r="AN962" t="str">
        <f t="shared" si="351"/>
        <v>PRIORIDAD MEDIA – seguimiento del asesor</v>
      </c>
      <c r="AO962">
        <f t="shared" si="352"/>
        <v>74.591954666589913</v>
      </c>
      <c r="AP962">
        <f t="shared" si="353"/>
        <v>0</v>
      </c>
      <c r="AQ962">
        <f t="shared" si="354"/>
        <v>0</v>
      </c>
      <c r="AR962">
        <f t="shared" si="355"/>
        <v>0.57499999999999996</v>
      </c>
      <c r="AS962">
        <f t="shared" si="356"/>
        <v>0</v>
      </c>
      <c r="AT962" t="str">
        <f t="shared" si="357"/>
        <v>VENTAS</v>
      </c>
      <c r="AU962">
        <f t="shared" si="358"/>
        <v>74.591954666589913</v>
      </c>
      <c r="AV962" t="str">
        <f t="shared" si="359"/>
        <v>Mayor retorno probable: VENTAS (+74,6 puntos finales potenciales).</v>
      </c>
    </row>
    <row r="963" spans="1:48" x14ac:dyDescent="0.3">
      <c r="A963" s="5">
        <v>51015681</v>
      </c>
      <c r="B963" s="5" t="str">
        <f>IFERROR(VLOOKUP(A963,VENTAS!$A$2:$B$1194,2,0),"")</f>
        <v>CICHETTO</v>
      </c>
      <c r="C963" s="5">
        <f>IFERROR(INDEX(VENTAS!$C$2:$E$1194,MATCH(A963,VENTAS!$A$2:$A$1194,0),MATCH(PARAMS_MODELO!$B$2,{"Q1","Q2","Q3"},0)),0)</f>
        <v>70024311.390000001</v>
      </c>
      <c r="D963" s="5">
        <f>IFERROR(INDEX(VENTAS!$F$2:$H$1194,MATCH(A963,VENTAS!$A$2:$A$1194,0),MATCH(PARAMS_MODELO!$B$2,{"Q1","Q2","Q3"},0)),0)</f>
        <v>13310609</v>
      </c>
      <c r="E963" s="8">
        <f t="shared" si="360"/>
        <v>-0.80991446062401617</v>
      </c>
      <c r="F963" s="12">
        <f>IF(E963&lt;=PARAMS_MODELO!$B$15,0,IF(E963&gt;=PARAMS_MODELO!$B$17,100,100*MIN(1,(E963-PARAMS_MODELO!$B$15)/(PARAMS_MODELO!$B$16-PARAMS_MODELO!$B$15))))*PARAMS_MODELO!$B$7</f>
        <v>0</v>
      </c>
      <c r="G963" s="5">
        <f t="shared" si="361"/>
        <v>0</v>
      </c>
      <c r="H963" s="5">
        <f>(PARAMS_MODELO!$B$20*(MAX(0,MIN(3,E963))/3)+PARAMS_MODELO!$B$21*(IFERROR(LN(1+MAX(0,G963))/LN(1+MAX(0,MAX($G$2:$G$1194))),0)))*100*PARAMS_MODELO!$B$8</f>
        <v>0</v>
      </c>
      <c r="I963" s="8">
        <f>E963-PARAMS_MODELO!$B$5</f>
        <v>-0.9874772959995427</v>
      </c>
      <c r="J963" s="5">
        <f>IF(I963&lt;=PARAMS_MODELO!$B$18,0,IF(I963&gt;=PARAMS_MODELO!$B$19,100,100*(I963-PARAMS_MODELO!$B$18)/(PARAMS_MODELO!$B$19-PARAMS_MODELO!$B$18)))*PARAMS_MODELO!$B$9</f>
        <v>0</v>
      </c>
      <c r="K963" s="5">
        <f>IFERROR(CHOOSE(MATCH(PARAMS_MODELO!$B$2,{"Q1","Q2","Q3"},0),LOTO!$D963,LOTO!$F963,LOTO!$H963),0)</f>
        <v>735000</v>
      </c>
      <c r="L963" s="8">
        <f t="shared" si="362"/>
        <v>5.5219111311886629E-2</v>
      </c>
      <c r="M963" s="5">
        <f>MIN(100,IF(PARAMS_MODELO!$B$23=0,0,100*L963/PARAMS_MODELO!$B$23))*PARAMS_MODELO!$B$10</f>
        <v>15</v>
      </c>
      <c r="N963" s="5">
        <f>IFERROR(VLOOKUP(A963,COMPLIANCE!$A$2:$F$1996,6,0),100)</f>
        <v>99.18</v>
      </c>
      <c r="O963" s="5">
        <f>N963*PARAMS_MODELO!$B$11</f>
        <v>9.918000000000001</v>
      </c>
      <c r="P963" s="5">
        <f>IFERROR(VLOOKUP(A963,DIGITAL!$A$2:$J$2000,7,0),100)</f>
        <v>59</v>
      </c>
      <c r="Q963" s="5">
        <f>IFERROR(P963,0)*PARAMS_MODELO!$B$12</f>
        <v>5.9</v>
      </c>
      <c r="R963">
        <f t="shared" si="363"/>
        <v>30.817999999999998</v>
      </c>
      <c r="S963" s="5" t="str">
        <f>IFERROR(VLOOKUP(A963,CLIENTE!$A$2:$N$2000,13,0),1)</f>
        <v>Malo</v>
      </c>
      <c r="T963" s="5">
        <f>IFERROR(VLOOKUP(A963,CLIENTE!$A$2:$N$2000,14,0),1)</f>
        <v>0.7</v>
      </c>
      <c r="U963" s="5">
        <f t="shared" si="364"/>
        <v>21.572599999999998</v>
      </c>
      <c r="V963" s="5" t="str">
        <f>IF(U963&gt;=MAX(_xlfn.PERCENTILE.INC($U$2:$U$1194,PARAMS_MODELO!$B$50),PARAMS_MODELO!$B$45),"DIAMANTE",IF(U963&gt;=MAX(_xlfn.PERCENTILE.INC($U$2:$U$1194,PARAMS_MODELO!$B$51),PARAMS_MODELO!$B$46),"PLATINO",IF(U963&gt;=MAX(_xlfn.PERCENTILE.INC($U$2:$U$1194,PARAMS_MODELO!$B$52),PARAMS_MODELO!$B$47),"ORO",IF(U963&gt;=MAX(_xlfn.PERCENTILE.INC($U$2:$U$1194,PARAMS_MODELO!$B$53),PARAMS_MODELO!$B$48),"PLATA",IF(U963&gt;=1,"BRONCE","CERRADO")))))</f>
        <v>BRONCE</v>
      </c>
      <c r="W963" s="5" t="str" cm="1">
        <f t="array" ref="W963">_xlfn.XLOOKUP(1, (HIST_SCORE!$B:$B=PARAMS_MODELO!$B$4) * (HIST_SCORE!$C:$C=A963), HIST_SCORE!$E:$E, "No encontrado")</f>
        <v>PLATA</v>
      </c>
      <c r="X963" s="5" t="str">
        <f>_xlfn.LET(_xlpm.act,MATCH(V963,{"DIAMANTE";"PLATINO";"ORO";"PLATA";"BRONCE";"CERRADO"},0),_xlpm.ant,MATCH(W963,{"DIAMANTE";"PLATINO";"ORO";"PLATA";"BRONCE";"CERRADO"},0),IF(_xlpm.act&lt;_xlpm.ant,"Mejora ↑",IF(_xlpm.act&gt;_xlpm.ant,"Baja ↓","Estable →")))</f>
        <v>Baja ↓</v>
      </c>
      <c r="Y963" s="5">
        <f>IFERROR(U963-SUMIFS(HIST_SCORE!$D:$D,HIST_SCORE!$B:$B,PARAMS_MODELO!$B$4,HIST_SCORE!$C:$C,$A963),"")</f>
        <v>-39.088662283315514</v>
      </c>
      <c r="Z963" s="5" t="str">
        <f t="shared" si="365"/>
        <v>↓ Baja</v>
      </c>
      <c r="AA963" s="5">
        <f t="shared" si="366"/>
        <v>954</v>
      </c>
      <c r="AB963" s="5">
        <f>IFERROR(SUMIFS(HIST_SCORE!$F:$F,HIST_SCORE!$B:$B,PARAMS_MODELO!$B$4,HIST_SCORE!$C:$C,$A963),"")</f>
        <v>638</v>
      </c>
      <c r="AC963" s="5">
        <f t="shared" si="367"/>
        <v>-316</v>
      </c>
      <c r="AD963" t="str">
        <f t="shared" ref="AD963:AD1026" si="369">IF(V963="CERRADO","Agencia sin actividad o cerrada",IF(AND(V963="BRONCE",Y963=""),"Primer corte: cargá histórico para medir movilidad",IF(AND(V963="BRONCE",Y963&lt;0),"Plan de recuperación: foco crecimiento + mix",IF(AND(V963="ORO",Y963&lt;0),"Sostener base y reforzar mix",""))))</f>
        <v>Plan de recuperación: foco crecimiento + mix</v>
      </c>
      <c r="AE9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963="CERRADO",1,IF(V963="BRONCE",_xlpm.cPl,IF(V963="PLATA",_xlpm.cO,IF(V963="ORO",_xlpm.cP,IF(V963="PLATINO",_xlpm.cD,999))))))</f>
        <v>24.506573482968111</v>
      </c>
      <c r="AF9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963="CERRADO",0,IF(V963="BRONCE",1,IF(V963="PLATA",_xlpm.cPl,IF(V963="ORO",_xlpm.cO,IF(V963="PLATINO",_xlpm.cP,_xlpm.cD))))))</f>
        <v>1</v>
      </c>
      <c r="AG963">
        <f t="shared" ref="AG963:AG1026" si="370">_xlfn.LET(_xlpm.corteU,AE963,_xlpm.coef,MAX(0.01,T963),_xlpm.reqR,_xlpm.corteU/_xlpm.coef,MAX(0,_xlpm.reqR-R963))</f>
        <v>4.1913906899544457</v>
      </c>
      <c r="AH963" t="str">
        <f t="shared" ref="AH963:AH1026" si="371">_xlfn.LET(_xlpm.deltaR,AG963,_xlpm.ventas,F963+H963+J963,_xlpm.hv,(MAX($F$2:$F$1194)+MAX($H$2:$H$1194)+MAX($J$2:$J$1194))-_xlpm.ventas,_xlpm.hl,MAX($M$2:$M$1194)-M963,_xlpm.hc,MAX($O$2:$O$1194)-O963,_xlpm.hd,MAX($Q$2:$Q$1194)-Q963,_xlpm.impV,MIN(_xlpm.deltaR,MAX(0,_xlpm.hv)),_xlpm.impL,MIN(_xlpm.deltaR,MAX(0,_xlpm.hl)),_xlpm.impC,MIN(_xlpm.deltaR,MAX(0,_xlpm.hc)),_xlpm.impD,MIN(_xlpm.deltaR,MAX(0,_xlpm.hd)),_xlpm.t,T963,_xlpm.tObj,1,_xlpm.impCli,IF(_xlpm.t&lt;0.95,MIN(_xlpm.deltaR,R963*(_xlpm.tObj/_xlpm.t-1)),0),_xlpm.mx,MAX(_xlpm.impV,_xlpm.impL,_xlpm.impC,_xlpm.impD,_xlpm.impCli),IF(V963="DIAMANTE","SOSTENER",IF(V963="CERRADO","CERRADO",IF(_xlpm.mx=_xlpm.impCli,"CLIENTE",IF(_xlpm.mx=_xlpm.impV,"VENTAS",IF(_xlpm.mx=_xlpm.impL,"LOTO",IF(_xlpm.mx=_xlpm.impC,"COMPLIANCE","DIGITAL")))))))</f>
        <v>CLIENTE</v>
      </c>
      <c r="AI963" t="str">
        <f t="shared" si="368"/>
        <v>🎯 Para subir de categoría, la eje con mayor impacto probable es CLIENTE (coef T). Acción: reducir quejas, mejorar incógnito y empujar reseñas. ΔR aprox: 4,2</v>
      </c>
      <c r="AJ963" s="26">
        <f>_xlfn.LET(_xlpm.piso,AF963,_xlpm.corte,AE963,_xlpm.prog,IF(_xlpm.corte&lt;=_xlpm.piso,0,MAX(0,MIN(1,(U963-_xlpm.piso)/(_xlpm.corte-_xlpm.piso)))),_xlpm.orden,{"DIAMANTE";"PLATINO";"ORO";"PLATA";"BRONCE";"CERRADO"},_xlpm.act,IFERROR(MATCH(V963,_xlpm.orden,0),6),_xlpm.ant,IFERROR(MATCH(W963,_xlpm.orden,0),6),_xlpm.ajmov,IF(_xlpm.act&lt;_xlpm.ant,0.08,IF(_xlpm.act&gt;_xlpm.ant,-0.08,0)),_xlpm.ajcli,IF(T963&lt;0.95,-0.06,0),_xlpm.prob,MAX(0,MIN(1,_xlpm.prog+_xlpm.ajmov+_xlpm.ajcli)),IF(OR(V963="DIAMANTE",V963="CERRADO"),0,ROUND(_xlpm.prob,2)))</f>
        <v>0.74</v>
      </c>
      <c r="AK963" t="str">
        <f t="shared" ref="AK963:AK1026" si="372">IF(OR(V963="DIAMANTE",V963="CERRADO"),"No aplica","Faltan " &amp; TEXT(AG963,"0,0") &amp; " puntos base para subir a la siguiente categoría")</f>
        <v>Faltan 4,2 puntos base para subir a la siguiente categoría</v>
      </c>
      <c r="AL963" t="str">
        <f t="shared" ref="AL963:AL1026" si="373">_xlfn.LET(_xlpm.piso,AF963,_xlpm.dist,U963-_xlpm.piso,IF(OR(V963="BRONCE",V963="CERRADO"),"No aplica",IF(_xlpm.dist&lt;=0,"⚠ Riesgo de descenso","Margen de seguridad: " &amp; TEXT(_xlpm.dist,"0,0") &amp; " puntos")))</f>
        <v>No aplica</v>
      </c>
      <c r="AM963">
        <f t="shared" ref="AM963:AM1026" si="374">_xlfn.LET(_xlpm.prob,AJ963,_xlpm.dist,AG963,_xlpm.coef,T963,_xlpm.prior,(1-_xlpm.prob)*0.4+MIN(1,_xlpm.dist/10)*0.4+IF(_xlpm.coef&lt;0.95,0.2,0),ROUND(_xlpm.prior,2))</f>
        <v>0.47</v>
      </c>
      <c r="AN963" t="str">
        <f t="shared" ref="AN963:AN1026" si="375">IF(AM963&gt;=0.7,"PRIORIDAD ALTA – requiere intervención inmediata",IF(AM963&gt;=0.4,"PRIORIDAD MEDIA – seguimiento del asesor","PRIORIDAD BAJA – control normal"))</f>
        <v>PRIORIDAD MEDIA – seguimiento del asesor</v>
      </c>
      <c r="AO963">
        <f t="shared" ref="AO963:AO1026" si="376">MAX(0,((MAX($F$2:$F$1194)+MAX($H$2:$H$1194)+MAX($J$2:$J$1194))-(F963+H963+J963))*T963)</f>
        <v>45.403798492706905</v>
      </c>
      <c r="AP963">
        <f t="shared" ref="AP963:AP1026" si="377">MAX(0,(MAX($M$2:$M$1194)-M963)*T963)</f>
        <v>0</v>
      </c>
      <c r="AQ963">
        <f t="shared" ref="AQ963:AQ1026" si="378">MAX(0,(MAX($O$2:$O$1194)-O963)*T963)</f>
        <v>5.7399999999999271E-2</v>
      </c>
      <c r="AR963">
        <f t="shared" ref="AR963:AR1026" si="379">MAX(0,(MAX($Q$2:$Q$1194)-Q963)*T963)</f>
        <v>2.8699999999999997</v>
      </c>
      <c r="AS963">
        <f t="shared" ref="AS963:AS1026" si="380">MAX(0,R963*(1-T963))</f>
        <v>9.2454000000000001</v>
      </c>
      <c r="AT963" t="str">
        <f t="shared" ref="AT963:AT1026" si="381">_xlfn.LET(_xlpm.v,AO963,_xlpm.l,AP963,_xlpm.c,AQ963,_xlpm.d,AR963,_xlpm.cli,AS963,_xlpm.mx,MAX(_xlpm.v,_xlpm.l,_xlpm.c,_xlpm.d,_xlpm.cli),IF(_xlpm.mx=_xlpm.cli,"CLIENTE",IF(_xlpm.mx=_xlpm.v,"VENTAS",IF(_xlpm.mx=_xlpm.l,"LOTO",IF(_xlpm.mx=_xlpm.c,"COMPLIANCE","DIGITAL")))))</f>
        <v>VENTAS</v>
      </c>
      <c r="AU963">
        <f t="shared" ref="AU963:AU1026" si="382">MAX(AO963,AP963,AQ963,AR963,AS963)</f>
        <v>45.403798492706905</v>
      </c>
      <c r="AV963" t="str">
        <f t="shared" ref="AV963:AV1026" si="383">IF(V963="CERRADO","⛔ Sin impacto comercial estimable por estado CERRADO.","Mayor retorno probable: " &amp; AT963 &amp; " (+" &amp; TEXT(AU963,"0,0") &amp; " puntos finales potenciales).")</f>
        <v>Mayor retorno probable: VENTAS (+45,4 puntos finales potenciales).</v>
      </c>
    </row>
    <row r="964" spans="1:48" x14ac:dyDescent="0.3">
      <c r="A964" s="5">
        <v>51019008</v>
      </c>
      <c r="B964" s="5" t="str">
        <f>IFERROR(VLOOKUP(A964,VENTAS!$A$2:$B$1194,2,0),"")</f>
        <v>MONTENEGRO</v>
      </c>
      <c r="C964" s="5">
        <f>IFERROR(INDEX(VENTAS!$C$2:$E$1194,MATCH(A964,VENTAS!$A$2:$A$1194,0),MATCH(PARAMS_MODELO!$B$2,{"Q1","Q2","Q3"},0)),0)</f>
        <v>10381850.199999999</v>
      </c>
      <c r="D964" s="5">
        <f>IFERROR(INDEX(VENTAS!$F$2:$H$1194,MATCH(A964,VENTAS!$A$2:$A$1194,0),MATCH(PARAMS_MODELO!$B$2,{"Q1","Q2","Q3"},0)),0)</f>
        <v>13192340</v>
      </c>
      <c r="E964" s="8">
        <f t="shared" si="360"/>
        <v>0.27071184286592787</v>
      </c>
      <c r="F964" s="12">
        <f>IF(E964&lt;=PARAMS_MODELO!$B$15,0,IF(E964&gt;=PARAMS_MODELO!$B$17,100,100*MIN(1,(E964-PARAMS_MODELO!$B$15)/(PARAMS_MODELO!$B$16-PARAMS_MODELO!$B$15))))*PARAMS_MODELO!$B$7</f>
        <v>35</v>
      </c>
      <c r="G964" s="5">
        <f t="shared" si="361"/>
        <v>2810489.8000000007</v>
      </c>
      <c r="H964" s="5">
        <f>(PARAMS_MODELO!$B$20*(MAX(0,MIN(3,E964))/3)+PARAMS_MODELO!$B$21*(IFERROR(LN(1+MAX(0,G964))/LN(1+MAX(0,MAX($G$2:$G$1194))),0)))*100*PARAMS_MODELO!$B$8</f>
        <v>4.4282738054148094</v>
      </c>
      <c r="I964" s="8">
        <f>E964-PARAMS_MODELO!$B$5</f>
        <v>9.3149007490401337E-2</v>
      </c>
      <c r="J964" s="5">
        <f>IF(I964&lt;=PARAMS_MODELO!$B$18,0,IF(I964&gt;=PARAMS_MODELO!$B$19,100,100*(I964-PARAMS_MODELO!$B$18)/(PARAMS_MODELO!$B$19-PARAMS_MODELO!$B$18)))*PARAMS_MODELO!$B$9</f>
        <v>15</v>
      </c>
      <c r="K964" s="5">
        <f>IFERROR(CHOOSE(MATCH(PARAMS_MODELO!$B$2,{"Q1","Q2","Q3"},0),LOTO!$D964,LOTO!$F964,LOTO!$H964),0)</f>
        <v>730000</v>
      </c>
      <c r="L964" s="8">
        <f t="shared" si="362"/>
        <v>5.5335141453297897E-2</v>
      </c>
      <c r="M964" s="5">
        <f>MIN(100,IF(PARAMS_MODELO!$B$23=0,0,100*L964/PARAMS_MODELO!$B$23))*PARAMS_MODELO!$B$10</f>
        <v>15</v>
      </c>
      <c r="N964" s="5">
        <f>IFERROR(VLOOKUP(A964,COMPLIANCE!$A$2:$F$1996,6,0),100)</f>
        <v>99.98</v>
      </c>
      <c r="O964" s="5">
        <f>N964*PARAMS_MODELO!$B$11</f>
        <v>9.9980000000000011</v>
      </c>
      <c r="P964" s="5">
        <f>IFERROR(VLOOKUP(A964,DIGITAL!$A$2:$J$2000,7,0),100)</f>
        <v>20</v>
      </c>
      <c r="Q964" s="5">
        <f>IFERROR(P964,0)*PARAMS_MODELO!$B$12</f>
        <v>2</v>
      </c>
      <c r="R964">
        <f t="shared" si="363"/>
        <v>81.426273805414823</v>
      </c>
      <c r="S964" s="5" t="str">
        <f>IFERROR(VLOOKUP(A964,CLIENTE!$A$2:$N$2000,13,0),1)</f>
        <v>Bueno</v>
      </c>
      <c r="T964" s="5">
        <f>IFERROR(VLOOKUP(A964,CLIENTE!$A$2:$N$2000,14,0),1)</f>
        <v>1.1000000000000001</v>
      </c>
      <c r="U964" s="5">
        <f t="shared" si="364"/>
        <v>89.568901185956307</v>
      </c>
      <c r="V964" s="5" t="str">
        <f>IF(U964&gt;=MAX(_xlfn.PERCENTILE.INC($U$2:$U$1194,PARAMS_MODELO!$B$50),PARAMS_MODELO!$B$45),"DIAMANTE",IF(U964&gt;=MAX(_xlfn.PERCENTILE.INC($U$2:$U$1194,PARAMS_MODELO!$B$51),PARAMS_MODELO!$B$46),"PLATINO",IF(U964&gt;=MAX(_xlfn.PERCENTILE.INC($U$2:$U$1194,PARAMS_MODELO!$B$52),PARAMS_MODELO!$B$47),"ORO",IF(U964&gt;=MAX(_xlfn.PERCENTILE.INC($U$2:$U$1194,PARAMS_MODELO!$B$53),PARAMS_MODELO!$B$48),"PLATA",IF(U964&gt;=1,"BRONCE","CERRADO")))))</f>
        <v>PLATINO</v>
      </c>
      <c r="W964" s="5" t="str" cm="1">
        <f t="array" ref="W964">_xlfn.XLOOKUP(1, (HIST_SCORE!$B:$B=PARAMS_MODELO!$B$4) * (HIST_SCORE!$C:$C=A964), HIST_SCORE!$E:$E, "No encontrado")</f>
        <v>ORO</v>
      </c>
      <c r="X964" s="5" t="str">
        <f>_xlfn.LET(_xlpm.act,MATCH(V964,{"DIAMANTE";"PLATINO";"ORO";"PLATA";"BRONCE";"CERRADO"},0),_xlpm.ant,MATCH(W964,{"DIAMANTE";"PLATINO";"ORO";"PLATA";"BRONCE";"CERRADO"},0),IF(_xlpm.act&lt;_xlpm.ant,"Mejora ↑",IF(_xlpm.act&gt;_xlpm.ant,"Baja ↓","Estable →")))</f>
        <v>Mejora ↑</v>
      </c>
      <c r="Y964" s="5">
        <f>IFERROR(U964-SUMIFS(HIST_SCORE!$D:$D,HIST_SCORE!$B:$B,PARAMS_MODELO!$B$4,HIST_SCORE!$C:$C,$A964),"")</f>
        <v>6.235359605266467</v>
      </c>
      <c r="Z964" s="5" t="str">
        <f t="shared" si="365"/>
        <v>↑ Mejora</v>
      </c>
      <c r="AA964" s="5">
        <f t="shared" si="366"/>
        <v>147</v>
      </c>
      <c r="AB964" s="5">
        <f>IFERROR(SUMIFS(HIST_SCORE!$F:$F,HIST_SCORE!$B:$B,PARAMS_MODELO!$B$4,HIST_SCORE!$C:$C,$A964),"")</f>
        <v>317</v>
      </c>
      <c r="AC964" s="5">
        <f t="shared" si="367"/>
        <v>170</v>
      </c>
      <c r="AD964" t="str">
        <f t="shared" si="369"/>
        <v/>
      </c>
      <c r="AE9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964="CERRADO",1,IF(V964="BRONCE",_xlpm.cPl,IF(V964="PLATA",_xlpm.cO,IF(V964="ORO",_xlpm.cP,IF(V964="PLATINO",_xlpm.cD,999))))))</f>
        <v>96.054919694466676</v>
      </c>
      <c r="AF9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964="CERRADO",0,IF(V964="BRONCE",1,IF(V964="PLATA",_xlpm.cPl,IF(V964="ORO",_xlpm.cO,IF(V964="PLATINO",_xlpm.cP,_xlpm.cD))))))</f>
        <v>86.439123873763251</v>
      </c>
      <c r="AG964">
        <f t="shared" si="370"/>
        <v>5.8963804622821527</v>
      </c>
      <c r="AH964" t="str">
        <f t="shared" si="371"/>
        <v>VENTAS</v>
      </c>
      <c r="AI964" t="str">
        <f t="shared" si="368"/>
        <v>🎯 Para subir de categoría, eje VENTAS / IMPACTO ABSOLUTO (H). Acción: metas semanales + activación comercial + seguimiento del asesor. ΔR aprox: 5,9</v>
      </c>
      <c r="AJ964" s="26">
        <f>_xlfn.LET(_xlpm.piso,AF964,_xlpm.corte,AE964,_xlpm.prog,IF(_xlpm.corte&lt;=_xlpm.piso,0,MAX(0,MIN(1,(U964-_xlpm.piso)/(_xlpm.corte-_xlpm.piso)))),_xlpm.orden,{"DIAMANTE";"PLATINO";"ORO";"PLATA";"BRONCE";"CERRADO"},_xlpm.act,IFERROR(MATCH(V964,_xlpm.orden,0),6),_xlpm.ant,IFERROR(MATCH(W964,_xlpm.orden,0),6),_xlpm.ajmov,IF(_xlpm.act&lt;_xlpm.ant,0.08,IF(_xlpm.act&gt;_xlpm.ant,-0.08,0)),_xlpm.ajcli,IF(T964&lt;0.95,-0.06,0),_xlpm.prob,MAX(0,MIN(1,_xlpm.prog+_xlpm.ajmov+_xlpm.ajcli)),IF(OR(V964="DIAMANTE",V964="CERRADO"),0,ROUND(_xlpm.prob,2)))</f>
        <v>0.41</v>
      </c>
      <c r="AK964" t="str">
        <f t="shared" si="372"/>
        <v>Faltan 5,9 puntos base para subir a la siguiente categoría</v>
      </c>
      <c r="AL964" t="str">
        <f t="shared" si="373"/>
        <v>Margen de seguridad: 3,1 puntos</v>
      </c>
      <c r="AM964">
        <f t="shared" si="374"/>
        <v>0.47</v>
      </c>
      <c r="AN964" t="str">
        <f t="shared" si="375"/>
        <v>PRIORIDAD MEDIA – seguimiento del asesor</v>
      </c>
      <c r="AO964">
        <f t="shared" si="376"/>
        <v>11.477725016868851</v>
      </c>
      <c r="AP964">
        <f t="shared" si="377"/>
        <v>0</v>
      </c>
      <c r="AQ964">
        <f t="shared" si="378"/>
        <v>2.1999999999987811E-3</v>
      </c>
      <c r="AR964">
        <f t="shared" si="379"/>
        <v>8.8000000000000007</v>
      </c>
      <c r="AS964">
        <f t="shared" si="380"/>
        <v>0</v>
      </c>
      <c r="AT964" t="str">
        <f t="shared" si="381"/>
        <v>VENTAS</v>
      </c>
      <c r="AU964">
        <f t="shared" si="382"/>
        <v>11.477725016868851</v>
      </c>
      <c r="AV964" t="str">
        <f t="shared" si="383"/>
        <v>Mayor retorno probable: VENTAS (+11,5 puntos finales potenciales).</v>
      </c>
    </row>
    <row r="965" spans="1:48" x14ac:dyDescent="0.3">
      <c r="A965" s="5">
        <v>51015762</v>
      </c>
      <c r="B965" s="5" t="str">
        <f>IFERROR(VLOOKUP(A965,VENTAS!$A$2:$B$1194,2,0),"")</f>
        <v>METTLER</v>
      </c>
      <c r="C965" s="5">
        <f>IFERROR(INDEX(VENTAS!$C$2:$E$1194,MATCH(A965,VENTAS!$A$2:$A$1194,0),MATCH(PARAMS_MODELO!$B$2,{"Q1","Q2","Q3"},0)),0)</f>
        <v>22681871.09</v>
      </c>
      <c r="D965" s="5">
        <f>IFERROR(INDEX(VENTAS!$F$2:$H$1194,MATCH(A965,VENTAS!$A$2:$A$1194,0),MATCH(PARAMS_MODELO!$B$2,{"Q1","Q2","Q3"},0)),0)</f>
        <v>12898765</v>
      </c>
      <c r="E965" s="8">
        <f t="shared" si="360"/>
        <v>-0.43131830046918762</v>
      </c>
      <c r="F965" s="12">
        <f>IF(E965&lt;=PARAMS_MODELO!$B$15,0,IF(E965&gt;=PARAMS_MODELO!$B$17,100,100*MIN(1,(E965-PARAMS_MODELO!$B$15)/(PARAMS_MODELO!$B$16-PARAMS_MODELO!$B$15))))*PARAMS_MODELO!$B$7</f>
        <v>0</v>
      </c>
      <c r="G965" s="5">
        <f t="shared" si="361"/>
        <v>0</v>
      </c>
      <c r="H965" s="5">
        <f>(PARAMS_MODELO!$B$20*(MAX(0,MIN(3,E965))/3)+PARAMS_MODELO!$B$21*(IFERROR(LN(1+MAX(0,G965))/LN(1+MAX(0,MAX($G$2:$G$1194))),0)))*100*PARAMS_MODELO!$B$8</f>
        <v>0</v>
      </c>
      <c r="I965" s="8">
        <f>E965-PARAMS_MODELO!$B$5</f>
        <v>-0.60888113584471415</v>
      </c>
      <c r="J965" s="5">
        <f>IF(I965&lt;=PARAMS_MODELO!$B$18,0,IF(I965&gt;=PARAMS_MODELO!$B$19,100,100*(I965-PARAMS_MODELO!$B$18)/(PARAMS_MODELO!$B$19-PARAMS_MODELO!$B$18)))*PARAMS_MODELO!$B$9</f>
        <v>0</v>
      </c>
      <c r="K965" s="5">
        <f>IFERROR(CHOOSE(MATCH(PARAMS_MODELO!$B$2,{"Q1","Q2","Q3"},0),LOTO!$D965,LOTO!$F965,LOTO!$H965),0)</f>
        <v>722500</v>
      </c>
      <c r="L965" s="8">
        <f t="shared" si="362"/>
        <v>5.6013114433823702E-2</v>
      </c>
      <c r="M965" s="5">
        <f>MIN(100,IF(PARAMS_MODELO!$B$23=0,0,100*L965/PARAMS_MODELO!$B$23))*PARAMS_MODELO!$B$10</f>
        <v>15</v>
      </c>
      <c r="N965" s="5">
        <f>IFERROR(VLOOKUP(A965,COMPLIANCE!$A$2:$F$1996,6,0),100)</f>
        <v>100</v>
      </c>
      <c r="O965" s="5">
        <f>N965*PARAMS_MODELO!$B$11</f>
        <v>10</v>
      </c>
      <c r="P965" s="5">
        <f>IFERROR(VLOOKUP(A965,DIGITAL!$A$2:$J$2000,7,0),100)</f>
        <v>85</v>
      </c>
      <c r="Q965" s="5">
        <f>IFERROR(P965,0)*PARAMS_MODELO!$B$12</f>
        <v>8.5</v>
      </c>
      <c r="R965">
        <f t="shared" si="363"/>
        <v>33.5</v>
      </c>
      <c r="S965" s="5" t="str">
        <f>IFERROR(VLOOKUP(A965,CLIENTE!$A$2:$N$2000,13,0),1)</f>
        <v>Excelente</v>
      </c>
      <c r="T965" s="5">
        <f>IFERROR(VLOOKUP(A965,CLIENTE!$A$2:$N$2000,14,0),1)</f>
        <v>1.2</v>
      </c>
      <c r="U965" s="5">
        <f t="shared" si="364"/>
        <v>40.199999999999996</v>
      </c>
      <c r="V965" s="5" t="str">
        <f>IF(U965&gt;=MAX(_xlfn.PERCENTILE.INC($U$2:$U$1194,PARAMS_MODELO!$B$50),PARAMS_MODELO!$B$45),"DIAMANTE",IF(U965&gt;=MAX(_xlfn.PERCENTILE.INC($U$2:$U$1194,PARAMS_MODELO!$B$51),PARAMS_MODELO!$B$46),"PLATINO",IF(U965&gt;=MAX(_xlfn.PERCENTILE.INC($U$2:$U$1194,PARAMS_MODELO!$B$52),PARAMS_MODELO!$B$47),"ORO",IF(U965&gt;=MAX(_xlfn.PERCENTILE.INC($U$2:$U$1194,PARAMS_MODELO!$B$53),PARAMS_MODELO!$B$48),"PLATA",IF(U965&gt;=1,"BRONCE","CERRADO")))))</f>
        <v>PLATA</v>
      </c>
      <c r="W965" s="5" t="str" cm="1">
        <f t="array" ref="W965">_xlfn.XLOOKUP(1, (HIST_SCORE!$B:$B=PARAMS_MODELO!$B$4) * (HIST_SCORE!$C:$C=A965), HIST_SCORE!$E:$E, "No encontrado")</f>
        <v>ORO</v>
      </c>
      <c r="X965" s="5" t="str">
        <f>_xlfn.LET(_xlpm.act,MATCH(V965,{"DIAMANTE";"PLATINO";"ORO";"PLATA";"BRONCE";"CERRADO"},0),_xlpm.ant,MATCH(W965,{"DIAMANTE";"PLATINO";"ORO";"PLATA";"BRONCE";"CERRADO"},0),IF(_xlpm.act&lt;_xlpm.ant,"Mejora ↑",IF(_xlpm.act&gt;_xlpm.ant,"Baja ↓","Estable →")))</f>
        <v>Baja ↓</v>
      </c>
      <c r="Y965" s="5">
        <f>IFERROR(U965-SUMIFS(HIST_SCORE!$D:$D,HIST_SCORE!$B:$B,PARAMS_MODELO!$B$4,HIST_SCORE!$C:$C,$A965),"")</f>
        <v>-29.065510153622576</v>
      </c>
      <c r="Z965" s="5" t="str">
        <f t="shared" si="365"/>
        <v>↓ Baja</v>
      </c>
      <c r="AA965" s="5">
        <f t="shared" si="366"/>
        <v>783</v>
      </c>
      <c r="AB965" s="5">
        <f>IFERROR(SUMIFS(HIST_SCORE!$F:$F,HIST_SCORE!$B:$B,PARAMS_MODELO!$B$4,HIST_SCORE!$C:$C,$A965),"")</f>
        <v>546</v>
      </c>
      <c r="AC965" s="5">
        <f t="shared" si="367"/>
        <v>-237</v>
      </c>
      <c r="AD965" t="str">
        <f t="shared" si="369"/>
        <v/>
      </c>
      <c r="AE9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965="CERRADO",1,IF(V965="BRONCE",_xlpm.cPl,IF(V965="PLATA",_xlpm.cO,IF(V965="ORO",_xlpm.cP,IF(V965="PLATINO",_xlpm.cD,999))))))</f>
        <v>63.199193273331495</v>
      </c>
      <c r="AF9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965="CERRADO",0,IF(V965="BRONCE",1,IF(V965="PLATA",_xlpm.cPl,IF(V965="ORO",_xlpm.cO,IF(V965="PLATINO",_xlpm.cP,_xlpm.cD))))))</f>
        <v>24.506573482968111</v>
      </c>
      <c r="AG965">
        <f t="shared" si="370"/>
        <v>19.165994394442912</v>
      </c>
      <c r="AH965" t="str">
        <f t="shared" si="371"/>
        <v>VENTAS</v>
      </c>
      <c r="AI965" t="str">
        <f t="shared" si="368"/>
        <v>🎯 Para subir de categoría, eje VENTAS / CRECIMIENTO PERSONAL (F). Acción: metas semanales + activación comercial + seguimiento del asesor. ΔR aprox: 19,2</v>
      </c>
      <c r="AJ965" s="26">
        <f>_xlfn.LET(_xlpm.piso,AF965,_xlpm.corte,AE965,_xlpm.prog,IF(_xlpm.corte&lt;=_xlpm.piso,0,MAX(0,MIN(1,(U965-_xlpm.piso)/(_xlpm.corte-_xlpm.piso)))),_xlpm.orden,{"DIAMANTE";"PLATINO";"ORO";"PLATA";"BRONCE";"CERRADO"},_xlpm.act,IFERROR(MATCH(V965,_xlpm.orden,0),6),_xlpm.ant,IFERROR(MATCH(W965,_xlpm.orden,0),6),_xlpm.ajmov,IF(_xlpm.act&lt;_xlpm.ant,0.08,IF(_xlpm.act&gt;_xlpm.ant,-0.08,0)),_xlpm.ajcli,IF(T965&lt;0.95,-0.06,0),_xlpm.prob,MAX(0,MIN(1,_xlpm.prog+_xlpm.ajmov+_xlpm.ajcli)),IF(OR(V965="DIAMANTE",V965="CERRADO"),0,ROUND(_xlpm.prob,2)))</f>
        <v>0.33</v>
      </c>
      <c r="AK965" t="str">
        <f t="shared" si="372"/>
        <v>Faltan 19,2 puntos base para subir a la siguiente categoría</v>
      </c>
      <c r="AL965" t="str">
        <f t="shared" si="373"/>
        <v>Margen de seguridad: 15,7 puntos</v>
      </c>
      <c r="AM965">
        <f t="shared" si="374"/>
        <v>0.67</v>
      </c>
      <c r="AN965" t="str">
        <f t="shared" si="375"/>
        <v>PRIORIDAD MEDIA – seguimiento del asesor</v>
      </c>
      <c r="AO965">
        <f t="shared" si="376"/>
        <v>77.835083130354704</v>
      </c>
      <c r="AP965">
        <f t="shared" si="377"/>
        <v>0</v>
      </c>
      <c r="AQ965">
        <f t="shared" si="378"/>
        <v>0</v>
      </c>
      <c r="AR965">
        <f t="shared" si="379"/>
        <v>1.7999999999999998</v>
      </c>
      <c r="AS965">
        <f t="shared" si="380"/>
        <v>0</v>
      </c>
      <c r="AT965" t="str">
        <f t="shared" si="381"/>
        <v>VENTAS</v>
      </c>
      <c r="AU965">
        <f t="shared" si="382"/>
        <v>77.835083130354704</v>
      </c>
      <c r="AV965" t="str">
        <f t="shared" si="383"/>
        <v>Mayor retorno probable: VENTAS (+77,8 puntos finales potenciales).</v>
      </c>
    </row>
    <row r="966" spans="1:48" x14ac:dyDescent="0.3">
      <c r="A966" s="5">
        <v>51017714</v>
      </c>
      <c r="B966" s="5" t="str">
        <f>IFERROR(VLOOKUP(A966,VENTAS!$A$2:$B$1194,2,0),"")</f>
        <v>ROBERTS</v>
      </c>
      <c r="C966" s="5">
        <f>IFERROR(INDEX(VENTAS!$C$2:$E$1194,MATCH(A966,VENTAS!$A$2:$A$1194,0),MATCH(PARAMS_MODELO!$B$2,{"Q1","Q2","Q3"},0)),0)</f>
        <v>12277310.699999999</v>
      </c>
      <c r="D966" s="5">
        <f>IFERROR(INDEX(VENTAS!$F$2:$H$1194,MATCH(A966,VENTAS!$A$2:$A$1194,0),MATCH(PARAMS_MODELO!$B$2,{"Q1","Q2","Q3"},0)),0)</f>
        <v>12838733</v>
      </c>
      <c r="E966" s="8">
        <f t="shared" si="360"/>
        <v>4.5728442793257607E-2</v>
      </c>
      <c r="F966" s="12">
        <f>IF(E966&lt;=PARAMS_MODELO!$B$15,0,IF(E966&gt;=PARAMS_MODELO!$B$17,100,100*MIN(1,(E966-PARAMS_MODELO!$B$15)/(PARAMS_MODELO!$B$16-PARAMS_MODELO!$B$15))))*PARAMS_MODELO!$B$7</f>
        <v>16.004954977640161</v>
      </c>
      <c r="G966" s="5">
        <f t="shared" si="361"/>
        <v>561422.30000000075</v>
      </c>
      <c r="H966" s="5">
        <f>(PARAMS_MODELO!$B$20*(MAX(0,MIN(3,E966))/3)+PARAMS_MODELO!$B$21*(IFERROR(LN(1+MAX(0,G966))/LN(1+MAX(0,MAX($G$2:$G$1194))),0)))*100*PARAMS_MODELO!$B$8</f>
        <v>3.2632755810663294</v>
      </c>
      <c r="I966" s="8">
        <f>E966-PARAMS_MODELO!$B$5</f>
        <v>-0.13183439258226892</v>
      </c>
      <c r="J966" s="5">
        <f>IF(I966&lt;=PARAMS_MODELO!$B$18,0,IF(I966&gt;=PARAMS_MODELO!$B$19,100,100*(I966-PARAMS_MODELO!$B$18)/(PARAMS_MODELO!$B$19-PARAMS_MODELO!$B$18)))*PARAMS_MODELO!$B$9</f>
        <v>0</v>
      </c>
      <c r="K966" s="5">
        <f>IFERROR(CHOOSE(MATCH(PARAMS_MODELO!$B$2,{"Q1","Q2","Q3"},0),LOTO!$D966,LOTO!$F966,LOTO!$H966),0)</f>
        <v>717500</v>
      </c>
      <c r="L966" s="8">
        <f t="shared" si="362"/>
        <v>5.5885576871175686E-2</v>
      </c>
      <c r="M966" s="5">
        <f>MIN(100,IF(PARAMS_MODELO!$B$23=0,0,100*L966/PARAMS_MODELO!$B$23))*PARAMS_MODELO!$B$10</f>
        <v>15</v>
      </c>
      <c r="N966" s="5">
        <f>IFERROR(VLOOKUP(A966,COMPLIANCE!$A$2:$F$1996,6,0),100)</f>
        <v>99.98</v>
      </c>
      <c r="O966" s="5">
        <f>N966*PARAMS_MODELO!$B$11</f>
        <v>9.9980000000000011</v>
      </c>
      <c r="P966" s="5">
        <f>IFERROR(VLOOKUP(A966,DIGITAL!$A$2:$J$2000,7,0),100)</f>
        <v>96</v>
      </c>
      <c r="Q966" s="5">
        <f>IFERROR(P966,0)*PARAMS_MODELO!$B$12</f>
        <v>9.6000000000000014</v>
      </c>
      <c r="R966">
        <f t="shared" si="363"/>
        <v>53.866230558706498</v>
      </c>
      <c r="S966" s="5" t="str">
        <f>IFERROR(VLOOKUP(A966,CLIENTE!$A$2:$N$2000,13,0),1)</f>
        <v>Malo</v>
      </c>
      <c r="T966" s="5">
        <f>IFERROR(VLOOKUP(A966,CLIENTE!$A$2:$N$2000,14,0),1)</f>
        <v>0.7</v>
      </c>
      <c r="U966" s="5">
        <f t="shared" si="364"/>
        <v>37.706361391094546</v>
      </c>
      <c r="V966" s="5" t="str">
        <f>IF(U966&gt;=MAX(_xlfn.PERCENTILE.INC($U$2:$U$1194,PARAMS_MODELO!$B$50),PARAMS_MODELO!$B$45),"DIAMANTE",IF(U966&gt;=MAX(_xlfn.PERCENTILE.INC($U$2:$U$1194,PARAMS_MODELO!$B$51),PARAMS_MODELO!$B$46),"PLATINO",IF(U966&gt;=MAX(_xlfn.PERCENTILE.INC($U$2:$U$1194,PARAMS_MODELO!$B$52),PARAMS_MODELO!$B$47),"ORO",IF(U966&gt;=MAX(_xlfn.PERCENTILE.INC($U$2:$U$1194,PARAMS_MODELO!$B$53),PARAMS_MODELO!$B$48),"PLATA",IF(U966&gt;=1,"BRONCE","CERRADO")))))</f>
        <v>PLATA</v>
      </c>
      <c r="W966" s="5" t="str" cm="1">
        <f t="array" ref="W966">_xlfn.XLOOKUP(1, (HIST_SCORE!$B:$B=PARAMS_MODELO!$B$4) * (HIST_SCORE!$C:$C=A966), HIST_SCORE!$E:$E, "No encontrado")</f>
        <v>PLATA</v>
      </c>
      <c r="X966" s="5" t="str">
        <f>_xlfn.LET(_xlpm.act,MATCH(V966,{"DIAMANTE";"PLATINO";"ORO";"PLATA";"BRONCE";"CERRADO"},0),_xlpm.ant,MATCH(W966,{"DIAMANTE";"PLATINO";"ORO";"PLATA";"BRONCE";"CERRADO"},0),IF(_xlpm.act&lt;_xlpm.ant,"Mejora ↑",IF(_xlpm.act&gt;_xlpm.ant,"Baja ↓","Estable →")))</f>
        <v>Estable →</v>
      </c>
      <c r="Y966" s="5">
        <f>IFERROR(U966-SUMIFS(HIST_SCORE!$D:$D,HIST_SCORE!$B:$B,PARAMS_MODELO!$B$4,HIST_SCORE!$C:$C,$A966),"")</f>
        <v>13.487761391094548</v>
      </c>
      <c r="Z966" s="5" t="str">
        <f t="shared" si="365"/>
        <v>↑ Mejora</v>
      </c>
      <c r="AA966" s="5">
        <f t="shared" si="366"/>
        <v>797</v>
      </c>
      <c r="AB966" s="5">
        <f>IFERROR(SUMIFS(HIST_SCORE!$F:$F,HIST_SCORE!$B:$B,PARAMS_MODELO!$B$4,HIST_SCORE!$C:$C,$A966),"")</f>
        <v>948</v>
      </c>
      <c r="AC966" s="5">
        <f t="shared" si="367"/>
        <v>151</v>
      </c>
      <c r="AD966" t="str">
        <f t="shared" si="369"/>
        <v/>
      </c>
      <c r="AE9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966="CERRADO",1,IF(V966="BRONCE",_xlpm.cPl,IF(V966="PLATA",_xlpm.cO,IF(V966="ORO",_xlpm.cP,IF(V966="PLATINO",_xlpm.cD,999))))))</f>
        <v>63.199193273331495</v>
      </c>
      <c r="AF9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966="CERRADO",0,IF(V966="BRONCE",1,IF(V966="PLATA",_xlpm.cPl,IF(V966="ORO",_xlpm.cO,IF(V966="PLATINO",_xlpm.cP,_xlpm.cD))))))</f>
        <v>24.506573482968111</v>
      </c>
      <c r="AG966">
        <f t="shared" si="370"/>
        <v>36.418331260338498</v>
      </c>
      <c r="AH966" t="str">
        <f t="shared" si="371"/>
        <v>VENTAS</v>
      </c>
      <c r="AI966" t="str">
        <f t="shared" si="368"/>
        <v>🎯 Para subir de categoría, eje VENTAS / DIFERENCIAL vs LOTBA (J). Acción: metas semanales + activación comercial + seguimiento del asesor. ΔR aprox: 36,4</v>
      </c>
      <c r="AJ966" s="26">
        <f>_xlfn.LET(_xlpm.piso,AF966,_xlpm.corte,AE966,_xlpm.prog,IF(_xlpm.corte&lt;=_xlpm.piso,0,MAX(0,MIN(1,(U966-_xlpm.piso)/(_xlpm.corte-_xlpm.piso)))),_xlpm.orden,{"DIAMANTE";"PLATINO";"ORO";"PLATA";"BRONCE";"CERRADO"},_xlpm.act,IFERROR(MATCH(V966,_xlpm.orden,0),6),_xlpm.ant,IFERROR(MATCH(W966,_xlpm.orden,0),6),_xlpm.ajmov,IF(_xlpm.act&lt;_xlpm.ant,0.08,IF(_xlpm.act&gt;_xlpm.ant,-0.08,0)),_xlpm.ajcli,IF(T966&lt;0.95,-0.06,0),_xlpm.prob,MAX(0,MIN(1,_xlpm.prog+_xlpm.ajmov+_xlpm.ajcli)),IF(OR(V966="DIAMANTE",V966="CERRADO"),0,ROUND(_xlpm.prob,2)))</f>
        <v>0.28000000000000003</v>
      </c>
      <c r="AK966" t="str">
        <f t="shared" si="372"/>
        <v>Faltan 36,4 puntos base para subir a la siguiente categoría</v>
      </c>
      <c r="AL966" t="str">
        <f t="shared" si="373"/>
        <v>Margen de seguridad: 13,2 puntos</v>
      </c>
      <c r="AM966">
        <f t="shared" si="374"/>
        <v>0.89</v>
      </c>
      <c r="AN966" t="str">
        <f t="shared" si="375"/>
        <v>PRIORIDAD ALTA – requiere intervención inmediata</v>
      </c>
      <c r="AO966">
        <f t="shared" si="376"/>
        <v>31.916037101612364</v>
      </c>
      <c r="AP966">
        <f t="shared" si="377"/>
        <v>0</v>
      </c>
      <c r="AQ966">
        <f t="shared" si="378"/>
        <v>1.3999999999992239E-3</v>
      </c>
      <c r="AR966">
        <f t="shared" si="379"/>
        <v>0.27999999999999897</v>
      </c>
      <c r="AS966">
        <f t="shared" si="380"/>
        <v>16.159869167611951</v>
      </c>
      <c r="AT966" t="str">
        <f t="shared" si="381"/>
        <v>VENTAS</v>
      </c>
      <c r="AU966">
        <f t="shared" si="382"/>
        <v>31.916037101612364</v>
      </c>
      <c r="AV966" t="str">
        <f t="shared" si="383"/>
        <v>Mayor retorno probable: VENTAS (+31,9 puntos finales potenciales).</v>
      </c>
    </row>
    <row r="967" spans="1:48" x14ac:dyDescent="0.3">
      <c r="A967" s="5">
        <v>51031997</v>
      </c>
      <c r="B967" s="5" t="str">
        <f>IFERROR(VLOOKUP(A967,VENTAS!$A$2:$B$1194,2,0),"")</f>
        <v>PUGH</v>
      </c>
      <c r="C967" s="5">
        <f>IFERROR(INDEX(VENTAS!$C$2:$E$1194,MATCH(A967,VENTAS!$A$2:$A$1194,0),MATCH(PARAMS_MODELO!$B$2,{"Q1","Q2","Q3"},0)),0)</f>
        <v>25056865.559999999</v>
      </c>
      <c r="D967" s="5">
        <f>IFERROR(INDEX(VENTAS!$F$2:$H$1194,MATCH(A967,VENTAS!$A$2:$A$1194,0),MATCH(PARAMS_MODELO!$B$2,{"Q1","Q2","Q3"},0)),0)</f>
        <v>12596951</v>
      </c>
      <c r="E967" s="8">
        <f t="shared" si="360"/>
        <v>-0.49726549117502628</v>
      </c>
      <c r="F967" s="12">
        <f>IF(E967&lt;=PARAMS_MODELO!$B$15,0,IF(E967&gt;=PARAMS_MODELO!$B$17,100,100*MIN(1,(E967-PARAMS_MODELO!$B$15)/(PARAMS_MODELO!$B$16-PARAMS_MODELO!$B$15))))*PARAMS_MODELO!$B$7</f>
        <v>0</v>
      </c>
      <c r="G967" s="5">
        <f t="shared" si="361"/>
        <v>0</v>
      </c>
      <c r="H967" s="5">
        <f>(PARAMS_MODELO!$B$20*(MAX(0,MIN(3,E967))/3)+PARAMS_MODELO!$B$21*(IFERROR(LN(1+MAX(0,G967))/LN(1+MAX(0,MAX($G$2:$G$1194))),0)))*100*PARAMS_MODELO!$B$8</f>
        <v>0</v>
      </c>
      <c r="I967" s="8">
        <f>E967-PARAMS_MODELO!$B$5</f>
        <v>-0.6748283265505528</v>
      </c>
      <c r="J967" s="5">
        <f>IF(I967&lt;=PARAMS_MODELO!$B$18,0,IF(I967&gt;=PARAMS_MODELO!$B$19,100,100*(I967-PARAMS_MODELO!$B$18)/(PARAMS_MODELO!$B$19-PARAMS_MODELO!$B$18)))*PARAMS_MODELO!$B$9</f>
        <v>0</v>
      </c>
      <c r="K967" s="5">
        <f>IFERROR(CHOOSE(MATCH(PARAMS_MODELO!$B$2,{"Q1","Q2","Q3"},0),LOTO!$D967,LOTO!$F967,LOTO!$H967),0)</f>
        <v>687500</v>
      </c>
      <c r="L967" s="8">
        <f t="shared" si="362"/>
        <v>5.4576698758294767E-2</v>
      </c>
      <c r="M967" s="5">
        <f>MIN(100,IF(PARAMS_MODELO!$B$23=0,0,100*L967/PARAMS_MODELO!$B$23))*PARAMS_MODELO!$B$10</f>
        <v>15</v>
      </c>
      <c r="N967" s="5">
        <f>IFERROR(VLOOKUP(A967,COMPLIANCE!$A$2:$F$1996,6,0),100)</f>
        <v>99.96</v>
      </c>
      <c r="O967" s="5">
        <f>N967*PARAMS_MODELO!$B$11</f>
        <v>9.9960000000000004</v>
      </c>
      <c r="P967" s="5">
        <f>IFERROR(VLOOKUP(A967,DIGITAL!$A$2:$J$2000,7,0),100)</f>
        <v>28</v>
      </c>
      <c r="Q967" s="5">
        <f>IFERROR(P967,0)*PARAMS_MODELO!$B$12</f>
        <v>2.8000000000000003</v>
      </c>
      <c r="R967">
        <f t="shared" si="363"/>
        <v>27.796000000000003</v>
      </c>
      <c r="S967" s="5" t="str">
        <f>IFERROR(VLOOKUP(A967,CLIENTE!$A$2:$N$2000,13,0),1)</f>
        <v>Regular</v>
      </c>
      <c r="T967" s="5">
        <f>IFERROR(VLOOKUP(A967,CLIENTE!$A$2:$N$2000,14,0),1)</f>
        <v>1</v>
      </c>
      <c r="U967" s="5">
        <f t="shared" si="364"/>
        <v>27.796000000000003</v>
      </c>
      <c r="V967" s="5" t="str">
        <f>IF(U967&gt;=MAX(_xlfn.PERCENTILE.INC($U$2:$U$1194,PARAMS_MODELO!$B$50),PARAMS_MODELO!$B$45),"DIAMANTE",IF(U967&gt;=MAX(_xlfn.PERCENTILE.INC($U$2:$U$1194,PARAMS_MODELO!$B$51),PARAMS_MODELO!$B$46),"PLATINO",IF(U967&gt;=MAX(_xlfn.PERCENTILE.INC($U$2:$U$1194,PARAMS_MODELO!$B$52),PARAMS_MODELO!$B$47),"ORO",IF(U967&gt;=MAX(_xlfn.PERCENTILE.INC($U$2:$U$1194,PARAMS_MODELO!$B$53),PARAMS_MODELO!$B$48),"PLATA",IF(U967&gt;=1,"BRONCE","CERRADO")))))</f>
        <v>PLATA</v>
      </c>
      <c r="W967" s="5" t="str" cm="1">
        <f t="array" ref="W967">_xlfn.XLOOKUP(1, (HIST_SCORE!$B:$B=PARAMS_MODELO!$B$4) * (HIST_SCORE!$C:$C=A967), HIST_SCORE!$E:$E, "No encontrado")</f>
        <v>BRONCE</v>
      </c>
      <c r="X967" s="5" t="str">
        <f>_xlfn.LET(_xlpm.act,MATCH(V967,{"DIAMANTE";"PLATINO";"ORO";"PLATA";"BRONCE";"CERRADO"},0),_xlpm.ant,MATCH(W967,{"DIAMANTE";"PLATINO";"ORO";"PLATA";"BRONCE";"CERRADO"},0),IF(_xlpm.act&lt;_xlpm.ant,"Mejora ↑",IF(_xlpm.act&gt;_xlpm.ant,"Baja ↓","Estable →")))</f>
        <v>Mejora ↑</v>
      </c>
      <c r="Y967" s="5">
        <f>IFERROR(U967-SUMIFS(HIST_SCORE!$D:$D,HIST_SCORE!$B:$B,PARAMS_MODELO!$B$4,HIST_SCORE!$C:$C,$A967),"")</f>
        <v>15.000000000000002</v>
      </c>
      <c r="Z967" s="5" t="str">
        <f t="shared" si="365"/>
        <v>↑ Mejora</v>
      </c>
      <c r="AA967" s="5">
        <f t="shared" si="366"/>
        <v>887</v>
      </c>
      <c r="AB967" s="5">
        <f>IFERROR(SUMIFS(HIST_SCORE!$F:$F,HIST_SCORE!$B:$B,PARAMS_MODELO!$B$4,HIST_SCORE!$C:$C,$A967),"")</f>
        <v>1117</v>
      </c>
      <c r="AC967" s="5">
        <f t="shared" si="367"/>
        <v>230</v>
      </c>
      <c r="AD967" t="str">
        <f t="shared" si="369"/>
        <v/>
      </c>
      <c r="AE9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967="CERRADO",1,IF(V967="BRONCE",_xlpm.cPl,IF(V967="PLATA",_xlpm.cO,IF(V967="ORO",_xlpm.cP,IF(V967="PLATINO",_xlpm.cD,999))))))</f>
        <v>63.199193273331495</v>
      </c>
      <c r="AF9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967="CERRADO",0,IF(V967="BRONCE",1,IF(V967="PLATA",_xlpm.cPl,IF(V967="ORO",_xlpm.cO,IF(V967="PLATINO",_xlpm.cP,_xlpm.cD))))))</f>
        <v>24.506573482968111</v>
      </c>
      <c r="AG967">
        <f t="shared" si="370"/>
        <v>35.403193273331496</v>
      </c>
      <c r="AH967" t="str">
        <f t="shared" si="371"/>
        <v>VENTAS</v>
      </c>
      <c r="AI967" t="str">
        <f t="shared" si="368"/>
        <v>🎯 Para subir de categoría, eje VENTAS / CRECIMIENTO PERSONAL (F). Acción: metas semanales + activación comercial + seguimiento del asesor. ΔR aprox: 35,4</v>
      </c>
      <c r="AJ967" s="26">
        <f>_xlfn.LET(_xlpm.piso,AF967,_xlpm.corte,AE967,_xlpm.prog,IF(_xlpm.corte&lt;=_xlpm.piso,0,MAX(0,MIN(1,(U967-_xlpm.piso)/(_xlpm.corte-_xlpm.piso)))),_xlpm.orden,{"DIAMANTE";"PLATINO";"ORO";"PLATA";"BRONCE";"CERRADO"},_xlpm.act,IFERROR(MATCH(V967,_xlpm.orden,0),6),_xlpm.ant,IFERROR(MATCH(W967,_xlpm.orden,0),6),_xlpm.ajmov,IF(_xlpm.act&lt;_xlpm.ant,0.08,IF(_xlpm.act&gt;_xlpm.ant,-0.08,0)),_xlpm.ajcli,IF(T967&lt;0.95,-0.06,0),_xlpm.prob,MAX(0,MIN(1,_xlpm.prog+_xlpm.ajmov+_xlpm.ajcli)),IF(OR(V967="DIAMANTE",V967="CERRADO"),0,ROUND(_xlpm.prob,2)))</f>
        <v>0.17</v>
      </c>
      <c r="AK967" t="str">
        <f t="shared" si="372"/>
        <v>Faltan 35,4 puntos base para subir a la siguiente categoría</v>
      </c>
      <c r="AL967" t="str">
        <f t="shared" si="373"/>
        <v>Margen de seguridad: 3,3 puntos</v>
      </c>
      <c r="AM967">
        <f t="shared" si="374"/>
        <v>0.73</v>
      </c>
      <c r="AN967" t="str">
        <f t="shared" si="375"/>
        <v>PRIORIDAD ALTA – requiere intervención inmediata</v>
      </c>
      <c r="AO967">
        <f t="shared" si="376"/>
        <v>64.862569275295584</v>
      </c>
      <c r="AP967">
        <f t="shared" si="377"/>
        <v>0</v>
      </c>
      <c r="AQ967">
        <f t="shared" si="378"/>
        <v>3.9999999999995595E-3</v>
      </c>
      <c r="AR967">
        <f t="shared" si="379"/>
        <v>7.1999999999999993</v>
      </c>
      <c r="AS967">
        <f t="shared" si="380"/>
        <v>0</v>
      </c>
      <c r="AT967" t="str">
        <f t="shared" si="381"/>
        <v>VENTAS</v>
      </c>
      <c r="AU967">
        <f t="shared" si="382"/>
        <v>64.862569275295584</v>
      </c>
      <c r="AV967" t="str">
        <f t="shared" si="383"/>
        <v>Mayor retorno probable: VENTAS (+64,9 puntos finales potenciales).</v>
      </c>
    </row>
    <row r="968" spans="1:48" x14ac:dyDescent="0.3">
      <c r="A968" s="5">
        <v>51039181</v>
      </c>
      <c r="B968" s="5" t="str">
        <f>IFERROR(VLOOKUP(A968,VENTAS!$A$2:$B$1194,2,0),"")</f>
        <v>METTLER</v>
      </c>
      <c r="C968" s="5">
        <f>IFERROR(INDEX(VENTAS!$C$2:$E$1194,MATCH(A968,VENTAS!$A$2:$A$1194,0),MATCH(PARAMS_MODELO!$B$2,{"Q1","Q2","Q3"},0)),0)</f>
        <v>6910007.7200000007</v>
      </c>
      <c r="D968" s="5">
        <f>IFERROR(INDEX(VENTAS!$F$2:$H$1194,MATCH(A968,VENTAS!$A$2:$A$1194,0),MATCH(PARAMS_MODELO!$B$2,{"Q1","Q2","Q3"},0)),0)</f>
        <v>12481088</v>
      </c>
      <c r="E968" s="8">
        <f t="shared" si="360"/>
        <v>0.80623358261602629</v>
      </c>
      <c r="F968" s="12">
        <f>IF(E968&lt;=PARAMS_MODELO!$B$15,0,IF(E968&gt;=PARAMS_MODELO!$B$17,100,100*MIN(1,(E968-PARAMS_MODELO!$B$15)/(PARAMS_MODELO!$B$16-PARAMS_MODELO!$B$15))))*PARAMS_MODELO!$B$7</f>
        <v>35</v>
      </c>
      <c r="G968" s="5">
        <f t="shared" si="361"/>
        <v>5571080.2799999993</v>
      </c>
      <c r="H968" s="5">
        <f>(PARAMS_MODELO!$B$20*(MAX(0,MIN(3,E968))/3)+PARAMS_MODELO!$B$21*(IFERROR(LN(1+MAX(0,G968))/LN(1+MAX(0,MAX($G$2:$G$1194))),0)))*100*PARAMS_MODELO!$B$8</f>
        <v>6.4629929660754177</v>
      </c>
      <c r="I968" s="8">
        <f>E968-PARAMS_MODELO!$B$5</f>
        <v>0.62867074724049976</v>
      </c>
      <c r="J968" s="5">
        <f>IF(I968&lt;=PARAMS_MODELO!$B$18,0,IF(I968&gt;=PARAMS_MODELO!$B$19,100,100*(I968-PARAMS_MODELO!$B$18)/(PARAMS_MODELO!$B$19-PARAMS_MODELO!$B$18)))*PARAMS_MODELO!$B$9</f>
        <v>15</v>
      </c>
      <c r="K968" s="5">
        <f>IFERROR(CHOOSE(MATCH(PARAMS_MODELO!$B$2,{"Q1","Q2","Q3"},0),LOTO!$D968,LOTO!$F968,LOTO!$H968),0)</f>
        <v>675000</v>
      </c>
      <c r="L968" s="8">
        <f t="shared" si="362"/>
        <v>5.4081823635888156E-2</v>
      </c>
      <c r="M968" s="5">
        <f>MIN(100,IF(PARAMS_MODELO!$B$23=0,0,100*L968/PARAMS_MODELO!$B$23))*PARAMS_MODELO!$B$10</f>
        <v>15</v>
      </c>
      <c r="N968" s="5">
        <f>IFERROR(VLOOKUP(A968,COMPLIANCE!$A$2:$F$1996,6,0),100)</f>
        <v>100</v>
      </c>
      <c r="O968" s="5">
        <f>N968*PARAMS_MODELO!$B$11</f>
        <v>10</v>
      </c>
      <c r="P968" s="5">
        <f>IFERROR(VLOOKUP(A968,DIGITAL!$A$2:$J$2000,7,0),100)</f>
        <v>44</v>
      </c>
      <c r="Q968" s="5">
        <f>IFERROR(P968,0)*PARAMS_MODELO!$B$12</f>
        <v>4.4000000000000004</v>
      </c>
      <c r="R968">
        <f t="shared" si="363"/>
        <v>85.862992966075424</v>
      </c>
      <c r="S968" s="5" t="str">
        <f>IFERROR(VLOOKUP(A968,CLIENTE!$A$2:$N$2000,13,0),1)</f>
        <v>Malo</v>
      </c>
      <c r="T968" s="5">
        <f>IFERROR(VLOOKUP(A968,CLIENTE!$A$2:$N$2000,14,0),1)</f>
        <v>0.7</v>
      </c>
      <c r="U968" s="5">
        <f t="shared" si="364"/>
        <v>60.10409507625279</v>
      </c>
      <c r="V968" s="5" t="str">
        <f>IF(U968&gt;=MAX(_xlfn.PERCENTILE.INC($U$2:$U$1194,PARAMS_MODELO!$B$50),PARAMS_MODELO!$B$45),"DIAMANTE",IF(U968&gt;=MAX(_xlfn.PERCENTILE.INC($U$2:$U$1194,PARAMS_MODELO!$B$51),PARAMS_MODELO!$B$46),"PLATINO",IF(U968&gt;=MAX(_xlfn.PERCENTILE.INC($U$2:$U$1194,PARAMS_MODELO!$B$52),PARAMS_MODELO!$B$47),"ORO",IF(U968&gt;=MAX(_xlfn.PERCENTILE.INC($U$2:$U$1194,PARAMS_MODELO!$B$53),PARAMS_MODELO!$B$48),"PLATA",IF(U968&gt;=1,"BRONCE","CERRADO")))))</f>
        <v>PLATA</v>
      </c>
      <c r="W968" s="5" t="str" cm="1">
        <f t="array" ref="W968">_xlfn.XLOOKUP(1, (HIST_SCORE!$B:$B=PARAMS_MODELO!$B$4) * (HIST_SCORE!$C:$C=A968), HIST_SCORE!$E:$E, "No encontrado")</f>
        <v>PLATA</v>
      </c>
      <c r="X968" s="5" t="str">
        <f>_xlfn.LET(_xlpm.act,MATCH(V968,{"DIAMANTE";"PLATINO";"ORO";"PLATA";"BRONCE";"CERRADO"},0),_xlpm.ant,MATCH(W968,{"DIAMANTE";"PLATINO";"ORO";"PLATA";"BRONCE";"CERRADO"},0),IF(_xlpm.act&lt;_xlpm.ant,"Mejora ↑",IF(_xlpm.act&gt;_xlpm.ant,"Baja ↓","Estable →")))</f>
        <v>Estable →</v>
      </c>
      <c r="Y968" s="5">
        <f>IFERROR(U968-SUMIFS(HIST_SCORE!$D:$D,HIST_SCORE!$B:$B,PARAMS_MODELO!$B$4,HIST_SCORE!$C:$C,$A968),"")</f>
        <v>-0.35402994040161673</v>
      </c>
      <c r="Z968" s="5" t="str">
        <f t="shared" si="365"/>
        <v>→ Estable</v>
      </c>
      <c r="AA968" s="5">
        <f t="shared" si="366"/>
        <v>619</v>
      </c>
      <c r="AB968" s="5">
        <f>IFERROR(SUMIFS(HIST_SCORE!$F:$F,HIST_SCORE!$B:$B,PARAMS_MODELO!$B$4,HIST_SCORE!$C:$C,$A968),"")</f>
        <v>641</v>
      </c>
      <c r="AC968" s="5">
        <f t="shared" si="367"/>
        <v>22</v>
      </c>
      <c r="AD968" t="str">
        <f t="shared" si="369"/>
        <v/>
      </c>
      <c r="AE9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968="CERRADO",1,IF(V968="BRONCE",_xlpm.cPl,IF(V968="PLATA",_xlpm.cO,IF(V968="ORO",_xlpm.cP,IF(V968="PLATINO",_xlpm.cD,999))))))</f>
        <v>63.199193273331495</v>
      </c>
      <c r="AF9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968="CERRADO",0,IF(V968="BRONCE",1,IF(V968="PLATA",_xlpm.cPl,IF(V968="ORO",_xlpm.cO,IF(V968="PLATINO",_xlpm.cP,_xlpm.cD))))))</f>
        <v>24.506573482968111</v>
      </c>
      <c r="AG968">
        <f t="shared" si="370"/>
        <v>4.4215688529695711</v>
      </c>
      <c r="AH968" t="str">
        <f t="shared" si="371"/>
        <v>CLIENTE</v>
      </c>
      <c r="AI968" t="str">
        <f t="shared" si="368"/>
        <v>🎯 Para subir de categoría, la eje con mayor impacto probable es CLIENTE (coef T). Acción: reducir quejas, mejorar incógnito y empujar reseñas. ΔR aprox: 4,4</v>
      </c>
      <c r="AJ968" s="26">
        <f>_xlfn.LET(_xlpm.piso,AF968,_xlpm.corte,AE968,_xlpm.prog,IF(_xlpm.corte&lt;=_xlpm.piso,0,MAX(0,MIN(1,(U968-_xlpm.piso)/(_xlpm.corte-_xlpm.piso)))),_xlpm.orden,{"DIAMANTE";"PLATINO";"ORO";"PLATA";"BRONCE";"CERRADO"},_xlpm.act,IFERROR(MATCH(V968,_xlpm.orden,0),6),_xlpm.ant,IFERROR(MATCH(W968,_xlpm.orden,0),6),_xlpm.ajmov,IF(_xlpm.act&lt;_xlpm.ant,0.08,IF(_xlpm.act&gt;_xlpm.ant,-0.08,0)),_xlpm.ajcli,IF(T968&lt;0.95,-0.06,0),_xlpm.prob,MAX(0,MIN(1,_xlpm.prog+_xlpm.ajmov+_xlpm.ajcli)),IF(OR(V968="DIAMANTE",V968="CERRADO"),0,ROUND(_xlpm.prob,2)))</f>
        <v>0.86</v>
      </c>
      <c r="AK968" t="str">
        <f t="shared" si="372"/>
        <v>Faltan 4,4 puntos base para subir a la siguiente categoría</v>
      </c>
      <c r="AL968" t="str">
        <f t="shared" si="373"/>
        <v>Margen de seguridad: 35,6 puntos</v>
      </c>
      <c r="AM968">
        <f t="shared" si="374"/>
        <v>0.43</v>
      </c>
      <c r="AN968" t="str">
        <f t="shared" si="375"/>
        <v>PRIORIDAD MEDIA – seguimiento del asesor</v>
      </c>
      <c r="AO968">
        <f t="shared" si="376"/>
        <v>5.8797034164541158</v>
      </c>
      <c r="AP968">
        <f t="shared" si="377"/>
        <v>0</v>
      </c>
      <c r="AQ968">
        <f t="shared" si="378"/>
        <v>0</v>
      </c>
      <c r="AR968">
        <f t="shared" si="379"/>
        <v>3.9199999999999995</v>
      </c>
      <c r="AS968">
        <f t="shared" si="380"/>
        <v>25.758897889822631</v>
      </c>
      <c r="AT968" t="str">
        <f t="shared" si="381"/>
        <v>CLIENTE</v>
      </c>
      <c r="AU968">
        <f t="shared" si="382"/>
        <v>25.758897889822631</v>
      </c>
      <c r="AV968" t="str">
        <f t="shared" si="383"/>
        <v>Mayor retorno probable: CLIENTE (+25,8 puntos finales potenciales).</v>
      </c>
    </row>
    <row r="969" spans="1:48" x14ac:dyDescent="0.3">
      <c r="A969" s="5">
        <v>51057121</v>
      </c>
      <c r="B969" s="5" t="str">
        <f>IFERROR(VLOOKUP(A969,VENTAS!$A$2:$B$1194,2,0),"")</f>
        <v>ROBERTS</v>
      </c>
      <c r="C969" s="5">
        <f>IFERROR(INDEX(VENTAS!$C$2:$E$1194,MATCH(A969,VENTAS!$A$2:$A$1194,0),MATCH(PARAMS_MODELO!$B$2,{"Q1","Q2","Q3"},0)),0)</f>
        <v>8371016.3999999994</v>
      </c>
      <c r="D969" s="5">
        <f>IFERROR(INDEX(VENTAS!$F$2:$H$1194,MATCH(A969,VENTAS!$A$2:$A$1194,0),MATCH(PARAMS_MODELO!$B$2,{"Q1","Q2","Q3"},0)),0)</f>
        <v>12209087</v>
      </c>
      <c r="E969" s="8">
        <f t="shared" si="360"/>
        <v>0.45849517150629415</v>
      </c>
      <c r="F969" s="12">
        <f>IF(E969&lt;=PARAMS_MODELO!$B$15,0,IF(E969&gt;=PARAMS_MODELO!$B$17,100,100*MIN(1,(E969-PARAMS_MODELO!$B$15)/(PARAMS_MODELO!$B$16-PARAMS_MODELO!$B$15))))*PARAMS_MODELO!$B$7</f>
        <v>35</v>
      </c>
      <c r="G969" s="5">
        <f t="shared" si="361"/>
        <v>3838070.6000000006</v>
      </c>
      <c r="H969" s="5">
        <f>(PARAMS_MODELO!$B$20*(MAX(0,MIN(3,E969))/3)+PARAMS_MODELO!$B$21*(IFERROR(LN(1+MAX(0,G969))/LN(1+MAX(0,MAX($G$2:$G$1194))),0)))*100*PARAMS_MODELO!$B$8</f>
        <v>5.15856140629917</v>
      </c>
      <c r="I969" s="8">
        <f>E969-PARAMS_MODELO!$B$5</f>
        <v>0.28093233613076762</v>
      </c>
      <c r="J969" s="5">
        <f>IF(I969&lt;=PARAMS_MODELO!$B$18,0,IF(I969&gt;=PARAMS_MODELO!$B$19,100,100*(I969-PARAMS_MODELO!$B$18)/(PARAMS_MODELO!$B$19-PARAMS_MODELO!$B$18)))*PARAMS_MODELO!$B$9</f>
        <v>15</v>
      </c>
      <c r="K969" s="5">
        <f>IFERROR(CHOOSE(MATCH(PARAMS_MODELO!$B$2,{"Q1","Q2","Q3"},0),LOTO!$D969,LOTO!$F969,LOTO!$H969),0)</f>
        <v>672500</v>
      </c>
      <c r="L969" s="8">
        <f t="shared" si="362"/>
        <v>5.5081923816252598E-2</v>
      </c>
      <c r="M969" s="5">
        <f>MIN(100,IF(PARAMS_MODELO!$B$23=0,0,100*L969/PARAMS_MODELO!$B$23))*PARAMS_MODELO!$B$10</f>
        <v>15</v>
      </c>
      <c r="N969" s="5">
        <f>IFERROR(VLOOKUP(A969,COMPLIANCE!$A$2:$F$1996,6,0),100)</f>
        <v>99.98</v>
      </c>
      <c r="O969" s="5">
        <f>N969*PARAMS_MODELO!$B$11</f>
        <v>9.9980000000000011</v>
      </c>
      <c r="P969" s="5">
        <f>IFERROR(VLOOKUP(A969,DIGITAL!$A$2:$J$2000,7,0),100)</f>
        <v>62</v>
      </c>
      <c r="Q969" s="5">
        <f>IFERROR(P969,0)*PARAMS_MODELO!$B$12</f>
        <v>6.2</v>
      </c>
      <c r="R969">
        <f t="shared" si="363"/>
        <v>86.356561406299178</v>
      </c>
      <c r="S969" s="5" t="str">
        <f>IFERROR(VLOOKUP(A969,CLIENTE!$A$2:$N$2000,13,0),1)</f>
        <v>Bueno</v>
      </c>
      <c r="T969" s="5">
        <f>IFERROR(VLOOKUP(A969,CLIENTE!$A$2:$N$2000,14,0),1)</f>
        <v>1.1000000000000001</v>
      </c>
      <c r="U969" s="5">
        <f t="shared" si="364"/>
        <v>94.992217546929098</v>
      </c>
      <c r="V969" s="5" t="str">
        <f>IF(U969&gt;=MAX(_xlfn.PERCENTILE.INC($U$2:$U$1194,PARAMS_MODELO!$B$50),PARAMS_MODELO!$B$45),"DIAMANTE",IF(U969&gt;=MAX(_xlfn.PERCENTILE.INC($U$2:$U$1194,PARAMS_MODELO!$B$51),PARAMS_MODELO!$B$46),"PLATINO",IF(U969&gt;=MAX(_xlfn.PERCENTILE.INC($U$2:$U$1194,PARAMS_MODELO!$B$52),PARAMS_MODELO!$B$47),"ORO",IF(U969&gt;=MAX(_xlfn.PERCENTILE.INC($U$2:$U$1194,PARAMS_MODELO!$B$53),PARAMS_MODELO!$B$48),"PLATA",IF(U969&gt;=1,"BRONCE","CERRADO")))))</f>
        <v>PLATINO</v>
      </c>
      <c r="W969" s="5" t="str" cm="1">
        <f t="array" ref="W969">_xlfn.XLOOKUP(1, (HIST_SCORE!$B:$B=PARAMS_MODELO!$B$4) * (HIST_SCORE!$C:$C=A969), HIST_SCORE!$E:$E, "No encontrado")</f>
        <v>PLATA</v>
      </c>
      <c r="X969" s="5" t="str">
        <f>_xlfn.LET(_xlpm.act,MATCH(V969,{"DIAMANTE";"PLATINO";"ORO";"PLATA";"BRONCE";"CERRADO"},0),_xlpm.ant,MATCH(W969,{"DIAMANTE";"PLATINO";"ORO";"PLATA";"BRONCE";"CERRADO"},0),IF(_xlpm.act&lt;_xlpm.ant,"Mejora ↑",IF(_xlpm.act&gt;_xlpm.ant,"Baja ↓","Estable →")))</f>
        <v>Mejora ↑</v>
      </c>
      <c r="Y969" s="5">
        <f>IFERROR(U969-SUMIFS(HIST_SCORE!$D:$D,HIST_SCORE!$B:$B,PARAMS_MODELO!$B$4,HIST_SCORE!$C:$C,$A969),"")</f>
        <v>64.874441252337959</v>
      </c>
      <c r="Z969" s="5" t="str">
        <f t="shared" si="365"/>
        <v>↑ Mejora</v>
      </c>
      <c r="AA969" s="5">
        <f t="shared" si="366"/>
        <v>70</v>
      </c>
      <c r="AB969" s="5">
        <f>IFERROR(SUMIFS(HIST_SCORE!$F:$F,HIST_SCORE!$B:$B,PARAMS_MODELO!$B$4,HIST_SCORE!$C:$C,$A969),"")</f>
        <v>908</v>
      </c>
      <c r="AC969" s="5">
        <f t="shared" si="367"/>
        <v>838</v>
      </c>
      <c r="AD969" t="str">
        <f t="shared" si="369"/>
        <v/>
      </c>
      <c r="AE9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969="CERRADO",1,IF(V969="BRONCE",_xlpm.cPl,IF(V969="PLATA",_xlpm.cO,IF(V969="ORO",_xlpm.cP,IF(V969="PLATINO",_xlpm.cD,999))))))</f>
        <v>96.054919694466676</v>
      </c>
      <c r="AF9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969="CERRADO",0,IF(V969="BRONCE",1,IF(V969="PLATA",_xlpm.cPl,IF(V969="ORO",_xlpm.cO,IF(V969="PLATINO",_xlpm.cP,_xlpm.cD))))))</f>
        <v>86.439123873763251</v>
      </c>
      <c r="AG969">
        <f t="shared" si="370"/>
        <v>0.96609286139779726</v>
      </c>
      <c r="AH969" t="str">
        <f t="shared" si="371"/>
        <v>VENTAS</v>
      </c>
      <c r="AI969" t="str">
        <f t="shared" si="368"/>
        <v>🎯 Para subir de categoría, eje VENTAS / IMPACTO ABSOLUTO (H). Acción: metas semanales + activación comercial + seguimiento del asesor. ΔR aprox: 1,0</v>
      </c>
      <c r="AJ969" s="26">
        <f>_xlfn.LET(_xlpm.piso,AF969,_xlpm.corte,AE969,_xlpm.prog,IF(_xlpm.corte&lt;=_xlpm.piso,0,MAX(0,MIN(1,(U969-_xlpm.piso)/(_xlpm.corte-_xlpm.piso)))),_xlpm.orden,{"DIAMANTE";"PLATINO";"ORO";"PLATA";"BRONCE";"CERRADO"},_xlpm.act,IFERROR(MATCH(V969,_xlpm.orden,0),6),_xlpm.ant,IFERROR(MATCH(W969,_xlpm.orden,0),6),_xlpm.ajmov,IF(_xlpm.act&lt;_xlpm.ant,0.08,IF(_xlpm.act&gt;_xlpm.ant,-0.08,0)),_xlpm.ajcli,IF(T969&lt;0.95,-0.06,0),_xlpm.prob,MAX(0,MIN(1,_xlpm.prog+_xlpm.ajmov+_xlpm.ajcli)),IF(OR(V969="DIAMANTE",V969="CERRADO"),0,ROUND(_xlpm.prob,2)))</f>
        <v>0.97</v>
      </c>
      <c r="AK969" t="str">
        <f t="shared" si="372"/>
        <v>Faltan 1,0 puntos base para subir a la siguiente categoría</v>
      </c>
      <c r="AL969" t="str">
        <f t="shared" si="373"/>
        <v>Margen de seguridad: 8,6 puntos</v>
      </c>
      <c r="AM969">
        <f t="shared" si="374"/>
        <v>0.05</v>
      </c>
      <c r="AN969" t="str">
        <f t="shared" si="375"/>
        <v>PRIORIDAD BAJA – control normal</v>
      </c>
      <c r="AO969">
        <f t="shared" si="376"/>
        <v>10.674408655896055</v>
      </c>
      <c r="AP969">
        <f t="shared" si="377"/>
        <v>0</v>
      </c>
      <c r="AQ969">
        <f t="shared" si="378"/>
        <v>2.1999999999987811E-3</v>
      </c>
      <c r="AR969">
        <f t="shared" si="379"/>
        <v>4.18</v>
      </c>
      <c r="AS969">
        <f t="shared" si="380"/>
        <v>0</v>
      </c>
      <c r="AT969" t="str">
        <f t="shared" si="381"/>
        <v>VENTAS</v>
      </c>
      <c r="AU969">
        <f t="shared" si="382"/>
        <v>10.674408655896055</v>
      </c>
      <c r="AV969" t="str">
        <f t="shared" si="383"/>
        <v>Mayor retorno probable: VENTAS (+10,7 puntos finales potenciales).</v>
      </c>
    </row>
    <row r="970" spans="1:48" x14ac:dyDescent="0.3">
      <c r="A970" s="5">
        <v>51018290</v>
      </c>
      <c r="B970" s="5" t="str">
        <f>IFERROR(VLOOKUP(A970,VENTAS!$A$2:$B$1194,2,0),"")</f>
        <v>ROBERTS</v>
      </c>
      <c r="C970" s="5">
        <f>IFERROR(INDEX(VENTAS!$C$2:$E$1194,MATCH(A970,VENTAS!$A$2:$A$1194,0),MATCH(PARAMS_MODELO!$B$2,{"Q1","Q2","Q3"},0)),0)</f>
        <v>7113083.1199999992</v>
      </c>
      <c r="D970" s="5">
        <f>IFERROR(INDEX(VENTAS!$F$2:$H$1194,MATCH(A970,VENTAS!$A$2:$A$1194,0),MATCH(PARAMS_MODELO!$B$2,{"Q1","Q2","Q3"},0)),0)</f>
        <v>12174993</v>
      </c>
      <c r="E970" s="8">
        <f t="shared" si="360"/>
        <v>0.71163373105641448</v>
      </c>
      <c r="F970" s="12">
        <f>IF(E970&lt;=PARAMS_MODELO!$B$15,0,IF(E970&gt;=PARAMS_MODELO!$B$17,100,100*MIN(1,(E970-PARAMS_MODELO!$B$15)/(PARAMS_MODELO!$B$16-PARAMS_MODELO!$B$15))))*PARAMS_MODELO!$B$7</f>
        <v>35</v>
      </c>
      <c r="G970" s="5">
        <f t="shared" si="361"/>
        <v>5061909.8800000008</v>
      </c>
      <c r="H970" s="5">
        <f>(PARAMS_MODELO!$B$20*(MAX(0,MIN(3,E970))/3)+PARAMS_MODELO!$B$21*(IFERROR(LN(1+MAX(0,G970))/LN(1+MAX(0,MAX($G$2:$G$1194))),0)))*100*PARAMS_MODELO!$B$8</f>
        <v>6.1094260550592381</v>
      </c>
      <c r="I970" s="8">
        <f>E970-PARAMS_MODELO!$B$5</f>
        <v>0.53407089568088795</v>
      </c>
      <c r="J970" s="5">
        <f>IF(I970&lt;=PARAMS_MODELO!$B$18,0,IF(I970&gt;=PARAMS_MODELO!$B$19,100,100*(I970-PARAMS_MODELO!$B$18)/(PARAMS_MODELO!$B$19-PARAMS_MODELO!$B$18)))*PARAMS_MODELO!$B$9</f>
        <v>15</v>
      </c>
      <c r="K970" s="5">
        <f>IFERROR(CHOOSE(MATCH(PARAMS_MODELO!$B$2,{"Q1","Q2","Q3"},0),LOTO!$D970,LOTO!$F970,LOTO!$H970),0)</f>
        <v>652500</v>
      </c>
      <c r="L970" s="8">
        <f t="shared" si="362"/>
        <v>5.3593459971599165E-2</v>
      </c>
      <c r="M970" s="5">
        <f>MIN(100,IF(PARAMS_MODELO!$B$23=0,0,100*L970/PARAMS_MODELO!$B$23))*PARAMS_MODELO!$B$10</f>
        <v>15</v>
      </c>
      <c r="N970" s="5">
        <f>IFERROR(VLOOKUP(A970,COMPLIANCE!$A$2:$F$1996,6,0),100)</f>
        <v>100</v>
      </c>
      <c r="O970" s="5">
        <f>N970*PARAMS_MODELO!$B$11</f>
        <v>10</v>
      </c>
      <c r="P970" s="5">
        <f>IFERROR(VLOOKUP(A970,DIGITAL!$A$2:$J$2000,7,0),100)</f>
        <v>50</v>
      </c>
      <c r="Q970" s="5">
        <f>IFERROR(P970,0)*PARAMS_MODELO!$B$12</f>
        <v>5</v>
      </c>
      <c r="R970">
        <f t="shared" si="363"/>
        <v>86.109426055059231</v>
      </c>
      <c r="S970" s="5" t="str">
        <f>IFERROR(VLOOKUP(A970,CLIENTE!$A$2:$N$2000,13,0),1)</f>
        <v>Malo</v>
      </c>
      <c r="T970" s="5">
        <f>IFERROR(VLOOKUP(A970,CLIENTE!$A$2:$N$2000,14,0),1)</f>
        <v>0.7</v>
      </c>
      <c r="U970" s="5">
        <f t="shared" si="364"/>
        <v>60.27659823854146</v>
      </c>
      <c r="V970" s="5" t="str">
        <f>IF(U970&gt;=MAX(_xlfn.PERCENTILE.INC($U$2:$U$1194,PARAMS_MODELO!$B$50),PARAMS_MODELO!$B$45),"DIAMANTE",IF(U970&gt;=MAX(_xlfn.PERCENTILE.INC($U$2:$U$1194,PARAMS_MODELO!$B$51),PARAMS_MODELO!$B$46),"PLATINO",IF(U970&gt;=MAX(_xlfn.PERCENTILE.INC($U$2:$U$1194,PARAMS_MODELO!$B$52),PARAMS_MODELO!$B$47),"ORO",IF(U970&gt;=MAX(_xlfn.PERCENTILE.INC($U$2:$U$1194,PARAMS_MODELO!$B$53),PARAMS_MODELO!$B$48),"PLATA",IF(U970&gt;=1,"BRONCE","CERRADO")))))</f>
        <v>PLATA</v>
      </c>
      <c r="W970" s="5" t="str" cm="1">
        <f t="array" ref="W970">_xlfn.XLOOKUP(1, (HIST_SCORE!$B:$B=PARAMS_MODELO!$B$4) * (HIST_SCORE!$C:$C=A970), HIST_SCORE!$E:$E, "No encontrado")</f>
        <v>PLATA</v>
      </c>
      <c r="X970" s="5" t="str">
        <f>_xlfn.LET(_xlpm.act,MATCH(V970,{"DIAMANTE";"PLATINO";"ORO";"PLATA";"BRONCE";"CERRADO"},0),_xlpm.ant,MATCH(W970,{"DIAMANTE";"PLATINO";"ORO";"PLATA";"BRONCE";"CERRADO"},0),IF(_xlpm.act&lt;_xlpm.ant,"Mejora ↑",IF(_xlpm.act&gt;_xlpm.ant,"Baja ↓","Estable →")))</f>
        <v>Estable →</v>
      </c>
      <c r="Y970" s="5">
        <f>IFERROR(U970-SUMIFS(HIST_SCORE!$D:$D,HIST_SCORE!$B:$B,PARAMS_MODELO!$B$4,HIST_SCORE!$C:$C,$A970),"")</f>
        <v>12.059344811362983</v>
      </c>
      <c r="Z970" s="5" t="str">
        <f t="shared" si="365"/>
        <v>↑ Mejora</v>
      </c>
      <c r="AA970" s="5">
        <f t="shared" si="366"/>
        <v>613</v>
      </c>
      <c r="AB970" s="5">
        <f>IFERROR(SUMIFS(HIST_SCORE!$F:$F,HIST_SCORE!$B:$B,PARAMS_MODELO!$B$4,HIST_SCORE!$C:$C,$A970),"")</f>
        <v>789</v>
      </c>
      <c r="AC970" s="5">
        <f t="shared" si="367"/>
        <v>176</v>
      </c>
      <c r="AD970" t="str">
        <f t="shared" si="369"/>
        <v/>
      </c>
      <c r="AE9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970="CERRADO",1,IF(V970="BRONCE",_xlpm.cPl,IF(V970="PLATA",_xlpm.cO,IF(V970="ORO",_xlpm.cP,IF(V970="PLATINO",_xlpm.cD,999))))))</f>
        <v>63.199193273331495</v>
      </c>
      <c r="AF9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970="CERRADO",0,IF(V970="BRONCE",1,IF(V970="PLATA",_xlpm.cPl,IF(V970="ORO",_xlpm.cO,IF(V970="PLATINO",_xlpm.cP,_xlpm.cD))))))</f>
        <v>24.506573482968111</v>
      </c>
      <c r="AG970">
        <f t="shared" si="370"/>
        <v>4.1751357639857645</v>
      </c>
      <c r="AH970" t="str">
        <f t="shared" si="371"/>
        <v>CLIENTE</v>
      </c>
      <c r="AI970" t="str">
        <f t="shared" si="368"/>
        <v>🎯 Para subir de categoría, la eje con mayor impacto probable es CLIENTE (coef T). Acción: reducir quejas, mejorar incógnito y empujar reseñas. ΔR aprox: 4,2</v>
      </c>
      <c r="AJ970" s="26">
        <f>_xlfn.LET(_xlpm.piso,AF970,_xlpm.corte,AE970,_xlpm.prog,IF(_xlpm.corte&lt;=_xlpm.piso,0,MAX(0,MIN(1,(U970-_xlpm.piso)/(_xlpm.corte-_xlpm.piso)))),_xlpm.orden,{"DIAMANTE";"PLATINO";"ORO";"PLATA";"BRONCE";"CERRADO"},_xlpm.act,IFERROR(MATCH(V970,_xlpm.orden,0),6),_xlpm.ant,IFERROR(MATCH(W970,_xlpm.orden,0),6),_xlpm.ajmov,IF(_xlpm.act&lt;_xlpm.ant,0.08,IF(_xlpm.act&gt;_xlpm.ant,-0.08,0)),_xlpm.ajcli,IF(T970&lt;0.95,-0.06,0),_xlpm.prob,MAX(0,MIN(1,_xlpm.prog+_xlpm.ajmov+_xlpm.ajcli)),IF(OR(V970="DIAMANTE",V970="CERRADO"),0,ROUND(_xlpm.prob,2)))</f>
        <v>0.86</v>
      </c>
      <c r="AK970" t="str">
        <f t="shared" si="372"/>
        <v>Faltan 4,2 puntos base para subir a la siguiente categoría</v>
      </c>
      <c r="AL970" t="str">
        <f t="shared" si="373"/>
        <v>Margen de seguridad: 35,8 puntos</v>
      </c>
      <c r="AM970">
        <f t="shared" si="374"/>
        <v>0.42</v>
      </c>
      <c r="AN970" t="str">
        <f t="shared" si="375"/>
        <v>PRIORIDAD MEDIA – seguimiento del asesor</v>
      </c>
      <c r="AO970">
        <f t="shared" si="376"/>
        <v>6.1272002541654418</v>
      </c>
      <c r="AP970">
        <f t="shared" si="377"/>
        <v>0</v>
      </c>
      <c r="AQ970">
        <f t="shared" si="378"/>
        <v>0</v>
      </c>
      <c r="AR970">
        <f t="shared" si="379"/>
        <v>3.5</v>
      </c>
      <c r="AS970">
        <f t="shared" si="380"/>
        <v>25.832827816517774</v>
      </c>
      <c r="AT970" t="str">
        <f t="shared" si="381"/>
        <v>CLIENTE</v>
      </c>
      <c r="AU970">
        <f t="shared" si="382"/>
        <v>25.832827816517774</v>
      </c>
      <c r="AV970" t="str">
        <f t="shared" si="383"/>
        <v>Mayor retorno probable: CLIENTE (+25,8 puntos finales potenciales).</v>
      </c>
    </row>
    <row r="971" spans="1:48" x14ac:dyDescent="0.3">
      <c r="A971" s="5">
        <v>51043561</v>
      </c>
      <c r="B971" s="5" t="str">
        <f>IFERROR(VLOOKUP(A971,VENTAS!$A$2:$B$1194,2,0),"")</f>
        <v>PUGH</v>
      </c>
      <c r="C971" s="5">
        <f>IFERROR(INDEX(VENTAS!$C$2:$E$1194,MATCH(A971,VENTAS!$A$2:$A$1194,0),MATCH(PARAMS_MODELO!$B$2,{"Q1","Q2","Q3"},0)),0)</f>
        <v>15944895.199999999</v>
      </c>
      <c r="D971" s="5">
        <f>IFERROR(INDEX(VENTAS!$F$2:$H$1194,MATCH(A971,VENTAS!$A$2:$A$1194,0),MATCH(PARAMS_MODELO!$B$2,{"Q1","Q2","Q3"},0)),0)</f>
        <v>11572417</v>
      </c>
      <c r="E971" s="8">
        <f t="shared" si="360"/>
        <v>-0.27422432980305822</v>
      </c>
      <c r="F971" s="12">
        <f>IF(E971&lt;=PARAMS_MODELO!$B$15,0,IF(E971&gt;=PARAMS_MODELO!$B$17,100,100*MIN(1,(E971-PARAMS_MODELO!$B$15)/(PARAMS_MODELO!$B$16-PARAMS_MODELO!$B$15))))*PARAMS_MODELO!$B$7</f>
        <v>0</v>
      </c>
      <c r="G971" s="5">
        <f t="shared" si="361"/>
        <v>0</v>
      </c>
      <c r="H971" s="5">
        <f>(PARAMS_MODELO!$B$20*(MAX(0,MIN(3,E971))/3)+PARAMS_MODELO!$B$21*(IFERROR(LN(1+MAX(0,G971))/LN(1+MAX(0,MAX($G$2:$G$1194))),0)))*100*PARAMS_MODELO!$B$8</f>
        <v>0</v>
      </c>
      <c r="I971" s="8">
        <f>E971-PARAMS_MODELO!$B$5</f>
        <v>-0.45178716517858475</v>
      </c>
      <c r="J971" s="5">
        <f>IF(I971&lt;=PARAMS_MODELO!$B$18,0,IF(I971&gt;=PARAMS_MODELO!$B$19,100,100*(I971-PARAMS_MODELO!$B$18)/(PARAMS_MODELO!$B$19-PARAMS_MODELO!$B$18)))*PARAMS_MODELO!$B$9</f>
        <v>0</v>
      </c>
      <c r="K971" s="5">
        <f>IFERROR(CHOOSE(MATCH(PARAMS_MODELO!$B$2,{"Q1","Q2","Q3"},0),LOTO!$D971,LOTO!$F971,LOTO!$H971),0)</f>
        <v>602500</v>
      </c>
      <c r="L971" s="8">
        <f t="shared" si="362"/>
        <v>5.206345398718349E-2</v>
      </c>
      <c r="M971" s="5">
        <f>MIN(100,IF(PARAMS_MODELO!$B$23=0,0,100*L971/PARAMS_MODELO!$B$23))*PARAMS_MODELO!$B$10</f>
        <v>15</v>
      </c>
      <c r="N971" s="5">
        <f>IFERROR(VLOOKUP(A971,COMPLIANCE!$A$2:$F$1996,6,0),100)</f>
        <v>99.98</v>
      </c>
      <c r="O971" s="5">
        <f>N971*PARAMS_MODELO!$B$11</f>
        <v>9.9980000000000011</v>
      </c>
      <c r="P971" s="5">
        <f>IFERROR(VLOOKUP(A971,DIGITAL!$A$2:$J$2000,7,0),100)</f>
        <v>73</v>
      </c>
      <c r="Q971" s="5">
        <f>IFERROR(P971,0)*PARAMS_MODELO!$B$12</f>
        <v>7.3000000000000007</v>
      </c>
      <c r="R971">
        <f t="shared" si="363"/>
        <v>32.298000000000002</v>
      </c>
      <c r="S971" s="5" t="str">
        <f>IFERROR(VLOOKUP(A971,CLIENTE!$A$2:$N$2000,13,0),1)</f>
        <v>Malo</v>
      </c>
      <c r="T971" s="5">
        <f>IFERROR(VLOOKUP(A971,CLIENTE!$A$2:$N$2000,14,0),1)</f>
        <v>0.7</v>
      </c>
      <c r="U971" s="5">
        <f t="shared" si="364"/>
        <v>22.608599999999999</v>
      </c>
      <c r="V971" s="5" t="str">
        <f>IF(U971&gt;=MAX(_xlfn.PERCENTILE.INC($U$2:$U$1194,PARAMS_MODELO!$B$50),PARAMS_MODELO!$B$45),"DIAMANTE",IF(U971&gt;=MAX(_xlfn.PERCENTILE.INC($U$2:$U$1194,PARAMS_MODELO!$B$51),PARAMS_MODELO!$B$46),"PLATINO",IF(U971&gt;=MAX(_xlfn.PERCENTILE.INC($U$2:$U$1194,PARAMS_MODELO!$B$52),PARAMS_MODELO!$B$47),"ORO",IF(U971&gt;=MAX(_xlfn.PERCENTILE.INC($U$2:$U$1194,PARAMS_MODELO!$B$53),PARAMS_MODELO!$B$48),"PLATA",IF(U971&gt;=1,"BRONCE","CERRADO")))))</f>
        <v>BRONCE</v>
      </c>
      <c r="W971" s="5" t="str" cm="1">
        <f t="array" ref="W971">_xlfn.XLOOKUP(1, (HIST_SCORE!$B:$B=PARAMS_MODELO!$B$4) * (HIST_SCORE!$C:$C=A971), HIST_SCORE!$E:$E, "No encontrado")</f>
        <v>BRONCE</v>
      </c>
      <c r="X971" s="5" t="str">
        <f>_xlfn.LET(_xlpm.act,MATCH(V971,{"DIAMANTE";"PLATINO";"ORO";"PLATA";"BRONCE";"CERRADO"},0),_xlpm.ant,MATCH(W971,{"DIAMANTE";"PLATINO";"ORO";"PLATA";"BRONCE";"CERRADO"},0),IF(_xlpm.act&lt;_xlpm.ant,"Mejora ↑",IF(_xlpm.act&gt;_xlpm.ant,"Baja ↓","Estable →")))</f>
        <v>Estable →</v>
      </c>
      <c r="Y971" s="5">
        <f>IFERROR(U971-SUMIFS(HIST_SCORE!$D:$D,HIST_SCORE!$B:$B,PARAMS_MODELO!$B$4,HIST_SCORE!$C:$C,$A971),"")</f>
        <v>0</v>
      </c>
      <c r="Z971" s="5" t="str">
        <f t="shared" si="365"/>
        <v>→ Estable</v>
      </c>
      <c r="AA971" s="5">
        <f t="shared" si="366"/>
        <v>940</v>
      </c>
      <c r="AB971" s="5">
        <f>IFERROR(SUMIFS(HIST_SCORE!$F:$F,HIST_SCORE!$B:$B,PARAMS_MODELO!$B$4,HIST_SCORE!$C:$C,$A971),"")</f>
        <v>960</v>
      </c>
      <c r="AC971" s="5">
        <f t="shared" si="367"/>
        <v>20</v>
      </c>
      <c r="AD971" t="str">
        <f t="shared" si="369"/>
        <v/>
      </c>
      <c r="AE9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971="CERRADO",1,IF(V971="BRONCE",_xlpm.cPl,IF(V971="PLATA",_xlpm.cO,IF(V971="ORO",_xlpm.cP,IF(V971="PLATINO",_xlpm.cD,999))))))</f>
        <v>24.506573482968111</v>
      </c>
      <c r="AF9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971="CERRADO",0,IF(V971="BRONCE",1,IF(V971="PLATA",_xlpm.cPl,IF(V971="ORO",_xlpm.cO,IF(V971="PLATINO",_xlpm.cP,_xlpm.cD))))))</f>
        <v>1</v>
      </c>
      <c r="AG971">
        <f t="shared" si="370"/>
        <v>2.7113906899544418</v>
      </c>
      <c r="AH971" t="str">
        <f t="shared" si="371"/>
        <v>CLIENTE</v>
      </c>
      <c r="AI971" t="str">
        <f t="shared" si="368"/>
        <v>🎯 Para subir de categoría, la eje con mayor impacto probable es CLIENTE (coef T). Acción: reducir quejas, mejorar incógnito y empujar reseñas. ΔR aprox: 2,7</v>
      </c>
      <c r="AJ971" s="26">
        <f>_xlfn.LET(_xlpm.piso,AF971,_xlpm.corte,AE971,_xlpm.prog,IF(_xlpm.corte&lt;=_xlpm.piso,0,MAX(0,MIN(1,(U971-_xlpm.piso)/(_xlpm.corte-_xlpm.piso)))),_xlpm.orden,{"DIAMANTE";"PLATINO";"ORO";"PLATA";"BRONCE";"CERRADO"},_xlpm.act,IFERROR(MATCH(V971,_xlpm.orden,0),6),_xlpm.ant,IFERROR(MATCH(W971,_xlpm.orden,0),6),_xlpm.ajmov,IF(_xlpm.act&lt;_xlpm.ant,0.08,IF(_xlpm.act&gt;_xlpm.ant,-0.08,0)),_xlpm.ajcli,IF(T971&lt;0.95,-0.06,0),_xlpm.prob,MAX(0,MIN(1,_xlpm.prog+_xlpm.ajmov+_xlpm.ajcli)),IF(OR(V971="DIAMANTE",V971="CERRADO"),0,ROUND(_xlpm.prob,2)))</f>
        <v>0.86</v>
      </c>
      <c r="AK971" t="str">
        <f t="shared" si="372"/>
        <v>Faltan 2,7 puntos base para subir a la siguiente categoría</v>
      </c>
      <c r="AL971" t="str">
        <f t="shared" si="373"/>
        <v>No aplica</v>
      </c>
      <c r="AM971">
        <f t="shared" si="374"/>
        <v>0.36</v>
      </c>
      <c r="AN971" t="str">
        <f t="shared" si="375"/>
        <v>PRIORIDAD BAJA – control normal</v>
      </c>
      <c r="AO971">
        <f t="shared" si="376"/>
        <v>45.403798492706905</v>
      </c>
      <c r="AP971">
        <f t="shared" si="377"/>
        <v>0</v>
      </c>
      <c r="AQ971">
        <f t="shared" si="378"/>
        <v>1.3999999999992239E-3</v>
      </c>
      <c r="AR971">
        <f t="shared" si="379"/>
        <v>1.8899999999999995</v>
      </c>
      <c r="AS971">
        <f t="shared" si="380"/>
        <v>9.6894000000000027</v>
      </c>
      <c r="AT971" t="str">
        <f t="shared" si="381"/>
        <v>VENTAS</v>
      </c>
      <c r="AU971">
        <f t="shared" si="382"/>
        <v>45.403798492706905</v>
      </c>
      <c r="AV971" t="str">
        <f t="shared" si="383"/>
        <v>Mayor retorno probable: VENTAS (+45,4 puntos finales potenciales).</v>
      </c>
    </row>
    <row r="972" spans="1:48" x14ac:dyDescent="0.3">
      <c r="A972" s="5">
        <v>51036964</v>
      </c>
      <c r="B972" s="5" t="str">
        <f>IFERROR(VLOOKUP(A972,VENTAS!$A$2:$B$1194,2,0),"")</f>
        <v>PUGH</v>
      </c>
      <c r="C972" s="5">
        <f>IFERROR(INDEX(VENTAS!$C$2:$E$1194,MATCH(A972,VENTAS!$A$2:$A$1194,0),MATCH(PARAMS_MODELO!$B$2,{"Q1","Q2","Q3"},0)),0)</f>
        <v>9646364.0999999996</v>
      </c>
      <c r="D972" s="5">
        <f>IFERROR(INDEX(VENTAS!$F$2:$H$1194,MATCH(A972,VENTAS!$A$2:$A$1194,0),MATCH(PARAMS_MODELO!$B$2,{"Q1","Q2","Q3"},0)),0)</f>
        <v>11336660</v>
      </c>
      <c r="E972" s="8">
        <f t="shared" si="360"/>
        <v>0.17522621813539052</v>
      </c>
      <c r="F972" s="12">
        <f>IF(E972&lt;=PARAMS_MODELO!$B$15,0,IF(E972&gt;=PARAMS_MODELO!$B$17,100,100*MIN(1,(E972-PARAMS_MODELO!$B$15)/(PARAMS_MODELO!$B$16-PARAMS_MODELO!$B$15))))*PARAMS_MODELO!$B$7</f>
        <v>35</v>
      </c>
      <c r="G972" s="5">
        <f t="shared" si="361"/>
        <v>1690295.9000000004</v>
      </c>
      <c r="H972" s="5">
        <f>(PARAMS_MODELO!$B$20*(MAX(0,MIN(3,E972))/3)+PARAMS_MODELO!$B$21*(IFERROR(LN(1+MAX(0,G972))/LN(1+MAX(0,MAX($G$2:$G$1194))),0)))*100*PARAMS_MODELO!$B$8</f>
        <v>3.9748851834671393</v>
      </c>
      <c r="I972" s="8">
        <f>E972-PARAMS_MODELO!$B$5</f>
        <v>-2.3366172401360075E-3</v>
      </c>
      <c r="J972" s="5">
        <f>IF(I972&lt;=PARAMS_MODELO!$B$18,0,IF(I972&gt;=PARAMS_MODELO!$B$19,100,100*(I972-PARAMS_MODELO!$B$18)/(PARAMS_MODELO!$B$19-PARAMS_MODELO!$B$18)))*PARAMS_MODELO!$B$9</f>
        <v>7.1495074139795989</v>
      </c>
      <c r="K972" s="5">
        <f>IFERROR(CHOOSE(MATCH(PARAMS_MODELO!$B$2,{"Q1","Q2","Q3"},0),LOTO!$D972,LOTO!$F972,LOTO!$H972),0)</f>
        <v>595000</v>
      </c>
      <c r="L972" s="8">
        <f t="shared" si="362"/>
        <v>5.2484594227929567E-2</v>
      </c>
      <c r="M972" s="5">
        <f>MIN(100,IF(PARAMS_MODELO!$B$23=0,0,100*L972/PARAMS_MODELO!$B$23))*PARAMS_MODELO!$B$10</f>
        <v>15</v>
      </c>
      <c r="N972" s="5">
        <f>IFERROR(VLOOKUP(A972,COMPLIANCE!$A$2:$F$1996,6,0),100)</f>
        <v>100</v>
      </c>
      <c r="O972" s="5">
        <f>N972*PARAMS_MODELO!$B$11</f>
        <v>10</v>
      </c>
      <c r="P972" s="5">
        <f>IFERROR(VLOOKUP(A972,DIGITAL!$A$2:$J$2000,7,0),100)</f>
        <v>91</v>
      </c>
      <c r="Q972" s="5">
        <f>IFERROR(P972,0)*PARAMS_MODELO!$B$12</f>
        <v>9.1</v>
      </c>
      <c r="R972">
        <f t="shared" si="363"/>
        <v>80.224392597446723</v>
      </c>
      <c r="S972" s="5" t="str">
        <f>IFERROR(VLOOKUP(A972,CLIENTE!$A$2:$N$2000,13,0),1)</f>
        <v>Malo</v>
      </c>
      <c r="T972" s="5">
        <f>IFERROR(VLOOKUP(A972,CLIENTE!$A$2:$N$2000,14,0),1)</f>
        <v>0.7</v>
      </c>
      <c r="U972" s="5">
        <f t="shared" si="364"/>
        <v>56.157074818212699</v>
      </c>
      <c r="V972" s="5" t="str">
        <f>IF(U972&gt;=MAX(_xlfn.PERCENTILE.INC($U$2:$U$1194,PARAMS_MODELO!$B$50),PARAMS_MODELO!$B$45),"DIAMANTE",IF(U972&gt;=MAX(_xlfn.PERCENTILE.INC($U$2:$U$1194,PARAMS_MODELO!$B$51),PARAMS_MODELO!$B$46),"PLATINO",IF(U972&gt;=MAX(_xlfn.PERCENTILE.INC($U$2:$U$1194,PARAMS_MODELO!$B$52),PARAMS_MODELO!$B$47),"ORO",IF(U972&gt;=MAX(_xlfn.PERCENTILE.INC($U$2:$U$1194,PARAMS_MODELO!$B$53),PARAMS_MODELO!$B$48),"PLATA",IF(U972&gt;=1,"BRONCE","CERRADO")))))</f>
        <v>PLATA</v>
      </c>
      <c r="W972" s="5" t="str" cm="1">
        <f t="array" ref="W972">_xlfn.XLOOKUP(1, (HIST_SCORE!$B:$B=PARAMS_MODELO!$B$4) * (HIST_SCORE!$C:$C=A972), HIST_SCORE!$E:$E, "No encontrado")</f>
        <v>PLATA</v>
      </c>
      <c r="X972" s="5" t="str">
        <f>_xlfn.LET(_xlpm.act,MATCH(V972,{"DIAMANTE";"PLATINO";"ORO";"PLATA";"BRONCE";"CERRADO"},0),_xlpm.ant,MATCH(W972,{"DIAMANTE";"PLATINO";"ORO";"PLATA";"BRONCE";"CERRADO"},0),IF(_xlpm.act&lt;_xlpm.ant,"Mejora ↑",IF(_xlpm.act&gt;_xlpm.ant,"Baja ↓","Estable →")))</f>
        <v>Estable →</v>
      </c>
      <c r="Y972" s="5">
        <f>IFERROR(U972-SUMIFS(HIST_SCORE!$D:$D,HIST_SCORE!$B:$B,PARAMS_MODELO!$B$4,HIST_SCORE!$C:$C,$A972),"")</f>
        <v>5.0002450578417807</v>
      </c>
      <c r="Z972" s="5" t="str">
        <f t="shared" si="365"/>
        <v>↑ Mejora</v>
      </c>
      <c r="AA972" s="5">
        <f t="shared" si="366"/>
        <v>697</v>
      </c>
      <c r="AB972" s="5">
        <f>IFERROR(SUMIFS(HIST_SCORE!$F:$F,HIST_SCORE!$B:$B,PARAMS_MODELO!$B$4,HIST_SCORE!$C:$C,$A972),"")</f>
        <v>762</v>
      </c>
      <c r="AC972" s="5">
        <f t="shared" si="367"/>
        <v>65</v>
      </c>
      <c r="AD972" t="str">
        <f t="shared" si="369"/>
        <v/>
      </c>
      <c r="AE9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972="CERRADO",1,IF(V972="BRONCE",_xlpm.cPl,IF(V972="PLATA",_xlpm.cO,IF(V972="ORO",_xlpm.cP,IF(V972="PLATINO",_xlpm.cD,999))))))</f>
        <v>63.199193273331495</v>
      </c>
      <c r="AF9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972="CERRADO",0,IF(V972="BRONCE",1,IF(V972="PLATA",_xlpm.cPl,IF(V972="ORO",_xlpm.cO,IF(V972="PLATINO",_xlpm.cP,_xlpm.cD))))))</f>
        <v>24.506573482968111</v>
      </c>
      <c r="AG972">
        <f t="shared" si="370"/>
        <v>10.060169221598272</v>
      </c>
      <c r="AH972" t="str">
        <f t="shared" si="371"/>
        <v>CLIENTE</v>
      </c>
      <c r="AI972" t="str">
        <f t="shared" si="368"/>
        <v>🎯 Para subir de categoría, la eje con mayor impacto probable es CLIENTE (coef T). Acción: reducir quejas, mejorar incógnito y empujar reseñas. ΔR aprox: 10,1</v>
      </c>
      <c r="AJ972" s="26">
        <f>_xlfn.LET(_xlpm.piso,AF972,_xlpm.corte,AE972,_xlpm.prog,IF(_xlpm.corte&lt;=_xlpm.piso,0,MAX(0,MIN(1,(U972-_xlpm.piso)/(_xlpm.corte-_xlpm.piso)))),_xlpm.orden,{"DIAMANTE";"PLATINO";"ORO";"PLATA";"BRONCE";"CERRADO"},_xlpm.act,IFERROR(MATCH(V972,_xlpm.orden,0),6),_xlpm.ant,IFERROR(MATCH(W972,_xlpm.orden,0),6),_xlpm.ajmov,IF(_xlpm.act&lt;_xlpm.ant,0.08,IF(_xlpm.act&gt;_xlpm.ant,-0.08,0)),_xlpm.ajcli,IF(T972&lt;0.95,-0.06,0),_xlpm.prob,MAX(0,MIN(1,_xlpm.prog+_xlpm.ajmov+_xlpm.ajcli)),IF(OR(V972="DIAMANTE",V972="CERRADO"),0,ROUND(_xlpm.prob,2)))</f>
        <v>0.76</v>
      </c>
      <c r="AK972" t="str">
        <f t="shared" si="372"/>
        <v>Faltan 10,1 puntos base para subir a la siguiente categoría</v>
      </c>
      <c r="AL972" t="str">
        <f t="shared" si="373"/>
        <v>Margen de seguridad: 31,7 puntos</v>
      </c>
      <c r="AM972">
        <f t="shared" si="374"/>
        <v>0.7</v>
      </c>
      <c r="AN972" t="str">
        <f t="shared" si="375"/>
        <v>PRIORIDAD ALTA – requiere intervención inmediata</v>
      </c>
      <c r="AO972">
        <f t="shared" si="376"/>
        <v>13.116723674494192</v>
      </c>
      <c r="AP972">
        <f t="shared" si="377"/>
        <v>0</v>
      </c>
      <c r="AQ972">
        <f t="shared" si="378"/>
        <v>0</v>
      </c>
      <c r="AR972">
        <f t="shared" si="379"/>
        <v>0.63000000000000023</v>
      </c>
      <c r="AS972">
        <f t="shared" si="380"/>
        <v>24.06731777923402</v>
      </c>
      <c r="AT972" t="str">
        <f t="shared" si="381"/>
        <v>CLIENTE</v>
      </c>
      <c r="AU972">
        <f t="shared" si="382"/>
        <v>24.06731777923402</v>
      </c>
      <c r="AV972" t="str">
        <f t="shared" si="383"/>
        <v>Mayor retorno probable: CLIENTE (+24,1 puntos finales potenciales).</v>
      </c>
    </row>
    <row r="973" spans="1:48" x14ac:dyDescent="0.3">
      <c r="A973" s="5">
        <v>51030290</v>
      </c>
      <c r="B973" s="5" t="str">
        <f>IFERROR(VLOOKUP(A973,VENTAS!$A$2:$B$1194,2,0),"")</f>
        <v>CICHETTO</v>
      </c>
      <c r="C973" s="5">
        <f>IFERROR(INDEX(VENTAS!$C$2:$E$1194,MATCH(A973,VENTAS!$A$2:$A$1194,0),MATCH(PARAMS_MODELO!$B$2,{"Q1","Q2","Q3"},0)),0)</f>
        <v>7202285.5999999996</v>
      </c>
      <c r="D973" s="5">
        <f>IFERROR(INDEX(VENTAS!$F$2:$H$1194,MATCH(A973,VENTAS!$A$2:$A$1194,0),MATCH(PARAMS_MODELO!$B$2,{"Q1","Q2","Q3"},0)),0)</f>
        <v>10969648</v>
      </c>
      <c r="E973" s="8">
        <f t="shared" si="360"/>
        <v>0.52307872934114141</v>
      </c>
      <c r="F973" s="12">
        <f>IF(E973&lt;=PARAMS_MODELO!$B$15,0,IF(E973&gt;=PARAMS_MODELO!$B$17,100,100*MIN(1,(E973-PARAMS_MODELO!$B$15)/(PARAMS_MODELO!$B$16-PARAMS_MODELO!$B$15))))*PARAMS_MODELO!$B$7</f>
        <v>35</v>
      </c>
      <c r="G973" s="5">
        <f t="shared" si="361"/>
        <v>3767362.4000000004</v>
      </c>
      <c r="H973" s="5">
        <f>(PARAMS_MODELO!$B$20*(MAX(0,MIN(3,E973))/3)+PARAMS_MODELO!$B$21*(IFERROR(LN(1+MAX(0,G973))/LN(1+MAX(0,MAX($G$2:$G$1194))),0)))*100*PARAMS_MODELO!$B$8</f>
        <v>5.3802450109246989</v>
      </c>
      <c r="I973" s="8">
        <f>E973-PARAMS_MODELO!$B$5</f>
        <v>0.34551589396561488</v>
      </c>
      <c r="J973" s="5">
        <f>IF(I973&lt;=PARAMS_MODELO!$B$18,0,IF(I973&gt;=PARAMS_MODELO!$B$19,100,100*(I973-PARAMS_MODELO!$B$18)/(PARAMS_MODELO!$B$19-PARAMS_MODELO!$B$18)))*PARAMS_MODELO!$B$9</f>
        <v>15</v>
      </c>
      <c r="K973" s="5">
        <f>IFERROR(CHOOSE(MATCH(PARAMS_MODELO!$B$2,{"Q1","Q2","Q3"},0),LOTO!$D973,LOTO!$F973,LOTO!$H973),0)</f>
        <v>585000</v>
      </c>
      <c r="L973" s="8">
        <f t="shared" si="362"/>
        <v>5.3328967346992356E-2</v>
      </c>
      <c r="M973" s="5">
        <f>MIN(100,IF(PARAMS_MODELO!$B$23=0,0,100*L973/PARAMS_MODELO!$B$23))*PARAMS_MODELO!$B$10</f>
        <v>15</v>
      </c>
      <c r="N973" s="5">
        <f>IFERROR(VLOOKUP(A973,COMPLIANCE!$A$2:$F$1996,6,0),100)</f>
        <v>100</v>
      </c>
      <c r="O973" s="5">
        <f>N973*PARAMS_MODELO!$B$11</f>
        <v>10</v>
      </c>
      <c r="P973" s="5">
        <f>IFERROR(VLOOKUP(A973,DIGITAL!$A$2:$J$2000,7,0),100)</f>
        <v>96</v>
      </c>
      <c r="Q973" s="5">
        <f>IFERROR(P973,0)*PARAMS_MODELO!$B$12</f>
        <v>9.6000000000000014</v>
      </c>
      <c r="R973">
        <f t="shared" si="363"/>
        <v>89.980245010924705</v>
      </c>
      <c r="S973" s="5" t="str">
        <f>IFERROR(VLOOKUP(A973,CLIENTE!$A$2:$N$2000,13,0),1)</f>
        <v>Regular</v>
      </c>
      <c r="T973" s="5">
        <f>IFERROR(VLOOKUP(A973,CLIENTE!$A$2:$N$2000,14,0),1)</f>
        <v>1</v>
      </c>
      <c r="U973" s="5">
        <f t="shared" si="364"/>
        <v>89.980245010924705</v>
      </c>
      <c r="V973" s="5" t="str">
        <f>IF(U973&gt;=MAX(_xlfn.PERCENTILE.INC($U$2:$U$1194,PARAMS_MODELO!$B$50),PARAMS_MODELO!$B$45),"DIAMANTE",IF(U973&gt;=MAX(_xlfn.PERCENTILE.INC($U$2:$U$1194,PARAMS_MODELO!$B$51),PARAMS_MODELO!$B$46),"PLATINO",IF(U973&gt;=MAX(_xlfn.PERCENTILE.INC($U$2:$U$1194,PARAMS_MODELO!$B$52),PARAMS_MODELO!$B$47),"ORO",IF(U973&gt;=MAX(_xlfn.PERCENTILE.INC($U$2:$U$1194,PARAMS_MODELO!$B$53),PARAMS_MODELO!$B$48),"PLATA",IF(U973&gt;=1,"BRONCE","CERRADO")))))</f>
        <v>PLATINO</v>
      </c>
      <c r="W973" s="5" t="str" cm="1">
        <f t="array" ref="W973">_xlfn.XLOOKUP(1, (HIST_SCORE!$B:$B=PARAMS_MODELO!$B$4) * (HIST_SCORE!$C:$C=A973), HIST_SCORE!$E:$E, "No encontrado")</f>
        <v>PLATINO</v>
      </c>
      <c r="X973" s="5" t="str">
        <f>_xlfn.LET(_xlpm.act,MATCH(V973,{"DIAMANTE";"PLATINO";"ORO";"PLATA";"BRONCE";"CERRADO"},0),_xlpm.ant,MATCH(W973,{"DIAMANTE";"PLATINO";"ORO";"PLATA";"BRONCE";"CERRADO"},0),IF(_xlpm.act&lt;_xlpm.ant,"Mejora ↑",IF(_xlpm.act&gt;_xlpm.ant,"Baja ↓","Estable →")))</f>
        <v>Estable →</v>
      </c>
      <c r="Y973" s="5">
        <f>IFERROR(U973-SUMIFS(HIST_SCORE!$D:$D,HIST_SCORE!$B:$B,PARAMS_MODELO!$B$4,HIST_SCORE!$C:$C,$A973),"")</f>
        <v>0.88099145491653985</v>
      </c>
      <c r="Z973" s="5" t="str">
        <f t="shared" si="365"/>
        <v>→ Estable</v>
      </c>
      <c r="AA973" s="5">
        <f t="shared" si="366"/>
        <v>136</v>
      </c>
      <c r="AB973" s="5">
        <f>IFERROR(SUMIFS(HIST_SCORE!$F:$F,HIST_SCORE!$B:$B,PARAMS_MODELO!$B$4,HIST_SCORE!$C:$C,$A973),"")</f>
        <v>150</v>
      </c>
      <c r="AC973" s="5">
        <f t="shared" si="367"/>
        <v>14</v>
      </c>
      <c r="AD973" t="str">
        <f t="shared" si="369"/>
        <v/>
      </c>
      <c r="AE9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973="CERRADO",1,IF(V973="BRONCE",_xlpm.cPl,IF(V973="PLATA",_xlpm.cO,IF(V973="ORO",_xlpm.cP,IF(V973="PLATINO",_xlpm.cD,999))))))</f>
        <v>96.054919694466676</v>
      </c>
      <c r="AF9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973="CERRADO",0,IF(V973="BRONCE",1,IF(V973="PLATA",_xlpm.cPl,IF(V973="ORO",_xlpm.cO,IF(V973="PLATINO",_xlpm.cP,_xlpm.cD))))))</f>
        <v>86.439123873763251</v>
      </c>
      <c r="AG973">
        <f t="shared" si="370"/>
        <v>6.0746746835419714</v>
      </c>
      <c r="AH973" t="str">
        <f t="shared" si="371"/>
        <v>VENTAS</v>
      </c>
      <c r="AI973" t="str">
        <f t="shared" si="368"/>
        <v>🎯 Para subir de categoría, eje VENTAS / IMPACTO ABSOLUTO (H). Acción: metas semanales + activación comercial + seguimiento del asesor. ΔR aprox: 6,1</v>
      </c>
      <c r="AJ973" s="26">
        <f>_xlfn.LET(_xlpm.piso,AF973,_xlpm.corte,AE973,_xlpm.prog,IF(_xlpm.corte&lt;=_xlpm.piso,0,MAX(0,MIN(1,(U973-_xlpm.piso)/(_xlpm.corte-_xlpm.piso)))),_xlpm.orden,{"DIAMANTE";"PLATINO";"ORO";"PLATA";"BRONCE";"CERRADO"},_xlpm.act,IFERROR(MATCH(V973,_xlpm.orden,0),6),_xlpm.ant,IFERROR(MATCH(W973,_xlpm.orden,0),6),_xlpm.ajmov,IF(_xlpm.act&lt;_xlpm.ant,0.08,IF(_xlpm.act&gt;_xlpm.ant,-0.08,0)),_xlpm.ajcli,IF(T973&lt;0.95,-0.06,0),_xlpm.prob,MAX(0,MIN(1,_xlpm.prog+_xlpm.ajmov+_xlpm.ajcli)),IF(OR(V973="DIAMANTE",V973="CERRADO"),0,ROUND(_xlpm.prob,2)))</f>
        <v>0.37</v>
      </c>
      <c r="AK973" t="str">
        <f t="shared" si="372"/>
        <v>Faltan 6,1 puntos base para subir a la siguiente categoría</v>
      </c>
      <c r="AL973" t="str">
        <f t="shared" si="373"/>
        <v>Margen de seguridad: 3,5 puntos</v>
      </c>
      <c r="AM973">
        <f t="shared" si="374"/>
        <v>0.49</v>
      </c>
      <c r="AN973" t="str">
        <f t="shared" si="375"/>
        <v>PRIORIDAD MEDIA – seguimiento del asesor</v>
      </c>
      <c r="AO973">
        <f t="shared" si="376"/>
        <v>9.482324264370888</v>
      </c>
      <c r="AP973">
        <f t="shared" si="377"/>
        <v>0</v>
      </c>
      <c r="AQ973">
        <f t="shared" si="378"/>
        <v>0</v>
      </c>
      <c r="AR973">
        <f t="shared" si="379"/>
        <v>0.39999999999999858</v>
      </c>
      <c r="AS973">
        <f t="shared" si="380"/>
        <v>0</v>
      </c>
      <c r="AT973" t="str">
        <f t="shared" si="381"/>
        <v>VENTAS</v>
      </c>
      <c r="AU973">
        <f t="shared" si="382"/>
        <v>9.482324264370888</v>
      </c>
      <c r="AV973" t="str">
        <f t="shared" si="383"/>
        <v>Mayor retorno probable: VENTAS (+9,5 puntos finales potenciales).</v>
      </c>
    </row>
    <row r="974" spans="1:48" x14ac:dyDescent="0.3">
      <c r="A974" s="5">
        <v>51023331</v>
      </c>
      <c r="B974" s="5" t="str">
        <f>IFERROR(VLOOKUP(A974,VENTAS!$A$2:$B$1194,2,0),"")</f>
        <v>ARGUELLO</v>
      </c>
      <c r="C974" s="5">
        <f>IFERROR(INDEX(VENTAS!$C$2:$E$1194,MATCH(A974,VENTAS!$A$2:$A$1194,0),MATCH(PARAMS_MODELO!$B$2,{"Q1","Q2","Q3"},0)),0)</f>
        <v>15690777.18</v>
      </c>
      <c r="D974" s="5">
        <f>IFERROR(INDEX(VENTAS!$F$2:$H$1194,MATCH(A974,VENTAS!$A$2:$A$1194,0),MATCH(PARAMS_MODELO!$B$2,{"Q1","Q2","Q3"},0)),0)</f>
        <v>10842702</v>
      </c>
      <c r="E974" s="8">
        <f t="shared" si="360"/>
        <v>-0.30897610261010666</v>
      </c>
      <c r="F974" s="12">
        <f>IF(E974&lt;=PARAMS_MODELO!$B$15,0,IF(E974&gt;=PARAMS_MODELO!$B$17,100,100*MIN(1,(E974-PARAMS_MODELO!$B$15)/(PARAMS_MODELO!$B$16-PARAMS_MODELO!$B$15))))*PARAMS_MODELO!$B$7</f>
        <v>0</v>
      </c>
      <c r="G974" s="5">
        <f t="shared" si="361"/>
        <v>0</v>
      </c>
      <c r="H974" s="5">
        <f>(PARAMS_MODELO!$B$20*(MAX(0,MIN(3,E974))/3)+PARAMS_MODELO!$B$21*(IFERROR(LN(1+MAX(0,G974))/LN(1+MAX(0,MAX($G$2:$G$1194))),0)))*100*PARAMS_MODELO!$B$8</f>
        <v>0</v>
      </c>
      <c r="I974" s="8">
        <f>E974-PARAMS_MODELO!$B$5</f>
        <v>-0.48653893798563319</v>
      </c>
      <c r="J974" s="5">
        <f>IF(I974&lt;=PARAMS_MODELO!$B$18,0,IF(I974&gt;=PARAMS_MODELO!$B$19,100,100*(I974-PARAMS_MODELO!$B$18)/(PARAMS_MODELO!$B$19-PARAMS_MODELO!$B$18)))*PARAMS_MODELO!$B$9</f>
        <v>0</v>
      </c>
      <c r="K974" s="5">
        <f>IFERROR(CHOOSE(MATCH(PARAMS_MODELO!$B$2,{"Q1","Q2","Q3"},0),LOTO!$D974,LOTO!$F974,LOTO!$H974),0)</f>
        <v>577500</v>
      </c>
      <c r="L974" s="8">
        <f t="shared" si="362"/>
        <v>5.326163164864256E-2</v>
      </c>
      <c r="M974" s="5">
        <f>MIN(100,IF(PARAMS_MODELO!$B$23=0,0,100*L974/PARAMS_MODELO!$B$23))*PARAMS_MODELO!$B$10</f>
        <v>15</v>
      </c>
      <c r="N974" s="5">
        <f>IFERROR(VLOOKUP(A974,COMPLIANCE!$A$2:$F$1996,6,0),100)</f>
        <v>99.98</v>
      </c>
      <c r="O974" s="5">
        <f>N974*PARAMS_MODELO!$B$11</f>
        <v>9.9980000000000011</v>
      </c>
      <c r="P974" s="5">
        <f>IFERROR(VLOOKUP(A974,DIGITAL!$A$2:$J$2000,7,0),100)</f>
        <v>100</v>
      </c>
      <c r="Q974" s="5">
        <f>IFERROR(P974,0)*PARAMS_MODELO!$B$12</f>
        <v>10</v>
      </c>
      <c r="R974">
        <f t="shared" si="363"/>
        <v>34.998000000000005</v>
      </c>
      <c r="S974" s="5" t="str">
        <f>IFERROR(VLOOKUP(A974,CLIENTE!$A$2:$N$2000,13,0),1)</f>
        <v>Malo</v>
      </c>
      <c r="T974" s="5">
        <f>IFERROR(VLOOKUP(A974,CLIENTE!$A$2:$N$2000,14,0),1)</f>
        <v>0.7</v>
      </c>
      <c r="U974" s="5">
        <f t="shared" si="364"/>
        <v>24.498600000000003</v>
      </c>
      <c r="V974" s="5" t="str">
        <f>IF(U974&gt;=MAX(_xlfn.PERCENTILE.INC($U$2:$U$1194,PARAMS_MODELO!$B$50),PARAMS_MODELO!$B$45),"DIAMANTE",IF(U974&gt;=MAX(_xlfn.PERCENTILE.INC($U$2:$U$1194,PARAMS_MODELO!$B$51),PARAMS_MODELO!$B$46),"PLATINO",IF(U974&gt;=MAX(_xlfn.PERCENTILE.INC($U$2:$U$1194,PARAMS_MODELO!$B$52),PARAMS_MODELO!$B$47),"ORO",IF(U974&gt;=MAX(_xlfn.PERCENTILE.INC($U$2:$U$1194,PARAMS_MODELO!$B$53),PARAMS_MODELO!$B$48),"PLATA",IF(U974&gt;=1,"BRONCE","CERRADO")))))</f>
        <v>BRONCE</v>
      </c>
      <c r="W974" s="5" t="str" cm="1">
        <f t="array" ref="W974">_xlfn.XLOOKUP(1, (HIST_SCORE!$B:$B=PARAMS_MODELO!$B$4) * (HIST_SCORE!$C:$C=A974), HIST_SCORE!$E:$E, "No encontrado")</f>
        <v>PLATA</v>
      </c>
      <c r="X974" s="5" t="str">
        <f>_xlfn.LET(_xlpm.act,MATCH(V974,{"DIAMANTE";"PLATINO";"ORO";"PLATA";"BRONCE";"CERRADO"},0),_xlpm.ant,MATCH(W974,{"DIAMANTE";"PLATINO";"ORO";"PLATA";"BRONCE";"CERRADO"},0),IF(_xlpm.act&lt;_xlpm.ant,"Mejora ↑",IF(_xlpm.act&gt;_xlpm.ant,"Baja ↓","Estable →")))</f>
        <v>Baja ↓</v>
      </c>
      <c r="Y974" s="5">
        <f>IFERROR(U974-SUMIFS(HIST_SCORE!$D:$D,HIST_SCORE!$B:$B,PARAMS_MODELO!$B$4,HIST_SCORE!$C:$C,$A974),"")</f>
        <v>-20.259184460214271</v>
      </c>
      <c r="Z974" s="5" t="str">
        <f t="shared" si="365"/>
        <v>↓ Baja</v>
      </c>
      <c r="AA974" s="5">
        <f t="shared" si="366"/>
        <v>916</v>
      </c>
      <c r="AB974" s="5">
        <f>IFERROR(SUMIFS(HIST_SCORE!$F:$F,HIST_SCORE!$B:$B,PARAMS_MODELO!$B$4,HIST_SCORE!$C:$C,$A974),"")</f>
        <v>826</v>
      </c>
      <c r="AC974" s="5">
        <f t="shared" si="367"/>
        <v>-90</v>
      </c>
      <c r="AD974" t="str">
        <f t="shared" si="369"/>
        <v>Plan de recuperación: foco crecimiento + mix</v>
      </c>
      <c r="AE9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974="CERRADO",1,IF(V974="BRONCE",_xlpm.cPl,IF(V974="PLATA",_xlpm.cO,IF(V974="ORO",_xlpm.cP,IF(V974="PLATINO",_xlpm.cD,999))))))</f>
        <v>24.506573482968111</v>
      </c>
      <c r="AF9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974="CERRADO",0,IF(V974="BRONCE",1,IF(V974="PLATA",_xlpm.cPl,IF(V974="ORO",_xlpm.cO,IF(V974="PLATINO",_xlpm.cP,_xlpm.cD))))))</f>
        <v>1</v>
      </c>
      <c r="AG974">
        <f t="shared" si="370"/>
        <v>1.1390689954438926E-2</v>
      </c>
      <c r="AH974" t="str">
        <f t="shared" si="371"/>
        <v>CLIENTE</v>
      </c>
      <c r="AI974" t="str">
        <f t="shared" si="368"/>
        <v>🎯 Para subir de categoría, la eje con mayor impacto probable es CLIENTE (coef T). Acción: reducir quejas, mejorar incógnito y empujar reseñas. ΔR aprox: 0,0</v>
      </c>
      <c r="AJ974" s="26">
        <f>_xlfn.LET(_xlpm.piso,AF974,_xlpm.corte,AE974,_xlpm.prog,IF(_xlpm.corte&lt;=_xlpm.piso,0,MAX(0,MIN(1,(U974-_xlpm.piso)/(_xlpm.corte-_xlpm.piso)))),_xlpm.orden,{"DIAMANTE";"PLATINO";"ORO";"PLATA";"BRONCE";"CERRADO"},_xlpm.act,IFERROR(MATCH(V974,_xlpm.orden,0),6),_xlpm.ant,IFERROR(MATCH(W974,_xlpm.orden,0),6),_xlpm.ajmov,IF(_xlpm.act&lt;_xlpm.ant,0.08,IF(_xlpm.act&gt;_xlpm.ant,-0.08,0)),_xlpm.ajcli,IF(T974&lt;0.95,-0.06,0),_xlpm.prob,MAX(0,MIN(1,_xlpm.prog+_xlpm.ajmov+_xlpm.ajcli)),IF(OR(V974="DIAMANTE",V974="CERRADO"),0,ROUND(_xlpm.prob,2)))</f>
        <v>0.86</v>
      </c>
      <c r="AK974" t="str">
        <f t="shared" si="372"/>
        <v>Faltan 0,0 puntos base para subir a la siguiente categoría</v>
      </c>
      <c r="AL974" t="str">
        <f t="shared" si="373"/>
        <v>No aplica</v>
      </c>
      <c r="AM974">
        <f t="shared" si="374"/>
        <v>0.26</v>
      </c>
      <c r="AN974" t="str">
        <f t="shared" si="375"/>
        <v>PRIORIDAD BAJA – control normal</v>
      </c>
      <c r="AO974">
        <f t="shared" si="376"/>
        <v>45.403798492706905</v>
      </c>
      <c r="AP974">
        <f t="shared" si="377"/>
        <v>0</v>
      </c>
      <c r="AQ974">
        <f t="shared" si="378"/>
        <v>1.3999999999992239E-3</v>
      </c>
      <c r="AR974">
        <f t="shared" si="379"/>
        <v>0</v>
      </c>
      <c r="AS974">
        <f t="shared" si="380"/>
        <v>10.499400000000003</v>
      </c>
      <c r="AT974" t="str">
        <f t="shared" si="381"/>
        <v>VENTAS</v>
      </c>
      <c r="AU974">
        <f t="shared" si="382"/>
        <v>45.403798492706905</v>
      </c>
      <c r="AV974" t="str">
        <f t="shared" si="383"/>
        <v>Mayor retorno probable: VENTAS (+45,4 puntos finales potenciales).</v>
      </c>
    </row>
    <row r="975" spans="1:48" x14ac:dyDescent="0.3">
      <c r="A975" s="5">
        <v>51024010</v>
      </c>
      <c r="B975" s="5" t="str">
        <f>IFERROR(VLOOKUP(A975,VENTAS!$A$2:$B$1194,2,0),"")</f>
        <v>ROBERTS</v>
      </c>
      <c r="C975" s="5">
        <f>IFERROR(INDEX(VENTAS!$C$2:$E$1194,MATCH(A975,VENTAS!$A$2:$A$1194,0),MATCH(PARAMS_MODELO!$B$2,{"Q1","Q2","Q3"},0)),0)</f>
        <v>40375297.869999997</v>
      </c>
      <c r="D975" s="5">
        <f>IFERROR(INDEX(VENTAS!$F$2:$H$1194,MATCH(A975,VENTAS!$A$2:$A$1194,0),MATCH(PARAMS_MODELO!$B$2,{"Q1","Q2","Q3"},0)),0)</f>
        <v>10526301</v>
      </c>
      <c r="E975" s="8">
        <f t="shared" si="360"/>
        <v>-0.73928858595935354</v>
      </c>
      <c r="F975" s="12">
        <f>IF(E975&lt;=PARAMS_MODELO!$B$15,0,IF(E975&gt;=PARAMS_MODELO!$B$17,100,100*MIN(1,(E975-PARAMS_MODELO!$B$15)/(PARAMS_MODELO!$B$16-PARAMS_MODELO!$B$15))))*PARAMS_MODELO!$B$7</f>
        <v>0</v>
      </c>
      <c r="G975" s="5">
        <f t="shared" si="361"/>
        <v>0</v>
      </c>
      <c r="H975" s="5">
        <f>(PARAMS_MODELO!$B$20*(MAX(0,MIN(3,E975))/3)+PARAMS_MODELO!$B$21*(IFERROR(LN(1+MAX(0,G975))/LN(1+MAX(0,MAX($G$2:$G$1194))),0)))*100*PARAMS_MODELO!$B$8</f>
        <v>0</v>
      </c>
      <c r="I975" s="8">
        <f>E975-PARAMS_MODELO!$B$5</f>
        <v>-0.91685142133488007</v>
      </c>
      <c r="J975" s="5">
        <f>IF(I975&lt;=PARAMS_MODELO!$B$18,0,IF(I975&gt;=PARAMS_MODELO!$B$19,100,100*(I975-PARAMS_MODELO!$B$18)/(PARAMS_MODELO!$B$19-PARAMS_MODELO!$B$18)))*PARAMS_MODELO!$B$9</f>
        <v>0</v>
      </c>
      <c r="K975" s="5">
        <f>IFERROR(CHOOSE(MATCH(PARAMS_MODELO!$B$2,{"Q1","Q2","Q3"},0),LOTO!$D975,LOTO!$F975,LOTO!$H975),0)</f>
        <v>552500</v>
      </c>
      <c r="L975" s="8">
        <f t="shared" si="362"/>
        <v>5.2487573745041115E-2</v>
      </c>
      <c r="M975" s="5">
        <f>MIN(100,IF(PARAMS_MODELO!$B$23=0,0,100*L975/PARAMS_MODELO!$B$23))*PARAMS_MODELO!$B$10</f>
        <v>15</v>
      </c>
      <c r="N975" s="5">
        <f>IFERROR(VLOOKUP(A975,COMPLIANCE!$A$2:$F$1996,6,0),100)</f>
        <v>100</v>
      </c>
      <c r="O975" s="5">
        <f>N975*PARAMS_MODELO!$B$11</f>
        <v>10</v>
      </c>
      <c r="P975" s="5">
        <f>IFERROR(VLOOKUP(A975,DIGITAL!$A$2:$J$2000,7,0),100)</f>
        <v>9</v>
      </c>
      <c r="Q975" s="5">
        <f>IFERROR(P975,0)*PARAMS_MODELO!$B$12</f>
        <v>0.9</v>
      </c>
      <c r="R975">
        <f t="shared" si="363"/>
        <v>25.9</v>
      </c>
      <c r="S975" s="5" t="str">
        <f>IFERROR(VLOOKUP(A975,CLIENTE!$A$2:$N$2000,13,0),1)</f>
        <v>Regular</v>
      </c>
      <c r="T975" s="5">
        <f>IFERROR(VLOOKUP(A975,CLIENTE!$A$2:$N$2000,14,0),1)</f>
        <v>1</v>
      </c>
      <c r="U975" s="5">
        <f t="shared" si="364"/>
        <v>25.9</v>
      </c>
      <c r="V975" s="5" t="str">
        <f>IF(U975&gt;=MAX(_xlfn.PERCENTILE.INC($U$2:$U$1194,PARAMS_MODELO!$B$50),PARAMS_MODELO!$B$45),"DIAMANTE",IF(U975&gt;=MAX(_xlfn.PERCENTILE.INC($U$2:$U$1194,PARAMS_MODELO!$B$51),PARAMS_MODELO!$B$46),"PLATINO",IF(U975&gt;=MAX(_xlfn.PERCENTILE.INC($U$2:$U$1194,PARAMS_MODELO!$B$52),PARAMS_MODELO!$B$47),"ORO",IF(U975&gt;=MAX(_xlfn.PERCENTILE.INC($U$2:$U$1194,PARAMS_MODELO!$B$53),PARAMS_MODELO!$B$48),"PLATA",IF(U975&gt;=1,"BRONCE","CERRADO")))))</f>
        <v>PLATA</v>
      </c>
      <c r="W975" s="5" t="str" cm="1">
        <f t="array" ref="W975">_xlfn.XLOOKUP(1, (HIST_SCORE!$B:$B=PARAMS_MODELO!$B$4) * (HIST_SCORE!$C:$C=A975), HIST_SCORE!$E:$E, "No encontrado")</f>
        <v>PLATA</v>
      </c>
      <c r="X975" s="5" t="str">
        <f>_xlfn.LET(_xlpm.act,MATCH(V975,{"DIAMANTE";"PLATINO";"ORO";"PLATA";"BRONCE";"CERRADO"},0),_xlpm.ant,MATCH(W975,{"DIAMANTE";"PLATINO";"ORO";"PLATA";"BRONCE";"CERRADO"},0),IF(_xlpm.act&lt;_xlpm.ant,"Mejora ↑",IF(_xlpm.act&gt;_xlpm.ant,"Baja ↓","Estable →")))</f>
        <v>Estable →</v>
      </c>
      <c r="Y975" s="5">
        <f>IFERROR(U975-SUMIFS(HIST_SCORE!$D:$D,HIST_SCORE!$B:$B,PARAMS_MODELO!$B$4,HIST_SCORE!$C:$C,$A975),"")</f>
        <v>-11.980143071082665</v>
      </c>
      <c r="Z975" s="5" t="str">
        <f t="shared" si="365"/>
        <v>↓ Baja</v>
      </c>
      <c r="AA975" s="5">
        <f t="shared" si="366"/>
        <v>908</v>
      </c>
      <c r="AB975" s="5">
        <f>IFERROR(SUMIFS(HIST_SCORE!$F:$F,HIST_SCORE!$B:$B,PARAMS_MODELO!$B$4,HIST_SCORE!$C:$C,$A975),"")</f>
        <v>853</v>
      </c>
      <c r="AC975" s="5">
        <f t="shared" si="367"/>
        <v>-55</v>
      </c>
      <c r="AD975" t="str">
        <f t="shared" si="369"/>
        <v/>
      </c>
      <c r="AE9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975="CERRADO",1,IF(V975="BRONCE",_xlpm.cPl,IF(V975="PLATA",_xlpm.cO,IF(V975="ORO",_xlpm.cP,IF(V975="PLATINO",_xlpm.cD,999))))))</f>
        <v>63.199193273331495</v>
      </c>
      <c r="AF9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975="CERRADO",0,IF(V975="BRONCE",1,IF(V975="PLATA",_xlpm.cPl,IF(V975="ORO",_xlpm.cO,IF(V975="PLATINO",_xlpm.cP,_xlpm.cD))))))</f>
        <v>24.506573482968111</v>
      </c>
      <c r="AG975">
        <f t="shared" si="370"/>
        <v>37.299193273331497</v>
      </c>
      <c r="AH975" t="str">
        <f t="shared" si="371"/>
        <v>VENTAS</v>
      </c>
      <c r="AI975" t="str">
        <f t="shared" si="368"/>
        <v>🎯 Para subir de categoría, eje VENTAS / CRECIMIENTO PERSONAL (F). Acción: metas semanales + activación comercial + seguimiento del asesor. ΔR aprox: 37,3</v>
      </c>
      <c r="AJ975" s="26">
        <f>_xlfn.LET(_xlpm.piso,AF975,_xlpm.corte,AE975,_xlpm.prog,IF(_xlpm.corte&lt;=_xlpm.piso,0,MAX(0,MIN(1,(U975-_xlpm.piso)/(_xlpm.corte-_xlpm.piso)))),_xlpm.orden,{"DIAMANTE";"PLATINO";"ORO";"PLATA";"BRONCE";"CERRADO"},_xlpm.act,IFERROR(MATCH(V975,_xlpm.orden,0),6),_xlpm.ant,IFERROR(MATCH(W975,_xlpm.orden,0),6),_xlpm.ajmov,IF(_xlpm.act&lt;_xlpm.ant,0.08,IF(_xlpm.act&gt;_xlpm.ant,-0.08,0)),_xlpm.ajcli,IF(T975&lt;0.95,-0.06,0),_xlpm.prob,MAX(0,MIN(1,_xlpm.prog+_xlpm.ajmov+_xlpm.ajcli)),IF(OR(V975="DIAMANTE",V975="CERRADO"),0,ROUND(_xlpm.prob,2)))</f>
        <v>0.04</v>
      </c>
      <c r="AK975" t="str">
        <f t="shared" si="372"/>
        <v>Faltan 37,3 puntos base para subir a la siguiente categoría</v>
      </c>
      <c r="AL975" t="str">
        <f t="shared" si="373"/>
        <v>Margen de seguridad: 1,4 puntos</v>
      </c>
      <c r="AM975">
        <f t="shared" si="374"/>
        <v>0.78</v>
      </c>
      <c r="AN975" t="str">
        <f t="shared" si="375"/>
        <v>PRIORIDAD ALTA – requiere intervención inmediata</v>
      </c>
      <c r="AO975">
        <f t="shared" si="376"/>
        <v>64.862569275295584</v>
      </c>
      <c r="AP975">
        <f t="shared" si="377"/>
        <v>0</v>
      </c>
      <c r="AQ975">
        <f t="shared" si="378"/>
        <v>0</v>
      </c>
      <c r="AR975">
        <f t="shared" si="379"/>
        <v>9.1</v>
      </c>
      <c r="AS975">
        <f t="shared" si="380"/>
        <v>0</v>
      </c>
      <c r="AT975" t="str">
        <f t="shared" si="381"/>
        <v>VENTAS</v>
      </c>
      <c r="AU975">
        <f t="shared" si="382"/>
        <v>64.862569275295584</v>
      </c>
      <c r="AV975" t="str">
        <f t="shared" si="383"/>
        <v>Mayor retorno probable: VENTAS (+64,9 puntos finales potenciales).</v>
      </c>
    </row>
    <row r="976" spans="1:48" x14ac:dyDescent="0.3">
      <c r="A976" s="5">
        <v>51024664</v>
      </c>
      <c r="B976" s="5" t="str">
        <f>IFERROR(VLOOKUP(A976,VENTAS!$A$2:$B$1194,2,0),"")</f>
        <v>METTLER</v>
      </c>
      <c r="C976" s="5">
        <f>IFERROR(INDEX(VENTAS!$C$2:$E$1194,MATCH(A976,VENTAS!$A$2:$A$1194,0),MATCH(PARAMS_MODELO!$B$2,{"Q1","Q2","Q3"},0)),0)</f>
        <v>8346242.7599999998</v>
      </c>
      <c r="D976" s="5">
        <f>IFERROR(INDEX(VENTAS!$F$2:$H$1194,MATCH(A976,VENTAS!$A$2:$A$1194,0),MATCH(PARAMS_MODELO!$B$2,{"Q1","Q2","Q3"},0)),0)</f>
        <v>9952880</v>
      </c>
      <c r="E976" s="8">
        <f t="shared" si="360"/>
        <v>0.19249826373370427</v>
      </c>
      <c r="F976" s="12">
        <f>IF(E976&lt;=PARAMS_MODELO!$B$15,0,IF(E976&gt;=PARAMS_MODELO!$B$17,100,100*MIN(1,(E976-PARAMS_MODELO!$B$15)/(PARAMS_MODELO!$B$16-PARAMS_MODELO!$B$15))))*PARAMS_MODELO!$B$7</f>
        <v>35</v>
      </c>
      <c r="G976" s="5">
        <f t="shared" si="361"/>
        <v>1606637.2400000002</v>
      </c>
      <c r="H976" s="5">
        <f>(PARAMS_MODELO!$B$20*(MAX(0,MIN(3,E976))/3)+PARAMS_MODELO!$B$21*(IFERROR(LN(1+MAX(0,G976))/LN(1+MAX(0,MAX($G$2:$G$1194))),0)))*100*PARAMS_MODELO!$B$8</f>
        <v>4.0234384323552446</v>
      </c>
      <c r="I976" s="8">
        <f>E976-PARAMS_MODELO!$B$5</f>
        <v>1.4935428358177738E-2</v>
      </c>
      <c r="J976" s="5">
        <f>IF(I976&lt;=PARAMS_MODELO!$B$18,0,IF(I976&gt;=PARAMS_MODELO!$B$19,100,100*(I976-PARAMS_MODELO!$B$18)/(PARAMS_MODELO!$B$19-PARAMS_MODELO!$B$18)))*PARAMS_MODELO!$B$9</f>
        <v>9.7403142537266589</v>
      </c>
      <c r="K976" s="5">
        <f>IFERROR(CHOOSE(MATCH(PARAMS_MODELO!$B$2,{"Q1","Q2","Q3"},0),LOTO!$D976,LOTO!$F976,LOTO!$H976),0)</f>
        <v>550000</v>
      </c>
      <c r="L976" s="8">
        <f t="shared" si="362"/>
        <v>5.5260386943276722E-2</v>
      </c>
      <c r="M976" s="5">
        <f>MIN(100,IF(PARAMS_MODELO!$B$23=0,0,100*L976/PARAMS_MODELO!$B$23))*PARAMS_MODELO!$B$10</f>
        <v>15</v>
      </c>
      <c r="N976" s="5">
        <f>IFERROR(VLOOKUP(A976,COMPLIANCE!$A$2:$F$1996,6,0),100)</f>
        <v>99.9</v>
      </c>
      <c r="O976" s="5">
        <f>N976*PARAMS_MODELO!$B$11</f>
        <v>9.990000000000002</v>
      </c>
      <c r="P976" s="5">
        <f>IFERROR(VLOOKUP(A976,DIGITAL!$A$2:$J$2000,7,0),100)</f>
        <v>57</v>
      </c>
      <c r="Q976" s="5">
        <f>IFERROR(P976,0)*PARAMS_MODELO!$B$12</f>
        <v>5.7</v>
      </c>
      <c r="R976">
        <f t="shared" si="363"/>
        <v>79.453752686081899</v>
      </c>
      <c r="S976" s="5" t="str">
        <f>IFERROR(VLOOKUP(A976,CLIENTE!$A$2:$N$2000,13,0),1)</f>
        <v>Bueno</v>
      </c>
      <c r="T976" s="5">
        <f>IFERROR(VLOOKUP(A976,CLIENTE!$A$2:$N$2000,14,0),1)</f>
        <v>1.1000000000000001</v>
      </c>
      <c r="U976" s="5">
        <f t="shared" si="364"/>
        <v>87.399127954690101</v>
      </c>
      <c r="V976" s="5" t="str">
        <f>IF(U976&gt;=MAX(_xlfn.PERCENTILE.INC($U$2:$U$1194,PARAMS_MODELO!$B$50),PARAMS_MODELO!$B$45),"DIAMANTE",IF(U976&gt;=MAX(_xlfn.PERCENTILE.INC($U$2:$U$1194,PARAMS_MODELO!$B$51),PARAMS_MODELO!$B$46),"PLATINO",IF(U976&gt;=MAX(_xlfn.PERCENTILE.INC($U$2:$U$1194,PARAMS_MODELO!$B$52),PARAMS_MODELO!$B$47),"ORO",IF(U976&gt;=MAX(_xlfn.PERCENTILE.INC($U$2:$U$1194,PARAMS_MODELO!$B$53),PARAMS_MODELO!$B$48),"PLATA",IF(U976&gt;=1,"BRONCE","CERRADO")))))</f>
        <v>PLATINO</v>
      </c>
      <c r="W976" s="5" t="str" cm="1">
        <f t="array" ref="W976">_xlfn.XLOOKUP(1, (HIST_SCORE!$B:$B=PARAMS_MODELO!$B$4) * (HIST_SCORE!$C:$C=A976), HIST_SCORE!$E:$E, "No encontrado")</f>
        <v>ORO</v>
      </c>
      <c r="X976" s="5" t="str">
        <f>_xlfn.LET(_xlpm.act,MATCH(V976,{"DIAMANTE";"PLATINO";"ORO";"PLATA";"BRONCE";"CERRADO"},0),_xlpm.ant,MATCH(W976,{"DIAMANTE";"PLATINO";"ORO";"PLATA";"BRONCE";"CERRADO"},0),IF(_xlpm.act&lt;_xlpm.ant,"Mejora ↑",IF(_xlpm.act&gt;_xlpm.ant,"Baja ↓","Estable →")))</f>
        <v>Mejora ↑</v>
      </c>
      <c r="Y976" s="5">
        <f>IFERROR(U976-SUMIFS(HIST_SCORE!$D:$D,HIST_SCORE!$B:$B,PARAMS_MODELO!$B$4,HIST_SCORE!$C:$C,$A976),"")</f>
        <v>7.0830204026961638</v>
      </c>
      <c r="Z976" s="5" t="str">
        <f t="shared" si="365"/>
        <v>↑ Mejora</v>
      </c>
      <c r="AA976" s="5">
        <f t="shared" si="366"/>
        <v>214</v>
      </c>
      <c r="AB976" s="5">
        <f>IFERROR(SUMIFS(HIST_SCORE!$F:$F,HIST_SCORE!$B:$B,PARAMS_MODELO!$B$4,HIST_SCORE!$C:$C,$A976),"")</f>
        <v>411</v>
      </c>
      <c r="AC976" s="5">
        <f t="shared" si="367"/>
        <v>197</v>
      </c>
      <c r="AD976" t="str">
        <f t="shared" si="369"/>
        <v/>
      </c>
      <c r="AE9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976="CERRADO",1,IF(V976="BRONCE",_xlpm.cPl,IF(V976="PLATA",_xlpm.cO,IF(V976="ORO",_xlpm.cP,IF(V976="PLATINO",_xlpm.cD,999))))))</f>
        <v>96.054919694466676</v>
      </c>
      <c r="AF9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976="CERRADO",0,IF(V976="BRONCE",1,IF(V976="PLATA",_xlpm.cPl,IF(V976="ORO",_xlpm.cO,IF(V976="PLATINO",_xlpm.cP,_xlpm.cD))))))</f>
        <v>86.439123873763251</v>
      </c>
      <c r="AG976">
        <f t="shared" si="370"/>
        <v>7.8689015816150771</v>
      </c>
      <c r="AH976" t="str">
        <f t="shared" si="371"/>
        <v>VENTAS</v>
      </c>
      <c r="AI976" t="str">
        <f t="shared" si="368"/>
        <v>🎯 Para subir de categoría, eje VENTAS / IMPACTO ABSOLUTO (H). Acción: metas semanales + activación comercial + seguimiento del asesor. ΔR aprox: 7,9</v>
      </c>
      <c r="AJ976" s="26">
        <f>_xlfn.LET(_xlpm.piso,AF976,_xlpm.corte,AE976,_xlpm.prog,IF(_xlpm.corte&lt;=_xlpm.piso,0,MAX(0,MIN(1,(U976-_xlpm.piso)/(_xlpm.corte-_xlpm.piso)))),_xlpm.orden,{"DIAMANTE";"PLATINO";"ORO";"PLATA";"BRONCE";"CERRADO"},_xlpm.act,IFERROR(MATCH(V976,_xlpm.orden,0),6),_xlpm.ant,IFERROR(MATCH(W976,_xlpm.orden,0),6),_xlpm.ajmov,IF(_xlpm.act&lt;_xlpm.ant,0.08,IF(_xlpm.act&gt;_xlpm.ant,-0.08,0)),_xlpm.ajcli,IF(T976&lt;0.95,-0.06,0),_xlpm.prob,MAX(0,MIN(1,_xlpm.prog+_xlpm.ajmov+_xlpm.ajcli)),IF(OR(V976="DIAMANTE",V976="CERRADO"),0,ROUND(_xlpm.prob,2)))</f>
        <v>0.18</v>
      </c>
      <c r="AK976" t="str">
        <f t="shared" si="372"/>
        <v>Faltan 7,9 puntos base para subir a la siguiente categoría</v>
      </c>
      <c r="AL976" t="str">
        <f t="shared" si="373"/>
        <v>Margen de seguridad: 1,0 puntos</v>
      </c>
      <c r="AM976">
        <f t="shared" si="374"/>
        <v>0.64</v>
      </c>
      <c r="AN976" t="str">
        <f t="shared" si="375"/>
        <v>PRIORIDAD MEDIA – seguimiento del asesor</v>
      </c>
      <c r="AO976">
        <f t="shared" si="376"/>
        <v>17.708698248135054</v>
      </c>
      <c r="AP976">
        <f t="shared" si="377"/>
        <v>0</v>
      </c>
      <c r="AQ976">
        <f t="shared" si="378"/>
        <v>1.0999999999997812E-2</v>
      </c>
      <c r="AR976">
        <f t="shared" si="379"/>
        <v>4.7300000000000004</v>
      </c>
      <c r="AS976">
        <f t="shared" si="380"/>
        <v>0</v>
      </c>
      <c r="AT976" t="str">
        <f t="shared" si="381"/>
        <v>VENTAS</v>
      </c>
      <c r="AU976">
        <f t="shared" si="382"/>
        <v>17.708698248135054</v>
      </c>
      <c r="AV976" t="str">
        <f t="shared" si="383"/>
        <v>Mayor retorno probable: VENTAS (+17,7 puntos finales potenciales).</v>
      </c>
    </row>
    <row r="977" spans="1:48" x14ac:dyDescent="0.3">
      <c r="A977" s="5">
        <v>51009185</v>
      </c>
      <c r="B977" s="5" t="str">
        <f>IFERROR(VLOOKUP(A977,VENTAS!$A$2:$B$1194,2,0),"")</f>
        <v>AYALA</v>
      </c>
      <c r="C977" s="5">
        <f>IFERROR(INDEX(VENTAS!$C$2:$E$1194,MATCH(A977,VENTAS!$A$2:$A$1194,0),MATCH(PARAMS_MODELO!$B$2,{"Q1","Q2","Q3"},0)),0)</f>
        <v>11141691.98</v>
      </c>
      <c r="D977" s="5">
        <f>IFERROR(INDEX(VENTAS!$F$2:$H$1194,MATCH(A977,VENTAS!$A$2:$A$1194,0),MATCH(PARAMS_MODELO!$B$2,{"Q1","Q2","Q3"},0)),0)</f>
        <v>9310855</v>
      </c>
      <c r="E977" s="8">
        <f t="shared" si="360"/>
        <v>-0.16432306540931685</v>
      </c>
      <c r="F977" s="12">
        <f>IF(E977&lt;=PARAMS_MODELO!$B$15,0,IF(E977&gt;=PARAMS_MODELO!$B$17,100,100*MIN(1,(E977-PARAMS_MODELO!$B$15)/(PARAMS_MODELO!$B$16-PARAMS_MODELO!$B$15))))*PARAMS_MODELO!$B$7</f>
        <v>0</v>
      </c>
      <c r="G977" s="5">
        <f t="shared" si="361"/>
        <v>0</v>
      </c>
      <c r="H977" s="5">
        <f>(PARAMS_MODELO!$B$20*(MAX(0,MIN(3,E977))/3)+PARAMS_MODELO!$B$21*(IFERROR(LN(1+MAX(0,G977))/LN(1+MAX(0,MAX($G$2:$G$1194))),0)))*100*PARAMS_MODELO!$B$8</f>
        <v>0</v>
      </c>
      <c r="I977" s="8">
        <f>E977-PARAMS_MODELO!$B$5</f>
        <v>-0.34188590078484338</v>
      </c>
      <c r="J977" s="5">
        <f>IF(I977&lt;=PARAMS_MODELO!$B$18,0,IF(I977&gt;=PARAMS_MODELO!$B$19,100,100*(I977-PARAMS_MODELO!$B$18)/(PARAMS_MODELO!$B$19-PARAMS_MODELO!$B$18)))*PARAMS_MODELO!$B$9</f>
        <v>0</v>
      </c>
      <c r="K977" s="5">
        <f>IFERROR(CHOOSE(MATCH(PARAMS_MODELO!$B$2,{"Q1","Q2","Q3"},0),LOTO!$D977,LOTO!$F977,LOTO!$H977),0)</f>
        <v>495000</v>
      </c>
      <c r="L977" s="8">
        <f t="shared" si="362"/>
        <v>5.3163753489878215E-2</v>
      </c>
      <c r="M977" s="5">
        <f>MIN(100,IF(PARAMS_MODELO!$B$23=0,0,100*L977/PARAMS_MODELO!$B$23))*PARAMS_MODELO!$B$10</f>
        <v>15</v>
      </c>
      <c r="N977" s="5">
        <f>IFERROR(VLOOKUP(A977,COMPLIANCE!$A$2:$F$1996,6,0),100)</f>
        <v>100</v>
      </c>
      <c r="O977" s="5">
        <f>N977*PARAMS_MODELO!$B$11</f>
        <v>10</v>
      </c>
      <c r="P977" s="5">
        <f>IFERROR(VLOOKUP(A977,DIGITAL!$A$2:$J$2000,7,0),100)</f>
        <v>5</v>
      </c>
      <c r="Q977" s="5">
        <f>IFERROR(P977,0)*PARAMS_MODELO!$B$12</f>
        <v>0.5</v>
      </c>
      <c r="R977">
        <f t="shared" si="363"/>
        <v>25.5</v>
      </c>
      <c r="S977" s="5" t="str">
        <f>IFERROR(VLOOKUP(A977,CLIENTE!$A$2:$N$2000,13,0),1)</f>
        <v>Excelente</v>
      </c>
      <c r="T977" s="5">
        <f>IFERROR(VLOOKUP(A977,CLIENTE!$A$2:$N$2000,14,0),1)</f>
        <v>1.2</v>
      </c>
      <c r="U977" s="5">
        <f t="shared" si="364"/>
        <v>30.599999999999998</v>
      </c>
      <c r="V977" s="5" t="str">
        <f>IF(U977&gt;=MAX(_xlfn.PERCENTILE.INC($U$2:$U$1194,PARAMS_MODELO!$B$50),PARAMS_MODELO!$B$45),"DIAMANTE",IF(U977&gt;=MAX(_xlfn.PERCENTILE.INC($U$2:$U$1194,PARAMS_MODELO!$B$51),PARAMS_MODELO!$B$46),"PLATINO",IF(U977&gt;=MAX(_xlfn.PERCENTILE.INC($U$2:$U$1194,PARAMS_MODELO!$B$52),PARAMS_MODELO!$B$47),"ORO",IF(U977&gt;=MAX(_xlfn.PERCENTILE.INC($U$2:$U$1194,PARAMS_MODELO!$B$53),PARAMS_MODELO!$B$48),"PLATA",IF(U977&gt;=1,"BRONCE","CERRADO")))))</f>
        <v>PLATA</v>
      </c>
      <c r="W977" s="5" t="str" cm="1">
        <f t="array" ref="W977">_xlfn.XLOOKUP(1, (HIST_SCORE!$B:$B=PARAMS_MODELO!$B$4) * (HIST_SCORE!$C:$C=A977), HIST_SCORE!$E:$E, "No encontrado")</f>
        <v>DIAMANTE</v>
      </c>
      <c r="X977" s="5" t="str">
        <f>_xlfn.LET(_xlpm.act,MATCH(V977,{"DIAMANTE";"PLATINO";"ORO";"PLATA";"BRONCE";"CERRADO"},0),_xlpm.ant,MATCH(W977,{"DIAMANTE";"PLATINO";"ORO";"PLATA";"BRONCE";"CERRADO"},0),IF(_xlpm.act&lt;_xlpm.ant,"Mejora ↑",IF(_xlpm.act&gt;_xlpm.ant,"Baja ↓","Estable →")))</f>
        <v>Baja ↓</v>
      </c>
      <c r="Y977" s="5">
        <f>IFERROR(U977-SUMIFS(HIST_SCORE!$D:$D,HIST_SCORE!$B:$B,PARAMS_MODELO!$B$4,HIST_SCORE!$C:$C,$A977),"")</f>
        <v>-65.503778018515078</v>
      </c>
      <c r="Z977" s="5" t="str">
        <f t="shared" si="365"/>
        <v>↓ Baja</v>
      </c>
      <c r="AA977" s="5">
        <f t="shared" si="366"/>
        <v>853</v>
      </c>
      <c r="AB977" s="5">
        <f>IFERROR(SUMIFS(HIST_SCORE!$F:$F,HIST_SCORE!$B:$B,PARAMS_MODELO!$B$4,HIST_SCORE!$C:$C,$A977),"")</f>
        <v>52</v>
      </c>
      <c r="AC977" s="5">
        <f t="shared" si="367"/>
        <v>-801</v>
      </c>
      <c r="AD977" t="str">
        <f t="shared" si="369"/>
        <v/>
      </c>
      <c r="AE9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977="CERRADO",1,IF(V977="BRONCE",_xlpm.cPl,IF(V977="PLATA",_xlpm.cO,IF(V977="ORO",_xlpm.cP,IF(V977="PLATINO",_xlpm.cD,999))))))</f>
        <v>63.199193273331495</v>
      </c>
      <c r="AF9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977="CERRADO",0,IF(V977="BRONCE",1,IF(V977="PLATA",_xlpm.cPl,IF(V977="ORO",_xlpm.cO,IF(V977="PLATINO",_xlpm.cP,_xlpm.cD))))))</f>
        <v>24.506573482968111</v>
      </c>
      <c r="AG977">
        <f t="shared" si="370"/>
        <v>27.165994394442912</v>
      </c>
      <c r="AH977" t="str">
        <f t="shared" si="371"/>
        <v>VENTAS</v>
      </c>
      <c r="AI977" t="str">
        <f t="shared" si="368"/>
        <v>🎯 Para subir de categoría, eje VENTAS / CRECIMIENTO PERSONAL (F). Acción: metas semanales + activación comercial + seguimiento del asesor. ΔR aprox: 27,2</v>
      </c>
      <c r="AJ977" s="26">
        <f>_xlfn.LET(_xlpm.piso,AF977,_xlpm.corte,AE977,_xlpm.prog,IF(_xlpm.corte&lt;=_xlpm.piso,0,MAX(0,MIN(1,(U977-_xlpm.piso)/(_xlpm.corte-_xlpm.piso)))),_xlpm.orden,{"DIAMANTE";"PLATINO";"ORO";"PLATA";"BRONCE";"CERRADO"},_xlpm.act,IFERROR(MATCH(V977,_xlpm.orden,0),6),_xlpm.ant,IFERROR(MATCH(W977,_xlpm.orden,0),6),_xlpm.ajmov,IF(_xlpm.act&lt;_xlpm.ant,0.08,IF(_xlpm.act&gt;_xlpm.ant,-0.08,0)),_xlpm.ajcli,IF(T977&lt;0.95,-0.06,0),_xlpm.prob,MAX(0,MIN(1,_xlpm.prog+_xlpm.ajmov+_xlpm.ajcli)),IF(OR(V977="DIAMANTE",V977="CERRADO"),0,ROUND(_xlpm.prob,2)))</f>
        <v>0.08</v>
      </c>
      <c r="AK977" t="str">
        <f t="shared" si="372"/>
        <v>Faltan 27,2 puntos base para subir a la siguiente categoría</v>
      </c>
      <c r="AL977" t="str">
        <f t="shared" si="373"/>
        <v>Margen de seguridad: 6,1 puntos</v>
      </c>
      <c r="AM977">
        <f t="shared" si="374"/>
        <v>0.77</v>
      </c>
      <c r="AN977" t="str">
        <f t="shared" si="375"/>
        <v>PRIORIDAD ALTA – requiere intervención inmediata</v>
      </c>
      <c r="AO977">
        <f t="shared" si="376"/>
        <v>77.835083130354704</v>
      </c>
      <c r="AP977">
        <f t="shared" si="377"/>
        <v>0</v>
      </c>
      <c r="AQ977">
        <f t="shared" si="378"/>
        <v>0</v>
      </c>
      <c r="AR977">
        <f t="shared" si="379"/>
        <v>11.4</v>
      </c>
      <c r="AS977">
        <f t="shared" si="380"/>
        <v>0</v>
      </c>
      <c r="AT977" t="str">
        <f t="shared" si="381"/>
        <v>VENTAS</v>
      </c>
      <c r="AU977">
        <f t="shared" si="382"/>
        <v>77.835083130354704</v>
      </c>
      <c r="AV977" t="str">
        <f t="shared" si="383"/>
        <v>Mayor retorno probable: VENTAS (+77,8 puntos finales potenciales).</v>
      </c>
    </row>
    <row r="978" spans="1:48" x14ac:dyDescent="0.3">
      <c r="A978" s="5">
        <v>51039424</v>
      </c>
      <c r="B978" s="5" t="str">
        <f>IFERROR(VLOOKUP(A978,VENTAS!$A$2:$B$1194,2,0),"")</f>
        <v/>
      </c>
      <c r="C978" s="5">
        <f>IFERROR(INDEX(VENTAS!$C$2:$E$1194,MATCH(A978,VENTAS!$A$2:$A$1194,0),MATCH(PARAMS_MODELO!$B$2,{"Q1","Q2","Q3"},0)),0)</f>
        <v>50430973.119999997</v>
      </c>
      <c r="D978" s="5">
        <f>IFERROR(INDEX(VENTAS!$F$2:$H$1194,MATCH(A978,VENTAS!$A$2:$A$1194,0),MATCH(PARAMS_MODELO!$B$2,{"Q1","Q2","Q3"},0)),0)</f>
        <v>9095635</v>
      </c>
      <c r="E978" s="8">
        <f t="shared" si="360"/>
        <v>-0.81964188994812714</v>
      </c>
      <c r="F978" s="12">
        <f>IF(E978&lt;=PARAMS_MODELO!$B$15,0,IF(E978&gt;=PARAMS_MODELO!$B$17,100,100*MIN(1,(E978-PARAMS_MODELO!$B$15)/(PARAMS_MODELO!$B$16-PARAMS_MODELO!$B$15))))*PARAMS_MODELO!$B$7</f>
        <v>0</v>
      </c>
      <c r="G978" s="5">
        <f t="shared" si="361"/>
        <v>0</v>
      </c>
      <c r="H978" s="5">
        <f>(PARAMS_MODELO!$B$20*(MAX(0,MIN(3,E978))/3)+PARAMS_MODELO!$B$21*(IFERROR(LN(1+MAX(0,G978))/LN(1+MAX(0,MAX($G$2:$G$1194))),0)))*100*PARAMS_MODELO!$B$8</f>
        <v>0</v>
      </c>
      <c r="I978" s="8">
        <f>E978-PARAMS_MODELO!$B$5</f>
        <v>-0.99720472532365367</v>
      </c>
      <c r="J978" s="5">
        <f>IF(I978&lt;=PARAMS_MODELO!$B$18,0,IF(I978&gt;=PARAMS_MODELO!$B$19,100,100*(I978-PARAMS_MODELO!$B$18)/(PARAMS_MODELO!$B$19-PARAMS_MODELO!$B$18)))*PARAMS_MODELO!$B$9</f>
        <v>0</v>
      </c>
      <c r="K978" s="5">
        <f>IFERROR(CHOOSE(MATCH(PARAMS_MODELO!$B$2,{"Q1","Q2","Q3"},0),LOTO!$D978,LOTO!$F978,LOTO!$H978),0)</f>
        <v>475000</v>
      </c>
      <c r="L978" s="8">
        <f t="shared" si="362"/>
        <v>5.2222851950413575E-2</v>
      </c>
      <c r="M978" s="5">
        <f>MIN(100,IF(PARAMS_MODELO!$B$23=0,0,100*L978/PARAMS_MODELO!$B$23))*PARAMS_MODELO!$B$10</f>
        <v>15</v>
      </c>
      <c r="N978" s="5">
        <f>IFERROR(VLOOKUP(A978,COMPLIANCE!$A$2:$F$1996,6,0),100)</f>
        <v>99.7</v>
      </c>
      <c r="O978" s="5">
        <f>N978*PARAMS_MODELO!$B$11</f>
        <v>9.9700000000000006</v>
      </c>
      <c r="P978" s="5">
        <f>IFERROR(VLOOKUP(A978,DIGITAL!$A$2:$J$2000,7,0),100)</f>
        <v>29</v>
      </c>
      <c r="Q978" s="5">
        <f>IFERROR(P978,0)*PARAMS_MODELO!$B$12</f>
        <v>2.9000000000000004</v>
      </c>
      <c r="R978">
        <f t="shared" si="363"/>
        <v>27.869999999999997</v>
      </c>
      <c r="S978" s="5" t="str">
        <f>IFERROR(VLOOKUP(A978,CLIENTE!$A$2:$N$2000,13,0),1)</f>
        <v>Malo</v>
      </c>
      <c r="T978" s="5">
        <f>IFERROR(VLOOKUP(A978,CLIENTE!$A$2:$N$2000,14,0),1)</f>
        <v>0.7</v>
      </c>
      <c r="U978" s="5">
        <f t="shared" si="364"/>
        <v>19.508999999999997</v>
      </c>
      <c r="V978" s="5" t="str">
        <f>IF(U978&gt;=MAX(_xlfn.PERCENTILE.INC($U$2:$U$1194,PARAMS_MODELO!$B$50),PARAMS_MODELO!$B$45),"DIAMANTE",IF(U978&gt;=MAX(_xlfn.PERCENTILE.INC($U$2:$U$1194,PARAMS_MODELO!$B$51),PARAMS_MODELO!$B$46),"PLATINO",IF(U978&gt;=MAX(_xlfn.PERCENTILE.INC($U$2:$U$1194,PARAMS_MODELO!$B$52),PARAMS_MODELO!$B$47),"ORO",IF(U978&gt;=MAX(_xlfn.PERCENTILE.INC($U$2:$U$1194,PARAMS_MODELO!$B$53),PARAMS_MODELO!$B$48),"PLATA",IF(U978&gt;=1,"BRONCE","CERRADO")))))</f>
        <v>BRONCE</v>
      </c>
      <c r="W978" s="5" t="str" cm="1">
        <f t="array" ref="W978">_xlfn.XLOOKUP(1, (HIST_SCORE!$B:$B=PARAMS_MODELO!$B$4) * (HIST_SCORE!$C:$C=A978), HIST_SCORE!$E:$E, "No encontrado")</f>
        <v>BRONCE</v>
      </c>
      <c r="X978" s="5" t="str">
        <f>_xlfn.LET(_xlpm.act,MATCH(V978,{"DIAMANTE";"PLATINO";"ORO";"PLATA";"BRONCE";"CERRADO"},0),_xlpm.ant,MATCH(W978,{"DIAMANTE";"PLATINO";"ORO";"PLATA";"BRONCE";"CERRADO"},0),IF(_xlpm.act&lt;_xlpm.ant,"Mejora ↑",IF(_xlpm.act&gt;_xlpm.ant,"Baja ↓","Estable →")))</f>
        <v>Estable →</v>
      </c>
      <c r="Y978" s="5">
        <f>IFERROR(U978-SUMIFS(HIST_SCORE!$D:$D,HIST_SCORE!$B:$B,PARAMS_MODELO!$B$4,HIST_SCORE!$C:$C,$A978),"")</f>
        <v>10.499999999999996</v>
      </c>
      <c r="Z978" s="5" t="str">
        <f t="shared" si="365"/>
        <v>↑ Mejora</v>
      </c>
      <c r="AA978" s="5">
        <f t="shared" si="366"/>
        <v>986</v>
      </c>
      <c r="AB978" s="5">
        <f>IFERROR(SUMIFS(HIST_SCORE!$F:$F,HIST_SCORE!$B:$B,PARAMS_MODELO!$B$4,HIST_SCORE!$C:$C,$A978),"")</f>
        <v>1176</v>
      </c>
      <c r="AC978" s="5">
        <f t="shared" si="367"/>
        <v>190</v>
      </c>
      <c r="AD978" t="str">
        <f t="shared" si="369"/>
        <v/>
      </c>
      <c r="AE9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978="CERRADO",1,IF(V978="BRONCE",_xlpm.cPl,IF(V978="PLATA",_xlpm.cO,IF(V978="ORO",_xlpm.cP,IF(V978="PLATINO",_xlpm.cD,999))))))</f>
        <v>24.506573482968111</v>
      </c>
      <c r="AF9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978="CERRADO",0,IF(V978="BRONCE",1,IF(V978="PLATA",_xlpm.cPl,IF(V978="ORO",_xlpm.cO,IF(V978="PLATINO",_xlpm.cP,_xlpm.cD))))))</f>
        <v>1</v>
      </c>
      <c r="AG978">
        <f t="shared" si="370"/>
        <v>7.1393906899544461</v>
      </c>
      <c r="AH978" t="str">
        <f t="shared" si="371"/>
        <v>CLIENTE</v>
      </c>
      <c r="AI978" t="str">
        <f t="shared" si="368"/>
        <v>🎯 Para subir de categoría, la eje con mayor impacto probable es CLIENTE (coef T). Acción: reducir quejas, mejorar incógnito y empujar reseñas. ΔR aprox: 7,1</v>
      </c>
      <c r="AJ978" s="26">
        <f>_xlfn.LET(_xlpm.piso,AF978,_xlpm.corte,AE978,_xlpm.prog,IF(_xlpm.corte&lt;=_xlpm.piso,0,MAX(0,MIN(1,(U978-_xlpm.piso)/(_xlpm.corte-_xlpm.piso)))),_xlpm.orden,{"DIAMANTE";"PLATINO";"ORO";"PLATA";"BRONCE";"CERRADO"},_xlpm.act,IFERROR(MATCH(V978,_xlpm.orden,0),6),_xlpm.ant,IFERROR(MATCH(W978,_xlpm.orden,0),6),_xlpm.ajmov,IF(_xlpm.act&lt;_xlpm.ant,0.08,IF(_xlpm.act&gt;_xlpm.ant,-0.08,0)),_xlpm.ajcli,IF(T978&lt;0.95,-0.06,0),_xlpm.prob,MAX(0,MIN(1,_xlpm.prog+_xlpm.ajmov+_xlpm.ajcli)),IF(OR(V978="DIAMANTE",V978="CERRADO"),0,ROUND(_xlpm.prob,2)))</f>
        <v>0.73</v>
      </c>
      <c r="AK978" t="str">
        <f t="shared" si="372"/>
        <v>Faltan 7,1 puntos base para subir a la siguiente categoría</v>
      </c>
      <c r="AL978" t="str">
        <f t="shared" si="373"/>
        <v>No aplica</v>
      </c>
      <c r="AM978">
        <f t="shared" si="374"/>
        <v>0.59</v>
      </c>
      <c r="AN978" t="str">
        <f t="shared" si="375"/>
        <v>PRIORIDAD MEDIA – seguimiento del asesor</v>
      </c>
      <c r="AO978">
        <f t="shared" si="376"/>
        <v>45.403798492706905</v>
      </c>
      <c r="AP978">
        <f t="shared" si="377"/>
        <v>0</v>
      </c>
      <c r="AQ978">
        <f t="shared" si="378"/>
        <v>2.099999999999955E-2</v>
      </c>
      <c r="AR978">
        <f t="shared" si="379"/>
        <v>4.97</v>
      </c>
      <c r="AS978">
        <f t="shared" si="380"/>
        <v>8.3610000000000007</v>
      </c>
      <c r="AT978" t="str">
        <f t="shared" si="381"/>
        <v>VENTAS</v>
      </c>
      <c r="AU978">
        <f t="shared" si="382"/>
        <v>45.403798492706905</v>
      </c>
      <c r="AV978" t="str">
        <f t="shared" si="383"/>
        <v>Mayor retorno probable: VENTAS (+45,4 puntos finales potenciales).</v>
      </c>
    </row>
    <row r="979" spans="1:48" x14ac:dyDescent="0.3">
      <c r="A979" s="5">
        <v>51038941</v>
      </c>
      <c r="B979" s="5" t="str">
        <f>IFERROR(VLOOKUP(A979,VENTAS!$A$2:$B$1194,2,0),"")</f>
        <v>ARGUELLO</v>
      </c>
      <c r="C979" s="5">
        <f>IFERROR(INDEX(VENTAS!$C$2:$E$1194,MATCH(A979,VENTAS!$A$2:$A$1194,0),MATCH(PARAMS_MODELO!$B$2,{"Q1","Q2","Q3"},0)),0)</f>
        <v>18186966.84</v>
      </c>
      <c r="D979" s="5">
        <f>IFERROR(INDEX(VENTAS!$F$2:$H$1194,MATCH(A979,VENTAS!$A$2:$A$1194,0),MATCH(PARAMS_MODELO!$B$2,{"Q1","Q2","Q3"},0)),0)</f>
        <v>8378263</v>
      </c>
      <c r="E979" s="8">
        <f t="shared" si="360"/>
        <v>-0.53932598691646372</v>
      </c>
      <c r="F979" s="12">
        <f>IF(E979&lt;=PARAMS_MODELO!$B$15,0,IF(E979&gt;=PARAMS_MODELO!$B$17,100,100*MIN(1,(E979-PARAMS_MODELO!$B$15)/(PARAMS_MODELO!$B$16-PARAMS_MODELO!$B$15))))*PARAMS_MODELO!$B$7</f>
        <v>0</v>
      </c>
      <c r="G979" s="5">
        <f t="shared" si="361"/>
        <v>0</v>
      </c>
      <c r="H979" s="5">
        <f>(PARAMS_MODELO!$B$20*(MAX(0,MIN(3,E979))/3)+PARAMS_MODELO!$B$21*(IFERROR(LN(1+MAX(0,G979))/LN(1+MAX(0,MAX($G$2:$G$1194))),0)))*100*PARAMS_MODELO!$B$8</f>
        <v>0</v>
      </c>
      <c r="I979" s="8">
        <f>E979-PARAMS_MODELO!$B$5</f>
        <v>-0.71688882229199025</v>
      </c>
      <c r="J979" s="5">
        <f>IF(I979&lt;=PARAMS_MODELO!$B$18,0,IF(I979&gt;=PARAMS_MODELO!$B$19,100,100*(I979-PARAMS_MODELO!$B$18)/(PARAMS_MODELO!$B$19-PARAMS_MODELO!$B$18)))*PARAMS_MODELO!$B$9</f>
        <v>0</v>
      </c>
      <c r="K979" s="5">
        <f>IFERROR(CHOOSE(MATCH(PARAMS_MODELO!$B$2,{"Q1","Q2","Q3"},0),LOTO!$D979,LOTO!$F979,LOTO!$H979),0)</f>
        <v>467500</v>
      </c>
      <c r="L979" s="8">
        <f t="shared" si="362"/>
        <v>5.5799155505144679E-2</v>
      </c>
      <c r="M979" s="5">
        <f>MIN(100,IF(PARAMS_MODELO!$B$23=0,0,100*L979/PARAMS_MODELO!$B$23))*PARAMS_MODELO!$B$10</f>
        <v>15</v>
      </c>
      <c r="N979" s="5">
        <f>IFERROR(VLOOKUP(A979,COMPLIANCE!$A$2:$F$1996,6,0),100)</f>
        <v>99.88</v>
      </c>
      <c r="O979" s="5">
        <f>N979*PARAMS_MODELO!$B$11</f>
        <v>9.9879999999999995</v>
      </c>
      <c r="P979" s="5">
        <f>IFERROR(VLOOKUP(A979,DIGITAL!$A$2:$J$2000,7,0),100)</f>
        <v>33</v>
      </c>
      <c r="Q979" s="5">
        <f>IFERROR(P979,0)*PARAMS_MODELO!$B$12</f>
        <v>3.3000000000000003</v>
      </c>
      <c r="R979">
        <f t="shared" si="363"/>
        <v>28.288</v>
      </c>
      <c r="S979" s="5" t="str">
        <f>IFERROR(VLOOKUP(A979,CLIENTE!$A$2:$N$2000,13,0),1)</f>
        <v>Regular</v>
      </c>
      <c r="T979" s="5">
        <f>IFERROR(VLOOKUP(A979,CLIENTE!$A$2:$N$2000,14,0),1)</f>
        <v>1</v>
      </c>
      <c r="U979" s="5">
        <f t="shared" si="364"/>
        <v>28.288</v>
      </c>
      <c r="V979" s="5" t="str">
        <f>IF(U979&gt;=MAX(_xlfn.PERCENTILE.INC($U$2:$U$1194,PARAMS_MODELO!$B$50),PARAMS_MODELO!$B$45),"DIAMANTE",IF(U979&gt;=MAX(_xlfn.PERCENTILE.INC($U$2:$U$1194,PARAMS_MODELO!$B$51),PARAMS_MODELO!$B$46),"PLATINO",IF(U979&gt;=MAX(_xlfn.PERCENTILE.INC($U$2:$U$1194,PARAMS_MODELO!$B$52),PARAMS_MODELO!$B$47),"ORO",IF(U979&gt;=MAX(_xlfn.PERCENTILE.INC($U$2:$U$1194,PARAMS_MODELO!$B$53),PARAMS_MODELO!$B$48),"PLATA",IF(U979&gt;=1,"BRONCE","CERRADO")))))</f>
        <v>PLATA</v>
      </c>
      <c r="W979" s="5" t="str" cm="1">
        <f t="array" ref="W979">_xlfn.XLOOKUP(1, (HIST_SCORE!$B:$B=PARAMS_MODELO!$B$4) * (HIST_SCORE!$C:$C=A979), HIST_SCORE!$E:$E, "No encontrado")</f>
        <v>BRONCE</v>
      </c>
      <c r="X979" s="5" t="str">
        <f>_xlfn.LET(_xlpm.act,MATCH(V979,{"DIAMANTE";"PLATINO";"ORO";"PLATA";"BRONCE";"CERRADO"},0),_xlpm.ant,MATCH(W979,{"DIAMANTE";"PLATINO";"ORO";"PLATA";"BRONCE";"CERRADO"},0),IF(_xlpm.act&lt;_xlpm.ant,"Mejora ↑",IF(_xlpm.act&gt;_xlpm.ant,"Baja ↓","Estable →")))</f>
        <v>Mejora ↑</v>
      </c>
      <c r="Y979" s="5">
        <f>IFERROR(U979-SUMIFS(HIST_SCORE!$D:$D,HIST_SCORE!$B:$B,PARAMS_MODELO!$B$4,HIST_SCORE!$C:$C,$A979),"")</f>
        <v>8.1977416502278757</v>
      </c>
      <c r="Z979" s="5" t="str">
        <f t="shared" si="365"/>
        <v>↑ Mejora</v>
      </c>
      <c r="AA979" s="5">
        <f t="shared" si="366"/>
        <v>883</v>
      </c>
      <c r="AB979" s="5">
        <f>IFERROR(SUMIFS(HIST_SCORE!$F:$F,HIST_SCORE!$B:$B,PARAMS_MODELO!$B$4,HIST_SCORE!$C:$C,$A979),"")</f>
        <v>984</v>
      </c>
      <c r="AC979" s="5">
        <f t="shared" si="367"/>
        <v>101</v>
      </c>
      <c r="AD979" t="str">
        <f t="shared" si="369"/>
        <v/>
      </c>
      <c r="AE9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979="CERRADO",1,IF(V979="BRONCE",_xlpm.cPl,IF(V979="PLATA",_xlpm.cO,IF(V979="ORO",_xlpm.cP,IF(V979="PLATINO",_xlpm.cD,999))))))</f>
        <v>63.199193273331495</v>
      </c>
      <c r="AF9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979="CERRADO",0,IF(V979="BRONCE",1,IF(V979="PLATA",_xlpm.cPl,IF(V979="ORO",_xlpm.cO,IF(V979="PLATINO",_xlpm.cP,_xlpm.cD))))))</f>
        <v>24.506573482968111</v>
      </c>
      <c r="AG979">
        <f t="shared" si="370"/>
        <v>34.911193273331492</v>
      </c>
      <c r="AH979" t="str">
        <f t="shared" si="371"/>
        <v>VENTAS</v>
      </c>
      <c r="AI979" t="str">
        <f t="shared" si="368"/>
        <v>🎯 Para subir de categoría, eje VENTAS / CRECIMIENTO PERSONAL (F). Acción: metas semanales + activación comercial + seguimiento del asesor. ΔR aprox: 34,9</v>
      </c>
      <c r="AJ979" s="26">
        <f>_xlfn.LET(_xlpm.piso,AF979,_xlpm.corte,AE979,_xlpm.prog,IF(_xlpm.corte&lt;=_xlpm.piso,0,MAX(0,MIN(1,(U979-_xlpm.piso)/(_xlpm.corte-_xlpm.piso)))),_xlpm.orden,{"DIAMANTE";"PLATINO";"ORO";"PLATA";"BRONCE";"CERRADO"},_xlpm.act,IFERROR(MATCH(V979,_xlpm.orden,0),6),_xlpm.ant,IFERROR(MATCH(W979,_xlpm.orden,0),6),_xlpm.ajmov,IF(_xlpm.act&lt;_xlpm.ant,0.08,IF(_xlpm.act&gt;_xlpm.ant,-0.08,0)),_xlpm.ajcli,IF(T979&lt;0.95,-0.06,0),_xlpm.prob,MAX(0,MIN(1,_xlpm.prog+_xlpm.ajmov+_xlpm.ajcli)),IF(OR(V979="DIAMANTE",V979="CERRADO"),0,ROUND(_xlpm.prob,2)))</f>
        <v>0.18</v>
      </c>
      <c r="AK979" t="str">
        <f t="shared" si="372"/>
        <v>Faltan 34,9 puntos base para subir a la siguiente categoría</v>
      </c>
      <c r="AL979" t="str">
        <f t="shared" si="373"/>
        <v>Margen de seguridad: 3,8 puntos</v>
      </c>
      <c r="AM979">
        <f t="shared" si="374"/>
        <v>0.73</v>
      </c>
      <c r="AN979" t="str">
        <f t="shared" si="375"/>
        <v>PRIORIDAD ALTA – requiere intervención inmediata</v>
      </c>
      <c r="AO979">
        <f t="shared" si="376"/>
        <v>64.862569275295584</v>
      </c>
      <c r="AP979">
        <f t="shared" si="377"/>
        <v>0</v>
      </c>
      <c r="AQ979">
        <f t="shared" si="378"/>
        <v>1.2000000000000455E-2</v>
      </c>
      <c r="AR979">
        <f t="shared" si="379"/>
        <v>6.6999999999999993</v>
      </c>
      <c r="AS979">
        <f t="shared" si="380"/>
        <v>0</v>
      </c>
      <c r="AT979" t="str">
        <f t="shared" si="381"/>
        <v>VENTAS</v>
      </c>
      <c r="AU979">
        <f t="shared" si="382"/>
        <v>64.862569275295584</v>
      </c>
      <c r="AV979" t="str">
        <f t="shared" si="383"/>
        <v>Mayor retorno probable: VENTAS (+64,9 puntos finales potenciales).</v>
      </c>
    </row>
    <row r="980" spans="1:48" x14ac:dyDescent="0.3">
      <c r="A980" s="5">
        <v>51015126</v>
      </c>
      <c r="B980" s="5" t="str">
        <f>IFERROR(VLOOKUP(A980,VENTAS!$A$2:$B$1194,2,0),"")</f>
        <v>METTLER</v>
      </c>
      <c r="C980" s="5">
        <f>IFERROR(INDEX(VENTAS!$C$2:$E$1194,MATCH(A980,VENTAS!$A$2:$A$1194,0),MATCH(PARAMS_MODELO!$B$2,{"Q1","Q2","Q3"},0)),0)</f>
        <v>11366214.5</v>
      </c>
      <c r="D980" s="5">
        <f>IFERROR(INDEX(VENTAS!$F$2:$H$1194,MATCH(A980,VENTAS!$A$2:$A$1194,0),MATCH(PARAMS_MODELO!$B$2,{"Q1","Q2","Q3"},0)),0)</f>
        <v>8239495</v>
      </c>
      <c r="E980" s="8">
        <f t="shared" si="360"/>
        <v>-0.27508890492960514</v>
      </c>
      <c r="F980" s="12">
        <f>IF(E980&lt;=PARAMS_MODELO!$B$15,0,IF(E980&gt;=PARAMS_MODELO!$B$17,100,100*MIN(1,(E980-PARAMS_MODELO!$B$15)/(PARAMS_MODELO!$B$16-PARAMS_MODELO!$B$15))))*PARAMS_MODELO!$B$7</f>
        <v>0</v>
      </c>
      <c r="G980" s="5">
        <f t="shared" si="361"/>
        <v>0</v>
      </c>
      <c r="H980" s="5">
        <f>(PARAMS_MODELO!$B$20*(MAX(0,MIN(3,E980))/3)+PARAMS_MODELO!$B$21*(IFERROR(LN(1+MAX(0,G980))/LN(1+MAX(0,MAX($G$2:$G$1194))),0)))*100*PARAMS_MODELO!$B$8</f>
        <v>0</v>
      </c>
      <c r="I980" s="8">
        <f>E980-PARAMS_MODELO!$B$5</f>
        <v>-0.45265174030513167</v>
      </c>
      <c r="J980" s="5">
        <f>IF(I980&lt;=PARAMS_MODELO!$B$18,0,IF(I980&gt;=PARAMS_MODELO!$B$19,100,100*(I980-PARAMS_MODELO!$B$18)/(PARAMS_MODELO!$B$19-PARAMS_MODELO!$B$18)))*PARAMS_MODELO!$B$9</f>
        <v>0</v>
      </c>
      <c r="K980" s="5">
        <f>IFERROR(CHOOSE(MATCH(PARAMS_MODELO!$B$2,{"Q1","Q2","Q3"},0),LOTO!$D980,LOTO!$F980,LOTO!$H980),0)</f>
        <v>462500</v>
      </c>
      <c r="L980" s="8">
        <f t="shared" si="362"/>
        <v>5.6132080910298504E-2</v>
      </c>
      <c r="M980" s="5">
        <f>MIN(100,IF(PARAMS_MODELO!$B$23=0,0,100*L980/PARAMS_MODELO!$B$23))*PARAMS_MODELO!$B$10</f>
        <v>15</v>
      </c>
      <c r="N980" s="5">
        <f>IFERROR(VLOOKUP(A980,COMPLIANCE!$A$2:$F$1996,6,0),100)</f>
        <v>99.98</v>
      </c>
      <c r="O980" s="5">
        <f>N980*PARAMS_MODELO!$B$11</f>
        <v>9.9980000000000011</v>
      </c>
      <c r="P980" s="5">
        <f>IFERROR(VLOOKUP(A980,DIGITAL!$A$2:$J$2000,7,0),100)</f>
        <v>20</v>
      </c>
      <c r="Q980" s="5">
        <f>IFERROR(P980,0)*PARAMS_MODELO!$B$12</f>
        <v>2</v>
      </c>
      <c r="R980">
        <f t="shared" si="363"/>
        <v>26.998000000000001</v>
      </c>
      <c r="S980" s="5" t="str">
        <f>IFERROR(VLOOKUP(A980,CLIENTE!$A$2:$N$2000,13,0),1)</f>
        <v>Malo</v>
      </c>
      <c r="T980" s="5">
        <f>IFERROR(VLOOKUP(A980,CLIENTE!$A$2:$N$2000,14,0),1)</f>
        <v>0.7</v>
      </c>
      <c r="U980" s="5">
        <f t="shared" si="364"/>
        <v>18.898599999999998</v>
      </c>
      <c r="V980" s="5" t="str">
        <f>IF(U980&gt;=MAX(_xlfn.PERCENTILE.INC($U$2:$U$1194,PARAMS_MODELO!$B$50),PARAMS_MODELO!$B$45),"DIAMANTE",IF(U980&gt;=MAX(_xlfn.PERCENTILE.INC($U$2:$U$1194,PARAMS_MODELO!$B$51),PARAMS_MODELO!$B$46),"PLATINO",IF(U980&gt;=MAX(_xlfn.PERCENTILE.INC($U$2:$U$1194,PARAMS_MODELO!$B$52),PARAMS_MODELO!$B$47),"ORO",IF(U980&gt;=MAX(_xlfn.PERCENTILE.INC($U$2:$U$1194,PARAMS_MODELO!$B$53),PARAMS_MODELO!$B$48),"PLATA",IF(U980&gt;=1,"BRONCE","CERRADO")))))</f>
        <v>BRONCE</v>
      </c>
      <c r="W980" s="5" t="str" cm="1">
        <f t="array" ref="W980">_xlfn.XLOOKUP(1, (HIST_SCORE!$B:$B=PARAMS_MODELO!$B$4) * (HIST_SCORE!$C:$C=A980), HIST_SCORE!$E:$E, "No encontrado")</f>
        <v>BRONCE</v>
      </c>
      <c r="X980" s="5" t="str">
        <f>_xlfn.LET(_xlpm.act,MATCH(V980,{"DIAMANTE";"PLATINO";"ORO";"PLATA";"BRONCE";"CERRADO"},0),_xlpm.ant,MATCH(W980,{"DIAMANTE";"PLATINO";"ORO";"PLATA";"BRONCE";"CERRADO"},0),IF(_xlpm.act&lt;_xlpm.ant,"Mejora ↑",IF(_xlpm.act&gt;_xlpm.ant,"Baja ↓","Estable →")))</f>
        <v>Estable →</v>
      </c>
      <c r="Y980" s="5">
        <f>IFERROR(U980-SUMIFS(HIST_SCORE!$D:$D,HIST_SCORE!$B:$B,PARAMS_MODELO!$B$4,HIST_SCORE!$C:$C,$A980),"")</f>
        <v>0</v>
      </c>
      <c r="Z980" s="5" t="str">
        <f t="shared" si="365"/>
        <v>→ Estable</v>
      </c>
      <c r="AA980" s="5">
        <f t="shared" si="366"/>
        <v>1006</v>
      </c>
      <c r="AB980" s="5">
        <f>IFERROR(SUMIFS(HIST_SCORE!$F:$F,HIST_SCORE!$B:$B,PARAMS_MODELO!$B$4,HIST_SCORE!$C:$C,$A980),"")</f>
        <v>1011</v>
      </c>
      <c r="AC980" s="5">
        <f t="shared" si="367"/>
        <v>5</v>
      </c>
      <c r="AD980" t="str">
        <f t="shared" si="369"/>
        <v/>
      </c>
      <c r="AE9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980="CERRADO",1,IF(V980="BRONCE",_xlpm.cPl,IF(V980="PLATA",_xlpm.cO,IF(V980="ORO",_xlpm.cP,IF(V980="PLATINO",_xlpm.cD,999))))))</f>
        <v>24.506573482968111</v>
      </c>
      <c r="AF9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980="CERRADO",0,IF(V980="BRONCE",1,IF(V980="PLATA",_xlpm.cPl,IF(V980="ORO",_xlpm.cO,IF(V980="PLATINO",_xlpm.cP,_xlpm.cD))))))</f>
        <v>1</v>
      </c>
      <c r="AG980">
        <f t="shared" si="370"/>
        <v>8.0113906899544425</v>
      </c>
      <c r="AH980" t="str">
        <f t="shared" si="371"/>
        <v>CLIENTE</v>
      </c>
      <c r="AI980" t="str">
        <f t="shared" si="368"/>
        <v>🎯 Para subir de categoría, la eje con mayor impacto probable es CLIENTE (coef T). Acción: reducir quejas, mejorar incógnito y empujar reseñas. ΔR aprox: 8,0</v>
      </c>
      <c r="AJ980" s="26">
        <f>_xlfn.LET(_xlpm.piso,AF980,_xlpm.corte,AE980,_xlpm.prog,IF(_xlpm.corte&lt;=_xlpm.piso,0,MAX(0,MIN(1,(U980-_xlpm.piso)/(_xlpm.corte-_xlpm.piso)))),_xlpm.orden,{"DIAMANTE";"PLATINO";"ORO";"PLATA";"BRONCE";"CERRADO"},_xlpm.act,IFERROR(MATCH(V980,_xlpm.orden,0),6),_xlpm.ant,IFERROR(MATCH(W980,_xlpm.orden,0),6),_xlpm.ajmov,IF(_xlpm.act&lt;_xlpm.ant,0.08,IF(_xlpm.act&gt;_xlpm.ant,-0.08,0)),_xlpm.ajcli,IF(T980&lt;0.95,-0.06,0),_xlpm.prob,MAX(0,MIN(1,_xlpm.prog+_xlpm.ajmov+_xlpm.ajcli)),IF(OR(V980="DIAMANTE",V980="CERRADO"),0,ROUND(_xlpm.prob,2)))</f>
        <v>0.7</v>
      </c>
      <c r="AK980" t="str">
        <f t="shared" si="372"/>
        <v>Faltan 8,0 puntos base para subir a la siguiente categoría</v>
      </c>
      <c r="AL980" t="str">
        <f t="shared" si="373"/>
        <v>No aplica</v>
      </c>
      <c r="AM980">
        <f t="shared" si="374"/>
        <v>0.64</v>
      </c>
      <c r="AN980" t="str">
        <f t="shared" si="375"/>
        <v>PRIORIDAD MEDIA – seguimiento del asesor</v>
      </c>
      <c r="AO980">
        <f t="shared" si="376"/>
        <v>45.403798492706905</v>
      </c>
      <c r="AP980">
        <f t="shared" si="377"/>
        <v>0</v>
      </c>
      <c r="AQ980">
        <f t="shared" si="378"/>
        <v>1.3999999999992239E-3</v>
      </c>
      <c r="AR980">
        <f t="shared" si="379"/>
        <v>5.6</v>
      </c>
      <c r="AS980">
        <f t="shared" si="380"/>
        <v>8.099400000000001</v>
      </c>
      <c r="AT980" t="str">
        <f t="shared" si="381"/>
        <v>VENTAS</v>
      </c>
      <c r="AU980">
        <f t="shared" si="382"/>
        <v>45.403798492706905</v>
      </c>
      <c r="AV980" t="str">
        <f t="shared" si="383"/>
        <v>Mayor retorno probable: VENTAS (+45,4 puntos finales potenciales).</v>
      </c>
    </row>
    <row r="981" spans="1:48" x14ac:dyDescent="0.3">
      <c r="A981" s="5">
        <v>51017234</v>
      </c>
      <c r="B981" s="5" t="str">
        <f>IFERROR(VLOOKUP(A981,VENTAS!$A$2:$B$1194,2,0),"")</f>
        <v/>
      </c>
      <c r="C981" s="5">
        <f>IFERROR(INDEX(VENTAS!$C$2:$E$1194,MATCH(A981,VENTAS!$A$2:$A$1194,0),MATCH(PARAMS_MODELO!$B$2,{"Q1","Q2","Q3"},0)),0)</f>
        <v>43446760.909999996</v>
      </c>
      <c r="D981" s="5">
        <f>IFERROR(INDEX(VENTAS!$F$2:$H$1194,MATCH(A981,VENTAS!$A$2:$A$1194,0),MATCH(PARAMS_MODELO!$B$2,{"Q1","Q2","Q3"},0)),0)</f>
        <v>8196250</v>
      </c>
      <c r="E981" s="8">
        <f t="shared" si="360"/>
        <v>-0.81134957294104071</v>
      </c>
      <c r="F981" s="12">
        <f>IF(E981&lt;=PARAMS_MODELO!$B$15,0,IF(E981&gt;=PARAMS_MODELO!$B$17,100,100*MIN(1,(E981-PARAMS_MODELO!$B$15)/(PARAMS_MODELO!$B$16-PARAMS_MODELO!$B$15))))*PARAMS_MODELO!$B$7</f>
        <v>0</v>
      </c>
      <c r="G981" s="5">
        <f t="shared" si="361"/>
        <v>0</v>
      </c>
      <c r="H981" s="5">
        <f>(PARAMS_MODELO!$B$20*(MAX(0,MIN(3,E981))/3)+PARAMS_MODELO!$B$21*(IFERROR(LN(1+MAX(0,G981))/LN(1+MAX(0,MAX($G$2:$G$1194))),0)))*100*PARAMS_MODELO!$B$8</f>
        <v>0</v>
      </c>
      <c r="I981" s="8">
        <f>E981-PARAMS_MODELO!$B$5</f>
        <v>-0.98891240831656724</v>
      </c>
      <c r="J981" s="5">
        <f>IF(I981&lt;=PARAMS_MODELO!$B$18,0,IF(I981&gt;=PARAMS_MODELO!$B$19,100,100*(I981-PARAMS_MODELO!$B$18)/(PARAMS_MODELO!$B$19-PARAMS_MODELO!$B$18)))*PARAMS_MODELO!$B$9</f>
        <v>0</v>
      </c>
      <c r="K981" s="5">
        <f>IFERROR(CHOOSE(MATCH(PARAMS_MODELO!$B$2,{"Q1","Q2","Q3"},0),LOTO!$D981,LOTO!$F981,LOTO!$H981),0)</f>
        <v>445000</v>
      </c>
      <c r="L981" s="8">
        <f t="shared" si="362"/>
        <v>5.4293121854506632E-2</v>
      </c>
      <c r="M981" s="5">
        <f>MIN(100,IF(PARAMS_MODELO!$B$23=0,0,100*L981/PARAMS_MODELO!$B$23))*PARAMS_MODELO!$B$10</f>
        <v>15</v>
      </c>
      <c r="N981" s="5">
        <f>IFERROR(VLOOKUP(A981,COMPLIANCE!$A$2:$F$1996,6,0),100)</f>
        <v>100</v>
      </c>
      <c r="O981" s="5">
        <f>N981*PARAMS_MODELO!$B$11</f>
        <v>10</v>
      </c>
      <c r="P981" s="5">
        <f>IFERROR(VLOOKUP(A981,DIGITAL!$A$2:$J$2000,7,0),100)</f>
        <v>44</v>
      </c>
      <c r="Q981" s="5">
        <f>IFERROR(P981,0)*PARAMS_MODELO!$B$12</f>
        <v>4.4000000000000004</v>
      </c>
      <c r="R981">
        <f t="shared" si="363"/>
        <v>29.4</v>
      </c>
      <c r="S981" s="5" t="str">
        <f>IFERROR(VLOOKUP(A981,CLIENTE!$A$2:$N$2000,13,0),1)</f>
        <v>Malo</v>
      </c>
      <c r="T981" s="5">
        <f>IFERROR(VLOOKUP(A981,CLIENTE!$A$2:$N$2000,14,0),1)</f>
        <v>0.7</v>
      </c>
      <c r="U981" s="5">
        <f t="shared" si="364"/>
        <v>20.58</v>
      </c>
      <c r="V981" s="5" t="str">
        <f>IF(U981&gt;=MAX(_xlfn.PERCENTILE.INC($U$2:$U$1194,PARAMS_MODELO!$B$50),PARAMS_MODELO!$B$45),"DIAMANTE",IF(U981&gt;=MAX(_xlfn.PERCENTILE.INC($U$2:$U$1194,PARAMS_MODELO!$B$51),PARAMS_MODELO!$B$46),"PLATINO",IF(U981&gt;=MAX(_xlfn.PERCENTILE.INC($U$2:$U$1194,PARAMS_MODELO!$B$52),PARAMS_MODELO!$B$47),"ORO",IF(U981&gt;=MAX(_xlfn.PERCENTILE.INC($U$2:$U$1194,PARAMS_MODELO!$B$53),PARAMS_MODELO!$B$48),"PLATA",IF(U981&gt;=1,"BRONCE","CERRADO")))))</f>
        <v>BRONCE</v>
      </c>
      <c r="W981" s="5" t="str" cm="1">
        <f t="array" ref="W981">_xlfn.XLOOKUP(1, (HIST_SCORE!$B:$B=PARAMS_MODELO!$B$4) * (HIST_SCORE!$C:$C=A981), HIST_SCORE!$E:$E, "No encontrado")</f>
        <v>BRONCE</v>
      </c>
      <c r="X981" s="5" t="str">
        <f>_xlfn.LET(_xlpm.act,MATCH(V981,{"DIAMANTE";"PLATINO";"ORO";"PLATA";"BRONCE";"CERRADO"},0),_xlpm.ant,MATCH(W981,{"DIAMANTE";"PLATINO";"ORO";"PLATA";"BRONCE";"CERRADO"},0),IF(_xlpm.act&lt;_xlpm.ant,"Mejora ↑",IF(_xlpm.act&gt;_xlpm.ant,"Baja ↓","Estable →")))</f>
        <v>Estable →</v>
      </c>
      <c r="Y981" s="5">
        <f>IFERROR(U981-SUMIFS(HIST_SCORE!$D:$D,HIST_SCORE!$B:$B,PARAMS_MODELO!$B$4,HIST_SCORE!$C:$C,$A981),"")</f>
        <v>10.499999999999998</v>
      </c>
      <c r="Z981" s="5" t="str">
        <f t="shared" si="365"/>
        <v>↑ Mejora</v>
      </c>
      <c r="AA981" s="5">
        <f t="shared" si="366"/>
        <v>969</v>
      </c>
      <c r="AB981" s="5">
        <f>IFERROR(SUMIFS(HIST_SCORE!$F:$F,HIST_SCORE!$B:$B,PARAMS_MODELO!$B$4,HIST_SCORE!$C:$C,$A981),"")</f>
        <v>1168</v>
      </c>
      <c r="AC981" s="5">
        <f t="shared" si="367"/>
        <v>199</v>
      </c>
      <c r="AD981" t="str">
        <f t="shared" si="369"/>
        <v/>
      </c>
      <c r="AE9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981="CERRADO",1,IF(V981="BRONCE",_xlpm.cPl,IF(V981="PLATA",_xlpm.cO,IF(V981="ORO",_xlpm.cP,IF(V981="PLATINO",_xlpm.cD,999))))))</f>
        <v>24.506573482968111</v>
      </c>
      <c r="AF9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981="CERRADO",0,IF(V981="BRONCE",1,IF(V981="PLATA",_xlpm.cPl,IF(V981="ORO",_xlpm.cO,IF(V981="PLATINO",_xlpm.cP,_xlpm.cD))))))</f>
        <v>1</v>
      </c>
      <c r="AG981">
        <f t="shared" si="370"/>
        <v>5.609390689954445</v>
      </c>
      <c r="AH981" t="str">
        <f t="shared" si="371"/>
        <v>CLIENTE</v>
      </c>
      <c r="AI981" t="str">
        <f t="shared" si="368"/>
        <v>🎯 Para subir de categoría, la eje con mayor impacto probable es CLIENTE (coef T). Acción: reducir quejas, mejorar incógnito y empujar reseñas. ΔR aprox: 5,6</v>
      </c>
      <c r="AJ981" s="26">
        <f>_xlfn.LET(_xlpm.piso,AF981,_xlpm.corte,AE981,_xlpm.prog,IF(_xlpm.corte&lt;=_xlpm.piso,0,MAX(0,MIN(1,(U981-_xlpm.piso)/(_xlpm.corte-_xlpm.piso)))),_xlpm.orden,{"DIAMANTE";"PLATINO";"ORO";"PLATA";"BRONCE";"CERRADO"},_xlpm.act,IFERROR(MATCH(V981,_xlpm.orden,0),6),_xlpm.ant,IFERROR(MATCH(W981,_xlpm.orden,0),6),_xlpm.ajmov,IF(_xlpm.act&lt;_xlpm.ant,0.08,IF(_xlpm.act&gt;_xlpm.ant,-0.08,0)),_xlpm.ajcli,IF(T981&lt;0.95,-0.06,0),_xlpm.prob,MAX(0,MIN(1,_xlpm.prog+_xlpm.ajmov+_xlpm.ajcli)),IF(OR(V981="DIAMANTE",V981="CERRADO"),0,ROUND(_xlpm.prob,2)))</f>
        <v>0.77</v>
      </c>
      <c r="AK981" t="str">
        <f t="shared" si="372"/>
        <v>Faltan 5,6 puntos base para subir a la siguiente categoría</v>
      </c>
      <c r="AL981" t="str">
        <f t="shared" si="373"/>
        <v>No aplica</v>
      </c>
      <c r="AM981">
        <f t="shared" si="374"/>
        <v>0.52</v>
      </c>
      <c r="AN981" t="str">
        <f t="shared" si="375"/>
        <v>PRIORIDAD MEDIA – seguimiento del asesor</v>
      </c>
      <c r="AO981">
        <f t="shared" si="376"/>
        <v>45.403798492706905</v>
      </c>
      <c r="AP981">
        <f t="shared" si="377"/>
        <v>0</v>
      </c>
      <c r="AQ981">
        <f t="shared" si="378"/>
        <v>0</v>
      </c>
      <c r="AR981">
        <f t="shared" si="379"/>
        <v>3.9199999999999995</v>
      </c>
      <c r="AS981">
        <f t="shared" si="380"/>
        <v>8.82</v>
      </c>
      <c r="AT981" t="str">
        <f t="shared" si="381"/>
        <v>VENTAS</v>
      </c>
      <c r="AU981">
        <f t="shared" si="382"/>
        <v>45.403798492706905</v>
      </c>
      <c r="AV981" t="str">
        <f t="shared" si="383"/>
        <v>Mayor retorno probable: VENTAS (+45,4 puntos finales potenciales).</v>
      </c>
    </row>
    <row r="982" spans="1:48" x14ac:dyDescent="0.3">
      <c r="A982" s="5">
        <v>51012852</v>
      </c>
      <c r="B982" s="5" t="str">
        <f>IFERROR(VLOOKUP(A982,VENTAS!$A$2:$B$1194,2,0),"")</f>
        <v>CICHETTO</v>
      </c>
      <c r="C982" s="5">
        <f>IFERROR(INDEX(VENTAS!$C$2:$E$1194,MATCH(A982,VENTAS!$A$2:$A$1194,0),MATCH(PARAMS_MODELO!$B$2,{"Q1","Q2","Q3"},0)),0)</f>
        <v>25339877.199999999</v>
      </c>
      <c r="D982" s="5">
        <f>IFERROR(INDEX(VENTAS!$F$2:$H$1194,MATCH(A982,VENTAS!$A$2:$A$1194,0),MATCH(PARAMS_MODELO!$B$2,{"Q1","Q2","Q3"},0)),0)</f>
        <v>7178720</v>
      </c>
      <c r="E982" s="8">
        <f t="shared" si="360"/>
        <v>-0.71670265237118036</v>
      </c>
      <c r="F982" s="12">
        <f>IF(E982&lt;=PARAMS_MODELO!$B$15,0,IF(E982&gt;=PARAMS_MODELO!$B$17,100,100*MIN(1,(E982-PARAMS_MODELO!$B$15)/(PARAMS_MODELO!$B$16-PARAMS_MODELO!$B$15))))*PARAMS_MODELO!$B$7</f>
        <v>0</v>
      </c>
      <c r="G982" s="5">
        <f t="shared" si="361"/>
        <v>0</v>
      </c>
      <c r="H982" s="5">
        <f>(PARAMS_MODELO!$B$20*(MAX(0,MIN(3,E982))/3)+PARAMS_MODELO!$B$21*(IFERROR(LN(1+MAX(0,G982))/LN(1+MAX(0,MAX($G$2:$G$1194))),0)))*100*PARAMS_MODELO!$B$8</f>
        <v>0</v>
      </c>
      <c r="I982" s="8">
        <f>E982-PARAMS_MODELO!$B$5</f>
        <v>-0.89426548774670689</v>
      </c>
      <c r="J982" s="5">
        <f>IF(I982&lt;=PARAMS_MODELO!$B$18,0,IF(I982&gt;=PARAMS_MODELO!$B$19,100,100*(I982-PARAMS_MODELO!$B$18)/(PARAMS_MODELO!$B$19-PARAMS_MODELO!$B$18)))*PARAMS_MODELO!$B$9</f>
        <v>0</v>
      </c>
      <c r="K982" s="5">
        <f>IFERROR(CHOOSE(MATCH(PARAMS_MODELO!$B$2,{"Q1","Q2","Q3"},0),LOTO!$D982,LOTO!$F982,LOTO!$H982),0)</f>
        <v>437500</v>
      </c>
      <c r="L982" s="8">
        <f t="shared" si="362"/>
        <v>6.0944012303028955E-2</v>
      </c>
      <c r="M982" s="5">
        <f>MIN(100,IF(PARAMS_MODELO!$B$23=0,0,100*L982/PARAMS_MODELO!$B$23))*PARAMS_MODELO!$B$10</f>
        <v>15</v>
      </c>
      <c r="N982" s="5">
        <f>IFERROR(VLOOKUP(A982,COMPLIANCE!$A$2:$F$1996,6,0),100)</f>
        <v>100</v>
      </c>
      <c r="O982" s="5">
        <f>N982*PARAMS_MODELO!$B$11</f>
        <v>10</v>
      </c>
      <c r="P982" s="5">
        <f>IFERROR(VLOOKUP(A982,DIGITAL!$A$2:$J$2000,7,0),100)</f>
        <v>15</v>
      </c>
      <c r="Q982" s="5">
        <f>IFERROR(P982,0)*PARAMS_MODELO!$B$12</f>
        <v>1.5</v>
      </c>
      <c r="R982">
        <f t="shared" si="363"/>
        <v>26.5</v>
      </c>
      <c r="S982" s="5" t="str">
        <f>IFERROR(VLOOKUP(A982,CLIENTE!$A$2:$N$2000,13,0),1)</f>
        <v>Malo</v>
      </c>
      <c r="T982" s="5">
        <f>IFERROR(VLOOKUP(A982,CLIENTE!$A$2:$N$2000,14,0),1)</f>
        <v>0.7</v>
      </c>
      <c r="U982" s="5">
        <f t="shared" si="364"/>
        <v>18.549999999999997</v>
      </c>
      <c r="V982" s="5" t="str">
        <f>IF(U982&gt;=MAX(_xlfn.PERCENTILE.INC($U$2:$U$1194,PARAMS_MODELO!$B$50),PARAMS_MODELO!$B$45),"DIAMANTE",IF(U982&gt;=MAX(_xlfn.PERCENTILE.INC($U$2:$U$1194,PARAMS_MODELO!$B$51),PARAMS_MODELO!$B$46),"PLATINO",IF(U982&gt;=MAX(_xlfn.PERCENTILE.INC($U$2:$U$1194,PARAMS_MODELO!$B$52),PARAMS_MODELO!$B$47),"ORO",IF(U982&gt;=MAX(_xlfn.PERCENTILE.INC($U$2:$U$1194,PARAMS_MODELO!$B$53),PARAMS_MODELO!$B$48),"PLATA",IF(U982&gt;=1,"BRONCE","CERRADO")))))</f>
        <v>BRONCE</v>
      </c>
      <c r="W982" s="5" t="str" cm="1">
        <f t="array" ref="W982">_xlfn.XLOOKUP(1, (HIST_SCORE!$B:$B=PARAMS_MODELO!$B$4) * (HIST_SCORE!$C:$C=A982), HIST_SCORE!$E:$E, "No encontrado")</f>
        <v>PLATA</v>
      </c>
      <c r="X982" s="5" t="str">
        <f>_xlfn.LET(_xlpm.act,MATCH(V982,{"DIAMANTE";"PLATINO";"ORO";"PLATA";"BRONCE";"CERRADO"},0),_xlpm.ant,MATCH(W982,{"DIAMANTE";"PLATINO";"ORO";"PLATA";"BRONCE";"CERRADO"},0),IF(_xlpm.act&lt;_xlpm.ant,"Mejora ↑",IF(_xlpm.act&gt;_xlpm.ant,"Baja ↓","Estable →")))</f>
        <v>Baja ↓</v>
      </c>
      <c r="Y982" s="5">
        <f>IFERROR(U982-SUMIFS(HIST_SCORE!$D:$D,HIST_SCORE!$B:$B,PARAMS_MODELO!$B$4,HIST_SCORE!$C:$C,$A982),"")</f>
        <v>-32.309848139833186</v>
      </c>
      <c r="Z982" s="5" t="str">
        <f t="shared" si="365"/>
        <v>↓ Baja</v>
      </c>
      <c r="AA982" s="5">
        <f t="shared" si="366"/>
        <v>1018</v>
      </c>
      <c r="AB982" s="5">
        <f>IFERROR(SUMIFS(HIST_SCORE!$F:$F,HIST_SCORE!$B:$B,PARAMS_MODELO!$B$4,HIST_SCORE!$C:$C,$A982),"")</f>
        <v>763</v>
      </c>
      <c r="AC982" s="5">
        <f t="shared" si="367"/>
        <v>-255</v>
      </c>
      <c r="AD982" t="str">
        <f t="shared" si="369"/>
        <v>Plan de recuperación: foco crecimiento + mix</v>
      </c>
      <c r="AE9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982="CERRADO",1,IF(V982="BRONCE",_xlpm.cPl,IF(V982="PLATA",_xlpm.cO,IF(V982="ORO",_xlpm.cP,IF(V982="PLATINO",_xlpm.cD,999))))))</f>
        <v>24.506573482968111</v>
      </c>
      <c r="AF9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982="CERRADO",0,IF(V982="BRONCE",1,IF(V982="PLATA",_xlpm.cPl,IF(V982="ORO",_xlpm.cO,IF(V982="PLATINO",_xlpm.cP,_xlpm.cD))))))</f>
        <v>1</v>
      </c>
      <c r="AG982">
        <f t="shared" si="370"/>
        <v>8.5093906899544436</v>
      </c>
      <c r="AH982" t="str">
        <f t="shared" si="371"/>
        <v>CLIENTE</v>
      </c>
      <c r="AI982" t="str">
        <f t="shared" si="368"/>
        <v>🎯 Para subir de categoría, la eje con mayor impacto probable es CLIENTE (coef T). Acción: reducir quejas, mejorar incógnito y empujar reseñas. ΔR aprox: 8,5</v>
      </c>
      <c r="AJ982" s="26">
        <f>_xlfn.LET(_xlpm.piso,AF982,_xlpm.corte,AE982,_xlpm.prog,IF(_xlpm.corte&lt;=_xlpm.piso,0,MAX(0,MIN(1,(U982-_xlpm.piso)/(_xlpm.corte-_xlpm.piso)))),_xlpm.orden,{"DIAMANTE";"PLATINO";"ORO";"PLATA";"BRONCE";"CERRADO"},_xlpm.act,IFERROR(MATCH(V982,_xlpm.orden,0),6),_xlpm.ant,IFERROR(MATCH(W982,_xlpm.orden,0),6),_xlpm.ajmov,IF(_xlpm.act&lt;_xlpm.ant,0.08,IF(_xlpm.act&gt;_xlpm.ant,-0.08,0)),_xlpm.ajcli,IF(T982&lt;0.95,-0.06,0),_xlpm.prob,MAX(0,MIN(1,_xlpm.prog+_xlpm.ajmov+_xlpm.ajcli)),IF(OR(V982="DIAMANTE",V982="CERRADO"),0,ROUND(_xlpm.prob,2)))</f>
        <v>0.61</v>
      </c>
      <c r="AK982" t="str">
        <f t="shared" si="372"/>
        <v>Faltan 8,5 puntos base para subir a la siguiente categoría</v>
      </c>
      <c r="AL982" t="str">
        <f t="shared" si="373"/>
        <v>No aplica</v>
      </c>
      <c r="AM982">
        <f t="shared" si="374"/>
        <v>0.7</v>
      </c>
      <c r="AN982" t="str">
        <f t="shared" si="375"/>
        <v>PRIORIDAD ALTA – requiere intervención inmediata</v>
      </c>
      <c r="AO982">
        <f t="shared" si="376"/>
        <v>45.403798492706905</v>
      </c>
      <c r="AP982">
        <f t="shared" si="377"/>
        <v>0</v>
      </c>
      <c r="AQ982">
        <f t="shared" si="378"/>
        <v>0</v>
      </c>
      <c r="AR982">
        <f t="shared" si="379"/>
        <v>5.9499999999999993</v>
      </c>
      <c r="AS982">
        <f t="shared" si="380"/>
        <v>7.9500000000000011</v>
      </c>
      <c r="AT982" t="str">
        <f t="shared" si="381"/>
        <v>VENTAS</v>
      </c>
      <c r="AU982">
        <f t="shared" si="382"/>
        <v>45.403798492706905</v>
      </c>
      <c r="AV982" t="str">
        <f t="shared" si="383"/>
        <v>Mayor retorno probable: VENTAS (+45,4 puntos finales potenciales).</v>
      </c>
    </row>
    <row r="983" spans="1:48" x14ac:dyDescent="0.3">
      <c r="A983" s="5">
        <v>51010396</v>
      </c>
      <c r="B983" s="5" t="str">
        <f>IFERROR(VLOOKUP(A983,VENTAS!$A$2:$B$1194,2,0),"")</f>
        <v>BELUZZO</v>
      </c>
      <c r="C983" s="5">
        <f>IFERROR(INDEX(VENTAS!$C$2:$E$1194,MATCH(A983,VENTAS!$A$2:$A$1194,0),MATCH(PARAMS_MODELO!$B$2,{"Q1","Q2","Q3"},0)),0)</f>
        <v>46363210.409999996</v>
      </c>
      <c r="D983" s="5">
        <f>IFERROR(INDEX(VENTAS!$F$2:$H$1194,MATCH(A983,VENTAS!$A$2:$A$1194,0),MATCH(PARAMS_MODELO!$B$2,{"Q1","Q2","Q3"},0)),0)</f>
        <v>7108730</v>
      </c>
      <c r="E983" s="8">
        <f t="shared" si="360"/>
        <v>-0.84667304232955509</v>
      </c>
      <c r="F983" s="12">
        <f>IF(E983&lt;=PARAMS_MODELO!$B$15,0,IF(E983&gt;=PARAMS_MODELO!$B$17,100,100*MIN(1,(E983-PARAMS_MODELO!$B$15)/(PARAMS_MODELO!$B$16-PARAMS_MODELO!$B$15))))*PARAMS_MODELO!$B$7</f>
        <v>0</v>
      </c>
      <c r="G983" s="5">
        <f t="shared" si="361"/>
        <v>0</v>
      </c>
      <c r="H983" s="5">
        <f>(PARAMS_MODELO!$B$20*(MAX(0,MIN(3,E983))/3)+PARAMS_MODELO!$B$21*(IFERROR(LN(1+MAX(0,G983))/LN(1+MAX(0,MAX($G$2:$G$1194))),0)))*100*PARAMS_MODELO!$B$8</f>
        <v>0</v>
      </c>
      <c r="I983" s="8">
        <f>E983-PARAMS_MODELO!$B$5</f>
        <v>-1.0242358777050815</v>
      </c>
      <c r="J983" s="5">
        <f>IF(I983&lt;=PARAMS_MODELO!$B$18,0,IF(I983&gt;=PARAMS_MODELO!$B$19,100,100*(I983-PARAMS_MODELO!$B$18)/(PARAMS_MODELO!$B$19-PARAMS_MODELO!$B$18)))*PARAMS_MODELO!$B$9</f>
        <v>0</v>
      </c>
      <c r="K983" s="5">
        <f>IFERROR(CHOOSE(MATCH(PARAMS_MODELO!$B$2,{"Q1","Q2","Q3"},0),LOTO!$D983,LOTO!$F983,LOTO!$H983),0)</f>
        <v>377500</v>
      </c>
      <c r="L983" s="8">
        <f t="shared" si="362"/>
        <v>5.3103718948391623E-2</v>
      </c>
      <c r="M983" s="5">
        <f>MIN(100,IF(PARAMS_MODELO!$B$23=0,0,100*L983/PARAMS_MODELO!$B$23))*PARAMS_MODELO!$B$10</f>
        <v>15</v>
      </c>
      <c r="N983" s="5">
        <f>IFERROR(VLOOKUP(A983,COMPLIANCE!$A$2:$F$1996,6,0),100)</f>
        <v>100</v>
      </c>
      <c r="O983" s="5">
        <f>N983*PARAMS_MODELO!$B$11</f>
        <v>10</v>
      </c>
      <c r="P983" s="5">
        <f>IFERROR(VLOOKUP(A983,DIGITAL!$A$2:$J$2000,7,0),100)</f>
        <v>48</v>
      </c>
      <c r="Q983" s="5">
        <f>IFERROR(P983,0)*PARAMS_MODELO!$B$12</f>
        <v>4.8000000000000007</v>
      </c>
      <c r="R983">
        <f t="shared" si="363"/>
        <v>29.8</v>
      </c>
      <c r="S983" s="5" t="str">
        <f>IFERROR(VLOOKUP(A983,CLIENTE!$A$2:$N$2000,13,0),1)</f>
        <v>Malo</v>
      </c>
      <c r="T983" s="5">
        <f>IFERROR(VLOOKUP(A983,CLIENTE!$A$2:$N$2000,14,0),1)</f>
        <v>0.7</v>
      </c>
      <c r="U983" s="5">
        <f t="shared" si="364"/>
        <v>20.86</v>
      </c>
      <c r="V983" s="5" t="str">
        <f>IF(U983&gt;=MAX(_xlfn.PERCENTILE.INC($U$2:$U$1194,PARAMS_MODELO!$B$50),PARAMS_MODELO!$B$45),"DIAMANTE",IF(U983&gt;=MAX(_xlfn.PERCENTILE.INC($U$2:$U$1194,PARAMS_MODELO!$B$51),PARAMS_MODELO!$B$46),"PLATINO",IF(U983&gt;=MAX(_xlfn.PERCENTILE.INC($U$2:$U$1194,PARAMS_MODELO!$B$52),PARAMS_MODELO!$B$47),"ORO",IF(U983&gt;=MAX(_xlfn.PERCENTILE.INC($U$2:$U$1194,PARAMS_MODELO!$B$53),PARAMS_MODELO!$B$48),"PLATA",IF(U983&gt;=1,"BRONCE","CERRADO")))))</f>
        <v>BRONCE</v>
      </c>
      <c r="W983" s="5" t="str" cm="1">
        <f t="array" ref="W983">_xlfn.XLOOKUP(1, (HIST_SCORE!$B:$B=PARAMS_MODELO!$B$4) * (HIST_SCORE!$C:$C=A983), HIST_SCORE!$E:$E, "No encontrado")</f>
        <v>PLATA</v>
      </c>
      <c r="X983" s="5" t="str">
        <f>_xlfn.LET(_xlpm.act,MATCH(V983,{"DIAMANTE";"PLATINO";"ORO";"PLATA";"BRONCE";"CERRADO"},0),_xlpm.ant,MATCH(W983,{"DIAMANTE";"PLATINO";"ORO";"PLATA";"BRONCE";"CERRADO"},0),IF(_xlpm.act&lt;_xlpm.ant,"Mejora ↑",IF(_xlpm.act&gt;_xlpm.ant,"Baja ↓","Estable →")))</f>
        <v>Baja ↓</v>
      </c>
      <c r="Y983" s="5">
        <f>IFERROR(U983-SUMIFS(HIST_SCORE!$D:$D,HIST_SCORE!$B:$B,PARAMS_MODELO!$B$4,HIST_SCORE!$C:$C,$A983),"")</f>
        <v>-32.425345266953954</v>
      </c>
      <c r="Z983" s="5" t="str">
        <f t="shared" si="365"/>
        <v>↓ Baja</v>
      </c>
      <c r="AA983" s="5">
        <f t="shared" si="366"/>
        <v>965</v>
      </c>
      <c r="AB983" s="5">
        <f>IFERROR(SUMIFS(HIST_SCORE!$F:$F,HIST_SCORE!$B:$B,PARAMS_MODELO!$B$4,HIST_SCORE!$C:$C,$A983),"")</f>
        <v>747</v>
      </c>
      <c r="AC983" s="5">
        <f t="shared" si="367"/>
        <v>-218</v>
      </c>
      <c r="AD983" t="str">
        <f t="shared" si="369"/>
        <v>Plan de recuperación: foco crecimiento + mix</v>
      </c>
      <c r="AE9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983="CERRADO",1,IF(V983="BRONCE",_xlpm.cPl,IF(V983="PLATA",_xlpm.cO,IF(V983="ORO",_xlpm.cP,IF(V983="PLATINO",_xlpm.cD,999))))))</f>
        <v>24.506573482968111</v>
      </c>
      <c r="AF9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983="CERRADO",0,IF(V983="BRONCE",1,IF(V983="PLATA",_xlpm.cPl,IF(V983="ORO",_xlpm.cO,IF(V983="PLATINO",_xlpm.cP,_xlpm.cD))))))</f>
        <v>1</v>
      </c>
      <c r="AG983">
        <f t="shared" si="370"/>
        <v>5.2093906899544429</v>
      </c>
      <c r="AH983" t="str">
        <f t="shared" si="371"/>
        <v>CLIENTE</v>
      </c>
      <c r="AI983" t="str">
        <f t="shared" si="368"/>
        <v>🎯 Para subir de categoría, la eje con mayor impacto probable es CLIENTE (coef T). Acción: reducir quejas, mejorar incógnito y empujar reseñas. ΔR aprox: 5,2</v>
      </c>
      <c r="AJ983" s="26">
        <f>_xlfn.LET(_xlpm.piso,AF983,_xlpm.corte,AE983,_xlpm.prog,IF(_xlpm.corte&lt;=_xlpm.piso,0,MAX(0,MIN(1,(U983-_xlpm.piso)/(_xlpm.corte-_xlpm.piso)))),_xlpm.orden,{"DIAMANTE";"PLATINO";"ORO";"PLATA";"BRONCE";"CERRADO"},_xlpm.act,IFERROR(MATCH(V983,_xlpm.orden,0),6),_xlpm.ant,IFERROR(MATCH(W983,_xlpm.orden,0),6),_xlpm.ajmov,IF(_xlpm.act&lt;_xlpm.ant,0.08,IF(_xlpm.act&gt;_xlpm.ant,-0.08,0)),_xlpm.ajcli,IF(T983&lt;0.95,-0.06,0),_xlpm.prob,MAX(0,MIN(1,_xlpm.prog+_xlpm.ajmov+_xlpm.ajcli)),IF(OR(V983="DIAMANTE",V983="CERRADO"),0,ROUND(_xlpm.prob,2)))</f>
        <v>0.7</v>
      </c>
      <c r="AK983" t="str">
        <f t="shared" si="372"/>
        <v>Faltan 5,2 puntos base para subir a la siguiente categoría</v>
      </c>
      <c r="AL983" t="str">
        <f t="shared" si="373"/>
        <v>No aplica</v>
      </c>
      <c r="AM983">
        <f t="shared" si="374"/>
        <v>0.53</v>
      </c>
      <c r="AN983" t="str">
        <f t="shared" si="375"/>
        <v>PRIORIDAD MEDIA – seguimiento del asesor</v>
      </c>
      <c r="AO983">
        <f t="shared" si="376"/>
        <v>45.403798492706905</v>
      </c>
      <c r="AP983">
        <f t="shared" si="377"/>
        <v>0</v>
      </c>
      <c r="AQ983">
        <f t="shared" si="378"/>
        <v>0</v>
      </c>
      <c r="AR983">
        <f t="shared" si="379"/>
        <v>3.6399999999999992</v>
      </c>
      <c r="AS983">
        <f t="shared" si="380"/>
        <v>8.9400000000000013</v>
      </c>
      <c r="AT983" t="str">
        <f t="shared" si="381"/>
        <v>VENTAS</v>
      </c>
      <c r="AU983">
        <f t="shared" si="382"/>
        <v>45.403798492706905</v>
      </c>
      <c r="AV983" t="str">
        <f t="shared" si="383"/>
        <v>Mayor retorno probable: VENTAS (+45,4 puntos finales potenciales).</v>
      </c>
    </row>
    <row r="984" spans="1:48" x14ac:dyDescent="0.3">
      <c r="A984" s="5">
        <v>51022629</v>
      </c>
      <c r="B984" s="5" t="str">
        <f>IFERROR(VLOOKUP(A984,VENTAS!$A$2:$B$1194,2,0),"")</f>
        <v>ARGUELLO</v>
      </c>
      <c r="C984" s="5">
        <f>IFERROR(INDEX(VENTAS!$C$2:$E$1194,MATCH(A984,VENTAS!$A$2:$A$1194,0),MATCH(PARAMS_MODELO!$B$2,{"Q1","Q2","Q3"},0)),0)</f>
        <v>5174371.9000000004</v>
      </c>
      <c r="D984" s="5">
        <f>IFERROR(INDEX(VENTAS!$F$2:$H$1194,MATCH(A984,VENTAS!$A$2:$A$1194,0),MATCH(PARAMS_MODELO!$B$2,{"Q1","Q2","Q3"},0)),0)</f>
        <v>5662995</v>
      </c>
      <c r="E984" s="8">
        <f t="shared" si="360"/>
        <v>9.443138402943152E-2</v>
      </c>
      <c r="F984" s="12">
        <f>IF(E984&lt;=PARAMS_MODELO!$B$15,0,IF(E984&gt;=PARAMS_MODELO!$B$17,100,100*MIN(1,(E984-PARAMS_MODELO!$B$15)/(PARAMS_MODELO!$B$16-PARAMS_MODELO!$B$15))))*PARAMS_MODELO!$B$7</f>
        <v>33.050984410301027</v>
      </c>
      <c r="G984" s="5">
        <f t="shared" si="361"/>
        <v>488623.09999999963</v>
      </c>
      <c r="H984" s="5">
        <f>(PARAMS_MODELO!$B$20*(MAX(0,MIN(3,E984))/3)+PARAMS_MODELO!$B$21*(IFERROR(LN(1+MAX(0,G984))/LN(1+MAX(0,MAX($G$2:$G$1194))),0)))*100*PARAMS_MODELO!$B$8</f>
        <v>3.4011800697217667</v>
      </c>
      <c r="I984" s="8">
        <f>E984-PARAMS_MODELO!$B$5</f>
        <v>-8.3131451346095009E-2</v>
      </c>
      <c r="J984" s="5">
        <f>IF(I984&lt;=PARAMS_MODELO!$B$18,0,IF(I984&gt;=PARAMS_MODELO!$B$19,100,100*(I984-PARAMS_MODELO!$B$18)/(PARAMS_MODELO!$B$19-PARAMS_MODELO!$B$18)))*PARAMS_MODELO!$B$9</f>
        <v>0</v>
      </c>
      <c r="K984" s="5">
        <f>IFERROR(CHOOSE(MATCH(PARAMS_MODELO!$B$2,{"Q1","Q2","Q3"},0),LOTO!$D984,LOTO!$F984,LOTO!$H984),0)</f>
        <v>362500</v>
      </c>
      <c r="L984" s="8">
        <f t="shared" si="362"/>
        <v>6.4012064287536891E-2</v>
      </c>
      <c r="M984" s="5">
        <f>MIN(100,IF(PARAMS_MODELO!$B$23=0,0,100*L984/PARAMS_MODELO!$B$23))*PARAMS_MODELO!$B$10</f>
        <v>15</v>
      </c>
      <c r="N984" s="5">
        <f>IFERROR(VLOOKUP(A984,COMPLIANCE!$A$2:$F$1996,6,0),100)</f>
        <v>100</v>
      </c>
      <c r="O984" s="5">
        <f>N984*PARAMS_MODELO!$B$11</f>
        <v>10</v>
      </c>
      <c r="P984" s="5">
        <f>IFERROR(VLOOKUP(A984,DIGITAL!$A$2:$J$2000,7,0),100)</f>
        <v>6</v>
      </c>
      <c r="Q984" s="5">
        <f>IFERROR(P984,0)*PARAMS_MODELO!$B$12</f>
        <v>0.60000000000000009</v>
      </c>
      <c r="R984">
        <f t="shared" si="363"/>
        <v>62.052164480022796</v>
      </c>
      <c r="S984" s="5" t="str">
        <f>IFERROR(VLOOKUP(A984,CLIENTE!$A$2:$N$2000,13,0),1)</f>
        <v>Bueno</v>
      </c>
      <c r="T984" s="5">
        <f>IFERROR(VLOOKUP(A984,CLIENTE!$A$2:$N$2000,14,0),1)</f>
        <v>1.1000000000000001</v>
      </c>
      <c r="U984" s="5">
        <f t="shared" si="364"/>
        <v>68.257380928025086</v>
      </c>
      <c r="V984" s="5" t="str">
        <f>IF(U984&gt;=MAX(_xlfn.PERCENTILE.INC($U$2:$U$1194,PARAMS_MODELO!$B$50),PARAMS_MODELO!$B$45),"DIAMANTE",IF(U984&gt;=MAX(_xlfn.PERCENTILE.INC($U$2:$U$1194,PARAMS_MODELO!$B$51),PARAMS_MODELO!$B$46),"PLATINO",IF(U984&gt;=MAX(_xlfn.PERCENTILE.INC($U$2:$U$1194,PARAMS_MODELO!$B$52),PARAMS_MODELO!$B$47),"ORO",IF(U984&gt;=MAX(_xlfn.PERCENTILE.INC($U$2:$U$1194,PARAMS_MODELO!$B$53),PARAMS_MODELO!$B$48),"PLATA",IF(U984&gt;=1,"BRONCE","CERRADO")))))</f>
        <v>ORO</v>
      </c>
      <c r="W984" s="5" t="str" cm="1">
        <f t="array" ref="W984">_xlfn.XLOOKUP(1, (HIST_SCORE!$B:$B=PARAMS_MODELO!$B$4) * (HIST_SCORE!$C:$C=A984), HIST_SCORE!$E:$E, "No encontrado")</f>
        <v>PLATA</v>
      </c>
      <c r="X984" s="5" t="str">
        <f>_xlfn.LET(_xlpm.act,MATCH(V984,{"DIAMANTE";"PLATINO";"ORO";"PLATA";"BRONCE";"CERRADO"},0),_xlpm.ant,MATCH(W984,{"DIAMANTE";"PLATINO";"ORO";"PLATA";"BRONCE";"CERRADO"},0),IF(_xlpm.act&lt;_xlpm.ant,"Mejora ↑",IF(_xlpm.act&gt;_xlpm.ant,"Baja ↓","Estable →")))</f>
        <v>Mejora ↑</v>
      </c>
      <c r="Y984" s="5">
        <f>IFERROR(U984-SUMIFS(HIST_SCORE!$D:$D,HIST_SCORE!$B:$B,PARAMS_MODELO!$B$4,HIST_SCORE!$C:$C,$A984),"")</f>
        <v>40.097380928025082</v>
      </c>
      <c r="Z984" s="5" t="str">
        <f t="shared" si="365"/>
        <v>↑ Mejora</v>
      </c>
      <c r="AA984" s="5">
        <f t="shared" si="366"/>
        <v>525</v>
      </c>
      <c r="AB984" s="5">
        <f>IFERROR(SUMIFS(HIST_SCORE!$F:$F,HIST_SCORE!$B:$B,PARAMS_MODELO!$B$4,HIST_SCORE!$C:$C,$A984),"")</f>
        <v>929</v>
      </c>
      <c r="AC984" s="5">
        <f t="shared" si="367"/>
        <v>404</v>
      </c>
      <c r="AD984" t="str">
        <f t="shared" si="369"/>
        <v/>
      </c>
      <c r="AE9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984="CERRADO",1,IF(V984="BRONCE",_xlpm.cPl,IF(V984="PLATA",_xlpm.cO,IF(V984="ORO",_xlpm.cP,IF(V984="PLATINO",_xlpm.cD,999))))))</f>
        <v>86.439123873763251</v>
      </c>
      <c r="AF9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984="CERRADO",0,IF(V984="BRONCE",1,IF(V984="PLATA",_xlpm.cPl,IF(V984="ORO",_xlpm.cO,IF(V984="PLATINO",_xlpm.cP,_xlpm.cD))))))</f>
        <v>63.199193273331495</v>
      </c>
      <c r="AG984">
        <f t="shared" si="370"/>
        <v>16.528857223398333</v>
      </c>
      <c r="AH984" t="str">
        <f t="shared" si="371"/>
        <v>VENTAS</v>
      </c>
      <c r="AI984" t="str">
        <f t="shared" si="368"/>
        <v>🎯 Para subir de categoría, eje VENTAS / DIFERENCIAL vs LOTBA (J). Acción: metas semanales + activación comercial + seguimiento del asesor. ΔR aprox: 16,5</v>
      </c>
      <c r="AJ984" s="26">
        <f>_xlfn.LET(_xlpm.piso,AF984,_xlpm.corte,AE984,_xlpm.prog,IF(_xlpm.corte&lt;=_xlpm.piso,0,MAX(0,MIN(1,(U984-_xlpm.piso)/(_xlpm.corte-_xlpm.piso)))),_xlpm.orden,{"DIAMANTE";"PLATINO";"ORO";"PLATA";"BRONCE";"CERRADO"},_xlpm.act,IFERROR(MATCH(V984,_xlpm.orden,0),6),_xlpm.ant,IFERROR(MATCH(W984,_xlpm.orden,0),6),_xlpm.ajmov,IF(_xlpm.act&lt;_xlpm.ant,0.08,IF(_xlpm.act&gt;_xlpm.ant,-0.08,0)),_xlpm.ajcli,IF(T984&lt;0.95,-0.06,0),_xlpm.prob,MAX(0,MIN(1,_xlpm.prog+_xlpm.ajmov+_xlpm.ajcli)),IF(OR(V984="DIAMANTE",V984="CERRADO"),0,ROUND(_xlpm.prob,2)))</f>
        <v>0.3</v>
      </c>
      <c r="AK984" t="str">
        <f t="shared" si="372"/>
        <v>Faltan 16,5 puntos base para subir a la siguiente categoría</v>
      </c>
      <c r="AL984" t="str">
        <f t="shared" si="373"/>
        <v>Margen de seguridad: 5,1 puntos</v>
      </c>
      <c r="AM984">
        <f t="shared" si="374"/>
        <v>0.68</v>
      </c>
      <c r="AN984" t="str">
        <f t="shared" si="375"/>
        <v>PRIORIDAD MEDIA – seguimiento del asesor</v>
      </c>
      <c r="AO984">
        <f t="shared" si="376"/>
        <v>31.251445274800073</v>
      </c>
      <c r="AP984">
        <f t="shared" si="377"/>
        <v>0</v>
      </c>
      <c r="AQ984">
        <f t="shared" si="378"/>
        <v>0</v>
      </c>
      <c r="AR984">
        <f t="shared" si="379"/>
        <v>10.340000000000002</v>
      </c>
      <c r="AS984">
        <f t="shared" si="380"/>
        <v>0</v>
      </c>
      <c r="AT984" t="str">
        <f t="shared" si="381"/>
        <v>VENTAS</v>
      </c>
      <c r="AU984">
        <f t="shared" si="382"/>
        <v>31.251445274800073</v>
      </c>
      <c r="AV984" t="str">
        <f t="shared" si="383"/>
        <v>Mayor retorno probable: VENTAS (+31,3 puntos finales potenciales).</v>
      </c>
    </row>
    <row r="985" spans="1:48" x14ac:dyDescent="0.3">
      <c r="A985" s="5">
        <v>51021274</v>
      </c>
      <c r="B985" s="5" t="str">
        <f>IFERROR(VLOOKUP(A985,VENTAS!$A$2:$B$1194,2,0),"")</f>
        <v>AYALA</v>
      </c>
      <c r="C985" s="5">
        <f>IFERROR(INDEX(VENTAS!$C$2:$E$1194,MATCH(A985,VENTAS!$A$2:$A$1194,0),MATCH(PARAMS_MODELO!$B$2,{"Q1","Q2","Q3"},0)),0)</f>
        <v>6397715.2999999998</v>
      </c>
      <c r="D985" s="5">
        <f>IFERROR(INDEX(VENTAS!$F$2:$H$1194,MATCH(A985,VENTAS!$A$2:$A$1194,0),MATCH(PARAMS_MODELO!$B$2,{"Q1","Q2","Q3"},0)),0)</f>
        <v>5302635</v>
      </c>
      <c r="E985" s="8">
        <f t="shared" si="360"/>
        <v>-0.17116740096265304</v>
      </c>
      <c r="F985" s="12">
        <f>IF(E985&lt;=PARAMS_MODELO!$B$15,0,IF(E985&gt;=PARAMS_MODELO!$B$17,100,100*MIN(1,(E985-PARAMS_MODELO!$B$15)/(PARAMS_MODELO!$B$16-PARAMS_MODELO!$B$15))))*PARAMS_MODELO!$B$7</f>
        <v>0</v>
      </c>
      <c r="G985" s="5">
        <f t="shared" si="361"/>
        <v>0</v>
      </c>
      <c r="H985" s="5">
        <f>(PARAMS_MODELO!$B$20*(MAX(0,MIN(3,E985))/3)+PARAMS_MODELO!$B$21*(IFERROR(LN(1+MAX(0,G985))/LN(1+MAX(0,MAX($G$2:$G$1194))),0)))*100*PARAMS_MODELO!$B$8</f>
        <v>0</v>
      </c>
      <c r="I985" s="8">
        <f>E985-PARAMS_MODELO!$B$5</f>
        <v>-0.34873023633817957</v>
      </c>
      <c r="J985" s="5">
        <f>IF(I985&lt;=PARAMS_MODELO!$B$18,0,IF(I985&gt;=PARAMS_MODELO!$B$19,100,100*(I985-PARAMS_MODELO!$B$18)/(PARAMS_MODELO!$B$19-PARAMS_MODELO!$B$18)))*PARAMS_MODELO!$B$9</f>
        <v>0</v>
      </c>
      <c r="K985" s="5">
        <f>IFERROR(CHOOSE(MATCH(PARAMS_MODELO!$B$2,{"Q1","Q2","Q3"},0),LOTO!$D985,LOTO!$F985,LOTO!$H985),0)</f>
        <v>347500</v>
      </c>
      <c r="L985" s="8">
        <f t="shared" si="362"/>
        <v>6.5533456479655874E-2</v>
      </c>
      <c r="M985" s="5">
        <f>MIN(100,IF(PARAMS_MODELO!$B$23=0,0,100*L985/PARAMS_MODELO!$B$23))*PARAMS_MODELO!$B$10</f>
        <v>15</v>
      </c>
      <c r="N985" s="5">
        <f>IFERROR(VLOOKUP(A985,COMPLIANCE!$A$2:$F$1996,6,0),100)</f>
        <v>99.66</v>
      </c>
      <c r="O985" s="5">
        <f>N985*PARAMS_MODELO!$B$11</f>
        <v>9.9660000000000011</v>
      </c>
      <c r="P985" s="5">
        <f>IFERROR(VLOOKUP(A985,DIGITAL!$A$2:$J$2000,7,0),100)</f>
        <v>66</v>
      </c>
      <c r="Q985" s="5">
        <f>IFERROR(P985,0)*PARAMS_MODELO!$B$12</f>
        <v>6.6000000000000005</v>
      </c>
      <c r="R985">
        <f t="shared" si="363"/>
        <v>31.566000000000003</v>
      </c>
      <c r="S985" s="5" t="str">
        <f>IFERROR(VLOOKUP(A985,CLIENTE!$A$2:$N$2000,13,0),1)</f>
        <v>Bueno</v>
      </c>
      <c r="T985" s="5">
        <f>IFERROR(VLOOKUP(A985,CLIENTE!$A$2:$N$2000,14,0),1)</f>
        <v>1.1000000000000001</v>
      </c>
      <c r="U985" s="5">
        <f t="shared" si="364"/>
        <v>34.722600000000007</v>
      </c>
      <c r="V985" s="5" t="str">
        <f>IF(U985&gt;=MAX(_xlfn.PERCENTILE.INC($U$2:$U$1194,PARAMS_MODELO!$B$50),PARAMS_MODELO!$B$45),"DIAMANTE",IF(U985&gt;=MAX(_xlfn.PERCENTILE.INC($U$2:$U$1194,PARAMS_MODELO!$B$51),PARAMS_MODELO!$B$46),"PLATINO",IF(U985&gt;=MAX(_xlfn.PERCENTILE.INC($U$2:$U$1194,PARAMS_MODELO!$B$52),PARAMS_MODELO!$B$47),"ORO",IF(U985&gt;=MAX(_xlfn.PERCENTILE.INC($U$2:$U$1194,PARAMS_MODELO!$B$53),PARAMS_MODELO!$B$48),"PLATA",IF(U985&gt;=1,"BRONCE","CERRADO")))))</f>
        <v>PLATA</v>
      </c>
      <c r="W985" s="5" t="str" cm="1">
        <f t="array" ref="W985">_xlfn.XLOOKUP(1, (HIST_SCORE!$B:$B=PARAMS_MODELO!$B$4) * (HIST_SCORE!$C:$C=A985), HIST_SCORE!$E:$E, "No encontrado")</f>
        <v>PLATINO</v>
      </c>
      <c r="X985" s="5" t="str">
        <f>_xlfn.LET(_xlpm.act,MATCH(V985,{"DIAMANTE";"PLATINO";"ORO";"PLATA";"BRONCE";"CERRADO"},0),_xlpm.ant,MATCH(W985,{"DIAMANTE";"PLATINO";"ORO";"PLATA";"BRONCE";"CERRADO"},0),IF(_xlpm.act&lt;_xlpm.ant,"Mejora ↑",IF(_xlpm.act&gt;_xlpm.ant,"Baja ↓","Estable →")))</f>
        <v>Baja ↓</v>
      </c>
      <c r="Y985" s="5">
        <f>IFERROR(U985-SUMIFS(HIST_SCORE!$D:$D,HIST_SCORE!$B:$B,PARAMS_MODELO!$B$4,HIST_SCORE!$C:$C,$A985),"")</f>
        <v>-59.826752792735796</v>
      </c>
      <c r="Z985" s="5" t="str">
        <f t="shared" si="365"/>
        <v>↓ Baja</v>
      </c>
      <c r="AA985" s="5">
        <f t="shared" si="366"/>
        <v>807</v>
      </c>
      <c r="AB985" s="5">
        <f>IFERROR(SUMIFS(HIST_SCORE!$F:$F,HIST_SCORE!$B:$B,PARAMS_MODELO!$B$4,HIST_SCORE!$C:$C,$A985),"")</f>
        <v>69</v>
      </c>
      <c r="AC985" s="5">
        <f t="shared" si="367"/>
        <v>-738</v>
      </c>
      <c r="AD985" t="str">
        <f t="shared" si="369"/>
        <v/>
      </c>
      <c r="AE9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985="CERRADO",1,IF(V985="BRONCE",_xlpm.cPl,IF(V985="PLATA",_xlpm.cO,IF(V985="ORO",_xlpm.cP,IF(V985="PLATINO",_xlpm.cD,999))))))</f>
        <v>63.199193273331495</v>
      </c>
      <c r="AF9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985="CERRADO",0,IF(V985="BRONCE",1,IF(V985="PLATA",_xlpm.cPl,IF(V985="ORO",_xlpm.cO,IF(V985="PLATINO",_xlpm.cP,_xlpm.cD))))))</f>
        <v>24.506573482968111</v>
      </c>
      <c r="AG985">
        <f t="shared" si="370"/>
        <v>25.887812066664992</v>
      </c>
      <c r="AH985" t="str">
        <f t="shared" si="371"/>
        <v>VENTAS</v>
      </c>
      <c r="AI985" t="str">
        <f t="shared" si="368"/>
        <v>🎯 Para subir de categoría, eje VENTAS / CRECIMIENTO PERSONAL (F). Acción: metas semanales + activación comercial + seguimiento del asesor. ΔR aprox: 25,9</v>
      </c>
      <c r="AJ985" s="26">
        <f>_xlfn.LET(_xlpm.piso,AF985,_xlpm.corte,AE985,_xlpm.prog,IF(_xlpm.corte&lt;=_xlpm.piso,0,MAX(0,MIN(1,(U985-_xlpm.piso)/(_xlpm.corte-_xlpm.piso)))),_xlpm.orden,{"DIAMANTE";"PLATINO";"ORO";"PLATA";"BRONCE";"CERRADO"},_xlpm.act,IFERROR(MATCH(V985,_xlpm.orden,0),6),_xlpm.ant,IFERROR(MATCH(W985,_xlpm.orden,0),6),_xlpm.ajmov,IF(_xlpm.act&lt;_xlpm.ant,0.08,IF(_xlpm.act&gt;_xlpm.ant,-0.08,0)),_xlpm.ajcli,IF(T985&lt;0.95,-0.06,0),_xlpm.prob,MAX(0,MIN(1,_xlpm.prog+_xlpm.ajmov+_xlpm.ajcli)),IF(OR(V985="DIAMANTE",V985="CERRADO"),0,ROUND(_xlpm.prob,2)))</f>
        <v>0.18</v>
      </c>
      <c r="AK985" t="str">
        <f t="shared" si="372"/>
        <v>Faltan 25,9 puntos base para subir a la siguiente categoría</v>
      </c>
      <c r="AL985" t="str">
        <f t="shared" si="373"/>
        <v>Margen de seguridad: 10,2 puntos</v>
      </c>
      <c r="AM985">
        <f t="shared" si="374"/>
        <v>0.73</v>
      </c>
      <c r="AN985" t="str">
        <f t="shared" si="375"/>
        <v>PRIORIDAD ALTA – requiere intervención inmediata</v>
      </c>
      <c r="AO985">
        <f t="shared" si="376"/>
        <v>71.348826202825151</v>
      </c>
      <c r="AP985">
        <f t="shared" si="377"/>
        <v>0</v>
      </c>
      <c r="AQ985">
        <f t="shared" si="378"/>
        <v>3.7399999999998816E-2</v>
      </c>
      <c r="AR985">
        <f t="shared" si="379"/>
        <v>3.7399999999999998</v>
      </c>
      <c r="AS985">
        <f t="shared" si="380"/>
        <v>0</v>
      </c>
      <c r="AT985" t="str">
        <f t="shared" si="381"/>
        <v>VENTAS</v>
      </c>
      <c r="AU985">
        <f t="shared" si="382"/>
        <v>71.348826202825151</v>
      </c>
      <c r="AV985" t="str">
        <f t="shared" si="383"/>
        <v>Mayor retorno probable: VENTAS (+71,3 puntos finales potenciales).</v>
      </c>
    </row>
    <row r="986" spans="1:48" x14ac:dyDescent="0.3">
      <c r="A986" s="5">
        <v>51021819</v>
      </c>
      <c r="B986" s="5" t="str">
        <f>IFERROR(VLOOKUP(A986,VENTAS!$A$2:$B$1194,2,0),"")</f>
        <v>BELUZZO</v>
      </c>
      <c r="C986" s="5">
        <f>IFERROR(INDEX(VENTAS!$C$2:$E$1194,MATCH(A986,VENTAS!$A$2:$A$1194,0),MATCH(PARAMS_MODELO!$B$2,{"Q1","Q2","Q3"},0)),0)</f>
        <v>12899739.6</v>
      </c>
      <c r="D986" s="5">
        <f>IFERROR(INDEX(VENTAS!$F$2:$H$1194,MATCH(A986,VENTAS!$A$2:$A$1194,0),MATCH(PARAMS_MODELO!$B$2,{"Q1","Q2","Q3"},0)),0)</f>
        <v>5058104</v>
      </c>
      <c r="E986" s="8">
        <f t="shared" si="360"/>
        <v>-0.6078909995981624</v>
      </c>
      <c r="F986" s="12">
        <f>IF(E986&lt;=PARAMS_MODELO!$B$15,0,IF(E986&gt;=PARAMS_MODELO!$B$17,100,100*MIN(1,(E986-PARAMS_MODELO!$B$15)/(PARAMS_MODELO!$B$16-PARAMS_MODELO!$B$15))))*PARAMS_MODELO!$B$7</f>
        <v>0</v>
      </c>
      <c r="G986" s="5">
        <f t="shared" si="361"/>
        <v>0</v>
      </c>
      <c r="H986" s="5">
        <f>(PARAMS_MODELO!$B$20*(MAX(0,MIN(3,E986))/3)+PARAMS_MODELO!$B$21*(IFERROR(LN(1+MAX(0,G986))/LN(1+MAX(0,MAX($G$2:$G$1194))),0)))*100*PARAMS_MODELO!$B$8</f>
        <v>0</v>
      </c>
      <c r="I986" s="8">
        <f>E986-PARAMS_MODELO!$B$5</f>
        <v>-0.78545383497368892</v>
      </c>
      <c r="J986" s="5">
        <f>IF(I986&lt;=PARAMS_MODELO!$B$18,0,IF(I986&gt;=PARAMS_MODELO!$B$19,100,100*(I986-PARAMS_MODELO!$B$18)/(PARAMS_MODELO!$B$19-PARAMS_MODELO!$B$18)))*PARAMS_MODELO!$B$9</f>
        <v>0</v>
      </c>
      <c r="K986" s="5">
        <f>IFERROR(CHOOSE(MATCH(PARAMS_MODELO!$B$2,{"Q1","Q2","Q3"},0),LOTO!$D986,LOTO!$F986,LOTO!$H986),0)</f>
        <v>312500</v>
      </c>
      <c r="L986" s="8">
        <f t="shared" si="362"/>
        <v>6.1782043232009462E-2</v>
      </c>
      <c r="M986" s="5">
        <f>MIN(100,IF(PARAMS_MODELO!$B$23=0,0,100*L986/PARAMS_MODELO!$B$23))*PARAMS_MODELO!$B$10</f>
        <v>15</v>
      </c>
      <c r="N986" s="5">
        <f>IFERROR(VLOOKUP(A986,COMPLIANCE!$A$2:$F$1996,6,0),100)</f>
        <v>100</v>
      </c>
      <c r="O986" s="5">
        <f>N986*PARAMS_MODELO!$B$11</f>
        <v>10</v>
      </c>
      <c r="P986" s="5">
        <f>IFERROR(VLOOKUP(A986,DIGITAL!$A$2:$J$2000,7,0),100)</f>
        <v>88</v>
      </c>
      <c r="Q986" s="5">
        <f>IFERROR(P986,0)*PARAMS_MODELO!$B$12</f>
        <v>8.8000000000000007</v>
      </c>
      <c r="R986">
        <f t="shared" si="363"/>
        <v>33.799999999999997</v>
      </c>
      <c r="S986" s="5" t="str">
        <f>IFERROR(VLOOKUP(A986,CLIENTE!$A$2:$N$2000,13,0),1)</f>
        <v>Malo</v>
      </c>
      <c r="T986" s="5">
        <f>IFERROR(VLOOKUP(A986,CLIENTE!$A$2:$N$2000,14,0),1)</f>
        <v>0.7</v>
      </c>
      <c r="U986" s="5">
        <f t="shared" si="364"/>
        <v>23.659999999999997</v>
      </c>
      <c r="V986" s="5" t="str">
        <f>IF(U986&gt;=MAX(_xlfn.PERCENTILE.INC($U$2:$U$1194,PARAMS_MODELO!$B$50),PARAMS_MODELO!$B$45),"DIAMANTE",IF(U986&gt;=MAX(_xlfn.PERCENTILE.INC($U$2:$U$1194,PARAMS_MODELO!$B$51),PARAMS_MODELO!$B$46),"PLATINO",IF(U986&gt;=MAX(_xlfn.PERCENTILE.INC($U$2:$U$1194,PARAMS_MODELO!$B$52),PARAMS_MODELO!$B$47),"ORO",IF(U986&gt;=MAX(_xlfn.PERCENTILE.INC($U$2:$U$1194,PARAMS_MODELO!$B$53),PARAMS_MODELO!$B$48),"PLATA",IF(U986&gt;=1,"BRONCE","CERRADO")))))</f>
        <v>BRONCE</v>
      </c>
      <c r="W986" s="5" t="str" cm="1">
        <f t="array" ref="W986">_xlfn.XLOOKUP(1, (HIST_SCORE!$B:$B=PARAMS_MODELO!$B$4) * (HIST_SCORE!$C:$C=A986), HIST_SCORE!$E:$E, "No encontrado")</f>
        <v>PLATA</v>
      </c>
      <c r="X986" s="5" t="str">
        <f>_xlfn.LET(_xlpm.act,MATCH(V986,{"DIAMANTE";"PLATINO";"ORO";"PLATA";"BRONCE";"CERRADO"},0),_xlpm.ant,MATCH(W986,{"DIAMANTE";"PLATINO";"ORO";"PLATA";"BRONCE";"CERRADO"},0),IF(_xlpm.act&lt;_xlpm.ant,"Mejora ↑",IF(_xlpm.act&gt;_xlpm.ant,"Baja ↓","Estable →")))</f>
        <v>Baja ↓</v>
      </c>
      <c r="Y986" s="5">
        <f>IFERROR(U986-SUMIFS(HIST_SCORE!$D:$D,HIST_SCORE!$B:$B,PARAMS_MODELO!$B$4,HIST_SCORE!$C:$C,$A986),"")</f>
        <v>-12.377854037753323</v>
      </c>
      <c r="Z986" s="5" t="str">
        <f t="shared" si="365"/>
        <v>↓ Baja</v>
      </c>
      <c r="AA986" s="5">
        <f t="shared" si="366"/>
        <v>925</v>
      </c>
      <c r="AB986" s="5">
        <f>IFERROR(SUMIFS(HIST_SCORE!$F:$F,HIST_SCORE!$B:$B,PARAMS_MODELO!$B$4,HIST_SCORE!$C:$C,$A986),"")</f>
        <v>862</v>
      </c>
      <c r="AC986" s="5">
        <f t="shared" si="367"/>
        <v>-63</v>
      </c>
      <c r="AD986" t="str">
        <f t="shared" si="369"/>
        <v>Plan de recuperación: foco crecimiento + mix</v>
      </c>
      <c r="AE9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986="CERRADO",1,IF(V986="BRONCE",_xlpm.cPl,IF(V986="PLATA",_xlpm.cO,IF(V986="ORO",_xlpm.cP,IF(V986="PLATINO",_xlpm.cD,999))))))</f>
        <v>24.506573482968111</v>
      </c>
      <c r="AF9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986="CERRADO",0,IF(V986="BRONCE",1,IF(V986="PLATA",_xlpm.cPl,IF(V986="ORO",_xlpm.cO,IF(V986="PLATINO",_xlpm.cP,_xlpm.cD))))))</f>
        <v>1</v>
      </c>
      <c r="AG986">
        <f t="shared" si="370"/>
        <v>1.2093906899544464</v>
      </c>
      <c r="AH986" t="str">
        <f t="shared" si="371"/>
        <v>CLIENTE</v>
      </c>
      <c r="AI986" t="str">
        <f t="shared" si="368"/>
        <v>🎯 Para subir de categoría, la eje con mayor impacto probable es CLIENTE (coef T). Acción: reducir quejas, mejorar incógnito y empujar reseñas. ΔR aprox: 1,2</v>
      </c>
      <c r="AJ986" s="26">
        <f>_xlfn.LET(_xlpm.piso,AF986,_xlpm.corte,AE986,_xlpm.prog,IF(_xlpm.corte&lt;=_xlpm.piso,0,MAX(0,MIN(1,(U986-_xlpm.piso)/(_xlpm.corte-_xlpm.piso)))),_xlpm.orden,{"DIAMANTE";"PLATINO";"ORO";"PLATA";"BRONCE";"CERRADO"},_xlpm.act,IFERROR(MATCH(V986,_xlpm.orden,0),6),_xlpm.ant,IFERROR(MATCH(W986,_xlpm.orden,0),6),_xlpm.ajmov,IF(_xlpm.act&lt;_xlpm.ant,0.08,IF(_xlpm.act&gt;_xlpm.ant,-0.08,0)),_xlpm.ajcli,IF(T986&lt;0.95,-0.06,0),_xlpm.prob,MAX(0,MIN(1,_xlpm.prog+_xlpm.ajmov+_xlpm.ajcli)),IF(OR(V986="DIAMANTE",V986="CERRADO"),0,ROUND(_xlpm.prob,2)))</f>
        <v>0.82</v>
      </c>
      <c r="AK986" t="str">
        <f t="shared" si="372"/>
        <v>Faltan 1,2 puntos base para subir a la siguiente categoría</v>
      </c>
      <c r="AL986" t="str">
        <f t="shared" si="373"/>
        <v>No aplica</v>
      </c>
      <c r="AM986">
        <f t="shared" si="374"/>
        <v>0.32</v>
      </c>
      <c r="AN986" t="str">
        <f t="shared" si="375"/>
        <v>PRIORIDAD BAJA – control normal</v>
      </c>
      <c r="AO986">
        <f t="shared" si="376"/>
        <v>45.403798492706905</v>
      </c>
      <c r="AP986">
        <f t="shared" si="377"/>
        <v>0</v>
      </c>
      <c r="AQ986">
        <f t="shared" si="378"/>
        <v>0</v>
      </c>
      <c r="AR986">
        <f t="shared" si="379"/>
        <v>0.83999999999999941</v>
      </c>
      <c r="AS986">
        <f t="shared" si="380"/>
        <v>10.14</v>
      </c>
      <c r="AT986" t="str">
        <f t="shared" si="381"/>
        <v>VENTAS</v>
      </c>
      <c r="AU986">
        <f t="shared" si="382"/>
        <v>45.403798492706905</v>
      </c>
      <c r="AV986" t="str">
        <f t="shared" si="383"/>
        <v>Mayor retorno probable: VENTAS (+45,4 puntos finales potenciales).</v>
      </c>
    </row>
    <row r="987" spans="1:48" x14ac:dyDescent="0.3">
      <c r="A987" s="5">
        <v>51011171</v>
      </c>
      <c r="B987" s="5" t="str">
        <f>IFERROR(VLOOKUP(A987,VENTAS!$A$2:$B$1194,2,0),"")</f>
        <v>PRADES</v>
      </c>
      <c r="C987" s="5">
        <f>IFERROR(INDEX(VENTAS!$C$2:$E$1194,MATCH(A987,VENTAS!$A$2:$A$1194,0),MATCH(PARAMS_MODELO!$B$2,{"Q1","Q2","Q3"},0)),0)</f>
        <v>5737342.7100000009</v>
      </c>
      <c r="D987" s="5">
        <f>IFERROR(INDEX(VENTAS!$F$2:$H$1194,MATCH(A987,VENTAS!$A$2:$A$1194,0),MATCH(PARAMS_MODELO!$B$2,{"Q1","Q2","Q3"},0)),0)</f>
        <v>4603512</v>
      </c>
      <c r="E987" s="8">
        <f t="shared" si="360"/>
        <v>-0.19762297065220991</v>
      </c>
      <c r="F987" s="12">
        <f>IF(E987&lt;=PARAMS_MODELO!$B$15,0,IF(E987&gt;=PARAMS_MODELO!$B$17,100,100*MIN(1,(E987-PARAMS_MODELO!$B$15)/(PARAMS_MODELO!$B$16-PARAMS_MODELO!$B$15))))*PARAMS_MODELO!$B$7</f>
        <v>0</v>
      </c>
      <c r="G987" s="5">
        <f t="shared" si="361"/>
        <v>0</v>
      </c>
      <c r="H987" s="5">
        <f>(PARAMS_MODELO!$B$20*(MAX(0,MIN(3,E987))/3)+PARAMS_MODELO!$B$21*(IFERROR(LN(1+MAX(0,G987))/LN(1+MAX(0,MAX($G$2:$G$1194))),0)))*100*PARAMS_MODELO!$B$8</f>
        <v>0</v>
      </c>
      <c r="I987" s="8">
        <f>E987-PARAMS_MODELO!$B$5</f>
        <v>-0.37518580602773643</v>
      </c>
      <c r="J987" s="5">
        <f>IF(I987&lt;=PARAMS_MODELO!$B$18,0,IF(I987&gt;=PARAMS_MODELO!$B$19,100,100*(I987-PARAMS_MODELO!$B$18)/(PARAMS_MODELO!$B$19-PARAMS_MODELO!$B$18)))*PARAMS_MODELO!$B$9</f>
        <v>0</v>
      </c>
      <c r="K987" s="5">
        <f>IFERROR(CHOOSE(MATCH(PARAMS_MODELO!$B$2,{"Q1","Q2","Q3"},0),LOTO!$D987,LOTO!$F987,LOTO!$H987),0)</f>
        <v>295000</v>
      </c>
      <c r="L987" s="8">
        <f t="shared" si="362"/>
        <v>6.4081509942843631E-2</v>
      </c>
      <c r="M987" s="5">
        <f>MIN(100,IF(PARAMS_MODELO!$B$23=0,0,100*L987/PARAMS_MODELO!$B$23))*PARAMS_MODELO!$B$10</f>
        <v>15</v>
      </c>
      <c r="N987" s="5">
        <f>IFERROR(VLOOKUP(A987,COMPLIANCE!$A$2:$F$1996,6,0),100)</f>
        <v>99.98</v>
      </c>
      <c r="O987" s="5">
        <f>N987*PARAMS_MODELO!$B$11</f>
        <v>9.9980000000000011</v>
      </c>
      <c r="P987" s="5">
        <f>IFERROR(VLOOKUP(A987,DIGITAL!$A$2:$J$2000,7,0),100)</f>
        <v>41</v>
      </c>
      <c r="Q987" s="5">
        <f>IFERROR(P987,0)*PARAMS_MODELO!$B$12</f>
        <v>4.1000000000000005</v>
      </c>
      <c r="R987">
        <f t="shared" si="363"/>
        <v>29.098000000000003</v>
      </c>
      <c r="S987" s="5" t="str">
        <f>IFERROR(VLOOKUP(A987,CLIENTE!$A$2:$N$2000,13,0),1)</f>
        <v>Malo</v>
      </c>
      <c r="T987" s="5">
        <f>IFERROR(VLOOKUP(A987,CLIENTE!$A$2:$N$2000,14,0),1)</f>
        <v>0.7</v>
      </c>
      <c r="U987" s="5">
        <f t="shared" si="364"/>
        <v>20.368600000000001</v>
      </c>
      <c r="V987" s="5" t="str">
        <f>IF(U987&gt;=MAX(_xlfn.PERCENTILE.INC($U$2:$U$1194,PARAMS_MODELO!$B$50),PARAMS_MODELO!$B$45),"DIAMANTE",IF(U987&gt;=MAX(_xlfn.PERCENTILE.INC($U$2:$U$1194,PARAMS_MODELO!$B$51),PARAMS_MODELO!$B$46),"PLATINO",IF(U987&gt;=MAX(_xlfn.PERCENTILE.INC($U$2:$U$1194,PARAMS_MODELO!$B$52),PARAMS_MODELO!$B$47),"ORO",IF(U987&gt;=MAX(_xlfn.PERCENTILE.INC($U$2:$U$1194,PARAMS_MODELO!$B$53),PARAMS_MODELO!$B$48),"PLATA",IF(U987&gt;=1,"BRONCE","CERRADO")))))</f>
        <v>BRONCE</v>
      </c>
      <c r="W987" s="5" t="str" cm="1">
        <f t="array" ref="W987">_xlfn.XLOOKUP(1, (HIST_SCORE!$B:$B=PARAMS_MODELO!$B$4) * (HIST_SCORE!$C:$C=A987), HIST_SCORE!$E:$E, "No encontrado")</f>
        <v>BRONCE</v>
      </c>
      <c r="X987" s="5" t="str">
        <f>_xlfn.LET(_xlpm.act,MATCH(V987,{"DIAMANTE";"PLATINO";"ORO";"PLATA";"BRONCE";"CERRADO"},0),_xlpm.ant,MATCH(W987,{"DIAMANTE";"PLATINO";"ORO";"PLATA";"BRONCE";"CERRADO"},0),IF(_xlpm.act&lt;_xlpm.ant,"Mejora ↑",IF(_xlpm.act&gt;_xlpm.ant,"Baja ↓","Estable →")))</f>
        <v>Estable →</v>
      </c>
      <c r="Y987" s="5">
        <f>IFERROR(U987-SUMIFS(HIST_SCORE!$D:$D,HIST_SCORE!$B:$B,PARAMS_MODELO!$B$4,HIST_SCORE!$C:$C,$A987),"")</f>
        <v>0</v>
      </c>
      <c r="Z987" s="5" t="str">
        <f t="shared" si="365"/>
        <v>→ Estable</v>
      </c>
      <c r="AA987" s="5">
        <f t="shared" si="366"/>
        <v>973</v>
      </c>
      <c r="AB987" s="5">
        <f>IFERROR(SUMIFS(HIST_SCORE!$F:$F,HIST_SCORE!$B:$B,PARAMS_MODELO!$B$4,HIST_SCORE!$C:$C,$A987),"")</f>
        <v>982</v>
      </c>
      <c r="AC987" s="5">
        <f t="shared" si="367"/>
        <v>9</v>
      </c>
      <c r="AD987" t="str">
        <f t="shared" si="369"/>
        <v/>
      </c>
      <c r="AE9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987="CERRADO",1,IF(V987="BRONCE",_xlpm.cPl,IF(V987="PLATA",_xlpm.cO,IF(V987="ORO",_xlpm.cP,IF(V987="PLATINO",_xlpm.cD,999))))))</f>
        <v>24.506573482968111</v>
      </c>
      <c r="AF9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987="CERRADO",0,IF(V987="BRONCE",1,IF(V987="PLATA",_xlpm.cPl,IF(V987="ORO",_xlpm.cO,IF(V987="PLATINO",_xlpm.cP,_xlpm.cD))))))</f>
        <v>1</v>
      </c>
      <c r="AG987">
        <f t="shared" si="370"/>
        <v>5.9113906899544411</v>
      </c>
      <c r="AH987" t="str">
        <f t="shared" si="371"/>
        <v>CLIENTE</v>
      </c>
      <c r="AI987" t="str">
        <f t="shared" si="368"/>
        <v>🎯 Para subir de categoría, la eje con mayor impacto probable es CLIENTE (coef T). Acción: reducir quejas, mejorar incógnito y empujar reseñas. ΔR aprox: 5,9</v>
      </c>
      <c r="AJ987" s="26">
        <f>_xlfn.LET(_xlpm.piso,AF987,_xlpm.corte,AE987,_xlpm.prog,IF(_xlpm.corte&lt;=_xlpm.piso,0,MAX(0,MIN(1,(U987-_xlpm.piso)/(_xlpm.corte-_xlpm.piso)))),_xlpm.orden,{"DIAMANTE";"PLATINO";"ORO";"PLATA";"BRONCE";"CERRADO"},_xlpm.act,IFERROR(MATCH(V987,_xlpm.orden,0),6),_xlpm.ant,IFERROR(MATCH(W987,_xlpm.orden,0),6),_xlpm.ajmov,IF(_xlpm.act&lt;_xlpm.ant,0.08,IF(_xlpm.act&gt;_xlpm.ant,-0.08,0)),_xlpm.ajcli,IF(T987&lt;0.95,-0.06,0),_xlpm.prob,MAX(0,MIN(1,_xlpm.prog+_xlpm.ajmov+_xlpm.ajcli)),IF(OR(V987="DIAMANTE",V987="CERRADO"),0,ROUND(_xlpm.prob,2)))</f>
        <v>0.76</v>
      </c>
      <c r="AK987" t="str">
        <f t="shared" si="372"/>
        <v>Faltan 5,9 puntos base para subir a la siguiente categoría</v>
      </c>
      <c r="AL987" t="str">
        <f t="shared" si="373"/>
        <v>No aplica</v>
      </c>
      <c r="AM987">
        <f t="shared" si="374"/>
        <v>0.53</v>
      </c>
      <c r="AN987" t="str">
        <f t="shared" si="375"/>
        <v>PRIORIDAD MEDIA – seguimiento del asesor</v>
      </c>
      <c r="AO987">
        <f t="shared" si="376"/>
        <v>45.403798492706905</v>
      </c>
      <c r="AP987">
        <f t="shared" si="377"/>
        <v>0</v>
      </c>
      <c r="AQ987">
        <f t="shared" si="378"/>
        <v>1.3999999999992239E-3</v>
      </c>
      <c r="AR987">
        <f t="shared" si="379"/>
        <v>4.129999999999999</v>
      </c>
      <c r="AS987">
        <f t="shared" si="380"/>
        <v>8.7294000000000018</v>
      </c>
      <c r="AT987" t="str">
        <f t="shared" si="381"/>
        <v>VENTAS</v>
      </c>
      <c r="AU987">
        <f t="shared" si="382"/>
        <v>45.403798492706905</v>
      </c>
      <c r="AV987" t="str">
        <f t="shared" si="383"/>
        <v>Mayor retorno probable: VENTAS (+45,4 puntos finales potenciales).</v>
      </c>
    </row>
    <row r="988" spans="1:48" x14ac:dyDescent="0.3">
      <c r="A988" s="5">
        <v>51012470</v>
      </c>
      <c r="B988" s="5" t="str">
        <f>IFERROR(VLOOKUP(A988,VENTAS!$A$2:$B$1194,2,0),"")</f>
        <v>AYALA</v>
      </c>
      <c r="C988" s="5">
        <f>IFERROR(INDEX(VENTAS!$C$2:$E$1194,MATCH(A988,VENTAS!$A$2:$A$1194,0),MATCH(PARAMS_MODELO!$B$2,{"Q1","Q2","Q3"},0)),0)</f>
        <v>4148967.8</v>
      </c>
      <c r="D988" s="5">
        <f>IFERROR(INDEX(VENTAS!$F$2:$H$1194,MATCH(A988,VENTAS!$A$2:$A$1194,0),MATCH(PARAMS_MODELO!$B$2,{"Q1","Q2","Q3"},0)),0)</f>
        <v>4596570</v>
      </c>
      <c r="E988" s="8">
        <f t="shared" si="360"/>
        <v>0.10788278472539603</v>
      </c>
      <c r="F988" s="12">
        <f>IF(E988&lt;=PARAMS_MODELO!$B$15,0,IF(E988&gt;=PARAMS_MODELO!$B$17,100,100*MIN(1,(E988-PARAMS_MODELO!$B$15)/(PARAMS_MODELO!$B$16-PARAMS_MODELO!$B$15))))*PARAMS_MODELO!$B$7</f>
        <v>35</v>
      </c>
      <c r="G988" s="5">
        <f t="shared" si="361"/>
        <v>447602.20000000019</v>
      </c>
      <c r="H988" s="5">
        <f>(PARAMS_MODELO!$B$20*(MAX(0,MIN(3,E988))/3)+PARAMS_MODELO!$B$21*(IFERROR(LN(1+MAX(0,G988))/LN(1+MAX(0,MAX($G$2:$G$1194))),0)))*100*PARAMS_MODELO!$B$8</f>
        <v>3.4277050660186643</v>
      </c>
      <c r="I988" s="8">
        <f>E988-PARAMS_MODELO!$B$5</f>
        <v>-6.9680050650130498E-2</v>
      </c>
      <c r="J988" s="5">
        <f>IF(I988&lt;=PARAMS_MODELO!$B$18,0,IF(I988&gt;=PARAMS_MODELO!$B$19,100,100*(I988-PARAMS_MODELO!$B$18)/(PARAMS_MODELO!$B$19-PARAMS_MODELO!$B$18)))*PARAMS_MODELO!$B$9</f>
        <v>0</v>
      </c>
      <c r="K988" s="5">
        <f>IFERROR(CHOOSE(MATCH(PARAMS_MODELO!$B$2,{"Q1","Q2","Q3"},0),LOTO!$D988,LOTO!$F988,LOTO!$H988),0)</f>
        <v>292500</v>
      </c>
      <c r="L988" s="8">
        <f t="shared" si="362"/>
        <v>6.3634405654651185E-2</v>
      </c>
      <c r="M988" s="5">
        <f>MIN(100,IF(PARAMS_MODELO!$B$23=0,0,100*L988/PARAMS_MODELO!$B$23))*PARAMS_MODELO!$B$10</f>
        <v>15</v>
      </c>
      <c r="N988" s="5">
        <f>IFERROR(VLOOKUP(A988,COMPLIANCE!$A$2:$F$1996,6,0),100)</f>
        <v>99.98</v>
      </c>
      <c r="O988" s="5">
        <f>N988*PARAMS_MODELO!$B$11</f>
        <v>9.9980000000000011</v>
      </c>
      <c r="P988" s="5">
        <f>IFERROR(VLOOKUP(A988,DIGITAL!$A$2:$J$2000,7,0),100)</f>
        <v>62</v>
      </c>
      <c r="Q988" s="5">
        <f>IFERROR(P988,0)*PARAMS_MODELO!$B$12</f>
        <v>6.2</v>
      </c>
      <c r="R988">
        <f t="shared" si="363"/>
        <v>69.625705066018668</v>
      </c>
      <c r="S988" s="5" t="str">
        <f>IFERROR(VLOOKUP(A988,CLIENTE!$A$2:$N$2000,13,0),1)</f>
        <v>Regular</v>
      </c>
      <c r="T988" s="5">
        <f>IFERROR(VLOOKUP(A988,CLIENTE!$A$2:$N$2000,14,0),1)</f>
        <v>1</v>
      </c>
      <c r="U988" s="5">
        <f t="shared" si="364"/>
        <v>69.625705066018668</v>
      </c>
      <c r="V988" s="5" t="str">
        <f>IF(U988&gt;=MAX(_xlfn.PERCENTILE.INC($U$2:$U$1194,PARAMS_MODELO!$B$50),PARAMS_MODELO!$B$45),"DIAMANTE",IF(U988&gt;=MAX(_xlfn.PERCENTILE.INC($U$2:$U$1194,PARAMS_MODELO!$B$51),PARAMS_MODELO!$B$46),"PLATINO",IF(U988&gt;=MAX(_xlfn.PERCENTILE.INC($U$2:$U$1194,PARAMS_MODELO!$B$52),PARAMS_MODELO!$B$47),"ORO",IF(U988&gt;=MAX(_xlfn.PERCENTILE.INC($U$2:$U$1194,PARAMS_MODELO!$B$53),PARAMS_MODELO!$B$48),"PLATA",IF(U988&gt;=1,"BRONCE","CERRADO")))))</f>
        <v>ORO</v>
      </c>
      <c r="W988" s="5" t="str" cm="1">
        <f t="array" ref="W988">_xlfn.XLOOKUP(1, (HIST_SCORE!$B:$B=PARAMS_MODELO!$B$4) * (HIST_SCORE!$C:$C=A988), HIST_SCORE!$E:$E, "No encontrado")</f>
        <v>PLATINO</v>
      </c>
      <c r="X988" s="5" t="str">
        <f>_xlfn.LET(_xlpm.act,MATCH(V988,{"DIAMANTE";"PLATINO";"ORO";"PLATA";"BRONCE";"CERRADO"},0),_xlpm.ant,MATCH(W988,{"DIAMANTE";"PLATINO";"ORO";"PLATA";"BRONCE";"CERRADO"},0),IF(_xlpm.act&lt;_xlpm.ant,"Mejora ↑",IF(_xlpm.act&gt;_xlpm.ant,"Baja ↓","Estable →")))</f>
        <v>Baja ↓</v>
      </c>
      <c r="Y988" s="5">
        <f>IFERROR(U988-SUMIFS(HIST_SCORE!$D:$D,HIST_SCORE!$B:$B,PARAMS_MODELO!$B$4,HIST_SCORE!$C:$C,$A988),"")</f>
        <v>-18.240548757560617</v>
      </c>
      <c r="Z988" s="5" t="str">
        <f t="shared" si="365"/>
        <v>↓ Baja</v>
      </c>
      <c r="AA988" s="5">
        <f t="shared" si="366"/>
        <v>514</v>
      </c>
      <c r="AB988" s="5">
        <f>IFERROR(SUMIFS(HIST_SCORE!$F:$F,HIST_SCORE!$B:$B,PARAMS_MODELO!$B$4,HIST_SCORE!$C:$C,$A988),"")</f>
        <v>179</v>
      </c>
      <c r="AC988" s="5">
        <f t="shared" si="367"/>
        <v>-335</v>
      </c>
      <c r="AD988" t="str">
        <f t="shared" si="369"/>
        <v>Sostener base y reforzar mix</v>
      </c>
      <c r="AE9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988="CERRADO",1,IF(V988="BRONCE",_xlpm.cPl,IF(V988="PLATA",_xlpm.cO,IF(V988="ORO",_xlpm.cP,IF(V988="PLATINO",_xlpm.cD,999))))))</f>
        <v>86.439123873763251</v>
      </c>
      <c r="AF9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988="CERRADO",0,IF(V988="BRONCE",1,IF(V988="PLATA",_xlpm.cPl,IF(V988="ORO",_xlpm.cO,IF(V988="PLATINO",_xlpm.cP,_xlpm.cD))))))</f>
        <v>63.199193273331495</v>
      </c>
      <c r="AG988">
        <f t="shared" si="370"/>
        <v>16.813418807744583</v>
      </c>
      <c r="AH988" t="str">
        <f t="shared" si="371"/>
        <v>VENTAS</v>
      </c>
      <c r="AI988" t="str">
        <f t="shared" si="368"/>
        <v>🎯 Para subir de categoría, eje VENTAS / DIFERENCIAL vs LOTBA (J). Acción: metas semanales + activación comercial + seguimiento del asesor. ΔR aprox: 16,8</v>
      </c>
      <c r="AJ988" s="26">
        <f>_xlfn.LET(_xlpm.piso,AF988,_xlpm.corte,AE988,_xlpm.prog,IF(_xlpm.corte&lt;=_xlpm.piso,0,MAX(0,MIN(1,(U988-_xlpm.piso)/(_xlpm.corte-_xlpm.piso)))),_xlpm.orden,{"DIAMANTE";"PLATINO";"ORO";"PLATA";"BRONCE";"CERRADO"},_xlpm.act,IFERROR(MATCH(V988,_xlpm.orden,0),6),_xlpm.ant,IFERROR(MATCH(W988,_xlpm.orden,0),6),_xlpm.ajmov,IF(_xlpm.act&lt;_xlpm.ant,0.08,IF(_xlpm.act&gt;_xlpm.ant,-0.08,0)),_xlpm.ajcli,IF(T988&lt;0.95,-0.06,0),_xlpm.prob,MAX(0,MIN(1,_xlpm.prog+_xlpm.ajmov+_xlpm.ajcli)),IF(OR(V988="DIAMANTE",V988="CERRADO"),0,ROUND(_xlpm.prob,2)))</f>
        <v>0.2</v>
      </c>
      <c r="AK988" t="str">
        <f t="shared" si="372"/>
        <v>Faltan 16,8 puntos base para subir a la siguiente categoría</v>
      </c>
      <c r="AL988" t="str">
        <f t="shared" si="373"/>
        <v>Margen de seguridad: 6,4 puntos</v>
      </c>
      <c r="AM988">
        <f t="shared" si="374"/>
        <v>0.72</v>
      </c>
      <c r="AN988" t="str">
        <f t="shared" si="375"/>
        <v>PRIORIDAD ALTA – requiere intervención inmediata</v>
      </c>
      <c r="AO988">
        <f t="shared" si="376"/>
        <v>26.434864209276917</v>
      </c>
      <c r="AP988">
        <f t="shared" si="377"/>
        <v>0</v>
      </c>
      <c r="AQ988">
        <f t="shared" si="378"/>
        <v>1.9999999999988916E-3</v>
      </c>
      <c r="AR988">
        <f t="shared" si="379"/>
        <v>3.8</v>
      </c>
      <c r="AS988">
        <f t="shared" si="380"/>
        <v>0</v>
      </c>
      <c r="AT988" t="str">
        <f t="shared" si="381"/>
        <v>VENTAS</v>
      </c>
      <c r="AU988">
        <f t="shared" si="382"/>
        <v>26.434864209276917</v>
      </c>
      <c r="AV988" t="str">
        <f t="shared" si="383"/>
        <v>Mayor retorno probable: VENTAS (+26,4 puntos finales potenciales).</v>
      </c>
    </row>
    <row r="989" spans="1:48" x14ac:dyDescent="0.3">
      <c r="A989" s="5">
        <v>51032713</v>
      </c>
      <c r="B989" s="5" t="str">
        <f>IFERROR(VLOOKUP(A989,VENTAS!$A$2:$B$1194,2,0),"")</f>
        <v>ROBERTS</v>
      </c>
      <c r="C989" s="5">
        <f>IFERROR(INDEX(VENTAS!$C$2:$E$1194,MATCH(A989,VENTAS!$A$2:$A$1194,0),MATCH(PARAMS_MODELO!$B$2,{"Q1","Q2","Q3"},0)),0)</f>
        <v>37291510.75</v>
      </c>
      <c r="D989" s="5">
        <f>IFERROR(INDEX(VENTAS!$F$2:$H$1194,MATCH(A989,VENTAS!$A$2:$A$1194,0),MATCH(PARAMS_MODELO!$B$2,{"Q1","Q2","Q3"},0)),0)</f>
        <v>3505390</v>
      </c>
      <c r="E989" s="8">
        <f t="shared" si="360"/>
        <v>-0.90600032207062031</v>
      </c>
      <c r="F989" s="12">
        <f>IF(E989&lt;=PARAMS_MODELO!$B$15,0,IF(E989&gt;=PARAMS_MODELO!$B$17,100,100*MIN(1,(E989-PARAMS_MODELO!$B$15)/(PARAMS_MODELO!$B$16-PARAMS_MODELO!$B$15))))*PARAMS_MODELO!$B$7</f>
        <v>0</v>
      </c>
      <c r="G989" s="5">
        <f t="shared" si="361"/>
        <v>0</v>
      </c>
      <c r="H989" s="5">
        <f>(PARAMS_MODELO!$B$20*(MAX(0,MIN(3,E989))/3)+PARAMS_MODELO!$B$21*(IFERROR(LN(1+MAX(0,G989))/LN(1+MAX(0,MAX($G$2:$G$1194))),0)))*100*PARAMS_MODELO!$B$8</f>
        <v>0</v>
      </c>
      <c r="I989" s="8">
        <f>E989-PARAMS_MODELO!$B$5</f>
        <v>-1.0835631574461468</v>
      </c>
      <c r="J989" s="5">
        <f>IF(I989&lt;=PARAMS_MODELO!$B$18,0,IF(I989&gt;=PARAMS_MODELO!$B$19,100,100*(I989-PARAMS_MODELO!$B$18)/(PARAMS_MODELO!$B$19-PARAMS_MODELO!$B$18)))*PARAMS_MODELO!$B$9</f>
        <v>0</v>
      </c>
      <c r="K989" s="5">
        <f>IFERROR(CHOOSE(MATCH(PARAMS_MODELO!$B$2,{"Q1","Q2","Q3"},0),LOTO!$D989,LOTO!$F989,LOTO!$H989),0)</f>
        <v>277500</v>
      </c>
      <c r="L989" s="8">
        <f t="shared" si="362"/>
        <v>7.9163802030587177E-2</v>
      </c>
      <c r="M989" s="5">
        <f>MIN(100,IF(PARAMS_MODELO!$B$23=0,0,100*L989/PARAMS_MODELO!$B$23))*PARAMS_MODELO!$B$10</f>
        <v>15</v>
      </c>
      <c r="N989" s="5">
        <f>IFERROR(VLOOKUP(A989,COMPLIANCE!$A$2:$F$1996,6,0),100)</f>
        <v>99.98</v>
      </c>
      <c r="O989" s="5">
        <f>N989*PARAMS_MODELO!$B$11</f>
        <v>9.9980000000000011</v>
      </c>
      <c r="P989" s="5">
        <f>IFERROR(VLOOKUP(A989,DIGITAL!$A$2:$J$2000,7,0),100)</f>
        <v>20</v>
      </c>
      <c r="Q989" s="5">
        <f>IFERROR(P989,0)*PARAMS_MODELO!$B$12</f>
        <v>2</v>
      </c>
      <c r="R989">
        <f t="shared" si="363"/>
        <v>26.998000000000001</v>
      </c>
      <c r="S989" s="5" t="str">
        <f>IFERROR(VLOOKUP(A989,CLIENTE!$A$2:$N$2000,13,0),1)</f>
        <v>Bueno</v>
      </c>
      <c r="T989" s="5">
        <f>IFERROR(VLOOKUP(A989,CLIENTE!$A$2:$N$2000,14,0),1)</f>
        <v>1.1000000000000001</v>
      </c>
      <c r="U989" s="5">
        <f t="shared" si="364"/>
        <v>29.697800000000004</v>
      </c>
      <c r="V989" s="5" t="str">
        <f>IF(U989&gt;=MAX(_xlfn.PERCENTILE.INC($U$2:$U$1194,PARAMS_MODELO!$B$50),PARAMS_MODELO!$B$45),"DIAMANTE",IF(U989&gt;=MAX(_xlfn.PERCENTILE.INC($U$2:$U$1194,PARAMS_MODELO!$B$51),PARAMS_MODELO!$B$46),"PLATINO",IF(U989&gt;=MAX(_xlfn.PERCENTILE.INC($U$2:$U$1194,PARAMS_MODELO!$B$52),PARAMS_MODELO!$B$47),"ORO",IF(U989&gt;=MAX(_xlfn.PERCENTILE.INC($U$2:$U$1194,PARAMS_MODELO!$B$53),PARAMS_MODELO!$B$48),"PLATA",IF(U989&gt;=1,"BRONCE","CERRADO")))))</f>
        <v>PLATA</v>
      </c>
      <c r="W989" s="5" t="str" cm="1">
        <f t="array" ref="W989">_xlfn.XLOOKUP(1, (HIST_SCORE!$B:$B=PARAMS_MODELO!$B$4) * (HIST_SCORE!$C:$C=A989), HIST_SCORE!$E:$E, "No encontrado")</f>
        <v>PLATINO</v>
      </c>
      <c r="X989" s="5" t="str">
        <f>_xlfn.LET(_xlpm.act,MATCH(V989,{"DIAMANTE";"PLATINO";"ORO";"PLATA";"BRONCE";"CERRADO"},0),_xlpm.ant,MATCH(W989,{"DIAMANTE";"PLATINO";"ORO";"PLATA";"BRONCE";"CERRADO"},0),IF(_xlpm.act&lt;_xlpm.ant,"Mejora ↑",IF(_xlpm.act&gt;_xlpm.ant,"Baja ↓","Estable →")))</f>
        <v>Baja ↓</v>
      </c>
      <c r="Y989" s="5">
        <f>IFERROR(U989-SUMIFS(HIST_SCORE!$D:$D,HIST_SCORE!$B:$B,PARAMS_MODELO!$B$4,HIST_SCORE!$C:$C,$A989),"")</f>
        <v>-61.526059164380229</v>
      </c>
      <c r="Z989" s="5" t="str">
        <f t="shared" si="365"/>
        <v>↓ Baja</v>
      </c>
      <c r="AA989" s="5">
        <f t="shared" si="366"/>
        <v>870</v>
      </c>
      <c r="AB989" s="5">
        <f>IFERROR(SUMIFS(HIST_SCORE!$F:$F,HIST_SCORE!$B:$B,PARAMS_MODELO!$B$4,HIST_SCORE!$C:$C,$A989),"")</f>
        <v>116</v>
      </c>
      <c r="AC989" s="5">
        <f t="shared" si="367"/>
        <v>-754</v>
      </c>
      <c r="AD989" t="str">
        <f t="shared" si="369"/>
        <v/>
      </c>
      <c r="AE9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989="CERRADO",1,IF(V989="BRONCE",_xlpm.cPl,IF(V989="PLATA",_xlpm.cO,IF(V989="ORO",_xlpm.cP,IF(V989="PLATINO",_xlpm.cD,999))))))</f>
        <v>63.199193273331495</v>
      </c>
      <c r="AF9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989="CERRADO",0,IF(V989="BRONCE",1,IF(V989="PLATA",_xlpm.cPl,IF(V989="ORO",_xlpm.cO,IF(V989="PLATINO",_xlpm.cP,_xlpm.cD))))))</f>
        <v>24.506573482968111</v>
      </c>
      <c r="AG989">
        <f t="shared" si="370"/>
        <v>30.455812066664993</v>
      </c>
      <c r="AH989" t="str">
        <f t="shared" si="371"/>
        <v>VENTAS</v>
      </c>
      <c r="AI989" t="str">
        <f t="shared" si="368"/>
        <v>🎯 Para subir de categoría, eje VENTAS / CRECIMIENTO PERSONAL (F). Acción: metas semanales + activación comercial + seguimiento del asesor. ΔR aprox: 30,5</v>
      </c>
      <c r="AJ989" s="26">
        <f>_xlfn.LET(_xlpm.piso,AF989,_xlpm.corte,AE989,_xlpm.prog,IF(_xlpm.corte&lt;=_xlpm.piso,0,MAX(0,MIN(1,(U989-_xlpm.piso)/(_xlpm.corte-_xlpm.piso)))),_xlpm.orden,{"DIAMANTE";"PLATINO";"ORO";"PLATA";"BRONCE";"CERRADO"},_xlpm.act,IFERROR(MATCH(V989,_xlpm.orden,0),6),_xlpm.ant,IFERROR(MATCH(W989,_xlpm.orden,0),6),_xlpm.ajmov,IF(_xlpm.act&lt;_xlpm.ant,0.08,IF(_xlpm.act&gt;_xlpm.ant,-0.08,0)),_xlpm.ajcli,IF(T989&lt;0.95,-0.06,0),_xlpm.prob,MAX(0,MIN(1,_xlpm.prog+_xlpm.ajmov+_xlpm.ajcli)),IF(OR(V989="DIAMANTE",V989="CERRADO"),0,ROUND(_xlpm.prob,2)))</f>
        <v>0.05</v>
      </c>
      <c r="AK989" t="str">
        <f t="shared" si="372"/>
        <v>Faltan 30,5 puntos base para subir a la siguiente categoría</v>
      </c>
      <c r="AL989" t="str">
        <f t="shared" si="373"/>
        <v>Margen de seguridad: 5,2 puntos</v>
      </c>
      <c r="AM989">
        <f t="shared" si="374"/>
        <v>0.78</v>
      </c>
      <c r="AN989" t="str">
        <f t="shared" si="375"/>
        <v>PRIORIDAD ALTA – requiere intervención inmediata</v>
      </c>
      <c r="AO989">
        <f t="shared" si="376"/>
        <v>71.348826202825151</v>
      </c>
      <c r="AP989">
        <f t="shared" si="377"/>
        <v>0</v>
      </c>
      <c r="AQ989">
        <f t="shared" si="378"/>
        <v>2.1999999999987811E-3</v>
      </c>
      <c r="AR989">
        <f t="shared" si="379"/>
        <v>8.8000000000000007</v>
      </c>
      <c r="AS989">
        <f t="shared" si="380"/>
        <v>0</v>
      </c>
      <c r="AT989" t="str">
        <f t="shared" si="381"/>
        <v>VENTAS</v>
      </c>
      <c r="AU989">
        <f t="shared" si="382"/>
        <v>71.348826202825151</v>
      </c>
      <c r="AV989" t="str">
        <f t="shared" si="383"/>
        <v>Mayor retorno probable: VENTAS (+71,3 puntos finales potenciales).</v>
      </c>
    </row>
    <row r="990" spans="1:48" x14ac:dyDescent="0.3">
      <c r="A990" s="5">
        <v>51010744</v>
      </c>
      <c r="B990" s="5" t="str">
        <f>IFERROR(VLOOKUP(A990,VENTAS!$A$2:$B$1194,2,0),"")</f>
        <v>AYALA</v>
      </c>
      <c r="C990" s="5">
        <f>IFERROR(INDEX(VENTAS!$C$2:$E$1194,MATCH(A990,VENTAS!$A$2:$A$1194,0),MATCH(PARAMS_MODELO!$B$2,{"Q1","Q2","Q3"},0)),0)</f>
        <v>4705499.0999999996</v>
      </c>
      <c r="D990" s="5">
        <f>IFERROR(INDEX(VENTAS!$F$2:$H$1194,MATCH(A990,VENTAS!$A$2:$A$1194,0),MATCH(PARAMS_MODELO!$B$2,{"Q1","Q2","Q3"},0)),0)</f>
        <v>3317350</v>
      </c>
      <c r="E990" s="8">
        <f t="shared" si="360"/>
        <v>-0.29500570938372928</v>
      </c>
      <c r="F990" s="12">
        <f>IF(E990&lt;=PARAMS_MODELO!$B$15,0,IF(E990&gt;=PARAMS_MODELO!$B$17,100,100*MIN(1,(E990-PARAMS_MODELO!$B$15)/(PARAMS_MODELO!$B$16-PARAMS_MODELO!$B$15))))*PARAMS_MODELO!$B$7</f>
        <v>0</v>
      </c>
      <c r="G990" s="5">
        <f t="shared" si="361"/>
        <v>0</v>
      </c>
      <c r="H990" s="5">
        <f>(PARAMS_MODELO!$B$20*(MAX(0,MIN(3,E990))/3)+PARAMS_MODELO!$B$21*(IFERROR(LN(1+MAX(0,G990))/LN(1+MAX(0,MAX($G$2:$G$1194))),0)))*100*PARAMS_MODELO!$B$8</f>
        <v>0</v>
      </c>
      <c r="I990" s="8">
        <f>E990-PARAMS_MODELO!$B$5</f>
        <v>-0.4725685447592558</v>
      </c>
      <c r="J990" s="5">
        <f>IF(I990&lt;=PARAMS_MODELO!$B$18,0,IF(I990&gt;=PARAMS_MODELO!$B$19,100,100*(I990-PARAMS_MODELO!$B$18)/(PARAMS_MODELO!$B$19-PARAMS_MODELO!$B$18)))*PARAMS_MODELO!$B$9</f>
        <v>0</v>
      </c>
      <c r="K990" s="5">
        <f>IFERROR(CHOOSE(MATCH(PARAMS_MODELO!$B$2,{"Q1","Q2","Q3"},0),LOTO!$D990,LOTO!$F990,LOTO!$H990),0)</f>
        <v>150000</v>
      </c>
      <c r="L990" s="8">
        <f t="shared" si="362"/>
        <v>4.5216814626132307E-2</v>
      </c>
      <c r="M990" s="5">
        <f>MIN(100,IF(PARAMS_MODELO!$B$23=0,0,100*L990/PARAMS_MODELO!$B$23))*PARAMS_MODELO!$B$10</f>
        <v>13.565044387839691</v>
      </c>
      <c r="N990" s="5">
        <f>IFERROR(VLOOKUP(A990,COMPLIANCE!$A$2:$F$1996,6,0),100)</f>
        <v>99.98</v>
      </c>
      <c r="O990" s="5">
        <f>N990*PARAMS_MODELO!$B$11</f>
        <v>9.9980000000000011</v>
      </c>
      <c r="P990" s="5">
        <f>IFERROR(VLOOKUP(A990,DIGITAL!$A$2:$J$2000,7,0),100)</f>
        <v>62</v>
      </c>
      <c r="Q990" s="5">
        <f>IFERROR(P990,0)*PARAMS_MODELO!$B$12</f>
        <v>6.2</v>
      </c>
      <c r="R990">
        <f t="shared" si="363"/>
        <v>29.763044387839692</v>
      </c>
      <c r="S990" s="5" t="str">
        <f>IFERROR(VLOOKUP(A990,CLIENTE!$A$2:$N$2000,13,0),1)</f>
        <v>Regular</v>
      </c>
      <c r="T990" s="5">
        <f>IFERROR(VLOOKUP(A990,CLIENTE!$A$2:$N$2000,14,0),1)</f>
        <v>1</v>
      </c>
      <c r="U990" s="5">
        <f t="shared" si="364"/>
        <v>29.763044387839692</v>
      </c>
      <c r="V990" s="5" t="str">
        <f>IF(U990&gt;=MAX(_xlfn.PERCENTILE.INC($U$2:$U$1194,PARAMS_MODELO!$B$50),PARAMS_MODELO!$B$45),"DIAMANTE",IF(U990&gt;=MAX(_xlfn.PERCENTILE.INC($U$2:$U$1194,PARAMS_MODELO!$B$51),PARAMS_MODELO!$B$46),"PLATINO",IF(U990&gt;=MAX(_xlfn.PERCENTILE.INC($U$2:$U$1194,PARAMS_MODELO!$B$52),PARAMS_MODELO!$B$47),"ORO",IF(U990&gt;=MAX(_xlfn.PERCENTILE.INC($U$2:$U$1194,PARAMS_MODELO!$B$53),PARAMS_MODELO!$B$48),"PLATA",IF(U990&gt;=1,"BRONCE","CERRADO")))))</f>
        <v>PLATA</v>
      </c>
      <c r="W990" s="5" t="str" cm="1">
        <f t="array" ref="W990">_xlfn.XLOOKUP(1, (HIST_SCORE!$B:$B=PARAMS_MODELO!$B$4) * (HIST_SCORE!$C:$C=A990), HIST_SCORE!$E:$E, "No encontrado")</f>
        <v>PLATA</v>
      </c>
      <c r="X990" s="5" t="str">
        <f>_xlfn.LET(_xlpm.act,MATCH(V990,{"DIAMANTE";"PLATINO";"ORO";"PLATA";"BRONCE";"CERRADO"},0),_xlpm.ant,MATCH(W990,{"DIAMANTE";"PLATINO";"ORO";"PLATA";"BRONCE";"CERRADO"},0),IF(_xlpm.act&lt;_xlpm.ant,"Mejora ↑",IF(_xlpm.act&gt;_xlpm.ant,"Baja ↓","Estable →")))</f>
        <v>Estable →</v>
      </c>
      <c r="Y990" s="5">
        <f>IFERROR(U990-SUMIFS(HIST_SCORE!$D:$D,HIST_SCORE!$B:$B,PARAMS_MODELO!$B$4,HIST_SCORE!$C:$C,$A990),"")</f>
        <v>-25.127505350769631</v>
      </c>
      <c r="Z990" s="5" t="str">
        <f t="shared" si="365"/>
        <v>↓ Baja</v>
      </c>
      <c r="AA990" s="5">
        <f t="shared" si="366"/>
        <v>869</v>
      </c>
      <c r="AB990" s="5">
        <f>IFERROR(SUMIFS(HIST_SCORE!$F:$F,HIST_SCORE!$B:$B,PARAMS_MODELO!$B$4,HIST_SCORE!$C:$C,$A990),"")</f>
        <v>735</v>
      </c>
      <c r="AC990" s="5">
        <f t="shared" si="367"/>
        <v>-134</v>
      </c>
      <c r="AD990" t="str">
        <f t="shared" si="369"/>
        <v/>
      </c>
      <c r="AE9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990="CERRADO",1,IF(V990="BRONCE",_xlpm.cPl,IF(V990="PLATA",_xlpm.cO,IF(V990="ORO",_xlpm.cP,IF(V990="PLATINO",_xlpm.cD,999))))))</f>
        <v>63.199193273331495</v>
      </c>
      <c r="AF9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990="CERRADO",0,IF(V990="BRONCE",1,IF(V990="PLATA",_xlpm.cPl,IF(V990="ORO",_xlpm.cO,IF(V990="PLATINO",_xlpm.cP,_xlpm.cD))))))</f>
        <v>24.506573482968111</v>
      </c>
      <c r="AG990">
        <f t="shared" si="370"/>
        <v>33.436148885491804</v>
      </c>
      <c r="AH990" t="str">
        <f t="shared" si="371"/>
        <v>VENTAS</v>
      </c>
      <c r="AI990" t="str">
        <f t="shared" si="368"/>
        <v>🎯 Para subir de categoría, eje VENTAS / CRECIMIENTO PERSONAL (F). Acción: metas semanales + activación comercial + seguimiento del asesor. ΔR aprox: 33,4</v>
      </c>
      <c r="AJ990" s="26">
        <f>_xlfn.LET(_xlpm.piso,AF990,_xlpm.corte,AE990,_xlpm.prog,IF(_xlpm.corte&lt;=_xlpm.piso,0,MAX(0,MIN(1,(U990-_xlpm.piso)/(_xlpm.corte-_xlpm.piso)))),_xlpm.orden,{"DIAMANTE";"PLATINO";"ORO";"PLATA";"BRONCE";"CERRADO"},_xlpm.act,IFERROR(MATCH(V990,_xlpm.orden,0),6),_xlpm.ant,IFERROR(MATCH(W990,_xlpm.orden,0),6),_xlpm.ajmov,IF(_xlpm.act&lt;_xlpm.ant,0.08,IF(_xlpm.act&gt;_xlpm.ant,-0.08,0)),_xlpm.ajcli,IF(T990&lt;0.95,-0.06,0),_xlpm.prob,MAX(0,MIN(1,_xlpm.prog+_xlpm.ajmov+_xlpm.ajcli)),IF(OR(V990="DIAMANTE",V990="CERRADO"),0,ROUND(_xlpm.prob,2)))</f>
        <v>0.14000000000000001</v>
      </c>
      <c r="AK990" t="str">
        <f t="shared" si="372"/>
        <v>Faltan 33,4 puntos base para subir a la siguiente categoría</v>
      </c>
      <c r="AL990" t="str">
        <f t="shared" si="373"/>
        <v>Margen de seguridad: 5,3 puntos</v>
      </c>
      <c r="AM990">
        <f t="shared" si="374"/>
        <v>0.74</v>
      </c>
      <c r="AN990" t="str">
        <f t="shared" si="375"/>
        <v>PRIORIDAD ALTA – requiere intervención inmediata</v>
      </c>
      <c r="AO990">
        <f t="shared" si="376"/>
        <v>64.862569275295584</v>
      </c>
      <c r="AP990">
        <f t="shared" si="377"/>
        <v>1.4349556121603086</v>
      </c>
      <c r="AQ990">
        <f t="shared" si="378"/>
        <v>1.9999999999988916E-3</v>
      </c>
      <c r="AR990">
        <f t="shared" si="379"/>
        <v>3.8</v>
      </c>
      <c r="AS990">
        <f t="shared" si="380"/>
        <v>0</v>
      </c>
      <c r="AT990" t="str">
        <f t="shared" si="381"/>
        <v>VENTAS</v>
      </c>
      <c r="AU990">
        <f t="shared" si="382"/>
        <v>64.862569275295584</v>
      </c>
      <c r="AV990" t="str">
        <f t="shared" si="383"/>
        <v>Mayor retorno probable: VENTAS (+64,9 puntos finales potenciales).</v>
      </c>
    </row>
    <row r="991" spans="1:48" x14ac:dyDescent="0.3">
      <c r="A991" s="5">
        <v>51057546</v>
      </c>
      <c r="B991" s="5" t="str">
        <f>IFERROR(VLOOKUP(A991,VENTAS!$A$2:$B$1194,2,0),"")</f>
        <v/>
      </c>
      <c r="C991" s="5">
        <f>IFERROR(INDEX(VENTAS!$C$2:$E$1194,MATCH(A991,VENTAS!$A$2:$A$1194,0),MATCH(PARAMS_MODELO!$B$2,{"Q1","Q2","Q3"},0)),0)</f>
        <v>0</v>
      </c>
      <c r="D991" s="5">
        <f>IFERROR(INDEX(VENTAS!$F$2:$H$1194,MATCH(A991,VENTAS!$A$2:$A$1194,0),MATCH(PARAMS_MODELO!$B$2,{"Q1","Q2","Q3"},0)),0)</f>
        <v>255000</v>
      </c>
      <c r="E991" s="8">
        <f t="shared" si="360"/>
        <v>0</v>
      </c>
      <c r="F991" s="12">
        <f>IF(E991&lt;=PARAMS_MODELO!$B$15,0,IF(E991&gt;=PARAMS_MODELO!$B$17,100,100*MIN(1,(E991-PARAMS_MODELO!$B$15)/(PARAMS_MODELO!$B$16-PARAMS_MODELO!$B$15))))*PARAMS_MODELO!$B$7</f>
        <v>0</v>
      </c>
      <c r="G991" s="5">
        <f t="shared" si="361"/>
        <v>255000</v>
      </c>
      <c r="H991" s="5">
        <f>(PARAMS_MODELO!$B$20*(MAX(0,MIN(3,E991))/3)+PARAMS_MODELO!$B$21*(IFERROR(LN(1+MAX(0,G991))/LN(1+MAX(0,MAX($G$2:$G$1194))),0)))*100*PARAMS_MODELO!$B$8</f>
        <v>2.9182247285858827</v>
      </c>
      <c r="I991" s="8">
        <f>E991-PARAMS_MODELO!$B$5</f>
        <v>-0.17756283537552653</v>
      </c>
      <c r="J991" s="5">
        <f>IF(I991&lt;=PARAMS_MODELO!$B$18,0,IF(I991&gt;=PARAMS_MODELO!$B$19,100,100*(I991-PARAMS_MODELO!$B$18)/(PARAMS_MODELO!$B$19-PARAMS_MODELO!$B$18)))*PARAMS_MODELO!$B$9</f>
        <v>0</v>
      </c>
      <c r="K991" s="5">
        <f>IFERROR(CHOOSE(MATCH(PARAMS_MODELO!$B$2,{"Q1","Q2","Q3"},0),LOTO!$D991,LOTO!$F991,LOTO!$H991),0)</f>
        <v>115000</v>
      </c>
      <c r="L991" s="8">
        <f t="shared" si="362"/>
        <v>0.45098039215686275</v>
      </c>
      <c r="M991" s="5">
        <f>MIN(100,IF(PARAMS_MODELO!$B$23=0,0,100*L991/PARAMS_MODELO!$B$23))*PARAMS_MODELO!$B$10</f>
        <v>15</v>
      </c>
      <c r="N991" s="5">
        <f>IFERROR(VLOOKUP(A991,COMPLIANCE!$A$2:$F$1996,6,0),100)</f>
        <v>100</v>
      </c>
      <c r="O991" s="5">
        <f>N991*PARAMS_MODELO!$B$11</f>
        <v>10</v>
      </c>
      <c r="P991" s="5">
        <f>IFERROR(VLOOKUP(A991,DIGITAL!$A$2:$J$2000,7,0),100)</f>
        <v>7</v>
      </c>
      <c r="Q991" s="5">
        <f>IFERROR(P991,0)*PARAMS_MODELO!$B$12</f>
        <v>0.70000000000000007</v>
      </c>
      <c r="R991">
        <f t="shared" si="363"/>
        <v>28.618224728585883</v>
      </c>
      <c r="S991" s="5" t="str">
        <f>IFERROR(VLOOKUP(A991,CLIENTE!$A$2:$N$2000,13,0),1)</f>
        <v>Regular</v>
      </c>
      <c r="T991" s="5">
        <f>IFERROR(VLOOKUP(A991,CLIENTE!$A$2:$N$2000,14,0),1)</f>
        <v>1</v>
      </c>
      <c r="U991" s="5">
        <f t="shared" si="364"/>
        <v>28.618224728585883</v>
      </c>
      <c r="V991" s="5" t="str">
        <f>IF(U991&gt;=MAX(_xlfn.PERCENTILE.INC($U$2:$U$1194,PARAMS_MODELO!$B$50),PARAMS_MODELO!$B$45),"DIAMANTE",IF(U991&gt;=MAX(_xlfn.PERCENTILE.INC($U$2:$U$1194,PARAMS_MODELO!$B$51),PARAMS_MODELO!$B$46),"PLATINO",IF(U991&gt;=MAX(_xlfn.PERCENTILE.INC($U$2:$U$1194,PARAMS_MODELO!$B$52),PARAMS_MODELO!$B$47),"ORO",IF(U991&gt;=MAX(_xlfn.PERCENTILE.INC($U$2:$U$1194,PARAMS_MODELO!$B$53),PARAMS_MODELO!$B$48),"PLATA",IF(U991&gt;=1,"BRONCE","CERRADO")))))</f>
        <v>PLATA</v>
      </c>
      <c r="W991" s="5" t="str" cm="1">
        <f t="array" ref="W991">_xlfn.XLOOKUP(1, (HIST_SCORE!$B:$B=PARAMS_MODELO!$B$4) * (HIST_SCORE!$C:$C=A991), HIST_SCORE!$E:$E, "No encontrado")</f>
        <v>BRONCE</v>
      </c>
      <c r="X991" s="5" t="str">
        <f>_xlfn.LET(_xlpm.act,MATCH(V991,{"DIAMANTE";"PLATINO";"ORO";"PLATA";"BRONCE";"CERRADO"},0),_xlpm.ant,MATCH(W991,{"DIAMANTE";"PLATINO";"ORO";"PLATA";"BRONCE";"CERRADO"},0),IF(_xlpm.act&lt;_xlpm.ant,"Mejora ↑",IF(_xlpm.act&gt;_xlpm.ant,"Baja ↓","Estable →")))</f>
        <v>Mejora ↑</v>
      </c>
      <c r="Y991" s="5">
        <f>IFERROR(U991-SUMIFS(HIST_SCORE!$D:$D,HIST_SCORE!$B:$B,PARAMS_MODELO!$B$4,HIST_SCORE!$C:$C,$A991),"")</f>
        <v>17.918224728585884</v>
      </c>
      <c r="Z991" s="5" t="str">
        <f t="shared" si="365"/>
        <v>↑ Mejora</v>
      </c>
      <c r="AA991" s="5">
        <f t="shared" si="366"/>
        <v>880</v>
      </c>
      <c r="AB991" s="5">
        <f>IFERROR(SUMIFS(HIST_SCORE!$F:$F,HIST_SCORE!$B:$B,PARAMS_MODELO!$B$4,HIST_SCORE!$C:$C,$A991),"")</f>
        <v>1151</v>
      </c>
      <c r="AC991" s="5">
        <f t="shared" si="367"/>
        <v>271</v>
      </c>
      <c r="AD991" t="str">
        <f t="shared" si="369"/>
        <v/>
      </c>
      <c r="AE9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991="CERRADO",1,IF(V991="BRONCE",_xlpm.cPl,IF(V991="PLATA",_xlpm.cO,IF(V991="ORO",_xlpm.cP,IF(V991="PLATINO",_xlpm.cD,999))))))</f>
        <v>63.199193273331495</v>
      </c>
      <c r="AF9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991="CERRADO",0,IF(V991="BRONCE",1,IF(V991="PLATA",_xlpm.cPl,IF(V991="ORO",_xlpm.cO,IF(V991="PLATINO",_xlpm.cP,_xlpm.cD))))))</f>
        <v>24.506573482968111</v>
      </c>
      <c r="AG991">
        <f t="shared" si="370"/>
        <v>34.580968544745616</v>
      </c>
      <c r="AH991" t="str">
        <f t="shared" si="371"/>
        <v>VENTAS</v>
      </c>
      <c r="AI991" t="str">
        <f t="shared" si="368"/>
        <v>🎯 Para subir de categoría, eje VENTAS / CRECIMIENTO PERSONAL (F). Acción: metas semanales + activación comercial + seguimiento del asesor. ΔR aprox: 34,6</v>
      </c>
      <c r="AJ991" s="26">
        <f>_xlfn.LET(_xlpm.piso,AF991,_xlpm.corte,AE991,_xlpm.prog,IF(_xlpm.corte&lt;=_xlpm.piso,0,MAX(0,MIN(1,(U991-_xlpm.piso)/(_xlpm.corte-_xlpm.piso)))),_xlpm.orden,{"DIAMANTE";"PLATINO";"ORO";"PLATA";"BRONCE";"CERRADO"},_xlpm.act,IFERROR(MATCH(V991,_xlpm.orden,0),6),_xlpm.ant,IFERROR(MATCH(W991,_xlpm.orden,0),6),_xlpm.ajmov,IF(_xlpm.act&lt;_xlpm.ant,0.08,IF(_xlpm.act&gt;_xlpm.ant,-0.08,0)),_xlpm.ajcli,IF(T991&lt;0.95,-0.06,0),_xlpm.prob,MAX(0,MIN(1,_xlpm.prog+_xlpm.ajmov+_xlpm.ajcli)),IF(OR(V991="DIAMANTE",V991="CERRADO"),0,ROUND(_xlpm.prob,2)))</f>
        <v>0.19</v>
      </c>
      <c r="AK991" t="str">
        <f t="shared" si="372"/>
        <v>Faltan 34,6 puntos base para subir a la siguiente categoría</v>
      </c>
      <c r="AL991" t="str">
        <f t="shared" si="373"/>
        <v>Margen de seguridad: 4,1 puntos</v>
      </c>
      <c r="AM991">
        <f t="shared" si="374"/>
        <v>0.72</v>
      </c>
      <c r="AN991" t="str">
        <f t="shared" si="375"/>
        <v>PRIORIDAD ALTA – requiere intervención inmediata</v>
      </c>
      <c r="AO991">
        <f t="shared" si="376"/>
        <v>61.944344546709701</v>
      </c>
      <c r="AP991">
        <f t="shared" si="377"/>
        <v>0</v>
      </c>
      <c r="AQ991">
        <f t="shared" si="378"/>
        <v>0</v>
      </c>
      <c r="AR991">
        <f t="shared" si="379"/>
        <v>9.3000000000000007</v>
      </c>
      <c r="AS991">
        <f t="shared" si="380"/>
        <v>0</v>
      </c>
      <c r="AT991" t="str">
        <f t="shared" si="381"/>
        <v>VENTAS</v>
      </c>
      <c r="AU991">
        <f t="shared" si="382"/>
        <v>61.944344546709701</v>
      </c>
      <c r="AV991" t="str">
        <f t="shared" si="383"/>
        <v>Mayor retorno probable: VENTAS (+61,9 puntos finales potenciales).</v>
      </c>
    </row>
    <row r="992" spans="1:48" x14ac:dyDescent="0.3">
      <c r="A992" s="5">
        <v>51023889</v>
      </c>
      <c r="B992" s="5" t="str">
        <f>IFERROR(VLOOKUP(A992,VENTAS!$A$2:$B$1194,2,0),"")</f>
        <v>ARGUELLO</v>
      </c>
      <c r="C992" s="5">
        <f>IFERROR(INDEX(VENTAS!$C$2:$E$1194,MATCH(A992,VENTAS!$A$2:$A$1194,0),MATCH(PARAMS_MODELO!$B$2,{"Q1","Q2","Q3"},0)),0)</f>
        <v>19964598.5</v>
      </c>
      <c r="D992" s="5">
        <f>IFERROR(INDEX(VENTAS!$F$2:$H$1194,MATCH(A992,VENTAS!$A$2:$A$1194,0),MATCH(PARAMS_MODELO!$B$2,{"Q1","Q2","Q3"},0)),0)</f>
        <v>119000</v>
      </c>
      <c r="E992" s="8">
        <f t="shared" si="360"/>
        <v>-0.99403944937835842</v>
      </c>
      <c r="F992" s="12">
        <f>IF(E992&lt;=PARAMS_MODELO!$B$15,0,IF(E992&gt;=PARAMS_MODELO!$B$17,100,100*MIN(1,(E992-PARAMS_MODELO!$B$15)/(PARAMS_MODELO!$B$16-PARAMS_MODELO!$B$15))))*PARAMS_MODELO!$B$7</f>
        <v>0</v>
      </c>
      <c r="G992" s="5">
        <f t="shared" si="361"/>
        <v>0</v>
      </c>
      <c r="H992" s="5">
        <f>(PARAMS_MODELO!$B$20*(MAX(0,MIN(3,E992))/3)+PARAMS_MODELO!$B$21*(IFERROR(LN(1+MAX(0,G992))/LN(1+MAX(0,MAX($G$2:$G$1194))),0)))*100*PARAMS_MODELO!$B$8</f>
        <v>0</v>
      </c>
      <c r="I992" s="8">
        <f>E992-PARAMS_MODELO!$B$5</f>
        <v>-1.1716022847538849</v>
      </c>
      <c r="J992" s="5">
        <f>IF(I992&lt;=PARAMS_MODELO!$B$18,0,IF(I992&gt;=PARAMS_MODELO!$B$19,100,100*(I992-PARAMS_MODELO!$B$18)/(PARAMS_MODELO!$B$19-PARAMS_MODELO!$B$18)))*PARAMS_MODELO!$B$9</f>
        <v>0</v>
      </c>
      <c r="K992" s="5">
        <f>IFERROR(CHOOSE(MATCH(PARAMS_MODELO!$B$2,{"Q1","Q2","Q3"},0),LOTO!$D992,LOTO!$F992,LOTO!$H992),0)</f>
        <v>0</v>
      </c>
      <c r="L992" s="8">
        <f t="shared" si="362"/>
        <v>0</v>
      </c>
      <c r="M992" s="5">
        <f>MIN(100,IF(PARAMS_MODELO!$B$23=0,0,100*L992/PARAMS_MODELO!$B$23))*PARAMS_MODELO!$B$10</f>
        <v>0</v>
      </c>
      <c r="N992" s="5">
        <f>IFERROR(VLOOKUP(A992,COMPLIANCE!$A$2:$F$1996,6,0),100)</f>
        <v>99.9</v>
      </c>
      <c r="O992" s="5">
        <f>N992*PARAMS_MODELO!$B$11</f>
        <v>9.990000000000002</v>
      </c>
      <c r="P992" s="5">
        <f>IFERROR(VLOOKUP(A992,DIGITAL!$A$2:$J$2000,7,0),100)</f>
        <v>23</v>
      </c>
      <c r="Q992" s="5">
        <f>IFERROR(P992,0)*PARAMS_MODELO!$B$12</f>
        <v>2.3000000000000003</v>
      </c>
      <c r="R992">
        <f t="shared" si="363"/>
        <v>12.290000000000003</v>
      </c>
      <c r="S992" s="5" t="str">
        <f>IFERROR(VLOOKUP(A992,CLIENTE!$A$2:$N$2000,13,0),1)</f>
        <v>Malo</v>
      </c>
      <c r="T992" s="5">
        <f>IFERROR(VLOOKUP(A992,CLIENTE!$A$2:$N$2000,14,0),1)</f>
        <v>0.7</v>
      </c>
      <c r="U992" s="5">
        <f t="shared" si="364"/>
        <v>8.6030000000000015</v>
      </c>
      <c r="V992" s="5" t="str">
        <f>IF(U992&gt;=MAX(_xlfn.PERCENTILE.INC($U$2:$U$1194,PARAMS_MODELO!$B$50),PARAMS_MODELO!$B$45),"DIAMANTE",IF(U992&gt;=MAX(_xlfn.PERCENTILE.INC($U$2:$U$1194,PARAMS_MODELO!$B$51),PARAMS_MODELO!$B$46),"PLATINO",IF(U992&gt;=MAX(_xlfn.PERCENTILE.INC($U$2:$U$1194,PARAMS_MODELO!$B$52),PARAMS_MODELO!$B$47),"ORO",IF(U992&gt;=MAX(_xlfn.PERCENTILE.INC($U$2:$U$1194,PARAMS_MODELO!$B$53),PARAMS_MODELO!$B$48),"PLATA",IF(U992&gt;=1,"BRONCE","CERRADO")))))</f>
        <v>BRONCE</v>
      </c>
      <c r="W992" s="5" t="str" cm="1">
        <f t="array" ref="W992">_xlfn.XLOOKUP(1, (HIST_SCORE!$B:$B=PARAMS_MODELO!$B$4) * (HIST_SCORE!$C:$C=A992), HIST_SCORE!$E:$E, "No encontrado")</f>
        <v>PLATA</v>
      </c>
      <c r="X992" s="5" t="str">
        <f>_xlfn.LET(_xlpm.act,MATCH(V992,{"DIAMANTE";"PLATINO";"ORO";"PLATA";"BRONCE";"CERRADO"},0),_xlpm.ant,MATCH(W992,{"DIAMANTE";"PLATINO";"ORO";"PLATA";"BRONCE";"CERRADO"},0),IF(_xlpm.act&lt;_xlpm.ant,"Mejora ↑",IF(_xlpm.act&gt;_xlpm.ant,"Baja ↓","Estable →")))</f>
        <v>Baja ↓</v>
      </c>
      <c r="Y992" s="5">
        <f>IFERROR(U992-SUMIFS(HIST_SCORE!$D:$D,HIST_SCORE!$B:$B,PARAMS_MODELO!$B$4,HIST_SCORE!$C:$C,$A992),"")</f>
        <v>-38.401884403430429</v>
      </c>
      <c r="Z992" s="5" t="str">
        <f t="shared" si="365"/>
        <v>↓ Baja</v>
      </c>
      <c r="AA992" s="5">
        <f t="shared" si="366"/>
        <v>1179</v>
      </c>
      <c r="AB992" s="5">
        <f>IFERROR(SUMIFS(HIST_SCORE!$F:$F,HIST_SCORE!$B:$B,PARAMS_MODELO!$B$4,HIST_SCORE!$C:$C,$A992),"")</f>
        <v>808</v>
      </c>
      <c r="AC992" s="5">
        <f t="shared" si="367"/>
        <v>-371</v>
      </c>
      <c r="AD992" t="str">
        <f t="shared" si="369"/>
        <v>Plan de recuperación: foco crecimiento + mix</v>
      </c>
      <c r="AE9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992="CERRADO",1,IF(V992="BRONCE",_xlpm.cPl,IF(V992="PLATA",_xlpm.cO,IF(V992="ORO",_xlpm.cP,IF(V992="PLATINO",_xlpm.cD,999))))))</f>
        <v>24.506573482968111</v>
      </c>
      <c r="AF9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992="CERRADO",0,IF(V992="BRONCE",1,IF(V992="PLATA",_xlpm.cPl,IF(V992="ORO",_xlpm.cO,IF(V992="PLATINO",_xlpm.cP,_xlpm.cD))))))</f>
        <v>1</v>
      </c>
      <c r="AG992">
        <f t="shared" si="370"/>
        <v>22.719390689954441</v>
      </c>
      <c r="AH992" t="str">
        <f t="shared" si="371"/>
        <v>VENTAS</v>
      </c>
      <c r="AI992" t="str">
        <f t="shared" si="368"/>
        <v>🎯 Para subir de categoría, eje VENTAS / CRECIMIENTO PERSONAL (F). Acción: metas semanales + activación comercial + seguimiento del asesor. ΔR aprox: 22,7</v>
      </c>
      <c r="AJ992" s="26">
        <f>_xlfn.LET(_xlpm.piso,AF992,_xlpm.corte,AE992,_xlpm.prog,IF(_xlpm.corte&lt;=_xlpm.piso,0,MAX(0,MIN(1,(U992-_xlpm.piso)/(_xlpm.corte-_xlpm.piso)))),_xlpm.orden,{"DIAMANTE";"PLATINO";"ORO";"PLATA";"BRONCE";"CERRADO"},_xlpm.act,IFERROR(MATCH(V992,_xlpm.orden,0),6),_xlpm.ant,IFERROR(MATCH(W992,_xlpm.orden,0),6),_xlpm.ajmov,IF(_xlpm.act&lt;_xlpm.ant,0.08,IF(_xlpm.act&gt;_xlpm.ant,-0.08,0)),_xlpm.ajcli,IF(T992&lt;0.95,-0.06,0),_xlpm.prob,MAX(0,MIN(1,_xlpm.prog+_xlpm.ajmov+_xlpm.ajcli)),IF(OR(V992="DIAMANTE",V992="CERRADO"),0,ROUND(_xlpm.prob,2)))</f>
        <v>0.18</v>
      </c>
      <c r="AK992" t="str">
        <f t="shared" si="372"/>
        <v>Faltan 22,7 puntos base para subir a la siguiente categoría</v>
      </c>
      <c r="AL992" t="str">
        <f t="shared" si="373"/>
        <v>No aplica</v>
      </c>
      <c r="AM992">
        <f t="shared" si="374"/>
        <v>0.93</v>
      </c>
      <c r="AN992" t="str">
        <f t="shared" si="375"/>
        <v>PRIORIDAD ALTA – requiere intervención inmediata</v>
      </c>
      <c r="AO992">
        <f t="shared" si="376"/>
        <v>45.403798492706905</v>
      </c>
      <c r="AP992">
        <f t="shared" si="377"/>
        <v>10.5</v>
      </c>
      <c r="AQ992">
        <f t="shared" si="378"/>
        <v>6.9999999999986072E-3</v>
      </c>
      <c r="AR992">
        <f t="shared" si="379"/>
        <v>5.3899999999999988</v>
      </c>
      <c r="AS992">
        <f t="shared" si="380"/>
        <v>3.6870000000000012</v>
      </c>
      <c r="AT992" t="str">
        <f t="shared" si="381"/>
        <v>VENTAS</v>
      </c>
      <c r="AU992">
        <f t="shared" si="382"/>
        <v>45.403798492706905</v>
      </c>
      <c r="AV992" t="str">
        <f t="shared" si="383"/>
        <v>Mayor retorno probable: VENTAS (+45,4 puntos finales potenciales).</v>
      </c>
    </row>
    <row r="993" spans="1:48" x14ac:dyDescent="0.3">
      <c r="A993" s="5">
        <v>51031041</v>
      </c>
      <c r="B993" s="5" t="str">
        <f>IFERROR(VLOOKUP(A993,VENTAS!$A$2:$B$1194,2,0),"")</f>
        <v>CICHETTO</v>
      </c>
      <c r="C993" s="5">
        <f>IFERROR(INDEX(VENTAS!$C$2:$E$1194,MATCH(A993,VENTAS!$A$2:$A$1194,0),MATCH(PARAMS_MODELO!$B$2,{"Q1","Q2","Q3"},0)),0)</f>
        <v>11360254.859999999</v>
      </c>
      <c r="D993" s="5">
        <f>IFERROR(INDEX(VENTAS!$F$2:$H$1194,MATCH(A993,VENTAS!$A$2:$A$1194,0),MATCH(PARAMS_MODELO!$B$2,{"Q1","Q2","Q3"},0)),0)</f>
        <v>42500</v>
      </c>
      <c r="E993" s="8">
        <f t="shared" si="360"/>
        <v>-0.99625888674825025</v>
      </c>
      <c r="F993" s="12">
        <f>IF(E993&lt;=PARAMS_MODELO!$B$15,0,IF(E993&gt;=PARAMS_MODELO!$B$17,100,100*MIN(1,(E993-PARAMS_MODELO!$B$15)/(PARAMS_MODELO!$B$16-PARAMS_MODELO!$B$15))))*PARAMS_MODELO!$B$7</f>
        <v>0</v>
      </c>
      <c r="G993" s="5">
        <f t="shared" si="361"/>
        <v>0</v>
      </c>
      <c r="H993" s="5">
        <f>(PARAMS_MODELO!$B$20*(MAX(0,MIN(3,E993))/3)+PARAMS_MODELO!$B$21*(IFERROR(LN(1+MAX(0,G993))/LN(1+MAX(0,MAX($G$2:$G$1194))),0)))*100*PARAMS_MODELO!$B$8</f>
        <v>0</v>
      </c>
      <c r="I993" s="8">
        <f>E993-PARAMS_MODELO!$B$5</f>
        <v>-1.1738217221237768</v>
      </c>
      <c r="J993" s="5">
        <f>IF(I993&lt;=PARAMS_MODELO!$B$18,0,IF(I993&gt;=PARAMS_MODELO!$B$19,100,100*(I993-PARAMS_MODELO!$B$18)/(PARAMS_MODELO!$B$19-PARAMS_MODELO!$B$18)))*PARAMS_MODELO!$B$9</f>
        <v>0</v>
      </c>
      <c r="K993" s="5">
        <f>IFERROR(CHOOSE(MATCH(PARAMS_MODELO!$B$2,{"Q1","Q2","Q3"},0),LOTO!$D993,LOTO!$F993,LOTO!$H993),0)</f>
        <v>0</v>
      </c>
      <c r="L993" s="8">
        <f t="shared" si="362"/>
        <v>0</v>
      </c>
      <c r="M993" s="5">
        <f>MIN(100,IF(PARAMS_MODELO!$B$23=0,0,100*L993/PARAMS_MODELO!$B$23))*PARAMS_MODELO!$B$10</f>
        <v>0</v>
      </c>
      <c r="N993" s="5">
        <f>IFERROR(VLOOKUP(A993,COMPLIANCE!$A$2:$F$1996,6,0),100)</f>
        <v>99.3</v>
      </c>
      <c r="O993" s="5">
        <f>N993*PARAMS_MODELO!$B$11</f>
        <v>9.93</v>
      </c>
      <c r="P993" s="5">
        <f>IFERROR(VLOOKUP(A993,DIGITAL!$A$2:$J$2000,7,0),100)</f>
        <v>8</v>
      </c>
      <c r="Q993" s="5">
        <f>IFERROR(P993,0)*PARAMS_MODELO!$B$12</f>
        <v>0.8</v>
      </c>
      <c r="R993">
        <f t="shared" si="363"/>
        <v>10.73</v>
      </c>
      <c r="S993" s="5" t="str">
        <f>IFERROR(VLOOKUP(A993,CLIENTE!$A$2:$N$2000,13,0),1)</f>
        <v>Regular</v>
      </c>
      <c r="T993" s="5">
        <f>IFERROR(VLOOKUP(A993,CLIENTE!$A$2:$N$2000,14,0),1)</f>
        <v>1</v>
      </c>
      <c r="U993" s="5">
        <f t="shared" si="364"/>
        <v>10.73</v>
      </c>
      <c r="V993" s="5" t="str">
        <f>IF(U993&gt;=MAX(_xlfn.PERCENTILE.INC($U$2:$U$1194,PARAMS_MODELO!$B$50),PARAMS_MODELO!$B$45),"DIAMANTE",IF(U993&gt;=MAX(_xlfn.PERCENTILE.INC($U$2:$U$1194,PARAMS_MODELO!$B$51),PARAMS_MODELO!$B$46),"PLATINO",IF(U993&gt;=MAX(_xlfn.PERCENTILE.INC($U$2:$U$1194,PARAMS_MODELO!$B$52),PARAMS_MODELO!$B$47),"ORO",IF(U993&gt;=MAX(_xlfn.PERCENTILE.INC($U$2:$U$1194,PARAMS_MODELO!$B$53),PARAMS_MODELO!$B$48),"PLATA",IF(U993&gt;=1,"BRONCE","CERRADO")))))</f>
        <v>BRONCE</v>
      </c>
      <c r="W993" s="5" t="str" cm="1">
        <f t="array" ref="W993">_xlfn.XLOOKUP(1, (HIST_SCORE!$B:$B=PARAMS_MODELO!$B$4) * (HIST_SCORE!$C:$C=A993), HIST_SCORE!$E:$E, "No encontrado")</f>
        <v>BRONCE</v>
      </c>
      <c r="X993" s="5" t="str">
        <f>_xlfn.LET(_xlpm.act,MATCH(V993,{"DIAMANTE";"PLATINO";"ORO";"PLATA";"BRONCE";"CERRADO"},0),_xlpm.ant,MATCH(W993,{"DIAMANTE";"PLATINO";"ORO";"PLATA";"BRONCE";"CERRADO"},0),IF(_xlpm.act&lt;_xlpm.ant,"Mejora ↑",IF(_xlpm.act&gt;_xlpm.ant,"Baja ↓","Estable →")))</f>
        <v>Estable →</v>
      </c>
      <c r="Y993" s="5">
        <f>IFERROR(U993-SUMIFS(HIST_SCORE!$D:$D,HIST_SCORE!$B:$B,PARAMS_MODELO!$B$4,HIST_SCORE!$C:$C,$A993),"")</f>
        <v>0</v>
      </c>
      <c r="Z993" s="5" t="str">
        <f t="shared" si="365"/>
        <v>→ Estable</v>
      </c>
      <c r="AA993" s="5">
        <f t="shared" si="366"/>
        <v>1151</v>
      </c>
      <c r="AB993" s="5">
        <f>IFERROR(SUMIFS(HIST_SCORE!$F:$F,HIST_SCORE!$B:$B,PARAMS_MODELO!$B$4,HIST_SCORE!$C:$C,$A993),"")</f>
        <v>1149</v>
      </c>
      <c r="AC993" s="5">
        <f t="shared" si="367"/>
        <v>-2</v>
      </c>
      <c r="AD993" t="str">
        <f t="shared" si="369"/>
        <v/>
      </c>
      <c r="AE9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993="CERRADO",1,IF(V993="BRONCE",_xlpm.cPl,IF(V993="PLATA",_xlpm.cO,IF(V993="ORO",_xlpm.cP,IF(V993="PLATINO",_xlpm.cD,999))))))</f>
        <v>24.506573482968111</v>
      </c>
      <c r="AF9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993="CERRADO",0,IF(V993="BRONCE",1,IF(V993="PLATA",_xlpm.cPl,IF(V993="ORO",_xlpm.cO,IF(V993="PLATINO",_xlpm.cP,_xlpm.cD))))))</f>
        <v>1</v>
      </c>
      <c r="AG993">
        <f t="shared" si="370"/>
        <v>13.776573482968111</v>
      </c>
      <c r="AH993" t="str">
        <f t="shared" si="371"/>
        <v>VENTAS</v>
      </c>
      <c r="AI993" t="str">
        <f t="shared" si="368"/>
        <v>🎯 Para subir de categoría, eje VENTAS / CRECIMIENTO PERSONAL (F). Acción: metas semanales + activación comercial + seguimiento del asesor. ΔR aprox: 13,8</v>
      </c>
      <c r="AJ993" s="26">
        <f>_xlfn.LET(_xlpm.piso,AF993,_xlpm.corte,AE993,_xlpm.prog,IF(_xlpm.corte&lt;=_xlpm.piso,0,MAX(0,MIN(1,(U993-_xlpm.piso)/(_xlpm.corte-_xlpm.piso)))),_xlpm.orden,{"DIAMANTE";"PLATINO";"ORO";"PLATA";"BRONCE";"CERRADO"},_xlpm.act,IFERROR(MATCH(V993,_xlpm.orden,0),6),_xlpm.ant,IFERROR(MATCH(W993,_xlpm.orden,0),6),_xlpm.ajmov,IF(_xlpm.act&lt;_xlpm.ant,0.08,IF(_xlpm.act&gt;_xlpm.ant,-0.08,0)),_xlpm.ajcli,IF(T993&lt;0.95,-0.06,0),_xlpm.prob,MAX(0,MIN(1,_xlpm.prog+_xlpm.ajmov+_xlpm.ajcli)),IF(OR(V993="DIAMANTE",V993="CERRADO"),0,ROUND(_xlpm.prob,2)))</f>
        <v>0.41</v>
      </c>
      <c r="AK993" t="str">
        <f t="shared" si="372"/>
        <v>Faltan 13,8 puntos base para subir a la siguiente categoría</v>
      </c>
      <c r="AL993" t="str">
        <f t="shared" si="373"/>
        <v>No aplica</v>
      </c>
      <c r="AM993">
        <f t="shared" si="374"/>
        <v>0.64</v>
      </c>
      <c r="AN993" t="str">
        <f t="shared" si="375"/>
        <v>PRIORIDAD MEDIA – seguimiento del asesor</v>
      </c>
      <c r="AO993">
        <f t="shared" si="376"/>
        <v>64.862569275295584</v>
      </c>
      <c r="AP993">
        <f t="shared" si="377"/>
        <v>15</v>
      </c>
      <c r="AQ993">
        <f t="shared" si="378"/>
        <v>7.0000000000000284E-2</v>
      </c>
      <c r="AR993">
        <f t="shared" si="379"/>
        <v>9.1999999999999993</v>
      </c>
      <c r="AS993">
        <f t="shared" si="380"/>
        <v>0</v>
      </c>
      <c r="AT993" t="str">
        <f t="shared" si="381"/>
        <v>VENTAS</v>
      </c>
      <c r="AU993">
        <f t="shared" si="382"/>
        <v>64.862569275295584</v>
      </c>
      <c r="AV993" t="str">
        <f t="shared" si="383"/>
        <v>Mayor retorno probable: VENTAS (+64,9 puntos finales potenciales).</v>
      </c>
    </row>
    <row r="994" spans="1:48" x14ac:dyDescent="0.3">
      <c r="A994" s="5">
        <v>51022262</v>
      </c>
      <c r="B994" s="5" t="str">
        <f>IFERROR(VLOOKUP(A994,VENTAS!$A$2:$B$1194,2,0),"")</f>
        <v>MONTENEGRO</v>
      </c>
      <c r="C994" s="5">
        <f>IFERROR(INDEX(VENTAS!$C$2:$E$1194,MATCH(A994,VENTAS!$A$2:$A$1194,0),MATCH(PARAMS_MODELO!$B$2,{"Q1","Q2","Q3"},0)),0)</f>
        <v>1635448</v>
      </c>
      <c r="D994" s="5">
        <f>IFERROR(INDEX(VENTAS!$F$2:$H$1194,MATCH(A994,VENTAS!$A$2:$A$1194,0),MATCH(PARAMS_MODELO!$B$2,{"Q1","Q2","Q3"},0)),0)</f>
        <v>17000</v>
      </c>
      <c r="E994" s="8">
        <f t="shared" si="360"/>
        <v>-0.98960529469600989</v>
      </c>
      <c r="F994" s="12">
        <f>IF(E994&lt;=PARAMS_MODELO!$B$15,0,IF(E994&gt;=PARAMS_MODELO!$B$17,100,100*MIN(1,(E994-PARAMS_MODELO!$B$15)/(PARAMS_MODELO!$B$16-PARAMS_MODELO!$B$15))))*PARAMS_MODELO!$B$7</f>
        <v>0</v>
      </c>
      <c r="G994" s="5">
        <f t="shared" si="361"/>
        <v>0</v>
      </c>
      <c r="H994" s="5">
        <f>(PARAMS_MODELO!$B$20*(MAX(0,MIN(3,E994))/3)+PARAMS_MODELO!$B$21*(IFERROR(LN(1+MAX(0,G994))/LN(1+MAX(0,MAX($G$2:$G$1194))),0)))*100*PARAMS_MODELO!$B$8</f>
        <v>0</v>
      </c>
      <c r="I994" s="8">
        <f>E994-PARAMS_MODELO!$B$5</f>
        <v>-1.1671681300715364</v>
      </c>
      <c r="J994" s="5">
        <f>IF(I994&lt;=PARAMS_MODELO!$B$18,0,IF(I994&gt;=PARAMS_MODELO!$B$19,100,100*(I994-PARAMS_MODELO!$B$18)/(PARAMS_MODELO!$B$19-PARAMS_MODELO!$B$18)))*PARAMS_MODELO!$B$9</f>
        <v>0</v>
      </c>
      <c r="K994" s="5">
        <f>IFERROR(CHOOSE(MATCH(PARAMS_MODELO!$B$2,{"Q1","Q2","Q3"},0),LOTO!$D994,LOTO!$F994,LOTO!$H994),0)</f>
        <v>0</v>
      </c>
      <c r="L994" s="8">
        <f t="shared" si="362"/>
        <v>0</v>
      </c>
      <c r="M994" s="5">
        <f>MIN(100,IF(PARAMS_MODELO!$B$23=0,0,100*L994/PARAMS_MODELO!$B$23))*PARAMS_MODELO!$B$10</f>
        <v>0</v>
      </c>
      <c r="N994" s="5">
        <f>IFERROR(VLOOKUP(A994,COMPLIANCE!$A$2:$F$1996,6,0),100)</f>
        <v>99.94</v>
      </c>
      <c r="O994" s="5">
        <f>N994*PARAMS_MODELO!$B$11</f>
        <v>9.9939999999999998</v>
      </c>
      <c r="P994" s="5">
        <f>IFERROR(VLOOKUP(A994,DIGITAL!$A$2:$J$2000,7,0),100)</f>
        <v>28</v>
      </c>
      <c r="Q994" s="5">
        <f>IFERROR(P994,0)*PARAMS_MODELO!$B$12</f>
        <v>2.8000000000000003</v>
      </c>
      <c r="R994">
        <f t="shared" si="363"/>
        <v>12.794</v>
      </c>
      <c r="S994" s="5" t="str">
        <f>IFERROR(VLOOKUP(A994,CLIENTE!$A$2:$N$2000,13,0),1)</f>
        <v>Malo</v>
      </c>
      <c r="T994" s="5">
        <f>IFERROR(VLOOKUP(A994,CLIENTE!$A$2:$N$2000,14,0),1)</f>
        <v>0.7</v>
      </c>
      <c r="U994" s="5">
        <f t="shared" si="364"/>
        <v>8.9558</v>
      </c>
      <c r="V994" s="5" t="str">
        <f>IF(U994&gt;=MAX(_xlfn.PERCENTILE.INC($U$2:$U$1194,PARAMS_MODELO!$B$50),PARAMS_MODELO!$B$45),"DIAMANTE",IF(U994&gt;=MAX(_xlfn.PERCENTILE.INC($U$2:$U$1194,PARAMS_MODELO!$B$51),PARAMS_MODELO!$B$46),"PLATINO",IF(U994&gt;=MAX(_xlfn.PERCENTILE.INC($U$2:$U$1194,PARAMS_MODELO!$B$52),PARAMS_MODELO!$B$47),"ORO",IF(U994&gt;=MAX(_xlfn.PERCENTILE.INC($U$2:$U$1194,PARAMS_MODELO!$B$53),PARAMS_MODELO!$B$48),"PLATA",IF(U994&gt;=1,"BRONCE","CERRADO")))))</f>
        <v>BRONCE</v>
      </c>
      <c r="W994" s="5" t="str" cm="1">
        <f t="array" ref="W994">_xlfn.XLOOKUP(1, (HIST_SCORE!$B:$B=PARAMS_MODELO!$B$4) * (HIST_SCORE!$C:$C=A994), HIST_SCORE!$E:$E, "No encontrado")</f>
        <v>BRONCE</v>
      </c>
      <c r="X994" s="5" t="str">
        <f>_xlfn.LET(_xlpm.act,MATCH(V994,{"DIAMANTE";"PLATINO";"ORO";"PLATA";"BRONCE";"CERRADO"},0),_xlpm.ant,MATCH(W994,{"DIAMANTE";"PLATINO";"ORO";"PLATA";"BRONCE";"CERRADO"},0),IF(_xlpm.act&lt;_xlpm.ant,"Mejora ↑",IF(_xlpm.act&gt;_xlpm.ant,"Baja ↓","Estable →")))</f>
        <v>Estable →</v>
      </c>
      <c r="Y994" s="5">
        <f>IFERROR(U994-SUMIFS(HIST_SCORE!$D:$D,HIST_SCORE!$B:$B,PARAMS_MODELO!$B$4,HIST_SCORE!$C:$C,$A994),"")</f>
        <v>0</v>
      </c>
      <c r="Z994" s="5" t="str">
        <f t="shared" si="365"/>
        <v>→ Estable</v>
      </c>
      <c r="AA994" s="5">
        <f t="shared" si="366"/>
        <v>1176</v>
      </c>
      <c r="AB994" s="5">
        <f>IFERROR(SUMIFS(HIST_SCORE!$F:$F,HIST_SCORE!$B:$B,PARAMS_MODELO!$B$4,HIST_SCORE!$C:$C,$A994),"")</f>
        <v>1177</v>
      </c>
      <c r="AC994" s="5">
        <f t="shared" si="367"/>
        <v>1</v>
      </c>
      <c r="AD994" t="str">
        <f t="shared" si="369"/>
        <v/>
      </c>
      <c r="AE9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994="CERRADO",1,IF(V994="BRONCE",_xlpm.cPl,IF(V994="PLATA",_xlpm.cO,IF(V994="ORO",_xlpm.cP,IF(V994="PLATINO",_xlpm.cD,999))))))</f>
        <v>24.506573482968111</v>
      </c>
      <c r="AF9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994="CERRADO",0,IF(V994="BRONCE",1,IF(V994="PLATA",_xlpm.cPl,IF(V994="ORO",_xlpm.cO,IF(V994="PLATINO",_xlpm.cP,_xlpm.cD))))))</f>
        <v>1</v>
      </c>
      <c r="AG994">
        <f t="shared" si="370"/>
        <v>22.215390689954443</v>
      </c>
      <c r="AH994" t="str">
        <f t="shared" si="371"/>
        <v>VENTAS</v>
      </c>
      <c r="AI994" t="str">
        <f t="shared" si="368"/>
        <v>🎯 Para subir de categoría, eje VENTAS / CRECIMIENTO PERSONAL (F). Acción: metas semanales + activación comercial + seguimiento del asesor. ΔR aprox: 22,2</v>
      </c>
      <c r="AJ994" s="26">
        <f>_xlfn.LET(_xlpm.piso,AF994,_xlpm.corte,AE994,_xlpm.prog,IF(_xlpm.corte&lt;=_xlpm.piso,0,MAX(0,MIN(1,(U994-_xlpm.piso)/(_xlpm.corte-_xlpm.piso)))),_xlpm.orden,{"DIAMANTE";"PLATINO";"ORO";"PLATA";"BRONCE";"CERRADO"},_xlpm.act,IFERROR(MATCH(V994,_xlpm.orden,0),6),_xlpm.ant,IFERROR(MATCH(W994,_xlpm.orden,0),6),_xlpm.ajmov,IF(_xlpm.act&lt;_xlpm.ant,0.08,IF(_xlpm.act&gt;_xlpm.ant,-0.08,0)),_xlpm.ajcli,IF(T994&lt;0.95,-0.06,0),_xlpm.prob,MAX(0,MIN(1,_xlpm.prog+_xlpm.ajmov+_xlpm.ajcli)),IF(OR(V994="DIAMANTE",V994="CERRADO"),0,ROUND(_xlpm.prob,2)))</f>
        <v>0.28000000000000003</v>
      </c>
      <c r="AK994" t="str">
        <f t="shared" si="372"/>
        <v>Faltan 22,2 puntos base para subir a la siguiente categoría</v>
      </c>
      <c r="AL994" t="str">
        <f t="shared" si="373"/>
        <v>No aplica</v>
      </c>
      <c r="AM994">
        <f t="shared" si="374"/>
        <v>0.89</v>
      </c>
      <c r="AN994" t="str">
        <f t="shared" si="375"/>
        <v>PRIORIDAD ALTA – requiere intervención inmediata</v>
      </c>
      <c r="AO994">
        <f t="shared" si="376"/>
        <v>45.403798492706905</v>
      </c>
      <c r="AP994">
        <f t="shared" si="377"/>
        <v>10.5</v>
      </c>
      <c r="AQ994">
        <f t="shared" si="378"/>
        <v>4.2000000000001585E-3</v>
      </c>
      <c r="AR994">
        <f t="shared" si="379"/>
        <v>5.0399999999999991</v>
      </c>
      <c r="AS994">
        <f t="shared" si="380"/>
        <v>3.8382000000000005</v>
      </c>
      <c r="AT994" t="str">
        <f t="shared" si="381"/>
        <v>VENTAS</v>
      </c>
      <c r="AU994">
        <f t="shared" si="382"/>
        <v>45.403798492706905</v>
      </c>
      <c r="AV994" t="str">
        <f t="shared" si="383"/>
        <v>Mayor retorno probable: VENTAS (+45,4 puntos finales potenciales).</v>
      </c>
    </row>
    <row r="995" spans="1:48" x14ac:dyDescent="0.3">
      <c r="A995" s="5">
        <v>51017731</v>
      </c>
      <c r="B995" s="5" t="str">
        <f>IFERROR(VLOOKUP(A995,VENTAS!$A$2:$B$1194,2,0),"")</f>
        <v/>
      </c>
      <c r="C995" s="5">
        <f>IFERROR(INDEX(VENTAS!$C$2:$E$1194,MATCH(A995,VENTAS!$A$2:$A$1194,0),MATCH(PARAMS_MODELO!$B$2,{"Q1","Q2","Q3"},0)),0)</f>
        <v>4639202.4000000004</v>
      </c>
      <c r="D995" s="5">
        <f>IFERROR(INDEX(VENTAS!$F$2:$H$1194,MATCH(A995,VENTAS!$A$2:$A$1194,0),MATCH(PARAMS_MODELO!$B$2,{"Q1","Q2","Q3"},0)),0)</f>
        <v>2500</v>
      </c>
      <c r="E995" s="8">
        <f t="shared" si="360"/>
        <v>-0.9994611142639519</v>
      </c>
      <c r="F995" s="12">
        <f>IF(E995&lt;=PARAMS_MODELO!$B$15,0,IF(E995&gt;=PARAMS_MODELO!$B$17,100,100*MIN(1,(E995-PARAMS_MODELO!$B$15)/(PARAMS_MODELO!$B$16-PARAMS_MODELO!$B$15))))*PARAMS_MODELO!$B$7</f>
        <v>0</v>
      </c>
      <c r="G995" s="5">
        <f t="shared" si="361"/>
        <v>0</v>
      </c>
      <c r="H995" s="5">
        <f>(PARAMS_MODELO!$B$20*(MAX(0,MIN(3,E995))/3)+PARAMS_MODELO!$B$21*(IFERROR(LN(1+MAX(0,G995))/LN(1+MAX(0,MAX($G$2:$G$1194))),0)))*100*PARAMS_MODELO!$B$8</f>
        <v>0</v>
      </c>
      <c r="I995" s="8">
        <f>E995-PARAMS_MODELO!$B$5</f>
        <v>-1.1770239496394783</v>
      </c>
      <c r="J995" s="5">
        <f>IF(I995&lt;=PARAMS_MODELO!$B$18,0,IF(I995&gt;=PARAMS_MODELO!$B$19,100,100*(I995-PARAMS_MODELO!$B$18)/(PARAMS_MODELO!$B$19-PARAMS_MODELO!$B$18)))*PARAMS_MODELO!$B$9</f>
        <v>0</v>
      </c>
      <c r="K995" s="5">
        <f>IFERROR(CHOOSE(MATCH(PARAMS_MODELO!$B$2,{"Q1","Q2","Q3"},0),LOTO!$D995,LOTO!$F995,LOTO!$H995),0)</f>
        <v>0</v>
      </c>
      <c r="L995" s="8">
        <f t="shared" si="362"/>
        <v>0</v>
      </c>
      <c r="M995" s="5">
        <f>MIN(100,IF(PARAMS_MODELO!$B$23=0,0,100*L995/PARAMS_MODELO!$B$23))*PARAMS_MODELO!$B$10</f>
        <v>0</v>
      </c>
      <c r="N995" s="5">
        <f>IFERROR(VLOOKUP(A995,COMPLIANCE!$A$2:$F$1996,6,0),100)</f>
        <v>99.81</v>
      </c>
      <c r="O995" s="5">
        <f>N995*PARAMS_MODELO!$B$11</f>
        <v>9.9810000000000016</v>
      </c>
      <c r="P995" s="5">
        <f>IFERROR(VLOOKUP(A995,DIGITAL!$A$2:$J$2000,7,0),100)</f>
        <v>14</v>
      </c>
      <c r="Q995" s="5">
        <f>IFERROR(P995,0)*PARAMS_MODELO!$B$12</f>
        <v>1.4000000000000001</v>
      </c>
      <c r="R995">
        <f t="shared" si="363"/>
        <v>11.381000000000002</v>
      </c>
      <c r="S995" s="5" t="str">
        <f>IFERROR(VLOOKUP(A995,CLIENTE!$A$2:$N$2000,13,0),1)</f>
        <v>Malo</v>
      </c>
      <c r="T995" s="5">
        <f>IFERROR(VLOOKUP(A995,CLIENTE!$A$2:$N$2000,14,0),1)</f>
        <v>0.7</v>
      </c>
      <c r="U995" s="5">
        <f t="shared" si="364"/>
        <v>7.9667000000000012</v>
      </c>
      <c r="V995" s="5" t="str">
        <f>IF(U995&gt;=MAX(_xlfn.PERCENTILE.INC($U$2:$U$1194,PARAMS_MODELO!$B$50),PARAMS_MODELO!$B$45),"DIAMANTE",IF(U995&gt;=MAX(_xlfn.PERCENTILE.INC($U$2:$U$1194,PARAMS_MODELO!$B$51),PARAMS_MODELO!$B$46),"PLATINO",IF(U995&gt;=MAX(_xlfn.PERCENTILE.INC($U$2:$U$1194,PARAMS_MODELO!$B$52),PARAMS_MODELO!$B$47),"ORO",IF(U995&gt;=MAX(_xlfn.PERCENTILE.INC($U$2:$U$1194,PARAMS_MODELO!$B$53),PARAMS_MODELO!$B$48),"PLATA",IF(U995&gt;=1,"BRONCE","CERRADO")))))</f>
        <v>BRONCE</v>
      </c>
      <c r="W995" s="5" t="str" cm="1">
        <f t="array" ref="W995">_xlfn.XLOOKUP(1, (HIST_SCORE!$B:$B=PARAMS_MODELO!$B$4) * (HIST_SCORE!$C:$C=A995), HIST_SCORE!$E:$E, "No encontrado")</f>
        <v>BRONCE</v>
      </c>
      <c r="X995" s="5" t="str">
        <f>_xlfn.LET(_xlpm.act,MATCH(V995,{"DIAMANTE";"PLATINO";"ORO";"PLATA";"BRONCE";"CERRADO"},0),_xlpm.ant,MATCH(W995,{"DIAMANTE";"PLATINO";"ORO";"PLATA";"BRONCE";"CERRADO"},0),IF(_xlpm.act&lt;_xlpm.ant,"Mejora ↑",IF(_xlpm.act&gt;_xlpm.ant,"Baja ↓","Estable →")))</f>
        <v>Estable →</v>
      </c>
      <c r="Y995" s="5">
        <f>IFERROR(U995-SUMIFS(HIST_SCORE!$D:$D,HIST_SCORE!$B:$B,PARAMS_MODELO!$B$4,HIST_SCORE!$C:$C,$A995),"")</f>
        <v>0</v>
      </c>
      <c r="Z995" s="5" t="str">
        <f t="shared" si="365"/>
        <v>→ Estable</v>
      </c>
      <c r="AA995" s="5">
        <f t="shared" si="366"/>
        <v>1187</v>
      </c>
      <c r="AB995" s="5">
        <f>IFERROR(SUMIFS(HIST_SCORE!$F:$F,HIST_SCORE!$B:$B,PARAMS_MODELO!$B$4,HIST_SCORE!$C:$C,$A995),"")</f>
        <v>1187</v>
      </c>
      <c r="AC995" s="5">
        <f t="shared" si="367"/>
        <v>0</v>
      </c>
      <c r="AD995" t="str">
        <f t="shared" si="369"/>
        <v/>
      </c>
      <c r="AE9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995="CERRADO",1,IF(V995="BRONCE",_xlpm.cPl,IF(V995="PLATA",_xlpm.cO,IF(V995="ORO",_xlpm.cP,IF(V995="PLATINO",_xlpm.cD,999))))))</f>
        <v>24.506573482968111</v>
      </c>
      <c r="AF9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995="CERRADO",0,IF(V995="BRONCE",1,IF(V995="PLATA",_xlpm.cPl,IF(V995="ORO",_xlpm.cO,IF(V995="PLATINO",_xlpm.cP,_xlpm.cD))))))</f>
        <v>1</v>
      </c>
      <c r="AG995">
        <f t="shared" si="370"/>
        <v>23.628390689954443</v>
      </c>
      <c r="AH995" t="str">
        <f t="shared" si="371"/>
        <v>VENTAS</v>
      </c>
      <c r="AI995" t="str">
        <f t="shared" si="368"/>
        <v>🎯 Para subir de categoría, eje VENTAS / CRECIMIENTO PERSONAL (F). Acción: metas semanales + activación comercial + seguimiento del asesor. ΔR aprox: 23,6</v>
      </c>
      <c r="AJ995" s="26">
        <f>_xlfn.LET(_xlpm.piso,AF995,_xlpm.corte,AE995,_xlpm.prog,IF(_xlpm.corte&lt;=_xlpm.piso,0,MAX(0,MIN(1,(U995-_xlpm.piso)/(_xlpm.corte-_xlpm.piso)))),_xlpm.orden,{"DIAMANTE";"PLATINO";"ORO";"PLATA";"BRONCE";"CERRADO"},_xlpm.act,IFERROR(MATCH(V995,_xlpm.orden,0),6),_xlpm.ant,IFERROR(MATCH(W995,_xlpm.orden,0),6),_xlpm.ajmov,IF(_xlpm.act&lt;_xlpm.ant,0.08,IF(_xlpm.act&gt;_xlpm.ant,-0.08,0)),_xlpm.ajcli,IF(T995&lt;0.95,-0.06,0),_xlpm.prob,MAX(0,MIN(1,_xlpm.prog+_xlpm.ajmov+_xlpm.ajcli)),IF(OR(V995="DIAMANTE",V995="CERRADO"),0,ROUND(_xlpm.prob,2)))</f>
        <v>0.24</v>
      </c>
      <c r="AK995" t="str">
        <f t="shared" si="372"/>
        <v>Faltan 23,6 puntos base para subir a la siguiente categoría</v>
      </c>
      <c r="AL995" t="str">
        <f t="shared" si="373"/>
        <v>No aplica</v>
      </c>
      <c r="AM995">
        <f t="shared" si="374"/>
        <v>0.9</v>
      </c>
      <c r="AN995" t="str">
        <f t="shared" si="375"/>
        <v>PRIORIDAD ALTA – requiere intervención inmediata</v>
      </c>
      <c r="AO995">
        <f t="shared" si="376"/>
        <v>45.403798492706905</v>
      </c>
      <c r="AP995">
        <f t="shared" si="377"/>
        <v>10.5</v>
      </c>
      <c r="AQ995">
        <f t="shared" si="378"/>
        <v>1.3299999999998846E-2</v>
      </c>
      <c r="AR995">
        <f t="shared" si="379"/>
        <v>6.02</v>
      </c>
      <c r="AS995">
        <f t="shared" si="380"/>
        <v>3.4143000000000012</v>
      </c>
      <c r="AT995" t="str">
        <f t="shared" si="381"/>
        <v>VENTAS</v>
      </c>
      <c r="AU995">
        <f t="shared" si="382"/>
        <v>45.403798492706905</v>
      </c>
      <c r="AV995" t="str">
        <f t="shared" si="383"/>
        <v>Mayor retorno probable: VENTAS (+45,4 puntos finales potenciales).</v>
      </c>
    </row>
    <row r="996" spans="1:48" x14ac:dyDescent="0.3">
      <c r="A996" s="5">
        <v>51000269</v>
      </c>
      <c r="B996" s="5" t="str">
        <f>IFERROR(VLOOKUP(A996,VENTAS!$A$2:$B$1194,2,0),"")</f>
        <v/>
      </c>
      <c r="C996" s="5">
        <f>IFERROR(INDEX(VENTAS!$C$2:$E$1194,MATCH(A996,VENTAS!$A$2:$A$1194,0),MATCH(PARAMS_MODELO!$B$2,{"Q1","Q2","Q3"},0)),0)</f>
        <v>40771253.100000001</v>
      </c>
      <c r="D996" s="5">
        <f>IFERROR(INDEX(VENTAS!$F$2:$H$1194,MATCH(A996,VENTAS!$A$2:$A$1194,0),MATCH(PARAMS_MODELO!$B$2,{"Q1","Q2","Q3"},0)),0)</f>
        <v>0</v>
      </c>
      <c r="E996" s="8">
        <f t="shared" si="360"/>
        <v>-1</v>
      </c>
      <c r="F996" s="12">
        <f>IF(E996&lt;=PARAMS_MODELO!$B$15,0,IF(E996&gt;=PARAMS_MODELO!$B$17,100,100*MIN(1,(E996-PARAMS_MODELO!$B$15)/(PARAMS_MODELO!$B$16-PARAMS_MODELO!$B$15))))*PARAMS_MODELO!$B$7</f>
        <v>0</v>
      </c>
      <c r="G996" s="5">
        <f t="shared" si="361"/>
        <v>0</v>
      </c>
      <c r="H996" s="5">
        <f>(PARAMS_MODELO!$B$20*(MAX(0,MIN(3,E996))/3)+PARAMS_MODELO!$B$21*(IFERROR(LN(1+MAX(0,G996))/LN(1+MAX(0,MAX($G$2:$G$1194))),0)))*100*PARAMS_MODELO!$B$8</f>
        <v>0</v>
      </c>
      <c r="I996" s="8">
        <f>E996-PARAMS_MODELO!$B$5</f>
        <v>-1.1775628353755265</v>
      </c>
      <c r="J996" s="5">
        <f>IF(I996&lt;=PARAMS_MODELO!$B$18,0,IF(I996&gt;=PARAMS_MODELO!$B$19,100,100*(I996-PARAMS_MODELO!$B$18)/(PARAMS_MODELO!$B$19-PARAMS_MODELO!$B$18)))*PARAMS_MODELO!$B$9</f>
        <v>0</v>
      </c>
      <c r="K996" s="5">
        <f>IFERROR(CHOOSE(MATCH(PARAMS_MODELO!$B$2,{"Q1","Q2","Q3"},0),LOTO!$D996,LOTO!$F996,LOTO!$H996),0)</f>
        <v>0</v>
      </c>
      <c r="L996" s="8">
        <f t="shared" si="362"/>
        <v>0</v>
      </c>
      <c r="M996" s="5">
        <f>MIN(100,IF(PARAMS_MODELO!$B$23=0,0,100*L996/PARAMS_MODELO!$B$23))*PARAMS_MODELO!$B$10</f>
        <v>0</v>
      </c>
      <c r="N996" s="5">
        <f>IFERROR(VLOOKUP(A996,COMPLIANCE!$A$2:$F$1996,6,0),100)</f>
        <v>100</v>
      </c>
      <c r="O996" s="5">
        <f>N996*PARAMS_MODELO!$B$11</f>
        <v>10</v>
      </c>
      <c r="P996" s="5">
        <f>IFERROR(VLOOKUP(A996,DIGITAL!$A$2:$J$2000,7,0),100)</f>
        <v>13</v>
      </c>
      <c r="Q996" s="5">
        <f>IFERROR(P996,0)*PARAMS_MODELO!$B$12</f>
        <v>1.3</v>
      </c>
      <c r="R996">
        <f t="shared" si="363"/>
        <v>11.3</v>
      </c>
      <c r="S996" s="5" t="str">
        <f>IFERROR(VLOOKUP(A996,CLIENTE!$A$2:$N$2000,13,0),1)</f>
        <v>Malo</v>
      </c>
      <c r="T996" s="5">
        <f>IFERROR(VLOOKUP(A996,CLIENTE!$A$2:$N$2000,14,0),1)</f>
        <v>0.7</v>
      </c>
      <c r="U996" s="5">
        <f t="shared" si="364"/>
        <v>7.91</v>
      </c>
      <c r="V996" s="5" t="str">
        <f>IF(U996&gt;=MAX(_xlfn.PERCENTILE.INC($U$2:$U$1194,PARAMS_MODELO!$B$50),PARAMS_MODELO!$B$45),"DIAMANTE",IF(U996&gt;=MAX(_xlfn.PERCENTILE.INC($U$2:$U$1194,PARAMS_MODELO!$B$51),PARAMS_MODELO!$B$46),"PLATINO",IF(U996&gt;=MAX(_xlfn.PERCENTILE.INC($U$2:$U$1194,PARAMS_MODELO!$B$52),PARAMS_MODELO!$B$47),"ORO",IF(U996&gt;=MAX(_xlfn.PERCENTILE.INC($U$2:$U$1194,PARAMS_MODELO!$B$53),PARAMS_MODELO!$B$48),"PLATA",IF(U996&gt;=1,"BRONCE","CERRADO")))))</f>
        <v>BRONCE</v>
      </c>
      <c r="W996" s="5" t="str" cm="1">
        <f t="array" ref="W996">_xlfn.XLOOKUP(1, (HIST_SCORE!$B:$B=PARAMS_MODELO!$B$4) * (HIST_SCORE!$C:$C=A996), HIST_SCORE!$E:$E, "No encontrado")</f>
        <v>BRONCE</v>
      </c>
      <c r="X996" s="5" t="str">
        <f>_xlfn.LET(_xlpm.act,MATCH(V996,{"DIAMANTE";"PLATINO";"ORO";"PLATA";"BRONCE";"CERRADO"},0),_xlpm.ant,MATCH(W996,{"DIAMANTE";"PLATINO";"ORO";"PLATA";"BRONCE";"CERRADO"},0),IF(_xlpm.act&lt;_xlpm.ant,"Mejora ↑",IF(_xlpm.act&gt;_xlpm.ant,"Baja ↓","Estable →")))</f>
        <v>Estable →</v>
      </c>
      <c r="Y996" s="5">
        <f>IFERROR(U996-SUMIFS(HIST_SCORE!$D:$D,HIST_SCORE!$B:$B,PARAMS_MODELO!$B$4,HIST_SCORE!$C:$C,$A996),"")</f>
        <v>0</v>
      </c>
      <c r="Z996" s="5" t="str">
        <f t="shared" si="365"/>
        <v>→ Estable</v>
      </c>
      <c r="AA996" s="5">
        <f t="shared" si="366"/>
        <v>1188</v>
      </c>
      <c r="AB996" s="5">
        <f>IFERROR(SUMIFS(HIST_SCORE!$F:$F,HIST_SCORE!$B:$B,PARAMS_MODELO!$B$4,HIST_SCORE!$C:$C,$A996),"")</f>
        <v>1188</v>
      </c>
      <c r="AC996" s="5">
        <f t="shared" si="367"/>
        <v>0</v>
      </c>
      <c r="AD996" t="str">
        <f t="shared" si="369"/>
        <v/>
      </c>
      <c r="AE9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996="CERRADO",1,IF(V996="BRONCE",_xlpm.cPl,IF(V996="PLATA",_xlpm.cO,IF(V996="ORO",_xlpm.cP,IF(V996="PLATINO",_xlpm.cD,999))))))</f>
        <v>24.506573482968111</v>
      </c>
      <c r="AF9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996="CERRADO",0,IF(V996="BRONCE",1,IF(V996="PLATA",_xlpm.cPl,IF(V996="ORO",_xlpm.cO,IF(V996="PLATINO",_xlpm.cP,_xlpm.cD))))))</f>
        <v>1</v>
      </c>
      <c r="AG996">
        <f t="shared" si="370"/>
        <v>23.709390689954443</v>
      </c>
      <c r="AH996" t="str">
        <f t="shared" si="371"/>
        <v>VENTAS</v>
      </c>
      <c r="AI996" t="str">
        <f t="shared" si="368"/>
        <v>🎯 Para subir de categoría, eje VENTAS / CRECIMIENTO PERSONAL (F). Acción: metas semanales + activación comercial + seguimiento del asesor. ΔR aprox: 23,7</v>
      </c>
      <c r="AJ996" s="26">
        <f>_xlfn.LET(_xlpm.piso,AF996,_xlpm.corte,AE996,_xlpm.prog,IF(_xlpm.corte&lt;=_xlpm.piso,0,MAX(0,MIN(1,(U996-_xlpm.piso)/(_xlpm.corte-_xlpm.piso)))),_xlpm.orden,{"DIAMANTE";"PLATINO";"ORO";"PLATA";"BRONCE";"CERRADO"},_xlpm.act,IFERROR(MATCH(V996,_xlpm.orden,0),6),_xlpm.ant,IFERROR(MATCH(W996,_xlpm.orden,0),6),_xlpm.ajmov,IF(_xlpm.act&lt;_xlpm.ant,0.08,IF(_xlpm.act&gt;_xlpm.ant,-0.08,0)),_xlpm.ajcli,IF(T996&lt;0.95,-0.06,0),_xlpm.prob,MAX(0,MIN(1,_xlpm.prog+_xlpm.ajmov+_xlpm.ajcli)),IF(OR(V996="DIAMANTE",V996="CERRADO"),0,ROUND(_xlpm.prob,2)))</f>
        <v>0.23</v>
      </c>
      <c r="AK996" t="str">
        <f t="shared" si="372"/>
        <v>Faltan 23,7 puntos base para subir a la siguiente categoría</v>
      </c>
      <c r="AL996" t="str">
        <f t="shared" si="373"/>
        <v>No aplica</v>
      </c>
      <c r="AM996">
        <f t="shared" si="374"/>
        <v>0.91</v>
      </c>
      <c r="AN996" t="str">
        <f t="shared" si="375"/>
        <v>PRIORIDAD ALTA – requiere intervención inmediata</v>
      </c>
      <c r="AO996">
        <f t="shared" si="376"/>
        <v>45.403798492706905</v>
      </c>
      <c r="AP996">
        <f t="shared" si="377"/>
        <v>10.5</v>
      </c>
      <c r="AQ996">
        <f t="shared" si="378"/>
        <v>0</v>
      </c>
      <c r="AR996">
        <f t="shared" si="379"/>
        <v>6.089999999999999</v>
      </c>
      <c r="AS996">
        <f t="shared" si="380"/>
        <v>3.3900000000000006</v>
      </c>
      <c r="AT996" t="str">
        <f t="shared" si="381"/>
        <v>VENTAS</v>
      </c>
      <c r="AU996">
        <f t="shared" si="382"/>
        <v>45.403798492706905</v>
      </c>
      <c r="AV996" t="str">
        <f t="shared" si="383"/>
        <v>Mayor retorno probable: VENTAS (+45,4 puntos finales potenciales).</v>
      </c>
    </row>
    <row r="997" spans="1:48" x14ac:dyDescent="0.3">
      <c r="A997" s="5">
        <v>51000862</v>
      </c>
      <c r="B997" s="5" t="str">
        <f>IFERROR(VLOOKUP(A997,VENTAS!$A$2:$B$1194,2,0),"")</f>
        <v/>
      </c>
      <c r="C997" s="5">
        <f>IFERROR(INDEX(VENTAS!$C$2:$E$1194,MATCH(A997,VENTAS!$A$2:$A$1194,0),MATCH(PARAMS_MODELO!$B$2,{"Q1","Q2","Q3"},0)),0)</f>
        <v>0</v>
      </c>
      <c r="D997" s="5">
        <f>IFERROR(INDEX(VENTAS!$F$2:$H$1194,MATCH(A997,VENTAS!$A$2:$A$1194,0),MATCH(PARAMS_MODELO!$B$2,{"Q1","Q2","Q3"},0)),0)</f>
        <v>0</v>
      </c>
      <c r="E997" s="8">
        <f t="shared" si="360"/>
        <v>0</v>
      </c>
      <c r="F997" s="12">
        <f>IF(E997&lt;=PARAMS_MODELO!$B$15,0,IF(E997&gt;=PARAMS_MODELO!$B$17,100,100*MIN(1,(E997-PARAMS_MODELO!$B$15)/(PARAMS_MODELO!$B$16-PARAMS_MODELO!$B$15))))*PARAMS_MODELO!$B$7</f>
        <v>0</v>
      </c>
      <c r="G997" s="5">
        <f t="shared" si="361"/>
        <v>0</v>
      </c>
      <c r="H997" s="5">
        <f>(PARAMS_MODELO!$B$20*(MAX(0,MIN(3,E997))/3)+PARAMS_MODELO!$B$21*(IFERROR(LN(1+MAX(0,G997))/LN(1+MAX(0,MAX($G$2:$G$1194))),0)))*100*PARAMS_MODELO!$B$8</f>
        <v>0</v>
      </c>
      <c r="I997" s="8">
        <f>E997-PARAMS_MODELO!$B$5</f>
        <v>-0.17756283537552653</v>
      </c>
      <c r="J997" s="5">
        <f>IF(I997&lt;=PARAMS_MODELO!$B$18,0,IF(I997&gt;=PARAMS_MODELO!$B$19,100,100*(I997-PARAMS_MODELO!$B$18)/(PARAMS_MODELO!$B$19-PARAMS_MODELO!$B$18)))*PARAMS_MODELO!$B$9</f>
        <v>0</v>
      </c>
      <c r="K997" s="5">
        <f>IFERROR(CHOOSE(MATCH(PARAMS_MODELO!$B$2,{"Q1","Q2","Q3"},0),LOTO!$D997,LOTO!$F997,LOTO!$H997),0)</f>
        <v>0</v>
      </c>
      <c r="L997" s="8">
        <f t="shared" si="362"/>
        <v>0</v>
      </c>
      <c r="M997" s="5">
        <f>MIN(100,IF(PARAMS_MODELO!$B$23=0,0,100*L997/PARAMS_MODELO!$B$23))*PARAMS_MODELO!$B$10</f>
        <v>0</v>
      </c>
      <c r="N997" s="5">
        <f>IFERROR(VLOOKUP(A997,COMPLIANCE!$A$2:$F$1996,6,0),100)</f>
        <v>100</v>
      </c>
      <c r="O997" s="5">
        <f>N997*PARAMS_MODELO!$B$11</f>
        <v>10</v>
      </c>
      <c r="P997" s="5">
        <f>IFERROR(VLOOKUP(A997,DIGITAL!$A$2:$J$2000,7,0),100)</f>
        <v>98</v>
      </c>
      <c r="Q997" s="5">
        <f>IFERROR(P997,0)*PARAMS_MODELO!$B$12</f>
        <v>9.8000000000000007</v>
      </c>
      <c r="R997">
        <f t="shared" si="363"/>
        <v>19.8</v>
      </c>
      <c r="S997" s="5" t="str">
        <f>IFERROR(VLOOKUP(A997,CLIENTE!$A$2:$N$2000,13,0),1)</f>
        <v>Regular</v>
      </c>
      <c r="T997" s="5">
        <f>IFERROR(VLOOKUP(A997,CLIENTE!$A$2:$N$2000,14,0),1)</f>
        <v>1</v>
      </c>
      <c r="U997" s="5">
        <f t="shared" si="364"/>
        <v>19.8</v>
      </c>
      <c r="V997" s="5" t="str">
        <f>IF(U997&gt;=MAX(_xlfn.PERCENTILE.INC($U$2:$U$1194,PARAMS_MODELO!$B$50),PARAMS_MODELO!$B$45),"DIAMANTE",IF(U997&gt;=MAX(_xlfn.PERCENTILE.INC($U$2:$U$1194,PARAMS_MODELO!$B$51),PARAMS_MODELO!$B$46),"PLATINO",IF(U997&gt;=MAX(_xlfn.PERCENTILE.INC($U$2:$U$1194,PARAMS_MODELO!$B$52),PARAMS_MODELO!$B$47),"ORO",IF(U997&gt;=MAX(_xlfn.PERCENTILE.INC($U$2:$U$1194,PARAMS_MODELO!$B$53),PARAMS_MODELO!$B$48),"PLATA",IF(U997&gt;=1,"BRONCE","CERRADO")))))</f>
        <v>BRONCE</v>
      </c>
      <c r="W997" s="5" t="str" cm="1">
        <f t="array" ref="W997">_xlfn.XLOOKUP(1, (HIST_SCORE!$B:$B=PARAMS_MODELO!$B$4) * (HIST_SCORE!$C:$C=A997), HIST_SCORE!$E:$E, "No encontrado")</f>
        <v>BRONCE</v>
      </c>
      <c r="X997" s="5" t="str">
        <f>_xlfn.LET(_xlpm.act,MATCH(V997,{"DIAMANTE";"PLATINO";"ORO";"PLATA";"BRONCE";"CERRADO"},0),_xlpm.ant,MATCH(W997,{"DIAMANTE";"PLATINO";"ORO";"PLATA";"BRONCE";"CERRADO"},0),IF(_xlpm.act&lt;_xlpm.ant,"Mejora ↑",IF(_xlpm.act&gt;_xlpm.ant,"Baja ↓","Estable →")))</f>
        <v>Estable →</v>
      </c>
      <c r="Y997" s="5">
        <f>IFERROR(U997-SUMIFS(HIST_SCORE!$D:$D,HIST_SCORE!$B:$B,PARAMS_MODELO!$B$4,HIST_SCORE!$C:$C,$A997),"")</f>
        <v>0</v>
      </c>
      <c r="Z997" s="5" t="str">
        <f t="shared" si="365"/>
        <v>→ Estable</v>
      </c>
      <c r="AA997" s="5">
        <f t="shared" si="366"/>
        <v>980</v>
      </c>
      <c r="AB997" s="5">
        <f>IFERROR(SUMIFS(HIST_SCORE!$F:$F,HIST_SCORE!$B:$B,PARAMS_MODELO!$B$4,HIST_SCORE!$C:$C,$A997),"")</f>
        <v>989</v>
      </c>
      <c r="AC997" s="5">
        <f t="shared" si="367"/>
        <v>9</v>
      </c>
      <c r="AD997" t="str">
        <f t="shared" si="369"/>
        <v/>
      </c>
      <c r="AE9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997="CERRADO",1,IF(V997="BRONCE",_xlpm.cPl,IF(V997="PLATA",_xlpm.cO,IF(V997="ORO",_xlpm.cP,IF(V997="PLATINO",_xlpm.cD,999))))))</f>
        <v>24.506573482968111</v>
      </c>
      <c r="AF9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997="CERRADO",0,IF(V997="BRONCE",1,IF(V997="PLATA",_xlpm.cPl,IF(V997="ORO",_xlpm.cO,IF(V997="PLATINO",_xlpm.cP,_xlpm.cD))))))</f>
        <v>1</v>
      </c>
      <c r="AG997">
        <f t="shared" si="370"/>
        <v>4.7065734829681105</v>
      </c>
      <c r="AH997" t="str">
        <f t="shared" si="371"/>
        <v>VENTAS</v>
      </c>
      <c r="AI997" t="str">
        <f t="shared" si="368"/>
        <v>🎯 Para subir de categoría, eje VENTAS / CRECIMIENTO PERSONAL (F). Acción: metas semanales + activación comercial + seguimiento del asesor. ΔR aprox: 4,7</v>
      </c>
      <c r="AJ997" s="26">
        <f>_xlfn.LET(_xlpm.piso,AF997,_xlpm.corte,AE997,_xlpm.prog,IF(_xlpm.corte&lt;=_xlpm.piso,0,MAX(0,MIN(1,(U997-_xlpm.piso)/(_xlpm.corte-_xlpm.piso)))),_xlpm.orden,{"DIAMANTE";"PLATINO";"ORO";"PLATA";"BRONCE";"CERRADO"},_xlpm.act,IFERROR(MATCH(V997,_xlpm.orden,0),6),_xlpm.ant,IFERROR(MATCH(W997,_xlpm.orden,0),6),_xlpm.ajmov,IF(_xlpm.act&lt;_xlpm.ant,0.08,IF(_xlpm.act&gt;_xlpm.ant,-0.08,0)),_xlpm.ajcli,IF(T997&lt;0.95,-0.06,0),_xlpm.prob,MAX(0,MIN(1,_xlpm.prog+_xlpm.ajmov+_xlpm.ajcli)),IF(OR(V997="DIAMANTE",V997="CERRADO"),0,ROUND(_xlpm.prob,2)))</f>
        <v>0.8</v>
      </c>
      <c r="AK997" t="str">
        <f t="shared" si="372"/>
        <v>Faltan 4,7 puntos base para subir a la siguiente categoría</v>
      </c>
      <c r="AL997" t="str">
        <f t="shared" si="373"/>
        <v>No aplica</v>
      </c>
      <c r="AM997">
        <f t="shared" si="374"/>
        <v>0.27</v>
      </c>
      <c r="AN997" t="str">
        <f t="shared" si="375"/>
        <v>PRIORIDAD BAJA – control normal</v>
      </c>
      <c r="AO997">
        <f t="shared" si="376"/>
        <v>64.862569275295584</v>
      </c>
      <c r="AP997">
        <f t="shared" si="377"/>
        <v>15</v>
      </c>
      <c r="AQ997">
        <f t="shared" si="378"/>
        <v>0</v>
      </c>
      <c r="AR997">
        <f t="shared" si="379"/>
        <v>0.19999999999999929</v>
      </c>
      <c r="AS997">
        <f t="shared" si="380"/>
        <v>0</v>
      </c>
      <c r="AT997" t="str">
        <f t="shared" si="381"/>
        <v>VENTAS</v>
      </c>
      <c r="AU997">
        <f t="shared" si="382"/>
        <v>64.862569275295584</v>
      </c>
      <c r="AV997" t="str">
        <f t="shared" si="383"/>
        <v>Mayor retorno probable: VENTAS (+64,9 puntos finales potenciales).</v>
      </c>
    </row>
    <row r="998" spans="1:48" x14ac:dyDescent="0.3">
      <c r="A998" s="5">
        <v>51001494</v>
      </c>
      <c r="B998" s="5" t="str">
        <f>IFERROR(VLOOKUP(A998,VENTAS!$A$2:$B$1194,2,0),"")</f>
        <v/>
      </c>
      <c r="C998" s="5">
        <f>IFERROR(INDEX(VENTAS!$C$2:$E$1194,MATCH(A998,VENTAS!$A$2:$A$1194,0),MATCH(PARAMS_MODELO!$B$2,{"Q1","Q2","Q3"},0)),0)</f>
        <v>0</v>
      </c>
      <c r="D998" s="5">
        <f>IFERROR(INDEX(VENTAS!$F$2:$H$1194,MATCH(A998,VENTAS!$A$2:$A$1194,0),MATCH(PARAMS_MODELO!$B$2,{"Q1","Q2","Q3"},0)),0)</f>
        <v>0</v>
      </c>
      <c r="E998" s="8">
        <f t="shared" si="360"/>
        <v>0</v>
      </c>
      <c r="F998" s="12">
        <f>IF(E998&lt;=PARAMS_MODELO!$B$15,0,IF(E998&gt;=PARAMS_MODELO!$B$17,100,100*MIN(1,(E998-PARAMS_MODELO!$B$15)/(PARAMS_MODELO!$B$16-PARAMS_MODELO!$B$15))))*PARAMS_MODELO!$B$7</f>
        <v>0</v>
      </c>
      <c r="G998" s="5">
        <f t="shared" si="361"/>
        <v>0</v>
      </c>
      <c r="H998" s="5">
        <f>(PARAMS_MODELO!$B$20*(MAX(0,MIN(3,E998))/3)+PARAMS_MODELO!$B$21*(IFERROR(LN(1+MAX(0,G998))/LN(1+MAX(0,MAX($G$2:$G$1194))),0)))*100*PARAMS_MODELO!$B$8</f>
        <v>0</v>
      </c>
      <c r="I998" s="8">
        <f>E998-PARAMS_MODELO!$B$5</f>
        <v>-0.17756283537552653</v>
      </c>
      <c r="J998" s="5">
        <f>IF(I998&lt;=PARAMS_MODELO!$B$18,0,IF(I998&gt;=PARAMS_MODELO!$B$19,100,100*(I998-PARAMS_MODELO!$B$18)/(PARAMS_MODELO!$B$19-PARAMS_MODELO!$B$18)))*PARAMS_MODELO!$B$9</f>
        <v>0</v>
      </c>
      <c r="K998" s="5">
        <f>IFERROR(CHOOSE(MATCH(PARAMS_MODELO!$B$2,{"Q1","Q2","Q3"},0),LOTO!$D998,LOTO!$F998,LOTO!$H998),0)</f>
        <v>0</v>
      </c>
      <c r="L998" s="8">
        <f t="shared" si="362"/>
        <v>0</v>
      </c>
      <c r="M998" s="5">
        <f>MIN(100,IF(PARAMS_MODELO!$B$23=0,0,100*L998/PARAMS_MODELO!$B$23))*PARAMS_MODELO!$B$10</f>
        <v>0</v>
      </c>
      <c r="N998" s="5">
        <f>IFERROR(VLOOKUP(A998,COMPLIANCE!$A$2:$F$1996,6,0),100)</f>
        <v>100</v>
      </c>
      <c r="O998" s="5">
        <f>N998*PARAMS_MODELO!$B$11</f>
        <v>10</v>
      </c>
      <c r="P998" s="5">
        <f>IFERROR(VLOOKUP(A998,DIGITAL!$A$2:$J$2000,7,0),100)</f>
        <v>53</v>
      </c>
      <c r="Q998" s="5">
        <f>IFERROR(P998,0)*PARAMS_MODELO!$B$12</f>
        <v>5.3000000000000007</v>
      </c>
      <c r="R998">
        <f t="shared" si="363"/>
        <v>15.3</v>
      </c>
      <c r="S998" s="5" t="str">
        <f>IFERROR(VLOOKUP(A998,CLIENTE!$A$2:$N$2000,13,0),1)</f>
        <v>Malo</v>
      </c>
      <c r="T998" s="5">
        <f>IFERROR(VLOOKUP(A998,CLIENTE!$A$2:$N$2000,14,0),1)</f>
        <v>0.7</v>
      </c>
      <c r="U998" s="5">
        <f t="shared" si="364"/>
        <v>10.709999999999999</v>
      </c>
      <c r="V998" s="5" t="str">
        <f>IF(U998&gt;=MAX(_xlfn.PERCENTILE.INC($U$2:$U$1194,PARAMS_MODELO!$B$50),PARAMS_MODELO!$B$45),"DIAMANTE",IF(U998&gt;=MAX(_xlfn.PERCENTILE.INC($U$2:$U$1194,PARAMS_MODELO!$B$51),PARAMS_MODELO!$B$46),"PLATINO",IF(U998&gt;=MAX(_xlfn.PERCENTILE.INC($U$2:$U$1194,PARAMS_MODELO!$B$52),PARAMS_MODELO!$B$47),"ORO",IF(U998&gt;=MAX(_xlfn.PERCENTILE.INC($U$2:$U$1194,PARAMS_MODELO!$B$53),PARAMS_MODELO!$B$48),"PLATA",IF(U998&gt;=1,"BRONCE","CERRADO")))))</f>
        <v>BRONCE</v>
      </c>
      <c r="W998" s="5" t="str" cm="1">
        <f t="array" ref="W998">_xlfn.XLOOKUP(1, (HIST_SCORE!$B:$B=PARAMS_MODELO!$B$4) * (HIST_SCORE!$C:$C=A998), HIST_SCORE!$E:$E, "No encontrado")</f>
        <v>BRONCE</v>
      </c>
      <c r="X998" s="5" t="str">
        <f>_xlfn.LET(_xlpm.act,MATCH(V998,{"DIAMANTE";"PLATINO";"ORO";"PLATA";"BRONCE";"CERRADO"},0),_xlpm.ant,MATCH(W998,{"DIAMANTE";"PLATINO";"ORO";"PLATA";"BRONCE";"CERRADO"},0),IF(_xlpm.act&lt;_xlpm.ant,"Mejora ↑",IF(_xlpm.act&gt;_xlpm.ant,"Baja ↓","Estable →")))</f>
        <v>Estable →</v>
      </c>
      <c r="Y998" s="5">
        <f>IFERROR(U998-SUMIFS(HIST_SCORE!$D:$D,HIST_SCORE!$B:$B,PARAMS_MODELO!$B$4,HIST_SCORE!$C:$C,$A998),"")</f>
        <v>0</v>
      </c>
      <c r="Z998" s="5" t="str">
        <f t="shared" si="365"/>
        <v>→ Estable</v>
      </c>
      <c r="AA998" s="5">
        <f t="shared" si="366"/>
        <v>1152</v>
      </c>
      <c r="AB998" s="5">
        <f>IFERROR(SUMIFS(HIST_SCORE!$F:$F,HIST_SCORE!$B:$B,PARAMS_MODELO!$B$4,HIST_SCORE!$C:$C,$A998),"")</f>
        <v>1150</v>
      </c>
      <c r="AC998" s="5">
        <f t="shared" si="367"/>
        <v>-2</v>
      </c>
      <c r="AD998" t="str">
        <f t="shared" si="369"/>
        <v/>
      </c>
      <c r="AE9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998="CERRADO",1,IF(V998="BRONCE",_xlpm.cPl,IF(V998="PLATA",_xlpm.cO,IF(V998="ORO",_xlpm.cP,IF(V998="PLATINO",_xlpm.cD,999))))))</f>
        <v>24.506573482968111</v>
      </c>
      <c r="AF9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998="CERRADO",0,IF(V998="BRONCE",1,IF(V998="PLATA",_xlpm.cPl,IF(V998="ORO",_xlpm.cO,IF(V998="PLATINO",_xlpm.cP,_xlpm.cD))))))</f>
        <v>1</v>
      </c>
      <c r="AG998">
        <f t="shared" si="370"/>
        <v>19.709390689954443</v>
      </c>
      <c r="AH998" t="str">
        <f t="shared" si="371"/>
        <v>VENTAS</v>
      </c>
      <c r="AI998" t="str">
        <f t="shared" si="368"/>
        <v>🎯 Para subir de categoría, eje VENTAS / CRECIMIENTO PERSONAL (F). Acción: metas semanales + activación comercial + seguimiento del asesor. ΔR aprox: 19,7</v>
      </c>
      <c r="AJ998" s="26">
        <f>_xlfn.LET(_xlpm.piso,AF998,_xlpm.corte,AE998,_xlpm.prog,IF(_xlpm.corte&lt;=_xlpm.piso,0,MAX(0,MIN(1,(U998-_xlpm.piso)/(_xlpm.corte-_xlpm.piso)))),_xlpm.orden,{"DIAMANTE";"PLATINO";"ORO";"PLATA";"BRONCE";"CERRADO"},_xlpm.act,IFERROR(MATCH(V998,_xlpm.orden,0),6),_xlpm.ant,IFERROR(MATCH(W998,_xlpm.orden,0),6),_xlpm.ajmov,IF(_xlpm.act&lt;_xlpm.ant,0.08,IF(_xlpm.act&gt;_xlpm.ant,-0.08,0)),_xlpm.ajcli,IF(T998&lt;0.95,-0.06,0),_xlpm.prob,MAX(0,MIN(1,_xlpm.prog+_xlpm.ajmov+_xlpm.ajcli)),IF(OR(V998="DIAMANTE",V998="CERRADO"),0,ROUND(_xlpm.prob,2)))</f>
        <v>0.35</v>
      </c>
      <c r="AK998" t="str">
        <f t="shared" si="372"/>
        <v>Faltan 19,7 puntos base para subir a la siguiente categoría</v>
      </c>
      <c r="AL998" t="str">
        <f t="shared" si="373"/>
        <v>No aplica</v>
      </c>
      <c r="AM998">
        <f t="shared" si="374"/>
        <v>0.86</v>
      </c>
      <c r="AN998" t="str">
        <f t="shared" si="375"/>
        <v>PRIORIDAD ALTA – requiere intervención inmediata</v>
      </c>
      <c r="AO998">
        <f t="shared" si="376"/>
        <v>45.403798492706905</v>
      </c>
      <c r="AP998">
        <f t="shared" si="377"/>
        <v>10.5</v>
      </c>
      <c r="AQ998">
        <f t="shared" si="378"/>
        <v>0</v>
      </c>
      <c r="AR998">
        <f t="shared" si="379"/>
        <v>3.2899999999999991</v>
      </c>
      <c r="AS998">
        <f t="shared" si="380"/>
        <v>4.5900000000000007</v>
      </c>
      <c r="AT998" t="str">
        <f t="shared" si="381"/>
        <v>VENTAS</v>
      </c>
      <c r="AU998">
        <f t="shared" si="382"/>
        <v>45.403798492706905</v>
      </c>
      <c r="AV998" t="str">
        <f t="shared" si="383"/>
        <v>Mayor retorno probable: VENTAS (+45,4 puntos finales potenciales).</v>
      </c>
    </row>
    <row r="999" spans="1:48" x14ac:dyDescent="0.3">
      <c r="A999" s="5">
        <v>51001745</v>
      </c>
      <c r="B999" s="5" t="str">
        <f>IFERROR(VLOOKUP(A999,VENTAS!$A$2:$B$1194,2,0),"")</f>
        <v/>
      </c>
      <c r="C999" s="5">
        <f>IFERROR(INDEX(VENTAS!$C$2:$E$1194,MATCH(A999,VENTAS!$A$2:$A$1194,0),MATCH(PARAMS_MODELO!$B$2,{"Q1","Q2","Q3"},0)),0)</f>
        <v>0</v>
      </c>
      <c r="D999" s="5">
        <f>IFERROR(INDEX(VENTAS!$F$2:$H$1194,MATCH(A999,VENTAS!$A$2:$A$1194,0),MATCH(PARAMS_MODELO!$B$2,{"Q1","Q2","Q3"},0)),0)</f>
        <v>0</v>
      </c>
      <c r="E999" s="8">
        <f t="shared" si="360"/>
        <v>0</v>
      </c>
      <c r="F999" s="12">
        <f>IF(E999&lt;=PARAMS_MODELO!$B$15,0,IF(E999&gt;=PARAMS_MODELO!$B$17,100,100*MIN(1,(E999-PARAMS_MODELO!$B$15)/(PARAMS_MODELO!$B$16-PARAMS_MODELO!$B$15))))*PARAMS_MODELO!$B$7</f>
        <v>0</v>
      </c>
      <c r="G999" s="5">
        <f t="shared" si="361"/>
        <v>0</v>
      </c>
      <c r="H999" s="5">
        <f>(PARAMS_MODELO!$B$20*(MAX(0,MIN(3,E999))/3)+PARAMS_MODELO!$B$21*(IFERROR(LN(1+MAX(0,G999))/LN(1+MAX(0,MAX($G$2:$G$1194))),0)))*100*PARAMS_MODELO!$B$8</f>
        <v>0</v>
      </c>
      <c r="I999" s="8">
        <f>E999-PARAMS_MODELO!$B$5</f>
        <v>-0.17756283537552653</v>
      </c>
      <c r="J999" s="5">
        <f>IF(I999&lt;=PARAMS_MODELO!$B$18,0,IF(I999&gt;=PARAMS_MODELO!$B$19,100,100*(I999-PARAMS_MODELO!$B$18)/(PARAMS_MODELO!$B$19-PARAMS_MODELO!$B$18)))*PARAMS_MODELO!$B$9</f>
        <v>0</v>
      </c>
      <c r="K999" s="5">
        <f>IFERROR(CHOOSE(MATCH(PARAMS_MODELO!$B$2,{"Q1","Q2","Q3"},0),LOTO!$D999,LOTO!$F999,LOTO!$H999),0)</f>
        <v>0</v>
      </c>
      <c r="L999" s="8">
        <f t="shared" si="362"/>
        <v>0</v>
      </c>
      <c r="M999" s="5">
        <f>MIN(100,IF(PARAMS_MODELO!$B$23=0,0,100*L999/PARAMS_MODELO!$B$23))*PARAMS_MODELO!$B$10</f>
        <v>0</v>
      </c>
      <c r="N999" s="5">
        <f>IFERROR(VLOOKUP(A999,COMPLIANCE!$A$2:$F$1996,6,0),100)</f>
        <v>100</v>
      </c>
      <c r="O999" s="5">
        <f>N999*PARAMS_MODELO!$B$11</f>
        <v>10</v>
      </c>
      <c r="P999" s="5">
        <f>IFERROR(VLOOKUP(A999,DIGITAL!$A$2:$J$2000,7,0),100)</f>
        <v>91</v>
      </c>
      <c r="Q999" s="5">
        <f>IFERROR(P999,0)*PARAMS_MODELO!$B$12</f>
        <v>9.1</v>
      </c>
      <c r="R999">
        <f t="shared" si="363"/>
        <v>19.100000000000001</v>
      </c>
      <c r="S999" s="5" t="str">
        <f>IFERROR(VLOOKUP(A999,CLIENTE!$A$2:$N$2000,13,0),1)</f>
        <v>Bueno</v>
      </c>
      <c r="T999" s="5">
        <f>IFERROR(VLOOKUP(A999,CLIENTE!$A$2:$N$2000,14,0),1)</f>
        <v>1.1000000000000001</v>
      </c>
      <c r="U999" s="5">
        <f t="shared" si="364"/>
        <v>21.01</v>
      </c>
      <c r="V999" s="5" t="str">
        <f>IF(U999&gt;=MAX(_xlfn.PERCENTILE.INC($U$2:$U$1194,PARAMS_MODELO!$B$50),PARAMS_MODELO!$B$45),"DIAMANTE",IF(U999&gt;=MAX(_xlfn.PERCENTILE.INC($U$2:$U$1194,PARAMS_MODELO!$B$51),PARAMS_MODELO!$B$46),"PLATINO",IF(U999&gt;=MAX(_xlfn.PERCENTILE.INC($U$2:$U$1194,PARAMS_MODELO!$B$52),PARAMS_MODELO!$B$47),"ORO",IF(U999&gt;=MAX(_xlfn.PERCENTILE.INC($U$2:$U$1194,PARAMS_MODELO!$B$53),PARAMS_MODELO!$B$48),"PLATA",IF(U999&gt;=1,"BRONCE","CERRADO")))))</f>
        <v>BRONCE</v>
      </c>
      <c r="W999" s="5" t="str" cm="1">
        <f t="array" ref="W999">_xlfn.XLOOKUP(1, (HIST_SCORE!$B:$B=PARAMS_MODELO!$B$4) * (HIST_SCORE!$C:$C=A999), HIST_SCORE!$E:$E, "No encontrado")</f>
        <v>BRONCE</v>
      </c>
      <c r="X999" s="5" t="str">
        <f>_xlfn.LET(_xlpm.act,MATCH(V999,{"DIAMANTE";"PLATINO";"ORO";"PLATA";"BRONCE";"CERRADO"},0),_xlpm.ant,MATCH(W999,{"DIAMANTE";"PLATINO";"ORO";"PLATA";"BRONCE";"CERRADO"},0),IF(_xlpm.act&lt;_xlpm.ant,"Mejora ↑",IF(_xlpm.act&gt;_xlpm.ant,"Baja ↓","Estable →")))</f>
        <v>Estable →</v>
      </c>
      <c r="Y999" s="5">
        <f>IFERROR(U999-SUMIFS(HIST_SCORE!$D:$D,HIST_SCORE!$B:$B,PARAMS_MODELO!$B$4,HIST_SCORE!$C:$C,$A999),"")</f>
        <v>0</v>
      </c>
      <c r="Z999" s="5" t="str">
        <f t="shared" si="365"/>
        <v>→ Estable</v>
      </c>
      <c r="AA999" s="5">
        <f t="shared" si="366"/>
        <v>961</v>
      </c>
      <c r="AB999" s="5">
        <f>IFERROR(SUMIFS(HIST_SCORE!$F:$F,HIST_SCORE!$B:$B,PARAMS_MODELO!$B$4,HIST_SCORE!$C:$C,$A999),"")</f>
        <v>976</v>
      </c>
      <c r="AC999" s="5">
        <f t="shared" si="367"/>
        <v>15</v>
      </c>
      <c r="AD999" t="str">
        <f t="shared" si="369"/>
        <v/>
      </c>
      <c r="AE9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999="CERRADO",1,IF(V999="BRONCE",_xlpm.cPl,IF(V999="PLATA",_xlpm.cO,IF(V999="ORO",_xlpm.cP,IF(V999="PLATINO",_xlpm.cD,999))))))</f>
        <v>24.506573482968111</v>
      </c>
      <c r="AF9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999="CERRADO",0,IF(V999="BRONCE",1,IF(V999="PLATA",_xlpm.cPl,IF(V999="ORO",_xlpm.cO,IF(V999="PLATINO",_xlpm.cP,_xlpm.cD))))))</f>
        <v>1</v>
      </c>
      <c r="AG999">
        <f t="shared" si="370"/>
        <v>3.1787031663346426</v>
      </c>
      <c r="AH999" t="str">
        <f t="shared" si="371"/>
        <v>VENTAS</v>
      </c>
      <c r="AI999" t="str">
        <f t="shared" si="368"/>
        <v>🎯 Para subir de categoría, eje VENTAS / CRECIMIENTO PERSONAL (F). Acción: metas semanales + activación comercial + seguimiento del asesor. ΔR aprox: 3,2</v>
      </c>
      <c r="AJ999" s="26">
        <f>_xlfn.LET(_xlpm.piso,AF999,_xlpm.corte,AE999,_xlpm.prog,IF(_xlpm.corte&lt;=_xlpm.piso,0,MAX(0,MIN(1,(U999-_xlpm.piso)/(_xlpm.corte-_xlpm.piso)))),_xlpm.orden,{"DIAMANTE";"PLATINO";"ORO";"PLATA";"BRONCE";"CERRADO"},_xlpm.act,IFERROR(MATCH(V999,_xlpm.orden,0),6),_xlpm.ant,IFERROR(MATCH(W999,_xlpm.orden,0),6),_xlpm.ajmov,IF(_xlpm.act&lt;_xlpm.ant,0.08,IF(_xlpm.act&gt;_xlpm.ant,-0.08,0)),_xlpm.ajcli,IF(T999&lt;0.95,-0.06,0),_xlpm.prob,MAX(0,MIN(1,_xlpm.prog+_xlpm.ajmov+_xlpm.ajcli)),IF(OR(V999="DIAMANTE",V999="CERRADO"),0,ROUND(_xlpm.prob,2)))</f>
        <v>0.85</v>
      </c>
      <c r="AK999" t="str">
        <f t="shared" si="372"/>
        <v>Faltan 3,2 puntos base para subir a la siguiente categoría</v>
      </c>
      <c r="AL999" t="str">
        <f t="shared" si="373"/>
        <v>No aplica</v>
      </c>
      <c r="AM999">
        <f t="shared" si="374"/>
        <v>0.19</v>
      </c>
      <c r="AN999" t="str">
        <f t="shared" si="375"/>
        <v>PRIORIDAD BAJA – control normal</v>
      </c>
      <c r="AO999">
        <f t="shared" si="376"/>
        <v>71.348826202825151</v>
      </c>
      <c r="AP999">
        <f t="shared" si="377"/>
        <v>16.5</v>
      </c>
      <c r="AQ999">
        <f t="shared" si="378"/>
        <v>0</v>
      </c>
      <c r="AR999">
        <f t="shared" si="379"/>
        <v>0.99000000000000044</v>
      </c>
      <c r="AS999">
        <f t="shared" si="380"/>
        <v>0</v>
      </c>
      <c r="AT999" t="str">
        <f t="shared" si="381"/>
        <v>VENTAS</v>
      </c>
      <c r="AU999">
        <f t="shared" si="382"/>
        <v>71.348826202825151</v>
      </c>
      <c r="AV999" t="str">
        <f t="shared" si="383"/>
        <v>Mayor retorno probable: VENTAS (+71,3 puntos finales potenciales).</v>
      </c>
    </row>
    <row r="1000" spans="1:48" x14ac:dyDescent="0.3">
      <c r="A1000" s="5">
        <v>51001923</v>
      </c>
      <c r="B1000" s="5" t="str">
        <f>IFERROR(VLOOKUP(A1000,VENTAS!$A$2:$B$1194,2,0),"")</f>
        <v/>
      </c>
      <c r="C1000" s="5">
        <f>IFERROR(INDEX(VENTAS!$C$2:$E$1194,MATCH(A1000,VENTAS!$A$2:$A$1194,0),MATCH(PARAMS_MODELO!$B$2,{"Q1","Q2","Q3"},0)),0)</f>
        <v>36661636.650000013</v>
      </c>
      <c r="D1000" s="5">
        <f>IFERROR(INDEX(VENTAS!$F$2:$H$1194,MATCH(A1000,VENTAS!$A$2:$A$1194,0),MATCH(PARAMS_MODELO!$B$2,{"Q1","Q2","Q3"},0)),0)</f>
        <v>0</v>
      </c>
      <c r="E1000" s="8">
        <f t="shared" si="360"/>
        <v>-1</v>
      </c>
      <c r="F1000" s="12">
        <f>IF(E1000&lt;=PARAMS_MODELO!$B$15,0,IF(E1000&gt;=PARAMS_MODELO!$B$17,100,100*MIN(1,(E1000-PARAMS_MODELO!$B$15)/(PARAMS_MODELO!$B$16-PARAMS_MODELO!$B$15))))*PARAMS_MODELO!$B$7</f>
        <v>0</v>
      </c>
      <c r="G1000" s="5">
        <f t="shared" si="361"/>
        <v>0</v>
      </c>
      <c r="H1000" s="5">
        <f>(PARAMS_MODELO!$B$20*(MAX(0,MIN(3,E1000))/3)+PARAMS_MODELO!$B$21*(IFERROR(LN(1+MAX(0,G1000))/LN(1+MAX(0,MAX($G$2:$G$1194))),0)))*100*PARAMS_MODELO!$B$8</f>
        <v>0</v>
      </c>
      <c r="I1000" s="8">
        <f>E1000-PARAMS_MODELO!$B$5</f>
        <v>-1.1775628353755265</v>
      </c>
      <c r="J1000" s="5">
        <f>IF(I1000&lt;=PARAMS_MODELO!$B$18,0,IF(I1000&gt;=PARAMS_MODELO!$B$19,100,100*(I1000-PARAMS_MODELO!$B$18)/(PARAMS_MODELO!$B$19-PARAMS_MODELO!$B$18)))*PARAMS_MODELO!$B$9</f>
        <v>0</v>
      </c>
      <c r="K1000" s="5">
        <f>IFERROR(CHOOSE(MATCH(PARAMS_MODELO!$B$2,{"Q1","Q2","Q3"},0),LOTO!$D1000,LOTO!$F1000,LOTO!$H1000),0)</f>
        <v>0</v>
      </c>
      <c r="L1000" s="8">
        <f t="shared" si="362"/>
        <v>0</v>
      </c>
      <c r="M1000" s="5">
        <f>MIN(100,IF(PARAMS_MODELO!$B$23=0,0,100*L1000/PARAMS_MODELO!$B$23))*PARAMS_MODELO!$B$10</f>
        <v>0</v>
      </c>
      <c r="N1000" s="5">
        <f>IFERROR(VLOOKUP(A1000,COMPLIANCE!$A$2:$F$1996,6,0),100)</f>
        <v>100</v>
      </c>
      <c r="O1000" s="5">
        <f>N1000*PARAMS_MODELO!$B$11</f>
        <v>10</v>
      </c>
      <c r="P1000" s="5">
        <f>IFERROR(VLOOKUP(A1000,DIGITAL!$A$2:$J$2000,7,0),100)</f>
        <v>44</v>
      </c>
      <c r="Q1000" s="5">
        <f>IFERROR(P1000,0)*PARAMS_MODELO!$B$12</f>
        <v>4.4000000000000004</v>
      </c>
      <c r="R1000">
        <f t="shared" si="363"/>
        <v>14.4</v>
      </c>
      <c r="S1000" s="5" t="str">
        <f>IFERROR(VLOOKUP(A1000,CLIENTE!$A$2:$N$2000,13,0),1)</f>
        <v>Bueno</v>
      </c>
      <c r="T1000" s="5">
        <f>IFERROR(VLOOKUP(A1000,CLIENTE!$A$2:$N$2000,14,0),1)</f>
        <v>1.1000000000000001</v>
      </c>
      <c r="U1000" s="5">
        <f t="shared" si="364"/>
        <v>15.840000000000002</v>
      </c>
      <c r="V1000" s="5" t="str">
        <f>IF(U1000&gt;=MAX(_xlfn.PERCENTILE.INC($U$2:$U$1194,PARAMS_MODELO!$B$50),PARAMS_MODELO!$B$45),"DIAMANTE",IF(U1000&gt;=MAX(_xlfn.PERCENTILE.INC($U$2:$U$1194,PARAMS_MODELO!$B$51),PARAMS_MODELO!$B$46),"PLATINO",IF(U1000&gt;=MAX(_xlfn.PERCENTILE.INC($U$2:$U$1194,PARAMS_MODELO!$B$52),PARAMS_MODELO!$B$47),"ORO",IF(U1000&gt;=MAX(_xlfn.PERCENTILE.INC($U$2:$U$1194,PARAMS_MODELO!$B$53),PARAMS_MODELO!$B$48),"PLATA",IF(U1000&gt;=1,"BRONCE","CERRADO")))))</f>
        <v>BRONCE</v>
      </c>
      <c r="W1000" s="5" t="str" cm="1">
        <f t="array" ref="W1000">_xlfn.XLOOKUP(1, (HIST_SCORE!$B:$B=PARAMS_MODELO!$B$4) * (HIST_SCORE!$C:$C=A1000), HIST_SCORE!$E:$E, "No encontrado")</f>
        <v>BRONCE</v>
      </c>
      <c r="X1000" s="5" t="str">
        <f>_xlfn.LET(_xlpm.act,MATCH(V1000,{"DIAMANTE";"PLATINO";"ORO";"PLATA";"BRONCE";"CERRADO"},0),_xlpm.ant,MATCH(W1000,{"DIAMANTE";"PLATINO";"ORO";"PLATA";"BRONCE";"CERRADO"},0),IF(_xlpm.act&lt;_xlpm.ant,"Mejora ↑",IF(_xlpm.act&gt;_xlpm.ant,"Baja ↓","Estable →")))</f>
        <v>Estable →</v>
      </c>
      <c r="Y1000" s="5">
        <f>IFERROR(U1000-SUMIFS(HIST_SCORE!$D:$D,HIST_SCORE!$B:$B,PARAMS_MODELO!$B$4,HIST_SCORE!$C:$C,$A1000),"")</f>
        <v>0</v>
      </c>
      <c r="Z1000" s="5" t="str">
        <f t="shared" si="365"/>
        <v>→ Estable</v>
      </c>
      <c r="AA1000" s="5">
        <f t="shared" si="366"/>
        <v>1069</v>
      </c>
      <c r="AB1000" s="5">
        <f>IFERROR(SUMIFS(HIST_SCORE!$F:$F,HIST_SCORE!$B:$B,PARAMS_MODELO!$B$4,HIST_SCORE!$C:$C,$A1000),"")</f>
        <v>1066</v>
      </c>
      <c r="AC1000" s="5">
        <f t="shared" si="367"/>
        <v>-3</v>
      </c>
      <c r="AD1000" t="str">
        <f t="shared" si="369"/>
        <v/>
      </c>
      <c r="AE10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1000="CERRADO",1,IF(V1000="BRONCE",_xlpm.cPl,IF(V1000="PLATA",_xlpm.cO,IF(V1000="ORO",_xlpm.cP,IF(V1000="PLATINO",_xlpm.cD,999))))))</f>
        <v>24.506573482968111</v>
      </c>
      <c r="AF10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1000="CERRADO",0,IF(V1000="BRONCE",1,IF(V1000="PLATA",_xlpm.cPl,IF(V1000="ORO",_xlpm.cO,IF(V1000="PLATINO",_xlpm.cP,_xlpm.cD))))))</f>
        <v>1</v>
      </c>
      <c r="AG1000">
        <f t="shared" si="370"/>
        <v>7.8787031663346436</v>
      </c>
      <c r="AH1000" t="str">
        <f t="shared" si="371"/>
        <v>VENTAS</v>
      </c>
      <c r="AI1000" t="str">
        <f t="shared" si="368"/>
        <v>🎯 Para subir de categoría, eje VENTAS / CRECIMIENTO PERSONAL (F). Acción: metas semanales + activación comercial + seguimiento del asesor. ΔR aprox: 7,9</v>
      </c>
      <c r="AJ1000" s="26">
        <f>_xlfn.LET(_xlpm.piso,AF1000,_xlpm.corte,AE1000,_xlpm.prog,IF(_xlpm.corte&lt;=_xlpm.piso,0,MAX(0,MIN(1,(U1000-_xlpm.piso)/(_xlpm.corte-_xlpm.piso)))),_xlpm.orden,{"DIAMANTE";"PLATINO";"ORO";"PLATA";"BRONCE";"CERRADO"},_xlpm.act,IFERROR(MATCH(V1000,_xlpm.orden,0),6),_xlpm.ant,IFERROR(MATCH(W1000,_xlpm.orden,0),6),_xlpm.ajmov,IF(_xlpm.act&lt;_xlpm.ant,0.08,IF(_xlpm.act&gt;_xlpm.ant,-0.08,0)),_xlpm.ajcli,IF(T1000&lt;0.95,-0.06,0),_xlpm.prob,MAX(0,MIN(1,_xlpm.prog+_xlpm.ajmov+_xlpm.ajcli)),IF(OR(V1000="DIAMANTE",V1000="CERRADO"),0,ROUND(_xlpm.prob,2)))</f>
        <v>0.63</v>
      </c>
      <c r="AK1000" t="str">
        <f t="shared" si="372"/>
        <v>Faltan 7,9 puntos base para subir a la siguiente categoría</v>
      </c>
      <c r="AL1000" t="str">
        <f t="shared" si="373"/>
        <v>No aplica</v>
      </c>
      <c r="AM1000">
        <f t="shared" si="374"/>
        <v>0.46</v>
      </c>
      <c r="AN1000" t="str">
        <f t="shared" si="375"/>
        <v>PRIORIDAD MEDIA – seguimiento del asesor</v>
      </c>
      <c r="AO1000">
        <f t="shared" si="376"/>
        <v>71.348826202825151</v>
      </c>
      <c r="AP1000">
        <f t="shared" si="377"/>
        <v>16.5</v>
      </c>
      <c r="AQ1000">
        <f t="shared" si="378"/>
        <v>0</v>
      </c>
      <c r="AR1000">
        <f t="shared" si="379"/>
        <v>6.16</v>
      </c>
      <c r="AS1000">
        <f t="shared" si="380"/>
        <v>0</v>
      </c>
      <c r="AT1000" t="str">
        <f t="shared" si="381"/>
        <v>VENTAS</v>
      </c>
      <c r="AU1000">
        <f t="shared" si="382"/>
        <v>71.348826202825151</v>
      </c>
      <c r="AV1000" t="str">
        <f t="shared" si="383"/>
        <v>Mayor retorno probable: VENTAS (+71,3 puntos finales potenciales).</v>
      </c>
    </row>
    <row r="1001" spans="1:48" x14ac:dyDescent="0.3">
      <c r="A1001" s="5">
        <v>51003721</v>
      </c>
      <c r="B1001" s="5" t="str">
        <f>IFERROR(VLOOKUP(A1001,VENTAS!$A$2:$B$1194,2,0),"")</f>
        <v/>
      </c>
      <c r="C1001" s="5">
        <f>IFERROR(INDEX(VENTAS!$C$2:$E$1194,MATCH(A1001,VENTAS!$A$2:$A$1194,0),MATCH(PARAMS_MODELO!$B$2,{"Q1","Q2","Q3"},0)),0)</f>
        <v>0</v>
      </c>
      <c r="D1001" s="5">
        <f>IFERROR(INDEX(VENTAS!$F$2:$H$1194,MATCH(A1001,VENTAS!$A$2:$A$1194,0),MATCH(PARAMS_MODELO!$B$2,{"Q1","Q2","Q3"},0)),0)</f>
        <v>0</v>
      </c>
      <c r="E1001" s="8">
        <f t="shared" si="360"/>
        <v>0</v>
      </c>
      <c r="F1001" s="12">
        <f>IF(E1001&lt;=PARAMS_MODELO!$B$15,0,IF(E1001&gt;=PARAMS_MODELO!$B$17,100,100*MIN(1,(E1001-PARAMS_MODELO!$B$15)/(PARAMS_MODELO!$B$16-PARAMS_MODELO!$B$15))))*PARAMS_MODELO!$B$7</f>
        <v>0</v>
      </c>
      <c r="G1001" s="5">
        <f t="shared" si="361"/>
        <v>0</v>
      </c>
      <c r="H1001" s="5">
        <f>(PARAMS_MODELO!$B$20*(MAX(0,MIN(3,E1001))/3)+PARAMS_MODELO!$B$21*(IFERROR(LN(1+MAX(0,G1001))/LN(1+MAX(0,MAX($G$2:$G$1194))),0)))*100*PARAMS_MODELO!$B$8</f>
        <v>0</v>
      </c>
      <c r="I1001" s="8">
        <f>E1001-PARAMS_MODELO!$B$5</f>
        <v>-0.17756283537552653</v>
      </c>
      <c r="J1001" s="5">
        <f>IF(I1001&lt;=PARAMS_MODELO!$B$18,0,IF(I1001&gt;=PARAMS_MODELO!$B$19,100,100*(I1001-PARAMS_MODELO!$B$18)/(PARAMS_MODELO!$B$19-PARAMS_MODELO!$B$18)))*PARAMS_MODELO!$B$9</f>
        <v>0</v>
      </c>
      <c r="K1001" s="5">
        <f>IFERROR(CHOOSE(MATCH(PARAMS_MODELO!$B$2,{"Q1","Q2","Q3"},0),LOTO!$D1001,LOTO!$F1001,LOTO!$H1001),0)</f>
        <v>0</v>
      </c>
      <c r="L1001" s="8">
        <f t="shared" si="362"/>
        <v>0</v>
      </c>
      <c r="M1001" s="5">
        <f>MIN(100,IF(PARAMS_MODELO!$B$23=0,0,100*L1001/PARAMS_MODELO!$B$23))*PARAMS_MODELO!$B$10</f>
        <v>0</v>
      </c>
      <c r="N1001" s="5">
        <f>IFERROR(VLOOKUP(A1001,COMPLIANCE!$A$2:$F$1996,6,0),100)</f>
        <v>100</v>
      </c>
      <c r="O1001" s="5">
        <f>N1001*PARAMS_MODELO!$B$11</f>
        <v>10</v>
      </c>
      <c r="P1001" s="5">
        <f>IFERROR(VLOOKUP(A1001,DIGITAL!$A$2:$J$2000,7,0),100)</f>
        <v>45</v>
      </c>
      <c r="Q1001" s="5">
        <f>IFERROR(P1001,0)*PARAMS_MODELO!$B$12</f>
        <v>4.5</v>
      </c>
      <c r="R1001">
        <f t="shared" si="363"/>
        <v>14.5</v>
      </c>
      <c r="S1001" s="5" t="str">
        <f>IFERROR(VLOOKUP(A1001,CLIENTE!$A$2:$N$2000,13,0),1)</f>
        <v>Regular</v>
      </c>
      <c r="T1001" s="5">
        <f>IFERROR(VLOOKUP(A1001,CLIENTE!$A$2:$N$2000,14,0),1)</f>
        <v>1</v>
      </c>
      <c r="U1001" s="5">
        <f t="shared" si="364"/>
        <v>14.5</v>
      </c>
      <c r="V1001" s="5" t="str">
        <f>IF(U1001&gt;=MAX(_xlfn.PERCENTILE.INC($U$2:$U$1194,PARAMS_MODELO!$B$50),PARAMS_MODELO!$B$45),"DIAMANTE",IF(U1001&gt;=MAX(_xlfn.PERCENTILE.INC($U$2:$U$1194,PARAMS_MODELO!$B$51),PARAMS_MODELO!$B$46),"PLATINO",IF(U1001&gt;=MAX(_xlfn.PERCENTILE.INC($U$2:$U$1194,PARAMS_MODELO!$B$52),PARAMS_MODELO!$B$47),"ORO",IF(U1001&gt;=MAX(_xlfn.PERCENTILE.INC($U$2:$U$1194,PARAMS_MODELO!$B$53),PARAMS_MODELO!$B$48),"PLATA",IF(U1001&gt;=1,"BRONCE","CERRADO")))))</f>
        <v>BRONCE</v>
      </c>
      <c r="W1001" s="5" t="str" cm="1">
        <f t="array" ref="W1001">_xlfn.XLOOKUP(1, (HIST_SCORE!$B:$B=PARAMS_MODELO!$B$4) * (HIST_SCORE!$C:$C=A1001), HIST_SCORE!$E:$E, "No encontrado")</f>
        <v>BRONCE</v>
      </c>
      <c r="X1001" s="5" t="str">
        <f>_xlfn.LET(_xlpm.act,MATCH(V1001,{"DIAMANTE";"PLATINO";"ORO";"PLATA";"BRONCE";"CERRADO"},0),_xlpm.ant,MATCH(W1001,{"DIAMANTE";"PLATINO";"ORO";"PLATA";"BRONCE";"CERRADO"},0),IF(_xlpm.act&lt;_xlpm.ant,"Mejora ↑",IF(_xlpm.act&gt;_xlpm.ant,"Baja ↓","Estable →")))</f>
        <v>Estable →</v>
      </c>
      <c r="Y1001" s="5">
        <f>IFERROR(U1001-SUMIFS(HIST_SCORE!$D:$D,HIST_SCORE!$B:$B,PARAMS_MODELO!$B$4,HIST_SCORE!$C:$C,$A1001),"")</f>
        <v>0</v>
      </c>
      <c r="Z1001" s="5" t="str">
        <f t="shared" si="365"/>
        <v>→ Estable</v>
      </c>
      <c r="AA1001" s="5">
        <f t="shared" si="366"/>
        <v>1083</v>
      </c>
      <c r="AB1001" s="5">
        <f>IFERROR(SUMIFS(HIST_SCORE!$F:$F,HIST_SCORE!$B:$B,PARAMS_MODELO!$B$4,HIST_SCORE!$C:$C,$A1001),"")</f>
        <v>1080</v>
      </c>
      <c r="AC1001" s="5">
        <f t="shared" si="367"/>
        <v>-3</v>
      </c>
      <c r="AD1001" t="str">
        <f t="shared" si="369"/>
        <v/>
      </c>
      <c r="AE10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1001="CERRADO",1,IF(V1001="BRONCE",_xlpm.cPl,IF(V1001="PLATA",_xlpm.cO,IF(V1001="ORO",_xlpm.cP,IF(V1001="PLATINO",_xlpm.cD,999))))))</f>
        <v>24.506573482968111</v>
      </c>
      <c r="AF10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1001="CERRADO",0,IF(V1001="BRONCE",1,IF(V1001="PLATA",_xlpm.cPl,IF(V1001="ORO",_xlpm.cO,IF(V1001="PLATINO",_xlpm.cP,_xlpm.cD))))))</f>
        <v>1</v>
      </c>
      <c r="AG1001">
        <f t="shared" si="370"/>
        <v>10.006573482968111</v>
      </c>
      <c r="AH1001" t="str">
        <f t="shared" si="371"/>
        <v>VENTAS</v>
      </c>
      <c r="AI1001" t="str">
        <f t="shared" si="368"/>
        <v>🎯 Para subir de categoría, eje VENTAS / CRECIMIENTO PERSONAL (F). Acción: metas semanales + activación comercial + seguimiento del asesor. ΔR aprox: 10,0</v>
      </c>
      <c r="AJ1001" s="26">
        <f>_xlfn.LET(_xlpm.piso,AF1001,_xlpm.corte,AE1001,_xlpm.prog,IF(_xlpm.corte&lt;=_xlpm.piso,0,MAX(0,MIN(1,(U1001-_xlpm.piso)/(_xlpm.corte-_xlpm.piso)))),_xlpm.orden,{"DIAMANTE";"PLATINO";"ORO";"PLATA";"BRONCE";"CERRADO"},_xlpm.act,IFERROR(MATCH(V1001,_xlpm.orden,0),6),_xlpm.ant,IFERROR(MATCH(W1001,_xlpm.orden,0),6),_xlpm.ajmov,IF(_xlpm.act&lt;_xlpm.ant,0.08,IF(_xlpm.act&gt;_xlpm.ant,-0.08,0)),_xlpm.ajcli,IF(T1001&lt;0.95,-0.06,0),_xlpm.prob,MAX(0,MIN(1,_xlpm.prog+_xlpm.ajmov+_xlpm.ajcli)),IF(OR(V1001="DIAMANTE",V1001="CERRADO"),0,ROUND(_xlpm.prob,2)))</f>
        <v>0.56999999999999995</v>
      </c>
      <c r="AK1001" t="str">
        <f t="shared" si="372"/>
        <v>Faltan 10,0 puntos base para subir a la siguiente categoría</v>
      </c>
      <c r="AL1001" t="str">
        <f t="shared" si="373"/>
        <v>No aplica</v>
      </c>
      <c r="AM1001">
        <f t="shared" si="374"/>
        <v>0.56999999999999995</v>
      </c>
      <c r="AN1001" t="str">
        <f t="shared" si="375"/>
        <v>PRIORIDAD MEDIA – seguimiento del asesor</v>
      </c>
      <c r="AO1001">
        <f t="shared" si="376"/>
        <v>64.862569275295584</v>
      </c>
      <c r="AP1001">
        <f t="shared" si="377"/>
        <v>15</v>
      </c>
      <c r="AQ1001">
        <f t="shared" si="378"/>
        <v>0</v>
      </c>
      <c r="AR1001">
        <f t="shared" si="379"/>
        <v>5.5</v>
      </c>
      <c r="AS1001">
        <f t="shared" si="380"/>
        <v>0</v>
      </c>
      <c r="AT1001" t="str">
        <f t="shared" si="381"/>
        <v>VENTAS</v>
      </c>
      <c r="AU1001">
        <f t="shared" si="382"/>
        <v>64.862569275295584</v>
      </c>
      <c r="AV1001" t="str">
        <f t="shared" si="383"/>
        <v>Mayor retorno probable: VENTAS (+64,9 puntos finales potenciales).</v>
      </c>
    </row>
    <row r="1002" spans="1:48" x14ac:dyDescent="0.3">
      <c r="A1002" s="5">
        <v>51004167</v>
      </c>
      <c r="B1002" s="5" t="str">
        <f>IFERROR(VLOOKUP(A1002,VENTAS!$A$2:$B$1194,2,0),"")</f>
        <v/>
      </c>
      <c r="C1002" s="5">
        <f>IFERROR(INDEX(VENTAS!$C$2:$E$1194,MATCH(A1002,VENTAS!$A$2:$A$1194,0),MATCH(PARAMS_MODELO!$B$2,{"Q1","Q2","Q3"},0)),0)</f>
        <v>0</v>
      </c>
      <c r="D1002" s="5">
        <f>IFERROR(INDEX(VENTAS!$F$2:$H$1194,MATCH(A1002,VENTAS!$A$2:$A$1194,0),MATCH(PARAMS_MODELO!$B$2,{"Q1","Q2","Q3"},0)),0)</f>
        <v>0</v>
      </c>
      <c r="E1002" s="8">
        <f t="shared" si="360"/>
        <v>0</v>
      </c>
      <c r="F1002" s="12">
        <f>IF(E1002&lt;=PARAMS_MODELO!$B$15,0,IF(E1002&gt;=PARAMS_MODELO!$B$17,100,100*MIN(1,(E1002-PARAMS_MODELO!$B$15)/(PARAMS_MODELO!$B$16-PARAMS_MODELO!$B$15))))*PARAMS_MODELO!$B$7</f>
        <v>0</v>
      </c>
      <c r="G1002" s="5">
        <f t="shared" si="361"/>
        <v>0</v>
      </c>
      <c r="H1002" s="5">
        <f>(PARAMS_MODELO!$B$20*(MAX(0,MIN(3,E1002))/3)+PARAMS_MODELO!$B$21*(IFERROR(LN(1+MAX(0,G1002))/LN(1+MAX(0,MAX($G$2:$G$1194))),0)))*100*PARAMS_MODELO!$B$8</f>
        <v>0</v>
      </c>
      <c r="I1002" s="8">
        <f>E1002-PARAMS_MODELO!$B$5</f>
        <v>-0.17756283537552653</v>
      </c>
      <c r="J1002" s="5">
        <f>IF(I1002&lt;=PARAMS_MODELO!$B$18,0,IF(I1002&gt;=PARAMS_MODELO!$B$19,100,100*(I1002-PARAMS_MODELO!$B$18)/(PARAMS_MODELO!$B$19-PARAMS_MODELO!$B$18)))*PARAMS_MODELO!$B$9</f>
        <v>0</v>
      </c>
      <c r="K1002" s="5">
        <f>IFERROR(CHOOSE(MATCH(PARAMS_MODELO!$B$2,{"Q1","Q2","Q3"},0),LOTO!$D1002,LOTO!$F1002,LOTO!$H1002),0)</f>
        <v>0</v>
      </c>
      <c r="L1002" s="8">
        <f t="shared" si="362"/>
        <v>0</v>
      </c>
      <c r="M1002" s="5">
        <f>MIN(100,IF(PARAMS_MODELO!$B$23=0,0,100*L1002/PARAMS_MODELO!$B$23))*PARAMS_MODELO!$B$10</f>
        <v>0</v>
      </c>
      <c r="N1002" s="5">
        <f>IFERROR(VLOOKUP(A1002,COMPLIANCE!$A$2:$F$1996,6,0),100)</f>
        <v>100</v>
      </c>
      <c r="O1002" s="5">
        <f>N1002*PARAMS_MODELO!$B$11</f>
        <v>10</v>
      </c>
      <c r="P1002" s="5">
        <f>IFERROR(VLOOKUP(A1002,DIGITAL!$A$2:$J$2000,7,0),100)</f>
        <v>37</v>
      </c>
      <c r="Q1002" s="5">
        <f>IFERROR(P1002,0)*PARAMS_MODELO!$B$12</f>
        <v>3.7</v>
      </c>
      <c r="R1002">
        <f t="shared" si="363"/>
        <v>13.7</v>
      </c>
      <c r="S1002" s="5" t="str">
        <f>IFERROR(VLOOKUP(A1002,CLIENTE!$A$2:$N$2000,13,0),1)</f>
        <v>Regular</v>
      </c>
      <c r="T1002" s="5">
        <f>IFERROR(VLOOKUP(A1002,CLIENTE!$A$2:$N$2000,14,0),1)</f>
        <v>1</v>
      </c>
      <c r="U1002" s="5">
        <f t="shared" si="364"/>
        <v>13.7</v>
      </c>
      <c r="V1002" s="5" t="str">
        <f>IF(U1002&gt;=MAX(_xlfn.PERCENTILE.INC($U$2:$U$1194,PARAMS_MODELO!$B$50),PARAMS_MODELO!$B$45),"DIAMANTE",IF(U1002&gt;=MAX(_xlfn.PERCENTILE.INC($U$2:$U$1194,PARAMS_MODELO!$B$51),PARAMS_MODELO!$B$46),"PLATINO",IF(U1002&gt;=MAX(_xlfn.PERCENTILE.INC($U$2:$U$1194,PARAMS_MODELO!$B$52),PARAMS_MODELO!$B$47),"ORO",IF(U1002&gt;=MAX(_xlfn.PERCENTILE.INC($U$2:$U$1194,PARAMS_MODELO!$B$53),PARAMS_MODELO!$B$48),"PLATA",IF(U1002&gt;=1,"BRONCE","CERRADO")))))</f>
        <v>BRONCE</v>
      </c>
      <c r="W1002" s="5" t="str" cm="1">
        <f t="array" ref="W1002">_xlfn.XLOOKUP(1, (HIST_SCORE!$B:$B=PARAMS_MODELO!$B$4) * (HIST_SCORE!$C:$C=A1002), HIST_SCORE!$E:$E, "No encontrado")</f>
        <v>BRONCE</v>
      </c>
      <c r="X1002" s="5" t="str">
        <f>_xlfn.LET(_xlpm.act,MATCH(V1002,{"DIAMANTE";"PLATINO";"ORO";"PLATA";"BRONCE";"CERRADO"},0),_xlpm.ant,MATCH(W1002,{"DIAMANTE";"PLATINO";"ORO";"PLATA";"BRONCE";"CERRADO"},0),IF(_xlpm.act&lt;_xlpm.ant,"Mejora ↑",IF(_xlpm.act&gt;_xlpm.ant,"Baja ↓","Estable →")))</f>
        <v>Estable →</v>
      </c>
      <c r="Y1002" s="5">
        <f>IFERROR(U1002-SUMIFS(HIST_SCORE!$D:$D,HIST_SCORE!$B:$B,PARAMS_MODELO!$B$4,HIST_SCORE!$C:$C,$A1002),"")</f>
        <v>0</v>
      </c>
      <c r="Z1002" s="5" t="str">
        <f t="shared" si="365"/>
        <v>→ Estable</v>
      </c>
      <c r="AA1002" s="5">
        <f t="shared" si="366"/>
        <v>1095</v>
      </c>
      <c r="AB1002" s="5">
        <f>IFERROR(SUMIFS(HIST_SCORE!$F:$F,HIST_SCORE!$B:$B,PARAMS_MODELO!$B$4,HIST_SCORE!$C:$C,$A1002),"")</f>
        <v>1093</v>
      </c>
      <c r="AC1002" s="5">
        <f t="shared" si="367"/>
        <v>-2</v>
      </c>
      <c r="AD1002" t="str">
        <f t="shared" si="369"/>
        <v/>
      </c>
      <c r="AE10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1002="CERRADO",1,IF(V1002="BRONCE",_xlpm.cPl,IF(V1002="PLATA",_xlpm.cO,IF(V1002="ORO",_xlpm.cP,IF(V1002="PLATINO",_xlpm.cD,999))))))</f>
        <v>24.506573482968111</v>
      </c>
      <c r="AF10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1002="CERRADO",0,IF(V1002="BRONCE",1,IF(V1002="PLATA",_xlpm.cPl,IF(V1002="ORO",_xlpm.cO,IF(V1002="PLATINO",_xlpm.cP,_xlpm.cD))))))</f>
        <v>1</v>
      </c>
      <c r="AG1002">
        <f t="shared" si="370"/>
        <v>10.806573482968112</v>
      </c>
      <c r="AH1002" t="str">
        <f t="shared" si="371"/>
        <v>VENTAS</v>
      </c>
      <c r="AI1002" t="str">
        <f t="shared" si="368"/>
        <v>🎯 Para subir de categoría, eje VENTAS / CRECIMIENTO PERSONAL (F). Acción: metas semanales + activación comercial + seguimiento del asesor. ΔR aprox: 10,8</v>
      </c>
      <c r="AJ1002" s="26">
        <f>_xlfn.LET(_xlpm.piso,AF1002,_xlpm.corte,AE1002,_xlpm.prog,IF(_xlpm.corte&lt;=_xlpm.piso,0,MAX(0,MIN(1,(U1002-_xlpm.piso)/(_xlpm.corte-_xlpm.piso)))),_xlpm.orden,{"DIAMANTE";"PLATINO";"ORO";"PLATA";"BRONCE";"CERRADO"},_xlpm.act,IFERROR(MATCH(V1002,_xlpm.orden,0),6),_xlpm.ant,IFERROR(MATCH(W1002,_xlpm.orden,0),6),_xlpm.ajmov,IF(_xlpm.act&lt;_xlpm.ant,0.08,IF(_xlpm.act&gt;_xlpm.ant,-0.08,0)),_xlpm.ajcli,IF(T1002&lt;0.95,-0.06,0),_xlpm.prob,MAX(0,MIN(1,_xlpm.prog+_xlpm.ajmov+_xlpm.ajcli)),IF(OR(V1002="DIAMANTE",V1002="CERRADO"),0,ROUND(_xlpm.prob,2)))</f>
        <v>0.54</v>
      </c>
      <c r="AK1002" t="str">
        <f t="shared" si="372"/>
        <v>Faltan 10,8 puntos base para subir a la siguiente categoría</v>
      </c>
      <c r="AL1002" t="str">
        <f t="shared" si="373"/>
        <v>No aplica</v>
      </c>
      <c r="AM1002">
        <f t="shared" si="374"/>
        <v>0.57999999999999996</v>
      </c>
      <c r="AN1002" t="str">
        <f t="shared" si="375"/>
        <v>PRIORIDAD MEDIA – seguimiento del asesor</v>
      </c>
      <c r="AO1002">
        <f t="shared" si="376"/>
        <v>64.862569275295584</v>
      </c>
      <c r="AP1002">
        <f t="shared" si="377"/>
        <v>15</v>
      </c>
      <c r="AQ1002">
        <f t="shared" si="378"/>
        <v>0</v>
      </c>
      <c r="AR1002">
        <f t="shared" si="379"/>
        <v>6.3</v>
      </c>
      <c r="AS1002">
        <f t="shared" si="380"/>
        <v>0</v>
      </c>
      <c r="AT1002" t="str">
        <f t="shared" si="381"/>
        <v>VENTAS</v>
      </c>
      <c r="AU1002">
        <f t="shared" si="382"/>
        <v>64.862569275295584</v>
      </c>
      <c r="AV1002" t="str">
        <f t="shared" si="383"/>
        <v>Mayor retorno probable: VENTAS (+64,9 puntos finales potenciales).</v>
      </c>
    </row>
    <row r="1003" spans="1:48" x14ac:dyDescent="0.3">
      <c r="A1003" s="5">
        <v>51004671</v>
      </c>
      <c r="B1003" s="5" t="str">
        <f>IFERROR(VLOOKUP(A1003,VENTAS!$A$2:$B$1194,2,0),"")</f>
        <v/>
      </c>
      <c r="C1003" s="5">
        <f>IFERROR(INDEX(VENTAS!$C$2:$E$1194,MATCH(A1003,VENTAS!$A$2:$A$1194,0),MATCH(PARAMS_MODELO!$B$2,{"Q1","Q2","Q3"},0)),0)</f>
        <v>0</v>
      </c>
      <c r="D1003" s="5">
        <f>IFERROR(INDEX(VENTAS!$F$2:$H$1194,MATCH(A1003,VENTAS!$A$2:$A$1194,0),MATCH(PARAMS_MODELO!$B$2,{"Q1","Q2","Q3"},0)),0)</f>
        <v>0</v>
      </c>
      <c r="E1003" s="8">
        <f t="shared" si="360"/>
        <v>0</v>
      </c>
      <c r="F1003" s="12">
        <f>IF(E1003&lt;=PARAMS_MODELO!$B$15,0,IF(E1003&gt;=PARAMS_MODELO!$B$17,100,100*MIN(1,(E1003-PARAMS_MODELO!$B$15)/(PARAMS_MODELO!$B$16-PARAMS_MODELO!$B$15))))*PARAMS_MODELO!$B$7</f>
        <v>0</v>
      </c>
      <c r="G1003" s="5">
        <f t="shared" si="361"/>
        <v>0</v>
      </c>
      <c r="H1003" s="5">
        <f>(PARAMS_MODELO!$B$20*(MAX(0,MIN(3,E1003))/3)+PARAMS_MODELO!$B$21*(IFERROR(LN(1+MAX(0,G1003))/LN(1+MAX(0,MAX($G$2:$G$1194))),0)))*100*PARAMS_MODELO!$B$8</f>
        <v>0</v>
      </c>
      <c r="I1003" s="8">
        <f>E1003-PARAMS_MODELO!$B$5</f>
        <v>-0.17756283537552653</v>
      </c>
      <c r="J1003" s="5">
        <f>IF(I1003&lt;=PARAMS_MODELO!$B$18,0,IF(I1003&gt;=PARAMS_MODELO!$B$19,100,100*(I1003-PARAMS_MODELO!$B$18)/(PARAMS_MODELO!$B$19-PARAMS_MODELO!$B$18)))*PARAMS_MODELO!$B$9</f>
        <v>0</v>
      </c>
      <c r="K1003" s="5">
        <f>IFERROR(CHOOSE(MATCH(PARAMS_MODELO!$B$2,{"Q1","Q2","Q3"},0),LOTO!$D1003,LOTO!$F1003,LOTO!$H1003),0)</f>
        <v>0</v>
      </c>
      <c r="L1003" s="8">
        <f t="shared" si="362"/>
        <v>0</v>
      </c>
      <c r="M1003" s="5">
        <f>MIN(100,IF(PARAMS_MODELO!$B$23=0,0,100*L1003/PARAMS_MODELO!$B$23))*PARAMS_MODELO!$B$10</f>
        <v>0</v>
      </c>
      <c r="N1003" s="5">
        <f>IFERROR(VLOOKUP(A1003,COMPLIANCE!$A$2:$F$1996,6,0),100)</f>
        <v>100</v>
      </c>
      <c r="O1003" s="5">
        <f>N1003*PARAMS_MODELO!$B$11</f>
        <v>10</v>
      </c>
      <c r="P1003" s="5">
        <f>IFERROR(VLOOKUP(A1003,DIGITAL!$A$2:$J$2000,7,0),100)</f>
        <v>78</v>
      </c>
      <c r="Q1003" s="5">
        <f>IFERROR(P1003,0)*PARAMS_MODELO!$B$12</f>
        <v>7.8000000000000007</v>
      </c>
      <c r="R1003">
        <f t="shared" si="363"/>
        <v>17.8</v>
      </c>
      <c r="S1003" s="5" t="str">
        <f>IFERROR(VLOOKUP(A1003,CLIENTE!$A$2:$N$2000,13,0),1)</f>
        <v>Malo</v>
      </c>
      <c r="T1003" s="5">
        <f>IFERROR(VLOOKUP(A1003,CLIENTE!$A$2:$N$2000,14,0),1)</f>
        <v>0.7</v>
      </c>
      <c r="U1003" s="5">
        <f t="shared" si="364"/>
        <v>12.459999999999999</v>
      </c>
      <c r="V1003" s="5" t="str">
        <f>IF(U1003&gt;=MAX(_xlfn.PERCENTILE.INC($U$2:$U$1194,PARAMS_MODELO!$B$50),PARAMS_MODELO!$B$45),"DIAMANTE",IF(U1003&gt;=MAX(_xlfn.PERCENTILE.INC($U$2:$U$1194,PARAMS_MODELO!$B$51),PARAMS_MODELO!$B$46),"PLATINO",IF(U1003&gt;=MAX(_xlfn.PERCENTILE.INC($U$2:$U$1194,PARAMS_MODELO!$B$52),PARAMS_MODELO!$B$47),"ORO",IF(U1003&gt;=MAX(_xlfn.PERCENTILE.INC($U$2:$U$1194,PARAMS_MODELO!$B$53),PARAMS_MODELO!$B$48),"PLATA",IF(U1003&gt;=1,"BRONCE","CERRADO")))))</f>
        <v>BRONCE</v>
      </c>
      <c r="W1003" s="5" t="str" cm="1">
        <f t="array" ref="W1003">_xlfn.XLOOKUP(1, (HIST_SCORE!$B:$B=PARAMS_MODELO!$B$4) * (HIST_SCORE!$C:$C=A1003), HIST_SCORE!$E:$E, "No encontrado")</f>
        <v>BRONCE</v>
      </c>
      <c r="X1003" s="5" t="str">
        <f>_xlfn.LET(_xlpm.act,MATCH(V1003,{"DIAMANTE";"PLATINO";"ORO";"PLATA";"BRONCE";"CERRADO"},0),_xlpm.ant,MATCH(W1003,{"DIAMANTE";"PLATINO";"ORO";"PLATA";"BRONCE";"CERRADO"},0),IF(_xlpm.act&lt;_xlpm.ant,"Mejora ↑",IF(_xlpm.act&gt;_xlpm.ant,"Baja ↓","Estable →")))</f>
        <v>Estable →</v>
      </c>
      <c r="Y1003" s="5">
        <f>IFERROR(U1003-SUMIFS(HIST_SCORE!$D:$D,HIST_SCORE!$B:$B,PARAMS_MODELO!$B$4,HIST_SCORE!$C:$C,$A1003),"")</f>
        <v>0</v>
      </c>
      <c r="Z1003" s="5" t="str">
        <f t="shared" si="365"/>
        <v>→ Estable</v>
      </c>
      <c r="AA1003" s="5">
        <f t="shared" si="366"/>
        <v>1127</v>
      </c>
      <c r="AB1003" s="5">
        <f>IFERROR(SUMIFS(HIST_SCORE!$F:$F,HIST_SCORE!$B:$B,PARAMS_MODELO!$B$4,HIST_SCORE!$C:$C,$A1003),"")</f>
        <v>1125</v>
      </c>
      <c r="AC1003" s="5">
        <f t="shared" si="367"/>
        <v>-2</v>
      </c>
      <c r="AD1003" t="str">
        <f t="shared" si="369"/>
        <v/>
      </c>
      <c r="AE10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1003="CERRADO",1,IF(V1003="BRONCE",_xlpm.cPl,IF(V1003="PLATA",_xlpm.cO,IF(V1003="ORO",_xlpm.cP,IF(V1003="PLATINO",_xlpm.cD,999))))))</f>
        <v>24.506573482968111</v>
      </c>
      <c r="AF10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1003="CERRADO",0,IF(V1003="BRONCE",1,IF(V1003="PLATA",_xlpm.cPl,IF(V1003="ORO",_xlpm.cO,IF(V1003="PLATINO",_xlpm.cP,_xlpm.cD))))))</f>
        <v>1</v>
      </c>
      <c r="AG1003">
        <f t="shared" si="370"/>
        <v>17.209390689954443</v>
      </c>
      <c r="AH1003" t="str">
        <f t="shared" si="371"/>
        <v>VENTAS</v>
      </c>
      <c r="AI1003" t="str">
        <f t="shared" si="368"/>
        <v>🎯 Para subir de categoría, eje VENTAS / CRECIMIENTO PERSONAL (F). Acción: metas semanales + activación comercial + seguimiento del asesor. ΔR aprox: 17,2</v>
      </c>
      <c r="AJ1003" s="26">
        <f>_xlfn.LET(_xlpm.piso,AF1003,_xlpm.corte,AE1003,_xlpm.prog,IF(_xlpm.corte&lt;=_xlpm.piso,0,MAX(0,MIN(1,(U1003-_xlpm.piso)/(_xlpm.corte-_xlpm.piso)))),_xlpm.orden,{"DIAMANTE";"PLATINO";"ORO";"PLATA";"BRONCE";"CERRADO"},_xlpm.act,IFERROR(MATCH(V1003,_xlpm.orden,0),6),_xlpm.ant,IFERROR(MATCH(W1003,_xlpm.orden,0),6),_xlpm.ajmov,IF(_xlpm.act&lt;_xlpm.ant,0.08,IF(_xlpm.act&gt;_xlpm.ant,-0.08,0)),_xlpm.ajcli,IF(T1003&lt;0.95,-0.06,0),_xlpm.prob,MAX(0,MIN(1,_xlpm.prog+_xlpm.ajmov+_xlpm.ajcli)),IF(OR(V1003="DIAMANTE",V1003="CERRADO"),0,ROUND(_xlpm.prob,2)))</f>
        <v>0.43</v>
      </c>
      <c r="AK1003" t="str">
        <f t="shared" si="372"/>
        <v>Faltan 17,2 puntos base para subir a la siguiente categoría</v>
      </c>
      <c r="AL1003" t="str">
        <f t="shared" si="373"/>
        <v>No aplica</v>
      </c>
      <c r="AM1003">
        <f t="shared" si="374"/>
        <v>0.83</v>
      </c>
      <c r="AN1003" t="str">
        <f t="shared" si="375"/>
        <v>PRIORIDAD ALTA – requiere intervención inmediata</v>
      </c>
      <c r="AO1003">
        <f t="shared" si="376"/>
        <v>45.403798492706905</v>
      </c>
      <c r="AP1003">
        <f t="shared" si="377"/>
        <v>10.5</v>
      </c>
      <c r="AQ1003">
        <f t="shared" si="378"/>
        <v>0</v>
      </c>
      <c r="AR1003">
        <f t="shared" si="379"/>
        <v>1.5399999999999994</v>
      </c>
      <c r="AS1003">
        <f t="shared" si="380"/>
        <v>5.3400000000000007</v>
      </c>
      <c r="AT1003" t="str">
        <f t="shared" si="381"/>
        <v>VENTAS</v>
      </c>
      <c r="AU1003">
        <f t="shared" si="382"/>
        <v>45.403798492706905</v>
      </c>
      <c r="AV1003" t="str">
        <f t="shared" si="383"/>
        <v>Mayor retorno probable: VENTAS (+45,4 puntos finales potenciales).</v>
      </c>
    </row>
    <row r="1004" spans="1:48" x14ac:dyDescent="0.3">
      <c r="A1004" s="5">
        <v>51005058</v>
      </c>
      <c r="B1004" s="5" t="str">
        <f>IFERROR(VLOOKUP(A1004,VENTAS!$A$2:$B$1194,2,0),"")</f>
        <v/>
      </c>
      <c r="C1004" s="5">
        <f>IFERROR(INDEX(VENTAS!$C$2:$E$1194,MATCH(A1004,VENTAS!$A$2:$A$1194,0),MATCH(PARAMS_MODELO!$B$2,{"Q1","Q2","Q3"},0)),0)</f>
        <v>0</v>
      </c>
      <c r="D1004" s="5">
        <f>IFERROR(INDEX(VENTAS!$F$2:$H$1194,MATCH(A1004,VENTAS!$A$2:$A$1194,0),MATCH(PARAMS_MODELO!$B$2,{"Q1","Q2","Q3"},0)),0)</f>
        <v>0</v>
      </c>
      <c r="E1004" s="8">
        <f t="shared" si="360"/>
        <v>0</v>
      </c>
      <c r="F1004" s="12">
        <f>IF(E1004&lt;=PARAMS_MODELO!$B$15,0,IF(E1004&gt;=PARAMS_MODELO!$B$17,100,100*MIN(1,(E1004-PARAMS_MODELO!$B$15)/(PARAMS_MODELO!$B$16-PARAMS_MODELO!$B$15))))*PARAMS_MODELO!$B$7</f>
        <v>0</v>
      </c>
      <c r="G1004" s="5">
        <f t="shared" si="361"/>
        <v>0</v>
      </c>
      <c r="H1004" s="5">
        <f>(PARAMS_MODELO!$B$20*(MAX(0,MIN(3,E1004))/3)+PARAMS_MODELO!$B$21*(IFERROR(LN(1+MAX(0,G1004))/LN(1+MAX(0,MAX($G$2:$G$1194))),0)))*100*PARAMS_MODELO!$B$8</f>
        <v>0</v>
      </c>
      <c r="I1004" s="8">
        <f>E1004-PARAMS_MODELO!$B$5</f>
        <v>-0.17756283537552653</v>
      </c>
      <c r="J1004" s="5">
        <f>IF(I1004&lt;=PARAMS_MODELO!$B$18,0,IF(I1004&gt;=PARAMS_MODELO!$B$19,100,100*(I1004-PARAMS_MODELO!$B$18)/(PARAMS_MODELO!$B$19-PARAMS_MODELO!$B$18)))*PARAMS_MODELO!$B$9</f>
        <v>0</v>
      </c>
      <c r="K1004" s="5">
        <f>IFERROR(CHOOSE(MATCH(PARAMS_MODELO!$B$2,{"Q1","Q2","Q3"},0),LOTO!$D1004,LOTO!$F1004,LOTO!$H1004),0)</f>
        <v>0</v>
      </c>
      <c r="L1004" s="8">
        <f t="shared" si="362"/>
        <v>0</v>
      </c>
      <c r="M1004" s="5">
        <f>MIN(100,IF(PARAMS_MODELO!$B$23=0,0,100*L1004/PARAMS_MODELO!$B$23))*PARAMS_MODELO!$B$10</f>
        <v>0</v>
      </c>
      <c r="N1004" s="5">
        <f>IFERROR(VLOOKUP(A1004,COMPLIANCE!$A$2:$F$1996,6,0),100)</f>
        <v>100</v>
      </c>
      <c r="O1004" s="5">
        <f>N1004*PARAMS_MODELO!$B$11</f>
        <v>10</v>
      </c>
      <c r="P1004" s="5">
        <f>IFERROR(VLOOKUP(A1004,DIGITAL!$A$2:$J$2000,7,0),100)</f>
        <v>93</v>
      </c>
      <c r="Q1004" s="5">
        <f>IFERROR(P1004,0)*PARAMS_MODELO!$B$12</f>
        <v>9.3000000000000007</v>
      </c>
      <c r="R1004">
        <f t="shared" si="363"/>
        <v>19.3</v>
      </c>
      <c r="S1004" s="5" t="str">
        <f>IFERROR(VLOOKUP(A1004,CLIENTE!$A$2:$N$2000,13,0),1)</f>
        <v>Regular</v>
      </c>
      <c r="T1004" s="5">
        <f>IFERROR(VLOOKUP(A1004,CLIENTE!$A$2:$N$2000,14,0),1)</f>
        <v>1</v>
      </c>
      <c r="U1004" s="5">
        <f t="shared" si="364"/>
        <v>19.3</v>
      </c>
      <c r="V1004" s="5" t="str">
        <f>IF(U1004&gt;=MAX(_xlfn.PERCENTILE.INC($U$2:$U$1194,PARAMS_MODELO!$B$50),PARAMS_MODELO!$B$45),"DIAMANTE",IF(U1004&gt;=MAX(_xlfn.PERCENTILE.INC($U$2:$U$1194,PARAMS_MODELO!$B$51),PARAMS_MODELO!$B$46),"PLATINO",IF(U1004&gt;=MAX(_xlfn.PERCENTILE.INC($U$2:$U$1194,PARAMS_MODELO!$B$52),PARAMS_MODELO!$B$47),"ORO",IF(U1004&gt;=MAX(_xlfn.PERCENTILE.INC($U$2:$U$1194,PARAMS_MODELO!$B$53),PARAMS_MODELO!$B$48),"PLATA",IF(U1004&gt;=1,"BRONCE","CERRADO")))))</f>
        <v>BRONCE</v>
      </c>
      <c r="W1004" s="5" t="str" cm="1">
        <f t="array" ref="W1004">_xlfn.XLOOKUP(1, (HIST_SCORE!$B:$B=PARAMS_MODELO!$B$4) * (HIST_SCORE!$C:$C=A1004), HIST_SCORE!$E:$E, "No encontrado")</f>
        <v>BRONCE</v>
      </c>
      <c r="X1004" s="5" t="str">
        <f>_xlfn.LET(_xlpm.act,MATCH(V1004,{"DIAMANTE";"PLATINO";"ORO";"PLATA";"BRONCE";"CERRADO"},0),_xlpm.ant,MATCH(W1004,{"DIAMANTE";"PLATINO";"ORO";"PLATA";"BRONCE";"CERRADO"},0),IF(_xlpm.act&lt;_xlpm.ant,"Mejora ↑",IF(_xlpm.act&gt;_xlpm.ant,"Baja ↓","Estable →")))</f>
        <v>Estable →</v>
      </c>
      <c r="Y1004" s="5">
        <f>IFERROR(U1004-SUMIFS(HIST_SCORE!$D:$D,HIST_SCORE!$B:$B,PARAMS_MODELO!$B$4,HIST_SCORE!$C:$C,$A1004),"")</f>
        <v>0</v>
      </c>
      <c r="Z1004" s="5" t="str">
        <f t="shared" si="365"/>
        <v>→ Estable</v>
      </c>
      <c r="AA1004" s="5">
        <f t="shared" si="366"/>
        <v>992</v>
      </c>
      <c r="AB1004" s="5">
        <f>IFERROR(SUMIFS(HIST_SCORE!$F:$F,HIST_SCORE!$B:$B,PARAMS_MODELO!$B$4,HIST_SCORE!$C:$C,$A1004),"")</f>
        <v>998</v>
      </c>
      <c r="AC1004" s="5">
        <f t="shared" si="367"/>
        <v>6</v>
      </c>
      <c r="AD1004" t="str">
        <f t="shared" si="369"/>
        <v/>
      </c>
      <c r="AE10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1004="CERRADO",1,IF(V1004="BRONCE",_xlpm.cPl,IF(V1004="PLATA",_xlpm.cO,IF(V1004="ORO",_xlpm.cP,IF(V1004="PLATINO",_xlpm.cD,999))))))</f>
        <v>24.506573482968111</v>
      </c>
      <c r="AF10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1004="CERRADO",0,IF(V1004="BRONCE",1,IF(V1004="PLATA",_xlpm.cPl,IF(V1004="ORO",_xlpm.cO,IF(V1004="PLATINO",_xlpm.cP,_xlpm.cD))))))</f>
        <v>1</v>
      </c>
      <c r="AG1004">
        <f t="shared" si="370"/>
        <v>5.2065734829681105</v>
      </c>
      <c r="AH1004" t="str">
        <f t="shared" si="371"/>
        <v>VENTAS</v>
      </c>
      <c r="AI1004" t="str">
        <f t="shared" si="368"/>
        <v>🎯 Para subir de categoría, eje VENTAS / CRECIMIENTO PERSONAL (F). Acción: metas semanales + activación comercial + seguimiento del asesor. ΔR aprox: 5,2</v>
      </c>
      <c r="AJ1004" s="26">
        <f>_xlfn.LET(_xlpm.piso,AF1004,_xlpm.corte,AE1004,_xlpm.prog,IF(_xlpm.corte&lt;=_xlpm.piso,0,MAX(0,MIN(1,(U1004-_xlpm.piso)/(_xlpm.corte-_xlpm.piso)))),_xlpm.orden,{"DIAMANTE";"PLATINO";"ORO";"PLATA";"BRONCE";"CERRADO"},_xlpm.act,IFERROR(MATCH(V1004,_xlpm.orden,0),6),_xlpm.ant,IFERROR(MATCH(W1004,_xlpm.orden,0),6),_xlpm.ajmov,IF(_xlpm.act&lt;_xlpm.ant,0.08,IF(_xlpm.act&gt;_xlpm.ant,-0.08,0)),_xlpm.ajcli,IF(T1004&lt;0.95,-0.06,0),_xlpm.prob,MAX(0,MIN(1,_xlpm.prog+_xlpm.ajmov+_xlpm.ajcli)),IF(OR(V1004="DIAMANTE",V1004="CERRADO"),0,ROUND(_xlpm.prob,2)))</f>
        <v>0.78</v>
      </c>
      <c r="AK1004" t="str">
        <f t="shared" si="372"/>
        <v>Faltan 5,2 puntos base para subir a la siguiente categoría</v>
      </c>
      <c r="AL1004" t="str">
        <f t="shared" si="373"/>
        <v>No aplica</v>
      </c>
      <c r="AM1004">
        <f t="shared" si="374"/>
        <v>0.3</v>
      </c>
      <c r="AN1004" t="str">
        <f t="shared" si="375"/>
        <v>PRIORIDAD BAJA – control normal</v>
      </c>
      <c r="AO1004">
        <f t="shared" si="376"/>
        <v>64.862569275295584</v>
      </c>
      <c r="AP1004">
        <f t="shared" si="377"/>
        <v>15</v>
      </c>
      <c r="AQ1004">
        <f t="shared" si="378"/>
        <v>0</v>
      </c>
      <c r="AR1004">
        <f t="shared" si="379"/>
        <v>0.69999999999999929</v>
      </c>
      <c r="AS1004">
        <f t="shared" si="380"/>
        <v>0</v>
      </c>
      <c r="AT1004" t="str">
        <f t="shared" si="381"/>
        <v>VENTAS</v>
      </c>
      <c r="AU1004">
        <f t="shared" si="382"/>
        <v>64.862569275295584</v>
      </c>
      <c r="AV1004" t="str">
        <f t="shared" si="383"/>
        <v>Mayor retorno probable: VENTAS (+64,9 puntos finales potenciales).</v>
      </c>
    </row>
    <row r="1005" spans="1:48" x14ac:dyDescent="0.3">
      <c r="A1005" s="5">
        <v>51005201</v>
      </c>
      <c r="B1005" s="5" t="str">
        <f>IFERROR(VLOOKUP(A1005,VENTAS!$A$2:$B$1194,2,0),"")</f>
        <v/>
      </c>
      <c r="C1005" s="5">
        <f>IFERROR(INDEX(VENTAS!$C$2:$E$1194,MATCH(A1005,VENTAS!$A$2:$A$1194,0),MATCH(PARAMS_MODELO!$B$2,{"Q1","Q2","Q3"},0)),0)</f>
        <v>0</v>
      </c>
      <c r="D1005" s="5">
        <f>IFERROR(INDEX(VENTAS!$F$2:$H$1194,MATCH(A1005,VENTAS!$A$2:$A$1194,0),MATCH(PARAMS_MODELO!$B$2,{"Q1","Q2","Q3"},0)),0)</f>
        <v>0</v>
      </c>
      <c r="E1005" s="8">
        <f t="shared" si="360"/>
        <v>0</v>
      </c>
      <c r="F1005" s="12">
        <f>IF(E1005&lt;=PARAMS_MODELO!$B$15,0,IF(E1005&gt;=PARAMS_MODELO!$B$17,100,100*MIN(1,(E1005-PARAMS_MODELO!$B$15)/(PARAMS_MODELO!$B$16-PARAMS_MODELO!$B$15))))*PARAMS_MODELO!$B$7</f>
        <v>0</v>
      </c>
      <c r="G1005" s="5">
        <f t="shared" si="361"/>
        <v>0</v>
      </c>
      <c r="H1005" s="5">
        <f>(PARAMS_MODELO!$B$20*(MAX(0,MIN(3,E1005))/3)+PARAMS_MODELO!$B$21*(IFERROR(LN(1+MAX(0,G1005))/LN(1+MAX(0,MAX($G$2:$G$1194))),0)))*100*PARAMS_MODELO!$B$8</f>
        <v>0</v>
      </c>
      <c r="I1005" s="8">
        <f>E1005-PARAMS_MODELO!$B$5</f>
        <v>-0.17756283537552653</v>
      </c>
      <c r="J1005" s="5">
        <f>IF(I1005&lt;=PARAMS_MODELO!$B$18,0,IF(I1005&gt;=PARAMS_MODELO!$B$19,100,100*(I1005-PARAMS_MODELO!$B$18)/(PARAMS_MODELO!$B$19-PARAMS_MODELO!$B$18)))*PARAMS_MODELO!$B$9</f>
        <v>0</v>
      </c>
      <c r="K1005" s="5">
        <f>IFERROR(CHOOSE(MATCH(PARAMS_MODELO!$B$2,{"Q1","Q2","Q3"},0),LOTO!$D1005,LOTO!$F1005,LOTO!$H1005),0)</f>
        <v>0</v>
      </c>
      <c r="L1005" s="8">
        <f t="shared" si="362"/>
        <v>0</v>
      </c>
      <c r="M1005" s="5">
        <f>MIN(100,IF(PARAMS_MODELO!$B$23=0,0,100*L1005/PARAMS_MODELO!$B$23))*PARAMS_MODELO!$B$10</f>
        <v>0</v>
      </c>
      <c r="N1005" s="5">
        <f>IFERROR(VLOOKUP(A1005,COMPLIANCE!$A$2:$F$1996,6,0),100)</f>
        <v>100</v>
      </c>
      <c r="O1005" s="5">
        <f>N1005*PARAMS_MODELO!$B$11</f>
        <v>10</v>
      </c>
      <c r="P1005" s="5">
        <f>IFERROR(VLOOKUP(A1005,DIGITAL!$A$2:$J$2000,7,0),100)</f>
        <v>76</v>
      </c>
      <c r="Q1005" s="5">
        <f>IFERROR(P1005,0)*PARAMS_MODELO!$B$12</f>
        <v>7.6000000000000005</v>
      </c>
      <c r="R1005">
        <f t="shared" si="363"/>
        <v>17.600000000000001</v>
      </c>
      <c r="S1005" s="5" t="str">
        <f>IFERROR(VLOOKUP(A1005,CLIENTE!$A$2:$N$2000,13,0),1)</f>
        <v>Regular</v>
      </c>
      <c r="T1005" s="5">
        <f>IFERROR(VLOOKUP(A1005,CLIENTE!$A$2:$N$2000,14,0),1)</f>
        <v>1</v>
      </c>
      <c r="U1005" s="5">
        <f t="shared" si="364"/>
        <v>17.600000000000001</v>
      </c>
      <c r="V1005" s="5" t="str">
        <f>IF(U1005&gt;=MAX(_xlfn.PERCENTILE.INC($U$2:$U$1194,PARAMS_MODELO!$B$50),PARAMS_MODELO!$B$45),"DIAMANTE",IF(U1005&gt;=MAX(_xlfn.PERCENTILE.INC($U$2:$U$1194,PARAMS_MODELO!$B$51),PARAMS_MODELO!$B$46),"PLATINO",IF(U1005&gt;=MAX(_xlfn.PERCENTILE.INC($U$2:$U$1194,PARAMS_MODELO!$B$52),PARAMS_MODELO!$B$47),"ORO",IF(U1005&gt;=MAX(_xlfn.PERCENTILE.INC($U$2:$U$1194,PARAMS_MODELO!$B$53),PARAMS_MODELO!$B$48),"PLATA",IF(U1005&gt;=1,"BRONCE","CERRADO")))))</f>
        <v>BRONCE</v>
      </c>
      <c r="W1005" s="5" t="str" cm="1">
        <f t="array" ref="W1005">_xlfn.XLOOKUP(1, (HIST_SCORE!$B:$B=PARAMS_MODELO!$B$4) * (HIST_SCORE!$C:$C=A1005), HIST_SCORE!$E:$E, "No encontrado")</f>
        <v>BRONCE</v>
      </c>
      <c r="X1005" s="5" t="str">
        <f>_xlfn.LET(_xlpm.act,MATCH(V1005,{"DIAMANTE";"PLATINO";"ORO";"PLATA";"BRONCE";"CERRADO"},0),_xlpm.ant,MATCH(W1005,{"DIAMANTE";"PLATINO";"ORO";"PLATA";"BRONCE";"CERRADO"},0),IF(_xlpm.act&lt;_xlpm.ant,"Mejora ↑",IF(_xlpm.act&gt;_xlpm.ant,"Baja ↓","Estable →")))</f>
        <v>Estable →</v>
      </c>
      <c r="Y1005" s="5">
        <f>IFERROR(U1005-SUMIFS(HIST_SCORE!$D:$D,HIST_SCORE!$B:$B,PARAMS_MODELO!$B$4,HIST_SCORE!$C:$C,$A1005),"")</f>
        <v>0</v>
      </c>
      <c r="Z1005" s="5" t="str">
        <f t="shared" si="365"/>
        <v>→ Estable</v>
      </c>
      <c r="AA1005" s="5">
        <f t="shared" si="366"/>
        <v>1037</v>
      </c>
      <c r="AB1005" s="5">
        <f>IFERROR(SUMIFS(HIST_SCORE!$F:$F,HIST_SCORE!$B:$B,PARAMS_MODELO!$B$4,HIST_SCORE!$C:$C,$A1005),"")</f>
        <v>1034</v>
      </c>
      <c r="AC1005" s="5">
        <f t="shared" si="367"/>
        <v>-3</v>
      </c>
      <c r="AD1005" t="str">
        <f t="shared" si="369"/>
        <v/>
      </c>
      <c r="AE10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1005="CERRADO",1,IF(V1005="BRONCE",_xlpm.cPl,IF(V1005="PLATA",_xlpm.cO,IF(V1005="ORO",_xlpm.cP,IF(V1005="PLATINO",_xlpm.cD,999))))))</f>
        <v>24.506573482968111</v>
      </c>
      <c r="AF10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1005="CERRADO",0,IF(V1005="BRONCE",1,IF(V1005="PLATA",_xlpm.cPl,IF(V1005="ORO",_xlpm.cO,IF(V1005="PLATINO",_xlpm.cP,_xlpm.cD))))))</f>
        <v>1</v>
      </c>
      <c r="AG1005">
        <f t="shared" si="370"/>
        <v>6.9065734829681098</v>
      </c>
      <c r="AH1005" t="str">
        <f t="shared" si="371"/>
        <v>VENTAS</v>
      </c>
      <c r="AI1005" t="str">
        <f t="shared" si="368"/>
        <v>🎯 Para subir de categoría, eje VENTAS / CRECIMIENTO PERSONAL (F). Acción: metas semanales + activación comercial + seguimiento del asesor. ΔR aprox: 6,9</v>
      </c>
      <c r="AJ1005" s="26">
        <f>_xlfn.LET(_xlpm.piso,AF1005,_xlpm.corte,AE1005,_xlpm.prog,IF(_xlpm.corte&lt;=_xlpm.piso,0,MAX(0,MIN(1,(U1005-_xlpm.piso)/(_xlpm.corte-_xlpm.piso)))),_xlpm.orden,{"DIAMANTE";"PLATINO";"ORO";"PLATA";"BRONCE";"CERRADO"},_xlpm.act,IFERROR(MATCH(V1005,_xlpm.orden,0),6),_xlpm.ant,IFERROR(MATCH(W1005,_xlpm.orden,0),6),_xlpm.ajmov,IF(_xlpm.act&lt;_xlpm.ant,0.08,IF(_xlpm.act&gt;_xlpm.ant,-0.08,0)),_xlpm.ajcli,IF(T1005&lt;0.95,-0.06,0),_xlpm.prob,MAX(0,MIN(1,_xlpm.prog+_xlpm.ajmov+_xlpm.ajcli)),IF(OR(V1005="DIAMANTE",V1005="CERRADO"),0,ROUND(_xlpm.prob,2)))</f>
        <v>0.71</v>
      </c>
      <c r="AK1005" t="str">
        <f t="shared" si="372"/>
        <v>Faltan 6,9 puntos base para subir a la siguiente categoría</v>
      </c>
      <c r="AL1005" t="str">
        <f t="shared" si="373"/>
        <v>No aplica</v>
      </c>
      <c r="AM1005">
        <f t="shared" si="374"/>
        <v>0.39</v>
      </c>
      <c r="AN1005" t="str">
        <f t="shared" si="375"/>
        <v>PRIORIDAD BAJA – control normal</v>
      </c>
      <c r="AO1005">
        <f t="shared" si="376"/>
        <v>64.862569275295584</v>
      </c>
      <c r="AP1005">
        <f t="shared" si="377"/>
        <v>15</v>
      </c>
      <c r="AQ1005">
        <f t="shared" si="378"/>
        <v>0</v>
      </c>
      <c r="AR1005">
        <f t="shared" si="379"/>
        <v>2.3999999999999995</v>
      </c>
      <c r="AS1005">
        <f t="shared" si="380"/>
        <v>0</v>
      </c>
      <c r="AT1005" t="str">
        <f t="shared" si="381"/>
        <v>VENTAS</v>
      </c>
      <c r="AU1005">
        <f t="shared" si="382"/>
        <v>64.862569275295584</v>
      </c>
      <c r="AV1005" t="str">
        <f t="shared" si="383"/>
        <v>Mayor retorno probable: VENTAS (+64,9 puntos finales potenciales).</v>
      </c>
    </row>
    <row r="1006" spans="1:48" x14ac:dyDescent="0.3">
      <c r="A1006" s="5">
        <v>51005384</v>
      </c>
      <c r="B1006" s="5" t="str">
        <f>IFERROR(VLOOKUP(A1006,VENTAS!$A$2:$B$1194,2,0),"")</f>
        <v>NELLI</v>
      </c>
      <c r="C1006" s="5">
        <f>IFERROR(INDEX(VENTAS!$C$2:$E$1194,MATCH(A1006,VENTAS!$A$2:$A$1194,0),MATCH(PARAMS_MODELO!$B$2,{"Q1","Q2","Q3"},0)),0)</f>
        <v>45491269.799999997</v>
      </c>
      <c r="D1006" s="5">
        <f>IFERROR(INDEX(VENTAS!$F$2:$H$1194,MATCH(A1006,VENTAS!$A$2:$A$1194,0),MATCH(PARAMS_MODELO!$B$2,{"Q1","Q2","Q3"},0)),0)</f>
        <v>0</v>
      </c>
      <c r="E1006" s="8">
        <f t="shared" si="360"/>
        <v>-1</v>
      </c>
      <c r="F1006" s="12">
        <f>IF(E1006&lt;=PARAMS_MODELO!$B$15,0,IF(E1006&gt;=PARAMS_MODELO!$B$17,100,100*MIN(1,(E1006-PARAMS_MODELO!$B$15)/(PARAMS_MODELO!$B$16-PARAMS_MODELO!$B$15))))*PARAMS_MODELO!$B$7</f>
        <v>0</v>
      </c>
      <c r="G1006" s="5">
        <f t="shared" si="361"/>
        <v>0</v>
      </c>
      <c r="H1006" s="5">
        <f>(PARAMS_MODELO!$B$20*(MAX(0,MIN(3,E1006))/3)+PARAMS_MODELO!$B$21*(IFERROR(LN(1+MAX(0,G1006))/LN(1+MAX(0,MAX($G$2:$G$1194))),0)))*100*PARAMS_MODELO!$B$8</f>
        <v>0</v>
      </c>
      <c r="I1006" s="8">
        <f>E1006-PARAMS_MODELO!$B$5</f>
        <v>-1.1775628353755265</v>
      </c>
      <c r="J1006" s="5">
        <f>IF(I1006&lt;=PARAMS_MODELO!$B$18,0,IF(I1006&gt;=PARAMS_MODELO!$B$19,100,100*(I1006-PARAMS_MODELO!$B$18)/(PARAMS_MODELO!$B$19-PARAMS_MODELO!$B$18)))*PARAMS_MODELO!$B$9</f>
        <v>0</v>
      </c>
      <c r="K1006" s="5">
        <f>IFERROR(CHOOSE(MATCH(PARAMS_MODELO!$B$2,{"Q1","Q2","Q3"},0),LOTO!$D1006,LOTO!$F1006,LOTO!$H1006),0)</f>
        <v>0</v>
      </c>
      <c r="L1006" s="8">
        <f t="shared" si="362"/>
        <v>0</v>
      </c>
      <c r="M1006" s="5">
        <f>MIN(100,IF(PARAMS_MODELO!$B$23=0,0,100*L1006/PARAMS_MODELO!$B$23))*PARAMS_MODELO!$B$10</f>
        <v>0</v>
      </c>
      <c r="N1006" s="5">
        <f>IFERROR(VLOOKUP(A1006,COMPLIANCE!$A$2:$F$1996,6,0),100)</f>
        <v>100</v>
      </c>
      <c r="O1006" s="5">
        <f>N1006*PARAMS_MODELO!$B$11</f>
        <v>10</v>
      </c>
      <c r="P1006" s="5">
        <f>IFERROR(VLOOKUP(A1006,DIGITAL!$A$2:$J$2000,7,0),100)</f>
        <v>51</v>
      </c>
      <c r="Q1006" s="5">
        <f>IFERROR(P1006,0)*PARAMS_MODELO!$B$12</f>
        <v>5.1000000000000005</v>
      </c>
      <c r="R1006">
        <f t="shared" si="363"/>
        <v>15.100000000000001</v>
      </c>
      <c r="S1006" s="5" t="str">
        <f>IFERROR(VLOOKUP(A1006,CLIENTE!$A$2:$N$2000,13,0),1)</f>
        <v>Malo</v>
      </c>
      <c r="T1006" s="5">
        <f>IFERROR(VLOOKUP(A1006,CLIENTE!$A$2:$N$2000,14,0),1)</f>
        <v>0.7</v>
      </c>
      <c r="U1006" s="5">
        <f t="shared" si="364"/>
        <v>10.57</v>
      </c>
      <c r="V1006" s="5" t="str">
        <f>IF(U1006&gt;=MAX(_xlfn.PERCENTILE.INC($U$2:$U$1194,PARAMS_MODELO!$B$50),PARAMS_MODELO!$B$45),"DIAMANTE",IF(U1006&gt;=MAX(_xlfn.PERCENTILE.INC($U$2:$U$1194,PARAMS_MODELO!$B$51),PARAMS_MODELO!$B$46),"PLATINO",IF(U1006&gt;=MAX(_xlfn.PERCENTILE.INC($U$2:$U$1194,PARAMS_MODELO!$B$52),PARAMS_MODELO!$B$47),"ORO",IF(U1006&gt;=MAX(_xlfn.PERCENTILE.INC($U$2:$U$1194,PARAMS_MODELO!$B$53),PARAMS_MODELO!$B$48),"PLATA",IF(U1006&gt;=1,"BRONCE","CERRADO")))))</f>
        <v>BRONCE</v>
      </c>
      <c r="W1006" s="5" t="str" cm="1">
        <f t="array" ref="W1006">_xlfn.XLOOKUP(1, (HIST_SCORE!$B:$B=PARAMS_MODELO!$B$4) * (HIST_SCORE!$C:$C=A1006), HIST_SCORE!$E:$E, "No encontrado")</f>
        <v>PLATA</v>
      </c>
      <c r="X1006" s="5" t="str">
        <f>_xlfn.LET(_xlpm.act,MATCH(V1006,{"DIAMANTE";"PLATINO";"ORO";"PLATA";"BRONCE";"CERRADO"},0),_xlpm.ant,MATCH(W1006,{"DIAMANTE";"PLATINO";"ORO";"PLATA";"BRONCE";"CERRADO"},0),IF(_xlpm.act&lt;_xlpm.ant,"Mejora ↑",IF(_xlpm.act&gt;_xlpm.ant,"Baja ↓","Estable →")))</f>
        <v>Baja ↓</v>
      </c>
      <c r="Y1006" s="5">
        <f>IFERROR(U1006-SUMIFS(HIST_SCORE!$D:$D,HIST_SCORE!$B:$B,PARAMS_MODELO!$B$4,HIST_SCORE!$C:$C,$A1006),"")</f>
        <v>-27.840215269154712</v>
      </c>
      <c r="Z1006" s="5" t="str">
        <f t="shared" si="365"/>
        <v>↓ Baja</v>
      </c>
      <c r="AA1006" s="5">
        <f t="shared" si="366"/>
        <v>1158</v>
      </c>
      <c r="AB1006" s="5">
        <f>IFERROR(SUMIFS(HIST_SCORE!$F:$F,HIST_SCORE!$B:$B,PARAMS_MODELO!$B$4,HIST_SCORE!$C:$C,$A1006),"")</f>
        <v>849</v>
      </c>
      <c r="AC1006" s="5">
        <f t="shared" si="367"/>
        <v>-309</v>
      </c>
      <c r="AD1006" t="str">
        <f t="shared" si="369"/>
        <v>Plan de recuperación: foco crecimiento + mix</v>
      </c>
      <c r="AE10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1006="CERRADO",1,IF(V1006="BRONCE",_xlpm.cPl,IF(V1006="PLATA",_xlpm.cO,IF(V1006="ORO",_xlpm.cP,IF(V1006="PLATINO",_xlpm.cD,999))))))</f>
        <v>24.506573482968111</v>
      </c>
      <c r="AF10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1006="CERRADO",0,IF(V1006="BRONCE",1,IF(V1006="PLATA",_xlpm.cPl,IF(V1006="ORO",_xlpm.cO,IF(V1006="PLATINO",_xlpm.cP,_xlpm.cD))))))</f>
        <v>1</v>
      </c>
      <c r="AG1006">
        <f t="shared" si="370"/>
        <v>19.909390689954442</v>
      </c>
      <c r="AH1006" t="str">
        <f t="shared" si="371"/>
        <v>VENTAS</v>
      </c>
      <c r="AI1006" t="str">
        <f t="shared" si="368"/>
        <v>🎯 Para subir de categoría, eje VENTAS / CRECIMIENTO PERSONAL (F). Acción: metas semanales + activación comercial + seguimiento del asesor. ΔR aprox: 19,9</v>
      </c>
      <c r="AJ1006" s="26">
        <f>_xlfn.LET(_xlpm.piso,AF1006,_xlpm.corte,AE1006,_xlpm.prog,IF(_xlpm.corte&lt;=_xlpm.piso,0,MAX(0,MIN(1,(U1006-_xlpm.piso)/(_xlpm.corte-_xlpm.piso)))),_xlpm.orden,{"DIAMANTE";"PLATINO";"ORO";"PLATA";"BRONCE";"CERRADO"},_xlpm.act,IFERROR(MATCH(V1006,_xlpm.orden,0),6),_xlpm.ant,IFERROR(MATCH(W1006,_xlpm.orden,0),6),_xlpm.ajmov,IF(_xlpm.act&lt;_xlpm.ant,0.08,IF(_xlpm.act&gt;_xlpm.ant,-0.08,0)),_xlpm.ajcli,IF(T1006&lt;0.95,-0.06,0),_xlpm.prob,MAX(0,MIN(1,_xlpm.prog+_xlpm.ajmov+_xlpm.ajcli)),IF(OR(V1006="DIAMANTE",V1006="CERRADO"),0,ROUND(_xlpm.prob,2)))</f>
        <v>0.27</v>
      </c>
      <c r="AK1006" t="str">
        <f t="shared" si="372"/>
        <v>Faltan 19,9 puntos base para subir a la siguiente categoría</v>
      </c>
      <c r="AL1006" t="str">
        <f t="shared" si="373"/>
        <v>No aplica</v>
      </c>
      <c r="AM1006">
        <f t="shared" si="374"/>
        <v>0.89</v>
      </c>
      <c r="AN1006" t="str">
        <f t="shared" si="375"/>
        <v>PRIORIDAD ALTA – requiere intervención inmediata</v>
      </c>
      <c r="AO1006">
        <f t="shared" si="376"/>
        <v>45.403798492706905</v>
      </c>
      <c r="AP1006">
        <f t="shared" si="377"/>
        <v>10.5</v>
      </c>
      <c r="AQ1006">
        <f t="shared" si="378"/>
        <v>0</v>
      </c>
      <c r="AR1006">
        <f t="shared" si="379"/>
        <v>3.4299999999999993</v>
      </c>
      <c r="AS1006">
        <f t="shared" si="380"/>
        <v>4.5300000000000011</v>
      </c>
      <c r="AT1006" t="str">
        <f t="shared" si="381"/>
        <v>VENTAS</v>
      </c>
      <c r="AU1006">
        <f t="shared" si="382"/>
        <v>45.403798492706905</v>
      </c>
      <c r="AV1006" t="str">
        <f t="shared" si="383"/>
        <v>Mayor retorno probable: VENTAS (+45,4 puntos finales potenciales).</v>
      </c>
    </row>
    <row r="1007" spans="1:48" x14ac:dyDescent="0.3">
      <c r="A1007" s="5">
        <v>51005902</v>
      </c>
      <c r="B1007" s="5" t="str">
        <f>IFERROR(VLOOKUP(A1007,VENTAS!$A$2:$B$1194,2,0),"")</f>
        <v>PRADES</v>
      </c>
      <c r="C1007" s="5">
        <f>IFERROR(INDEX(VENTAS!$C$2:$E$1194,MATCH(A1007,VENTAS!$A$2:$A$1194,0),MATCH(PARAMS_MODELO!$B$2,{"Q1","Q2","Q3"},0)),0)</f>
        <v>44359316.960000001</v>
      </c>
      <c r="D1007" s="5">
        <f>IFERROR(INDEX(VENTAS!$F$2:$H$1194,MATCH(A1007,VENTAS!$A$2:$A$1194,0),MATCH(PARAMS_MODELO!$B$2,{"Q1","Q2","Q3"},0)),0)</f>
        <v>0</v>
      </c>
      <c r="E1007" s="8">
        <f t="shared" si="360"/>
        <v>-1</v>
      </c>
      <c r="F1007" s="12">
        <f>IF(E1007&lt;=PARAMS_MODELO!$B$15,0,IF(E1007&gt;=PARAMS_MODELO!$B$17,100,100*MIN(1,(E1007-PARAMS_MODELO!$B$15)/(PARAMS_MODELO!$B$16-PARAMS_MODELO!$B$15))))*PARAMS_MODELO!$B$7</f>
        <v>0</v>
      </c>
      <c r="G1007" s="5">
        <f t="shared" si="361"/>
        <v>0</v>
      </c>
      <c r="H1007" s="5">
        <f>(PARAMS_MODELO!$B$20*(MAX(0,MIN(3,E1007))/3)+PARAMS_MODELO!$B$21*(IFERROR(LN(1+MAX(0,G1007))/LN(1+MAX(0,MAX($G$2:$G$1194))),0)))*100*PARAMS_MODELO!$B$8</f>
        <v>0</v>
      </c>
      <c r="I1007" s="8">
        <f>E1007-PARAMS_MODELO!$B$5</f>
        <v>-1.1775628353755265</v>
      </c>
      <c r="J1007" s="5">
        <f>IF(I1007&lt;=PARAMS_MODELO!$B$18,0,IF(I1007&gt;=PARAMS_MODELO!$B$19,100,100*(I1007-PARAMS_MODELO!$B$18)/(PARAMS_MODELO!$B$19-PARAMS_MODELO!$B$18)))*PARAMS_MODELO!$B$9</f>
        <v>0</v>
      </c>
      <c r="K1007" s="5">
        <f>IFERROR(CHOOSE(MATCH(PARAMS_MODELO!$B$2,{"Q1","Q2","Q3"},0),LOTO!$D1007,LOTO!$F1007,LOTO!$H1007),0)</f>
        <v>0</v>
      </c>
      <c r="L1007" s="8">
        <f t="shared" si="362"/>
        <v>0</v>
      </c>
      <c r="M1007" s="5">
        <f>MIN(100,IF(PARAMS_MODELO!$B$23=0,0,100*L1007/PARAMS_MODELO!$B$23))*PARAMS_MODELO!$B$10</f>
        <v>0</v>
      </c>
      <c r="N1007" s="5">
        <f>IFERROR(VLOOKUP(A1007,COMPLIANCE!$A$2:$F$1996,6,0),100)</f>
        <v>100</v>
      </c>
      <c r="O1007" s="5">
        <f>N1007*PARAMS_MODELO!$B$11</f>
        <v>10</v>
      </c>
      <c r="P1007" s="5">
        <f>IFERROR(VLOOKUP(A1007,DIGITAL!$A$2:$J$2000,7,0),100)</f>
        <v>44</v>
      </c>
      <c r="Q1007" s="5">
        <f>IFERROR(P1007,0)*PARAMS_MODELO!$B$12</f>
        <v>4.4000000000000004</v>
      </c>
      <c r="R1007">
        <f t="shared" si="363"/>
        <v>14.4</v>
      </c>
      <c r="S1007" s="5" t="str">
        <f>IFERROR(VLOOKUP(A1007,CLIENTE!$A$2:$N$2000,13,0),1)</f>
        <v>Bueno</v>
      </c>
      <c r="T1007" s="5">
        <f>IFERROR(VLOOKUP(A1007,CLIENTE!$A$2:$N$2000,14,0),1)</f>
        <v>1.1000000000000001</v>
      </c>
      <c r="U1007" s="5">
        <f t="shared" si="364"/>
        <v>15.840000000000002</v>
      </c>
      <c r="V1007" s="5" t="str">
        <f>IF(U1007&gt;=MAX(_xlfn.PERCENTILE.INC($U$2:$U$1194,PARAMS_MODELO!$B$50),PARAMS_MODELO!$B$45),"DIAMANTE",IF(U1007&gt;=MAX(_xlfn.PERCENTILE.INC($U$2:$U$1194,PARAMS_MODELO!$B$51),PARAMS_MODELO!$B$46),"PLATINO",IF(U1007&gt;=MAX(_xlfn.PERCENTILE.INC($U$2:$U$1194,PARAMS_MODELO!$B$52),PARAMS_MODELO!$B$47),"ORO",IF(U1007&gt;=MAX(_xlfn.PERCENTILE.INC($U$2:$U$1194,PARAMS_MODELO!$B$53),PARAMS_MODELO!$B$48),"PLATA",IF(U1007&gt;=1,"BRONCE","CERRADO")))))</f>
        <v>BRONCE</v>
      </c>
      <c r="W1007" s="5" t="str" cm="1">
        <f t="array" ref="W1007">_xlfn.XLOOKUP(1, (HIST_SCORE!$B:$B=PARAMS_MODELO!$B$4) * (HIST_SCORE!$C:$C=A1007), HIST_SCORE!$E:$E, "No encontrado")</f>
        <v>PLATA</v>
      </c>
      <c r="X1007" s="5" t="str">
        <f>_xlfn.LET(_xlpm.act,MATCH(V1007,{"DIAMANTE";"PLATINO";"ORO";"PLATA";"BRONCE";"CERRADO"},0),_xlpm.ant,MATCH(W1007,{"DIAMANTE";"PLATINO";"ORO";"PLATA";"BRONCE";"CERRADO"},0),IF(_xlpm.act&lt;_xlpm.ant,"Mejora ↑",IF(_xlpm.act&gt;_xlpm.ant,"Baja ↓","Estable →")))</f>
        <v>Baja ↓</v>
      </c>
      <c r="Y1007" s="5">
        <f>IFERROR(U1007-SUMIFS(HIST_SCORE!$D:$D,HIST_SCORE!$B:$B,PARAMS_MODELO!$B$4,HIST_SCORE!$C:$C,$A1007),"")</f>
        <v>-42.736084236543611</v>
      </c>
      <c r="Z1007" s="5" t="str">
        <f t="shared" si="365"/>
        <v>↓ Baja</v>
      </c>
      <c r="AA1007" s="5">
        <f t="shared" si="366"/>
        <v>1069</v>
      </c>
      <c r="AB1007" s="5">
        <f>IFERROR(SUMIFS(HIST_SCORE!$F:$F,HIST_SCORE!$B:$B,PARAMS_MODELO!$B$4,HIST_SCORE!$C:$C,$A1007),"")</f>
        <v>671</v>
      </c>
      <c r="AC1007" s="5">
        <f t="shared" si="367"/>
        <v>-398</v>
      </c>
      <c r="AD1007" t="str">
        <f t="shared" si="369"/>
        <v>Plan de recuperación: foco crecimiento + mix</v>
      </c>
      <c r="AE10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1007="CERRADO",1,IF(V1007="BRONCE",_xlpm.cPl,IF(V1007="PLATA",_xlpm.cO,IF(V1007="ORO",_xlpm.cP,IF(V1007="PLATINO",_xlpm.cD,999))))))</f>
        <v>24.506573482968111</v>
      </c>
      <c r="AF10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1007="CERRADO",0,IF(V1007="BRONCE",1,IF(V1007="PLATA",_xlpm.cPl,IF(V1007="ORO",_xlpm.cO,IF(V1007="PLATINO",_xlpm.cP,_xlpm.cD))))))</f>
        <v>1</v>
      </c>
      <c r="AG1007">
        <f t="shared" si="370"/>
        <v>7.8787031663346436</v>
      </c>
      <c r="AH1007" t="str">
        <f t="shared" si="371"/>
        <v>VENTAS</v>
      </c>
      <c r="AI1007" t="str">
        <f t="shared" si="368"/>
        <v>🎯 Para subir de categoría, eje VENTAS / CRECIMIENTO PERSONAL (F). Acción: metas semanales + activación comercial + seguimiento del asesor. ΔR aprox: 7,9</v>
      </c>
      <c r="AJ1007" s="26">
        <f>_xlfn.LET(_xlpm.piso,AF1007,_xlpm.corte,AE1007,_xlpm.prog,IF(_xlpm.corte&lt;=_xlpm.piso,0,MAX(0,MIN(1,(U1007-_xlpm.piso)/(_xlpm.corte-_xlpm.piso)))),_xlpm.orden,{"DIAMANTE";"PLATINO";"ORO";"PLATA";"BRONCE";"CERRADO"},_xlpm.act,IFERROR(MATCH(V1007,_xlpm.orden,0),6),_xlpm.ant,IFERROR(MATCH(W1007,_xlpm.orden,0),6),_xlpm.ajmov,IF(_xlpm.act&lt;_xlpm.ant,0.08,IF(_xlpm.act&gt;_xlpm.ant,-0.08,0)),_xlpm.ajcli,IF(T1007&lt;0.95,-0.06,0),_xlpm.prob,MAX(0,MIN(1,_xlpm.prog+_xlpm.ajmov+_xlpm.ajcli)),IF(OR(V1007="DIAMANTE",V1007="CERRADO"),0,ROUND(_xlpm.prob,2)))</f>
        <v>0.55000000000000004</v>
      </c>
      <c r="AK1007" t="str">
        <f t="shared" si="372"/>
        <v>Faltan 7,9 puntos base para subir a la siguiente categoría</v>
      </c>
      <c r="AL1007" t="str">
        <f t="shared" si="373"/>
        <v>No aplica</v>
      </c>
      <c r="AM1007">
        <f t="shared" si="374"/>
        <v>0.5</v>
      </c>
      <c r="AN1007" t="str">
        <f t="shared" si="375"/>
        <v>PRIORIDAD MEDIA – seguimiento del asesor</v>
      </c>
      <c r="AO1007">
        <f t="shared" si="376"/>
        <v>71.348826202825151</v>
      </c>
      <c r="AP1007">
        <f t="shared" si="377"/>
        <v>16.5</v>
      </c>
      <c r="AQ1007">
        <f t="shared" si="378"/>
        <v>0</v>
      </c>
      <c r="AR1007">
        <f t="shared" si="379"/>
        <v>6.16</v>
      </c>
      <c r="AS1007">
        <f t="shared" si="380"/>
        <v>0</v>
      </c>
      <c r="AT1007" t="str">
        <f t="shared" si="381"/>
        <v>VENTAS</v>
      </c>
      <c r="AU1007">
        <f t="shared" si="382"/>
        <v>71.348826202825151</v>
      </c>
      <c r="AV1007" t="str">
        <f t="shared" si="383"/>
        <v>Mayor retorno probable: VENTAS (+71,3 puntos finales potenciales).</v>
      </c>
    </row>
    <row r="1008" spans="1:48" x14ac:dyDescent="0.3">
      <c r="A1008" s="5">
        <v>51006445</v>
      </c>
      <c r="B1008" s="5" t="str">
        <f>IFERROR(VLOOKUP(A1008,VENTAS!$A$2:$B$1194,2,0),"")</f>
        <v/>
      </c>
      <c r="C1008" s="5">
        <f>IFERROR(INDEX(VENTAS!$C$2:$E$1194,MATCH(A1008,VENTAS!$A$2:$A$1194,0),MATCH(PARAMS_MODELO!$B$2,{"Q1","Q2","Q3"},0)),0)</f>
        <v>109088306.28</v>
      </c>
      <c r="D1008" s="5">
        <f>IFERROR(INDEX(VENTAS!$F$2:$H$1194,MATCH(A1008,VENTAS!$A$2:$A$1194,0),MATCH(PARAMS_MODELO!$B$2,{"Q1","Q2","Q3"},0)),0)</f>
        <v>0</v>
      </c>
      <c r="E1008" s="8">
        <f t="shared" si="360"/>
        <v>-1</v>
      </c>
      <c r="F1008" s="12">
        <f>IF(E1008&lt;=PARAMS_MODELO!$B$15,0,IF(E1008&gt;=PARAMS_MODELO!$B$17,100,100*MIN(1,(E1008-PARAMS_MODELO!$B$15)/(PARAMS_MODELO!$B$16-PARAMS_MODELO!$B$15))))*PARAMS_MODELO!$B$7</f>
        <v>0</v>
      </c>
      <c r="G1008" s="5">
        <f t="shared" si="361"/>
        <v>0</v>
      </c>
      <c r="H1008" s="5">
        <f>(PARAMS_MODELO!$B$20*(MAX(0,MIN(3,E1008))/3)+PARAMS_MODELO!$B$21*(IFERROR(LN(1+MAX(0,G1008))/LN(1+MAX(0,MAX($G$2:$G$1194))),0)))*100*PARAMS_MODELO!$B$8</f>
        <v>0</v>
      </c>
      <c r="I1008" s="8">
        <f>E1008-PARAMS_MODELO!$B$5</f>
        <v>-1.1775628353755265</v>
      </c>
      <c r="J1008" s="5">
        <f>IF(I1008&lt;=PARAMS_MODELO!$B$18,0,IF(I1008&gt;=PARAMS_MODELO!$B$19,100,100*(I1008-PARAMS_MODELO!$B$18)/(PARAMS_MODELO!$B$19-PARAMS_MODELO!$B$18)))*PARAMS_MODELO!$B$9</f>
        <v>0</v>
      </c>
      <c r="K1008" s="5">
        <f>IFERROR(CHOOSE(MATCH(PARAMS_MODELO!$B$2,{"Q1","Q2","Q3"},0),LOTO!$D1008,LOTO!$F1008,LOTO!$H1008),0)</f>
        <v>0</v>
      </c>
      <c r="L1008" s="8">
        <f t="shared" si="362"/>
        <v>0</v>
      </c>
      <c r="M1008" s="5">
        <f>MIN(100,IF(PARAMS_MODELO!$B$23=0,0,100*L1008/PARAMS_MODELO!$B$23))*PARAMS_MODELO!$B$10</f>
        <v>0</v>
      </c>
      <c r="N1008" s="5">
        <f>IFERROR(VLOOKUP(A1008,COMPLIANCE!$A$2:$F$1996,6,0),100)</f>
        <v>97.6</v>
      </c>
      <c r="O1008" s="5">
        <f>N1008*PARAMS_MODELO!$B$11</f>
        <v>9.76</v>
      </c>
      <c r="P1008" s="5">
        <f>IFERROR(VLOOKUP(A1008,DIGITAL!$A$2:$J$2000,7,0),100)</f>
        <v>96</v>
      </c>
      <c r="Q1008" s="5">
        <f>IFERROR(P1008,0)*PARAMS_MODELO!$B$12</f>
        <v>9.6000000000000014</v>
      </c>
      <c r="R1008">
        <f t="shared" si="363"/>
        <v>19.36</v>
      </c>
      <c r="S1008" s="5" t="str">
        <f>IFERROR(VLOOKUP(A1008,CLIENTE!$A$2:$N$2000,13,0),1)</f>
        <v>Regular</v>
      </c>
      <c r="T1008" s="5">
        <f>IFERROR(VLOOKUP(A1008,CLIENTE!$A$2:$N$2000,14,0),1)</f>
        <v>1</v>
      </c>
      <c r="U1008" s="5">
        <f t="shared" si="364"/>
        <v>19.36</v>
      </c>
      <c r="V1008" s="5" t="str">
        <f>IF(U1008&gt;=MAX(_xlfn.PERCENTILE.INC($U$2:$U$1194,PARAMS_MODELO!$B$50),PARAMS_MODELO!$B$45),"DIAMANTE",IF(U1008&gt;=MAX(_xlfn.PERCENTILE.INC($U$2:$U$1194,PARAMS_MODELO!$B$51),PARAMS_MODELO!$B$46),"PLATINO",IF(U1008&gt;=MAX(_xlfn.PERCENTILE.INC($U$2:$U$1194,PARAMS_MODELO!$B$52),PARAMS_MODELO!$B$47),"ORO",IF(U1008&gt;=MAX(_xlfn.PERCENTILE.INC($U$2:$U$1194,PARAMS_MODELO!$B$53),PARAMS_MODELO!$B$48),"PLATA",IF(U1008&gt;=1,"BRONCE","CERRADO")))))</f>
        <v>BRONCE</v>
      </c>
      <c r="W1008" s="5" t="str" cm="1">
        <f t="array" ref="W1008">_xlfn.XLOOKUP(1, (HIST_SCORE!$B:$B=PARAMS_MODELO!$B$4) * (HIST_SCORE!$C:$C=A1008), HIST_SCORE!$E:$E, "No encontrado")</f>
        <v>BRONCE</v>
      </c>
      <c r="X1008" s="5" t="str">
        <f>_xlfn.LET(_xlpm.act,MATCH(V1008,{"DIAMANTE";"PLATINO";"ORO";"PLATA";"BRONCE";"CERRADO"},0),_xlpm.ant,MATCH(W1008,{"DIAMANTE";"PLATINO";"ORO";"PLATA";"BRONCE";"CERRADO"},0),IF(_xlpm.act&lt;_xlpm.ant,"Mejora ↑",IF(_xlpm.act&gt;_xlpm.ant,"Baja ↓","Estable →")))</f>
        <v>Estable →</v>
      </c>
      <c r="Y1008" s="5">
        <f>IFERROR(U1008-SUMIFS(HIST_SCORE!$D:$D,HIST_SCORE!$B:$B,PARAMS_MODELO!$B$4,HIST_SCORE!$C:$C,$A1008),"")</f>
        <v>0</v>
      </c>
      <c r="Z1008" s="5" t="str">
        <f t="shared" si="365"/>
        <v>→ Estable</v>
      </c>
      <c r="AA1008" s="5">
        <f t="shared" si="366"/>
        <v>990</v>
      </c>
      <c r="AB1008" s="5">
        <f>IFERROR(SUMIFS(HIST_SCORE!$F:$F,HIST_SCORE!$B:$B,PARAMS_MODELO!$B$4,HIST_SCORE!$C:$C,$A1008),"")</f>
        <v>996</v>
      </c>
      <c r="AC1008" s="5">
        <f t="shared" si="367"/>
        <v>6</v>
      </c>
      <c r="AD1008" t="str">
        <f t="shared" si="369"/>
        <v/>
      </c>
      <c r="AE10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1008="CERRADO",1,IF(V1008="BRONCE",_xlpm.cPl,IF(V1008="PLATA",_xlpm.cO,IF(V1008="ORO",_xlpm.cP,IF(V1008="PLATINO",_xlpm.cD,999))))))</f>
        <v>24.506573482968111</v>
      </c>
      <c r="AF10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1008="CERRADO",0,IF(V1008="BRONCE",1,IF(V1008="PLATA",_xlpm.cPl,IF(V1008="ORO",_xlpm.cO,IF(V1008="PLATINO",_xlpm.cP,_xlpm.cD))))))</f>
        <v>1</v>
      </c>
      <c r="AG1008">
        <f t="shared" si="370"/>
        <v>5.1465734829681118</v>
      </c>
      <c r="AH1008" t="str">
        <f t="shared" si="371"/>
        <v>VENTAS</v>
      </c>
      <c r="AI1008" t="str">
        <f t="shared" si="368"/>
        <v>🎯 Para subir de categoría, eje VENTAS / CRECIMIENTO PERSONAL (F). Acción: metas semanales + activación comercial + seguimiento del asesor. ΔR aprox: 5,1</v>
      </c>
      <c r="AJ1008" s="26">
        <f>_xlfn.LET(_xlpm.piso,AF1008,_xlpm.corte,AE1008,_xlpm.prog,IF(_xlpm.corte&lt;=_xlpm.piso,0,MAX(0,MIN(1,(U1008-_xlpm.piso)/(_xlpm.corte-_xlpm.piso)))),_xlpm.orden,{"DIAMANTE";"PLATINO";"ORO";"PLATA";"BRONCE";"CERRADO"},_xlpm.act,IFERROR(MATCH(V1008,_xlpm.orden,0),6),_xlpm.ant,IFERROR(MATCH(W1008,_xlpm.orden,0),6),_xlpm.ajmov,IF(_xlpm.act&lt;_xlpm.ant,0.08,IF(_xlpm.act&gt;_xlpm.ant,-0.08,0)),_xlpm.ajcli,IF(T1008&lt;0.95,-0.06,0),_xlpm.prob,MAX(0,MIN(1,_xlpm.prog+_xlpm.ajmov+_xlpm.ajcli)),IF(OR(V1008="DIAMANTE",V1008="CERRADO"),0,ROUND(_xlpm.prob,2)))</f>
        <v>0.78</v>
      </c>
      <c r="AK1008" t="str">
        <f t="shared" si="372"/>
        <v>Faltan 5,1 puntos base para subir a la siguiente categoría</v>
      </c>
      <c r="AL1008" t="str">
        <f t="shared" si="373"/>
        <v>No aplica</v>
      </c>
      <c r="AM1008">
        <f t="shared" si="374"/>
        <v>0.28999999999999998</v>
      </c>
      <c r="AN1008" t="str">
        <f t="shared" si="375"/>
        <v>PRIORIDAD BAJA – control normal</v>
      </c>
      <c r="AO1008">
        <f t="shared" si="376"/>
        <v>64.862569275295584</v>
      </c>
      <c r="AP1008">
        <f t="shared" si="377"/>
        <v>15</v>
      </c>
      <c r="AQ1008">
        <f t="shared" si="378"/>
        <v>0.24000000000000021</v>
      </c>
      <c r="AR1008">
        <f t="shared" si="379"/>
        <v>0.39999999999999858</v>
      </c>
      <c r="AS1008">
        <f t="shared" si="380"/>
        <v>0</v>
      </c>
      <c r="AT1008" t="str">
        <f t="shared" si="381"/>
        <v>VENTAS</v>
      </c>
      <c r="AU1008">
        <f t="shared" si="382"/>
        <v>64.862569275295584</v>
      </c>
      <c r="AV1008" t="str">
        <f t="shared" si="383"/>
        <v>Mayor retorno probable: VENTAS (+64,9 puntos finales potenciales).</v>
      </c>
    </row>
    <row r="1009" spans="1:48" x14ac:dyDescent="0.3">
      <c r="A1009" s="5">
        <v>51006453</v>
      </c>
      <c r="B1009" s="5" t="str">
        <f>IFERROR(VLOOKUP(A1009,VENTAS!$A$2:$B$1194,2,0),"")</f>
        <v/>
      </c>
      <c r="C1009" s="5">
        <f>IFERROR(INDEX(VENTAS!$C$2:$E$1194,MATCH(A1009,VENTAS!$A$2:$A$1194,0),MATCH(PARAMS_MODELO!$B$2,{"Q1","Q2","Q3"},0)),0)</f>
        <v>0</v>
      </c>
      <c r="D1009" s="5">
        <f>IFERROR(INDEX(VENTAS!$F$2:$H$1194,MATCH(A1009,VENTAS!$A$2:$A$1194,0),MATCH(PARAMS_MODELO!$B$2,{"Q1","Q2","Q3"},0)),0)</f>
        <v>0</v>
      </c>
      <c r="E1009" s="8">
        <f t="shared" si="360"/>
        <v>0</v>
      </c>
      <c r="F1009" s="12">
        <f>IF(E1009&lt;=PARAMS_MODELO!$B$15,0,IF(E1009&gt;=PARAMS_MODELO!$B$17,100,100*MIN(1,(E1009-PARAMS_MODELO!$B$15)/(PARAMS_MODELO!$B$16-PARAMS_MODELO!$B$15))))*PARAMS_MODELO!$B$7</f>
        <v>0</v>
      </c>
      <c r="G1009" s="5">
        <f t="shared" si="361"/>
        <v>0</v>
      </c>
      <c r="H1009" s="5">
        <f>(PARAMS_MODELO!$B$20*(MAX(0,MIN(3,E1009))/3)+PARAMS_MODELO!$B$21*(IFERROR(LN(1+MAX(0,G1009))/LN(1+MAX(0,MAX($G$2:$G$1194))),0)))*100*PARAMS_MODELO!$B$8</f>
        <v>0</v>
      </c>
      <c r="I1009" s="8">
        <f>E1009-PARAMS_MODELO!$B$5</f>
        <v>-0.17756283537552653</v>
      </c>
      <c r="J1009" s="5">
        <f>IF(I1009&lt;=PARAMS_MODELO!$B$18,0,IF(I1009&gt;=PARAMS_MODELO!$B$19,100,100*(I1009-PARAMS_MODELO!$B$18)/(PARAMS_MODELO!$B$19-PARAMS_MODELO!$B$18)))*PARAMS_MODELO!$B$9</f>
        <v>0</v>
      </c>
      <c r="K1009" s="5">
        <f>IFERROR(CHOOSE(MATCH(PARAMS_MODELO!$B$2,{"Q1","Q2","Q3"},0),LOTO!$D1009,LOTO!$F1009,LOTO!$H1009),0)</f>
        <v>0</v>
      </c>
      <c r="L1009" s="8">
        <f t="shared" si="362"/>
        <v>0</v>
      </c>
      <c r="M1009" s="5">
        <f>MIN(100,IF(PARAMS_MODELO!$B$23=0,0,100*L1009/PARAMS_MODELO!$B$23))*PARAMS_MODELO!$B$10</f>
        <v>0</v>
      </c>
      <c r="N1009" s="5">
        <f>IFERROR(VLOOKUP(A1009,COMPLIANCE!$A$2:$F$1996,6,0),100)</f>
        <v>100</v>
      </c>
      <c r="O1009" s="5">
        <f>N1009*PARAMS_MODELO!$B$11</f>
        <v>10</v>
      </c>
      <c r="P1009" s="5">
        <f>IFERROR(VLOOKUP(A1009,DIGITAL!$A$2:$J$2000,7,0),100)</f>
        <v>36</v>
      </c>
      <c r="Q1009" s="5">
        <f>IFERROR(P1009,0)*PARAMS_MODELO!$B$12</f>
        <v>3.6</v>
      </c>
      <c r="R1009">
        <f t="shared" si="363"/>
        <v>13.6</v>
      </c>
      <c r="S1009" s="5" t="str">
        <f>IFERROR(VLOOKUP(A1009,CLIENTE!$A$2:$N$2000,13,0),1)</f>
        <v>Muy Bueno</v>
      </c>
      <c r="T1009" s="5">
        <f>IFERROR(VLOOKUP(A1009,CLIENTE!$A$2:$N$2000,14,0),1)</f>
        <v>1.1499999999999999</v>
      </c>
      <c r="U1009" s="5">
        <f t="shared" si="364"/>
        <v>15.639999999999999</v>
      </c>
      <c r="V1009" s="5" t="str">
        <f>IF(U1009&gt;=MAX(_xlfn.PERCENTILE.INC($U$2:$U$1194,PARAMS_MODELO!$B$50),PARAMS_MODELO!$B$45),"DIAMANTE",IF(U1009&gt;=MAX(_xlfn.PERCENTILE.INC($U$2:$U$1194,PARAMS_MODELO!$B$51),PARAMS_MODELO!$B$46),"PLATINO",IF(U1009&gt;=MAX(_xlfn.PERCENTILE.INC($U$2:$U$1194,PARAMS_MODELO!$B$52),PARAMS_MODELO!$B$47),"ORO",IF(U1009&gt;=MAX(_xlfn.PERCENTILE.INC($U$2:$U$1194,PARAMS_MODELO!$B$53),PARAMS_MODELO!$B$48),"PLATA",IF(U1009&gt;=1,"BRONCE","CERRADO")))))</f>
        <v>BRONCE</v>
      </c>
      <c r="W1009" s="5" t="str" cm="1">
        <f t="array" ref="W1009">_xlfn.XLOOKUP(1, (HIST_SCORE!$B:$B=PARAMS_MODELO!$B$4) * (HIST_SCORE!$C:$C=A1009), HIST_SCORE!$E:$E, "No encontrado")</f>
        <v>BRONCE</v>
      </c>
      <c r="X1009" s="5" t="str">
        <f>_xlfn.LET(_xlpm.act,MATCH(V1009,{"DIAMANTE";"PLATINO";"ORO";"PLATA";"BRONCE";"CERRADO"},0),_xlpm.ant,MATCH(W1009,{"DIAMANTE";"PLATINO";"ORO";"PLATA";"BRONCE";"CERRADO"},0),IF(_xlpm.act&lt;_xlpm.ant,"Mejora ↑",IF(_xlpm.act&gt;_xlpm.ant,"Baja ↓","Estable →")))</f>
        <v>Estable →</v>
      </c>
      <c r="Y1009" s="5">
        <f>IFERROR(U1009-SUMIFS(HIST_SCORE!$D:$D,HIST_SCORE!$B:$B,PARAMS_MODELO!$B$4,HIST_SCORE!$C:$C,$A1009),"")</f>
        <v>0</v>
      </c>
      <c r="Z1009" s="5" t="str">
        <f t="shared" si="365"/>
        <v>→ Estable</v>
      </c>
      <c r="AA1009" s="5">
        <f t="shared" si="366"/>
        <v>1072</v>
      </c>
      <c r="AB1009" s="5">
        <f>IFERROR(SUMIFS(HIST_SCORE!$F:$F,HIST_SCORE!$B:$B,PARAMS_MODELO!$B$4,HIST_SCORE!$C:$C,$A1009),"")</f>
        <v>1068</v>
      </c>
      <c r="AC1009" s="5">
        <f t="shared" si="367"/>
        <v>-4</v>
      </c>
      <c r="AD1009" t="str">
        <f t="shared" si="369"/>
        <v/>
      </c>
      <c r="AE10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1009="CERRADO",1,IF(V1009="BRONCE",_xlpm.cPl,IF(V1009="PLATA",_xlpm.cO,IF(V1009="ORO",_xlpm.cP,IF(V1009="PLATINO",_xlpm.cD,999))))))</f>
        <v>24.506573482968111</v>
      </c>
      <c r="AF10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1009="CERRADO",0,IF(V1009="BRONCE",1,IF(V1009="PLATA",_xlpm.cPl,IF(V1009="ORO",_xlpm.cO,IF(V1009="PLATINO",_xlpm.cP,_xlpm.cD))))))</f>
        <v>1</v>
      </c>
      <c r="AG1009">
        <f t="shared" si="370"/>
        <v>7.7100638982331429</v>
      </c>
      <c r="AH1009" t="str">
        <f t="shared" si="371"/>
        <v>VENTAS</v>
      </c>
      <c r="AI1009" t="str">
        <f t="shared" si="368"/>
        <v>🎯 Para subir de categoría, eje VENTAS / CRECIMIENTO PERSONAL (F). Acción: metas semanales + activación comercial + seguimiento del asesor. ΔR aprox: 7,7</v>
      </c>
      <c r="AJ1009" s="26">
        <f>_xlfn.LET(_xlpm.piso,AF1009,_xlpm.corte,AE1009,_xlpm.prog,IF(_xlpm.corte&lt;=_xlpm.piso,0,MAX(0,MIN(1,(U1009-_xlpm.piso)/(_xlpm.corte-_xlpm.piso)))),_xlpm.orden,{"DIAMANTE";"PLATINO";"ORO";"PLATA";"BRONCE";"CERRADO"},_xlpm.act,IFERROR(MATCH(V1009,_xlpm.orden,0),6),_xlpm.ant,IFERROR(MATCH(W1009,_xlpm.orden,0),6),_xlpm.ajmov,IF(_xlpm.act&lt;_xlpm.ant,0.08,IF(_xlpm.act&gt;_xlpm.ant,-0.08,0)),_xlpm.ajcli,IF(T1009&lt;0.95,-0.06,0),_xlpm.prob,MAX(0,MIN(1,_xlpm.prog+_xlpm.ajmov+_xlpm.ajcli)),IF(OR(V1009="DIAMANTE",V1009="CERRADO"),0,ROUND(_xlpm.prob,2)))</f>
        <v>0.62</v>
      </c>
      <c r="AK1009" t="str">
        <f t="shared" si="372"/>
        <v>Faltan 7,7 puntos base para subir a la siguiente categoría</v>
      </c>
      <c r="AL1009" t="str">
        <f t="shared" si="373"/>
        <v>No aplica</v>
      </c>
      <c r="AM1009">
        <f t="shared" si="374"/>
        <v>0.46</v>
      </c>
      <c r="AN1009" t="str">
        <f t="shared" si="375"/>
        <v>PRIORIDAD MEDIA – seguimiento del asesor</v>
      </c>
      <c r="AO1009">
        <f t="shared" si="376"/>
        <v>74.591954666589913</v>
      </c>
      <c r="AP1009">
        <f t="shared" si="377"/>
        <v>17.25</v>
      </c>
      <c r="AQ1009">
        <f t="shared" si="378"/>
        <v>0</v>
      </c>
      <c r="AR1009">
        <f t="shared" si="379"/>
        <v>7.3599999999999994</v>
      </c>
      <c r="AS1009">
        <f t="shared" si="380"/>
        <v>0</v>
      </c>
      <c r="AT1009" t="str">
        <f t="shared" si="381"/>
        <v>VENTAS</v>
      </c>
      <c r="AU1009">
        <f t="shared" si="382"/>
        <v>74.591954666589913</v>
      </c>
      <c r="AV1009" t="str">
        <f t="shared" si="383"/>
        <v>Mayor retorno probable: VENTAS (+74,6 puntos finales potenciales).</v>
      </c>
    </row>
    <row r="1010" spans="1:48" x14ac:dyDescent="0.3">
      <c r="A1010" s="5">
        <v>51006518</v>
      </c>
      <c r="B1010" s="5" t="str">
        <f>IFERROR(VLOOKUP(A1010,VENTAS!$A$2:$B$1194,2,0),"")</f>
        <v/>
      </c>
      <c r="C1010" s="5">
        <f>IFERROR(INDEX(VENTAS!$C$2:$E$1194,MATCH(A1010,VENTAS!$A$2:$A$1194,0),MATCH(PARAMS_MODELO!$B$2,{"Q1","Q2","Q3"},0)),0)</f>
        <v>0</v>
      </c>
      <c r="D1010" s="5">
        <f>IFERROR(INDEX(VENTAS!$F$2:$H$1194,MATCH(A1010,VENTAS!$A$2:$A$1194,0),MATCH(PARAMS_MODELO!$B$2,{"Q1","Q2","Q3"},0)),0)</f>
        <v>0</v>
      </c>
      <c r="E1010" s="8">
        <f t="shared" si="360"/>
        <v>0</v>
      </c>
      <c r="F1010" s="12">
        <f>IF(E1010&lt;=PARAMS_MODELO!$B$15,0,IF(E1010&gt;=PARAMS_MODELO!$B$17,100,100*MIN(1,(E1010-PARAMS_MODELO!$B$15)/(PARAMS_MODELO!$B$16-PARAMS_MODELO!$B$15))))*PARAMS_MODELO!$B$7</f>
        <v>0</v>
      </c>
      <c r="G1010" s="5">
        <f t="shared" si="361"/>
        <v>0</v>
      </c>
      <c r="H1010" s="5">
        <f>(PARAMS_MODELO!$B$20*(MAX(0,MIN(3,E1010))/3)+PARAMS_MODELO!$B$21*(IFERROR(LN(1+MAX(0,G1010))/LN(1+MAX(0,MAX($G$2:$G$1194))),0)))*100*PARAMS_MODELO!$B$8</f>
        <v>0</v>
      </c>
      <c r="I1010" s="8">
        <f>E1010-PARAMS_MODELO!$B$5</f>
        <v>-0.17756283537552653</v>
      </c>
      <c r="J1010" s="5">
        <f>IF(I1010&lt;=PARAMS_MODELO!$B$18,0,IF(I1010&gt;=PARAMS_MODELO!$B$19,100,100*(I1010-PARAMS_MODELO!$B$18)/(PARAMS_MODELO!$B$19-PARAMS_MODELO!$B$18)))*PARAMS_MODELO!$B$9</f>
        <v>0</v>
      </c>
      <c r="K1010" s="5">
        <f>IFERROR(CHOOSE(MATCH(PARAMS_MODELO!$B$2,{"Q1","Q2","Q3"},0),LOTO!$D1010,LOTO!$F1010,LOTO!$H1010),0)</f>
        <v>0</v>
      </c>
      <c r="L1010" s="8">
        <f t="shared" si="362"/>
        <v>0</v>
      </c>
      <c r="M1010" s="5">
        <f>MIN(100,IF(PARAMS_MODELO!$B$23=0,0,100*L1010/PARAMS_MODELO!$B$23))*PARAMS_MODELO!$B$10</f>
        <v>0</v>
      </c>
      <c r="N1010" s="5">
        <f>IFERROR(VLOOKUP(A1010,COMPLIANCE!$A$2:$F$1996,6,0),100)</f>
        <v>100</v>
      </c>
      <c r="O1010" s="5">
        <f>N1010*PARAMS_MODELO!$B$11</f>
        <v>10</v>
      </c>
      <c r="P1010" s="5">
        <f>IFERROR(VLOOKUP(A1010,DIGITAL!$A$2:$J$2000,7,0),100)</f>
        <v>83</v>
      </c>
      <c r="Q1010" s="5">
        <f>IFERROR(P1010,0)*PARAMS_MODELO!$B$12</f>
        <v>8.3000000000000007</v>
      </c>
      <c r="R1010">
        <f t="shared" si="363"/>
        <v>18.3</v>
      </c>
      <c r="S1010" s="5" t="str">
        <f>IFERROR(VLOOKUP(A1010,CLIENTE!$A$2:$N$2000,13,0),1)</f>
        <v>Malo</v>
      </c>
      <c r="T1010" s="5">
        <f>IFERROR(VLOOKUP(A1010,CLIENTE!$A$2:$N$2000,14,0),1)</f>
        <v>0.7</v>
      </c>
      <c r="U1010" s="5">
        <f t="shared" si="364"/>
        <v>12.81</v>
      </c>
      <c r="V1010" s="5" t="str">
        <f>IF(U1010&gt;=MAX(_xlfn.PERCENTILE.INC($U$2:$U$1194,PARAMS_MODELO!$B$50),PARAMS_MODELO!$B$45),"DIAMANTE",IF(U1010&gt;=MAX(_xlfn.PERCENTILE.INC($U$2:$U$1194,PARAMS_MODELO!$B$51),PARAMS_MODELO!$B$46),"PLATINO",IF(U1010&gt;=MAX(_xlfn.PERCENTILE.INC($U$2:$U$1194,PARAMS_MODELO!$B$52),PARAMS_MODELO!$B$47),"ORO",IF(U1010&gt;=MAX(_xlfn.PERCENTILE.INC($U$2:$U$1194,PARAMS_MODELO!$B$53),PARAMS_MODELO!$B$48),"PLATA",IF(U1010&gt;=1,"BRONCE","CERRADO")))))</f>
        <v>BRONCE</v>
      </c>
      <c r="W1010" s="5" t="str" cm="1">
        <f t="array" ref="W1010">_xlfn.XLOOKUP(1, (HIST_SCORE!$B:$B=PARAMS_MODELO!$B$4) * (HIST_SCORE!$C:$C=A1010), HIST_SCORE!$E:$E, "No encontrado")</f>
        <v>BRONCE</v>
      </c>
      <c r="X1010" s="5" t="str">
        <f>_xlfn.LET(_xlpm.act,MATCH(V1010,{"DIAMANTE";"PLATINO";"ORO";"PLATA";"BRONCE";"CERRADO"},0),_xlpm.ant,MATCH(W1010,{"DIAMANTE";"PLATINO";"ORO";"PLATA";"BRONCE";"CERRADO"},0),IF(_xlpm.act&lt;_xlpm.ant,"Mejora ↑",IF(_xlpm.act&gt;_xlpm.ant,"Baja ↓","Estable →")))</f>
        <v>Estable →</v>
      </c>
      <c r="Y1010" s="5">
        <f>IFERROR(U1010-SUMIFS(HIST_SCORE!$D:$D,HIST_SCORE!$B:$B,PARAMS_MODELO!$B$4,HIST_SCORE!$C:$C,$A1010),"")</f>
        <v>0</v>
      </c>
      <c r="Z1010" s="5" t="str">
        <f t="shared" si="365"/>
        <v>→ Estable</v>
      </c>
      <c r="AA1010" s="5">
        <f t="shared" si="366"/>
        <v>1117</v>
      </c>
      <c r="AB1010" s="5">
        <f>IFERROR(SUMIFS(HIST_SCORE!$F:$F,HIST_SCORE!$B:$B,PARAMS_MODELO!$B$4,HIST_SCORE!$C:$C,$A1010),"")</f>
        <v>1115</v>
      </c>
      <c r="AC1010" s="5">
        <f t="shared" si="367"/>
        <v>-2</v>
      </c>
      <c r="AD1010" t="str">
        <f t="shared" si="369"/>
        <v/>
      </c>
      <c r="AE10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1010="CERRADO",1,IF(V1010="BRONCE",_xlpm.cPl,IF(V1010="PLATA",_xlpm.cO,IF(V1010="ORO",_xlpm.cP,IF(V1010="PLATINO",_xlpm.cD,999))))))</f>
        <v>24.506573482968111</v>
      </c>
      <c r="AF10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1010="CERRADO",0,IF(V1010="BRONCE",1,IF(V1010="PLATA",_xlpm.cPl,IF(V1010="ORO",_xlpm.cO,IF(V1010="PLATINO",_xlpm.cP,_xlpm.cD))))))</f>
        <v>1</v>
      </c>
      <c r="AG1010">
        <f t="shared" si="370"/>
        <v>16.709390689954443</v>
      </c>
      <c r="AH1010" t="str">
        <f t="shared" si="371"/>
        <v>VENTAS</v>
      </c>
      <c r="AI1010" t="str">
        <f t="shared" si="368"/>
        <v>🎯 Para subir de categoría, eje VENTAS / CRECIMIENTO PERSONAL (F). Acción: metas semanales + activación comercial + seguimiento del asesor. ΔR aprox: 16,7</v>
      </c>
      <c r="AJ1010" s="26">
        <f>_xlfn.LET(_xlpm.piso,AF1010,_xlpm.corte,AE1010,_xlpm.prog,IF(_xlpm.corte&lt;=_xlpm.piso,0,MAX(0,MIN(1,(U1010-_xlpm.piso)/(_xlpm.corte-_xlpm.piso)))),_xlpm.orden,{"DIAMANTE";"PLATINO";"ORO";"PLATA";"BRONCE";"CERRADO"},_xlpm.act,IFERROR(MATCH(V1010,_xlpm.orden,0),6),_xlpm.ant,IFERROR(MATCH(W1010,_xlpm.orden,0),6),_xlpm.ajmov,IF(_xlpm.act&lt;_xlpm.ant,0.08,IF(_xlpm.act&gt;_xlpm.ant,-0.08,0)),_xlpm.ajcli,IF(T1010&lt;0.95,-0.06,0),_xlpm.prob,MAX(0,MIN(1,_xlpm.prog+_xlpm.ajmov+_xlpm.ajcli)),IF(OR(V1010="DIAMANTE",V1010="CERRADO"),0,ROUND(_xlpm.prob,2)))</f>
        <v>0.44</v>
      </c>
      <c r="AK1010" t="str">
        <f t="shared" si="372"/>
        <v>Faltan 16,7 puntos base para subir a la siguiente categoría</v>
      </c>
      <c r="AL1010" t="str">
        <f t="shared" si="373"/>
        <v>No aplica</v>
      </c>
      <c r="AM1010">
        <f t="shared" si="374"/>
        <v>0.82</v>
      </c>
      <c r="AN1010" t="str">
        <f t="shared" si="375"/>
        <v>PRIORIDAD ALTA – requiere intervención inmediata</v>
      </c>
      <c r="AO1010">
        <f t="shared" si="376"/>
        <v>45.403798492706905</v>
      </c>
      <c r="AP1010">
        <f t="shared" si="377"/>
        <v>10.5</v>
      </c>
      <c r="AQ1010">
        <f t="shared" si="378"/>
        <v>0</v>
      </c>
      <c r="AR1010">
        <f t="shared" si="379"/>
        <v>1.1899999999999995</v>
      </c>
      <c r="AS1010">
        <f t="shared" si="380"/>
        <v>5.4900000000000011</v>
      </c>
      <c r="AT1010" t="str">
        <f t="shared" si="381"/>
        <v>VENTAS</v>
      </c>
      <c r="AU1010">
        <f t="shared" si="382"/>
        <v>45.403798492706905</v>
      </c>
      <c r="AV1010" t="str">
        <f t="shared" si="383"/>
        <v>Mayor retorno probable: VENTAS (+45,4 puntos finales potenciales).</v>
      </c>
    </row>
    <row r="1011" spans="1:48" x14ac:dyDescent="0.3">
      <c r="A1011" s="5">
        <v>51006674</v>
      </c>
      <c r="B1011" s="5" t="str">
        <f>IFERROR(VLOOKUP(A1011,VENTAS!$A$2:$B$1194,2,0),"")</f>
        <v/>
      </c>
      <c r="C1011" s="5">
        <f>IFERROR(INDEX(VENTAS!$C$2:$E$1194,MATCH(A1011,VENTAS!$A$2:$A$1194,0),MATCH(PARAMS_MODELO!$B$2,{"Q1","Q2","Q3"},0)),0)</f>
        <v>0</v>
      </c>
      <c r="D1011" s="5">
        <f>IFERROR(INDEX(VENTAS!$F$2:$H$1194,MATCH(A1011,VENTAS!$A$2:$A$1194,0),MATCH(PARAMS_MODELO!$B$2,{"Q1","Q2","Q3"},0)),0)</f>
        <v>0</v>
      </c>
      <c r="E1011" s="8">
        <f t="shared" si="360"/>
        <v>0</v>
      </c>
      <c r="F1011" s="12">
        <f>IF(E1011&lt;=PARAMS_MODELO!$B$15,0,IF(E1011&gt;=PARAMS_MODELO!$B$17,100,100*MIN(1,(E1011-PARAMS_MODELO!$B$15)/(PARAMS_MODELO!$B$16-PARAMS_MODELO!$B$15))))*PARAMS_MODELO!$B$7</f>
        <v>0</v>
      </c>
      <c r="G1011" s="5">
        <f t="shared" si="361"/>
        <v>0</v>
      </c>
      <c r="H1011" s="5">
        <f>(PARAMS_MODELO!$B$20*(MAX(0,MIN(3,E1011))/3)+PARAMS_MODELO!$B$21*(IFERROR(LN(1+MAX(0,G1011))/LN(1+MAX(0,MAX($G$2:$G$1194))),0)))*100*PARAMS_MODELO!$B$8</f>
        <v>0</v>
      </c>
      <c r="I1011" s="8">
        <f>E1011-PARAMS_MODELO!$B$5</f>
        <v>-0.17756283537552653</v>
      </c>
      <c r="J1011" s="5">
        <f>IF(I1011&lt;=PARAMS_MODELO!$B$18,0,IF(I1011&gt;=PARAMS_MODELO!$B$19,100,100*(I1011-PARAMS_MODELO!$B$18)/(PARAMS_MODELO!$B$19-PARAMS_MODELO!$B$18)))*PARAMS_MODELO!$B$9</f>
        <v>0</v>
      </c>
      <c r="K1011" s="5">
        <f>IFERROR(CHOOSE(MATCH(PARAMS_MODELO!$B$2,{"Q1","Q2","Q3"},0),LOTO!$D1011,LOTO!$F1011,LOTO!$H1011),0)</f>
        <v>0</v>
      </c>
      <c r="L1011" s="8">
        <f t="shared" si="362"/>
        <v>0</v>
      </c>
      <c r="M1011" s="5">
        <f>MIN(100,IF(PARAMS_MODELO!$B$23=0,0,100*L1011/PARAMS_MODELO!$B$23))*PARAMS_MODELO!$B$10</f>
        <v>0</v>
      </c>
      <c r="N1011" s="5">
        <f>IFERROR(VLOOKUP(A1011,COMPLIANCE!$A$2:$F$1996,6,0),100)</f>
        <v>100</v>
      </c>
      <c r="O1011" s="5">
        <f>N1011*PARAMS_MODELO!$B$11</f>
        <v>10</v>
      </c>
      <c r="P1011" s="5">
        <f>IFERROR(VLOOKUP(A1011,DIGITAL!$A$2:$J$2000,7,0),100)</f>
        <v>65</v>
      </c>
      <c r="Q1011" s="5">
        <f>IFERROR(P1011,0)*PARAMS_MODELO!$B$12</f>
        <v>6.5</v>
      </c>
      <c r="R1011">
        <f t="shared" si="363"/>
        <v>16.5</v>
      </c>
      <c r="S1011" s="5" t="str">
        <f>IFERROR(VLOOKUP(A1011,CLIENTE!$A$2:$N$2000,13,0),1)</f>
        <v>Regular</v>
      </c>
      <c r="T1011" s="5">
        <f>IFERROR(VLOOKUP(A1011,CLIENTE!$A$2:$N$2000,14,0),1)</f>
        <v>1</v>
      </c>
      <c r="U1011" s="5">
        <f t="shared" si="364"/>
        <v>16.5</v>
      </c>
      <c r="V1011" s="5" t="str">
        <f>IF(U1011&gt;=MAX(_xlfn.PERCENTILE.INC($U$2:$U$1194,PARAMS_MODELO!$B$50),PARAMS_MODELO!$B$45),"DIAMANTE",IF(U1011&gt;=MAX(_xlfn.PERCENTILE.INC($U$2:$U$1194,PARAMS_MODELO!$B$51),PARAMS_MODELO!$B$46),"PLATINO",IF(U1011&gt;=MAX(_xlfn.PERCENTILE.INC($U$2:$U$1194,PARAMS_MODELO!$B$52),PARAMS_MODELO!$B$47),"ORO",IF(U1011&gt;=MAX(_xlfn.PERCENTILE.INC($U$2:$U$1194,PARAMS_MODELO!$B$53),PARAMS_MODELO!$B$48),"PLATA",IF(U1011&gt;=1,"BRONCE","CERRADO")))))</f>
        <v>BRONCE</v>
      </c>
      <c r="W1011" s="5" t="str" cm="1">
        <f t="array" ref="W1011">_xlfn.XLOOKUP(1, (HIST_SCORE!$B:$B=PARAMS_MODELO!$B$4) * (HIST_SCORE!$C:$C=A1011), HIST_SCORE!$E:$E, "No encontrado")</f>
        <v>BRONCE</v>
      </c>
      <c r="X1011" s="5" t="str">
        <f>_xlfn.LET(_xlpm.act,MATCH(V1011,{"DIAMANTE";"PLATINO";"ORO";"PLATA";"BRONCE";"CERRADO"},0),_xlpm.ant,MATCH(W1011,{"DIAMANTE";"PLATINO";"ORO";"PLATA";"BRONCE";"CERRADO"},0),IF(_xlpm.act&lt;_xlpm.ant,"Mejora ↑",IF(_xlpm.act&gt;_xlpm.ant,"Baja ↓","Estable →")))</f>
        <v>Estable →</v>
      </c>
      <c r="Y1011" s="5">
        <f>IFERROR(U1011-SUMIFS(HIST_SCORE!$D:$D,HIST_SCORE!$B:$B,PARAMS_MODELO!$B$4,HIST_SCORE!$C:$C,$A1011),"")</f>
        <v>0</v>
      </c>
      <c r="Z1011" s="5" t="str">
        <f t="shared" si="365"/>
        <v>→ Estable</v>
      </c>
      <c r="AA1011" s="5">
        <f t="shared" si="366"/>
        <v>1060</v>
      </c>
      <c r="AB1011" s="5">
        <f>IFERROR(SUMIFS(HIST_SCORE!$F:$F,HIST_SCORE!$B:$B,PARAMS_MODELO!$B$4,HIST_SCORE!$C:$C,$A1011),"")</f>
        <v>1057</v>
      </c>
      <c r="AC1011" s="5">
        <f t="shared" si="367"/>
        <v>-3</v>
      </c>
      <c r="AD1011" t="str">
        <f t="shared" si="369"/>
        <v/>
      </c>
      <c r="AE10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1011="CERRADO",1,IF(V1011="BRONCE",_xlpm.cPl,IF(V1011="PLATA",_xlpm.cO,IF(V1011="ORO",_xlpm.cP,IF(V1011="PLATINO",_xlpm.cD,999))))))</f>
        <v>24.506573482968111</v>
      </c>
      <c r="AF10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1011="CERRADO",0,IF(V1011="BRONCE",1,IF(V1011="PLATA",_xlpm.cPl,IF(V1011="ORO",_xlpm.cO,IF(V1011="PLATINO",_xlpm.cP,_xlpm.cD))))))</f>
        <v>1</v>
      </c>
      <c r="AG1011">
        <f t="shared" si="370"/>
        <v>8.0065734829681112</v>
      </c>
      <c r="AH1011" t="str">
        <f t="shared" si="371"/>
        <v>VENTAS</v>
      </c>
      <c r="AI1011" t="str">
        <f t="shared" si="368"/>
        <v>🎯 Para subir de categoría, eje VENTAS / CRECIMIENTO PERSONAL (F). Acción: metas semanales + activación comercial + seguimiento del asesor. ΔR aprox: 8,0</v>
      </c>
      <c r="AJ1011" s="26">
        <f>_xlfn.LET(_xlpm.piso,AF1011,_xlpm.corte,AE1011,_xlpm.prog,IF(_xlpm.corte&lt;=_xlpm.piso,0,MAX(0,MIN(1,(U1011-_xlpm.piso)/(_xlpm.corte-_xlpm.piso)))),_xlpm.orden,{"DIAMANTE";"PLATINO";"ORO";"PLATA";"BRONCE";"CERRADO"},_xlpm.act,IFERROR(MATCH(V1011,_xlpm.orden,0),6),_xlpm.ant,IFERROR(MATCH(W1011,_xlpm.orden,0),6),_xlpm.ajmov,IF(_xlpm.act&lt;_xlpm.ant,0.08,IF(_xlpm.act&gt;_xlpm.ant,-0.08,0)),_xlpm.ajcli,IF(T1011&lt;0.95,-0.06,0),_xlpm.prob,MAX(0,MIN(1,_xlpm.prog+_xlpm.ajmov+_xlpm.ajcli)),IF(OR(V1011="DIAMANTE",V1011="CERRADO"),0,ROUND(_xlpm.prob,2)))</f>
        <v>0.66</v>
      </c>
      <c r="AK1011" t="str">
        <f t="shared" si="372"/>
        <v>Faltan 8,0 puntos base para subir a la siguiente categoría</v>
      </c>
      <c r="AL1011" t="str">
        <f t="shared" si="373"/>
        <v>No aplica</v>
      </c>
      <c r="AM1011">
        <f t="shared" si="374"/>
        <v>0.46</v>
      </c>
      <c r="AN1011" t="str">
        <f t="shared" si="375"/>
        <v>PRIORIDAD MEDIA – seguimiento del asesor</v>
      </c>
      <c r="AO1011">
        <f t="shared" si="376"/>
        <v>64.862569275295584</v>
      </c>
      <c r="AP1011">
        <f t="shared" si="377"/>
        <v>15</v>
      </c>
      <c r="AQ1011">
        <f t="shared" si="378"/>
        <v>0</v>
      </c>
      <c r="AR1011">
        <f t="shared" si="379"/>
        <v>3.5</v>
      </c>
      <c r="AS1011">
        <f t="shared" si="380"/>
        <v>0</v>
      </c>
      <c r="AT1011" t="str">
        <f t="shared" si="381"/>
        <v>VENTAS</v>
      </c>
      <c r="AU1011">
        <f t="shared" si="382"/>
        <v>64.862569275295584</v>
      </c>
      <c r="AV1011" t="str">
        <f t="shared" si="383"/>
        <v>Mayor retorno probable: VENTAS (+64,9 puntos finales potenciales).</v>
      </c>
    </row>
    <row r="1012" spans="1:48" x14ac:dyDescent="0.3">
      <c r="A1012" s="5">
        <v>51010094</v>
      </c>
      <c r="B1012" s="5" t="str">
        <f>IFERROR(VLOOKUP(A1012,VENTAS!$A$2:$B$1194,2,0),"")</f>
        <v/>
      </c>
      <c r="C1012" s="5">
        <f>IFERROR(INDEX(VENTAS!$C$2:$E$1194,MATCH(A1012,VENTAS!$A$2:$A$1194,0),MATCH(PARAMS_MODELO!$B$2,{"Q1","Q2","Q3"},0)),0)</f>
        <v>0</v>
      </c>
      <c r="D1012" s="5">
        <f>IFERROR(INDEX(VENTAS!$F$2:$H$1194,MATCH(A1012,VENTAS!$A$2:$A$1194,0),MATCH(PARAMS_MODELO!$B$2,{"Q1","Q2","Q3"},0)),0)</f>
        <v>0</v>
      </c>
      <c r="E1012" s="8">
        <f t="shared" si="360"/>
        <v>0</v>
      </c>
      <c r="F1012" s="12">
        <f>IF(E1012&lt;=PARAMS_MODELO!$B$15,0,IF(E1012&gt;=PARAMS_MODELO!$B$17,100,100*MIN(1,(E1012-PARAMS_MODELO!$B$15)/(PARAMS_MODELO!$B$16-PARAMS_MODELO!$B$15))))*PARAMS_MODELO!$B$7</f>
        <v>0</v>
      </c>
      <c r="G1012" s="5">
        <f t="shared" si="361"/>
        <v>0</v>
      </c>
      <c r="H1012" s="5">
        <f>(PARAMS_MODELO!$B$20*(MAX(0,MIN(3,E1012))/3)+PARAMS_MODELO!$B$21*(IFERROR(LN(1+MAX(0,G1012))/LN(1+MAX(0,MAX($G$2:$G$1194))),0)))*100*PARAMS_MODELO!$B$8</f>
        <v>0</v>
      </c>
      <c r="I1012" s="8">
        <f>E1012-PARAMS_MODELO!$B$5</f>
        <v>-0.17756283537552653</v>
      </c>
      <c r="J1012" s="5">
        <f>IF(I1012&lt;=PARAMS_MODELO!$B$18,0,IF(I1012&gt;=PARAMS_MODELO!$B$19,100,100*(I1012-PARAMS_MODELO!$B$18)/(PARAMS_MODELO!$B$19-PARAMS_MODELO!$B$18)))*PARAMS_MODELO!$B$9</f>
        <v>0</v>
      </c>
      <c r="K1012" s="5">
        <f>IFERROR(CHOOSE(MATCH(PARAMS_MODELO!$B$2,{"Q1","Q2","Q3"},0),LOTO!$D1012,LOTO!$F1012,LOTO!$H1012),0)</f>
        <v>0</v>
      </c>
      <c r="L1012" s="8">
        <f t="shared" si="362"/>
        <v>0</v>
      </c>
      <c r="M1012" s="5">
        <f>MIN(100,IF(PARAMS_MODELO!$B$23=0,0,100*L1012/PARAMS_MODELO!$B$23))*PARAMS_MODELO!$B$10</f>
        <v>0</v>
      </c>
      <c r="N1012" s="5">
        <f>IFERROR(VLOOKUP(A1012,COMPLIANCE!$A$2:$F$1996,6,0),100)</f>
        <v>100</v>
      </c>
      <c r="O1012" s="5">
        <f>N1012*PARAMS_MODELO!$B$11</f>
        <v>10</v>
      </c>
      <c r="P1012" s="5">
        <f>IFERROR(VLOOKUP(A1012,DIGITAL!$A$2:$J$2000,7,0),100)</f>
        <v>53</v>
      </c>
      <c r="Q1012" s="5">
        <f>IFERROR(P1012,0)*PARAMS_MODELO!$B$12</f>
        <v>5.3000000000000007</v>
      </c>
      <c r="R1012">
        <f t="shared" si="363"/>
        <v>15.3</v>
      </c>
      <c r="S1012" s="5" t="str">
        <f>IFERROR(VLOOKUP(A1012,CLIENTE!$A$2:$N$2000,13,0),1)</f>
        <v>Regular</v>
      </c>
      <c r="T1012" s="5">
        <f>IFERROR(VLOOKUP(A1012,CLIENTE!$A$2:$N$2000,14,0),1)</f>
        <v>1</v>
      </c>
      <c r="U1012" s="5">
        <f t="shared" si="364"/>
        <v>15.3</v>
      </c>
      <c r="V1012" s="5" t="str">
        <f>IF(U1012&gt;=MAX(_xlfn.PERCENTILE.INC($U$2:$U$1194,PARAMS_MODELO!$B$50),PARAMS_MODELO!$B$45),"DIAMANTE",IF(U1012&gt;=MAX(_xlfn.PERCENTILE.INC($U$2:$U$1194,PARAMS_MODELO!$B$51),PARAMS_MODELO!$B$46),"PLATINO",IF(U1012&gt;=MAX(_xlfn.PERCENTILE.INC($U$2:$U$1194,PARAMS_MODELO!$B$52),PARAMS_MODELO!$B$47),"ORO",IF(U1012&gt;=MAX(_xlfn.PERCENTILE.INC($U$2:$U$1194,PARAMS_MODELO!$B$53),PARAMS_MODELO!$B$48),"PLATA",IF(U1012&gt;=1,"BRONCE","CERRADO")))))</f>
        <v>BRONCE</v>
      </c>
      <c r="W1012" s="5" t="str" cm="1">
        <f t="array" ref="W1012">_xlfn.XLOOKUP(1, (HIST_SCORE!$B:$B=PARAMS_MODELO!$B$4) * (HIST_SCORE!$C:$C=A1012), HIST_SCORE!$E:$E, "No encontrado")</f>
        <v>BRONCE</v>
      </c>
      <c r="X1012" s="5" t="str">
        <f>_xlfn.LET(_xlpm.act,MATCH(V1012,{"DIAMANTE";"PLATINO";"ORO";"PLATA";"BRONCE";"CERRADO"},0),_xlpm.ant,MATCH(W1012,{"DIAMANTE";"PLATINO";"ORO";"PLATA";"BRONCE";"CERRADO"},0),IF(_xlpm.act&lt;_xlpm.ant,"Mejora ↑",IF(_xlpm.act&gt;_xlpm.ant,"Baja ↓","Estable →")))</f>
        <v>Estable →</v>
      </c>
      <c r="Y1012" s="5">
        <f>IFERROR(U1012-SUMIFS(HIST_SCORE!$D:$D,HIST_SCORE!$B:$B,PARAMS_MODELO!$B$4,HIST_SCORE!$C:$C,$A1012),"")</f>
        <v>0</v>
      </c>
      <c r="Z1012" s="5" t="str">
        <f t="shared" si="365"/>
        <v>→ Estable</v>
      </c>
      <c r="AA1012" s="5">
        <f t="shared" si="366"/>
        <v>1075</v>
      </c>
      <c r="AB1012" s="5">
        <f>IFERROR(SUMIFS(HIST_SCORE!$F:$F,HIST_SCORE!$B:$B,PARAMS_MODELO!$B$4,HIST_SCORE!$C:$C,$A1012),"")</f>
        <v>1072</v>
      </c>
      <c r="AC1012" s="5">
        <f t="shared" si="367"/>
        <v>-3</v>
      </c>
      <c r="AD1012" t="str">
        <f t="shared" si="369"/>
        <v/>
      </c>
      <c r="AE10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1012="CERRADO",1,IF(V1012="BRONCE",_xlpm.cPl,IF(V1012="PLATA",_xlpm.cO,IF(V1012="ORO",_xlpm.cP,IF(V1012="PLATINO",_xlpm.cD,999))))))</f>
        <v>24.506573482968111</v>
      </c>
      <c r="AF10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1012="CERRADO",0,IF(V1012="BRONCE",1,IF(V1012="PLATA",_xlpm.cPl,IF(V1012="ORO",_xlpm.cO,IF(V1012="PLATINO",_xlpm.cP,_xlpm.cD))))))</f>
        <v>1</v>
      </c>
      <c r="AG1012">
        <f t="shared" si="370"/>
        <v>9.2065734829681105</v>
      </c>
      <c r="AH1012" t="str">
        <f t="shared" si="371"/>
        <v>VENTAS</v>
      </c>
      <c r="AI1012" t="str">
        <f t="shared" si="368"/>
        <v>🎯 Para subir de categoría, eje VENTAS / CRECIMIENTO PERSONAL (F). Acción: metas semanales + activación comercial + seguimiento del asesor. ΔR aprox: 9,2</v>
      </c>
      <c r="AJ1012" s="26">
        <f>_xlfn.LET(_xlpm.piso,AF1012,_xlpm.corte,AE1012,_xlpm.prog,IF(_xlpm.corte&lt;=_xlpm.piso,0,MAX(0,MIN(1,(U1012-_xlpm.piso)/(_xlpm.corte-_xlpm.piso)))),_xlpm.orden,{"DIAMANTE";"PLATINO";"ORO";"PLATA";"BRONCE";"CERRADO"},_xlpm.act,IFERROR(MATCH(V1012,_xlpm.orden,0),6),_xlpm.ant,IFERROR(MATCH(W1012,_xlpm.orden,0),6),_xlpm.ajmov,IF(_xlpm.act&lt;_xlpm.ant,0.08,IF(_xlpm.act&gt;_xlpm.ant,-0.08,0)),_xlpm.ajcli,IF(T1012&lt;0.95,-0.06,0),_xlpm.prob,MAX(0,MIN(1,_xlpm.prog+_xlpm.ajmov+_xlpm.ajcli)),IF(OR(V1012="DIAMANTE",V1012="CERRADO"),0,ROUND(_xlpm.prob,2)))</f>
        <v>0.61</v>
      </c>
      <c r="AK1012" t="str">
        <f t="shared" si="372"/>
        <v>Faltan 9,2 puntos base para subir a la siguiente categoría</v>
      </c>
      <c r="AL1012" t="str">
        <f t="shared" si="373"/>
        <v>No aplica</v>
      </c>
      <c r="AM1012">
        <f t="shared" si="374"/>
        <v>0.52</v>
      </c>
      <c r="AN1012" t="str">
        <f t="shared" si="375"/>
        <v>PRIORIDAD MEDIA – seguimiento del asesor</v>
      </c>
      <c r="AO1012">
        <f t="shared" si="376"/>
        <v>64.862569275295584</v>
      </c>
      <c r="AP1012">
        <f t="shared" si="377"/>
        <v>15</v>
      </c>
      <c r="AQ1012">
        <f t="shared" si="378"/>
        <v>0</v>
      </c>
      <c r="AR1012">
        <f t="shared" si="379"/>
        <v>4.6999999999999993</v>
      </c>
      <c r="AS1012">
        <f t="shared" si="380"/>
        <v>0</v>
      </c>
      <c r="AT1012" t="str">
        <f t="shared" si="381"/>
        <v>VENTAS</v>
      </c>
      <c r="AU1012">
        <f t="shared" si="382"/>
        <v>64.862569275295584</v>
      </c>
      <c r="AV1012" t="str">
        <f t="shared" si="383"/>
        <v>Mayor retorno probable: VENTAS (+64,9 puntos finales potenciales).</v>
      </c>
    </row>
    <row r="1013" spans="1:48" x14ac:dyDescent="0.3">
      <c r="A1013" s="5">
        <v>51010108</v>
      </c>
      <c r="B1013" s="5" t="str">
        <f>IFERROR(VLOOKUP(A1013,VENTAS!$A$2:$B$1194,2,0),"")</f>
        <v/>
      </c>
      <c r="C1013" s="5">
        <f>IFERROR(INDEX(VENTAS!$C$2:$E$1194,MATCH(A1013,VENTAS!$A$2:$A$1194,0),MATCH(PARAMS_MODELO!$B$2,{"Q1","Q2","Q3"},0)),0)</f>
        <v>0</v>
      </c>
      <c r="D1013" s="5">
        <f>IFERROR(INDEX(VENTAS!$F$2:$H$1194,MATCH(A1013,VENTAS!$A$2:$A$1194,0),MATCH(PARAMS_MODELO!$B$2,{"Q1","Q2","Q3"},0)),0)</f>
        <v>0</v>
      </c>
      <c r="E1013" s="8">
        <f t="shared" si="360"/>
        <v>0</v>
      </c>
      <c r="F1013" s="12">
        <f>IF(E1013&lt;=PARAMS_MODELO!$B$15,0,IF(E1013&gt;=PARAMS_MODELO!$B$17,100,100*MIN(1,(E1013-PARAMS_MODELO!$B$15)/(PARAMS_MODELO!$B$16-PARAMS_MODELO!$B$15))))*PARAMS_MODELO!$B$7</f>
        <v>0</v>
      </c>
      <c r="G1013" s="5">
        <f t="shared" si="361"/>
        <v>0</v>
      </c>
      <c r="H1013" s="5">
        <f>(PARAMS_MODELO!$B$20*(MAX(0,MIN(3,E1013))/3)+PARAMS_MODELO!$B$21*(IFERROR(LN(1+MAX(0,G1013))/LN(1+MAX(0,MAX($G$2:$G$1194))),0)))*100*PARAMS_MODELO!$B$8</f>
        <v>0</v>
      </c>
      <c r="I1013" s="8">
        <f>E1013-PARAMS_MODELO!$B$5</f>
        <v>-0.17756283537552653</v>
      </c>
      <c r="J1013" s="5">
        <f>IF(I1013&lt;=PARAMS_MODELO!$B$18,0,IF(I1013&gt;=PARAMS_MODELO!$B$19,100,100*(I1013-PARAMS_MODELO!$B$18)/(PARAMS_MODELO!$B$19-PARAMS_MODELO!$B$18)))*PARAMS_MODELO!$B$9</f>
        <v>0</v>
      </c>
      <c r="K1013" s="5">
        <f>IFERROR(CHOOSE(MATCH(PARAMS_MODELO!$B$2,{"Q1","Q2","Q3"},0),LOTO!$D1013,LOTO!$F1013,LOTO!$H1013),0)</f>
        <v>0</v>
      </c>
      <c r="L1013" s="8">
        <f t="shared" si="362"/>
        <v>0</v>
      </c>
      <c r="M1013" s="5">
        <f>MIN(100,IF(PARAMS_MODELO!$B$23=0,0,100*L1013/PARAMS_MODELO!$B$23))*PARAMS_MODELO!$B$10</f>
        <v>0</v>
      </c>
      <c r="N1013" s="5">
        <f>IFERROR(VLOOKUP(A1013,COMPLIANCE!$A$2:$F$1996,6,0),100)</f>
        <v>100</v>
      </c>
      <c r="O1013" s="5">
        <f>N1013*PARAMS_MODELO!$B$11</f>
        <v>10</v>
      </c>
      <c r="P1013" s="5">
        <f>IFERROR(VLOOKUP(A1013,DIGITAL!$A$2:$J$2000,7,0),100)</f>
        <v>48</v>
      </c>
      <c r="Q1013" s="5">
        <f>IFERROR(P1013,0)*PARAMS_MODELO!$B$12</f>
        <v>4.8000000000000007</v>
      </c>
      <c r="R1013">
        <f t="shared" si="363"/>
        <v>14.8</v>
      </c>
      <c r="S1013" s="5" t="str">
        <f>IFERROR(VLOOKUP(A1013,CLIENTE!$A$2:$N$2000,13,0),1)</f>
        <v>Malo</v>
      </c>
      <c r="T1013" s="5">
        <f>IFERROR(VLOOKUP(A1013,CLIENTE!$A$2:$N$2000,14,0),1)</f>
        <v>0.7</v>
      </c>
      <c r="U1013" s="5">
        <f t="shared" si="364"/>
        <v>10.36</v>
      </c>
      <c r="V1013" s="5" t="str">
        <f>IF(U1013&gt;=MAX(_xlfn.PERCENTILE.INC($U$2:$U$1194,PARAMS_MODELO!$B$50),PARAMS_MODELO!$B$45),"DIAMANTE",IF(U1013&gt;=MAX(_xlfn.PERCENTILE.INC($U$2:$U$1194,PARAMS_MODELO!$B$51),PARAMS_MODELO!$B$46),"PLATINO",IF(U1013&gt;=MAX(_xlfn.PERCENTILE.INC($U$2:$U$1194,PARAMS_MODELO!$B$52),PARAMS_MODELO!$B$47),"ORO",IF(U1013&gt;=MAX(_xlfn.PERCENTILE.INC($U$2:$U$1194,PARAMS_MODELO!$B$53),PARAMS_MODELO!$B$48),"PLATA",IF(U1013&gt;=1,"BRONCE","CERRADO")))))</f>
        <v>BRONCE</v>
      </c>
      <c r="W1013" s="5" t="str" cm="1">
        <f t="array" ref="W1013">_xlfn.XLOOKUP(1, (HIST_SCORE!$B:$B=PARAMS_MODELO!$B$4) * (HIST_SCORE!$C:$C=A1013), HIST_SCORE!$E:$E, "No encontrado")</f>
        <v>BRONCE</v>
      </c>
      <c r="X1013" s="5" t="str">
        <f>_xlfn.LET(_xlpm.act,MATCH(V1013,{"DIAMANTE";"PLATINO";"ORO";"PLATA";"BRONCE";"CERRADO"},0),_xlpm.ant,MATCH(W1013,{"DIAMANTE";"PLATINO";"ORO";"PLATA";"BRONCE";"CERRADO"},0),IF(_xlpm.act&lt;_xlpm.ant,"Mejora ↑",IF(_xlpm.act&gt;_xlpm.ant,"Baja ↓","Estable →")))</f>
        <v>Estable →</v>
      </c>
      <c r="Y1013" s="5">
        <f>IFERROR(U1013-SUMIFS(HIST_SCORE!$D:$D,HIST_SCORE!$B:$B,PARAMS_MODELO!$B$4,HIST_SCORE!$C:$C,$A1013),"")</f>
        <v>0</v>
      </c>
      <c r="Z1013" s="5" t="str">
        <f t="shared" si="365"/>
        <v>→ Estable</v>
      </c>
      <c r="AA1013" s="5">
        <f t="shared" si="366"/>
        <v>1163</v>
      </c>
      <c r="AB1013" s="5">
        <f>IFERROR(SUMIFS(HIST_SCORE!$F:$F,HIST_SCORE!$B:$B,PARAMS_MODELO!$B$4,HIST_SCORE!$C:$C,$A1013),"")</f>
        <v>1162</v>
      </c>
      <c r="AC1013" s="5">
        <f t="shared" si="367"/>
        <v>-1</v>
      </c>
      <c r="AD1013" t="str">
        <f t="shared" si="369"/>
        <v/>
      </c>
      <c r="AE10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1013="CERRADO",1,IF(V1013="BRONCE",_xlpm.cPl,IF(V1013="PLATA",_xlpm.cO,IF(V1013="ORO",_xlpm.cP,IF(V1013="PLATINO",_xlpm.cD,999))))))</f>
        <v>24.506573482968111</v>
      </c>
      <c r="AF10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1013="CERRADO",0,IF(V1013="BRONCE",1,IF(V1013="PLATA",_xlpm.cPl,IF(V1013="ORO",_xlpm.cO,IF(V1013="PLATINO",_xlpm.cP,_xlpm.cD))))))</f>
        <v>1</v>
      </c>
      <c r="AG1013">
        <f t="shared" si="370"/>
        <v>20.209390689954443</v>
      </c>
      <c r="AH1013" t="str">
        <f t="shared" si="371"/>
        <v>VENTAS</v>
      </c>
      <c r="AI1013" t="str">
        <f t="shared" si="368"/>
        <v>🎯 Para subir de categoría, eje VENTAS / CRECIMIENTO PERSONAL (F). Acción: metas semanales + activación comercial + seguimiento del asesor. ΔR aprox: 20,2</v>
      </c>
      <c r="AJ1013" s="26">
        <f>_xlfn.LET(_xlpm.piso,AF1013,_xlpm.corte,AE1013,_xlpm.prog,IF(_xlpm.corte&lt;=_xlpm.piso,0,MAX(0,MIN(1,(U1013-_xlpm.piso)/(_xlpm.corte-_xlpm.piso)))),_xlpm.orden,{"DIAMANTE";"PLATINO";"ORO";"PLATA";"BRONCE";"CERRADO"},_xlpm.act,IFERROR(MATCH(V1013,_xlpm.orden,0),6),_xlpm.ant,IFERROR(MATCH(W1013,_xlpm.orden,0),6),_xlpm.ajmov,IF(_xlpm.act&lt;_xlpm.ant,0.08,IF(_xlpm.act&gt;_xlpm.ant,-0.08,0)),_xlpm.ajcli,IF(T1013&lt;0.95,-0.06,0),_xlpm.prob,MAX(0,MIN(1,_xlpm.prog+_xlpm.ajmov+_xlpm.ajcli)),IF(OR(V1013="DIAMANTE",V1013="CERRADO"),0,ROUND(_xlpm.prob,2)))</f>
        <v>0.34</v>
      </c>
      <c r="AK1013" t="str">
        <f t="shared" si="372"/>
        <v>Faltan 20,2 puntos base para subir a la siguiente categoría</v>
      </c>
      <c r="AL1013" t="str">
        <f t="shared" si="373"/>
        <v>No aplica</v>
      </c>
      <c r="AM1013">
        <f t="shared" si="374"/>
        <v>0.86</v>
      </c>
      <c r="AN1013" t="str">
        <f t="shared" si="375"/>
        <v>PRIORIDAD ALTA – requiere intervención inmediata</v>
      </c>
      <c r="AO1013">
        <f t="shared" si="376"/>
        <v>45.403798492706905</v>
      </c>
      <c r="AP1013">
        <f t="shared" si="377"/>
        <v>10.5</v>
      </c>
      <c r="AQ1013">
        <f t="shared" si="378"/>
        <v>0</v>
      </c>
      <c r="AR1013">
        <f t="shared" si="379"/>
        <v>3.6399999999999992</v>
      </c>
      <c r="AS1013">
        <f t="shared" si="380"/>
        <v>4.4400000000000013</v>
      </c>
      <c r="AT1013" t="str">
        <f t="shared" si="381"/>
        <v>VENTAS</v>
      </c>
      <c r="AU1013">
        <f t="shared" si="382"/>
        <v>45.403798492706905</v>
      </c>
      <c r="AV1013" t="str">
        <f t="shared" si="383"/>
        <v>Mayor retorno probable: VENTAS (+45,4 puntos finales potenciales).</v>
      </c>
    </row>
    <row r="1014" spans="1:48" x14ac:dyDescent="0.3">
      <c r="A1014" s="5">
        <v>51010167</v>
      </c>
      <c r="B1014" s="5" t="str">
        <f>IFERROR(VLOOKUP(A1014,VENTAS!$A$2:$B$1194,2,0),"")</f>
        <v/>
      </c>
      <c r="C1014" s="5">
        <f>IFERROR(INDEX(VENTAS!$C$2:$E$1194,MATCH(A1014,VENTAS!$A$2:$A$1194,0),MATCH(PARAMS_MODELO!$B$2,{"Q1","Q2","Q3"},0)),0)</f>
        <v>0</v>
      </c>
      <c r="D1014" s="5">
        <f>IFERROR(INDEX(VENTAS!$F$2:$H$1194,MATCH(A1014,VENTAS!$A$2:$A$1194,0),MATCH(PARAMS_MODELO!$B$2,{"Q1","Q2","Q3"},0)),0)</f>
        <v>0</v>
      </c>
      <c r="E1014" s="8">
        <f t="shared" si="360"/>
        <v>0</v>
      </c>
      <c r="F1014" s="12">
        <f>IF(E1014&lt;=PARAMS_MODELO!$B$15,0,IF(E1014&gt;=PARAMS_MODELO!$B$17,100,100*MIN(1,(E1014-PARAMS_MODELO!$B$15)/(PARAMS_MODELO!$B$16-PARAMS_MODELO!$B$15))))*PARAMS_MODELO!$B$7</f>
        <v>0</v>
      </c>
      <c r="G1014" s="5">
        <f t="shared" si="361"/>
        <v>0</v>
      </c>
      <c r="H1014" s="5">
        <f>(PARAMS_MODELO!$B$20*(MAX(0,MIN(3,E1014))/3)+PARAMS_MODELO!$B$21*(IFERROR(LN(1+MAX(0,G1014))/LN(1+MAX(0,MAX($G$2:$G$1194))),0)))*100*PARAMS_MODELO!$B$8</f>
        <v>0</v>
      </c>
      <c r="I1014" s="8">
        <f>E1014-PARAMS_MODELO!$B$5</f>
        <v>-0.17756283537552653</v>
      </c>
      <c r="J1014" s="5">
        <f>IF(I1014&lt;=PARAMS_MODELO!$B$18,0,IF(I1014&gt;=PARAMS_MODELO!$B$19,100,100*(I1014-PARAMS_MODELO!$B$18)/(PARAMS_MODELO!$B$19-PARAMS_MODELO!$B$18)))*PARAMS_MODELO!$B$9</f>
        <v>0</v>
      </c>
      <c r="K1014" s="5">
        <f>IFERROR(CHOOSE(MATCH(PARAMS_MODELO!$B$2,{"Q1","Q2","Q3"},0),LOTO!$D1014,LOTO!$F1014,LOTO!$H1014),0)</f>
        <v>0</v>
      </c>
      <c r="L1014" s="8">
        <f t="shared" si="362"/>
        <v>0</v>
      </c>
      <c r="M1014" s="5">
        <f>MIN(100,IF(PARAMS_MODELO!$B$23=0,0,100*L1014/PARAMS_MODELO!$B$23))*PARAMS_MODELO!$B$10</f>
        <v>0</v>
      </c>
      <c r="N1014" s="5">
        <f>IFERROR(VLOOKUP(A1014,COMPLIANCE!$A$2:$F$1996,6,0),100)</f>
        <v>100</v>
      </c>
      <c r="O1014" s="5">
        <f>N1014*PARAMS_MODELO!$B$11</f>
        <v>10</v>
      </c>
      <c r="P1014" s="5">
        <f>IFERROR(VLOOKUP(A1014,DIGITAL!$A$2:$J$2000,7,0),100)</f>
        <v>97</v>
      </c>
      <c r="Q1014" s="5">
        <f>IFERROR(P1014,0)*PARAMS_MODELO!$B$12</f>
        <v>9.7000000000000011</v>
      </c>
      <c r="R1014">
        <f t="shared" si="363"/>
        <v>19.700000000000003</v>
      </c>
      <c r="S1014" s="5" t="str">
        <f>IFERROR(VLOOKUP(A1014,CLIENTE!$A$2:$N$2000,13,0),1)</f>
        <v>Muy Bueno</v>
      </c>
      <c r="T1014" s="5">
        <f>IFERROR(VLOOKUP(A1014,CLIENTE!$A$2:$N$2000,14,0),1)</f>
        <v>1.1499999999999999</v>
      </c>
      <c r="U1014" s="5">
        <f t="shared" si="364"/>
        <v>22.655000000000001</v>
      </c>
      <c r="V1014" s="5" t="str">
        <f>IF(U1014&gt;=MAX(_xlfn.PERCENTILE.INC($U$2:$U$1194,PARAMS_MODELO!$B$50),PARAMS_MODELO!$B$45),"DIAMANTE",IF(U1014&gt;=MAX(_xlfn.PERCENTILE.INC($U$2:$U$1194,PARAMS_MODELO!$B$51),PARAMS_MODELO!$B$46),"PLATINO",IF(U1014&gt;=MAX(_xlfn.PERCENTILE.INC($U$2:$U$1194,PARAMS_MODELO!$B$52),PARAMS_MODELO!$B$47),"ORO",IF(U1014&gt;=MAX(_xlfn.PERCENTILE.INC($U$2:$U$1194,PARAMS_MODELO!$B$53),PARAMS_MODELO!$B$48),"PLATA",IF(U1014&gt;=1,"BRONCE","CERRADO")))))</f>
        <v>BRONCE</v>
      </c>
      <c r="W1014" s="5" t="str" cm="1">
        <f t="array" ref="W1014">_xlfn.XLOOKUP(1, (HIST_SCORE!$B:$B=PARAMS_MODELO!$B$4) * (HIST_SCORE!$C:$C=A1014), HIST_SCORE!$E:$E, "No encontrado")</f>
        <v>BRONCE</v>
      </c>
      <c r="X1014" s="5" t="str">
        <f>_xlfn.LET(_xlpm.act,MATCH(V1014,{"DIAMANTE";"PLATINO";"ORO";"PLATA";"BRONCE";"CERRADO"},0),_xlpm.ant,MATCH(W1014,{"DIAMANTE";"PLATINO";"ORO";"PLATA";"BRONCE";"CERRADO"},0),IF(_xlpm.act&lt;_xlpm.ant,"Mejora ↑",IF(_xlpm.act&gt;_xlpm.ant,"Baja ↓","Estable →")))</f>
        <v>Estable →</v>
      </c>
      <c r="Y1014" s="5">
        <f>IFERROR(U1014-SUMIFS(HIST_SCORE!$D:$D,HIST_SCORE!$B:$B,PARAMS_MODELO!$B$4,HIST_SCORE!$C:$C,$A1014),"")</f>
        <v>0</v>
      </c>
      <c r="Z1014" s="5" t="str">
        <f t="shared" si="365"/>
        <v>→ Estable</v>
      </c>
      <c r="AA1014" s="5">
        <f t="shared" si="366"/>
        <v>939</v>
      </c>
      <c r="AB1014" s="5">
        <f>IFERROR(SUMIFS(HIST_SCORE!$F:$F,HIST_SCORE!$B:$B,PARAMS_MODELO!$B$4,HIST_SCORE!$C:$C,$A1014),"")</f>
        <v>959</v>
      </c>
      <c r="AC1014" s="5">
        <f t="shared" si="367"/>
        <v>20</v>
      </c>
      <c r="AD1014" t="str">
        <f t="shared" si="369"/>
        <v/>
      </c>
      <c r="AE10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1014="CERRADO",1,IF(V1014="BRONCE",_xlpm.cPl,IF(V1014="PLATA",_xlpm.cO,IF(V1014="ORO",_xlpm.cP,IF(V1014="PLATINO",_xlpm.cD,999))))))</f>
        <v>24.506573482968111</v>
      </c>
      <c r="AF10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1014="CERRADO",0,IF(V1014="BRONCE",1,IF(V1014="PLATA",_xlpm.cPl,IF(V1014="ORO",_xlpm.cO,IF(V1014="PLATINO",_xlpm.cP,_xlpm.cD))))))</f>
        <v>1</v>
      </c>
      <c r="AG1014">
        <f t="shared" si="370"/>
        <v>1.6100638982331397</v>
      </c>
      <c r="AH1014" t="str">
        <f t="shared" si="371"/>
        <v>VENTAS</v>
      </c>
      <c r="AI1014" t="str">
        <f t="shared" si="368"/>
        <v>🎯 Para subir de categoría, eje VENTAS / CRECIMIENTO PERSONAL (F). Acción: metas semanales + activación comercial + seguimiento del asesor. ΔR aprox: 1,6</v>
      </c>
      <c r="AJ1014" s="26">
        <f>_xlfn.LET(_xlpm.piso,AF1014,_xlpm.corte,AE1014,_xlpm.prog,IF(_xlpm.corte&lt;=_xlpm.piso,0,MAX(0,MIN(1,(U1014-_xlpm.piso)/(_xlpm.corte-_xlpm.piso)))),_xlpm.orden,{"DIAMANTE";"PLATINO";"ORO";"PLATA";"BRONCE";"CERRADO"},_xlpm.act,IFERROR(MATCH(V1014,_xlpm.orden,0),6),_xlpm.ant,IFERROR(MATCH(W1014,_xlpm.orden,0),6),_xlpm.ajmov,IF(_xlpm.act&lt;_xlpm.ant,0.08,IF(_xlpm.act&gt;_xlpm.ant,-0.08,0)),_xlpm.ajcli,IF(T1014&lt;0.95,-0.06,0),_xlpm.prob,MAX(0,MIN(1,_xlpm.prog+_xlpm.ajmov+_xlpm.ajcli)),IF(OR(V1014="DIAMANTE",V1014="CERRADO"),0,ROUND(_xlpm.prob,2)))</f>
        <v>0.92</v>
      </c>
      <c r="AK1014" t="str">
        <f t="shared" si="372"/>
        <v>Faltan 1,6 puntos base para subir a la siguiente categoría</v>
      </c>
      <c r="AL1014" t="str">
        <f t="shared" si="373"/>
        <v>No aplica</v>
      </c>
      <c r="AM1014">
        <f t="shared" si="374"/>
        <v>0.1</v>
      </c>
      <c r="AN1014" t="str">
        <f t="shared" si="375"/>
        <v>PRIORIDAD BAJA – control normal</v>
      </c>
      <c r="AO1014">
        <f t="shared" si="376"/>
        <v>74.591954666589913</v>
      </c>
      <c r="AP1014">
        <f t="shared" si="377"/>
        <v>17.25</v>
      </c>
      <c r="AQ1014">
        <f t="shared" si="378"/>
        <v>0</v>
      </c>
      <c r="AR1014">
        <f t="shared" si="379"/>
        <v>0.34499999999999875</v>
      </c>
      <c r="AS1014">
        <f t="shared" si="380"/>
        <v>0</v>
      </c>
      <c r="AT1014" t="str">
        <f t="shared" si="381"/>
        <v>VENTAS</v>
      </c>
      <c r="AU1014">
        <f t="shared" si="382"/>
        <v>74.591954666589913</v>
      </c>
      <c r="AV1014" t="str">
        <f t="shared" si="383"/>
        <v>Mayor retorno probable: VENTAS (+74,6 puntos finales potenciales).</v>
      </c>
    </row>
    <row r="1015" spans="1:48" x14ac:dyDescent="0.3">
      <c r="A1015" s="5">
        <v>51010388</v>
      </c>
      <c r="B1015" s="5" t="str">
        <f>IFERROR(VLOOKUP(A1015,VENTAS!$A$2:$B$1194,2,0),"")</f>
        <v/>
      </c>
      <c r="C1015" s="5">
        <f>IFERROR(INDEX(VENTAS!$C$2:$E$1194,MATCH(A1015,VENTAS!$A$2:$A$1194,0),MATCH(PARAMS_MODELO!$B$2,{"Q1","Q2","Q3"},0)),0)</f>
        <v>0</v>
      </c>
      <c r="D1015" s="5">
        <f>IFERROR(INDEX(VENTAS!$F$2:$H$1194,MATCH(A1015,VENTAS!$A$2:$A$1194,0),MATCH(PARAMS_MODELO!$B$2,{"Q1","Q2","Q3"},0)),0)</f>
        <v>0</v>
      </c>
      <c r="E1015" s="8">
        <f t="shared" si="360"/>
        <v>0</v>
      </c>
      <c r="F1015" s="12">
        <f>IF(E1015&lt;=PARAMS_MODELO!$B$15,0,IF(E1015&gt;=PARAMS_MODELO!$B$17,100,100*MIN(1,(E1015-PARAMS_MODELO!$B$15)/(PARAMS_MODELO!$B$16-PARAMS_MODELO!$B$15))))*PARAMS_MODELO!$B$7</f>
        <v>0</v>
      </c>
      <c r="G1015" s="5">
        <f t="shared" si="361"/>
        <v>0</v>
      </c>
      <c r="H1015" s="5">
        <f>(PARAMS_MODELO!$B$20*(MAX(0,MIN(3,E1015))/3)+PARAMS_MODELO!$B$21*(IFERROR(LN(1+MAX(0,G1015))/LN(1+MAX(0,MAX($G$2:$G$1194))),0)))*100*PARAMS_MODELO!$B$8</f>
        <v>0</v>
      </c>
      <c r="I1015" s="8">
        <f>E1015-PARAMS_MODELO!$B$5</f>
        <v>-0.17756283537552653</v>
      </c>
      <c r="J1015" s="5">
        <f>IF(I1015&lt;=PARAMS_MODELO!$B$18,0,IF(I1015&gt;=PARAMS_MODELO!$B$19,100,100*(I1015-PARAMS_MODELO!$B$18)/(PARAMS_MODELO!$B$19-PARAMS_MODELO!$B$18)))*PARAMS_MODELO!$B$9</f>
        <v>0</v>
      </c>
      <c r="K1015" s="5">
        <f>IFERROR(CHOOSE(MATCH(PARAMS_MODELO!$B$2,{"Q1","Q2","Q3"},0),LOTO!$D1015,LOTO!$F1015,LOTO!$H1015),0)</f>
        <v>0</v>
      </c>
      <c r="L1015" s="8">
        <f t="shared" si="362"/>
        <v>0</v>
      </c>
      <c r="M1015" s="5">
        <f>MIN(100,IF(PARAMS_MODELO!$B$23=0,0,100*L1015/PARAMS_MODELO!$B$23))*PARAMS_MODELO!$B$10</f>
        <v>0</v>
      </c>
      <c r="N1015" s="5">
        <f>IFERROR(VLOOKUP(A1015,COMPLIANCE!$A$2:$F$1996,6,0),100)</f>
        <v>100</v>
      </c>
      <c r="O1015" s="5">
        <f>N1015*PARAMS_MODELO!$B$11</f>
        <v>10</v>
      </c>
      <c r="P1015" s="5">
        <f>IFERROR(VLOOKUP(A1015,DIGITAL!$A$2:$J$2000,7,0),100)</f>
        <v>13</v>
      </c>
      <c r="Q1015" s="5">
        <f>IFERROR(P1015,0)*PARAMS_MODELO!$B$12</f>
        <v>1.3</v>
      </c>
      <c r="R1015">
        <f t="shared" si="363"/>
        <v>11.3</v>
      </c>
      <c r="S1015" s="5" t="str">
        <f>IFERROR(VLOOKUP(A1015,CLIENTE!$A$2:$N$2000,13,0),1)</f>
        <v>Malo</v>
      </c>
      <c r="T1015" s="5">
        <f>IFERROR(VLOOKUP(A1015,CLIENTE!$A$2:$N$2000,14,0),1)</f>
        <v>0.7</v>
      </c>
      <c r="U1015" s="5">
        <f t="shared" si="364"/>
        <v>7.91</v>
      </c>
      <c r="V1015" s="5" t="str">
        <f>IF(U1015&gt;=MAX(_xlfn.PERCENTILE.INC($U$2:$U$1194,PARAMS_MODELO!$B$50),PARAMS_MODELO!$B$45),"DIAMANTE",IF(U1015&gt;=MAX(_xlfn.PERCENTILE.INC($U$2:$U$1194,PARAMS_MODELO!$B$51),PARAMS_MODELO!$B$46),"PLATINO",IF(U1015&gt;=MAX(_xlfn.PERCENTILE.INC($U$2:$U$1194,PARAMS_MODELO!$B$52),PARAMS_MODELO!$B$47),"ORO",IF(U1015&gt;=MAX(_xlfn.PERCENTILE.INC($U$2:$U$1194,PARAMS_MODELO!$B$53),PARAMS_MODELO!$B$48),"PLATA",IF(U1015&gt;=1,"BRONCE","CERRADO")))))</f>
        <v>BRONCE</v>
      </c>
      <c r="W1015" s="5" t="str" cm="1">
        <f t="array" ref="W1015">_xlfn.XLOOKUP(1, (HIST_SCORE!$B:$B=PARAMS_MODELO!$B$4) * (HIST_SCORE!$C:$C=A1015), HIST_SCORE!$E:$E, "No encontrado")</f>
        <v>BRONCE</v>
      </c>
      <c r="X1015" s="5" t="str">
        <f>_xlfn.LET(_xlpm.act,MATCH(V1015,{"DIAMANTE";"PLATINO";"ORO";"PLATA";"BRONCE";"CERRADO"},0),_xlpm.ant,MATCH(W1015,{"DIAMANTE";"PLATINO";"ORO";"PLATA";"BRONCE";"CERRADO"},0),IF(_xlpm.act&lt;_xlpm.ant,"Mejora ↑",IF(_xlpm.act&gt;_xlpm.ant,"Baja ↓","Estable →")))</f>
        <v>Estable →</v>
      </c>
      <c r="Y1015" s="5">
        <f>IFERROR(U1015-SUMIFS(HIST_SCORE!$D:$D,HIST_SCORE!$B:$B,PARAMS_MODELO!$B$4,HIST_SCORE!$C:$C,$A1015),"")</f>
        <v>0</v>
      </c>
      <c r="Z1015" s="5" t="str">
        <f t="shared" si="365"/>
        <v>→ Estable</v>
      </c>
      <c r="AA1015" s="5">
        <f t="shared" si="366"/>
        <v>1188</v>
      </c>
      <c r="AB1015" s="5">
        <f>IFERROR(SUMIFS(HIST_SCORE!$F:$F,HIST_SCORE!$B:$B,PARAMS_MODELO!$B$4,HIST_SCORE!$C:$C,$A1015),"")</f>
        <v>1188</v>
      </c>
      <c r="AC1015" s="5">
        <f t="shared" si="367"/>
        <v>0</v>
      </c>
      <c r="AD1015" t="str">
        <f t="shared" si="369"/>
        <v/>
      </c>
      <c r="AE10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1015="CERRADO",1,IF(V1015="BRONCE",_xlpm.cPl,IF(V1015="PLATA",_xlpm.cO,IF(V1015="ORO",_xlpm.cP,IF(V1015="PLATINO",_xlpm.cD,999))))))</f>
        <v>24.506573482968111</v>
      </c>
      <c r="AF10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1015="CERRADO",0,IF(V1015="BRONCE",1,IF(V1015="PLATA",_xlpm.cPl,IF(V1015="ORO",_xlpm.cO,IF(V1015="PLATINO",_xlpm.cP,_xlpm.cD))))))</f>
        <v>1</v>
      </c>
      <c r="AG1015">
        <f t="shared" si="370"/>
        <v>23.709390689954443</v>
      </c>
      <c r="AH1015" t="str">
        <f t="shared" si="371"/>
        <v>VENTAS</v>
      </c>
      <c r="AI1015" t="str">
        <f t="shared" si="368"/>
        <v>🎯 Para subir de categoría, eje VENTAS / CRECIMIENTO PERSONAL (F). Acción: metas semanales + activación comercial + seguimiento del asesor. ΔR aprox: 23,7</v>
      </c>
      <c r="AJ1015" s="26">
        <f>_xlfn.LET(_xlpm.piso,AF1015,_xlpm.corte,AE1015,_xlpm.prog,IF(_xlpm.corte&lt;=_xlpm.piso,0,MAX(0,MIN(1,(U1015-_xlpm.piso)/(_xlpm.corte-_xlpm.piso)))),_xlpm.orden,{"DIAMANTE";"PLATINO";"ORO";"PLATA";"BRONCE";"CERRADO"},_xlpm.act,IFERROR(MATCH(V1015,_xlpm.orden,0),6),_xlpm.ant,IFERROR(MATCH(W1015,_xlpm.orden,0),6),_xlpm.ajmov,IF(_xlpm.act&lt;_xlpm.ant,0.08,IF(_xlpm.act&gt;_xlpm.ant,-0.08,0)),_xlpm.ajcli,IF(T1015&lt;0.95,-0.06,0),_xlpm.prob,MAX(0,MIN(1,_xlpm.prog+_xlpm.ajmov+_xlpm.ajcli)),IF(OR(V1015="DIAMANTE",V1015="CERRADO"),0,ROUND(_xlpm.prob,2)))</f>
        <v>0.23</v>
      </c>
      <c r="AK1015" t="str">
        <f t="shared" si="372"/>
        <v>Faltan 23,7 puntos base para subir a la siguiente categoría</v>
      </c>
      <c r="AL1015" t="str">
        <f t="shared" si="373"/>
        <v>No aplica</v>
      </c>
      <c r="AM1015">
        <f t="shared" si="374"/>
        <v>0.91</v>
      </c>
      <c r="AN1015" t="str">
        <f t="shared" si="375"/>
        <v>PRIORIDAD ALTA – requiere intervención inmediata</v>
      </c>
      <c r="AO1015">
        <f t="shared" si="376"/>
        <v>45.403798492706905</v>
      </c>
      <c r="AP1015">
        <f t="shared" si="377"/>
        <v>10.5</v>
      </c>
      <c r="AQ1015">
        <f t="shared" si="378"/>
        <v>0</v>
      </c>
      <c r="AR1015">
        <f t="shared" si="379"/>
        <v>6.089999999999999</v>
      </c>
      <c r="AS1015">
        <f t="shared" si="380"/>
        <v>3.3900000000000006</v>
      </c>
      <c r="AT1015" t="str">
        <f t="shared" si="381"/>
        <v>VENTAS</v>
      </c>
      <c r="AU1015">
        <f t="shared" si="382"/>
        <v>45.403798492706905</v>
      </c>
      <c r="AV1015" t="str">
        <f t="shared" si="383"/>
        <v>Mayor retorno probable: VENTAS (+45,4 puntos finales potenciales).</v>
      </c>
    </row>
    <row r="1016" spans="1:48" x14ac:dyDescent="0.3">
      <c r="A1016" s="5">
        <v>51010477</v>
      </c>
      <c r="B1016" s="5" t="str">
        <f>IFERROR(VLOOKUP(A1016,VENTAS!$A$2:$B$1194,2,0),"")</f>
        <v/>
      </c>
      <c r="C1016" s="5">
        <f>IFERROR(INDEX(VENTAS!$C$2:$E$1194,MATCH(A1016,VENTAS!$A$2:$A$1194,0),MATCH(PARAMS_MODELO!$B$2,{"Q1","Q2","Q3"},0)),0)</f>
        <v>0</v>
      </c>
      <c r="D1016" s="5">
        <f>IFERROR(INDEX(VENTAS!$F$2:$H$1194,MATCH(A1016,VENTAS!$A$2:$A$1194,0),MATCH(PARAMS_MODELO!$B$2,{"Q1","Q2","Q3"},0)),0)</f>
        <v>0</v>
      </c>
      <c r="E1016" s="8">
        <f t="shared" si="360"/>
        <v>0</v>
      </c>
      <c r="F1016" s="12">
        <f>IF(E1016&lt;=PARAMS_MODELO!$B$15,0,IF(E1016&gt;=PARAMS_MODELO!$B$17,100,100*MIN(1,(E1016-PARAMS_MODELO!$B$15)/(PARAMS_MODELO!$B$16-PARAMS_MODELO!$B$15))))*PARAMS_MODELO!$B$7</f>
        <v>0</v>
      </c>
      <c r="G1016" s="5">
        <f t="shared" si="361"/>
        <v>0</v>
      </c>
      <c r="H1016" s="5">
        <f>(PARAMS_MODELO!$B$20*(MAX(0,MIN(3,E1016))/3)+PARAMS_MODELO!$B$21*(IFERROR(LN(1+MAX(0,G1016))/LN(1+MAX(0,MAX($G$2:$G$1194))),0)))*100*PARAMS_MODELO!$B$8</f>
        <v>0</v>
      </c>
      <c r="I1016" s="8">
        <f>E1016-PARAMS_MODELO!$B$5</f>
        <v>-0.17756283537552653</v>
      </c>
      <c r="J1016" s="5">
        <f>IF(I1016&lt;=PARAMS_MODELO!$B$18,0,IF(I1016&gt;=PARAMS_MODELO!$B$19,100,100*(I1016-PARAMS_MODELO!$B$18)/(PARAMS_MODELO!$B$19-PARAMS_MODELO!$B$18)))*PARAMS_MODELO!$B$9</f>
        <v>0</v>
      </c>
      <c r="K1016" s="5">
        <f>IFERROR(CHOOSE(MATCH(PARAMS_MODELO!$B$2,{"Q1","Q2","Q3"},0),LOTO!$D1016,LOTO!$F1016,LOTO!$H1016),0)</f>
        <v>0</v>
      </c>
      <c r="L1016" s="8">
        <f t="shared" si="362"/>
        <v>0</v>
      </c>
      <c r="M1016" s="5">
        <f>MIN(100,IF(PARAMS_MODELO!$B$23=0,0,100*L1016/PARAMS_MODELO!$B$23))*PARAMS_MODELO!$B$10</f>
        <v>0</v>
      </c>
      <c r="N1016" s="5">
        <f>IFERROR(VLOOKUP(A1016,COMPLIANCE!$A$2:$F$1996,6,0),100)</f>
        <v>100</v>
      </c>
      <c r="O1016" s="5">
        <f>N1016*PARAMS_MODELO!$B$11</f>
        <v>10</v>
      </c>
      <c r="P1016" s="5">
        <f>IFERROR(VLOOKUP(A1016,DIGITAL!$A$2:$J$2000,7,0),100)</f>
        <v>69</v>
      </c>
      <c r="Q1016" s="5">
        <f>IFERROR(P1016,0)*PARAMS_MODELO!$B$12</f>
        <v>6.9</v>
      </c>
      <c r="R1016">
        <f t="shared" si="363"/>
        <v>16.899999999999999</v>
      </c>
      <c r="S1016" s="5" t="str">
        <f>IFERROR(VLOOKUP(A1016,CLIENTE!$A$2:$N$2000,13,0),1)</f>
        <v>Regular</v>
      </c>
      <c r="T1016" s="5">
        <f>IFERROR(VLOOKUP(A1016,CLIENTE!$A$2:$N$2000,14,0),1)</f>
        <v>1</v>
      </c>
      <c r="U1016" s="5">
        <f t="shared" si="364"/>
        <v>16.899999999999999</v>
      </c>
      <c r="V1016" s="5" t="str">
        <f>IF(U1016&gt;=MAX(_xlfn.PERCENTILE.INC($U$2:$U$1194,PARAMS_MODELO!$B$50),PARAMS_MODELO!$B$45),"DIAMANTE",IF(U1016&gt;=MAX(_xlfn.PERCENTILE.INC($U$2:$U$1194,PARAMS_MODELO!$B$51),PARAMS_MODELO!$B$46),"PLATINO",IF(U1016&gt;=MAX(_xlfn.PERCENTILE.INC($U$2:$U$1194,PARAMS_MODELO!$B$52),PARAMS_MODELO!$B$47),"ORO",IF(U1016&gt;=MAX(_xlfn.PERCENTILE.INC($U$2:$U$1194,PARAMS_MODELO!$B$53),PARAMS_MODELO!$B$48),"PLATA",IF(U1016&gt;=1,"BRONCE","CERRADO")))))</f>
        <v>BRONCE</v>
      </c>
      <c r="W1016" s="5" t="str" cm="1">
        <f t="array" ref="W1016">_xlfn.XLOOKUP(1, (HIST_SCORE!$B:$B=PARAMS_MODELO!$B$4) * (HIST_SCORE!$C:$C=A1016), HIST_SCORE!$E:$E, "No encontrado")</f>
        <v>BRONCE</v>
      </c>
      <c r="X1016" s="5" t="str">
        <f>_xlfn.LET(_xlpm.act,MATCH(V1016,{"DIAMANTE";"PLATINO";"ORO";"PLATA";"BRONCE";"CERRADO"},0),_xlpm.ant,MATCH(W1016,{"DIAMANTE";"PLATINO";"ORO";"PLATA";"BRONCE";"CERRADO"},0),IF(_xlpm.act&lt;_xlpm.ant,"Mejora ↑",IF(_xlpm.act&gt;_xlpm.ant,"Baja ↓","Estable →")))</f>
        <v>Estable →</v>
      </c>
      <c r="Y1016" s="5">
        <f>IFERROR(U1016-SUMIFS(HIST_SCORE!$D:$D,HIST_SCORE!$B:$B,PARAMS_MODELO!$B$4,HIST_SCORE!$C:$C,$A1016),"")</f>
        <v>0</v>
      </c>
      <c r="Z1016" s="5" t="str">
        <f t="shared" si="365"/>
        <v>→ Estable</v>
      </c>
      <c r="AA1016" s="5">
        <f t="shared" si="366"/>
        <v>1052</v>
      </c>
      <c r="AB1016" s="5">
        <f>IFERROR(SUMIFS(HIST_SCORE!$F:$F,HIST_SCORE!$B:$B,PARAMS_MODELO!$B$4,HIST_SCORE!$C:$C,$A1016),"")</f>
        <v>1049</v>
      </c>
      <c r="AC1016" s="5">
        <f t="shared" si="367"/>
        <v>-3</v>
      </c>
      <c r="AD1016" t="str">
        <f t="shared" si="369"/>
        <v/>
      </c>
      <c r="AE10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1016="CERRADO",1,IF(V1016="BRONCE",_xlpm.cPl,IF(V1016="PLATA",_xlpm.cO,IF(V1016="ORO",_xlpm.cP,IF(V1016="PLATINO",_xlpm.cD,999))))))</f>
        <v>24.506573482968111</v>
      </c>
      <c r="AF10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1016="CERRADO",0,IF(V1016="BRONCE",1,IF(V1016="PLATA",_xlpm.cPl,IF(V1016="ORO",_xlpm.cO,IF(V1016="PLATINO",_xlpm.cP,_xlpm.cD))))))</f>
        <v>1</v>
      </c>
      <c r="AG1016">
        <f t="shared" si="370"/>
        <v>7.6065734829681126</v>
      </c>
      <c r="AH1016" t="str">
        <f t="shared" si="371"/>
        <v>VENTAS</v>
      </c>
      <c r="AI1016" t="str">
        <f t="shared" si="368"/>
        <v>🎯 Para subir de categoría, eje VENTAS / CRECIMIENTO PERSONAL (F). Acción: metas semanales + activación comercial + seguimiento del asesor. ΔR aprox: 7,6</v>
      </c>
      <c r="AJ1016" s="26">
        <f>_xlfn.LET(_xlpm.piso,AF1016,_xlpm.corte,AE1016,_xlpm.prog,IF(_xlpm.corte&lt;=_xlpm.piso,0,MAX(0,MIN(1,(U1016-_xlpm.piso)/(_xlpm.corte-_xlpm.piso)))),_xlpm.orden,{"DIAMANTE";"PLATINO";"ORO";"PLATA";"BRONCE";"CERRADO"},_xlpm.act,IFERROR(MATCH(V1016,_xlpm.orden,0),6),_xlpm.ant,IFERROR(MATCH(W1016,_xlpm.orden,0),6),_xlpm.ajmov,IF(_xlpm.act&lt;_xlpm.ant,0.08,IF(_xlpm.act&gt;_xlpm.ant,-0.08,0)),_xlpm.ajcli,IF(T1016&lt;0.95,-0.06,0),_xlpm.prob,MAX(0,MIN(1,_xlpm.prog+_xlpm.ajmov+_xlpm.ajcli)),IF(OR(V1016="DIAMANTE",V1016="CERRADO"),0,ROUND(_xlpm.prob,2)))</f>
        <v>0.68</v>
      </c>
      <c r="AK1016" t="str">
        <f t="shared" si="372"/>
        <v>Faltan 7,6 puntos base para subir a la siguiente categoría</v>
      </c>
      <c r="AL1016" t="str">
        <f t="shared" si="373"/>
        <v>No aplica</v>
      </c>
      <c r="AM1016">
        <f t="shared" si="374"/>
        <v>0.43</v>
      </c>
      <c r="AN1016" t="str">
        <f t="shared" si="375"/>
        <v>PRIORIDAD MEDIA – seguimiento del asesor</v>
      </c>
      <c r="AO1016">
        <f t="shared" si="376"/>
        <v>64.862569275295584</v>
      </c>
      <c r="AP1016">
        <f t="shared" si="377"/>
        <v>15</v>
      </c>
      <c r="AQ1016">
        <f t="shared" si="378"/>
        <v>0</v>
      </c>
      <c r="AR1016">
        <f t="shared" si="379"/>
        <v>3.0999999999999996</v>
      </c>
      <c r="AS1016">
        <f t="shared" si="380"/>
        <v>0</v>
      </c>
      <c r="AT1016" t="str">
        <f t="shared" si="381"/>
        <v>VENTAS</v>
      </c>
      <c r="AU1016">
        <f t="shared" si="382"/>
        <v>64.862569275295584</v>
      </c>
      <c r="AV1016" t="str">
        <f t="shared" si="383"/>
        <v>Mayor retorno probable: VENTAS (+64,9 puntos finales potenciales).</v>
      </c>
    </row>
    <row r="1017" spans="1:48" x14ac:dyDescent="0.3">
      <c r="A1017" s="5">
        <v>51010485</v>
      </c>
      <c r="B1017" s="5" t="str">
        <f>IFERROR(VLOOKUP(A1017,VENTAS!$A$2:$B$1194,2,0),"")</f>
        <v/>
      </c>
      <c r="C1017" s="5">
        <f>IFERROR(INDEX(VENTAS!$C$2:$E$1194,MATCH(A1017,VENTAS!$A$2:$A$1194,0),MATCH(PARAMS_MODELO!$B$2,{"Q1","Q2","Q3"},0)),0)</f>
        <v>0</v>
      </c>
      <c r="D1017" s="5">
        <f>IFERROR(INDEX(VENTAS!$F$2:$H$1194,MATCH(A1017,VENTAS!$A$2:$A$1194,0),MATCH(PARAMS_MODELO!$B$2,{"Q1","Q2","Q3"},0)),0)</f>
        <v>0</v>
      </c>
      <c r="E1017" s="8">
        <f t="shared" si="360"/>
        <v>0</v>
      </c>
      <c r="F1017" s="12">
        <f>IF(E1017&lt;=PARAMS_MODELO!$B$15,0,IF(E1017&gt;=PARAMS_MODELO!$B$17,100,100*MIN(1,(E1017-PARAMS_MODELO!$B$15)/(PARAMS_MODELO!$B$16-PARAMS_MODELO!$B$15))))*PARAMS_MODELO!$B$7</f>
        <v>0</v>
      </c>
      <c r="G1017" s="5">
        <f t="shared" si="361"/>
        <v>0</v>
      </c>
      <c r="H1017" s="5">
        <f>(PARAMS_MODELO!$B$20*(MAX(0,MIN(3,E1017))/3)+PARAMS_MODELO!$B$21*(IFERROR(LN(1+MAX(0,G1017))/LN(1+MAX(0,MAX($G$2:$G$1194))),0)))*100*PARAMS_MODELO!$B$8</f>
        <v>0</v>
      </c>
      <c r="I1017" s="8">
        <f>E1017-PARAMS_MODELO!$B$5</f>
        <v>-0.17756283537552653</v>
      </c>
      <c r="J1017" s="5">
        <f>IF(I1017&lt;=PARAMS_MODELO!$B$18,0,IF(I1017&gt;=PARAMS_MODELO!$B$19,100,100*(I1017-PARAMS_MODELO!$B$18)/(PARAMS_MODELO!$B$19-PARAMS_MODELO!$B$18)))*PARAMS_MODELO!$B$9</f>
        <v>0</v>
      </c>
      <c r="K1017" s="5">
        <f>IFERROR(CHOOSE(MATCH(PARAMS_MODELO!$B$2,{"Q1","Q2","Q3"},0),LOTO!$D1017,LOTO!$F1017,LOTO!$H1017),0)</f>
        <v>0</v>
      </c>
      <c r="L1017" s="8">
        <f t="shared" si="362"/>
        <v>0</v>
      </c>
      <c r="M1017" s="5">
        <f>MIN(100,IF(PARAMS_MODELO!$B$23=0,0,100*L1017/PARAMS_MODELO!$B$23))*PARAMS_MODELO!$B$10</f>
        <v>0</v>
      </c>
      <c r="N1017" s="5">
        <f>IFERROR(VLOOKUP(A1017,COMPLIANCE!$A$2:$F$1996,6,0),100)</f>
        <v>100</v>
      </c>
      <c r="O1017" s="5">
        <f>N1017*PARAMS_MODELO!$B$11</f>
        <v>10</v>
      </c>
      <c r="P1017" s="5">
        <f>IFERROR(VLOOKUP(A1017,DIGITAL!$A$2:$J$2000,7,0),100)</f>
        <v>41</v>
      </c>
      <c r="Q1017" s="5">
        <f>IFERROR(P1017,0)*PARAMS_MODELO!$B$12</f>
        <v>4.1000000000000005</v>
      </c>
      <c r="R1017">
        <f t="shared" si="363"/>
        <v>14.100000000000001</v>
      </c>
      <c r="S1017" s="5" t="str">
        <f>IFERROR(VLOOKUP(A1017,CLIENTE!$A$2:$N$2000,13,0),1)</f>
        <v>Malo</v>
      </c>
      <c r="T1017" s="5">
        <f>IFERROR(VLOOKUP(A1017,CLIENTE!$A$2:$N$2000,14,0),1)</f>
        <v>0.7</v>
      </c>
      <c r="U1017" s="5">
        <f t="shared" si="364"/>
        <v>9.870000000000001</v>
      </c>
      <c r="V1017" s="5" t="str">
        <f>IF(U1017&gt;=MAX(_xlfn.PERCENTILE.INC($U$2:$U$1194,PARAMS_MODELO!$B$50),PARAMS_MODELO!$B$45),"DIAMANTE",IF(U1017&gt;=MAX(_xlfn.PERCENTILE.INC($U$2:$U$1194,PARAMS_MODELO!$B$51),PARAMS_MODELO!$B$46),"PLATINO",IF(U1017&gt;=MAX(_xlfn.PERCENTILE.INC($U$2:$U$1194,PARAMS_MODELO!$B$52),PARAMS_MODELO!$B$47),"ORO",IF(U1017&gt;=MAX(_xlfn.PERCENTILE.INC($U$2:$U$1194,PARAMS_MODELO!$B$53),PARAMS_MODELO!$B$48),"PLATA",IF(U1017&gt;=1,"BRONCE","CERRADO")))))</f>
        <v>BRONCE</v>
      </c>
      <c r="W1017" s="5" t="str" cm="1">
        <f t="array" ref="W1017">_xlfn.XLOOKUP(1, (HIST_SCORE!$B:$B=PARAMS_MODELO!$B$4) * (HIST_SCORE!$C:$C=A1017), HIST_SCORE!$E:$E, "No encontrado")</f>
        <v>BRONCE</v>
      </c>
      <c r="X1017" s="5" t="str">
        <f>_xlfn.LET(_xlpm.act,MATCH(V1017,{"DIAMANTE";"PLATINO";"ORO";"PLATA";"BRONCE";"CERRADO"},0),_xlpm.ant,MATCH(W1017,{"DIAMANTE";"PLATINO";"ORO";"PLATA";"BRONCE";"CERRADO"},0),IF(_xlpm.act&lt;_xlpm.ant,"Mejora ↑",IF(_xlpm.act&gt;_xlpm.ant,"Baja ↓","Estable →")))</f>
        <v>Estable →</v>
      </c>
      <c r="Y1017" s="5">
        <f>IFERROR(U1017-SUMIFS(HIST_SCORE!$D:$D,HIST_SCORE!$B:$B,PARAMS_MODELO!$B$4,HIST_SCORE!$C:$C,$A1017),"")</f>
        <v>0</v>
      </c>
      <c r="Z1017" s="5" t="str">
        <f t="shared" si="365"/>
        <v>→ Estable</v>
      </c>
      <c r="AA1017" s="5">
        <f t="shared" si="366"/>
        <v>1170</v>
      </c>
      <c r="AB1017" s="5">
        <f>IFERROR(SUMIFS(HIST_SCORE!$F:$F,HIST_SCORE!$B:$B,PARAMS_MODELO!$B$4,HIST_SCORE!$C:$C,$A1017),"")</f>
        <v>1170</v>
      </c>
      <c r="AC1017" s="5">
        <f t="shared" si="367"/>
        <v>0</v>
      </c>
      <c r="AD1017" t="str">
        <f t="shared" si="369"/>
        <v/>
      </c>
      <c r="AE10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1017="CERRADO",1,IF(V1017="BRONCE",_xlpm.cPl,IF(V1017="PLATA",_xlpm.cO,IF(V1017="ORO",_xlpm.cP,IF(V1017="PLATINO",_xlpm.cD,999))))))</f>
        <v>24.506573482968111</v>
      </c>
      <c r="AF10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1017="CERRADO",0,IF(V1017="BRONCE",1,IF(V1017="PLATA",_xlpm.cPl,IF(V1017="ORO",_xlpm.cO,IF(V1017="PLATINO",_xlpm.cP,_xlpm.cD))))))</f>
        <v>1</v>
      </c>
      <c r="AG1017">
        <f t="shared" si="370"/>
        <v>20.909390689954442</v>
      </c>
      <c r="AH1017" t="str">
        <f t="shared" si="371"/>
        <v>VENTAS</v>
      </c>
      <c r="AI1017" t="str">
        <f t="shared" si="368"/>
        <v>🎯 Para subir de categoría, eje VENTAS / CRECIMIENTO PERSONAL (F). Acción: metas semanales + activación comercial + seguimiento del asesor. ΔR aprox: 20,9</v>
      </c>
      <c r="AJ1017" s="26">
        <f>_xlfn.LET(_xlpm.piso,AF1017,_xlpm.corte,AE1017,_xlpm.prog,IF(_xlpm.corte&lt;=_xlpm.piso,0,MAX(0,MIN(1,(U1017-_xlpm.piso)/(_xlpm.corte-_xlpm.piso)))),_xlpm.orden,{"DIAMANTE";"PLATINO";"ORO";"PLATA";"BRONCE";"CERRADO"},_xlpm.act,IFERROR(MATCH(V1017,_xlpm.orden,0),6),_xlpm.ant,IFERROR(MATCH(W1017,_xlpm.orden,0),6),_xlpm.ajmov,IF(_xlpm.act&lt;_xlpm.ant,0.08,IF(_xlpm.act&gt;_xlpm.ant,-0.08,0)),_xlpm.ajcli,IF(T1017&lt;0.95,-0.06,0),_xlpm.prob,MAX(0,MIN(1,_xlpm.prog+_xlpm.ajmov+_xlpm.ajcli)),IF(OR(V1017="DIAMANTE",V1017="CERRADO"),0,ROUND(_xlpm.prob,2)))</f>
        <v>0.32</v>
      </c>
      <c r="AK1017" t="str">
        <f t="shared" si="372"/>
        <v>Faltan 20,9 puntos base para subir a la siguiente categoría</v>
      </c>
      <c r="AL1017" t="str">
        <f t="shared" si="373"/>
        <v>No aplica</v>
      </c>
      <c r="AM1017">
        <f t="shared" si="374"/>
        <v>0.87</v>
      </c>
      <c r="AN1017" t="str">
        <f t="shared" si="375"/>
        <v>PRIORIDAD ALTA – requiere intervención inmediata</v>
      </c>
      <c r="AO1017">
        <f t="shared" si="376"/>
        <v>45.403798492706905</v>
      </c>
      <c r="AP1017">
        <f t="shared" si="377"/>
        <v>10.5</v>
      </c>
      <c r="AQ1017">
        <f t="shared" si="378"/>
        <v>0</v>
      </c>
      <c r="AR1017">
        <f t="shared" si="379"/>
        <v>4.129999999999999</v>
      </c>
      <c r="AS1017">
        <f t="shared" si="380"/>
        <v>4.2300000000000013</v>
      </c>
      <c r="AT1017" t="str">
        <f t="shared" si="381"/>
        <v>VENTAS</v>
      </c>
      <c r="AU1017">
        <f t="shared" si="382"/>
        <v>45.403798492706905</v>
      </c>
      <c r="AV1017" t="str">
        <f t="shared" si="383"/>
        <v>Mayor retorno probable: VENTAS (+45,4 puntos finales potenciales).</v>
      </c>
    </row>
    <row r="1018" spans="1:48" x14ac:dyDescent="0.3">
      <c r="A1018" s="5">
        <v>51010612</v>
      </c>
      <c r="B1018" s="5" t="str">
        <f>IFERROR(VLOOKUP(A1018,VENTAS!$A$2:$B$1194,2,0),"")</f>
        <v/>
      </c>
      <c r="C1018" s="5">
        <f>IFERROR(INDEX(VENTAS!$C$2:$E$1194,MATCH(A1018,VENTAS!$A$2:$A$1194,0),MATCH(PARAMS_MODELO!$B$2,{"Q1","Q2","Q3"},0)),0)</f>
        <v>0</v>
      </c>
      <c r="D1018" s="5">
        <f>IFERROR(INDEX(VENTAS!$F$2:$H$1194,MATCH(A1018,VENTAS!$A$2:$A$1194,0),MATCH(PARAMS_MODELO!$B$2,{"Q1","Q2","Q3"},0)),0)</f>
        <v>0</v>
      </c>
      <c r="E1018" s="8">
        <f t="shared" si="360"/>
        <v>0</v>
      </c>
      <c r="F1018" s="12">
        <f>IF(E1018&lt;=PARAMS_MODELO!$B$15,0,IF(E1018&gt;=PARAMS_MODELO!$B$17,100,100*MIN(1,(E1018-PARAMS_MODELO!$B$15)/(PARAMS_MODELO!$B$16-PARAMS_MODELO!$B$15))))*PARAMS_MODELO!$B$7</f>
        <v>0</v>
      </c>
      <c r="G1018" s="5">
        <f t="shared" si="361"/>
        <v>0</v>
      </c>
      <c r="H1018" s="5">
        <f>(PARAMS_MODELO!$B$20*(MAX(0,MIN(3,E1018))/3)+PARAMS_MODELO!$B$21*(IFERROR(LN(1+MAX(0,G1018))/LN(1+MAX(0,MAX($G$2:$G$1194))),0)))*100*PARAMS_MODELO!$B$8</f>
        <v>0</v>
      </c>
      <c r="I1018" s="8">
        <f>E1018-PARAMS_MODELO!$B$5</f>
        <v>-0.17756283537552653</v>
      </c>
      <c r="J1018" s="5">
        <f>IF(I1018&lt;=PARAMS_MODELO!$B$18,0,IF(I1018&gt;=PARAMS_MODELO!$B$19,100,100*(I1018-PARAMS_MODELO!$B$18)/(PARAMS_MODELO!$B$19-PARAMS_MODELO!$B$18)))*PARAMS_MODELO!$B$9</f>
        <v>0</v>
      </c>
      <c r="K1018" s="5">
        <f>IFERROR(CHOOSE(MATCH(PARAMS_MODELO!$B$2,{"Q1","Q2","Q3"},0),LOTO!$D1018,LOTO!$F1018,LOTO!$H1018),0)</f>
        <v>0</v>
      </c>
      <c r="L1018" s="8">
        <f t="shared" si="362"/>
        <v>0</v>
      </c>
      <c r="M1018" s="5">
        <f>MIN(100,IF(PARAMS_MODELO!$B$23=0,0,100*L1018/PARAMS_MODELO!$B$23))*PARAMS_MODELO!$B$10</f>
        <v>0</v>
      </c>
      <c r="N1018" s="5">
        <f>IFERROR(VLOOKUP(A1018,COMPLIANCE!$A$2:$F$1996,6,0),100)</f>
        <v>100</v>
      </c>
      <c r="O1018" s="5">
        <f>N1018*PARAMS_MODELO!$B$11</f>
        <v>10</v>
      </c>
      <c r="P1018" s="5">
        <f>IFERROR(VLOOKUP(A1018,DIGITAL!$A$2:$J$2000,7,0),100)</f>
        <v>37</v>
      </c>
      <c r="Q1018" s="5">
        <f>IFERROR(P1018,0)*PARAMS_MODELO!$B$12</f>
        <v>3.7</v>
      </c>
      <c r="R1018">
        <f t="shared" si="363"/>
        <v>13.7</v>
      </c>
      <c r="S1018" s="5" t="str">
        <f>IFERROR(VLOOKUP(A1018,CLIENTE!$A$2:$N$2000,13,0),1)</f>
        <v>Malo</v>
      </c>
      <c r="T1018" s="5">
        <f>IFERROR(VLOOKUP(A1018,CLIENTE!$A$2:$N$2000,14,0),1)</f>
        <v>0.7</v>
      </c>
      <c r="U1018" s="5">
        <f t="shared" si="364"/>
        <v>9.5899999999999981</v>
      </c>
      <c r="V1018" s="5" t="str">
        <f>IF(U1018&gt;=MAX(_xlfn.PERCENTILE.INC($U$2:$U$1194,PARAMS_MODELO!$B$50),PARAMS_MODELO!$B$45),"DIAMANTE",IF(U1018&gt;=MAX(_xlfn.PERCENTILE.INC($U$2:$U$1194,PARAMS_MODELO!$B$51),PARAMS_MODELO!$B$46),"PLATINO",IF(U1018&gt;=MAX(_xlfn.PERCENTILE.INC($U$2:$U$1194,PARAMS_MODELO!$B$52),PARAMS_MODELO!$B$47),"ORO",IF(U1018&gt;=MAX(_xlfn.PERCENTILE.INC($U$2:$U$1194,PARAMS_MODELO!$B$53),PARAMS_MODELO!$B$48),"PLATA",IF(U1018&gt;=1,"BRONCE","CERRADO")))))</f>
        <v>BRONCE</v>
      </c>
      <c r="W1018" s="5" t="str" cm="1">
        <f t="array" ref="W1018">_xlfn.XLOOKUP(1, (HIST_SCORE!$B:$B=PARAMS_MODELO!$B$4) * (HIST_SCORE!$C:$C=A1018), HIST_SCORE!$E:$E, "No encontrado")</f>
        <v>BRONCE</v>
      </c>
      <c r="X1018" s="5" t="str">
        <f>_xlfn.LET(_xlpm.act,MATCH(V1018,{"DIAMANTE";"PLATINO";"ORO";"PLATA";"BRONCE";"CERRADO"},0),_xlpm.ant,MATCH(W1018,{"DIAMANTE";"PLATINO";"ORO";"PLATA";"BRONCE";"CERRADO"},0),IF(_xlpm.act&lt;_xlpm.ant,"Mejora ↑",IF(_xlpm.act&gt;_xlpm.ant,"Baja ↓","Estable →")))</f>
        <v>Estable →</v>
      </c>
      <c r="Y1018" s="5">
        <f>IFERROR(U1018-SUMIFS(HIST_SCORE!$D:$D,HIST_SCORE!$B:$B,PARAMS_MODELO!$B$4,HIST_SCORE!$C:$C,$A1018),"")</f>
        <v>0</v>
      </c>
      <c r="Z1018" s="5" t="str">
        <f t="shared" si="365"/>
        <v>→ Estable</v>
      </c>
      <c r="AA1018" s="5">
        <f t="shared" si="366"/>
        <v>1172</v>
      </c>
      <c r="AB1018" s="5">
        <f>IFERROR(SUMIFS(HIST_SCORE!$F:$F,HIST_SCORE!$B:$B,PARAMS_MODELO!$B$4,HIST_SCORE!$C:$C,$A1018),"")</f>
        <v>1172</v>
      </c>
      <c r="AC1018" s="5">
        <f t="shared" si="367"/>
        <v>0</v>
      </c>
      <c r="AD1018" t="str">
        <f t="shared" si="369"/>
        <v/>
      </c>
      <c r="AE10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1018="CERRADO",1,IF(V1018="BRONCE",_xlpm.cPl,IF(V1018="PLATA",_xlpm.cO,IF(V1018="ORO",_xlpm.cP,IF(V1018="PLATINO",_xlpm.cD,999))))))</f>
        <v>24.506573482968111</v>
      </c>
      <c r="AF10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1018="CERRADO",0,IF(V1018="BRONCE",1,IF(V1018="PLATA",_xlpm.cPl,IF(V1018="ORO",_xlpm.cO,IF(V1018="PLATINO",_xlpm.cP,_xlpm.cD))))))</f>
        <v>1</v>
      </c>
      <c r="AG1018">
        <f t="shared" si="370"/>
        <v>21.309390689954444</v>
      </c>
      <c r="AH1018" t="str">
        <f t="shared" si="371"/>
        <v>VENTAS</v>
      </c>
      <c r="AI1018" t="str">
        <f t="shared" si="368"/>
        <v>🎯 Para subir de categoría, eje VENTAS / CRECIMIENTO PERSONAL (F). Acción: metas semanales + activación comercial + seguimiento del asesor. ΔR aprox: 21,3</v>
      </c>
      <c r="AJ1018" s="26">
        <f>_xlfn.LET(_xlpm.piso,AF1018,_xlpm.corte,AE1018,_xlpm.prog,IF(_xlpm.corte&lt;=_xlpm.piso,0,MAX(0,MIN(1,(U1018-_xlpm.piso)/(_xlpm.corte-_xlpm.piso)))),_xlpm.orden,{"DIAMANTE";"PLATINO";"ORO";"PLATA";"BRONCE";"CERRADO"},_xlpm.act,IFERROR(MATCH(V1018,_xlpm.orden,0),6),_xlpm.ant,IFERROR(MATCH(W1018,_xlpm.orden,0),6),_xlpm.ajmov,IF(_xlpm.act&lt;_xlpm.ant,0.08,IF(_xlpm.act&gt;_xlpm.ant,-0.08,0)),_xlpm.ajcli,IF(T1018&lt;0.95,-0.06,0),_xlpm.prob,MAX(0,MIN(1,_xlpm.prog+_xlpm.ajmov+_xlpm.ajcli)),IF(OR(V1018="DIAMANTE",V1018="CERRADO"),0,ROUND(_xlpm.prob,2)))</f>
        <v>0.31</v>
      </c>
      <c r="AK1018" t="str">
        <f t="shared" si="372"/>
        <v>Faltan 21,3 puntos base para subir a la siguiente categoría</v>
      </c>
      <c r="AL1018" t="str">
        <f t="shared" si="373"/>
        <v>No aplica</v>
      </c>
      <c r="AM1018">
        <f t="shared" si="374"/>
        <v>0.88</v>
      </c>
      <c r="AN1018" t="str">
        <f t="shared" si="375"/>
        <v>PRIORIDAD ALTA – requiere intervención inmediata</v>
      </c>
      <c r="AO1018">
        <f t="shared" si="376"/>
        <v>45.403798492706905</v>
      </c>
      <c r="AP1018">
        <f t="shared" si="377"/>
        <v>10.5</v>
      </c>
      <c r="AQ1018">
        <f t="shared" si="378"/>
        <v>0</v>
      </c>
      <c r="AR1018">
        <f t="shared" si="379"/>
        <v>4.4099999999999993</v>
      </c>
      <c r="AS1018">
        <f t="shared" si="380"/>
        <v>4.1100000000000003</v>
      </c>
      <c r="AT1018" t="str">
        <f t="shared" si="381"/>
        <v>VENTAS</v>
      </c>
      <c r="AU1018">
        <f t="shared" si="382"/>
        <v>45.403798492706905</v>
      </c>
      <c r="AV1018" t="str">
        <f t="shared" si="383"/>
        <v>Mayor retorno probable: VENTAS (+45,4 puntos finales potenciales).</v>
      </c>
    </row>
    <row r="1019" spans="1:48" x14ac:dyDescent="0.3">
      <c r="A1019" s="5">
        <v>51010639</v>
      </c>
      <c r="B1019" s="5" t="str">
        <f>IFERROR(VLOOKUP(A1019,VENTAS!$A$2:$B$1194,2,0),"")</f>
        <v/>
      </c>
      <c r="C1019" s="5">
        <f>IFERROR(INDEX(VENTAS!$C$2:$E$1194,MATCH(A1019,VENTAS!$A$2:$A$1194,0),MATCH(PARAMS_MODELO!$B$2,{"Q1","Q2","Q3"},0)),0)</f>
        <v>0</v>
      </c>
      <c r="D1019" s="5">
        <f>IFERROR(INDEX(VENTAS!$F$2:$H$1194,MATCH(A1019,VENTAS!$A$2:$A$1194,0),MATCH(PARAMS_MODELO!$B$2,{"Q1","Q2","Q3"},0)),0)</f>
        <v>0</v>
      </c>
      <c r="E1019" s="8">
        <f t="shared" si="360"/>
        <v>0</v>
      </c>
      <c r="F1019" s="12">
        <f>IF(E1019&lt;=PARAMS_MODELO!$B$15,0,IF(E1019&gt;=PARAMS_MODELO!$B$17,100,100*MIN(1,(E1019-PARAMS_MODELO!$B$15)/(PARAMS_MODELO!$B$16-PARAMS_MODELO!$B$15))))*PARAMS_MODELO!$B$7</f>
        <v>0</v>
      </c>
      <c r="G1019" s="5">
        <f t="shared" si="361"/>
        <v>0</v>
      </c>
      <c r="H1019" s="5">
        <f>(PARAMS_MODELO!$B$20*(MAX(0,MIN(3,E1019))/3)+PARAMS_MODELO!$B$21*(IFERROR(LN(1+MAX(0,G1019))/LN(1+MAX(0,MAX($G$2:$G$1194))),0)))*100*PARAMS_MODELO!$B$8</f>
        <v>0</v>
      </c>
      <c r="I1019" s="8">
        <f>E1019-PARAMS_MODELO!$B$5</f>
        <v>-0.17756283537552653</v>
      </c>
      <c r="J1019" s="5">
        <f>IF(I1019&lt;=PARAMS_MODELO!$B$18,0,IF(I1019&gt;=PARAMS_MODELO!$B$19,100,100*(I1019-PARAMS_MODELO!$B$18)/(PARAMS_MODELO!$B$19-PARAMS_MODELO!$B$18)))*PARAMS_MODELO!$B$9</f>
        <v>0</v>
      </c>
      <c r="K1019" s="5">
        <f>IFERROR(CHOOSE(MATCH(PARAMS_MODELO!$B$2,{"Q1","Q2","Q3"},0),LOTO!$D1019,LOTO!$F1019,LOTO!$H1019),0)</f>
        <v>0</v>
      </c>
      <c r="L1019" s="8">
        <f t="shared" si="362"/>
        <v>0</v>
      </c>
      <c r="M1019" s="5">
        <f>MIN(100,IF(PARAMS_MODELO!$B$23=0,0,100*L1019/PARAMS_MODELO!$B$23))*PARAMS_MODELO!$B$10</f>
        <v>0</v>
      </c>
      <c r="N1019" s="5">
        <f>IFERROR(VLOOKUP(A1019,COMPLIANCE!$A$2:$F$1996,6,0),100)</f>
        <v>100</v>
      </c>
      <c r="O1019" s="5">
        <f>N1019*PARAMS_MODELO!$B$11</f>
        <v>10</v>
      </c>
      <c r="P1019" s="5">
        <f>IFERROR(VLOOKUP(A1019,DIGITAL!$A$2:$J$2000,7,0),100)</f>
        <v>81</v>
      </c>
      <c r="Q1019" s="5">
        <f>IFERROR(P1019,0)*PARAMS_MODELO!$B$12</f>
        <v>8.1</v>
      </c>
      <c r="R1019">
        <f t="shared" si="363"/>
        <v>18.100000000000001</v>
      </c>
      <c r="S1019" s="5" t="str">
        <f>IFERROR(VLOOKUP(A1019,CLIENTE!$A$2:$N$2000,13,0),1)</f>
        <v>Regular</v>
      </c>
      <c r="T1019" s="5">
        <f>IFERROR(VLOOKUP(A1019,CLIENTE!$A$2:$N$2000,14,0),1)</f>
        <v>1</v>
      </c>
      <c r="U1019" s="5">
        <f t="shared" si="364"/>
        <v>18.100000000000001</v>
      </c>
      <c r="V1019" s="5" t="str">
        <f>IF(U1019&gt;=MAX(_xlfn.PERCENTILE.INC($U$2:$U$1194,PARAMS_MODELO!$B$50),PARAMS_MODELO!$B$45),"DIAMANTE",IF(U1019&gt;=MAX(_xlfn.PERCENTILE.INC($U$2:$U$1194,PARAMS_MODELO!$B$51),PARAMS_MODELO!$B$46),"PLATINO",IF(U1019&gt;=MAX(_xlfn.PERCENTILE.INC($U$2:$U$1194,PARAMS_MODELO!$B$52),PARAMS_MODELO!$B$47),"ORO",IF(U1019&gt;=MAX(_xlfn.PERCENTILE.INC($U$2:$U$1194,PARAMS_MODELO!$B$53),PARAMS_MODELO!$B$48),"PLATA",IF(U1019&gt;=1,"BRONCE","CERRADO")))))</f>
        <v>BRONCE</v>
      </c>
      <c r="W1019" s="5" t="str" cm="1">
        <f t="array" ref="W1019">_xlfn.XLOOKUP(1, (HIST_SCORE!$B:$B=PARAMS_MODELO!$B$4) * (HIST_SCORE!$C:$C=A1019), HIST_SCORE!$E:$E, "No encontrado")</f>
        <v>BRONCE</v>
      </c>
      <c r="X1019" s="5" t="str">
        <f>_xlfn.LET(_xlpm.act,MATCH(V1019,{"DIAMANTE";"PLATINO";"ORO";"PLATA";"BRONCE";"CERRADO"},0),_xlpm.ant,MATCH(W1019,{"DIAMANTE";"PLATINO";"ORO";"PLATA";"BRONCE";"CERRADO"},0),IF(_xlpm.act&lt;_xlpm.ant,"Mejora ↑",IF(_xlpm.act&gt;_xlpm.ant,"Baja ↓","Estable →")))</f>
        <v>Estable →</v>
      </c>
      <c r="Y1019" s="5">
        <f>IFERROR(U1019-SUMIFS(HIST_SCORE!$D:$D,HIST_SCORE!$B:$B,PARAMS_MODELO!$B$4,HIST_SCORE!$C:$C,$A1019),"")</f>
        <v>0</v>
      </c>
      <c r="Z1019" s="5" t="str">
        <f t="shared" si="365"/>
        <v>→ Estable</v>
      </c>
      <c r="AA1019" s="5">
        <f t="shared" si="366"/>
        <v>1026</v>
      </c>
      <c r="AB1019" s="5">
        <f>IFERROR(SUMIFS(HIST_SCORE!$F:$F,HIST_SCORE!$B:$B,PARAMS_MODELO!$B$4,HIST_SCORE!$C:$C,$A1019),"")</f>
        <v>1026</v>
      </c>
      <c r="AC1019" s="5">
        <f t="shared" si="367"/>
        <v>0</v>
      </c>
      <c r="AD1019" t="str">
        <f t="shared" si="369"/>
        <v/>
      </c>
      <c r="AE10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1019="CERRADO",1,IF(V1019="BRONCE",_xlpm.cPl,IF(V1019="PLATA",_xlpm.cO,IF(V1019="ORO",_xlpm.cP,IF(V1019="PLATINO",_xlpm.cD,999))))))</f>
        <v>24.506573482968111</v>
      </c>
      <c r="AF10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1019="CERRADO",0,IF(V1019="BRONCE",1,IF(V1019="PLATA",_xlpm.cPl,IF(V1019="ORO",_xlpm.cO,IF(V1019="PLATINO",_xlpm.cP,_xlpm.cD))))))</f>
        <v>1</v>
      </c>
      <c r="AG1019">
        <f t="shared" si="370"/>
        <v>6.4065734829681098</v>
      </c>
      <c r="AH1019" t="str">
        <f t="shared" si="371"/>
        <v>VENTAS</v>
      </c>
      <c r="AI1019" t="str">
        <f t="shared" si="368"/>
        <v>🎯 Para subir de categoría, eje VENTAS / CRECIMIENTO PERSONAL (F). Acción: metas semanales + activación comercial + seguimiento del asesor. ΔR aprox: 6,4</v>
      </c>
      <c r="AJ1019" s="26">
        <f>_xlfn.LET(_xlpm.piso,AF1019,_xlpm.corte,AE1019,_xlpm.prog,IF(_xlpm.corte&lt;=_xlpm.piso,0,MAX(0,MIN(1,(U1019-_xlpm.piso)/(_xlpm.corte-_xlpm.piso)))),_xlpm.orden,{"DIAMANTE";"PLATINO";"ORO";"PLATA";"BRONCE";"CERRADO"},_xlpm.act,IFERROR(MATCH(V1019,_xlpm.orden,0),6),_xlpm.ant,IFERROR(MATCH(W1019,_xlpm.orden,0),6),_xlpm.ajmov,IF(_xlpm.act&lt;_xlpm.ant,0.08,IF(_xlpm.act&gt;_xlpm.ant,-0.08,0)),_xlpm.ajcli,IF(T1019&lt;0.95,-0.06,0),_xlpm.prob,MAX(0,MIN(1,_xlpm.prog+_xlpm.ajmov+_xlpm.ajcli)),IF(OR(V1019="DIAMANTE",V1019="CERRADO"),0,ROUND(_xlpm.prob,2)))</f>
        <v>0.73</v>
      </c>
      <c r="AK1019" t="str">
        <f t="shared" si="372"/>
        <v>Faltan 6,4 puntos base para subir a la siguiente categoría</v>
      </c>
      <c r="AL1019" t="str">
        <f t="shared" si="373"/>
        <v>No aplica</v>
      </c>
      <c r="AM1019">
        <f t="shared" si="374"/>
        <v>0.36</v>
      </c>
      <c r="AN1019" t="str">
        <f t="shared" si="375"/>
        <v>PRIORIDAD BAJA – control normal</v>
      </c>
      <c r="AO1019">
        <f t="shared" si="376"/>
        <v>64.862569275295584</v>
      </c>
      <c r="AP1019">
        <f t="shared" si="377"/>
        <v>15</v>
      </c>
      <c r="AQ1019">
        <f t="shared" si="378"/>
        <v>0</v>
      </c>
      <c r="AR1019">
        <f t="shared" si="379"/>
        <v>1.9000000000000004</v>
      </c>
      <c r="AS1019">
        <f t="shared" si="380"/>
        <v>0</v>
      </c>
      <c r="AT1019" t="str">
        <f t="shared" si="381"/>
        <v>VENTAS</v>
      </c>
      <c r="AU1019">
        <f t="shared" si="382"/>
        <v>64.862569275295584</v>
      </c>
      <c r="AV1019" t="str">
        <f t="shared" si="383"/>
        <v>Mayor retorno probable: VENTAS (+64,9 puntos finales potenciales).</v>
      </c>
    </row>
    <row r="1020" spans="1:48" x14ac:dyDescent="0.3">
      <c r="A1020" s="5">
        <v>51010965</v>
      </c>
      <c r="B1020" s="5" t="str">
        <f>IFERROR(VLOOKUP(A1020,VENTAS!$A$2:$B$1194,2,0),"")</f>
        <v/>
      </c>
      <c r="C1020" s="5">
        <f>IFERROR(INDEX(VENTAS!$C$2:$E$1194,MATCH(A1020,VENTAS!$A$2:$A$1194,0),MATCH(PARAMS_MODELO!$B$2,{"Q1","Q2","Q3"},0)),0)</f>
        <v>0</v>
      </c>
      <c r="D1020" s="5">
        <f>IFERROR(INDEX(VENTAS!$F$2:$H$1194,MATCH(A1020,VENTAS!$A$2:$A$1194,0),MATCH(PARAMS_MODELO!$B$2,{"Q1","Q2","Q3"},0)),0)</f>
        <v>0</v>
      </c>
      <c r="E1020" s="8">
        <f t="shared" si="360"/>
        <v>0</v>
      </c>
      <c r="F1020" s="12">
        <f>IF(E1020&lt;=PARAMS_MODELO!$B$15,0,IF(E1020&gt;=PARAMS_MODELO!$B$17,100,100*MIN(1,(E1020-PARAMS_MODELO!$B$15)/(PARAMS_MODELO!$B$16-PARAMS_MODELO!$B$15))))*PARAMS_MODELO!$B$7</f>
        <v>0</v>
      </c>
      <c r="G1020" s="5">
        <f t="shared" si="361"/>
        <v>0</v>
      </c>
      <c r="H1020" s="5">
        <f>(PARAMS_MODELO!$B$20*(MAX(0,MIN(3,E1020))/3)+PARAMS_MODELO!$B$21*(IFERROR(LN(1+MAX(0,G1020))/LN(1+MAX(0,MAX($G$2:$G$1194))),0)))*100*PARAMS_MODELO!$B$8</f>
        <v>0</v>
      </c>
      <c r="I1020" s="8">
        <f>E1020-PARAMS_MODELO!$B$5</f>
        <v>-0.17756283537552653</v>
      </c>
      <c r="J1020" s="5">
        <f>IF(I1020&lt;=PARAMS_MODELO!$B$18,0,IF(I1020&gt;=PARAMS_MODELO!$B$19,100,100*(I1020-PARAMS_MODELO!$B$18)/(PARAMS_MODELO!$B$19-PARAMS_MODELO!$B$18)))*PARAMS_MODELO!$B$9</f>
        <v>0</v>
      </c>
      <c r="K1020" s="5">
        <f>IFERROR(CHOOSE(MATCH(PARAMS_MODELO!$B$2,{"Q1","Q2","Q3"},0),LOTO!$D1020,LOTO!$F1020,LOTO!$H1020),0)</f>
        <v>0</v>
      </c>
      <c r="L1020" s="8">
        <f t="shared" si="362"/>
        <v>0</v>
      </c>
      <c r="M1020" s="5">
        <f>MIN(100,IF(PARAMS_MODELO!$B$23=0,0,100*L1020/PARAMS_MODELO!$B$23))*PARAMS_MODELO!$B$10</f>
        <v>0</v>
      </c>
      <c r="N1020" s="5">
        <f>IFERROR(VLOOKUP(A1020,COMPLIANCE!$A$2:$F$1996,6,0),100)</f>
        <v>100</v>
      </c>
      <c r="O1020" s="5">
        <f>N1020*PARAMS_MODELO!$B$11</f>
        <v>10</v>
      </c>
      <c r="P1020" s="5">
        <f>IFERROR(VLOOKUP(A1020,DIGITAL!$A$2:$J$2000,7,0),100)</f>
        <v>19</v>
      </c>
      <c r="Q1020" s="5">
        <f>IFERROR(P1020,0)*PARAMS_MODELO!$B$12</f>
        <v>1.9000000000000001</v>
      </c>
      <c r="R1020">
        <f t="shared" si="363"/>
        <v>11.9</v>
      </c>
      <c r="S1020" s="5" t="str">
        <f>IFERROR(VLOOKUP(A1020,CLIENTE!$A$2:$N$2000,13,0),1)</f>
        <v>Malo</v>
      </c>
      <c r="T1020" s="5">
        <f>IFERROR(VLOOKUP(A1020,CLIENTE!$A$2:$N$2000,14,0),1)</f>
        <v>0.7</v>
      </c>
      <c r="U1020" s="5">
        <f t="shared" si="364"/>
        <v>8.33</v>
      </c>
      <c r="V1020" s="5" t="str">
        <f>IF(U1020&gt;=MAX(_xlfn.PERCENTILE.INC($U$2:$U$1194,PARAMS_MODELO!$B$50),PARAMS_MODELO!$B$45),"DIAMANTE",IF(U1020&gt;=MAX(_xlfn.PERCENTILE.INC($U$2:$U$1194,PARAMS_MODELO!$B$51),PARAMS_MODELO!$B$46),"PLATINO",IF(U1020&gt;=MAX(_xlfn.PERCENTILE.INC($U$2:$U$1194,PARAMS_MODELO!$B$52),PARAMS_MODELO!$B$47),"ORO",IF(U1020&gt;=MAX(_xlfn.PERCENTILE.INC($U$2:$U$1194,PARAMS_MODELO!$B$53),PARAMS_MODELO!$B$48),"PLATA",IF(U1020&gt;=1,"BRONCE","CERRADO")))))</f>
        <v>BRONCE</v>
      </c>
      <c r="W1020" s="5" t="str" cm="1">
        <f t="array" ref="W1020">_xlfn.XLOOKUP(1, (HIST_SCORE!$B:$B=PARAMS_MODELO!$B$4) * (HIST_SCORE!$C:$C=A1020), HIST_SCORE!$E:$E, "No encontrado")</f>
        <v>BRONCE</v>
      </c>
      <c r="X1020" s="5" t="str">
        <f>_xlfn.LET(_xlpm.act,MATCH(V1020,{"DIAMANTE";"PLATINO";"ORO";"PLATA";"BRONCE";"CERRADO"},0),_xlpm.ant,MATCH(W1020,{"DIAMANTE";"PLATINO";"ORO";"PLATA";"BRONCE";"CERRADO"},0),IF(_xlpm.act&lt;_xlpm.ant,"Mejora ↑",IF(_xlpm.act&gt;_xlpm.ant,"Baja ↓","Estable →")))</f>
        <v>Estable →</v>
      </c>
      <c r="Y1020" s="5">
        <f>IFERROR(U1020-SUMIFS(HIST_SCORE!$D:$D,HIST_SCORE!$B:$B,PARAMS_MODELO!$B$4,HIST_SCORE!$C:$C,$A1020),"")</f>
        <v>0</v>
      </c>
      <c r="Z1020" s="5" t="str">
        <f t="shared" si="365"/>
        <v>→ Estable</v>
      </c>
      <c r="AA1020" s="5">
        <f t="shared" si="366"/>
        <v>1182</v>
      </c>
      <c r="AB1020" s="5">
        <f>IFERROR(SUMIFS(HIST_SCORE!$F:$F,HIST_SCORE!$B:$B,PARAMS_MODELO!$B$4,HIST_SCORE!$C:$C,$A1020),"")</f>
        <v>1182</v>
      </c>
      <c r="AC1020" s="5">
        <f t="shared" si="367"/>
        <v>0</v>
      </c>
      <c r="AD1020" t="str">
        <f t="shared" si="369"/>
        <v/>
      </c>
      <c r="AE10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1020="CERRADO",1,IF(V1020="BRONCE",_xlpm.cPl,IF(V1020="PLATA",_xlpm.cO,IF(V1020="ORO",_xlpm.cP,IF(V1020="PLATINO",_xlpm.cD,999))))))</f>
        <v>24.506573482968111</v>
      </c>
      <c r="AF10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1020="CERRADO",0,IF(V1020="BRONCE",1,IF(V1020="PLATA",_xlpm.cPl,IF(V1020="ORO",_xlpm.cO,IF(V1020="PLATINO",_xlpm.cP,_xlpm.cD))))))</f>
        <v>1</v>
      </c>
      <c r="AG1020">
        <f t="shared" si="370"/>
        <v>23.109390689954445</v>
      </c>
      <c r="AH1020" t="str">
        <f t="shared" si="371"/>
        <v>VENTAS</v>
      </c>
      <c r="AI1020" t="str">
        <f t="shared" si="368"/>
        <v>🎯 Para subir de categoría, eje VENTAS / CRECIMIENTO PERSONAL (F). Acción: metas semanales + activación comercial + seguimiento del asesor. ΔR aprox: 23,1</v>
      </c>
      <c r="AJ1020" s="26">
        <f>_xlfn.LET(_xlpm.piso,AF1020,_xlpm.corte,AE1020,_xlpm.prog,IF(_xlpm.corte&lt;=_xlpm.piso,0,MAX(0,MIN(1,(U1020-_xlpm.piso)/(_xlpm.corte-_xlpm.piso)))),_xlpm.orden,{"DIAMANTE";"PLATINO";"ORO";"PLATA";"BRONCE";"CERRADO"},_xlpm.act,IFERROR(MATCH(V1020,_xlpm.orden,0),6),_xlpm.ant,IFERROR(MATCH(W1020,_xlpm.orden,0),6),_xlpm.ajmov,IF(_xlpm.act&lt;_xlpm.ant,0.08,IF(_xlpm.act&gt;_xlpm.ant,-0.08,0)),_xlpm.ajcli,IF(T1020&lt;0.95,-0.06,0),_xlpm.prob,MAX(0,MIN(1,_xlpm.prog+_xlpm.ajmov+_xlpm.ajcli)),IF(OR(V1020="DIAMANTE",V1020="CERRADO"),0,ROUND(_xlpm.prob,2)))</f>
        <v>0.25</v>
      </c>
      <c r="AK1020" t="str">
        <f t="shared" si="372"/>
        <v>Faltan 23,1 puntos base para subir a la siguiente categoría</v>
      </c>
      <c r="AL1020" t="str">
        <f t="shared" si="373"/>
        <v>No aplica</v>
      </c>
      <c r="AM1020">
        <f t="shared" si="374"/>
        <v>0.9</v>
      </c>
      <c r="AN1020" t="str">
        <f t="shared" si="375"/>
        <v>PRIORIDAD ALTA – requiere intervención inmediata</v>
      </c>
      <c r="AO1020">
        <f t="shared" si="376"/>
        <v>45.403798492706905</v>
      </c>
      <c r="AP1020">
        <f t="shared" si="377"/>
        <v>10.5</v>
      </c>
      <c r="AQ1020">
        <f t="shared" si="378"/>
        <v>0</v>
      </c>
      <c r="AR1020">
        <f t="shared" si="379"/>
        <v>5.669999999999999</v>
      </c>
      <c r="AS1020">
        <f t="shared" si="380"/>
        <v>3.5700000000000007</v>
      </c>
      <c r="AT1020" t="str">
        <f t="shared" si="381"/>
        <v>VENTAS</v>
      </c>
      <c r="AU1020">
        <f t="shared" si="382"/>
        <v>45.403798492706905</v>
      </c>
      <c r="AV1020" t="str">
        <f t="shared" si="383"/>
        <v>Mayor retorno probable: VENTAS (+45,4 puntos finales potenciales).</v>
      </c>
    </row>
    <row r="1021" spans="1:48" x14ac:dyDescent="0.3">
      <c r="A1021" s="5">
        <v>51011082</v>
      </c>
      <c r="B1021" s="5" t="str">
        <f>IFERROR(VLOOKUP(A1021,VENTAS!$A$2:$B$1194,2,0),"")</f>
        <v/>
      </c>
      <c r="C1021" s="5">
        <f>IFERROR(INDEX(VENTAS!$C$2:$E$1194,MATCH(A1021,VENTAS!$A$2:$A$1194,0),MATCH(PARAMS_MODELO!$B$2,{"Q1","Q2","Q3"},0)),0)</f>
        <v>14747413.699999999</v>
      </c>
      <c r="D1021" s="5">
        <f>IFERROR(INDEX(VENTAS!$F$2:$H$1194,MATCH(A1021,VENTAS!$A$2:$A$1194,0),MATCH(PARAMS_MODELO!$B$2,{"Q1","Q2","Q3"},0)),0)</f>
        <v>0</v>
      </c>
      <c r="E1021" s="8">
        <f t="shared" si="360"/>
        <v>-1</v>
      </c>
      <c r="F1021" s="12">
        <f>IF(E1021&lt;=PARAMS_MODELO!$B$15,0,IF(E1021&gt;=PARAMS_MODELO!$B$17,100,100*MIN(1,(E1021-PARAMS_MODELO!$B$15)/(PARAMS_MODELO!$B$16-PARAMS_MODELO!$B$15))))*PARAMS_MODELO!$B$7</f>
        <v>0</v>
      </c>
      <c r="G1021" s="5">
        <f t="shared" si="361"/>
        <v>0</v>
      </c>
      <c r="H1021" s="5">
        <f>(PARAMS_MODELO!$B$20*(MAX(0,MIN(3,E1021))/3)+PARAMS_MODELO!$B$21*(IFERROR(LN(1+MAX(0,G1021))/LN(1+MAX(0,MAX($G$2:$G$1194))),0)))*100*PARAMS_MODELO!$B$8</f>
        <v>0</v>
      </c>
      <c r="I1021" s="8">
        <f>E1021-PARAMS_MODELO!$B$5</f>
        <v>-1.1775628353755265</v>
      </c>
      <c r="J1021" s="5">
        <f>IF(I1021&lt;=PARAMS_MODELO!$B$18,0,IF(I1021&gt;=PARAMS_MODELO!$B$19,100,100*(I1021-PARAMS_MODELO!$B$18)/(PARAMS_MODELO!$B$19-PARAMS_MODELO!$B$18)))*PARAMS_MODELO!$B$9</f>
        <v>0</v>
      </c>
      <c r="K1021" s="5">
        <f>IFERROR(CHOOSE(MATCH(PARAMS_MODELO!$B$2,{"Q1","Q2","Q3"},0),LOTO!$D1021,LOTO!$F1021,LOTO!$H1021),0)</f>
        <v>0</v>
      </c>
      <c r="L1021" s="8">
        <f t="shared" si="362"/>
        <v>0</v>
      </c>
      <c r="M1021" s="5">
        <f>MIN(100,IF(PARAMS_MODELO!$B$23=0,0,100*L1021/PARAMS_MODELO!$B$23))*PARAMS_MODELO!$B$10</f>
        <v>0</v>
      </c>
      <c r="N1021" s="5">
        <f>IFERROR(VLOOKUP(A1021,COMPLIANCE!$A$2:$F$1996,6,0),100)</f>
        <v>99.23</v>
      </c>
      <c r="O1021" s="5">
        <f>N1021*PARAMS_MODELO!$B$11</f>
        <v>9.9230000000000018</v>
      </c>
      <c r="P1021" s="5">
        <f>IFERROR(VLOOKUP(A1021,DIGITAL!$A$2:$J$2000,7,0),100)</f>
        <v>72</v>
      </c>
      <c r="Q1021" s="5">
        <f>IFERROR(P1021,0)*PARAMS_MODELO!$B$12</f>
        <v>7.2</v>
      </c>
      <c r="R1021">
        <f t="shared" si="363"/>
        <v>17.123000000000001</v>
      </c>
      <c r="S1021" s="5" t="str">
        <f>IFERROR(VLOOKUP(A1021,CLIENTE!$A$2:$N$2000,13,0),1)</f>
        <v>Regular</v>
      </c>
      <c r="T1021" s="5">
        <f>IFERROR(VLOOKUP(A1021,CLIENTE!$A$2:$N$2000,14,0),1)</f>
        <v>1</v>
      </c>
      <c r="U1021" s="5">
        <f t="shared" si="364"/>
        <v>17.123000000000001</v>
      </c>
      <c r="V1021" s="5" t="str">
        <f>IF(U1021&gt;=MAX(_xlfn.PERCENTILE.INC($U$2:$U$1194,PARAMS_MODELO!$B$50),PARAMS_MODELO!$B$45),"DIAMANTE",IF(U1021&gt;=MAX(_xlfn.PERCENTILE.INC($U$2:$U$1194,PARAMS_MODELO!$B$51),PARAMS_MODELO!$B$46),"PLATINO",IF(U1021&gt;=MAX(_xlfn.PERCENTILE.INC($U$2:$U$1194,PARAMS_MODELO!$B$52),PARAMS_MODELO!$B$47),"ORO",IF(U1021&gt;=MAX(_xlfn.PERCENTILE.INC($U$2:$U$1194,PARAMS_MODELO!$B$53),PARAMS_MODELO!$B$48),"PLATA",IF(U1021&gt;=1,"BRONCE","CERRADO")))))</f>
        <v>BRONCE</v>
      </c>
      <c r="W1021" s="5" t="str" cm="1">
        <f t="array" ref="W1021">_xlfn.XLOOKUP(1, (HIST_SCORE!$B:$B=PARAMS_MODELO!$B$4) * (HIST_SCORE!$C:$C=A1021), HIST_SCORE!$E:$E, "No encontrado")</f>
        <v>PLATA</v>
      </c>
      <c r="X1021" s="5" t="str">
        <f>_xlfn.LET(_xlpm.act,MATCH(V1021,{"DIAMANTE";"PLATINO";"ORO";"PLATA";"BRONCE";"CERRADO"},0),_xlpm.ant,MATCH(W1021,{"DIAMANTE";"PLATINO";"ORO";"PLATA";"BRONCE";"CERRADO"},0),IF(_xlpm.act&lt;_xlpm.ant,"Mejora ↑",IF(_xlpm.act&gt;_xlpm.ant,"Baja ↓","Estable →")))</f>
        <v>Baja ↓</v>
      </c>
      <c r="Y1021" s="5">
        <f>IFERROR(U1021-SUMIFS(HIST_SCORE!$D:$D,HIST_SCORE!$B:$B,PARAMS_MODELO!$B$4,HIST_SCORE!$C:$C,$A1021),"")</f>
        <v>-15.000000000000004</v>
      </c>
      <c r="Z1021" s="5" t="str">
        <f t="shared" si="365"/>
        <v>↓ Baja</v>
      </c>
      <c r="AA1021" s="5">
        <f t="shared" si="366"/>
        <v>1048</v>
      </c>
      <c r="AB1021" s="5">
        <f>IFERROR(SUMIFS(HIST_SCORE!$F:$F,HIST_SCORE!$B:$B,PARAMS_MODELO!$B$4,HIST_SCORE!$C:$C,$A1021),"")</f>
        <v>885</v>
      </c>
      <c r="AC1021" s="5">
        <f t="shared" si="367"/>
        <v>-163</v>
      </c>
      <c r="AD1021" t="str">
        <f t="shared" si="369"/>
        <v>Plan de recuperación: foco crecimiento + mix</v>
      </c>
      <c r="AE10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1021="CERRADO",1,IF(V1021="BRONCE",_xlpm.cPl,IF(V1021="PLATA",_xlpm.cO,IF(V1021="ORO",_xlpm.cP,IF(V1021="PLATINO",_xlpm.cD,999))))))</f>
        <v>24.506573482968111</v>
      </c>
      <c r="AF10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1021="CERRADO",0,IF(V1021="BRONCE",1,IF(V1021="PLATA",_xlpm.cPl,IF(V1021="ORO",_xlpm.cO,IF(V1021="PLATINO",_xlpm.cP,_xlpm.cD))))))</f>
        <v>1</v>
      </c>
      <c r="AG1021">
        <f t="shared" si="370"/>
        <v>7.3835734829681101</v>
      </c>
      <c r="AH1021" t="str">
        <f t="shared" si="371"/>
        <v>VENTAS</v>
      </c>
      <c r="AI1021" t="str">
        <f t="shared" si="368"/>
        <v>🎯 Para subir de categoría, eje VENTAS / CRECIMIENTO PERSONAL (F). Acción: metas semanales + activación comercial + seguimiento del asesor. ΔR aprox: 7,4</v>
      </c>
      <c r="AJ1021" s="26">
        <f>_xlfn.LET(_xlpm.piso,AF1021,_xlpm.corte,AE1021,_xlpm.prog,IF(_xlpm.corte&lt;=_xlpm.piso,0,MAX(0,MIN(1,(U1021-_xlpm.piso)/(_xlpm.corte-_xlpm.piso)))),_xlpm.orden,{"DIAMANTE";"PLATINO";"ORO";"PLATA";"BRONCE";"CERRADO"},_xlpm.act,IFERROR(MATCH(V1021,_xlpm.orden,0),6),_xlpm.ant,IFERROR(MATCH(W1021,_xlpm.orden,0),6),_xlpm.ajmov,IF(_xlpm.act&lt;_xlpm.ant,0.08,IF(_xlpm.act&gt;_xlpm.ant,-0.08,0)),_xlpm.ajcli,IF(T1021&lt;0.95,-0.06,0),_xlpm.prob,MAX(0,MIN(1,_xlpm.prog+_xlpm.ajmov+_xlpm.ajcli)),IF(OR(V1021="DIAMANTE",V1021="CERRADO"),0,ROUND(_xlpm.prob,2)))</f>
        <v>0.61</v>
      </c>
      <c r="AK1021" t="str">
        <f t="shared" si="372"/>
        <v>Faltan 7,4 puntos base para subir a la siguiente categoría</v>
      </c>
      <c r="AL1021" t="str">
        <f t="shared" si="373"/>
        <v>No aplica</v>
      </c>
      <c r="AM1021">
        <f t="shared" si="374"/>
        <v>0.45</v>
      </c>
      <c r="AN1021" t="str">
        <f t="shared" si="375"/>
        <v>PRIORIDAD MEDIA – seguimiento del asesor</v>
      </c>
      <c r="AO1021">
        <f t="shared" si="376"/>
        <v>64.862569275295584</v>
      </c>
      <c r="AP1021">
        <f t="shared" si="377"/>
        <v>15</v>
      </c>
      <c r="AQ1021">
        <f t="shared" si="378"/>
        <v>7.6999999999998181E-2</v>
      </c>
      <c r="AR1021">
        <f t="shared" si="379"/>
        <v>2.8</v>
      </c>
      <c r="AS1021">
        <f t="shared" si="380"/>
        <v>0</v>
      </c>
      <c r="AT1021" t="str">
        <f t="shared" si="381"/>
        <v>VENTAS</v>
      </c>
      <c r="AU1021">
        <f t="shared" si="382"/>
        <v>64.862569275295584</v>
      </c>
      <c r="AV1021" t="str">
        <f t="shared" si="383"/>
        <v>Mayor retorno probable: VENTAS (+64,9 puntos finales potenciales).</v>
      </c>
    </row>
    <row r="1022" spans="1:48" x14ac:dyDescent="0.3">
      <c r="A1022" s="5">
        <v>51011104</v>
      </c>
      <c r="B1022" s="5" t="str">
        <f>IFERROR(VLOOKUP(A1022,VENTAS!$A$2:$B$1194,2,0),"")</f>
        <v/>
      </c>
      <c r="C1022" s="5">
        <f>IFERROR(INDEX(VENTAS!$C$2:$E$1194,MATCH(A1022,VENTAS!$A$2:$A$1194,0),MATCH(PARAMS_MODELO!$B$2,{"Q1","Q2","Q3"},0)),0)</f>
        <v>31295881.919999991</v>
      </c>
      <c r="D1022" s="5">
        <f>IFERROR(INDEX(VENTAS!$F$2:$H$1194,MATCH(A1022,VENTAS!$A$2:$A$1194,0),MATCH(PARAMS_MODELO!$B$2,{"Q1","Q2","Q3"},0)),0)</f>
        <v>0</v>
      </c>
      <c r="E1022" s="8">
        <f t="shared" si="360"/>
        <v>-1</v>
      </c>
      <c r="F1022" s="12">
        <f>IF(E1022&lt;=PARAMS_MODELO!$B$15,0,IF(E1022&gt;=PARAMS_MODELO!$B$17,100,100*MIN(1,(E1022-PARAMS_MODELO!$B$15)/(PARAMS_MODELO!$B$16-PARAMS_MODELO!$B$15))))*PARAMS_MODELO!$B$7</f>
        <v>0</v>
      </c>
      <c r="G1022" s="5">
        <f t="shared" si="361"/>
        <v>0</v>
      </c>
      <c r="H1022" s="5">
        <f>(PARAMS_MODELO!$B$20*(MAX(0,MIN(3,E1022))/3)+PARAMS_MODELO!$B$21*(IFERROR(LN(1+MAX(0,G1022))/LN(1+MAX(0,MAX($G$2:$G$1194))),0)))*100*PARAMS_MODELO!$B$8</f>
        <v>0</v>
      </c>
      <c r="I1022" s="8">
        <f>E1022-PARAMS_MODELO!$B$5</f>
        <v>-1.1775628353755265</v>
      </c>
      <c r="J1022" s="5">
        <f>IF(I1022&lt;=PARAMS_MODELO!$B$18,0,IF(I1022&gt;=PARAMS_MODELO!$B$19,100,100*(I1022-PARAMS_MODELO!$B$18)/(PARAMS_MODELO!$B$19-PARAMS_MODELO!$B$18)))*PARAMS_MODELO!$B$9</f>
        <v>0</v>
      </c>
      <c r="K1022" s="5">
        <f>IFERROR(CHOOSE(MATCH(PARAMS_MODELO!$B$2,{"Q1","Q2","Q3"},0),LOTO!$D1022,LOTO!$F1022,LOTO!$H1022),0)</f>
        <v>0</v>
      </c>
      <c r="L1022" s="8">
        <f t="shared" si="362"/>
        <v>0</v>
      </c>
      <c r="M1022" s="5">
        <f>MIN(100,IF(PARAMS_MODELO!$B$23=0,0,100*L1022/PARAMS_MODELO!$B$23))*PARAMS_MODELO!$B$10</f>
        <v>0</v>
      </c>
      <c r="N1022" s="5">
        <f>IFERROR(VLOOKUP(A1022,COMPLIANCE!$A$2:$F$1996,6,0),100)</f>
        <v>100</v>
      </c>
      <c r="O1022" s="5">
        <f>N1022*PARAMS_MODELO!$B$11</f>
        <v>10</v>
      </c>
      <c r="P1022" s="5">
        <f>IFERROR(VLOOKUP(A1022,DIGITAL!$A$2:$J$2000,7,0),100)</f>
        <v>64</v>
      </c>
      <c r="Q1022" s="5">
        <f>IFERROR(P1022,0)*PARAMS_MODELO!$B$12</f>
        <v>6.4</v>
      </c>
      <c r="R1022">
        <f t="shared" si="363"/>
        <v>16.399999999999999</v>
      </c>
      <c r="S1022" s="5" t="str">
        <f>IFERROR(VLOOKUP(A1022,CLIENTE!$A$2:$N$2000,13,0),1)</f>
        <v>Muy Bueno</v>
      </c>
      <c r="T1022" s="5">
        <f>IFERROR(VLOOKUP(A1022,CLIENTE!$A$2:$N$2000,14,0),1)</f>
        <v>1.1499999999999999</v>
      </c>
      <c r="U1022" s="5">
        <f t="shared" si="364"/>
        <v>18.859999999999996</v>
      </c>
      <c r="V1022" s="5" t="str">
        <f>IF(U1022&gt;=MAX(_xlfn.PERCENTILE.INC($U$2:$U$1194,PARAMS_MODELO!$B$50),PARAMS_MODELO!$B$45),"DIAMANTE",IF(U1022&gt;=MAX(_xlfn.PERCENTILE.INC($U$2:$U$1194,PARAMS_MODELO!$B$51),PARAMS_MODELO!$B$46),"PLATINO",IF(U1022&gt;=MAX(_xlfn.PERCENTILE.INC($U$2:$U$1194,PARAMS_MODELO!$B$52),PARAMS_MODELO!$B$47),"ORO",IF(U1022&gt;=MAX(_xlfn.PERCENTILE.INC($U$2:$U$1194,PARAMS_MODELO!$B$53),PARAMS_MODELO!$B$48),"PLATA",IF(U1022&gt;=1,"BRONCE","CERRADO")))))</f>
        <v>BRONCE</v>
      </c>
      <c r="W1022" s="5" t="str" cm="1">
        <f t="array" ref="W1022">_xlfn.XLOOKUP(1, (HIST_SCORE!$B:$B=PARAMS_MODELO!$B$4) * (HIST_SCORE!$C:$C=A1022), HIST_SCORE!$E:$E, "No encontrado")</f>
        <v>BRONCE</v>
      </c>
      <c r="X1022" s="5" t="str">
        <f>_xlfn.LET(_xlpm.act,MATCH(V1022,{"DIAMANTE";"PLATINO";"ORO";"PLATA";"BRONCE";"CERRADO"},0),_xlpm.ant,MATCH(W1022,{"DIAMANTE";"PLATINO";"ORO";"PLATA";"BRONCE";"CERRADO"},0),IF(_xlpm.act&lt;_xlpm.ant,"Mejora ↑",IF(_xlpm.act&gt;_xlpm.ant,"Baja ↓","Estable →")))</f>
        <v>Estable →</v>
      </c>
      <c r="Y1022" s="5">
        <f>IFERROR(U1022-SUMIFS(HIST_SCORE!$D:$D,HIST_SCORE!$B:$B,PARAMS_MODELO!$B$4,HIST_SCORE!$C:$C,$A1022),"")</f>
        <v>0</v>
      </c>
      <c r="Z1022" s="5" t="str">
        <f t="shared" si="365"/>
        <v>→ Estable</v>
      </c>
      <c r="AA1022" s="5">
        <f t="shared" si="366"/>
        <v>1007</v>
      </c>
      <c r="AB1022" s="5">
        <f>IFERROR(SUMIFS(HIST_SCORE!$F:$F,HIST_SCORE!$B:$B,PARAMS_MODELO!$B$4,HIST_SCORE!$C:$C,$A1022),"")</f>
        <v>1012</v>
      </c>
      <c r="AC1022" s="5">
        <f t="shared" si="367"/>
        <v>5</v>
      </c>
      <c r="AD1022" t="str">
        <f t="shared" si="369"/>
        <v/>
      </c>
      <c r="AE10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1022="CERRADO",1,IF(V1022="BRONCE",_xlpm.cPl,IF(V1022="PLATA",_xlpm.cO,IF(V1022="ORO",_xlpm.cP,IF(V1022="PLATINO",_xlpm.cD,999))))))</f>
        <v>24.506573482968111</v>
      </c>
      <c r="AF10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1022="CERRADO",0,IF(V1022="BRONCE",1,IF(V1022="PLATA",_xlpm.cPl,IF(V1022="ORO",_xlpm.cO,IF(V1022="PLATINO",_xlpm.cP,_xlpm.cD))))))</f>
        <v>1</v>
      </c>
      <c r="AG1022">
        <f t="shared" si="370"/>
        <v>4.9100638982331439</v>
      </c>
      <c r="AH1022" t="str">
        <f t="shared" si="371"/>
        <v>VENTAS</v>
      </c>
      <c r="AI1022" t="str">
        <f t="shared" si="368"/>
        <v>🎯 Para subir de categoría, eje VENTAS / CRECIMIENTO PERSONAL (F). Acción: metas semanales + activación comercial + seguimiento del asesor. ΔR aprox: 4,9</v>
      </c>
      <c r="AJ1022" s="26">
        <f>_xlfn.LET(_xlpm.piso,AF1022,_xlpm.corte,AE1022,_xlpm.prog,IF(_xlpm.corte&lt;=_xlpm.piso,0,MAX(0,MIN(1,(U1022-_xlpm.piso)/(_xlpm.corte-_xlpm.piso)))),_xlpm.orden,{"DIAMANTE";"PLATINO";"ORO";"PLATA";"BRONCE";"CERRADO"},_xlpm.act,IFERROR(MATCH(V1022,_xlpm.orden,0),6),_xlpm.ant,IFERROR(MATCH(W1022,_xlpm.orden,0),6),_xlpm.ajmov,IF(_xlpm.act&lt;_xlpm.ant,0.08,IF(_xlpm.act&gt;_xlpm.ant,-0.08,0)),_xlpm.ajcli,IF(T1022&lt;0.95,-0.06,0),_xlpm.prob,MAX(0,MIN(1,_xlpm.prog+_xlpm.ajmov+_xlpm.ajcli)),IF(OR(V1022="DIAMANTE",V1022="CERRADO"),0,ROUND(_xlpm.prob,2)))</f>
        <v>0.76</v>
      </c>
      <c r="AK1022" t="str">
        <f t="shared" si="372"/>
        <v>Faltan 4,9 puntos base para subir a la siguiente categoría</v>
      </c>
      <c r="AL1022" t="str">
        <f t="shared" si="373"/>
        <v>No aplica</v>
      </c>
      <c r="AM1022">
        <f t="shared" si="374"/>
        <v>0.28999999999999998</v>
      </c>
      <c r="AN1022" t="str">
        <f t="shared" si="375"/>
        <v>PRIORIDAD BAJA – control normal</v>
      </c>
      <c r="AO1022">
        <f t="shared" si="376"/>
        <v>74.591954666589913</v>
      </c>
      <c r="AP1022">
        <f t="shared" si="377"/>
        <v>17.25</v>
      </c>
      <c r="AQ1022">
        <f t="shared" si="378"/>
        <v>0</v>
      </c>
      <c r="AR1022">
        <f t="shared" si="379"/>
        <v>4.1399999999999997</v>
      </c>
      <c r="AS1022">
        <f t="shared" si="380"/>
        <v>0</v>
      </c>
      <c r="AT1022" t="str">
        <f t="shared" si="381"/>
        <v>VENTAS</v>
      </c>
      <c r="AU1022">
        <f t="shared" si="382"/>
        <v>74.591954666589913</v>
      </c>
      <c r="AV1022" t="str">
        <f t="shared" si="383"/>
        <v>Mayor retorno probable: VENTAS (+74,6 puntos finales potenciales).</v>
      </c>
    </row>
    <row r="1023" spans="1:48" x14ac:dyDescent="0.3">
      <c r="A1023" s="5">
        <v>51011163</v>
      </c>
      <c r="B1023" s="5" t="str">
        <f>IFERROR(VLOOKUP(A1023,VENTAS!$A$2:$B$1194,2,0),"")</f>
        <v>ARGUELLO</v>
      </c>
      <c r="C1023" s="5">
        <f>IFERROR(INDEX(VENTAS!$C$2:$E$1194,MATCH(A1023,VENTAS!$A$2:$A$1194,0),MATCH(PARAMS_MODELO!$B$2,{"Q1","Q2","Q3"},0)),0)</f>
        <v>42582235.849999987</v>
      </c>
      <c r="D1023" s="5">
        <f>IFERROR(INDEX(VENTAS!$F$2:$H$1194,MATCH(A1023,VENTAS!$A$2:$A$1194,0),MATCH(PARAMS_MODELO!$B$2,{"Q1","Q2","Q3"},0)),0)</f>
        <v>0</v>
      </c>
      <c r="E1023" s="8">
        <f t="shared" si="360"/>
        <v>-1</v>
      </c>
      <c r="F1023" s="12">
        <f>IF(E1023&lt;=PARAMS_MODELO!$B$15,0,IF(E1023&gt;=PARAMS_MODELO!$B$17,100,100*MIN(1,(E1023-PARAMS_MODELO!$B$15)/(PARAMS_MODELO!$B$16-PARAMS_MODELO!$B$15))))*PARAMS_MODELO!$B$7</f>
        <v>0</v>
      </c>
      <c r="G1023" s="5">
        <f t="shared" si="361"/>
        <v>0</v>
      </c>
      <c r="H1023" s="5">
        <f>(PARAMS_MODELO!$B$20*(MAX(0,MIN(3,E1023))/3)+PARAMS_MODELO!$B$21*(IFERROR(LN(1+MAX(0,G1023))/LN(1+MAX(0,MAX($G$2:$G$1194))),0)))*100*PARAMS_MODELO!$B$8</f>
        <v>0</v>
      </c>
      <c r="I1023" s="8">
        <f>E1023-PARAMS_MODELO!$B$5</f>
        <v>-1.1775628353755265</v>
      </c>
      <c r="J1023" s="5">
        <f>IF(I1023&lt;=PARAMS_MODELO!$B$18,0,IF(I1023&gt;=PARAMS_MODELO!$B$19,100,100*(I1023-PARAMS_MODELO!$B$18)/(PARAMS_MODELO!$B$19-PARAMS_MODELO!$B$18)))*PARAMS_MODELO!$B$9</f>
        <v>0</v>
      </c>
      <c r="K1023" s="5">
        <f>IFERROR(CHOOSE(MATCH(PARAMS_MODELO!$B$2,{"Q1","Q2","Q3"},0),LOTO!$D1023,LOTO!$F1023,LOTO!$H1023),0)</f>
        <v>0</v>
      </c>
      <c r="L1023" s="8">
        <f t="shared" si="362"/>
        <v>0</v>
      </c>
      <c r="M1023" s="5">
        <f>MIN(100,IF(PARAMS_MODELO!$B$23=0,0,100*L1023/PARAMS_MODELO!$B$23))*PARAMS_MODELO!$B$10</f>
        <v>0</v>
      </c>
      <c r="N1023" s="5">
        <f>IFERROR(VLOOKUP(A1023,COMPLIANCE!$A$2:$F$1996,6,0),100)</f>
        <v>100</v>
      </c>
      <c r="O1023" s="5">
        <f>N1023*PARAMS_MODELO!$B$11</f>
        <v>10</v>
      </c>
      <c r="P1023" s="5">
        <f>IFERROR(VLOOKUP(A1023,DIGITAL!$A$2:$J$2000,7,0),100)</f>
        <v>80</v>
      </c>
      <c r="Q1023" s="5">
        <f>IFERROR(P1023,0)*PARAMS_MODELO!$B$12</f>
        <v>8</v>
      </c>
      <c r="R1023">
        <f t="shared" si="363"/>
        <v>18</v>
      </c>
      <c r="S1023" s="5" t="str">
        <f>IFERROR(VLOOKUP(A1023,CLIENTE!$A$2:$N$2000,13,0),1)</f>
        <v>Bueno</v>
      </c>
      <c r="T1023" s="5">
        <f>IFERROR(VLOOKUP(A1023,CLIENTE!$A$2:$N$2000,14,0),1)</f>
        <v>1.1000000000000001</v>
      </c>
      <c r="U1023" s="5">
        <f t="shared" si="364"/>
        <v>19.8</v>
      </c>
      <c r="V1023" s="5" t="str">
        <f>IF(U1023&gt;=MAX(_xlfn.PERCENTILE.INC($U$2:$U$1194,PARAMS_MODELO!$B$50),PARAMS_MODELO!$B$45),"DIAMANTE",IF(U1023&gt;=MAX(_xlfn.PERCENTILE.INC($U$2:$U$1194,PARAMS_MODELO!$B$51),PARAMS_MODELO!$B$46),"PLATINO",IF(U1023&gt;=MAX(_xlfn.PERCENTILE.INC($U$2:$U$1194,PARAMS_MODELO!$B$52),PARAMS_MODELO!$B$47),"ORO",IF(U1023&gt;=MAX(_xlfn.PERCENTILE.INC($U$2:$U$1194,PARAMS_MODELO!$B$53),PARAMS_MODELO!$B$48),"PLATA",IF(U1023&gt;=1,"BRONCE","CERRADO")))))</f>
        <v>BRONCE</v>
      </c>
      <c r="W1023" s="5" t="str" cm="1">
        <f t="array" ref="W1023">_xlfn.XLOOKUP(1, (HIST_SCORE!$B:$B=PARAMS_MODELO!$B$4) * (HIST_SCORE!$C:$C=A1023), HIST_SCORE!$E:$E, "No encontrado")</f>
        <v>BRONCE</v>
      </c>
      <c r="X1023" s="5" t="str">
        <f>_xlfn.LET(_xlpm.act,MATCH(V1023,{"DIAMANTE";"PLATINO";"ORO";"PLATA";"BRONCE";"CERRADO"},0),_xlpm.ant,MATCH(W1023,{"DIAMANTE";"PLATINO";"ORO";"PLATA";"BRONCE";"CERRADO"},0),IF(_xlpm.act&lt;_xlpm.ant,"Mejora ↑",IF(_xlpm.act&gt;_xlpm.ant,"Baja ↓","Estable →")))</f>
        <v>Estable →</v>
      </c>
      <c r="Y1023" s="5">
        <f>IFERROR(U1023-SUMIFS(HIST_SCORE!$D:$D,HIST_SCORE!$B:$B,PARAMS_MODELO!$B$4,HIST_SCORE!$C:$C,$A1023),"")</f>
        <v>0</v>
      </c>
      <c r="Z1023" s="5" t="str">
        <f t="shared" si="365"/>
        <v>→ Estable</v>
      </c>
      <c r="AA1023" s="5">
        <f t="shared" si="366"/>
        <v>980</v>
      </c>
      <c r="AB1023" s="5">
        <f>IFERROR(SUMIFS(HIST_SCORE!$F:$F,HIST_SCORE!$B:$B,PARAMS_MODELO!$B$4,HIST_SCORE!$C:$C,$A1023),"")</f>
        <v>989</v>
      </c>
      <c r="AC1023" s="5">
        <f t="shared" si="367"/>
        <v>9</v>
      </c>
      <c r="AD1023" t="str">
        <f t="shared" si="369"/>
        <v/>
      </c>
      <c r="AE10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1023="CERRADO",1,IF(V1023="BRONCE",_xlpm.cPl,IF(V1023="PLATA",_xlpm.cO,IF(V1023="ORO",_xlpm.cP,IF(V1023="PLATINO",_xlpm.cD,999))))))</f>
        <v>24.506573482968111</v>
      </c>
      <c r="AF10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1023="CERRADO",0,IF(V1023="BRONCE",1,IF(V1023="PLATA",_xlpm.cPl,IF(V1023="ORO",_xlpm.cO,IF(V1023="PLATINO",_xlpm.cP,_xlpm.cD))))))</f>
        <v>1</v>
      </c>
      <c r="AG1023">
        <f t="shared" si="370"/>
        <v>4.278703166334644</v>
      </c>
      <c r="AH1023" t="str">
        <f t="shared" si="371"/>
        <v>VENTAS</v>
      </c>
      <c r="AI1023" t="str">
        <f t="shared" si="368"/>
        <v>🎯 Para subir de categoría, eje VENTAS / CRECIMIENTO PERSONAL (F). Acción: metas semanales + activación comercial + seguimiento del asesor. ΔR aprox: 4,3</v>
      </c>
      <c r="AJ1023" s="26">
        <f>_xlfn.LET(_xlpm.piso,AF1023,_xlpm.corte,AE1023,_xlpm.prog,IF(_xlpm.corte&lt;=_xlpm.piso,0,MAX(0,MIN(1,(U1023-_xlpm.piso)/(_xlpm.corte-_xlpm.piso)))),_xlpm.orden,{"DIAMANTE";"PLATINO";"ORO";"PLATA";"BRONCE";"CERRADO"},_xlpm.act,IFERROR(MATCH(V1023,_xlpm.orden,0),6),_xlpm.ant,IFERROR(MATCH(W1023,_xlpm.orden,0),6),_xlpm.ajmov,IF(_xlpm.act&lt;_xlpm.ant,0.08,IF(_xlpm.act&gt;_xlpm.ant,-0.08,0)),_xlpm.ajcli,IF(T1023&lt;0.95,-0.06,0),_xlpm.prob,MAX(0,MIN(1,_xlpm.prog+_xlpm.ajmov+_xlpm.ajcli)),IF(OR(V1023="DIAMANTE",V1023="CERRADO"),0,ROUND(_xlpm.prob,2)))</f>
        <v>0.8</v>
      </c>
      <c r="AK1023" t="str">
        <f t="shared" si="372"/>
        <v>Faltan 4,3 puntos base para subir a la siguiente categoría</v>
      </c>
      <c r="AL1023" t="str">
        <f t="shared" si="373"/>
        <v>No aplica</v>
      </c>
      <c r="AM1023">
        <f t="shared" si="374"/>
        <v>0.25</v>
      </c>
      <c r="AN1023" t="str">
        <f t="shared" si="375"/>
        <v>PRIORIDAD BAJA – control normal</v>
      </c>
      <c r="AO1023">
        <f t="shared" si="376"/>
        <v>71.348826202825151</v>
      </c>
      <c r="AP1023">
        <f t="shared" si="377"/>
        <v>16.5</v>
      </c>
      <c r="AQ1023">
        <f t="shared" si="378"/>
        <v>0</v>
      </c>
      <c r="AR1023">
        <f t="shared" si="379"/>
        <v>2.2000000000000002</v>
      </c>
      <c r="AS1023">
        <f t="shared" si="380"/>
        <v>0</v>
      </c>
      <c r="AT1023" t="str">
        <f t="shared" si="381"/>
        <v>VENTAS</v>
      </c>
      <c r="AU1023">
        <f t="shared" si="382"/>
        <v>71.348826202825151</v>
      </c>
      <c r="AV1023" t="str">
        <f t="shared" si="383"/>
        <v>Mayor retorno probable: VENTAS (+71,3 puntos finales potenciales).</v>
      </c>
    </row>
    <row r="1024" spans="1:48" x14ac:dyDescent="0.3">
      <c r="A1024" s="5">
        <v>51011406</v>
      </c>
      <c r="B1024" s="5" t="str">
        <f>IFERROR(VLOOKUP(A1024,VENTAS!$A$2:$B$1194,2,0),"")</f>
        <v/>
      </c>
      <c r="C1024" s="5">
        <f>IFERROR(INDEX(VENTAS!$C$2:$E$1194,MATCH(A1024,VENTAS!$A$2:$A$1194,0),MATCH(PARAMS_MODELO!$B$2,{"Q1","Q2","Q3"},0)),0)</f>
        <v>47952802.770000003</v>
      </c>
      <c r="D1024" s="5">
        <f>IFERROR(INDEX(VENTAS!$F$2:$H$1194,MATCH(A1024,VENTAS!$A$2:$A$1194,0),MATCH(PARAMS_MODELO!$B$2,{"Q1","Q2","Q3"},0)),0)</f>
        <v>0</v>
      </c>
      <c r="E1024" s="8">
        <f t="shared" si="360"/>
        <v>-1</v>
      </c>
      <c r="F1024" s="12">
        <f>IF(E1024&lt;=PARAMS_MODELO!$B$15,0,IF(E1024&gt;=PARAMS_MODELO!$B$17,100,100*MIN(1,(E1024-PARAMS_MODELO!$B$15)/(PARAMS_MODELO!$B$16-PARAMS_MODELO!$B$15))))*PARAMS_MODELO!$B$7</f>
        <v>0</v>
      </c>
      <c r="G1024" s="5">
        <f t="shared" si="361"/>
        <v>0</v>
      </c>
      <c r="H1024" s="5">
        <f>(PARAMS_MODELO!$B$20*(MAX(0,MIN(3,E1024))/3)+PARAMS_MODELO!$B$21*(IFERROR(LN(1+MAX(0,G1024))/LN(1+MAX(0,MAX($G$2:$G$1194))),0)))*100*PARAMS_MODELO!$B$8</f>
        <v>0</v>
      </c>
      <c r="I1024" s="8">
        <f>E1024-PARAMS_MODELO!$B$5</f>
        <v>-1.1775628353755265</v>
      </c>
      <c r="J1024" s="5">
        <f>IF(I1024&lt;=PARAMS_MODELO!$B$18,0,IF(I1024&gt;=PARAMS_MODELO!$B$19,100,100*(I1024-PARAMS_MODELO!$B$18)/(PARAMS_MODELO!$B$19-PARAMS_MODELO!$B$18)))*PARAMS_MODELO!$B$9</f>
        <v>0</v>
      </c>
      <c r="K1024" s="5">
        <f>IFERROR(CHOOSE(MATCH(PARAMS_MODELO!$B$2,{"Q1","Q2","Q3"},0),LOTO!$D1024,LOTO!$F1024,LOTO!$H1024),0)</f>
        <v>0</v>
      </c>
      <c r="L1024" s="8">
        <f t="shared" si="362"/>
        <v>0</v>
      </c>
      <c r="M1024" s="5">
        <f>MIN(100,IF(PARAMS_MODELO!$B$23=0,0,100*L1024/PARAMS_MODELO!$B$23))*PARAMS_MODELO!$B$10</f>
        <v>0</v>
      </c>
      <c r="N1024" s="5">
        <f>IFERROR(VLOOKUP(A1024,COMPLIANCE!$A$2:$F$1996,6,0),100)</f>
        <v>100</v>
      </c>
      <c r="O1024" s="5">
        <f>N1024*PARAMS_MODELO!$B$11</f>
        <v>10</v>
      </c>
      <c r="P1024" s="5">
        <f>IFERROR(VLOOKUP(A1024,DIGITAL!$A$2:$J$2000,7,0),100)</f>
        <v>19</v>
      </c>
      <c r="Q1024" s="5">
        <f>IFERROR(P1024,0)*PARAMS_MODELO!$B$12</f>
        <v>1.9000000000000001</v>
      </c>
      <c r="R1024">
        <f t="shared" si="363"/>
        <v>11.9</v>
      </c>
      <c r="S1024" s="5" t="str">
        <f>IFERROR(VLOOKUP(A1024,CLIENTE!$A$2:$N$2000,13,0),1)</f>
        <v>Malo</v>
      </c>
      <c r="T1024" s="5">
        <f>IFERROR(VLOOKUP(A1024,CLIENTE!$A$2:$N$2000,14,0),1)</f>
        <v>0.7</v>
      </c>
      <c r="U1024" s="5">
        <f t="shared" si="364"/>
        <v>8.33</v>
      </c>
      <c r="V1024" s="5" t="str">
        <f>IF(U1024&gt;=MAX(_xlfn.PERCENTILE.INC($U$2:$U$1194,PARAMS_MODELO!$B$50),PARAMS_MODELO!$B$45),"DIAMANTE",IF(U1024&gt;=MAX(_xlfn.PERCENTILE.INC($U$2:$U$1194,PARAMS_MODELO!$B$51),PARAMS_MODELO!$B$46),"PLATINO",IF(U1024&gt;=MAX(_xlfn.PERCENTILE.INC($U$2:$U$1194,PARAMS_MODELO!$B$52),PARAMS_MODELO!$B$47),"ORO",IF(U1024&gt;=MAX(_xlfn.PERCENTILE.INC($U$2:$U$1194,PARAMS_MODELO!$B$53),PARAMS_MODELO!$B$48),"PLATA",IF(U1024&gt;=1,"BRONCE","CERRADO")))))</f>
        <v>BRONCE</v>
      </c>
      <c r="W1024" s="5" t="str" cm="1">
        <f t="array" ref="W1024">_xlfn.XLOOKUP(1, (HIST_SCORE!$B:$B=PARAMS_MODELO!$B$4) * (HIST_SCORE!$C:$C=A1024), HIST_SCORE!$E:$E, "No encontrado")</f>
        <v>BRONCE</v>
      </c>
      <c r="X1024" s="5" t="str">
        <f>_xlfn.LET(_xlpm.act,MATCH(V1024,{"DIAMANTE";"PLATINO";"ORO";"PLATA";"BRONCE";"CERRADO"},0),_xlpm.ant,MATCH(W1024,{"DIAMANTE";"PLATINO";"ORO";"PLATA";"BRONCE";"CERRADO"},0),IF(_xlpm.act&lt;_xlpm.ant,"Mejora ↑",IF(_xlpm.act&gt;_xlpm.ant,"Baja ↓","Estable →")))</f>
        <v>Estable →</v>
      </c>
      <c r="Y1024" s="5">
        <f>IFERROR(U1024-SUMIFS(HIST_SCORE!$D:$D,HIST_SCORE!$B:$B,PARAMS_MODELO!$B$4,HIST_SCORE!$C:$C,$A1024),"")</f>
        <v>0</v>
      </c>
      <c r="Z1024" s="5" t="str">
        <f t="shared" si="365"/>
        <v>→ Estable</v>
      </c>
      <c r="AA1024" s="5">
        <f t="shared" si="366"/>
        <v>1182</v>
      </c>
      <c r="AB1024" s="5">
        <f>IFERROR(SUMIFS(HIST_SCORE!$F:$F,HIST_SCORE!$B:$B,PARAMS_MODELO!$B$4,HIST_SCORE!$C:$C,$A1024),"")</f>
        <v>1182</v>
      </c>
      <c r="AC1024" s="5">
        <f t="shared" si="367"/>
        <v>0</v>
      </c>
      <c r="AD1024" t="str">
        <f t="shared" si="369"/>
        <v/>
      </c>
      <c r="AE10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1024="CERRADO",1,IF(V1024="BRONCE",_xlpm.cPl,IF(V1024="PLATA",_xlpm.cO,IF(V1024="ORO",_xlpm.cP,IF(V1024="PLATINO",_xlpm.cD,999))))))</f>
        <v>24.506573482968111</v>
      </c>
      <c r="AF10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1024="CERRADO",0,IF(V1024="BRONCE",1,IF(V1024="PLATA",_xlpm.cPl,IF(V1024="ORO",_xlpm.cO,IF(V1024="PLATINO",_xlpm.cP,_xlpm.cD))))))</f>
        <v>1</v>
      </c>
      <c r="AG1024">
        <f t="shared" si="370"/>
        <v>23.109390689954445</v>
      </c>
      <c r="AH1024" t="str">
        <f t="shared" si="371"/>
        <v>VENTAS</v>
      </c>
      <c r="AI1024" t="str">
        <f t="shared" si="368"/>
        <v>🎯 Para subir de categoría, eje VENTAS / CRECIMIENTO PERSONAL (F). Acción: metas semanales + activación comercial + seguimiento del asesor. ΔR aprox: 23,1</v>
      </c>
      <c r="AJ1024" s="26">
        <f>_xlfn.LET(_xlpm.piso,AF1024,_xlpm.corte,AE1024,_xlpm.prog,IF(_xlpm.corte&lt;=_xlpm.piso,0,MAX(0,MIN(1,(U1024-_xlpm.piso)/(_xlpm.corte-_xlpm.piso)))),_xlpm.orden,{"DIAMANTE";"PLATINO";"ORO";"PLATA";"BRONCE";"CERRADO"},_xlpm.act,IFERROR(MATCH(V1024,_xlpm.orden,0),6),_xlpm.ant,IFERROR(MATCH(W1024,_xlpm.orden,0),6),_xlpm.ajmov,IF(_xlpm.act&lt;_xlpm.ant,0.08,IF(_xlpm.act&gt;_xlpm.ant,-0.08,0)),_xlpm.ajcli,IF(T1024&lt;0.95,-0.06,0),_xlpm.prob,MAX(0,MIN(1,_xlpm.prog+_xlpm.ajmov+_xlpm.ajcli)),IF(OR(V1024="DIAMANTE",V1024="CERRADO"),0,ROUND(_xlpm.prob,2)))</f>
        <v>0.25</v>
      </c>
      <c r="AK1024" t="str">
        <f t="shared" si="372"/>
        <v>Faltan 23,1 puntos base para subir a la siguiente categoría</v>
      </c>
      <c r="AL1024" t="str">
        <f t="shared" si="373"/>
        <v>No aplica</v>
      </c>
      <c r="AM1024">
        <f t="shared" si="374"/>
        <v>0.9</v>
      </c>
      <c r="AN1024" t="str">
        <f t="shared" si="375"/>
        <v>PRIORIDAD ALTA – requiere intervención inmediata</v>
      </c>
      <c r="AO1024">
        <f t="shared" si="376"/>
        <v>45.403798492706905</v>
      </c>
      <c r="AP1024">
        <f t="shared" si="377"/>
        <v>10.5</v>
      </c>
      <c r="AQ1024">
        <f t="shared" si="378"/>
        <v>0</v>
      </c>
      <c r="AR1024">
        <f t="shared" si="379"/>
        <v>5.669999999999999</v>
      </c>
      <c r="AS1024">
        <f t="shared" si="380"/>
        <v>3.5700000000000007</v>
      </c>
      <c r="AT1024" t="str">
        <f t="shared" si="381"/>
        <v>VENTAS</v>
      </c>
      <c r="AU1024">
        <f t="shared" si="382"/>
        <v>45.403798492706905</v>
      </c>
      <c r="AV1024" t="str">
        <f t="shared" si="383"/>
        <v>Mayor retorno probable: VENTAS (+45,4 puntos finales potenciales).</v>
      </c>
    </row>
    <row r="1025" spans="1:48" x14ac:dyDescent="0.3">
      <c r="A1025" s="5">
        <v>51011503</v>
      </c>
      <c r="B1025" s="5" t="str">
        <f>IFERROR(VLOOKUP(A1025,VENTAS!$A$2:$B$1194,2,0),"")</f>
        <v/>
      </c>
      <c r="C1025" s="5">
        <f>IFERROR(INDEX(VENTAS!$C$2:$E$1194,MATCH(A1025,VENTAS!$A$2:$A$1194,0),MATCH(PARAMS_MODELO!$B$2,{"Q1","Q2","Q3"},0)),0)</f>
        <v>31996411.25</v>
      </c>
      <c r="D1025" s="5">
        <f>IFERROR(INDEX(VENTAS!$F$2:$H$1194,MATCH(A1025,VENTAS!$A$2:$A$1194,0),MATCH(PARAMS_MODELO!$B$2,{"Q1","Q2","Q3"},0)),0)</f>
        <v>0</v>
      </c>
      <c r="E1025" s="8">
        <f t="shared" si="360"/>
        <v>-1</v>
      </c>
      <c r="F1025" s="12">
        <f>IF(E1025&lt;=PARAMS_MODELO!$B$15,0,IF(E1025&gt;=PARAMS_MODELO!$B$17,100,100*MIN(1,(E1025-PARAMS_MODELO!$B$15)/(PARAMS_MODELO!$B$16-PARAMS_MODELO!$B$15))))*PARAMS_MODELO!$B$7</f>
        <v>0</v>
      </c>
      <c r="G1025" s="5">
        <f t="shared" si="361"/>
        <v>0</v>
      </c>
      <c r="H1025" s="5">
        <f>(PARAMS_MODELO!$B$20*(MAX(0,MIN(3,E1025))/3)+PARAMS_MODELO!$B$21*(IFERROR(LN(1+MAX(0,G1025))/LN(1+MAX(0,MAX($G$2:$G$1194))),0)))*100*PARAMS_MODELO!$B$8</f>
        <v>0</v>
      </c>
      <c r="I1025" s="8">
        <f>E1025-PARAMS_MODELO!$B$5</f>
        <v>-1.1775628353755265</v>
      </c>
      <c r="J1025" s="5">
        <f>IF(I1025&lt;=PARAMS_MODELO!$B$18,0,IF(I1025&gt;=PARAMS_MODELO!$B$19,100,100*(I1025-PARAMS_MODELO!$B$18)/(PARAMS_MODELO!$B$19-PARAMS_MODELO!$B$18)))*PARAMS_MODELO!$B$9</f>
        <v>0</v>
      </c>
      <c r="K1025" s="5">
        <f>IFERROR(CHOOSE(MATCH(PARAMS_MODELO!$B$2,{"Q1","Q2","Q3"},0),LOTO!$D1025,LOTO!$F1025,LOTO!$H1025),0)</f>
        <v>0</v>
      </c>
      <c r="L1025" s="8">
        <f t="shared" si="362"/>
        <v>0</v>
      </c>
      <c r="M1025" s="5">
        <f>MIN(100,IF(PARAMS_MODELO!$B$23=0,0,100*L1025/PARAMS_MODELO!$B$23))*PARAMS_MODELO!$B$10</f>
        <v>0</v>
      </c>
      <c r="N1025" s="5">
        <f>IFERROR(VLOOKUP(A1025,COMPLIANCE!$A$2:$F$1996,6,0),100)</f>
        <v>99.85</v>
      </c>
      <c r="O1025" s="5">
        <f>N1025*PARAMS_MODELO!$B$11</f>
        <v>9.9849999999999994</v>
      </c>
      <c r="P1025" s="5">
        <f>IFERROR(VLOOKUP(A1025,DIGITAL!$A$2:$J$2000,7,0),100)</f>
        <v>64</v>
      </c>
      <c r="Q1025" s="5">
        <f>IFERROR(P1025,0)*PARAMS_MODELO!$B$12</f>
        <v>6.4</v>
      </c>
      <c r="R1025">
        <f t="shared" si="363"/>
        <v>16.384999999999998</v>
      </c>
      <c r="S1025" s="5" t="str">
        <f>IFERROR(VLOOKUP(A1025,CLIENTE!$A$2:$N$2000,13,0),1)</f>
        <v>Regular</v>
      </c>
      <c r="T1025" s="5">
        <f>IFERROR(VLOOKUP(A1025,CLIENTE!$A$2:$N$2000,14,0),1)</f>
        <v>1</v>
      </c>
      <c r="U1025" s="5">
        <f t="shared" si="364"/>
        <v>16.384999999999998</v>
      </c>
      <c r="V1025" s="5" t="str">
        <f>IF(U1025&gt;=MAX(_xlfn.PERCENTILE.INC($U$2:$U$1194,PARAMS_MODELO!$B$50),PARAMS_MODELO!$B$45),"DIAMANTE",IF(U1025&gt;=MAX(_xlfn.PERCENTILE.INC($U$2:$U$1194,PARAMS_MODELO!$B$51),PARAMS_MODELO!$B$46),"PLATINO",IF(U1025&gt;=MAX(_xlfn.PERCENTILE.INC($U$2:$U$1194,PARAMS_MODELO!$B$52),PARAMS_MODELO!$B$47),"ORO",IF(U1025&gt;=MAX(_xlfn.PERCENTILE.INC($U$2:$U$1194,PARAMS_MODELO!$B$53),PARAMS_MODELO!$B$48),"PLATA",IF(U1025&gt;=1,"BRONCE","CERRADO")))))</f>
        <v>BRONCE</v>
      </c>
      <c r="W1025" s="5" t="str" cm="1">
        <f t="array" ref="W1025">_xlfn.XLOOKUP(1, (HIST_SCORE!$B:$B=PARAMS_MODELO!$B$4) * (HIST_SCORE!$C:$C=A1025), HIST_SCORE!$E:$E, "No encontrado")</f>
        <v>BRONCE</v>
      </c>
      <c r="X1025" s="5" t="str">
        <f>_xlfn.LET(_xlpm.act,MATCH(V1025,{"DIAMANTE";"PLATINO";"ORO";"PLATA";"BRONCE";"CERRADO"},0),_xlpm.ant,MATCH(W1025,{"DIAMANTE";"PLATINO";"ORO";"PLATA";"BRONCE";"CERRADO"},0),IF(_xlpm.act&lt;_xlpm.ant,"Mejora ↑",IF(_xlpm.act&gt;_xlpm.ant,"Baja ↓","Estable →")))</f>
        <v>Estable →</v>
      </c>
      <c r="Y1025" s="5">
        <f>IFERROR(U1025-SUMIFS(HIST_SCORE!$D:$D,HIST_SCORE!$B:$B,PARAMS_MODELO!$B$4,HIST_SCORE!$C:$C,$A1025),"")</f>
        <v>0</v>
      </c>
      <c r="Z1025" s="5" t="str">
        <f t="shared" si="365"/>
        <v>→ Estable</v>
      </c>
      <c r="AA1025" s="5">
        <f t="shared" si="366"/>
        <v>1061</v>
      </c>
      <c r="AB1025" s="5">
        <f>IFERROR(SUMIFS(HIST_SCORE!$F:$F,HIST_SCORE!$B:$B,PARAMS_MODELO!$B$4,HIST_SCORE!$C:$C,$A1025),"")</f>
        <v>1058</v>
      </c>
      <c r="AC1025" s="5">
        <f t="shared" si="367"/>
        <v>-3</v>
      </c>
      <c r="AD1025" t="str">
        <f t="shared" si="369"/>
        <v/>
      </c>
      <c r="AE10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1025="CERRADO",1,IF(V1025="BRONCE",_xlpm.cPl,IF(V1025="PLATA",_xlpm.cO,IF(V1025="ORO",_xlpm.cP,IF(V1025="PLATINO",_xlpm.cD,999))))))</f>
        <v>24.506573482968111</v>
      </c>
      <c r="AF10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1025="CERRADO",0,IF(V1025="BRONCE",1,IF(V1025="PLATA",_xlpm.cPl,IF(V1025="ORO",_xlpm.cO,IF(V1025="PLATINO",_xlpm.cP,_xlpm.cD))))))</f>
        <v>1</v>
      </c>
      <c r="AG1025">
        <f t="shared" si="370"/>
        <v>8.1215734829681132</v>
      </c>
      <c r="AH1025" t="str">
        <f t="shared" si="371"/>
        <v>VENTAS</v>
      </c>
      <c r="AI1025" t="str">
        <f t="shared" si="368"/>
        <v>🎯 Para subir de categoría, eje VENTAS / CRECIMIENTO PERSONAL (F). Acción: metas semanales + activación comercial + seguimiento del asesor. ΔR aprox: 8,1</v>
      </c>
      <c r="AJ1025" s="26">
        <f>_xlfn.LET(_xlpm.piso,AF1025,_xlpm.corte,AE1025,_xlpm.prog,IF(_xlpm.corte&lt;=_xlpm.piso,0,MAX(0,MIN(1,(U1025-_xlpm.piso)/(_xlpm.corte-_xlpm.piso)))),_xlpm.orden,{"DIAMANTE";"PLATINO";"ORO";"PLATA";"BRONCE";"CERRADO"},_xlpm.act,IFERROR(MATCH(V1025,_xlpm.orden,0),6),_xlpm.ant,IFERROR(MATCH(W1025,_xlpm.orden,0),6),_xlpm.ajmov,IF(_xlpm.act&lt;_xlpm.ant,0.08,IF(_xlpm.act&gt;_xlpm.ant,-0.08,0)),_xlpm.ajcli,IF(T1025&lt;0.95,-0.06,0),_xlpm.prob,MAX(0,MIN(1,_xlpm.prog+_xlpm.ajmov+_xlpm.ajcli)),IF(OR(V1025="DIAMANTE",V1025="CERRADO"),0,ROUND(_xlpm.prob,2)))</f>
        <v>0.65</v>
      </c>
      <c r="AK1025" t="str">
        <f t="shared" si="372"/>
        <v>Faltan 8,1 puntos base para subir a la siguiente categoría</v>
      </c>
      <c r="AL1025" t="str">
        <f t="shared" si="373"/>
        <v>No aplica</v>
      </c>
      <c r="AM1025">
        <f t="shared" si="374"/>
        <v>0.46</v>
      </c>
      <c r="AN1025" t="str">
        <f t="shared" si="375"/>
        <v>PRIORIDAD MEDIA – seguimiento del asesor</v>
      </c>
      <c r="AO1025">
        <f t="shared" si="376"/>
        <v>64.862569275295584</v>
      </c>
      <c r="AP1025">
        <f t="shared" si="377"/>
        <v>15</v>
      </c>
      <c r="AQ1025">
        <f t="shared" si="378"/>
        <v>1.5000000000000568E-2</v>
      </c>
      <c r="AR1025">
        <f t="shared" si="379"/>
        <v>3.5999999999999996</v>
      </c>
      <c r="AS1025">
        <f t="shared" si="380"/>
        <v>0</v>
      </c>
      <c r="AT1025" t="str">
        <f t="shared" si="381"/>
        <v>VENTAS</v>
      </c>
      <c r="AU1025">
        <f t="shared" si="382"/>
        <v>64.862569275295584</v>
      </c>
      <c r="AV1025" t="str">
        <f t="shared" si="383"/>
        <v>Mayor retorno probable: VENTAS (+64,9 puntos finales potenciales).</v>
      </c>
    </row>
    <row r="1026" spans="1:48" x14ac:dyDescent="0.3">
      <c r="A1026" s="5">
        <v>51011511</v>
      </c>
      <c r="B1026" s="5" t="str">
        <f>IFERROR(VLOOKUP(A1026,VENTAS!$A$2:$B$1194,2,0),"")</f>
        <v/>
      </c>
      <c r="C1026" s="5">
        <f>IFERROR(INDEX(VENTAS!$C$2:$E$1194,MATCH(A1026,VENTAS!$A$2:$A$1194,0),MATCH(PARAMS_MODELO!$B$2,{"Q1","Q2","Q3"},0)),0)</f>
        <v>74281561.780000001</v>
      </c>
      <c r="D1026" s="5">
        <f>IFERROR(INDEX(VENTAS!$F$2:$H$1194,MATCH(A1026,VENTAS!$A$2:$A$1194,0),MATCH(PARAMS_MODELO!$B$2,{"Q1","Q2","Q3"},0)),0)</f>
        <v>0</v>
      </c>
      <c r="E1026" s="8">
        <f t="shared" ref="E1026:E1089" si="384">IFERROR(D1026/C1026-1,0)</f>
        <v>-1</v>
      </c>
      <c r="F1026" s="12">
        <f>IF(E1026&lt;=PARAMS_MODELO!$B$15,0,IF(E1026&gt;=PARAMS_MODELO!$B$17,100,100*MIN(1,(E1026-PARAMS_MODELO!$B$15)/(PARAMS_MODELO!$B$16-PARAMS_MODELO!$B$15))))*PARAMS_MODELO!$B$7</f>
        <v>0</v>
      </c>
      <c r="G1026" s="5">
        <f t="shared" ref="G1026:G1089" si="385">MAX(0,D1026-C1026)</f>
        <v>0</v>
      </c>
      <c r="H1026" s="5">
        <f>(PARAMS_MODELO!$B$20*(MAX(0,MIN(3,E1026))/3)+PARAMS_MODELO!$B$21*(IFERROR(LN(1+MAX(0,G1026))/LN(1+MAX(0,MAX($G$2:$G$1194))),0)))*100*PARAMS_MODELO!$B$8</f>
        <v>0</v>
      </c>
      <c r="I1026" s="8">
        <f>E1026-PARAMS_MODELO!$B$5</f>
        <v>-1.1775628353755265</v>
      </c>
      <c r="J1026" s="5">
        <f>IF(I1026&lt;=PARAMS_MODELO!$B$18,0,IF(I1026&gt;=PARAMS_MODELO!$B$19,100,100*(I1026-PARAMS_MODELO!$B$18)/(PARAMS_MODELO!$B$19-PARAMS_MODELO!$B$18)))*PARAMS_MODELO!$B$9</f>
        <v>0</v>
      </c>
      <c r="K1026" s="5">
        <f>IFERROR(CHOOSE(MATCH(PARAMS_MODELO!$B$2,{"Q1","Q2","Q3"},0),LOTO!$D1026,LOTO!$F1026,LOTO!$H1026),0)</f>
        <v>0</v>
      </c>
      <c r="L1026" s="8">
        <f t="shared" ref="L1026:L1089" si="386">IFERROR(K1026/D1026,0)</f>
        <v>0</v>
      </c>
      <c r="M1026" s="5">
        <f>MIN(100,IF(PARAMS_MODELO!$B$23=0,0,100*L1026/PARAMS_MODELO!$B$23))*PARAMS_MODELO!$B$10</f>
        <v>0</v>
      </c>
      <c r="N1026" s="5">
        <f>IFERROR(VLOOKUP(A1026,COMPLIANCE!$A$2:$F$1996,6,0),100)</f>
        <v>100</v>
      </c>
      <c r="O1026" s="5">
        <f>N1026*PARAMS_MODELO!$B$11</f>
        <v>10</v>
      </c>
      <c r="P1026" s="5">
        <f>IFERROR(VLOOKUP(A1026,DIGITAL!$A$2:$J$2000,7,0),100)</f>
        <v>24</v>
      </c>
      <c r="Q1026" s="5">
        <f>IFERROR(P1026,0)*PARAMS_MODELO!$B$12</f>
        <v>2.4000000000000004</v>
      </c>
      <c r="R1026">
        <f t="shared" ref="R1026:R1089" si="387">MIN(100,MAX(0,F1026+H1026+J1026+M1026+O1026+Q1026))</f>
        <v>12.4</v>
      </c>
      <c r="S1026" s="5" t="str">
        <f>IFERROR(VLOOKUP(A1026,CLIENTE!$A$2:$N$2000,13,0),1)</f>
        <v>Malo</v>
      </c>
      <c r="T1026" s="5">
        <f>IFERROR(VLOOKUP(A1026,CLIENTE!$A$2:$N$2000,14,0),1)</f>
        <v>0.7</v>
      </c>
      <c r="U1026" s="5">
        <f t="shared" ref="U1026:U1089" si="388">MIN(100,MAX(0,R1026*T1026))</f>
        <v>8.68</v>
      </c>
      <c r="V1026" s="5" t="str">
        <f>IF(U1026&gt;=MAX(_xlfn.PERCENTILE.INC($U$2:$U$1194,PARAMS_MODELO!$B$50),PARAMS_MODELO!$B$45),"DIAMANTE",IF(U1026&gt;=MAX(_xlfn.PERCENTILE.INC($U$2:$U$1194,PARAMS_MODELO!$B$51),PARAMS_MODELO!$B$46),"PLATINO",IF(U1026&gt;=MAX(_xlfn.PERCENTILE.INC($U$2:$U$1194,PARAMS_MODELO!$B$52),PARAMS_MODELO!$B$47),"ORO",IF(U1026&gt;=MAX(_xlfn.PERCENTILE.INC($U$2:$U$1194,PARAMS_MODELO!$B$53),PARAMS_MODELO!$B$48),"PLATA",IF(U1026&gt;=1,"BRONCE","CERRADO")))))</f>
        <v>BRONCE</v>
      </c>
      <c r="W1026" s="5" t="str" cm="1">
        <f t="array" ref="W1026">_xlfn.XLOOKUP(1, (HIST_SCORE!$B:$B=PARAMS_MODELO!$B$4) * (HIST_SCORE!$C:$C=A1026), HIST_SCORE!$E:$E, "No encontrado")</f>
        <v>BRONCE</v>
      </c>
      <c r="X1026" s="5" t="str">
        <f>_xlfn.LET(_xlpm.act,MATCH(V1026,{"DIAMANTE";"PLATINO";"ORO";"PLATA";"BRONCE";"CERRADO"},0),_xlpm.ant,MATCH(W1026,{"DIAMANTE";"PLATINO";"ORO";"PLATA";"BRONCE";"CERRADO"},0),IF(_xlpm.act&lt;_xlpm.ant,"Mejora ↑",IF(_xlpm.act&gt;_xlpm.ant,"Baja ↓","Estable →")))</f>
        <v>Estable →</v>
      </c>
      <c r="Y1026" s="5">
        <f>IFERROR(U1026-SUMIFS(HIST_SCORE!$D:$D,HIST_SCORE!$B:$B,PARAMS_MODELO!$B$4,HIST_SCORE!$C:$C,$A1026),"")</f>
        <v>0</v>
      </c>
      <c r="Z1026" s="5" t="str">
        <f t="shared" ref="Z1026:Z1089" si="389">IF(Y1026="","",IF(Y1026&gt;=5,"↑ Mejora",IF(Y1026&lt;=-5,"↓ Baja","→ Estable")))</f>
        <v>→ Estable</v>
      </c>
      <c r="AA1026" s="5">
        <f t="shared" ref="AA1026:AA1089" si="390">IFERROR(_xlfn.RANK.EQ(U1026,$U$2:$U$1194,0),"")</f>
        <v>1178</v>
      </c>
      <c r="AB1026" s="5">
        <f>IFERROR(SUMIFS(HIST_SCORE!$F:$F,HIST_SCORE!$B:$B,PARAMS_MODELO!$B$4,HIST_SCORE!$C:$C,$A1026),"")</f>
        <v>1179</v>
      </c>
      <c r="AC1026" s="5">
        <f t="shared" ref="AC1026:AC1089" si="391">IF(OR(AA1026="",AB1026=""),"",AB1026-AA1026)</f>
        <v>1</v>
      </c>
      <c r="AD1026" t="str">
        <f t="shared" si="369"/>
        <v/>
      </c>
      <c r="AE10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1026="CERRADO",1,IF(V1026="BRONCE",_xlpm.cPl,IF(V1026="PLATA",_xlpm.cO,IF(V1026="ORO",_xlpm.cP,IF(V1026="PLATINO",_xlpm.cD,999))))))</f>
        <v>24.506573482968111</v>
      </c>
      <c r="AF10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1026="CERRADO",0,IF(V1026="BRONCE",1,IF(V1026="PLATA",_xlpm.cPl,IF(V1026="ORO",_xlpm.cO,IF(V1026="PLATINO",_xlpm.cP,_xlpm.cD))))))</f>
        <v>1</v>
      </c>
      <c r="AG1026">
        <f t="shared" si="370"/>
        <v>22.609390689954445</v>
      </c>
      <c r="AH1026" t="str">
        <f t="shared" si="371"/>
        <v>VENTAS</v>
      </c>
      <c r="AI1026" t="str">
        <f t="shared" ref="AI1026:AI1089" si="392">_xlfn.LET(_xlpm.pal,AH1026,_xlpm.deltaR,AG1026,_xlpm.minVent,MIN(F1026,H1026,J1026),_xlpm.subV,IF(_xlpm.minVent=F1026,"CRECIMIENTO PERSONAL (F)",IF(_xlpm.minVent=H1026,"IMPACTO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CRECIMIENTO PERSONAL (F). Acción: metas semanales + activación comercial + seguimiento del asesor. ΔR aprox: 22,6</v>
      </c>
      <c r="AJ1026" s="26">
        <f>_xlfn.LET(_xlpm.piso,AF1026,_xlpm.corte,AE1026,_xlpm.prog,IF(_xlpm.corte&lt;=_xlpm.piso,0,MAX(0,MIN(1,(U1026-_xlpm.piso)/(_xlpm.corte-_xlpm.piso)))),_xlpm.orden,{"DIAMANTE";"PLATINO";"ORO";"PLATA";"BRONCE";"CERRADO"},_xlpm.act,IFERROR(MATCH(V1026,_xlpm.orden,0),6),_xlpm.ant,IFERROR(MATCH(W1026,_xlpm.orden,0),6),_xlpm.ajmov,IF(_xlpm.act&lt;_xlpm.ant,0.08,IF(_xlpm.act&gt;_xlpm.ant,-0.08,0)),_xlpm.ajcli,IF(T1026&lt;0.95,-0.06,0),_xlpm.prob,MAX(0,MIN(1,_xlpm.prog+_xlpm.ajmov+_xlpm.ajcli)),IF(OR(V1026="DIAMANTE",V1026="CERRADO"),0,ROUND(_xlpm.prob,2)))</f>
        <v>0.27</v>
      </c>
      <c r="AK1026" t="str">
        <f t="shared" si="372"/>
        <v>Faltan 22,6 puntos base para subir a la siguiente categoría</v>
      </c>
      <c r="AL1026" t="str">
        <f t="shared" si="373"/>
        <v>No aplica</v>
      </c>
      <c r="AM1026">
        <f t="shared" si="374"/>
        <v>0.89</v>
      </c>
      <c r="AN1026" t="str">
        <f t="shared" si="375"/>
        <v>PRIORIDAD ALTA – requiere intervención inmediata</v>
      </c>
      <c r="AO1026">
        <f t="shared" si="376"/>
        <v>45.403798492706905</v>
      </c>
      <c r="AP1026">
        <f t="shared" si="377"/>
        <v>10.5</v>
      </c>
      <c r="AQ1026">
        <f t="shared" si="378"/>
        <v>0</v>
      </c>
      <c r="AR1026">
        <f t="shared" si="379"/>
        <v>5.3199999999999994</v>
      </c>
      <c r="AS1026">
        <f t="shared" si="380"/>
        <v>3.7200000000000006</v>
      </c>
      <c r="AT1026" t="str">
        <f t="shared" si="381"/>
        <v>VENTAS</v>
      </c>
      <c r="AU1026">
        <f t="shared" si="382"/>
        <v>45.403798492706905</v>
      </c>
      <c r="AV1026" t="str">
        <f t="shared" si="383"/>
        <v>Mayor retorno probable: VENTAS (+45,4 puntos finales potenciales).</v>
      </c>
    </row>
    <row r="1027" spans="1:48" x14ac:dyDescent="0.3">
      <c r="A1027" s="5">
        <v>51011881</v>
      </c>
      <c r="B1027" s="5" t="str">
        <f>IFERROR(VLOOKUP(A1027,VENTAS!$A$2:$B$1194,2,0),"")</f>
        <v/>
      </c>
      <c r="C1027" s="5">
        <f>IFERROR(INDEX(VENTAS!$C$2:$E$1194,MATCH(A1027,VENTAS!$A$2:$A$1194,0),MATCH(PARAMS_MODELO!$B$2,{"Q1","Q2","Q3"},0)),0)</f>
        <v>0</v>
      </c>
      <c r="D1027" s="5">
        <f>IFERROR(INDEX(VENTAS!$F$2:$H$1194,MATCH(A1027,VENTAS!$A$2:$A$1194,0),MATCH(PARAMS_MODELO!$B$2,{"Q1","Q2","Q3"},0)),0)</f>
        <v>0</v>
      </c>
      <c r="E1027" s="8">
        <f t="shared" si="384"/>
        <v>0</v>
      </c>
      <c r="F1027" s="12">
        <f>IF(E1027&lt;=PARAMS_MODELO!$B$15,0,IF(E1027&gt;=PARAMS_MODELO!$B$17,100,100*MIN(1,(E1027-PARAMS_MODELO!$B$15)/(PARAMS_MODELO!$B$16-PARAMS_MODELO!$B$15))))*PARAMS_MODELO!$B$7</f>
        <v>0</v>
      </c>
      <c r="G1027" s="5">
        <f t="shared" si="385"/>
        <v>0</v>
      </c>
      <c r="H1027" s="5">
        <f>(PARAMS_MODELO!$B$20*(MAX(0,MIN(3,E1027))/3)+PARAMS_MODELO!$B$21*(IFERROR(LN(1+MAX(0,G1027))/LN(1+MAX(0,MAX($G$2:$G$1194))),0)))*100*PARAMS_MODELO!$B$8</f>
        <v>0</v>
      </c>
      <c r="I1027" s="8">
        <f>E1027-PARAMS_MODELO!$B$5</f>
        <v>-0.17756283537552653</v>
      </c>
      <c r="J1027" s="5">
        <f>IF(I1027&lt;=PARAMS_MODELO!$B$18,0,IF(I1027&gt;=PARAMS_MODELO!$B$19,100,100*(I1027-PARAMS_MODELO!$B$18)/(PARAMS_MODELO!$B$19-PARAMS_MODELO!$B$18)))*PARAMS_MODELO!$B$9</f>
        <v>0</v>
      </c>
      <c r="K1027" s="5">
        <f>IFERROR(CHOOSE(MATCH(PARAMS_MODELO!$B$2,{"Q1","Q2","Q3"},0),LOTO!$D1027,LOTO!$F1027,LOTO!$H1027),0)</f>
        <v>0</v>
      </c>
      <c r="L1027" s="8">
        <f t="shared" si="386"/>
        <v>0</v>
      </c>
      <c r="M1027" s="5">
        <f>MIN(100,IF(PARAMS_MODELO!$B$23=0,0,100*L1027/PARAMS_MODELO!$B$23))*PARAMS_MODELO!$B$10</f>
        <v>0</v>
      </c>
      <c r="N1027" s="5">
        <f>IFERROR(VLOOKUP(A1027,COMPLIANCE!$A$2:$F$1996,6,0),100)</f>
        <v>100</v>
      </c>
      <c r="O1027" s="5">
        <f>N1027*PARAMS_MODELO!$B$11</f>
        <v>10</v>
      </c>
      <c r="P1027" s="5">
        <f>IFERROR(VLOOKUP(A1027,DIGITAL!$A$2:$J$2000,7,0),100)</f>
        <v>77</v>
      </c>
      <c r="Q1027" s="5">
        <f>IFERROR(P1027,0)*PARAMS_MODELO!$B$12</f>
        <v>7.7</v>
      </c>
      <c r="R1027">
        <f t="shared" si="387"/>
        <v>17.7</v>
      </c>
      <c r="S1027" s="5" t="str">
        <f>IFERROR(VLOOKUP(A1027,CLIENTE!$A$2:$N$2000,13,0),1)</f>
        <v>Regular</v>
      </c>
      <c r="T1027" s="5">
        <f>IFERROR(VLOOKUP(A1027,CLIENTE!$A$2:$N$2000,14,0),1)</f>
        <v>1</v>
      </c>
      <c r="U1027" s="5">
        <f t="shared" si="388"/>
        <v>17.7</v>
      </c>
      <c r="V1027" s="5" t="str">
        <f>IF(U1027&gt;=MAX(_xlfn.PERCENTILE.INC($U$2:$U$1194,PARAMS_MODELO!$B$50),PARAMS_MODELO!$B$45),"DIAMANTE",IF(U1027&gt;=MAX(_xlfn.PERCENTILE.INC($U$2:$U$1194,PARAMS_MODELO!$B$51),PARAMS_MODELO!$B$46),"PLATINO",IF(U1027&gt;=MAX(_xlfn.PERCENTILE.INC($U$2:$U$1194,PARAMS_MODELO!$B$52),PARAMS_MODELO!$B$47),"ORO",IF(U1027&gt;=MAX(_xlfn.PERCENTILE.INC($U$2:$U$1194,PARAMS_MODELO!$B$53),PARAMS_MODELO!$B$48),"PLATA",IF(U1027&gt;=1,"BRONCE","CERRADO")))))</f>
        <v>BRONCE</v>
      </c>
      <c r="W1027" s="5" t="str" cm="1">
        <f t="array" ref="W1027">_xlfn.XLOOKUP(1, (HIST_SCORE!$B:$B=PARAMS_MODELO!$B$4) * (HIST_SCORE!$C:$C=A1027), HIST_SCORE!$E:$E, "No encontrado")</f>
        <v>BRONCE</v>
      </c>
      <c r="X1027" s="5" t="str">
        <f>_xlfn.LET(_xlpm.act,MATCH(V1027,{"DIAMANTE";"PLATINO";"ORO";"PLATA";"BRONCE";"CERRADO"},0),_xlpm.ant,MATCH(W1027,{"DIAMANTE";"PLATINO";"ORO";"PLATA";"BRONCE";"CERRADO"},0),IF(_xlpm.act&lt;_xlpm.ant,"Mejora ↑",IF(_xlpm.act&gt;_xlpm.ant,"Baja ↓","Estable →")))</f>
        <v>Estable →</v>
      </c>
      <c r="Y1027" s="5">
        <f>IFERROR(U1027-SUMIFS(HIST_SCORE!$D:$D,HIST_SCORE!$B:$B,PARAMS_MODELO!$B$4,HIST_SCORE!$C:$C,$A1027),"")</f>
        <v>0</v>
      </c>
      <c r="Z1027" s="5" t="str">
        <f t="shared" si="389"/>
        <v>→ Estable</v>
      </c>
      <c r="AA1027" s="5">
        <f t="shared" si="390"/>
        <v>1036</v>
      </c>
      <c r="AB1027" s="5">
        <f>IFERROR(SUMIFS(HIST_SCORE!$F:$F,HIST_SCORE!$B:$B,PARAMS_MODELO!$B$4,HIST_SCORE!$C:$C,$A1027),"")</f>
        <v>1033</v>
      </c>
      <c r="AC1027" s="5">
        <f t="shared" si="391"/>
        <v>-3</v>
      </c>
      <c r="AD1027" t="str">
        <f t="shared" ref="AD1027:AD1090" si="393">IF(V1027="CERRADO","Agencia sin actividad o cerrada",IF(AND(V1027="BRONCE",Y1027=""),"Primer corte: cargá histórico para medir movilidad",IF(AND(V1027="BRONCE",Y1027&lt;0),"Plan de recuperación: foco crecimiento + mix",IF(AND(V1027="ORO",Y1027&lt;0),"Sostener base y reforzar mix",""))))</f>
        <v/>
      </c>
      <c r="AE10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1027="CERRADO",1,IF(V1027="BRONCE",_xlpm.cPl,IF(V1027="PLATA",_xlpm.cO,IF(V1027="ORO",_xlpm.cP,IF(V1027="PLATINO",_xlpm.cD,999))))))</f>
        <v>24.506573482968111</v>
      </c>
      <c r="AF10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1027="CERRADO",0,IF(V1027="BRONCE",1,IF(V1027="PLATA",_xlpm.cPl,IF(V1027="ORO",_xlpm.cO,IF(V1027="PLATINO",_xlpm.cP,_xlpm.cD))))))</f>
        <v>1</v>
      </c>
      <c r="AG1027">
        <f t="shared" ref="AG1027:AG1090" si="394">_xlfn.LET(_xlpm.corteU,AE1027,_xlpm.coef,MAX(0.01,T1027),_xlpm.reqR,_xlpm.corteU/_xlpm.coef,MAX(0,_xlpm.reqR-R1027))</f>
        <v>6.8065734829681119</v>
      </c>
      <c r="AH1027" t="str">
        <f t="shared" ref="AH1027:AH1090" si="395">_xlfn.LET(_xlpm.deltaR,AG1027,_xlpm.ventas,F1027+H1027+J1027,_xlpm.hv,(MAX($F$2:$F$1194)+MAX($H$2:$H$1194)+MAX($J$2:$J$1194))-_xlpm.ventas,_xlpm.hl,MAX($M$2:$M$1194)-M1027,_xlpm.hc,MAX($O$2:$O$1194)-O1027,_xlpm.hd,MAX($Q$2:$Q$1194)-Q1027,_xlpm.impV,MIN(_xlpm.deltaR,MAX(0,_xlpm.hv)),_xlpm.impL,MIN(_xlpm.deltaR,MAX(0,_xlpm.hl)),_xlpm.impC,MIN(_xlpm.deltaR,MAX(0,_xlpm.hc)),_xlpm.impD,MIN(_xlpm.deltaR,MAX(0,_xlpm.hd)),_xlpm.t,T1027,_xlpm.tObj,1,_xlpm.impCli,IF(_xlpm.t&lt;0.95,MIN(_xlpm.deltaR,R1027*(_xlpm.tObj/_xlpm.t-1)),0),_xlpm.mx,MAX(_xlpm.impV,_xlpm.impL,_xlpm.impC,_xlpm.impD,_xlpm.impCli),IF(V1027="DIAMANTE","SOSTENER",IF(V1027="CERRADO","CERRADO",IF(_xlpm.mx=_xlpm.impCli,"CLIENTE",IF(_xlpm.mx=_xlpm.impV,"VENTAS",IF(_xlpm.mx=_xlpm.impL,"LOTO",IF(_xlpm.mx=_xlpm.impC,"COMPLIANCE","DIGITAL")))))))</f>
        <v>VENTAS</v>
      </c>
      <c r="AI1027" t="str">
        <f t="shared" si="392"/>
        <v>🎯 Para subir de categoría, eje VENTAS / CRECIMIENTO PERSONAL (F). Acción: metas semanales + activación comercial + seguimiento del asesor. ΔR aprox: 6,8</v>
      </c>
      <c r="AJ1027" s="26">
        <f>_xlfn.LET(_xlpm.piso,AF1027,_xlpm.corte,AE1027,_xlpm.prog,IF(_xlpm.corte&lt;=_xlpm.piso,0,MAX(0,MIN(1,(U1027-_xlpm.piso)/(_xlpm.corte-_xlpm.piso)))),_xlpm.orden,{"DIAMANTE";"PLATINO";"ORO";"PLATA";"BRONCE";"CERRADO"},_xlpm.act,IFERROR(MATCH(V1027,_xlpm.orden,0),6),_xlpm.ant,IFERROR(MATCH(W1027,_xlpm.orden,0),6),_xlpm.ajmov,IF(_xlpm.act&lt;_xlpm.ant,0.08,IF(_xlpm.act&gt;_xlpm.ant,-0.08,0)),_xlpm.ajcli,IF(T1027&lt;0.95,-0.06,0),_xlpm.prob,MAX(0,MIN(1,_xlpm.prog+_xlpm.ajmov+_xlpm.ajcli)),IF(OR(V1027="DIAMANTE",V1027="CERRADO"),0,ROUND(_xlpm.prob,2)))</f>
        <v>0.71</v>
      </c>
      <c r="AK1027" t="str">
        <f t="shared" ref="AK1027:AK1090" si="396">IF(OR(V1027="DIAMANTE",V1027="CERRADO"),"No aplica","Faltan " &amp; TEXT(AG1027,"0,0") &amp; " puntos base para subir a la siguiente categoría")</f>
        <v>Faltan 6,8 puntos base para subir a la siguiente categoría</v>
      </c>
      <c r="AL1027" t="str">
        <f t="shared" ref="AL1027:AL1090" si="397">_xlfn.LET(_xlpm.piso,AF1027,_xlpm.dist,U1027-_xlpm.piso,IF(OR(V1027="BRONCE",V1027="CERRADO"),"No aplica",IF(_xlpm.dist&lt;=0,"⚠ Riesgo de descenso","Margen de seguridad: " &amp; TEXT(_xlpm.dist,"0,0") &amp; " puntos")))</f>
        <v>No aplica</v>
      </c>
      <c r="AM1027">
        <f t="shared" ref="AM1027:AM1090" si="398">_xlfn.LET(_xlpm.prob,AJ1027,_xlpm.dist,AG1027,_xlpm.coef,T1027,_xlpm.prior,(1-_xlpm.prob)*0.4+MIN(1,_xlpm.dist/10)*0.4+IF(_xlpm.coef&lt;0.95,0.2,0),ROUND(_xlpm.prior,2))</f>
        <v>0.39</v>
      </c>
      <c r="AN1027" t="str">
        <f t="shared" ref="AN1027:AN1090" si="399">IF(AM1027&gt;=0.7,"PRIORIDAD ALTA – requiere intervención inmediata",IF(AM1027&gt;=0.4,"PRIORIDAD MEDIA – seguimiento del asesor","PRIORIDAD BAJA – control normal"))</f>
        <v>PRIORIDAD BAJA – control normal</v>
      </c>
      <c r="AO1027">
        <f t="shared" ref="AO1027:AO1090" si="400">MAX(0,((MAX($F$2:$F$1194)+MAX($H$2:$H$1194)+MAX($J$2:$J$1194))-(F1027+H1027+J1027))*T1027)</f>
        <v>64.862569275295584</v>
      </c>
      <c r="AP1027">
        <f t="shared" ref="AP1027:AP1090" si="401">MAX(0,(MAX($M$2:$M$1194)-M1027)*T1027)</f>
        <v>15</v>
      </c>
      <c r="AQ1027">
        <f t="shared" ref="AQ1027:AQ1090" si="402">MAX(0,(MAX($O$2:$O$1194)-O1027)*T1027)</f>
        <v>0</v>
      </c>
      <c r="AR1027">
        <f t="shared" ref="AR1027:AR1090" si="403">MAX(0,(MAX($Q$2:$Q$1194)-Q1027)*T1027)</f>
        <v>2.2999999999999998</v>
      </c>
      <c r="AS1027">
        <f t="shared" ref="AS1027:AS1090" si="404">MAX(0,R1027*(1-T1027))</f>
        <v>0</v>
      </c>
      <c r="AT1027" t="str">
        <f t="shared" ref="AT1027:AT1090" si="405">_xlfn.LET(_xlpm.v,AO1027,_xlpm.l,AP1027,_xlpm.c,AQ1027,_xlpm.d,AR1027,_xlpm.cli,AS1027,_xlpm.mx,MAX(_xlpm.v,_xlpm.l,_xlpm.c,_xlpm.d,_xlpm.cli),IF(_xlpm.mx=_xlpm.cli,"CLIENTE",IF(_xlpm.mx=_xlpm.v,"VENTAS",IF(_xlpm.mx=_xlpm.l,"LOTO",IF(_xlpm.mx=_xlpm.c,"COMPLIANCE","DIGITAL")))))</f>
        <v>VENTAS</v>
      </c>
      <c r="AU1027">
        <f t="shared" ref="AU1027:AU1090" si="406">MAX(AO1027,AP1027,AQ1027,AR1027,AS1027)</f>
        <v>64.862569275295584</v>
      </c>
      <c r="AV1027" t="str">
        <f t="shared" ref="AV1027:AV1090" si="407">IF(V1027="CERRADO","⛔ Sin impacto comercial estimable por estado CERRADO.","Mayor retorno probable: " &amp; AT1027 &amp; " (+" &amp; TEXT(AU1027,"0,0") &amp; " puntos finales potenciales).")</f>
        <v>Mayor retorno probable: VENTAS (+64,9 puntos finales potenciales).</v>
      </c>
    </row>
    <row r="1028" spans="1:48" x14ac:dyDescent="0.3">
      <c r="A1028" s="5">
        <v>51011911</v>
      </c>
      <c r="B1028" s="5" t="str">
        <f>IFERROR(VLOOKUP(A1028,VENTAS!$A$2:$B$1194,2,0),"")</f>
        <v/>
      </c>
      <c r="C1028" s="5">
        <f>IFERROR(INDEX(VENTAS!$C$2:$E$1194,MATCH(A1028,VENTAS!$A$2:$A$1194,0),MATCH(PARAMS_MODELO!$B$2,{"Q1","Q2","Q3"},0)),0)</f>
        <v>243771331</v>
      </c>
      <c r="D1028" s="5">
        <f>IFERROR(INDEX(VENTAS!$F$2:$H$1194,MATCH(A1028,VENTAS!$A$2:$A$1194,0),MATCH(PARAMS_MODELO!$B$2,{"Q1","Q2","Q3"},0)),0)</f>
        <v>0</v>
      </c>
      <c r="E1028" s="8">
        <f t="shared" si="384"/>
        <v>-1</v>
      </c>
      <c r="F1028" s="12">
        <f>IF(E1028&lt;=PARAMS_MODELO!$B$15,0,IF(E1028&gt;=PARAMS_MODELO!$B$17,100,100*MIN(1,(E1028-PARAMS_MODELO!$B$15)/(PARAMS_MODELO!$B$16-PARAMS_MODELO!$B$15))))*PARAMS_MODELO!$B$7</f>
        <v>0</v>
      </c>
      <c r="G1028" s="5">
        <f t="shared" si="385"/>
        <v>0</v>
      </c>
      <c r="H1028" s="5">
        <f>(PARAMS_MODELO!$B$20*(MAX(0,MIN(3,E1028))/3)+PARAMS_MODELO!$B$21*(IFERROR(LN(1+MAX(0,G1028))/LN(1+MAX(0,MAX($G$2:$G$1194))),0)))*100*PARAMS_MODELO!$B$8</f>
        <v>0</v>
      </c>
      <c r="I1028" s="8">
        <f>E1028-PARAMS_MODELO!$B$5</f>
        <v>-1.1775628353755265</v>
      </c>
      <c r="J1028" s="5">
        <f>IF(I1028&lt;=PARAMS_MODELO!$B$18,0,IF(I1028&gt;=PARAMS_MODELO!$B$19,100,100*(I1028-PARAMS_MODELO!$B$18)/(PARAMS_MODELO!$B$19-PARAMS_MODELO!$B$18)))*PARAMS_MODELO!$B$9</f>
        <v>0</v>
      </c>
      <c r="K1028" s="5">
        <f>IFERROR(CHOOSE(MATCH(PARAMS_MODELO!$B$2,{"Q1","Q2","Q3"},0),LOTO!$D1028,LOTO!$F1028,LOTO!$H1028),0)</f>
        <v>0</v>
      </c>
      <c r="L1028" s="8">
        <f t="shared" si="386"/>
        <v>0</v>
      </c>
      <c r="M1028" s="5">
        <f>MIN(100,IF(PARAMS_MODELO!$B$23=0,0,100*L1028/PARAMS_MODELO!$B$23))*PARAMS_MODELO!$B$10</f>
        <v>0</v>
      </c>
      <c r="N1028" s="5">
        <f>IFERROR(VLOOKUP(A1028,COMPLIANCE!$A$2:$F$1996,6,0),100)</f>
        <v>67.55</v>
      </c>
      <c r="O1028" s="5">
        <f>N1028*PARAMS_MODELO!$B$11</f>
        <v>6.7549999999999999</v>
      </c>
      <c r="P1028" s="5">
        <f>IFERROR(VLOOKUP(A1028,DIGITAL!$A$2:$J$2000,7,0),100)</f>
        <v>75</v>
      </c>
      <c r="Q1028" s="5">
        <f>IFERROR(P1028,0)*PARAMS_MODELO!$B$12</f>
        <v>7.5</v>
      </c>
      <c r="R1028">
        <f t="shared" si="387"/>
        <v>14.254999999999999</v>
      </c>
      <c r="S1028" s="5" t="str">
        <f>IFERROR(VLOOKUP(A1028,CLIENTE!$A$2:$N$2000,13,0),1)</f>
        <v>Regular</v>
      </c>
      <c r="T1028" s="5">
        <f>IFERROR(VLOOKUP(A1028,CLIENTE!$A$2:$N$2000,14,0),1)</f>
        <v>1</v>
      </c>
      <c r="U1028" s="5">
        <f t="shared" si="388"/>
        <v>14.254999999999999</v>
      </c>
      <c r="V1028" s="5" t="str">
        <f>IF(U1028&gt;=MAX(_xlfn.PERCENTILE.INC($U$2:$U$1194,PARAMS_MODELO!$B$50),PARAMS_MODELO!$B$45),"DIAMANTE",IF(U1028&gt;=MAX(_xlfn.PERCENTILE.INC($U$2:$U$1194,PARAMS_MODELO!$B$51),PARAMS_MODELO!$B$46),"PLATINO",IF(U1028&gt;=MAX(_xlfn.PERCENTILE.INC($U$2:$U$1194,PARAMS_MODELO!$B$52),PARAMS_MODELO!$B$47),"ORO",IF(U1028&gt;=MAX(_xlfn.PERCENTILE.INC($U$2:$U$1194,PARAMS_MODELO!$B$53),PARAMS_MODELO!$B$48),"PLATA",IF(U1028&gt;=1,"BRONCE","CERRADO")))))</f>
        <v>BRONCE</v>
      </c>
      <c r="W1028" s="5" t="str" cm="1">
        <f t="array" ref="W1028">_xlfn.XLOOKUP(1, (HIST_SCORE!$B:$B=PARAMS_MODELO!$B$4) * (HIST_SCORE!$C:$C=A1028), HIST_SCORE!$E:$E, "No encontrado")</f>
        <v>BRONCE</v>
      </c>
      <c r="X1028" s="5" t="str">
        <f>_xlfn.LET(_xlpm.act,MATCH(V1028,{"DIAMANTE";"PLATINO";"ORO";"PLATA";"BRONCE";"CERRADO"},0),_xlpm.ant,MATCH(W1028,{"DIAMANTE";"PLATINO";"ORO";"PLATA";"BRONCE";"CERRADO"},0),IF(_xlpm.act&lt;_xlpm.ant,"Mejora ↑",IF(_xlpm.act&gt;_xlpm.ant,"Baja ↓","Estable →")))</f>
        <v>Estable →</v>
      </c>
      <c r="Y1028" s="5">
        <f>IFERROR(U1028-SUMIFS(HIST_SCORE!$D:$D,HIST_SCORE!$B:$B,PARAMS_MODELO!$B$4,HIST_SCORE!$C:$C,$A1028),"")</f>
        <v>0</v>
      </c>
      <c r="Z1028" s="5" t="str">
        <f t="shared" si="389"/>
        <v>→ Estable</v>
      </c>
      <c r="AA1028" s="5">
        <f t="shared" si="390"/>
        <v>1087</v>
      </c>
      <c r="AB1028" s="5">
        <f>IFERROR(SUMIFS(HIST_SCORE!$F:$F,HIST_SCORE!$B:$B,PARAMS_MODELO!$B$4,HIST_SCORE!$C:$C,$A1028),"")</f>
        <v>1084</v>
      </c>
      <c r="AC1028" s="5">
        <f t="shared" si="391"/>
        <v>-3</v>
      </c>
      <c r="AD1028" t="str">
        <f t="shared" si="393"/>
        <v/>
      </c>
      <c r="AE10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1028="CERRADO",1,IF(V1028="BRONCE",_xlpm.cPl,IF(V1028="PLATA",_xlpm.cO,IF(V1028="ORO",_xlpm.cP,IF(V1028="PLATINO",_xlpm.cD,999))))))</f>
        <v>24.506573482968111</v>
      </c>
      <c r="AF10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1028="CERRADO",0,IF(V1028="BRONCE",1,IF(V1028="PLATA",_xlpm.cPl,IF(V1028="ORO",_xlpm.cO,IF(V1028="PLATINO",_xlpm.cP,_xlpm.cD))))))</f>
        <v>1</v>
      </c>
      <c r="AG1028">
        <f t="shared" si="394"/>
        <v>10.251573482968112</v>
      </c>
      <c r="AH1028" t="str">
        <f t="shared" si="395"/>
        <v>VENTAS</v>
      </c>
      <c r="AI1028" t="str">
        <f t="shared" si="392"/>
        <v>🎯 Para subir de categoría, eje VENTAS / CRECIMIENTO PERSONAL (F). Acción: metas semanales + activación comercial + seguimiento del asesor. ΔR aprox: 10,3</v>
      </c>
      <c r="AJ1028" s="26">
        <f>_xlfn.LET(_xlpm.piso,AF1028,_xlpm.corte,AE1028,_xlpm.prog,IF(_xlpm.corte&lt;=_xlpm.piso,0,MAX(0,MIN(1,(U1028-_xlpm.piso)/(_xlpm.corte-_xlpm.piso)))),_xlpm.orden,{"DIAMANTE";"PLATINO";"ORO";"PLATA";"BRONCE";"CERRADO"},_xlpm.act,IFERROR(MATCH(V1028,_xlpm.orden,0),6),_xlpm.ant,IFERROR(MATCH(W1028,_xlpm.orden,0),6),_xlpm.ajmov,IF(_xlpm.act&lt;_xlpm.ant,0.08,IF(_xlpm.act&gt;_xlpm.ant,-0.08,0)),_xlpm.ajcli,IF(T1028&lt;0.95,-0.06,0),_xlpm.prob,MAX(0,MIN(1,_xlpm.prog+_xlpm.ajmov+_xlpm.ajcli)),IF(OR(V1028="DIAMANTE",V1028="CERRADO"),0,ROUND(_xlpm.prob,2)))</f>
        <v>0.56000000000000005</v>
      </c>
      <c r="AK1028" t="str">
        <f t="shared" si="396"/>
        <v>Faltan 10,3 puntos base para subir a la siguiente categoría</v>
      </c>
      <c r="AL1028" t="str">
        <f t="shared" si="397"/>
        <v>No aplica</v>
      </c>
      <c r="AM1028">
        <f t="shared" si="398"/>
        <v>0.57999999999999996</v>
      </c>
      <c r="AN1028" t="str">
        <f t="shared" si="399"/>
        <v>PRIORIDAD MEDIA – seguimiento del asesor</v>
      </c>
      <c r="AO1028">
        <f t="shared" si="400"/>
        <v>64.862569275295584</v>
      </c>
      <c r="AP1028">
        <f t="shared" si="401"/>
        <v>15</v>
      </c>
      <c r="AQ1028">
        <f t="shared" si="402"/>
        <v>3.2450000000000001</v>
      </c>
      <c r="AR1028">
        <f t="shared" si="403"/>
        <v>2.5</v>
      </c>
      <c r="AS1028">
        <f t="shared" si="404"/>
        <v>0</v>
      </c>
      <c r="AT1028" t="str">
        <f t="shared" si="405"/>
        <v>VENTAS</v>
      </c>
      <c r="AU1028">
        <f t="shared" si="406"/>
        <v>64.862569275295584</v>
      </c>
      <c r="AV1028" t="str">
        <f t="shared" si="407"/>
        <v>Mayor retorno probable: VENTAS (+64,9 puntos finales potenciales).</v>
      </c>
    </row>
    <row r="1029" spans="1:48" x14ac:dyDescent="0.3">
      <c r="A1029" s="5">
        <v>51011945</v>
      </c>
      <c r="B1029" s="5" t="str">
        <f>IFERROR(VLOOKUP(A1029,VENTAS!$A$2:$B$1194,2,0),"")</f>
        <v/>
      </c>
      <c r="C1029" s="5">
        <f>IFERROR(INDEX(VENTAS!$C$2:$E$1194,MATCH(A1029,VENTAS!$A$2:$A$1194,0),MATCH(PARAMS_MODELO!$B$2,{"Q1","Q2","Q3"},0)),0)</f>
        <v>0</v>
      </c>
      <c r="D1029" s="5">
        <f>IFERROR(INDEX(VENTAS!$F$2:$H$1194,MATCH(A1029,VENTAS!$A$2:$A$1194,0),MATCH(PARAMS_MODELO!$B$2,{"Q1","Q2","Q3"},0)),0)</f>
        <v>0</v>
      </c>
      <c r="E1029" s="8">
        <f t="shared" si="384"/>
        <v>0</v>
      </c>
      <c r="F1029" s="12">
        <f>IF(E1029&lt;=PARAMS_MODELO!$B$15,0,IF(E1029&gt;=PARAMS_MODELO!$B$17,100,100*MIN(1,(E1029-PARAMS_MODELO!$B$15)/(PARAMS_MODELO!$B$16-PARAMS_MODELO!$B$15))))*PARAMS_MODELO!$B$7</f>
        <v>0</v>
      </c>
      <c r="G1029" s="5">
        <f t="shared" si="385"/>
        <v>0</v>
      </c>
      <c r="H1029" s="5">
        <f>(PARAMS_MODELO!$B$20*(MAX(0,MIN(3,E1029))/3)+PARAMS_MODELO!$B$21*(IFERROR(LN(1+MAX(0,G1029))/LN(1+MAX(0,MAX($G$2:$G$1194))),0)))*100*PARAMS_MODELO!$B$8</f>
        <v>0</v>
      </c>
      <c r="I1029" s="8">
        <f>E1029-PARAMS_MODELO!$B$5</f>
        <v>-0.17756283537552653</v>
      </c>
      <c r="J1029" s="5">
        <f>IF(I1029&lt;=PARAMS_MODELO!$B$18,0,IF(I1029&gt;=PARAMS_MODELO!$B$19,100,100*(I1029-PARAMS_MODELO!$B$18)/(PARAMS_MODELO!$B$19-PARAMS_MODELO!$B$18)))*PARAMS_MODELO!$B$9</f>
        <v>0</v>
      </c>
      <c r="K1029" s="5">
        <f>IFERROR(CHOOSE(MATCH(PARAMS_MODELO!$B$2,{"Q1","Q2","Q3"},0),LOTO!$D1029,LOTO!$F1029,LOTO!$H1029),0)</f>
        <v>0</v>
      </c>
      <c r="L1029" s="8">
        <f t="shared" si="386"/>
        <v>0</v>
      </c>
      <c r="M1029" s="5">
        <f>MIN(100,IF(PARAMS_MODELO!$B$23=0,0,100*L1029/PARAMS_MODELO!$B$23))*PARAMS_MODELO!$B$10</f>
        <v>0</v>
      </c>
      <c r="N1029" s="5">
        <f>IFERROR(VLOOKUP(A1029,COMPLIANCE!$A$2:$F$1996,6,0),100)</f>
        <v>100</v>
      </c>
      <c r="O1029" s="5">
        <f>N1029*PARAMS_MODELO!$B$11</f>
        <v>10</v>
      </c>
      <c r="P1029" s="5">
        <f>IFERROR(VLOOKUP(A1029,DIGITAL!$A$2:$J$2000,7,0),100)</f>
        <v>81</v>
      </c>
      <c r="Q1029" s="5">
        <f>IFERROR(P1029,0)*PARAMS_MODELO!$B$12</f>
        <v>8.1</v>
      </c>
      <c r="R1029">
        <f t="shared" si="387"/>
        <v>18.100000000000001</v>
      </c>
      <c r="S1029" s="5" t="str">
        <f>IFERROR(VLOOKUP(A1029,CLIENTE!$A$2:$N$2000,13,0),1)</f>
        <v>Regular</v>
      </c>
      <c r="T1029" s="5">
        <f>IFERROR(VLOOKUP(A1029,CLIENTE!$A$2:$N$2000,14,0),1)</f>
        <v>1</v>
      </c>
      <c r="U1029" s="5">
        <f t="shared" si="388"/>
        <v>18.100000000000001</v>
      </c>
      <c r="V1029" s="5" t="str">
        <f>IF(U1029&gt;=MAX(_xlfn.PERCENTILE.INC($U$2:$U$1194,PARAMS_MODELO!$B$50),PARAMS_MODELO!$B$45),"DIAMANTE",IF(U1029&gt;=MAX(_xlfn.PERCENTILE.INC($U$2:$U$1194,PARAMS_MODELO!$B$51),PARAMS_MODELO!$B$46),"PLATINO",IF(U1029&gt;=MAX(_xlfn.PERCENTILE.INC($U$2:$U$1194,PARAMS_MODELO!$B$52),PARAMS_MODELO!$B$47),"ORO",IF(U1029&gt;=MAX(_xlfn.PERCENTILE.INC($U$2:$U$1194,PARAMS_MODELO!$B$53),PARAMS_MODELO!$B$48),"PLATA",IF(U1029&gt;=1,"BRONCE","CERRADO")))))</f>
        <v>BRONCE</v>
      </c>
      <c r="W1029" s="5" t="str" cm="1">
        <f t="array" ref="W1029">_xlfn.XLOOKUP(1, (HIST_SCORE!$B:$B=PARAMS_MODELO!$B$4) * (HIST_SCORE!$C:$C=A1029), HIST_SCORE!$E:$E, "No encontrado")</f>
        <v>BRONCE</v>
      </c>
      <c r="X1029" s="5" t="str">
        <f>_xlfn.LET(_xlpm.act,MATCH(V1029,{"DIAMANTE";"PLATINO";"ORO";"PLATA";"BRONCE";"CERRADO"},0),_xlpm.ant,MATCH(W1029,{"DIAMANTE";"PLATINO";"ORO";"PLATA";"BRONCE";"CERRADO"},0),IF(_xlpm.act&lt;_xlpm.ant,"Mejora ↑",IF(_xlpm.act&gt;_xlpm.ant,"Baja ↓","Estable →")))</f>
        <v>Estable →</v>
      </c>
      <c r="Y1029" s="5">
        <f>IFERROR(U1029-SUMIFS(HIST_SCORE!$D:$D,HIST_SCORE!$B:$B,PARAMS_MODELO!$B$4,HIST_SCORE!$C:$C,$A1029),"")</f>
        <v>0</v>
      </c>
      <c r="Z1029" s="5" t="str">
        <f t="shared" si="389"/>
        <v>→ Estable</v>
      </c>
      <c r="AA1029" s="5">
        <f t="shared" si="390"/>
        <v>1026</v>
      </c>
      <c r="AB1029" s="5">
        <f>IFERROR(SUMIFS(HIST_SCORE!$F:$F,HIST_SCORE!$B:$B,PARAMS_MODELO!$B$4,HIST_SCORE!$C:$C,$A1029),"")</f>
        <v>1026</v>
      </c>
      <c r="AC1029" s="5">
        <f t="shared" si="391"/>
        <v>0</v>
      </c>
      <c r="AD1029" t="str">
        <f t="shared" si="393"/>
        <v/>
      </c>
      <c r="AE10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1029="CERRADO",1,IF(V1029="BRONCE",_xlpm.cPl,IF(V1029="PLATA",_xlpm.cO,IF(V1029="ORO",_xlpm.cP,IF(V1029="PLATINO",_xlpm.cD,999))))))</f>
        <v>24.506573482968111</v>
      </c>
      <c r="AF10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1029="CERRADO",0,IF(V1029="BRONCE",1,IF(V1029="PLATA",_xlpm.cPl,IF(V1029="ORO",_xlpm.cO,IF(V1029="PLATINO",_xlpm.cP,_xlpm.cD))))))</f>
        <v>1</v>
      </c>
      <c r="AG1029">
        <f t="shared" si="394"/>
        <v>6.4065734829681098</v>
      </c>
      <c r="AH1029" t="str">
        <f t="shared" si="395"/>
        <v>VENTAS</v>
      </c>
      <c r="AI1029" t="str">
        <f t="shared" si="392"/>
        <v>🎯 Para subir de categoría, eje VENTAS / CRECIMIENTO PERSONAL (F). Acción: metas semanales + activación comercial + seguimiento del asesor. ΔR aprox: 6,4</v>
      </c>
      <c r="AJ1029" s="26">
        <f>_xlfn.LET(_xlpm.piso,AF1029,_xlpm.corte,AE1029,_xlpm.prog,IF(_xlpm.corte&lt;=_xlpm.piso,0,MAX(0,MIN(1,(U1029-_xlpm.piso)/(_xlpm.corte-_xlpm.piso)))),_xlpm.orden,{"DIAMANTE";"PLATINO";"ORO";"PLATA";"BRONCE";"CERRADO"},_xlpm.act,IFERROR(MATCH(V1029,_xlpm.orden,0),6),_xlpm.ant,IFERROR(MATCH(W1029,_xlpm.orden,0),6),_xlpm.ajmov,IF(_xlpm.act&lt;_xlpm.ant,0.08,IF(_xlpm.act&gt;_xlpm.ant,-0.08,0)),_xlpm.ajcli,IF(T1029&lt;0.95,-0.06,0),_xlpm.prob,MAX(0,MIN(1,_xlpm.prog+_xlpm.ajmov+_xlpm.ajcli)),IF(OR(V1029="DIAMANTE",V1029="CERRADO"),0,ROUND(_xlpm.prob,2)))</f>
        <v>0.73</v>
      </c>
      <c r="AK1029" t="str">
        <f t="shared" si="396"/>
        <v>Faltan 6,4 puntos base para subir a la siguiente categoría</v>
      </c>
      <c r="AL1029" t="str">
        <f t="shared" si="397"/>
        <v>No aplica</v>
      </c>
      <c r="AM1029">
        <f t="shared" si="398"/>
        <v>0.36</v>
      </c>
      <c r="AN1029" t="str">
        <f t="shared" si="399"/>
        <v>PRIORIDAD BAJA – control normal</v>
      </c>
      <c r="AO1029">
        <f t="shared" si="400"/>
        <v>64.862569275295584</v>
      </c>
      <c r="AP1029">
        <f t="shared" si="401"/>
        <v>15</v>
      </c>
      <c r="AQ1029">
        <f t="shared" si="402"/>
        <v>0</v>
      </c>
      <c r="AR1029">
        <f t="shared" si="403"/>
        <v>1.9000000000000004</v>
      </c>
      <c r="AS1029">
        <f t="shared" si="404"/>
        <v>0</v>
      </c>
      <c r="AT1029" t="str">
        <f t="shared" si="405"/>
        <v>VENTAS</v>
      </c>
      <c r="AU1029">
        <f t="shared" si="406"/>
        <v>64.862569275295584</v>
      </c>
      <c r="AV1029" t="str">
        <f t="shared" si="407"/>
        <v>Mayor retorno probable: VENTAS (+64,9 puntos finales potenciales).</v>
      </c>
    </row>
    <row r="1030" spans="1:48" x14ac:dyDescent="0.3">
      <c r="A1030" s="5">
        <v>51012089</v>
      </c>
      <c r="B1030" s="5" t="str">
        <f>IFERROR(VLOOKUP(A1030,VENTAS!$A$2:$B$1194,2,0),"")</f>
        <v/>
      </c>
      <c r="C1030" s="5">
        <f>IFERROR(INDEX(VENTAS!$C$2:$E$1194,MATCH(A1030,VENTAS!$A$2:$A$1194,0),MATCH(PARAMS_MODELO!$B$2,{"Q1","Q2","Q3"},0)),0)</f>
        <v>0</v>
      </c>
      <c r="D1030" s="5">
        <f>IFERROR(INDEX(VENTAS!$F$2:$H$1194,MATCH(A1030,VENTAS!$A$2:$A$1194,0),MATCH(PARAMS_MODELO!$B$2,{"Q1","Q2","Q3"},0)),0)</f>
        <v>0</v>
      </c>
      <c r="E1030" s="8">
        <f t="shared" si="384"/>
        <v>0</v>
      </c>
      <c r="F1030" s="12">
        <f>IF(E1030&lt;=PARAMS_MODELO!$B$15,0,IF(E1030&gt;=PARAMS_MODELO!$B$17,100,100*MIN(1,(E1030-PARAMS_MODELO!$B$15)/(PARAMS_MODELO!$B$16-PARAMS_MODELO!$B$15))))*PARAMS_MODELO!$B$7</f>
        <v>0</v>
      </c>
      <c r="G1030" s="5">
        <f t="shared" si="385"/>
        <v>0</v>
      </c>
      <c r="H1030" s="5">
        <f>(PARAMS_MODELO!$B$20*(MAX(0,MIN(3,E1030))/3)+PARAMS_MODELO!$B$21*(IFERROR(LN(1+MAX(0,G1030))/LN(1+MAX(0,MAX($G$2:$G$1194))),0)))*100*PARAMS_MODELO!$B$8</f>
        <v>0</v>
      </c>
      <c r="I1030" s="8">
        <f>E1030-PARAMS_MODELO!$B$5</f>
        <v>-0.17756283537552653</v>
      </c>
      <c r="J1030" s="5">
        <f>IF(I1030&lt;=PARAMS_MODELO!$B$18,0,IF(I1030&gt;=PARAMS_MODELO!$B$19,100,100*(I1030-PARAMS_MODELO!$B$18)/(PARAMS_MODELO!$B$19-PARAMS_MODELO!$B$18)))*PARAMS_MODELO!$B$9</f>
        <v>0</v>
      </c>
      <c r="K1030" s="5">
        <f>IFERROR(CHOOSE(MATCH(PARAMS_MODELO!$B$2,{"Q1","Q2","Q3"},0),LOTO!$D1030,LOTO!$F1030,LOTO!$H1030),0)</f>
        <v>0</v>
      </c>
      <c r="L1030" s="8">
        <f t="shared" si="386"/>
        <v>0</v>
      </c>
      <c r="M1030" s="5">
        <f>MIN(100,IF(PARAMS_MODELO!$B$23=0,0,100*L1030/PARAMS_MODELO!$B$23))*PARAMS_MODELO!$B$10</f>
        <v>0</v>
      </c>
      <c r="N1030" s="5">
        <f>IFERROR(VLOOKUP(A1030,COMPLIANCE!$A$2:$F$1996,6,0),100)</f>
        <v>100</v>
      </c>
      <c r="O1030" s="5">
        <f>N1030*PARAMS_MODELO!$B$11</f>
        <v>10</v>
      </c>
      <c r="P1030" s="5">
        <f>IFERROR(VLOOKUP(A1030,DIGITAL!$A$2:$J$2000,7,0),100)</f>
        <v>35</v>
      </c>
      <c r="Q1030" s="5">
        <f>IFERROR(P1030,0)*PARAMS_MODELO!$B$12</f>
        <v>3.5</v>
      </c>
      <c r="R1030">
        <f t="shared" si="387"/>
        <v>13.5</v>
      </c>
      <c r="S1030" s="5" t="str">
        <f>IFERROR(VLOOKUP(A1030,CLIENTE!$A$2:$N$2000,13,0),1)</f>
        <v>Regular</v>
      </c>
      <c r="T1030" s="5">
        <f>IFERROR(VLOOKUP(A1030,CLIENTE!$A$2:$N$2000,14,0),1)</f>
        <v>1</v>
      </c>
      <c r="U1030" s="5">
        <f t="shared" si="388"/>
        <v>13.5</v>
      </c>
      <c r="V1030" s="5" t="str">
        <f>IF(U1030&gt;=MAX(_xlfn.PERCENTILE.INC($U$2:$U$1194,PARAMS_MODELO!$B$50),PARAMS_MODELO!$B$45),"DIAMANTE",IF(U1030&gt;=MAX(_xlfn.PERCENTILE.INC($U$2:$U$1194,PARAMS_MODELO!$B$51),PARAMS_MODELO!$B$46),"PLATINO",IF(U1030&gt;=MAX(_xlfn.PERCENTILE.INC($U$2:$U$1194,PARAMS_MODELO!$B$52),PARAMS_MODELO!$B$47),"ORO",IF(U1030&gt;=MAX(_xlfn.PERCENTILE.INC($U$2:$U$1194,PARAMS_MODELO!$B$53),PARAMS_MODELO!$B$48),"PLATA",IF(U1030&gt;=1,"BRONCE","CERRADO")))))</f>
        <v>BRONCE</v>
      </c>
      <c r="W1030" s="5" t="str" cm="1">
        <f t="array" ref="W1030">_xlfn.XLOOKUP(1, (HIST_SCORE!$B:$B=PARAMS_MODELO!$B$4) * (HIST_SCORE!$C:$C=A1030), HIST_SCORE!$E:$E, "No encontrado")</f>
        <v>BRONCE</v>
      </c>
      <c r="X1030" s="5" t="str">
        <f>_xlfn.LET(_xlpm.act,MATCH(V1030,{"DIAMANTE";"PLATINO";"ORO";"PLATA";"BRONCE";"CERRADO"},0),_xlpm.ant,MATCH(W1030,{"DIAMANTE";"PLATINO";"ORO";"PLATA";"BRONCE";"CERRADO"},0),IF(_xlpm.act&lt;_xlpm.ant,"Mejora ↑",IF(_xlpm.act&gt;_xlpm.ant,"Baja ↓","Estable →")))</f>
        <v>Estable →</v>
      </c>
      <c r="Y1030" s="5">
        <f>IFERROR(U1030-SUMIFS(HIST_SCORE!$D:$D,HIST_SCORE!$B:$B,PARAMS_MODELO!$B$4,HIST_SCORE!$C:$C,$A1030),"")</f>
        <v>0</v>
      </c>
      <c r="Z1030" s="5" t="str">
        <f t="shared" si="389"/>
        <v>→ Estable</v>
      </c>
      <c r="AA1030" s="5">
        <f t="shared" si="390"/>
        <v>1097</v>
      </c>
      <c r="AB1030" s="5">
        <f>IFERROR(SUMIFS(HIST_SCORE!$F:$F,HIST_SCORE!$B:$B,PARAMS_MODELO!$B$4,HIST_SCORE!$C:$C,$A1030),"")</f>
        <v>1095</v>
      </c>
      <c r="AC1030" s="5">
        <f t="shared" si="391"/>
        <v>-2</v>
      </c>
      <c r="AD1030" t="str">
        <f t="shared" si="393"/>
        <v/>
      </c>
      <c r="AE10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1030="CERRADO",1,IF(V1030="BRONCE",_xlpm.cPl,IF(V1030="PLATA",_xlpm.cO,IF(V1030="ORO",_xlpm.cP,IF(V1030="PLATINO",_xlpm.cD,999))))))</f>
        <v>24.506573482968111</v>
      </c>
      <c r="AF10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1030="CERRADO",0,IF(V1030="BRONCE",1,IF(V1030="PLATA",_xlpm.cPl,IF(V1030="ORO",_xlpm.cO,IF(V1030="PLATINO",_xlpm.cP,_xlpm.cD))))))</f>
        <v>1</v>
      </c>
      <c r="AG1030">
        <f t="shared" si="394"/>
        <v>11.006573482968111</v>
      </c>
      <c r="AH1030" t="str">
        <f t="shared" si="395"/>
        <v>VENTAS</v>
      </c>
      <c r="AI1030" t="str">
        <f t="shared" si="392"/>
        <v>🎯 Para subir de categoría, eje VENTAS / CRECIMIENTO PERSONAL (F). Acción: metas semanales + activación comercial + seguimiento del asesor. ΔR aprox: 11,0</v>
      </c>
      <c r="AJ1030" s="26">
        <f>_xlfn.LET(_xlpm.piso,AF1030,_xlpm.corte,AE1030,_xlpm.prog,IF(_xlpm.corte&lt;=_xlpm.piso,0,MAX(0,MIN(1,(U1030-_xlpm.piso)/(_xlpm.corte-_xlpm.piso)))),_xlpm.orden,{"DIAMANTE";"PLATINO";"ORO";"PLATA";"BRONCE";"CERRADO"},_xlpm.act,IFERROR(MATCH(V1030,_xlpm.orden,0),6),_xlpm.ant,IFERROR(MATCH(W1030,_xlpm.orden,0),6),_xlpm.ajmov,IF(_xlpm.act&lt;_xlpm.ant,0.08,IF(_xlpm.act&gt;_xlpm.ant,-0.08,0)),_xlpm.ajcli,IF(T1030&lt;0.95,-0.06,0),_xlpm.prob,MAX(0,MIN(1,_xlpm.prog+_xlpm.ajmov+_xlpm.ajcli)),IF(OR(V1030="DIAMANTE",V1030="CERRADO"),0,ROUND(_xlpm.prob,2)))</f>
        <v>0.53</v>
      </c>
      <c r="AK1030" t="str">
        <f t="shared" si="396"/>
        <v>Faltan 11,0 puntos base para subir a la siguiente categoría</v>
      </c>
      <c r="AL1030" t="str">
        <f t="shared" si="397"/>
        <v>No aplica</v>
      </c>
      <c r="AM1030">
        <f t="shared" si="398"/>
        <v>0.59</v>
      </c>
      <c r="AN1030" t="str">
        <f t="shared" si="399"/>
        <v>PRIORIDAD MEDIA – seguimiento del asesor</v>
      </c>
      <c r="AO1030">
        <f t="shared" si="400"/>
        <v>64.862569275295584</v>
      </c>
      <c r="AP1030">
        <f t="shared" si="401"/>
        <v>15</v>
      </c>
      <c r="AQ1030">
        <f t="shared" si="402"/>
        <v>0</v>
      </c>
      <c r="AR1030">
        <f t="shared" si="403"/>
        <v>6.5</v>
      </c>
      <c r="AS1030">
        <f t="shared" si="404"/>
        <v>0</v>
      </c>
      <c r="AT1030" t="str">
        <f t="shared" si="405"/>
        <v>VENTAS</v>
      </c>
      <c r="AU1030">
        <f t="shared" si="406"/>
        <v>64.862569275295584</v>
      </c>
      <c r="AV1030" t="str">
        <f t="shared" si="407"/>
        <v>Mayor retorno probable: VENTAS (+64,9 puntos finales potenciales).</v>
      </c>
    </row>
    <row r="1031" spans="1:48" x14ac:dyDescent="0.3">
      <c r="A1031" s="5">
        <v>51012283</v>
      </c>
      <c r="B1031" s="5" t="str">
        <f>IFERROR(VLOOKUP(A1031,VENTAS!$A$2:$B$1194,2,0),"")</f>
        <v/>
      </c>
      <c r="C1031" s="5">
        <f>IFERROR(INDEX(VENTAS!$C$2:$E$1194,MATCH(A1031,VENTAS!$A$2:$A$1194,0),MATCH(PARAMS_MODELO!$B$2,{"Q1","Q2","Q3"},0)),0)</f>
        <v>33618139.420000002</v>
      </c>
      <c r="D1031" s="5">
        <f>IFERROR(INDEX(VENTAS!$F$2:$H$1194,MATCH(A1031,VENTAS!$A$2:$A$1194,0),MATCH(PARAMS_MODELO!$B$2,{"Q1","Q2","Q3"},0)),0)</f>
        <v>0</v>
      </c>
      <c r="E1031" s="8">
        <f t="shared" si="384"/>
        <v>-1</v>
      </c>
      <c r="F1031" s="12">
        <f>IF(E1031&lt;=PARAMS_MODELO!$B$15,0,IF(E1031&gt;=PARAMS_MODELO!$B$17,100,100*MIN(1,(E1031-PARAMS_MODELO!$B$15)/(PARAMS_MODELO!$B$16-PARAMS_MODELO!$B$15))))*PARAMS_MODELO!$B$7</f>
        <v>0</v>
      </c>
      <c r="G1031" s="5">
        <f t="shared" si="385"/>
        <v>0</v>
      </c>
      <c r="H1031" s="5">
        <f>(PARAMS_MODELO!$B$20*(MAX(0,MIN(3,E1031))/3)+PARAMS_MODELO!$B$21*(IFERROR(LN(1+MAX(0,G1031))/LN(1+MAX(0,MAX($G$2:$G$1194))),0)))*100*PARAMS_MODELO!$B$8</f>
        <v>0</v>
      </c>
      <c r="I1031" s="8">
        <f>E1031-PARAMS_MODELO!$B$5</f>
        <v>-1.1775628353755265</v>
      </c>
      <c r="J1031" s="5">
        <f>IF(I1031&lt;=PARAMS_MODELO!$B$18,0,IF(I1031&gt;=PARAMS_MODELO!$B$19,100,100*(I1031-PARAMS_MODELO!$B$18)/(PARAMS_MODELO!$B$19-PARAMS_MODELO!$B$18)))*PARAMS_MODELO!$B$9</f>
        <v>0</v>
      </c>
      <c r="K1031" s="5">
        <f>IFERROR(CHOOSE(MATCH(PARAMS_MODELO!$B$2,{"Q1","Q2","Q3"},0),LOTO!$D1031,LOTO!$F1031,LOTO!$H1031),0)</f>
        <v>0</v>
      </c>
      <c r="L1031" s="8">
        <f t="shared" si="386"/>
        <v>0</v>
      </c>
      <c r="M1031" s="5">
        <f>MIN(100,IF(PARAMS_MODELO!$B$23=0,0,100*L1031/PARAMS_MODELO!$B$23))*PARAMS_MODELO!$B$10</f>
        <v>0</v>
      </c>
      <c r="N1031" s="5">
        <f>IFERROR(VLOOKUP(A1031,COMPLIANCE!$A$2:$F$1996,6,0),100)</f>
        <v>99.28</v>
      </c>
      <c r="O1031" s="5">
        <f>N1031*PARAMS_MODELO!$B$11</f>
        <v>9.9280000000000008</v>
      </c>
      <c r="P1031" s="5">
        <f>IFERROR(VLOOKUP(A1031,DIGITAL!$A$2:$J$2000,7,0),100)</f>
        <v>54</v>
      </c>
      <c r="Q1031" s="5">
        <f>IFERROR(P1031,0)*PARAMS_MODELO!$B$12</f>
        <v>5.4</v>
      </c>
      <c r="R1031">
        <f t="shared" si="387"/>
        <v>15.328000000000001</v>
      </c>
      <c r="S1031" s="5" t="str">
        <f>IFERROR(VLOOKUP(A1031,CLIENTE!$A$2:$N$2000,13,0),1)</f>
        <v>Regular</v>
      </c>
      <c r="T1031" s="5">
        <f>IFERROR(VLOOKUP(A1031,CLIENTE!$A$2:$N$2000,14,0),1)</f>
        <v>1</v>
      </c>
      <c r="U1031" s="5">
        <f t="shared" si="388"/>
        <v>15.328000000000001</v>
      </c>
      <c r="V1031" s="5" t="str">
        <f>IF(U1031&gt;=MAX(_xlfn.PERCENTILE.INC($U$2:$U$1194,PARAMS_MODELO!$B$50),PARAMS_MODELO!$B$45),"DIAMANTE",IF(U1031&gt;=MAX(_xlfn.PERCENTILE.INC($U$2:$U$1194,PARAMS_MODELO!$B$51),PARAMS_MODELO!$B$46),"PLATINO",IF(U1031&gt;=MAX(_xlfn.PERCENTILE.INC($U$2:$U$1194,PARAMS_MODELO!$B$52),PARAMS_MODELO!$B$47),"ORO",IF(U1031&gt;=MAX(_xlfn.PERCENTILE.INC($U$2:$U$1194,PARAMS_MODELO!$B$53),PARAMS_MODELO!$B$48),"PLATA",IF(U1031&gt;=1,"BRONCE","CERRADO")))))</f>
        <v>BRONCE</v>
      </c>
      <c r="W1031" s="5" t="str" cm="1">
        <f t="array" ref="W1031">_xlfn.XLOOKUP(1, (HIST_SCORE!$B:$B=PARAMS_MODELO!$B$4) * (HIST_SCORE!$C:$C=A1031), HIST_SCORE!$E:$E, "No encontrado")</f>
        <v>BRONCE</v>
      </c>
      <c r="X1031" s="5" t="str">
        <f>_xlfn.LET(_xlpm.act,MATCH(V1031,{"DIAMANTE";"PLATINO";"ORO";"PLATA";"BRONCE";"CERRADO"},0),_xlpm.ant,MATCH(W1031,{"DIAMANTE";"PLATINO";"ORO";"PLATA";"BRONCE";"CERRADO"},0),IF(_xlpm.act&lt;_xlpm.ant,"Mejora ↑",IF(_xlpm.act&gt;_xlpm.ant,"Baja ↓","Estable →")))</f>
        <v>Estable →</v>
      </c>
      <c r="Y1031" s="5">
        <f>IFERROR(U1031-SUMIFS(HIST_SCORE!$D:$D,HIST_SCORE!$B:$B,PARAMS_MODELO!$B$4,HIST_SCORE!$C:$C,$A1031),"")</f>
        <v>0</v>
      </c>
      <c r="Z1031" s="5" t="str">
        <f t="shared" si="389"/>
        <v>→ Estable</v>
      </c>
      <c r="AA1031" s="5">
        <f t="shared" si="390"/>
        <v>1074</v>
      </c>
      <c r="AB1031" s="5">
        <f>IFERROR(SUMIFS(HIST_SCORE!$F:$F,HIST_SCORE!$B:$B,PARAMS_MODELO!$B$4,HIST_SCORE!$C:$C,$A1031),"")</f>
        <v>1071</v>
      </c>
      <c r="AC1031" s="5">
        <f t="shared" si="391"/>
        <v>-3</v>
      </c>
      <c r="AD1031" t="str">
        <f t="shared" si="393"/>
        <v/>
      </c>
      <c r="AE10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1031="CERRADO",1,IF(V1031="BRONCE",_xlpm.cPl,IF(V1031="PLATA",_xlpm.cO,IF(V1031="ORO",_xlpm.cP,IF(V1031="PLATINO",_xlpm.cD,999))))))</f>
        <v>24.506573482968111</v>
      </c>
      <c r="AF10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1031="CERRADO",0,IF(V1031="BRONCE",1,IF(V1031="PLATA",_xlpm.cPl,IF(V1031="ORO",_xlpm.cO,IF(V1031="PLATINO",_xlpm.cP,_xlpm.cD))))))</f>
        <v>1</v>
      </c>
      <c r="AG1031">
        <f t="shared" si="394"/>
        <v>9.17857348296811</v>
      </c>
      <c r="AH1031" t="str">
        <f t="shared" si="395"/>
        <v>VENTAS</v>
      </c>
      <c r="AI1031" t="str">
        <f t="shared" si="392"/>
        <v>🎯 Para subir de categoría, eje VENTAS / CRECIMIENTO PERSONAL (F). Acción: metas semanales + activación comercial + seguimiento del asesor. ΔR aprox: 9,2</v>
      </c>
      <c r="AJ1031" s="26">
        <f>_xlfn.LET(_xlpm.piso,AF1031,_xlpm.corte,AE1031,_xlpm.prog,IF(_xlpm.corte&lt;=_xlpm.piso,0,MAX(0,MIN(1,(U1031-_xlpm.piso)/(_xlpm.corte-_xlpm.piso)))),_xlpm.orden,{"DIAMANTE";"PLATINO";"ORO";"PLATA";"BRONCE";"CERRADO"},_xlpm.act,IFERROR(MATCH(V1031,_xlpm.orden,0),6),_xlpm.ant,IFERROR(MATCH(W1031,_xlpm.orden,0),6),_xlpm.ajmov,IF(_xlpm.act&lt;_xlpm.ant,0.08,IF(_xlpm.act&gt;_xlpm.ant,-0.08,0)),_xlpm.ajcli,IF(T1031&lt;0.95,-0.06,0),_xlpm.prob,MAX(0,MIN(1,_xlpm.prog+_xlpm.ajmov+_xlpm.ajcli)),IF(OR(V1031="DIAMANTE",V1031="CERRADO"),0,ROUND(_xlpm.prob,2)))</f>
        <v>0.61</v>
      </c>
      <c r="AK1031" t="str">
        <f t="shared" si="396"/>
        <v>Faltan 9,2 puntos base para subir a la siguiente categoría</v>
      </c>
      <c r="AL1031" t="str">
        <f t="shared" si="397"/>
        <v>No aplica</v>
      </c>
      <c r="AM1031">
        <f t="shared" si="398"/>
        <v>0.52</v>
      </c>
      <c r="AN1031" t="str">
        <f t="shared" si="399"/>
        <v>PRIORIDAD MEDIA – seguimiento del asesor</v>
      </c>
      <c r="AO1031">
        <f t="shared" si="400"/>
        <v>64.862569275295584</v>
      </c>
      <c r="AP1031">
        <f t="shared" si="401"/>
        <v>15</v>
      </c>
      <c r="AQ1031">
        <f t="shared" si="402"/>
        <v>7.1999999999999176E-2</v>
      </c>
      <c r="AR1031">
        <f t="shared" si="403"/>
        <v>4.5999999999999996</v>
      </c>
      <c r="AS1031">
        <f t="shared" si="404"/>
        <v>0</v>
      </c>
      <c r="AT1031" t="str">
        <f t="shared" si="405"/>
        <v>VENTAS</v>
      </c>
      <c r="AU1031">
        <f t="shared" si="406"/>
        <v>64.862569275295584</v>
      </c>
      <c r="AV1031" t="str">
        <f t="shared" si="407"/>
        <v>Mayor retorno probable: VENTAS (+64,9 puntos finales potenciales).</v>
      </c>
    </row>
    <row r="1032" spans="1:48" x14ac:dyDescent="0.3">
      <c r="A1032" s="5">
        <v>51012429</v>
      </c>
      <c r="B1032" s="5" t="str">
        <f>IFERROR(VLOOKUP(A1032,VENTAS!$A$2:$B$1194,2,0),"")</f>
        <v/>
      </c>
      <c r="C1032" s="5">
        <f>IFERROR(INDEX(VENTAS!$C$2:$E$1194,MATCH(A1032,VENTAS!$A$2:$A$1194,0),MATCH(PARAMS_MODELO!$B$2,{"Q1","Q2","Q3"},0)),0)</f>
        <v>53563919.079999998</v>
      </c>
      <c r="D1032" s="5">
        <f>IFERROR(INDEX(VENTAS!$F$2:$H$1194,MATCH(A1032,VENTAS!$A$2:$A$1194,0),MATCH(PARAMS_MODELO!$B$2,{"Q1","Q2","Q3"},0)),0)</f>
        <v>0</v>
      </c>
      <c r="E1032" s="8">
        <f t="shared" si="384"/>
        <v>-1</v>
      </c>
      <c r="F1032" s="12">
        <f>IF(E1032&lt;=PARAMS_MODELO!$B$15,0,IF(E1032&gt;=PARAMS_MODELO!$B$17,100,100*MIN(1,(E1032-PARAMS_MODELO!$B$15)/(PARAMS_MODELO!$B$16-PARAMS_MODELO!$B$15))))*PARAMS_MODELO!$B$7</f>
        <v>0</v>
      </c>
      <c r="G1032" s="5">
        <f t="shared" si="385"/>
        <v>0</v>
      </c>
      <c r="H1032" s="5">
        <f>(PARAMS_MODELO!$B$20*(MAX(0,MIN(3,E1032))/3)+PARAMS_MODELO!$B$21*(IFERROR(LN(1+MAX(0,G1032))/LN(1+MAX(0,MAX($G$2:$G$1194))),0)))*100*PARAMS_MODELO!$B$8</f>
        <v>0</v>
      </c>
      <c r="I1032" s="8">
        <f>E1032-PARAMS_MODELO!$B$5</f>
        <v>-1.1775628353755265</v>
      </c>
      <c r="J1032" s="5">
        <f>IF(I1032&lt;=PARAMS_MODELO!$B$18,0,IF(I1032&gt;=PARAMS_MODELO!$B$19,100,100*(I1032-PARAMS_MODELO!$B$18)/(PARAMS_MODELO!$B$19-PARAMS_MODELO!$B$18)))*PARAMS_MODELO!$B$9</f>
        <v>0</v>
      </c>
      <c r="K1032" s="5">
        <f>IFERROR(CHOOSE(MATCH(PARAMS_MODELO!$B$2,{"Q1","Q2","Q3"},0),LOTO!$D1032,LOTO!$F1032,LOTO!$H1032),0)</f>
        <v>0</v>
      </c>
      <c r="L1032" s="8">
        <f t="shared" si="386"/>
        <v>0</v>
      </c>
      <c r="M1032" s="5">
        <f>MIN(100,IF(PARAMS_MODELO!$B$23=0,0,100*L1032/PARAMS_MODELO!$B$23))*PARAMS_MODELO!$B$10</f>
        <v>0</v>
      </c>
      <c r="N1032" s="5">
        <f>IFERROR(VLOOKUP(A1032,COMPLIANCE!$A$2:$F$1996,6,0),100)</f>
        <v>100</v>
      </c>
      <c r="O1032" s="5">
        <f>N1032*PARAMS_MODELO!$B$11</f>
        <v>10</v>
      </c>
      <c r="P1032" s="5">
        <f>IFERROR(VLOOKUP(A1032,DIGITAL!$A$2:$J$2000,7,0),100)</f>
        <v>89</v>
      </c>
      <c r="Q1032" s="5">
        <f>IFERROR(P1032,0)*PARAMS_MODELO!$B$12</f>
        <v>8.9</v>
      </c>
      <c r="R1032">
        <f t="shared" si="387"/>
        <v>18.899999999999999</v>
      </c>
      <c r="S1032" s="5" t="str">
        <f>IFERROR(VLOOKUP(A1032,CLIENTE!$A$2:$N$2000,13,0),1)</f>
        <v>Regular</v>
      </c>
      <c r="T1032" s="5">
        <f>IFERROR(VLOOKUP(A1032,CLIENTE!$A$2:$N$2000,14,0),1)</f>
        <v>1</v>
      </c>
      <c r="U1032" s="5">
        <f t="shared" si="388"/>
        <v>18.899999999999999</v>
      </c>
      <c r="V1032" s="5" t="str">
        <f>IF(U1032&gt;=MAX(_xlfn.PERCENTILE.INC($U$2:$U$1194,PARAMS_MODELO!$B$50),PARAMS_MODELO!$B$45),"DIAMANTE",IF(U1032&gt;=MAX(_xlfn.PERCENTILE.INC($U$2:$U$1194,PARAMS_MODELO!$B$51),PARAMS_MODELO!$B$46),"PLATINO",IF(U1032&gt;=MAX(_xlfn.PERCENTILE.INC($U$2:$U$1194,PARAMS_MODELO!$B$52),PARAMS_MODELO!$B$47),"ORO",IF(U1032&gt;=MAX(_xlfn.PERCENTILE.INC($U$2:$U$1194,PARAMS_MODELO!$B$53),PARAMS_MODELO!$B$48),"PLATA",IF(U1032&gt;=1,"BRONCE","CERRADO")))))</f>
        <v>BRONCE</v>
      </c>
      <c r="W1032" s="5" t="str" cm="1">
        <f t="array" ref="W1032">_xlfn.XLOOKUP(1, (HIST_SCORE!$B:$B=PARAMS_MODELO!$B$4) * (HIST_SCORE!$C:$C=A1032), HIST_SCORE!$E:$E, "No encontrado")</f>
        <v>BRONCE</v>
      </c>
      <c r="X1032" s="5" t="str">
        <f>_xlfn.LET(_xlpm.act,MATCH(V1032,{"DIAMANTE";"PLATINO";"ORO";"PLATA";"BRONCE";"CERRADO"},0),_xlpm.ant,MATCH(W1032,{"DIAMANTE";"PLATINO";"ORO";"PLATA";"BRONCE";"CERRADO"},0),IF(_xlpm.act&lt;_xlpm.ant,"Mejora ↑",IF(_xlpm.act&gt;_xlpm.ant,"Baja ↓","Estable →")))</f>
        <v>Estable →</v>
      </c>
      <c r="Y1032" s="5">
        <f>IFERROR(U1032-SUMIFS(HIST_SCORE!$D:$D,HIST_SCORE!$B:$B,PARAMS_MODELO!$B$4,HIST_SCORE!$C:$C,$A1032),"")</f>
        <v>0</v>
      </c>
      <c r="Z1032" s="5" t="str">
        <f t="shared" si="389"/>
        <v>→ Estable</v>
      </c>
      <c r="AA1032" s="5">
        <f t="shared" si="390"/>
        <v>1003</v>
      </c>
      <c r="AB1032" s="5">
        <f>IFERROR(SUMIFS(HIST_SCORE!$F:$F,HIST_SCORE!$B:$B,PARAMS_MODELO!$B$4,HIST_SCORE!$C:$C,$A1032),"")</f>
        <v>1008</v>
      </c>
      <c r="AC1032" s="5">
        <f t="shared" si="391"/>
        <v>5</v>
      </c>
      <c r="AD1032" t="str">
        <f t="shared" si="393"/>
        <v/>
      </c>
      <c r="AE10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1032="CERRADO",1,IF(V1032="BRONCE",_xlpm.cPl,IF(V1032="PLATA",_xlpm.cO,IF(V1032="ORO",_xlpm.cP,IF(V1032="PLATINO",_xlpm.cD,999))))))</f>
        <v>24.506573482968111</v>
      </c>
      <c r="AF10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1032="CERRADO",0,IF(V1032="BRONCE",1,IF(V1032="PLATA",_xlpm.cPl,IF(V1032="ORO",_xlpm.cO,IF(V1032="PLATINO",_xlpm.cP,_xlpm.cD))))))</f>
        <v>1</v>
      </c>
      <c r="AG1032">
        <f t="shared" si="394"/>
        <v>5.6065734829681126</v>
      </c>
      <c r="AH1032" t="str">
        <f t="shared" si="395"/>
        <v>VENTAS</v>
      </c>
      <c r="AI1032" t="str">
        <f t="shared" si="392"/>
        <v>🎯 Para subir de categoría, eje VENTAS / CRECIMIENTO PERSONAL (F). Acción: metas semanales + activación comercial + seguimiento del asesor. ΔR aprox: 5,6</v>
      </c>
      <c r="AJ1032" s="26">
        <f>_xlfn.LET(_xlpm.piso,AF1032,_xlpm.corte,AE1032,_xlpm.prog,IF(_xlpm.corte&lt;=_xlpm.piso,0,MAX(0,MIN(1,(U1032-_xlpm.piso)/(_xlpm.corte-_xlpm.piso)))),_xlpm.orden,{"DIAMANTE";"PLATINO";"ORO";"PLATA";"BRONCE";"CERRADO"},_xlpm.act,IFERROR(MATCH(V1032,_xlpm.orden,0),6),_xlpm.ant,IFERROR(MATCH(W1032,_xlpm.orden,0),6),_xlpm.ajmov,IF(_xlpm.act&lt;_xlpm.ant,0.08,IF(_xlpm.act&gt;_xlpm.ant,-0.08,0)),_xlpm.ajcli,IF(T1032&lt;0.95,-0.06,0),_xlpm.prob,MAX(0,MIN(1,_xlpm.prog+_xlpm.ajmov+_xlpm.ajcli)),IF(OR(V1032="DIAMANTE",V1032="CERRADO"),0,ROUND(_xlpm.prob,2)))</f>
        <v>0.76</v>
      </c>
      <c r="AK1032" t="str">
        <f t="shared" si="396"/>
        <v>Faltan 5,6 puntos base para subir a la siguiente categoría</v>
      </c>
      <c r="AL1032" t="str">
        <f t="shared" si="397"/>
        <v>No aplica</v>
      </c>
      <c r="AM1032">
        <f t="shared" si="398"/>
        <v>0.32</v>
      </c>
      <c r="AN1032" t="str">
        <f t="shared" si="399"/>
        <v>PRIORIDAD BAJA – control normal</v>
      </c>
      <c r="AO1032">
        <f t="shared" si="400"/>
        <v>64.862569275295584</v>
      </c>
      <c r="AP1032">
        <f t="shared" si="401"/>
        <v>15</v>
      </c>
      <c r="AQ1032">
        <f t="shared" si="402"/>
        <v>0</v>
      </c>
      <c r="AR1032">
        <f t="shared" si="403"/>
        <v>1.0999999999999996</v>
      </c>
      <c r="AS1032">
        <f t="shared" si="404"/>
        <v>0</v>
      </c>
      <c r="AT1032" t="str">
        <f t="shared" si="405"/>
        <v>VENTAS</v>
      </c>
      <c r="AU1032">
        <f t="shared" si="406"/>
        <v>64.862569275295584</v>
      </c>
      <c r="AV1032" t="str">
        <f t="shared" si="407"/>
        <v>Mayor retorno probable: VENTAS (+64,9 puntos finales potenciales).</v>
      </c>
    </row>
    <row r="1033" spans="1:48" x14ac:dyDescent="0.3">
      <c r="A1033" s="5">
        <v>51012569</v>
      </c>
      <c r="B1033" s="5" t="str">
        <f>IFERROR(VLOOKUP(A1033,VENTAS!$A$2:$B$1194,2,0),"")</f>
        <v/>
      </c>
      <c r="C1033" s="5">
        <f>IFERROR(INDEX(VENTAS!$C$2:$E$1194,MATCH(A1033,VENTAS!$A$2:$A$1194,0),MATCH(PARAMS_MODELO!$B$2,{"Q1","Q2","Q3"},0)),0)</f>
        <v>0</v>
      </c>
      <c r="D1033" s="5">
        <f>IFERROR(INDEX(VENTAS!$F$2:$H$1194,MATCH(A1033,VENTAS!$A$2:$A$1194,0),MATCH(PARAMS_MODELO!$B$2,{"Q1","Q2","Q3"},0)),0)</f>
        <v>0</v>
      </c>
      <c r="E1033" s="8">
        <f t="shared" si="384"/>
        <v>0</v>
      </c>
      <c r="F1033" s="12">
        <f>IF(E1033&lt;=PARAMS_MODELO!$B$15,0,IF(E1033&gt;=PARAMS_MODELO!$B$17,100,100*MIN(1,(E1033-PARAMS_MODELO!$B$15)/(PARAMS_MODELO!$B$16-PARAMS_MODELO!$B$15))))*PARAMS_MODELO!$B$7</f>
        <v>0</v>
      </c>
      <c r="G1033" s="5">
        <f t="shared" si="385"/>
        <v>0</v>
      </c>
      <c r="H1033" s="5">
        <f>(PARAMS_MODELO!$B$20*(MAX(0,MIN(3,E1033))/3)+PARAMS_MODELO!$B$21*(IFERROR(LN(1+MAX(0,G1033))/LN(1+MAX(0,MAX($G$2:$G$1194))),0)))*100*PARAMS_MODELO!$B$8</f>
        <v>0</v>
      </c>
      <c r="I1033" s="8">
        <f>E1033-PARAMS_MODELO!$B$5</f>
        <v>-0.17756283537552653</v>
      </c>
      <c r="J1033" s="5">
        <f>IF(I1033&lt;=PARAMS_MODELO!$B$18,0,IF(I1033&gt;=PARAMS_MODELO!$B$19,100,100*(I1033-PARAMS_MODELO!$B$18)/(PARAMS_MODELO!$B$19-PARAMS_MODELO!$B$18)))*PARAMS_MODELO!$B$9</f>
        <v>0</v>
      </c>
      <c r="K1033" s="5">
        <f>IFERROR(CHOOSE(MATCH(PARAMS_MODELO!$B$2,{"Q1","Q2","Q3"},0),LOTO!$D1033,LOTO!$F1033,LOTO!$H1033),0)</f>
        <v>0</v>
      </c>
      <c r="L1033" s="8">
        <f t="shared" si="386"/>
        <v>0</v>
      </c>
      <c r="M1033" s="5">
        <f>MIN(100,IF(PARAMS_MODELO!$B$23=0,0,100*L1033/PARAMS_MODELO!$B$23))*PARAMS_MODELO!$B$10</f>
        <v>0</v>
      </c>
      <c r="N1033" s="5">
        <f>IFERROR(VLOOKUP(A1033,COMPLIANCE!$A$2:$F$1996,6,0),100)</f>
        <v>100</v>
      </c>
      <c r="O1033" s="5">
        <f>N1033*PARAMS_MODELO!$B$11</f>
        <v>10</v>
      </c>
      <c r="P1033" s="5">
        <f>IFERROR(VLOOKUP(A1033,DIGITAL!$A$2:$J$2000,7,0),100)</f>
        <v>33</v>
      </c>
      <c r="Q1033" s="5">
        <f>IFERROR(P1033,0)*PARAMS_MODELO!$B$12</f>
        <v>3.3000000000000003</v>
      </c>
      <c r="R1033">
        <f t="shared" si="387"/>
        <v>13.3</v>
      </c>
      <c r="S1033" s="5" t="str">
        <f>IFERROR(VLOOKUP(A1033,CLIENTE!$A$2:$N$2000,13,0),1)</f>
        <v>Excelente</v>
      </c>
      <c r="T1033" s="5">
        <f>IFERROR(VLOOKUP(A1033,CLIENTE!$A$2:$N$2000,14,0),1)</f>
        <v>1.2</v>
      </c>
      <c r="U1033" s="5">
        <f t="shared" si="388"/>
        <v>15.96</v>
      </c>
      <c r="V1033" s="5" t="str">
        <f>IF(U1033&gt;=MAX(_xlfn.PERCENTILE.INC($U$2:$U$1194,PARAMS_MODELO!$B$50),PARAMS_MODELO!$B$45),"DIAMANTE",IF(U1033&gt;=MAX(_xlfn.PERCENTILE.INC($U$2:$U$1194,PARAMS_MODELO!$B$51),PARAMS_MODELO!$B$46),"PLATINO",IF(U1033&gt;=MAX(_xlfn.PERCENTILE.INC($U$2:$U$1194,PARAMS_MODELO!$B$52),PARAMS_MODELO!$B$47),"ORO",IF(U1033&gt;=MAX(_xlfn.PERCENTILE.INC($U$2:$U$1194,PARAMS_MODELO!$B$53),PARAMS_MODELO!$B$48),"PLATA",IF(U1033&gt;=1,"BRONCE","CERRADO")))))</f>
        <v>BRONCE</v>
      </c>
      <c r="W1033" s="5" t="str" cm="1">
        <f t="array" ref="W1033">_xlfn.XLOOKUP(1, (HIST_SCORE!$B:$B=PARAMS_MODELO!$B$4) * (HIST_SCORE!$C:$C=A1033), HIST_SCORE!$E:$E, "No encontrado")</f>
        <v>BRONCE</v>
      </c>
      <c r="X1033" s="5" t="str">
        <f>_xlfn.LET(_xlpm.act,MATCH(V1033,{"DIAMANTE";"PLATINO";"ORO";"PLATA";"BRONCE";"CERRADO"},0),_xlpm.ant,MATCH(W1033,{"DIAMANTE";"PLATINO";"ORO";"PLATA";"BRONCE";"CERRADO"},0),IF(_xlpm.act&lt;_xlpm.ant,"Mejora ↑",IF(_xlpm.act&gt;_xlpm.ant,"Baja ↓","Estable →")))</f>
        <v>Estable →</v>
      </c>
      <c r="Y1033" s="5">
        <f>IFERROR(U1033-SUMIFS(HIST_SCORE!$D:$D,HIST_SCORE!$B:$B,PARAMS_MODELO!$B$4,HIST_SCORE!$C:$C,$A1033),"")</f>
        <v>0</v>
      </c>
      <c r="Z1033" s="5" t="str">
        <f t="shared" si="389"/>
        <v>→ Estable</v>
      </c>
      <c r="AA1033" s="5">
        <f t="shared" si="390"/>
        <v>1068</v>
      </c>
      <c r="AB1033" s="5">
        <f>IFERROR(SUMIFS(HIST_SCORE!$F:$F,HIST_SCORE!$B:$B,PARAMS_MODELO!$B$4,HIST_SCORE!$C:$C,$A1033),"")</f>
        <v>1065</v>
      </c>
      <c r="AC1033" s="5">
        <f t="shared" si="391"/>
        <v>-3</v>
      </c>
      <c r="AD1033" t="str">
        <f t="shared" si="393"/>
        <v/>
      </c>
      <c r="AE10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1033="CERRADO",1,IF(V1033="BRONCE",_xlpm.cPl,IF(V1033="PLATA",_xlpm.cO,IF(V1033="ORO",_xlpm.cP,IF(V1033="PLATINO",_xlpm.cD,999))))))</f>
        <v>24.506573482968111</v>
      </c>
      <c r="AF10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1033="CERRADO",0,IF(V1033="BRONCE",1,IF(V1033="PLATA",_xlpm.cPl,IF(V1033="ORO",_xlpm.cO,IF(V1033="PLATINO",_xlpm.cP,_xlpm.cD))))))</f>
        <v>1</v>
      </c>
      <c r="AG1033">
        <f t="shared" si="394"/>
        <v>7.1221445691400938</v>
      </c>
      <c r="AH1033" t="str">
        <f t="shared" si="395"/>
        <v>VENTAS</v>
      </c>
      <c r="AI1033" t="str">
        <f t="shared" si="392"/>
        <v>🎯 Para subir de categoría, eje VENTAS / CRECIMIENTO PERSONAL (F). Acción: metas semanales + activación comercial + seguimiento del asesor. ΔR aprox: 7,1</v>
      </c>
      <c r="AJ1033" s="26">
        <f>_xlfn.LET(_xlpm.piso,AF1033,_xlpm.corte,AE1033,_xlpm.prog,IF(_xlpm.corte&lt;=_xlpm.piso,0,MAX(0,MIN(1,(U1033-_xlpm.piso)/(_xlpm.corte-_xlpm.piso)))),_xlpm.orden,{"DIAMANTE";"PLATINO";"ORO";"PLATA";"BRONCE";"CERRADO"},_xlpm.act,IFERROR(MATCH(V1033,_xlpm.orden,0),6),_xlpm.ant,IFERROR(MATCH(W1033,_xlpm.orden,0),6),_xlpm.ajmov,IF(_xlpm.act&lt;_xlpm.ant,0.08,IF(_xlpm.act&gt;_xlpm.ant,-0.08,0)),_xlpm.ajcli,IF(T1033&lt;0.95,-0.06,0),_xlpm.prob,MAX(0,MIN(1,_xlpm.prog+_xlpm.ajmov+_xlpm.ajcli)),IF(OR(V1033="DIAMANTE",V1033="CERRADO"),0,ROUND(_xlpm.prob,2)))</f>
        <v>0.64</v>
      </c>
      <c r="AK1033" t="str">
        <f t="shared" si="396"/>
        <v>Faltan 7,1 puntos base para subir a la siguiente categoría</v>
      </c>
      <c r="AL1033" t="str">
        <f t="shared" si="397"/>
        <v>No aplica</v>
      </c>
      <c r="AM1033">
        <f t="shared" si="398"/>
        <v>0.43</v>
      </c>
      <c r="AN1033" t="str">
        <f t="shared" si="399"/>
        <v>PRIORIDAD MEDIA – seguimiento del asesor</v>
      </c>
      <c r="AO1033">
        <f t="shared" si="400"/>
        <v>77.835083130354704</v>
      </c>
      <c r="AP1033">
        <f t="shared" si="401"/>
        <v>18</v>
      </c>
      <c r="AQ1033">
        <f t="shared" si="402"/>
        <v>0</v>
      </c>
      <c r="AR1033">
        <f t="shared" si="403"/>
        <v>8.0399999999999991</v>
      </c>
      <c r="AS1033">
        <f t="shared" si="404"/>
        <v>0</v>
      </c>
      <c r="AT1033" t="str">
        <f t="shared" si="405"/>
        <v>VENTAS</v>
      </c>
      <c r="AU1033">
        <f t="shared" si="406"/>
        <v>77.835083130354704</v>
      </c>
      <c r="AV1033" t="str">
        <f t="shared" si="407"/>
        <v>Mayor retorno probable: VENTAS (+77,8 puntos finales potenciales).</v>
      </c>
    </row>
    <row r="1034" spans="1:48" x14ac:dyDescent="0.3">
      <c r="A1034" s="5">
        <v>51012631</v>
      </c>
      <c r="B1034" s="5" t="str">
        <f>IFERROR(VLOOKUP(A1034,VENTAS!$A$2:$B$1194,2,0),"")</f>
        <v/>
      </c>
      <c r="C1034" s="5">
        <f>IFERROR(INDEX(VENTAS!$C$2:$E$1194,MATCH(A1034,VENTAS!$A$2:$A$1194,0),MATCH(PARAMS_MODELO!$B$2,{"Q1","Q2","Q3"},0)),0)</f>
        <v>0</v>
      </c>
      <c r="D1034" s="5">
        <f>IFERROR(INDEX(VENTAS!$F$2:$H$1194,MATCH(A1034,VENTAS!$A$2:$A$1194,0),MATCH(PARAMS_MODELO!$B$2,{"Q1","Q2","Q3"},0)),0)</f>
        <v>0</v>
      </c>
      <c r="E1034" s="8">
        <f t="shared" si="384"/>
        <v>0</v>
      </c>
      <c r="F1034" s="12">
        <f>IF(E1034&lt;=PARAMS_MODELO!$B$15,0,IF(E1034&gt;=PARAMS_MODELO!$B$17,100,100*MIN(1,(E1034-PARAMS_MODELO!$B$15)/(PARAMS_MODELO!$B$16-PARAMS_MODELO!$B$15))))*PARAMS_MODELO!$B$7</f>
        <v>0</v>
      </c>
      <c r="G1034" s="5">
        <f t="shared" si="385"/>
        <v>0</v>
      </c>
      <c r="H1034" s="5">
        <f>(PARAMS_MODELO!$B$20*(MAX(0,MIN(3,E1034))/3)+PARAMS_MODELO!$B$21*(IFERROR(LN(1+MAX(0,G1034))/LN(1+MAX(0,MAX($G$2:$G$1194))),0)))*100*PARAMS_MODELO!$B$8</f>
        <v>0</v>
      </c>
      <c r="I1034" s="8">
        <f>E1034-PARAMS_MODELO!$B$5</f>
        <v>-0.17756283537552653</v>
      </c>
      <c r="J1034" s="5">
        <f>IF(I1034&lt;=PARAMS_MODELO!$B$18,0,IF(I1034&gt;=PARAMS_MODELO!$B$19,100,100*(I1034-PARAMS_MODELO!$B$18)/(PARAMS_MODELO!$B$19-PARAMS_MODELO!$B$18)))*PARAMS_MODELO!$B$9</f>
        <v>0</v>
      </c>
      <c r="K1034" s="5">
        <f>IFERROR(CHOOSE(MATCH(PARAMS_MODELO!$B$2,{"Q1","Q2","Q3"},0),LOTO!$D1034,LOTO!$F1034,LOTO!$H1034),0)</f>
        <v>0</v>
      </c>
      <c r="L1034" s="8">
        <f t="shared" si="386"/>
        <v>0</v>
      </c>
      <c r="M1034" s="5">
        <f>MIN(100,IF(PARAMS_MODELO!$B$23=0,0,100*L1034/PARAMS_MODELO!$B$23))*PARAMS_MODELO!$B$10</f>
        <v>0</v>
      </c>
      <c r="N1034" s="5">
        <f>IFERROR(VLOOKUP(A1034,COMPLIANCE!$A$2:$F$1996,6,0),100)</f>
        <v>100</v>
      </c>
      <c r="O1034" s="5">
        <f>N1034*PARAMS_MODELO!$B$11</f>
        <v>10</v>
      </c>
      <c r="P1034" s="5">
        <f>IFERROR(VLOOKUP(A1034,DIGITAL!$A$2:$J$2000,7,0),100)</f>
        <v>18</v>
      </c>
      <c r="Q1034" s="5">
        <f>IFERROR(P1034,0)*PARAMS_MODELO!$B$12</f>
        <v>1.8</v>
      </c>
      <c r="R1034">
        <f t="shared" si="387"/>
        <v>11.8</v>
      </c>
      <c r="S1034" s="5" t="str">
        <f>IFERROR(VLOOKUP(A1034,CLIENTE!$A$2:$N$2000,13,0),1)</f>
        <v>Bueno</v>
      </c>
      <c r="T1034" s="5">
        <f>IFERROR(VLOOKUP(A1034,CLIENTE!$A$2:$N$2000,14,0),1)</f>
        <v>1.1000000000000001</v>
      </c>
      <c r="U1034" s="5">
        <f t="shared" si="388"/>
        <v>12.980000000000002</v>
      </c>
      <c r="V1034" s="5" t="str">
        <f>IF(U1034&gt;=MAX(_xlfn.PERCENTILE.INC($U$2:$U$1194,PARAMS_MODELO!$B$50),PARAMS_MODELO!$B$45),"DIAMANTE",IF(U1034&gt;=MAX(_xlfn.PERCENTILE.INC($U$2:$U$1194,PARAMS_MODELO!$B$51),PARAMS_MODELO!$B$46),"PLATINO",IF(U1034&gt;=MAX(_xlfn.PERCENTILE.INC($U$2:$U$1194,PARAMS_MODELO!$B$52),PARAMS_MODELO!$B$47),"ORO",IF(U1034&gt;=MAX(_xlfn.PERCENTILE.INC($U$2:$U$1194,PARAMS_MODELO!$B$53),PARAMS_MODELO!$B$48),"PLATA",IF(U1034&gt;=1,"BRONCE","CERRADO")))))</f>
        <v>BRONCE</v>
      </c>
      <c r="W1034" s="5" t="str" cm="1">
        <f t="array" ref="W1034">_xlfn.XLOOKUP(1, (HIST_SCORE!$B:$B=PARAMS_MODELO!$B$4) * (HIST_SCORE!$C:$C=A1034), HIST_SCORE!$E:$E, "No encontrado")</f>
        <v>BRONCE</v>
      </c>
      <c r="X1034" s="5" t="str">
        <f>_xlfn.LET(_xlpm.act,MATCH(V1034,{"DIAMANTE";"PLATINO";"ORO";"PLATA";"BRONCE";"CERRADO"},0),_xlpm.ant,MATCH(W1034,{"DIAMANTE";"PLATINO";"ORO";"PLATA";"BRONCE";"CERRADO"},0),IF(_xlpm.act&lt;_xlpm.ant,"Mejora ↑",IF(_xlpm.act&gt;_xlpm.ant,"Baja ↓","Estable →")))</f>
        <v>Estable →</v>
      </c>
      <c r="Y1034" s="5">
        <f>IFERROR(U1034-SUMIFS(HIST_SCORE!$D:$D,HIST_SCORE!$B:$B,PARAMS_MODELO!$B$4,HIST_SCORE!$C:$C,$A1034),"")</f>
        <v>0</v>
      </c>
      <c r="Z1034" s="5" t="str">
        <f t="shared" si="389"/>
        <v>→ Estable</v>
      </c>
      <c r="AA1034" s="5">
        <f t="shared" si="390"/>
        <v>1113</v>
      </c>
      <c r="AB1034" s="5">
        <f>IFERROR(SUMIFS(HIST_SCORE!$F:$F,HIST_SCORE!$B:$B,PARAMS_MODELO!$B$4,HIST_SCORE!$C:$C,$A1034),"")</f>
        <v>1111</v>
      </c>
      <c r="AC1034" s="5">
        <f t="shared" si="391"/>
        <v>-2</v>
      </c>
      <c r="AD1034" t="str">
        <f t="shared" si="393"/>
        <v/>
      </c>
      <c r="AE10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1034="CERRADO",1,IF(V1034="BRONCE",_xlpm.cPl,IF(V1034="PLATA",_xlpm.cO,IF(V1034="ORO",_xlpm.cP,IF(V1034="PLATINO",_xlpm.cD,999))))))</f>
        <v>24.506573482968111</v>
      </c>
      <c r="AF10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1034="CERRADO",0,IF(V1034="BRONCE",1,IF(V1034="PLATA",_xlpm.cPl,IF(V1034="ORO",_xlpm.cO,IF(V1034="PLATINO",_xlpm.cP,_xlpm.cD))))))</f>
        <v>1</v>
      </c>
      <c r="AG1034">
        <f t="shared" si="394"/>
        <v>10.478703166334643</v>
      </c>
      <c r="AH1034" t="str">
        <f t="shared" si="395"/>
        <v>VENTAS</v>
      </c>
      <c r="AI1034" t="str">
        <f t="shared" si="392"/>
        <v>🎯 Para subir de categoría, eje VENTAS / CRECIMIENTO PERSONAL (F). Acción: metas semanales + activación comercial + seguimiento del asesor. ΔR aprox: 10,5</v>
      </c>
      <c r="AJ1034" s="26">
        <f>_xlfn.LET(_xlpm.piso,AF1034,_xlpm.corte,AE1034,_xlpm.prog,IF(_xlpm.corte&lt;=_xlpm.piso,0,MAX(0,MIN(1,(U1034-_xlpm.piso)/(_xlpm.corte-_xlpm.piso)))),_xlpm.orden,{"DIAMANTE";"PLATINO";"ORO";"PLATA";"BRONCE";"CERRADO"},_xlpm.act,IFERROR(MATCH(V1034,_xlpm.orden,0),6),_xlpm.ant,IFERROR(MATCH(W1034,_xlpm.orden,0),6),_xlpm.ajmov,IF(_xlpm.act&lt;_xlpm.ant,0.08,IF(_xlpm.act&gt;_xlpm.ant,-0.08,0)),_xlpm.ajcli,IF(T1034&lt;0.95,-0.06,0),_xlpm.prob,MAX(0,MIN(1,_xlpm.prog+_xlpm.ajmov+_xlpm.ajcli)),IF(OR(V1034="DIAMANTE",V1034="CERRADO"),0,ROUND(_xlpm.prob,2)))</f>
        <v>0.51</v>
      </c>
      <c r="AK1034" t="str">
        <f t="shared" si="396"/>
        <v>Faltan 10,5 puntos base para subir a la siguiente categoría</v>
      </c>
      <c r="AL1034" t="str">
        <f t="shared" si="397"/>
        <v>No aplica</v>
      </c>
      <c r="AM1034">
        <f t="shared" si="398"/>
        <v>0.6</v>
      </c>
      <c r="AN1034" t="str">
        <f t="shared" si="399"/>
        <v>PRIORIDAD MEDIA – seguimiento del asesor</v>
      </c>
      <c r="AO1034">
        <f t="shared" si="400"/>
        <v>71.348826202825151</v>
      </c>
      <c r="AP1034">
        <f t="shared" si="401"/>
        <v>16.5</v>
      </c>
      <c r="AQ1034">
        <f t="shared" si="402"/>
        <v>0</v>
      </c>
      <c r="AR1034">
        <f t="shared" si="403"/>
        <v>9.02</v>
      </c>
      <c r="AS1034">
        <f t="shared" si="404"/>
        <v>0</v>
      </c>
      <c r="AT1034" t="str">
        <f t="shared" si="405"/>
        <v>VENTAS</v>
      </c>
      <c r="AU1034">
        <f t="shared" si="406"/>
        <v>71.348826202825151</v>
      </c>
      <c r="AV1034" t="str">
        <f t="shared" si="407"/>
        <v>Mayor retorno probable: VENTAS (+71,3 puntos finales potenciales).</v>
      </c>
    </row>
    <row r="1035" spans="1:48" x14ac:dyDescent="0.3">
      <c r="A1035" s="5">
        <v>51012844</v>
      </c>
      <c r="B1035" s="5" t="str">
        <f>IFERROR(VLOOKUP(A1035,VENTAS!$A$2:$B$1194,2,0),"")</f>
        <v/>
      </c>
      <c r="C1035" s="5">
        <f>IFERROR(INDEX(VENTAS!$C$2:$E$1194,MATCH(A1035,VENTAS!$A$2:$A$1194,0),MATCH(PARAMS_MODELO!$B$2,{"Q1","Q2","Q3"},0)),0)</f>
        <v>139491102.22</v>
      </c>
      <c r="D1035" s="5">
        <f>IFERROR(INDEX(VENTAS!$F$2:$H$1194,MATCH(A1035,VENTAS!$A$2:$A$1194,0),MATCH(PARAMS_MODELO!$B$2,{"Q1","Q2","Q3"},0)),0)</f>
        <v>0</v>
      </c>
      <c r="E1035" s="8">
        <f t="shared" si="384"/>
        <v>-1</v>
      </c>
      <c r="F1035" s="12">
        <f>IF(E1035&lt;=PARAMS_MODELO!$B$15,0,IF(E1035&gt;=PARAMS_MODELO!$B$17,100,100*MIN(1,(E1035-PARAMS_MODELO!$B$15)/(PARAMS_MODELO!$B$16-PARAMS_MODELO!$B$15))))*PARAMS_MODELO!$B$7</f>
        <v>0</v>
      </c>
      <c r="G1035" s="5">
        <f t="shared" si="385"/>
        <v>0</v>
      </c>
      <c r="H1035" s="5">
        <f>(PARAMS_MODELO!$B$20*(MAX(0,MIN(3,E1035))/3)+PARAMS_MODELO!$B$21*(IFERROR(LN(1+MAX(0,G1035))/LN(1+MAX(0,MAX($G$2:$G$1194))),0)))*100*PARAMS_MODELO!$B$8</f>
        <v>0</v>
      </c>
      <c r="I1035" s="8">
        <f>E1035-PARAMS_MODELO!$B$5</f>
        <v>-1.1775628353755265</v>
      </c>
      <c r="J1035" s="5">
        <f>IF(I1035&lt;=PARAMS_MODELO!$B$18,0,IF(I1035&gt;=PARAMS_MODELO!$B$19,100,100*(I1035-PARAMS_MODELO!$B$18)/(PARAMS_MODELO!$B$19-PARAMS_MODELO!$B$18)))*PARAMS_MODELO!$B$9</f>
        <v>0</v>
      </c>
      <c r="K1035" s="5">
        <f>IFERROR(CHOOSE(MATCH(PARAMS_MODELO!$B$2,{"Q1","Q2","Q3"},0),LOTO!$D1035,LOTO!$F1035,LOTO!$H1035),0)</f>
        <v>0</v>
      </c>
      <c r="L1035" s="8">
        <f t="shared" si="386"/>
        <v>0</v>
      </c>
      <c r="M1035" s="5">
        <f>MIN(100,IF(PARAMS_MODELO!$B$23=0,0,100*L1035/PARAMS_MODELO!$B$23))*PARAMS_MODELO!$B$10</f>
        <v>0</v>
      </c>
      <c r="N1035" s="5">
        <f>IFERROR(VLOOKUP(A1035,COMPLIANCE!$A$2:$F$1996,6,0),100)</f>
        <v>100</v>
      </c>
      <c r="O1035" s="5">
        <f>N1035*PARAMS_MODELO!$B$11</f>
        <v>10</v>
      </c>
      <c r="P1035" s="5">
        <f>IFERROR(VLOOKUP(A1035,DIGITAL!$A$2:$J$2000,7,0),100)</f>
        <v>26</v>
      </c>
      <c r="Q1035" s="5">
        <f>IFERROR(P1035,0)*PARAMS_MODELO!$B$12</f>
        <v>2.6</v>
      </c>
      <c r="R1035">
        <f t="shared" si="387"/>
        <v>12.6</v>
      </c>
      <c r="S1035" s="5" t="str">
        <f>IFERROR(VLOOKUP(A1035,CLIENTE!$A$2:$N$2000,13,0),1)</f>
        <v>Malo</v>
      </c>
      <c r="T1035" s="5">
        <f>IFERROR(VLOOKUP(A1035,CLIENTE!$A$2:$N$2000,14,0),1)</f>
        <v>0.7</v>
      </c>
      <c r="U1035" s="5">
        <f t="shared" si="388"/>
        <v>8.8199999999999985</v>
      </c>
      <c r="V1035" s="5" t="str">
        <f>IF(U1035&gt;=MAX(_xlfn.PERCENTILE.INC($U$2:$U$1194,PARAMS_MODELO!$B$50),PARAMS_MODELO!$B$45),"DIAMANTE",IF(U1035&gt;=MAX(_xlfn.PERCENTILE.INC($U$2:$U$1194,PARAMS_MODELO!$B$51),PARAMS_MODELO!$B$46),"PLATINO",IF(U1035&gt;=MAX(_xlfn.PERCENTILE.INC($U$2:$U$1194,PARAMS_MODELO!$B$52),PARAMS_MODELO!$B$47),"ORO",IF(U1035&gt;=MAX(_xlfn.PERCENTILE.INC($U$2:$U$1194,PARAMS_MODELO!$B$53),PARAMS_MODELO!$B$48),"PLATA",IF(U1035&gt;=1,"BRONCE","CERRADO")))))</f>
        <v>BRONCE</v>
      </c>
      <c r="W1035" s="5" t="str" cm="1">
        <f t="array" ref="W1035">_xlfn.XLOOKUP(1, (HIST_SCORE!$B:$B=PARAMS_MODELO!$B$4) * (HIST_SCORE!$C:$C=A1035), HIST_SCORE!$E:$E, "No encontrado")</f>
        <v>BRONCE</v>
      </c>
      <c r="X1035" s="5" t="str">
        <f>_xlfn.LET(_xlpm.act,MATCH(V1035,{"DIAMANTE";"PLATINO";"ORO";"PLATA";"BRONCE";"CERRADO"},0),_xlpm.ant,MATCH(W1035,{"DIAMANTE";"PLATINO";"ORO";"PLATA";"BRONCE";"CERRADO"},0),IF(_xlpm.act&lt;_xlpm.ant,"Mejora ↑",IF(_xlpm.act&gt;_xlpm.ant,"Baja ↓","Estable →")))</f>
        <v>Estable →</v>
      </c>
      <c r="Y1035" s="5">
        <f>IFERROR(U1035-SUMIFS(HIST_SCORE!$D:$D,HIST_SCORE!$B:$B,PARAMS_MODELO!$B$4,HIST_SCORE!$C:$C,$A1035),"")</f>
        <v>0</v>
      </c>
      <c r="Z1035" s="5" t="str">
        <f t="shared" si="389"/>
        <v>→ Estable</v>
      </c>
      <c r="AA1035" s="5">
        <f t="shared" si="390"/>
        <v>1177</v>
      </c>
      <c r="AB1035" s="5">
        <f>IFERROR(SUMIFS(HIST_SCORE!$F:$F,HIST_SCORE!$B:$B,PARAMS_MODELO!$B$4,HIST_SCORE!$C:$C,$A1035),"")</f>
        <v>1178</v>
      </c>
      <c r="AC1035" s="5">
        <f t="shared" si="391"/>
        <v>1</v>
      </c>
      <c r="AD1035" t="str">
        <f t="shared" si="393"/>
        <v/>
      </c>
      <c r="AE10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1035="CERRADO",1,IF(V1035="BRONCE",_xlpm.cPl,IF(V1035="PLATA",_xlpm.cO,IF(V1035="ORO",_xlpm.cP,IF(V1035="PLATINO",_xlpm.cD,999))))))</f>
        <v>24.506573482968111</v>
      </c>
      <c r="AF10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1035="CERRADO",0,IF(V1035="BRONCE",1,IF(V1035="PLATA",_xlpm.cPl,IF(V1035="ORO",_xlpm.cO,IF(V1035="PLATINO",_xlpm.cP,_xlpm.cD))))))</f>
        <v>1</v>
      </c>
      <c r="AG1035">
        <f t="shared" si="394"/>
        <v>22.409390689954442</v>
      </c>
      <c r="AH1035" t="str">
        <f t="shared" si="395"/>
        <v>VENTAS</v>
      </c>
      <c r="AI1035" t="str">
        <f t="shared" si="392"/>
        <v>🎯 Para subir de categoría, eje VENTAS / CRECIMIENTO PERSONAL (F). Acción: metas semanales + activación comercial + seguimiento del asesor. ΔR aprox: 22,4</v>
      </c>
      <c r="AJ1035" s="26">
        <f>_xlfn.LET(_xlpm.piso,AF1035,_xlpm.corte,AE1035,_xlpm.prog,IF(_xlpm.corte&lt;=_xlpm.piso,0,MAX(0,MIN(1,(U1035-_xlpm.piso)/(_xlpm.corte-_xlpm.piso)))),_xlpm.orden,{"DIAMANTE";"PLATINO";"ORO";"PLATA";"BRONCE";"CERRADO"},_xlpm.act,IFERROR(MATCH(V1035,_xlpm.orden,0),6),_xlpm.ant,IFERROR(MATCH(W1035,_xlpm.orden,0),6),_xlpm.ajmov,IF(_xlpm.act&lt;_xlpm.ant,0.08,IF(_xlpm.act&gt;_xlpm.ant,-0.08,0)),_xlpm.ajcli,IF(T1035&lt;0.95,-0.06,0),_xlpm.prob,MAX(0,MIN(1,_xlpm.prog+_xlpm.ajmov+_xlpm.ajcli)),IF(OR(V1035="DIAMANTE",V1035="CERRADO"),0,ROUND(_xlpm.prob,2)))</f>
        <v>0.27</v>
      </c>
      <c r="AK1035" t="str">
        <f t="shared" si="396"/>
        <v>Faltan 22,4 puntos base para subir a la siguiente categoría</v>
      </c>
      <c r="AL1035" t="str">
        <f t="shared" si="397"/>
        <v>No aplica</v>
      </c>
      <c r="AM1035">
        <f t="shared" si="398"/>
        <v>0.89</v>
      </c>
      <c r="AN1035" t="str">
        <f t="shared" si="399"/>
        <v>PRIORIDAD ALTA – requiere intervención inmediata</v>
      </c>
      <c r="AO1035">
        <f t="shared" si="400"/>
        <v>45.403798492706905</v>
      </c>
      <c r="AP1035">
        <f t="shared" si="401"/>
        <v>10.5</v>
      </c>
      <c r="AQ1035">
        <f t="shared" si="402"/>
        <v>0</v>
      </c>
      <c r="AR1035">
        <f t="shared" si="403"/>
        <v>5.18</v>
      </c>
      <c r="AS1035">
        <f t="shared" si="404"/>
        <v>3.7800000000000002</v>
      </c>
      <c r="AT1035" t="str">
        <f t="shared" si="405"/>
        <v>VENTAS</v>
      </c>
      <c r="AU1035">
        <f t="shared" si="406"/>
        <v>45.403798492706905</v>
      </c>
      <c r="AV1035" t="str">
        <f t="shared" si="407"/>
        <v>Mayor retorno probable: VENTAS (+45,4 puntos finales potenciales).</v>
      </c>
    </row>
    <row r="1036" spans="1:48" x14ac:dyDescent="0.3">
      <c r="A1036" s="5">
        <v>51012925</v>
      </c>
      <c r="B1036" s="5" t="str">
        <f>IFERROR(VLOOKUP(A1036,VENTAS!$A$2:$B$1194,2,0),"")</f>
        <v/>
      </c>
      <c r="C1036" s="5">
        <f>IFERROR(INDEX(VENTAS!$C$2:$E$1194,MATCH(A1036,VENTAS!$A$2:$A$1194,0),MATCH(PARAMS_MODELO!$B$2,{"Q1","Q2","Q3"},0)),0)</f>
        <v>0</v>
      </c>
      <c r="D1036" s="5">
        <f>IFERROR(INDEX(VENTAS!$F$2:$H$1194,MATCH(A1036,VENTAS!$A$2:$A$1194,0),MATCH(PARAMS_MODELO!$B$2,{"Q1","Q2","Q3"},0)),0)</f>
        <v>0</v>
      </c>
      <c r="E1036" s="8">
        <f t="shared" si="384"/>
        <v>0</v>
      </c>
      <c r="F1036" s="12">
        <f>IF(E1036&lt;=PARAMS_MODELO!$B$15,0,IF(E1036&gt;=PARAMS_MODELO!$B$17,100,100*MIN(1,(E1036-PARAMS_MODELO!$B$15)/(PARAMS_MODELO!$B$16-PARAMS_MODELO!$B$15))))*PARAMS_MODELO!$B$7</f>
        <v>0</v>
      </c>
      <c r="G1036" s="5">
        <f t="shared" si="385"/>
        <v>0</v>
      </c>
      <c r="H1036" s="5">
        <f>(PARAMS_MODELO!$B$20*(MAX(0,MIN(3,E1036))/3)+PARAMS_MODELO!$B$21*(IFERROR(LN(1+MAX(0,G1036))/LN(1+MAX(0,MAX($G$2:$G$1194))),0)))*100*PARAMS_MODELO!$B$8</f>
        <v>0</v>
      </c>
      <c r="I1036" s="8">
        <f>E1036-PARAMS_MODELO!$B$5</f>
        <v>-0.17756283537552653</v>
      </c>
      <c r="J1036" s="5">
        <f>IF(I1036&lt;=PARAMS_MODELO!$B$18,0,IF(I1036&gt;=PARAMS_MODELO!$B$19,100,100*(I1036-PARAMS_MODELO!$B$18)/(PARAMS_MODELO!$B$19-PARAMS_MODELO!$B$18)))*PARAMS_MODELO!$B$9</f>
        <v>0</v>
      </c>
      <c r="K1036" s="5">
        <f>IFERROR(CHOOSE(MATCH(PARAMS_MODELO!$B$2,{"Q1","Q2","Q3"},0),LOTO!$D1036,LOTO!$F1036,LOTO!$H1036),0)</f>
        <v>0</v>
      </c>
      <c r="L1036" s="8">
        <f t="shared" si="386"/>
        <v>0</v>
      </c>
      <c r="M1036" s="5">
        <f>MIN(100,IF(PARAMS_MODELO!$B$23=0,0,100*L1036/PARAMS_MODELO!$B$23))*PARAMS_MODELO!$B$10</f>
        <v>0</v>
      </c>
      <c r="N1036" s="5">
        <f>IFERROR(VLOOKUP(A1036,COMPLIANCE!$A$2:$F$1996,6,0),100)</f>
        <v>100</v>
      </c>
      <c r="O1036" s="5">
        <f>N1036*PARAMS_MODELO!$B$11</f>
        <v>10</v>
      </c>
      <c r="P1036" s="5">
        <f>IFERROR(VLOOKUP(A1036,DIGITAL!$A$2:$J$2000,7,0),100)</f>
        <v>8</v>
      </c>
      <c r="Q1036" s="5">
        <f>IFERROR(P1036,0)*PARAMS_MODELO!$B$12</f>
        <v>0.8</v>
      </c>
      <c r="R1036">
        <f t="shared" si="387"/>
        <v>10.8</v>
      </c>
      <c r="S1036" s="5" t="str">
        <f>IFERROR(VLOOKUP(A1036,CLIENTE!$A$2:$N$2000,13,0),1)</f>
        <v>Malo</v>
      </c>
      <c r="T1036" s="5">
        <f>IFERROR(VLOOKUP(A1036,CLIENTE!$A$2:$N$2000,14,0),1)</f>
        <v>0.7</v>
      </c>
      <c r="U1036" s="5">
        <f t="shared" si="388"/>
        <v>7.56</v>
      </c>
      <c r="V1036" s="5" t="str">
        <f>IF(U1036&gt;=MAX(_xlfn.PERCENTILE.INC($U$2:$U$1194,PARAMS_MODELO!$B$50),PARAMS_MODELO!$B$45),"DIAMANTE",IF(U1036&gt;=MAX(_xlfn.PERCENTILE.INC($U$2:$U$1194,PARAMS_MODELO!$B$51),PARAMS_MODELO!$B$46),"PLATINO",IF(U1036&gt;=MAX(_xlfn.PERCENTILE.INC($U$2:$U$1194,PARAMS_MODELO!$B$52),PARAMS_MODELO!$B$47),"ORO",IF(U1036&gt;=MAX(_xlfn.PERCENTILE.INC($U$2:$U$1194,PARAMS_MODELO!$B$53),PARAMS_MODELO!$B$48),"PLATA",IF(U1036&gt;=1,"BRONCE","CERRADO")))))</f>
        <v>BRONCE</v>
      </c>
      <c r="W1036" s="5" t="str" cm="1">
        <f t="array" ref="W1036">_xlfn.XLOOKUP(1, (HIST_SCORE!$B:$B=PARAMS_MODELO!$B$4) * (HIST_SCORE!$C:$C=A1036), HIST_SCORE!$E:$E, "No encontrado")</f>
        <v>BRONCE</v>
      </c>
      <c r="X1036" s="5" t="str">
        <f>_xlfn.LET(_xlpm.act,MATCH(V1036,{"DIAMANTE";"PLATINO";"ORO";"PLATA";"BRONCE";"CERRADO"},0),_xlpm.ant,MATCH(W1036,{"DIAMANTE";"PLATINO";"ORO";"PLATA";"BRONCE";"CERRADO"},0),IF(_xlpm.act&lt;_xlpm.ant,"Mejora ↑",IF(_xlpm.act&gt;_xlpm.ant,"Baja ↓","Estable →")))</f>
        <v>Estable →</v>
      </c>
      <c r="Y1036" s="5">
        <f>IFERROR(U1036-SUMIFS(HIST_SCORE!$D:$D,HIST_SCORE!$B:$B,PARAMS_MODELO!$B$4,HIST_SCORE!$C:$C,$A1036),"")</f>
        <v>0</v>
      </c>
      <c r="Z1036" s="5" t="str">
        <f t="shared" si="389"/>
        <v>→ Estable</v>
      </c>
      <c r="AA1036" s="5">
        <f t="shared" si="390"/>
        <v>1191</v>
      </c>
      <c r="AB1036" s="5">
        <f>IFERROR(SUMIFS(HIST_SCORE!$F:$F,HIST_SCORE!$B:$B,PARAMS_MODELO!$B$4,HIST_SCORE!$C:$C,$A1036),"")</f>
        <v>1191</v>
      </c>
      <c r="AC1036" s="5">
        <f t="shared" si="391"/>
        <v>0</v>
      </c>
      <c r="AD1036" t="str">
        <f t="shared" si="393"/>
        <v/>
      </c>
      <c r="AE10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1036="CERRADO",1,IF(V1036="BRONCE",_xlpm.cPl,IF(V1036="PLATA",_xlpm.cO,IF(V1036="ORO",_xlpm.cP,IF(V1036="PLATINO",_xlpm.cD,999))))))</f>
        <v>24.506573482968111</v>
      </c>
      <c r="AF10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1036="CERRADO",0,IF(V1036="BRONCE",1,IF(V1036="PLATA",_xlpm.cPl,IF(V1036="ORO",_xlpm.cO,IF(V1036="PLATINO",_xlpm.cP,_xlpm.cD))))))</f>
        <v>1</v>
      </c>
      <c r="AG1036">
        <f t="shared" si="394"/>
        <v>24.209390689954443</v>
      </c>
      <c r="AH1036" t="str">
        <f t="shared" si="395"/>
        <v>VENTAS</v>
      </c>
      <c r="AI1036" t="str">
        <f t="shared" si="392"/>
        <v>🎯 Para subir de categoría, eje VENTAS / CRECIMIENTO PERSONAL (F). Acción: metas semanales + activación comercial + seguimiento del asesor. ΔR aprox: 24,2</v>
      </c>
      <c r="AJ1036" s="26">
        <f>_xlfn.LET(_xlpm.piso,AF1036,_xlpm.corte,AE1036,_xlpm.prog,IF(_xlpm.corte&lt;=_xlpm.piso,0,MAX(0,MIN(1,(U1036-_xlpm.piso)/(_xlpm.corte-_xlpm.piso)))),_xlpm.orden,{"DIAMANTE";"PLATINO";"ORO";"PLATA";"BRONCE";"CERRADO"},_xlpm.act,IFERROR(MATCH(V1036,_xlpm.orden,0),6),_xlpm.ant,IFERROR(MATCH(W1036,_xlpm.orden,0),6),_xlpm.ajmov,IF(_xlpm.act&lt;_xlpm.ant,0.08,IF(_xlpm.act&gt;_xlpm.ant,-0.08,0)),_xlpm.ajcli,IF(T1036&lt;0.95,-0.06,0),_xlpm.prob,MAX(0,MIN(1,_xlpm.prog+_xlpm.ajmov+_xlpm.ajcli)),IF(OR(V1036="DIAMANTE",V1036="CERRADO"),0,ROUND(_xlpm.prob,2)))</f>
        <v>0.22</v>
      </c>
      <c r="AK1036" t="str">
        <f t="shared" si="396"/>
        <v>Faltan 24,2 puntos base para subir a la siguiente categoría</v>
      </c>
      <c r="AL1036" t="str">
        <f t="shared" si="397"/>
        <v>No aplica</v>
      </c>
      <c r="AM1036">
        <f t="shared" si="398"/>
        <v>0.91</v>
      </c>
      <c r="AN1036" t="str">
        <f t="shared" si="399"/>
        <v>PRIORIDAD ALTA – requiere intervención inmediata</v>
      </c>
      <c r="AO1036">
        <f t="shared" si="400"/>
        <v>45.403798492706905</v>
      </c>
      <c r="AP1036">
        <f t="shared" si="401"/>
        <v>10.5</v>
      </c>
      <c r="AQ1036">
        <f t="shared" si="402"/>
        <v>0</v>
      </c>
      <c r="AR1036">
        <f t="shared" si="403"/>
        <v>6.4399999999999995</v>
      </c>
      <c r="AS1036">
        <f t="shared" si="404"/>
        <v>3.2400000000000007</v>
      </c>
      <c r="AT1036" t="str">
        <f t="shared" si="405"/>
        <v>VENTAS</v>
      </c>
      <c r="AU1036">
        <f t="shared" si="406"/>
        <v>45.403798492706905</v>
      </c>
      <c r="AV1036" t="str">
        <f t="shared" si="407"/>
        <v>Mayor retorno probable: VENTAS (+45,4 puntos finales potenciales).</v>
      </c>
    </row>
    <row r="1037" spans="1:48" x14ac:dyDescent="0.3">
      <c r="A1037" s="5">
        <v>51012968</v>
      </c>
      <c r="B1037" s="5" t="str">
        <f>IFERROR(VLOOKUP(A1037,VENTAS!$A$2:$B$1194,2,0),"")</f>
        <v/>
      </c>
      <c r="C1037" s="5">
        <f>IFERROR(INDEX(VENTAS!$C$2:$E$1194,MATCH(A1037,VENTAS!$A$2:$A$1194,0),MATCH(PARAMS_MODELO!$B$2,{"Q1","Q2","Q3"},0)),0)</f>
        <v>34384744.900000013</v>
      </c>
      <c r="D1037" s="5">
        <f>IFERROR(INDEX(VENTAS!$F$2:$H$1194,MATCH(A1037,VENTAS!$A$2:$A$1194,0),MATCH(PARAMS_MODELO!$B$2,{"Q1","Q2","Q3"},0)),0)</f>
        <v>0</v>
      </c>
      <c r="E1037" s="8">
        <f t="shared" si="384"/>
        <v>-1</v>
      </c>
      <c r="F1037" s="12">
        <f>IF(E1037&lt;=PARAMS_MODELO!$B$15,0,IF(E1037&gt;=PARAMS_MODELO!$B$17,100,100*MIN(1,(E1037-PARAMS_MODELO!$B$15)/(PARAMS_MODELO!$B$16-PARAMS_MODELO!$B$15))))*PARAMS_MODELO!$B$7</f>
        <v>0</v>
      </c>
      <c r="G1037" s="5">
        <f t="shared" si="385"/>
        <v>0</v>
      </c>
      <c r="H1037" s="5">
        <f>(PARAMS_MODELO!$B$20*(MAX(0,MIN(3,E1037))/3)+PARAMS_MODELO!$B$21*(IFERROR(LN(1+MAX(0,G1037))/LN(1+MAX(0,MAX($G$2:$G$1194))),0)))*100*PARAMS_MODELO!$B$8</f>
        <v>0</v>
      </c>
      <c r="I1037" s="8">
        <f>E1037-PARAMS_MODELO!$B$5</f>
        <v>-1.1775628353755265</v>
      </c>
      <c r="J1037" s="5">
        <f>IF(I1037&lt;=PARAMS_MODELO!$B$18,0,IF(I1037&gt;=PARAMS_MODELO!$B$19,100,100*(I1037-PARAMS_MODELO!$B$18)/(PARAMS_MODELO!$B$19-PARAMS_MODELO!$B$18)))*PARAMS_MODELO!$B$9</f>
        <v>0</v>
      </c>
      <c r="K1037" s="5">
        <f>IFERROR(CHOOSE(MATCH(PARAMS_MODELO!$B$2,{"Q1","Q2","Q3"},0),LOTO!$D1037,LOTO!$F1037,LOTO!$H1037),0)</f>
        <v>0</v>
      </c>
      <c r="L1037" s="8">
        <f t="shared" si="386"/>
        <v>0</v>
      </c>
      <c r="M1037" s="5">
        <f>MIN(100,IF(PARAMS_MODELO!$B$23=0,0,100*L1037/PARAMS_MODELO!$B$23))*PARAMS_MODELO!$B$10</f>
        <v>0</v>
      </c>
      <c r="N1037" s="5">
        <f>IFERROR(VLOOKUP(A1037,COMPLIANCE!$A$2:$F$1996,6,0),100)</f>
        <v>100</v>
      </c>
      <c r="O1037" s="5">
        <f>N1037*PARAMS_MODELO!$B$11</f>
        <v>10</v>
      </c>
      <c r="P1037" s="5">
        <f>IFERROR(VLOOKUP(A1037,DIGITAL!$A$2:$J$2000,7,0),100)</f>
        <v>62</v>
      </c>
      <c r="Q1037" s="5">
        <f>IFERROR(P1037,0)*PARAMS_MODELO!$B$12</f>
        <v>6.2</v>
      </c>
      <c r="R1037">
        <f t="shared" si="387"/>
        <v>16.2</v>
      </c>
      <c r="S1037" s="5" t="str">
        <f>IFERROR(VLOOKUP(A1037,CLIENTE!$A$2:$N$2000,13,0),1)</f>
        <v>Muy Bueno</v>
      </c>
      <c r="T1037" s="5">
        <f>IFERROR(VLOOKUP(A1037,CLIENTE!$A$2:$N$2000,14,0),1)</f>
        <v>1.1499999999999999</v>
      </c>
      <c r="U1037" s="5">
        <f t="shared" si="388"/>
        <v>18.63</v>
      </c>
      <c r="V1037" s="5" t="str">
        <f>IF(U1037&gt;=MAX(_xlfn.PERCENTILE.INC($U$2:$U$1194,PARAMS_MODELO!$B$50),PARAMS_MODELO!$B$45),"DIAMANTE",IF(U1037&gt;=MAX(_xlfn.PERCENTILE.INC($U$2:$U$1194,PARAMS_MODELO!$B$51),PARAMS_MODELO!$B$46),"PLATINO",IF(U1037&gt;=MAX(_xlfn.PERCENTILE.INC($U$2:$U$1194,PARAMS_MODELO!$B$52),PARAMS_MODELO!$B$47),"ORO",IF(U1037&gt;=MAX(_xlfn.PERCENTILE.INC($U$2:$U$1194,PARAMS_MODELO!$B$53),PARAMS_MODELO!$B$48),"PLATA",IF(U1037&gt;=1,"BRONCE","CERRADO")))))</f>
        <v>BRONCE</v>
      </c>
      <c r="W1037" s="5" t="str" cm="1">
        <f t="array" ref="W1037">_xlfn.XLOOKUP(1, (HIST_SCORE!$B:$B=PARAMS_MODELO!$B$4) * (HIST_SCORE!$C:$C=A1037), HIST_SCORE!$E:$E, "No encontrado")</f>
        <v>BRONCE</v>
      </c>
      <c r="X1037" s="5" t="str">
        <f>_xlfn.LET(_xlpm.act,MATCH(V1037,{"DIAMANTE";"PLATINO";"ORO";"PLATA";"BRONCE";"CERRADO"},0),_xlpm.ant,MATCH(W1037,{"DIAMANTE";"PLATINO";"ORO";"PLATA";"BRONCE";"CERRADO"},0),IF(_xlpm.act&lt;_xlpm.ant,"Mejora ↑",IF(_xlpm.act&gt;_xlpm.ant,"Baja ↓","Estable →")))</f>
        <v>Estable →</v>
      </c>
      <c r="Y1037" s="5">
        <f>IFERROR(U1037-SUMIFS(HIST_SCORE!$D:$D,HIST_SCORE!$B:$B,PARAMS_MODELO!$B$4,HIST_SCORE!$C:$C,$A1037),"")</f>
        <v>0</v>
      </c>
      <c r="Z1037" s="5" t="str">
        <f t="shared" si="389"/>
        <v>→ Estable</v>
      </c>
      <c r="AA1037" s="5">
        <f t="shared" si="390"/>
        <v>1014</v>
      </c>
      <c r="AB1037" s="5">
        <f>IFERROR(SUMIFS(HIST_SCORE!$F:$F,HIST_SCORE!$B:$B,PARAMS_MODELO!$B$4,HIST_SCORE!$C:$C,$A1037),"")</f>
        <v>1018</v>
      </c>
      <c r="AC1037" s="5">
        <f t="shared" si="391"/>
        <v>4</v>
      </c>
      <c r="AD1037" t="str">
        <f t="shared" si="393"/>
        <v/>
      </c>
      <c r="AE10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1037="CERRADO",1,IF(V1037="BRONCE",_xlpm.cPl,IF(V1037="PLATA",_xlpm.cO,IF(V1037="ORO",_xlpm.cP,IF(V1037="PLATINO",_xlpm.cD,999))))))</f>
        <v>24.506573482968111</v>
      </c>
      <c r="AF10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1037="CERRADO",0,IF(V1037="BRONCE",1,IF(V1037="PLATA",_xlpm.cPl,IF(V1037="ORO",_xlpm.cO,IF(V1037="PLATINO",_xlpm.cP,_xlpm.cD))))))</f>
        <v>1</v>
      </c>
      <c r="AG1037">
        <f t="shared" si="394"/>
        <v>5.1100638982331432</v>
      </c>
      <c r="AH1037" t="str">
        <f t="shared" si="395"/>
        <v>VENTAS</v>
      </c>
      <c r="AI1037" t="str">
        <f t="shared" si="392"/>
        <v>🎯 Para subir de categoría, eje VENTAS / CRECIMIENTO PERSONAL (F). Acción: metas semanales + activación comercial + seguimiento del asesor. ΔR aprox: 5,1</v>
      </c>
      <c r="AJ1037" s="26">
        <f>_xlfn.LET(_xlpm.piso,AF1037,_xlpm.corte,AE1037,_xlpm.prog,IF(_xlpm.corte&lt;=_xlpm.piso,0,MAX(0,MIN(1,(U1037-_xlpm.piso)/(_xlpm.corte-_xlpm.piso)))),_xlpm.orden,{"DIAMANTE";"PLATINO";"ORO";"PLATA";"BRONCE";"CERRADO"},_xlpm.act,IFERROR(MATCH(V1037,_xlpm.orden,0),6),_xlpm.ant,IFERROR(MATCH(W1037,_xlpm.orden,0),6),_xlpm.ajmov,IF(_xlpm.act&lt;_xlpm.ant,0.08,IF(_xlpm.act&gt;_xlpm.ant,-0.08,0)),_xlpm.ajcli,IF(T1037&lt;0.95,-0.06,0),_xlpm.prob,MAX(0,MIN(1,_xlpm.prog+_xlpm.ajmov+_xlpm.ajcli)),IF(OR(V1037="DIAMANTE",V1037="CERRADO"),0,ROUND(_xlpm.prob,2)))</f>
        <v>0.75</v>
      </c>
      <c r="AK1037" t="str">
        <f t="shared" si="396"/>
        <v>Faltan 5,1 puntos base para subir a la siguiente categoría</v>
      </c>
      <c r="AL1037" t="str">
        <f t="shared" si="397"/>
        <v>No aplica</v>
      </c>
      <c r="AM1037">
        <f t="shared" si="398"/>
        <v>0.3</v>
      </c>
      <c r="AN1037" t="str">
        <f t="shared" si="399"/>
        <v>PRIORIDAD BAJA – control normal</v>
      </c>
      <c r="AO1037">
        <f t="shared" si="400"/>
        <v>74.591954666589913</v>
      </c>
      <c r="AP1037">
        <f t="shared" si="401"/>
        <v>17.25</v>
      </c>
      <c r="AQ1037">
        <f t="shared" si="402"/>
        <v>0</v>
      </c>
      <c r="AR1037">
        <f t="shared" si="403"/>
        <v>4.3699999999999992</v>
      </c>
      <c r="AS1037">
        <f t="shared" si="404"/>
        <v>0</v>
      </c>
      <c r="AT1037" t="str">
        <f t="shared" si="405"/>
        <v>VENTAS</v>
      </c>
      <c r="AU1037">
        <f t="shared" si="406"/>
        <v>74.591954666589913</v>
      </c>
      <c r="AV1037" t="str">
        <f t="shared" si="407"/>
        <v>Mayor retorno probable: VENTAS (+74,6 puntos finales potenciales).</v>
      </c>
    </row>
    <row r="1038" spans="1:48" x14ac:dyDescent="0.3">
      <c r="A1038" s="5">
        <v>51013042</v>
      </c>
      <c r="B1038" s="5" t="str">
        <f>IFERROR(VLOOKUP(A1038,VENTAS!$A$2:$B$1194,2,0),"")</f>
        <v/>
      </c>
      <c r="C1038" s="5">
        <f>IFERROR(INDEX(VENTAS!$C$2:$E$1194,MATCH(A1038,VENTAS!$A$2:$A$1194,0),MATCH(PARAMS_MODELO!$B$2,{"Q1","Q2","Q3"},0)),0)</f>
        <v>5352754.76</v>
      </c>
      <c r="D1038" s="5">
        <f>IFERROR(INDEX(VENTAS!$F$2:$H$1194,MATCH(A1038,VENTAS!$A$2:$A$1194,0),MATCH(PARAMS_MODELO!$B$2,{"Q1","Q2","Q3"},0)),0)</f>
        <v>0</v>
      </c>
      <c r="E1038" s="8">
        <f t="shared" si="384"/>
        <v>-1</v>
      </c>
      <c r="F1038" s="12">
        <f>IF(E1038&lt;=PARAMS_MODELO!$B$15,0,IF(E1038&gt;=PARAMS_MODELO!$B$17,100,100*MIN(1,(E1038-PARAMS_MODELO!$B$15)/(PARAMS_MODELO!$B$16-PARAMS_MODELO!$B$15))))*PARAMS_MODELO!$B$7</f>
        <v>0</v>
      </c>
      <c r="G1038" s="5">
        <f t="shared" si="385"/>
        <v>0</v>
      </c>
      <c r="H1038" s="5">
        <f>(PARAMS_MODELO!$B$20*(MAX(0,MIN(3,E1038))/3)+PARAMS_MODELO!$B$21*(IFERROR(LN(1+MAX(0,G1038))/LN(1+MAX(0,MAX($G$2:$G$1194))),0)))*100*PARAMS_MODELO!$B$8</f>
        <v>0</v>
      </c>
      <c r="I1038" s="8">
        <f>E1038-PARAMS_MODELO!$B$5</f>
        <v>-1.1775628353755265</v>
      </c>
      <c r="J1038" s="5">
        <f>IF(I1038&lt;=PARAMS_MODELO!$B$18,0,IF(I1038&gt;=PARAMS_MODELO!$B$19,100,100*(I1038-PARAMS_MODELO!$B$18)/(PARAMS_MODELO!$B$19-PARAMS_MODELO!$B$18)))*PARAMS_MODELO!$B$9</f>
        <v>0</v>
      </c>
      <c r="K1038" s="5">
        <f>IFERROR(CHOOSE(MATCH(PARAMS_MODELO!$B$2,{"Q1","Q2","Q3"},0),LOTO!$D1038,LOTO!$F1038,LOTO!$H1038),0)</f>
        <v>0</v>
      </c>
      <c r="L1038" s="8">
        <f t="shared" si="386"/>
        <v>0</v>
      </c>
      <c r="M1038" s="5">
        <f>MIN(100,IF(PARAMS_MODELO!$B$23=0,0,100*L1038/PARAMS_MODELO!$B$23))*PARAMS_MODELO!$B$10</f>
        <v>0</v>
      </c>
      <c r="N1038" s="5">
        <f>IFERROR(VLOOKUP(A1038,COMPLIANCE!$A$2:$F$1996,6,0),100)</f>
        <v>99.83</v>
      </c>
      <c r="O1038" s="5">
        <f>N1038*PARAMS_MODELO!$B$11</f>
        <v>9.9830000000000005</v>
      </c>
      <c r="P1038" s="5">
        <f>IFERROR(VLOOKUP(A1038,DIGITAL!$A$2:$J$2000,7,0),100)</f>
        <v>57</v>
      </c>
      <c r="Q1038" s="5">
        <f>IFERROR(P1038,0)*PARAMS_MODELO!$B$12</f>
        <v>5.7</v>
      </c>
      <c r="R1038">
        <f t="shared" si="387"/>
        <v>15.683</v>
      </c>
      <c r="S1038" s="5" t="str">
        <f>IFERROR(VLOOKUP(A1038,CLIENTE!$A$2:$N$2000,13,0),1)</f>
        <v>Regular</v>
      </c>
      <c r="T1038" s="5">
        <f>IFERROR(VLOOKUP(A1038,CLIENTE!$A$2:$N$2000,14,0),1)</f>
        <v>1</v>
      </c>
      <c r="U1038" s="5">
        <f t="shared" si="388"/>
        <v>15.683</v>
      </c>
      <c r="V1038" s="5" t="str">
        <f>IF(U1038&gt;=MAX(_xlfn.PERCENTILE.INC($U$2:$U$1194,PARAMS_MODELO!$B$50),PARAMS_MODELO!$B$45),"DIAMANTE",IF(U1038&gt;=MAX(_xlfn.PERCENTILE.INC($U$2:$U$1194,PARAMS_MODELO!$B$51),PARAMS_MODELO!$B$46),"PLATINO",IF(U1038&gt;=MAX(_xlfn.PERCENTILE.INC($U$2:$U$1194,PARAMS_MODELO!$B$52),PARAMS_MODELO!$B$47),"ORO",IF(U1038&gt;=MAX(_xlfn.PERCENTILE.INC($U$2:$U$1194,PARAMS_MODELO!$B$53),PARAMS_MODELO!$B$48),"PLATA",IF(U1038&gt;=1,"BRONCE","CERRADO")))))</f>
        <v>BRONCE</v>
      </c>
      <c r="W1038" s="5" t="str" cm="1">
        <f t="array" ref="W1038">_xlfn.XLOOKUP(1, (HIST_SCORE!$B:$B=PARAMS_MODELO!$B$4) * (HIST_SCORE!$C:$C=A1038), HIST_SCORE!$E:$E, "No encontrado")</f>
        <v>BRONCE</v>
      </c>
      <c r="X1038" s="5" t="str">
        <f>_xlfn.LET(_xlpm.act,MATCH(V1038,{"DIAMANTE";"PLATINO";"ORO";"PLATA";"BRONCE";"CERRADO"},0),_xlpm.ant,MATCH(W1038,{"DIAMANTE";"PLATINO";"ORO";"PLATA";"BRONCE";"CERRADO"},0),IF(_xlpm.act&lt;_xlpm.ant,"Mejora ↑",IF(_xlpm.act&gt;_xlpm.ant,"Baja ↓","Estable →")))</f>
        <v>Estable →</v>
      </c>
      <c r="Y1038" s="5">
        <f>IFERROR(U1038-SUMIFS(HIST_SCORE!$D:$D,HIST_SCORE!$B:$B,PARAMS_MODELO!$B$4,HIST_SCORE!$C:$C,$A1038),"")</f>
        <v>0</v>
      </c>
      <c r="Z1038" s="5" t="str">
        <f t="shared" si="389"/>
        <v>→ Estable</v>
      </c>
      <c r="AA1038" s="5">
        <f t="shared" si="390"/>
        <v>1071</v>
      </c>
      <c r="AB1038" s="5">
        <f>IFERROR(SUMIFS(HIST_SCORE!$F:$F,HIST_SCORE!$B:$B,PARAMS_MODELO!$B$4,HIST_SCORE!$C:$C,$A1038),"")</f>
        <v>1067</v>
      </c>
      <c r="AC1038" s="5">
        <f t="shared" si="391"/>
        <v>-4</v>
      </c>
      <c r="AD1038" t="str">
        <f t="shared" si="393"/>
        <v/>
      </c>
      <c r="AE10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1038="CERRADO",1,IF(V1038="BRONCE",_xlpm.cPl,IF(V1038="PLATA",_xlpm.cO,IF(V1038="ORO",_xlpm.cP,IF(V1038="PLATINO",_xlpm.cD,999))))))</f>
        <v>24.506573482968111</v>
      </c>
      <c r="AF10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1038="CERRADO",0,IF(V1038="BRONCE",1,IF(V1038="PLATA",_xlpm.cPl,IF(V1038="ORO",_xlpm.cO,IF(V1038="PLATINO",_xlpm.cP,_xlpm.cD))))))</f>
        <v>1</v>
      </c>
      <c r="AG1038">
        <f t="shared" si="394"/>
        <v>8.8235734829681114</v>
      </c>
      <c r="AH1038" t="str">
        <f t="shared" si="395"/>
        <v>VENTAS</v>
      </c>
      <c r="AI1038" t="str">
        <f t="shared" si="392"/>
        <v>🎯 Para subir de categoría, eje VENTAS / CRECIMIENTO PERSONAL (F). Acción: metas semanales + activación comercial + seguimiento del asesor. ΔR aprox: 8,8</v>
      </c>
      <c r="AJ1038" s="26">
        <f>_xlfn.LET(_xlpm.piso,AF1038,_xlpm.corte,AE1038,_xlpm.prog,IF(_xlpm.corte&lt;=_xlpm.piso,0,MAX(0,MIN(1,(U1038-_xlpm.piso)/(_xlpm.corte-_xlpm.piso)))),_xlpm.orden,{"DIAMANTE";"PLATINO";"ORO";"PLATA";"BRONCE";"CERRADO"},_xlpm.act,IFERROR(MATCH(V1038,_xlpm.orden,0),6),_xlpm.ant,IFERROR(MATCH(W1038,_xlpm.orden,0),6),_xlpm.ajmov,IF(_xlpm.act&lt;_xlpm.ant,0.08,IF(_xlpm.act&gt;_xlpm.ant,-0.08,0)),_xlpm.ajcli,IF(T1038&lt;0.95,-0.06,0),_xlpm.prob,MAX(0,MIN(1,_xlpm.prog+_xlpm.ajmov+_xlpm.ajcli)),IF(OR(V1038="DIAMANTE",V1038="CERRADO"),0,ROUND(_xlpm.prob,2)))</f>
        <v>0.62</v>
      </c>
      <c r="AK1038" t="str">
        <f t="shared" si="396"/>
        <v>Faltan 8,8 puntos base para subir a la siguiente categoría</v>
      </c>
      <c r="AL1038" t="str">
        <f t="shared" si="397"/>
        <v>No aplica</v>
      </c>
      <c r="AM1038">
        <f t="shared" si="398"/>
        <v>0.5</v>
      </c>
      <c r="AN1038" t="str">
        <f t="shared" si="399"/>
        <v>PRIORIDAD MEDIA – seguimiento del asesor</v>
      </c>
      <c r="AO1038">
        <f t="shared" si="400"/>
        <v>64.862569275295584</v>
      </c>
      <c r="AP1038">
        <f t="shared" si="401"/>
        <v>15</v>
      </c>
      <c r="AQ1038">
        <f t="shared" si="402"/>
        <v>1.699999999999946E-2</v>
      </c>
      <c r="AR1038">
        <f t="shared" si="403"/>
        <v>4.3</v>
      </c>
      <c r="AS1038">
        <f t="shared" si="404"/>
        <v>0</v>
      </c>
      <c r="AT1038" t="str">
        <f t="shared" si="405"/>
        <v>VENTAS</v>
      </c>
      <c r="AU1038">
        <f t="shared" si="406"/>
        <v>64.862569275295584</v>
      </c>
      <c r="AV1038" t="str">
        <f t="shared" si="407"/>
        <v>Mayor retorno probable: VENTAS (+64,9 puntos finales potenciales).</v>
      </c>
    </row>
    <row r="1039" spans="1:48" x14ac:dyDescent="0.3">
      <c r="A1039" s="5">
        <v>51013123</v>
      </c>
      <c r="B1039" s="5" t="str">
        <f>IFERROR(VLOOKUP(A1039,VENTAS!$A$2:$B$1194,2,0),"")</f>
        <v/>
      </c>
      <c r="C1039" s="5">
        <f>IFERROR(INDEX(VENTAS!$C$2:$E$1194,MATCH(A1039,VENTAS!$A$2:$A$1194,0),MATCH(PARAMS_MODELO!$B$2,{"Q1","Q2","Q3"},0)),0)</f>
        <v>62676704.640000001</v>
      </c>
      <c r="D1039" s="5">
        <f>IFERROR(INDEX(VENTAS!$F$2:$H$1194,MATCH(A1039,VENTAS!$A$2:$A$1194,0),MATCH(PARAMS_MODELO!$B$2,{"Q1","Q2","Q3"},0)),0)</f>
        <v>0</v>
      </c>
      <c r="E1039" s="8">
        <f t="shared" si="384"/>
        <v>-1</v>
      </c>
      <c r="F1039" s="12">
        <f>IF(E1039&lt;=PARAMS_MODELO!$B$15,0,IF(E1039&gt;=PARAMS_MODELO!$B$17,100,100*MIN(1,(E1039-PARAMS_MODELO!$B$15)/(PARAMS_MODELO!$B$16-PARAMS_MODELO!$B$15))))*PARAMS_MODELO!$B$7</f>
        <v>0</v>
      </c>
      <c r="G1039" s="5">
        <f t="shared" si="385"/>
        <v>0</v>
      </c>
      <c r="H1039" s="5">
        <f>(PARAMS_MODELO!$B$20*(MAX(0,MIN(3,E1039))/3)+PARAMS_MODELO!$B$21*(IFERROR(LN(1+MAX(0,G1039))/LN(1+MAX(0,MAX($G$2:$G$1194))),0)))*100*PARAMS_MODELO!$B$8</f>
        <v>0</v>
      </c>
      <c r="I1039" s="8">
        <f>E1039-PARAMS_MODELO!$B$5</f>
        <v>-1.1775628353755265</v>
      </c>
      <c r="J1039" s="5">
        <f>IF(I1039&lt;=PARAMS_MODELO!$B$18,0,IF(I1039&gt;=PARAMS_MODELO!$B$19,100,100*(I1039-PARAMS_MODELO!$B$18)/(PARAMS_MODELO!$B$19-PARAMS_MODELO!$B$18)))*PARAMS_MODELO!$B$9</f>
        <v>0</v>
      </c>
      <c r="K1039" s="5">
        <f>IFERROR(CHOOSE(MATCH(PARAMS_MODELO!$B$2,{"Q1","Q2","Q3"},0),LOTO!$D1039,LOTO!$F1039,LOTO!$H1039),0)</f>
        <v>0</v>
      </c>
      <c r="L1039" s="8">
        <f t="shared" si="386"/>
        <v>0</v>
      </c>
      <c r="M1039" s="5">
        <f>MIN(100,IF(PARAMS_MODELO!$B$23=0,0,100*L1039/PARAMS_MODELO!$B$23))*PARAMS_MODELO!$B$10</f>
        <v>0</v>
      </c>
      <c r="N1039" s="5">
        <f>IFERROR(VLOOKUP(A1039,COMPLIANCE!$A$2:$F$1996,6,0),100)</f>
        <v>100</v>
      </c>
      <c r="O1039" s="5">
        <f>N1039*PARAMS_MODELO!$B$11</f>
        <v>10</v>
      </c>
      <c r="P1039" s="5">
        <f>IFERROR(VLOOKUP(A1039,DIGITAL!$A$2:$J$2000,7,0),100)</f>
        <v>10</v>
      </c>
      <c r="Q1039" s="5">
        <f>IFERROR(P1039,0)*PARAMS_MODELO!$B$12</f>
        <v>1</v>
      </c>
      <c r="R1039">
        <f t="shared" si="387"/>
        <v>11</v>
      </c>
      <c r="S1039" s="5" t="str">
        <f>IFERROR(VLOOKUP(A1039,CLIENTE!$A$2:$N$2000,13,0),1)</f>
        <v>Regular</v>
      </c>
      <c r="T1039" s="5">
        <f>IFERROR(VLOOKUP(A1039,CLIENTE!$A$2:$N$2000,14,0),1)</f>
        <v>1</v>
      </c>
      <c r="U1039" s="5">
        <f t="shared" si="388"/>
        <v>11</v>
      </c>
      <c r="V1039" s="5" t="str">
        <f>IF(U1039&gt;=MAX(_xlfn.PERCENTILE.INC($U$2:$U$1194,PARAMS_MODELO!$B$50),PARAMS_MODELO!$B$45),"DIAMANTE",IF(U1039&gt;=MAX(_xlfn.PERCENTILE.INC($U$2:$U$1194,PARAMS_MODELO!$B$51),PARAMS_MODELO!$B$46),"PLATINO",IF(U1039&gt;=MAX(_xlfn.PERCENTILE.INC($U$2:$U$1194,PARAMS_MODELO!$B$52),PARAMS_MODELO!$B$47),"ORO",IF(U1039&gt;=MAX(_xlfn.PERCENTILE.INC($U$2:$U$1194,PARAMS_MODELO!$B$53),PARAMS_MODELO!$B$48),"PLATA",IF(U1039&gt;=1,"BRONCE","CERRADO")))))</f>
        <v>BRONCE</v>
      </c>
      <c r="W1039" s="5" t="str" cm="1">
        <f t="array" ref="W1039">_xlfn.XLOOKUP(1, (HIST_SCORE!$B:$B=PARAMS_MODELO!$B$4) * (HIST_SCORE!$C:$C=A1039), HIST_SCORE!$E:$E, "No encontrado")</f>
        <v>BRONCE</v>
      </c>
      <c r="X1039" s="5" t="str">
        <f>_xlfn.LET(_xlpm.act,MATCH(V1039,{"DIAMANTE";"PLATINO";"ORO";"PLATA";"BRONCE";"CERRADO"},0),_xlpm.ant,MATCH(W1039,{"DIAMANTE";"PLATINO";"ORO";"PLATA";"BRONCE";"CERRADO"},0),IF(_xlpm.act&lt;_xlpm.ant,"Mejora ↑",IF(_xlpm.act&gt;_xlpm.ant,"Baja ↓","Estable →")))</f>
        <v>Estable →</v>
      </c>
      <c r="Y1039" s="5">
        <f>IFERROR(U1039-SUMIFS(HIST_SCORE!$D:$D,HIST_SCORE!$B:$B,PARAMS_MODELO!$B$4,HIST_SCORE!$C:$C,$A1039),"")</f>
        <v>0</v>
      </c>
      <c r="Z1039" s="5" t="str">
        <f t="shared" si="389"/>
        <v>→ Estable</v>
      </c>
      <c r="AA1039" s="5">
        <f t="shared" si="390"/>
        <v>1144</v>
      </c>
      <c r="AB1039" s="5">
        <f>IFERROR(SUMIFS(HIST_SCORE!$F:$F,HIST_SCORE!$B:$B,PARAMS_MODELO!$B$4,HIST_SCORE!$C:$C,$A1039),"")</f>
        <v>1142</v>
      </c>
      <c r="AC1039" s="5">
        <f t="shared" si="391"/>
        <v>-2</v>
      </c>
      <c r="AD1039" t="str">
        <f t="shared" si="393"/>
        <v/>
      </c>
      <c r="AE10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1039="CERRADO",1,IF(V1039="BRONCE",_xlpm.cPl,IF(V1039="PLATA",_xlpm.cO,IF(V1039="ORO",_xlpm.cP,IF(V1039="PLATINO",_xlpm.cD,999))))))</f>
        <v>24.506573482968111</v>
      </c>
      <c r="AF10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1039="CERRADO",0,IF(V1039="BRONCE",1,IF(V1039="PLATA",_xlpm.cPl,IF(V1039="ORO",_xlpm.cO,IF(V1039="PLATINO",_xlpm.cP,_xlpm.cD))))))</f>
        <v>1</v>
      </c>
      <c r="AG1039">
        <f t="shared" si="394"/>
        <v>13.506573482968111</v>
      </c>
      <c r="AH1039" t="str">
        <f t="shared" si="395"/>
        <v>VENTAS</v>
      </c>
      <c r="AI1039" t="str">
        <f t="shared" si="392"/>
        <v>🎯 Para subir de categoría, eje VENTAS / CRECIMIENTO PERSONAL (F). Acción: metas semanales + activación comercial + seguimiento del asesor. ΔR aprox: 13,5</v>
      </c>
      <c r="AJ1039" s="26">
        <f>_xlfn.LET(_xlpm.piso,AF1039,_xlpm.corte,AE1039,_xlpm.prog,IF(_xlpm.corte&lt;=_xlpm.piso,0,MAX(0,MIN(1,(U1039-_xlpm.piso)/(_xlpm.corte-_xlpm.piso)))),_xlpm.orden,{"DIAMANTE";"PLATINO";"ORO";"PLATA";"BRONCE";"CERRADO"},_xlpm.act,IFERROR(MATCH(V1039,_xlpm.orden,0),6),_xlpm.ant,IFERROR(MATCH(W1039,_xlpm.orden,0),6),_xlpm.ajmov,IF(_xlpm.act&lt;_xlpm.ant,0.08,IF(_xlpm.act&gt;_xlpm.ant,-0.08,0)),_xlpm.ajcli,IF(T1039&lt;0.95,-0.06,0),_xlpm.prob,MAX(0,MIN(1,_xlpm.prog+_xlpm.ajmov+_xlpm.ajcli)),IF(OR(V1039="DIAMANTE",V1039="CERRADO"),0,ROUND(_xlpm.prob,2)))</f>
        <v>0.43</v>
      </c>
      <c r="AK1039" t="str">
        <f t="shared" si="396"/>
        <v>Faltan 13,5 puntos base para subir a la siguiente categoría</v>
      </c>
      <c r="AL1039" t="str">
        <f t="shared" si="397"/>
        <v>No aplica</v>
      </c>
      <c r="AM1039">
        <f t="shared" si="398"/>
        <v>0.63</v>
      </c>
      <c r="AN1039" t="str">
        <f t="shared" si="399"/>
        <v>PRIORIDAD MEDIA – seguimiento del asesor</v>
      </c>
      <c r="AO1039">
        <f t="shared" si="400"/>
        <v>64.862569275295584</v>
      </c>
      <c r="AP1039">
        <f t="shared" si="401"/>
        <v>15</v>
      </c>
      <c r="AQ1039">
        <f t="shared" si="402"/>
        <v>0</v>
      </c>
      <c r="AR1039">
        <f t="shared" si="403"/>
        <v>9</v>
      </c>
      <c r="AS1039">
        <f t="shared" si="404"/>
        <v>0</v>
      </c>
      <c r="AT1039" t="str">
        <f t="shared" si="405"/>
        <v>VENTAS</v>
      </c>
      <c r="AU1039">
        <f t="shared" si="406"/>
        <v>64.862569275295584</v>
      </c>
      <c r="AV1039" t="str">
        <f t="shared" si="407"/>
        <v>Mayor retorno probable: VENTAS (+64,9 puntos finales potenciales).</v>
      </c>
    </row>
    <row r="1040" spans="1:48" x14ac:dyDescent="0.3">
      <c r="A1040" s="5">
        <v>51013174</v>
      </c>
      <c r="B1040" s="5" t="str">
        <f>IFERROR(VLOOKUP(A1040,VENTAS!$A$2:$B$1194,2,0),"")</f>
        <v/>
      </c>
      <c r="C1040" s="5">
        <f>IFERROR(INDEX(VENTAS!$C$2:$E$1194,MATCH(A1040,VENTAS!$A$2:$A$1194,0),MATCH(PARAMS_MODELO!$B$2,{"Q1","Q2","Q3"},0)),0)</f>
        <v>0</v>
      </c>
      <c r="D1040" s="5">
        <f>IFERROR(INDEX(VENTAS!$F$2:$H$1194,MATCH(A1040,VENTAS!$A$2:$A$1194,0),MATCH(PARAMS_MODELO!$B$2,{"Q1","Q2","Q3"},0)),0)</f>
        <v>0</v>
      </c>
      <c r="E1040" s="8">
        <f t="shared" si="384"/>
        <v>0</v>
      </c>
      <c r="F1040" s="12">
        <f>IF(E1040&lt;=PARAMS_MODELO!$B$15,0,IF(E1040&gt;=PARAMS_MODELO!$B$17,100,100*MIN(1,(E1040-PARAMS_MODELO!$B$15)/(PARAMS_MODELO!$B$16-PARAMS_MODELO!$B$15))))*PARAMS_MODELO!$B$7</f>
        <v>0</v>
      </c>
      <c r="G1040" s="5">
        <f t="shared" si="385"/>
        <v>0</v>
      </c>
      <c r="H1040" s="5">
        <f>(PARAMS_MODELO!$B$20*(MAX(0,MIN(3,E1040))/3)+PARAMS_MODELO!$B$21*(IFERROR(LN(1+MAX(0,G1040))/LN(1+MAX(0,MAX($G$2:$G$1194))),0)))*100*PARAMS_MODELO!$B$8</f>
        <v>0</v>
      </c>
      <c r="I1040" s="8">
        <f>E1040-PARAMS_MODELO!$B$5</f>
        <v>-0.17756283537552653</v>
      </c>
      <c r="J1040" s="5">
        <f>IF(I1040&lt;=PARAMS_MODELO!$B$18,0,IF(I1040&gt;=PARAMS_MODELO!$B$19,100,100*(I1040-PARAMS_MODELO!$B$18)/(PARAMS_MODELO!$B$19-PARAMS_MODELO!$B$18)))*PARAMS_MODELO!$B$9</f>
        <v>0</v>
      </c>
      <c r="K1040" s="5">
        <f>IFERROR(CHOOSE(MATCH(PARAMS_MODELO!$B$2,{"Q1","Q2","Q3"},0),LOTO!$D1040,LOTO!$F1040,LOTO!$H1040),0)</f>
        <v>0</v>
      </c>
      <c r="L1040" s="8">
        <f t="shared" si="386"/>
        <v>0</v>
      </c>
      <c r="M1040" s="5">
        <f>MIN(100,IF(PARAMS_MODELO!$B$23=0,0,100*L1040/PARAMS_MODELO!$B$23))*PARAMS_MODELO!$B$10</f>
        <v>0</v>
      </c>
      <c r="N1040" s="5">
        <f>IFERROR(VLOOKUP(A1040,COMPLIANCE!$A$2:$F$1996,6,0),100)</f>
        <v>100</v>
      </c>
      <c r="O1040" s="5">
        <f>N1040*PARAMS_MODELO!$B$11</f>
        <v>10</v>
      </c>
      <c r="P1040" s="5">
        <f>IFERROR(VLOOKUP(A1040,DIGITAL!$A$2:$J$2000,7,0),100)</f>
        <v>26</v>
      </c>
      <c r="Q1040" s="5">
        <f>IFERROR(P1040,0)*PARAMS_MODELO!$B$12</f>
        <v>2.6</v>
      </c>
      <c r="R1040">
        <f t="shared" si="387"/>
        <v>12.6</v>
      </c>
      <c r="S1040" s="5" t="str">
        <f>IFERROR(VLOOKUP(A1040,CLIENTE!$A$2:$N$2000,13,0),1)</f>
        <v>Muy Bueno</v>
      </c>
      <c r="T1040" s="5">
        <f>IFERROR(VLOOKUP(A1040,CLIENTE!$A$2:$N$2000,14,0),1)</f>
        <v>1.1499999999999999</v>
      </c>
      <c r="U1040" s="5">
        <f t="shared" si="388"/>
        <v>14.489999999999998</v>
      </c>
      <c r="V1040" s="5" t="str">
        <f>IF(U1040&gt;=MAX(_xlfn.PERCENTILE.INC($U$2:$U$1194,PARAMS_MODELO!$B$50),PARAMS_MODELO!$B$45),"DIAMANTE",IF(U1040&gt;=MAX(_xlfn.PERCENTILE.INC($U$2:$U$1194,PARAMS_MODELO!$B$51),PARAMS_MODELO!$B$46),"PLATINO",IF(U1040&gt;=MAX(_xlfn.PERCENTILE.INC($U$2:$U$1194,PARAMS_MODELO!$B$52),PARAMS_MODELO!$B$47),"ORO",IF(U1040&gt;=MAX(_xlfn.PERCENTILE.INC($U$2:$U$1194,PARAMS_MODELO!$B$53),PARAMS_MODELO!$B$48),"PLATA",IF(U1040&gt;=1,"BRONCE","CERRADO")))))</f>
        <v>BRONCE</v>
      </c>
      <c r="W1040" s="5" t="str" cm="1">
        <f t="array" ref="W1040">_xlfn.XLOOKUP(1, (HIST_SCORE!$B:$B=PARAMS_MODELO!$B$4) * (HIST_SCORE!$C:$C=A1040), HIST_SCORE!$E:$E, "No encontrado")</f>
        <v>BRONCE</v>
      </c>
      <c r="X1040" s="5" t="str">
        <f>_xlfn.LET(_xlpm.act,MATCH(V1040,{"DIAMANTE";"PLATINO";"ORO";"PLATA";"BRONCE";"CERRADO"},0),_xlpm.ant,MATCH(W1040,{"DIAMANTE";"PLATINO";"ORO";"PLATA";"BRONCE";"CERRADO"},0),IF(_xlpm.act&lt;_xlpm.ant,"Mejora ↑",IF(_xlpm.act&gt;_xlpm.ant,"Baja ↓","Estable →")))</f>
        <v>Estable →</v>
      </c>
      <c r="Y1040" s="5">
        <f>IFERROR(U1040-SUMIFS(HIST_SCORE!$D:$D,HIST_SCORE!$B:$B,PARAMS_MODELO!$B$4,HIST_SCORE!$C:$C,$A1040),"")</f>
        <v>0</v>
      </c>
      <c r="Z1040" s="5" t="str">
        <f t="shared" si="389"/>
        <v>→ Estable</v>
      </c>
      <c r="AA1040" s="5">
        <f t="shared" si="390"/>
        <v>1085</v>
      </c>
      <c r="AB1040" s="5">
        <f>IFERROR(SUMIFS(HIST_SCORE!$F:$F,HIST_SCORE!$B:$B,PARAMS_MODELO!$B$4,HIST_SCORE!$C:$C,$A1040),"")</f>
        <v>1082</v>
      </c>
      <c r="AC1040" s="5">
        <f t="shared" si="391"/>
        <v>-3</v>
      </c>
      <c r="AD1040" t="str">
        <f t="shared" si="393"/>
        <v/>
      </c>
      <c r="AE10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1040="CERRADO",1,IF(V1040="BRONCE",_xlpm.cPl,IF(V1040="PLATA",_xlpm.cO,IF(V1040="ORO",_xlpm.cP,IF(V1040="PLATINO",_xlpm.cD,999))))))</f>
        <v>24.506573482968111</v>
      </c>
      <c r="AF10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1040="CERRADO",0,IF(V1040="BRONCE",1,IF(V1040="PLATA",_xlpm.cPl,IF(V1040="ORO",_xlpm.cO,IF(V1040="PLATINO",_xlpm.cP,_xlpm.cD))))))</f>
        <v>1</v>
      </c>
      <c r="AG1040">
        <f t="shared" si="394"/>
        <v>8.7100638982331429</v>
      </c>
      <c r="AH1040" t="str">
        <f t="shared" si="395"/>
        <v>VENTAS</v>
      </c>
      <c r="AI1040" t="str">
        <f t="shared" si="392"/>
        <v>🎯 Para subir de categoría, eje VENTAS / CRECIMIENTO PERSONAL (F). Acción: metas semanales + activación comercial + seguimiento del asesor. ΔR aprox: 8,7</v>
      </c>
      <c r="AJ1040" s="26">
        <f>_xlfn.LET(_xlpm.piso,AF1040,_xlpm.corte,AE1040,_xlpm.prog,IF(_xlpm.corte&lt;=_xlpm.piso,0,MAX(0,MIN(1,(U1040-_xlpm.piso)/(_xlpm.corte-_xlpm.piso)))),_xlpm.orden,{"DIAMANTE";"PLATINO";"ORO";"PLATA";"BRONCE";"CERRADO"},_xlpm.act,IFERROR(MATCH(V1040,_xlpm.orden,0),6),_xlpm.ant,IFERROR(MATCH(W1040,_xlpm.orden,0),6),_xlpm.ajmov,IF(_xlpm.act&lt;_xlpm.ant,0.08,IF(_xlpm.act&gt;_xlpm.ant,-0.08,0)),_xlpm.ajcli,IF(T1040&lt;0.95,-0.06,0),_xlpm.prob,MAX(0,MIN(1,_xlpm.prog+_xlpm.ajmov+_xlpm.ajcli)),IF(OR(V1040="DIAMANTE",V1040="CERRADO"),0,ROUND(_xlpm.prob,2)))</f>
        <v>0.56999999999999995</v>
      </c>
      <c r="AK1040" t="str">
        <f t="shared" si="396"/>
        <v>Faltan 8,7 puntos base para subir a la siguiente categoría</v>
      </c>
      <c r="AL1040" t="str">
        <f t="shared" si="397"/>
        <v>No aplica</v>
      </c>
      <c r="AM1040">
        <f t="shared" si="398"/>
        <v>0.52</v>
      </c>
      <c r="AN1040" t="str">
        <f t="shared" si="399"/>
        <v>PRIORIDAD MEDIA – seguimiento del asesor</v>
      </c>
      <c r="AO1040">
        <f t="shared" si="400"/>
        <v>74.591954666589913</v>
      </c>
      <c r="AP1040">
        <f t="shared" si="401"/>
        <v>17.25</v>
      </c>
      <c r="AQ1040">
        <f t="shared" si="402"/>
        <v>0</v>
      </c>
      <c r="AR1040">
        <f t="shared" si="403"/>
        <v>8.51</v>
      </c>
      <c r="AS1040">
        <f t="shared" si="404"/>
        <v>0</v>
      </c>
      <c r="AT1040" t="str">
        <f t="shared" si="405"/>
        <v>VENTAS</v>
      </c>
      <c r="AU1040">
        <f t="shared" si="406"/>
        <v>74.591954666589913</v>
      </c>
      <c r="AV1040" t="str">
        <f t="shared" si="407"/>
        <v>Mayor retorno probable: VENTAS (+74,6 puntos finales potenciales).</v>
      </c>
    </row>
    <row r="1041" spans="1:48" x14ac:dyDescent="0.3">
      <c r="A1041" s="5">
        <v>51013263</v>
      </c>
      <c r="B1041" s="5" t="str">
        <f>IFERROR(VLOOKUP(A1041,VENTAS!$A$2:$B$1194,2,0),"")</f>
        <v/>
      </c>
      <c r="C1041" s="5">
        <f>IFERROR(INDEX(VENTAS!$C$2:$E$1194,MATCH(A1041,VENTAS!$A$2:$A$1194,0),MATCH(PARAMS_MODELO!$B$2,{"Q1","Q2","Q3"},0)),0)</f>
        <v>0</v>
      </c>
      <c r="D1041" s="5">
        <f>IFERROR(INDEX(VENTAS!$F$2:$H$1194,MATCH(A1041,VENTAS!$A$2:$A$1194,0),MATCH(PARAMS_MODELO!$B$2,{"Q1","Q2","Q3"},0)),0)</f>
        <v>0</v>
      </c>
      <c r="E1041" s="8">
        <f t="shared" si="384"/>
        <v>0</v>
      </c>
      <c r="F1041" s="12">
        <f>IF(E1041&lt;=PARAMS_MODELO!$B$15,0,IF(E1041&gt;=PARAMS_MODELO!$B$17,100,100*MIN(1,(E1041-PARAMS_MODELO!$B$15)/(PARAMS_MODELO!$B$16-PARAMS_MODELO!$B$15))))*PARAMS_MODELO!$B$7</f>
        <v>0</v>
      </c>
      <c r="G1041" s="5">
        <f t="shared" si="385"/>
        <v>0</v>
      </c>
      <c r="H1041" s="5">
        <f>(PARAMS_MODELO!$B$20*(MAX(0,MIN(3,E1041))/3)+PARAMS_MODELO!$B$21*(IFERROR(LN(1+MAX(0,G1041))/LN(1+MAX(0,MAX($G$2:$G$1194))),0)))*100*PARAMS_MODELO!$B$8</f>
        <v>0</v>
      </c>
      <c r="I1041" s="8">
        <f>E1041-PARAMS_MODELO!$B$5</f>
        <v>-0.17756283537552653</v>
      </c>
      <c r="J1041" s="5">
        <f>IF(I1041&lt;=PARAMS_MODELO!$B$18,0,IF(I1041&gt;=PARAMS_MODELO!$B$19,100,100*(I1041-PARAMS_MODELO!$B$18)/(PARAMS_MODELO!$B$19-PARAMS_MODELO!$B$18)))*PARAMS_MODELO!$B$9</f>
        <v>0</v>
      </c>
      <c r="K1041" s="5">
        <f>IFERROR(CHOOSE(MATCH(PARAMS_MODELO!$B$2,{"Q1","Q2","Q3"},0),LOTO!$D1041,LOTO!$F1041,LOTO!$H1041),0)</f>
        <v>0</v>
      </c>
      <c r="L1041" s="8">
        <f t="shared" si="386"/>
        <v>0</v>
      </c>
      <c r="M1041" s="5">
        <f>MIN(100,IF(PARAMS_MODELO!$B$23=0,0,100*L1041/PARAMS_MODELO!$B$23))*PARAMS_MODELO!$B$10</f>
        <v>0</v>
      </c>
      <c r="N1041" s="5">
        <f>IFERROR(VLOOKUP(A1041,COMPLIANCE!$A$2:$F$1996,6,0),100)</f>
        <v>100</v>
      </c>
      <c r="O1041" s="5">
        <f>N1041*PARAMS_MODELO!$B$11</f>
        <v>10</v>
      </c>
      <c r="P1041" s="5">
        <f>IFERROR(VLOOKUP(A1041,DIGITAL!$A$2:$J$2000,7,0),100)</f>
        <v>84</v>
      </c>
      <c r="Q1041" s="5">
        <f>IFERROR(P1041,0)*PARAMS_MODELO!$B$12</f>
        <v>8.4</v>
      </c>
      <c r="R1041">
        <f t="shared" si="387"/>
        <v>18.399999999999999</v>
      </c>
      <c r="S1041" s="5" t="str">
        <f>IFERROR(VLOOKUP(A1041,CLIENTE!$A$2:$N$2000,13,0),1)</f>
        <v>Regular</v>
      </c>
      <c r="T1041" s="5">
        <f>IFERROR(VLOOKUP(A1041,CLIENTE!$A$2:$N$2000,14,0),1)</f>
        <v>1</v>
      </c>
      <c r="U1041" s="5">
        <f t="shared" si="388"/>
        <v>18.399999999999999</v>
      </c>
      <c r="V1041" s="5" t="str">
        <f>IF(U1041&gt;=MAX(_xlfn.PERCENTILE.INC($U$2:$U$1194,PARAMS_MODELO!$B$50),PARAMS_MODELO!$B$45),"DIAMANTE",IF(U1041&gt;=MAX(_xlfn.PERCENTILE.INC($U$2:$U$1194,PARAMS_MODELO!$B$51),PARAMS_MODELO!$B$46),"PLATINO",IF(U1041&gt;=MAX(_xlfn.PERCENTILE.INC($U$2:$U$1194,PARAMS_MODELO!$B$52),PARAMS_MODELO!$B$47),"ORO",IF(U1041&gt;=MAX(_xlfn.PERCENTILE.INC($U$2:$U$1194,PARAMS_MODELO!$B$53),PARAMS_MODELO!$B$48),"PLATA",IF(U1041&gt;=1,"BRONCE","CERRADO")))))</f>
        <v>BRONCE</v>
      </c>
      <c r="W1041" s="5" t="str" cm="1">
        <f t="array" ref="W1041">_xlfn.XLOOKUP(1, (HIST_SCORE!$B:$B=PARAMS_MODELO!$B$4) * (HIST_SCORE!$C:$C=A1041), HIST_SCORE!$E:$E, "No encontrado")</f>
        <v>BRONCE</v>
      </c>
      <c r="X1041" s="5" t="str">
        <f>_xlfn.LET(_xlpm.act,MATCH(V1041,{"DIAMANTE";"PLATINO";"ORO";"PLATA";"BRONCE";"CERRADO"},0),_xlpm.ant,MATCH(W1041,{"DIAMANTE";"PLATINO";"ORO";"PLATA";"BRONCE";"CERRADO"},0),IF(_xlpm.act&lt;_xlpm.ant,"Mejora ↑",IF(_xlpm.act&gt;_xlpm.ant,"Baja ↓","Estable →")))</f>
        <v>Estable →</v>
      </c>
      <c r="Y1041" s="5">
        <f>IFERROR(U1041-SUMIFS(HIST_SCORE!$D:$D,HIST_SCORE!$B:$B,PARAMS_MODELO!$B$4,HIST_SCORE!$C:$C,$A1041),"")</f>
        <v>0</v>
      </c>
      <c r="Z1041" s="5" t="str">
        <f t="shared" si="389"/>
        <v>→ Estable</v>
      </c>
      <c r="AA1041" s="5">
        <f t="shared" si="390"/>
        <v>1021</v>
      </c>
      <c r="AB1041" s="5">
        <f>IFERROR(SUMIFS(HIST_SCORE!$F:$F,HIST_SCORE!$B:$B,PARAMS_MODELO!$B$4,HIST_SCORE!$C:$C,$A1041),"")</f>
        <v>1021</v>
      </c>
      <c r="AC1041" s="5">
        <f t="shared" si="391"/>
        <v>0</v>
      </c>
      <c r="AD1041" t="str">
        <f t="shared" si="393"/>
        <v/>
      </c>
      <c r="AE10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1041="CERRADO",1,IF(V1041="BRONCE",_xlpm.cPl,IF(V1041="PLATA",_xlpm.cO,IF(V1041="ORO",_xlpm.cP,IF(V1041="PLATINO",_xlpm.cD,999))))))</f>
        <v>24.506573482968111</v>
      </c>
      <c r="AF10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1041="CERRADO",0,IF(V1041="BRONCE",1,IF(V1041="PLATA",_xlpm.cPl,IF(V1041="ORO",_xlpm.cO,IF(V1041="PLATINO",_xlpm.cP,_xlpm.cD))))))</f>
        <v>1</v>
      </c>
      <c r="AG1041">
        <f t="shared" si="394"/>
        <v>6.1065734829681126</v>
      </c>
      <c r="AH1041" t="str">
        <f t="shared" si="395"/>
        <v>VENTAS</v>
      </c>
      <c r="AI1041" t="str">
        <f t="shared" si="392"/>
        <v>🎯 Para subir de categoría, eje VENTAS / CRECIMIENTO PERSONAL (F). Acción: metas semanales + activación comercial + seguimiento del asesor. ΔR aprox: 6,1</v>
      </c>
      <c r="AJ1041" s="26">
        <f>_xlfn.LET(_xlpm.piso,AF1041,_xlpm.corte,AE1041,_xlpm.prog,IF(_xlpm.corte&lt;=_xlpm.piso,0,MAX(0,MIN(1,(U1041-_xlpm.piso)/(_xlpm.corte-_xlpm.piso)))),_xlpm.orden,{"DIAMANTE";"PLATINO";"ORO";"PLATA";"BRONCE";"CERRADO"},_xlpm.act,IFERROR(MATCH(V1041,_xlpm.orden,0),6),_xlpm.ant,IFERROR(MATCH(W1041,_xlpm.orden,0),6),_xlpm.ajmov,IF(_xlpm.act&lt;_xlpm.ant,0.08,IF(_xlpm.act&gt;_xlpm.ant,-0.08,0)),_xlpm.ajcli,IF(T1041&lt;0.95,-0.06,0),_xlpm.prob,MAX(0,MIN(1,_xlpm.prog+_xlpm.ajmov+_xlpm.ajcli)),IF(OR(V1041="DIAMANTE",V1041="CERRADO"),0,ROUND(_xlpm.prob,2)))</f>
        <v>0.74</v>
      </c>
      <c r="AK1041" t="str">
        <f t="shared" si="396"/>
        <v>Faltan 6,1 puntos base para subir a la siguiente categoría</v>
      </c>
      <c r="AL1041" t="str">
        <f t="shared" si="397"/>
        <v>No aplica</v>
      </c>
      <c r="AM1041">
        <f t="shared" si="398"/>
        <v>0.35</v>
      </c>
      <c r="AN1041" t="str">
        <f t="shared" si="399"/>
        <v>PRIORIDAD BAJA – control normal</v>
      </c>
      <c r="AO1041">
        <f t="shared" si="400"/>
        <v>64.862569275295584</v>
      </c>
      <c r="AP1041">
        <f t="shared" si="401"/>
        <v>15</v>
      </c>
      <c r="AQ1041">
        <f t="shared" si="402"/>
        <v>0</v>
      </c>
      <c r="AR1041">
        <f t="shared" si="403"/>
        <v>1.5999999999999996</v>
      </c>
      <c r="AS1041">
        <f t="shared" si="404"/>
        <v>0</v>
      </c>
      <c r="AT1041" t="str">
        <f t="shared" si="405"/>
        <v>VENTAS</v>
      </c>
      <c r="AU1041">
        <f t="shared" si="406"/>
        <v>64.862569275295584</v>
      </c>
      <c r="AV1041" t="str">
        <f t="shared" si="407"/>
        <v>Mayor retorno probable: VENTAS (+64,9 puntos finales potenciales).</v>
      </c>
    </row>
    <row r="1042" spans="1:48" x14ac:dyDescent="0.3">
      <c r="A1042" s="5">
        <v>51013751</v>
      </c>
      <c r="B1042" s="5" t="str">
        <f>IFERROR(VLOOKUP(A1042,VENTAS!$A$2:$B$1194,2,0),"")</f>
        <v/>
      </c>
      <c r="C1042" s="5">
        <f>IFERROR(INDEX(VENTAS!$C$2:$E$1194,MATCH(A1042,VENTAS!$A$2:$A$1194,0),MATCH(PARAMS_MODELO!$B$2,{"Q1","Q2","Q3"},0)),0)</f>
        <v>29340147.84</v>
      </c>
      <c r="D1042" s="5">
        <f>IFERROR(INDEX(VENTAS!$F$2:$H$1194,MATCH(A1042,VENTAS!$A$2:$A$1194,0),MATCH(PARAMS_MODELO!$B$2,{"Q1","Q2","Q3"},0)),0)</f>
        <v>0</v>
      </c>
      <c r="E1042" s="8">
        <f t="shared" si="384"/>
        <v>-1</v>
      </c>
      <c r="F1042" s="12">
        <f>IF(E1042&lt;=PARAMS_MODELO!$B$15,0,IF(E1042&gt;=PARAMS_MODELO!$B$17,100,100*MIN(1,(E1042-PARAMS_MODELO!$B$15)/(PARAMS_MODELO!$B$16-PARAMS_MODELO!$B$15))))*PARAMS_MODELO!$B$7</f>
        <v>0</v>
      </c>
      <c r="G1042" s="5">
        <f t="shared" si="385"/>
        <v>0</v>
      </c>
      <c r="H1042" s="5">
        <f>(PARAMS_MODELO!$B$20*(MAX(0,MIN(3,E1042))/3)+PARAMS_MODELO!$B$21*(IFERROR(LN(1+MAX(0,G1042))/LN(1+MAX(0,MAX($G$2:$G$1194))),0)))*100*PARAMS_MODELO!$B$8</f>
        <v>0</v>
      </c>
      <c r="I1042" s="8">
        <f>E1042-PARAMS_MODELO!$B$5</f>
        <v>-1.1775628353755265</v>
      </c>
      <c r="J1042" s="5">
        <f>IF(I1042&lt;=PARAMS_MODELO!$B$18,0,IF(I1042&gt;=PARAMS_MODELO!$B$19,100,100*(I1042-PARAMS_MODELO!$B$18)/(PARAMS_MODELO!$B$19-PARAMS_MODELO!$B$18)))*PARAMS_MODELO!$B$9</f>
        <v>0</v>
      </c>
      <c r="K1042" s="5">
        <f>IFERROR(CHOOSE(MATCH(PARAMS_MODELO!$B$2,{"Q1","Q2","Q3"},0),LOTO!$D1042,LOTO!$F1042,LOTO!$H1042),0)</f>
        <v>0</v>
      </c>
      <c r="L1042" s="8">
        <f t="shared" si="386"/>
        <v>0</v>
      </c>
      <c r="M1042" s="5">
        <f>MIN(100,IF(PARAMS_MODELO!$B$23=0,0,100*L1042/PARAMS_MODELO!$B$23))*PARAMS_MODELO!$B$10</f>
        <v>0</v>
      </c>
      <c r="N1042" s="5">
        <f>IFERROR(VLOOKUP(A1042,COMPLIANCE!$A$2:$F$1996,6,0),100)</f>
        <v>99.85</v>
      </c>
      <c r="O1042" s="5">
        <f>N1042*PARAMS_MODELO!$B$11</f>
        <v>9.9849999999999994</v>
      </c>
      <c r="P1042" s="5">
        <f>IFERROR(VLOOKUP(A1042,DIGITAL!$A$2:$J$2000,7,0),100)</f>
        <v>86</v>
      </c>
      <c r="Q1042" s="5">
        <f>IFERROR(P1042,0)*PARAMS_MODELO!$B$12</f>
        <v>8.6</v>
      </c>
      <c r="R1042">
        <f t="shared" si="387"/>
        <v>18.585000000000001</v>
      </c>
      <c r="S1042" s="5" t="str">
        <f>IFERROR(VLOOKUP(A1042,CLIENTE!$A$2:$N$2000,13,0),1)</f>
        <v>Bueno</v>
      </c>
      <c r="T1042" s="5">
        <f>IFERROR(VLOOKUP(A1042,CLIENTE!$A$2:$N$2000,14,0),1)</f>
        <v>1.1000000000000001</v>
      </c>
      <c r="U1042" s="5">
        <f t="shared" si="388"/>
        <v>20.443500000000004</v>
      </c>
      <c r="V1042" s="5" t="str">
        <f>IF(U1042&gt;=MAX(_xlfn.PERCENTILE.INC($U$2:$U$1194,PARAMS_MODELO!$B$50),PARAMS_MODELO!$B$45),"DIAMANTE",IF(U1042&gt;=MAX(_xlfn.PERCENTILE.INC($U$2:$U$1194,PARAMS_MODELO!$B$51),PARAMS_MODELO!$B$46),"PLATINO",IF(U1042&gt;=MAX(_xlfn.PERCENTILE.INC($U$2:$U$1194,PARAMS_MODELO!$B$52),PARAMS_MODELO!$B$47),"ORO",IF(U1042&gt;=MAX(_xlfn.PERCENTILE.INC($U$2:$U$1194,PARAMS_MODELO!$B$53),PARAMS_MODELO!$B$48),"PLATA",IF(U1042&gt;=1,"BRONCE","CERRADO")))))</f>
        <v>BRONCE</v>
      </c>
      <c r="W1042" s="5" t="str" cm="1">
        <f t="array" ref="W1042">_xlfn.XLOOKUP(1, (HIST_SCORE!$B:$B=PARAMS_MODELO!$B$4) * (HIST_SCORE!$C:$C=A1042), HIST_SCORE!$E:$E, "No encontrado")</f>
        <v>BRONCE</v>
      </c>
      <c r="X1042" s="5" t="str">
        <f>_xlfn.LET(_xlpm.act,MATCH(V1042,{"DIAMANTE";"PLATINO";"ORO";"PLATA";"BRONCE";"CERRADO"},0),_xlpm.ant,MATCH(W1042,{"DIAMANTE";"PLATINO";"ORO";"PLATA";"BRONCE";"CERRADO"},0),IF(_xlpm.act&lt;_xlpm.ant,"Mejora ↑",IF(_xlpm.act&gt;_xlpm.ant,"Baja ↓","Estable →")))</f>
        <v>Estable →</v>
      </c>
      <c r="Y1042" s="5">
        <f>IFERROR(U1042-SUMIFS(HIST_SCORE!$D:$D,HIST_SCORE!$B:$B,PARAMS_MODELO!$B$4,HIST_SCORE!$C:$C,$A1042),"")</f>
        <v>0</v>
      </c>
      <c r="Z1042" s="5" t="str">
        <f t="shared" si="389"/>
        <v>→ Estable</v>
      </c>
      <c r="AA1042" s="5">
        <f t="shared" si="390"/>
        <v>971</v>
      </c>
      <c r="AB1042" s="5">
        <f>IFERROR(SUMIFS(HIST_SCORE!$F:$F,HIST_SCORE!$B:$B,PARAMS_MODELO!$B$4,HIST_SCORE!$C:$C,$A1042),"")</f>
        <v>979</v>
      </c>
      <c r="AC1042" s="5">
        <f t="shared" si="391"/>
        <v>8</v>
      </c>
      <c r="AD1042" t="str">
        <f t="shared" si="393"/>
        <v/>
      </c>
      <c r="AE10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1042="CERRADO",1,IF(V1042="BRONCE",_xlpm.cPl,IF(V1042="PLATA",_xlpm.cO,IF(V1042="ORO",_xlpm.cP,IF(V1042="PLATINO",_xlpm.cD,999))))))</f>
        <v>24.506573482968111</v>
      </c>
      <c r="AF10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1042="CERRADO",0,IF(V1042="BRONCE",1,IF(V1042="PLATA",_xlpm.cPl,IF(V1042="ORO",_xlpm.cO,IF(V1042="PLATINO",_xlpm.cP,_xlpm.cD))))))</f>
        <v>1</v>
      </c>
      <c r="AG1042">
        <f t="shared" si="394"/>
        <v>3.6937031663346431</v>
      </c>
      <c r="AH1042" t="str">
        <f t="shared" si="395"/>
        <v>VENTAS</v>
      </c>
      <c r="AI1042" t="str">
        <f t="shared" si="392"/>
        <v>🎯 Para subir de categoría, eje VENTAS / CRECIMIENTO PERSONAL (F). Acción: metas semanales + activación comercial + seguimiento del asesor. ΔR aprox: 3,7</v>
      </c>
      <c r="AJ1042" s="26">
        <f>_xlfn.LET(_xlpm.piso,AF1042,_xlpm.corte,AE1042,_xlpm.prog,IF(_xlpm.corte&lt;=_xlpm.piso,0,MAX(0,MIN(1,(U1042-_xlpm.piso)/(_xlpm.corte-_xlpm.piso)))),_xlpm.orden,{"DIAMANTE";"PLATINO";"ORO";"PLATA";"BRONCE";"CERRADO"},_xlpm.act,IFERROR(MATCH(V1042,_xlpm.orden,0),6),_xlpm.ant,IFERROR(MATCH(W1042,_xlpm.orden,0),6),_xlpm.ajmov,IF(_xlpm.act&lt;_xlpm.ant,0.08,IF(_xlpm.act&gt;_xlpm.ant,-0.08,0)),_xlpm.ajcli,IF(T1042&lt;0.95,-0.06,0),_xlpm.prob,MAX(0,MIN(1,_xlpm.prog+_xlpm.ajmov+_xlpm.ajcli)),IF(OR(V1042="DIAMANTE",V1042="CERRADO"),0,ROUND(_xlpm.prob,2)))</f>
        <v>0.83</v>
      </c>
      <c r="AK1042" t="str">
        <f t="shared" si="396"/>
        <v>Faltan 3,7 puntos base para subir a la siguiente categoría</v>
      </c>
      <c r="AL1042" t="str">
        <f t="shared" si="397"/>
        <v>No aplica</v>
      </c>
      <c r="AM1042">
        <f t="shared" si="398"/>
        <v>0.22</v>
      </c>
      <c r="AN1042" t="str">
        <f t="shared" si="399"/>
        <v>PRIORIDAD BAJA – control normal</v>
      </c>
      <c r="AO1042">
        <f t="shared" si="400"/>
        <v>71.348826202825151</v>
      </c>
      <c r="AP1042">
        <f t="shared" si="401"/>
        <v>16.5</v>
      </c>
      <c r="AQ1042">
        <f t="shared" si="402"/>
        <v>1.6500000000000625E-2</v>
      </c>
      <c r="AR1042">
        <f t="shared" si="403"/>
        <v>1.5400000000000005</v>
      </c>
      <c r="AS1042">
        <f t="shared" si="404"/>
        <v>0</v>
      </c>
      <c r="AT1042" t="str">
        <f t="shared" si="405"/>
        <v>VENTAS</v>
      </c>
      <c r="AU1042">
        <f t="shared" si="406"/>
        <v>71.348826202825151</v>
      </c>
      <c r="AV1042" t="str">
        <f t="shared" si="407"/>
        <v>Mayor retorno probable: VENTAS (+71,3 puntos finales potenciales).</v>
      </c>
    </row>
    <row r="1043" spans="1:48" x14ac:dyDescent="0.3">
      <c r="A1043" s="5">
        <v>51013905</v>
      </c>
      <c r="B1043" s="5" t="str">
        <f>IFERROR(VLOOKUP(A1043,VENTAS!$A$2:$B$1194,2,0),"")</f>
        <v/>
      </c>
      <c r="C1043" s="5">
        <f>IFERROR(INDEX(VENTAS!$C$2:$E$1194,MATCH(A1043,VENTAS!$A$2:$A$1194,0),MATCH(PARAMS_MODELO!$B$2,{"Q1","Q2","Q3"},0)),0)</f>
        <v>18486479.780000001</v>
      </c>
      <c r="D1043" s="5">
        <f>IFERROR(INDEX(VENTAS!$F$2:$H$1194,MATCH(A1043,VENTAS!$A$2:$A$1194,0),MATCH(PARAMS_MODELO!$B$2,{"Q1","Q2","Q3"},0)),0)</f>
        <v>0</v>
      </c>
      <c r="E1043" s="8">
        <f t="shared" si="384"/>
        <v>-1</v>
      </c>
      <c r="F1043" s="12">
        <f>IF(E1043&lt;=PARAMS_MODELO!$B$15,0,IF(E1043&gt;=PARAMS_MODELO!$B$17,100,100*MIN(1,(E1043-PARAMS_MODELO!$B$15)/(PARAMS_MODELO!$B$16-PARAMS_MODELO!$B$15))))*PARAMS_MODELO!$B$7</f>
        <v>0</v>
      </c>
      <c r="G1043" s="5">
        <f t="shared" si="385"/>
        <v>0</v>
      </c>
      <c r="H1043" s="5">
        <f>(PARAMS_MODELO!$B$20*(MAX(0,MIN(3,E1043))/3)+PARAMS_MODELO!$B$21*(IFERROR(LN(1+MAX(0,G1043))/LN(1+MAX(0,MAX($G$2:$G$1194))),0)))*100*PARAMS_MODELO!$B$8</f>
        <v>0</v>
      </c>
      <c r="I1043" s="8">
        <f>E1043-PARAMS_MODELO!$B$5</f>
        <v>-1.1775628353755265</v>
      </c>
      <c r="J1043" s="5">
        <f>IF(I1043&lt;=PARAMS_MODELO!$B$18,0,IF(I1043&gt;=PARAMS_MODELO!$B$19,100,100*(I1043-PARAMS_MODELO!$B$18)/(PARAMS_MODELO!$B$19-PARAMS_MODELO!$B$18)))*PARAMS_MODELO!$B$9</f>
        <v>0</v>
      </c>
      <c r="K1043" s="5">
        <f>IFERROR(CHOOSE(MATCH(PARAMS_MODELO!$B$2,{"Q1","Q2","Q3"},0),LOTO!$D1043,LOTO!$F1043,LOTO!$H1043),0)</f>
        <v>0</v>
      </c>
      <c r="L1043" s="8">
        <f t="shared" si="386"/>
        <v>0</v>
      </c>
      <c r="M1043" s="5">
        <f>MIN(100,IF(PARAMS_MODELO!$B$23=0,0,100*L1043/PARAMS_MODELO!$B$23))*PARAMS_MODELO!$B$10</f>
        <v>0</v>
      </c>
      <c r="N1043" s="5">
        <f>IFERROR(VLOOKUP(A1043,COMPLIANCE!$A$2:$F$1996,6,0),100)</f>
        <v>100</v>
      </c>
      <c r="O1043" s="5">
        <f>N1043*PARAMS_MODELO!$B$11</f>
        <v>10</v>
      </c>
      <c r="P1043" s="5">
        <f>IFERROR(VLOOKUP(A1043,DIGITAL!$A$2:$J$2000,7,0),100)</f>
        <v>8</v>
      </c>
      <c r="Q1043" s="5">
        <f>IFERROR(P1043,0)*PARAMS_MODELO!$B$12</f>
        <v>0.8</v>
      </c>
      <c r="R1043">
        <f t="shared" si="387"/>
        <v>10.8</v>
      </c>
      <c r="S1043" s="5" t="str">
        <f>IFERROR(VLOOKUP(A1043,CLIENTE!$A$2:$N$2000,13,0),1)</f>
        <v>Regular</v>
      </c>
      <c r="T1043" s="5">
        <f>IFERROR(VLOOKUP(A1043,CLIENTE!$A$2:$N$2000,14,0),1)</f>
        <v>1</v>
      </c>
      <c r="U1043" s="5">
        <f t="shared" si="388"/>
        <v>10.8</v>
      </c>
      <c r="V1043" s="5" t="str">
        <f>IF(U1043&gt;=MAX(_xlfn.PERCENTILE.INC($U$2:$U$1194,PARAMS_MODELO!$B$50),PARAMS_MODELO!$B$45),"DIAMANTE",IF(U1043&gt;=MAX(_xlfn.PERCENTILE.INC($U$2:$U$1194,PARAMS_MODELO!$B$51),PARAMS_MODELO!$B$46),"PLATINO",IF(U1043&gt;=MAX(_xlfn.PERCENTILE.INC($U$2:$U$1194,PARAMS_MODELO!$B$52),PARAMS_MODELO!$B$47),"ORO",IF(U1043&gt;=MAX(_xlfn.PERCENTILE.INC($U$2:$U$1194,PARAMS_MODELO!$B$53),PARAMS_MODELO!$B$48),"PLATA",IF(U1043&gt;=1,"BRONCE","CERRADO")))))</f>
        <v>BRONCE</v>
      </c>
      <c r="W1043" s="5" t="str" cm="1">
        <f t="array" ref="W1043">_xlfn.XLOOKUP(1, (HIST_SCORE!$B:$B=PARAMS_MODELO!$B$4) * (HIST_SCORE!$C:$C=A1043), HIST_SCORE!$E:$E, "No encontrado")</f>
        <v>BRONCE</v>
      </c>
      <c r="X1043" s="5" t="str">
        <f>_xlfn.LET(_xlpm.act,MATCH(V1043,{"DIAMANTE";"PLATINO";"ORO";"PLATA";"BRONCE";"CERRADO"},0),_xlpm.ant,MATCH(W1043,{"DIAMANTE";"PLATINO";"ORO";"PLATA";"BRONCE";"CERRADO"},0),IF(_xlpm.act&lt;_xlpm.ant,"Mejora ↑",IF(_xlpm.act&gt;_xlpm.ant,"Baja ↓","Estable →")))</f>
        <v>Estable →</v>
      </c>
      <c r="Y1043" s="5">
        <f>IFERROR(U1043-SUMIFS(HIST_SCORE!$D:$D,HIST_SCORE!$B:$B,PARAMS_MODELO!$B$4,HIST_SCORE!$C:$C,$A1043),"")</f>
        <v>0</v>
      </c>
      <c r="Z1043" s="5" t="str">
        <f t="shared" si="389"/>
        <v>→ Estable</v>
      </c>
      <c r="AA1043" s="5">
        <f t="shared" si="390"/>
        <v>1149</v>
      </c>
      <c r="AB1043" s="5">
        <f>IFERROR(SUMIFS(HIST_SCORE!$F:$F,HIST_SCORE!$B:$B,PARAMS_MODELO!$B$4,HIST_SCORE!$C:$C,$A1043),"")</f>
        <v>1147</v>
      </c>
      <c r="AC1043" s="5">
        <f t="shared" si="391"/>
        <v>-2</v>
      </c>
      <c r="AD1043" t="str">
        <f t="shared" si="393"/>
        <v/>
      </c>
      <c r="AE10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1043="CERRADO",1,IF(V1043="BRONCE",_xlpm.cPl,IF(V1043="PLATA",_xlpm.cO,IF(V1043="ORO",_xlpm.cP,IF(V1043="PLATINO",_xlpm.cD,999))))))</f>
        <v>24.506573482968111</v>
      </c>
      <c r="AF10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1043="CERRADO",0,IF(V1043="BRONCE",1,IF(V1043="PLATA",_xlpm.cPl,IF(V1043="ORO",_xlpm.cO,IF(V1043="PLATINO",_xlpm.cP,_xlpm.cD))))))</f>
        <v>1</v>
      </c>
      <c r="AG1043">
        <f t="shared" si="394"/>
        <v>13.706573482968111</v>
      </c>
      <c r="AH1043" t="str">
        <f t="shared" si="395"/>
        <v>VENTAS</v>
      </c>
      <c r="AI1043" t="str">
        <f t="shared" si="392"/>
        <v>🎯 Para subir de categoría, eje VENTAS / CRECIMIENTO PERSONAL (F). Acción: metas semanales + activación comercial + seguimiento del asesor. ΔR aprox: 13,7</v>
      </c>
      <c r="AJ1043" s="26">
        <f>_xlfn.LET(_xlpm.piso,AF1043,_xlpm.corte,AE1043,_xlpm.prog,IF(_xlpm.corte&lt;=_xlpm.piso,0,MAX(0,MIN(1,(U1043-_xlpm.piso)/(_xlpm.corte-_xlpm.piso)))),_xlpm.orden,{"DIAMANTE";"PLATINO";"ORO";"PLATA";"BRONCE";"CERRADO"},_xlpm.act,IFERROR(MATCH(V1043,_xlpm.orden,0),6),_xlpm.ant,IFERROR(MATCH(W1043,_xlpm.orden,0),6),_xlpm.ajmov,IF(_xlpm.act&lt;_xlpm.ant,0.08,IF(_xlpm.act&gt;_xlpm.ant,-0.08,0)),_xlpm.ajcli,IF(T1043&lt;0.95,-0.06,0),_xlpm.prob,MAX(0,MIN(1,_xlpm.prog+_xlpm.ajmov+_xlpm.ajcli)),IF(OR(V1043="DIAMANTE",V1043="CERRADO"),0,ROUND(_xlpm.prob,2)))</f>
        <v>0.42</v>
      </c>
      <c r="AK1043" t="str">
        <f t="shared" si="396"/>
        <v>Faltan 13,7 puntos base para subir a la siguiente categoría</v>
      </c>
      <c r="AL1043" t="str">
        <f t="shared" si="397"/>
        <v>No aplica</v>
      </c>
      <c r="AM1043">
        <f t="shared" si="398"/>
        <v>0.63</v>
      </c>
      <c r="AN1043" t="str">
        <f t="shared" si="399"/>
        <v>PRIORIDAD MEDIA – seguimiento del asesor</v>
      </c>
      <c r="AO1043">
        <f t="shared" si="400"/>
        <v>64.862569275295584</v>
      </c>
      <c r="AP1043">
        <f t="shared" si="401"/>
        <v>15</v>
      </c>
      <c r="AQ1043">
        <f t="shared" si="402"/>
        <v>0</v>
      </c>
      <c r="AR1043">
        <f t="shared" si="403"/>
        <v>9.1999999999999993</v>
      </c>
      <c r="AS1043">
        <f t="shared" si="404"/>
        <v>0</v>
      </c>
      <c r="AT1043" t="str">
        <f t="shared" si="405"/>
        <v>VENTAS</v>
      </c>
      <c r="AU1043">
        <f t="shared" si="406"/>
        <v>64.862569275295584</v>
      </c>
      <c r="AV1043" t="str">
        <f t="shared" si="407"/>
        <v>Mayor retorno probable: VENTAS (+64,9 puntos finales potenciales).</v>
      </c>
    </row>
    <row r="1044" spans="1:48" x14ac:dyDescent="0.3">
      <c r="A1044" s="5">
        <v>51014073</v>
      </c>
      <c r="B1044" s="5" t="str">
        <f>IFERROR(VLOOKUP(A1044,VENTAS!$A$2:$B$1194,2,0),"")</f>
        <v/>
      </c>
      <c r="C1044" s="5">
        <f>IFERROR(INDEX(VENTAS!$C$2:$E$1194,MATCH(A1044,VENTAS!$A$2:$A$1194,0),MATCH(PARAMS_MODELO!$B$2,{"Q1","Q2","Q3"},0)),0)</f>
        <v>17037437</v>
      </c>
      <c r="D1044" s="5">
        <f>IFERROR(INDEX(VENTAS!$F$2:$H$1194,MATCH(A1044,VENTAS!$A$2:$A$1194,0),MATCH(PARAMS_MODELO!$B$2,{"Q1","Q2","Q3"},0)),0)</f>
        <v>0</v>
      </c>
      <c r="E1044" s="8">
        <f t="shared" si="384"/>
        <v>-1</v>
      </c>
      <c r="F1044" s="12">
        <f>IF(E1044&lt;=PARAMS_MODELO!$B$15,0,IF(E1044&gt;=PARAMS_MODELO!$B$17,100,100*MIN(1,(E1044-PARAMS_MODELO!$B$15)/(PARAMS_MODELO!$B$16-PARAMS_MODELO!$B$15))))*PARAMS_MODELO!$B$7</f>
        <v>0</v>
      </c>
      <c r="G1044" s="5">
        <f t="shared" si="385"/>
        <v>0</v>
      </c>
      <c r="H1044" s="5">
        <f>(PARAMS_MODELO!$B$20*(MAX(0,MIN(3,E1044))/3)+PARAMS_MODELO!$B$21*(IFERROR(LN(1+MAX(0,G1044))/LN(1+MAX(0,MAX($G$2:$G$1194))),0)))*100*PARAMS_MODELO!$B$8</f>
        <v>0</v>
      </c>
      <c r="I1044" s="8">
        <f>E1044-PARAMS_MODELO!$B$5</f>
        <v>-1.1775628353755265</v>
      </c>
      <c r="J1044" s="5">
        <f>IF(I1044&lt;=PARAMS_MODELO!$B$18,0,IF(I1044&gt;=PARAMS_MODELO!$B$19,100,100*(I1044-PARAMS_MODELO!$B$18)/(PARAMS_MODELO!$B$19-PARAMS_MODELO!$B$18)))*PARAMS_MODELO!$B$9</f>
        <v>0</v>
      </c>
      <c r="K1044" s="5">
        <f>IFERROR(CHOOSE(MATCH(PARAMS_MODELO!$B$2,{"Q1","Q2","Q3"},0),LOTO!$D1044,LOTO!$F1044,LOTO!$H1044),0)</f>
        <v>0</v>
      </c>
      <c r="L1044" s="8">
        <f t="shared" si="386"/>
        <v>0</v>
      </c>
      <c r="M1044" s="5">
        <f>MIN(100,IF(PARAMS_MODELO!$B$23=0,0,100*L1044/PARAMS_MODELO!$B$23))*PARAMS_MODELO!$B$10</f>
        <v>0</v>
      </c>
      <c r="N1044" s="5">
        <f>IFERROR(VLOOKUP(A1044,COMPLIANCE!$A$2:$F$1996,6,0),100)</f>
        <v>100</v>
      </c>
      <c r="O1044" s="5">
        <f>N1044*PARAMS_MODELO!$B$11</f>
        <v>10</v>
      </c>
      <c r="P1044" s="5">
        <f>IFERROR(VLOOKUP(A1044,DIGITAL!$A$2:$J$2000,7,0),100)</f>
        <v>82</v>
      </c>
      <c r="Q1044" s="5">
        <f>IFERROR(P1044,0)*PARAMS_MODELO!$B$12</f>
        <v>8.2000000000000011</v>
      </c>
      <c r="R1044">
        <f t="shared" si="387"/>
        <v>18.200000000000003</v>
      </c>
      <c r="S1044" s="5" t="str">
        <f>IFERROR(VLOOKUP(A1044,CLIENTE!$A$2:$N$2000,13,0),1)</f>
        <v>Regular</v>
      </c>
      <c r="T1044" s="5">
        <f>IFERROR(VLOOKUP(A1044,CLIENTE!$A$2:$N$2000,14,0),1)</f>
        <v>1</v>
      </c>
      <c r="U1044" s="5">
        <f t="shared" si="388"/>
        <v>18.200000000000003</v>
      </c>
      <c r="V1044" s="5" t="str">
        <f>IF(U1044&gt;=MAX(_xlfn.PERCENTILE.INC($U$2:$U$1194,PARAMS_MODELO!$B$50),PARAMS_MODELO!$B$45),"DIAMANTE",IF(U1044&gt;=MAX(_xlfn.PERCENTILE.INC($U$2:$U$1194,PARAMS_MODELO!$B$51),PARAMS_MODELO!$B$46),"PLATINO",IF(U1044&gt;=MAX(_xlfn.PERCENTILE.INC($U$2:$U$1194,PARAMS_MODELO!$B$52),PARAMS_MODELO!$B$47),"ORO",IF(U1044&gt;=MAX(_xlfn.PERCENTILE.INC($U$2:$U$1194,PARAMS_MODELO!$B$53),PARAMS_MODELO!$B$48),"PLATA",IF(U1044&gt;=1,"BRONCE","CERRADO")))))</f>
        <v>BRONCE</v>
      </c>
      <c r="W1044" s="5" t="str" cm="1">
        <f t="array" ref="W1044">_xlfn.XLOOKUP(1, (HIST_SCORE!$B:$B=PARAMS_MODELO!$B$4) * (HIST_SCORE!$C:$C=A1044), HIST_SCORE!$E:$E, "No encontrado")</f>
        <v>BRONCE</v>
      </c>
      <c r="X1044" s="5" t="str">
        <f>_xlfn.LET(_xlpm.act,MATCH(V1044,{"DIAMANTE";"PLATINO";"ORO";"PLATA";"BRONCE";"CERRADO"},0),_xlpm.ant,MATCH(W1044,{"DIAMANTE";"PLATINO";"ORO";"PLATA";"BRONCE";"CERRADO"},0),IF(_xlpm.act&lt;_xlpm.ant,"Mejora ↑",IF(_xlpm.act&gt;_xlpm.ant,"Baja ↓","Estable →")))</f>
        <v>Estable →</v>
      </c>
      <c r="Y1044" s="5">
        <f>IFERROR(U1044-SUMIFS(HIST_SCORE!$D:$D,HIST_SCORE!$B:$B,PARAMS_MODELO!$B$4,HIST_SCORE!$C:$C,$A1044),"")</f>
        <v>0</v>
      </c>
      <c r="Z1044" s="5" t="str">
        <f t="shared" si="389"/>
        <v>→ Estable</v>
      </c>
      <c r="AA1044" s="5">
        <f t="shared" si="390"/>
        <v>1023</v>
      </c>
      <c r="AB1044" s="5">
        <f>IFERROR(SUMIFS(HIST_SCORE!$F:$F,HIST_SCORE!$B:$B,PARAMS_MODELO!$B$4,HIST_SCORE!$C:$C,$A1044),"")</f>
        <v>1023</v>
      </c>
      <c r="AC1044" s="5">
        <f t="shared" si="391"/>
        <v>0</v>
      </c>
      <c r="AD1044" t="str">
        <f t="shared" si="393"/>
        <v/>
      </c>
      <c r="AE10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1044="CERRADO",1,IF(V1044="BRONCE",_xlpm.cPl,IF(V1044="PLATA",_xlpm.cO,IF(V1044="ORO",_xlpm.cP,IF(V1044="PLATINO",_xlpm.cD,999))))))</f>
        <v>24.506573482968111</v>
      </c>
      <c r="AF10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1044="CERRADO",0,IF(V1044="BRONCE",1,IF(V1044="PLATA",_xlpm.cPl,IF(V1044="ORO",_xlpm.cO,IF(V1044="PLATINO",_xlpm.cP,_xlpm.cD))))))</f>
        <v>1</v>
      </c>
      <c r="AG1044">
        <f t="shared" si="394"/>
        <v>6.3065734829681084</v>
      </c>
      <c r="AH1044" t="str">
        <f t="shared" si="395"/>
        <v>VENTAS</v>
      </c>
      <c r="AI1044" t="str">
        <f t="shared" si="392"/>
        <v>🎯 Para subir de categoría, eje VENTAS / CRECIMIENTO PERSONAL (F). Acción: metas semanales + activación comercial + seguimiento del asesor. ΔR aprox: 6,3</v>
      </c>
      <c r="AJ1044" s="26">
        <f>_xlfn.LET(_xlpm.piso,AF1044,_xlpm.corte,AE1044,_xlpm.prog,IF(_xlpm.corte&lt;=_xlpm.piso,0,MAX(0,MIN(1,(U1044-_xlpm.piso)/(_xlpm.corte-_xlpm.piso)))),_xlpm.orden,{"DIAMANTE";"PLATINO";"ORO";"PLATA";"BRONCE";"CERRADO"},_xlpm.act,IFERROR(MATCH(V1044,_xlpm.orden,0),6),_xlpm.ant,IFERROR(MATCH(W1044,_xlpm.orden,0),6),_xlpm.ajmov,IF(_xlpm.act&lt;_xlpm.ant,0.08,IF(_xlpm.act&gt;_xlpm.ant,-0.08,0)),_xlpm.ajcli,IF(T1044&lt;0.95,-0.06,0),_xlpm.prob,MAX(0,MIN(1,_xlpm.prog+_xlpm.ajmov+_xlpm.ajcli)),IF(OR(V1044="DIAMANTE",V1044="CERRADO"),0,ROUND(_xlpm.prob,2)))</f>
        <v>0.73</v>
      </c>
      <c r="AK1044" t="str">
        <f t="shared" si="396"/>
        <v>Faltan 6,3 puntos base para subir a la siguiente categoría</v>
      </c>
      <c r="AL1044" t="str">
        <f t="shared" si="397"/>
        <v>No aplica</v>
      </c>
      <c r="AM1044">
        <f t="shared" si="398"/>
        <v>0.36</v>
      </c>
      <c r="AN1044" t="str">
        <f t="shared" si="399"/>
        <v>PRIORIDAD BAJA – control normal</v>
      </c>
      <c r="AO1044">
        <f t="shared" si="400"/>
        <v>64.862569275295584</v>
      </c>
      <c r="AP1044">
        <f t="shared" si="401"/>
        <v>15</v>
      </c>
      <c r="AQ1044">
        <f t="shared" si="402"/>
        <v>0</v>
      </c>
      <c r="AR1044">
        <f t="shared" si="403"/>
        <v>1.7999999999999989</v>
      </c>
      <c r="AS1044">
        <f t="shared" si="404"/>
        <v>0</v>
      </c>
      <c r="AT1044" t="str">
        <f t="shared" si="405"/>
        <v>VENTAS</v>
      </c>
      <c r="AU1044">
        <f t="shared" si="406"/>
        <v>64.862569275295584</v>
      </c>
      <c r="AV1044" t="str">
        <f t="shared" si="407"/>
        <v>Mayor retorno probable: VENTAS (+64,9 puntos finales potenciales).</v>
      </c>
    </row>
    <row r="1045" spans="1:48" x14ac:dyDescent="0.3">
      <c r="A1045" s="5">
        <v>51014154</v>
      </c>
      <c r="B1045" s="5" t="str">
        <f>IFERROR(VLOOKUP(A1045,VENTAS!$A$2:$B$1194,2,0),"")</f>
        <v/>
      </c>
      <c r="C1045" s="5">
        <f>IFERROR(INDEX(VENTAS!$C$2:$E$1194,MATCH(A1045,VENTAS!$A$2:$A$1194,0),MATCH(PARAMS_MODELO!$B$2,{"Q1","Q2","Q3"},0)),0)</f>
        <v>0</v>
      </c>
      <c r="D1045" s="5">
        <f>IFERROR(INDEX(VENTAS!$F$2:$H$1194,MATCH(A1045,VENTAS!$A$2:$A$1194,0),MATCH(PARAMS_MODELO!$B$2,{"Q1","Q2","Q3"},0)),0)</f>
        <v>0</v>
      </c>
      <c r="E1045" s="8">
        <f t="shared" si="384"/>
        <v>0</v>
      </c>
      <c r="F1045" s="12">
        <f>IF(E1045&lt;=PARAMS_MODELO!$B$15,0,IF(E1045&gt;=PARAMS_MODELO!$B$17,100,100*MIN(1,(E1045-PARAMS_MODELO!$B$15)/(PARAMS_MODELO!$B$16-PARAMS_MODELO!$B$15))))*PARAMS_MODELO!$B$7</f>
        <v>0</v>
      </c>
      <c r="G1045" s="5">
        <f t="shared" si="385"/>
        <v>0</v>
      </c>
      <c r="H1045" s="5">
        <f>(PARAMS_MODELO!$B$20*(MAX(0,MIN(3,E1045))/3)+PARAMS_MODELO!$B$21*(IFERROR(LN(1+MAX(0,G1045))/LN(1+MAX(0,MAX($G$2:$G$1194))),0)))*100*PARAMS_MODELO!$B$8</f>
        <v>0</v>
      </c>
      <c r="I1045" s="8">
        <f>E1045-PARAMS_MODELO!$B$5</f>
        <v>-0.17756283537552653</v>
      </c>
      <c r="J1045" s="5">
        <f>IF(I1045&lt;=PARAMS_MODELO!$B$18,0,IF(I1045&gt;=PARAMS_MODELO!$B$19,100,100*(I1045-PARAMS_MODELO!$B$18)/(PARAMS_MODELO!$B$19-PARAMS_MODELO!$B$18)))*PARAMS_MODELO!$B$9</f>
        <v>0</v>
      </c>
      <c r="K1045" s="5">
        <f>IFERROR(CHOOSE(MATCH(PARAMS_MODELO!$B$2,{"Q1","Q2","Q3"},0),LOTO!$D1045,LOTO!$F1045,LOTO!$H1045),0)</f>
        <v>0</v>
      </c>
      <c r="L1045" s="8">
        <f t="shared" si="386"/>
        <v>0</v>
      </c>
      <c r="M1045" s="5">
        <f>MIN(100,IF(PARAMS_MODELO!$B$23=0,0,100*L1045/PARAMS_MODELO!$B$23))*PARAMS_MODELO!$B$10</f>
        <v>0</v>
      </c>
      <c r="N1045" s="5">
        <f>IFERROR(VLOOKUP(A1045,COMPLIANCE!$A$2:$F$1996,6,0),100)</f>
        <v>100</v>
      </c>
      <c r="O1045" s="5">
        <f>N1045*PARAMS_MODELO!$B$11</f>
        <v>10</v>
      </c>
      <c r="P1045" s="5">
        <f>IFERROR(VLOOKUP(A1045,DIGITAL!$A$2:$J$2000,7,0),100)</f>
        <v>86</v>
      </c>
      <c r="Q1045" s="5">
        <f>IFERROR(P1045,0)*PARAMS_MODELO!$B$12</f>
        <v>8.6</v>
      </c>
      <c r="R1045">
        <f t="shared" si="387"/>
        <v>18.600000000000001</v>
      </c>
      <c r="S1045" s="5" t="str">
        <f>IFERROR(VLOOKUP(A1045,CLIENTE!$A$2:$N$2000,13,0),1)</f>
        <v>Malo</v>
      </c>
      <c r="T1045" s="5">
        <f>IFERROR(VLOOKUP(A1045,CLIENTE!$A$2:$N$2000,14,0),1)</f>
        <v>0.7</v>
      </c>
      <c r="U1045" s="5">
        <f t="shared" si="388"/>
        <v>13.02</v>
      </c>
      <c r="V1045" s="5" t="str">
        <f>IF(U1045&gt;=MAX(_xlfn.PERCENTILE.INC($U$2:$U$1194,PARAMS_MODELO!$B$50),PARAMS_MODELO!$B$45),"DIAMANTE",IF(U1045&gt;=MAX(_xlfn.PERCENTILE.INC($U$2:$U$1194,PARAMS_MODELO!$B$51),PARAMS_MODELO!$B$46),"PLATINO",IF(U1045&gt;=MAX(_xlfn.PERCENTILE.INC($U$2:$U$1194,PARAMS_MODELO!$B$52),PARAMS_MODELO!$B$47),"ORO",IF(U1045&gt;=MAX(_xlfn.PERCENTILE.INC($U$2:$U$1194,PARAMS_MODELO!$B$53),PARAMS_MODELO!$B$48),"PLATA",IF(U1045&gt;=1,"BRONCE","CERRADO")))))</f>
        <v>BRONCE</v>
      </c>
      <c r="W1045" s="5" t="str" cm="1">
        <f t="array" ref="W1045">_xlfn.XLOOKUP(1, (HIST_SCORE!$B:$B=PARAMS_MODELO!$B$4) * (HIST_SCORE!$C:$C=A1045), HIST_SCORE!$E:$E, "No encontrado")</f>
        <v>BRONCE</v>
      </c>
      <c r="X1045" s="5" t="str">
        <f>_xlfn.LET(_xlpm.act,MATCH(V1045,{"DIAMANTE";"PLATINO";"ORO";"PLATA";"BRONCE";"CERRADO"},0),_xlpm.ant,MATCH(W1045,{"DIAMANTE";"PLATINO";"ORO";"PLATA";"BRONCE";"CERRADO"},0),IF(_xlpm.act&lt;_xlpm.ant,"Mejora ↑",IF(_xlpm.act&gt;_xlpm.ant,"Baja ↓","Estable →")))</f>
        <v>Estable →</v>
      </c>
      <c r="Y1045" s="5">
        <f>IFERROR(U1045-SUMIFS(HIST_SCORE!$D:$D,HIST_SCORE!$B:$B,PARAMS_MODELO!$B$4,HIST_SCORE!$C:$C,$A1045),"")</f>
        <v>0</v>
      </c>
      <c r="Z1045" s="5" t="str">
        <f t="shared" si="389"/>
        <v>→ Estable</v>
      </c>
      <c r="AA1045" s="5">
        <f t="shared" si="390"/>
        <v>1112</v>
      </c>
      <c r="AB1045" s="5">
        <f>IFERROR(SUMIFS(HIST_SCORE!$F:$F,HIST_SCORE!$B:$B,PARAMS_MODELO!$B$4,HIST_SCORE!$C:$C,$A1045),"")</f>
        <v>1110</v>
      </c>
      <c r="AC1045" s="5">
        <f t="shared" si="391"/>
        <v>-2</v>
      </c>
      <c r="AD1045" t="str">
        <f t="shared" si="393"/>
        <v/>
      </c>
      <c r="AE10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1045="CERRADO",1,IF(V1045="BRONCE",_xlpm.cPl,IF(V1045="PLATA",_xlpm.cO,IF(V1045="ORO",_xlpm.cP,IF(V1045="PLATINO",_xlpm.cD,999))))))</f>
        <v>24.506573482968111</v>
      </c>
      <c r="AF10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1045="CERRADO",0,IF(V1045="BRONCE",1,IF(V1045="PLATA",_xlpm.cPl,IF(V1045="ORO",_xlpm.cO,IF(V1045="PLATINO",_xlpm.cP,_xlpm.cD))))))</f>
        <v>1</v>
      </c>
      <c r="AG1045">
        <f t="shared" si="394"/>
        <v>16.409390689954442</v>
      </c>
      <c r="AH1045" t="str">
        <f t="shared" si="395"/>
        <v>VENTAS</v>
      </c>
      <c r="AI1045" t="str">
        <f t="shared" si="392"/>
        <v>🎯 Para subir de categoría, eje VENTAS / CRECIMIENTO PERSONAL (F). Acción: metas semanales + activación comercial + seguimiento del asesor. ΔR aprox: 16,4</v>
      </c>
      <c r="AJ1045" s="26">
        <f>_xlfn.LET(_xlpm.piso,AF1045,_xlpm.corte,AE1045,_xlpm.prog,IF(_xlpm.corte&lt;=_xlpm.piso,0,MAX(0,MIN(1,(U1045-_xlpm.piso)/(_xlpm.corte-_xlpm.piso)))),_xlpm.orden,{"DIAMANTE";"PLATINO";"ORO";"PLATA";"BRONCE";"CERRADO"},_xlpm.act,IFERROR(MATCH(V1045,_xlpm.orden,0),6),_xlpm.ant,IFERROR(MATCH(W1045,_xlpm.orden,0),6),_xlpm.ajmov,IF(_xlpm.act&lt;_xlpm.ant,0.08,IF(_xlpm.act&gt;_xlpm.ant,-0.08,0)),_xlpm.ajcli,IF(T1045&lt;0.95,-0.06,0),_xlpm.prob,MAX(0,MIN(1,_xlpm.prog+_xlpm.ajmov+_xlpm.ajcli)),IF(OR(V1045="DIAMANTE",V1045="CERRADO"),0,ROUND(_xlpm.prob,2)))</f>
        <v>0.45</v>
      </c>
      <c r="AK1045" t="str">
        <f t="shared" si="396"/>
        <v>Faltan 16,4 puntos base para subir a la siguiente categoría</v>
      </c>
      <c r="AL1045" t="str">
        <f t="shared" si="397"/>
        <v>No aplica</v>
      </c>
      <c r="AM1045">
        <f t="shared" si="398"/>
        <v>0.82</v>
      </c>
      <c r="AN1045" t="str">
        <f t="shared" si="399"/>
        <v>PRIORIDAD ALTA – requiere intervención inmediata</v>
      </c>
      <c r="AO1045">
        <f t="shared" si="400"/>
        <v>45.403798492706905</v>
      </c>
      <c r="AP1045">
        <f t="shared" si="401"/>
        <v>10.5</v>
      </c>
      <c r="AQ1045">
        <f t="shared" si="402"/>
        <v>0</v>
      </c>
      <c r="AR1045">
        <f t="shared" si="403"/>
        <v>0.9800000000000002</v>
      </c>
      <c r="AS1045">
        <f t="shared" si="404"/>
        <v>5.580000000000001</v>
      </c>
      <c r="AT1045" t="str">
        <f t="shared" si="405"/>
        <v>VENTAS</v>
      </c>
      <c r="AU1045">
        <f t="shared" si="406"/>
        <v>45.403798492706905</v>
      </c>
      <c r="AV1045" t="str">
        <f t="shared" si="407"/>
        <v>Mayor retorno probable: VENTAS (+45,4 puntos finales potenciales).</v>
      </c>
    </row>
    <row r="1046" spans="1:48" x14ac:dyDescent="0.3">
      <c r="A1046" s="5">
        <v>51014227</v>
      </c>
      <c r="B1046" s="5" t="str">
        <f>IFERROR(VLOOKUP(A1046,VENTAS!$A$2:$B$1194,2,0),"")</f>
        <v/>
      </c>
      <c r="C1046" s="5">
        <f>IFERROR(INDEX(VENTAS!$C$2:$E$1194,MATCH(A1046,VENTAS!$A$2:$A$1194,0),MATCH(PARAMS_MODELO!$B$2,{"Q1","Q2","Q3"},0)),0)</f>
        <v>48776900.149999999</v>
      </c>
      <c r="D1046" s="5">
        <f>IFERROR(INDEX(VENTAS!$F$2:$H$1194,MATCH(A1046,VENTAS!$A$2:$A$1194,0),MATCH(PARAMS_MODELO!$B$2,{"Q1","Q2","Q3"},0)),0)</f>
        <v>0</v>
      </c>
      <c r="E1046" s="8">
        <f t="shared" si="384"/>
        <v>-1</v>
      </c>
      <c r="F1046" s="12">
        <f>IF(E1046&lt;=PARAMS_MODELO!$B$15,0,IF(E1046&gt;=PARAMS_MODELO!$B$17,100,100*MIN(1,(E1046-PARAMS_MODELO!$B$15)/(PARAMS_MODELO!$B$16-PARAMS_MODELO!$B$15))))*PARAMS_MODELO!$B$7</f>
        <v>0</v>
      </c>
      <c r="G1046" s="5">
        <f t="shared" si="385"/>
        <v>0</v>
      </c>
      <c r="H1046" s="5">
        <f>(PARAMS_MODELO!$B$20*(MAX(0,MIN(3,E1046))/3)+PARAMS_MODELO!$B$21*(IFERROR(LN(1+MAX(0,G1046))/LN(1+MAX(0,MAX($G$2:$G$1194))),0)))*100*PARAMS_MODELO!$B$8</f>
        <v>0</v>
      </c>
      <c r="I1046" s="8">
        <f>E1046-PARAMS_MODELO!$B$5</f>
        <v>-1.1775628353755265</v>
      </c>
      <c r="J1046" s="5">
        <f>IF(I1046&lt;=PARAMS_MODELO!$B$18,0,IF(I1046&gt;=PARAMS_MODELO!$B$19,100,100*(I1046-PARAMS_MODELO!$B$18)/(PARAMS_MODELO!$B$19-PARAMS_MODELO!$B$18)))*PARAMS_MODELO!$B$9</f>
        <v>0</v>
      </c>
      <c r="K1046" s="5">
        <f>IFERROR(CHOOSE(MATCH(PARAMS_MODELO!$B$2,{"Q1","Q2","Q3"},0),LOTO!$D1046,LOTO!$F1046,LOTO!$H1046),0)</f>
        <v>0</v>
      </c>
      <c r="L1046" s="8">
        <f t="shared" si="386"/>
        <v>0</v>
      </c>
      <c r="M1046" s="5">
        <f>MIN(100,IF(PARAMS_MODELO!$B$23=0,0,100*L1046/PARAMS_MODELO!$B$23))*PARAMS_MODELO!$B$10</f>
        <v>0</v>
      </c>
      <c r="N1046" s="5">
        <f>IFERROR(VLOOKUP(A1046,COMPLIANCE!$A$2:$F$1996,6,0),100)</f>
        <v>100</v>
      </c>
      <c r="O1046" s="5">
        <f>N1046*PARAMS_MODELO!$B$11</f>
        <v>10</v>
      </c>
      <c r="P1046" s="5">
        <f>IFERROR(VLOOKUP(A1046,DIGITAL!$A$2:$J$2000,7,0),100)</f>
        <v>31</v>
      </c>
      <c r="Q1046" s="5">
        <f>IFERROR(P1046,0)*PARAMS_MODELO!$B$12</f>
        <v>3.1</v>
      </c>
      <c r="R1046">
        <f t="shared" si="387"/>
        <v>13.1</v>
      </c>
      <c r="S1046" s="5" t="str">
        <f>IFERROR(VLOOKUP(A1046,CLIENTE!$A$2:$N$2000,13,0),1)</f>
        <v>Regular</v>
      </c>
      <c r="T1046" s="5">
        <f>IFERROR(VLOOKUP(A1046,CLIENTE!$A$2:$N$2000,14,0),1)</f>
        <v>1</v>
      </c>
      <c r="U1046" s="5">
        <f t="shared" si="388"/>
        <v>13.1</v>
      </c>
      <c r="V1046" s="5" t="str">
        <f>IF(U1046&gt;=MAX(_xlfn.PERCENTILE.INC($U$2:$U$1194,PARAMS_MODELO!$B$50),PARAMS_MODELO!$B$45),"DIAMANTE",IF(U1046&gt;=MAX(_xlfn.PERCENTILE.INC($U$2:$U$1194,PARAMS_MODELO!$B$51),PARAMS_MODELO!$B$46),"PLATINO",IF(U1046&gt;=MAX(_xlfn.PERCENTILE.INC($U$2:$U$1194,PARAMS_MODELO!$B$52),PARAMS_MODELO!$B$47),"ORO",IF(U1046&gt;=MAX(_xlfn.PERCENTILE.INC($U$2:$U$1194,PARAMS_MODELO!$B$53),PARAMS_MODELO!$B$48),"PLATA",IF(U1046&gt;=1,"BRONCE","CERRADO")))))</f>
        <v>BRONCE</v>
      </c>
      <c r="W1046" s="5" t="str" cm="1">
        <f t="array" ref="W1046">_xlfn.XLOOKUP(1, (HIST_SCORE!$B:$B=PARAMS_MODELO!$B$4) * (HIST_SCORE!$C:$C=A1046), HIST_SCORE!$E:$E, "No encontrado")</f>
        <v>BRONCE</v>
      </c>
      <c r="X1046" s="5" t="str">
        <f>_xlfn.LET(_xlpm.act,MATCH(V1046,{"DIAMANTE";"PLATINO";"ORO";"PLATA";"BRONCE";"CERRADO"},0),_xlpm.ant,MATCH(W1046,{"DIAMANTE";"PLATINO";"ORO";"PLATA";"BRONCE";"CERRADO"},0),IF(_xlpm.act&lt;_xlpm.ant,"Mejora ↑",IF(_xlpm.act&gt;_xlpm.ant,"Baja ↓","Estable →")))</f>
        <v>Estable →</v>
      </c>
      <c r="Y1046" s="5">
        <f>IFERROR(U1046-SUMIFS(HIST_SCORE!$D:$D,HIST_SCORE!$B:$B,PARAMS_MODELO!$B$4,HIST_SCORE!$C:$C,$A1046),"")</f>
        <v>0</v>
      </c>
      <c r="Z1046" s="5" t="str">
        <f t="shared" si="389"/>
        <v>→ Estable</v>
      </c>
      <c r="AA1046" s="5">
        <f t="shared" si="390"/>
        <v>1109</v>
      </c>
      <c r="AB1046" s="5">
        <f>IFERROR(SUMIFS(HIST_SCORE!$F:$F,HIST_SCORE!$B:$B,PARAMS_MODELO!$B$4,HIST_SCORE!$C:$C,$A1046),"")</f>
        <v>1107</v>
      </c>
      <c r="AC1046" s="5">
        <f t="shared" si="391"/>
        <v>-2</v>
      </c>
      <c r="AD1046" t="str">
        <f t="shared" si="393"/>
        <v/>
      </c>
      <c r="AE10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1046="CERRADO",1,IF(V1046="BRONCE",_xlpm.cPl,IF(V1046="PLATA",_xlpm.cO,IF(V1046="ORO",_xlpm.cP,IF(V1046="PLATINO",_xlpm.cD,999))))))</f>
        <v>24.506573482968111</v>
      </c>
      <c r="AF10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1046="CERRADO",0,IF(V1046="BRONCE",1,IF(V1046="PLATA",_xlpm.cPl,IF(V1046="ORO",_xlpm.cO,IF(V1046="PLATINO",_xlpm.cP,_xlpm.cD))))))</f>
        <v>1</v>
      </c>
      <c r="AG1046">
        <f t="shared" si="394"/>
        <v>11.406573482968112</v>
      </c>
      <c r="AH1046" t="str">
        <f t="shared" si="395"/>
        <v>VENTAS</v>
      </c>
      <c r="AI1046" t="str">
        <f t="shared" si="392"/>
        <v>🎯 Para subir de categoría, eje VENTAS / CRECIMIENTO PERSONAL (F). Acción: metas semanales + activación comercial + seguimiento del asesor. ΔR aprox: 11,4</v>
      </c>
      <c r="AJ1046" s="26">
        <f>_xlfn.LET(_xlpm.piso,AF1046,_xlpm.corte,AE1046,_xlpm.prog,IF(_xlpm.corte&lt;=_xlpm.piso,0,MAX(0,MIN(1,(U1046-_xlpm.piso)/(_xlpm.corte-_xlpm.piso)))),_xlpm.orden,{"DIAMANTE";"PLATINO";"ORO";"PLATA";"BRONCE";"CERRADO"},_xlpm.act,IFERROR(MATCH(V1046,_xlpm.orden,0),6),_xlpm.ant,IFERROR(MATCH(W1046,_xlpm.orden,0),6),_xlpm.ajmov,IF(_xlpm.act&lt;_xlpm.ant,0.08,IF(_xlpm.act&gt;_xlpm.ant,-0.08,0)),_xlpm.ajcli,IF(T1046&lt;0.95,-0.06,0),_xlpm.prob,MAX(0,MIN(1,_xlpm.prog+_xlpm.ajmov+_xlpm.ajcli)),IF(OR(V1046="DIAMANTE",V1046="CERRADO"),0,ROUND(_xlpm.prob,2)))</f>
        <v>0.51</v>
      </c>
      <c r="AK1046" t="str">
        <f t="shared" si="396"/>
        <v>Faltan 11,4 puntos base para subir a la siguiente categoría</v>
      </c>
      <c r="AL1046" t="str">
        <f t="shared" si="397"/>
        <v>No aplica</v>
      </c>
      <c r="AM1046">
        <f t="shared" si="398"/>
        <v>0.6</v>
      </c>
      <c r="AN1046" t="str">
        <f t="shared" si="399"/>
        <v>PRIORIDAD MEDIA – seguimiento del asesor</v>
      </c>
      <c r="AO1046">
        <f t="shared" si="400"/>
        <v>64.862569275295584</v>
      </c>
      <c r="AP1046">
        <f t="shared" si="401"/>
        <v>15</v>
      </c>
      <c r="AQ1046">
        <f t="shared" si="402"/>
        <v>0</v>
      </c>
      <c r="AR1046">
        <f t="shared" si="403"/>
        <v>6.9</v>
      </c>
      <c r="AS1046">
        <f t="shared" si="404"/>
        <v>0</v>
      </c>
      <c r="AT1046" t="str">
        <f t="shared" si="405"/>
        <v>VENTAS</v>
      </c>
      <c r="AU1046">
        <f t="shared" si="406"/>
        <v>64.862569275295584</v>
      </c>
      <c r="AV1046" t="str">
        <f t="shared" si="407"/>
        <v>Mayor retorno probable: VENTAS (+64,9 puntos finales potenciales).</v>
      </c>
    </row>
    <row r="1047" spans="1:48" x14ac:dyDescent="0.3">
      <c r="A1047" s="5">
        <v>51014651</v>
      </c>
      <c r="B1047" s="5" t="str">
        <f>IFERROR(VLOOKUP(A1047,VENTAS!$A$2:$B$1194,2,0),"")</f>
        <v/>
      </c>
      <c r="C1047" s="5">
        <f>IFERROR(INDEX(VENTAS!$C$2:$E$1194,MATCH(A1047,VENTAS!$A$2:$A$1194,0),MATCH(PARAMS_MODELO!$B$2,{"Q1","Q2","Q3"},0)),0)</f>
        <v>0</v>
      </c>
      <c r="D1047" s="5">
        <f>IFERROR(INDEX(VENTAS!$F$2:$H$1194,MATCH(A1047,VENTAS!$A$2:$A$1194,0),MATCH(PARAMS_MODELO!$B$2,{"Q1","Q2","Q3"},0)),0)</f>
        <v>0</v>
      </c>
      <c r="E1047" s="8">
        <f t="shared" si="384"/>
        <v>0</v>
      </c>
      <c r="F1047" s="12">
        <f>IF(E1047&lt;=PARAMS_MODELO!$B$15,0,IF(E1047&gt;=PARAMS_MODELO!$B$17,100,100*MIN(1,(E1047-PARAMS_MODELO!$B$15)/(PARAMS_MODELO!$B$16-PARAMS_MODELO!$B$15))))*PARAMS_MODELO!$B$7</f>
        <v>0</v>
      </c>
      <c r="G1047" s="5">
        <f t="shared" si="385"/>
        <v>0</v>
      </c>
      <c r="H1047" s="5">
        <f>(PARAMS_MODELO!$B$20*(MAX(0,MIN(3,E1047))/3)+PARAMS_MODELO!$B$21*(IFERROR(LN(1+MAX(0,G1047))/LN(1+MAX(0,MAX($G$2:$G$1194))),0)))*100*PARAMS_MODELO!$B$8</f>
        <v>0</v>
      </c>
      <c r="I1047" s="8">
        <f>E1047-PARAMS_MODELO!$B$5</f>
        <v>-0.17756283537552653</v>
      </c>
      <c r="J1047" s="5">
        <f>IF(I1047&lt;=PARAMS_MODELO!$B$18,0,IF(I1047&gt;=PARAMS_MODELO!$B$19,100,100*(I1047-PARAMS_MODELO!$B$18)/(PARAMS_MODELO!$B$19-PARAMS_MODELO!$B$18)))*PARAMS_MODELO!$B$9</f>
        <v>0</v>
      </c>
      <c r="K1047" s="5">
        <f>IFERROR(CHOOSE(MATCH(PARAMS_MODELO!$B$2,{"Q1","Q2","Q3"},0),LOTO!$D1047,LOTO!$F1047,LOTO!$H1047),0)</f>
        <v>0</v>
      </c>
      <c r="L1047" s="8">
        <f t="shared" si="386"/>
        <v>0</v>
      </c>
      <c r="M1047" s="5">
        <f>MIN(100,IF(PARAMS_MODELO!$B$23=0,0,100*L1047/PARAMS_MODELO!$B$23))*PARAMS_MODELO!$B$10</f>
        <v>0</v>
      </c>
      <c r="N1047" s="5">
        <f>IFERROR(VLOOKUP(A1047,COMPLIANCE!$A$2:$F$1996,6,0),100)</f>
        <v>100</v>
      </c>
      <c r="O1047" s="5">
        <f>N1047*PARAMS_MODELO!$B$11</f>
        <v>10</v>
      </c>
      <c r="P1047" s="5">
        <f>IFERROR(VLOOKUP(A1047,DIGITAL!$A$2:$J$2000,7,0),100)</f>
        <v>38</v>
      </c>
      <c r="Q1047" s="5">
        <f>IFERROR(P1047,0)*PARAMS_MODELO!$B$12</f>
        <v>3.8000000000000003</v>
      </c>
      <c r="R1047">
        <f t="shared" si="387"/>
        <v>13.8</v>
      </c>
      <c r="S1047" s="5" t="str">
        <f>IFERROR(VLOOKUP(A1047,CLIENTE!$A$2:$N$2000,13,0),1)</f>
        <v>Regular</v>
      </c>
      <c r="T1047" s="5">
        <f>IFERROR(VLOOKUP(A1047,CLIENTE!$A$2:$N$2000,14,0),1)</f>
        <v>1</v>
      </c>
      <c r="U1047" s="5">
        <f t="shared" si="388"/>
        <v>13.8</v>
      </c>
      <c r="V1047" s="5" t="str">
        <f>IF(U1047&gt;=MAX(_xlfn.PERCENTILE.INC($U$2:$U$1194,PARAMS_MODELO!$B$50),PARAMS_MODELO!$B$45),"DIAMANTE",IF(U1047&gt;=MAX(_xlfn.PERCENTILE.INC($U$2:$U$1194,PARAMS_MODELO!$B$51),PARAMS_MODELO!$B$46),"PLATINO",IF(U1047&gt;=MAX(_xlfn.PERCENTILE.INC($U$2:$U$1194,PARAMS_MODELO!$B$52),PARAMS_MODELO!$B$47),"ORO",IF(U1047&gt;=MAX(_xlfn.PERCENTILE.INC($U$2:$U$1194,PARAMS_MODELO!$B$53),PARAMS_MODELO!$B$48),"PLATA",IF(U1047&gt;=1,"BRONCE","CERRADO")))))</f>
        <v>BRONCE</v>
      </c>
      <c r="W1047" s="5" t="str" cm="1">
        <f t="array" ref="W1047">_xlfn.XLOOKUP(1, (HIST_SCORE!$B:$B=PARAMS_MODELO!$B$4) * (HIST_SCORE!$C:$C=A1047), HIST_SCORE!$E:$E, "No encontrado")</f>
        <v>BRONCE</v>
      </c>
      <c r="X1047" s="5" t="str">
        <f>_xlfn.LET(_xlpm.act,MATCH(V1047,{"DIAMANTE";"PLATINO";"ORO";"PLATA";"BRONCE";"CERRADO"},0),_xlpm.ant,MATCH(W1047,{"DIAMANTE";"PLATINO";"ORO";"PLATA";"BRONCE";"CERRADO"},0),IF(_xlpm.act&lt;_xlpm.ant,"Mejora ↑",IF(_xlpm.act&gt;_xlpm.ant,"Baja ↓","Estable →")))</f>
        <v>Estable →</v>
      </c>
      <c r="Y1047" s="5">
        <f>IFERROR(U1047-SUMIFS(HIST_SCORE!$D:$D,HIST_SCORE!$B:$B,PARAMS_MODELO!$B$4,HIST_SCORE!$C:$C,$A1047),"")</f>
        <v>0</v>
      </c>
      <c r="Z1047" s="5" t="str">
        <f t="shared" si="389"/>
        <v>→ Estable</v>
      </c>
      <c r="AA1047" s="5">
        <f t="shared" si="390"/>
        <v>1090</v>
      </c>
      <c r="AB1047" s="5">
        <f>IFERROR(SUMIFS(HIST_SCORE!$F:$F,HIST_SCORE!$B:$B,PARAMS_MODELO!$B$4,HIST_SCORE!$C:$C,$A1047),"")</f>
        <v>1088</v>
      </c>
      <c r="AC1047" s="5">
        <f t="shared" si="391"/>
        <v>-2</v>
      </c>
      <c r="AD1047" t="str">
        <f t="shared" si="393"/>
        <v/>
      </c>
      <c r="AE10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1047="CERRADO",1,IF(V1047="BRONCE",_xlpm.cPl,IF(V1047="PLATA",_xlpm.cO,IF(V1047="ORO",_xlpm.cP,IF(V1047="PLATINO",_xlpm.cD,999))))))</f>
        <v>24.506573482968111</v>
      </c>
      <c r="AF10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1047="CERRADO",0,IF(V1047="BRONCE",1,IF(V1047="PLATA",_xlpm.cPl,IF(V1047="ORO",_xlpm.cO,IF(V1047="PLATINO",_xlpm.cP,_xlpm.cD))))))</f>
        <v>1</v>
      </c>
      <c r="AG1047">
        <f t="shared" si="394"/>
        <v>10.706573482968111</v>
      </c>
      <c r="AH1047" t="str">
        <f t="shared" si="395"/>
        <v>VENTAS</v>
      </c>
      <c r="AI1047" t="str">
        <f t="shared" si="392"/>
        <v>🎯 Para subir de categoría, eje VENTAS / CRECIMIENTO PERSONAL (F). Acción: metas semanales + activación comercial + seguimiento del asesor. ΔR aprox: 10,7</v>
      </c>
      <c r="AJ1047" s="26">
        <f>_xlfn.LET(_xlpm.piso,AF1047,_xlpm.corte,AE1047,_xlpm.prog,IF(_xlpm.corte&lt;=_xlpm.piso,0,MAX(0,MIN(1,(U1047-_xlpm.piso)/(_xlpm.corte-_xlpm.piso)))),_xlpm.orden,{"DIAMANTE";"PLATINO";"ORO";"PLATA";"BRONCE";"CERRADO"},_xlpm.act,IFERROR(MATCH(V1047,_xlpm.orden,0),6),_xlpm.ant,IFERROR(MATCH(W1047,_xlpm.orden,0),6),_xlpm.ajmov,IF(_xlpm.act&lt;_xlpm.ant,0.08,IF(_xlpm.act&gt;_xlpm.ant,-0.08,0)),_xlpm.ajcli,IF(T1047&lt;0.95,-0.06,0),_xlpm.prob,MAX(0,MIN(1,_xlpm.prog+_xlpm.ajmov+_xlpm.ajcli)),IF(OR(V1047="DIAMANTE",V1047="CERRADO"),0,ROUND(_xlpm.prob,2)))</f>
        <v>0.54</v>
      </c>
      <c r="AK1047" t="str">
        <f t="shared" si="396"/>
        <v>Faltan 10,7 puntos base para subir a la siguiente categoría</v>
      </c>
      <c r="AL1047" t="str">
        <f t="shared" si="397"/>
        <v>No aplica</v>
      </c>
      <c r="AM1047">
        <f t="shared" si="398"/>
        <v>0.57999999999999996</v>
      </c>
      <c r="AN1047" t="str">
        <f t="shared" si="399"/>
        <v>PRIORIDAD MEDIA – seguimiento del asesor</v>
      </c>
      <c r="AO1047">
        <f t="shared" si="400"/>
        <v>64.862569275295584</v>
      </c>
      <c r="AP1047">
        <f t="shared" si="401"/>
        <v>15</v>
      </c>
      <c r="AQ1047">
        <f t="shared" si="402"/>
        <v>0</v>
      </c>
      <c r="AR1047">
        <f t="shared" si="403"/>
        <v>6.1999999999999993</v>
      </c>
      <c r="AS1047">
        <f t="shared" si="404"/>
        <v>0</v>
      </c>
      <c r="AT1047" t="str">
        <f t="shared" si="405"/>
        <v>VENTAS</v>
      </c>
      <c r="AU1047">
        <f t="shared" si="406"/>
        <v>64.862569275295584</v>
      </c>
      <c r="AV1047" t="str">
        <f t="shared" si="407"/>
        <v>Mayor retorno probable: VENTAS (+64,9 puntos finales potenciales).</v>
      </c>
    </row>
    <row r="1048" spans="1:48" x14ac:dyDescent="0.3">
      <c r="A1048" s="5">
        <v>51014723</v>
      </c>
      <c r="B1048" s="5" t="str">
        <f>IFERROR(VLOOKUP(A1048,VENTAS!$A$2:$B$1194,2,0),"")</f>
        <v/>
      </c>
      <c r="C1048" s="5">
        <f>IFERROR(INDEX(VENTAS!$C$2:$E$1194,MATCH(A1048,VENTAS!$A$2:$A$1194,0),MATCH(PARAMS_MODELO!$B$2,{"Q1","Q2","Q3"},0)),0)</f>
        <v>32626377.300000001</v>
      </c>
      <c r="D1048" s="5">
        <f>IFERROR(INDEX(VENTAS!$F$2:$H$1194,MATCH(A1048,VENTAS!$A$2:$A$1194,0),MATCH(PARAMS_MODELO!$B$2,{"Q1","Q2","Q3"},0)),0)</f>
        <v>0</v>
      </c>
      <c r="E1048" s="8">
        <f t="shared" si="384"/>
        <v>-1</v>
      </c>
      <c r="F1048" s="12">
        <f>IF(E1048&lt;=PARAMS_MODELO!$B$15,0,IF(E1048&gt;=PARAMS_MODELO!$B$17,100,100*MIN(1,(E1048-PARAMS_MODELO!$B$15)/(PARAMS_MODELO!$B$16-PARAMS_MODELO!$B$15))))*PARAMS_MODELO!$B$7</f>
        <v>0</v>
      </c>
      <c r="G1048" s="5">
        <f t="shared" si="385"/>
        <v>0</v>
      </c>
      <c r="H1048" s="5">
        <f>(PARAMS_MODELO!$B$20*(MAX(0,MIN(3,E1048))/3)+PARAMS_MODELO!$B$21*(IFERROR(LN(1+MAX(0,G1048))/LN(1+MAX(0,MAX($G$2:$G$1194))),0)))*100*PARAMS_MODELO!$B$8</f>
        <v>0</v>
      </c>
      <c r="I1048" s="8">
        <f>E1048-PARAMS_MODELO!$B$5</f>
        <v>-1.1775628353755265</v>
      </c>
      <c r="J1048" s="5">
        <f>IF(I1048&lt;=PARAMS_MODELO!$B$18,0,IF(I1048&gt;=PARAMS_MODELO!$B$19,100,100*(I1048-PARAMS_MODELO!$B$18)/(PARAMS_MODELO!$B$19-PARAMS_MODELO!$B$18)))*PARAMS_MODELO!$B$9</f>
        <v>0</v>
      </c>
      <c r="K1048" s="5">
        <f>IFERROR(CHOOSE(MATCH(PARAMS_MODELO!$B$2,{"Q1","Q2","Q3"},0),LOTO!$D1048,LOTO!$F1048,LOTO!$H1048),0)</f>
        <v>0</v>
      </c>
      <c r="L1048" s="8">
        <f t="shared" si="386"/>
        <v>0</v>
      </c>
      <c r="M1048" s="5">
        <f>MIN(100,IF(PARAMS_MODELO!$B$23=0,0,100*L1048/PARAMS_MODELO!$B$23))*PARAMS_MODELO!$B$10</f>
        <v>0</v>
      </c>
      <c r="N1048" s="5">
        <f>IFERROR(VLOOKUP(A1048,COMPLIANCE!$A$2:$F$1996,6,0),100)</f>
        <v>100</v>
      </c>
      <c r="O1048" s="5">
        <f>N1048*PARAMS_MODELO!$B$11</f>
        <v>10</v>
      </c>
      <c r="P1048" s="5">
        <f>IFERROR(VLOOKUP(A1048,DIGITAL!$A$2:$J$2000,7,0),100)</f>
        <v>62</v>
      </c>
      <c r="Q1048" s="5">
        <f>IFERROR(P1048,0)*PARAMS_MODELO!$B$12</f>
        <v>6.2</v>
      </c>
      <c r="R1048">
        <f t="shared" si="387"/>
        <v>16.2</v>
      </c>
      <c r="S1048" s="5" t="str">
        <f>IFERROR(VLOOKUP(A1048,CLIENTE!$A$2:$N$2000,13,0),1)</f>
        <v>Malo</v>
      </c>
      <c r="T1048" s="5">
        <f>IFERROR(VLOOKUP(A1048,CLIENTE!$A$2:$N$2000,14,0),1)</f>
        <v>0.7</v>
      </c>
      <c r="U1048" s="5">
        <f t="shared" si="388"/>
        <v>11.339999999999998</v>
      </c>
      <c r="V1048" s="5" t="str">
        <f>IF(U1048&gt;=MAX(_xlfn.PERCENTILE.INC($U$2:$U$1194,PARAMS_MODELO!$B$50),PARAMS_MODELO!$B$45),"DIAMANTE",IF(U1048&gt;=MAX(_xlfn.PERCENTILE.INC($U$2:$U$1194,PARAMS_MODELO!$B$51),PARAMS_MODELO!$B$46),"PLATINO",IF(U1048&gt;=MAX(_xlfn.PERCENTILE.INC($U$2:$U$1194,PARAMS_MODELO!$B$52),PARAMS_MODELO!$B$47),"ORO",IF(U1048&gt;=MAX(_xlfn.PERCENTILE.INC($U$2:$U$1194,PARAMS_MODELO!$B$53),PARAMS_MODELO!$B$48),"PLATA",IF(U1048&gt;=1,"BRONCE","CERRADO")))))</f>
        <v>BRONCE</v>
      </c>
      <c r="W1048" s="5" t="str" cm="1">
        <f t="array" ref="W1048">_xlfn.XLOOKUP(1, (HIST_SCORE!$B:$B=PARAMS_MODELO!$B$4) * (HIST_SCORE!$C:$C=A1048), HIST_SCORE!$E:$E, "No encontrado")</f>
        <v>BRONCE</v>
      </c>
      <c r="X1048" s="5" t="str">
        <f>_xlfn.LET(_xlpm.act,MATCH(V1048,{"DIAMANTE";"PLATINO";"ORO";"PLATA";"BRONCE";"CERRADO"},0),_xlpm.ant,MATCH(W1048,{"DIAMANTE";"PLATINO";"ORO";"PLATA";"BRONCE";"CERRADO"},0),IF(_xlpm.act&lt;_xlpm.ant,"Mejora ↑",IF(_xlpm.act&gt;_xlpm.ant,"Baja ↓","Estable →")))</f>
        <v>Estable →</v>
      </c>
      <c r="Y1048" s="5">
        <f>IFERROR(U1048-SUMIFS(HIST_SCORE!$D:$D,HIST_SCORE!$B:$B,PARAMS_MODELO!$B$4,HIST_SCORE!$C:$C,$A1048),"")</f>
        <v>0</v>
      </c>
      <c r="Z1048" s="5" t="str">
        <f t="shared" si="389"/>
        <v>→ Estable</v>
      </c>
      <c r="AA1048" s="5">
        <f t="shared" si="390"/>
        <v>1140</v>
      </c>
      <c r="AB1048" s="5">
        <f>IFERROR(SUMIFS(HIST_SCORE!$F:$F,HIST_SCORE!$B:$B,PARAMS_MODELO!$B$4,HIST_SCORE!$C:$C,$A1048),"")</f>
        <v>1138</v>
      </c>
      <c r="AC1048" s="5">
        <f t="shared" si="391"/>
        <v>-2</v>
      </c>
      <c r="AD1048" t="str">
        <f t="shared" si="393"/>
        <v/>
      </c>
      <c r="AE10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1048="CERRADO",1,IF(V1048="BRONCE",_xlpm.cPl,IF(V1048="PLATA",_xlpm.cO,IF(V1048="ORO",_xlpm.cP,IF(V1048="PLATINO",_xlpm.cD,999))))))</f>
        <v>24.506573482968111</v>
      </c>
      <c r="AF10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1048="CERRADO",0,IF(V1048="BRONCE",1,IF(V1048="PLATA",_xlpm.cPl,IF(V1048="ORO",_xlpm.cO,IF(V1048="PLATINO",_xlpm.cP,_xlpm.cD))))))</f>
        <v>1</v>
      </c>
      <c r="AG1048">
        <f t="shared" si="394"/>
        <v>18.809390689954444</v>
      </c>
      <c r="AH1048" t="str">
        <f t="shared" si="395"/>
        <v>VENTAS</v>
      </c>
      <c r="AI1048" t="str">
        <f t="shared" si="392"/>
        <v>🎯 Para subir de categoría, eje VENTAS / CRECIMIENTO PERSONAL (F). Acción: metas semanales + activación comercial + seguimiento del asesor. ΔR aprox: 18,8</v>
      </c>
      <c r="AJ1048" s="26">
        <f>_xlfn.LET(_xlpm.piso,AF1048,_xlpm.corte,AE1048,_xlpm.prog,IF(_xlpm.corte&lt;=_xlpm.piso,0,MAX(0,MIN(1,(U1048-_xlpm.piso)/(_xlpm.corte-_xlpm.piso)))),_xlpm.orden,{"DIAMANTE";"PLATINO";"ORO";"PLATA";"BRONCE";"CERRADO"},_xlpm.act,IFERROR(MATCH(V1048,_xlpm.orden,0),6),_xlpm.ant,IFERROR(MATCH(W1048,_xlpm.orden,0),6),_xlpm.ajmov,IF(_xlpm.act&lt;_xlpm.ant,0.08,IF(_xlpm.act&gt;_xlpm.ant,-0.08,0)),_xlpm.ajcli,IF(T1048&lt;0.95,-0.06,0),_xlpm.prob,MAX(0,MIN(1,_xlpm.prog+_xlpm.ajmov+_xlpm.ajcli)),IF(OR(V1048="DIAMANTE",V1048="CERRADO"),0,ROUND(_xlpm.prob,2)))</f>
        <v>0.38</v>
      </c>
      <c r="AK1048" t="str">
        <f t="shared" si="396"/>
        <v>Faltan 18,8 puntos base para subir a la siguiente categoría</v>
      </c>
      <c r="AL1048" t="str">
        <f t="shared" si="397"/>
        <v>No aplica</v>
      </c>
      <c r="AM1048">
        <f t="shared" si="398"/>
        <v>0.85</v>
      </c>
      <c r="AN1048" t="str">
        <f t="shared" si="399"/>
        <v>PRIORIDAD ALTA – requiere intervención inmediata</v>
      </c>
      <c r="AO1048">
        <f t="shared" si="400"/>
        <v>45.403798492706905</v>
      </c>
      <c r="AP1048">
        <f t="shared" si="401"/>
        <v>10.5</v>
      </c>
      <c r="AQ1048">
        <f t="shared" si="402"/>
        <v>0</v>
      </c>
      <c r="AR1048">
        <f t="shared" si="403"/>
        <v>2.6599999999999997</v>
      </c>
      <c r="AS1048">
        <f t="shared" si="404"/>
        <v>4.8600000000000003</v>
      </c>
      <c r="AT1048" t="str">
        <f t="shared" si="405"/>
        <v>VENTAS</v>
      </c>
      <c r="AU1048">
        <f t="shared" si="406"/>
        <v>45.403798492706905</v>
      </c>
      <c r="AV1048" t="str">
        <f t="shared" si="407"/>
        <v>Mayor retorno probable: VENTAS (+45,4 puntos finales potenciales).</v>
      </c>
    </row>
    <row r="1049" spans="1:48" x14ac:dyDescent="0.3">
      <c r="A1049" s="5">
        <v>51015282</v>
      </c>
      <c r="B1049" s="5" t="str">
        <f>IFERROR(VLOOKUP(A1049,VENTAS!$A$2:$B$1194,2,0),"")</f>
        <v/>
      </c>
      <c r="C1049" s="5">
        <f>IFERROR(INDEX(VENTAS!$C$2:$E$1194,MATCH(A1049,VENTAS!$A$2:$A$1194,0),MATCH(PARAMS_MODELO!$B$2,{"Q1","Q2","Q3"},0)),0)</f>
        <v>83490</v>
      </c>
      <c r="D1049" s="5">
        <f>IFERROR(INDEX(VENTAS!$F$2:$H$1194,MATCH(A1049,VENTAS!$A$2:$A$1194,0),MATCH(PARAMS_MODELO!$B$2,{"Q1","Q2","Q3"},0)),0)</f>
        <v>0</v>
      </c>
      <c r="E1049" s="8">
        <f t="shared" si="384"/>
        <v>-1</v>
      </c>
      <c r="F1049" s="12">
        <f>IF(E1049&lt;=PARAMS_MODELO!$B$15,0,IF(E1049&gt;=PARAMS_MODELO!$B$17,100,100*MIN(1,(E1049-PARAMS_MODELO!$B$15)/(PARAMS_MODELO!$B$16-PARAMS_MODELO!$B$15))))*PARAMS_MODELO!$B$7</f>
        <v>0</v>
      </c>
      <c r="G1049" s="5">
        <f t="shared" si="385"/>
        <v>0</v>
      </c>
      <c r="H1049" s="5">
        <f>(PARAMS_MODELO!$B$20*(MAX(0,MIN(3,E1049))/3)+PARAMS_MODELO!$B$21*(IFERROR(LN(1+MAX(0,G1049))/LN(1+MAX(0,MAX($G$2:$G$1194))),0)))*100*PARAMS_MODELO!$B$8</f>
        <v>0</v>
      </c>
      <c r="I1049" s="8">
        <f>E1049-PARAMS_MODELO!$B$5</f>
        <v>-1.1775628353755265</v>
      </c>
      <c r="J1049" s="5">
        <f>IF(I1049&lt;=PARAMS_MODELO!$B$18,0,IF(I1049&gt;=PARAMS_MODELO!$B$19,100,100*(I1049-PARAMS_MODELO!$B$18)/(PARAMS_MODELO!$B$19-PARAMS_MODELO!$B$18)))*PARAMS_MODELO!$B$9</f>
        <v>0</v>
      </c>
      <c r="K1049" s="5">
        <f>IFERROR(CHOOSE(MATCH(PARAMS_MODELO!$B$2,{"Q1","Q2","Q3"},0),LOTO!$D1049,LOTO!$F1049,LOTO!$H1049),0)</f>
        <v>0</v>
      </c>
      <c r="L1049" s="8">
        <f t="shared" si="386"/>
        <v>0</v>
      </c>
      <c r="M1049" s="5">
        <f>MIN(100,IF(PARAMS_MODELO!$B$23=0,0,100*L1049/PARAMS_MODELO!$B$23))*PARAMS_MODELO!$B$10</f>
        <v>0</v>
      </c>
      <c r="N1049" s="5">
        <f>IFERROR(VLOOKUP(A1049,COMPLIANCE!$A$2:$F$1996,6,0),100)</f>
        <v>100</v>
      </c>
      <c r="O1049" s="5">
        <f>N1049*PARAMS_MODELO!$B$11</f>
        <v>10</v>
      </c>
      <c r="P1049" s="5">
        <f>IFERROR(VLOOKUP(A1049,DIGITAL!$A$2:$J$2000,7,0),100)</f>
        <v>14</v>
      </c>
      <c r="Q1049" s="5">
        <f>IFERROR(P1049,0)*PARAMS_MODELO!$B$12</f>
        <v>1.4000000000000001</v>
      </c>
      <c r="R1049">
        <f t="shared" si="387"/>
        <v>11.4</v>
      </c>
      <c r="S1049" s="5" t="str">
        <f>IFERROR(VLOOKUP(A1049,CLIENTE!$A$2:$N$2000,13,0),1)</f>
        <v>Bueno</v>
      </c>
      <c r="T1049" s="5">
        <f>IFERROR(VLOOKUP(A1049,CLIENTE!$A$2:$N$2000,14,0),1)</f>
        <v>1.1000000000000001</v>
      </c>
      <c r="U1049" s="5">
        <f t="shared" si="388"/>
        <v>12.540000000000001</v>
      </c>
      <c r="V1049" s="5" t="str">
        <f>IF(U1049&gt;=MAX(_xlfn.PERCENTILE.INC($U$2:$U$1194,PARAMS_MODELO!$B$50),PARAMS_MODELO!$B$45),"DIAMANTE",IF(U1049&gt;=MAX(_xlfn.PERCENTILE.INC($U$2:$U$1194,PARAMS_MODELO!$B$51),PARAMS_MODELO!$B$46),"PLATINO",IF(U1049&gt;=MAX(_xlfn.PERCENTILE.INC($U$2:$U$1194,PARAMS_MODELO!$B$52),PARAMS_MODELO!$B$47),"ORO",IF(U1049&gt;=MAX(_xlfn.PERCENTILE.INC($U$2:$U$1194,PARAMS_MODELO!$B$53),PARAMS_MODELO!$B$48),"PLATA",IF(U1049&gt;=1,"BRONCE","CERRADO")))))</f>
        <v>BRONCE</v>
      </c>
      <c r="W1049" s="5" t="str" cm="1">
        <f t="array" ref="W1049">_xlfn.XLOOKUP(1, (HIST_SCORE!$B:$B=PARAMS_MODELO!$B$4) * (HIST_SCORE!$C:$C=A1049), HIST_SCORE!$E:$E, "No encontrado")</f>
        <v>BRONCE</v>
      </c>
      <c r="X1049" s="5" t="str">
        <f>_xlfn.LET(_xlpm.act,MATCH(V1049,{"DIAMANTE";"PLATINO";"ORO";"PLATA";"BRONCE";"CERRADO"},0),_xlpm.ant,MATCH(W1049,{"DIAMANTE";"PLATINO";"ORO";"PLATA";"BRONCE";"CERRADO"},0),IF(_xlpm.act&lt;_xlpm.ant,"Mejora ↑",IF(_xlpm.act&gt;_xlpm.ant,"Baja ↓","Estable →")))</f>
        <v>Estable →</v>
      </c>
      <c r="Y1049" s="5">
        <f>IFERROR(U1049-SUMIFS(HIST_SCORE!$D:$D,HIST_SCORE!$B:$B,PARAMS_MODELO!$B$4,HIST_SCORE!$C:$C,$A1049),"")</f>
        <v>0</v>
      </c>
      <c r="Z1049" s="5" t="str">
        <f t="shared" si="389"/>
        <v>→ Estable</v>
      </c>
      <c r="AA1049" s="5">
        <f t="shared" si="390"/>
        <v>1124</v>
      </c>
      <c r="AB1049" s="5">
        <f>IFERROR(SUMIFS(HIST_SCORE!$F:$F,HIST_SCORE!$B:$B,PARAMS_MODELO!$B$4,HIST_SCORE!$C:$C,$A1049),"")</f>
        <v>1123</v>
      </c>
      <c r="AC1049" s="5">
        <f t="shared" si="391"/>
        <v>-1</v>
      </c>
      <c r="AD1049" t="str">
        <f t="shared" si="393"/>
        <v/>
      </c>
      <c r="AE10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1049="CERRADO",1,IF(V1049="BRONCE",_xlpm.cPl,IF(V1049="PLATA",_xlpm.cO,IF(V1049="ORO",_xlpm.cP,IF(V1049="PLATINO",_xlpm.cD,999))))))</f>
        <v>24.506573482968111</v>
      </c>
      <c r="AF10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1049="CERRADO",0,IF(V1049="BRONCE",1,IF(V1049="PLATA",_xlpm.cPl,IF(V1049="ORO",_xlpm.cO,IF(V1049="PLATINO",_xlpm.cP,_xlpm.cD))))))</f>
        <v>1</v>
      </c>
      <c r="AG1049">
        <f t="shared" si="394"/>
        <v>10.878703166334644</v>
      </c>
      <c r="AH1049" t="str">
        <f t="shared" si="395"/>
        <v>VENTAS</v>
      </c>
      <c r="AI1049" t="str">
        <f t="shared" si="392"/>
        <v>🎯 Para subir de categoría, eje VENTAS / CRECIMIENTO PERSONAL (F). Acción: metas semanales + activación comercial + seguimiento del asesor. ΔR aprox: 10,9</v>
      </c>
      <c r="AJ1049" s="26">
        <f>_xlfn.LET(_xlpm.piso,AF1049,_xlpm.corte,AE1049,_xlpm.prog,IF(_xlpm.corte&lt;=_xlpm.piso,0,MAX(0,MIN(1,(U1049-_xlpm.piso)/(_xlpm.corte-_xlpm.piso)))),_xlpm.orden,{"DIAMANTE";"PLATINO";"ORO";"PLATA";"BRONCE";"CERRADO"},_xlpm.act,IFERROR(MATCH(V1049,_xlpm.orden,0),6),_xlpm.ant,IFERROR(MATCH(W1049,_xlpm.orden,0),6),_xlpm.ajmov,IF(_xlpm.act&lt;_xlpm.ant,0.08,IF(_xlpm.act&gt;_xlpm.ant,-0.08,0)),_xlpm.ajcli,IF(T1049&lt;0.95,-0.06,0),_xlpm.prob,MAX(0,MIN(1,_xlpm.prog+_xlpm.ajmov+_xlpm.ajcli)),IF(OR(V1049="DIAMANTE",V1049="CERRADO"),0,ROUND(_xlpm.prob,2)))</f>
        <v>0.49</v>
      </c>
      <c r="AK1049" t="str">
        <f t="shared" si="396"/>
        <v>Faltan 10,9 puntos base para subir a la siguiente categoría</v>
      </c>
      <c r="AL1049" t="str">
        <f t="shared" si="397"/>
        <v>No aplica</v>
      </c>
      <c r="AM1049">
        <f t="shared" si="398"/>
        <v>0.6</v>
      </c>
      <c r="AN1049" t="str">
        <f t="shared" si="399"/>
        <v>PRIORIDAD MEDIA – seguimiento del asesor</v>
      </c>
      <c r="AO1049">
        <f t="shared" si="400"/>
        <v>71.348826202825151</v>
      </c>
      <c r="AP1049">
        <f t="shared" si="401"/>
        <v>16.5</v>
      </c>
      <c r="AQ1049">
        <f t="shared" si="402"/>
        <v>0</v>
      </c>
      <c r="AR1049">
        <f t="shared" si="403"/>
        <v>9.4600000000000009</v>
      </c>
      <c r="AS1049">
        <f t="shared" si="404"/>
        <v>0</v>
      </c>
      <c r="AT1049" t="str">
        <f t="shared" si="405"/>
        <v>VENTAS</v>
      </c>
      <c r="AU1049">
        <f t="shared" si="406"/>
        <v>71.348826202825151</v>
      </c>
      <c r="AV1049" t="str">
        <f t="shared" si="407"/>
        <v>Mayor retorno probable: VENTAS (+71,3 puntos finales potenciales).</v>
      </c>
    </row>
    <row r="1050" spans="1:48" x14ac:dyDescent="0.3">
      <c r="A1050" s="5">
        <v>51015576</v>
      </c>
      <c r="B1050" s="5" t="str">
        <f>IFERROR(VLOOKUP(A1050,VENTAS!$A$2:$B$1194,2,0),"")</f>
        <v/>
      </c>
      <c r="C1050" s="5">
        <f>IFERROR(INDEX(VENTAS!$C$2:$E$1194,MATCH(A1050,VENTAS!$A$2:$A$1194,0),MATCH(PARAMS_MODELO!$B$2,{"Q1","Q2","Q3"},0)),0)</f>
        <v>23642433.539999999</v>
      </c>
      <c r="D1050" s="5">
        <f>IFERROR(INDEX(VENTAS!$F$2:$H$1194,MATCH(A1050,VENTAS!$A$2:$A$1194,0),MATCH(PARAMS_MODELO!$B$2,{"Q1","Q2","Q3"},0)),0)</f>
        <v>0</v>
      </c>
      <c r="E1050" s="8">
        <f t="shared" si="384"/>
        <v>-1</v>
      </c>
      <c r="F1050" s="12">
        <f>IF(E1050&lt;=PARAMS_MODELO!$B$15,0,IF(E1050&gt;=PARAMS_MODELO!$B$17,100,100*MIN(1,(E1050-PARAMS_MODELO!$B$15)/(PARAMS_MODELO!$B$16-PARAMS_MODELO!$B$15))))*PARAMS_MODELO!$B$7</f>
        <v>0</v>
      </c>
      <c r="G1050" s="5">
        <f t="shared" si="385"/>
        <v>0</v>
      </c>
      <c r="H1050" s="5">
        <f>(PARAMS_MODELO!$B$20*(MAX(0,MIN(3,E1050))/3)+PARAMS_MODELO!$B$21*(IFERROR(LN(1+MAX(0,G1050))/LN(1+MAX(0,MAX($G$2:$G$1194))),0)))*100*PARAMS_MODELO!$B$8</f>
        <v>0</v>
      </c>
      <c r="I1050" s="8">
        <f>E1050-PARAMS_MODELO!$B$5</f>
        <v>-1.1775628353755265</v>
      </c>
      <c r="J1050" s="5">
        <f>IF(I1050&lt;=PARAMS_MODELO!$B$18,0,IF(I1050&gt;=PARAMS_MODELO!$B$19,100,100*(I1050-PARAMS_MODELO!$B$18)/(PARAMS_MODELO!$B$19-PARAMS_MODELO!$B$18)))*PARAMS_MODELO!$B$9</f>
        <v>0</v>
      </c>
      <c r="K1050" s="5">
        <f>IFERROR(CHOOSE(MATCH(PARAMS_MODELO!$B$2,{"Q1","Q2","Q3"},0),LOTO!$D1050,LOTO!$F1050,LOTO!$H1050),0)</f>
        <v>0</v>
      </c>
      <c r="L1050" s="8">
        <f t="shared" si="386"/>
        <v>0</v>
      </c>
      <c r="M1050" s="5">
        <f>MIN(100,IF(PARAMS_MODELO!$B$23=0,0,100*L1050/PARAMS_MODELO!$B$23))*PARAMS_MODELO!$B$10</f>
        <v>0</v>
      </c>
      <c r="N1050" s="5">
        <f>IFERROR(VLOOKUP(A1050,COMPLIANCE!$A$2:$F$1996,6,0),100)</f>
        <v>100</v>
      </c>
      <c r="O1050" s="5">
        <f>N1050*PARAMS_MODELO!$B$11</f>
        <v>10</v>
      </c>
      <c r="P1050" s="5">
        <f>IFERROR(VLOOKUP(A1050,DIGITAL!$A$2:$J$2000,7,0),100)</f>
        <v>9</v>
      </c>
      <c r="Q1050" s="5">
        <f>IFERROR(P1050,0)*PARAMS_MODELO!$B$12</f>
        <v>0.9</v>
      </c>
      <c r="R1050">
        <f t="shared" si="387"/>
        <v>10.9</v>
      </c>
      <c r="S1050" s="5" t="str">
        <f>IFERROR(VLOOKUP(A1050,CLIENTE!$A$2:$N$2000,13,0),1)</f>
        <v>Regular</v>
      </c>
      <c r="T1050" s="5">
        <f>IFERROR(VLOOKUP(A1050,CLIENTE!$A$2:$N$2000,14,0),1)</f>
        <v>1</v>
      </c>
      <c r="U1050" s="5">
        <f t="shared" si="388"/>
        <v>10.9</v>
      </c>
      <c r="V1050" s="5" t="str">
        <f>IF(U1050&gt;=MAX(_xlfn.PERCENTILE.INC($U$2:$U$1194,PARAMS_MODELO!$B$50),PARAMS_MODELO!$B$45),"DIAMANTE",IF(U1050&gt;=MAX(_xlfn.PERCENTILE.INC($U$2:$U$1194,PARAMS_MODELO!$B$51),PARAMS_MODELO!$B$46),"PLATINO",IF(U1050&gt;=MAX(_xlfn.PERCENTILE.INC($U$2:$U$1194,PARAMS_MODELO!$B$52),PARAMS_MODELO!$B$47),"ORO",IF(U1050&gt;=MAX(_xlfn.PERCENTILE.INC($U$2:$U$1194,PARAMS_MODELO!$B$53),PARAMS_MODELO!$B$48),"PLATA",IF(U1050&gt;=1,"BRONCE","CERRADO")))))</f>
        <v>BRONCE</v>
      </c>
      <c r="W1050" s="5" t="str" cm="1">
        <f t="array" ref="W1050">_xlfn.XLOOKUP(1, (HIST_SCORE!$B:$B=PARAMS_MODELO!$B$4) * (HIST_SCORE!$C:$C=A1050), HIST_SCORE!$E:$E, "No encontrado")</f>
        <v>BRONCE</v>
      </c>
      <c r="X1050" s="5" t="str">
        <f>_xlfn.LET(_xlpm.act,MATCH(V1050,{"DIAMANTE";"PLATINO";"ORO";"PLATA";"BRONCE";"CERRADO"},0),_xlpm.ant,MATCH(W1050,{"DIAMANTE";"PLATINO";"ORO";"PLATA";"BRONCE";"CERRADO"},0),IF(_xlpm.act&lt;_xlpm.ant,"Mejora ↑",IF(_xlpm.act&gt;_xlpm.ant,"Baja ↓","Estable →")))</f>
        <v>Estable →</v>
      </c>
      <c r="Y1050" s="5">
        <f>IFERROR(U1050-SUMIFS(HIST_SCORE!$D:$D,HIST_SCORE!$B:$B,PARAMS_MODELO!$B$4,HIST_SCORE!$C:$C,$A1050),"")</f>
        <v>0</v>
      </c>
      <c r="Z1050" s="5" t="str">
        <f t="shared" si="389"/>
        <v>→ Estable</v>
      </c>
      <c r="AA1050" s="5">
        <f t="shared" si="390"/>
        <v>1147</v>
      </c>
      <c r="AB1050" s="5">
        <f>IFERROR(SUMIFS(HIST_SCORE!$F:$F,HIST_SCORE!$B:$B,PARAMS_MODELO!$B$4,HIST_SCORE!$C:$C,$A1050),"")</f>
        <v>1145</v>
      </c>
      <c r="AC1050" s="5">
        <f t="shared" si="391"/>
        <v>-2</v>
      </c>
      <c r="AD1050" t="str">
        <f t="shared" si="393"/>
        <v/>
      </c>
      <c r="AE10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1050="CERRADO",1,IF(V1050="BRONCE",_xlpm.cPl,IF(V1050="PLATA",_xlpm.cO,IF(V1050="ORO",_xlpm.cP,IF(V1050="PLATINO",_xlpm.cD,999))))))</f>
        <v>24.506573482968111</v>
      </c>
      <c r="AF10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1050="CERRADO",0,IF(V1050="BRONCE",1,IF(V1050="PLATA",_xlpm.cPl,IF(V1050="ORO",_xlpm.cO,IF(V1050="PLATINO",_xlpm.cP,_xlpm.cD))))))</f>
        <v>1</v>
      </c>
      <c r="AG1050">
        <f t="shared" si="394"/>
        <v>13.606573482968111</v>
      </c>
      <c r="AH1050" t="str">
        <f t="shared" si="395"/>
        <v>VENTAS</v>
      </c>
      <c r="AI1050" t="str">
        <f t="shared" si="392"/>
        <v>🎯 Para subir de categoría, eje VENTAS / CRECIMIENTO PERSONAL (F). Acción: metas semanales + activación comercial + seguimiento del asesor. ΔR aprox: 13,6</v>
      </c>
      <c r="AJ1050" s="26">
        <f>_xlfn.LET(_xlpm.piso,AF1050,_xlpm.corte,AE1050,_xlpm.prog,IF(_xlpm.corte&lt;=_xlpm.piso,0,MAX(0,MIN(1,(U1050-_xlpm.piso)/(_xlpm.corte-_xlpm.piso)))),_xlpm.orden,{"DIAMANTE";"PLATINO";"ORO";"PLATA";"BRONCE";"CERRADO"},_xlpm.act,IFERROR(MATCH(V1050,_xlpm.orden,0),6),_xlpm.ant,IFERROR(MATCH(W1050,_xlpm.orden,0),6),_xlpm.ajmov,IF(_xlpm.act&lt;_xlpm.ant,0.08,IF(_xlpm.act&gt;_xlpm.ant,-0.08,0)),_xlpm.ajcli,IF(T1050&lt;0.95,-0.06,0),_xlpm.prob,MAX(0,MIN(1,_xlpm.prog+_xlpm.ajmov+_xlpm.ajcli)),IF(OR(V1050="DIAMANTE",V1050="CERRADO"),0,ROUND(_xlpm.prob,2)))</f>
        <v>0.42</v>
      </c>
      <c r="AK1050" t="str">
        <f t="shared" si="396"/>
        <v>Faltan 13,6 puntos base para subir a la siguiente categoría</v>
      </c>
      <c r="AL1050" t="str">
        <f t="shared" si="397"/>
        <v>No aplica</v>
      </c>
      <c r="AM1050">
        <f t="shared" si="398"/>
        <v>0.63</v>
      </c>
      <c r="AN1050" t="str">
        <f t="shared" si="399"/>
        <v>PRIORIDAD MEDIA – seguimiento del asesor</v>
      </c>
      <c r="AO1050">
        <f t="shared" si="400"/>
        <v>64.862569275295584</v>
      </c>
      <c r="AP1050">
        <f t="shared" si="401"/>
        <v>15</v>
      </c>
      <c r="AQ1050">
        <f t="shared" si="402"/>
        <v>0</v>
      </c>
      <c r="AR1050">
        <f t="shared" si="403"/>
        <v>9.1</v>
      </c>
      <c r="AS1050">
        <f t="shared" si="404"/>
        <v>0</v>
      </c>
      <c r="AT1050" t="str">
        <f t="shared" si="405"/>
        <v>VENTAS</v>
      </c>
      <c r="AU1050">
        <f t="shared" si="406"/>
        <v>64.862569275295584</v>
      </c>
      <c r="AV1050" t="str">
        <f t="shared" si="407"/>
        <v>Mayor retorno probable: VENTAS (+64,9 puntos finales potenciales).</v>
      </c>
    </row>
    <row r="1051" spans="1:48" x14ac:dyDescent="0.3">
      <c r="A1051" s="5">
        <v>51015690</v>
      </c>
      <c r="B1051" s="5" t="str">
        <f>IFERROR(VLOOKUP(A1051,VENTAS!$A$2:$B$1194,2,0),"")</f>
        <v/>
      </c>
      <c r="C1051" s="5">
        <f>IFERROR(INDEX(VENTAS!$C$2:$E$1194,MATCH(A1051,VENTAS!$A$2:$A$1194,0),MATCH(PARAMS_MODELO!$B$2,{"Q1","Q2","Q3"},0)),0)</f>
        <v>0</v>
      </c>
      <c r="D1051" s="5">
        <f>IFERROR(INDEX(VENTAS!$F$2:$H$1194,MATCH(A1051,VENTAS!$A$2:$A$1194,0),MATCH(PARAMS_MODELO!$B$2,{"Q1","Q2","Q3"},0)),0)</f>
        <v>0</v>
      </c>
      <c r="E1051" s="8">
        <f t="shared" si="384"/>
        <v>0</v>
      </c>
      <c r="F1051" s="12">
        <f>IF(E1051&lt;=PARAMS_MODELO!$B$15,0,IF(E1051&gt;=PARAMS_MODELO!$B$17,100,100*MIN(1,(E1051-PARAMS_MODELO!$B$15)/(PARAMS_MODELO!$B$16-PARAMS_MODELO!$B$15))))*PARAMS_MODELO!$B$7</f>
        <v>0</v>
      </c>
      <c r="G1051" s="5">
        <f t="shared" si="385"/>
        <v>0</v>
      </c>
      <c r="H1051" s="5">
        <f>(PARAMS_MODELO!$B$20*(MAX(0,MIN(3,E1051))/3)+PARAMS_MODELO!$B$21*(IFERROR(LN(1+MAX(0,G1051))/LN(1+MAX(0,MAX($G$2:$G$1194))),0)))*100*PARAMS_MODELO!$B$8</f>
        <v>0</v>
      </c>
      <c r="I1051" s="8">
        <f>E1051-PARAMS_MODELO!$B$5</f>
        <v>-0.17756283537552653</v>
      </c>
      <c r="J1051" s="5">
        <f>IF(I1051&lt;=PARAMS_MODELO!$B$18,0,IF(I1051&gt;=PARAMS_MODELO!$B$19,100,100*(I1051-PARAMS_MODELO!$B$18)/(PARAMS_MODELO!$B$19-PARAMS_MODELO!$B$18)))*PARAMS_MODELO!$B$9</f>
        <v>0</v>
      </c>
      <c r="K1051" s="5">
        <f>IFERROR(CHOOSE(MATCH(PARAMS_MODELO!$B$2,{"Q1","Q2","Q3"},0),LOTO!$D1051,LOTO!$F1051,LOTO!$H1051),0)</f>
        <v>0</v>
      </c>
      <c r="L1051" s="8">
        <f t="shared" si="386"/>
        <v>0</v>
      </c>
      <c r="M1051" s="5">
        <f>MIN(100,IF(PARAMS_MODELO!$B$23=0,0,100*L1051/PARAMS_MODELO!$B$23))*PARAMS_MODELO!$B$10</f>
        <v>0</v>
      </c>
      <c r="N1051" s="5">
        <f>IFERROR(VLOOKUP(A1051,COMPLIANCE!$A$2:$F$1996,6,0),100)</f>
        <v>100</v>
      </c>
      <c r="O1051" s="5">
        <f>N1051*PARAMS_MODELO!$B$11</f>
        <v>10</v>
      </c>
      <c r="P1051" s="5">
        <f>IFERROR(VLOOKUP(A1051,DIGITAL!$A$2:$J$2000,7,0),100)</f>
        <v>8</v>
      </c>
      <c r="Q1051" s="5">
        <f>IFERROR(P1051,0)*PARAMS_MODELO!$B$12</f>
        <v>0.8</v>
      </c>
      <c r="R1051">
        <f t="shared" si="387"/>
        <v>10.8</v>
      </c>
      <c r="S1051" s="5" t="str">
        <f>IFERROR(VLOOKUP(A1051,CLIENTE!$A$2:$N$2000,13,0),1)</f>
        <v>Regular</v>
      </c>
      <c r="T1051" s="5">
        <f>IFERROR(VLOOKUP(A1051,CLIENTE!$A$2:$N$2000,14,0),1)</f>
        <v>1</v>
      </c>
      <c r="U1051" s="5">
        <f t="shared" si="388"/>
        <v>10.8</v>
      </c>
      <c r="V1051" s="5" t="str">
        <f>IF(U1051&gt;=MAX(_xlfn.PERCENTILE.INC($U$2:$U$1194,PARAMS_MODELO!$B$50),PARAMS_MODELO!$B$45),"DIAMANTE",IF(U1051&gt;=MAX(_xlfn.PERCENTILE.INC($U$2:$U$1194,PARAMS_MODELO!$B$51),PARAMS_MODELO!$B$46),"PLATINO",IF(U1051&gt;=MAX(_xlfn.PERCENTILE.INC($U$2:$U$1194,PARAMS_MODELO!$B$52),PARAMS_MODELO!$B$47),"ORO",IF(U1051&gt;=MAX(_xlfn.PERCENTILE.INC($U$2:$U$1194,PARAMS_MODELO!$B$53),PARAMS_MODELO!$B$48),"PLATA",IF(U1051&gt;=1,"BRONCE","CERRADO")))))</f>
        <v>BRONCE</v>
      </c>
      <c r="W1051" s="5" t="str" cm="1">
        <f t="array" ref="W1051">_xlfn.XLOOKUP(1, (HIST_SCORE!$B:$B=PARAMS_MODELO!$B$4) * (HIST_SCORE!$C:$C=A1051), HIST_SCORE!$E:$E, "No encontrado")</f>
        <v>BRONCE</v>
      </c>
      <c r="X1051" s="5" t="str">
        <f>_xlfn.LET(_xlpm.act,MATCH(V1051,{"DIAMANTE";"PLATINO";"ORO";"PLATA";"BRONCE";"CERRADO"},0),_xlpm.ant,MATCH(W1051,{"DIAMANTE";"PLATINO";"ORO";"PLATA";"BRONCE";"CERRADO"},0),IF(_xlpm.act&lt;_xlpm.ant,"Mejora ↑",IF(_xlpm.act&gt;_xlpm.ant,"Baja ↓","Estable →")))</f>
        <v>Estable →</v>
      </c>
      <c r="Y1051" s="5">
        <f>IFERROR(U1051-SUMIFS(HIST_SCORE!$D:$D,HIST_SCORE!$B:$B,PARAMS_MODELO!$B$4,HIST_SCORE!$C:$C,$A1051),"")</f>
        <v>0</v>
      </c>
      <c r="Z1051" s="5" t="str">
        <f t="shared" si="389"/>
        <v>→ Estable</v>
      </c>
      <c r="AA1051" s="5">
        <f t="shared" si="390"/>
        <v>1149</v>
      </c>
      <c r="AB1051" s="5">
        <f>IFERROR(SUMIFS(HIST_SCORE!$F:$F,HIST_SCORE!$B:$B,PARAMS_MODELO!$B$4,HIST_SCORE!$C:$C,$A1051),"")</f>
        <v>1147</v>
      </c>
      <c r="AC1051" s="5">
        <f t="shared" si="391"/>
        <v>-2</v>
      </c>
      <c r="AD1051" t="str">
        <f t="shared" si="393"/>
        <v/>
      </c>
      <c r="AE10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1051="CERRADO",1,IF(V1051="BRONCE",_xlpm.cPl,IF(V1051="PLATA",_xlpm.cO,IF(V1051="ORO",_xlpm.cP,IF(V1051="PLATINO",_xlpm.cD,999))))))</f>
        <v>24.506573482968111</v>
      </c>
      <c r="AF10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1051="CERRADO",0,IF(V1051="BRONCE",1,IF(V1051="PLATA",_xlpm.cPl,IF(V1051="ORO",_xlpm.cO,IF(V1051="PLATINO",_xlpm.cP,_xlpm.cD))))))</f>
        <v>1</v>
      </c>
      <c r="AG1051">
        <f t="shared" si="394"/>
        <v>13.706573482968111</v>
      </c>
      <c r="AH1051" t="str">
        <f t="shared" si="395"/>
        <v>VENTAS</v>
      </c>
      <c r="AI1051" t="str">
        <f t="shared" si="392"/>
        <v>🎯 Para subir de categoría, eje VENTAS / CRECIMIENTO PERSONAL (F). Acción: metas semanales + activación comercial + seguimiento del asesor. ΔR aprox: 13,7</v>
      </c>
      <c r="AJ1051" s="26">
        <f>_xlfn.LET(_xlpm.piso,AF1051,_xlpm.corte,AE1051,_xlpm.prog,IF(_xlpm.corte&lt;=_xlpm.piso,0,MAX(0,MIN(1,(U1051-_xlpm.piso)/(_xlpm.corte-_xlpm.piso)))),_xlpm.orden,{"DIAMANTE";"PLATINO";"ORO";"PLATA";"BRONCE";"CERRADO"},_xlpm.act,IFERROR(MATCH(V1051,_xlpm.orden,0),6),_xlpm.ant,IFERROR(MATCH(W1051,_xlpm.orden,0),6),_xlpm.ajmov,IF(_xlpm.act&lt;_xlpm.ant,0.08,IF(_xlpm.act&gt;_xlpm.ant,-0.08,0)),_xlpm.ajcli,IF(T1051&lt;0.95,-0.06,0),_xlpm.prob,MAX(0,MIN(1,_xlpm.prog+_xlpm.ajmov+_xlpm.ajcli)),IF(OR(V1051="DIAMANTE",V1051="CERRADO"),0,ROUND(_xlpm.prob,2)))</f>
        <v>0.42</v>
      </c>
      <c r="AK1051" t="str">
        <f t="shared" si="396"/>
        <v>Faltan 13,7 puntos base para subir a la siguiente categoría</v>
      </c>
      <c r="AL1051" t="str">
        <f t="shared" si="397"/>
        <v>No aplica</v>
      </c>
      <c r="AM1051">
        <f t="shared" si="398"/>
        <v>0.63</v>
      </c>
      <c r="AN1051" t="str">
        <f t="shared" si="399"/>
        <v>PRIORIDAD MEDIA – seguimiento del asesor</v>
      </c>
      <c r="AO1051">
        <f t="shared" si="400"/>
        <v>64.862569275295584</v>
      </c>
      <c r="AP1051">
        <f t="shared" si="401"/>
        <v>15</v>
      </c>
      <c r="AQ1051">
        <f t="shared" si="402"/>
        <v>0</v>
      </c>
      <c r="AR1051">
        <f t="shared" si="403"/>
        <v>9.1999999999999993</v>
      </c>
      <c r="AS1051">
        <f t="shared" si="404"/>
        <v>0</v>
      </c>
      <c r="AT1051" t="str">
        <f t="shared" si="405"/>
        <v>VENTAS</v>
      </c>
      <c r="AU1051">
        <f t="shared" si="406"/>
        <v>64.862569275295584</v>
      </c>
      <c r="AV1051" t="str">
        <f t="shared" si="407"/>
        <v>Mayor retorno probable: VENTAS (+64,9 puntos finales potenciales).</v>
      </c>
    </row>
    <row r="1052" spans="1:48" x14ac:dyDescent="0.3">
      <c r="A1052" s="5">
        <v>51015738</v>
      </c>
      <c r="B1052" s="5" t="str">
        <f>IFERROR(VLOOKUP(A1052,VENTAS!$A$2:$B$1194,2,0),"")</f>
        <v/>
      </c>
      <c r="C1052" s="5">
        <f>IFERROR(INDEX(VENTAS!$C$2:$E$1194,MATCH(A1052,VENTAS!$A$2:$A$1194,0),MATCH(PARAMS_MODELO!$B$2,{"Q1","Q2","Q3"},0)),0)</f>
        <v>0</v>
      </c>
      <c r="D1052" s="5">
        <f>IFERROR(INDEX(VENTAS!$F$2:$H$1194,MATCH(A1052,VENTAS!$A$2:$A$1194,0),MATCH(PARAMS_MODELO!$B$2,{"Q1","Q2","Q3"},0)),0)</f>
        <v>0</v>
      </c>
      <c r="E1052" s="8">
        <f t="shared" si="384"/>
        <v>0</v>
      </c>
      <c r="F1052" s="12">
        <f>IF(E1052&lt;=PARAMS_MODELO!$B$15,0,IF(E1052&gt;=PARAMS_MODELO!$B$17,100,100*MIN(1,(E1052-PARAMS_MODELO!$B$15)/(PARAMS_MODELO!$B$16-PARAMS_MODELO!$B$15))))*PARAMS_MODELO!$B$7</f>
        <v>0</v>
      </c>
      <c r="G1052" s="5">
        <f t="shared" si="385"/>
        <v>0</v>
      </c>
      <c r="H1052" s="5">
        <f>(PARAMS_MODELO!$B$20*(MAX(0,MIN(3,E1052))/3)+PARAMS_MODELO!$B$21*(IFERROR(LN(1+MAX(0,G1052))/LN(1+MAX(0,MAX($G$2:$G$1194))),0)))*100*PARAMS_MODELO!$B$8</f>
        <v>0</v>
      </c>
      <c r="I1052" s="8">
        <f>E1052-PARAMS_MODELO!$B$5</f>
        <v>-0.17756283537552653</v>
      </c>
      <c r="J1052" s="5">
        <f>IF(I1052&lt;=PARAMS_MODELO!$B$18,0,IF(I1052&gt;=PARAMS_MODELO!$B$19,100,100*(I1052-PARAMS_MODELO!$B$18)/(PARAMS_MODELO!$B$19-PARAMS_MODELO!$B$18)))*PARAMS_MODELO!$B$9</f>
        <v>0</v>
      </c>
      <c r="K1052" s="5">
        <f>IFERROR(CHOOSE(MATCH(PARAMS_MODELO!$B$2,{"Q1","Q2","Q3"},0),LOTO!$D1052,LOTO!$F1052,LOTO!$H1052),0)</f>
        <v>0</v>
      </c>
      <c r="L1052" s="8">
        <f t="shared" si="386"/>
        <v>0</v>
      </c>
      <c r="M1052" s="5">
        <f>MIN(100,IF(PARAMS_MODELO!$B$23=0,0,100*L1052/PARAMS_MODELO!$B$23))*PARAMS_MODELO!$B$10</f>
        <v>0</v>
      </c>
      <c r="N1052" s="5">
        <f>IFERROR(VLOOKUP(A1052,COMPLIANCE!$A$2:$F$1996,6,0),100)</f>
        <v>100</v>
      </c>
      <c r="O1052" s="5">
        <f>N1052*PARAMS_MODELO!$B$11</f>
        <v>10</v>
      </c>
      <c r="P1052" s="5">
        <f>IFERROR(VLOOKUP(A1052,DIGITAL!$A$2:$J$2000,7,0),100)</f>
        <v>6</v>
      </c>
      <c r="Q1052" s="5">
        <f>IFERROR(P1052,0)*PARAMS_MODELO!$B$12</f>
        <v>0.60000000000000009</v>
      </c>
      <c r="R1052">
        <f t="shared" si="387"/>
        <v>10.6</v>
      </c>
      <c r="S1052" s="5" t="str">
        <f>IFERROR(VLOOKUP(A1052,CLIENTE!$A$2:$N$2000,13,0),1)</f>
        <v>Regular</v>
      </c>
      <c r="T1052" s="5">
        <f>IFERROR(VLOOKUP(A1052,CLIENTE!$A$2:$N$2000,14,0),1)</f>
        <v>1</v>
      </c>
      <c r="U1052" s="5">
        <f t="shared" si="388"/>
        <v>10.6</v>
      </c>
      <c r="V1052" s="5" t="str">
        <f>IF(U1052&gt;=MAX(_xlfn.PERCENTILE.INC($U$2:$U$1194,PARAMS_MODELO!$B$50),PARAMS_MODELO!$B$45),"DIAMANTE",IF(U1052&gt;=MAX(_xlfn.PERCENTILE.INC($U$2:$U$1194,PARAMS_MODELO!$B$51),PARAMS_MODELO!$B$46),"PLATINO",IF(U1052&gt;=MAX(_xlfn.PERCENTILE.INC($U$2:$U$1194,PARAMS_MODELO!$B$52),PARAMS_MODELO!$B$47),"ORO",IF(U1052&gt;=MAX(_xlfn.PERCENTILE.INC($U$2:$U$1194,PARAMS_MODELO!$B$53),PARAMS_MODELO!$B$48),"PLATA",IF(U1052&gt;=1,"BRONCE","CERRADO")))))</f>
        <v>BRONCE</v>
      </c>
      <c r="W1052" s="5" t="str" cm="1">
        <f t="array" ref="W1052">_xlfn.XLOOKUP(1, (HIST_SCORE!$B:$B=PARAMS_MODELO!$B$4) * (HIST_SCORE!$C:$C=A1052), HIST_SCORE!$E:$E, "No encontrado")</f>
        <v>BRONCE</v>
      </c>
      <c r="X1052" s="5" t="str">
        <f>_xlfn.LET(_xlpm.act,MATCH(V1052,{"DIAMANTE";"PLATINO";"ORO";"PLATA";"BRONCE";"CERRADO"},0),_xlpm.ant,MATCH(W1052,{"DIAMANTE";"PLATINO";"ORO";"PLATA";"BRONCE";"CERRADO"},0),IF(_xlpm.act&lt;_xlpm.ant,"Mejora ↑",IF(_xlpm.act&gt;_xlpm.ant,"Baja ↓","Estable →")))</f>
        <v>Estable →</v>
      </c>
      <c r="Y1052" s="5">
        <f>IFERROR(U1052-SUMIFS(HIST_SCORE!$D:$D,HIST_SCORE!$B:$B,PARAMS_MODELO!$B$4,HIST_SCORE!$C:$C,$A1052),"")</f>
        <v>0</v>
      </c>
      <c r="Z1052" s="5" t="str">
        <f t="shared" si="389"/>
        <v>→ Estable</v>
      </c>
      <c r="AA1052" s="5">
        <f t="shared" si="390"/>
        <v>1156</v>
      </c>
      <c r="AB1052" s="5">
        <f>IFERROR(SUMIFS(HIST_SCORE!$F:$F,HIST_SCORE!$B:$B,PARAMS_MODELO!$B$4,HIST_SCORE!$C:$C,$A1052),"")</f>
        <v>1156</v>
      </c>
      <c r="AC1052" s="5">
        <f t="shared" si="391"/>
        <v>0</v>
      </c>
      <c r="AD1052" t="str">
        <f t="shared" si="393"/>
        <v/>
      </c>
      <c r="AE10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1052="CERRADO",1,IF(V1052="BRONCE",_xlpm.cPl,IF(V1052="PLATA",_xlpm.cO,IF(V1052="ORO",_xlpm.cP,IF(V1052="PLATINO",_xlpm.cD,999))))))</f>
        <v>24.506573482968111</v>
      </c>
      <c r="AF10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1052="CERRADO",0,IF(V1052="BRONCE",1,IF(V1052="PLATA",_xlpm.cPl,IF(V1052="ORO",_xlpm.cO,IF(V1052="PLATINO",_xlpm.cP,_xlpm.cD))))))</f>
        <v>1</v>
      </c>
      <c r="AG1052">
        <f t="shared" si="394"/>
        <v>13.906573482968112</v>
      </c>
      <c r="AH1052" t="str">
        <f t="shared" si="395"/>
        <v>VENTAS</v>
      </c>
      <c r="AI1052" t="str">
        <f t="shared" si="392"/>
        <v>🎯 Para subir de categoría, eje VENTAS / CRECIMIENTO PERSONAL (F). Acción: metas semanales + activación comercial + seguimiento del asesor. ΔR aprox: 13,9</v>
      </c>
      <c r="AJ1052" s="26">
        <f>_xlfn.LET(_xlpm.piso,AF1052,_xlpm.corte,AE1052,_xlpm.prog,IF(_xlpm.corte&lt;=_xlpm.piso,0,MAX(0,MIN(1,(U1052-_xlpm.piso)/(_xlpm.corte-_xlpm.piso)))),_xlpm.orden,{"DIAMANTE";"PLATINO";"ORO";"PLATA";"BRONCE";"CERRADO"},_xlpm.act,IFERROR(MATCH(V1052,_xlpm.orden,0),6),_xlpm.ant,IFERROR(MATCH(W1052,_xlpm.orden,0),6),_xlpm.ajmov,IF(_xlpm.act&lt;_xlpm.ant,0.08,IF(_xlpm.act&gt;_xlpm.ant,-0.08,0)),_xlpm.ajcli,IF(T1052&lt;0.95,-0.06,0),_xlpm.prob,MAX(0,MIN(1,_xlpm.prog+_xlpm.ajmov+_xlpm.ajcli)),IF(OR(V1052="DIAMANTE",V1052="CERRADO"),0,ROUND(_xlpm.prob,2)))</f>
        <v>0.41</v>
      </c>
      <c r="AK1052" t="str">
        <f t="shared" si="396"/>
        <v>Faltan 13,9 puntos base para subir a la siguiente categoría</v>
      </c>
      <c r="AL1052" t="str">
        <f t="shared" si="397"/>
        <v>No aplica</v>
      </c>
      <c r="AM1052">
        <f t="shared" si="398"/>
        <v>0.64</v>
      </c>
      <c r="AN1052" t="str">
        <f t="shared" si="399"/>
        <v>PRIORIDAD MEDIA – seguimiento del asesor</v>
      </c>
      <c r="AO1052">
        <f t="shared" si="400"/>
        <v>64.862569275295584</v>
      </c>
      <c r="AP1052">
        <f t="shared" si="401"/>
        <v>15</v>
      </c>
      <c r="AQ1052">
        <f t="shared" si="402"/>
        <v>0</v>
      </c>
      <c r="AR1052">
        <f t="shared" si="403"/>
        <v>9.4</v>
      </c>
      <c r="AS1052">
        <f t="shared" si="404"/>
        <v>0</v>
      </c>
      <c r="AT1052" t="str">
        <f t="shared" si="405"/>
        <v>VENTAS</v>
      </c>
      <c r="AU1052">
        <f t="shared" si="406"/>
        <v>64.862569275295584</v>
      </c>
      <c r="AV1052" t="str">
        <f t="shared" si="407"/>
        <v>Mayor retorno probable: VENTAS (+64,9 puntos finales potenciales).</v>
      </c>
    </row>
    <row r="1053" spans="1:48" x14ac:dyDescent="0.3">
      <c r="A1053" s="5">
        <v>51015959</v>
      </c>
      <c r="B1053" s="5" t="str">
        <f>IFERROR(VLOOKUP(A1053,VENTAS!$A$2:$B$1194,2,0),"")</f>
        <v/>
      </c>
      <c r="C1053" s="5">
        <f>IFERROR(INDEX(VENTAS!$C$2:$E$1194,MATCH(A1053,VENTAS!$A$2:$A$1194,0),MATCH(PARAMS_MODELO!$B$2,{"Q1","Q2","Q3"},0)),0)</f>
        <v>0</v>
      </c>
      <c r="D1053" s="5">
        <f>IFERROR(INDEX(VENTAS!$F$2:$H$1194,MATCH(A1053,VENTAS!$A$2:$A$1194,0),MATCH(PARAMS_MODELO!$B$2,{"Q1","Q2","Q3"},0)),0)</f>
        <v>0</v>
      </c>
      <c r="E1053" s="8">
        <f t="shared" si="384"/>
        <v>0</v>
      </c>
      <c r="F1053" s="12">
        <f>IF(E1053&lt;=PARAMS_MODELO!$B$15,0,IF(E1053&gt;=PARAMS_MODELO!$B$17,100,100*MIN(1,(E1053-PARAMS_MODELO!$B$15)/(PARAMS_MODELO!$B$16-PARAMS_MODELO!$B$15))))*PARAMS_MODELO!$B$7</f>
        <v>0</v>
      </c>
      <c r="G1053" s="5">
        <f t="shared" si="385"/>
        <v>0</v>
      </c>
      <c r="H1053" s="5">
        <f>(PARAMS_MODELO!$B$20*(MAX(0,MIN(3,E1053))/3)+PARAMS_MODELO!$B$21*(IFERROR(LN(1+MAX(0,G1053))/LN(1+MAX(0,MAX($G$2:$G$1194))),0)))*100*PARAMS_MODELO!$B$8</f>
        <v>0</v>
      </c>
      <c r="I1053" s="8">
        <f>E1053-PARAMS_MODELO!$B$5</f>
        <v>-0.17756283537552653</v>
      </c>
      <c r="J1053" s="5">
        <f>IF(I1053&lt;=PARAMS_MODELO!$B$18,0,IF(I1053&gt;=PARAMS_MODELO!$B$19,100,100*(I1053-PARAMS_MODELO!$B$18)/(PARAMS_MODELO!$B$19-PARAMS_MODELO!$B$18)))*PARAMS_MODELO!$B$9</f>
        <v>0</v>
      </c>
      <c r="K1053" s="5">
        <f>IFERROR(CHOOSE(MATCH(PARAMS_MODELO!$B$2,{"Q1","Q2","Q3"},0),LOTO!$D1053,LOTO!$F1053,LOTO!$H1053),0)</f>
        <v>0</v>
      </c>
      <c r="L1053" s="8">
        <f t="shared" si="386"/>
        <v>0</v>
      </c>
      <c r="M1053" s="5">
        <f>MIN(100,IF(PARAMS_MODELO!$B$23=0,0,100*L1053/PARAMS_MODELO!$B$23))*PARAMS_MODELO!$B$10</f>
        <v>0</v>
      </c>
      <c r="N1053" s="5">
        <f>IFERROR(VLOOKUP(A1053,COMPLIANCE!$A$2:$F$1996,6,0),100)</f>
        <v>100</v>
      </c>
      <c r="O1053" s="5">
        <f>N1053*PARAMS_MODELO!$B$11</f>
        <v>10</v>
      </c>
      <c r="P1053" s="5">
        <f>IFERROR(VLOOKUP(A1053,DIGITAL!$A$2:$J$2000,7,0),100)</f>
        <v>79</v>
      </c>
      <c r="Q1053" s="5">
        <f>IFERROR(P1053,0)*PARAMS_MODELO!$B$12</f>
        <v>7.9</v>
      </c>
      <c r="R1053">
        <f t="shared" si="387"/>
        <v>17.899999999999999</v>
      </c>
      <c r="S1053" s="5" t="str">
        <f>IFERROR(VLOOKUP(A1053,CLIENTE!$A$2:$N$2000,13,0),1)</f>
        <v>Malo</v>
      </c>
      <c r="T1053" s="5">
        <f>IFERROR(VLOOKUP(A1053,CLIENTE!$A$2:$N$2000,14,0),1)</f>
        <v>0.7</v>
      </c>
      <c r="U1053" s="5">
        <f t="shared" si="388"/>
        <v>12.529999999999998</v>
      </c>
      <c r="V1053" s="5" t="str">
        <f>IF(U1053&gt;=MAX(_xlfn.PERCENTILE.INC($U$2:$U$1194,PARAMS_MODELO!$B$50),PARAMS_MODELO!$B$45),"DIAMANTE",IF(U1053&gt;=MAX(_xlfn.PERCENTILE.INC($U$2:$U$1194,PARAMS_MODELO!$B$51),PARAMS_MODELO!$B$46),"PLATINO",IF(U1053&gt;=MAX(_xlfn.PERCENTILE.INC($U$2:$U$1194,PARAMS_MODELO!$B$52),PARAMS_MODELO!$B$47),"ORO",IF(U1053&gt;=MAX(_xlfn.PERCENTILE.INC($U$2:$U$1194,PARAMS_MODELO!$B$53),PARAMS_MODELO!$B$48),"PLATA",IF(U1053&gt;=1,"BRONCE","CERRADO")))))</f>
        <v>BRONCE</v>
      </c>
      <c r="W1053" s="5" t="str" cm="1">
        <f t="array" ref="W1053">_xlfn.XLOOKUP(1, (HIST_SCORE!$B:$B=PARAMS_MODELO!$B$4) * (HIST_SCORE!$C:$C=A1053), HIST_SCORE!$E:$E, "No encontrado")</f>
        <v>BRONCE</v>
      </c>
      <c r="X1053" s="5" t="str">
        <f>_xlfn.LET(_xlpm.act,MATCH(V1053,{"DIAMANTE";"PLATINO";"ORO";"PLATA";"BRONCE";"CERRADO"},0),_xlpm.ant,MATCH(W1053,{"DIAMANTE";"PLATINO";"ORO";"PLATA";"BRONCE";"CERRADO"},0),IF(_xlpm.act&lt;_xlpm.ant,"Mejora ↑",IF(_xlpm.act&gt;_xlpm.ant,"Baja ↓","Estable →")))</f>
        <v>Estable →</v>
      </c>
      <c r="Y1053" s="5">
        <f>IFERROR(U1053-SUMIFS(HIST_SCORE!$D:$D,HIST_SCORE!$B:$B,PARAMS_MODELO!$B$4,HIST_SCORE!$C:$C,$A1053),"")</f>
        <v>0</v>
      </c>
      <c r="Z1053" s="5" t="str">
        <f t="shared" si="389"/>
        <v>→ Estable</v>
      </c>
      <c r="AA1053" s="5">
        <f t="shared" si="390"/>
        <v>1125</v>
      </c>
      <c r="AB1053" s="5">
        <f>IFERROR(SUMIFS(HIST_SCORE!$F:$F,HIST_SCORE!$B:$B,PARAMS_MODELO!$B$4,HIST_SCORE!$C:$C,$A1053),"")</f>
        <v>1124</v>
      </c>
      <c r="AC1053" s="5">
        <f t="shared" si="391"/>
        <v>-1</v>
      </c>
      <c r="AD1053" t="str">
        <f t="shared" si="393"/>
        <v/>
      </c>
      <c r="AE10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1053="CERRADO",1,IF(V1053="BRONCE",_xlpm.cPl,IF(V1053="PLATA",_xlpm.cO,IF(V1053="ORO",_xlpm.cP,IF(V1053="PLATINO",_xlpm.cD,999))))))</f>
        <v>24.506573482968111</v>
      </c>
      <c r="AF10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1053="CERRADO",0,IF(V1053="BRONCE",1,IF(V1053="PLATA",_xlpm.cPl,IF(V1053="ORO",_xlpm.cO,IF(V1053="PLATINO",_xlpm.cP,_xlpm.cD))))))</f>
        <v>1</v>
      </c>
      <c r="AG1053">
        <f t="shared" si="394"/>
        <v>17.109390689954445</v>
      </c>
      <c r="AH1053" t="str">
        <f t="shared" si="395"/>
        <v>VENTAS</v>
      </c>
      <c r="AI1053" t="str">
        <f t="shared" si="392"/>
        <v>🎯 Para subir de categoría, eje VENTAS / CRECIMIENTO PERSONAL (F). Acción: metas semanales + activación comercial + seguimiento del asesor. ΔR aprox: 17,1</v>
      </c>
      <c r="AJ1053" s="26">
        <f>_xlfn.LET(_xlpm.piso,AF1053,_xlpm.corte,AE1053,_xlpm.prog,IF(_xlpm.corte&lt;=_xlpm.piso,0,MAX(0,MIN(1,(U1053-_xlpm.piso)/(_xlpm.corte-_xlpm.piso)))),_xlpm.orden,{"DIAMANTE";"PLATINO";"ORO";"PLATA";"BRONCE";"CERRADO"},_xlpm.act,IFERROR(MATCH(V1053,_xlpm.orden,0),6),_xlpm.ant,IFERROR(MATCH(W1053,_xlpm.orden,0),6),_xlpm.ajmov,IF(_xlpm.act&lt;_xlpm.ant,0.08,IF(_xlpm.act&gt;_xlpm.ant,-0.08,0)),_xlpm.ajcli,IF(T1053&lt;0.95,-0.06,0),_xlpm.prob,MAX(0,MIN(1,_xlpm.prog+_xlpm.ajmov+_xlpm.ajcli)),IF(OR(V1053="DIAMANTE",V1053="CERRADO"),0,ROUND(_xlpm.prob,2)))</f>
        <v>0.43</v>
      </c>
      <c r="AK1053" t="str">
        <f t="shared" si="396"/>
        <v>Faltan 17,1 puntos base para subir a la siguiente categoría</v>
      </c>
      <c r="AL1053" t="str">
        <f t="shared" si="397"/>
        <v>No aplica</v>
      </c>
      <c r="AM1053">
        <f t="shared" si="398"/>
        <v>0.83</v>
      </c>
      <c r="AN1053" t="str">
        <f t="shared" si="399"/>
        <v>PRIORIDAD ALTA – requiere intervención inmediata</v>
      </c>
      <c r="AO1053">
        <f t="shared" si="400"/>
        <v>45.403798492706905</v>
      </c>
      <c r="AP1053">
        <f t="shared" si="401"/>
        <v>10.5</v>
      </c>
      <c r="AQ1053">
        <f t="shared" si="402"/>
        <v>0</v>
      </c>
      <c r="AR1053">
        <f t="shared" si="403"/>
        <v>1.4699999999999998</v>
      </c>
      <c r="AS1053">
        <f t="shared" si="404"/>
        <v>5.37</v>
      </c>
      <c r="AT1053" t="str">
        <f t="shared" si="405"/>
        <v>VENTAS</v>
      </c>
      <c r="AU1053">
        <f t="shared" si="406"/>
        <v>45.403798492706905</v>
      </c>
      <c r="AV1053" t="str">
        <f t="shared" si="407"/>
        <v>Mayor retorno probable: VENTAS (+45,4 puntos finales potenciales).</v>
      </c>
    </row>
    <row r="1054" spans="1:48" x14ac:dyDescent="0.3">
      <c r="A1054" s="5">
        <v>51015991</v>
      </c>
      <c r="B1054" s="5" t="str">
        <f>IFERROR(VLOOKUP(A1054,VENTAS!$A$2:$B$1194,2,0),"")</f>
        <v/>
      </c>
      <c r="C1054" s="5">
        <f>IFERROR(INDEX(VENTAS!$C$2:$E$1194,MATCH(A1054,VENTAS!$A$2:$A$1194,0),MATCH(PARAMS_MODELO!$B$2,{"Q1","Q2","Q3"},0)),0)</f>
        <v>0</v>
      </c>
      <c r="D1054" s="5">
        <f>IFERROR(INDEX(VENTAS!$F$2:$H$1194,MATCH(A1054,VENTAS!$A$2:$A$1194,0),MATCH(PARAMS_MODELO!$B$2,{"Q1","Q2","Q3"},0)),0)</f>
        <v>0</v>
      </c>
      <c r="E1054" s="8">
        <f t="shared" si="384"/>
        <v>0</v>
      </c>
      <c r="F1054" s="12">
        <f>IF(E1054&lt;=PARAMS_MODELO!$B$15,0,IF(E1054&gt;=PARAMS_MODELO!$B$17,100,100*MIN(1,(E1054-PARAMS_MODELO!$B$15)/(PARAMS_MODELO!$B$16-PARAMS_MODELO!$B$15))))*PARAMS_MODELO!$B$7</f>
        <v>0</v>
      </c>
      <c r="G1054" s="5">
        <f t="shared" si="385"/>
        <v>0</v>
      </c>
      <c r="H1054" s="5">
        <f>(PARAMS_MODELO!$B$20*(MAX(0,MIN(3,E1054))/3)+PARAMS_MODELO!$B$21*(IFERROR(LN(1+MAX(0,G1054))/LN(1+MAX(0,MAX($G$2:$G$1194))),0)))*100*PARAMS_MODELO!$B$8</f>
        <v>0</v>
      </c>
      <c r="I1054" s="8">
        <f>E1054-PARAMS_MODELO!$B$5</f>
        <v>-0.17756283537552653</v>
      </c>
      <c r="J1054" s="5">
        <f>IF(I1054&lt;=PARAMS_MODELO!$B$18,0,IF(I1054&gt;=PARAMS_MODELO!$B$19,100,100*(I1054-PARAMS_MODELO!$B$18)/(PARAMS_MODELO!$B$19-PARAMS_MODELO!$B$18)))*PARAMS_MODELO!$B$9</f>
        <v>0</v>
      </c>
      <c r="K1054" s="5">
        <f>IFERROR(CHOOSE(MATCH(PARAMS_MODELO!$B$2,{"Q1","Q2","Q3"},0),LOTO!$D1054,LOTO!$F1054,LOTO!$H1054),0)</f>
        <v>0</v>
      </c>
      <c r="L1054" s="8">
        <f t="shared" si="386"/>
        <v>0</v>
      </c>
      <c r="M1054" s="5">
        <f>MIN(100,IF(PARAMS_MODELO!$B$23=0,0,100*L1054/PARAMS_MODELO!$B$23))*PARAMS_MODELO!$B$10</f>
        <v>0</v>
      </c>
      <c r="N1054" s="5">
        <f>IFERROR(VLOOKUP(A1054,COMPLIANCE!$A$2:$F$1996,6,0),100)</f>
        <v>100</v>
      </c>
      <c r="O1054" s="5">
        <f>N1054*PARAMS_MODELO!$B$11</f>
        <v>10</v>
      </c>
      <c r="P1054" s="5">
        <f>IFERROR(VLOOKUP(A1054,DIGITAL!$A$2:$J$2000,7,0),100)</f>
        <v>63</v>
      </c>
      <c r="Q1054" s="5">
        <f>IFERROR(P1054,0)*PARAMS_MODELO!$B$12</f>
        <v>6.3000000000000007</v>
      </c>
      <c r="R1054">
        <f t="shared" si="387"/>
        <v>16.3</v>
      </c>
      <c r="S1054" s="5" t="str">
        <f>IFERROR(VLOOKUP(A1054,CLIENTE!$A$2:$N$2000,13,0),1)</f>
        <v>Malo</v>
      </c>
      <c r="T1054" s="5">
        <f>IFERROR(VLOOKUP(A1054,CLIENTE!$A$2:$N$2000,14,0),1)</f>
        <v>0.7</v>
      </c>
      <c r="U1054" s="5">
        <f t="shared" si="388"/>
        <v>11.41</v>
      </c>
      <c r="V1054" s="5" t="str">
        <f>IF(U1054&gt;=MAX(_xlfn.PERCENTILE.INC($U$2:$U$1194,PARAMS_MODELO!$B$50),PARAMS_MODELO!$B$45),"DIAMANTE",IF(U1054&gt;=MAX(_xlfn.PERCENTILE.INC($U$2:$U$1194,PARAMS_MODELO!$B$51),PARAMS_MODELO!$B$46),"PLATINO",IF(U1054&gt;=MAX(_xlfn.PERCENTILE.INC($U$2:$U$1194,PARAMS_MODELO!$B$52),PARAMS_MODELO!$B$47),"ORO",IF(U1054&gt;=MAX(_xlfn.PERCENTILE.INC($U$2:$U$1194,PARAMS_MODELO!$B$53),PARAMS_MODELO!$B$48),"PLATA",IF(U1054&gt;=1,"BRONCE","CERRADO")))))</f>
        <v>BRONCE</v>
      </c>
      <c r="W1054" s="5" t="str" cm="1">
        <f t="array" ref="W1054">_xlfn.XLOOKUP(1, (HIST_SCORE!$B:$B=PARAMS_MODELO!$B$4) * (HIST_SCORE!$C:$C=A1054), HIST_SCORE!$E:$E, "No encontrado")</f>
        <v>BRONCE</v>
      </c>
      <c r="X1054" s="5" t="str">
        <f>_xlfn.LET(_xlpm.act,MATCH(V1054,{"DIAMANTE";"PLATINO";"ORO";"PLATA";"BRONCE";"CERRADO"},0),_xlpm.ant,MATCH(W1054,{"DIAMANTE";"PLATINO";"ORO";"PLATA";"BRONCE";"CERRADO"},0),IF(_xlpm.act&lt;_xlpm.ant,"Mejora ↑",IF(_xlpm.act&gt;_xlpm.ant,"Baja ↓","Estable →")))</f>
        <v>Estable →</v>
      </c>
      <c r="Y1054" s="5">
        <f>IFERROR(U1054-SUMIFS(HIST_SCORE!$D:$D,HIST_SCORE!$B:$B,PARAMS_MODELO!$B$4,HIST_SCORE!$C:$C,$A1054),"")</f>
        <v>0</v>
      </c>
      <c r="Z1054" s="5" t="str">
        <f t="shared" si="389"/>
        <v>→ Estable</v>
      </c>
      <c r="AA1054" s="5">
        <f t="shared" si="390"/>
        <v>1137</v>
      </c>
      <c r="AB1054" s="5">
        <f>IFERROR(SUMIFS(HIST_SCORE!$F:$F,HIST_SCORE!$B:$B,PARAMS_MODELO!$B$4,HIST_SCORE!$C:$C,$A1054),"")</f>
        <v>1135</v>
      </c>
      <c r="AC1054" s="5">
        <f t="shared" si="391"/>
        <v>-2</v>
      </c>
      <c r="AD1054" t="str">
        <f t="shared" si="393"/>
        <v/>
      </c>
      <c r="AE10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1054="CERRADO",1,IF(V1054="BRONCE",_xlpm.cPl,IF(V1054="PLATA",_xlpm.cO,IF(V1054="ORO",_xlpm.cP,IF(V1054="PLATINO",_xlpm.cD,999))))))</f>
        <v>24.506573482968111</v>
      </c>
      <c r="AF10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1054="CERRADO",0,IF(V1054="BRONCE",1,IF(V1054="PLATA",_xlpm.cPl,IF(V1054="ORO",_xlpm.cO,IF(V1054="PLATINO",_xlpm.cP,_xlpm.cD))))))</f>
        <v>1</v>
      </c>
      <c r="AG1054">
        <f t="shared" si="394"/>
        <v>18.709390689954443</v>
      </c>
      <c r="AH1054" t="str">
        <f t="shared" si="395"/>
        <v>VENTAS</v>
      </c>
      <c r="AI1054" t="str">
        <f t="shared" si="392"/>
        <v>🎯 Para subir de categoría, eje VENTAS / CRECIMIENTO PERSONAL (F). Acción: metas semanales + activación comercial + seguimiento del asesor. ΔR aprox: 18,7</v>
      </c>
      <c r="AJ1054" s="26">
        <f>_xlfn.LET(_xlpm.piso,AF1054,_xlpm.corte,AE1054,_xlpm.prog,IF(_xlpm.corte&lt;=_xlpm.piso,0,MAX(0,MIN(1,(U1054-_xlpm.piso)/(_xlpm.corte-_xlpm.piso)))),_xlpm.orden,{"DIAMANTE";"PLATINO";"ORO";"PLATA";"BRONCE";"CERRADO"},_xlpm.act,IFERROR(MATCH(V1054,_xlpm.orden,0),6),_xlpm.ant,IFERROR(MATCH(W1054,_xlpm.orden,0),6),_xlpm.ajmov,IF(_xlpm.act&lt;_xlpm.ant,0.08,IF(_xlpm.act&gt;_xlpm.ant,-0.08,0)),_xlpm.ajcli,IF(T1054&lt;0.95,-0.06,0),_xlpm.prob,MAX(0,MIN(1,_xlpm.prog+_xlpm.ajmov+_xlpm.ajcli)),IF(OR(V1054="DIAMANTE",V1054="CERRADO"),0,ROUND(_xlpm.prob,2)))</f>
        <v>0.38</v>
      </c>
      <c r="AK1054" t="str">
        <f t="shared" si="396"/>
        <v>Faltan 18,7 puntos base para subir a la siguiente categoría</v>
      </c>
      <c r="AL1054" t="str">
        <f t="shared" si="397"/>
        <v>No aplica</v>
      </c>
      <c r="AM1054">
        <f t="shared" si="398"/>
        <v>0.85</v>
      </c>
      <c r="AN1054" t="str">
        <f t="shared" si="399"/>
        <v>PRIORIDAD ALTA – requiere intervención inmediata</v>
      </c>
      <c r="AO1054">
        <f t="shared" si="400"/>
        <v>45.403798492706905</v>
      </c>
      <c r="AP1054">
        <f t="shared" si="401"/>
        <v>10.5</v>
      </c>
      <c r="AQ1054">
        <f t="shared" si="402"/>
        <v>0</v>
      </c>
      <c r="AR1054">
        <f t="shared" si="403"/>
        <v>2.5899999999999994</v>
      </c>
      <c r="AS1054">
        <f t="shared" si="404"/>
        <v>4.8900000000000006</v>
      </c>
      <c r="AT1054" t="str">
        <f t="shared" si="405"/>
        <v>VENTAS</v>
      </c>
      <c r="AU1054">
        <f t="shared" si="406"/>
        <v>45.403798492706905</v>
      </c>
      <c r="AV1054" t="str">
        <f t="shared" si="407"/>
        <v>Mayor retorno probable: VENTAS (+45,4 puntos finales potenciales).</v>
      </c>
    </row>
    <row r="1055" spans="1:48" x14ac:dyDescent="0.3">
      <c r="A1055" s="5">
        <v>51016122</v>
      </c>
      <c r="B1055" s="5" t="str">
        <f>IFERROR(VLOOKUP(A1055,VENTAS!$A$2:$B$1194,2,0),"")</f>
        <v/>
      </c>
      <c r="C1055" s="5">
        <f>IFERROR(INDEX(VENTAS!$C$2:$E$1194,MATCH(A1055,VENTAS!$A$2:$A$1194,0),MATCH(PARAMS_MODELO!$B$2,{"Q1","Q2","Q3"},0)),0)</f>
        <v>70549466.819999993</v>
      </c>
      <c r="D1055" s="5">
        <f>IFERROR(INDEX(VENTAS!$F$2:$H$1194,MATCH(A1055,VENTAS!$A$2:$A$1194,0),MATCH(PARAMS_MODELO!$B$2,{"Q1","Q2","Q3"},0)),0)</f>
        <v>0</v>
      </c>
      <c r="E1055" s="8">
        <f t="shared" si="384"/>
        <v>-1</v>
      </c>
      <c r="F1055" s="12">
        <f>IF(E1055&lt;=PARAMS_MODELO!$B$15,0,IF(E1055&gt;=PARAMS_MODELO!$B$17,100,100*MIN(1,(E1055-PARAMS_MODELO!$B$15)/(PARAMS_MODELO!$B$16-PARAMS_MODELO!$B$15))))*PARAMS_MODELO!$B$7</f>
        <v>0</v>
      </c>
      <c r="G1055" s="5">
        <f t="shared" si="385"/>
        <v>0</v>
      </c>
      <c r="H1055" s="5">
        <f>(PARAMS_MODELO!$B$20*(MAX(0,MIN(3,E1055))/3)+PARAMS_MODELO!$B$21*(IFERROR(LN(1+MAX(0,G1055))/LN(1+MAX(0,MAX($G$2:$G$1194))),0)))*100*PARAMS_MODELO!$B$8</f>
        <v>0</v>
      </c>
      <c r="I1055" s="8">
        <f>E1055-PARAMS_MODELO!$B$5</f>
        <v>-1.1775628353755265</v>
      </c>
      <c r="J1055" s="5">
        <f>IF(I1055&lt;=PARAMS_MODELO!$B$18,0,IF(I1055&gt;=PARAMS_MODELO!$B$19,100,100*(I1055-PARAMS_MODELO!$B$18)/(PARAMS_MODELO!$B$19-PARAMS_MODELO!$B$18)))*PARAMS_MODELO!$B$9</f>
        <v>0</v>
      </c>
      <c r="K1055" s="5">
        <f>IFERROR(CHOOSE(MATCH(PARAMS_MODELO!$B$2,{"Q1","Q2","Q3"},0),LOTO!$D1055,LOTO!$F1055,LOTO!$H1055),0)</f>
        <v>0</v>
      </c>
      <c r="L1055" s="8">
        <f t="shared" si="386"/>
        <v>0</v>
      </c>
      <c r="M1055" s="5">
        <f>MIN(100,IF(PARAMS_MODELO!$B$23=0,0,100*L1055/PARAMS_MODELO!$B$23))*PARAMS_MODELO!$B$10</f>
        <v>0</v>
      </c>
      <c r="N1055" s="5">
        <f>IFERROR(VLOOKUP(A1055,COMPLIANCE!$A$2:$F$1996,6,0),100)</f>
        <v>100</v>
      </c>
      <c r="O1055" s="5">
        <f>N1055*PARAMS_MODELO!$B$11</f>
        <v>10</v>
      </c>
      <c r="P1055" s="5">
        <f>IFERROR(VLOOKUP(A1055,DIGITAL!$A$2:$J$2000,7,0),100)</f>
        <v>27</v>
      </c>
      <c r="Q1055" s="5">
        <f>IFERROR(P1055,0)*PARAMS_MODELO!$B$12</f>
        <v>2.7</v>
      </c>
      <c r="R1055">
        <f t="shared" si="387"/>
        <v>12.7</v>
      </c>
      <c r="S1055" s="5" t="str">
        <f>IFERROR(VLOOKUP(A1055,CLIENTE!$A$2:$N$2000,13,0),1)</f>
        <v>Regular</v>
      </c>
      <c r="T1055" s="5">
        <f>IFERROR(VLOOKUP(A1055,CLIENTE!$A$2:$N$2000,14,0),1)</f>
        <v>1</v>
      </c>
      <c r="U1055" s="5">
        <f t="shared" si="388"/>
        <v>12.7</v>
      </c>
      <c r="V1055" s="5" t="str">
        <f>IF(U1055&gt;=MAX(_xlfn.PERCENTILE.INC($U$2:$U$1194,PARAMS_MODELO!$B$50),PARAMS_MODELO!$B$45),"DIAMANTE",IF(U1055&gt;=MAX(_xlfn.PERCENTILE.INC($U$2:$U$1194,PARAMS_MODELO!$B$51),PARAMS_MODELO!$B$46),"PLATINO",IF(U1055&gt;=MAX(_xlfn.PERCENTILE.INC($U$2:$U$1194,PARAMS_MODELO!$B$52),PARAMS_MODELO!$B$47),"ORO",IF(U1055&gt;=MAX(_xlfn.PERCENTILE.INC($U$2:$U$1194,PARAMS_MODELO!$B$53),PARAMS_MODELO!$B$48),"PLATA",IF(U1055&gt;=1,"BRONCE","CERRADO")))))</f>
        <v>BRONCE</v>
      </c>
      <c r="W1055" s="5" t="str" cm="1">
        <f t="array" ref="W1055">_xlfn.XLOOKUP(1, (HIST_SCORE!$B:$B=PARAMS_MODELO!$B$4) * (HIST_SCORE!$C:$C=A1055), HIST_SCORE!$E:$E, "No encontrado")</f>
        <v>BRONCE</v>
      </c>
      <c r="X1055" s="5" t="str">
        <f>_xlfn.LET(_xlpm.act,MATCH(V1055,{"DIAMANTE";"PLATINO";"ORO";"PLATA";"BRONCE";"CERRADO"},0),_xlpm.ant,MATCH(W1055,{"DIAMANTE";"PLATINO";"ORO";"PLATA";"BRONCE";"CERRADO"},0),IF(_xlpm.act&lt;_xlpm.ant,"Mejora ↑",IF(_xlpm.act&gt;_xlpm.ant,"Baja ↓","Estable →")))</f>
        <v>Estable →</v>
      </c>
      <c r="Y1055" s="5">
        <f>IFERROR(U1055-SUMIFS(HIST_SCORE!$D:$D,HIST_SCORE!$B:$B,PARAMS_MODELO!$B$4,HIST_SCORE!$C:$C,$A1055),"")</f>
        <v>0</v>
      </c>
      <c r="Z1055" s="5" t="str">
        <f t="shared" si="389"/>
        <v>→ Estable</v>
      </c>
      <c r="AA1055" s="5">
        <f t="shared" si="390"/>
        <v>1120</v>
      </c>
      <c r="AB1055" s="5">
        <f>IFERROR(SUMIFS(HIST_SCORE!$F:$F,HIST_SCORE!$B:$B,PARAMS_MODELO!$B$4,HIST_SCORE!$C:$C,$A1055),"")</f>
        <v>1119</v>
      </c>
      <c r="AC1055" s="5">
        <f t="shared" si="391"/>
        <v>-1</v>
      </c>
      <c r="AD1055" t="str">
        <f t="shared" si="393"/>
        <v/>
      </c>
      <c r="AE10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1055="CERRADO",1,IF(V1055="BRONCE",_xlpm.cPl,IF(V1055="PLATA",_xlpm.cO,IF(V1055="ORO",_xlpm.cP,IF(V1055="PLATINO",_xlpm.cD,999))))))</f>
        <v>24.506573482968111</v>
      </c>
      <c r="AF10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1055="CERRADO",0,IF(V1055="BRONCE",1,IF(V1055="PLATA",_xlpm.cPl,IF(V1055="ORO",_xlpm.cO,IF(V1055="PLATINO",_xlpm.cP,_xlpm.cD))))))</f>
        <v>1</v>
      </c>
      <c r="AG1055">
        <f t="shared" si="394"/>
        <v>11.806573482968112</v>
      </c>
      <c r="AH1055" t="str">
        <f t="shared" si="395"/>
        <v>VENTAS</v>
      </c>
      <c r="AI1055" t="str">
        <f t="shared" si="392"/>
        <v>🎯 Para subir de categoría, eje VENTAS / CRECIMIENTO PERSONAL (F). Acción: metas semanales + activación comercial + seguimiento del asesor. ΔR aprox: 11,8</v>
      </c>
      <c r="AJ1055" s="26">
        <f>_xlfn.LET(_xlpm.piso,AF1055,_xlpm.corte,AE1055,_xlpm.prog,IF(_xlpm.corte&lt;=_xlpm.piso,0,MAX(0,MIN(1,(U1055-_xlpm.piso)/(_xlpm.corte-_xlpm.piso)))),_xlpm.orden,{"DIAMANTE";"PLATINO";"ORO";"PLATA";"BRONCE";"CERRADO"},_xlpm.act,IFERROR(MATCH(V1055,_xlpm.orden,0),6),_xlpm.ant,IFERROR(MATCH(W1055,_xlpm.orden,0),6),_xlpm.ajmov,IF(_xlpm.act&lt;_xlpm.ant,0.08,IF(_xlpm.act&gt;_xlpm.ant,-0.08,0)),_xlpm.ajcli,IF(T1055&lt;0.95,-0.06,0),_xlpm.prob,MAX(0,MIN(1,_xlpm.prog+_xlpm.ajmov+_xlpm.ajcli)),IF(OR(V1055="DIAMANTE",V1055="CERRADO"),0,ROUND(_xlpm.prob,2)))</f>
        <v>0.5</v>
      </c>
      <c r="AK1055" t="str">
        <f t="shared" si="396"/>
        <v>Faltan 11,8 puntos base para subir a la siguiente categoría</v>
      </c>
      <c r="AL1055" t="str">
        <f t="shared" si="397"/>
        <v>No aplica</v>
      </c>
      <c r="AM1055">
        <f t="shared" si="398"/>
        <v>0.6</v>
      </c>
      <c r="AN1055" t="str">
        <f t="shared" si="399"/>
        <v>PRIORIDAD MEDIA – seguimiento del asesor</v>
      </c>
      <c r="AO1055">
        <f t="shared" si="400"/>
        <v>64.862569275295584</v>
      </c>
      <c r="AP1055">
        <f t="shared" si="401"/>
        <v>15</v>
      </c>
      <c r="AQ1055">
        <f t="shared" si="402"/>
        <v>0</v>
      </c>
      <c r="AR1055">
        <f t="shared" si="403"/>
        <v>7.3</v>
      </c>
      <c r="AS1055">
        <f t="shared" si="404"/>
        <v>0</v>
      </c>
      <c r="AT1055" t="str">
        <f t="shared" si="405"/>
        <v>VENTAS</v>
      </c>
      <c r="AU1055">
        <f t="shared" si="406"/>
        <v>64.862569275295584</v>
      </c>
      <c r="AV1055" t="str">
        <f t="shared" si="407"/>
        <v>Mayor retorno probable: VENTAS (+64,9 puntos finales potenciales).</v>
      </c>
    </row>
    <row r="1056" spans="1:48" x14ac:dyDescent="0.3">
      <c r="A1056" s="5">
        <v>51016190</v>
      </c>
      <c r="B1056" s="5" t="str">
        <f>IFERROR(VLOOKUP(A1056,VENTAS!$A$2:$B$1194,2,0),"")</f>
        <v/>
      </c>
      <c r="C1056" s="5">
        <f>IFERROR(INDEX(VENTAS!$C$2:$E$1194,MATCH(A1056,VENTAS!$A$2:$A$1194,0),MATCH(PARAMS_MODELO!$B$2,{"Q1","Q2","Q3"},0)),0)</f>
        <v>42803141.969999999</v>
      </c>
      <c r="D1056" s="5">
        <f>IFERROR(INDEX(VENTAS!$F$2:$H$1194,MATCH(A1056,VENTAS!$A$2:$A$1194,0),MATCH(PARAMS_MODELO!$B$2,{"Q1","Q2","Q3"},0)),0)</f>
        <v>0</v>
      </c>
      <c r="E1056" s="8">
        <f t="shared" si="384"/>
        <v>-1</v>
      </c>
      <c r="F1056" s="12">
        <f>IF(E1056&lt;=PARAMS_MODELO!$B$15,0,IF(E1056&gt;=PARAMS_MODELO!$B$17,100,100*MIN(1,(E1056-PARAMS_MODELO!$B$15)/(PARAMS_MODELO!$B$16-PARAMS_MODELO!$B$15))))*PARAMS_MODELO!$B$7</f>
        <v>0</v>
      </c>
      <c r="G1056" s="5">
        <f t="shared" si="385"/>
        <v>0</v>
      </c>
      <c r="H1056" s="5">
        <f>(PARAMS_MODELO!$B$20*(MAX(0,MIN(3,E1056))/3)+PARAMS_MODELO!$B$21*(IFERROR(LN(1+MAX(0,G1056))/LN(1+MAX(0,MAX($G$2:$G$1194))),0)))*100*PARAMS_MODELO!$B$8</f>
        <v>0</v>
      </c>
      <c r="I1056" s="8">
        <f>E1056-PARAMS_MODELO!$B$5</f>
        <v>-1.1775628353755265</v>
      </c>
      <c r="J1056" s="5">
        <f>IF(I1056&lt;=PARAMS_MODELO!$B$18,0,IF(I1056&gt;=PARAMS_MODELO!$B$19,100,100*(I1056-PARAMS_MODELO!$B$18)/(PARAMS_MODELO!$B$19-PARAMS_MODELO!$B$18)))*PARAMS_MODELO!$B$9</f>
        <v>0</v>
      </c>
      <c r="K1056" s="5">
        <f>IFERROR(CHOOSE(MATCH(PARAMS_MODELO!$B$2,{"Q1","Q2","Q3"},0),LOTO!$D1056,LOTO!$F1056,LOTO!$H1056),0)</f>
        <v>0</v>
      </c>
      <c r="L1056" s="8">
        <f t="shared" si="386"/>
        <v>0</v>
      </c>
      <c r="M1056" s="5">
        <f>MIN(100,IF(PARAMS_MODELO!$B$23=0,0,100*L1056/PARAMS_MODELO!$B$23))*PARAMS_MODELO!$B$10</f>
        <v>0</v>
      </c>
      <c r="N1056" s="5">
        <f>IFERROR(VLOOKUP(A1056,COMPLIANCE!$A$2:$F$1996,6,0),100)</f>
        <v>100</v>
      </c>
      <c r="O1056" s="5">
        <f>N1056*PARAMS_MODELO!$B$11</f>
        <v>10</v>
      </c>
      <c r="P1056" s="5">
        <f>IFERROR(VLOOKUP(A1056,DIGITAL!$A$2:$J$2000,7,0),100)</f>
        <v>35</v>
      </c>
      <c r="Q1056" s="5">
        <f>IFERROR(P1056,0)*PARAMS_MODELO!$B$12</f>
        <v>3.5</v>
      </c>
      <c r="R1056">
        <f t="shared" si="387"/>
        <v>13.5</v>
      </c>
      <c r="S1056" s="5" t="str">
        <f>IFERROR(VLOOKUP(A1056,CLIENTE!$A$2:$N$2000,13,0),1)</f>
        <v>Regular</v>
      </c>
      <c r="T1056" s="5">
        <f>IFERROR(VLOOKUP(A1056,CLIENTE!$A$2:$N$2000,14,0),1)</f>
        <v>1</v>
      </c>
      <c r="U1056" s="5">
        <f t="shared" si="388"/>
        <v>13.5</v>
      </c>
      <c r="V1056" s="5" t="str">
        <f>IF(U1056&gt;=MAX(_xlfn.PERCENTILE.INC($U$2:$U$1194,PARAMS_MODELO!$B$50),PARAMS_MODELO!$B$45),"DIAMANTE",IF(U1056&gt;=MAX(_xlfn.PERCENTILE.INC($U$2:$U$1194,PARAMS_MODELO!$B$51),PARAMS_MODELO!$B$46),"PLATINO",IF(U1056&gt;=MAX(_xlfn.PERCENTILE.INC($U$2:$U$1194,PARAMS_MODELO!$B$52),PARAMS_MODELO!$B$47),"ORO",IF(U1056&gt;=MAX(_xlfn.PERCENTILE.INC($U$2:$U$1194,PARAMS_MODELO!$B$53),PARAMS_MODELO!$B$48),"PLATA",IF(U1056&gt;=1,"BRONCE","CERRADO")))))</f>
        <v>BRONCE</v>
      </c>
      <c r="W1056" s="5" t="str" cm="1">
        <f t="array" ref="W1056">_xlfn.XLOOKUP(1, (HIST_SCORE!$B:$B=PARAMS_MODELO!$B$4) * (HIST_SCORE!$C:$C=A1056), HIST_SCORE!$E:$E, "No encontrado")</f>
        <v>BRONCE</v>
      </c>
      <c r="X1056" s="5" t="str">
        <f>_xlfn.LET(_xlpm.act,MATCH(V1056,{"DIAMANTE";"PLATINO";"ORO";"PLATA";"BRONCE";"CERRADO"},0),_xlpm.ant,MATCH(W1056,{"DIAMANTE";"PLATINO";"ORO";"PLATA";"BRONCE";"CERRADO"},0),IF(_xlpm.act&lt;_xlpm.ant,"Mejora ↑",IF(_xlpm.act&gt;_xlpm.ant,"Baja ↓","Estable →")))</f>
        <v>Estable →</v>
      </c>
      <c r="Y1056" s="5">
        <f>IFERROR(U1056-SUMIFS(HIST_SCORE!$D:$D,HIST_SCORE!$B:$B,PARAMS_MODELO!$B$4,HIST_SCORE!$C:$C,$A1056),"")</f>
        <v>0</v>
      </c>
      <c r="Z1056" s="5" t="str">
        <f t="shared" si="389"/>
        <v>→ Estable</v>
      </c>
      <c r="AA1056" s="5">
        <f t="shared" si="390"/>
        <v>1097</v>
      </c>
      <c r="AB1056" s="5">
        <f>IFERROR(SUMIFS(HIST_SCORE!$F:$F,HIST_SCORE!$B:$B,PARAMS_MODELO!$B$4,HIST_SCORE!$C:$C,$A1056),"")</f>
        <v>1095</v>
      </c>
      <c r="AC1056" s="5">
        <f t="shared" si="391"/>
        <v>-2</v>
      </c>
      <c r="AD1056" t="str">
        <f t="shared" si="393"/>
        <v/>
      </c>
      <c r="AE10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1056="CERRADO",1,IF(V1056="BRONCE",_xlpm.cPl,IF(V1056="PLATA",_xlpm.cO,IF(V1056="ORO",_xlpm.cP,IF(V1056="PLATINO",_xlpm.cD,999))))))</f>
        <v>24.506573482968111</v>
      </c>
      <c r="AF10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1056="CERRADO",0,IF(V1056="BRONCE",1,IF(V1056="PLATA",_xlpm.cPl,IF(V1056="ORO",_xlpm.cO,IF(V1056="PLATINO",_xlpm.cP,_xlpm.cD))))))</f>
        <v>1</v>
      </c>
      <c r="AG1056">
        <f t="shared" si="394"/>
        <v>11.006573482968111</v>
      </c>
      <c r="AH1056" t="str">
        <f t="shared" si="395"/>
        <v>VENTAS</v>
      </c>
      <c r="AI1056" t="str">
        <f t="shared" si="392"/>
        <v>🎯 Para subir de categoría, eje VENTAS / CRECIMIENTO PERSONAL (F). Acción: metas semanales + activación comercial + seguimiento del asesor. ΔR aprox: 11,0</v>
      </c>
      <c r="AJ1056" s="26">
        <f>_xlfn.LET(_xlpm.piso,AF1056,_xlpm.corte,AE1056,_xlpm.prog,IF(_xlpm.corte&lt;=_xlpm.piso,0,MAX(0,MIN(1,(U1056-_xlpm.piso)/(_xlpm.corte-_xlpm.piso)))),_xlpm.orden,{"DIAMANTE";"PLATINO";"ORO";"PLATA";"BRONCE";"CERRADO"},_xlpm.act,IFERROR(MATCH(V1056,_xlpm.orden,0),6),_xlpm.ant,IFERROR(MATCH(W1056,_xlpm.orden,0),6),_xlpm.ajmov,IF(_xlpm.act&lt;_xlpm.ant,0.08,IF(_xlpm.act&gt;_xlpm.ant,-0.08,0)),_xlpm.ajcli,IF(T1056&lt;0.95,-0.06,0),_xlpm.prob,MAX(0,MIN(1,_xlpm.prog+_xlpm.ajmov+_xlpm.ajcli)),IF(OR(V1056="DIAMANTE",V1056="CERRADO"),0,ROUND(_xlpm.prob,2)))</f>
        <v>0.53</v>
      </c>
      <c r="AK1056" t="str">
        <f t="shared" si="396"/>
        <v>Faltan 11,0 puntos base para subir a la siguiente categoría</v>
      </c>
      <c r="AL1056" t="str">
        <f t="shared" si="397"/>
        <v>No aplica</v>
      </c>
      <c r="AM1056">
        <f t="shared" si="398"/>
        <v>0.59</v>
      </c>
      <c r="AN1056" t="str">
        <f t="shared" si="399"/>
        <v>PRIORIDAD MEDIA – seguimiento del asesor</v>
      </c>
      <c r="AO1056">
        <f t="shared" si="400"/>
        <v>64.862569275295584</v>
      </c>
      <c r="AP1056">
        <f t="shared" si="401"/>
        <v>15</v>
      </c>
      <c r="AQ1056">
        <f t="shared" si="402"/>
        <v>0</v>
      </c>
      <c r="AR1056">
        <f t="shared" si="403"/>
        <v>6.5</v>
      </c>
      <c r="AS1056">
        <f t="shared" si="404"/>
        <v>0</v>
      </c>
      <c r="AT1056" t="str">
        <f t="shared" si="405"/>
        <v>VENTAS</v>
      </c>
      <c r="AU1056">
        <f t="shared" si="406"/>
        <v>64.862569275295584</v>
      </c>
      <c r="AV1056" t="str">
        <f t="shared" si="407"/>
        <v>Mayor retorno probable: VENTAS (+64,9 puntos finales potenciales).</v>
      </c>
    </row>
    <row r="1057" spans="1:48" x14ac:dyDescent="0.3">
      <c r="A1057" s="5">
        <v>51016505</v>
      </c>
      <c r="B1057" s="5" t="str">
        <f>IFERROR(VLOOKUP(A1057,VENTAS!$A$2:$B$1194,2,0),"")</f>
        <v/>
      </c>
      <c r="C1057" s="5">
        <f>IFERROR(INDEX(VENTAS!$C$2:$E$1194,MATCH(A1057,VENTAS!$A$2:$A$1194,0),MATCH(PARAMS_MODELO!$B$2,{"Q1","Q2","Q3"},0)),0)</f>
        <v>24299123.149999999</v>
      </c>
      <c r="D1057" s="5">
        <f>IFERROR(INDEX(VENTAS!$F$2:$H$1194,MATCH(A1057,VENTAS!$A$2:$A$1194,0),MATCH(PARAMS_MODELO!$B$2,{"Q1","Q2","Q3"},0)),0)</f>
        <v>0</v>
      </c>
      <c r="E1057" s="8">
        <f t="shared" si="384"/>
        <v>-1</v>
      </c>
      <c r="F1057" s="12">
        <f>IF(E1057&lt;=PARAMS_MODELO!$B$15,0,IF(E1057&gt;=PARAMS_MODELO!$B$17,100,100*MIN(1,(E1057-PARAMS_MODELO!$B$15)/(PARAMS_MODELO!$B$16-PARAMS_MODELO!$B$15))))*PARAMS_MODELO!$B$7</f>
        <v>0</v>
      </c>
      <c r="G1057" s="5">
        <f t="shared" si="385"/>
        <v>0</v>
      </c>
      <c r="H1057" s="5">
        <f>(PARAMS_MODELO!$B$20*(MAX(0,MIN(3,E1057))/3)+PARAMS_MODELO!$B$21*(IFERROR(LN(1+MAX(0,G1057))/LN(1+MAX(0,MAX($G$2:$G$1194))),0)))*100*PARAMS_MODELO!$B$8</f>
        <v>0</v>
      </c>
      <c r="I1057" s="8">
        <f>E1057-PARAMS_MODELO!$B$5</f>
        <v>-1.1775628353755265</v>
      </c>
      <c r="J1057" s="5">
        <f>IF(I1057&lt;=PARAMS_MODELO!$B$18,0,IF(I1057&gt;=PARAMS_MODELO!$B$19,100,100*(I1057-PARAMS_MODELO!$B$18)/(PARAMS_MODELO!$B$19-PARAMS_MODELO!$B$18)))*PARAMS_MODELO!$B$9</f>
        <v>0</v>
      </c>
      <c r="K1057" s="5">
        <f>IFERROR(CHOOSE(MATCH(PARAMS_MODELO!$B$2,{"Q1","Q2","Q3"},0),LOTO!$D1057,LOTO!$F1057,LOTO!$H1057),0)</f>
        <v>0</v>
      </c>
      <c r="L1057" s="8">
        <f t="shared" si="386"/>
        <v>0</v>
      </c>
      <c r="M1057" s="5">
        <f>MIN(100,IF(PARAMS_MODELO!$B$23=0,0,100*L1057/PARAMS_MODELO!$B$23))*PARAMS_MODELO!$B$10</f>
        <v>0</v>
      </c>
      <c r="N1057" s="5">
        <f>IFERROR(VLOOKUP(A1057,COMPLIANCE!$A$2:$F$1996,6,0),100)</f>
        <v>99.98</v>
      </c>
      <c r="O1057" s="5">
        <f>N1057*PARAMS_MODELO!$B$11</f>
        <v>9.9980000000000011</v>
      </c>
      <c r="P1057" s="5">
        <f>IFERROR(VLOOKUP(A1057,DIGITAL!$A$2:$J$2000,7,0),100)</f>
        <v>14</v>
      </c>
      <c r="Q1057" s="5">
        <f>IFERROR(P1057,0)*PARAMS_MODELO!$B$12</f>
        <v>1.4000000000000001</v>
      </c>
      <c r="R1057">
        <f t="shared" si="387"/>
        <v>11.398000000000001</v>
      </c>
      <c r="S1057" s="5" t="str">
        <f>IFERROR(VLOOKUP(A1057,CLIENTE!$A$2:$N$2000,13,0),1)</f>
        <v>Regular</v>
      </c>
      <c r="T1057" s="5">
        <f>IFERROR(VLOOKUP(A1057,CLIENTE!$A$2:$N$2000,14,0),1)</f>
        <v>1</v>
      </c>
      <c r="U1057" s="5">
        <f t="shared" si="388"/>
        <v>11.398000000000001</v>
      </c>
      <c r="V1057" s="5" t="str">
        <f>IF(U1057&gt;=MAX(_xlfn.PERCENTILE.INC($U$2:$U$1194,PARAMS_MODELO!$B$50),PARAMS_MODELO!$B$45),"DIAMANTE",IF(U1057&gt;=MAX(_xlfn.PERCENTILE.INC($U$2:$U$1194,PARAMS_MODELO!$B$51),PARAMS_MODELO!$B$46),"PLATINO",IF(U1057&gt;=MAX(_xlfn.PERCENTILE.INC($U$2:$U$1194,PARAMS_MODELO!$B$52),PARAMS_MODELO!$B$47),"ORO",IF(U1057&gt;=MAX(_xlfn.PERCENTILE.INC($U$2:$U$1194,PARAMS_MODELO!$B$53),PARAMS_MODELO!$B$48),"PLATA",IF(U1057&gt;=1,"BRONCE","CERRADO")))))</f>
        <v>BRONCE</v>
      </c>
      <c r="W1057" s="5" t="str" cm="1">
        <f t="array" ref="W1057">_xlfn.XLOOKUP(1, (HIST_SCORE!$B:$B=PARAMS_MODELO!$B$4) * (HIST_SCORE!$C:$C=A1057), HIST_SCORE!$E:$E, "No encontrado")</f>
        <v>BRONCE</v>
      </c>
      <c r="X1057" s="5" t="str">
        <f>_xlfn.LET(_xlpm.act,MATCH(V1057,{"DIAMANTE";"PLATINO";"ORO";"PLATA";"BRONCE";"CERRADO"},0),_xlpm.ant,MATCH(W1057,{"DIAMANTE";"PLATINO";"ORO";"PLATA";"BRONCE";"CERRADO"},0),IF(_xlpm.act&lt;_xlpm.ant,"Mejora ↑",IF(_xlpm.act&gt;_xlpm.ant,"Baja ↓","Estable →")))</f>
        <v>Estable →</v>
      </c>
      <c r="Y1057" s="5">
        <f>IFERROR(U1057-SUMIFS(HIST_SCORE!$D:$D,HIST_SCORE!$B:$B,PARAMS_MODELO!$B$4,HIST_SCORE!$C:$C,$A1057),"")</f>
        <v>0</v>
      </c>
      <c r="Z1057" s="5" t="str">
        <f t="shared" si="389"/>
        <v>→ Estable</v>
      </c>
      <c r="AA1057" s="5">
        <f t="shared" si="390"/>
        <v>1139</v>
      </c>
      <c r="AB1057" s="5">
        <f>IFERROR(SUMIFS(HIST_SCORE!$F:$F,HIST_SCORE!$B:$B,PARAMS_MODELO!$B$4,HIST_SCORE!$C:$C,$A1057),"")</f>
        <v>1137</v>
      </c>
      <c r="AC1057" s="5">
        <f t="shared" si="391"/>
        <v>-2</v>
      </c>
      <c r="AD1057" t="str">
        <f t="shared" si="393"/>
        <v/>
      </c>
      <c r="AE10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1057="CERRADO",1,IF(V1057="BRONCE",_xlpm.cPl,IF(V1057="PLATA",_xlpm.cO,IF(V1057="ORO",_xlpm.cP,IF(V1057="PLATINO",_xlpm.cD,999))))))</f>
        <v>24.506573482968111</v>
      </c>
      <c r="AF10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1057="CERRADO",0,IF(V1057="BRONCE",1,IF(V1057="PLATA",_xlpm.cPl,IF(V1057="ORO",_xlpm.cO,IF(V1057="PLATINO",_xlpm.cP,_xlpm.cD))))))</f>
        <v>1</v>
      </c>
      <c r="AG1057">
        <f t="shared" si="394"/>
        <v>13.10857348296811</v>
      </c>
      <c r="AH1057" t="str">
        <f t="shared" si="395"/>
        <v>VENTAS</v>
      </c>
      <c r="AI1057" t="str">
        <f t="shared" si="392"/>
        <v>🎯 Para subir de categoría, eje VENTAS / CRECIMIENTO PERSONAL (F). Acción: metas semanales + activación comercial + seguimiento del asesor. ΔR aprox: 13,1</v>
      </c>
      <c r="AJ1057" s="26">
        <f>_xlfn.LET(_xlpm.piso,AF1057,_xlpm.corte,AE1057,_xlpm.prog,IF(_xlpm.corte&lt;=_xlpm.piso,0,MAX(0,MIN(1,(U1057-_xlpm.piso)/(_xlpm.corte-_xlpm.piso)))),_xlpm.orden,{"DIAMANTE";"PLATINO";"ORO";"PLATA";"BRONCE";"CERRADO"},_xlpm.act,IFERROR(MATCH(V1057,_xlpm.orden,0),6),_xlpm.ant,IFERROR(MATCH(W1057,_xlpm.orden,0),6),_xlpm.ajmov,IF(_xlpm.act&lt;_xlpm.ant,0.08,IF(_xlpm.act&gt;_xlpm.ant,-0.08,0)),_xlpm.ajcli,IF(T1057&lt;0.95,-0.06,0),_xlpm.prob,MAX(0,MIN(1,_xlpm.prog+_xlpm.ajmov+_xlpm.ajcli)),IF(OR(V1057="DIAMANTE",V1057="CERRADO"),0,ROUND(_xlpm.prob,2)))</f>
        <v>0.44</v>
      </c>
      <c r="AK1057" t="str">
        <f t="shared" si="396"/>
        <v>Faltan 13,1 puntos base para subir a la siguiente categoría</v>
      </c>
      <c r="AL1057" t="str">
        <f t="shared" si="397"/>
        <v>No aplica</v>
      </c>
      <c r="AM1057">
        <f t="shared" si="398"/>
        <v>0.62</v>
      </c>
      <c r="AN1057" t="str">
        <f t="shared" si="399"/>
        <v>PRIORIDAD MEDIA – seguimiento del asesor</v>
      </c>
      <c r="AO1057">
        <f t="shared" si="400"/>
        <v>64.862569275295584</v>
      </c>
      <c r="AP1057">
        <f t="shared" si="401"/>
        <v>15</v>
      </c>
      <c r="AQ1057">
        <f t="shared" si="402"/>
        <v>1.9999999999988916E-3</v>
      </c>
      <c r="AR1057">
        <f t="shared" si="403"/>
        <v>8.6</v>
      </c>
      <c r="AS1057">
        <f t="shared" si="404"/>
        <v>0</v>
      </c>
      <c r="AT1057" t="str">
        <f t="shared" si="405"/>
        <v>VENTAS</v>
      </c>
      <c r="AU1057">
        <f t="shared" si="406"/>
        <v>64.862569275295584</v>
      </c>
      <c r="AV1057" t="str">
        <f t="shared" si="407"/>
        <v>Mayor retorno probable: VENTAS (+64,9 puntos finales potenciales).</v>
      </c>
    </row>
    <row r="1058" spans="1:48" x14ac:dyDescent="0.3">
      <c r="A1058" s="5">
        <v>51016670</v>
      </c>
      <c r="B1058" s="5" t="str">
        <f>IFERROR(VLOOKUP(A1058,VENTAS!$A$2:$B$1194,2,0),"")</f>
        <v/>
      </c>
      <c r="C1058" s="5">
        <f>IFERROR(INDEX(VENTAS!$C$2:$E$1194,MATCH(A1058,VENTAS!$A$2:$A$1194,0),MATCH(PARAMS_MODELO!$B$2,{"Q1","Q2","Q3"},0)),0)</f>
        <v>68560487.909999996</v>
      </c>
      <c r="D1058" s="5">
        <f>IFERROR(INDEX(VENTAS!$F$2:$H$1194,MATCH(A1058,VENTAS!$A$2:$A$1194,0),MATCH(PARAMS_MODELO!$B$2,{"Q1","Q2","Q3"},0)),0)</f>
        <v>0</v>
      </c>
      <c r="E1058" s="8">
        <f t="shared" si="384"/>
        <v>-1</v>
      </c>
      <c r="F1058" s="12">
        <f>IF(E1058&lt;=PARAMS_MODELO!$B$15,0,IF(E1058&gt;=PARAMS_MODELO!$B$17,100,100*MIN(1,(E1058-PARAMS_MODELO!$B$15)/(PARAMS_MODELO!$B$16-PARAMS_MODELO!$B$15))))*PARAMS_MODELO!$B$7</f>
        <v>0</v>
      </c>
      <c r="G1058" s="5">
        <f t="shared" si="385"/>
        <v>0</v>
      </c>
      <c r="H1058" s="5">
        <f>(PARAMS_MODELO!$B$20*(MAX(0,MIN(3,E1058))/3)+PARAMS_MODELO!$B$21*(IFERROR(LN(1+MAX(0,G1058))/LN(1+MAX(0,MAX($G$2:$G$1194))),0)))*100*PARAMS_MODELO!$B$8</f>
        <v>0</v>
      </c>
      <c r="I1058" s="8">
        <f>E1058-PARAMS_MODELO!$B$5</f>
        <v>-1.1775628353755265</v>
      </c>
      <c r="J1058" s="5">
        <f>IF(I1058&lt;=PARAMS_MODELO!$B$18,0,IF(I1058&gt;=PARAMS_MODELO!$B$19,100,100*(I1058-PARAMS_MODELO!$B$18)/(PARAMS_MODELO!$B$19-PARAMS_MODELO!$B$18)))*PARAMS_MODELO!$B$9</f>
        <v>0</v>
      </c>
      <c r="K1058" s="5">
        <f>IFERROR(CHOOSE(MATCH(PARAMS_MODELO!$B$2,{"Q1","Q2","Q3"},0),LOTO!$D1058,LOTO!$F1058,LOTO!$H1058),0)</f>
        <v>0</v>
      </c>
      <c r="L1058" s="8">
        <f t="shared" si="386"/>
        <v>0</v>
      </c>
      <c r="M1058" s="5">
        <f>MIN(100,IF(PARAMS_MODELO!$B$23=0,0,100*L1058/PARAMS_MODELO!$B$23))*PARAMS_MODELO!$B$10</f>
        <v>0</v>
      </c>
      <c r="N1058" s="5">
        <f>IFERROR(VLOOKUP(A1058,COMPLIANCE!$A$2:$F$1996,6,0),100)</f>
        <v>99.85</v>
      </c>
      <c r="O1058" s="5">
        <f>N1058*PARAMS_MODELO!$B$11</f>
        <v>9.9849999999999994</v>
      </c>
      <c r="P1058" s="5">
        <f>IFERROR(VLOOKUP(A1058,DIGITAL!$A$2:$J$2000,7,0),100)</f>
        <v>38</v>
      </c>
      <c r="Q1058" s="5">
        <f>IFERROR(P1058,0)*PARAMS_MODELO!$B$12</f>
        <v>3.8000000000000003</v>
      </c>
      <c r="R1058">
        <f t="shared" si="387"/>
        <v>13.785</v>
      </c>
      <c r="S1058" s="5" t="str">
        <f>IFERROR(VLOOKUP(A1058,CLIENTE!$A$2:$N$2000,13,0),1)</f>
        <v>Regular</v>
      </c>
      <c r="T1058" s="5">
        <f>IFERROR(VLOOKUP(A1058,CLIENTE!$A$2:$N$2000,14,0),1)</f>
        <v>1</v>
      </c>
      <c r="U1058" s="5">
        <f t="shared" si="388"/>
        <v>13.785</v>
      </c>
      <c r="V1058" s="5" t="str">
        <f>IF(U1058&gt;=MAX(_xlfn.PERCENTILE.INC($U$2:$U$1194,PARAMS_MODELO!$B$50),PARAMS_MODELO!$B$45),"DIAMANTE",IF(U1058&gt;=MAX(_xlfn.PERCENTILE.INC($U$2:$U$1194,PARAMS_MODELO!$B$51),PARAMS_MODELO!$B$46),"PLATINO",IF(U1058&gt;=MAX(_xlfn.PERCENTILE.INC($U$2:$U$1194,PARAMS_MODELO!$B$52),PARAMS_MODELO!$B$47),"ORO",IF(U1058&gt;=MAX(_xlfn.PERCENTILE.INC($U$2:$U$1194,PARAMS_MODELO!$B$53),PARAMS_MODELO!$B$48),"PLATA",IF(U1058&gt;=1,"BRONCE","CERRADO")))))</f>
        <v>BRONCE</v>
      </c>
      <c r="W1058" s="5" t="str" cm="1">
        <f t="array" ref="W1058">_xlfn.XLOOKUP(1, (HIST_SCORE!$B:$B=PARAMS_MODELO!$B$4) * (HIST_SCORE!$C:$C=A1058), HIST_SCORE!$E:$E, "No encontrado")</f>
        <v>BRONCE</v>
      </c>
      <c r="X1058" s="5" t="str">
        <f>_xlfn.LET(_xlpm.act,MATCH(V1058,{"DIAMANTE";"PLATINO";"ORO";"PLATA";"BRONCE";"CERRADO"},0),_xlpm.ant,MATCH(W1058,{"DIAMANTE";"PLATINO";"ORO";"PLATA";"BRONCE";"CERRADO"},0),IF(_xlpm.act&lt;_xlpm.ant,"Mejora ↑",IF(_xlpm.act&gt;_xlpm.ant,"Baja ↓","Estable →")))</f>
        <v>Estable →</v>
      </c>
      <c r="Y1058" s="5">
        <f>IFERROR(U1058-SUMIFS(HIST_SCORE!$D:$D,HIST_SCORE!$B:$B,PARAMS_MODELO!$B$4,HIST_SCORE!$C:$C,$A1058),"")</f>
        <v>0</v>
      </c>
      <c r="Z1058" s="5" t="str">
        <f t="shared" si="389"/>
        <v>→ Estable</v>
      </c>
      <c r="AA1058" s="5">
        <f t="shared" si="390"/>
        <v>1092</v>
      </c>
      <c r="AB1058" s="5">
        <f>IFERROR(SUMIFS(HIST_SCORE!$F:$F,HIST_SCORE!$B:$B,PARAMS_MODELO!$B$4,HIST_SCORE!$C:$C,$A1058),"")</f>
        <v>1090</v>
      </c>
      <c r="AC1058" s="5">
        <f t="shared" si="391"/>
        <v>-2</v>
      </c>
      <c r="AD1058" t="str">
        <f t="shared" si="393"/>
        <v/>
      </c>
      <c r="AE10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1058="CERRADO",1,IF(V1058="BRONCE",_xlpm.cPl,IF(V1058="PLATA",_xlpm.cO,IF(V1058="ORO",_xlpm.cP,IF(V1058="PLATINO",_xlpm.cD,999))))))</f>
        <v>24.506573482968111</v>
      </c>
      <c r="AF10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1058="CERRADO",0,IF(V1058="BRONCE",1,IF(V1058="PLATA",_xlpm.cPl,IF(V1058="ORO",_xlpm.cO,IF(V1058="PLATINO",_xlpm.cP,_xlpm.cD))))))</f>
        <v>1</v>
      </c>
      <c r="AG1058">
        <f t="shared" si="394"/>
        <v>10.721573482968111</v>
      </c>
      <c r="AH1058" t="str">
        <f t="shared" si="395"/>
        <v>VENTAS</v>
      </c>
      <c r="AI1058" t="str">
        <f t="shared" si="392"/>
        <v>🎯 Para subir de categoría, eje VENTAS / CRECIMIENTO PERSONAL (F). Acción: metas semanales + activación comercial + seguimiento del asesor. ΔR aprox: 10,7</v>
      </c>
      <c r="AJ1058" s="26">
        <f>_xlfn.LET(_xlpm.piso,AF1058,_xlpm.corte,AE1058,_xlpm.prog,IF(_xlpm.corte&lt;=_xlpm.piso,0,MAX(0,MIN(1,(U1058-_xlpm.piso)/(_xlpm.corte-_xlpm.piso)))),_xlpm.orden,{"DIAMANTE";"PLATINO";"ORO";"PLATA";"BRONCE";"CERRADO"},_xlpm.act,IFERROR(MATCH(V1058,_xlpm.orden,0),6),_xlpm.ant,IFERROR(MATCH(W1058,_xlpm.orden,0),6),_xlpm.ajmov,IF(_xlpm.act&lt;_xlpm.ant,0.08,IF(_xlpm.act&gt;_xlpm.ant,-0.08,0)),_xlpm.ajcli,IF(T1058&lt;0.95,-0.06,0),_xlpm.prob,MAX(0,MIN(1,_xlpm.prog+_xlpm.ajmov+_xlpm.ajcli)),IF(OR(V1058="DIAMANTE",V1058="CERRADO"),0,ROUND(_xlpm.prob,2)))</f>
        <v>0.54</v>
      </c>
      <c r="AK1058" t="str">
        <f t="shared" si="396"/>
        <v>Faltan 10,7 puntos base para subir a la siguiente categoría</v>
      </c>
      <c r="AL1058" t="str">
        <f t="shared" si="397"/>
        <v>No aplica</v>
      </c>
      <c r="AM1058">
        <f t="shared" si="398"/>
        <v>0.57999999999999996</v>
      </c>
      <c r="AN1058" t="str">
        <f t="shared" si="399"/>
        <v>PRIORIDAD MEDIA – seguimiento del asesor</v>
      </c>
      <c r="AO1058">
        <f t="shared" si="400"/>
        <v>64.862569275295584</v>
      </c>
      <c r="AP1058">
        <f t="shared" si="401"/>
        <v>15</v>
      </c>
      <c r="AQ1058">
        <f t="shared" si="402"/>
        <v>1.5000000000000568E-2</v>
      </c>
      <c r="AR1058">
        <f t="shared" si="403"/>
        <v>6.1999999999999993</v>
      </c>
      <c r="AS1058">
        <f t="shared" si="404"/>
        <v>0</v>
      </c>
      <c r="AT1058" t="str">
        <f t="shared" si="405"/>
        <v>VENTAS</v>
      </c>
      <c r="AU1058">
        <f t="shared" si="406"/>
        <v>64.862569275295584</v>
      </c>
      <c r="AV1058" t="str">
        <f t="shared" si="407"/>
        <v>Mayor retorno probable: VENTAS (+64,9 puntos finales potenciales).</v>
      </c>
    </row>
    <row r="1059" spans="1:48" x14ac:dyDescent="0.3">
      <c r="A1059" s="5">
        <v>51016751</v>
      </c>
      <c r="B1059" s="5" t="str">
        <f>IFERROR(VLOOKUP(A1059,VENTAS!$A$2:$B$1194,2,0),"")</f>
        <v/>
      </c>
      <c r="C1059" s="5">
        <f>IFERROR(INDEX(VENTAS!$C$2:$E$1194,MATCH(A1059,VENTAS!$A$2:$A$1194,0),MATCH(PARAMS_MODELO!$B$2,{"Q1","Q2","Q3"},0)),0)</f>
        <v>19348131.420000002</v>
      </c>
      <c r="D1059" s="5">
        <f>IFERROR(INDEX(VENTAS!$F$2:$H$1194,MATCH(A1059,VENTAS!$A$2:$A$1194,0),MATCH(PARAMS_MODELO!$B$2,{"Q1","Q2","Q3"},0)),0)</f>
        <v>0</v>
      </c>
      <c r="E1059" s="8">
        <f t="shared" si="384"/>
        <v>-1</v>
      </c>
      <c r="F1059" s="12">
        <f>IF(E1059&lt;=PARAMS_MODELO!$B$15,0,IF(E1059&gt;=PARAMS_MODELO!$B$17,100,100*MIN(1,(E1059-PARAMS_MODELO!$B$15)/(PARAMS_MODELO!$B$16-PARAMS_MODELO!$B$15))))*PARAMS_MODELO!$B$7</f>
        <v>0</v>
      </c>
      <c r="G1059" s="5">
        <f t="shared" si="385"/>
        <v>0</v>
      </c>
      <c r="H1059" s="5">
        <f>(PARAMS_MODELO!$B$20*(MAX(0,MIN(3,E1059))/3)+PARAMS_MODELO!$B$21*(IFERROR(LN(1+MAX(0,G1059))/LN(1+MAX(0,MAX($G$2:$G$1194))),0)))*100*PARAMS_MODELO!$B$8</f>
        <v>0</v>
      </c>
      <c r="I1059" s="8">
        <f>E1059-PARAMS_MODELO!$B$5</f>
        <v>-1.1775628353755265</v>
      </c>
      <c r="J1059" s="5">
        <f>IF(I1059&lt;=PARAMS_MODELO!$B$18,0,IF(I1059&gt;=PARAMS_MODELO!$B$19,100,100*(I1059-PARAMS_MODELO!$B$18)/(PARAMS_MODELO!$B$19-PARAMS_MODELO!$B$18)))*PARAMS_MODELO!$B$9</f>
        <v>0</v>
      </c>
      <c r="K1059" s="5">
        <f>IFERROR(CHOOSE(MATCH(PARAMS_MODELO!$B$2,{"Q1","Q2","Q3"},0),LOTO!$D1059,LOTO!$F1059,LOTO!$H1059),0)</f>
        <v>0</v>
      </c>
      <c r="L1059" s="8">
        <f t="shared" si="386"/>
        <v>0</v>
      </c>
      <c r="M1059" s="5">
        <f>MIN(100,IF(PARAMS_MODELO!$B$23=0,0,100*L1059/PARAMS_MODELO!$B$23))*PARAMS_MODELO!$B$10</f>
        <v>0</v>
      </c>
      <c r="N1059" s="5">
        <f>IFERROR(VLOOKUP(A1059,COMPLIANCE!$A$2:$F$1996,6,0),100)</f>
        <v>100</v>
      </c>
      <c r="O1059" s="5">
        <f>N1059*PARAMS_MODELO!$B$11</f>
        <v>10</v>
      </c>
      <c r="P1059" s="5">
        <f>IFERROR(VLOOKUP(A1059,DIGITAL!$A$2:$J$2000,7,0),100)</f>
        <v>98</v>
      </c>
      <c r="Q1059" s="5">
        <f>IFERROR(P1059,0)*PARAMS_MODELO!$B$12</f>
        <v>9.8000000000000007</v>
      </c>
      <c r="R1059">
        <f t="shared" si="387"/>
        <v>19.8</v>
      </c>
      <c r="S1059" s="5" t="str">
        <f>IFERROR(VLOOKUP(A1059,CLIENTE!$A$2:$N$2000,13,0),1)</f>
        <v>Malo</v>
      </c>
      <c r="T1059" s="5">
        <f>IFERROR(VLOOKUP(A1059,CLIENTE!$A$2:$N$2000,14,0),1)</f>
        <v>0.7</v>
      </c>
      <c r="U1059" s="5">
        <f t="shared" si="388"/>
        <v>13.86</v>
      </c>
      <c r="V1059" s="5" t="str">
        <f>IF(U1059&gt;=MAX(_xlfn.PERCENTILE.INC($U$2:$U$1194,PARAMS_MODELO!$B$50),PARAMS_MODELO!$B$45),"DIAMANTE",IF(U1059&gt;=MAX(_xlfn.PERCENTILE.INC($U$2:$U$1194,PARAMS_MODELO!$B$51),PARAMS_MODELO!$B$46),"PLATINO",IF(U1059&gt;=MAX(_xlfn.PERCENTILE.INC($U$2:$U$1194,PARAMS_MODELO!$B$52),PARAMS_MODELO!$B$47),"ORO",IF(U1059&gt;=MAX(_xlfn.PERCENTILE.INC($U$2:$U$1194,PARAMS_MODELO!$B$53),PARAMS_MODELO!$B$48),"PLATA",IF(U1059&gt;=1,"BRONCE","CERRADO")))))</f>
        <v>BRONCE</v>
      </c>
      <c r="W1059" s="5" t="str" cm="1">
        <f t="array" ref="W1059">_xlfn.XLOOKUP(1, (HIST_SCORE!$B:$B=PARAMS_MODELO!$B$4) * (HIST_SCORE!$C:$C=A1059), HIST_SCORE!$E:$E, "No encontrado")</f>
        <v>BRONCE</v>
      </c>
      <c r="X1059" s="5" t="str">
        <f>_xlfn.LET(_xlpm.act,MATCH(V1059,{"DIAMANTE";"PLATINO";"ORO";"PLATA";"BRONCE";"CERRADO"},0),_xlpm.ant,MATCH(W1059,{"DIAMANTE";"PLATINO";"ORO";"PLATA";"BRONCE";"CERRADO"},0),IF(_xlpm.act&lt;_xlpm.ant,"Mejora ↑",IF(_xlpm.act&gt;_xlpm.ant,"Baja ↓","Estable →")))</f>
        <v>Estable →</v>
      </c>
      <c r="Y1059" s="5">
        <f>IFERROR(U1059-SUMIFS(HIST_SCORE!$D:$D,HIST_SCORE!$B:$B,PARAMS_MODELO!$B$4,HIST_SCORE!$C:$C,$A1059),"")</f>
        <v>0</v>
      </c>
      <c r="Z1059" s="5" t="str">
        <f t="shared" si="389"/>
        <v>→ Estable</v>
      </c>
      <c r="AA1059" s="5">
        <f t="shared" si="390"/>
        <v>1089</v>
      </c>
      <c r="AB1059" s="5">
        <f>IFERROR(SUMIFS(HIST_SCORE!$F:$F,HIST_SCORE!$B:$B,PARAMS_MODELO!$B$4,HIST_SCORE!$C:$C,$A1059),"")</f>
        <v>1087</v>
      </c>
      <c r="AC1059" s="5">
        <f t="shared" si="391"/>
        <v>-2</v>
      </c>
      <c r="AD1059" t="str">
        <f t="shared" si="393"/>
        <v/>
      </c>
      <c r="AE10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1059="CERRADO",1,IF(V1059="BRONCE",_xlpm.cPl,IF(V1059="PLATA",_xlpm.cO,IF(V1059="ORO",_xlpm.cP,IF(V1059="PLATINO",_xlpm.cD,999))))))</f>
        <v>24.506573482968111</v>
      </c>
      <c r="AF10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1059="CERRADO",0,IF(V1059="BRONCE",1,IF(V1059="PLATA",_xlpm.cPl,IF(V1059="ORO",_xlpm.cO,IF(V1059="PLATINO",_xlpm.cP,_xlpm.cD))))))</f>
        <v>1</v>
      </c>
      <c r="AG1059">
        <f t="shared" si="394"/>
        <v>15.209390689954443</v>
      </c>
      <c r="AH1059" t="str">
        <f t="shared" si="395"/>
        <v>VENTAS</v>
      </c>
      <c r="AI1059" t="str">
        <f t="shared" si="392"/>
        <v>🎯 Para subir de categoría, eje VENTAS / CRECIMIENTO PERSONAL (F). Acción: metas semanales + activación comercial + seguimiento del asesor. ΔR aprox: 15,2</v>
      </c>
      <c r="AJ1059" s="26">
        <f>_xlfn.LET(_xlpm.piso,AF1059,_xlpm.corte,AE1059,_xlpm.prog,IF(_xlpm.corte&lt;=_xlpm.piso,0,MAX(0,MIN(1,(U1059-_xlpm.piso)/(_xlpm.corte-_xlpm.piso)))),_xlpm.orden,{"DIAMANTE";"PLATINO";"ORO";"PLATA";"BRONCE";"CERRADO"},_xlpm.act,IFERROR(MATCH(V1059,_xlpm.orden,0),6),_xlpm.ant,IFERROR(MATCH(W1059,_xlpm.orden,0),6),_xlpm.ajmov,IF(_xlpm.act&lt;_xlpm.ant,0.08,IF(_xlpm.act&gt;_xlpm.ant,-0.08,0)),_xlpm.ajcli,IF(T1059&lt;0.95,-0.06,0),_xlpm.prob,MAX(0,MIN(1,_xlpm.prog+_xlpm.ajmov+_xlpm.ajcli)),IF(OR(V1059="DIAMANTE",V1059="CERRADO"),0,ROUND(_xlpm.prob,2)))</f>
        <v>0.49</v>
      </c>
      <c r="AK1059" t="str">
        <f t="shared" si="396"/>
        <v>Faltan 15,2 puntos base para subir a la siguiente categoría</v>
      </c>
      <c r="AL1059" t="str">
        <f t="shared" si="397"/>
        <v>No aplica</v>
      </c>
      <c r="AM1059">
        <f t="shared" si="398"/>
        <v>0.8</v>
      </c>
      <c r="AN1059" t="str">
        <f t="shared" si="399"/>
        <v>PRIORIDAD ALTA – requiere intervención inmediata</v>
      </c>
      <c r="AO1059">
        <f t="shared" si="400"/>
        <v>45.403798492706905</v>
      </c>
      <c r="AP1059">
        <f t="shared" si="401"/>
        <v>10.5</v>
      </c>
      <c r="AQ1059">
        <f t="shared" si="402"/>
        <v>0</v>
      </c>
      <c r="AR1059">
        <f t="shared" si="403"/>
        <v>0.13999999999999949</v>
      </c>
      <c r="AS1059">
        <f t="shared" si="404"/>
        <v>5.9400000000000013</v>
      </c>
      <c r="AT1059" t="str">
        <f t="shared" si="405"/>
        <v>VENTAS</v>
      </c>
      <c r="AU1059">
        <f t="shared" si="406"/>
        <v>45.403798492706905</v>
      </c>
      <c r="AV1059" t="str">
        <f t="shared" si="407"/>
        <v>Mayor retorno probable: VENTAS (+45,4 puntos finales potenciales).</v>
      </c>
    </row>
    <row r="1060" spans="1:48" x14ac:dyDescent="0.3">
      <c r="A1060" s="5">
        <v>51016769</v>
      </c>
      <c r="B1060" s="5" t="str">
        <f>IFERROR(VLOOKUP(A1060,VENTAS!$A$2:$B$1194,2,0),"")</f>
        <v/>
      </c>
      <c r="C1060" s="5">
        <f>IFERROR(INDEX(VENTAS!$C$2:$E$1194,MATCH(A1060,VENTAS!$A$2:$A$1194,0),MATCH(PARAMS_MODELO!$B$2,{"Q1","Q2","Q3"},0)),0)</f>
        <v>0</v>
      </c>
      <c r="D1060" s="5">
        <f>IFERROR(INDEX(VENTAS!$F$2:$H$1194,MATCH(A1060,VENTAS!$A$2:$A$1194,0),MATCH(PARAMS_MODELO!$B$2,{"Q1","Q2","Q3"},0)),0)</f>
        <v>0</v>
      </c>
      <c r="E1060" s="8">
        <f t="shared" si="384"/>
        <v>0</v>
      </c>
      <c r="F1060" s="12">
        <f>IF(E1060&lt;=PARAMS_MODELO!$B$15,0,IF(E1060&gt;=PARAMS_MODELO!$B$17,100,100*MIN(1,(E1060-PARAMS_MODELO!$B$15)/(PARAMS_MODELO!$B$16-PARAMS_MODELO!$B$15))))*PARAMS_MODELO!$B$7</f>
        <v>0</v>
      </c>
      <c r="G1060" s="5">
        <f t="shared" si="385"/>
        <v>0</v>
      </c>
      <c r="H1060" s="5">
        <f>(PARAMS_MODELO!$B$20*(MAX(0,MIN(3,E1060))/3)+PARAMS_MODELO!$B$21*(IFERROR(LN(1+MAX(0,G1060))/LN(1+MAX(0,MAX($G$2:$G$1194))),0)))*100*PARAMS_MODELO!$B$8</f>
        <v>0</v>
      </c>
      <c r="I1060" s="8">
        <f>E1060-PARAMS_MODELO!$B$5</f>
        <v>-0.17756283537552653</v>
      </c>
      <c r="J1060" s="5">
        <f>IF(I1060&lt;=PARAMS_MODELO!$B$18,0,IF(I1060&gt;=PARAMS_MODELO!$B$19,100,100*(I1060-PARAMS_MODELO!$B$18)/(PARAMS_MODELO!$B$19-PARAMS_MODELO!$B$18)))*PARAMS_MODELO!$B$9</f>
        <v>0</v>
      </c>
      <c r="K1060" s="5">
        <f>IFERROR(CHOOSE(MATCH(PARAMS_MODELO!$B$2,{"Q1","Q2","Q3"},0),LOTO!$D1060,LOTO!$F1060,LOTO!$H1060),0)</f>
        <v>0</v>
      </c>
      <c r="L1060" s="8">
        <f t="shared" si="386"/>
        <v>0</v>
      </c>
      <c r="M1060" s="5">
        <f>MIN(100,IF(PARAMS_MODELO!$B$23=0,0,100*L1060/PARAMS_MODELO!$B$23))*PARAMS_MODELO!$B$10</f>
        <v>0</v>
      </c>
      <c r="N1060" s="5">
        <f>IFERROR(VLOOKUP(A1060,COMPLIANCE!$A$2:$F$1996,6,0),100)</f>
        <v>100</v>
      </c>
      <c r="O1060" s="5">
        <f>N1060*PARAMS_MODELO!$B$11</f>
        <v>10</v>
      </c>
      <c r="P1060" s="5">
        <f>IFERROR(VLOOKUP(A1060,DIGITAL!$A$2:$J$2000,7,0),100)</f>
        <v>96</v>
      </c>
      <c r="Q1060" s="5">
        <f>IFERROR(P1060,0)*PARAMS_MODELO!$B$12</f>
        <v>9.6000000000000014</v>
      </c>
      <c r="R1060">
        <f t="shared" si="387"/>
        <v>19.600000000000001</v>
      </c>
      <c r="S1060" s="5" t="str">
        <f>IFERROR(VLOOKUP(A1060,CLIENTE!$A$2:$N$2000,13,0),1)</f>
        <v>Regular</v>
      </c>
      <c r="T1060" s="5">
        <f>IFERROR(VLOOKUP(A1060,CLIENTE!$A$2:$N$2000,14,0),1)</f>
        <v>1</v>
      </c>
      <c r="U1060" s="5">
        <f t="shared" si="388"/>
        <v>19.600000000000001</v>
      </c>
      <c r="V1060" s="5" t="str">
        <f>IF(U1060&gt;=MAX(_xlfn.PERCENTILE.INC($U$2:$U$1194,PARAMS_MODELO!$B$50),PARAMS_MODELO!$B$45),"DIAMANTE",IF(U1060&gt;=MAX(_xlfn.PERCENTILE.INC($U$2:$U$1194,PARAMS_MODELO!$B$51),PARAMS_MODELO!$B$46),"PLATINO",IF(U1060&gt;=MAX(_xlfn.PERCENTILE.INC($U$2:$U$1194,PARAMS_MODELO!$B$52),PARAMS_MODELO!$B$47),"ORO",IF(U1060&gt;=MAX(_xlfn.PERCENTILE.INC($U$2:$U$1194,PARAMS_MODELO!$B$53),PARAMS_MODELO!$B$48),"PLATA",IF(U1060&gt;=1,"BRONCE","CERRADO")))))</f>
        <v>BRONCE</v>
      </c>
      <c r="W1060" s="5" t="str" cm="1">
        <f t="array" ref="W1060">_xlfn.XLOOKUP(1, (HIST_SCORE!$B:$B=PARAMS_MODELO!$B$4) * (HIST_SCORE!$C:$C=A1060), HIST_SCORE!$E:$E, "No encontrado")</f>
        <v>BRONCE</v>
      </c>
      <c r="X1060" s="5" t="str">
        <f>_xlfn.LET(_xlpm.act,MATCH(V1060,{"DIAMANTE";"PLATINO";"ORO";"PLATA";"BRONCE";"CERRADO"},0),_xlpm.ant,MATCH(W1060,{"DIAMANTE";"PLATINO";"ORO";"PLATA";"BRONCE";"CERRADO"},0),IF(_xlpm.act&lt;_xlpm.ant,"Mejora ↑",IF(_xlpm.act&gt;_xlpm.ant,"Baja ↓","Estable →")))</f>
        <v>Estable →</v>
      </c>
      <c r="Y1060" s="5">
        <f>IFERROR(U1060-SUMIFS(HIST_SCORE!$D:$D,HIST_SCORE!$B:$B,PARAMS_MODELO!$B$4,HIST_SCORE!$C:$C,$A1060),"")</f>
        <v>0</v>
      </c>
      <c r="Z1060" s="5" t="str">
        <f t="shared" si="389"/>
        <v>→ Estable</v>
      </c>
      <c r="AA1060" s="5">
        <f t="shared" si="390"/>
        <v>984</v>
      </c>
      <c r="AB1060" s="5">
        <f>IFERROR(SUMIFS(HIST_SCORE!$F:$F,HIST_SCORE!$B:$B,PARAMS_MODELO!$B$4,HIST_SCORE!$C:$C,$A1060),"")</f>
        <v>993</v>
      </c>
      <c r="AC1060" s="5">
        <f t="shared" si="391"/>
        <v>9</v>
      </c>
      <c r="AD1060" t="str">
        <f t="shared" si="393"/>
        <v/>
      </c>
      <c r="AE10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1060="CERRADO",1,IF(V1060="BRONCE",_xlpm.cPl,IF(V1060="PLATA",_xlpm.cO,IF(V1060="ORO",_xlpm.cP,IF(V1060="PLATINO",_xlpm.cD,999))))))</f>
        <v>24.506573482968111</v>
      </c>
      <c r="AF10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1060="CERRADO",0,IF(V1060="BRONCE",1,IF(V1060="PLATA",_xlpm.cPl,IF(V1060="ORO",_xlpm.cO,IF(V1060="PLATINO",_xlpm.cP,_xlpm.cD))))))</f>
        <v>1</v>
      </c>
      <c r="AG1060">
        <f t="shared" si="394"/>
        <v>4.9065734829681098</v>
      </c>
      <c r="AH1060" t="str">
        <f t="shared" si="395"/>
        <v>VENTAS</v>
      </c>
      <c r="AI1060" t="str">
        <f t="shared" si="392"/>
        <v>🎯 Para subir de categoría, eje VENTAS / CRECIMIENTO PERSONAL (F). Acción: metas semanales + activación comercial + seguimiento del asesor. ΔR aprox: 4,9</v>
      </c>
      <c r="AJ1060" s="26">
        <f>_xlfn.LET(_xlpm.piso,AF1060,_xlpm.corte,AE1060,_xlpm.prog,IF(_xlpm.corte&lt;=_xlpm.piso,0,MAX(0,MIN(1,(U1060-_xlpm.piso)/(_xlpm.corte-_xlpm.piso)))),_xlpm.orden,{"DIAMANTE";"PLATINO";"ORO";"PLATA";"BRONCE";"CERRADO"},_xlpm.act,IFERROR(MATCH(V1060,_xlpm.orden,0),6),_xlpm.ant,IFERROR(MATCH(W1060,_xlpm.orden,0),6),_xlpm.ajmov,IF(_xlpm.act&lt;_xlpm.ant,0.08,IF(_xlpm.act&gt;_xlpm.ant,-0.08,0)),_xlpm.ajcli,IF(T1060&lt;0.95,-0.06,0),_xlpm.prob,MAX(0,MIN(1,_xlpm.prog+_xlpm.ajmov+_xlpm.ajcli)),IF(OR(V1060="DIAMANTE",V1060="CERRADO"),0,ROUND(_xlpm.prob,2)))</f>
        <v>0.79</v>
      </c>
      <c r="AK1060" t="str">
        <f t="shared" si="396"/>
        <v>Faltan 4,9 puntos base para subir a la siguiente categoría</v>
      </c>
      <c r="AL1060" t="str">
        <f t="shared" si="397"/>
        <v>No aplica</v>
      </c>
      <c r="AM1060">
        <f t="shared" si="398"/>
        <v>0.28000000000000003</v>
      </c>
      <c r="AN1060" t="str">
        <f t="shared" si="399"/>
        <v>PRIORIDAD BAJA – control normal</v>
      </c>
      <c r="AO1060">
        <f t="shared" si="400"/>
        <v>64.862569275295584</v>
      </c>
      <c r="AP1060">
        <f t="shared" si="401"/>
        <v>15</v>
      </c>
      <c r="AQ1060">
        <f t="shared" si="402"/>
        <v>0</v>
      </c>
      <c r="AR1060">
        <f t="shared" si="403"/>
        <v>0.39999999999999858</v>
      </c>
      <c r="AS1060">
        <f t="shared" si="404"/>
        <v>0</v>
      </c>
      <c r="AT1060" t="str">
        <f t="shared" si="405"/>
        <v>VENTAS</v>
      </c>
      <c r="AU1060">
        <f t="shared" si="406"/>
        <v>64.862569275295584</v>
      </c>
      <c r="AV1060" t="str">
        <f t="shared" si="407"/>
        <v>Mayor retorno probable: VENTAS (+64,9 puntos finales potenciales).</v>
      </c>
    </row>
    <row r="1061" spans="1:48" x14ac:dyDescent="0.3">
      <c r="A1061" s="5">
        <v>51016807</v>
      </c>
      <c r="B1061" s="5" t="str">
        <f>IFERROR(VLOOKUP(A1061,VENTAS!$A$2:$B$1194,2,0),"")</f>
        <v/>
      </c>
      <c r="C1061" s="5">
        <f>IFERROR(INDEX(VENTAS!$C$2:$E$1194,MATCH(A1061,VENTAS!$A$2:$A$1194,0),MATCH(PARAMS_MODELO!$B$2,{"Q1","Q2","Q3"},0)),0)</f>
        <v>19072147.050000001</v>
      </c>
      <c r="D1061" s="5">
        <f>IFERROR(INDEX(VENTAS!$F$2:$H$1194,MATCH(A1061,VENTAS!$A$2:$A$1194,0),MATCH(PARAMS_MODELO!$B$2,{"Q1","Q2","Q3"},0)),0)</f>
        <v>0</v>
      </c>
      <c r="E1061" s="8">
        <f t="shared" si="384"/>
        <v>-1</v>
      </c>
      <c r="F1061" s="12">
        <f>IF(E1061&lt;=PARAMS_MODELO!$B$15,0,IF(E1061&gt;=PARAMS_MODELO!$B$17,100,100*MIN(1,(E1061-PARAMS_MODELO!$B$15)/(PARAMS_MODELO!$B$16-PARAMS_MODELO!$B$15))))*PARAMS_MODELO!$B$7</f>
        <v>0</v>
      </c>
      <c r="G1061" s="5">
        <f t="shared" si="385"/>
        <v>0</v>
      </c>
      <c r="H1061" s="5">
        <f>(PARAMS_MODELO!$B$20*(MAX(0,MIN(3,E1061))/3)+PARAMS_MODELO!$B$21*(IFERROR(LN(1+MAX(0,G1061))/LN(1+MAX(0,MAX($G$2:$G$1194))),0)))*100*PARAMS_MODELO!$B$8</f>
        <v>0</v>
      </c>
      <c r="I1061" s="8">
        <f>E1061-PARAMS_MODELO!$B$5</f>
        <v>-1.1775628353755265</v>
      </c>
      <c r="J1061" s="5">
        <f>IF(I1061&lt;=PARAMS_MODELO!$B$18,0,IF(I1061&gt;=PARAMS_MODELO!$B$19,100,100*(I1061-PARAMS_MODELO!$B$18)/(PARAMS_MODELO!$B$19-PARAMS_MODELO!$B$18)))*PARAMS_MODELO!$B$9</f>
        <v>0</v>
      </c>
      <c r="K1061" s="5">
        <f>IFERROR(CHOOSE(MATCH(PARAMS_MODELO!$B$2,{"Q1","Q2","Q3"},0),LOTO!$D1061,LOTO!$F1061,LOTO!$H1061),0)</f>
        <v>0</v>
      </c>
      <c r="L1061" s="8">
        <f t="shared" si="386"/>
        <v>0</v>
      </c>
      <c r="M1061" s="5">
        <f>MIN(100,IF(PARAMS_MODELO!$B$23=0,0,100*L1061/PARAMS_MODELO!$B$23))*PARAMS_MODELO!$B$10</f>
        <v>0</v>
      </c>
      <c r="N1061" s="5">
        <f>IFERROR(VLOOKUP(A1061,COMPLIANCE!$A$2:$F$1996,6,0),100)</f>
        <v>99.98</v>
      </c>
      <c r="O1061" s="5">
        <f>N1061*PARAMS_MODELO!$B$11</f>
        <v>9.9980000000000011</v>
      </c>
      <c r="P1061" s="5">
        <f>IFERROR(VLOOKUP(A1061,DIGITAL!$A$2:$J$2000,7,0),100)</f>
        <v>82</v>
      </c>
      <c r="Q1061" s="5">
        <f>IFERROR(P1061,0)*PARAMS_MODELO!$B$12</f>
        <v>8.2000000000000011</v>
      </c>
      <c r="R1061">
        <f t="shared" si="387"/>
        <v>18.198</v>
      </c>
      <c r="S1061" s="5" t="str">
        <f>IFERROR(VLOOKUP(A1061,CLIENTE!$A$2:$N$2000,13,0),1)</f>
        <v>Regular</v>
      </c>
      <c r="T1061" s="5">
        <f>IFERROR(VLOOKUP(A1061,CLIENTE!$A$2:$N$2000,14,0),1)</f>
        <v>1</v>
      </c>
      <c r="U1061" s="5">
        <f t="shared" si="388"/>
        <v>18.198</v>
      </c>
      <c r="V1061" s="5" t="str">
        <f>IF(U1061&gt;=MAX(_xlfn.PERCENTILE.INC($U$2:$U$1194,PARAMS_MODELO!$B$50),PARAMS_MODELO!$B$45),"DIAMANTE",IF(U1061&gt;=MAX(_xlfn.PERCENTILE.INC($U$2:$U$1194,PARAMS_MODELO!$B$51),PARAMS_MODELO!$B$46),"PLATINO",IF(U1061&gt;=MAX(_xlfn.PERCENTILE.INC($U$2:$U$1194,PARAMS_MODELO!$B$52),PARAMS_MODELO!$B$47),"ORO",IF(U1061&gt;=MAX(_xlfn.PERCENTILE.INC($U$2:$U$1194,PARAMS_MODELO!$B$53),PARAMS_MODELO!$B$48),"PLATA",IF(U1061&gt;=1,"BRONCE","CERRADO")))))</f>
        <v>BRONCE</v>
      </c>
      <c r="W1061" s="5" t="str" cm="1">
        <f t="array" ref="W1061">_xlfn.XLOOKUP(1, (HIST_SCORE!$B:$B=PARAMS_MODELO!$B$4) * (HIST_SCORE!$C:$C=A1061), HIST_SCORE!$E:$E, "No encontrado")</f>
        <v>BRONCE</v>
      </c>
      <c r="X1061" s="5" t="str">
        <f>_xlfn.LET(_xlpm.act,MATCH(V1061,{"DIAMANTE";"PLATINO";"ORO";"PLATA";"BRONCE";"CERRADO"},0),_xlpm.ant,MATCH(W1061,{"DIAMANTE";"PLATINO";"ORO";"PLATA";"BRONCE";"CERRADO"},0),IF(_xlpm.act&lt;_xlpm.ant,"Mejora ↑",IF(_xlpm.act&gt;_xlpm.ant,"Baja ↓","Estable →")))</f>
        <v>Estable →</v>
      </c>
      <c r="Y1061" s="5">
        <f>IFERROR(U1061-SUMIFS(HIST_SCORE!$D:$D,HIST_SCORE!$B:$B,PARAMS_MODELO!$B$4,HIST_SCORE!$C:$C,$A1061),"")</f>
        <v>0</v>
      </c>
      <c r="Z1061" s="5" t="str">
        <f t="shared" si="389"/>
        <v>→ Estable</v>
      </c>
      <c r="AA1061" s="5">
        <f t="shared" si="390"/>
        <v>1024</v>
      </c>
      <c r="AB1061" s="5">
        <f>IFERROR(SUMIFS(HIST_SCORE!$F:$F,HIST_SCORE!$B:$B,PARAMS_MODELO!$B$4,HIST_SCORE!$C:$C,$A1061),"")</f>
        <v>1024</v>
      </c>
      <c r="AC1061" s="5">
        <f t="shared" si="391"/>
        <v>0</v>
      </c>
      <c r="AD1061" t="str">
        <f t="shared" si="393"/>
        <v/>
      </c>
      <c r="AE10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1061="CERRADO",1,IF(V1061="BRONCE",_xlpm.cPl,IF(V1061="PLATA",_xlpm.cO,IF(V1061="ORO",_xlpm.cP,IF(V1061="PLATINO",_xlpm.cD,999))))))</f>
        <v>24.506573482968111</v>
      </c>
      <c r="AF10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1061="CERRADO",0,IF(V1061="BRONCE",1,IF(V1061="PLATA",_xlpm.cPl,IF(V1061="ORO",_xlpm.cO,IF(V1061="PLATINO",_xlpm.cP,_xlpm.cD))))))</f>
        <v>1</v>
      </c>
      <c r="AG1061">
        <f t="shared" si="394"/>
        <v>6.3085734829681108</v>
      </c>
      <c r="AH1061" t="str">
        <f t="shared" si="395"/>
        <v>VENTAS</v>
      </c>
      <c r="AI1061" t="str">
        <f t="shared" si="392"/>
        <v>🎯 Para subir de categoría, eje VENTAS / CRECIMIENTO PERSONAL (F). Acción: metas semanales + activación comercial + seguimiento del asesor. ΔR aprox: 6,3</v>
      </c>
      <c r="AJ1061" s="26">
        <f>_xlfn.LET(_xlpm.piso,AF1061,_xlpm.corte,AE1061,_xlpm.prog,IF(_xlpm.corte&lt;=_xlpm.piso,0,MAX(0,MIN(1,(U1061-_xlpm.piso)/(_xlpm.corte-_xlpm.piso)))),_xlpm.orden,{"DIAMANTE";"PLATINO";"ORO";"PLATA";"BRONCE";"CERRADO"},_xlpm.act,IFERROR(MATCH(V1061,_xlpm.orden,0),6),_xlpm.ant,IFERROR(MATCH(W1061,_xlpm.orden,0),6),_xlpm.ajmov,IF(_xlpm.act&lt;_xlpm.ant,0.08,IF(_xlpm.act&gt;_xlpm.ant,-0.08,0)),_xlpm.ajcli,IF(T1061&lt;0.95,-0.06,0),_xlpm.prob,MAX(0,MIN(1,_xlpm.prog+_xlpm.ajmov+_xlpm.ajcli)),IF(OR(V1061="DIAMANTE",V1061="CERRADO"),0,ROUND(_xlpm.prob,2)))</f>
        <v>0.73</v>
      </c>
      <c r="AK1061" t="str">
        <f t="shared" si="396"/>
        <v>Faltan 6,3 puntos base para subir a la siguiente categoría</v>
      </c>
      <c r="AL1061" t="str">
        <f t="shared" si="397"/>
        <v>No aplica</v>
      </c>
      <c r="AM1061">
        <f t="shared" si="398"/>
        <v>0.36</v>
      </c>
      <c r="AN1061" t="str">
        <f t="shared" si="399"/>
        <v>PRIORIDAD BAJA – control normal</v>
      </c>
      <c r="AO1061">
        <f t="shared" si="400"/>
        <v>64.862569275295584</v>
      </c>
      <c r="AP1061">
        <f t="shared" si="401"/>
        <v>15</v>
      </c>
      <c r="AQ1061">
        <f t="shared" si="402"/>
        <v>1.9999999999988916E-3</v>
      </c>
      <c r="AR1061">
        <f t="shared" si="403"/>
        <v>1.7999999999999989</v>
      </c>
      <c r="AS1061">
        <f t="shared" si="404"/>
        <v>0</v>
      </c>
      <c r="AT1061" t="str">
        <f t="shared" si="405"/>
        <v>VENTAS</v>
      </c>
      <c r="AU1061">
        <f t="shared" si="406"/>
        <v>64.862569275295584</v>
      </c>
      <c r="AV1061" t="str">
        <f t="shared" si="407"/>
        <v>Mayor retorno probable: VENTAS (+64,9 puntos finales potenciales).</v>
      </c>
    </row>
    <row r="1062" spans="1:48" x14ac:dyDescent="0.3">
      <c r="A1062" s="5">
        <v>51016912</v>
      </c>
      <c r="B1062" s="5" t="str">
        <f>IFERROR(VLOOKUP(A1062,VENTAS!$A$2:$B$1194,2,0),"")</f>
        <v/>
      </c>
      <c r="C1062" s="5">
        <f>IFERROR(INDEX(VENTAS!$C$2:$E$1194,MATCH(A1062,VENTAS!$A$2:$A$1194,0),MATCH(PARAMS_MODELO!$B$2,{"Q1","Q2","Q3"},0)),0)</f>
        <v>65236882.750000007</v>
      </c>
      <c r="D1062" s="5">
        <f>IFERROR(INDEX(VENTAS!$F$2:$H$1194,MATCH(A1062,VENTAS!$A$2:$A$1194,0),MATCH(PARAMS_MODELO!$B$2,{"Q1","Q2","Q3"},0)),0)</f>
        <v>0</v>
      </c>
      <c r="E1062" s="8">
        <f t="shared" si="384"/>
        <v>-1</v>
      </c>
      <c r="F1062" s="12">
        <f>IF(E1062&lt;=PARAMS_MODELO!$B$15,0,IF(E1062&gt;=PARAMS_MODELO!$B$17,100,100*MIN(1,(E1062-PARAMS_MODELO!$B$15)/(PARAMS_MODELO!$B$16-PARAMS_MODELO!$B$15))))*PARAMS_MODELO!$B$7</f>
        <v>0</v>
      </c>
      <c r="G1062" s="5">
        <f t="shared" si="385"/>
        <v>0</v>
      </c>
      <c r="H1062" s="5">
        <f>(PARAMS_MODELO!$B$20*(MAX(0,MIN(3,E1062))/3)+PARAMS_MODELO!$B$21*(IFERROR(LN(1+MAX(0,G1062))/LN(1+MAX(0,MAX($G$2:$G$1194))),0)))*100*PARAMS_MODELO!$B$8</f>
        <v>0</v>
      </c>
      <c r="I1062" s="8">
        <f>E1062-PARAMS_MODELO!$B$5</f>
        <v>-1.1775628353755265</v>
      </c>
      <c r="J1062" s="5">
        <f>IF(I1062&lt;=PARAMS_MODELO!$B$18,0,IF(I1062&gt;=PARAMS_MODELO!$B$19,100,100*(I1062-PARAMS_MODELO!$B$18)/(PARAMS_MODELO!$B$19-PARAMS_MODELO!$B$18)))*PARAMS_MODELO!$B$9</f>
        <v>0</v>
      </c>
      <c r="K1062" s="5">
        <f>IFERROR(CHOOSE(MATCH(PARAMS_MODELO!$B$2,{"Q1","Q2","Q3"},0),LOTO!$D1062,LOTO!$F1062,LOTO!$H1062),0)</f>
        <v>0</v>
      </c>
      <c r="L1062" s="8">
        <f t="shared" si="386"/>
        <v>0</v>
      </c>
      <c r="M1062" s="5">
        <f>MIN(100,IF(PARAMS_MODELO!$B$23=0,0,100*L1062/PARAMS_MODELO!$B$23))*PARAMS_MODELO!$B$10</f>
        <v>0</v>
      </c>
      <c r="N1062" s="5">
        <f>IFERROR(VLOOKUP(A1062,COMPLIANCE!$A$2:$F$1996,6,0),100)</f>
        <v>100</v>
      </c>
      <c r="O1062" s="5">
        <f>N1062*PARAMS_MODELO!$B$11</f>
        <v>10</v>
      </c>
      <c r="P1062" s="5">
        <f>IFERROR(VLOOKUP(A1062,DIGITAL!$A$2:$J$2000,7,0),100)</f>
        <v>81</v>
      </c>
      <c r="Q1062" s="5">
        <f>IFERROR(P1062,0)*PARAMS_MODELO!$B$12</f>
        <v>8.1</v>
      </c>
      <c r="R1062">
        <f t="shared" si="387"/>
        <v>18.100000000000001</v>
      </c>
      <c r="S1062" s="5" t="str">
        <f>IFERROR(VLOOKUP(A1062,CLIENTE!$A$2:$N$2000,13,0),1)</f>
        <v>Malo</v>
      </c>
      <c r="T1062" s="5">
        <f>IFERROR(VLOOKUP(A1062,CLIENTE!$A$2:$N$2000,14,0),1)</f>
        <v>0.7</v>
      </c>
      <c r="U1062" s="5">
        <f t="shared" si="388"/>
        <v>12.67</v>
      </c>
      <c r="V1062" s="5" t="str">
        <f>IF(U1062&gt;=MAX(_xlfn.PERCENTILE.INC($U$2:$U$1194,PARAMS_MODELO!$B$50),PARAMS_MODELO!$B$45),"DIAMANTE",IF(U1062&gt;=MAX(_xlfn.PERCENTILE.INC($U$2:$U$1194,PARAMS_MODELO!$B$51),PARAMS_MODELO!$B$46),"PLATINO",IF(U1062&gt;=MAX(_xlfn.PERCENTILE.INC($U$2:$U$1194,PARAMS_MODELO!$B$52),PARAMS_MODELO!$B$47),"ORO",IF(U1062&gt;=MAX(_xlfn.PERCENTILE.INC($U$2:$U$1194,PARAMS_MODELO!$B$53),PARAMS_MODELO!$B$48),"PLATA",IF(U1062&gt;=1,"BRONCE","CERRADO")))))</f>
        <v>BRONCE</v>
      </c>
      <c r="W1062" s="5" t="str" cm="1">
        <f t="array" ref="W1062">_xlfn.XLOOKUP(1, (HIST_SCORE!$B:$B=PARAMS_MODELO!$B$4) * (HIST_SCORE!$C:$C=A1062), HIST_SCORE!$E:$E, "No encontrado")</f>
        <v>BRONCE</v>
      </c>
      <c r="X1062" s="5" t="str">
        <f>_xlfn.LET(_xlpm.act,MATCH(V1062,{"DIAMANTE";"PLATINO";"ORO";"PLATA";"BRONCE";"CERRADO"},0),_xlpm.ant,MATCH(W1062,{"DIAMANTE";"PLATINO";"ORO";"PLATA";"BRONCE";"CERRADO"},0),IF(_xlpm.act&lt;_xlpm.ant,"Mejora ↑",IF(_xlpm.act&gt;_xlpm.ant,"Baja ↓","Estable →")))</f>
        <v>Estable →</v>
      </c>
      <c r="Y1062" s="5">
        <f>IFERROR(U1062-SUMIFS(HIST_SCORE!$D:$D,HIST_SCORE!$B:$B,PARAMS_MODELO!$B$4,HIST_SCORE!$C:$C,$A1062),"")</f>
        <v>0</v>
      </c>
      <c r="Z1062" s="5" t="str">
        <f t="shared" si="389"/>
        <v>→ Estable</v>
      </c>
      <c r="AA1062" s="5">
        <f t="shared" si="390"/>
        <v>1122</v>
      </c>
      <c r="AB1062" s="5">
        <f>IFERROR(SUMIFS(HIST_SCORE!$F:$F,HIST_SCORE!$B:$B,PARAMS_MODELO!$B$4,HIST_SCORE!$C:$C,$A1062),"")</f>
        <v>1121</v>
      </c>
      <c r="AC1062" s="5">
        <f t="shared" si="391"/>
        <v>-1</v>
      </c>
      <c r="AD1062" t="str">
        <f t="shared" si="393"/>
        <v/>
      </c>
      <c r="AE10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1062="CERRADO",1,IF(V1062="BRONCE",_xlpm.cPl,IF(V1062="PLATA",_xlpm.cO,IF(V1062="ORO",_xlpm.cP,IF(V1062="PLATINO",_xlpm.cD,999))))))</f>
        <v>24.506573482968111</v>
      </c>
      <c r="AF10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1062="CERRADO",0,IF(V1062="BRONCE",1,IF(V1062="PLATA",_xlpm.cPl,IF(V1062="ORO",_xlpm.cO,IF(V1062="PLATINO",_xlpm.cP,_xlpm.cD))))))</f>
        <v>1</v>
      </c>
      <c r="AG1062">
        <f t="shared" si="394"/>
        <v>16.909390689954442</v>
      </c>
      <c r="AH1062" t="str">
        <f t="shared" si="395"/>
        <v>VENTAS</v>
      </c>
      <c r="AI1062" t="str">
        <f t="shared" si="392"/>
        <v>🎯 Para subir de categoría, eje VENTAS / CRECIMIENTO PERSONAL (F). Acción: metas semanales + activación comercial + seguimiento del asesor. ΔR aprox: 16,9</v>
      </c>
      <c r="AJ1062" s="26">
        <f>_xlfn.LET(_xlpm.piso,AF1062,_xlpm.corte,AE1062,_xlpm.prog,IF(_xlpm.corte&lt;=_xlpm.piso,0,MAX(0,MIN(1,(U1062-_xlpm.piso)/(_xlpm.corte-_xlpm.piso)))),_xlpm.orden,{"DIAMANTE";"PLATINO";"ORO";"PLATA";"BRONCE";"CERRADO"},_xlpm.act,IFERROR(MATCH(V1062,_xlpm.orden,0),6),_xlpm.ant,IFERROR(MATCH(W1062,_xlpm.orden,0),6),_xlpm.ajmov,IF(_xlpm.act&lt;_xlpm.ant,0.08,IF(_xlpm.act&gt;_xlpm.ant,-0.08,0)),_xlpm.ajcli,IF(T1062&lt;0.95,-0.06,0),_xlpm.prob,MAX(0,MIN(1,_xlpm.prog+_xlpm.ajmov+_xlpm.ajcli)),IF(OR(V1062="DIAMANTE",V1062="CERRADO"),0,ROUND(_xlpm.prob,2)))</f>
        <v>0.44</v>
      </c>
      <c r="AK1062" t="str">
        <f t="shared" si="396"/>
        <v>Faltan 16,9 puntos base para subir a la siguiente categoría</v>
      </c>
      <c r="AL1062" t="str">
        <f t="shared" si="397"/>
        <v>No aplica</v>
      </c>
      <c r="AM1062">
        <f t="shared" si="398"/>
        <v>0.82</v>
      </c>
      <c r="AN1062" t="str">
        <f t="shared" si="399"/>
        <v>PRIORIDAD ALTA – requiere intervención inmediata</v>
      </c>
      <c r="AO1062">
        <f t="shared" si="400"/>
        <v>45.403798492706905</v>
      </c>
      <c r="AP1062">
        <f t="shared" si="401"/>
        <v>10.5</v>
      </c>
      <c r="AQ1062">
        <f t="shared" si="402"/>
        <v>0</v>
      </c>
      <c r="AR1062">
        <f t="shared" si="403"/>
        <v>1.33</v>
      </c>
      <c r="AS1062">
        <f t="shared" si="404"/>
        <v>5.4300000000000015</v>
      </c>
      <c r="AT1062" t="str">
        <f t="shared" si="405"/>
        <v>VENTAS</v>
      </c>
      <c r="AU1062">
        <f t="shared" si="406"/>
        <v>45.403798492706905</v>
      </c>
      <c r="AV1062" t="str">
        <f t="shared" si="407"/>
        <v>Mayor retorno probable: VENTAS (+45,4 puntos finales potenciales).</v>
      </c>
    </row>
    <row r="1063" spans="1:48" x14ac:dyDescent="0.3">
      <c r="A1063" s="5">
        <v>51017005</v>
      </c>
      <c r="B1063" s="5" t="str">
        <f>IFERROR(VLOOKUP(A1063,VENTAS!$A$2:$B$1194,2,0),"")</f>
        <v/>
      </c>
      <c r="C1063" s="5">
        <f>IFERROR(INDEX(VENTAS!$C$2:$E$1194,MATCH(A1063,VENTAS!$A$2:$A$1194,0),MATCH(PARAMS_MODELO!$B$2,{"Q1","Q2","Q3"},0)),0)</f>
        <v>0</v>
      </c>
      <c r="D1063" s="5">
        <f>IFERROR(INDEX(VENTAS!$F$2:$H$1194,MATCH(A1063,VENTAS!$A$2:$A$1194,0),MATCH(PARAMS_MODELO!$B$2,{"Q1","Q2","Q3"},0)),0)</f>
        <v>0</v>
      </c>
      <c r="E1063" s="8">
        <f t="shared" si="384"/>
        <v>0</v>
      </c>
      <c r="F1063" s="12">
        <f>IF(E1063&lt;=PARAMS_MODELO!$B$15,0,IF(E1063&gt;=PARAMS_MODELO!$B$17,100,100*MIN(1,(E1063-PARAMS_MODELO!$B$15)/(PARAMS_MODELO!$B$16-PARAMS_MODELO!$B$15))))*PARAMS_MODELO!$B$7</f>
        <v>0</v>
      </c>
      <c r="G1063" s="5">
        <f t="shared" si="385"/>
        <v>0</v>
      </c>
      <c r="H1063" s="5">
        <f>(PARAMS_MODELO!$B$20*(MAX(0,MIN(3,E1063))/3)+PARAMS_MODELO!$B$21*(IFERROR(LN(1+MAX(0,G1063))/LN(1+MAX(0,MAX($G$2:$G$1194))),0)))*100*PARAMS_MODELO!$B$8</f>
        <v>0</v>
      </c>
      <c r="I1063" s="8">
        <f>E1063-PARAMS_MODELO!$B$5</f>
        <v>-0.17756283537552653</v>
      </c>
      <c r="J1063" s="5">
        <f>IF(I1063&lt;=PARAMS_MODELO!$B$18,0,IF(I1063&gt;=PARAMS_MODELO!$B$19,100,100*(I1063-PARAMS_MODELO!$B$18)/(PARAMS_MODELO!$B$19-PARAMS_MODELO!$B$18)))*PARAMS_MODELO!$B$9</f>
        <v>0</v>
      </c>
      <c r="K1063" s="5">
        <f>IFERROR(CHOOSE(MATCH(PARAMS_MODELO!$B$2,{"Q1","Q2","Q3"},0),LOTO!$D1063,LOTO!$F1063,LOTO!$H1063),0)</f>
        <v>0</v>
      </c>
      <c r="L1063" s="8">
        <f t="shared" si="386"/>
        <v>0</v>
      </c>
      <c r="M1063" s="5">
        <f>MIN(100,IF(PARAMS_MODELO!$B$23=0,0,100*L1063/PARAMS_MODELO!$B$23))*PARAMS_MODELO!$B$10</f>
        <v>0</v>
      </c>
      <c r="N1063" s="5">
        <f>IFERROR(VLOOKUP(A1063,COMPLIANCE!$A$2:$F$1996,6,0),100)</f>
        <v>100</v>
      </c>
      <c r="O1063" s="5">
        <f>N1063*PARAMS_MODELO!$B$11</f>
        <v>10</v>
      </c>
      <c r="P1063" s="5">
        <f>IFERROR(VLOOKUP(A1063,DIGITAL!$A$2:$J$2000,7,0),100)</f>
        <v>67</v>
      </c>
      <c r="Q1063" s="5">
        <f>IFERROR(P1063,0)*PARAMS_MODELO!$B$12</f>
        <v>6.7</v>
      </c>
      <c r="R1063">
        <f t="shared" si="387"/>
        <v>16.7</v>
      </c>
      <c r="S1063" s="5" t="str">
        <f>IFERROR(VLOOKUP(A1063,CLIENTE!$A$2:$N$2000,13,0),1)</f>
        <v>Muy Bueno</v>
      </c>
      <c r="T1063" s="5">
        <f>IFERROR(VLOOKUP(A1063,CLIENTE!$A$2:$N$2000,14,0),1)</f>
        <v>1.1499999999999999</v>
      </c>
      <c r="U1063" s="5">
        <f t="shared" si="388"/>
        <v>19.204999999999998</v>
      </c>
      <c r="V1063" s="5" t="str">
        <f>IF(U1063&gt;=MAX(_xlfn.PERCENTILE.INC($U$2:$U$1194,PARAMS_MODELO!$B$50),PARAMS_MODELO!$B$45),"DIAMANTE",IF(U1063&gt;=MAX(_xlfn.PERCENTILE.INC($U$2:$U$1194,PARAMS_MODELO!$B$51),PARAMS_MODELO!$B$46),"PLATINO",IF(U1063&gt;=MAX(_xlfn.PERCENTILE.INC($U$2:$U$1194,PARAMS_MODELO!$B$52),PARAMS_MODELO!$B$47),"ORO",IF(U1063&gt;=MAX(_xlfn.PERCENTILE.INC($U$2:$U$1194,PARAMS_MODELO!$B$53),PARAMS_MODELO!$B$48),"PLATA",IF(U1063&gt;=1,"BRONCE","CERRADO")))))</f>
        <v>BRONCE</v>
      </c>
      <c r="W1063" s="5" t="str" cm="1">
        <f t="array" ref="W1063">_xlfn.XLOOKUP(1, (HIST_SCORE!$B:$B=PARAMS_MODELO!$B$4) * (HIST_SCORE!$C:$C=A1063), HIST_SCORE!$E:$E, "No encontrado")</f>
        <v>BRONCE</v>
      </c>
      <c r="X1063" s="5" t="str">
        <f>_xlfn.LET(_xlpm.act,MATCH(V1063,{"DIAMANTE";"PLATINO";"ORO";"PLATA";"BRONCE";"CERRADO"},0),_xlpm.ant,MATCH(W1063,{"DIAMANTE";"PLATINO";"ORO";"PLATA";"BRONCE";"CERRADO"},0),IF(_xlpm.act&lt;_xlpm.ant,"Mejora ↑",IF(_xlpm.act&gt;_xlpm.ant,"Baja ↓","Estable →")))</f>
        <v>Estable →</v>
      </c>
      <c r="Y1063" s="5">
        <f>IFERROR(U1063-SUMIFS(HIST_SCORE!$D:$D,HIST_SCORE!$B:$B,PARAMS_MODELO!$B$4,HIST_SCORE!$C:$C,$A1063),"")</f>
        <v>0</v>
      </c>
      <c r="Z1063" s="5" t="str">
        <f t="shared" si="389"/>
        <v>→ Estable</v>
      </c>
      <c r="AA1063" s="5">
        <f t="shared" si="390"/>
        <v>995</v>
      </c>
      <c r="AB1063" s="5">
        <f>IFERROR(SUMIFS(HIST_SCORE!$F:$F,HIST_SCORE!$B:$B,PARAMS_MODELO!$B$4,HIST_SCORE!$C:$C,$A1063),"")</f>
        <v>1000</v>
      </c>
      <c r="AC1063" s="5">
        <f t="shared" si="391"/>
        <v>5</v>
      </c>
      <c r="AD1063" t="str">
        <f t="shared" si="393"/>
        <v/>
      </c>
      <c r="AE10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1063="CERRADO",1,IF(V1063="BRONCE",_xlpm.cPl,IF(V1063="PLATA",_xlpm.cO,IF(V1063="ORO",_xlpm.cP,IF(V1063="PLATINO",_xlpm.cD,999))))))</f>
        <v>24.506573482968111</v>
      </c>
      <c r="AF10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1063="CERRADO",0,IF(V1063="BRONCE",1,IF(V1063="PLATA",_xlpm.cPl,IF(V1063="ORO",_xlpm.cO,IF(V1063="PLATINO",_xlpm.cP,_xlpm.cD))))))</f>
        <v>1</v>
      </c>
      <c r="AG1063">
        <f t="shared" si="394"/>
        <v>4.6100638982331432</v>
      </c>
      <c r="AH1063" t="str">
        <f t="shared" si="395"/>
        <v>VENTAS</v>
      </c>
      <c r="AI1063" t="str">
        <f t="shared" si="392"/>
        <v>🎯 Para subir de categoría, eje VENTAS / CRECIMIENTO PERSONAL (F). Acción: metas semanales + activación comercial + seguimiento del asesor. ΔR aprox: 4,6</v>
      </c>
      <c r="AJ1063" s="26">
        <f>_xlfn.LET(_xlpm.piso,AF1063,_xlpm.corte,AE1063,_xlpm.prog,IF(_xlpm.corte&lt;=_xlpm.piso,0,MAX(0,MIN(1,(U1063-_xlpm.piso)/(_xlpm.corte-_xlpm.piso)))),_xlpm.orden,{"DIAMANTE";"PLATINO";"ORO";"PLATA";"BRONCE";"CERRADO"},_xlpm.act,IFERROR(MATCH(V1063,_xlpm.orden,0),6),_xlpm.ant,IFERROR(MATCH(W1063,_xlpm.orden,0),6),_xlpm.ajmov,IF(_xlpm.act&lt;_xlpm.ant,0.08,IF(_xlpm.act&gt;_xlpm.ant,-0.08,0)),_xlpm.ajcli,IF(T1063&lt;0.95,-0.06,0),_xlpm.prob,MAX(0,MIN(1,_xlpm.prog+_xlpm.ajmov+_xlpm.ajcli)),IF(OR(V1063="DIAMANTE",V1063="CERRADO"),0,ROUND(_xlpm.prob,2)))</f>
        <v>0.77</v>
      </c>
      <c r="AK1063" t="str">
        <f t="shared" si="396"/>
        <v>Faltan 4,6 puntos base para subir a la siguiente categoría</v>
      </c>
      <c r="AL1063" t="str">
        <f t="shared" si="397"/>
        <v>No aplica</v>
      </c>
      <c r="AM1063">
        <f t="shared" si="398"/>
        <v>0.28000000000000003</v>
      </c>
      <c r="AN1063" t="str">
        <f t="shared" si="399"/>
        <v>PRIORIDAD BAJA – control normal</v>
      </c>
      <c r="AO1063">
        <f t="shared" si="400"/>
        <v>74.591954666589913</v>
      </c>
      <c r="AP1063">
        <f t="shared" si="401"/>
        <v>17.25</v>
      </c>
      <c r="AQ1063">
        <f t="shared" si="402"/>
        <v>0</v>
      </c>
      <c r="AR1063">
        <f t="shared" si="403"/>
        <v>3.7949999999999995</v>
      </c>
      <c r="AS1063">
        <f t="shared" si="404"/>
        <v>0</v>
      </c>
      <c r="AT1063" t="str">
        <f t="shared" si="405"/>
        <v>VENTAS</v>
      </c>
      <c r="AU1063">
        <f t="shared" si="406"/>
        <v>74.591954666589913</v>
      </c>
      <c r="AV1063" t="str">
        <f t="shared" si="407"/>
        <v>Mayor retorno probable: VENTAS (+74,6 puntos finales potenciales).</v>
      </c>
    </row>
    <row r="1064" spans="1:48" x14ac:dyDescent="0.3">
      <c r="A1064" s="5">
        <v>51017200</v>
      </c>
      <c r="B1064" s="5" t="str">
        <f>IFERROR(VLOOKUP(A1064,VENTAS!$A$2:$B$1194,2,0),"")</f>
        <v/>
      </c>
      <c r="C1064" s="5">
        <f>IFERROR(INDEX(VENTAS!$C$2:$E$1194,MATCH(A1064,VENTAS!$A$2:$A$1194,0),MATCH(PARAMS_MODELO!$B$2,{"Q1","Q2","Q3"},0)),0)</f>
        <v>0</v>
      </c>
      <c r="D1064" s="5">
        <f>IFERROR(INDEX(VENTAS!$F$2:$H$1194,MATCH(A1064,VENTAS!$A$2:$A$1194,0),MATCH(PARAMS_MODELO!$B$2,{"Q1","Q2","Q3"},0)),0)</f>
        <v>0</v>
      </c>
      <c r="E1064" s="8">
        <f t="shared" si="384"/>
        <v>0</v>
      </c>
      <c r="F1064" s="12">
        <f>IF(E1064&lt;=PARAMS_MODELO!$B$15,0,IF(E1064&gt;=PARAMS_MODELO!$B$17,100,100*MIN(1,(E1064-PARAMS_MODELO!$B$15)/(PARAMS_MODELO!$B$16-PARAMS_MODELO!$B$15))))*PARAMS_MODELO!$B$7</f>
        <v>0</v>
      </c>
      <c r="G1064" s="5">
        <f t="shared" si="385"/>
        <v>0</v>
      </c>
      <c r="H1064" s="5">
        <f>(PARAMS_MODELO!$B$20*(MAX(0,MIN(3,E1064))/3)+PARAMS_MODELO!$B$21*(IFERROR(LN(1+MAX(0,G1064))/LN(1+MAX(0,MAX($G$2:$G$1194))),0)))*100*PARAMS_MODELO!$B$8</f>
        <v>0</v>
      </c>
      <c r="I1064" s="8">
        <f>E1064-PARAMS_MODELO!$B$5</f>
        <v>-0.17756283537552653</v>
      </c>
      <c r="J1064" s="5">
        <f>IF(I1064&lt;=PARAMS_MODELO!$B$18,0,IF(I1064&gt;=PARAMS_MODELO!$B$19,100,100*(I1064-PARAMS_MODELO!$B$18)/(PARAMS_MODELO!$B$19-PARAMS_MODELO!$B$18)))*PARAMS_MODELO!$B$9</f>
        <v>0</v>
      </c>
      <c r="K1064" s="5">
        <f>IFERROR(CHOOSE(MATCH(PARAMS_MODELO!$B$2,{"Q1","Q2","Q3"},0),LOTO!$D1064,LOTO!$F1064,LOTO!$H1064),0)</f>
        <v>0</v>
      </c>
      <c r="L1064" s="8">
        <f t="shared" si="386"/>
        <v>0</v>
      </c>
      <c r="M1064" s="5">
        <f>MIN(100,IF(PARAMS_MODELO!$B$23=0,0,100*L1064/PARAMS_MODELO!$B$23))*PARAMS_MODELO!$B$10</f>
        <v>0</v>
      </c>
      <c r="N1064" s="5">
        <f>IFERROR(VLOOKUP(A1064,COMPLIANCE!$A$2:$F$1996,6,0),100)</f>
        <v>100</v>
      </c>
      <c r="O1064" s="5">
        <f>N1064*PARAMS_MODELO!$B$11</f>
        <v>10</v>
      </c>
      <c r="P1064" s="5">
        <f>IFERROR(VLOOKUP(A1064,DIGITAL!$A$2:$J$2000,7,0),100)</f>
        <v>60</v>
      </c>
      <c r="Q1064" s="5">
        <f>IFERROR(P1064,0)*PARAMS_MODELO!$B$12</f>
        <v>6</v>
      </c>
      <c r="R1064">
        <f t="shared" si="387"/>
        <v>16</v>
      </c>
      <c r="S1064" s="5" t="str">
        <f>IFERROR(VLOOKUP(A1064,CLIENTE!$A$2:$N$2000,13,0),1)</f>
        <v>Bueno</v>
      </c>
      <c r="T1064" s="5">
        <f>IFERROR(VLOOKUP(A1064,CLIENTE!$A$2:$N$2000,14,0),1)</f>
        <v>1.1000000000000001</v>
      </c>
      <c r="U1064" s="5">
        <f t="shared" si="388"/>
        <v>17.600000000000001</v>
      </c>
      <c r="V1064" s="5" t="str">
        <f>IF(U1064&gt;=MAX(_xlfn.PERCENTILE.INC($U$2:$U$1194,PARAMS_MODELO!$B$50),PARAMS_MODELO!$B$45),"DIAMANTE",IF(U1064&gt;=MAX(_xlfn.PERCENTILE.INC($U$2:$U$1194,PARAMS_MODELO!$B$51),PARAMS_MODELO!$B$46),"PLATINO",IF(U1064&gt;=MAX(_xlfn.PERCENTILE.INC($U$2:$U$1194,PARAMS_MODELO!$B$52),PARAMS_MODELO!$B$47),"ORO",IF(U1064&gt;=MAX(_xlfn.PERCENTILE.INC($U$2:$U$1194,PARAMS_MODELO!$B$53),PARAMS_MODELO!$B$48),"PLATA",IF(U1064&gt;=1,"BRONCE","CERRADO")))))</f>
        <v>BRONCE</v>
      </c>
      <c r="W1064" s="5" t="str" cm="1">
        <f t="array" ref="W1064">_xlfn.XLOOKUP(1, (HIST_SCORE!$B:$B=PARAMS_MODELO!$B$4) * (HIST_SCORE!$C:$C=A1064), HIST_SCORE!$E:$E, "No encontrado")</f>
        <v>BRONCE</v>
      </c>
      <c r="X1064" s="5" t="str">
        <f>_xlfn.LET(_xlpm.act,MATCH(V1064,{"DIAMANTE";"PLATINO";"ORO";"PLATA";"BRONCE";"CERRADO"},0),_xlpm.ant,MATCH(W1064,{"DIAMANTE";"PLATINO";"ORO";"PLATA";"BRONCE";"CERRADO"},0),IF(_xlpm.act&lt;_xlpm.ant,"Mejora ↑",IF(_xlpm.act&gt;_xlpm.ant,"Baja ↓","Estable →")))</f>
        <v>Estable →</v>
      </c>
      <c r="Y1064" s="5">
        <f>IFERROR(U1064-SUMIFS(HIST_SCORE!$D:$D,HIST_SCORE!$B:$B,PARAMS_MODELO!$B$4,HIST_SCORE!$C:$C,$A1064),"")</f>
        <v>0</v>
      </c>
      <c r="Z1064" s="5" t="str">
        <f t="shared" si="389"/>
        <v>→ Estable</v>
      </c>
      <c r="AA1064" s="5">
        <f t="shared" si="390"/>
        <v>1037</v>
      </c>
      <c r="AB1064" s="5">
        <f>IFERROR(SUMIFS(HIST_SCORE!$F:$F,HIST_SCORE!$B:$B,PARAMS_MODELO!$B$4,HIST_SCORE!$C:$C,$A1064),"")</f>
        <v>1034</v>
      </c>
      <c r="AC1064" s="5">
        <f t="shared" si="391"/>
        <v>-3</v>
      </c>
      <c r="AD1064" t="str">
        <f t="shared" si="393"/>
        <v/>
      </c>
      <c r="AE10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1064="CERRADO",1,IF(V1064="BRONCE",_xlpm.cPl,IF(V1064="PLATA",_xlpm.cO,IF(V1064="ORO",_xlpm.cP,IF(V1064="PLATINO",_xlpm.cD,999))))))</f>
        <v>24.506573482968111</v>
      </c>
      <c r="AF10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1064="CERRADO",0,IF(V1064="BRONCE",1,IF(V1064="PLATA",_xlpm.cPl,IF(V1064="ORO",_xlpm.cO,IF(V1064="PLATINO",_xlpm.cP,_xlpm.cD))))))</f>
        <v>1</v>
      </c>
      <c r="AG1064">
        <f t="shared" si="394"/>
        <v>6.278703166334644</v>
      </c>
      <c r="AH1064" t="str">
        <f t="shared" si="395"/>
        <v>VENTAS</v>
      </c>
      <c r="AI1064" t="str">
        <f t="shared" si="392"/>
        <v>🎯 Para subir de categoría, eje VENTAS / CRECIMIENTO PERSONAL (F). Acción: metas semanales + activación comercial + seguimiento del asesor. ΔR aprox: 6,3</v>
      </c>
      <c r="AJ1064" s="26">
        <f>_xlfn.LET(_xlpm.piso,AF1064,_xlpm.corte,AE1064,_xlpm.prog,IF(_xlpm.corte&lt;=_xlpm.piso,0,MAX(0,MIN(1,(U1064-_xlpm.piso)/(_xlpm.corte-_xlpm.piso)))),_xlpm.orden,{"DIAMANTE";"PLATINO";"ORO";"PLATA";"BRONCE";"CERRADO"},_xlpm.act,IFERROR(MATCH(V1064,_xlpm.orden,0),6),_xlpm.ant,IFERROR(MATCH(W1064,_xlpm.orden,0),6),_xlpm.ajmov,IF(_xlpm.act&lt;_xlpm.ant,0.08,IF(_xlpm.act&gt;_xlpm.ant,-0.08,0)),_xlpm.ajcli,IF(T1064&lt;0.95,-0.06,0),_xlpm.prob,MAX(0,MIN(1,_xlpm.prog+_xlpm.ajmov+_xlpm.ajcli)),IF(OR(V1064="DIAMANTE",V1064="CERRADO"),0,ROUND(_xlpm.prob,2)))</f>
        <v>0.71</v>
      </c>
      <c r="AK1064" t="str">
        <f t="shared" si="396"/>
        <v>Faltan 6,3 puntos base para subir a la siguiente categoría</v>
      </c>
      <c r="AL1064" t="str">
        <f t="shared" si="397"/>
        <v>No aplica</v>
      </c>
      <c r="AM1064">
        <f t="shared" si="398"/>
        <v>0.37</v>
      </c>
      <c r="AN1064" t="str">
        <f t="shared" si="399"/>
        <v>PRIORIDAD BAJA – control normal</v>
      </c>
      <c r="AO1064">
        <f t="shared" si="400"/>
        <v>71.348826202825151</v>
      </c>
      <c r="AP1064">
        <f t="shared" si="401"/>
        <v>16.5</v>
      </c>
      <c r="AQ1064">
        <f t="shared" si="402"/>
        <v>0</v>
      </c>
      <c r="AR1064">
        <f t="shared" si="403"/>
        <v>4.4000000000000004</v>
      </c>
      <c r="AS1064">
        <f t="shared" si="404"/>
        <v>0</v>
      </c>
      <c r="AT1064" t="str">
        <f t="shared" si="405"/>
        <v>VENTAS</v>
      </c>
      <c r="AU1064">
        <f t="shared" si="406"/>
        <v>71.348826202825151</v>
      </c>
      <c r="AV1064" t="str">
        <f t="shared" si="407"/>
        <v>Mayor retorno probable: VENTAS (+71,3 puntos finales potenciales).</v>
      </c>
    </row>
    <row r="1065" spans="1:48" x14ac:dyDescent="0.3">
      <c r="A1065" s="5">
        <v>51017692</v>
      </c>
      <c r="B1065" s="5" t="str">
        <f>IFERROR(VLOOKUP(A1065,VENTAS!$A$2:$B$1194,2,0),"")</f>
        <v/>
      </c>
      <c r="C1065" s="5">
        <f>IFERROR(INDEX(VENTAS!$C$2:$E$1194,MATCH(A1065,VENTAS!$A$2:$A$1194,0),MATCH(PARAMS_MODELO!$B$2,{"Q1","Q2","Q3"},0)),0)</f>
        <v>0</v>
      </c>
      <c r="D1065" s="5">
        <f>IFERROR(INDEX(VENTAS!$F$2:$H$1194,MATCH(A1065,VENTAS!$A$2:$A$1194,0),MATCH(PARAMS_MODELO!$B$2,{"Q1","Q2","Q3"},0)),0)</f>
        <v>0</v>
      </c>
      <c r="E1065" s="8">
        <f t="shared" si="384"/>
        <v>0</v>
      </c>
      <c r="F1065" s="12">
        <f>IF(E1065&lt;=PARAMS_MODELO!$B$15,0,IF(E1065&gt;=PARAMS_MODELO!$B$17,100,100*MIN(1,(E1065-PARAMS_MODELO!$B$15)/(PARAMS_MODELO!$B$16-PARAMS_MODELO!$B$15))))*PARAMS_MODELO!$B$7</f>
        <v>0</v>
      </c>
      <c r="G1065" s="5">
        <f t="shared" si="385"/>
        <v>0</v>
      </c>
      <c r="H1065" s="5">
        <f>(PARAMS_MODELO!$B$20*(MAX(0,MIN(3,E1065))/3)+PARAMS_MODELO!$B$21*(IFERROR(LN(1+MAX(0,G1065))/LN(1+MAX(0,MAX($G$2:$G$1194))),0)))*100*PARAMS_MODELO!$B$8</f>
        <v>0</v>
      </c>
      <c r="I1065" s="8">
        <f>E1065-PARAMS_MODELO!$B$5</f>
        <v>-0.17756283537552653</v>
      </c>
      <c r="J1065" s="5">
        <f>IF(I1065&lt;=PARAMS_MODELO!$B$18,0,IF(I1065&gt;=PARAMS_MODELO!$B$19,100,100*(I1065-PARAMS_MODELO!$B$18)/(PARAMS_MODELO!$B$19-PARAMS_MODELO!$B$18)))*PARAMS_MODELO!$B$9</f>
        <v>0</v>
      </c>
      <c r="K1065" s="5">
        <f>IFERROR(CHOOSE(MATCH(PARAMS_MODELO!$B$2,{"Q1","Q2","Q3"},0),LOTO!$D1065,LOTO!$F1065,LOTO!$H1065),0)</f>
        <v>0</v>
      </c>
      <c r="L1065" s="8">
        <f t="shared" si="386"/>
        <v>0</v>
      </c>
      <c r="M1065" s="5">
        <f>MIN(100,IF(PARAMS_MODELO!$B$23=0,0,100*L1065/PARAMS_MODELO!$B$23))*PARAMS_MODELO!$B$10</f>
        <v>0</v>
      </c>
      <c r="N1065" s="5">
        <f>IFERROR(VLOOKUP(A1065,COMPLIANCE!$A$2:$F$1996,6,0),100)</f>
        <v>100</v>
      </c>
      <c r="O1065" s="5">
        <f>N1065*PARAMS_MODELO!$B$11</f>
        <v>10</v>
      </c>
      <c r="P1065" s="5">
        <f>IFERROR(VLOOKUP(A1065,DIGITAL!$A$2:$J$2000,7,0),100)</f>
        <v>3</v>
      </c>
      <c r="Q1065" s="5">
        <f>IFERROR(P1065,0)*PARAMS_MODELO!$B$12</f>
        <v>0.30000000000000004</v>
      </c>
      <c r="R1065">
        <f t="shared" si="387"/>
        <v>10.3</v>
      </c>
      <c r="S1065" s="5" t="str">
        <f>IFERROR(VLOOKUP(A1065,CLIENTE!$A$2:$N$2000,13,0),1)</f>
        <v>Regular</v>
      </c>
      <c r="T1065" s="5">
        <f>IFERROR(VLOOKUP(A1065,CLIENTE!$A$2:$N$2000,14,0),1)</f>
        <v>1</v>
      </c>
      <c r="U1065" s="5">
        <f t="shared" si="388"/>
        <v>10.3</v>
      </c>
      <c r="V1065" s="5" t="str">
        <f>IF(U1065&gt;=MAX(_xlfn.PERCENTILE.INC($U$2:$U$1194,PARAMS_MODELO!$B$50),PARAMS_MODELO!$B$45),"DIAMANTE",IF(U1065&gt;=MAX(_xlfn.PERCENTILE.INC($U$2:$U$1194,PARAMS_MODELO!$B$51),PARAMS_MODELO!$B$46),"PLATINO",IF(U1065&gt;=MAX(_xlfn.PERCENTILE.INC($U$2:$U$1194,PARAMS_MODELO!$B$52),PARAMS_MODELO!$B$47),"ORO",IF(U1065&gt;=MAX(_xlfn.PERCENTILE.INC($U$2:$U$1194,PARAMS_MODELO!$B$53),PARAMS_MODELO!$B$48),"PLATA",IF(U1065&gt;=1,"BRONCE","CERRADO")))))</f>
        <v>BRONCE</v>
      </c>
      <c r="W1065" s="5" t="str" cm="1">
        <f t="array" ref="W1065">_xlfn.XLOOKUP(1, (HIST_SCORE!$B:$B=PARAMS_MODELO!$B$4) * (HIST_SCORE!$C:$C=A1065), HIST_SCORE!$E:$E, "No encontrado")</f>
        <v>BRONCE</v>
      </c>
      <c r="X1065" s="5" t="str">
        <f>_xlfn.LET(_xlpm.act,MATCH(V1065,{"DIAMANTE";"PLATINO";"ORO";"PLATA";"BRONCE";"CERRADO"},0),_xlpm.ant,MATCH(W1065,{"DIAMANTE";"PLATINO";"ORO";"PLATA";"BRONCE";"CERRADO"},0),IF(_xlpm.act&lt;_xlpm.ant,"Mejora ↑",IF(_xlpm.act&gt;_xlpm.ant,"Baja ↓","Estable →")))</f>
        <v>Estable →</v>
      </c>
      <c r="Y1065" s="5">
        <f>IFERROR(U1065-SUMIFS(HIST_SCORE!$D:$D,HIST_SCORE!$B:$B,PARAMS_MODELO!$B$4,HIST_SCORE!$C:$C,$A1065),"")</f>
        <v>0</v>
      </c>
      <c r="Z1065" s="5" t="str">
        <f t="shared" si="389"/>
        <v>→ Estable</v>
      </c>
      <c r="AA1065" s="5">
        <f t="shared" si="390"/>
        <v>1164</v>
      </c>
      <c r="AB1065" s="5">
        <f>IFERROR(SUMIFS(HIST_SCORE!$F:$F,HIST_SCORE!$B:$B,PARAMS_MODELO!$B$4,HIST_SCORE!$C:$C,$A1065),"")</f>
        <v>1163</v>
      </c>
      <c r="AC1065" s="5">
        <f t="shared" si="391"/>
        <v>-1</v>
      </c>
      <c r="AD1065" t="str">
        <f t="shared" si="393"/>
        <v/>
      </c>
      <c r="AE10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1065="CERRADO",1,IF(V1065="BRONCE",_xlpm.cPl,IF(V1065="PLATA",_xlpm.cO,IF(V1065="ORO",_xlpm.cP,IF(V1065="PLATINO",_xlpm.cD,999))))))</f>
        <v>24.506573482968111</v>
      </c>
      <c r="AF10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1065="CERRADO",0,IF(V1065="BRONCE",1,IF(V1065="PLATA",_xlpm.cPl,IF(V1065="ORO",_xlpm.cO,IF(V1065="PLATINO",_xlpm.cP,_xlpm.cD))))))</f>
        <v>1</v>
      </c>
      <c r="AG1065">
        <f t="shared" si="394"/>
        <v>14.206573482968111</v>
      </c>
      <c r="AH1065" t="str">
        <f t="shared" si="395"/>
        <v>VENTAS</v>
      </c>
      <c r="AI1065" t="str">
        <f t="shared" si="392"/>
        <v>🎯 Para subir de categoría, eje VENTAS / CRECIMIENTO PERSONAL (F). Acción: metas semanales + activación comercial + seguimiento del asesor. ΔR aprox: 14,2</v>
      </c>
      <c r="AJ1065" s="26">
        <f>_xlfn.LET(_xlpm.piso,AF1065,_xlpm.corte,AE1065,_xlpm.prog,IF(_xlpm.corte&lt;=_xlpm.piso,0,MAX(0,MIN(1,(U1065-_xlpm.piso)/(_xlpm.corte-_xlpm.piso)))),_xlpm.orden,{"DIAMANTE";"PLATINO";"ORO";"PLATA";"BRONCE";"CERRADO"},_xlpm.act,IFERROR(MATCH(V1065,_xlpm.orden,0),6),_xlpm.ant,IFERROR(MATCH(W1065,_xlpm.orden,0),6),_xlpm.ajmov,IF(_xlpm.act&lt;_xlpm.ant,0.08,IF(_xlpm.act&gt;_xlpm.ant,-0.08,0)),_xlpm.ajcli,IF(T1065&lt;0.95,-0.06,0),_xlpm.prob,MAX(0,MIN(1,_xlpm.prog+_xlpm.ajmov+_xlpm.ajcli)),IF(OR(V1065="DIAMANTE",V1065="CERRADO"),0,ROUND(_xlpm.prob,2)))</f>
        <v>0.4</v>
      </c>
      <c r="AK1065" t="str">
        <f t="shared" si="396"/>
        <v>Faltan 14,2 puntos base para subir a la siguiente categoría</v>
      </c>
      <c r="AL1065" t="str">
        <f t="shared" si="397"/>
        <v>No aplica</v>
      </c>
      <c r="AM1065">
        <f t="shared" si="398"/>
        <v>0.64</v>
      </c>
      <c r="AN1065" t="str">
        <f t="shared" si="399"/>
        <v>PRIORIDAD MEDIA – seguimiento del asesor</v>
      </c>
      <c r="AO1065">
        <f t="shared" si="400"/>
        <v>64.862569275295584</v>
      </c>
      <c r="AP1065">
        <f t="shared" si="401"/>
        <v>15</v>
      </c>
      <c r="AQ1065">
        <f t="shared" si="402"/>
        <v>0</v>
      </c>
      <c r="AR1065">
        <f t="shared" si="403"/>
        <v>9.6999999999999993</v>
      </c>
      <c r="AS1065">
        <f t="shared" si="404"/>
        <v>0</v>
      </c>
      <c r="AT1065" t="str">
        <f t="shared" si="405"/>
        <v>VENTAS</v>
      </c>
      <c r="AU1065">
        <f t="shared" si="406"/>
        <v>64.862569275295584</v>
      </c>
      <c r="AV1065" t="str">
        <f t="shared" si="407"/>
        <v>Mayor retorno probable: VENTAS (+64,9 puntos finales potenciales).</v>
      </c>
    </row>
    <row r="1066" spans="1:48" x14ac:dyDescent="0.3">
      <c r="A1066" s="5">
        <v>51017781</v>
      </c>
      <c r="B1066" s="5" t="str">
        <f>IFERROR(VLOOKUP(A1066,VENTAS!$A$2:$B$1194,2,0),"")</f>
        <v/>
      </c>
      <c r="C1066" s="5">
        <f>IFERROR(INDEX(VENTAS!$C$2:$E$1194,MATCH(A1066,VENTAS!$A$2:$A$1194,0),MATCH(PARAMS_MODELO!$B$2,{"Q1","Q2","Q3"},0)),0)</f>
        <v>24509668.370000001</v>
      </c>
      <c r="D1066" s="5">
        <f>IFERROR(INDEX(VENTAS!$F$2:$H$1194,MATCH(A1066,VENTAS!$A$2:$A$1194,0),MATCH(PARAMS_MODELO!$B$2,{"Q1","Q2","Q3"},0)),0)</f>
        <v>0</v>
      </c>
      <c r="E1066" s="8">
        <f t="shared" si="384"/>
        <v>-1</v>
      </c>
      <c r="F1066" s="12">
        <f>IF(E1066&lt;=PARAMS_MODELO!$B$15,0,IF(E1066&gt;=PARAMS_MODELO!$B$17,100,100*MIN(1,(E1066-PARAMS_MODELO!$B$15)/(PARAMS_MODELO!$B$16-PARAMS_MODELO!$B$15))))*PARAMS_MODELO!$B$7</f>
        <v>0</v>
      </c>
      <c r="G1066" s="5">
        <f t="shared" si="385"/>
        <v>0</v>
      </c>
      <c r="H1066" s="5">
        <f>(PARAMS_MODELO!$B$20*(MAX(0,MIN(3,E1066))/3)+PARAMS_MODELO!$B$21*(IFERROR(LN(1+MAX(0,G1066))/LN(1+MAX(0,MAX($G$2:$G$1194))),0)))*100*PARAMS_MODELO!$B$8</f>
        <v>0</v>
      </c>
      <c r="I1066" s="8">
        <f>E1066-PARAMS_MODELO!$B$5</f>
        <v>-1.1775628353755265</v>
      </c>
      <c r="J1066" s="5">
        <f>IF(I1066&lt;=PARAMS_MODELO!$B$18,0,IF(I1066&gt;=PARAMS_MODELO!$B$19,100,100*(I1066-PARAMS_MODELO!$B$18)/(PARAMS_MODELO!$B$19-PARAMS_MODELO!$B$18)))*PARAMS_MODELO!$B$9</f>
        <v>0</v>
      </c>
      <c r="K1066" s="5">
        <f>IFERROR(CHOOSE(MATCH(PARAMS_MODELO!$B$2,{"Q1","Q2","Q3"},0),LOTO!$D1066,LOTO!$F1066,LOTO!$H1066),0)</f>
        <v>0</v>
      </c>
      <c r="L1066" s="8">
        <f t="shared" si="386"/>
        <v>0</v>
      </c>
      <c r="M1066" s="5">
        <f>MIN(100,IF(PARAMS_MODELO!$B$23=0,0,100*L1066/PARAMS_MODELO!$B$23))*PARAMS_MODELO!$B$10</f>
        <v>0</v>
      </c>
      <c r="N1066" s="5">
        <f>IFERROR(VLOOKUP(A1066,COMPLIANCE!$A$2:$F$1996,6,0),100)</f>
        <v>100</v>
      </c>
      <c r="O1066" s="5">
        <f>N1066*PARAMS_MODELO!$B$11</f>
        <v>10</v>
      </c>
      <c r="P1066" s="5">
        <f>IFERROR(VLOOKUP(A1066,DIGITAL!$A$2:$J$2000,7,0),100)</f>
        <v>95</v>
      </c>
      <c r="Q1066" s="5">
        <f>IFERROR(P1066,0)*PARAMS_MODELO!$B$12</f>
        <v>9.5</v>
      </c>
      <c r="R1066">
        <f t="shared" si="387"/>
        <v>19.5</v>
      </c>
      <c r="S1066" s="5" t="str">
        <f>IFERROR(VLOOKUP(A1066,CLIENTE!$A$2:$N$2000,13,0),1)</f>
        <v>Bueno</v>
      </c>
      <c r="T1066" s="5">
        <f>IFERROR(VLOOKUP(A1066,CLIENTE!$A$2:$N$2000,14,0),1)</f>
        <v>1.1000000000000001</v>
      </c>
      <c r="U1066" s="5">
        <f t="shared" si="388"/>
        <v>21.450000000000003</v>
      </c>
      <c r="V1066" s="5" t="str">
        <f>IF(U1066&gt;=MAX(_xlfn.PERCENTILE.INC($U$2:$U$1194,PARAMS_MODELO!$B$50),PARAMS_MODELO!$B$45),"DIAMANTE",IF(U1066&gt;=MAX(_xlfn.PERCENTILE.INC($U$2:$U$1194,PARAMS_MODELO!$B$51),PARAMS_MODELO!$B$46),"PLATINO",IF(U1066&gt;=MAX(_xlfn.PERCENTILE.INC($U$2:$U$1194,PARAMS_MODELO!$B$52),PARAMS_MODELO!$B$47),"ORO",IF(U1066&gt;=MAX(_xlfn.PERCENTILE.INC($U$2:$U$1194,PARAMS_MODELO!$B$53),PARAMS_MODELO!$B$48),"PLATA",IF(U1066&gt;=1,"BRONCE","CERRADO")))))</f>
        <v>BRONCE</v>
      </c>
      <c r="W1066" s="5" t="str" cm="1">
        <f t="array" ref="W1066">_xlfn.XLOOKUP(1, (HIST_SCORE!$B:$B=PARAMS_MODELO!$B$4) * (HIST_SCORE!$C:$C=A1066), HIST_SCORE!$E:$E, "No encontrado")</f>
        <v>BRONCE</v>
      </c>
      <c r="X1066" s="5" t="str">
        <f>_xlfn.LET(_xlpm.act,MATCH(V1066,{"DIAMANTE";"PLATINO";"ORO";"PLATA";"BRONCE";"CERRADO"},0),_xlpm.ant,MATCH(W1066,{"DIAMANTE";"PLATINO";"ORO";"PLATA";"BRONCE";"CERRADO"},0),IF(_xlpm.act&lt;_xlpm.ant,"Mejora ↑",IF(_xlpm.act&gt;_xlpm.ant,"Baja ↓","Estable →")))</f>
        <v>Estable →</v>
      </c>
      <c r="Y1066" s="5">
        <f>IFERROR(U1066-SUMIFS(HIST_SCORE!$D:$D,HIST_SCORE!$B:$B,PARAMS_MODELO!$B$4,HIST_SCORE!$C:$C,$A1066),"")</f>
        <v>0</v>
      </c>
      <c r="Z1066" s="5" t="str">
        <f t="shared" si="389"/>
        <v>→ Estable</v>
      </c>
      <c r="AA1066" s="5">
        <f t="shared" si="390"/>
        <v>957</v>
      </c>
      <c r="AB1066" s="5">
        <f>IFERROR(SUMIFS(HIST_SCORE!$F:$F,HIST_SCORE!$B:$B,PARAMS_MODELO!$B$4,HIST_SCORE!$C:$C,$A1066),"")</f>
        <v>975</v>
      </c>
      <c r="AC1066" s="5">
        <f t="shared" si="391"/>
        <v>18</v>
      </c>
      <c r="AD1066" t="str">
        <f t="shared" si="393"/>
        <v/>
      </c>
      <c r="AE10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1066="CERRADO",1,IF(V1066="BRONCE",_xlpm.cPl,IF(V1066="PLATA",_xlpm.cO,IF(V1066="ORO",_xlpm.cP,IF(V1066="PLATINO",_xlpm.cD,999))))))</f>
        <v>24.506573482968111</v>
      </c>
      <c r="AF10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1066="CERRADO",0,IF(V1066="BRONCE",1,IF(V1066="PLATA",_xlpm.cPl,IF(V1066="ORO",_xlpm.cO,IF(V1066="PLATINO",_xlpm.cP,_xlpm.cD))))))</f>
        <v>1</v>
      </c>
      <c r="AG1066">
        <f t="shared" si="394"/>
        <v>2.778703166334644</v>
      </c>
      <c r="AH1066" t="str">
        <f t="shared" si="395"/>
        <v>VENTAS</v>
      </c>
      <c r="AI1066" t="str">
        <f t="shared" si="392"/>
        <v>🎯 Para subir de categoría, eje VENTAS / CRECIMIENTO PERSONAL (F). Acción: metas semanales + activación comercial + seguimiento del asesor. ΔR aprox: 2,8</v>
      </c>
      <c r="AJ1066" s="26">
        <f>_xlfn.LET(_xlpm.piso,AF1066,_xlpm.corte,AE1066,_xlpm.prog,IF(_xlpm.corte&lt;=_xlpm.piso,0,MAX(0,MIN(1,(U1066-_xlpm.piso)/(_xlpm.corte-_xlpm.piso)))),_xlpm.orden,{"DIAMANTE";"PLATINO";"ORO";"PLATA";"BRONCE";"CERRADO"},_xlpm.act,IFERROR(MATCH(V1066,_xlpm.orden,0),6),_xlpm.ant,IFERROR(MATCH(W1066,_xlpm.orden,0),6),_xlpm.ajmov,IF(_xlpm.act&lt;_xlpm.ant,0.08,IF(_xlpm.act&gt;_xlpm.ant,-0.08,0)),_xlpm.ajcli,IF(T1066&lt;0.95,-0.06,0),_xlpm.prob,MAX(0,MIN(1,_xlpm.prog+_xlpm.ajmov+_xlpm.ajcli)),IF(OR(V1066="DIAMANTE",V1066="CERRADO"),0,ROUND(_xlpm.prob,2)))</f>
        <v>0.87</v>
      </c>
      <c r="AK1066" t="str">
        <f t="shared" si="396"/>
        <v>Faltan 2,8 puntos base para subir a la siguiente categoría</v>
      </c>
      <c r="AL1066" t="str">
        <f t="shared" si="397"/>
        <v>No aplica</v>
      </c>
      <c r="AM1066">
        <f t="shared" si="398"/>
        <v>0.16</v>
      </c>
      <c r="AN1066" t="str">
        <f t="shared" si="399"/>
        <v>PRIORIDAD BAJA – control normal</v>
      </c>
      <c r="AO1066">
        <f t="shared" si="400"/>
        <v>71.348826202825151</v>
      </c>
      <c r="AP1066">
        <f t="shared" si="401"/>
        <v>16.5</v>
      </c>
      <c r="AQ1066">
        <f t="shared" si="402"/>
        <v>0</v>
      </c>
      <c r="AR1066">
        <f t="shared" si="403"/>
        <v>0.55000000000000004</v>
      </c>
      <c r="AS1066">
        <f t="shared" si="404"/>
        <v>0</v>
      </c>
      <c r="AT1066" t="str">
        <f t="shared" si="405"/>
        <v>VENTAS</v>
      </c>
      <c r="AU1066">
        <f t="shared" si="406"/>
        <v>71.348826202825151</v>
      </c>
      <c r="AV1066" t="str">
        <f t="shared" si="407"/>
        <v>Mayor retorno probable: VENTAS (+71,3 puntos finales potenciales).</v>
      </c>
    </row>
    <row r="1067" spans="1:48" x14ac:dyDescent="0.3">
      <c r="A1067" s="5">
        <v>51018010</v>
      </c>
      <c r="B1067" s="5" t="str">
        <f>IFERROR(VLOOKUP(A1067,VENTAS!$A$2:$B$1194,2,0),"")</f>
        <v/>
      </c>
      <c r="C1067" s="5">
        <f>IFERROR(INDEX(VENTAS!$C$2:$E$1194,MATCH(A1067,VENTAS!$A$2:$A$1194,0),MATCH(PARAMS_MODELO!$B$2,{"Q1","Q2","Q3"},0)),0)</f>
        <v>46002958.399999999</v>
      </c>
      <c r="D1067" s="5">
        <f>IFERROR(INDEX(VENTAS!$F$2:$H$1194,MATCH(A1067,VENTAS!$A$2:$A$1194,0),MATCH(PARAMS_MODELO!$B$2,{"Q1","Q2","Q3"},0)),0)</f>
        <v>0</v>
      </c>
      <c r="E1067" s="8">
        <f t="shared" si="384"/>
        <v>-1</v>
      </c>
      <c r="F1067" s="12">
        <f>IF(E1067&lt;=PARAMS_MODELO!$B$15,0,IF(E1067&gt;=PARAMS_MODELO!$B$17,100,100*MIN(1,(E1067-PARAMS_MODELO!$B$15)/(PARAMS_MODELO!$B$16-PARAMS_MODELO!$B$15))))*PARAMS_MODELO!$B$7</f>
        <v>0</v>
      </c>
      <c r="G1067" s="5">
        <f t="shared" si="385"/>
        <v>0</v>
      </c>
      <c r="H1067" s="5">
        <f>(PARAMS_MODELO!$B$20*(MAX(0,MIN(3,E1067))/3)+PARAMS_MODELO!$B$21*(IFERROR(LN(1+MAX(0,G1067))/LN(1+MAX(0,MAX($G$2:$G$1194))),0)))*100*PARAMS_MODELO!$B$8</f>
        <v>0</v>
      </c>
      <c r="I1067" s="8">
        <f>E1067-PARAMS_MODELO!$B$5</f>
        <v>-1.1775628353755265</v>
      </c>
      <c r="J1067" s="5">
        <f>IF(I1067&lt;=PARAMS_MODELO!$B$18,0,IF(I1067&gt;=PARAMS_MODELO!$B$19,100,100*(I1067-PARAMS_MODELO!$B$18)/(PARAMS_MODELO!$B$19-PARAMS_MODELO!$B$18)))*PARAMS_MODELO!$B$9</f>
        <v>0</v>
      </c>
      <c r="K1067" s="5">
        <f>IFERROR(CHOOSE(MATCH(PARAMS_MODELO!$B$2,{"Q1","Q2","Q3"},0),LOTO!$D1067,LOTO!$F1067,LOTO!$H1067),0)</f>
        <v>0</v>
      </c>
      <c r="L1067" s="8">
        <f t="shared" si="386"/>
        <v>0</v>
      </c>
      <c r="M1067" s="5">
        <f>MIN(100,IF(PARAMS_MODELO!$B$23=0,0,100*L1067/PARAMS_MODELO!$B$23))*PARAMS_MODELO!$B$10</f>
        <v>0</v>
      </c>
      <c r="N1067" s="5">
        <f>IFERROR(VLOOKUP(A1067,COMPLIANCE!$A$2:$F$1996,6,0),100)</f>
        <v>100</v>
      </c>
      <c r="O1067" s="5">
        <f>N1067*PARAMS_MODELO!$B$11</f>
        <v>10</v>
      </c>
      <c r="P1067" s="5">
        <f>IFERROR(VLOOKUP(A1067,DIGITAL!$A$2:$J$2000,7,0),100)</f>
        <v>89</v>
      </c>
      <c r="Q1067" s="5">
        <f>IFERROR(P1067,0)*PARAMS_MODELO!$B$12</f>
        <v>8.9</v>
      </c>
      <c r="R1067">
        <f t="shared" si="387"/>
        <v>18.899999999999999</v>
      </c>
      <c r="S1067" s="5" t="str">
        <f>IFERROR(VLOOKUP(A1067,CLIENTE!$A$2:$N$2000,13,0),1)</f>
        <v>Malo</v>
      </c>
      <c r="T1067" s="5">
        <f>IFERROR(VLOOKUP(A1067,CLIENTE!$A$2:$N$2000,14,0),1)</f>
        <v>0.7</v>
      </c>
      <c r="U1067" s="5">
        <f t="shared" si="388"/>
        <v>13.229999999999999</v>
      </c>
      <c r="V1067" s="5" t="str">
        <f>IF(U1067&gt;=MAX(_xlfn.PERCENTILE.INC($U$2:$U$1194,PARAMS_MODELO!$B$50),PARAMS_MODELO!$B$45),"DIAMANTE",IF(U1067&gt;=MAX(_xlfn.PERCENTILE.INC($U$2:$U$1194,PARAMS_MODELO!$B$51),PARAMS_MODELO!$B$46),"PLATINO",IF(U1067&gt;=MAX(_xlfn.PERCENTILE.INC($U$2:$U$1194,PARAMS_MODELO!$B$52),PARAMS_MODELO!$B$47),"ORO",IF(U1067&gt;=MAX(_xlfn.PERCENTILE.INC($U$2:$U$1194,PARAMS_MODELO!$B$53),PARAMS_MODELO!$B$48),"PLATA",IF(U1067&gt;=1,"BRONCE","CERRADO")))))</f>
        <v>BRONCE</v>
      </c>
      <c r="W1067" s="5" t="str" cm="1">
        <f t="array" ref="W1067">_xlfn.XLOOKUP(1, (HIST_SCORE!$B:$B=PARAMS_MODELO!$B$4) * (HIST_SCORE!$C:$C=A1067), HIST_SCORE!$E:$E, "No encontrado")</f>
        <v>BRONCE</v>
      </c>
      <c r="X1067" s="5" t="str">
        <f>_xlfn.LET(_xlpm.act,MATCH(V1067,{"DIAMANTE";"PLATINO";"ORO";"PLATA";"BRONCE";"CERRADO"},0),_xlpm.ant,MATCH(W1067,{"DIAMANTE";"PLATINO";"ORO";"PLATA";"BRONCE";"CERRADO"},0),IF(_xlpm.act&lt;_xlpm.ant,"Mejora ↑",IF(_xlpm.act&gt;_xlpm.ant,"Baja ↓","Estable →")))</f>
        <v>Estable →</v>
      </c>
      <c r="Y1067" s="5">
        <f>IFERROR(U1067-SUMIFS(HIST_SCORE!$D:$D,HIST_SCORE!$B:$B,PARAMS_MODELO!$B$4,HIST_SCORE!$C:$C,$A1067),"")</f>
        <v>0</v>
      </c>
      <c r="Z1067" s="5" t="str">
        <f t="shared" si="389"/>
        <v>→ Estable</v>
      </c>
      <c r="AA1067" s="5">
        <f t="shared" si="390"/>
        <v>1106</v>
      </c>
      <c r="AB1067" s="5">
        <f>IFERROR(SUMIFS(HIST_SCORE!$F:$F,HIST_SCORE!$B:$B,PARAMS_MODELO!$B$4,HIST_SCORE!$C:$C,$A1067),"")</f>
        <v>1104</v>
      </c>
      <c r="AC1067" s="5">
        <f t="shared" si="391"/>
        <v>-2</v>
      </c>
      <c r="AD1067" t="str">
        <f t="shared" si="393"/>
        <v/>
      </c>
      <c r="AE10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1067="CERRADO",1,IF(V1067="BRONCE",_xlpm.cPl,IF(V1067="PLATA",_xlpm.cO,IF(V1067="ORO",_xlpm.cP,IF(V1067="PLATINO",_xlpm.cD,999))))))</f>
        <v>24.506573482968111</v>
      </c>
      <c r="AF10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1067="CERRADO",0,IF(V1067="BRONCE",1,IF(V1067="PLATA",_xlpm.cPl,IF(V1067="ORO",_xlpm.cO,IF(V1067="PLATINO",_xlpm.cP,_xlpm.cD))))))</f>
        <v>1</v>
      </c>
      <c r="AG1067">
        <f t="shared" si="394"/>
        <v>16.109390689954445</v>
      </c>
      <c r="AH1067" t="str">
        <f t="shared" si="395"/>
        <v>VENTAS</v>
      </c>
      <c r="AI1067" t="str">
        <f t="shared" si="392"/>
        <v>🎯 Para subir de categoría, eje VENTAS / CRECIMIENTO PERSONAL (F). Acción: metas semanales + activación comercial + seguimiento del asesor. ΔR aprox: 16,1</v>
      </c>
      <c r="AJ1067" s="26">
        <f>_xlfn.LET(_xlpm.piso,AF1067,_xlpm.corte,AE1067,_xlpm.prog,IF(_xlpm.corte&lt;=_xlpm.piso,0,MAX(0,MIN(1,(U1067-_xlpm.piso)/(_xlpm.corte-_xlpm.piso)))),_xlpm.orden,{"DIAMANTE";"PLATINO";"ORO";"PLATA";"BRONCE";"CERRADO"},_xlpm.act,IFERROR(MATCH(V1067,_xlpm.orden,0),6),_xlpm.ant,IFERROR(MATCH(W1067,_xlpm.orden,0),6),_xlpm.ajmov,IF(_xlpm.act&lt;_xlpm.ant,0.08,IF(_xlpm.act&gt;_xlpm.ant,-0.08,0)),_xlpm.ajcli,IF(T1067&lt;0.95,-0.06,0),_xlpm.prob,MAX(0,MIN(1,_xlpm.prog+_xlpm.ajmov+_xlpm.ajcli)),IF(OR(V1067="DIAMANTE",V1067="CERRADO"),0,ROUND(_xlpm.prob,2)))</f>
        <v>0.46</v>
      </c>
      <c r="AK1067" t="str">
        <f t="shared" si="396"/>
        <v>Faltan 16,1 puntos base para subir a la siguiente categoría</v>
      </c>
      <c r="AL1067" t="str">
        <f t="shared" si="397"/>
        <v>No aplica</v>
      </c>
      <c r="AM1067">
        <f t="shared" si="398"/>
        <v>0.82</v>
      </c>
      <c r="AN1067" t="str">
        <f t="shared" si="399"/>
        <v>PRIORIDAD ALTA – requiere intervención inmediata</v>
      </c>
      <c r="AO1067">
        <f t="shared" si="400"/>
        <v>45.403798492706905</v>
      </c>
      <c r="AP1067">
        <f t="shared" si="401"/>
        <v>10.5</v>
      </c>
      <c r="AQ1067">
        <f t="shared" si="402"/>
        <v>0</v>
      </c>
      <c r="AR1067">
        <f t="shared" si="403"/>
        <v>0.76999999999999968</v>
      </c>
      <c r="AS1067">
        <f t="shared" si="404"/>
        <v>5.6700000000000008</v>
      </c>
      <c r="AT1067" t="str">
        <f t="shared" si="405"/>
        <v>VENTAS</v>
      </c>
      <c r="AU1067">
        <f t="shared" si="406"/>
        <v>45.403798492706905</v>
      </c>
      <c r="AV1067" t="str">
        <f t="shared" si="407"/>
        <v>Mayor retorno probable: VENTAS (+45,4 puntos finales potenciales).</v>
      </c>
    </row>
    <row r="1068" spans="1:48" x14ac:dyDescent="0.3">
      <c r="A1068" s="5">
        <v>51018168</v>
      </c>
      <c r="B1068" s="5" t="str">
        <f>IFERROR(VLOOKUP(A1068,VENTAS!$A$2:$B$1194,2,0),"")</f>
        <v/>
      </c>
      <c r="C1068" s="5">
        <f>IFERROR(INDEX(VENTAS!$C$2:$E$1194,MATCH(A1068,VENTAS!$A$2:$A$1194,0),MATCH(PARAMS_MODELO!$B$2,{"Q1","Q2","Q3"},0)),0)</f>
        <v>15764766.800000001</v>
      </c>
      <c r="D1068" s="5">
        <f>IFERROR(INDEX(VENTAS!$F$2:$H$1194,MATCH(A1068,VENTAS!$A$2:$A$1194,0),MATCH(PARAMS_MODELO!$B$2,{"Q1","Q2","Q3"},0)),0)</f>
        <v>0</v>
      </c>
      <c r="E1068" s="8">
        <f t="shared" si="384"/>
        <v>-1</v>
      </c>
      <c r="F1068" s="12">
        <f>IF(E1068&lt;=PARAMS_MODELO!$B$15,0,IF(E1068&gt;=PARAMS_MODELO!$B$17,100,100*MIN(1,(E1068-PARAMS_MODELO!$B$15)/(PARAMS_MODELO!$B$16-PARAMS_MODELO!$B$15))))*PARAMS_MODELO!$B$7</f>
        <v>0</v>
      </c>
      <c r="G1068" s="5">
        <f t="shared" si="385"/>
        <v>0</v>
      </c>
      <c r="H1068" s="5">
        <f>(PARAMS_MODELO!$B$20*(MAX(0,MIN(3,E1068))/3)+PARAMS_MODELO!$B$21*(IFERROR(LN(1+MAX(0,G1068))/LN(1+MAX(0,MAX($G$2:$G$1194))),0)))*100*PARAMS_MODELO!$B$8</f>
        <v>0</v>
      </c>
      <c r="I1068" s="8">
        <f>E1068-PARAMS_MODELO!$B$5</f>
        <v>-1.1775628353755265</v>
      </c>
      <c r="J1068" s="5">
        <f>IF(I1068&lt;=PARAMS_MODELO!$B$18,0,IF(I1068&gt;=PARAMS_MODELO!$B$19,100,100*(I1068-PARAMS_MODELO!$B$18)/(PARAMS_MODELO!$B$19-PARAMS_MODELO!$B$18)))*PARAMS_MODELO!$B$9</f>
        <v>0</v>
      </c>
      <c r="K1068" s="5">
        <f>IFERROR(CHOOSE(MATCH(PARAMS_MODELO!$B$2,{"Q1","Q2","Q3"},0),LOTO!$D1068,LOTO!$F1068,LOTO!$H1068),0)</f>
        <v>0</v>
      </c>
      <c r="L1068" s="8">
        <f t="shared" si="386"/>
        <v>0</v>
      </c>
      <c r="M1068" s="5">
        <f>MIN(100,IF(PARAMS_MODELO!$B$23=0,0,100*L1068/PARAMS_MODELO!$B$23))*PARAMS_MODELO!$B$10</f>
        <v>0</v>
      </c>
      <c r="N1068" s="5">
        <f>IFERROR(VLOOKUP(A1068,COMPLIANCE!$A$2:$F$1996,6,0),100)</f>
        <v>100</v>
      </c>
      <c r="O1068" s="5">
        <f>N1068*PARAMS_MODELO!$B$11</f>
        <v>10</v>
      </c>
      <c r="P1068" s="5">
        <f>IFERROR(VLOOKUP(A1068,DIGITAL!$A$2:$J$2000,7,0),100)</f>
        <v>51</v>
      </c>
      <c r="Q1068" s="5">
        <f>IFERROR(P1068,0)*PARAMS_MODELO!$B$12</f>
        <v>5.1000000000000005</v>
      </c>
      <c r="R1068">
        <f t="shared" si="387"/>
        <v>15.100000000000001</v>
      </c>
      <c r="S1068" s="5" t="str">
        <f>IFERROR(VLOOKUP(A1068,CLIENTE!$A$2:$N$2000,13,0),1)</f>
        <v>Malo</v>
      </c>
      <c r="T1068" s="5">
        <f>IFERROR(VLOOKUP(A1068,CLIENTE!$A$2:$N$2000,14,0),1)</f>
        <v>0.7</v>
      </c>
      <c r="U1068" s="5">
        <f t="shared" si="388"/>
        <v>10.57</v>
      </c>
      <c r="V1068" s="5" t="str">
        <f>IF(U1068&gt;=MAX(_xlfn.PERCENTILE.INC($U$2:$U$1194,PARAMS_MODELO!$B$50),PARAMS_MODELO!$B$45),"DIAMANTE",IF(U1068&gt;=MAX(_xlfn.PERCENTILE.INC($U$2:$U$1194,PARAMS_MODELO!$B$51),PARAMS_MODELO!$B$46),"PLATINO",IF(U1068&gt;=MAX(_xlfn.PERCENTILE.INC($U$2:$U$1194,PARAMS_MODELO!$B$52),PARAMS_MODELO!$B$47),"ORO",IF(U1068&gt;=MAX(_xlfn.PERCENTILE.INC($U$2:$U$1194,PARAMS_MODELO!$B$53),PARAMS_MODELO!$B$48),"PLATA",IF(U1068&gt;=1,"BRONCE","CERRADO")))))</f>
        <v>BRONCE</v>
      </c>
      <c r="W1068" s="5" t="str" cm="1">
        <f t="array" ref="W1068">_xlfn.XLOOKUP(1, (HIST_SCORE!$B:$B=PARAMS_MODELO!$B$4) * (HIST_SCORE!$C:$C=A1068), HIST_SCORE!$E:$E, "No encontrado")</f>
        <v>BRONCE</v>
      </c>
      <c r="X1068" s="5" t="str">
        <f>_xlfn.LET(_xlpm.act,MATCH(V1068,{"DIAMANTE";"PLATINO";"ORO";"PLATA";"BRONCE";"CERRADO"},0),_xlpm.ant,MATCH(W1068,{"DIAMANTE";"PLATINO";"ORO";"PLATA";"BRONCE";"CERRADO"},0),IF(_xlpm.act&lt;_xlpm.ant,"Mejora ↑",IF(_xlpm.act&gt;_xlpm.ant,"Baja ↓","Estable →")))</f>
        <v>Estable →</v>
      </c>
      <c r="Y1068" s="5">
        <f>IFERROR(U1068-SUMIFS(HIST_SCORE!$D:$D,HIST_SCORE!$B:$B,PARAMS_MODELO!$B$4,HIST_SCORE!$C:$C,$A1068),"")</f>
        <v>0</v>
      </c>
      <c r="Z1068" s="5" t="str">
        <f t="shared" si="389"/>
        <v>→ Estable</v>
      </c>
      <c r="AA1068" s="5">
        <f t="shared" si="390"/>
        <v>1158</v>
      </c>
      <c r="AB1068" s="5">
        <f>IFERROR(SUMIFS(HIST_SCORE!$F:$F,HIST_SCORE!$B:$B,PARAMS_MODELO!$B$4,HIST_SCORE!$C:$C,$A1068),"")</f>
        <v>1158</v>
      </c>
      <c r="AC1068" s="5">
        <f t="shared" si="391"/>
        <v>0</v>
      </c>
      <c r="AD1068" t="str">
        <f t="shared" si="393"/>
        <v/>
      </c>
      <c r="AE10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1068="CERRADO",1,IF(V1068="BRONCE",_xlpm.cPl,IF(V1068="PLATA",_xlpm.cO,IF(V1068="ORO",_xlpm.cP,IF(V1068="PLATINO",_xlpm.cD,999))))))</f>
        <v>24.506573482968111</v>
      </c>
      <c r="AF10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1068="CERRADO",0,IF(V1068="BRONCE",1,IF(V1068="PLATA",_xlpm.cPl,IF(V1068="ORO",_xlpm.cO,IF(V1068="PLATINO",_xlpm.cP,_xlpm.cD))))))</f>
        <v>1</v>
      </c>
      <c r="AG1068">
        <f t="shared" si="394"/>
        <v>19.909390689954442</v>
      </c>
      <c r="AH1068" t="str">
        <f t="shared" si="395"/>
        <v>VENTAS</v>
      </c>
      <c r="AI1068" t="str">
        <f t="shared" si="392"/>
        <v>🎯 Para subir de categoría, eje VENTAS / CRECIMIENTO PERSONAL (F). Acción: metas semanales + activación comercial + seguimiento del asesor. ΔR aprox: 19,9</v>
      </c>
      <c r="AJ1068" s="26">
        <f>_xlfn.LET(_xlpm.piso,AF1068,_xlpm.corte,AE1068,_xlpm.prog,IF(_xlpm.corte&lt;=_xlpm.piso,0,MAX(0,MIN(1,(U1068-_xlpm.piso)/(_xlpm.corte-_xlpm.piso)))),_xlpm.orden,{"DIAMANTE";"PLATINO";"ORO";"PLATA";"BRONCE";"CERRADO"},_xlpm.act,IFERROR(MATCH(V1068,_xlpm.orden,0),6),_xlpm.ant,IFERROR(MATCH(W1068,_xlpm.orden,0),6),_xlpm.ajmov,IF(_xlpm.act&lt;_xlpm.ant,0.08,IF(_xlpm.act&gt;_xlpm.ant,-0.08,0)),_xlpm.ajcli,IF(T1068&lt;0.95,-0.06,0),_xlpm.prob,MAX(0,MIN(1,_xlpm.prog+_xlpm.ajmov+_xlpm.ajcli)),IF(OR(V1068="DIAMANTE",V1068="CERRADO"),0,ROUND(_xlpm.prob,2)))</f>
        <v>0.35</v>
      </c>
      <c r="AK1068" t="str">
        <f t="shared" si="396"/>
        <v>Faltan 19,9 puntos base para subir a la siguiente categoría</v>
      </c>
      <c r="AL1068" t="str">
        <f t="shared" si="397"/>
        <v>No aplica</v>
      </c>
      <c r="AM1068">
        <f t="shared" si="398"/>
        <v>0.86</v>
      </c>
      <c r="AN1068" t="str">
        <f t="shared" si="399"/>
        <v>PRIORIDAD ALTA – requiere intervención inmediata</v>
      </c>
      <c r="AO1068">
        <f t="shared" si="400"/>
        <v>45.403798492706905</v>
      </c>
      <c r="AP1068">
        <f t="shared" si="401"/>
        <v>10.5</v>
      </c>
      <c r="AQ1068">
        <f t="shared" si="402"/>
        <v>0</v>
      </c>
      <c r="AR1068">
        <f t="shared" si="403"/>
        <v>3.4299999999999993</v>
      </c>
      <c r="AS1068">
        <f t="shared" si="404"/>
        <v>4.5300000000000011</v>
      </c>
      <c r="AT1068" t="str">
        <f t="shared" si="405"/>
        <v>VENTAS</v>
      </c>
      <c r="AU1068">
        <f t="shared" si="406"/>
        <v>45.403798492706905</v>
      </c>
      <c r="AV1068" t="str">
        <f t="shared" si="407"/>
        <v>Mayor retorno probable: VENTAS (+45,4 puntos finales potenciales).</v>
      </c>
    </row>
    <row r="1069" spans="1:48" x14ac:dyDescent="0.3">
      <c r="A1069" s="5">
        <v>51018192</v>
      </c>
      <c r="B1069" s="5" t="str">
        <f>IFERROR(VLOOKUP(A1069,VENTAS!$A$2:$B$1194,2,0),"")</f>
        <v/>
      </c>
      <c r="C1069" s="5">
        <f>IFERROR(INDEX(VENTAS!$C$2:$E$1194,MATCH(A1069,VENTAS!$A$2:$A$1194,0),MATCH(PARAMS_MODELO!$B$2,{"Q1","Q2","Q3"},0)),0)</f>
        <v>0</v>
      </c>
      <c r="D1069" s="5">
        <f>IFERROR(INDEX(VENTAS!$F$2:$H$1194,MATCH(A1069,VENTAS!$A$2:$A$1194,0),MATCH(PARAMS_MODELO!$B$2,{"Q1","Q2","Q3"},0)),0)</f>
        <v>0</v>
      </c>
      <c r="E1069" s="8">
        <f t="shared" si="384"/>
        <v>0</v>
      </c>
      <c r="F1069" s="12">
        <f>IF(E1069&lt;=PARAMS_MODELO!$B$15,0,IF(E1069&gt;=PARAMS_MODELO!$B$17,100,100*MIN(1,(E1069-PARAMS_MODELO!$B$15)/(PARAMS_MODELO!$B$16-PARAMS_MODELO!$B$15))))*PARAMS_MODELO!$B$7</f>
        <v>0</v>
      </c>
      <c r="G1069" s="5">
        <f t="shared" si="385"/>
        <v>0</v>
      </c>
      <c r="H1069" s="5">
        <f>(PARAMS_MODELO!$B$20*(MAX(0,MIN(3,E1069))/3)+PARAMS_MODELO!$B$21*(IFERROR(LN(1+MAX(0,G1069))/LN(1+MAX(0,MAX($G$2:$G$1194))),0)))*100*PARAMS_MODELO!$B$8</f>
        <v>0</v>
      </c>
      <c r="I1069" s="8">
        <f>E1069-PARAMS_MODELO!$B$5</f>
        <v>-0.17756283537552653</v>
      </c>
      <c r="J1069" s="5">
        <f>IF(I1069&lt;=PARAMS_MODELO!$B$18,0,IF(I1069&gt;=PARAMS_MODELO!$B$19,100,100*(I1069-PARAMS_MODELO!$B$18)/(PARAMS_MODELO!$B$19-PARAMS_MODELO!$B$18)))*PARAMS_MODELO!$B$9</f>
        <v>0</v>
      </c>
      <c r="K1069" s="5">
        <f>IFERROR(CHOOSE(MATCH(PARAMS_MODELO!$B$2,{"Q1","Q2","Q3"},0),LOTO!$D1069,LOTO!$F1069,LOTO!$H1069),0)</f>
        <v>0</v>
      </c>
      <c r="L1069" s="8">
        <f t="shared" si="386"/>
        <v>0</v>
      </c>
      <c r="M1069" s="5">
        <f>MIN(100,IF(PARAMS_MODELO!$B$23=0,0,100*L1069/PARAMS_MODELO!$B$23))*PARAMS_MODELO!$B$10</f>
        <v>0</v>
      </c>
      <c r="N1069" s="5">
        <f>IFERROR(VLOOKUP(A1069,COMPLIANCE!$A$2:$F$1996,6,0),100)</f>
        <v>100</v>
      </c>
      <c r="O1069" s="5">
        <f>N1069*PARAMS_MODELO!$B$11</f>
        <v>10</v>
      </c>
      <c r="P1069" s="5">
        <f>IFERROR(VLOOKUP(A1069,DIGITAL!$A$2:$J$2000,7,0),100)</f>
        <v>56</v>
      </c>
      <c r="Q1069" s="5">
        <f>IFERROR(P1069,0)*PARAMS_MODELO!$B$12</f>
        <v>5.6000000000000005</v>
      </c>
      <c r="R1069">
        <f t="shared" si="387"/>
        <v>15.600000000000001</v>
      </c>
      <c r="S1069" s="5" t="str">
        <f>IFERROR(VLOOKUP(A1069,CLIENTE!$A$2:$N$2000,13,0),1)</f>
        <v>Muy Bueno</v>
      </c>
      <c r="T1069" s="5">
        <f>IFERROR(VLOOKUP(A1069,CLIENTE!$A$2:$N$2000,14,0),1)</f>
        <v>1.1499999999999999</v>
      </c>
      <c r="U1069" s="5">
        <f t="shared" si="388"/>
        <v>17.940000000000001</v>
      </c>
      <c r="V1069" s="5" t="str">
        <f>IF(U1069&gt;=MAX(_xlfn.PERCENTILE.INC($U$2:$U$1194,PARAMS_MODELO!$B$50),PARAMS_MODELO!$B$45),"DIAMANTE",IF(U1069&gt;=MAX(_xlfn.PERCENTILE.INC($U$2:$U$1194,PARAMS_MODELO!$B$51),PARAMS_MODELO!$B$46),"PLATINO",IF(U1069&gt;=MAX(_xlfn.PERCENTILE.INC($U$2:$U$1194,PARAMS_MODELO!$B$52),PARAMS_MODELO!$B$47),"ORO",IF(U1069&gt;=MAX(_xlfn.PERCENTILE.INC($U$2:$U$1194,PARAMS_MODELO!$B$53),PARAMS_MODELO!$B$48),"PLATA",IF(U1069&gt;=1,"BRONCE","CERRADO")))))</f>
        <v>BRONCE</v>
      </c>
      <c r="W1069" s="5" t="str" cm="1">
        <f t="array" ref="W1069">_xlfn.XLOOKUP(1, (HIST_SCORE!$B:$B=PARAMS_MODELO!$B$4) * (HIST_SCORE!$C:$C=A1069), HIST_SCORE!$E:$E, "No encontrado")</f>
        <v>BRONCE</v>
      </c>
      <c r="X1069" s="5" t="str">
        <f>_xlfn.LET(_xlpm.act,MATCH(V1069,{"DIAMANTE";"PLATINO";"ORO";"PLATA";"BRONCE";"CERRADO"},0),_xlpm.ant,MATCH(W1069,{"DIAMANTE";"PLATINO";"ORO";"PLATA";"BRONCE";"CERRADO"},0),IF(_xlpm.act&lt;_xlpm.ant,"Mejora ↑",IF(_xlpm.act&gt;_xlpm.ant,"Baja ↓","Estable →")))</f>
        <v>Estable →</v>
      </c>
      <c r="Y1069" s="5">
        <f>IFERROR(U1069-SUMIFS(HIST_SCORE!$D:$D,HIST_SCORE!$B:$B,PARAMS_MODELO!$B$4,HIST_SCORE!$C:$C,$A1069),"")</f>
        <v>0</v>
      </c>
      <c r="Z1069" s="5" t="str">
        <f t="shared" si="389"/>
        <v>→ Estable</v>
      </c>
      <c r="AA1069" s="5">
        <f t="shared" si="390"/>
        <v>1031</v>
      </c>
      <c r="AB1069" s="5">
        <f>IFERROR(SUMIFS(HIST_SCORE!$F:$F,HIST_SCORE!$B:$B,PARAMS_MODELO!$B$4,HIST_SCORE!$C:$C,$A1069),"")</f>
        <v>1031</v>
      </c>
      <c r="AC1069" s="5">
        <f t="shared" si="391"/>
        <v>0</v>
      </c>
      <c r="AD1069" t="str">
        <f t="shared" si="393"/>
        <v/>
      </c>
      <c r="AE10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1069="CERRADO",1,IF(V1069="BRONCE",_xlpm.cPl,IF(V1069="PLATA",_xlpm.cO,IF(V1069="ORO",_xlpm.cP,IF(V1069="PLATINO",_xlpm.cD,999))))))</f>
        <v>24.506573482968111</v>
      </c>
      <c r="AF10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1069="CERRADO",0,IF(V1069="BRONCE",1,IF(V1069="PLATA",_xlpm.cPl,IF(V1069="ORO",_xlpm.cO,IF(V1069="PLATINO",_xlpm.cP,_xlpm.cD))))))</f>
        <v>1</v>
      </c>
      <c r="AG1069">
        <f t="shared" si="394"/>
        <v>5.7100638982331411</v>
      </c>
      <c r="AH1069" t="str">
        <f t="shared" si="395"/>
        <v>VENTAS</v>
      </c>
      <c r="AI1069" t="str">
        <f t="shared" si="392"/>
        <v>🎯 Para subir de categoría, eje VENTAS / CRECIMIENTO PERSONAL (F). Acción: metas semanales + activación comercial + seguimiento del asesor. ΔR aprox: 5,7</v>
      </c>
      <c r="AJ1069" s="26">
        <f>_xlfn.LET(_xlpm.piso,AF1069,_xlpm.corte,AE1069,_xlpm.prog,IF(_xlpm.corte&lt;=_xlpm.piso,0,MAX(0,MIN(1,(U1069-_xlpm.piso)/(_xlpm.corte-_xlpm.piso)))),_xlpm.orden,{"DIAMANTE";"PLATINO";"ORO";"PLATA";"BRONCE";"CERRADO"},_xlpm.act,IFERROR(MATCH(V1069,_xlpm.orden,0),6),_xlpm.ant,IFERROR(MATCH(W1069,_xlpm.orden,0),6),_xlpm.ajmov,IF(_xlpm.act&lt;_xlpm.ant,0.08,IF(_xlpm.act&gt;_xlpm.ant,-0.08,0)),_xlpm.ajcli,IF(T1069&lt;0.95,-0.06,0),_xlpm.prob,MAX(0,MIN(1,_xlpm.prog+_xlpm.ajmov+_xlpm.ajcli)),IF(OR(V1069="DIAMANTE",V1069="CERRADO"),0,ROUND(_xlpm.prob,2)))</f>
        <v>0.72</v>
      </c>
      <c r="AK1069" t="str">
        <f t="shared" si="396"/>
        <v>Faltan 5,7 puntos base para subir a la siguiente categoría</v>
      </c>
      <c r="AL1069" t="str">
        <f t="shared" si="397"/>
        <v>No aplica</v>
      </c>
      <c r="AM1069">
        <f t="shared" si="398"/>
        <v>0.34</v>
      </c>
      <c r="AN1069" t="str">
        <f t="shared" si="399"/>
        <v>PRIORIDAD BAJA – control normal</v>
      </c>
      <c r="AO1069">
        <f t="shared" si="400"/>
        <v>74.591954666589913</v>
      </c>
      <c r="AP1069">
        <f t="shared" si="401"/>
        <v>17.25</v>
      </c>
      <c r="AQ1069">
        <f t="shared" si="402"/>
        <v>0</v>
      </c>
      <c r="AR1069">
        <f t="shared" si="403"/>
        <v>5.0599999999999987</v>
      </c>
      <c r="AS1069">
        <f t="shared" si="404"/>
        <v>0</v>
      </c>
      <c r="AT1069" t="str">
        <f t="shared" si="405"/>
        <v>VENTAS</v>
      </c>
      <c r="AU1069">
        <f t="shared" si="406"/>
        <v>74.591954666589913</v>
      </c>
      <c r="AV1069" t="str">
        <f t="shared" si="407"/>
        <v>Mayor retorno probable: VENTAS (+74,6 puntos finales potenciales).</v>
      </c>
    </row>
    <row r="1070" spans="1:48" x14ac:dyDescent="0.3">
      <c r="A1070" s="5">
        <v>51018281</v>
      </c>
      <c r="B1070" s="5" t="str">
        <f>IFERROR(VLOOKUP(A1070,VENTAS!$A$2:$B$1194,2,0),"")</f>
        <v/>
      </c>
      <c r="C1070" s="5">
        <f>IFERROR(INDEX(VENTAS!$C$2:$E$1194,MATCH(A1070,VENTAS!$A$2:$A$1194,0),MATCH(PARAMS_MODELO!$B$2,{"Q1","Q2","Q3"},0)),0)</f>
        <v>6707548.5600000015</v>
      </c>
      <c r="D1070" s="5">
        <f>IFERROR(INDEX(VENTAS!$F$2:$H$1194,MATCH(A1070,VENTAS!$A$2:$A$1194,0),MATCH(PARAMS_MODELO!$B$2,{"Q1","Q2","Q3"},0)),0)</f>
        <v>0</v>
      </c>
      <c r="E1070" s="8">
        <f t="shared" si="384"/>
        <v>-1</v>
      </c>
      <c r="F1070" s="12">
        <f>IF(E1070&lt;=PARAMS_MODELO!$B$15,0,IF(E1070&gt;=PARAMS_MODELO!$B$17,100,100*MIN(1,(E1070-PARAMS_MODELO!$B$15)/(PARAMS_MODELO!$B$16-PARAMS_MODELO!$B$15))))*PARAMS_MODELO!$B$7</f>
        <v>0</v>
      </c>
      <c r="G1070" s="5">
        <f t="shared" si="385"/>
        <v>0</v>
      </c>
      <c r="H1070" s="5">
        <f>(PARAMS_MODELO!$B$20*(MAX(0,MIN(3,E1070))/3)+PARAMS_MODELO!$B$21*(IFERROR(LN(1+MAX(0,G1070))/LN(1+MAX(0,MAX($G$2:$G$1194))),0)))*100*PARAMS_MODELO!$B$8</f>
        <v>0</v>
      </c>
      <c r="I1070" s="8">
        <f>E1070-PARAMS_MODELO!$B$5</f>
        <v>-1.1775628353755265</v>
      </c>
      <c r="J1070" s="5">
        <f>IF(I1070&lt;=PARAMS_MODELO!$B$18,0,IF(I1070&gt;=PARAMS_MODELO!$B$19,100,100*(I1070-PARAMS_MODELO!$B$18)/(PARAMS_MODELO!$B$19-PARAMS_MODELO!$B$18)))*PARAMS_MODELO!$B$9</f>
        <v>0</v>
      </c>
      <c r="K1070" s="5">
        <f>IFERROR(CHOOSE(MATCH(PARAMS_MODELO!$B$2,{"Q1","Q2","Q3"},0),LOTO!$D1070,LOTO!$F1070,LOTO!$H1070),0)</f>
        <v>0</v>
      </c>
      <c r="L1070" s="8">
        <f t="shared" si="386"/>
        <v>0</v>
      </c>
      <c r="M1070" s="5">
        <f>MIN(100,IF(PARAMS_MODELO!$B$23=0,0,100*L1070/PARAMS_MODELO!$B$23))*PARAMS_MODELO!$B$10</f>
        <v>0</v>
      </c>
      <c r="N1070" s="5">
        <f>IFERROR(VLOOKUP(A1070,COMPLIANCE!$A$2:$F$1996,6,0),100)</f>
        <v>100</v>
      </c>
      <c r="O1070" s="5">
        <f>N1070*PARAMS_MODELO!$B$11</f>
        <v>10</v>
      </c>
      <c r="P1070" s="5">
        <f>IFERROR(VLOOKUP(A1070,DIGITAL!$A$2:$J$2000,7,0),100)</f>
        <v>84</v>
      </c>
      <c r="Q1070" s="5">
        <f>IFERROR(P1070,0)*PARAMS_MODELO!$B$12</f>
        <v>8.4</v>
      </c>
      <c r="R1070">
        <f t="shared" si="387"/>
        <v>18.399999999999999</v>
      </c>
      <c r="S1070" s="5" t="str">
        <f>IFERROR(VLOOKUP(A1070,CLIENTE!$A$2:$N$2000,13,0),1)</f>
        <v>Bueno</v>
      </c>
      <c r="T1070" s="5">
        <f>IFERROR(VLOOKUP(A1070,CLIENTE!$A$2:$N$2000,14,0),1)</f>
        <v>1.1000000000000001</v>
      </c>
      <c r="U1070" s="5">
        <f t="shared" si="388"/>
        <v>20.239999999999998</v>
      </c>
      <c r="V1070" s="5" t="str">
        <f>IF(U1070&gt;=MAX(_xlfn.PERCENTILE.INC($U$2:$U$1194,PARAMS_MODELO!$B$50),PARAMS_MODELO!$B$45),"DIAMANTE",IF(U1070&gt;=MAX(_xlfn.PERCENTILE.INC($U$2:$U$1194,PARAMS_MODELO!$B$51),PARAMS_MODELO!$B$46),"PLATINO",IF(U1070&gt;=MAX(_xlfn.PERCENTILE.INC($U$2:$U$1194,PARAMS_MODELO!$B$52),PARAMS_MODELO!$B$47),"ORO",IF(U1070&gt;=MAX(_xlfn.PERCENTILE.INC($U$2:$U$1194,PARAMS_MODELO!$B$53),PARAMS_MODELO!$B$48),"PLATA",IF(U1070&gt;=1,"BRONCE","CERRADO")))))</f>
        <v>BRONCE</v>
      </c>
      <c r="W1070" s="5" t="str" cm="1">
        <f t="array" ref="W1070">_xlfn.XLOOKUP(1, (HIST_SCORE!$B:$B=PARAMS_MODELO!$B$4) * (HIST_SCORE!$C:$C=A1070), HIST_SCORE!$E:$E, "No encontrado")</f>
        <v>BRONCE</v>
      </c>
      <c r="X1070" s="5" t="str">
        <f>_xlfn.LET(_xlpm.act,MATCH(V1070,{"DIAMANTE";"PLATINO";"ORO";"PLATA";"BRONCE";"CERRADO"},0),_xlpm.ant,MATCH(W1070,{"DIAMANTE";"PLATINO";"ORO";"PLATA";"BRONCE";"CERRADO"},0),IF(_xlpm.act&lt;_xlpm.ant,"Mejora ↑",IF(_xlpm.act&gt;_xlpm.ant,"Baja ↓","Estable →")))</f>
        <v>Estable →</v>
      </c>
      <c r="Y1070" s="5">
        <f>IFERROR(U1070-SUMIFS(HIST_SCORE!$D:$D,HIST_SCORE!$B:$B,PARAMS_MODELO!$B$4,HIST_SCORE!$C:$C,$A1070),"")</f>
        <v>0</v>
      </c>
      <c r="Z1070" s="5" t="str">
        <f t="shared" si="389"/>
        <v>→ Estable</v>
      </c>
      <c r="AA1070" s="5">
        <f t="shared" si="390"/>
        <v>974</v>
      </c>
      <c r="AB1070" s="5">
        <f>IFERROR(SUMIFS(HIST_SCORE!$F:$F,HIST_SCORE!$B:$B,PARAMS_MODELO!$B$4,HIST_SCORE!$C:$C,$A1070),"")</f>
        <v>983</v>
      </c>
      <c r="AC1070" s="5">
        <f t="shared" si="391"/>
        <v>9</v>
      </c>
      <c r="AD1070" t="str">
        <f t="shared" si="393"/>
        <v/>
      </c>
      <c r="AE10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1070="CERRADO",1,IF(V1070="BRONCE",_xlpm.cPl,IF(V1070="PLATA",_xlpm.cO,IF(V1070="ORO",_xlpm.cP,IF(V1070="PLATINO",_xlpm.cD,999))))))</f>
        <v>24.506573482968111</v>
      </c>
      <c r="AF10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1070="CERRADO",0,IF(V1070="BRONCE",1,IF(V1070="PLATA",_xlpm.cPl,IF(V1070="ORO",_xlpm.cO,IF(V1070="PLATINO",_xlpm.cP,_xlpm.cD))))))</f>
        <v>1</v>
      </c>
      <c r="AG1070">
        <f t="shared" si="394"/>
        <v>3.8787031663346454</v>
      </c>
      <c r="AH1070" t="str">
        <f t="shared" si="395"/>
        <v>VENTAS</v>
      </c>
      <c r="AI1070" t="str">
        <f t="shared" si="392"/>
        <v>🎯 Para subir de categoría, eje VENTAS / CRECIMIENTO PERSONAL (F). Acción: metas semanales + activación comercial + seguimiento del asesor. ΔR aprox: 3,9</v>
      </c>
      <c r="AJ1070" s="26">
        <f>_xlfn.LET(_xlpm.piso,AF1070,_xlpm.corte,AE1070,_xlpm.prog,IF(_xlpm.corte&lt;=_xlpm.piso,0,MAX(0,MIN(1,(U1070-_xlpm.piso)/(_xlpm.corte-_xlpm.piso)))),_xlpm.orden,{"DIAMANTE";"PLATINO";"ORO";"PLATA";"BRONCE";"CERRADO"},_xlpm.act,IFERROR(MATCH(V1070,_xlpm.orden,0),6),_xlpm.ant,IFERROR(MATCH(W1070,_xlpm.orden,0),6),_xlpm.ajmov,IF(_xlpm.act&lt;_xlpm.ant,0.08,IF(_xlpm.act&gt;_xlpm.ant,-0.08,0)),_xlpm.ajcli,IF(T1070&lt;0.95,-0.06,0),_xlpm.prob,MAX(0,MIN(1,_xlpm.prog+_xlpm.ajmov+_xlpm.ajcli)),IF(OR(V1070="DIAMANTE",V1070="CERRADO"),0,ROUND(_xlpm.prob,2)))</f>
        <v>0.82</v>
      </c>
      <c r="AK1070" t="str">
        <f t="shared" si="396"/>
        <v>Faltan 3,9 puntos base para subir a la siguiente categoría</v>
      </c>
      <c r="AL1070" t="str">
        <f t="shared" si="397"/>
        <v>No aplica</v>
      </c>
      <c r="AM1070">
        <f t="shared" si="398"/>
        <v>0.23</v>
      </c>
      <c r="AN1070" t="str">
        <f t="shared" si="399"/>
        <v>PRIORIDAD BAJA – control normal</v>
      </c>
      <c r="AO1070">
        <f t="shared" si="400"/>
        <v>71.348826202825151</v>
      </c>
      <c r="AP1070">
        <f t="shared" si="401"/>
        <v>16.5</v>
      </c>
      <c r="AQ1070">
        <f t="shared" si="402"/>
        <v>0</v>
      </c>
      <c r="AR1070">
        <f t="shared" si="403"/>
        <v>1.7599999999999998</v>
      </c>
      <c r="AS1070">
        <f t="shared" si="404"/>
        <v>0</v>
      </c>
      <c r="AT1070" t="str">
        <f t="shared" si="405"/>
        <v>VENTAS</v>
      </c>
      <c r="AU1070">
        <f t="shared" si="406"/>
        <v>71.348826202825151</v>
      </c>
      <c r="AV1070" t="str">
        <f t="shared" si="407"/>
        <v>Mayor retorno probable: VENTAS (+71,3 puntos finales potenciales).</v>
      </c>
    </row>
    <row r="1071" spans="1:48" x14ac:dyDescent="0.3">
      <c r="A1071" s="5">
        <v>51018915</v>
      </c>
      <c r="B1071" s="5" t="str">
        <f>IFERROR(VLOOKUP(A1071,VENTAS!$A$2:$B$1194,2,0),"")</f>
        <v/>
      </c>
      <c r="C1071" s="5">
        <f>IFERROR(INDEX(VENTAS!$C$2:$E$1194,MATCH(A1071,VENTAS!$A$2:$A$1194,0),MATCH(PARAMS_MODELO!$B$2,{"Q1","Q2","Q3"},0)),0)</f>
        <v>0</v>
      </c>
      <c r="D1071" s="5">
        <f>IFERROR(INDEX(VENTAS!$F$2:$H$1194,MATCH(A1071,VENTAS!$A$2:$A$1194,0),MATCH(PARAMS_MODELO!$B$2,{"Q1","Q2","Q3"},0)),0)</f>
        <v>0</v>
      </c>
      <c r="E1071" s="8">
        <f t="shared" si="384"/>
        <v>0</v>
      </c>
      <c r="F1071" s="12">
        <f>IF(E1071&lt;=PARAMS_MODELO!$B$15,0,IF(E1071&gt;=PARAMS_MODELO!$B$17,100,100*MIN(1,(E1071-PARAMS_MODELO!$B$15)/(PARAMS_MODELO!$B$16-PARAMS_MODELO!$B$15))))*PARAMS_MODELO!$B$7</f>
        <v>0</v>
      </c>
      <c r="G1071" s="5">
        <f t="shared" si="385"/>
        <v>0</v>
      </c>
      <c r="H1071" s="5">
        <f>(PARAMS_MODELO!$B$20*(MAX(0,MIN(3,E1071))/3)+PARAMS_MODELO!$B$21*(IFERROR(LN(1+MAX(0,G1071))/LN(1+MAX(0,MAX($G$2:$G$1194))),0)))*100*PARAMS_MODELO!$B$8</f>
        <v>0</v>
      </c>
      <c r="I1071" s="8">
        <f>E1071-PARAMS_MODELO!$B$5</f>
        <v>-0.17756283537552653</v>
      </c>
      <c r="J1071" s="5">
        <f>IF(I1071&lt;=PARAMS_MODELO!$B$18,0,IF(I1071&gt;=PARAMS_MODELO!$B$19,100,100*(I1071-PARAMS_MODELO!$B$18)/(PARAMS_MODELO!$B$19-PARAMS_MODELO!$B$18)))*PARAMS_MODELO!$B$9</f>
        <v>0</v>
      </c>
      <c r="K1071" s="5">
        <f>IFERROR(CHOOSE(MATCH(PARAMS_MODELO!$B$2,{"Q1","Q2","Q3"},0),LOTO!$D1071,LOTO!$F1071,LOTO!$H1071),0)</f>
        <v>0</v>
      </c>
      <c r="L1071" s="8">
        <f t="shared" si="386"/>
        <v>0</v>
      </c>
      <c r="M1071" s="5">
        <f>MIN(100,IF(PARAMS_MODELO!$B$23=0,0,100*L1071/PARAMS_MODELO!$B$23))*PARAMS_MODELO!$B$10</f>
        <v>0</v>
      </c>
      <c r="N1071" s="5">
        <f>IFERROR(VLOOKUP(A1071,COMPLIANCE!$A$2:$F$1996,6,0),100)</f>
        <v>100</v>
      </c>
      <c r="O1071" s="5">
        <f>N1071*PARAMS_MODELO!$B$11</f>
        <v>10</v>
      </c>
      <c r="P1071" s="5">
        <f>IFERROR(VLOOKUP(A1071,DIGITAL!$A$2:$J$2000,7,0),100)</f>
        <v>93</v>
      </c>
      <c r="Q1071" s="5">
        <f>IFERROR(P1071,0)*PARAMS_MODELO!$B$12</f>
        <v>9.3000000000000007</v>
      </c>
      <c r="R1071">
        <f t="shared" si="387"/>
        <v>19.3</v>
      </c>
      <c r="S1071" s="5" t="str">
        <f>IFERROR(VLOOKUP(A1071,CLIENTE!$A$2:$N$2000,13,0),1)</f>
        <v>Regular</v>
      </c>
      <c r="T1071" s="5">
        <f>IFERROR(VLOOKUP(A1071,CLIENTE!$A$2:$N$2000,14,0),1)</f>
        <v>1</v>
      </c>
      <c r="U1071" s="5">
        <f t="shared" si="388"/>
        <v>19.3</v>
      </c>
      <c r="V1071" s="5" t="str">
        <f>IF(U1071&gt;=MAX(_xlfn.PERCENTILE.INC($U$2:$U$1194,PARAMS_MODELO!$B$50),PARAMS_MODELO!$B$45),"DIAMANTE",IF(U1071&gt;=MAX(_xlfn.PERCENTILE.INC($U$2:$U$1194,PARAMS_MODELO!$B$51),PARAMS_MODELO!$B$46),"PLATINO",IF(U1071&gt;=MAX(_xlfn.PERCENTILE.INC($U$2:$U$1194,PARAMS_MODELO!$B$52),PARAMS_MODELO!$B$47),"ORO",IF(U1071&gt;=MAX(_xlfn.PERCENTILE.INC($U$2:$U$1194,PARAMS_MODELO!$B$53),PARAMS_MODELO!$B$48),"PLATA",IF(U1071&gt;=1,"BRONCE","CERRADO")))))</f>
        <v>BRONCE</v>
      </c>
      <c r="W1071" s="5" t="str" cm="1">
        <f t="array" ref="W1071">_xlfn.XLOOKUP(1, (HIST_SCORE!$B:$B=PARAMS_MODELO!$B$4) * (HIST_SCORE!$C:$C=A1071), HIST_SCORE!$E:$E, "No encontrado")</f>
        <v>BRONCE</v>
      </c>
      <c r="X1071" s="5" t="str">
        <f>_xlfn.LET(_xlpm.act,MATCH(V1071,{"DIAMANTE";"PLATINO";"ORO";"PLATA";"BRONCE";"CERRADO"},0),_xlpm.ant,MATCH(W1071,{"DIAMANTE";"PLATINO";"ORO";"PLATA";"BRONCE";"CERRADO"},0),IF(_xlpm.act&lt;_xlpm.ant,"Mejora ↑",IF(_xlpm.act&gt;_xlpm.ant,"Baja ↓","Estable →")))</f>
        <v>Estable →</v>
      </c>
      <c r="Y1071" s="5">
        <f>IFERROR(U1071-SUMIFS(HIST_SCORE!$D:$D,HIST_SCORE!$B:$B,PARAMS_MODELO!$B$4,HIST_SCORE!$C:$C,$A1071),"")</f>
        <v>0</v>
      </c>
      <c r="Z1071" s="5" t="str">
        <f t="shared" si="389"/>
        <v>→ Estable</v>
      </c>
      <c r="AA1071" s="5">
        <f t="shared" si="390"/>
        <v>992</v>
      </c>
      <c r="AB1071" s="5">
        <f>IFERROR(SUMIFS(HIST_SCORE!$F:$F,HIST_SCORE!$B:$B,PARAMS_MODELO!$B$4,HIST_SCORE!$C:$C,$A1071),"")</f>
        <v>998</v>
      </c>
      <c r="AC1071" s="5">
        <f t="shared" si="391"/>
        <v>6</v>
      </c>
      <c r="AD1071" t="str">
        <f t="shared" si="393"/>
        <v/>
      </c>
      <c r="AE10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1071="CERRADO",1,IF(V1071="BRONCE",_xlpm.cPl,IF(V1071="PLATA",_xlpm.cO,IF(V1071="ORO",_xlpm.cP,IF(V1071="PLATINO",_xlpm.cD,999))))))</f>
        <v>24.506573482968111</v>
      </c>
      <c r="AF10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1071="CERRADO",0,IF(V1071="BRONCE",1,IF(V1071="PLATA",_xlpm.cPl,IF(V1071="ORO",_xlpm.cO,IF(V1071="PLATINO",_xlpm.cP,_xlpm.cD))))))</f>
        <v>1</v>
      </c>
      <c r="AG1071">
        <f t="shared" si="394"/>
        <v>5.2065734829681105</v>
      </c>
      <c r="AH1071" t="str">
        <f t="shared" si="395"/>
        <v>VENTAS</v>
      </c>
      <c r="AI1071" t="str">
        <f t="shared" si="392"/>
        <v>🎯 Para subir de categoría, eje VENTAS / CRECIMIENTO PERSONAL (F). Acción: metas semanales + activación comercial + seguimiento del asesor. ΔR aprox: 5,2</v>
      </c>
      <c r="AJ1071" s="26">
        <f>_xlfn.LET(_xlpm.piso,AF1071,_xlpm.corte,AE1071,_xlpm.prog,IF(_xlpm.corte&lt;=_xlpm.piso,0,MAX(0,MIN(1,(U1071-_xlpm.piso)/(_xlpm.corte-_xlpm.piso)))),_xlpm.orden,{"DIAMANTE";"PLATINO";"ORO";"PLATA";"BRONCE";"CERRADO"},_xlpm.act,IFERROR(MATCH(V1071,_xlpm.orden,0),6),_xlpm.ant,IFERROR(MATCH(W1071,_xlpm.orden,0),6),_xlpm.ajmov,IF(_xlpm.act&lt;_xlpm.ant,0.08,IF(_xlpm.act&gt;_xlpm.ant,-0.08,0)),_xlpm.ajcli,IF(T1071&lt;0.95,-0.06,0),_xlpm.prob,MAX(0,MIN(1,_xlpm.prog+_xlpm.ajmov+_xlpm.ajcli)),IF(OR(V1071="DIAMANTE",V1071="CERRADO"),0,ROUND(_xlpm.prob,2)))</f>
        <v>0.78</v>
      </c>
      <c r="AK1071" t="str">
        <f t="shared" si="396"/>
        <v>Faltan 5,2 puntos base para subir a la siguiente categoría</v>
      </c>
      <c r="AL1071" t="str">
        <f t="shared" si="397"/>
        <v>No aplica</v>
      </c>
      <c r="AM1071">
        <f t="shared" si="398"/>
        <v>0.3</v>
      </c>
      <c r="AN1071" t="str">
        <f t="shared" si="399"/>
        <v>PRIORIDAD BAJA – control normal</v>
      </c>
      <c r="AO1071">
        <f t="shared" si="400"/>
        <v>64.862569275295584</v>
      </c>
      <c r="AP1071">
        <f t="shared" si="401"/>
        <v>15</v>
      </c>
      <c r="AQ1071">
        <f t="shared" si="402"/>
        <v>0</v>
      </c>
      <c r="AR1071">
        <f t="shared" si="403"/>
        <v>0.69999999999999929</v>
      </c>
      <c r="AS1071">
        <f t="shared" si="404"/>
        <v>0</v>
      </c>
      <c r="AT1071" t="str">
        <f t="shared" si="405"/>
        <v>VENTAS</v>
      </c>
      <c r="AU1071">
        <f t="shared" si="406"/>
        <v>64.862569275295584</v>
      </c>
      <c r="AV1071" t="str">
        <f t="shared" si="407"/>
        <v>Mayor retorno probable: VENTAS (+64,9 puntos finales potenciales).</v>
      </c>
    </row>
    <row r="1072" spans="1:48" x14ac:dyDescent="0.3">
      <c r="A1072" s="5">
        <v>51019075</v>
      </c>
      <c r="B1072" s="5" t="str">
        <f>IFERROR(VLOOKUP(A1072,VENTAS!$A$2:$B$1194,2,0),"")</f>
        <v/>
      </c>
      <c r="C1072" s="5">
        <f>IFERROR(INDEX(VENTAS!$C$2:$E$1194,MATCH(A1072,VENTAS!$A$2:$A$1194,0),MATCH(PARAMS_MODELO!$B$2,{"Q1","Q2","Q3"},0)),0)</f>
        <v>0</v>
      </c>
      <c r="D1072" s="5">
        <f>IFERROR(INDEX(VENTAS!$F$2:$H$1194,MATCH(A1072,VENTAS!$A$2:$A$1194,0),MATCH(PARAMS_MODELO!$B$2,{"Q1","Q2","Q3"},0)),0)</f>
        <v>0</v>
      </c>
      <c r="E1072" s="8">
        <f t="shared" si="384"/>
        <v>0</v>
      </c>
      <c r="F1072" s="12">
        <f>IF(E1072&lt;=PARAMS_MODELO!$B$15,0,IF(E1072&gt;=PARAMS_MODELO!$B$17,100,100*MIN(1,(E1072-PARAMS_MODELO!$B$15)/(PARAMS_MODELO!$B$16-PARAMS_MODELO!$B$15))))*PARAMS_MODELO!$B$7</f>
        <v>0</v>
      </c>
      <c r="G1072" s="5">
        <f t="shared" si="385"/>
        <v>0</v>
      </c>
      <c r="H1072" s="5">
        <f>(PARAMS_MODELO!$B$20*(MAX(0,MIN(3,E1072))/3)+PARAMS_MODELO!$B$21*(IFERROR(LN(1+MAX(0,G1072))/LN(1+MAX(0,MAX($G$2:$G$1194))),0)))*100*PARAMS_MODELO!$B$8</f>
        <v>0</v>
      </c>
      <c r="I1072" s="8">
        <f>E1072-PARAMS_MODELO!$B$5</f>
        <v>-0.17756283537552653</v>
      </c>
      <c r="J1072" s="5">
        <f>IF(I1072&lt;=PARAMS_MODELO!$B$18,0,IF(I1072&gt;=PARAMS_MODELO!$B$19,100,100*(I1072-PARAMS_MODELO!$B$18)/(PARAMS_MODELO!$B$19-PARAMS_MODELO!$B$18)))*PARAMS_MODELO!$B$9</f>
        <v>0</v>
      </c>
      <c r="K1072" s="5">
        <f>IFERROR(CHOOSE(MATCH(PARAMS_MODELO!$B$2,{"Q1","Q2","Q3"},0),LOTO!$D1072,LOTO!$F1072,LOTO!$H1072),0)</f>
        <v>0</v>
      </c>
      <c r="L1072" s="8">
        <f t="shared" si="386"/>
        <v>0</v>
      </c>
      <c r="M1072" s="5">
        <f>MIN(100,IF(PARAMS_MODELO!$B$23=0,0,100*L1072/PARAMS_MODELO!$B$23))*PARAMS_MODELO!$B$10</f>
        <v>0</v>
      </c>
      <c r="N1072" s="5">
        <f>IFERROR(VLOOKUP(A1072,COMPLIANCE!$A$2:$F$1996,6,0),100)</f>
        <v>100</v>
      </c>
      <c r="O1072" s="5">
        <f>N1072*PARAMS_MODELO!$B$11</f>
        <v>10</v>
      </c>
      <c r="P1072" s="5">
        <f>IFERROR(VLOOKUP(A1072,DIGITAL!$A$2:$J$2000,7,0),100)</f>
        <v>62</v>
      </c>
      <c r="Q1072" s="5">
        <f>IFERROR(P1072,0)*PARAMS_MODELO!$B$12</f>
        <v>6.2</v>
      </c>
      <c r="R1072">
        <f t="shared" si="387"/>
        <v>16.2</v>
      </c>
      <c r="S1072" s="5" t="str">
        <f>IFERROR(VLOOKUP(A1072,CLIENTE!$A$2:$N$2000,13,0),1)</f>
        <v>Regular</v>
      </c>
      <c r="T1072" s="5">
        <f>IFERROR(VLOOKUP(A1072,CLIENTE!$A$2:$N$2000,14,0),1)</f>
        <v>1</v>
      </c>
      <c r="U1072" s="5">
        <f t="shared" si="388"/>
        <v>16.2</v>
      </c>
      <c r="V1072" s="5" t="str">
        <f>IF(U1072&gt;=MAX(_xlfn.PERCENTILE.INC($U$2:$U$1194,PARAMS_MODELO!$B$50),PARAMS_MODELO!$B$45),"DIAMANTE",IF(U1072&gt;=MAX(_xlfn.PERCENTILE.INC($U$2:$U$1194,PARAMS_MODELO!$B$51),PARAMS_MODELO!$B$46),"PLATINO",IF(U1072&gt;=MAX(_xlfn.PERCENTILE.INC($U$2:$U$1194,PARAMS_MODELO!$B$52),PARAMS_MODELO!$B$47),"ORO",IF(U1072&gt;=MAX(_xlfn.PERCENTILE.INC($U$2:$U$1194,PARAMS_MODELO!$B$53),PARAMS_MODELO!$B$48),"PLATA",IF(U1072&gt;=1,"BRONCE","CERRADO")))))</f>
        <v>BRONCE</v>
      </c>
      <c r="W1072" s="5" t="str" cm="1">
        <f t="array" ref="W1072">_xlfn.XLOOKUP(1, (HIST_SCORE!$B:$B=PARAMS_MODELO!$B$4) * (HIST_SCORE!$C:$C=A1072), HIST_SCORE!$E:$E, "No encontrado")</f>
        <v>BRONCE</v>
      </c>
      <c r="X1072" s="5" t="str">
        <f>_xlfn.LET(_xlpm.act,MATCH(V1072,{"DIAMANTE";"PLATINO";"ORO";"PLATA";"BRONCE";"CERRADO"},0),_xlpm.ant,MATCH(W1072,{"DIAMANTE";"PLATINO";"ORO";"PLATA";"BRONCE";"CERRADO"},0),IF(_xlpm.act&lt;_xlpm.ant,"Mejora ↑",IF(_xlpm.act&gt;_xlpm.ant,"Baja ↓","Estable →")))</f>
        <v>Estable →</v>
      </c>
      <c r="Y1072" s="5">
        <f>IFERROR(U1072-SUMIFS(HIST_SCORE!$D:$D,HIST_SCORE!$B:$B,PARAMS_MODELO!$B$4,HIST_SCORE!$C:$C,$A1072),"")</f>
        <v>0</v>
      </c>
      <c r="Z1072" s="5" t="str">
        <f t="shared" si="389"/>
        <v>→ Estable</v>
      </c>
      <c r="AA1072" s="5">
        <f t="shared" si="390"/>
        <v>1063</v>
      </c>
      <c r="AB1072" s="5">
        <f>IFERROR(SUMIFS(HIST_SCORE!$F:$F,HIST_SCORE!$B:$B,PARAMS_MODELO!$B$4,HIST_SCORE!$C:$C,$A1072),"")</f>
        <v>1060</v>
      </c>
      <c r="AC1072" s="5">
        <f t="shared" si="391"/>
        <v>-3</v>
      </c>
      <c r="AD1072" t="str">
        <f t="shared" si="393"/>
        <v/>
      </c>
      <c r="AE10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1072="CERRADO",1,IF(V1072="BRONCE",_xlpm.cPl,IF(V1072="PLATA",_xlpm.cO,IF(V1072="ORO",_xlpm.cP,IF(V1072="PLATINO",_xlpm.cD,999))))))</f>
        <v>24.506573482968111</v>
      </c>
      <c r="AF10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1072="CERRADO",0,IF(V1072="BRONCE",1,IF(V1072="PLATA",_xlpm.cPl,IF(V1072="ORO",_xlpm.cO,IF(V1072="PLATINO",_xlpm.cP,_xlpm.cD))))))</f>
        <v>1</v>
      </c>
      <c r="AG1072">
        <f t="shared" si="394"/>
        <v>8.3065734829681119</v>
      </c>
      <c r="AH1072" t="str">
        <f t="shared" si="395"/>
        <v>VENTAS</v>
      </c>
      <c r="AI1072" t="str">
        <f t="shared" si="392"/>
        <v>🎯 Para subir de categoría, eje VENTAS / CRECIMIENTO PERSONAL (F). Acción: metas semanales + activación comercial + seguimiento del asesor. ΔR aprox: 8,3</v>
      </c>
      <c r="AJ1072" s="26">
        <f>_xlfn.LET(_xlpm.piso,AF1072,_xlpm.corte,AE1072,_xlpm.prog,IF(_xlpm.corte&lt;=_xlpm.piso,0,MAX(0,MIN(1,(U1072-_xlpm.piso)/(_xlpm.corte-_xlpm.piso)))),_xlpm.orden,{"DIAMANTE";"PLATINO";"ORO";"PLATA";"BRONCE";"CERRADO"},_xlpm.act,IFERROR(MATCH(V1072,_xlpm.orden,0),6),_xlpm.ant,IFERROR(MATCH(W1072,_xlpm.orden,0),6),_xlpm.ajmov,IF(_xlpm.act&lt;_xlpm.ant,0.08,IF(_xlpm.act&gt;_xlpm.ant,-0.08,0)),_xlpm.ajcli,IF(T1072&lt;0.95,-0.06,0),_xlpm.prob,MAX(0,MIN(1,_xlpm.prog+_xlpm.ajmov+_xlpm.ajcli)),IF(OR(V1072="DIAMANTE",V1072="CERRADO"),0,ROUND(_xlpm.prob,2)))</f>
        <v>0.65</v>
      </c>
      <c r="AK1072" t="str">
        <f t="shared" si="396"/>
        <v>Faltan 8,3 puntos base para subir a la siguiente categoría</v>
      </c>
      <c r="AL1072" t="str">
        <f t="shared" si="397"/>
        <v>No aplica</v>
      </c>
      <c r="AM1072">
        <f t="shared" si="398"/>
        <v>0.47</v>
      </c>
      <c r="AN1072" t="str">
        <f t="shared" si="399"/>
        <v>PRIORIDAD MEDIA – seguimiento del asesor</v>
      </c>
      <c r="AO1072">
        <f t="shared" si="400"/>
        <v>64.862569275295584</v>
      </c>
      <c r="AP1072">
        <f t="shared" si="401"/>
        <v>15</v>
      </c>
      <c r="AQ1072">
        <f t="shared" si="402"/>
        <v>0</v>
      </c>
      <c r="AR1072">
        <f t="shared" si="403"/>
        <v>3.8</v>
      </c>
      <c r="AS1072">
        <f t="shared" si="404"/>
        <v>0</v>
      </c>
      <c r="AT1072" t="str">
        <f t="shared" si="405"/>
        <v>VENTAS</v>
      </c>
      <c r="AU1072">
        <f t="shared" si="406"/>
        <v>64.862569275295584</v>
      </c>
      <c r="AV1072" t="str">
        <f t="shared" si="407"/>
        <v>Mayor retorno probable: VENTAS (+64,9 puntos finales potenciales).</v>
      </c>
    </row>
    <row r="1073" spans="1:48" x14ac:dyDescent="0.3">
      <c r="A1073" s="5">
        <v>51019156</v>
      </c>
      <c r="B1073" s="5" t="str">
        <f>IFERROR(VLOOKUP(A1073,VENTAS!$A$2:$B$1194,2,0),"")</f>
        <v/>
      </c>
      <c r="C1073" s="5">
        <f>IFERROR(INDEX(VENTAS!$C$2:$E$1194,MATCH(A1073,VENTAS!$A$2:$A$1194,0),MATCH(PARAMS_MODELO!$B$2,{"Q1","Q2","Q3"},0)),0)</f>
        <v>27720</v>
      </c>
      <c r="D1073" s="5">
        <f>IFERROR(INDEX(VENTAS!$F$2:$H$1194,MATCH(A1073,VENTAS!$A$2:$A$1194,0),MATCH(PARAMS_MODELO!$B$2,{"Q1","Q2","Q3"},0)),0)</f>
        <v>0</v>
      </c>
      <c r="E1073" s="8">
        <f t="shared" si="384"/>
        <v>-1</v>
      </c>
      <c r="F1073" s="12">
        <f>IF(E1073&lt;=PARAMS_MODELO!$B$15,0,IF(E1073&gt;=PARAMS_MODELO!$B$17,100,100*MIN(1,(E1073-PARAMS_MODELO!$B$15)/(PARAMS_MODELO!$B$16-PARAMS_MODELO!$B$15))))*PARAMS_MODELO!$B$7</f>
        <v>0</v>
      </c>
      <c r="G1073" s="5">
        <f t="shared" si="385"/>
        <v>0</v>
      </c>
      <c r="H1073" s="5">
        <f>(PARAMS_MODELO!$B$20*(MAX(0,MIN(3,E1073))/3)+PARAMS_MODELO!$B$21*(IFERROR(LN(1+MAX(0,G1073))/LN(1+MAX(0,MAX($G$2:$G$1194))),0)))*100*PARAMS_MODELO!$B$8</f>
        <v>0</v>
      </c>
      <c r="I1073" s="8">
        <f>E1073-PARAMS_MODELO!$B$5</f>
        <v>-1.1775628353755265</v>
      </c>
      <c r="J1073" s="5">
        <f>IF(I1073&lt;=PARAMS_MODELO!$B$18,0,IF(I1073&gt;=PARAMS_MODELO!$B$19,100,100*(I1073-PARAMS_MODELO!$B$18)/(PARAMS_MODELO!$B$19-PARAMS_MODELO!$B$18)))*PARAMS_MODELO!$B$9</f>
        <v>0</v>
      </c>
      <c r="K1073" s="5">
        <f>IFERROR(CHOOSE(MATCH(PARAMS_MODELO!$B$2,{"Q1","Q2","Q3"},0),LOTO!$D1073,LOTO!$F1073,LOTO!$H1073),0)</f>
        <v>0</v>
      </c>
      <c r="L1073" s="8">
        <f t="shared" si="386"/>
        <v>0</v>
      </c>
      <c r="M1073" s="5">
        <f>MIN(100,IF(PARAMS_MODELO!$B$23=0,0,100*L1073/PARAMS_MODELO!$B$23))*PARAMS_MODELO!$B$10</f>
        <v>0</v>
      </c>
      <c r="N1073" s="5">
        <f>IFERROR(VLOOKUP(A1073,COMPLIANCE!$A$2:$F$1996,6,0),100)</f>
        <v>100</v>
      </c>
      <c r="O1073" s="5">
        <f>N1073*PARAMS_MODELO!$B$11</f>
        <v>10</v>
      </c>
      <c r="P1073" s="5">
        <f>IFERROR(VLOOKUP(A1073,DIGITAL!$A$2:$J$2000,7,0),100)</f>
        <v>20</v>
      </c>
      <c r="Q1073" s="5">
        <f>IFERROR(P1073,0)*PARAMS_MODELO!$B$12</f>
        <v>2</v>
      </c>
      <c r="R1073">
        <f t="shared" si="387"/>
        <v>12</v>
      </c>
      <c r="S1073" s="5" t="str">
        <f>IFERROR(VLOOKUP(A1073,CLIENTE!$A$2:$N$2000,13,0),1)</f>
        <v>Malo</v>
      </c>
      <c r="T1073" s="5">
        <f>IFERROR(VLOOKUP(A1073,CLIENTE!$A$2:$N$2000,14,0),1)</f>
        <v>0.7</v>
      </c>
      <c r="U1073" s="5">
        <f t="shared" si="388"/>
        <v>8.3999999999999986</v>
      </c>
      <c r="V1073" s="5" t="str">
        <f>IF(U1073&gt;=MAX(_xlfn.PERCENTILE.INC($U$2:$U$1194,PARAMS_MODELO!$B$50),PARAMS_MODELO!$B$45),"DIAMANTE",IF(U1073&gt;=MAX(_xlfn.PERCENTILE.INC($U$2:$U$1194,PARAMS_MODELO!$B$51),PARAMS_MODELO!$B$46),"PLATINO",IF(U1073&gt;=MAX(_xlfn.PERCENTILE.INC($U$2:$U$1194,PARAMS_MODELO!$B$52),PARAMS_MODELO!$B$47),"ORO",IF(U1073&gt;=MAX(_xlfn.PERCENTILE.INC($U$2:$U$1194,PARAMS_MODELO!$B$53),PARAMS_MODELO!$B$48),"PLATA",IF(U1073&gt;=1,"BRONCE","CERRADO")))))</f>
        <v>BRONCE</v>
      </c>
      <c r="W1073" s="5" t="str" cm="1">
        <f t="array" ref="W1073">_xlfn.XLOOKUP(1, (HIST_SCORE!$B:$B=PARAMS_MODELO!$B$4) * (HIST_SCORE!$C:$C=A1073), HIST_SCORE!$E:$E, "No encontrado")</f>
        <v>BRONCE</v>
      </c>
      <c r="X1073" s="5" t="str">
        <f>_xlfn.LET(_xlpm.act,MATCH(V1073,{"DIAMANTE";"PLATINO";"ORO";"PLATA";"BRONCE";"CERRADO"},0),_xlpm.ant,MATCH(W1073,{"DIAMANTE";"PLATINO";"ORO";"PLATA";"BRONCE";"CERRADO"},0),IF(_xlpm.act&lt;_xlpm.ant,"Mejora ↑",IF(_xlpm.act&gt;_xlpm.ant,"Baja ↓","Estable →")))</f>
        <v>Estable →</v>
      </c>
      <c r="Y1073" s="5">
        <f>IFERROR(U1073-SUMIFS(HIST_SCORE!$D:$D,HIST_SCORE!$B:$B,PARAMS_MODELO!$B$4,HIST_SCORE!$C:$C,$A1073),"")</f>
        <v>0</v>
      </c>
      <c r="Z1073" s="5" t="str">
        <f t="shared" si="389"/>
        <v>→ Estable</v>
      </c>
      <c r="AA1073" s="5">
        <f t="shared" si="390"/>
        <v>1180</v>
      </c>
      <c r="AB1073" s="5">
        <f>IFERROR(SUMIFS(HIST_SCORE!$F:$F,HIST_SCORE!$B:$B,PARAMS_MODELO!$B$4,HIST_SCORE!$C:$C,$A1073),"")</f>
        <v>1180</v>
      </c>
      <c r="AC1073" s="5">
        <f t="shared" si="391"/>
        <v>0</v>
      </c>
      <c r="AD1073" t="str">
        <f t="shared" si="393"/>
        <v/>
      </c>
      <c r="AE10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1073="CERRADO",1,IF(V1073="BRONCE",_xlpm.cPl,IF(V1073="PLATA",_xlpm.cO,IF(V1073="ORO",_xlpm.cP,IF(V1073="PLATINO",_xlpm.cD,999))))))</f>
        <v>24.506573482968111</v>
      </c>
      <c r="AF10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1073="CERRADO",0,IF(V1073="BRONCE",1,IF(V1073="PLATA",_xlpm.cPl,IF(V1073="ORO",_xlpm.cO,IF(V1073="PLATINO",_xlpm.cP,_xlpm.cD))))))</f>
        <v>1</v>
      </c>
      <c r="AG1073">
        <f t="shared" si="394"/>
        <v>23.009390689954444</v>
      </c>
      <c r="AH1073" t="str">
        <f t="shared" si="395"/>
        <v>VENTAS</v>
      </c>
      <c r="AI1073" t="str">
        <f t="shared" si="392"/>
        <v>🎯 Para subir de categoría, eje VENTAS / CRECIMIENTO PERSONAL (F). Acción: metas semanales + activación comercial + seguimiento del asesor. ΔR aprox: 23,0</v>
      </c>
      <c r="AJ1073" s="26">
        <f>_xlfn.LET(_xlpm.piso,AF1073,_xlpm.corte,AE1073,_xlpm.prog,IF(_xlpm.corte&lt;=_xlpm.piso,0,MAX(0,MIN(1,(U1073-_xlpm.piso)/(_xlpm.corte-_xlpm.piso)))),_xlpm.orden,{"DIAMANTE";"PLATINO";"ORO";"PLATA";"BRONCE";"CERRADO"},_xlpm.act,IFERROR(MATCH(V1073,_xlpm.orden,0),6),_xlpm.ant,IFERROR(MATCH(W1073,_xlpm.orden,0),6),_xlpm.ajmov,IF(_xlpm.act&lt;_xlpm.ant,0.08,IF(_xlpm.act&gt;_xlpm.ant,-0.08,0)),_xlpm.ajcli,IF(T1073&lt;0.95,-0.06,0),_xlpm.prob,MAX(0,MIN(1,_xlpm.prog+_xlpm.ajmov+_xlpm.ajcli)),IF(OR(V1073="DIAMANTE",V1073="CERRADO"),0,ROUND(_xlpm.prob,2)))</f>
        <v>0.25</v>
      </c>
      <c r="AK1073" t="str">
        <f t="shared" si="396"/>
        <v>Faltan 23,0 puntos base para subir a la siguiente categoría</v>
      </c>
      <c r="AL1073" t="str">
        <f t="shared" si="397"/>
        <v>No aplica</v>
      </c>
      <c r="AM1073">
        <f t="shared" si="398"/>
        <v>0.9</v>
      </c>
      <c r="AN1073" t="str">
        <f t="shared" si="399"/>
        <v>PRIORIDAD ALTA – requiere intervención inmediata</v>
      </c>
      <c r="AO1073">
        <f t="shared" si="400"/>
        <v>45.403798492706905</v>
      </c>
      <c r="AP1073">
        <f t="shared" si="401"/>
        <v>10.5</v>
      </c>
      <c r="AQ1073">
        <f t="shared" si="402"/>
        <v>0</v>
      </c>
      <c r="AR1073">
        <f t="shared" si="403"/>
        <v>5.6</v>
      </c>
      <c r="AS1073">
        <f t="shared" si="404"/>
        <v>3.6000000000000005</v>
      </c>
      <c r="AT1073" t="str">
        <f t="shared" si="405"/>
        <v>VENTAS</v>
      </c>
      <c r="AU1073">
        <f t="shared" si="406"/>
        <v>45.403798492706905</v>
      </c>
      <c r="AV1073" t="str">
        <f t="shared" si="407"/>
        <v>Mayor retorno probable: VENTAS (+45,4 puntos finales potenciales).</v>
      </c>
    </row>
    <row r="1074" spans="1:48" x14ac:dyDescent="0.3">
      <c r="A1074" s="5">
        <v>51019181</v>
      </c>
      <c r="B1074" s="5" t="str">
        <f>IFERROR(VLOOKUP(A1074,VENTAS!$A$2:$B$1194,2,0),"")</f>
        <v/>
      </c>
      <c r="C1074" s="5">
        <f>IFERROR(INDEX(VENTAS!$C$2:$E$1194,MATCH(A1074,VENTAS!$A$2:$A$1194,0),MATCH(PARAMS_MODELO!$B$2,{"Q1","Q2","Q3"},0)),0)</f>
        <v>405042</v>
      </c>
      <c r="D1074" s="5">
        <f>IFERROR(INDEX(VENTAS!$F$2:$H$1194,MATCH(A1074,VENTAS!$A$2:$A$1194,0),MATCH(PARAMS_MODELO!$B$2,{"Q1","Q2","Q3"},0)),0)</f>
        <v>0</v>
      </c>
      <c r="E1074" s="8">
        <f t="shared" si="384"/>
        <v>-1</v>
      </c>
      <c r="F1074" s="12">
        <f>IF(E1074&lt;=PARAMS_MODELO!$B$15,0,IF(E1074&gt;=PARAMS_MODELO!$B$17,100,100*MIN(1,(E1074-PARAMS_MODELO!$B$15)/(PARAMS_MODELO!$B$16-PARAMS_MODELO!$B$15))))*PARAMS_MODELO!$B$7</f>
        <v>0</v>
      </c>
      <c r="G1074" s="5">
        <f t="shared" si="385"/>
        <v>0</v>
      </c>
      <c r="H1074" s="5">
        <f>(PARAMS_MODELO!$B$20*(MAX(0,MIN(3,E1074))/3)+PARAMS_MODELO!$B$21*(IFERROR(LN(1+MAX(0,G1074))/LN(1+MAX(0,MAX($G$2:$G$1194))),0)))*100*PARAMS_MODELO!$B$8</f>
        <v>0</v>
      </c>
      <c r="I1074" s="8">
        <f>E1074-PARAMS_MODELO!$B$5</f>
        <v>-1.1775628353755265</v>
      </c>
      <c r="J1074" s="5">
        <f>IF(I1074&lt;=PARAMS_MODELO!$B$18,0,IF(I1074&gt;=PARAMS_MODELO!$B$19,100,100*(I1074-PARAMS_MODELO!$B$18)/(PARAMS_MODELO!$B$19-PARAMS_MODELO!$B$18)))*PARAMS_MODELO!$B$9</f>
        <v>0</v>
      </c>
      <c r="K1074" s="5">
        <f>IFERROR(CHOOSE(MATCH(PARAMS_MODELO!$B$2,{"Q1","Q2","Q3"},0),LOTO!$D1074,LOTO!$F1074,LOTO!$H1074),0)</f>
        <v>0</v>
      </c>
      <c r="L1074" s="8">
        <f t="shared" si="386"/>
        <v>0</v>
      </c>
      <c r="M1074" s="5">
        <f>MIN(100,IF(PARAMS_MODELO!$B$23=0,0,100*L1074/PARAMS_MODELO!$B$23))*PARAMS_MODELO!$B$10</f>
        <v>0</v>
      </c>
      <c r="N1074" s="5">
        <f>IFERROR(VLOOKUP(A1074,COMPLIANCE!$A$2:$F$1996,6,0),100)</f>
        <v>100</v>
      </c>
      <c r="O1074" s="5">
        <f>N1074*PARAMS_MODELO!$B$11</f>
        <v>10</v>
      </c>
      <c r="P1074" s="5">
        <f>IFERROR(VLOOKUP(A1074,DIGITAL!$A$2:$J$2000,7,0),100)</f>
        <v>91</v>
      </c>
      <c r="Q1074" s="5">
        <f>IFERROR(P1074,0)*PARAMS_MODELO!$B$12</f>
        <v>9.1</v>
      </c>
      <c r="R1074">
        <f t="shared" si="387"/>
        <v>19.100000000000001</v>
      </c>
      <c r="S1074" s="5" t="str">
        <f>IFERROR(VLOOKUP(A1074,CLIENTE!$A$2:$N$2000,13,0),1)</f>
        <v>Regular</v>
      </c>
      <c r="T1074" s="5">
        <f>IFERROR(VLOOKUP(A1074,CLIENTE!$A$2:$N$2000,14,0),1)</f>
        <v>1</v>
      </c>
      <c r="U1074" s="5">
        <f t="shared" si="388"/>
        <v>19.100000000000001</v>
      </c>
      <c r="V1074" s="5" t="str">
        <f>IF(U1074&gt;=MAX(_xlfn.PERCENTILE.INC($U$2:$U$1194,PARAMS_MODELO!$B$50),PARAMS_MODELO!$B$45),"DIAMANTE",IF(U1074&gt;=MAX(_xlfn.PERCENTILE.INC($U$2:$U$1194,PARAMS_MODELO!$B$51),PARAMS_MODELO!$B$46),"PLATINO",IF(U1074&gt;=MAX(_xlfn.PERCENTILE.INC($U$2:$U$1194,PARAMS_MODELO!$B$52),PARAMS_MODELO!$B$47),"ORO",IF(U1074&gt;=MAX(_xlfn.PERCENTILE.INC($U$2:$U$1194,PARAMS_MODELO!$B$53),PARAMS_MODELO!$B$48),"PLATA",IF(U1074&gt;=1,"BRONCE","CERRADO")))))</f>
        <v>BRONCE</v>
      </c>
      <c r="W1074" s="5" t="str" cm="1">
        <f t="array" ref="W1074">_xlfn.XLOOKUP(1, (HIST_SCORE!$B:$B=PARAMS_MODELO!$B$4) * (HIST_SCORE!$C:$C=A1074), HIST_SCORE!$E:$E, "No encontrado")</f>
        <v>BRONCE</v>
      </c>
      <c r="X1074" s="5" t="str">
        <f>_xlfn.LET(_xlpm.act,MATCH(V1074,{"DIAMANTE";"PLATINO";"ORO";"PLATA";"BRONCE";"CERRADO"},0),_xlpm.ant,MATCH(W1074,{"DIAMANTE";"PLATINO";"ORO";"PLATA";"BRONCE";"CERRADO"},0),IF(_xlpm.act&lt;_xlpm.ant,"Mejora ↑",IF(_xlpm.act&gt;_xlpm.ant,"Baja ↓","Estable →")))</f>
        <v>Estable →</v>
      </c>
      <c r="Y1074" s="5">
        <f>IFERROR(U1074-SUMIFS(HIST_SCORE!$D:$D,HIST_SCORE!$B:$B,PARAMS_MODELO!$B$4,HIST_SCORE!$C:$C,$A1074),"")</f>
        <v>0</v>
      </c>
      <c r="Z1074" s="5" t="str">
        <f t="shared" si="389"/>
        <v>→ Estable</v>
      </c>
      <c r="AA1074" s="5">
        <f t="shared" si="390"/>
        <v>1000</v>
      </c>
      <c r="AB1074" s="5">
        <f>IFERROR(SUMIFS(HIST_SCORE!$F:$F,HIST_SCORE!$B:$B,PARAMS_MODELO!$B$4,HIST_SCORE!$C:$C,$A1074),"")</f>
        <v>1005</v>
      </c>
      <c r="AC1074" s="5">
        <f t="shared" si="391"/>
        <v>5</v>
      </c>
      <c r="AD1074" t="str">
        <f t="shared" si="393"/>
        <v/>
      </c>
      <c r="AE10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1074="CERRADO",1,IF(V1074="BRONCE",_xlpm.cPl,IF(V1074="PLATA",_xlpm.cO,IF(V1074="ORO",_xlpm.cP,IF(V1074="PLATINO",_xlpm.cD,999))))))</f>
        <v>24.506573482968111</v>
      </c>
      <c r="AF10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1074="CERRADO",0,IF(V1074="BRONCE",1,IF(V1074="PLATA",_xlpm.cPl,IF(V1074="ORO",_xlpm.cO,IF(V1074="PLATINO",_xlpm.cP,_xlpm.cD))))))</f>
        <v>1</v>
      </c>
      <c r="AG1074">
        <f t="shared" si="394"/>
        <v>5.4065734829681098</v>
      </c>
      <c r="AH1074" t="str">
        <f t="shared" si="395"/>
        <v>VENTAS</v>
      </c>
      <c r="AI1074" t="str">
        <f t="shared" si="392"/>
        <v>🎯 Para subir de categoría, eje VENTAS / CRECIMIENTO PERSONAL (F). Acción: metas semanales + activación comercial + seguimiento del asesor. ΔR aprox: 5,4</v>
      </c>
      <c r="AJ1074" s="26">
        <f>_xlfn.LET(_xlpm.piso,AF1074,_xlpm.corte,AE1074,_xlpm.prog,IF(_xlpm.corte&lt;=_xlpm.piso,0,MAX(0,MIN(1,(U1074-_xlpm.piso)/(_xlpm.corte-_xlpm.piso)))),_xlpm.orden,{"DIAMANTE";"PLATINO";"ORO";"PLATA";"BRONCE";"CERRADO"},_xlpm.act,IFERROR(MATCH(V1074,_xlpm.orden,0),6),_xlpm.ant,IFERROR(MATCH(W1074,_xlpm.orden,0),6),_xlpm.ajmov,IF(_xlpm.act&lt;_xlpm.ant,0.08,IF(_xlpm.act&gt;_xlpm.ant,-0.08,0)),_xlpm.ajcli,IF(T1074&lt;0.95,-0.06,0),_xlpm.prob,MAX(0,MIN(1,_xlpm.prog+_xlpm.ajmov+_xlpm.ajcli)),IF(OR(V1074="DIAMANTE",V1074="CERRADO"),0,ROUND(_xlpm.prob,2)))</f>
        <v>0.77</v>
      </c>
      <c r="AK1074" t="str">
        <f t="shared" si="396"/>
        <v>Faltan 5,4 puntos base para subir a la siguiente categoría</v>
      </c>
      <c r="AL1074" t="str">
        <f t="shared" si="397"/>
        <v>No aplica</v>
      </c>
      <c r="AM1074">
        <f t="shared" si="398"/>
        <v>0.31</v>
      </c>
      <c r="AN1074" t="str">
        <f t="shared" si="399"/>
        <v>PRIORIDAD BAJA – control normal</v>
      </c>
      <c r="AO1074">
        <f t="shared" si="400"/>
        <v>64.862569275295584</v>
      </c>
      <c r="AP1074">
        <f t="shared" si="401"/>
        <v>15</v>
      </c>
      <c r="AQ1074">
        <f t="shared" si="402"/>
        <v>0</v>
      </c>
      <c r="AR1074">
        <f t="shared" si="403"/>
        <v>0.90000000000000036</v>
      </c>
      <c r="AS1074">
        <f t="shared" si="404"/>
        <v>0</v>
      </c>
      <c r="AT1074" t="str">
        <f t="shared" si="405"/>
        <v>VENTAS</v>
      </c>
      <c r="AU1074">
        <f t="shared" si="406"/>
        <v>64.862569275295584</v>
      </c>
      <c r="AV1074" t="str">
        <f t="shared" si="407"/>
        <v>Mayor retorno probable: VENTAS (+64,9 puntos finales potenciales).</v>
      </c>
    </row>
    <row r="1075" spans="1:48" x14ac:dyDescent="0.3">
      <c r="A1075" s="5">
        <v>51019237</v>
      </c>
      <c r="B1075" s="5" t="str">
        <f>IFERROR(VLOOKUP(A1075,VENTAS!$A$2:$B$1194,2,0),"")</f>
        <v/>
      </c>
      <c r="C1075" s="5">
        <f>IFERROR(INDEX(VENTAS!$C$2:$E$1194,MATCH(A1075,VENTAS!$A$2:$A$1194,0),MATCH(PARAMS_MODELO!$B$2,{"Q1","Q2","Q3"},0)),0)</f>
        <v>0</v>
      </c>
      <c r="D1075" s="5">
        <f>IFERROR(INDEX(VENTAS!$F$2:$H$1194,MATCH(A1075,VENTAS!$A$2:$A$1194,0),MATCH(PARAMS_MODELO!$B$2,{"Q1","Q2","Q3"},0)),0)</f>
        <v>0</v>
      </c>
      <c r="E1075" s="8">
        <f t="shared" si="384"/>
        <v>0</v>
      </c>
      <c r="F1075" s="12">
        <f>IF(E1075&lt;=PARAMS_MODELO!$B$15,0,IF(E1075&gt;=PARAMS_MODELO!$B$17,100,100*MIN(1,(E1075-PARAMS_MODELO!$B$15)/(PARAMS_MODELO!$B$16-PARAMS_MODELO!$B$15))))*PARAMS_MODELO!$B$7</f>
        <v>0</v>
      </c>
      <c r="G1075" s="5">
        <f t="shared" si="385"/>
        <v>0</v>
      </c>
      <c r="H1075" s="5">
        <f>(PARAMS_MODELO!$B$20*(MAX(0,MIN(3,E1075))/3)+PARAMS_MODELO!$B$21*(IFERROR(LN(1+MAX(0,G1075))/LN(1+MAX(0,MAX($G$2:$G$1194))),0)))*100*PARAMS_MODELO!$B$8</f>
        <v>0</v>
      </c>
      <c r="I1075" s="8">
        <f>E1075-PARAMS_MODELO!$B$5</f>
        <v>-0.17756283537552653</v>
      </c>
      <c r="J1075" s="5">
        <f>IF(I1075&lt;=PARAMS_MODELO!$B$18,0,IF(I1075&gt;=PARAMS_MODELO!$B$19,100,100*(I1075-PARAMS_MODELO!$B$18)/(PARAMS_MODELO!$B$19-PARAMS_MODELO!$B$18)))*PARAMS_MODELO!$B$9</f>
        <v>0</v>
      </c>
      <c r="K1075" s="5">
        <f>IFERROR(CHOOSE(MATCH(PARAMS_MODELO!$B$2,{"Q1","Q2","Q3"},0),LOTO!$D1075,LOTO!$F1075,LOTO!$H1075),0)</f>
        <v>0</v>
      </c>
      <c r="L1075" s="8">
        <f t="shared" si="386"/>
        <v>0</v>
      </c>
      <c r="M1075" s="5">
        <f>MIN(100,IF(PARAMS_MODELO!$B$23=0,0,100*L1075/PARAMS_MODELO!$B$23))*PARAMS_MODELO!$B$10</f>
        <v>0</v>
      </c>
      <c r="N1075" s="5">
        <f>IFERROR(VLOOKUP(A1075,COMPLIANCE!$A$2:$F$1996,6,0),100)</f>
        <v>100</v>
      </c>
      <c r="O1075" s="5">
        <f>N1075*PARAMS_MODELO!$B$11</f>
        <v>10</v>
      </c>
      <c r="P1075" s="5">
        <f>IFERROR(VLOOKUP(A1075,DIGITAL!$A$2:$J$2000,7,0),100)</f>
        <v>74</v>
      </c>
      <c r="Q1075" s="5">
        <f>IFERROR(P1075,0)*PARAMS_MODELO!$B$12</f>
        <v>7.4</v>
      </c>
      <c r="R1075">
        <f t="shared" si="387"/>
        <v>17.399999999999999</v>
      </c>
      <c r="S1075" s="5" t="str">
        <f>IFERROR(VLOOKUP(A1075,CLIENTE!$A$2:$N$2000,13,0),1)</f>
        <v>Bueno</v>
      </c>
      <c r="T1075" s="5">
        <f>IFERROR(VLOOKUP(A1075,CLIENTE!$A$2:$N$2000,14,0),1)</f>
        <v>1.1000000000000001</v>
      </c>
      <c r="U1075" s="5">
        <f t="shared" si="388"/>
        <v>19.14</v>
      </c>
      <c r="V1075" s="5" t="str">
        <f>IF(U1075&gt;=MAX(_xlfn.PERCENTILE.INC($U$2:$U$1194,PARAMS_MODELO!$B$50),PARAMS_MODELO!$B$45),"DIAMANTE",IF(U1075&gt;=MAX(_xlfn.PERCENTILE.INC($U$2:$U$1194,PARAMS_MODELO!$B$51),PARAMS_MODELO!$B$46),"PLATINO",IF(U1075&gt;=MAX(_xlfn.PERCENTILE.INC($U$2:$U$1194,PARAMS_MODELO!$B$52),PARAMS_MODELO!$B$47),"ORO",IF(U1075&gt;=MAX(_xlfn.PERCENTILE.INC($U$2:$U$1194,PARAMS_MODELO!$B$53),PARAMS_MODELO!$B$48),"PLATA",IF(U1075&gt;=1,"BRONCE","CERRADO")))))</f>
        <v>BRONCE</v>
      </c>
      <c r="W1075" s="5" t="str" cm="1">
        <f t="array" ref="W1075">_xlfn.XLOOKUP(1, (HIST_SCORE!$B:$B=PARAMS_MODELO!$B$4) * (HIST_SCORE!$C:$C=A1075), HIST_SCORE!$E:$E, "No encontrado")</f>
        <v>BRONCE</v>
      </c>
      <c r="X1075" s="5" t="str">
        <f>_xlfn.LET(_xlpm.act,MATCH(V1075,{"DIAMANTE";"PLATINO";"ORO";"PLATA";"BRONCE";"CERRADO"},0),_xlpm.ant,MATCH(W1075,{"DIAMANTE";"PLATINO";"ORO";"PLATA";"BRONCE";"CERRADO"},0),IF(_xlpm.act&lt;_xlpm.ant,"Mejora ↑",IF(_xlpm.act&gt;_xlpm.ant,"Baja ↓","Estable →")))</f>
        <v>Estable →</v>
      </c>
      <c r="Y1075" s="5">
        <f>IFERROR(U1075-SUMIFS(HIST_SCORE!$D:$D,HIST_SCORE!$B:$B,PARAMS_MODELO!$B$4,HIST_SCORE!$C:$C,$A1075),"")</f>
        <v>0</v>
      </c>
      <c r="Z1075" s="5" t="str">
        <f t="shared" si="389"/>
        <v>→ Estable</v>
      </c>
      <c r="AA1075" s="5">
        <f t="shared" si="390"/>
        <v>998</v>
      </c>
      <c r="AB1075" s="5">
        <f>IFERROR(SUMIFS(HIST_SCORE!$F:$F,HIST_SCORE!$B:$B,PARAMS_MODELO!$B$4,HIST_SCORE!$C:$C,$A1075),"")</f>
        <v>1003</v>
      </c>
      <c r="AC1075" s="5">
        <f t="shared" si="391"/>
        <v>5</v>
      </c>
      <c r="AD1075" t="str">
        <f t="shared" si="393"/>
        <v/>
      </c>
      <c r="AE10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1075="CERRADO",1,IF(V1075="BRONCE",_xlpm.cPl,IF(V1075="PLATA",_xlpm.cO,IF(V1075="ORO",_xlpm.cP,IF(V1075="PLATINO",_xlpm.cD,999))))))</f>
        <v>24.506573482968111</v>
      </c>
      <c r="AF10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1075="CERRADO",0,IF(V1075="BRONCE",1,IF(V1075="PLATA",_xlpm.cPl,IF(V1075="ORO",_xlpm.cO,IF(V1075="PLATINO",_xlpm.cP,_xlpm.cD))))))</f>
        <v>1</v>
      </c>
      <c r="AG1075">
        <f t="shared" si="394"/>
        <v>4.8787031663346454</v>
      </c>
      <c r="AH1075" t="str">
        <f t="shared" si="395"/>
        <v>VENTAS</v>
      </c>
      <c r="AI1075" t="str">
        <f t="shared" si="392"/>
        <v>🎯 Para subir de categoría, eje VENTAS / CRECIMIENTO PERSONAL (F). Acción: metas semanales + activación comercial + seguimiento del asesor. ΔR aprox: 4,9</v>
      </c>
      <c r="AJ1075" s="26">
        <f>_xlfn.LET(_xlpm.piso,AF1075,_xlpm.corte,AE1075,_xlpm.prog,IF(_xlpm.corte&lt;=_xlpm.piso,0,MAX(0,MIN(1,(U1075-_xlpm.piso)/(_xlpm.corte-_xlpm.piso)))),_xlpm.orden,{"DIAMANTE";"PLATINO";"ORO";"PLATA";"BRONCE";"CERRADO"},_xlpm.act,IFERROR(MATCH(V1075,_xlpm.orden,0),6),_xlpm.ant,IFERROR(MATCH(W1075,_xlpm.orden,0),6),_xlpm.ajmov,IF(_xlpm.act&lt;_xlpm.ant,0.08,IF(_xlpm.act&gt;_xlpm.ant,-0.08,0)),_xlpm.ajcli,IF(T1075&lt;0.95,-0.06,0),_xlpm.prob,MAX(0,MIN(1,_xlpm.prog+_xlpm.ajmov+_xlpm.ajcli)),IF(OR(V1075="DIAMANTE",V1075="CERRADO"),0,ROUND(_xlpm.prob,2)))</f>
        <v>0.77</v>
      </c>
      <c r="AK1075" t="str">
        <f t="shared" si="396"/>
        <v>Faltan 4,9 puntos base para subir a la siguiente categoría</v>
      </c>
      <c r="AL1075" t="str">
        <f t="shared" si="397"/>
        <v>No aplica</v>
      </c>
      <c r="AM1075">
        <f t="shared" si="398"/>
        <v>0.28999999999999998</v>
      </c>
      <c r="AN1075" t="str">
        <f t="shared" si="399"/>
        <v>PRIORIDAD BAJA – control normal</v>
      </c>
      <c r="AO1075">
        <f t="shared" si="400"/>
        <v>71.348826202825151</v>
      </c>
      <c r="AP1075">
        <f t="shared" si="401"/>
        <v>16.5</v>
      </c>
      <c r="AQ1075">
        <f t="shared" si="402"/>
        <v>0</v>
      </c>
      <c r="AR1075">
        <f t="shared" si="403"/>
        <v>2.86</v>
      </c>
      <c r="AS1075">
        <f t="shared" si="404"/>
        <v>0</v>
      </c>
      <c r="AT1075" t="str">
        <f t="shared" si="405"/>
        <v>VENTAS</v>
      </c>
      <c r="AU1075">
        <f t="shared" si="406"/>
        <v>71.348826202825151</v>
      </c>
      <c r="AV1075" t="str">
        <f t="shared" si="407"/>
        <v>Mayor retorno probable: VENTAS (+71,3 puntos finales potenciales).</v>
      </c>
    </row>
    <row r="1076" spans="1:48" x14ac:dyDescent="0.3">
      <c r="A1076" s="5">
        <v>51019351</v>
      </c>
      <c r="B1076" s="5" t="str">
        <f>IFERROR(VLOOKUP(A1076,VENTAS!$A$2:$B$1194,2,0),"")</f>
        <v/>
      </c>
      <c r="C1076" s="5">
        <f>IFERROR(INDEX(VENTAS!$C$2:$E$1194,MATCH(A1076,VENTAS!$A$2:$A$1194,0),MATCH(PARAMS_MODELO!$B$2,{"Q1","Q2","Q3"},0)),0)</f>
        <v>23062785.309999999</v>
      </c>
      <c r="D1076" s="5">
        <f>IFERROR(INDEX(VENTAS!$F$2:$H$1194,MATCH(A1076,VENTAS!$A$2:$A$1194,0),MATCH(PARAMS_MODELO!$B$2,{"Q1","Q2","Q3"},0)),0)</f>
        <v>0</v>
      </c>
      <c r="E1076" s="8">
        <f t="shared" si="384"/>
        <v>-1</v>
      </c>
      <c r="F1076" s="12">
        <f>IF(E1076&lt;=PARAMS_MODELO!$B$15,0,IF(E1076&gt;=PARAMS_MODELO!$B$17,100,100*MIN(1,(E1076-PARAMS_MODELO!$B$15)/(PARAMS_MODELO!$B$16-PARAMS_MODELO!$B$15))))*PARAMS_MODELO!$B$7</f>
        <v>0</v>
      </c>
      <c r="G1076" s="5">
        <f t="shared" si="385"/>
        <v>0</v>
      </c>
      <c r="H1076" s="5">
        <f>(PARAMS_MODELO!$B$20*(MAX(0,MIN(3,E1076))/3)+PARAMS_MODELO!$B$21*(IFERROR(LN(1+MAX(0,G1076))/LN(1+MAX(0,MAX($G$2:$G$1194))),0)))*100*PARAMS_MODELO!$B$8</f>
        <v>0</v>
      </c>
      <c r="I1076" s="8">
        <f>E1076-PARAMS_MODELO!$B$5</f>
        <v>-1.1775628353755265</v>
      </c>
      <c r="J1076" s="5">
        <f>IF(I1076&lt;=PARAMS_MODELO!$B$18,0,IF(I1076&gt;=PARAMS_MODELO!$B$19,100,100*(I1076-PARAMS_MODELO!$B$18)/(PARAMS_MODELO!$B$19-PARAMS_MODELO!$B$18)))*PARAMS_MODELO!$B$9</f>
        <v>0</v>
      </c>
      <c r="K1076" s="5">
        <f>IFERROR(CHOOSE(MATCH(PARAMS_MODELO!$B$2,{"Q1","Q2","Q3"},0),LOTO!$D1076,LOTO!$F1076,LOTO!$H1076),0)</f>
        <v>0</v>
      </c>
      <c r="L1076" s="8">
        <f t="shared" si="386"/>
        <v>0</v>
      </c>
      <c r="M1076" s="5">
        <f>MIN(100,IF(PARAMS_MODELO!$B$23=0,0,100*L1076/PARAMS_MODELO!$B$23))*PARAMS_MODELO!$B$10</f>
        <v>0</v>
      </c>
      <c r="N1076" s="5">
        <f>IFERROR(VLOOKUP(A1076,COMPLIANCE!$A$2:$F$1996,6,0),100)</f>
        <v>100</v>
      </c>
      <c r="O1076" s="5">
        <f>N1076*PARAMS_MODELO!$B$11</f>
        <v>10</v>
      </c>
      <c r="P1076" s="5">
        <f>IFERROR(VLOOKUP(A1076,DIGITAL!$A$2:$J$2000,7,0),100)</f>
        <v>48</v>
      </c>
      <c r="Q1076" s="5">
        <f>IFERROR(P1076,0)*PARAMS_MODELO!$B$12</f>
        <v>4.8000000000000007</v>
      </c>
      <c r="R1076">
        <f t="shared" si="387"/>
        <v>14.8</v>
      </c>
      <c r="S1076" s="5" t="str">
        <f>IFERROR(VLOOKUP(A1076,CLIENTE!$A$2:$N$2000,13,0),1)</f>
        <v>Regular</v>
      </c>
      <c r="T1076" s="5">
        <f>IFERROR(VLOOKUP(A1076,CLIENTE!$A$2:$N$2000,14,0),1)</f>
        <v>1</v>
      </c>
      <c r="U1076" s="5">
        <f t="shared" si="388"/>
        <v>14.8</v>
      </c>
      <c r="V1076" s="5" t="str">
        <f>IF(U1076&gt;=MAX(_xlfn.PERCENTILE.INC($U$2:$U$1194,PARAMS_MODELO!$B$50),PARAMS_MODELO!$B$45),"DIAMANTE",IF(U1076&gt;=MAX(_xlfn.PERCENTILE.INC($U$2:$U$1194,PARAMS_MODELO!$B$51),PARAMS_MODELO!$B$46),"PLATINO",IF(U1076&gt;=MAX(_xlfn.PERCENTILE.INC($U$2:$U$1194,PARAMS_MODELO!$B$52),PARAMS_MODELO!$B$47),"ORO",IF(U1076&gt;=MAX(_xlfn.PERCENTILE.INC($U$2:$U$1194,PARAMS_MODELO!$B$53),PARAMS_MODELO!$B$48),"PLATA",IF(U1076&gt;=1,"BRONCE","CERRADO")))))</f>
        <v>BRONCE</v>
      </c>
      <c r="W1076" s="5" t="str" cm="1">
        <f t="array" ref="W1076">_xlfn.XLOOKUP(1, (HIST_SCORE!$B:$B=PARAMS_MODELO!$B$4) * (HIST_SCORE!$C:$C=A1076), HIST_SCORE!$E:$E, "No encontrado")</f>
        <v>BRONCE</v>
      </c>
      <c r="X1076" s="5" t="str">
        <f>_xlfn.LET(_xlpm.act,MATCH(V1076,{"DIAMANTE";"PLATINO";"ORO";"PLATA";"BRONCE";"CERRADO"},0),_xlpm.ant,MATCH(W1076,{"DIAMANTE";"PLATINO";"ORO";"PLATA";"BRONCE";"CERRADO"},0),IF(_xlpm.act&lt;_xlpm.ant,"Mejora ↑",IF(_xlpm.act&gt;_xlpm.ant,"Baja ↓","Estable →")))</f>
        <v>Estable →</v>
      </c>
      <c r="Y1076" s="5">
        <f>IFERROR(U1076-SUMIFS(HIST_SCORE!$D:$D,HIST_SCORE!$B:$B,PARAMS_MODELO!$B$4,HIST_SCORE!$C:$C,$A1076),"")</f>
        <v>0</v>
      </c>
      <c r="Z1076" s="5" t="str">
        <f t="shared" si="389"/>
        <v>→ Estable</v>
      </c>
      <c r="AA1076" s="5">
        <f t="shared" si="390"/>
        <v>1081</v>
      </c>
      <c r="AB1076" s="5">
        <f>IFERROR(SUMIFS(HIST_SCORE!$F:$F,HIST_SCORE!$B:$B,PARAMS_MODELO!$B$4,HIST_SCORE!$C:$C,$A1076),"")</f>
        <v>1078</v>
      </c>
      <c r="AC1076" s="5">
        <f t="shared" si="391"/>
        <v>-3</v>
      </c>
      <c r="AD1076" t="str">
        <f t="shared" si="393"/>
        <v/>
      </c>
      <c r="AE10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1076="CERRADO",1,IF(V1076="BRONCE",_xlpm.cPl,IF(V1076="PLATA",_xlpm.cO,IF(V1076="ORO",_xlpm.cP,IF(V1076="PLATINO",_xlpm.cD,999))))))</f>
        <v>24.506573482968111</v>
      </c>
      <c r="AF10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1076="CERRADO",0,IF(V1076="BRONCE",1,IF(V1076="PLATA",_xlpm.cPl,IF(V1076="ORO",_xlpm.cO,IF(V1076="PLATINO",_xlpm.cP,_xlpm.cD))))))</f>
        <v>1</v>
      </c>
      <c r="AG1076">
        <f t="shared" si="394"/>
        <v>9.7065734829681105</v>
      </c>
      <c r="AH1076" t="str">
        <f t="shared" si="395"/>
        <v>VENTAS</v>
      </c>
      <c r="AI1076" t="str">
        <f t="shared" si="392"/>
        <v>🎯 Para subir de categoría, eje VENTAS / CRECIMIENTO PERSONAL (F). Acción: metas semanales + activación comercial + seguimiento del asesor. ΔR aprox: 9,7</v>
      </c>
      <c r="AJ1076" s="26">
        <f>_xlfn.LET(_xlpm.piso,AF1076,_xlpm.corte,AE1076,_xlpm.prog,IF(_xlpm.corte&lt;=_xlpm.piso,0,MAX(0,MIN(1,(U1076-_xlpm.piso)/(_xlpm.corte-_xlpm.piso)))),_xlpm.orden,{"DIAMANTE";"PLATINO";"ORO";"PLATA";"BRONCE";"CERRADO"},_xlpm.act,IFERROR(MATCH(V1076,_xlpm.orden,0),6),_xlpm.ant,IFERROR(MATCH(W1076,_xlpm.orden,0),6),_xlpm.ajmov,IF(_xlpm.act&lt;_xlpm.ant,0.08,IF(_xlpm.act&gt;_xlpm.ant,-0.08,0)),_xlpm.ajcli,IF(T1076&lt;0.95,-0.06,0),_xlpm.prob,MAX(0,MIN(1,_xlpm.prog+_xlpm.ajmov+_xlpm.ajcli)),IF(OR(V1076="DIAMANTE",V1076="CERRADO"),0,ROUND(_xlpm.prob,2)))</f>
        <v>0.59</v>
      </c>
      <c r="AK1076" t="str">
        <f t="shared" si="396"/>
        <v>Faltan 9,7 puntos base para subir a la siguiente categoría</v>
      </c>
      <c r="AL1076" t="str">
        <f t="shared" si="397"/>
        <v>No aplica</v>
      </c>
      <c r="AM1076">
        <f t="shared" si="398"/>
        <v>0.55000000000000004</v>
      </c>
      <c r="AN1076" t="str">
        <f t="shared" si="399"/>
        <v>PRIORIDAD MEDIA – seguimiento del asesor</v>
      </c>
      <c r="AO1076">
        <f t="shared" si="400"/>
        <v>64.862569275295584</v>
      </c>
      <c r="AP1076">
        <f t="shared" si="401"/>
        <v>15</v>
      </c>
      <c r="AQ1076">
        <f t="shared" si="402"/>
        <v>0</v>
      </c>
      <c r="AR1076">
        <f t="shared" si="403"/>
        <v>5.1999999999999993</v>
      </c>
      <c r="AS1076">
        <f t="shared" si="404"/>
        <v>0</v>
      </c>
      <c r="AT1076" t="str">
        <f t="shared" si="405"/>
        <v>VENTAS</v>
      </c>
      <c r="AU1076">
        <f t="shared" si="406"/>
        <v>64.862569275295584</v>
      </c>
      <c r="AV1076" t="str">
        <f t="shared" si="407"/>
        <v>Mayor retorno probable: VENTAS (+64,9 puntos finales potenciales).</v>
      </c>
    </row>
    <row r="1077" spans="1:48" x14ac:dyDescent="0.3">
      <c r="A1077" s="5">
        <v>51019725</v>
      </c>
      <c r="B1077" s="5" t="str">
        <f>IFERROR(VLOOKUP(A1077,VENTAS!$A$2:$B$1194,2,0),"")</f>
        <v/>
      </c>
      <c r="C1077" s="5">
        <f>IFERROR(INDEX(VENTAS!$C$2:$E$1194,MATCH(A1077,VENTAS!$A$2:$A$1194,0),MATCH(PARAMS_MODELO!$B$2,{"Q1","Q2","Q3"},0)),0)</f>
        <v>57637557.100000009</v>
      </c>
      <c r="D1077" s="5">
        <f>IFERROR(INDEX(VENTAS!$F$2:$H$1194,MATCH(A1077,VENTAS!$A$2:$A$1194,0),MATCH(PARAMS_MODELO!$B$2,{"Q1","Q2","Q3"},0)),0)</f>
        <v>0</v>
      </c>
      <c r="E1077" s="8">
        <f t="shared" si="384"/>
        <v>-1</v>
      </c>
      <c r="F1077" s="12">
        <f>IF(E1077&lt;=PARAMS_MODELO!$B$15,0,IF(E1077&gt;=PARAMS_MODELO!$B$17,100,100*MIN(1,(E1077-PARAMS_MODELO!$B$15)/(PARAMS_MODELO!$B$16-PARAMS_MODELO!$B$15))))*PARAMS_MODELO!$B$7</f>
        <v>0</v>
      </c>
      <c r="G1077" s="5">
        <f t="shared" si="385"/>
        <v>0</v>
      </c>
      <c r="H1077" s="5">
        <f>(PARAMS_MODELO!$B$20*(MAX(0,MIN(3,E1077))/3)+PARAMS_MODELO!$B$21*(IFERROR(LN(1+MAX(0,G1077))/LN(1+MAX(0,MAX($G$2:$G$1194))),0)))*100*PARAMS_MODELO!$B$8</f>
        <v>0</v>
      </c>
      <c r="I1077" s="8">
        <f>E1077-PARAMS_MODELO!$B$5</f>
        <v>-1.1775628353755265</v>
      </c>
      <c r="J1077" s="5">
        <f>IF(I1077&lt;=PARAMS_MODELO!$B$18,0,IF(I1077&gt;=PARAMS_MODELO!$B$19,100,100*(I1077-PARAMS_MODELO!$B$18)/(PARAMS_MODELO!$B$19-PARAMS_MODELO!$B$18)))*PARAMS_MODELO!$B$9</f>
        <v>0</v>
      </c>
      <c r="K1077" s="5">
        <f>IFERROR(CHOOSE(MATCH(PARAMS_MODELO!$B$2,{"Q1","Q2","Q3"},0),LOTO!$D1077,LOTO!$F1077,LOTO!$H1077),0)</f>
        <v>0</v>
      </c>
      <c r="L1077" s="8">
        <f t="shared" si="386"/>
        <v>0</v>
      </c>
      <c r="M1077" s="5">
        <f>MIN(100,IF(PARAMS_MODELO!$B$23=0,0,100*L1077/PARAMS_MODELO!$B$23))*PARAMS_MODELO!$B$10</f>
        <v>0</v>
      </c>
      <c r="N1077" s="5">
        <f>IFERROR(VLOOKUP(A1077,COMPLIANCE!$A$2:$F$1996,6,0),100)</f>
        <v>100</v>
      </c>
      <c r="O1077" s="5">
        <f>N1077*PARAMS_MODELO!$B$11</f>
        <v>10</v>
      </c>
      <c r="P1077" s="5">
        <f>IFERROR(VLOOKUP(A1077,DIGITAL!$A$2:$J$2000,7,0),100)</f>
        <v>84</v>
      </c>
      <c r="Q1077" s="5">
        <f>IFERROR(P1077,0)*PARAMS_MODELO!$B$12</f>
        <v>8.4</v>
      </c>
      <c r="R1077">
        <f t="shared" si="387"/>
        <v>18.399999999999999</v>
      </c>
      <c r="S1077" s="5" t="str">
        <f>IFERROR(VLOOKUP(A1077,CLIENTE!$A$2:$N$2000,13,0),1)</f>
        <v>Bueno</v>
      </c>
      <c r="T1077" s="5">
        <f>IFERROR(VLOOKUP(A1077,CLIENTE!$A$2:$N$2000,14,0),1)</f>
        <v>1.1000000000000001</v>
      </c>
      <c r="U1077" s="5">
        <f t="shared" si="388"/>
        <v>20.239999999999998</v>
      </c>
      <c r="V1077" s="5" t="str">
        <f>IF(U1077&gt;=MAX(_xlfn.PERCENTILE.INC($U$2:$U$1194,PARAMS_MODELO!$B$50),PARAMS_MODELO!$B$45),"DIAMANTE",IF(U1077&gt;=MAX(_xlfn.PERCENTILE.INC($U$2:$U$1194,PARAMS_MODELO!$B$51),PARAMS_MODELO!$B$46),"PLATINO",IF(U1077&gt;=MAX(_xlfn.PERCENTILE.INC($U$2:$U$1194,PARAMS_MODELO!$B$52),PARAMS_MODELO!$B$47),"ORO",IF(U1077&gt;=MAX(_xlfn.PERCENTILE.INC($U$2:$U$1194,PARAMS_MODELO!$B$53),PARAMS_MODELO!$B$48),"PLATA",IF(U1077&gt;=1,"BRONCE","CERRADO")))))</f>
        <v>BRONCE</v>
      </c>
      <c r="W1077" s="5" t="str" cm="1">
        <f t="array" ref="W1077">_xlfn.XLOOKUP(1, (HIST_SCORE!$B:$B=PARAMS_MODELO!$B$4) * (HIST_SCORE!$C:$C=A1077), HIST_SCORE!$E:$E, "No encontrado")</f>
        <v>PLATA</v>
      </c>
      <c r="X1077" s="5" t="str">
        <f>_xlfn.LET(_xlpm.act,MATCH(V1077,{"DIAMANTE";"PLATINO";"ORO";"PLATA";"BRONCE";"CERRADO"},0),_xlpm.ant,MATCH(W1077,{"DIAMANTE";"PLATINO";"ORO";"PLATA";"BRONCE";"CERRADO"},0),IF(_xlpm.act&lt;_xlpm.ant,"Mejora ↑",IF(_xlpm.act&gt;_xlpm.ant,"Baja ↓","Estable →")))</f>
        <v>Baja ↓</v>
      </c>
      <c r="Y1077" s="5">
        <f>IFERROR(U1077-SUMIFS(HIST_SCORE!$D:$D,HIST_SCORE!$B:$B,PARAMS_MODELO!$B$4,HIST_SCORE!$C:$C,$A1077),"")</f>
        <v>-16.500000000000004</v>
      </c>
      <c r="Z1077" s="5" t="str">
        <f t="shared" si="389"/>
        <v>↓ Baja</v>
      </c>
      <c r="AA1077" s="5">
        <f t="shared" si="390"/>
        <v>974</v>
      </c>
      <c r="AB1077" s="5">
        <f>IFERROR(SUMIFS(HIST_SCORE!$F:$F,HIST_SCORE!$B:$B,PARAMS_MODELO!$B$4,HIST_SCORE!$C:$C,$A1077),"")</f>
        <v>859</v>
      </c>
      <c r="AC1077" s="5">
        <f t="shared" si="391"/>
        <v>-115</v>
      </c>
      <c r="AD1077" t="str">
        <f t="shared" si="393"/>
        <v>Plan de recuperación: foco crecimiento + mix</v>
      </c>
      <c r="AE10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1077="CERRADO",1,IF(V1077="BRONCE",_xlpm.cPl,IF(V1077="PLATA",_xlpm.cO,IF(V1077="ORO",_xlpm.cP,IF(V1077="PLATINO",_xlpm.cD,999))))))</f>
        <v>24.506573482968111</v>
      </c>
      <c r="AF10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1077="CERRADO",0,IF(V1077="BRONCE",1,IF(V1077="PLATA",_xlpm.cPl,IF(V1077="ORO",_xlpm.cO,IF(V1077="PLATINO",_xlpm.cP,_xlpm.cD))))))</f>
        <v>1</v>
      </c>
      <c r="AG1077">
        <f t="shared" si="394"/>
        <v>3.8787031663346454</v>
      </c>
      <c r="AH1077" t="str">
        <f t="shared" si="395"/>
        <v>VENTAS</v>
      </c>
      <c r="AI1077" t="str">
        <f t="shared" si="392"/>
        <v>🎯 Para subir de categoría, eje VENTAS / CRECIMIENTO PERSONAL (F). Acción: metas semanales + activación comercial + seguimiento del asesor. ΔR aprox: 3,9</v>
      </c>
      <c r="AJ1077" s="26">
        <f>_xlfn.LET(_xlpm.piso,AF1077,_xlpm.corte,AE1077,_xlpm.prog,IF(_xlpm.corte&lt;=_xlpm.piso,0,MAX(0,MIN(1,(U1077-_xlpm.piso)/(_xlpm.corte-_xlpm.piso)))),_xlpm.orden,{"DIAMANTE";"PLATINO";"ORO";"PLATA";"BRONCE";"CERRADO"},_xlpm.act,IFERROR(MATCH(V1077,_xlpm.orden,0),6),_xlpm.ant,IFERROR(MATCH(W1077,_xlpm.orden,0),6),_xlpm.ajmov,IF(_xlpm.act&lt;_xlpm.ant,0.08,IF(_xlpm.act&gt;_xlpm.ant,-0.08,0)),_xlpm.ajcli,IF(T1077&lt;0.95,-0.06,0),_xlpm.prob,MAX(0,MIN(1,_xlpm.prog+_xlpm.ajmov+_xlpm.ajcli)),IF(OR(V1077="DIAMANTE",V1077="CERRADO"),0,ROUND(_xlpm.prob,2)))</f>
        <v>0.74</v>
      </c>
      <c r="AK1077" t="str">
        <f t="shared" si="396"/>
        <v>Faltan 3,9 puntos base para subir a la siguiente categoría</v>
      </c>
      <c r="AL1077" t="str">
        <f t="shared" si="397"/>
        <v>No aplica</v>
      </c>
      <c r="AM1077">
        <f t="shared" si="398"/>
        <v>0.26</v>
      </c>
      <c r="AN1077" t="str">
        <f t="shared" si="399"/>
        <v>PRIORIDAD BAJA – control normal</v>
      </c>
      <c r="AO1077">
        <f t="shared" si="400"/>
        <v>71.348826202825151</v>
      </c>
      <c r="AP1077">
        <f t="shared" si="401"/>
        <v>16.5</v>
      </c>
      <c r="AQ1077">
        <f t="shared" si="402"/>
        <v>0</v>
      </c>
      <c r="AR1077">
        <f t="shared" si="403"/>
        <v>1.7599999999999998</v>
      </c>
      <c r="AS1077">
        <f t="shared" si="404"/>
        <v>0</v>
      </c>
      <c r="AT1077" t="str">
        <f t="shared" si="405"/>
        <v>VENTAS</v>
      </c>
      <c r="AU1077">
        <f t="shared" si="406"/>
        <v>71.348826202825151</v>
      </c>
      <c r="AV1077" t="str">
        <f t="shared" si="407"/>
        <v>Mayor retorno probable: VENTAS (+71,3 puntos finales potenciales).</v>
      </c>
    </row>
    <row r="1078" spans="1:48" x14ac:dyDescent="0.3">
      <c r="A1078" s="5">
        <v>51019768</v>
      </c>
      <c r="B1078" s="5" t="str">
        <f>IFERROR(VLOOKUP(A1078,VENTAS!$A$2:$B$1194,2,0),"")</f>
        <v/>
      </c>
      <c r="C1078" s="5">
        <f>IFERROR(INDEX(VENTAS!$C$2:$E$1194,MATCH(A1078,VENTAS!$A$2:$A$1194,0),MATCH(PARAMS_MODELO!$B$2,{"Q1","Q2","Q3"},0)),0)</f>
        <v>10787927</v>
      </c>
      <c r="D1078" s="5">
        <f>IFERROR(INDEX(VENTAS!$F$2:$H$1194,MATCH(A1078,VENTAS!$A$2:$A$1194,0),MATCH(PARAMS_MODELO!$B$2,{"Q1","Q2","Q3"},0)),0)</f>
        <v>0</v>
      </c>
      <c r="E1078" s="8">
        <f t="shared" si="384"/>
        <v>-1</v>
      </c>
      <c r="F1078" s="12">
        <f>IF(E1078&lt;=PARAMS_MODELO!$B$15,0,IF(E1078&gt;=PARAMS_MODELO!$B$17,100,100*MIN(1,(E1078-PARAMS_MODELO!$B$15)/(PARAMS_MODELO!$B$16-PARAMS_MODELO!$B$15))))*PARAMS_MODELO!$B$7</f>
        <v>0</v>
      </c>
      <c r="G1078" s="5">
        <f t="shared" si="385"/>
        <v>0</v>
      </c>
      <c r="H1078" s="5">
        <f>(PARAMS_MODELO!$B$20*(MAX(0,MIN(3,E1078))/3)+PARAMS_MODELO!$B$21*(IFERROR(LN(1+MAX(0,G1078))/LN(1+MAX(0,MAX($G$2:$G$1194))),0)))*100*PARAMS_MODELO!$B$8</f>
        <v>0</v>
      </c>
      <c r="I1078" s="8">
        <f>E1078-PARAMS_MODELO!$B$5</f>
        <v>-1.1775628353755265</v>
      </c>
      <c r="J1078" s="5">
        <f>IF(I1078&lt;=PARAMS_MODELO!$B$18,0,IF(I1078&gt;=PARAMS_MODELO!$B$19,100,100*(I1078-PARAMS_MODELO!$B$18)/(PARAMS_MODELO!$B$19-PARAMS_MODELO!$B$18)))*PARAMS_MODELO!$B$9</f>
        <v>0</v>
      </c>
      <c r="K1078" s="5">
        <f>IFERROR(CHOOSE(MATCH(PARAMS_MODELO!$B$2,{"Q1","Q2","Q3"},0),LOTO!$D1078,LOTO!$F1078,LOTO!$H1078),0)</f>
        <v>0</v>
      </c>
      <c r="L1078" s="8">
        <f t="shared" si="386"/>
        <v>0</v>
      </c>
      <c r="M1078" s="5">
        <f>MIN(100,IF(PARAMS_MODELO!$B$23=0,0,100*L1078/PARAMS_MODELO!$B$23))*PARAMS_MODELO!$B$10</f>
        <v>0</v>
      </c>
      <c r="N1078" s="5">
        <f>IFERROR(VLOOKUP(A1078,COMPLIANCE!$A$2:$F$1996,6,0),100)</f>
        <v>100</v>
      </c>
      <c r="O1078" s="5">
        <f>N1078*PARAMS_MODELO!$B$11</f>
        <v>10</v>
      </c>
      <c r="P1078" s="5">
        <f>IFERROR(VLOOKUP(A1078,DIGITAL!$A$2:$J$2000,7,0),100)</f>
        <v>24</v>
      </c>
      <c r="Q1078" s="5">
        <f>IFERROR(P1078,0)*PARAMS_MODELO!$B$12</f>
        <v>2.4000000000000004</v>
      </c>
      <c r="R1078">
        <f t="shared" si="387"/>
        <v>12.4</v>
      </c>
      <c r="S1078" s="5" t="str">
        <f>IFERROR(VLOOKUP(A1078,CLIENTE!$A$2:$N$2000,13,0),1)</f>
        <v>Regular</v>
      </c>
      <c r="T1078" s="5">
        <f>IFERROR(VLOOKUP(A1078,CLIENTE!$A$2:$N$2000,14,0),1)</f>
        <v>1</v>
      </c>
      <c r="U1078" s="5">
        <f t="shared" si="388"/>
        <v>12.4</v>
      </c>
      <c r="V1078" s="5" t="str">
        <f>IF(U1078&gt;=MAX(_xlfn.PERCENTILE.INC($U$2:$U$1194,PARAMS_MODELO!$B$50),PARAMS_MODELO!$B$45),"DIAMANTE",IF(U1078&gt;=MAX(_xlfn.PERCENTILE.INC($U$2:$U$1194,PARAMS_MODELO!$B$51),PARAMS_MODELO!$B$46),"PLATINO",IF(U1078&gt;=MAX(_xlfn.PERCENTILE.INC($U$2:$U$1194,PARAMS_MODELO!$B$52),PARAMS_MODELO!$B$47),"ORO",IF(U1078&gt;=MAX(_xlfn.PERCENTILE.INC($U$2:$U$1194,PARAMS_MODELO!$B$53),PARAMS_MODELO!$B$48),"PLATA",IF(U1078&gt;=1,"BRONCE","CERRADO")))))</f>
        <v>BRONCE</v>
      </c>
      <c r="W1078" s="5" t="str" cm="1">
        <f t="array" ref="W1078">_xlfn.XLOOKUP(1, (HIST_SCORE!$B:$B=PARAMS_MODELO!$B$4) * (HIST_SCORE!$C:$C=A1078), HIST_SCORE!$E:$E, "No encontrado")</f>
        <v>BRONCE</v>
      </c>
      <c r="X1078" s="5" t="str">
        <f>_xlfn.LET(_xlpm.act,MATCH(V1078,{"DIAMANTE";"PLATINO";"ORO";"PLATA";"BRONCE";"CERRADO"},0),_xlpm.ant,MATCH(W1078,{"DIAMANTE";"PLATINO";"ORO";"PLATA";"BRONCE";"CERRADO"},0),IF(_xlpm.act&lt;_xlpm.ant,"Mejora ↑",IF(_xlpm.act&gt;_xlpm.ant,"Baja ↓","Estable →")))</f>
        <v>Estable →</v>
      </c>
      <c r="Y1078" s="5">
        <f>IFERROR(U1078-SUMIFS(HIST_SCORE!$D:$D,HIST_SCORE!$B:$B,PARAMS_MODELO!$B$4,HIST_SCORE!$C:$C,$A1078),"")</f>
        <v>0</v>
      </c>
      <c r="Z1078" s="5" t="str">
        <f t="shared" si="389"/>
        <v>→ Estable</v>
      </c>
      <c r="AA1078" s="5">
        <f t="shared" si="390"/>
        <v>1128</v>
      </c>
      <c r="AB1078" s="5">
        <f>IFERROR(SUMIFS(HIST_SCORE!$F:$F,HIST_SCORE!$B:$B,PARAMS_MODELO!$B$4,HIST_SCORE!$C:$C,$A1078),"")</f>
        <v>1126</v>
      </c>
      <c r="AC1078" s="5">
        <f t="shared" si="391"/>
        <v>-2</v>
      </c>
      <c r="AD1078" t="str">
        <f t="shared" si="393"/>
        <v/>
      </c>
      <c r="AE10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1078="CERRADO",1,IF(V1078="BRONCE",_xlpm.cPl,IF(V1078="PLATA",_xlpm.cO,IF(V1078="ORO",_xlpm.cP,IF(V1078="PLATINO",_xlpm.cD,999))))))</f>
        <v>24.506573482968111</v>
      </c>
      <c r="AF10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1078="CERRADO",0,IF(V1078="BRONCE",1,IF(V1078="PLATA",_xlpm.cPl,IF(V1078="ORO",_xlpm.cO,IF(V1078="PLATINO",_xlpm.cP,_xlpm.cD))))))</f>
        <v>1</v>
      </c>
      <c r="AG1078">
        <f t="shared" si="394"/>
        <v>12.106573482968111</v>
      </c>
      <c r="AH1078" t="str">
        <f t="shared" si="395"/>
        <v>VENTAS</v>
      </c>
      <c r="AI1078" t="str">
        <f t="shared" si="392"/>
        <v>🎯 Para subir de categoría, eje VENTAS / CRECIMIENTO PERSONAL (F). Acción: metas semanales + activación comercial + seguimiento del asesor. ΔR aprox: 12,1</v>
      </c>
      <c r="AJ1078" s="26">
        <f>_xlfn.LET(_xlpm.piso,AF1078,_xlpm.corte,AE1078,_xlpm.prog,IF(_xlpm.corte&lt;=_xlpm.piso,0,MAX(0,MIN(1,(U1078-_xlpm.piso)/(_xlpm.corte-_xlpm.piso)))),_xlpm.orden,{"DIAMANTE";"PLATINO";"ORO";"PLATA";"BRONCE";"CERRADO"},_xlpm.act,IFERROR(MATCH(V1078,_xlpm.orden,0),6),_xlpm.ant,IFERROR(MATCH(W1078,_xlpm.orden,0),6),_xlpm.ajmov,IF(_xlpm.act&lt;_xlpm.ant,0.08,IF(_xlpm.act&gt;_xlpm.ant,-0.08,0)),_xlpm.ajcli,IF(T1078&lt;0.95,-0.06,0),_xlpm.prob,MAX(0,MIN(1,_xlpm.prog+_xlpm.ajmov+_xlpm.ajcli)),IF(OR(V1078="DIAMANTE",V1078="CERRADO"),0,ROUND(_xlpm.prob,2)))</f>
        <v>0.48</v>
      </c>
      <c r="AK1078" t="str">
        <f t="shared" si="396"/>
        <v>Faltan 12,1 puntos base para subir a la siguiente categoría</v>
      </c>
      <c r="AL1078" t="str">
        <f t="shared" si="397"/>
        <v>No aplica</v>
      </c>
      <c r="AM1078">
        <f t="shared" si="398"/>
        <v>0.61</v>
      </c>
      <c r="AN1078" t="str">
        <f t="shared" si="399"/>
        <v>PRIORIDAD MEDIA – seguimiento del asesor</v>
      </c>
      <c r="AO1078">
        <f t="shared" si="400"/>
        <v>64.862569275295584</v>
      </c>
      <c r="AP1078">
        <f t="shared" si="401"/>
        <v>15</v>
      </c>
      <c r="AQ1078">
        <f t="shared" si="402"/>
        <v>0</v>
      </c>
      <c r="AR1078">
        <f t="shared" si="403"/>
        <v>7.6</v>
      </c>
      <c r="AS1078">
        <f t="shared" si="404"/>
        <v>0</v>
      </c>
      <c r="AT1078" t="str">
        <f t="shared" si="405"/>
        <v>VENTAS</v>
      </c>
      <c r="AU1078">
        <f t="shared" si="406"/>
        <v>64.862569275295584</v>
      </c>
      <c r="AV1078" t="str">
        <f t="shared" si="407"/>
        <v>Mayor retorno probable: VENTAS (+64,9 puntos finales potenciales).</v>
      </c>
    </row>
    <row r="1079" spans="1:48" x14ac:dyDescent="0.3">
      <c r="A1079" s="5">
        <v>51020120</v>
      </c>
      <c r="B1079" s="5" t="str">
        <f>IFERROR(VLOOKUP(A1079,VENTAS!$A$2:$B$1194,2,0),"")</f>
        <v/>
      </c>
      <c r="C1079" s="5">
        <f>IFERROR(INDEX(VENTAS!$C$2:$E$1194,MATCH(A1079,VENTAS!$A$2:$A$1194,0),MATCH(PARAMS_MODELO!$B$2,{"Q1","Q2","Q3"},0)),0)</f>
        <v>924</v>
      </c>
      <c r="D1079" s="5">
        <f>IFERROR(INDEX(VENTAS!$F$2:$H$1194,MATCH(A1079,VENTAS!$A$2:$A$1194,0),MATCH(PARAMS_MODELO!$B$2,{"Q1","Q2","Q3"},0)),0)</f>
        <v>0</v>
      </c>
      <c r="E1079" s="8">
        <f t="shared" si="384"/>
        <v>-1</v>
      </c>
      <c r="F1079" s="12">
        <f>IF(E1079&lt;=PARAMS_MODELO!$B$15,0,IF(E1079&gt;=PARAMS_MODELO!$B$17,100,100*MIN(1,(E1079-PARAMS_MODELO!$B$15)/(PARAMS_MODELO!$B$16-PARAMS_MODELO!$B$15))))*PARAMS_MODELO!$B$7</f>
        <v>0</v>
      </c>
      <c r="G1079" s="5">
        <f t="shared" si="385"/>
        <v>0</v>
      </c>
      <c r="H1079" s="5">
        <f>(PARAMS_MODELO!$B$20*(MAX(0,MIN(3,E1079))/3)+PARAMS_MODELO!$B$21*(IFERROR(LN(1+MAX(0,G1079))/LN(1+MAX(0,MAX($G$2:$G$1194))),0)))*100*PARAMS_MODELO!$B$8</f>
        <v>0</v>
      </c>
      <c r="I1079" s="8">
        <f>E1079-PARAMS_MODELO!$B$5</f>
        <v>-1.1775628353755265</v>
      </c>
      <c r="J1079" s="5">
        <f>IF(I1079&lt;=PARAMS_MODELO!$B$18,0,IF(I1079&gt;=PARAMS_MODELO!$B$19,100,100*(I1079-PARAMS_MODELO!$B$18)/(PARAMS_MODELO!$B$19-PARAMS_MODELO!$B$18)))*PARAMS_MODELO!$B$9</f>
        <v>0</v>
      </c>
      <c r="K1079" s="5">
        <f>IFERROR(CHOOSE(MATCH(PARAMS_MODELO!$B$2,{"Q1","Q2","Q3"},0),LOTO!$D1079,LOTO!$F1079,LOTO!$H1079),0)</f>
        <v>0</v>
      </c>
      <c r="L1079" s="8">
        <f t="shared" si="386"/>
        <v>0</v>
      </c>
      <c r="M1079" s="5">
        <f>MIN(100,IF(PARAMS_MODELO!$B$23=0,0,100*L1079/PARAMS_MODELO!$B$23))*PARAMS_MODELO!$B$10</f>
        <v>0</v>
      </c>
      <c r="N1079" s="5">
        <f>IFERROR(VLOOKUP(A1079,COMPLIANCE!$A$2:$F$1996,6,0),100)</f>
        <v>100</v>
      </c>
      <c r="O1079" s="5">
        <f>N1079*PARAMS_MODELO!$B$11</f>
        <v>10</v>
      </c>
      <c r="P1079" s="5">
        <f>IFERROR(VLOOKUP(A1079,DIGITAL!$A$2:$J$2000,7,0),100)</f>
        <v>81</v>
      </c>
      <c r="Q1079" s="5">
        <f>IFERROR(P1079,0)*PARAMS_MODELO!$B$12</f>
        <v>8.1</v>
      </c>
      <c r="R1079">
        <f t="shared" si="387"/>
        <v>18.100000000000001</v>
      </c>
      <c r="S1079" s="5" t="str">
        <f>IFERROR(VLOOKUP(A1079,CLIENTE!$A$2:$N$2000,13,0),1)</f>
        <v>Bueno</v>
      </c>
      <c r="T1079" s="5">
        <f>IFERROR(VLOOKUP(A1079,CLIENTE!$A$2:$N$2000,14,0),1)</f>
        <v>1.1000000000000001</v>
      </c>
      <c r="U1079" s="5">
        <f t="shared" si="388"/>
        <v>19.910000000000004</v>
      </c>
      <c r="V1079" s="5" t="str">
        <f>IF(U1079&gt;=MAX(_xlfn.PERCENTILE.INC($U$2:$U$1194,PARAMS_MODELO!$B$50),PARAMS_MODELO!$B$45),"DIAMANTE",IF(U1079&gt;=MAX(_xlfn.PERCENTILE.INC($U$2:$U$1194,PARAMS_MODELO!$B$51),PARAMS_MODELO!$B$46),"PLATINO",IF(U1079&gt;=MAX(_xlfn.PERCENTILE.INC($U$2:$U$1194,PARAMS_MODELO!$B$52),PARAMS_MODELO!$B$47),"ORO",IF(U1079&gt;=MAX(_xlfn.PERCENTILE.INC($U$2:$U$1194,PARAMS_MODELO!$B$53),PARAMS_MODELO!$B$48),"PLATA",IF(U1079&gt;=1,"BRONCE","CERRADO")))))</f>
        <v>BRONCE</v>
      </c>
      <c r="W1079" s="5" t="str" cm="1">
        <f t="array" ref="W1079">_xlfn.XLOOKUP(1, (HIST_SCORE!$B:$B=PARAMS_MODELO!$B$4) * (HIST_SCORE!$C:$C=A1079), HIST_SCORE!$E:$E, "No encontrado")</f>
        <v>BRONCE</v>
      </c>
      <c r="X1079" s="5" t="str">
        <f>_xlfn.LET(_xlpm.act,MATCH(V1079,{"DIAMANTE";"PLATINO";"ORO";"PLATA";"BRONCE";"CERRADO"},0),_xlpm.ant,MATCH(W1079,{"DIAMANTE";"PLATINO";"ORO";"PLATA";"BRONCE";"CERRADO"},0),IF(_xlpm.act&lt;_xlpm.ant,"Mejora ↑",IF(_xlpm.act&gt;_xlpm.ant,"Baja ↓","Estable →")))</f>
        <v>Estable →</v>
      </c>
      <c r="Y1079" s="5">
        <f>IFERROR(U1079-SUMIFS(HIST_SCORE!$D:$D,HIST_SCORE!$B:$B,PARAMS_MODELO!$B$4,HIST_SCORE!$C:$C,$A1079),"")</f>
        <v>0</v>
      </c>
      <c r="Z1079" s="5" t="str">
        <f t="shared" si="389"/>
        <v>→ Estable</v>
      </c>
      <c r="AA1079" s="5">
        <f t="shared" si="390"/>
        <v>977</v>
      </c>
      <c r="AB1079" s="5">
        <f>IFERROR(SUMIFS(HIST_SCORE!$F:$F,HIST_SCORE!$B:$B,PARAMS_MODELO!$B$4,HIST_SCORE!$C:$C,$A1079),"")</f>
        <v>987</v>
      </c>
      <c r="AC1079" s="5">
        <f t="shared" si="391"/>
        <v>10</v>
      </c>
      <c r="AD1079" t="str">
        <f t="shared" si="393"/>
        <v/>
      </c>
      <c r="AE10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1079="CERRADO",1,IF(V1079="BRONCE",_xlpm.cPl,IF(V1079="PLATA",_xlpm.cO,IF(V1079="ORO",_xlpm.cP,IF(V1079="PLATINO",_xlpm.cD,999))))))</f>
        <v>24.506573482968111</v>
      </c>
      <c r="AF10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1079="CERRADO",0,IF(V1079="BRONCE",1,IF(V1079="PLATA",_xlpm.cPl,IF(V1079="ORO",_xlpm.cO,IF(V1079="PLATINO",_xlpm.cP,_xlpm.cD))))))</f>
        <v>1</v>
      </c>
      <c r="AG1079">
        <f t="shared" si="394"/>
        <v>4.1787031663346426</v>
      </c>
      <c r="AH1079" t="str">
        <f t="shared" si="395"/>
        <v>VENTAS</v>
      </c>
      <c r="AI1079" t="str">
        <f t="shared" si="392"/>
        <v>🎯 Para subir de categoría, eje VENTAS / CRECIMIENTO PERSONAL (F). Acción: metas semanales + activación comercial + seguimiento del asesor. ΔR aprox: 4,2</v>
      </c>
      <c r="AJ1079" s="26">
        <f>_xlfn.LET(_xlpm.piso,AF1079,_xlpm.corte,AE1079,_xlpm.prog,IF(_xlpm.corte&lt;=_xlpm.piso,0,MAX(0,MIN(1,(U1079-_xlpm.piso)/(_xlpm.corte-_xlpm.piso)))),_xlpm.orden,{"DIAMANTE";"PLATINO";"ORO";"PLATA";"BRONCE";"CERRADO"},_xlpm.act,IFERROR(MATCH(V1079,_xlpm.orden,0),6),_xlpm.ant,IFERROR(MATCH(W1079,_xlpm.orden,0),6),_xlpm.ajmov,IF(_xlpm.act&lt;_xlpm.ant,0.08,IF(_xlpm.act&gt;_xlpm.ant,-0.08,0)),_xlpm.ajcli,IF(T1079&lt;0.95,-0.06,0),_xlpm.prob,MAX(0,MIN(1,_xlpm.prog+_xlpm.ajmov+_xlpm.ajcli)),IF(OR(V1079="DIAMANTE",V1079="CERRADO"),0,ROUND(_xlpm.prob,2)))</f>
        <v>0.8</v>
      </c>
      <c r="AK1079" t="str">
        <f t="shared" si="396"/>
        <v>Faltan 4,2 puntos base para subir a la siguiente categoría</v>
      </c>
      <c r="AL1079" t="str">
        <f t="shared" si="397"/>
        <v>No aplica</v>
      </c>
      <c r="AM1079">
        <f t="shared" si="398"/>
        <v>0.25</v>
      </c>
      <c r="AN1079" t="str">
        <f t="shared" si="399"/>
        <v>PRIORIDAD BAJA – control normal</v>
      </c>
      <c r="AO1079">
        <f t="shared" si="400"/>
        <v>71.348826202825151</v>
      </c>
      <c r="AP1079">
        <f t="shared" si="401"/>
        <v>16.5</v>
      </c>
      <c r="AQ1079">
        <f t="shared" si="402"/>
        <v>0</v>
      </c>
      <c r="AR1079">
        <f t="shared" si="403"/>
        <v>2.0900000000000007</v>
      </c>
      <c r="AS1079">
        <f t="shared" si="404"/>
        <v>0</v>
      </c>
      <c r="AT1079" t="str">
        <f t="shared" si="405"/>
        <v>VENTAS</v>
      </c>
      <c r="AU1079">
        <f t="shared" si="406"/>
        <v>71.348826202825151</v>
      </c>
      <c r="AV1079" t="str">
        <f t="shared" si="407"/>
        <v>Mayor retorno probable: VENTAS (+71,3 puntos finales potenciales).</v>
      </c>
    </row>
    <row r="1080" spans="1:48" x14ac:dyDescent="0.3">
      <c r="A1080" s="5">
        <v>51020154</v>
      </c>
      <c r="B1080" s="5" t="str">
        <f>IFERROR(VLOOKUP(A1080,VENTAS!$A$2:$B$1194,2,0),"")</f>
        <v/>
      </c>
      <c r="C1080" s="5">
        <f>IFERROR(INDEX(VENTAS!$C$2:$E$1194,MATCH(A1080,VENTAS!$A$2:$A$1194,0),MATCH(PARAMS_MODELO!$B$2,{"Q1","Q2","Q3"},0)),0)</f>
        <v>0</v>
      </c>
      <c r="D1080" s="5">
        <f>IFERROR(INDEX(VENTAS!$F$2:$H$1194,MATCH(A1080,VENTAS!$A$2:$A$1194,0),MATCH(PARAMS_MODELO!$B$2,{"Q1","Q2","Q3"},0)),0)</f>
        <v>0</v>
      </c>
      <c r="E1080" s="8">
        <f t="shared" si="384"/>
        <v>0</v>
      </c>
      <c r="F1080" s="12">
        <f>IF(E1080&lt;=PARAMS_MODELO!$B$15,0,IF(E1080&gt;=PARAMS_MODELO!$B$17,100,100*MIN(1,(E1080-PARAMS_MODELO!$B$15)/(PARAMS_MODELO!$B$16-PARAMS_MODELO!$B$15))))*PARAMS_MODELO!$B$7</f>
        <v>0</v>
      </c>
      <c r="G1080" s="5">
        <f t="shared" si="385"/>
        <v>0</v>
      </c>
      <c r="H1080" s="5">
        <f>(PARAMS_MODELO!$B$20*(MAX(0,MIN(3,E1080))/3)+PARAMS_MODELO!$B$21*(IFERROR(LN(1+MAX(0,G1080))/LN(1+MAX(0,MAX($G$2:$G$1194))),0)))*100*PARAMS_MODELO!$B$8</f>
        <v>0</v>
      </c>
      <c r="I1080" s="8">
        <f>E1080-PARAMS_MODELO!$B$5</f>
        <v>-0.17756283537552653</v>
      </c>
      <c r="J1080" s="5">
        <f>IF(I1080&lt;=PARAMS_MODELO!$B$18,0,IF(I1080&gt;=PARAMS_MODELO!$B$19,100,100*(I1080-PARAMS_MODELO!$B$18)/(PARAMS_MODELO!$B$19-PARAMS_MODELO!$B$18)))*PARAMS_MODELO!$B$9</f>
        <v>0</v>
      </c>
      <c r="K1080" s="5">
        <f>IFERROR(CHOOSE(MATCH(PARAMS_MODELO!$B$2,{"Q1","Q2","Q3"},0),LOTO!$D1080,LOTO!$F1080,LOTO!$H1080),0)</f>
        <v>0</v>
      </c>
      <c r="L1080" s="8">
        <f t="shared" si="386"/>
        <v>0</v>
      </c>
      <c r="M1080" s="5">
        <f>MIN(100,IF(PARAMS_MODELO!$B$23=0,0,100*L1080/PARAMS_MODELO!$B$23))*PARAMS_MODELO!$B$10</f>
        <v>0</v>
      </c>
      <c r="N1080" s="5">
        <f>IFERROR(VLOOKUP(A1080,COMPLIANCE!$A$2:$F$1996,6,0),100)</f>
        <v>100</v>
      </c>
      <c r="O1080" s="5">
        <f>N1080*PARAMS_MODELO!$B$11</f>
        <v>10</v>
      </c>
      <c r="P1080" s="5">
        <f>IFERROR(VLOOKUP(A1080,DIGITAL!$A$2:$J$2000,7,0),100)</f>
        <v>28</v>
      </c>
      <c r="Q1080" s="5">
        <f>IFERROR(P1080,0)*PARAMS_MODELO!$B$12</f>
        <v>2.8000000000000003</v>
      </c>
      <c r="R1080">
        <f t="shared" si="387"/>
        <v>12.8</v>
      </c>
      <c r="S1080" s="5" t="str">
        <f>IFERROR(VLOOKUP(A1080,CLIENTE!$A$2:$N$2000,13,0),1)</f>
        <v>Bueno</v>
      </c>
      <c r="T1080" s="5">
        <f>IFERROR(VLOOKUP(A1080,CLIENTE!$A$2:$N$2000,14,0),1)</f>
        <v>1.1000000000000001</v>
      </c>
      <c r="U1080" s="5">
        <f t="shared" si="388"/>
        <v>14.080000000000002</v>
      </c>
      <c r="V1080" s="5" t="str">
        <f>IF(U1080&gt;=MAX(_xlfn.PERCENTILE.INC($U$2:$U$1194,PARAMS_MODELO!$B$50),PARAMS_MODELO!$B$45),"DIAMANTE",IF(U1080&gt;=MAX(_xlfn.PERCENTILE.INC($U$2:$U$1194,PARAMS_MODELO!$B$51),PARAMS_MODELO!$B$46),"PLATINO",IF(U1080&gt;=MAX(_xlfn.PERCENTILE.INC($U$2:$U$1194,PARAMS_MODELO!$B$52),PARAMS_MODELO!$B$47),"ORO",IF(U1080&gt;=MAX(_xlfn.PERCENTILE.INC($U$2:$U$1194,PARAMS_MODELO!$B$53),PARAMS_MODELO!$B$48),"PLATA",IF(U1080&gt;=1,"BRONCE","CERRADO")))))</f>
        <v>BRONCE</v>
      </c>
      <c r="W1080" s="5" t="str" cm="1">
        <f t="array" ref="W1080">_xlfn.XLOOKUP(1, (HIST_SCORE!$B:$B=PARAMS_MODELO!$B$4) * (HIST_SCORE!$C:$C=A1080), HIST_SCORE!$E:$E, "No encontrado")</f>
        <v>BRONCE</v>
      </c>
      <c r="X1080" s="5" t="str">
        <f>_xlfn.LET(_xlpm.act,MATCH(V1080,{"DIAMANTE";"PLATINO";"ORO";"PLATA";"BRONCE";"CERRADO"},0),_xlpm.ant,MATCH(W1080,{"DIAMANTE";"PLATINO";"ORO";"PLATA";"BRONCE";"CERRADO"},0),IF(_xlpm.act&lt;_xlpm.ant,"Mejora ↑",IF(_xlpm.act&gt;_xlpm.ant,"Baja ↓","Estable →")))</f>
        <v>Estable →</v>
      </c>
      <c r="Y1080" s="5">
        <f>IFERROR(U1080-SUMIFS(HIST_SCORE!$D:$D,HIST_SCORE!$B:$B,PARAMS_MODELO!$B$4,HIST_SCORE!$C:$C,$A1080),"")</f>
        <v>0</v>
      </c>
      <c r="Z1080" s="5" t="str">
        <f t="shared" si="389"/>
        <v>→ Estable</v>
      </c>
      <c r="AA1080" s="5">
        <f t="shared" si="390"/>
        <v>1088</v>
      </c>
      <c r="AB1080" s="5">
        <f>IFERROR(SUMIFS(HIST_SCORE!$F:$F,HIST_SCORE!$B:$B,PARAMS_MODELO!$B$4,HIST_SCORE!$C:$C,$A1080),"")</f>
        <v>1086</v>
      </c>
      <c r="AC1080" s="5">
        <f t="shared" si="391"/>
        <v>-2</v>
      </c>
      <c r="AD1080" t="str">
        <f t="shared" si="393"/>
        <v/>
      </c>
      <c r="AE10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1080="CERRADO",1,IF(V1080="BRONCE",_xlpm.cPl,IF(V1080="PLATA",_xlpm.cO,IF(V1080="ORO",_xlpm.cP,IF(V1080="PLATINO",_xlpm.cD,999))))))</f>
        <v>24.506573482968111</v>
      </c>
      <c r="AF10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1080="CERRADO",0,IF(V1080="BRONCE",1,IF(V1080="PLATA",_xlpm.cPl,IF(V1080="ORO",_xlpm.cO,IF(V1080="PLATINO",_xlpm.cP,_xlpm.cD))))))</f>
        <v>1</v>
      </c>
      <c r="AG1080">
        <f t="shared" si="394"/>
        <v>9.4787031663346433</v>
      </c>
      <c r="AH1080" t="str">
        <f t="shared" si="395"/>
        <v>VENTAS</v>
      </c>
      <c r="AI1080" t="str">
        <f t="shared" si="392"/>
        <v>🎯 Para subir de categoría, eje VENTAS / CRECIMIENTO PERSONAL (F). Acción: metas semanales + activación comercial + seguimiento del asesor. ΔR aprox: 9,5</v>
      </c>
      <c r="AJ1080" s="26">
        <f>_xlfn.LET(_xlpm.piso,AF1080,_xlpm.corte,AE1080,_xlpm.prog,IF(_xlpm.corte&lt;=_xlpm.piso,0,MAX(0,MIN(1,(U1080-_xlpm.piso)/(_xlpm.corte-_xlpm.piso)))),_xlpm.orden,{"DIAMANTE";"PLATINO";"ORO";"PLATA";"BRONCE";"CERRADO"},_xlpm.act,IFERROR(MATCH(V1080,_xlpm.orden,0),6),_xlpm.ant,IFERROR(MATCH(W1080,_xlpm.orden,0),6),_xlpm.ajmov,IF(_xlpm.act&lt;_xlpm.ant,0.08,IF(_xlpm.act&gt;_xlpm.ant,-0.08,0)),_xlpm.ajcli,IF(T1080&lt;0.95,-0.06,0),_xlpm.prob,MAX(0,MIN(1,_xlpm.prog+_xlpm.ajmov+_xlpm.ajcli)),IF(OR(V1080="DIAMANTE",V1080="CERRADO"),0,ROUND(_xlpm.prob,2)))</f>
        <v>0.56000000000000005</v>
      </c>
      <c r="AK1080" t="str">
        <f t="shared" si="396"/>
        <v>Faltan 9,5 puntos base para subir a la siguiente categoría</v>
      </c>
      <c r="AL1080" t="str">
        <f t="shared" si="397"/>
        <v>No aplica</v>
      </c>
      <c r="AM1080">
        <f t="shared" si="398"/>
        <v>0.56000000000000005</v>
      </c>
      <c r="AN1080" t="str">
        <f t="shared" si="399"/>
        <v>PRIORIDAD MEDIA – seguimiento del asesor</v>
      </c>
      <c r="AO1080">
        <f t="shared" si="400"/>
        <v>71.348826202825151</v>
      </c>
      <c r="AP1080">
        <f t="shared" si="401"/>
        <v>16.5</v>
      </c>
      <c r="AQ1080">
        <f t="shared" si="402"/>
        <v>0</v>
      </c>
      <c r="AR1080">
        <f t="shared" si="403"/>
        <v>7.92</v>
      </c>
      <c r="AS1080">
        <f t="shared" si="404"/>
        <v>0</v>
      </c>
      <c r="AT1080" t="str">
        <f t="shared" si="405"/>
        <v>VENTAS</v>
      </c>
      <c r="AU1080">
        <f t="shared" si="406"/>
        <v>71.348826202825151</v>
      </c>
      <c r="AV1080" t="str">
        <f t="shared" si="407"/>
        <v>Mayor retorno probable: VENTAS (+71,3 puntos finales potenciales).</v>
      </c>
    </row>
    <row r="1081" spans="1:48" x14ac:dyDescent="0.3">
      <c r="A1081" s="5">
        <v>51020740</v>
      </c>
      <c r="B1081" s="5" t="str">
        <f>IFERROR(VLOOKUP(A1081,VENTAS!$A$2:$B$1194,2,0),"")</f>
        <v/>
      </c>
      <c r="C1081" s="5">
        <f>IFERROR(INDEX(VENTAS!$C$2:$E$1194,MATCH(A1081,VENTAS!$A$2:$A$1194,0),MATCH(PARAMS_MODELO!$B$2,{"Q1","Q2","Q3"},0)),0)</f>
        <v>79812704.090000004</v>
      </c>
      <c r="D1081" s="5">
        <f>IFERROR(INDEX(VENTAS!$F$2:$H$1194,MATCH(A1081,VENTAS!$A$2:$A$1194,0),MATCH(PARAMS_MODELO!$B$2,{"Q1","Q2","Q3"},0)),0)</f>
        <v>0</v>
      </c>
      <c r="E1081" s="8">
        <f t="shared" si="384"/>
        <v>-1</v>
      </c>
      <c r="F1081" s="12">
        <f>IF(E1081&lt;=PARAMS_MODELO!$B$15,0,IF(E1081&gt;=PARAMS_MODELO!$B$17,100,100*MIN(1,(E1081-PARAMS_MODELO!$B$15)/(PARAMS_MODELO!$B$16-PARAMS_MODELO!$B$15))))*PARAMS_MODELO!$B$7</f>
        <v>0</v>
      </c>
      <c r="G1081" s="5">
        <f t="shared" si="385"/>
        <v>0</v>
      </c>
      <c r="H1081" s="5">
        <f>(PARAMS_MODELO!$B$20*(MAX(0,MIN(3,E1081))/3)+PARAMS_MODELO!$B$21*(IFERROR(LN(1+MAX(0,G1081))/LN(1+MAX(0,MAX($G$2:$G$1194))),0)))*100*PARAMS_MODELO!$B$8</f>
        <v>0</v>
      </c>
      <c r="I1081" s="8">
        <f>E1081-PARAMS_MODELO!$B$5</f>
        <v>-1.1775628353755265</v>
      </c>
      <c r="J1081" s="5">
        <f>IF(I1081&lt;=PARAMS_MODELO!$B$18,0,IF(I1081&gt;=PARAMS_MODELO!$B$19,100,100*(I1081-PARAMS_MODELO!$B$18)/(PARAMS_MODELO!$B$19-PARAMS_MODELO!$B$18)))*PARAMS_MODELO!$B$9</f>
        <v>0</v>
      </c>
      <c r="K1081" s="5">
        <f>IFERROR(CHOOSE(MATCH(PARAMS_MODELO!$B$2,{"Q1","Q2","Q3"},0),LOTO!$D1081,LOTO!$F1081,LOTO!$H1081),0)</f>
        <v>0</v>
      </c>
      <c r="L1081" s="8">
        <f t="shared" si="386"/>
        <v>0</v>
      </c>
      <c r="M1081" s="5">
        <f>MIN(100,IF(PARAMS_MODELO!$B$23=0,0,100*L1081/PARAMS_MODELO!$B$23))*PARAMS_MODELO!$B$10</f>
        <v>0</v>
      </c>
      <c r="N1081" s="5">
        <f>IFERROR(VLOOKUP(A1081,COMPLIANCE!$A$2:$F$1996,6,0),100)</f>
        <v>99.8</v>
      </c>
      <c r="O1081" s="5">
        <f>N1081*PARAMS_MODELO!$B$11</f>
        <v>9.98</v>
      </c>
      <c r="P1081" s="5">
        <f>IFERROR(VLOOKUP(A1081,DIGITAL!$A$2:$J$2000,7,0),100)</f>
        <v>95</v>
      </c>
      <c r="Q1081" s="5">
        <f>IFERROR(P1081,0)*PARAMS_MODELO!$B$12</f>
        <v>9.5</v>
      </c>
      <c r="R1081">
        <f t="shared" si="387"/>
        <v>19.48</v>
      </c>
      <c r="S1081" s="5" t="str">
        <f>IFERROR(VLOOKUP(A1081,CLIENTE!$A$2:$N$2000,13,0),1)</f>
        <v>Regular</v>
      </c>
      <c r="T1081" s="5">
        <f>IFERROR(VLOOKUP(A1081,CLIENTE!$A$2:$N$2000,14,0),1)</f>
        <v>1</v>
      </c>
      <c r="U1081" s="5">
        <f t="shared" si="388"/>
        <v>19.48</v>
      </c>
      <c r="V1081" s="5" t="str">
        <f>IF(U1081&gt;=MAX(_xlfn.PERCENTILE.INC($U$2:$U$1194,PARAMS_MODELO!$B$50),PARAMS_MODELO!$B$45),"DIAMANTE",IF(U1081&gt;=MAX(_xlfn.PERCENTILE.INC($U$2:$U$1194,PARAMS_MODELO!$B$51),PARAMS_MODELO!$B$46),"PLATINO",IF(U1081&gt;=MAX(_xlfn.PERCENTILE.INC($U$2:$U$1194,PARAMS_MODELO!$B$52),PARAMS_MODELO!$B$47),"ORO",IF(U1081&gt;=MAX(_xlfn.PERCENTILE.INC($U$2:$U$1194,PARAMS_MODELO!$B$53),PARAMS_MODELO!$B$48),"PLATA",IF(U1081&gt;=1,"BRONCE","CERRADO")))))</f>
        <v>BRONCE</v>
      </c>
      <c r="W1081" s="5" t="str" cm="1">
        <f t="array" ref="W1081">_xlfn.XLOOKUP(1, (HIST_SCORE!$B:$B=PARAMS_MODELO!$B$4) * (HIST_SCORE!$C:$C=A1081), HIST_SCORE!$E:$E, "No encontrado")</f>
        <v>ORO</v>
      </c>
      <c r="X1081" s="5" t="str">
        <f>_xlfn.LET(_xlpm.act,MATCH(V1081,{"DIAMANTE";"PLATINO";"ORO";"PLATA";"BRONCE";"CERRADO"},0),_xlpm.ant,MATCH(W1081,{"DIAMANTE";"PLATINO";"ORO";"PLATA";"BRONCE";"CERRADO"},0),IF(_xlpm.act&lt;_xlpm.ant,"Mejora ↑",IF(_xlpm.act&gt;_xlpm.ant,"Baja ↓","Estable →")))</f>
        <v>Baja ↓</v>
      </c>
      <c r="Y1081" s="5">
        <f>IFERROR(U1081-SUMIFS(HIST_SCORE!$D:$D,HIST_SCORE!$B:$B,PARAMS_MODELO!$B$4,HIST_SCORE!$C:$C,$A1081),"")</f>
        <v>-58.423569372206657</v>
      </c>
      <c r="Z1081" s="5" t="str">
        <f t="shared" si="389"/>
        <v>↓ Baja</v>
      </c>
      <c r="AA1081" s="5">
        <f t="shared" si="390"/>
        <v>989</v>
      </c>
      <c r="AB1081" s="5">
        <f>IFERROR(SUMIFS(HIST_SCORE!$F:$F,HIST_SCORE!$B:$B,PARAMS_MODELO!$B$4,HIST_SCORE!$C:$C,$A1081),"")</f>
        <v>452</v>
      </c>
      <c r="AC1081" s="5">
        <f t="shared" si="391"/>
        <v>-537</v>
      </c>
      <c r="AD1081" t="str">
        <f t="shared" si="393"/>
        <v>Plan de recuperación: foco crecimiento + mix</v>
      </c>
      <c r="AE10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1081="CERRADO",1,IF(V1081="BRONCE",_xlpm.cPl,IF(V1081="PLATA",_xlpm.cO,IF(V1081="ORO",_xlpm.cP,IF(V1081="PLATINO",_xlpm.cD,999))))))</f>
        <v>24.506573482968111</v>
      </c>
      <c r="AF10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1081="CERRADO",0,IF(V1081="BRONCE",1,IF(V1081="PLATA",_xlpm.cPl,IF(V1081="ORO",_xlpm.cO,IF(V1081="PLATINO",_xlpm.cP,_xlpm.cD))))))</f>
        <v>1</v>
      </c>
      <c r="AG1081">
        <f t="shared" si="394"/>
        <v>5.0265734829681108</v>
      </c>
      <c r="AH1081" t="str">
        <f t="shared" si="395"/>
        <v>VENTAS</v>
      </c>
      <c r="AI1081" t="str">
        <f t="shared" si="392"/>
        <v>🎯 Para subir de categoría, eje VENTAS / CRECIMIENTO PERSONAL (F). Acción: metas semanales + activación comercial + seguimiento del asesor. ΔR aprox: 5,0</v>
      </c>
      <c r="AJ1081" s="26">
        <f>_xlfn.LET(_xlpm.piso,AF1081,_xlpm.corte,AE1081,_xlpm.prog,IF(_xlpm.corte&lt;=_xlpm.piso,0,MAX(0,MIN(1,(U1081-_xlpm.piso)/(_xlpm.corte-_xlpm.piso)))),_xlpm.orden,{"DIAMANTE";"PLATINO";"ORO";"PLATA";"BRONCE";"CERRADO"},_xlpm.act,IFERROR(MATCH(V1081,_xlpm.orden,0),6),_xlpm.ant,IFERROR(MATCH(W1081,_xlpm.orden,0),6),_xlpm.ajmov,IF(_xlpm.act&lt;_xlpm.ant,0.08,IF(_xlpm.act&gt;_xlpm.ant,-0.08,0)),_xlpm.ajcli,IF(T1081&lt;0.95,-0.06,0),_xlpm.prob,MAX(0,MIN(1,_xlpm.prog+_xlpm.ajmov+_xlpm.ajcli)),IF(OR(V1081="DIAMANTE",V1081="CERRADO"),0,ROUND(_xlpm.prob,2)))</f>
        <v>0.71</v>
      </c>
      <c r="AK1081" t="str">
        <f t="shared" si="396"/>
        <v>Faltan 5,0 puntos base para subir a la siguiente categoría</v>
      </c>
      <c r="AL1081" t="str">
        <f t="shared" si="397"/>
        <v>No aplica</v>
      </c>
      <c r="AM1081">
        <f t="shared" si="398"/>
        <v>0.32</v>
      </c>
      <c r="AN1081" t="str">
        <f t="shared" si="399"/>
        <v>PRIORIDAD BAJA – control normal</v>
      </c>
      <c r="AO1081">
        <f t="shared" si="400"/>
        <v>64.862569275295584</v>
      </c>
      <c r="AP1081">
        <f t="shared" si="401"/>
        <v>15</v>
      </c>
      <c r="AQ1081">
        <f t="shared" si="402"/>
        <v>1.9999999999999574E-2</v>
      </c>
      <c r="AR1081">
        <f t="shared" si="403"/>
        <v>0.5</v>
      </c>
      <c r="AS1081">
        <f t="shared" si="404"/>
        <v>0</v>
      </c>
      <c r="AT1081" t="str">
        <f t="shared" si="405"/>
        <v>VENTAS</v>
      </c>
      <c r="AU1081">
        <f t="shared" si="406"/>
        <v>64.862569275295584</v>
      </c>
      <c r="AV1081" t="str">
        <f t="shared" si="407"/>
        <v>Mayor retorno probable: VENTAS (+64,9 puntos finales potenciales).</v>
      </c>
    </row>
    <row r="1082" spans="1:48" x14ac:dyDescent="0.3">
      <c r="A1082" s="5">
        <v>51021151</v>
      </c>
      <c r="B1082" s="5" t="str">
        <f>IFERROR(VLOOKUP(A1082,VENTAS!$A$2:$B$1194,2,0),"")</f>
        <v/>
      </c>
      <c r="C1082" s="5">
        <f>IFERROR(INDEX(VENTAS!$C$2:$E$1194,MATCH(A1082,VENTAS!$A$2:$A$1194,0),MATCH(PARAMS_MODELO!$B$2,{"Q1","Q2","Q3"},0)),0)</f>
        <v>0</v>
      </c>
      <c r="D1082" s="5">
        <f>IFERROR(INDEX(VENTAS!$F$2:$H$1194,MATCH(A1082,VENTAS!$A$2:$A$1194,0),MATCH(PARAMS_MODELO!$B$2,{"Q1","Q2","Q3"},0)),0)</f>
        <v>0</v>
      </c>
      <c r="E1082" s="8">
        <f t="shared" si="384"/>
        <v>0</v>
      </c>
      <c r="F1082" s="12">
        <f>IF(E1082&lt;=PARAMS_MODELO!$B$15,0,IF(E1082&gt;=PARAMS_MODELO!$B$17,100,100*MIN(1,(E1082-PARAMS_MODELO!$B$15)/(PARAMS_MODELO!$B$16-PARAMS_MODELO!$B$15))))*PARAMS_MODELO!$B$7</f>
        <v>0</v>
      </c>
      <c r="G1082" s="5">
        <f t="shared" si="385"/>
        <v>0</v>
      </c>
      <c r="H1082" s="5">
        <f>(PARAMS_MODELO!$B$20*(MAX(0,MIN(3,E1082))/3)+PARAMS_MODELO!$B$21*(IFERROR(LN(1+MAX(0,G1082))/LN(1+MAX(0,MAX($G$2:$G$1194))),0)))*100*PARAMS_MODELO!$B$8</f>
        <v>0</v>
      </c>
      <c r="I1082" s="8">
        <f>E1082-PARAMS_MODELO!$B$5</f>
        <v>-0.17756283537552653</v>
      </c>
      <c r="J1082" s="5">
        <f>IF(I1082&lt;=PARAMS_MODELO!$B$18,0,IF(I1082&gt;=PARAMS_MODELO!$B$19,100,100*(I1082-PARAMS_MODELO!$B$18)/(PARAMS_MODELO!$B$19-PARAMS_MODELO!$B$18)))*PARAMS_MODELO!$B$9</f>
        <v>0</v>
      </c>
      <c r="K1082" s="5">
        <f>IFERROR(CHOOSE(MATCH(PARAMS_MODELO!$B$2,{"Q1","Q2","Q3"},0),LOTO!$D1082,LOTO!$F1082,LOTO!$H1082),0)</f>
        <v>0</v>
      </c>
      <c r="L1082" s="8">
        <f t="shared" si="386"/>
        <v>0</v>
      </c>
      <c r="M1082" s="5">
        <f>MIN(100,IF(PARAMS_MODELO!$B$23=0,0,100*L1082/PARAMS_MODELO!$B$23))*PARAMS_MODELO!$B$10</f>
        <v>0</v>
      </c>
      <c r="N1082" s="5">
        <f>IFERROR(VLOOKUP(A1082,COMPLIANCE!$A$2:$F$1996,6,0),100)</f>
        <v>100</v>
      </c>
      <c r="O1082" s="5">
        <f>N1082*PARAMS_MODELO!$B$11</f>
        <v>10</v>
      </c>
      <c r="P1082" s="5">
        <f>IFERROR(VLOOKUP(A1082,DIGITAL!$A$2:$J$2000,7,0),100)</f>
        <v>86</v>
      </c>
      <c r="Q1082" s="5">
        <f>IFERROR(P1082,0)*PARAMS_MODELO!$B$12</f>
        <v>8.6</v>
      </c>
      <c r="R1082">
        <f t="shared" si="387"/>
        <v>18.600000000000001</v>
      </c>
      <c r="S1082" s="5" t="str">
        <f>IFERROR(VLOOKUP(A1082,CLIENTE!$A$2:$N$2000,13,0),1)</f>
        <v>Regular</v>
      </c>
      <c r="T1082" s="5">
        <f>IFERROR(VLOOKUP(A1082,CLIENTE!$A$2:$N$2000,14,0),1)</f>
        <v>1</v>
      </c>
      <c r="U1082" s="5">
        <f t="shared" si="388"/>
        <v>18.600000000000001</v>
      </c>
      <c r="V1082" s="5" t="str">
        <f>IF(U1082&gt;=MAX(_xlfn.PERCENTILE.INC($U$2:$U$1194,PARAMS_MODELO!$B$50),PARAMS_MODELO!$B$45),"DIAMANTE",IF(U1082&gt;=MAX(_xlfn.PERCENTILE.INC($U$2:$U$1194,PARAMS_MODELO!$B$51),PARAMS_MODELO!$B$46),"PLATINO",IF(U1082&gt;=MAX(_xlfn.PERCENTILE.INC($U$2:$U$1194,PARAMS_MODELO!$B$52),PARAMS_MODELO!$B$47),"ORO",IF(U1082&gt;=MAX(_xlfn.PERCENTILE.INC($U$2:$U$1194,PARAMS_MODELO!$B$53),PARAMS_MODELO!$B$48),"PLATA",IF(U1082&gt;=1,"BRONCE","CERRADO")))))</f>
        <v>BRONCE</v>
      </c>
      <c r="W1082" s="5" t="str" cm="1">
        <f t="array" ref="W1082">_xlfn.XLOOKUP(1, (HIST_SCORE!$B:$B=PARAMS_MODELO!$B$4) * (HIST_SCORE!$C:$C=A1082), HIST_SCORE!$E:$E, "No encontrado")</f>
        <v>BRONCE</v>
      </c>
      <c r="X1082" s="5" t="str">
        <f>_xlfn.LET(_xlpm.act,MATCH(V1082,{"DIAMANTE";"PLATINO";"ORO";"PLATA";"BRONCE";"CERRADO"},0),_xlpm.ant,MATCH(W1082,{"DIAMANTE";"PLATINO";"ORO";"PLATA";"BRONCE";"CERRADO"},0),IF(_xlpm.act&lt;_xlpm.ant,"Mejora ↑",IF(_xlpm.act&gt;_xlpm.ant,"Baja ↓","Estable →")))</f>
        <v>Estable →</v>
      </c>
      <c r="Y1082" s="5">
        <f>IFERROR(U1082-SUMIFS(HIST_SCORE!$D:$D,HIST_SCORE!$B:$B,PARAMS_MODELO!$B$4,HIST_SCORE!$C:$C,$A1082),"")</f>
        <v>0</v>
      </c>
      <c r="Z1082" s="5" t="str">
        <f t="shared" si="389"/>
        <v>→ Estable</v>
      </c>
      <c r="AA1082" s="5">
        <f t="shared" si="390"/>
        <v>1016</v>
      </c>
      <c r="AB1082" s="5">
        <f>IFERROR(SUMIFS(HIST_SCORE!$F:$F,HIST_SCORE!$B:$B,PARAMS_MODELO!$B$4,HIST_SCORE!$C:$C,$A1082),"")</f>
        <v>1019</v>
      </c>
      <c r="AC1082" s="5">
        <f t="shared" si="391"/>
        <v>3</v>
      </c>
      <c r="AD1082" t="str">
        <f t="shared" si="393"/>
        <v/>
      </c>
      <c r="AE10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1082="CERRADO",1,IF(V1082="BRONCE",_xlpm.cPl,IF(V1082="PLATA",_xlpm.cO,IF(V1082="ORO",_xlpm.cP,IF(V1082="PLATINO",_xlpm.cD,999))))))</f>
        <v>24.506573482968111</v>
      </c>
      <c r="AF10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1082="CERRADO",0,IF(V1082="BRONCE",1,IF(V1082="PLATA",_xlpm.cPl,IF(V1082="ORO",_xlpm.cO,IF(V1082="PLATINO",_xlpm.cP,_xlpm.cD))))))</f>
        <v>1</v>
      </c>
      <c r="AG1082">
        <f t="shared" si="394"/>
        <v>5.9065734829681098</v>
      </c>
      <c r="AH1082" t="str">
        <f t="shared" si="395"/>
        <v>VENTAS</v>
      </c>
      <c r="AI1082" t="str">
        <f t="shared" si="392"/>
        <v>🎯 Para subir de categoría, eje VENTAS / CRECIMIENTO PERSONAL (F). Acción: metas semanales + activación comercial + seguimiento del asesor. ΔR aprox: 5,9</v>
      </c>
      <c r="AJ1082" s="26">
        <f>_xlfn.LET(_xlpm.piso,AF1082,_xlpm.corte,AE1082,_xlpm.prog,IF(_xlpm.corte&lt;=_xlpm.piso,0,MAX(0,MIN(1,(U1082-_xlpm.piso)/(_xlpm.corte-_xlpm.piso)))),_xlpm.orden,{"DIAMANTE";"PLATINO";"ORO";"PLATA";"BRONCE";"CERRADO"},_xlpm.act,IFERROR(MATCH(V1082,_xlpm.orden,0),6),_xlpm.ant,IFERROR(MATCH(W1082,_xlpm.orden,0),6),_xlpm.ajmov,IF(_xlpm.act&lt;_xlpm.ant,0.08,IF(_xlpm.act&gt;_xlpm.ant,-0.08,0)),_xlpm.ajcli,IF(T1082&lt;0.95,-0.06,0),_xlpm.prob,MAX(0,MIN(1,_xlpm.prog+_xlpm.ajmov+_xlpm.ajcli)),IF(OR(V1082="DIAMANTE",V1082="CERRADO"),0,ROUND(_xlpm.prob,2)))</f>
        <v>0.75</v>
      </c>
      <c r="AK1082" t="str">
        <f t="shared" si="396"/>
        <v>Faltan 5,9 puntos base para subir a la siguiente categoría</v>
      </c>
      <c r="AL1082" t="str">
        <f t="shared" si="397"/>
        <v>No aplica</v>
      </c>
      <c r="AM1082">
        <f t="shared" si="398"/>
        <v>0.34</v>
      </c>
      <c r="AN1082" t="str">
        <f t="shared" si="399"/>
        <v>PRIORIDAD BAJA – control normal</v>
      </c>
      <c r="AO1082">
        <f t="shared" si="400"/>
        <v>64.862569275295584</v>
      </c>
      <c r="AP1082">
        <f t="shared" si="401"/>
        <v>15</v>
      </c>
      <c r="AQ1082">
        <f t="shared" si="402"/>
        <v>0</v>
      </c>
      <c r="AR1082">
        <f t="shared" si="403"/>
        <v>1.4000000000000004</v>
      </c>
      <c r="AS1082">
        <f t="shared" si="404"/>
        <v>0</v>
      </c>
      <c r="AT1082" t="str">
        <f t="shared" si="405"/>
        <v>VENTAS</v>
      </c>
      <c r="AU1082">
        <f t="shared" si="406"/>
        <v>64.862569275295584</v>
      </c>
      <c r="AV1082" t="str">
        <f t="shared" si="407"/>
        <v>Mayor retorno probable: VENTAS (+64,9 puntos finales potenciales).</v>
      </c>
    </row>
    <row r="1083" spans="1:48" x14ac:dyDescent="0.3">
      <c r="A1083" s="5">
        <v>51021525</v>
      </c>
      <c r="B1083" s="5" t="str">
        <f>IFERROR(VLOOKUP(A1083,VENTAS!$A$2:$B$1194,2,0),"")</f>
        <v/>
      </c>
      <c r="C1083" s="5">
        <f>IFERROR(INDEX(VENTAS!$C$2:$E$1194,MATCH(A1083,VENTAS!$A$2:$A$1194,0),MATCH(PARAMS_MODELO!$B$2,{"Q1","Q2","Q3"},0)),0)</f>
        <v>0</v>
      </c>
      <c r="D1083" s="5">
        <f>IFERROR(INDEX(VENTAS!$F$2:$H$1194,MATCH(A1083,VENTAS!$A$2:$A$1194,0),MATCH(PARAMS_MODELO!$B$2,{"Q1","Q2","Q3"},0)),0)</f>
        <v>0</v>
      </c>
      <c r="E1083" s="8">
        <f t="shared" si="384"/>
        <v>0</v>
      </c>
      <c r="F1083" s="12">
        <f>IF(E1083&lt;=PARAMS_MODELO!$B$15,0,IF(E1083&gt;=PARAMS_MODELO!$B$17,100,100*MIN(1,(E1083-PARAMS_MODELO!$B$15)/(PARAMS_MODELO!$B$16-PARAMS_MODELO!$B$15))))*PARAMS_MODELO!$B$7</f>
        <v>0</v>
      </c>
      <c r="G1083" s="5">
        <f t="shared" si="385"/>
        <v>0</v>
      </c>
      <c r="H1083" s="5">
        <f>(PARAMS_MODELO!$B$20*(MAX(0,MIN(3,E1083))/3)+PARAMS_MODELO!$B$21*(IFERROR(LN(1+MAX(0,G1083))/LN(1+MAX(0,MAX($G$2:$G$1194))),0)))*100*PARAMS_MODELO!$B$8</f>
        <v>0</v>
      </c>
      <c r="I1083" s="8">
        <f>E1083-PARAMS_MODELO!$B$5</f>
        <v>-0.17756283537552653</v>
      </c>
      <c r="J1083" s="5">
        <f>IF(I1083&lt;=PARAMS_MODELO!$B$18,0,IF(I1083&gt;=PARAMS_MODELO!$B$19,100,100*(I1083-PARAMS_MODELO!$B$18)/(PARAMS_MODELO!$B$19-PARAMS_MODELO!$B$18)))*PARAMS_MODELO!$B$9</f>
        <v>0</v>
      </c>
      <c r="K1083" s="5">
        <f>IFERROR(CHOOSE(MATCH(PARAMS_MODELO!$B$2,{"Q1","Q2","Q3"},0),LOTO!$D1083,LOTO!$F1083,LOTO!$H1083),0)</f>
        <v>0</v>
      </c>
      <c r="L1083" s="8">
        <f t="shared" si="386"/>
        <v>0</v>
      </c>
      <c r="M1083" s="5">
        <f>MIN(100,IF(PARAMS_MODELO!$B$23=0,0,100*L1083/PARAMS_MODELO!$B$23))*PARAMS_MODELO!$B$10</f>
        <v>0</v>
      </c>
      <c r="N1083" s="5">
        <f>IFERROR(VLOOKUP(A1083,COMPLIANCE!$A$2:$F$1996,6,0),100)</f>
        <v>100</v>
      </c>
      <c r="O1083" s="5">
        <f>N1083*PARAMS_MODELO!$B$11</f>
        <v>10</v>
      </c>
      <c r="P1083" s="5">
        <f>IFERROR(VLOOKUP(A1083,DIGITAL!$A$2:$J$2000,7,0),100)</f>
        <v>51</v>
      </c>
      <c r="Q1083" s="5">
        <f>IFERROR(P1083,0)*PARAMS_MODELO!$B$12</f>
        <v>5.1000000000000005</v>
      </c>
      <c r="R1083">
        <f t="shared" si="387"/>
        <v>15.100000000000001</v>
      </c>
      <c r="S1083" s="5" t="str">
        <f>IFERROR(VLOOKUP(A1083,CLIENTE!$A$2:$N$2000,13,0),1)</f>
        <v>Regular</v>
      </c>
      <c r="T1083" s="5">
        <f>IFERROR(VLOOKUP(A1083,CLIENTE!$A$2:$N$2000,14,0),1)</f>
        <v>1</v>
      </c>
      <c r="U1083" s="5">
        <f t="shared" si="388"/>
        <v>15.100000000000001</v>
      </c>
      <c r="V1083" s="5" t="str">
        <f>IF(U1083&gt;=MAX(_xlfn.PERCENTILE.INC($U$2:$U$1194,PARAMS_MODELO!$B$50),PARAMS_MODELO!$B$45),"DIAMANTE",IF(U1083&gt;=MAX(_xlfn.PERCENTILE.INC($U$2:$U$1194,PARAMS_MODELO!$B$51),PARAMS_MODELO!$B$46),"PLATINO",IF(U1083&gt;=MAX(_xlfn.PERCENTILE.INC($U$2:$U$1194,PARAMS_MODELO!$B$52),PARAMS_MODELO!$B$47),"ORO",IF(U1083&gt;=MAX(_xlfn.PERCENTILE.INC($U$2:$U$1194,PARAMS_MODELO!$B$53),PARAMS_MODELO!$B$48),"PLATA",IF(U1083&gt;=1,"BRONCE","CERRADO")))))</f>
        <v>BRONCE</v>
      </c>
      <c r="W1083" s="5" t="str" cm="1">
        <f t="array" ref="W1083">_xlfn.XLOOKUP(1, (HIST_SCORE!$B:$B=PARAMS_MODELO!$B$4) * (HIST_SCORE!$C:$C=A1083), HIST_SCORE!$E:$E, "No encontrado")</f>
        <v>BRONCE</v>
      </c>
      <c r="X1083" s="5" t="str">
        <f>_xlfn.LET(_xlpm.act,MATCH(V1083,{"DIAMANTE";"PLATINO";"ORO";"PLATA";"BRONCE";"CERRADO"},0),_xlpm.ant,MATCH(W1083,{"DIAMANTE";"PLATINO";"ORO";"PLATA";"BRONCE";"CERRADO"},0),IF(_xlpm.act&lt;_xlpm.ant,"Mejora ↑",IF(_xlpm.act&gt;_xlpm.ant,"Baja ↓","Estable →")))</f>
        <v>Estable →</v>
      </c>
      <c r="Y1083" s="5">
        <f>IFERROR(U1083-SUMIFS(HIST_SCORE!$D:$D,HIST_SCORE!$B:$B,PARAMS_MODELO!$B$4,HIST_SCORE!$C:$C,$A1083),"")</f>
        <v>0</v>
      </c>
      <c r="Z1083" s="5" t="str">
        <f t="shared" si="389"/>
        <v>→ Estable</v>
      </c>
      <c r="AA1083" s="5">
        <f t="shared" si="390"/>
        <v>1078</v>
      </c>
      <c r="AB1083" s="5">
        <f>IFERROR(SUMIFS(HIST_SCORE!$F:$F,HIST_SCORE!$B:$B,PARAMS_MODELO!$B$4,HIST_SCORE!$C:$C,$A1083),"")</f>
        <v>1075</v>
      </c>
      <c r="AC1083" s="5">
        <f t="shared" si="391"/>
        <v>-3</v>
      </c>
      <c r="AD1083" t="str">
        <f t="shared" si="393"/>
        <v/>
      </c>
      <c r="AE10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1083="CERRADO",1,IF(V1083="BRONCE",_xlpm.cPl,IF(V1083="PLATA",_xlpm.cO,IF(V1083="ORO",_xlpm.cP,IF(V1083="PLATINO",_xlpm.cD,999))))))</f>
        <v>24.506573482968111</v>
      </c>
      <c r="AF10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1083="CERRADO",0,IF(V1083="BRONCE",1,IF(V1083="PLATA",_xlpm.cPl,IF(V1083="ORO",_xlpm.cO,IF(V1083="PLATINO",_xlpm.cP,_xlpm.cD))))))</f>
        <v>1</v>
      </c>
      <c r="AG1083">
        <f t="shared" si="394"/>
        <v>9.4065734829681098</v>
      </c>
      <c r="AH1083" t="str">
        <f t="shared" si="395"/>
        <v>VENTAS</v>
      </c>
      <c r="AI1083" t="str">
        <f t="shared" si="392"/>
        <v>🎯 Para subir de categoría, eje VENTAS / CRECIMIENTO PERSONAL (F). Acción: metas semanales + activación comercial + seguimiento del asesor. ΔR aprox: 9,4</v>
      </c>
      <c r="AJ1083" s="26">
        <f>_xlfn.LET(_xlpm.piso,AF1083,_xlpm.corte,AE1083,_xlpm.prog,IF(_xlpm.corte&lt;=_xlpm.piso,0,MAX(0,MIN(1,(U1083-_xlpm.piso)/(_xlpm.corte-_xlpm.piso)))),_xlpm.orden,{"DIAMANTE";"PLATINO";"ORO";"PLATA";"BRONCE";"CERRADO"},_xlpm.act,IFERROR(MATCH(V1083,_xlpm.orden,0),6),_xlpm.ant,IFERROR(MATCH(W1083,_xlpm.orden,0),6),_xlpm.ajmov,IF(_xlpm.act&lt;_xlpm.ant,0.08,IF(_xlpm.act&gt;_xlpm.ant,-0.08,0)),_xlpm.ajcli,IF(T1083&lt;0.95,-0.06,0),_xlpm.prob,MAX(0,MIN(1,_xlpm.prog+_xlpm.ajmov+_xlpm.ajcli)),IF(OR(V1083="DIAMANTE",V1083="CERRADO"),0,ROUND(_xlpm.prob,2)))</f>
        <v>0.6</v>
      </c>
      <c r="AK1083" t="str">
        <f t="shared" si="396"/>
        <v>Faltan 9,4 puntos base para subir a la siguiente categoría</v>
      </c>
      <c r="AL1083" t="str">
        <f t="shared" si="397"/>
        <v>No aplica</v>
      </c>
      <c r="AM1083">
        <f t="shared" si="398"/>
        <v>0.54</v>
      </c>
      <c r="AN1083" t="str">
        <f t="shared" si="399"/>
        <v>PRIORIDAD MEDIA – seguimiento del asesor</v>
      </c>
      <c r="AO1083">
        <f t="shared" si="400"/>
        <v>64.862569275295584</v>
      </c>
      <c r="AP1083">
        <f t="shared" si="401"/>
        <v>15</v>
      </c>
      <c r="AQ1083">
        <f t="shared" si="402"/>
        <v>0</v>
      </c>
      <c r="AR1083">
        <f t="shared" si="403"/>
        <v>4.8999999999999995</v>
      </c>
      <c r="AS1083">
        <f t="shared" si="404"/>
        <v>0</v>
      </c>
      <c r="AT1083" t="str">
        <f t="shared" si="405"/>
        <v>VENTAS</v>
      </c>
      <c r="AU1083">
        <f t="shared" si="406"/>
        <v>64.862569275295584</v>
      </c>
      <c r="AV1083" t="str">
        <f t="shared" si="407"/>
        <v>Mayor retorno probable: VENTAS (+64,9 puntos finales potenciales).</v>
      </c>
    </row>
    <row r="1084" spans="1:48" x14ac:dyDescent="0.3">
      <c r="A1084" s="5">
        <v>51021649</v>
      </c>
      <c r="B1084" s="5" t="str">
        <f>IFERROR(VLOOKUP(A1084,VENTAS!$A$2:$B$1194,2,0),"")</f>
        <v/>
      </c>
      <c r="C1084" s="5">
        <f>IFERROR(INDEX(VENTAS!$C$2:$E$1194,MATCH(A1084,VENTAS!$A$2:$A$1194,0),MATCH(PARAMS_MODELO!$B$2,{"Q1","Q2","Q3"},0)),0)</f>
        <v>15690091.25</v>
      </c>
      <c r="D1084" s="5">
        <f>IFERROR(INDEX(VENTAS!$F$2:$H$1194,MATCH(A1084,VENTAS!$A$2:$A$1194,0),MATCH(PARAMS_MODELO!$B$2,{"Q1","Q2","Q3"},0)),0)</f>
        <v>0</v>
      </c>
      <c r="E1084" s="8">
        <f t="shared" si="384"/>
        <v>-1</v>
      </c>
      <c r="F1084" s="12">
        <f>IF(E1084&lt;=PARAMS_MODELO!$B$15,0,IF(E1084&gt;=PARAMS_MODELO!$B$17,100,100*MIN(1,(E1084-PARAMS_MODELO!$B$15)/(PARAMS_MODELO!$B$16-PARAMS_MODELO!$B$15))))*PARAMS_MODELO!$B$7</f>
        <v>0</v>
      </c>
      <c r="G1084" s="5">
        <f t="shared" si="385"/>
        <v>0</v>
      </c>
      <c r="H1084" s="5">
        <f>(PARAMS_MODELO!$B$20*(MAX(0,MIN(3,E1084))/3)+PARAMS_MODELO!$B$21*(IFERROR(LN(1+MAX(0,G1084))/LN(1+MAX(0,MAX($G$2:$G$1194))),0)))*100*PARAMS_MODELO!$B$8</f>
        <v>0</v>
      </c>
      <c r="I1084" s="8">
        <f>E1084-PARAMS_MODELO!$B$5</f>
        <v>-1.1775628353755265</v>
      </c>
      <c r="J1084" s="5">
        <f>IF(I1084&lt;=PARAMS_MODELO!$B$18,0,IF(I1084&gt;=PARAMS_MODELO!$B$19,100,100*(I1084-PARAMS_MODELO!$B$18)/(PARAMS_MODELO!$B$19-PARAMS_MODELO!$B$18)))*PARAMS_MODELO!$B$9</f>
        <v>0</v>
      </c>
      <c r="K1084" s="5">
        <f>IFERROR(CHOOSE(MATCH(PARAMS_MODELO!$B$2,{"Q1","Q2","Q3"},0),LOTO!$D1084,LOTO!$F1084,LOTO!$H1084),0)</f>
        <v>0</v>
      </c>
      <c r="L1084" s="8">
        <f t="shared" si="386"/>
        <v>0</v>
      </c>
      <c r="M1084" s="5">
        <f>MIN(100,IF(PARAMS_MODELO!$B$23=0,0,100*L1084/PARAMS_MODELO!$B$23))*PARAMS_MODELO!$B$10</f>
        <v>0</v>
      </c>
      <c r="N1084" s="5">
        <f>IFERROR(VLOOKUP(A1084,COMPLIANCE!$A$2:$F$1996,6,0),100)</f>
        <v>100</v>
      </c>
      <c r="O1084" s="5">
        <f>N1084*PARAMS_MODELO!$B$11</f>
        <v>10</v>
      </c>
      <c r="P1084" s="5">
        <f>IFERROR(VLOOKUP(A1084,DIGITAL!$A$2:$J$2000,7,0),100)</f>
        <v>50</v>
      </c>
      <c r="Q1084" s="5">
        <f>IFERROR(P1084,0)*PARAMS_MODELO!$B$12</f>
        <v>5</v>
      </c>
      <c r="R1084">
        <f t="shared" si="387"/>
        <v>15</v>
      </c>
      <c r="S1084" s="5" t="str">
        <f>IFERROR(VLOOKUP(A1084,CLIENTE!$A$2:$N$2000,13,0),1)</f>
        <v>Regular</v>
      </c>
      <c r="T1084" s="5">
        <f>IFERROR(VLOOKUP(A1084,CLIENTE!$A$2:$N$2000,14,0),1)</f>
        <v>1</v>
      </c>
      <c r="U1084" s="5">
        <f t="shared" si="388"/>
        <v>15</v>
      </c>
      <c r="V1084" s="5" t="str">
        <f>IF(U1084&gt;=MAX(_xlfn.PERCENTILE.INC($U$2:$U$1194,PARAMS_MODELO!$B$50),PARAMS_MODELO!$B$45),"DIAMANTE",IF(U1084&gt;=MAX(_xlfn.PERCENTILE.INC($U$2:$U$1194,PARAMS_MODELO!$B$51),PARAMS_MODELO!$B$46),"PLATINO",IF(U1084&gt;=MAX(_xlfn.PERCENTILE.INC($U$2:$U$1194,PARAMS_MODELO!$B$52),PARAMS_MODELO!$B$47),"ORO",IF(U1084&gt;=MAX(_xlfn.PERCENTILE.INC($U$2:$U$1194,PARAMS_MODELO!$B$53),PARAMS_MODELO!$B$48),"PLATA",IF(U1084&gt;=1,"BRONCE","CERRADO")))))</f>
        <v>BRONCE</v>
      </c>
      <c r="W1084" s="5" t="str" cm="1">
        <f t="array" ref="W1084">_xlfn.XLOOKUP(1, (HIST_SCORE!$B:$B=PARAMS_MODELO!$B$4) * (HIST_SCORE!$C:$C=A1084), HIST_SCORE!$E:$E, "No encontrado")</f>
        <v>BRONCE</v>
      </c>
      <c r="X1084" s="5" t="str">
        <f>_xlfn.LET(_xlpm.act,MATCH(V1084,{"DIAMANTE";"PLATINO";"ORO";"PLATA";"BRONCE";"CERRADO"},0),_xlpm.ant,MATCH(W1084,{"DIAMANTE";"PLATINO";"ORO";"PLATA";"BRONCE";"CERRADO"},0),IF(_xlpm.act&lt;_xlpm.ant,"Mejora ↑",IF(_xlpm.act&gt;_xlpm.ant,"Baja ↓","Estable →")))</f>
        <v>Estable →</v>
      </c>
      <c r="Y1084" s="5">
        <f>IFERROR(U1084-SUMIFS(HIST_SCORE!$D:$D,HIST_SCORE!$B:$B,PARAMS_MODELO!$B$4,HIST_SCORE!$C:$C,$A1084),"")</f>
        <v>0</v>
      </c>
      <c r="Z1084" s="5" t="str">
        <f t="shared" si="389"/>
        <v>→ Estable</v>
      </c>
      <c r="AA1084" s="5">
        <f t="shared" si="390"/>
        <v>1079</v>
      </c>
      <c r="AB1084" s="5">
        <f>IFERROR(SUMIFS(HIST_SCORE!$F:$F,HIST_SCORE!$B:$B,PARAMS_MODELO!$B$4,HIST_SCORE!$C:$C,$A1084),"")</f>
        <v>1076</v>
      </c>
      <c r="AC1084" s="5">
        <f t="shared" si="391"/>
        <v>-3</v>
      </c>
      <c r="AD1084" t="str">
        <f t="shared" si="393"/>
        <v/>
      </c>
      <c r="AE10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1084="CERRADO",1,IF(V1084="BRONCE",_xlpm.cPl,IF(V1084="PLATA",_xlpm.cO,IF(V1084="ORO",_xlpm.cP,IF(V1084="PLATINO",_xlpm.cD,999))))))</f>
        <v>24.506573482968111</v>
      </c>
      <c r="AF10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1084="CERRADO",0,IF(V1084="BRONCE",1,IF(V1084="PLATA",_xlpm.cPl,IF(V1084="ORO",_xlpm.cO,IF(V1084="PLATINO",_xlpm.cP,_xlpm.cD))))))</f>
        <v>1</v>
      </c>
      <c r="AG1084">
        <f t="shared" si="394"/>
        <v>9.5065734829681112</v>
      </c>
      <c r="AH1084" t="str">
        <f t="shared" si="395"/>
        <v>VENTAS</v>
      </c>
      <c r="AI1084" t="str">
        <f t="shared" si="392"/>
        <v>🎯 Para subir de categoría, eje VENTAS / CRECIMIENTO PERSONAL (F). Acción: metas semanales + activación comercial + seguimiento del asesor. ΔR aprox: 9,5</v>
      </c>
      <c r="AJ1084" s="26">
        <f>_xlfn.LET(_xlpm.piso,AF1084,_xlpm.corte,AE1084,_xlpm.prog,IF(_xlpm.corte&lt;=_xlpm.piso,0,MAX(0,MIN(1,(U1084-_xlpm.piso)/(_xlpm.corte-_xlpm.piso)))),_xlpm.orden,{"DIAMANTE";"PLATINO";"ORO";"PLATA";"BRONCE";"CERRADO"},_xlpm.act,IFERROR(MATCH(V1084,_xlpm.orden,0),6),_xlpm.ant,IFERROR(MATCH(W1084,_xlpm.orden,0),6),_xlpm.ajmov,IF(_xlpm.act&lt;_xlpm.ant,0.08,IF(_xlpm.act&gt;_xlpm.ant,-0.08,0)),_xlpm.ajcli,IF(T1084&lt;0.95,-0.06,0),_xlpm.prob,MAX(0,MIN(1,_xlpm.prog+_xlpm.ajmov+_xlpm.ajcli)),IF(OR(V1084="DIAMANTE",V1084="CERRADO"),0,ROUND(_xlpm.prob,2)))</f>
        <v>0.6</v>
      </c>
      <c r="AK1084" t="str">
        <f t="shared" si="396"/>
        <v>Faltan 9,5 puntos base para subir a la siguiente categoría</v>
      </c>
      <c r="AL1084" t="str">
        <f t="shared" si="397"/>
        <v>No aplica</v>
      </c>
      <c r="AM1084">
        <f t="shared" si="398"/>
        <v>0.54</v>
      </c>
      <c r="AN1084" t="str">
        <f t="shared" si="399"/>
        <v>PRIORIDAD MEDIA – seguimiento del asesor</v>
      </c>
      <c r="AO1084">
        <f t="shared" si="400"/>
        <v>64.862569275295584</v>
      </c>
      <c r="AP1084">
        <f t="shared" si="401"/>
        <v>15</v>
      </c>
      <c r="AQ1084">
        <f t="shared" si="402"/>
        <v>0</v>
      </c>
      <c r="AR1084">
        <f t="shared" si="403"/>
        <v>5</v>
      </c>
      <c r="AS1084">
        <f t="shared" si="404"/>
        <v>0</v>
      </c>
      <c r="AT1084" t="str">
        <f t="shared" si="405"/>
        <v>VENTAS</v>
      </c>
      <c r="AU1084">
        <f t="shared" si="406"/>
        <v>64.862569275295584</v>
      </c>
      <c r="AV1084" t="str">
        <f t="shared" si="407"/>
        <v>Mayor retorno probable: VENTAS (+64,9 puntos finales potenciales).</v>
      </c>
    </row>
    <row r="1085" spans="1:48" x14ac:dyDescent="0.3">
      <c r="A1085" s="5">
        <v>51021908</v>
      </c>
      <c r="B1085" s="5" t="str">
        <f>IFERROR(VLOOKUP(A1085,VENTAS!$A$2:$B$1194,2,0),"")</f>
        <v/>
      </c>
      <c r="C1085" s="5">
        <f>IFERROR(INDEX(VENTAS!$C$2:$E$1194,MATCH(A1085,VENTAS!$A$2:$A$1194,0),MATCH(PARAMS_MODELO!$B$2,{"Q1","Q2","Q3"},0)),0)</f>
        <v>0</v>
      </c>
      <c r="D1085" s="5">
        <f>IFERROR(INDEX(VENTAS!$F$2:$H$1194,MATCH(A1085,VENTAS!$A$2:$A$1194,0),MATCH(PARAMS_MODELO!$B$2,{"Q1","Q2","Q3"},0)),0)</f>
        <v>0</v>
      </c>
      <c r="E1085" s="8">
        <f t="shared" si="384"/>
        <v>0</v>
      </c>
      <c r="F1085" s="12">
        <f>IF(E1085&lt;=PARAMS_MODELO!$B$15,0,IF(E1085&gt;=PARAMS_MODELO!$B$17,100,100*MIN(1,(E1085-PARAMS_MODELO!$B$15)/(PARAMS_MODELO!$B$16-PARAMS_MODELO!$B$15))))*PARAMS_MODELO!$B$7</f>
        <v>0</v>
      </c>
      <c r="G1085" s="5">
        <f t="shared" si="385"/>
        <v>0</v>
      </c>
      <c r="H1085" s="5">
        <f>(PARAMS_MODELO!$B$20*(MAX(0,MIN(3,E1085))/3)+PARAMS_MODELO!$B$21*(IFERROR(LN(1+MAX(0,G1085))/LN(1+MAX(0,MAX($G$2:$G$1194))),0)))*100*PARAMS_MODELO!$B$8</f>
        <v>0</v>
      </c>
      <c r="I1085" s="8">
        <f>E1085-PARAMS_MODELO!$B$5</f>
        <v>-0.17756283537552653</v>
      </c>
      <c r="J1085" s="5">
        <f>IF(I1085&lt;=PARAMS_MODELO!$B$18,0,IF(I1085&gt;=PARAMS_MODELO!$B$19,100,100*(I1085-PARAMS_MODELO!$B$18)/(PARAMS_MODELO!$B$19-PARAMS_MODELO!$B$18)))*PARAMS_MODELO!$B$9</f>
        <v>0</v>
      </c>
      <c r="K1085" s="5">
        <f>IFERROR(CHOOSE(MATCH(PARAMS_MODELO!$B$2,{"Q1","Q2","Q3"},0),LOTO!$D1085,LOTO!$F1085,LOTO!$H1085),0)</f>
        <v>0</v>
      </c>
      <c r="L1085" s="8">
        <f t="shared" si="386"/>
        <v>0</v>
      </c>
      <c r="M1085" s="5">
        <f>MIN(100,IF(PARAMS_MODELO!$B$23=0,0,100*L1085/PARAMS_MODELO!$B$23))*PARAMS_MODELO!$B$10</f>
        <v>0</v>
      </c>
      <c r="N1085" s="5">
        <f>IFERROR(VLOOKUP(A1085,COMPLIANCE!$A$2:$F$1996,6,0),100)</f>
        <v>100</v>
      </c>
      <c r="O1085" s="5">
        <f>N1085*PARAMS_MODELO!$B$11</f>
        <v>10</v>
      </c>
      <c r="P1085" s="5">
        <f>IFERROR(VLOOKUP(A1085,DIGITAL!$A$2:$J$2000,7,0),100)</f>
        <v>2</v>
      </c>
      <c r="Q1085" s="5">
        <f>IFERROR(P1085,0)*PARAMS_MODELO!$B$12</f>
        <v>0.2</v>
      </c>
      <c r="R1085">
        <f t="shared" si="387"/>
        <v>10.199999999999999</v>
      </c>
      <c r="S1085" s="5" t="str">
        <f>IFERROR(VLOOKUP(A1085,CLIENTE!$A$2:$N$2000,13,0),1)</f>
        <v>Regular</v>
      </c>
      <c r="T1085" s="5">
        <f>IFERROR(VLOOKUP(A1085,CLIENTE!$A$2:$N$2000,14,0),1)</f>
        <v>1</v>
      </c>
      <c r="U1085" s="5">
        <f t="shared" si="388"/>
        <v>10.199999999999999</v>
      </c>
      <c r="V1085" s="5" t="str">
        <f>IF(U1085&gt;=MAX(_xlfn.PERCENTILE.INC($U$2:$U$1194,PARAMS_MODELO!$B$50),PARAMS_MODELO!$B$45),"DIAMANTE",IF(U1085&gt;=MAX(_xlfn.PERCENTILE.INC($U$2:$U$1194,PARAMS_MODELO!$B$51),PARAMS_MODELO!$B$46),"PLATINO",IF(U1085&gt;=MAX(_xlfn.PERCENTILE.INC($U$2:$U$1194,PARAMS_MODELO!$B$52),PARAMS_MODELO!$B$47),"ORO",IF(U1085&gt;=MAX(_xlfn.PERCENTILE.INC($U$2:$U$1194,PARAMS_MODELO!$B$53),PARAMS_MODELO!$B$48),"PLATA",IF(U1085&gt;=1,"BRONCE","CERRADO")))))</f>
        <v>BRONCE</v>
      </c>
      <c r="W1085" s="5" t="str" cm="1">
        <f t="array" ref="W1085">_xlfn.XLOOKUP(1, (HIST_SCORE!$B:$B=PARAMS_MODELO!$B$4) * (HIST_SCORE!$C:$C=A1085), HIST_SCORE!$E:$E, "No encontrado")</f>
        <v>BRONCE</v>
      </c>
      <c r="X1085" s="5" t="str">
        <f>_xlfn.LET(_xlpm.act,MATCH(V1085,{"DIAMANTE";"PLATINO";"ORO";"PLATA";"BRONCE";"CERRADO"},0),_xlpm.ant,MATCH(W1085,{"DIAMANTE";"PLATINO";"ORO";"PLATA";"BRONCE";"CERRADO"},0),IF(_xlpm.act&lt;_xlpm.ant,"Mejora ↑",IF(_xlpm.act&gt;_xlpm.ant,"Baja ↓","Estable →")))</f>
        <v>Estable →</v>
      </c>
      <c r="Y1085" s="5">
        <f>IFERROR(U1085-SUMIFS(HIST_SCORE!$D:$D,HIST_SCORE!$B:$B,PARAMS_MODELO!$B$4,HIST_SCORE!$C:$C,$A1085),"")</f>
        <v>0</v>
      </c>
      <c r="Z1085" s="5" t="str">
        <f t="shared" si="389"/>
        <v>→ Estable</v>
      </c>
      <c r="AA1085" s="5">
        <f t="shared" si="390"/>
        <v>1167</v>
      </c>
      <c r="AB1085" s="5">
        <f>IFERROR(SUMIFS(HIST_SCORE!$F:$F,HIST_SCORE!$B:$B,PARAMS_MODELO!$B$4,HIST_SCORE!$C:$C,$A1085),"")</f>
        <v>1166</v>
      </c>
      <c r="AC1085" s="5">
        <f t="shared" si="391"/>
        <v>-1</v>
      </c>
      <c r="AD1085" t="str">
        <f t="shared" si="393"/>
        <v/>
      </c>
      <c r="AE10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1085="CERRADO",1,IF(V1085="BRONCE",_xlpm.cPl,IF(V1085="PLATA",_xlpm.cO,IF(V1085="ORO",_xlpm.cP,IF(V1085="PLATINO",_xlpm.cD,999))))))</f>
        <v>24.506573482968111</v>
      </c>
      <c r="AF10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1085="CERRADO",0,IF(V1085="BRONCE",1,IF(V1085="PLATA",_xlpm.cPl,IF(V1085="ORO",_xlpm.cO,IF(V1085="PLATINO",_xlpm.cP,_xlpm.cD))))))</f>
        <v>1</v>
      </c>
      <c r="AG1085">
        <f t="shared" si="394"/>
        <v>14.306573482968112</v>
      </c>
      <c r="AH1085" t="str">
        <f t="shared" si="395"/>
        <v>VENTAS</v>
      </c>
      <c r="AI1085" t="str">
        <f t="shared" si="392"/>
        <v>🎯 Para subir de categoría, eje VENTAS / CRECIMIENTO PERSONAL (F). Acción: metas semanales + activación comercial + seguimiento del asesor. ΔR aprox: 14,3</v>
      </c>
      <c r="AJ1085" s="26">
        <f>_xlfn.LET(_xlpm.piso,AF1085,_xlpm.corte,AE1085,_xlpm.prog,IF(_xlpm.corte&lt;=_xlpm.piso,0,MAX(0,MIN(1,(U1085-_xlpm.piso)/(_xlpm.corte-_xlpm.piso)))),_xlpm.orden,{"DIAMANTE";"PLATINO";"ORO";"PLATA";"BRONCE";"CERRADO"},_xlpm.act,IFERROR(MATCH(V1085,_xlpm.orden,0),6),_xlpm.ant,IFERROR(MATCH(W1085,_xlpm.orden,0),6),_xlpm.ajmov,IF(_xlpm.act&lt;_xlpm.ant,0.08,IF(_xlpm.act&gt;_xlpm.ant,-0.08,0)),_xlpm.ajcli,IF(T1085&lt;0.95,-0.06,0),_xlpm.prob,MAX(0,MIN(1,_xlpm.prog+_xlpm.ajmov+_xlpm.ajcli)),IF(OR(V1085="DIAMANTE",V1085="CERRADO"),0,ROUND(_xlpm.prob,2)))</f>
        <v>0.39</v>
      </c>
      <c r="AK1085" t="str">
        <f t="shared" si="396"/>
        <v>Faltan 14,3 puntos base para subir a la siguiente categoría</v>
      </c>
      <c r="AL1085" t="str">
        <f t="shared" si="397"/>
        <v>No aplica</v>
      </c>
      <c r="AM1085">
        <f t="shared" si="398"/>
        <v>0.64</v>
      </c>
      <c r="AN1085" t="str">
        <f t="shared" si="399"/>
        <v>PRIORIDAD MEDIA – seguimiento del asesor</v>
      </c>
      <c r="AO1085">
        <f t="shared" si="400"/>
        <v>64.862569275295584</v>
      </c>
      <c r="AP1085">
        <f t="shared" si="401"/>
        <v>15</v>
      </c>
      <c r="AQ1085">
        <f t="shared" si="402"/>
        <v>0</v>
      </c>
      <c r="AR1085">
        <f t="shared" si="403"/>
        <v>9.8000000000000007</v>
      </c>
      <c r="AS1085">
        <f t="shared" si="404"/>
        <v>0</v>
      </c>
      <c r="AT1085" t="str">
        <f t="shared" si="405"/>
        <v>VENTAS</v>
      </c>
      <c r="AU1085">
        <f t="shared" si="406"/>
        <v>64.862569275295584</v>
      </c>
      <c r="AV1085" t="str">
        <f t="shared" si="407"/>
        <v>Mayor retorno probable: VENTAS (+64,9 puntos finales potenciales).</v>
      </c>
    </row>
    <row r="1086" spans="1:48" x14ac:dyDescent="0.3">
      <c r="A1086" s="5">
        <v>51021924</v>
      </c>
      <c r="B1086" s="5" t="str">
        <f>IFERROR(VLOOKUP(A1086,VENTAS!$A$2:$B$1194,2,0),"")</f>
        <v/>
      </c>
      <c r="C1086" s="5">
        <f>IFERROR(INDEX(VENTAS!$C$2:$E$1194,MATCH(A1086,VENTAS!$A$2:$A$1194,0),MATCH(PARAMS_MODELO!$B$2,{"Q1","Q2","Q3"},0)),0)</f>
        <v>300766</v>
      </c>
      <c r="D1086" s="5">
        <f>IFERROR(INDEX(VENTAS!$F$2:$H$1194,MATCH(A1086,VENTAS!$A$2:$A$1194,0),MATCH(PARAMS_MODELO!$B$2,{"Q1","Q2","Q3"},0)),0)</f>
        <v>0</v>
      </c>
      <c r="E1086" s="8">
        <f t="shared" si="384"/>
        <v>-1</v>
      </c>
      <c r="F1086" s="12">
        <f>IF(E1086&lt;=PARAMS_MODELO!$B$15,0,IF(E1086&gt;=PARAMS_MODELO!$B$17,100,100*MIN(1,(E1086-PARAMS_MODELO!$B$15)/(PARAMS_MODELO!$B$16-PARAMS_MODELO!$B$15))))*PARAMS_MODELO!$B$7</f>
        <v>0</v>
      </c>
      <c r="G1086" s="5">
        <f t="shared" si="385"/>
        <v>0</v>
      </c>
      <c r="H1086" s="5">
        <f>(PARAMS_MODELO!$B$20*(MAX(0,MIN(3,E1086))/3)+PARAMS_MODELO!$B$21*(IFERROR(LN(1+MAX(0,G1086))/LN(1+MAX(0,MAX($G$2:$G$1194))),0)))*100*PARAMS_MODELO!$B$8</f>
        <v>0</v>
      </c>
      <c r="I1086" s="8">
        <f>E1086-PARAMS_MODELO!$B$5</f>
        <v>-1.1775628353755265</v>
      </c>
      <c r="J1086" s="5">
        <f>IF(I1086&lt;=PARAMS_MODELO!$B$18,0,IF(I1086&gt;=PARAMS_MODELO!$B$19,100,100*(I1086-PARAMS_MODELO!$B$18)/(PARAMS_MODELO!$B$19-PARAMS_MODELO!$B$18)))*PARAMS_MODELO!$B$9</f>
        <v>0</v>
      </c>
      <c r="K1086" s="5">
        <f>IFERROR(CHOOSE(MATCH(PARAMS_MODELO!$B$2,{"Q1","Q2","Q3"},0),LOTO!$D1086,LOTO!$F1086,LOTO!$H1086),0)</f>
        <v>0</v>
      </c>
      <c r="L1086" s="8">
        <f t="shared" si="386"/>
        <v>0</v>
      </c>
      <c r="M1086" s="5">
        <f>MIN(100,IF(PARAMS_MODELO!$B$23=0,0,100*L1086/PARAMS_MODELO!$B$23))*PARAMS_MODELO!$B$10</f>
        <v>0</v>
      </c>
      <c r="N1086" s="5">
        <f>IFERROR(VLOOKUP(A1086,COMPLIANCE!$A$2:$F$1996,6,0),100)</f>
        <v>100</v>
      </c>
      <c r="O1086" s="5">
        <f>N1086*PARAMS_MODELO!$B$11</f>
        <v>10</v>
      </c>
      <c r="P1086" s="5">
        <f>IFERROR(VLOOKUP(A1086,DIGITAL!$A$2:$J$2000,7,0),100)</f>
        <v>74</v>
      </c>
      <c r="Q1086" s="5">
        <f>IFERROR(P1086,0)*PARAMS_MODELO!$B$12</f>
        <v>7.4</v>
      </c>
      <c r="R1086">
        <f t="shared" si="387"/>
        <v>17.399999999999999</v>
      </c>
      <c r="S1086" s="5" t="str">
        <f>IFERROR(VLOOKUP(A1086,CLIENTE!$A$2:$N$2000,13,0),1)</f>
        <v>Regular</v>
      </c>
      <c r="T1086" s="5">
        <f>IFERROR(VLOOKUP(A1086,CLIENTE!$A$2:$N$2000,14,0),1)</f>
        <v>1</v>
      </c>
      <c r="U1086" s="5">
        <f t="shared" si="388"/>
        <v>17.399999999999999</v>
      </c>
      <c r="V1086" s="5" t="str">
        <f>IF(U1086&gt;=MAX(_xlfn.PERCENTILE.INC($U$2:$U$1194,PARAMS_MODELO!$B$50),PARAMS_MODELO!$B$45),"DIAMANTE",IF(U1086&gt;=MAX(_xlfn.PERCENTILE.INC($U$2:$U$1194,PARAMS_MODELO!$B$51),PARAMS_MODELO!$B$46),"PLATINO",IF(U1086&gt;=MAX(_xlfn.PERCENTILE.INC($U$2:$U$1194,PARAMS_MODELO!$B$52),PARAMS_MODELO!$B$47),"ORO",IF(U1086&gt;=MAX(_xlfn.PERCENTILE.INC($U$2:$U$1194,PARAMS_MODELO!$B$53),PARAMS_MODELO!$B$48),"PLATA",IF(U1086&gt;=1,"BRONCE","CERRADO")))))</f>
        <v>BRONCE</v>
      </c>
      <c r="W1086" s="5" t="str" cm="1">
        <f t="array" ref="W1086">_xlfn.XLOOKUP(1, (HIST_SCORE!$B:$B=PARAMS_MODELO!$B$4) * (HIST_SCORE!$C:$C=A1086), HIST_SCORE!$E:$E, "No encontrado")</f>
        <v>BRONCE</v>
      </c>
      <c r="X1086" s="5" t="str">
        <f>_xlfn.LET(_xlpm.act,MATCH(V1086,{"DIAMANTE";"PLATINO";"ORO";"PLATA";"BRONCE";"CERRADO"},0),_xlpm.ant,MATCH(W1086,{"DIAMANTE";"PLATINO";"ORO";"PLATA";"BRONCE";"CERRADO"},0),IF(_xlpm.act&lt;_xlpm.ant,"Mejora ↑",IF(_xlpm.act&gt;_xlpm.ant,"Baja ↓","Estable →")))</f>
        <v>Estable →</v>
      </c>
      <c r="Y1086" s="5">
        <f>IFERROR(U1086-SUMIFS(HIST_SCORE!$D:$D,HIST_SCORE!$B:$B,PARAMS_MODELO!$B$4,HIST_SCORE!$C:$C,$A1086),"")</f>
        <v>0</v>
      </c>
      <c r="Z1086" s="5" t="str">
        <f t="shared" si="389"/>
        <v>→ Estable</v>
      </c>
      <c r="AA1086" s="5">
        <f t="shared" si="390"/>
        <v>1042</v>
      </c>
      <c r="AB1086" s="5">
        <f>IFERROR(SUMIFS(HIST_SCORE!$F:$F,HIST_SCORE!$B:$B,PARAMS_MODELO!$B$4,HIST_SCORE!$C:$C,$A1086),"")</f>
        <v>1036</v>
      </c>
      <c r="AC1086" s="5">
        <f t="shared" si="391"/>
        <v>-6</v>
      </c>
      <c r="AD1086" t="str">
        <f t="shared" si="393"/>
        <v/>
      </c>
      <c r="AE10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1086="CERRADO",1,IF(V1086="BRONCE",_xlpm.cPl,IF(V1086="PLATA",_xlpm.cO,IF(V1086="ORO",_xlpm.cP,IF(V1086="PLATINO",_xlpm.cD,999))))))</f>
        <v>24.506573482968111</v>
      </c>
      <c r="AF10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1086="CERRADO",0,IF(V1086="BRONCE",1,IF(V1086="PLATA",_xlpm.cPl,IF(V1086="ORO",_xlpm.cO,IF(V1086="PLATINO",_xlpm.cP,_xlpm.cD))))))</f>
        <v>1</v>
      </c>
      <c r="AG1086">
        <f t="shared" si="394"/>
        <v>7.1065734829681126</v>
      </c>
      <c r="AH1086" t="str">
        <f t="shared" si="395"/>
        <v>VENTAS</v>
      </c>
      <c r="AI1086" t="str">
        <f t="shared" si="392"/>
        <v>🎯 Para subir de categoría, eje VENTAS / CRECIMIENTO PERSONAL (F). Acción: metas semanales + activación comercial + seguimiento del asesor. ΔR aprox: 7,1</v>
      </c>
      <c r="AJ1086" s="26">
        <f>_xlfn.LET(_xlpm.piso,AF1086,_xlpm.corte,AE1086,_xlpm.prog,IF(_xlpm.corte&lt;=_xlpm.piso,0,MAX(0,MIN(1,(U1086-_xlpm.piso)/(_xlpm.corte-_xlpm.piso)))),_xlpm.orden,{"DIAMANTE";"PLATINO";"ORO";"PLATA";"BRONCE";"CERRADO"},_xlpm.act,IFERROR(MATCH(V1086,_xlpm.orden,0),6),_xlpm.ant,IFERROR(MATCH(W1086,_xlpm.orden,0),6),_xlpm.ajmov,IF(_xlpm.act&lt;_xlpm.ant,0.08,IF(_xlpm.act&gt;_xlpm.ant,-0.08,0)),_xlpm.ajcli,IF(T1086&lt;0.95,-0.06,0),_xlpm.prob,MAX(0,MIN(1,_xlpm.prog+_xlpm.ajmov+_xlpm.ajcli)),IF(OR(V1086="DIAMANTE",V1086="CERRADO"),0,ROUND(_xlpm.prob,2)))</f>
        <v>0.7</v>
      </c>
      <c r="AK1086" t="str">
        <f t="shared" si="396"/>
        <v>Faltan 7,1 puntos base para subir a la siguiente categoría</v>
      </c>
      <c r="AL1086" t="str">
        <f t="shared" si="397"/>
        <v>No aplica</v>
      </c>
      <c r="AM1086">
        <f t="shared" si="398"/>
        <v>0.4</v>
      </c>
      <c r="AN1086" t="str">
        <f t="shared" si="399"/>
        <v>PRIORIDAD MEDIA – seguimiento del asesor</v>
      </c>
      <c r="AO1086">
        <f t="shared" si="400"/>
        <v>64.862569275295584</v>
      </c>
      <c r="AP1086">
        <f t="shared" si="401"/>
        <v>15</v>
      </c>
      <c r="AQ1086">
        <f t="shared" si="402"/>
        <v>0</v>
      </c>
      <c r="AR1086">
        <f t="shared" si="403"/>
        <v>2.5999999999999996</v>
      </c>
      <c r="AS1086">
        <f t="shared" si="404"/>
        <v>0</v>
      </c>
      <c r="AT1086" t="str">
        <f t="shared" si="405"/>
        <v>VENTAS</v>
      </c>
      <c r="AU1086">
        <f t="shared" si="406"/>
        <v>64.862569275295584</v>
      </c>
      <c r="AV1086" t="str">
        <f t="shared" si="407"/>
        <v>Mayor retorno probable: VENTAS (+64,9 puntos finales potenciales).</v>
      </c>
    </row>
    <row r="1087" spans="1:48" x14ac:dyDescent="0.3">
      <c r="A1087" s="5">
        <v>51022203</v>
      </c>
      <c r="B1087" s="5" t="str">
        <f>IFERROR(VLOOKUP(A1087,VENTAS!$A$2:$B$1194,2,0),"")</f>
        <v/>
      </c>
      <c r="C1087" s="5">
        <f>IFERROR(INDEX(VENTAS!$C$2:$E$1194,MATCH(A1087,VENTAS!$A$2:$A$1194,0),MATCH(PARAMS_MODELO!$B$2,{"Q1","Q2","Q3"},0)),0)</f>
        <v>0</v>
      </c>
      <c r="D1087" s="5">
        <f>IFERROR(INDEX(VENTAS!$F$2:$H$1194,MATCH(A1087,VENTAS!$A$2:$A$1194,0),MATCH(PARAMS_MODELO!$B$2,{"Q1","Q2","Q3"},0)),0)</f>
        <v>0</v>
      </c>
      <c r="E1087" s="8">
        <f t="shared" si="384"/>
        <v>0</v>
      </c>
      <c r="F1087" s="12">
        <f>IF(E1087&lt;=PARAMS_MODELO!$B$15,0,IF(E1087&gt;=PARAMS_MODELO!$B$17,100,100*MIN(1,(E1087-PARAMS_MODELO!$B$15)/(PARAMS_MODELO!$B$16-PARAMS_MODELO!$B$15))))*PARAMS_MODELO!$B$7</f>
        <v>0</v>
      </c>
      <c r="G1087" s="5">
        <f t="shared" si="385"/>
        <v>0</v>
      </c>
      <c r="H1087" s="5">
        <f>(PARAMS_MODELO!$B$20*(MAX(0,MIN(3,E1087))/3)+PARAMS_MODELO!$B$21*(IFERROR(LN(1+MAX(0,G1087))/LN(1+MAX(0,MAX($G$2:$G$1194))),0)))*100*PARAMS_MODELO!$B$8</f>
        <v>0</v>
      </c>
      <c r="I1087" s="8">
        <f>E1087-PARAMS_MODELO!$B$5</f>
        <v>-0.17756283537552653</v>
      </c>
      <c r="J1087" s="5">
        <f>IF(I1087&lt;=PARAMS_MODELO!$B$18,0,IF(I1087&gt;=PARAMS_MODELO!$B$19,100,100*(I1087-PARAMS_MODELO!$B$18)/(PARAMS_MODELO!$B$19-PARAMS_MODELO!$B$18)))*PARAMS_MODELO!$B$9</f>
        <v>0</v>
      </c>
      <c r="K1087" s="5">
        <f>IFERROR(CHOOSE(MATCH(PARAMS_MODELO!$B$2,{"Q1","Q2","Q3"},0),LOTO!$D1087,LOTO!$F1087,LOTO!$H1087),0)</f>
        <v>0</v>
      </c>
      <c r="L1087" s="8">
        <f t="shared" si="386"/>
        <v>0</v>
      </c>
      <c r="M1087" s="5">
        <f>MIN(100,IF(PARAMS_MODELO!$B$23=0,0,100*L1087/PARAMS_MODELO!$B$23))*PARAMS_MODELO!$B$10</f>
        <v>0</v>
      </c>
      <c r="N1087" s="5">
        <f>IFERROR(VLOOKUP(A1087,COMPLIANCE!$A$2:$F$1996,6,0),100)</f>
        <v>100</v>
      </c>
      <c r="O1087" s="5">
        <f>N1087*PARAMS_MODELO!$B$11</f>
        <v>10</v>
      </c>
      <c r="P1087" s="5">
        <f>IFERROR(VLOOKUP(A1087,DIGITAL!$A$2:$J$2000,7,0),100)</f>
        <v>47</v>
      </c>
      <c r="Q1087" s="5">
        <f>IFERROR(P1087,0)*PARAMS_MODELO!$B$12</f>
        <v>4.7</v>
      </c>
      <c r="R1087">
        <f t="shared" si="387"/>
        <v>14.7</v>
      </c>
      <c r="S1087" s="5" t="str">
        <f>IFERROR(VLOOKUP(A1087,CLIENTE!$A$2:$N$2000,13,0),1)</f>
        <v>Malo</v>
      </c>
      <c r="T1087" s="5">
        <f>IFERROR(VLOOKUP(A1087,CLIENTE!$A$2:$N$2000,14,0),1)</f>
        <v>0.7</v>
      </c>
      <c r="U1087" s="5">
        <f t="shared" si="388"/>
        <v>10.29</v>
      </c>
      <c r="V1087" s="5" t="str">
        <f>IF(U1087&gt;=MAX(_xlfn.PERCENTILE.INC($U$2:$U$1194,PARAMS_MODELO!$B$50),PARAMS_MODELO!$B$45),"DIAMANTE",IF(U1087&gt;=MAX(_xlfn.PERCENTILE.INC($U$2:$U$1194,PARAMS_MODELO!$B$51),PARAMS_MODELO!$B$46),"PLATINO",IF(U1087&gt;=MAX(_xlfn.PERCENTILE.INC($U$2:$U$1194,PARAMS_MODELO!$B$52),PARAMS_MODELO!$B$47),"ORO",IF(U1087&gt;=MAX(_xlfn.PERCENTILE.INC($U$2:$U$1194,PARAMS_MODELO!$B$53),PARAMS_MODELO!$B$48),"PLATA",IF(U1087&gt;=1,"BRONCE","CERRADO")))))</f>
        <v>BRONCE</v>
      </c>
      <c r="W1087" s="5" t="str" cm="1">
        <f t="array" ref="W1087">_xlfn.XLOOKUP(1, (HIST_SCORE!$B:$B=PARAMS_MODELO!$B$4) * (HIST_SCORE!$C:$C=A1087), HIST_SCORE!$E:$E, "No encontrado")</f>
        <v>BRONCE</v>
      </c>
      <c r="X1087" s="5" t="str">
        <f>_xlfn.LET(_xlpm.act,MATCH(V1087,{"DIAMANTE";"PLATINO";"ORO";"PLATA";"BRONCE";"CERRADO"},0),_xlpm.ant,MATCH(W1087,{"DIAMANTE";"PLATINO";"ORO";"PLATA";"BRONCE";"CERRADO"},0),IF(_xlpm.act&lt;_xlpm.ant,"Mejora ↑",IF(_xlpm.act&gt;_xlpm.ant,"Baja ↓","Estable →")))</f>
        <v>Estable →</v>
      </c>
      <c r="Y1087" s="5">
        <f>IFERROR(U1087-SUMIFS(HIST_SCORE!$D:$D,HIST_SCORE!$B:$B,PARAMS_MODELO!$B$4,HIST_SCORE!$C:$C,$A1087),"")</f>
        <v>0</v>
      </c>
      <c r="Z1087" s="5" t="str">
        <f t="shared" si="389"/>
        <v>→ Estable</v>
      </c>
      <c r="AA1087" s="5">
        <f t="shared" si="390"/>
        <v>1166</v>
      </c>
      <c r="AB1087" s="5">
        <f>IFERROR(SUMIFS(HIST_SCORE!$F:$F,HIST_SCORE!$B:$B,PARAMS_MODELO!$B$4,HIST_SCORE!$C:$C,$A1087),"")</f>
        <v>1165</v>
      </c>
      <c r="AC1087" s="5">
        <f t="shared" si="391"/>
        <v>-1</v>
      </c>
      <c r="AD1087" t="str">
        <f t="shared" si="393"/>
        <v/>
      </c>
      <c r="AE10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1087="CERRADO",1,IF(V1087="BRONCE",_xlpm.cPl,IF(V1087="PLATA",_xlpm.cO,IF(V1087="ORO",_xlpm.cP,IF(V1087="PLATINO",_xlpm.cD,999))))))</f>
        <v>24.506573482968111</v>
      </c>
      <c r="AF10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1087="CERRADO",0,IF(V1087="BRONCE",1,IF(V1087="PLATA",_xlpm.cPl,IF(V1087="ORO",_xlpm.cO,IF(V1087="PLATINO",_xlpm.cP,_xlpm.cD))))))</f>
        <v>1</v>
      </c>
      <c r="AG1087">
        <f t="shared" si="394"/>
        <v>20.309390689954444</v>
      </c>
      <c r="AH1087" t="str">
        <f t="shared" si="395"/>
        <v>VENTAS</v>
      </c>
      <c r="AI1087" t="str">
        <f t="shared" si="392"/>
        <v>🎯 Para subir de categoría, eje VENTAS / CRECIMIENTO PERSONAL (F). Acción: metas semanales + activación comercial + seguimiento del asesor. ΔR aprox: 20,3</v>
      </c>
      <c r="AJ1087" s="26">
        <f>_xlfn.LET(_xlpm.piso,AF1087,_xlpm.corte,AE1087,_xlpm.prog,IF(_xlpm.corte&lt;=_xlpm.piso,0,MAX(0,MIN(1,(U1087-_xlpm.piso)/(_xlpm.corte-_xlpm.piso)))),_xlpm.orden,{"DIAMANTE";"PLATINO";"ORO";"PLATA";"BRONCE";"CERRADO"},_xlpm.act,IFERROR(MATCH(V1087,_xlpm.orden,0),6),_xlpm.ant,IFERROR(MATCH(W1087,_xlpm.orden,0),6),_xlpm.ajmov,IF(_xlpm.act&lt;_xlpm.ant,0.08,IF(_xlpm.act&gt;_xlpm.ant,-0.08,0)),_xlpm.ajcli,IF(T1087&lt;0.95,-0.06,0),_xlpm.prob,MAX(0,MIN(1,_xlpm.prog+_xlpm.ajmov+_xlpm.ajcli)),IF(OR(V1087="DIAMANTE",V1087="CERRADO"),0,ROUND(_xlpm.prob,2)))</f>
        <v>0.34</v>
      </c>
      <c r="AK1087" t="str">
        <f t="shared" si="396"/>
        <v>Faltan 20,3 puntos base para subir a la siguiente categoría</v>
      </c>
      <c r="AL1087" t="str">
        <f t="shared" si="397"/>
        <v>No aplica</v>
      </c>
      <c r="AM1087">
        <f t="shared" si="398"/>
        <v>0.86</v>
      </c>
      <c r="AN1087" t="str">
        <f t="shared" si="399"/>
        <v>PRIORIDAD ALTA – requiere intervención inmediata</v>
      </c>
      <c r="AO1087">
        <f t="shared" si="400"/>
        <v>45.403798492706905</v>
      </c>
      <c r="AP1087">
        <f t="shared" si="401"/>
        <v>10.5</v>
      </c>
      <c r="AQ1087">
        <f t="shared" si="402"/>
        <v>0</v>
      </c>
      <c r="AR1087">
        <f t="shared" si="403"/>
        <v>3.7099999999999995</v>
      </c>
      <c r="AS1087">
        <f t="shared" si="404"/>
        <v>4.41</v>
      </c>
      <c r="AT1087" t="str">
        <f t="shared" si="405"/>
        <v>VENTAS</v>
      </c>
      <c r="AU1087">
        <f t="shared" si="406"/>
        <v>45.403798492706905</v>
      </c>
      <c r="AV1087" t="str">
        <f t="shared" si="407"/>
        <v>Mayor retorno probable: VENTAS (+45,4 puntos finales potenciales).</v>
      </c>
    </row>
    <row r="1088" spans="1:48" x14ac:dyDescent="0.3">
      <c r="A1088" s="5">
        <v>51022271</v>
      </c>
      <c r="B1088" s="5" t="str">
        <f>IFERROR(VLOOKUP(A1088,VENTAS!$A$2:$B$1194,2,0),"")</f>
        <v/>
      </c>
      <c r="C1088" s="5">
        <f>IFERROR(INDEX(VENTAS!$C$2:$E$1194,MATCH(A1088,VENTAS!$A$2:$A$1194,0),MATCH(PARAMS_MODELO!$B$2,{"Q1","Q2","Q3"},0)),0)</f>
        <v>46200</v>
      </c>
      <c r="D1088" s="5">
        <f>IFERROR(INDEX(VENTAS!$F$2:$H$1194,MATCH(A1088,VENTAS!$A$2:$A$1194,0),MATCH(PARAMS_MODELO!$B$2,{"Q1","Q2","Q3"},0)),0)</f>
        <v>0</v>
      </c>
      <c r="E1088" s="8">
        <f t="shared" si="384"/>
        <v>-1</v>
      </c>
      <c r="F1088" s="12">
        <f>IF(E1088&lt;=PARAMS_MODELO!$B$15,0,IF(E1088&gt;=PARAMS_MODELO!$B$17,100,100*MIN(1,(E1088-PARAMS_MODELO!$B$15)/(PARAMS_MODELO!$B$16-PARAMS_MODELO!$B$15))))*PARAMS_MODELO!$B$7</f>
        <v>0</v>
      </c>
      <c r="G1088" s="5">
        <f t="shared" si="385"/>
        <v>0</v>
      </c>
      <c r="H1088" s="5">
        <f>(PARAMS_MODELO!$B$20*(MAX(0,MIN(3,E1088))/3)+PARAMS_MODELO!$B$21*(IFERROR(LN(1+MAX(0,G1088))/LN(1+MAX(0,MAX($G$2:$G$1194))),0)))*100*PARAMS_MODELO!$B$8</f>
        <v>0</v>
      </c>
      <c r="I1088" s="8">
        <f>E1088-PARAMS_MODELO!$B$5</f>
        <v>-1.1775628353755265</v>
      </c>
      <c r="J1088" s="5">
        <f>IF(I1088&lt;=PARAMS_MODELO!$B$18,0,IF(I1088&gt;=PARAMS_MODELO!$B$19,100,100*(I1088-PARAMS_MODELO!$B$18)/(PARAMS_MODELO!$B$19-PARAMS_MODELO!$B$18)))*PARAMS_MODELO!$B$9</f>
        <v>0</v>
      </c>
      <c r="K1088" s="5">
        <f>IFERROR(CHOOSE(MATCH(PARAMS_MODELO!$B$2,{"Q1","Q2","Q3"},0),LOTO!$D1088,LOTO!$F1088,LOTO!$H1088),0)</f>
        <v>0</v>
      </c>
      <c r="L1088" s="8">
        <f t="shared" si="386"/>
        <v>0</v>
      </c>
      <c r="M1088" s="5">
        <f>MIN(100,IF(PARAMS_MODELO!$B$23=0,0,100*L1088/PARAMS_MODELO!$B$23))*PARAMS_MODELO!$B$10</f>
        <v>0</v>
      </c>
      <c r="N1088" s="5">
        <f>IFERROR(VLOOKUP(A1088,COMPLIANCE!$A$2:$F$1996,6,0),100)</f>
        <v>100</v>
      </c>
      <c r="O1088" s="5">
        <f>N1088*PARAMS_MODELO!$B$11</f>
        <v>10</v>
      </c>
      <c r="P1088" s="5">
        <f>IFERROR(VLOOKUP(A1088,DIGITAL!$A$2:$J$2000,7,0),100)</f>
        <v>74</v>
      </c>
      <c r="Q1088" s="5">
        <f>IFERROR(P1088,0)*PARAMS_MODELO!$B$12</f>
        <v>7.4</v>
      </c>
      <c r="R1088">
        <f t="shared" si="387"/>
        <v>17.399999999999999</v>
      </c>
      <c r="S1088" s="5" t="str">
        <f>IFERROR(VLOOKUP(A1088,CLIENTE!$A$2:$N$2000,13,0),1)</f>
        <v>Malo</v>
      </c>
      <c r="T1088" s="5">
        <f>IFERROR(VLOOKUP(A1088,CLIENTE!$A$2:$N$2000,14,0),1)</f>
        <v>0.7</v>
      </c>
      <c r="U1088" s="5">
        <f t="shared" si="388"/>
        <v>12.179999999999998</v>
      </c>
      <c r="V1088" s="5" t="str">
        <f>IF(U1088&gt;=MAX(_xlfn.PERCENTILE.INC($U$2:$U$1194,PARAMS_MODELO!$B$50),PARAMS_MODELO!$B$45),"DIAMANTE",IF(U1088&gt;=MAX(_xlfn.PERCENTILE.INC($U$2:$U$1194,PARAMS_MODELO!$B$51),PARAMS_MODELO!$B$46),"PLATINO",IF(U1088&gt;=MAX(_xlfn.PERCENTILE.INC($U$2:$U$1194,PARAMS_MODELO!$B$52),PARAMS_MODELO!$B$47),"ORO",IF(U1088&gt;=MAX(_xlfn.PERCENTILE.INC($U$2:$U$1194,PARAMS_MODELO!$B$53),PARAMS_MODELO!$B$48),"PLATA",IF(U1088&gt;=1,"BRONCE","CERRADO")))))</f>
        <v>BRONCE</v>
      </c>
      <c r="W1088" s="5" t="str" cm="1">
        <f t="array" ref="W1088">_xlfn.XLOOKUP(1, (HIST_SCORE!$B:$B=PARAMS_MODELO!$B$4) * (HIST_SCORE!$C:$C=A1088), HIST_SCORE!$E:$E, "No encontrado")</f>
        <v>BRONCE</v>
      </c>
      <c r="X1088" s="5" t="str">
        <f>_xlfn.LET(_xlpm.act,MATCH(V1088,{"DIAMANTE";"PLATINO";"ORO";"PLATA";"BRONCE";"CERRADO"},0),_xlpm.ant,MATCH(W1088,{"DIAMANTE";"PLATINO";"ORO";"PLATA";"BRONCE";"CERRADO"},0),IF(_xlpm.act&lt;_xlpm.ant,"Mejora ↑",IF(_xlpm.act&gt;_xlpm.ant,"Baja ↓","Estable →")))</f>
        <v>Estable →</v>
      </c>
      <c r="Y1088" s="5">
        <f>IFERROR(U1088-SUMIFS(HIST_SCORE!$D:$D,HIST_SCORE!$B:$B,PARAMS_MODELO!$B$4,HIST_SCORE!$C:$C,$A1088),"")</f>
        <v>0</v>
      </c>
      <c r="Z1088" s="5" t="str">
        <f t="shared" si="389"/>
        <v>→ Estable</v>
      </c>
      <c r="AA1088" s="5">
        <f t="shared" si="390"/>
        <v>1131</v>
      </c>
      <c r="AB1088" s="5">
        <f>IFERROR(SUMIFS(HIST_SCORE!$F:$F,HIST_SCORE!$B:$B,PARAMS_MODELO!$B$4,HIST_SCORE!$C:$C,$A1088),"")</f>
        <v>1129</v>
      </c>
      <c r="AC1088" s="5">
        <f t="shared" si="391"/>
        <v>-2</v>
      </c>
      <c r="AD1088" t="str">
        <f t="shared" si="393"/>
        <v/>
      </c>
      <c r="AE10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1088="CERRADO",1,IF(V1088="BRONCE",_xlpm.cPl,IF(V1088="PLATA",_xlpm.cO,IF(V1088="ORO",_xlpm.cP,IF(V1088="PLATINO",_xlpm.cD,999))))))</f>
        <v>24.506573482968111</v>
      </c>
      <c r="AF10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1088="CERRADO",0,IF(V1088="BRONCE",1,IF(V1088="PLATA",_xlpm.cPl,IF(V1088="ORO",_xlpm.cO,IF(V1088="PLATINO",_xlpm.cP,_xlpm.cD))))))</f>
        <v>1</v>
      </c>
      <c r="AG1088">
        <f t="shared" si="394"/>
        <v>17.609390689954445</v>
      </c>
      <c r="AH1088" t="str">
        <f t="shared" si="395"/>
        <v>VENTAS</v>
      </c>
      <c r="AI1088" t="str">
        <f t="shared" si="392"/>
        <v>🎯 Para subir de categoría, eje VENTAS / CRECIMIENTO PERSONAL (F). Acción: metas semanales + activación comercial + seguimiento del asesor. ΔR aprox: 17,6</v>
      </c>
      <c r="AJ1088" s="26">
        <f>_xlfn.LET(_xlpm.piso,AF1088,_xlpm.corte,AE1088,_xlpm.prog,IF(_xlpm.corte&lt;=_xlpm.piso,0,MAX(0,MIN(1,(U1088-_xlpm.piso)/(_xlpm.corte-_xlpm.piso)))),_xlpm.orden,{"DIAMANTE";"PLATINO";"ORO";"PLATA";"BRONCE";"CERRADO"},_xlpm.act,IFERROR(MATCH(V1088,_xlpm.orden,0),6),_xlpm.ant,IFERROR(MATCH(W1088,_xlpm.orden,0),6),_xlpm.ajmov,IF(_xlpm.act&lt;_xlpm.ant,0.08,IF(_xlpm.act&gt;_xlpm.ant,-0.08,0)),_xlpm.ajcli,IF(T1088&lt;0.95,-0.06,0),_xlpm.prob,MAX(0,MIN(1,_xlpm.prog+_xlpm.ajmov+_xlpm.ajcli)),IF(OR(V1088="DIAMANTE",V1088="CERRADO"),0,ROUND(_xlpm.prob,2)))</f>
        <v>0.42</v>
      </c>
      <c r="AK1088" t="str">
        <f t="shared" si="396"/>
        <v>Faltan 17,6 puntos base para subir a la siguiente categoría</v>
      </c>
      <c r="AL1088" t="str">
        <f t="shared" si="397"/>
        <v>No aplica</v>
      </c>
      <c r="AM1088">
        <f t="shared" si="398"/>
        <v>0.83</v>
      </c>
      <c r="AN1088" t="str">
        <f t="shared" si="399"/>
        <v>PRIORIDAD ALTA – requiere intervención inmediata</v>
      </c>
      <c r="AO1088">
        <f t="shared" si="400"/>
        <v>45.403798492706905</v>
      </c>
      <c r="AP1088">
        <f t="shared" si="401"/>
        <v>10.5</v>
      </c>
      <c r="AQ1088">
        <f t="shared" si="402"/>
        <v>0</v>
      </c>
      <c r="AR1088">
        <f t="shared" si="403"/>
        <v>1.8199999999999996</v>
      </c>
      <c r="AS1088">
        <f t="shared" si="404"/>
        <v>5.2200000000000006</v>
      </c>
      <c r="AT1088" t="str">
        <f t="shared" si="405"/>
        <v>VENTAS</v>
      </c>
      <c r="AU1088">
        <f t="shared" si="406"/>
        <v>45.403798492706905</v>
      </c>
      <c r="AV1088" t="str">
        <f t="shared" si="407"/>
        <v>Mayor retorno probable: VENTAS (+45,4 puntos finales potenciales).</v>
      </c>
    </row>
    <row r="1089" spans="1:48" x14ac:dyDescent="0.3">
      <c r="A1089" s="5">
        <v>51022297</v>
      </c>
      <c r="B1089" s="5" t="str">
        <f>IFERROR(VLOOKUP(A1089,VENTAS!$A$2:$B$1194,2,0),"")</f>
        <v/>
      </c>
      <c r="C1089" s="5">
        <f>IFERROR(INDEX(VENTAS!$C$2:$E$1194,MATCH(A1089,VENTAS!$A$2:$A$1194,0),MATCH(PARAMS_MODELO!$B$2,{"Q1","Q2","Q3"},0)),0)</f>
        <v>0</v>
      </c>
      <c r="D1089" s="5">
        <f>IFERROR(INDEX(VENTAS!$F$2:$H$1194,MATCH(A1089,VENTAS!$A$2:$A$1194,0),MATCH(PARAMS_MODELO!$B$2,{"Q1","Q2","Q3"},0)),0)</f>
        <v>0</v>
      </c>
      <c r="E1089" s="8">
        <f t="shared" si="384"/>
        <v>0</v>
      </c>
      <c r="F1089" s="12">
        <f>IF(E1089&lt;=PARAMS_MODELO!$B$15,0,IF(E1089&gt;=PARAMS_MODELO!$B$17,100,100*MIN(1,(E1089-PARAMS_MODELO!$B$15)/(PARAMS_MODELO!$B$16-PARAMS_MODELO!$B$15))))*PARAMS_MODELO!$B$7</f>
        <v>0</v>
      </c>
      <c r="G1089" s="5">
        <f t="shared" si="385"/>
        <v>0</v>
      </c>
      <c r="H1089" s="5">
        <f>(PARAMS_MODELO!$B$20*(MAX(0,MIN(3,E1089))/3)+PARAMS_MODELO!$B$21*(IFERROR(LN(1+MAX(0,G1089))/LN(1+MAX(0,MAX($G$2:$G$1194))),0)))*100*PARAMS_MODELO!$B$8</f>
        <v>0</v>
      </c>
      <c r="I1089" s="8">
        <f>E1089-PARAMS_MODELO!$B$5</f>
        <v>-0.17756283537552653</v>
      </c>
      <c r="J1089" s="5">
        <f>IF(I1089&lt;=PARAMS_MODELO!$B$18,0,IF(I1089&gt;=PARAMS_MODELO!$B$19,100,100*(I1089-PARAMS_MODELO!$B$18)/(PARAMS_MODELO!$B$19-PARAMS_MODELO!$B$18)))*PARAMS_MODELO!$B$9</f>
        <v>0</v>
      </c>
      <c r="K1089" s="5">
        <f>IFERROR(CHOOSE(MATCH(PARAMS_MODELO!$B$2,{"Q1","Q2","Q3"},0),LOTO!$D1089,LOTO!$F1089,LOTO!$H1089),0)</f>
        <v>0</v>
      </c>
      <c r="L1089" s="8">
        <f t="shared" si="386"/>
        <v>0</v>
      </c>
      <c r="M1089" s="5">
        <f>MIN(100,IF(PARAMS_MODELO!$B$23=0,0,100*L1089/PARAMS_MODELO!$B$23))*PARAMS_MODELO!$B$10</f>
        <v>0</v>
      </c>
      <c r="N1089" s="5">
        <f>IFERROR(VLOOKUP(A1089,COMPLIANCE!$A$2:$F$1996,6,0),100)</f>
        <v>100</v>
      </c>
      <c r="O1089" s="5">
        <f>N1089*PARAMS_MODELO!$B$11</f>
        <v>10</v>
      </c>
      <c r="P1089" s="5">
        <f>IFERROR(VLOOKUP(A1089,DIGITAL!$A$2:$J$2000,7,0),100)</f>
        <v>65</v>
      </c>
      <c r="Q1089" s="5">
        <f>IFERROR(P1089,0)*PARAMS_MODELO!$B$12</f>
        <v>6.5</v>
      </c>
      <c r="R1089">
        <f t="shared" si="387"/>
        <v>16.5</v>
      </c>
      <c r="S1089" s="5" t="str">
        <f>IFERROR(VLOOKUP(A1089,CLIENTE!$A$2:$N$2000,13,0),1)</f>
        <v>Muy Bueno</v>
      </c>
      <c r="T1089" s="5">
        <f>IFERROR(VLOOKUP(A1089,CLIENTE!$A$2:$N$2000,14,0),1)</f>
        <v>1.1499999999999999</v>
      </c>
      <c r="U1089" s="5">
        <f t="shared" si="388"/>
        <v>18.974999999999998</v>
      </c>
      <c r="V1089" s="5" t="str">
        <f>IF(U1089&gt;=MAX(_xlfn.PERCENTILE.INC($U$2:$U$1194,PARAMS_MODELO!$B$50),PARAMS_MODELO!$B$45),"DIAMANTE",IF(U1089&gt;=MAX(_xlfn.PERCENTILE.INC($U$2:$U$1194,PARAMS_MODELO!$B$51),PARAMS_MODELO!$B$46),"PLATINO",IF(U1089&gt;=MAX(_xlfn.PERCENTILE.INC($U$2:$U$1194,PARAMS_MODELO!$B$52),PARAMS_MODELO!$B$47),"ORO",IF(U1089&gt;=MAX(_xlfn.PERCENTILE.INC($U$2:$U$1194,PARAMS_MODELO!$B$53),PARAMS_MODELO!$B$48),"PLATA",IF(U1089&gt;=1,"BRONCE","CERRADO")))))</f>
        <v>BRONCE</v>
      </c>
      <c r="W1089" s="5" t="str" cm="1">
        <f t="array" ref="W1089">_xlfn.XLOOKUP(1, (HIST_SCORE!$B:$B=PARAMS_MODELO!$B$4) * (HIST_SCORE!$C:$C=A1089), HIST_SCORE!$E:$E, "No encontrado")</f>
        <v>BRONCE</v>
      </c>
      <c r="X1089" s="5" t="str">
        <f>_xlfn.LET(_xlpm.act,MATCH(V1089,{"DIAMANTE";"PLATINO";"ORO";"PLATA";"BRONCE";"CERRADO"},0),_xlpm.ant,MATCH(W1089,{"DIAMANTE";"PLATINO";"ORO";"PLATA";"BRONCE";"CERRADO"},0),IF(_xlpm.act&lt;_xlpm.ant,"Mejora ↑",IF(_xlpm.act&gt;_xlpm.ant,"Baja ↓","Estable →")))</f>
        <v>Estable →</v>
      </c>
      <c r="Y1089" s="5">
        <f>IFERROR(U1089-SUMIFS(HIST_SCORE!$D:$D,HIST_SCORE!$B:$B,PARAMS_MODELO!$B$4,HIST_SCORE!$C:$C,$A1089),"")</f>
        <v>0</v>
      </c>
      <c r="Z1089" s="5" t="str">
        <f t="shared" si="389"/>
        <v>→ Estable</v>
      </c>
      <c r="AA1089" s="5">
        <f t="shared" si="390"/>
        <v>1002</v>
      </c>
      <c r="AB1089" s="5">
        <f>IFERROR(SUMIFS(HIST_SCORE!$F:$F,HIST_SCORE!$B:$B,PARAMS_MODELO!$B$4,HIST_SCORE!$C:$C,$A1089),"")</f>
        <v>1007</v>
      </c>
      <c r="AC1089" s="5">
        <f t="shared" si="391"/>
        <v>5</v>
      </c>
      <c r="AD1089" t="str">
        <f t="shared" si="393"/>
        <v/>
      </c>
      <c r="AE10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1089="CERRADO",1,IF(V1089="BRONCE",_xlpm.cPl,IF(V1089="PLATA",_xlpm.cO,IF(V1089="ORO",_xlpm.cP,IF(V1089="PLATINO",_xlpm.cD,999))))))</f>
        <v>24.506573482968111</v>
      </c>
      <c r="AF10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1089="CERRADO",0,IF(V1089="BRONCE",1,IF(V1089="PLATA",_xlpm.cPl,IF(V1089="ORO",_xlpm.cO,IF(V1089="PLATINO",_xlpm.cP,_xlpm.cD))))))</f>
        <v>1</v>
      </c>
      <c r="AG1089">
        <f t="shared" si="394"/>
        <v>4.8100638982331425</v>
      </c>
      <c r="AH1089" t="str">
        <f t="shared" si="395"/>
        <v>VENTAS</v>
      </c>
      <c r="AI1089" t="str">
        <f t="shared" si="392"/>
        <v>🎯 Para subir de categoría, eje VENTAS / CRECIMIENTO PERSONAL (F). Acción: metas semanales + activación comercial + seguimiento del asesor. ΔR aprox: 4,8</v>
      </c>
      <c r="AJ1089" s="26">
        <f>_xlfn.LET(_xlpm.piso,AF1089,_xlpm.corte,AE1089,_xlpm.prog,IF(_xlpm.corte&lt;=_xlpm.piso,0,MAX(0,MIN(1,(U1089-_xlpm.piso)/(_xlpm.corte-_xlpm.piso)))),_xlpm.orden,{"DIAMANTE";"PLATINO";"ORO";"PLATA";"BRONCE";"CERRADO"},_xlpm.act,IFERROR(MATCH(V1089,_xlpm.orden,0),6),_xlpm.ant,IFERROR(MATCH(W1089,_xlpm.orden,0),6),_xlpm.ajmov,IF(_xlpm.act&lt;_xlpm.ant,0.08,IF(_xlpm.act&gt;_xlpm.ant,-0.08,0)),_xlpm.ajcli,IF(T1089&lt;0.95,-0.06,0),_xlpm.prob,MAX(0,MIN(1,_xlpm.prog+_xlpm.ajmov+_xlpm.ajcli)),IF(OR(V1089="DIAMANTE",V1089="CERRADO"),0,ROUND(_xlpm.prob,2)))</f>
        <v>0.76</v>
      </c>
      <c r="AK1089" t="str">
        <f t="shared" si="396"/>
        <v>Faltan 4,8 puntos base para subir a la siguiente categoría</v>
      </c>
      <c r="AL1089" t="str">
        <f t="shared" si="397"/>
        <v>No aplica</v>
      </c>
      <c r="AM1089">
        <f t="shared" si="398"/>
        <v>0.28999999999999998</v>
      </c>
      <c r="AN1089" t="str">
        <f t="shared" si="399"/>
        <v>PRIORIDAD BAJA – control normal</v>
      </c>
      <c r="AO1089">
        <f t="shared" si="400"/>
        <v>74.591954666589913</v>
      </c>
      <c r="AP1089">
        <f t="shared" si="401"/>
        <v>17.25</v>
      </c>
      <c r="AQ1089">
        <f t="shared" si="402"/>
        <v>0</v>
      </c>
      <c r="AR1089">
        <f t="shared" si="403"/>
        <v>4.0249999999999995</v>
      </c>
      <c r="AS1089">
        <f t="shared" si="404"/>
        <v>0</v>
      </c>
      <c r="AT1089" t="str">
        <f t="shared" si="405"/>
        <v>VENTAS</v>
      </c>
      <c r="AU1089">
        <f t="shared" si="406"/>
        <v>74.591954666589913</v>
      </c>
      <c r="AV1089" t="str">
        <f t="shared" si="407"/>
        <v>Mayor retorno probable: VENTAS (+74,6 puntos finales potenciales).</v>
      </c>
    </row>
    <row r="1090" spans="1:48" x14ac:dyDescent="0.3">
      <c r="A1090" s="5">
        <v>51022807</v>
      </c>
      <c r="B1090" s="5" t="str">
        <f>IFERROR(VLOOKUP(A1090,VENTAS!$A$2:$B$1194,2,0),"")</f>
        <v/>
      </c>
      <c r="C1090" s="5">
        <f>IFERROR(INDEX(VENTAS!$C$2:$E$1194,MATCH(A1090,VENTAS!$A$2:$A$1194,0),MATCH(PARAMS_MODELO!$B$2,{"Q1","Q2","Q3"},0)),0)</f>
        <v>77182997.579999998</v>
      </c>
      <c r="D1090" s="5">
        <f>IFERROR(INDEX(VENTAS!$F$2:$H$1194,MATCH(A1090,VENTAS!$A$2:$A$1194,0),MATCH(PARAMS_MODELO!$B$2,{"Q1","Q2","Q3"},0)),0)</f>
        <v>0</v>
      </c>
      <c r="E1090" s="8">
        <f t="shared" ref="E1090:E1153" si="408">IFERROR(D1090/C1090-1,0)</f>
        <v>-1</v>
      </c>
      <c r="F1090" s="12">
        <f>IF(E1090&lt;=PARAMS_MODELO!$B$15,0,IF(E1090&gt;=PARAMS_MODELO!$B$17,100,100*MIN(1,(E1090-PARAMS_MODELO!$B$15)/(PARAMS_MODELO!$B$16-PARAMS_MODELO!$B$15))))*PARAMS_MODELO!$B$7</f>
        <v>0</v>
      </c>
      <c r="G1090" s="5">
        <f t="shared" ref="G1090:G1153" si="409">MAX(0,D1090-C1090)</f>
        <v>0</v>
      </c>
      <c r="H1090" s="5">
        <f>(PARAMS_MODELO!$B$20*(MAX(0,MIN(3,E1090))/3)+PARAMS_MODELO!$B$21*(IFERROR(LN(1+MAX(0,G1090))/LN(1+MAX(0,MAX($G$2:$G$1194))),0)))*100*PARAMS_MODELO!$B$8</f>
        <v>0</v>
      </c>
      <c r="I1090" s="8">
        <f>E1090-PARAMS_MODELO!$B$5</f>
        <v>-1.1775628353755265</v>
      </c>
      <c r="J1090" s="5">
        <f>IF(I1090&lt;=PARAMS_MODELO!$B$18,0,IF(I1090&gt;=PARAMS_MODELO!$B$19,100,100*(I1090-PARAMS_MODELO!$B$18)/(PARAMS_MODELO!$B$19-PARAMS_MODELO!$B$18)))*PARAMS_MODELO!$B$9</f>
        <v>0</v>
      </c>
      <c r="K1090" s="5">
        <f>IFERROR(CHOOSE(MATCH(PARAMS_MODELO!$B$2,{"Q1","Q2","Q3"},0),LOTO!$D1090,LOTO!$F1090,LOTO!$H1090),0)</f>
        <v>0</v>
      </c>
      <c r="L1090" s="8">
        <f t="shared" ref="L1090:L1153" si="410">IFERROR(K1090/D1090,0)</f>
        <v>0</v>
      </c>
      <c r="M1090" s="5">
        <f>MIN(100,IF(PARAMS_MODELO!$B$23=0,0,100*L1090/PARAMS_MODELO!$B$23))*PARAMS_MODELO!$B$10</f>
        <v>0</v>
      </c>
      <c r="N1090" s="5">
        <f>IFERROR(VLOOKUP(A1090,COMPLIANCE!$A$2:$F$1996,6,0),100)</f>
        <v>100</v>
      </c>
      <c r="O1090" s="5">
        <f>N1090*PARAMS_MODELO!$B$11</f>
        <v>10</v>
      </c>
      <c r="P1090" s="5">
        <f>IFERROR(VLOOKUP(A1090,DIGITAL!$A$2:$J$2000,7,0),100)</f>
        <v>57</v>
      </c>
      <c r="Q1090" s="5">
        <f>IFERROR(P1090,0)*PARAMS_MODELO!$B$12</f>
        <v>5.7</v>
      </c>
      <c r="R1090">
        <f t="shared" ref="R1090:R1153" si="411">MIN(100,MAX(0,F1090+H1090+J1090+M1090+O1090+Q1090))</f>
        <v>15.7</v>
      </c>
      <c r="S1090" s="5" t="str">
        <f>IFERROR(VLOOKUP(A1090,CLIENTE!$A$2:$N$2000,13,0),1)</f>
        <v>Excelente</v>
      </c>
      <c r="T1090" s="5">
        <f>IFERROR(VLOOKUP(A1090,CLIENTE!$A$2:$N$2000,14,0),1)</f>
        <v>1.2</v>
      </c>
      <c r="U1090" s="5">
        <f t="shared" ref="U1090:U1153" si="412">MIN(100,MAX(0,R1090*T1090))</f>
        <v>18.84</v>
      </c>
      <c r="V1090" s="5" t="str">
        <f>IF(U1090&gt;=MAX(_xlfn.PERCENTILE.INC($U$2:$U$1194,PARAMS_MODELO!$B$50),PARAMS_MODELO!$B$45),"DIAMANTE",IF(U1090&gt;=MAX(_xlfn.PERCENTILE.INC($U$2:$U$1194,PARAMS_MODELO!$B$51),PARAMS_MODELO!$B$46),"PLATINO",IF(U1090&gt;=MAX(_xlfn.PERCENTILE.INC($U$2:$U$1194,PARAMS_MODELO!$B$52),PARAMS_MODELO!$B$47),"ORO",IF(U1090&gt;=MAX(_xlfn.PERCENTILE.INC($U$2:$U$1194,PARAMS_MODELO!$B$53),PARAMS_MODELO!$B$48),"PLATA",IF(U1090&gt;=1,"BRONCE","CERRADO")))))</f>
        <v>BRONCE</v>
      </c>
      <c r="W1090" s="5" t="str" cm="1">
        <f t="array" ref="W1090">_xlfn.XLOOKUP(1, (HIST_SCORE!$B:$B=PARAMS_MODELO!$B$4) * (HIST_SCORE!$C:$C=A1090), HIST_SCORE!$E:$E, "No encontrado")</f>
        <v>BRONCE</v>
      </c>
      <c r="X1090" s="5" t="str">
        <f>_xlfn.LET(_xlpm.act,MATCH(V1090,{"DIAMANTE";"PLATINO";"ORO";"PLATA";"BRONCE";"CERRADO"},0),_xlpm.ant,MATCH(W1090,{"DIAMANTE";"PLATINO";"ORO";"PLATA";"BRONCE";"CERRADO"},0),IF(_xlpm.act&lt;_xlpm.ant,"Mejora ↑",IF(_xlpm.act&gt;_xlpm.ant,"Baja ↓","Estable →")))</f>
        <v>Estable →</v>
      </c>
      <c r="Y1090" s="5">
        <f>IFERROR(U1090-SUMIFS(HIST_SCORE!$D:$D,HIST_SCORE!$B:$B,PARAMS_MODELO!$B$4,HIST_SCORE!$C:$C,$A1090),"")</f>
        <v>0</v>
      </c>
      <c r="Z1090" s="5" t="str">
        <f t="shared" ref="Z1090:Z1153" si="413">IF(Y1090="","",IF(Y1090&gt;=5,"↑ Mejora",IF(Y1090&lt;=-5,"↓ Baja","→ Estable")))</f>
        <v>→ Estable</v>
      </c>
      <c r="AA1090" s="5">
        <f t="shared" ref="AA1090:AA1153" si="414">IFERROR(_xlfn.RANK.EQ(U1090,$U$2:$U$1194,0),"")</f>
        <v>1009</v>
      </c>
      <c r="AB1090" s="5">
        <f>IFERROR(SUMIFS(HIST_SCORE!$F:$F,HIST_SCORE!$B:$B,PARAMS_MODELO!$B$4,HIST_SCORE!$C:$C,$A1090),"")</f>
        <v>1014</v>
      </c>
      <c r="AC1090" s="5">
        <f t="shared" ref="AC1090:AC1153" si="415">IF(OR(AA1090="",AB1090=""),"",AB1090-AA1090)</f>
        <v>5</v>
      </c>
      <c r="AD1090" t="str">
        <f t="shared" si="393"/>
        <v/>
      </c>
      <c r="AE10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1090="CERRADO",1,IF(V1090="BRONCE",_xlpm.cPl,IF(V1090="PLATA",_xlpm.cO,IF(V1090="ORO",_xlpm.cP,IF(V1090="PLATINO",_xlpm.cD,999))))))</f>
        <v>24.506573482968111</v>
      </c>
      <c r="AF10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1090="CERRADO",0,IF(V1090="BRONCE",1,IF(V1090="PLATA",_xlpm.cPl,IF(V1090="ORO",_xlpm.cO,IF(V1090="PLATINO",_xlpm.cP,_xlpm.cD))))))</f>
        <v>1</v>
      </c>
      <c r="AG1090">
        <f t="shared" si="394"/>
        <v>4.7221445691400952</v>
      </c>
      <c r="AH1090" t="str">
        <f t="shared" si="395"/>
        <v>VENTAS</v>
      </c>
      <c r="AI1090" t="str">
        <f t="shared" ref="AI1090:AI1153" si="416">_xlfn.LET(_xlpm.pal,AH1090,_xlpm.deltaR,AG1090,_xlpm.minVent,MIN(F1090,H1090,J1090),_xlpm.subV,IF(_xlpm.minVent=F1090,"CRECIMIENTO PERSONAL (F)",IF(_xlpm.minVent=H1090,"IMPACTO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CRECIMIENTO PERSONAL (F). Acción: metas semanales + activación comercial + seguimiento del asesor. ΔR aprox: 4,7</v>
      </c>
      <c r="AJ1090" s="26">
        <f>_xlfn.LET(_xlpm.piso,AF1090,_xlpm.corte,AE1090,_xlpm.prog,IF(_xlpm.corte&lt;=_xlpm.piso,0,MAX(0,MIN(1,(U1090-_xlpm.piso)/(_xlpm.corte-_xlpm.piso)))),_xlpm.orden,{"DIAMANTE";"PLATINO";"ORO";"PLATA";"BRONCE";"CERRADO"},_xlpm.act,IFERROR(MATCH(V1090,_xlpm.orden,0),6),_xlpm.ant,IFERROR(MATCH(W1090,_xlpm.orden,0),6),_xlpm.ajmov,IF(_xlpm.act&lt;_xlpm.ant,0.08,IF(_xlpm.act&gt;_xlpm.ant,-0.08,0)),_xlpm.ajcli,IF(T1090&lt;0.95,-0.06,0),_xlpm.prob,MAX(0,MIN(1,_xlpm.prog+_xlpm.ajmov+_xlpm.ajcli)),IF(OR(V1090="DIAMANTE",V1090="CERRADO"),0,ROUND(_xlpm.prob,2)))</f>
        <v>0.76</v>
      </c>
      <c r="AK1090" t="str">
        <f t="shared" si="396"/>
        <v>Faltan 4,7 puntos base para subir a la siguiente categoría</v>
      </c>
      <c r="AL1090" t="str">
        <f t="shared" si="397"/>
        <v>No aplica</v>
      </c>
      <c r="AM1090">
        <f t="shared" si="398"/>
        <v>0.28000000000000003</v>
      </c>
      <c r="AN1090" t="str">
        <f t="shared" si="399"/>
        <v>PRIORIDAD BAJA – control normal</v>
      </c>
      <c r="AO1090">
        <f t="shared" si="400"/>
        <v>77.835083130354704</v>
      </c>
      <c r="AP1090">
        <f t="shared" si="401"/>
        <v>18</v>
      </c>
      <c r="AQ1090">
        <f t="shared" si="402"/>
        <v>0</v>
      </c>
      <c r="AR1090">
        <f t="shared" si="403"/>
        <v>5.1599999999999993</v>
      </c>
      <c r="AS1090">
        <f t="shared" si="404"/>
        <v>0</v>
      </c>
      <c r="AT1090" t="str">
        <f t="shared" si="405"/>
        <v>VENTAS</v>
      </c>
      <c r="AU1090">
        <f t="shared" si="406"/>
        <v>77.835083130354704</v>
      </c>
      <c r="AV1090" t="str">
        <f t="shared" si="407"/>
        <v>Mayor retorno probable: VENTAS (+77,8 puntos finales potenciales).</v>
      </c>
    </row>
    <row r="1091" spans="1:48" x14ac:dyDescent="0.3">
      <c r="A1091" s="5">
        <v>51022891</v>
      </c>
      <c r="B1091" s="5" t="str">
        <f>IFERROR(VLOOKUP(A1091,VENTAS!$A$2:$B$1194,2,0),"")</f>
        <v/>
      </c>
      <c r="C1091" s="5">
        <f>IFERROR(INDEX(VENTAS!$C$2:$E$1194,MATCH(A1091,VENTAS!$A$2:$A$1194,0),MATCH(PARAMS_MODELO!$B$2,{"Q1","Q2","Q3"},0)),0)</f>
        <v>0</v>
      </c>
      <c r="D1091" s="5">
        <f>IFERROR(INDEX(VENTAS!$F$2:$H$1194,MATCH(A1091,VENTAS!$A$2:$A$1194,0),MATCH(PARAMS_MODELO!$B$2,{"Q1","Q2","Q3"},0)),0)</f>
        <v>0</v>
      </c>
      <c r="E1091" s="8">
        <f t="shared" si="408"/>
        <v>0</v>
      </c>
      <c r="F1091" s="12">
        <f>IF(E1091&lt;=PARAMS_MODELO!$B$15,0,IF(E1091&gt;=PARAMS_MODELO!$B$17,100,100*MIN(1,(E1091-PARAMS_MODELO!$B$15)/(PARAMS_MODELO!$B$16-PARAMS_MODELO!$B$15))))*PARAMS_MODELO!$B$7</f>
        <v>0</v>
      </c>
      <c r="G1091" s="5">
        <f t="shared" si="409"/>
        <v>0</v>
      </c>
      <c r="H1091" s="5">
        <f>(PARAMS_MODELO!$B$20*(MAX(0,MIN(3,E1091))/3)+PARAMS_MODELO!$B$21*(IFERROR(LN(1+MAX(0,G1091))/LN(1+MAX(0,MAX($G$2:$G$1194))),0)))*100*PARAMS_MODELO!$B$8</f>
        <v>0</v>
      </c>
      <c r="I1091" s="8">
        <f>E1091-PARAMS_MODELO!$B$5</f>
        <v>-0.17756283537552653</v>
      </c>
      <c r="J1091" s="5">
        <f>IF(I1091&lt;=PARAMS_MODELO!$B$18,0,IF(I1091&gt;=PARAMS_MODELO!$B$19,100,100*(I1091-PARAMS_MODELO!$B$18)/(PARAMS_MODELO!$B$19-PARAMS_MODELO!$B$18)))*PARAMS_MODELO!$B$9</f>
        <v>0</v>
      </c>
      <c r="K1091" s="5">
        <f>IFERROR(CHOOSE(MATCH(PARAMS_MODELO!$B$2,{"Q1","Q2","Q3"},0),LOTO!$D1091,LOTO!$F1091,LOTO!$H1091),0)</f>
        <v>0</v>
      </c>
      <c r="L1091" s="8">
        <f t="shared" si="410"/>
        <v>0</v>
      </c>
      <c r="M1091" s="5">
        <f>MIN(100,IF(PARAMS_MODELO!$B$23=0,0,100*L1091/PARAMS_MODELO!$B$23))*PARAMS_MODELO!$B$10</f>
        <v>0</v>
      </c>
      <c r="N1091" s="5">
        <f>IFERROR(VLOOKUP(A1091,COMPLIANCE!$A$2:$F$1996,6,0),100)</f>
        <v>100</v>
      </c>
      <c r="O1091" s="5">
        <f>N1091*PARAMS_MODELO!$B$11</f>
        <v>10</v>
      </c>
      <c r="P1091" s="5">
        <f>IFERROR(VLOOKUP(A1091,DIGITAL!$A$2:$J$2000,7,0),100)</f>
        <v>33</v>
      </c>
      <c r="Q1091" s="5">
        <f>IFERROR(P1091,0)*PARAMS_MODELO!$B$12</f>
        <v>3.3000000000000003</v>
      </c>
      <c r="R1091">
        <f t="shared" si="411"/>
        <v>13.3</v>
      </c>
      <c r="S1091" s="5" t="str">
        <f>IFERROR(VLOOKUP(A1091,CLIENTE!$A$2:$N$2000,13,0),1)</f>
        <v>Malo</v>
      </c>
      <c r="T1091" s="5">
        <f>IFERROR(VLOOKUP(A1091,CLIENTE!$A$2:$N$2000,14,0),1)</f>
        <v>0.7</v>
      </c>
      <c r="U1091" s="5">
        <f t="shared" si="412"/>
        <v>9.31</v>
      </c>
      <c r="V1091" s="5" t="str">
        <f>IF(U1091&gt;=MAX(_xlfn.PERCENTILE.INC($U$2:$U$1194,PARAMS_MODELO!$B$50),PARAMS_MODELO!$B$45),"DIAMANTE",IF(U1091&gt;=MAX(_xlfn.PERCENTILE.INC($U$2:$U$1194,PARAMS_MODELO!$B$51),PARAMS_MODELO!$B$46),"PLATINO",IF(U1091&gt;=MAX(_xlfn.PERCENTILE.INC($U$2:$U$1194,PARAMS_MODELO!$B$52),PARAMS_MODELO!$B$47),"ORO",IF(U1091&gt;=MAX(_xlfn.PERCENTILE.INC($U$2:$U$1194,PARAMS_MODELO!$B$53),PARAMS_MODELO!$B$48),"PLATA",IF(U1091&gt;=1,"BRONCE","CERRADO")))))</f>
        <v>BRONCE</v>
      </c>
      <c r="W1091" s="5" t="str" cm="1">
        <f t="array" ref="W1091">_xlfn.XLOOKUP(1, (HIST_SCORE!$B:$B=PARAMS_MODELO!$B$4) * (HIST_SCORE!$C:$C=A1091), HIST_SCORE!$E:$E, "No encontrado")</f>
        <v>BRONCE</v>
      </c>
      <c r="X1091" s="5" t="str">
        <f>_xlfn.LET(_xlpm.act,MATCH(V1091,{"DIAMANTE";"PLATINO";"ORO";"PLATA";"BRONCE";"CERRADO"},0),_xlpm.ant,MATCH(W1091,{"DIAMANTE";"PLATINO";"ORO";"PLATA";"BRONCE";"CERRADO"},0),IF(_xlpm.act&lt;_xlpm.ant,"Mejora ↑",IF(_xlpm.act&gt;_xlpm.ant,"Baja ↓","Estable →")))</f>
        <v>Estable →</v>
      </c>
      <c r="Y1091" s="5">
        <f>IFERROR(U1091-SUMIFS(HIST_SCORE!$D:$D,HIST_SCORE!$B:$B,PARAMS_MODELO!$B$4,HIST_SCORE!$C:$C,$A1091),"")</f>
        <v>0</v>
      </c>
      <c r="Z1091" s="5" t="str">
        <f t="shared" si="413"/>
        <v>→ Estable</v>
      </c>
      <c r="AA1091" s="5">
        <f t="shared" si="414"/>
        <v>1174</v>
      </c>
      <c r="AB1091" s="5">
        <f>IFERROR(SUMIFS(HIST_SCORE!$F:$F,HIST_SCORE!$B:$B,PARAMS_MODELO!$B$4,HIST_SCORE!$C:$C,$A1091),"")</f>
        <v>1174</v>
      </c>
      <c r="AC1091" s="5">
        <f t="shared" si="415"/>
        <v>0</v>
      </c>
      <c r="AD1091" t="str">
        <f t="shared" ref="AD1091:AD1154" si="417">IF(V1091="CERRADO","Agencia sin actividad o cerrada",IF(AND(V1091="BRONCE",Y1091=""),"Primer corte: cargá histórico para medir movilidad",IF(AND(V1091="BRONCE",Y1091&lt;0),"Plan de recuperación: foco crecimiento + mix",IF(AND(V1091="ORO",Y1091&lt;0),"Sostener base y reforzar mix",""))))</f>
        <v/>
      </c>
      <c r="AE10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1091="CERRADO",1,IF(V1091="BRONCE",_xlpm.cPl,IF(V1091="PLATA",_xlpm.cO,IF(V1091="ORO",_xlpm.cP,IF(V1091="PLATINO",_xlpm.cD,999))))))</f>
        <v>24.506573482968111</v>
      </c>
      <c r="AF10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1091="CERRADO",0,IF(V1091="BRONCE",1,IF(V1091="PLATA",_xlpm.cPl,IF(V1091="ORO",_xlpm.cO,IF(V1091="PLATINO",_xlpm.cP,_xlpm.cD))))))</f>
        <v>1</v>
      </c>
      <c r="AG1091">
        <f t="shared" ref="AG1091:AG1154" si="418">_xlfn.LET(_xlpm.corteU,AE1091,_xlpm.coef,MAX(0.01,T1091),_xlpm.reqR,_xlpm.corteU/_xlpm.coef,MAX(0,_xlpm.reqR-R1091))</f>
        <v>21.709390689954443</v>
      </c>
      <c r="AH1091" t="str">
        <f t="shared" ref="AH1091:AH1154" si="419">_xlfn.LET(_xlpm.deltaR,AG1091,_xlpm.ventas,F1091+H1091+J1091,_xlpm.hv,(MAX($F$2:$F$1194)+MAX($H$2:$H$1194)+MAX($J$2:$J$1194))-_xlpm.ventas,_xlpm.hl,MAX($M$2:$M$1194)-M1091,_xlpm.hc,MAX($O$2:$O$1194)-O1091,_xlpm.hd,MAX($Q$2:$Q$1194)-Q1091,_xlpm.impV,MIN(_xlpm.deltaR,MAX(0,_xlpm.hv)),_xlpm.impL,MIN(_xlpm.deltaR,MAX(0,_xlpm.hl)),_xlpm.impC,MIN(_xlpm.deltaR,MAX(0,_xlpm.hc)),_xlpm.impD,MIN(_xlpm.deltaR,MAX(0,_xlpm.hd)),_xlpm.t,T1091,_xlpm.tObj,1,_xlpm.impCli,IF(_xlpm.t&lt;0.95,MIN(_xlpm.deltaR,R1091*(_xlpm.tObj/_xlpm.t-1)),0),_xlpm.mx,MAX(_xlpm.impV,_xlpm.impL,_xlpm.impC,_xlpm.impD,_xlpm.impCli),IF(V1091="DIAMANTE","SOSTENER",IF(V1091="CERRADO","CERRADO",IF(_xlpm.mx=_xlpm.impCli,"CLIENTE",IF(_xlpm.mx=_xlpm.impV,"VENTAS",IF(_xlpm.mx=_xlpm.impL,"LOTO",IF(_xlpm.mx=_xlpm.impC,"COMPLIANCE","DIGITAL")))))))</f>
        <v>VENTAS</v>
      </c>
      <c r="AI1091" t="str">
        <f t="shared" si="416"/>
        <v>🎯 Para subir de categoría, eje VENTAS / CRECIMIENTO PERSONAL (F). Acción: metas semanales + activación comercial + seguimiento del asesor. ΔR aprox: 21,7</v>
      </c>
      <c r="AJ1091" s="26">
        <f>_xlfn.LET(_xlpm.piso,AF1091,_xlpm.corte,AE1091,_xlpm.prog,IF(_xlpm.corte&lt;=_xlpm.piso,0,MAX(0,MIN(1,(U1091-_xlpm.piso)/(_xlpm.corte-_xlpm.piso)))),_xlpm.orden,{"DIAMANTE";"PLATINO";"ORO";"PLATA";"BRONCE";"CERRADO"},_xlpm.act,IFERROR(MATCH(V1091,_xlpm.orden,0),6),_xlpm.ant,IFERROR(MATCH(W1091,_xlpm.orden,0),6),_xlpm.ajmov,IF(_xlpm.act&lt;_xlpm.ant,0.08,IF(_xlpm.act&gt;_xlpm.ant,-0.08,0)),_xlpm.ajcli,IF(T1091&lt;0.95,-0.06,0),_xlpm.prob,MAX(0,MIN(1,_xlpm.prog+_xlpm.ajmov+_xlpm.ajcli)),IF(OR(V1091="DIAMANTE",V1091="CERRADO"),0,ROUND(_xlpm.prob,2)))</f>
        <v>0.28999999999999998</v>
      </c>
      <c r="AK1091" t="str">
        <f t="shared" ref="AK1091:AK1154" si="420">IF(OR(V1091="DIAMANTE",V1091="CERRADO"),"No aplica","Faltan " &amp; TEXT(AG1091,"0,0") &amp; " puntos base para subir a la siguiente categoría")</f>
        <v>Faltan 21,7 puntos base para subir a la siguiente categoría</v>
      </c>
      <c r="AL1091" t="str">
        <f t="shared" ref="AL1091:AL1154" si="421">_xlfn.LET(_xlpm.piso,AF1091,_xlpm.dist,U1091-_xlpm.piso,IF(OR(V1091="BRONCE",V1091="CERRADO"),"No aplica",IF(_xlpm.dist&lt;=0,"⚠ Riesgo de descenso","Margen de seguridad: " &amp; TEXT(_xlpm.dist,"0,0") &amp; " puntos")))</f>
        <v>No aplica</v>
      </c>
      <c r="AM1091">
        <f t="shared" ref="AM1091:AM1154" si="422">_xlfn.LET(_xlpm.prob,AJ1091,_xlpm.dist,AG1091,_xlpm.coef,T1091,_xlpm.prior,(1-_xlpm.prob)*0.4+MIN(1,_xlpm.dist/10)*0.4+IF(_xlpm.coef&lt;0.95,0.2,0),ROUND(_xlpm.prior,2))</f>
        <v>0.88</v>
      </c>
      <c r="AN1091" t="str">
        <f t="shared" ref="AN1091:AN1154" si="423">IF(AM1091&gt;=0.7,"PRIORIDAD ALTA – requiere intervención inmediata",IF(AM1091&gt;=0.4,"PRIORIDAD MEDIA – seguimiento del asesor","PRIORIDAD BAJA – control normal"))</f>
        <v>PRIORIDAD ALTA – requiere intervención inmediata</v>
      </c>
      <c r="AO1091">
        <f t="shared" ref="AO1091:AO1154" si="424">MAX(0,((MAX($F$2:$F$1194)+MAX($H$2:$H$1194)+MAX($J$2:$J$1194))-(F1091+H1091+J1091))*T1091)</f>
        <v>45.403798492706905</v>
      </c>
      <c r="AP1091">
        <f t="shared" ref="AP1091:AP1154" si="425">MAX(0,(MAX($M$2:$M$1194)-M1091)*T1091)</f>
        <v>10.5</v>
      </c>
      <c r="AQ1091">
        <f t="shared" ref="AQ1091:AQ1154" si="426">MAX(0,(MAX($O$2:$O$1194)-O1091)*T1091)</f>
        <v>0</v>
      </c>
      <c r="AR1091">
        <f t="shared" ref="AR1091:AR1154" si="427">MAX(0,(MAX($Q$2:$Q$1194)-Q1091)*T1091)</f>
        <v>4.6899999999999995</v>
      </c>
      <c r="AS1091">
        <f t="shared" ref="AS1091:AS1154" si="428">MAX(0,R1091*(1-T1091))</f>
        <v>3.9900000000000007</v>
      </c>
      <c r="AT1091" t="str">
        <f t="shared" ref="AT1091:AT1154" si="429">_xlfn.LET(_xlpm.v,AO1091,_xlpm.l,AP1091,_xlpm.c,AQ1091,_xlpm.d,AR1091,_xlpm.cli,AS1091,_xlpm.mx,MAX(_xlpm.v,_xlpm.l,_xlpm.c,_xlpm.d,_xlpm.cli),IF(_xlpm.mx=_xlpm.cli,"CLIENTE",IF(_xlpm.mx=_xlpm.v,"VENTAS",IF(_xlpm.mx=_xlpm.l,"LOTO",IF(_xlpm.mx=_xlpm.c,"COMPLIANCE","DIGITAL")))))</f>
        <v>VENTAS</v>
      </c>
      <c r="AU1091">
        <f t="shared" ref="AU1091:AU1154" si="430">MAX(AO1091,AP1091,AQ1091,AR1091,AS1091)</f>
        <v>45.403798492706905</v>
      </c>
      <c r="AV1091" t="str">
        <f t="shared" ref="AV1091:AV1154" si="431">IF(V1091="CERRADO","⛔ Sin impacto comercial estimable por estado CERRADO.","Mayor retorno probable: " &amp; AT1091 &amp; " (+" &amp; TEXT(AU1091,"0,0") &amp; " puntos finales potenciales).")</f>
        <v>Mayor retorno probable: VENTAS (+45,4 puntos finales potenciales).</v>
      </c>
    </row>
    <row r="1092" spans="1:48" x14ac:dyDescent="0.3">
      <c r="A1092" s="5">
        <v>51022939</v>
      </c>
      <c r="B1092" s="5" t="str">
        <f>IFERROR(VLOOKUP(A1092,VENTAS!$A$2:$B$1194,2,0),"")</f>
        <v/>
      </c>
      <c r="C1092" s="5">
        <f>IFERROR(INDEX(VENTAS!$C$2:$E$1194,MATCH(A1092,VENTAS!$A$2:$A$1194,0),MATCH(PARAMS_MODELO!$B$2,{"Q1","Q2","Q3"},0)),0)</f>
        <v>32642344.100000001</v>
      </c>
      <c r="D1092" s="5">
        <f>IFERROR(INDEX(VENTAS!$F$2:$H$1194,MATCH(A1092,VENTAS!$A$2:$A$1194,0),MATCH(PARAMS_MODELO!$B$2,{"Q1","Q2","Q3"},0)),0)</f>
        <v>0</v>
      </c>
      <c r="E1092" s="8">
        <f t="shared" si="408"/>
        <v>-1</v>
      </c>
      <c r="F1092" s="12">
        <f>IF(E1092&lt;=PARAMS_MODELO!$B$15,0,IF(E1092&gt;=PARAMS_MODELO!$B$17,100,100*MIN(1,(E1092-PARAMS_MODELO!$B$15)/(PARAMS_MODELO!$B$16-PARAMS_MODELO!$B$15))))*PARAMS_MODELO!$B$7</f>
        <v>0</v>
      </c>
      <c r="G1092" s="5">
        <f t="shared" si="409"/>
        <v>0</v>
      </c>
      <c r="H1092" s="5">
        <f>(PARAMS_MODELO!$B$20*(MAX(0,MIN(3,E1092))/3)+PARAMS_MODELO!$B$21*(IFERROR(LN(1+MAX(0,G1092))/LN(1+MAX(0,MAX($G$2:$G$1194))),0)))*100*PARAMS_MODELO!$B$8</f>
        <v>0</v>
      </c>
      <c r="I1092" s="8">
        <f>E1092-PARAMS_MODELO!$B$5</f>
        <v>-1.1775628353755265</v>
      </c>
      <c r="J1092" s="5">
        <f>IF(I1092&lt;=PARAMS_MODELO!$B$18,0,IF(I1092&gt;=PARAMS_MODELO!$B$19,100,100*(I1092-PARAMS_MODELO!$B$18)/(PARAMS_MODELO!$B$19-PARAMS_MODELO!$B$18)))*PARAMS_MODELO!$B$9</f>
        <v>0</v>
      </c>
      <c r="K1092" s="5">
        <f>IFERROR(CHOOSE(MATCH(PARAMS_MODELO!$B$2,{"Q1","Q2","Q3"},0),LOTO!$D1092,LOTO!$F1092,LOTO!$H1092),0)</f>
        <v>0</v>
      </c>
      <c r="L1092" s="8">
        <f t="shared" si="410"/>
        <v>0</v>
      </c>
      <c r="M1092" s="5">
        <f>MIN(100,IF(PARAMS_MODELO!$B$23=0,0,100*L1092/PARAMS_MODELO!$B$23))*PARAMS_MODELO!$B$10</f>
        <v>0</v>
      </c>
      <c r="N1092" s="5">
        <f>IFERROR(VLOOKUP(A1092,COMPLIANCE!$A$2:$F$1996,6,0),100)</f>
        <v>100</v>
      </c>
      <c r="O1092" s="5">
        <f>N1092*PARAMS_MODELO!$B$11</f>
        <v>10</v>
      </c>
      <c r="P1092" s="5">
        <f>IFERROR(VLOOKUP(A1092,DIGITAL!$A$2:$J$2000,7,0),100)</f>
        <v>52</v>
      </c>
      <c r="Q1092" s="5">
        <f>IFERROR(P1092,0)*PARAMS_MODELO!$B$12</f>
        <v>5.2</v>
      </c>
      <c r="R1092">
        <f t="shared" si="411"/>
        <v>15.2</v>
      </c>
      <c r="S1092" s="5" t="str">
        <f>IFERROR(VLOOKUP(A1092,CLIENTE!$A$2:$N$2000,13,0),1)</f>
        <v>Malo</v>
      </c>
      <c r="T1092" s="5">
        <f>IFERROR(VLOOKUP(A1092,CLIENTE!$A$2:$N$2000,14,0),1)</f>
        <v>0.7</v>
      </c>
      <c r="U1092" s="5">
        <f t="shared" si="412"/>
        <v>10.639999999999999</v>
      </c>
      <c r="V1092" s="5" t="str">
        <f>IF(U1092&gt;=MAX(_xlfn.PERCENTILE.INC($U$2:$U$1194,PARAMS_MODELO!$B$50),PARAMS_MODELO!$B$45),"DIAMANTE",IF(U1092&gt;=MAX(_xlfn.PERCENTILE.INC($U$2:$U$1194,PARAMS_MODELO!$B$51),PARAMS_MODELO!$B$46),"PLATINO",IF(U1092&gt;=MAX(_xlfn.PERCENTILE.INC($U$2:$U$1194,PARAMS_MODELO!$B$52),PARAMS_MODELO!$B$47),"ORO",IF(U1092&gt;=MAX(_xlfn.PERCENTILE.INC($U$2:$U$1194,PARAMS_MODELO!$B$53),PARAMS_MODELO!$B$48),"PLATA",IF(U1092&gt;=1,"BRONCE","CERRADO")))))</f>
        <v>BRONCE</v>
      </c>
      <c r="W1092" s="5" t="str" cm="1">
        <f t="array" ref="W1092">_xlfn.XLOOKUP(1, (HIST_SCORE!$B:$B=PARAMS_MODELO!$B$4) * (HIST_SCORE!$C:$C=A1092), HIST_SCORE!$E:$E, "No encontrado")</f>
        <v>BRONCE</v>
      </c>
      <c r="X1092" s="5" t="str">
        <f>_xlfn.LET(_xlpm.act,MATCH(V1092,{"DIAMANTE";"PLATINO";"ORO";"PLATA";"BRONCE";"CERRADO"},0),_xlpm.ant,MATCH(W1092,{"DIAMANTE";"PLATINO";"ORO";"PLATA";"BRONCE";"CERRADO"},0),IF(_xlpm.act&lt;_xlpm.ant,"Mejora ↑",IF(_xlpm.act&gt;_xlpm.ant,"Baja ↓","Estable →")))</f>
        <v>Estable →</v>
      </c>
      <c r="Y1092" s="5">
        <f>IFERROR(U1092-SUMIFS(HIST_SCORE!$D:$D,HIST_SCORE!$B:$B,PARAMS_MODELO!$B$4,HIST_SCORE!$C:$C,$A1092),"")</f>
        <v>0</v>
      </c>
      <c r="Z1092" s="5" t="str">
        <f t="shared" si="413"/>
        <v>→ Estable</v>
      </c>
      <c r="AA1092" s="5">
        <f t="shared" si="414"/>
        <v>1154</v>
      </c>
      <c r="AB1092" s="5">
        <f>IFERROR(SUMIFS(HIST_SCORE!$F:$F,HIST_SCORE!$B:$B,PARAMS_MODELO!$B$4,HIST_SCORE!$C:$C,$A1092),"")</f>
        <v>1153</v>
      </c>
      <c r="AC1092" s="5">
        <f t="shared" si="415"/>
        <v>-1</v>
      </c>
      <c r="AD1092" t="str">
        <f t="shared" si="417"/>
        <v/>
      </c>
      <c r="AE10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1092="CERRADO",1,IF(V1092="BRONCE",_xlpm.cPl,IF(V1092="PLATA",_xlpm.cO,IF(V1092="ORO",_xlpm.cP,IF(V1092="PLATINO",_xlpm.cD,999))))))</f>
        <v>24.506573482968111</v>
      </c>
      <c r="AF10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1092="CERRADO",0,IF(V1092="BRONCE",1,IF(V1092="PLATA",_xlpm.cPl,IF(V1092="ORO",_xlpm.cO,IF(V1092="PLATINO",_xlpm.cP,_xlpm.cD))))))</f>
        <v>1</v>
      </c>
      <c r="AG1092">
        <f t="shared" si="418"/>
        <v>19.809390689954444</v>
      </c>
      <c r="AH1092" t="str">
        <f t="shared" si="419"/>
        <v>VENTAS</v>
      </c>
      <c r="AI1092" t="str">
        <f t="shared" si="416"/>
        <v>🎯 Para subir de categoría, eje VENTAS / CRECIMIENTO PERSONAL (F). Acción: metas semanales + activación comercial + seguimiento del asesor. ΔR aprox: 19,8</v>
      </c>
      <c r="AJ1092" s="26">
        <f>_xlfn.LET(_xlpm.piso,AF1092,_xlpm.corte,AE1092,_xlpm.prog,IF(_xlpm.corte&lt;=_xlpm.piso,0,MAX(0,MIN(1,(U1092-_xlpm.piso)/(_xlpm.corte-_xlpm.piso)))),_xlpm.orden,{"DIAMANTE";"PLATINO";"ORO";"PLATA";"BRONCE";"CERRADO"},_xlpm.act,IFERROR(MATCH(V1092,_xlpm.orden,0),6),_xlpm.ant,IFERROR(MATCH(W1092,_xlpm.orden,0),6),_xlpm.ajmov,IF(_xlpm.act&lt;_xlpm.ant,0.08,IF(_xlpm.act&gt;_xlpm.ant,-0.08,0)),_xlpm.ajcli,IF(T1092&lt;0.95,-0.06,0),_xlpm.prob,MAX(0,MIN(1,_xlpm.prog+_xlpm.ajmov+_xlpm.ajcli)),IF(OR(V1092="DIAMANTE",V1092="CERRADO"),0,ROUND(_xlpm.prob,2)))</f>
        <v>0.35</v>
      </c>
      <c r="AK1092" t="str">
        <f t="shared" si="420"/>
        <v>Faltan 19,8 puntos base para subir a la siguiente categoría</v>
      </c>
      <c r="AL1092" t="str">
        <f t="shared" si="421"/>
        <v>No aplica</v>
      </c>
      <c r="AM1092">
        <f t="shared" si="422"/>
        <v>0.86</v>
      </c>
      <c r="AN1092" t="str">
        <f t="shared" si="423"/>
        <v>PRIORIDAD ALTA – requiere intervención inmediata</v>
      </c>
      <c r="AO1092">
        <f t="shared" si="424"/>
        <v>45.403798492706905</v>
      </c>
      <c r="AP1092">
        <f t="shared" si="425"/>
        <v>10.5</v>
      </c>
      <c r="AQ1092">
        <f t="shared" si="426"/>
        <v>0</v>
      </c>
      <c r="AR1092">
        <f t="shared" si="427"/>
        <v>3.36</v>
      </c>
      <c r="AS1092">
        <f t="shared" si="428"/>
        <v>4.5600000000000005</v>
      </c>
      <c r="AT1092" t="str">
        <f t="shared" si="429"/>
        <v>VENTAS</v>
      </c>
      <c r="AU1092">
        <f t="shared" si="430"/>
        <v>45.403798492706905</v>
      </c>
      <c r="AV1092" t="str">
        <f t="shared" si="431"/>
        <v>Mayor retorno probable: VENTAS (+45,4 puntos finales potenciales).</v>
      </c>
    </row>
    <row r="1093" spans="1:48" x14ac:dyDescent="0.3">
      <c r="A1093" s="5">
        <v>51023323</v>
      </c>
      <c r="B1093" s="5" t="str">
        <f>IFERROR(VLOOKUP(A1093,VENTAS!$A$2:$B$1194,2,0),"")</f>
        <v/>
      </c>
      <c r="C1093" s="5">
        <f>IFERROR(INDEX(VENTAS!$C$2:$E$1194,MATCH(A1093,VENTAS!$A$2:$A$1194,0),MATCH(PARAMS_MODELO!$B$2,{"Q1","Q2","Q3"},0)),0)</f>
        <v>55890436.5</v>
      </c>
      <c r="D1093" s="5">
        <f>IFERROR(INDEX(VENTAS!$F$2:$H$1194,MATCH(A1093,VENTAS!$A$2:$A$1194,0),MATCH(PARAMS_MODELO!$B$2,{"Q1","Q2","Q3"},0)),0)</f>
        <v>0</v>
      </c>
      <c r="E1093" s="8">
        <f t="shared" si="408"/>
        <v>-1</v>
      </c>
      <c r="F1093" s="12">
        <f>IF(E1093&lt;=PARAMS_MODELO!$B$15,0,IF(E1093&gt;=PARAMS_MODELO!$B$17,100,100*MIN(1,(E1093-PARAMS_MODELO!$B$15)/(PARAMS_MODELO!$B$16-PARAMS_MODELO!$B$15))))*PARAMS_MODELO!$B$7</f>
        <v>0</v>
      </c>
      <c r="G1093" s="5">
        <f t="shared" si="409"/>
        <v>0</v>
      </c>
      <c r="H1093" s="5">
        <f>(PARAMS_MODELO!$B$20*(MAX(0,MIN(3,E1093))/3)+PARAMS_MODELO!$B$21*(IFERROR(LN(1+MAX(0,G1093))/LN(1+MAX(0,MAX($G$2:$G$1194))),0)))*100*PARAMS_MODELO!$B$8</f>
        <v>0</v>
      </c>
      <c r="I1093" s="8">
        <f>E1093-PARAMS_MODELO!$B$5</f>
        <v>-1.1775628353755265</v>
      </c>
      <c r="J1093" s="5">
        <f>IF(I1093&lt;=PARAMS_MODELO!$B$18,0,IF(I1093&gt;=PARAMS_MODELO!$B$19,100,100*(I1093-PARAMS_MODELO!$B$18)/(PARAMS_MODELO!$B$19-PARAMS_MODELO!$B$18)))*PARAMS_MODELO!$B$9</f>
        <v>0</v>
      </c>
      <c r="K1093" s="5">
        <f>IFERROR(CHOOSE(MATCH(PARAMS_MODELO!$B$2,{"Q1","Q2","Q3"},0),LOTO!$D1093,LOTO!$F1093,LOTO!$H1093),0)</f>
        <v>0</v>
      </c>
      <c r="L1093" s="8">
        <f t="shared" si="410"/>
        <v>0</v>
      </c>
      <c r="M1093" s="5">
        <f>MIN(100,IF(PARAMS_MODELO!$B$23=0,0,100*L1093/PARAMS_MODELO!$B$23))*PARAMS_MODELO!$B$10</f>
        <v>0</v>
      </c>
      <c r="N1093" s="5">
        <f>IFERROR(VLOOKUP(A1093,COMPLIANCE!$A$2:$F$1996,6,0),100)</f>
        <v>100</v>
      </c>
      <c r="O1093" s="5">
        <f>N1093*PARAMS_MODELO!$B$11</f>
        <v>10</v>
      </c>
      <c r="P1093" s="5">
        <f>IFERROR(VLOOKUP(A1093,DIGITAL!$A$2:$J$2000,7,0),100)</f>
        <v>45</v>
      </c>
      <c r="Q1093" s="5">
        <f>IFERROR(P1093,0)*PARAMS_MODELO!$B$12</f>
        <v>4.5</v>
      </c>
      <c r="R1093">
        <f t="shared" si="411"/>
        <v>14.5</v>
      </c>
      <c r="S1093" s="5" t="str">
        <f>IFERROR(VLOOKUP(A1093,CLIENTE!$A$2:$N$2000,13,0),1)</f>
        <v>Malo</v>
      </c>
      <c r="T1093" s="5">
        <f>IFERROR(VLOOKUP(A1093,CLIENTE!$A$2:$N$2000,14,0),1)</f>
        <v>0.7</v>
      </c>
      <c r="U1093" s="5">
        <f t="shared" si="412"/>
        <v>10.149999999999999</v>
      </c>
      <c r="V1093" s="5" t="str">
        <f>IF(U1093&gt;=MAX(_xlfn.PERCENTILE.INC($U$2:$U$1194,PARAMS_MODELO!$B$50),PARAMS_MODELO!$B$45),"DIAMANTE",IF(U1093&gt;=MAX(_xlfn.PERCENTILE.INC($U$2:$U$1194,PARAMS_MODELO!$B$51),PARAMS_MODELO!$B$46),"PLATINO",IF(U1093&gt;=MAX(_xlfn.PERCENTILE.INC($U$2:$U$1194,PARAMS_MODELO!$B$52),PARAMS_MODELO!$B$47),"ORO",IF(U1093&gt;=MAX(_xlfn.PERCENTILE.INC($U$2:$U$1194,PARAMS_MODELO!$B$53),PARAMS_MODELO!$B$48),"PLATA",IF(U1093&gt;=1,"BRONCE","CERRADO")))))</f>
        <v>BRONCE</v>
      </c>
      <c r="W1093" s="5" t="str" cm="1">
        <f t="array" ref="W1093">_xlfn.XLOOKUP(1, (HIST_SCORE!$B:$B=PARAMS_MODELO!$B$4) * (HIST_SCORE!$C:$C=A1093), HIST_SCORE!$E:$E, "No encontrado")</f>
        <v>BRONCE</v>
      </c>
      <c r="X1093" s="5" t="str">
        <f>_xlfn.LET(_xlpm.act,MATCH(V1093,{"DIAMANTE";"PLATINO";"ORO";"PLATA";"BRONCE";"CERRADO"},0),_xlpm.ant,MATCH(W1093,{"DIAMANTE";"PLATINO";"ORO";"PLATA";"BRONCE";"CERRADO"},0),IF(_xlpm.act&lt;_xlpm.ant,"Mejora ↑",IF(_xlpm.act&gt;_xlpm.ant,"Baja ↓","Estable →")))</f>
        <v>Estable →</v>
      </c>
      <c r="Y1093" s="5">
        <f>IFERROR(U1093-SUMIFS(HIST_SCORE!$D:$D,HIST_SCORE!$B:$B,PARAMS_MODELO!$B$4,HIST_SCORE!$C:$C,$A1093),"")</f>
        <v>0</v>
      </c>
      <c r="Z1093" s="5" t="str">
        <f t="shared" si="413"/>
        <v>→ Estable</v>
      </c>
      <c r="AA1093" s="5">
        <f t="shared" si="414"/>
        <v>1168</v>
      </c>
      <c r="AB1093" s="5">
        <f>IFERROR(SUMIFS(HIST_SCORE!$F:$F,HIST_SCORE!$B:$B,PARAMS_MODELO!$B$4,HIST_SCORE!$C:$C,$A1093),"")</f>
        <v>1167</v>
      </c>
      <c r="AC1093" s="5">
        <f t="shared" si="415"/>
        <v>-1</v>
      </c>
      <c r="AD1093" t="str">
        <f t="shared" si="417"/>
        <v/>
      </c>
      <c r="AE10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1093="CERRADO",1,IF(V1093="BRONCE",_xlpm.cPl,IF(V1093="PLATA",_xlpm.cO,IF(V1093="ORO",_xlpm.cP,IF(V1093="PLATINO",_xlpm.cD,999))))))</f>
        <v>24.506573482968111</v>
      </c>
      <c r="AF10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1093="CERRADO",0,IF(V1093="BRONCE",1,IF(V1093="PLATA",_xlpm.cPl,IF(V1093="ORO",_xlpm.cO,IF(V1093="PLATINO",_xlpm.cP,_xlpm.cD))))))</f>
        <v>1</v>
      </c>
      <c r="AG1093">
        <f t="shared" si="418"/>
        <v>20.509390689954444</v>
      </c>
      <c r="AH1093" t="str">
        <f t="shared" si="419"/>
        <v>VENTAS</v>
      </c>
      <c r="AI1093" t="str">
        <f t="shared" si="416"/>
        <v>🎯 Para subir de categoría, eje VENTAS / CRECIMIENTO PERSONAL (F). Acción: metas semanales + activación comercial + seguimiento del asesor. ΔR aprox: 20,5</v>
      </c>
      <c r="AJ1093" s="26">
        <f>_xlfn.LET(_xlpm.piso,AF1093,_xlpm.corte,AE1093,_xlpm.prog,IF(_xlpm.corte&lt;=_xlpm.piso,0,MAX(0,MIN(1,(U1093-_xlpm.piso)/(_xlpm.corte-_xlpm.piso)))),_xlpm.orden,{"DIAMANTE";"PLATINO";"ORO";"PLATA";"BRONCE";"CERRADO"},_xlpm.act,IFERROR(MATCH(V1093,_xlpm.orden,0),6),_xlpm.ant,IFERROR(MATCH(W1093,_xlpm.orden,0),6),_xlpm.ajmov,IF(_xlpm.act&lt;_xlpm.ant,0.08,IF(_xlpm.act&gt;_xlpm.ant,-0.08,0)),_xlpm.ajcli,IF(T1093&lt;0.95,-0.06,0),_xlpm.prob,MAX(0,MIN(1,_xlpm.prog+_xlpm.ajmov+_xlpm.ajcli)),IF(OR(V1093="DIAMANTE",V1093="CERRADO"),0,ROUND(_xlpm.prob,2)))</f>
        <v>0.33</v>
      </c>
      <c r="AK1093" t="str">
        <f t="shared" si="420"/>
        <v>Faltan 20,5 puntos base para subir a la siguiente categoría</v>
      </c>
      <c r="AL1093" t="str">
        <f t="shared" si="421"/>
        <v>No aplica</v>
      </c>
      <c r="AM1093">
        <f t="shared" si="422"/>
        <v>0.87</v>
      </c>
      <c r="AN1093" t="str">
        <f t="shared" si="423"/>
        <v>PRIORIDAD ALTA – requiere intervención inmediata</v>
      </c>
      <c r="AO1093">
        <f t="shared" si="424"/>
        <v>45.403798492706905</v>
      </c>
      <c r="AP1093">
        <f t="shared" si="425"/>
        <v>10.5</v>
      </c>
      <c r="AQ1093">
        <f t="shared" si="426"/>
        <v>0</v>
      </c>
      <c r="AR1093">
        <f t="shared" si="427"/>
        <v>3.8499999999999996</v>
      </c>
      <c r="AS1093">
        <f t="shared" si="428"/>
        <v>4.3500000000000005</v>
      </c>
      <c r="AT1093" t="str">
        <f t="shared" si="429"/>
        <v>VENTAS</v>
      </c>
      <c r="AU1093">
        <f t="shared" si="430"/>
        <v>45.403798492706905</v>
      </c>
      <c r="AV1093" t="str">
        <f t="shared" si="431"/>
        <v>Mayor retorno probable: VENTAS (+45,4 puntos finales potenciales).</v>
      </c>
    </row>
    <row r="1094" spans="1:48" x14ac:dyDescent="0.3">
      <c r="A1094" s="5">
        <v>51023447</v>
      </c>
      <c r="B1094" s="5" t="str">
        <f>IFERROR(VLOOKUP(A1094,VENTAS!$A$2:$B$1194,2,0),"")</f>
        <v/>
      </c>
      <c r="C1094" s="5">
        <f>IFERROR(INDEX(VENTAS!$C$2:$E$1194,MATCH(A1094,VENTAS!$A$2:$A$1194,0),MATCH(PARAMS_MODELO!$B$2,{"Q1","Q2","Q3"},0)),0)</f>
        <v>0</v>
      </c>
      <c r="D1094" s="5">
        <f>IFERROR(INDEX(VENTAS!$F$2:$H$1194,MATCH(A1094,VENTAS!$A$2:$A$1194,0),MATCH(PARAMS_MODELO!$B$2,{"Q1","Q2","Q3"},0)),0)</f>
        <v>0</v>
      </c>
      <c r="E1094" s="8">
        <f t="shared" si="408"/>
        <v>0</v>
      </c>
      <c r="F1094" s="12">
        <f>IF(E1094&lt;=PARAMS_MODELO!$B$15,0,IF(E1094&gt;=PARAMS_MODELO!$B$17,100,100*MIN(1,(E1094-PARAMS_MODELO!$B$15)/(PARAMS_MODELO!$B$16-PARAMS_MODELO!$B$15))))*PARAMS_MODELO!$B$7</f>
        <v>0</v>
      </c>
      <c r="G1094" s="5">
        <f t="shared" si="409"/>
        <v>0</v>
      </c>
      <c r="H1094" s="5">
        <f>(PARAMS_MODELO!$B$20*(MAX(0,MIN(3,E1094))/3)+PARAMS_MODELO!$B$21*(IFERROR(LN(1+MAX(0,G1094))/LN(1+MAX(0,MAX($G$2:$G$1194))),0)))*100*PARAMS_MODELO!$B$8</f>
        <v>0</v>
      </c>
      <c r="I1094" s="8">
        <f>E1094-PARAMS_MODELO!$B$5</f>
        <v>-0.17756283537552653</v>
      </c>
      <c r="J1094" s="5">
        <f>IF(I1094&lt;=PARAMS_MODELO!$B$18,0,IF(I1094&gt;=PARAMS_MODELO!$B$19,100,100*(I1094-PARAMS_MODELO!$B$18)/(PARAMS_MODELO!$B$19-PARAMS_MODELO!$B$18)))*PARAMS_MODELO!$B$9</f>
        <v>0</v>
      </c>
      <c r="K1094" s="5">
        <f>IFERROR(CHOOSE(MATCH(PARAMS_MODELO!$B$2,{"Q1","Q2","Q3"},0),LOTO!$D1094,LOTO!$F1094,LOTO!$H1094),0)</f>
        <v>0</v>
      </c>
      <c r="L1094" s="8">
        <f t="shared" si="410"/>
        <v>0</v>
      </c>
      <c r="M1094" s="5">
        <f>MIN(100,IF(PARAMS_MODELO!$B$23=0,0,100*L1094/PARAMS_MODELO!$B$23))*PARAMS_MODELO!$B$10</f>
        <v>0</v>
      </c>
      <c r="N1094" s="5">
        <f>IFERROR(VLOOKUP(A1094,COMPLIANCE!$A$2:$F$1996,6,0),100)</f>
        <v>100</v>
      </c>
      <c r="O1094" s="5">
        <f>N1094*PARAMS_MODELO!$B$11</f>
        <v>10</v>
      </c>
      <c r="P1094" s="5">
        <f>IFERROR(VLOOKUP(A1094,DIGITAL!$A$2:$J$2000,7,0),100)</f>
        <v>59</v>
      </c>
      <c r="Q1094" s="5">
        <f>IFERROR(P1094,0)*PARAMS_MODELO!$B$12</f>
        <v>5.9</v>
      </c>
      <c r="R1094">
        <f t="shared" si="411"/>
        <v>15.9</v>
      </c>
      <c r="S1094" s="5" t="str">
        <f>IFERROR(VLOOKUP(A1094,CLIENTE!$A$2:$N$2000,13,0),1)</f>
        <v>Malo</v>
      </c>
      <c r="T1094" s="5">
        <f>IFERROR(VLOOKUP(A1094,CLIENTE!$A$2:$N$2000,14,0),1)</f>
        <v>0.7</v>
      </c>
      <c r="U1094" s="5">
        <f t="shared" si="412"/>
        <v>11.129999999999999</v>
      </c>
      <c r="V1094" s="5" t="str">
        <f>IF(U1094&gt;=MAX(_xlfn.PERCENTILE.INC($U$2:$U$1194,PARAMS_MODELO!$B$50),PARAMS_MODELO!$B$45),"DIAMANTE",IF(U1094&gt;=MAX(_xlfn.PERCENTILE.INC($U$2:$U$1194,PARAMS_MODELO!$B$51),PARAMS_MODELO!$B$46),"PLATINO",IF(U1094&gt;=MAX(_xlfn.PERCENTILE.INC($U$2:$U$1194,PARAMS_MODELO!$B$52),PARAMS_MODELO!$B$47),"ORO",IF(U1094&gt;=MAX(_xlfn.PERCENTILE.INC($U$2:$U$1194,PARAMS_MODELO!$B$53),PARAMS_MODELO!$B$48),"PLATA",IF(U1094&gt;=1,"BRONCE","CERRADO")))))</f>
        <v>BRONCE</v>
      </c>
      <c r="W1094" s="5" t="str" cm="1">
        <f t="array" ref="W1094">_xlfn.XLOOKUP(1, (HIST_SCORE!$B:$B=PARAMS_MODELO!$B$4) * (HIST_SCORE!$C:$C=A1094), HIST_SCORE!$E:$E, "No encontrado")</f>
        <v>BRONCE</v>
      </c>
      <c r="X1094" s="5" t="str">
        <f>_xlfn.LET(_xlpm.act,MATCH(V1094,{"DIAMANTE";"PLATINO";"ORO";"PLATA";"BRONCE";"CERRADO"},0),_xlpm.ant,MATCH(W1094,{"DIAMANTE";"PLATINO";"ORO";"PLATA";"BRONCE";"CERRADO"},0),IF(_xlpm.act&lt;_xlpm.ant,"Mejora ↑",IF(_xlpm.act&gt;_xlpm.ant,"Baja ↓","Estable →")))</f>
        <v>Estable →</v>
      </c>
      <c r="Y1094" s="5">
        <f>IFERROR(U1094-SUMIFS(HIST_SCORE!$D:$D,HIST_SCORE!$B:$B,PARAMS_MODELO!$B$4,HIST_SCORE!$C:$C,$A1094),"")</f>
        <v>0</v>
      </c>
      <c r="Z1094" s="5" t="str">
        <f t="shared" si="413"/>
        <v>→ Estable</v>
      </c>
      <c r="AA1094" s="5">
        <f t="shared" si="414"/>
        <v>1143</v>
      </c>
      <c r="AB1094" s="5">
        <f>IFERROR(SUMIFS(HIST_SCORE!$F:$F,HIST_SCORE!$B:$B,PARAMS_MODELO!$B$4,HIST_SCORE!$C:$C,$A1094),"")</f>
        <v>1141</v>
      </c>
      <c r="AC1094" s="5">
        <f t="shared" si="415"/>
        <v>-2</v>
      </c>
      <c r="AD1094" t="str">
        <f t="shared" si="417"/>
        <v/>
      </c>
      <c r="AE10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1094="CERRADO",1,IF(V1094="BRONCE",_xlpm.cPl,IF(V1094="PLATA",_xlpm.cO,IF(V1094="ORO",_xlpm.cP,IF(V1094="PLATINO",_xlpm.cD,999))))))</f>
        <v>24.506573482968111</v>
      </c>
      <c r="AF10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1094="CERRADO",0,IF(V1094="BRONCE",1,IF(V1094="PLATA",_xlpm.cPl,IF(V1094="ORO",_xlpm.cO,IF(V1094="PLATINO",_xlpm.cP,_xlpm.cD))))))</f>
        <v>1</v>
      </c>
      <c r="AG1094">
        <f t="shared" si="418"/>
        <v>19.109390689954445</v>
      </c>
      <c r="AH1094" t="str">
        <f t="shared" si="419"/>
        <v>VENTAS</v>
      </c>
      <c r="AI1094" t="str">
        <f t="shared" si="416"/>
        <v>🎯 Para subir de categoría, eje VENTAS / CRECIMIENTO PERSONAL (F). Acción: metas semanales + activación comercial + seguimiento del asesor. ΔR aprox: 19,1</v>
      </c>
      <c r="AJ1094" s="26">
        <f>_xlfn.LET(_xlpm.piso,AF1094,_xlpm.corte,AE1094,_xlpm.prog,IF(_xlpm.corte&lt;=_xlpm.piso,0,MAX(0,MIN(1,(U1094-_xlpm.piso)/(_xlpm.corte-_xlpm.piso)))),_xlpm.orden,{"DIAMANTE";"PLATINO";"ORO";"PLATA";"BRONCE";"CERRADO"},_xlpm.act,IFERROR(MATCH(V1094,_xlpm.orden,0),6),_xlpm.ant,IFERROR(MATCH(W1094,_xlpm.orden,0),6),_xlpm.ajmov,IF(_xlpm.act&lt;_xlpm.ant,0.08,IF(_xlpm.act&gt;_xlpm.ant,-0.08,0)),_xlpm.ajcli,IF(T1094&lt;0.95,-0.06,0),_xlpm.prob,MAX(0,MIN(1,_xlpm.prog+_xlpm.ajmov+_xlpm.ajcli)),IF(OR(V1094="DIAMANTE",V1094="CERRADO"),0,ROUND(_xlpm.prob,2)))</f>
        <v>0.37</v>
      </c>
      <c r="AK1094" t="str">
        <f t="shared" si="420"/>
        <v>Faltan 19,1 puntos base para subir a la siguiente categoría</v>
      </c>
      <c r="AL1094" t="str">
        <f t="shared" si="421"/>
        <v>No aplica</v>
      </c>
      <c r="AM1094">
        <f t="shared" si="422"/>
        <v>0.85</v>
      </c>
      <c r="AN1094" t="str">
        <f t="shared" si="423"/>
        <v>PRIORIDAD ALTA – requiere intervención inmediata</v>
      </c>
      <c r="AO1094">
        <f t="shared" si="424"/>
        <v>45.403798492706905</v>
      </c>
      <c r="AP1094">
        <f t="shared" si="425"/>
        <v>10.5</v>
      </c>
      <c r="AQ1094">
        <f t="shared" si="426"/>
        <v>0</v>
      </c>
      <c r="AR1094">
        <f t="shared" si="427"/>
        <v>2.8699999999999997</v>
      </c>
      <c r="AS1094">
        <f t="shared" si="428"/>
        <v>4.7700000000000005</v>
      </c>
      <c r="AT1094" t="str">
        <f t="shared" si="429"/>
        <v>VENTAS</v>
      </c>
      <c r="AU1094">
        <f t="shared" si="430"/>
        <v>45.403798492706905</v>
      </c>
      <c r="AV1094" t="str">
        <f t="shared" si="431"/>
        <v>Mayor retorno probable: VENTAS (+45,4 puntos finales potenciales).</v>
      </c>
    </row>
    <row r="1095" spans="1:48" x14ac:dyDescent="0.3">
      <c r="A1095" s="5">
        <v>51023463</v>
      </c>
      <c r="B1095" s="5" t="str">
        <f>IFERROR(VLOOKUP(A1095,VENTAS!$A$2:$B$1194,2,0),"")</f>
        <v/>
      </c>
      <c r="C1095" s="5">
        <f>IFERROR(INDEX(VENTAS!$C$2:$E$1194,MATCH(A1095,VENTAS!$A$2:$A$1194,0),MATCH(PARAMS_MODELO!$B$2,{"Q1","Q2","Q3"},0)),0)</f>
        <v>0</v>
      </c>
      <c r="D1095" s="5">
        <f>IFERROR(INDEX(VENTAS!$F$2:$H$1194,MATCH(A1095,VENTAS!$A$2:$A$1194,0),MATCH(PARAMS_MODELO!$B$2,{"Q1","Q2","Q3"},0)),0)</f>
        <v>0</v>
      </c>
      <c r="E1095" s="8">
        <f t="shared" si="408"/>
        <v>0</v>
      </c>
      <c r="F1095" s="12">
        <f>IF(E1095&lt;=PARAMS_MODELO!$B$15,0,IF(E1095&gt;=PARAMS_MODELO!$B$17,100,100*MIN(1,(E1095-PARAMS_MODELO!$B$15)/(PARAMS_MODELO!$B$16-PARAMS_MODELO!$B$15))))*PARAMS_MODELO!$B$7</f>
        <v>0</v>
      </c>
      <c r="G1095" s="5">
        <f t="shared" si="409"/>
        <v>0</v>
      </c>
      <c r="H1095" s="5">
        <f>(PARAMS_MODELO!$B$20*(MAX(0,MIN(3,E1095))/3)+PARAMS_MODELO!$B$21*(IFERROR(LN(1+MAX(0,G1095))/LN(1+MAX(0,MAX($G$2:$G$1194))),0)))*100*PARAMS_MODELO!$B$8</f>
        <v>0</v>
      </c>
      <c r="I1095" s="8">
        <f>E1095-PARAMS_MODELO!$B$5</f>
        <v>-0.17756283537552653</v>
      </c>
      <c r="J1095" s="5">
        <f>IF(I1095&lt;=PARAMS_MODELO!$B$18,0,IF(I1095&gt;=PARAMS_MODELO!$B$19,100,100*(I1095-PARAMS_MODELO!$B$18)/(PARAMS_MODELO!$B$19-PARAMS_MODELO!$B$18)))*PARAMS_MODELO!$B$9</f>
        <v>0</v>
      </c>
      <c r="K1095" s="5">
        <f>IFERROR(CHOOSE(MATCH(PARAMS_MODELO!$B$2,{"Q1","Q2","Q3"},0),LOTO!$D1095,LOTO!$F1095,LOTO!$H1095),0)</f>
        <v>0</v>
      </c>
      <c r="L1095" s="8">
        <f t="shared" si="410"/>
        <v>0</v>
      </c>
      <c r="M1095" s="5">
        <f>MIN(100,IF(PARAMS_MODELO!$B$23=0,0,100*L1095/PARAMS_MODELO!$B$23))*PARAMS_MODELO!$B$10</f>
        <v>0</v>
      </c>
      <c r="N1095" s="5">
        <f>IFERROR(VLOOKUP(A1095,COMPLIANCE!$A$2:$F$1996,6,0),100)</f>
        <v>100</v>
      </c>
      <c r="O1095" s="5">
        <f>N1095*PARAMS_MODELO!$B$11</f>
        <v>10</v>
      </c>
      <c r="P1095" s="5">
        <f>IFERROR(VLOOKUP(A1095,DIGITAL!$A$2:$J$2000,7,0),100)</f>
        <v>39</v>
      </c>
      <c r="Q1095" s="5">
        <f>IFERROR(P1095,0)*PARAMS_MODELO!$B$12</f>
        <v>3.9000000000000004</v>
      </c>
      <c r="R1095">
        <f t="shared" si="411"/>
        <v>13.9</v>
      </c>
      <c r="S1095" s="5" t="str">
        <f>IFERROR(VLOOKUP(A1095,CLIENTE!$A$2:$N$2000,13,0),1)</f>
        <v>Bueno</v>
      </c>
      <c r="T1095" s="5">
        <f>IFERROR(VLOOKUP(A1095,CLIENTE!$A$2:$N$2000,14,0),1)</f>
        <v>1.1000000000000001</v>
      </c>
      <c r="U1095" s="5">
        <f t="shared" si="412"/>
        <v>15.290000000000001</v>
      </c>
      <c r="V1095" s="5" t="str">
        <f>IF(U1095&gt;=MAX(_xlfn.PERCENTILE.INC($U$2:$U$1194,PARAMS_MODELO!$B$50),PARAMS_MODELO!$B$45),"DIAMANTE",IF(U1095&gt;=MAX(_xlfn.PERCENTILE.INC($U$2:$U$1194,PARAMS_MODELO!$B$51),PARAMS_MODELO!$B$46),"PLATINO",IF(U1095&gt;=MAX(_xlfn.PERCENTILE.INC($U$2:$U$1194,PARAMS_MODELO!$B$52),PARAMS_MODELO!$B$47),"ORO",IF(U1095&gt;=MAX(_xlfn.PERCENTILE.INC($U$2:$U$1194,PARAMS_MODELO!$B$53),PARAMS_MODELO!$B$48),"PLATA",IF(U1095&gt;=1,"BRONCE","CERRADO")))))</f>
        <v>BRONCE</v>
      </c>
      <c r="W1095" s="5" t="str" cm="1">
        <f t="array" ref="W1095">_xlfn.XLOOKUP(1, (HIST_SCORE!$B:$B=PARAMS_MODELO!$B$4) * (HIST_SCORE!$C:$C=A1095), HIST_SCORE!$E:$E, "No encontrado")</f>
        <v>BRONCE</v>
      </c>
      <c r="X1095" s="5" t="str">
        <f>_xlfn.LET(_xlpm.act,MATCH(V1095,{"DIAMANTE";"PLATINO";"ORO";"PLATA";"BRONCE";"CERRADO"},0),_xlpm.ant,MATCH(W1095,{"DIAMANTE";"PLATINO";"ORO";"PLATA";"BRONCE";"CERRADO"},0),IF(_xlpm.act&lt;_xlpm.ant,"Mejora ↑",IF(_xlpm.act&gt;_xlpm.ant,"Baja ↓","Estable →")))</f>
        <v>Estable →</v>
      </c>
      <c r="Y1095" s="5">
        <f>IFERROR(U1095-SUMIFS(HIST_SCORE!$D:$D,HIST_SCORE!$B:$B,PARAMS_MODELO!$B$4,HIST_SCORE!$C:$C,$A1095),"")</f>
        <v>0</v>
      </c>
      <c r="Z1095" s="5" t="str">
        <f t="shared" si="413"/>
        <v>→ Estable</v>
      </c>
      <c r="AA1095" s="5">
        <f t="shared" si="414"/>
        <v>1076</v>
      </c>
      <c r="AB1095" s="5">
        <f>IFERROR(SUMIFS(HIST_SCORE!$F:$F,HIST_SCORE!$B:$B,PARAMS_MODELO!$B$4,HIST_SCORE!$C:$C,$A1095),"")</f>
        <v>1073</v>
      </c>
      <c r="AC1095" s="5">
        <f t="shared" si="415"/>
        <v>-3</v>
      </c>
      <c r="AD1095" t="str">
        <f t="shared" si="417"/>
        <v/>
      </c>
      <c r="AE10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1095="CERRADO",1,IF(V1095="BRONCE",_xlpm.cPl,IF(V1095="PLATA",_xlpm.cO,IF(V1095="ORO",_xlpm.cP,IF(V1095="PLATINO",_xlpm.cD,999))))))</f>
        <v>24.506573482968111</v>
      </c>
      <c r="AF109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1095="CERRADO",0,IF(V1095="BRONCE",1,IF(V1095="PLATA",_xlpm.cPl,IF(V1095="ORO",_xlpm.cO,IF(V1095="PLATINO",_xlpm.cP,_xlpm.cD))))))</f>
        <v>1</v>
      </c>
      <c r="AG1095">
        <f t="shared" si="418"/>
        <v>8.3787031663346436</v>
      </c>
      <c r="AH1095" t="str">
        <f t="shared" si="419"/>
        <v>VENTAS</v>
      </c>
      <c r="AI1095" t="str">
        <f t="shared" si="416"/>
        <v>🎯 Para subir de categoría, eje VENTAS / CRECIMIENTO PERSONAL (F). Acción: metas semanales + activación comercial + seguimiento del asesor. ΔR aprox: 8,4</v>
      </c>
      <c r="AJ1095" s="26">
        <f>_xlfn.LET(_xlpm.piso,AF1095,_xlpm.corte,AE1095,_xlpm.prog,IF(_xlpm.corte&lt;=_xlpm.piso,0,MAX(0,MIN(1,(U1095-_xlpm.piso)/(_xlpm.corte-_xlpm.piso)))),_xlpm.orden,{"DIAMANTE";"PLATINO";"ORO";"PLATA";"BRONCE";"CERRADO"},_xlpm.act,IFERROR(MATCH(V1095,_xlpm.orden,0),6),_xlpm.ant,IFERROR(MATCH(W1095,_xlpm.orden,0),6),_xlpm.ajmov,IF(_xlpm.act&lt;_xlpm.ant,0.08,IF(_xlpm.act&gt;_xlpm.ant,-0.08,0)),_xlpm.ajcli,IF(T1095&lt;0.95,-0.06,0),_xlpm.prob,MAX(0,MIN(1,_xlpm.prog+_xlpm.ajmov+_xlpm.ajcli)),IF(OR(V1095="DIAMANTE",V1095="CERRADO"),0,ROUND(_xlpm.prob,2)))</f>
        <v>0.61</v>
      </c>
      <c r="AK1095" t="str">
        <f t="shared" si="420"/>
        <v>Faltan 8,4 puntos base para subir a la siguiente categoría</v>
      </c>
      <c r="AL1095" t="str">
        <f t="shared" si="421"/>
        <v>No aplica</v>
      </c>
      <c r="AM1095">
        <f t="shared" si="422"/>
        <v>0.49</v>
      </c>
      <c r="AN1095" t="str">
        <f t="shared" si="423"/>
        <v>PRIORIDAD MEDIA – seguimiento del asesor</v>
      </c>
      <c r="AO1095">
        <f t="shared" si="424"/>
        <v>71.348826202825151</v>
      </c>
      <c r="AP1095">
        <f t="shared" si="425"/>
        <v>16.5</v>
      </c>
      <c r="AQ1095">
        <f t="shared" si="426"/>
        <v>0</v>
      </c>
      <c r="AR1095">
        <f t="shared" si="427"/>
        <v>6.71</v>
      </c>
      <c r="AS1095">
        <f t="shared" si="428"/>
        <v>0</v>
      </c>
      <c r="AT1095" t="str">
        <f t="shared" si="429"/>
        <v>VENTAS</v>
      </c>
      <c r="AU1095">
        <f t="shared" si="430"/>
        <v>71.348826202825151</v>
      </c>
      <c r="AV1095" t="str">
        <f t="shared" si="431"/>
        <v>Mayor retorno probable: VENTAS (+71,3 puntos finales potenciales).</v>
      </c>
    </row>
    <row r="1096" spans="1:48" x14ac:dyDescent="0.3">
      <c r="A1096" s="5">
        <v>51023510</v>
      </c>
      <c r="B1096" s="5" t="str">
        <f>IFERROR(VLOOKUP(A1096,VENTAS!$A$2:$B$1194,2,0),"")</f>
        <v/>
      </c>
      <c r="C1096" s="5">
        <f>IFERROR(INDEX(VENTAS!$C$2:$E$1194,MATCH(A1096,VENTAS!$A$2:$A$1194,0),MATCH(PARAMS_MODELO!$B$2,{"Q1","Q2","Q3"},0)),0)</f>
        <v>40284908.140000001</v>
      </c>
      <c r="D1096" s="5">
        <f>IFERROR(INDEX(VENTAS!$F$2:$H$1194,MATCH(A1096,VENTAS!$A$2:$A$1194,0),MATCH(PARAMS_MODELO!$B$2,{"Q1","Q2","Q3"},0)),0)</f>
        <v>0</v>
      </c>
      <c r="E1096" s="8">
        <f t="shared" si="408"/>
        <v>-1</v>
      </c>
      <c r="F1096" s="12">
        <f>IF(E1096&lt;=PARAMS_MODELO!$B$15,0,IF(E1096&gt;=PARAMS_MODELO!$B$17,100,100*MIN(1,(E1096-PARAMS_MODELO!$B$15)/(PARAMS_MODELO!$B$16-PARAMS_MODELO!$B$15))))*PARAMS_MODELO!$B$7</f>
        <v>0</v>
      </c>
      <c r="G1096" s="5">
        <f t="shared" si="409"/>
        <v>0</v>
      </c>
      <c r="H1096" s="5">
        <f>(PARAMS_MODELO!$B$20*(MAX(0,MIN(3,E1096))/3)+PARAMS_MODELO!$B$21*(IFERROR(LN(1+MAX(0,G1096))/LN(1+MAX(0,MAX($G$2:$G$1194))),0)))*100*PARAMS_MODELO!$B$8</f>
        <v>0</v>
      </c>
      <c r="I1096" s="8">
        <f>E1096-PARAMS_MODELO!$B$5</f>
        <v>-1.1775628353755265</v>
      </c>
      <c r="J1096" s="5">
        <f>IF(I1096&lt;=PARAMS_MODELO!$B$18,0,IF(I1096&gt;=PARAMS_MODELO!$B$19,100,100*(I1096-PARAMS_MODELO!$B$18)/(PARAMS_MODELO!$B$19-PARAMS_MODELO!$B$18)))*PARAMS_MODELO!$B$9</f>
        <v>0</v>
      </c>
      <c r="K1096" s="5">
        <f>IFERROR(CHOOSE(MATCH(PARAMS_MODELO!$B$2,{"Q1","Q2","Q3"},0),LOTO!$D1096,LOTO!$F1096,LOTO!$H1096),0)</f>
        <v>0</v>
      </c>
      <c r="L1096" s="8">
        <f t="shared" si="410"/>
        <v>0</v>
      </c>
      <c r="M1096" s="5">
        <f>MIN(100,IF(PARAMS_MODELO!$B$23=0,0,100*L1096/PARAMS_MODELO!$B$23))*PARAMS_MODELO!$B$10</f>
        <v>0</v>
      </c>
      <c r="N1096" s="5">
        <f>IFERROR(VLOOKUP(A1096,COMPLIANCE!$A$2:$F$1996,6,0),100)</f>
        <v>100</v>
      </c>
      <c r="O1096" s="5">
        <f>N1096*PARAMS_MODELO!$B$11</f>
        <v>10</v>
      </c>
      <c r="P1096" s="5">
        <f>IFERROR(VLOOKUP(A1096,DIGITAL!$A$2:$J$2000,7,0),100)</f>
        <v>89</v>
      </c>
      <c r="Q1096" s="5">
        <f>IFERROR(P1096,0)*PARAMS_MODELO!$B$12</f>
        <v>8.9</v>
      </c>
      <c r="R1096">
        <f t="shared" si="411"/>
        <v>18.899999999999999</v>
      </c>
      <c r="S1096" s="5" t="str">
        <f>IFERROR(VLOOKUP(A1096,CLIENTE!$A$2:$N$2000,13,0),1)</f>
        <v>Muy Bueno</v>
      </c>
      <c r="T1096" s="5">
        <f>IFERROR(VLOOKUP(A1096,CLIENTE!$A$2:$N$2000,14,0),1)</f>
        <v>1.1499999999999999</v>
      </c>
      <c r="U1096" s="5">
        <f t="shared" si="412"/>
        <v>21.734999999999996</v>
      </c>
      <c r="V1096" s="5" t="str">
        <f>IF(U1096&gt;=MAX(_xlfn.PERCENTILE.INC($U$2:$U$1194,PARAMS_MODELO!$B$50),PARAMS_MODELO!$B$45),"DIAMANTE",IF(U1096&gt;=MAX(_xlfn.PERCENTILE.INC($U$2:$U$1194,PARAMS_MODELO!$B$51),PARAMS_MODELO!$B$46),"PLATINO",IF(U1096&gt;=MAX(_xlfn.PERCENTILE.INC($U$2:$U$1194,PARAMS_MODELO!$B$52),PARAMS_MODELO!$B$47),"ORO",IF(U1096&gt;=MAX(_xlfn.PERCENTILE.INC($U$2:$U$1194,PARAMS_MODELO!$B$53),PARAMS_MODELO!$B$48),"PLATA",IF(U1096&gt;=1,"BRONCE","CERRADO")))))</f>
        <v>BRONCE</v>
      </c>
      <c r="W1096" s="5" t="str" cm="1">
        <f t="array" ref="W1096">_xlfn.XLOOKUP(1, (HIST_SCORE!$B:$B=PARAMS_MODELO!$B$4) * (HIST_SCORE!$C:$C=A1096), HIST_SCORE!$E:$E, "No encontrado")</f>
        <v>BRONCE</v>
      </c>
      <c r="X1096" s="5" t="str">
        <f>_xlfn.LET(_xlpm.act,MATCH(V1096,{"DIAMANTE";"PLATINO";"ORO";"PLATA";"BRONCE";"CERRADO"},0),_xlpm.ant,MATCH(W1096,{"DIAMANTE";"PLATINO";"ORO";"PLATA";"BRONCE";"CERRADO"},0),IF(_xlpm.act&lt;_xlpm.ant,"Mejora ↑",IF(_xlpm.act&gt;_xlpm.ant,"Baja ↓","Estable →")))</f>
        <v>Estable →</v>
      </c>
      <c r="Y1096" s="5">
        <f>IFERROR(U1096-SUMIFS(HIST_SCORE!$D:$D,HIST_SCORE!$B:$B,PARAMS_MODELO!$B$4,HIST_SCORE!$C:$C,$A1096),"")</f>
        <v>0</v>
      </c>
      <c r="Z1096" s="5" t="str">
        <f t="shared" si="413"/>
        <v>→ Estable</v>
      </c>
      <c r="AA1096" s="5">
        <f t="shared" si="414"/>
        <v>951</v>
      </c>
      <c r="AB1096" s="5">
        <f>IFERROR(SUMIFS(HIST_SCORE!$F:$F,HIST_SCORE!$B:$B,PARAMS_MODELO!$B$4,HIST_SCORE!$C:$C,$A1096),"")</f>
        <v>970</v>
      </c>
      <c r="AC1096" s="5">
        <f t="shared" si="415"/>
        <v>19</v>
      </c>
      <c r="AD1096" t="str">
        <f t="shared" si="417"/>
        <v/>
      </c>
      <c r="AE10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1096="CERRADO",1,IF(V1096="BRONCE",_xlpm.cPl,IF(V1096="PLATA",_xlpm.cO,IF(V1096="ORO",_xlpm.cP,IF(V1096="PLATINO",_xlpm.cD,999))))))</f>
        <v>24.506573482968111</v>
      </c>
      <c r="AF109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1096="CERRADO",0,IF(V1096="BRONCE",1,IF(V1096="PLATA",_xlpm.cPl,IF(V1096="ORO",_xlpm.cO,IF(V1096="PLATINO",_xlpm.cP,_xlpm.cD))))))</f>
        <v>1</v>
      </c>
      <c r="AG1096">
        <f t="shared" si="418"/>
        <v>2.4100638982331439</v>
      </c>
      <c r="AH1096" t="str">
        <f t="shared" si="419"/>
        <v>VENTAS</v>
      </c>
      <c r="AI1096" t="str">
        <f t="shared" si="416"/>
        <v>🎯 Para subir de categoría, eje VENTAS / CRECIMIENTO PERSONAL (F). Acción: metas semanales + activación comercial + seguimiento del asesor. ΔR aprox: 2,4</v>
      </c>
      <c r="AJ1096" s="26">
        <f>_xlfn.LET(_xlpm.piso,AF1096,_xlpm.corte,AE1096,_xlpm.prog,IF(_xlpm.corte&lt;=_xlpm.piso,0,MAX(0,MIN(1,(U1096-_xlpm.piso)/(_xlpm.corte-_xlpm.piso)))),_xlpm.orden,{"DIAMANTE";"PLATINO";"ORO";"PLATA";"BRONCE";"CERRADO"},_xlpm.act,IFERROR(MATCH(V1096,_xlpm.orden,0),6),_xlpm.ant,IFERROR(MATCH(W1096,_xlpm.orden,0),6),_xlpm.ajmov,IF(_xlpm.act&lt;_xlpm.ant,0.08,IF(_xlpm.act&gt;_xlpm.ant,-0.08,0)),_xlpm.ajcli,IF(T1096&lt;0.95,-0.06,0),_xlpm.prob,MAX(0,MIN(1,_xlpm.prog+_xlpm.ajmov+_xlpm.ajcli)),IF(OR(V1096="DIAMANTE",V1096="CERRADO"),0,ROUND(_xlpm.prob,2)))</f>
        <v>0.88</v>
      </c>
      <c r="AK1096" t="str">
        <f t="shared" si="420"/>
        <v>Faltan 2,4 puntos base para subir a la siguiente categoría</v>
      </c>
      <c r="AL1096" t="str">
        <f t="shared" si="421"/>
        <v>No aplica</v>
      </c>
      <c r="AM1096">
        <f t="shared" si="422"/>
        <v>0.14000000000000001</v>
      </c>
      <c r="AN1096" t="str">
        <f t="shared" si="423"/>
        <v>PRIORIDAD BAJA – control normal</v>
      </c>
      <c r="AO1096">
        <f t="shared" si="424"/>
        <v>74.591954666589913</v>
      </c>
      <c r="AP1096">
        <f t="shared" si="425"/>
        <v>17.25</v>
      </c>
      <c r="AQ1096">
        <f t="shared" si="426"/>
        <v>0</v>
      </c>
      <c r="AR1096">
        <f t="shared" si="427"/>
        <v>1.2649999999999995</v>
      </c>
      <c r="AS1096">
        <f t="shared" si="428"/>
        <v>0</v>
      </c>
      <c r="AT1096" t="str">
        <f t="shared" si="429"/>
        <v>VENTAS</v>
      </c>
      <c r="AU1096">
        <f t="shared" si="430"/>
        <v>74.591954666589913</v>
      </c>
      <c r="AV1096" t="str">
        <f t="shared" si="431"/>
        <v>Mayor retorno probable: VENTAS (+74,6 puntos finales potenciales).</v>
      </c>
    </row>
    <row r="1097" spans="1:48" x14ac:dyDescent="0.3">
      <c r="A1097" s="5">
        <v>51024338</v>
      </c>
      <c r="B1097" s="5" t="str">
        <f>IFERROR(VLOOKUP(A1097,VENTAS!$A$2:$B$1194,2,0),"")</f>
        <v/>
      </c>
      <c r="C1097" s="5">
        <f>IFERROR(INDEX(VENTAS!$C$2:$E$1194,MATCH(A1097,VENTAS!$A$2:$A$1194,0),MATCH(PARAMS_MODELO!$B$2,{"Q1","Q2","Q3"},0)),0)</f>
        <v>0</v>
      </c>
      <c r="D1097" s="5">
        <f>IFERROR(INDEX(VENTAS!$F$2:$H$1194,MATCH(A1097,VENTAS!$A$2:$A$1194,0),MATCH(PARAMS_MODELO!$B$2,{"Q1","Q2","Q3"},0)),0)</f>
        <v>0</v>
      </c>
      <c r="E1097" s="8">
        <f t="shared" si="408"/>
        <v>0</v>
      </c>
      <c r="F1097" s="12">
        <f>IF(E1097&lt;=PARAMS_MODELO!$B$15,0,IF(E1097&gt;=PARAMS_MODELO!$B$17,100,100*MIN(1,(E1097-PARAMS_MODELO!$B$15)/(PARAMS_MODELO!$B$16-PARAMS_MODELO!$B$15))))*PARAMS_MODELO!$B$7</f>
        <v>0</v>
      </c>
      <c r="G1097" s="5">
        <f t="shared" si="409"/>
        <v>0</v>
      </c>
      <c r="H1097" s="5">
        <f>(PARAMS_MODELO!$B$20*(MAX(0,MIN(3,E1097))/3)+PARAMS_MODELO!$B$21*(IFERROR(LN(1+MAX(0,G1097))/LN(1+MAX(0,MAX($G$2:$G$1194))),0)))*100*PARAMS_MODELO!$B$8</f>
        <v>0</v>
      </c>
      <c r="I1097" s="8">
        <f>E1097-PARAMS_MODELO!$B$5</f>
        <v>-0.17756283537552653</v>
      </c>
      <c r="J1097" s="5">
        <f>IF(I1097&lt;=PARAMS_MODELO!$B$18,0,IF(I1097&gt;=PARAMS_MODELO!$B$19,100,100*(I1097-PARAMS_MODELO!$B$18)/(PARAMS_MODELO!$B$19-PARAMS_MODELO!$B$18)))*PARAMS_MODELO!$B$9</f>
        <v>0</v>
      </c>
      <c r="K1097" s="5">
        <f>IFERROR(CHOOSE(MATCH(PARAMS_MODELO!$B$2,{"Q1","Q2","Q3"},0),LOTO!$D1097,LOTO!$F1097,LOTO!$H1097),0)</f>
        <v>0</v>
      </c>
      <c r="L1097" s="8">
        <f t="shared" si="410"/>
        <v>0</v>
      </c>
      <c r="M1097" s="5">
        <f>MIN(100,IF(PARAMS_MODELO!$B$23=0,0,100*L1097/PARAMS_MODELO!$B$23))*PARAMS_MODELO!$B$10</f>
        <v>0</v>
      </c>
      <c r="N1097" s="5">
        <f>IFERROR(VLOOKUP(A1097,COMPLIANCE!$A$2:$F$1996,6,0),100)</f>
        <v>100</v>
      </c>
      <c r="O1097" s="5">
        <f>N1097*PARAMS_MODELO!$B$11</f>
        <v>10</v>
      </c>
      <c r="P1097" s="5">
        <f>IFERROR(VLOOKUP(A1097,DIGITAL!$A$2:$J$2000,7,0),100)</f>
        <v>4</v>
      </c>
      <c r="Q1097" s="5">
        <f>IFERROR(P1097,0)*PARAMS_MODELO!$B$12</f>
        <v>0.4</v>
      </c>
      <c r="R1097">
        <f t="shared" si="411"/>
        <v>10.4</v>
      </c>
      <c r="S1097" s="5" t="str">
        <f>IFERROR(VLOOKUP(A1097,CLIENTE!$A$2:$N$2000,13,0),1)</f>
        <v>Regular</v>
      </c>
      <c r="T1097" s="5">
        <f>IFERROR(VLOOKUP(A1097,CLIENTE!$A$2:$N$2000,14,0),1)</f>
        <v>1</v>
      </c>
      <c r="U1097" s="5">
        <f t="shared" si="412"/>
        <v>10.4</v>
      </c>
      <c r="V1097" s="5" t="str">
        <f>IF(U1097&gt;=MAX(_xlfn.PERCENTILE.INC($U$2:$U$1194,PARAMS_MODELO!$B$50),PARAMS_MODELO!$B$45),"DIAMANTE",IF(U1097&gt;=MAX(_xlfn.PERCENTILE.INC($U$2:$U$1194,PARAMS_MODELO!$B$51),PARAMS_MODELO!$B$46),"PLATINO",IF(U1097&gt;=MAX(_xlfn.PERCENTILE.INC($U$2:$U$1194,PARAMS_MODELO!$B$52),PARAMS_MODELO!$B$47),"ORO",IF(U1097&gt;=MAX(_xlfn.PERCENTILE.INC($U$2:$U$1194,PARAMS_MODELO!$B$53),PARAMS_MODELO!$B$48),"PLATA",IF(U1097&gt;=1,"BRONCE","CERRADO")))))</f>
        <v>BRONCE</v>
      </c>
      <c r="W1097" s="5" t="str" cm="1">
        <f t="array" ref="W1097">_xlfn.XLOOKUP(1, (HIST_SCORE!$B:$B=PARAMS_MODELO!$B$4) * (HIST_SCORE!$C:$C=A1097), HIST_SCORE!$E:$E, "No encontrado")</f>
        <v>BRONCE</v>
      </c>
      <c r="X1097" s="5" t="str">
        <f>_xlfn.LET(_xlpm.act,MATCH(V1097,{"DIAMANTE";"PLATINO";"ORO";"PLATA";"BRONCE";"CERRADO"},0),_xlpm.ant,MATCH(W1097,{"DIAMANTE";"PLATINO";"ORO";"PLATA";"BRONCE";"CERRADO"},0),IF(_xlpm.act&lt;_xlpm.ant,"Mejora ↑",IF(_xlpm.act&gt;_xlpm.ant,"Baja ↓","Estable →")))</f>
        <v>Estable →</v>
      </c>
      <c r="Y1097" s="5">
        <f>IFERROR(U1097-SUMIFS(HIST_SCORE!$D:$D,HIST_SCORE!$B:$B,PARAMS_MODELO!$B$4,HIST_SCORE!$C:$C,$A1097),"")</f>
        <v>0</v>
      </c>
      <c r="Z1097" s="5" t="str">
        <f t="shared" si="413"/>
        <v>→ Estable</v>
      </c>
      <c r="AA1097" s="5">
        <f t="shared" si="414"/>
        <v>1162</v>
      </c>
      <c r="AB1097" s="5">
        <f>IFERROR(SUMIFS(HIST_SCORE!$F:$F,HIST_SCORE!$B:$B,PARAMS_MODELO!$B$4,HIST_SCORE!$C:$C,$A1097),"")</f>
        <v>1161</v>
      </c>
      <c r="AC1097" s="5">
        <f t="shared" si="415"/>
        <v>-1</v>
      </c>
      <c r="AD1097" t="str">
        <f t="shared" si="417"/>
        <v/>
      </c>
      <c r="AE10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1097="CERRADO",1,IF(V1097="BRONCE",_xlpm.cPl,IF(V1097="PLATA",_xlpm.cO,IF(V1097="ORO",_xlpm.cP,IF(V1097="PLATINO",_xlpm.cD,999))))))</f>
        <v>24.506573482968111</v>
      </c>
      <c r="AF109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1097="CERRADO",0,IF(V1097="BRONCE",1,IF(V1097="PLATA",_xlpm.cPl,IF(V1097="ORO",_xlpm.cO,IF(V1097="PLATINO",_xlpm.cP,_xlpm.cD))))))</f>
        <v>1</v>
      </c>
      <c r="AG1097">
        <f t="shared" si="418"/>
        <v>14.106573482968111</v>
      </c>
      <c r="AH1097" t="str">
        <f t="shared" si="419"/>
        <v>VENTAS</v>
      </c>
      <c r="AI1097" t="str">
        <f t="shared" si="416"/>
        <v>🎯 Para subir de categoría, eje VENTAS / CRECIMIENTO PERSONAL (F). Acción: metas semanales + activación comercial + seguimiento del asesor. ΔR aprox: 14,1</v>
      </c>
      <c r="AJ1097" s="26">
        <f>_xlfn.LET(_xlpm.piso,AF1097,_xlpm.corte,AE1097,_xlpm.prog,IF(_xlpm.corte&lt;=_xlpm.piso,0,MAX(0,MIN(1,(U1097-_xlpm.piso)/(_xlpm.corte-_xlpm.piso)))),_xlpm.orden,{"DIAMANTE";"PLATINO";"ORO";"PLATA";"BRONCE";"CERRADO"},_xlpm.act,IFERROR(MATCH(V1097,_xlpm.orden,0),6),_xlpm.ant,IFERROR(MATCH(W1097,_xlpm.orden,0),6),_xlpm.ajmov,IF(_xlpm.act&lt;_xlpm.ant,0.08,IF(_xlpm.act&gt;_xlpm.ant,-0.08,0)),_xlpm.ajcli,IF(T1097&lt;0.95,-0.06,0),_xlpm.prob,MAX(0,MIN(1,_xlpm.prog+_xlpm.ajmov+_xlpm.ajcli)),IF(OR(V1097="DIAMANTE",V1097="CERRADO"),0,ROUND(_xlpm.prob,2)))</f>
        <v>0.4</v>
      </c>
      <c r="AK1097" t="str">
        <f t="shared" si="420"/>
        <v>Faltan 14,1 puntos base para subir a la siguiente categoría</v>
      </c>
      <c r="AL1097" t="str">
        <f t="shared" si="421"/>
        <v>No aplica</v>
      </c>
      <c r="AM1097">
        <f t="shared" si="422"/>
        <v>0.64</v>
      </c>
      <c r="AN1097" t="str">
        <f t="shared" si="423"/>
        <v>PRIORIDAD MEDIA – seguimiento del asesor</v>
      </c>
      <c r="AO1097">
        <f t="shared" si="424"/>
        <v>64.862569275295584</v>
      </c>
      <c r="AP1097">
        <f t="shared" si="425"/>
        <v>15</v>
      </c>
      <c r="AQ1097">
        <f t="shared" si="426"/>
        <v>0</v>
      </c>
      <c r="AR1097">
        <f t="shared" si="427"/>
        <v>9.6</v>
      </c>
      <c r="AS1097">
        <f t="shared" si="428"/>
        <v>0</v>
      </c>
      <c r="AT1097" t="str">
        <f t="shared" si="429"/>
        <v>VENTAS</v>
      </c>
      <c r="AU1097">
        <f t="shared" si="430"/>
        <v>64.862569275295584</v>
      </c>
      <c r="AV1097" t="str">
        <f t="shared" si="431"/>
        <v>Mayor retorno probable: VENTAS (+64,9 puntos finales potenciales).</v>
      </c>
    </row>
    <row r="1098" spans="1:48" x14ac:dyDescent="0.3">
      <c r="A1098" s="5">
        <v>51024346</v>
      </c>
      <c r="B1098" s="5" t="str">
        <f>IFERROR(VLOOKUP(A1098,VENTAS!$A$2:$B$1194,2,0),"")</f>
        <v/>
      </c>
      <c r="C1098" s="5">
        <f>IFERROR(INDEX(VENTAS!$C$2:$E$1194,MATCH(A1098,VENTAS!$A$2:$A$1194,0),MATCH(PARAMS_MODELO!$B$2,{"Q1","Q2","Q3"},0)),0)</f>
        <v>0</v>
      </c>
      <c r="D1098" s="5">
        <f>IFERROR(INDEX(VENTAS!$F$2:$H$1194,MATCH(A1098,VENTAS!$A$2:$A$1194,0),MATCH(PARAMS_MODELO!$B$2,{"Q1","Q2","Q3"},0)),0)</f>
        <v>0</v>
      </c>
      <c r="E1098" s="8">
        <f t="shared" si="408"/>
        <v>0</v>
      </c>
      <c r="F1098" s="12">
        <f>IF(E1098&lt;=PARAMS_MODELO!$B$15,0,IF(E1098&gt;=PARAMS_MODELO!$B$17,100,100*MIN(1,(E1098-PARAMS_MODELO!$B$15)/(PARAMS_MODELO!$B$16-PARAMS_MODELO!$B$15))))*PARAMS_MODELO!$B$7</f>
        <v>0</v>
      </c>
      <c r="G1098" s="5">
        <f t="shared" si="409"/>
        <v>0</v>
      </c>
      <c r="H1098" s="5">
        <f>(PARAMS_MODELO!$B$20*(MAX(0,MIN(3,E1098))/3)+PARAMS_MODELO!$B$21*(IFERROR(LN(1+MAX(0,G1098))/LN(1+MAX(0,MAX($G$2:$G$1194))),0)))*100*PARAMS_MODELO!$B$8</f>
        <v>0</v>
      </c>
      <c r="I1098" s="8">
        <f>E1098-PARAMS_MODELO!$B$5</f>
        <v>-0.17756283537552653</v>
      </c>
      <c r="J1098" s="5">
        <f>IF(I1098&lt;=PARAMS_MODELO!$B$18,0,IF(I1098&gt;=PARAMS_MODELO!$B$19,100,100*(I1098-PARAMS_MODELO!$B$18)/(PARAMS_MODELO!$B$19-PARAMS_MODELO!$B$18)))*PARAMS_MODELO!$B$9</f>
        <v>0</v>
      </c>
      <c r="K1098" s="5">
        <f>IFERROR(CHOOSE(MATCH(PARAMS_MODELO!$B$2,{"Q1","Q2","Q3"},0),LOTO!$D1098,LOTO!$F1098,LOTO!$H1098),0)</f>
        <v>0</v>
      </c>
      <c r="L1098" s="8">
        <f t="shared" si="410"/>
        <v>0</v>
      </c>
      <c r="M1098" s="5">
        <f>MIN(100,IF(PARAMS_MODELO!$B$23=0,0,100*L1098/PARAMS_MODELO!$B$23))*PARAMS_MODELO!$B$10</f>
        <v>0</v>
      </c>
      <c r="N1098" s="5">
        <f>IFERROR(VLOOKUP(A1098,COMPLIANCE!$A$2:$F$1996,6,0),100)</f>
        <v>100</v>
      </c>
      <c r="O1098" s="5">
        <f>N1098*PARAMS_MODELO!$B$11</f>
        <v>10</v>
      </c>
      <c r="P1098" s="5">
        <f>IFERROR(VLOOKUP(A1098,DIGITAL!$A$2:$J$2000,7,0),100)</f>
        <v>88</v>
      </c>
      <c r="Q1098" s="5">
        <f>IFERROR(P1098,0)*PARAMS_MODELO!$B$12</f>
        <v>8.8000000000000007</v>
      </c>
      <c r="R1098">
        <f t="shared" si="411"/>
        <v>18.8</v>
      </c>
      <c r="S1098" s="5" t="str">
        <f>IFERROR(VLOOKUP(A1098,CLIENTE!$A$2:$N$2000,13,0),1)</f>
        <v>Bueno</v>
      </c>
      <c r="T1098" s="5">
        <f>IFERROR(VLOOKUP(A1098,CLIENTE!$A$2:$N$2000,14,0),1)</f>
        <v>1.1000000000000001</v>
      </c>
      <c r="U1098" s="5">
        <f t="shared" si="412"/>
        <v>20.680000000000003</v>
      </c>
      <c r="V1098" s="5" t="str">
        <f>IF(U1098&gt;=MAX(_xlfn.PERCENTILE.INC($U$2:$U$1194,PARAMS_MODELO!$B$50),PARAMS_MODELO!$B$45),"DIAMANTE",IF(U1098&gt;=MAX(_xlfn.PERCENTILE.INC($U$2:$U$1194,PARAMS_MODELO!$B$51),PARAMS_MODELO!$B$46),"PLATINO",IF(U1098&gt;=MAX(_xlfn.PERCENTILE.INC($U$2:$U$1194,PARAMS_MODELO!$B$52),PARAMS_MODELO!$B$47),"ORO",IF(U1098&gt;=MAX(_xlfn.PERCENTILE.INC($U$2:$U$1194,PARAMS_MODELO!$B$53),PARAMS_MODELO!$B$48),"PLATA",IF(U1098&gt;=1,"BRONCE","CERRADO")))))</f>
        <v>BRONCE</v>
      </c>
      <c r="W1098" s="5" t="str" cm="1">
        <f t="array" ref="W1098">_xlfn.XLOOKUP(1, (HIST_SCORE!$B:$B=PARAMS_MODELO!$B$4) * (HIST_SCORE!$C:$C=A1098), HIST_SCORE!$E:$E, "No encontrado")</f>
        <v>BRONCE</v>
      </c>
      <c r="X1098" s="5" t="str">
        <f>_xlfn.LET(_xlpm.act,MATCH(V1098,{"DIAMANTE";"PLATINO";"ORO";"PLATA";"BRONCE";"CERRADO"},0),_xlpm.ant,MATCH(W1098,{"DIAMANTE";"PLATINO";"ORO";"PLATA";"BRONCE";"CERRADO"},0),IF(_xlpm.act&lt;_xlpm.ant,"Mejora ↑",IF(_xlpm.act&gt;_xlpm.ant,"Baja ↓","Estable →")))</f>
        <v>Estable →</v>
      </c>
      <c r="Y1098" s="5">
        <f>IFERROR(U1098-SUMIFS(HIST_SCORE!$D:$D,HIST_SCORE!$B:$B,PARAMS_MODELO!$B$4,HIST_SCORE!$C:$C,$A1098),"")</f>
        <v>0</v>
      </c>
      <c r="Z1098" s="5" t="str">
        <f t="shared" si="413"/>
        <v>→ Estable</v>
      </c>
      <c r="AA1098" s="5">
        <f t="shared" si="414"/>
        <v>967</v>
      </c>
      <c r="AB1098" s="5">
        <f>IFERROR(SUMIFS(HIST_SCORE!$F:$F,HIST_SCORE!$B:$B,PARAMS_MODELO!$B$4,HIST_SCORE!$C:$C,$A1098),"")</f>
        <v>978</v>
      </c>
      <c r="AC1098" s="5">
        <f t="shared" si="415"/>
        <v>11</v>
      </c>
      <c r="AD1098" t="str">
        <f t="shared" si="417"/>
        <v/>
      </c>
      <c r="AE10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1098="CERRADO",1,IF(V1098="BRONCE",_xlpm.cPl,IF(V1098="PLATA",_xlpm.cO,IF(V1098="ORO",_xlpm.cP,IF(V1098="PLATINO",_xlpm.cD,999))))))</f>
        <v>24.506573482968111</v>
      </c>
      <c r="AF109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1098="CERRADO",0,IF(V1098="BRONCE",1,IF(V1098="PLATA",_xlpm.cPl,IF(V1098="ORO",_xlpm.cO,IF(V1098="PLATINO",_xlpm.cP,_xlpm.cD))))))</f>
        <v>1</v>
      </c>
      <c r="AG1098">
        <f t="shared" si="418"/>
        <v>3.4787031663346433</v>
      </c>
      <c r="AH1098" t="str">
        <f t="shared" si="419"/>
        <v>VENTAS</v>
      </c>
      <c r="AI1098" t="str">
        <f t="shared" si="416"/>
        <v>🎯 Para subir de categoría, eje VENTAS / CRECIMIENTO PERSONAL (F). Acción: metas semanales + activación comercial + seguimiento del asesor. ΔR aprox: 3,5</v>
      </c>
      <c r="AJ1098" s="26">
        <f>_xlfn.LET(_xlpm.piso,AF1098,_xlpm.corte,AE1098,_xlpm.prog,IF(_xlpm.corte&lt;=_xlpm.piso,0,MAX(0,MIN(1,(U1098-_xlpm.piso)/(_xlpm.corte-_xlpm.piso)))),_xlpm.orden,{"DIAMANTE";"PLATINO";"ORO";"PLATA";"BRONCE";"CERRADO"},_xlpm.act,IFERROR(MATCH(V1098,_xlpm.orden,0),6),_xlpm.ant,IFERROR(MATCH(W1098,_xlpm.orden,0),6),_xlpm.ajmov,IF(_xlpm.act&lt;_xlpm.ant,0.08,IF(_xlpm.act&gt;_xlpm.ant,-0.08,0)),_xlpm.ajcli,IF(T1098&lt;0.95,-0.06,0),_xlpm.prob,MAX(0,MIN(1,_xlpm.prog+_xlpm.ajmov+_xlpm.ajcli)),IF(OR(V1098="DIAMANTE",V1098="CERRADO"),0,ROUND(_xlpm.prob,2)))</f>
        <v>0.84</v>
      </c>
      <c r="AK1098" t="str">
        <f t="shared" si="420"/>
        <v>Faltan 3,5 puntos base para subir a la siguiente categoría</v>
      </c>
      <c r="AL1098" t="str">
        <f t="shared" si="421"/>
        <v>No aplica</v>
      </c>
      <c r="AM1098">
        <f t="shared" si="422"/>
        <v>0.2</v>
      </c>
      <c r="AN1098" t="str">
        <f t="shared" si="423"/>
        <v>PRIORIDAD BAJA – control normal</v>
      </c>
      <c r="AO1098">
        <f t="shared" si="424"/>
        <v>71.348826202825151</v>
      </c>
      <c r="AP1098">
        <f t="shared" si="425"/>
        <v>16.5</v>
      </c>
      <c r="AQ1098">
        <f t="shared" si="426"/>
        <v>0</v>
      </c>
      <c r="AR1098">
        <f t="shared" si="427"/>
        <v>1.3199999999999994</v>
      </c>
      <c r="AS1098">
        <f t="shared" si="428"/>
        <v>0</v>
      </c>
      <c r="AT1098" t="str">
        <f t="shared" si="429"/>
        <v>VENTAS</v>
      </c>
      <c r="AU1098">
        <f t="shared" si="430"/>
        <v>71.348826202825151</v>
      </c>
      <c r="AV1098" t="str">
        <f t="shared" si="431"/>
        <v>Mayor retorno probable: VENTAS (+71,3 puntos finales potenciales).</v>
      </c>
    </row>
    <row r="1099" spans="1:48" x14ac:dyDescent="0.3">
      <c r="A1099" s="5">
        <v>51024354</v>
      </c>
      <c r="B1099" s="5" t="str">
        <f>IFERROR(VLOOKUP(A1099,VENTAS!$A$2:$B$1194,2,0),"")</f>
        <v/>
      </c>
      <c r="C1099" s="5">
        <f>IFERROR(INDEX(VENTAS!$C$2:$E$1194,MATCH(A1099,VENTAS!$A$2:$A$1194,0),MATCH(PARAMS_MODELO!$B$2,{"Q1","Q2","Q3"},0)),0)</f>
        <v>0</v>
      </c>
      <c r="D1099" s="5">
        <f>IFERROR(INDEX(VENTAS!$F$2:$H$1194,MATCH(A1099,VENTAS!$A$2:$A$1194,0),MATCH(PARAMS_MODELO!$B$2,{"Q1","Q2","Q3"},0)),0)</f>
        <v>0</v>
      </c>
      <c r="E1099" s="8">
        <f t="shared" si="408"/>
        <v>0</v>
      </c>
      <c r="F1099" s="12">
        <f>IF(E1099&lt;=PARAMS_MODELO!$B$15,0,IF(E1099&gt;=PARAMS_MODELO!$B$17,100,100*MIN(1,(E1099-PARAMS_MODELO!$B$15)/(PARAMS_MODELO!$B$16-PARAMS_MODELO!$B$15))))*PARAMS_MODELO!$B$7</f>
        <v>0</v>
      </c>
      <c r="G1099" s="5">
        <f t="shared" si="409"/>
        <v>0</v>
      </c>
      <c r="H1099" s="5">
        <f>(PARAMS_MODELO!$B$20*(MAX(0,MIN(3,E1099))/3)+PARAMS_MODELO!$B$21*(IFERROR(LN(1+MAX(0,G1099))/LN(1+MAX(0,MAX($G$2:$G$1194))),0)))*100*PARAMS_MODELO!$B$8</f>
        <v>0</v>
      </c>
      <c r="I1099" s="8">
        <f>E1099-PARAMS_MODELO!$B$5</f>
        <v>-0.17756283537552653</v>
      </c>
      <c r="J1099" s="5">
        <f>IF(I1099&lt;=PARAMS_MODELO!$B$18,0,IF(I1099&gt;=PARAMS_MODELO!$B$19,100,100*(I1099-PARAMS_MODELO!$B$18)/(PARAMS_MODELO!$B$19-PARAMS_MODELO!$B$18)))*PARAMS_MODELO!$B$9</f>
        <v>0</v>
      </c>
      <c r="K1099" s="5">
        <f>IFERROR(CHOOSE(MATCH(PARAMS_MODELO!$B$2,{"Q1","Q2","Q3"},0),LOTO!$D1099,LOTO!$F1099,LOTO!$H1099),0)</f>
        <v>0</v>
      </c>
      <c r="L1099" s="8">
        <f t="shared" si="410"/>
        <v>0</v>
      </c>
      <c r="M1099" s="5">
        <f>MIN(100,IF(PARAMS_MODELO!$B$23=0,0,100*L1099/PARAMS_MODELO!$B$23))*PARAMS_MODELO!$B$10</f>
        <v>0</v>
      </c>
      <c r="N1099" s="5">
        <f>IFERROR(VLOOKUP(A1099,COMPLIANCE!$A$2:$F$1996,6,0),100)</f>
        <v>100</v>
      </c>
      <c r="O1099" s="5">
        <f>N1099*PARAMS_MODELO!$B$11</f>
        <v>10</v>
      </c>
      <c r="P1099" s="5">
        <f>IFERROR(VLOOKUP(A1099,DIGITAL!$A$2:$J$2000,7,0),100)</f>
        <v>27</v>
      </c>
      <c r="Q1099" s="5">
        <f>IFERROR(P1099,0)*PARAMS_MODELO!$B$12</f>
        <v>2.7</v>
      </c>
      <c r="R1099">
        <f t="shared" si="411"/>
        <v>12.7</v>
      </c>
      <c r="S1099" s="5" t="str">
        <f>IFERROR(VLOOKUP(A1099,CLIENTE!$A$2:$N$2000,13,0),1)</f>
        <v>Regular</v>
      </c>
      <c r="T1099" s="5">
        <f>IFERROR(VLOOKUP(A1099,CLIENTE!$A$2:$N$2000,14,0),1)</f>
        <v>1</v>
      </c>
      <c r="U1099" s="5">
        <f t="shared" si="412"/>
        <v>12.7</v>
      </c>
      <c r="V1099" s="5" t="str">
        <f>IF(U1099&gt;=MAX(_xlfn.PERCENTILE.INC($U$2:$U$1194,PARAMS_MODELO!$B$50),PARAMS_MODELO!$B$45),"DIAMANTE",IF(U1099&gt;=MAX(_xlfn.PERCENTILE.INC($U$2:$U$1194,PARAMS_MODELO!$B$51),PARAMS_MODELO!$B$46),"PLATINO",IF(U1099&gt;=MAX(_xlfn.PERCENTILE.INC($U$2:$U$1194,PARAMS_MODELO!$B$52),PARAMS_MODELO!$B$47),"ORO",IF(U1099&gt;=MAX(_xlfn.PERCENTILE.INC($U$2:$U$1194,PARAMS_MODELO!$B$53),PARAMS_MODELO!$B$48),"PLATA",IF(U1099&gt;=1,"BRONCE","CERRADO")))))</f>
        <v>BRONCE</v>
      </c>
      <c r="W1099" s="5" t="str" cm="1">
        <f t="array" ref="W1099">_xlfn.XLOOKUP(1, (HIST_SCORE!$B:$B=PARAMS_MODELO!$B$4) * (HIST_SCORE!$C:$C=A1099), HIST_SCORE!$E:$E, "No encontrado")</f>
        <v>BRONCE</v>
      </c>
      <c r="X1099" s="5" t="str">
        <f>_xlfn.LET(_xlpm.act,MATCH(V1099,{"DIAMANTE";"PLATINO";"ORO";"PLATA";"BRONCE";"CERRADO"},0),_xlpm.ant,MATCH(W1099,{"DIAMANTE";"PLATINO";"ORO";"PLATA";"BRONCE";"CERRADO"},0),IF(_xlpm.act&lt;_xlpm.ant,"Mejora ↑",IF(_xlpm.act&gt;_xlpm.ant,"Baja ↓","Estable →")))</f>
        <v>Estable →</v>
      </c>
      <c r="Y1099" s="5">
        <f>IFERROR(U1099-SUMIFS(HIST_SCORE!$D:$D,HIST_SCORE!$B:$B,PARAMS_MODELO!$B$4,HIST_SCORE!$C:$C,$A1099),"")</f>
        <v>0</v>
      </c>
      <c r="Z1099" s="5" t="str">
        <f t="shared" si="413"/>
        <v>→ Estable</v>
      </c>
      <c r="AA1099" s="5">
        <f t="shared" si="414"/>
        <v>1120</v>
      </c>
      <c r="AB1099" s="5">
        <f>IFERROR(SUMIFS(HIST_SCORE!$F:$F,HIST_SCORE!$B:$B,PARAMS_MODELO!$B$4,HIST_SCORE!$C:$C,$A1099),"")</f>
        <v>1119</v>
      </c>
      <c r="AC1099" s="5">
        <f t="shared" si="415"/>
        <v>-1</v>
      </c>
      <c r="AD1099" t="str">
        <f t="shared" si="417"/>
        <v/>
      </c>
      <c r="AE10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1099="CERRADO",1,IF(V1099="BRONCE",_xlpm.cPl,IF(V1099="PLATA",_xlpm.cO,IF(V1099="ORO",_xlpm.cP,IF(V1099="PLATINO",_xlpm.cD,999))))))</f>
        <v>24.506573482968111</v>
      </c>
      <c r="AF109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1099="CERRADO",0,IF(V1099="BRONCE",1,IF(V1099="PLATA",_xlpm.cPl,IF(V1099="ORO",_xlpm.cO,IF(V1099="PLATINO",_xlpm.cP,_xlpm.cD))))))</f>
        <v>1</v>
      </c>
      <c r="AG1099">
        <f t="shared" si="418"/>
        <v>11.806573482968112</v>
      </c>
      <c r="AH1099" t="str">
        <f t="shared" si="419"/>
        <v>VENTAS</v>
      </c>
      <c r="AI1099" t="str">
        <f t="shared" si="416"/>
        <v>🎯 Para subir de categoría, eje VENTAS / CRECIMIENTO PERSONAL (F). Acción: metas semanales + activación comercial + seguimiento del asesor. ΔR aprox: 11,8</v>
      </c>
      <c r="AJ1099" s="26">
        <f>_xlfn.LET(_xlpm.piso,AF1099,_xlpm.corte,AE1099,_xlpm.prog,IF(_xlpm.corte&lt;=_xlpm.piso,0,MAX(0,MIN(1,(U1099-_xlpm.piso)/(_xlpm.corte-_xlpm.piso)))),_xlpm.orden,{"DIAMANTE";"PLATINO";"ORO";"PLATA";"BRONCE";"CERRADO"},_xlpm.act,IFERROR(MATCH(V1099,_xlpm.orden,0),6),_xlpm.ant,IFERROR(MATCH(W1099,_xlpm.orden,0),6),_xlpm.ajmov,IF(_xlpm.act&lt;_xlpm.ant,0.08,IF(_xlpm.act&gt;_xlpm.ant,-0.08,0)),_xlpm.ajcli,IF(T1099&lt;0.95,-0.06,0),_xlpm.prob,MAX(0,MIN(1,_xlpm.prog+_xlpm.ajmov+_xlpm.ajcli)),IF(OR(V1099="DIAMANTE",V1099="CERRADO"),0,ROUND(_xlpm.prob,2)))</f>
        <v>0.5</v>
      </c>
      <c r="AK1099" t="str">
        <f t="shared" si="420"/>
        <v>Faltan 11,8 puntos base para subir a la siguiente categoría</v>
      </c>
      <c r="AL1099" t="str">
        <f t="shared" si="421"/>
        <v>No aplica</v>
      </c>
      <c r="AM1099">
        <f t="shared" si="422"/>
        <v>0.6</v>
      </c>
      <c r="AN1099" t="str">
        <f t="shared" si="423"/>
        <v>PRIORIDAD MEDIA – seguimiento del asesor</v>
      </c>
      <c r="AO1099">
        <f t="shared" si="424"/>
        <v>64.862569275295584</v>
      </c>
      <c r="AP1099">
        <f t="shared" si="425"/>
        <v>15</v>
      </c>
      <c r="AQ1099">
        <f t="shared" si="426"/>
        <v>0</v>
      </c>
      <c r="AR1099">
        <f t="shared" si="427"/>
        <v>7.3</v>
      </c>
      <c r="AS1099">
        <f t="shared" si="428"/>
        <v>0</v>
      </c>
      <c r="AT1099" t="str">
        <f t="shared" si="429"/>
        <v>VENTAS</v>
      </c>
      <c r="AU1099">
        <f t="shared" si="430"/>
        <v>64.862569275295584</v>
      </c>
      <c r="AV1099" t="str">
        <f t="shared" si="431"/>
        <v>Mayor retorno probable: VENTAS (+64,9 puntos finales potenciales).</v>
      </c>
    </row>
    <row r="1100" spans="1:48" x14ac:dyDescent="0.3">
      <c r="A1100" s="5">
        <v>51024788</v>
      </c>
      <c r="B1100" s="5" t="str">
        <f>IFERROR(VLOOKUP(A1100,VENTAS!$A$2:$B$1194,2,0),"")</f>
        <v/>
      </c>
      <c r="C1100" s="5">
        <f>IFERROR(INDEX(VENTAS!$C$2:$E$1194,MATCH(A1100,VENTAS!$A$2:$A$1194,0),MATCH(PARAMS_MODELO!$B$2,{"Q1","Q2","Q3"},0)),0)</f>
        <v>0</v>
      </c>
      <c r="D1100" s="5">
        <f>IFERROR(INDEX(VENTAS!$F$2:$H$1194,MATCH(A1100,VENTAS!$A$2:$A$1194,0),MATCH(PARAMS_MODELO!$B$2,{"Q1","Q2","Q3"},0)),0)</f>
        <v>0</v>
      </c>
      <c r="E1100" s="8">
        <f t="shared" si="408"/>
        <v>0</v>
      </c>
      <c r="F1100" s="12">
        <f>IF(E1100&lt;=PARAMS_MODELO!$B$15,0,IF(E1100&gt;=PARAMS_MODELO!$B$17,100,100*MIN(1,(E1100-PARAMS_MODELO!$B$15)/(PARAMS_MODELO!$B$16-PARAMS_MODELO!$B$15))))*PARAMS_MODELO!$B$7</f>
        <v>0</v>
      </c>
      <c r="G1100" s="5">
        <f t="shared" si="409"/>
        <v>0</v>
      </c>
      <c r="H1100" s="5">
        <f>(PARAMS_MODELO!$B$20*(MAX(0,MIN(3,E1100))/3)+PARAMS_MODELO!$B$21*(IFERROR(LN(1+MAX(0,G1100))/LN(1+MAX(0,MAX($G$2:$G$1194))),0)))*100*PARAMS_MODELO!$B$8</f>
        <v>0</v>
      </c>
      <c r="I1100" s="8">
        <f>E1100-PARAMS_MODELO!$B$5</f>
        <v>-0.17756283537552653</v>
      </c>
      <c r="J1100" s="5">
        <f>IF(I1100&lt;=PARAMS_MODELO!$B$18,0,IF(I1100&gt;=PARAMS_MODELO!$B$19,100,100*(I1100-PARAMS_MODELO!$B$18)/(PARAMS_MODELO!$B$19-PARAMS_MODELO!$B$18)))*PARAMS_MODELO!$B$9</f>
        <v>0</v>
      </c>
      <c r="K1100" s="5">
        <f>IFERROR(CHOOSE(MATCH(PARAMS_MODELO!$B$2,{"Q1","Q2","Q3"},0),LOTO!$D1100,LOTO!$F1100,LOTO!$H1100),0)</f>
        <v>0</v>
      </c>
      <c r="L1100" s="8">
        <f t="shared" si="410"/>
        <v>0</v>
      </c>
      <c r="M1100" s="5">
        <f>MIN(100,IF(PARAMS_MODELO!$B$23=0,0,100*L1100/PARAMS_MODELO!$B$23))*PARAMS_MODELO!$B$10</f>
        <v>0</v>
      </c>
      <c r="N1100" s="5">
        <f>IFERROR(VLOOKUP(A1100,COMPLIANCE!$A$2:$F$1996,6,0),100)</f>
        <v>100</v>
      </c>
      <c r="O1100" s="5">
        <f>N1100*PARAMS_MODELO!$B$11</f>
        <v>10</v>
      </c>
      <c r="P1100" s="5">
        <f>IFERROR(VLOOKUP(A1100,DIGITAL!$A$2:$J$2000,7,0),100)</f>
        <v>36</v>
      </c>
      <c r="Q1100" s="5">
        <f>IFERROR(P1100,0)*PARAMS_MODELO!$B$12</f>
        <v>3.6</v>
      </c>
      <c r="R1100">
        <f t="shared" si="411"/>
        <v>13.6</v>
      </c>
      <c r="S1100" s="5" t="str">
        <f>IFERROR(VLOOKUP(A1100,CLIENTE!$A$2:$N$2000,13,0),1)</f>
        <v>Regular</v>
      </c>
      <c r="T1100" s="5">
        <f>IFERROR(VLOOKUP(A1100,CLIENTE!$A$2:$N$2000,14,0),1)</f>
        <v>1</v>
      </c>
      <c r="U1100" s="5">
        <f t="shared" si="412"/>
        <v>13.6</v>
      </c>
      <c r="V1100" s="5" t="str">
        <f>IF(U1100&gt;=MAX(_xlfn.PERCENTILE.INC($U$2:$U$1194,PARAMS_MODELO!$B$50),PARAMS_MODELO!$B$45),"DIAMANTE",IF(U1100&gt;=MAX(_xlfn.PERCENTILE.INC($U$2:$U$1194,PARAMS_MODELO!$B$51),PARAMS_MODELO!$B$46),"PLATINO",IF(U1100&gt;=MAX(_xlfn.PERCENTILE.INC($U$2:$U$1194,PARAMS_MODELO!$B$52),PARAMS_MODELO!$B$47),"ORO",IF(U1100&gt;=MAX(_xlfn.PERCENTILE.INC($U$2:$U$1194,PARAMS_MODELO!$B$53),PARAMS_MODELO!$B$48),"PLATA",IF(U1100&gt;=1,"BRONCE","CERRADO")))))</f>
        <v>BRONCE</v>
      </c>
      <c r="W1100" s="5" t="str" cm="1">
        <f t="array" ref="W1100">_xlfn.XLOOKUP(1, (HIST_SCORE!$B:$B=PARAMS_MODELO!$B$4) * (HIST_SCORE!$C:$C=A1100), HIST_SCORE!$E:$E, "No encontrado")</f>
        <v>BRONCE</v>
      </c>
      <c r="X1100" s="5" t="str">
        <f>_xlfn.LET(_xlpm.act,MATCH(V1100,{"DIAMANTE";"PLATINO";"ORO";"PLATA";"BRONCE";"CERRADO"},0),_xlpm.ant,MATCH(W1100,{"DIAMANTE";"PLATINO";"ORO";"PLATA";"BRONCE";"CERRADO"},0),IF(_xlpm.act&lt;_xlpm.ant,"Mejora ↑",IF(_xlpm.act&gt;_xlpm.ant,"Baja ↓","Estable →")))</f>
        <v>Estable →</v>
      </c>
      <c r="Y1100" s="5">
        <f>IFERROR(U1100-SUMIFS(HIST_SCORE!$D:$D,HIST_SCORE!$B:$B,PARAMS_MODELO!$B$4,HIST_SCORE!$C:$C,$A1100),"")</f>
        <v>0</v>
      </c>
      <c r="Z1100" s="5" t="str">
        <f t="shared" si="413"/>
        <v>→ Estable</v>
      </c>
      <c r="AA1100" s="5">
        <f t="shared" si="414"/>
        <v>1096</v>
      </c>
      <c r="AB1100" s="5">
        <f>IFERROR(SUMIFS(HIST_SCORE!$F:$F,HIST_SCORE!$B:$B,PARAMS_MODELO!$B$4,HIST_SCORE!$C:$C,$A1100),"")</f>
        <v>1094</v>
      </c>
      <c r="AC1100" s="5">
        <f t="shared" si="415"/>
        <v>-2</v>
      </c>
      <c r="AD1100" t="str">
        <f t="shared" si="417"/>
        <v/>
      </c>
      <c r="AE11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1100="CERRADO",1,IF(V1100="BRONCE",_xlpm.cPl,IF(V1100="PLATA",_xlpm.cO,IF(V1100="ORO",_xlpm.cP,IF(V1100="PLATINO",_xlpm.cD,999))))))</f>
        <v>24.506573482968111</v>
      </c>
      <c r="AF110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1100="CERRADO",0,IF(V1100="BRONCE",1,IF(V1100="PLATA",_xlpm.cPl,IF(V1100="ORO",_xlpm.cO,IF(V1100="PLATINO",_xlpm.cP,_xlpm.cD))))))</f>
        <v>1</v>
      </c>
      <c r="AG1100">
        <f t="shared" si="418"/>
        <v>10.906573482968112</v>
      </c>
      <c r="AH1100" t="str">
        <f t="shared" si="419"/>
        <v>VENTAS</v>
      </c>
      <c r="AI1100" t="str">
        <f t="shared" si="416"/>
        <v>🎯 Para subir de categoría, eje VENTAS / CRECIMIENTO PERSONAL (F). Acción: metas semanales + activación comercial + seguimiento del asesor. ΔR aprox: 10,9</v>
      </c>
      <c r="AJ1100" s="26">
        <f>_xlfn.LET(_xlpm.piso,AF1100,_xlpm.corte,AE1100,_xlpm.prog,IF(_xlpm.corte&lt;=_xlpm.piso,0,MAX(0,MIN(1,(U1100-_xlpm.piso)/(_xlpm.corte-_xlpm.piso)))),_xlpm.orden,{"DIAMANTE";"PLATINO";"ORO";"PLATA";"BRONCE";"CERRADO"},_xlpm.act,IFERROR(MATCH(V1100,_xlpm.orden,0),6),_xlpm.ant,IFERROR(MATCH(W1100,_xlpm.orden,0),6),_xlpm.ajmov,IF(_xlpm.act&lt;_xlpm.ant,0.08,IF(_xlpm.act&gt;_xlpm.ant,-0.08,0)),_xlpm.ajcli,IF(T1100&lt;0.95,-0.06,0),_xlpm.prob,MAX(0,MIN(1,_xlpm.prog+_xlpm.ajmov+_xlpm.ajcli)),IF(OR(V1100="DIAMANTE",V1100="CERRADO"),0,ROUND(_xlpm.prob,2)))</f>
        <v>0.54</v>
      </c>
      <c r="AK1100" t="str">
        <f t="shared" si="420"/>
        <v>Faltan 10,9 puntos base para subir a la siguiente categoría</v>
      </c>
      <c r="AL1100" t="str">
        <f t="shared" si="421"/>
        <v>No aplica</v>
      </c>
      <c r="AM1100">
        <f t="shared" si="422"/>
        <v>0.57999999999999996</v>
      </c>
      <c r="AN1100" t="str">
        <f t="shared" si="423"/>
        <v>PRIORIDAD MEDIA – seguimiento del asesor</v>
      </c>
      <c r="AO1100">
        <f t="shared" si="424"/>
        <v>64.862569275295584</v>
      </c>
      <c r="AP1100">
        <f t="shared" si="425"/>
        <v>15</v>
      </c>
      <c r="AQ1100">
        <f t="shared" si="426"/>
        <v>0</v>
      </c>
      <c r="AR1100">
        <f t="shared" si="427"/>
        <v>6.4</v>
      </c>
      <c r="AS1100">
        <f t="shared" si="428"/>
        <v>0</v>
      </c>
      <c r="AT1100" t="str">
        <f t="shared" si="429"/>
        <v>VENTAS</v>
      </c>
      <c r="AU1100">
        <f t="shared" si="430"/>
        <v>64.862569275295584</v>
      </c>
      <c r="AV1100" t="str">
        <f t="shared" si="431"/>
        <v>Mayor retorno probable: VENTAS (+64,9 puntos finales potenciales).</v>
      </c>
    </row>
    <row r="1101" spans="1:48" x14ac:dyDescent="0.3">
      <c r="A1101" s="5">
        <v>51024907</v>
      </c>
      <c r="B1101" s="5" t="str">
        <f>IFERROR(VLOOKUP(A1101,VENTAS!$A$2:$B$1194,2,0),"")</f>
        <v/>
      </c>
      <c r="C1101" s="5">
        <f>IFERROR(INDEX(VENTAS!$C$2:$E$1194,MATCH(A1101,VENTAS!$A$2:$A$1194,0),MATCH(PARAMS_MODELO!$B$2,{"Q1","Q2","Q3"},0)),0)</f>
        <v>0</v>
      </c>
      <c r="D1101" s="5">
        <f>IFERROR(INDEX(VENTAS!$F$2:$H$1194,MATCH(A1101,VENTAS!$A$2:$A$1194,0),MATCH(PARAMS_MODELO!$B$2,{"Q1","Q2","Q3"},0)),0)</f>
        <v>0</v>
      </c>
      <c r="E1101" s="8">
        <f t="shared" si="408"/>
        <v>0</v>
      </c>
      <c r="F1101" s="12">
        <f>IF(E1101&lt;=PARAMS_MODELO!$B$15,0,IF(E1101&gt;=PARAMS_MODELO!$B$17,100,100*MIN(1,(E1101-PARAMS_MODELO!$B$15)/(PARAMS_MODELO!$B$16-PARAMS_MODELO!$B$15))))*PARAMS_MODELO!$B$7</f>
        <v>0</v>
      </c>
      <c r="G1101" s="5">
        <f t="shared" si="409"/>
        <v>0</v>
      </c>
      <c r="H1101" s="5">
        <f>(PARAMS_MODELO!$B$20*(MAX(0,MIN(3,E1101))/3)+PARAMS_MODELO!$B$21*(IFERROR(LN(1+MAX(0,G1101))/LN(1+MAX(0,MAX($G$2:$G$1194))),0)))*100*PARAMS_MODELO!$B$8</f>
        <v>0</v>
      </c>
      <c r="I1101" s="8">
        <f>E1101-PARAMS_MODELO!$B$5</f>
        <v>-0.17756283537552653</v>
      </c>
      <c r="J1101" s="5">
        <f>IF(I1101&lt;=PARAMS_MODELO!$B$18,0,IF(I1101&gt;=PARAMS_MODELO!$B$19,100,100*(I1101-PARAMS_MODELO!$B$18)/(PARAMS_MODELO!$B$19-PARAMS_MODELO!$B$18)))*PARAMS_MODELO!$B$9</f>
        <v>0</v>
      </c>
      <c r="K1101" s="5">
        <f>IFERROR(CHOOSE(MATCH(PARAMS_MODELO!$B$2,{"Q1","Q2","Q3"},0),LOTO!$D1101,LOTO!$F1101,LOTO!$H1101),0)</f>
        <v>0</v>
      </c>
      <c r="L1101" s="8">
        <f t="shared" si="410"/>
        <v>0</v>
      </c>
      <c r="M1101" s="5">
        <f>MIN(100,IF(PARAMS_MODELO!$B$23=0,0,100*L1101/PARAMS_MODELO!$B$23))*PARAMS_MODELO!$B$10</f>
        <v>0</v>
      </c>
      <c r="N1101" s="5">
        <f>IFERROR(VLOOKUP(A1101,COMPLIANCE!$A$2:$F$1996,6,0),100)</f>
        <v>100</v>
      </c>
      <c r="O1101" s="5">
        <f>N1101*PARAMS_MODELO!$B$11</f>
        <v>10</v>
      </c>
      <c r="P1101" s="5">
        <f>IFERROR(VLOOKUP(A1101,DIGITAL!$A$2:$J$2000,7,0),100)</f>
        <v>84</v>
      </c>
      <c r="Q1101" s="5">
        <f>IFERROR(P1101,0)*PARAMS_MODELO!$B$12</f>
        <v>8.4</v>
      </c>
      <c r="R1101">
        <f t="shared" si="411"/>
        <v>18.399999999999999</v>
      </c>
      <c r="S1101" s="5" t="str">
        <f>IFERROR(VLOOKUP(A1101,CLIENTE!$A$2:$N$2000,13,0),1)</f>
        <v>Malo</v>
      </c>
      <c r="T1101" s="5">
        <f>IFERROR(VLOOKUP(A1101,CLIENTE!$A$2:$N$2000,14,0),1)</f>
        <v>0.7</v>
      </c>
      <c r="U1101" s="5">
        <f t="shared" si="412"/>
        <v>12.879999999999999</v>
      </c>
      <c r="V1101" s="5" t="str">
        <f>IF(U1101&gt;=MAX(_xlfn.PERCENTILE.INC($U$2:$U$1194,PARAMS_MODELO!$B$50),PARAMS_MODELO!$B$45),"DIAMANTE",IF(U1101&gt;=MAX(_xlfn.PERCENTILE.INC($U$2:$U$1194,PARAMS_MODELO!$B$51),PARAMS_MODELO!$B$46),"PLATINO",IF(U1101&gt;=MAX(_xlfn.PERCENTILE.INC($U$2:$U$1194,PARAMS_MODELO!$B$52),PARAMS_MODELO!$B$47),"ORO",IF(U1101&gt;=MAX(_xlfn.PERCENTILE.INC($U$2:$U$1194,PARAMS_MODELO!$B$53),PARAMS_MODELO!$B$48),"PLATA",IF(U1101&gt;=1,"BRONCE","CERRADO")))))</f>
        <v>BRONCE</v>
      </c>
      <c r="W1101" s="5" t="str" cm="1">
        <f t="array" ref="W1101">_xlfn.XLOOKUP(1, (HIST_SCORE!$B:$B=PARAMS_MODELO!$B$4) * (HIST_SCORE!$C:$C=A1101), HIST_SCORE!$E:$E, "No encontrado")</f>
        <v>BRONCE</v>
      </c>
      <c r="X1101" s="5" t="str">
        <f>_xlfn.LET(_xlpm.act,MATCH(V1101,{"DIAMANTE";"PLATINO";"ORO";"PLATA";"BRONCE";"CERRADO"},0),_xlpm.ant,MATCH(W1101,{"DIAMANTE";"PLATINO";"ORO";"PLATA";"BRONCE";"CERRADO"},0),IF(_xlpm.act&lt;_xlpm.ant,"Mejora ↑",IF(_xlpm.act&gt;_xlpm.ant,"Baja ↓","Estable →")))</f>
        <v>Estable →</v>
      </c>
      <c r="Y1101" s="5">
        <f>IFERROR(U1101-SUMIFS(HIST_SCORE!$D:$D,HIST_SCORE!$B:$B,PARAMS_MODELO!$B$4,HIST_SCORE!$C:$C,$A1101),"")</f>
        <v>0</v>
      </c>
      <c r="Z1101" s="5" t="str">
        <f t="shared" si="413"/>
        <v>→ Estable</v>
      </c>
      <c r="AA1101" s="5">
        <f t="shared" si="414"/>
        <v>1116</v>
      </c>
      <c r="AB1101" s="5">
        <f>IFERROR(SUMIFS(HIST_SCORE!$F:$F,HIST_SCORE!$B:$B,PARAMS_MODELO!$B$4,HIST_SCORE!$C:$C,$A1101),"")</f>
        <v>1114</v>
      </c>
      <c r="AC1101" s="5">
        <f t="shared" si="415"/>
        <v>-2</v>
      </c>
      <c r="AD1101" t="str">
        <f t="shared" si="417"/>
        <v/>
      </c>
      <c r="AE11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1101="CERRADO",1,IF(V1101="BRONCE",_xlpm.cPl,IF(V1101="PLATA",_xlpm.cO,IF(V1101="ORO",_xlpm.cP,IF(V1101="PLATINO",_xlpm.cD,999))))))</f>
        <v>24.506573482968111</v>
      </c>
      <c r="AF110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1101="CERRADO",0,IF(V1101="BRONCE",1,IF(V1101="PLATA",_xlpm.cPl,IF(V1101="ORO",_xlpm.cO,IF(V1101="PLATINO",_xlpm.cP,_xlpm.cD))))))</f>
        <v>1</v>
      </c>
      <c r="AG1101">
        <f t="shared" si="418"/>
        <v>16.609390689954445</v>
      </c>
      <c r="AH1101" t="str">
        <f t="shared" si="419"/>
        <v>VENTAS</v>
      </c>
      <c r="AI1101" t="str">
        <f t="shared" si="416"/>
        <v>🎯 Para subir de categoría, eje VENTAS / CRECIMIENTO PERSONAL (F). Acción: metas semanales + activación comercial + seguimiento del asesor. ΔR aprox: 16,6</v>
      </c>
      <c r="AJ1101" s="26">
        <f>_xlfn.LET(_xlpm.piso,AF1101,_xlpm.corte,AE1101,_xlpm.prog,IF(_xlpm.corte&lt;=_xlpm.piso,0,MAX(0,MIN(1,(U1101-_xlpm.piso)/(_xlpm.corte-_xlpm.piso)))),_xlpm.orden,{"DIAMANTE";"PLATINO";"ORO";"PLATA";"BRONCE";"CERRADO"},_xlpm.act,IFERROR(MATCH(V1101,_xlpm.orden,0),6),_xlpm.ant,IFERROR(MATCH(W1101,_xlpm.orden,0),6),_xlpm.ajmov,IF(_xlpm.act&lt;_xlpm.ant,0.08,IF(_xlpm.act&gt;_xlpm.ant,-0.08,0)),_xlpm.ajcli,IF(T1101&lt;0.95,-0.06,0),_xlpm.prob,MAX(0,MIN(1,_xlpm.prog+_xlpm.ajmov+_xlpm.ajcli)),IF(OR(V1101="DIAMANTE",V1101="CERRADO"),0,ROUND(_xlpm.prob,2)))</f>
        <v>0.45</v>
      </c>
      <c r="AK1101" t="str">
        <f t="shared" si="420"/>
        <v>Faltan 16,6 puntos base para subir a la siguiente categoría</v>
      </c>
      <c r="AL1101" t="str">
        <f t="shared" si="421"/>
        <v>No aplica</v>
      </c>
      <c r="AM1101">
        <f t="shared" si="422"/>
        <v>0.82</v>
      </c>
      <c r="AN1101" t="str">
        <f t="shared" si="423"/>
        <v>PRIORIDAD ALTA – requiere intervención inmediata</v>
      </c>
      <c r="AO1101">
        <f t="shared" si="424"/>
        <v>45.403798492706905</v>
      </c>
      <c r="AP1101">
        <f t="shared" si="425"/>
        <v>10.5</v>
      </c>
      <c r="AQ1101">
        <f t="shared" si="426"/>
        <v>0</v>
      </c>
      <c r="AR1101">
        <f t="shared" si="427"/>
        <v>1.1199999999999997</v>
      </c>
      <c r="AS1101">
        <f t="shared" si="428"/>
        <v>5.5200000000000005</v>
      </c>
      <c r="AT1101" t="str">
        <f t="shared" si="429"/>
        <v>VENTAS</v>
      </c>
      <c r="AU1101">
        <f t="shared" si="430"/>
        <v>45.403798492706905</v>
      </c>
      <c r="AV1101" t="str">
        <f t="shared" si="431"/>
        <v>Mayor retorno probable: VENTAS (+45,4 puntos finales potenciales).</v>
      </c>
    </row>
    <row r="1102" spans="1:48" x14ac:dyDescent="0.3">
      <c r="A1102" s="5">
        <v>51025598</v>
      </c>
      <c r="B1102" s="5" t="str">
        <f>IFERROR(VLOOKUP(A1102,VENTAS!$A$2:$B$1194,2,0),"")</f>
        <v/>
      </c>
      <c r="C1102" s="5">
        <f>IFERROR(INDEX(VENTAS!$C$2:$E$1194,MATCH(A1102,VENTAS!$A$2:$A$1194,0),MATCH(PARAMS_MODELO!$B$2,{"Q1","Q2","Q3"},0)),0)</f>
        <v>147035275.47</v>
      </c>
      <c r="D1102" s="5">
        <f>IFERROR(INDEX(VENTAS!$F$2:$H$1194,MATCH(A1102,VENTAS!$A$2:$A$1194,0),MATCH(PARAMS_MODELO!$B$2,{"Q1","Q2","Q3"},0)),0)</f>
        <v>0</v>
      </c>
      <c r="E1102" s="8">
        <f t="shared" si="408"/>
        <v>-1</v>
      </c>
      <c r="F1102" s="12">
        <f>IF(E1102&lt;=PARAMS_MODELO!$B$15,0,IF(E1102&gt;=PARAMS_MODELO!$B$17,100,100*MIN(1,(E1102-PARAMS_MODELO!$B$15)/(PARAMS_MODELO!$B$16-PARAMS_MODELO!$B$15))))*PARAMS_MODELO!$B$7</f>
        <v>0</v>
      </c>
      <c r="G1102" s="5">
        <f t="shared" si="409"/>
        <v>0</v>
      </c>
      <c r="H1102" s="5">
        <f>(PARAMS_MODELO!$B$20*(MAX(0,MIN(3,E1102))/3)+PARAMS_MODELO!$B$21*(IFERROR(LN(1+MAX(0,G1102))/LN(1+MAX(0,MAX($G$2:$G$1194))),0)))*100*PARAMS_MODELO!$B$8</f>
        <v>0</v>
      </c>
      <c r="I1102" s="8">
        <f>E1102-PARAMS_MODELO!$B$5</f>
        <v>-1.1775628353755265</v>
      </c>
      <c r="J1102" s="5">
        <f>IF(I1102&lt;=PARAMS_MODELO!$B$18,0,IF(I1102&gt;=PARAMS_MODELO!$B$19,100,100*(I1102-PARAMS_MODELO!$B$18)/(PARAMS_MODELO!$B$19-PARAMS_MODELO!$B$18)))*PARAMS_MODELO!$B$9</f>
        <v>0</v>
      </c>
      <c r="K1102" s="5">
        <f>IFERROR(CHOOSE(MATCH(PARAMS_MODELO!$B$2,{"Q1","Q2","Q3"},0),LOTO!$D1102,LOTO!$F1102,LOTO!$H1102),0)</f>
        <v>0</v>
      </c>
      <c r="L1102" s="8">
        <f t="shared" si="410"/>
        <v>0</v>
      </c>
      <c r="M1102" s="5">
        <f>MIN(100,IF(PARAMS_MODELO!$B$23=0,0,100*L1102/PARAMS_MODELO!$B$23))*PARAMS_MODELO!$B$10</f>
        <v>0</v>
      </c>
      <c r="N1102" s="5">
        <f>IFERROR(VLOOKUP(A1102,COMPLIANCE!$A$2:$F$1996,6,0),100)</f>
        <v>100</v>
      </c>
      <c r="O1102" s="5">
        <f>N1102*PARAMS_MODELO!$B$11</f>
        <v>10</v>
      </c>
      <c r="P1102" s="5">
        <f>IFERROR(VLOOKUP(A1102,DIGITAL!$A$2:$J$2000,7,0),100)</f>
        <v>11</v>
      </c>
      <c r="Q1102" s="5">
        <f>IFERROR(P1102,0)*PARAMS_MODELO!$B$12</f>
        <v>1.1000000000000001</v>
      </c>
      <c r="R1102">
        <f t="shared" si="411"/>
        <v>11.1</v>
      </c>
      <c r="S1102" s="5" t="str">
        <f>IFERROR(VLOOKUP(A1102,CLIENTE!$A$2:$N$2000,13,0),1)</f>
        <v>Muy Bueno</v>
      </c>
      <c r="T1102" s="5">
        <f>IFERROR(VLOOKUP(A1102,CLIENTE!$A$2:$N$2000,14,0),1)</f>
        <v>1.1499999999999999</v>
      </c>
      <c r="U1102" s="5">
        <f t="shared" si="412"/>
        <v>12.764999999999999</v>
      </c>
      <c r="V1102" s="5" t="str">
        <f>IF(U1102&gt;=MAX(_xlfn.PERCENTILE.INC($U$2:$U$1194,PARAMS_MODELO!$B$50),PARAMS_MODELO!$B$45),"DIAMANTE",IF(U1102&gt;=MAX(_xlfn.PERCENTILE.INC($U$2:$U$1194,PARAMS_MODELO!$B$51),PARAMS_MODELO!$B$46),"PLATINO",IF(U1102&gt;=MAX(_xlfn.PERCENTILE.INC($U$2:$U$1194,PARAMS_MODELO!$B$52),PARAMS_MODELO!$B$47),"ORO",IF(U1102&gt;=MAX(_xlfn.PERCENTILE.INC($U$2:$U$1194,PARAMS_MODELO!$B$53),PARAMS_MODELO!$B$48),"PLATA",IF(U1102&gt;=1,"BRONCE","CERRADO")))))</f>
        <v>BRONCE</v>
      </c>
      <c r="W1102" s="5" t="str" cm="1">
        <f t="array" ref="W1102">_xlfn.XLOOKUP(1, (HIST_SCORE!$B:$B=PARAMS_MODELO!$B$4) * (HIST_SCORE!$C:$C=A1102), HIST_SCORE!$E:$E, "No encontrado")</f>
        <v>BRONCE</v>
      </c>
      <c r="X1102" s="5" t="str">
        <f>_xlfn.LET(_xlpm.act,MATCH(V1102,{"DIAMANTE";"PLATINO";"ORO";"PLATA";"BRONCE";"CERRADO"},0),_xlpm.ant,MATCH(W1102,{"DIAMANTE";"PLATINO";"ORO";"PLATA";"BRONCE";"CERRADO"},0),IF(_xlpm.act&lt;_xlpm.ant,"Mejora ↑",IF(_xlpm.act&gt;_xlpm.ant,"Baja ↓","Estable →")))</f>
        <v>Estable →</v>
      </c>
      <c r="Y1102" s="5">
        <f>IFERROR(U1102-SUMIFS(HIST_SCORE!$D:$D,HIST_SCORE!$B:$B,PARAMS_MODELO!$B$4,HIST_SCORE!$C:$C,$A1102),"")</f>
        <v>0</v>
      </c>
      <c r="Z1102" s="5" t="str">
        <f t="shared" si="413"/>
        <v>→ Estable</v>
      </c>
      <c r="AA1102" s="5">
        <f t="shared" si="414"/>
        <v>1119</v>
      </c>
      <c r="AB1102" s="5">
        <f>IFERROR(SUMIFS(HIST_SCORE!$F:$F,HIST_SCORE!$B:$B,PARAMS_MODELO!$B$4,HIST_SCORE!$C:$C,$A1102),"")</f>
        <v>1118</v>
      </c>
      <c r="AC1102" s="5">
        <f t="shared" si="415"/>
        <v>-1</v>
      </c>
      <c r="AD1102" t="str">
        <f t="shared" si="417"/>
        <v/>
      </c>
      <c r="AE11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1102="CERRADO",1,IF(V1102="BRONCE",_xlpm.cPl,IF(V1102="PLATA",_xlpm.cO,IF(V1102="ORO",_xlpm.cP,IF(V1102="PLATINO",_xlpm.cD,999))))))</f>
        <v>24.506573482968111</v>
      </c>
      <c r="AF110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1102="CERRADO",0,IF(V1102="BRONCE",1,IF(V1102="PLATA",_xlpm.cPl,IF(V1102="ORO",_xlpm.cO,IF(V1102="PLATINO",_xlpm.cP,_xlpm.cD))))))</f>
        <v>1</v>
      </c>
      <c r="AG1102">
        <f t="shared" si="418"/>
        <v>10.210063898233143</v>
      </c>
      <c r="AH1102" t="str">
        <f t="shared" si="419"/>
        <v>VENTAS</v>
      </c>
      <c r="AI1102" t="str">
        <f t="shared" si="416"/>
        <v>🎯 Para subir de categoría, eje VENTAS / CRECIMIENTO PERSONAL (F). Acción: metas semanales + activación comercial + seguimiento del asesor. ΔR aprox: 10,2</v>
      </c>
      <c r="AJ1102" s="26">
        <f>_xlfn.LET(_xlpm.piso,AF1102,_xlpm.corte,AE1102,_xlpm.prog,IF(_xlpm.corte&lt;=_xlpm.piso,0,MAX(0,MIN(1,(U1102-_xlpm.piso)/(_xlpm.corte-_xlpm.piso)))),_xlpm.orden,{"DIAMANTE";"PLATINO";"ORO";"PLATA";"BRONCE";"CERRADO"},_xlpm.act,IFERROR(MATCH(V1102,_xlpm.orden,0),6),_xlpm.ant,IFERROR(MATCH(W1102,_xlpm.orden,0),6),_xlpm.ajmov,IF(_xlpm.act&lt;_xlpm.ant,0.08,IF(_xlpm.act&gt;_xlpm.ant,-0.08,0)),_xlpm.ajcli,IF(T1102&lt;0.95,-0.06,0),_xlpm.prob,MAX(0,MIN(1,_xlpm.prog+_xlpm.ajmov+_xlpm.ajcli)),IF(OR(V1102="DIAMANTE",V1102="CERRADO"),0,ROUND(_xlpm.prob,2)))</f>
        <v>0.5</v>
      </c>
      <c r="AK1102" t="str">
        <f t="shared" si="420"/>
        <v>Faltan 10,2 puntos base para subir a la siguiente categoría</v>
      </c>
      <c r="AL1102" t="str">
        <f t="shared" si="421"/>
        <v>No aplica</v>
      </c>
      <c r="AM1102">
        <f t="shared" si="422"/>
        <v>0.6</v>
      </c>
      <c r="AN1102" t="str">
        <f t="shared" si="423"/>
        <v>PRIORIDAD MEDIA – seguimiento del asesor</v>
      </c>
      <c r="AO1102">
        <f t="shared" si="424"/>
        <v>74.591954666589913</v>
      </c>
      <c r="AP1102">
        <f t="shared" si="425"/>
        <v>17.25</v>
      </c>
      <c r="AQ1102">
        <f t="shared" si="426"/>
        <v>0</v>
      </c>
      <c r="AR1102">
        <f t="shared" si="427"/>
        <v>10.234999999999999</v>
      </c>
      <c r="AS1102">
        <f t="shared" si="428"/>
        <v>0</v>
      </c>
      <c r="AT1102" t="str">
        <f t="shared" si="429"/>
        <v>VENTAS</v>
      </c>
      <c r="AU1102">
        <f t="shared" si="430"/>
        <v>74.591954666589913</v>
      </c>
      <c r="AV1102" t="str">
        <f t="shared" si="431"/>
        <v>Mayor retorno probable: VENTAS (+74,6 puntos finales potenciales).</v>
      </c>
    </row>
    <row r="1103" spans="1:48" x14ac:dyDescent="0.3">
      <c r="A1103" s="5">
        <v>51025601</v>
      </c>
      <c r="B1103" s="5" t="str">
        <f>IFERROR(VLOOKUP(A1103,VENTAS!$A$2:$B$1194,2,0),"")</f>
        <v/>
      </c>
      <c r="C1103" s="5">
        <f>IFERROR(INDEX(VENTAS!$C$2:$E$1194,MATCH(A1103,VENTAS!$A$2:$A$1194,0),MATCH(PARAMS_MODELO!$B$2,{"Q1","Q2","Q3"},0)),0)</f>
        <v>199956405.34</v>
      </c>
      <c r="D1103" s="5">
        <f>IFERROR(INDEX(VENTAS!$F$2:$H$1194,MATCH(A1103,VENTAS!$A$2:$A$1194,0),MATCH(PARAMS_MODELO!$B$2,{"Q1","Q2","Q3"},0)),0)</f>
        <v>0</v>
      </c>
      <c r="E1103" s="8">
        <f t="shared" si="408"/>
        <v>-1</v>
      </c>
      <c r="F1103" s="12">
        <f>IF(E1103&lt;=PARAMS_MODELO!$B$15,0,IF(E1103&gt;=PARAMS_MODELO!$B$17,100,100*MIN(1,(E1103-PARAMS_MODELO!$B$15)/(PARAMS_MODELO!$B$16-PARAMS_MODELO!$B$15))))*PARAMS_MODELO!$B$7</f>
        <v>0</v>
      </c>
      <c r="G1103" s="5">
        <f t="shared" si="409"/>
        <v>0</v>
      </c>
      <c r="H1103" s="5">
        <f>(PARAMS_MODELO!$B$20*(MAX(0,MIN(3,E1103))/3)+PARAMS_MODELO!$B$21*(IFERROR(LN(1+MAX(0,G1103))/LN(1+MAX(0,MAX($G$2:$G$1194))),0)))*100*PARAMS_MODELO!$B$8</f>
        <v>0</v>
      </c>
      <c r="I1103" s="8">
        <f>E1103-PARAMS_MODELO!$B$5</f>
        <v>-1.1775628353755265</v>
      </c>
      <c r="J1103" s="5">
        <f>IF(I1103&lt;=PARAMS_MODELO!$B$18,0,IF(I1103&gt;=PARAMS_MODELO!$B$19,100,100*(I1103-PARAMS_MODELO!$B$18)/(PARAMS_MODELO!$B$19-PARAMS_MODELO!$B$18)))*PARAMS_MODELO!$B$9</f>
        <v>0</v>
      </c>
      <c r="K1103" s="5">
        <f>IFERROR(CHOOSE(MATCH(PARAMS_MODELO!$B$2,{"Q1","Q2","Q3"},0),LOTO!$D1103,LOTO!$F1103,LOTO!$H1103),0)</f>
        <v>0</v>
      </c>
      <c r="L1103" s="8">
        <f t="shared" si="410"/>
        <v>0</v>
      </c>
      <c r="M1103" s="5">
        <f>MIN(100,IF(PARAMS_MODELO!$B$23=0,0,100*L1103/PARAMS_MODELO!$B$23))*PARAMS_MODELO!$B$10</f>
        <v>0</v>
      </c>
      <c r="N1103" s="5">
        <f>IFERROR(VLOOKUP(A1103,COMPLIANCE!$A$2:$F$1996,6,0),100)</f>
        <v>69.349999999999994</v>
      </c>
      <c r="O1103" s="5">
        <f>N1103*PARAMS_MODELO!$B$11</f>
        <v>6.9349999999999996</v>
      </c>
      <c r="P1103" s="5">
        <f>IFERROR(VLOOKUP(A1103,DIGITAL!$A$2:$J$2000,7,0),100)</f>
        <v>35</v>
      </c>
      <c r="Q1103" s="5">
        <f>IFERROR(P1103,0)*PARAMS_MODELO!$B$12</f>
        <v>3.5</v>
      </c>
      <c r="R1103">
        <f t="shared" si="411"/>
        <v>10.434999999999999</v>
      </c>
      <c r="S1103" s="5" t="str">
        <f>IFERROR(VLOOKUP(A1103,CLIENTE!$A$2:$N$2000,13,0),1)</f>
        <v>Malo</v>
      </c>
      <c r="T1103" s="5">
        <f>IFERROR(VLOOKUP(A1103,CLIENTE!$A$2:$N$2000,14,0),1)</f>
        <v>0.7</v>
      </c>
      <c r="U1103" s="5">
        <f t="shared" si="412"/>
        <v>7.3044999999999982</v>
      </c>
      <c r="V1103" s="5" t="str">
        <f>IF(U1103&gt;=MAX(_xlfn.PERCENTILE.INC($U$2:$U$1194,PARAMS_MODELO!$B$50),PARAMS_MODELO!$B$45),"DIAMANTE",IF(U1103&gt;=MAX(_xlfn.PERCENTILE.INC($U$2:$U$1194,PARAMS_MODELO!$B$51),PARAMS_MODELO!$B$46),"PLATINO",IF(U1103&gt;=MAX(_xlfn.PERCENTILE.INC($U$2:$U$1194,PARAMS_MODELO!$B$52),PARAMS_MODELO!$B$47),"ORO",IF(U1103&gt;=MAX(_xlfn.PERCENTILE.INC($U$2:$U$1194,PARAMS_MODELO!$B$53),PARAMS_MODELO!$B$48),"PLATA",IF(U1103&gt;=1,"BRONCE","CERRADO")))))</f>
        <v>BRONCE</v>
      </c>
      <c r="W1103" s="5" t="str" cm="1">
        <f t="array" ref="W1103">_xlfn.XLOOKUP(1, (HIST_SCORE!$B:$B=PARAMS_MODELO!$B$4) * (HIST_SCORE!$C:$C=A1103), HIST_SCORE!$E:$E, "No encontrado")</f>
        <v>BRONCE</v>
      </c>
      <c r="X1103" s="5" t="str">
        <f>_xlfn.LET(_xlpm.act,MATCH(V1103,{"DIAMANTE";"PLATINO";"ORO";"PLATA";"BRONCE";"CERRADO"},0),_xlpm.ant,MATCH(W1103,{"DIAMANTE";"PLATINO";"ORO";"PLATA";"BRONCE";"CERRADO"},0),IF(_xlpm.act&lt;_xlpm.ant,"Mejora ↑",IF(_xlpm.act&gt;_xlpm.ant,"Baja ↓","Estable →")))</f>
        <v>Estable →</v>
      </c>
      <c r="Y1103" s="5">
        <f>IFERROR(U1103-SUMIFS(HIST_SCORE!$D:$D,HIST_SCORE!$B:$B,PARAMS_MODELO!$B$4,HIST_SCORE!$C:$C,$A1103),"")</f>
        <v>0</v>
      </c>
      <c r="Z1103" s="5" t="str">
        <f t="shared" si="413"/>
        <v>→ Estable</v>
      </c>
      <c r="AA1103" s="5">
        <f t="shared" si="414"/>
        <v>1192</v>
      </c>
      <c r="AB1103" s="5">
        <f>IFERROR(SUMIFS(HIST_SCORE!$F:$F,HIST_SCORE!$B:$B,PARAMS_MODELO!$B$4,HIST_SCORE!$C:$C,$A1103),"")</f>
        <v>1192</v>
      </c>
      <c r="AC1103" s="5">
        <f t="shared" si="415"/>
        <v>0</v>
      </c>
      <c r="AD1103" t="str">
        <f t="shared" si="417"/>
        <v/>
      </c>
      <c r="AE11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1103="CERRADO",1,IF(V1103="BRONCE",_xlpm.cPl,IF(V1103="PLATA",_xlpm.cO,IF(V1103="ORO",_xlpm.cP,IF(V1103="PLATINO",_xlpm.cD,999))))))</f>
        <v>24.506573482968111</v>
      </c>
      <c r="AF110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1103="CERRADO",0,IF(V1103="BRONCE",1,IF(V1103="PLATA",_xlpm.cPl,IF(V1103="ORO",_xlpm.cO,IF(V1103="PLATINO",_xlpm.cP,_xlpm.cD))))))</f>
        <v>1</v>
      </c>
      <c r="AG1103">
        <f t="shared" si="418"/>
        <v>24.574390689954445</v>
      </c>
      <c r="AH1103" t="str">
        <f t="shared" si="419"/>
        <v>VENTAS</v>
      </c>
      <c r="AI1103" t="str">
        <f t="shared" si="416"/>
        <v>🎯 Para subir de categoría, eje VENTAS / CRECIMIENTO PERSONAL (F). Acción: metas semanales + activación comercial + seguimiento del asesor. ΔR aprox: 24,6</v>
      </c>
      <c r="AJ1103" s="26">
        <f>_xlfn.LET(_xlpm.piso,AF1103,_xlpm.corte,AE1103,_xlpm.prog,IF(_xlpm.corte&lt;=_xlpm.piso,0,MAX(0,MIN(1,(U1103-_xlpm.piso)/(_xlpm.corte-_xlpm.piso)))),_xlpm.orden,{"DIAMANTE";"PLATINO";"ORO";"PLATA";"BRONCE";"CERRADO"},_xlpm.act,IFERROR(MATCH(V1103,_xlpm.orden,0),6),_xlpm.ant,IFERROR(MATCH(W1103,_xlpm.orden,0),6),_xlpm.ajmov,IF(_xlpm.act&lt;_xlpm.ant,0.08,IF(_xlpm.act&gt;_xlpm.ant,-0.08,0)),_xlpm.ajcli,IF(T1103&lt;0.95,-0.06,0),_xlpm.prob,MAX(0,MIN(1,_xlpm.prog+_xlpm.ajmov+_xlpm.ajcli)),IF(OR(V1103="DIAMANTE",V1103="CERRADO"),0,ROUND(_xlpm.prob,2)))</f>
        <v>0.21</v>
      </c>
      <c r="AK1103" t="str">
        <f t="shared" si="420"/>
        <v>Faltan 24,6 puntos base para subir a la siguiente categoría</v>
      </c>
      <c r="AL1103" t="str">
        <f t="shared" si="421"/>
        <v>No aplica</v>
      </c>
      <c r="AM1103">
        <f t="shared" si="422"/>
        <v>0.92</v>
      </c>
      <c r="AN1103" t="str">
        <f t="shared" si="423"/>
        <v>PRIORIDAD ALTA – requiere intervención inmediata</v>
      </c>
      <c r="AO1103">
        <f t="shared" si="424"/>
        <v>45.403798492706905</v>
      </c>
      <c r="AP1103">
        <f t="shared" si="425"/>
        <v>10.5</v>
      </c>
      <c r="AQ1103">
        <f t="shared" si="426"/>
        <v>2.1455000000000002</v>
      </c>
      <c r="AR1103">
        <f t="shared" si="427"/>
        <v>4.55</v>
      </c>
      <c r="AS1103">
        <f t="shared" si="428"/>
        <v>3.1305000000000001</v>
      </c>
      <c r="AT1103" t="str">
        <f t="shared" si="429"/>
        <v>VENTAS</v>
      </c>
      <c r="AU1103">
        <f t="shared" si="430"/>
        <v>45.403798492706905</v>
      </c>
      <c r="AV1103" t="str">
        <f t="shared" si="431"/>
        <v>Mayor retorno probable: VENTAS (+45,4 puntos finales potenciales).</v>
      </c>
    </row>
    <row r="1104" spans="1:48" x14ac:dyDescent="0.3">
      <c r="A1104" s="5">
        <v>51025881</v>
      </c>
      <c r="B1104" s="5" t="str">
        <f>IFERROR(VLOOKUP(A1104,VENTAS!$A$2:$B$1194,2,0),"")</f>
        <v/>
      </c>
      <c r="C1104" s="5">
        <f>IFERROR(INDEX(VENTAS!$C$2:$E$1194,MATCH(A1104,VENTAS!$A$2:$A$1194,0),MATCH(PARAMS_MODELO!$B$2,{"Q1","Q2","Q3"},0)),0)</f>
        <v>97499034.079999998</v>
      </c>
      <c r="D1104" s="5">
        <f>IFERROR(INDEX(VENTAS!$F$2:$H$1194,MATCH(A1104,VENTAS!$A$2:$A$1194,0),MATCH(PARAMS_MODELO!$B$2,{"Q1","Q2","Q3"},0)),0)</f>
        <v>0</v>
      </c>
      <c r="E1104" s="8">
        <f t="shared" si="408"/>
        <v>-1</v>
      </c>
      <c r="F1104" s="12">
        <f>IF(E1104&lt;=PARAMS_MODELO!$B$15,0,IF(E1104&gt;=PARAMS_MODELO!$B$17,100,100*MIN(1,(E1104-PARAMS_MODELO!$B$15)/(PARAMS_MODELO!$B$16-PARAMS_MODELO!$B$15))))*PARAMS_MODELO!$B$7</f>
        <v>0</v>
      </c>
      <c r="G1104" s="5">
        <f t="shared" si="409"/>
        <v>0</v>
      </c>
      <c r="H1104" s="5">
        <f>(PARAMS_MODELO!$B$20*(MAX(0,MIN(3,E1104))/3)+PARAMS_MODELO!$B$21*(IFERROR(LN(1+MAX(0,G1104))/LN(1+MAX(0,MAX($G$2:$G$1194))),0)))*100*PARAMS_MODELO!$B$8</f>
        <v>0</v>
      </c>
      <c r="I1104" s="8">
        <f>E1104-PARAMS_MODELO!$B$5</f>
        <v>-1.1775628353755265</v>
      </c>
      <c r="J1104" s="5">
        <f>IF(I1104&lt;=PARAMS_MODELO!$B$18,0,IF(I1104&gt;=PARAMS_MODELO!$B$19,100,100*(I1104-PARAMS_MODELO!$B$18)/(PARAMS_MODELO!$B$19-PARAMS_MODELO!$B$18)))*PARAMS_MODELO!$B$9</f>
        <v>0</v>
      </c>
      <c r="K1104" s="5">
        <f>IFERROR(CHOOSE(MATCH(PARAMS_MODELO!$B$2,{"Q1","Q2","Q3"},0),LOTO!$D1104,LOTO!$F1104,LOTO!$H1104),0)</f>
        <v>0</v>
      </c>
      <c r="L1104" s="8">
        <f t="shared" si="410"/>
        <v>0</v>
      </c>
      <c r="M1104" s="5">
        <f>MIN(100,IF(PARAMS_MODELO!$B$23=0,0,100*L1104/PARAMS_MODELO!$B$23))*PARAMS_MODELO!$B$10</f>
        <v>0</v>
      </c>
      <c r="N1104" s="5">
        <f>IFERROR(VLOOKUP(A1104,COMPLIANCE!$A$2:$F$1996,6,0),100)</f>
        <v>100</v>
      </c>
      <c r="O1104" s="5">
        <f>N1104*PARAMS_MODELO!$B$11</f>
        <v>10</v>
      </c>
      <c r="P1104" s="5">
        <f>IFERROR(VLOOKUP(A1104,DIGITAL!$A$2:$J$2000,7,0),100)</f>
        <v>12</v>
      </c>
      <c r="Q1104" s="5">
        <f>IFERROR(P1104,0)*PARAMS_MODELO!$B$12</f>
        <v>1.2000000000000002</v>
      </c>
      <c r="R1104">
        <f t="shared" si="411"/>
        <v>11.2</v>
      </c>
      <c r="S1104" s="5" t="str">
        <f>IFERROR(VLOOKUP(A1104,CLIENTE!$A$2:$N$2000,13,0),1)</f>
        <v>Regular</v>
      </c>
      <c r="T1104" s="5">
        <f>IFERROR(VLOOKUP(A1104,CLIENTE!$A$2:$N$2000,14,0),1)</f>
        <v>1</v>
      </c>
      <c r="U1104" s="5">
        <f t="shared" si="412"/>
        <v>11.2</v>
      </c>
      <c r="V1104" s="5" t="str">
        <f>IF(U1104&gt;=MAX(_xlfn.PERCENTILE.INC($U$2:$U$1194,PARAMS_MODELO!$B$50),PARAMS_MODELO!$B$45),"DIAMANTE",IF(U1104&gt;=MAX(_xlfn.PERCENTILE.INC($U$2:$U$1194,PARAMS_MODELO!$B$51),PARAMS_MODELO!$B$46),"PLATINO",IF(U1104&gt;=MAX(_xlfn.PERCENTILE.INC($U$2:$U$1194,PARAMS_MODELO!$B$52),PARAMS_MODELO!$B$47),"ORO",IF(U1104&gt;=MAX(_xlfn.PERCENTILE.INC($U$2:$U$1194,PARAMS_MODELO!$B$53),PARAMS_MODELO!$B$48),"PLATA",IF(U1104&gt;=1,"BRONCE","CERRADO")))))</f>
        <v>BRONCE</v>
      </c>
      <c r="W1104" s="5" t="str" cm="1">
        <f t="array" ref="W1104">_xlfn.XLOOKUP(1, (HIST_SCORE!$B:$B=PARAMS_MODELO!$B$4) * (HIST_SCORE!$C:$C=A1104), HIST_SCORE!$E:$E, "No encontrado")</f>
        <v>BRONCE</v>
      </c>
      <c r="X1104" s="5" t="str">
        <f>_xlfn.LET(_xlpm.act,MATCH(V1104,{"DIAMANTE";"PLATINO";"ORO";"PLATA";"BRONCE";"CERRADO"},0),_xlpm.ant,MATCH(W1104,{"DIAMANTE";"PLATINO";"ORO";"PLATA";"BRONCE";"CERRADO"},0),IF(_xlpm.act&lt;_xlpm.ant,"Mejora ↑",IF(_xlpm.act&gt;_xlpm.ant,"Baja ↓","Estable →")))</f>
        <v>Estable →</v>
      </c>
      <c r="Y1104" s="5">
        <f>IFERROR(U1104-SUMIFS(HIST_SCORE!$D:$D,HIST_SCORE!$B:$B,PARAMS_MODELO!$B$4,HIST_SCORE!$C:$C,$A1104),"")</f>
        <v>0</v>
      </c>
      <c r="Z1104" s="5" t="str">
        <f t="shared" si="413"/>
        <v>→ Estable</v>
      </c>
      <c r="AA1104" s="5">
        <f t="shared" si="414"/>
        <v>1142</v>
      </c>
      <c r="AB1104" s="5">
        <f>IFERROR(SUMIFS(HIST_SCORE!$F:$F,HIST_SCORE!$B:$B,PARAMS_MODELO!$B$4,HIST_SCORE!$C:$C,$A1104),"")</f>
        <v>1140</v>
      </c>
      <c r="AC1104" s="5">
        <f t="shared" si="415"/>
        <v>-2</v>
      </c>
      <c r="AD1104" t="str">
        <f t="shared" si="417"/>
        <v/>
      </c>
      <c r="AE11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1104="CERRADO",1,IF(V1104="BRONCE",_xlpm.cPl,IF(V1104="PLATA",_xlpm.cO,IF(V1104="ORO",_xlpm.cP,IF(V1104="PLATINO",_xlpm.cD,999))))))</f>
        <v>24.506573482968111</v>
      </c>
      <c r="AF110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1104="CERRADO",0,IF(V1104="BRONCE",1,IF(V1104="PLATA",_xlpm.cPl,IF(V1104="ORO",_xlpm.cO,IF(V1104="PLATINO",_xlpm.cP,_xlpm.cD))))))</f>
        <v>1</v>
      </c>
      <c r="AG1104">
        <f t="shared" si="418"/>
        <v>13.306573482968112</v>
      </c>
      <c r="AH1104" t="str">
        <f t="shared" si="419"/>
        <v>VENTAS</v>
      </c>
      <c r="AI1104" t="str">
        <f t="shared" si="416"/>
        <v>🎯 Para subir de categoría, eje VENTAS / CRECIMIENTO PERSONAL (F). Acción: metas semanales + activación comercial + seguimiento del asesor. ΔR aprox: 13,3</v>
      </c>
      <c r="AJ1104" s="26">
        <f>_xlfn.LET(_xlpm.piso,AF1104,_xlpm.corte,AE1104,_xlpm.prog,IF(_xlpm.corte&lt;=_xlpm.piso,0,MAX(0,MIN(1,(U1104-_xlpm.piso)/(_xlpm.corte-_xlpm.piso)))),_xlpm.orden,{"DIAMANTE";"PLATINO";"ORO";"PLATA";"BRONCE";"CERRADO"},_xlpm.act,IFERROR(MATCH(V1104,_xlpm.orden,0),6),_xlpm.ant,IFERROR(MATCH(W1104,_xlpm.orden,0),6),_xlpm.ajmov,IF(_xlpm.act&lt;_xlpm.ant,0.08,IF(_xlpm.act&gt;_xlpm.ant,-0.08,0)),_xlpm.ajcli,IF(T1104&lt;0.95,-0.06,0),_xlpm.prob,MAX(0,MIN(1,_xlpm.prog+_xlpm.ajmov+_xlpm.ajcli)),IF(OR(V1104="DIAMANTE",V1104="CERRADO"),0,ROUND(_xlpm.prob,2)))</f>
        <v>0.43</v>
      </c>
      <c r="AK1104" t="str">
        <f t="shared" si="420"/>
        <v>Faltan 13,3 puntos base para subir a la siguiente categoría</v>
      </c>
      <c r="AL1104" t="str">
        <f t="shared" si="421"/>
        <v>No aplica</v>
      </c>
      <c r="AM1104">
        <f t="shared" si="422"/>
        <v>0.63</v>
      </c>
      <c r="AN1104" t="str">
        <f t="shared" si="423"/>
        <v>PRIORIDAD MEDIA – seguimiento del asesor</v>
      </c>
      <c r="AO1104">
        <f t="shared" si="424"/>
        <v>64.862569275295584</v>
      </c>
      <c r="AP1104">
        <f t="shared" si="425"/>
        <v>15</v>
      </c>
      <c r="AQ1104">
        <f t="shared" si="426"/>
        <v>0</v>
      </c>
      <c r="AR1104">
        <f t="shared" si="427"/>
        <v>8.8000000000000007</v>
      </c>
      <c r="AS1104">
        <f t="shared" si="428"/>
        <v>0</v>
      </c>
      <c r="AT1104" t="str">
        <f t="shared" si="429"/>
        <v>VENTAS</v>
      </c>
      <c r="AU1104">
        <f t="shared" si="430"/>
        <v>64.862569275295584</v>
      </c>
      <c r="AV1104" t="str">
        <f t="shared" si="431"/>
        <v>Mayor retorno probable: VENTAS (+64,9 puntos finales potenciales).</v>
      </c>
    </row>
    <row r="1105" spans="1:48" x14ac:dyDescent="0.3">
      <c r="A1105" s="5">
        <v>51028856</v>
      </c>
      <c r="B1105" s="5" t="str">
        <f>IFERROR(VLOOKUP(A1105,VENTAS!$A$2:$B$1194,2,0),"")</f>
        <v/>
      </c>
      <c r="C1105" s="5">
        <f>IFERROR(INDEX(VENTAS!$C$2:$E$1194,MATCH(A1105,VENTAS!$A$2:$A$1194,0),MATCH(PARAMS_MODELO!$B$2,{"Q1","Q2","Q3"},0)),0)</f>
        <v>0</v>
      </c>
      <c r="D1105" s="5">
        <f>IFERROR(INDEX(VENTAS!$F$2:$H$1194,MATCH(A1105,VENTAS!$A$2:$A$1194,0),MATCH(PARAMS_MODELO!$B$2,{"Q1","Q2","Q3"},0)),0)</f>
        <v>0</v>
      </c>
      <c r="E1105" s="8">
        <f t="shared" si="408"/>
        <v>0</v>
      </c>
      <c r="F1105" s="12">
        <f>IF(E1105&lt;=PARAMS_MODELO!$B$15,0,IF(E1105&gt;=PARAMS_MODELO!$B$17,100,100*MIN(1,(E1105-PARAMS_MODELO!$B$15)/(PARAMS_MODELO!$B$16-PARAMS_MODELO!$B$15))))*PARAMS_MODELO!$B$7</f>
        <v>0</v>
      </c>
      <c r="G1105" s="5">
        <f t="shared" si="409"/>
        <v>0</v>
      </c>
      <c r="H1105" s="5">
        <f>(PARAMS_MODELO!$B$20*(MAX(0,MIN(3,E1105))/3)+PARAMS_MODELO!$B$21*(IFERROR(LN(1+MAX(0,G1105))/LN(1+MAX(0,MAX($G$2:$G$1194))),0)))*100*PARAMS_MODELO!$B$8</f>
        <v>0</v>
      </c>
      <c r="I1105" s="8">
        <f>E1105-PARAMS_MODELO!$B$5</f>
        <v>-0.17756283537552653</v>
      </c>
      <c r="J1105" s="5">
        <f>IF(I1105&lt;=PARAMS_MODELO!$B$18,0,IF(I1105&gt;=PARAMS_MODELO!$B$19,100,100*(I1105-PARAMS_MODELO!$B$18)/(PARAMS_MODELO!$B$19-PARAMS_MODELO!$B$18)))*PARAMS_MODELO!$B$9</f>
        <v>0</v>
      </c>
      <c r="K1105" s="5">
        <f>IFERROR(CHOOSE(MATCH(PARAMS_MODELO!$B$2,{"Q1","Q2","Q3"},0),LOTO!$D1105,LOTO!$F1105,LOTO!$H1105),0)</f>
        <v>0</v>
      </c>
      <c r="L1105" s="8">
        <f t="shared" si="410"/>
        <v>0</v>
      </c>
      <c r="M1105" s="5">
        <f>MIN(100,IF(PARAMS_MODELO!$B$23=0,0,100*L1105/PARAMS_MODELO!$B$23))*PARAMS_MODELO!$B$10</f>
        <v>0</v>
      </c>
      <c r="N1105" s="5">
        <f>IFERROR(VLOOKUP(A1105,COMPLIANCE!$A$2:$F$1996,6,0),100)</f>
        <v>100</v>
      </c>
      <c r="O1105" s="5">
        <f>N1105*PARAMS_MODELO!$B$11</f>
        <v>10</v>
      </c>
      <c r="P1105" s="5">
        <f>IFERROR(VLOOKUP(A1105,DIGITAL!$A$2:$J$2000,7,0),100)</f>
        <v>97</v>
      </c>
      <c r="Q1105" s="5">
        <f>IFERROR(P1105,0)*PARAMS_MODELO!$B$12</f>
        <v>9.7000000000000011</v>
      </c>
      <c r="R1105">
        <f t="shared" si="411"/>
        <v>19.700000000000003</v>
      </c>
      <c r="S1105" s="5" t="str">
        <f>IFERROR(VLOOKUP(A1105,CLIENTE!$A$2:$N$2000,13,0),1)</f>
        <v>Regular</v>
      </c>
      <c r="T1105" s="5">
        <f>IFERROR(VLOOKUP(A1105,CLIENTE!$A$2:$N$2000,14,0),1)</f>
        <v>1</v>
      </c>
      <c r="U1105" s="5">
        <f t="shared" si="412"/>
        <v>19.700000000000003</v>
      </c>
      <c r="V1105" s="5" t="str">
        <f>IF(U1105&gt;=MAX(_xlfn.PERCENTILE.INC($U$2:$U$1194,PARAMS_MODELO!$B$50),PARAMS_MODELO!$B$45),"DIAMANTE",IF(U1105&gt;=MAX(_xlfn.PERCENTILE.INC($U$2:$U$1194,PARAMS_MODELO!$B$51),PARAMS_MODELO!$B$46),"PLATINO",IF(U1105&gt;=MAX(_xlfn.PERCENTILE.INC($U$2:$U$1194,PARAMS_MODELO!$B$52),PARAMS_MODELO!$B$47),"ORO",IF(U1105&gt;=MAX(_xlfn.PERCENTILE.INC($U$2:$U$1194,PARAMS_MODELO!$B$53),PARAMS_MODELO!$B$48),"PLATA",IF(U1105&gt;=1,"BRONCE","CERRADO")))))</f>
        <v>BRONCE</v>
      </c>
      <c r="W1105" s="5" t="str" cm="1">
        <f t="array" ref="W1105">_xlfn.XLOOKUP(1, (HIST_SCORE!$B:$B=PARAMS_MODELO!$B$4) * (HIST_SCORE!$C:$C=A1105), HIST_SCORE!$E:$E, "No encontrado")</f>
        <v>BRONCE</v>
      </c>
      <c r="X1105" s="5" t="str">
        <f>_xlfn.LET(_xlpm.act,MATCH(V1105,{"DIAMANTE";"PLATINO";"ORO";"PLATA";"BRONCE";"CERRADO"},0),_xlpm.ant,MATCH(W1105,{"DIAMANTE";"PLATINO";"ORO";"PLATA";"BRONCE";"CERRADO"},0),IF(_xlpm.act&lt;_xlpm.ant,"Mejora ↑",IF(_xlpm.act&gt;_xlpm.ant,"Baja ↓","Estable →")))</f>
        <v>Estable →</v>
      </c>
      <c r="Y1105" s="5">
        <f>IFERROR(U1105-SUMIFS(HIST_SCORE!$D:$D,HIST_SCORE!$B:$B,PARAMS_MODELO!$B$4,HIST_SCORE!$C:$C,$A1105),"")</f>
        <v>0</v>
      </c>
      <c r="Z1105" s="5" t="str">
        <f t="shared" si="413"/>
        <v>→ Estable</v>
      </c>
      <c r="AA1105" s="5">
        <f t="shared" si="414"/>
        <v>983</v>
      </c>
      <c r="AB1105" s="5">
        <f>IFERROR(SUMIFS(HIST_SCORE!$F:$F,HIST_SCORE!$B:$B,PARAMS_MODELO!$B$4,HIST_SCORE!$C:$C,$A1105),"")</f>
        <v>992</v>
      </c>
      <c r="AC1105" s="5">
        <f t="shared" si="415"/>
        <v>9</v>
      </c>
      <c r="AD1105" t="str">
        <f t="shared" si="417"/>
        <v/>
      </c>
      <c r="AE11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1105="CERRADO",1,IF(V1105="BRONCE",_xlpm.cPl,IF(V1105="PLATA",_xlpm.cO,IF(V1105="ORO",_xlpm.cP,IF(V1105="PLATINO",_xlpm.cD,999))))))</f>
        <v>24.506573482968111</v>
      </c>
      <c r="AF110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1105="CERRADO",0,IF(V1105="BRONCE",1,IF(V1105="PLATA",_xlpm.cPl,IF(V1105="ORO",_xlpm.cO,IF(V1105="PLATINO",_xlpm.cP,_xlpm.cD))))))</f>
        <v>1</v>
      </c>
      <c r="AG1105">
        <f t="shared" si="418"/>
        <v>4.8065734829681084</v>
      </c>
      <c r="AH1105" t="str">
        <f t="shared" si="419"/>
        <v>VENTAS</v>
      </c>
      <c r="AI1105" t="str">
        <f t="shared" si="416"/>
        <v>🎯 Para subir de categoría, eje VENTAS / CRECIMIENTO PERSONAL (F). Acción: metas semanales + activación comercial + seguimiento del asesor. ΔR aprox: 4,8</v>
      </c>
      <c r="AJ1105" s="26">
        <f>_xlfn.LET(_xlpm.piso,AF1105,_xlpm.corte,AE1105,_xlpm.prog,IF(_xlpm.corte&lt;=_xlpm.piso,0,MAX(0,MIN(1,(U1105-_xlpm.piso)/(_xlpm.corte-_xlpm.piso)))),_xlpm.orden,{"DIAMANTE";"PLATINO";"ORO";"PLATA";"BRONCE";"CERRADO"},_xlpm.act,IFERROR(MATCH(V1105,_xlpm.orden,0),6),_xlpm.ant,IFERROR(MATCH(W1105,_xlpm.orden,0),6),_xlpm.ajmov,IF(_xlpm.act&lt;_xlpm.ant,0.08,IF(_xlpm.act&gt;_xlpm.ant,-0.08,0)),_xlpm.ajcli,IF(T1105&lt;0.95,-0.06,0),_xlpm.prob,MAX(0,MIN(1,_xlpm.prog+_xlpm.ajmov+_xlpm.ajcli)),IF(OR(V1105="DIAMANTE",V1105="CERRADO"),0,ROUND(_xlpm.prob,2)))</f>
        <v>0.8</v>
      </c>
      <c r="AK1105" t="str">
        <f t="shared" si="420"/>
        <v>Faltan 4,8 puntos base para subir a la siguiente categoría</v>
      </c>
      <c r="AL1105" t="str">
        <f t="shared" si="421"/>
        <v>No aplica</v>
      </c>
      <c r="AM1105">
        <f t="shared" si="422"/>
        <v>0.27</v>
      </c>
      <c r="AN1105" t="str">
        <f t="shared" si="423"/>
        <v>PRIORIDAD BAJA – control normal</v>
      </c>
      <c r="AO1105">
        <f t="shared" si="424"/>
        <v>64.862569275295584</v>
      </c>
      <c r="AP1105">
        <f t="shared" si="425"/>
        <v>15</v>
      </c>
      <c r="AQ1105">
        <f t="shared" si="426"/>
        <v>0</v>
      </c>
      <c r="AR1105">
        <f t="shared" si="427"/>
        <v>0.29999999999999893</v>
      </c>
      <c r="AS1105">
        <f t="shared" si="428"/>
        <v>0</v>
      </c>
      <c r="AT1105" t="str">
        <f t="shared" si="429"/>
        <v>VENTAS</v>
      </c>
      <c r="AU1105">
        <f t="shared" si="430"/>
        <v>64.862569275295584</v>
      </c>
      <c r="AV1105" t="str">
        <f t="shared" si="431"/>
        <v>Mayor retorno probable: VENTAS (+64,9 puntos finales potenciales).</v>
      </c>
    </row>
    <row r="1106" spans="1:48" x14ac:dyDescent="0.3">
      <c r="A1106" s="5">
        <v>51030087</v>
      </c>
      <c r="B1106" s="5" t="str">
        <f>IFERROR(VLOOKUP(A1106,VENTAS!$A$2:$B$1194,2,0),"")</f>
        <v/>
      </c>
      <c r="C1106" s="5">
        <f>IFERROR(INDEX(VENTAS!$C$2:$E$1194,MATCH(A1106,VENTAS!$A$2:$A$1194,0),MATCH(PARAMS_MODELO!$B$2,{"Q1","Q2","Q3"},0)),0)</f>
        <v>0</v>
      </c>
      <c r="D1106" s="5">
        <f>IFERROR(INDEX(VENTAS!$F$2:$H$1194,MATCH(A1106,VENTAS!$A$2:$A$1194,0),MATCH(PARAMS_MODELO!$B$2,{"Q1","Q2","Q3"},0)),0)</f>
        <v>0</v>
      </c>
      <c r="E1106" s="8">
        <f t="shared" si="408"/>
        <v>0</v>
      </c>
      <c r="F1106" s="12">
        <f>IF(E1106&lt;=PARAMS_MODELO!$B$15,0,IF(E1106&gt;=PARAMS_MODELO!$B$17,100,100*MIN(1,(E1106-PARAMS_MODELO!$B$15)/(PARAMS_MODELO!$B$16-PARAMS_MODELO!$B$15))))*PARAMS_MODELO!$B$7</f>
        <v>0</v>
      </c>
      <c r="G1106" s="5">
        <f t="shared" si="409"/>
        <v>0</v>
      </c>
      <c r="H1106" s="5">
        <f>(PARAMS_MODELO!$B$20*(MAX(0,MIN(3,E1106))/3)+PARAMS_MODELO!$B$21*(IFERROR(LN(1+MAX(0,G1106))/LN(1+MAX(0,MAX($G$2:$G$1194))),0)))*100*PARAMS_MODELO!$B$8</f>
        <v>0</v>
      </c>
      <c r="I1106" s="8">
        <f>E1106-PARAMS_MODELO!$B$5</f>
        <v>-0.17756283537552653</v>
      </c>
      <c r="J1106" s="5">
        <f>IF(I1106&lt;=PARAMS_MODELO!$B$18,0,IF(I1106&gt;=PARAMS_MODELO!$B$19,100,100*(I1106-PARAMS_MODELO!$B$18)/(PARAMS_MODELO!$B$19-PARAMS_MODELO!$B$18)))*PARAMS_MODELO!$B$9</f>
        <v>0</v>
      </c>
      <c r="K1106" s="5">
        <f>IFERROR(CHOOSE(MATCH(PARAMS_MODELO!$B$2,{"Q1","Q2","Q3"},0),LOTO!$D1106,LOTO!$F1106,LOTO!$H1106),0)</f>
        <v>0</v>
      </c>
      <c r="L1106" s="8">
        <f t="shared" si="410"/>
        <v>0</v>
      </c>
      <c r="M1106" s="5">
        <f>MIN(100,IF(PARAMS_MODELO!$B$23=0,0,100*L1106/PARAMS_MODELO!$B$23))*PARAMS_MODELO!$B$10</f>
        <v>0</v>
      </c>
      <c r="N1106" s="5">
        <f>IFERROR(VLOOKUP(A1106,COMPLIANCE!$A$2:$F$1996,6,0),100)</f>
        <v>100</v>
      </c>
      <c r="O1106" s="5">
        <f>N1106*PARAMS_MODELO!$B$11</f>
        <v>10</v>
      </c>
      <c r="P1106" s="5">
        <f>IFERROR(VLOOKUP(A1106,DIGITAL!$A$2:$J$2000,7,0),100)</f>
        <v>67</v>
      </c>
      <c r="Q1106" s="5">
        <f>IFERROR(P1106,0)*PARAMS_MODELO!$B$12</f>
        <v>6.7</v>
      </c>
      <c r="R1106">
        <f t="shared" si="411"/>
        <v>16.7</v>
      </c>
      <c r="S1106" s="5" t="str">
        <f>IFERROR(VLOOKUP(A1106,CLIENTE!$A$2:$N$2000,13,0),1)</f>
        <v>Regular</v>
      </c>
      <c r="T1106" s="5">
        <f>IFERROR(VLOOKUP(A1106,CLIENTE!$A$2:$N$2000,14,0),1)</f>
        <v>1</v>
      </c>
      <c r="U1106" s="5">
        <f t="shared" si="412"/>
        <v>16.7</v>
      </c>
      <c r="V1106" s="5" t="str">
        <f>IF(U1106&gt;=MAX(_xlfn.PERCENTILE.INC($U$2:$U$1194,PARAMS_MODELO!$B$50),PARAMS_MODELO!$B$45),"DIAMANTE",IF(U1106&gt;=MAX(_xlfn.PERCENTILE.INC($U$2:$U$1194,PARAMS_MODELO!$B$51),PARAMS_MODELO!$B$46),"PLATINO",IF(U1106&gt;=MAX(_xlfn.PERCENTILE.INC($U$2:$U$1194,PARAMS_MODELO!$B$52),PARAMS_MODELO!$B$47),"ORO",IF(U1106&gt;=MAX(_xlfn.PERCENTILE.INC($U$2:$U$1194,PARAMS_MODELO!$B$53),PARAMS_MODELO!$B$48),"PLATA",IF(U1106&gt;=1,"BRONCE","CERRADO")))))</f>
        <v>BRONCE</v>
      </c>
      <c r="W1106" s="5" t="str" cm="1">
        <f t="array" ref="W1106">_xlfn.XLOOKUP(1, (HIST_SCORE!$B:$B=PARAMS_MODELO!$B$4) * (HIST_SCORE!$C:$C=A1106), HIST_SCORE!$E:$E, "No encontrado")</f>
        <v>BRONCE</v>
      </c>
      <c r="X1106" s="5" t="str">
        <f>_xlfn.LET(_xlpm.act,MATCH(V1106,{"DIAMANTE";"PLATINO";"ORO";"PLATA";"BRONCE";"CERRADO"},0),_xlpm.ant,MATCH(W1106,{"DIAMANTE";"PLATINO";"ORO";"PLATA";"BRONCE";"CERRADO"},0),IF(_xlpm.act&lt;_xlpm.ant,"Mejora ↑",IF(_xlpm.act&gt;_xlpm.ant,"Baja ↓","Estable →")))</f>
        <v>Estable →</v>
      </c>
      <c r="Y1106" s="5">
        <f>IFERROR(U1106-SUMIFS(HIST_SCORE!$D:$D,HIST_SCORE!$B:$B,PARAMS_MODELO!$B$4,HIST_SCORE!$C:$C,$A1106),"")</f>
        <v>0</v>
      </c>
      <c r="Z1106" s="5" t="str">
        <f t="shared" si="413"/>
        <v>→ Estable</v>
      </c>
      <c r="AA1106" s="5">
        <f t="shared" si="414"/>
        <v>1056</v>
      </c>
      <c r="AB1106" s="5">
        <f>IFERROR(SUMIFS(HIST_SCORE!$F:$F,HIST_SCORE!$B:$B,PARAMS_MODELO!$B$4,HIST_SCORE!$C:$C,$A1106),"")</f>
        <v>1053</v>
      </c>
      <c r="AC1106" s="5">
        <f t="shared" si="415"/>
        <v>-3</v>
      </c>
      <c r="AD1106" t="str">
        <f t="shared" si="417"/>
        <v/>
      </c>
      <c r="AE11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1106="CERRADO",1,IF(V1106="BRONCE",_xlpm.cPl,IF(V1106="PLATA",_xlpm.cO,IF(V1106="ORO",_xlpm.cP,IF(V1106="PLATINO",_xlpm.cD,999))))))</f>
        <v>24.506573482968111</v>
      </c>
      <c r="AF110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1106="CERRADO",0,IF(V1106="BRONCE",1,IF(V1106="PLATA",_xlpm.cPl,IF(V1106="ORO",_xlpm.cO,IF(V1106="PLATINO",_xlpm.cP,_xlpm.cD))))))</f>
        <v>1</v>
      </c>
      <c r="AG1106">
        <f t="shared" si="418"/>
        <v>7.8065734829681119</v>
      </c>
      <c r="AH1106" t="str">
        <f t="shared" si="419"/>
        <v>VENTAS</v>
      </c>
      <c r="AI1106" t="str">
        <f t="shared" si="416"/>
        <v>🎯 Para subir de categoría, eje VENTAS / CRECIMIENTO PERSONAL (F). Acción: metas semanales + activación comercial + seguimiento del asesor. ΔR aprox: 7,8</v>
      </c>
      <c r="AJ1106" s="26">
        <f>_xlfn.LET(_xlpm.piso,AF1106,_xlpm.corte,AE1106,_xlpm.prog,IF(_xlpm.corte&lt;=_xlpm.piso,0,MAX(0,MIN(1,(U1106-_xlpm.piso)/(_xlpm.corte-_xlpm.piso)))),_xlpm.orden,{"DIAMANTE";"PLATINO";"ORO";"PLATA";"BRONCE";"CERRADO"},_xlpm.act,IFERROR(MATCH(V1106,_xlpm.orden,0),6),_xlpm.ant,IFERROR(MATCH(W1106,_xlpm.orden,0),6),_xlpm.ajmov,IF(_xlpm.act&lt;_xlpm.ant,0.08,IF(_xlpm.act&gt;_xlpm.ant,-0.08,0)),_xlpm.ajcli,IF(T1106&lt;0.95,-0.06,0),_xlpm.prob,MAX(0,MIN(1,_xlpm.prog+_xlpm.ajmov+_xlpm.ajcli)),IF(OR(V1106="DIAMANTE",V1106="CERRADO"),0,ROUND(_xlpm.prob,2)))</f>
        <v>0.67</v>
      </c>
      <c r="AK1106" t="str">
        <f t="shared" si="420"/>
        <v>Faltan 7,8 puntos base para subir a la siguiente categoría</v>
      </c>
      <c r="AL1106" t="str">
        <f t="shared" si="421"/>
        <v>No aplica</v>
      </c>
      <c r="AM1106">
        <f t="shared" si="422"/>
        <v>0.44</v>
      </c>
      <c r="AN1106" t="str">
        <f t="shared" si="423"/>
        <v>PRIORIDAD MEDIA – seguimiento del asesor</v>
      </c>
      <c r="AO1106">
        <f t="shared" si="424"/>
        <v>64.862569275295584</v>
      </c>
      <c r="AP1106">
        <f t="shared" si="425"/>
        <v>15</v>
      </c>
      <c r="AQ1106">
        <f t="shared" si="426"/>
        <v>0</v>
      </c>
      <c r="AR1106">
        <f t="shared" si="427"/>
        <v>3.3</v>
      </c>
      <c r="AS1106">
        <f t="shared" si="428"/>
        <v>0</v>
      </c>
      <c r="AT1106" t="str">
        <f t="shared" si="429"/>
        <v>VENTAS</v>
      </c>
      <c r="AU1106">
        <f t="shared" si="430"/>
        <v>64.862569275295584</v>
      </c>
      <c r="AV1106" t="str">
        <f t="shared" si="431"/>
        <v>Mayor retorno probable: VENTAS (+64,9 puntos finales potenciales).</v>
      </c>
    </row>
    <row r="1107" spans="1:48" x14ac:dyDescent="0.3">
      <c r="A1107" s="5">
        <v>51030206</v>
      </c>
      <c r="B1107" s="5" t="str">
        <f>IFERROR(VLOOKUP(A1107,VENTAS!$A$2:$B$1194,2,0),"")</f>
        <v/>
      </c>
      <c r="C1107" s="5">
        <f>IFERROR(INDEX(VENTAS!$C$2:$E$1194,MATCH(A1107,VENTAS!$A$2:$A$1194,0),MATCH(PARAMS_MODELO!$B$2,{"Q1","Q2","Q3"},0)),0)</f>
        <v>47148059.719999999</v>
      </c>
      <c r="D1107" s="5">
        <f>IFERROR(INDEX(VENTAS!$F$2:$H$1194,MATCH(A1107,VENTAS!$A$2:$A$1194,0),MATCH(PARAMS_MODELO!$B$2,{"Q1","Q2","Q3"},0)),0)</f>
        <v>0</v>
      </c>
      <c r="E1107" s="8">
        <f t="shared" si="408"/>
        <v>-1</v>
      </c>
      <c r="F1107" s="12">
        <f>IF(E1107&lt;=PARAMS_MODELO!$B$15,0,IF(E1107&gt;=PARAMS_MODELO!$B$17,100,100*MIN(1,(E1107-PARAMS_MODELO!$B$15)/(PARAMS_MODELO!$B$16-PARAMS_MODELO!$B$15))))*PARAMS_MODELO!$B$7</f>
        <v>0</v>
      </c>
      <c r="G1107" s="5">
        <f t="shared" si="409"/>
        <v>0</v>
      </c>
      <c r="H1107" s="5">
        <f>(PARAMS_MODELO!$B$20*(MAX(0,MIN(3,E1107))/3)+PARAMS_MODELO!$B$21*(IFERROR(LN(1+MAX(0,G1107))/LN(1+MAX(0,MAX($G$2:$G$1194))),0)))*100*PARAMS_MODELO!$B$8</f>
        <v>0</v>
      </c>
      <c r="I1107" s="8">
        <f>E1107-PARAMS_MODELO!$B$5</f>
        <v>-1.1775628353755265</v>
      </c>
      <c r="J1107" s="5">
        <f>IF(I1107&lt;=PARAMS_MODELO!$B$18,0,IF(I1107&gt;=PARAMS_MODELO!$B$19,100,100*(I1107-PARAMS_MODELO!$B$18)/(PARAMS_MODELO!$B$19-PARAMS_MODELO!$B$18)))*PARAMS_MODELO!$B$9</f>
        <v>0</v>
      </c>
      <c r="K1107" s="5">
        <f>IFERROR(CHOOSE(MATCH(PARAMS_MODELO!$B$2,{"Q1","Q2","Q3"},0),LOTO!$D1107,LOTO!$F1107,LOTO!$H1107),0)</f>
        <v>0</v>
      </c>
      <c r="L1107" s="8">
        <f t="shared" si="410"/>
        <v>0</v>
      </c>
      <c r="M1107" s="5">
        <f>MIN(100,IF(PARAMS_MODELO!$B$23=0,0,100*L1107/PARAMS_MODELO!$B$23))*PARAMS_MODELO!$B$10</f>
        <v>0</v>
      </c>
      <c r="N1107" s="5">
        <f>IFERROR(VLOOKUP(A1107,COMPLIANCE!$A$2:$F$1996,6,0),100)</f>
        <v>99.85</v>
      </c>
      <c r="O1107" s="5">
        <f>N1107*PARAMS_MODELO!$B$11</f>
        <v>9.9849999999999994</v>
      </c>
      <c r="P1107" s="5">
        <f>IFERROR(VLOOKUP(A1107,DIGITAL!$A$2:$J$2000,7,0),100)</f>
        <v>32</v>
      </c>
      <c r="Q1107" s="5">
        <f>IFERROR(P1107,0)*PARAMS_MODELO!$B$12</f>
        <v>3.2</v>
      </c>
      <c r="R1107">
        <f t="shared" si="411"/>
        <v>13.184999999999999</v>
      </c>
      <c r="S1107" s="5" t="str">
        <f>IFERROR(VLOOKUP(A1107,CLIENTE!$A$2:$N$2000,13,0),1)</f>
        <v>Bueno</v>
      </c>
      <c r="T1107" s="5">
        <f>IFERROR(VLOOKUP(A1107,CLIENTE!$A$2:$N$2000,14,0),1)</f>
        <v>1.1000000000000001</v>
      </c>
      <c r="U1107" s="5">
        <f t="shared" si="412"/>
        <v>14.503499999999999</v>
      </c>
      <c r="V1107" s="5" t="str">
        <f>IF(U1107&gt;=MAX(_xlfn.PERCENTILE.INC($U$2:$U$1194,PARAMS_MODELO!$B$50),PARAMS_MODELO!$B$45),"DIAMANTE",IF(U1107&gt;=MAX(_xlfn.PERCENTILE.INC($U$2:$U$1194,PARAMS_MODELO!$B$51),PARAMS_MODELO!$B$46),"PLATINO",IF(U1107&gt;=MAX(_xlfn.PERCENTILE.INC($U$2:$U$1194,PARAMS_MODELO!$B$52),PARAMS_MODELO!$B$47),"ORO",IF(U1107&gt;=MAX(_xlfn.PERCENTILE.INC($U$2:$U$1194,PARAMS_MODELO!$B$53),PARAMS_MODELO!$B$48),"PLATA",IF(U1107&gt;=1,"BRONCE","CERRADO")))))</f>
        <v>BRONCE</v>
      </c>
      <c r="W1107" s="5" t="str" cm="1">
        <f t="array" ref="W1107">_xlfn.XLOOKUP(1, (HIST_SCORE!$B:$B=PARAMS_MODELO!$B$4) * (HIST_SCORE!$C:$C=A1107), HIST_SCORE!$E:$E, "No encontrado")</f>
        <v>BRONCE</v>
      </c>
      <c r="X1107" s="5" t="str">
        <f>_xlfn.LET(_xlpm.act,MATCH(V1107,{"DIAMANTE";"PLATINO";"ORO";"PLATA";"BRONCE";"CERRADO"},0),_xlpm.ant,MATCH(W1107,{"DIAMANTE";"PLATINO";"ORO";"PLATA";"BRONCE";"CERRADO"},0),IF(_xlpm.act&lt;_xlpm.ant,"Mejora ↑",IF(_xlpm.act&gt;_xlpm.ant,"Baja ↓","Estable →")))</f>
        <v>Estable →</v>
      </c>
      <c r="Y1107" s="5">
        <f>IFERROR(U1107-SUMIFS(HIST_SCORE!$D:$D,HIST_SCORE!$B:$B,PARAMS_MODELO!$B$4,HIST_SCORE!$C:$C,$A1107),"")</f>
        <v>0</v>
      </c>
      <c r="Z1107" s="5" t="str">
        <f t="shared" si="413"/>
        <v>→ Estable</v>
      </c>
      <c r="AA1107" s="5">
        <f t="shared" si="414"/>
        <v>1082</v>
      </c>
      <c r="AB1107" s="5">
        <f>IFERROR(SUMIFS(HIST_SCORE!$F:$F,HIST_SCORE!$B:$B,PARAMS_MODELO!$B$4,HIST_SCORE!$C:$C,$A1107),"")</f>
        <v>1079</v>
      </c>
      <c r="AC1107" s="5">
        <f t="shared" si="415"/>
        <v>-3</v>
      </c>
      <c r="AD1107" t="str">
        <f t="shared" si="417"/>
        <v/>
      </c>
      <c r="AE11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1107="CERRADO",1,IF(V1107="BRONCE",_xlpm.cPl,IF(V1107="PLATA",_xlpm.cO,IF(V1107="ORO",_xlpm.cP,IF(V1107="PLATINO",_xlpm.cD,999))))))</f>
        <v>24.506573482968111</v>
      </c>
      <c r="AF110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1107="CERRADO",0,IF(V1107="BRONCE",1,IF(V1107="PLATA",_xlpm.cPl,IF(V1107="ORO",_xlpm.cO,IF(V1107="PLATINO",_xlpm.cP,_xlpm.cD))))))</f>
        <v>1</v>
      </c>
      <c r="AG1107">
        <f t="shared" si="418"/>
        <v>9.0937031663346453</v>
      </c>
      <c r="AH1107" t="str">
        <f t="shared" si="419"/>
        <v>VENTAS</v>
      </c>
      <c r="AI1107" t="str">
        <f t="shared" si="416"/>
        <v>🎯 Para subir de categoría, eje VENTAS / CRECIMIENTO PERSONAL (F). Acción: metas semanales + activación comercial + seguimiento del asesor. ΔR aprox: 9,1</v>
      </c>
      <c r="AJ1107" s="26">
        <f>_xlfn.LET(_xlpm.piso,AF1107,_xlpm.corte,AE1107,_xlpm.prog,IF(_xlpm.corte&lt;=_xlpm.piso,0,MAX(0,MIN(1,(U1107-_xlpm.piso)/(_xlpm.corte-_xlpm.piso)))),_xlpm.orden,{"DIAMANTE";"PLATINO";"ORO";"PLATA";"BRONCE";"CERRADO"},_xlpm.act,IFERROR(MATCH(V1107,_xlpm.orden,0),6),_xlpm.ant,IFERROR(MATCH(W1107,_xlpm.orden,0),6),_xlpm.ajmov,IF(_xlpm.act&lt;_xlpm.ant,0.08,IF(_xlpm.act&gt;_xlpm.ant,-0.08,0)),_xlpm.ajcli,IF(T1107&lt;0.95,-0.06,0),_xlpm.prob,MAX(0,MIN(1,_xlpm.prog+_xlpm.ajmov+_xlpm.ajcli)),IF(OR(V1107="DIAMANTE",V1107="CERRADO"),0,ROUND(_xlpm.prob,2)))</f>
        <v>0.56999999999999995</v>
      </c>
      <c r="AK1107" t="str">
        <f t="shared" si="420"/>
        <v>Faltan 9,1 puntos base para subir a la siguiente categoría</v>
      </c>
      <c r="AL1107" t="str">
        <f t="shared" si="421"/>
        <v>No aplica</v>
      </c>
      <c r="AM1107">
        <f t="shared" si="422"/>
        <v>0.54</v>
      </c>
      <c r="AN1107" t="str">
        <f t="shared" si="423"/>
        <v>PRIORIDAD MEDIA – seguimiento del asesor</v>
      </c>
      <c r="AO1107">
        <f t="shared" si="424"/>
        <v>71.348826202825151</v>
      </c>
      <c r="AP1107">
        <f t="shared" si="425"/>
        <v>16.5</v>
      </c>
      <c r="AQ1107">
        <f t="shared" si="426"/>
        <v>1.6500000000000625E-2</v>
      </c>
      <c r="AR1107">
        <f t="shared" si="427"/>
        <v>7.48</v>
      </c>
      <c r="AS1107">
        <f t="shared" si="428"/>
        <v>0</v>
      </c>
      <c r="AT1107" t="str">
        <f t="shared" si="429"/>
        <v>VENTAS</v>
      </c>
      <c r="AU1107">
        <f t="shared" si="430"/>
        <v>71.348826202825151</v>
      </c>
      <c r="AV1107" t="str">
        <f t="shared" si="431"/>
        <v>Mayor retorno probable: VENTAS (+71,3 puntos finales potenciales).</v>
      </c>
    </row>
    <row r="1108" spans="1:48" x14ac:dyDescent="0.3">
      <c r="A1108" s="5">
        <v>51030630</v>
      </c>
      <c r="B1108" s="5" t="str">
        <f>IFERROR(VLOOKUP(A1108,VENTAS!$A$2:$B$1194,2,0),"")</f>
        <v/>
      </c>
      <c r="C1108" s="5">
        <f>IFERROR(INDEX(VENTAS!$C$2:$E$1194,MATCH(A1108,VENTAS!$A$2:$A$1194,0),MATCH(PARAMS_MODELO!$B$2,{"Q1","Q2","Q3"},0)),0)</f>
        <v>11324480.800000001</v>
      </c>
      <c r="D1108" s="5">
        <f>IFERROR(INDEX(VENTAS!$F$2:$H$1194,MATCH(A1108,VENTAS!$A$2:$A$1194,0),MATCH(PARAMS_MODELO!$B$2,{"Q1","Q2","Q3"},0)),0)</f>
        <v>0</v>
      </c>
      <c r="E1108" s="8">
        <f t="shared" si="408"/>
        <v>-1</v>
      </c>
      <c r="F1108" s="12">
        <f>IF(E1108&lt;=PARAMS_MODELO!$B$15,0,IF(E1108&gt;=PARAMS_MODELO!$B$17,100,100*MIN(1,(E1108-PARAMS_MODELO!$B$15)/(PARAMS_MODELO!$B$16-PARAMS_MODELO!$B$15))))*PARAMS_MODELO!$B$7</f>
        <v>0</v>
      </c>
      <c r="G1108" s="5">
        <f t="shared" si="409"/>
        <v>0</v>
      </c>
      <c r="H1108" s="5">
        <f>(PARAMS_MODELO!$B$20*(MAX(0,MIN(3,E1108))/3)+PARAMS_MODELO!$B$21*(IFERROR(LN(1+MAX(0,G1108))/LN(1+MAX(0,MAX($G$2:$G$1194))),0)))*100*PARAMS_MODELO!$B$8</f>
        <v>0</v>
      </c>
      <c r="I1108" s="8">
        <f>E1108-PARAMS_MODELO!$B$5</f>
        <v>-1.1775628353755265</v>
      </c>
      <c r="J1108" s="5">
        <f>IF(I1108&lt;=PARAMS_MODELO!$B$18,0,IF(I1108&gt;=PARAMS_MODELO!$B$19,100,100*(I1108-PARAMS_MODELO!$B$18)/(PARAMS_MODELO!$B$19-PARAMS_MODELO!$B$18)))*PARAMS_MODELO!$B$9</f>
        <v>0</v>
      </c>
      <c r="K1108" s="5">
        <f>IFERROR(CHOOSE(MATCH(PARAMS_MODELO!$B$2,{"Q1","Q2","Q3"},0),LOTO!$D1108,LOTO!$F1108,LOTO!$H1108),0)</f>
        <v>0</v>
      </c>
      <c r="L1108" s="8">
        <f t="shared" si="410"/>
        <v>0</v>
      </c>
      <c r="M1108" s="5">
        <f>MIN(100,IF(PARAMS_MODELO!$B$23=0,0,100*L1108/PARAMS_MODELO!$B$23))*PARAMS_MODELO!$B$10</f>
        <v>0</v>
      </c>
      <c r="N1108" s="5">
        <f>IFERROR(VLOOKUP(A1108,COMPLIANCE!$A$2:$F$1996,6,0),100)</f>
        <v>100</v>
      </c>
      <c r="O1108" s="5">
        <f>N1108*PARAMS_MODELO!$B$11</f>
        <v>10</v>
      </c>
      <c r="P1108" s="5">
        <f>IFERROR(VLOOKUP(A1108,DIGITAL!$A$2:$J$2000,7,0),100)</f>
        <v>88</v>
      </c>
      <c r="Q1108" s="5">
        <f>IFERROR(P1108,0)*PARAMS_MODELO!$B$12</f>
        <v>8.8000000000000007</v>
      </c>
      <c r="R1108">
        <f t="shared" si="411"/>
        <v>18.8</v>
      </c>
      <c r="S1108" s="5" t="str">
        <f>IFERROR(VLOOKUP(A1108,CLIENTE!$A$2:$N$2000,13,0),1)</f>
        <v>Malo</v>
      </c>
      <c r="T1108" s="5">
        <f>IFERROR(VLOOKUP(A1108,CLIENTE!$A$2:$N$2000,14,0),1)</f>
        <v>0.7</v>
      </c>
      <c r="U1108" s="5">
        <f t="shared" si="412"/>
        <v>13.16</v>
      </c>
      <c r="V1108" s="5" t="str">
        <f>IF(U1108&gt;=MAX(_xlfn.PERCENTILE.INC($U$2:$U$1194,PARAMS_MODELO!$B$50),PARAMS_MODELO!$B$45),"DIAMANTE",IF(U1108&gt;=MAX(_xlfn.PERCENTILE.INC($U$2:$U$1194,PARAMS_MODELO!$B$51),PARAMS_MODELO!$B$46),"PLATINO",IF(U1108&gt;=MAX(_xlfn.PERCENTILE.INC($U$2:$U$1194,PARAMS_MODELO!$B$52),PARAMS_MODELO!$B$47),"ORO",IF(U1108&gt;=MAX(_xlfn.PERCENTILE.INC($U$2:$U$1194,PARAMS_MODELO!$B$53),PARAMS_MODELO!$B$48),"PLATA",IF(U1108&gt;=1,"BRONCE","CERRADO")))))</f>
        <v>BRONCE</v>
      </c>
      <c r="W1108" s="5" t="str" cm="1">
        <f t="array" ref="W1108">_xlfn.XLOOKUP(1, (HIST_SCORE!$B:$B=PARAMS_MODELO!$B$4) * (HIST_SCORE!$C:$C=A1108), HIST_SCORE!$E:$E, "No encontrado")</f>
        <v>BRONCE</v>
      </c>
      <c r="X1108" s="5" t="str">
        <f>_xlfn.LET(_xlpm.act,MATCH(V1108,{"DIAMANTE";"PLATINO";"ORO";"PLATA";"BRONCE";"CERRADO"},0),_xlpm.ant,MATCH(W1108,{"DIAMANTE";"PLATINO";"ORO";"PLATA";"BRONCE";"CERRADO"},0),IF(_xlpm.act&lt;_xlpm.ant,"Mejora ↑",IF(_xlpm.act&gt;_xlpm.ant,"Baja ↓","Estable →")))</f>
        <v>Estable →</v>
      </c>
      <c r="Y1108" s="5">
        <f>IFERROR(U1108-SUMIFS(HIST_SCORE!$D:$D,HIST_SCORE!$B:$B,PARAMS_MODELO!$B$4,HIST_SCORE!$C:$C,$A1108),"")</f>
        <v>0</v>
      </c>
      <c r="Z1108" s="5" t="str">
        <f t="shared" si="413"/>
        <v>→ Estable</v>
      </c>
      <c r="AA1108" s="5">
        <f t="shared" si="414"/>
        <v>1108</v>
      </c>
      <c r="AB1108" s="5">
        <f>IFERROR(SUMIFS(HIST_SCORE!$F:$F,HIST_SCORE!$B:$B,PARAMS_MODELO!$B$4,HIST_SCORE!$C:$C,$A1108),"")</f>
        <v>1106</v>
      </c>
      <c r="AC1108" s="5">
        <f t="shared" si="415"/>
        <v>-2</v>
      </c>
      <c r="AD1108" t="str">
        <f t="shared" si="417"/>
        <v/>
      </c>
      <c r="AE11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1108="CERRADO",1,IF(V1108="BRONCE",_xlpm.cPl,IF(V1108="PLATA",_xlpm.cO,IF(V1108="ORO",_xlpm.cP,IF(V1108="PLATINO",_xlpm.cD,999))))))</f>
        <v>24.506573482968111</v>
      </c>
      <c r="AF110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1108="CERRADO",0,IF(V1108="BRONCE",1,IF(V1108="PLATA",_xlpm.cPl,IF(V1108="ORO",_xlpm.cO,IF(V1108="PLATINO",_xlpm.cP,_xlpm.cD))))))</f>
        <v>1</v>
      </c>
      <c r="AG1108">
        <f t="shared" si="418"/>
        <v>16.209390689954443</v>
      </c>
      <c r="AH1108" t="str">
        <f t="shared" si="419"/>
        <v>VENTAS</v>
      </c>
      <c r="AI1108" t="str">
        <f t="shared" si="416"/>
        <v>🎯 Para subir de categoría, eje VENTAS / CRECIMIENTO PERSONAL (F). Acción: metas semanales + activación comercial + seguimiento del asesor. ΔR aprox: 16,2</v>
      </c>
      <c r="AJ1108" s="26">
        <f>_xlfn.LET(_xlpm.piso,AF1108,_xlpm.corte,AE1108,_xlpm.prog,IF(_xlpm.corte&lt;=_xlpm.piso,0,MAX(0,MIN(1,(U1108-_xlpm.piso)/(_xlpm.corte-_xlpm.piso)))),_xlpm.orden,{"DIAMANTE";"PLATINO";"ORO";"PLATA";"BRONCE";"CERRADO"},_xlpm.act,IFERROR(MATCH(V1108,_xlpm.orden,0),6),_xlpm.ant,IFERROR(MATCH(W1108,_xlpm.orden,0),6),_xlpm.ajmov,IF(_xlpm.act&lt;_xlpm.ant,0.08,IF(_xlpm.act&gt;_xlpm.ant,-0.08,0)),_xlpm.ajcli,IF(T1108&lt;0.95,-0.06,0),_xlpm.prob,MAX(0,MIN(1,_xlpm.prog+_xlpm.ajmov+_xlpm.ajcli)),IF(OR(V1108="DIAMANTE",V1108="CERRADO"),0,ROUND(_xlpm.prob,2)))</f>
        <v>0.46</v>
      </c>
      <c r="AK1108" t="str">
        <f t="shared" si="420"/>
        <v>Faltan 16,2 puntos base para subir a la siguiente categoría</v>
      </c>
      <c r="AL1108" t="str">
        <f t="shared" si="421"/>
        <v>No aplica</v>
      </c>
      <c r="AM1108">
        <f t="shared" si="422"/>
        <v>0.82</v>
      </c>
      <c r="AN1108" t="str">
        <f t="shared" si="423"/>
        <v>PRIORIDAD ALTA – requiere intervención inmediata</v>
      </c>
      <c r="AO1108">
        <f t="shared" si="424"/>
        <v>45.403798492706905</v>
      </c>
      <c r="AP1108">
        <f t="shared" si="425"/>
        <v>10.5</v>
      </c>
      <c r="AQ1108">
        <f t="shared" si="426"/>
        <v>0</v>
      </c>
      <c r="AR1108">
        <f t="shared" si="427"/>
        <v>0.83999999999999941</v>
      </c>
      <c r="AS1108">
        <f t="shared" si="428"/>
        <v>5.6400000000000015</v>
      </c>
      <c r="AT1108" t="str">
        <f t="shared" si="429"/>
        <v>VENTAS</v>
      </c>
      <c r="AU1108">
        <f t="shared" si="430"/>
        <v>45.403798492706905</v>
      </c>
      <c r="AV1108" t="str">
        <f t="shared" si="431"/>
        <v>Mayor retorno probable: VENTAS (+45,4 puntos finales potenciales).</v>
      </c>
    </row>
    <row r="1109" spans="1:48" x14ac:dyDescent="0.3">
      <c r="A1109" s="5">
        <v>51030745</v>
      </c>
      <c r="B1109" s="5" t="str">
        <f>IFERROR(VLOOKUP(A1109,VENTAS!$A$2:$B$1194,2,0),"")</f>
        <v/>
      </c>
      <c r="C1109" s="5">
        <f>IFERROR(INDEX(VENTAS!$C$2:$E$1194,MATCH(A1109,VENTAS!$A$2:$A$1194,0),MATCH(PARAMS_MODELO!$B$2,{"Q1","Q2","Q3"},0)),0)</f>
        <v>28978832.109999999</v>
      </c>
      <c r="D1109" s="5">
        <f>IFERROR(INDEX(VENTAS!$F$2:$H$1194,MATCH(A1109,VENTAS!$A$2:$A$1194,0),MATCH(PARAMS_MODELO!$B$2,{"Q1","Q2","Q3"},0)),0)</f>
        <v>0</v>
      </c>
      <c r="E1109" s="8">
        <f t="shared" si="408"/>
        <v>-1</v>
      </c>
      <c r="F1109" s="12">
        <f>IF(E1109&lt;=PARAMS_MODELO!$B$15,0,IF(E1109&gt;=PARAMS_MODELO!$B$17,100,100*MIN(1,(E1109-PARAMS_MODELO!$B$15)/(PARAMS_MODELO!$B$16-PARAMS_MODELO!$B$15))))*PARAMS_MODELO!$B$7</f>
        <v>0</v>
      </c>
      <c r="G1109" s="5">
        <f t="shared" si="409"/>
        <v>0</v>
      </c>
      <c r="H1109" s="5">
        <f>(PARAMS_MODELO!$B$20*(MAX(0,MIN(3,E1109))/3)+PARAMS_MODELO!$B$21*(IFERROR(LN(1+MAX(0,G1109))/LN(1+MAX(0,MAX($G$2:$G$1194))),0)))*100*PARAMS_MODELO!$B$8</f>
        <v>0</v>
      </c>
      <c r="I1109" s="8">
        <f>E1109-PARAMS_MODELO!$B$5</f>
        <v>-1.1775628353755265</v>
      </c>
      <c r="J1109" s="5">
        <f>IF(I1109&lt;=PARAMS_MODELO!$B$18,0,IF(I1109&gt;=PARAMS_MODELO!$B$19,100,100*(I1109-PARAMS_MODELO!$B$18)/(PARAMS_MODELO!$B$19-PARAMS_MODELO!$B$18)))*PARAMS_MODELO!$B$9</f>
        <v>0</v>
      </c>
      <c r="K1109" s="5">
        <f>IFERROR(CHOOSE(MATCH(PARAMS_MODELO!$B$2,{"Q1","Q2","Q3"},0),LOTO!$D1109,LOTO!$F1109,LOTO!$H1109),0)</f>
        <v>0</v>
      </c>
      <c r="L1109" s="8">
        <f t="shared" si="410"/>
        <v>0</v>
      </c>
      <c r="M1109" s="5">
        <f>MIN(100,IF(PARAMS_MODELO!$B$23=0,0,100*L1109/PARAMS_MODELO!$B$23))*PARAMS_MODELO!$B$10</f>
        <v>0</v>
      </c>
      <c r="N1109" s="5">
        <f>IFERROR(VLOOKUP(A1109,COMPLIANCE!$A$2:$F$1996,6,0),100)</f>
        <v>100</v>
      </c>
      <c r="O1109" s="5">
        <f>N1109*PARAMS_MODELO!$B$11</f>
        <v>10</v>
      </c>
      <c r="P1109" s="5">
        <f>IFERROR(VLOOKUP(A1109,DIGITAL!$A$2:$J$2000,7,0),100)</f>
        <v>95</v>
      </c>
      <c r="Q1109" s="5">
        <f>IFERROR(P1109,0)*PARAMS_MODELO!$B$12</f>
        <v>9.5</v>
      </c>
      <c r="R1109">
        <f t="shared" si="411"/>
        <v>19.5</v>
      </c>
      <c r="S1109" s="5" t="str">
        <f>IFERROR(VLOOKUP(A1109,CLIENTE!$A$2:$N$2000,13,0),1)</f>
        <v>Regular</v>
      </c>
      <c r="T1109" s="5">
        <f>IFERROR(VLOOKUP(A1109,CLIENTE!$A$2:$N$2000,14,0),1)</f>
        <v>1</v>
      </c>
      <c r="U1109" s="5">
        <f t="shared" si="412"/>
        <v>19.5</v>
      </c>
      <c r="V1109" s="5" t="str">
        <f>IF(U1109&gt;=MAX(_xlfn.PERCENTILE.INC($U$2:$U$1194,PARAMS_MODELO!$B$50),PARAMS_MODELO!$B$45),"DIAMANTE",IF(U1109&gt;=MAX(_xlfn.PERCENTILE.INC($U$2:$U$1194,PARAMS_MODELO!$B$51),PARAMS_MODELO!$B$46),"PLATINO",IF(U1109&gt;=MAX(_xlfn.PERCENTILE.INC($U$2:$U$1194,PARAMS_MODELO!$B$52),PARAMS_MODELO!$B$47),"ORO",IF(U1109&gt;=MAX(_xlfn.PERCENTILE.INC($U$2:$U$1194,PARAMS_MODELO!$B$53),PARAMS_MODELO!$B$48),"PLATA",IF(U1109&gt;=1,"BRONCE","CERRADO")))))</f>
        <v>BRONCE</v>
      </c>
      <c r="W1109" s="5" t="str" cm="1">
        <f t="array" ref="W1109">_xlfn.XLOOKUP(1, (HIST_SCORE!$B:$B=PARAMS_MODELO!$B$4) * (HIST_SCORE!$C:$C=A1109), HIST_SCORE!$E:$E, "No encontrado")</f>
        <v>BRONCE</v>
      </c>
      <c r="X1109" s="5" t="str">
        <f>_xlfn.LET(_xlpm.act,MATCH(V1109,{"DIAMANTE";"PLATINO";"ORO";"PLATA";"BRONCE";"CERRADO"},0),_xlpm.ant,MATCH(W1109,{"DIAMANTE";"PLATINO";"ORO";"PLATA";"BRONCE";"CERRADO"},0),IF(_xlpm.act&lt;_xlpm.ant,"Mejora ↑",IF(_xlpm.act&gt;_xlpm.ant,"Baja ↓","Estable →")))</f>
        <v>Estable →</v>
      </c>
      <c r="Y1109" s="5">
        <f>IFERROR(U1109-SUMIFS(HIST_SCORE!$D:$D,HIST_SCORE!$B:$B,PARAMS_MODELO!$B$4,HIST_SCORE!$C:$C,$A1109),"")</f>
        <v>0</v>
      </c>
      <c r="Z1109" s="5" t="str">
        <f t="shared" si="413"/>
        <v>→ Estable</v>
      </c>
      <c r="AA1109" s="5">
        <f t="shared" si="414"/>
        <v>987</v>
      </c>
      <c r="AB1109" s="5">
        <f>IFERROR(SUMIFS(HIST_SCORE!$F:$F,HIST_SCORE!$B:$B,PARAMS_MODELO!$B$4,HIST_SCORE!$C:$C,$A1109),"")</f>
        <v>994</v>
      </c>
      <c r="AC1109" s="5">
        <f t="shared" si="415"/>
        <v>7</v>
      </c>
      <c r="AD1109" t="str">
        <f t="shared" si="417"/>
        <v/>
      </c>
      <c r="AE11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1109="CERRADO",1,IF(V1109="BRONCE",_xlpm.cPl,IF(V1109="PLATA",_xlpm.cO,IF(V1109="ORO",_xlpm.cP,IF(V1109="PLATINO",_xlpm.cD,999))))))</f>
        <v>24.506573482968111</v>
      </c>
      <c r="AF110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1109="CERRADO",0,IF(V1109="BRONCE",1,IF(V1109="PLATA",_xlpm.cPl,IF(V1109="ORO",_xlpm.cO,IF(V1109="PLATINO",_xlpm.cP,_xlpm.cD))))))</f>
        <v>1</v>
      </c>
      <c r="AG1109">
        <f t="shared" si="418"/>
        <v>5.0065734829681112</v>
      </c>
      <c r="AH1109" t="str">
        <f t="shared" si="419"/>
        <v>VENTAS</v>
      </c>
      <c r="AI1109" t="str">
        <f t="shared" si="416"/>
        <v>🎯 Para subir de categoría, eje VENTAS / CRECIMIENTO PERSONAL (F). Acción: metas semanales + activación comercial + seguimiento del asesor. ΔR aprox: 5,0</v>
      </c>
      <c r="AJ1109" s="26">
        <f>_xlfn.LET(_xlpm.piso,AF1109,_xlpm.corte,AE1109,_xlpm.prog,IF(_xlpm.corte&lt;=_xlpm.piso,0,MAX(0,MIN(1,(U1109-_xlpm.piso)/(_xlpm.corte-_xlpm.piso)))),_xlpm.orden,{"DIAMANTE";"PLATINO";"ORO";"PLATA";"BRONCE";"CERRADO"},_xlpm.act,IFERROR(MATCH(V1109,_xlpm.orden,0),6),_xlpm.ant,IFERROR(MATCH(W1109,_xlpm.orden,0),6),_xlpm.ajmov,IF(_xlpm.act&lt;_xlpm.ant,0.08,IF(_xlpm.act&gt;_xlpm.ant,-0.08,0)),_xlpm.ajcli,IF(T1109&lt;0.95,-0.06,0),_xlpm.prob,MAX(0,MIN(1,_xlpm.prog+_xlpm.ajmov+_xlpm.ajcli)),IF(OR(V1109="DIAMANTE",V1109="CERRADO"),0,ROUND(_xlpm.prob,2)))</f>
        <v>0.79</v>
      </c>
      <c r="AK1109" t="str">
        <f t="shared" si="420"/>
        <v>Faltan 5,0 puntos base para subir a la siguiente categoría</v>
      </c>
      <c r="AL1109" t="str">
        <f t="shared" si="421"/>
        <v>No aplica</v>
      </c>
      <c r="AM1109">
        <f t="shared" si="422"/>
        <v>0.28000000000000003</v>
      </c>
      <c r="AN1109" t="str">
        <f t="shared" si="423"/>
        <v>PRIORIDAD BAJA – control normal</v>
      </c>
      <c r="AO1109">
        <f t="shared" si="424"/>
        <v>64.862569275295584</v>
      </c>
      <c r="AP1109">
        <f t="shared" si="425"/>
        <v>15</v>
      </c>
      <c r="AQ1109">
        <f t="shared" si="426"/>
        <v>0</v>
      </c>
      <c r="AR1109">
        <f t="shared" si="427"/>
        <v>0.5</v>
      </c>
      <c r="AS1109">
        <f t="shared" si="428"/>
        <v>0</v>
      </c>
      <c r="AT1109" t="str">
        <f t="shared" si="429"/>
        <v>VENTAS</v>
      </c>
      <c r="AU1109">
        <f t="shared" si="430"/>
        <v>64.862569275295584</v>
      </c>
      <c r="AV1109" t="str">
        <f t="shared" si="431"/>
        <v>Mayor retorno probable: VENTAS (+64,9 puntos finales potenciales).</v>
      </c>
    </row>
    <row r="1110" spans="1:48" x14ac:dyDescent="0.3">
      <c r="A1110" s="5">
        <v>51030796</v>
      </c>
      <c r="B1110" s="5" t="str">
        <f>IFERROR(VLOOKUP(A1110,VENTAS!$A$2:$B$1194,2,0),"")</f>
        <v/>
      </c>
      <c r="C1110" s="5">
        <f>IFERROR(INDEX(VENTAS!$C$2:$E$1194,MATCH(A1110,VENTAS!$A$2:$A$1194,0),MATCH(PARAMS_MODELO!$B$2,{"Q1","Q2","Q3"},0)),0)</f>
        <v>0</v>
      </c>
      <c r="D1110" s="5">
        <f>IFERROR(INDEX(VENTAS!$F$2:$H$1194,MATCH(A1110,VENTAS!$A$2:$A$1194,0),MATCH(PARAMS_MODELO!$B$2,{"Q1","Q2","Q3"},0)),0)</f>
        <v>0</v>
      </c>
      <c r="E1110" s="8">
        <f t="shared" si="408"/>
        <v>0</v>
      </c>
      <c r="F1110" s="12">
        <f>IF(E1110&lt;=PARAMS_MODELO!$B$15,0,IF(E1110&gt;=PARAMS_MODELO!$B$17,100,100*MIN(1,(E1110-PARAMS_MODELO!$B$15)/(PARAMS_MODELO!$B$16-PARAMS_MODELO!$B$15))))*PARAMS_MODELO!$B$7</f>
        <v>0</v>
      </c>
      <c r="G1110" s="5">
        <f t="shared" si="409"/>
        <v>0</v>
      </c>
      <c r="H1110" s="5">
        <f>(PARAMS_MODELO!$B$20*(MAX(0,MIN(3,E1110))/3)+PARAMS_MODELO!$B$21*(IFERROR(LN(1+MAX(0,G1110))/LN(1+MAX(0,MAX($G$2:$G$1194))),0)))*100*PARAMS_MODELO!$B$8</f>
        <v>0</v>
      </c>
      <c r="I1110" s="8">
        <f>E1110-PARAMS_MODELO!$B$5</f>
        <v>-0.17756283537552653</v>
      </c>
      <c r="J1110" s="5">
        <f>IF(I1110&lt;=PARAMS_MODELO!$B$18,0,IF(I1110&gt;=PARAMS_MODELO!$B$19,100,100*(I1110-PARAMS_MODELO!$B$18)/(PARAMS_MODELO!$B$19-PARAMS_MODELO!$B$18)))*PARAMS_MODELO!$B$9</f>
        <v>0</v>
      </c>
      <c r="K1110" s="5">
        <f>IFERROR(CHOOSE(MATCH(PARAMS_MODELO!$B$2,{"Q1","Q2","Q3"},0),LOTO!$D1110,LOTO!$F1110,LOTO!$H1110),0)</f>
        <v>0</v>
      </c>
      <c r="L1110" s="8">
        <f t="shared" si="410"/>
        <v>0</v>
      </c>
      <c r="M1110" s="5">
        <f>MIN(100,IF(PARAMS_MODELO!$B$23=0,0,100*L1110/PARAMS_MODELO!$B$23))*PARAMS_MODELO!$B$10</f>
        <v>0</v>
      </c>
      <c r="N1110" s="5">
        <f>IFERROR(VLOOKUP(A1110,COMPLIANCE!$A$2:$F$1996,6,0),100)</f>
        <v>100</v>
      </c>
      <c r="O1110" s="5">
        <f>N1110*PARAMS_MODELO!$B$11</f>
        <v>10</v>
      </c>
      <c r="P1110" s="5">
        <f>IFERROR(VLOOKUP(A1110,DIGITAL!$A$2:$J$2000,7,0),100)</f>
        <v>31</v>
      </c>
      <c r="Q1110" s="5">
        <f>IFERROR(P1110,0)*PARAMS_MODELO!$B$12</f>
        <v>3.1</v>
      </c>
      <c r="R1110">
        <f t="shared" si="411"/>
        <v>13.1</v>
      </c>
      <c r="S1110" s="5" t="str">
        <f>IFERROR(VLOOKUP(A1110,CLIENTE!$A$2:$N$2000,13,0),1)</f>
        <v>Regular</v>
      </c>
      <c r="T1110" s="5">
        <f>IFERROR(VLOOKUP(A1110,CLIENTE!$A$2:$N$2000,14,0),1)</f>
        <v>1</v>
      </c>
      <c r="U1110" s="5">
        <f t="shared" si="412"/>
        <v>13.1</v>
      </c>
      <c r="V1110" s="5" t="str">
        <f>IF(U1110&gt;=MAX(_xlfn.PERCENTILE.INC($U$2:$U$1194,PARAMS_MODELO!$B$50),PARAMS_MODELO!$B$45),"DIAMANTE",IF(U1110&gt;=MAX(_xlfn.PERCENTILE.INC($U$2:$U$1194,PARAMS_MODELO!$B$51),PARAMS_MODELO!$B$46),"PLATINO",IF(U1110&gt;=MAX(_xlfn.PERCENTILE.INC($U$2:$U$1194,PARAMS_MODELO!$B$52),PARAMS_MODELO!$B$47),"ORO",IF(U1110&gt;=MAX(_xlfn.PERCENTILE.INC($U$2:$U$1194,PARAMS_MODELO!$B$53),PARAMS_MODELO!$B$48),"PLATA",IF(U1110&gt;=1,"BRONCE","CERRADO")))))</f>
        <v>BRONCE</v>
      </c>
      <c r="W1110" s="5" t="str" cm="1">
        <f t="array" ref="W1110">_xlfn.XLOOKUP(1, (HIST_SCORE!$B:$B=PARAMS_MODELO!$B$4) * (HIST_SCORE!$C:$C=A1110), HIST_SCORE!$E:$E, "No encontrado")</f>
        <v>BRONCE</v>
      </c>
      <c r="X1110" s="5" t="str">
        <f>_xlfn.LET(_xlpm.act,MATCH(V1110,{"DIAMANTE";"PLATINO";"ORO";"PLATA";"BRONCE";"CERRADO"},0),_xlpm.ant,MATCH(W1110,{"DIAMANTE";"PLATINO";"ORO";"PLATA";"BRONCE";"CERRADO"},0),IF(_xlpm.act&lt;_xlpm.ant,"Mejora ↑",IF(_xlpm.act&gt;_xlpm.ant,"Baja ↓","Estable →")))</f>
        <v>Estable →</v>
      </c>
      <c r="Y1110" s="5">
        <f>IFERROR(U1110-SUMIFS(HIST_SCORE!$D:$D,HIST_SCORE!$B:$B,PARAMS_MODELO!$B$4,HIST_SCORE!$C:$C,$A1110),"")</f>
        <v>0</v>
      </c>
      <c r="Z1110" s="5" t="str">
        <f t="shared" si="413"/>
        <v>→ Estable</v>
      </c>
      <c r="AA1110" s="5">
        <f t="shared" si="414"/>
        <v>1109</v>
      </c>
      <c r="AB1110" s="5">
        <f>IFERROR(SUMIFS(HIST_SCORE!$F:$F,HIST_SCORE!$B:$B,PARAMS_MODELO!$B$4,HIST_SCORE!$C:$C,$A1110),"")</f>
        <v>1107</v>
      </c>
      <c r="AC1110" s="5">
        <f t="shared" si="415"/>
        <v>-2</v>
      </c>
      <c r="AD1110" t="str">
        <f t="shared" si="417"/>
        <v/>
      </c>
      <c r="AE11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1110="CERRADO",1,IF(V1110="BRONCE",_xlpm.cPl,IF(V1110="PLATA",_xlpm.cO,IF(V1110="ORO",_xlpm.cP,IF(V1110="PLATINO",_xlpm.cD,999))))))</f>
        <v>24.506573482968111</v>
      </c>
      <c r="AF111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1110="CERRADO",0,IF(V1110="BRONCE",1,IF(V1110="PLATA",_xlpm.cPl,IF(V1110="ORO",_xlpm.cO,IF(V1110="PLATINO",_xlpm.cP,_xlpm.cD))))))</f>
        <v>1</v>
      </c>
      <c r="AG1110">
        <f t="shared" si="418"/>
        <v>11.406573482968112</v>
      </c>
      <c r="AH1110" t="str">
        <f t="shared" si="419"/>
        <v>VENTAS</v>
      </c>
      <c r="AI1110" t="str">
        <f t="shared" si="416"/>
        <v>🎯 Para subir de categoría, eje VENTAS / CRECIMIENTO PERSONAL (F). Acción: metas semanales + activación comercial + seguimiento del asesor. ΔR aprox: 11,4</v>
      </c>
      <c r="AJ1110" s="26">
        <f>_xlfn.LET(_xlpm.piso,AF1110,_xlpm.corte,AE1110,_xlpm.prog,IF(_xlpm.corte&lt;=_xlpm.piso,0,MAX(0,MIN(1,(U1110-_xlpm.piso)/(_xlpm.corte-_xlpm.piso)))),_xlpm.orden,{"DIAMANTE";"PLATINO";"ORO";"PLATA";"BRONCE";"CERRADO"},_xlpm.act,IFERROR(MATCH(V1110,_xlpm.orden,0),6),_xlpm.ant,IFERROR(MATCH(W1110,_xlpm.orden,0),6),_xlpm.ajmov,IF(_xlpm.act&lt;_xlpm.ant,0.08,IF(_xlpm.act&gt;_xlpm.ant,-0.08,0)),_xlpm.ajcli,IF(T1110&lt;0.95,-0.06,0),_xlpm.prob,MAX(0,MIN(1,_xlpm.prog+_xlpm.ajmov+_xlpm.ajcli)),IF(OR(V1110="DIAMANTE",V1110="CERRADO"),0,ROUND(_xlpm.prob,2)))</f>
        <v>0.51</v>
      </c>
      <c r="AK1110" t="str">
        <f t="shared" si="420"/>
        <v>Faltan 11,4 puntos base para subir a la siguiente categoría</v>
      </c>
      <c r="AL1110" t="str">
        <f t="shared" si="421"/>
        <v>No aplica</v>
      </c>
      <c r="AM1110">
        <f t="shared" si="422"/>
        <v>0.6</v>
      </c>
      <c r="AN1110" t="str">
        <f t="shared" si="423"/>
        <v>PRIORIDAD MEDIA – seguimiento del asesor</v>
      </c>
      <c r="AO1110">
        <f t="shared" si="424"/>
        <v>64.862569275295584</v>
      </c>
      <c r="AP1110">
        <f t="shared" si="425"/>
        <v>15</v>
      </c>
      <c r="AQ1110">
        <f t="shared" si="426"/>
        <v>0</v>
      </c>
      <c r="AR1110">
        <f t="shared" si="427"/>
        <v>6.9</v>
      </c>
      <c r="AS1110">
        <f t="shared" si="428"/>
        <v>0</v>
      </c>
      <c r="AT1110" t="str">
        <f t="shared" si="429"/>
        <v>VENTAS</v>
      </c>
      <c r="AU1110">
        <f t="shared" si="430"/>
        <v>64.862569275295584</v>
      </c>
      <c r="AV1110" t="str">
        <f t="shared" si="431"/>
        <v>Mayor retorno probable: VENTAS (+64,9 puntos finales potenciales).</v>
      </c>
    </row>
    <row r="1111" spans="1:48" x14ac:dyDescent="0.3">
      <c r="A1111" s="5">
        <v>51030966</v>
      </c>
      <c r="B1111" s="5" t="str">
        <f>IFERROR(VLOOKUP(A1111,VENTAS!$A$2:$B$1194,2,0),"")</f>
        <v/>
      </c>
      <c r="C1111" s="5">
        <f>IFERROR(INDEX(VENTAS!$C$2:$E$1194,MATCH(A1111,VENTAS!$A$2:$A$1194,0),MATCH(PARAMS_MODELO!$B$2,{"Q1","Q2","Q3"},0)),0)</f>
        <v>0</v>
      </c>
      <c r="D1111" s="5">
        <f>IFERROR(INDEX(VENTAS!$F$2:$H$1194,MATCH(A1111,VENTAS!$A$2:$A$1194,0),MATCH(PARAMS_MODELO!$B$2,{"Q1","Q2","Q3"},0)),0)</f>
        <v>0</v>
      </c>
      <c r="E1111" s="8">
        <f t="shared" si="408"/>
        <v>0</v>
      </c>
      <c r="F1111" s="12">
        <f>IF(E1111&lt;=PARAMS_MODELO!$B$15,0,IF(E1111&gt;=PARAMS_MODELO!$B$17,100,100*MIN(1,(E1111-PARAMS_MODELO!$B$15)/(PARAMS_MODELO!$B$16-PARAMS_MODELO!$B$15))))*PARAMS_MODELO!$B$7</f>
        <v>0</v>
      </c>
      <c r="G1111" s="5">
        <f t="shared" si="409"/>
        <v>0</v>
      </c>
      <c r="H1111" s="5">
        <f>(PARAMS_MODELO!$B$20*(MAX(0,MIN(3,E1111))/3)+PARAMS_MODELO!$B$21*(IFERROR(LN(1+MAX(0,G1111))/LN(1+MAX(0,MAX($G$2:$G$1194))),0)))*100*PARAMS_MODELO!$B$8</f>
        <v>0</v>
      </c>
      <c r="I1111" s="8">
        <f>E1111-PARAMS_MODELO!$B$5</f>
        <v>-0.17756283537552653</v>
      </c>
      <c r="J1111" s="5">
        <f>IF(I1111&lt;=PARAMS_MODELO!$B$18,0,IF(I1111&gt;=PARAMS_MODELO!$B$19,100,100*(I1111-PARAMS_MODELO!$B$18)/(PARAMS_MODELO!$B$19-PARAMS_MODELO!$B$18)))*PARAMS_MODELO!$B$9</f>
        <v>0</v>
      </c>
      <c r="K1111" s="5">
        <f>IFERROR(CHOOSE(MATCH(PARAMS_MODELO!$B$2,{"Q1","Q2","Q3"},0),LOTO!$D1111,LOTO!$F1111,LOTO!$H1111),0)</f>
        <v>0</v>
      </c>
      <c r="L1111" s="8">
        <f t="shared" si="410"/>
        <v>0</v>
      </c>
      <c r="M1111" s="5">
        <f>MIN(100,IF(PARAMS_MODELO!$B$23=0,0,100*L1111/PARAMS_MODELO!$B$23))*PARAMS_MODELO!$B$10</f>
        <v>0</v>
      </c>
      <c r="N1111" s="5">
        <f>IFERROR(VLOOKUP(A1111,COMPLIANCE!$A$2:$F$1996,6,0),100)</f>
        <v>100</v>
      </c>
      <c r="O1111" s="5">
        <f>N1111*PARAMS_MODELO!$B$11</f>
        <v>10</v>
      </c>
      <c r="P1111" s="5">
        <f>IFERROR(VLOOKUP(A1111,DIGITAL!$A$2:$J$2000,7,0),100)</f>
        <v>51</v>
      </c>
      <c r="Q1111" s="5">
        <f>IFERROR(P1111,0)*PARAMS_MODELO!$B$12</f>
        <v>5.1000000000000005</v>
      </c>
      <c r="R1111">
        <f t="shared" si="411"/>
        <v>15.100000000000001</v>
      </c>
      <c r="S1111" s="5" t="str">
        <f>IFERROR(VLOOKUP(A1111,CLIENTE!$A$2:$N$2000,13,0),1)</f>
        <v>Bueno</v>
      </c>
      <c r="T1111" s="5">
        <f>IFERROR(VLOOKUP(A1111,CLIENTE!$A$2:$N$2000,14,0),1)</f>
        <v>1.1000000000000001</v>
      </c>
      <c r="U1111" s="5">
        <f t="shared" si="412"/>
        <v>16.610000000000003</v>
      </c>
      <c r="V1111" s="5" t="str">
        <f>IF(U1111&gt;=MAX(_xlfn.PERCENTILE.INC($U$2:$U$1194,PARAMS_MODELO!$B$50),PARAMS_MODELO!$B$45),"DIAMANTE",IF(U1111&gt;=MAX(_xlfn.PERCENTILE.INC($U$2:$U$1194,PARAMS_MODELO!$B$51),PARAMS_MODELO!$B$46),"PLATINO",IF(U1111&gt;=MAX(_xlfn.PERCENTILE.INC($U$2:$U$1194,PARAMS_MODELO!$B$52),PARAMS_MODELO!$B$47),"ORO",IF(U1111&gt;=MAX(_xlfn.PERCENTILE.INC($U$2:$U$1194,PARAMS_MODELO!$B$53),PARAMS_MODELO!$B$48),"PLATA",IF(U1111&gt;=1,"BRONCE","CERRADO")))))</f>
        <v>BRONCE</v>
      </c>
      <c r="W1111" s="5" t="str" cm="1">
        <f t="array" ref="W1111">_xlfn.XLOOKUP(1, (HIST_SCORE!$B:$B=PARAMS_MODELO!$B$4) * (HIST_SCORE!$C:$C=A1111), HIST_SCORE!$E:$E, "No encontrado")</f>
        <v>BRONCE</v>
      </c>
      <c r="X1111" s="5" t="str">
        <f>_xlfn.LET(_xlpm.act,MATCH(V1111,{"DIAMANTE";"PLATINO";"ORO";"PLATA";"BRONCE";"CERRADO"},0),_xlpm.ant,MATCH(W1111,{"DIAMANTE";"PLATINO";"ORO";"PLATA";"BRONCE";"CERRADO"},0),IF(_xlpm.act&lt;_xlpm.ant,"Mejora ↑",IF(_xlpm.act&gt;_xlpm.ant,"Baja ↓","Estable →")))</f>
        <v>Estable →</v>
      </c>
      <c r="Y1111" s="5">
        <f>IFERROR(U1111-SUMIFS(HIST_SCORE!$D:$D,HIST_SCORE!$B:$B,PARAMS_MODELO!$B$4,HIST_SCORE!$C:$C,$A1111),"")</f>
        <v>0</v>
      </c>
      <c r="Z1111" s="5" t="str">
        <f t="shared" si="413"/>
        <v>→ Estable</v>
      </c>
      <c r="AA1111" s="5">
        <f t="shared" si="414"/>
        <v>1057</v>
      </c>
      <c r="AB1111" s="5">
        <f>IFERROR(SUMIFS(HIST_SCORE!$F:$F,HIST_SCORE!$B:$B,PARAMS_MODELO!$B$4,HIST_SCORE!$C:$C,$A1111),"")</f>
        <v>1054</v>
      </c>
      <c r="AC1111" s="5">
        <f t="shared" si="415"/>
        <v>-3</v>
      </c>
      <c r="AD1111" t="str">
        <f t="shared" si="417"/>
        <v/>
      </c>
      <c r="AE11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1111="CERRADO",1,IF(V1111="BRONCE",_xlpm.cPl,IF(V1111="PLATA",_xlpm.cO,IF(V1111="ORO",_xlpm.cP,IF(V1111="PLATINO",_xlpm.cD,999))))))</f>
        <v>24.506573482968111</v>
      </c>
      <c r="AF111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1111="CERRADO",0,IF(V1111="BRONCE",1,IF(V1111="PLATA",_xlpm.cPl,IF(V1111="ORO",_xlpm.cO,IF(V1111="PLATINO",_xlpm.cP,_xlpm.cD))))))</f>
        <v>1</v>
      </c>
      <c r="AG1111">
        <f t="shared" si="418"/>
        <v>7.1787031663346426</v>
      </c>
      <c r="AH1111" t="str">
        <f t="shared" si="419"/>
        <v>VENTAS</v>
      </c>
      <c r="AI1111" t="str">
        <f t="shared" si="416"/>
        <v>🎯 Para subir de categoría, eje VENTAS / CRECIMIENTO PERSONAL (F). Acción: metas semanales + activación comercial + seguimiento del asesor. ΔR aprox: 7,2</v>
      </c>
      <c r="AJ1111" s="26">
        <f>_xlfn.LET(_xlpm.piso,AF1111,_xlpm.corte,AE1111,_xlpm.prog,IF(_xlpm.corte&lt;=_xlpm.piso,0,MAX(0,MIN(1,(U1111-_xlpm.piso)/(_xlpm.corte-_xlpm.piso)))),_xlpm.orden,{"DIAMANTE";"PLATINO";"ORO";"PLATA";"BRONCE";"CERRADO"},_xlpm.act,IFERROR(MATCH(V1111,_xlpm.orden,0),6),_xlpm.ant,IFERROR(MATCH(W1111,_xlpm.orden,0),6),_xlpm.ajmov,IF(_xlpm.act&lt;_xlpm.ant,0.08,IF(_xlpm.act&gt;_xlpm.ant,-0.08,0)),_xlpm.ajcli,IF(T1111&lt;0.95,-0.06,0),_xlpm.prob,MAX(0,MIN(1,_xlpm.prog+_xlpm.ajmov+_xlpm.ajcli)),IF(OR(V1111="DIAMANTE",V1111="CERRADO"),0,ROUND(_xlpm.prob,2)))</f>
        <v>0.66</v>
      </c>
      <c r="AK1111" t="str">
        <f t="shared" si="420"/>
        <v>Faltan 7,2 puntos base para subir a la siguiente categoría</v>
      </c>
      <c r="AL1111" t="str">
        <f t="shared" si="421"/>
        <v>No aplica</v>
      </c>
      <c r="AM1111">
        <f t="shared" si="422"/>
        <v>0.42</v>
      </c>
      <c r="AN1111" t="str">
        <f t="shared" si="423"/>
        <v>PRIORIDAD MEDIA – seguimiento del asesor</v>
      </c>
      <c r="AO1111">
        <f t="shared" si="424"/>
        <v>71.348826202825151</v>
      </c>
      <c r="AP1111">
        <f t="shared" si="425"/>
        <v>16.5</v>
      </c>
      <c r="AQ1111">
        <f t="shared" si="426"/>
        <v>0</v>
      </c>
      <c r="AR1111">
        <f t="shared" si="427"/>
        <v>5.39</v>
      </c>
      <c r="AS1111">
        <f t="shared" si="428"/>
        <v>0</v>
      </c>
      <c r="AT1111" t="str">
        <f t="shared" si="429"/>
        <v>VENTAS</v>
      </c>
      <c r="AU1111">
        <f t="shared" si="430"/>
        <v>71.348826202825151</v>
      </c>
      <c r="AV1111" t="str">
        <f t="shared" si="431"/>
        <v>Mayor retorno probable: VENTAS (+71,3 puntos finales potenciales).</v>
      </c>
    </row>
    <row r="1112" spans="1:48" x14ac:dyDescent="0.3">
      <c r="A1112" s="5">
        <v>51031067</v>
      </c>
      <c r="B1112" s="5" t="str">
        <f>IFERROR(VLOOKUP(A1112,VENTAS!$A$2:$B$1194,2,0),"")</f>
        <v/>
      </c>
      <c r="C1112" s="5">
        <f>IFERROR(INDEX(VENTAS!$C$2:$E$1194,MATCH(A1112,VENTAS!$A$2:$A$1194,0),MATCH(PARAMS_MODELO!$B$2,{"Q1","Q2","Q3"},0)),0)</f>
        <v>0</v>
      </c>
      <c r="D1112" s="5">
        <f>IFERROR(INDEX(VENTAS!$F$2:$H$1194,MATCH(A1112,VENTAS!$A$2:$A$1194,0),MATCH(PARAMS_MODELO!$B$2,{"Q1","Q2","Q3"},0)),0)</f>
        <v>0</v>
      </c>
      <c r="E1112" s="8">
        <f t="shared" si="408"/>
        <v>0</v>
      </c>
      <c r="F1112" s="12">
        <f>IF(E1112&lt;=PARAMS_MODELO!$B$15,0,IF(E1112&gt;=PARAMS_MODELO!$B$17,100,100*MIN(1,(E1112-PARAMS_MODELO!$B$15)/(PARAMS_MODELO!$B$16-PARAMS_MODELO!$B$15))))*PARAMS_MODELO!$B$7</f>
        <v>0</v>
      </c>
      <c r="G1112" s="5">
        <f t="shared" si="409"/>
        <v>0</v>
      </c>
      <c r="H1112" s="5">
        <f>(PARAMS_MODELO!$B$20*(MAX(0,MIN(3,E1112))/3)+PARAMS_MODELO!$B$21*(IFERROR(LN(1+MAX(0,G1112))/LN(1+MAX(0,MAX($G$2:$G$1194))),0)))*100*PARAMS_MODELO!$B$8</f>
        <v>0</v>
      </c>
      <c r="I1112" s="8">
        <f>E1112-PARAMS_MODELO!$B$5</f>
        <v>-0.17756283537552653</v>
      </c>
      <c r="J1112" s="5">
        <f>IF(I1112&lt;=PARAMS_MODELO!$B$18,0,IF(I1112&gt;=PARAMS_MODELO!$B$19,100,100*(I1112-PARAMS_MODELO!$B$18)/(PARAMS_MODELO!$B$19-PARAMS_MODELO!$B$18)))*PARAMS_MODELO!$B$9</f>
        <v>0</v>
      </c>
      <c r="K1112" s="5">
        <f>IFERROR(CHOOSE(MATCH(PARAMS_MODELO!$B$2,{"Q1","Q2","Q3"},0),LOTO!$D1112,LOTO!$F1112,LOTO!$H1112),0)</f>
        <v>0</v>
      </c>
      <c r="L1112" s="8">
        <f t="shared" si="410"/>
        <v>0</v>
      </c>
      <c r="M1112" s="5">
        <f>MIN(100,IF(PARAMS_MODELO!$B$23=0,0,100*L1112/PARAMS_MODELO!$B$23))*PARAMS_MODELO!$B$10</f>
        <v>0</v>
      </c>
      <c r="N1112" s="5">
        <f>IFERROR(VLOOKUP(A1112,COMPLIANCE!$A$2:$F$1996,6,0),100)</f>
        <v>100</v>
      </c>
      <c r="O1112" s="5">
        <f>N1112*PARAMS_MODELO!$B$11</f>
        <v>10</v>
      </c>
      <c r="P1112" s="5">
        <f>IFERROR(VLOOKUP(A1112,DIGITAL!$A$2:$J$2000,7,0),100)</f>
        <v>52</v>
      </c>
      <c r="Q1112" s="5">
        <f>IFERROR(P1112,0)*PARAMS_MODELO!$B$12</f>
        <v>5.2</v>
      </c>
      <c r="R1112">
        <f t="shared" si="411"/>
        <v>15.2</v>
      </c>
      <c r="S1112" s="5" t="str">
        <f>IFERROR(VLOOKUP(A1112,CLIENTE!$A$2:$N$2000,13,0),1)</f>
        <v>Malo</v>
      </c>
      <c r="T1112" s="5">
        <f>IFERROR(VLOOKUP(A1112,CLIENTE!$A$2:$N$2000,14,0),1)</f>
        <v>0.7</v>
      </c>
      <c r="U1112" s="5">
        <f t="shared" si="412"/>
        <v>10.639999999999999</v>
      </c>
      <c r="V1112" s="5" t="str">
        <f>IF(U1112&gt;=MAX(_xlfn.PERCENTILE.INC($U$2:$U$1194,PARAMS_MODELO!$B$50),PARAMS_MODELO!$B$45),"DIAMANTE",IF(U1112&gt;=MAX(_xlfn.PERCENTILE.INC($U$2:$U$1194,PARAMS_MODELO!$B$51),PARAMS_MODELO!$B$46),"PLATINO",IF(U1112&gt;=MAX(_xlfn.PERCENTILE.INC($U$2:$U$1194,PARAMS_MODELO!$B$52),PARAMS_MODELO!$B$47),"ORO",IF(U1112&gt;=MAX(_xlfn.PERCENTILE.INC($U$2:$U$1194,PARAMS_MODELO!$B$53),PARAMS_MODELO!$B$48),"PLATA",IF(U1112&gt;=1,"BRONCE","CERRADO")))))</f>
        <v>BRONCE</v>
      </c>
      <c r="W1112" s="5" t="str" cm="1">
        <f t="array" ref="W1112">_xlfn.XLOOKUP(1, (HIST_SCORE!$B:$B=PARAMS_MODELO!$B$4) * (HIST_SCORE!$C:$C=A1112), HIST_SCORE!$E:$E, "No encontrado")</f>
        <v>BRONCE</v>
      </c>
      <c r="X1112" s="5" t="str">
        <f>_xlfn.LET(_xlpm.act,MATCH(V1112,{"DIAMANTE";"PLATINO";"ORO";"PLATA";"BRONCE";"CERRADO"},0),_xlpm.ant,MATCH(W1112,{"DIAMANTE";"PLATINO";"ORO";"PLATA";"BRONCE";"CERRADO"},0),IF(_xlpm.act&lt;_xlpm.ant,"Mejora ↑",IF(_xlpm.act&gt;_xlpm.ant,"Baja ↓","Estable →")))</f>
        <v>Estable →</v>
      </c>
      <c r="Y1112" s="5">
        <f>IFERROR(U1112-SUMIFS(HIST_SCORE!$D:$D,HIST_SCORE!$B:$B,PARAMS_MODELO!$B$4,HIST_SCORE!$C:$C,$A1112),"")</f>
        <v>0</v>
      </c>
      <c r="Z1112" s="5" t="str">
        <f t="shared" si="413"/>
        <v>→ Estable</v>
      </c>
      <c r="AA1112" s="5">
        <f t="shared" si="414"/>
        <v>1154</v>
      </c>
      <c r="AB1112" s="5">
        <f>IFERROR(SUMIFS(HIST_SCORE!$F:$F,HIST_SCORE!$B:$B,PARAMS_MODELO!$B$4,HIST_SCORE!$C:$C,$A1112),"")</f>
        <v>1153</v>
      </c>
      <c r="AC1112" s="5">
        <f t="shared" si="415"/>
        <v>-1</v>
      </c>
      <c r="AD1112" t="str">
        <f t="shared" si="417"/>
        <v/>
      </c>
      <c r="AE11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1112="CERRADO",1,IF(V1112="BRONCE",_xlpm.cPl,IF(V1112="PLATA",_xlpm.cO,IF(V1112="ORO",_xlpm.cP,IF(V1112="PLATINO",_xlpm.cD,999))))))</f>
        <v>24.506573482968111</v>
      </c>
      <c r="AF111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1112="CERRADO",0,IF(V1112="BRONCE",1,IF(V1112="PLATA",_xlpm.cPl,IF(V1112="ORO",_xlpm.cO,IF(V1112="PLATINO",_xlpm.cP,_xlpm.cD))))))</f>
        <v>1</v>
      </c>
      <c r="AG1112">
        <f t="shared" si="418"/>
        <v>19.809390689954444</v>
      </c>
      <c r="AH1112" t="str">
        <f t="shared" si="419"/>
        <v>VENTAS</v>
      </c>
      <c r="AI1112" t="str">
        <f t="shared" si="416"/>
        <v>🎯 Para subir de categoría, eje VENTAS / CRECIMIENTO PERSONAL (F). Acción: metas semanales + activación comercial + seguimiento del asesor. ΔR aprox: 19,8</v>
      </c>
      <c r="AJ1112" s="26">
        <f>_xlfn.LET(_xlpm.piso,AF1112,_xlpm.corte,AE1112,_xlpm.prog,IF(_xlpm.corte&lt;=_xlpm.piso,0,MAX(0,MIN(1,(U1112-_xlpm.piso)/(_xlpm.corte-_xlpm.piso)))),_xlpm.orden,{"DIAMANTE";"PLATINO";"ORO";"PLATA";"BRONCE";"CERRADO"},_xlpm.act,IFERROR(MATCH(V1112,_xlpm.orden,0),6),_xlpm.ant,IFERROR(MATCH(W1112,_xlpm.orden,0),6),_xlpm.ajmov,IF(_xlpm.act&lt;_xlpm.ant,0.08,IF(_xlpm.act&gt;_xlpm.ant,-0.08,0)),_xlpm.ajcli,IF(T1112&lt;0.95,-0.06,0),_xlpm.prob,MAX(0,MIN(1,_xlpm.prog+_xlpm.ajmov+_xlpm.ajcli)),IF(OR(V1112="DIAMANTE",V1112="CERRADO"),0,ROUND(_xlpm.prob,2)))</f>
        <v>0.35</v>
      </c>
      <c r="AK1112" t="str">
        <f t="shared" si="420"/>
        <v>Faltan 19,8 puntos base para subir a la siguiente categoría</v>
      </c>
      <c r="AL1112" t="str">
        <f t="shared" si="421"/>
        <v>No aplica</v>
      </c>
      <c r="AM1112">
        <f t="shared" si="422"/>
        <v>0.86</v>
      </c>
      <c r="AN1112" t="str">
        <f t="shared" si="423"/>
        <v>PRIORIDAD ALTA – requiere intervención inmediata</v>
      </c>
      <c r="AO1112">
        <f t="shared" si="424"/>
        <v>45.403798492706905</v>
      </c>
      <c r="AP1112">
        <f t="shared" si="425"/>
        <v>10.5</v>
      </c>
      <c r="AQ1112">
        <f t="shared" si="426"/>
        <v>0</v>
      </c>
      <c r="AR1112">
        <f t="shared" si="427"/>
        <v>3.36</v>
      </c>
      <c r="AS1112">
        <f t="shared" si="428"/>
        <v>4.5600000000000005</v>
      </c>
      <c r="AT1112" t="str">
        <f t="shared" si="429"/>
        <v>VENTAS</v>
      </c>
      <c r="AU1112">
        <f t="shared" si="430"/>
        <v>45.403798492706905</v>
      </c>
      <c r="AV1112" t="str">
        <f t="shared" si="431"/>
        <v>Mayor retorno probable: VENTAS (+45,4 puntos finales potenciales).</v>
      </c>
    </row>
    <row r="1113" spans="1:48" x14ac:dyDescent="0.3">
      <c r="A1113" s="5">
        <v>51031091</v>
      </c>
      <c r="B1113" s="5" t="str">
        <f>IFERROR(VLOOKUP(A1113,VENTAS!$A$2:$B$1194,2,0),"")</f>
        <v/>
      </c>
      <c r="C1113" s="5">
        <f>IFERROR(INDEX(VENTAS!$C$2:$E$1194,MATCH(A1113,VENTAS!$A$2:$A$1194,0),MATCH(PARAMS_MODELO!$B$2,{"Q1","Q2","Q3"},0)),0)</f>
        <v>0</v>
      </c>
      <c r="D1113" s="5">
        <f>IFERROR(INDEX(VENTAS!$F$2:$H$1194,MATCH(A1113,VENTAS!$A$2:$A$1194,0),MATCH(PARAMS_MODELO!$B$2,{"Q1","Q2","Q3"},0)),0)</f>
        <v>0</v>
      </c>
      <c r="E1113" s="8">
        <f t="shared" si="408"/>
        <v>0</v>
      </c>
      <c r="F1113" s="12">
        <f>IF(E1113&lt;=PARAMS_MODELO!$B$15,0,IF(E1113&gt;=PARAMS_MODELO!$B$17,100,100*MIN(1,(E1113-PARAMS_MODELO!$B$15)/(PARAMS_MODELO!$B$16-PARAMS_MODELO!$B$15))))*PARAMS_MODELO!$B$7</f>
        <v>0</v>
      </c>
      <c r="G1113" s="5">
        <f t="shared" si="409"/>
        <v>0</v>
      </c>
      <c r="H1113" s="5">
        <f>(PARAMS_MODELO!$B$20*(MAX(0,MIN(3,E1113))/3)+PARAMS_MODELO!$B$21*(IFERROR(LN(1+MAX(0,G1113))/LN(1+MAX(0,MAX($G$2:$G$1194))),0)))*100*PARAMS_MODELO!$B$8</f>
        <v>0</v>
      </c>
      <c r="I1113" s="8">
        <f>E1113-PARAMS_MODELO!$B$5</f>
        <v>-0.17756283537552653</v>
      </c>
      <c r="J1113" s="5">
        <f>IF(I1113&lt;=PARAMS_MODELO!$B$18,0,IF(I1113&gt;=PARAMS_MODELO!$B$19,100,100*(I1113-PARAMS_MODELO!$B$18)/(PARAMS_MODELO!$B$19-PARAMS_MODELO!$B$18)))*PARAMS_MODELO!$B$9</f>
        <v>0</v>
      </c>
      <c r="K1113" s="5">
        <f>IFERROR(CHOOSE(MATCH(PARAMS_MODELO!$B$2,{"Q1","Q2","Q3"},0),LOTO!$D1113,LOTO!$F1113,LOTO!$H1113),0)</f>
        <v>0</v>
      </c>
      <c r="L1113" s="8">
        <f t="shared" si="410"/>
        <v>0</v>
      </c>
      <c r="M1113" s="5">
        <f>MIN(100,IF(PARAMS_MODELO!$B$23=0,0,100*L1113/PARAMS_MODELO!$B$23))*PARAMS_MODELO!$B$10</f>
        <v>0</v>
      </c>
      <c r="N1113" s="5">
        <f>IFERROR(VLOOKUP(A1113,COMPLIANCE!$A$2:$F$1996,6,0),100)</f>
        <v>100</v>
      </c>
      <c r="O1113" s="5">
        <f>N1113*PARAMS_MODELO!$B$11</f>
        <v>10</v>
      </c>
      <c r="P1113" s="5">
        <f>IFERROR(VLOOKUP(A1113,DIGITAL!$A$2:$J$2000,7,0),100)</f>
        <v>62</v>
      </c>
      <c r="Q1113" s="5">
        <f>IFERROR(P1113,0)*PARAMS_MODELO!$B$12</f>
        <v>6.2</v>
      </c>
      <c r="R1113">
        <f t="shared" si="411"/>
        <v>16.2</v>
      </c>
      <c r="S1113" s="5" t="str">
        <f>IFERROR(VLOOKUP(A1113,CLIENTE!$A$2:$N$2000,13,0),1)</f>
        <v>Regular</v>
      </c>
      <c r="T1113" s="5">
        <f>IFERROR(VLOOKUP(A1113,CLIENTE!$A$2:$N$2000,14,0),1)</f>
        <v>1</v>
      </c>
      <c r="U1113" s="5">
        <f t="shared" si="412"/>
        <v>16.2</v>
      </c>
      <c r="V1113" s="5" t="str">
        <f>IF(U1113&gt;=MAX(_xlfn.PERCENTILE.INC($U$2:$U$1194,PARAMS_MODELO!$B$50),PARAMS_MODELO!$B$45),"DIAMANTE",IF(U1113&gt;=MAX(_xlfn.PERCENTILE.INC($U$2:$U$1194,PARAMS_MODELO!$B$51),PARAMS_MODELO!$B$46),"PLATINO",IF(U1113&gt;=MAX(_xlfn.PERCENTILE.INC($U$2:$U$1194,PARAMS_MODELO!$B$52),PARAMS_MODELO!$B$47),"ORO",IF(U1113&gt;=MAX(_xlfn.PERCENTILE.INC($U$2:$U$1194,PARAMS_MODELO!$B$53),PARAMS_MODELO!$B$48),"PLATA",IF(U1113&gt;=1,"BRONCE","CERRADO")))))</f>
        <v>BRONCE</v>
      </c>
      <c r="W1113" s="5" t="str" cm="1">
        <f t="array" ref="W1113">_xlfn.XLOOKUP(1, (HIST_SCORE!$B:$B=PARAMS_MODELO!$B$4) * (HIST_SCORE!$C:$C=A1113), HIST_SCORE!$E:$E, "No encontrado")</f>
        <v>BRONCE</v>
      </c>
      <c r="X1113" s="5" t="str">
        <f>_xlfn.LET(_xlpm.act,MATCH(V1113,{"DIAMANTE";"PLATINO";"ORO";"PLATA";"BRONCE";"CERRADO"},0),_xlpm.ant,MATCH(W1113,{"DIAMANTE";"PLATINO";"ORO";"PLATA";"BRONCE";"CERRADO"},0),IF(_xlpm.act&lt;_xlpm.ant,"Mejora ↑",IF(_xlpm.act&gt;_xlpm.ant,"Baja ↓","Estable →")))</f>
        <v>Estable →</v>
      </c>
      <c r="Y1113" s="5">
        <f>IFERROR(U1113-SUMIFS(HIST_SCORE!$D:$D,HIST_SCORE!$B:$B,PARAMS_MODELO!$B$4,HIST_SCORE!$C:$C,$A1113),"")</f>
        <v>0</v>
      </c>
      <c r="Z1113" s="5" t="str">
        <f t="shared" si="413"/>
        <v>→ Estable</v>
      </c>
      <c r="AA1113" s="5">
        <f t="shared" si="414"/>
        <v>1063</v>
      </c>
      <c r="AB1113" s="5">
        <f>IFERROR(SUMIFS(HIST_SCORE!$F:$F,HIST_SCORE!$B:$B,PARAMS_MODELO!$B$4,HIST_SCORE!$C:$C,$A1113),"")</f>
        <v>1060</v>
      </c>
      <c r="AC1113" s="5">
        <f t="shared" si="415"/>
        <v>-3</v>
      </c>
      <c r="AD1113" t="str">
        <f t="shared" si="417"/>
        <v/>
      </c>
      <c r="AE11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1113="CERRADO",1,IF(V1113="BRONCE",_xlpm.cPl,IF(V1113="PLATA",_xlpm.cO,IF(V1113="ORO",_xlpm.cP,IF(V1113="PLATINO",_xlpm.cD,999))))))</f>
        <v>24.506573482968111</v>
      </c>
      <c r="AF111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1113="CERRADO",0,IF(V1113="BRONCE",1,IF(V1113="PLATA",_xlpm.cPl,IF(V1113="ORO",_xlpm.cO,IF(V1113="PLATINO",_xlpm.cP,_xlpm.cD))))))</f>
        <v>1</v>
      </c>
      <c r="AG1113">
        <f t="shared" si="418"/>
        <v>8.3065734829681119</v>
      </c>
      <c r="AH1113" t="str">
        <f t="shared" si="419"/>
        <v>VENTAS</v>
      </c>
      <c r="AI1113" t="str">
        <f t="shared" si="416"/>
        <v>🎯 Para subir de categoría, eje VENTAS / CRECIMIENTO PERSONAL (F). Acción: metas semanales + activación comercial + seguimiento del asesor. ΔR aprox: 8,3</v>
      </c>
      <c r="AJ1113" s="26">
        <f>_xlfn.LET(_xlpm.piso,AF1113,_xlpm.corte,AE1113,_xlpm.prog,IF(_xlpm.corte&lt;=_xlpm.piso,0,MAX(0,MIN(1,(U1113-_xlpm.piso)/(_xlpm.corte-_xlpm.piso)))),_xlpm.orden,{"DIAMANTE";"PLATINO";"ORO";"PLATA";"BRONCE";"CERRADO"},_xlpm.act,IFERROR(MATCH(V1113,_xlpm.orden,0),6),_xlpm.ant,IFERROR(MATCH(W1113,_xlpm.orden,0),6),_xlpm.ajmov,IF(_xlpm.act&lt;_xlpm.ant,0.08,IF(_xlpm.act&gt;_xlpm.ant,-0.08,0)),_xlpm.ajcli,IF(T1113&lt;0.95,-0.06,0),_xlpm.prob,MAX(0,MIN(1,_xlpm.prog+_xlpm.ajmov+_xlpm.ajcli)),IF(OR(V1113="DIAMANTE",V1113="CERRADO"),0,ROUND(_xlpm.prob,2)))</f>
        <v>0.65</v>
      </c>
      <c r="AK1113" t="str">
        <f t="shared" si="420"/>
        <v>Faltan 8,3 puntos base para subir a la siguiente categoría</v>
      </c>
      <c r="AL1113" t="str">
        <f t="shared" si="421"/>
        <v>No aplica</v>
      </c>
      <c r="AM1113">
        <f t="shared" si="422"/>
        <v>0.47</v>
      </c>
      <c r="AN1113" t="str">
        <f t="shared" si="423"/>
        <v>PRIORIDAD MEDIA – seguimiento del asesor</v>
      </c>
      <c r="AO1113">
        <f t="shared" si="424"/>
        <v>64.862569275295584</v>
      </c>
      <c r="AP1113">
        <f t="shared" si="425"/>
        <v>15</v>
      </c>
      <c r="AQ1113">
        <f t="shared" si="426"/>
        <v>0</v>
      </c>
      <c r="AR1113">
        <f t="shared" si="427"/>
        <v>3.8</v>
      </c>
      <c r="AS1113">
        <f t="shared" si="428"/>
        <v>0</v>
      </c>
      <c r="AT1113" t="str">
        <f t="shared" si="429"/>
        <v>VENTAS</v>
      </c>
      <c r="AU1113">
        <f t="shared" si="430"/>
        <v>64.862569275295584</v>
      </c>
      <c r="AV1113" t="str">
        <f t="shared" si="431"/>
        <v>Mayor retorno probable: VENTAS (+64,9 puntos finales potenciales).</v>
      </c>
    </row>
    <row r="1114" spans="1:48" x14ac:dyDescent="0.3">
      <c r="A1114" s="5">
        <v>51031156</v>
      </c>
      <c r="B1114" s="5" t="str">
        <f>IFERROR(VLOOKUP(A1114,VENTAS!$A$2:$B$1194,2,0),"")</f>
        <v/>
      </c>
      <c r="C1114" s="5">
        <f>IFERROR(INDEX(VENTAS!$C$2:$E$1194,MATCH(A1114,VENTAS!$A$2:$A$1194,0),MATCH(PARAMS_MODELO!$B$2,{"Q1","Q2","Q3"},0)),0)</f>
        <v>0</v>
      </c>
      <c r="D1114" s="5">
        <f>IFERROR(INDEX(VENTAS!$F$2:$H$1194,MATCH(A1114,VENTAS!$A$2:$A$1194,0),MATCH(PARAMS_MODELO!$B$2,{"Q1","Q2","Q3"},0)),0)</f>
        <v>0</v>
      </c>
      <c r="E1114" s="8">
        <f t="shared" si="408"/>
        <v>0</v>
      </c>
      <c r="F1114" s="12">
        <f>IF(E1114&lt;=PARAMS_MODELO!$B$15,0,IF(E1114&gt;=PARAMS_MODELO!$B$17,100,100*MIN(1,(E1114-PARAMS_MODELO!$B$15)/(PARAMS_MODELO!$B$16-PARAMS_MODELO!$B$15))))*PARAMS_MODELO!$B$7</f>
        <v>0</v>
      </c>
      <c r="G1114" s="5">
        <f t="shared" si="409"/>
        <v>0</v>
      </c>
      <c r="H1114" s="5">
        <f>(PARAMS_MODELO!$B$20*(MAX(0,MIN(3,E1114))/3)+PARAMS_MODELO!$B$21*(IFERROR(LN(1+MAX(0,G1114))/LN(1+MAX(0,MAX($G$2:$G$1194))),0)))*100*PARAMS_MODELO!$B$8</f>
        <v>0</v>
      </c>
      <c r="I1114" s="8">
        <f>E1114-PARAMS_MODELO!$B$5</f>
        <v>-0.17756283537552653</v>
      </c>
      <c r="J1114" s="5">
        <f>IF(I1114&lt;=PARAMS_MODELO!$B$18,0,IF(I1114&gt;=PARAMS_MODELO!$B$19,100,100*(I1114-PARAMS_MODELO!$B$18)/(PARAMS_MODELO!$B$19-PARAMS_MODELO!$B$18)))*PARAMS_MODELO!$B$9</f>
        <v>0</v>
      </c>
      <c r="K1114" s="5">
        <f>IFERROR(CHOOSE(MATCH(PARAMS_MODELO!$B$2,{"Q1","Q2","Q3"},0),LOTO!$D1114,LOTO!$F1114,LOTO!$H1114),0)</f>
        <v>0</v>
      </c>
      <c r="L1114" s="8">
        <f t="shared" si="410"/>
        <v>0</v>
      </c>
      <c r="M1114" s="5">
        <f>MIN(100,IF(PARAMS_MODELO!$B$23=0,0,100*L1114/PARAMS_MODELO!$B$23))*PARAMS_MODELO!$B$10</f>
        <v>0</v>
      </c>
      <c r="N1114" s="5">
        <f>IFERROR(VLOOKUP(A1114,COMPLIANCE!$A$2:$F$1996,6,0),100)</f>
        <v>100</v>
      </c>
      <c r="O1114" s="5">
        <f>N1114*PARAMS_MODELO!$B$11</f>
        <v>10</v>
      </c>
      <c r="P1114" s="5">
        <f>IFERROR(VLOOKUP(A1114,DIGITAL!$A$2:$J$2000,7,0),100)</f>
        <v>21</v>
      </c>
      <c r="Q1114" s="5">
        <f>IFERROR(P1114,0)*PARAMS_MODELO!$B$12</f>
        <v>2.1</v>
      </c>
      <c r="R1114">
        <f t="shared" si="411"/>
        <v>12.1</v>
      </c>
      <c r="S1114" s="5" t="str">
        <f>IFERROR(VLOOKUP(A1114,CLIENTE!$A$2:$N$2000,13,0),1)</f>
        <v>Regular</v>
      </c>
      <c r="T1114" s="5">
        <f>IFERROR(VLOOKUP(A1114,CLIENTE!$A$2:$N$2000,14,0),1)</f>
        <v>1</v>
      </c>
      <c r="U1114" s="5">
        <f t="shared" si="412"/>
        <v>12.1</v>
      </c>
      <c r="V1114" s="5" t="str">
        <f>IF(U1114&gt;=MAX(_xlfn.PERCENTILE.INC($U$2:$U$1194,PARAMS_MODELO!$B$50),PARAMS_MODELO!$B$45),"DIAMANTE",IF(U1114&gt;=MAX(_xlfn.PERCENTILE.INC($U$2:$U$1194,PARAMS_MODELO!$B$51),PARAMS_MODELO!$B$46),"PLATINO",IF(U1114&gt;=MAX(_xlfn.PERCENTILE.INC($U$2:$U$1194,PARAMS_MODELO!$B$52),PARAMS_MODELO!$B$47),"ORO",IF(U1114&gt;=MAX(_xlfn.PERCENTILE.INC($U$2:$U$1194,PARAMS_MODELO!$B$53),PARAMS_MODELO!$B$48),"PLATA",IF(U1114&gt;=1,"BRONCE","CERRADO")))))</f>
        <v>BRONCE</v>
      </c>
      <c r="W1114" s="5" t="str" cm="1">
        <f t="array" ref="W1114">_xlfn.XLOOKUP(1, (HIST_SCORE!$B:$B=PARAMS_MODELO!$B$4) * (HIST_SCORE!$C:$C=A1114), HIST_SCORE!$E:$E, "No encontrado")</f>
        <v>BRONCE</v>
      </c>
      <c r="X1114" s="5" t="str">
        <f>_xlfn.LET(_xlpm.act,MATCH(V1114,{"DIAMANTE";"PLATINO";"ORO";"PLATA";"BRONCE";"CERRADO"},0),_xlpm.ant,MATCH(W1114,{"DIAMANTE";"PLATINO";"ORO";"PLATA";"BRONCE";"CERRADO"},0),IF(_xlpm.act&lt;_xlpm.ant,"Mejora ↑",IF(_xlpm.act&gt;_xlpm.ant,"Baja ↓","Estable →")))</f>
        <v>Estable →</v>
      </c>
      <c r="Y1114" s="5">
        <f>IFERROR(U1114-SUMIFS(HIST_SCORE!$D:$D,HIST_SCORE!$B:$B,PARAMS_MODELO!$B$4,HIST_SCORE!$C:$C,$A1114),"")</f>
        <v>0</v>
      </c>
      <c r="Z1114" s="5" t="str">
        <f t="shared" si="413"/>
        <v>→ Estable</v>
      </c>
      <c r="AA1114" s="5">
        <f t="shared" si="414"/>
        <v>1132</v>
      </c>
      <c r="AB1114" s="5">
        <f>IFERROR(SUMIFS(HIST_SCORE!$F:$F,HIST_SCORE!$B:$B,PARAMS_MODELO!$B$4,HIST_SCORE!$C:$C,$A1114),"")</f>
        <v>1130</v>
      </c>
      <c r="AC1114" s="5">
        <f t="shared" si="415"/>
        <v>-2</v>
      </c>
      <c r="AD1114" t="str">
        <f t="shared" si="417"/>
        <v/>
      </c>
      <c r="AE11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1114="CERRADO",1,IF(V1114="BRONCE",_xlpm.cPl,IF(V1114="PLATA",_xlpm.cO,IF(V1114="ORO",_xlpm.cP,IF(V1114="PLATINO",_xlpm.cD,999))))))</f>
        <v>24.506573482968111</v>
      </c>
      <c r="AF111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1114="CERRADO",0,IF(V1114="BRONCE",1,IF(V1114="PLATA",_xlpm.cPl,IF(V1114="ORO",_xlpm.cO,IF(V1114="PLATINO",_xlpm.cP,_xlpm.cD))))))</f>
        <v>1</v>
      </c>
      <c r="AG1114">
        <f t="shared" si="418"/>
        <v>12.406573482968112</v>
      </c>
      <c r="AH1114" t="str">
        <f t="shared" si="419"/>
        <v>VENTAS</v>
      </c>
      <c r="AI1114" t="str">
        <f t="shared" si="416"/>
        <v>🎯 Para subir de categoría, eje VENTAS / CRECIMIENTO PERSONAL (F). Acción: metas semanales + activación comercial + seguimiento del asesor. ΔR aprox: 12,4</v>
      </c>
      <c r="AJ1114" s="26">
        <f>_xlfn.LET(_xlpm.piso,AF1114,_xlpm.corte,AE1114,_xlpm.prog,IF(_xlpm.corte&lt;=_xlpm.piso,0,MAX(0,MIN(1,(U1114-_xlpm.piso)/(_xlpm.corte-_xlpm.piso)))),_xlpm.orden,{"DIAMANTE";"PLATINO";"ORO";"PLATA";"BRONCE";"CERRADO"},_xlpm.act,IFERROR(MATCH(V1114,_xlpm.orden,0),6),_xlpm.ant,IFERROR(MATCH(W1114,_xlpm.orden,0),6),_xlpm.ajmov,IF(_xlpm.act&lt;_xlpm.ant,0.08,IF(_xlpm.act&gt;_xlpm.ant,-0.08,0)),_xlpm.ajcli,IF(T1114&lt;0.95,-0.06,0),_xlpm.prob,MAX(0,MIN(1,_xlpm.prog+_xlpm.ajmov+_xlpm.ajcli)),IF(OR(V1114="DIAMANTE",V1114="CERRADO"),0,ROUND(_xlpm.prob,2)))</f>
        <v>0.47</v>
      </c>
      <c r="AK1114" t="str">
        <f t="shared" si="420"/>
        <v>Faltan 12,4 puntos base para subir a la siguiente categoría</v>
      </c>
      <c r="AL1114" t="str">
        <f t="shared" si="421"/>
        <v>No aplica</v>
      </c>
      <c r="AM1114">
        <f t="shared" si="422"/>
        <v>0.61</v>
      </c>
      <c r="AN1114" t="str">
        <f t="shared" si="423"/>
        <v>PRIORIDAD MEDIA – seguimiento del asesor</v>
      </c>
      <c r="AO1114">
        <f t="shared" si="424"/>
        <v>64.862569275295584</v>
      </c>
      <c r="AP1114">
        <f t="shared" si="425"/>
        <v>15</v>
      </c>
      <c r="AQ1114">
        <f t="shared" si="426"/>
        <v>0</v>
      </c>
      <c r="AR1114">
        <f t="shared" si="427"/>
        <v>7.9</v>
      </c>
      <c r="AS1114">
        <f t="shared" si="428"/>
        <v>0</v>
      </c>
      <c r="AT1114" t="str">
        <f t="shared" si="429"/>
        <v>VENTAS</v>
      </c>
      <c r="AU1114">
        <f t="shared" si="430"/>
        <v>64.862569275295584</v>
      </c>
      <c r="AV1114" t="str">
        <f t="shared" si="431"/>
        <v>Mayor retorno probable: VENTAS (+64,9 puntos finales potenciales).</v>
      </c>
    </row>
    <row r="1115" spans="1:48" x14ac:dyDescent="0.3">
      <c r="A1115" s="5">
        <v>51031423</v>
      </c>
      <c r="B1115" s="5" t="str">
        <f>IFERROR(VLOOKUP(A1115,VENTAS!$A$2:$B$1194,2,0),"")</f>
        <v/>
      </c>
      <c r="C1115" s="5">
        <f>IFERROR(INDEX(VENTAS!$C$2:$E$1194,MATCH(A1115,VENTAS!$A$2:$A$1194,0),MATCH(PARAMS_MODELO!$B$2,{"Q1","Q2","Q3"},0)),0)</f>
        <v>0</v>
      </c>
      <c r="D1115" s="5">
        <f>IFERROR(INDEX(VENTAS!$F$2:$H$1194,MATCH(A1115,VENTAS!$A$2:$A$1194,0),MATCH(PARAMS_MODELO!$B$2,{"Q1","Q2","Q3"},0)),0)</f>
        <v>0</v>
      </c>
      <c r="E1115" s="8">
        <f t="shared" si="408"/>
        <v>0</v>
      </c>
      <c r="F1115" s="12">
        <f>IF(E1115&lt;=PARAMS_MODELO!$B$15,0,IF(E1115&gt;=PARAMS_MODELO!$B$17,100,100*MIN(1,(E1115-PARAMS_MODELO!$B$15)/(PARAMS_MODELO!$B$16-PARAMS_MODELO!$B$15))))*PARAMS_MODELO!$B$7</f>
        <v>0</v>
      </c>
      <c r="G1115" s="5">
        <f t="shared" si="409"/>
        <v>0</v>
      </c>
      <c r="H1115" s="5">
        <f>(PARAMS_MODELO!$B$20*(MAX(0,MIN(3,E1115))/3)+PARAMS_MODELO!$B$21*(IFERROR(LN(1+MAX(0,G1115))/LN(1+MAX(0,MAX($G$2:$G$1194))),0)))*100*PARAMS_MODELO!$B$8</f>
        <v>0</v>
      </c>
      <c r="I1115" s="8">
        <f>E1115-PARAMS_MODELO!$B$5</f>
        <v>-0.17756283537552653</v>
      </c>
      <c r="J1115" s="5">
        <f>IF(I1115&lt;=PARAMS_MODELO!$B$18,0,IF(I1115&gt;=PARAMS_MODELO!$B$19,100,100*(I1115-PARAMS_MODELO!$B$18)/(PARAMS_MODELO!$B$19-PARAMS_MODELO!$B$18)))*PARAMS_MODELO!$B$9</f>
        <v>0</v>
      </c>
      <c r="K1115" s="5">
        <f>IFERROR(CHOOSE(MATCH(PARAMS_MODELO!$B$2,{"Q1","Q2","Q3"},0),LOTO!$D1115,LOTO!$F1115,LOTO!$H1115),0)</f>
        <v>0</v>
      </c>
      <c r="L1115" s="8">
        <f t="shared" si="410"/>
        <v>0</v>
      </c>
      <c r="M1115" s="5">
        <f>MIN(100,IF(PARAMS_MODELO!$B$23=0,0,100*L1115/PARAMS_MODELO!$B$23))*PARAMS_MODELO!$B$10</f>
        <v>0</v>
      </c>
      <c r="N1115" s="5">
        <f>IFERROR(VLOOKUP(A1115,COMPLIANCE!$A$2:$F$1996,6,0),100)</f>
        <v>100</v>
      </c>
      <c r="O1115" s="5">
        <f>N1115*PARAMS_MODELO!$B$11</f>
        <v>10</v>
      </c>
      <c r="P1115" s="5">
        <f>IFERROR(VLOOKUP(A1115,DIGITAL!$A$2:$J$2000,7,0),100)</f>
        <v>20</v>
      </c>
      <c r="Q1115" s="5">
        <f>IFERROR(P1115,0)*PARAMS_MODELO!$B$12</f>
        <v>2</v>
      </c>
      <c r="R1115">
        <f t="shared" si="411"/>
        <v>12</v>
      </c>
      <c r="S1115" s="5" t="str">
        <f>IFERROR(VLOOKUP(A1115,CLIENTE!$A$2:$N$2000,13,0),1)</f>
        <v>Malo</v>
      </c>
      <c r="T1115" s="5">
        <f>IFERROR(VLOOKUP(A1115,CLIENTE!$A$2:$N$2000,14,0),1)</f>
        <v>0.7</v>
      </c>
      <c r="U1115" s="5">
        <f t="shared" si="412"/>
        <v>8.3999999999999986</v>
      </c>
      <c r="V1115" s="5" t="str">
        <f>IF(U1115&gt;=MAX(_xlfn.PERCENTILE.INC($U$2:$U$1194,PARAMS_MODELO!$B$50),PARAMS_MODELO!$B$45),"DIAMANTE",IF(U1115&gt;=MAX(_xlfn.PERCENTILE.INC($U$2:$U$1194,PARAMS_MODELO!$B$51),PARAMS_MODELO!$B$46),"PLATINO",IF(U1115&gt;=MAX(_xlfn.PERCENTILE.INC($U$2:$U$1194,PARAMS_MODELO!$B$52),PARAMS_MODELO!$B$47),"ORO",IF(U1115&gt;=MAX(_xlfn.PERCENTILE.INC($U$2:$U$1194,PARAMS_MODELO!$B$53),PARAMS_MODELO!$B$48),"PLATA",IF(U1115&gt;=1,"BRONCE","CERRADO")))))</f>
        <v>BRONCE</v>
      </c>
      <c r="W1115" s="5" t="str" cm="1">
        <f t="array" ref="W1115">_xlfn.XLOOKUP(1, (HIST_SCORE!$B:$B=PARAMS_MODELO!$B$4) * (HIST_SCORE!$C:$C=A1115), HIST_SCORE!$E:$E, "No encontrado")</f>
        <v>BRONCE</v>
      </c>
      <c r="X1115" s="5" t="str">
        <f>_xlfn.LET(_xlpm.act,MATCH(V1115,{"DIAMANTE";"PLATINO";"ORO";"PLATA";"BRONCE";"CERRADO"},0),_xlpm.ant,MATCH(W1115,{"DIAMANTE";"PLATINO";"ORO";"PLATA";"BRONCE";"CERRADO"},0),IF(_xlpm.act&lt;_xlpm.ant,"Mejora ↑",IF(_xlpm.act&gt;_xlpm.ant,"Baja ↓","Estable →")))</f>
        <v>Estable →</v>
      </c>
      <c r="Y1115" s="5">
        <f>IFERROR(U1115-SUMIFS(HIST_SCORE!$D:$D,HIST_SCORE!$B:$B,PARAMS_MODELO!$B$4,HIST_SCORE!$C:$C,$A1115),"")</f>
        <v>0</v>
      </c>
      <c r="Z1115" s="5" t="str">
        <f t="shared" si="413"/>
        <v>→ Estable</v>
      </c>
      <c r="AA1115" s="5">
        <f t="shared" si="414"/>
        <v>1180</v>
      </c>
      <c r="AB1115" s="5">
        <f>IFERROR(SUMIFS(HIST_SCORE!$F:$F,HIST_SCORE!$B:$B,PARAMS_MODELO!$B$4,HIST_SCORE!$C:$C,$A1115),"")</f>
        <v>1180</v>
      </c>
      <c r="AC1115" s="5">
        <f t="shared" si="415"/>
        <v>0</v>
      </c>
      <c r="AD1115" t="str">
        <f t="shared" si="417"/>
        <v/>
      </c>
      <c r="AE11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1115="CERRADO",1,IF(V1115="BRONCE",_xlpm.cPl,IF(V1115="PLATA",_xlpm.cO,IF(V1115="ORO",_xlpm.cP,IF(V1115="PLATINO",_xlpm.cD,999))))))</f>
        <v>24.506573482968111</v>
      </c>
      <c r="AF111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1115="CERRADO",0,IF(V1115="BRONCE",1,IF(V1115="PLATA",_xlpm.cPl,IF(V1115="ORO",_xlpm.cO,IF(V1115="PLATINO",_xlpm.cP,_xlpm.cD))))))</f>
        <v>1</v>
      </c>
      <c r="AG1115">
        <f t="shared" si="418"/>
        <v>23.009390689954444</v>
      </c>
      <c r="AH1115" t="str">
        <f t="shared" si="419"/>
        <v>VENTAS</v>
      </c>
      <c r="AI1115" t="str">
        <f t="shared" si="416"/>
        <v>🎯 Para subir de categoría, eje VENTAS / CRECIMIENTO PERSONAL (F). Acción: metas semanales + activación comercial + seguimiento del asesor. ΔR aprox: 23,0</v>
      </c>
      <c r="AJ1115" s="26">
        <f>_xlfn.LET(_xlpm.piso,AF1115,_xlpm.corte,AE1115,_xlpm.prog,IF(_xlpm.corte&lt;=_xlpm.piso,0,MAX(0,MIN(1,(U1115-_xlpm.piso)/(_xlpm.corte-_xlpm.piso)))),_xlpm.orden,{"DIAMANTE";"PLATINO";"ORO";"PLATA";"BRONCE";"CERRADO"},_xlpm.act,IFERROR(MATCH(V1115,_xlpm.orden,0),6),_xlpm.ant,IFERROR(MATCH(W1115,_xlpm.orden,0),6),_xlpm.ajmov,IF(_xlpm.act&lt;_xlpm.ant,0.08,IF(_xlpm.act&gt;_xlpm.ant,-0.08,0)),_xlpm.ajcli,IF(T1115&lt;0.95,-0.06,0),_xlpm.prob,MAX(0,MIN(1,_xlpm.prog+_xlpm.ajmov+_xlpm.ajcli)),IF(OR(V1115="DIAMANTE",V1115="CERRADO"),0,ROUND(_xlpm.prob,2)))</f>
        <v>0.25</v>
      </c>
      <c r="AK1115" t="str">
        <f t="shared" si="420"/>
        <v>Faltan 23,0 puntos base para subir a la siguiente categoría</v>
      </c>
      <c r="AL1115" t="str">
        <f t="shared" si="421"/>
        <v>No aplica</v>
      </c>
      <c r="AM1115">
        <f t="shared" si="422"/>
        <v>0.9</v>
      </c>
      <c r="AN1115" t="str">
        <f t="shared" si="423"/>
        <v>PRIORIDAD ALTA – requiere intervención inmediata</v>
      </c>
      <c r="AO1115">
        <f t="shared" si="424"/>
        <v>45.403798492706905</v>
      </c>
      <c r="AP1115">
        <f t="shared" si="425"/>
        <v>10.5</v>
      </c>
      <c r="AQ1115">
        <f t="shared" si="426"/>
        <v>0</v>
      </c>
      <c r="AR1115">
        <f t="shared" si="427"/>
        <v>5.6</v>
      </c>
      <c r="AS1115">
        <f t="shared" si="428"/>
        <v>3.6000000000000005</v>
      </c>
      <c r="AT1115" t="str">
        <f t="shared" si="429"/>
        <v>VENTAS</v>
      </c>
      <c r="AU1115">
        <f t="shared" si="430"/>
        <v>45.403798492706905</v>
      </c>
      <c r="AV1115" t="str">
        <f t="shared" si="431"/>
        <v>Mayor retorno probable: VENTAS (+45,4 puntos finales potenciales).</v>
      </c>
    </row>
    <row r="1116" spans="1:48" x14ac:dyDescent="0.3">
      <c r="A1116" s="5">
        <v>51031555</v>
      </c>
      <c r="B1116" s="5" t="str">
        <f>IFERROR(VLOOKUP(A1116,VENTAS!$A$2:$B$1194,2,0),"")</f>
        <v/>
      </c>
      <c r="C1116" s="5">
        <f>IFERROR(INDEX(VENTAS!$C$2:$E$1194,MATCH(A1116,VENTAS!$A$2:$A$1194,0),MATCH(PARAMS_MODELO!$B$2,{"Q1","Q2","Q3"},0)),0)</f>
        <v>0</v>
      </c>
      <c r="D1116" s="5">
        <f>IFERROR(INDEX(VENTAS!$F$2:$H$1194,MATCH(A1116,VENTAS!$A$2:$A$1194,0),MATCH(PARAMS_MODELO!$B$2,{"Q1","Q2","Q3"},0)),0)</f>
        <v>0</v>
      </c>
      <c r="E1116" s="8">
        <f t="shared" si="408"/>
        <v>0</v>
      </c>
      <c r="F1116" s="12">
        <f>IF(E1116&lt;=PARAMS_MODELO!$B$15,0,IF(E1116&gt;=PARAMS_MODELO!$B$17,100,100*MIN(1,(E1116-PARAMS_MODELO!$B$15)/(PARAMS_MODELO!$B$16-PARAMS_MODELO!$B$15))))*PARAMS_MODELO!$B$7</f>
        <v>0</v>
      </c>
      <c r="G1116" s="5">
        <f t="shared" si="409"/>
        <v>0</v>
      </c>
      <c r="H1116" s="5">
        <f>(PARAMS_MODELO!$B$20*(MAX(0,MIN(3,E1116))/3)+PARAMS_MODELO!$B$21*(IFERROR(LN(1+MAX(0,G1116))/LN(1+MAX(0,MAX($G$2:$G$1194))),0)))*100*PARAMS_MODELO!$B$8</f>
        <v>0</v>
      </c>
      <c r="I1116" s="8">
        <f>E1116-PARAMS_MODELO!$B$5</f>
        <v>-0.17756283537552653</v>
      </c>
      <c r="J1116" s="5">
        <f>IF(I1116&lt;=PARAMS_MODELO!$B$18,0,IF(I1116&gt;=PARAMS_MODELO!$B$19,100,100*(I1116-PARAMS_MODELO!$B$18)/(PARAMS_MODELO!$B$19-PARAMS_MODELO!$B$18)))*PARAMS_MODELO!$B$9</f>
        <v>0</v>
      </c>
      <c r="K1116" s="5">
        <f>IFERROR(CHOOSE(MATCH(PARAMS_MODELO!$B$2,{"Q1","Q2","Q3"},0),LOTO!$D1116,LOTO!$F1116,LOTO!$H1116),0)</f>
        <v>0</v>
      </c>
      <c r="L1116" s="8">
        <f t="shared" si="410"/>
        <v>0</v>
      </c>
      <c r="M1116" s="5">
        <f>MIN(100,IF(PARAMS_MODELO!$B$23=0,0,100*L1116/PARAMS_MODELO!$B$23))*PARAMS_MODELO!$B$10</f>
        <v>0</v>
      </c>
      <c r="N1116" s="5">
        <f>IFERROR(VLOOKUP(A1116,COMPLIANCE!$A$2:$F$1996,6,0),100)</f>
        <v>100</v>
      </c>
      <c r="O1116" s="5">
        <f>N1116*PARAMS_MODELO!$B$11</f>
        <v>10</v>
      </c>
      <c r="P1116" s="5">
        <f>IFERROR(VLOOKUP(A1116,DIGITAL!$A$2:$J$2000,7,0),100)</f>
        <v>33</v>
      </c>
      <c r="Q1116" s="5">
        <f>IFERROR(P1116,0)*PARAMS_MODELO!$B$12</f>
        <v>3.3000000000000003</v>
      </c>
      <c r="R1116">
        <f t="shared" si="411"/>
        <v>13.3</v>
      </c>
      <c r="S1116" s="5" t="str">
        <f>IFERROR(VLOOKUP(A1116,CLIENTE!$A$2:$N$2000,13,0),1)</f>
        <v>Regular</v>
      </c>
      <c r="T1116" s="5">
        <f>IFERROR(VLOOKUP(A1116,CLIENTE!$A$2:$N$2000,14,0),1)</f>
        <v>1</v>
      </c>
      <c r="U1116" s="5">
        <f t="shared" si="412"/>
        <v>13.3</v>
      </c>
      <c r="V1116" s="5" t="str">
        <f>IF(U1116&gt;=MAX(_xlfn.PERCENTILE.INC($U$2:$U$1194,PARAMS_MODELO!$B$50),PARAMS_MODELO!$B$45),"DIAMANTE",IF(U1116&gt;=MAX(_xlfn.PERCENTILE.INC($U$2:$U$1194,PARAMS_MODELO!$B$51),PARAMS_MODELO!$B$46),"PLATINO",IF(U1116&gt;=MAX(_xlfn.PERCENTILE.INC($U$2:$U$1194,PARAMS_MODELO!$B$52),PARAMS_MODELO!$B$47),"ORO",IF(U1116&gt;=MAX(_xlfn.PERCENTILE.INC($U$2:$U$1194,PARAMS_MODELO!$B$53),PARAMS_MODELO!$B$48),"PLATA",IF(U1116&gt;=1,"BRONCE","CERRADO")))))</f>
        <v>BRONCE</v>
      </c>
      <c r="W1116" s="5" t="str" cm="1">
        <f t="array" ref="W1116">_xlfn.XLOOKUP(1, (HIST_SCORE!$B:$B=PARAMS_MODELO!$B$4) * (HIST_SCORE!$C:$C=A1116), HIST_SCORE!$E:$E, "No encontrado")</f>
        <v>BRONCE</v>
      </c>
      <c r="X1116" s="5" t="str">
        <f>_xlfn.LET(_xlpm.act,MATCH(V1116,{"DIAMANTE";"PLATINO";"ORO";"PLATA";"BRONCE";"CERRADO"},0),_xlpm.ant,MATCH(W1116,{"DIAMANTE";"PLATINO";"ORO";"PLATA";"BRONCE";"CERRADO"},0),IF(_xlpm.act&lt;_xlpm.ant,"Mejora ↑",IF(_xlpm.act&gt;_xlpm.ant,"Baja ↓","Estable →")))</f>
        <v>Estable →</v>
      </c>
      <c r="Y1116" s="5">
        <f>IFERROR(U1116-SUMIFS(HIST_SCORE!$D:$D,HIST_SCORE!$B:$B,PARAMS_MODELO!$B$4,HIST_SCORE!$C:$C,$A1116),"")</f>
        <v>0</v>
      </c>
      <c r="Z1116" s="5" t="str">
        <f t="shared" si="413"/>
        <v>→ Estable</v>
      </c>
      <c r="AA1116" s="5">
        <f t="shared" si="414"/>
        <v>1103</v>
      </c>
      <c r="AB1116" s="5">
        <f>IFERROR(SUMIFS(HIST_SCORE!$F:$F,HIST_SCORE!$B:$B,PARAMS_MODELO!$B$4,HIST_SCORE!$C:$C,$A1116),"")</f>
        <v>1101</v>
      </c>
      <c r="AC1116" s="5">
        <f t="shared" si="415"/>
        <v>-2</v>
      </c>
      <c r="AD1116" t="str">
        <f t="shared" si="417"/>
        <v/>
      </c>
      <c r="AE11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1116="CERRADO",1,IF(V1116="BRONCE",_xlpm.cPl,IF(V1116="PLATA",_xlpm.cO,IF(V1116="ORO",_xlpm.cP,IF(V1116="PLATINO",_xlpm.cD,999))))))</f>
        <v>24.506573482968111</v>
      </c>
      <c r="AF111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1116="CERRADO",0,IF(V1116="BRONCE",1,IF(V1116="PLATA",_xlpm.cPl,IF(V1116="ORO",_xlpm.cO,IF(V1116="PLATINO",_xlpm.cP,_xlpm.cD))))))</f>
        <v>1</v>
      </c>
      <c r="AG1116">
        <f t="shared" si="418"/>
        <v>11.206573482968111</v>
      </c>
      <c r="AH1116" t="str">
        <f t="shared" si="419"/>
        <v>VENTAS</v>
      </c>
      <c r="AI1116" t="str">
        <f t="shared" si="416"/>
        <v>🎯 Para subir de categoría, eje VENTAS / CRECIMIENTO PERSONAL (F). Acción: metas semanales + activación comercial + seguimiento del asesor. ΔR aprox: 11,2</v>
      </c>
      <c r="AJ1116" s="26">
        <f>_xlfn.LET(_xlpm.piso,AF1116,_xlpm.corte,AE1116,_xlpm.prog,IF(_xlpm.corte&lt;=_xlpm.piso,0,MAX(0,MIN(1,(U1116-_xlpm.piso)/(_xlpm.corte-_xlpm.piso)))),_xlpm.orden,{"DIAMANTE";"PLATINO";"ORO";"PLATA";"BRONCE";"CERRADO"},_xlpm.act,IFERROR(MATCH(V1116,_xlpm.orden,0),6),_xlpm.ant,IFERROR(MATCH(W1116,_xlpm.orden,0),6),_xlpm.ajmov,IF(_xlpm.act&lt;_xlpm.ant,0.08,IF(_xlpm.act&gt;_xlpm.ant,-0.08,0)),_xlpm.ajcli,IF(T1116&lt;0.95,-0.06,0),_xlpm.prob,MAX(0,MIN(1,_xlpm.prog+_xlpm.ajmov+_xlpm.ajcli)),IF(OR(V1116="DIAMANTE",V1116="CERRADO"),0,ROUND(_xlpm.prob,2)))</f>
        <v>0.52</v>
      </c>
      <c r="AK1116" t="str">
        <f t="shared" si="420"/>
        <v>Faltan 11,2 puntos base para subir a la siguiente categoría</v>
      </c>
      <c r="AL1116" t="str">
        <f t="shared" si="421"/>
        <v>No aplica</v>
      </c>
      <c r="AM1116">
        <f t="shared" si="422"/>
        <v>0.59</v>
      </c>
      <c r="AN1116" t="str">
        <f t="shared" si="423"/>
        <v>PRIORIDAD MEDIA – seguimiento del asesor</v>
      </c>
      <c r="AO1116">
        <f t="shared" si="424"/>
        <v>64.862569275295584</v>
      </c>
      <c r="AP1116">
        <f t="shared" si="425"/>
        <v>15</v>
      </c>
      <c r="AQ1116">
        <f t="shared" si="426"/>
        <v>0</v>
      </c>
      <c r="AR1116">
        <f t="shared" si="427"/>
        <v>6.6999999999999993</v>
      </c>
      <c r="AS1116">
        <f t="shared" si="428"/>
        <v>0</v>
      </c>
      <c r="AT1116" t="str">
        <f t="shared" si="429"/>
        <v>VENTAS</v>
      </c>
      <c r="AU1116">
        <f t="shared" si="430"/>
        <v>64.862569275295584</v>
      </c>
      <c r="AV1116" t="str">
        <f t="shared" si="431"/>
        <v>Mayor retorno probable: VENTAS (+64,9 puntos finales potenciales).</v>
      </c>
    </row>
    <row r="1117" spans="1:48" x14ac:dyDescent="0.3">
      <c r="A1117" s="5">
        <v>51032021</v>
      </c>
      <c r="B1117" s="5" t="str">
        <f>IFERROR(VLOOKUP(A1117,VENTAS!$A$2:$B$1194,2,0),"")</f>
        <v/>
      </c>
      <c r="C1117" s="5">
        <f>IFERROR(INDEX(VENTAS!$C$2:$E$1194,MATCH(A1117,VENTAS!$A$2:$A$1194,0),MATCH(PARAMS_MODELO!$B$2,{"Q1","Q2","Q3"},0)),0)</f>
        <v>0</v>
      </c>
      <c r="D1117" s="5">
        <f>IFERROR(INDEX(VENTAS!$F$2:$H$1194,MATCH(A1117,VENTAS!$A$2:$A$1194,0),MATCH(PARAMS_MODELO!$B$2,{"Q1","Q2","Q3"},0)),0)</f>
        <v>0</v>
      </c>
      <c r="E1117" s="8">
        <f t="shared" si="408"/>
        <v>0</v>
      </c>
      <c r="F1117" s="12">
        <f>IF(E1117&lt;=PARAMS_MODELO!$B$15,0,IF(E1117&gt;=PARAMS_MODELO!$B$17,100,100*MIN(1,(E1117-PARAMS_MODELO!$B$15)/(PARAMS_MODELO!$B$16-PARAMS_MODELO!$B$15))))*PARAMS_MODELO!$B$7</f>
        <v>0</v>
      </c>
      <c r="G1117" s="5">
        <f t="shared" si="409"/>
        <v>0</v>
      </c>
      <c r="H1117" s="5">
        <f>(PARAMS_MODELO!$B$20*(MAX(0,MIN(3,E1117))/3)+PARAMS_MODELO!$B$21*(IFERROR(LN(1+MAX(0,G1117))/LN(1+MAX(0,MAX($G$2:$G$1194))),0)))*100*PARAMS_MODELO!$B$8</f>
        <v>0</v>
      </c>
      <c r="I1117" s="8">
        <f>E1117-PARAMS_MODELO!$B$5</f>
        <v>-0.17756283537552653</v>
      </c>
      <c r="J1117" s="5">
        <f>IF(I1117&lt;=PARAMS_MODELO!$B$18,0,IF(I1117&gt;=PARAMS_MODELO!$B$19,100,100*(I1117-PARAMS_MODELO!$B$18)/(PARAMS_MODELO!$B$19-PARAMS_MODELO!$B$18)))*PARAMS_MODELO!$B$9</f>
        <v>0</v>
      </c>
      <c r="K1117" s="5">
        <f>IFERROR(CHOOSE(MATCH(PARAMS_MODELO!$B$2,{"Q1","Q2","Q3"},0),LOTO!$D1117,LOTO!$F1117,LOTO!$H1117),0)</f>
        <v>0</v>
      </c>
      <c r="L1117" s="8">
        <f t="shared" si="410"/>
        <v>0</v>
      </c>
      <c r="M1117" s="5">
        <f>MIN(100,IF(PARAMS_MODELO!$B$23=0,0,100*L1117/PARAMS_MODELO!$B$23))*PARAMS_MODELO!$B$10</f>
        <v>0</v>
      </c>
      <c r="N1117" s="5">
        <f>IFERROR(VLOOKUP(A1117,COMPLIANCE!$A$2:$F$1996,6,0),100)</f>
        <v>100</v>
      </c>
      <c r="O1117" s="5">
        <f>N1117*PARAMS_MODELO!$B$11</f>
        <v>10</v>
      </c>
      <c r="P1117" s="5">
        <f>IFERROR(VLOOKUP(A1117,DIGITAL!$A$2:$J$2000,7,0),100)</f>
        <v>31</v>
      </c>
      <c r="Q1117" s="5">
        <f>IFERROR(P1117,0)*PARAMS_MODELO!$B$12</f>
        <v>3.1</v>
      </c>
      <c r="R1117">
        <f t="shared" si="411"/>
        <v>13.1</v>
      </c>
      <c r="S1117" s="5" t="str">
        <f>IFERROR(VLOOKUP(A1117,CLIENTE!$A$2:$N$2000,13,0),1)</f>
        <v>Malo</v>
      </c>
      <c r="T1117" s="5">
        <f>IFERROR(VLOOKUP(A1117,CLIENTE!$A$2:$N$2000,14,0),1)</f>
        <v>0.7</v>
      </c>
      <c r="U1117" s="5">
        <f t="shared" si="412"/>
        <v>9.17</v>
      </c>
      <c r="V1117" s="5" t="str">
        <f>IF(U1117&gt;=MAX(_xlfn.PERCENTILE.INC($U$2:$U$1194,PARAMS_MODELO!$B$50),PARAMS_MODELO!$B$45),"DIAMANTE",IF(U1117&gt;=MAX(_xlfn.PERCENTILE.INC($U$2:$U$1194,PARAMS_MODELO!$B$51),PARAMS_MODELO!$B$46),"PLATINO",IF(U1117&gt;=MAX(_xlfn.PERCENTILE.INC($U$2:$U$1194,PARAMS_MODELO!$B$52),PARAMS_MODELO!$B$47),"ORO",IF(U1117&gt;=MAX(_xlfn.PERCENTILE.INC($U$2:$U$1194,PARAMS_MODELO!$B$53),PARAMS_MODELO!$B$48),"PLATA",IF(U1117&gt;=1,"BRONCE","CERRADO")))))</f>
        <v>BRONCE</v>
      </c>
      <c r="W1117" s="5" t="str" cm="1">
        <f t="array" ref="W1117">_xlfn.XLOOKUP(1, (HIST_SCORE!$B:$B=PARAMS_MODELO!$B$4) * (HIST_SCORE!$C:$C=A1117), HIST_SCORE!$E:$E, "No encontrado")</f>
        <v>BRONCE</v>
      </c>
      <c r="X1117" s="5" t="str">
        <f>_xlfn.LET(_xlpm.act,MATCH(V1117,{"DIAMANTE";"PLATINO";"ORO";"PLATA";"BRONCE";"CERRADO"},0),_xlpm.ant,MATCH(W1117,{"DIAMANTE";"PLATINO";"ORO";"PLATA";"BRONCE";"CERRADO"},0),IF(_xlpm.act&lt;_xlpm.ant,"Mejora ↑",IF(_xlpm.act&gt;_xlpm.ant,"Baja ↓","Estable →")))</f>
        <v>Estable →</v>
      </c>
      <c r="Y1117" s="5">
        <f>IFERROR(U1117-SUMIFS(HIST_SCORE!$D:$D,HIST_SCORE!$B:$B,PARAMS_MODELO!$B$4,HIST_SCORE!$C:$C,$A1117),"")</f>
        <v>0</v>
      </c>
      <c r="Z1117" s="5" t="str">
        <f t="shared" si="413"/>
        <v>→ Estable</v>
      </c>
      <c r="AA1117" s="5">
        <f t="shared" si="414"/>
        <v>1175</v>
      </c>
      <c r="AB1117" s="5">
        <f>IFERROR(SUMIFS(HIST_SCORE!$F:$F,HIST_SCORE!$B:$B,PARAMS_MODELO!$B$4,HIST_SCORE!$C:$C,$A1117),"")</f>
        <v>1175</v>
      </c>
      <c r="AC1117" s="5">
        <f t="shared" si="415"/>
        <v>0</v>
      </c>
      <c r="AD1117" t="str">
        <f t="shared" si="417"/>
        <v/>
      </c>
      <c r="AE11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1117="CERRADO",1,IF(V1117="BRONCE",_xlpm.cPl,IF(V1117="PLATA",_xlpm.cO,IF(V1117="ORO",_xlpm.cP,IF(V1117="PLATINO",_xlpm.cD,999))))))</f>
        <v>24.506573482968111</v>
      </c>
      <c r="AF111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1117="CERRADO",0,IF(V1117="BRONCE",1,IF(V1117="PLATA",_xlpm.cPl,IF(V1117="ORO",_xlpm.cO,IF(V1117="PLATINO",_xlpm.cP,_xlpm.cD))))))</f>
        <v>1</v>
      </c>
      <c r="AG1117">
        <f t="shared" si="418"/>
        <v>21.909390689954442</v>
      </c>
      <c r="AH1117" t="str">
        <f t="shared" si="419"/>
        <v>VENTAS</v>
      </c>
      <c r="AI1117" t="str">
        <f t="shared" si="416"/>
        <v>🎯 Para subir de categoría, eje VENTAS / CRECIMIENTO PERSONAL (F). Acción: metas semanales + activación comercial + seguimiento del asesor. ΔR aprox: 21,9</v>
      </c>
      <c r="AJ1117" s="26">
        <f>_xlfn.LET(_xlpm.piso,AF1117,_xlpm.corte,AE1117,_xlpm.prog,IF(_xlpm.corte&lt;=_xlpm.piso,0,MAX(0,MIN(1,(U1117-_xlpm.piso)/(_xlpm.corte-_xlpm.piso)))),_xlpm.orden,{"DIAMANTE";"PLATINO";"ORO";"PLATA";"BRONCE";"CERRADO"},_xlpm.act,IFERROR(MATCH(V1117,_xlpm.orden,0),6),_xlpm.ant,IFERROR(MATCH(W1117,_xlpm.orden,0),6),_xlpm.ajmov,IF(_xlpm.act&lt;_xlpm.ant,0.08,IF(_xlpm.act&gt;_xlpm.ant,-0.08,0)),_xlpm.ajcli,IF(T1117&lt;0.95,-0.06,0),_xlpm.prob,MAX(0,MIN(1,_xlpm.prog+_xlpm.ajmov+_xlpm.ajcli)),IF(OR(V1117="DIAMANTE",V1117="CERRADO"),0,ROUND(_xlpm.prob,2)))</f>
        <v>0.28999999999999998</v>
      </c>
      <c r="AK1117" t="str">
        <f t="shared" si="420"/>
        <v>Faltan 21,9 puntos base para subir a la siguiente categoría</v>
      </c>
      <c r="AL1117" t="str">
        <f t="shared" si="421"/>
        <v>No aplica</v>
      </c>
      <c r="AM1117">
        <f t="shared" si="422"/>
        <v>0.88</v>
      </c>
      <c r="AN1117" t="str">
        <f t="shared" si="423"/>
        <v>PRIORIDAD ALTA – requiere intervención inmediata</v>
      </c>
      <c r="AO1117">
        <f t="shared" si="424"/>
        <v>45.403798492706905</v>
      </c>
      <c r="AP1117">
        <f t="shared" si="425"/>
        <v>10.5</v>
      </c>
      <c r="AQ1117">
        <f t="shared" si="426"/>
        <v>0</v>
      </c>
      <c r="AR1117">
        <f t="shared" si="427"/>
        <v>4.83</v>
      </c>
      <c r="AS1117">
        <f t="shared" si="428"/>
        <v>3.9300000000000006</v>
      </c>
      <c r="AT1117" t="str">
        <f t="shared" si="429"/>
        <v>VENTAS</v>
      </c>
      <c r="AU1117">
        <f t="shared" si="430"/>
        <v>45.403798492706905</v>
      </c>
      <c r="AV1117" t="str">
        <f t="shared" si="431"/>
        <v>Mayor retorno probable: VENTAS (+45,4 puntos finales potenciales).</v>
      </c>
    </row>
    <row r="1118" spans="1:48" x14ac:dyDescent="0.3">
      <c r="A1118" s="5">
        <v>51032055</v>
      </c>
      <c r="B1118" s="5" t="str">
        <f>IFERROR(VLOOKUP(A1118,VENTAS!$A$2:$B$1194,2,0),"")</f>
        <v/>
      </c>
      <c r="C1118" s="5">
        <f>IFERROR(INDEX(VENTAS!$C$2:$E$1194,MATCH(A1118,VENTAS!$A$2:$A$1194,0),MATCH(PARAMS_MODELO!$B$2,{"Q1","Q2","Q3"},0)),0)</f>
        <v>0</v>
      </c>
      <c r="D1118" s="5">
        <f>IFERROR(INDEX(VENTAS!$F$2:$H$1194,MATCH(A1118,VENTAS!$A$2:$A$1194,0),MATCH(PARAMS_MODELO!$B$2,{"Q1","Q2","Q3"},0)),0)</f>
        <v>0</v>
      </c>
      <c r="E1118" s="8">
        <f t="shared" si="408"/>
        <v>0</v>
      </c>
      <c r="F1118" s="12">
        <f>IF(E1118&lt;=PARAMS_MODELO!$B$15,0,IF(E1118&gt;=PARAMS_MODELO!$B$17,100,100*MIN(1,(E1118-PARAMS_MODELO!$B$15)/(PARAMS_MODELO!$B$16-PARAMS_MODELO!$B$15))))*PARAMS_MODELO!$B$7</f>
        <v>0</v>
      </c>
      <c r="G1118" s="5">
        <f t="shared" si="409"/>
        <v>0</v>
      </c>
      <c r="H1118" s="5">
        <f>(PARAMS_MODELO!$B$20*(MAX(0,MIN(3,E1118))/3)+PARAMS_MODELO!$B$21*(IFERROR(LN(1+MAX(0,G1118))/LN(1+MAX(0,MAX($G$2:$G$1194))),0)))*100*PARAMS_MODELO!$B$8</f>
        <v>0</v>
      </c>
      <c r="I1118" s="8">
        <f>E1118-PARAMS_MODELO!$B$5</f>
        <v>-0.17756283537552653</v>
      </c>
      <c r="J1118" s="5">
        <f>IF(I1118&lt;=PARAMS_MODELO!$B$18,0,IF(I1118&gt;=PARAMS_MODELO!$B$19,100,100*(I1118-PARAMS_MODELO!$B$18)/(PARAMS_MODELO!$B$19-PARAMS_MODELO!$B$18)))*PARAMS_MODELO!$B$9</f>
        <v>0</v>
      </c>
      <c r="K1118" s="5">
        <f>IFERROR(CHOOSE(MATCH(PARAMS_MODELO!$B$2,{"Q1","Q2","Q3"},0),LOTO!$D1118,LOTO!$F1118,LOTO!$H1118),0)</f>
        <v>0</v>
      </c>
      <c r="L1118" s="8">
        <f t="shared" si="410"/>
        <v>0</v>
      </c>
      <c r="M1118" s="5">
        <f>MIN(100,IF(PARAMS_MODELO!$B$23=0,0,100*L1118/PARAMS_MODELO!$B$23))*PARAMS_MODELO!$B$10</f>
        <v>0</v>
      </c>
      <c r="N1118" s="5">
        <f>IFERROR(VLOOKUP(A1118,COMPLIANCE!$A$2:$F$1996,6,0),100)</f>
        <v>100</v>
      </c>
      <c r="O1118" s="5">
        <f>N1118*PARAMS_MODELO!$B$11</f>
        <v>10</v>
      </c>
      <c r="P1118" s="5">
        <f>IFERROR(VLOOKUP(A1118,DIGITAL!$A$2:$J$2000,7,0),100)</f>
        <v>55</v>
      </c>
      <c r="Q1118" s="5">
        <f>IFERROR(P1118,0)*PARAMS_MODELO!$B$12</f>
        <v>5.5</v>
      </c>
      <c r="R1118">
        <f t="shared" si="411"/>
        <v>15.5</v>
      </c>
      <c r="S1118" s="5" t="str">
        <f>IFERROR(VLOOKUP(A1118,CLIENTE!$A$2:$N$2000,13,0),1)</f>
        <v>Bueno</v>
      </c>
      <c r="T1118" s="5">
        <f>IFERROR(VLOOKUP(A1118,CLIENTE!$A$2:$N$2000,14,0),1)</f>
        <v>1.1000000000000001</v>
      </c>
      <c r="U1118" s="5">
        <f t="shared" si="412"/>
        <v>17.05</v>
      </c>
      <c r="V1118" s="5" t="str">
        <f>IF(U1118&gt;=MAX(_xlfn.PERCENTILE.INC($U$2:$U$1194,PARAMS_MODELO!$B$50),PARAMS_MODELO!$B$45),"DIAMANTE",IF(U1118&gt;=MAX(_xlfn.PERCENTILE.INC($U$2:$U$1194,PARAMS_MODELO!$B$51),PARAMS_MODELO!$B$46),"PLATINO",IF(U1118&gt;=MAX(_xlfn.PERCENTILE.INC($U$2:$U$1194,PARAMS_MODELO!$B$52),PARAMS_MODELO!$B$47),"ORO",IF(U1118&gt;=MAX(_xlfn.PERCENTILE.INC($U$2:$U$1194,PARAMS_MODELO!$B$53),PARAMS_MODELO!$B$48),"PLATA",IF(U1118&gt;=1,"BRONCE","CERRADO")))))</f>
        <v>BRONCE</v>
      </c>
      <c r="W1118" s="5" t="str" cm="1">
        <f t="array" ref="W1118">_xlfn.XLOOKUP(1, (HIST_SCORE!$B:$B=PARAMS_MODELO!$B$4) * (HIST_SCORE!$C:$C=A1118), HIST_SCORE!$E:$E, "No encontrado")</f>
        <v>BRONCE</v>
      </c>
      <c r="X1118" s="5" t="str">
        <f>_xlfn.LET(_xlpm.act,MATCH(V1118,{"DIAMANTE";"PLATINO";"ORO";"PLATA";"BRONCE";"CERRADO"},0),_xlpm.ant,MATCH(W1118,{"DIAMANTE";"PLATINO";"ORO";"PLATA";"BRONCE";"CERRADO"},0),IF(_xlpm.act&lt;_xlpm.ant,"Mejora ↑",IF(_xlpm.act&gt;_xlpm.ant,"Baja ↓","Estable →")))</f>
        <v>Estable →</v>
      </c>
      <c r="Y1118" s="5">
        <f>IFERROR(U1118-SUMIFS(HIST_SCORE!$D:$D,HIST_SCORE!$B:$B,PARAMS_MODELO!$B$4,HIST_SCORE!$C:$C,$A1118),"")</f>
        <v>0</v>
      </c>
      <c r="Z1118" s="5" t="str">
        <f t="shared" si="413"/>
        <v>→ Estable</v>
      </c>
      <c r="AA1118" s="5">
        <f t="shared" si="414"/>
        <v>1050</v>
      </c>
      <c r="AB1118" s="5">
        <f>IFERROR(SUMIFS(HIST_SCORE!$F:$F,HIST_SCORE!$B:$B,PARAMS_MODELO!$B$4,HIST_SCORE!$C:$C,$A1118),"")</f>
        <v>1047</v>
      </c>
      <c r="AC1118" s="5">
        <f t="shared" si="415"/>
        <v>-3</v>
      </c>
      <c r="AD1118" t="str">
        <f t="shared" si="417"/>
        <v/>
      </c>
      <c r="AE11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1118="CERRADO",1,IF(V1118="BRONCE",_xlpm.cPl,IF(V1118="PLATA",_xlpm.cO,IF(V1118="ORO",_xlpm.cP,IF(V1118="PLATINO",_xlpm.cD,999))))))</f>
        <v>24.506573482968111</v>
      </c>
      <c r="AF111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1118="CERRADO",0,IF(V1118="BRONCE",1,IF(V1118="PLATA",_xlpm.cPl,IF(V1118="ORO",_xlpm.cO,IF(V1118="PLATINO",_xlpm.cP,_xlpm.cD))))))</f>
        <v>1</v>
      </c>
      <c r="AG1118">
        <f t="shared" si="418"/>
        <v>6.778703166334644</v>
      </c>
      <c r="AH1118" t="str">
        <f t="shared" si="419"/>
        <v>VENTAS</v>
      </c>
      <c r="AI1118" t="str">
        <f t="shared" si="416"/>
        <v>🎯 Para subir de categoría, eje VENTAS / CRECIMIENTO PERSONAL (F). Acción: metas semanales + activación comercial + seguimiento del asesor. ΔR aprox: 6,8</v>
      </c>
      <c r="AJ1118" s="26">
        <f>_xlfn.LET(_xlpm.piso,AF1118,_xlpm.corte,AE1118,_xlpm.prog,IF(_xlpm.corte&lt;=_xlpm.piso,0,MAX(0,MIN(1,(U1118-_xlpm.piso)/(_xlpm.corte-_xlpm.piso)))),_xlpm.orden,{"DIAMANTE";"PLATINO";"ORO";"PLATA";"BRONCE";"CERRADO"},_xlpm.act,IFERROR(MATCH(V1118,_xlpm.orden,0),6),_xlpm.ant,IFERROR(MATCH(W1118,_xlpm.orden,0),6),_xlpm.ajmov,IF(_xlpm.act&lt;_xlpm.ant,0.08,IF(_xlpm.act&gt;_xlpm.ant,-0.08,0)),_xlpm.ajcli,IF(T1118&lt;0.95,-0.06,0),_xlpm.prob,MAX(0,MIN(1,_xlpm.prog+_xlpm.ajmov+_xlpm.ajcli)),IF(OR(V1118="DIAMANTE",V1118="CERRADO"),0,ROUND(_xlpm.prob,2)))</f>
        <v>0.68</v>
      </c>
      <c r="AK1118" t="str">
        <f t="shared" si="420"/>
        <v>Faltan 6,8 puntos base para subir a la siguiente categoría</v>
      </c>
      <c r="AL1118" t="str">
        <f t="shared" si="421"/>
        <v>No aplica</v>
      </c>
      <c r="AM1118">
        <f t="shared" si="422"/>
        <v>0.4</v>
      </c>
      <c r="AN1118" t="str">
        <f t="shared" si="423"/>
        <v>PRIORIDAD MEDIA – seguimiento del asesor</v>
      </c>
      <c r="AO1118">
        <f t="shared" si="424"/>
        <v>71.348826202825151</v>
      </c>
      <c r="AP1118">
        <f t="shared" si="425"/>
        <v>16.5</v>
      </c>
      <c r="AQ1118">
        <f t="shared" si="426"/>
        <v>0</v>
      </c>
      <c r="AR1118">
        <f t="shared" si="427"/>
        <v>4.95</v>
      </c>
      <c r="AS1118">
        <f t="shared" si="428"/>
        <v>0</v>
      </c>
      <c r="AT1118" t="str">
        <f t="shared" si="429"/>
        <v>VENTAS</v>
      </c>
      <c r="AU1118">
        <f t="shared" si="430"/>
        <v>71.348826202825151</v>
      </c>
      <c r="AV1118" t="str">
        <f t="shared" si="431"/>
        <v>Mayor retorno probable: VENTAS (+71,3 puntos finales potenciales).</v>
      </c>
    </row>
    <row r="1119" spans="1:48" x14ac:dyDescent="0.3">
      <c r="A1119" s="5">
        <v>51032144</v>
      </c>
      <c r="B1119" s="5" t="str">
        <f>IFERROR(VLOOKUP(A1119,VENTAS!$A$2:$B$1194,2,0),"")</f>
        <v/>
      </c>
      <c r="C1119" s="5">
        <f>IFERROR(INDEX(VENTAS!$C$2:$E$1194,MATCH(A1119,VENTAS!$A$2:$A$1194,0),MATCH(PARAMS_MODELO!$B$2,{"Q1","Q2","Q3"},0)),0)</f>
        <v>53880417.359999999</v>
      </c>
      <c r="D1119" s="5">
        <f>IFERROR(INDEX(VENTAS!$F$2:$H$1194,MATCH(A1119,VENTAS!$A$2:$A$1194,0),MATCH(PARAMS_MODELO!$B$2,{"Q1","Q2","Q3"},0)),0)</f>
        <v>0</v>
      </c>
      <c r="E1119" s="8">
        <f t="shared" si="408"/>
        <v>-1</v>
      </c>
      <c r="F1119" s="12">
        <f>IF(E1119&lt;=PARAMS_MODELO!$B$15,0,IF(E1119&gt;=PARAMS_MODELO!$B$17,100,100*MIN(1,(E1119-PARAMS_MODELO!$B$15)/(PARAMS_MODELO!$B$16-PARAMS_MODELO!$B$15))))*PARAMS_MODELO!$B$7</f>
        <v>0</v>
      </c>
      <c r="G1119" s="5">
        <f t="shared" si="409"/>
        <v>0</v>
      </c>
      <c r="H1119" s="5">
        <f>(PARAMS_MODELO!$B$20*(MAX(0,MIN(3,E1119))/3)+PARAMS_MODELO!$B$21*(IFERROR(LN(1+MAX(0,G1119))/LN(1+MAX(0,MAX($G$2:$G$1194))),0)))*100*PARAMS_MODELO!$B$8</f>
        <v>0</v>
      </c>
      <c r="I1119" s="8">
        <f>E1119-PARAMS_MODELO!$B$5</f>
        <v>-1.1775628353755265</v>
      </c>
      <c r="J1119" s="5">
        <f>IF(I1119&lt;=PARAMS_MODELO!$B$18,0,IF(I1119&gt;=PARAMS_MODELO!$B$19,100,100*(I1119-PARAMS_MODELO!$B$18)/(PARAMS_MODELO!$B$19-PARAMS_MODELO!$B$18)))*PARAMS_MODELO!$B$9</f>
        <v>0</v>
      </c>
      <c r="K1119" s="5">
        <f>IFERROR(CHOOSE(MATCH(PARAMS_MODELO!$B$2,{"Q1","Q2","Q3"},0),LOTO!$D1119,LOTO!$F1119,LOTO!$H1119),0)</f>
        <v>0</v>
      </c>
      <c r="L1119" s="8">
        <f t="shared" si="410"/>
        <v>0</v>
      </c>
      <c r="M1119" s="5">
        <f>MIN(100,IF(PARAMS_MODELO!$B$23=0,0,100*L1119/PARAMS_MODELO!$B$23))*PARAMS_MODELO!$B$10</f>
        <v>0</v>
      </c>
      <c r="N1119" s="5">
        <f>IFERROR(VLOOKUP(A1119,COMPLIANCE!$A$2:$F$1996,6,0),100)</f>
        <v>99.85</v>
      </c>
      <c r="O1119" s="5">
        <f>N1119*PARAMS_MODELO!$B$11</f>
        <v>9.9849999999999994</v>
      </c>
      <c r="P1119" s="5">
        <f>IFERROR(VLOOKUP(A1119,DIGITAL!$A$2:$J$2000,7,0),100)</f>
        <v>74</v>
      </c>
      <c r="Q1119" s="5">
        <f>IFERROR(P1119,0)*PARAMS_MODELO!$B$12</f>
        <v>7.4</v>
      </c>
      <c r="R1119">
        <f t="shared" si="411"/>
        <v>17.384999999999998</v>
      </c>
      <c r="S1119" s="5" t="str">
        <f>IFERROR(VLOOKUP(A1119,CLIENTE!$A$2:$N$2000,13,0),1)</f>
        <v>Regular</v>
      </c>
      <c r="T1119" s="5">
        <f>IFERROR(VLOOKUP(A1119,CLIENTE!$A$2:$N$2000,14,0),1)</f>
        <v>1</v>
      </c>
      <c r="U1119" s="5">
        <f t="shared" si="412"/>
        <v>17.384999999999998</v>
      </c>
      <c r="V1119" s="5" t="str">
        <f>IF(U1119&gt;=MAX(_xlfn.PERCENTILE.INC($U$2:$U$1194,PARAMS_MODELO!$B$50),PARAMS_MODELO!$B$45),"DIAMANTE",IF(U1119&gt;=MAX(_xlfn.PERCENTILE.INC($U$2:$U$1194,PARAMS_MODELO!$B$51),PARAMS_MODELO!$B$46),"PLATINO",IF(U1119&gt;=MAX(_xlfn.PERCENTILE.INC($U$2:$U$1194,PARAMS_MODELO!$B$52),PARAMS_MODELO!$B$47),"ORO",IF(U1119&gt;=MAX(_xlfn.PERCENTILE.INC($U$2:$U$1194,PARAMS_MODELO!$B$53),PARAMS_MODELO!$B$48),"PLATA",IF(U1119&gt;=1,"BRONCE","CERRADO")))))</f>
        <v>BRONCE</v>
      </c>
      <c r="W1119" s="5" t="str" cm="1">
        <f t="array" ref="W1119">_xlfn.XLOOKUP(1, (HIST_SCORE!$B:$B=PARAMS_MODELO!$B$4) * (HIST_SCORE!$C:$C=A1119), HIST_SCORE!$E:$E, "No encontrado")</f>
        <v>BRONCE</v>
      </c>
      <c r="X1119" s="5" t="str">
        <f>_xlfn.LET(_xlpm.act,MATCH(V1119,{"DIAMANTE";"PLATINO";"ORO";"PLATA";"BRONCE";"CERRADO"},0),_xlpm.ant,MATCH(W1119,{"DIAMANTE";"PLATINO";"ORO";"PLATA";"BRONCE";"CERRADO"},0),IF(_xlpm.act&lt;_xlpm.ant,"Mejora ↑",IF(_xlpm.act&gt;_xlpm.ant,"Baja ↓","Estable →")))</f>
        <v>Estable →</v>
      </c>
      <c r="Y1119" s="5">
        <f>IFERROR(U1119-SUMIFS(HIST_SCORE!$D:$D,HIST_SCORE!$B:$B,PARAMS_MODELO!$B$4,HIST_SCORE!$C:$C,$A1119),"")</f>
        <v>0</v>
      </c>
      <c r="Z1119" s="5" t="str">
        <f t="shared" si="413"/>
        <v>→ Estable</v>
      </c>
      <c r="AA1119" s="5">
        <f t="shared" si="414"/>
        <v>1043</v>
      </c>
      <c r="AB1119" s="5">
        <f>IFERROR(SUMIFS(HIST_SCORE!$F:$F,HIST_SCORE!$B:$B,PARAMS_MODELO!$B$4,HIST_SCORE!$C:$C,$A1119),"")</f>
        <v>1037</v>
      </c>
      <c r="AC1119" s="5">
        <f t="shared" si="415"/>
        <v>-6</v>
      </c>
      <c r="AD1119" t="str">
        <f t="shared" si="417"/>
        <v/>
      </c>
      <c r="AE11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1119="CERRADO",1,IF(V1119="BRONCE",_xlpm.cPl,IF(V1119="PLATA",_xlpm.cO,IF(V1119="ORO",_xlpm.cP,IF(V1119="PLATINO",_xlpm.cD,999))))))</f>
        <v>24.506573482968111</v>
      </c>
      <c r="AF111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1119="CERRADO",0,IF(V1119="BRONCE",1,IF(V1119="PLATA",_xlpm.cPl,IF(V1119="ORO",_xlpm.cO,IF(V1119="PLATINO",_xlpm.cP,_xlpm.cD))))))</f>
        <v>1</v>
      </c>
      <c r="AG1119">
        <f t="shared" si="418"/>
        <v>7.1215734829681132</v>
      </c>
      <c r="AH1119" t="str">
        <f t="shared" si="419"/>
        <v>VENTAS</v>
      </c>
      <c r="AI1119" t="str">
        <f t="shared" si="416"/>
        <v>🎯 Para subir de categoría, eje VENTAS / CRECIMIENTO PERSONAL (F). Acción: metas semanales + activación comercial + seguimiento del asesor. ΔR aprox: 7,1</v>
      </c>
      <c r="AJ1119" s="26">
        <f>_xlfn.LET(_xlpm.piso,AF1119,_xlpm.corte,AE1119,_xlpm.prog,IF(_xlpm.corte&lt;=_xlpm.piso,0,MAX(0,MIN(1,(U1119-_xlpm.piso)/(_xlpm.corte-_xlpm.piso)))),_xlpm.orden,{"DIAMANTE";"PLATINO";"ORO";"PLATA";"BRONCE";"CERRADO"},_xlpm.act,IFERROR(MATCH(V1119,_xlpm.orden,0),6),_xlpm.ant,IFERROR(MATCH(W1119,_xlpm.orden,0),6),_xlpm.ajmov,IF(_xlpm.act&lt;_xlpm.ant,0.08,IF(_xlpm.act&gt;_xlpm.ant,-0.08,0)),_xlpm.ajcli,IF(T1119&lt;0.95,-0.06,0),_xlpm.prob,MAX(0,MIN(1,_xlpm.prog+_xlpm.ajmov+_xlpm.ajcli)),IF(OR(V1119="DIAMANTE",V1119="CERRADO"),0,ROUND(_xlpm.prob,2)))</f>
        <v>0.7</v>
      </c>
      <c r="AK1119" t="str">
        <f t="shared" si="420"/>
        <v>Faltan 7,1 puntos base para subir a la siguiente categoría</v>
      </c>
      <c r="AL1119" t="str">
        <f t="shared" si="421"/>
        <v>No aplica</v>
      </c>
      <c r="AM1119">
        <f t="shared" si="422"/>
        <v>0.4</v>
      </c>
      <c r="AN1119" t="str">
        <f t="shared" si="423"/>
        <v>PRIORIDAD MEDIA – seguimiento del asesor</v>
      </c>
      <c r="AO1119">
        <f t="shared" si="424"/>
        <v>64.862569275295584</v>
      </c>
      <c r="AP1119">
        <f t="shared" si="425"/>
        <v>15</v>
      </c>
      <c r="AQ1119">
        <f t="shared" si="426"/>
        <v>1.5000000000000568E-2</v>
      </c>
      <c r="AR1119">
        <f t="shared" si="427"/>
        <v>2.5999999999999996</v>
      </c>
      <c r="AS1119">
        <f t="shared" si="428"/>
        <v>0</v>
      </c>
      <c r="AT1119" t="str">
        <f t="shared" si="429"/>
        <v>VENTAS</v>
      </c>
      <c r="AU1119">
        <f t="shared" si="430"/>
        <v>64.862569275295584</v>
      </c>
      <c r="AV1119" t="str">
        <f t="shared" si="431"/>
        <v>Mayor retorno probable: VENTAS (+64,9 puntos finales potenciales).</v>
      </c>
    </row>
    <row r="1120" spans="1:48" x14ac:dyDescent="0.3">
      <c r="A1120" s="5">
        <v>51032209</v>
      </c>
      <c r="B1120" s="5" t="str">
        <f>IFERROR(VLOOKUP(A1120,VENTAS!$A$2:$B$1194,2,0),"")</f>
        <v/>
      </c>
      <c r="C1120" s="5">
        <f>IFERROR(INDEX(VENTAS!$C$2:$E$1194,MATCH(A1120,VENTAS!$A$2:$A$1194,0),MATCH(PARAMS_MODELO!$B$2,{"Q1","Q2","Q3"},0)),0)</f>
        <v>29002559.260000002</v>
      </c>
      <c r="D1120" s="5">
        <f>IFERROR(INDEX(VENTAS!$F$2:$H$1194,MATCH(A1120,VENTAS!$A$2:$A$1194,0),MATCH(PARAMS_MODELO!$B$2,{"Q1","Q2","Q3"},0)),0)</f>
        <v>0</v>
      </c>
      <c r="E1120" s="8">
        <f t="shared" si="408"/>
        <v>-1</v>
      </c>
      <c r="F1120" s="12">
        <f>IF(E1120&lt;=PARAMS_MODELO!$B$15,0,IF(E1120&gt;=PARAMS_MODELO!$B$17,100,100*MIN(1,(E1120-PARAMS_MODELO!$B$15)/(PARAMS_MODELO!$B$16-PARAMS_MODELO!$B$15))))*PARAMS_MODELO!$B$7</f>
        <v>0</v>
      </c>
      <c r="G1120" s="5">
        <f t="shared" si="409"/>
        <v>0</v>
      </c>
      <c r="H1120" s="5">
        <f>(PARAMS_MODELO!$B$20*(MAX(0,MIN(3,E1120))/3)+PARAMS_MODELO!$B$21*(IFERROR(LN(1+MAX(0,G1120))/LN(1+MAX(0,MAX($G$2:$G$1194))),0)))*100*PARAMS_MODELO!$B$8</f>
        <v>0</v>
      </c>
      <c r="I1120" s="8">
        <f>E1120-PARAMS_MODELO!$B$5</f>
        <v>-1.1775628353755265</v>
      </c>
      <c r="J1120" s="5">
        <f>IF(I1120&lt;=PARAMS_MODELO!$B$18,0,IF(I1120&gt;=PARAMS_MODELO!$B$19,100,100*(I1120-PARAMS_MODELO!$B$18)/(PARAMS_MODELO!$B$19-PARAMS_MODELO!$B$18)))*PARAMS_MODELO!$B$9</f>
        <v>0</v>
      </c>
      <c r="K1120" s="5">
        <f>IFERROR(CHOOSE(MATCH(PARAMS_MODELO!$B$2,{"Q1","Q2","Q3"},0),LOTO!$D1120,LOTO!$F1120,LOTO!$H1120),0)</f>
        <v>0</v>
      </c>
      <c r="L1120" s="8">
        <f t="shared" si="410"/>
        <v>0</v>
      </c>
      <c r="M1120" s="5">
        <f>MIN(100,IF(PARAMS_MODELO!$B$23=0,0,100*L1120/PARAMS_MODELO!$B$23))*PARAMS_MODELO!$B$10</f>
        <v>0</v>
      </c>
      <c r="N1120" s="5">
        <f>IFERROR(VLOOKUP(A1120,COMPLIANCE!$A$2:$F$1996,6,0),100)</f>
        <v>100</v>
      </c>
      <c r="O1120" s="5">
        <f>N1120*PARAMS_MODELO!$B$11</f>
        <v>10</v>
      </c>
      <c r="P1120" s="5">
        <f>IFERROR(VLOOKUP(A1120,DIGITAL!$A$2:$J$2000,7,0),100)</f>
        <v>81</v>
      </c>
      <c r="Q1120" s="5">
        <f>IFERROR(P1120,0)*PARAMS_MODELO!$B$12</f>
        <v>8.1</v>
      </c>
      <c r="R1120">
        <f t="shared" si="411"/>
        <v>18.100000000000001</v>
      </c>
      <c r="S1120" s="5" t="str">
        <f>IFERROR(VLOOKUP(A1120,CLIENTE!$A$2:$N$2000,13,0),1)</f>
        <v>Regular</v>
      </c>
      <c r="T1120" s="5">
        <f>IFERROR(VLOOKUP(A1120,CLIENTE!$A$2:$N$2000,14,0),1)</f>
        <v>1</v>
      </c>
      <c r="U1120" s="5">
        <f t="shared" si="412"/>
        <v>18.100000000000001</v>
      </c>
      <c r="V1120" s="5" t="str">
        <f>IF(U1120&gt;=MAX(_xlfn.PERCENTILE.INC($U$2:$U$1194,PARAMS_MODELO!$B$50),PARAMS_MODELO!$B$45),"DIAMANTE",IF(U1120&gt;=MAX(_xlfn.PERCENTILE.INC($U$2:$U$1194,PARAMS_MODELO!$B$51),PARAMS_MODELO!$B$46),"PLATINO",IF(U1120&gt;=MAX(_xlfn.PERCENTILE.INC($U$2:$U$1194,PARAMS_MODELO!$B$52),PARAMS_MODELO!$B$47),"ORO",IF(U1120&gt;=MAX(_xlfn.PERCENTILE.INC($U$2:$U$1194,PARAMS_MODELO!$B$53),PARAMS_MODELO!$B$48),"PLATA",IF(U1120&gt;=1,"BRONCE","CERRADO")))))</f>
        <v>BRONCE</v>
      </c>
      <c r="W1120" s="5" t="str" cm="1">
        <f t="array" ref="W1120">_xlfn.XLOOKUP(1, (HIST_SCORE!$B:$B=PARAMS_MODELO!$B$4) * (HIST_SCORE!$C:$C=A1120), HIST_SCORE!$E:$E, "No encontrado")</f>
        <v>BRONCE</v>
      </c>
      <c r="X1120" s="5" t="str">
        <f>_xlfn.LET(_xlpm.act,MATCH(V1120,{"DIAMANTE";"PLATINO";"ORO";"PLATA";"BRONCE";"CERRADO"},0),_xlpm.ant,MATCH(W1120,{"DIAMANTE";"PLATINO";"ORO";"PLATA";"BRONCE";"CERRADO"},0),IF(_xlpm.act&lt;_xlpm.ant,"Mejora ↑",IF(_xlpm.act&gt;_xlpm.ant,"Baja ↓","Estable →")))</f>
        <v>Estable →</v>
      </c>
      <c r="Y1120" s="5">
        <f>IFERROR(U1120-SUMIFS(HIST_SCORE!$D:$D,HIST_SCORE!$B:$B,PARAMS_MODELO!$B$4,HIST_SCORE!$C:$C,$A1120),"")</f>
        <v>0</v>
      </c>
      <c r="Z1120" s="5" t="str">
        <f t="shared" si="413"/>
        <v>→ Estable</v>
      </c>
      <c r="AA1120" s="5">
        <f t="shared" si="414"/>
        <v>1026</v>
      </c>
      <c r="AB1120" s="5">
        <f>IFERROR(SUMIFS(HIST_SCORE!$F:$F,HIST_SCORE!$B:$B,PARAMS_MODELO!$B$4,HIST_SCORE!$C:$C,$A1120),"")</f>
        <v>1026</v>
      </c>
      <c r="AC1120" s="5">
        <f t="shared" si="415"/>
        <v>0</v>
      </c>
      <c r="AD1120" t="str">
        <f t="shared" si="417"/>
        <v/>
      </c>
      <c r="AE11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1120="CERRADO",1,IF(V1120="BRONCE",_xlpm.cPl,IF(V1120="PLATA",_xlpm.cO,IF(V1120="ORO",_xlpm.cP,IF(V1120="PLATINO",_xlpm.cD,999))))))</f>
        <v>24.506573482968111</v>
      </c>
      <c r="AF112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1120="CERRADO",0,IF(V1120="BRONCE",1,IF(V1120="PLATA",_xlpm.cPl,IF(V1120="ORO",_xlpm.cO,IF(V1120="PLATINO",_xlpm.cP,_xlpm.cD))))))</f>
        <v>1</v>
      </c>
      <c r="AG1120">
        <f t="shared" si="418"/>
        <v>6.4065734829681098</v>
      </c>
      <c r="AH1120" t="str">
        <f t="shared" si="419"/>
        <v>VENTAS</v>
      </c>
      <c r="AI1120" t="str">
        <f t="shared" si="416"/>
        <v>🎯 Para subir de categoría, eje VENTAS / CRECIMIENTO PERSONAL (F). Acción: metas semanales + activación comercial + seguimiento del asesor. ΔR aprox: 6,4</v>
      </c>
      <c r="AJ1120" s="26">
        <f>_xlfn.LET(_xlpm.piso,AF1120,_xlpm.corte,AE1120,_xlpm.prog,IF(_xlpm.corte&lt;=_xlpm.piso,0,MAX(0,MIN(1,(U1120-_xlpm.piso)/(_xlpm.corte-_xlpm.piso)))),_xlpm.orden,{"DIAMANTE";"PLATINO";"ORO";"PLATA";"BRONCE";"CERRADO"},_xlpm.act,IFERROR(MATCH(V1120,_xlpm.orden,0),6),_xlpm.ant,IFERROR(MATCH(W1120,_xlpm.orden,0),6),_xlpm.ajmov,IF(_xlpm.act&lt;_xlpm.ant,0.08,IF(_xlpm.act&gt;_xlpm.ant,-0.08,0)),_xlpm.ajcli,IF(T1120&lt;0.95,-0.06,0),_xlpm.prob,MAX(0,MIN(1,_xlpm.prog+_xlpm.ajmov+_xlpm.ajcli)),IF(OR(V1120="DIAMANTE",V1120="CERRADO"),0,ROUND(_xlpm.prob,2)))</f>
        <v>0.73</v>
      </c>
      <c r="AK1120" t="str">
        <f t="shared" si="420"/>
        <v>Faltan 6,4 puntos base para subir a la siguiente categoría</v>
      </c>
      <c r="AL1120" t="str">
        <f t="shared" si="421"/>
        <v>No aplica</v>
      </c>
      <c r="AM1120">
        <f t="shared" si="422"/>
        <v>0.36</v>
      </c>
      <c r="AN1120" t="str">
        <f t="shared" si="423"/>
        <v>PRIORIDAD BAJA – control normal</v>
      </c>
      <c r="AO1120">
        <f t="shared" si="424"/>
        <v>64.862569275295584</v>
      </c>
      <c r="AP1120">
        <f t="shared" si="425"/>
        <v>15</v>
      </c>
      <c r="AQ1120">
        <f t="shared" si="426"/>
        <v>0</v>
      </c>
      <c r="AR1120">
        <f t="shared" si="427"/>
        <v>1.9000000000000004</v>
      </c>
      <c r="AS1120">
        <f t="shared" si="428"/>
        <v>0</v>
      </c>
      <c r="AT1120" t="str">
        <f t="shared" si="429"/>
        <v>VENTAS</v>
      </c>
      <c r="AU1120">
        <f t="shared" si="430"/>
        <v>64.862569275295584</v>
      </c>
      <c r="AV1120" t="str">
        <f t="shared" si="431"/>
        <v>Mayor retorno probable: VENTAS (+64,9 puntos finales potenciales).</v>
      </c>
    </row>
    <row r="1121" spans="1:48" x14ac:dyDescent="0.3">
      <c r="A1121" s="5">
        <v>51032217</v>
      </c>
      <c r="B1121" s="5" t="str">
        <f>IFERROR(VLOOKUP(A1121,VENTAS!$A$2:$B$1194,2,0),"")</f>
        <v/>
      </c>
      <c r="C1121" s="5">
        <f>IFERROR(INDEX(VENTAS!$C$2:$E$1194,MATCH(A1121,VENTAS!$A$2:$A$1194,0),MATCH(PARAMS_MODELO!$B$2,{"Q1","Q2","Q3"},0)),0)</f>
        <v>0</v>
      </c>
      <c r="D1121" s="5">
        <f>IFERROR(INDEX(VENTAS!$F$2:$H$1194,MATCH(A1121,VENTAS!$A$2:$A$1194,0),MATCH(PARAMS_MODELO!$B$2,{"Q1","Q2","Q3"},0)),0)</f>
        <v>0</v>
      </c>
      <c r="E1121" s="8">
        <f t="shared" si="408"/>
        <v>0</v>
      </c>
      <c r="F1121" s="12">
        <f>IF(E1121&lt;=PARAMS_MODELO!$B$15,0,IF(E1121&gt;=PARAMS_MODELO!$B$17,100,100*MIN(1,(E1121-PARAMS_MODELO!$B$15)/(PARAMS_MODELO!$B$16-PARAMS_MODELO!$B$15))))*PARAMS_MODELO!$B$7</f>
        <v>0</v>
      </c>
      <c r="G1121" s="5">
        <f t="shared" si="409"/>
        <v>0</v>
      </c>
      <c r="H1121" s="5">
        <f>(PARAMS_MODELO!$B$20*(MAX(0,MIN(3,E1121))/3)+PARAMS_MODELO!$B$21*(IFERROR(LN(1+MAX(0,G1121))/LN(1+MAX(0,MAX($G$2:$G$1194))),0)))*100*PARAMS_MODELO!$B$8</f>
        <v>0</v>
      </c>
      <c r="I1121" s="8">
        <f>E1121-PARAMS_MODELO!$B$5</f>
        <v>-0.17756283537552653</v>
      </c>
      <c r="J1121" s="5">
        <f>IF(I1121&lt;=PARAMS_MODELO!$B$18,0,IF(I1121&gt;=PARAMS_MODELO!$B$19,100,100*(I1121-PARAMS_MODELO!$B$18)/(PARAMS_MODELO!$B$19-PARAMS_MODELO!$B$18)))*PARAMS_MODELO!$B$9</f>
        <v>0</v>
      </c>
      <c r="K1121" s="5">
        <f>IFERROR(CHOOSE(MATCH(PARAMS_MODELO!$B$2,{"Q1","Q2","Q3"},0),LOTO!$D1121,LOTO!$F1121,LOTO!$H1121),0)</f>
        <v>0</v>
      </c>
      <c r="L1121" s="8">
        <f t="shared" si="410"/>
        <v>0</v>
      </c>
      <c r="M1121" s="5">
        <f>MIN(100,IF(PARAMS_MODELO!$B$23=0,0,100*L1121/PARAMS_MODELO!$B$23))*PARAMS_MODELO!$B$10</f>
        <v>0</v>
      </c>
      <c r="N1121" s="5">
        <f>IFERROR(VLOOKUP(A1121,COMPLIANCE!$A$2:$F$1996,6,0),100)</f>
        <v>100</v>
      </c>
      <c r="O1121" s="5">
        <f>N1121*PARAMS_MODELO!$B$11</f>
        <v>10</v>
      </c>
      <c r="P1121" s="5">
        <f>IFERROR(VLOOKUP(A1121,DIGITAL!$A$2:$J$2000,7,0),100)</f>
        <v>25</v>
      </c>
      <c r="Q1121" s="5">
        <f>IFERROR(P1121,0)*PARAMS_MODELO!$B$12</f>
        <v>2.5</v>
      </c>
      <c r="R1121">
        <f t="shared" si="411"/>
        <v>12.5</v>
      </c>
      <c r="S1121" s="5" t="str">
        <f>IFERROR(VLOOKUP(A1121,CLIENTE!$A$2:$N$2000,13,0),1)</f>
        <v>Bueno</v>
      </c>
      <c r="T1121" s="5">
        <f>IFERROR(VLOOKUP(A1121,CLIENTE!$A$2:$N$2000,14,0),1)</f>
        <v>1.1000000000000001</v>
      </c>
      <c r="U1121" s="5">
        <f t="shared" si="412"/>
        <v>13.750000000000002</v>
      </c>
      <c r="V1121" s="5" t="str">
        <f>IF(U1121&gt;=MAX(_xlfn.PERCENTILE.INC($U$2:$U$1194,PARAMS_MODELO!$B$50),PARAMS_MODELO!$B$45),"DIAMANTE",IF(U1121&gt;=MAX(_xlfn.PERCENTILE.INC($U$2:$U$1194,PARAMS_MODELO!$B$51),PARAMS_MODELO!$B$46),"PLATINO",IF(U1121&gt;=MAX(_xlfn.PERCENTILE.INC($U$2:$U$1194,PARAMS_MODELO!$B$52),PARAMS_MODELO!$B$47),"ORO",IF(U1121&gt;=MAX(_xlfn.PERCENTILE.INC($U$2:$U$1194,PARAMS_MODELO!$B$53),PARAMS_MODELO!$B$48),"PLATA",IF(U1121&gt;=1,"BRONCE","CERRADO")))))</f>
        <v>BRONCE</v>
      </c>
      <c r="W1121" s="5" t="str" cm="1">
        <f t="array" ref="W1121">_xlfn.XLOOKUP(1, (HIST_SCORE!$B:$B=PARAMS_MODELO!$B$4) * (HIST_SCORE!$C:$C=A1121), HIST_SCORE!$E:$E, "No encontrado")</f>
        <v>BRONCE</v>
      </c>
      <c r="X1121" s="5" t="str">
        <f>_xlfn.LET(_xlpm.act,MATCH(V1121,{"DIAMANTE";"PLATINO";"ORO";"PLATA";"BRONCE";"CERRADO"},0),_xlpm.ant,MATCH(W1121,{"DIAMANTE";"PLATINO";"ORO";"PLATA";"BRONCE";"CERRADO"},0),IF(_xlpm.act&lt;_xlpm.ant,"Mejora ↑",IF(_xlpm.act&gt;_xlpm.ant,"Baja ↓","Estable →")))</f>
        <v>Estable →</v>
      </c>
      <c r="Y1121" s="5">
        <f>IFERROR(U1121-SUMIFS(HIST_SCORE!$D:$D,HIST_SCORE!$B:$B,PARAMS_MODELO!$B$4,HIST_SCORE!$C:$C,$A1121),"")</f>
        <v>0</v>
      </c>
      <c r="Z1121" s="5" t="str">
        <f t="shared" si="413"/>
        <v>→ Estable</v>
      </c>
      <c r="AA1121" s="5">
        <f t="shared" si="414"/>
        <v>1093</v>
      </c>
      <c r="AB1121" s="5">
        <f>IFERROR(SUMIFS(HIST_SCORE!$F:$F,HIST_SCORE!$B:$B,PARAMS_MODELO!$B$4,HIST_SCORE!$C:$C,$A1121),"")</f>
        <v>1091</v>
      </c>
      <c r="AC1121" s="5">
        <f t="shared" si="415"/>
        <v>-2</v>
      </c>
      <c r="AD1121" t="str">
        <f t="shared" si="417"/>
        <v/>
      </c>
      <c r="AE11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1121="CERRADO",1,IF(V1121="BRONCE",_xlpm.cPl,IF(V1121="PLATA",_xlpm.cO,IF(V1121="ORO",_xlpm.cP,IF(V1121="PLATINO",_xlpm.cD,999))))))</f>
        <v>24.506573482968111</v>
      </c>
      <c r="AF112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1121="CERRADO",0,IF(V1121="BRONCE",1,IF(V1121="PLATA",_xlpm.cPl,IF(V1121="ORO",_xlpm.cO,IF(V1121="PLATINO",_xlpm.cP,_xlpm.cD))))))</f>
        <v>1</v>
      </c>
      <c r="AG1121">
        <f t="shared" si="418"/>
        <v>9.778703166334644</v>
      </c>
      <c r="AH1121" t="str">
        <f t="shared" si="419"/>
        <v>VENTAS</v>
      </c>
      <c r="AI1121" t="str">
        <f t="shared" si="416"/>
        <v>🎯 Para subir de categoría, eje VENTAS / CRECIMIENTO PERSONAL (F). Acción: metas semanales + activación comercial + seguimiento del asesor. ΔR aprox: 9,8</v>
      </c>
      <c r="AJ1121" s="26">
        <f>_xlfn.LET(_xlpm.piso,AF1121,_xlpm.corte,AE1121,_xlpm.prog,IF(_xlpm.corte&lt;=_xlpm.piso,0,MAX(0,MIN(1,(U1121-_xlpm.piso)/(_xlpm.corte-_xlpm.piso)))),_xlpm.orden,{"DIAMANTE";"PLATINO";"ORO";"PLATA";"BRONCE";"CERRADO"},_xlpm.act,IFERROR(MATCH(V1121,_xlpm.orden,0),6),_xlpm.ant,IFERROR(MATCH(W1121,_xlpm.orden,0),6),_xlpm.ajmov,IF(_xlpm.act&lt;_xlpm.ant,0.08,IF(_xlpm.act&gt;_xlpm.ant,-0.08,0)),_xlpm.ajcli,IF(T1121&lt;0.95,-0.06,0),_xlpm.prob,MAX(0,MIN(1,_xlpm.prog+_xlpm.ajmov+_xlpm.ajcli)),IF(OR(V1121="DIAMANTE",V1121="CERRADO"),0,ROUND(_xlpm.prob,2)))</f>
        <v>0.54</v>
      </c>
      <c r="AK1121" t="str">
        <f t="shared" si="420"/>
        <v>Faltan 9,8 puntos base para subir a la siguiente categoría</v>
      </c>
      <c r="AL1121" t="str">
        <f t="shared" si="421"/>
        <v>No aplica</v>
      </c>
      <c r="AM1121">
        <f t="shared" si="422"/>
        <v>0.57999999999999996</v>
      </c>
      <c r="AN1121" t="str">
        <f t="shared" si="423"/>
        <v>PRIORIDAD MEDIA – seguimiento del asesor</v>
      </c>
      <c r="AO1121">
        <f t="shared" si="424"/>
        <v>71.348826202825151</v>
      </c>
      <c r="AP1121">
        <f t="shared" si="425"/>
        <v>16.5</v>
      </c>
      <c r="AQ1121">
        <f t="shared" si="426"/>
        <v>0</v>
      </c>
      <c r="AR1121">
        <f t="shared" si="427"/>
        <v>8.25</v>
      </c>
      <c r="AS1121">
        <f t="shared" si="428"/>
        <v>0</v>
      </c>
      <c r="AT1121" t="str">
        <f t="shared" si="429"/>
        <v>VENTAS</v>
      </c>
      <c r="AU1121">
        <f t="shared" si="430"/>
        <v>71.348826202825151</v>
      </c>
      <c r="AV1121" t="str">
        <f t="shared" si="431"/>
        <v>Mayor retorno probable: VENTAS (+71,3 puntos finales potenciales).</v>
      </c>
    </row>
    <row r="1122" spans="1:48" x14ac:dyDescent="0.3">
      <c r="A1122" s="5">
        <v>51032497</v>
      </c>
      <c r="B1122" s="5" t="str">
        <f>IFERROR(VLOOKUP(A1122,VENTAS!$A$2:$B$1194,2,0),"")</f>
        <v>CICHETTO</v>
      </c>
      <c r="C1122" s="5">
        <f>IFERROR(INDEX(VENTAS!$C$2:$E$1194,MATCH(A1122,VENTAS!$A$2:$A$1194,0),MATCH(PARAMS_MODELO!$B$2,{"Q1","Q2","Q3"},0)),0)</f>
        <v>32762347.469999999</v>
      </c>
      <c r="D1122" s="5">
        <f>IFERROR(INDEX(VENTAS!$F$2:$H$1194,MATCH(A1122,VENTAS!$A$2:$A$1194,0),MATCH(PARAMS_MODELO!$B$2,{"Q1","Q2","Q3"},0)),0)</f>
        <v>0</v>
      </c>
      <c r="E1122" s="8">
        <f t="shared" si="408"/>
        <v>-1</v>
      </c>
      <c r="F1122" s="12">
        <f>IF(E1122&lt;=PARAMS_MODELO!$B$15,0,IF(E1122&gt;=PARAMS_MODELO!$B$17,100,100*MIN(1,(E1122-PARAMS_MODELO!$B$15)/(PARAMS_MODELO!$B$16-PARAMS_MODELO!$B$15))))*PARAMS_MODELO!$B$7</f>
        <v>0</v>
      </c>
      <c r="G1122" s="5">
        <f t="shared" si="409"/>
        <v>0</v>
      </c>
      <c r="H1122" s="5">
        <f>(PARAMS_MODELO!$B$20*(MAX(0,MIN(3,E1122))/3)+PARAMS_MODELO!$B$21*(IFERROR(LN(1+MAX(0,G1122))/LN(1+MAX(0,MAX($G$2:$G$1194))),0)))*100*PARAMS_MODELO!$B$8</f>
        <v>0</v>
      </c>
      <c r="I1122" s="8">
        <f>E1122-PARAMS_MODELO!$B$5</f>
        <v>-1.1775628353755265</v>
      </c>
      <c r="J1122" s="5">
        <f>IF(I1122&lt;=PARAMS_MODELO!$B$18,0,IF(I1122&gt;=PARAMS_MODELO!$B$19,100,100*(I1122-PARAMS_MODELO!$B$18)/(PARAMS_MODELO!$B$19-PARAMS_MODELO!$B$18)))*PARAMS_MODELO!$B$9</f>
        <v>0</v>
      </c>
      <c r="K1122" s="5">
        <f>IFERROR(CHOOSE(MATCH(PARAMS_MODELO!$B$2,{"Q1","Q2","Q3"},0),LOTO!$D1122,LOTO!$F1122,LOTO!$H1122),0)</f>
        <v>0</v>
      </c>
      <c r="L1122" s="8">
        <f t="shared" si="410"/>
        <v>0</v>
      </c>
      <c r="M1122" s="5">
        <f>MIN(100,IF(PARAMS_MODELO!$B$23=0,0,100*L1122/PARAMS_MODELO!$B$23))*PARAMS_MODELO!$B$10</f>
        <v>0</v>
      </c>
      <c r="N1122" s="5">
        <f>IFERROR(VLOOKUP(A1122,COMPLIANCE!$A$2:$F$1996,6,0),100)</f>
        <v>99.85</v>
      </c>
      <c r="O1122" s="5">
        <f>N1122*PARAMS_MODELO!$B$11</f>
        <v>9.9849999999999994</v>
      </c>
      <c r="P1122" s="5">
        <f>IFERROR(VLOOKUP(A1122,DIGITAL!$A$2:$J$2000,7,0),100)</f>
        <v>50</v>
      </c>
      <c r="Q1122" s="5">
        <f>IFERROR(P1122,0)*PARAMS_MODELO!$B$12</f>
        <v>5</v>
      </c>
      <c r="R1122">
        <f t="shared" si="411"/>
        <v>14.984999999999999</v>
      </c>
      <c r="S1122" s="5" t="str">
        <f>IFERROR(VLOOKUP(A1122,CLIENTE!$A$2:$N$2000,13,0),1)</f>
        <v>Regular</v>
      </c>
      <c r="T1122" s="5">
        <f>IFERROR(VLOOKUP(A1122,CLIENTE!$A$2:$N$2000,14,0),1)</f>
        <v>1</v>
      </c>
      <c r="U1122" s="5">
        <f t="shared" si="412"/>
        <v>14.984999999999999</v>
      </c>
      <c r="V1122" s="5" t="str">
        <f>IF(U1122&gt;=MAX(_xlfn.PERCENTILE.INC($U$2:$U$1194,PARAMS_MODELO!$B$50),PARAMS_MODELO!$B$45),"DIAMANTE",IF(U1122&gt;=MAX(_xlfn.PERCENTILE.INC($U$2:$U$1194,PARAMS_MODELO!$B$51),PARAMS_MODELO!$B$46),"PLATINO",IF(U1122&gt;=MAX(_xlfn.PERCENTILE.INC($U$2:$U$1194,PARAMS_MODELO!$B$52),PARAMS_MODELO!$B$47),"ORO",IF(U1122&gt;=MAX(_xlfn.PERCENTILE.INC($U$2:$U$1194,PARAMS_MODELO!$B$53),PARAMS_MODELO!$B$48),"PLATA",IF(U1122&gt;=1,"BRONCE","CERRADO")))))</f>
        <v>BRONCE</v>
      </c>
      <c r="W1122" s="5" t="str" cm="1">
        <f t="array" ref="W1122">_xlfn.XLOOKUP(1, (HIST_SCORE!$B:$B=PARAMS_MODELO!$B$4) * (HIST_SCORE!$C:$C=A1122), HIST_SCORE!$E:$E, "No encontrado")</f>
        <v>BRONCE</v>
      </c>
      <c r="X1122" s="5" t="str">
        <f>_xlfn.LET(_xlpm.act,MATCH(V1122,{"DIAMANTE";"PLATINO";"ORO";"PLATA";"BRONCE";"CERRADO"},0),_xlpm.ant,MATCH(W1122,{"DIAMANTE";"PLATINO";"ORO";"PLATA";"BRONCE";"CERRADO"},0),IF(_xlpm.act&lt;_xlpm.ant,"Mejora ↑",IF(_xlpm.act&gt;_xlpm.ant,"Baja ↓","Estable →")))</f>
        <v>Estable →</v>
      </c>
      <c r="Y1122" s="5">
        <f>IFERROR(U1122-SUMIFS(HIST_SCORE!$D:$D,HIST_SCORE!$B:$B,PARAMS_MODELO!$B$4,HIST_SCORE!$C:$C,$A1122),"")</f>
        <v>0</v>
      </c>
      <c r="Z1122" s="5" t="str">
        <f t="shared" si="413"/>
        <v>→ Estable</v>
      </c>
      <c r="AA1122" s="5">
        <f t="shared" si="414"/>
        <v>1080</v>
      </c>
      <c r="AB1122" s="5">
        <f>IFERROR(SUMIFS(HIST_SCORE!$F:$F,HIST_SCORE!$B:$B,PARAMS_MODELO!$B$4,HIST_SCORE!$C:$C,$A1122),"")</f>
        <v>1077</v>
      </c>
      <c r="AC1122" s="5">
        <f t="shared" si="415"/>
        <v>-3</v>
      </c>
      <c r="AD1122" t="str">
        <f t="shared" si="417"/>
        <v/>
      </c>
      <c r="AE11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1122="CERRADO",1,IF(V1122="BRONCE",_xlpm.cPl,IF(V1122="PLATA",_xlpm.cO,IF(V1122="ORO",_xlpm.cP,IF(V1122="PLATINO",_xlpm.cD,999))))))</f>
        <v>24.506573482968111</v>
      </c>
      <c r="AF112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1122="CERRADO",0,IF(V1122="BRONCE",1,IF(V1122="PLATA",_xlpm.cPl,IF(V1122="ORO",_xlpm.cO,IF(V1122="PLATINO",_xlpm.cP,_xlpm.cD))))))</f>
        <v>1</v>
      </c>
      <c r="AG1122">
        <f t="shared" si="418"/>
        <v>9.5215734829681118</v>
      </c>
      <c r="AH1122" t="str">
        <f t="shared" si="419"/>
        <v>VENTAS</v>
      </c>
      <c r="AI1122" t="str">
        <f t="shared" si="416"/>
        <v>🎯 Para subir de categoría, eje VENTAS / CRECIMIENTO PERSONAL (F). Acción: metas semanales + activación comercial + seguimiento del asesor. ΔR aprox: 9,5</v>
      </c>
      <c r="AJ1122" s="26">
        <f>_xlfn.LET(_xlpm.piso,AF1122,_xlpm.corte,AE1122,_xlpm.prog,IF(_xlpm.corte&lt;=_xlpm.piso,0,MAX(0,MIN(1,(U1122-_xlpm.piso)/(_xlpm.corte-_xlpm.piso)))),_xlpm.orden,{"DIAMANTE";"PLATINO";"ORO";"PLATA";"BRONCE";"CERRADO"},_xlpm.act,IFERROR(MATCH(V1122,_xlpm.orden,0),6),_xlpm.ant,IFERROR(MATCH(W1122,_xlpm.orden,0),6),_xlpm.ajmov,IF(_xlpm.act&lt;_xlpm.ant,0.08,IF(_xlpm.act&gt;_xlpm.ant,-0.08,0)),_xlpm.ajcli,IF(T1122&lt;0.95,-0.06,0),_xlpm.prob,MAX(0,MIN(1,_xlpm.prog+_xlpm.ajmov+_xlpm.ajcli)),IF(OR(V1122="DIAMANTE",V1122="CERRADO"),0,ROUND(_xlpm.prob,2)))</f>
        <v>0.59</v>
      </c>
      <c r="AK1122" t="str">
        <f t="shared" si="420"/>
        <v>Faltan 9,5 puntos base para subir a la siguiente categoría</v>
      </c>
      <c r="AL1122" t="str">
        <f t="shared" si="421"/>
        <v>No aplica</v>
      </c>
      <c r="AM1122">
        <f t="shared" si="422"/>
        <v>0.54</v>
      </c>
      <c r="AN1122" t="str">
        <f t="shared" si="423"/>
        <v>PRIORIDAD MEDIA – seguimiento del asesor</v>
      </c>
      <c r="AO1122">
        <f t="shared" si="424"/>
        <v>64.862569275295584</v>
      </c>
      <c r="AP1122">
        <f t="shared" si="425"/>
        <v>15</v>
      </c>
      <c r="AQ1122">
        <f t="shared" si="426"/>
        <v>1.5000000000000568E-2</v>
      </c>
      <c r="AR1122">
        <f t="shared" si="427"/>
        <v>5</v>
      </c>
      <c r="AS1122">
        <f t="shared" si="428"/>
        <v>0</v>
      </c>
      <c r="AT1122" t="str">
        <f t="shared" si="429"/>
        <v>VENTAS</v>
      </c>
      <c r="AU1122">
        <f t="shared" si="430"/>
        <v>64.862569275295584</v>
      </c>
      <c r="AV1122" t="str">
        <f t="shared" si="431"/>
        <v>Mayor retorno probable: VENTAS (+64,9 puntos finales potenciales).</v>
      </c>
    </row>
    <row r="1123" spans="1:48" x14ac:dyDescent="0.3">
      <c r="A1123" s="5">
        <v>51033019</v>
      </c>
      <c r="B1123" s="5" t="str">
        <f>IFERROR(VLOOKUP(A1123,VENTAS!$A$2:$B$1194,2,0),"")</f>
        <v/>
      </c>
      <c r="C1123" s="5">
        <f>IFERROR(INDEX(VENTAS!$C$2:$E$1194,MATCH(A1123,VENTAS!$A$2:$A$1194,0),MATCH(PARAMS_MODELO!$B$2,{"Q1","Q2","Q3"},0)),0)</f>
        <v>13397106.5</v>
      </c>
      <c r="D1123" s="5">
        <f>IFERROR(INDEX(VENTAS!$F$2:$H$1194,MATCH(A1123,VENTAS!$A$2:$A$1194,0),MATCH(PARAMS_MODELO!$B$2,{"Q1","Q2","Q3"},0)),0)</f>
        <v>0</v>
      </c>
      <c r="E1123" s="8">
        <f t="shared" si="408"/>
        <v>-1</v>
      </c>
      <c r="F1123" s="12">
        <f>IF(E1123&lt;=PARAMS_MODELO!$B$15,0,IF(E1123&gt;=PARAMS_MODELO!$B$17,100,100*MIN(1,(E1123-PARAMS_MODELO!$B$15)/(PARAMS_MODELO!$B$16-PARAMS_MODELO!$B$15))))*PARAMS_MODELO!$B$7</f>
        <v>0</v>
      </c>
      <c r="G1123" s="5">
        <f t="shared" si="409"/>
        <v>0</v>
      </c>
      <c r="H1123" s="5">
        <f>(PARAMS_MODELO!$B$20*(MAX(0,MIN(3,E1123))/3)+PARAMS_MODELO!$B$21*(IFERROR(LN(1+MAX(0,G1123))/LN(1+MAX(0,MAX($G$2:$G$1194))),0)))*100*PARAMS_MODELO!$B$8</f>
        <v>0</v>
      </c>
      <c r="I1123" s="8">
        <f>E1123-PARAMS_MODELO!$B$5</f>
        <v>-1.1775628353755265</v>
      </c>
      <c r="J1123" s="5">
        <f>IF(I1123&lt;=PARAMS_MODELO!$B$18,0,IF(I1123&gt;=PARAMS_MODELO!$B$19,100,100*(I1123-PARAMS_MODELO!$B$18)/(PARAMS_MODELO!$B$19-PARAMS_MODELO!$B$18)))*PARAMS_MODELO!$B$9</f>
        <v>0</v>
      </c>
      <c r="K1123" s="5">
        <f>IFERROR(CHOOSE(MATCH(PARAMS_MODELO!$B$2,{"Q1","Q2","Q3"},0),LOTO!$D1123,LOTO!$F1123,LOTO!$H1123),0)</f>
        <v>0</v>
      </c>
      <c r="L1123" s="8">
        <f t="shared" si="410"/>
        <v>0</v>
      </c>
      <c r="M1123" s="5">
        <f>MIN(100,IF(PARAMS_MODELO!$B$23=0,0,100*L1123/PARAMS_MODELO!$B$23))*PARAMS_MODELO!$B$10</f>
        <v>0</v>
      </c>
      <c r="N1123" s="5">
        <f>IFERROR(VLOOKUP(A1123,COMPLIANCE!$A$2:$F$1996,6,0),100)</f>
        <v>100</v>
      </c>
      <c r="O1123" s="5">
        <f>N1123*PARAMS_MODELO!$B$11</f>
        <v>10</v>
      </c>
      <c r="P1123" s="5">
        <f>IFERROR(VLOOKUP(A1123,DIGITAL!$A$2:$J$2000,7,0),100)</f>
        <v>81</v>
      </c>
      <c r="Q1123" s="5">
        <f>IFERROR(P1123,0)*PARAMS_MODELO!$B$12</f>
        <v>8.1</v>
      </c>
      <c r="R1123">
        <f t="shared" si="411"/>
        <v>18.100000000000001</v>
      </c>
      <c r="S1123" s="5" t="str">
        <f>IFERROR(VLOOKUP(A1123,CLIENTE!$A$2:$N$2000,13,0),1)</f>
        <v>Bueno</v>
      </c>
      <c r="T1123" s="5">
        <f>IFERROR(VLOOKUP(A1123,CLIENTE!$A$2:$N$2000,14,0),1)</f>
        <v>1.1000000000000001</v>
      </c>
      <c r="U1123" s="5">
        <f t="shared" si="412"/>
        <v>19.910000000000004</v>
      </c>
      <c r="V1123" s="5" t="str">
        <f>IF(U1123&gt;=MAX(_xlfn.PERCENTILE.INC($U$2:$U$1194,PARAMS_MODELO!$B$50),PARAMS_MODELO!$B$45),"DIAMANTE",IF(U1123&gt;=MAX(_xlfn.PERCENTILE.INC($U$2:$U$1194,PARAMS_MODELO!$B$51),PARAMS_MODELO!$B$46),"PLATINO",IF(U1123&gt;=MAX(_xlfn.PERCENTILE.INC($U$2:$U$1194,PARAMS_MODELO!$B$52),PARAMS_MODELO!$B$47),"ORO",IF(U1123&gt;=MAX(_xlfn.PERCENTILE.INC($U$2:$U$1194,PARAMS_MODELO!$B$53),PARAMS_MODELO!$B$48),"PLATA",IF(U1123&gt;=1,"BRONCE","CERRADO")))))</f>
        <v>BRONCE</v>
      </c>
      <c r="W1123" s="5" t="str" cm="1">
        <f t="array" ref="W1123">_xlfn.XLOOKUP(1, (HIST_SCORE!$B:$B=PARAMS_MODELO!$B$4) * (HIST_SCORE!$C:$C=A1123), HIST_SCORE!$E:$E, "No encontrado")</f>
        <v>BRONCE</v>
      </c>
      <c r="X1123" s="5" t="str">
        <f>_xlfn.LET(_xlpm.act,MATCH(V1123,{"DIAMANTE";"PLATINO";"ORO";"PLATA";"BRONCE";"CERRADO"},0),_xlpm.ant,MATCH(W1123,{"DIAMANTE";"PLATINO";"ORO";"PLATA";"BRONCE";"CERRADO"},0),IF(_xlpm.act&lt;_xlpm.ant,"Mejora ↑",IF(_xlpm.act&gt;_xlpm.ant,"Baja ↓","Estable →")))</f>
        <v>Estable →</v>
      </c>
      <c r="Y1123" s="5">
        <f>IFERROR(U1123-SUMIFS(HIST_SCORE!$D:$D,HIST_SCORE!$B:$B,PARAMS_MODELO!$B$4,HIST_SCORE!$C:$C,$A1123),"")</f>
        <v>0</v>
      </c>
      <c r="Z1123" s="5" t="str">
        <f t="shared" si="413"/>
        <v>→ Estable</v>
      </c>
      <c r="AA1123" s="5">
        <f t="shared" si="414"/>
        <v>977</v>
      </c>
      <c r="AB1123" s="5">
        <f>IFERROR(SUMIFS(HIST_SCORE!$F:$F,HIST_SCORE!$B:$B,PARAMS_MODELO!$B$4,HIST_SCORE!$C:$C,$A1123),"")</f>
        <v>987</v>
      </c>
      <c r="AC1123" s="5">
        <f t="shared" si="415"/>
        <v>10</v>
      </c>
      <c r="AD1123" t="str">
        <f t="shared" si="417"/>
        <v/>
      </c>
      <c r="AE11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1123="CERRADO",1,IF(V1123="BRONCE",_xlpm.cPl,IF(V1123="PLATA",_xlpm.cO,IF(V1123="ORO",_xlpm.cP,IF(V1123="PLATINO",_xlpm.cD,999))))))</f>
        <v>24.506573482968111</v>
      </c>
      <c r="AF112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1123="CERRADO",0,IF(V1123="BRONCE",1,IF(V1123="PLATA",_xlpm.cPl,IF(V1123="ORO",_xlpm.cO,IF(V1123="PLATINO",_xlpm.cP,_xlpm.cD))))))</f>
        <v>1</v>
      </c>
      <c r="AG1123">
        <f t="shared" si="418"/>
        <v>4.1787031663346426</v>
      </c>
      <c r="AH1123" t="str">
        <f t="shared" si="419"/>
        <v>VENTAS</v>
      </c>
      <c r="AI1123" t="str">
        <f t="shared" si="416"/>
        <v>🎯 Para subir de categoría, eje VENTAS / CRECIMIENTO PERSONAL (F). Acción: metas semanales + activación comercial + seguimiento del asesor. ΔR aprox: 4,2</v>
      </c>
      <c r="AJ1123" s="26">
        <f>_xlfn.LET(_xlpm.piso,AF1123,_xlpm.corte,AE1123,_xlpm.prog,IF(_xlpm.corte&lt;=_xlpm.piso,0,MAX(0,MIN(1,(U1123-_xlpm.piso)/(_xlpm.corte-_xlpm.piso)))),_xlpm.orden,{"DIAMANTE";"PLATINO";"ORO";"PLATA";"BRONCE";"CERRADO"},_xlpm.act,IFERROR(MATCH(V1123,_xlpm.orden,0),6),_xlpm.ant,IFERROR(MATCH(W1123,_xlpm.orden,0),6),_xlpm.ajmov,IF(_xlpm.act&lt;_xlpm.ant,0.08,IF(_xlpm.act&gt;_xlpm.ant,-0.08,0)),_xlpm.ajcli,IF(T1123&lt;0.95,-0.06,0),_xlpm.prob,MAX(0,MIN(1,_xlpm.prog+_xlpm.ajmov+_xlpm.ajcli)),IF(OR(V1123="DIAMANTE",V1123="CERRADO"),0,ROUND(_xlpm.prob,2)))</f>
        <v>0.8</v>
      </c>
      <c r="AK1123" t="str">
        <f t="shared" si="420"/>
        <v>Faltan 4,2 puntos base para subir a la siguiente categoría</v>
      </c>
      <c r="AL1123" t="str">
        <f t="shared" si="421"/>
        <v>No aplica</v>
      </c>
      <c r="AM1123">
        <f t="shared" si="422"/>
        <v>0.25</v>
      </c>
      <c r="AN1123" t="str">
        <f t="shared" si="423"/>
        <v>PRIORIDAD BAJA – control normal</v>
      </c>
      <c r="AO1123">
        <f t="shared" si="424"/>
        <v>71.348826202825151</v>
      </c>
      <c r="AP1123">
        <f t="shared" si="425"/>
        <v>16.5</v>
      </c>
      <c r="AQ1123">
        <f t="shared" si="426"/>
        <v>0</v>
      </c>
      <c r="AR1123">
        <f t="shared" si="427"/>
        <v>2.0900000000000007</v>
      </c>
      <c r="AS1123">
        <f t="shared" si="428"/>
        <v>0</v>
      </c>
      <c r="AT1123" t="str">
        <f t="shared" si="429"/>
        <v>VENTAS</v>
      </c>
      <c r="AU1123">
        <f t="shared" si="430"/>
        <v>71.348826202825151</v>
      </c>
      <c r="AV1123" t="str">
        <f t="shared" si="431"/>
        <v>Mayor retorno probable: VENTAS (+71,3 puntos finales potenciales).</v>
      </c>
    </row>
    <row r="1124" spans="1:48" x14ac:dyDescent="0.3">
      <c r="A1124" s="5">
        <v>51033647</v>
      </c>
      <c r="B1124" s="5" t="str">
        <f>IFERROR(VLOOKUP(A1124,VENTAS!$A$2:$B$1194,2,0),"")</f>
        <v/>
      </c>
      <c r="C1124" s="5">
        <f>IFERROR(INDEX(VENTAS!$C$2:$E$1194,MATCH(A1124,VENTAS!$A$2:$A$1194,0),MATCH(PARAMS_MODELO!$B$2,{"Q1","Q2","Q3"},0)),0)</f>
        <v>0</v>
      </c>
      <c r="D1124" s="5">
        <f>IFERROR(INDEX(VENTAS!$F$2:$H$1194,MATCH(A1124,VENTAS!$A$2:$A$1194,0),MATCH(PARAMS_MODELO!$B$2,{"Q1","Q2","Q3"},0)),0)</f>
        <v>0</v>
      </c>
      <c r="E1124" s="8">
        <f t="shared" si="408"/>
        <v>0</v>
      </c>
      <c r="F1124" s="12">
        <f>IF(E1124&lt;=PARAMS_MODELO!$B$15,0,IF(E1124&gt;=PARAMS_MODELO!$B$17,100,100*MIN(1,(E1124-PARAMS_MODELO!$B$15)/(PARAMS_MODELO!$B$16-PARAMS_MODELO!$B$15))))*PARAMS_MODELO!$B$7</f>
        <v>0</v>
      </c>
      <c r="G1124" s="5">
        <f t="shared" si="409"/>
        <v>0</v>
      </c>
      <c r="H1124" s="5">
        <f>(PARAMS_MODELO!$B$20*(MAX(0,MIN(3,E1124))/3)+PARAMS_MODELO!$B$21*(IFERROR(LN(1+MAX(0,G1124))/LN(1+MAX(0,MAX($G$2:$G$1194))),0)))*100*PARAMS_MODELO!$B$8</f>
        <v>0</v>
      </c>
      <c r="I1124" s="8">
        <f>E1124-PARAMS_MODELO!$B$5</f>
        <v>-0.17756283537552653</v>
      </c>
      <c r="J1124" s="5">
        <f>IF(I1124&lt;=PARAMS_MODELO!$B$18,0,IF(I1124&gt;=PARAMS_MODELO!$B$19,100,100*(I1124-PARAMS_MODELO!$B$18)/(PARAMS_MODELO!$B$19-PARAMS_MODELO!$B$18)))*PARAMS_MODELO!$B$9</f>
        <v>0</v>
      </c>
      <c r="K1124" s="5">
        <f>IFERROR(CHOOSE(MATCH(PARAMS_MODELO!$B$2,{"Q1","Q2","Q3"},0),LOTO!$D1124,LOTO!$F1124,LOTO!$H1124),0)</f>
        <v>0</v>
      </c>
      <c r="L1124" s="8">
        <f t="shared" si="410"/>
        <v>0</v>
      </c>
      <c r="M1124" s="5">
        <f>MIN(100,IF(PARAMS_MODELO!$B$23=0,0,100*L1124/PARAMS_MODELO!$B$23))*PARAMS_MODELO!$B$10</f>
        <v>0</v>
      </c>
      <c r="N1124" s="5">
        <f>IFERROR(VLOOKUP(A1124,COMPLIANCE!$A$2:$F$1996,6,0),100)</f>
        <v>100</v>
      </c>
      <c r="O1124" s="5">
        <f>N1124*PARAMS_MODELO!$B$11</f>
        <v>10</v>
      </c>
      <c r="P1124" s="5">
        <f>IFERROR(VLOOKUP(A1124,DIGITAL!$A$2:$J$2000,7,0),100)</f>
        <v>60</v>
      </c>
      <c r="Q1124" s="5">
        <f>IFERROR(P1124,0)*PARAMS_MODELO!$B$12</f>
        <v>6</v>
      </c>
      <c r="R1124">
        <f t="shared" si="411"/>
        <v>16</v>
      </c>
      <c r="S1124" s="5" t="str">
        <f>IFERROR(VLOOKUP(A1124,CLIENTE!$A$2:$N$2000,13,0),1)</f>
        <v>Regular</v>
      </c>
      <c r="T1124" s="5">
        <f>IFERROR(VLOOKUP(A1124,CLIENTE!$A$2:$N$2000,14,0),1)</f>
        <v>1</v>
      </c>
      <c r="U1124" s="5">
        <f t="shared" si="412"/>
        <v>16</v>
      </c>
      <c r="V1124" s="5" t="str">
        <f>IF(U1124&gt;=MAX(_xlfn.PERCENTILE.INC($U$2:$U$1194,PARAMS_MODELO!$B$50),PARAMS_MODELO!$B$45),"DIAMANTE",IF(U1124&gt;=MAX(_xlfn.PERCENTILE.INC($U$2:$U$1194,PARAMS_MODELO!$B$51),PARAMS_MODELO!$B$46),"PLATINO",IF(U1124&gt;=MAX(_xlfn.PERCENTILE.INC($U$2:$U$1194,PARAMS_MODELO!$B$52),PARAMS_MODELO!$B$47),"ORO",IF(U1124&gt;=MAX(_xlfn.PERCENTILE.INC($U$2:$U$1194,PARAMS_MODELO!$B$53),PARAMS_MODELO!$B$48),"PLATA",IF(U1124&gt;=1,"BRONCE","CERRADO")))))</f>
        <v>BRONCE</v>
      </c>
      <c r="W1124" s="5" t="str" cm="1">
        <f t="array" ref="W1124">_xlfn.XLOOKUP(1, (HIST_SCORE!$B:$B=PARAMS_MODELO!$B$4) * (HIST_SCORE!$C:$C=A1124), HIST_SCORE!$E:$E, "No encontrado")</f>
        <v>BRONCE</v>
      </c>
      <c r="X1124" s="5" t="str">
        <f>_xlfn.LET(_xlpm.act,MATCH(V1124,{"DIAMANTE";"PLATINO";"ORO";"PLATA";"BRONCE";"CERRADO"},0),_xlpm.ant,MATCH(W1124,{"DIAMANTE";"PLATINO";"ORO";"PLATA";"BRONCE";"CERRADO"},0),IF(_xlpm.act&lt;_xlpm.ant,"Mejora ↑",IF(_xlpm.act&gt;_xlpm.ant,"Baja ↓","Estable →")))</f>
        <v>Estable →</v>
      </c>
      <c r="Y1124" s="5">
        <f>IFERROR(U1124-SUMIFS(HIST_SCORE!$D:$D,HIST_SCORE!$B:$B,PARAMS_MODELO!$B$4,HIST_SCORE!$C:$C,$A1124),"")</f>
        <v>0</v>
      </c>
      <c r="Z1124" s="5" t="str">
        <f t="shared" si="413"/>
        <v>→ Estable</v>
      </c>
      <c r="AA1124" s="5">
        <f t="shared" si="414"/>
        <v>1066</v>
      </c>
      <c r="AB1124" s="5">
        <f>IFERROR(SUMIFS(HIST_SCORE!$F:$F,HIST_SCORE!$B:$B,PARAMS_MODELO!$B$4,HIST_SCORE!$C:$C,$A1124),"")</f>
        <v>1063</v>
      </c>
      <c r="AC1124" s="5">
        <f t="shared" si="415"/>
        <v>-3</v>
      </c>
      <c r="AD1124" t="str">
        <f t="shared" si="417"/>
        <v/>
      </c>
      <c r="AE11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1124="CERRADO",1,IF(V1124="BRONCE",_xlpm.cPl,IF(V1124="PLATA",_xlpm.cO,IF(V1124="ORO",_xlpm.cP,IF(V1124="PLATINO",_xlpm.cD,999))))))</f>
        <v>24.506573482968111</v>
      </c>
      <c r="AF112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1124="CERRADO",0,IF(V1124="BRONCE",1,IF(V1124="PLATA",_xlpm.cPl,IF(V1124="ORO",_xlpm.cO,IF(V1124="PLATINO",_xlpm.cP,_xlpm.cD))))))</f>
        <v>1</v>
      </c>
      <c r="AG1124">
        <f t="shared" si="418"/>
        <v>8.5065734829681112</v>
      </c>
      <c r="AH1124" t="str">
        <f t="shared" si="419"/>
        <v>VENTAS</v>
      </c>
      <c r="AI1124" t="str">
        <f t="shared" si="416"/>
        <v>🎯 Para subir de categoría, eje VENTAS / CRECIMIENTO PERSONAL (F). Acción: metas semanales + activación comercial + seguimiento del asesor. ΔR aprox: 8,5</v>
      </c>
      <c r="AJ1124" s="26">
        <f>_xlfn.LET(_xlpm.piso,AF1124,_xlpm.corte,AE1124,_xlpm.prog,IF(_xlpm.corte&lt;=_xlpm.piso,0,MAX(0,MIN(1,(U1124-_xlpm.piso)/(_xlpm.corte-_xlpm.piso)))),_xlpm.orden,{"DIAMANTE";"PLATINO";"ORO";"PLATA";"BRONCE";"CERRADO"},_xlpm.act,IFERROR(MATCH(V1124,_xlpm.orden,0),6),_xlpm.ant,IFERROR(MATCH(W1124,_xlpm.orden,0),6),_xlpm.ajmov,IF(_xlpm.act&lt;_xlpm.ant,0.08,IF(_xlpm.act&gt;_xlpm.ant,-0.08,0)),_xlpm.ajcli,IF(T1124&lt;0.95,-0.06,0),_xlpm.prob,MAX(0,MIN(1,_xlpm.prog+_xlpm.ajmov+_xlpm.ajcli)),IF(OR(V1124="DIAMANTE",V1124="CERRADO"),0,ROUND(_xlpm.prob,2)))</f>
        <v>0.64</v>
      </c>
      <c r="AK1124" t="str">
        <f t="shared" si="420"/>
        <v>Faltan 8,5 puntos base para subir a la siguiente categoría</v>
      </c>
      <c r="AL1124" t="str">
        <f t="shared" si="421"/>
        <v>No aplica</v>
      </c>
      <c r="AM1124">
        <f t="shared" si="422"/>
        <v>0.48</v>
      </c>
      <c r="AN1124" t="str">
        <f t="shared" si="423"/>
        <v>PRIORIDAD MEDIA – seguimiento del asesor</v>
      </c>
      <c r="AO1124">
        <f t="shared" si="424"/>
        <v>64.862569275295584</v>
      </c>
      <c r="AP1124">
        <f t="shared" si="425"/>
        <v>15</v>
      </c>
      <c r="AQ1124">
        <f t="shared" si="426"/>
        <v>0</v>
      </c>
      <c r="AR1124">
        <f t="shared" si="427"/>
        <v>4</v>
      </c>
      <c r="AS1124">
        <f t="shared" si="428"/>
        <v>0</v>
      </c>
      <c r="AT1124" t="str">
        <f t="shared" si="429"/>
        <v>VENTAS</v>
      </c>
      <c r="AU1124">
        <f t="shared" si="430"/>
        <v>64.862569275295584</v>
      </c>
      <c r="AV1124" t="str">
        <f t="shared" si="431"/>
        <v>Mayor retorno probable: VENTAS (+64,9 puntos finales potenciales).</v>
      </c>
    </row>
    <row r="1125" spans="1:48" x14ac:dyDescent="0.3">
      <c r="A1125" s="5">
        <v>51034261</v>
      </c>
      <c r="B1125" s="5" t="str">
        <f>IFERROR(VLOOKUP(A1125,VENTAS!$A$2:$B$1194,2,0),"")</f>
        <v/>
      </c>
      <c r="C1125" s="5">
        <f>IFERROR(INDEX(VENTAS!$C$2:$E$1194,MATCH(A1125,VENTAS!$A$2:$A$1194,0),MATCH(PARAMS_MODELO!$B$2,{"Q1","Q2","Q3"},0)),0)</f>
        <v>11796241.380000001</v>
      </c>
      <c r="D1125" s="5">
        <f>IFERROR(INDEX(VENTAS!$F$2:$H$1194,MATCH(A1125,VENTAS!$A$2:$A$1194,0),MATCH(PARAMS_MODELO!$B$2,{"Q1","Q2","Q3"},0)),0)</f>
        <v>0</v>
      </c>
      <c r="E1125" s="8">
        <f t="shared" si="408"/>
        <v>-1</v>
      </c>
      <c r="F1125" s="12">
        <f>IF(E1125&lt;=PARAMS_MODELO!$B$15,0,IF(E1125&gt;=PARAMS_MODELO!$B$17,100,100*MIN(1,(E1125-PARAMS_MODELO!$B$15)/(PARAMS_MODELO!$B$16-PARAMS_MODELO!$B$15))))*PARAMS_MODELO!$B$7</f>
        <v>0</v>
      </c>
      <c r="G1125" s="5">
        <f t="shared" si="409"/>
        <v>0</v>
      </c>
      <c r="H1125" s="5">
        <f>(PARAMS_MODELO!$B$20*(MAX(0,MIN(3,E1125))/3)+PARAMS_MODELO!$B$21*(IFERROR(LN(1+MAX(0,G1125))/LN(1+MAX(0,MAX($G$2:$G$1194))),0)))*100*PARAMS_MODELO!$B$8</f>
        <v>0</v>
      </c>
      <c r="I1125" s="8">
        <f>E1125-PARAMS_MODELO!$B$5</f>
        <v>-1.1775628353755265</v>
      </c>
      <c r="J1125" s="5">
        <f>IF(I1125&lt;=PARAMS_MODELO!$B$18,0,IF(I1125&gt;=PARAMS_MODELO!$B$19,100,100*(I1125-PARAMS_MODELO!$B$18)/(PARAMS_MODELO!$B$19-PARAMS_MODELO!$B$18)))*PARAMS_MODELO!$B$9</f>
        <v>0</v>
      </c>
      <c r="K1125" s="5">
        <f>IFERROR(CHOOSE(MATCH(PARAMS_MODELO!$B$2,{"Q1","Q2","Q3"},0),LOTO!$D1125,LOTO!$F1125,LOTO!$H1125),0)</f>
        <v>0</v>
      </c>
      <c r="L1125" s="8">
        <f t="shared" si="410"/>
        <v>0</v>
      </c>
      <c r="M1125" s="5">
        <f>MIN(100,IF(PARAMS_MODELO!$B$23=0,0,100*L1125/PARAMS_MODELO!$B$23))*PARAMS_MODELO!$B$10</f>
        <v>0</v>
      </c>
      <c r="N1125" s="5">
        <f>IFERROR(VLOOKUP(A1125,COMPLIANCE!$A$2:$F$1996,6,0),100)</f>
        <v>99.98</v>
      </c>
      <c r="O1125" s="5">
        <f>N1125*PARAMS_MODELO!$B$11</f>
        <v>9.9980000000000011</v>
      </c>
      <c r="P1125" s="5">
        <f>IFERROR(VLOOKUP(A1125,DIGITAL!$A$2:$J$2000,7,0),100)</f>
        <v>57</v>
      </c>
      <c r="Q1125" s="5">
        <f>IFERROR(P1125,0)*PARAMS_MODELO!$B$12</f>
        <v>5.7</v>
      </c>
      <c r="R1125">
        <f t="shared" si="411"/>
        <v>15.698</v>
      </c>
      <c r="S1125" s="5" t="str">
        <f>IFERROR(VLOOKUP(A1125,CLIENTE!$A$2:$N$2000,13,0),1)</f>
        <v>Muy Bueno</v>
      </c>
      <c r="T1125" s="5">
        <f>IFERROR(VLOOKUP(A1125,CLIENTE!$A$2:$N$2000,14,0),1)</f>
        <v>1.1499999999999999</v>
      </c>
      <c r="U1125" s="5">
        <f t="shared" si="412"/>
        <v>18.052699999999998</v>
      </c>
      <c r="V1125" s="5" t="str">
        <f>IF(U1125&gt;=MAX(_xlfn.PERCENTILE.INC($U$2:$U$1194,PARAMS_MODELO!$B$50),PARAMS_MODELO!$B$45),"DIAMANTE",IF(U1125&gt;=MAX(_xlfn.PERCENTILE.INC($U$2:$U$1194,PARAMS_MODELO!$B$51),PARAMS_MODELO!$B$46),"PLATINO",IF(U1125&gt;=MAX(_xlfn.PERCENTILE.INC($U$2:$U$1194,PARAMS_MODELO!$B$52),PARAMS_MODELO!$B$47),"ORO",IF(U1125&gt;=MAX(_xlfn.PERCENTILE.INC($U$2:$U$1194,PARAMS_MODELO!$B$53),PARAMS_MODELO!$B$48),"PLATA",IF(U1125&gt;=1,"BRONCE","CERRADO")))))</f>
        <v>BRONCE</v>
      </c>
      <c r="W1125" s="5" t="str" cm="1">
        <f t="array" ref="W1125">_xlfn.XLOOKUP(1, (HIST_SCORE!$B:$B=PARAMS_MODELO!$B$4) * (HIST_SCORE!$C:$C=A1125), HIST_SCORE!$E:$E, "No encontrado")</f>
        <v>BRONCE</v>
      </c>
      <c r="X1125" s="5" t="str">
        <f>_xlfn.LET(_xlpm.act,MATCH(V1125,{"DIAMANTE";"PLATINO";"ORO";"PLATA";"BRONCE";"CERRADO"},0),_xlpm.ant,MATCH(W1125,{"DIAMANTE";"PLATINO";"ORO";"PLATA";"BRONCE";"CERRADO"},0),IF(_xlpm.act&lt;_xlpm.ant,"Mejora ↑",IF(_xlpm.act&gt;_xlpm.ant,"Baja ↓","Estable →")))</f>
        <v>Estable →</v>
      </c>
      <c r="Y1125" s="5">
        <f>IFERROR(U1125-SUMIFS(HIST_SCORE!$D:$D,HIST_SCORE!$B:$B,PARAMS_MODELO!$B$4,HIST_SCORE!$C:$C,$A1125),"")</f>
        <v>0</v>
      </c>
      <c r="Z1125" s="5" t="str">
        <f t="shared" si="413"/>
        <v>→ Estable</v>
      </c>
      <c r="AA1125" s="5">
        <f t="shared" si="414"/>
        <v>1029</v>
      </c>
      <c r="AB1125" s="5">
        <f>IFERROR(SUMIFS(HIST_SCORE!$F:$F,HIST_SCORE!$B:$B,PARAMS_MODELO!$B$4,HIST_SCORE!$C:$C,$A1125),"")</f>
        <v>1029</v>
      </c>
      <c r="AC1125" s="5">
        <f t="shared" si="415"/>
        <v>0</v>
      </c>
      <c r="AD1125" t="str">
        <f t="shared" si="417"/>
        <v/>
      </c>
      <c r="AE11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1125="CERRADO",1,IF(V1125="BRONCE",_xlpm.cPl,IF(V1125="PLATA",_xlpm.cO,IF(V1125="ORO",_xlpm.cP,IF(V1125="PLATINO",_xlpm.cD,999))))))</f>
        <v>24.506573482968111</v>
      </c>
      <c r="AF112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1125="CERRADO",0,IF(V1125="BRONCE",1,IF(V1125="PLATA",_xlpm.cPl,IF(V1125="ORO",_xlpm.cO,IF(V1125="PLATINO",_xlpm.cP,_xlpm.cD))))))</f>
        <v>1</v>
      </c>
      <c r="AG1125">
        <f t="shared" si="418"/>
        <v>5.6120638982331421</v>
      </c>
      <c r="AH1125" t="str">
        <f t="shared" si="419"/>
        <v>VENTAS</v>
      </c>
      <c r="AI1125" t="str">
        <f t="shared" si="416"/>
        <v>🎯 Para subir de categoría, eje VENTAS / CRECIMIENTO PERSONAL (F). Acción: metas semanales + activación comercial + seguimiento del asesor. ΔR aprox: 5,6</v>
      </c>
      <c r="AJ1125" s="26">
        <f>_xlfn.LET(_xlpm.piso,AF1125,_xlpm.corte,AE1125,_xlpm.prog,IF(_xlpm.corte&lt;=_xlpm.piso,0,MAX(0,MIN(1,(U1125-_xlpm.piso)/(_xlpm.corte-_xlpm.piso)))),_xlpm.orden,{"DIAMANTE";"PLATINO";"ORO";"PLATA";"BRONCE";"CERRADO"},_xlpm.act,IFERROR(MATCH(V1125,_xlpm.orden,0),6),_xlpm.ant,IFERROR(MATCH(W1125,_xlpm.orden,0),6),_xlpm.ajmov,IF(_xlpm.act&lt;_xlpm.ant,0.08,IF(_xlpm.act&gt;_xlpm.ant,-0.08,0)),_xlpm.ajcli,IF(T1125&lt;0.95,-0.06,0),_xlpm.prob,MAX(0,MIN(1,_xlpm.prog+_xlpm.ajmov+_xlpm.ajcli)),IF(OR(V1125="DIAMANTE",V1125="CERRADO"),0,ROUND(_xlpm.prob,2)))</f>
        <v>0.73</v>
      </c>
      <c r="AK1125" t="str">
        <f t="shared" si="420"/>
        <v>Faltan 5,6 puntos base para subir a la siguiente categoría</v>
      </c>
      <c r="AL1125" t="str">
        <f t="shared" si="421"/>
        <v>No aplica</v>
      </c>
      <c r="AM1125">
        <f t="shared" si="422"/>
        <v>0.33</v>
      </c>
      <c r="AN1125" t="str">
        <f t="shared" si="423"/>
        <v>PRIORIDAD BAJA – control normal</v>
      </c>
      <c r="AO1125">
        <f t="shared" si="424"/>
        <v>74.591954666589913</v>
      </c>
      <c r="AP1125">
        <f t="shared" si="425"/>
        <v>17.25</v>
      </c>
      <c r="AQ1125">
        <f t="shared" si="426"/>
        <v>2.2999999999987249E-3</v>
      </c>
      <c r="AR1125">
        <f t="shared" si="427"/>
        <v>4.9449999999999994</v>
      </c>
      <c r="AS1125">
        <f t="shared" si="428"/>
        <v>0</v>
      </c>
      <c r="AT1125" t="str">
        <f t="shared" si="429"/>
        <v>VENTAS</v>
      </c>
      <c r="AU1125">
        <f t="shared" si="430"/>
        <v>74.591954666589913</v>
      </c>
      <c r="AV1125" t="str">
        <f t="shared" si="431"/>
        <v>Mayor retorno probable: VENTAS (+74,6 puntos finales potenciales).</v>
      </c>
    </row>
    <row r="1126" spans="1:48" x14ac:dyDescent="0.3">
      <c r="A1126" s="5">
        <v>51034392</v>
      </c>
      <c r="B1126" s="5" t="str">
        <f>IFERROR(VLOOKUP(A1126,VENTAS!$A$2:$B$1194,2,0),"")</f>
        <v/>
      </c>
      <c r="C1126" s="5">
        <f>IFERROR(INDEX(VENTAS!$C$2:$E$1194,MATCH(A1126,VENTAS!$A$2:$A$1194,0),MATCH(PARAMS_MODELO!$B$2,{"Q1","Q2","Q3"},0)),0)</f>
        <v>0</v>
      </c>
      <c r="D1126" s="5">
        <f>IFERROR(INDEX(VENTAS!$F$2:$H$1194,MATCH(A1126,VENTAS!$A$2:$A$1194,0),MATCH(PARAMS_MODELO!$B$2,{"Q1","Q2","Q3"},0)),0)</f>
        <v>0</v>
      </c>
      <c r="E1126" s="8">
        <f t="shared" si="408"/>
        <v>0</v>
      </c>
      <c r="F1126" s="12">
        <f>IF(E1126&lt;=PARAMS_MODELO!$B$15,0,IF(E1126&gt;=PARAMS_MODELO!$B$17,100,100*MIN(1,(E1126-PARAMS_MODELO!$B$15)/(PARAMS_MODELO!$B$16-PARAMS_MODELO!$B$15))))*PARAMS_MODELO!$B$7</f>
        <v>0</v>
      </c>
      <c r="G1126" s="5">
        <f t="shared" si="409"/>
        <v>0</v>
      </c>
      <c r="H1126" s="5">
        <f>(PARAMS_MODELO!$B$20*(MAX(0,MIN(3,E1126))/3)+PARAMS_MODELO!$B$21*(IFERROR(LN(1+MAX(0,G1126))/LN(1+MAX(0,MAX($G$2:$G$1194))),0)))*100*PARAMS_MODELO!$B$8</f>
        <v>0</v>
      </c>
      <c r="I1126" s="8">
        <f>E1126-PARAMS_MODELO!$B$5</f>
        <v>-0.17756283537552653</v>
      </c>
      <c r="J1126" s="5">
        <f>IF(I1126&lt;=PARAMS_MODELO!$B$18,0,IF(I1126&gt;=PARAMS_MODELO!$B$19,100,100*(I1126-PARAMS_MODELO!$B$18)/(PARAMS_MODELO!$B$19-PARAMS_MODELO!$B$18)))*PARAMS_MODELO!$B$9</f>
        <v>0</v>
      </c>
      <c r="K1126" s="5">
        <f>IFERROR(CHOOSE(MATCH(PARAMS_MODELO!$B$2,{"Q1","Q2","Q3"},0),LOTO!$D1126,LOTO!$F1126,LOTO!$H1126),0)</f>
        <v>0</v>
      </c>
      <c r="L1126" s="8">
        <f t="shared" si="410"/>
        <v>0</v>
      </c>
      <c r="M1126" s="5">
        <f>MIN(100,IF(PARAMS_MODELO!$B$23=0,0,100*L1126/PARAMS_MODELO!$B$23))*PARAMS_MODELO!$B$10</f>
        <v>0</v>
      </c>
      <c r="N1126" s="5">
        <f>IFERROR(VLOOKUP(A1126,COMPLIANCE!$A$2:$F$1996,6,0),100)</f>
        <v>100</v>
      </c>
      <c r="O1126" s="5">
        <f>N1126*PARAMS_MODELO!$B$11</f>
        <v>10</v>
      </c>
      <c r="P1126" s="5">
        <f>IFERROR(VLOOKUP(A1126,DIGITAL!$A$2:$J$2000,7,0),100)</f>
        <v>49</v>
      </c>
      <c r="Q1126" s="5">
        <f>IFERROR(P1126,0)*PARAMS_MODELO!$B$12</f>
        <v>4.9000000000000004</v>
      </c>
      <c r="R1126">
        <f t="shared" si="411"/>
        <v>14.9</v>
      </c>
      <c r="S1126" s="5" t="str">
        <f>IFERROR(VLOOKUP(A1126,CLIENTE!$A$2:$N$2000,13,0),1)</f>
        <v>Malo</v>
      </c>
      <c r="T1126" s="5">
        <f>IFERROR(VLOOKUP(A1126,CLIENTE!$A$2:$N$2000,14,0),1)</f>
        <v>0.7</v>
      </c>
      <c r="U1126" s="5">
        <f t="shared" si="412"/>
        <v>10.43</v>
      </c>
      <c r="V1126" s="5" t="str">
        <f>IF(U1126&gt;=MAX(_xlfn.PERCENTILE.INC($U$2:$U$1194,PARAMS_MODELO!$B$50),PARAMS_MODELO!$B$45),"DIAMANTE",IF(U1126&gt;=MAX(_xlfn.PERCENTILE.INC($U$2:$U$1194,PARAMS_MODELO!$B$51),PARAMS_MODELO!$B$46),"PLATINO",IF(U1126&gt;=MAX(_xlfn.PERCENTILE.INC($U$2:$U$1194,PARAMS_MODELO!$B$52),PARAMS_MODELO!$B$47),"ORO",IF(U1126&gt;=MAX(_xlfn.PERCENTILE.INC($U$2:$U$1194,PARAMS_MODELO!$B$53),PARAMS_MODELO!$B$48),"PLATA",IF(U1126&gt;=1,"BRONCE","CERRADO")))))</f>
        <v>BRONCE</v>
      </c>
      <c r="W1126" s="5" t="str" cm="1">
        <f t="array" ref="W1126">_xlfn.XLOOKUP(1, (HIST_SCORE!$B:$B=PARAMS_MODELO!$B$4) * (HIST_SCORE!$C:$C=A1126), HIST_SCORE!$E:$E, "No encontrado")</f>
        <v>BRONCE</v>
      </c>
      <c r="X1126" s="5" t="str">
        <f>_xlfn.LET(_xlpm.act,MATCH(V1126,{"DIAMANTE";"PLATINO";"ORO";"PLATA";"BRONCE";"CERRADO"},0),_xlpm.ant,MATCH(W1126,{"DIAMANTE";"PLATINO";"ORO";"PLATA";"BRONCE";"CERRADO"},0),IF(_xlpm.act&lt;_xlpm.ant,"Mejora ↑",IF(_xlpm.act&gt;_xlpm.ant,"Baja ↓","Estable →")))</f>
        <v>Estable →</v>
      </c>
      <c r="Y1126" s="5">
        <f>IFERROR(U1126-SUMIFS(HIST_SCORE!$D:$D,HIST_SCORE!$B:$B,PARAMS_MODELO!$B$4,HIST_SCORE!$C:$C,$A1126),"")</f>
        <v>0</v>
      </c>
      <c r="Z1126" s="5" t="str">
        <f t="shared" si="413"/>
        <v>→ Estable</v>
      </c>
      <c r="AA1126" s="5">
        <f t="shared" si="414"/>
        <v>1161</v>
      </c>
      <c r="AB1126" s="5">
        <f>IFERROR(SUMIFS(HIST_SCORE!$F:$F,HIST_SCORE!$B:$B,PARAMS_MODELO!$B$4,HIST_SCORE!$C:$C,$A1126),"")</f>
        <v>1160</v>
      </c>
      <c r="AC1126" s="5">
        <f t="shared" si="415"/>
        <v>-1</v>
      </c>
      <c r="AD1126" t="str">
        <f t="shared" si="417"/>
        <v/>
      </c>
      <c r="AE11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1126="CERRADO",1,IF(V1126="BRONCE",_xlpm.cPl,IF(V1126="PLATA",_xlpm.cO,IF(V1126="ORO",_xlpm.cP,IF(V1126="PLATINO",_xlpm.cD,999))))))</f>
        <v>24.506573482968111</v>
      </c>
      <c r="AF112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1126="CERRADO",0,IF(V1126="BRONCE",1,IF(V1126="PLATA",_xlpm.cPl,IF(V1126="ORO",_xlpm.cO,IF(V1126="PLATINO",_xlpm.cP,_xlpm.cD))))))</f>
        <v>1</v>
      </c>
      <c r="AG1126">
        <f t="shared" si="418"/>
        <v>20.109390689954445</v>
      </c>
      <c r="AH1126" t="str">
        <f t="shared" si="419"/>
        <v>VENTAS</v>
      </c>
      <c r="AI1126" t="str">
        <f t="shared" si="416"/>
        <v>🎯 Para subir de categoría, eje VENTAS / CRECIMIENTO PERSONAL (F). Acción: metas semanales + activación comercial + seguimiento del asesor. ΔR aprox: 20,1</v>
      </c>
      <c r="AJ1126" s="26">
        <f>_xlfn.LET(_xlpm.piso,AF1126,_xlpm.corte,AE1126,_xlpm.prog,IF(_xlpm.corte&lt;=_xlpm.piso,0,MAX(0,MIN(1,(U1126-_xlpm.piso)/(_xlpm.corte-_xlpm.piso)))),_xlpm.orden,{"DIAMANTE";"PLATINO";"ORO";"PLATA";"BRONCE";"CERRADO"},_xlpm.act,IFERROR(MATCH(V1126,_xlpm.orden,0),6),_xlpm.ant,IFERROR(MATCH(W1126,_xlpm.orden,0),6),_xlpm.ajmov,IF(_xlpm.act&lt;_xlpm.ant,0.08,IF(_xlpm.act&gt;_xlpm.ant,-0.08,0)),_xlpm.ajcli,IF(T1126&lt;0.95,-0.06,0),_xlpm.prob,MAX(0,MIN(1,_xlpm.prog+_xlpm.ajmov+_xlpm.ajcli)),IF(OR(V1126="DIAMANTE",V1126="CERRADO"),0,ROUND(_xlpm.prob,2)))</f>
        <v>0.34</v>
      </c>
      <c r="AK1126" t="str">
        <f t="shared" si="420"/>
        <v>Faltan 20,1 puntos base para subir a la siguiente categoría</v>
      </c>
      <c r="AL1126" t="str">
        <f t="shared" si="421"/>
        <v>No aplica</v>
      </c>
      <c r="AM1126">
        <f t="shared" si="422"/>
        <v>0.86</v>
      </c>
      <c r="AN1126" t="str">
        <f t="shared" si="423"/>
        <v>PRIORIDAD ALTA – requiere intervención inmediata</v>
      </c>
      <c r="AO1126">
        <f t="shared" si="424"/>
        <v>45.403798492706905</v>
      </c>
      <c r="AP1126">
        <f t="shared" si="425"/>
        <v>10.5</v>
      </c>
      <c r="AQ1126">
        <f t="shared" si="426"/>
        <v>0</v>
      </c>
      <c r="AR1126">
        <f t="shared" si="427"/>
        <v>3.5699999999999994</v>
      </c>
      <c r="AS1126">
        <f t="shared" si="428"/>
        <v>4.4700000000000006</v>
      </c>
      <c r="AT1126" t="str">
        <f t="shared" si="429"/>
        <v>VENTAS</v>
      </c>
      <c r="AU1126">
        <f t="shared" si="430"/>
        <v>45.403798492706905</v>
      </c>
      <c r="AV1126" t="str">
        <f t="shared" si="431"/>
        <v>Mayor retorno probable: VENTAS (+45,4 puntos finales potenciales).</v>
      </c>
    </row>
    <row r="1127" spans="1:48" x14ac:dyDescent="0.3">
      <c r="A1127" s="5">
        <v>51036093</v>
      </c>
      <c r="B1127" s="5" t="str">
        <f>IFERROR(VLOOKUP(A1127,VENTAS!$A$2:$B$1194,2,0),"")</f>
        <v/>
      </c>
      <c r="C1127" s="5">
        <f>IFERROR(INDEX(VENTAS!$C$2:$E$1194,MATCH(A1127,VENTAS!$A$2:$A$1194,0),MATCH(PARAMS_MODELO!$B$2,{"Q1","Q2","Q3"},0)),0)</f>
        <v>0</v>
      </c>
      <c r="D1127" s="5">
        <f>IFERROR(INDEX(VENTAS!$F$2:$H$1194,MATCH(A1127,VENTAS!$A$2:$A$1194,0),MATCH(PARAMS_MODELO!$B$2,{"Q1","Q2","Q3"},0)),0)</f>
        <v>0</v>
      </c>
      <c r="E1127" s="8">
        <f t="shared" si="408"/>
        <v>0</v>
      </c>
      <c r="F1127" s="12">
        <f>IF(E1127&lt;=PARAMS_MODELO!$B$15,0,IF(E1127&gt;=PARAMS_MODELO!$B$17,100,100*MIN(1,(E1127-PARAMS_MODELO!$B$15)/(PARAMS_MODELO!$B$16-PARAMS_MODELO!$B$15))))*PARAMS_MODELO!$B$7</f>
        <v>0</v>
      </c>
      <c r="G1127" s="5">
        <f t="shared" si="409"/>
        <v>0</v>
      </c>
      <c r="H1127" s="5">
        <f>(PARAMS_MODELO!$B$20*(MAX(0,MIN(3,E1127))/3)+PARAMS_MODELO!$B$21*(IFERROR(LN(1+MAX(0,G1127))/LN(1+MAX(0,MAX($G$2:$G$1194))),0)))*100*PARAMS_MODELO!$B$8</f>
        <v>0</v>
      </c>
      <c r="I1127" s="8">
        <f>E1127-PARAMS_MODELO!$B$5</f>
        <v>-0.17756283537552653</v>
      </c>
      <c r="J1127" s="5">
        <f>IF(I1127&lt;=PARAMS_MODELO!$B$18,0,IF(I1127&gt;=PARAMS_MODELO!$B$19,100,100*(I1127-PARAMS_MODELO!$B$18)/(PARAMS_MODELO!$B$19-PARAMS_MODELO!$B$18)))*PARAMS_MODELO!$B$9</f>
        <v>0</v>
      </c>
      <c r="K1127" s="5">
        <f>IFERROR(CHOOSE(MATCH(PARAMS_MODELO!$B$2,{"Q1","Q2","Q3"},0),LOTO!$D1127,LOTO!$F1127,LOTO!$H1127),0)</f>
        <v>0</v>
      </c>
      <c r="L1127" s="8">
        <f t="shared" si="410"/>
        <v>0</v>
      </c>
      <c r="M1127" s="5">
        <f>MIN(100,IF(PARAMS_MODELO!$B$23=0,0,100*L1127/PARAMS_MODELO!$B$23))*PARAMS_MODELO!$B$10</f>
        <v>0</v>
      </c>
      <c r="N1127" s="5">
        <f>IFERROR(VLOOKUP(A1127,COMPLIANCE!$A$2:$F$1996,6,0),100)</f>
        <v>100</v>
      </c>
      <c r="O1127" s="5">
        <f>N1127*PARAMS_MODELO!$B$11</f>
        <v>10</v>
      </c>
      <c r="P1127" s="5">
        <f>IFERROR(VLOOKUP(A1127,DIGITAL!$A$2:$J$2000,7,0),100)</f>
        <v>18</v>
      </c>
      <c r="Q1127" s="5">
        <f>IFERROR(P1127,0)*PARAMS_MODELO!$B$12</f>
        <v>1.8</v>
      </c>
      <c r="R1127">
        <f t="shared" si="411"/>
        <v>11.8</v>
      </c>
      <c r="S1127" s="5" t="str">
        <f>IFERROR(VLOOKUP(A1127,CLIENTE!$A$2:$N$2000,13,0),1)</f>
        <v>Regular</v>
      </c>
      <c r="T1127" s="5">
        <f>IFERROR(VLOOKUP(A1127,CLIENTE!$A$2:$N$2000,14,0),1)</f>
        <v>1</v>
      </c>
      <c r="U1127" s="5">
        <f t="shared" si="412"/>
        <v>11.8</v>
      </c>
      <c r="V1127" s="5" t="str">
        <f>IF(U1127&gt;=MAX(_xlfn.PERCENTILE.INC($U$2:$U$1194,PARAMS_MODELO!$B$50),PARAMS_MODELO!$B$45),"DIAMANTE",IF(U1127&gt;=MAX(_xlfn.PERCENTILE.INC($U$2:$U$1194,PARAMS_MODELO!$B$51),PARAMS_MODELO!$B$46),"PLATINO",IF(U1127&gt;=MAX(_xlfn.PERCENTILE.INC($U$2:$U$1194,PARAMS_MODELO!$B$52),PARAMS_MODELO!$B$47),"ORO",IF(U1127&gt;=MAX(_xlfn.PERCENTILE.INC($U$2:$U$1194,PARAMS_MODELO!$B$53),PARAMS_MODELO!$B$48),"PLATA",IF(U1127&gt;=1,"BRONCE","CERRADO")))))</f>
        <v>BRONCE</v>
      </c>
      <c r="W1127" s="5" t="str" cm="1">
        <f t="array" ref="W1127">_xlfn.XLOOKUP(1, (HIST_SCORE!$B:$B=PARAMS_MODELO!$B$4) * (HIST_SCORE!$C:$C=A1127), HIST_SCORE!$E:$E, "No encontrado")</f>
        <v>BRONCE</v>
      </c>
      <c r="X1127" s="5" t="str">
        <f>_xlfn.LET(_xlpm.act,MATCH(V1127,{"DIAMANTE";"PLATINO";"ORO";"PLATA";"BRONCE";"CERRADO"},0),_xlpm.ant,MATCH(W1127,{"DIAMANTE";"PLATINO";"ORO";"PLATA";"BRONCE";"CERRADO"},0),IF(_xlpm.act&lt;_xlpm.ant,"Mejora ↑",IF(_xlpm.act&gt;_xlpm.ant,"Baja ↓","Estable →")))</f>
        <v>Estable →</v>
      </c>
      <c r="Y1127" s="5">
        <f>IFERROR(U1127-SUMIFS(HIST_SCORE!$D:$D,HIST_SCORE!$B:$B,PARAMS_MODELO!$B$4,HIST_SCORE!$C:$C,$A1127),"")</f>
        <v>0</v>
      </c>
      <c r="Z1127" s="5" t="str">
        <f t="shared" si="413"/>
        <v>→ Estable</v>
      </c>
      <c r="AA1127" s="5">
        <f t="shared" si="414"/>
        <v>1135</v>
      </c>
      <c r="AB1127" s="5">
        <f>IFERROR(SUMIFS(HIST_SCORE!$F:$F,HIST_SCORE!$B:$B,PARAMS_MODELO!$B$4,HIST_SCORE!$C:$C,$A1127),"")</f>
        <v>1133</v>
      </c>
      <c r="AC1127" s="5">
        <f t="shared" si="415"/>
        <v>-2</v>
      </c>
      <c r="AD1127" t="str">
        <f t="shared" si="417"/>
        <v/>
      </c>
      <c r="AE11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1127="CERRADO",1,IF(V1127="BRONCE",_xlpm.cPl,IF(V1127="PLATA",_xlpm.cO,IF(V1127="ORO",_xlpm.cP,IF(V1127="PLATINO",_xlpm.cD,999))))))</f>
        <v>24.506573482968111</v>
      </c>
      <c r="AF112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1127="CERRADO",0,IF(V1127="BRONCE",1,IF(V1127="PLATA",_xlpm.cPl,IF(V1127="ORO",_xlpm.cO,IF(V1127="PLATINO",_xlpm.cP,_xlpm.cD))))))</f>
        <v>1</v>
      </c>
      <c r="AG1127">
        <f t="shared" si="418"/>
        <v>12.706573482968111</v>
      </c>
      <c r="AH1127" t="str">
        <f t="shared" si="419"/>
        <v>VENTAS</v>
      </c>
      <c r="AI1127" t="str">
        <f t="shared" si="416"/>
        <v>🎯 Para subir de categoría, eje VENTAS / CRECIMIENTO PERSONAL (F). Acción: metas semanales + activación comercial + seguimiento del asesor. ΔR aprox: 12,7</v>
      </c>
      <c r="AJ1127" s="26">
        <f>_xlfn.LET(_xlpm.piso,AF1127,_xlpm.corte,AE1127,_xlpm.prog,IF(_xlpm.corte&lt;=_xlpm.piso,0,MAX(0,MIN(1,(U1127-_xlpm.piso)/(_xlpm.corte-_xlpm.piso)))),_xlpm.orden,{"DIAMANTE";"PLATINO";"ORO";"PLATA";"BRONCE";"CERRADO"},_xlpm.act,IFERROR(MATCH(V1127,_xlpm.orden,0),6),_xlpm.ant,IFERROR(MATCH(W1127,_xlpm.orden,0),6),_xlpm.ajmov,IF(_xlpm.act&lt;_xlpm.ant,0.08,IF(_xlpm.act&gt;_xlpm.ant,-0.08,0)),_xlpm.ajcli,IF(T1127&lt;0.95,-0.06,0),_xlpm.prob,MAX(0,MIN(1,_xlpm.prog+_xlpm.ajmov+_xlpm.ajcli)),IF(OR(V1127="DIAMANTE",V1127="CERRADO"),0,ROUND(_xlpm.prob,2)))</f>
        <v>0.46</v>
      </c>
      <c r="AK1127" t="str">
        <f t="shared" si="420"/>
        <v>Faltan 12,7 puntos base para subir a la siguiente categoría</v>
      </c>
      <c r="AL1127" t="str">
        <f t="shared" si="421"/>
        <v>No aplica</v>
      </c>
      <c r="AM1127">
        <f t="shared" si="422"/>
        <v>0.62</v>
      </c>
      <c r="AN1127" t="str">
        <f t="shared" si="423"/>
        <v>PRIORIDAD MEDIA – seguimiento del asesor</v>
      </c>
      <c r="AO1127">
        <f t="shared" si="424"/>
        <v>64.862569275295584</v>
      </c>
      <c r="AP1127">
        <f t="shared" si="425"/>
        <v>15</v>
      </c>
      <c r="AQ1127">
        <f t="shared" si="426"/>
        <v>0</v>
      </c>
      <c r="AR1127">
        <f t="shared" si="427"/>
        <v>8.1999999999999993</v>
      </c>
      <c r="AS1127">
        <f t="shared" si="428"/>
        <v>0</v>
      </c>
      <c r="AT1127" t="str">
        <f t="shared" si="429"/>
        <v>VENTAS</v>
      </c>
      <c r="AU1127">
        <f t="shared" si="430"/>
        <v>64.862569275295584</v>
      </c>
      <c r="AV1127" t="str">
        <f t="shared" si="431"/>
        <v>Mayor retorno probable: VENTAS (+64,9 puntos finales potenciales).</v>
      </c>
    </row>
    <row r="1128" spans="1:48" x14ac:dyDescent="0.3">
      <c r="A1128" s="5">
        <v>51036620</v>
      </c>
      <c r="B1128" s="5" t="str">
        <f>IFERROR(VLOOKUP(A1128,VENTAS!$A$2:$B$1194,2,0),"")</f>
        <v/>
      </c>
      <c r="C1128" s="5">
        <f>IFERROR(INDEX(VENTAS!$C$2:$E$1194,MATCH(A1128,VENTAS!$A$2:$A$1194,0),MATCH(PARAMS_MODELO!$B$2,{"Q1","Q2","Q3"},0)),0)</f>
        <v>0</v>
      </c>
      <c r="D1128" s="5">
        <f>IFERROR(INDEX(VENTAS!$F$2:$H$1194,MATCH(A1128,VENTAS!$A$2:$A$1194,0),MATCH(PARAMS_MODELO!$B$2,{"Q1","Q2","Q3"},0)),0)</f>
        <v>0</v>
      </c>
      <c r="E1128" s="8">
        <f t="shared" si="408"/>
        <v>0</v>
      </c>
      <c r="F1128" s="12">
        <f>IF(E1128&lt;=PARAMS_MODELO!$B$15,0,IF(E1128&gt;=PARAMS_MODELO!$B$17,100,100*MIN(1,(E1128-PARAMS_MODELO!$B$15)/(PARAMS_MODELO!$B$16-PARAMS_MODELO!$B$15))))*PARAMS_MODELO!$B$7</f>
        <v>0</v>
      </c>
      <c r="G1128" s="5">
        <f t="shared" si="409"/>
        <v>0</v>
      </c>
      <c r="H1128" s="5">
        <f>(PARAMS_MODELO!$B$20*(MAX(0,MIN(3,E1128))/3)+PARAMS_MODELO!$B$21*(IFERROR(LN(1+MAX(0,G1128))/LN(1+MAX(0,MAX($G$2:$G$1194))),0)))*100*PARAMS_MODELO!$B$8</f>
        <v>0</v>
      </c>
      <c r="I1128" s="8">
        <f>E1128-PARAMS_MODELO!$B$5</f>
        <v>-0.17756283537552653</v>
      </c>
      <c r="J1128" s="5">
        <f>IF(I1128&lt;=PARAMS_MODELO!$B$18,0,IF(I1128&gt;=PARAMS_MODELO!$B$19,100,100*(I1128-PARAMS_MODELO!$B$18)/(PARAMS_MODELO!$B$19-PARAMS_MODELO!$B$18)))*PARAMS_MODELO!$B$9</f>
        <v>0</v>
      </c>
      <c r="K1128" s="5">
        <f>IFERROR(CHOOSE(MATCH(PARAMS_MODELO!$B$2,{"Q1","Q2","Q3"},0),LOTO!$D1128,LOTO!$F1128,LOTO!$H1128),0)</f>
        <v>0</v>
      </c>
      <c r="L1128" s="8">
        <f t="shared" si="410"/>
        <v>0</v>
      </c>
      <c r="M1128" s="5">
        <f>MIN(100,IF(PARAMS_MODELO!$B$23=0,0,100*L1128/PARAMS_MODELO!$B$23))*PARAMS_MODELO!$B$10</f>
        <v>0</v>
      </c>
      <c r="N1128" s="5">
        <f>IFERROR(VLOOKUP(A1128,COMPLIANCE!$A$2:$F$1996,6,0),100)</f>
        <v>100</v>
      </c>
      <c r="O1128" s="5">
        <f>N1128*PARAMS_MODELO!$B$11</f>
        <v>10</v>
      </c>
      <c r="P1128" s="5">
        <f>IFERROR(VLOOKUP(A1128,DIGITAL!$A$2:$J$2000,7,0),100)</f>
        <v>68</v>
      </c>
      <c r="Q1128" s="5">
        <f>IFERROR(P1128,0)*PARAMS_MODELO!$B$12</f>
        <v>6.8000000000000007</v>
      </c>
      <c r="R1128">
        <f t="shared" si="411"/>
        <v>16.8</v>
      </c>
      <c r="S1128" s="5" t="str">
        <f>IFERROR(VLOOKUP(A1128,CLIENTE!$A$2:$N$2000,13,0),1)</f>
        <v>Regular</v>
      </c>
      <c r="T1128" s="5">
        <f>IFERROR(VLOOKUP(A1128,CLIENTE!$A$2:$N$2000,14,0),1)</f>
        <v>1</v>
      </c>
      <c r="U1128" s="5">
        <f t="shared" si="412"/>
        <v>16.8</v>
      </c>
      <c r="V1128" s="5" t="str">
        <f>IF(U1128&gt;=MAX(_xlfn.PERCENTILE.INC($U$2:$U$1194,PARAMS_MODELO!$B$50),PARAMS_MODELO!$B$45),"DIAMANTE",IF(U1128&gt;=MAX(_xlfn.PERCENTILE.INC($U$2:$U$1194,PARAMS_MODELO!$B$51),PARAMS_MODELO!$B$46),"PLATINO",IF(U1128&gt;=MAX(_xlfn.PERCENTILE.INC($U$2:$U$1194,PARAMS_MODELO!$B$52),PARAMS_MODELO!$B$47),"ORO",IF(U1128&gt;=MAX(_xlfn.PERCENTILE.INC($U$2:$U$1194,PARAMS_MODELO!$B$53),PARAMS_MODELO!$B$48),"PLATA",IF(U1128&gt;=1,"BRONCE","CERRADO")))))</f>
        <v>BRONCE</v>
      </c>
      <c r="W1128" s="5" t="str" cm="1">
        <f t="array" ref="W1128">_xlfn.XLOOKUP(1, (HIST_SCORE!$B:$B=PARAMS_MODELO!$B$4) * (HIST_SCORE!$C:$C=A1128), HIST_SCORE!$E:$E, "No encontrado")</f>
        <v>BRONCE</v>
      </c>
      <c r="X1128" s="5" t="str">
        <f>_xlfn.LET(_xlpm.act,MATCH(V1128,{"DIAMANTE";"PLATINO";"ORO";"PLATA";"BRONCE";"CERRADO"},0),_xlpm.ant,MATCH(W1128,{"DIAMANTE";"PLATINO";"ORO";"PLATA";"BRONCE";"CERRADO"},0),IF(_xlpm.act&lt;_xlpm.ant,"Mejora ↑",IF(_xlpm.act&gt;_xlpm.ant,"Baja ↓","Estable →")))</f>
        <v>Estable →</v>
      </c>
      <c r="Y1128" s="5">
        <f>IFERROR(U1128-SUMIFS(HIST_SCORE!$D:$D,HIST_SCORE!$B:$B,PARAMS_MODELO!$B$4,HIST_SCORE!$C:$C,$A1128),"")</f>
        <v>0</v>
      </c>
      <c r="Z1128" s="5" t="str">
        <f t="shared" si="413"/>
        <v>→ Estable</v>
      </c>
      <c r="AA1128" s="5">
        <f t="shared" si="414"/>
        <v>1055</v>
      </c>
      <c r="AB1128" s="5">
        <f>IFERROR(SUMIFS(HIST_SCORE!$F:$F,HIST_SCORE!$B:$B,PARAMS_MODELO!$B$4,HIST_SCORE!$C:$C,$A1128),"")</f>
        <v>1051</v>
      </c>
      <c r="AC1128" s="5">
        <f t="shared" si="415"/>
        <v>-4</v>
      </c>
      <c r="AD1128" t="str">
        <f t="shared" si="417"/>
        <v/>
      </c>
      <c r="AE11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1128="CERRADO",1,IF(V1128="BRONCE",_xlpm.cPl,IF(V1128="PLATA",_xlpm.cO,IF(V1128="ORO",_xlpm.cP,IF(V1128="PLATINO",_xlpm.cD,999))))))</f>
        <v>24.506573482968111</v>
      </c>
      <c r="AF112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1128="CERRADO",0,IF(V1128="BRONCE",1,IF(V1128="PLATA",_xlpm.cPl,IF(V1128="ORO",_xlpm.cO,IF(V1128="PLATINO",_xlpm.cP,_xlpm.cD))))))</f>
        <v>1</v>
      </c>
      <c r="AG1128">
        <f t="shared" si="418"/>
        <v>7.7065734829681105</v>
      </c>
      <c r="AH1128" t="str">
        <f t="shared" si="419"/>
        <v>VENTAS</v>
      </c>
      <c r="AI1128" t="str">
        <f t="shared" si="416"/>
        <v>🎯 Para subir de categoría, eje VENTAS / CRECIMIENTO PERSONAL (F). Acción: metas semanales + activación comercial + seguimiento del asesor. ΔR aprox: 7,7</v>
      </c>
      <c r="AJ1128" s="26">
        <f>_xlfn.LET(_xlpm.piso,AF1128,_xlpm.corte,AE1128,_xlpm.prog,IF(_xlpm.corte&lt;=_xlpm.piso,0,MAX(0,MIN(1,(U1128-_xlpm.piso)/(_xlpm.corte-_xlpm.piso)))),_xlpm.orden,{"DIAMANTE";"PLATINO";"ORO";"PLATA";"BRONCE";"CERRADO"},_xlpm.act,IFERROR(MATCH(V1128,_xlpm.orden,0),6),_xlpm.ant,IFERROR(MATCH(W1128,_xlpm.orden,0),6),_xlpm.ajmov,IF(_xlpm.act&lt;_xlpm.ant,0.08,IF(_xlpm.act&gt;_xlpm.ant,-0.08,0)),_xlpm.ajcli,IF(T1128&lt;0.95,-0.06,0),_xlpm.prob,MAX(0,MIN(1,_xlpm.prog+_xlpm.ajmov+_xlpm.ajcli)),IF(OR(V1128="DIAMANTE",V1128="CERRADO"),0,ROUND(_xlpm.prob,2)))</f>
        <v>0.67</v>
      </c>
      <c r="AK1128" t="str">
        <f t="shared" si="420"/>
        <v>Faltan 7,7 puntos base para subir a la siguiente categoría</v>
      </c>
      <c r="AL1128" t="str">
        <f t="shared" si="421"/>
        <v>No aplica</v>
      </c>
      <c r="AM1128">
        <f t="shared" si="422"/>
        <v>0.44</v>
      </c>
      <c r="AN1128" t="str">
        <f t="shared" si="423"/>
        <v>PRIORIDAD MEDIA – seguimiento del asesor</v>
      </c>
      <c r="AO1128">
        <f t="shared" si="424"/>
        <v>64.862569275295584</v>
      </c>
      <c r="AP1128">
        <f t="shared" si="425"/>
        <v>15</v>
      </c>
      <c r="AQ1128">
        <f t="shared" si="426"/>
        <v>0</v>
      </c>
      <c r="AR1128">
        <f t="shared" si="427"/>
        <v>3.1999999999999993</v>
      </c>
      <c r="AS1128">
        <f t="shared" si="428"/>
        <v>0</v>
      </c>
      <c r="AT1128" t="str">
        <f t="shared" si="429"/>
        <v>VENTAS</v>
      </c>
      <c r="AU1128">
        <f t="shared" si="430"/>
        <v>64.862569275295584</v>
      </c>
      <c r="AV1128" t="str">
        <f t="shared" si="431"/>
        <v>Mayor retorno probable: VENTAS (+64,9 puntos finales potenciales).</v>
      </c>
    </row>
    <row r="1129" spans="1:48" x14ac:dyDescent="0.3">
      <c r="A1129" s="5">
        <v>51036786</v>
      </c>
      <c r="B1129" s="5" t="str">
        <f>IFERROR(VLOOKUP(A1129,VENTAS!$A$2:$B$1194,2,0),"")</f>
        <v/>
      </c>
      <c r="C1129" s="5">
        <f>IFERROR(INDEX(VENTAS!$C$2:$E$1194,MATCH(A1129,VENTAS!$A$2:$A$1194,0),MATCH(PARAMS_MODELO!$B$2,{"Q1","Q2","Q3"},0)),0)</f>
        <v>0</v>
      </c>
      <c r="D1129" s="5">
        <f>IFERROR(INDEX(VENTAS!$F$2:$H$1194,MATCH(A1129,VENTAS!$A$2:$A$1194,0),MATCH(PARAMS_MODELO!$B$2,{"Q1","Q2","Q3"},0)),0)</f>
        <v>0</v>
      </c>
      <c r="E1129" s="8">
        <f t="shared" si="408"/>
        <v>0</v>
      </c>
      <c r="F1129" s="12">
        <f>IF(E1129&lt;=PARAMS_MODELO!$B$15,0,IF(E1129&gt;=PARAMS_MODELO!$B$17,100,100*MIN(1,(E1129-PARAMS_MODELO!$B$15)/(PARAMS_MODELO!$B$16-PARAMS_MODELO!$B$15))))*PARAMS_MODELO!$B$7</f>
        <v>0</v>
      </c>
      <c r="G1129" s="5">
        <f t="shared" si="409"/>
        <v>0</v>
      </c>
      <c r="H1129" s="5">
        <f>(PARAMS_MODELO!$B$20*(MAX(0,MIN(3,E1129))/3)+PARAMS_MODELO!$B$21*(IFERROR(LN(1+MAX(0,G1129))/LN(1+MAX(0,MAX($G$2:$G$1194))),0)))*100*PARAMS_MODELO!$B$8</f>
        <v>0</v>
      </c>
      <c r="I1129" s="8">
        <f>E1129-PARAMS_MODELO!$B$5</f>
        <v>-0.17756283537552653</v>
      </c>
      <c r="J1129" s="5">
        <f>IF(I1129&lt;=PARAMS_MODELO!$B$18,0,IF(I1129&gt;=PARAMS_MODELO!$B$19,100,100*(I1129-PARAMS_MODELO!$B$18)/(PARAMS_MODELO!$B$19-PARAMS_MODELO!$B$18)))*PARAMS_MODELO!$B$9</f>
        <v>0</v>
      </c>
      <c r="K1129" s="5">
        <f>IFERROR(CHOOSE(MATCH(PARAMS_MODELO!$B$2,{"Q1","Q2","Q3"},0),LOTO!$D1129,LOTO!$F1129,LOTO!$H1129),0)</f>
        <v>0</v>
      </c>
      <c r="L1129" s="8">
        <f t="shared" si="410"/>
        <v>0</v>
      </c>
      <c r="M1129" s="5">
        <f>MIN(100,IF(PARAMS_MODELO!$B$23=0,0,100*L1129/PARAMS_MODELO!$B$23))*PARAMS_MODELO!$B$10</f>
        <v>0</v>
      </c>
      <c r="N1129" s="5">
        <f>IFERROR(VLOOKUP(A1129,COMPLIANCE!$A$2:$F$1996,6,0),100)</f>
        <v>100</v>
      </c>
      <c r="O1129" s="5">
        <f>N1129*PARAMS_MODELO!$B$11</f>
        <v>10</v>
      </c>
      <c r="P1129" s="5">
        <f>IFERROR(VLOOKUP(A1129,DIGITAL!$A$2:$J$2000,7,0),100)</f>
        <v>89</v>
      </c>
      <c r="Q1129" s="5">
        <f>IFERROR(P1129,0)*PARAMS_MODELO!$B$12</f>
        <v>8.9</v>
      </c>
      <c r="R1129">
        <f t="shared" si="411"/>
        <v>18.899999999999999</v>
      </c>
      <c r="S1129" s="5" t="str">
        <f>IFERROR(VLOOKUP(A1129,CLIENTE!$A$2:$N$2000,13,0),1)</f>
        <v>Muy Bueno</v>
      </c>
      <c r="T1129" s="5">
        <f>IFERROR(VLOOKUP(A1129,CLIENTE!$A$2:$N$2000,14,0),1)</f>
        <v>1.1499999999999999</v>
      </c>
      <c r="U1129" s="5">
        <f t="shared" si="412"/>
        <v>21.734999999999996</v>
      </c>
      <c r="V1129" s="5" t="str">
        <f>IF(U1129&gt;=MAX(_xlfn.PERCENTILE.INC($U$2:$U$1194,PARAMS_MODELO!$B$50),PARAMS_MODELO!$B$45),"DIAMANTE",IF(U1129&gt;=MAX(_xlfn.PERCENTILE.INC($U$2:$U$1194,PARAMS_MODELO!$B$51),PARAMS_MODELO!$B$46),"PLATINO",IF(U1129&gt;=MAX(_xlfn.PERCENTILE.INC($U$2:$U$1194,PARAMS_MODELO!$B$52),PARAMS_MODELO!$B$47),"ORO",IF(U1129&gt;=MAX(_xlfn.PERCENTILE.INC($U$2:$U$1194,PARAMS_MODELO!$B$53),PARAMS_MODELO!$B$48),"PLATA",IF(U1129&gt;=1,"BRONCE","CERRADO")))))</f>
        <v>BRONCE</v>
      </c>
      <c r="W1129" s="5" t="str" cm="1">
        <f t="array" ref="W1129">_xlfn.XLOOKUP(1, (HIST_SCORE!$B:$B=PARAMS_MODELO!$B$4) * (HIST_SCORE!$C:$C=A1129), HIST_SCORE!$E:$E, "No encontrado")</f>
        <v>BRONCE</v>
      </c>
      <c r="X1129" s="5" t="str">
        <f>_xlfn.LET(_xlpm.act,MATCH(V1129,{"DIAMANTE";"PLATINO";"ORO";"PLATA";"BRONCE";"CERRADO"},0),_xlpm.ant,MATCH(W1129,{"DIAMANTE";"PLATINO";"ORO";"PLATA";"BRONCE";"CERRADO"},0),IF(_xlpm.act&lt;_xlpm.ant,"Mejora ↑",IF(_xlpm.act&gt;_xlpm.ant,"Baja ↓","Estable →")))</f>
        <v>Estable →</v>
      </c>
      <c r="Y1129" s="5">
        <f>IFERROR(U1129-SUMIFS(HIST_SCORE!$D:$D,HIST_SCORE!$B:$B,PARAMS_MODELO!$B$4,HIST_SCORE!$C:$C,$A1129),"")</f>
        <v>0</v>
      </c>
      <c r="Z1129" s="5" t="str">
        <f t="shared" si="413"/>
        <v>→ Estable</v>
      </c>
      <c r="AA1129" s="5">
        <f t="shared" si="414"/>
        <v>951</v>
      </c>
      <c r="AB1129" s="5">
        <f>IFERROR(SUMIFS(HIST_SCORE!$F:$F,HIST_SCORE!$B:$B,PARAMS_MODELO!$B$4,HIST_SCORE!$C:$C,$A1129),"")</f>
        <v>970</v>
      </c>
      <c r="AC1129" s="5">
        <f t="shared" si="415"/>
        <v>19</v>
      </c>
      <c r="AD1129" t="str">
        <f t="shared" si="417"/>
        <v/>
      </c>
      <c r="AE11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1129="CERRADO",1,IF(V1129="BRONCE",_xlpm.cPl,IF(V1129="PLATA",_xlpm.cO,IF(V1129="ORO",_xlpm.cP,IF(V1129="PLATINO",_xlpm.cD,999))))))</f>
        <v>24.506573482968111</v>
      </c>
      <c r="AF112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1129="CERRADO",0,IF(V1129="BRONCE",1,IF(V1129="PLATA",_xlpm.cPl,IF(V1129="ORO",_xlpm.cO,IF(V1129="PLATINO",_xlpm.cP,_xlpm.cD))))))</f>
        <v>1</v>
      </c>
      <c r="AG1129">
        <f t="shared" si="418"/>
        <v>2.4100638982331439</v>
      </c>
      <c r="AH1129" t="str">
        <f t="shared" si="419"/>
        <v>VENTAS</v>
      </c>
      <c r="AI1129" t="str">
        <f t="shared" si="416"/>
        <v>🎯 Para subir de categoría, eje VENTAS / CRECIMIENTO PERSONAL (F). Acción: metas semanales + activación comercial + seguimiento del asesor. ΔR aprox: 2,4</v>
      </c>
      <c r="AJ1129" s="26">
        <f>_xlfn.LET(_xlpm.piso,AF1129,_xlpm.corte,AE1129,_xlpm.prog,IF(_xlpm.corte&lt;=_xlpm.piso,0,MAX(0,MIN(1,(U1129-_xlpm.piso)/(_xlpm.corte-_xlpm.piso)))),_xlpm.orden,{"DIAMANTE";"PLATINO";"ORO";"PLATA";"BRONCE";"CERRADO"},_xlpm.act,IFERROR(MATCH(V1129,_xlpm.orden,0),6),_xlpm.ant,IFERROR(MATCH(W1129,_xlpm.orden,0),6),_xlpm.ajmov,IF(_xlpm.act&lt;_xlpm.ant,0.08,IF(_xlpm.act&gt;_xlpm.ant,-0.08,0)),_xlpm.ajcli,IF(T1129&lt;0.95,-0.06,0),_xlpm.prob,MAX(0,MIN(1,_xlpm.prog+_xlpm.ajmov+_xlpm.ajcli)),IF(OR(V1129="DIAMANTE",V1129="CERRADO"),0,ROUND(_xlpm.prob,2)))</f>
        <v>0.88</v>
      </c>
      <c r="AK1129" t="str">
        <f t="shared" si="420"/>
        <v>Faltan 2,4 puntos base para subir a la siguiente categoría</v>
      </c>
      <c r="AL1129" t="str">
        <f t="shared" si="421"/>
        <v>No aplica</v>
      </c>
      <c r="AM1129">
        <f t="shared" si="422"/>
        <v>0.14000000000000001</v>
      </c>
      <c r="AN1129" t="str">
        <f t="shared" si="423"/>
        <v>PRIORIDAD BAJA – control normal</v>
      </c>
      <c r="AO1129">
        <f t="shared" si="424"/>
        <v>74.591954666589913</v>
      </c>
      <c r="AP1129">
        <f t="shared" si="425"/>
        <v>17.25</v>
      </c>
      <c r="AQ1129">
        <f t="shared" si="426"/>
        <v>0</v>
      </c>
      <c r="AR1129">
        <f t="shared" si="427"/>
        <v>1.2649999999999995</v>
      </c>
      <c r="AS1129">
        <f t="shared" si="428"/>
        <v>0</v>
      </c>
      <c r="AT1129" t="str">
        <f t="shared" si="429"/>
        <v>VENTAS</v>
      </c>
      <c r="AU1129">
        <f t="shared" si="430"/>
        <v>74.591954666589913</v>
      </c>
      <c r="AV1129" t="str">
        <f t="shared" si="431"/>
        <v>Mayor retorno probable: VENTAS (+74,6 puntos finales potenciales).</v>
      </c>
    </row>
    <row r="1130" spans="1:48" x14ac:dyDescent="0.3">
      <c r="A1130" s="5">
        <v>51037014</v>
      </c>
      <c r="B1130" s="5" t="str">
        <f>IFERROR(VLOOKUP(A1130,VENTAS!$A$2:$B$1194,2,0),"")</f>
        <v/>
      </c>
      <c r="C1130" s="5">
        <f>IFERROR(INDEX(VENTAS!$C$2:$E$1194,MATCH(A1130,VENTAS!$A$2:$A$1194,0),MATCH(PARAMS_MODELO!$B$2,{"Q1","Q2","Q3"},0)),0)</f>
        <v>19637994.640000001</v>
      </c>
      <c r="D1130" s="5">
        <f>IFERROR(INDEX(VENTAS!$F$2:$H$1194,MATCH(A1130,VENTAS!$A$2:$A$1194,0),MATCH(PARAMS_MODELO!$B$2,{"Q1","Q2","Q3"},0)),0)</f>
        <v>0</v>
      </c>
      <c r="E1130" s="8">
        <f t="shared" si="408"/>
        <v>-1</v>
      </c>
      <c r="F1130" s="12">
        <f>IF(E1130&lt;=PARAMS_MODELO!$B$15,0,IF(E1130&gt;=PARAMS_MODELO!$B$17,100,100*MIN(1,(E1130-PARAMS_MODELO!$B$15)/(PARAMS_MODELO!$B$16-PARAMS_MODELO!$B$15))))*PARAMS_MODELO!$B$7</f>
        <v>0</v>
      </c>
      <c r="G1130" s="5">
        <f t="shared" si="409"/>
        <v>0</v>
      </c>
      <c r="H1130" s="5">
        <f>(PARAMS_MODELO!$B$20*(MAX(0,MIN(3,E1130))/3)+PARAMS_MODELO!$B$21*(IFERROR(LN(1+MAX(0,G1130))/LN(1+MAX(0,MAX($G$2:$G$1194))),0)))*100*PARAMS_MODELO!$B$8</f>
        <v>0</v>
      </c>
      <c r="I1130" s="8">
        <f>E1130-PARAMS_MODELO!$B$5</f>
        <v>-1.1775628353755265</v>
      </c>
      <c r="J1130" s="5">
        <f>IF(I1130&lt;=PARAMS_MODELO!$B$18,0,IF(I1130&gt;=PARAMS_MODELO!$B$19,100,100*(I1130-PARAMS_MODELO!$B$18)/(PARAMS_MODELO!$B$19-PARAMS_MODELO!$B$18)))*PARAMS_MODELO!$B$9</f>
        <v>0</v>
      </c>
      <c r="K1130" s="5">
        <f>IFERROR(CHOOSE(MATCH(PARAMS_MODELO!$B$2,{"Q1","Q2","Q3"},0),LOTO!$D1130,LOTO!$F1130,LOTO!$H1130),0)</f>
        <v>0</v>
      </c>
      <c r="L1130" s="8">
        <f t="shared" si="410"/>
        <v>0</v>
      </c>
      <c r="M1130" s="5">
        <f>MIN(100,IF(PARAMS_MODELO!$B$23=0,0,100*L1130/PARAMS_MODELO!$B$23))*PARAMS_MODELO!$B$10</f>
        <v>0</v>
      </c>
      <c r="N1130" s="5">
        <f>IFERROR(VLOOKUP(A1130,COMPLIANCE!$A$2:$F$1996,6,0),100)</f>
        <v>100</v>
      </c>
      <c r="O1130" s="5">
        <f>N1130*PARAMS_MODELO!$B$11</f>
        <v>10</v>
      </c>
      <c r="P1130" s="5">
        <f>IFERROR(VLOOKUP(A1130,DIGITAL!$A$2:$J$2000,7,0),100)</f>
        <v>71</v>
      </c>
      <c r="Q1130" s="5">
        <f>IFERROR(P1130,0)*PARAMS_MODELO!$B$12</f>
        <v>7.1000000000000005</v>
      </c>
      <c r="R1130">
        <f t="shared" si="411"/>
        <v>17.100000000000001</v>
      </c>
      <c r="S1130" s="5" t="str">
        <f>IFERROR(VLOOKUP(A1130,CLIENTE!$A$2:$N$2000,13,0),1)</f>
        <v>Regular</v>
      </c>
      <c r="T1130" s="5">
        <f>IFERROR(VLOOKUP(A1130,CLIENTE!$A$2:$N$2000,14,0),1)</f>
        <v>1</v>
      </c>
      <c r="U1130" s="5">
        <f t="shared" si="412"/>
        <v>17.100000000000001</v>
      </c>
      <c r="V1130" s="5" t="str">
        <f>IF(U1130&gt;=MAX(_xlfn.PERCENTILE.INC($U$2:$U$1194,PARAMS_MODELO!$B$50),PARAMS_MODELO!$B$45),"DIAMANTE",IF(U1130&gt;=MAX(_xlfn.PERCENTILE.INC($U$2:$U$1194,PARAMS_MODELO!$B$51),PARAMS_MODELO!$B$46),"PLATINO",IF(U1130&gt;=MAX(_xlfn.PERCENTILE.INC($U$2:$U$1194,PARAMS_MODELO!$B$52),PARAMS_MODELO!$B$47),"ORO",IF(U1130&gt;=MAX(_xlfn.PERCENTILE.INC($U$2:$U$1194,PARAMS_MODELO!$B$53),PARAMS_MODELO!$B$48),"PLATA",IF(U1130&gt;=1,"BRONCE","CERRADO")))))</f>
        <v>BRONCE</v>
      </c>
      <c r="W1130" s="5" t="str" cm="1">
        <f t="array" ref="W1130">_xlfn.XLOOKUP(1, (HIST_SCORE!$B:$B=PARAMS_MODELO!$B$4) * (HIST_SCORE!$C:$C=A1130), HIST_SCORE!$E:$E, "No encontrado")</f>
        <v>BRONCE</v>
      </c>
      <c r="X1130" s="5" t="str">
        <f>_xlfn.LET(_xlpm.act,MATCH(V1130,{"DIAMANTE";"PLATINO";"ORO";"PLATA";"BRONCE";"CERRADO"},0),_xlpm.ant,MATCH(W1130,{"DIAMANTE";"PLATINO";"ORO";"PLATA";"BRONCE";"CERRADO"},0),IF(_xlpm.act&lt;_xlpm.ant,"Mejora ↑",IF(_xlpm.act&gt;_xlpm.ant,"Baja ↓","Estable →")))</f>
        <v>Estable →</v>
      </c>
      <c r="Y1130" s="5">
        <f>IFERROR(U1130-SUMIFS(HIST_SCORE!$D:$D,HIST_SCORE!$B:$B,PARAMS_MODELO!$B$4,HIST_SCORE!$C:$C,$A1130),"")</f>
        <v>0</v>
      </c>
      <c r="Z1130" s="5" t="str">
        <f t="shared" si="413"/>
        <v>→ Estable</v>
      </c>
      <c r="AA1130" s="5">
        <f t="shared" si="414"/>
        <v>1049</v>
      </c>
      <c r="AB1130" s="5">
        <f>IFERROR(SUMIFS(HIST_SCORE!$F:$F,HIST_SCORE!$B:$B,PARAMS_MODELO!$B$4,HIST_SCORE!$C:$C,$A1130),"")</f>
        <v>1044</v>
      </c>
      <c r="AC1130" s="5">
        <f t="shared" si="415"/>
        <v>-5</v>
      </c>
      <c r="AD1130" t="str">
        <f t="shared" si="417"/>
        <v/>
      </c>
      <c r="AE11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1130="CERRADO",1,IF(V1130="BRONCE",_xlpm.cPl,IF(V1130="PLATA",_xlpm.cO,IF(V1130="ORO",_xlpm.cP,IF(V1130="PLATINO",_xlpm.cD,999))))))</f>
        <v>24.506573482968111</v>
      </c>
      <c r="AF113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1130="CERRADO",0,IF(V1130="BRONCE",1,IF(V1130="PLATA",_xlpm.cPl,IF(V1130="ORO",_xlpm.cO,IF(V1130="PLATINO",_xlpm.cP,_xlpm.cD))))))</f>
        <v>1</v>
      </c>
      <c r="AG1130">
        <f t="shared" si="418"/>
        <v>7.4065734829681098</v>
      </c>
      <c r="AH1130" t="str">
        <f t="shared" si="419"/>
        <v>VENTAS</v>
      </c>
      <c r="AI1130" t="str">
        <f t="shared" si="416"/>
        <v>🎯 Para subir de categoría, eje VENTAS / CRECIMIENTO PERSONAL (F). Acción: metas semanales + activación comercial + seguimiento del asesor. ΔR aprox: 7,4</v>
      </c>
      <c r="AJ1130" s="26">
        <f>_xlfn.LET(_xlpm.piso,AF1130,_xlpm.corte,AE1130,_xlpm.prog,IF(_xlpm.corte&lt;=_xlpm.piso,0,MAX(0,MIN(1,(U1130-_xlpm.piso)/(_xlpm.corte-_xlpm.piso)))),_xlpm.orden,{"DIAMANTE";"PLATINO";"ORO";"PLATA";"BRONCE";"CERRADO"},_xlpm.act,IFERROR(MATCH(V1130,_xlpm.orden,0),6),_xlpm.ant,IFERROR(MATCH(W1130,_xlpm.orden,0),6),_xlpm.ajmov,IF(_xlpm.act&lt;_xlpm.ant,0.08,IF(_xlpm.act&gt;_xlpm.ant,-0.08,0)),_xlpm.ajcli,IF(T1130&lt;0.95,-0.06,0),_xlpm.prob,MAX(0,MIN(1,_xlpm.prog+_xlpm.ajmov+_xlpm.ajcli)),IF(OR(V1130="DIAMANTE",V1130="CERRADO"),0,ROUND(_xlpm.prob,2)))</f>
        <v>0.68</v>
      </c>
      <c r="AK1130" t="str">
        <f t="shared" si="420"/>
        <v>Faltan 7,4 puntos base para subir a la siguiente categoría</v>
      </c>
      <c r="AL1130" t="str">
        <f t="shared" si="421"/>
        <v>No aplica</v>
      </c>
      <c r="AM1130">
        <f t="shared" si="422"/>
        <v>0.42</v>
      </c>
      <c r="AN1130" t="str">
        <f t="shared" si="423"/>
        <v>PRIORIDAD MEDIA – seguimiento del asesor</v>
      </c>
      <c r="AO1130">
        <f t="shared" si="424"/>
        <v>64.862569275295584</v>
      </c>
      <c r="AP1130">
        <f t="shared" si="425"/>
        <v>15</v>
      </c>
      <c r="AQ1130">
        <f t="shared" si="426"/>
        <v>0</v>
      </c>
      <c r="AR1130">
        <f t="shared" si="427"/>
        <v>2.8999999999999995</v>
      </c>
      <c r="AS1130">
        <f t="shared" si="428"/>
        <v>0</v>
      </c>
      <c r="AT1130" t="str">
        <f t="shared" si="429"/>
        <v>VENTAS</v>
      </c>
      <c r="AU1130">
        <f t="shared" si="430"/>
        <v>64.862569275295584</v>
      </c>
      <c r="AV1130" t="str">
        <f t="shared" si="431"/>
        <v>Mayor retorno probable: VENTAS (+64,9 puntos finales potenciales).</v>
      </c>
    </row>
    <row r="1131" spans="1:48" x14ac:dyDescent="0.3">
      <c r="A1131" s="5">
        <v>51038991</v>
      </c>
      <c r="B1131" s="5" t="str">
        <f>IFERROR(VLOOKUP(A1131,VENTAS!$A$2:$B$1194,2,0),"")</f>
        <v/>
      </c>
      <c r="C1131" s="5">
        <f>IFERROR(INDEX(VENTAS!$C$2:$E$1194,MATCH(A1131,VENTAS!$A$2:$A$1194,0),MATCH(PARAMS_MODELO!$B$2,{"Q1","Q2","Q3"},0)),0)</f>
        <v>43472191.799999997</v>
      </c>
      <c r="D1131" s="5">
        <f>IFERROR(INDEX(VENTAS!$F$2:$H$1194,MATCH(A1131,VENTAS!$A$2:$A$1194,0),MATCH(PARAMS_MODELO!$B$2,{"Q1","Q2","Q3"},0)),0)</f>
        <v>0</v>
      </c>
      <c r="E1131" s="8">
        <f t="shared" si="408"/>
        <v>-1</v>
      </c>
      <c r="F1131" s="12">
        <f>IF(E1131&lt;=PARAMS_MODELO!$B$15,0,IF(E1131&gt;=PARAMS_MODELO!$B$17,100,100*MIN(1,(E1131-PARAMS_MODELO!$B$15)/(PARAMS_MODELO!$B$16-PARAMS_MODELO!$B$15))))*PARAMS_MODELO!$B$7</f>
        <v>0</v>
      </c>
      <c r="G1131" s="5">
        <f t="shared" si="409"/>
        <v>0</v>
      </c>
      <c r="H1131" s="5">
        <f>(PARAMS_MODELO!$B$20*(MAX(0,MIN(3,E1131))/3)+PARAMS_MODELO!$B$21*(IFERROR(LN(1+MAX(0,G1131))/LN(1+MAX(0,MAX($G$2:$G$1194))),0)))*100*PARAMS_MODELO!$B$8</f>
        <v>0</v>
      </c>
      <c r="I1131" s="8">
        <f>E1131-PARAMS_MODELO!$B$5</f>
        <v>-1.1775628353755265</v>
      </c>
      <c r="J1131" s="5">
        <f>IF(I1131&lt;=PARAMS_MODELO!$B$18,0,IF(I1131&gt;=PARAMS_MODELO!$B$19,100,100*(I1131-PARAMS_MODELO!$B$18)/(PARAMS_MODELO!$B$19-PARAMS_MODELO!$B$18)))*PARAMS_MODELO!$B$9</f>
        <v>0</v>
      </c>
      <c r="K1131" s="5">
        <f>IFERROR(CHOOSE(MATCH(PARAMS_MODELO!$B$2,{"Q1","Q2","Q3"},0),LOTO!$D1131,LOTO!$F1131,LOTO!$H1131),0)</f>
        <v>0</v>
      </c>
      <c r="L1131" s="8">
        <f t="shared" si="410"/>
        <v>0</v>
      </c>
      <c r="M1131" s="5">
        <f>MIN(100,IF(PARAMS_MODELO!$B$23=0,0,100*L1131/PARAMS_MODELO!$B$23))*PARAMS_MODELO!$B$10</f>
        <v>0</v>
      </c>
      <c r="N1131" s="5">
        <f>IFERROR(VLOOKUP(A1131,COMPLIANCE!$A$2:$F$1996,6,0),100)</f>
        <v>99.98</v>
      </c>
      <c r="O1131" s="5">
        <f>N1131*PARAMS_MODELO!$B$11</f>
        <v>9.9980000000000011</v>
      </c>
      <c r="P1131" s="5">
        <f>IFERROR(VLOOKUP(A1131,DIGITAL!$A$2:$J$2000,7,0),100)</f>
        <v>62</v>
      </c>
      <c r="Q1131" s="5">
        <f>IFERROR(P1131,0)*PARAMS_MODELO!$B$12</f>
        <v>6.2</v>
      </c>
      <c r="R1131">
        <f t="shared" si="411"/>
        <v>16.198</v>
      </c>
      <c r="S1131" s="5" t="str">
        <f>IFERROR(VLOOKUP(A1131,CLIENTE!$A$2:$N$2000,13,0),1)</f>
        <v>Regular</v>
      </c>
      <c r="T1131" s="5">
        <f>IFERROR(VLOOKUP(A1131,CLIENTE!$A$2:$N$2000,14,0),1)</f>
        <v>1</v>
      </c>
      <c r="U1131" s="5">
        <f t="shared" si="412"/>
        <v>16.198</v>
      </c>
      <c r="V1131" s="5" t="str">
        <f>IF(U1131&gt;=MAX(_xlfn.PERCENTILE.INC($U$2:$U$1194,PARAMS_MODELO!$B$50),PARAMS_MODELO!$B$45),"DIAMANTE",IF(U1131&gt;=MAX(_xlfn.PERCENTILE.INC($U$2:$U$1194,PARAMS_MODELO!$B$51),PARAMS_MODELO!$B$46),"PLATINO",IF(U1131&gt;=MAX(_xlfn.PERCENTILE.INC($U$2:$U$1194,PARAMS_MODELO!$B$52),PARAMS_MODELO!$B$47),"ORO",IF(U1131&gt;=MAX(_xlfn.PERCENTILE.INC($U$2:$U$1194,PARAMS_MODELO!$B$53),PARAMS_MODELO!$B$48),"PLATA",IF(U1131&gt;=1,"BRONCE","CERRADO")))))</f>
        <v>BRONCE</v>
      </c>
      <c r="W1131" s="5" t="str" cm="1">
        <f t="array" ref="W1131">_xlfn.XLOOKUP(1, (HIST_SCORE!$B:$B=PARAMS_MODELO!$B$4) * (HIST_SCORE!$C:$C=A1131), HIST_SCORE!$E:$E, "No encontrado")</f>
        <v>BRONCE</v>
      </c>
      <c r="X1131" s="5" t="str">
        <f>_xlfn.LET(_xlpm.act,MATCH(V1131,{"DIAMANTE";"PLATINO";"ORO";"PLATA";"BRONCE";"CERRADO"},0),_xlpm.ant,MATCH(W1131,{"DIAMANTE";"PLATINO";"ORO";"PLATA";"BRONCE";"CERRADO"},0),IF(_xlpm.act&lt;_xlpm.ant,"Mejora ↑",IF(_xlpm.act&gt;_xlpm.ant,"Baja ↓","Estable →")))</f>
        <v>Estable →</v>
      </c>
      <c r="Y1131" s="5">
        <f>IFERROR(U1131-SUMIFS(HIST_SCORE!$D:$D,HIST_SCORE!$B:$B,PARAMS_MODELO!$B$4,HIST_SCORE!$C:$C,$A1131),"")</f>
        <v>0</v>
      </c>
      <c r="Z1131" s="5" t="str">
        <f t="shared" si="413"/>
        <v>→ Estable</v>
      </c>
      <c r="AA1131" s="5">
        <f t="shared" si="414"/>
        <v>1065</v>
      </c>
      <c r="AB1131" s="5">
        <f>IFERROR(SUMIFS(HIST_SCORE!$F:$F,HIST_SCORE!$B:$B,PARAMS_MODELO!$B$4,HIST_SCORE!$C:$C,$A1131),"")</f>
        <v>1062</v>
      </c>
      <c r="AC1131" s="5">
        <f t="shared" si="415"/>
        <v>-3</v>
      </c>
      <c r="AD1131" t="str">
        <f t="shared" si="417"/>
        <v/>
      </c>
      <c r="AE11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1131="CERRADO",1,IF(V1131="BRONCE",_xlpm.cPl,IF(V1131="PLATA",_xlpm.cO,IF(V1131="ORO",_xlpm.cP,IF(V1131="PLATINO",_xlpm.cD,999))))))</f>
        <v>24.506573482968111</v>
      </c>
      <c r="AF113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1131="CERRADO",0,IF(V1131="BRONCE",1,IF(V1131="PLATA",_xlpm.cPl,IF(V1131="ORO",_xlpm.cO,IF(V1131="PLATINO",_xlpm.cP,_xlpm.cD))))))</f>
        <v>1</v>
      </c>
      <c r="AG1131">
        <f t="shared" si="418"/>
        <v>8.3085734829681108</v>
      </c>
      <c r="AH1131" t="str">
        <f t="shared" si="419"/>
        <v>VENTAS</v>
      </c>
      <c r="AI1131" t="str">
        <f t="shared" si="416"/>
        <v>🎯 Para subir de categoría, eje VENTAS / CRECIMIENTO PERSONAL (F). Acción: metas semanales + activación comercial + seguimiento del asesor. ΔR aprox: 8,3</v>
      </c>
      <c r="AJ1131" s="26">
        <f>_xlfn.LET(_xlpm.piso,AF1131,_xlpm.corte,AE1131,_xlpm.prog,IF(_xlpm.corte&lt;=_xlpm.piso,0,MAX(0,MIN(1,(U1131-_xlpm.piso)/(_xlpm.corte-_xlpm.piso)))),_xlpm.orden,{"DIAMANTE";"PLATINO";"ORO";"PLATA";"BRONCE";"CERRADO"},_xlpm.act,IFERROR(MATCH(V1131,_xlpm.orden,0),6),_xlpm.ant,IFERROR(MATCH(W1131,_xlpm.orden,0),6),_xlpm.ajmov,IF(_xlpm.act&lt;_xlpm.ant,0.08,IF(_xlpm.act&gt;_xlpm.ant,-0.08,0)),_xlpm.ajcli,IF(T1131&lt;0.95,-0.06,0),_xlpm.prob,MAX(0,MIN(1,_xlpm.prog+_xlpm.ajmov+_xlpm.ajcli)),IF(OR(V1131="DIAMANTE",V1131="CERRADO"),0,ROUND(_xlpm.prob,2)))</f>
        <v>0.65</v>
      </c>
      <c r="AK1131" t="str">
        <f t="shared" si="420"/>
        <v>Faltan 8,3 puntos base para subir a la siguiente categoría</v>
      </c>
      <c r="AL1131" t="str">
        <f t="shared" si="421"/>
        <v>No aplica</v>
      </c>
      <c r="AM1131">
        <f t="shared" si="422"/>
        <v>0.47</v>
      </c>
      <c r="AN1131" t="str">
        <f t="shared" si="423"/>
        <v>PRIORIDAD MEDIA – seguimiento del asesor</v>
      </c>
      <c r="AO1131">
        <f t="shared" si="424"/>
        <v>64.862569275295584</v>
      </c>
      <c r="AP1131">
        <f t="shared" si="425"/>
        <v>15</v>
      </c>
      <c r="AQ1131">
        <f t="shared" si="426"/>
        <v>1.9999999999988916E-3</v>
      </c>
      <c r="AR1131">
        <f t="shared" si="427"/>
        <v>3.8</v>
      </c>
      <c r="AS1131">
        <f t="shared" si="428"/>
        <v>0</v>
      </c>
      <c r="AT1131" t="str">
        <f t="shared" si="429"/>
        <v>VENTAS</v>
      </c>
      <c r="AU1131">
        <f t="shared" si="430"/>
        <v>64.862569275295584</v>
      </c>
      <c r="AV1131" t="str">
        <f t="shared" si="431"/>
        <v>Mayor retorno probable: VENTAS (+64,9 puntos finales potenciales).</v>
      </c>
    </row>
    <row r="1132" spans="1:48" x14ac:dyDescent="0.3">
      <c r="A1132" s="5">
        <v>51039084</v>
      </c>
      <c r="B1132" s="5" t="str">
        <f>IFERROR(VLOOKUP(A1132,VENTAS!$A$2:$B$1194,2,0),"")</f>
        <v/>
      </c>
      <c r="C1132" s="5">
        <f>IFERROR(INDEX(VENTAS!$C$2:$E$1194,MATCH(A1132,VENTAS!$A$2:$A$1194,0),MATCH(PARAMS_MODELO!$B$2,{"Q1","Q2","Q3"},0)),0)</f>
        <v>65888768.049999997</v>
      </c>
      <c r="D1132" s="5">
        <f>IFERROR(INDEX(VENTAS!$F$2:$H$1194,MATCH(A1132,VENTAS!$A$2:$A$1194,0),MATCH(PARAMS_MODELO!$B$2,{"Q1","Q2","Q3"},0)),0)</f>
        <v>0</v>
      </c>
      <c r="E1132" s="8">
        <f t="shared" si="408"/>
        <v>-1</v>
      </c>
      <c r="F1132" s="12">
        <f>IF(E1132&lt;=PARAMS_MODELO!$B$15,0,IF(E1132&gt;=PARAMS_MODELO!$B$17,100,100*MIN(1,(E1132-PARAMS_MODELO!$B$15)/(PARAMS_MODELO!$B$16-PARAMS_MODELO!$B$15))))*PARAMS_MODELO!$B$7</f>
        <v>0</v>
      </c>
      <c r="G1132" s="5">
        <f t="shared" si="409"/>
        <v>0</v>
      </c>
      <c r="H1132" s="5">
        <f>(PARAMS_MODELO!$B$20*(MAX(0,MIN(3,E1132))/3)+PARAMS_MODELO!$B$21*(IFERROR(LN(1+MAX(0,G1132))/LN(1+MAX(0,MAX($G$2:$G$1194))),0)))*100*PARAMS_MODELO!$B$8</f>
        <v>0</v>
      </c>
      <c r="I1132" s="8">
        <f>E1132-PARAMS_MODELO!$B$5</f>
        <v>-1.1775628353755265</v>
      </c>
      <c r="J1132" s="5">
        <f>IF(I1132&lt;=PARAMS_MODELO!$B$18,0,IF(I1132&gt;=PARAMS_MODELO!$B$19,100,100*(I1132-PARAMS_MODELO!$B$18)/(PARAMS_MODELO!$B$19-PARAMS_MODELO!$B$18)))*PARAMS_MODELO!$B$9</f>
        <v>0</v>
      </c>
      <c r="K1132" s="5">
        <f>IFERROR(CHOOSE(MATCH(PARAMS_MODELO!$B$2,{"Q1","Q2","Q3"},0),LOTO!$D1132,LOTO!$F1132,LOTO!$H1132),0)</f>
        <v>0</v>
      </c>
      <c r="L1132" s="8">
        <f t="shared" si="410"/>
        <v>0</v>
      </c>
      <c r="M1132" s="5">
        <f>MIN(100,IF(PARAMS_MODELO!$B$23=0,0,100*L1132/PARAMS_MODELO!$B$23))*PARAMS_MODELO!$B$10</f>
        <v>0</v>
      </c>
      <c r="N1132" s="5">
        <f>IFERROR(VLOOKUP(A1132,COMPLIANCE!$A$2:$F$1996,6,0),100)</f>
        <v>99.85</v>
      </c>
      <c r="O1132" s="5">
        <f>N1132*PARAMS_MODELO!$B$11</f>
        <v>9.9849999999999994</v>
      </c>
      <c r="P1132" s="5">
        <f>IFERROR(VLOOKUP(A1132,DIGITAL!$A$2:$J$2000,7,0),100)</f>
        <v>69</v>
      </c>
      <c r="Q1132" s="5">
        <f>IFERROR(P1132,0)*PARAMS_MODELO!$B$12</f>
        <v>6.9</v>
      </c>
      <c r="R1132">
        <f t="shared" si="411"/>
        <v>16.884999999999998</v>
      </c>
      <c r="S1132" s="5" t="str">
        <f>IFERROR(VLOOKUP(A1132,CLIENTE!$A$2:$N$2000,13,0),1)</f>
        <v>Malo</v>
      </c>
      <c r="T1132" s="5">
        <f>IFERROR(VLOOKUP(A1132,CLIENTE!$A$2:$N$2000,14,0),1)</f>
        <v>0.7</v>
      </c>
      <c r="U1132" s="5">
        <f t="shared" si="412"/>
        <v>11.819499999999998</v>
      </c>
      <c r="V1132" s="5" t="str">
        <f>IF(U1132&gt;=MAX(_xlfn.PERCENTILE.INC($U$2:$U$1194,PARAMS_MODELO!$B$50),PARAMS_MODELO!$B$45),"DIAMANTE",IF(U1132&gt;=MAX(_xlfn.PERCENTILE.INC($U$2:$U$1194,PARAMS_MODELO!$B$51),PARAMS_MODELO!$B$46),"PLATINO",IF(U1132&gt;=MAX(_xlfn.PERCENTILE.INC($U$2:$U$1194,PARAMS_MODELO!$B$52),PARAMS_MODELO!$B$47),"ORO",IF(U1132&gt;=MAX(_xlfn.PERCENTILE.INC($U$2:$U$1194,PARAMS_MODELO!$B$53),PARAMS_MODELO!$B$48),"PLATA",IF(U1132&gt;=1,"BRONCE","CERRADO")))))</f>
        <v>BRONCE</v>
      </c>
      <c r="W1132" s="5" t="str" cm="1">
        <f t="array" ref="W1132">_xlfn.XLOOKUP(1, (HIST_SCORE!$B:$B=PARAMS_MODELO!$B$4) * (HIST_SCORE!$C:$C=A1132), HIST_SCORE!$E:$E, "No encontrado")</f>
        <v>BRONCE</v>
      </c>
      <c r="X1132" s="5" t="str">
        <f>_xlfn.LET(_xlpm.act,MATCH(V1132,{"DIAMANTE";"PLATINO";"ORO";"PLATA";"BRONCE";"CERRADO"},0),_xlpm.ant,MATCH(W1132,{"DIAMANTE";"PLATINO";"ORO";"PLATA";"BRONCE";"CERRADO"},0),IF(_xlpm.act&lt;_xlpm.ant,"Mejora ↑",IF(_xlpm.act&gt;_xlpm.ant,"Baja ↓","Estable →")))</f>
        <v>Estable →</v>
      </c>
      <c r="Y1132" s="5">
        <f>IFERROR(U1132-SUMIFS(HIST_SCORE!$D:$D,HIST_SCORE!$B:$B,PARAMS_MODELO!$B$4,HIST_SCORE!$C:$C,$A1132),"")</f>
        <v>0</v>
      </c>
      <c r="Z1132" s="5" t="str">
        <f t="shared" si="413"/>
        <v>→ Estable</v>
      </c>
      <c r="AA1132" s="5">
        <f t="shared" si="414"/>
        <v>1134</v>
      </c>
      <c r="AB1132" s="5">
        <f>IFERROR(SUMIFS(HIST_SCORE!$F:$F,HIST_SCORE!$B:$B,PARAMS_MODELO!$B$4,HIST_SCORE!$C:$C,$A1132),"")</f>
        <v>1132</v>
      </c>
      <c r="AC1132" s="5">
        <f t="shared" si="415"/>
        <v>-2</v>
      </c>
      <c r="AD1132" t="str">
        <f t="shared" si="417"/>
        <v/>
      </c>
      <c r="AE11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1132="CERRADO",1,IF(V1132="BRONCE",_xlpm.cPl,IF(V1132="PLATA",_xlpm.cO,IF(V1132="ORO",_xlpm.cP,IF(V1132="PLATINO",_xlpm.cD,999))))))</f>
        <v>24.506573482968111</v>
      </c>
      <c r="AF113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1132="CERRADO",0,IF(V1132="BRONCE",1,IF(V1132="PLATA",_xlpm.cPl,IF(V1132="ORO",_xlpm.cO,IF(V1132="PLATINO",_xlpm.cP,_xlpm.cD))))))</f>
        <v>1</v>
      </c>
      <c r="AG1132">
        <f t="shared" si="418"/>
        <v>18.124390689954446</v>
      </c>
      <c r="AH1132" t="str">
        <f t="shared" si="419"/>
        <v>VENTAS</v>
      </c>
      <c r="AI1132" t="str">
        <f t="shared" si="416"/>
        <v>🎯 Para subir de categoría, eje VENTAS / CRECIMIENTO PERSONAL (F). Acción: metas semanales + activación comercial + seguimiento del asesor. ΔR aprox: 18,1</v>
      </c>
      <c r="AJ1132" s="26">
        <f>_xlfn.LET(_xlpm.piso,AF1132,_xlpm.corte,AE1132,_xlpm.prog,IF(_xlpm.corte&lt;=_xlpm.piso,0,MAX(0,MIN(1,(U1132-_xlpm.piso)/(_xlpm.corte-_xlpm.piso)))),_xlpm.orden,{"DIAMANTE";"PLATINO";"ORO";"PLATA";"BRONCE";"CERRADO"},_xlpm.act,IFERROR(MATCH(V1132,_xlpm.orden,0),6),_xlpm.ant,IFERROR(MATCH(W1132,_xlpm.orden,0),6),_xlpm.ajmov,IF(_xlpm.act&lt;_xlpm.ant,0.08,IF(_xlpm.act&gt;_xlpm.ant,-0.08,0)),_xlpm.ajcli,IF(T1132&lt;0.95,-0.06,0),_xlpm.prob,MAX(0,MIN(1,_xlpm.prog+_xlpm.ajmov+_xlpm.ajcli)),IF(OR(V1132="DIAMANTE",V1132="CERRADO"),0,ROUND(_xlpm.prob,2)))</f>
        <v>0.4</v>
      </c>
      <c r="AK1132" t="str">
        <f t="shared" si="420"/>
        <v>Faltan 18,1 puntos base para subir a la siguiente categoría</v>
      </c>
      <c r="AL1132" t="str">
        <f t="shared" si="421"/>
        <v>No aplica</v>
      </c>
      <c r="AM1132">
        <f t="shared" si="422"/>
        <v>0.84</v>
      </c>
      <c r="AN1132" t="str">
        <f t="shared" si="423"/>
        <v>PRIORIDAD ALTA – requiere intervención inmediata</v>
      </c>
      <c r="AO1132">
        <f t="shared" si="424"/>
        <v>45.403798492706905</v>
      </c>
      <c r="AP1132">
        <f t="shared" si="425"/>
        <v>10.5</v>
      </c>
      <c r="AQ1132">
        <f t="shared" si="426"/>
        <v>1.0500000000000398E-2</v>
      </c>
      <c r="AR1132">
        <f t="shared" si="427"/>
        <v>2.1699999999999995</v>
      </c>
      <c r="AS1132">
        <f t="shared" si="428"/>
        <v>5.0655000000000001</v>
      </c>
      <c r="AT1132" t="str">
        <f t="shared" si="429"/>
        <v>VENTAS</v>
      </c>
      <c r="AU1132">
        <f t="shared" si="430"/>
        <v>45.403798492706905</v>
      </c>
      <c r="AV1132" t="str">
        <f t="shared" si="431"/>
        <v>Mayor retorno probable: VENTAS (+45,4 puntos finales potenciales).</v>
      </c>
    </row>
    <row r="1133" spans="1:48" x14ac:dyDescent="0.3">
      <c r="A1133" s="5">
        <v>51039955</v>
      </c>
      <c r="B1133" s="5" t="str">
        <f>IFERROR(VLOOKUP(A1133,VENTAS!$A$2:$B$1194,2,0),"")</f>
        <v/>
      </c>
      <c r="C1133" s="5">
        <f>IFERROR(INDEX(VENTAS!$C$2:$E$1194,MATCH(A1133,VENTAS!$A$2:$A$1194,0),MATCH(PARAMS_MODELO!$B$2,{"Q1","Q2","Q3"},0)),0)</f>
        <v>0</v>
      </c>
      <c r="D1133" s="5">
        <f>IFERROR(INDEX(VENTAS!$F$2:$H$1194,MATCH(A1133,VENTAS!$A$2:$A$1194,0),MATCH(PARAMS_MODELO!$B$2,{"Q1","Q2","Q3"},0)),0)</f>
        <v>0</v>
      </c>
      <c r="E1133" s="8">
        <f t="shared" si="408"/>
        <v>0</v>
      </c>
      <c r="F1133" s="12">
        <f>IF(E1133&lt;=PARAMS_MODELO!$B$15,0,IF(E1133&gt;=PARAMS_MODELO!$B$17,100,100*MIN(1,(E1133-PARAMS_MODELO!$B$15)/(PARAMS_MODELO!$B$16-PARAMS_MODELO!$B$15))))*PARAMS_MODELO!$B$7</f>
        <v>0</v>
      </c>
      <c r="G1133" s="5">
        <f t="shared" si="409"/>
        <v>0</v>
      </c>
      <c r="H1133" s="5">
        <f>(PARAMS_MODELO!$B$20*(MAX(0,MIN(3,E1133))/3)+PARAMS_MODELO!$B$21*(IFERROR(LN(1+MAX(0,G1133))/LN(1+MAX(0,MAX($G$2:$G$1194))),0)))*100*PARAMS_MODELO!$B$8</f>
        <v>0</v>
      </c>
      <c r="I1133" s="8">
        <f>E1133-PARAMS_MODELO!$B$5</f>
        <v>-0.17756283537552653</v>
      </c>
      <c r="J1133" s="5">
        <f>IF(I1133&lt;=PARAMS_MODELO!$B$18,0,IF(I1133&gt;=PARAMS_MODELO!$B$19,100,100*(I1133-PARAMS_MODELO!$B$18)/(PARAMS_MODELO!$B$19-PARAMS_MODELO!$B$18)))*PARAMS_MODELO!$B$9</f>
        <v>0</v>
      </c>
      <c r="K1133" s="5">
        <f>IFERROR(CHOOSE(MATCH(PARAMS_MODELO!$B$2,{"Q1","Q2","Q3"},0),LOTO!$D1133,LOTO!$F1133,LOTO!$H1133),0)</f>
        <v>0</v>
      </c>
      <c r="L1133" s="8">
        <f t="shared" si="410"/>
        <v>0</v>
      </c>
      <c r="M1133" s="5">
        <f>MIN(100,IF(PARAMS_MODELO!$B$23=0,0,100*L1133/PARAMS_MODELO!$B$23))*PARAMS_MODELO!$B$10</f>
        <v>0</v>
      </c>
      <c r="N1133" s="5">
        <f>IFERROR(VLOOKUP(A1133,COMPLIANCE!$A$2:$F$1996,6,0),100)</f>
        <v>100</v>
      </c>
      <c r="O1133" s="5">
        <f>N1133*PARAMS_MODELO!$B$11</f>
        <v>10</v>
      </c>
      <c r="P1133" s="5">
        <f>IFERROR(VLOOKUP(A1133,DIGITAL!$A$2:$J$2000,7,0),100)</f>
        <v>91</v>
      </c>
      <c r="Q1133" s="5">
        <f>IFERROR(P1133,0)*PARAMS_MODELO!$B$12</f>
        <v>9.1</v>
      </c>
      <c r="R1133">
        <f t="shared" si="411"/>
        <v>19.100000000000001</v>
      </c>
      <c r="S1133" s="5" t="str">
        <f>IFERROR(VLOOKUP(A1133,CLIENTE!$A$2:$N$2000,13,0),1)</f>
        <v>Malo</v>
      </c>
      <c r="T1133" s="5">
        <f>IFERROR(VLOOKUP(A1133,CLIENTE!$A$2:$N$2000,14,0),1)</f>
        <v>0.7</v>
      </c>
      <c r="U1133" s="5">
        <f t="shared" si="412"/>
        <v>13.370000000000001</v>
      </c>
      <c r="V1133" s="5" t="str">
        <f>IF(U1133&gt;=MAX(_xlfn.PERCENTILE.INC($U$2:$U$1194,PARAMS_MODELO!$B$50),PARAMS_MODELO!$B$45),"DIAMANTE",IF(U1133&gt;=MAX(_xlfn.PERCENTILE.INC($U$2:$U$1194,PARAMS_MODELO!$B$51),PARAMS_MODELO!$B$46),"PLATINO",IF(U1133&gt;=MAX(_xlfn.PERCENTILE.INC($U$2:$U$1194,PARAMS_MODELO!$B$52),PARAMS_MODELO!$B$47),"ORO",IF(U1133&gt;=MAX(_xlfn.PERCENTILE.INC($U$2:$U$1194,PARAMS_MODELO!$B$53),PARAMS_MODELO!$B$48),"PLATA",IF(U1133&gt;=1,"BRONCE","CERRADO")))))</f>
        <v>BRONCE</v>
      </c>
      <c r="W1133" s="5" t="str" cm="1">
        <f t="array" ref="W1133">_xlfn.XLOOKUP(1, (HIST_SCORE!$B:$B=PARAMS_MODELO!$B$4) * (HIST_SCORE!$C:$C=A1133), HIST_SCORE!$E:$E, "No encontrado")</f>
        <v>BRONCE</v>
      </c>
      <c r="X1133" s="5" t="str">
        <f>_xlfn.LET(_xlpm.act,MATCH(V1133,{"DIAMANTE";"PLATINO";"ORO";"PLATA";"BRONCE";"CERRADO"},0),_xlpm.ant,MATCH(W1133,{"DIAMANTE";"PLATINO";"ORO";"PLATA";"BRONCE";"CERRADO"},0),IF(_xlpm.act&lt;_xlpm.ant,"Mejora ↑",IF(_xlpm.act&gt;_xlpm.ant,"Baja ↓","Estable →")))</f>
        <v>Estable →</v>
      </c>
      <c r="Y1133" s="5">
        <f>IFERROR(U1133-SUMIFS(HIST_SCORE!$D:$D,HIST_SCORE!$B:$B,PARAMS_MODELO!$B$4,HIST_SCORE!$C:$C,$A1133),"")</f>
        <v>0</v>
      </c>
      <c r="Z1133" s="5" t="str">
        <f t="shared" si="413"/>
        <v>→ Estable</v>
      </c>
      <c r="AA1133" s="5">
        <f t="shared" si="414"/>
        <v>1100</v>
      </c>
      <c r="AB1133" s="5">
        <f>IFERROR(SUMIFS(HIST_SCORE!$F:$F,HIST_SCORE!$B:$B,PARAMS_MODELO!$B$4,HIST_SCORE!$C:$C,$A1133),"")</f>
        <v>1098</v>
      </c>
      <c r="AC1133" s="5">
        <f t="shared" si="415"/>
        <v>-2</v>
      </c>
      <c r="AD1133" t="str">
        <f t="shared" si="417"/>
        <v/>
      </c>
      <c r="AE11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1133="CERRADO",1,IF(V1133="BRONCE",_xlpm.cPl,IF(V1133="PLATA",_xlpm.cO,IF(V1133="ORO",_xlpm.cP,IF(V1133="PLATINO",_xlpm.cD,999))))))</f>
        <v>24.506573482968111</v>
      </c>
      <c r="AF113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1133="CERRADO",0,IF(V1133="BRONCE",1,IF(V1133="PLATA",_xlpm.cPl,IF(V1133="ORO",_xlpm.cO,IF(V1133="PLATINO",_xlpm.cP,_xlpm.cD))))))</f>
        <v>1</v>
      </c>
      <c r="AG1133">
        <f t="shared" si="418"/>
        <v>15.909390689954442</v>
      </c>
      <c r="AH1133" t="str">
        <f t="shared" si="419"/>
        <v>VENTAS</v>
      </c>
      <c r="AI1133" t="str">
        <f t="shared" si="416"/>
        <v>🎯 Para subir de categoría, eje VENTAS / CRECIMIENTO PERSONAL (F). Acción: metas semanales + activación comercial + seguimiento del asesor. ΔR aprox: 15,9</v>
      </c>
      <c r="AJ1133" s="26">
        <f>_xlfn.LET(_xlpm.piso,AF1133,_xlpm.corte,AE1133,_xlpm.prog,IF(_xlpm.corte&lt;=_xlpm.piso,0,MAX(0,MIN(1,(U1133-_xlpm.piso)/(_xlpm.corte-_xlpm.piso)))),_xlpm.orden,{"DIAMANTE";"PLATINO";"ORO";"PLATA";"BRONCE";"CERRADO"},_xlpm.act,IFERROR(MATCH(V1133,_xlpm.orden,0),6),_xlpm.ant,IFERROR(MATCH(W1133,_xlpm.orden,0),6),_xlpm.ajmov,IF(_xlpm.act&lt;_xlpm.ant,0.08,IF(_xlpm.act&gt;_xlpm.ant,-0.08,0)),_xlpm.ajcli,IF(T1133&lt;0.95,-0.06,0),_xlpm.prob,MAX(0,MIN(1,_xlpm.prog+_xlpm.ajmov+_xlpm.ajcli)),IF(OR(V1133="DIAMANTE",V1133="CERRADO"),0,ROUND(_xlpm.prob,2)))</f>
        <v>0.47</v>
      </c>
      <c r="AK1133" t="str">
        <f t="shared" si="420"/>
        <v>Faltan 15,9 puntos base para subir a la siguiente categoría</v>
      </c>
      <c r="AL1133" t="str">
        <f t="shared" si="421"/>
        <v>No aplica</v>
      </c>
      <c r="AM1133">
        <f t="shared" si="422"/>
        <v>0.81</v>
      </c>
      <c r="AN1133" t="str">
        <f t="shared" si="423"/>
        <v>PRIORIDAD ALTA – requiere intervención inmediata</v>
      </c>
      <c r="AO1133">
        <f t="shared" si="424"/>
        <v>45.403798492706905</v>
      </c>
      <c r="AP1133">
        <f t="shared" si="425"/>
        <v>10.5</v>
      </c>
      <c r="AQ1133">
        <f t="shared" si="426"/>
        <v>0</v>
      </c>
      <c r="AR1133">
        <f t="shared" si="427"/>
        <v>0.63000000000000023</v>
      </c>
      <c r="AS1133">
        <f t="shared" si="428"/>
        <v>5.7300000000000013</v>
      </c>
      <c r="AT1133" t="str">
        <f t="shared" si="429"/>
        <v>VENTAS</v>
      </c>
      <c r="AU1133">
        <f t="shared" si="430"/>
        <v>45.403798492706905</v>
      </c>
      <c r="AV1133" t="str">
        <f t="shared" si="431"/>
        <v>Mayor retorno probable: VENTAS (+45,4 puntos finales potenciales).</v>
      </c>
    </row>
    <row r="1134" spans="1:48" x14ac:dyDescent="0.3">
      <c r="A1134" s="5">
        <v>51039980</v>
      </c>
      <c r="B1134" s="5" t="str">
        <f>IFERROR(VLOOKUP(A1134,VENTAS!$A$2:$B$1194,2,0),"")</f>
        <v/>
      </c>
      <c r="C1134" s="5">
        <f>IFERROR(INDEX(VENTAS!$C$2:$E$1194,MATCH(A1134,VENTAS!$A$2:$A$1194,0),MATCH(PARAMS_MODELO!$B$2,{"Q1","Q2","Q3"},0)),0)</f>
        <v>56892</v>
      </c>
      <c r="D1134" s="5">
        <f>IFERROR(INDEX(VENTAS!$F$2:$H$1194,MATCH(A1134,VENTAS!$A$2:$A$1194,0),MATCH(PARAMS_MODELO!$B$2,{"Q1","Q2","Q3"},0)),0)</f>
        <v>0</v>
      </c>
      <c r="E1134" s="8">
        <f t="shared" si="408"/>
        <v>-1</v>
      </c>
      <c r="F1134" s="12">
        <f>IF(E1134&lt;=PARAMS_MODELO!$B$15,0,IF(E1134&gt;=PARAMS_MODELO!$B$17,100,100*MIN(1,(E1134-PARAMS_MODELO!$B$15)/(PARAMS_MODELO!$B$16-PARAMS_MODELO!$B$15))))*PARAMS_MODELO!$B$7</f>
        <v>0</v>
      </c>
      <c r="G1134" s="5">
        <f t="shared" si="409"/>
        <v>0</v>
      </c>
      <c r="H1134" s="5">
        <f>(PARAMS_MODELO!$B$20*(MAX(0,MIN(3,E1134))/3)+PARAMS_MODELO!$B$21*(IFERROR(LN(1+MAX(0,G1134))/LN(1+MAX(0,MAX($G$2:$G$1194))),0)))*100*PARAMS_MODELO!$B$8</f>
        <v>0</v>
      </c>
      <c r="I1134" s="8">
        <f>E1134-PARAMS_MODELO!$B$5</f>
        <v>-1.1775628353755265</v>
      </c>
      <c r="J1134" s="5">
        <f>IF(I1134&lt;=PARAMS_MODELO!$B$18,0,IF(I1134&gt;=PARAMS_MODELO!$B$19,100,100*(I1134-PARAMS_MODELO!$B$18)/(PARAMS_MODELO!$B$19-PARAMS_MODELO!$B$18)))*PARAMS_MODELO!$B$9</f>
        <v>0</v>
      </c>
      <c r="K1134" s="5">
        <f>IFERROR(CHOOSE(MATCH(PARAMS_MODELO!$B$2,{"Q1","Q2","Q3"},0),LOTO!$D1134,LOTO!$F1134,LOTO!$H1134),0)</f>
        <v>0</v>
      </c>
      <c r="L1134" s="8">
        <f t="shared" si="410"/>
        <v>0</v>
      </c>
      <c r="M1134" s="5">
        <f>MIN(100,IF(PARAMS_MODELO!$B$23=0,0,100*L1134/PARAMS_MODELO!$B$23))*PARAMS_MODELO!$B$10</f>
        <v>0</v>
      </c>
      <c r="N1134" s="5">
        <f>IFERROR(VLOOKUP(A1134,COMPLIANCE!$A$2:$F$1996,6,0),100)</f>
        <v>100</v>
      </c>
      <c r="O1134" s="5">
        <f>N1134*PARAMS_MODELO!$B$11</f>
        <v>10</v>
      </c>
      <c r="P1134" s="5">
        <f>IFERROR(VLOOKUP(A1134,DIGITAL!$A$2:$J$2000,7,0),100)</f>
        <v>74</v>
      </c>
      <c r="Q1134" s="5">
        <f>IFERROR(P1134,0)*PARAMS_MODELO!$B$12</f>
        <v>7.4</v>
      </c>
      <c r="R1134">
        <f t="shared" si="411"/>
        <v>17.399999999999999</v>
      </c>
      <c r="S1134" s="5" t="str">
        <f>IFERROR(VLOOKUP(A1134,CLIENTE!$A$2:$N$2000,13,0),1)</f>
        <v>Bueno</v>
      </c>
      <c r="T1134" s="5">
        <f>IFERROR(VLOOKUP(A1134,CLIENTE!$A$2:$N$2000,14,0),1)</f>
        <v>1.1000000000000001</v>
      </c>
      <c r="U1134" s="5">
        <f t="shared" si="412"/>
        <v>19.14</v>
      </c>
      <c r="V1134" s="5" t="str">
        <f>IF(U1134&gt;=MAX(_xlfn.PERCENTILE.INC($U$2:$U$1194,PARAMS_MODELO!$B$50),PARAMS_MODELO!$B$45),"DIAMANTE",IF(U1134&gt;=MAX(_xlfn.PERCENTILE.INC($U$2:$U$1194,PARAMS_MODELO!$B$51),PARAMS_MODELO!$B$46),"PLATINO",IF(U1134&gt;=MAX(_xlfn.PERCENTILE.INC($U$2:$U$1194,PARAMS_MODELO!$B$52),PARAMS_MODELO!$B$47),"ORO",IF(U1134&gt;=MAX(_xlfn.PERCENTILE.INC($U$2:$U$1194,PARAMS_MODELO!$B$53),PARAMS_MODELO!$B$48),"PLATA",IF(U1134&gt;=1,"BRONCE","CERRADO")))))</f>
        <v>BRONCE</v>
      </c>
      <c r="W1134" s="5" t="str" cm="1">
        <f t="array" ref="W1134">_xlfn.XLOOKUP(1, (HIST_SCORE!$B:$B=PARAMS_MODELO!$B$4) * (HIST_SCORE!$C:$C=A1134), HIST_SCORE!$E:$E, "No encontrado")</f>
        <v>BRONCE</v>
      </c>
      <c r="X1134" s="5" t="str">
        <f>_xlfn.LET(_xlpm.act,MATCH(V1134,{"DIAMANTE";"PLATINO";"ORO";"PLATA";"BRONCE";"CERRADO"},0),_xlpm.ant,MATCH(W1134,{"DIAMANTE";"PLATINO";"ORO";"PLATA";"BRONCE";"CERRADO"},0),IF(_xlpm.act&lt;_xlpm.ant,"Mejora ↑",IF(_xlpm.act&gt;_xlpm.ant,"Baja ↓","Estable →")))</f>
        <v>Estable →</v>
      </c>
      <c r="Y1134" s="5">
        <f>IFERROR(U1134-SUMIFS(HIST_SCORE!$D:$D,HIST_SCORE!$B:$B,PARAMS_MODELO!$B$4,HIST_SCORE!$C:$C,$A1134),"")</f>
        <v>0</v>
      </c>
      <c r="Z1134" s="5" t="str">
        <f t="shared" si="413"/>
        <v>→ Estable</v>
      </c>
      <c r="AA1134" s="5">
        <f t="shared" si="414"/>
        <v>998</v>
      </c>
      <c r="AB1134" s="5">
        <f>IFERROR(SUMIFS(HIST_SCORE!$F:$F,HIST_SCORE!$B:$B,PARAMS_MODELO!$B$4,HIST_SCORE!$C:$C,$A1134),"")</f>
        <v>1003</v>
      </c>
      <c r="AC1134" s="5">
        <f t="shared" si="415"/>
        <v>5</v>
      </c>
      <c r="AD1134" t="str">
        <f t="shared" si="417"/>
        <v/>
      </c>
      <c r="AE11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1134="CERRADO",1,IF(V1134="BRONCE",_xlpm.cPl,IF(V1134="PLATA",_xlpm.cO,IF(V1134="ORO",_xlpm.cP,IF(V1134="PLATINO",_xlpm.cD,999))))))</f>
        <v>24.506573482968111</v>
      </c>
      <c r="AF113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1134="CERRADO",0,IF(V1134="BRONCE",1,IF(V1134="PLATA",_xlpm.cPl,IF(V1134="ORO",_xlpm.cO,IF(V1134="PLATINO",_xlpm.cP,_xlpm.cD))))))</f>
        <v>1</v>
      </c>
      <c r="AG1134">
        <f t="shared" si="418"/>
        <v>4.8787031663346454</v>
      </c>
      <c r="AH1134" t="str">
        <f t="shared" si="419"/>
        <v>VENTAS</v>
      </c>
      <c r="AI1134" t="str">
        <f t="shared" si="416"/>
        <v>🎯 Para subir de categoría, eje VENTAS / CRECIMIENTO PERSONAL (F). Acción: metas semanales + activación comercial + seguimiento del asesor. ΔR aprox: 4,9</v>
      </c>
      <c r="AJ1134" s="26">
        <f>_xlfn.LET(_xlpm.piso,AF1134,_xlpm.corte,AE1134,_xlpm.prog,IF(_xlpm.corte&lt;=_xlpm.piso,0,MAX(0,MIN(1,(U1134-_xlpm.piso)/(_xlpm.corte-_xlpm.piso)))),_xlpm.orden,{"DIAMANTE";"PLATINO";"ORO";"PLATA";"BRONCE";"CERRADO"},_xlpm.act,IFERROR(MATCH(V1134,_xlpm.orden,0),6),_xlpm.ant,IFERROR(MATCH(W1134,_xlpm.orden,0),6),_xlpm.ajmov,IF(_xlpm.act&lt;_xlpm.ant,0.08,IF(_xlpm.act&gt;_xlpm.ant,-0.08,0)),_xlpm.ajcli,IF(T1134&lt;0.95,-0.06,0),_xlpm.prob,MAX(0,MIN(1,_xlpm.prog+_xlpm.ajmov+_xlpm.ajcli)),IF(OR(V1134="DIAMANTE",V1134="CERRADO"),0,ROUND(_xlpm.prob,2)))</f>
        <v>0.77</v>
      </c>
      <c r="AK1134" t="str">
        <f t="shared" si="420"/>
        <v>Faltan 4,9 puntos base para subir a la siguiente categoría</v>
      </c>
      <c r="AL1134" t="str">
        <f t="shared" si="421"/>
        <v>No aplica</v>
      </c>
      <c r="AM1134">
        <f t="shared" si="422"/>
        <v>0.28999999999999998</v>
      </c>
      <c r="AN1134" t="str">
        <f t="shared" si="423"/>
        <v>PRIORIDAD BAJA – control normal</v>
      </c>
      <c r="AO1134">
        <f t="shared" si="424"/>
        <v>71.348826202825151</v>
      </c>
      <c r="AP1134">
        <f t="shared" si="425"/>
        <v>16.5</v>
      </c>
      <c r="AQ1134">
        <f t="shared" si="426"/>
        <v>0</v>
      </c>
      <c r="AR1134">
        <f t="shared" si="427"/>
        <v>2.86</v>
      </c>
      <c r="AS1134">
        <f t="shared" si="428"/>
        <v>0</v>
      </c>
      <c r="AT1134" t="str">
        <f t="shared" si="429"/>
        <v>VENTAS</v>
      </c>
      <c r="AU1134">
        <f t="shared" si="430"/>
        <v>71.348826202825151</v>
      </c>
      <c r="AV1134" t="str">
        <f t="shared" si="431"/>
        <v>Mayor retorno probable: VENTAS (+71,3 puntos finales potenciales).</v>
      </c>
    </row>
    <row r="1135" spans="1:48" x14ac:dyDescent="0.3">
      <c r="A1135" s="5">
        <v>51040040</v>
      </c>
      <c r="B1135" s="5" t="str">
        <f>IFERROR(VLOOKUP(A1135,VENTAS!$A$2:$B$1194,2,0),"")</f>
        <v/>
      </c>
      <c r="C1135" s="5">
        <f>IFERROR(INDEX(VENTAS!$C$2:$E$1194,MATCH(A1135,VENTAS!$A$2:$A$1194,0),MATCH(PARAMS_MODELO!$B$2,{"Q1","Q2","Q3"},0)),0)</f>
        <v>27700895.379999999</v>
      </c>
      <c r="D1135" s="5">
        <f>IFERROR(INDEX(VENTAS!$F$2:$H$1194,MATCH(A1135,VENTAS!$A$2:$A$1194,0),MATCH(PARAMS_MODELO!$B$2,{"Q1","Q2","Q3"},0)),0)</f>
        <v>0</v>
      </c>
      <c r="E1135" s="8">
        <f t="shared" si="408"/>
        <v>-1</v>
      </c>
      <c r="F1135" s="12">
        <f>IF(E1135&lt;=PARAMS_MODELO!$B$15,0,IF(E1135&gt;=PARAMS_MODELO!$B$17,100,100*MIN(1,(E1135-PARAMS_MODELO!$B$15)/(PARAMS_MODELO!$B$16-PARAMS_MODELO!$B$15))))*PARAMS_MODELO!$B$7</f>
        <v>0</v>
      </c>
      <c r="G1135" s="5">
        <f t="shared" si="409"/>
        <v>0</v>
      </c>
      <c r="H1135" s="5">
        <f>(PARAMS_MODELO!$B$20*(MAX(0,MIN(3,E1135))/3)+PARAMS_MODELO!$B$21*(IFERROR(LN(1+MAX(0,G1135))/LN(1+MAX(0,MAX($G$2:$G$1194))),0)))*100*PARAMS_MODELO!$B$8</f>
        <v>0</v>
      </c>
      <c r="I1135" s="8">
        <f>E1135-PARAMS_MODELO!$B$5</f>
        <v>-1.1775628353755265</v>
      </c>
      <c r="J1135" s="5">
        <f>IF(I1135&lt;=PARAMS_MODELO!$B$18,0,IF(I1135&gt;=PARAMS_MODELO!$B$19,100,100*(I1135-PARAMS_MODELO!$B$18)/(PARAMS_MODELO!$B$19-PARAMS_MODELO!$B$18)))*PARAMS_MODELO!$B$9</f>
        <v>0</v>
      </c>
      <c r="K1135" s="5">
        <f>IFERROR(CHOOSE(MATCH(PARAMS_MODELO!$B$2,{"Q1","Q2","Q3"},0),LOTO!$D1135,LOTO!$F1135,LOTO!$H1135),0)</f>
        <v>0</v>
      </c>
      <c r="L1135" s="8">
        <f t="shared" si="410"/>
        <v>0</v>
      </c>
      <c r="M1135" s="5">
        <f>MIN(100,IF(PARAMS_MODELO!$B$23=0,0,100*L1135/PARAMS_MODELO!$B$23))*PARAMS_MODELO!$B$10</f>
        <v>0</v>
      </c>
      <c r="N1135" s="5">
        <f>IFERROR(VLOOKUP(A1135,COMPLIANCE!$A$2:$F$1996,6,0),100)</f>
        <v>100</v>
      </c>
      <c r="O1135" s="5">
        <f>N1135*PARAMS_MODELO!$B$11</f>
        <v>10</v>
      </c>
      <c r="P1135" s="5">
        <f>IFERROR(VLOOKUP(A1135,DIGITAL!$A$2:$J$2000,7,0),100)</f>
        <v>29</v>
      </c>
      <c r="Q1135" s="5">
        <f>IFERROR(P1135,0)*PARAMS_MODELO!$B$12</f>
        <v>2.9000000000000004</v>
      </c>
      <c r="R1135">
        <f t="shared" si="411"/>
        <v>12.9</v>
      </c>
      <c r="S1135" s="5" t="str">
        <f>IFERROR(VLOOKUP(A1135,CLIENTE!$A$2:$N$2000,13,0),1)</f>
        <v>Regular</v>
      </c>
      <c r="T1135" s="5">
        <f>IFERROR(VLOOKUP(A1135,CLIENTE!$A$2:$N$2000,14,0),1)</f>
        <v>1</v>
      </c>
      <c r="U1135" s="5">
        <f t="shared" si="412"/>
        <v>12.9</v>
      </c>
      <c r="V1135" s="5" t="str">
        <f>IF(U1135&gt;=MAX(_xlfn.PERCENTILE.INC($U$2:$U$1194,PARAMS_MODELO!$B$50),PARAMS_MODELO!$B$45),"DIAMANTE",IF(U1135&gt;=MAX(_xlfn.PERCENTILE.INC($U$2:$U$1194,PARAMS_MODELO!$B$51),PARAMS_MODELO!$B$46),"PLATINO",IF(U1135&gt;=MAX(_xlfn.PERCENTILE.INC($U$2:$U$1194,PARAMS_MODELO!$B$52),PARAMS_MODELO!$B$47),"ORO",IF(U1135&gt;=MAX(_xlfn.PERCENTILE.INC($U$2:$U$1194,PARAMS_MODELO!$B$53),PARAMS_MODELO!$B$48),"PLATA",IF(U1135&gt;=1,"BRONCE","CERRADO")))))</f>
        <v>BRONCE</v>
      </c>
      <c r="W1135" s="5" t="str" cm="1">
        <f t="array" ref="W1135">_xlfn.XLOOKUP(1, (HIST_SCORE!$B:$B=PARAMS_MODELO!$B$4) * (HIST_SCORE!$C:$C=A1135), HIST_SCORE!$E:$E, "No encontrado")</f>
        <v>BRONCE</v>
      </c>
      <c r="X1135" s="5" t="str">
        <f>_xlfn.LET(_xlpm.act,MATCH(V1135,{"DIAMANTE";"PLATINO";"ORO";"PLATA";"BRONCE";"CERRADO"},0),_xlpm.ant,MATCH(W1135,{"DIAMANTE";"PLATINO";"ORO";"PLATA";"BRONCE";"CERRADO"},0),IF(_xlpm.act&lt;_xlpm.ant,"Mejora ↑",IF(_xlpm.act&gt;_xlpm.ant,"Baja ↓","Estable →")))</f>
        <v>Estable →</v>
      </c>
      <c r="Y1135" s="5">
        <f>IFERROR(U1135-SUMIFS(HIST_SCORE!$D:$D,HIST_SCORE!$B:$B,PARAMS_MODELO!$B$4,HIST_SCORE!$C:$C,$A1135),"")</f>
        <v>0</v>
      </c>
      <c r="Z1135" s="5" t="str">
        <f t="shared" si="413"/>
        <v>→ Estable</v>
      </c>
      <c r="AA1135" s="5">
        <f t="shared" si="414"/>
        <v>1114</v>
      </c>
      <c r="AB1135" s="5">
        <f>IFERROR(SUMIFS(HIST_SCORE!$F:$F,HIST_SCORE!$B:$B,PARAMS_MODELO!$B$4,HIST_SCORE!$C:$C,$A1135),"")</f>
        <v>1112</v>
      </c>
      <c r="AC1135" s="5">
        <f t="shared" si="415"/>
        <v>-2</v>
      </c>
      <c r="AD1135" t="str">
        <f t="shared" si="417"/>
        <v/>
      </c>
      <c r="AE11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1135="CERRADO",1,IF(V1135="BRONCE",_xlpm.cPl,IF(V1135="PLATA",_xlpm.cO,IF(V1135="ORO",_xlpm.cP,IF(V1135="PLATINO",_xlpm.cD,999))))))</f>
        <v>24.506573482968111</v>
      </c>
      <c r="AF113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1135="CERRADO",0,IF(V1135="BRONCE",1,IF(V1135="PLATA",_xlpm.cPl,IF(V1135="ORO",_xlpm.cO,IF(V1135="PLATINO",_xlpm.cP,_xlpm.cD))))))</f>
        <v>1</v>
      </c>
      <c r="AG1135">
        <f t="shared" si="418"/>
        <v>11.606573482968111</v>
      </c>
      <c r="AH1135" t="str">
        <f t="shared" si="419"/>
        <v>VENTAS</v>
      </c>
      <c r="AI1135" t="str">
        <f t="shared" si="416"/>
        <v>🎯 Para subir de categoría, eje VENTAS / CRECIMIENTO PERSONAL (F). Acción: metas semanales + activación comercial + seguimiento del asesor. ΔR aprox: 11,6</v>
      </c>
      <c r="AJ1135" s="26">
        <f>_xlfn.LET(_xlpm.piso,AF1135,_xlpm.corte,AE1135,_xlpm.prog,IF(_xlpm.corte&lt;=_xlpm.piso,0,MAX(0,MIN(1,(U1135-_xlpm.piso)/(_xlpm.corte-_xlpm.piso)))),_xlpm.orden,{"DIAMANTE";"PLATINO";"ORO";"PLATA";"BRONCE";"CERRADO"},_xlpm.act,IFERROR(MATCH(V1135,_xlpm.orden,0),6),_xlpm.ant,IFERROR(MATCH(W1135,_xlpm.orden,0),6),_xlpm.ajmov,IF(_xlpm.act&lt;_xlpm.ant,0.08,IF(_xlpm.act&gt;_xlpm.ant,-0.08,0)),_xlpm.ajcli,IF(T1135&lt;0.95,-0.06,0),_xlpm.prob,MAX(0,MIN(1,_xlpm.prog+_xlpm.ajmov+_xlpm.ajcli)),IF(OR(V1135="DIAMANTE",V1135="CERRADO"),0,ROUND(_xlpm.prob,2)))</f>
        <v>0.51</v>
      </c>
      <c r="AK1135" t="str">
        <f t="shared" si="420"/>
        <v>Faltan 11,6 puntos base para subir a la siguiente categoría</v>
      </c>
      <c r="AL1135" t="str">
        <f t="shared" si="421"/>
        <v>No aplica</v>
      </c>
      <c r="AM1135">
        <f t="shared" si="422"/>
        <v>0.6</v>
      </c>
      <c r="AN1135" t="str">
        <f t="shared" si="423"/>
        <v>PRIORIDAD MEDIA – seguimiento del asesor</v>
      </c>
      <c r="AO1135">
        <f t="shared" si="424"/>
        <v>64.862569275295584</v>
      </c>
      <c r="AP1135">
        <f t="shared" si="425"/>
        <v>15</v>
      </c>
      <c r="AQ1135">
        <f t="shared" si="426"/>
        <v>0</v>
      </c>
      <c r="AR1135">
        <f t="shared" si="427"/>
        <v>7.1</v>
      </c>
      <c r="AS1135">
        <f t="shared" si="428"/>
        <v>0</v>
      </c>
      <c r="AT1135" t="str">
        <f t="shared" si="429"/>
        <v>VENTAS</v>
      </c>
      <c r="AU1135">
        <f t="shared" si="430"/>
        <v>64.862569275295584</v>
      </c>
      <c r="AV1135" t="str">
        <f t="shared" si="431"/>
        <v>Mayor retorno probable: VENTAS (+64,9 puntos finales potenciales).</v>
      </c>
    </row>
    <row r="1136" spans="1:48" x14ac:dyDescent="0.3">
      <c r="A1136" s="5">
        <v>51040309</v>
      </c>
      <c r="B1136" s="5" t="str">
        <f>IFERROR(VLOOKUP(A1136,VENTAS!$A$2:$B$1194,2,0),"")</f>
        <v/>
      </c>
      <c r="C1136" s="5">
        <f>IFERROR(INDEX(VENTAS!$C$2:$E$1194,MATCH(A1136,VENTAS!$A$2:$A$1194,0),MATCH(PARAMS_MODELO!$B$2,{"Q1","Q2","Q3"},0)),0)</f>
        <v>24593703</v>
      </c>
      <c r="D1136" s="5">
        <f>IFERROR(INDEX(VENTAS!$F$2:$H$1194,MATCH(A1136,VENTAS!$A$2:$A$1194,0),MATCH(PARAMS_MODELO!$B$2,{"Q1","Q2","Q3"},0)),0)</f>
        <v>0</v>
      </c>
      <c r="E1136" s="8">
        <f t="shared" si="408"/>
        <v>-1</v>
      </c>
      <c r="F1136" s="12">
        <f>IF(E1136&lt;=PARAMS_MODELO!$B$15,0,IF(E1136&gt;=PARAMS_MODELO!$B$17,100,100*MIN(1,(E1136-PARAMS_MODELO!$B$15)/(PARAMS_MODELO!$B$16-PARAMS_MODELO!$B$15))))*PARAMS_MODELO!$B$7</f>
        <v>0</v>
      </c>
      <c r="G1136" s="5">
        <f t="shared" si="409"/>
        <v>0</v>
      </c>
      <c r="H1136" s="5">
        <f>(PARAMS_MODELO!$B$20*(MAX(0,MIN(3,E1136))/3)+PARAMS_MODELO!$B$21*(IFERROR(LN(1+MAX(0,G1136))/LN(1+MAX(0,MAX($G$2:$G$1194))),0)))*100*PARAMS_MODELO!$B$8</f>
        <v>0</v>
      </c>
      <c r="I1136" s="8">
        <f>E1136-PARAMS_MODELO!$B$5</f>
        <v>-1.1775628353755265</v>
      </c>
      <c r="J1136" s="5">
        <f>IF(I1136&lt;=PARAMS_MODELO!$B$18,0,IF(I1136&gt;=PARAMS_MODELO!$B$19,100,100*(I1136-PARAMS_MODELO!$B$18)/(PARAMS_MODELO!$B$19-PARAMS_MODELO!$B$18)))*PARAMS_MODELO!$B$9</f>
        <v>0</v>
      </c>
      <c r="K1136" s="5">
        <f>IFERROR(CHOOSE(MATCH(PARAMS_MODELO!$B$2,{"Q1","Q2","Q3"},0),LOTO!$D1136,LOTO!$F1136,LOTO!$H1136),0)</f>
        <v>0</v>
      </c>
      <c r="L1136" s="8">
        <f t="shared" si="410"/>
        <v>0</v>
      </c>
      <c r="M1136" s="5">
        <f>MIN(100,IF(PARAMS_MODELO!$B$23=0,0,100*L1136/PARAMS_MODELO!$B$23))*PARAMS_MODELO!$B$10</f>
        <v>0</v>
      </c>
      <c r="N1136" s="5">
        <f>IFERROR(VLOOKUP(A1136,COMPLIANCE!$A$2:$F$1996,6,0),100)</f>
        <v>98.35</v>
      </c>
      <c r="O1136" s="5">
        <f>N1136*PARAMS_MODELO!$B$11</f>
        <v>9.8350000000000009</v>
      </c>
      <c r="P1136" s="5">
        <f>IFERROR(VLOOKUP(A1136,DIGITAL!$A$2:$J$2000,7,0),100)</f>
        <v>78</v>
      </c>
      <c r="Q1136" s="5">
        <f>IFERROR(P1136,0)*PARAMS_MODELO!$B$12</f>
        <v>7.8000000000000007</v>
      </c>
      <c r="R1136">
        <f t="shared" si="411"/>
        <v>17.635000000000002</v>
      </c>
      <c r="S1136" s="5" t="str">
        <f>IFERROR(VLOOKUP(A1136,CLIENTE!$A$2:$N$2000,13,0),1)</f>
        <v>Malo</v>
      </c>
      <c r="T1136" s="5">
        <f>IFERROR(VLOOKUP(A1136,CLIENTE!$A$2:$N$2000,14,0),1)</f>
        <v>0.7</v>
      </c>
      <c r="U1136" s="5">
        <f t="shared" si="412"/>
        <v>12.3445</v>
      </c>
      <c r="V1136" s="5" t="str">
        <f>IF(U1136&gt;=MAX(_xlfn.PERCENTILE.INC($U$2:$U$1194,PARAMS_MODELO!$B$50),PARAMS_MODELO!$B$45),"DIAMANTE",IF(U1136&gt;=MAX(_xlfn.PERCENTILE.INC($U$2:$U$1194,PARAMS_MODELO!$B$51),PARAMS_MODELO!$B$46),"PLATINO",IF(U1136&gt;=MAX(_xlfn.PERCENTILE.INC($U$2:$U$1194,PARAMS_MODELO!$B$52),PARAMS_MODELO!$B$47),"ORO",IF(U1136&gt;=MAX(_xlfn.PERCENTILE.INC($U$2:$U$1194,PARAMS_MODELO!$B$53),PARAMS_MODELO!$B$48),"PLATA",IF(U1136&gt;=1,"BRONCE","CERRADO")))))</f>
        <v>BRONCE</v>
      </c>
      <c r="W1136" s="5" t="str" cm="1">
        <f t="array" ref="W1136">_xlfn.XLOOKUP(1, (HIST_SCORE!$B:$B=PARAMS_MODELO!$B$4) * (HIST_SCORE!$C:$C=A1136), HIST_SCORE!$E:$E, "No encontrado")</f>
        <v>BRONCE</v>
      </c>
      <c r="X1136" s="5" t="str">
        <f>_xlfn.LET(_xlpm.act,MATCH(V1136,{"DIAMANTE";"PLATINO";"ORO";"PLATA";"BRONCE";"CERRADO"},0),_xlpm.ant,MATCH(W1136,{"DIAMANTE";"PLATINO";"ORO";"PLATA";"BRONCE";"CERRADO"},0),IF(_xlpm.act&lt;_xlpm.ant,"Mejora ↑",IF(_xlpm.act&gt;_xlpm.ant,"Baja ↓","Estable →")))</f>
        <v>Estable →</v>
      </c>
      <c r="Y1136" s="5">
        <f>IFERROR(U1136-SUMIFS(HIST_SCORE!$D:$D,HIST_SCORE!$B:$B,PARAMS_MODELO!$B$4,HIST_SCORE!$C:$C,$A1136),"")</f>
        <v>0</v>
      </c>
      <c r="Z1136" s="5" t="str">
        <f t="shared" si="413"/>
        <v>→ Estable</v>
      </c>
      <c r="AA1136" s="5">
        <f t="shared" si="414"/>
        <v>1129</v>
      </c>
      <c r="AB1136" s="5">
        <f>IFERROR(SUMIFS(HIST_SCORE!$F:$F,HIST_SCORE!$B:$B,PARAMS_MODELO!$B$4,HIST_SCORE!$C:$C,$A1136),"")</f>
        <v>1127</v>
      </c>
      <c r="AC1136" s="5">
        <f t="shared" si="415"/>
        <v>-2</v>
      </c>
      <c r="AD1136" t="str">
        <f t="shared" si="417"/>
        <v/>
      </c>
      <c r="AE11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1136="CERRADO",1,IF(V1136="BRONCE",_xlpm.cPl,IF(V1136="PLATA",_xlpm.cO,IF(V1136="ORO",_xlpm.cP,IF(V1136="PLATINO",_xlpm.cD,999))))))</f>
        <v>24.506573482968111</v>
      </c>
      <c r="AF113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1136="CERRADO",0,IF(V1136="BRONCE",1,IF(V1136="PLATA",_xlpm.cPl,IF(V1136="ORO",_xlpm.cO,IF(V1136="PLATINO",_xlpm.cP,_xlpm.cD))))))</f>
        <v>1</v>
      </c>
      <c r="AG1136">
        <f t="shared" si="418"/>
        <v>17.374390689954442</v>
      </c>
      <c r="AH1136" t="str">
        <f t="shared" si="419"/>
        <v>VENTAS</v>
      </c>
      <c r="AI1136" t="str">
        <f t="shared" si="416"/>
        <v>🎯 Para subir de categoría, eje VENTAS / CRECIMIENTO PERSONAL (F). Acción: metas semanales + activación comercial + seguimiento del asesor. ΔR aprox: 17,4</v>
      </c>
      <c r="AJ1136" s="26">
        <f>_xlfn.LET(_xlpm.piso,AF1136,_xlpm.corte,AE1136,_xlpm.prog,IF(_xlpm.corte&lt;=_xlpm.piso,0,MAX(0,MIN(1,(U1136-_xlpm.piso)/(_xlpm.corte-_xlpm.piso)))),_xlpm.orden,{"DIAMANTE";"PLATINO";"ORO";"PLATA";"BRONCE";"CERRADO"},_xlpm.act,IFERROR(MATCH(V1136,_xlpm.orden,0),6),_xlpm.ant,IFERROR(MATCH(W1136,_xlpm.orden,0),6),_xlpm.ajmov,IF(_xlpm.act&lt;_xlpm.ant,0.08,IF(_xlpm.act&gt;_xlpm.ant,-0.08,0)),_xlpm.ajcli,IF(T1136&lt;0.95,-0.06,0),_xlpm.prob,MAX(0,MIN(1,_xlpm.prog+_xlpm.ajmov+_xlpm.ajcli)),IF(OR(V1136="DIAMANTE",V1136="CERRADO"),0,ROUND(_xlpm.prob,2)))</f>
        <v>0.42</v>
      </c>
      <c r="AK1136" t="str">
        <f t="shared" si="420"/>
        <v>Faltan 17,4 puntos base para subir a la siguiente categoría</v>
      </c>
      <c r="AL1136" t="str">
        <f t="shared" si="421"/>
        <v>No aplica</v>
      </c>
      <c r="AM1136">
        <f t="shared" si="422"/>
        <v>0.83</v>
      </c>
      <c r="AN1136" t="str">
        <f t="shared" si="423"/>
        <v>PRIORIDAD ALTA – requiere intervención inmediata</v>
      </c>
      <c r="AO1136">
        <f t="shared" si="424"/>
        <v>45.403798492706905</v>
      </c>
      <c r="AP1136">
        <f t="shared" si="425"/>
        <v>10.5</v>
      </c>
      <c r="AQ1136">
        <f t="shared" si="426"/>
        <v>0.11549999999999939</v>
      </c>
      <c r="AR1136">
        <f t="shared" si="427"/>
        <v>1.5399999999999994</v>
      </c>
      <c r="AS1136">
        <f t="shared" si="428"/>
        <v>5.2905000000000015</v>
      </c>
      <c r="AT1136" t="str">
        <f t="shared" si="429"/>
        <v>VENTAS</v>
      </c>
      <c r="AU1136">
        <f t="shared" si="430"/>
        <v>45.403798492706905</v>
      </c>
      <c r="AV1136" t="str">
        <f t="shared" si="431"/>
        <v>Mayor retorno probable: VENTAS (+45,4 puntos finales potenciales).</v>
      </c>
    </row>
    <row r="1137" spans="1:48" x14ac:dyDescent="0.3">
      <c r="A1137" s="5">
        <v>51040856</v>
      </c>
      <c r="B1137" s="5" t="str">
        <f>IFERROR(VLOOKUP(A1137,VENTAS!$A$2:$B$1194,2,0),"")</f>
        <v/>
      </c>
      <c r="C1137" s="5">
        <f>IFERROR(INDEX(VENTAS!$C$2:$E$1194,MATCH(A1137,VENTAS!$A$2:$A$1194,0),MATCH(PARAMS_MODELO!$B$2,{"Q1","Q2","Q3"},0)),0)</f>
        <v>0</v>
      </c>
      <c r="D1137" s="5">
        <f>IFERROR(INDEX(VENTAS!$F$2:$H$1194,MATCH(A1137,VENTAS!$A$2:$A$1194,0),MATCH(PARAMS_MODELO!$B$2,{"Q1","Q2","Q3"},0)),0)</f>
        <v>0</v>
      </c>
      <c r="E1137" s="8">
        <f t="shared" si="408"/>
        <v>0</v>
      </c>
      <c r="F1137" s="12">
        <f>IF(E1137&lt;=PARAMS_MODELO!$B$15,0,IF(E1137&gt;=PARAMS_MODELO!$B$17,100,100*MIN(1,(E1137-PARAMS_MODELO!$B$15)/(PARAMS_MODELO!$B$16-PARAMS_MODELO!$B$15))))*PARAMS_MODELO!$B$7</f>
        <v>0</v>
      </c>
      <c r="G1137" s="5">
        <f t="shared" si="409"/>
        <v>0</v>
      </c>
      <c r="H1137" s="5">
        <f>(PARAMS_MODELO!$B$20*(MAX(0,MIN(3,E1137))/3)+PARAMS_MODELO!$B$21*(IFERROR(LN(1+MAX(0,G1137))/LN(1+MAX(0,MAX($G$2:$G$1194))),0)))*100*PARAMS_MODELO!$B$8</f>
        <v>0</v>
      </c>
      <c r="I1137" s="8">
        <f>E1137-PARAMS_MODELO!$B$5</f>
        <v>-0.17756283537552653</v>
      </c>
      <c r="J1137" s="5">
        <f>IF(I1137&lt;=PARAMS_MODELO!$B$18,0,IF(I1137&gt;=PARAMS_MODELO!$B$19,100,100*(I1137-PARAMS_MODELO!$B$18)/(PARAMS_MODELO!$B$19-PARAMS_MODELO!$B$18)))*PARAMS_MODELO!$B$9</f>
        <v>0</v>
      </c>
      <c r="K1137" s="5">
        <f>IFERROR(CHOOSE(MATCH(PARAMS_MODELO!$B$2,{"Q1","Q2","Q3"},0),LOTO!$D1137,LOTO!$F1137,LOTO!$H1137),0)</f>
        <v>0</v>
      </c>
      <c r="L1137" s="8">
        <f t="shared" si="410"/>
        <v>0</v>
      </c>
      <c r="M1137" s="5">
        <f>MIN(100,IF(PARAMS_MODELO!$B$23=0,0,100*L1137/PARAMS_MODELO!$B$23))*PARAMS_MODELO!$B$10</f>
        <v>0</v>
      </c>
      <c r="N1137" s="5">
        <f>IFERROR(VLOOKUP(A1137,COMPLIANCE!$A$2:$F$1996,6,0),100)</f>
        <v>100</v>
      </c>
      <c r="O1137" s="5">
        <f>N1137*PARAMS_MODELO!$B$11</f>
        <v>10</v>
      </c>
      <c r="P1137" s="5">
        <f>IFERROR(VLOOKUP(A1137,DIGITAL!$A$2:$J$2000,7,0),100)</f>
        <v>7</v>
      </c>
      <c r="Q1137" s="5">
        <f>IFERROR(P1137,0)*PARAMS_MODELO!$B$12</f>
        <v>0.70000000000000007</v>
      </c>
      <c r="R1137">
        <f t="shared" si="411"/>
        <v>10.7</v>
      </c>
      <c r="S1137" s="5" t="str">
        <f>IFERROR(VLOOKUP(A1137,CLIENTE!$A$2:$N$2000,13,0),1)</f>
        <v>Muy Bueno</v>
      </c>
      <c r="T1137" s="5">
        <f>IFERROR(VLOOKUP(A1137,CLIENTE!$A$2:$N$2000,14,0),1)</f>
        <v>1.1499999999999999</v>
      </c>
      <c r="U1137" s="5">
        <f t="shared" si="412"/>
        <v>12.304999999999998</v>
      </c>
      <c r="V1137" s="5" t="str">
        <f>IF(U1137&gt;=MAX(_xlfn.PERCENTILE.INC($U$2:$U$1194,PARAMS_MODELO!$B$50),PARAMS_MODELO!$B$45),"DIAMANTE",IF(U1137&gt;=MAX(_xlfn.PERCENTILE.INC($U$2:$U$1194,PARAMS_MODELO!$B$51),PARAMS_MODELO!$B$46),"PLATINO",IF(U1137&gt;=MAX(_xlfn.PERCENTILE.INC($U$2:$U$1194,PARAMS_MODELO!$B$52),PARAMS_MODELO!$B$47),"ORO",IF(U1137&gt;=MAX(_xlfn.PERCENTILE.INC($U$2:$U$1194,PARAMS_MODELO!$B$53),PARAMS_MODELO!$B$48),"PLATA",IF(U1137&gt;=1,"BRONCE","CERRADO")))))</f>
        <v>BRONCE</v>
      </c>
      <c r="W1137" s="5" t="str" cm="1">
        <f t="array" ref="W1137">_xlfn.XLOOKUP(1, (HIST_SCORE!$B:$B=PARAMS_MODELO!$B$4) * (HIST_SCORE!$C:$C=A1137), HIST_SCORE!$E:$E, "No encontrado")</f>
        <v>BRONCE</v>
      </c>
      <c r="X1137" s="5" t="str">
        <f>_xlfn.LET(_xlpm.act,MATCH(V1137,{"DIAMANTE";"PLATINO";"ORO";"PLATA";"BRONCE";"CERRADO"},0),_xlpm.ant,MATCH(W1137,{"DIAMANTE";"PLATINO";"ORO";"PLATA";"BRONCE";"CERRADO"},0),IF(_xlpm.act&lt;_xlpm.ant,"Mejora ↑",IF(_xlpm.act&gt;_xlpm.ant,"Baja ↓","Estable →")))</f>
        <v>Estable →</v>
      </c>
      <c r="Y1137" s="5">
        <f>IFERROR(U1137-SUMIFS(HIST_SCORE!$D:$D,HIST_SCORE!$B:$B,PARAMS_MODELO!$B$4,HIST_SCORE!$C:$C,$A1137),"")</f>
        <v>0</v>
      </c>
      <c r="Z1137" s="5" t="str">
        <f t="shared" si="413"/>
        <v>→ Estable</v>
      </c>
      <c r="AA1137" s="5">
        <f t="shared" si="414"/>
        <v>1130</v>
      </c>
      <c r="AB1137" s="5">
        <f>IFERROR(SUMIFS(HIST_SCORE!$F:$F,HIST_SCORE!$B:$B,PARAMS_MODELO!$B$4,HIST_SCORE!$C:$C,$A1137),"")</f>
        <v>1128</v>
      </c>
      <c r="AC1137" s="5">
        <f t="shared" si="415"/>
        <v>-2</v>
      </c>
      <c r="AD1137" t="str">
        <f t="shared" si="417"/>
        <v/>
      </c>
      <c r="AE11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1137="CERRADO",1,IF(V1137="BRONCE",_xlpm.cPl,IF(V1137="PLATA",_xlpm.cO,IF(V1137="ORO",_xlpm.cP,IF(V1137="PLATINO",_xlpm.cD,999))))))</f>
        <v>24.506573482968111</v>
      </c>
      <c r="AF113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1137="CERRADO",0,IF(V1137="BRONCE",1,IF(V1137="PLATA",_xlpm.cPl,IF(V1137="ORO",_xlpm.cO,IF(V1137="PLATINO",_xlpm.cP,_xlpm.cD))))))</f>
        <v>1</v>
      </c>
      <c r="AG1137">
        <f t="shared" si="418"/>
        <v>10.610063898233143</v>
      </c>
      <c r="AH1137" t="str">
        <f t="shared" si="419"/>
        <v>VENTAS</v>
      </c>
      <c r="AI1137" t="str">
        <f t="shared" si="416"/>
        <v>🎯 Para subir de categoría, eje VENTAS / CRECIMIENTO PERSONAL (F). Acción: metas semanales + activación comercial + seguimiento del asesor. ΔR aprox: 10,6</v>
      </c>
      <c r="AJ1137" s="26">
        <f>_xlfn.LET(_xlpm.piso,AF1137,_xlpm.corte,AE1137,_xlpm.prog,IF(_xlpm.corte&lt;=_xlpm.piso,0,MAX(0,MIN(1,(U1137-_xlpm.piso)/(_xlpm.corte-_xlpm.piso)))),_xlpm.orden,{"DIAMANTE";"PLATINO";"ORO";"PLATA";"BRONCE";"CERRADO"},_xlpm.act,IFERROR(MATCH(V1137,_xlpm.orden,0),6),_xlpm.ant,IFERROR(MATCH(W1137,_xlpm.orden,0),6),_xlpm.ajmov,IF(_xlpm.act&lt;_xlpm.ant,0.08,IF(_xlpm.act&gt;_xlpm.ant,-0.08,0)),_xlpm.ajcli,IF(T1137&lt;0.95,-0.06,0),_xlpm.prob,MAX(0,MIN(1,_xlpm.prog+_xlpm.ajmov+_xlpm.ajcli)),IF(OR(V1137="DIAMANTE",V1137="CERRADO"),0,ROUND(_xlpm.prob,2)))</f>
        <v>0.48</v>
      </c>
      <c r="AK1137" t="str">
        <f t="shared" si="420"/>
        <v>Faltan 10,6 puntos base para subir a la siguiente categoría</v>
      </c>
      <c r="AL1137" t="str">
        <f t="shared" si="421"/>
        <v>No aplica</v>
      </c>
      <c r="AM1137">
        <f t="shared" si="422"/>
        <v>0.61</v>
      </c>
      <c r="AN1137" t="str">
        <f t="shared" si="423"/>
        <v>PRIORIDAD MEDIA – seguimiento del asesor</v>
      </c>
      <c r="AO1137">
        <f t="shared" si="424"/>
        <v>74.591954666589913</v>
      </c>
      <c r="AP1137">
        <f t="shared" si="425"/>
        <v>17.25</v>
      </c>
      <c r="AQ1137">
        <f t="shared" si="426"/>
        <v>0</v>
      </c>
      <c r="AR1137">
        <f t="shared" si="427"/>
        <v>10.695</v>
      </c>
      <c r="AS1137">
        <f t="shared" si="428"/>
        <v>0</v>
      </c>
      <c r="AT1137" t="str">
        <f t="shared" si="429"/>
        <v>VENTAS</v>
      </c>
      <c r="AU1137">
        <f t="shared" si="430"/>
        <v>74.591954666589913</v>
      </c>
      <c r="AV1137" t="str">
        <f t="shared" si="431"/>
        <v>Mayor retorno probable: VENTAS (+74,6 puntos finales potenciales).</v>
      </c>
    </row>
    <row r="1138" spans="1:48" x14ac:dyDescent="0.3">
      <c r="A1138" s="5">
        <v>51040970</v>
      </c>
      <c r="B1138" s="5" t="str">
        <f>IFERROR(VLOOKUP(A1138,VENTAS!$A$2:$B$1194,2,0),"")</f>
        <v/>
      </c>
      <c r="C1138" s="5">
        <f>IFERROR(INDEX(VENTAS!$C$2:$E$1194,MATCH(A1138,VENTAS!$A$2:$A$1194,0),MATCH(PARAMS_MODELO!$B$2,{"Q1","Q2","Q3"},0)),0)</f>
        <v>36601873.200000003</v>
      </c>
      <c r="D1138" s="5">
        <f>IFERROR(INDEX(VENTAS!$F$2:$H$1194,MATCH(A1138,VENTAS!$A$2:$A$1194,0),MATCH(PARAMS_MODELO!$B$2,{"Q1","Q2","Q3"},0)),0)</f>
        <v>0</v>
      </c>
      <c r="E1138" s="8">
        <f t="shared" si="408"/>
        <v>-1</v>
      </c>
      <c r="F1138" s="12">
        <f>IF(E1138&lt;=PARAMS_MODELO!$B$15,0,IF(E1138&gt;=PARAMS_MODELO!$B$17,100,100*MIN(1,(E1138-PARAMS_MODELO!$B$15)/(PARAMS_MODELO!$B$16-PARAMS_MODELO!$B$15))))*PARAMS_MODELO!$B$7</f>
        <v>0</v>
      </c>
      <c r="G1138" s="5">
        <f t="shared" si="409"/>
        <v>0</v>
      </c>
      <c r="H1138" s="5">
        <f>(PARAMS_MODELO!$B$20*(MAX(0,MIN(3,E1138))/3)+PARAMS_MODELO!$B$21*(IFERROR(LN(1+MAX(0,G1138))/LN(1+MAX(0,MAX($G$2:$G$1194))),0)))*100*PARAMS_MODELO!$B$8</f>
        <v>0</v>
      </c>
      <c r="I1138" s="8">
        <f>E1138-PARAMS_MODELO!$B$5</f>
        <v>-1.1775628353755265</v>
      </c>
      <c r="J1138" s="5">
        <f>IF(I1138&lt;=PARAMS_MODELO!$B$18,0,IF(I1138&gt;=PARAMS_MODELO!$B$19,100,100*(I1138-PARAMS_MODELO!$B$18)/(PARAMS_MODELO!$B$19-PARAMS_MODELO!$B$18)))*PARAMS_MODELO!$B$9</f>
        <v>0</v>
      </c>
      <c r="K1138" s="5">
        <f>IFERROR(CHOOSE(MATCH(PARAMS_MODELO!$B$2,{"Q1","Q2","Q3"},0),LOTO!$D1138,LOTO!$F1138,LOTO!$H1138),0)</f>
        <v>0</v>
      </c>
      <c r="L1138" s="8">
        <f t="shared" si="410"/>
        <v>0</v>
      </c>
      <c r="M1138" s="5">
        <f>MIN(100,IF(PARAMS_MODELO!$B$23=0,0,100*L1138/PARAMS_MODELO!$B$23))*PARAMS_MODELO!$B$10</f>
        <v>0</v>
      </c>
      <c r="N1138" s="5">
        <f>IFERROR(VLOOKUP(A1138,COMPLIANCE!$A$2:$F$1996,6,0),100)</f>
        <v>100</v>
      </c>
      <c r="O1138" s="5">
        <f>N1138*PARAMS_MODELO!$B$11</f>
        <v>10</v>
      </c>
      <c r="P1138" s="5">
        <f>IFERROR(VLOOKUP(A1138,DIGITAL!$A$2:$J$2000,7,0),100)</f>
        <v>19</v>
      </c>
      <c r="Q1138" s="5">
        <f>IFERROR(P1138,0)*PARAMS_MODELO!$B$12</f>
        <v>1.9000000000000001</v>
      </c>
      <c r="R1138">
        <f t="shared" si="411"/>
        <v>11.9</v>
      </c>
      <c r="S1138" s="5" t="str">
        <f>IFERROR(VLOOKUP(A1138,CLIENTE!$A$2:$N$2000,13,0),1)</f>
        <v>Bueno</v>
      </c>
      <c r="T1138" s="5">
        <f>IFERROR(VLOOKUP(A1138,CLIENTE!$A$2:$N$2000,14,0),1)</f>
        <v>1.1000000000000001</v>
      </c>
      <c r="U1138" s="5">
        <f t="shared" si="412"/>
        <v>13.090000000000002</v>
      </c>
      <c r="V1138" s="5" t="str">
        <f>IF(U1138&gt;=MAX(_xlfn.PERCENTILE.INC($U$2:$U$1194,PARAMS_MODELO!$B$50),PARAMS_MODELO!$B$45),"DIAMANTE",IF(U1138&gt;=MAX(_xlfn.PERCENTILE.INC($U$2:$U$1194,PARAMS_MODELO!$B$51),PARAMS_MODELO!$B$46),"PLATINO",IF(U1138&gt;=MAX(_xlfn.PERCENTILE.INC($U$2:$U$1194,PARAMS_MODELO!$B$52),PARAMS_MODELO!$B$47),"ORO",IF(U1138&gt;=MAX(_xlfn.PERCENTILE.INC($U$2:$U$1194,PARAMS_MODELO!$B$53),PARAMS_MODELO!$B$48),"PLATA",IF(U1138&gt;=1,"BRONCE","CERRADO")))))</f>
        <v>BRONCE</v>
      </c>
      <c r="W1138" s="5" t="str" cm="1">
        <f t="array" ref="W1138">_xlfn.XLOOKUP(1, (HIST_SCORE!$B:$B=PARAMS_MODELO!$B$4) * (HIST_SCORE!$C:$C=A1138), HIST_SCORE!$E:$E, "No encontrado")</f>
        <v>BRONCE</v>
      </c>
      <c r="X1138" s="5" t="str">
        <f>_xlfn.LET(_xlpm.act,MATCH(V1138,{"DIAMANTE";"PLATINO";"ORO";"PLATA";"BRONCE";"CERRADO"},0),_xlpm.ant,MATCH(W1138,{"DIAMANTE";"PLATINO";"ORO";"PLATA";"BRONCE";"CERRADO"},0),IF(_xlpm.act&lt;_xlpm.ant,"Mejora ↑",IF(_xlpm.act&gt;_xlpm.ant,"Baja ↓","Estable →")))</f>
        <v>Estable →</v>
      </c>
      <c r="Y1138" s="5">
        <f>IFERROR(U1138-SUMIFS(HIST_SCORE!$D:$D,HIST_SCORE!$B:$B,PARAMS_MODELO!$B$4,HIST_SCORE!$C:$C,$A1138),"")</f>
        <v>0</v>
      </c>
      <c r="Z1138" s="5" t="str">
        <f t="shared" si="413"/>
        <v>→ Estable</v>
      </c>
      <c r="AA1138" s="5">
        <f t="shared" si="414"/>
        <v>1111</v>
      </c>
      <c r="AB1138" s="5">
        <f>IFERROR(SUMIFS(HIST_SCORE!$F:$F,HIST_SCORE!$B:$B,PARAMS_MODELO!$B$4,HIST_SCORE!$C:$C,$A1138),"")</f>
        <v>1109</v>
      </c>
      <c r="AC1138" s="5">
        <f t="shared" si="415"/>
        <v>-2</v>
      </c>
      <c r="AD1138" t="str">
        <f t="shared" si="417"/>
        <v/>
      </c>
      <c r="AE11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1138="CERRADO",1,IF(V1138="BRONCE",_xlpm.cPl,IF(V1138="PLATA",_xlpm.cO,IF(V1138="ORO",_xlpm.cP,IF(V1138="PLATINO",_xlpm.cD,999))))))</f>
        <v>24.506573482968111</v>
      </c>
      <c r="AF113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1138="CERRADO",0,IF(V1138="BRONCE",1,IF(V1138="PLATA",_xlpm.cPl,IF(V1138="ORO",_xlpm.cO,IF(V1138="PLATINO",_xlpm.cP,_xlpm.cD))))))</f>
        <v>1</v>
      </c>
      <c r="AG1138">
        <f t="shared" si="418"/>
        <v>10.378703166334644</v>
      </c>
      <c r="AH1138" t="str">
        <f t="shared" si="419"/>
        <v>VENTAS</v>
      </c>
      <c r="AI1138" t="str">
        <f t="shared" si="416"/>
        <v>🎯 Para subir de categoría, eje VENTAS / CRECIMIENTO PERSONAL (F). Acción: metas semanales + activación comercial + seguimiento del asesor. ΔR aprox: 10,4</v>
      </c>
      <c r="AJ1138" s="26">
        <f>_xlfn.LET(_xlpm.piso,AF1138,_xlpm.corte,AE1138,_xlpm.prog,IF(_xlpm.corte&lt;=_xlpm.piso,0,MAX(0,MIN(1,(U1138-_xlpm.piso)/(_xlpm.corte-_xlpm.piso)))),_xlpm.orden,{"DIAMANTE";"PLATINO";"ORO";"PLATA";"BRONCE";"CERRADO"},_xlpm.act,IFERROR(MATCH(V1138,_xlpm.orden,0),6),_xlpm.ant,IFERROR(MATCH(W1138,_xlpm.orden,0),6),_xlpm.ajmov,IF(_xlpm.act&lt;_xlpm.ant,0.08,IF(_xlpm.act&gt;_xlpm.ant,-0.08,0)),_xlpm.ajcli,IF(T1138&lt;0.95,-0.06,0),_xlpm.prob,MAX(0,MIN(1,_xlpm.prog+_xlpm.ajmov+_xlpm.ajcli)),IF(OR(V1138="DIAMANTE",V1138="CERRADO"),0,ROUND(_xlpm.prob,2)))</f>
        <v>0.51</v>
      </c>
      <c r="AK1138" t="str">
        <f t="shared" si="420"/>
        <v>Faltan 10,4 puntos base para subir a la siguiente categoría</v>
      </c>
      <c r="AL1138" t="str">
        <f t="shared" si="421"/>
        <v>No aplica</v>
      </c>
      <c r="AM1138">
        <f t="shared" si="422"/>
        <v>0.6</v>
      </c>
      <c r="AN1138" t="str">
        <f t="shared" si="423"/>
        <v>PRIORIDAD MEDIA – seguimiento del asesor</v>
      </c>
      <c r="AO1138">
        <f t="shared" si="424"/>
        <v>71.348826202825151</v>
      </c>
      <c r="AP1138">
        <f t="shared" si="425"/>
        <v>16.5</v>
      </c>
      <c r="AQ1138">
        <f t="shared" si="426"/>
        <v>0</v>
      </c>
      <c r="AR1138">
        <f t="shared" si="427"/>
        <v>8.91</v>
      </c>
      <c r="AS1138">
        <f t="shared" si="428"/>
        <v>0</v>
      </c>
      <c r="AT1138" t="str">
        <f t="shared" si="429"/>
        <v>VENTAS</v>
      </c>
      <c r="AU1138">
        <f t="shared" si="430"/>
        <v>71.348826202825151</v>
      </c>
      <c r="AV1138" t="str">
        <f t="shared" si="431"/>
        <v>Mayor retorno probable: VENTAS (+71,3 puntos finales potenciales).</v>
      </c>
    </row>
    <row r="1139" spans="1:48" x14ac:dyDescent="0.3">
      <c r="A1139" s="5">
        <v>51041178</v>
      </c>
      <c r="B1139" s="5" t="str">
        <f>IFERROR(VLOOKUP(A1139,VENTAS!$A$2:$B$1194,2,0),"")</f>
        <v/>
      </c>
      <c r="C1139" s="5">
        <f>IFERROR(INDEX(VENTAS!$C$2:$E$1194,MATCH(A1139,VENTAS!$A$2:$A$1194,0),MATCH(PARAMS_MODELO!$B$2,{"Q1","Q2","Q3"},0)),0)</f>
        <v>0</v>
      </c>
      <c r="D1139" s="5">
        <f>IFERROR(INDEX(VENTAS!$F$2:$H$1194,MATCH(A1139,VENTAS!$A$2:$A$1194,0),MATCH(PARAMS_MODELO!$B$2,{"Q1","Q2","Q3"},0)),0)</f>
        <v>0</v>
      </c>
      <c r="E1139" s="8">
        <f t="shared" si="408"/>
        <v>0</v>
      </c>
      <c r="F1139" s="12">
        <f>IF(E1139&lt;=PARAMS_MODELO!$B$15,0,IF(E1139&gt;=PARAMS_MODELO!$B$17,100,100*MIN(1,(E1139-PARAMS_MODELO!$B$15)/(PARAMS_MODELO!$B$16-PARAMS_MODELO!$B$15))))*PARAMS_MODELO!$B$7</f>
        <v>0</v>
      </c>
      <c r="G1139" s="5">
        <f t="shared" si="409"/>
        <v>0</v>
      </c>
      <c r="H1139" s="5">
        <f>(PARAMS_MODELO!$B$20*(MAX(0,MIN(3,E1139))/3)+PARAMS_MODELO!$B$21*(IFERROR(LN(1+MAX(0,G1139))/LN(1+MAX(0,MAX($G$2:$G$1194))),0)))*100*PARAMS_MODELO!$B$8</f>
        <v>0</v>
      </c>
      <c r="I1139" s="8">
        <f>E1139-PARAMS_MODELO!$B$5</f>
        <v>-0.17756283537552653</v>
      </c>
      <c r="J1139" s="5">
        <f>IF(I1139&lt;=PARAMS_MODELO!$B$18,0,IF(I1139&gt;=PARAMS_MODELO!$B$19,100,100*(I1139-PARAMS_MODELO!$B$18)/(PARAMS_MODELO!$B$19-PARAMS_MODELO!$B$18)))*PARAMS_MODELO!$B$9</f>
        <v>0</v>
      </c>
      <c r="K1139" s="5">
        <f>IFERROR(CHOOSE(MATCH(PARAMS_MODELO!$B$2,{"Q1","Q2","Q3"},0),LOTO!$D1139,LOTO!$F1139,LOTO!$H1139),0)</f>
        <v>0</v>
      </c>
      <c r="L1139" s="8">
        <f t="shared" si="410"/>
        <v>0</v>
      </c>
      <c r="M1139" s="5">
        <f>MIN(100,IF(PARAMS_MODELO!$B$23=0,0,100*L1139/PARAMS_MODELO!$B$23))*PARAMS_MODELO!$B$10</f>
        <v>0</v>
      </c>
      <c r="N1139" s="5">
        <f>IFERROR(VLOOKUP(A1139,COMPLIANCE!$A$2:$F$1996,6,0),100)</f>
        <v>100</v>
      </c>
      <c r="O1139" s="5">
        <f>N1139*PARAMS_MODELO!$B$11</f>
        <v>10</v>
      </c>
      <c r="P1139" s="5">
        <f>IFERROR(VLOOKUP(A1139,DIGITAL!$A$2:$J$2000,7,0),100)</f>
        <v>17</v>
      </c>
      <c r="Q1139" s="5">
        <f>IFERROR(P1139,0)*PARAMS_MODELO!$B$12</f>
        <v>1.7000000000000002</v>
      </c>
      <c r="R1139">
        <f t="shared" si="411"/>
        <v>11.7</v>
      </c>
      <c r="S1139" s="5" t="str">
        <f>IFERROR(VLOOKUP(A1139,CLIENTE!$A$2:$N$2000,13,0),1)</f>
        <v>Malo</v>
      </c>
      <c r="T1139" s="5">
        <f>IFERROR(VLOOKUP(A1139,CLIENTE!$A$2:$N$2000,14,0),1)</f>
        <v>0.7</v>
      </c>
      <c r="U1139" s="5">
        <f t="shared" si="412"/>
        <v>8.19</v>
      </c>
      <c r="V1139" s="5" t="str">
        <f>IF(U1139&gt;=MAX(_xlfn.PERCENTILE.INC($U$2:$U$1194,PARAMS_MODELO!$B$50),PARAMS_MODELO!$B$45),"DIAMANTE",IF(U1139&gt;=MAX(_xlfn.PERCENTILE.INC($U$2:$U$1194,PARAMS_MODELO!$B$51),PARAMS_MODELO!$B$46),"PLATINO",IF(U1139&gt;=MAX(_xlfn.PERCENTILE.INC($U$2:$U$1194,PARAMS_MODELO!$B$52),PARAMS_MODELO!$B$47),"ORO",IF(U1139&gt;=MAX(_xlfn.PERCENTILE.INC($U$2:$U$1194,PARAMS_MODELO!$B$53),PARAMS_MODELO!$B$48),"PLATA",IF(U1139&gt;=1,"BRONCE","CERRADO")))))</f>
        <v>BRONCE</v>
      </c>
      <c r="W1139" s="5" t="str" cm="1">
        <f t="array" ref="W1139">_xlfn.XLOOKUP(1, (HIST_SCORE!$B:$B=PARAMS_MODELO!$B$4) * (HIST_SCORE!$C:$C=A1139), HIST_SCORE!$E:$E, "No encontrado")</f>
        <v>BRONCE</v>
      </c>
      <c r="X1139" s="5" t="str">
        <f>_xlfn.LET(_xlpm.act,MATCH(V1139,{"DIAMANTE";"PLATINO";"ORO";"PLATA";"BRONCE";"CERRADO"},0),_xlpm.ant,MATCH(W1139,{"DIAMANTE";"PLATINO";"ORO";"PLATA";"BRONCE";"CERRADO"},0),IF(_xlpm.act&lt;_xlpm.ant,"Mejora ↑",IF(_xlpm.act&gt;_xlpm.ant,"Baja ↓","Estable →")))</f>
        <v>Estable →</v>
      </c>
      <c r="Y1139" s="5">
        <f>IFERROR(U1139-SUMIFS(HIST_SCORE!$D:$D,HIST_SCORE!$B:$B,PARAMS_MODELO!$B$4,HIST_SCORE!$C:$C,$A1139),"")</f>
        <v>0</v>
      </c>
      <c r="Z1139" s="5" t="str">
        <f t="shared" si="413"/>
        <v>→ Estable</v>
      </c>
      <c r="AA1139" s="5">
        <f t="shared" si="414"/>
        <v>1185</v>
      </c>
      <c r="AB1139" s="5">
        <f>IFERROR(SUMIFS(HIST_SCORE!$F:$F,HIST_SCORE!$B:$B,PARAMS_MODELO!$B$4,HIST_SCORE!$C:$C,$A1139),"")</f>
        <v>1185</v>
      </c>
      <c r="AC1139" s="5">
        <f t="shared" si="415"/>
        <v>0</v>
      </c>
      <c r="AD1139" t="str">
        <f t="shared" si="417"/>
        <v/>
      </c>
      <c r="AE11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1139="CERRADO",1,IF(V1139="BRONCE",_xlpm.cPl,IF(V1139="PLATA",_xlpm.cO,IF(V1139="ORO",_xlpm.cP,IF(V1139="PLATINO",_xlpm.cD,999))))))</f>
        <v>24.506573482968111</v>
      </c>
      <c r="AF113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1139="CERRADO",0,IF(V1139="BRONCE",1,IF(V1139="PLATA",_xlpm.cPl,IF(V1139="ORO",_xlpm.cO,IF(V1139="PLATINO",_xlpm.cP,_xlpm.cD))))))</f>
        <v>1</v>
      </c>
      <c r="AG1139">
        <f t="shared" si="418"/>
        <v>23.309390689954444</v>
      </c>
      <c r="AH1139" t="str">
        <f t="shared" si="419"/>
        <v>VENTAS</v>
      </c>
      <c r="AI1139" t="str">
        <f t="shared" si="416"/>
        <v>🎯 Para subir de categoría, eje VENTAS / CRECIMIENTO PERSONAL (F). Acción: metas semanales + activación comercial + seguimiento del asesor. ΔR aprox: 23,3</v>
      </c>
      <c r="AJ1139" s="26">
        <f>_xlfn.LET(_xlpm.piso,AF1139,_xlpm.corte,AE1139,_xlpm.prog,IF(_xlpm.corte&lt;=_xlpm.piso,0,MAX(0,MIN(1,(U1139-_xlpm.piso)/(_xlpm.corte-_xlpm.piso)))),_xlpm.orden,{"DIAMANTE";"PLATINO";"ORO";"PLATA";"BRONCE";"CERRADO"},_xlpm.act,IFERROR(MATCH(V1139,_xlpm.orden,0),6),_xlpm.ant,IFERROR(MATCH(W1139,_xlpm.orden,0),6),_xlpm.ajmov,IF(_xlpm.act&lt;_xlpm.ant,0.08,IF(_xlpm.act&gt;_xlpm.ant,-0.08,0)),_xlpm.ajcli,IF(T1139&lt;0.95,-0.06,0),_xlpm.prob,MAX(0,MIN(1,_xlpm.prog+_xlpm.ajmov+_xlpm.ajcli)),IF(OR(V1139="DIAMANTE",V1139="CERRADO"),0,ROUND(_xlpm.prob,2)))</f>
        <v>0.25</v>
      </c>
      <c r="AK1139" t="str">
        <f t="shared" si="420"/>
        <v>Faltan 23,3 puntos base para subir a la siguiente categoría</v>
      </c>
      <c r="AL1139" t="str">
        <f t="shared" si="421"/>
        <v>No aplica</v>
      </c>
      <c r="AM1139">
        <f t="shared" si="422"/>
        <v>0.9</v>
      </c>
      <c r="AN1139" t="str">
        <f t="shared" si="423"/>
        <v>PRIORIDAD ALTA – requiere intervención inmediata</v>
      </c>
      <c r="AO1139">
        <f t="shared" si="424"/>
        <v>45.403798492706905</v>
      </c>
      <c r="AP1139">
        <f t="shared" si="425"/>
        <v>10.5</v>
      </c>
      <c r="AQ1139">
        <f t="shared" si="426"/>
        <v>0</v>
      </c>
      <c r="AR1139">
        <f t="shared" si="427"/>
        <v>5.8100000000000005</v>
      </c>
      <c r="AS1139">
        <f t="shared" si="428"/>
        <v>3.5100000000000002</v>
      </c>
      <c r="AT1139" t="str">
        <f t="shared" si="429"/>
        <v>VENTAS</v>
      </c>
      <c r="AU1139">
        <f t="shared" si="430"/>
        <v>45.403798492706905</v>
      </c>
      <c r="AV1139" t="str">
        <f t="shared" si="431"/>
        <v>Mayor retorno probable: VENTAS (+45,4 puntos finales potenciales).</v>
      </c>
    </row>
    <row r="1140" spans="1:48" x14ac:dyDescent="0.3">
      <c r="A1140" s="5">
        <v>51041321</v>
      </c>
      <c r="B1140" s="5" t="str">
        <f>IFERROR(VLOOKUP(A1140,VENTAS!$A$2:$B$1194,2,0),"")</f>
        <v/>
      </c>
      <c r="C1140" s="5">
        <f>IFERROR(INDEX(VENTAS!$C$2:$E$1194,MATCH(A1140,VENTAS!$A$2:$A$1194,0),MATCH(PARAMS_MODELO!$B$2,{"Q1","Q2","Q3"},0)),0)</f>
        <v>55637585.419999987</v>
      </c>
      <c r="D1140" s="5">
        <f>IFERROR(INDEX(VENTAS!$F$2:$H$1194,MATCH(A1140,VENTAS!$A$2:$A$1194,0),MATCH(PARAMS_MODELO!$B$2,{"Q1","Q2","Q3"},0)),0)</f>
        <v>0</v>
      </c>
      <c r="E1140" s="8">
        <f t="shared" si="408"/>
        <v>-1</v>
      </c>
      <c r="F1140" s="12">
        <f>IF(E1140&lt;=PARAMS_MODELO!$B$15,0,IF(E1140&gt;=PARAMS_MODELO!$B$17,100,100*MIN(1,(E1140-PARAMS_MODELO!$B$15)/(PARAMS_MODELO!$B$16-PARAMS_MODELO!$B$15))))*PARAMS_MODELO!$B$7</f>
        <v>0</v>
      </c>
      <c r="G1140" s="5">
        <f t="shared" si="409"/>
        <v>0</v>
      </c>
      <c r="H1140" s="5">
        <f>(PARAMS_MODELO!$B$20*(MAX(0,MIN(3,E1140))/3)+PARAMS_MODELO!$B$21*(IFERROR(LN(1+MAX(0,G1140))/LN(1+MAX(0,MAX($G$2:$G$1194))),0)))*100*PARAMS_MODELO!$B$8</f>
        <v>0</v>
      </c>
      <c r="I1140" s="8">
        <f>E1140-PARAMS_MODELO!$B$5</f>
        <v>-1.1775628353755265</v>
      </c>
      <c r="J1140" s="5">
        <f>IF(I1140&lt;=PARAMS_MODELO!$B$18,0,IF(I1140&gt;=PARAMS_MODELO!$B$19,100,100*(I1140-PARAMS_MODELO!$B$18)/(PARAMS_MODELO!$B$19-PARAMS_MODELO!$B$18)))*PARAMS_MODELO!$B$9</f>
        <v>0</v>
      </c>
      <c r="K1140" s="5">
        <f>IFERROR(CHOOSE(MATCH(PARAMS_MODELO!$B$2,{"Q1","Q2","Q3"},0),LOTO!$D1140,LOTO!$F1140,LOTO!$H1140),0)</f>
        <v>0</v>
      </c>
      <c r="L1140" s="8">
        <f t="shared" si="410"/>
        <v>0</v>
      </c>
      <c r="M1140" s="5">
        <f>MIN(100,IF(PARAMS_MODELO!$B$23=0,0,100*L1140/PARAMS_MODELO!$B$23))*PARAMS_MODELO!$B$10</f>
        <v>0</v>
      </c>
      <c r="N1140" s="5">
        <f>IFERROR(VLOOKUP(A1140,COMPLIANCE!$A$2:$F$1996,6,0),100)</f>
        <v>100</v>
      </c>
      <c r="O1140" s="5">
        <f>N1140*PARAMS_MODELO!$B$11</f>
        <v>10</v>
      </c>
      <c r="P1140" s="5">
        <f>IFERROR(VLOOKUP(A1140,DIGITAL!$A$2:$J$2000,7,0),100)</f>
        <v>52</v>
      </c>
      <c r="Q1140" s="5">
        <f>IFERROR(P1140,0)*PARAMS_MODELO!$B$12</f>
        <v>5.2</v>
      </c>
      <c r="R1140">
        <f t="shared" si="411"/>
        <v>15.2</v>
      </c>
      <c r="S1140" s="5" t="str">
        <f>IFERROR(VLOOKUP(A1140,CLIENTE!$A$2:$N$2000,13,0),1)</f>
        <v>Regular</v>
      </c>
      <c r="T1140" s="5">
        <f>IFERROR(VLOOKUP(A1140,CLIENTE!$A$2:$N$2000,14,0),1)</f>
        <v>1</v>
      </c>
      <c r="U1140" s="5">
        <f t="shared" si="412"/>
        <v>15.2</v>
      </c>
      <c r="V1140" s="5" t="str">
        <f>IF(U1140&gt;=MAX(_xlfn.PERCENTILE.INC($U$2:$U$1194,PARAMS_MODELO!$B$50),PARAMS_MODELO!$B$45),"DIAMANTE",IF(U1140&gt;=MAX(_xlfn.PERCENTILE.INC($U$2:$U$1194,PARAMS_MODELO!$B$51),PARAMS_MODELO!$B$46),"PLATINO",IF(U1140&gt;=MAX(_xlfn.PERCENTILE.INC($U$2:$U$1194,PARAMS_MODELO!$B$52),PARAMS_MODELO!$B$47),"ORO",IF(U1140&gt;=MAX(_xlfn.PERCENTILE.INC($U$2:$U$1194,PARAMS_MODELO!$B$53),PARAMS_MODELO!$B$48),"PLATA",IF(U1140&gt;=1,"BRONCE","CERRADO")))))</f>
        <v>BRONCE</v>
      </c>
      <c r="W1140" s="5" t="str" cm="1">
        <f t="array" ref="W1140">_xlfn.XLOOKUP(1, (HIST_SCORE!$B:$B=PARAMS_MODELO!$B$4) * (HIST_SCORE!$C:$C=A1140), HIST_SCORE!$E:$E, "No encontrado")</f>
        <v>BRONCE</v>
      </c>
      <c r="X1140" s="5" t="str">
        <f>_xlfn.LET(_xlpm.act,MATCH(V1140,{"DIAMANTE";"PLATINO";"ORO";"PLATA";"BRONCE";"CERRADO"},0),_xlpm.ant,MATCH(W1140,{"DIAMANTE";"PLATINO";"ORO";"PLATA";"BRONCE";"CERRADO"},0),IF(_xlpm.act&lt;_xlpm.ant,"Mejora ↑",IF(_xlpm.act&gt;_xlpm.ant,"Baja ↓","Estable →")))</f>
        <v>Estable →</v>
      </c>
      <c r="Y1140" s="5">
        <f>IFERROR(U1140-SUMIFS(HIST_SCORE!$D:$D,HIST_SCORE!$B:$B,PARAMS_MODELO!$B$4,HIST_SCORE!$C:$C,$A1140),"")</f>
        <v>0</v>
      </c>
      <c r="Z1140" s="5" t="str">
        <f t="shared" si="413"/>
        <v>→ Estable</v>
      </c>
      <c r="AA1140" s="5">
        <f t="shared" si="414"/>
        <v>1077</v>
      </c>
      <c r="AB1140" s="5">
        <f>IFERROR(SUMIFS(HIST_SCORE!$F:$F,HIST_SCORE!$B:$B,PARAMS_MODELO!$B$4,HIST_SCORE!$C:$C,$A1140),"")</f>
        <v>1074</v>
      </c>
      <c r="AC1140" s="5">
        <f t="shared" si="415"/>
        <v>-3</v>
      </c>
      <c r="AD1140" t="str">
        <f t="shared" si="417"/>
        <v/>
      </c>
      <c r="AE11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1140="CERRADO",1,IF(V1140="BRONCE",_xlpm.cPl,IF(V1140="PLATA",_xlpm.cO,IF(V1140="ORO",_xlpm.cP,IF(V1140="PLATINO",_xlpm.cD,999))))))</f>
        <v>24.506573482968111</v>
      </c>
      <c r="AF114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1140="CERRADO",0,IF(V1140="BRONCE",1,IF(V1140="PLATA",_xlpm.cPl,IF(V1140="ORO",_xlpm.cO,IF(V1140="PLATINO",_xlpm.cP,_xlpm.cD))))))</f>
        <v>1</v>
      </c>
      <c r="AG1140">
        <f t="shared" si="418"/>
        <v>9.3065734829681119</v>
      </c>
      <c r="AH1140" t="str">
        <f t="shared" si="419"/>
        <v>VENTAS</v>
      </c>
      <c r="AI1140" t="str">
        <f t="shared" si="416"/>
        <v>🎯 Para subir de categoría, eje VENTAS / CRECIMIENTO PERSONAL (F). Acción: metas semanales + activación comercial + seguimiento del asesor. ΔR aprox: 9,3</v>
      </c>
      <c r="AJ1140" s="26">
        <f>_xlfn.LET(_xlpm.piso,AF1140,_xlpm.corte,AE1140,_xlpm.prog,IF(_xlpm.corte&lt;=_xlpm.piso,0,MAX(0,MIN(1,(U1140-_xlpm.piso)/(_xlpm.corte-_xlpm.piso)))),_xlpm.orden,{"DIAMANTE";"PLATINO";"ORO";"PLATA";"BRONCE";"CERRADO"},_xlpm.act,IFERROR(MATCH(V1140,_xlpm.orden,0),6),_xlpm.ant,IFERROR(MATCH(W1140,_xlpm.orden,0),6),_xlpm.ajmov,IF(_xlpm.act&lt;_xlpm.ant,0.08,IF(_xlpm.act&gt;_xlpm.ant,-0.08,0)),_xlpm.ajcli,IF(T1140&lt;0.95,-0.06,0),_xlpm.prob,MAX(0,MIN(1,_xlpm.prog+_xlpm.ajmov+_xlpm.ajcli)),IF(OR(V1140="DIAMANTE",V1140="CERRADO"),0,ROUND(_xlpm.prob,2)))</f>
        <v>0.6</v>
      </c>
      <c r="AK1140" t="str">
        <f t="shared" si="420"/>
        <v>Faltan 9,3 puntos base para subir a la siguiente categoría</v>
      </c>
      <c r="AL1140" t="str">
        <f t="shared" si="421"/>
        <v>No aplica</v>
      </c>
      <c r="AM1140">
        <f t="shared" si="422"/>
        <v>0.53</v>
      </c>
      <c r="AN1140" t="str">
        <f t="shared" si="423"/>
        <v>PRIORIDAD MEDIA – seguimiento del asesor</v>
      </c>
      <c r="AO1140">
        <f t="shared" si="424"/>
        <v>64.862569275295584</v>
      </c>
      <c r="AP1140">
        <f t="shared" si="425"/>
        <v>15</v>
      </c>
      <c r="AQ1140">
        <f t="shared" si="426"/>
        <v>0</v>
      </c>
      <c r="AR1140">
        <f t="shared" si="427"/>
        <v>4.8</v>
      </c>
      <c r="AS1140">
        <f t="shared" si="428"/>
        <v>0</v>
      </c>
      <c r="AT1140" t="str">
        <f t="shared" si="429"/>
        <v>VENTAS</v>
      </c>
      <c r="AU1140">
        <f t="shared" si="430"/>
        <v>64.862569275295584</v>
      </c>
      <c r="AV1140" t="str">
        <f t="shared" si="431"/>
        <v>Mayor retorno probable: VENTAS (+64,9 puntos finales potenciales).</v>
      </c>
    </row>
    <row r="1141" spans="1:48" x14ac:dyDescent="0.3">
      <c r="A1141" s="5">
        <v>51041836</v>
      </c>
      <c r="B1141" s="5" t="str">
        <f>IFERROR(VLOOKUP(A1141,VENTAS!$A$2:$B$1194,2,0),"")</f>
        <v/>
      </c>
      <c r="C1141" s="5">
        <f>IFERROR(INDEX(VENTAS!$C$2:$E$1194,MATCH(A1141,VENTAS!$A$2:$A$1194,0),MATCH(PARAMS_MODELO!$B$2,{"Q1","Q2","Q3"},0)),0)</f>
        <v>0</v>
      </c>
      <c r="D1141" s="5">
        <f>IFERROR(INDEX(VENTAS!$F$2:$H$1194,MATCH(A1141,VENTAS!$A$2:$A$1194,0),MATCH(PARAMS_MODELO!$B$2,{"Q1","Q2","Q3"},0)),0)</f>
        <v>0</v>
      </c>
      <c r="E1141" s="8">
        <f t="shared" si="408"/>
        <v>0</v>
      </c>
      <c r="F1141" s="12">
        <f>IF(E1141&lt;=PARAMS_MODELO!$B$15,0,IF(E1141&gt;=PARAMS_MODELO!$B$17,100,100*MIN(1,(E1141-PARAMS_MODELO!$B$15)/(PARAMS_MODELO!$B$16-PARAMS_MODELO!$B$15))))*PARAMS_MODELO!$B$7</f>
        <v>0</v>
      </c>
      <c r="G1141" s="5">
        <f t="shared" si="409"/>
        <v>0</v>
      </c>
      <c r="H1141" s="5">
        <f>(PARAMS_MODELO!$B$20*(MAX(0,MIN(3,E1141))/3)+PARAMS_MODELO!$B$21*(IFERROR(LN(1+MAX(0,G1141))/LN(1+MAX(0,MAX($G$2:$G$1194))),0)))*100*PARAMS_MODELO!$B$8</f>
        <v>0</v>
      </c>
      <c r="I1141" s="8">
        <f>E1141-PARAMS_MODELO!$B$5</f>
        <v>-0.17756283537552653</v>
      </c>
      <c r="J1141" s="5">
        <f>IF(I1141&lt;=PARAMS_MODELO!$B$18,0,IF(I1141&gt;=PARAMS_MODELO!$B$19,100,100*(I1141-PARAMS_MODELO!$B$18)/(PARAMS_MODELO!$B$19-PARAMS_MODELO!$B$18)))*PARAMS_MODELO!$B$9</f>
        <v>0</v>
      </c>
      <c r="K1141" s="5">
        <f>IFERROR(CHOOSE(MATCH(PARAMS_MODELO!$B$2,{"Q1","Q2","Q3"},0),LOTO!$D1141,LOTO!$F1141,LOTO!$H1141),0)</f>
        <v>0</v>
      </c>
      <c r="L1141" s="8">
        <f t="shared" si="410"/>
        <v>0</v>
      </c>
      <c r="M1141" s="5">
        <f>MIN(100,IF(PARAMS_MODELO!$B$23=0,0,100*L1141/PARAMS_MODELO!$B$23))*PARAMS_MODELO!$B$10</f>
        <v>0</v>
      </c>
      <c r="N1141" s="5">
        <f>IFERROR(VLOOKUP(A1141,COMPLIANCE!$A$2:$F$1996,6,0),100)</f>
        <v>100</v>
      </c>
      <c r="O1141" s="5">
        <f>N1141*PARAMS_MODELO!$B$11</f>
        <v>10</v>
      </c>
      <c r="P1141" s="5">
        <f>IFERROR(VLOOKUP(A1141,DIGITAL!$A$2:$J$2000,7,0),100)</f>
        <v>56</v>
      </c>
      <c r="Q1141" s="5">
        <f>IFERROR(P1141,0)*PARAMS_MODELO!$B$12</f>
        <v>5.6000000000000005</v>
      </c>
      <c r="R1141">
        <f t="shared" si="411"/>
        <v>15.600000000000001</v>
      </c>
      <c r="S1141" s="5" t="str">
        <f>IFERROR(VLOOKUP(A1141,CLIENTE!$A$2:$N$2000,13,0),1)</f>
        <v>Bueno</v>
      </c>
      <c r="T1141" s="5">
        <f>IFERROR(VLOOKUP(A1141,CLIENTE!$A$2:$N$2000,14,0),1)</f>
        <v>1.1000000000000001</v>
      </c>
      <c r="U1141" s="5">
        <f t="shared" si="412"/>
        <v>17.160000000000004</v>
      </c>
      <c r="V1141" s="5" t="str">
        <f>IF(U1141&gt;=MAX(_xlfn.PERCENTILE.INC($U$2:$U$1194,PARAMS_MODELO!$B$50),PARAMS_MODELO!$B$45),"DIAMANTE",IF(U1141&gt;=MAX(_xlfn.PERCENTILE.INC($U$2:$U$1194,PARAMS_MODELO!$B$51),PARAMS_MODELO!$B$46),"PLATINO",IF(U1141&gt;=MAX(_xlfn.PERCENTILE.INC($U$2:$U$1194,PARAMS_MODELO!$B$52),PARAMS_MODELO!$B$47),"ORO",IF(U1141&gt;=MAX(_xlfn.PERCENTILE.INC($U$2:$U$1194,PARAMS_MODELO!$B$53),PARAMS_MODELO!$B$48),"PLATA",IF(U1141&gt;=1,"BRONCE","CERRADO")))))</f>
        <v>BRONCE</v>
      </c>
      <c r="W1141" s="5" t="str" cm="1">
        <f t="array" ref="W1141">_xlfn.XLOOKUP(1, (HIST_SCORE!$B:$B=PARAMS_MODELO!$B$4) * (HIST_SCORE!$C:$C=A1141), HIST_SCORE!$E:$E, "No encontrado")</f>
        <v>BRONCE</v>
      </c>
      <c r="X1141" s="5" t="str">
        <f>_xlfn.LET(_xlpm.act,MATCH(V1141,{"DIAMANTE";"PLATINO";"ORO";"PLATA";"BRONCE";"CERRADO"},0),_xlpm.ant,MATCH(W1141,{"DIAMANTE";"PLATINO";"ORO";"PLATA";"BRONCE";"CERRADO"},0),IF(_xlpm.act&lt;_xlpm.ant,"Mejora ↑",IF(_xlpm.act&gt;_xlpm.ant,"Baja ↓","Estable →")))</f>
        <v>Estable →</v>
      </c>
      <c r="Y1141" s="5">
        <f>IFERROR(U1141-SUMIFS(HIST_SCORE!$D:$D,HIST_SCORE!$B:$B,PARAMS_MODELO!$B$4,HIST_SCORE!$C:$C,$A1141),"")</f>
        <v>0</v>
      </c>
      <c r="Z1141" s="5" t="str">
        <f t="shared" si="413"/>
        <v>→ Estable</v>
      </c>
      <c r="AA1141" s="5">
        <f t="shared" si="414"/>
        <v>1047</v>
      </c>
      <c r="AB1141" s="5">
        <f>IFERROR(SUMIFS(HIST_SCORE!$F:$F,HIST_SCORE!$B:$B,PARAMS_MODELO!$B$4,HIST_SCORE!$C:$C,$A1141),"")</f>
        <v>1043</v>
      </c>
      <c r="AC1141" s="5">
        <f t="shared" si="415"/>
        <v>-4</v>
      </c>
      <c r="AD1141" t="str">
        <f t="shared" si="417"/>
        <v/>
      </c>
      <c r="AE11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1141="CERRADO",1,IF(V1141="BRONCE",_xlpm.cPl,IF(V1141="PLATA",_xlpm.cO,IF(V1141="ORO",_xlpm.cP,IF(V1141="PLATINO",_xlpm.cD,999))))))</f>
        <v>24.506573482968111</v>
      </c>
      <c r="AF114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1141="CERRADO",0,IF(V1141="BRONCE",1,IF(V1141="PLATA",_xlpm.cPl,IF(V1141="ORO",_xlpm.cO,IF(V1141="PLATINO",_xlpm.cP,_xlpm.cD))))))</f>
        <v>1</v>
      </c>
      <c r="AG1141">
        <f t="shared" si="418"/>
        <v>6.6787031663346426</v>
      </c>
      <c r="AH1141" t="str">
        <f t="shared" si="419"/>
        <v>VENTAS</v>
      </c>
      <c r="AI1141" t="str">
        <f t="shared" si="416"/>
        <v>🎯 Para subir de categoría, eje VENTAS / CRECIMIENTO PERSONAL (F). Acción: metas semanales + activación comercial + seguimiento del asesor. ΔR aprox: 6,7</v>
      </c>
      <c r="AJ1141" s="26">
        <f>_xlfn.LET(_xlpm.piso,AF1141,_xlpm.corte,AE1141,_xlpm.prog,IF(_xlpm.corte&lt;=_xlpm.piso,0,MAX(0,MIN(1,(U1141-_xlpm.piso)/(_xlpm.corte-_xlpm.piso)))),_xlpm.orden,{"DIAMANTE";"PLATINO";"ORO";"PLATA";"BRONCE";"CERRADO"},_xlpm.act,IFERROR(MATCH(V1141,_xlpm.orden,0),6),_xlpm.ant,IFERROR(MATCH(W1141,_xlpm.orden,0),6),_xlpm.ajmov,IF(_xlpm.act&lt;_xlpm.ant,0.08,IF(_xlpm.act&gt;_xlpm.ant,-0.08,0)),_xlpm.ajcli,IF(T1141&lt;0.95,-0.06,0),_xlpm.prob,MAX(0,MIN(1,_xlpm.prog+_xlpm.ajmov+_xlpm.ajcli)),IF(OR(V1141="DIAMANTE",V1141="CERRADO"),0,ROUND(_xlpm.prob,2)))</f>
        <v>0.69</v>
      </c>
      <c r="AK1141" t="str">
        <f t="shared" si="420"/>
        <v>Faltan 6,7 puntos base para subir a la siguiente categoría</v>
      </c>
      <c r="AL1141" t="str">
        <f t="shared" si="421"/>
        <v>No aplica</v>
      </c>
      <c r="AM1141">
        <f t="shared" si="422"/>
        <v>0.39</v>
      </c>
      <c r="AN1141" t="str">
        <f t="shared" si="423"/>
        <v>PRIORIDAD BAJA – control normal</v>
      </c>
      <c r="AO1141">
        <f t="shared" si="424"/>
        <v>71.348826202825151</v>
      </c>
      <c r="AP1141">
        <f t="shared" si="425"/>
        <v>16.5</v>
      </c>
      <c r="AQ1141">
        <f t="shared" si="426"/>
        <v>0</v>
      </c>
      <c r="AR1141">
        <f t="shared" si="427"/>
        <v>4.84</v>
      </c>
      <c r="AS1141">
        <f t="shared" si="428"/>
        <v>0</v>
      </c>
      <c r="AT1141" t="str">
        <f t="shared" si="429"/>
        <v>VENTAS</v>
      </c>
      <c r="AU1141">
        <f t="shared" si="430"/>
        <v>71.348826202825151</v>
      </c>
      <c r="AV1141" t="str">
        <f t="shared" si="431"/>
        <v>Mayor retorno probable: VENTAS (+71,3 puntos finales potenciales).</v>
      </c>
    </row>
    <row r="1142" spans="1:48" x14ac:dyDescent="0.3">
      <c r="A1142" s="5">
        <v>51041925</v>
      </c>
      <c r="B1142" s="5" t="str">
        <f>IFERROR(VLOOKUP(A1142,VENTAS!$A$2:$B$1194,2,0),"")</f>
        <v/>
      </c>
      <c r="C1142" s="5">
        <f>IFERROR(INDEX(VENTAS!$C$2:$E$1194,MATCH(A1142,VENTAS!$A$2:$A$1194,0),MATCH(PARAMS_MODELO!$B$2,{"Q1","Q2","Q3"},0)),0)</f>
        <v>42589526.140000001</v>
      </c>
      <c r="D1142" s="5">
        <f>IFERROR(INDEX(VENTAS!$F$2:$H$1194,MATCH(A1142,VENTAS!$A$2:$A$1194,0),MATCH(PARAMS_MODELO!$B$2,{"Q1","Q2","Q3"},0)),0)</f>
        <v>0</v>
      </c>
      <c r="E1142" s="8">
        <f t="shared" si="408"/>
        <v>-1</v>
      </c>
      <c r="F1142" s="12">
        <f>IF(E1142&lt;=PARAMS_MODELO!$B$15,0,IF(E1142&gt;=PARAMS_MODELO!$B$17,100,100*MIN(1,(E1142-PARAMS_MODELO!$B$15)/(PARAMS_MODELO!$B$16-PARAMS_MODELO!$B$15))))*PARAMS_MODELO!$B$7</f>
        <v>0</v>
      </c>
      <c r="G1142" s="5">
        <f t="shared" si="409"/>
        <v>0</v>
      </c>
      <c r="H1142" s="5">
        <f>(PARAMS_MODELO!$B$20*(MAX(0,MIN(3,E1142))/3)+PARAMS_MODELO!$B$21*(IFERROR(LN(1+MAX(0,G1142))/LN(1+MAX(0,MAX($G$2:$G$1194))),0)))*100*PARAMS_MODELO!$B$8</f>
        <v>0</v>
      </c>
      <c r="I1142" s="8">
        <f>E1142-PARAMS_MODELO!$B$5</f>
        <v>-1.1775628353755265</v>
      </c>
      <c r="J1142" s="5">
        <f>IF(I1142&lt;=PARAMS_MODELO!$B$18,0,IF(I1142&gt;=PARAMS_MODELO!$B$19,100,100*(I1142-PARAMS_MODELO!$B$18)/(PARAMS_MODELO!$B$19-PARAMS_MODELO!$B$18)))*PARAMS_MODELO!$B$9</f>
        <v>0</v>
      </c>
      <c r="K1142" s="5">
        <f>IFERROR(CHOOSE(MATCH(PARAMS_MODELO!$B$2,{"Q1","Q2","Q3"},0),LOTO!$D1142,LOTO!$F1142,LOTO!$H1142),0)</f>
        <v>0</v>
      </c>
      <c r="L1142" s="8">
        <f t="shared" si="410"/>
        <v>0</v>
      </c>
      <c r="M1142" s="5">
        <f>MIN(100,IF(PARAMS_MODELO!$B$23=0,0,100*L1142/PARAMS_MODELO!$B$23))*PARAMS_MODELO!$B$10</f>
        <v>0</v>
      </c>
      <c r="N1142" s="5">
        <f>IFERROR(VLOOKUP(A1142,COMPLIANCE!$A$2:$F$1996,6,0),100)</f>
        <v>99.85</v>
      </c>
      <c r="O1142" s="5">
        <f>N1142*PARAMS_MODELO!$B$11</f>
        <v>9.9849999999999994</v>
      </c>
      <c r="P1142" s="5">
        <f>IFERROR(VLOOKUP(A1142,DIGITAL!$A$2:$J$2000,7,0),100)</f>
        <v>87</v>
      </c>
      <c r="Q1142" s="5">
        <f>IFERROR(P1142,0)*PARAMS_MODELO!$B$12</f>
        <v>8.7000000000000011</v>
      </c>
      <c r="R1142">
        <f t="shared" si="411"/>
        <v>18.685000000000002</v>
      </c>
      <c r="S1142" s="5" t="str">
        <f>IFERROR(VLOOKUP(A1142,CLIENTE!$A$2:$N$2000,13,0),1)</f>
        <v>Regular</v>
      </c>
      <c r="T1142" s="5">
        <f>IFERROR(VLOOKUP(A1142,CLIENTE!$A$2:$N$2000,14,0),1)</f>
        <v>1</v>
      </c>
      <c r="U1142" s="5">
        <f t="shared" si="412"/>
        <v>18.685000000000002</v>
      </c>
      <c r="V1142" s="5" t="str">
        <f>IF(U1142&gt;=MAX(_xlfn.PERCENTILE.INC($U$2:$U$1194,PARAMS_MODELO!$B$50),PARAMS_MODELO!$B$45),"DIAMANTE",IF(U1142&gt;=MAX(_xlfn.PERCENTILE.INC($U$2:$U$1194,PARAMS_MODELO!$B$51),PARAMS_MODELO!$B$46),"PLATINO",IF(U1142&gt;=MAX(_xlfn.PERCENTILE.INC($U$2:$U$1194,PARAMS_MODELO!$B$52),PARAMS_MODELO!$B$47),"ORO",IF(U1142&gt;=MAX(_xlfn.PERCENTILE.INC($U$2:$U$1194,PARAMS_MODELO!$B$53),PARAMS_MODELO!$B$48),"PLATA",IF(U1142&gt;=1,"BRONCE","CERRADO")))))</f>
        <v>BRONCE</v>
      </c>
      <c r="W1142" s="5" t="str" cm="1">
        <f t="array" ref="W1142">_xlfn.XLOOKUP(1, (HIST_SCORE!$B:$B=PARAMS_MODELO!$B$4) * (HIST_SCORE!$C:$C=A1142), HIST_SCORE!$E:$E, "No encontrado")</f>
        <v>BRONCE</v>
      </c>
      <c r="X1142" s="5" t="str">
        <f>_xlfn.LET(_xlpm.act,MATCH(V1142,{"DIAMANTE";"PLATINO";"ORO";"PLATA";"BRONCE";"CERRADO"},0),_xlpm.ant,MATCH(W1142,{"DIAMANTE";"PLATINO";"ORO";"PLATA";"BRONCE";"CERRADO"},0),IF(_xlpm.act&lt;_xlpm.ant,"Mejora ↑",IF(_xlpm.act&gt;_xlpm.ant,"Baja ↓","Estable →")))</f>
        <v>Estable →</v>
      </c>
      <c r="Y1142" s="5">
        <f>IFERROR(U1142-SUMIFS(HIST_SCORE!$D:$D,HIST_SCORE!$B:$B,PARAMS_MODELO!$B$4,HIST_SCORE!$C:$C,$A1142),"")</f>
        <v>0</v>
      </c>
      <c r="Z1142" s="5" t="str">
        <f t="shared" si="413"/>
        <v>→ Estable</v>
      </c>
      <c r="AA1142" s="5">
        <f t="shared" si="414"/>
        <v>1013</v>
      </c>
      <c r="AB1142" s="5">
        <f>IFERROR(SUMIFS(HIST_SCORE!$F:$F,HIST_SCORE!$B:$B,PARAMS_MODELO!$B$4,HIST_SCORE!$C:$C,$A1142),"")</f>
        <v>1017</v>
      </c>
      <c r="AC1142" s="5">
        <f t="shared" si="415"/>
        <v>4</v>
      </c>
      <c r="AD1142" t="str">
        <f t="shared" si="417"/>
        <v/>
      </c>
      <c r="AE11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1142="CERRADO",1,IF(V1142="BRONCE",_xlpm.cPl,IF(V1142="PLATA",_xlpm.cO,IF(V1142="ORO",_xlpm.cP,IF(V1142="PLATINO",_xlpm.cD,999))))))</f>
        <v>24.506573482968111</v>
      </c>
      <c r="AF114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1142="CERRADO",0,IF(V1142="BRONCE",1,IF(V1142="PLATA",_xlpm.cPl,IF(V1142="ORO",_xlpm.cO,IF(V1142="PLATINO",_xlpm.cP,_xlpm.cD))))))</f>
        <v>1</v>
      </c>
      <c r="AG1142">
        <f t="shared" si="418"/>
        <v>5.8215734829681089</v>
      </c>
      <c r="AH1142" t="str">
        <f t="shared" si="419"/>
        <v>VENTAS</v>
      </c>
      <c r="AI1142" t="str">
        <f t="shared" si="416"/>
        <v>🎯 Para subir de categoría, eje VENTAS / CRECIMIENTO PERSONAL (F). Acción: metas semanales + activación comercial + seguimiento del asesor. ΔR aprox: 5,8</v>
      </c>
      <c r="AJ1142" s="26">
        <f>_xlfn.LET(_xlpm.piso,AF1142,_xlpm.corte,AE1142,_xlpm.prog,IF(_xlpm.corte&lt;=_xlpm.piso,0,MAX(0,MIN(1,(U1142-_xlpm.piso)/(_xlpm.corte-_xlpm.piso)))),_xlpm.orden,{"DIAMANTE";"PLATINO";"ORO";"PLATA";"BRONCE";"CERRADO"},_xlpm.act,IFERROR(MATCH(V1142,_xlpm.orden,0),6),_xlpm.ant,IFERROR(MATCH(W1142,_xlpm.orden,0),6),_xlpm.ajmov,IF(_xlpm.act&lt;_xlpm.ant,0.08,IF(_xlpm.act&gt;_xlpm.ant,-0.08,0)),_xlpm.ajcli,IF(T1142&lt;0.95,-0.06,0),_xlpm.prob,MAX(0,MIN(1,_xlpm.prog+_xlpm.ajmov+_xlpm.ajcli)),IF(OR(V1142="DIAMANTE",V1142="CERRADO"),0,ROUND(_xlpm.prob,2)))</f>
        <v>0.75</v>
      </c>
      <c r="AK1142" t="str">
        <f t="shared" si="420"/>
        <v>Faltan 5,8 puntos base para subir a la siguiente categoría</v>
      </c>
      <c r="AL1142" t="str">
        <f t="shared" si="421"/>
        <v>No aplica</v>
      </c>
      <c r="AM1142">
        <f t="shared" si="422"/>
        <v>0.33</v>
      </c>
      <c r="AN1142" t="str">
        <f t="shared" si="423"/>
        <v>PRIORIDAD BAJA – control normal</v>
      </c>
      <c r="AO1142">
        <f t="shared" si="424"/>
        <v>64.862569275295584</v>
      </c>
      <c r="AP1142">
        <f t="shared" si="425"/>
        <v>15</v>
      </c>
      <c r="AQ1142">
        <f t="shared" si="426"/>
        <v>1.5000000000000568E-2</v>
      </c>
      <c r="AR1142">
        <f t="shared" si="427"/>
        <v>1.2999999999999989</v>
      </c>
      <c r="AS1142">
        <f t="shared" si="428"/>
        <v>0</v>
      </c>
      <c r="AT1142" t="str">
        <f t="shared" si="429"/>
        <v>VENTAS</v>
      </c>
      <c r="AU1142">
        <f t="shared" si="430"/>
        <v>64.862569275295584</v>
      </c>
      <c r="AV1142" t="str">
        <f t="shared" si="431"/>
        <v>Mayor retorno probable: VENTAS (+64,9 puntos finales potenciales).</v>
      </c>
    </row>
    <row r="1143" spans="1:48" x14ac:dyDescent="0.3">
      <c r="A1143" s="5">
        <v>51042166</v>
      </c>
      <c r="B1143" s="5" t="str">
        <f>IFERROR(VLOOKUP(A1143,VENTAS!$A$2:$B$1194,2,0),"")</f>
        <v/>
      </c>
      <c r="C1143" s="5">
        <f>IFERROR(INDEX(VENTAS!$C$2:$E$1194,MATCH(A1143,VENTAS!$A$2:$A$1194,0),MATCH(PARAMS_MODELO!$B$2,{"Q1","Q2","Q3"},0)),0)</f>
        <v>4660418.4000000004</v>
      </c>
      <c r="D1143" s="5">
        <f>IFERROR(INDEX(VENTAS!$F$2:$H$1194,MATCH(A1143,VENTAS!$A$2:$A$1194,0),MATCH(PARAMS_MODELO!$B$2,{"Q1","Q2","Q3"},0)),0)</f>
        <v>0</v>
      </c>
      <c r="E1143" s="8">
        <f t="shared" si="408"/>
        <v>-1</v>
      </c>
      <c r="F1143" s="12">
        <f>IF(E1143&lt;=PARAMS_MODELO!$B$15,0,IF(E1143&gt;=PARAMS_MODELO!$B$17,100,100*MIN(1,(E1143-PARAMS_MODELO!$B$15)/(PARAMS_MODELO!$B$16-PARAMS_MODELO!$B$15))))*PARAMS_MODELO!$B$7</f>
        <v>0</v>
      </c>
      <c r="G1143" s="5">
        <f t="shared" si="409"/>
        <v>0</v>
      </c>
      <c r="H1143" s="5">
        <f>(PARAMS_MODELO!$B$20*(MAX(0,MIN(3,E1143))/3)+PARAMS_MODELO!$B$21*(IFERROR(LN(1+MAX(0,G1143))/LN(1+MAX(0,MAX($G$2:$G$1194))),0)))*100*PARAMS_MODELO!$B$8</f>
        <v>0</v>
      </c>
      <c r="I1143" s="8">
        <f>E1143-PARAMS_MODELO!$B$5</f>
        <v>-1.1775628353755265</v>
      </c>
      <c r="J1143" s="5">
        <f>IF(I1143&lt;=PARAMS_MODELO!$B$18,0,IF(I1143&gt;=PARAMS_MODELO!$B$19,100,100*(I1143-PARAMS_MODELO!$B$18)/(PARAMS_MODELO!$B$19-PARAMS_MODELO!$B$18)))*PARAMS_MODELO!$B$9</f>
        <v>0</v>
      </c>
      <c r="K1143" s="5">
        <f>IFERROR(CHOOSE(MATCH(PARAMS_MODELO!$B$2,{"Q1","Q2","Q3"},0),LOTO!$D1143,LOTO!$F1143,LOTO!$H1143),0)</f>
        <v>0</v>
      </c>
      <c r="L1143" s="8">
        <f t="shared" si="410"/>
        <v>0</v>
      </c>
      <c r="M1143" s="5">
        <f>MIN(100,IF(PARAMS_MODELO!$B$23=0,0,100*L1143/PARAMS_MODELO!$B$23))*PARAMS_MODELO!$B$10</f>
        <v>0</v>
      </c>
      <c r="N1143" s="5">
        <f>IFERROR(VLOOKUP(A1143,COMPLIANCE!$A$2:$F$1996,6,0),100)</f>
        <v>100</v>
      </c>
      <c r="O1143" s="5">
        <f>N1143*PARAMS_MODELO!$B$11</f>
        <v>10</v>
      </c>
      <c r="P1143" s="5">
        <f>IFERROR(VLOOKUP(A1143,DIGITAL!$A$2:$J$2000,7,0),100)</f>
        <v>89</v>
      </c>
      <c r="Q1143" s="5">
        <f>IFERROR(P1143,0)*PARAMS_MODELO!$B$12</f>
        <v>8.9</v>
      </c>
      <c r="R1143">
        <f t="shared" si="411"/>
        <v>18.899999999999999</v>
      </c>
      <c r="S1143" s="5" t="str">
        <f>IFERROR(VLOOKUP(A1143,CLIENTE!$A$2:$N$2000,13,0),1)</f>
        <v>Regular</v>
      </c>
      <c r="T1143" s="5">
        <f>IFERROR(VLOOKUP(A1143,CLIENTE!$A$2:$N$2000,14,0),1)</f>
        <v>1</v>
      </c>
      <c r="U1143" s="5">
        <f t="shared" si="412"/>
        <v>18.899999999999999</v>
      </c>
      <c r="V1143" s="5" t="str">
        <f>IF(U1143&gt;=MAX(_xlfn.PERCENTILE.INC($U$2:$U$1194,PARAMS_MODELO!$B$50),PARAMS_MODELO!$B$45),"DIAMANTE",IF(U1143&gt;=MAX(_xlfn.PERCENTILE.INC($U$2:$U$1194,PARAMS_MODELO!$B$51),PARAMS_MODELO!$B$46),"PLATINO",IF(U1143&gt;=MAX(_xlfn.PERCENTILE.INC($U$2:$U$1194,PARAMS_MODELO!$B$52),PARAMS_MODELO!$B$47),"ORO",IF(U1143&gt;=MAX(_xlfn.PERCENTILE.INC($U$2:$U$1194,PARAMS_MODELO!$B$53),PARAMS_MODELO!$B$48),"PLATA",IF(U1143&gt;=1,"BRONCE","CERRADO")))))</f>
        <v>BRONCE</v>
      </c>
      <c r="W1143" s="5" t="str" cm="1">
        <f t="array" ref="W1143">_xlfn.XLOOKUP(1, (HIST_SCORE!$B:$B=PARAMS_MODELO!$B$4) * (HIST_SCORE!$C:$C=A1143), HIST_SCORE!$E:$E, "No encontrado")</f>
        <v>BRONCE</v>
      </c>
      <c r="X1143" s="5" t="str">
        <f>_xlfn.LET(_xlpm.act,MATCH(V1143,{"DIAMANTE";"PLATINO";"ORO";"PLATA";"BRONCE";"CERRADO"},0),_xlpm.ant,MATCH(W1143,{"DIAMANTE";"PLATINO";"ORO";"PLATA";"BRONCE";"CERRADO"},0),IF(_xlpm.act&lt;_xlpm.ant,"Mejora ↑",IF(_xlpm.act&gt;_xlpm.ant,"Baja ↓","Estable →")))</f>
        <v>Estable →</v>
      </c>
      <c r="Y1143" s="5">
        <f>IFERROR(U1143-SUMIFS(HIST_SCORE!$D:$D,HIST_SCORE!$B:$B,PARAMS_MODELO!$B$4,HIST_SCORE!$C:$C,$A1143),"")</f>
        <v>0</v>
      </c>
      <c r="Z1143" s="5" t="str">
        <f t="shared" si="413"/>
        <v>→ Estable</v>
      </c>
      <c r="AA1143" s="5">
        <f t="shared" si="414"/>
        <v>1003</v>
      </c>
      <c r="AB1143" s="5">
        <f>IFERROR(SUMIFS(HIST_SCORE!$F:$F,HIST_SCORE!$B:$B,PARAMS_MODELO!$B$4,HIST_SCORE!$C:$C,$A1143),"")</f>
        <v>1008</v>
      </c>
      <c r="AC1143" s="5">
        <f t="shared" si="415"/>
        <v>5</v>
      </c>
      <c r="AD1143" t="str">
        <f t="shared" si="417"/>
        <v/>
      </c>
      <c r="AE11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1143="CERRADO",1,IF(V1143="BRONCE",_xlpm.cPl,IF(V1143="PLATA",_xlpm.cO,IF(V1143="ORO",_xlpm.cP,IF(V1143="PLATINO",_xlpm.cD,999))))))</f>
        <v>24.506573482968111</v>
      </c>
      <c r="AF114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1143="CERRADO",0,IF(V1143="BRONCE",1,IF(V1143="PLATA",_xlpm.cPl,IF(V1143="ORO",_xlpm.cO,IF(V1143="PLATINO",_xlpm.cP,_xlpm.cD))))))</f>
        <v>1</v>
      </c>
      <c r="AG1143">
        <f t="shared" si="418"/>
        <v>5.6065734829681126</v>
      </c>
      <c r="AH1143" t="str">
        <f t="shared" si="419"/>
        <v>VENTAS</v>
      </c>
      <c r="AI1143" t="str">
        <f t="shared" si="416"/>
        <v>🎯 Para subir de categoría, eje VENTAS / CRECIMIENTO PERSONAL (F). Acción: metas semanales + activación comercial + seguimiento del asesor. ΔR aprox: 5,6</v>
      </c>
      <c r="AJ1143" s="26">
        <f>_xlfn.LET(_xlpm.piso,AF1143,_xlpm.corte,AE1143,_xlpm.prog,IF(_xlpm.corte&lt;=_xlpm.piso,0,MAX(0,MIN(1,(U1143-_xlpm.piso)/(_xlpm.corte-_xlpm.piso)))),_xlpm.orden,{"DIAMANTE";"PLATINO";"ORO";"PLATA";"BRONCE";"CERRADO"},_xlpm.act,IFERROR(MATCH(V1143,_xlpm.orden,0),6),_xlpm.ant,IFERROR(MATCH(W1143,_xlpm.orden,0),6),_xlpm.ajmov,IF(_xlpm.act&lt;_xlpm.ant,0.08,IF(_xlpm.act&gt;_xlpm.ant,-0.08,0)),_xlpm.ajcli,IF(T1143&lt;0.95,-0.06,0),_xlpm.prob,MAX(0,MIN(1,_xlpm.prog+_xlpm.ajmov+_xlpm.ajcli)),IF(OR(V1143="DIAMANTE",V1143="CERRADO"),0,ROUND(_xlpm.prob,2)))</f>
        <v>0.76</v>
      </c>
      <c r="AK1143" t="str">
        <f t="shared" si="420"/>
        <v>Faltan 5,6 puntos base para subir a la siguiente categoría</v>
      </c>
      <c r="AL1143" t="str">
        <f t="shared" si="421"/>
        <v>No aplica</v>
      </c>
      <c r="AM1143">
        <f t="shared" si="422"/>
        <v>0.32</v>
      </c>
      <c r="AN1143" t="str">
        <f t="shared" si="423"/>
        <v>PRIORIDAD BAJA – control normal</v>
      </c>
      <c r="AO1143">
        <f t="shared" si="424"/>
        <v>64.862569275295584</v>
      </c>
      <c r="AP1143">
        <f t="shared" si="425"/>
        <v>15</v>
      </c>
      <c r="AQ1143">
        <f t="shared" si="426"/>
        <v>0</v>
      </c>
      <c r="AR1143">
        <f t="shared" si="427"/>
        <v>1.0999999999999996</v>
      </c>
      <c r="AS1143">
        <f t="shared" si="428"/>
        <v>0</v>
      </c>
      <c r="AT1143" t="str">
        <f t="shared" si="429"/>
        <v>VENTAS</v>
      </c>
      <c r="AU1143">
        <f t="shared" si="430"/>
        <v>64.862569275295584</v>
      </c>
      <c r="AV1143" t="str">
        <f t="shared" si="431"/>
        <v>Mayor retorno probable: VENTAS (+64,9 puntos finales potenciales).</v>
      </c>
    </row>
    <row r="1144" spans="1:48" x14ac:dyDescent="0.3">
      <c r="A1144" s="5">
        <v>51042352</v>
      </c>
      <c r="B1144" s="5" t="str">
        <f>IFERROR(VLOOKUP(A1144,VENTAS!$A$2:$B$1194,2,0),"")</f>
        <v/>
      </c>
      <c r="C1144" s="5">
        <f>IFERROR(INDEX(VENTAS!$C$2:$E$1194,MATCH(A1144,VENTAS!$A$2:$A$1194,0),MATCH(PARAMS_MODELO!$B$2,{"Q1","Q2","Q3"},0)),0)</f>
        <v>24509498.800000001</v>
      </c>
      <c r="D1144" s="5">
        <f>IFERROR(INDEX(VENTAS!$F$2:$H$1194,MATCH(A1144,VENTAS!$A$2:$A$1194,0),MATCH(PARAMS_MODELO!$B$2,{"Q1","Q2","Q3"},0)),0)</f>
        <v>0</v>
      </c>
      <c r="E1144" s="8">
        <f t="shared" si="408"/>
        <v>-1</v>
      </c>
      <c r="F1144" s="12">
        <f>IF(E1144&lt;=PARAMS_MODELO!$B$15,0,IF(E1144&gt;=PARAMS_MODELO!$B$17,100,100*MIN(1,(E1144-PARAMS_MODELO!$B$15)/(PARAMS_MODELO!$B$16-PARAMS_MODELO!$B$15))))*PARAMS_MODELO!$B$7</f>
        <v>0</v>
      </c>
      <c r="G1144" s="5">
        <f t="shared" si="409"/>
        <v>0</v>
      </c>
      <c r="H1144" s="5">
        <f>(PARAMS_MODELO!$B$20*(MAX(0,MIN(3,E1144))/3)+PARAMS_MODELO!$B$21*(IFERROR(LN(1+MAX(0,G1144))/LN(1+MAX(0,MAX($G$2:$G$1194))),0)))*100*PARAMS_MODELO!$B$8</f>
        <v>0</v>
      </c>
      <c r="I1144" s="8">
        <f>E1144-PARAMS_MODELO!$B$5</f>
        <v>-1.1775628353755265</v>
      </c>
      <c r="J1144" s="5">
        <f>IF(I1144&lt;=PARAMS_MODELO!$B$18,0,IF(I1144&gt;=PARAMS_MODELO!$B$19,100,100*(I1144-PARAMS_MODELO!$B$18)/(PARAMS_MODELO!$B$19-PARAMS_MODELO!$B$18)))*PARAMS_MODELO!$B$9</f>
        <v>0</v>
      </c>
      <c r="K1144" s="5">
        <f>IFERROR(CHOOSE(MATCH(PARAMS_MODELO!$B$2,{"Q1","Q2","Q3"},0),LOTO!$D1144,LOTO!$F1144,LOTO!$H1144),0)</f>
        <v>0</v>
      </c>
      <c r="L1144" s="8">
        <f t="shared" si="410"/>
        <v>0</v>
      </c>
      <c r="M1144" s="5">
        <f>MIN(100,IF(PARAMS_MODELO!$B$23=0,0,100*L1144/PARAMS_MODELO!$B$23))*PARAMS_MODELO!$B$10</f>
        <v>0</v>
      </c>
      <c r="N1144" s="5">
        <f>IFERROR(VLOOKUP(A1144,COMPLIANCE!$A$2:$F$1996,6,0),100)</f>
        <v>99.98</v>
      </c>
      <c r="O1144" s="5">
        <f>N1144*PARAMS_MODELO!$B$11</f>
        <v>9.9980000000000011</v>
      </c>
      <c r="P1144" s="5">
        <f>IFERROR(VLOOKUP(A1144,DIGITAL!$A$2:$J$2000,7,0),100)</f>
        <v>82</v>
      </c>
      <c r="Q1144" s="5">
        <f>IFERROR(P1144,0)*PARAMS_MODELO!$B$12</f>
        <v>8.2000000000000011</v>
      </c>
      <c r="R1144">
        <f t="shared" si="411"/>
        <v>18.198</v>
      </c>
      <c r="S1144" s="5" t="str">
        <f>IFERROR(VLOOKUP(A1144,CLIENTE!$A$2:$N$2000,13,0),1)</f>
        <v>Regular</v>
      </c>
      <c r="T1144" s="5">
        <f>IFERROR(VLOOKUP(A1144,CLIENTE!$A$2:$N$2000,14,0),1)</f>
        <v>1</v>
      </c>
      <c r="U1144" s="5">
        <f t="shared" si="412"/>
        <v>18.198</v>
      </c>
      <c r="V1144" s="5" t="str">
        <f>IF(U1144&gt;=MAX(_xlfn.PERCENTILE.INC($U$2:$U$1194,PARAMS_MODELO!$B$50),PARAMS_MODELO!$B$45),"DIAMANTE",IF(U1144&gt;=MAX(_xlfn.PERCENTILE.INC($U$2:$U$1194,PARAMS_MODELO!$B$51),PARAMS_MODELO!$B$46),"PLATINO",IF(U1144&gt;=MAX(_xlfn.PERCENTILE.INC($U$2:$U$1194,PARAMS_MODELO!$B$52),PARAMS_MODELO!$B$47),"ORO",IF(U1144&gt;=MAX(_xlfn.PERCENTILE.INC($U$2:$U$1194,PARAMS_MODELO!$B$53),PARAMS_MODELO!$B$48),"PLATA",IF(U1144&gt;=1,"BRONCE","CERRADO")))))</f>
        <v>BRONCE</v>
      </c>
      <c r="W1144" s="5" t="str" cm="1">
        <f t="array" ref="W1144">_xlfn.XLOOKUP(1, (HIST_SCORE!$B:$B=PARAMS_MODELO!$B$4) * (HIST_SCORE!$C:$C=A1144), HIST_SCORE!$E:$E, "No encontrado")</f>
        <v>BRONCE</v>
      </c>
      <c r="X1144" s="5" t="str">
        <f>_xlfn.LET(_xlpm.act,MATCH(V1144,{"DIAMANTE";"PLATINO";"ORO";"PLATA";"BRONCE";"CERRADO"},0),_xlpm.ant,MATCH(W1144,{"DIAMANTE";"PLATINO";"ORO";"PLATA";"BRONCE";"CERRADO"},0),IF(_xlpm.act&lt;_xlpm.ant,"Mejora ↑",IF(_xlpm.act&gt;_xlpm.ant,"Baja ↓","Estable →")))</f>
        <v>Estable →</v>
      </c>
      <c r="Y1144" s="5">
        <f>IFERROR(U1144-SUMIFS(HIST_SCORE!$D:$D,HIST_SCORE!$B:$B,PARAMS_MODELO!$B$4,HIST_SCORE!$C:$C,$A1144),"")</f>
        <v>0</v>
      </c>
      <c r="Z1144" s="5" t="str">
        <f t="shared" si="413"/>
        <v>→ Estable</v>
      </c>
      <c r="AA1144" s="5">
        <f t="shared" si="414"/>
        <v>1024</v>
      </c>
      <c r="AB1144" s="5">
        <f>IFERROR(SUMIFS(HIST_SCORE!$F:$F,HIST_SCORE!$B:$B,PARAMS_MODELO!$B$4,HIST_SCORE!$C:$C,$A1144),"")</f>
        <v>1024</v>
      </c>
      <c r="AC1144" s="5">
        <f t="shared" si="415"/>
        <v>0</v>
      </c>
      <c r="AD1144" t="str">
        <f t="shared" si="417"/>
        <v/>
      </c>
      <c r="AE11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1144="CERRADO",1,IF(V1144="BRONCE",_xlpm.cPl,IF(V1144="PLATA",_xlpm.cO,IF(V1144="ORO",_xlpm.cP,IF(V1144="PLATINO",_xlpm.cD,999))))))</f>
        <v>24.506573482968111</v>
      </c>
      <c r="AF114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1144="CERRADO",0,IF(V1144="BRONCE",1,IF(V1144="PLATA",_xlpm.cPl,IF(V1144="ORO",_xlpm.cO,IF(V1144="PLATINO",_xlpm.cP,_xlpm.cD))))))</f>
        <v>1</v>
      </c>
      <c r="AG1144">
        <f t="shared" si="418"/>
        <v>6.3085734829681108</v>
      </c>
      <c r="AH1144" t="str">
        <f t="shared" si="419"/>
        <v>VENTAS</v>
      </c>
      <c r="AI1144" t="str">
        <f t="shared" si="416"/>
        <v>🎯 Para subir de categoría, eje VENTAS / CRECIMIENTO PERSONAL (F). Acción: metas semanales + activación comercial + seguimiento del asesor. ΔR aprox: 6,3</v>
      </c>
      <c r="AJ1144" s="26">
        <f>_xlfn.LET(_xlpm.piso,AF1144,_xlpm.corte,AE1144,_xlpm.prog,IF(_xlpm.corte&lt;=_xlpm.piso,0,MAX(0,MIN(1,(U1144-_xlpm.piso)/(_xlpm.corte-_xlpm.piso)))),_xlpm.orden,{"DIAMANTE";"PLATINO";"ORO";"PLATA";"BRONCE";"CERRADO"},_xlpm.act,IFERROR(MATCH(V1144,_xlpm.orden,0),6),_xlpm.ant,IFERROR(MATCH(W1144,_xlpm.orden,0),6),_xlpm.ajmov,IF(_xlpm.act&lt;_xlpm.ant,0.08,IF(_xlpm.act&gt;_xlpm.ant,-0.08,0)),_xlpm.ajcli,IF(T1144&lt;0.95,-0.06,0),_xlpm.prob,MAX(0,MIN(1,_xlpm.prog+_xlpm.ajmov+_xlpm.ajcli)),IF(OR(V1144="DIAMANTE",V1144="CERRADO"),0,ROUND(_xlpm.prob,2)))</f>
        <v>0.73</v>
      </c>
      <c r="AK1144" t="str">
        <f t="shared" si="420"/>
        <v>Faltan 6,3 puntos base para subir a la siguiente categoría</v>
      </c>
      <c r="AL1144" t="str">
        <f t="shared" si="421"/>
        <v>No aplica</v>
      </c>
      <c r="AM1144">
        <f t="shared" si="422"/>
        <v>0.36</v>
      </c>
      <c r="AN1144" t="str">
        <f t="shared" si="423"/>
        <v>PRIORIDAD BAJA – control normal</v>
      </c>
      <c r="AO1144">
        <f t="shared" si="424"/>
        <v>64.862569275295584</v>
      </c>
      <c r="AP1144">
        <f t="shared" si="425"/>
        <v>15</v>
      </c>
      <c r="AQ1144">
        <f t="shared" si="426"/>
        <v>1.9999999999988916E-3</v>
      </c>
      <c r="AR1144">
        <f t="shared" si="427"/>
        <v>1.7999999999999989</v>
      </c>
      <c r="AS1144">
        <f t="shared" si="428"/>
        <v>0</v>
      </c>
      <c r="AT1144" t="str">
        <f t="shared" si="429"/>
        <v>VENTAS</v>
      </c>
      <c r="AU1144">
        <f t="shared" si="430"/>
        <v>64.862569275295584</v>
      </c>
      <c r="AV1144" t="str">
        <f t="shared" si="431"/>
        <v>Mayor retorno probable: VENTAS (+64,9 puntos finales potenciales).</v>
      </c>
    </row>
    <row r="1145" spans="1:48" x14ac:dyDescent="0.3">
      <c r="A1145" s="5">
        <v>51042492</v>
      </c>
      <c r="B1145" s="5" t="str">
        <f>IFERROR(VLOOKUP(A1145,VENTAS!$A$2:$B$1194,2,0),"")</f>
        <v/>
      </c>
      <c r="C1145" s="5">
        <f>IFERROR(INDEX(VENTAS!$C$2:$E$1194,MATCH(A1145,VENTAS!$A$2:$A$1194,0),MATCH(PARAMS_MODELO!$B$2,{"Q1","Q2","Q3"},0)),0)</f>
        <v>78439582.109999999</v>
      </c>
      <c r="D1145" s="5">
        <f>IFERROR(INDEX(VENTAS!$F$2:$H$1194,MATCH(A1145,VENTAS!$A$2:$A$1194,0),MATCH(PARAMS_MODELO!$B$2,{"Q1","Q2","Q3"},0)),0)</f>
        <v>0</v>
      </c>
      <c r="E1145" s="8">
        <f t="shared" si="408"/>
        <v>-1</v>
      </c>
      <c r="F1145" s="12">
        <f>IF(E1145&lt;=PARAMS_MODELO!$B$15,0,IF(E1145&gt;=PARAMS_MODELO!$B$17,100,100*MIN(1,(E1145-PARAMS_MODELO!$B$15)/(PARAMS_MODELO!$B$16-PARAMS_MODELO!$B$15))))*PARAMS_MODELO!$B$7</f>
        <v>0</v>
      </c>
      <c r="G1145" s="5">
        <f t="shared" si="409"/>
        <v>0</v>
      </c>
      <c r="H1145" s="5">
        <f>(PARAMS_MODELO!$B$20*(MAX(0,MIN(3,E1145))/3)+PARAMS_MODELO!$B$21*(IFERROR(LN(1+MAX(0,G1145))/LN(1+MAX(0,MAX($G$2:$G$1194))),0)))*100*PARAMS_MODELO!$B$8</f>
        <v>0</v>
      </c>
      <c r="I1145" s="8">
        <f>E1145-PARAMS_MODELO!$B$5</f>
        <v>-1.1775628353755265</v>
      </c>
      <c r="J1145" s="5">
        <f>IF(I1145&lt;=PARAMS_MODELO!$B$18,0,IF(I1145&gt;=PARAMS_MODELO!$B$19,100,100*(I1145-PARAMS_MODELO!$B$18)/(PARAMS_MODELO!$B$19-PARAMS_MODELO!$B$18)))*PARAMS_MODELO!$B$9</f>
        <v>0</v>
      </c>
      <c r="K1145" s="5">
        <f>IFERROR(CHOOSE(MATCH(PARAMS_MODELO!$B$2,{"Q1","Q2","Q3"},0),LOTO!$D1145,LOTO!$F1145,LOTO!$H1145),0)</f>
        <v>0</v>
      </c>
      <c r="L1145" s="8">
        <f t="shared" si="410"/>
        <v>0</v>
      </c>
      <c r="M1145" s="5">
        <f>MIN(100,IF(PARAMS_MODELO!$B$23=0,0,100*L1145/PARAMS_MODELO!$B$23))*PARAMS_MODELO!$B$10</f>
        <v>0</v>
      </c>
      <c r="N1145" s="5">
        <f>IFERROR(VLOOKUP(A1145,COMPLIANCE!$A$2:$F$1996,6,0),100)</f>
        <v>100</v>
      </c>
      <c r="O1145" s="5">
        <f>N1145*PARAMS_MODELO!$B$11</f>
        <v>10</v>
      </c>
      <c r="P1145" s="5">
        <f>IFERROR(VLOOKUP(A1145,DIGITAL!$A$2:$J$2000,7,0),100)</f>
        <v>92</v>
      </c>
      <c r="Q1145" s="5">
        <f>IFERROR(P1145,0)*PARAMS_MODELO!$B$12</f>
        <v>9.2000000000000011</v>
      </c>
      <c r="R1145">
        <f t="shared" si="411"/>
        <v>19.200000000000003</v>
      </c>
      <c r="S1145" s="5" t="str">
        <f>IFERROR(VLOOKUP(A1145,CLIENTE!$A$2:$N$2000,13,0),1)</f>
        <v>Regular</v>
      </c>
      <c r="T1145" s="5">
        <f>IFERROR(VLOOKUP(A1145,CLIENTE!$A$2:$N$2000,14,0),1)</f>
        <v>1</v>
      </c>
      <c r="U1145" s="5">
        <f t="shared" si="412"/>
        <v>19.200000000000003</v>
      </c>
      <c r="V1145" s="5" t="str">
        <f>IF(U1145&gt;=MAX(_xlfn.PERCENTILE.INC($U$2:$U$1194,PARAMS_MODELO!$B$50),PARAMS_MODELO!$B$45),"DIAMANTE",IF(U1145&gt;=MAX(_xlfn.PERCENTILE.INC($U$2:$U$1194,PARAMS_MODELO!$B$51),PARAMS_MODELO!$B$46),"PLATINO",IF(U1145&gt;=MAX(_xlfn.PERCENTILE.INC($U$2:$U$1194,PARAMS_MODELO!$B$52),PARAMS_MODELO!$B$47),"ORO",IF(U1145&gt;=MAX(_xlfn.PERCENTILE.INC($U$2:$U$1194,PARAMS_MODELO!$B$53),PARAMS_MODELO!$B$48),"PLATA",IF(U1145&gt;=1,"BRONCE","CERRADO")))))</f>
        <v>BRONCE</v>
      </c>
      <c r="W1145" s="5" t="str" cm="1">
        <f t="array" ref="W1145">_xlfn.XLOOKUP(1, (HIST_SCORE!$B:$B=PARAMS_MODELO!$B$4) * (HIST_SCORE!$C:$C=A1145), HIST_SCORE!$E:$E, "No encontrado")</f>
        <v>BRONCE</v>
      </c>
      <c r="X1145" s="5" t="str">
        <f>_xlfn.LET(_xlpm.act,MATCH(V1145,{"DIAMANTE";"PLATINO";"ORO";"PLATA";"BRONCE";"CERRADO"},0),_xlpm.ant,MATCH(W1145,{"DIAMANTE";"PLATINO";"ORO";"PLATA";"BRONCE";"CERRADO"},0),IF(_xlpm.act&lt;_xlpm.ant,"Mejora ↑",IF(_xlpm.act&gt;_xlpm.ant,"Baja ↓","Estable →")))</f>
        <v>Estable →</v>
      </c>
      <c r="Y1145" s="5">
        <f>IFERROR(U1145-SUMIFS(HIST_SCORE!$D:$D,HIST_SCORE!$B:$B,PARAMS_MODELO!$B$4,HIST_SCORE!$C:$C,$A1145),"")</f>
        <v>0</v>
      </c>
      <c r="Z1145" s="5" t="str">
        <f t="shared" si="413"/>
        <v>→ Estable</v>
      </c>
      <c r="AA1145" s="5">
        <f t="shared" si="414"/>
        <v>996</v>
      </c>
      <c r="AB1145" s="5">
        <f>IFERROR(SUMIFS(HIST_SCORE!$F:$F,HIST_SCORE!$B:$B,PARAMS_MODELO!$B$4,HIST_SCORE!$C:$C,$A1145),"")</f>
        <v>1001</v>
      </c>
      <c r="AC1145" s="5">
        <f t="shared" si="415"/>
        <v>5</v>
      </c>
      <c r="AD1145" t="str">
        <f t="shared" si="417"/>
        <v/>
      </c>
      <c r="AE11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1145="CERRADO",1,IF(V1145="BRONCE",_xlpm.cPl,IF(V1145="PLATA",_xlpm.cO,IF(V1145="ORO",_xlpm.cP,IF(V1145="PLATINO",_xlpm.cD,999))))))</f>
        <v>24.506573482968111</v>
      </c>
      <c r="AF114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1145="CERRADO",0,IF(V1145="BRONCE",1,IF(V1145="PLATA",_xlpm.cPl,IF(V1145="ORO",_xlpm.cO,IF(V1145="PLATINO",_xlpm.cP,_xlpm.cD))))))</f>
        <v>1</v>
      </c>
      <c r="AG1145">
        <f t="shared" si="418"/>
        <v>5.3065734829681084</v>
      </c>
      <c r="AH1145" t="str">
        <f t="shared" si="419"/>
        <v>VENTAS</v>
      </c>
      <c r="AI1145" t="str">
        <f t="shared" si="416"/>
        <v>🎯 Para subir de categoría, eje VENTAS / CRECIMIENTO PERSONAL (F). Acción: metas semanales + activación comercial + seguimiento del asesor. ΔR aprox: 5,3</v>
      </c>
      <c r="AJ1145" s="26">
        <f>_xlfn.LET(_xlpm.piso,AF1145,_xlpm.corte,AE1145,_xlpm.prog,IF(_xlpm.corte&lt;=_xlpm.piso,0,MAX(0,MIN(1,(U1145-_xlpm.piso)/(_xlpm.corte-_xlpm.piso)))),_xlpm.orden,{"DIAMANTE";"PLATINO";"ORO";"PLATA";"BRONCE";"CERRADO"},_xlpm.act,IFERROR(MATCH(V1145,_xlpm.orden,0),6),_xlpm.ant,IFERROR(MATCH(W1145,_xlpm.orden,0),6),_xlpm.ajmov,IF(_xlpm.act&lt;_xlpm.ant,0.08,IF(_xlpm.act&gt;_xlpm.ant,-0.08,0)),_xlpm.ajcli,IF(T1145&lt;0.95,-0.06,0),_xlpm.prob,MAX(0,MIN(1,_xlpm.prog+_xlpm.ajmov+_xlpm.ajcli)),IF(OR(V1145="DIAMANTE",V1145="CERRADO"),0,ROUND(_xlpm.prob,2)))</f>
        <v>0.77</v>
      </c>
      <c r="AK1145" t="str">
        <f t="shared" si="420"/>
        <v>Faltan 5,3 puntos base para subir a la siguiente categoría</v>
      </c>
      <c r="AL1145" t="str">
        <f t="shared" si="421"/>
        <v>No aplica</v>
      </c>
      <c r="AM1145">
        <f t="shared" si="422"/>
        <v>0.3</v>
      </c>
      <c r="AN1145" t="str">
        <f t="shared" si="423"/>
        <v>PRIORIDAD BAJA – control normal</v>
      </c>
      <c r="AO1145">
        <f t="shared" si="424"/>
        <v>64.862569275295584</v>
      </c>
      <c r="AP1145">
        <f t="shared" si="425"/>
        <v>15</v>
      </c>
      <c r="AQ1145">
        <f t="shared" si="426"/>
        <v>0</v>
      </c>
      <c r="AR1145">
        <f t="shared" si="427"/>
        <v>0.79999999999999893</v>
      </c>
      <c r="AS1145">
        <f t="shared" si="428"/>
        <v>0</v>
      </c>
      <c r="AT1145" t="str">
        <f t="shared" si="429"/>
        <v>VENTAS</v>
      </c>
      <c r="AU1145">
        <f t="shared" si="430"/>
        <v>64.862569275295584</v>
      </c>
      <c r="AV1145" t="str">
        <f t="shared" si="431"/>
        <v>Mayor retorno probable: VENTAS (+64,9 puntos finales potenciales).</v>
      </c>
    </row>
    <row r="1146" spans="1:48" x14ac:dyDescent="0.3">
      <c r="A1146" s="5">
        <v>51042557</v>
      </c>
      <c r="B1146" s="5" t="str">
        <f>IFERROR(VLOOKUP(A1146,VENTAS!$A$2:$B$1194,2,0),"")</f>
        <v/>
      </c>
      <c r="C1146" s="5">
        <f>IFERROR(INDEX(VENTAS!$C$2:$E$1194,MATCH(A1146,VENTAS!$A$2:$A$1194,0),MATCH(PARAMS_MODELO!$B$2,{"Q1","Q2","Q3"},0)),0)</f>
        <v>25138036.5</v>
      </c>
      <c r="D1146" s="5">
        <f>IFERROR(INDEX(VENTAS!$F$2:$H$1194,MATCH(A1146,VENTAS!$A$2:$A$1194,0),MATCH(PARAMS_MODELO!$B$2,{"Q1","Q2","Q3"},0)),0)</f>
        <v>0</v>
      </c>
      <c r="E1146" s="8">
        <f t="shared" si="408"/>
        <v>-1</v>
      </c>
      <c r="F1146" s="12">
        <f>IF(E1146&lt;=PARAMS_MODELO!$B$15,0,IF(E1146&gt;=PARAMS_MODELO!$B$17,100,100*MIN(1,(E1146-PARAMS_MODELO!$B$15)/(PARAMS_MODELO!$B$16-PARAMS_MODELO!$B$15))))*PARAMS_MODELO!$B$7</f>
        <v>0</v>
      </c>
      <c r="G1146" s="5">
        <f t="shared" si="409"/>
        <v>0</v>
      </c>
      <c r="H1146" s="5">
        <f>(PARAMS_MODELO!$B$20*(MAX(0,MIN(3,E1146))/3)+PARAMS_MODELO!$B$21*(IFERROR(LN(1+MAX(0,G1146))/LN(1+MAX(0,MAX($G$2:$G$1194))),0)))*100*PARAMS_MODELO!$B$8</f>
        <v>0</v>
      </c>
      <c r="I1146" s="8">
        <f>E1146-PARAMS_MODELO!$B$5</f>
        <v>-1.1775628353755265</v>
      </c>
      <c r="J1146" s="5">
        <f>IF(I1146&lt;=PARAMS_MODELO!$B$18,0,IF(I1146&gt;=PARAMS_MODELO!$B$19,100,100*(I1146-PARAMS_MODELO!$B$18)/(PARAMS_MODELO!$B$19-PARAMS_MODELO!$B$18)))*PARAMS_MODELO!$B$9</f>
        <v>0</v>
      </c>
      <c r="K1146" s="5">
        <f>IFERROR(CHOOSE(MATCH(PARAMS_MODELO!$B$2,{"Q1","Q2","Q3"},0),LOTO!$D1146,LOTO!$F1146,LOTO!$H1146),0)</f>
        <v>0</v>
      </c>
      <c r="L1146" s="8">
        <f t="shared" si="410"/>
        <v>0</v>
      </c>
      <c r="M1146" s="5">
        <f>MIN(100,IF(PARAMS_MODELO!$B$23=0,0,100*L1146/PARAMS_MODELO!$B$23))*PARAMS_MODELO!$B$10</f>
        <v>0</v>
      </c>
      <c r="N1146" s="5">
        <f>IFERROR(VLOOKUP(A1146,COMPLIANCE!$A$2:$F$1996,6,0),100)</f>
        <v>100</v>
      </c>
      <c r="O1146" s="5">
        <f>N1146*PARAMS_MODELO!$B$11</f>
        <v>10</v>
      </c>
      <c r="P1146" s="5">
        <f>IFERROR(VLOOKUP(A1146,DIGITAL!$A$2:$J$2000,7,0),100)</f>
        <v>33</v>
      </c>
      <c r="Q1146" s="5">
        <f>IFERROR(P1146,0)*PARAMS_MODELO!$B$12</f>
        <v>3.3000000000000003</v>
      </c>
      <c r="R1146">
        <f t="shared" si="411"/>
        <v>13.3</v>
      </c>
      <c r="S1146" s="5" t="str">
        <f>IFERROR(VLOOKUP(A1146,CLIENTE!$A$2:$N$2000,13,0),1)</f>
        <v>Regular</v>
      </c>
      <c r="T1146" s="5">
        <f>IFERROR(VLOOKUP(A1146,CLIENTE!$A$2:$N$2000,14,0),1)</f>
        <v>1</v>
      </c>
      <c r="U1146" s="5">
        <f t="shared" si="412"/>
        <v>13.3</v>
      </c>
      <c r="V1146" s="5" t="str">
        <f>IF(U1146&gt;=MAX(_xlfn.PERCENTILE.INC($U$2:$U$1194,PARAMS_MODELO!$B$50),PARAMS_MODELO!$B$45),"DIAMANTE",IF(U1146&gt;=MAX(_xlfn.PERCENTILE.INC($U$2:$U$1194,PARAMS_MODELO!$B$51),PARAMS_MODELO!$B$46),"PLATINO",IF(U1146&gt;=MAX(_xlfn.PERCENTILE.INC($U$2:$U$1194,PARAMS_MODELO!$B$52),PARAMS_MODELO!$B$47),"ORO",IF(U1146&gt;=MAX(_xlfn.PERCENTILE.INC($U$2:$U$1194,PARAMS_MODELO!$B$53),PARAMS_MODELO!$B$48),"PLATA",IF(U1146&gt;=1,"BRONCE","CERRADO")))))</f>
        <v>BRONCE</v>
      </c>
      <c r="W1146" s="5" t="str" cm="1">
        <f t="array" ref="W1146">_xlfn.XLOOKUP(1, (HIST_SCORE!$B:$B=PARAMS_MODELO!$B$4) * (HIST_SCORE!$C:$C=A1146), HIST_SCORE!$E:$E, "No encontrado")</f>
        <v>BRONCE</v>
      </c>
      <c r="X1146" s="5" t="str">
        <f>_xlfn.LET(_xlpm.act,MATCH(V1146,{"DIAMANTE";"PLATINO";"ORO";"PLATA";"BRONCE";"CERRADO"},0),_xlpm.ant,MATCH(W1146,{"DIAMANTE";"PLATINO";"ORO";"PLATA";"BRONCE";"CERRADO"},0),IF(_xlpm.act&lt;_xlpm.ant,"Mejora ↑",IF(_xlpm.act&gt;_xlpm.ant,"Baja ↓","Estable →")))</f>
        <v>Estable →</v>
      </c>
      <c r="Y1146" s="5">
        <f>IFERROR(U1146-SUMIFS(HIST_SCORE!$D:$D,HIST_SCORE!$B:$B,PARAMS_MODELO!$B$4,HIST_SCORE!$C:$C,$A1146),"")</f>
        <v>0</v>
      </c>
      <c r="Z1146" s="5" t="str">
        <f t="shared" si="413"/>
        <v>→ Estable</v>
      </c>
      <c r="AA1146" s="5">
        <f t="shared" si="414"/>
        <v>1103</v>
      </c>
      <c r="AB1146" s="5">
        <f>IFERROR(SUMIFS(HIST_SCORE!$F:$F,HIST_SCORE!$B:$B,PARAMS_MODELO!$B$4,HIST_SCORE!$C:$C,$A1146),"")</f>
        <v>1101</v>
      </c>
      <c r="AC1146" s="5">
        <f t="shared" si="415"/>
        <v>-2</v>
      </c>
      <c r="AD1146" t="str">
        <f t="shared" si="417"/>
        <v/>
      </c>
      <c r="AE11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1146="CERRADO",1,IF(V1146="BRONCE",_xlpm.cPl,IF(V1146="PLATA",_xlpm.cO,IF(V1146="ORO",_xlpm.cP,IF(V1146="PLATINO",_xlpm.cD,999))))))</f>
        <v>24.506573482968111</v>
      </c>
      <c r="AF114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1146="CERRADO",0,IF(V1146="BRONCE",1,IF(V1146="PLATA",_xlpm.cPl,IF(V1146="ORO",_xlpm.cO,IF(V1146="PLATINO",_xlpm.cP,_xlpm.cD))))))</f>
        <v>1</v>
      </c>
      <c r="AG1146">
        <f t="shared" si="418"/>
        <v>11.206573482968111</v>
      </c>
      <c r="AH1146" t="str">
        <f t="shared" si="419"/>
        <v>VENTAS</v>
      </c>
      <c r="AI1146" t="str">
        <f t="shared" si="416"/>
        <v>🎯 Para subir de categoría, eje VENTAS / CRECIMIENTO PERSONAL (F). Acción: metas semanales + activación comercial + seguimiento del asesor. ΔR aprox: 11,2</v>
      </c>
      <c r="AJ1146" s="26">
        <f>_xlfn.LET(_xlpm.piso,AF1146,_xlpm.corte,AE1146,_xlpm.prog,IF(_xlpm.corte&lt;=_xlpm.piso,0,MAX(0,MIN(1,(U1146-_xlpm.piso)/(_xlpm.corte-_xlpm.piso)))),_xlpm.orden,{"DIAMANTE";"PLATINO";"ORO";"PLATA";"BRONCE";"CERRADO"},_xlpm.act,IFERROR(MATCH(V1146,_xlpm.orden,0),6),_xlpm.ant,IFERROR(MATCH(W1146,_xlpm.orden,0),6),_xlpm.ajmov,IF(_xlpm.act&lt;_xlpm.ant,0.08,IF(_xlpm.act&gt;_xlpm.ant,-0.08,0)),_xlpm.ajcli,IF(T1146&lt;0.95,-0.06,0),_xlpm.prob,MAX(0,MIN(1,_xlpm.prog+_xlpm.ajmov+_xlpm.ajcli)),IF(OR(V1146="DIAMANTE",V1146="CERRADO"),0,ROUND(_xlpm.prob,2)))</f>
        <v>0.52</v>
      </c>
      <c r="AK1146" t="str">
        <f t="shared" si="420"/>
        <v>Faltan 11,2 puntos base para subir a la siguiente categoría</v>
      </c>
      <c r="AL1146" t="str">
        <f t="shared" si="421"/>
        <v>No aplica</v>
      </c>
      <c r="AM1146">
        <f t="shared" si="422"/>
        <v>0.59</v>
      </c>
      <c r="AN1146" t="str">
        <f t="shared" si="423"/>
        <v>PRIORIDAD MEDIA – seguimiento del asesor</v>
      </c>
      <c r="AO1146">
        <f t="shared" si="424"/>
        <v>64.862569275295584</v>
      </c>
      <c r="AP1146">
        <f t="shared" si="425"/>
        <v>15</v>
      </c>
      <c r="AQ1146">
        <f t="shared" si="426"/>
        <v>0</v>
      </c>
      <c r="AR1146">
        <f t="shared" si="427"/>
        <v>6.6999999999999993</v>
      </c>
      <c r="AS1146">
        <f t="shared" si="428"/>
        <v>0</v>
      </c>
      <c r="AT1146" t="str">
        <f t="shared" si="429"/>
        <v>VENTAS</v>
      </c>
      <c r="AU1146">
        <f t="shared" si="430"/>
        <v>64.862569275295584</v>
      </c>
      <c r="AV1146" t="str">
        <f t="shared" si="431"/>
        <v>Mayor retorno probable: VENTAS (+64,9 puntos finales potenciales).</v>
      </c>
    </row>
    <row r="1147" spans="1:48" x14ac:dyDescent="0.3">
      <c r="A1147" s="5">
        <v>51042697</v>
      </c>
      <c r="B1147" s="5" t="str">
        <f>IFERROR(VLOOKUP(A1147,VENTAS!$A$2:$B$1194,2,0),"")</f>
        <v/>
      </c>
      <c r="C1147" s="5">
        <f>IFERROR(INDEX(VENTAS!$C$2:$E$1194,MATCH(A1147,VENTAS!$A$2:$A$1194,0),MATCH(PARAMS_MODELO!$B$2,{"Q1","Q2","Q3"},0)),0)</f>
        <v>0</v>
      </c>
      <c r="D1147" s="5">
        <f>IFERROR(INDEX(VENTAS!$F$2:$H$1194,MATCH(A1147,VENTAS!$A$2:$A$1194,0),MATCH(PARAMS_MODELO!$B$2,{"Q1","Q2","Q3"},0)),0)</f>
        <v>0</v>
      </c>
      <c r="E1147" s="8">
        <f t="shared" si="408"/>
        <v>0</v>
      </c>
      <c r="F1147" s="12">
        <f>IF(E1147&lt;=PARAMS_MODELO!$B$15,0,IF(E1147&gt;=PARAMS_MODELO!$B$17,100,100*MIN(1,(E1147-PARAMS_MODELO!$B$15)/(PARAMS_MODELO!$B$16-PARAMS_MODELO!$B$15))))*PARAMS_MODELO!$B$7</f>
        <v>0</v>
      </c>
      <c r="G1147" s="5">
        <f t="shared" si="409"/>
        <v>0</v>
      </c>
      <c r="H1147" s="5">
        <f>(PARAMS_MODELO!$B$20*(MAX(0,MIN(3,E1147))/3)+PARAMS_MODELO!$B$21*(IFERROR(LN(1+MAX(0,G1147))/LN(1+MAX(0,MAX($G$2:$G$1194))),0)))*100*PARAMS_MODELO!$B$8</f>
        <v>0</v>
      </c>
      <c r="I1147" s="8">
        <f>E1147-PARAMS_MODELO!$B$5</f>
        <v>-0.17756283537552653</v>
      </c>
      <c r="J1147" s="5">
        <f>IF(I1147&lt;=PARAMS_MODELO!$B$18,0,IF(I1147&gt;=PARAMS_MODELO!$B$19,100,100*(I1147-PARAMS_MODELO!$B$18)/(PARAMS_MODELO!$B$19-PARAMS_MODELO!$B$18)))*PARAMS_MODELO!$B$9</f>
        <v>0</v>
      </c>
      <c r="K1147" s="5">
        <f>IFERROR(CHOOSE(MATCH(PARAMS_MODELO!$B$2,{"Q1","Q2","Q3"},0),LOTO!$D1147,LOTO!$F1147,LOTO!$H1147),0)</f>
        <v>0</v>
      </c>
      <c r="L1147" s="8">
        <f t="shared" si="410"/>
        <v>0</v>
      </c>
      <c r="M1147" s="5">
        <f>MIN(100,IF(PARAMS_MODELO!$B$23=0,0,100*L1147/PARAMS_MODELO!$B$23))*PARAMS_MODELO!$B$10</f>
        <v>0</v>
      </c>
      <c r="N1147" s="5">
        <f>IFERROR(VLOOKUP(A1147,COMPLIANCE!$A$2:$F$1996,6,0),100)</f>
        <v>100</v>
      </c>
      <c r="O1147" s="5">
        <f>N1147*PARAMS_MODELO!$B$11</f>
        <v>10</v>
      </c>
      <c r="P1147" s="5">
        <f>IFERROR(VLOOKUP(A1147,DIGITAL!$A$2:$J$2000,7,0),100)</f>
        <v>43</v>
      </c>
      <c r="Q1147" s="5">
        <f>IFERROR(P1147,0)*PARAMS_MODELO!$B$12</f>
        <v>4.3</v>
      </c>
      <c r="R1147">
        <f t="shared" si="411"/>
        <v>14.3</v>
      </c>
      <c r="S1147" s="5" t="str">
        <f>IFERROR(VLOOKUP(A1147,CLIENTE!$A$2:$N$2000,13,0),1)</f>
        <v>Malo</v>
      </c>
      <c r="T1147" s="5">
        <f>IFERROR(VLOOKUP(A1147,CLIENTE!$A$2:$N$2000,14,0),1)</f>
        <v>0.7</v>
      </c>
      <c r="U1147" s="5">
        <f t="shared" si="412"/>
        <v>10.01</v>
      </c>
      <c r="V1147" s="5" t="str">
        <f>IF(U1147&gt;=MAX(_xlfn.PERCENTILE.INC($U$2:$U$1194,PARAMS_MODELO!$B$50),PARAMS_MODELO!$B$45),"DIAMANTE",IF(U1147&gt;=MAX(_xlfn.PERCENTILE.INC($U$2:$U$1194,PARAMS_MODELO!$B$51),PARAMS_MODELO!$B$46),"PLATINO",IF(U1147&gt;=MAX(_xlfn.PERCENTILE.INC($U$2:$U$1194,PARAMS_MODELO!$B$52),PARAMS_MODELO!$B$47),"ORO",IF(U1147&gt;=MAX(_xlfn.PERCENTILE.INC($U$2:$U$1194,PARAMS_MODELO!$B$53),PARAMS_MODELO!$B$48),"PLATA",IF(U1147&gt;=1,"BRONCE","CERRADO")))))</f>
        <v>BRONCE</v>
      </c>
      <c r="W1147" s="5" t="str" cm="1">
        <f t="array" ref="W1147">_xlfn.XLOOKUP(1, (HIST_SCORE!$B:$B=PARAMS_MODELO!$B$4) * (HIST_SCORE!$C:$C=A1147), HIST_SCORE!$E:$E, "No encontrado")</f>
        <v>BRONCE</v>
      </c>
      <c r="X1147" s="5" t="str">
        <f>_xlfn.LET(_xlpm.act,MATCH(V1147,{"DIAMANTE";"PLATINO";"ORO";"PLATA";"BRONCE";"CERRADO"},0),_xlpm.ant,MATCH(W1147,{"DIAMANTE";"PLATINO";"ORO";"PLATA";"BRONCE";"CERRADO"},0),IF(_xlpm.act&lt;_xlpm.ant,"Mejora ↑",IF(_xlpm.act&gt;_xlpm.ant,"Baja ↓","Estable →")))</f>
        <v>Estable →</v>
      </c>
      <c r="Y1147" s="5">
        <f>IFERROR(U1147-SUMIFS(HIST_SCORE!$D:$D,HIST_SCORE!$B:$B,PARAMS_MODELO!$B$4,HIST_SCORE!$C:$C,$A1147),"")</f>
        <v>0</v>
      </c>
      <c r="Z1147" s="5" t="str">
        <f t="shared" si="413"/>
        <v>→ Estable</v>
      </c>
      <c r="AA1147" s="5">
        <f t="shared" si="414"/>
        <v>1169</v>
      </c>
      <c r="AB1147" s="5">
        <f>IFERROR(SUMIFS(HIST_SCORE!$F:$F,HIST_SCORE!$B:$B,PARAMS_MODELO!$B$4,HIST_SCORE!$C:$C,$A1147),"")</f>
        <v>1169</v>
      </c>
      <c r="AC1147" s="5">
        <f t="shared" si="415"/>
        <v>0</v>
      </c>
      <c r="AD1147" t="str">
        <f t="shared" si="417"/>
        <v/>
      </c>
      <c r="AE11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1147="CERRADO",1,IF(V1147="BRONCE",_xlpm.cPl,IF(V1147="PLATA",_xlpm.cO,IF(V1147="ORO",_xlpm.cP,IF(V1147="PLATINO",_xlpm.cD,999))))))</f>
        <v>24.506573482968111</v>
      </c>
      <c r="AF114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1147="CERRADO",0,IF(V1147="BRONCE",1,IF(V1147="PLATA",_xlpm.cPl,IF(V1147="ORO",_xlpm.cO,IF(V1147="PLATINO",_xlpm.cP,_xlpm.cD))))))</f>
        <v>1</v>
      </c>
      <c r="AG1147">
        <f t="shared" si="418"/>
        <v>20.709390689954443</v>
      </c>
      <c r="AH1147" t="str">
        <f t="shared" si="419"/>
        <v>VENTAS</v>
      </c>
      <c r="AI1147" t="str">
        <f t="shared" si="416"/>
        <v>🎯 Para subir de categoría, eje VENTAS / CRECIMIENTO PERSONAL (F). Acción: metas semanales + activación comercial + seguimiento del asesor. ΔR aprox: 20,7</v>
      </c>
      <c r="AJ1147" s="26">
        <f>_xlfn.LET(_xlpm.piso,AF1147,_xlpm.corte,AE1147,_xlpm.prog,IF(_xlpm.corte&lt;=_xlpm.piso,0,MAX(0,MIN(1,(U1147-_xlpm.piso)/(_xlpm.corte-_xlpm.piso)))),_xlpm.orden,{"DIAMANTE";"PLATINO";"ORO";"PLATA";"BRONCE";"CERRADO"},_xlpm.act,IFERROR(MATCH(V1147,_xlpm.orden,0),6),_xlpm.ant,IFERROR(MATCH(W1147,_xlpm.orden,0),6),_xlpm.ajmov,IF(_xlpm.act&lt;_xlpm.ant,0.08,IF(_xlpm.act&gt;_xlpm.ant,-0.08,0)),_xlpm.ajcli,IF(T1147&lt;0.95,-0.06,0),_xlpm.prob,MAX(0,MIN(1,_xlpm.prog+_xlpm.ajmov+_xlpm.ajcli)),IF(OR(V1147="DIAMANTE",V1147="CERRADO"),0,ROUND(_xlpm.prob,2)))</f>
        <v>0.32</v>
      </c>
      <c r="AK1147" t="str">
        <f t="shared" si="420"/>
        <v>Faltan 20,7 puntos base para subir a la siguiente categoría</v>
      </c>
      <c r="AL1147" t="str">
        <f t="shared" si="421"/>
        <v>No aplica</v>
      </c>
      <c r="AM1147">
        <f t="shared" si="422"/>
        <v>0.87</v>
      </c>
      <c r="AN1147" t="str">
        <f t="shared" si="423"/>
        <v>PRIORIDAD ALTA – requiere intervención inmediata</v>
      </c>
      <c r="AO1147">
        <f t="shared" si="424"/>
        <v>45.403798492706905</v>
      </c>
      <c r="AP1147">
        <f t="shared" si="425"/>
        <v>10.5</v>
      </c>
      <c r="AQ1147">
        <f t="shared" si="426"/>
        <v>0</v>
      </c>
      <c r="AR1147">
        <f t="shared" si="427"/>
        <v>3.9899999999999998</v>
      </c>
      <c r="AS1147">
        <f t="shared" si="428"/>
        <v>4.2900000000000009</v>
      </c>
      <c r="AT1147" t="str">
        <f t="shared" si="429"/>
        <v>VENTAS</v>
      </c>
      <c r="AU1147">
        <f t="shared" si="430"/>
        <v>45.403798492706905</v>
      </c>
      <c r="AV1147" t="str">
        <f t="shared" si="431"/>
        <v>Mayor retorno probable: VENTAS (+45,4 puntos finales potenciales).</v>
      </c>
    </row>
    <row r="1148" spans="1:48" x14ac:dyDescent="0.3">
      <c r="A1148" s="5">
        <v>51042701</v>
      </c>
      <c r="B1148" s="5" t="str">
        <f>IFERROR(VLOOKUP(A1148,VENTAS!$A$2:$B$1194,2,0),"")</f>
        <v/>
      </c>
      <c r="C1148" s="5">
        <f>IFERROR(INDEX(VENTAS!$C$2:$E$1194,MATCH(A1148,VENTAS!$A$2:$A$1194,0),MATCH(PARAMS_MODELO!$B$2,{"Q1","Q2","Q3"},0)),0)</f>
        <v>36741345.299999997</v>
      </c>
      <c r="D1148" s="5">
        <f>IFERROR(INDEX(VENTAS!$F$2:$H$1194,MATCH(A1148,VENTAS!$A$2:$A$1194,0),MATCH(PARAMS_MODELO!$B$2,{"Q1","Q2","Q3"},0)),0)</f>
        <v>0</v>
      </c>
      <c r="E1148" s="8">
        <f t="shared" si="408"/>
        <v>-1</v>
      </c>
      <c r="F1148" s="12">
        <f>IF(E1148&lt;=PARAMS_MODELO!$B$15,0,IF(E1148&gt;=PARAMS_MODELO!$B$17,100,100*MIN(1,(E1148-PARAMS_MODELO!$B$15)/(PARAMS_MODELO!$B$16-PARAMS_MODELO!$B$15))))*PARAMS_MODELO!$B$7</f>
        <v>0</v>
      </c>
      <c r="G1148" s="5">
        <f t="shared" si="409"/>
        <v>0</v>
      </c>
      <c r="H1148" s="5">
        <f>(PARAMS_MODELO!$B$20*(MAX(0,MIN(3,E1148))/3)+PARAMS_MODELO!$B$21*(IFERROR(LN(1+MAX(0,G1148))/LN(1+MAX(0,MAX($G$2:$G$1194))),0)))*100*PARAMS_MODELO!$B$8</f>
        <v>0</v>
      </c>
      <c r="I1148" s="8">
        <f>E1148-PARAMS_MODELO!$B$5</f>
        <v>-1.1775628353755265</v>
      </c>
      <c r="J1148" s="5">
        <f>IF(I1148&lt;=PARAMS_MODELO!$B$18,0,IF(I1148&gt;=PARAMS_MODELO!$B$19,100,100*(I1148-PARAMS_MODELO!$B$18)/(PARAMS_MODELO!$B$19-PARAMS_MODELO!$B$18)))*PARAMS_MODELO!$B$9</f>
        <v>0</v>
      </c>
      <c r="K1148" s="5">
        <f>IFERROR(CHOOSE(MATCH(PARAMS_MODELO!$B$2,{"Q1","Q2","Q3"},0),LOTO!$D1148,LOTO!$F1148,LOTO!$H1148),0)</f>
        <v>0</v>
      </c>
      <c r="L1148" s="8">
        <f t="shared" si="410"/>
        <v>0</v>
      </c>
      <c r="M1148" s="5">
        <f>MIN(100,IF(PARAMS_MODELO!$B$23=0,0,100*L1148/PARAMS_MODELO!$B$23))*PARAMS_MODELO!$B$10</f>
        <v>0</v>
      </c>
      <c r="N1148" s="5">
        <f>IFERROR(VLOOKUP(A1148,COMPLIANCE!$A$2:$F$1996,6,0),100)</f>
        <v>100</v>
      </c>
      <c r="O1148" s="5">
        <f>N1148*PARAMS_MODELO!$B$11</f>
        <v>10</v>
      </c>
      <c r="P1148" s="5">
        <f>IFERROR(VLOOKUP(A1148,DIGITAL!$A$2:$J$2000,7,0),100)</f>
        <v>91</v>
      </c>
      <c r="Q1148" s="5">
        <f>IFERROR(P1148,0)*PARAMS_MODELO!$B$12</f>
        <v>9.1</v>
      </c>
      <c r="R1148">
        <f t="shared" si="411"/>
        <v>19.100000000000001</v>
      </c>
      <c r="S1148" s="5" t="str">
        <f>IFERROR(VLOOKUP(A1148,CLIENTE!$A$2:$N$2000,13,0),1)</f>
        <v>Regular</v>
      </c>
      <c r="T1148" s="5">
        <f>IFERROR(VLOOKUP(A1148,CLIENTE!$A$2:$N$2000,14,0),1)</f>
        <v>1</v>
      </c>
      <c r="U1148" s="5">
        <f t="shared" si="412"/>
        <v>19.100000000000001</v>
      </c>
      <c r="V1148" s="5" t="str">
        <f>IF(U1148&gt;=MAX(_xlfn.PERCENTILE.INC($U$2:$U$1194,PARAMS_MODELO!$B$50),PARAMS_MODELO!$B$45),"DIAMANTE",IF(U1148&gt;=MAX(_xlfn.PERCENTILE.INC($U$2:$U$1194,PARAMS_MODELO!$B$51),PARAMS_MODELO!$B$46),"PLATINO",IF(U1148&gt;=MAX(_xlfn.PERCENTILE.INC($U$2:$U$1194,PARAMS_MODELO!$B$52),PARAMS_MODELO!$B$47),"ORO",IF(U1148&gt;=MAX(_xlfn.PERCENTILE.INC($U$2:$U$1194,PARAMS_MODELO!$B$53),PARAMS_MODELO!$B$48),"PLATA",IF(U1148&gt;=1,"BRONCE","CERRADO")))))</f>
        <v>BRONCE</v>
      </c>
      <c r="W1148" s="5" t="str" cm="1">
        <f t="array" ref="W1148">_xlfn.XLOOKUP(1, (HIST_SCORE!$B:$B=PARAMS_MODELO!$B$4) * (HIST_SCORE!$C:$C=A1148), HIST_SCORE!$E:$E, "No encontrado")</f>
        <v>BRONCE</v>
      </c>
      <c r="X1148" s="5" t="str">
        <f>_xlfn.LET(_xlpm.act,MATCH(V1148,{"DIAMANTE";"PLATINO";"ORO";"PLATA";"BRONCE";"CERRADO"},0),_xlpm.ant,MATCH(W1148,{"DIAMANTE";"PLATINO";"ORO";"PLATA";"BRONCE";"CERRADO"},0),IF(_xlpm.act&lt;_xlpm.ant,"Mejora ↑",IF(_xlpm.act&gt;_xlpm.ant,"Baja ↓","Estable →")))</f>
        <v>Estable →</v>
      </c>
      <c r="Y1148" s="5">
        <f>IFERROR(U1148-SUMIFS(HIST_SCORE!$D:$D,HIST_SCORE!$B:$B,PARAMS_MODELO!$B$4,HIST_SCORE!$C:$C,$A1148),"")</f>
        <v>0</v>
      </c>
      <c r="Z1148" s="5" t="str">
        <f t="shared" si="413"/>
        <v>→ Estable</v>
      </c>
      <c r="AA1148" s="5">
        <f t="shared" si="414"/>
        <v>1000</v>
      </c>
      <c r="AB1148" s="5">
        <f>IFERROR(SUMIFS(HIST_SCORE!$F:$F,HIST_SCORE!$B:$B,PARAMS_MODELO!$B$4,HIST_SCORE!$C:$C,$A1148),"")</f>
        <v>1005</v>
      </c>
      <c r="AC1148" s="5">
        <f t="shared" si="415"/>
        <v>5</v>
      </c>
      <c r="AD1148" t="str">
        <f t="shared" si="417"/>
        <v/>
      </c>
      <c r="AE11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1148="CERRADO",1,IF(V1148="BRONCE",_xlpm.cPl,IF(V1148="PLATA",_xlpm.cO,IF(V1148="ORO",_xlpm.cP,IF(V1148="PLATINO",_xlpm.cD,999))))))</f>
        <v>24.506573482968111</v>
      </c>
      <c r="AF114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1148="CERRADO",0,IF(V1148="BRONCE",1,IF(V1148="PLATA",_xlpm.cPl,IF(V1148="ORO",_xlpm.cO,IF(V1148="PLATINO",_xlpm.cP,_xlpm.cD))))))</f>
        <v>1</v>
      </c>
      <c r="AG1148">
        <f t="shared" si="418"/>
        <v>5.4065734829681098</v>
      </c>
      <c r="AH1148" t="str">
        <f t="shared" si="419"/>
        <v>VENTAS</v>
      </c>
      <c r="AI1148" t="str">
        <f t="shared" si="416"/>
        <v>🎯 Para subir de categoría, eje VENTAS / CRECIMIENTO PERSONAL (F). Acción: metas semanales + activación comercial + seguimiento del asesor. ΔR aprox: 5,4</v>
      </c>
      <c r="AJ1148" s="26">
        <f>_xlfn.LET(_xlpm.piso,AF1148,_xlpm.corte,AE1148,_xlpm.prog,IF(_xlpm.corte&lt;=_xlpm.piso,0,MAX(0,MIN(1,(U1148-_xlpm.piso)/(_xlpm.corte-_xlpm.piso)))),_xlpm.orden,{"DIAMANTE";"PLATINO";"ORO";"PLATA";"BRONCE";"CERRADO"},_xlpm.act,IFERROR(MATCH(V1148,_xlpm.orden,0),6),_xlpm.ant,IFERROR(MATCH(W1148,_xlpm.orden,0),6),_xlpm.ajmov,IF(_xlpm.act&lt;_xlpm.ant,0.08,IF(_xlpm.act&gt;_xlpm.ant,-0.08,0)),_xlpm.ajcli,IF(T1148&lt;0.95,-0.06,0),_xlpm.prob,MAX(0,MIN(1,_xlpm.prog+_xlpm.ajmov+_xlpm.ajcli)),IF(OR(V1148="DIAMANTE",V1148="CERRADO"),0,ROUND(_xlpm.prob,2)))</f>
        <v>0.77</v>
      </c>
      <c r="AK1148" t="str">
        <f t="shared" si="420"/>
        <v>Faltan 5,4 puntos base para subir a la siguiente categoría</v>
      </c>
      <c r="AL1148" t="str">
        <f t="shared" si="421"/>
        <v>No aplica</v>
      </c>
      <c r="AM1148">
        <f t="shared" si="422"/>
        <v>0.31</v>
      </c>
      <c r="AN1148" t="str">
        <f t="shared" si="423"/>
        <v>PRIORIDAD BAJA – control normal</v>
      </c>
      <c r="AO1148">
        <f t="shared" si="424"/>
        <v>64.862569275295584</v>
      </c>
      <c r="AP1148">
        <f t="shared" si="425"/>
        <v>15</v>
      </c>
      <c r="AQ1148">
        <f t="shared" si="426"/>
        <v>0</v>
      </c>
      <c r="AR1148">
        <f t="shared" si="427"/>
        <v>0.90000000000000036</v>
      </c>
      <c r="AS1148">
        <f t="shared" si="428"/>
        <v>0</v>
      </c>
      <c r="AT1148" t="str">
        <f t="shared" si="429"/>
        <v>VENTAS</v>
      </c>
      <c r="AU1148">
        <f t="shared" si="430"/>
        <v>64.862569275295584</v>
      </c>
      <c r="AV1148" t="str">
        <f t="shared" si="431"/>
        <v>Mayor retorno probable: VENTAS (+64,9 puntos finales potenciales).</v>
      </c>
    </row>
    <row r="1149" spans="1:48" x14ac:dyDescent="0.3">
      <c r="A1149" s="5">
        <v>51042794</v>
      </c>
      <c r="B1149" s="5" t="str">
        <f>IFERROR(VLOOKUP(A1149,VENTAS!$A$2:$B$1194,2,0),"")</f>
        <v/>
      </c>
      <c r="C1149" s="5">
        <f>IFERROR(INDEX(VENTAS!$C$2:$E$1194,MATCH(A1149,VENTAS!$A$2:$A$1194,0),MATCH(PARAMS_MODELO!$B$2,{"Q1","Q2","Q3"},0)),0)</f>
        <v>0</v>
      </c>
      <c r="D1149" s="5">
        <f>IFERROR(INDEX(VENTAS!$F$2:$H$1194,MATCH(A1149,VENTAS!$A$2:$A$1194,0),MATCH(PARAMS_MODELO!$B$2,{"Q1","Q2","Q3"},0)),0)</f>
        <v>0</v>
      </c>
      <c r="E1149" s="8">
        <f t="shared" si="408"/>
        <v>0</v>
      </c>
      <c r="F1149" s="12">
        <f>IF(E1149&lt;=PARAMS_MODELO!$B$15,0,IF(E1149&gt;=PARAMS_MODELO!$B$17,100,100*MIN(1,(E1149-PARAMS_MODELO!$B$15)/(PARAMS_MODELO!$B$16-PARAMS_MODELO!$B$15))))*PARAMS_MODELO!$B$7</f>
        <v>0</v>
      </c>
      <c r="G1149" s="5">
        <f t="shared" si="409"/>
        <v>0</v>
      </c>
      <c r="H1149" s="5">
        <f>(PARAMS_MODELO!$B$20*(MAX(0,MIN(3,E1149))/3)+PARAMS_MODELO!$B$21*(IFERROR(LN(1+MAX(0,G1149))/LN(1+MAX(0,MAX($G$2:$G$1194))),0)))*100*PARAMS_MODELO!$B$8</f>
        <v>0</v>
      </c>
      <c r="I1149" s="8">
        <f>E1149-PARAMS_MODELO!$B$5</f>
        <v>-0.17756283537552653</v>
      </c>
      <c r="J1149" s="5">
        <f>IF(I1149&lt;=PARAMS_MODELO!$B$18,0,IF(I1149&gt;=PARAMS_MODELO!$B$19,100,100*(I1149-PARAMS_MODELO!$B$18)/(PARAMS_MODELO!$B$19-PARAMS_MODELO!$B$18)))*PARAMS_MODELO!$B$9</f>
        <v>0</v>
      </c>
      <c r="K1149" s="5">
        <f>IFERROR(CHOOSE(MATCH(PARAMS_MODELO!$B$2,{"Q1","Q2","Q3"},0),LOTO!$D1149,LOTO!$F1149,LOTO!$H1149),0)</f>
        <v>0</v>
      </c>
      <c r="L1149" s="8">
        <f t="shared" si="410"/>
        <v>0</v>
      </c>
      <c r="M1149" s="5">
        <f>MIN(100,IF(PARAMS_MODELO!$B$23=0,0,100*L1149/PARAMS_MODELO!$B$23))*PARAMS_MODELO!$B$10</f>
        <v>0</v>
      </c>
      <c r="N1149" s="5">
        <f>IFERROR(VLOOKUP(A1149,COMPLIANCE!$A$2:$F$1996,6,0),100)</f>
        <v>100</v>
      </c>
      <c r="O1149" s="5">
        <f>N1149*PARAMS_MODELO!$B$11</f>
        <v>10</v>
      </c>
      <c r="P1149" s="5">
        <f>IFERROR(VLOOKUP(A1149,DIGITAL!$A$2:$J$2000,7,0),100)</f>
        <v>3</v>
      </c>
      <c r="Q1149" s="5">
        <f>IFERROR(P1149,0)*PARAMS_MODELO!$B$12</f>
        <v>0.30000000000000004</v>
      </c>
      <c r="R1149">
        <f t="shared" si="411"/>
        <v>10.3</v>
      </c>
      <c r="S1149" s="5" t="str">
        <f>IFERROR(VLOOKUP(A1149,CLIENTE!$A$2:$N$2000,13,0),1)</f>
        <v>Regular</v>
      </c>
      <c r="T1149" s="5">
        <f>IFERROR(VLOOKUP(A1149,CLIENTE!$A$2:$N$2000,14,0),1)</f>
        <v>1</v>
      </c>
      <c r="U1149" s="5">
        <f t="shared" si="412"/>
        <v>10.3</v>
      </c>
      <c r="V1149" s="5" t="str">
        <f>IF(U1149&gt;=MAX(_xlfn.PERCENTILE.INC($U$2:$U$1194,PARAMS_MODELO!$B$50),PARAMS_MODELO!$B$45),"DIAMANTE",IF(U1149&gt;=MAX(_xlfn.PERCENTILE.INC($U$2:$U$1194,PARAMS_MODELO!$B$51),PARAMS_MODELO!$B$46),"PLATINO",IF(U1149&gt;=MAX(_xlfn.PERCENTILE.INC($U$2:$U$1194,PARAMS_MODELO!$B$52),PARAMS_MODELO!$B$47),"ORO",IF(U1149&gt;=MAX(_xlfn.PERCENTILE.INC($U$2:$U$1194,PARAMS_MODELO!$B$53),PARAMS_MODELO!$B$48),"PLATA",IF(U1149&gt;=1,"BRONCE","CERRADO")))))</f>
        <v>BRONCE</v>
      </c>
      <c r="W1149" s="5" t="str" cm="1">
        <f t="array" ref="W1149">_xlfn.XLOOKUP(1, (HIST_SCORE!$B:$B=PARAMS_MODELO!$B$4) * (HIST_SCORE!$C:$C=A1149), HIST_SCORE!$E:$E, "No encontrado")</f>
        <v>BRONCE</v>
      </c>
      <c r="X1149" s="5" t="str">
        <f>_xlfn.LET(_xlpm.act,MATCH(V1149,{"DIAMANTE";"PLATINO";"ORO";"PLATA";"BRONCE";"CERRADO"},0),_xlpm.ant,MATCH(W1149,{"DIAMANTE";"PLATINO";"ORO";"PLATA";"BRONCE";"CERRADO"},0),IF(_xlpm.act&lt;_xlpm.ant,"Mejora ↑",IF(_xlpm.act&gt;_xlpm.ant,"Baja ↓","Estable →")))</f>
        <v>Estable →</v>
      </c>
      <c r="Y1149" s="5">
        <f>IFERROR(U1149-SUMIFS(HIST_SCORE!$D:$D,HIST_SCORE!$B:$B,PARAMS_MODELO!$B$4,HIST_SCORE!$C:$C,$A1149),"")</f>
        <v>0</v>
      </c>
      <c r="Z1149" s="5" t="str">
        <f t="shared" si="413"/>
        <v>→ Estable</v>
      </c>
      <c r="AA1149" s="5">
        <f t="shared" si="414"/>
        <v>1164</v>
      </c>
      <c r="AB1149" s="5">
        <f>IFERROR(SUMIFS(HIST_SCORE!$F:$F,HIST_SCORE!$B:$B,PARAMS_MODELO!$B$4,HIST_SCORE!$C:$C,$A1149),"")</f>
        <v>1163</v>
      </c>
      <c r="AC1149" s="5">
        <f t="shared" si="415"/>
        <v>-1</v>
      </c>
      <c r="AD1149" t="str">
        <f t="shared" si="417"/>
        <v/>
      </c>
      <c r="AE11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1149="CERRADO",1,IF(V1149="BRONCE",_xlpm.cPl,IF(V1149="PLATA",_xlpm.cO,IF(V1149="ORO",_xlpm.cP,IF(V1149="PLATINO",_xlpm.cD,999))))))</f>
        <v>24.506573482968111</v>
      </c>
      <c r="AF114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1149="CERRADO",0,IF(V1149="BRONCE",1,IF(V1149="PLATA",_xlpm.cPl,IF(V1149="ORO",_xlpm.cO,IF(V1149="PLATINO",_xlpm.cP,_xlpm.cD))))))</f>
        <v>1</v>
      </c>
      <c r="AG1149">
        <f t="shared" si="418"/>
        <v>14.206573482968111</v>
      </c>
      <c r="AH1149" t="str">
        <f t="shared" si="419"/>
        <v>VENTAS</v>
      </c>
      <c r="AI1149" t="str">
        <f t="shared" si="416"/>
        <v>🎯 Para subir de categoría, eje VENTAS / CRECIMIENTO PERSONAL (F). Acción: metas semanales + activación comercial + seguimiento del asesor. ΔR aprox: 14,2</v>
      </c>
      <c r="AJ1149" s="26">
        <f>_xlfn.LET(_xlpm.piso,AF1149,_xlpm.corte,AE1149,_xlpm.prog,IF(_xlpm.corte&lt;=_xlpm.piso,0,MAX(0,MIN(1,(U1149-_xlpm.piso)/(_xlpm.corte-_xlpm.piso)))),_xlpm.orden,{"DIAMANTE";"PLATINO";"ORO";"PLATA";"BRONCE";"CERRADO"},_xlpm.act,IFERROR(MATCH(V1149,_xlpm.orden,0),6),_xlpm.ant,IFERROR(MATCH(W1149,_xlpm.orden,0),6),_xlpm.ajmov,IF(_xlpm.act&lt;_xlpm.ant,0.08,IF(_xlpm.act&gt;_xlpm.ant,-0.08,0)),_xlpm.ajcli,IF(T1149&lt;0.95,-0.06,0),_xlpm.prob,MAX(0,MIN(1,_xlpm.prog+_xlpm.ajmov+_xlpm.ajcli)),IF(OR(V1149="DIAMANTE",V1149="CERRADO"),0,ROUND(_xlpm.prob,2)))</f>
        <v>0.4</v>
      </c>
      <c r="AK1149" t="str">
        <f t="shared" si="420"/>
        <v>Faltan 14,2 puntos base para subir a la siguiente categoría</v>
      </c>
      <c r="AL1149" t="str">
        <f t="shared" si="421"/>
        <v>No aplica</v>
      </c>
      <c r="AM1149">
        <f t="shared" si="422"/>
        <v>0.64</v>
      </c>
      <c r="AN1149" t="str">
        <f t="shared" si="423"/>
        <v>PRIORIDAD MEDIA – seguimiento del asesor</v>
      </c>
      <c r="AO1149">
        <f t="shared" si="424"/>
        <v>64.862569275295584</v>
      </c>
      <c r="AP1149">
        <f t="shared" si="425"/>
        <v>15</v>
      </c>
      <c r="AQ1149">
        <f t="shared" si="426"/>
        <v>0</v>
      </c>
      <c r="AR1149">
        <f t="shared" si="427"/>
        <v>9.6999999999999993</v>
      </c>
      <c r="AS1149">
        <f t="shared" si="428"/>
        <v>0</v>
      </c>
      <c r="AT1149" t="str">
        <f t="shared" si="429"/>
        <v>VENTAS</v>
      </c>
      <c r="AU1149">
        <f t="shared" si="430"/>
        <v>64.862569275295584</v>
      </c>
      <c r="AV1149" t="str">
        <f t="shared" si="431"/>
        <v>Mayor retorno probable: VENTAS (+64,9 puntos finales potenciales).</v>
      </c>
    </row>
    <row r="1150" spans="1:48" x14ac:dyDescent="0.3">
      <c r="A1150" s="5">
        <v>51042867</v>
      </c>
      <c r="B1150" s="5" t="str">
        <f>IFERROR(VLOOKUP(A1150,VENTAS!$A$2:$B$1194,2,0),"")</f>
        <v/>
      </c>
      <c r="C1150" s="5">
        <f>IFERROR(INDEX(VENTAS!$C$2:$E$1194,MATCH(A1150,VENTAS!$A$2:$A$1194,0),MATCH(PARAMS_MODELO!$B$2,{"Q1","Q2","Q3"},0)),0)</f>
        <v>9781926.0999999996</v>
      </c>
      <c r="D1150" s="5">
        <f>IFERROR(INDEX(VENTAS!$F$2:$H$1194,MATCH(A1150,VENTAS!$A$2:$A$1194,0),MATCH(PARAMS_MODELO!$B$2,{"Q1","Q2","Q3"},0)),0)</f>
        <v>0</v>
      </c>
      <c r="E1150" s="8">
        <f t="shared" si="408"/>
        <v>-1</v>
      </c>
      <c r="F1150" s="12">
        <f>IF(E1150&lt;=PARAMS_MODELO!$B$15,0,IF(E1150&gt;=PARAMS_MODELO!$B$17,100,100*MIN(1,(E1150-PARAMS_MODELO!$B$15)/(PARAMS_MODELO!$B$16-PARAMS_MODELO!$B$15))))*PARAMS_MODELO!$B$7</f>
        <v>0</v>
      </c>
      <c r="G1150" s="5">
        <f t="shared" si="409"/>
        <v>0</v>
      </c>
      <c r="H1150" s="5">
        <f>(PARAMS_MODELO!$B$20*(MAX(0,MIN(3,E1150))/3)+PARAMS_MODELO!$B$21*(IFERROR(LN(1+MAX(0,G1150))/LN(1+MAX(0,MAX($G$2:$G$1194))),0)))*100*PARAMS_MODELO!$B$8</f>
        <v>0</v>
      </c>
      <c r="I1150" s="8">
        <f>E1150-PARAMS_MODELO!$B$5</f>
        <v>-1.1775628353755265</v>
      </c>
      <c r="J1150" s="5">
        <f>IF(I1150&lt;=PARAMS_MODELO!$B$18,0,IF(I1150&gt;=PARAMS_MODELO!$B$19,100,100*(I1150-PARAMS_MODELO!$B$18)/(PARAMS_MODELO!$B$19-PARAMS_MODELO!$B$18)))*PARAMS_MODELO!$B$9</f>
        <v>0</v>
      </c>
      <c r="K1150" s="5">
        <f>IFERROR(CHOOSE(MATCH(PARAMS_MODELO!$B$2,{"Q1","Q2","Q3"},0),LOTO!$D1150,LOTO!$F1150,LOTO!$H1150),0)</f>
        <v>0</v>
      </c>
      <c r="L1150" s="8">
        <f t="shared" si="410"/>
        <v>0</v>
      </c>
      <c r="M1150" s="5">
        <f>MIN(100,IF(PARAMS_MODELO!$B$23=0,0,100*L1150/PARAMS_MODELO!$B$23))*PARAMS_MODELO!$B$10</f>
        <v>0</v>
      </c>
      <c r="N1150" s="5">
        <f>IFERROR(VLOOKUP(A1150,COMPLIANCE!$A$2:$F$1996,6,0),100)</f>
        <v>100</v>
      </c>
      <c r="O1150" s="5">
        <f>N1150*PARAMS_MODELO!$B$11</f>
        <v>10</v>
      </c>
      <c r="P1150" s="5">
        <f>IFERROR(VLOOKUP(A1150,DIGITAL!$A$2:$J$2000,7,0),100)</f>
        <v>84</v>
      </c>
      <c r="Q1150" s="5">
        <f>IFERROR(P1150,0)*PARAMS_MODELO!$B$12</f>
        <v>8.4</v>
      </c>
      <c r="R1150">
        <f t="shared" si="411"/>
        <v>18.399999999999999</v>
      </c>
      <c r="S1150" s="5" t="str">
        <f>IFERROR(VLOOKUP(A1150,CLIENTE!$A$2:$N$2000,13,0),1)</f>
        <v>Regular</v>
      </c>
      <c r="T1150" s="5">
        <f>IFERROR(VLOOKUP(A1150,CLIENTE!$A$2:$N$2000,14,0),1)</f>
        <v>1</v>
      </c>
      <c r="U1150" s="5">
        <f t="shared" si="412"/>
        <v>18.399999999999999</v>
      </c>
      <c r="V1150" s="5" t="str">
        <f>IF(U1150&gt;=MAX(_xlfn.PERCENTILE.INC($U$2:$U$1194,PARAMS_MODELO!$B$50),PARAMS_MODELO!$B$45),"DIAMANTE",IF(U1150&gt;=MAX(_xlfn.PERCENTILE.INC($U$2:$U$1194,PARAMS_MODELO!$B$51),PARAMS_MODELO!$B$46),"PLATINO",IF(U1150&gt;=MAX(_xlfn.PERCENTILE.INC($U$2:$U$1194,PARAMS_MODELO!$B$52),PARAMS_MODELO!$B$47),"ORO",IF(U1150&gt;=MAX(_xlfn.PERCENTILE.INC($U$2:$U$1194,PARAMS_MODELO!$B$53),PARAMS_MODELO!$B$48),"PLATA",IF(U1150&gt;=1,"BRONCE","CERRADO")))))</f>
        <v>BRONCE</v>
      </c>
      <c r="W1150" s="5" t="str" cm="1">
        <f t="array" ref="W1150">_xlfn.XLOOKUP(1, (HIST_SCORE!$B:$B=PARAMS_MODELO!$B$4) * (HIST_SCORE!$C:$C=A1150), HIST_SCORE!$E:$E, "No encontrado")</f>
        <v>BRONCE</v>
      </c>
      <c r="X1150" s="5" t="str">
        <f>_xlfn.LET(_xlpm.act,MATCH(V1150,{"DIAMANTE";"PLATINO";"ORO";"PLATA";"BRONCE";"CERRADO"},0),_xlpm.ant,MATCH(W1150,{"DIAMANTE";"PLATINO";"ORO";"PLATA";"BRONCE";"CERRADO"},0),IF(_xlpm.act&lt;_xlpm.ant,"Mejora ↑",IF(_xlpm.act&gt;_xlpm.ant,"Baja ↓","Estable →")))</f>
        <v>Estable →</v>
      </c>
      <c r="Y1150" s="5">
        <f>IFERROR(U1150-SUMIFS(HIST_SCORE!$D:$D,HIST_SCORE!$B:$B,PARAMS_MODELO!$B$4,HIST_SCORE!$C:$C,$A1150),"")</f>
        <v>0</v>
      </c>
      <c r="Z1150" s="5" t="str">
        <f t="shared" si="413"/>
        <v>→ Estable</v>
      </c>
      <c r="AA1150" s="5">
        <f t="shared" si="414"/>
        <v>1021</v>
      </c>
      <c r="AB1150" s="5">
        <f>IFERROR(SUMIFS(HIST_SCORE!$F:$F,HIST_SCORE!$B:$B,PARAMS_MODELO!$B$4,HIST_SCORE!$C:$C,$A1150),"")</f>
        <v>1021</v>
      </c>
      <c r="AC1150" s="5">
        <f t="shared" si="415"/>
        <v>0</v>
      </c>
      <c r="AD1150" t="str">
        <f t="shared" si="417"/>
        <v/>
      </c>
      <c r="AE11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1150="CERRADO",1,IF(V1150="BRONCE",_xlpm.cPl,IF(V1150="PLATA",_xlpm.cO,IF(V1150="ORO",_xlpm.cP,IF(V1150="PLATINO",_xlpm.cD,999))))))</f>
        <v>24.506573482968111</v>
      </c>
      <c r="AF115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1150="CERRADO",0,IF(V1150="BRONCE",1,IF(V1150="PLATA",_xlpm.cPl,IF(V1150="ORO",_xlpm.cO,IF(V1150="PLATINO",_xlpm.cP,_xlpm.cD))))))</f>
        <v>1</v>
      </c>
      <c r="AG1150">
        <f t="shared" si="418"/>
        <v>6.1065734829681126</v>
      </c>
      <c r="AH1150" t="str">
        <f t="shared" si="419"/>
        <v>VENTAS</v>
      </c>
      <c r="AI1150" t="str">
        <f t="shared" si="416"/>
        <v>🎯 Para subir de categoría, eje VENTAS / CRECIMIENTO PERSONAL (F). Acción: metas semanales + activación comercial + seguimiento del asesor. ΔR aprox: 6,1</v>
      </c>
      <c r="AJ1150" s="26">
        <f>_xlfn.LET(_xlpm.piso,AF1150,_xlpm.corte,AE1150,_xlpm.prog,IF(_xlpm.corte&lt;=_xlpm.piso,0,MAX(0,MIN(1,(U1150-_xlpm.piso)/(_xlpm.corte-_xlpm.piso)))),_xlpm.orden,{"DIAMANTE";"PLATINO";"ORO";"PLATA";"BRONCE";"CERRADO"},_xlpm.act,IFERROR(MATCH(V1150,_xlpm.orden,0),6),_xlpm.ant,IFERROR(MATCH(W1150,_xlpm.orden,0),6),_xlpm.ajmov,IF(_xlpm.act&lt;_xlpm.ant,0.08,IF(_xlpm.act&gt;_xlpm.ant,-0.08,0)),_xlpm.ajcli,IF(T1150&lt;0.95,-0.06,0),_xlpm.prob,MAX(0,MIN(1,_xlpm.prog+_xlpm.ajmov+_xlpm.ajcli)),IF(OR(V1150="DIAMANTE",V1150="CERRADO"),0,ROUND(_xlpm.prob,2)))</f>
        <v>0.74</v>
      </c>
      <c r="AK1150" t="str">
        <f t="shared" si="420"/>
        <v>Faltan 6,1 puntos base para subir a la siguiente categoría</v>
      </c>
      <c r="AL1150" t="str">
        <f t="shared" si="421"/>
        <v>No aplica</v>
      </c>
      <c r="AM1150">
        <f t="shared" si="422"/>
        <v>0.35</v>
      </c>
      <c r="AN1150" t="str">
        <f t="shared" si="423"/>
        <v>PRIORIDAD BAJA – control normal</v>
      </c>
      <c r="AO1150">
        <f t="shared" si="424"/>
        <v>64.862569275295584</v>
      </c>
      <c r="AP1150">
        <f t="shared" si="425"/>
        <v>15</v>
      </c>
      <c r="AQ1150">
        <f t="shared" si="426"/>
        <v>0</v>
      </c>
      <c r="AR1150">
        <f t="shared" si="427"/>
        <v>1.5999999999999996</v>
      </c>
      <c r="AS1150">
        <f t="shared" si="428"/>
        <v>0</v>
      </c>
      <c r="AT1150" t="str">
        <f t="shared" si="429"/>
        <v>VENTAS</v>
      </c>
      <c r="AU1150">
        <f t="shared" si="430"/>
        <v>64.862569275295584</v>
      </c>
      <c r="AV1150" t="str">
        <f t="shared" si="431"/>
        <v>Mayor retorno probable: VENTAS (+64,9 puntos finales potenciales).</v>
      </c>
    </row>
    <row r="1151" spans="1:48" x14ac:dyDescent="0.3">
      <c r="A1151" s="5">
        <v>51042883</v>
      </c>
      <c r="B1151" s="5" t="str">
        <f>IFERROR(VLOOKUP(A1151,VENTAS!$A$2:$B$1194,2,0),"")</f>
        <v/>
      </c>
      <c r="C1151" s="5">
        <f>IFERROR(INDEX(VENTAS!$C$2:$E$1194,MATCH(A1151,VENTAS!$A$2:$A$1194,0),MATCH(PARAMS_MODELO!$B$2,{"Q1","Q2","Q3"},0)),0)</f>
        <v>54138952.310000002</v>
      </c>
      <c r="D1151" s="5">
        <f>IFERROR(INDEX(VENTAS!$F$2:$H$1194,MATCH(A1151,VENTAS!$A$2:$A$1194,0),MATCH(PARAMS_MODELO!$B$2,{"Q1","Q2","Q3"},0)),0)</f>
        <v>0</v>
      </c>
      <c r="E1151" s="8">
        <f t="shared" si="408"/>
        <v>-1</v>
      </c>
      <c r="F1151" s="12">
        <f>IF(E1151&lt;=PARAMS_MODELO!$B$15,0,IF(E1151&gt;=PARAMS_MODELO!$B$17,100,100*MIN(1,(E1151-PARAMS_MODELO!$B$15)/(PARAMS_MODELO!$B$16-PARAMS_MODELO!$B$15))))*PARAMS_MODELO!$B$7</f>
        <v>0</v>
      </c>
      <c r="G1151" s="5">
        <f t="shared" si="409"/>
        <v>0</v>
      </c>
      <c r="H1151" s="5">
        <f>(PARAMS_MODELO!$B$20*(MAX(0,MIN(3,E1151))/3)+PARAMS_MODELO!$B$21*(IFERROR(LN(1+MAX(0,G1151))/LN(1+MAX(0,MAX($G$2:$G$1194))),0)))*100*PARAMS_MODELO!$B$8</f>
        <v>0</v>
      </c>
      <c r="I1151" s="8">
        <f>E1151-PARAMS_MODELO!$B$5</f>
        <v>-1.1775628353755265</v>
      </c>
      <c r="J1151" s="5">
        <f>IF(I1151&lt;=PARAMS_MODELO!$B$18,0,IF(I1151&gt;=PARAMS_MODELO!$B$19,100,100*(I1151-PARAMS_MODELO!$B$18)/(PARAMS_MODELO!$B$19-PARAMS_MODELO!$B$18)))*PARAMS_MODELO!$B$9</f>
        <v>0</v>
      </c>
      <c r="K1151" s="5">
        <f>IFERROR(CHOOSE(MATCH(PARAMS_MODELO!$B$2,{"Q1","Q2","Q3"},0),LOTO!$D1151,LOTO!$F1151,LOTO!$H1151),0)</f>
        <v>0</v>
      </c>
      <c r="L1151" s="8">
        <f t="shared" si="410"/>
        <v>0</v>
      </c>
      <c r="M1151" s="5">
        <f>MIN(100,IF(PARAMS_MODELO!$B$23=0,0,100*L1151/PARAMS_MODELO!$B$23))*PARAMS_MODELO!$B$10</f>
        <v>0</v>
      </c>
      <c r="N1151" s="5">
        <f>IFERROR(VLOOKUP(A1151,COMPLIANCE!$A$2:$F$1996,6,0),100)</f>
        <v>100</v>
      </c>
      <c r="O1151" s="5">
        <f>N1151*PARAMS_MODELO!$B$11</f>
        <v>10</v>
      </c>
      <c r="P1151" s="5">
        <f>IFERROR(VLOOKUP(A1151,DIGITAL!$A$2:$J$2000,7,0),100)</f>
        <v>64</v>
      </c>
      <c r="Q1151" s="5">
        <f>IFERROR(P1151,0)*PARAMS_MODELO!$B$12</f>
        <v>6.4</v>
      </c>
      <c r="R1151">
        <f t="shared" si="411"/>
        <v>16.399999999999999</v>
      </c>
      <c r="S1151" s="5" t="str">
        <f>IFERROR(VLOOKUP(A1151,CLIENTE!$A$2:$N$2000,13,0),1)</f>
        <v>Muy Bueno</v>
      </c>
      <c r="T1151" s="5">
        <f>IFERROR(VLOOKUP(A1151,CLIENTE!$A$2:$N$2000,14,0),1)</f>
        <v>1.1499999999999999</v>
      </c>
      <c r="U1151" s="5">
        <f t="shared" si="412"/>
        <v>18.859999999999996</v>
      </c>
      <c r="V1151" s="5" t="str">
        <f>IF(U1151&gt;=MAX(_xlfn.PERCENTILE.INC($U$2:$U$1194,PARAMS_MODELO!$B$50),PARAMS_MODELO!$B$45),"DIAMANTE",IF(U1151&gt;=MAX(_xlfn.PERCENTILE.INC($U$2:$U$1194,PARAMS_MODELO!$B$51),PARAMS_MODELO!$B$46),"PLATINO",IF(U1151&gt;=MAX(_xlfn.PERCENTILE.INC($U$2:$U$1194,PARAMS_MODELO!$B$52),PARAMS_MODELO!$B$47),"ORO",IF(U1151&gt;=MAX(_xlfn.PERCENTILE.INC($U$2:$U$1194,PARAMS_MODELO!$B$53),PARAMS_MODELO!$B$48),"PLATA",IF(U1151&gt;=1,"BRONCE","CERRADO")))))</f>
        <v>BRONCE</v>
      </c>
      <c r="W1151" s="5" t="str" cm="1">
        <f t="array" ref="W1151">_xlfn.XLOOKUP(1, (HIST_SCORE!$B:$B=PARAMS_MODELO!$B$4) * (HIST_SCORE!$C:$C=A1151), HIST_SCORE!$E:$E, "No encontrado")</f>
        <v>BRONCE</v>
      </c>
      <c r="X1151" s="5" t="str">
        <f>_xlfn.LET(_xlpm.act,MATCH(V1151,{"DIAMANTE";"PLATINO";"ORO";"PLATA";"BRONCE";"CERRADO"},0),_xlpm.ant,MATCH(W1151,{"DIAMANTE";"PLATINO";"ORO";"PLATA";"BRONCE";"CERRADO"},0),IF(_xlpm.act&lt;_xlpm.ant,"Mejora ↑",IF(_xlpm.act&gt;_xlpm.ant,"Baja ↓","Estable →")))</f>
        <v>Estable →</v>
      </c>
      <c r="Y1151" s="5">
        <f>IFERROR(U1151-SUMIFS(HIST_SCORE!$D:$D,HIST_SCORE!$B:$B,PARAMS_MODELO!$B$4,HIST_SCORE!$C:$C,$A1151),"")</f>
        <v>0</v>
      </c>
      <c r="Z1151" s="5" t="str">
        <f t="shared" si="413"/>
        <v>→ Estable</v>
      </c>
      <c r="AA1151" s="5">
        <f t="shared" si="414"/>
        <v>1007</v>
      </c>
      <c r="AB1151" s="5">
        <f>IFERROR(SUMIFS(HIST_SCORE!$F:$F,HIST_SCORE!$B:$B,PARAMS_MODELO!$B$4,HIST_SCORE!$C:$C,$A1151),"")</f>
        <v>1012</v>
      </c>
      <c r="AC1151" s="5">
        <f t="shared" si="415"/>
        <v>5</v>
      </c>
      <c r="AD1151" t="str">
        <f t="shared" si="417"/>
        <v/>
      </c>
      <c r="AE11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1151="CERRADO",1,IF(V1151="BRONCE",_xlpm.cPl,IF(V1151="PLATA",_xlpm.cO,IF(V1151="ORO",_xlpm.cP,IF(V1151="PLATINO",_xlpm.cD,999))))))</f>
        <v>24.506573482968111</v>
      </c>
      <c r="AF115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1151="CERRADO",0,IF(V1151="BRONCE",1,IF(V1151="PLATA",_xlpm.cPl,IF(V1151="ORO",_xlpm.cO,IF(V1151="PLATINO",_xlpm.cP,_xlpm.cD))))))</f>
        <v>1</v>
      </c>
      <c r="AG1151">
        <f t="shared" si="418"/>
        <v>4.9100638982331439</v>
      </c>
      <c r="AH1151" t="str">
        <f t="shared" si="419"/>
        <v>VENTAS</v>
      </c>
      <c r="AI1151" t="str">
        <f t="shared" si="416"/>
        <v>🎯 Para subir de categoría, eje VENTAS / CRECIMIENTO PERSONAL (F). Acción: metas semanales + activación comercial + seguimiento del asesor. ΔR aprox: 4,9</v>
      </c>
      <c r="AJ1151" s="26">
        <f>_xlfn.LET(_xlpm.piso,AF1151,_xlpm.corte,AE1151,_xlpm.prog,IF(_xlpm.corte&lt;=_xlpm.piso,0,MAX(0,MIN(1,(U1151-_xlpm.piso)/(_xlpm.corte-_xlpm.piso)))),_xlpm.orden,{"DIAMANTE";"PLATINO";"ORO";"PLATA";"BRONCE";"CERRADO"},_xlpm.act,IFERROR(MATCH(V1151,_xlpm.orden,0),6),_xlpm.ant,IFERROR(MATCH(W1151,_xlpm.orden,0),6),_xlpm.ajmov,IF(_xlpm.act&lt;_xlpm.ant,0.08,IF(_xlpm.act&gt;_xlpm.ant,-0.08,0)),_xlpm.ajcli,IF(T1151&lt;0.95,-0.06,0),_xlpm.prob,MAX(0,MIN(1,_xlpm.prog+_xlpm.ajmov+_xlpm.ajcli)),IF(OR(V1151="DIAMANTE",V1151="CERRADO"),0,ROUND(_xlpm.prob,2)))</f>
        <v>0.76</v>
      </c>
      <c r="AK1151" t="str">
        <f t="shared" si="420"/>
        <v>Faltan 4,9 puntos base para subir a la siguiente categoría</v>
      </c>
      <c r="AL1151" t="str">
        <f t="shared" si="421"/>
        <v>No aplica</v>
      </c>
      <c r="AM1151">
        <f t="shared" si="422"/>
        <v>0.28999999999999998</v>
      </c>
      <c r="AN1151" t="str">
        <f t="shared" si="423"/>
        <v>PRIORIDAD BAJA – control normal</v>
      </c>
      <c r="AO1151">
        <f t="shared" si="424"/>
        <v>74.591954666589913</v>
      </c>
      <c r="AP1151">
        <f t="shared" si="425"/>
        <v>17.25</v>
      </c>
      <c r="AQ1151">
        <f t="shared" si="426"/>
        <v>0</v>
      </c>
      <c r="AR1151">
        <f t="shared" si="427"/>
        <v>4.1399999999999997</v>
      </c>
      <c r="AS1151">
        <f t="shared" si="428"/>
        <v>0</v>
      </c>
      <c r="AT1151" t="str">
        <f t="shared" si="429"/>
        <v>VENTAS</v>
      </c>
      <c r="AU1151">
        <f t="shared" si="430"/>
        <v>74.591954666589913</v>
      </c>
      <c r="AV1151" t="str">
        <f t="shared" si="431"/>
        <v>Mayor retorno probable: VENTAS (+74,6 puntos finales potenciales).</v>
      </c>
    </row>
    <row r="1152" spans="1:48" x14ac:dyDescent="0.3">
      <c r="A1152" s="5">
        <v>51043286</v>
      </c>
      <c r="B1152" s="5" t="str">
        <f>IFERROR(VLOOKUP(A1152,VENTAS!$A$2:$B$1194,2,0),"")</f>
        <v/>
      </c>
      <c r="C1152" s="5">
        <f>IFERROR(INDEX(VENTAS!$C$2:$E$1194,MATCH(A1152,VENTAS!$A$2:$A$1194,0),MATCH(PARAMS_MODELO!$B$2,{"Q1","Q2","Q3"},0)),0)</f>
        <v>124793250.78</v>
      </c>
      <c r="D1152" s="5">
        <f>IFERROR(INDEX(VENTAS!$F$2:$H$1194,MATCH(A1152,VENTAS!$A$2:$A$1194,0),MATCH(PARAMS_MODELO!$B$2,{"Q1","Q2","Q3"},0)),0)</f>
        <v>0</v>
      </c>
      <c r="E1152" s="8">
        <f t="shared" si="408"/>
        <v>-1</v>
      </c>
      <c r="F1152" s="12">
        <f>IF(E1152&lt;=PARAMS_MODELO!$B$15,0,IF(E1152&gt;=PARAMS_MODELO!$B$17,100,100*MIN(1,(E1152-PARAMS_MODELO!$B$15)/(PARAMS_MODELO!$B$16-PARAMS_MODELO!$B$15))))*PARAMS_MODELO!$B$7</f>
        <v>0</v>
      </c>
      <c r="G1152" s="5">
        <f t="shared" si="409"/>
        <v>0</v>
      </c>
      <c r="H1152" s="5">
        <f>(PARAMS_MODELO!$B$20*(MAX(0,MIN(3,E1152))/3)+PARAMS_MODELO!$B$21*(IFERROR(LN(1+MAX(0,G1152))/LN(1+MAX(0,MAX($G$2:$G$1194))),0)))*100*PARAMS_MODELO!$B$8</f>
        <v>0</v>
      </c>
      <c r="I1152" s="8">
        <f>E1152-PARAMS_MODELO!$B$5</f>
        <v>-1.1775628353755265</v>
      </c>
      <c r="J1152" s="5">
        <f>IF(I1152&lt;=PARAMS_MODELO!$B$18,0,IF(I1152&gt;=PARAMS_MODELO!$B$19,100,100*(I1152-PARAMS_MODELO!$B$18)/(PARAMS_MODELO!$B$19-PARAMS_MODELO!$B$18)))*PARAMS_MODELO!$B$9</f>
        <v>0</v>
      </c>
      <c r="K1152" s="5">
        <f>IFERROR(CHOOSE(MATCH(PARAMS_MODELO!$B$2,{"Q1","Q2","Q3"},0),LOTO!$D1152,LOTO!$F1152,LOTO!$H1152),0)</f>
        <v>0</v>
      </c>
      <c r="L1152" s="8">
        <f t="shared" si="410"/>
        <v>0</v>
      </c>
      <c r="M1152" s="5">
        <f>MIN(100,IF(PARAMS_MODELO!$B$23=0,0,100*L1152/PARAMS_MODELO!$B$23))*PARAMS_MODELO!$B$10</f>
        <v>0</v>
      </c>
      <c r="N1152" s="5">
        <f>IFERROR(VLOOKUP(A1152,COMPLIANCE!$A$2:$F$1996,6,0),100)</f>
        <v>100</v>
      </c>
      <c r="O1152" s="5">
        <f>N1152*PARAMS_MODELO!$B$11</f>
        <v>10</v>
      </c>
      <c r="P1152" s="5">
        <f>IFERROR(VLOOKUP(A1152,DIGITAL!$A$2:$J$2000,7,0),100)</f>
        <v>11</v>
      </c>
      <c r="Q1152" s="5">
        <f>IFERROR(P1152,0)*PARAMS_MODELO!$B$12</f>
        <v>1.1000000000000001</v>
      </c>
      <c r="R1152">
        <f t="shared" si="411"/>
        <v>11.1</v>
      </c>
      <c r="S1152" s="5" t="str">
        <f>IFERROR(VLOOKUP(A1152,CLIENTE!$A$2:$N$2000,13,0),1)</f>
        <v>Malo</v>
      </c>
      <c r="T1152" s="5">
        <f>IFERROR(VLOOKUP(A1152,CLIENTE!$A$2:$N$2000,14,0),1)</f>
        <v>0.7</v>
      </c>
      <c r="U1152" s="5">
        <f t="shared" si="412"/>
        <v>7.77</v>
      </c>
      <c r="V1152" s="5" t="str">
        <f>IF(U1152&gt;=MAX(_xlfn.PERCENTILE.INC($U$2:$U$1194,PARAMS_MODELO!$B$50),PARAMS_MODELO!$B$45),"DIAMANTE",IF(U1152&gt;=MAX(_xlfn.PERCENTILE.INC($U$2:$U$1194,PARAMS_MODELO!$B$51),PARAMS_MODELO!$B$46),"PLATINO",IF(U1152&gt;=MAX(_xlfn.PERCENTILE.INC($U$2:$U$1194,PARAMS_MODELO!$B$52),PARAMS_MODELO!$B$47),"ORO",IF(U1152&gt;=MAX(_xlfn.PERCENTILE.INC($U$2:$U$1194,PARAMS_MODELO!$B$53),PARAMS_MODELO!$B$48),"PLATA",IF(U1152&gt;=1,"BRONCE","CERRADO")))))</f>
        <v>BRONCE</v>
      </c>
      <c r="W1152" s="5" t="str" cm="1">
        <f t="array" ref="W1152">_xlfn.XLOOKUP(1, (HIST_SCORE!$B:$B=PARAMS_MODELO!$B$4) * (HIST_SCORE!$C:$C=A1152), HIST_SCORE!$E:$E, "No encontrado")</f>
        <v>BRONCE</v>
      </c>
      <c r="X1152" s="5" t="str">
        <f>_xlfn.LET(_xlpm.act,MATCH(V1152,{"DIAMANTE";"PLATINO";"ORO";"PLATA";"BRONCE";"CERRADO"},0),_xlpm.ant,MATCH(W1152,{"DIAMANTE";"PLATINO";"ORO";"PLATA";"BRONCE";"CERRADO"},0),IF(_xlpm.act&lt;_xlpm.ant,"Mejora ↑",IF(_xlpm.act&gt;_xlpm.ant,"Baja ↓","Estable →")))</f>
        <v>Estable →</v>
      </c>
      <c r="Y1152" s="5">
        <f>IFERROR(U1152-SUMIFS(HIST_SCORE!$D:$D,HIST_SCORE!$B:$B,PARAMS_MODELO!$B$4,HIST_SCORE!$C:$C,$A1152),"")</f>
        <v>0</v>
      </c>
      <c r="Z1152" s="5" t="str">
        <f t="shared" si="413"/>
        <v>→ Estable</v>
      </c>
      <c r="AA1152" s="5">
        <f t="shared" si="414"/>
        <v>1190</v>
      </c>
      <c r="AB1152" s="5">
        <f>IFERROR(SUMIFS(HIST_SCORE!$F:$F,HIST_SCORE!$B:$B,PARAMS_MODELO!$B$4,HIST_SCORE!$C:$C,$A1152),"")</f>
        <v>1190</v>
      </c>
      <c r="AC1152" s="5">
        <f t="shared" si="415"/>
        <v>0</v>
      </c>
      <c r="AD1152" t="str">
        <f t="shared" si="417"/>
        <v/>
      </c>
      <c r="AE11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1152="CERRADO",1,IF(V1152="BRONCE",_xlpm.cPl,IF(V1152="PLATA",_xlpm.cO,IF(V1152="ORO",_xlpm.cP,IF(V1152="PLATINO",_xlpm.cD,999))))))</f>
        <v>24.506573482968111</v>
      </c>
      <c r="AF115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1152="CERRADO",0,IF(V1152="BRONCE",1,IF(V1152="PLATA",_xlpm.cPl,IF(V1152="ORO",_xlpm.cO,IF(V1152="PLATINO",_xlpm.cP,_xlpm.cD))))))</f>
        <v>1</v>
      </c>
      <c r="AG1152">
        <f t="shared" si="418"/>
        <v>23.909390689954442</v>
      </c>
      <c r="AH1152" t="str">
        <f t="shared" si="419"/>
        <v>VENTAS</v>
      </c>
      <c r="AI1152" t="str">
        <f t="shared" si="416"/>
        <v>🎯 Para subir de categoría, eje VENTAS / CRECIMIENTO PERSONAL (F). Acción: metas semanales + activación comercial + seguimiento del asesor. ΔR aprox: 23,9</v>
      </c>
      <c r="AJ1152" s="26">
        <f>_xlfn.LET(_xlpm.piso,AF1152,_xlpm.corte,AE1152,_xlpm.prog,IF(_xlpm.corte&lt;=_xlpm.piso,0,MAX(0,MIN(1,(U1152-_xlpm.piso)/(_xlpm.corte-_xlpm.piso)))),_xlpm.orden,{"DIAMANTE";"PLATINO";"ORO";"PLATA";"BRONCE";"CERRADO"},_xlpm.act,IFERROR(MATCH(V1152,_xlpm.orden,0),6),_xlpm.ant,IFERROR(MATCH(W1152,_xlpm.orden,0),6),_xlpm.ajmov,IF(_xlpm.act&lt;_xlpm.ant,0.08,IF(_xlpm.act&gt;_xlpm.ant,-0.08,0)),_xlpm.ajcli,IF(T1152&lt;0.95,-0.06,0),_xlpm.prob,MAX(0,MIN(1,_xlpm.prog+_xlpm.ajmov+_xlpm.ajcli)),IF(OR(V1152="DIAMANTE",V1152="CERRADO"),0,ROUND(_xlpm.prob,2)))</f>
        <v>0.23</v>
      </c>
      <c r="AK1152" t="str">
        <f t="shared" si="420"/>
        <v>Faltan 23,9 puntos base para subir a la siguiente categoría</v>
      </c>
      <c r="AL1152" t="str">
        <f t="shared" si="421"/>
        <v>No aplica</v>
      </c>
      <c r="AM1152">
        <f t="shared" si="422"/>
        <v>0.91</v>
      </c>
      <c r="AN1152" t="str">
        <f t="shared" si="423"/>
        <v>PRIORIDAD ALTA – requiere intervención inmediata</v>
      </c>
      <c r="AO1152">
        <f t="shared" si="424"/>
        <v>45.403798492706905</v>
      </c>
      <c r="AP1152">
        <f t="shared" si="425"/>
        <v>10.5</v>
      </c>
      <c r="AQ1152">
        <f t="shared" si="426"/>
        <v>0</v>
      </c>
      <c r="AR1152">
        <f t="shared" si="427"/>
        <v>6.2299999999999995</v>
      </c>
      <c r="AS1152">
        <f t="shared" si="428"/>
        <v>3.3300000000000005</v>
      </c>
      <c r="AT1152" t="str">
        <f t="shared" si="429"/>
        <v>VENTAS</v>
      </c>
      <c r="AU1152">
        <f t="shared" si="430"/>
        <v>45.403798492706905</v>
      </c>
      <c r="AV1152" t="str">
        <f t="shared" si="431"/>
        <v>Mayor retorno probable: VENTAS (+45,4 puntos finales potenciales).</v>
      </c>
    </row>
    <row r="1153" spans="1:48" x14ac:dyDescent="0.3">
      <c r="A1153" s="5">
        <v>51043430</v>
      </c>
      <c r="B1153" s="5" t="str">
        <f>IFERROR(VLOOKUP(A1153,VENTAS!$A$2:$B$1194,2,0),"")</f>
        <v/>
      </c>
      <c r="C1153" s="5">
        <f>IFERROR(INDEX(VENTAS!$C$2:$E$1194,MATCH(A1153,VENTAS!$A$2:$A$1194,0),MATCH(PARAMS_MODELO!$B$2,{"Q1","Q2","Q3"},0)),0)</f>
        <v>36585567.549999997</v>
      </c>
      <c r="D1153" s="5">
        <f>IFERROR(INDEX(VENTAS!$F$2:$H$1194,MATCH(A1153,VENTAS!$A$2:$A$1194,0),MATCH(PARAMS_MODELO!$B$2,{"Q1","Q2","Q3"},0)),0)</f>
        <v>0</v>
      </c>
      <c r="E1153" s="8">
        <f t="shared" si="408"/>
        <v>-1</v>
      </c>
      <c r="F1153" s="12">
        <f>IF(E1153&lt;=PARAMS_MODELO!$B$15,0,IF(E1153&gt;=PARAMS_MODELO!$B$17,100,100*MIN(1,(E1153-PARAMS_MODELO!$B$15)/(PARAMS_MODELO!$B$16-PARAMS_MODELO!$B$15))))*PARAMS_MODELO!$B$7</f>
        <v>0</v>
      </c>
      <c r="G1153" s="5">
        <f t="shared" si="409"/>
        <v>0</v>
      </c>
      <c r="H1153" s="5">
        <f>(PARAMS_MODELO!$B$20*(MAX(0,MIN(3,E1153))/3)+PARAMS_MODELO!$B$21*(IFERROR(LN(1+MAX(0,G1153))/LN(1+MAX(0,MAX($G$2:$G$1194))),0)))*100*PARAMS_MODELO!$B$8</f>
        <v>0</v>
      </c>
      <c r="I1153" s="8">
        <f>E1153-PARAMS_MODELO!$B$5</f>
        <v>-1.1775628353755265</v>
      </c>
      <c r="J1153" s="5">
        <f>IF(I1153&lt;=PARAMS_MODELO!$B$18,0,IF(I1153&gt;=PARAMS_MODELO!$B$19,100,100*(I1153-PARAMS_MODELO!$B$18)/(PARAMS_MODELO!$B$19-PARAMS_MODELO!$B$18)))*PARAMS_MODELO!$B$9</f>
        <v>0</v>
      </c>
      <c r="K1153" s="5">
        <f>IFERROR(CHOOSE(MATCH(PARAMS_MODELO!$B$2,{"Q1","Q2","Q3"},0),LOTO!$D1153,LOTO!$F1153,LOTO!$H1153),0)</f>
        <v>0</v>
      </c>
      <c r="L1153" s="8">
        <f t="shared" si="410"/>
        <v>0</v>
      </c>
      <c r="M1153" s="5">
        <f>MIN(100,IF(PARAMS_MODELO!$B$23=0,0,100*L1153/PARAMS_MODELO!$B$23))*PARAMS_MODELO!$B$10</f>
        <v>0</v>
      </c>
      <c r="N1153" s="5">
        <f>IFERROR(VLOOKUP(A1153,COMPLIANCE!$A$2:$F$1996,6,0),100)</f>
        <v>99.7</v>
      </c>
      <c r="O1153" s="5">
        <f>N1153*PARAMS_MODELO!$B$11</f>
        <v>9.9700000000000006</v>
      </c>
      <c r="P1153" s="5">
        <f>IFERROR(VLOOKUP(A1153,DIGITAL!$A$2:$J$2000,7,0),100)</f>
        <v>37</v>
      </c>
      <c r="Q1153" s="5">
        <f>IFERROR(P1153,0)*PARAMS_MODELO!$B$12</f>
        <v>3.7</v>
      </c>
      <c r="R1153">
        <f t="shared" si="411"/>
        <v>13.670000000000002</v>
      </c>
      <c r="S1153" s="5" t="str">
        <f>IFERROR(VLOOKUP(A1153,CLIENTE!$A$2:$N$2000,13,0),1)</f>
        <v>Malo</v>
      </c>
      <c r="T1153" s="5">
        <f>IFERROR(VLOOKUP(A1153,CLIENTE!$A$2:$N$2000,14,0),1)</f>
        <v>0.7</v>
      </c>
      <c r="U1153" s="5">
        <f t="shared" si="412"/>
        <v>9.5690000000000008</v>
      </c>
      <c r="V1153" s="5" t="str">
        <f>IF(U1153&gt;=MAX(_xlfn.PERCENTILE.INC($U$2:$U$1194,PARAMS_MODELO!$B$50),PARAMS_MODELO!$B$45),"DIAMANTE",IF(U1153&gt;=MAX(_xlfn.PERCENTILE.INC($U$2:$U$1194,PARAMS_MODELO!$B$51),PARAMS_MODELO!$B$46),"PLATINO",IF(U1153&gt;=MAX(_xlfn.PERCENTILE.INC($U$2:$U$1194,PARAMS_MODELO!$B$52),PARAMS_MODELO!$B$47),"ORO",IF(U1153&gt;=MAX(_xlfn.PERCENTILE.INC($U$2:$U$1194,PARAMS_MODELO!$B$53),PARAMS_MODELO!$B$48),"PLATA",IF(U1153&gt;=1,"BRONCE","CERRADO")))))</f>
        <v>BRONCE</v>
      </c>
      <c r="W1153" s="5" t="str" cm="1">
        <f t="array" ref="W1153">_xlfn.XLOOKUP(1, (HIST_SCORE!$B:$B=PARAMS_MODELO!$B$4) * (HIST_SCORE!$C:$C=A1153), HIST_SCORE!$E:$E, "No encontrado")</f>
        <v>BRONCE</v>
      </c>
      <c r="X1153" s="5" t="str">
        <f>_xlfn.LET(_xlpm.act,MATCH(V1153,{"DIAMANTE";"PLATINO";"ORO";"PLATA";"BRONCE";"CERRADO"},0),_xlpm.ant,MATCH(W1153,{"DIAMANTE";"PLATINO";"ORO";"PLATA";"BRONCE";"CERRADO"},0),IF(_xlpm.act&lt;_xlpm.ant,"Mejora ↑",IF(_xlpm.act&gt;_xlpm.ant,"Baja ↓","Estable →")))</f>
        <v>Estable →</v>
      </c>
      <c r="Y1153" s="5">
        <f>IFERROR(U1153-SUMIFS(HIST_SCORE!$D:$D,HIST_SCORE!$B:$B,PARAMS_MODELO!$B$4,HIST_SCORE!$C:$C,$A1153),"")</f>
        <v>0</v>
      </c>
      <c r="Z1153" s="5" t="str">
        <f t="shared" si="413"/>
        <v>→ Estable</v>
      </c>
      <c r="AA1153" s="5">
        <f t="shared" si="414"/>
        <v>1173</v>
      </c>
      <c r="AB1153" s="5">
        <f>IFERROR(SUMIFS(HIST_SCORE!$F:$F,HIST_SCORE!$B:$B,PARAMS_MODELO!$B$4,HIST_SCORE!$C:$C,$A1153),"")</f>
        <v>1173</v>
      </c>
      <c r="AC1153" s="5">
        <f t="shared" si="415"/>
        <v>0</v>
      </c>
      <c r="AD1153" t="str">
        <f t="shared" si="417"/>
        <v/>
      </c>
      <c r="AE11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1153="CERRADO",1,IF(V1153="BRONCE",_xlpm.cPl,IF(V1153="PLATA",_xlpm.cO,IF(V1153="ORO",_xlpm.cP,IF(V1153="PLATINO",_xlpm.cD,999))))))</f>
        <v>24.506573482968111</v>
      </c>
      <c r="AF115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1153="CERRADO",0,IF(V1153="BRONCE",1,IF(V1153="PLATA",_xlpm.cPl,IF(V1153="ORO",_xlpm.cO,IF(V1153="PLATINO",_xlpm.cP,_xlpm.cD))))))</f>
        <v>1</v>
      </c>
      <c r="AG1153">
        <f t="shared" si="418"/>
        <v>21.339390689954442</v>
      </c>
      <c r="AH1153" t="str">
        <f t="shared" si="419"/>
        <v>VENTAS</v>
      </c>
      <c r="AI1153" t="str">
        <f t="shared" si="416"/>
        <v>🎯 Para subir de categoría, eje VENTAS / CRECIMIENTO PERSONAL (F). Acción: metas semanales + activación comercial + seguimiento del asesor. ΔR aprox: 21,3</v>
      </c>
      <c r="AJ1153" s="26">
        <f>_xlfn.LET(_xlpm.piso,AF1153,_xlpm.corte,AE1153,_xlpm.prog,IF(_xlpm.corte&lt;=_xlpm.piso,0,MAX(0,MIN(1,(U1153-_xlpm.piso)/(_xlpm.corte-_xlpm.piso)))),_xlpm.orden,{"DIAMANTE";"PLATINO";"ORO";"PLATA";"BRONCE";"CERRADO"},_xlpm.act,IFERROR(MATCH(V1153,_xlpm.orden,0),6),_xlpm.ant,IFERROR(MATCH(W1153,_xlpm.orden,0),6),_xlpm.ajmov,IF(_xlpm.act&lt;_xlpm.ant,0.08,IF(_xlpm.act&gt;_xlpm.ant,-0.08,0)),_xlpm.ajcli,IF(T1153&lt;0.95,-0.06,0),_xlpm.prob,MAX(0,MIN(1,_xlpm.prog+_xlpm.ajmov+_xlpm.ajcli)),IF(OR(V1153="DIAMANTE",V1153="CERRADO"),0,ROUND(_xlpm.prob,2)))</f>
        <v>0.3</v>
      </c>
      <c r="AK1153" t="str">
        <f t="shared" si="420"/>
        <v>Faltan 21,3 puntos base para subir a la siguiente categoría</v>
      </c>
      <c r="AL1153" t="str">
        <f t="shared" si="421"/>
        <v>No aplica</v>
      </c>
      <c r="AM1153">
        <f t="shared" si="422"/>
        <v>0.88</v>
      </c>
      <c r="AN1153" t="str">
        <f t="shared" si="423"/>
        <v>PRIORIDAD ALTA – requiere intervención inmediata</v>
      </c>
      <c r="AO1153">
        <f t="shared" si="424"/>
        <v>45.403798492706905</v>
      </c>
      <c r="AP1153">
        <f t="shared" si="425"/>
        <v>10.5</v>
      </c>
      <c r="AQ1153">
        <f t="shared" si="426"/>
        <v>2.099999999999955E-2</v>
      </c>
      <c r="AR1153">
        <f t="shared" si="427"/>
        <v>4.4099999999999993</v>
      </c>
      <c r="AS1153">
        <f t="shared" si="428"/>
        <v>4.1010000000000009</v>
      </c>
      <c r="AT1153" t="str">
        <f t="shared" si="429"/>
        <v>VENTAS</v>
      </c>
      <c r="AU1153">
        <f t="shared" si="430"/>
        <v>45.403798492706905</v>
      </c>
      <c r="AV1153" t="str">
        <f t="shared" si="431"/>
        <v>Mayor retorno probable: VENTAS (+45,4 puntos finales potenciales).</v>
      </c>
    </row>
    <row r="1154" spans="1:48" x14ac:dyDescent="0.3">
      <c r="A1154" s="5">
        <v>51043481</v>
      </c>
      <c r="B1154" s="5" t="str">
        <f>IFERROR(VLOOKUP(A1154,VENTAS!$A$2:$B$1194,2,0),"")</f>
        <v/>
      </c>
      <c r="C1154" s="5">
        <f>IFERROR(INDEX(VENTAS!$C$2:$E$1194,MATCH(A1154,VENTAS!$A$2:$A$1194,0),MATCH(PARAMS_MODELO!$B$2,{"Q1","Q2","Q3"},0)),0)</f>
        <v>17450970.899999999</v>
      </c>
      <c r="D1154" s="5">
        <f>IFERROR(INDEX(VENTAS!$F$2:$H$1194,MATCH(A1154,VENTAS!$A$2:$A$1194,0),MATCH(PARAMS_MODELO!$B$2,{"Q1","Q2","Q3"},0)),0)</f>
        <v>0</v>
      </c>
      <c r="E1154" s="8">
        <f t="shared" ref="E1154:E1194" si="432">IFERROR(D1154/C1154-1,0)</f>
        <v>-1</v>
      </c>
      <c r="F1154" s="12">
        <f>IF(E1154&lt;=PARAMS_MODELO!$B$15,0,IF(E1154&gt;=PARAMS_MODELO!$B$17,100,100*MIN(1,(E1154-PARAMS_MODELO!$B$15)/(PARAMS_MODELO!$B$16-PARAMS_MODELO!$B$15))))*PARAMS_MODELO!$B$7</f>
        <v>0</v>
      </c>
      <c r="G1154" s="5">
        <f t="shared" ref="G1154:G1194" si="433">MAX(0,D1154-C1154)</f>
        <v>0</v>
      </c>
      <c r="H1154" s="5">
        <f>(PARAMS_MODELO!$B$20*(MAX(0,MIN(3,E1154))/3)+PARAMS_MODELO!$B$21*(IFERROR(LN(1+MAX(0,G1154))/LN(1+MAX(0,MAX($G$2:$G$1194))),0)))*100*PARAMS_MODELO!$B$8</f>
        <v>0</v>
      </c>
      <c r="I1154" s="8">
        <f>E1154-PARAMS_MODELO!$B$5</f>
        <v>-1.1775628353755265</v>
      </c>
      <c r="J1154" s="5">
        <f>IF(I1154&lt;=PARAMS_MODELO!$B$18,0,IF(I1154&gt;=PARAMS_MODELO!$B$19,100,100*(I1154-PARAMS_MODELO!$B$18)/(PARAMS_MODELO!$B$19-PARAMS_MODELO!$B$18)))*PARAMS_MODELO!$B$9</f>
        <v>0</v>
      </c>
      <c r="K1154" s="5">
        <f>IFERROR(CHOOSE(MATCH(PARAMS_MODELO!$B$2,{"Q1","Q2","Q3"},0),LOTO!$D1154,LOTO!$F1154,LOTO!$H1154),0)</f>
        <v>0</v>
      </c>
      <c r="L1154" s="8">
        <f t="shared" ref="L1154:L1194" si="434">IFERROR(K1154/D1154,0)</f>
        <v>0</v>
      </c>
      <c r="M1154" s="5">
        <f>MIN(100,IF(PARAMS_MODELO!$B$23=0,0,100*L1154/PARAMS_MODELO!$B$23))*PARAMS_MODELO!$B$10</f>
        <v>0</v>
      </c>
      <c r="N1154" s="5">
        <f>IFERROR(VLOOKUP(A1154,COMPLIANCE!$A$2:$F$1996,6,0),100)</f>
        <v>99.98</v>
      </c>
      <c r="O1154" s="5">
        <f>N1154*PARAMS_MODELO!$B$11</f>
        <v>9.9980000000000011</v>
      </c>
      <c r="P1154" s="5">
        <f>IFERROR(VLOOKUP(A1154,DIGITAL!$A$2:$J$2000,7,0),100)</f>
        <v>95</v>
      </c>
      <c r="Q1154" s="5">
        <f>IFERROR(P1154,0)*PARAMS_MODELO!$B$12</f>
        <v>9.5</v>
      </c>
      <c r="R1154">
        <f t="shared" ref="R1154:R1194" si="435">MIN(100,MAX(0,F1154+H1154+J1154+M1154+O1154+Q1154))</f>
        <v>19.498000000000001</v>
      </c>
      <c r="S1154" s="5" t="str">
        <f>IFERROR(VLOOKUP(A1154,CLIENTE!$A$2:$N$2000,13,0),1)</f>
        <v>Regular</v>
      </c>
      <c r="T1154" s="5">
        <f>IFERROR(VLOOKUP(A1154,CLIENTE!$A$2:$N$2000,14,0),1)</f>
        <v>1</v>
      </c>
      <c r="U1154" s="5">
        <f t="shared" ref="U1154:U1194" si="436">MIN(100,MAX(0,R1154*T1154))</f>
        <v>19.498000000000001</v>
      </c>
      <c r="V1154" s="5" t="str">
        <f>IF(U1154&gt;=MAX(_xlfn.PERCENTILE.INC($U$2:$U$1194,PARAMS_MODELO!$B$50),PARAMS_MODELO!$B$45),"DIAMANTE",IF(U1154&gt;=MAX(_xlfn.PERCENTILE.INC($U$2:$U$1194,PARAMS_MODELO!$B$51),PARAMS_MODELO!$B$46),"PLATINO",IF(U1154&gt;=MAX(_xlfn.PERCENTILE.INC($U$2:$U$1194,PARAMS_MODELO!$B$52),PARAMS_MODELO!$B$47),"ORO",IF(U1154&gt;=MAX(_xlfn.PERCENTILE.INC($U$2:$U$1194,PARAMS_MODELO!$B$53),PARAMS_MODELO!$B$48),"PLATA",IF(U1154&gt;=1,"BRONCE","CERRADO")))))</f>
        <v>BRONCE</v>
      </c>
      <c r="W1154" s="5" t="str" cm="1">
        <f t="array" ref="W1154">_xlfn.XLOOKUP(1, (HIST_SCORE!$B:$B=PARAMS_MODELO!$B$4) * (HIST_SCORE!$C:$C=A1154), HIST_SCORE!$E:$E, "No encontrado")</f>
        <v>BRONCE</v>
      </c>
      <c r="X1154" s="5" t="str">
        <f>_xlfn.LET(_xlpm.act,MATCH(V1154,{"DIAMANTE";"PLATINO";"ORO";"PLATA";"BRONCE";"CERRADO"},0),_xlpm.ant,MATCH(W1154,{"DIAMANTE";"PLATINO";"ORO";"PLATA";"BRONCE";"CERRADO"},0),IF(_xlpm.act&lt;_xlpm.ant,"Mejora ↑",IF(_xlpm.act&gt;_xlpm.ant,"Baja ↓","Estable →")))</f>
        <v>Estable →</v>
      </c>
      <c r="Y1154" s="5">
        <f>IFERROR(U1154-SUMIFS(HIST_SCORE!$D:$D,HIST_SCORE!$B:$B,PARAMS_MODELO!$B$4,HIST_SCORE!$C:$C,$A1154),"")</f>
        <v>0</v>
      </c>
      <c r="Z1154" s="5" t="str">
        <f t="shared" ref="Z1154:Z1194" si="437">IF(Y1154="","",IF(Y1154&gt;=5,"↑ Mejora",IF(Y1154&lt;=-5,"↓ Baja","→ Estable")))</f>
        <v>→ Estable</v>
      </c>
      <c r="AA1154" s="5">
        <f t="shared" ref="AA1154:AA1194" si="438">IFERROR(_xlfn.RANK.EQ(U1154,$U$2:$U$1194,0),"")</f>
        <v>988</v>
      </c>
      <c r="AB1154" s="5">
        <f>IFERROR(SUMIFS(HIST_SCORE!$F:$F,HIST_SCORE!$B:$B,PARAMS_MODELO!$B$4,HIST_SCORE!$C:$C,$A1154),"")</f>
        <v>995</v>
      </c>
      <c r="AC1154" s="5">
        <f t="shared" ref="AC1154:AC1194" si="439">IF(OR(AA1154="",AB1154=""),"",AB1154-AA1154)</f>
        <v>7</v>
      </c>
      <c r="AD1154" t="str">
        <f t="shared" si="417"/>
        <v/>
      </c>
      <c r="AE11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1154="CERRADO",1,IF(V1154="BRONCE",_xlpm.cPl,IF(V1154="PLATA",_xlpm.cO,IF(V1154="ORO",_xlpm.cP,IF(V1154="PLATINO",_xlpm.cD,999))))))</f>
        <v>24.506573482968111</v>
      </c>
      <c r="AF115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1154="CERRADO",0,IF(V1154="BRONCE",1,IF(V1154="PLATA",_xlpm.cPl,IF(V1154="ORO",_xlpm.cO,IF(V1154="PLATINO",_xlpm.cP,_xlpm.cD))))))</f>
        <v>1</v>
      </c>
      <c r="AG1154">
        <f t="shared" si="418"/>
        <v>5.0085734829681101</v>
      </c>
      <c r="AH1154" t="str">
        <f t="shared" si="419"/>
        <v>VENTAS</v>
      </c>
      <c r="AI1154" t="str">
        <f t="shared" ref="AI1154:AI1194" si="440">_xlfn.LET(_xlpm.pal,AH1154,_xlpm.deltaR,AG1154,_xlpm.minVent,MIN(F1154,H1154,J1154),_xlpm.subV,IF(_xlpm.minVent=F1154,"CRECIMIENTO PERSONAL (F)",IF(_xlpm.minVent=H1154,"IMPACTO ABSOLUTO (H)","DIFERENCIAL vs LOTBA (J)")),
IF(_xlpm.pal="DIAMANTE","🏆 DIAMANTE: sostener estándares y prevenir caída (cliente/compliance).",IF(_xlpm.pal="CERRADO","⛔ CERRADO: sin acción comercial. Solo seguimiento administrativo/territorial.",IF(_xlpm.pal="SOSTENER","✅ Mantener desempeño y monitorear variaciones para sostener categoría.",IF(_xlpm.pal="CLIENTE","🎯 Para subir de categoría, la eje con mayor impacto probable es CLIENTE (coef T). Acción: reducir quejas, mejorar incógnito y empujar reseñas. ΔR aprox: "&amp;TEXT(_xlpm.deltaR,"0,0"),IF(_xlpm.pal="VENTAS","🎯 Para subir de categoría, eje VENTAS / "&amp;_xlpm.subV&amp;". Acción: metas semanales + activación comercial + seguimiento del asesor. ΔR aprox: "&amp;TEXT(_xlpm.deltaR,"0,0"),IF(_xlpm.pal="LOTO","🎯 Para subir de categoría, eje LOTO (M). Acción: guión de venta + exhibición + seguimiento semanal de conversión. ΔR aprox: "&amp;TEXT(_xlpm.deltaR,"0,0"),IF(_xlpm.pal="COMPLIANCE","🎯 Para subir de categoría, eje COMPLIANCE (O). Acción: checklist semanal + corrección de hallazgos críticos + validación. ΔR aprox: "&amp;TEXT(_xlpm.deltaR,"0,0"),"🎯 Para subir de categoría, eje DIGITAL (Q). Acción: aumentar adopción digital en mostrador + seguimiento semanal. ΔR aprox: "&amp;TEXT(_xlpm.deltaR,"0,0")))))))))</f>
        <v>🎯 Para subir de categoría, eje VENTAS / CRECIMIENTO PERSONAL (F). Acción: metas semanales + activación comercial + seguimiento del asesor. ΔR aprox: 5,0</v>
      </c>
      <c r="AJ1154" s="26">
        <f>_xlfn.LET(_xlpm.piso,AF1154,_xlpm.corte,AE1154,_xlpm.prog,IF(_xlpm.corte&lt;=_xlpm.piso,0,MAX(0,MIN(1,(U1154-_xlpm.piso)/(_xlpm.corte-_xlpm.piso)))),_xlpm.orden,{"DIAMANTE";"PLATINO";"ORO";"PLATA";"BRONCE";"CERRADO"},_xlpm.act,IFERROR(MATCH(V1154,_xlpm.orden,0),6),_xlpm.ant,IFERROR(MATCH(W1154,_xlpm.orden,0),6),_xlpm.ajmov,IF(_xlpm.act&lt;_xlpm.ant,0.08,IF(_xlpm.act&gt;_xlpm.ant,-0.08,0)),_xlpm.ajcli,IF(T1154&lt;0.95,-0.06,0),_xlpm.prob,MAX(0,MIN(1,_xlpm.prog+_xlpm.ajmov+_xlpm.ajcli)),IF(OR(V1154="DIAMANTE",V1154="CERRADO"),0,ROUND(_xlpm.prob,2)))</f>
        <v>0.79</v>
      </c>
      <c r="AK1154" t="str">
        <f t="shared" si="420"/>
        <v>Faltan 5,0 puntos base para subir a la siguiente categoría</v>
      </c>
      <c r="AL1154" t="str">
        <f t="shared" si="421"/>
        <v>No aplica</v>
      </c>
      <c r="AM1154">
        <f t="shared" si="422"/>
        <v>0.28000000000000003</v>
      </c>
      <c r="AN1154" t="str">
        <f t="shared" si="423"/>
        <v>PRIORIDAD BAJA – control normal</v>
      </c>
      <c r="AO1154">
        <f t="shared" si="424"/>
        <v>64.862569275295584</v>
      </c>
      <c r="AP1154">
        <f t="shared" si="425"/>
        <v>15</v>
      </c>
      <c r="AQ1154">
        <f t="shared" si="426"/>
        <v>1.9999999999988916E-3</v>
      </c>
      <c r="AR1154">
        <f t="shared" si="427"/>
        <v>0.5</v>
      </c>
      <c r="AS1154">
        <f t="shared" si="428"/>
        <v>0</v>
      </c>
      <c r="AT1154" t="str">
        <f t="shared" si="429"/>
        <v>VENTAS</v>
      </c>
      <c r="AU1154">
        <f t="shared" si="430"/>
        <v>64.862569275295584</v>
      </c>
      <c r="AV1154" t="str">
        <f t="shared" si="431"/>
        <v>Mayor retorno probable: VENTAS (+64,9 puntos finales potenciales).</v>
      </c>
    </row>
    <row r="1155" spans="1:48" x14ac:dyDescent="0.3">
      <c r="A1155" s="5">
        <v>51043685</v>
      </c>
      <c r="B1155" s="5" t="str">
        <f>IFERROR(VLOOKUP(A1155,VENTAS!$A$2:$B$1194,2,0),"")</f>
        <v/>
      </c>
      <c r="C1155" s="5">
        <f>IFERROR(INDEX(VENTAS!$C$2:$E$1194,MATCH(A1155,VENTAS!$A$2:$A$1194,0),MATCH(PARAMS_MODELO!$B$2,{"Q1","Q2","Q3"},0)),0)</f>
        <v>18150739.77</v>
      </c>
      <c r="D1155" s="5">
        <f>IFERROR(INDEX(VENTAS!$F$2:$H$1194,MATCH(A1155,VENTAS!$A$2:$A$1194,0),MATCH(PARAMS_MODELO!$B$2,{"Q1","Q2","Q3"},0)),0)</f>
        <v>0</v>
      </c>
      <c r="E1155" s="8">
        <f t="shared" si="432"/>
        <v>-1</v>
      </c>
      <c r="F1155" s="12">
        <f>IF(E1155&lt;=PARAMS_MODELO!$B$15,0,IF(E1155&gt;=PARAMS_MODELO!$B$17,100,100*MIN(1,(E1155-PARAMS_MODELO!$B$15)/(PARAMS_MODELO!$B$16-PARAMS_MODELO!$B$15))))*PARAMS_MODELO!$B$7</f>
        <v>0</v>
      </c>
      <c r="G1155" s="5">
        <f t="shared" si="433"/>
        <v>0</v>
      </c>
      <c r="H1155" s="5">
        <f>(PARAMS_MODELO!$B$20*(MAX(0,MIN(3,E1155))/3)+PARAMS_MODELO!$B$21*(IFERROR(LN(1+MAX(0,G1155))/LN(1+MAX(0,MAX($G$2:$G$1194))),0)))*100*PARAMS_MODELO!$B$8</f>
        <v>0</v>
      </c>
      <c r="I1155" s="8">
        <f>E1155-PARAMS_MODELO!$B$5</f>
        <v>-1.1775628353755265</v>
      </c>
      <c r="J1155" s="5">
        <f>IF(I1155&lt;=PARAMS_MODELO!$B$18,0,IF(I1155&gt;=PARAMS_MODELO!$B$19,100,100*(I1155-PARAMS_MODELO!$B$18)/(PARAMS_MODELO!$B$19-PARAMS_MODELO!$B$18)))*PARAMS_MODELO!$B$9</f>
        <v>0</v>
      </c>
      <c r="K1155" s="5">
        <f>IFERROR(CHOOSE(MATCH(PARAMS_MODELO!$B$2,{"Q1","Q2","Q3"},0),LOTO!$D1155,LOTO!$F1155,LOTO!$H1155),0)</f>
        <v>0</v>
      </c>
      <c r="L1155" s="8">
        <f t="shared" si="434"/>
        <v>0</v>
      </c>
      <c r="M1155" s="5">
        <f>MIN(100,IF(PARAMS_MODELO!$B$23=0,0,100*L1155/PARAMS_MODELO!$B$23))*PARAMS_MODELO!$B$10</f>
        <v>0</v>
      </c>
      <c r="N1155" s="5">
        <f>IFERROR(VLOOKUP(A1155,COMPLIANCE!$A$2:$F$1996,6,0),100)</f>
        <v>100</v>
      </c>
      <c r="O1155" s="5">
        <f>N1155*PARAMS_MODELO!$B$11</f>
        <v>10</v>
      </c>
      <c r="P1155" s="5">
        <f>IFERROR(VLOOKUP(A1155,DIGITAL!$A$2:$J$2000,7,0),100)</f>
        <v>66</v>
      </c>
      <c r="Q1155" s="5">
        <f>IFERROR(P1155,0)*PARAMS_MODELO!$B$12</f>
        <v>6.6000000000000005</v>
      </c>
      <c r="R1155">
        <f t="shared" si="435"/>
        <v>16.600000000000001</v>
      </c>
      <c r="S1155" s="5" t="str">
        <f>IFERROR(VLOOKUP(A1155,CLIENTE!$A$2:$N$2000,13,0),1)</f>
        <v>Regular</v>
      </c>
      <c r="T1155" s="5">
        <f>IFERROR(VLOOKUP(A1155,CLIENTE!$A$2:$N$2000,14,0),1)</f>
        <v>1</v>
      </c>
      <c r="U1155" s="5">
        <f t="shared" si="436"/>
        <v>16.600000000000001</v>
      </c>
      <c r="V1155" s="5" t="str">
        <f>IF(U1155&gt;=MAX(_xlfn.PERCENTILE.INC($U$2:$U$1194,PARAMS_MODELO!$B$50),PARAMS_MODELO!$B$45),"DIAMANTE",IF(U1155&gt;=MAX(_xlfn.PERCENTILE.INC($U$2:$U$1194,PARAMS_MODELO!$B$51),PARAMS_MODELO!$B$46),"PLATINO",IF(U1155&gt;=MAX(_xlfn.PERCENTILE.INC($U$2:$U$1194,PARAMS_MODELO!$B$52),PARAMS_MODELO!$B$47),"ORO",IF(U1155&gt;=MAX(_xlfn.PERCENTILE.INC($U$2:$U$1194,PARAMS_MODELO!$B$53),PARAMS_MODELO!$B$48),"PLATA",IF(U1155&gt;=1,"BRONCE","CERRADO")))))</f>
        <v>BRONCE</v>
      </c>
      <c r="W1155" s="5" t="str" cm="1">
        <f t="array" ref="W1155">_xlfn.XLOOKUP(1, (HIST_SCORE!$B:$B=PARAMS_MODELO!$B$4) * (HIST_SCORE!$C:$C=A1155), HIST_SCORE!$E:$E, "No encontrado")</f>
        <v>BRONCE</v>
      </c>
      <c r="X1155" s="5" t="str">
        <f>_xlfn.LET(_xlpm.act,MATCH(V1155,{"DIAMANTE";"PLATINO";"ORO";"PLATA";"BRONCE";"CERRADO"},0),_xlpm.ant,MATCH(W1155,{"DIAMANTE";"PLATINO";"ORO";"PLATA";"BRONCE";"CERRADO"},0),IF(_xlpm.act&lt;_xlpm.ant,"Mejora ↑",IF(_xlpm.act&gt;_xlpm.ant,"Baja ↓","Estable →")))</f>
        <v>Estable →</v>
      </c>
      <c r="Y1155" s="5">
        <f>IFERROR(U1155-SUMIFS(HIST_SCORE!$D:$D,HIST_SCORE!$B:$B,PARAMS_MODELO!$B$4,HIST_SCORE!$C:$C,$A1155),"")</f>
        <v>0</v>
      </c>
      <c r="Z1155" s="5" t="str">
        <f t="shared" si="437"/>
        <v>→ Estable</v>
      </c>
      <c r="AA1155" s="5">
        <f t="shared" si="438"/>
        <v>1059</v>
      </c>
      <c r="AB1155" s="5">
        <f>IFERROR(SUMIFS(HIST_SCORE!$F:$F,HIST_SCORE!$B:$B,PARAMS_MODELO!$B$4,HIST_SCORE!$C:$C,$A1155),"")</f>
        <v>1056</v>
      </c>
      <c r="AC1155" s="5">
        <f t="shared" si="439"/>
        <v>-3</v>
      </c>
      <c r="AD1155" t="str">
        <f t="shared" ref="AD1155:AD1194" si="441">IF(V1155="CERRADO","Agencia sin actividad o cerrada",IF(AND(V1155="BRONCE",Y1155=""),"Primer corte: cargá histórico para medir movilidad",IF(AND(V1155="BRONCE",Y1155&lt;0),"Plan de recuperación: foco crecimiento + mix",IF(AND(V1155="ORO",Y1155&lt;0),"Sostener base y reforzar mix",""))))</f>
        <v/>
      </c>
      <c r="AE11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1155="CERRADO",1,IF(V1155="BRONCE",_xlpm.cPl,IF(V1155="PLATA",_xlpm.cO,IF(V1155="ORO",_xlpm.cP,IF(V1155="PLATINO",_xlpm.cD,999))))))</f>
        <v>24.506573482968111</v>
      </c>
      <c r="AF115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1155="CERRADO",0,IF(V1155="BRONCE",1,IF(V1155="PLATA",_xlpm.cPl,IF(V1155="ORO",_xlpm.cO,IF(V1155="PLATINO",_xlpm.cP,_xlpm.cD))))))</f>
        <v>1</v>
      </c>
      <c r="AG1155">
        <f t="shared" ref="AG1155:AG1194" si="442">_xlfn.LET(_xlpm.corteU,AE1155,_xlpm.coef,MAX(0.01,T1155),_xlpm.reqR,_xlpm.corteU/_xlpm.coef,MAX(0,_xlpm.reqR-R1155))</f>
        <v>7.9065734829681098</v>
      </c>
      <c r="AH1155" t="str">
        <f t="shared" ref="AH1155:AH1194" si="443">_xlfn.LET(_xlpm.deltaR,AG1155,_xlpm.ventas,F1155+H1155+J1155,_xlpm.hv,(MAX($F$2:$F$1194)+MAX($H$2:$H$1194)+MAX($J$2:$J$1194))-_xlpm.ventas,_xlpm.hl,MAX($M$2:$M$1194)-M1155,_xlpm.hc,MAX($O$2:$O$1194)-O1155,_xlpm.hd,MAX($Q$2:$Q$1194)-Q1155,_xlpm.impV,MIN(_xlpm.deltaR,MAX(0,_xlpm.hv)),_xlpm.impL,MIN(_xlpm.deltaR,MAX(0,_xlpm.hl)),_xlpm.impC,MIN(_xlpm.deltaR,MAX(0,_xlpm.hc)),_xlpm.impD,MIN(_xlpm.deltaR,MAX(0,_xlpm.hd)),_xlpm.t,T1155,_xlpm.tObj,1,_xlpm.impCli,IF(_xlpm.t&lt;0.95,MIN(_xlpm.deltaR,R1155*(_xlpm.tObj/_xlpm.t-1)),0),_xlpm.mx,MAX(_xlpm.impV,_xlpm.impL,_xlpm.impC,_xlpm.impD,_xlpm.impCli),IF(V1155="DIAMANTE","SOSTENER",IF(V1155="CERRADO","CERRADO",IF(_xlpm.mx=_xlpm.impCli,"CLIENTE",IF(_xlpm.mx=_xlpm.impV,"VENTAS",IF(_xlpm.mx=_xlpm.impL,"LOTO",IF(_xlpm.mx=_xlpm.impC,"COMPLIANCE","DIGITAL")))))))</f>
        <v>VENTAS</v>
      </c>
      <c r="AI1155" t="str">
        <f t="shared" si="440"/>
        <v>🎯 Para subir de categoría, eje VENTAS / CRECIMIENTO PERSONAL (F). Acción: metas semanales + activación comercial + seguimiento del asesor. ΔR aprox: 7,9</v>
      </c>
      <c r="AJ1155" s="26">
        <f>_xlfn.LET(_xlpm.piso,AF1155,_xlpm.corte,AE1155,_xlpm.prog,IF(_xlpm.corte&lt;=_xlpm.piso,0,MAX(0,MIN(1,(U1155-_xlpm.piso)/(_xlpm.corte-_xlpm.piso)))),_xlpm.orden,{"DIAMANTE";"PLATINO";"ORO";"PLATA";"BRONCE";"CERRADO"},_xlpm.act,IFERROR(MATCH(V1155,_xlpm.orden,0),6),_xlpm.ant,IFERROR(MATCH(W1155,_xlpm.orden,0),6),_xlpm.ajmov,IF(_xlpm.act&lt;_xlpm.ant,0.08,IF(_xlpm.act&gt;_xlpm.ant,-0.08,0)),_xlpm.ajcli,IF(T1155&lt;0.95,-0.06,0),_xlpm.prob,MAX(0,MIN(1,_xlpm.prog+_xlpm.ajmov+_xlpm.ajcli)),IF(OR(V1155="DIAMANTE",V1155="CERRADO"),0,ROUND(_xlpm.prob,2)))</f>
        <v>0.66</v>
      </c>
      <c r="AK1155" t="str">
        <f t="shared" ref="AK1155:AK1194" si="444">IF(OR(V1155="DIAMANTE",V1155="CERRADO"),"No aplica","Faltan " &amp; TEXT(AG1155,"0,0") &amp; " puntos base para subir a la siguiente categoría")</f>
        <v>Faltan 7,9 puntos base para subir a la siguiente categoría</v>
      </c>
      <c r="AL1155" t="str">
        <f t="shared" ref="AL1155:AL1194" si="445">_xlfn.LET(_xlpm.piso,AF1155,_xlpm.dist,U1155-_xlpm.piso,IF(OR(V1155="BRONCE",V1155="CERRADO"),"No aplica",IF(_xlpm.dist&lt;=0,"⚠ Riesgo de descenso","Margen de seguridad: " &amp; TEXT(_xlpm.dist,"0,0") &amp; " puntos")))</f>
        <v>No aplica</v>
      </c>
      <c r="AM1155">
        <f t="shared" ref="AM1155:AM1194" si="446">_xlfn.LET(_xlpm.prob,AJ1155,_xlpm.dist,AG1155,_xlpm.coef,T1155,_xlpm.prior,(1-_xlpm.prob)*0.4+MIN(1,_xlpm.dist/10)*0.4+IF(_xlpm.coef&lt;0.95,0.2,0),ROUND(_xlpm.prior,2))</f>
        <v>0.45</v>
      </c>
      <c r="AN1155" t="str">
        <f t="shared" ref="AN1155:AN1194" si="447">IF(AM1155&gt;=0.7,"PRIORIDAD ALTA – requiere intervención inmediata",IF(AM1155&gt;=0.4,"PRIORIDAD MEDIA – seguimiento del asesor","PRIORIDAD BAJA – control normal"))</f>
        <v>PRIORIDAD MEDIA – seguimiento del asesor</v>
      </c>
      <c r="AO1155">
        <f t="shared" ref="AO1155:AO1194" si="448">MAX(0,((MAX($F$2:$F$1194)+MAX($H$2:$H$1194)+MAX($J$2:$J$1194))-(F1155+H1155+J1155))*T1155)</f>
        <v>64.862569275295584</v>
      </c>
      <c r="AP1155">
        <f t="shared" ref="AP1155:AP1194" si="449">MAX(0,(MAX($M$2:$M$1194)-M1155)*T1155)</f>
        <v>15</v>
      </c>
      <c r="AQ1155">
        <f t="shared" ref="AQ1155:AQ1194" si="450">MAX(0,(MAX($O$2:$O$1194)-O1155)*T1155)</f>
        <v>0</v>
      </c>
      <c r="AR1155">
        <f t="shared" ref="AR1155:AR1194" si="451">MAX(0,(MAX($Q$2:$Q$1194)-Q1155)*T1155)</f>
        <v>3.3999999999999995</v>
      </c>
      <c r="AS1155">
        <f t="shared" ref="AS1155:AS1194" si="452">MAX(0,R1155*(1-T1155))</f>
        <v>0</v>
      </c>
      <c r="AT1155" t="str">
        <f t="shared" ref="AT1155:AT1194" si="453">_xlfn.LET(_xlpm.v,AO1155,_xlpm.l,AP1155,_xlpm.c,AQ1155,_xlpm.d,AR1155,_xlpm.cli,AS1155,_xlpm.mx,MAX(_xlpm.v,_xlpm.l,_xlpm.c,_xlpm.d,_xlpm.cli),IF(_xlpm.mx=_xlpm.cli,"CLIENTE",IF(_xlpm.mx=_xlpm.v,"VENTAS",IF(_xlpm.mx=_xlpm.l,"LOTO",IF(_xlpm.mx=_xlpm.c,"COMPLIANCE","DIGITAL")))))</f>
        <v>VENTAS</v>
      </c>
      <c r="AU1155">
        <f t="shared" ref="AU1155:AU1194" si="454">MAX(AO1155,AP1155,AQ1155,AR1155,AS1155)</f>
        <v>64.862569275295584</v>
      </c>
      <c r="AV1155" t="str">
        <f t="shared" ref="AV1155:AV1194" si="455">IF(V1155="CERRADO","⛔ Sin impacto comercial estimable por estado CERRADO.","Mayor retorno probable: " &amp; AT1155 &amp; " (+" &amp; TEXT(AU1155,"0,0") &amp; " puntos finales potenciales).")</f>
        <v>Mayor retorno probable: VENTAS (+64,9 puntos finales potenciales).</v>
      </c>
    </row>
    <row r="1156" spans="1:48" x14ac:dyDescent="0.3">
      <c r="A1156" s="5">
        <v>51044185</v>
      </c>
      <c r="B1156" s="5" t="str">
        <f>IFERROR(VLOOKUP(A1156,VENTAS!$A$2:$B$1194,2,0),"")</f>
        <v/>
      </c>
      <c r="C1156" s="5">
        <f>IFERROR(INDEX(VENTAS!$C$2:$E$1194,MATCH(A1156,VENTAS!$A$2:$A$1194,0),MATCH(PARAMS_MODELO!$B$2,{"Q1","Q2","Q3"},0)),0)</f>
        <v>62944860.299999997</v>
      </c>
      <c r="D1156" s="5">
        <f>IFERROR(INDEX(VENTAS!$F$2:$H$1194,MATCH(A1156,VENTAS!$A$2:$A$1194,0),MATCH(PARAMS_MODELO!$B$2,{"Q1","Q2","Q3"},0)),0)</f>
        <v>0</v>
      </c>
      <c r="E1156" s="8">
        <f t="shared" si="432"/>
        <v>-1</v>
      </c>
      <c r="F1156" s="12">
        <f>IF(E1156&lt;=PARAMS_MODELO!$B$15,0,IF(E1156&gt;=PARAMS_MODELO!$B$17,100,100*MIN(1,(E1156-PARAMS_MODELO!$B$15)/(PARAMS_MODELO!$B$16-PARAMS_MODELO!$B$15))))*PARAMS_MODELO!$B$7</f>
        <v>0</v>
      </c>
      <c r="G1156" s="5">
        <f t="shared" si="433"/>
        <v>0</v>
      </c>
      <c r="H1156" s="5">
        <f>(PARAMS_MODELO!$B$20*(MAX(0,MIN(3,E1156))/3)+PARAMS_MODELO!$B$21*(IFERROR(LN(1+MAX(0,G1156))/LN(1+MAX(0,MAX($G$2:$G$1194))),0)))*100*PARAMS_MODELO!$B$8</f>
        <v>0</v>
      </c>
      <c r="I1156" s="8">
        <f>E1156-PARAMS_MODELO!$B$5</f>
        <v>-1.1775628353755265</v>
      </c>
      <c r="J1156" s="5">
        <f>IF(I1156&lt;=PARAMS_MODELO!$B$18,0,IF(I1156&gt;=PARAMS_MODELO!$B$19,100,100*(I1156-PARAMS_MODELO!$B$18)/(PARAMS_MODELO!$B$19-PARAMS_MODELO!$B$18)))*PARAMS_MODELO!$B$9</f>
        <v>0</v>
      </c>
      <c r="K1156" s="5">
        <f>IFERROR(CHOOSE(MATCH(PARAMS_MODELO!$B$2,{"Q1","Q2","Q3"},0),LOTO!$D1156,LOTO!$F1156,LOTO!$H1156),0)</f>
        <v>0</v>
      </c>
      <c r="L1156" s="8">
        <f t="shared" si="434"/>
        <v>0</v>
      </c>
      <c r="M1156" s="5">
        <f>MIN(100,IF(PARAMS_MODELO!$B$23=0,0,100*L1156/PARAMS_MODELO!$B$23))*PARAMS_MODELO!$B$10</f>
        <v>0</v>
      </c>
      <c r="N1156" s="5">
        <f>IFERROR(VLOOKUP(A1156,COMPLIANCE!$A$2:$F$1996,6,0),100)</f>
        <v>100</v>
      </c>
      <c r="O1156" s="5">
        <f>N1156*PARAMS_MODELO!$B$11</f>
        <v>10</v>
      </c>
      <c r="P1156" s="5">
        <f>IFERROR(VLOOKUP(A1156,DIGITAL!$A$2:$J$2000,7,0),100)</f>
        <v>56</v>
      </c>
      <c r="Q1156" s="5">
        <f>IFERROR(P1156,0)*PARAMS_MODELO!$B$12</f>
        <v>5.6000000000000005</v>
      </c>
      <c r="R1156">
        <f t="shared" si="435"/>
        <v>15.600000000000001</v>
      </c>
      <c r="S1156" s="5" t="str">
        <f>IFERROR(VLOOKUP(A1156,CLIENTE!$A$2:$N$2000,13,0),1)</f>
        <v>Regular</v>
      </c>
      <c r="T1156" s="5">
        <f>IFERROR(VLOOKUP(A1156,CLIENTE!$A$2:$N$2000,14,0),1)</f>
        <v>1</v>
      </c>
      <c r="U1156" s="5">
        <f t="shared" si="436"/>
        <v>15.600000000000001</v>
      </c>
      <c r="V1156" s="5" t="str">
        <f>IF(U1156&gt;=MAX(_xlfn.PERCENTILE.INC($U$2:$U$1194,PARAMS_MODELO!$B$50),PARAMS_MODELO!$B$45),"DIAMANTE",IF(U1156&gt;=MAX(_xlfn.PERCENTILE.INC($U$2:$U$1194,PARAMS_MODELO!$B$51),PARAMS_MODELO!$B$46),"PLATINO",IF(U1156&gt;=MAX(_xlfn.PERCENTILE.INC($U$2:$U$1194,PARAMS_MODELO!$B$52),PARAMS_MODELO!$B$47),"ORO",IF(U1156&gt;=MAX(_xlfn.PERCENTILE.INC($U$2:$U$1194,PARAMS_MODELO!$B$53),PARAMS_MODELO!$B$48),"PLATA",IF(U1156&gt;=1,"BRONCE","CERRADO")))))</f>
        <v>BRONCE</v>
      </c>
      <c r="W1156" s="5" t="str" cm="1">
        <f t="array" ref="W1156">_xlfn.XLOOKUP(1, (HIST_SCORE!$B:$B=PARAMS_MODELO!$B$4) * (HIST_SCORE!$C:$C=A1156), HIST_SCORE!$E:$E, "No encontrado")</f>
        <v>BRONCE</v>
      </c>
      <c r="X1156" s="5" t="str">
        <f>_xlfn.LET(_xlpm.act,MATCH(V1156,{"DIAMANTE";"PLATINO";"ORO";"PLATA";"BRONCE";"CERRADO"},0),_xlpm.ant,MATCH(W1156,{"DIAMANTE";"PLATINO";"ORO";"PLATA";"BRONCE";"CERRADO"},0),IF(_xlpm.act&lt;_xlpm.ant,"Mejora ↑",IF(_xlpm.act&gt;_xlpm.ant,"Baja ↓","Estable →")))</f>
        <v>Estable →</v>
      </c>
      <c r="Y1156" s="5">
        <f>IFERROR(U1156-SUMIFS(HIST_SCORE!$D:$D,HIST_SCORE!$B:$B,PARAMS_MODELO!$B$4,HIST_SCORE!$C:$C,$A1156),"")</f>
        <v>0</v>
      </c>
      <c r="Z1156" s="5" t="str">
        <f t="shared" si="437"/>
        <v>→ Estable</v>
      </c>
      <c r="AA1156" s="5">
        <f t="shared" si="438"/>
        <v>1073</v>
      </c>
      <c r="AB1156" s="5">
        <f>IFERROR(SUMIFS(HIST_SCORE!$F:$F,HIST_SCORE!$B:$B,PARAMS_MODELO!$B$4,HIST_SCORE!$C:$C,$A1156),"")</f>
        <v>1069</v>
      </c>
      <c r="AC1156" s="5">
        <f t="shared" si="439"/>
        <v>-4</v>
      </c>
      <c r="AD1156" t="str">
        <f t="shared" si="441"/>
        <v/>
      </c>
      <c r="AE11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1156="CERRADO",1,IF(V1156="BRONCE",_xlpm.cPl,IF(V1156="PLATA",_xlpm.cO,IF(V1156="ORO",_xlpm.cP,IF(V1156="PLATINO",_xlpm.cD,999))))))</f>
        <v>24.506573482968111</v>
      </c>
      <c r="AF115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1156="CERRADO",0,IF(V1156="BRONCE",1,IF(V1156="PLATA",_xlpm.cPl,IF(V1156="ORO",_xlpm.cO,IF(V1156="PLATINO",_xlpm.cP,_xlpm.cD))))))</f>
        <v>1</v>
      </c>
      <c r="AG1156">
        <f t="shared" si="442"/>
        <v>8.9065734829681098</v>
      </c>
      <c r="AH1156" t="str">
        <f t="shared" si="443"/>
        <v>VENTAS</v>
      </c>
      <c r="AI1156" t="str">
        <f t="shared" si="440"/>
        <v>🎯 Para subir de categoría, eje VENTAS / CRECIMIENTO PERSONAL (F). Acción: metas semanales + activación comercial + seguimiento del asesor. ΔR aprox: 8,9</v>
      </c>
      <c r="AJ1156" s="26">
        <f>_xlfn.LET(_xlpm.piso,AF1156,_xlpm.corte,AE1156,_xlpm.prog,IF(_xlpm.corte&lt;=_xlpm.piso,0,MAX(0,MIN(1,(U1156-_xlpm.piso)/(_xlpm.corte-_xlpm.piso)))),_xlpm.orden,{"DIAMANTE";"PLATINO";"ORO";"PLATA";"BRONCE";"CERRADO"},_xlpm.act,IFERROR(MATCH(V1156,_xlpm.orden,0),6),_xlpm.ant,IFERROR(MATCH(W1156,_xlpm.orden,0),6),_xlpm.ajmov,IF(_xlpm.act&lt;_xlpm.ant,0.08,IF(_xlpm.act&gt;_xlpm.ant,-0.08,0)),_xlpm.ajcli,IF(T1156&lt;0.95,-0.06,0),_xlpm.prob,MAX(0,MIN(1,_xlpm.prog+_xlpm.ajmov+_xlpm.ajcli)),IF(OR(V1156="DIAMANTE",V1156="CERRADO"),0,ROUND(_xlpm.prob,2)))</f>
        <v>0.62</v>
      </c>
      <c r="AK1156" t="str">
        <f t="shared" si="444"/>
        <v>Faltan 8,9 puntos base para subir a la siguiente categoría</v>
      </c>
      <c r="AL1156" t="str">
        <f t="shared" si="445"/>
        <v>No aplica</v>
      </c>
      <c r="AM1156">
        <f t="shared" si="446"/>
        <v>0.51</v>
      </c>
      <c r="AN1156" t="str">
        <f t="shared" si="447"/>
        <v>PRIORIDAD MEDIA – seguimiento del asesor</v>
      </c>
      <c r="AO1156">
        <f t="shared" si="448"/>
        <v>64.862569275295584</v>
      </c>
      <c r="AP1156">
        <f t="shared" si="449"/>
        <v>15</v>
      </c>
      <c r="AQ1156">
        <f t="shared" si="450"/>
        <v>0</v>
      </c>
      <c r="AR1156">
        <f t="shared" si="451"/>
        <v>4.3999999999999995</v>
      </c>
      <c r="AS1156">
        <f t="shared" si="452"/>
        <v>0</v>
      </c>
      <c r="AT1156" t="str">
        <f t="shared" si="453"/>
        <v>VENTAS</v>
      </c>
      <c r="AU1156">
        <f t="shared" si="454"/>
        <v>64.862569275295584</v>
      </c>
      <c r="AV1156" t="str">
        <f t="shared" si="455"/>
        <v>Mayor retorno probable: VENTAS (+64,9 puntos finales potenciales).</v>
      </c>
    </row>
    <row r="1157" spans="1:48" x14ac:dyDescent="0.3">
      <c r="A1157" s="5">
        <v>51054474</v>
      </c>
      <c r="B1157" s="5" t="str">
        <f>IFERROR(VLOOKUP(A1157,VENTAS!$A$2:$B$1194,2,0),"")</f>
        <v/>
      </c>
      <c r="C1157" s="5">
        <f>IFERROR(INDEX(VENTAS!$C$2:$E$1194,MATCH(A1157,VENTAS!$A$2:$A$1194,0),MATCH(PARAMS_MODELO!$B$2,{"Q1","Q2","Q3"},0)),0)</f>
        <v>0</v>
      </c>
      <c r="D1157" s="5">
        <f>IFERROR(INDEX(VENTAS!$F$2:$H$1194,MATCH(A1157,VENTAS!$A$2:$A$1194,0),MATCH(PARAMS_MODELO!$B$2,{"Q1","Q2","Q3"},0)),0)</f>
        <v>0</v>
      </c>
      <c r="E1157" s="8">
        <f t="shared" si="432"/>
        <v>0</v>
      </c>
      <c r="F1157" s="12">
        <f>IF(E1157&lt;=PARAMS_MODELO!$B$15,0,IF(E1157&gt;=PARAMS_MODELO!$B$17,100,100*MIN(1,(E1157-PARAMS_MODELO!$B$15)/(PARAMS_MODELO!$B$16-PARAMS_MODELO!$B$15))))*PARAMS_MODELO!$B$7</f>
        <v>0</v>
      </c>
      <c r="G1157" s="5">
        <f t="shared" si="433"/>
        <v>0</v>
      </c>
      <c r="H1157" s="5">
        <f>(PARAMS_MODELO!$B$20*(MAX(0,MIN(3,E1157))/3)+PARAMS_MODELO!$B$21*(IFERROR(LN(1+MAX(0,G1157))/LN(1+MAX(0,MAX($G$2:$G$1194))),0)))*100*PARAMS_MODELO!$B$8</f>
        <v>0</v>
      </c>
      <c r="I1157" s="8">
        <f>E1157-PARAMS_MODELO!$B$5</f>
        <v>-0.17756283537552653</v>
      </c>
      <c r="J1157" s="5">
        <f>IF(I1157&lt;=PARAMS_MODELO!$B$18,0,IF(I1157&gt;=PARAMS_MODELO!$B$19,100,100*(I1157-PARAMS_MODELO!$B$18)/(PARAMS_MODELO!$B$19-PARAMS_MODELO!$B$18)))*PARAMS_MODELO!$B$9</f>
        <v>0</v>
      </c>
      <c r="K1157" s="5">
        <f>IFERROR(CHOOSE(MATCH(PARAMS_MODELO!$B$2,{"Q1","Q2","Q3"},0),LOTO!$D1157,LOTO!$F1157,LOTO!$H1157),0)</f>
        <v>0</v>
      </c>
      <c r="L1157" s="8">
        <f t="shared" si="434"/>
        <v>0</v>
      </c>
      <c r="M1157" s="5">
        <f>MIN(100,IF(PARAMS_MODELO!$B$23=0,0,100*L1157/PARAMS_MODELO!$B$23))*PARAMS_MODELO!$B$10</f>
        <v>0</v>
      </c>
      <c r="N1157" s="5">
        <f>IFERROR(VLOOKUP(A1157,COMPLIANCE!$A$2:$F$1996,6,0),100)</f>
        <v>100</v>
      </c>
      <c r="O1157" s="5">
        <f>N1157*PARAMS_MODELO!$B$11</f>
        <v>10</v>
      </c>
      <c r="P1157" s="5">
        <f>IFERROR(VLOOKUP(A1157,DIGITAL!$A$2:$J$2000,7,0),100)</f>
        <v>63</v>
      </c>
      <c r="Q1157" s="5">
        <f>IFERROR(P1157,0)*PARAMS_MODELO!$B$12</f>
        <v>6.3000000000000007</v>
      </c>
      <c r="R1157">
        <f t="shared" si="435"/>
        <v>16.3</v>
      </c>
      <c r="S1157" s="5" t="str">
        <f>IFERROR(VLOOKUP(A1157,CLIENTE!$A$2:$N$2000,13,0),1)</f>
        <v>Regular</v>
      </c>
      <c r="T1157" s="5">
        <f>IFERROR(VLOOKUP(A1157,CLIENTE!$A$2:$N$2000,14,0),1)</f>
        <v>1</v>
      </c>
      <c r="U1157" s="5">
        <f t="shared" si="436"/>
        <v>16.3</v>
      </c>
      <c r="V1157" s="5" t="str">
        <f>IF(U1157&gt;=MAX(_xlfn.PERCENTILE.INC($U$2:$U$1194,PARAMS_MODELO!$B$50),PARAMS_MODELO!$B$45),"DIAMANTE",IF(U1157&gt;=MAX(_xlfn.PERCENTILE.INC($U$2:$U$1194,PARAMS_MODELO!$B$51),PARAMS_MODELO!$B$46),"PLATINO",IF(U1157&gt;=MAX(_xlfn.PERCENTILE.INC($U$2:$U$1194,PARAMS_MODELO!$B$52),PARAMS_MODELO!$B$47),"ORO",IF(U1157&gt;=MAX(_xlfn.PERCENTILE.INC($U$2:$U$1194,PARAMS_MODELO!$B$53),PARAMS_MODELO!$B$48),"PLATA",IF(U1157&gt;=1,"BRONCE","CERRADO")))))</f>
        <v>BRONCE</v>
      </c>
      <c r="W1157" s="5" t="str" cm="1">
        <f t="array" ref="W1157">_xlfn.XLOOKUP(1, (HIST_SCORE!$B:$B=PARAMS_MODELO!$B$4) * (HIST_SCORE!$C:$C=A1157), HIST_SCORE!$E:$E, "No encontrado")</f>
        <v>BRONCE</v>
      </c>
      <c r="X1157" s="5" t="str">
        <f>_xlfn.LET(_xlpm.act,MATCH(V1157,{"DIAMANTE";"PLATINO";"ORO";"PLATA";"BRONCE";"CERRADO"},0),_xlpm.ant,MATCH(W1157,{"DIAMANTE";"PLATINO";"ORO";"PLATA";"BRONCE";"CERRADO"},0),IF(_xlpm.act&lt;_xlpm.ant,"Mejora ↑",IF(_xlpm.act&gt;_xlpm.ant,"Baja ↓","Estable →")))</f>
        <v>Estable →</v>
      </c>
      <c r="Y1157" s="5">
        <f>IFERROR(U1157-SUMIFS(HIST_SCORE!$D:$D,HIST_SCORE!$B:$B,PARAMS_MODELO!$B$4,HIST_SCORE!$C:$C,$A1157),"")</f>
        <v>0</v>
      </c>
      <c r="Z1157" s="5" t="str">
        <f t="shared" si="437"/>
        <v>→ Estable</v>
      </c>
      <c r="AA1157" s="5">
        <f t="shared" si="438"/>
        <v>1062</v>
      </c>
      <c r="AB1157" s="5">
        <f>IFERROR(SUMIFS(HIST_SCORE!$F:$F,HIST_SCORE!$B:$B,PARAMS_MODELO!$B$4,HIST_SCORE!$C:$C,$A1157),"")</f>
        <v>1059</v>
      </c>
      <c r="AC1157" s="5">
        <f t="shared" si="439"/>
        <v>-3</v>
      </c>
      <c r="AD1157" t="str">
        <f t="shared" si="441"/>
        <v/>
      </c>
      <c r="AE11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1157="CERRADO",1,IF(V1157="BRONCE",_xlpm.cPl,IF(V1157="PLATA",_xlpm.cO,IF(V1157="ORO",_xlpm.cP,IF(V1157="PLATINO",_xlpm.cD,999))))))</f>
        <v>24.506573482968111</v>
      </c>
      <c r="AF115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1157="CERRADO",0,IF(V1157="BRONCE",1,IF(V1157="PLATA",_xlpm.cPl,IF(V1157="ORO",_xlpm.cO,IF(V1157="PLATINO",_xlpm.cP,_xlpm.cD))))))</f>
        <v>1</v>
      </c>
      <c r="AG1157">
        <f t="shared" si="442"/>
        <v>8.2065734829681105</v>
      </c>
      <c r="AH1157" t="str">
        <f t="shared" si="443"/>
        <v>VENTAS</v>
      </c>
      <c r="AI1157" t="str">
        <f t="shared" si="440"/>
        <v>🎯 Para subir de categoría, eje VENTAS / CRECIMIENTO PERSONAL (F). Acción: metas semanales + activación comercial + seguimiento del asesor. ΔR aprox: 8,2</v>
      </c>
      <c r="AJ1157" s="26">
        <f>_xlfn.LET(_xlpm.piso,AF1157,_xlpm.corte,AE1157,_xlpm.prog,IF(_xlpm.corte&lt;=_xlpm.piso,0,MAX(0,MIN(1,(U1157-_xlpm.piso)/(_xlpm.corte-_xlpm.piso)))),_xlpm.orden,{"DIAMANTE";"PLATINO";"ORO";"PLATA";"BRONCE";"CERRADO"},_xlpm.act,IFERROR(MATCH(V1157,_xlpm.orden,0),6),_xlpm.ant,IFERROR(MATCH(W1157,_xlpm.orden,0),6),_xlpm.ajmov,IF(_xlpm.act&lt;_xlpm.ant,0.08,IF(_xlpm.act&gt;_xlpm.ant,-0.08,0)),_xlpm.ajcli,IF(T1157&lt;0.95,-0.06,0),_xlpm.prob,MAX(0,MIN(1,_xlpm.prog+_xlpm.ajmov+_xlpm.ajcli)),IF(OR(V1157="DIAMANTE",V1157="CERRADO"),0,ROUND(_xlpm.prob,2)))</f>
        <v>0.65</v>
      </c>
      <c r="AK1157" t="str">
        <f t="shared" si="444"/>
        <v>Faltan 8,2 puntos base para subir a la siguiente categoría</v>
      </c>
      <c r="AL1157" t="str">
        <f t="shared" si="445"/>
        <v>No aplica</v>
      </c>
      <c r="AM1157">
        <f t="shared" si="446"/>
        <v>0.47</v>
      </c>
      <c r="AN1157" t="str">
        <f t="shared" si="447"/>
        <v>PRIORIDAD MEDIA – seguimiento del asesor</v>
      </c>
      <c r="AO1157">
        <f t="shared" si="448"/>
        <v>64.862569275295584</v>
      </c>
      <c r="AP1157">
        <f t="shared" si="449"/>
        <v>15</v>
      </c>
      <c r="AQ1157">
        <f t="shared" si="450"/>
        <v>0</v>
      </c>
      <c r="AR1157">
        <f t="shared" si="451"/>
        <v>3.6999999999999993</v>
      </c>
      <c r="AS1157">
        <f t="shared" si="452"/>
        <v>0</v>
      </c>
      <c r="AT1157" t="str">
        <f t="shared" si="453"/>
        <v>VENTAS</v>
      </c>
      <c r="AU1157">
        <f t="shared" si="454"/>
        <v>64.862569275295584</v>
      </c>
      <c r="AV1157" t="str">
        <f t="shared" si="455"/>
        <v>Mayor retorno probable: VENTAS (+64,9 puntos finales potenciales).</v>
      </c>
    </row>
    <row r="1158" spans="1:48" x14ac:dyDescent="0.3">
      <c r="A1158" s="5">
        <v>51054890</v>
      </c>
      <c r="B1158" s="5" t="str">
        <f>IFERROR(VLOOKUP(A1158,VENTAS!$A$2:$B$1194,2,0),"")</f>
        <v/>
      </c>
      <c r="C1158" s="5">
        <f>IFERROR(INDEX(VENTAS!$C$2:$E$1194,MATCH(A1158,VENTAS!$A$2:$A$1194,0),MATCH(PARAMS_MODELO!$B$2,{"Q1","Q2","Q3"},0)),0)</f>
        <v>0</v>
      </c>
      <c r="D1158" s="5">
        <f>IFERROR(INDEX(VENTAS!$F$2:$H$1194,MATCH(A1158,VENTAS!$A$2:$A$1194,0),MATCH(PARAMS_MODELO!$B$2,{"Q1","Q2","Q3"},0)),0)</f>
        <v>0</v>
      </c>
      <c r="E1158" s="8">
        <f t="shared" si="432"/>
        <v>0</v>
      </c>
      <c r="F1158" s="12">
        <f>IF(E1158&lt;=PARAMS_MODELO!$B$15,0,IF(E1158&gt;=PARAMS_MODELO!$B$17,100,100*MIN(1,(E1158-PARAMS_MODELO!$B$15)/(PARAMS_MODELO!$B$16-PARAMS_MODELO!$B$15))))*PARAMS_MODELO!$B$7</f>
        <v>0</v>
      </c>
      <c r="G1158" s="5">
        <f t="shared" si="433"/>
        <v>0</v>
      </c>
      <c r="H1158" s="5">
        <f>(PARAMS_MODELO!$B$20*(MAX(0,MIN(3,E1158))/3)+PARAMS_MODELO!$B$21*(IFERROR(LN(1+MAX(0,G1158))/LN(1+MAX(0,MAX($G$2:$G$1194))),0)))*100*PARAMS_MODELO!$B$8</f>
        <v>0</v>
      </c>
      <c r="I1158" s="8">
        <f>E1158-PARAMS_MODELO!$B$5</f>
        <v>-0.17756283537552653</v>
      </c>
      <c r="J1158" s="5">
        <f>IF(I1158&lt;=PARAMS_MODELO!$B$18,0,IF(I1158&gt;=PARAMS_MODELO!$B$19,100,100*(I1158-PARAMS_MODELO!$B$18)/(PARAMS_MODELO!$B$19-PARAMS_MODELO!$B$18)))*PARAMS_MODELO!$B$9</f>
        <v>0</v>
      </c>
      <c r="K1158" s="5">
        <f>IFERROR(CHOOSE(MATCH(PARAMS_MODELO!$B$2,{"Q1","Q2","Q3"},0),LOTO!$D1158,LOTO!$F1158,LOTO!$H1158),0)</f>
        <v>0</v>
      </c>
      <c r="L1158" s="8">
        <f t="shared" si="434"/>
        <v>0</v>
      </c>
      <c r="M1158" s="5">
        <f>MIN(100,IF(PARAMS_MODELO!$B$23=0,0,100*L1158/PARAMS_MODELO!$B$23))*PARAMS_MODELO!$B$10</f>
        <v>0</v>
      </c>
      <c r="N1158" s="5">
        <f>IFERROR(VLOOKUP(A1158,COMPLIANCE!$A$2:$F$1996,6,0),100)</f>
        <v>100</v>
      </c>
      <c r="O1158" s="5">
        <f>N1158*PARAMS_MODELO!$B$11</f>
        <v>10</v>
      </c>
      <c r="P1158" s="5">
        <f>IFERROR(VLOOKUP(A1158,DIGITAL!$A$2:$J$2000,7,0),100)</f>
        <v>14</v>
      </c>
      <c r="Q1158" s="5">
        <f>IFERROR(P1158,0)*PARAMS_MODELO!$B$12</f>
        <v>1.4000000000000001</v>
      </c>
      <c r="R1158">
        <f t="shared" si="435"/>
        <v>11.4</v>
      </c>
      <c r="S1158" s="5" t="str">
        <f>IFERROR(VLOOKUP(A1158,CLIENTE!$A$2:$N$2000,13,0),1)</f>
        <v>Regular</v>
      </c>
      <c r="T1158" s="5">
        <f>IFERROR(VLOOKUP(A1158,CLIENTE!$A$2:$N$2000,14,0),1)</f>
        <v>1</v>
      </c>
      <c r="U1158" s="5">
        <f t="shared" si="436"/>
        <v>11.4</v>
      </c>
      <c r="V1158" s="5" t="str">
        <f>IF(U1158&gt;=MAX(_xlfn.PERCENTILE.INC($U$2:$U$1194,PARAMS_MODELO!$B$50),PARAMS_MODELO!$B$45),"DIAMANTE",IF(U1158&gt;=MAX(_xlfn.PERCENTILE.INC($U$2:$U$1194,PARAMS_MODELO!$B$51),PARAMS_MODELO!$B$46),"PLATINO",IF(U1158&gt;=MAX(_xlfn.PERCENTILE.INC($U$2:$U$1194,PARAMS_MODELO!$B$52),PARAMS_MODELO!$B$47),"ORO",IF(U1158&gt;=MAX(_xlfn.PERCENTILE.INC($U$2:$U$1194,PARAMS_MODELO!$B$53),PARAMS_MODELO!$B$48),"PLATA",IF(U1158&gt;=1,"BRONCE","CERRADO")))))</f>
        <v>BRONCE</v>
      </c>
      <c r="W1158" s="5" t="str" cm="1">
        <f t="array" ref="W1158">_xlfn.XLOOKUP(1, (HIST_SCORE!$B:$B=PARAMS_MODELO!$B$4) * (HIST_SCORE!$C:$C=A1158), HIST_SCORE!$E:$E, "No encontrado")</f>
        <v>BRONCE</v>
      </c>
      <c r="X1158" s="5" t="str">
        <f>_xlfn.LET(_xlpm.act,MATCH(V1158,{"DIAMANTE";"PLATINO";"ORO";"PLATA";"BRONCE";"CERRADO"},0),_xlpm.ant,MATCH(W1158,{"DIAMANTE";"PLATINO";"ORO";"PLATA";"BRONCE";"CERRADO"},0),IF(_xlpm.act&lt;_xlpm.ant,"Mejora ↑",IF(_xlpm.act&gt;_xlpm.ant,"Baja ↓","Estable →")))</f>
        <v>Estable →</v>
      </c>
      <c r="Y1158" s="5">
        <f>IFERROR(U1158-SUMIFS(HIST_SCORE!$D:$D,HIST_SCORE!$B:$B,PARAMS_MODELO!$B$4,HIST_SCORE!$C:$C,$A1158),"")</f>
        <v>0</v>
      </c>
      <c r="Z1158" s="5" t="str">
        <f t="shared" si="437"/>
        <v>→ Estable</v>
      </c>
      <c r="AA1158" s="5">
        <f t="shared" si="438"/>
        <v>1138</v>
      </c>
      <c r="AB1158" s="5">
        <f>IFERROR(SUMIFS(HIST_SCORE!$F:$F,HIST_SCORE!$B:$B,PARAMS_MODELO!$B$4,HIST_SCORE!$C:$C,$A1158),"")</f>
        <v>1136</v>
      </c>
      <c r="AC1158" s="5">
        <f t="shared" si="439"/>
        <v>-2</v>
      </c>
      <c r="AD1158" t="str">
        <f t="shared" si="441"/>
        <v/>
      </c>
      <c r="AE11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1158="CERRADO",1,IF(V1158="BRONCE",_xlpm.cPl,IF(V1158="PLATA",_xlpm.cO,IF(V1158="ORO",_xlpm.cP,IF(V1158="PLATINO",_xlpm.cD,999))))))</f>
        <v>24.506573482968111</v>
      </c>
      <c r="AF115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1158="CERRADO",0,IF(V1158="BRONCE",1,IF(V1158="PLATA",_xlpm.cPl,IF(V1158="ORO",_xlpm.cO,IF(V1158="PLATINO",_xlpm.cP,_xlpm.cD))))))</f>
        <v>1</v>
      </c>
      <c r="AG1158">
        <f t="shared" si="442"/>
        <v>13.106573482968111</v>
      </c>
      <c r="AH1158" t="str">
        <f t="shared" si="443"/>
        <v>VENTAS</v>
      </c>
      <c r="AI1158" t="str">
        <f t="shared" si="440"/>
        <v>🎯 Para subir de categoría, eje VENTAS / CRECIMIENTO PERSONAL (F). Acción: metas semanales + activación comercial + seguimiento del asesor. ΔR aprox: 13,1</v>
      </c>
      <c r="AJ1158" s="26">
        <f>_xlfn.LET(_xlpm.piso,AF1158,_xlpm.corte,AE1158,_xlpm.prog,IF(_xlpm.corte&lt;=_xlpm.piso,0,MAX(0,MIN(1,(U1158-_xlpm.piso)/(_xlpm.corte-_xlpm.piso)))),_xlpm.orden,{"DIAMANTE";"PLATINO";"ORO";"PLATA";"BRONCE";"CERRADO"},_xlpm.act,IFERROR(MATCH(V1158,_xlpm.orden,0),6),_xlpm.ant,IFERROR(MATCH(W1158,_xlpm.orden,0),6),_xlpm.ajmov,IF(_xlpm.act&lt;_xlpm.ant,0.08,IF(_xlpm.act&gt;_xlpm.ant,-0.08,0)),_xlpm.ajcli,IF(T1158&lt;0.95,-0.06,0),_xlpm.prob,MAX(0,MIN(1,_xlpm.prog+_xlpm.ajmov+_xlpm.ajcli)),IF(OR(V1158="DIAMANTE",V1158="CERRADO"),0,ROUND(_xlpm.prob,2)))</f>
        <v>0.44</v>
      </c>
      <c r="AK1158" t="str">
        <f t="shared" si="444"/>
        <v>Faltan 13,1 puntos base para subir a la siguiente categoría</v>
      </c>
      <c r="AL1158" t="str">
        <f t="shared" si="445"/>
        <v>No aplica</v>
      </c>
      <c r="AM1158">
        <f t="shared" si="446"/>
        <v>0.62</v>
      </c>
      <c r="AN1158" t="str">
        <f t="shared" si="447"/>
        <v>PRIORIDAD MEDIA – seguimiento del asesor</v>
      </c>
      <c r="AO1158">
        <f t="shared" si="448"/>
        <v>64.862569275295584</v>
      </c>
      <c r="AP1158">
        <f t="shared" si="449"/>
        <v>15</v>
      </c>
      <c r="AQ1158">
        <f t="shared" si="450"/>
        <v>0</v>
      </c>
      <c r="AR1158">
        <f t="shared" si="451"/>
        <v>8.6</v>
      </c>
      <c r="AS1158">
        <f t="shared" si="452"/>
        <v>0</v>
      </c>
      <c r="AT1158" t="str">
        <f t="shared" si="453"/>
        <v>VENTAS</v>
      </c>
      <c r="AU1158">
        <f t="shared" si="454"/>
        <v>64.862569275295584</v>
      </c>
      <c r="AV1158" t="str">
        <f t="shared" si="455"/>
        <v>Mayor retorno probable: VENTAS (+64,9 puntos finales potenciales).</v>
      </c>
    </row>
    <row r="1159" spans="1:48" x14ac:dyDescent="0.3">
      <c r="A1159" s="5">
        <v>51054971</v>
      </c>
      <c r="B1159" s="5" t="str">
        <f>IFERROR(VLOOKUP(A1159,VENTAS!$A$2:$B$1194,2,0),"")</f>
        <v/>
      </c>
      <c r="C1159" s="5">
        <f>IFERROR(INDEX(VENTAS!$C$2:$E$1194,MATCH(A1159,VENTAS!$A$2:$A$1194,0),MATCH(PARAMS_MODELO!$B$2,{"Q1","Q2","Q3"},0)),0)</f>
        <v>0</v>
      </c>
      <c r="D1159" s="5">
        <f>IFERROR(INDEX(VENTAS!$F$2:$H$1194,MATCH(A1159,VENTAS!$A$2:$A$1194,0),MATCH(PARAMS_MODELO!$B$2,{"Q1","Q2","Q3"},0)),0)</f>
        <v>0</v>
      </c>
      <c r="E1159" s="8">
        <f t="shared" si="432"/>
        <v>0</v>
      </c>
      <c r="F1159" s="12">
        <f>IF(E1159&lt;=PARAMS_MODELO!$B$15,0,IF(E1159&gt;=PARAMS_MODELO!$B$17,100,100*MIN(1,(E1159-PARAMS_MODELO!$B$15)/(PARAMS_MODELO!$B$16-PARAMS_MODELO!$B$15))))*PARAMS_MODELO!$B$7</f>
        <v>0</v>
      </c>
      <c r="G1159" s="5">
        <f t="shared" si="433"/>
        <v>0</v>
      </c>
      <c r="H1159" s="5">
        <f>(PARAMS_MODELO!$B$20*(MAX(0,MIN(3,E1159))/3)+PARAMS_MODELO!$B$21*(IFERROR(LN(1+MAX(0,G1159))/LN(1+MAX(0,MAX($G$2:$G$1194))),0)))*100*PARAMS_MODELO!$B$8</f>
        <v>0</v>
      </c>
      <c r="I1159" s="8">
        <f>E1159-PARAMS_MODELO!$B$5</f>
        <v>-0.17756283537552653</v>
      </c>
      <c r="J1159" s="5">
        <f>IF(I1159&lt;=PARAMS_MODELO!$B$18,0,IF(I1159&gt;=PARAMS_MODELO!$B$19,100,100*(I1159-PARAMS_MODELO!$B$18)/(PARAMS_MODELO!$B$19-PARAMS_MODELO!$B$18)))*PARAMS_MODELO!$B$9</f>
        <v>0</v>
      </c>
      <c r="K1159" s="5">
        <f>IFERROR(CHOOSE(MATCH(PARAMS_MODELO!$B$2,{"Q1","Q2","Q3"},0),LOTO!$D1159,LOTO!$F1159,LOTO!$H1159),0)</f>
        <v>0</v>
      </c>
      <c r="L1159" s="8">
        <f t="shared" si="434"/>
        <v>0</v>
      </c>
      <c r="M1159" s="5">
        <f>MIN(100,IF(PARAMS_MODELO!$B$23=0,0,100*L1159/PARAMS_MODELO!$B$23))*PARAMS_MODELO!$B$10</f>
        <v>0</v>
      </c>
      <c r="N1159" s="5">
        <f>IFERROR(VLOOKUP(A1159,COMPLIANCE!$A$2:$F$1996,6,0),100)</f>
        <v>100</v>
      </c>
      <c r="O1159" s="5">
        <f>N1159*PARAMS_MODELO!$B$11</f>
        <v>10</v>
      </c>
      <c r="P1159" s="5">
        <f>IFERROR(VLOOKUP(A1159,DIGITAL!$A$2:$J$2000,7,0),100)</f>
        <v>91</v>
      </c>
      <c r="Q1159" s="5">
        <f>IFERROR(P1159,0)*PARAMS_MODELO!$B$12</f>
        <v>9.1</v>
      </c>
      <c r="R1159">
        <f t="shared" si="435"/>
        <v>19.100000000000001</v>
      </c>
      <c r="S1159" s="5" t="str">
        <f>IFERROR(VLOOKUP(A1159,CLIENTE!$A$2:$N$2000,13,0),1)</f>
        <v>Malo</v>
      </c>
      <c r="T1159" s="5">
        <f>IFERROR(VLOOKUP(A1159,CLIENTE!$A$2:$N$2000,14,0),1)</f>
        <v>0.7</v>
      </c>
      <c r="U1159" s="5">
        <f t="shared" si="436"/>
        <v>13.370000000000001</v>
      </c>
      <c r="V1159" s="5" t="str">
        <f>IF(U1159&gt;=MAX(_xlfn.PERCENTILE.INC($U$2:$U$1194,PARAMS_MODELO!$B$50),PARAMS_MODELO!$B$45),"DIAMANTE",IF(U1159&gt;=MAX(_xlfn.PERCENTILE.INC($U$2:$U$1194,PARAMS_MODELO!$B$51),PARAMS_MODELO!$B$46),"PLATINO",IF(U1159&gt;=MAX(_xlfn.PERCENTILE.INC($U$2:$U$1194,PARAMS_MODELO!$B$52),PARAMS_MODELO!$B$47),"ORO",IF(U1159&gt;=MAX(_xlfn.PERCENTILE.INC($U$2:$U$1194,PARAMS_MODELO!$B$53),PARAMS_MODELO!$B$48),"PLATA",IF(U1159&gt;=1,"BRONCE","CERRADO")))))</f>
        <v>BRONCE</v>
      </c>
      <c r="W1159" s="5" t="str" cm="1">
        <f t="array" ref="W1159">_xlfn.XLOOKUP(1, (HIST_SCORE!$B:$B=PARAMS_MODELO!$B$4) * (HIST_SCORE!$C:$C=A1159), HIST_SCORE!$E:$E, "No encontrado")</f>
        <v>BRONCE</v>
      </c>
      <c r="X1159" s="5" t="str">
        <f>_xlfn.LET(_xlpm.act,MATCH(V1159,{"DIAMANTE";"PLATINO";"ORO";"PLATA";"BRONCE";"CERRADO"},0),_xlpm.ant,MATCH(W1159,{"DIAMANTE";"PLATINO";"ORO";"PLATA";"BRONCE";"CERRADO"},0),IF(_xlpm.act&lt;_xlpm.ant,"Mejora ↑",IF(_xlpm.act&gt;_xlpm.ant,"Baja ↓","Estable →")))</f>
        <v>Estable →</v>
      </c>
      <c r="Y1159" s="5">
        <f>IFERROR(U1159-SUMIFS(HIST_SCORE!$D:$D,HIST_SCORE!$B:$B,PARAMS_MODELO!$B$4,HIST_SCORE!$C:$C,$A1159),"")</f>
        <v>0</v>
      </c>
      <c r="Z1159" s="5" t="str">
        <f t="shared" si="437"/>
        <v>→ Estable</v>
      </c>
      <c r="AA1159" s="5">
        <f t="shared" si="438"/>
        <v>1100</v>
      </c>
      <c r="AB1159" s="5">
        <f>IFERROR(SUMIFS(HIST_SCORE!$F:$F,HIST_SCORE!$B:$B,PARAMS_MODELO!$B$4,HIST_SCORE!$C:$C,$A1159),"")</f>
        <v>1098</v>
      </c>
      <c r="AC1159" s="5">
        <f t="shared" si="439"/>
        <v>-2</v>
      </c>
      <c r="AD1159" t="str">
        <f t="shared" si="441"/>
        <v/>
      </c>
      <c r="AE11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1159="CERRADO",1,IF(V1159="BRONCE",_xlpm.cPl,IF(V1159="PLATA",_xlpm.cO,IF(V1159="ORO",_xlpm.cP,IF(V1159="PLATINO",_xlpm.cD,999))))))</f>
        <v>24.506573482968111</v>
      </c>
      <c r="AF115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1159="CERRADO",0,IF(V1159="BRONCE",1,IF(V1159="PLATA",_xlpm.cPl,IF(V1159="ORO",_xlpm.cO,IF(V1159="PLATINO",_xlpm.cP,_xlpm.cD))))))</f>
        <v>1</v>
      </c>
      <c r="AG1159">
        <f t="shared" si="442"/>
        <v>15.909390689954442</v>
      </c>
      <c r="AH1159" t="str">
        <f t="shared" si="443"/>
        <v>VENTAS</v>
      </c>
      <c r="AI1159" t="str">
        <f t="shared" si="440"/>
        <v>🎯 Para subir de categoría, eje VENTAS / CRECIMIENTO PERSONAL (F). Acción: metas semanales + activación comercial + seguimiento del asesor. ΔR aprox: 15,9</v>
      </c>
      <c r="AJ1159" s="26">
        <f>_xlfn.LET(_xlpm.piso,AF1159,_xlpm.corte,AE1159,_xlpm.prog,IF(_xlpm.corte&lt;=_xlpm.piso,0,MAX(0,MIN(1,(U1159-_xlpm.piso)/(_xlpm.corte-_xlpm.piso)))),_xlpm.orden,{"DIAMANTE";"PLATINO";"ORO";"PLATA";"BRONCE";"CERRADO"},_xlpm.act,IFERROR(MATCH(V1159,_xlpm.orden,0),6),_xlpm.ant,IFERROR(MATCH(W1159,_xlpm.orden,0),6),_xlpm.ajmov,IF(_xlpm.act&lt;_xlpm.ant,0.08,IF(_xlpm.act&gt;_xlpm.ant,-0.08,0)),_xlpm.ajcli,IF(T1159&lt;0.95,-0.06,0),_xlpm.prob,MAX(0,MIN(1,_xlpm.prog+_xlpm.ajmov+_xlpm.ajcli)),IF(OR(V1159="DIAMANTE",V1159="CERRADO"),0,ROUND(_xlpm.prob,2)))</f>
        <v>0.47</v>
      </c>
      <c r="AK1159" t="str">
        <f t="shared" si="444"/>
        <v>Faltan 15,9 puntos base para subir a la siguiente categoría</v>
      </c>
      <c r="AL1159" t="str">
        <f t="shared" si="445"/>
        <v>No aplica</v>
      </c>
      <c r="AM1159">
        <f t="shared" si="446"/>
        <v>0.81</v>
      </c>
      <c r="AN1159" t="str">
        <f t="shared" si="447"/>
        <v>PRIORIDAD ALTA – requiere intervención inmediata</v>
      </c>
      <c r="AO1159">
        <f t="shared" si="448"/>
        <v>45.403798492706905</v>
      </c>
      <c r="AP1159">
        <f t="shared" si="449"/>
        <v>10.5</v>
      </c>
      <c r="AQ1159">
        <f t="shared" si="450"/>
        <v>0</v>
      </c>
      <c r="AR1159">
        <f t="shared" si="451"/>
        <v>0.63000000000000023</v>
      </c>
      <c r="AS1159">
        <f t="shared" si="452"/>
        <v>5.7300000000000013</v>
      </c>
      <c r="AT1159" t="str">
        <f t="shared" si="453"/>
        <v>VENTAS</v>
      </c>
      <c r="AU1159">
        <f t="shared" si="454"/>
        <v>45.403798492706905</v>
      </c>
      <c r="AV1159" t="str">
        <f t="shared" si="455"/>
        <v>Mayor retorno probable: VENTAS (+45,4 puntos finales potenciales).</v>
      </c>
    </row>
    <row r="1160" spans="1:48" x14ac:dyDescent="0.3">
      <c r="A1160" s="5">
        <v>51055021</v>
      </c>
      <c r="B1160" s="5" t="str">
        <f>IFERROR(VLOOKUP(A1160,VENTAS!$A$2:$B$1194,2,0),"")</f>
        <v/>
      </c>
      <c r="C1160" s="5">
        <f>IFERROR(INDEX(VENTAS!$C$2:$E$1194,MATCH(A1160,VENTAS!$A$2:$A$1194,0),MATCH(PARAMS_MODELO!$B$2,{"Q1","Q2","Q3"},0)),0)</f>
        <v>21084621.800000001</v>
      </c>
      <c r="D1160" s="5">
        <f>IFERROR(INDEX(VENTAS!$F$2:$H$1194,MATCH(A1160,VENTAS!$A$2:$A$1194,0),MATCH(PARAMS_MODELO!$B$2,{"Q1","Q2","Q3"},0)),0)</f>
        <v>0</v>
      </c>
      <c r="E1160" s="8">
        <f t="shared" si="432"/>
        <v>-1</v>
      </c>
      <c r="F1160" s="12">
        <f>IF(E1160&lt;=PARAMS_MODELO!$B$15,0,IF(E1160&gt;=PARAMS_MODELO!$B$17,100,100*MIN(1,(E1160-PARAMS_MODELO!$B$15)/(PARAMS_MODELO!$B$16-PARAMS_MODELO!$B$15))))*PARAMS_MODELO!$B$7</f>
        <v>0</v>
      </c>
      <c r="G1160" s="5">
        <f t="shared" si="433"/>
        <v>0</v>
      </c>
      <c r="H1160" s="5">
        <f>(PARAMS_MODELO!$B$20*(MAX(0,MIN(3,E1160))/3)+PARAMS_MODELO!$B$21*(IFERROR(LN(1+MAX(0,G1160))/LN(1+MAX(0,MAX($G$2:$G$1194))),0)))*100*PARAMS_MODELO!$B$8</f>
        <v>0</v>
      </c>
      <c r="I1160" s="8">
        <f>E1160-PARAMS_MODELO!$B$5</f>
        <v>-1.1775628353755265</v>
      </c>
      <c r="J1160" s="5">
        <f>IF(I1160&lt;=PARAMS_MODELO!$B$18,0,IF(I1160&gt;=PARAMS_MODELO!$B$19,100,100*(I1160-PARAMS_MODELO!$B$18)/(PARAMS_MODELO!$B$19-PARAMS_MODELO!$B$18)))*PARAMS_MODELO!$B$9</f>
        <v>0</v>
      </c>
      <c r="K1160" s="5">
        <f>IFERROR(CHOOSE(MATCH(PARAMS_MODELO!$B$2,{"Q1","Q2","Q3"},0),LOTO!$D1160,LOTO!$F1160,LOTO!$H1160),0)</f>
        <v>0</v>
      </c>
      <c r="L1160" s="8">
        <f t="shared" si="434"/>
        <v>0</v>
      </c>
      <c r="M1160" s="5">
        <f>MIN(100,IF(PARAMS_MODELO!$B$23=0,0,100*L1160/PARAMS_MODELO!$B$23))*PARAMS_MODELO!$B$10</f>
        <v>0</v>
      </c>
      <c r="N1160" s="5">
        <f>IFERROR(VLOOKUP(A1160,COMPLIANCE!$A$2:$F$1996,6,0),100)</f>
        <v>100</v>
      </c>
      <c r="O1160" s="5">
        <f>N1160*PARAMS_MODELO!$B$11</f>
        <v>10</v>
      </c>
      <c r="P1160" s="5">
        <f>IFERROR(VLOOKUP(A1160,DIGITAL!$A$2:$J$2000,7,0),100)</f>
        <v>19</v>
      </c>
      <c r="Q1160" s="5">
        <f>IFERROR(P1160,0)*PARAMS_MODELO!$B$12</f>
        <v>1.9000000000000001</v>
      </c>
      <c r="R1160">
        <f t="shared" si="435"/>
        <v>11.9</v>
      </c>
      <c r="S1160" s="5" t="str">
        <f>IFERROR(VLOOKUP(A1160,CLIENTE!$A$2:$N$2000,13,0),1)</f>
        <v>Malo</v>
      </c>
      <c r="T1160" s="5">
        <f>IFERROR(VLOOKUP(A1160,CLIENTE!$A$2:$N$2000,14,0),1)</f>
        <v>0.7</v>
      </c>
      <c r="U1160" s="5">
        <f t="shared" si="436"/>
        <v>8.33</v>
      </c>
      <c r="V1160" s="5" t="str">
        <f>IF(U1160&gt;=MAX(_xlfn.PERCENTILE.INC($U$2:$U$1194,PARAMS_MODELO!$B$50),PARAMS_MODELO!$B$45),"DIAMANTE",IF(U1160&gt;=MAX(_xlfn.PERCENTILE.INC($U$2:$U$1194,PARAMS_MODELO!$B$51),PARAMS_MODELO!$B$46),"PLATINO",IF(U1160&gt;=MAX(_xlfn.PERCENTILE.INC($U$2:$U$1194,PARAMS_MODELO!$B$52),PARAMS_MODELO!$B$47),"ORO",IF(U1160&gt;=MAX(_xlfn.PERCENTILE.INC($U$2:$U$1194,PARAMS_MODELO!$B$53),PARAMS_MODELO!$B$48),"PLATA",IF(U1160&gt;=1,"BRONCE","CERRADO")))))</f>
        <v>BRONCE</v>
      </c>
      <c r="W1160" s="5" t="str" cm="1">
        <f t="array" ref="W1160">_xlfn.XLOOKUP(1, (HIST_SCORE!$B:$B=PARAMS_MODELO!$B$4) * (HIST_SCORE!$C:$C=A1160), HIST_SCORE!$E:$E, "No encontrado")</f>
        <v>BRONCE</v>
      </c>
      <c r="X1160" s="5" t="str">
        <f>_xlfn.LET(_xlpm.act,MATCH(V1160,{"DIAMANTE";"PLATINO";"ORO";"PLATA";"BRONCE";"CERRADO"},0),_xlpm.ant,MATCH(W1160,{"DIAMANTE";"PLATINO";"ORO";"PLATA";"BRONCE";"CERRADO"},0),IF(_xlpm.act&lt;_xlpm.ant,"Mejora ↑",IF(_xlpm.act&gt;_xlpm.ant,"Baja ↓","Estable →")))</f>
        <v>Estable →</v>
      </c>
      <c r="Y1160" s="5">
        <f>IFERROR(U1160-SUMIFS(HIST_SCORE!$D:$D,HIST_SCORE!$B:$B,PARAMS_MODELO!$B$4,HIST_SCORE!$C:$C,$A1160),"")</f>
        <v>0</v>
      </c>
      <c r="Z1160" s="5" t="str">
        <f t="shared" si="437"/>
        <v>→ Estable</v>
      </c>
      <c r="AA1160" s="5">
        <f t="shared" si="438"/>
        <v>1182</v>
      </c>
      <c r="AB1160" s="5">
        <f>IFERROR(SUMIFS(HIST_SCORE!$F:$F,HIST_SCORE!$B:$B,PARAMS_MODELO!$B$4,HIST_SCORE!$C:$C,$A1160),"")</f>
        <v>1182</v>
      </c>
      <c r="AC1160" s="5">
        <f t="shared" si="439"/>
        <v>0</v>
      </c>
      <c r="AD1160" t="str">
        <f t="shared" si="441"/>
        <v/>
      </c>
      <c r="AE11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1160="CERRADO",1,IF(V1160="BRONCE",_xlpm.cPl,IF(V1160="PLATA",_xlpm.cO,IF(V1160="ORO",_xlpm.cP,IF(V1160="PLATINO",_xlpm.cD,999))))))</f>
        <v>24.506573482968111</v>
      </c>
      <c r="AF116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1160="CERRADO",0,IF(V1160="BRONCE",1,IF(V1160="PLATA",_xlpm.cPl,IF(V1160="ORO",_xlpm.cO,IF(V1160="PLATINO",_xlpm.cP,_xlpm.cD))))))</f>
        <v>1</v>
      </c>
      <c r="AG1160">
        <f t="shared" si="442"/>
        <v>23.109390689954445</v>
      </c>
      <c r="AH1160" t="str">
        <f t="shared" si="443"/>
        <v>VENTAS</v>
      </c>
      <c r="AI1160" t="str">
        <f t="shared" si="440"/>
        <v>🎯 Para subir de categoría, eje VENTAS / CRECIMIENTO PERSONAL (F). Acción: metas semanales + activación comercial + seguimiento del asesor. ΔR aprox: 23,1</v>
      </c>
      <c r="AJ1160" s="26">
        <f>_xlfn.LET(_xlpm.piso,AF1160,_xlpm.corte,AE1160,_xlpm.prog,IF(_xlpm.corte&lt;=_xlpm.piso,0,MAX(0,MIN(1,(U1160-_xlpm.piso)/(_xlpm.corte-_xlpm.piso)))),_xlpm.orden,{"DIAMANTE";"PLATINO";"ORO";"PLATA";"BRONCE";"CERRADO"},_xlpm.act,IFERROR(MATCH(V1160,_xlpm.orden,0),6),_xlpm.ant,IFERROR(MATCH(W1160,_xlpm.orden,0),6),_xlpm.ajmov,IF(_xlpm.act&lt;_xlpm.ant,0.08,IF(_xlpm.act&gt;_xlpm.ant,-0.08,0)),_xlpm.ajcli,IF(T1160&lt;0.95,-0.06,0),_xlpm.prob,MAX(0,MIN(1,_xlpm.prog+_xlpm.ajmov+_xlpm.ajcli)),IF(OR(V1160="DIAMANTE",V1160="CERRADO"),0,ROUND(_xlpm.prob,2)))</f>
        <v>0.25</v>
      </c>
      <c r="AK1160" t="str">
        <f t="shared" si="444"/>
        <v>Faltan 23,1 puntos base para subir a la siguiente categoría</v>
      </c>
      <c r="AL1160" t="str">
        <f t="shared" si="445"/>
        <v>No aplica</v>
      </c>
      <c r="AM1160">
        <f t="shared" si="446"/>
        <v>0.9</v>
      </c>
      <c r="AN1160" t="str">
        <f t="shared" si="447"/>
        <v>PRIORIDAD ALTA – requiere intervención inmediata</v>
      </c>
      <c r="AO1160">
        <f t="shared" si="448"/>
        <v>45.403798492706905</v>
      </c>
      <c r="AP1160">
        <f t="shared" si="449"/>
        <v>10.5</v>
      </c>
      <c r="AQ1160">
        <f t="shared" si="450"/>
        <v>0</v>
      </c>
      <c r="AR1160">
        <f t="shared" si="451"/>
        <v>5.669999999999999</v>
      </c>
      <c r="AS1160">
        <f t="shared" si="452"/>
        <v>3.5700000000000007</v>
      </c>
      <c r="AT1160" t="str">
        <f t="shared" si="453"/>
        <v>VENTAS</v>
      </c>
      <c r="AU1160">
        <f t="shared" si="454"/>
        <v>45.403798492706905</v>
      </c>
      <c r="AV1160" t="str">
        <f t="shared" si="455"/>
        <v>Mayor retorno probable: VENTAS (+45,4 puntos finales potenciales).</v>
      </c>
    </row>
    <row r="1161" spans="1:48" x14ac:dyDescent="0.3">
      <c r="A1161" s="5">
        <v>51055110</v>
      </c>
      <c r="B1161" s="5" t="str">
        <f>IFERROR(VLOOKUP(A1161,VENTAS!$A$2:$B$1194,2,0),"")</f>
        <v/>
      </c>
      <c r="C1161" s="5">
        <f>IFERROR(INDEX(VENTAS!$C$2:$E$1194,MATCH(A1161,VENTAS!$A$2:$A$1194,0),MATCH(PARAMS_MODELO!$B$2,{"Q1","Q2","Q3"},0)),0)</f>
        <v>0</v>
      </c>
      <c r="D1161" s="5">
        <f>IFERROR(INDEX(VENTAS!$F$2:$H$1194,MATCH(A1161,VENTAS!$A$2:$A$1194,0),MATCH(PARAMS_MODELO!$B$2,{"Q1","Q2","Q3"},0)),0)</f>
        <v>0</v>
      </c>
      <c r="E1161" s="8">
        <f t="shared" si="432"/>
        <v>0</v>
      </c>
      <c r="F1161" s="12">
        <f>IF(E1161&lt;=PARAMS_MODELO!$B$15,0,IF(E1161&gt;=PARAMS_MODELO!$B$17,100,100*MIN(1,(E1161-PARAMS_MODELO!$B$15)/(PARAMS_MODELO!$B$16-PARAMS_MODELO!$B$15))))*PARAMS_MODELO!$B$7</f>
        <v>0</v>
      </c>
      <c r="G1161" s="5">
        <f t="shared" si="433"/>
        <v>0</v>
      </c>
      <c r="H1161" s="5">
        <f>(PARAMS_MODELO!$B$20*(MAX(0,MIN(3,E1161))/3)+PARAMS_MODELO!$B$21*(IFERROR(LN(1+MAX(0,G1161))/LN(1+MAX(0,MAX($G$2:$G$1194))),0)))*100*PARAMS_MODELO!$B$8</f>
        <v>0</v>
      </c>
      <c r="I1161" s="8">
        <f>E1161-PARAMS_MODELO!$B$5</f>
        <v>-0.17756283537552653</v>
      </c>
      <c r="J1161" s="5">
        <f>IF(I1161&lt;=PARAMS_MODELO!$B$18,0,IF(I1161&gt;=PARAMS_MODELO!$B$19,100,100*(I1161-PARAMS_MODELO!$B$18)/(PARAMS_MODELO!$B$19-PARAMS_MODELO!$B$18)))*PARAMS_MODELO!$B$9</f>
        <v>0</v>
      </c>
      <c r="K1161" s="5">
        <f>IFERROR(CHOOSE(MATCH(PARAMS_MODELO!$B$2,{"Q1","Q2","Q3"},0),LOTO!$D1161,LOTO!$F1161,LOTO!$H1161),0)</f>
        <v>0</v>
      </c>
      <c r="L1161" s="8">
        <f t="shared" si="434"/>
        <v>0</v>
      </c>
      <c r="M1161" s="5">
        <f>MIN(100,IF(PARAMS_MODELO!$B$23=0,0,100*L1161/PARAMS_MODELO!$B$23))*PARAMS_MODELO!$B$10</f>
        <v>0</v>
      </c>
      <c r="N1161" s="5">
        <f>IFERROR(VLOOKUP(A1161,COMPLIANCE!$A$2:$F$1996,6,0),100)</f>
        <v>100</v>
      </c>
      <c r="O1161" s="5">
        <f>N1161*PARAMS_MODELO!$B$11</f>
        <v>10</v>
      </c>
      <c r="P1161" s="5">
        <f>IFERROR(VLOOKUP(A1161,DIGITAL!$A$2:$J$2000,7,0),100)</f>
        <v>51</v>
      </c>
      <c r="Q1161" s="5">
        <f>IFERROR(P1161,0)*PARAMS_MODELO!$B$12</f>
        <v>5.1000000000000005</v>
      </c>
      <c r="R1161">
        <f t="shared" si="435"/>
        <v>15.100000000000001</v>
      </c>
      <c r="S1161" s="5" t="str">
        <f>IFERROR(VLOOKUP(A1161,CLIENTE!$A$2:$N$2000,13,0),1)</f>
        <v>Bueno</v>
      </c>
      <c r="T1161" s="5">
        <f>IFERROR(VLOOKUP(A1161,CLIENTE!$A$2:$N$2000,14,0),1)</f>
        <v>1.1000000000000001</v>
      </c>
      <c r="U1161" s="5">
        <f t="shared" si="436"/>
        <v>16.610000000000003</v>
      </c>
      <c r="V1161" s="5" t="str">
        <f>IF(U1161&gt;=MAX(_xlfn.PERCENTILE.INC($U$2:$U$1194,PARAMS_MODELO!$B$50),PARAMS_MODELO!$B$45),"DIAMANTE",IF(U1161&gt;=MAX(_xlfn.PERCENTILE.INC($U$2:$U$1194,PARAMS_MODELO!$B$51),PARAMS_MODELO!$B$46),"PLATINO",IF(U1161&gt;=MAX(_xlfn.PERCENTILE.INC($U$2:$U$1194,PARAMS_MODELO!$B$52),PARAMS_MODELO!$B$47),"ORO",IF(U1161&gt;=MAX(_xlfn.PERCENTILE.INC($U$2:$U$1194,PARAMS_MODELO!$B$53),PARAMS_MODELO!$B$48),"PLATA",IF(U1161&gt;=1,"BRONCE","CERRADO")))))</f>
        <v>BRONCE</v>
      </c>
      <c r="W1161" s="5" t="str" cm="1">
        <f t="array" ref="W1161">_xlfn.XLOOKUP(1, (HIST_SCORE!$B:$B=PARAMS_MODELO!$B$4) * (HIST_SCORE!$C:$C=A1161), HIST_SCORE!$E:$E, "No encontrado")</f>
        <v>BRONCE</v>
      </c>
      <c r="X1161" s="5" t="str">
        <f>_xlfn.LET(_xlpm.act,MATCH(V1161,{"DIAMANTE";"PLATINO";"ORO";"PLATA";"BRONCE";"CERRADO"},0),_xlpm.ant,MATCH(W1161,{"DIAMANTE";"PLATINO";"ORO";"PLATA";"BRONCE";"CERRADO"},0),IF(_xlpm.act&lt;_xlpm.ant,"Mejora ↑",IF(_xlpm.act&gt;_xlpm.ant,"Baja ↓","Estable →")))</f>
        <v>Estable →</v>
      </c>
      <c r="Y1161" s="5">
        <f>IFERROR(U1161-SUMIFS(HIST_SCORE!$D:$D,HIST_SCORE!$B:$B,PARAMS_MODELO!$B$4,HIST_SCORE!$C:$C,$A1161),"")</f>
        <v>0</v>
      </c>
      <c r="Z1161" s="5" t="str">
        <f t="shared" si="437"/>
        <v>→ Estable</v>
      </c>
      <c r="AA1161" s="5">
        <f t="shared" si="438"/>
        <v>1057</v>
      </c>
      <c r="AB1161" s="5">
        <f>IFERROR(SUMIFS(HIST_SCORE!$F:$F,HIST_SCORE!$B:$B,PARAMS_MODELO!$B$4,HIST_SCORE!$C:$C,$A1161),"")</f>
        <v>1054</v>
      </c>
      <c r="AC1161" s="5">
        <f t="shared" si="439"/>
        <v>-3</v>
      </c>
      <c r="AD1161" t="str">
        <f t="shared" si="441"/>
        <v/>
      </c>
      <c r="AE11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1161="CERRADO",1,IF(V1161="BRONCE",_xlpm.cPl,IF(V1161="PLATA",_xlpm.cO,IF(V1161="ORO",_xlpm.cP,IF(V1161="PLATINO",_xlpm.cD,999))))))</f>
        <v>24.506573482968111</v>
      </c>
      <c r="AF116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1161="CERRADO",0,IF(V1161="BRONCE",1,IF(V1161="PLATA",_xlpm.cPl,IF(V1161="ORO",_xlpm.cO,IF(V1161="PLATINO",_xlpm.cP,_xlpm.cD))))))</f>
        <v>1</v>
      </c>
      <c r="AG1161">
        <f t="shared" si="442"/>
        <v>7.1787031663346426</v>
      </c>
      <c r="AH1161" t="str">
        <f t="shared" si="443"/>
        <v>VENTAS</v>
      </c>
      <c r="AI1161" t="str">
        <f t="shared" si="440"/>
        <v>🎯 Para subir de categoría, eje VENTAS / CRECIMIENTO PERSONAL (F). Acción: metas semanales + activación comercial + seguimiento del asesor. ΔR aprox: 7,2</v>
      </c>
      <c r="AJ1161" s="26">
        <f>_xlfn.LET(_xlpm.piso,AF1161,_xlpm.corte,AE1161,_xlpm.prog,IF(_xlpm.corte&lt;=_xlpm.piso,0,MAX(0,MIN(1,(U1161-_xlpm.piso)/(_xlpm.corte-_xlpm.piso)))),_xlpm.orden,{"DIAMANTE";"PLATINO";"ORO";"PLATA";"BRONCE";"CERRADO"},_xlpm.act,IFERROR(MATCH(V1161,_xlpm.orden,0),6),_xlpm.ant,IFERROR(MATCH(W1161,_xlpm.orden,0),6),_xlpm.ajmov,IF(_xlpm.act&lt;_xlpm.ant,0.08,IF(_xlpm.act&gt;_xlpm.ant,-0.08,0)),_xlpm.ajcli,IF(T1161&lt;0.95,-0.06,0),_xlpm.prob,MAX(0,MIN(1,_xlpm.prog+_xlpm.ajmov+_xlpm.ajcli)),IF(OR(V1161="DIAMANTE",V1161="CERRADO"),0,ROUND(_xlpm.prob,2)))</f>
        <v>0.66</v>
      </c>
      <c r="AK1161" t="str">
        <f t="shared" si="444"/>
        <v>Faltan 7,2 puntos base para subir a la siguiente categoría</v>
      </c>
      <c r="AL1161" t="str">
        <f t="shared" si="445"/>
        <v>No aplica</v>
      </c>
      <c r="AM1161">
        <f t="shared" si="446"/>
        <v>0.42</v>
      </c>
      <c r="AN1161" t="str">
        <f t="shared" si="447"/>
        <v>PRIORIDAD MEDIA – seguimiento del asesor</v>
      </c>
      <c r="AO1161">
        <f t="shared" si="448"/>
        <v>71.348826202825151</v>
      </c>
      <c r="AP1161">
        <f t="shared" si="449"/>
        <v>16.5</v>
      </c>
      <c r="AQ1161">
        <f t="shared" si="450"/>
        <v>0</v>
      </c>
      <c r="AR1161">
        <f t="shared" si="451"/>
        <v>5.39</v>
      </c>
      <c r="AS1161">
        <f t="shared" si="452"/>
        <v>0</v>
      </c>
      <c r="AT1161" t="str">
        <f t="shared" si="453"/>
        <v>VENTAS</v>
      </c>
      <c r="AU1161">
        <f t="shared" si="454"/>
        <v>71.348826202825151</v>
      </c>
      <c r="AV1161" t="str">
        <f t="shared" si="455"/>
        <v>Mayor retorno probable: VENTAS (+71,3 puntos finales potenciales).</v>
      </c>
    </row>
    <row r="1162" spans="1:48" x14ac:dyDescent="0.3">
      <c r="A1162" s="5">
        <v>51055179</v>
      </c>
      <c r="B1162" s="5" t="str">
        <f>IFERROR(VLOOKUP(A1162,VENTAS!$A$2:$B$1194,2,0),"")</f>
        <v/>
      </c>
      <c r="C1162" s="5">
        <f>IFERROR(INDEX(VENTAS!$C$2:$E$1194,MATCH(A1162,VENTAS!$A$2:$A$1194,0),MATCH(PARAMS_MODELO!$B$2,{"Q1","Q2","Q3"},0)),0)</f>
        <v>29919195.850000001</v>
      </c>
      <c r="D1162" s="5">
        <f>IFERROR(INDEX(VENTAS!$F$2:$H$1194,MATCH(A1162,VENTAS!$A$2:$A$1194,0),MATCH(PARAMS_MODELO!$B$2,{"Q1","Q2","Q3"},0)),0)</f>
        <v>0</v>
      </c>
      <c r="E1162" s="8">
        <f t="shared" si="432"/>
        <v>-1</v>
      </c>
      <c r="F1162" s="12">
        <f>IF(E1162&lt;=PARAMS_MODELO!$B$15,0,IF(E1162&gt;=PARAMS_MODELO!$B$17,100,100*MIN(1,(E1162-PARAMS_MODELO!$B$15)/(PARAMS_MODELO!$B$16-PARAMS_MODELO!$B$15))))*PARAMS_MODELO!$B$7</f>
        <v>0</v>
      </c>
      <c r="G1162" s="5">
        <f t="shared" si="433"/>
        <v>0</v>
      </c>
      <c r="H1162" s="5">
        <f>(PARAMS_MODELO!$B$20*(MAX(0,MIN(3,E1162))/3)+PARAMS_MODELO!$B$21*(IFERROR(LN(1+MAX(0,G1162))/LN(1+MAX(0,MAX($G$2:$G$1194))),0)))*100*PARAMS_MODELO!$B$8</f>
        <v>0</v>
      </c>
      <c r="I1162" s="8">
        <f>E1162-PARAMS_MODELO!$B$5</f>
        <v>-1.1775628353755265</v>
      </c>
      <c r="J1162" s="5">
        <f>IF(I1162&lt;=PARAMS_MODELO!$B$18,0,IF(I1162&gt;=PARAMS_MODELO!$B$19,100,100*(I1162-PARAMS_MODELO!$B$18)/(PARAMS_MODELO!$B$19-PARAMS_MODELO!$B$18)))*PARAMS_MODELO!$B$9</f>
        <v>0</v>
      </c>
      <c r="K1162" s="5">
        <f>IFERROR(CHOOSE(MATCH(PARAMS_MODELO!$B$2,{"Q1","Q2","Q3"},0),LOTO!$D1162,LOTO!$F1162,LOTO!$H1162),0)</f>
        <v>0</v>
      </c>
      <c r="L1162" s="8">
        <f t="shared" si="434"/>
        <v>0</v>
      </c>
      <c r="M1162" s="5">
        <f>MIN(100,IF(PARAMS_MODELO!$B$23=0,0,100*L1162/PARAMS_MODELO!$B$23))*PARAMS_MODELO!$B$10</f>
        <v>0</v>
      </c>
      <c r="N1162" s="5">
        <f>IFERROR(VLOOKUP(A1162,COMPLIANCE!$A$2:$F$1996,6,0),100)</f>
        <v>99.98</v>
      </c>
      <c r="O1162" s="5">
        <f>N1162*PARAMS_MODELO!$B$11</f>
        <v>9.9980000000000011</v>
      </c>
      <c r="P1162" s="5">
        <f>IFERROR(VLOOKUP(A1162,DIGITAL!$A$2:$J$2000,7,0),100)</f>
        <v>60</v>
      </c>
      <c r="Q1162" s="5">
        <f>IFERROR(P1162,0)*PARAMS_MODELO!$B$12</f>
        <v>6</v>
      </c>
      <c r="R1162">
        <f t="shared" si="435"/>
        <v>15.998000000000001</v>
      </c>
      <c r="S1162" s="5" t="str">
        <f>IFERROR(VLOOKUP(A1162,CLIENTE!$A$2:$N$2000,13,0),1)</f>
        <v>Regular</v>
      </c>
      <c r="T1162" s="5">
        <f>IFERROR(VLOOKUP(A1162,CLIENTE!$A$2:$N$2000,14,0),1)</f>
        <v>1</v>
      </c>
      <c r="U1162" s="5">
        <f t="shared" si="436"/>
        <v>15.998000000000001</v>
      </c>
      <c r="V1162" s="5" t="str">
        <f>IF(U1162&gt;=MAX(_xlfn.PERCENTILE.INC($U$2:$U$1194,PARAMS_MODELO!$B$50),PARAMS_MODELO!$B$45),"DIAMANTE",IF(U1162&gt;=MAX(_xlfn.PERCENTILE.INC($U$2:$U$1194,PARAMS_MODELO!$B$51),PARAMS_MODELO!$B$46),"PLATINO",IF(U1162&gt;=MAX(_xlfn.PERCENTILE.INC($U$2:$U$1194,PARAMS_MODELO!$B$52),PARAMS_MODELO!$B$47),"ORO",IF(U1162&gt;=MAX(_xlfn.PERCENTILE.INC($U$2:$U$1194,PARAMS_MODELO!$B$53),PARAMS_MODELO!$B$48),"PLATA",IF(U1162&gt;=1,"BRONCE","CERRADO")))))</f>
        <v>BRONCE</v>
      </c>
      <c r="W1162" s="5" t="str" cm="1">
        <f t="array" ref="W1162">_xlfn.XLOOKUP(1, (HIST_SCORE!$B:$B=PARAMS_MODELO!$B$4) * (HIST_SCORE!$C:$C=A1162), HIST_SCORE!$E:$E, "No encontrado")</f>
        <v>BRONCE</v>
      </c>
      <c r="X1162" s="5" t="str">
        <f>_xlfn.LET(_xlpm.act,MATCH(V1162,{"DIAMANTE";"PLATINO";"ORO";"PLATA";"BRONCE";"CERRADO"},0),_xlpm.ant,MATCH(W1162,{"DIAMANTE";"PLATINO";"ORO";"PLATA";"BRONCE";"CERRADO"},0),IF(_xlpm.act&lt;_xlpm.ant,"Mejora ↑",IF(_xlpm.act&gt;_xlpm.ant,"Baja ↓","Estable →")))</f>
        <v>Estable →</v>
      </c>
      <c r="Y1162" s="5">
        <f>IFERROR(U1162-SUMIFS(HIST_SCORE!$D:$D,HIST_SCORE!$B:$B,PARAMS_MODELO!$B$4,HIST_SCORE!$C:$C,$A1162),"")</f>
        <v>0</v>
      </c>
      <c r="Z1162" s="5" t="str">
        <f t="shared" si="437"/>
        <v>→ Estable</v>
      </c>
      <c r="AA1162" s="5">
        <f t="shared" si="438"/>
        <v>1067</v>
      </c>
      <c r="AB1162" s="5">
        <f>IFERROR(SUMIFS(HIST_SCORE!$F:$F,HIST_SCORE!$B:$B,PARAMS_MODELO!$B$4,HIST_SCORE!$C:$C,$A1162),"")</f>
        <v>1064</v>
      </c>
      <c r="AC1162" s="5">
        <f t="shared" si="439"/>
        <v>-3</v>
      </c>
      <c r="AD1162" t="str">
        <f t="shared" si="441"/>
        <v/>
      </c>
      <c r="AE11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1162="CERRADO",1,IF(V1162="BRONCE",_xlpm.cPl,IF(V1162="PLATA",_xlpm.cO,IF(V1162="ORO",_xlpm.cP,IF(V1162="PLATINO",_xlpm.cD,999))))))</f>
        <v>24.506573482968111</v>
      </c>
      <c r="AF116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1162="CERRADO",0,IF(V1162="BRONCE",1,IF(V1162="PLATA",_xlpm.cPl,IF(V1162="ORO",_xlpm.cO,IF(V1162="PLATINO",_xlpm.cP,_xlpm.cD))))))</f>
        <v>1</v>
      </c>
      <c r="AG1162">
        <f t="shared" si="442"/>
        <v>8.5085734829681101</v>
      </c>
      <c r="AH1162" t="str">
        <f t="shared" si="443"/>
        <v>VENTAS</v>
      </c>
      <c r="AI1162" t="str">
        <f t="shared" si="440"/>
        <v>🎯 Para subir de categoría, eje VENTAS / CRECIMIENTO PERSONAL (F). Acción: metas semanales + activación comercial + seguimiento del asesor. ΔR aprox: 8,5</v>
      </c>
      <c r="AJ1162" s="26">
        <f>_xlfn.LET(_xlpm.piso,AF1162,_xlpm.corte,AE1162,_xlpm.prog,IF(_xlpm.corte&lt;=_xlpm.piso,0,MAX(0,MIN(1,(U1162-_xlpm.piso)/(_xlpm.corte-_xlpm.piso)))),_xlpm.orden,{"DIAMANTE";"PLATINO";"ORO";"PLATA";"BRONCE";"CERRADO"},_xlpm.act,IFERROR(MATCH(V1162,_xlpm.orden,0),6),_xlpm.ant,IFERROR(MATCH(W1162,_xlpm.orden,0),6),_xlpm.ajmov,IF(_xlpm.act&lt;_xlpm.ant,0.08,IF(_xlpm.act&gt;_xlpm.ant,-0.08,0)),_xlpm.ajcli,IF(T1162&lt;0.95,-0.06,0),_xlpm.prob,MAX(0,MIN(1,_xlpm.prog+_xlpm.ajmov+_xlpm.ajcli)),IF(OR(V1162="DIAMANTE",V1162="CERRADO"),0,ROUND(_xlpm.prob,2)))</f>
        <v>0.64</v>
      </c>
      <c r="AK1162" t="str">
        <f t="shared" si="444"/>
        <v>Faltan 8,5 puntos base para subir a la siguiente categoría</v>
      </c>
      <c r="AL1162" t="str">
        <f t="shared" si="445"/>
        <v>No aplica</v>
      </c>
      <c r="AM1162">
        <f t="shared" si="446"/>
        <v>0.48</v>
      </c>
      <c r="AN1162" t="str">
        <f t="shared" si="447"/>
        <v>PRIORIDAD MEDIA – seguimiento del asesor</v>
      </c>
      <c r="AO1162">
        <f t="shared" si="448"/>
        <v>64.862569275295584</v>
      </c>
      <c r="AP1162">
        <f t="shared" si="449"/>
        <v>15</v>
      </c>
      <c r="AQ1162">
        <f t="shared" si="450"/>
        <v>1.9999999999988916E-3</v>
      </c>
      <c r="AR1162">
        <f t="shared" si="451"/>
        <v>4</v>
      </c>
      <c r="AS1162">
        <f t="shared" si="452"/>
        <v>0</v>
      </c>
      <c r="AT1162" t="str">
        <f t="shared" si="453"/>
        <v>VENTAS</v>
      </c>
      <c r="AU1162">
        <f t="shared" si="454"/>
        <v>64.862569275295584</v>
      </c>
      <c r="AV1162" t="str">
        <f t="shared" si="455"/>
        <v>Mayor retorno probable: VENTAS (+64,9 puntos finales potenciales).</v>
      </c>
    </row>
    <row r="1163" spans="1:48" x14ac:dyDescent="0.3">
      <c r="A1163" s="5">
        <v>51055187</v>
      </c>
      <c r="B1163" s="5" t="str">
        <f>IFERROR(VLOOKUP(A1163,VENTAS!$A$2:$B$1194,2,0),"")</f>
        <v/>
      </c>
      <c r="C1163" s="5">
        <f>IFERROR(INDEX(VENTAS!$C$2:$E$1194,MATCH(A1163,VENTAS!$A$2:$A$1194,0),MATCH(PARAMS_MODELO!$B$2,{"Q1","Q2","Q3"},0)),0)</f>
        <v>23919110.350000001</v>
      </c>
      <c r="D1163" s="5">
        <f>IFERROR(INDEX(VENTAS!$F$2:$H$1194,MATCH(A1163,VENTAS!$A$2:$A$1194,0),MATCH(PARAMS_MODELO!$B$2,{"Q1","Q2","Q3"},0)),0)</f>
        <v>0</v>
      </c>
      <c r="E1163" s="8">
        <f t="shared" si="432"/>
        <v>-1</v>
      </c>
      <c r="F1163" s="12">
        <f>IF(E1163&lt;=PARAMS_MODELO!$B$15,0,IF(E1163&gt;=PARAMS_MODELO!$B$17,100,100*MIN(1,(E1163-PARAMS_MODELO!$B$15)/(PARAMS_MODELO!$B$16-PARAMS_MODELO!$B$15))))*PARAMS_MODELO!$B$7</f>
        <v>0</v>
      </c>
      <c r="G1163" s="5">
        <f t="shared" si="433"/>
        <v>0</v>
      </c>
      <c r="H1163" s="5">
        <f>(PARAMS_MODELO!$B$20*(MAX(0,MIN(3,E1163))/3)+PARAMS_MODELO!$B$21*(IFERROR(LN(1+MAX(0,G1163))/LN(1+MAX(0,MAX($G$2:$G$1194))),0)))*100*PARAMS_MODELO!$B$8</f>
        <v>0</v>
      </c>
      <c r="I1163" s="8">
        <f>E1163-PARAMS_MODELO!$B$5</f>
        <v>-1.1775628353755265</v>
      </c>
      <c r="J1163" s="5">
        <f>IF(I1163&lt;=PARAMS_MODELO!$B$18,0,IF(I1163&gt;=PARAMS_MODELO!$B$19,100,100*(I1163-PARAMS_MODELO!$B$18)/(PARAMS_MODELO!$B$19-PARAMS_MODELO!$B$18)))*PARAMS_MODELO!$B$9</f>
        <v>0</v>
      </c>
      <c r="K1163" s="5">
        <f>IFERROR(CHOOSE(MATCH(PARAMS_MODELO!$B$2,{"Q1","Q2","Q3"},0),LOTO!$D1163,LOTO!$F1163,LOTO!$H1163),0)</f>
        <v>0</v>
      </c>
      <c r="L1163" s="8">
        <f t="shared" si="434"/>
        <v>0</v>
      </c>
      <c r="M1163" s="5">
        <f>MIN(100,IF(PARAMS_MODELO!$B$23=0,0,100*L1163/PARAMS_MODELO!$B$23))*PARAMS_MODELO!$B$10</f>
        <v>0</v>
      </c>
      <c r="N1163" s="5">
        <f>IFERROR(VLOOKUP(A1163,COMPLIANCE!$A$2:$F$1996,6,0),100)</f>
        <v>100</v>
      </c>
      <c r="O1163" s="5">
        <f>N1163*PARAMS_MODELO!$B$11</f>
        <v>10</v>
      </c>
      <c r="P1163" s="5">
        <f>IFERROR(VLOOKUP(A1163,DIGITAL!$A$2:$J$2000,7,0),100)</f>
        <v>16</v>
      </c>
      <c r="Q1163" s="5">
        <f>IFERROR(P1163,0)*PARAMS_MODELO!$B$12</f>
        <v>1.6</v>
      </c>
      <c r="R1163">
        <f t="shared" si="435"/>
        <v>11.6</v>
      </c>
      <c r="S1163" s="5" t="str">
        <f>IFERROR(VLOOKUP(A1163,CLIENTE!$A$2:$N$2000,13,0),1)</f>
        <v>Regular</v>
      </c>
      <c r="T1163" s="5">
        <f>IFERROR(VLOOKUP(A1163,CLIENTE!$A$2:$N$2000,14,0),1)</f>
        <v>1</v>
      </c>
      <c r="U1163" s="5">
        <f t="shared" si="436"/>
        <v>11.6</v>
      </c>
      <c r="V1163" s="5" t="str">
        <f>IF(U1163&gt;=MAX(_xlfn.PERCENTILE.INC($U$2:$U$1194,PARAMS_MODELO!$B$50),PARAMS_MODELO!$B$45),"DIAMANTE",IF(U1163&gt;=MAX(_xlfn.PERCENTILE.INC($U$2:$U$1194,PARAMS_MODELO!$B$51),PARAMS_MODELO!$B$46),"PLATINO",IF(U1163&gt;=MAX(_xlfn.PERCENTILE.INC($U$2:$U$1194,PARAMS_MODELO!$B$52),PARAMS_MODELO!$B$47),"ORO",IF(U1163&gt;=MAX(_xlfn.PERCENTILE.INC($U$2:$U$1194,PARAMS_MODELO!$B$53),PARAMS_MODELO!$B$48),"PLATA",IF(U1163&gt;=1,"BRONCE","CERRADO")))))</f>
        <v>BRONCE</v>
      </c>
      <c r="W1163" s="5" t="str" cm="1">
        <f t="array" ref="W1163">_xlfn.XLOOKUP(1, (HIST_SCORE!$B:$B=PARAMS_MODELO!$B$4) * (HIST_SCORE!$C:$C=A1163), HIST_SCORE!$E:$E, "No encontrado")</f>
        <v>BRONCE</v>
      </c>
      <c r="X1163" s="5" t="str">
        <f>_xlfn.LET(_xlpm.act,MATCH(V1163,{"DIAMANTE";"PLATINO";"ORO";"PLATA";"BRONCE";"CERRADO"},0),_xlpm.ant,MATCH(W1163,{"DIAMANTE";"PLATINO";"ORO";"PLATA";"BRONCE";"CERRADO"},0),IF(_xlpm.act&lt;_xlpm.ant,"Mejora ↑",IF(_xlpm.act&gt;_xlpm.ant,"Baja ↓","Estable →")))</f>
        <v>Estable →</v>
      </c>
      <c r="Y1163" s="5">
        <f>IFERROR(U1163-SUMIFS(HIST_SCORE!$D:$D,HIST_SCORE!$B:$B,PARAMS_MODELO!$B$4,HIST_SCORE!$C:$C,$A1163),"")</f>
        <v>0</v>
      </c>
      <c r="Z1163" s="5" t="str">
        <f t="shared" si="437"/>
        <v>→ Estable</v>
      </c>
      <c r="AA1163" s="5">
        <f t="shared" si="438"/>
        <v>1136</v>
      </c>
      <c r="AB1163" s="5">
        <f>IFERROR(SUMIFS(HIST_SCORE!$F:$F,HIST_SCORE!$B:$B,PARAMS_MODELO!$B$4,HIST_SCORE!$C:$C,$A1163),"")</f>
        <v>1134</v>
      </c>
      <c r="AC1163" s="5">
        <f t="shared" si="439"/>
        <v>-2</v>
      </c>
      <c r="AD1163" t="str">
        <f t="shared" si="441"/>
        <v/>
      </c>
      <c r="AE11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1163="CERRADO",1,IF(V1163="BRONCE",_xlpm.cPl,IF(V1163="PLATA",_xlpm.cO,IF(V1163="ORO",_xlpm.cP,IF(V1163="PLATINO",_xlpm.cD,999))))))</f>
        <v>24.506573482968111</v>
      </c>
      <c r="AF116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1163="CERRADO",0,IF(V1163="BRONCE",1,IF(V1163="PLATA",_xlpm.cPl,IF(V1163="ORO",_xlpm.cO,IF(V1163="PLATINO",_xlpm.cP,_xlpm.cD))))))</f>
        <v>1</v>
      </c>
      <c r="AG1163">
        <f t="shared" si="442"/>
        <v>12.906573482968112</v>
      </c>
      <c r="AH1163" t="str">
        <f t="shared" si="443"/>
        <v>VENTAS</v>
      </c>
      <c r="AI1163" t="str">
        <f t="shared" si="440"/>
        <v>🎯 Para subir de categoría, eje VENTAS / CRECIMIENTO PERSONAL (F). Acción: metas semanales + activación comercial + seguimiento del asesor. ΔR aprox: 12,9</v>
      </c>
      <c r="AJ1163" s="26">
        <f>_xlfn.LET(_xlpm.piso,AF1163,_xlpm.corte,AE1163,_xlpm.prog,IF(_xlpm.corte&lt;=_xlpm.piso,0,MAX(0,MIN(1,(U1163-_xlpm.piso)/(_xlpm.corte-_xlpm.piso)))),_xlpm.orden,{"DIAMANTE";"PLATINO";"ORO";"PLATA";"BRONCE";"CERRADO"},_xlpm.act,IFERROR(MATCH(V1163,_xlpm.orden,0),6),_xlpm.ant,IFERROR(MATCH(W1163,_xlpm.orden,0),6),_xlpm.ajmov,IF(_xlpm.act&lt;_xlpm.ant,0.08,IF(_xlpm.act&gt;_xlpm.ant,-0.08,0)),_xlpm.ajcli,IF(T1163&lt;0.95,-0.06,0),_xlpm.prob,MAX(0,MIN(1,_xlpm.prog+_xlpm.ajmov+_xlpm.ajcli)),IF(OR(V1163="DIAMANTE",V1163="CERRADO"),0,ROUND(_xlpm.prob,2)))</f>
        <v>0.45</v>
      </c>
      <c r="AK1163" t="str">
        <f t="shared" si="444"/>
        <v>Faltan 12,9 puntos base para subir a la siguiente categoría</v>
      </c>
      <c r="AL1163" t="str">
        <f t="shared" si="445"/>
        <v>No aplica</v>
      </c>
      <c r="AM1163">
        <f t="shared" si="446"/>
        <v>0.62</v>
      </c>
      <c r="AN1163" t="str">
        <f t="shared" si="447"/>
        <v>PRIORIDAD MEDIA – seguimiento del asesor</v>
      </c>
      <c r="AO1163">
        <f t="shared" si="448"/>
        <v>64.862569275295584</v>
      </c>
      <c r="AP1163">
        <f t="shared" si="449"/>
        <v>15</v>
      </c>
      <c r="AQ1163">
        <f t="shared" si="450"/>
        <v>0</v>
      </c>
      <c r="AR1163">
        <f t="shared" si="451"/>
        <v>8.4</v>
      </c>
      <c r="AS1163">
        <f t="shared" si="452"/>
        <v>0</v>
      </c>
      <c r="AT1163" t="str">
        <f t="shared" si="453"/>
        <v>VENTAS</v>
      </c>
      <c r="AU1163">
        <f t="shared" si="454"/>
        <v>64.862569275295584</v>
      </c>
      <c r="AV1163" t="str">
        <f t="shared" si="455"/>
        <v>Mayor retorno probable: VENTAS (+64,9 puntos finales potenciales).</v>
      </c>
    </row>
    <row r="1164" spans="1:48" x14ac:dyDescent="0.3">
      <c r="A1164" s="5">
        <v>51055195</v>
      </c>
      <c r="B1164" s="5" t="str">
        <f>IFERROR(VLOOKUP(A1164,VENTAS!$A$2:$B$1194,2,0),"")</f>
        <v/>
      </c>
      <c r="C1164" s="5">
        <f>IFERROR(INDEX(VENTAS!$C$2:$E$1194,MATCH(A1164,VENTAS!$A$2:$A$1194,0),MATCH(PARAMS_MODELO!$B$2,{"Q1","Q2","Q3"},0)),0)</f>
        <v>23457366.699999999</v>
      </c>
      <c r="D1164" s="5">
        <f>IFERROR(INDEX(VENTAS!$F$2:$H$1194,MATCH(A1164,VENTAS!$A$2:$A$1194,0),MATCH(PARAMS_MODELO!$B$2,{"Q1","Q2","Q3"},0)),0)</f>
        <v>0</v>
      </c>
      <c r="E1164" s="8">
        <f t="shared" si="432"/>
        <v>-1</v>
      </c>
      <c r="F1164" s="12">
        <f>IF(E1164&lt;=PARAMS_MODELO!$B$15,0,IF(E1164&gt;=PARAMS_MODELO!$B$17,100,100*MIN(1,(E1164-PARAMS_MODELO!$B$15)/(PARAMS_MODELO!$B$16-PARAMS_MODELO!$B$15))))*PARAMS_MODELO!$B$7</f>
        <v>0</v>
      </c>
      <c r="G1164" s="5">
        <f t="shared" si="433"/>
        <v>0</v>
      </c>
      <c r="H1164" s="5">
        <f>(PARAMS_MODELO!$B$20*(MAX(0,MIN(3,E1164))/3)+PARAMS_MODELO!$B$21*(IFERROR(LN(1+MAX(0,G1164))/LN(1+MAX(0,MAX($G$2:$G$1194))),0)))*100*PARAMS_MODELO!$B$8</f>
        <v>0</v>
      </c>
      <c r="I1164" s="8">
        <f>E1164-PARAMS_MODELO!$B$5</f>
        <v>-1.1775628353755265</v>
      </c>
      <c r="J1164" s="5">
        <f>IF(I1164&lt;=PARAMS_MODELO!$B$18,0,IF(I1164&gt;=PARAMS_MODELO!$B$19,100,100*(I1164-PARAMS_MODELO!$B$18)/(PARAMS_MODELO!$B$19-PARAMS_MODELO!$B$18)))*PARAMS_MODELO!$B$9</f>
        <v>0</v>
      </c>
      <c r="K1164" s="5">
        <f>IFERROR(CHOOSE(MATCH(PARAMS_MODELO!$B$2,{"Q1","Q2","Q3"},0),LOTO!$D1164,LOTO!$F1164,LOTO!$H1164),0)</f>
        <v>0</v>
      </c>
      <c r="L1164" s="8">
        <f t="shared" si="434"/>
        <v>0</v>
      </c>
      <c r="M1164" s="5">
        <f>MIN(100,IF(PARAMS_MODELO!$B$23=0,0,100*L1164/PARAMS_MODELO!$B$23))*PARAMS_MODELO!$B$10</f>
        <v>0</v>
      </c>
      <c r="N1164" s="5">
        <f>IFERROR(VLOOKUP(A1164,COMPLIANCE!$A$2:$F$1996,6,0),100)</f>
        <v>100</v>
      </c>
      <c r="O1164" s="5">
        <f>N1164*PARAMS_MODELO!$B$11</f>
        <v>10</v>
      </c>
      <c r="P1164" s="5">
        <f>IFERROR(VLOOKUP(A1164,DIGITAL!$A$2:$J$2000,7,0),100)</f>
        <v>20</v>
      </c>
      <c r="Q1164" s="5">
        <f>IFERROR(P1164,0)*PARAMS_MODELO!$B$12</f>
        <v>2</v>
      </c>
      <c r="R1164">
        <f t="shared" si="435"/>
        <v>12</v>
      </c>
      <c r="S1164" s="5" t="str">
        <f>IFERROR(VLOOKUP(A1164,CLIENTE!$A$2:$N$2000,13,0),1)</f>
        <v>Muy Bueno</v>
      </c>
      <c r="T1164" s="5">
        <f>IFERROR(VLOOKUP(A1164,CLIENTE!$A$2:$N$2000,14,0),1)</f>
        <v>1.1499999999999999</v>
      </c>
      <c r="U1164" s="5">
        <f t="shared" si="436"/>
        <v>13.799999999999999</v>
      </c>
      <c r="V1164" s="5" t="str">
        <f>IF(U1164&gt;=MAX(_xlfn.PERCENTILE.INC($U$2:$U$1194,PARAMS_MODELO!$B$50),PARAMS_MODELO!$B$45),"DIAMANTE",IF(U1164&gt;=MAX(_xlfn.PERCENTILE.INC($U$2:$U$1194,PARAMS_MODELO!$B$51),PARAMS_MODELO!$B$46),"PLATINO",IF(U1164&gt;=MAX(_xlfn.PERCENTILE.INC($U$2:$U$1194,PARAMS_MODELO!$B$52),PARAMS_MODELO!$B$47),"ORO",IF(U1164&gt;=MAX(_xlfn.PERCENTILE.INC($U$2:$U$1194,PARAMS_MODELO!$B$53),PARAMS_MODELO!$B$48),"PLATA",IF(U1164&gt;=1,"BRONCE","CERRADO")))))</f>
        <v>BRONCE</v>
      </c>
      <c r="W1164" s="5" t="str" cm="1">
        <f t="array" ref="W1164">_xlfn.XLOOKUP(1, (HIST_SCORE!$B:$B=PARAMS_MODELO!$B$4) * (HIST_SCORE!$C:$C=A1164), HIST_SCORE!$E:$E, "No encontrado")</f>
        <v>BRONCE</v>
      </c>
      <c r="X1164" s="5" t="str">
        <f>_xlfn.LET(_xlpm.act,MATCH(V1164,{"DIAMANTE";"PLATINO";"ORO";"PLATA";"BRONCE";"CERRADO"},0),_xlpm.ant,MATCH(W1164,{"DIAMANTE";"PLATINO";"ORO";"PLATA";"BRONCE";"CERRADO"},0),IF(_xlpm.act&lt;_xlpm.ant,"Mejora ↑",IF(_xlpm.act&gt;_xlpm.ant,"Baja ↓","Estable →")))</f>
        <v>Estable →</v>
      </c>
      <c r="Y1164" s="5">
        <f>IFERROR(U1164-SUMIFS(HIST_SCORE!$D:$D,HIST_SCORE!$B:$B,PARAMS_MODELO!$B$4,HIST_SCORE!$C:$C,$A1164),"")</f>
        <v>0</v>
      </c>
      <c r="Z1164" s="5" t="str">
        <f t="shared" si="437"/>
        <v>→ Estable</v>
      </c>
      <c r="AA1164" s="5">
        <f t="shared" si="438"/>
        <v>1091</v>
      </c>
      <c r="AB1164" s="5">
        <f>IFERROR(SUMIFS(HIST_SCORE!$F:$F,HIST_SCORE!$B:$B,PARAMS_MODELO!$B$4,HIST_SCORE!$C:$C,$A1164),"")</f>
        <v>1089</v>
      </c>
      <c r="AC1164" s="5">
        <f t="shared" si="439"/>
        <v>-2</v>
      </c>
      <c r="AD1164" t="str">
        <f t="shared" si="441"/>
        <v/>
      </c>
      <c r="AE11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1164="CERRADO",1,IF(V1164="BRONCE",_xlpm.cPl,IF(V1164="PLATA",_xlpm.cO,IF(V1164="ORO",_xlpm.cP,IF(V1164="PLATINO",_xlpm.cD,999))))))</f>
        <v>24.506573482968111</v>
      </c>
      <c r="AF116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1164="CERRADO",0,IF(V1164="BRONCE",1,IF(V1164="PLATA",_xlpm.cPl,IF(V1164="ORO",_xlpm.cO,IF(V1164="PLATINO",_xlpm.cP,_xlpm.cD))))))</f>
        <v>1</v>
      </c>
      <c r="AG1164">
        <f t="shared" si="442"/>
        <v>9.3100638982331425</v>
      </c>
      <c r="AH1164" t="str">
        <f t="shared" si="443"/>
        <v>VENTAS</v>
      </c>
      <c r="AI1164" t="str">
        <f t="shared" si="440"/>
        <v>🎯 Para subir de categoría, eje VENTAS / CRECIMIENTO PERSONAL (F). Acción: metas semanales + activación comercial + seguimiento del asesor. ΔR aprox: 9,3</v>
      </c>
      <c r="AJ1164" s="26">
        <f>_xlfn.LET(_xlpm.piso,AF1164,_xlpm.corte,AE1164,_xlpm.prog,IF(_xlpm.corte&lt;=_xlpm.piso,0,MAX(0,MIN(1,(U1164-_xlpm.piso)/(_xlpm.corte-_xlpm.piso)))),_xlpm.orden,{"DIAMANTE";"PLATINO";"ORO";"PLATA";"BRONCE";"CERRADO"},_xlpm.act,IFERROR(MATCH(V1164,_xlpm.orden,0),6),_xlpm.ant,IFERROR(MATCH(W1164,_xlpm.orden,0),6),_xlpm.ajmov,IF(_xlpm.act&lt;_xlpm.ant,0.08,IF(_xlpm.act&gt;_xlpm.ant,-0.08,0)),_xlpm.ajcli,IF(T1164&lt;0.95,-0.06,0),_xlpm.prob,MAX(0,MIN(1,_xlpm.prog+_xlpm.ajmov+_xlpm.ajcli)),IF(OR(V1164="DIAMANTE",V1164="CERRADO"),0,ROUND(_xlpm.prob,2)))</f>
        <v>0.54</v>
      </c>
      <c r="AK1164" t="str">
        <f t="shared" si="444"/>
        <v>Faltan 9,3 puntos base para subir a la siguiente categoría</v>
      </c>
      <c r="AL1164" t="str">
        <f t="shared" si="445"/>
        <v>No aplica</v>
      </c>
      <c r="AM1164">
        <f t="shared" si="446"/>
        <v>0.56000000000000005</v>
      </c>
      <c r="AN1164" t="str">
        <f t="shared" si="447"/>
        <v>PRIORIDAD MEDIA – seguimiento del asesor</v>
      </c>
      <c r="AO1164">
        <f t="shared" si="448"/>
        <v>74.591954666589913</v>
      </c>
      <c r="AP1164">
        <f t="shared" si="449"/>
        <v>17.25</v>
      </c>
      <c r="AQ1164">
        <f t="shared" si="450"/>
        <v>0</v>
      </c>
      <c r="AR1164">
        <f t="shared" si="451"/>
        <v>9.1999999999999993</v>
      </c>
      <c r="AS1164">
        <f t="shared" si="452"/>
        <v>0</v>
      </c>
      <c r="AT1164" t="str">
        <f t="shared" si="453"/>
        <v>VENTAS</v>
      </c>
      <c r="AU1164">
        <f t="shared" si="454"/>
        <v>74.591954666589913</v>
      </c>
      <c r="AV1164" t="str">
        <f t="shared" si="455"/>
        <v>Mayor retorno probable: VENTAS (+74,6 puntos finales potenciales).</v>
      </c>
    </row>
    <row r="1165" spans="1:48" x14ac:dyDescent="0.3">
      <c r="A1165" s="5">
        <v>51055233</v>
      </c>
      <c r="B1165" s="5" t="str">
        <f>IFERROR(VLOOKUP(A1165,VENTAS!$A$2:$B$1194,2,0),"")</f>
        <v/>
      </c>
      <c r="C1165" s="5">
        <f>IFERROR(INDEX(VENTAS!$C$2:$E$1194,MATCH(A1165,VENTAS!$A$2:$A$1194,0),MATCH(PARAMS_MODELO!$B$2,{"Q1","Q2","Q3"},0)),0)</f>
        <v>53482955.399999999</v>
      </c>
      <c r="D1165" s="5">
        <f>IFERROR(INDEX(VENTAS!$F$2:$H$1194,MATCH(A1165,VENTAS!$A$2:$A$1194,0),MATCH(PARAMS_MODELO!$B$2,{"Q1","Q2","Q3"},0)),0)</f>
        <v>0</v>
      </c>
      <c r="E1165" s="8">
        <f t="shared" si="432"/>
        <v>-1</v>
      </c>
      <c r="F1165" s="12">
        <f>IF(E1165&lt;=PARAMS_MODELO!$B$15,0,IF(E1165&gt;=PARAMS_MODELO!$B$17,100,100*MIN(1,(E1165-PARAMS_MODELO!$B$15)/(PARAMS_MODELO!$B$16-PARAMS_MODELO!$B$15))))*PARAMS_MODELO!$B$7</f>
        <v>0</v>
      </c>
      <c r="G1165" s="5">
        <f t="shared" si="433"/>
        <v>0</v>
      </c>
      <c r="H1165" s="5">
        <f>(PARAMS_MODELO!$B$20*(MAX(0,MIN(3,E1165))/3)+PARAMS_MODELO!$B$21*(IFERROR(LN(1+MAX(0,G1165))/LN(1+MAX(0,MAX($G$2:$G$1194))),0)))*100*PARAMS_MODELO!$B$8</f>
        <v>0</v>
      </c>
      <c r="I1165" s="8">
        <f>E1165-PARAMS_MODELO!$B$5</f>
        <v>-1.1775628353755265</v>
      </c>
      <c r="J1165" s="5">
        <f>IF(I1165&lt;=PARAMS_MODELO!$B$18,0,IF(I1165&gt;=PARAMS_MODELO!$B$19,100,100*(I1165-PARAMS_MODELO!$B$18)/(PARAMS_MODELO!$B$19-PARAMS_MODELO!$B$18)))*PARAMS_MODELO!$B$9</f>
        <v>0</v>
      </c>
      <c r="K1165" s="5">
        <f>IFERROR(CHOOSE(MATCH(PARAMS_MODELO!$B$2,{"Q1","Q2","Q3"},0),LOTO!$D1165,LOTO!$F1165,LOTO!$H1165),0)</f>
        <v>0</v>
      </c>
      <c r="L1165" s="8">
        <f t="shared" si="434"/>
        <v>0</v>
      </c>
      <c r="M1165" s="5">
        <f>MIN(100,IF(PARAMS_MODELO!$B$23=0,0,100*L1165/PARAMS_MODELO!$B$23))*PARAMS_MODELO!$B$10</f>
        <v>0</v>
      </c>
      <c r="N1165" s="5">
        <f>IFERROR(VLOOKUP(A1165,COMPLIANCE!$A$2:$F$1996,6,0),100)</f>
        <v>100</v>
      </c>
      <c r="O1165" s="5">
        <f>N1165*PARAMS_MODELO!$B$11</f>
        <v>10</v>
      </c>
      <c r="P1165" s="5">
        <f>IFERROR(VLOOKUP(A1165,DIGITAL!$A$2:$J$2000,7,0),100)</f>
        <v>92</v>
      </c>
      <c r="Q1165" s="5">
        <f>IFERROR(P1165,0)*PARAMS_MODELO!$B$12</f>
        <v>9.2000000000000011</v>
      </c>
      <c r="R1165">
        <f t="shared" si="435"/>
        <v>19.200000000000003</v>
      </c>
      <c r="S1165" s="5" t="str">
        <f>IFERROR(VLOOKUP(A1165,CLIENTE!$A$2:$N$2000,13,0),1)</f>
        <v>Regular</v>
      </c>
      <c r="T1165" s="5">
        <f>IFERROR(VLOOKUP(A1165,CLIENTE!$A$2:$N$2000,14,0),1)</f>
        <v>1</v>
      </c>
      <c r="U1165" s="5">
        <f t="shared" si="436"/>
        <v>19.200000000000003</v>
      </c>
      <c r="V1165" s="5" t="str">
        <f>IF(U1165&gt;=MAX(_xlfn.PERCENTILE.INC($U$2:$U$1194,PARAMS_MODELO!$B$50),PARAMS_MODELO!$B$45),"DIAMANTE",IF(U1165&gt;=MAX(_xlfn.PERCENTILE.INC($U$2:$U$1194,PARAMS_MODELO!$B$51),PARAMS_MODELO!$B$46),"PLATINO",IF(U1165&gt;=MAX(_xlfn.PERCENTILE.INC($U$2:$U$1194,PARAMS_MODELO!$B$52),PARAMS_MODELO!$B$47),"ORO",IF(U1165&gt;=MAX(_xlfn.PERCENTILE.INC($U$2:$U$1194,PARAMS_MODELO!$B$53),PARAMS_MODELO!$B$48),"PLATA",IF(U1165&gt;=1,"BRONCE","CERRADO")))))</f>
        <v>BRONCE</v>
      </c>
      <c r="W1165" s="5" t="str" cm="1">
        <f t="array" ref="W1165">_xlfn.XLOOKUP(1, (HIST_SCORE!$B:$B=PARAMS_MODELO!$B$4) * (HIST_SCORE!$C:$C=A1165), HIST_SCORE!$E:$E, "No encontrado")</f>
        <v>BRONCE</v>
      </c>
      <c r="X1165" s="5" t="str">
        <f>_xlfn.LET(_xlpm.act,MATCH(V1165,{"DIAMANTE";"PLATINO";"ORO";"PLATA";"BRONCE";"CERRADO"},0),_xlpm.ant,MATCH(W1165,{"DIAMANTE";"PLATINO";"ORO";"PLATA";"BRONCE";"CERRADO"},0),IF(_xlpm.act&lt;_xlpm.ant,"Mejora ↑",IF(_xlpm.act&gt;_xlpm.ant,"Baja ↓","Estable →")))</f>
        <v>Estable →</v>
      </c>
      <c r="Y1165" s="5">
        <f>IFERROR(U1165-SUMIFS(HIST_SCORE!$D:$D,HIST_SCORE!$B:$B,PARAMS_MODELO!$B$4,HIST_SCORE!$C:$C,$A1165),"")</f>
        <v>0</v>
      </c>
      <c r="Z1165" s="5" t="str">
        <f t="shared" si="437"/>
        <v>→ Estable</v>
      </c>
      <c r="AA1165" s="5">
        <f t="shared" si="438"/>
        <v>996</v>
      </c>
      <c r="AB1165" s="5">
        <f>IFERROR(SUMIFS(HIST_SCORE!$F:$F,HIST_SCORE!$B:$B,PARAMS_MODELO!$B$4,HIST_SCORE!$C:$C,$A1165),"")</f>
        <v>1001</v>
      </c>
      <c r="AC1165" s="5">
        <f t="shared" si="439"/>
        <v>5</v>
      </c>
      <c r="AD1165" t="str">
        <f t="shared" si="441"/>
        <v/>
      </c>
      <c r="AE11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1165="CERRADO",1,IF(V1165="BRONCE",_xlpm.cPl,IF(V1165="PLATA",_xlpm.cO,IF(V1165="ORO",_xlpm.cP,IF(V1165="PLATINO",_xlpm.cD,999))))))</f>
        <v>24.506573482968111</v>
      </c>
      <c r="AF116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1165="CERRADO",0,IF(V1165="BRONCE",1,IF(V1165="PLATA",_xlpm.cPl,IF(V1165="ORO",_xlpm.cO,IF(V1165="PLATINO",_xlpm.cP,_xlpm.cD))))))</f>
        <v>1</v>
      </c>
      <c r="AG1165">
        <f t="shared" si="442"/>
        <v>5.3065734829681084</v>
      </c>
      <c r="AH1165" t="str">
        <f t="shared" si="443"/>
        <v>VENTAS</v>
      </c>
      <c r="AI1165" t="str">
        <f t="shared" si="440"/>
        <v>🎯 Para subir de categoría, eje VENTAS / CRECIMIENTO PERSONAL (F). Acción: metas semanales + activación comercial + seguimiento del asesor. ΔR aprox: 5,3</v>
      </c>
      <c r="AJ1165" s="26">
        <f>_xlfn.LET(_xlpm.piso,AF1165,_xlpm.corte,AE1165,_xlpm.prog,IF(_xlpm.corte&lt;=_xlpm.piso,0,MAX(0,MIN(1,(U1165-_xlpm.piso)/(_xlpm.corte-_xlpm.piso)))),_xlpm.orden,{"DIAMANTE";"PLATINO";"ORO";"PLATA";"BRONCE";"CERRADO"},_xlpm.act,IFERROR(MATCH(V1165,_xlpm.orden,0),6),_xlpm.ant,IFERROR(MATCH(W1165,_xlpm.orden,0),6),_xlpm.ajmov,IF(_xlpm.act&lt;_xlpm.ant,0.08,IF(_xlpm.act&gt;_xlpm.ant,-0.08,0)),_xlpm.ajcli,IF(T1165&lt;0.95,-0.06,0),_xlpm.prob,MAX(0,MIN(1,_xlpm.prog+_xlpm.ajmov+_xlpm.ajcli)),IF(OR(V1165="DIAMANTE",V1165="CERRADO"),0,ROUND(_xlpm.prob,2)))</f>
        <v>0.77</v>
      </c>
      <c r="AK1165" t="str">
        <f t="shared" si="444"/>
        <v>Faltan 5,3 puntos base para subir a la siguiente categoría</v>
      </c>
      <c r="AL1165" t="str">
        <f t="shared" si="445"/>
        <v>No aplica</v>
      </c>
      <c r="AM1165">
        <f t="shared" si="446"/>
        <v>0.3</v>
      </c>
      <c r="AN1165" t="str">
        <f t="shared" si="447"/>
        <v>PRIORIDAD BAJA – control normal</v>
      </c>
      <c r="AO1165">
        <f t="shared" si="448"/>
        <v>64.862569275295584</v>
      </c>
      <c r="AP1165">
        <f t="shared" si="449"/>
        <v>15</v>
      </c>
      <c r="AQ1165">
        <f t="shared" si="450"/>
        <v>0</v>
      </c>
      <c r="AR1165">
        <f t="shared" si="451"/>
        <v>0.79999999999999893</v>
      </c>
      <c r="AS1165">
        <f t="shared" si="452"/>
        <v>0</v>
      </c>
      <c r="AT1165" t="str">
        <f t="shared" si="453"/>
        <v>VENTAS</v>
      </c>
      <c r="AU1165">
        <f t="shared" si="454"/>
        <v>64.862569275295584</v>
      </c>
      <c r="AV1165" t="str">
        <f t="shared" si="455"/>
        <v>Mayor retorno probable: VENTAS (+64,9 puntos finales potenciales).</v>
      </c>
    </row>
    <row r="1166" spans="1:48" x14ac:dyDescent="0.3">
      <c r="A1166" s="5">
        <v>51055314</v>
      </c>
      <c r="B1166" s="5" t="str">
        <f>IFERROR(VLOOKUP(A1166,VENTAS!$A$2:$B$1194,2,0),"")</f>
        <v/>
      </c>
      <c r="C1166" s="5">
        <f>IFERROR(INDEX(VENTAS!$C$2:$E$1194,MATCH(A1166,VENTAS!$A$2:$A$1194,0),MATCH(PARAMS_MODELO!$B$2,{"Q1","Q2","Q3"},0)),0)</f>
        <v>35985967.849999987</v>
      </c>
      <c r="D1166" s="5">
        <f>IFERROR(INDEX(VENTAS!$F$2:$H$1194,MATCH(A1166,VENTAS!$A$2:$A$1194,0),MATCH(PARAMS_MODELO!$B$2,{"Q1","Q2","Q3"},0)),0)</f>
        <v>0</v>
      </c>
      <c r="E1166" s="8">
        <f t="shared" si="432"/>
        <v>-1</v>
      </c>
      <c r="F1166" s="12">
        <f>IF(E1166&lt;=PARAMS_MODELO!$B$15,0,IF(E1166&gt;=PARAMS_MODELO!$B$17,100,100*MIN(1,(E1166-PARAMS_MODELO!$B$15)/(PARAMS_MODELO!$B$16-PARAMS_MODELO!$B$15))))*PARAMS_MODELO!$B$7</f>
        <v>0</v>
      </c>
      <c r="G1166" s="5">
        <f t="shared" si="433"/>
        <v>0</v>
      </c>
      <c r="H1166" s="5">
        <f>(PARAMS_MODELO!$B$20*(MAX(0,MIN(3,E1166))/3)+PARAMS_MODELO!$B$21*(IFERROR(LN(1+MAX(0,G1166))/LN(1+MAX(0,MAX($G$2:$G$1194))),0)))*100*PARAMS_MODELO!$B$8</f>
        <v>0</v>
      </c>
      <c r="I1166" s="8">
        <f>E1166-PARAMS_MODELO!$B$5</f>
        <v>-1.1775628353755265</v>
      </c>
      <c r="J1166" s="5">
        <f>IF(I1166&lt;=PARAMS_MODELO!$B$18,0,IF(I1166&gt;=PARAMS_MODELO!$B$19,100,100*(I1166-PARAMS_MODELO!$B$18)/(PARAMS_MODELO!$B$19-PARAMS_MODELO!$B$18)))*PARAMS_MODELO!$B$9</f>
        <v>0</v>
      </c>
      <c r="K1166" s="5">
        <f>IFERROR(CHOOSE(MATCH(PARAMS_MODELO!$B$2,{"Q1","Q2","Q3"},0),LOTO!$D1166,LOTO!$F1166,LOTO!$H1166),0)</f>
        <v>0</v>
      </c>
      <c r="L1166" s="8">
        <f t="shared" si="434"/>
        <v>0</v>
      </c>
      <c r="M1166" s="5">
        <f>MIN(100,IF(PARAMS_MODELO!$B$23=0,0,100*L1166/PARAMS_MODELO!$B$23))*PARAMS_MODELO!$B$10</f>
        <v>0</v>
      </c>
      <c r="N1166" s="5">
        <f>IFERROR(VLOOKUP(A1166,COMPLIANCE!$A$2:$F$1996,6,0),100)</f>
        <v>100</v>
      </c>
      <c r="O1166" s="5">
        <f>N1166*PARAMS_MODELO!$B$11</f>
        <v>10</v>
      </c>
      <c r="P1166" s="5">
        <f>IFERROR(VLOOKUP(A1166,DIGITAL!$A$2:$J$2000,7,0),100)</f>
        <v>19</v>
      </c>
      <c r="Q1166" s="5">
        <f>IFERROR(P1166,0)*PARAMS_MODELO!$B$12</f>
        <v>1.9000000000000001</v>
      </c>
      <c r="R1166">
        <f t="shared" si="435"/>
        <v>11.9</v>
      </c>
      <c r="S1166" s="5" t="str">
        <f>IFERROR(VLOOKUP(A1166,CLIENTE!$A$2:$N$2000,13,0),1)</f>
        <v>Regular</v>
      </c>
      <c r="T1166" s="5">
        <f>IFERROR(VLOOKUP(A1166,CLIENTE!$A$2:$N$2000,14,0),1)</f>
        <v>1</v>
      </c>
      <c r="U1166" s="5">
        <f t="shared" si="436"/>
        <v>11.9</v>
      </c>
      <c r="V1166" s="5" t="str">
        <f>IF(U1166&gt;=MAX(_xlfn.PERCENTILE.INC($U$2:$U$1194,PARAMS_MODELO!$B$50),PARAMS_MODELO!$B$45),"DIAMANTE",IF(U1166&gt;=MAX(_xlfn.PERCENTILE.INC($U$2:$U$1194,PARAMS_MODELO!$B$51),PARAMS_MODELO!$B$46),"PLATINO",IF(U1166&gt;=MAX(_xlfn.PERCENTILE.INC($U$2:$U$1194,PARAMS_MODELO!$B$52),PARAMS_MODELO!$B$47),"ORO",IF(U1166&gt;=MAX(_xlfn.PERCENTILE.INC($U$2:$U$1194,PARAMS_MODELO!$B$53),PARAMS_MODELO!$B$48),"PLATA",IF(U1166&gt;=1,"BRONCE","CERRADO")))))</f>
        <v>BRONCE</v>
      </c>
      <c r="W1166" s="5" t="str" cm="1">
        <f t="array" ref="W1166">_xlfn.XLOOKUP(1, (HIST_SCORE!$B:$B=PARAMS_MODELO!$B$4) * (HIST_SCORE!$C:$C=A1166), HIST_SCORE!$E:$E, "No encontrado")</f>
        <v>BRONCE</v>
      </c>
      <c r="X1166" s="5" t="str">
        <f>_xlfn.LET(_xlpm.act,MATCH(V1166,{"DIAMANTE";"PLATINO";"ORO";"PLATA";"BRONCE";"CERRADO"},0),_xlpm.ant,MATCH(W1166,{"DIAMANTE";"PLATINO";"ORO";"PLATA";"BRONCE";"CERRADO"},0),IF(_xlpm.act&lt;_xlpm.ant,"Mejora ↑",IF(_xlpm.act&gt;_xlpm.ant,"Baja ↓","Estable →")))</f>
        <v>Estable →</v>
      </c>
      <c r="Y1166" s="5">
        <f>IFERROR(U1166-SUMIFS(HIST_SCORE!$D:$D,HIST_SCORE!$B:$B,PARAMS_MODELO!$B$4,HIST_SCORE!$C:$C,$A1166),"")</f>
        <v>0</v>
      </c>
      <c r="Z1166" s="5" t="str">
        <f t="shared" si="437"/>
        <v>→ Estable</v>
      </c>
      <c r="AA1166" s="5">
        <f t="shared" si="438"/>
        <v>1133</v>
      </c>
      <c r="AB1166" s="5">
        <f>IFERROR(SUMIFS(HIST_SCORE!$F:$F,HIST_SCORE!$B:$B,PARAMS_MODELO!$B$4,HIST_SCORE!$C:$C,$A1166),"")</f>
        <v>1131</v>
      </c>
      <c r="AC1166" s="5">
        <f t="shared" si="439"/>
        <v>-2</v>
      </c>
      <c r="AD1166" t="str">
        <f t="shared" si="441"/>
        <v/>
      </c>
      <c r="AE11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1166="CERRADO",1,IF(V1166="BRONCE",_xlpm.cPl,IF(V1166="PLATA",_xlpm.cO,IF(V1166="ORO",_xlpm.cP,IF(V1166="PLATINO",_xlpm.cD,999))))))</f>
        <v>24.506573482968111</v>
      </c>
      <c r="AF116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1166="CERRADO",0,IF(V1166="BRONCE",1,IF(V1166="PLATA",_xlpm.cPl,IF(V1166="ORO",_xlpm.cO,IF(V1166="PLATINO",_xlpm.cP,_xlpm.cD))))))</f>
        <v>1</v>
      </c>
      <c r="AG1166">
        <f t="shared" si="442"/>
        <v>12.606573482968111</v>
      </c>
      <c r="AH1166" t="str">
        <f t="shared" si="443"/>
        <v>VENTAS</v>
      </c>
      <c r="AI1166" t="str">
        <f t="shared" si="440"/>
        <v>🎯 Para subir de categoría, eje VENTAS / CRECIMIENTO PERSONAL (F). Acción: metas semanales + activación comercial + seguimiento del asesor. ΔR aprox: 12,6</v>
      </c>
      <c r="AJ1166" s="26">
        <f>_xlfn.LET(_xlpm.piso,AF1166,_xlpm.corte,AE1166,_xlpm.prog,IF(_xlpm.corte&lt;=_xlpm.piso,0,MAX(0,MIN(1,(U1166-_xlpm.piso)/(_xlpm.corte-_xlpm.piso)))),_xlpm.orden,{"DIAMANTE";"PLATINO";"ORO";"PLATA";"BRONCE";"CERRADO"},_xlpm.act,IFERROR(MATCH(V1166,_xlpm.orden,0),6),_xlpm.ant,IFERROR(MATCH(W1166,_xlpm.orden,0),6),_xlpm.ajmov,IF(_xlpm.act&lt;_xlpm.ant,0.08,IF(_xlpm.act&gt;_xlpm.ant,-0.08,0)),_xlpm.ajcli,IF(T1166&lt;0.95,-0.06,0),_xlpm.prob,MAX(0,MIN(1,_xlpm.prog+_xlpm.ajmov+_xlpm.ajcli)),IF(OR(V1166="DIAMANTE",V1166="CERRADO"),0,ROUND(_xlpm.prob,2)))</f>
        <v>0.46</v>
      </c>
      <c r="AK1166" t="str">
        <f t="shared" si="444"/>
        <v>Faltan 12,6 puntos base para subir a la siguiente categoría</v>
      </c>
      <c r="AL1166" t="str">
        <f t="shared" si="445"/>
        <v>No aplica</v>
      </c>
      <c r="AM1166">
        <f t="shared" si="446"/>
        <v>0.62</v>
      </c>
      <c r="AN1166" t="str">
        <f t="shared" si="447"/>
        <v>PRIORIDAD MEDIA – seguimiento del asesor</v>
      </c>
      <c r="AO1166">
        <f t="shared" si="448"/>
        <v>64.862569275295584</v>
      </c>
      <c r="AP1166">
        <f t="shared" si="449"/>
        <v>15</v>
      </c>
      <c r="AQ1166">
        <f t="shared" si="450"/>
        <v>0</v>
      </c>
      <c r="AR1166">
        <f t="shared" si="451"/>
        <v>8.1</v>
      </c>
      <c r="AS1166">
        <f t="shared" si="452"/>
        <v>0</v>
      </c>
      <c r="AT1166" t="str">
        <f t="shared" si="453"/>
        <v>VENTAS</v>
      </c>
      <c r="AU1166">
        <f t="shared" si="454"/>
        <v>64.862569275295584</v>
      </c>
      <c r="AV1166" t="str">
        <f t="shared" si="455"/>
        <v>Mayor retorno probable: VENTAS (+64,9 puntos finales potenciales).</v>
      </c>
    </row>
    <row r="1167" spans="1:48" x14ac:dyDescent="0.3">
      <c r="A1167" s="5">
        <v>51055349</v>
      </c>
      <c r="B1167" s="5" t="str">
        <f>IFERROR(VLOOKUP(A1167,VENTAS!$A$2:$B$1194,2,0),"")</f>
        <v/>
      </c>
      <c r="C1167" s="5">
        <f>IFERROR(INDEX(VENTAS!$C$2:$E$1194,MATCH(A1167,VENTAS!$A$2:$A$1194,0),MATCH(PARAMS_MODELO!$B$2,{"Q1","Q2","Q3"},0)),0)</f>
        <v>37579387.100000001</v>
      </c>
      <c r="D1167" s="5">
        <f>IFERROR(INDEX(VENTAS!$F$2:$H$1194,MATCH(A1167,VENTAS!$A$2:$A$1194,0),MATCH(PARAMS_MODELO!$B$2,{"Q1","Q2","Q3"},0)),0)</f>
        <v>0</v>
      </c>
      <c r="E1167" s="8">
        <f t="shared" si="432"/>
        <v>-1</v>
      </c>
      <c r="F1167" s="12">
        <f>IF(E1167&lt;=PARAMS_MODELO!$B$15,0,IF(E1167&gt;=PARAMS_MODELO!$B$17,100,100*MIN(1,(E1167-PARAMS_MODELO!$B$15)/(PARAMS_MODELO!$B$16-PARAMS_MODELO!$B$15))))*PARAMS_MODELO!$B$7</f>
        <v>0</v>
      </c>
      <c r="G1167" s="5">
        <f t="shared" si="433"/>
        <v>0</v>
      </c>
      <c r="H1167" s="5">
        <f>(PARAMS_MODELO!$B$20*(MAX(0,MIN(3,E1167))/3)+PARAMS_MODELO!$B$21*(IFERROR(LN(1+MAX(0,G1167))/LN(1+MAX(0,MAX($G$2:$G$1194))),0)))*100*PARAMS_MODELO!$B$8</f>
        <v>0</v>
      </c>
      <c r="I1167" s="8">
        <f>E1167-PARAMS_MODELO!$B$5</f>
        <v>-1.1775628353755265</v>
      </c>
      <c r="J1167" s="5">
        <f>IF(I1167&lt;=PARAMS_MODELO!$B$18,0,IF(I1167&gt;=PARAMS_MODELO!$B$19,100,100*(I1167-PARAMS_MODELO!$B$18)/(PARAMS_MODELO!$B$19-PARAMS_MODELO!$B$18)))*PARAMS_MODELO!$B$9</f>
        <v>0</v>
      </c>
      <c r="K1167" s="5">
        <f>IFERROR(CHOOSE(MATCH(PARAMS_MODELO!$B$2,{"Q1","Q2","Q3"},0),LOTO!$D1167,LOTO!$F1167,LOTO!$H1167),0)</f>
        <v>0</v>
      </c>
      <c r="L1167" s="8">
        <f t="shared" si="434"/>
        <v>0</v>
      </c>
      <c r="M1167" s="5">
        <f>MIN(100,IF(PARAMS_MODELO!$B$23=0,0,100*L1167/PARAMS_MODELO!$B$23))*PARAMS_MODELO!$B$10</f>
        <v>0</v>
      </c>
      <c r="N1167" s="5">
        <f>IFERROR(VLOOKUP(A1167,COMPLIANCE!$A$2:$F$1996,6,0),100)</f>
        <v>100</v>
      </c>
      <c r="O1167" s="5">
        <f>N1167*PARAMS_MODELO!$B$11</f>
        <v>10</v>
      </c>
      <c r="P1167" s="5">
        <f>IFERROR(VLOOKUP(A1167,DIGITAL!$A$2:$J$2000,7,0),100)</f>
        <v>40</v>
      </c>
      <c r="Q1167" s="5">
        <f>IFERROR(P1167,0)*PARAMS_MODELO!$B$12</f>
        <v>4</v>
      </c>
      <c r="R1167">
        <f t="shared" si="435"/>
        <v>14</v>
      </c>
      <c r="S1167" s="5" t="str">
        <f>IFERROR(VLOOKUP(A1167,CLIENTE!$A$2:$N$2000,13,0),1)</f>
        <v>Malo</v>
      </c>
      <c r="T1167" s="5">
        <f>IFERROR(VLOOKUP(A1167,CLIENTE!$A$2:$N$2000,14,0),1)</f>
        <v>0.7</v>
      </c>
      <c r="U1167" s="5">
        <f t="shared" si="436"/>
        <v>9.7999999999999989</v>
      </c>
      <c r="V1167" s="5" t="str">
        <f>IF(U1167&gt;=MAX(_xlfn.PERCENTILE.INC($U$2:$U$1194,PARAMS_MODELO!$B$50),PARAMS_MODELO!$B$45),"DIAMANTE",IF(U1167&gt;=MAX(_xlfn.PERCENTILE.INC($U$2:$U$1194,PARAMS_MODELO!$B$51),PARAMS_MODELO!$B$46),"PLATINO",IF(U1167&gt;=MAX(_xlfn.PERCENTILE.INC($U$2:$U$1194,PARAMS_MODELO!$B$52),PARAMS_MODELO!$B$47),"ORO",IF(U1167&gt;=MAX(_xlfn.PERCENTILE.INC($U$2:$U$1194,PARAMS_MODELO!$B$53),PARAMS_MODELO!$B$48),"PLATA",IF(U1167&gt;=1,"BRONCE","CERRADO")))))</f>
        <v>BRONCE</v>
      </c>
      <c r="W1167" s="5" t="str" cm="1">
        <f t="array" ref="W1167">_xlfn.XLOOKUP(1, (HIST_SCORE!$B:$B=PARAMS_MODELO!$B$4) * (HIST_SCORE!$C:$C=A1167), HIST_SCORE!$E:$E, "No encontrado")</f>
        <v>BRONCE</v>
      </c>
      <c r="X1167" s="5" t="str">
        <f>_xlfn.LET(_xlpm.act,MATCH(V1167,{"DIAMANTE";"PLATINO";"ORO";"PLATA";"BRONCE";"CERRADO"},0),_xlpm.ant,MATCH(W1167,{"DIAMANTE";"PLATINO";"ORO";"PLATA";"BRONCE";"CERRADO"},0),IF(_xlpm.act&lt;_xlpm.ant,"Mejora ↑",IF(_xlpm.act&gt;_xlpm.ant,"Baja ↓","Estable →")))</f>
        <v>Estable →</v>
      </c>
      <c r="Y1167" s="5">
        <f>IFERROR(U1167-SUMIFS(HIST_SCORE!$D:$D,HIST_SCORE!$B:$B,PARAMS_MODELO!$B$4,HIST_SCORE!$C:$C,$A1167),"")</f>
        <v>0</v>
      </c>
      <c r="Z1167" s="5" t="str">
        <f t="shared" si="437"/>
        <v>→ Estable</v>
      </c>
      <c r="AA1167" s="5">
        <f t="shared" si="438"/>
        <v>1171</v>
      </c>
      <c r="AB1167" s="5">
        <f>IFERROR(SUMIFS(HIST_SCORE!$F:$F,HIST_SCORE!$B:$B,PARAMS_MODELO!$B$4,HIST_SCORE!$C:$C,$A1167),"")</f>
        <v>1171</v>
      </c>
      <c r="AC1167" s="5">
        <f t="shared" si="439"/>
        <v>0</v>
      </c>
      <c r="AD1167" t="str">
        <f t="shared" si="441"/>
        <v/>
      </c>
      <c r="AE11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1167="CERRADO",1,IF(V1167="BRONCE",_xlpm.cPl,IF(V1167="PLATA",_xlpm.cO,IF(V1167="ORO",_xlpm.cP,IF(V1167="PLATINO",_xlpm.cD,999))))))</f>
        <v>24.506573482968111</v>
      </c>
      <c r="AF116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1167="CERRADO",0,IF(V1167="BRONCE",1,IF(V1167="PLATA",_xlpm.cPl,IF(V1167="ORO",_xlpm.cO,IF(V1167="PLATINO",_xlpm.cP,_xlpm.cD))))))</f>
        <v>1</v>
      </c>
      <c r="AG1167">
        <f t="shared" si="442"/>
        <v>21.009390689954444</v>
      </c>
      <c r="AH1167" t="str">
        <f t="shared" si="443"/>
        <v>VENTAS</v>
      </c>
      <c r="AI1167" t="str">
        <f t="shared" si="440"/>
        <v>🎯 Para subir de categoría, eje VENTAS / CRECIMIENTO PERSONAL (F). Acción: metas semanales + activación comercial + seguimiento del asesor. ΔR aprox: 21,0</v>
      </c>
      <c r="AJ1167" s="26">
        <f>_xlfn.LET(_xlpm.piso,AF1167,_xlpm.corte,AE1167,_xlpm.prog,IF(_xlpm.corte&lt;=_xlpm.piso,0,MAX(0,MIN(1,(U1167-_xlpm.piso)/(_xlpm.corte-_xlpm.piso)))),_xlpm.orden,{"DIAMANTE";"PLATINO";"ORO";"PLATA";"BRONCE";"CERRADO"},_xlpm.act,IFERROR(MATCH(V1167,_xlpm.orden,0),6),_xlpm.ant,IFERROR(MATCH(W1167,_xlpm.orden,0),6),_xlpm.ajmov,IF(_xlpm.act&lt;_xlpm.ant,0.08,IF(_xlpm.act&gt;_xlpm.ant,-0.08,0)),_xlpm.ajcli,IF(T1167&lt;0.95,-0.06,0),_xlpm.prob,MAX(0,MIN(1,_xlpm.prog+_xlpm.ajmov+_xlpm.ajcli)),IF(OR(V1167="DIAMANTE",V1167="CERRADO"),0,ROUND(_xlpm.prob,2)))</f>
        <v>0.31</v>
      </c>
      <c r="AK1167" t="str">
        <f t="shared" si="444"/>
        <v>Faltan 21,0 puntos base para subir a la siguiente categoría</v>
      </c>
      <c r="AL1167" t="str">
        <f t="shared" si="445"/>
        <v>No aplica</v>
      </c>
      <c r="AM1167">
        <f t="shared" si="446"/>
        <v>0.88</v>
      </c>
      <c r="AN1167" t="str">
        <f t="shared" si="447"/>
        <v>PRIORIDAD ALTA – requiere intervención inmediata</v>
      </c>
      <c r="AO1167">
        <f t="shared" si="448"/>
        <v>45.403798492706905</v>
      </c>
      <c r="AP1167">
        <f t="shared" si="449"/>
        <v>10.5</v>
      </c>
      <c r="AQ1167">
        <f t="shared" si="450"/>
        <v>0</v>
      </c>
      <c r="AR1167">
        <f t="shared" si="451"/>
        <v>4.1999999999999993</v>
      </c>
      <c r="AS1167">
        <f t="shared" si="452"/>
        <v>4.2000000000000011</v>
      </c>
      <c r="AT1167" t="str">
        <f t="shared" si="453"/>
        <v>VENTAS</v>
      </c>
      <c r="AU1167">
        <f t="shared" si="454"/>
        <v>45.403798492706905</v>
      </c>
      <c r="AV1167" t="str">
        <f t="shared" si="455"/>
        <v>Mayor retorno probable: VENTAS (+45,4 puntos finales potenciales).</v>
      </c>
    </row>
    <row r="1168" spans="1:48" x14ac:dyDescent="0.3">
      <c r="A1168" s="5">
        <v>51055381</v>
      </c>
      <c r="B1168" s="5" t="str">
        <f>IFERROR(VLOOKUP(A1168,VENTAS!$A$2:$B$1194,2,0),"")</f>
        <v/>
      </c>
      <c r="C1168" s="5">
        <f>IFERROR(INDEX(VENTAS!$C$2:$E$1194,MATCH(A1168,VENTAS!$A$2:$A$1194,0),MATCH(PARAMS_MODELO!$B$2,{"Q1","Q2","Q3"},0)),0)</f>
        <v>0</v>
      </c>
      <c r="D1168" s="5">
        <f>IFERROR(INDEX(VENTAS!$F$2:$H$1194,MATCH(A1168,VENTAS!$A$2:$A$1194,0),MATCH(PARAMS_MODELO!$B$2,{"Q1","Q2","Q3"},0)),0)</f>
        <v>0</v>
      </c>
      <c r="E1168" s="8">
        <f t="shared" si="432"/>
        <v>0</v>
      </c>
      <c r="F1168" s="12">
        <f>IF(E1168&lt;=PARAMS_MODELO!$B$15,0,IF(E1168&gt;=PARAMS_MODELO!$B$17,100,100*MIN(1,(E1168-PARAMS_MODELO!$B$15)/(PARAMS_MODELO!$B$16-PARAMS_MODELO!$B$15))))*PARAMS_MODELO!$B$7</f>
        <v>0</v>
      </c>
      <c r="G1168" s="5">
        <f t="shared" si="433"/>
        <v>0</v>
      </c>
      <c r="H1168" s="5">
        <f>(PARAMS_MODELO!$B$20*(MAX(0,MIN(3,E1168))/3)+PARAMS_MODELO!$B$21*(IFERROR(LN(1+MAX(0,G1168))/LN(1+MAX(0,MAX($G$2:$G$1194))),0)))*100*PARAMS_MODELO!$B$8</f>
        <v>0</v>
      </c>
      <c r="I1168" s="8">
        <f>E1168-PARAMS_MODELO!$B$5</f>
        <v>-0.17756283537552653</v>
      </c>
      <c r="J1168" s="5">
        <f>IF(I1168&lt;=PARAMS_MODELO!$B$18,0,IF(I1168&gt;=PARAMS_MODELO!$B$19,100,100*(I1168-PARAMS_MODELO!$B$18)/(PARAMS_MODELO!$B$19-PARAMS_MODELO!$B$18)))*PARAMS_MODELO!$B$9</f>
        <v>0</v>
      </c>
      <c r="K1168" s="5">
        <f>IFERROR(CHOOSE(MATCH(PARAMS_MODELO!$B$2,{"Q1","Q2","Q3"},0),LOTO!$D1168,LOTO!$F1168,LOTO!$H1168),0)</f>
        <v>0</v>
      </c>
      <c r="L1168" s="8">
        <f t="shared" si="434"/>
        <v>0</v>
      </c>
      <c r="M1168" s="5">
        <f>MIN(100,IF(PARAMS_MODELO!$B$23=0,0,100*L1168/PARAMS_MODELO!$B$23))*PARAMS_MODELO!$B$10</f>
        <v>0</v>
      </c>
      <c r="N1168" s="5">
        <f>IFERROR(VLOOKUP(A1168,COMPLIANCE!$A$2:$F$1996,6,0),100)</f>
        <v>100</v>
      </c>
      <c r="O1168" s="5">
        <f>N1168*PARAMS_MODELO!$B$11</f>
        <v>10</v>
      </c>
      <c r="P1168" s="5">
        <f>IFERROR(VLOOKUP(A1168,DIGITAL!$A$2:$J$2000,7,0),100)</f>
        <v>29</v>
      </c>
      <c r="Q1168" s="5">
        <f>IFERROR(P1168,0)*PARAMS_MODELO!$B$12</f>
        <v>2.9000000000000004</v>
      </c>
      <c r="R1168">
        <f t="shared" si="435"/>
        <v>12.9</v>
      </c>
      <c r="S1168" s="5" t="str">
        <f>IFERROR(VLOOKUP(A1168,CLIENTE!$A$2:$N$2000,13,0),1)</f>
        <v>Regular</v>
      </c>
      <c r="T1168" s="5">
        <f>IFERROR(VLOOKUP(A1168,CLIENTE!$A$2:$N$2000,14,0),1)</f>
        <v>1</v>
      </c>
      <c r="U1168" s="5">
        <f t="shared" si="436"/>
        <v>12.9</v>
      </c>
      <c r="V1168" s="5" t="str">
        <f>IF(U1168&gt;=MAX(_xlfn.PERCENTILE.INC($U$2:$U$1194,PARAMS_MODELO!$B$50),PARAMS_MODELO!$B$45),"DIAMANTE",IF(U1168&gt;=MAX(_xlfn.PERCENTILE.INC($U$2:$U$1194,PARAMS_MODELO!$B$51),PARAMS_MODELO!$B$46),"PLATINO",IF(U1168&gt;=MAX(_xlfn.PERCENTILE.INC($U$2:$U$1194,PARAMS_MODELO!$B$52),PARAMS_MODELO!$B$47),"ORO",IF(U1168&gt;=MAX(_xlfn.PERCENTILE.INC($U$2:$U$1194,PARAMS_MODELO!$B$53),PARAMS_MODELO!$B$48),"PLATA",IF(U1168&gt;=1,"BRONCE","CERRADO")))))</f>
        <v>BRONCE</v>
      </c>
      <c r="W1168" s="5" t="str" cm="1">
        <f t="array" ref="W1168">_xlfn.XLOOKUP(1, (HIST_SCORE!$B:$B=PARAMS_MODELO!$B$4) * (HIST_SCORE!$C:$C=A1168), HIST_SCORE!$E:$E, "No encontrado")</f>
        <v>BRONCE</v>
      </c>
      <c r="X1168" s="5" t="str">
        <f>_xlfn.LET(_xlpm.act,MATCH(V1168,{"DIAMANTE";"PLATINO";"ORO";"PLATA";"BRONCE";"CERRADO"},0),_xlpm.ant,MATCH(W1168,{"DIAMANTE";"PLATINO";"ORO";"PLATA";"BRONCE";"CERRADO"},0),IF(_xlpm.act&lt;_xlpm.ant,"Mejora ↑",IF(_xlpm.act&gt;_xlpm.ant,"Baja ↓","Estable →")))</f>
        <v>Estable →</v>
      </c>
      <c r="Y1168" s="5">
        <f>IFERROR(U1168-SUMIFS(HIST_SCORE!$D:$D,HIST_SCORE!$B:$B,PARAMS_MODELO!$B$4,HIST_SCORE!$C:$C,$A1168),"")</f>
        <v>0</v>
      </c>
      <c r="Z1168" s="5" t="str">
        <f t="shared" si="437"/>
        <v>→ Estable</v>
      </c>
      <c r="AA1168" s="5">
        <f t="shared" si="438"/>
        <v>1114</v>
      </c>
      <c r="AB1168" s="5">
        <f>IFERROR(SUMIFS(HIST_SCORE!$F:$F,HIST_SCORE!$B:$B,PARAMS_MODELO!$B$4,HIST_SCORE!$C:$C,$A1168),"")</f>
        <v>1112</v>
      </c>
      <c r="AC1168" s="5">
        <f t="shared" si="439"/>
        <v>-2</v>
      </c>
      <c r="AD1168" t="str">
        <f t="shared" si="441"/>
        <v/>
      </c>
      <c r="AE11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1168="CERRADO",1,IF(V1168="BRONCE",_xlpm.cPl,IF(V1168="PLATA",_xlpm.cO,IF(V1168="ORO",_xlpm.cP,IF(V1168="PLATINO",_xlpm.cD,999))))))</f>
        <v>24.506573482968111</v>
      </c>
      <c r="AF116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1168="CERRADO",0,IF(V1168="BRONCE",1,IF(V1168="PLATA",_xlpm.cPl,IF(V1168="ORO",_xlpm.cO,IF(V1168="PLATINO",_xlpm.cP,_xlpm.cD))))))</f>
        <v>1</v>
      </c>
      <c r="AG1168">
        <f t="shared" si="442"/>
        <v>11.606573482968111</v>
      </c>
      <c r="AH1168" t="str">
        <f t="shared" si="443"/>
        <v>VENTAS</v>
      </c>
      <c r="AI1168" t="str">
        <f t="shared" si="440"/>
        <v>🎯 Para subir de categoría, eje VENTAS / CRECIMIENTO PERSONAL (F). Acción: metas semanales + activación comercial + seguimiento del asesor. ΔR aprox: 11,6</v>
      </c>
      <c r="AJ1168" s="26">
        <f>_xlfn.LET(_xlpm.piso,AF1168,_xlpm.corte,AE1168,_xlpm.prog,IF(_xlpm.corte&lt;=_xlpm.piso,0,MAX(0,MIN(1,(U1168-_xlpm.piso)/(_xlpm.corte-_xlpm.piso)))),_xlpm.orden,{"DIAMANTE";"PLATINO";"ORO";"PLATA";"BRONCE";"CERRADO"},_xlpm.act,IFERROR(MATCH(V1168,_xlpm.orden,0),6),_xlpm.ant,IFERROR(MATCH(W1168,_xlpm.orden,0),6),_xlpm.ajmov,IF(_xlpm.act&lt;_xlpm.ant,0.08,IF(_xlpm.act&gt;_xlpm.ant,-0.08,0)),_xlpm.ajcli,IF(T1168&lt;0.95,-0.06,0),_xlpm.prob,MAX(0,MIN(1,_xlpm.prog+_xlpm.ajmov+_xlpm.ajcli)),IF(OR(V1168="DIAMANTE",V1168="CERRADO"),0,ROUND(_xlpm.prob,2)))</f>
        <v>0.51</v>
      </c>
      <c r="AK1168" t="str">
        <f t="shared" si="444"/>
        <v>Faltan 11,6 puntos base para subir a la siguiente categoría</v>
      </c>
      <c r="AL1168" t="str">
        <f t="shared" si="445"/>
        <v>No aplica</v>
      </c>
      <c r="AM1168">
        <f t="shared" si="446"/>
        <v>0.6</v>
      </c>
      <c r="AN1168" t="str">
        <f t="shared" si="447"/>
        <v>PRIORIDAD MEDIA – seguimiento del asesor</v>
      </c>
      <c r="AO1168">
        <f t="shared" si="448"/>
        <v>64.862569275295584</v>
      </c>
      <c r="AP1168">
        <f t="shared" si="449"/>
        <v>15</v>
      </c>
      <c r="AQ1168">
        <f t="shared" si="450"/>
        <v>0</v>
      </c>
      <c r="AR1168">
        <f t="shared" si="451"/>
        <v>7.1</v>
      </c>
      <c r="AS1168">
        <f t="shared" si="452"/>
        <v>0</v>
      </c>
      <c r="AT1168" t="str">
        <f t="shared" si="453"/>
        <v>VENTAS</v>
      </c>
      <c r="AU1168">
        <f t="shared" si="454"/>
        <v>64.862569275295584</v>
      </c>
      <c r="AV1168" t="str">
        <f t="shared" si="455"/>
        <v>Mayor retorno probable: VENTAS (+64,9 puntos finales potenciales).</v>
      </c>
    </row>
    <row r="1169" spans="1:48" x14ac:dyDescent="0.3">
      <c r="A1169" s="5">
        <v>51055403</v>
      </c>
      <c r="B1169" s="5" t="str">
        <f>IFERROR(VLOOKUP(A1169,VENTAS!$A$2:$B$1194,2,0),"")</f>
        <v/>
      </c>
      <c r="C1169" s="5">
        <f>IFERROR(INDEX(VENTAS!$C$2:$E$1194,MATCH(A1169,VENTAS!$A$2:$A$1194,0),MATCH(PARAMS_MODELO!$B$2,{"Q1","Q2","Q3"},0)),0)</f>
        <v>55309061.350000001</v>
      </c>
      <c r="D1169" s="5">
        <f>IFERROR(INDEX(VENTAS!$F$2:$H$1194,MATCH(A1169,VENTAS!$A$2:$A$1194,0),MATCH(PARAMS_MODELO!$B$2,{"Q1","Q2","Q3"},0)),0)</f>
        <v>0</v>
      </c>
      <c r="E1169" s="8">
        <f t="shared" si="432"/>
        <v>-1</v>
      </c>
      <c r="F1169" s="12">
        <f>IF(E1169&lt;=PARAMS_MODELO!$B$15,0,IF(E1169&gt;=PARAMS_MODELO!$B$17,100,100*MIN(1,(E1169-PARAMS_MODELO!$B$15)/(PARAMS_MODELO!$B$16-PARAMS_MODELO!$B$15))))*PARAMS_MODELO!$B$7</f>
        <v>0</v>
      </c>
      <c r="G1169" s="5">
        <f t="shared" si="433"/>
        <v>0</v>
      </c>
      <c r="H1169" s="5">
        <f>(PARAMS_MODELO!$B$20*(MAX(0,MIN(3,E1169))/3)+PARAMS_MODELO!$B$21*(IFERROR(LN(1+MAX(0,G1169))/LN(1+MAX(0,MAX($G$2:$G$1194))),0)))*100*PARAMS_MODELO!$B$8</f>
        <v>0</v>
      </c>
      <c r="I1169" s="8">
        <f>E1169-PARAMS_MODELO!$B$5</f>
        <v>-1.1775628353755265</v>
      </c>
      <c r="J1169" s="5">
        <f>IF(I1169&lt;=PARAMS_MODELO!$B$18,0,IF(I1169&gt;=PARAMS_MODELO!$B$19,100,100*(I1169-PARAMS_MODELO!$B$18)/(PARAMS_MODELO!$B$19-PARAMS_MODELO!$B$18)))*PARAMS_MODELO!$B$9</f>
        <v>0</v>
      </c>
      <c r="K1169" s="5">
        <f>IFERROR(CHOOSE(MATCH(PARAMS_MODELO!$B$2,{"Q1","Q2","Q3"},0),LOTO!$D1169,LOTO!$F1169,LOTO!$H1169),0)</f>
        <v>0</v>
      </c>
      <c r="L1169" s="8">
        <f t="shared" si="434"/>
        <v>0</v>
      </c>
      <c r="M1169" s="5">
        <f>MIN(100,IF(PARAMS_MODELO!$B$23=0,0,100*L1169/PARAMS_MODELO!$B$23))*PARAMS_MODELO!$B$10</f>
        <v>0</v>
      </c>
      <c r="N1169" s="5">
        <f>IFERROR(VLOOKUP(A1169,COMPLIANCE!$A$2:$F$1996,6,0),100)</f>
        <v>100</v>
      </c>
      <c r="O1169" s="5">
        <f>N1169*PARAMS_MODELO!$B$11</f>
        <v>10</v>
      </c>
      <c r="P1169" s="5">
        <f>IFERROR(VLOOKUP(A1169,DIGITAL!$A$2:$J$2000,7,0),100)</f>
        <v>45</v>
      </c>
      <c r="Q1169" s="5">
        <f>IFERROR(P1169,0)*PARAMS_MODELO!$B$12</f>
        <v>4.5</v>
      </c>
      <c r="R1169">
        <f t="shared" si="435"/>
        <v>14.5</v>
      </c>
      <c r="S1169" s="5" t="str">
        <f>IFERROR(VLOOKUP(A1169,CLIENTE!$A$2:$N$2000,13,0),1)</f>
        <v>Regular</v>
      </c>
      <c r="T1169" s="5">
        <f>IFERROR(VLOOKUP(A1169,CLIENTE!$A$2:$N$2000,14,0),1)</f>
        <v>1</v>
      </c>
      <c r="U1169" s="5">
        <f t="shared" si="436"/>
        <v>14.5</v>
      </c>
      <c r="V1169" s="5" t="str">
        <f>IF(U1169&gt;=MAX(_xlfn.PERCENTILE.INC($U$2:$U$1194,PARAMS_MODELO!$B$50),PARAMS_MODELO!$B$45),"DIAMANTE",IF(U1169&gt;=MAX(_xlfn.PERCENTILE.INC($U$2:$U$1194,PARAMS_MODELO!$B$51),PARAMS_MODELO!$B$46),"PLATINO",IF(U1169&gt;=MAX(_xlfn.PERCENTILE.INC($U$2:$U$1194,PARAMS_MODELO!$B$52),PARAMS_MODELO!$B$47),"ORO",IF(U1169&gt;=MAX(_xlfn.PERCENTILE.INC($U$2:$U$1194,PARAMS_MODELO!$B$53),PARAMS_MODELO!$B$48),"PLATA",IF(U1169&gt;=1,"BRONCE","CERRADO")))))</f>
        <v>BRONCE</v>
      </c>
      <c r="W1169" s="5" t="str" cm="1">
        <f t="array" ref="W1169">_xlfn.XLOOKUP(1, (HIST_SCORE!$B:$B=PARAMS_MODELO!$B$4) * (HIST_SCORE!$C:$C=A1169), HIST_SCORE!$E:$E, "No encontrado")</f>
        <v>BRONCE</v>
      </c>
      <c r="X1169" s="5" t="str">
        <f>_xlfn.LET(_xlpm.act,MATCH(V1169,{"DIAMANTE";"PLATINO";"ORO";"PLATA";"BRONCE";"CERRADO"},0),_xlpm.ant,MATCH(W1169,{"DIAMANTE";"PLATINO";"ORO";"PLATA";"BRONCE";"CERRADO"},0),IF(_xlpm.act&lt;_xlpm.ant,"Mejora ↑",IF(_xlpm.act&gt;_xlpm.ant,"Baja ↓","Estable →")))</f>
        <v>Estable →</v>
      </c>
      <c r="Y1169" s="5">
        <f>IFERROR(U1169-SUMIFS(HIST_SCORE!$D:$D,HIST_SCORE!$B:$B,PARAMS_MODELO!$B$4,HIST_SCORE!$C:$C,$A1169),"")</f>
        <v>0</v>
      </c>
      <c r="Z1169" s="5" t="str">
        <f t="shared" si="437"/>
        <v>→ Estable</v>
      </c>
      <c r="AA1169" s="5">
        <f t="shared" si="438"/>
        <v>1083</v>
      </c>
      <c r="AB1169" s="5">
        <f>IFERROR(SUMIFS(HIST_SCORE!$F:$F,HIST_SCORE!$B:$B,PARAMS_MODELO!$B$4,HIST_SCORE!$C:$C,$A1169),"")</f>
        <v>1080</v>
      </c>
      <c r="AC1169" s="5">
        <f t="shared" si="439"/>
        <v>-3</v>
      </c>
      <c r="AD1169" t="str">
        <f t="shared" si="441"/>
        <v/>
      </c>
      <c r="AE11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1169="CERRADO",1,IF(V1169="BRONCE",_xlpm.cPl,IF(V1169="PLATA",_xlpm.cO,IF(V1169="ORO",_xlpm.cP,IF(V1169="PLATINO",_xlpm.cD,999))))))</f>
        <v>24.506573482968111</v>
      </c>
      <c r="AF116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1169="CERRADO",0,IF(V1169="BRONCE",1,IF(V1169="PLATA",_xlpm.cPl,IF(V1169="ORO",_xlpm.cO,IF(V1169="PLATINO",_xlpm.cP,_xlpm.cD))))))</f>
        <v>1</v>
      </c>
      <c r="AG1169">
        <f t="shared" si="442"/>
        <v>10.006573482968111</v>
      </c>
      <c r="AH1169" t="str">
        <f t="shared" si="443"/>
        <v>VENTAS</v>
      </c>
      <c r="AI1169" t="str">
        <f t="shared" si="440"/>
        <v>🎯 Para subir de categoría, eje VENTAS / CRECIMIENTO PERSONAL (F). Acción: metas semanales + activación comercial + seguimiento del asesor. ΔR aprox: 10,0</v>
      </c>
      <c r="AJ1169" s="26">
        <f>_xlfn.LET(_xlpm.piso,AF1169,_xlpm.corte,AE1169,_xlpm.prog,IF(_xlpm.corte&lt;=_xlpm.piso,0,MAX(0,MIN(1,(U1169-_xlpm.piso)/(_xlpm.corte-_xlpm.piso)))),_xlpm.orden,{"DIAMANTE";"PLATINO";"ORO";"PLATA";"BRONCE";"CERRADO"},_xlpm.act,IFERROR(MATCH(V1169,_xlpm.orden,0),6),_xlpm.ant,IFERROR(MATCH(W1169,_xlpm.orden,0),6),_xlpm.ajmov,IF(_xlpm.act&lt;_xlpm.ant,0.08,IF(_xlpm.act&gt;_xlpm.ant,-0.08,0)),_xlpm.ajcli,IF(T1169&lt;0.95,-0.06,0),_xlpm.prob,MAX(0,MIN(1,_xlpm.prog+_xlpm.ajmov+_xlpm.ajcli)),IF(OR(V1169="DIAMANTE",V1169="CERRADO"),0,ROUND(_xlpm.prob,2)))</f>
        <v>0.56999999999999995</v>
      </c>
      <c r="AK1169" t="str">
        <f t="shared" si="444"/>
        <v>Faltan 10,0 puntos base para subir a la siguiente categoría</v>
      </c>
      <c r="AL1169" t="str">
        <f t="shared" si="445"/>
        <v>No aplica</v>
      </c>
      <c r="AM1169">
        <f t="shared" si="446"/>
        <v>0.56999999999999995</v>
      </c>
      <c r="AN1169" t="str">
        <f t="shared" si="447"/>
        <v>PRIORIDAD MEDIA – seguimiento del asesor</v>
      </c>
      <c r="AO1169">
        <f t="shared" si="448"/>
        <v>64.862569275295584</v>
      </c>
      <c r="AP1169">
        <f t="shared" si="449"/>
        <v>15</v>
      </c>
      <c r="AQ1169">
        <f t="shared" si="450"/>
        <v>0</v>
      </c>
      <c r="AR1169">
        <f t="shared" si="451"/>
        <v>5.5</v>
      </c>
      <c r="AS1169">
        <f t="shared" si="452"/>
        <v>0</v>
      </c>
      <c r="AT1169" t="str">
        <f t="shared" si="453"/>
        <v>VENTAS</v>
      </c>
      <c r="AU1169">
        <f t="shared" si="454"/>
        <v>64.862569275295584</v>
      </c>
      <c r="AV1169" t="str">
        <f t="shared" si="455"/>
        <v>Mayor retorno probable: VENTAS (+64,9 puntos finales potenciales).</v>
      </c>
    </row>
    <row r="1170" spans="1:48" x14ac:dyDescent="0.3">
      <c r="A1170" s="5">
        <v>51055420</v>
      </c>
      <c r="B1170" s="5" t="str">
        <f>IFERROR(VLOOKUP(A1170,VENTAS!$A$2:$B$1194,2,0),"")</f>
        <v/>
      </c>
      <c r="C1170" s="5">
        <f>IFERROR(INDEX(VENTAS!$C$2:$E$1194,MATCH(A1170,VENTAS!$A$2:$A$1194,0),MATCH(PARAMS_MODELO!$B$2,{"Q1","Q2","Q3"},0)),0)</f>
        <v>7696022.4000000004</v>
      </c>
      <c r="D1170" s="5">
        <f>IFERROR(INDEX(VENTAS!$F$2:$H$1194,MATCH(A1170,VENTAS!$A$2:$A$1194,0),MATCH(PARAMS_MODELO!$B$2,{"Q1","Q2","Q3"},0)),0)</f>
        <v>0</v>
      </c>
      <c r="E1170" s="8">
        <f t="shared" si="432"/>
        <v>-1</v>
      </c>
      <c r="F1170" s="12">
        <f>IF(E1170&lt;=PARAMS_MODELO!$B$15,0,IF(E1170&gt;=PARAMS_MODELO!$B$17,100,100*MIN(1,(E1170-PARAMS_MODELO!$B$15)/(PARAMS_MODELO!$B$16-PARAMS_MODELO!$B$15))))*PARAMS_MODELO!$B$7</f>
        <v>0</v>
      </c>
      <c r="G1170" s="5">
        <f t="shared" si="433"/>
        <v>0</v>
      </c>
      <c r="H1170" s="5">
        <f>(PARAMS_MODELO!$B$20*(MAX(0,MIN(3,E1170))/3)+PARAMS_MODELO!$B$21*(IFERROR(LN(1+MAX(0,G1170))/LN(1+MAX(0,MAX($G$2:$G$1194))),0)))*100*PARAMS_MODELO!$B$8</f>
        <v>0</v>
      </c>
      <c r="I1170" s="8">
        <f>E1170-PARAMS_MODELO!$B$5</f>
        <v>-1.1775628353755265</v>
      </c>
      <c r="J1170" s="5">
        <f>IF(I1170&lt;=PARAMS_MODELO!$B$18,0,IF(I1170&gt;=PARAMS_MODELO!$B$19,100,100*(I1170-PARAMS_MODELO!$B$18)/(PARAMS_MODELO!$B$19-PARAMS_MODELO!$B$18)))*PARAMS_MODELO!$B$9</f>
        <v>0</v>
      </c>
      <c r="K1170" s="5">
        <f>IFERROR(CHOOSE(MATCH(PARAMS_MODELO!$B$2,{"Q1","Q2","Q3"},0),LOTO!$D1170,LOTO!$F1170,LOTO!$H1170),0)</f>
        <v>0</v>
      </c>
      <c r="L1170" s="8">
        <f t="shared" si="434"/>
        <v>0</v>
      </c>
      <c r="M1170" s="5">
        <f>MIN(100,IF(PARAMS_MODELO!$B$23=0,0,100*L1170/PARAMS_MODELO!$B$23))*PARAMS_MODELO!$B$10</f>
        <v>0</v>
      </c>
      <c r="N1170" s="5">
        <f>IFERROR(VLOOKUP(A1170,COMPLIANCE!$A$2:$F$1996,6,0),100)</f>
        <v>100</v>
      </c>
      <c r="O1170" s="5">
        <f>N1170*PARAMS_MODELO!$B$11</f>
        <v>10</v>
      </c>
      <c r="P1170" s="5">
        <f>IFERROR(VLOOKUP(A1170,DIGITAL!$A$2:$J$2000,7,0),100)</f>
        <v>87</v>
      </c>
      <c r="Q1170" s="5">
        <f>IFERROR(P1170,0)*PARAMS_MODELO!$B$12</f>
        <v>8.7000000000000011</v>
      </c>
      <c r="R1170">
        <f t="shared" si="435"/>
        <v>18.700000000000003</v>
      </c>
      <c r="S1170" s="5" t="str">
        <f>IFERROR(VLOOKUP(A1170,CLIENTE!$A$2:$N$2000,13,0),1)</f>
        <v>Regular</v>
      </c>
      <c r="T1170" s="5">
        <f>IFERROR(VLOOKUP(A1170,CLIENTE!$A$2:$N$2000,14,0),1)</f>
        <v>1</v>
      </c>
      <c r="U1170" s="5">
        <f t="shared" si="436"/>
        <v>18.700000000000003</v>
      </c>
      <c r="V1170" s="5" t="str">
        <f>IF(U1170&gt;=MAX(_xlfn.PERCENTILE.INC($U$2:$U$1194,PARAMS_MODELO!$B$50),PARAMS_MODELO!$B$45),"DIAMANTE",IF(U1170&gt;=MAX(_xlfn.PERCENTILE.INC($U$2:$U$1194,PARAMS_MODELO!$B$51),PARAMS_MODELO!$B$46),"PLATINO",IF(U1170&gt;=MAX(_xlfn.PERCENTILE.INC($U$2:$U$1194,PARAMS_MODELO!$B$52),PARAMS_MODELO!$B$47),"ORO",IF(U1170&gt;=MAX(_xlfn.PERCENTILE.INC($U$2:$U$1194,PARAMS_MODELO!$B$53),PARAMS_MODELO!$B$48),"PLATA",IF(U1170&gt;=1,"BRONCE","CERRADO")))))</f>
        <v>BRONCE</v>
      </c>
      <c r="W1170" s="5" t="str" cm="1">
        <f t="array" ref="W1170">_xlfn.XLOOKUP(1, (HIST_SCORE!$B:$B=PARAMS_MODELO!$B$4) * (HIST_SCORE!$C:$C=A1170), HIST_SCORE!$E:$E, "No encontrado")</f>
        <v>BRONCE</v>
      </c>
      <c r="X1170" s="5" t="str">
        <f>_xlfn.LET(_xlpm.act,MATCH(V1170,{"DIAMANTE";"PLATINO";"ORO";"PLATA";"BRONCE";"CERRADO"},0),_xlpm.ant,MATCH(W1170,{"DIAMANTE";"PLATINO";"ORO";"PLATA";"BRONCE";"CERRADO"},0),IF(_xlpm.act&lt;_xlpm.ant,"Mejora ↑",IF(_xlpm.act&gt;_xlpm.ant,"Baja ↓","Estable →")))</f>
        <v>Estable →</v>
      </c>
      <c r="Y1170" s="5">
        <f>IFERROR(U1170-SUMIFS(HIST_SCORE!$D:$D,HIST_SCORE!$B:$B,PARAMS_MODELO!$B$4,HIST_SCORE!$C:$C,$A1170),"")</f>
        <v>0</v>
      </c>
      <c r="Z1170" s="5" t="str">
        <f t="shared" si="437"/>
        <v>→ Estable</v>
      </c>
      <c r="AA1170" s="5">
        <f t="shared" si="438"/>
        <v>1012</v>
      </c>
      <c r="AB1170" s="5">
        <f>IFERROR(SUMIFS(HIST_SCORE!$F:$F,HIST_SCORE!$B:$B,PARAMS_MODELO!$B$4,HIST_SCORE!$C:$C,$A1170),"")</f>
        <v>1016</v>
      </c>
      <c r="AC1170" s="5">
        <f t="shared" si="439"/>
        <v>4</v>
      </c>
      <c r="AD1170" t="str">
        <f t="shared" si="441"/>
        <v/>
      </c>
      <c r="AE11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1170="CERRADO",1,IF(V1170="BRONCE",_xlpm.cPl,IF(V1170="PLATA",_xlpm.cO,IF(V1170="ORO",_xlpm.cP,IF(V1170="PLATINO",_xlpm.cD,999))))))</f>
        <v>24.506573482968111</v>
      </c>
      <c r="AF117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1170="CERRADO",0,IF(V1170="BRONCE",1,IF(V1170="PLATA",_xlpm.cPl,IF(V1170="ORO",_xlpm.cO,IF(V1170="PLATINO",_xlpm.cP,_xlpm.cD))))))</f>
        <v>1</v>
      </c>
      <c r="AG1170">
        <f t="shared" si="442"/>
        <v>5.8065734829681084</v>
      </c>
      <c r="AH1170" t="str">
        <f t="shared" si="443"/>
        <v>VENTAS</v>
      </c>
      <c r="AI1170" t="str">
        <f t="shared" si="440"/>
        <v>🎯 Para subir de categoría, eje VENTAS / CRECIMIENTO PERSONAL (F). Acción: metas semanales + activación comercial + seguimiento del asesor. ΔR aprox: 5,8</v>
      </c>
      <c r="AJ1170" s="26">
        <f>_xlfn.LET(_xlpm.piso,AF1170,_xlpm.corte,AE1170,_xlpm.prog,IF(_xlpm.corte&lt;=_xlpm.piso,0,MAX(0,MIN(1,(U1170-_xlpm.piso)/(_xlpm.corte-_xlpm.piso)))),_xlpm.orden,{"DIAMANTE";"PLATINO";"ORO";"PLATA";"BRONCE";"CERRADO"},_xlpm.act,IFERROR(MATCH(V1170,_xlpm.orden,0),6),_xlpm.ant,IFERROR(MATCH(W1170,_xlpm.orden,0),6),_xlpm.ajmov,IF(_xlpm.act&lt;_xlpm.ant,0.08,IF(_xlpm.act&gt;_xlpm.ant,-0.08,0)),_xlpm.ajcli,IF(T1170&lt;0.95,-0.06,0),_xlpm.prob,MAX(0,MIN(1,_xlpm.prog+_xlpm.ajmov+_xlpm.ajcli)),IF(OR(V1170="DIAMANTE",V1170="CERRADO"),0,ROUND(_xlpm.prob,2)))</f>
        <v>0.75</v>
      </c>
      <c r="AK1170" t="str">
        <f t="shared" si="444"/>
        <v>Faltan 5,8 puntos base para subir a la siguiente categoría</v>
      </c>
      <c r="AL1170" t="str">
        <f t="shared" si="445"/>
        <v>No aplica</v>
      </c>
      <c r="AM1170">
        <f t="shared" si="446"/>
        <v>0.33</v>
      </c>
      <c r="AN1170" t="str">
        <f t="shared" si="447"/>
        <v>PRIORIDAD BAJA – control normal</v>
      </c>
      <c r="AO1170">
        <f t="shared" si="448"/>
        <v>64.862569275295584</v>
      </c>
      <c r="AP1170">
        <f t="shared" si="449"/>
        <v>15</v>
      </c>
      <c r="AQ1170">
        <f t="shared" si="450"/>
        <v>0</v>
      </c>
      <c r="AR1170">
        <f t="shared" si="451"/>
        <v>1.2999999999999989</v>
      </c>
      <c r="AS1170">
        <f t="shared" si="452"/>
        <v>0</v>
      </c>
      <c r="AT1170" t="str">
        <f t="shared" si="453"/>
        <v>VENTAS</v>
      </c>
      <c r="AU1170">
        <f t="shared" si="454"/>
        <v>64.862569275295584</v>
      </c>
      <c r="AV1170" t="str">
        <f t="shared" si="455"/>
        <v>Mayor retorno probable: VENTAS (+64,9 puntos finales potenciales).</v>
      </c>
    </row>
    <row r="1171" spans="1:48" x14ac:dyDescent="0.3">
      <c r="A1171" s="5">
        <v>51055438</v>
      </c>
      <c r="B1171" s="5" t="str">
        <f>IFERROR(VLOOKUP(A1171,VENTAS!$A$2:$B$1194,2,0),"")</f>
        <v/>
      </c>
      <c r="C1171" s="5">
        <f>IFERROR(INDEX(VENTAS!$C$2:$E$1194,MATCH(A1171,VENTAS!$A$2:$A$1194,0),MATCH(PARAMS_MODELO!$B$2,{"Q1","Q2","Q3"},0)),0)</f>
        <v>30459513.82</v>
      </c>
      <c r="D1171" s="5">
        <f>IFERROR(INDEX(VENTAS!$F$2:$H$1194,MATCH(A1171,VENTAS!$A$2:$A$1194,0),MATCH(PARAMS_MODELO!$B$2,{"Q1","Q2","Q3"},0)),0)</f>
        <v>0</v>
      </c>
      <c r="E1171" s="8">
        <f t="shared" si="432"/>
        <v>-1</v>
      </c>
      <c r="F1171" s="12">
        <f>IF(E1171&lt;=PARAMS_MODELO!$B$15,0,IF(E1171&gt;=PARAMS_MODELO!$B$17,100,100*MIN(1,(E1171-PARAMS_MODELO!$B$15)/(PARAMS_MODELO!$B$16-PARAMS_MODELO!$B$15))))*PARAMS_MODELO!$B$7</f>
        <v>0</v>
      </c>
      <c r="G1171" s="5">
        <f t="shared" si="433"/>
        <v>0</v>
      </c>
      <c r="H1171" s="5">
        <f>(PARAMS_MODELO!$B$20*(MAX(0,MIN(3,E1171))/3)+PARAMS_MODELO!$B$21*(IFERROR(LN(1+MAX(0,G1171))/LN(1+MAX(0,MAX($G$2:$G$1194))),0)))*100*PARAMS_MODELO!$B$8</f>
        <v>0</v>
      </c>
      <c r="I1171" s="8">
        <f>E1171-PARAMS_MODELO!$B$5</f>
        <v>-1.1775628353755265</v>
      </c>
      <c r="J1171" s="5">
        <f>IF(I1171&lt;=PARAMS_MODELO!$B$18,0,IF(I1171&gt;=PARAMS_MODELO!$B$19,100,100*(I1171-PARAMS_MODELO!$B$18)/(PARAMS_MODELO!$B$19-PARAMS_MODELO!$B$18)))*PARAMS_MODELO!$B$9</f>
        <v>0</v>
      </c>
      <c r="K1171" s="5">
        <f>IFERROR(CHOOSE(MATCH(PARAMS_MODELO!$B$2,{"Q1","Q2","Q3"},0),LOTO!$D1171,LOTO!$F1171,LOTO!$H1171),0)</f>
        <v>0</v>
      </c>
      <c r="L1171" s="8">
        <f t="shared" si="434"/>
        <v>0</v>
      </c>
      <c r="M1171" s="5">
        <f>MIN(100,IF(PARAMS_MODELO!$B$23=0,0,100*L1171/PARAMS_MODELO!$B$23))*PARAMS_MODELO!$B$10</f>
        <v>0</v>
      </c>
      <c r="N1171" s="5">
        <f>IFERROR(VLOOKUP(A1171,COMPLIANCE!$A$2:$F$1996,6,0),100)</f>
        <v>100</v>
      </c>
      <c r="O1171" s="5">
        <f>N1171*PARAMS_MODELO!$B$11</f>
        <v>10</v>
      </c>
      <c r="P1171" s="5">
        <f>IFERROR(VLOOKUP(A1171,DIGITAL!$A$2:$J$2000,7,0),100)</f>
        <v>33</v>
      </c>
      <c r="Q1171" s="5">
        <f>IFERROR(P1171,0)*PARAMS_MODELO!$B$12</f>
        <v>3.3000000000000003</v>
      </c>
      <c r="R1171">
        <f t="shared" si="435"/>
        <v>13.3</v>
      </c>
      <c r="S1171" s="5" t="str">
        <f>IFERROR(VLOOKUP(A1171,CLIENTE!$A$2:$N$2000,13,0),1)</f>
        <v>Regular</v>
      </c>
      <c r="T1171" s="5">
        <f>IFERROR(VLOOKUP(A1171,CLIENTE!$A$2:$N$2000,14,0),1)</f>
        <v>1</v>
      </c>
      <c r="U1171" s="5">
        <f t="shared" si="436"/>
        <v>13.3</v>
      </c>
      <c r="V1171" s="5" t="str">
        <f>IF(U1171&gt;=MAX(_xlfn.PERCENTILE.INC($U$2:$U$1194,PARAMS_MODELO!$B$50),PARAMS_MODELO!$B$45),"DIAMANTE",IF(U1171&gt;=MAX(_xlfn.PERCENTILE.INC($U$2:$U$1194,PARAMS_MODELO!$B$51),PARAMS_MODELO!$B$46),"PLATINO",IF(U1171&gt;=MAX(_xlfn.PERCENTILE.INC($U$2:$U$1194,PARAMS_MODELO!$B$52),PARAMS_MODELO!$B$47),"ORO",IF(U1171&gt;=MAX(_xlfn.PERCENTILE.INC($U$2:$U$1194,PARAMS_MODELO!$B$53),PARAMS_MODELO!$B$48),"PLATA",IF(U1171&gt;=1,"BRONCE","CERRADO")))))</f>
        <v>BRONCE</v>
      </c>
      <c r="W1171" s="5" t="str" cm="1">
        <f t="array" ref="W1171">_xlfn.XLOOKUP(1, (HIST_SCORE!$B:$B=PARAMS_MODELO!$B$4) * (HIST_SCORE!$C:$C=A1171), HIST_SCORE!$E:$E, "No encontrado")</f>
        <v>BRONCE</v>
      </c>
      <c r="X1171" s="5" t="str">
        <f>_xlfn.LET(_xlpm.act,MATCH(V1171,{"DIAMANTE";"PLATINO";"ORO";"PLATA";"BRONCE";"CERRADO"},0),_xlpm.ant,MATCH(W1171,{"DIAMANTE";"PLATINO";"ORO";"PLATA";"BRONCE";"CERRADO"},0),IF(_xlpm.act&lt;_xlpm.ant,"Mejora ↑",IF(_xlpm.act&gt;_xlpm.ant,"Baja ↓","Estable →")))</f>
        <v>Estable →</v>
      </c>
      <c r="Y1171" s="5">
        <f>IFERROR(U1171-SUMIFS(HIST_SCORE!$D:$D,HIST_SCORE!$B:$B,PARAMS_MODELO!$B$4,HIST_SCORE!$C:$C,$A1171),"")</f>
        <v>0</v>
      </c>
      <c r="Z1171" s="5" t="str">
        <f t="shared" si="437"/>
        <v>→ Estable</v>
      </c>
      <c r="AA1171" s="5">
        <f t="shared" si="438"/>
        <v>1103</v>
      </c>
      <c r="AB1171" s="5">
        <f>IFERROR(SUMIFS(HIST_SCORE!$F:$F,HIST_SCORE!$B:$B,PARAMS_MODELO!$B$4,HIST_SCORE!$C:$C,$A1171),"")</f>
        <v>1101</v>
      </c>
      <c r="AC1171" s="5">
        <f t="shared" si="439"/>
        <v>-2</v>
      </c>
      <c r="AD1171" t="str">
        <f t="shared" si="441"/>
        <v/>
      </c>
      <c r="AE11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1171="CERRADO",1,IF(V1171="BRONCE",_xlpm.cPl,IF(V1171="PLATA",_xlpm.cO,IF(V1171="ORO",_xlpm.cP,IF(V1171="PLATINO",_xlpm.cD,999))))))</f>
        <v>24.506573482968111</v>
      </c>
      <c r="AF117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1171="CERRADO",0,IF(V1171="BRONCE",1,IF(V1171="PLATA",_xlpm.cPl,IF(V1171="ORO",_xlpm.cO,IF(V1171="PLATINO",_xlpm.cP,_xlpm.cD))))))</f>
        <v>1</v>
      </c>
      <c r="AG1171">
        <f t="shared" si="442"/>
        <v>11.206573482968111</v>
      </c>
      <c r="AH1171" t="str">
        <f t="shared" si="443"/>
        <v>VENTAS</v>
      </c>
      <c r="AI1171" t="str">
        <f t="shared" si="440"/>
        <v>🎯 Para subir de categoría, eje VENTAS / CRECIMIENTO PERSONAL (F). Acción: metas semanales + activación comercial + seguimiento del asesor. ΔR aprox: 11,2</v>
      </c>
      <c r="AJ1171" s="26">
        <f>_xlfn.LET(_xlpm.piso,AF1171,_xlpm.corte,AE1171,_xlpm.prog,IF(_xlpm.corte&lt;=_xlpm.piso,0,MAX(0,MIN(1,(U1171-_xlpm.piso)/(_xlpm.corte-_xlpm.piso)))),_xlpm.orden,{"DIAMANTE";"PLATINO";"ORO";"PLATA";"BRONCE";"CERRADO"},_xlpm.act,IFERROR(MATCH(V1171,_xlpm.orden,0),6),_xlpm.ant,IFERROR(MATCH(W1171,_xlpm.orden,0),6),_xlpm.ajmov,IF(_xlpm.act&lt;_xlpm.ant,0.08,IF(_xlpm.act&gt;_xlpm.ant,-0.08,0)),_xlpm.ajcli,IF(T1171&lt;0.95,-0.06,0),_xlpm.prob,MAX(0,MIN(1,_xlpm.prog+_xlpm.ajmov+_xlpm.ajcli)),IF(OR(V1171="DIAMANTE",V1171="CERRADO"),0,ROUND(_xlpm.prob,2)))</f>
        <v>0.52</v>
      </c>
      <c r="AK1171" t="str">
        <f t="shared" si="444"/>
        <v>Faltan 11,2 puntos base para subir a la siguiente categoría</v>
      </c>
      <c r="AL1171" t="str">
        <f t="shared" si="445"/>
        <v>No aplica</v>
      </c>
      <c r="AM1171">
        <f t="shared" si="446"/>
        <v>0.59</v>
      </c>
      <c r="AN1171" t="str">
        <f t="shared" si="447"/>
        <v>PRIORIDAD MEDIA – seguimiento del asesor</v>
      </c>
      <c r="AO1171">
        <f t="shared" si="448"/>
        <v>64.862569275295584</v>
      </c>
      <c r="AP1171">
        <f t="shared" si="449"/>
        <v>15</v>
      </c>
      <c r="AQ1171">
        <f t="shared" si="450"/>
        <v>0</v>
      </c>
      <c r="AR1171">
        <f t="shared" si="451"/>
        <v>6.6999999999999993</v>
      </c>
      <c r="AS1171">
        <f t="shared" si="452"/>
        <v>0</v>
      </c>
      <c r="AT1171" t="str">
        <f t="shared" si="453"/>
        <v>VENTAS</v>
      </c>
      <c r="AU1171">
        <f t="shared" si="454"/>
        <v>64.862569275295584</v>
      </c>
      <c r="AV1171" t="str">
        <f t="shared" si="455"/>
        <v>Mayor retorno probable: VENTAS (+64,9 puntos finales potenciales).</v>
      </c>
    </row>
    <row r="1172" spans="1:48" x14ac:dyDescent="0.3">
      <c r="A1172" s="5">
        <v>51055446</v>
      </c>
      <c r="B1172" s="5" t="str">
        <f>IFERROR(VLOOKUP(A1172,VENTAS!$A$2:$B$1194,2,0),"")</f>
        <v/>
      </c>
      <c r="C1172" s="5">
        <f>IFERROR(INDEX(VENTAS!$C$2:$E$1194,MATCH(A1172,VENTAS!$A$2:$A$1194,0),MATCH(PARAMS_MODELO!$B$2,{"Q1","Q2","Q3"},0)),0)</f>
        <v>166980</v>
      </c>
      <c r="D1172" s="5">
        <f>IFERROR(INDEX(VENTAS!$F$2:$H$1194,MATCH(A1172,VENTAS!$A$2:$A$1194,0),MATCH(PARAMS_MODELO!$B$2,{"Q1","Q2","Q3"},0)),0)</f>
        <v>0</v>
      </c>
      <c r="E1172" s="8">
        <f t="shared" si="432"/>
        <v>-1</v>
      </c>
      <c r="F1172" s="12">
        <f>IF(E1172&lt;=PARAMS_MODELO!$B$15,0,IF(E1172&gt;=PARAMS_MODELO!$B$17,100,100*MIN(1,(E1172-PARAMS_MODELO!$B$15)/(PARAMS_MODELO!$B$16-PARAMS_MODELO!$B$15))))*PARAMS_MODELO!$B$7</f>
        <v>0</v>
      </c>
      <c r="G1172" s="5">
        <f t="shared" si="433"/>
        <v>0</v>
      </c>
      <c r="H1172" s="5">
        <f>(PARAMS_MODELO!$B$20*(MAX(0,MIN(3,E1172))/3)+PARAMS_MODELO!$B$21*(IFERROR(LN(1+MAX(0,G1172))/LN(1+MAX(0,MAX($G$2:$G$1194))),0)))*100*PARAMS_MODELO!$B$8</f>
        <v>0</v>
      </c>
      <c r="I1172" s="8">
        <f>E1172-PARAMS_MODELO!$B$5</f>
        <v>-1.1775628353755265</v>
      </c>
      <c r="J1172" s="5">
        <f>IF(I1172&lt;=PARAMS_MODELO!$B$18,0,IF(I1172&gt;=PARAMS_MODELO!$B$19,100,100*(I1172-PARAMS_MODELO!$B$18)/(PARAMS_MODELO!$B$19-PARAMS_MODELO!$B$18)))*PARAMS_MODELO!$B$9</f>
        <v>0</v>
      </c>
      <c r="K1172" s="5">
        <f>IFERROR(CHOOSE(MATCH(PARAMS_MODELO!$B$2,{"Q1","Q2","Q3"},0),LOTO!$D1172,LOTO!$F1172,LOTO!$H1172),0)</f>
        <v>0</v>
      </c>
      <c r="L1172" s="8">
        <f t="shared" si="434"/>
        <v>0</v>
      </c>
      <c r="M1172" s="5">
        <f>MIN(100,IF(PARAMS_MODELO!$B$23=0,0,100*L1172/PARAMS_MODELO!$B$23))*PARAMS_MODELO!$B$10</f>
        <v>0</v>
      </c>
      <c r="N1172" s="5">
        <f>IFERROR(VLOOKUP(A1172,COMPLIANCE!$A$2:$F$1996,6,0),100)</f>
        <v>100</v>
      </c>
      <c r="O1172" s="5">
        <f>N1172*PARAMS_MODELO!$B$11</f>
        <v>10</v>
      </c>
      <c r="P1172" s="5">
        <f>IFERROR(VLOOKUP(A1172,DIGITAL!$A$2:$J$2000,7,0),100)</f>
        <v>83</v>
      </c>
      <c r="Q1172" s="5">
        <f>IFERROR(P1172,0)*PARAMS_MODELO!$B$12</f>
        <v>8.3000000000000007</v>
      </c>
      <c r="R1172">
        <f t="shared" si="435"/>
        <v>18.3</v>
      </c>
      <c r="S1172" s="5" t="str">
        <f>IFERROR(VLOOKUP(A1172,CLIENTE!$A$2:$N$2000,13,0),1)</f>
        <v>Malo</v>
      </c>
      <c r="T1172" s="5">
        <f>IFERROR(VLOOKUP(A1172,CLIENTE!$A$2:$N$2000,14,0),1)</f>
        <v>0.7</v>
      </c>
      <c r="U1172" s="5">
        <f t="shared" si="436"/>
        <v>12.81</v>
      </c>
      <c r="V1172" s="5" t="str">
        <f>IF(U1172&gt;=MAX(_xlfn.PERCENTILE.INC($U$2:$U$1194,PARAMS_MODELO!$B$50),PARAMS_MODELO!$B$45),"DIAMANTE",IF(U1172&gt;=MAX(_xlfn.PERCENTILE.INC($U$2:$U$1194,PARAMS_MODELO!$B$51),PARAMS_MODELO!$B$46),"PLATINO",IF(U1172&gt;=MAX(_xlfn.PERCENTILE.INC($U$2:$U$1194,PARAMS_MODELO!$B$52),PARAMS_MODELO!$B$47),"ORO",IF(U1172&gt;=MAX(_xlfn.PERCENTILE.INC($U$2:$U$1194,PARAMS_MODELO!$B$53),PARAMS_MODELO!$B$48),"PLATA",IF(U1172&gt;=1,"BRONCE","CERRADO")))))</f>
        <v>BRONCE</v>
      </c>
      <c r="W1172" s="5" t="str" cm="1">
        <f t="array" ref="W1172">_xlfn.XLOOKUP(1, (HIST_SCORE!$B:$B=PARAMS_MODELO!$B$4) * (HIST_SCORE!$C:$C=A1172), HIST_SCORE!$E:$E, "No encontrado")</f>
        <v>BRONCE</v>
      </c>
      <c r="X1172" s="5" t="str">
        <f>_xlfn.LET(_xlpm.act,MATCH(V1172,{"DIAMANTE";"PLATINO";"ORO";"PLATA";"BRONCE";"CERRADO"},0),_xlpm.ant,MATCH(W1172,{"DIAMANTE";"PLATINO";"ORO";"PLATA";"BRONCE";"CERRADO"},0),IF(_xlpm.act&lt;_xlpm.ant,"Mejora ↑",IF(_xlpm.act&gt;_xlpm.ant,"Baja ↓","Estable →")))</f>
        <v>Estable →</v>
      </c>
      <c r="Y1172" s="5">
        <f>IFERROR(U1172-SUMIFS(HIST_SCORE!$D:$D,HIST_SCORE!$B:$B,PARAMS_MODELO!$B$4,HIST_SCORE!$C:$C,$A1172),"")</f>
        <v>0</v>
      </c>
      <c r="Z1172" s="5" t="str">
        <f t="shared" si="437"/>
        <v>→ Estable</v>
      </c>
      <c r="AA1172" s="5">
        <f t="shared" si="438"/>
        <v>1117</v>
      </c>
      <c r="AB1172" s="5">
        <f>IFERROR(SUMIFS(HIST_SCORE!$F:$F,HIST_SCORE!$B:$B,PARAMS_MODELO!$B$4,HIST_SCORE!$C:$C,$A1172),"")</f>
        <v>1115</v>
      </c>
      <c r="AC1172" s="5">
        <f t="shared" si="439"/>
        <v>-2</v>
      </c>
      <c r="AD1172" t="str">
        <f t="shared" si="441"/>
        <v/>
      </c>
      <c r="AE11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1172="CERRADO",1,IF(V1172="BRONCE",_xlpm.cPl,IF(V1172="PLATA",_xlpm.cO,IF(V1172="ORO",_xlpm.cP,IF(V1172="PLATINO",_xlpm.cD,999))))))</f>
        <v>24.506573482968111</v>
      </c>
      <c r="AF117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1172="CERRADO",0,IF(V1172="BRONCE",1,IF(V1172="PLATA",_xlpm.cPl,IF(V1172="ORO",_xlpm.cO,IF(V1172="PLATINO",_xlpm.cP,_xlpm.cD))))))</f>
        <v>1</v>
      </c>
      <c r="AG1172">
        <f t="shared" si="442"/>
        <v>16.709390689954443</v>
      </c>
      <c r="AH1172" t="str">
        <f t="shared" si="443"/>
        <v>VENTAS</v>
      </c>
      <c r="AI1172" t="str">
        <f t="shared" si="440"/>
        <v>🎯 Para subir de categoría, eje VENTAS / CRECIMIENTO PERSONAL (F). Acción: metas semanales + activación comercial + seguimiento del asesor. ΔR aprox: 16,7</v>
      </c>
      <c r="AJ1172" s="26">
        <f>_xlfn.LET(_xlpm.piso,AF1172,_xlpm.corte,AE1172,_xlpm.prog,IF(_xlpm.corte&lt;=_xlpm.piso,0,MAX(0,MIN(1,(U1172-_xlpm.piso)/(_xlpm.corte-_xlpm.piso)))),_xlpm.orden,{"DIAMANTE";"PLATINO";"ORO";"PLATA";"BRONCE";"CERRADO"},_xlpm.act,IFERROR(MATCH(V1172,_xlpm.orden,0),6),_xlpm.ant,IFERROR(MATCH(W1172,_xlpm.orden,0),6),_xlpm.ajmov,IF(_xlpm.act&lt;_xlpm.ant,0.08,IF(_xlpm.act&gt;_xlpm.ant,-0.08,0)),_xlpm.ajcli,IF(T1172&lt;0.95,-0.06,0),_xlpm.prob,MAX(0,MIN(1,_xlpm.prog+_xlpm.ajmov+_xlpm.ajcli)),IF(OR(V1172="DIAMANTE",V1172="CERRADO"),0,ROUND(_xlpm.prob,2)))</f>
        <v>0.44</v>
      </c>
      <c r="AK1172" t="str">
        <f t="shared" si="444"/>
        <v>Faltan 16,7 puntos base para subir a la siguiente categoría</v>
      </c>
      <c r="AL1172" t="str">
        <f t="shared" si="445"/>
        <v>No aplica</v>
      </c>
      <c r="AM1172">
        <f t="shared" si="446"/>
        <v>0.82</v>
      </c>
      <c r="AN1172" t="str">
        <f t="shared" si="447"/>
        <v>PRIORIDAD ALTA – requiere intervención inmediata</v>
      </c>
      <c r="AO1172">
        <f t="shared" si="448"/>
        <v>45.403798492706905</v>
      </c>
      <c r="AP1172">
        <f t="shared" si="449"/>
        <v>10.5</v>
      </c>
      <c r="AQ1172">
        <f t="shared" si="450"/>
        <v>0</v>
      </c>
      <c r="AR1172">
        <f t="shared" si="451"/>
        <v>1.1899999999999995</v>
      </c>
      <c r="AS1172">
        <f t="shared" si="452"/>
        <v>5.4900000000000011</v>
      </c>
      <c r="AT1172" t="str">
        <f t="shared" si="453"/>
        <v>VENTAS</v>
      </c>
      <c r="AU1172">
        <f t="shared" si="454"/>
        <v>45.403798492706905</v>
      </c>
      <c r="AV1172" t="str">
        <f t="shared" si="455"/>
        <v>Mayor retorno probable: VENTAS (+45,4 puntos finales potenciales).</v>
      </c>
    </row>
    <row r="1173" spans="1:48" x14ac:dyDescent="0.3">
      <c r="A1173" s="5">
        <v>51055471</v>
      </c>
      <c r="B1173" s="5" t="str">
        <f>IFERROR(VLOOKUP(A1173,VENTAS!$A$2:$B$1194,2,0),"")</f>
        <v/>
      </c>
      <c r="C1173" s="5">
        <f>IFERROR(INDEX(VENTAS!$C$2:$E$1194,MATCH(A1173,VENTAS!$A$2:$A$1194,0),MATCH(PARAMS_MODELO!$B$2,{"Q1","Q2","Q3"},0)),0)</f>
        <v>0</v>
      </c>
      <c r="D1173" s="5">
        <f>IFERROR(INDEX(VENTAS!$F$2:$H$1194,MATCH(A1173,VENTAS!$A$2:$A$1194,0),MATCH(PARAMS_MODELO!$B$2,{"Q1","Q2","Q3"},0)),0)</f>
        <v>0</v>
      </c>
      <c r="E1173" s="8">
        <f t="shared" si="432"/>
        <v>0</v>
      </c>
      <c r="F1173" s="12">
        <f>IF(E1173&lt;=PARAMS_MODELO!$B$15,0,IF(E1173&gt;=PARAMS_MODELO!$B$17,100,100*MIN(1,(E1173-PARAMS_MODELO!$B$15)/(PARAMS_MODELO!$B$16-PARAMS_MODELO!$B$15))))*PARAMS_MODELO!$B$7</f>
        <v>0</v>
      </c>
      <c r="G1173" s="5">
        <f t="shared" si="433"/>
        <v>0</v>
      </c>
      <c r="H1173" s="5">
        <f>(PARAMS_MODELO!$B$20*(MAX(0,MIN(3,E1173))/3)+PARAMS_MODELO!$B$21*(IFERROR(LN(1+MAX(0,G1173))/LN(1+MAX(0,MAX($G$2:$G$1194))),0)))*100*PARAMS_MODELO!$B$8</f>
        <v>0</v>
      </c>
      <c r="I1173" s="8">
        <f>E1173-PARAMS_MODELO!$B$5</f>
        <v>-0.17756283537552653</v>
      </c>
      <c r="J1173" s="5">
        <f>IF(I1173&lt;=PARAMS_MODELO!$B$18,0,IF(I1173&gt;=PARAMS_MODELO!$B$19,100,100*(I1173-PARAMS_MODELO!$B$18)/(PARAMS_MODELO!$B$19-PARAMS_MODELO!$B$18)))*PARAMS_MODELO!$B$9</f>
        <v>0</v>
      </c>
      <c r="K1173" s="5">
        <f>IFERROR(CHOOSE(MATCH(PARAMS_MODELO!$B$2,{"Q1","Q2","Q3"},0),LOTO!$D1173,LOTO!$F1173,LOTO!$H1173),0)</f>
        <v>0</v>
      </c>
      <c r="L1173" s="8">
        <f t="shared" si="434"/>
        <v>0</v>
      </c>
      <c r="M1173" s="5">
        <f>MIN(100,IF(PARAMS_MODELO!$B$23=0,0,100*L1173/PARAMS_MODELO!$B$23))*PARAMS_MODELO!$B$10</f>
        <v>0</v>
      </c>
      <c r="N1173" s="5">
        <f>IFERROR(VLOOKUP(A1173,COMPLIANCE!$A$2:$F$1996,6,0),100)</f>
        <v>100</v>
      </c>
      <c r="O1173" s="5">
        <f>N1173*PARAMS_MODELO!$B$11</f>
        <v>10</v>
      </c>
      <c r="P1173" s="5">
        <f>IFERROR(VLOOKUP(A1173,DIGITAL!$A$2:$J$2000,7,0),100)</f>
        <v>32</v>
      </c>
      <c r="Q1173" s="5">
        <f>IFERROR(P1173,0)*PARAMS_MODELO!$B$12</f>
        <v>3.2</v>
      </c>
      <c r="R1173">
        <f t="shared" si="435"/>
        <v>13.2</v>
      </c>
      <c r="S1173" s="5" t="str">
        <f>IFERROR(VLOOKUP(A1173,CLIENTE!$A$2:$N$2000,13,0),1)</f>
        <v>Regular</v>
      </c>
      <c r="T1173" s="5">
        <f>IFERROR(VLOOKUP(A1173,CLIENTE!$A$2:$N$2000,14,0),1)</f>
        <v>1</v>
      </c>
      <c r="U1173" s="5">
        <f t="shared" si="436"/>
        <v>13.2</v>
      </c>
      <c r="V1173" s="5" t="str">
        <f>IF(U1173&gt;=MAX(_xlfn.PERCENTILE.INC($U$2:$U$1194,PARAMS_MODELO!$B$50),PARAMS_MODELO!$B$45),"DIAMANTE",IF(U1173&gt;=MAX(_xlfn.PERCENTILE.INC($U$2:$U$1194,PARAMS_MODELO!$B$51),PARAMS_MODELO!$B$46),"PLATINO",IF(U1173&gt;=MAX(_xlfn.PERCENTILE.INC($U$2:$U$1194,PARAMS_MODELO!$B$52),PARAMS_MODELO!$B$47),"ORO",IF(U1173&gt;=MAX(_xlfn.PERCENTILE.INC($U$2:$U$1194,PARAMS_MODELO!$B$53),PARAMS_MODELO!$B$48),"PLATA",IF(U1173&gt;=1,"BRONCE","CERRADO")))))</f>
        <v>BRONCE</v>
      </c>
      <c r="W1173" s="5" t="str" cm="1">
        <f t="array" ref="W1173">_xlfn.XLOOKUP(1, (HIST_SCORE!$B:$B=PARAMS_MODELO!$B$4) * (HIST_SCORE!$C:$C=A1173), HIST_SCORE!$E:$E, "No encontrado")</f>
        <v>BRONCE</v>
      </c>
      <c r="X1173" s="5" t="str">
        <f>_xlfn.LET(_xlpm.act,MATCH(V1173,{"DIAMANTE";"PLATINO";"ORO";"PLATA";"BRONCE";"CERRADO"},0),_xlpm.ant,MATCH(W1173,{"DIAMANTE";"PLATINO";"ORO";"PLATA";"BRONCE";"CERRADO"},0),IF(_xlpm.act&lt;_xlpm.ant,"Mejora ↑",IF(_xlpm.act&gt;_xlpm.ant,"Baja ↓","Estable →")))</f>
        <v>Estable →</v>
      </c>
      <c r="Y1173" s="5">
        <f>IFERROR(U1173-SUMIFS(HIST_SCORE!$D:$D,HIST_SCORE!$B:$B,PARAMS_MODELO!$B$4,HIST_SCORE!$C:$C,$A1173),"")</f>
        <v>0</v>
      </c>
      <c r="Z1173" s="5" t="str">
        <f t="shared" si="437"/>
        <v>→ Estable</v>
      </c>
      <c r="AA1173" s="5">
        <f t="shared" si="438"/>
        <v>1107</v>
      </c>
      <c r="AB1173" s="5">
        <f>IFERROR(SUMIFS(HIST_SCORE!$F:$F,HIST_SCORE!$B:$B,PARAMS_MODELO!$B$4,HIST_SCORE!$C:$C,$A1173),"")</f>
        <v>1105</v>
      </c>
      <c r="AC1173" s="5">
        <f t="shared" si="439"/>
        <v>-2</v>
      </c>
      <c r="AD1173" t="str">
        <f t="shared" si="441"/>
        <v/>
      </c>
      <c r="AE11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1173="CERRADO",1,IF(V1173="BRONCE",_xlpm.cPl,IF(V1173="PLATA",_xlpm.cO,IF(V1173="ORO",_xlpm.cP,IF(V1173="PLATINO",_xlpm.cD,999))))))</f>
        <v>24.506573482968111</v>
      </c>
      <c r="AF117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1173="CERRADO",0,IF(V1173="BRONCE",1,IF(V1173="PLATA",_xlpm.cPl,IF(V1173="ORO",_xlpm.cO,IF(V1173="PLATINO",_xlpm.cP,_xlpm.cD))))))</f>
        <v>1</v>
      </c>
      <c r="AG1173">
        <f t="shared" si="442"/>
        <v>11.306573482968112</v>
      </c>
      <c r="AH1173" t="str">
        <f t="shared" si="443"/>
        <v>VENTAS</v>
      </c>
      <c r="AI1173" t="str">
        <f t="shared" si="440"/>
        <v>🎯 Para subir de categoría, eje VENTAS / CRECIMIENTO PERSONAL (F). Acción: metas semanales + activación comercial + seguimiento del asesor. ΔR aprox: 11,3</v>
      </c>
      <c r="AJ1173" s="26">
        <f>_xlfn.LET(_xlpm.piso,AF1173,_xlpm.corte,AE1173,_xlpm.prog,IF(_xlpm.corte&lt;=_xlpm.piso,0,MAX(0,MIN(1,(U1173-_xlpm.piso)/(_xlpm.corte-_xlpm.piso)))),_xlpm.orden,{"DIAMANTE";"PLATINO";"ORO";"PLATA";"BRONCE";"CERRADO"},_xlpm.act,IFERROR(MATCH(V1173,_xlpm.orden,0),6),_xlpm.ant,IFERROR(MATCH(W1173,_xlpm.orden,0),6),_xlpm.ajmov,IF(_xlpm.act&lt;_xlpm.ant,0.08,IF(_xlpm.act&gt;_xlpm.ant,-0.08,0)),_xlpm.ajcli,IF(T1173&lt;0.95,-0.06,0),_xlpm.prob,MAX(0,MIN(1,_xlpm.prog+_xlpm.ajmov+_xlpm.ajcli)),IF(OR(V1173="DIAMANTE",V1173="CERRADO"),0,ROUND(_xlpm.prob,2)))</f>
        <v>0.52</v>
      </c>
      <c r="AK1173" t="str">
        <f t="shared" si="444"/>
        <v>Faltan 11,3 puntos base para subir a la siguiente categoría</v>
      </c>
      <c r="AL1173" t="str">
        <f t="shared" si="445"/>
        <v>No aplica</v>
      </c>
      <c r="AM1173">
        <f t="shared" si="446"/>
        <v>0.59</v>
      </c>
      <c r="AN1173" t="str">
        <f t="shared" si="447"/>
        <v>PRIORIDAD MEDIA – seguimiento del asesor</v>
      </c>
      <c r="AO1173">
        <f t="shared" si="448"/>
        <v>64.862569275295584</v>
      </c>
      <c r="AP1173">
        <f t="shared" si="449"/>
        <v>15</v>
      </c>
      <c r="AQ1173">
        <f t="shared" si="450"/>
        <v>0</v>
      </c>
      <c r="AR1173">
        <f t="shared" si="451"/>
        <v>6.8</v>
      </c>
      <c r="AS1173">
        <f t="shared" si="452"/>
        <v>0</v>
      </c>
      <c r="AT1173" t="str">
        <f t="shared" si="453"/>
        <v>VENTAS</v>
      </c>
      <c r="AU1173">
        <f t="shared" si="454"/>
        <v>64.862569275295584</v>
      </c>
      <c r="AV1173" t="str">
        <f t="shared" si="455"/>
        <v>Mayor retorno probable: VENTAS (+64,9 puntos finales potenciales).</v>
      </c>
    </row>
    <row r="1174" spans="1:48" x14ac:dyDescent="0.3">
      <c r="A1174" s="5">
        <v>51055608</v>
      </c>
      <c r="B1174" s="5" t="str">
        <f>IFERROR(VLOOKUP(A1174,VENTAS!$A$2:$B$1194,2,0),"")</f>
        <v/>
      </c>
      <c r="C1174" s="5">
        <f>IFERROR(INDEX(VENTAS!$C$2:$E$1194,MATCH(A1174,VENTAS!$A$2:$A$1194,0),MATCH(PARAMS_MODELO!$B$2,{"Q1","Q2","Q3"},0)),0)</f>
        <v>68674539.390000001</v>
      </c>
      <c r="D1174" s="5">
        <f>IFERROR(INDEX(VENTAS!$F$2:$H$1194,MATCH(A1174,VENTAS!$A$2:$A$1194,0),MATCH(PARAMS_MODELO!$B$2,{"Q1","Q2","Q3"},0)),0)</f>
        <v>0</v>
      </c>
      <c r="E1174" s="8">
        <f t="shared" si="432"/>
        <v>-1</v>
      </c>
      <c r="F1174" s="12">
        <f>IF(E1174&lt;=PARAMS_MODELO!$B$15,0,IF(E1174&gt;=PARAMS_MODELO!$B$17,100,100*MIN(1,(E1174-PARAMS_MODELO!$B$15)/(PARAMS_MODELO!$B$16-PARAMS_MODELO!$B$15))))*PARAMS_MODELO!$B$7</f>
        <v>0</v>
      </c>
      <c r="G1174" s="5">
        <f t="shared" si="433"/>
        <v>0</v>
      </c>
      <c r="H1174" s="5">
        <f>(PARAMS_MODELO!$B$20*(MAX(0,MIN(3,E1174))/3)+PARAMS_MODELO!$B$21*(IFERROR(LN(1+MAX(0,G1174))/LN(1+MAX(0,MAX($G$2:$G$1194))),0)))*100*PARAMS_MODELO!$B$8</f>
        <v>0</v>
      </c>
      <c r="I1174" s="8">
        <f>E1174-PARAMS_MODELO!$B$5</f>
        <v>-1.1775628353755265</v>
      </c>
      <c r="J1174" s="5">
        <f>IF(I1174&lt;=PARAMS_MODELO!$B$18,0,IF(I1174&gt;=PARAMS_MODELO!$B$19,100,100*(I1174-PARAMS_MODELO!$B$18)/(PARAMS_MODELO!$B$19-PARAMS_MODELO!$B$18)))*PARAMS_MODELO!$B$9</f>
        <v>0</v>
      </c>
      <c r="K1174" s="5">
        <f>IFERROR(CHOOSE(MATCH(PARAMS_MODELO!$B$2,{"Q1","Q2","Q3"},0),LOTO!$D1174,LOTO!$F1174,LOTO!$H1174),0)</f>
        <v>0</v>
      </c>
      <c r="L1174" s="8">
        <f t="shared" si="434"/>
        <v>0</v>
      </c>
      <c r="M1174" s="5">
        <f>MIN(100,IF(PARAMS_MODELO!$B$23=0,0,100*L1174/PARAMS_MODELO!$B$23))*PARAMS_MODELO!$B$10</f>
        <v>0</v>
      </c>
      <c r="N1174" s="5">
        <f>IFERROR(VLOOKUP(A1174,COMPLIANCE!$A$2:$F$1996,6,0),100)</f>
        <v>0</v>
      </c>
      <c r="O1174" s="5">
        <f>N1174*PARAMS_MODELO!$B$11</f>
        <v>0</v>
      </c>
      <c r="P1174" s="5">
        <f>IFERROR(VLOOKUP(A1174,DIGITAL!$A$2:$J$2000,7,0),100)</f>
        <v>99</v>
      </c>
      <c r="Q1174" s="5">
        <f>IFERROR(P1174,0)*PARAMS_MODELO!$B$12</f>
        <v>9.9</v>
      </c>
      <c r="R1174">
        <f t="shared" si="435"/>
        <v>9.9</v>
      </c>
      <c r="S1174" s="5" t="str">
        <f>IFERROR(VLOOKUP(A1174,CLIENTE!$A$2:$N$2000,13,0),1)</f>
        <v>Bueno</v>
      </c>
      <c r="T1174" s="5">
        <f>IFERROR(VLOOKUP(A1174,CLIENTE!$A$2:$N$2000,14,0),1)</f>
        <v>1.1000000000000001</v>
      </c>
      <c r="U1174" s="5">
        <f t="shared" si="436"/>
        <v>10.89</v>
      </c>
      <c r="V1174" s="5" t="str">
        <f>IF(U1174&gt;=MAX(_xlfn.PERCENTILE.INC($U$2:$U$1194,PARAMS_MODELO!$B$50),PARAMS_MODELO!$B$45),"DIAMANTE",IF(U1174&gt;=MAX(_xlfn.PERCENTILE.INC($U$2:$U$1194,PARAMS_MODELO!$B$51),PARAMS_MODELO!$B$46),"PLATINO",IF(U1174&gt;=MAX(_xlfn.PERCENTILE.INC($U$2:$U$1194,PARAMS_MODELO!$B$52),PARAMS_MODELO!$B$47),"ORO",IF(U1174&gt;=MAX(_xlfn.PERCENTILE.INC($U$2:$U$1194,PARAMS_MODELO!$B$53),PARAMS_MODELO!$B$48),"PLATA",IF(U1174&gt;=1,"BRONCE","CERRADO")))))</f>
        <v>BRONCE</v>
      </c>
      <c r="W1174" s="5" t="str" cm="1">
        <f t="array" ref="W1174">_xlfn.XLOOKUP(1, (HIST_SCORE!$B:$B=PARAMS_MODELO!$B$4) * (HIST_SCORE!$C:$C=A1174), HIST_SCORE!$E:$E, "No encontrado")</f>
        <v>BRONCE</v>
      </c>
      <c r="X1174" s="5" t="str">
        <f>_xlfn.LET(_xlpm.act,MATCH(V1174,{"DIAMANTE";"PLATINO";"ORO";"PLATA";"BRONCE";"CERRADO"},0),_xlpm.ant,MATCH(W1174,{"DIAMANTE";"PLATINO";"ORO";"PLATA";"BRONCE";"CERRADO"},0),IF(_xlpm.act&lt;_xlpm.ant,"Mejora ↑",IF(_xlpm.act&gt;_xlpm.ant,"Baja ↓","Estable →")))</f>
        <v>Estable →</v>
      </c>
      <c r="Y1174" s="5">
        <f>IFERROR(U1174-SUMIFS(HIST_SCORE!$D:$D,HIST_SCORE!$B:$B,PARAMS_MODELO!$B$4,HIST_SCORE!$C:$C,$A1174),"")</f>
        <v>0</v>
      </c>
      <c r="Z1174" s="5" t="str">
        <f t="shared" si="437"/>
        <v>→ Estable</v>
      </c>
      <c r="AA1174" s="5">
        <f t="shared" si="438"/>
        <v>1148</v>
      </c>
      <c r="AB1174" s="5">
        <f>IFERROR(SUMIFS(HIST_SCORE!$F:$F,HIST_SCORE!$B:$B,PARAMS_MODELO!$B$4,HIST_SCORE!$C:$C,$A1174),"")</f>
        <v>1146</v>
      </c>
      <c r="AC1174" s="5">
        <f t="shared" si="439"/>
        <v>-2</v>
      </c>
      <c r="AD1174" t="str">
        <f t="shared" si="441"/>
        <v/>
      </c>
      <c r="AE11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1174="CERRADO",1,IF(V1174="BRONCE",_xlpm.cPl,IF(V1174="PLATA",_xlpm.cO,IF(V1174="ORO",_xlpm.cP,IF(V1174="PLATINO",_xlpm.cD,999))))))</f>
        <v>24.506573482968111</v>
      </c>
      <c r="AF117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1174="CERRADO",0,IF(V1174="BRONCE",1,IF(V1174="PLATA",_xlpm.cPl,IF(V1174="ORO",_xlpm.cO,IF(V1174="PLATINO",_xlpm.cP,_xlpm.cD))))))</f>
        <v>1</v>
      </c>
      <c r="AG1174">
        <f t="shared" si="442"/>
        <v>12.378703166334644</v>
      </c>
      <c r="AH1174" t="str">
        <f t="shared" si="443"/>
        <v>VENTAS</v>
      </c>
      <c r="AI1174" t="str">
        <f t="shared" si="440"/>
        <v>🎯 Para subir de categoría, eje VENTAS / CRECIMIENTO PERSONAL (F). Acción: metas semanales + activación comercial + seguimiento del asesor. ΔR aprox: 12,4</v>
      </c>
      <c r="AJ1174" s="26">
        <f>_xlfn.LET(_xlpm.piso,AF1174,_xlpm.corte,AE1174,_xlpm.prog,IF(_xlpm.corte&lt;=_xlpm.piso,0,MAX(0,MIN(1,(U1174-_xlpm.piso)/(_xlpm.corte-_xlpm.piso)))),_xlpm.orden,{"DIAMANTE";"PLATINO";"ORO";"PLATA";"BRONCE";"CERRADO"},_xlpm.act,IFERROR(MATCH(V1174,_xlpm.orden,0),6),_xlpm.ant,IFERROR(MATCH(W1174,_xlpm.orden,0),6),_xlpm.ajmov,IF(_xlpm.act&lt;_xlpm.ant,0.08,IF(_xlpm.act&gt;_xlpm.ant,-0.08,0)),_xlpm.ajcli,IF(T1174&lt;0.95,-0.06,0),_xlpm.prob,MAX(0,MIN(1,_xlpm.prog+_xlpm.ajmov+_xlpm.ajcli)),IF(OR(V1174="DIAMANTE",V1174="CERRADO"),0,ROUND(_xlpm.prob,2)))</f>
        <v>0.42</v>
      </c>
      <c r="AK1174" t="str">
        <f t="shared" si="444"/>
        <v>Faltan 12,4 puntos base para subir a la siguiente categoría</v>
      </c>
      <c r="AL1174" t="str">
        <f t="shared" si="445"/>
        <v>No aplica</v>
      </c>
      <c r="AM1174">
        <f t="shared" si="446"/>
        <v>0.63</v>
      </c>
      <c r="AN1174" t="str">
        <f t="shared" si="447"/>
        <v>PRIORIDAD MEDIA – seguimiento del asesor</v>
      </c>
      <c r="AO1174">
        <f t="shared" si="448"/>
        <v>71.348826202825151</v>
      </c>
      <c r="AP1174">
        <f t="shared" si="449"/>
        <v>16.5</v>
      </c>
      <c r="AQ1174">
        <f t="shared" si="450"/>
        <v>11</v>
      </c>
      <c r="AR1174">
        <f t="shared" si="451"/>
        <v>0.10999999999999961</v>
      </c>
      <c r="AS1174">
        <f t="shared" si="452"/>
        <v>0</v>
      </c>
      <c r="AT1174" t="str">
        <f t="shared" si="453"/>
        <v>VENTAS</v>
      </c>
      <c r="AU1174">
        <f t="shared" si="454"/>
        <v>71.348826202825151</v>
      </c>
      <c r="AV1174" t="str">
        <f t="shared" si="455"/>
        <v>Mayor retorno probable: VENTAS (+71,3 puntos finales potenciales).</v>
      </c>
    </row>
    <row r="1175" spans="1:48" x14ac:dyDescent="0.3">
      <c r="A1175" s="5">
        <v>51055683</v>
      </c>
      <c r="B1175" s="5" t="str">
        <f>IFERROR(VLOOKUP(A1175,VENTAS!$A$2:$B$1194,2,0),"")</f>
        <v/>
      </c>
      <c r="C1175" s="5">
        <f>IFERROR(INDEX(VENTAS!$C$2:$E$1194,MATCH(A1175,VENTAS!$A$2:$A$1194,0),MATCH(PARAMS_MODELO!$B$2,{"Q1","Q2","Q3"},0)),0)</f>
        <v>5276020.2</v>
      </c>
      <c r="D1175" s="5">
        <f>IFERROR(INDEX(VENTAS!$F$2:$H$1194,MATCH(A1175,VENTAS!$A$2:$A$1194,0),MATCH(PARAMS_MODELO!$B$2,{"Q1","Q2","Q3"},0)),0)</f>
        <v>0</v>
      </c>
      <c r="E1175" s="8">
        <f t="shared" si="432"/>
        <v>-1</v>
      </c>
      <c r="F1175" s="12">
        <f>IF(E1175&lt;=PARAMS_MODELO!$B$15,0,IF(E1175&gt;=PARAMS_MODELO!$B$17,100,100*MIN(1,(E1175-PARAMS_MODELO!$B$15)/(PARAMS_MODELO!$B$16-PARAMS_MODELO!$B$15))))*PARAMS_MODELO!$B$7</f>
        <v>0</v>
      </c>
      <c r="G1175" s="5">
        <f t="shared" si="433"/>
        <v>0</v>
      </c>
      <c r="H1175" s="5">
        <f>(PARAMS_MODELO!$B$20*(MAX(0,MIN(3,E1175))/3)+PARAMS_MODELO!$B$21*(IFERROR(LN(1+MAX(0,G1175))/LN(1+MAX(0,MAX($G$2:$G$1194))),0)))*100*PARAMS_MODELO!$B$8</f>
        <v>0</v>
      </c>
      <c r="I1175" s="8">
        <f>E1175-PARAMS_MODELO!$B$5</f>
        <v>-1.1775628353755265</v>
      </c>
      <c r="J1175" s="5">
        <f>IF(I1175&lt;=PARAMS_MODELO!$B$18,0,IF(I1175&gt;=PARAMS_MODELO!$B$19,100,100*(I1175-PARAMS_MODELO!$B$18)/(PARAMS_MODELO!$B$19-PARAMS_MODELO!$B$18)))*PARAMS_MODELO!$B$9</f>
        <v>0</v>
      </c>
      <c r="K1175" s="5">
        <f>IFERROR(CHOOSE(MATCH(PARAMS_MODELO!$B$2,{"Q1","Q2","Q3"},0),LOTO!$D1175,LOTO!$F1175,LOTO!$H1175),0)</f>
        <v>0</v>
      </c>
      <c r="L1175" s="8">
        <f t="shared" si="434"/>
        <v>0</v>
      </c>
      <c r="M1175" s="5">
        <f>MIN(100,IF(PARAMS_MODELO!$B$23=0,0,100*L1175/PARAMS_MODELO!$B$23))*PARAMS_MODELO!$B$10</f>
        <v>0</v>
      </c>
      <c r="N1175" s="5">
        <f>IFERROR(VLOOKUP(A1175,COMPLIANCE!$A$2:$F$1996,6,0),100)</f>
        <v>100</v>
      </c>
      <c r="O1175" s="5">
        <f>N1175*PARAMS_MODELO!$B$11</f>
        <v>10</v>
      </c>
      <c r="P1175" s="5">
        <f>IFERROR(VLOOKUP(A1175,DIGITAL!$A$2:$J$2000,7,0),100)</f>
        <v>73</v>
      </c>
      <c r="Q1175" s="5">
        <f>IFERROR(P1175,0)*PARAMS_MODELO!$B$12</f>
        <v>7.3000000000000007</v>
      </c>
      <c r="R1175">
        <f t="shared" si="435"/>
        <v>17.3</v>
      </c>
      <c r="S1175" s="5" t="str">
        <f>IFERROR(VLOOKUP(A1175,CLIENTE!$A$2:$N$2000,13,0),1)</f>
        <v>Regular</v>
      </c>
      <c r="T1175" s="5">
        <f>IFERROR(VLOOKUP(A1175,CLIENTE!$A$2:$N$2000,14,0),1)</f>
        <v>1</v>
      </c>
      <c r="U1175" s="5">
        <f t="shared" si="436"/>
        <v>17.3</v>
      </c>
      <c r="V1175" s="5" t="str">
        <f>IF(U1175&gt;=MAX(_xlfn.PERCENTILE.INC($U$2:$U$1194,PARAMS_MODELO!$B$50),PARAMS_MODELO!$B$45),"DIAMANTE",IF(U1175&gt;=MAX(_xlfn.PERCENTILE.INC($U$2:$U$1194,PARAMS_MODELO!$B$51),PARAMS_MODELO!$B$46),"PLATINO",IF(U1175&gt;=MAX(_xlfn.PERCENTILE.INC($U$2:$U$1194,PARAMS_MODELO!$B$52),PARAMS_MODELO!$B$47),"ORO",IF(U1175&gt;=MAX(_xlfn.PERCENTILE.INC($U$2:$U$1194,PARAMS_MODELO!$B$53),PARAMS_MODELO!$B$48),"PLATA",IF(U1175&gt;=1,"BRONCE","CERRADO")))))</f>
        <v>BRONCE</v>
      </c>
      <c r="W1175" s="5" t="str" cm="1">
        <f t="array" ref="W1175">_xlfn.XLOOKUP(1, (HIST_SCORE!$B:$B=PARAMS_MODELO!$B$4) * (HIST_SCORE!$C:$C=A1175), HIST_SCORE!$E:$E, "No encontrado")</f>
        <v>BRONCE</v>
      </c>
      <c r="X1175" s="5" t="str">
        <f>_xlfn.LET(_xlpm.act,MATCH(V1175,{"DIAMANTE";"PLATINO";"ORO";"PLATA";"BRONCE";"CERRADO"},0),_xlpm.ant,MATCH(W1175,{"DIAMANTE";"PLATINO";"ORO";"PLATA";"BRONCE";"CERRADO"},0),IF(_xlpm.act&lt;_xlpm.ant,"Mejora ↑",IF(_xlpm.act&gt;_xlpm.ant,"Baja ↓","Estable →")))</f>
        <v>Estable →</v>
      </c>
      <c r="Y1175" s="5">
        <f>IFERROR(U1175-SUMIFS(HIST_SCORE!$D:$D,HIST_SCORE!$B:$B,PARAMS_MODELO!$B$4,HIST_SCORE!$C:$C,$A1175),"")</f>
        <v>0</v>
      </c>
      <c r="Z1175" s="5" t="str">
        <f t="shared" si="437"/>
        <v>→ Estable</v>
      </c>
      <c r="AA1175" s="5">
        <f t="shared" si="438"/>
        <v>1044</v>
      </c>
      <c r="AB1175" s="5">
        <f>IFERROR(SUMIFS(HIST_SCORE!$F:$F,HIST_SCORE!$B:$B,PARAMS_MODELO!$B$4,HIST_SCORE!$C:$C,$A1175),"")</f>
        <v>1039</v>
      </c>
      <c r="AC1175" s="5">
        <f t="shared" si="439"/>
        <v>-5</v>
      </c>
      <c r="AD1175" t="str">
        <f t="shared" si="441"/>
        <v/>
      </c>
      <c r="AE11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1175="CERRADO",1,IF(V1175="BRONCE",_xlpm.cPl,IF(V1175="PLATA",_xlpm.cO,IF(V1175="ORO",_xlpm.cP,IF(V1175="PLATINO",_xlpm.cD,999))))))</f>
        <v>24.506573482968111</v>
      </c>
      <c r="AF117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1175="CERRADO",0,IF(V1175="BRONCE",1,IF(V1175="PLATA",_xlpm.cPl,IF(V1175="ORO",_xlpm.cO,IF(V1175="PLATINO",_xlpm.cP,_xlpm.cD))))))</f>
        <v>1</v>
      </c>
      <c r="AG1175">
        <f t="shared" si="442"/>
        <v>7.2065734829681105</v>
      </c>
      <c r="AH1175" t="str">
        <f t="shared" si="443"/>
        <v>VENTAS</v>
      </c>
      <c r="AI1175" t="str">
        <f t="shared" si="440"/>
        <v>🎯 Para subir de categoría, eje VENTAS / CRECIMIENTO PERSONAL (F). Acción: metas semanales + activación comercial + seguimiento del asesor. ΔR aprox: 7,2</v>
      </c>
      <c r="AJ1175" s="26">
        <f>_xlfn.LET(_xlpm.piso,AF1175,_xlpm.corte,AE1175,_xlpm.prog,IF(_xlpm.corte&lt;=_xlpm.piso,0,MAX(0,MIN(1,(U1175-_xlpm.piso)/(_xlpm.corte-_xlpm.piso)))),_xlpm.orden,{"DIAMANTE";"PLATINO";"ORO";"PLATA";"BRONCE";"CERRADO"},_xlpm.act,IFERROR(MATCH(V1175,_xlpm.orden,0),6),_xlpm.ant,IFERROR(MATCH(W1175,_xlpm.orden,0),6),_xlpm.ajmov,IF(_xlpm.act&lt;_xlpm.ant,0.08,IF(_xlpm.act&gt;_xlpm.ant,-0.08,0)),_xlpm.ajcli,IF(T1175&lt;0.95,-0.06,0),_xlpm.prob,MAX(0,MIN(1,_xlpm.prog+_xlpm.ajmov+_xlpm.ajcli)),IF(OR(V1175="DIAMANTE",V1175="CERRADO"),0,ROUND(_xlpm.prob,2)))</f>
        <v>0.69</v>
      </c>
      <c r="AK1175" t="str">
        <f t="shared" si="444"/>
        <v>Faltan 7,2 puntos base para subir a la siguiente categoría</v>
      </c>
      <c r="AL1175" t="str">
        <f t="shared" si="445"/>
        <v>No aplica</v>
      </c>
      <c r="AM1175">
        <f t="shared" si="446"/>
        <v>0.41</v>
      </c>
      <c r="AN1175" t="str">
        <f t="shared" si="447"/>
        <v>PRIORIDAD MEDIA – seguimiento del asesor</v>
      </c>
      <c r="AO1175">
        <f t="shared" si="448"/>
        <v>64.862569275295584</v>
      </c>
      <c r="AP1175">
        <f t="shared" si="449"/>
        <v>15</v>
      </c>
      <c r="AQ1175">
        <f t="shared" si="450"/>
        <v>0</v>
      </c>
      <c r="AR1175">
        <f t="shared" si="451"/>
        <v>2.6999999999999993</v>
      </c>
      <c r="AS1175">
        <f t="shared" si="452"/>
        <v>0</v>
      </c>
      <c r="AT1175" t="str">
        <f t="shared" si="453"/>
        <v>VENTAS</v>
      </c>
      <c r="AU1175">
        <f t="shared" si="454"/>
        <v>64.862569275295584</v>
      </c>
      <c r="AV1175" t="str">
        <f t="shared" si="455"/>
        <v>Mayor retorno probable: VENTAS (+64,9 puntos finales potenciales).</v>
      </c>
    </row>
    <row r="1176" spans="1:48" x14ac:dyDescent="0.3">
      <c r="A1176" s="5">
        <v>51055713</v>
      </c>
      <c r="B1176" s="5" t="str">
        <f>IFERROR(VLOOKUP(A1176,VENTAS!$A$2:$B$1194,2,0),"")</f>
        <v/>
      </c>
      <c r="C1176" s="5">
        <f>IFERROR(INDEX(VENTAS!$C$2:$E$1194,MATCH(A1176,VENTAS!$A$2:$A$1194,0),MATCH(PARAMS_MODELO!$B$2,{"Q1","Q2","Q3"},0)),0)</f>
        <v>0</v>
      </c>
      <c r="D1176" s="5">
        <f>IFERROR(INDEX(VENTAS!$F$2:$H$1194,MATCH(A1176,VENTAS!$A$2:$A$1194,0),MATCH(PARAMS_MODELO!$B$2,{"Q1","Q2","Q3"},0)),0)</f>
        <v>0</v>
      </c>
      <c r="E1176" s="8">
        <f t="shared" si="432"/>
        <v>0</v>
      </c>
      <c r="F1176" s="12">
        <f>IF(E1176&lt;=PARAMS_MODELO!$B$15,0,IF(E1176&gt;=PARAMS_MODELO!$B$17,100,100*MIN(1,(E1176-PARAMS_MODELO!$B$15)/(PARAMS_MODELO!$B$16-PARAMS_MODELO!$B$15))))*PARAMS_MODELO!$B$7</f>
        <v>0</v>
      </c>
      <c r="G1176" s="5">
        <f t="shared" si="433"/>
        <v>0</v>
      </c>
      <c r="H1176" s="5">
        <f>(PARAMS_MODELO!$B$20*(MAX(0,MIN(3,E1176))/3)+PARAMS_MODELO!$B$21*(IFERROR(LN(1+MAX(0,G1176))/LN(1+MAX(0,MAX($G$2:$G$1194))),0)))*100*PARAMS_MODELO!$B$8</f>
        <v>0</v>
      </c>
      <c r="I1176" s="8">
        <f>E1176-PARAMS_MODELO!$B$5</f>
        <v>-0.17756283537552653</v>
      </c>
      <c r="J1176" s="5">
        <f>IF(I1176&lt;=PARAMS_MODELO!$B$18,0,IF(I1176&gt;=PARAMS_MODELO!$B$19,100,100*(I1176-PARAMS_MODELO!$B$18)/(PARAMS_MODELO!$B$19-PARAMS_MODELO!$B$18)))*PARAMS_MODELO!$B$9</f>
        <v>0</v>
      </c>
      <c r="K1176" s="5">
        <f>IFERROR(CHOOSE(MATCH(PARAMS_MODELO!$B$2,{"Q1","Q2","Q3"},0),LOTO!$D1176,LOTO!$F1176,LOTO!$H1176),0)</f>
        <v>0</v>
      </c>
      <c r="L1176" s="8">
        <f t="shared" si="434"/>
        <v>0</v>
      </c>
      <c r="M1176" s="5">
        <f>MIN(100,IF(PARAMS_MODELO!$B$23=0,0,100*L1176/PARAMS_MODELO!$B$23))*PARAMS_MODELO!$B$10</f>
        <v>0</v>
      </c>
      <c r="N1176" s="5">
        <f>IFERROR(VLOOKUP(A1176,COMPLIANCE!$A$2:$F$1996,6,0),100)</f>
        <v>100</v>
      </c>
      <c r="O1176" s="5">
        <f>N1176*PARAMS_MODELO!$B$11</f>
        <v>10</v>
      </c>
      <c r="P1176" s="5">
        <f>IFERROR(VLOOKUP(A1176,DIGITAL!$A$2:$J$2000,7,0),100)</f>
        <v>73</v>
      </c>
      <c r="Q1176" s="5">
        <f>IFERROR(P1176,0)*PARAMS_MODELO!$B$12</f>
        <v>7.3000000000000007</v>
      </c>
      <c r="R1176">
        <f t="shared" si="435"/>
        <v>17.3</v>
      </c>
      <c r="S1176" s="5" t="str">
        <f>IFERROR(VLOOKUP(A1176,CLIENTE!$A$2:$N$2000,13,0),1)</f>
        <v>Regular</v>
      </c>
      <c r="T1176" s="5">
        <f>IFERROR(VLOOKUP(A1176,CLIENTE!$A$2:$N$2000,14,0),1)</f>
        <v>1</v>
      </c>
      <c r="U1176" s="5">
        <f t="shared" si="436"/>
        <v>17.3</v>
      </c>
      <c r="V1176" s="5" t="str">
        <f>IF(U1176&gt;=MAX(_xlfn.PERCENTILE.INC($U$2:$U$1194,PARAMS_MODELO!$B$50),PARAMS_MODELO!$B$45),"DIAMANTE",IF(U1176&gt;=MAX(_xlfn.PERCENTILE.INC($U$2:$U$1194,PARAMS_MODELO!$B$51),PARAMS_MODELO!$B$46),"PLATINO",IF(U1176&gt;=MAX(_xlfn.PERCENTILE.INC($U$2:$U$1194,PARAMS_MODELO!$B$52),PARAMS_MODELO!$B$47),"ORO",IF(U1176&gt;=MAX(_xlfn.PERCENTILE.INC($U$2:$U$1194,PARAMS_MODELO!$B$53),PARAMS_MODELO!$B$48),"PLATA",IF(U1176&gt;=1,"BRONCE","CERRADO")))))</f>
        <v>BRONCE</v>
      </c>
      <c r="W1176" s="5" t="str" cm="1">
        <f t="array" ref="W1176">_xlfn.XLOOKUP(1, (HIST_SCORE!$B:$B=PARAMS_MODELO!$B$4) * (HIST_SCORE!$C:$C=A1176), HIST_SCORE!$E:$E, "No encontrado")</f>
        <v>BRONCE</v>
      </c>
      <c r="X1176" s="5" t="str">
        <f>_xlfn.LET(_xlpm.act,MATCH(V1176,{"DIAMANTE";"PLATINO";"ORO";"PLATA";"BRONCE";"CERRADO"},0),_xlpm.ant,MATCH(W1176,{"DIAMANTE";"PLATINO";"ORO";"PLATA";"BRONCE";"CERRADO"},0),IF(_xlpm.act&lt;_xlpm.ant,"Mejora ↑",IF(_xlpm.act&gt;_xlpm.ant,"Baja ↓","Estable →")))</f>
        <v>Estable →</v>
      </c>
      <c r="Y1176" s="5">
        <f>IFERROR(U1176-SUMIFS(HIST_SCORE!$D:$D,HIST_SCORE!$B:$B,PARAMS_MODELO!$B$4,HIST_SCORE!$C:$C,$A1176),"")</f>
        <v>0</v>
      </c>
      <c r="Z1176" s="5" t="str">
        <f t="shared" si="437"/>
        <v>→ Estable</v>
      </c>
      <c r="AA1176" s="5">
        <f t="shared" si="438"/>
        <v>1044</v>
      </c>
      <c r="AB1176" s="5">
        <f>IFERROR(SUMIFS(HIST_SCORE!$F:$F,HIST_SCORE!$B:$B,PARAMS_MODELO!$B$4,HIST_SCORE!$C:$C,$A1176),"")</f>
        <v>1039</v>
      </c>
      <c r="AC1176" s="5">
        <f t="shared" si="439"/>
        <v>-5</v>
      </c>
      <c r="AD1176" t="str">
        <f t="shared" si="441"/>
        <v/>
      </c>
      <c r="AE11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1176="CERRADO",1,IF(V1176="BRONCE",_xlpm.cPl,IF(V1176="PLATA",_xlpm.cO,IF(V1176="ORO",_xlpm.cP,IF(V1176="PLATINO",_xlpm.cD,999))))))</f>
        <v>24.506573482968111</v>
      </c>
      <c r="AF117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1176="CERRADO",0,IF(V1176="BRONCE",1,IF(V1176="PLATA",_xlpm.cPl,IF(V1176="ORO",_xlpm.cO,IF(V1176="PLATINO",_xlpm.cP,_xlpm.cD))))))</f>
        <v>1</v>
      </c>
      <c r="AG1176">
        <f t="shared" si="442"/>
        <v>7.2065734829681105</v>
      </c>
      <c r="AH1176" t="str">
        <f t="shared" si="443"/>
        <v>VENTAS</v>
      </c>
      <c r="AI1176" t="str">
        <f t="shared" si="440"/>
        <v>🎯 Para subir de categoría, eje VENTAS / CRECIMIENTO PERSONAL (F). Acción: metas semanales + activación comercial + seguimiento del asesor. ΔR aprox: 7,2</v>
      </c>
      <c r="AJ1176" s="26">
        <f>_xlfn.LET(_xlpm.piso,AF1176,_xlpm.corte,AE1176,_xlpm.prog,IF(_xlpm.corte&lt;=_xlpm.piso,0,MAX(0,MIN(1,(U1176-_xlpm.piso)/(_xlpm.corte-_xlpm.piso)))),_xlpm.orden,{"DIAMANTE";"PLATINO";"ORO";"PLATA";"BRONCE";"CERRADO"},_xlpm.act,IFERROR(MATCH(V1176,_xlpm.orden,0),6),_xlpm.ant,IFERROR(MATCH(W1176,_xlpm.orden,0),6),_xlpm.ajmov,IF(_xlpm.act&lt;_xlpm.ant,0.08,IF(_xlpm.act&gt;_xlpm.ant,-0.08,0)),_xlpm.ajcli,IF(T1176&lt;0.95,-0.06,0),_xlpm.prob,MAX(0,MIN(1,_xlpm.prog+_xlpm.ajmov+_xlpm.ajcli)),IF(OR(V1176="DIAMANTE",V1176="CERRADO"),0,ROUND(_xlpm.prob,2)))</f>
        <v>0.69</v>
      </c>
      <c r="AK1176" t="str">
        <f t="shared" si="444"/>
        <v>Faltan 7,2 puntos base para subir a la siguiente categoría</v>
      </c>
      <c r="AL1176" t="str">
        <f t="shared" si="445"/>
        <v>No aplica</v>
      </c>
      <c r="AM1176">
        <f t="shared" si="446"/>
        <v>0.41</v>
      </c>
      <c r="AN1176" t="str">
        <f t="shared" si="447"/>
        <v>PRIORIDAD MEDIA – seguimiento del asesor</v>
      </c>
      <c r="AO1176">
        <f t="shared" si="448"/>
        <v>64.862569275295584</v>
      </c>
      <c r="AP1176">
        <f t="shared" si="449"/>
        <v>15</v>
      </c>
      <c r="AQ1176">
        <f t="shared" si="450"/>
        <v>0</v>
      </c>
      <c r="AR1176">
        <f t="shared" si="451"/>
        <v>2.6999999999999993</v>
      </c>
      <c r="AS1176">
        <f t="shared" si="452"/>
        <v>0</v>
      </c>
      <c r="AT1176" t="str">
        <f t="shared" si="453"/>
        <v>VENTAS</v>
      </c>
      <c r="AU1176">
        <f t="shared" si="454"/>
        <v>64.862569275295584</v>
      </c>
      <c r="AV1176" t="str">
        <f t="shared" si="455"/>
        <v>Mayor retorno probable: VENTAS (+64,9 puntos finales potenciales).</v>
      </c>
    </row>
    <row r="1177" spans="1:48" x14ac:dyDescent="0.3">
      <c r="A1177" s="5">
        <v>51055748</v>
      </c>
      <c r="B1177" s="5" t="str">
        <f>IFERROR(VLOOKUP(A1177,VENTAS!$A$2:$B$1194,2,0),"")</f>
        <v/>
      </c>
      <c r="C1177" s="5">
        <f>IFERROR(INDEX(VENTAS!$C$2:$E$1194,MATCH(A1177,VENTAS!$A$2:$A$1194,0),MATCH(PARAMS_MODELO!$B$2,{"Q1","Q2","Q3"},0)),0)</f>
        <v>0</v>
      </c>
      <c r="D1177" s="5">
        <f>IFERROR(INDEX(VENTAS!$F$2:$H$1194,MATCH(A1177,VENTAS!$A$2:$A$1194,0),MATCH(PARAMS_MODELO!$B$2,{"Q1","Q2","Q3"},0)),0)</f>
        <v>0</v>
      </c>
      <c r="E1177" s="8">
        <f t="shared" si="432"/>
        <v>0</v>
      </c>
      <c r="F1177" s="12">
        <f>IF(E1177&lt;=PARAMS_MODELO!$B$15,0,IF(E1177&gt;=PARAMS_MODELO!$B$17,100,100*MIN(1,(E1177-PARAMS_MODELO!$B$15)/(PARAMS_MODELO!$B$16-PARAMS_MODELO!$B$15))))*PARAMS_MODELO!$B$7</f>
        <v>0</v>
      </c>
      <c r="G1177" s="5">
        <f t="shared" si="433"/>
        <v>0</v>
      </c>
      <c r="H1177" s="5">
        <f>(PARAMS_MODELO!$B$20*(MAX(0,MIN(3,E1177))/3)+PARAMS_MODELO!$B$21*(IFERROR(LN(1+MAX(0,G1177))/LN(1+MAX(0,MAX($G$2:$G$1194))),0)))*100*PARAMS_MODELO!$B$8</f>
        <v>0</v>
      </c>
      <c r="I1177" s="8">
        <f>E1177-PARAMS_MODELO!$B$5</f>
        <v>-0.17756283537552653</v>
      </c>
      <c r="J1177" s="5">
        <f>IF(I1177&lt;=PARAMS_MODELO!$B$18,0,IF(I1177&gt;=PARAMS_MODELO!$B$19,100,100*(I1177-PARAMS_MODELO!$B$18)/(PARAMS_MODELO!$B$19-PARAMS_MODELO!$B$18)))*PARAMS_MODELO!$B$9</f>
        <v>0</v>
      </c>
      <c r="K1177" s="5">
        <f>IFERROR(CHOOSE(MATCH(PARAMS_MODELO!$B$2,{"Q1","Q2","Q3"},0),LOTO!$D1177,LOTO!$F1177,LOTO!$H1177),0)</f>
        <v>0</v>
      </c>
      <c r="L1177" s="8">
        <f t="shared" si="434"/>
        <v>0</v>
      </c>
      <c r="M1177" s="5">
        <f>MIN(100,IF(PARAMS_MODELO!$B$23=0,0,100*L1177/PARAMS_MODELO!$B$23))*PARAMS_MODELO!$B$10</f>
        <v>0</v>
      </c>
      <c r="N1177" s="5">
        <f>IFERROR(VLOOKUP(A1177,COMPLIANCE!$A$2:$F$1996,6,0),100)</f>
        <v>100</v>
      </c>
      <c r="O1177" s="5">
        <f>N1177*PARAMS_MODELO!$B$11</f>
        <v>10</v>
      </c>
      <c r="P1177" s="5">
        <f>IFERROR(VLOOKUP(A1177,DIGITAL!$A$2:$J$2000,7,0),100)</f>
        <v>7</v>
      </c>
      <c r="Q1177" s="5">
        <f>IFERROR(P1177,0)*PARAMS_MODELO!$B$12</f>
        <v>0.70000000000000007</v>
      </c>
      <c r="R1177">
        <f t="shared" si="435"/>
        <v>10.7</v>
      </c>
      <c r="S1177" s="5" t="str">
        <f>IFERROR(VLOOKUP(A1177,CLIENTE!$A$2:$N$2000,13,0),1)</f>
        <v>Regular</v>
      </c>
      <c r="T1177" s="5">
        <f>IFERROR(VLOOKUP(A1177,CLIENTE!$A$2:$N$2000,14,0),1)</f>
        <v>1</v>
      </c>
      <c r="U1177" s="5">
        <f t="shared" si="436"/>
        <v>10.7</v>
      </c>
      <c r="V1177" s="5" t="str">
        <f>IF(U1177&gt;=MAX(_xlfn.PERCENTILE.INC($U$2:$U$1194,PARAMS_MODELO!$B$50),PARAMS_MODELO!$B$45),"DIAMANTE",IF(U1177&gt;=MAX(_xlfn.PERCENTILE.INC($U$2:$U$1194,PARAMS_MODELO!$B$51),PARAMS_MODELO!$B$46),"PLATINO",IF(U1177&gt;=MAX(_xlfn.PERCENTILE.INC($U$2:$U$1194,PARAMS_MODELO!$B$52),PARAMS_MODELO!$B$47),"ORO",IF(U1177&gt;=MAX(_xlfn.PERCENTILE.INC($U$2:$U$1194,PARAMS_MODELO!$B$53),PARAMS_MODELO!$B$48),"PLATA",IF(U1177&gt;=1,"BRONCE","CERRADO")))))</f>
        <v>BRONCE</v>
      </c>
      <c r="W1177" s="5" t="str" cm="1">
        <f t="array" ref="W1177">_xlfn.XLOOKUP(1, (HIST_SCORE!$B:$B=PARAMS_MODELO!$B$4) * (HIST_SCORE!$C:$C=A1177), HIST_SCORE!$E:$E, "No encontrado")</f>
        <v>BRONCE</v>
      </c>
      <c r="X1177" s="5" t="str">
        <f>_xlfn.LET(_xlpm.act,MATCH(V1177,{"DIAMANTE";"PLATINO";"ORO";"PLATA";"BRONCE";"CERRADO"},0),_xlpm.ant,MATCH(W1177,{"DIAMANTE";"PLATINO";"ORO";"PLATA";"BRONCE";"CERRADO"},0),IF(_xlpm.act&lt;_xlpm.ant,"Mejora ↑",IF(_xlpm.act&gt;_xlpm.ant,"Baja ↓","Estable →")))</f>
        <v>Estable →</v>
      </c>
      <c r="Y1177" s="5">
        <f>IFERROR(U1177-SUMIFS(HIST_SCORE!$D:$D,HIST_SCORE!$B:$B,PARAMS_MODELO!$B$4,HIST_SCORE!$C:$C,$A1177),"")</f>
        <v>0</v>
      </c>
      <c r="Z1177" s="5" t="str">
        <f t="shared" si="437"/>
        <v>→ Estable</v>
      </c>
      <c r="AA1177" s="5">
        <f t="shared" si="438"/>
        <v>1153</v>
      </c>
      <c r="AB1177" s="5">
        <f>IFERROR(SUMIFS(HIST_SCORE!$F:$F,HIST_SCORE!$B:$B,PARAMS_MODELO!$B$4,HIST_SCORE!$C:$C,$A1177),"")</f>
        <v>1151</v>
      </c>
      <c r="AC1177" s="5">
        <f t="shared" si="439"/>
        <v>-2</v>
      </c>
      <c r="AD1177" t="str">
        <f t="shared" si="441"/>
        <v/>
      </c>
      <c r="AE11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1177="CERRADO",1,IF(V1177="BRONCE",_xlpm.cPl,IF(V1177="PLATA",_xlpm.cO,IF(V1177="ORO",_xlpm.cP,IF(V1177="PLATINO",_xlpm.cD,999))))))</f>
        <v>24.506573482968111</v>
      </c>
      <c r="AF117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1177="CERRADO",0,IF(V1177="BRONCE",1,IF(V1177="PLATA",_xlpm.cPl,IF(V1177="ORO",_xlpm.cO,IF(V1177="PLATINO",_xlpm.cP,_xlpm.cD))))))</f>
        <v>1</v>
      </c>
      <c r="AG1177">
        <f t="shared" si="442"/>
        <v>13.806573482968112</v>
      </c>
      <c r="AH1177" t="str">
        <f t="shared" si="443"/>
        <v>VENTAS</v>
      </c>
      <c r="AI1177" t="str">
        <f t="shared" si="440"/>
        <v>🎯 Para subir de categoría, eje VENTAS / CRECIMIENTO PERSONAL (F). Acción: metas semanales + activación comercial + seguimiento del asesor. ΔR aprox: 13,8</v>
      </c>
      <c r="AJ1177" s="26">
        <f>_xlfn.LET(_xlpm.piso,AF1177,_xlpm.corte,AE1177,_xlpm.prog,IF(_xlpm.corte&lt;=_xlpm.piso,0,MAX(0,MIN(1,(U1177-_xlpm.piso)/(_xlpm.corte-_xlpm.piso)))),_xlpm.orden,{"DIAMANTE";"PLATINO";"ORO";"PLATA";"BRONCE";"CERRADO"},_xlpm.act,IFERROR(MATCH(V1177,_xlpm.orden,0),6),_xlpm.ant,IFERROR(MATCH(W1177,_xlpm.orden,0),6),_xlpm.ajmov,IF(_xlpm.act&lt;_xlpm.ant,0.08,IF(_xlpm.act&gt;_xlpm.ant,-0.08,0)),_xlpm.ajcli,IF(T1177&lt;0.95,-0.06,0),_xlpm.prob,MAX(0,MIN(1,_xlpm.prog+_xlpm.ajmov+_xlpm.ajcli)),IF(OR(V1177="DIAMANTE",V1177="CERRADO"),0,ROUND(_xlpm.prob,2)))</f>
        <v>0.41</v>
      </c>
      <c r="AK1177" t="str">
        <f t="shared" si="444"/>
        <v>Faltan 13,8 puntos base para subir a la siguiente categoría</v>
      </c>
      <c r="AL1177" t="str">
        <f t="shared" si="445"/>
        <v>No aplica</v>
      </c>
      <c r="AM1177">
        <f t="shared" si="446"/>
        <v>0.64</v>
      </c>
      <c r="AN1177" t="str">
        <f t="shared" si="447"/>
        <v>PRIORIDAD MEDIA – seguimiento del asesor</v>
      </c>
      <c r="AO1177">
        <f t="shared" si="448"/>
        <v>64.862569275295584</v>
      </c>
      <c r="AP1177">
        <f t="shared" si="449"/>
        <v>15</v>
      </c>
      <c r="AQ1177">
        <f t="shared" si="450"/>
        <v>0</v>
      </c>
      <c r="AR1177">
        <f t="shared" si="451"/>
        <v>9.3000000000000007</v>
      </c>
      <c r="AS1177">
        <f t="shared" si="452"/>
        <v>0</v>
      </c>
      <c r="AT1177" t="str">
        <f t="shared" si="453"/>
        <v>VENTAS</v>
      </c>
      <c r="AU1177">
        <f t="shared" si="454"/>
        <v>64.862569275295584</v>
      </c>
      <c r="AV1177" t="str">
        <f t="shared" si="455"/>
        <v>Mayor retorno probable: VENTAS (+64,9 puntos finales potenciales).</v>
      </c>
    </row>
    <row r="1178" spans="1:48" x14ac:dyDescent="0.3">
      <c r="A1178" s="5">
        <v>51055781</v>
      </c>
      <c r="B1178" s="5" t="str">
        <f>IFERROR(VLOOKUP(A1178,VENTAS!$A$2:$B$1194,2,0),"")</f>
        <v/>
      </c>
      <c r="C1178" s="5">
        <f>IFERROR(INDEX(VENTAS!$C$2:$E$1194,MATCH(A1178,VENTAS!$A$2:$A$1194,0),MATCH(PARAMS_MODELO!$B$2,{"Q1","Q2","Q3"},0)),0)</f>
        <v>23852122.629999999</v>
      </c>
      <c r="D1178" s="5">
        <f>IFERROR(INDEX(VENTAS!$F$2:$H$1194,MATCH(A1178,VENTAS!$A$2:$A$1194,0),MATCH(PARAMS_MODELO!$B$2,{"Q1","Q2","Q3"},0)),0)</f>
        <v>0</v>
      </c>
      <c r="E1178" s="8">
        <f t="shared" si="432"/>
        <v>-1</v>
      </c>
      <c r="F1178" s="12">
        <f>IF(E1178&lt;=PARAMS_MODELO!$B$15,0,IF(E1178&gt;=PARAMS_MODELO!$B$17,100,100*MIN(1,(E1178-PARAMS_MODELO!$B$15)/(PARAMS_MODELO!$B$16-PARAMS_MODELO!$B$15))))*PARAMS_MODELO!$B$7</f>
        <v>0</v>
      </c>
      <c r="G1178" s="5">
        <f t="shared" si="433"/>
        <v>0</v>
      </c>
      <c r="H1178" s="5">
        <f>(PARAMS_MODELO!$B$20*(MAX(0,MIN(3,E1178))/3)+PARAMS_MODELO!$B$21*(IFERROR(LN(1+MAX(0,G1178))/LN(1+MAX(0,MAX($G$2:$G$1194))),0)))*100*PARAMS_MODELO!$B$8</f>
        <v>0</v>
      </c>
      <c r="I1178" s="8">
        <f>E1178-PARAMS_MODELO!$B$5</f>
        <v>-1.1775628353755265</v>
      </c>
      <c r="J1178" s="5">
        <f>IF(I1178&lt;=PARAMS_MODELO!$B$18,0,IF(I1178&gt;=PARAMS_MODELO!$B$19,100,100*(I1178-PARAMS_MODELO!$B$18)/(PARAMS_MODELO!$B$19-PARAMS_MODELO!$B$18)))*PARAMS_MODELO!$B$9</f>
        <v>0</v>
      </c>
      <c r="K1178" s="5">
        <f>IFERROR(CHOOSE(MATCH(PARAMS_MODELO!$B$2,{"Q1","Q2","Q3"},0),LOTO!$D1178,LOTO!$F1178,LOTO!$H1178),0)</f>
        <v>0</v>
      </c>
      <c r="L1178" s="8">
        <f t="shared" si="434"/>
        <v>0</v>
      </c>
      <c r="M1178" s="5">
        <f>MIN(100,IF(PARAMS_MODELO!$B$23=0,0,100*L1178/PARAMS_MODELO!$B$23))*PARAMS_MODELO!$B$10</f>
        <v>0</v>
      </c>
      <c r="N1178" s="5">
        <f>IFERROR(VLOOKUP(A1178,COMPLIANCE!$A$2:$F$1996,6,0),100)</f>
        <v>100</v>
      </c>
      <c r="O1178" s="5">
        <f>N1178*PARAMS_MODELO!$B$11</f>
        <v>10</v>
      </c>
      <c r="P1178" s="5">
        <f>IFERROR(VLOOKUP(A1178,DIGITAL!$A$2:$J$2000,7,0),100)</f>
        <v>62</v>
      </c>
      <c r="Q1178" s="5">
        <f>IFERROR(P1178,0)*PARAMS_MODELO!$B$12</f>
        <v>6.2</v>
      </c>
      <c r="R1178">
        <f t="shared" si="435"/>
        <v>16.2</v>
      </c>
      <c r="S1178" s="5" t="str">
        <f>IFERROR(VLOOKUP(A1178,CLIENTE!$A$2:$N$2000,13,0),1)</f>
        <v>Malo</v>
      </c>
      <c r="T1178" s="5">
        <f>IFERROR(VLOOKUP(A1178,CLIENTE!$A$2:$N$2000,14,0),1)</f>
        <v>0.7</v>
      </c>
      <c r="U1178" s="5">
        <f t="shared" si="436"/>
        <v>11.339999999999998</v>
      </c>
      <c r="V1178" s="5" t="str">
        <f>IF(U1178&gt;=MAX(_xlfn.PERCENTILE.INC($U$2:$U$1194,PARAMS_MODELO!$B$50),PARAMS_MODELO!$B$45),"DIAMANTE",IF(U1178&gt;=MAX(_xlfn.PERCENTILE.INC($U$2:$U$1194,PARAMS_MODELO!$B$51),PARAMS_MODELO!$B$46),"PLATINO",IF(U1178&gt;=MAX(_xlfn.PERCENTILE.INC($U$2:$U$1194,PARAMS_MODELO!$B$52),PARAMS_MODELO!$B$47),"ORO",IF(U1178&gt;=MAX(_xlfn.PERCENTILE.INC($U$2:$U$1194,PARAMS_MODELO!$B$53),PARAMS_MODELO!$B$48),"PLATA",IF(U1178&gt;=1,"BRONCE","CERRADO")))))</f>
        <v>BRONCE</v>
      </c>
      <c r="W1178" s="5" t="str" cm="1">
        <f t="array" ref="W1178">_xlfn.XLOOKUP(1, (HIST_SCORE!$B:$B=PARAMS_MODELO!$B$4) * (HIST_SCORE!$C:$C=A1178), HIST_SCORE!$E:$E, "No encontrado")</f>
        <v>BRONCE</v>
      </c>
      <c r="X1178" s="5" t="str">
        <f>_xlfn.LET(_xlpm.act,MATCH(V1178,{"DIAMANTE";"PLATINO";"ORO";"PLATA";"BRONCE";"CERRADO"},0),_xlpm.ant,MATCH(W1178,{"DIAMANTE";"PLATINO";"ORO";"PLATA";"BRONCE";"CERRADO"},0),IF(_xlpm.act&lt;_xlpm.ant,"Mejora ↑",IF(_xlpm.act&gt;_xlpm.ant,"Baja ↓","Estable →")))</f>
        <v>Estable →</v>
      </c>
      <c r="Y1178" s="5">
        <f>IFERROR(U1178-SUMIFS(HIST_SCORE!$D:$D,HIST_SCORE!$B:$B,PARAMS_MODELO!$B$4,HIST_SCORE!$C:$C,$A1178),"")</f>
        <v>0</v>
      </c>
      <c r="Z1178" s="5" t="str">
        <f t="shared" si="437"/>
        <v>→ Estable</v>
      </c>
      <c r="AA1178" s="5">
        <f t="shared" si="438"/>
        <v>1140</v>
      </c>
      <c r="AB1178" s="5">
        <f>IFERROR(SUMIFS(HIST_SCORE!$F:$F,HIST_SCORE!$B:$B,PARAMS_MODELO!$B$4,HIST_SCORE!$C:$C,$A1178),"")</f>
        <v>1138</v>
      </c>
      <c r="AC1178" s="5">
        <f t="shared" si="439"/>
        <v>-2</v>
      </c>
      <c r="AD1178" t="str">
        <f t="shared" si="441"/>
        <v/>
      </c>
      <c r="AE11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1178="CERRADO",1,IF(V1178="BRONCE",_xlpm.cPl,IF(V1178="PLATA",_xlpm.cO,IF(V1178="ORO",_xlpm.cP,IF(V1178="PLATINO",_xlpm.cD,999))))))</f>
        <v>24.506573482968111</v>
      </c>
      <c r="AF117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1178="CERRADO",0,IF(V1178="BRONCE",1,IF(V1178="PLATA",_xlpm.cPl,IF(V1178="ORO",_xlpm.cO,IF(V1178="PLATINO",_xlpm.cP,_xlpm.cD))))))</f>
        <v>1</v>
      </c>
      <c r="AG1178">
        <f t="shared" si="442"/>
        <v>18.809390689954444</v>
      </c>
      <c r="AH1178" t="str">
        <f t="shared" si="443"/>
        <v>VENTAS</v>
      </c>
      <c r="AI1178" t="str">
        <f t="shared" si="440"/>
        <v>🎯 Para subir de categoría, eje VENTAS / CRECIMIENTO PERSONAL (F). Acción: metas semanales + activación comercial + seguimiento del asesor. ΔR aprox: 18,8</v>
      </c>
      <c r="AJ1178" s="26">
        <f>_xlfn.LET(_xlpm.piso,AF1178,_xlpm.corte,AE1178,_xlpm.prog,IF(_xlpm.corte&lt;=_xlpm.piso,0,MAX(0,MIN(1,(U1178-_xlpm.piso)/(_xlpm.corte-_xlpm.piso)))),_xlpm.orden,{"DIAMANTE";"PLATINO";"ORO";"PLATA";"BRONCE";"CERRADO"},_xlpm.act,IFERROR(MATCH(V1178,_xlpm.orden,0),6),_xlpm.ant,IFERROR(MATCH(W1178,_xlpm.orden,0),6),_xlpm.ajmov,IF(_xlpm.act&lt;_xlpm.ant,0.08,IF(_xlpm.act&gt;_xlpm.ant,-0.08,0)),_xlpm.ajcli,IF(T1178&lt;0.95,-0.06,0),_xlpm.prob,MAX(0,MIN(1,_xlpm.prog+_xlpm.ajmov+_xlpm.ajcli)),IF(OR(V1178="DIAMANTE",V1178="CERRADO"),0,ROUND(_xlpm.prob,2)))</f>
        <v>0.38</v>
      </c>
      <c r="AK1178" t="str">
        <f t="shared" si="444"/>
        <v>Faltan 18,8 puntos base para subir a la siguiente categoría</v>
      </c>
      <c r="AL1178" t="str">
        <f t="shared" si="445"/>
        <v>No aplica</v>
      </c>
      <c r="AM1178">
        <f t="shared" si="446"/>
        <v>0.85</v>
      </c>
      <c r="AN1178" t="str">
        <f t="shared" si="447"/>
        <v>PRIORIDAD ALTA – requiere intervención inmediata</v>
      </c>
      <c r="AO1178">
        <f t="shared" si="448"/>
        <v>45.403798492706905</v>
      </c>
      <c r="AP1178">
        <f t="shared" si="449"/>
        <v>10.5</v>
      </c>
      <c r="AQ1178">
        <f t="shared" si="450"/>
        <v>0</v>
      </c>
      <c r="AR1178">
        <f t="shared" si="451"/>
        <v>2.6599999999999997</v>
      </c>
      <c r="AS1178">
        <f t="shared" si="452"/>
        <v>4.8600000000000003</v>
      </c>
      <c r="AT1178" t="str">
        <f t="shared" si="453"/>
        <v>VENTAS</v>
      </c>
      <c r="AU1178">
        <f t="shared" si="454"/>
        <v>45.403798492706905</v>
      </c>
      <c r="AV1178" t="str">
        <f t="shared" si="455"/>
        <v>Mayor retorno probable: VENTAS (+45,4 puntos finales potenciales).</v>
      </c>
    </row>
    <row r="1179" spans="1:48" x14ac:dyDescent="0.3">
      <c r="A1179" s="5">
        <v>51055900</v>
      </c>
      <c r="B1179" s="5" t="str">
        <f>IFERROR(VLOOKUP(A1179,VENTAS!$A$2:$B$1194,2,0),"")</f>
        <v/>
      </c>
      <c r="C1179" s="5">
        <f>IFERROR(INDEX(VENTAS!$C$2:$E$1194,MATCH(A1179,VENTAS!$A$2:$A$1194,0),MATCH(PARAMS_MODELO!$B$2,{"Q1","Q2","Q3"},0)),0)</f>
        <v>0</v>
      </c>
      <c r="D1179" s="5">
        <f>IFERROR(INDEX(VENTAS!$F$2:$H$1194,MATCH(A1179,VENTAS!$A$2:$A$1194,0),MATCH(PARAMS_MODELO!$B$2,{"Q1","Q2","Q3"},0)),0)</f>
        <v>0</v>
      </c>
      <c r="E1179" s="8">
        <f t="shared" si="432"/>
        <v>0</v>
      </c>
      <c r="F1179" s="12">
        <f>IF(E1179&lt;=PARAMS_MODELO!$B$15,0,IF(E1179&gt;=PARAMS_MODELO!$B$17,100,100*MIN(1,(E1179-PARAMS_MODELO!$B$15)/(PARAMS_MODELO!$B$16-PARAMS_MODELO!$B$15))))*PARAMS_MODELO!$B$7</f>
        <v>0</v>
      </c>
      <c r="G1179" s="5">
        <f t="shared" si="433"/>
        <v>0</v>
      </c>
      <c r="H1179" s="5">
        <f>(PARAMS_MODELO!$B$20*(MAX(0,MIN(3,E1179))/3)+PARAMS_MODELO!$B$21*(IFERROR(LN(1+MAX(0,G1179))/LN(1+MAX(0,MAX($G$2:$G$1194))),0)))*100*PARAMS_MODELO!$B$8</f>
        <v>0</v>
      </c>
      <c r="I1179" s="8">
        <f>E1179-PARAMS_MODELO!$B$5</f>
        <v>-0.17756283537552653</v>
      </c>
      <c r="J1179" s="5">
        <f>IF(I1179&lt;=PARAMS_MODELO!$B$18,0,IF(I1179&gt;=PARAMS_MODELO!$B$19,100,100*(I1179-PARAMS_MODELO!$B$18)/(PARAMS_MODELO!$B$19-PARAMS_MODELO!$B$18)))*PARAMS_MODELO!$B$9</f>
        <v>0</v>
      </c>
      <c r="K1179" s="5">
        <f>IFERROR(CHOOSE(MATCH(PARAMS_MODELO!$B$2,{"Q1","Q2","Q3"},0),LOTO!$D1179,LOTO!$F1179,LOTO!$H1179),0)</f>
        <v>0</v>
      </c>
      <c r="L1179" s="8">
        <f t="shared" si="434"/>
        <v>0</v>
      </c>
      <c r="M1179" s="5">
        <f>MIN(100,IF(PARAMS_MODELO!$B$23=0,0,100*L1179/PARAMS_MODELO!$B$23))*PARAMS_MODELO!$B$10</f>
        <v>0</v>
      </c>
      <c r="N1179" s="5">
        <f>IFERROR(VLOOKUP(A1179,COMPLIANCE!$A$2:$F$1996,6,0),100)</f>
        <v>100</v>
      </c>
      <c r="O1179" s="5">
        <f>N1179*PARAMS_MODELO!$B$11</f>
        <v>10</v>
      </c>
      <c r="P1179" s="5">
        <f>IFERROR(VLOOKUP(A1179,DIGITAL!$A$2:$J$2000,7,0),100)</f>
        <v>81</v>
      </c>
      <c r="Q1179" s="5">
        <f>IFERROR(P1179,0)*PARAMS_MODELO!$B$12</f>
        <v>8.1</v>
      </c>
      <c r="R1179">
        <f t="shared" si="435"/>
        <v>18.100000000000001</v>
      </c>
      <c r="S1179" s="5" t="str">
        <f>IFERROR(VLOOKUP(A1179,CLIENTE!$A$2:$N$2000,13,0),1)</f>
        <v>Malo</v>
      </c>
      <c r="T1179" s="5">
        <f>IFERROR(VLOOKUP(A1179,CLIENTE!$A$2:$N$2000,14,0),1)</f>
        <v>0.7</v>
      </c>
      <c r="U1179" s="5">
        <f t="shared" si="436"/>
        <v>12.67</v>
      </c>
      <c r="V1179" s="5" t="str">
        <f>IF(U1179&gt;=MAX(_xlfn.PERCENTILE.INC($U$2:$U$1194,PARAMS_MODELO!$B$50),PARAMS_MODELO!$B$45),"DIAMANTE",IF(U1179&gt;=MAX(_xlfn.PERCENTILE.INC($U$2:$U$1194,PARAMS_MODELO!$B$51),PARAMS_MODELO!$B$46),"PLATINO",IF(U1179&gt;=MAX(_xlfn.PERCENTILE.INC($U$2:$U$1194,PARAMS_MODELO!$B$52),PARAMS_MODELO!$B$47),"ORO",IF(U1179&gt;=MAX(_xlfn.PERCENTILE.INC($U$2:$U$1194,PARAMS_MODELO!$B$53),PARAMS_MODELO!$B$48),"PLATA",IF(U1179&gt;=1,"BRONCE","CERRADO")))))</f>
        <v>BRONCE</v>
      </c>
      <c r="W1179" s="5" t="str" cm="1">
        <f t="array" ref="W1179">_xlfn.XLOOKUP(1, (HIST_SCORE!$B:$B=PARAMS_MODELO!$B$4) * (HIST_SCORE!$C:$C=A1179), HIST_SCORE!$E:$E, "No encontrado")</f>
        <v>BRONCE</v>
      </c>
      <c r="X1179" s="5" t="str">
        <f>_xlfn.LET(_xlpm.act,MATCH(V1179,{"DIAMANTE";"PLATINO";"ORO";"PLATA";"BRONCE";"CERRADO"},0),_xlpm.ant,MATCH(W1179,{"DIAMANTE";"PLATINO";"ORO";"PLATA";"BRONCE";"CERRADO"},0),IF(_xlpm.act&lt;_xlpm.ant,"Mejora ↑",IF(_xlpm.act&gt;_xlpm.ant,"Baja ↓","Estable →")))</f>
        <v>Estable →</v>
      </c>
      <c r="Y1179" s="5">
        <f>IFERROR(U1179-SUMIFS(HIST_SCORE!$D:$D,HIST_SCORE!$B:$B,PARAMS_MODELO!$B$4,HIST_SCORE!$C:$C,$A1179),"")</f>
        <v>0</v>
      </c>
      <c r="Z1179" s="5" t="str">
        <f t="shared" si="437"/>
        <v>→ Estable</v>
      </c>
      <c r="AA1179" s="5">
        <f t="shared" si="438"/>
        <v>1122</v>
      </c>
      <c r="AB1179" s="5">
        <f>IFERROR(SUMIFS(HIST_SCORE!$F:$F,HIST_SCORE!$B:$B,PARAMS_MODELO!$B$4,HIST_SCORE!$C:$C,$A1179),"")</f>
        <v>1121</v>
      </c>
      <c r="AC1179" s="5">
        <f t="shared" si="439"/>
        <v>-1</v>
      </c>
      <c r="AD1179" t="str">
        <f t="shared" si="441"/>
        <v/>
      </c>
      <c r="AE11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1179="CERRADO",1,IF(V1179="BRONCE",_xlpm.cPl,IF(V1179="PLATA",_xlpm.cO,IF(V1179="ORO",_xlpm.cP,IF(V1179="PLATINO",_xlpm.cD,999))))))</f>
        <v>24.506573482968111</v>
      </c>
      <c r="AF117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1179="CERRADO",0,IF(V1179="BRONCE",1,IF(V1179="PLATA",_xlpm.cPl,IF(V1179="ORO",_xlpm.cO,IF(V1179="PLATINO",_xlpm.cP,_xlpm.cD))))))</f>
        <v>1</v>
      </c>
      <c r="AG1179">
        <f t="shared" si="442"/>
        <v>16.909390689954442</v>
      </c>
      <c r="AH1179" t="str">
        <f t="shared" si="443"/>
        <v>VENTAS</v>
      </c>
      <c r="AI1179" t="str">
        <f t="shared" si="440"/>
        <v>🎯 Para subir de categoría, eje VENTAS / CRECIMIENTO PERSONAL (F). Acción: metas semanales + activación comercial + seguimiento del asesor. ΔR aprox: 16,9</v>
      </c>
      <c r="AJ1179" s="26">
        <f>_xlfn.LET(_xlpm.piso,AF1179,_xlpm.corte,AE1179,_xlpm.prog,IF(_xlpm.corte&lt;=_xlpm.piso,0,MAX(0,MIN(1,(U1179-_xlpm.piso)/(_xlpm.corte-_xlpm.piso)))),_xlpm.orden,{"DIAMANTE";"PLATINO";"ORO";"PLATA";"BRONCE";"CERRADO"},_xlpm.act,IFERROR(MATCH(V1179,_xlpm.orden,0),6),_xlpm.ant,IFERROR(MATCH(W1179,_xlpm.orden,0),6),_xlpm.ajmov,IF(_xlpm.act&lt;_xlpm.ant,0.08,IF(_xlpm.act&gt;_xlpm.ant,-0.08,0)),_xlpm.ajcli,IF(T1179&lt;0.95,-0.06,0),_xlpm.prob,MAX(0,MIN(1,_xlpm.prog+_xlpm.ajmov+_xlpm.ajcli)),IF(OR(V1179="DIAMANTE",V1179="CERRADO"),0,ROUND(_xlpm.prob,2)))</f>
        <v>0.44</v>
      </c>
      <c r="AK1179" t="str">
        <f t="shared" si="444"/>
        <v>Faltan 16,9 puntos base para subir a la siguiente categoría</v>
      </c>
      <c r="AL1179" t="str">
        <f t="shared" si="445"/>
        <v>No aplica</v>
      </c>
      <c r="AM1179">
        <f t="shared" si="446"/>
        <v>0.82</v>
      </c>
      <c r="AN1179" t="str">
        <f t="shared" si="447"/>
        <v>PRIORIDAD ALTA – requiere intervención inmediata</v>
      </c>
      <c r="AO1179">
        <f t="shared" si="448"/>
        <v>45.403798492706905</v>
      </c>
      <c r="AP1179">
        <f t="shared" si="449"/>
        <v>10.5</v>
      </c>
      <c r="AQ1179">
        <f t="shared" si="450"/>
        <v>0</v>
      </c>
      <c r="AR1179">
        <f t="shared" si="451"/>
        <v>1.33</v>
      </c>
      <c r="AS1179">
        <f t="shared" si="452"/>
        <v>5.4300000000000015</v>
      </c>
      <c r="AT1179" t="str">
        <f t="shared" si="453"/>
        <v>VENTAS</v>
      </c>
      <c r="AU1179">
        <f t="shared" si="454"/>
        <v>45.403798492706905</v>
      </c>
      <c r="AV1179" t="str">
        <f t="shared" si="455"/>
        <v>Mayor retorno probable: VENTAS (+45,4 puntos finales potenciales).</v>
      </c>
    </row>
    <row r="1180" spans="1:48" x14ac:dyDescent="0.3">
      <c r="A1180" s="5">
        <v>51055934</v>
      </c>
      <c r="B1180" s="5" t="str">
        <f>IFERROR(VLOOKUP(A1180,VENTAS!$A$2:$B$1194,2,0),"")</f>
        <v/>
      </c>
      <c r="C1180" s="5">
        <f>IFERROR(INDEX(VENTAS!$C$2:$E$1194,MATCH(A1180,VENTAS!$A$2:$A$1194,0),MATCH(PARAMS_MODELO!$B$2,{"Q1","Q2","Q3"},0)),0)</f>
        <v>0</v>
      </c>
      <c r="D1180" s="5">
        <f>IFERROR(INDEX(VENTAS!$F$2:$H$1194,MATCH(A1180,VENTAS!$A$2:$A$1194,0),MATCH(PARAMS_MODELO!$B$2,{"Q1","Q2","Q3"},0)),0)</f>
        <v>0</v>
      </c>
      <c r="E1180" s="8">
        <f t="shared" si="432"/>
        <v>0</v>
      </c>
      <c r="F1180" s="12">
        <f>IF(E1180&lt;=PARAMS_MODELO!$B$15,0,IF(E1180&gt;=PARAMS_MODELO!$B$17,100,100*MIN(1,(E1180-PARAMS_MODELO!$B$15)/(PARAMS_MODELO!$B$16-PARAMS_MODELO!$B$15))))*PARAMS_MODELO!$B$7</f>
        <v>0</v>
      </c>
      <c r="G1180" s="5">
        <f t="shared" si="433"/>
        <v>0</v>
      </c>
      <c r="H1180" s="5">
        <f>(PARAMS_MODELO!$B$20*(MAX(0,MIN(3,E1180))/3)+PARAMS_MODELO!$B$21*(IFERROR(LN(1+MAX(0,G1180))/LN(1+MAX(0,MAX($G$2:$G$1194))),0)))*100*PARAMS_MODELO!$B$8</f>
        <v>0</v>
      </c>
      <c r="I1180" s="8">
        <f>E1180-PARAMS_MODELO!$B$5</f>
        <v>-0.17756283537552653</v>
      </c>
      <c r="J1180" s="5">
        <f>IF(I1180&lt;=PARAMS_MODELO!$B$18,0,IF(I1180&gt;=PARAMS_MODELO!$B$19,100,100*(I1180-PARAMS_MODELO!$B$18)/(PARAMS_MODELO!$B$19-PARAMS_MODELO!$B$18)))*PARAMS_MODELO!$B$9</f>
        <v>0</v>
      </c>
      <c r="K1180" s="5">
        <f>IFERROR(CHOOSE(MATCH(PARAMS_MODELO!$B$2,{"Q1","Q2","Q3"},0),LOTO!$D1180,LOTO!$F1180,LOTO!$H1180),0)</f>
        <v>0</v>
      </c>
      <c r="L1180" s="8">
        <f t="shared" si="434"/>
        <v>0</v>
      </c>
      <c r="M1180" s="5">
        <f>MIN(100,IF(PARAMS_MODELO!$B$23=0,0,100*L1180/PARAMS_MODELO!$B$23))*PARAMS_MODELO!$B$10</f>
        <v>0</v>
      </c>
      <c r="N1180" s="5">
        <f>IFERROR(VLOOKUP(A1180,COMPLIANCE!$A$2:$F$1996,6,0),100)</f>
        <v>100</v>
      </c>
      <c r="O1180" s="5">
        <f>N1180*PARAMS_MODELO!$B$11</f>
        <v>10</v>
      </c>
      <c r="P1180" s="5">
        <f>IFERROR(VLOOKUP(A1180,DIGITAL!$A$2:$J$2000,7,0),100)</f>
        <v>6</v>
      </c>
      <c r="Q1180" s="5">
        <f>IFERROR(P1180,0)*PARAMS_MODELO!$B$12</f>
        <v>0.60000000000000009</v>
      </c>
      <c r="R1180">
        <f t="shared" si="435"/>
        <v>10.6</v>
      </c>
      <c r="S1180" s="5" t="str">
        <f>IFERROR(VLOOKUP(A1180,CLIENTE!$A$2:$N$2000,13,0),1)</f>
        <v>Regular</v>
      </c>
      <c r="T1180" s="5">
        <f>IFERROR(VLOOKUP(A1180,CLIENTE!$A$2:$N$2000,14,0),1)</f>
        <v>1</v>
      </c>
      <c r="U1180" s="5">
        <f t="shared" si="436"/>
        <v>10.6</v>
      </c>
      <c r="V1180" s="5" t="str">
        <f>IF(U1180&gt;=MAX(_xlfn.PERCENTILE.INC($U$2:$U$1194,PARAMS_MODELO!$B$50),PARAMS_MODELO!$B$45),"DIAMANTE",IF(U1180&gt;=MAX(_xlfn.PERCENTILE.INC($U$2:$U$1194,PARAMS_MODELO!$B$51),PARAMS_MODELO!$B$46),"PLATINO",IF(U1180&gt;=MAX(_xlfn.PERCENTILE.INC($U$2:$U$1194,PARAMS_MODELO!$B$52),PARAMS_MODELO!$B$47),"ORO",IF(U1180&gt;=MAX(_xlfn.PERCENTILE.INC($U$2:$U$1194,PARAMS_MODELO!$B$53),PARAMS_MODELO!$B$48),"PLATA",IF(U1180&gt;=1,"BRONCE","CERRADO")))))</f>
        <v>BRONCE</v>
      </c>
      <c r="W1180" s="5" t="str" cm="1">
        <f t="array" ref="W1180">_xlfn.XLOOKUP(1, (HIST_SCORE!$B:$B=PARAMS_MODELO!$B$4) * (HIST_SCORE!$C:$C=A1180), HIST_SCORE!$E:$E, "No encontrado")</f>
        <v>BRONCE</v>
      </c>
      <c r="X1180" s="5" t="str">
        <f>_xlfn.LET(_xlpm.act,MATCH(V1180,{"DIAMANTE";"PLATINO";"ORO";"PLATA";"BRONCE";"CERRADO"},0),_xlpm.ant,MATCH(W1180,{"DIAMANTE";"PLATINO";"ORO";"PLATA";"BRONCE";"CERRADO"},0),IF(_xlpm.act&lt;_xlpm.ant,"Mejora ↑",IF(_xlpm.act&gt;_xlpm.ant,"Baja ↓","Estable →")))</f>
        <v>Estable →</v>
      </c>
      <c r="Y1180" s="5">
        <f>IFERROR(U1180-SUMIFS(HIST_SCORE!$D:$D,HIST_SCORE!$B:$B,PARAMS_MODELO!$B$4,HIST_SCORE!$C:$C,$A1180),"")</f>
        <v>0</v>
      </c>
      <c r="Z1180" s="5" t="str">
        <f t="shared" si="437"/>
        <v>→ Estable</v>
      </c>
      <c r="AA1180" s="5">
        <f t="shared" si="438"/>
        <v>1156</v>
      </c>
      <c r="AB1180" s="5">
        <f>IFERROR(SUMIFS(HIST_SCORE!$F:$F,HIST_SCORE!$B:$B,PARAMS_MODELO!$B$4,HIST_SCORE!$C:$C,$A1180),"")</f>
        <v>1156</v>
      </c>
      <c r="AC1180" s="5">
        <f t="shared" si="439"/>
        <v>0</v>
      </c>
      <c r="AD1180" t="str">
        <f t="shared" si="441"/>
        <v/>
      </c>
      <c r="AE11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1180="CERRADO",1,IF(V1180="BRONCE",_xlpm.cPl,IF(V1180="PLATA",_xlpm.cO,IF(V1180="ORO",_xlpm.cP,IF(V1180="PLATINO",_xlpm.cD,999))))))</f>
        <v>24.506573482968111</v>
      </c>
      <c r="AF118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1180="CERRADO",0,IF(V1180="BRONCE",1,IF(V1180="PLATA",_xlpm.cPl,IF(V1180="ORO",_xlpm.cO,IF(V1180="PLATINO",_xlpm.cP,_xlpm.cD))))))</f>
        <v>1</v>
      </c>
      <c r="AG1180">
        <f t="shared" si="442"/>
        <v>13.906573482968112</v>
      </c>
      <c r="AH1180" t="str">
        <f t="shared" si="443"/>
        <v>VENTAS</v>
      </c>
      <c r="AI1180" t="str">
        <f t="shared" si="440"/>
        <v>🎯 Para subir de categoría, eje VENTAS / CRECIMIENTO PERSONAL (F). Acción: metas semanales + activación comercial + seguimiento del asesor. ΔR aprox: 13,9</v>
      </c>
      <c r="AJ1180" s="26">
        <f>_xlfn.LET(_xlpm.piso,AF1180,_xlpm.corte,AE1180,_xlpm.prog,IF(_xlpm.corte&lt;=_xlpm.piso,0,MAX(0,MIN(1,(U1180-_xlpm.piso)/(_xlpm.corte-_xlpm.piso)))),_xlpm.orden,{"DIAMANTE";"PLATINO";"ORO";"PLATA";"BRONCE";"CERRADO"},_xlpm.act,IFERROR(MATCH(V1180,_xlpm.orden,0),6),_xlpm.ant,IFERROR(MATCH(W1180,_xlpm.orden,0),6),_xlpm.ajmov,IF(_xlpm.act&lt;_xlpm.ant,0.08,IF(_xlpm.act&gt;_xlpm.ant,-0.08,0)),_xlpm.ajcli,IF(T1180&lt;0.95,-0.06,0),_xlpm.prob,MAX(0,MIN(1,_xlpm.prog+_xlpm.ajmov+_xlpm.ajcli)),IF(OR(V1180="DIAMANTE",V1180="CERRADO"),0,ROUND(_xlpm.prob,2)))</f>
        <v>0.41</v>
      </c>
      <c r="AK1180" t="str">
        <f t="shared" si="444"/>
        <v>Faltan 13,9 puntos base para subir a la siguiente categoría</v>
      </c>
      <c r="AL1180" t="str">
        <f t="shared" si="445"/>
        <v>No aplica</v>
      </c>
      <c r="AM1180">
        <f t="shared" si="446"/>
        <v>0.64</v>
      </c>
      <c r="AN1180" t="str">
        <f t="shared" si="447"/>
        <v>PRIORIDAD MEDIA – seguimiento del asesor</v>
      </c>
      <c r="AO1180">
        <f t="shared" si="448"/>
        <v>64.862569275295584</v>
      </c>
      <c r="AP1180">
        <f t="shared" si="449"/>
        <v>15</v>
      </c>
      <c r="AQ1180">
        <f t="shared" si="450"/>
        <v>0</v>
      </c>
      <c r="AR1180">
        <f t="shared" si="451"/>
        <v>9.4</v>
      </c>
      <c r="AS1180">
        <f t="shared" si="452"/>
        <v>0</v>
      </c>
      <c r="AT1180" t="str">
        <f t="shared" si="453"/>
        <v>VENTAS</v>
      </c>
      <c r="AU1180">
        <f t="shared" si="454"/>
        <v>64.862569275295584</v>
      </c>
      <c r="AV1180" t="str">
        <f t="shared" si="455"/>
        <v>Mayor retorno probable: VENTAS (+64,9 puntos finales potenciales).</v>
      </c>
    </row>
    <row r="1181" spans="1:48" x14ac:dyDescent="0.3">
      <c r="A1181" s="5">
        <v>51055969</v>
      </c>
      <c r="B1181" s="5" t="str">
        <f>IFERROR(VLOOKUP(A1181,VENTAS!$A$2:$B$1194,2,0),"")</f>
        <v/>
      </c>
      <c r="C1181" s="5">
        <f>IFERROR(INDEX(VENTAS!$C$2:$E$1194,MATCH(A1181,VENTAS!$A$2:$A$1194,0),MATCH(PARAMS_MODELO!$B$2,{"Q1","Q2","Q3"},0)),0)</f>
        <v>0</v>
      </c>
      <c r="D1181" s="5">
        <f>IFERROR(INDEX(VENTAS!$F$2:$H$1194,MATCH(A1181,VENTAS!$A$2:$A$1194,0),MATCH(PARAMS_MODELO!$B$2,{"Q1","Q2","Q3"},0)),0)</f>
        <v>0</v>
      </c>
      <c r="E1181" s="8">
        <f t="shared" si="432"/>
        <v>0</v>
      </c>
      <c r="F1181" s="12">
        <f>IF(E1181&lt;=PARAMS_MODELO!$B$15,0,IF(E1181&gt;=PARAMS_MODELO!$B$17,100,100*MIN(1,(E1181-PARAMS_MODELO!$B$15)/(PARAMS_MODELO!$B$16-PARAMS_MODELO!$B$15))))*PARAMS_MODELO!$B$7</f>
        <v>0</v>
      </c>
      <c r="G1181" s="5">
        <f t="shared" si="433"/>
        <v>0</v>
      </c>
      <c r="H1181" s="5">
        <f>(PARAMS_MODELO!$B$20*(MAX(0,MIN(3,E1181))/3)+PARAMS_MODELO!$B$21*(IFERROR(LN(1+MAX(0,G1181))/LN(1+MAX(0,MAX($G$2:$G$1194))),0)))*100*PARAMS_MODELO!$B$8</f>
        <v>0</v>
      </c>
      <c r="I1181" s="8">
        <f>E1181-PARAMS_MODELO!$B$5</f>
        <v>-0.17756283537552653</v>
      </c>
      <c r="J1181" s="5">
        <f>IF(I1181&lt;=PARAMS_MODELO!$B$18,0,IF(I1181&gt;=PARAMS_MODELO!$B$19,100,100*(I1181-PARAMS_MODELO!$B$18)/(PARAMS_MODELO!$B$19-PARAMS_MODELO!$B$18)))*PARAMS_MODELO!$B$9</f>
        <v>0</v>
      </c>
      <c r="K1181" s="5">
        <f>IFERROR(CHOOSE(MATCH(PARAMS_MODELO!$B$2,{"Q1","Q2","Q3"},0),LOTO!$D1181,LOTO!$F1181,LOTO!$H1181),0)</f>
        <v>0</v>
      </c>
      <c r="L1181" s="8">
        <f t="shared" si="434"/>
        <v>0</v>
      </c>
      <c r="M1181" s="5">
        <f>MIN(100,IF(PARAMS_MODELO!$B$23=0,0,100*L1181/PARAMS_MODELO!$B$23))*PARAMS_MODELO!$B$10</f>
        <v>0</v>
      </c>
      <c r="N1181" s="5">
        <f>IFERROR(VLOOKUP(A1181,COMPLIANCE!$A$2:$F$1996,6,0),100)</f>
        <v>100</v>
      </c>
      <c r="O1181" s="5">
        <f>N1181*PARAMS_MODELO!$B$11</f>
        <v>10</v>
      </c>
      <c r="P1181" s="5">
        <f>IFERROR(VLOOKUP(A1181,DIGITAL!$A$2:$J$2000,7,0),100)</f>
        <v>16</v>
      </c>
      <c r="Q1181" s="5">
        <f>IFERROR(P1181,0)*PARAMS_MODELO!$B$12</f>
        <v>1.6</v>
      </c>
      <c r="R1181">
        <f t="shared" si="435"/>
        <v>11.6</v>
      </c>
      <c r="S1181" s="5" t="str">
        <f>IFERROR(VLOOKUP(A1181,CLIENTE!$A$2:$N$2000,13,0),1)</f>
        <v>Muy Bueno</v>
      </c>
      <c r="T1181" s="5">
        <f>IFERROR(VLOOKUP(A1181,CLIENTE!$A$2:$N$2000,14,0),1)</f>
        <v>1.1499999999999999</v>
      </c>
      <c r="U1181" s="5">
        <f t="shared" si="436"/>
        <v>13.339999999999998</v>
      </c>
      <c r="V1181" s="5" t="str">
        <f>IF(U1181&gt;=MAX(_xlfn.PERCENTILE.INC($U$2:$U$1194,PARAMS_MODELO!$B$50),PARAMS_MODELO!$B$45),"DIAMANTE",IF(U1181&gt;=MAX(_xlfn.PERCENTILE.INC($U$2:$U$1194,PARAMS_MODELO!$B$51),PARAMS_MODELO!$B$46),"PLATINO",IF(U1181&gt;=MAX(_xlfn.PERCENTILE.INC($U$2:$U$1194,PARAMS_MODELO!$B$52),PARAMS_MODELO!$B$47),"ORO",IF(U1181&gt;=MAX(_xlfn.PERCENTILE.INC($U$2:$U$1194,PARAMS_MODELO!$B$53),PARAMS_MODELO!$B$48),"PLATA",IF(U1181&gt;=1,"BRONCE","CERRADO")))))</f>
        <v>BRONCE</v>
      </c>
      <c r="W1181" s="5" t="str" cm="1">
        <f t="array" ref="W1181">_xlfn.XLOOKUP(1, (HIST_SCORE!$B:$B=PARAMS_MODELO!$B$4) * (HIST_SCORE!$C:$C=A1181), HIST_SCORE!$E:$E, "No encontrado")</f>
        <v>BRONCE</v>
      </c>
      <c r="X1181" s="5" t="str">
        <f>_xlfn.LET(_xlpm.act,MATCH(V1181,{"DIAMANTE";"PLATINO";"ORO";"PLATA";"BRONCE";"CERRADO"},0),_xlpm.ant,MATCH(W1181,{"DIAMANTE";"PLATINO";"ORO";"PLATA";"BRONCE";"CERRADO"},0),IF(_xlpm.act&lt;_xlpm.ant,"Mejora ↑",IF(_xlpm.act&gt;_xlpm.ant,"Baja ↓","Estable →")))</f>
        <v>Estable →</v>
      </c>
      <c r="Y1181" s="5">
        <f>IFERROR(U1181-SUMIFS(HIST_SCORE!$D:$D,HIST_SCORE!$B:$B,PARAMS_MODELO!$B$4,HIST_SCORE!$C:$C,$A1181),"")</f>
        <v>0</v>
      </c>
      <c r="Z1181" s="5" t="str">
        <f t="shared" si="437"/>
        <v>→ Estable</v>
      </c>
      <c r="AA1181" s="5">
        <f t="shared" si="438"/>
        <v>1102</v>
      </c>
      <c r="AB1181" s="5">
        <f>IFERROR(SUMIFS(HIST_SCORE!$F:$F,HIST_SCORE!$B:$B,PARAMS_MODELO!$B$4,HIST_SCORE!$C:$C,$A1181),"")</f>
        <v>1100</v>
      </c>
      <c r="AC1181" s="5">
        <f t="shared" si="439"/>
        <v>-2</v>
      </c>
      <c r="AD1181" t="str">
        <f t="shared" si="441"/>
        <v/>
      </c>
      <c r="AE11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1181="CERRADO",1,IF(V1181="BRONCE",_xlpm.cPl,IF(V1181="PLATA",_xlpm.cO,IF(V1181="ORO",_xlpm.cP,IF(V1181="PLATINO",_xlpm.cD,999))))))</f>
        <v>24.506573482968111</v>
      </c>
      <c r="AF118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1181="CERRADO",0,IF(V1181="BRONCE",1,IF(V1181="PLATA",_xlpm.cPl,IF(V1181="ORO",_xlpm.cO,IF(V1181="PLATINO",_xlpm.cP,_xlpm.cD))))))</f>
        <v>1</v>
      </c>
      <c r="AG1181">
        <f t="shared" si="442"/>
        <v>9.7100638982331429</v>
      </c>
      <c r="AH1181" t="str">
        <f t="shared" si="443"/>
        <v>VENTAS</v>
      </c>
      <c r="AI1181" t="str">
        <f t="shared" si="440"/>
        <v>🎯 Para subir de categoría, eje VENTAS / CRECIMIENTO PERSONAL (F). Acción: metas semanales + activación comercial + seguimiento del asesor. ΔR aprox: 9,7</v>
      </c>
      <c r="AJ1181" s="26">
        <f>_xlfn.LET(_xlpm.piso,AF1181,_xlpm.corte,AE1181,_xlpm.prog,IF(_xlpm.corte&lt;=_xlpm.piso,0,MAX(0,MIN(1,(U1181-_xlpm.piso)/(_xlpm.corte-_xlpm.piso)))),_xlpm.orden,{"DIAMANTE";"PLATINO";"ORO";"PLATA";"BRONCE";"CERRADO"},_xlpm.act,IFERROR(MATCH(V1181,_xlpm.orden,0),6),_xlpm.ant,IFERROR(MATCH(W1181,_xlpm.orden,0),6),_xlpm.ajmov,IF(_xlpm.act&lt;_xlpm.ant,0.08,IF(_xlpm.act&gt;_xlpm.ant,-0.08,0)),_xlpm.ajcli,IF(T1181&lt;0.95,-0.06,0),_xlpm.prob,MAX(0,MIN(1,_xlpm.prog+_xlpm.ajmov+_xlpm.ajcli)),IF(OR(V1181="DIAMANTE",V1181="CERRADO"),0,ROUND(_xlpm.prob,2)))</f>
        <v>0.52</v>
      </c>
      <c r="AK1181" t="str">
        <f t="shared" si="444"/>
        <v>Faltan 9,7 puntos base para subir a la siguiente categoría</v>
      </c>
      <c r="AL1181" t="str">
        <f t="shared" si="445"/>
        <v>No aplica</v>
      </c>
      <c r="AM1181">
        <f t="shared" si="446"/>
        <v>0.57999999999999996</v>
      </c>
      <c r="AN1181" t="str">
        <f t="shared" si="447"/>
        <v>PRIORIDAD MEDIA – seguimiento del asesor</v>
      </c>
      <c r="AO1181">
        <f t="shared" si="448"/>
        <v>74.591954666589913</v>
      </c>
      <c r="AP1181">
        <f t="shared" si="449"/>
        <v>17.25</v>
      </c>
      <c r="AQ1181">
        <f t="shared" si="450"/>
        <v>0</v>
      </c>
      <c r="AR1181">
        <f t="shared" si="451"/>
        <v>9.66</v>
      </c>
      <c r="AS1181">
        <f t="shared" si="452"/>
        <v>0</v>
      </c>
      <c r="AT1181" t="str">
        <f t="shared" si="453"/>
        <v>VENTAS</v>
      </c>
      <c r="AU1181">
        <f t="shared" si="454"/>
        <v>74.591954666589913</v>
      </c>
      <c r="AV1181" t="str">
        <f t="shared" si="455"/>
        <v>Mayor retorno probable: VENTAS (+74,6 puntos finales potenciales).</v>
      </c>
    </row>
    <row r="1182" spans="1:48" x14ac:dyDescent="0.3">
      <c r="A1182" s="5">
        <v>51055977</v>
      </c>
      <c r="B1182" s="5" t="str">
        <f>IFERROR(VLOOKUP(A1182,VENTAS!$A$2:$B$1194,2,0),"")</f>
        <v/>
      </c>
      <c r="C1182" s="5">
        <f>IFERROR(INDEX(VENTAS!$C$2:$E$1194,MATCH(A1182,VENTAS!$A$2:$A$1194,0),MATCH(PARAMS_MODELO!$B$2,{"Q1","Q2","Q3"},0)),0)</f>
        <v>11756514.949999999</v>
      </c>
      <c r="D1182" s="5">
        <f>IFERROR(INDEX(VENTAS!$F$2:$H$1194,MATCH(A1182,VENTAS!$A$2:$A$1194,0),MATCH(PARAMS_MODELO!$B$2,{"Q1","Q2","Q3"},0)),0)</f>
        <v>0</v>
      </c>
      <c r="E1182" s="8">
        <f t="shared" si="432"/>
        <v>-1</v>
      </c>
      <c r="F1182" s="12">
        <f>IF(E1182&lt;=PARAMS_MODELO!$B$15,0,IF(E1182&gt;=PARAMS_MODELO!$B$17,100,100*MIN(1,(E1182-PARAMS_MODELO!$B$15)/(PARAMS_MODELO!$B$16-PARAMS_MODELO!$B$15))))*PARAMS_MODELO!$B$7</f>
        <v>0</v>
      </c>
      <c r="G1182" s="5">
        <f t="shared" si="433"/>
        <v>0</v>
      </c>
      <c r="H1182" s="5">
        <f>(PARAMS_MODELO!$B$20*(MAX(0,MIN(3,E1182))/3)+PARAMS_MODELO!$B$21*(IFERROR(LN(1+MAX(0,G1182))/LN(1+MAX(0,MAX($G$2:$G$1194))),0)))*100*PARAMS_MODELO!$B$8</f>
        <v>0</v>
      </c>
      <c r="I1182" s="8">
        <f>E1182-PARAMS_MODELO!$B$5</f>
        <v>-1.1775628353755265</v>
      </c>
      <c r="J1182" s="5">
        <f>IF(I1182&lt;=PARAMS_MODELO!$B$18,0,IF(I1182&gt;=PARAMS_MODELO!$B$19,100,100*(I1182-PARAMS_MODELO!$B$18)/(PARAMS_MODELO!$B$19-PARAMS_MODELO!$B$18)))*PARAMS_MODELO!$B$9</f>
        <v>0</v>
      </c>
      <c r="K1182" s="5">
        <f>IFERROR(CHOOSE(MATCH(PARAMS_MODELO!$B$2,{"Q1","Q2","Q3"},0),LOTO!$D1182,LOTO!$F1182,LOTO!$H1182),0)</f>
        <v>0</v>
      </c>
      <c r="L1182" s="8">
        <f t="shared" si="434"/>
        <v>0</v>
      </c>
      <c r="M1182" s="5">
        <f>MIN(100,IF(PARAMS_MODELO!$B$23=0,0,100*L1182/PARAMS_MODELO!$B$23))*PARAMS_MODELO!$B$10</f>
        <v>0</v>
      </c>
      <c r="N1182" s="5">
        <f>IFERROR(VLOOKUP(A1182,COMPLIANCE!$A$2:$F$1996,6,0),100)</f>
        <v>100</v>
      </c>
      <c r="O1182" s="5">
        <f>N1182*PARAMS_MODELO!$B$11</f>
        <v>10</v>
      </c>
      <c r="P1182" s="5">
        <f>IFERROR(VLOOKUP(A1182,DIGITAL!$A$2:$J$2000,7,0),100)</f>
        <v>15</v>
      </c>
      <c r="Q1182" s="5">
        <f>IFERROR(P1182,0)*PARAMS_MODELO!$B$12</f>
        <v>1.5</v>
      </c>
      <c r="R1182">
        <f t="shared" si="435"/>
        <v>11.5</v>
      </c>
      <c r="S1182" s="5" t="str">
        <f>IFERROR(VLOOKUP(A1182,CLIENTE!$A$2:$N$2000,13,0),1)</f>
        <v>Malo</v>
      </c>
      <c r="T1182" s="5">
        <f>IFERROR(VLOOKUP(A1182,CLIENTE!$A$2:$N$2000,14,0),1)</f>
        <v>0.7</v>
      </c>
      <c r="U1182" s="5">
        <f t="shared" si="436"/>
        <v>8.0499999999999989</v>
      </c>
      <c r="V1182" s="5" t="str">
        <f>IF(U1182&gt;=MAX(_xlfn.PERCENTILE.INC($U$2:$U$1194,PARAMS_MODELO!$B$50),PARAMS_MODELO!$B$45),"DIAMANTE",IF(U1182&gt;=MAX(_xlfn.PERCENTILE.INC($U$2:$U$1194,PARAMS_MODELO!$B$51),PARAMS_MODELO!$B$46),"PLATINO",IF(U1182&gt;=MAX(_xlfn.PERCENTILE.INC($U$2:$U$1194,PARAMS_MODELO!$B$52),PARAMS_MODELO!$B$47),"ORO",IF(U1182&gt;=MAX(_xlfn.PERCENTILE.INC($U$2:$U$1194,PARAMS_MODELO!$B$53),PARAMS_MODELO!$B$48),"PLATA",IF(U1182&gt;=1,"BRONCE","CERRADO")))))</f>
        <v>BRONCE</v>
      </c>
      <c r="W1182" s="5" t="str" cm="1">
        <f t="array" ref="W1182">_xlfn.XLOOKUP(1, (HIST_SCORE!$B:$B=PARAMS_MODELO!$B$4) * (HIST_SCORE!$C:$C=A1182), HIST_SCORE!$E:$E, "No encontrado")</f>
        <v>BRONCE</v>
      </c>
      <c r="X1182" s="5" t="str">
        <f>_xlfn.LET(_xlpm.act,MATCH(V1182,{"DIAMANTE";"PLATINO";"ORO";"PLATA";"BRONCE";"CERRADO"},0),_xlpm.ant,MATCH(W1182,{"DIAMANTE";"PLATINO";"ORO";"PLATA";"BRONCE";"CERRADO"},0),IF(_xlpm.act&lt;_xlpm.ant,"Mejora ↑",IF(_xlpm.act&gt;_xlpm.ant,"Baja ↓","Estable →")))</f>
        <v>Estable →</v>
      </c>
      <c r="Y1182" s="5">
        <f>IFERROR(U1182-SUMIFS(HIST_SCORE!$D:$D,HIST_SCORE!$B:$B,PARAMS_MODELO!$B$4,HIST_SCORE!$C:$C,$A1182),"")</f>
        <v>0</v>
      </c>
      <c r="Z1182" s="5" t="str">
        <f t="shared" si="437"/>
        <v>→ Estable</v>
      </c>
      <c r="AA1182" s="5">
        <f t="shared" si="438"/>
        <v>1186</v>
      </c>
      <c r="AB1182" s="5">
        <f>IFERROR(SUMIFS(HIST_SCORE!$F:$F,HIST_SCORE!$B:$B,PARAMS_MODELO!$B$4,HIST_SCORE!$C:$C,$A1182),"")</f>
        <v>1186</v>
      </c>
      <c r="AC1182" s="5">
        <f t="shared" si="439"/>
        <v>0</v>
      </c>
      <c r="AD1182" t="str">
        <f t="shared" si="441"/>
        <v/>
      </c>
      <c r="AE11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1182="CERRADO",1,IF(V1182="BRONCE",_xlpm.cPl,IF(V1182="PLATA",_xlpm.cO,IF(V1182="ORO",_xlpm.cP,IF(V1182="PLATINO",_xlpm.cD,999))))))</f>
        <v>24.506573482968111</v>
      </c>
      <c r="AF118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1182="CERRADO",0,IF(V1182="BRONCE",1,IF(V1182="PLATA",_xlpm.cPl,IF(V1182="ORO",_xlpm.cO,IF(V1182="PLATINO",_xlpm.cP,_xlpm.cD))))))</f>
        <v>1</v>
      </c>
      <c r="AG1182">
        <f t="shared" si="442"/>
        <v>23.509390689954444</v>
      </c>
      <c r="AH1182" t="str">
        <f t="shared" si="443"/>
        <v>VENTAS</v>
      </c>
      <c r="AI1182" t="str">
        <f t="shared" si="440"/>
        <v>🎯 Para subir de categoría, eje VENTAS / CRECIMIENTO PERSONAL (F). Acción: metas semanales + activación comercial + seguimiento del asesor. ΔR aprox: 23,5</v>
      </c>
      <c r="AJ1182" s="26">
        <f>_xlfn.LET(_xlpm.piso,AF1182,_xlpm.corte,AE1182,_xlpm.prog,IF(_xlpm.corte&lt;=_xlpm.piso,0,MAX(0,MIN(1,(U1182-_xlpm.piso)/(_xlpm.corte-_xlpm.piso)))),_xlpm.orden,{"DIAMANTE";"PLATINO";"ORO";"PLATA";"BRONCE";"CERRADO"},_xlpm.act,IFERROR(MATCH(V1182,_xlpm.orden,0),6),_xlpm.ant,IFERROR(MATCH(W1182,_xlpm.orden,0),6),_xlpm.ajmov,IF(_xlpm.act&lt;_xlpm.ant,0.08,IF(_xlpm.act&gt;_xlpm.ant,-0.08,0)),_xlpm.ajcli,IF(T1182&lt;0.95,-0.06,0),_xlpm.prob,MAX(0,MIN(1,_xlpm.prog+_xlpm.ajmov+_xlpm.ajcli)),IF(OR(V1182="DIAMANTE",V1182="CERRADO"),0,ROUND(_xlpm.prob,2)))</f>
        <v>0.24</v>
      </c>
      <c r="AK1182" t="str">
        <f t="shared" si="444"/>
        <v>Faltan 23,5 puntos base para subir a la siguiente categoría</v>
      </c>
      <c r="AL1182" t="str">
        <f t="shared" si="445"/>
        <v>No aplica</v>
      </c>
      <c r="AM1182">
        <f t="shared" si="446"/>
        <v>0.9</v>
      </c>
      <c r="AN1182" t="str">
        <f t="shared" si="447"/>
        <v>PRIORIDAD ALTA – requiere intervención inmediata</v>
      </c>
      <c r="AO1182">
        <f t="shared" si="448"/>
        <v>45.403798492706905</v>
      </c>
      <c r="AP1182">
        <f t="shared" si="449"/>
        <v>10.5</v>
      </c>
      <c r="AQ1182">
        <f t="shared" si="450"/>
        <v>0</v>
      </c>
      <c r="AR1182">
        <f t="shared" si="451"/>
        <v>5.9499999999999993</v>
      </c>
      <c r="AS1182">
        <f t="shared" si="452"/>
        <v>3.4500000000000006</v>
      </c>
      <c r="AT1182" t="str">
        <f t="shared" si="453"/>
        <v>VENTAS</v>
      </c>
      <c r="AU1182">
        <f t="shared" si="454"/>
        <v>45.403798492706905</v>
      </c>
      <c r="AV1182" t="str">
        <f t="shared" si="455"/>
        <v>Mayor retorno probable: VENTAS (+45,4 puntos finales potenciales).</v>
      </c>
    </row>
    <row r="1183" spans="1:48" x14ac:dyDescent="0.3">
      <c r="A1183" s="5">
        <v>51056035</v>
      </c>
      <c r="B1183" s="5" t="str">
        <f>IFERROR(VLOOKUP(A1183,VENTAS!$A$2:$B$1194,2,0),"")</f>
        <v/>
      </c>
      <c r="C1183" s="5">
        <f>IFERROR(INDEX(VENTAS!$C$2:$E$1194,MATCH(A1183,VENTAS!$A$2:$A$1194,0),MATCH(PARAMS_MODELO!$B$2,{"Q1","Q2","Q3"},0)),0)</f>
        <v>0</v>
      </c>
      <c r="D1183" s="5">
        <f>IFERROR(INDEX(VENTAS!$F$2:$H$1194,MATCH(A1183,VENTAS!$A$2:$A$1194,0),MATCH(PARAMS_MODELO!$B$2,{"Q1","Q2","Q3"},0)),0)</f>
        <v>0</v>
      </c>
      <c r="E1183" s="8">
        <f t="shared" si="432"/>
        <v>0</v>
      </c>
      <c r="F1183" s="12">
        <f>IF(E1183&lt;=PARAMS_MODELO!$B$15,0,IF(E1183&gt;=PARAMS_MODELO!$B$17,100,100*MIN(1,(E1183-PARAMS_MODELO!$B$15)/(PARAMS_MODELO!$B$16-PARAMS_MODELO!$B$15))))*PARAMS_MODELO!$B$7</f>
        <v>0</v>
      </c>
      <c r="G1183" s="5">
        <f t="shared" si="433"/>
        <v>0</v>
      </c>
      <c r="H1183" s="5">
        <f>(PARAMS_MODELO!$B$20*(MAX(0,MIN(3,E1183))/3)+PARAMS_MODELO!$B$21*(IFERROR(LN(1+MAX(0,G1183))/LN(1+MAX(0,MAX($G$2:$G$1194))),0)))*100*PARAMS_MODELO!$B$8</f>
        <v>0</v>
      </c>
      <c r="I1183" s="8">
        <f>E1183-PARAMS_MODELO!$B$5</f>
        <v>-0.17756283537552653</v>
      </c>
      <c r="J1183" s="5">
        <f>IF(I1183&lt;=PARAMS_MODELO!$B$18,0,IF(I1183&gt;=PARAMS_MODELO!$B$19,100,100*(I1183-PARAMS_MODELO!$B$18)/(PARAMS_MODELO!$B$19-PARAMS_MODELO!$B$18)))*PARAMS_MODELO!$B$9</f>
        <v>0</v>
      </c>
      <c r="K1183" s="5">
        <f>IFERROR(CHOOSE(MATCH(PARAMS_MODELO!$B$2,{"Q1","Q2","Q3"},0),LOTO!$D1183,LOTO!$F1183,LOTO!$H1183),0)</f>
        <v>0</v>
      </c>
      <c r="L1183" s="8">
        <f t="shared" si="434"/>
        <v>0</v>
      </c>
      <c r="M1183" s="5">
        <f>MIN(100,IF(PARAMS_MODELO!$B$23=0,0,100*L1183/PARAMS_MODELO!$B$23))*PARAMS_MODELO!$B$10</f>
        <v>0</v>
      </c>
      <c r="N1183" s="5">
        <f>IFERROR(VLOOKUP(A1183,COMPLIANCE!$A$2:$F$1996,6,0),100)</f>
        <v>100</v>
      </c>
      <c r="O1183" s="5">
        <f>N1183*PARAMS_MODELO!$B$11</f>
        <v>10</v>
      </c>
      <c r="P1183" s="5">
        <f>IFERROR(VLOOKUP(A1183,DIGITAL!$A$2:$J$2000,7,0),100)</f>
        <v>10</v>
      </c>
      <c r="Q1183" s="5">
        <f>IFERROR(P1183,0)*PARAMS_MODELO!$B$12</f>
        <v>1</v>
      </c>
      <c r="R1183">
        <f t="shared" si="435"/>
        <v>11</v>
      </c>
      <c r="S1183" s="5" t="str">
        <f>IFERROR(VLOOKUP(A1183,CLIENTE!$A$2:$N$2000,13,0),1)</f>
        <v>Regular</v>
      </c>
      <c r="T1183" s="5">
        <f>IFERROR(VLOOKUP(A1183,CLIENTE!$A$2:$N$2000,14,0),1)</f>
        <v>1</v>
      </c>
      <c r="U1183" s="5">
        <f t="shared" si="436"/>
        <v>11</v>
      </c>
      <c r="V1183" s="5" t="str">
        <f>IF(U1183&gt;=MAX(_xlfn.PERCENTILE.INC($U$2:$U$1194,PARAMS_MODELO!$B$50),PARAMS_MODELO!$B$45),"DIAMANTE",IF(U1183&gt;=MAX(_xlfn.PERCENTILE.INC($U$2:$U$1194,PARAMS_MODELO!$B$51),PARAMS_MODELO!$B$46),"PLATINO",IF(U1183&gt;=MAX(_xlfn.PERCENTILE.INC($U$2:$U$1194,PARAMS_MODELO!$B$52),PARAMS_MODELO!$B$47),"ORO",IF(U1183&gt;=MAX(_xlfn.PERCENTILE.INC($U$2:$U$1194,PARAMS_MODELO!$B$53),PARAMS_MODELO!$B$48),"PLATA",IF(U1183&gt;=1,"BRONCE","CERRADO")))))</f>
        <v>BRONCE</v>
      </c>
      <c r="W1183" s="5" t="str" cm="1">
        <f t="array" ref="W1183">_xlfn.XLOOKUP(1, (HIST_SCORE!$B:$B=PARAMS_MODELO!$B$4) * (HIST_SCORE!$C:$C=A1183), HIST_SCORE!$E:$E, "No encontrado")</f>
        <v>BRONCE</v>
      </c>
      <c r="X1183" s="5" t="str">
        <f>_xlfn.LET(_xlpm.act,MATCH(V1183,{"DIAMANTE";"PLATINO";"ORO";"PLATA";"BRONCE";"CERRADO"},0),_xlpm.ant,MATCH(W1183,{"DIAMANTE";"PLATINO";"ORO";"PLATA";"BRONCE";"CERRADO"},0),IF(_xlpm.act&lt;_xlpm.ant,"Mejora ↑",IF(_xlpm.act&gt;_xlpm.ant,"Baja ↓","Estable →")))</f>
        <v>Estable →</v>
      </c>
      <c r="Y1183" s="5">
        <f>IFERROR(U1183-SUMIFS(HIST_SCORE!$D:$D,HIST_SCORE!$B:$B,PARAMS_MODELO!$B$4,HIST_SCORE!$C:$C,$A1183),"")</f>
        <v>0</v>
      </c>
      <c r="Z1183" s="5" t="str">
        <f t="shared" si="437"/>
        <v>→ Estable</v>
      </c>
      <c r="AA1183" s="5">
        <f t="shared" si="438"/>
        <v>1144</v>
      </c>
      <c r="AB1183" s="5">
        <f>IFERROR(SUMIFS(HIST_SCORE!$F:$F,HIST_SCORE!$B:$B,PARAMS_MODELO!$B$4,HIST_SCORE!$C:$C,$A1183),"")</f>
        <v>1142</v>
      </c>
      <c r="AC1183" s="5">
        <f t="shared" si="439"/>
        <v>-2</v>
      </c>
      <c r="AD1183" t="str">
        <f t="shared" si="441"/>
        <v/>
      </c>
      <c r="AE11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1183="CERRADO",1,IF(V1183="BRONCE",_xlpm.cPl,IF(V1183="PLATA",_xlpm.cO,IF(V1183="ORO",_xlpm.cP,IF(V1183="PLATINO",_xlpm.cD,999))))))</f>
        <v>24.506573482968111</v>
      </c>
      <c r="AF118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1183="CERRADO",0,IF(V1183="BRONCE",1,IF(V1183="PLATA",_xlpm.cPl,IF(V1183="ORO",_xlpm.cO,IF(V1183="PLATINO",_xlpm.cP,_xlpm.cD))))))</f>
        <v>1</v>
      </c>
      <c r="AG1183">
        <f t="shared" si="442"/>
        <v>13.506573482968111</v>
      </c>
      <c r="AH1183" t="str">
        <f t="shared" si="443"/>
        <v>VENTAS</v>
      </c>
      <c r="AI1183" t="str">
        <f t="shared" si="440"/>
        <v>🎯 Para subir de categoría, eje VENTAS / CRECIMIENTO PERSONAL (F). Acción: metas semanales + activación comercial + seguimiento del asesor. ΔR aprox: 13,5</v>
      </c>
      <c r="AJ1183" s="26">
        <f>_xlfn.LET(_xlpm.piso,AF1183,_xlpm.corte,AE1183,_xlpm.prog,IF(_xlpm.corte&lt;=_xlpm.piso,0,MAX(0,MIN(1,(U1183-_xlpm.piso)/(_xlpm.corte-_xlpm.piso)))),_xlpm.orden,{"DIAMANTE";"PLATINO";"ORO";"PLATA";"BRONCE";"CERRADO"},_xlpm.act,IFERROR(MATCH(V1183,_xlpm.orden,0),6),_xlpm.ant,IFERROR(MATCH(W1183,_xlpm.orden,0),6),_xlpm.ajmov,IF(_xlpm.act&lt;_xlpm.ant,0.08,IF(_xlpm.act&gt;_xlpm.ant,-0.08,0)),_xlpm.ajcli,IF(T1183&lt;0.95,-0.06,0),_xlpm.prob,MAX(0,MIN(1,_xlpm.prog+_xlpm.ajmov+_xlpm.ajcli)),IF(OR(V1183="DIAMANTE",V1183="CERRADO"),0,ROUND(_xlpm.prob,2)))</f>
        <v>0.43</v>
      </c>
      <c r="AK1183" t="str">
        <f t="shared" si="444"/>
        <v>Faltan 13,5 puntos base para subir a la siguiente categoría</v>
      </c>
      <c r="AL1183" t="str">
        <f t="shared" si="445"/>
        <v>No aplica</v>
      </c>
      <c r="AM1183">
        <f t="shared" si="446"/>
        <v>0.63</v>
      </c>
      <c r="AN1183" t="str">
        <f t="shared" si="447"/>
        <v>PRIORIDAD MEDIA – seguimiento del asesor</v>
      </c>
      <c r="AO1183">
        <f t="shared" si="448"/>
        <v>64.862569275295584</v>
      </c>
      <c r="AP1183">
        <f t="shared" si="449"/>
        <v>15</v>
      </c>
      <c r="AQ1183">
        <f t="shared" si="450"/>
        <v>0</v>
      </c>
      <c r="AR1183">
        <f t="shared" si="451"/>
        <v>9</v>
      </c>
      <c r="AS1183">
        <f t="shared" si="452"/>
        <v>0</v>
      </c>
      <c r="AT1183" t="str">
        <f t="shared" si="453"/>
        <v>VENTAS</v>
      </c>
      <c r="AU1183">
        <f t="shared" si="454"/>
        <v>64.862569275295584</v>
      </c>
      <c r="AV1183" t="str">
        <f t="shared" si="455"/>
        <v>Mayor retorno probable: VENTAS (+64,9 puntos finales potenciales).</v>
      </c>
    </row>
    <row r="1184" spans="1:48" x14ac:dyDescent="0.3">
      <c r="A1184" s="5">
        <v>51056043</v>
      </c>
      <c r="B1184" s="5" t="str">
        <f>IFERROR(VLOOKUP(A1184,VENTAS!$A$2:$B$1194,2,0),"")</f>
        <v/>
      </c>
      <c r="C1184" s="5">
        <f>IFERROR(INDEX(VENTAS!$C$2:$E$1194,MATCH(A1184,VENTAS!$A$2:$A$1194,0),MATCH(PARAMS_MODELO!$B$2,{"Q1","Q2","Q3"},0)),0)</f>
        <v>0</v>
      </c>
      <c r="D1184" s="5">
        <f>IFERROR(INDEX(VENTAS!$F$2:$H$1194,MATCH(A1184,VENTAS!$A$2:$A$1194,0),MATCH(PARAMS_MODELO!$B$2,{"Q1","Q2","Q3"},0)),0)</f>
        <v>0</v>
      </c>
      <c r="E1184" s="8">
        <f t="shared" si="432"/>
        <v>0</v>
      </c>
      <c r="F1184" s="12">
        <f>IF(E1184&lt;=PARAMS_MODELO!$B$15,0,IF(E1184&gt;=PARAMS_MODELO!$B$17,100,100*MIN(1,(E1184-PARAMS_MODELO!$B$15)/(PARAMS_MODELO!$B$16-PARAMS_MODELO!$B$15))))*PARAMS_MODELO!$B$7</f>
        <v>0</v>
      </c>
      <c r="G1184" s="5">
        <f t="shared" si="433"/>
        <v>0</v>
      </c>
      <c r="H1184" s="5">
        <f>(PARAMS_MODELO!$B$20*(MAX(0,MIN(3,E1184))/3)+PARAMS_MODELO!$B$21*(IFERROR(LN(1+MAX(0,G1184))/LN(1+MAX(0,MAX($G$2:$G$1194))),0)))*100*PARAMS_MODELO!$B$8</f>
        <v>0</v>
      </c>
      <c r="I1184" s="8">
        <f>E1184-PARAMS_MODELO!$B$5</f>
        <v>-0.17756283537552653</v>
      </c>
      <c r="J1184" s="5">
        <f>IF(I1184&lt;=PARAMS_MODELO!$B$18,0,IF(I1184&gt;=PARAMS_MODELO!$B$19,100,100*(I1184-PARAMS_MODELO!$B$18)/(PARAMS_MODELO!$B$19-PARAMS_MODELO!$B$18)))*PARAMS_MODELO!$B$9</f>
        <v>0</v>
      </c>
      <c r="K1184" s="5">
        <f>IFERROR(CHOOSE(MATCH(PARAMS_MODELO!$B$2,{"Q1","Q2","Q3"},0),LOTO!$D1184,LOTO!$F1184,LOTO!$H1184),0)</f>
        <v>0</v>
      </c>
      <c r="L1184" s="8">
        <f t="shared" si="434"/>
        <v>0</v>
      </c>
      <c r="M1184" s="5">
        <f>MIN(100,IF(PARAMS_MODELO!$B$23=0,0,100*L1184/PARAMS_MODELO!$B$23))*PARAMS_MODELO!$B$10</f>
        <v>0</v>
      </c>
      <c r="N1184" s="5">
        <f>IFERROR(VLOOKUP(A1184,COMPLIANCE!$A$2:$F$1996,6,0),100)</f>
        <v>99.68</v>
      </c>
      <c r="O1184" s="5">
        <f>N1184*PARAMS_MODELO!$B$11</f>
        <v>9.9680000000000017</v>
      </c>
      <c r="P1184" s="5">
        <f>IFERROR(VLOOKUP(A1184,DIGITAL!$A$2:$J$2000,7,0),100)</f>
        <v>79</v>
      </c>
      <c r="Q1184" s="5">
        <f>IFERROR(P1184,0)*PARAMS_MODELO!$B$12</f>
        <v>7.9</v>
      </c>
      <c r="R1184">
        <f t="shared" si="435"/>
        <v>17.868000000000002</v>
      </c>
      <c r="S1184" s="5" t="str">
        <f>IFERROR(VLOOKUP(A1184,CLIENTE!$A$2:$N$2000,13,0),1)</f>
        <v>Malo</v>
      </c>
      <c r="T1184" s="5">
        <f>IFERROR(VLOOKUP(A1184,CLIENTE!$A$2:$N$2000,14,0),1)</f>
        <v>0.7</v>
      </c>
      <c r="U1184" s="5">
        <f t="shared" si="436"/>
        <v>12.5076</v>
      </c>
      <c r="V1184" s="5" t="str">
        <f>IF(U1184&gt;=MAX(_xlfn.PERCENTILE.INC($U$2:$U$1194,PARAMS_MODELO!$B$50),PARAMS_MODELO!$B$45),"DIAMANTE",IF(U1184&gt;=MAX(_xlfn.PERCENTILE.INC($U$2:$U$1194,PARAMS_MODELO!$B$51),PARAMS_MODELO!$B$46),"PLATINO",IF(U1184&gt;=MAX(_xlfn.PERCENTILE.INC($U$2:$U$1194,PARAMS_MODELO!$B$52),PARAMS_MODELO!$B$47),"ORO",IF(U1184&gt;=MAX(_xlfn.PERCENTILE.INC($U$2:$U$1194,PARAMS_MODELO!$B$53),PARAMS_MODELO!$B$48),"PLATA",IF(U1184&gt;=1,"BRONCE","CERRADO")))))</f>
        <v>BRONCE</v>
      </c>
      <c r="W1184" s="5" t="str" cm="1">
        <f t="array" ref="W1184">_xlfn.XLOOKUP(1, (HIST_SCORE!$B:$B=PARAMS_MODELO!$B$4) * (HIST_SCORE!$C:$C=A1184), HIST_SCORE!$E:$E, "No encontrado")</f>
        <v>PLATA</v>
      </c>
      <c r="X1184" s="5" t="str">
        <f>_xlfn.LET(_xlpm.act,MATCH(V1184,{"DIAMANTE";"PLATINO";"ORO";"PLATA";"BRONCE";"CERRADO"},0),_xlpm.ant,MATCH(W1184,{"DIAMANTE";"PLATINO";"ORO";"PLATA";"BRONCE";"CERRADO"},0),IF(_xlpm.act&lt;_xlpm.ant,"Mejora ↑",IF(_xlpm.act&gt;_xlpm.ant,"Baja ↓","Estable →")))</f>
        <v>Baja ↓</v>
      </c>
      <c r="Y1184" s="5">
        <f>IFERROR(U1184-SUMIFS(HIST_SCORE!$D:$D,HIST_SCORE!$B:$B,PARAMS_MODELO!$B$4,HIST_SCORE!$C:$C,$A1184),"")</f>
        <v>-44.994242591608398</v>
      </c>
      <c r="Z1184" s="5" t="str">
        <f t="shared" si="437"/>
        <v>↓ Baja</v>
      </c>
      <c r="AA1184" s="5">
        <f t="shared" si="438"/>
        <v>1126</v>
      </c>
      <c r="AB1184" s="5">
        <f>IFERROR(SUMIFS(HIST_SCORE!$F:$F,HIST_SCORE!$B:$B,PARAMS_MODELO!$B$4,HIST_SCORE!$C:$C,$A1184),"")</f>
        <v>701</v>
      </c>
      <c r="AC1184" s="5">
        <f t="shared" si="439"/>
        <v>-425</v>
      </c>
      <c r="AD1184" t="str">
        <f t="shared" si="441"/>
        <v>Plan de recuperación: foco crecimiento + mix</v>
      </c>
      <c r="AE11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1184="CERRADO",1,IF(V1184="BRONCE",_xlpm.cPl,IF(V1184="PLATA",_xlpm.cO,IF(V1184="ORO",_xlpm.cP,IF(V1184="PLATINO",_xlpm.cD,999))))))</f>
        <v>24.506573482968111</v>
      </c>
      <c r="AF118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1184="CERRADO",0,IF(V1184="BRONCE",1,IF(V1184="PLATA",_xlpm.cPl,IF(V1184="ORO",_xlpm.cO,IF(V1184="PLATINO",_xlpm.cP,_xlpm.cD))))))</f>
        <v>1</v>
      </c>
      <c r="AG1184">
        <f t="shared" si="442"/>
        <v>17.141390689954441</v>
      </c>
      <c r="AH1184" t="str">
        <f t="shared" si="443"/>
        <v>VENTAS</v>
      </c>
      <c r="AI1184" t="str">
        <f t="shared" si="440"/>
        <v>🎯 Para subir de categoría, eje VENTAS / CRECIMIENTO PERSONAL (F). Acción: metas semanales + activación comercial + seguimiento del asesor. ΔR aprox: 17,1</v>
      </c>
      <c r="AJ1184" s="26">
        <f>_xlfn.LET(_xlpm.piso,AF1184,_xlpm.corte,AE1184,_xlpm.prog,IF(_xlpm.corte&lt;=_xlpm.piso,0,MAX(0,MIN(1,(U1184-_xlpm.piso)/(_xlpm.corte-_xlpm.piso)))),_xlpm.orden,{"DIAMANTE";"PLATINO";"ORO";"PLATA";"BRONCE";"CERRADO"},_xlpm.act,IFERROR(MATCH(V1184,_xlpm.orden,0),6),_xlpm.ant,IFERROR(MATCH(W1184,_xlpm.orden,0),6),_xlpm.ajmov,IF(_xlpm.act&lt;_xlpm.ant,0.08,IF(_xlpm.act&gt;_xlpm.ant,-0.08,0)),_xlpm.ajcli,IF(T1184&lt;0.95,-0.06,0),_xlpm.prob,MAX(0,MIN(1,_xlpm.prog+_xlpm.ajmov+_xlpm.ajcli)),IF(OR(V1184="DIAMANTE",V1184="CERRADO"),0,ROUND(_xlpm.prob,2)))</f>
        <v>0.35</v>
      </c>
      <c r="AK1184" t="str">
        <f t="shared" si="444"/>
        <v>Faltan 17,1 puntos base para subir a la siguiente categoría</v>
      </c>
      <c r="AL1184" t="str">
        <f t="shared" si="445"/>
        <v>No aplica</v>
      </c>
      <c r="AM1184">
        <f t="shared" si="446"/>
        <v>0.86</v>
      </c>
      <c r="AN1184" t="str">
        <f t="shared" si="447"/>
        <v>PRIORIDAD ALTA – requiere intervención inmediata</v>
      </c>
      <c r="AO1184">
        <f t="shared" si="448"/>
        <v>45.403798492706905</v>
      </c>
      <c r="AP1184">
        <f t="shared" si="449"/>
        <v>10.5</v>
      </c>
      <c r="AQ1184">
        <f t="shared" si="450"/>
        <v>2.2399999999998775E-2</v>
      </c>
      <c r="AR1184">
        <f t="shared" si="451"/>
        <v>1.4699999999999998</v>
      </c>
      <c r="AS1184">
        <f t="shared" si="452"/>
        <v>5.3604000000000012</v>
      </c>
      <c r="AT1184" t="str">
        <f t="shared" si="453"/>
        <v>VENTAS</v>
      </c>
      <c r="AU1184">
        <f t="shared" si="454"/>
        <v>45.403798492706905</v>
      </c>
      <c r="AV1184" t="str">
        <f t="shared" si="455"/>
        <v>Mayor retorno probable: VENTAS (+45,4 puntos finales potenciales).</v>
      </c>
    </row>
    <row r="1185" spans="1:48" x14ac:dyDescent="0.3">
      <c r="A1185" s="5">
        <v>51056141</v>
      </c>
      <c r="B1185" s="5" t="str">
        <f>IFERROR(VLOOKUP(A1185,VENTAS!$A$2:$B$1194,2,0),"")</f>
        <v>MONTENEGRO</v>
      </c>
      <c r="C1185" s="5">
        <f>IFERROR(INDEX(VENTAS!$C$2:$E$1194,MATCH(A1185,VENTAS!$A$2:$A$1194,0),MATCH(PARAMS_MODELO!$B$2,{"Q1","Q2","Q3"},0)),0)</f>
        <v>31319860.300000001</v>
      </c>
      <c r="D1185" s="5">
        <f>IFERROR(INDEX(VENTAS!$F$2:$H$1194,MATCH(A1185,VENTAS!$A$2:$A$1194,0),MATCH(PARAMS_MODELO!$B$2,{"Q1","Q2","Q3"},0)),0)</f>
        <v>0</v>
      </c>
      <c r="E1185" s="8">
        <f t="shared" si="432"/>
        <v>-1</v>
      </c>
      <c r="F1185" s="12">
        <f>IF(E1185&lt;=PARAMS_MODELO!$B$15,0,IF(E1185&gt;=PARAMS_MODELO!$B$17,100,100*MIN(1,(E1185-PARAMS_MODELO!$B$15)/(PARAMS_MODELO!$B$16-PARAMS_MODELO!$B$15))))*PARAMS_MODELO!$B$7</f>
        <v>0</v>
      </c>
      <c r="G1185" s="5">
        <f t="shared" si="433"/>
        <v>0</v>
      </c>
      <c r="H1185" s="5">
        <f>(PARAMS_MODELO!$B$20*(MAX(0,MIN(3,E1185))/3)+PARAMS_MODELO!$B$21*(IFERROR(LN(1+MAX(0,G1185))/LN(1+MAX(0,MAX($G$2:$G$1194))),0)))*100*PARAMS_MODELO!$B$8</f>
        <v>0</v>
      </c>
      <c r="I1185" s="8">
        <f>E1185-PARAMS_MODELO!$B$5</f>
        <v>-1.1775628353755265</v>
      </c>
      <c r="J1185" s="5">
        <f>IF(I1185&lt;=PARAMS_MODELO!$B$18,0,IF(I1185&gt;=PARAMS_MODELO!$B$19,100,100*(I1185-PARAMS_MODELO!$B$18)/(PARAMS_MODELO!$B$19-PARAMS_MODELO!$B$18)))*PARAMS_MODELO!$B$9</f>
        <v>0</v>
      </c>
      <c r="K1185" s="5">
        <f>IFERROR(CHOOSE(MATCH(PARAMS_MODELO!$B$2,{"Q1","Q2","Q3"},0),LOTO!$D1185,LOTO!$F1185,LOTO!$H1185),0)</f>
        <v>0</v>
      </c>
      <c r="L1185" s="8">
        <f t="shared" si="434"/>
        <v>0</v>
      </c>
      <c r="M1185" s="5">
        <f>MIN(100,IF(PARAMS_MODELO!$B$23=0,0,100*L1185/PARAMS_MODELO!$B$23))*PARAMS_MODELO!$B$10</f>
        <v>0</v>
      </c>
      <c r="N1185" s="5">
        <f>IFERROR(VLOOKUP(A1185,COMPLIANCE!$A$2:$F$1996,6,0),100)</f>
        <v>99.6</v>
      </c>
      <c r="O1185" s="5">
        <f>N1185*PARAMS_MODELO!$B$11</f>
        <v>9.9600000000000009</v>
      </c>
      <c r="P1185" s="5">
        <f>IFERROR(VLOOKUP(A1185,DIGITAL!$A$2:$J$2000,7,0),100)</f>
        <v>69</v>
      </c>
      <c r="Q1185" s="5">
        <f>IFERROR(P1185,0)*PARAMS_MODELO!$B$12</f>
        <v>6.9</v>
      </c>
      <c r="R1185">
        <f t="shared" si="435"/>
        <v>16.86</v>
      </c>
      <c r="S1185" s="5" t="str">
        <f>IFERROR(VLOOKUP(A1185,CLIENTE!$A$2:$N$2000,13,0),1)</f>
        <v>Regular</v>
      </c>
      <c r="T1185" s="5">
        <f>IFERROR(VLOOKUP(A1185,CLIENTE!$A$2:$N$2000,14,0),1)</f>
        <v>1</v>
      </c>
      <c r="U1185" s="5">
        <f t="shared" si="436"/>
        <v>16.86</v>
      </c>
      <c r="V1185" s="5" t="str">
        <f>IF(U1185&gt;=MAX(_xlfn.PERCENTILE.INC($U$2:$U$1194,PARAMS_MODELO!$B$50),PARAMS_MODELO!$B$45),"DIAMANTE",IF(U1185&gt;=MAX(_xlfn.PERCENTILE.INC($U$2:$U$1194,PARAMS_MODELO!$B$51),PARAMS_MODELO!$B$46),"PLATINO",IF(U1185&gt;=MAX(_xlfn.PERCENTILE.INC($U$2:$U$1194,PARAMS_MODELO!$B$52),PARAMS_MODELO!$B$47),"ORO",IF(U1185&gt;=MAX(_xlfn.PERCENTILE.INC($U$2:$U$1194,PARAMS_MODELO!$B$53),PARAMS_MODELO!$B$48),"PLATA",IF(U1185&gt;=1,"BRONCE","CERRADO")))))</f>
        <v>BRONCE</v>
      </c>
      <c r="W1185" s="5" t="str" cm="1">
        <f t="array" ref="W1185">_xlfn.XLOOKUP(1, (HIST_SCORE!$B:$B=PARAMS_MODELO!$B$4) * (HIST_SCORE!$C:$C=A1185), HIST_SCORE!$E:$E, "No encontrado")</f>
        <v>BRONCE</v>
      </c>
      <c r="X1185" s="5" t="str">
        <f>_xlfn.LET(_xlpm.act,MATCH(V1185,{"DIAMANTE";"PLATINO";"ORO";"PLATA";"BRONCE";"CERRADO"},0),_xlpm.ant,MATCH(W1185,{"DIAMANTE";"PLATINO";"ORO";"PLATA";"BRONCE";"CERRADO"},0),IF(_xlpm.act&lt;_xlpm.ant,"Mejora ↑",IF(_xlpm.act&gt;_xlpm.ant,"Baja ↓","Estable →")))</f>
        <v>Estable →</v>
      </c>
      <c r="Y1185" s="5">
        <f>IFERROR(U1185-SUMIFS(HIST_SCORE!$D:$D,HIST_SCORE!$B:$B,PARAMS_MODELO!$B$4,HIST_SCORE!$C:$C,$A1185),"")</f>
        <v>0</v>
      </c>
      <c r="Z1185" s="5" t="str">
        <f t="shared" si="437"/>
        <v>→ Estable</v>
      </c>
      <c r="AA1185" s="5">
        <f t="shared" si="438"/>
        <v>1053</v>
      </c>
      <c r="AB1185" s="5">
        <f>IFERROR(SUMIFS(HIST_SCORE!$F:$F,HIST_SCORE!$B:$B,PARAMS_MODELO!$B$4,HIST_SCORE!$C:$C,$A1185),"")</f>
        <v>1050</v>
      </c>
      <c r="AC1185" s="5">
        <f t="shared" si="439"/>
        <v>-3</v>
      </c>
      <c r="AD1185" t="str">
        <f t="shared" si="441"/>
        <v/>
      </c>
      <c r="AE11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1185="CERRADO",1,IF(V1185="BRONCE",_xlpm.cPl,IF(V1185="PLATA",_xlpm.cO,IF(V1185="ORO",_xlpm.cP,IF(V1185="PLATINO",_xlpm.cD,999))))))</f>
        <v>24.506573482968111</v>
      </c>
      <c r="AF1185">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1185="CERRADO",0,IF(V1185="BRONCE",1,IF(V1185="PLATA",_xlpm.cPl,IF(V1185="ORO",_xlpm.cO,IF(V1185="PLATINO",_xlpm.cP,_xlpm.cD))))))</f>
        <v>1</v>
      </c>
      <c r="AG1185">
        <f t="shared" si="442"/>
        <v>7.6465734829681118</v>
      </c>
      <c r="AH1185" t="str">
        <f t="shared" si="443"/>
        <v>VENTAS</v>
      </c>
      <c r="AI1185" t="str">
        <f t="shared" si="440"/>
        <v>🎯 Para subir de categoría, eje VENTAS / CRECIMIENTO PERSONAL (F). Acción: metas semanales + activación comercial + seguimiento del asesor. ΔR aprox: 7,6</v>
      </c>
      <c r="AJ1185" s="26">
        <f>_xlfn.LET(_xlpm.piso,AF1185,_xlpm.corte,AE1185,_xlpm.prog,IF(_xlpm.corte&lt;=_xlpm.piso,0,MAX(0,MIN(1,(U1185-_xlpm.piso)/(_xlpm.corte-_xlpm.piso)))),_xlpm.orden,{"DIAMANTE";"PLATINO";"ORO";"PLATA";"BRONCE";"CERRADO"},_xlpm.act,IFERROR(MATCH(V1185,_xlpm.orden,0),6),_xlpm.ant,IFERROR(MATCH(W1185,_xlpm.orden,0),6),_xlpm.ajmov,IF(_xlpm.act&lt;_xlpm.ant,0.08,IF(_xlpm.act&gt;_xlpm.ant,-0.08,0)),_xlpm.ajcli,IF(T1185&lt;0.95,-0.06,0),_xlpm.prob,MAX(0,MIN(1,_xlpm.prog+_xlpm.ajmov+_xlpm.ajcli)),IF(OR(V1185="DIAMANTE",V1185="CERRADO"),0,ROUND(_xlpm.prob,2)))</f>
        <v>0.67</v>
      </c>
      <c r="AK1185" t="str">
        <f t="shared" si="444"/>
        <v>Faltan 7,6 puntos base para subir a la siguiente categoría</v>
      </c>
      <c r="AL1185" t="str">
        <f t="shared" si="445"/>
        <v>No aplica</v>
      </c>
      <c r="AM1185">
        <f t="shared" si="446"/>
        <v>0.44</v>
      </c>
      <c r="AN1185" t="str">
        <f t="shared" si="447"/>
        <v>PRIORIDAD MEDIA – seguimiento del asesor</v>
      </c>
      <c r="AO1185">
        <f t="shared" si="448"/>
        <v>64.862569275295584</v>
      </c>
      <c r="AP1185">
        <f t="shared" si="449"/>
        <v>15</v>
      </c>
      <c r="AQ1185">
        <f t="shared" si="450"/>
        <v>3.9999999999999147E-2</v>
      </c>
      <c r="AR1185">
        <f t="shared" si="451"/>
        <v>3.0999999999999996</v>
      </c>
      <c r="AS1185">
        <f t="shared" si="452"/>
        <v>0</v>
      </c>
      <c r="AT1185" t="str">
        <f t="shared" si="453"/>
        <v>VENTAS</v>
      </c>
      <c r="AU1185">
        <f t="shared" si="454"/>
        <v>64.862569275295584</v>
      </c>
      <c r="AV1185" t="str">
        <f t="shared" si="455"/>
        <v>Mayor retorno probable: VENTAS (+64,9 puntos finales potenciales).</v>
      </c>
    </row>
    <row r="1186" spans="1:48" x14ac:dyDescent="0.3">
      <c r="A1186" s="5">
        <v>51056167</v>
      </c>
      <c r="B1186" s="5" t="str">
        <f>IFERROR(VLOOKUP(A1186,VENTAS!$A$2:$B$1194,2,0),"")</f>
        <v/>
      </c>
      <c r="C1186" s="5">
        <f>IFERROR(INDEX(VENTAS!$C$2:$E$1194,MATCH(A1186,VENTAS!$A$2:$A$1194,0),MATCH(PARAMS_MODELO!$B$2,{"Q1","Q2","Q3"},0)),0)</f>
        <v>0</v>
      </c>
      <c r="D1186" s="5">
        <f>IFERROR(INDEX(VENTAS!$F$2:$H$1194,MATCH(A1186,VENTAS!$A$2:$A$1194,0),MATCH(PARAMS_MODELO!$B$2,{"Q1","Q2","Q3"},0)),0)</f>
        <v>0</v>
      </c>
      <c r="E1186" s="8">
        <f t="shared" si="432"/>
        <v>0</v>
      </c>
      <c r="F1186" s="12">
        <f>IF(E1186&lt;=PARAMS_MODELO!$B$15,0,IF(E1186&gt;=PARAMS_MODELO!$B$17,100,100*MIN(1,(E1186-PARAMS_MODELO!$B$15)/(PARAMS_MODELO!$B$16-PARAMS_MODELO!$B$15))))*PARAMS_MODELO!$B$7</f>
        <v>0</v>
      </c>
      <c r="G1186" s="5">
        <f t="shared" si="433"/>
        <v>0</v>
      </c>
      <c r="H1186" s="5">
        <f>(PARAMS_MODELO!$B$20*(MAX(0,MIN(3,E1186))/3)+PARAMS_MODELO!$B$21*(IFERROR(LN(1+MAX(0,G1186))/LN(1+MAX(0,MAX($G$2:$G$1194))),0)))*100*PARAMS_MODELO!$B$8</f>
        <v>0</v>
      </c>
      <c r="I1186" s="8">
        <f>E1186-PARAMS_MODELO!$B$5</f>
        <v>-0.17756283537552653</v>
      </c>
      <c r="J1186" s="5">
        <f>IF(I1186&lt;=PARAMS_MODELO!$B$18,0,IF(I1186&gt;=PARAMS_MODELO!$B$19,100,100*(I1186-PARAMS_MODELO!$B$18)/(PARAMS_MODELO!$B$19-PARAMS_MODELO!$B$18)))*PARAMS_MODELO!$B$9</f>
        <v>0</v>
      </c>
      <c r="K1186" s="5">
        <f>IFERROR(CHOOSE(MATCH(PARAMS_MODELO!$B$2,{"Q1","Q2","Q3"},0),LOTO!$D1186,LOTO!$F1186,LOTO!$H1186),0)</f>
        <v>0</v>
      </c>
      <c r="L1186" s="8">
        <f t="shared" si="434"/>
        <v>0</v>
      </c>
      <c r="M1186" s="5">
        <f>MIN(100,IF(PARAMS_MODELO!$B$23=0,0,100*L1186/PARAMS_MODELO!$B$23))*PARAMS_MODELO!$B$10</f>
        <v>0</v>
      </c>
      <c r="N1186" s="5">
        <f>IFERROR(VLOOKUP(A1186,COMPLIANCE!$A$2:$F$1996,6,0),100)</f>
        <v>100</v>
      </c>
      <c r="O1186" s="5">
        <f>N1186*PARAMS_MODELO!$B$11</f>
        <v>10</v>
      </c>
      <c r="P1186" s="5">
        <f>IFERROR(VLOOKUP(A1186,DIGITAL!$A$2:$J$2000,7,0),100)</f>
        <v>43</v>
      </c>
      <c r="Q1186" s="5">
        <f>IFERROR(P1186,0)*PARAMS_MODELO!$B$12</f>
        <v>4.3</v>
      </c>
      <c r="R1186">
        <f t="shared" si="435"/>
        <v>14.3</v>
      </c>
      <c r="S1186" s="5" t="str">
        <f>IFERROR(VLOOKUP(A1186,CLIENTE!$A$2:$N$2000,13,0),1)</f>
        <v>Regular</v>
      </c>
      <c r="T1186" s="5">
        <f>IFERROR(VLOOKUP(A1186,CLIENTE!$A$2:$N$2000,14,0),1)</f>
        <v>1</v>
      </c>
      <c r="U1186" s="5">
        <f t="shared" si="436"/>
        <v>14.3</v>
      </c>
      <c r="V1186" s="5" t="str">
        <f>IF(U1186&gt;=MAX(_xlfn.PERCENTILE.INC($U$2:$U$1194,PARAMS_MODELO!$B$50),PARAMS_MODELO!$B$45),"DIAMANTE",IF(U1186&gt;=MAX(_xlfn.PERCENTILE.INC($U$2:$U$1194,PARAMS_MODELO!$B$51),PARAMS_MODELO!$B$46),"PLATINO",IF(U1186&gt;=MAX(_xlfn.PERCENTILE.INC($U$2:$U$1194,PARAMS_MODELO!$B$52),PARAMS_MODELO!$B$47),"ORO",IF(U1186&gt;=MAX(_xlfn.PERCENTILE.INC($U$2:$U$1194,PARAMS_MODELO!$B$53),PARAMS_MODELO!$B$48),"PLATA",IF(U1186&gt;=1,"BRONCE","CERRADO")))))</f>
        <v>BRONCE</v>
      </c>
      <c r="W1186" s="5" t="str" cm="1">
        <f t="array" ref="W1186">_xlfn.XLOOKUP(1, (HIST_SCORE!$B:$B=PARAMS_MODELO!$B$4) * (HIST_SCORE!$C:$C=A1186), HIST_SCORE!$E:$E, "No encontrado")</f>
        <v>BRONCE</v>
      </c>
      <c r="X1186" s="5" t="str">
        <f>_xlfn.LET(_xlpm.act,MATCH(V1186,{"DIAMANTE";"PLATINO";"ORO";"PLATA";"BRONCE";"CERRADO"},0),_xlpm.ant,MATCH(W1186,{"DIAMANTE";"PLATINO";"ORO";"PLATA";"BRONCE";"CERRADO"},0),IF(_xlpm.act&lt;_xlpm.ant,"Mejora ↑",IF(_xlpm.act&gt;_xlpm.ant,"Baja ↓","Estable →")))</f>
        <v>Estable →</v>
      </c>
      <c r="Y1186" s="5">
        <f>IFERROR(U1186-SUMIFS(HIST_SCORE!$D:$D,HIST_SCORE!$B:$B,PARAMS_MODELO!$B$4,HIST_SCORE!$C:$C,$A1186),"")</f>
        <v>0</v>
      </c>
      <c r="Z1186" s="5" t="str">
        <f t="shared" si="437"/>
        <v>→ Estable</v>
      </c>
      <c r="AA1186" s="5">
        <f t="shared" si="438"/>
        <v>1086</v>
      </c>
      <c r="AB1186" s="5">
        <f>IFERROR(SUMIFS(HIST_SCORE!$F:$F,HIST_SCORE!$B:$B,PARAMS_MODELO!$B$4,HIST_SCORE!$C:$C,$A1186),"")</f>
        <v>1083</v>
      </c>
      <c r="AC1186" s="5">
        <f t="shared" si="439"/>
        <v>-3</v>
      </c>
      <c r="AD1186" t="str">
        <f t="shared" si="441"/>
        <v/>
      </c>
      <c r="AE11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1186="CERRADO",1,IF(V1186="BRONCE",_xlpm.cPl,IF(V1186="PLATA",_xlpm.cO,IF(V1186="ORO",_xlpm.cP,IF(V1186="PLATINO",_xlpm.cD,999))))))</f>
        <v>24.506573482968111</v>
      </c>
      <c r="AF1186">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1186="CERRADO",0,IF(V1186="BRONCE",1,IF(V1186="PLATA",_xlpm.cPl,IF(V1186="ORO",_xlpm.cO,IF(V1186="PLATINO",_xlpm.cP,_xlpm.cD))))))</f>
        <v>1</v>
      </c>
      <c r="AG1186">
        <f t="shared" si="442"/>
        <v>10.206573482968111</v>
      </c>
      <c r="AH1186" t="str">
        <f t="shared" si="443"/>
        <v>VENTAS</v>
      </c>
      <c r="AI1186" t="str">
        <f t="shared" si="440"/>
        <v>🎯 Para subir de categoría, eje VENTAS / CRECIMIENTO PERSONAL (F). Acción: metas semanales + activación comercial + seguimiento del asesor. ΔR aprox: 10,2</v>
      </c>
      <c r="AJ1186" s="26">
        <f>_xlfn.LET(_xlpm.piso,AF1186,_xlpm.corte,AE1186,_xlpm.prog,IF(_xlpm.corte&lt;=_xlpm.piso,0,MAX(0,MIN(1,(U1186-_xlpm.piso)/(_xlpm.corte-_xlpm.piso)))),_xlpm.orden,{"DIAMANTE";"PLATINO";"ORO";"PLATA";"BRONCE";"CERRADO"},_xlpm.act,IFERROR(MATCH(V1186,_xlpm.orden,0),6),_xlpm.ant,IFERROR(MATCH(W1186,_xlpm.orden,0),6),_xlpm.ajmov,IF(_xlpm.act&lt;_xlpm.ant,0.08,IF(_xlpm.act&gt;_xlpm.ant,-0.08,0)),_xlpm.ajcli,IF(T1186&lt;0.95,-0.06,0),_xlpm.prob,MAX(0,MIN(1,_xlpm.prog+_xlpm.ajmov+_xlpm.ajcli)),IF(OR(V1186="DIAMANTE",V1186="CERRADO"),0,ROUND(_xlpm.prob,2)))</f>
        <v>0.56999999999999995</v>
      </c>
      <c r="AK1186" t="str">
        <f t="shared" si="444"/>
        <v>Faltan 10,2 puntos base para subir a la siguiente categoría</v>
      </c>
      <c r="AL1186" t="str">
        <f t="shared" si="445"/>
        <v>No aplica</v>
      </c>
      <c r="AM1186">
        <f t="shared" si="446"/>
        <v>0.56999999999999995</v>
      </c>
      <c r="AN1186" t="str">
        <f t="shared" si="447"/>
        <v>PRIORIDAD MEDIA – seguimiento del asesor</v>
      </c>
      <c r="AO1186">
        <f t="shared" si="448"/>
        <v>64.862569275295584</v>
      </c>
      <c r="AP1186">
        <f t="shared" si="449"/>
        <v>15</v>
      </c>
      <c r="AQ1186">
        <f t="shared" si="450"/>
        <v>0</v>
      </c>
      <c r="AR1186">
        <f t="shared" si="451"/>
        <v>5.7</v>
      </c>
      <c r="AS1186">
        <f t="shared" si="452"/>
        <v>0</v>
      </c>
      <c r="AT1186" t="str">
        <f t="shared" si="453"/>
        <v>VENTAS</v>
      </c>
      <c r="AU1186">
        <f t="shared" si="454"/>
        <v>64.862569275295584</v>
      </c>
      <c r="AV1186" t="str">
        <f t="shared" si="455"/>
        <v>Mayor retorno probable: VENTAS (+64,9 puntos finales potenciales).</v>
      </c>
    </row>
    <row r="1187" spans="1:48" x14ac:dyDescent="0.3">
      <c r="A1187" s="5">
        <v>51056230</v>
      </c>
      <c r="B1187" s="5" t="str">
        <f>IFERROR(VLOOKUP(A1187,VENTAS!$A$2:$B$1194,2,0),"")</f>
        <v/>
      </c>
      <c r="C1187" s="5">
        <f>IFERROR(INDEX(VENTAS!$C$2:$E$1194,MATCH(A1187,VENTAS!$A$2:$A$1194,0),MATCH(PARAMS_MODELO!$B$2,{"Q1","Q2","Q3"},0)),0)</f>
        <v>24124987.07</v>
      </c>
      <c r="D1187" s="5">
        <f>IFERROR(INDEX(VENTAS!$F$2:$H$1194,MATCH(A1187,VENTAS!$A$2:$A$1194,0),MATCH(PARAMS_MODELO!$B$2,{"Q1","Q2","Q3"},0)),0)</f>
        <v>0</v>
      </c>
      <c r="E1187" s="8">
        <f t="shared" si="432"/>
        <v>-1</v>
      </c>
      <c r="F1187" s="12">
        <f>IF(E1187&lt;=PARAMS_MODELO!$B$15,0,IF(E1187&gt;=PARAMS_MODELO!$B$17,100,100*MIN(1,(E1187-PARAMS_MODELO!$B$15)/(PARAMS_MODELO!$B$16-PARAMS_MODELO!$B$15))))*PARAMS_MODELO!$B$7</f>
        <v>0</v>
      </c>
      <c r="G1187" s="5">
        <f t="shared" si="433"/>
        <v>0</v>
      </c>
      <c r="H1187" s="5">
        <f>(PARAMS_MODELO!$B$20*(MAX(0,MIN(3,E1187))/3)+PARAMS_MODELO!$B$21*(IFERROR(LN(1+MAX(0,G1187))/LN(1+MAX(0,MAX($G$2:$G$1194))),0)))*100*PARAMS_MODELO!$B$8</f>
        <v>0</v>
      </c>
      <c r="I1187" s="8">
        <f>E1187-PARAMS_MODELO!$B$5</f>
        <v>-1.1775628353755265</v>
      </c>
      <c r="J1187" s="5">
        <f>IF(I1187&lt;=PARAMS_MODELO!$B$18,0,IF(I1187&gt;=PARAMS_MODELO!$B$19,100,100*(I1187-PARAMS_MODELO!$B$18)/(PARAMS_MODELO!$B$19-PARAMS_MODELO!$B$18)))*PARAMS_MODELO!$B$9</f>
        <v>0</v>
      </c>
      <c r="K1187" s="5">
        <f>IFERROR(CHOOSE(MATCH(PARAMS_MODELO!$B$2,{"Q1","Q2","Q3"},0),LOTO!$D1187,LOTO!$F1187,LOTO!$H1187),0)</f>
        <v>0</v>
      </c>
      <c r="L1187" s="8">
        <f t="shared" si="434"/>
        <v>0</v>
      </c>
      <c r="M1187" s="5">
        <f>MIN(100,IF(PARAMS_MODELO!$B$23=0,0,100*L1187/PARAMS_MODELO!$B$23))*PARAMS_MODELO!$B$10</f>
        <v>0</v>
      </c>
      <c r="N1187" s="5">
        <f>IFERROR(VLOOKUP(A1187,COMPLIANCE!$A$2:$F$1996,6,0),100)</f>
        <v>100</v>
      </c>
      <c r="O1187" s="5">
        <f>N1187*PARAMS_MODELO!$B$11</f>
        <v>10</v>
      </c>
      <c r="P1187" s="5">
        <f>IFERROR(VLOOKUP(A1187,DIGITAL!$A$2:$J$2000,7,0),100)</f>
        <v>10</v>
      </c>
      <c r="Q1187" s="5">
        <f>IFERROR(P1187,0)*PARAMS_MODELO!$B$12</f>
        <v>1</v>
      </c>
      <c r="R1187">
        <f t="shared" si="435"/>
        <v>11</v>
      </c>
      <c r="S1187" s="5" t="str">
        <f>IFERROR(VLOOKUP(A1187,CLIENTE!$A$2:$N$2000,13,0),1)</f>
        <v>Regular</v>
      </c>
      <c r="T1187" s="5">
        <f>IFERROR(VLOOKUP(A1187,CLIENTE!$A$2:$N$2000,14,0),1)</f>
        <v>1</v>
      </c>
      <c r="U1187" s="5">
        <f t="shared" si="436"/>
        <v>11</v>
      </c>
      <c r="V1187" s="5" t="str">
        <f>IF(U1187&gt;=MAX(_xlfn.PERCENTILE.INC($U$2:$U$1194,PARAMS_MODELO!$B$50),PARAMS_MODELO!$B$45),"DIAMANTE",IF(U1187&gt;=MAX(_xlfn.PERCENTILE.INC($U$2:$U$1194,PARAMS_MODELO!$B$51),PARAMS_MODELO!$B$46),"PLATINO",IF(U1187&gt;=MAX(_xlfn.PERCENTILE.INC($U$2:$U$1194,PARAMS_MODELO!$B$52),PARAMS_MODELO!$B$47),"ORO",IF(U1187&gt;=MAX(_xlfn.PERCENTILE.INC($U$2:$U$1194,PARAMS_MODELO!$B$53),PARAMS_MODELO!$B$48),"PLATA",IF(U1187&gt;=1,"BRONCE","CERRADO")))))</f>
        <v>BRONCE</v>
      </c>
      <c r="W1187" s="5" t="str" cm="1">
        <f t="array" ref="W1187">_xlfn.XLOOKUP(1, (HIST_SCORE!$B:$B=PARAMS_MODELO!$B$4) * (HIST_SCORE!$C:$C=A1187), HIST_SCORE!$E:$E, "No encontrado")</f>
        <v>BRONCE</v>
      </c>
      <c r="X1187" s="5" t="str">
        <f>_xlfn.LET(_xlpm.act,MATCH(V1187,{"DIAMANTE";"PLATINO";"ORO";"PLATA";"BRONCE";"CERRADO"},0),_xlpm.ant,MATCH(W1187,{"DIAMANTE";"PLATINO";"ORO";"PLATA";"BRONCE";"CERRADO"},0),IF(_xlpm.act&lt;_xlpm.ant,"Mejora ↑",IF(_xlpm.act&gt;_xlpm.ant,"Baja ↓","Estable →")))</f>
        <v>Estable →</v>
      </c>
      <c r="Y1187" s="5">
        <f>IFERROR(U1187-SUMIFS(HIST_SCORE!$D:$D,HIST_SCORE!$B:$B,PARAMS_MODELO!$B$4,HIST_SCORE!$C:$C,$A1187),"")</f>
        <v>0</v>
      </c>
      <c r="Z1187" s="5" t="str">
        <f t="shared" si="437"/>
        <v>→ Estable</v>
      </c>
      <c r="AA1187" s="5">
        <f t="shared" si="438"/>
        <v>1144</v>
      </c>
      <c r="AB1187" s="5">
        <f>IFERROR(SUMIFS(HIST_SCORE!$F:$F,HIST_SCORE!$B:$B,PARAMS_MODELO!$B$4,HIST_SCORE!$C:$C,$A1187),"")</f>
        <v>1142</v>
      </c>
      <c r="AC1187" s="5">
        <f t="shared" si="439"/>
        <v>-2</v>
      </c>
      <c r="AD1187" t="str">
        <f t="shared" si="441"/>
        <v/>
      </c>
      <c r="AE11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1187="CERRADO",1,IF(V1187="BRONCE",_xlpm.cPl,IF(V1187="PLATA",_xlpm.cO,IF(V1187="ORO",_xlpm.cP,IF(V1187="PLATINO",_xlpm.cD,999))))))</f>
        <v>24.506573482968111</v>
      </c>
      <c r="AF1187">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1187="CERRADO",0,IF(V1187="BRONCE",1,IF(V1187="PLATA",_xlpm.cPl,IF(V1187="ORO",_xlpm.cO,IF(V1187="PLATINO",_xlpm.cP,_xlpm.cD))))))</f>
        <v>1</v>
      </c>
      <c r="AG1187">
        <f t="shared" si="442"/>
        <v>13.506573482968111</v>
      </c>
      <c r="AH1187" t="str">
        <f t="shared" si="443"/>
        <v>VENTAS</v>
      </c>
      <c r="AI1187" t="str">
        <f t="shared" si="440"/>
        <v>🎯 Para subir de categoría, eje VENTAS / CRECIMIENTO PERSONAL (F). Acción: metas semanales + activación comercial + seguimiento del asesor. ΔR aprox: 13,5</v>
      </c>
      <c r="AJ1187" s="26">
        <f>_xlfn.LET(_xlpm.piso,AF1187,_xlpm.corte,AE1187,_xlpm.prog,IF(_xlpm.corte&lt;=_xlpm.piso,0,MAX(0,MIN(1,(U1187-_xlpm.piso)/(_xlpm.corte-_xlpm.piso)))),_xlpm.orden,{"DIAMANTE";"PLATINO";"ORO";"PLATA";"BRONCE";"CERRADO"},_xlpm.act,IFERROR(MATCH(V1187,_xlpm.orden,0),6),_xlpm.ant,IFERROR(MATCH(W1187,_xlpm.orden,0),6),_xlpm.ajmov,IF(_xlpm.act&lt;_xlpm.ant,0.08,IF(_xlpm.act&gt;_xlpm.ant,-0.08,0)),_xlpm.ajcli,IF(T1187&lt;0.95,-0.06,0),_xlpm.prob,MAX(0,MIN(1,_xlpm.prog+_xlpm.ajmov+_xlpm.ajcli)),IF(OR(V1187="DIAMANTE",V1187="CERRADO"),0,ROUND(_xlpm.prob,2)))</f>
        <v>0.43</v>
      </c>
      <c r="AK1187" t="str">
        <f t="shared" si="444"/>
        <v>Faltan 13,5 puntos base para subir a la siguiente categoría</v>
      </c>
      <c r="AL1187" t="str">
        <f t="shared" si="445"/>
        <v>No aplica</v>
      </c>
      <c r="AM1187">
        <f t="shared" si="446"/>
        <v>0.63</v>
      </c>
      <c r="AN1187" t="str">
        <f t="shared" si="447"/>
        <v>PRIORIDAD MEDIA – seguimiento del asesor</v>
      </c>
      <c r="AO1187">
        <f t="shared" si="448"/>
        <v>64.862569275295584</v>
      </c>
      <c r="AP1187">
        <f t="shared" si="449"/>
        <v>15</v>
      </c>
      <c r="AQ1187">
        <f t="shared" si="450"/>
        <v>0</v>
      </c>
      <c r="AR1187">
        <f t="shared" si="451"/>
        <v>9</v>
      </c>
      <c r="AS1187">
        <f t="shared" si="452"/>
        <v>0</v>
      </c>
      <c r="AT1187" t="str">
        <f t="shared" si="453"/>
        <v>VENTAS</v>
      </c>
      <c r="AU1187">
        <f t="shared" si="454"/>
        <v>64.862569275295584</v>
      </c>
      <c r="AV1187" t="str">
        <f t="shared" si="455"/>
        <v>Mayor retorno probable: VENTAS (+64,9 puntos finales potenciales).</v>
      </c>
    </row>
    <row r="1188" spans="1:48" x14ac:dyDescent="0.3">
      <c r="A1188" s="5">
        <v>51056256</v>
      </c>
      <c r="B1188" s="5" t="str">
        <f>IFERROR(VLOOKUP(A1188,VENTAS!$A$2:$B$1194,2,0),"")</f>
        <v/>
      </c>
      <c r="C1188" s="5">
        <f>IFERROR(INDEX(VENTAS!$C$2:$E$1194,MATCH(A1188,VENTAS!$A$2:$A$1194,0),MATCH(PARAMS_MODELO!$B$2,{"Q1","Q2","Q3"},0)),0)</f>
        <v>0</v>
      </c>
      <c r="D1188" s="5">
        <f>IFERROR(INDEX(VENTAS!$F$2:$H$1194,MATCH(A1188,VENTAS!$A$2:$A$1194,0),MATCH(PARAMS_MODELO!$B$2,{"Q1","Q2","Q3"},0)),0)</f>
        <v>0</v>
      </c>
      <c r="E1188" s="8">
        <f t="shared" si="432"/>
        <v>0</v>
      </c>
      <c r="F1188" s="12">
        <f>IF(E1188&lt;=PARAMS_MODELO!$B$15,0,IF(E1188&gt;=PARAMS_MODELO!$B$17,100,100*MIN(1,(E1188-PARAMS_MODELO!$B$15)/(PARAMS_MODELO!$B$16-PARAMS_MODELO!$B$15))))*PARAMS_MODELO!$B$7</f>
        <v>0</v>
      </c>
      <c r="G1188" s="5">
        <f t="shared" si="433"/>
        <v>0</v>
      </c>
      <c r="H1188" s="5">
        <f>(PARAMS_MODELO!$B$20*(MAX(0,MIN(3,E1188))/3)+PARAMS_MODELO!$B$21*(IFERROR(LN(1+MAX(0,G1188))/LN(1+MAX(0,MAX($G$2:$G$1194))),0)))*100*PARAMS_MODELO!$B$8</f>
        <v>0</v>
      </c>
      <c r="I1188" s="8">
        <f>E1188-PARAMS_MODELO!$B$5</f>
        <v>-0.17756283537552653</v>
      </c>
      <c r="J1188" s="5">
        <f>IF(I1188&lt;=PARAMS_MODELO!$B$18,0,IF(I1188&gt;=PARAMS_MODELO!$B$19,100,100*(I1188-PARAMS_MODELO!$B$18)/(PARAMS_MODELO!$B$19-PARAMS_MODELO!$B$18)))*PARAMS_MODELO!$B$9</f>
        <v>0</v>
      </c>
      <c r="K1188" s="5">
        <f>IFERROR(CHOOSE(MATCH(PARAMS_MODELO!$B$2,{"Q1","Q2","Q3"},0),LOTO!$D1188,LOTO!$F1188,LOTO!$H1188),0)</f>
        <v>0</v>
      </c>
      <c r="L1188" s="8">
        <f t="shared" si="434"/>
        <v>0</v>
      </c>
      <c r="M1188" s="5">
        <f>MIN(100,IF(PARAMS_MODELO!$B$23=0,0,100*L1188/PARAMS_MODELO!$B$23))*PARAMS_MODELO!$B$10</f>
        <v>0</v>
      </c>
      <c r="N1188" s="5">
        <f>IFERROR(VLOOKUP(A1188,COMPLIANCE!$A$2:$F$1996,6,0),100)</f>
        <v>100</v>
      </c>
      <c r="O1188" s="5">
        <f>N1188*PARAMS_MODELO!$B$11</f>
        <v>10</v>
      </c>
      <c r="P1188" s="5">
        <f>IFERROR(VLOOKUP(A1188,DIGITAL!$A$2:$J$2000,7,0),100)</f>
        <v>22</v>
      </c>
      <c r="Q1188" s="5">
        <f>IFERROR(P1188,0)*PARAMS_MODELO!$B$12</f>
        <v>2.2000000000000002</v>
      </c>
      <c r="R1188">
        <f t="shared" si="435"/>
        <v>12.2</v>
      </c>
      <c r="S1188" s="5" t="str">
        <f>IFERROR(VLOOKUP(A1188,CLIENTE!$A$2:$N$2000,13,0),1)</f>
        <v>Bueno</v>
      </c>
      <c r="T1188" s="5">
        <f>IFERROR(VLOOKUP(A1188,CLIENTE!$A$2:$N$2000,14,0),1)</f>
        <v>1.1000000000000001</v>
      </c>
      <c r="U1188" s="5">
        <f t="shared" si="436"/>
        <v>13.42</v>
      </c>
      <c r="V1188" s="5" t="str">
        <f>IF(U1188&gt;=MAX(_xlfn.PERCENTILE.INC($U$2:$U$1194,PARAMS_MODELO!$B$50),PARAMS_MODELO!$B$45),"DIAMANTE",IF(U1188&gt;=MAX(_xlfn.PERCENTILE.INC($U$2:$U$1194,PARAMS_MODELO!$B$51),PARAMS_MODELO!$B$46),"PLATINO",IF(U1188&gt;=MAX(_xlfn.PERCENTILE.INC($U$2:$U$1194,PARAMS_MODELO!$B$52),PARAMS_MODELO!$B$47),"ORO",IF(U1188&gt;=MAX(_xlfn.PERCENTILE.INC($U$2:$U$1194,PARAMS_MODELO!$B$53),PARAMS_MODELO!$B$48),"PLATA",IF(U1188&gt;=1,"BRONCE","CERRADO")))))</f>
        <v>BRONCE</v>
      </c>
      <c r="W1188" s="5" t="str" cm="1">
        <f t="array" ref="W1188">_xlfn.XLOOKUP(1, (HIST_SCORE!$B:$B=PARAMS_MODELO!$B$4) * (HIST_SCORE!$C:$C=A1188), HIST_SCORE!$E:$E, "No encontrado")</f>
        <v>BRONCE</v>
      </c>
      <c r="X1188" s="5" t="str">
        <f>_xlfn.LET(_xlpm.act,MATCH(V1188,{"DIAMANTE";"PLATINO";"ORO";"PLATA";"BRONCE";"CERRADO"},0),_xlpm.ant,MATCH(W1188,{"DIAMANTE";"PLATINO";"ORO";"PLATA";"BRONCE";"CERRADO"},0),IF(_xlpm.act&lt;_xlpm.ant,"Mejora ↑",IF(_xlpm.act&gt;_xlpm.ant,"Baja ↓","Estable →")))</f>
        <v>Estable →</v>
      </c>
      <c r="Y1188" s="5">
        <f>IFERROR(U1188-SUMIFS(HIST_SCORE!$D:$D,HIST_SCORE!$B:$B,PARAMS_MODELO!$B$4,HIST_SCORE!$C:$C,$A1188),"")</f>
        <v>0</v>
      </c>
      <c r="Z1188" s="5" t="str">
        <f t="shared" si="437"/>
        <v>→ Estable</v>
      </c>
      <c r="AA1188" s="5">
        <f t="shared" si="438"/>
        <v>1099</v>
      </c>
      <c r="AB1188" s="5">
        <f>IFERROR(SUMIFS(HIST_SCORE!$F:$F,HIST_SCORE!$B:$B,PARAMS_MODELO!$B$4,HIST_SCORE!$C:$C,$A1188),"")</f>
        <v>1097</v>
      </c>
      <c r="AC1188" s="5">
        <f t="shared" si="439"/>
        <v>-2</v>
      </c>
      <c r="AD1188" t="str">
        <f t="shared" si="441"/>
        <v/>
      </c>
      <c r="AE11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1188="CERRADO",1,IF(V1188="BRONCE",_xlpm.cPl,IF(V1188="PLATA",_xlpm.cO,IF(V1188="ORO",_xlpm.cP,IF(V1188="PLATINO",_xlpm.cD,999))))))</f>
        <v>24.506573482968111</v>
      </c>
      <c r="AF1188">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1188="CERRADO",0,IF(V1188="BRONCE",1,IF(V1188="PLATA",_xlpm.cPl,IF(V1188="ORO",_xlpm.cO,IF(V1188="PLATINO",_xlpm.cP,_xlpm.cD))))))</f>
        <v>1</v>
      </c>
      <c r="AG1188">
        <f t="shared" si="442"/>
        <v>10.078703166334645</v>
      </c>
      <c r="AH1188" t="str">
        <f t="shared" si="443"/>
        <v>VENTAS</v>
      </c>
      <c r="AI1188" t="str">
        <f t="shared" si="440"/>
        <v>🎯 Para subir de categoría, eje VENTAS / CRECIMIENTO PERSONAL (F). Acción: metas semanales + activación comercial + seguimiento del asesor. ΔR aprox: 10,1</v>
      </c>
      <c r="AJ1188" s="26">
        <f>_xlfn.LET(_xlpm.piso,AF1188,_xlpm.corte,AE1188,_xlpm.prog,IF(_xlpm.corte&lt;=_xlpm.piso,0,MAX(0,MIN(1,(U1188-_xlpm.piso)/(_xlpm.corte-_xlpm.piso)))),_xlpm.orden,{"DIAMANTE";"PLATINO";"ORO";"PLATA";"BRONCE";"CERRADO"},_xlpm.act,IFERROR(MATCH(V1188,_xlpm.orden,0),6),_xlpm.ant,IFERROR(MATCH(W1188,_xlpm.orden,0),6),_xlpm.ajmov,IF(_xlpm.act&lt;_xlpm.ant,0.08,IF(_xlpm.act&gt;_xlpm.ant,-0.08,0)),_xlpm.ajcli,IF(T1188&lt;0.95,-0.06,0),_xlpm.prob,MAX(0,MIN(1,_xlpm.prog+_xlpm.ajmov+_xlpm.ajcli)),IF(OR(V1188="DIAMANTE",V1188="CERRADO"),0,ROUND(_xlpm.prob,2)))</f>
        <v>0.53</v>
      </c>
      <c r="AK1188" t="str">
        <f t="shared" si="444"/>
        <v>Faltan 10,1 puntos base para subir a la siguiente categoría</v>
      </c>
      <c r="AL1188" t="str">
        <f t="shared" si="445"/>
        <v>No aplica</v>
      </c>
      <c r="AM1188">
        <f t="shared" si="446"/>
        <v>0.59</v>
      </c>
      <c r="AN1188" t="str">
        <f t="shared" si="447"/>
        <v>PRIORIDAD MEDIA – seguimiento del asesor</v>
      </c>
      <c r="AO1188">
        <f t="shared" si="448"/>
        <v>71.348826202825151</v>
      </c>
      <c r="AP1188">
        <f t="shared" si="449"/>
        <v>16.5</v>
      </c>
      <c r="AQ1188">
        <f t="shared" si="450"/>
        <v>0</v>
      </c>
      <c r="AR1188">
        <f t="shared" si="451"/>
        <v>8.58</v>
      </c>
      <c r="AS1188">
        <f t="shared" si="452"/>
        <v>0</v>
      </c>
      <c r="AT1188" t="str">
        <f t="shared" si="453"/>
        <v>VENTAS</v>
      </c>
      <c r="AU1188">
        <f t="shared" si="454"/>
        <v>71.348826202825151</v>
      </c>
      <c r="AV1188" t="str">
        <f t="shared" si="455"/>
        <v>Mayor retorno probable: VENTAS (+71,3 puntos finales potenciales).</v>
      </c>
    </row>
    <row r="1189" spans="1:48" x14ac:dyDescent="0.3">
      <c r="A1189" s="5">
        <v>51056370</v>
      </c>
      <c r="B1189" s="5" t="str">
        <f>IFERROR(VLOOKUP(A1189,VENTAS!$A$2:$B$1194,2,0),"")</f>
        <v/>
      </c>
      <c r="C1189" s="5">
        <f>IFERROR(INDEX(VENTAS!$C$2:$E$1194,MATCH(A1189,VENTAS!$A$2:$A$1194,0),MATCH(PARAMS_MODELO!$B$2,{"Q1","Q2","Q3"},0)),0)</f>
        <v>0</v>
      </c>
      <c r="D1189" s="5">
        <f>IFERROR(INDEX(VENTAS!$F$2:$H$1194,MATCH(A1189,VENTAS!$A$2:$A$1194,0),MATCH(PARAMS_MODELO!$B$2,{"Q1","Q2","Q3"},0)),0)</f>
        <v>0</v>
      </c>
      <c r="E1189" s="8">
        <f t="shared" si="432"/>
        <v>0</v>
      </c>
      <c r="F1189" s="12">
        <f>IF(E1189&lt;=PARAMS_MODELO!$B$15,0,IF(E1189&gt;=PARAMS_MODELO!$B$17,100,100*MIN(1,(E1189-PARAMS_MODELO!$B$15)/(PARAMS_MODELO!$B$16-PARAMS_MODELO!$B$15))))*PARAMS_MODELO!$B$7</f>
        <v>0</v>
      </c>
      <c r="G1189" s="5">
        <f t="shared" si="433"/>
        <v>0</v>
      </c>
      <c r="H1189" s="5">
        <f>(PARAMS_MODELO!$B$20*(MAX(0,MIN(3,E1189))/3)+PARAMS_MODELO!$B$21*(IFERROR(LN(1+MAX(0,G1189))/LN(1+MAX(0,MAX($G$2:$G$1194))),0)))*100*PARAMS_MODELO!$B$8</f>
        <v>0</v>
      </c>
      <c r="I1189" s="8">
        <f>E1189-PARAMS_MODELO!$B$5</f>
        <v>-0.17756283537552653</v>
      </c>
      <c r="J1189" s="5">
        <f>IF(I1189&lt;=PARAMS_MODELO!$B$18,0,IF(I1189&gt;=PARAMS_MODELO!$B$19,100,100*(I1189-PARAMS_MODELO!$B$18)/(PARAMS_MODELO!$B$19-PARAMS_MODELO!$B$18)))*PARAMS_MODELO!$B$9</f>
        <v>0</v>
      </c>
      <c r="K1189" s="5">
        <f>IFERROR(CHOOSE(MATCH(PARAMS_MODELO!$B$2,{"Q1","Q2","Q3"},0),LOTO!$D1189,LOTO!$F1189,LOTO!$H1189),0)</f>
        <v>0</v>
      </c>
      <c r="L1189" s="8">
        <f t="shared" si="434"/>
        <v>0</v>
      </c>
      <c r="M1189" s="5">
        <f>MIN(100,IF(PARAMS_MODELO!$B$23=0,0,100*L1189/PARAMS_MODELO!$B$23))*PARAMS_MODELO!$B$10</f>
        <v>0</v>
      </c>
      <c r="N1189" s="5">
        <f>IFERROR(VLOOKUP(A1189,COMPLIANCE!$A$2:$F$1996,6,0),100)</f>
        <v>100</v>
      </c>
      <c r="O1189" s="5">
        <f>N1189*PARAMS_MODELO!$B$11</f>
        <v>10</v>
      </c>
      <c r="P1189" s="5">
        <f>IFERROR(VLOOKUP(A1189,DIGITAL!$A$2:$J$2000,7,0),100)</f>
        <v>5</v>
      </c>
      <c r="Q1189" s="5">
        <f>IFERROR(P1189,0)*PARAMS_MODELO!$B$12</f>
        <v>0.5</v>
      </c>
      <c r="R1189">
        <f t="shared" si="435"/>
        <v>10.5</v>
      </c>
      <c r="S1189" s="5" t="str">
        <f>IFERROR(VLOOKUP(A1189,CLIENTE!$A$2:$N$2000,13,0),1)</f>
        <v>Regular</v>
      </c>
      <c r="T1189" s="5">
        <f>IFERROR(VLOOKUP(A1189,CLIENTE!$A$2:$N$2000,14,0),1)</f>
        <v>1</v>
      </c>
      <c r="U1189" s="5">
        <f t="shared" si="436"/>
        <v>10.5</v>
      </c>
      <c r="V1189" s="5" t="str">
        <f>IF(U1189&gt;=MAX(_xlfn.PERCENTILE.INC($U$2:$U$1194,PARAMS_MODELO!$B$50),PARAMS_MODELO!$B$45),"DIAMANTE",IF(U1189&gt;=MAX(_xlfn.PERCENTILE.INC($U$2:$U$1194,PARAMS_MODELO!$B$51),PARAMS_MODELO!$B$46),"PLATINO",IF(U1189&gt;=MAX(_xlfn.PERCENTILE.INC($U$2:$U$1194,PARAMS_MODELO!$B$52),PARAMS_MODELO!$B$47),"ORO",IF(U1189&gt;=MAX(_xlfn.PERCENTILE.INC($U$2:$U$1194,PARAMS_MODELO!$B$53),PARAMS_MODELO!$B$48),"PLATA",IF(U1189&gt;=1,"BRONCE","CERRADO")))))</f>
        <v>BRONCE</v>
      </c>
      <c r="W1189" s="5" t="str" cm="1">
        <f t="array" ref="W1189">_xlfn.XLOOKUP(1, (HIST_SCORE!$B:$B=PARAMS_MODELO!$B$4) * (HIST_SCORE!$C:$C=A1189), HIST_SCORE!$E:$E, "No encontrado")</f>
        <v>BRONCE</v>
      </c>
      <c r="X1189" s="5" t="str">
        <f>_xlfn.LET(_xlpm.act,MATCH(V1189,{"DIAMANTE";"PLATINO";"ORO";"PLATA";"BRONCE";"CERRADO"},0),_xlpm.ant,MATCH(W1189,{"DIAMANTE";"PLATINO";"ORO";"PLATA";"BRONCE";"CERRADO"},0),IF(_xlpm.act&lt;_xlpm.ant,"Mejora ↑",IF(_xlpm.act&gt;_xlpm.ant,"Baja ↓","Estable →")))</f>
        <v>Estable →</v>
      </c>
      <c r="Y1189" s="5">
        <f>IFERROR(U1189-SUMIFS(HIST_SCORE!$D:$D,HIST_SCORE!$B:$B,PARAMS_MODELO!$B$4,HIST_SCORE!$C:$C,$A1189),"")</f>
        <v>0</v>
      </c>
      <c r="Z1189" s="5" t="str">
        <f t="shared" si="437"/>
        <v>→ Estable</v>
      </c>
      <c r="AA1189" s="5">
        <f t="shared" si="438"/>
        <v>1160</v>
      </c>
      <c r="AB1189" s="5">
        <f>IFERROR(SUMIFS(HIST_SCORE!$F:$F,HIST_SCORE!$B:$B,PARAMS_MODELO!$B$4,HIST_SCORE!$C:$C,$A1189),"")</f>
        <v>1159</v>
      </c>
      <c r="AC1189" s="5">
        <f t="shared" si="439"/>
        <v>-1</v>
      </c>
      <c r="AD1189" t="str">
        <f t="shared" si="441"/>
        <v/>
      </c>
      <c r="AE11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1189="CERRADO",1,IF(V1189="BRONCE",_xlpm.cPl,IF(V1189="PLATA",_xlpm.cO,IF(V1189="ORO",_xlpm.cP,IF(V1189="PLATINO",_xlpm.cD,999))))))</f>
        <v>24.506573482968111</v>
      </c>
      <c r="AF1189">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1189="CERRADO",0,IF(V1189="BRONCE",1,IF(V1189="PLATA",_xlpm.cPl,IF(V1189="ORO",_xlpm.cO,IF(V1189="PLATINO",_xlpm.cP,_xlpm.cD))))))</f>
        <v>1</v>
      </c>
      <c r="AG1189">
        <f t="shared" si="442"/>
        <v>14.006573482968111</v>
      </c>
      <c r="AH1189" t="str">
        <f t="shared" si="443"/>
        <v>VENTAS</v>
      </c>
      <c r="AI1189" t="str">
        <f t="shared" si="440"/>
        <v>🎯 Para subir de categoría, eje VENTAS / CRECIMIENTO PERSONAL (F). Acción: metas semanales + activación comercial + seguimiento del asesor. ΔR aprox: 14,0</v>
      </c>
      <c r="AJ1189" s="26">
        <f>_xlfn.LET(_xlpm.piso,AF1189,_xlpm.corte,AE1189,_xlpm.prog,IF(_xlpm.corte&lt;=_xlpm.piso,0,MAX(0,MIN(1,(U1189-_xlpm.piso)/(_xlpm.corte-_xlpm.piso)))),_xlpm.orden,{"DIAMANTE";"PLATINO";"ORO";"PLATA";"BRONCE";"CERRADO"},_xlpm.act,IFERROR(MATCH(V1189,_xlpm.orden,0),6),_xlpm.ant,IFERROR(MATCH(W1189,_xlpm.orden,0),6),_xlpm.ajmov,IF(_xlpm.act&lt;_xlpm.ant,0.08,IF(_xlpm.act&gt;_xlpm.ant,-0.08,0)),_xlpm.ajcli,IF(T1189&lt;0.95,-0.06,0),_xlpm.prob,MAX(0,MIN(1,_xlpm.prog+_xlpm.ajmov+_xlpm.ajcli)),IF(OR(V1189="DIAMANTE",V1189="CERRADO"),0,ROUND(_xlpm.prob,2)))</f>
        <v>0.4</v>
      </c>
      <c r="AK1189" t="str">
        <f t="shared" si="444"/>
        <v>Faltan 14,0 puntos base para subir a la siguiente categoría</v>
      </c>
      <c r="AL1189" t="str">
        <f t="shared" si="445"/>
        <v>No aplica</v>
      </c>
      <c r="AM1189">
        <f t="shared" si="446"/>
        <v>0.64</v>
      </c>
      <c r="AN1189" t="str">
        <f t="shared" si="447"/>
        <v>PRIORIDAD MEDIA – seguimiento del asesor</v>
      </c>
      <c r="AO1189">
        <f t="shared" si="448"/>
        <v>64.862569275295584</v>
      </c>
      <c r="AP1189">
        <f t="shared" si="449"/>
        <v>15</v>
      </c>
      <c r="AQ1189">
        <f t="shared" si="450"/>
        <v>0</v>
      </c>
      <c r="AR1189">
        <f t="shared" si="451"/>
        <v>9.5</v>
      </c>
      <c r="AS1189">
        <f t="shared" si="452"/>
        <v>0</v>
      </c>
      <c r="AT1189" t="str">
        <f t="shared" si="453"/>
        <v>VENTAS</v>
      </c>
      <c r="AU1189">
        <f t="shared" si="454"/>
        <v>64.862569275295584</v>
      </c>
      <c r="AV1189" t="str">
        <f t="shared" si="455"/>
        <v>Mayor retorno probable: VENTAS (+64,9 puntos finales potenciales).</v>
      </c>
    </row>
    <row r="1190" spans="1:48" x14ac:dyDescent="0.3">
      <c r="A1190" s="5">
        <v>51056680</v>
      </c>
      <c r="B1190" s="5" t="str">
        <f>IFERROR(VLOOKUP(A1190,VENTAS!$A$2:$B$1194,2,0),"")</f>
        <v/>
      </c>
      <c r="C1190" s="5">
        <f>IFERROR(INDEX(VENTAS!$C$2:$E$1194,MATCH(A1190,VENTAS!$A$2:$A$1194,0),MATCH(PARAMS_MODELO!$B$2,{"Q1","Q2","Q3"},0)),0)</f>
        <v>0</v>
      </c>
      <c r="D1190" s="5">
        <f>IFERROR(INDEX(VENTAS!$F$2:$H$1194,MATCH(A1190,VENTAS!$A$2:$A$1194,0),MATCH(PARAMS_MODELO!$B$2,{"Q1","Q2","Q3"},0)),0)</f>
        <v>0</v>
      </c>
      <c r="E1190" s="8">
        <f t="shared" si="432"/>
        <v>0</v>
      </c>
      <c r="F1190" s="12">
        <f>IF(E1190&lt;=PARAMS_MODELO!$B$15,0,IF(E1190&gt;=PARAMS_MODELO!$B$17,100,100*MIN(1,(E1190-PARAMS_MODELO!$B$15)/(PARAMS_MODELO!$B$16-PARAMS_MODELO!$B$15))))*PARAMS_MODELO!$B$7</f>
        <v>0</v>
      </c>
      <c r="G1190" s="5">
        <f t="shared" si="433"/>
        <v>0</v>
      </c>
      <c r="H1190" s="5">
        <f>(PARAMS_MODELO!$B$20*(MAX(0,MIN(3,E1190))/3)+PARAMS_MODELO!$B$21*(IFERROR(LN(1+MAX(0,G1190))/LN(1+MAX(0,MAX($G$2:$G$1194))),0)))*100*PARAMS_MODELO!$B$8</f>
        <v>0</v>
      </c>
      <c r="I1190" s="8">
        <f>E1190-PARAMS_MODELO!$B$5</f>
        <v>-0.17756283537552653</v>
      </c>
      <c r="J1190" s="5">
        <f>IF(I1190&lt;=PARAMS_MODELO!$B$18,0,IF(I1190&gt;=PARAMS_MODELO!$B$19,100,100*(I1190-PARAMS_MODELO!$B$18)/(PARAMS_MODELO!$B$19-PARAMS_MODELO!$B$18)))*PARAMS_MODELO!$B$9</f>
        <v>0</v>
      </c>
      <c r="K1190" s="5">
        <f>IFERROR(CHOOSE(MATCH(PARAMS_MODELO!$B$2,{"Q1","Q2","Q3"},0),LOTO!$D1190,LOTO!$F1190,LOTO!$H1190),0)</f>
        <v>0</v>
      </c>
      <c r="L1190" s="8">
        <f t="shared" si="434"/>
        <v>0</v>
      </c>
      <c r="M1190" s="5">
        <f>MIN(100,IF(PARAMS_MODELO!$B$23=0,0,100*L1190/PARAMS_MODELO!$B$23))*PARAMS_MODELO!$B$10</f>
        <v>0</v>
      </c>
      <c r="N1190" s="5">
        <f>IFERROR(VLOOKUP(A1190,COMPLIANCE!$A$2:$F$1996,6,0),100)</f>
        <v>0</v>
      </c>
      <c r="O1190" s="5">
        <f>N1190*PARAMS_MODELO!$B$11</f>
        <v>0</v>
      </c>
      <c r="P1190" s="5">
        <f>IFERROR(VLOOKUP(A1190,DIGITAL!$A$2:$J$2000,7,0),100)</f>
        <v>20</v>
      </c>
      <c r="Q1190" s="5">
        <f>IFERROR(P1190,0)*PARAMS_MODELO!$B$12</f>
        <v>2</v>
      </c>
      <c r="R1190">
        <f t="shared" si="435"/>
        <v>2</v>
      </c>
      <c r="S1190" s="5" t="str">
        <f>IFERROR(VLOOKUP(A1190,CLIENTE!$A$2:$N$2000,13,0),1)</f>
        <v>Muy Bueno</v>
      </c>
      <c r="T1190" s="5">
        <f>IFERROR(VLOOKUP(A1190,CLIENTE!$A$2:$N$2000,14,0),1)</f>
        <v>1.1499999999999999</v>
      </c>
      <c r="U1190" s="5">
        <f t="shared" si="436"/>
        <v>2.2999999999999998</v>
      </c>
      <c r="V1190" s="5" t="str">
        <f>IF(U1190&gt;=MAX(_xlfn.PERCENTILE.INC($U$2:$U$1194,PARAMS_MODELO!$B$50),PARAMS_MODELO!$B$45),"DIAMANTE",IF(U1190&gt;=MAX(_xlfn.PERCENTILE.INC($U$2:$U$1194,PARAMS_MODELO!$B$51),PARAMS_MODELO!$B$46),"PLATINO",IF(U1190&gt;=MAX(_xlfn.PERCENTILE.INC($U$2:$U$1194,PARAMS_MODELO!$B$52),PARAMS_MODELO!$B$47),"ORO",IF(U1190&gt;=MAX(_xlfn.PERCENTILE.INC($U$2:$U$1194,PARAMS_MODELO!$B$53),PARAMS_MODELO!$B$48),"PLATA",IF(U1190&gt;=1,"BRONCE","CERRADO")))))</f>
        <v>BRONCE</v>
      </c>
      <c r="W1190" s="5" t="str" cm="1">
        <f t="array" ref="W1190">_xlfn.XLOOKUP(1, (HIST_SCORE!$B:$B=PARAMS_MODELO!$B$4) * (HIST_SCORE!$C:$C=A1190), HIST_SCORE!$E:$E, "No encontrado")</f>
        <v>BRONCE</v>
      </c>
      <c r="X1190" s="5" t="str">
        <f>_xlfn.LET(_xlpm.act,MATCH(V1190,{"DIAMANTE";"PLATINO";"ORO";"PLATA";"BRONCE";"CERRADO"},0),_xlpm.ant,MATCH(W1190,{"DIAMANTE";"PLATINO";"ORO";"PLATA";"BRONCE";"CERRADO"},0),IF(_xlpm.act&lt;_xlpm.ant,"Mejora ↑",IF(_xlpm.act&gt;_xlpm.ant,"Baja ↓","Estable →")))</f>
        <v>Estable →</v>
      </c>
      <c r="Y1190" s="5">
        <f>IFERROR(U1190-SUMIFS(HIST_SCORE!$D:$D,HIST_SCORE!$B:$B,PARAMS_MODELO!$B$4,HIST_SCORE!$C:$C,$A1190),"")</f>
        <v>0</v>
      </c>
      <c r="Z1190" s="5" t="str">
        <f t="shared" si="437"/>
        <v>→ Estable</v>
      </c>
      <c r="AA1190" s="5">
        <f t="shared" si="438"/>
        <v>1193</v>
      </c>
      <c r="AB1190" s="5">
        <f>IFERROR(SUMIFS(HIST_SCORE!$F:$F,HIST_SCORE!$B:$B,PARAMS_MODELO!$B$4,HIST_SCORE!$C:$C,$A1190),"")</f>
        <v>1193</v>
      </c>
      <c r="AC1190" s="5">
        <f t="shared" si="439"/>
        <v>0</v>
      </c>
      <c r="AD1190" t="str">
        <f t="shared" si="441"/>
        <v/>
      </c>
      <c r="AE11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1190="CERRADO",1,IF(V1190="BRONCE",_xlpm.cPl,IF(V1190="PLATA",_xlpm.cO,IF(V1190="ORO",_xlpm.cP,IF(V1190="PLATINO",_xlpm.cD,999))))))</f>
        <v>24.506573482968111</v>
      </c>
      <c r="AF1190">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1190="CERRADO",0,IF(V1190="BRONCE",1,IF(V1190="PLATA",_xlpm.cPl,IF(V1190="ORO",_xlpm.cO,IF(V1190="PLATINO",_xlpm.cP,_xlpm.cD))))))</f>
        <v>1</v>
      </c>
      <c r="AG1190">
        <f t="shared" si="442"/>
        <v>19.310063898233143</v>
      </c>
      <c r="AH1190" t="str">
        <f t="shared" si="443"/>
        <v>VENTAS</v>
      </c>
      <c r="AI1190" t="str">
        <f t="shared" si="440"/>
        <v>🎯 Para subir de categoría, eje VENTAS / CRECIMIENTO PERSONAL (F). Acción: metas semanales + activación comercial + seguimiento del asesor. ΔR aprox: 19,3</v>
      </c>
      <c r="AJ1190" s="26">
        <f>_xlfn.LET(_xlpm.piso,AF1190,_xlpm.corte,AE1190,_xlpm.prog,IF(_xlpm.corte&lt;=_xlpm.piso,0,MAX(0,MIN(1,(U1190-_xlpm.piso)/(_xlpm.corte-_xlpm.piso)))),_xlpm.orden,{"DIAMANTE";"PLATINO";"ORO";"PLATA";"BRONCE";"CERRADO"},_xlpm.act,IFERROR(MATCH(V1190,_xlpm.orden,0),6),_xlpm.ant,IFERROR(MATCH(W1190,_xlpm.orden,0),6),_xlpm.ajmov,IF(_xlpm.act&lt;_xlpm.ant,0.08,IF(_xlpm.act&gt;_xlpm.ant,-0.08,0)),_xlpm.ajcli,IF(T1190&lt;0.95,-0.06,0),_xlpm.prob,MAX(0,MIN(1,_xlpm.prog+_xlpm.ajmov+_xlpm.ajcli)),IF(OR(V1190="DIAMANTE",V1190="CERRADO"),0,ROUND(_xlpm.prob,2)))</f>
        <v>0.06</v>
      </c>
      <c r="AK1190" t="str">
        <f t="shared" si="444"/>
        <v>Faltan 19,3 puntos base para subir a la siguiente categoría</v>
      </c>
      <c r="AL1190" t="str">
        <f t="shared" si="445"/>
        <v>No aplica</v>
      </c>
      <c r="AM1190">
        <f t="shared" si="446"/>
        <v>0.78</v>
      </c>
      <c r="AN1190" t="str">
        <f t="shared" si="447"/>
        <v>PRIORIDAD ALTA – requiere intervención inmediata</v>
      </c>
      <c r="AO1190">
        <f t="shared" si="448"/>
        <v>74.591954666589913</v>
      </c>
      <c r="AP1190">
        <f t="shared" si="449"/>
        <v>17.25</v>
      </c>
      <c r="AQ1190">
        <f t="shared" si="450"/>
        <v>11.5</v>
      </c>
      <c r="AR1190">
        <f t="shared" si="451"/>
        <v>9.1999999999999993</v>
      </c>
      <c r="AS1190">
        <f t="shared" si="452"/>
        <v>0</v>
      </c>
      <c r="AT1190" t="str">
        <f t="shared" si="453"/>
        <v>VENTAS</v>
      </c>
      <c r="AU1190">
        <f t="shared" si="454"/>
        <v>74.591954666589913</v>
      </c>
      <c r="AV1190" t="str">
        <f t="shared" si="455"/>
        <v>Mayor retorno probable: VENTAS (+74,6 puntos finales potenciales).</v>
      </c>
    </row>
    <row r="1191" spans="1:48" x14ac:dyDescent="0.3">
      <c r="A1191" s="5">
        <v>51056710</v>
      </c>
      <c r="B1191" s="5" t="str">
        <f>IFERROR(VLOOKUP(A1191,VENTAS!$A$2:$B$1194,2,0),"")</f>
        <v/>
      </c>
      <c r="C1191" s="5">
        <f>IFERROR(INDEX(VENTAS!$C$2:$E$1194,MATCH(A1191,VENTAS!$A$2:$A$1194,0),MATCH(PARAMS_MODELO!$B$2,{"Q1","Q2","Q3"},0)),0)</f>
        <v>0</v>
      </c>
      <c r="D1191" s="5">
        <f>IFERROR(INDEX(VENTAS!$F$2:$H$1194,MATCH(A1191,VENTAS!$A$2:$A$1194,0),MATCH(PARAMS_MODELO!$B$2,{"Q1","Q2","Q3"},0)),0)</f>
        <v>0</v>
      </c>
      <c r="E1191" s="8">
        <f t="shared" si="432"/>
        <v>0</v>
      </c>
      <c r="F1191" s="12">
        <f>IF(E1191&lt;=PARAMS_MODELO!$B$15,0,IF(E1191&gt;=PARAMS_MODELO!$B$17,100,100*MIN(1,(E1191-PARAMS_MODELO!$B$15)/(PARAMS_MODELO!$B$16-PARAMS_MODELO!$B$15))))*PARAMS_MODELO!$B$7</f>
        <v>0</v>
      </c>
      <c r="G1191" s="5">
        <f t="shared" si="433"/>
        <v>0</v>
      </c>
      <c r="H1191" s="5">
        <f>(PARAMS_MODELO!$B$20*(MAX(0,MIN(3,E1191))/3)+PARAMS_MODELO!$B$21*(IFERROR(LN(1+MAX(0,G1191))/LN(1+MAX(0,MAX($G$2:$G$1194))),0)))*100*PARAMS_MODELO!$B$8</f>
        <v>0</v>
      </c>
      <c r="I1191" s="8">
        <f>E1191-PARAMS_MODELO!$B$5</f>
        <v>-0.17756283537552653</v>
      </c>
      <c r="J1191" s="5">
        <f>IF(I1191&lt;=PARAMS_MODELO!$B$18,0,IF(I1191&gt;=PARAMS_MODELO!$B$19,100,100*(I1191-PARAMS_MODELO!$B$18)/(PARAMS_MODELO!$B$19-PARAMS_MODELO!$B$18)))*PARAMS_MODELO!$B$9</f>
        <v>0</v>
      </c>
      <c r="K1191" s="5">
        <f>IFERROR(CHOOSE(MATCH(PARAMS_MODELO!$B$2,{"Q1","Q2","Q3"},0),LOTO!$D1191,LOTO!$F1191,LOTO!$H1191),0)</f>
        <v>0</v>
      </c>
      <c r="L1191" s="8">
        <f t="shared" si="434"/>
        <v>0</v>
      </c>
      <c r="M1191" s="5">
        <f>MIN(100,IF(PARAMS_MODELO!$B$23=0,0,100*L1191/PARAMS_MODELO!$B$23))*PARAMS_MODELO!$B$10</f>
        <v>0</v>
      </c>
      <c r="N1191" s="5">
        <f>IFERROR(VLOOKUP(A1191,COMPLIANCE!$A$2:$F$1996,6,0),100)</f>
        <v>100</v>
      </c>
      <c r="O1191" s="5">
        <f>N1191*PARAMS_MODELO!$B$11</f>
        <v>10</v>
      </c>
      <c r="P1191" s="5">
        <f>IFERROR(VLOOKUP(A1191,DIGITAL!$A$2:$J$2000,7,0),100)</f>
        <v>68</v>
      </c>
      <c r="Q1191" s="5">
        <f>IFERROR(P1191,0)*PARAMS_MODELO!$B$12</f>
        <v>6.8000000000000007</v>
      </c>
      <c r="R1191">
        <f t="shared" si="435"/>
        <v>16.8</v>
      </c>
      <c r="S1191" s="5" t="str">
        <f>IFERROR(VLOOKUP(A1191,CLIENTE!$A$2:$N$2000,13,0),1)</f>
        <v>Bueno</v>
      </c>
      <c r="T1191" s="5">
        <f>IFERROR(VLOOKUP(A1191,CLIENTE!$A$2:$N$2000,14,0),1)</f>
        <v>1.1000000000000001</v>
      </c>
      <c r="U1191" s="5">
        <f t="shared" si="436"/>
        <v>18.480000000000004</v>
      </c>
      <c r="V1191" s="5" t="str">
        <f>IF(U1191&gt;=MAX(_xlfn.PERCENTILE.INC($U$2:$U$1194,PARAMS_MODELO!$B$50),PARAMS_MODELO!$B$45),"DIAMANTE",IF(U1191&gt;=MAX(_xlfn.PERCENTILE.INC($U$2:$U$1194,PARAMS_MODELO!$B$51),PARAMS_MODELO!$B$46),"PLATINO",IF(U1191&gt;=MAX(_xlfn.PERCENTILE.INC($U$2:$U$1194,PARAMS_MODELO!$B$52),PARAMS_MODELO!$B$47),"ORO",IF(U1191&gt;=MAX(_xlfn.PERCENTILE.INC($U$2:$U$1194,PARAMS_MODELO!$B$53),PARAMS_MODELO!$B$48),"PLATA",IF(U1191&gt;=1,"BRONCE","CERRADO")))))</f>
        <v>BRONCE</v>
      </c>
      <c r="W1191" s="5" t="str" cm="1">
        <f t="array" ref="W1191">_xlfn.XLOOKUP(1, (HIST_SCORE!$B:$B=PARAMS_MODELO!$B$4) * (HIST_SCORE!$C:$C=A1191), HIST_SCORE!$E:$E, "No encontrado")</f>
        <v>BRONCE</v>
      </c>
      <c r="X1191" s="5" t="str">
        <f>_xlfn.LET(_xlpm.act,MATCH(V1191,{"DIAMANTE";"PLATINO";"ORO";"PLATA";"BRONCE";"CERRADO"},0),_xlpm.ant,MATCH(W1191,{"DIAMANTE";"PLATINO";"ORO";"PLATA";"BRONCE";"CERRADO"},0),IF(_xlpm.act&lt;_xlpm.ant,"Mejora ↑",IF(_xlpm.act&gt;_xlpm.ant,"Baja ↓","Estable →")))</f>
        <v>Estable →</v>
      </c>
      <c r="Y1191" s="5">
        <f>IFERROR(U1191-SUMIFS(HIST_SCORE!$D:$D,HIST_SCORE!$B:$B,PARAMS_MODELO!$B$4,HIST_SCORE!$C:$C,$A1191),"")</f>
        <v>0</v>
      </c>
      <c r="Z1191" s="5" t="str">
        <f t="shared" si="437"/>
        <v>→ Estable</v>
      </c>
      <c r="AA1191" s="5">
        <f t="shared" si="438"/>
        <v>1020</v>
      </c>
      <c r="AB1191" s="5">
        <f>IFERROR(SUMIFS(HIST_SCORE!$F:$F,HIST_SCORE!$B:$B,PARAMS_MODELO!$B$4,HIST_SCORE!$C:$C,$A1191),"")</f>
        <v>1020</v>
      </c>
      <c r="AC1191" s="5">
        <f t="shared" si="439"/>
        <v>0</v>
      </c>
      <c r="AD1191" t="str">
        <f t="shared" si="441"/>
        <v/>
      </c>
      <c r="AE11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1191="CERRADO",1,IF(V1191="BRONCE",_xlpm.cPl,IF(V1191="PLATA",_xlpm.cO,IF(V1191="ORO",_xlpm.cP,IF(V1191="PLATINO",_xlpm.cD,999))))))</f>
        <v>24.506573482968111</v>
      </c>
      <c r="AF1191">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1191="CERRADO",0,IF(V1191="BRONCE",1,IF(V1191="PLATA",_xlpm.cPl,IF(V1191="ORO",_xlpm.cO,IF(V1191="PLATINO",_xlpm.cP,_xlpm.cD))))))</f>
        <v>1</v>
      </c>
      <c r="AG1191">
        <f t="shared" si="442"/>
        <v>5.4787031663346433</v>
      </c>
      <c r="AH1191" t="str">
        <f t="shared" si="443"/>
        <v>VENTAS</v>
      </c>
      <c r="AI1191" t="str">
        <f t="shared" si="440"/>
        <v>🎯 Para subir de categoría, eje VENTAS / CRECIMIENTO PERSONAL (F). Acción: metas semanales + activación comercial + seguimiento del asesor. ΔR aprox: 5,5</v>
      </c>
      <c r="AJ1191" s="26">
        <f>_xlfn.LET(_xlpm.piso,AF1191,_xlpm.corte,AE1191,_xlpm.prog,IF(_xlpm.corte&lt;=_xlpm.piso,0,MAX(0,MIN(1,(U1191-_xlpm.piso)/(_xlpm.corte-_xlpm.piso)))),_xlpm.orden,{"DIAMANTE";"PLATINO";"ORO";"PLATA";"BRONCE";"CERRADO"},_xlpm.act,IFERROR(MATCH(V1191,_xlpm.orden,0),6),_xlpm.ant,IFERROR(MATCH(W1191,_xlpm.orden,0),6),_xlpm.ajmov,IF(_xlpm.act&lt;_xlpm.ant,0.08,IF(_xlpm.act&gt;_xlpm.ant,-0.08,0)),_xlpm.ajcli,IF(T1191&lt;0.95,-0.06,0),_xlpm.prob,MAX(0,MIN(1,_xlpm.prog+_xlpm.ajmov+_xlpm.ajcli)),IF(OR(V1191="DIAMANTE",V1191="CERRADO"),0,ROUND(_xlpm.prob,2)))</f>
        <v>0.74</v>
      </c>
      <c r="AK1191" t="str">
        <f t="shared" si="444"/>
        <v>Faltan 5,5 puntos base para subir a la siguiente categoría</v>
      </c>
      <c r="AL1191" t="str">
        <f t="shared" si="445"/>
        <v>No aplica</v>
      </c>
      <c r="AM1191">
        <f t="shared" si="446"/>
        <v>0.32</v>
      </c>
      <c r="AN1191" t="str">
        <f t="shared" si="447"/>
        <v>PRIORIDAD BAJA – control normal</v>
      </c>
      <c r="AO1191">
        <f t="shared" si="448"/>
        <v>71.348826202825151</v>
      </c>
      <c r="AP1191">
        <f t="shared" si="449"/>
        <v>16.5</v>
      </c>
      <c r="AQ1191">
        <f t="shared" si="450"/>
        <v>0</v>
      </c>
      <c r="AR1191">
        <f t="shared" si="451"/>
        <v>3.5199999999999996</v>
      </c>
      <c r="AS1191">
        <f t="shared" si="452"/>
        <v>0</v>
      </c>
      <c r="AT1191" t="str">
        <f t="shared" si="453"/>
        <v>VENTAS</v>
      </c>
      <c r="AU1191">
        <f t="shared" si="454"/>
        <v>71.348826202825151</v>
      </c>
      <c r="AV1191" t="str">
        <f t="shared" si="455"/>
        <v>Mayor retorno probable: VENTAS (+71,3 puntos finales potenciales).</v>
      </c>
    </row>
    <row r="1192" spans="1:48" x14ac:dyDescent="0.3">
      <c r="A1192" s="5">
        <v>51056779</v>
      </c>
      <c r="B1192" s="5" t="str">
        <f>IFERROR(VLOOKUP(A1192,VENTAS!$A$2:$B$1194,2,0),"")</f>
        <v/>
      </c>
      <c r="C1192" s="5">
        <f>IFERROR(INDEX(VENTAS!$C$2:$E$1194,MATCH(A1192,VENTAS!$A$2:$A$1194,0),MATCH(PARAMS_MODELO!$B$2,{"Q1","Q2","Q3"},0)),0)</f>
        <v>0</v>
      </c>
      <c r="D1192" s="5">
        <f>IFERROR(INDEX(VENTAS!$F$2:$H$1194,MATCH(A1192,VENTAS!$A$2:$A$1194,0),MATCH(PARAMS_MODELO!$B$2,{"Q1","Q2","Q3"},0)),0)</f>
        <v>0</v>
      </c>
      <c r="E1192" s="8">
        <f t="shared" si="432"/>
        <v>0</v>
      </c>
      <c r="F1192" s="12">
        <f>IF(E1192&lt;=PARAMS_MODELO!$B$15,0,IF(E1192&gt;=PARAMS_MODELO!$B$17,100,100*MIN(1,(E1192-PARAMS_MODELO!$B$15)/(PARAMS_MODELO!$B$16-PARAMS_MODELO!$B$15))))*PARAMS_MODELO!$B$7</f>
        <v>0</v>
      </c>
      <c r="G1192" s="5">
        <f t="shared" si="433"/>
        <v>0</v>
      </c>
      <c r="H1192" s="5">
        <f>(PARAMS_MODELO!$B$20*(MAX(0,MIN(3,E1192))/3)+PARAMS_MODELO!$B$21*(IFERROR(LN(1+MAX(0,G1192))/LN(1+MAX(0,MAX($G$2:$G$1194))),0)))*100*PARAMS_MODELO!$B$8</f>
        <v>0</v>
      </c>
      <c r="I1192" s="8">
        <f>E1192-PARAMS_MODELO!$B$5</f>
        <v>-0.17756283537552653</v>
      </c>
      <c r="J1192" s="5">
        <f>IF(I1192&lt;=PARAMS_MODELO!$B$18,0,IF(I1192&gt;=PARAMS_MODELO!$B$19,100,100*(I1192-PARAMS_MODELO!$B$18)/(PARAMS_MODELO!$B$19-PARAMS_MODELO!$B$18)))*PARAMS_MODELO!$B$9</f>
        <v>0</v>
      </c>
      <c r="K1192" s="5">
        <f>IFERROR(CHOOSE(MATCH(PARAMS_MODELO!$B$2,{"Q1","Q2","Q3"},0),LOTO!$D1192,LOTO!$F1192,LOTO!$H1192),0)</f>
        <v>0</v>
      </c>
      <c r="L1192" s="8">
        <f t="shared" si="434"/>
        <v>0</v>
      </c>
      <c r="M1192" s="5">
        <f>MIN(100,IF(PARAMS_MODELO!$B$23=0,0,100*L1192/PARAMS_MODELO!$B$23))*PARAMS_MODELO!$B$10</f>
        <v>0</v>
      </c>
      <c r="N1192" s="5">
        <f>IFERROR(VLOOKUP(A1192,COMPLIANCE!$A$2:$F$1996,6,0),100)</f>
        <v>100</v>
      </c>
      <c r="O1192" s="5">
        <f>N1192*PARAMS_MODELO!$B$11</f>
        <v>10</v>
      </c>
      <c r="P1192" s="5">
        <f>IFERROR(VLOOKUP(A1192,DIGITAL!$A$2:$J$2000,7,0),100)</f>
        <v>72</v>
      </c>
      <c r="Q1192" s="5">
        <f>IFERROR(P1192,0)*PARAMS_MODELO!$B$12</f>
        <v>7.2</v>
      </c>
      <c r="R1192">
        <f t="shared" si="435"/>
        <v>17.2</v>
      </c>
      <c r="S1192" s="5" t="str">
        <f>IFERROR(VLOOKUP(A1192,CLIENTE!$A$2:$N$2000,13,0),1)</f>
        <v>Regular</v>
      </c>
      <c r="T1192" s="5">
        <f>IFERROR(VLOOKUP(A1192,CLIENTE!$A$2:$N$2000,14,0),1)</f>
        <v>1</v>
      </c>
      <c r="U1192" s="5">
        <f t="shared" si="436"/>
        <v>17.2</v>
      </c>
      <c r="V1192" s="5" t="str">
        <f>IF(U1192&gt;=MAX(_xlfn.PERCENTILE.INC($U$2:$U$1194,PARAMS_MODELO!$B$50),PARAMS_MODELO!$B$45),"DIAMANTE",IF(U1192&gt;=MAX(_xlfn.PERCENTILE.INC($U$2:$U$1194,PARAMS_MODELO!$B$51),PARAMS_MODELO!$B$46),"PLATINO",IF(U1192&gt;=MAX(_xlfn.PERCENTILE.INC($U$2:$U$1194,PARAMS_MODELO!$B$52),PARAMS_MODELO!$B$47),"ORO",IF(U1192&gt;=MAX(_xlfn.PERCENTILE.INC($U$2:$U$1194,PARAMS_MODELO!$B$53),PARAMS_MODELO!$B$48),"PLATA",IF(U1192&gt;=1,"BRONCE","CERRADO")))))</f>
        <v>BRONCE</v>
      </c>
      <c r="W1192" s="5" t="str" cm="1">
        <f t="array" ref="W1192">_xlfn.XLOOKUP(1, (HIST_SCORE!$B:$B=PARAMS_MODELO!$B$4) * (HIST_SCORE!$C:$C=A1192), HIST_SCORE!$E:$E, "No encontrado")</f>
        <v>BRONCE</v>
      </c>
      <c r="X1192" s="5" t="str">
        <f>_xlfn.LET(_xlpm.act,MATCH(V1192,{"DIAMANTE";"PLATINO";"ORO";"PLATA";"BRONCE";"CERRADO"},0),_xlpm.ant,MATCH(W1192,{"DIAMANTE";"PLATINO";"ORO";"PLATA";"BRONCE";"CERRADO"},0),IF(_xlpm.act&lt;_xlpm.ant,"Mejora ↑",IF(_xlpm.act&gt;_xlpm.ant,"Baja ↓","Estable →")))</f>
        <v>Estable →</v>
      </c>
      <c r="Y1192" s="5">
        <f>IFERROR(U1192-SUMIFS(HIST_SCORE!$D:$D,HIST_SCORE!$B:$B,PARAMS_MODELO!$B$4,HIST_SCORE!$C:$C,$A1192),"")</f>
        <v>0</v>
      </c>
      <c r="Z1192" s="5" t="str">
        <f t="shared" si="437"/>
        <v>→ Estable</v>
      </c>
      <c r="AA1192" s="5">
        <f t="shared" si="438"/>
        <v>1046</v>
      </c>
      <c r="AB1192" s="5">
        <f>IFERROR(SUMIFS(HIST_SCORE!$F:$F,HIST_SCORE!$B:$B,PARAMS_MODELO!$B$4,HIST_SCORE!$C:$C,$A1192),"")</f>
        <v>1042</v>
      </c>
      <c r="AC1192" s="5">
        <f t="shared" si="439"/>
        <v>-4</v>
      </c>
      <c r="AD1192" t="str">
        <f t="shared" si="441"/>
        <v/>
      </c>
      <c r="AE11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1192="CERRADO",1,IF(V1192="BRONCE",_xlpm.cPl,IF(V1192="PLATA",_xlpm.cO,IF(V1192="ORO",_xlpm.cP,IF(V1192="PLATINO",_xlpm.cD,999))))))</f>
        <v>24.506573482968111</v>
      </c>
      <c r="AF1192">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1192="CERRADO",0,IF(V1192="BRONCE",1,IF(V1192="PLATA",_xlpm.cPl,IF(V1192="ORO",_xlpm.cO,IF(V1192="PLATINO",_xlpm.cP,_xlpm.cD))))))</f>
        <v>1</v>
      </c>
      <c r="AG1192">
        <f t="shared" si="442"/>
        <v>7.3065734829681119</v>
      </c>
      <c r="AH1192" t="str">
        <f t="shared" si="443"/>
        <v>VENTAS</v>
      </c>
      <c r="AI1192" t="str">
        <f t="shared" si="440"/>
        <v>🎯 Para subir de categoría, eje VENTAS / CRECIMIENTO PERSONAL (F). Acción: metas semanales + activación comercial + seguimiento del asesor. ΔR aprox: 7,3</v>
      </c>
      <c r="AJ1192" s="26">
        <f>_xlfn.LET(_xlpm.piso,AF1192,_xlpm.corte,AE1192,_xlpm.prog,IF(_xlpm.corte&lt;=_xlpm.piso,0,MAX(0,MIN(1,(U1192-_xlpm.piso)/(_xlpm.corte-_xlpm.piso)))),_xlpm.orden,{"DIAMANTE";"PLATINO";"ORO";"PLATA";"BRONCE";"CERRADO"},_xlpm.act,IFERROR(MATCH(V1192,_xlpm.orden,0),6),_xlpm.ant,IFERROR(MATCH(W1192,_xlpm.orden,0),6),_xlpm.ajmov,IF(_xlpm.act&lt;_xlpm.ant,0.08,IF(_xlpm.act&gt;_xlpm.ant,-0.08,0)),_xlpm.ajcli,IF(T1192&lt;0.95,-0.06,0),_xlpm.prob,MAX(0,MIN(1,_xlpm.prog+_xlpm.ajmov+_xlpm.ajcli)),IF(OR(V1192="DIAMANTE",V1192="CERRADO"),0,ROUND(_xlpm.prob,2)))</f>
        <v>0.69</v>
      </c>
      <c r="AK1192" t="str">
        <f t="shared" si="444"/>
        <v>Faltan 7,3 puntos base para subir a la siguiente categoría</v>
      </c>
      <c r="AL1192" t="str">
        <f t="shared" si="445"/>
        <v>No aplica</v>
      </c>
      <c r="AM1192">
        <f t="shared" si="446"/>
        <v>0.42</v>
      </c>
      <c r="AN1192" t="str">
        <f t="shared" si="447"/>
        <v>PRIORIDAD MEDIA – seguimiento del asesor</v>
      </c>
      <c r="AO1192">
        <f t="shared" si="448"/>
        <v>64.862569275295584</v>
      </c>
      <c r="AP1192">
        <f t="shared" si="449"/>
        <v>15</v>
      </c>
      <c r="AQ1192">
        <f t="shared" si="450"/>
        <v>0</v>
      </c>
      <c r="AR1192">
        <f t="shared" si="451"/>
        <v>2.8</v>
      </c>
      <c r="AS1192">
        <f t="shared" si="452"/>
        <v>0</v>
      </c>
      <c r="AT1192" t="str">
        <f t="shared" si="453"/>
        <v>VENTAS</v>
      </c>
      <c r="AU1192">
        <f t="shared" si="454"/>
        <v>64.862569275295584</v>
      </c>
      <c r="AV1192" t="str">
        <f t="shared" si="455"/>
        <v>Mayor retorno probable: VENTAS (+64,9 puntos finales potenciales).</v>
      </c>
    </row>
    <row r="1193" spans="1:48" x14ac:dyDescent="0.3">
      <c r="A1193" s="5">
        <v>51056841</v>
      </c>
      <c r="B1193" s="5" t="str">
        <f>IFERROR(VLOOKUP(A1193,VENTAS!$A$2:$B$1194,2,0),"")</f>
        <v/>
      </c>
      <c r="C1193" s="5">
        <f>IFERROR(INDEX(VENTAS!$C$2:$E$1194,MATCH(A1193,VENTAS!$A$2:$A$1194,0),MATCH(PARAMS_MODELO!$B$2,{"Q1","Q2","Q3"},0)),0)</f>
        <v>5768199.6399999997</v>
      </c>
      <c r="D1193" s="5">
        <f>IFERROR(INDEX(VENTAS!$F$2:$H$1194,MATCH(A1193,VENTAS!$A$2:$A$1194,0),MATCH(PARAMS_MODELO!$B$2,{"Q1","Q2","Q3"},0)),0)</f>
        <v>0</v>
      </c>
      <c r="E1193" s="8">
        <f t="shared" si="432"/>
        <v>-1</v>
      </c>
      <c r="F1193" s="12">
        <f>IF(E1193&lt;=PARAMS_MODELO!$B$15,0,IF(E1193&gt;=PARAMS_MODELO!$B$17,100,100*MIN(1,(E1193-PARAMS_MODELO!$B$15)/(PARAMS_MODELO!$B$16-PARAMS_MODELO!$B$15))))*PARAMS_MODELO!$B$7</f>
        <v>0</v>
      </c>
      <c r="G1193" s="5">
        <f t="shared" si="433"/>
        <v>0</v>
      </c>
      <c r="H1193" s="5">
        <f>(PARAMS_MODELO!$B$20*(MAX(0,MIN(3,E1193))/3)+PARAMS_MODELO!$B$21*(IFERROR(LN(1+MAX(0,G1193))/LN(1+MAX(0,MAX($G$2:$G$1194))),0)))*100*PARAMS_MODELO!$B$8</f>
        <v>0</v>
      </c>
      <c r="I1193" s="8">
        <f>E1193-PARAMS_MODELO!$B$5</f>
        <v>-1.1775628353755265</v>
      </c>
      <c r="J1193" s="5">
        <f>IF(I1193&lt;=PARAMS_MODELO!$B$18,0,IF(I1193&gt;=PARAMS_MODELO!$B$19,100,100*(I1193-PARAMS_MODELO!$B$18)/(PARAMS_MODELO!$B$19-PARAMS_MODELO!$B$18)))*PARAMS_MODELO!$B$9</f>
        <v>0</v>
      </c>
      <c r="K1193" s="5">
        <f>IFERROR(CHOOSE(MATCH(PARAMS_MODELO!$B$2,{"Q1","Q2","Q3"},0),LOTO!$D1193,LOTO!$F1193,LOTO!$H1193),0)</f>
        <v>0</v>
      </c>
      <c r="L1193" s="8">
        <f t="shared" si="434"/>
        <v>0</v>
      </c>
      <c r="M1193" s="5">
        <f>MIN(100,IF(PARAMS_MODELO!$B$23=0,0,100*L1193/PARAMS_MODELO!$B$23))*PARAMS_MODELO!$B$10</f>
        <v>0</v>
      </c>
      <c r="N1193" s="5">
        <f>IFERROR(VLOOKUP(A1193,COMPLIANCE!$A$2:$F$1996,6,0),100)</f>
        <v>100</v>
      </c>
      <c r="O1193" s="5">
        <f>N1193*PARAMS_MODELO!$B$11</f>
        <v>10</v>
      </c>
      <c r="P1193" s="5">
        <f>IFERROR(VLOOKUP(A1193,DIGITAL!$A$2:$J$2000,7,0),100)</f>
        <v>25</v>
      </c>
      <c r="Q1193" s="5">
        <f>IFERROR(P1193,0)*PARAMS_MODELO!$B$12</f>
        <v>2.5</v>
      </c>
      <c r="R1193">
        <f t="shared" si="435"/>
        <v>12.5</v>
      </c>
      <c r="S1193" s="5" t="str">
        <f>IFERROR(VLOOKUP(A1193,CLIENTE!$A$2:$N$2000,13,0),1)</f>
        <v>Bueno</v>
      </c>
      <c r="T1193" s="5">
        <f>IFERROR(VLOOKUP(A1193,CLIENTE!$A$2:$N$2000,14,0),1)</f>
        <v>1.1000000000000001</v>
      </c>
      <c r="U1193" s="5">
        <f t="shared" si="436"/>
        <v>13.750000000000002</v>
      </c>
      <c r="V1193" s="5" t="str">
        <f>IF(U1193&gt;=MAX(_xlfn.PERCENTILE.INC($U$2:$U$1194,PARAMS_MODELO!$B$50),PARAMS_MODELO!$B$45),"DIAMANTE",IF(U1193&gt;=MAX(_xlfn.PERCENTILE.INC($U$2:$U$1194,PARAMS_MODELO!$B$51),PARAMS_MODELO!$B$46),"PLATINO",IF(U1193&gt;=MAX(_xlfn.PERCENTILE.INC($U$2:$U$1194,PARAMS_MODELO!$B$52),PARAMS_MODELO!$B$47),"ORO",IF(U1193&gt;=MAX(_xlfn.PERCENTILE.INC($U$2:$U$1194,PARAMS_MODELO!$B$53),PARAMS_MODELO!$B$48),"PLATA",IF(U1193&gt;=1,"BRONCE","CERRADO")))))</f>
        <v>BRONCE</v>
      </c>
      <c r="W1193" s="5" t="str" cm="1">
        <f t="array" ref="W1193">_xlfn.XLOOKUP(1, (HIST_SCORE!$B:$B=PARAMS_MODELO!$B$4) * (HIST_SCORE!$C:$C=A1193), HIST_SCORE!$E:$E, "No encontrado")</f>
        <v>BRONCE</v>
      </c>
      <c r="X1193" s="5" t="str">
        <f>_xlfn.LET(_xlpm.act,MATCH(V1193,{"DIAMANTE";"PLATINO";"ORO";"PLATA";"BRONCE";"CERRADO"},0),_xlpm.ant,MATCH(W1193,{"DIAMANTE";"PLATINO";"ORO";"PLATA";"BRONCE";"CERRADO"},0),IF(_xlpm.act&lt;_xlpm.ant,"Mejora ↑",IF(_xlpm.act&gt;_xlpm.ant,"Baja ↓","Estable →")))</f>
        <v>Estable →</v>
      </c>
      <c r="Y1193" s="5">
        <f>IFERROR(U1193-SUMIFS(HIST_SCORE!$D:$D,HIST_SCORE!$B:$B,PARAMS_MODELO!$B$4,HIST_SCORE!$C:$C,$A1193),"")</f>
        <v>0</v>
      </c>
      <c r="Z1193" s="5" t="str">
        <f t="shared" si="437"/>
        <v>→ Estable</v>
      </c>
      <c r="AA1193" s="5">
        <f t="shared" si="438"/>
        <v>1093</v>
      </c>
      <c r="AB1193" s="5">
        <f>IFERROR(SUMIFS(HIST_SCORE!$F:$F,HIST_SCORE!$B:$B,PARAMS_MODELO!$B$4,HIST_SCORE!$C:$C,$A1193),"")</f>
        <v>1091</v>
      </c>
      <c r="AC1193" s="5">
        <f t="shared" si="439"/>
        <v>-2</v>
      </c>
      <c r="AD1193" t="str">
        <f t="shared" si="441"/>
        <v/>
      </c>
      <c r="AE11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1193="CERRADO",1,IF(V1193="BRONCE",_xlpm.cPl,IF(V1193="PLATA",_xlpm.cO,IF(V1193="ORO",_xlpm.cP,IF(V1193="PLATINO",_xlpm.cD,999))))))</f>
        <v>24.506573482968111</v>
      </c>
      <c r="AF1193">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1193="CERRADO",0,IF(V1193="BRONCE",1,IF(V1193="PLATA",_xlpm.cPl,IF(V1193="ORO",_xlpm.cO,IF(V1193="PLATINO",_xlpm.cP,_xlpm.cD))))))</f>
        <v>1</v>
      </c>
      <c r="AG1193">
        <f t="shared" si="442"/>
        <v>9.778703166334644</v>
      </c>
      <c r="AH1193" t="str">
        <f t="shared" si="443"/>
        <v>VENTAS</v>
      </c>
      <c r="AI1193" t="str">
        <f t="shared" si="440"/>
        <v>🎯 Para subir de categoría, eje VENTAS / CRECIMIENTO PERSONAL (F). Acción: metas semanales + activación comercial + seguimiento del asesor. ΔR aprox: 9,8</v>
      </c>
      <c r="AJ1193" s="26">
        <f>_xlfn.LET(_xlpm.piso,AF1193,_xlpm.corte,AE1193,_xlpm.prog,IF(_xlpm.corte&lt;=_xlpm.piso,0,MAX(0,MIN(1,(U1193-_xlpm.piso)/(_xlpm.corte-_xlpm.piso)))),_xlpm.orden,{"DIAMANTE";"PLATINO";"ORO";"PLATA";"BRONCE";"CERRADO"},_xlpm.act,IFERROR(MATCH(V1193,_xlpm.orden,0),6),_xlpm.ant,IFERROR(MATCH(W1193,_xlpm.orden,0),6),_xlpm.ajmov,IF(_xlpm.act&lt;_xlpm.ant,0.08,IF(_xlpm.act&gt;_xlpm.ant,-0.08,0)),_xlpm.ajcli,IF(T1193&lt;0.95,-0.06,0),_xlpm.prob,MAX(0,MIN(1,_xlpm.prog+_xlpm.ajmov+_xlpm.ajcli)),IF(OR(V1193="DIAMANTE",V1193="CERRADO"),0,ROUND(_xlpm.prob,2)))</f>
        <v>0.54</v>
      </c>
      <c r="AK1193" t="str">
        <f t="shared" si="444"/>
        <v>Faltan 9,8 puntos base para subir a la siguiente categoría</v>
      </c>
      <c r="AL1193" t="str">
        <f t="shared" si="445"/>
        <v>No aplica</v>
      </c>
      <c r="AM1193">
        <f t="shared" si="446"/>
        <v>0.57999999999999996</v>
      </c>
      <c r="AN1193" t="str">
        <f t="shared" si="447"/>
        <v>PRIORIDAD MEDIA – seguimiento del asesor</v>
      </c>
      <c r="AO1193">
        <f t="shared" si="448"/>
        <v>71.348826202825151</v>
      </c>
      <c r="AP1193">
        <f t="shared" si="449"/>
        <v>16.5</v>
      </c>
      <c r="AQ1193">
        <f t="shared" si="450"/>
        <v>0</v>
      </c>
      <c r="AR1193">
        <f t="shared" si="451"/>
        <v>8.25</v>
      </c>
      <c r="AS1193">
        <f t="shared" si="452"/>
        <v>0</v>
      </c>
      <c r="AT1193" t="str">
        <f t="shared" si="453"/>
        <v>VENTAS</v>
      </c>
      <c r="AU1193">
        <f t="shared" si="454"/>
        <v>71.348826202825151</v>
      </c>
      <c r="AV1193" t="str">
        <f t="shared" si="455"/>
        <v>Mayor retorno probable: VENTAS (+71,3 puntos finales potenciales).</v>
      </c>
    </row>
    <row r="1194" spans="1:48" x14ac:dyDescent="0.3">
      <c r="A1194" s="5">
        <v>51056892</v>
      </c>
      <c r="B1194" s="5" t="str">
        <f>IFERROR(VLOOKUP(A1194,VENTAS!$A$2:$B$1194,2,0),"")</f>
        <v/>
      </c>
      <c r="C1194" s="5">
        <f>IFERROR(INDEX(VENTAS!$C$2:$E$1194,MATCH(A1194,VENTAS!$A$2:$A$1194,0),MATCH(PARAMS_MODELO!$B$2,{"Q1","Q2","Q3"},0)),0)</f>
        <v>29305644.75</v>
      </c>
      <c r="D1194" s="5">
        <f>IFERROR(INDEX(VENTAS!$F$2:$H$1194,MATCH(A1194,VENTAS!$A$2:$A$1194,0),MATCH(PARAMS_MODELO!$B$2,{"Q1","Q2","Q3"},0)),0)</f>
        <v>0</v>
      </c>
      <c r="E1194" s="8">
        <f t="shared" si="432"/>
        <v>-1</v>
      </c>
      <c r="F1194" s="12">
        <f>IF(E1194&lt;=PARAMS_MODELO!$B$15,0,IF(E1194&gt;=PARAMS_MODELO!$B$17,100,100*MIN(1,(E1194-PARAMS_MODELO!$B$15)/(PARAMS_MODELO!$B$16-PARAMS_MODELO!$B$15))))*PARAMS_MODELO!$B$7</f>
        <v>0</v>
      </c>
      <c r="G1194" s="5">
        <f t="shared" si="433"/>
        <v>0</v>
      </c>
      <c r="H1194" s="5">
        <f>(PARAMS_MODELO!$B$20*(MAX(0,MIN(3,E1194))/3)+PARAMS_MODELO!$B$21*(IFERROR(LN(1+MAX(0,G1194))/LN(1+MAX(0,MAX($G$2:$G$1194))),0)))*100*PARAMS_MODELO!$B$8</f>
        <v>0</v>
      </c>
      <c r="I1194" s="8">
        <f>E1194-PARAMS_MODELO!$B$5</f>
        <v>-1.1775628353755265</v>
      </c>
      <c r="J1194" s="5">
        <f>IF(I1194&lt;=PARAMS_MODELO!$B$18,0,IF(I1194&gt;=PARAMS_MODELO!$B$19,100,100*(I1194-PARAMS_MODELO!$B$18)/(PARAMS_MODELO!$B$19-PARAMS_MODELO!$B$18)))*PARAMS_MODELO!$B$9</f>
        <v>0</v>
      </c>
      <c r="K1194" s="5">
        <f>IFERROR(CHOOSE(MATCH(PARAMS_MODELO!$B$2,{"Q1","Q2","Q3"},0),LOTO!$D1194,LOTO!$F1194,LOTO!$H1194),0)</f>
        <v>0</v>
      </c>
      <c r="L1194" s="8">
        <f t="shared" si="434"/>
        <v>0</v>
      </c>
      <c r="M1194" s="5">
        <f>MIN(100,IF(PARAMS_MODELO!$B$23=0,0,100*L1194/PARAMS_MODELO!$B$23))*PARAMS_MODELO!$B$10</f>
        <v>0</v>
      </c>
      <c r="N1194" s="5">
        <f>IFERROR(VLOOKUP(A1194,COMPLIANCE!$A$2:$F$1996,6,0),100)</f>
        <v>100</v>
      </c>
      <c r="O1194" s="5">
        <f>N1194*PARAMS_MODELO!$B$11</f>
        <v>10</v>
      </c>
      <c r="P1194" s="5">
        <f>IFERROR(VLOOKUP(A1194,DIGITAL!$A$2:$J$2000,7,0),100)</f>
        <v>89</v>
      </c>
      <c r="Q1194" s="5">
        <f>IFERROR(P1194,0)*PARAMS_MODELO!$B$12</f>
        <v>8.9</v>
      </c>
      <c r="R1194">
        <f t="shared" si="435"/>
        <v>18.899999999999999</v>
      </c>
      <c r="S1194" s="5" t="str">
        <f>IFERROR(VLOOKUP(A1194,CLIENTE!$A$2:$N$2000,13,0),1)</f>
        <v>Regular</v>
      </c>
      <c r="T1194" s="5">
        <f>IFERROR(VLOOKUP(A1194,CLIENTE!$A$2:$N$2000,14,0),1)</f>
        <v>1</v>
      </c>
      <c r="U1194" s="5">
        <f t="shared" si="436"/>
        <v>18.899999999999999</v>
      </c>
      <c r="V1194" s="5" t="str">
        <f>IF(U1194&gt;=MAX(_xlfn.PERCENTILE.INC($U$2:$U$1194,PARAMS_MODELO!$B$50),PARAMS_MODELO!$B$45),"DIAMANTE",IF(U1194&gt;=MAX(_xlfn.PERCENTILE.INC($U$2:$U$1194,PARAMS_MODELO!$B$51),PARAMS_MODELO!$B$46),"PLATINO",IF(U1194&gt;=MAX(_xlfn.PERCENTILE.INC($U$2:$U$1194,PARAMS_MODELO!$B$52),PARAMS_MODELO!$B$47),"ORO",IF(U1194&gt;=MAX(_xlfn.PERCENTILE.INC($U$2:$U$1194,PARAMS_MODELO!$B$53),PARAMS_MODELO!$B$48),"PLATA",IF(U1194&gt;=1,"BRONCE","CERRADO")))))</f>
        <v>BRONCE</v>
      </c>
      <c r="W1194" s="5" t="str" cm="1">
        <f t="array" ref="W1194">_xlfn.XLOOKUP(1, (HIST_SCORE!$B:$B=PARAMS_MODELO!$B$4) * (HIST_SCORE!$C:$C=A1194), HIST_SCORE!$E:$E, "No encontrado")</f>
        <v>BRONCE</v>
      </c>
      <c r="X1194" s="5" t="str">
        <f>_xlfn.LET(_xlpm.act,MATCH(V1194,{"DIAMANTE";"PLATINO";"ORO";"PLATA";"BRONCE";"CERRADO"},0),_xlpm.ant,MATCH(W1194,{"DIAMANTE";"PLATINO";"ORO";"PLATA";"BRONCE";"CERRADO"},0),IF(_xlpm.act&lt;_xlpm.ant,"Mejora ↑",IF(_xlpm.act&gt;_xlpm.ant,"Baja ↓","Estable →")))</f>
        <v>Estable →</v>
      </c>
      <c r="Y1194" s="5">
        <f>IFERROR(U1194-SUMIFS(HIST_SCORE!$D:$D,HIST_SCORE!$B:$B,PARAMS_MODELO!$B$4,HIST_SCORE!$C:$C,$A1194),"")</f>
        <v>0</v>
      </c>
      <c r="Z1194" s="5" t="str">
        <f t="shared" si="437"/>
        <v>→ Estable</v>
      </c>
      <c r="AA1194" s="5">
        <f t="shared" si="438"/>
        <v>1003</v>
      </c>
      <c r="AB1194" s="5">
        <f>IFERROR(SUMIFS(HIST_SCORE!$F:$F,HIST_SCORE!$B:$B,PARAMS_MODELO!$B$4,HIST_SCORE!$C:$C,$A1194),"")</f>
        <v>1008</v>
      </c>
      <c r="AC1194" s="5">
        <f t="shared" si="439"/>
        <v>5</v>
      </c>
      <c r="AD1194" t="str">
        <f t="shared" si="441"/>
        <v/>
      </c>
      <c r="AE11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1194="CERRADO",1,IF(V1194="BRONCE",_xlpm.cPl,IF(V1194="PLATA",_xlpm.cO,IF(V1194="ORO",_xlpm.cP,IF(V1194="PLATINO",_xlpm.cD,999))))))</f>
        <v>24.506573482968111</v>
      </c>
      <c r="AF1194">
        <f>_xlfn.LET(_xlpm.cD,MAX(_xlfn.PERCENTILE.INC($U$2:$U$1194,PARAMS_MODELO!$B$50),PARAMS_MODELO!$B$45),_xlpm.cP,MAX(_xlfn.PERCENTILE.INC($U$2:$U$1194,PARAMS_MODELO!$B$51),PARAMS_MODELO!$B$46),_xlpm.cO,MAX(_xlfn.PERCENTILE.INC($U$2:$U$1194,PARAMS_MODELO!$B$52),PARAMS_MODELO!$B$47),_xlpm.cPl,MAX(_xlfn.PERCENTILE.INC($U$2:$U$1194,PARAMS_MODELO!$B$53),PARAMS_MODELO!$B$48),IF(V1194="CERRADO",0,IF(V1194="BRONCE",1,IF(V1194="PLATA",_xlpm.cPl,IF(V1194="ORO",_xlpm.cO,IF(V1194="PLATINO",_xlpm.cP,_xlpm.cD))))))</f>
        <v>1</v>
      </c>
      <c r="AG1194">
        <f t="shared" si="442"/>
        <v>5.6065734829681126</v>
      </c>
      <c r="AH1194" t="str">
        <f t="shared" si="443"/>
        <v>VENTAS</v>
      </c>
      <c r="AI1194" t="str">
        <f t="shared" si="440"/>
        <v>🎯 Para subir de categoría, eje VENTAS / CRECIMIENTO PERSONAL (F). Acción: metas semanales + activación comercial + seguimiento del asesor. ΔR aprox: 5,6</v>
      </c>
      <c r="AJ1194" s="26">
        <f>_xlfn.LET(_xlpm.piso,AF1194,_xlpm.corte,AE1194,_xlpm.prog,IF(_xlpm.corte&lt;=_xlpm.piso,0,MAX(0,MIN(1,(U1194-_xlpm.piso)/(_xlpm.corte-_xlpm.piso)))),_xlpm.orden,{"DIAMANTE";"PLATINO";"ORO";"PLATA";"BRONCE";"CERRADO"},_xlpm.act,IFERROR(MATCH(V1194,_xlpm.orden,0),6),_xlpm.ant,IFERROR(MATCH(W1194,_xlpm.orden,0),6),_xlpm.ajmov,IF(_xlpm.act&lt;_xlpm.ant,0.08,IF(_xlpm.act&gt;_xlpm.ant,-0.08,0)),_xlpm.ajcli,IF(T1194&lt;0.95,-0.06,0),_xlpm.prob,MAX(0,MIN(1,_xlpm.prog+_xlpm.ajmov+_xlpm.ajcli)),IF(OR(V1194="DIAMANTE",V1194="CERRADO"),0,ROUND(_xlpm.prob,2)))</f>
        <v>0.76</v>
      </c>
      <c r="AK1194" t="str">
        <f t="shared" si="444"/>
        <v>Faltan 5,6 puntos base para subir a la siguiente categoría</v>
      </c>
      <c r="AL1194" t="str">
        <f t="shared" si="445"/>
        <v>No aplica</v>
      </c>
      <c r="AM1194">
        <f t="shared" si="446"/>
        <v>0.32</v>
      </c>
      <c r="AN1194" t="str">
        <f t="shared" si="447"/>
        <v>PRIORIDAD BAJA – control normal</v>
      </c>
      <c r="AO1194">
        <f t="shared" si="448"/>
        <v>64.862569275295584</v>
      </c>
      <c r="AP1194">
        <f t="shared" si="449"/>
        <v>15</v>
      </c>
      <c r="AQ1194">
        <f t="shared" si="450"/>
        <v>0</v>
      </c>
      <c r="AR1194">
        <f t="shared" si="451"/>
        <v>1.0999999999999996</v>
      </c>
      <c r="AS1194">
        <f t="shared" si="452"/>
        <v>0</v>
      </c>
      <c r="AT1194" t="str">
        <f t="shared" si="453"/>
        <v>VENTAS</v>
      </c>
      <c r="AU1194">
        <f t="shared" si="454"/>
        <v>64.862569275295584</v>
      </c>
      <c r="AV1194" t="str">
        <f t="shared" si="455"/>
        <v>Mayor retorno probable: VENTAS (+64,9 puntos finales potenciales).</v>
      </c>
    </row>
  </sheetData>
  <conditionalFormatting sqref="X2:X1194 Z2:Z1194">
    <cfRule type="containsText" dxfId="5" priority="4" operator="containsText" text="Estable">
      <formula>NOT(ISERROR(SEARCH("Estable",X2)))</formula>
    </cfRule>
    <cfRule type="containsText" dxfId="4" priority="5" operator="containsText" text="Mejora">
      <formula>NOT(ISERROR(SEARCH("Mejora",X2)))</formula>
    </cfRule>
    <cfRule type="containsText" dxfId="3" priority="6" operator="containsText" text="Baja">
      <formula>NOT(ISERROR(SEARCH("Baja",X2)))</formula>
    </cfRule>
  </conditionalFormatting>
  <conditionalFormatting sqref="AN2:AN1194">
    <cfRule type="containsText" dxfId="2" priority="1" operator="containsText" text="Prioridad Baja">
      <formula>NOT(ISERROR(SEARCH("Prioridad Baja",AN2)))</formula>
    </cfRule>
    <cfRule type="containsText" dxfId="1" priority="2" operator="containsText" text="Prioridad Media">
      <formula>NOT(ISERROR(SEARCH("Prioridad Media",AN2)))</formula>
    </cfRule>
    <cfRule type="containsText" dxfId="0" priority="3" operator="containsText" text="Prioridad Alta">
      <formula>NOT(ISERROR(SEARCH("Prioridad Alta",AN2)))</formula>
    </cfRule>
  </conditionalFormatting>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AB171-D52E-420A-9761-DFB0E7255301}">
  <sheetPr codeName="Hoja16">
    <tabColor theme="5" tint="-0.249977111117893"/>
  </sheetPr>
  <dimension ref="A1:Q38"/>
  <sheetViews>
    <sheetView workbookViewId="0">
      <selection activeCell="H13" sqref="H13"/>
    </sheetView>
  </sheetViews>
  <sheetFormatPr baseColWidth="10" defaultColWidth="8.88671875" defaultRowHeight="14.4" x14ac:dyDescent="0.3"/>
  <cols>
    <col min="1" max="1" width="15.5546875" customWidth="1"/>
    <col min="2" max="2" width="18.44140625" customWidth="1"/>
    <col min="3" max="3" width="20.33203125" customWidth="1"/>
    <col min="4" max="4" width="20.44140625" customWidth="1"/>
    <col min="5" max="5" width="8.5546875" bestFit="1" customWidth="1"/>
    <col min="6" max="6" width="6.88671875" bestFit="1" customWidth="1"/>
    <col min="7" max="7" width="16.6640625" bestFit="1" customWidth="1"/>
    <col min="8" max="8" width="26.88671875" customWidth="1"/>
    <col min="9" max="9" width="19.44140625" bestFit="1" customWidth="1"/>
    <col min="10" max="10" width="27.109375" bestFit="1" customWidth="1"/>
    <col min="11" max="11" width="13.44140625" bestFit="1" customWidth="1"/>
    <col min="12" max="12" width="10.21875" bestFit="1" customWidth="1"/>
    <col min="13" max="13" width="9" bestFit="1" customWidth="1"/>
    <col min="14" max="14" width="21.5546875" bestFit="1" customWidth="1"/>
    <col min="15" max="15" width="9" bestFit="1" customWidth="1"/>
    <col min="16" max="16" width="12" bestFit="1" customWidth="1"/>
    <col min="17" max="17" width="10.21875" bestFit="1" customWidth="1"/>
  </cols>
  <sheetData>
    <row r="1" spans="1:16" ht="24.6" x14ac:dyDescent="0.4">
      <c r="A1" s="30" t="s">
        <v>239</v>
      </c>
      <c r="B1" s="29"/>
      <c r="C1" s="29"/>
      <c r="D1" s="29"/>
      <c r="E1" s="29"/>
      <c r="F1" s="29"/>
      <c r="G1" s="29"/>
      <c r="H1" s="29"/>
      <c r="I1" s="29"/>
      <c r="J1" s="29"/>
      <c r="K1" s="29"/>
      <c r="L1" s="29"/>
      <c r="M1" s="29"/>
      <c r="N1" s="29"/>
      <c r="O1" s="29"/>
      <c r="P1" s="29"/>
    </row>
    <row r="2" spans="1:16" ht="17.399999999999999" x14ac:dyDescent="0.3">
      <c r="A2" t="s">
        <v>273</v>
      </c>
      <c r="B2" t="str">
        <f>PARAMS_MODELO!$B$3</f>
        <v>2025-Q3</v>
      </c>
      <c r="C2" s="29"/>
      <c r="D2" s="29"/>
      <c r="E2" s="29"/>
      <c r="F2" s="29"/>
      <c r="G2" s="29"/>
      <c r="H2" s="29"/>
      <c r="I2" s="29"/>
      <c r="J2" s="29"/>
      <c r="K2" s="29"/>
      <c r="L2" s="29"/>
      <c r="M2" s="29"/>
      <c r="N2" s="36"/>
      <c r="O2" s="29"/>
      <c r="P2" s="29"/>
    </row>
    <row r="3" spans="1:16" ht="17.399999999999999" x14ac:dyDescent="0.3">
      <c r="A3" t="s">
        <v>274</v>
      </c>
      <c r="B3" t="str">
        <f>PARAMS_MODELO!$B$4</f>
        <v>2025-Q2</v>
      </c>
      <c r="C3" s="29"/>
      <c r="D3" s="29"/>
      <c r="E3" s="29"/>
      <c r="F3" s="29"/>
      <c r="G3" s="29"/>
      <c r="H3" s="29"/>
      <c r="I3" s="29"/>
      <c r="J3" s="29"/>
      <c r="K3" s="29"/>
      <c r="L3" s="29"/>
      <c r="M3" s="29"/>
      <c r="N3" s="36"/>
      <c r="O3" s="29"/>
      <c r="P3" s="29"/>
    </row>
    <row r="4" spans="1:16" x14ac:dyDescent="0.3">
      <c r="N4" s="36"/>
    </row>
    <row r="5" spans="1:16" x14ac:dyDescent="0.3">
      <c r="A5" s="32" t="s">
        <v>240</v>
      </c>
      <c r="B5" s="32" t="s">
        <v>241</v>
      </c>
      <c r="C5" s="32" t="s">
        <v>242</v>
      </c>
      <c r="D5" s="32" t="s">
        <v>261</v>
      </c>
      <c r="N5" s="36"/>
    </row>
    <row r="6" spans="1:16" x14ac:dyDescent="0.3">
      <c r="A6" s="33">
        <f>COUNTIF(CALCULOS_AGENCIA!V2:V1194,"&lt;&gt;CERRADO")</f>
        <v>1193</v>
      </c>
      <c r="B6" s="32">
        <f>AVERAGE(CALCULOS_AGENCIA!U:U)</f>
        <v>57.392537202696282</v>
      </c>
      <c r="C6" s="32">
        <f>AVERAGE(CALCULOS_AGENCIA!T:T)</f>
        <v>0.94488683989942124</v>
      </c>
      <c r="D6" s="34">
        <f>AVERAGE(CALCULOS_AGENCIA!E:E)</f>
        <v>1.6882564236121513</v>
      </c>
      <c r="N6" s="36"/>
    </row>
    <row r="7" spans="1:16" x14ac:dyDescent="0.3">
      <c r="N7" s="36"/>
    </row>
    <row r="8" spans="1:16" x14ac:dyDescent="0.3">
      <c r="J8" s="32" t="s">
        <v>262</v>
      </c>
      <c r="K8" s="32" t="s">
        <v>271</v>
      </c>
      <c r="N8" s="36"/>
    </row>
    <row r="9" spans="1:16" x14ac:dyDescent="0.3">
      <c r="A9" s="32" t="s">
        <v>52</v>
      </c>
      <c r="B9" s="32" t="s">
        <v>243</v>
      </c>
      <c r="D9" s="32" t="s">
        <v>244</v>
      </c>
      <c r="E9" s="32" t="s">
        <v>243</v>
      </c>
      <c r="G9" s="32" t="s">
        <v>265</v>
      </c>
      <c r="H9" s="32" t="s">
        <v>243</v>
      </c>
      <c r="J9" s="32" t="s">
        <v>266</v>
      </c>
      <c r="K9" s="35" cm="1">
        <f t="array" ref="K9">IFERROR(SUM(LARGE(_xlfn._xlws.FILTER(CALCULOS_AGENCIA!G2:G1194,CALCULOS_AGENCIA!G2:G1194&gt;0),_xlfn.SEQUENCE(10)))/SUM(_xlfn._xlws.FILTER(CALCULOS_AGENCIA!G2:G1194,CALCULOS_AGENCIA!G2:G1194&gt;0)),0)</f>
        <v>7.7889527340665413E-2</v>
      </c>
      <c r="N9" s="36"/>
    </row>
    <row r="10" spans="1:16" x14ac:dyDescent="0.3">
      <c r="A10" s="32" t="s">
        <v>234</v>
      </c>
      <c r="B10" s="32">
        <f>COUNTIF(CALCULOS_AGENCIA!V:V,"DIAMANTE")</f>
        <v>60</v>
      </c>
      <c r="D10" s="32" t="s">
        <v>245</v>
      </c>
      <c r="E10" s="32">
        <f>COUNTIF(CALCULOS_AGENCIA!AT:AT,"VENTAS")</f>
        <v>976</v>
      </c>
      <c r="G10" s="32" t="s">
        <v>259</v>
      </c>
      <c r="H10" s="32">
        <f>COUNTIF(CALCULOS_AGENCIA!AL:AL,"*RIESGO*")</f>
        <v>0</v>
      </c>
      <c r="J10" s="32" t="s">
        <v>267</v>
      </c>
      <c r="K10" s="35" cm="1">
        <f t="array" ref="K10">IFERROR(SUM(LARGE(_xlfn._xlws.FILTER(CALCULOS_AGENCIA!G2:G1194,CALCULOS_AGENCIA!G2:G1194&gt;0),_xlfn.SEQUENCE(20)))/SUM(_xlfn._xlws.FILTER(CALCULOS_AGENCIA!G2:G1194,CALCULOS_AGENCIA!G2:G1194&gt;0)),0)</f>
        <v>0.12857911745890613</v>
      </c>
      <c r="N10" s="36"/>
    </row>
    <row r="11" spans="1:16" x14ac:dyDescent="0.3">
      <c r="A11" s="32" t="s">
        <v>235</v>
      </c>
      <c r="B11" s="32">
        <f>COUNTIF(CALCULOS_AGENCIA!V:V,"PLATINO")</f>
        <v>179</v>
      </c>
      <c r="D11" s="32" t="s">
        <v>246</v>
      </c>
      <c r="E11" s="32">
        <f>COUNTIF(CALCULOS_AGENCIA!AT:AT,"LOTO")</f>
        <v>1</v>
      </c>
      <c r="G11" s="32" t="s">
        <v>260</v>
      </c>
      <c r="H11" s="32">
        <f>COUNTIF(CALCULOS_AGENCIA!AJ:AJ,"&gt;0,7")</f>
        <v>503</v>
      </c>
      <c r="J11" s="32" t="s">
        <v>268</v>
      </c>
      <c r="K11" s="35" cm="1">
        <f t="array" ref="K11">IFERROR(SUM(LARGE(_xlfn._xlws.FILTER(CALCULOS_AGENCIA!G2:G1194,CALCULOS_AGENCIA!G2:G1194&gt;0),_xlfn.SEQUENCE(50)))/SUM(_xlfn._xlws.FILTER(CALCULOS_AGENCIA!G2:G1194,CALCULOS_AGENCIA!G2:G1194&gt;0)),0)</f>
        <v>0.2361137413339032</v>
      </c>
      <c r="N11" s="36"/>
    </row>
    <row r="12" spans="1:16" x14ac:dyDescent="0.3">
      <c r="A12" s="32" t="s">
        <v>236</v>
      </c>
      <c r="B12" s="32">
        <f>COUNTIF(CALCULOS_AGENCIA!V:V,"ORO")</f>
        <v>316</v>
      </c>
      <c r="D12" s="32" t="s">
        <v>229</v>
      </c>
      <c r="E12" s="32">
        <f>COUNTIF(CALCULOS_AGENCIA!AT:AT,"COMPLIANCE")</f>
        <v>0</v>
      </c>
      <c r="G12" s="32" t="s">
        <v>278</v>
      </c>
      <c r="H12" s="45">
        <f>A6-H10+H11</f>
        <v>1696</v>
      </c>
      <c r="J12" s="32" t="s">
        <v>269</v>
      </c>
      <c r="K12" s="35" cm="1">
        <f t="array" ref="K12">IFERROR(SUM(LARGE(_xlfn._xlws.FILTER(CALCULOS_AGENCIA!G2:G1194,CALCULOS_AGENCIA!G2:G1194&gt;0),_xlfn.SEQUENCE(100)))/SUM(_xlfn._xlws.FILTER(CALCULOS_AGENCIA!G2:G1194,CALCULOS_AGENCIA!G2:G1194&gt;0)),0)</f>
        <v>0.36521158713423363</v>
      </c>
      <c r="N12" s="36"/>
    </row>
    <row r="13" spans="1:16" x14ac:dyDescent="0.3">
      <c r="A13" s="32" t="s">
        <v>237</v>
      </c>
      <c r="B13" s="32">
        <f>COUNTIF(CALCULOS_AGENCIA!V:V,"PLATA")</f>
        <v>360</v>
      </c>
      <c r="D13" s="32" t="s">
        <v>247</v>
      </c>
      <c r="E13" s="32">
        <f>COUNTIF(CALCULOS_AGENCIA!AT:AT,"DIGITAL")</f>
        <v>35</v>
      </c>
      <c r="J13" s="32" t="s">
        <v>270</v>
      </c>
      <c r="K13" s="35" cm="1">
        <f t="array" ref="K13">IFERROR(SUM(LARGE(_xlfn._xlws.FILTER(CALCULOS_AGENCIA!G2:G1194,CALCULOS_AGENCIA!G2:G1194&gt;0),_xlfn.SEQUENCE(200)))/SUM(_xlfn._xlws.FILTER(CALCULOS_AGENCIA!G2:G1194,CALCULOS_AGENCIA!G2:G1194&gt;0)),0)</f>
        <v>0.5543516484322345</v>
      </c>
      <c r="N13" s="36"/>
    </row>
    <row r="14" spans="1:16" x14ac:dyDescent="0.3">
      <c r="A14" s="32" t="s">
        <v>238</v>
      </c>
      <c r="B14" s="32">
        <f>COUNTIF(CALCULOS_AGENCIA!V:V,"BRONCE")</f>
        <v>278</v>
      </c>
      <c r="D14" s="32" t="s">
        <v>248</v>
      </c>
      <c r="E14" s="32">
        <f>COUNTIF(CALCULOS_AGENCIA!AT:AT,"CLIENTE")</f>
        <v>181</v>
      </c>
      <c r="J14" s="32" t="str">
        <f>IF(K9&gt;0.4,"Alta concentración: el crecimiento depende fuertemente del Top 10.",IF(K9&gt;0.25,"Concentración media: el crecimiento depende parcialmente del Top 10.","Crecimiento diversificado: no depende excesivamente de pocas agencias."))</f>
        <v>Crecimiento diversificado: no depende excesivamente de pocas agencias.</v>
      </c>
      <c r="N14" s="37"/>
    </row>
    <row r="17" spans="1:17" x14ac:dyDescent="0.3">
      <c r="A17" s="32" t="s">
        <v>264</v>
      </c>
      <c r="B17" s="32"/>
      <c r="C17" s="32"/>
      <c r="D17" s="32"/>
      <c r="E17" s="32"/>
      <c r="I17" s="32" t="s">
        <v>87</v>
      </c>
      <c r="J17" s="32"/>
      <c r="K17" s="32"/>
      <c r="L17" s="32"/>
      <c r="N17" s="32" t="s">
        <v>88</v>
      </c>
      <c r="O17" s="32"/>
      <c r="P17" s="32"/>
      <c r="Q17" s="32"/>
    </row>
    <row r="18" spans="1:17" x14ac:dyDescent="0.3">
      <c r="A18" s="32" t="s">
        <v>89</v>
      </c>
      <c r="B18" s="32" t="s">
        <v>90</v>
      </c>
      <c r="C18" s="32" t="s">
        <v>52</v>
      </c>
      <c r="D18" s="32" t="s">
        <v>257</v>
      </c>
      <c r="E18" s="32" t="s">
        <v>258</v>
      </c>
      <c r="I18" s="32" t="s">
        <v>89</v>
      </c>
      <c r="J18" s="32" t="s">
        <v>90</v>
      </c>
      <c r="K18" s="32" t="s">
        <v>91</v>
      </c>
      <c r="L18" s="34" t="s">
        <v>52</v>
      </c>
      <c r="N18" s="32" t="s">
        <v>89</v>
      </c>
      <c r="O18" s="32" t="s">
        <v>90</v>
      </c>
      <c r="P18" s="32" t="s">
        <v>18</v>
      </c>
      <c r="Q18" s="34" t="s">
        <v>52</v>
      </c>
    </row>
    <row r="19" spans="1:17" x14ac:dyDescent="0.3">
      <c r="A19" s="32">
        <v>1</v>
      </c>
      <c r="B19" s="32" cm="1">
        <f t="array" ref="B19:E38">_xlfn.LET(_xlpm.t,_xlfn._xlws.FILTER(CALCULOS_AGENCIA!A2:AN1101,CALCULOS_AGENCIA!V2:V1101&lt;&gt;"CERRADO"),_xlpm.o,_xlfn._xlws.SORT(_xlpm.t,39,-1),INDEX(_xlpm.o,_xlfn.SEQUENCE(20),{1,22,35,40}))</f>
        <v>51024125</v>
      </c>
      <c r="C19" s="32" t="str">
        <v>PLATA</v>
      </c>
      <c r="D19" s="34" t="str">
        <v>🎯 Para subir de categoría, eje VENTAS / DIFERENCIAL vs LOTBA (J). Acción: metas semanales + activación comercial + seguimiento del asesor. ΔR aprox: 53,8</v>
      </c>
      <c r="E19" s="32" t="str">
        <v>PRIORIDAD ALTA – requiere intervención inmediata</v>
      </c>
      <c r="I19" s="32">
        <v>1</v>
      </c>
      <c r="J19" s="32">
        <f>INDEX(CALCULOS_AGENCIA!$A$2:$A$1194,MATCH(K19,CALCULOS_AGENCIA!$Y$2:$Y$1194,0))</f>
        <v>51057121</v>
      </c>
      <c r="K19" s="32">
        <f>MAX(CALCULOS_AGENCIA!$Y$2:$Y$1194)</f>
        <v>64.874441252337959</v>
      </c>
      <c r="L19" s="34" t="str">
        <f>INDEX(CALCULOS_AGENCIA!$V$2:$V$1194,MATCH(K19,CALCULOS_AGENCIA!$Y$2:$Y$1194,0))</f>
        <v>PLATINO</v>
      </c>
      <c r="N19" s="32">
        <v>1</v>
      </c>
      <c r="O19" s="32">
        <f>INDEX(CALCULOS_AGENCIA!$A$2:$A$1194,MATCH(P19,CALCULOS_AGENCIA!$U$2:$U$1194,0))</f>
        <v>51018494</v>
      </c>
      <c r="P19" s="32">
        <f>MAX(CALCULOS_AGENCIA!$U$2:$U$1194)</f>
        <v>100</v>
      </c>
      <c r="Q19" s="34" t="str">
        <f>INDEX(CALCULOS_AGENCIA!$V$2:$V$1194,MATCH(P19,CALCULOS_AGENCIA!$U$2:$U$1194,0))</f>
        <v>DIAMANTE</v>
      </c>
    </row>
    <row r="20" spans="1:17" x14ac:dyDescent="0.3">
      <c r="A20" s="32">
        <v>2</v>
      </c>
      <c r="B20" s="32">
        <v>51029984</v>
      </c>
      <c r="C20" s="32" t="str">
        <v>ORO</v>
      </c>
      <c r="D20" s="34" t="str">
        <v>🎯 Para subir de categoría, la eje con mayor impacto probable es CLIENTE (coef T). Acción: reducir quejas, mejorar incógnito y empujar reseñas. ΔR aprox: 32,5</v>
      </c>
      <c r="E20" s="32" t="str">
        <v>PRIORIDAD ALTA – requiere intervención inmediata</v>
      </c>
      <c r="I20" s="32">
        <v>2</v>
      </c>
      <c r="J20" s="32">
        <f>INDEX(CALCULOS_AGENCIA!$A$2:$A$1194,MATCH(K20,CALCULOS_AGENCIA!$Y$2:$Y$1194,0))</f>
        <v>51014219</v>
      </c>
      <c r="K20" s="32">
        <f t="array" ref="K20">MAX(IF(CALCULOS_AGENCIA!$Y$2:$Y$1194&lt;K19,CALCULOS_AGENCIA!$Y$2:$Y$1194))</f>
        <v>63.890000000000008</v>
      </c>
      <c r="L20" s="34" t="str">
        <f>INDEX(CALCULOS_AGENCIA!$V$2:$V$1194,MATCH(K20,CALCULOS_AGENCIA!$Y$2:$Y$1194,0))</f>
        <v>DIAMANTE</v>
      </c>
      <c r="N20" s="32">
        <v>2</v>
      </c>
      <c r="O20" s="32">
        <f>INDEX(CALCULOS_AGENCIA!$A$2:$A$1194,MATCH(P20,CALCULOS_AGENCIA!$U$2:$U$1194,0))</f>
        <v>51056671</v>
      </c>
      <c r="P20" s="32">
        <f t="array" ref="P20">MAX(IF(CALCULOS_AGENCIA!$U$2:$U$1194&lt;P19,CALCULOS_AGENCIA!$U$2:$U$1194))</f>
        <v>99.865673054965612</v>
      </c>
      <c r="Q20" s="34" t="str">
        <f>INDEX(CALCULOS_AGENCIA!$V$2:$V$1194,MATCH(P20,CALCULOS_AGENCIA!$U$2:$U$1194,0))</f>
        <v>DIAMANTE</v>
      </c>
    </row>
    <row r="21" spans="1:17" x14ac:dyDescent="0.3">
      <c r="A21" s="32">
        <v>3</v>
      </c>
      <c r="B21" s="32">
        <v>51056272</v>
      </c>
      <c r="C21" s="32" t="str">
        <v>ORO</v>
      </c>
      <c r="D21" s="34" t="str">
        <v>🎯 Para subir de categoría, la eje con mayor impacto probable es CLIENTE (coef T). Acción: reducir quejas, mejorar incógnito y empujar reseñas. ΔR aprox: 32,6</v>
      </c>
      <c r="E21" s="32" t="str">
        <v>PRIORIDAD ALTA – requiere intervención inmediata</v>
      </c>
      <c r="I21" s="32">
        <v>3</v>
      </c>
      <c r="J21" s="32">
        <f>INDEX(CALCULOS_AGENCIA!$A$2:$A$1194,MATCH(K21,CALCULOS_AGENCIA!$Y$2:$Y$1194,0))</f>
        <v>51030974</v>
      </c>
      <c r="K21" s="32">
        <f t="array" ref="K21">MAX(IF(CALCULOS_AGENCIA!$Y$2:$Y$1194&lt;K20,CALCULOS_AGENCIA!$Y$2:$Y$1194))</f>
        <v>62.513706325232363</v>
      </c>
      <c r="L21" s="34" t="str">
        <f>INDEX(CALCULOS_AGENCIA!$V$2:$V$1194,MATCH(K21,CALCULOS_AGENCIA!$Y$2:$Y$1194,0))</f>
        <v>PLATINO</v>
      </c>
      <c r="N21" s="32">
        <v>3</v>
      </c>
      <c r="O21" s="32">
        <f>INDEX(CALCULOS_AGENCIA!$A$2:$A$1194,MATCH(P21,CALCULOS_AGENCIA!$U$2:$U$1194,0))</f>
        <v>51011368</v>
      </c>
      <c r="P21" s="32">
        <f t="array" ref="P21">MAX(IF(CALCULOS_AGENCIA!$U$2:$U$1194&lt;P20,CALCULOS_AGENCIA!$U$2:$U$1194))</f>
        <v>99.736737920576417</v>
      </c>
      <c r="Q21" s="34" t="str">
        <f>INDEX(CALCULOS_AGENCIA!$V$2:$V$1194,MATCH(P21,CALCULOS_AGENCIA!$U$2:$U$1194,0))</f>
        <v>DIAMANTE</v>
      </c>
    </row>
    <row r="22" spans="1:17" x14ac:dyDescent="0.3">
      <c r="A22" s="32">
        <v>4</v>
      </c>
      <c r="B22" s="32">
        <v>51023196</v>
      </c>
      <c r="C22" s="32" t="str">
        <v>ORO</v>
      </c>
      <c r="D22" s="34" t="str">
        <v>🎯 Para subir de categoría, la eje con mayor impacto probable es CLIENTE (coef T). Acción: reducir quejas, mejorar incógnito y empujar reseñas. ΔR aprox: 31,4</v>
      </c>
      <c r="E22" s="32" t="str">
        <v>PRIORIDAD ALTA – requiere intervención inmediata</v>
      </c>
      <c r="I22" s="32">
        <v>4</v>
      </c>
      <c r="J22" s="32">
        <f>INDEX(CALCULOS_AGENCIA!$A$2:$A$1194,MATCH(K22,CALCULOS_AGENCIA!$Y$2:$Y$1194,0))</f>
        <v>51057058</v>
      </c>
      <c r="K22" s="32">
        <f t="array" ref="K22">MAX(IF(CALCULOS_AGENCIA!$Y$2:$Y$1194&lt;K21,CALCULOS_AGENCIA!$Y$2:$Y$1194))</f>
        <v>61.253543805751626</v>
      </c>
      <c r="L22" s="34" t="str">
        <f>INDEX(CALCULOS_AGENCIA!$V$2:$V$1194,MATCH(K22,CALCULOS_AGENCIA!$Y$2:$Y$1194,0))</f>
        <v>PLATINO</v>
      </c>
      <c r="N22" s="32">
        <v>4</v>
      </c>
      <c r="O22" s="32">
        <f>INDEX(CALCULOS_AGENCIA!$A$2:$A$1194,MATCH(P22,CALCULOS_AGENCIA!$U$2:$U$1194,0))</f>
        <v>51020952</v>
      </c>
      <c r="P22" s="32">
        <f t="array" ref="P22">MAX(IF(CALCULOS_AGENCIA!$U$2:$U$1194&lt;P21,CALCULOS_AGENCIA!$U$2:$U$1194))</f>
        <v>99.579550855617768</v>
      </c>
      <c r="Q22" s="34" t="str">
        <f>INDEX(CALCULOS_AGENCIA!$V$2:$V$1194,MATCH(P22,CALCULOS_AGENCIA!$U$2:$U$1194,0))</f>
        <v>DIAMANTE</v>
      </c>
    </row>
    <row r="23" spans="1:17" x14ac:dyDescent="0.3">
      <c r="A23" s="32">
        <v>5</v>
      </c>
      <c r="B23" s="32">
        <v>51003926</v>
      </c>
      <c r="C23" s="32" t="str">
        <v>ORO</v>
      </c>
      <c r="D23" s="34" t="str">
        <v>🎯 Para subir de categoría, la eje con mayor impacto probable es CLIENTE (coef T). Acción: reducir quejas, mejorar incógnito y empujar reseñas. ΔR aprox: 32,9</v>
      </c>
      <c r="E23" s="32" t="str">
        <v>PRIORIDAD ALTA – requiere intervención inmediata</v>
      </c>
      <c r="I23" s="32">
        <v>5</v>
      </c>
      <c r="J23" s="32">
        <f>INDEX(CALCULOS_AGENCIA!$A$2:$A$1194,MATCH(K23,CALCULOS_AGENCIA!$Y$2:$Y$1194,0))</f>
        <v>51016874</v>
      </c>
      <c r="K23" s="32">
        <f t="array" ref="K23">MAX(IF(CALCULOS_AGENCIA!$Y$2:$Y$1194&lt;K22,CALCULOS_AGENCIA!$Y$2:$Y$1194))</f>
        <v>59.582942888892283</v>
      </c>
      <c r="L23" s="34" t="str">
        <f>INDEX(CALCULOS_AGENCIA!$V$2:$V$1194,MATCH(K23,CALCULOS_AGENCIA!$Y$2:$Y$1194,0))</f>
        <v>PLATINO</v>
      </c>
      <c r="N23" s="32">
        <v>5</v>
      </c>
      <c r="O23" s="32">
        <f>INDEX(CALCULOS_AGENCIA!$A$2:$A$1194,MATCH(P23,CALCULOS_AGENCIA!$U$2:$U$1194,0))</f>
        <v>51017218</v>
      </c>
      <c r="P23" s="32">
        <f t="array" ref="P23">MAX(IF(CALCULOS_AGENCIA!$U$2:$U$1194&lt;P22,CALCULOS_AGENCIA!$U$2:$U$1194))</f>
        <v>99.527209383436087</v>
      </c>
      <c r="Q23" s="34" t="str">
        <f>INDEX(CALCULOS_AGENCIA!$V$2:$V$1194,MATCH(P23,CALCULOS_AGENCIA!$U$2:$U$1194,0))</f>
        <v>DIAMANTE</v>
      </c>
    </row>
    <row r="24" spans="1:17" x14ac:dyDescent="0.3">
      <c r="A24" s="32">
        <v>6</v>
      </c>
      <c r="B24" s="32">
        <v>51056884</v>
      </c>
      <c r="C24" s="32" t="str">
        <v>ORO</v>
      </c>
      <c r="D24" s="34" t="str">
        <v>🎯 Para subir de categoría, la eje con mayor impacto probable es CLIENTE (coef T). Acción: reducir quejas, mejorar incógnito y empujar reseñas. ΔR aprox: 33,2</v>
      </c>
      <c r="E24" s="32" t="str">
        <v>PRIORIDAD ALTA – requiere intervención inmediata</v>
      </c>
      <c r="I24" s="32">
        <v>6</v>
      </c>
      <c r="J24" s="32">
        <f>INDEX(CALCULOS_AGENCIA!$A$2:$A$1194,MATCH(K24,CALCULOS_AGENCIA!$Y$2:$Y$1194,0))</f>
        <v>51055896</v>
      </c>
      <c r="K24" s="32">
        <f t="array" ref="K24">MAX(IF(CALCULOS_AGENCIA!$Y$2:$Y$1194&lt;K23,CALCULOS_AGENCIA!$Y$2:$Y$1194))</f>
        <v>57.185461859316135</v>
      </c>
      <c r="L24" s="34" t="str">
        <f>INDEX(CALCULOS_AGENCIA!$V$2:$V$1194,MATCH(K24,CALCULOS_AGENCIA!$Y$2:$Y$1194,0))</f>
        <v>PLATINO</v>
      </c>
      <c r="N24" s="32">
        <v>6</v>
      </c>
      <c r="O24" s="32">
        <f>INDEX(CALCULOS_AGENCIA!$A$2:$A$1194,MATCH(P24,CALCULOS_AGENCIA!$U$2:$U$1194,0))</f>
        <v>51016475</v>
      </c>
      <c r="P24" s="32">
        <f t="array" ref="P24">MAX(IF(CALCULOS_AGENCIA!$U$2:$U$1194&lt;P23,CALCULOS_AGENCIA!$U$2:$U$1194))</f>
        <v>99.092731862239617</v>
      </c>
      <c r="Q24" s="34" t="str">
        <f>INDEX(CALCULOS_AGENCIA!$V$2:$V$1194,MATCH(P24,CALCULOS_AGENCIA!$U$2:$U$1194,0))</f>
        <v>DIAMANTE</v>
      </c>
    </row>
    <row r="25" spans="1:17" x14ac:dyDescent="0.3">
      <c r="A25" s="32">
        <v>7</v>
      </c>
      <c r="B25" s="32">
        <v>51033485</v>
      </c>
      <c r="C25" s="32" t="str">
        <v>ORO</v>
      </c>
      <c r="D25" s="34" t="str">
        <v>🎯 Para subir de categoría, la eje con mayor impacto probable es CLIENTE (coef T). Acción: reducir quejas, mejorar incógnito y empujar reseñas. ΔR aprox: 31,7</v>
      </c>
      <c r="E25" s="32" t="str">
        <v>PRIORIDAD ALTA – requiere intervención inmediata</v>
      </c>
      <c r="I25" s="32">
        <v>7</v>
      </c>
      <c r="J25" s="32">
        <f>INDEX(CALCULOS_AGENCIA!$A$2:$A$1194,MATCH(K25,CALCULOS_AGENCIA!$Y$2:$Y$1194,0))</f>
        <v>51030443</v>
      </c>
      <c r="K25" s="32">
        <f t="array" ref="K25">MAX(IF(CALCULOS_AGENCIA!$Y$2:$Y$1194&lt;K24,CALCULOS_AGENCIA!$Y$2:$Y$1194))</f>
        <v>56.190116537518932</v>
      </c>
      <c r="L25" s="34" t="str">
        <f>INDEX(CALCULOS_AGENCIA!$V$2:$V$1194,MATCH(K25,CALCULOS_AGENCIA!$Y$2:$Y$1194,0))</f>
        <v>ORO</v>
      </c>
      <c r="N25" s="32">
        <v>7</v>
      </c>
      <c r="O25" s="32">
        <f>INDEX(CALCULOS_AGENCIA!$A$2:$A$1194,MATCH(P25,CALCULOS_AGENCIA!$U$2:$U$1194,0))</f>
        <v>51016858</v>
      </c>
      <c r="P25" s="32">
        <f t="array" ref="P25">MAX(IF(CALCULOS_AGENCIA!$U$2:$U$1194&lt;P24,CALCULOS_AGENCIA!$U$2:$U$1194))</f>
        <v>98.881089933196563</v>
      </c>
      <c r="Q25" s="34" t="str">
        <f>INDEX(CALCULOS_AGENCIA!$V$2:$V$1194,MATCH(P25,CALCULOS_AGENCIA!$U$2:$U$1194,0))</f>
        <v>DIAMANTE</v>
      </c>
    </row>
    <row r="26" spans="1:17" x14ac:dyDescent="0.3">
      <c r="A26" s="32">
        <v>8</v>
      </c>
      <c r="B26" s="32">
        <v>51023480</v>
      </c>
      <c r="C26" s="32" t="str">
        <v>ORO</v>
      </c>
      <c r="D26" s="34" t="str">
        <v>🎯 Para subir de categoría, la eje con mayor impacto probable es CLIENTE (coef T). Acción: reducir quejas, mejorar incógnito y empujar reseñas. ΔR aprox: 32,5</v>
      </c>
      <c r="E26" s="32" t="str">
        <v>PRIORIDAD ALTA – requiere intervención inmediata</v>
      </c>
      <c r="I26" s="32">
        <v>8</v>
      </c>
      <c r="J26" s="32">
        <f>INDEX(CALCULOS_AGENCIA!$A$2:$A$1194,MATCH(K26,CALCULOS_AGENCIA!$Y$2:$Y$1194,0))</f>
        <v>51010710</v>
      </c>
      <c r="K26" s="32">
        <f t="array" ref="K26">MAX(IF(CALCULOS_AGENCIA!$Y$2:$Y$1194&lt;K25,CALCULOS_AGENCIA!$Y$2:$Y$1194))</f>
        <v>56.054019581211769</v>
      </c>
      <c r="L26" s="34" t="str">
        <f>INDEX(CALCULOS_AGENCIA!$V$2:$V$1194,MATCH(K26,CALCULOS_AGENCIA!$Y$2:$Y$1194,0))</f>
        <v>ORO</v>
      </c>
      <c r="N26" s="32">
        <v>8</v>
      </c>
      <c r="O26" s="32">
        <f>INDEX(CALCULOS_AGENCIA!$A$2:$A$1194,MATCH(P26,CALCULOS_AGENCIA!$U$2:$U$1194,0))</f>
        <v>51017455</v>
      </c>
      <c r="P26" s="32">
        <f t="array" ref="P26">MAX(IF(CALCULOS_AGENCIA!$U$2:$U$1194&lt;P25,CALCULOS_AGENCIA!$U$2:$U$1194))</f>
        <v>98.868378078646231</v>
      </c>
      <c r="Q26" s="34" t="str">
        <f>INDEX(CALCULOS_AGENCIA!$V$2:$V$1194,MATCH(P26,CALCULOS_AGENCIA!$U$2:$U$1194,0))</f>
        <v>DIAMANTE</v>
      </c>
    </row>
    <row r="27" spans="1:17" x14ac:dyDescent="0.3">
      <c r="A27" s="32">
        <v>9</v>
      </c>
      <c r="B27" s="32">
        <v>51013182</v>
      </c>
      <c r="C27" s="32" t="str">
        <v>ORO</v>
      </c>
      <c r="D27" s="34" t="str">
        <v>🎯 Para subir de categoría, la eje con mayor impacto probable es CLIENTE (coef T). Acción: reducir quejas, mejorar incógnito y empujar reseñas. ΔR aprox: 32,2</v>
      </c>
      <c r="E27" s="32" t="str">
        <v>PRIORIDAD ALTA – requiere intervención inmediata</v>
      </c>
      <c r="I27" s="32">
        <v>9</v>
      </c>
      <c r="J27" s="32">
        <f>INDEX(CALCULOS_AGENCIA!$A$2:$A$1194,MATCH(K27,CALCULOS_AGENCIA!$Y$2:$Y$1194,0))</f>
        <v>51014081</v>
      </c>
      <c r="K27" s="32">
        <f t="array" ref="K27">MAX(IF(CALCULOS_AGENCIA!$Y$2:$Y$1194&lt;K26,CALCULOS_AGENCIA!$Y$2:$Y$1194))</f>
        <v>55.315588887921251</v>
      </c>
      <c r="L27" s="34" t="str">
        <f>INDEX(CALCULOS_AGENCIA!$V$2:$V$1194,MATCH(K27,CALCULOS_AGENCIA!$Y$2:$Y$1194,0))</f>
        <v>ORO</v>
      </c>
      <c r="N27" s="32">
        <v>9</v>
      </c>
      <c r="O27" s="32">
        <f>INDEX(CALCULOS_AGENCIA!$A$2:$A$1194,MATCH(P27,CALCULOS_AGENCIA!$U$2:$U$1194,0))</f>
        <v>51032993</v>
      </c>
      <c r="P27" s="32">
        <f t="array" ref="P27">MAX(IF(CALCULOS_AGENCIA!$U$2:$U$1194&lt;P26,CALCULOS_AGENCIA!$U$2:$U$1194))</f>
        <v>98.805719411289047</v>
      </c>
      <c r="Q27" s="34" t="str">
        <f>INDEX(CALCULOS_AGENCIA!$V$2:$V$1194,MATCH(P27,CALCULOS_AGENCIA!$U$2:$U$1194,0))</f>
        <v>DIAMANTE</v>
      </c>
    </row>
    <row r="28" spans="1:17" x14ac:dyDescent="0.3">
      <c r="A28" s="32">
        <v>10</v>
      </c>
      <c r="B28" s="32">
        <v>51033418</v>
      </c>
      <c r="C28" s="32" t="str">
        <v>PLATA</v>
      </c>
      <c r="D28" s="34" t="str">
        <v>🎯 Para subir de categoría, eje VENTAS / DIFERENCIAL vs LOTBA (J). Acción: metas semanales + activación comercial + seguimiento del asesor. ΔR aprox: 54,3</v>
      </c>
      <c r="E28" s="32" t="str">
        <v>PRIORIDAD ALTA – requiere intervención inmediata</v>
      </c>
      <c r="I28" s="32">
        <v>10</v>
      </c>
      <c r="J28" s="32">
        <f>INDEX(CALCULOS_AGENCIA!$A$2:$A$1194,MATCH(K28,CALCULOS_AGENCIA!$Y$2:$Y$1194,0))</f>
        <v>51020707</v>
      </c>
      <c r="K28" s="32">
        <f t="array" ref="K28">MAX(IF(CALCULOS_AGENCIA!$Y$2:$Y$1194&lt;K27,CALCULOS_AGENCIA!$Y$2:$Y$1194))</f>
        <v>54.887747237862776</v>
      </c>
      <c r="L28" s="34" t="str">
        <f>INDEX(CALCULOS_AGENCIA!$V$2:$V$1194,MATCH(K28,CALCULOS_AGENCIA!$Y$2:$Y$1194,0))</f>
        <v>PLATINO</v>
      </c>
      <c r="N28" s="32">
        <v>10</v>
      </c>
      <c r="O28" s="32">
        <f>INDEX(CALCULOS_AGENCIA!$A$2:$A$1194,MATCH(P28,CALCULOS_AGENCIA!$U$2:$U$1194,0))</f>
        <v>51042158</v>
      </c>
      <c r="P28" s="32">
        <f t="array" ref="P28">MAX(IF(CALCULOS_AGENCIA!$U$2:$U$1194&lt;P27,CALCULOS_AGENCIA!$U$2:$U$1194))</f>
        <v>98.743841315272562</v>
      </c>
      <c r="Q28" s="34" t="str">
        <f>INDEX(CALCULOS_AGENCIA!$V$2:$V$1194,MATCH(P28,CALCULOS_AGENCIA!$U$2:$U$1194,0))</f>
        <v>DIAMANTE</v>
      </c>
    </row>
    <row r="29" spans="1:17" x14ac:dyDescent="0.3">
      <c r="A29" s="32">
        <v>11</v>
      </c>
      <c r="B29" s="32">
        <v>51011538</v>
      </c>
      <c r="C29" s="32" t="str">
        <v>PLATA</v>
      </c>
      <c r="D29" s="34" t="str">
        <v>🎯 Para subir de categoría, eje VENTAS / DIFERENCIAL vs LOTBA (J). Acción: metas semanales + activación comercial + seguimiento del asesor. ΔR aprox: 47,4</v>
      </c>
      <c r="E29" s="32" t="str">
        <v>PRIORIDAD ALTA – requiere intervención inmediata</v>
      </c>
      <c r="I29" s="32">
        <v>11</v>
      </c>
      <c r="J29" s="32">
        <f>INDEX(CALCULOS_AGENCIA!$A$2:$A$1194,MATCH(K29,CALCULOS_AGENCIA!$Y$2:$Y$1194,0))</f>
        <v>51056108</v>
      </c>
      <c r="K29" s="32">
        <f t="array" ref="K29">MAX(IF(CALCULOS_AGENCIA!$Y$2:$Y$1194&lt;K28,CALCULOS_AGENCIA!$Y$2:$Y$1194))</f>
        <v>53.105296516563072</v>
      </c>
      <c r="L29" s="34" t="str">
        <f>INDEX(CALCULOS_AGENCIA!$V$2:$V$1194,MATCH(K29,CALCULOS_AGENCIA!$Y$2:$Y$1194,0))</f>
        <v>ORO</v>
      </c>
      <c r="N29" s="32">
        <v>11</v>
      </c>
      <c r="O29" s="32">
        <f>INDEX(CALCULOS_AGENCIA!$A$2:$A$1194,MATCH(P29,CALCULOS_AGENCIA!$U$2:$U$1194,0))</f>
        <v>51056116</v>
      </c>
      <c r="P29" s="32">
        <f t="array" ref="P29">MAX(IF(CALCULOS_AGENCIA!$U$2:$U$1194&lt;P28,CALCULOS_AGENCIA!$U$2:$U$1194))</f>
        <v>98.64075506704414</v>
      </c>
      <c r="Q29" s="34" t="str">
        <f>INDEX(CALCULOS_AGENCIA!$V$2:$V$1194,MATCH(P29,CALCULOS_AGENCIA!$U$2:$U$1194,0))</f>
        <v>DIAMANTE</v>
      </c>
    </row>
    <row r="30" spans="1:17" x14ac:dyDescent="0.3">
      <c r="A30" s="32">
        <v>12</v>
      </c>
      <c r="B30" s="32">
        <v>51024621</v>
      </c>
      <c r="C30" s="32" t="str">
        <v>PLATA</v>
      </c>
      <c r="D30" s="34" t="str">
        <v>🎯 Para subir de categoría, eje VENTAS / DIFERENCIAL vs LOTBA (J). Acción: metas semanales + activación comercial + seguimiento del asesor. ΔR aprox: 47,9</v>
      </c>
      <c r="E30" s="32" t="str">
        <v>PRIORIDAD ALTA – requiere intervención inmediata</v>
      </c>
      <c r="I30" s="32">
        <v>12</v>
      </c>
      <c r="J30" s="32">
        <f>INDEX(CALCULOS_AGENCIA!$A$2:$A$1194,MATCH(K30,CALCULOS_AGENCIA!$Y$2:$Y$1194,0))</f>
        <v>51044070</v>
      </c>
      <c r="K30" s="32">
        <f t="array" ref="K30">MAX(IF(CALCULOS_AGENCIA!$Y$2:$Y$1194&lt;K29,CALCULOS_AGENCIA!$Y$2:$Y$1194))</f>
        <v>50.008165023676284</v>
      </c>
      <c r="L30" s="34" t="str">
        <f>INDEX(CALCULOS_AGENCIA!$V$2:$V$1194,MATCH(K30,CALCULOS_AGENCIA!$Y$2:$Y$1194,0))</f>
        <v>ORO</v>
      </c>
      <c r="N30" s="32">
        <v>12</v>
      </c>
      <c r="O30" s="32">
        <f>INDEX(CALCULOS_AGENCIA!$A$2:$A$1194,MATCH(P30,CALCULOS_AGENCIA!$U$2:$U$1194,0))</f>
        <v>51018346</v>
      </c>
      <c r="P30" s="32">
        <f t="array" ref="P30">MAX(IF(CALCULOS_AGENCIA!$U$2:$U$1194&lt;P29,CALCULOS_AGENCIA!$U$2:$U$1194))</f>
        <v>98.614959653968398</v>
      </c>
      <c r="Q30" s="34" t="str">
        <f>INDEX(CALCULOS_AGENCIA!$V$2:$V$1194,MATCH(P30,CALCULOS_AGENCIA!$U$2:$U$1194,0))</f>
        <v>DIAMANTE</v>
      </c>
    </row>
    <row r="31" spans="1:17" x14ac:dyDescent="0.3">
      <c r="A31" s="32">
        <v>13</v>
      </c>
      <c r="B31" s="32">
        <v>51057244</v>
      </c>
      <c r="C31" s="32" t="str">
        <v>PLATA</v>
      </c>
      <c r="D31" s="34" t="str">
        <v>🎯 Para subir de categoría, eje VENTAS / DIFERENCIAL vs LOTBA (J). Acción: metas semanales + activación comercial + seguimiento del asesor. ΔR aprox: 48,3</v>
      </c>
      <c r="E31" s="32" t="str">
        <v>PRIORIDAD ALTA – requiere intervención inmediata</v>
      </c>
      <c r="I31" s="32">
        <v>13</v>
      </c>
      <c r="J31" s="32">
        <f>INDEX(CALCULOS_AGENCIA!$A$2:$A$1194,MATCH(K31,CALCULOS_AGENCIA!$Y$2:$Y$1194,0))</f>
        <v>51039190</v>
      </c>
      <c r="K31" s="32">
        <f t="array" ref="K31">MAX(IF(CALCULOS_AGENCIA!$Y$2:$Y$1194&lt;K30,CALCULOS_AGENCIA!$Y$2:$Y$1194))</f>
        <v>49.750859499633201</v>
      </c>
      <c r="L31" s="34" t="str">
        <f>INDEX(CALCULOS_AGENCIA!$V$2:$V$1194,MATCH(K31,CALCULOS_AGENCIA!$Y$2:$Y$1194,0))</f>
        <v>ORO</v>
      </c>
      <c r="N31" s="32">
        <v>13</v>
      </c>
      <c r="O31" s="32">
        <f>INDEX(CALCULOS_AGENCIA!$A$2:$A$1194,MATCH(P31,CALCULOS_AGENCIA!$U$2:$U$1194,0))</f>
        <v>51010272</v>
      </c>
      <c r="P31" s="32">
        <f t="array" ref="P31">MAX(IF(CALCULOS_AGENCIA!$U$2:$U$1194&lt;P30,CALCULOS_AGENCIA!$U$2:$U$1194))</f>
        <v>98.511910854003943</v>
      </c>
      <c r="Q31" s="34" t="str">
        <f>INDEX(CALCULOS_AGENCIA!$V$2:$V$1194,MATCH(P31,CALCULOS_AGENCIA!$U$2:$U$1194,0))</f>
        <v>DIAMANTE</v>
      </c>
    </row>
    <row r="32" spans="1:17" x14ac:dyDescent="0.3">
      <c r="A32" s="32">
        <v>14</v>
      </c>
      <c r="B32" s="32">
        <v>51016882</v>
      </c>
      <c r="C32" s="32" t="str">
        <v>ORO</v>
      </c>
      <c r="D32" s="34" t="str">
        <v>🎯 Para subir de categoría, la eje con mayor impacto probable es CLIENTE (coef T). Acción: reducir quejas, mejorar incógnito y empujar reseñas. ΔR aprox: 28,0</v>
      </c>
      <c r="E32" s="32" t="str">
        <v>PRIORIDAD ALTA – requiere intervención inmediata</v>
      </c>
      <c r="I32" s="32">
        <v>14</v>
      </c>
      <c r="J32" s="32">
        <f>INDEX(CALCULOS_AGENCIA!$A$2:$A$1194,MATCH(K32,CALCULOS_AGENCIA!$Y$2:$Y$1194,0))</f>
        <v>51007051</v>
      </c>
      <c r="K32" s="32">
        <f t="array" ref="K32">MAX(IF(CALCULOS_AGENCIA!$Y$2:$Y$1194&lt;K31,CALCULOS_AGENCIA!$Y$2:$Y$1194))</f>
        <v>49.548102435358352</v>
      </c>
      <c r="L32" s="34" t="str">
        <f>INDEX(CALCULOS_AGENCIA!$V$2:$V$1194,MATCH(K32,CALCULOS_AGENCIA!$Y$2:$Y$1194,0))</f>
        <v>ORO</v>
      </c>
      <c r="N32" s="32">
        <v>14</v>
      </c>
      <c r="O32" s="32">
        <f>INDEX(CALCULOS_AGENCIA!$A$2:$A$1194,MATCH(P32,CALCULOS_AGENCIA!$U$2:$U$1194,0))</f>
        <v>51020316</v>
      </c>
      <c r="P32" s="32">
        <f t="array" ref="P32">MAX(IF(CALCULOS_AGENCIA!$U$2:$U$1194&lt;P31,CALCULOS_AGENCIA!$U$2:$U$1194))</f>
        <v>98.36540012904193</v>
      </c>
      <c r="Q32" s="34" t="str">
        <f>INDEX(CALCULOS_AGENCIA!$V$2:$V$1194,MATCH(P32,CALCULOS_AGENCIA!$U$2:$U$1194,0))</f>
        <v>DIAMANTE</v>
      </c>
    </row>
    <row r="33" spans="1:17" x14ac:dyDescent="0.3">
      <c r="A33" s="32">
        <v>15</v>
      </c>
      <c r="B33" s="32">
        <v>51036638</v>
      </c>
      <c r="C33" s="32" t="str">
        <v>PLATA</v>
      </c>
      <c r="D33" s="34" t="str">
        <v>🎯 Para subir de categoría, eje VENTAS / DIFERENCIAL vs LOTBA (J). Acción: metas semanales + activación comercial + seguimiento del asesor. ΔR aprox: 46,9</v>
      </c>
      <c r="E33" s="32" t="str">
        <v>PRIORIDAD ALTA – requiere intervención inmediata</v>
      </c>
      <c r="I33" s="32">
        <v>15</v>
      </c>
      <c r="J33" s="32">
        <f>INDEX(CALCULOS_AGENCIA!$A$2:$A$1194,MATCH(K33,CALCULOS_AGENCIA!$Y$2:$Y$1194,0))</f>
        <v>51024214</v>
      </c>
      <c r="K33" s="32">
        <f t="array" ref="K33">MAX(IF(CALCULOS_AGENCIA!$Y$2:$Y$1194&lt;K32,CALCULOS_AGENCIA!$Y$2:$Y$1194))</f>
        <v>49.057503687308305</v>
      </c>
      <c r="L33" s="34" t="str">
        <f>INDEX(CALCULOS_AGENCIA!$V$2:$V$1194,MATCH(K33,CALCULOS_AGENCIA!$Y$2:$Y$1194,0))</f>
        <v>ORO</v>
      </c>
      <c r="N33" s="32">
        <v>15</v>
      </c>
      <c r="O33" s="32">
        <f>INDEX(CALCULOS_AGENCIA!$A$2:$A$1194,MATCH(P33,CALCULOS_AGENCIA!$U$2:$U$1194,0))</f>
        <v>51033710</v>
      </c>
      <c r="P33" s="32">
        <f t="array" ref="P33">MAX(IF(CALCULOS_AGENCIA!$U$2:$U$1194&lt;P32,CALCULOS_AGENCIA!$U$2:$U$1194))</f>
        <v>98.361012671891189</v>
      </c>
      <c r="Q33" s="34" t="str">
        <f>INDEX(CALCULOS_AGENCIA!$V$2:$V$1194,MATCH(P33,CALCULOS_AGENCIA!$U$2:$U$1194,0))</f>
        <v>DIAMANTE</v>
      </c>
    </row>
    <row r="34" spans="1:17" x14ac:dyDescent="0.3">
      <c r="A34" s="32">
        <v>16</v>
      </c>
      <c r="B34" s="32">
        <v>51022424</v>
      </c>
      <c r="C34" s="32" t="str">
        <v>ORO</v>
      </c>
      <c r="D34" s="34" t="str">
        <v>🎯 Para subir de categoría, la eje con mayor impacto probable es CLIENTE (coef T). Acción: reducir quejas, mejorar incógnito y empujar reseñas. ΔR aprox: 26,4</v>
      </c>
      <c r="E34" s="32" t="str">
        <v>PRIORIDAD ALTA – requiere intervención inmediata</v>
      </c>
      <c r="I34" s="32">
        <v>16</v>
      </c>
      <c r="J34" s="32">
        <f>INDEX(CALCULOS_AGENCIA!$A$2:$A$1194,MATCH(K34,CALCULOS_AGENCIA!$Y$2:$Y$1194,0))</f>
        <v>51026071</v>
      </c>
      <c r="K34" s="32">
        <f t="array" ref="K34">MAX(IF(CALCULOS_AGENCIA!$Y$2:$Y$1194&lt;K33,CALCULOS_AGENCIA!$Y$2:$Y$1194))</f>
        <v>47.739812499617713</v>
      </c>
      <c r="L34" s="34" t="str">
        <f>INDEX(CALCULOS_AGENCIA!$V$2:$V$1194,MATCH(K34,CALCULOS_AGENCIA!$Y$2:$Y$1194,0))</f>
        <v>ORO</v>
      </c>
      <c r="N34" s="32">
        <v>16</v>
      </c>
      <c r="O34" s="32">
        <f>INDEX(CALCULOS_AGENCIA!$A$2:$A$1194,MATCH(P34,CALCULOS_AGENCIA!$U$2:$U$1194,0))</f>
        <v>51012577</v>
      </c>
      <c r="P34" s="32">
        <f t="array" ref="P34">MAX(IF(CALCULOS_AGENCIA!$U$2:$U$1194&lt;P33,CALCULOS_AGENCIA!$U$2:$U$1194))</f>
        <v>98.34685560352591</v>
      </c>
      <c r="Q34" s="34" t="str">
        <f>INDEX(CALCULOS_AGENCIA!$V$2:$V$1194,MATCH(P34,CALCULOS_AGENCIA!$U$2:$U$1194,0))</f>
        <v>DIAMANTE</v>
      </c>
    </row>
    <row r="35" spans="1:17" x14ac:dyDescent="0.3">
      <c r="A35" s="32">
        <v>17</v>
      </c>
      <c r="B35" s="32">
        <v>51025873</v>
      </c>
      <c r="C35" s="32" t="str">
        <v>PLATA</v>
      </c>
      <c r="D35" s="34" t="str">
        <v>🎯 Para subir de categoría, eje VENTAS / DIFERENCIAL vs LOTBA (J). Acción: metas semanales + activación comercial + seguimiento del asesor. ΔR aprox: 44,3</v>
      </c>
      <c r="E35" s="32" t="str">
        <v>PRIORIDAD ALTA – requiere intervención inmediata</v>
      </c>
      <c r="I35" s="32">
        <v>17</v>
      </c>
      <c r="J35" s="32">
        <f>INDEX(CALCULOS_AGENCIA!$A$2:$A$1194,MATCH(K35,CALCULOS_AGENCIA!$Y$2:$Y$1194,0))</f>
        <v>51055101</v>
      </c>
      <c r="K35" s="32">
        <f t="array" ref="K35">MAX(IF(CALCULOS_AGENCIA!$Y$2:$Y$1194&lt;K34,CALCULOS_AGENCIA!$Y$2:$Y$1194))</f>
        <v>46.142187293132814</v>
      </c>
      <c r="L35" s="34" t="str">
        <f>INDEX(CALCULOS_AGENCIA!$V$2:$V$1194,MATCH(K35,CALCULOS_AGENCIA!$Y$2:$Y$1194,0))</f>
        <v>ORO</v>
      </c>
      <c r="N35" s="32">
        <v>17</v>
      </c>
      <c r="O35" s="32">
        <f>INDEX(CALCULOS_AGENCIA!$A$2:$A$1194,MATCH(P35,CALCULOS_AGENCIA!$U$2:$U$1194,0))</f>
        <v>51056531</v>
      </c>
      <c r="P35" s="32">
        <f t="array" ref="P35">MAX(IF(CALCULOS_AGENCIA!$U$2:$U$1194&lt;P34,CALCULOS_AGENCIA!$U$2:$U$1194))</f>
        <v>98.316775013793517</v>
      </c>
      <c r="Q35" s="34" t="str">
        <f>INDEX(CALCULOS_AGENCIA!$V$2:$V$1194,MATCH(P35,CALCULOS_AGENCIA!$U$2:$U$1194,0))</f>
        <v>DIAMANTE</v>
      </c>
    </row>
    <row r="36" spans="1:17" x14ac:dyDescent="0.3">
      <c r="A36" s="32">
        <v>18</v>
      </c>
      <c r="B36" s="32">
        <v>51029232</v>
      </c>
      <c r="C36" s="32" t="str">
        <v>ORO</v>
      </c>
      <c r="D36" s="34" t="str">
        <v>🎯 Para subir de categoría, la eje con mayor impacto probable es CLIENTE (coef T). Acción: reducir quejas, mejorar incógnito y empujar reseñas. ΔR aprox: 28,6</v>
      </c>
      <c r="E36" s="32" t="str">
        <v>PRIORIDAD ALTA – requiere intervención inmediata</v>
      </c>
      <c r="I36" s="32">
        <v>18</v>
      </c>
      <c r="J36" s="32">
        <f>INDEX(CALCULOS_AGENCIA!$A$2:$A$1194,MATCH(K36,CALCULOS_AGENCIA!$Y$2:$Y$1194,0))</f>
        <v>51041798</v>
      </c>
      <c r="K36" s="32">
        <f t="array" ref="K36">MAX(IF(CALCULOS_AGENCIA!$Y$2:$Y$1194&lt;K35,CALCULOS_AGENCIA!$Y$2:$Y$1194))</f>
        <v>45.951220457916413</v>
      </c>
      <c r="L36" s="34" t="str">
        <f>INDEX(CALCULOS_AGENCIA!$V$2:$V$1194,MATCH(K36,CALCULOS_AGENCIA!$Y$2:$Y$1194,0))</f>
        <v>ORO</v>
      </c>
      <c r="N36" s="32">
        <v>18</v>
      </c>
      <c r="O36" s="32">
        <f>INDEX(CALCULOS_AGENCIA!$A$2:$A$1194,MATCH(P36,CALCULOS_AGENCIA!$U$2:$U$1194,0))</f>
        <v>51031113</v>
      </c>
      <c r="P36" s="32">
        <f t="array" ref="P36">MAX(IF(CALCULOS_AGENCIA!$U$2:$U$1194&lt;P35,CALCULOS_AGENCIA!$U$2:$U$1194))</f>
        <v>98.306443714971039</v>
      </c>
      <c r="Q36" s="34" t="str">
        <f>INDEX(CALCULOS_AGENCIA!$V$2:$V$1194,MATCH(P36,CALCULOS_AGENCIA!$U$2:$U$1194,0))</f>
        <v>DIAMANTE</v>
      </c>
    </row>
    <row r="37" spans="1:17" x14ac:dyDescent="0.3">
      <c r="A37" s="32">
        <v>19</v>
      </c>
      <c r="B37" s="32">
        <v>51023889</v>
      </c>
      <c r="C37" s="32" t="str">
        <v>BRONCE</v>
      </c>
      <c r="D37" s="34" t="str">
        <v>🎯 Para subir de categoría, eje VENTAS / CRECIMIENTO PERSONAL (F). Acción: metas semanales + activación comercial + seguimiento del asesor. ΔR aprox: 22,7</v>
      </c>
      <c r="E37" s="32" t="str">
        <v>PRIORIDAD ALTA – requiere intervención inmediata</v>
      </c>
      <c r="I37" s="32">
        <v>19</v>
      </c>
      <c r="J37" s="32">
        <f>INDEX(CALCULOS_AGENCIA!$A$2:$A$1194,MATCH(K37,CALCULOS_AGENCIA!$Y$2:$Y$1194,0))</f>
        <v>51056531</v>
      </c>
      <c r="K37" s="32">
        <f t="array" ref="K37">MAX(IF(CALCULOS_AGENCIA!$Y$2:$Y$1194&lt;K36,CALCULOS_AGENCIA!$Y$2:$Y$1194))</f>
        <v>45.408265122267828</v>
      </c>
      <c r="L37" s="34" t="str">
        <f>INDEX(CALCULOS_AGENCIA!$V$2:$V$1194,MATCH(K37,CALCULOS_AGENCIA!$Y$2:$Y$1194,0))</f>
        <v>DIAMANTE</v>
      </c>
      <c r="N37" s="32">
        <v>19</v>
      </c>
      <c r="O37" s="32">
        <f>INDEX(CALCULOS_AGENCIA!$A$2:$A$1194,MATCH(P37,CALCULOS_AGENCIA!$U$2:$U$1194,0))</f>
        <v>51015401</v>
      </c>
      <c r="P37" s="32">
        <f t="array" ref="P37">MAX(IF(CALCULOS_AGENCIA!$U$2:$U$1194&lt;P36,CALCULOS_AGENCIA!$U$2:$U$1194))</f>
        <v>98.192790569450636</v>
      </c>
      <c r="Q37" s="34" t="str">
        <f>INDEX(CALCULOS_AGENCIA!$V$2:$V$1194,MATCH(P37,CALCULOS_AGENCIA!$U$2:$U$1194,0))</f>
        <v>DIAMANTE</v>
      </c>
    </row>
    <row r="38" spans="1:17" x14ac:dyDescent="0.3">
      <c r="A38" s="32">
        <v>20</v>
      </c>
      <c r="B38" s="32">
        <v>51055888</v>
      </c>
      <c r="C38" s="32" t="str">
        <v>PLATA</v>
      </c>
      <c r="D38" s="34" t="str">
        <v>🎯 Para subir de categoría, eje VENTAS / DIFERENCIAL vs LOTBA (J). Acción: metas semanales + activación comercial + seguimiento del asesor. ΔR aprox: 41,1</v>
      </c>
      <c r="E38" s="32" t="str">
        <v>PRIORIDAD ALTA – requiere intervención inmediata</v>
      </c>
      <c r="I38" s="32">
        <v>20</v>
      </c>
      <c r="J38" s="32">
        <f>INDEX(CALCULOS_AGENCIA!$A$2:$A$1194,MATCH(K38,CALCULOS_AGENCIA!$Y$2:$Y$1194,0))</f>
        <v>51029232</v>
      </c>
      <c r="K38" s="32">
        <f t="array" ref="K38">MAX(IF(CALCULOS_AGENCIA!$Y$2:$Y$1194&lt;K37,CALCULOS_AGENCIA!$Y$2:$Y$1194))</f>
        <v>44.180882056693164</v>
      </c>
      <c r="L38" s="32" t="str">
        <f>INDEX(CALCULOS_AGENCIA!$V$2:$V$1194,MATCH(K38,CALCULOS_AGENCIA!$Y$2:$Y$1194,0))</f>
        <v>ORO</v>
      </c>
      <c r="N38" s="32">
        <v>20</v>
      </c>
      <c r="O38" s="32">
        <f>INDEX(CALCULOS_AGENCIA!$A$2:$A$1194,MATCH(P38,CALCULOS_AGENCIA!$U$2:$U$1194,0))</f>
        <v>51022998</v>
      </c>
      <c r="P38" s="32">
        <f t="array" ref="P38">MAX(IF(CALCULOS_AGENCIA!$U$2:$U$1194&lt;P37,CALCULOS_AGENCIA!$U$2:$U$1194))</f>
        <v>98.0770561748527</v>
      </c>
      <c r="Q38" s="32" t="str">
        <f>INDEX(CALCULOS_AGENCIA!$V$2:$V$1194,MATCH(P38,CALCULOS_AGENCIA!$U$2:$U$1194,0))</f>
        <v>DIAMANTE</v>
      </c>
    </row>
  </sheetData>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318BFD-E46C-4B7C-B68F-2704FAB0DE6A}">
  <sheetPr codeName="Hoja14">
    <tabColor theme="5" tint="-0.249977111117893"/>
  </sheetPr>
  <dimension ref="A1:E1"/>
  <sheetViews>
    <sheetView zoomScaleNormal="100" workbookViewId="0">
      <selection activeCell="L37" sqref="L37"/>
    </sheetView>
  </sheetViews>
  <sheetFormatPr baseColWidth="10" defaultColWidth="8.88671875" defaultRowHeight="14.4" x14ac:dyDescent="0.3"/>
  <sheetData>
    <row r="1" spans="1:5" ht="24.6" x14ac:dyDescent="0.4">
      <c r="A1" s="30" t="s">
        <v>272</v>
      </c>
      <c r="B1" s="29"/>
      <c r="C1" s="29"/>
      <c r="D1" s="29"/>
      <c r="E1" s="29"/>
    </row>
  </sheetData>
  <phoneticPr fontId="12" type="noConversion"/>
  <pageMargins left="0.75" right="0.75" top="1" bottom="1" header="0.5" footer="0.5"/>
  <pageSetup paperSize="9"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560463-0609-4460-BF4C-F4B8A8649A74}">
  <sheetPr codeName="Hoja15">
    <tabColor theme="5" tint="-0.249977111117893"/>
  </sheetPr>
  <dimension ref="A1:P12"/>
  <sheetViews>
    <sheetView workbookViewId="0">
      <selection activeCell="B3" sqref="B3"/>
    </sheetView>
  </sheetViews>
  <sheetFormatPr baseColWidth="10" defaultColWidth="8.88671875" defaultRowHeight="14.4" x14ac:dyDescent="0.3"/>
  <cols>
    <col min="1" max="1" width="24.44140625" customWidth="1"/>
    <col min="2" max="2" width="9.33203125" bestFit="1" customWidth="1"/>
    <col min="3" max="3" width="7.109375" bestFit="1" customWidth="1"/>
    <col min="4" max="4" width="16.109375" bestFit="1" customWidth="1"/>
    <col min="5" max="5" width="8.5546875" bestFit="1" customWidth="1"/>
    <col min="6" max="6" width="6.88671875" bestFit="1" customWidth="1"/>
    <col min="7" max="7" width="16.6640625" bestFit="1" customWidth="1"/>
    <col min="8" max="8" width="26.88671875" customWidth="1"/>
    <col min="9" max="9" width="19.44140625" bestFit="1" customWidth="1"/>
  </cols>
  <sheetData>
    <row r="1" spans="1:16" ht="24.6" x14ac:dyDescent="0.4">
      <c r="A1" s="30" t="s">
        <v>263</v>
      </c>
      <c r="B1" s="29"/>
      <c r="C1" s="29"/>
      <c r="D1" s="29"/>
      <c r="E1" s="29"/>
      <c r="F1" s="29"/>
      <c r="G1" s="29"/>
      <c r="H1" s="29"/>
      <c r="I1" s="29"/>
      <c r="J1" s="29"/>
      <c r="K1" s="29"/>
      <c r="L1" s="29"/>
      <c r="M1" s="29"/>
      <c r="N1" s="29"/>
      <c r="O1" s="29"/>
      <c r="P1" s="29"/>
    </row>
    <row r="3" spans="1:16" x14ac:dyDescent="0.3">
      <c r="A3" t="s">
        <v>255</v>
      </c>
      <c r="B3">
        <v>51042352</v>
      </c>
    </row>
    <row r="5" spans="1:16" x14ac:dyDescent="0.3">
      <c r="A5" t="s">
        <v>52</v>
      </c>
      <c r="B5" t="str">
        <f>_xlfn.XLOOKUP($B$3,CALCULOS_AGENCIA!A:A,CALCULOS_AGENCIA!V:V)</f>
        <v>BRONCE</v>
      </c>
    </row>
    <row r="6" spans="1:16" x14ac:dyDescent="0.3">
      <c r="A6" t="s">
        <v>249</v>
      </c>
      <c r="B6">
        <f>_xlfn.XLOOKUP($B$3,CALCULOS_AGENCIA!A:A,CALCULOS_AGENCIA!U:U)</f>
        <v>18.198</v>
      </c>
    </row>
    <row r="7" spans="1:16" x14ac:dyDescent="0.3">
      <c r="A7" t="s">
        <v>250</v>
      </c>
      <c r="B7" t="str">
        <f>_xlfn.XLOOKUP($B$3,CALCULOS_AGENCIA!A:A,CALCULOS_AGENCIA!S:S)</f>
        <v>Regular</v>
      </c>
    </row>
    <row r="8" spans="1:16" x14ac:dyDescent="0.3">
      <c r="A8" t="s">
        <v>251</v>
      </c>
      <c r="B8" s="31">
        <f>_xlfn.XLOOKUP($B$3,CALCULOS_AGENCIA!A:A,CALCULOS_AGENCIA!AJ:AJ)</f>
        <v>0.73</v>
      </c>
    </row>
    <row r="9" spans="1:16" x14ac:dyDescent="0.3">
      <c r="A9" t="s">
        <v>252</v>
      </c>
      <c r="B9" t="str">
        <f>_xlfn.XLOOKUP($B$3,CALCULOS_AGENCIA!A:A,CALCULOS_AGENCIA!AK:AK)</f>
        <v>Faltan 6,3 puntos base para subir a la siguiente categoría</v>
      </c>
    </row>
    <row r="10" spans="1:16" x14ac:dyDescent="0.3">
      <c r="A10" t="s">
        <v>253</v>
      </c>
      <c r="B10" t="str">
        <f>_xlfn.XLOOKUP($B$3,CALCULOS_AGENCIA!A:A,CALCULOS_AGENCIA!AL:AL)</f>
        <v>No aplica</v>
      </c>
    </row>
    <row r="11" spans="1:16" x14ac:dyDescent="0.3">
      <c r="A11" t="s">
        <v>254</v>
      </c>
      <c r="B11" t="str">
        <f>_xlfn.XLOOKUP($B$3,CALCULOS_AGENCIA!A:A,CALCULOS_AGENCIA!AN:AN)</f>
        <v>PRIORIDAD BAJA – control normal</v>
      </c>
    </row>
    <row r="12" spans="1:16" x14ac:dyDescent="0.3">
      <c r="A12" t="s">
        <v>256</v>
      </c>
      <c r="B12" t="str">
        <f>_xlfn.XLOOKUP($B$3,CALCULOS_AGENCIA!A:A,CALCULOS_AGENCIA!AI:AI)</f>
        <v>🎯 Para subir de categoría, eje VENTAS / CRECIMIENTO PERSONAL (F). Acción: metas semanales + activación comercial + seguimiento del asesor. ΔR aprox: 6,3</v>
      </c>
    </row>
  </sheetData>
  <pageMargins left="0.75" right="0.75" top="1" bottom="1" header="0.5" footer="0.5"/>
  <pageSetup paperSize="9" orientation="portrait"/>
  <extLst>
    <ext xmlns:x14="http://schemas.microsoft.com/office/spreadsheetml/2009/9/main" uri="{CCE6A557-97BC-4b89-ADB6-D9C93CAAB3DF}">
      <x14:dataValidations xmlns:xm="http://schemas.microsoft.com/office/excel/2006/main" count="1">
        <x14:dataValidation type="list" allowBlank="1" showInputMessage="1" showErrorMessage="1" xr:uid="{B7E874AC-FDCB-4CE3-8EC4-0982BD14B4DB}">
          <x14:formula1>
            <xm:f>CALCULOS_AGENCIA!$A:$A</xm:f>
          </x14:formula1>
          <xm:sqref>B3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16</vt:i4>
      </vt:variant>
    </vt:vector>
  </HeadingPairs>
  <TitlesOfParts>
    <vt:vector size="16" baseType="lpstr">
      <vt:lpstr>VENTAS</vt:lpstr>
      <vt:lpstr>LOTO</vt:lpstr>
      <vt:lpstr>COMPLIANCE</vt:lpstr>
      <vt:lpstr>ASESORES</vt:lpstr>
      <vt:lpstr>DIGITAL</vt:lpstr>
      <vt:lpstr>CLIENTE</vt:lpstr>
      <vt:lpstr>MEDIDAS DIGITAL Y CLIENTE</vt:lpstr>
      <vt:lpstr>POWERBI_DAX</vt:lpstr>
      <vt:lpstr>PARAMS_MODELO</vt:lpstr>
      <vt:lpstr>PIVOT_HIST</vt:lpstr>
      <vt:lpstr>HIST_SCORE</vt:lpstr>
      <vt:lpstr>SNAPSHOT_ACTUAL</vt:lpstr>
      <vt:lpstr>CALCULOS_AGENCIA</vt:lpstr>
      <vt:lpstr>DASH_EJECUTIVO</vt:lpstr>
      <vt:lpstr>GRAF_EJECUTIVO</vt:lpstr>
      <vt:lpstr>FICHA_AGENCIA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Claudio Ivan Alvarez</cp:lastModifiedBy>
  <dcterms:created xsi:type="dcterms:W3CDTF">2026-02-26T14:51:12Z</dcterms:created>
  <dcterms:modified xsi:type="dcterms:W3CDTF">2026-03-06T17:56:27Z</dcterms:modified>
</cp:coreProperties>
</file>